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/>
  <xr:revisionPtr revIDLastSave="0" documentId="13_ncr:1_{51BFFF92-BB3D-411E-B33F-AB50A0813446}" xr6:coauthVersionLast="47" xr6:coauthVersionMax="47" xr10:uidLastSave="{00000000-0000-0000-0000-000000000000}"/>
  <bookViews>
    <workbookView xWindow="-108" yWindow="-108" windowWidth="23256" windowHeight="12720" tabRatio="611" xr2:uid="{00000000-000D-0000-FFFF-FFFF00000000}"/>
  </bookViews>
  <sheets>
    <sheet name="parametry" sheetId="29" r:id="rId1"/>
    <sheet name="klikací hodnoty" sheetId="25" r:id="rId2"/>
    <sheet name="parametry2" sheetId="32" r:id="rId3"/>
    <sheet name="klikací hodnoty2" sheetId="33" r:id="rId4"/>
    <sheet name="indexy" sheetId="2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4" hidden="1">indexy!$A$31:$D$689</definedName>
    <definedName name="_xlnm._FilterDatabase" localSheetId="1" hidden="1">'klikací hodnoty'!$A$8129:$BF$8180</definedName>
    <definedName name="_xlnm._FilterDatabase" localSheetId="0" hidden="1">parametry!$A$1:$BD$574</definedName>
    <definedName name="_xlnm._FilterDatabase" localSheetId="2" hidden="1">parametry2!$A$2:$IR$89</definedName>
    <definedName name="dat">[1]indexy!$B$21</definedName>
    <definedName name="data">parametry!$A$3:$BB$508</definedName>
    <definedName name="_xlnm.Print_Titles" localSheetId="0">parametry!$B:$C</definedName>
    <definedName name="_xlnm.Print_Area" localSheetId="0">parametry!$AV$41:$BA$249</definedName>
    <definedName name="pole">parametry!$A$1:$BB$508</definedName>
    <definedName name="tabulka">'[2]vše - po řádcích'!$A$4:$AF$111</definedName>
    <definedName name="ticker">[3]indexy!$C$22:$D$308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F513" i="29" l="1" a="1"/>
  <c r="BF513" i="29" s="1"/>
  <c r="BF514" i="29" a="1"/>
  <c r="BF514" i="29" s="1"/>
  <c r="BF515" i="29" a="1"/>
  <c r="BF515" i="29" s="1"/>
  <c r="BF516" i="29" a="1"/>
  <c r="BF516" i="29" s="1"/>
  <c r="BF517" i="29" a="1"/>
  <c r="BF517" i="29" s="1"/>
  <c r="BF518" i="29" a="1"/>
  <c r="BF518" i="29" s="1"/>
  <c r="BF519" i="29" a="1"/>
  <c r="BF519" i="29" s="1"/>
  <c r="BF520" i="29" a="1"/>
  <c r="BF520" i="29" s="1"/>
  <c r="BF521" i="29" a="1"/>
  <c r="BF521" i="29" s="1"/>
  <c r="BF522" i="29" a="1"/>
  <c r="BF522" i="29" s="1"/>
  <c r="BF523" i="29" a="1"/>
  <c r="BF523" i="29" s="1"/>
  <c r="BF524" i="29" a="1"/>
  <c r="BF524" i="29" s="1"/>
  <c r="BF525" i="29" a="1"/>
  <c r="BF525" i="29" s="1"/>
  <c r="BF526" i="29" a="1"/>
  <c r="BF526" i="29" s="1"/>
  <c r="BF527" i="29" a="1"/>
  <c r="BF527" i="29" s="1"/>
  <c r="BF528" i="29" a="1"/>
  <c r="BF528" i="29" s="1"/>
  <c r="BF529" i="29" a="1"/>
  <c r="BF529" i="29" s="1"/>
  <c r="BF530" i="29" a="1"/>
  <c r="BF530" i="29" s="1"/>
  <c r="BF531" i="29" a="1"/>
  <c r="BF531" i="29" s="1"/>
  <c r="BF532" i="29" a="1"/>
  <c r="BF532" i="29" s="1"/>
  <c r="BF533" i="29" a="1"/>
  <c r="BF533" i="29" s="1"/>
  <c r="BF534" i="29" a="1"/>
  <c r="BF534" i="29" s="1"/>
  <c r="BF535" i="29" a="1"/>
  <c r="BF535" i="29" s="1"/>
  <c r="BF536" i="29" a="1"/>
  <c r="BF536" i="29" s="1"/>
  <c r="BF537" i="29" a="1"/>
  <c r="BF537" i="29" s="1"/>
  <c r="BF538" i="29" a="1"/>
  <c r="BF538" i="29" s="1"/>
  <c r="BF539" i="29" a="1"/>
  <c r="BF539" i="29" s="1"/>
  <c r="BF540" i="29" a="1"/>
  <c r="BF540" i="29" s="1"/>
  <c r="BF541" i="29" a="1"/>
  <c r="BF541" i="29" s="1"/>
  <c r="BF542" i="29" a="1"/>
  <c r="BF542" i="29" s="1"/>
  <c r="BF543" i="29" a="1"/>
  <c r="BF543" i="29" s="1"/>
  <c r="BF544" i="29" a="1"/>
  <c r="BF544" i="29" s="1"/>
  <c r="BF545" i="29" a="1"/>
  <c r="BF545" i="29" s="1"/>
  <c r="BF546" i="29" a="1"/>
  <c r="BF546" i="29" s="1"/>
  <c r="BF547" i="29" a="1"/>
  <c r="BF547" i="29" s="1"/>
  <c r="BF548" i="29" a="1"/>
  <c r="BF548" i="29" s="1"/>
  <c r="BF549" i="29" a="1"/>
  <c r="BF549" i="29" s="1"/>
  <c r="BF550" i="29" a="1"/>
  <c r="BF550" i="29" s="1"/>
  <c r="BF551" i="29" a="1"/>
  <c r="BF551" i="29" s="1"/>
  <c r="BF552" i="29" a="1"/>
  <c r="BF552" i="29" s="1"/>
  <c r="BF553" i="29" a="1"/>
  <c r="BF553" i="29" s="1"/>
  <c r="BF554" i="29" a="1"/>
  <c r="BF554" i="29" s="1"/>
  <c r="BF555" i="29" a="1"/>
  <c r="BF555" i="29" s="1"/>
  <c r="BF556" i="29" a="1"/>
  <c r="BF556" i="29" s="1"/>
  <c r="BF557" i="29" a="1"/>
  <c r="BF557" i="29" s="1"/>
  <c r="BF558" i="29" a="1"/>
  <c r="BF558" i="29" s="1"/>
  <c r="BF559" i="29" a="1"/>
  <c r="BF559" i="29" s="1"/>
  <c r="BF560" i="29" a="1"/>
  <c r="BF560" i="29" s="1"/>
  <c r="BF561" i="29" a="1"/>
  <c r="BF561" i="29" s="1"/>
  <c r="BF562" i="29" a="1"/>
  <c r="BF562" i="29" s="1"/>
  <c r="BF563" i="29" a="1"/>
  <c r="BF563" i="29" s="1"/>
  <c r="BF564" i="29" a="1"/>
  <c r="BF564" i="29" s="1"/>
  <c r="BF565" i="29" a="1"/>
  <c r="BF565" i="29" s="1"/>
  <c r="BF566" i="29" a="1"/>
  <c r="BF566" i="29" s="1"/>
  <c r="BF567" i="29" a="1"/>
  <c r="BF567" i="29" s="1"/>
  <c r="BF568" i="29" a="1"/>
  <c r="BF568" i="29" s="1"/>
  <c r="BF569" i="29" a="1"/>
  <c r="BF569" i="29" s="1"/>
  <c r="BF570" i="29" a="1"/>
  <c r="BF570" i="29" s="1"/>
  <c r="BF571" i="29" a="1"/>
  <c r="BF571" i="29" s="1"/>
  <c r="BF572" i="29" a="1"/>
  <c r="BF572" i="29" s="1"/>
  <c r="BF573" i="29" a="1"/>
  <c r="BF573" i="29" s="1"/>
  <c r="BF574" i="29" a="1"/>
  <c r="BF574" i="29" s="1"/>
  <c r="BF575" i="29" a="1"/>
  <c r="BF575" i="29" s="1"/>
  <c r="BF576" i="29" a="1"/>
  <c r="BF576" i="29" s="1"/>
  <c r="BF577" i="29" a="1"/>
  <c r="BF577" i="29" s="1"/>
  <c r="BF578" i="29" a="1"/>
  <c r="BF578" i="29" s="1"/>
  <c r="BF579" i="29" a="1"/>
  <c r="BF579" i="29" s="1"/>
  <c r="BF580" i="29" a="1"/>
  <c r="BF580" i="29" s="1"/>
  <c r="BF581" i="29" a="1"/>
  <c r="BF581" i="29" s="1"/>
  <c r="BF512" i="29" a="1"/>
  <c r="BF512" i="29" s="1"/>
  <c r="BE512" i="29" a="1"/>
  <c r="BE512" i="29" s="1"/>
  <c r="E2505" i="33" l="1"/>
  <c r="C18547" i="25" l="1"/>
  <c r="C19022" i="25"/>
  <c r="C18498" i="25"/>
  <c r="C17389" i="25"/>
  <c r="C17171" i="25" l="1"/>
  <c r="BG581" i="29" l="1"/>
  <c r="AG581" i="29"/>
  <c r="AR581" i="29"/>
  <c r="AS581" i="29" s="1"/>
  <c r="AV581" i="29"/>
  <c r="AW581" i="29" s="1"/>
  <c r="AZ581" i="29"/>
  <c r="BG580" i="29"/>
  <c r="I17650" i="25" l="1"/>
  <c r="BG560" i="29" l="1"/>
  <c r="BG579" i="29"/>
  <c r="H19071" i="25"/>
  <c r="H19072" i="25"/>
  <c r="D19072" i="25" s="1"/>
  <c r="E19072" i="25" s="1"/>
  <c r="F19072" i="25" s="1"/>
  <c r="H19073" i="25"/>
  <c r="D19073" i="25" s="1"/>
  <c r="E19073" i="25" s="1"/>
  <c r="F19073" i="25" s="1"/>
  <c r="H19074" i="25"/>
  <c r="D19074" i="25" s="1"/>
  <c r="E19074" i="25" s="1"/>
  <c r="F19074" i="25" s="1"/>
  <c r="H19075" i="25"/>
  <c r="D19075" i="25" s="1"/>
  <c r="E19075" i="25" s="1"/>
  <c r="F19075" i="25" s="1"/>
  <c r="H19076" i="25"/>
  <c r="D19076" i="25" s="1"/>
  <c r="E19076" i="25" s="1"/>
  <c r="F19076" i="25" s="1"/>
  <c r="H19077" i="25"/>
  <c r="D19077" i="25" s="1"/>
  <c r="E19077" i="25" s="1"/>
  <c r="F19077" i="25" s="1"/>
  <c r="H19078" i="25"/>
  <c r="D19078" i="25" s="1"/>
  <c r="H19079" i="25"/>
  <c r="D19079" i="25" s="1"/>
  <c r="E19079" i="25" s="1"/>
  <c r="F19079" i="25" s="1"/>
  <c r="H19080" i="25"/>
  <c r="D19080" i="25" s="1"/>
  <c r="E19080" i="25" s="1"/>
  <c r="F19080" i="25" s="1"/>
  <c r="H19081" i="25"/>
  <c r="D19081" i="25" s="1"/>
  <c r="E19081" i="25" s="1"/>
  <c r="F19081" i="25" s="1"/>
  <c r="H19082" i="25"/>
  <c r="D19082" i="25" s="1"/>
  <c r="E19082" i="25" s="1"/>
  <c r="F19082" i="25" s="1"/>
  <c r="H19083" i="25"/>
  <c r="D19083" i="25" s="1"/>
  <c r="H19084" i="25"/>
  <c r="D19084" i="25" s="1"/>
  <c r="E19084" i="25" s="1"/>
  <c r="F19084" i="25" s="1"/>
  <c r="H19085" i="25"/>
  <c r="D19085" i="25" s="1"/>
  <c r="E19085" i="25" s="1"/>
  <c r="F19085" i="25" s="1"/>
  <c r="H19086" i="25"/>
  <c r="D19086" i="25" s="1"/>
  <c r="E19086" i="25" s="1"/>
  <c r="F19086" i="25" s="1"/>
  <c r="H19087" i="25"/>
  <c r="H19088" i="25"/>
  <c r="D19088" i="25" s="1"/>
  <c r="E19088" i="25" s="1"/>
  <c r="F19088" i="25" s="1"/>
  <c r="H19089" i="25"/>
  <c r="D19089" i="25" s="1"/>
  <c r="E19089" i="25" s="1"/>
  <c r="F19089" i="25" s="1"/>
  <c r="H19090" i="25"/>
  <c r="D19090" i="25" s="1"/>
  <c r="E19090" i="25" s="1"/>
  <c r="F19090" i="25" s="1"/>
  <c r="H19091" i="25"/>
  <c r="D19091" i="25" s="1"/>
  <c r="E19091" i="25" s="1"/>
  <c r="F19091" i="25" s="1"/>
  <c r="H19092" i="25"/>
  <c r="D19092" i="25" s="1"/>
  <c r="E19092" i="25" s="1"/>
  <c r="F19092" i="25" s="1"/>
  <c r="H19093" i="25"/>
  <c r="D19093" i="25" s="1"/>
  <c r="E19093" i="25" s="1"/>
  <c r="F19093" i="25" s="1"/>
  <c r="H19094" i="25"/>
  <c r="D19094" i="25" s="1"/>
  <c r="E19094" i="25" s="1"/>
  <c r="F19094" i="25" s="1"/>
  <c r="H19095" i="25"/>
  <c r="D19095" i="25" s="1"/>
  <c r="H19096" i="25"/>
  <c r="D19096" i="25" s="1"/>
  <c r="E19096" i="25" s="1"/>
  <c r="F19096" i="25" s="1"/>
  <c r="H19097" i="25"/>
  <c r="D19097" i="25" s="1"/>
  <c r="E19097" i="25" s="1"/>
  <c r="F19097" i="25" s="1"/>
  <c r="H19098" i="25"/>
  <c r="D19098" i="25" s="1"/>
  <c r="E19098" i="25" s="1"/>
  <c r="F19098" i="25" s="1"/>
  <c r="H19099" i="25"/>
  <c r="D19099" i="25" s="1"/>
  <c r="E19099" i="25" s="1"/>
  <c r="F19099" i="25" s="1"/>
  <c r="H19070" i="25"/>
  <c r="D19070" i="25" s="1"/>
  <c r="E19070" i="25" s="1"/>
  <c r="F19070" i="25" s="1"/>
  <c r="D19087" i="25"/>
  <c r="E19087" i="25" s="1"/>
  <c r="F19087" i="25" s="1"/>
  <c r="D19071" i="25"/>
  <c r="E19071" i="25" s="1"/>
  <c r="F19071" i="25" s="1"/>
  <c r="I19070" i="25"/>
  <c r="AG580" i="29"/>
  <c r="AR580" i="29"/>
  <c r="AS580" i="29" s="1"/>
  <c r="AV580" i="29"/>
  <c r="AW580" i="29" s="1"/>
  <c r="AG511" i="29"/>
  <c r="AG560" i="29"/>
  <c r="AN560" i="29"/>
  <c r="AP560" i="29"/>
  <c r="AQ560" i="29"/>
  <c r="AR560" i="29"/>
  <c r="AS560" i="29" s="1"/>
  <c r="AV560" i="29"/>
  <c r="AZ560" i="29" s="1"/>
  <c r="AW560" i="29"/>
  <c r="E19095" i="25" l="1"/>
  <c r="F19095" i="25" s="1"/>
  <c r="E19083" i="25"/>
  <c r="F19083" i="25" s="1"/>
  <c r="E19078" i="25"/>
  <c r="F19078" i="25" s="1"/>
  <c r="AZ580" i="29"/>
  <c r="K17583" i="25"/>
  <c r="L17583" i="25"/>
  <c r="M17583" i="25"/>
  <c r="N17583" i="25"/>
  <c r="O17583" i="25"/>
  <c r="P17583" i="25"/>
  <c r="Q17583" i="25"/>
  <c r="R17583" i="25"/>
  <c r="S17583" i="25"/>
  <c r="T17583" i="25"/>
  <c r="U17583" i="25"/>
  <c r="V17583" i="25"/>
  <c r="W17583" i="25"/>
  <c r="X17583" i="25"/>
  <c r="Y17583" i="25"/>
  <c r="J17583" i="25"/>
  <c r="H17797" i="25"/>
  <c r="D17797" i="25" s="1"/>
  <c r="H17781" i="25"/>
  <c r="D17781" i="25" s="1"/>
  <c r="H17777" i="25"/>
  <c r="D17777" i="25" s="1"/>
  <c r="F19100" i="25" l="1"/>
  <c r="E19115" i="25" s="1"/>
  <c r="H17585" i="25"/>
  <c r="D17583" i="25" s="1"/>
  <c r="H16745" i="25"/>
  <c r="D16745" i="25" s="1"/>
  <c r="H17268" i="25"/>
  <c r="D17268" i="25" s="1"/>
  <c r="H17272" i="25"/>
  <c r="D17272" i="25" s="1"/>
  <c r="E19112" i="25" l="1"/>
  <c r="E19109" i="25"/>
  <c r="E19103" i="25"/>
  <c r="E19105" i="25"/>
  <c r="E19107" i="25"/>
  <c r="E19108" i="25"/>
  <c r="E19110" i="25"/>
  <c r="E19118" i="25"/>
  <c r="E19104" i="25"/>
  <c r="E19101" i="25"/>
  <c r="E19113" i="25"/>
  <c r="E19114" i="25"/>
  <c r="E19111" i="25"/>
  <c r="E19102" i="25"/>
  <c r="AQ580" i="29"/>
  <c r="E19116" i="25"/>
  <c r="E19117" i="25"/>
  <c r="E19106" i="25"/>
  <c r="C3953" i="33" l="1"/>
  <c r="C3855" i="33"/>
  <c r="C3761" i="33"/>
  <c r="C3714" i="33"/>
  <c r="C3665" i="33"/>
  <c r="C18770" i="25"/>
  <c r="D19061" i="25"/>
  <c r="H19061" i="25" s="1"/>
  <c r="F19061" i="25" s="1"/>
  <c r="C19065" i="25"/>
  <c r="C19064" i="25"/>
  <c r="H19064" i="25" s="1"/>
  <c r="H19063" i="25"/>
  <c r="C19062" i="25"/>
  <c r="H19062" i="25" s="1"/>
  <c r="AV579" i="29"/>
  <c r="AZ579" i="29" s="1"/>
  <c r="AR579" i="29"/>
  <c r="AS579" i="29" s="1"/>
  <c r="AG579" i="29"/>
  <c r="F19062" i="25" l="1"/>
  <c r="F19063" i="25" s="1"/>
  <c r="F19064" i="25" s="1"/>
  <c r="F19065" i="25" s="1"/>
  <c r="F19066" i="25" s="1"/>
  <c r="F19067" i="25" s="1"/>
  <c r="AN579" i="29" s="1"/>
  <c r="H19065" i="25"/>
  <c r="AW579" i="29"/>
  <c r="BG577" i="29"/>
  <c r="BG578" i="29"/>
  <c r="Y16674" i="25"/>
  <c r="H19037" i="25"/>
  <c r="H19036" i="25"/>
  <c r="D19036" i="25" s="1"/>
  <c r="E19036" i="25" s="1"/>
  <c r="F19036" i="25" s="1"/>
  <c r="H19035" i="25"/>
  <c r="D19035" i="25" s="1"/>
  <c r="E19035" i="25" s="1"/>
  <c r="F19035" i="25" s="1"/>
  <c r="H19034" i="25"/>
  <c r="H19033" i="25"/>
  <c r="D19033" i="25" s="1"/>
  <c r="E19033" i="25" s="1"/>
  <c r="F19033" i="25" s="1"/>
  <c r="H19032" i="25"/>
  <c r="D19032" i="25" s="1"/>
  <c r="E19032" i="25" s="1"/>
  <c r="F19032" i="25" s="1"/>
  <c r="H19031" i="25"/>
  <c r="D19031" i="25" s="1"/>
  <c r="H19030" i="25"/>
  <c r="D19030" i="25" s="1"/>
  <c r="E19030" i="25" s="1"/>
  <c r="F19030" i="25" s="1"/>
  <c r="H19029" i="25"/>
  <c r="H19028" i="25"/>
  <c r="D19028" i="25" s="1"/>
  <c r="E19028" i="25" s="1"/>
  <c r="F19028" i="25" s="1"/>
  <c r="H19027" i="25"/>
  <c r="D19027" i="25" s="1"/>
  <c r="E19027" i="25" s="1"/>
  <c r="F19027" i="25" s="1"/>
  <c r="H19026" i="25"/>
  <c r="D19026" i="25" s="1"/>
  <c r="E19026" i="25" s="1"/>
  <c r="F19026" i="25" s="1"/>
  <c r="H19025" i="25"/>
  <c r="D19025" i="25" s="1"/>
  <c r="E19025" i="25" s="1"/>
  <c r="F19025" i="25" s="1"/>
  <c r="H19024" i="25"/>
  <c r="D19024" i="25" s="1"/>
  <c r="E19024" i="25" s="1"/>
  <c r="F19024" i="25" s="1"/>
  <c r="H19023" i="25"/>
  <c r="D19023" i="25" s="1"/>
  <c r="E19023" i="25" s="1"/>
  <c r="F19023" i="25" s="1"/>
  <c r="H19022" i="25"/>
  <c r="D19022" i="25" s="1"/>
  <c r="E19022" i="25" s="1"/>
  <c r="F19022" i="25" s="1"/>
  <c r="H19021" i="25"/>
  <c r="D19021" i="25" s="1"/>
  <c r="E19021" i="25" s="1"/>
  <c r="F19021" i="25" s="1"/>
  <c r="H19020" i="25"/>
  <c r="D19020" i="25" s="1"/>
  <c r="E19020" i="25" s="1"/>
  <c r="F19020" i="25" s="1"/>
  <c r="H19019" i="25"/>
  <c r="D19019" i="25" s="1"/>
  <c r="E19019" i="25" s="1"/>
  <c r="F19019" i="25" s="1"/>
  <c r="H19018" i="25"/>
  <c r="D19018" i="25" s="1"/>
  <c r="E19018" i="25" s="1"/>
  <c r="F19018" i="25" s="1"/>
  <c r="H19017" i="25"/>
  <c r="D19017" i="25" s="1"/>
  <c r="H19016" i="25"/>
  <c r="D19016" i="25" s="1"/>
  <c r="H19015" i="25"/>
  <c r="D19015" i="25" s="1"/>
  <c r="E19015" i="25" s="1"/>
  <c r="F19015" i="25" s="1"/>
  <c r="H19014" i="25"/>
  <c r="D19014" i="25" s="1"/>
  <c r="E19014" i="25" s="1"/>
  <c r="F19014" i="25" s="1"/>
  <c r="H19013" i="25"/>
  <c r="D19013" i="25" s="1"/>
  <c r="H19012" i="25"/>
  <c r="D19012" i="25" s="1"/>
  <c r="E19012" i="25" s="1"/>
  <c r="F19012" i="25" s="1"/>
  <c r="H19011" i="25"/>
  <c r="D19011" i="25" s="1"/>
  <c r="E19011" i="25" s="1"/>
  <c r="F19011" i="25" s="1"/>
  <c r="H19010" i="25"/>
  <c r="D19010" i="25" s="1"/>
  <c r="E19010" i="25" s="1"/>
  <c r="F19010" i="25" s="1"/>
  <c r="H19009" i="25"/>
  <c r="D19009" i="25" s="1"/>
  <c r="H19008" i="25"/>
  <c r="D19008" i="25" s="1"/>
  <c r="E19008" i="25" s="1"/>
  <c r="F19008" i="25" s="1"/>
  <c r="AR578" i="29"/>
  <c r="AS578" i="29" s="1"/>
  <c r="AG578" i="29"/>
  <c r="AV578" i="29"/>
  <c r="AW578" i="29" s="1"/>
  <c r="AG510" i="29"/>
  <c r="AG508" i="29"/>
  <c r="AG505" i="29"/>
  <c r="AG500" i="29"/>
  <c r="AN500" i="29"/>
  <c r="AP500" i="29"/>
  <c r="AQ500" i="29"/>
  <c r="AR500" i="29"/>
  <c r="AS500" i="29" s="1"/>
  <c r="AV500" i="29"/>
  <c r="AZ500" i="29" s="1"/>
  <c r="C17376" i="25"/>
  <c r="C16973" i="25"/>
  <c r="C17373" i="25"/>
  <c r="AQ579" i="29" l="1"/>
  <c r="AP579" i="29"/>
  <c r="D19029" i="25"/>
  <c r="E19029" i="25" s="1"/>
  <c r="F19029" i="25" s="1"/>
  <c r="X16674" i="25"/>
  <c r="E19031" i="25"/>
  <c r="F19031" i="25" s="1"/>
  <c r="E19013" i="25"/>
  <c r="F19013" i="25" s="1"/>
  <c r="D19034" i="25"/>
  <c r="E19034" i="25" s="1"/>
  <c r="F19034" i="25" s="1"/>
  <c r="D19037" i="25"/>
  <c r="E19037" i="25" s="1"/>
  <c r="F19037" i="25" s="1"/>
  <c r="E19016" i="25"/>
  <c r="F19016" i="25" s="1"/>
  <c r="E19009" i="25"/>
  <c r="F19009" i="25" s="1"/>
  <c r="E19017" i="25"/>
  <c r="F19017" i="25" s="1"/>
  <c r="AZ578" i="29"/>
  <c r="AW500" i="29"/>
  <c r="H18990" i="25"/>
  <c r="D18990" i="25" s="1"/>
  <c r="H18989" i="25"/>
  <c r="D18989" i="25" s="1"/>
  <c r="E18989" i="25" s="1"/>
  <c r="F18989" i="25" s="1"/>
  <c r="H18988" i="25"/>
  <c r="D18988" i="25" s="1"/>
  <c r="E18988" i="25" s="1"/>
  <c r="F18988" i="25" s="1"/>
  <c r="H18987" i="25"/>
  <c r="D18987" i="25" s="1"/>
  <c r="E18987" i="25" s="1"/>
  <c r="F18987" i="25" s="1"/>
  <c r="H18986" i="25"/>
  <c r="D18986" i="25" s="1"/>
  <c r="E18986" i="25" s="1"/>
  <c r="F18986" i="25" s="1"/>
  <c r="H18985" i="25"/>
  <c r="D18985" i="25" s="1"/>
  <c r="E18985" i="25" s="1"/>
  <c r="F18985" i="25" s="1"/>
  <c r="H18984" i="25"/>
  <c r="D18984" i="25" s="1"/>
  <c r="E18984" i="25" s="1"/>
  <c r="F18984" i="25" s="1"/>
  <c r="H18983" i="25"/>
  <c r="D18983" i="25" s="1"/>
  <c r="E18983" i="25" s="1"/>
  <c r="F18983" i="25" s="1"/>
  <c r="H18982" i="25"/>
  <c r="D18982" i="25" s="1"/>
  <c r="E18982" i="25" s="1"/>
  <c r="F18982" i="25" s="1"/>
  <c r="H18981" i="25"/>
  <c r="D18981" i="25" s="1"/>
  <c r="E18981" i="25" s="1"/>
  <c r="F18981" i="25" s="1"/>
  <c r="H18980" i="25"/>
  <c r="D18980" i="25" s="1"/>
  <c r="E18980" i="25" s="1"/>
  <c r="F18980" i="25" s="1"/>
  <c r="H18979" i="25"/>
  <c r="D18979" i="25" s="1"/>
  <c r="E18979" i="25" s="1"/>
  <c r="F18979" i="25" s="1"/>
  <c r="H18978" i="25"/>
  <c r="D18978" i="25" s="1"/>
  <c r="E18978" i="25" s="1"/>
  <c r="F18978" i="25" s="1"/>
  <c r="H18977" i="25"/>
  <c r="D18977" i="25" s="1"/>
  <c r="E18977" i="25" s="1"/>
  <c r="F18977" i="25" s="1"/>
  <c r="H18976" i="25"/>
  <c r="D18976" i="25" s="1"/>
  <c r="E18976" i="25" s="1"/>
  <c r="F18976" i="25" s="1"/>
  <c r="H18975" i="25"/>
  <c r="D18975" i="25" s="1"/>
  <c r="H18974" i="25"/>
  <c r="D18974" i="25" s="1"/>
  <c r="H18973" i="25"/>
  <c r="D18973" i="25" s="1"/>
  <c r="E18973" i="25" s="1"/>
  <c r="F18973" i="25" s="1"/>
  <c r="H18972" i="25"/>
  <c r="D18972" i="25" s="1"/>
  <c r="E18972" i="25" s="1"/>
  <c r="F18972" i="25" s="1"/>
  <c r="H18971" i="25"/>
  <c r="D18971" i="25" s="1"/>
  <c r="E18971" i="25" s="1"/>
  <c r="F18971" i="25" s="1"/>
  <c r="H18970" i="25"/>
  <c r="D18970" i="25" s="1"/>
  <c r="E18970" i="25" s="1"/>
  <c r="F18970" i="25" s="1"/>
  <c r="H18969" i="25"/>
  <c r="D18969" i="25" s="1"/>
  <c r="E18969" i="25" s="1"/>
  <c r="F18969" i="25" s="1"/>
  <c r="H18968" i="25"/>
  <c r="D18968" i="25" s="1"/>
  <c r="E18968" i="25" s="1"/>
  <c r="F18968" i="25" s="1"/>
  <c r="H18967" i="25"/>
  <c r="D18967" i="25" s="1"/>
  <c r="H18966" i="25"/>
  <c r="D18966" i="25" s="1"/>
  <c r="E18966" i="25" s="1"/>
  <c r="F18966" i="25" s="1"/>
  <c r="H18965" i="25"/>
  <c r="D18965" i="25" s="1"/>
  <c r="E18965" i="25" s="1"/>
  <c r="F18965" i="25" s="1"/>
  <c r="H18964" i="25"/>
  <c r="D18964" i="25" s="1"/>
  <c r="E18964" i="25" s="1"/>
  <c r="F18964" i="25" s="1"/>
  <c r="H18963" i="25"/>
  <c r="D18963" i="25" s="1"/>
  <c r="E18963" i="25" s="1"/>
  <c r="F18963" i="25" s="1"/>
  <c r="H18962" i="25"/>
  <c r="D18962" i="25" s="1"/>
  <c r="E18962" i="25" s="1"/>
  <c r="F18962" i="25" s="1"/>
  <c r="I18961" i="25"/>
  <c r="H18961" i="25"/>
  <c r="D18961" i="25" s="1"/>
  <c r="E18961" i="25" s="1"/>
  <c r="F18961" i="25" s="1"/>
  <c r="AV577" i="29"/>
  <c r="AZ577" i="29" s="1"/>
  <c r="AR577" i="29"/>
  <c r="AS577" i="29" s="1"/>
  <c r="AG577" i="29"/>
  <c r="H16676" i="25" l="1"/>
  <c r="D16674" i="25" s="1"/>
  <c r="F19038" i="25"/>
  <c r="E19044" i="25" s="1"/>
  <c r="E18990" i="25"/>
  <c r="F18990" i="25" s="1"/>
  <c r="E18974" i="25"/>
  <c r="F18974" i="25" s="1"/>
  <c r="E18975" i="25"/>
  <c r="F18975" i="25" s="1"/>
  <c r="E18967" i="25"/>
  <c r="F18967" i="25" s="1"/>
  <c r="AW577" i="29"/>
  <c r="E19047" i="25" l="1"/>
  <c r="E19056" i="25"/>
  <c r="E19052" i="25"/>
  <c r="AQ578" i="29"/>
  <c r="E19046" i="25"/>
  <c r="E19039" i="25"/>
  <c r="E19048" i="25"/>
  <c r="E19040" i="25"/>
  <c r="E19050" i="25"/>
  <c r="E19055" i="25"/>
  <c r="E19053" i="25"/>
  <c r="E19042" i="25"/>
  <c r="E19041" i="25"/>
  <c r="E19045" i="25"/>
  <c r="E19054" i="25"/>
  <c r="E19051" i="25"/>
  <c r="E19043" i="25"/>
  <c r="E19049" i="25"/>
  <c r="F18991" i="25"/>
  <c r="AQ577" i="29" s="1"/>
  <c r="E18996" i="25" l="1"/>
  <c r="E18997" i="25"/>
  <c r="E19002" i="25"/>
  <c r="E18995" i="25"/>
  <c r="E18992" i="25"/>
  <c r="E19000" i="25"/>
  <c r="E18993" i="25"/>
  <c r="E18998" i="25"/>
  <c r="E19001" i="25"/>
  <c r="E18999" i="25"/>
  <c r="E19003" i="25"/>
  <c r="E18994" i="25"/>
  <c r="C18925" i="25"/>
  <c r="C18670" i="25"/>
  <c r="C18501" i="25"/>
  <c r="C17162" i="25"/>
  <c r="C16977" i="25"/>
  <c r="H17044" i="25"/>
  <c r="D17044" i="25" s="1"/>
  <c r="BG575" i="29" l="1"/>
  <c r="BG576" i="29"/>
  <c r="I16178" i="25"/>
  <c r="C2542" i="33"/>
  <c r="C2495" i="33"/>
  <c r="C2448" i="33"/>
  <c r="C2401" i="33"/>
  <c r="H18909" i="25"/>
  <c r="D18909" i="25" s="1"/>
  <c r="H18910" i="25"/>
  <c r="D18910" i="25" s="1"/>
  <c r="E18910" i="25" s="1"/>
  <c r="F18910" i="25" s="1"/>
  <c r="H18911" i="25"/>
  <c r="D18911" i="25" s="1"/>
  <c r="E18911" i="25" s="1"/>
  <c r="F18911" i="25" s="1"/>
  <c r="H18912" i="25"/>
  <c r="D18912" i="25" s="1"/>
  <c r="E18912" i="25" s="1"/>
  <c r="F18912" i="25" s="1"/>
  <c r="H18913" i="25"/>
  <c r="D18913" i="25" s="1"/>
  <c r="H18914" i="25"/>
  <c r="D18914" i="25" s="1"/>
  <c r="H18915" i="25"/>
  <c r="D18915" i="25" s="1"/>
  <c r="H18916" i="25"/>
  <c r="D18916" i="25" s="1"/>
  <c r="H18917" i="25"/>
  <c r="D18917" i="25" s="1"/>
  <c r="H18918" i="25"/>
  <c r="D18918" i="25" s="1"/>
  <c r="E18918" i="25" s="1"/>
  <c r="F18918" i="25" s="1"/>
  <c r="H18919" i="25"/>
  <c r="D18919" i="25" s="1"/>
  <c r="E18919" i="25" s="1"/>
  <c r="F18919" i="25" s="1"/>
  <c r="H18920" i="25"/>
  <c r="D18920" i="25" s="1"/>
  <c r="E18920" i="25" s="1"/>
  <c r="F18920" i="25" s="1"/>
  <c r="H18921" i="25"/>
  <c r="D18921" i="25" s="1"/>
  <c r="H18922" i="25"/>
  <c r="D18922" i="25" s="1"/>
  <c r="H18923" i="25"/>
  <c r="D18923" i="25" s="1"/>
  <c r="H18924" i="25"/>
  <c r="D18924" i="25" s="1"/>
  <c r="H18925" i="25"/>
  <c r="D18925" i="25" s="1"/>
  <c r="E18925" i="25" s="1"/>
  <c r="F18925" i="25" s="1"/>
  <c r="H18926" i="25"/>
  <c r="D18926" i="25" s="1"/>
  <c r="E18926" i="25" s="1"/>
  <c r="F18926" i="25" s="1"/>
  <c r="H18927" i="25"/>
  <c r="D18927" i="25" s="1"/>
  <c r="E18927" i="25" s="1"/>
  <c r="F18927" i="25" s="1"/>
  <c r="H18928" i="25"/>
  <c r="D18928" i="25" s="1"/>
  <c r="E18928" i="25" s="1"/>
  <c r="F18928" i="25" s="1"/>
  <c r="H18929" i="25"/>
  <c r="D18929" i="25" s="1"/>
  <c r="E18929" i="25" s="1"/>
  <c r="F18929" i="25" s="1"/>
  <c r="H18930" i="25"/>
  <c r="D18930" i="25" s="1"/>
  <c r="E18930" i="25" s="1"/>
  <c r="F18930" i="25" s="1"/>
  <c r="H18931" i="25"/>
  <c r="D18931" i="25" s="1"/>
  <c r="E18931" i="25" s="1"/>
  <c r="F18931" i="25" s="1"/>
  <c r="H18932" i="25"/>
  <c r="D18932" i="25" s="1"/>
  <c r="H18933" i="25"/>
  <c r="D18933" i="25" s="1"/>
  <c r="E18933" i="25" s="1"/>
  <c r="F18933" i="25" s="1"/>
  <c r="H18934" i="25"/>
  <c r="D18934" i="25" s="1"/>
  <c r="E18934" i="25" s="1"/>
  <c r="F18934" i="25" s="1"/>
  <c r="H18935" i="25"/>
  <c r="D18935" i="25" s="1"/>
  <c r="E18935" i="25" s="1"/>
  <c r="F18935" i="25" s="1"/>
  <c r="H18936" i="25"/>
  <c r="D18936" i="25" s="1"/>
  <c r="E18936" i="25" s="1"/>
  <c r="F18936" i="25" s="1"/>
  <c r="H18937" i="25"/>
  <c r="D18937" i="25" s="1"/>
  <c r="E18937" i="25" s="1"/>
  <c r="F18937" i="25" s="1"/>
  <c r="H18908" i="25"/>
  <c r="D18908" i="25" s="1"/>
  <c r="AO2" i="32"/>
  <c r="AG501" i="29"/>
  <c r="AG498" i="29"/>
  <c r="AG497" i="29"/>
  <c r="AR499" i="29"/>
  <c r="E18916" i="25" l="1"/>
  <c r="F18916" i="25" s="1"/>
  <c r="E18924" i="25"/>
  <c r="F18924" i="25" s="1"/>
  <c r="E18932" i="25"/>
  <c r="F18932" i="25" s="1"/>
  <c r="E18913" i="25"/>
  <c r="F18913" i="25" s="1"/>
  <c r="E18921" i="25"/>
  <c r="F18921" i="25" s="1"/>
  <c r="E18914" i="25"/>
  <c r="F18914" i="25" s="1"/>
  <c r="E18922" i="25"/>
  <c r="F18922" i="25" s="1"/>
  <c r="E18915" i="25"/>
  <c r="F18915" i="25" s="1"/>
  <c r="E18923" i="25"/>
  <c r="F18923" i="25" s="1"/>
  <c r="E18909" i="25"/>
  <c r="F18909" i="25" s="1"/>
  <c r="E18917" i="25"/>
  <c r="F18917" i="25" s="1"/>
  <c r="E18908" i="25"/>
  <c r="F18908" i="25" s="1"/>
  <c r="C3905" i="33"/>
  <c r="AR576" i="29"/>
  <c r="AV576" i="29"/>
  <c r="AZ576" i="29" s="1"/>
  <c r="AG576" i="29"/>
  <c r="H18901" i="25"/>
  <c r="C18903" i="25"/>
  <c r="C18902" i="25"/>
  <c r="H18902" i="25" s="1"/>
  <c r="C18900" i="25"/>
  <c r="H18900" i="25" s="1"/>
  <c r="D18899" i="25"/>
  <c r="H18899" i="25" s="1"/>
  <c r="F18899" i="25" s="1"/>
  <c r="F18900" i="25" s="1"/>
  <c r="F18901" i="25" s="1"/>
  <c r="F18902" i="25" s="1"/>
  <c r="F18903" i="25" s="1"/>
  <c r="F18904" i="25" s="1"/>
  <c r="F18905" i="25" s="1"/>
  <c r="AN575" i="29" s="1"/>
  <c r="AV575" i="29"/>
  <c r="AZ575" i="29" s="1"/>
  <c r="AR575" i="29"/>
  <c r="AS575" i="29" s="1"/>
  <c r="AG575" i="29"/>
  <c r="E17622" i="25"/>
  <c r="F18938" i="25" l="1"/>
  <c r="H18903" i="25"/>
  <c r="AW576" i="29"/>
  <c r="AW575" i="29"/>
  <c r="AQ576" i="29" l="1"/>
  <c r="E18950" i="25"/>
  <c r="E18942" i="25"/>
  <c r="E18949" i="25"/>
  <c r="E18941" i="25"/>
  <c r="E18956" i="25"/>
  <c r="E18948" i="25"/>
  <c r="E18940" i="25"/>
  <c r="E18955" i="25"/>
  <c r="E18947" i="25"/>
  <c r="E18939" i="25"/>
  <c r="E18954" i="25"/>
  <c r="E18946" i="25"/>
  <c r="E18953" i="25"/>
  <c r="E18945" i="25"/>
  <c r="E18952" i="25"/>
  <c r="E18944" i="25"/>
  <c r="E18951" i="25"/>
  <c r="E18943" i="25"/>
  <c r="AQ575" i="29"/>
  <c r="AP575" i="29"/>
  <c r="AG496" i="29"/>
  <c r="AG494" i="29"/>
  <c r="BG491" i="29"/>
  <c r="E19057" i="25" l="1"/>
  <c r="F19057" i="25" s="1"/>
  <c r="AF44" i="32"/>
  <c r="F19058" i="25" l="1"/>
  <c r="AN578" i="29" s="1"/>
  <c r="AP578" i="29"/>
  <c r="BG574" i="29"/>
  <c r="C3910" i="33"/>
  <c r="C3813" i="33"/>
  <c r="C18674" i="25"/>
  <c r="C18505" i="25"/>
  <c r="AV39" i="32"/>
  <c r="AZ39" i="32" s="1"/>
  <c r="AR39" i="32"/>
  <c r="AS39" i="32" s="1"/>
  <c r="AQ39" i="32"/>
  <c r="AP39" i="32"/>
  <c r="AN39" i="32"/>
  <c r="AF39" i="32"/>
  <c r="C18894" i="25"/>
  <c r="C18893" i="25"/>
  <c r="H18893" i="25" s="1"/>
  <c r="C18892" i="25"/>
  <c r="H18892" i="25" s="1"/>
  <c r="C18891" i="25"/>
  <c r="H18891" i="25" s="1"/>
  <c r="D18890" i="25"/>
  <c r="H18890" i="25" s="1"/>
  <c r="F18890" i="25" s="1"/>
  <c r="AV574" i="29"/>
  <c r="AZ574" i="29" s="1"/>
  <c r="AR574" i="29"/>
  <c r="AS574" i="29" s="1"/>
  <c r="AG574" i="29"/>
  <c r="AW39" i="32" l="1"/>
  <c r="H18894" i="25"/>
  <c r="F18891" i="25"/>
  <c r="F18892" i="25" s="1"/>
  <c r="F18893" i="25" s="1"/>
  <c r="F18894" i="25" s="1"/>
  <c r="F18895" i="25" s="1"/>
  <c r="F18896" i="25" s="1"/>
  <c r="AN574" i="29" s="1"/>
  <c r="AW574" i="29"/>
  <c r="AQ574" i="29" l="1"/>
  <c r="AP574" i="29"/>
  <c r="BF490" i="29"/>
  <c r="BE490" i="29"/>
  <c r="AG540" i="29"/>
  <c r="AG490" i="29"/>
  <c r="AN490" i="29"/>
  <c r="AP490" i="29"/>
  <c r="AQ490" i="29"/>
  <c r="AR490" i="29"/>
  <c r="AV490" i="29"/>
  <c r="AW490" i="29" s="1"/>
  <c r="AZ490" i="29" l="1"/>
  <c r="BG490" i="29"/>
  <c r="BG573" i="29"/>
  <c r="D18881" i="25" l="1"/>
  <c r="H18881" i="25" s="1"/>
  <c r="F18881" i="25" s="1"/>
  <c r="C18885" i="25"/>
  <c r="C18884" i="25"/>
  <c r="H18884" i="25" s="1"/>
  <c r="C18883" i="25"/>
  <c r="H18883" i="25" s="1"/>
  <c r="C18882" i="25"/>
  <c r="H18882" i="25" s="1"/>
  <c r="AV573" i="29"/>
  <c r="AZ573" i="29" s="1"/>
  <c r="AR573" i="29"/>
  <c r="AS573" i="29" s="1"/>
  <c r="AG573" i="29"/>
  <c r="BF484" i="29"/>
  <c r="BF483" i="29"/>
  <c r="BG483" i="29" s="1"/>
  <c r="BE483" i="29"/>
  <c r="AG483" i="29"/>
  <c r="AG484" i="29"/>
  <c r="F18882" i="25" l="1"/>
  <c r="F18883" i="25" s="1"/>
  <c r="F18884" i="25" s="1"/>
  <c r="F18885" i="25" s="1"/>
  <c r="F18886" i="25" s="1"/>
  <c r="H18885" i="25"/>
  <c r="AW573" i="29"/>
  <c r="AR503" i="29"/>
  <c r="BG484" i="29"/>
  <c r="BG512" i="29"/>
  <c r="BG514" i="29"/>
  <c r="BG515" i="29"/>
  <c r="BG516" i="29"/>
  <c r="BG519" i="29"/>
  <c r="BG520" i="29"/>
  <c r="BG522" i="29"/>
  <c r="BG523" i="29"/>
  <c r="BG528" i="29"/>
  <c r="BG530" i="29"/>
  <c r="BG531" i="29"/>
  <c r="BG533" i="29"/>
  <c r="BG535" i="29"/>
  <c r="BG537" i="29"/>
  <c r="BG538" i="29"/>
  <c r="BG539" i="29"/>
  <c r="BG541" i="29"/>
  <c r="BG543" i="29"/>
  <c r="BG544" i="29"/>
  <c r="BG546" i="29"/>
  <c r="BG547" i="29"/>
  <c r="BG548" i="29"/>
  <c r="BG549" i="29"/>
  <c r="BG551" i="29"/>
  <c r="BG552" i="29"/>
  <c r="BG554" i="29"/>
  <c r="BG556" i="29"/>
  <c r="BG557" i="29"/>
  <c r="BG559" i="29"/>
  <c r="BG561" i="29"/>
  <c r="BG562" i="29"/>
  <c r="BG563" i="29"/>
  <c r="BG564" i="29"/>
  <c r="BG567" i="29"/>
  <c r="BG568" i="29"/>
  <c r="BG569" i="29"/>
  <c r="BG570" i="29"/>
  <c r="BG571" i="29"/>
  <c r="BG572" i="29"/>
  <c r="C3631" i="33"/>
  <c r="C3584" i="33"/>
  <c r="C18624" i="25"/>
  <c r="C18560" i="25"/>
  <c r="C17501" i="25"/>
  <c r="BG493" i="29"/>
  <c r="BG494" i="29"/>
  <c r="BG496" i="29"/>
  <c r="BG513" i="29"/>
  <c r="BG517" i="29"/>
  <c r="BG518" i="29"/>
  <c r="BG521" i="29"/>
  <c r="BG526" i="29"/>
  <c r="BG529" i="29"/>
  <c r="BG534" i="29"/>
  <c r="BG545" i="29"/>
  <c r="BG550" i="29"/>
  <c r="BG558" i="29"/>
  <c r="BG565" i="29"/>
  <c r="BG566" i="29"/>
  <c r="BG542" i="29"/>
  <c r="F18887" i="25" l="1"/>
  <c r="AN573" i="29" s="1"/>
  <c r="AQ573" i="29"/>
  <c r="AP573" i="29"/>
  <c r="C18873" i="25" l="1"/>
  <c r="H18873" i="25" s="1"/>
  <c r="I18875" i="25"/>
  <c r="I18874" i="25"/>
  <c r="I18873" i="25"/>
  <c r="C18876" i="25"/>
  <c r="C18875" i="25"/>
  <c r="H18875" i="25" s="1"/>
  <c r="C18874" i="25"/>
  <c r="H18874" i="25" s="1"/>
  <c r="D18872" i="25"/>
  <c r="H18872" i="25" s="1"/>
  <c r="F18872" i="25" s="1"/>
  <c r="AV572" i="29"/>
  <c r="AW572" i="29" s="1"/>
  <c r="AR572" i="29"/>
  <c r="AS572" i="29" s="1"/>
  <c r="AG572" i="29"/>
  <c r="F18873" i="25" l="1"/>
  <c r="F18874" i="25" s="1"/>
  <c r="F18875" i="25" s="1"/>
  <c r="F18876" i="25" s="1"/>
  <c r="F18877" i="25" s="1"/>
  <c r="H18876" i="25"/>
  <c r="AZ572" i="29"/>
  <c r="AG536" i="29"/>
  <c r="AN536" i="29"/>
  <c r="AP536" i="29"/>
  <c r="AQ536" i="29"/>
  <c r="AS536" i="29"/>
  <c r="AV536" i="29"/>
  <c r="AW536" i="29" s="1"/>
  <c r="AG461" i="29"/>
  <c r="F18878" i="25" l="1"/>
  <c r="AN572" i="29" s="1"/>
  <c r="AQ572" i="29"/>
  <c r="AP572" i="29"/>
  <c r="AZ536" i="29"/>
  <c r="C3244" i="33"/>
  <c r="C3197" i="33"/>
  <c r="C3150" i="33"/>
  <c r="C3103" i="33"/>
  <c r="C3056" i="33"/>
  <c r="C17493" i="25"/>
  <c r="C17379" i="25"/>
  <c r="C16919" i="25"/>
  <c r="H18848" i="25" l="1"/>
  <c r="D18848" i="25" s="1"/>
  <c r="E18848" i="25" s="1"/>
  <c r="F18848" i="25" s="1"/>
  <c r="H18847" i="25"/>
  <c r="D18847" i="25" s="1"/>
  <c r="E18847" i="25" s="1"/>
  <c r="F18847" i="25" s="1"/>
  <c r="H18846" i="25"/>
  <c r="D18846" i="25" s="1"/>
  <c r="E18846" i="25" s="1"/>
  <c r="F18846" i="25" s="1"/>
  <c r="H18845" i="25"/>
  <c r="D18845" i="25" s="1"/>
  <c r="H18844" i="25"/>
  <c r="D18844" i="25" s="1"/>
  <c r="E18844" i="25" s="1"/>
  <c r="F18844" i="25" s="1"/>
  <c r="H18843" i="25"/>
  <c r="D18843" i="25" s="1"/>
  <c r="E18843" i="25" s="1"/>
  <c r="F18843" i="25" s="1"/>
  <c r="H18842" i="25"/>
  <c r="D18842" i="25" s="1"/>
  <c r="H18841" i="25"/>
  <c r="D18841" i="25" s="1"/>
  <c r="E18841" i="25" s="1"/>
  <c r="F18841" i="25" s="1"/>
  <c r="H18840" i="25"/>
  <c r="D18840" i="25" s="1"/>
  <c r="E18840" i="25" s="1"/>
  <c r="F18840" i="25" s="1"/>
  <c r="H18839" i="25"/>
  <c r="D18839" i="25" s="1"/>
  <c r="H18838" i="25"/>
  <c r="D18838" i="25" s="1"/>
  <c r="E18838" i="25" s="1"/>
  <c r="F18838" i="25" s="1"/>
  <c r="H18837" i="25"/>
  <c r="D18837" i="25" s="1"/>
  <c r="H18836" i="25"/>
  <c r="D18836" i="25" s="1"/>
  <c r="E18836" i="25" s="1"/>
  <c r="F18836" i="25" s="1"/>
  <c r="H18835" i="25"/>
  <c r="D18835" i="25" s="1"/>
  <c r="E18835" i="25" s="1"/>
  <c r="F18835" i="25" s="1"/>
  <c r="H18834" i="25"/>
  <c r="D18834" i="25" s="1"/>
  <c r="E18834" i="25" s="1"/>
  <c r="F18834" i="25" s="1"/>
  <c r="H18833" i="25"/>
  <c r="D18833" i="25" s="1"/>
  <c r="E18833" i="25" s="1"/>
  <c r="F18833" i="25" s="1"/>
  <c r="H18832" i="25"/>
  <c r="D18832" i="25" s="1"/>
  <c r="E18832" i="25" s="1"/>
  <c r="F18832" i="25" s="1"/>
  <c r="H18831" i="25"/>
  <c r="D18831" i="25" s="1"/>
  <c r="E18831" i="25" s="1"/>
  <c r="F18831" i="25" s="1"/>
  <c r="H18830" i="25"/>
  <c r="D18830" i="25" s="1"/>
  <c r="E18830" i="25" s="1"/>
  <c r="F18830" i="25" s="1"/>
  <c r="H18829" i="25"/>
  <c r="D18829" i="25" s="1"/>
  <c r="E18829" i="25" s="1"/>
  <c r="F18829" i="25" s="1"/>
  <c r="H18828" i="25"/>
  <c r="D18828" i="25" s="1"/>
  <c r="E18828" i="25" s="1"/>
  <c r="F18828" i="25" s="1"/>
  <c r="H18827" i="25"/>
  <c r="D18827" i="25" s="1"/>
  <c r="E18827" i="25" s="1"/>
  <c r="F18827" i="25" s="1"/>
  <c r="H18826" i="25"/>
  <c r="D18826" i="25" s="1"/>
  <c r="E18826" i="25" s="1"/>
  <c r="F18826" i="25" s="1"/>
  <c r="H18825" i="25"/>
  <c r="D18825" i="25" s="1"/>
  <c r="E18825" i="25" s="1"/>
  <c r="F18825" i="25" s="1"/>
  <c r="H18824" i="25"/>
  <c r="D18824" i="25" s="1"/>
  <c r="E18824" i="25" s="1"/>
  <c r="F18824" i="25" s="1"/>
  <c r="H18823" i="25"/>
  <c r="D18823" i="25" s="1"/>
  <c r="E18823" i="25" s="1"/>
  <c r="F18823" i="25" s="1"/>
  <c r="H18822" i="25"/>
  <c r="D18822" i="25" s="1"/>
  <c r="E18822" i="25" s="1"/>
  <c r="F18822" i="25" s="1"/>
  <c r="H18821" i="25"/>
  <c r="D18821" i="25" s="1"/>
  <c r="E18821" i="25" s="1"/>
  <c r="F18821" i="25" s="1"/>
  <c r="H18820" i="25"/>
  <c r="D18820" i="25" s="1"/>
  <c r="E18820" i="25" s="1"/>
  <c r="F18820" i="25" s="1"/>
  <c r="I18819" i="25"/>
  <c r="H18819" i="25"/>
  <c r="D18819" i="25" s="1"/>
  <c r="E18819" i="25" s="1"/>
  <c r="F18819" i="25" s="1"/>
  <c r="E18845" i="25" l="1"/>
  <c r="F18845" i="25" s="1"/>
  <c r="E18842" i="25"/>
  <c r="F18842" i="25" s="1"/>
  <c r="E18839" i="25"/>
  <c r="F18839" i="25" s="1"/>
  <c r="E18837" i="25"/>
  <c r="F18837" i="25" s="1"/>
  <c r="AG571" i="29"/>
  <c r="AR571" i="29"/>
  <c r="AV571" i="29"/>
  <c r="AW571" i="29" s="1"/>
  <c r="C4046" i="33"/>
  <c r="C3996" i="33"/>
  <c r="C3946" i="33"/>
  <c r="C3847" i="33"/>
  <c r="C3753" i="33"/>
  <c r="C3706" i="33"/>
  <c r="C3658" i="33"/>
  <c r="C3515" i="33"/>
  <c r="C3468" i="33"/>
  <c r="C3424" i="33"/>
  <c r="C3377" i="33"/>
  <c r="C3330" i="33"/>
  <c r="C3283" i="33"/>
  <c r="C2996" i="33"/>
  <c r="C2947" i="33"/>
  <c r="C2902" i="33"/>
  <c r="C2853" i="33"/>
  <c r="C2807" i="33"/>
  <c r="C2760" i="33"/>
  <c r="C2713" i="33"/>
  <c r="C2667" i="33"/>
  <c r="C2620" i="33"/>
  <c r="C2574" i="33"/>
  <c r="C2526" i="33"/>
  <c r="C2479" i="33"/>
  <c r="C2432" i="33"/>
  <c r="C2385" i="33"/>
  <c r="C18763" i="25"/>
  <c r="C18710" i="25"/>
  <c r="C18432" i="25"/>
  <c r="C18379" i="25"/>
  <c r="C18318" i="25"/>
  <c r="C18258" i="25"/>
  <c r="C18200" i="25"/>
  <c r="C18145" i="25"/>
  <c r="C18079" i="25"/>
  <c r="C18018" i="25"/>
  <c r="C17958" i="25"/>
  <c r="C17885" i="25"/>
  <c r="C17841" i="25"/>
  <c r="C17782" i="25"/>
  <c r="C17530" i="25"/>
  <c r="C17326" i="25"/>
  <c r="C15686" i="25"/>
  <c r="C13447" i="25"/>
  <c r="F18849" i="25" l="1"/>
  <c r="AZ571" i="29"/>
  <c r="E18858" i="25" l="1"/>
  <c r="E18864" i="25"/>
  <c r="E18856" i="25"/>
  <c r="E18862" i="25"/>
  <c r="E18863" i="25"/>
  <c r="E18850" i="25"/>
  <c r="E18867" i="25"/>
  <c r="E18860" i="25"/>
  <c r="E18852" i="25"/>
  <c r="E18865" i="25"/>
  <c r="E18855" i="25"/>
  <c r="E18851" i="25"/>
  <c r="AQ571" i="29"/>
  <c r="E18861" i="25"/>
  <c r="E18859" i="25"/>
  <c r="E18854" i="25"/>
  <c r="E18857" i="25"/>
  <c r="E18853" i="25"/>
  <c r="E18866" i="25"/>
  <c r="E19119" i="25" l="1"/>
  <c r="E19004" i="25"/>
  <c r="E18868" i="25"/>
  <c r="I18820" i="25" s="1"/>
  <c r="I18813" i="25"/>
  <c r="I18812" i="25"/>
  <c r="I18811" i="25"/>
  <c r="C18814" i="25"/>
  <c r="C18813" i="25"/>
  <c r="H18813" i="25" s="1"/>
  <c r="C18812" i="25"/>
  <c r="H18812" i="25" s="1"/>
  <c r="C18811" i="25"/>
  <c r="H18811" i="25" s="1"/>
  <c r="D18810" i="25"/>
  <c r="H18810" i="25" s="1"/>
  <c r="AV570" i="29"/>
  <c r="AZ570" i="29" s="1"/>
  <c r="AR570" i="29"/>
  <c r="AS570" i="29" s="1"/>
  <c r="AG570" i="29"/>
  <c r="F19119" i="25" l="1"/>
  <c r="I19071" i="25"/>
  <c r="I18962" i="25"/>
  <c r="F19004" i="25"/>
  <c r="F18868" i="25"/>
  <c r="F18869" i="25" s="1"/>
  <c r="AN571" i="29" s="1"/>
  <c r="AW570" i="29"/>
  <c r="F19120" i="25" l="1"/>
  <c r="AN580" i="29" s="1"/>
  <c r="AP580" i="29"/>
  <c r="F19005" i="25"/>
  <c r="AN577" i="29" s="1"/>
  <c r="AP577" i="29"/>
  <c r="AP571" i="29"/>
  <c r="AG46" i="32" l="1"/>
  <c r="AG47" i="32"/>
  <c r="AG48" i="32"/>
  <c r="AG49" i="32"/>
  <c r="AG50" i="32"/>
  <c r="AG51" i="32"/>
  <c r="AG52" i="32"/>
  <c r="AG53" i="32"/>
  <c r="AG54" i="32"/>
  <c r="AG55" i="32"/>
  <c r="AG56" i="32"/>
  <c r="AG57" i="32"/>
  <c r="AG58" i="32"/>
  <c r="AG59" i="32"/>
  <c r="AG60" i="32"/>
  <c r="AG61" i="32"/>
  <c r="AG62" i="32"/>
  <c r="AG63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77" i="32"/>
  <c r="AG78" i="32"/>
  <c r="AG79" i="32"/>
  <c r="AG80" i="32"/>
  <c r="AG81" i="32"/>
  <c r="AG82" i="32"/>
  <c r="AG83" i="32"/>
  <c r="AG84" i="32"/>
  <c r="AG85" i="32"/>
  <c r="AG86" i="32"/>
  <c r="AG87" i="32"/>
  <c r="AG88" i="32"/>
  <c r="AG89" i="32"/>
  <c r="H18786" i="25" l="1"/>
  <c r="D18786" i="25" s="1"/>
  <c r="E18786" i="25" s="1"/>
  <c r="F18786" i="25" s="1"/>
  <c r="H18785" i="25"/>
  <c r="D18785" i="25" s="1"/>
  <c r="E18785" i="25" s="1"/>
  <c r="F18785" i="25" s="1"/>
  <c r="H18784" i="25"/>
  <c r="D18784" i="25" s="1"/>
  <c r="E18784" i="25" s="1"/>
  <c r="F18784" i="25" s="1"/>
  <c r="H18783" i="25"/>
  <c r="D18783" i="25" s="1"/>
  <c r="E18783" i="25" s="1"/>
  <c r="F18783" i="25" s="1"/>
  <c r="H18782" i="25"/>
  <c r="D18782" i="25" s="1"/>
  <c r="E18782" i="25" s="1"/>
  <c r="F18782" i="25" s="1"/>
  <c r="H18781" i="25"/>
  <c r="D18781" i="25" s="1"/>
  <c r="E18781" i="25" s="1"/>
  <c r="F18781" i="25" s="1"/>
  <c r="H18780" i="25"/>
  <c r="D18780" i="25" s="1"/>
  <c r="E18780" i="25" s="1"/>
  <c r="F18780" i="25" s="1"/>
  <c r="H18779" i="25"/>
  <c r="D18779" i="25" s="1"/>
  <c r="E18779" i="25" s="1"/>
  <c r="F18779" i="25" s="1"/>
  <c r="H18778" i="25"/>
  <c r="D18778" i="25" s="1"/>
  <c r="H18777" i="25"/>
  <c r="D18777" i="25" s="1"/>
  <c r="E18777" i="25" s="1"/>
  <c r="F18777" i="25" s="1"/>
  <c r="H18776" i="25"/>
  <c r="D18776" i="25" s="1"/>
  <c r="H18775" i="25"/>
  <c r="D18775" i="25" s="1"/>
  <c r="E18775" i="25" s="1"/>
  <c r="F18775" i="25" s="1"/>
  <c r="H18774" i="25"/>
  <c r="D18774" i="25" s="1"/>
  <c r="E18774" i="25" s="1"/>
  <c r="F18774" i="25" s="1"/>
  <c r="H18773" i="25"/>
  <c r="D18773" i="25" s="1"/>
  <c r="E18773" i="25" s="1"/>
  <c r="F18773" i="25" s="1"/>
  <c r="H18772" i="25"/>
  <c r="D18772" i="25" s="1"/>
  <c r="H18771" i="25"/>
  <c r="D18771" i="25" s="1"/>
  <c r="E18771" i="25" s="1"/>
  <c r="F18771" i="25" s="1"/>
  <c r="H18770" i="25"/>
  <c r="D18770" i="25" s="1"/>
  <c r="H18769" i="25"/>
  <c r="D18769" i="25" s="1"/>
  <c r="E18769" i="25" s="1"/>
  <c r="F18769" i="25" s="1"/>
  <c r="H18768" i="25"/>
  <c r="D18768" i="25" s="1"/>
  <c r="E18768" i="25" s="1"/>
  <c r="F18768" i="25" s="1"/>
  <c r="H18767" i="25"/>
  <c r="D18767" i="25" s="1"/>
  <c r="E18767" i="25" s="1"/>
  <c r="F18767" i="25" s="1"/>
  <c r="H18766" i="25"/>
  <c r="D18766" i="25" s="1"/>
  <c r="E18766" i="25" s="1"/>
  <c r="F18766" i="25" s="1"/>
  <c r="H18765" i="25"/>
  <c r="D18765" i="25" s="1"/>
  <c r="E18765" i="25" s="1"/>
  <c r="F18765" i="25" s="1"/>
  <c r="H18764" i="25"/>
  <c r="D18764" i="25" s="1"/>
  <c r="E18764" i="25" s="1"/>
  <c r="F18764" i="25" s="1"/>
  <c r="H18763" i="25"/>
  <c r="D18763" i="25" s="1"/>
  <c r="E18763" i="25" s="1"/>
  <c r="F18763" i="25" s="1"/>
  <c r="H18762" i="25"/>
  <c r="D18762" i="25" s="1"/>
  <c r="E18762" i="25" s="1"/>
  <c r="F18762" i="25" s="1"/>
  <c r="H18761" i="25"/>
  <c r="D18761" i="25" s="1"/>
  <c r="E18761" i="25" s="1"/>
  <c r="F18761" i="25" s="1"/>
  <c r="H18760" i="25"/>
  <c r="D18760" i="25" s="1"/>
  <c r="E18760" i="25" s="1"/>
  <c r="F18760" i="25" s="1"/>
  <c r="H18759" i="25"/>
  <c r="D18759" i="25" s="1"/>
  <c r="E18759" i="25" s="1"/>
  <c r="F18759" i="25" s="1"/>
  <c r="H18758" i="25"/>
  <c r="D18758" i="25" s="1"/>
  <c r="E18758" i="25" s="1"/>
  <c r="F18758" i="25" s="1"/>
  <c r="H18757" i="25"/>
  <c r="D18757" i="25" s="1"/>
  <c r="E18778" i="25" l="1"/>
  <c r="F18778" i="25" s="1"/>
  <c r="E18776" i="25"/>
  <c r="F18776" i="25" s="1"/>
  <c r="E18772" i="25"/>
  <c r="F18772" i="25" s="1"/>
  <c r="E18770" i="25"/>
  <c r="F18770" i="25" s="1"/>
  <c r="E18757" i="25"/>
  <c r="F18757" i="25" s="1"/>
  <c r="H18733" i="25"/>
  <c r="D18733" i="25" s="1"/>
  <c r="E18733" i="25" s="1"/>
  <c r="F18733" i="25" s="1"/>
  <c r="H18732" i="25"/>
  <c r="D18732" i="25" s="1"/>
  <c r="E18732" i="25" s="1"/>
  <c r="F18732" i="25" s="1"/>
  <c r="H18731" i="25"/>
  <c r="H18730" i="25"/>
  <c r="D18730" i="25" s="1"/>
  <c r="E18730" i="25" s="1"/>
  <c r="F18730" i="25" s="1"/>
  <c r="H18729" i="25"/>
  <c r="D18729" i="25" s="1"/>
  <c r="E18729" i="25" s="1"/>
  <c r="F18729" i="25" s="1"/>
  <c r="H18728" i="25"/>
  <c r="D18728" i="25" s="1"/>
  <c r="E18728" i="25" s="1"/>
  <c r="F18728" i="25" s="1"/>
  <c r="H18727" i="25"/>
  <c r="D18727" i="25" s="1"/>
  <c r="E18727" i="25" s="1"/>
  <c r="F18727" i="25" s="1"/>
  <c r="H18726" i="25"/>
  <c r="D18726" i="25" s="1"/>
  <c r="E18726" i="25" s="1"/>
  <c r="F18726" i="25" s="1"/>
  <c r="H18725" i="25"/>
  <c r="D18725" i="25" s="1"/>
  <c r="E18725" i="25" s="1"/>
  <c r="F18725" i="25" s="1"/>
  <c r="H18724" i="25"/>
  <c r="D18724" i="25" s="1"/>
  <c r="E18724" i="25" s="1"/>
  <c r="F18724" i="25" s="1"/>
  <c r="H18723" i="25"/>
  <c r="H18722" i="25"/>
  <c r="D18722" i="25" s="1"/>
  <c r="E18722" i="25" s="1"/>
  <c r="F18722" i="25" s="1"/>
  <c r="H18721" i="25"/>
  <c r="D18721" i="25" s="1"/>
  <c r="E18721" i="25" s="1"/>
  <c r="F18721" i="25" s="1"/>
  <c r="H18720" i="25"/>
  <c r="D18720" i="25" s="1"/>
  <c r="E18720" i="25" s="1"/>
  <c r="F18720" i="25" s="1"/>
  <c r="H18719" i="25"/>
  <c r="D18719" i="25" s="1"/>
  <c r="E18719" i="25" s="1"/>
  <c r="F18719" i="25" s="1"/>
  <c r="H18718" i="25"/>
  <c r="H18717" i="25"/>
  <c r="H18716" i="25"/>
  <c r="D18716" i="25" s="1"/>
  <c r="E18716" i="25" s="1"/>
  <c r="F18716" i="25" s="1"/>
  <c r="H18715" i="25"/>
  <c r="H18714" i="25"/>
  <c r="D18714" i="25" s="1"/>
  <c r="E18714" i="25" s="1"/>
  <c r="F18714" i="25" s="1"/>
  <c r="H18713" i="25"/>
  <c r="D18713" i="25" s="1"/>
  <c r="E18713" i="25" s="1"/>
  <c r="F18713" i="25" s="1"/>
  <c r="H18712" i="25"/>
  <c r="D18712" i="25" s="1"/>
  <c r="E18712" i="25" s="1"/>
  <c r="F18712" i="25" s="1"/>
  <c r="H18711" i="25"/>
  <c r="D18711" i="25" s="1"/>
  <c r="E18711" i="25" s="1"/>
  <c r="F18711" i="25" s="1"/>
  <c r="H18710" i="25"/>
  <c r="D18710" i="25" s="1"/>
  <c r="E18710" i="25" s="1"/>
  <c r="F18710" i="25" s="1"/>
  <c r="H18709" i="25"/>
  <c r="D18709" i="25" s="1"/>
  <c r="E18709" i="25" s="1"/>
  <c r="F18709" i="25" s="1"/>
  <c r="H18708" i="25"/>
  <c r="D18708" i="25" s="1"/>
  <c r="E18708" i="25" s="1"/>
  <c r="F18708" i="25" s="1"/>
  <c r="H18707" i="25"/>
  <c r="D18707" i="25" s="1"/>
  <c r="E18707" i="25" s="1"/>
  <c r="F18707" i="25" s="1"/>
  <c r="H18706" i="25"/>
  <c r="D18706" i="25" s="1"/>
  <c r="E18706" i="25" s="1"/>
  <c r="F18706" i="25" s="1"/>
  <c r="H18705" i="25"/>
  <c r="D18705" i="25" s="1"/>
  <c r="E18705" i="25" s="1"/>
  <c r="F18705" i="25" s="1"/>
  <c r="H18704" i="25"/>
  <c r="D18704" i="25" s="1"/>
  <c r="E18704" i="25" s="1"/>
  <c r="F18704" i="25" s="1"/>
  <c r="F18787" i="25" l="1"/>
  <c r="D18715" i="25"/>
  <c r="E18715" i="25" s="1"/>
  <c r="F18715" i="25" s="1"/>
  <c r="D18723" i="25"/>
  <c r="E18723" i="25" s="1"/>
  <c r="F18723" i="25" s="1"/>
  <c r="D18717" i="25"/>
  <c r="E18717" i="25" s="1"/>
  <c r="F18717" i="25" s="1"/>
  <c r="D18718" i="25"/>
  <c r="E18718" i="25" s="1"/>
  <c r="F18718" i="25" s="1"/>
  <c r="D18731" i="25"/>
  <c r="E18731" i="25" s="1"/>
  <c r="F18731" i="25" s="1"/>
  <c r="AG448" i="29"/>
  <c r="AQ569" i="29" l="1"/>
  <c r="E18801" i="25"/>
  <c r="E18793" i="25"/>
  <c r="E18800" i="25"/>
  <c r="E18792" i="25"/>
  <c r="E18799" i="25"/>
  <c r="E18791" i="25"/>
  <c r="E18798" i="25"/>
  <c r="E18790" i="25"/>
  <c r="E18805" i="25"/>
  <c r="E18797" i="25"/>
  <c r="E18789" i="25"/>
  <c r="E18804" i="25"/>
  <c r="E18796" i="25"/>
  <c r="E18788" i="25"/>
  <c r="E18803" i="25"/>
  <c r="E18795" i="25"/>
  <c r="E18802" i="25"/>
  <c r="E18794" i="25"/>
  <c r="F18734" i="25"/>
  <c r="E18806" i="25" l="1"/>
  <c r="F18806" i="25" s="1"/>
  <c r="AQ568" i="29"/>
  <c r="E18748" i="25"/>
  <c r="E18740" i="25"/>
  <c r="E18739" i="25"/>
  <c r="E18746" i="25"/>
  <c r="E18738" i="25"/>
  <c r="E18745" i="25"/>
  <c r="E18737" i="25"/>
  <c r="E18752" i="25"/>
  <c r="E18744" i="25"/>
  <c r="E18736" i="25"/>
  <c r="E18751" i="25"/>
  <c r="E18743" i="25"/>
  <c r="E18735" i="25"/>
  <c r="E18750" i="25"/>
  <c r="E18749" i="25"/>
  <c r="E18741" i="25"/>
  <c r="E18747" i="25"/>
  <c r="E18742" i="25"/>
  <c r="AP569" i="29" l="1"/>
  <c r="F18807" i="25"/>
  <c r="AN569" i="29" s="1"/>
  <c r="E18753" i="25"/>
  <c r="F18753" i="25" s="1"/>
  <c r="H17836" i="25"/>
  <c r="H17837" i="25"/>
  <c r="H17838" i="25"/>
  <c r="H17839" i="25"/>
  <c r="H17840" i="25"/>
  <c r="H17841" i="25"/>
  <c r="H17842" i="25"/>
  <c r="H17843" i="25"/>
  <c r="H17844" i="25"/>
  <c r="H17845" i="25"/>
  <c r="H17846" i="25"/>
  <c r="H17847" i="25"/>
  <c r="H17848" i="25"/>
  <c r="H17849" i="25"/>
  <c r="H17850" i="25"/>
  <c r="H17851" i="25"/>
  <c r="H17852" i="25"/>
  <c r="H17853" i="25"/>
  <c r="H17854" i="25"/>
  <c r="H17855" i="25"/>
  <c r="H17856" i="25"/>
  <c r="H17857" i="25"/>
  <c r="H17858" i="25"/>
  <c r="H17859" i="25"/>
  <c r="H17860" i="25"/>
  <c r="H17861" i="25"/>
  <c r="H17862" i="25"/>
  <c r="H17863" i="25"/>
  <c r="H17864" i="25"/>
  <c r="H17865" i="25"/>
  <c r="AG460" i="29"/>
  <c r="AG459" i="29"/>
  <c r="AP568" i="29" l="1"/>
  <c r="F18754" i="25"/>
  <c r="AN568" i="29" s="1"/>
  <c r="C16987" i="25" l="1"/>
  <c r="H4069" i="33"/>
  <c r="D4069" i="33" s="1"/>
  <c r="E4069" i="33" s="1"/>
  <c r="F4069" i="33" s="1"/>
  <c r="H4068" i="33"/>
  <c r="D4068" i="33" s="1"/>
  <c r="E4068" i="33" s="1"/>
  <c r="F4068" i="33" s="1"/>
  <c r="H4067" i="33"/>
  <c r="D4067" i="33" s="1"/>
  <c r="E4067" i="33" s="1"/>
  <c r="F4067" i="33" s="1"/>
  <c r="H4066" i="33"/>
  <c r="D4066" i="33" s="1"/>
  <c r="E4066" i="33" s="1"/>
  <c r="F4066" i="33" s="1"/>
  <c r="H4065" i="33"/>
  <c r="D4065" i="33" s="1"/>
  <c r="E4065" i="33" s="1"/>
  <c r="F4065" i="33" s="1"/>
  <c r="H4064" i="33"/>
  <c r="D4064" i="33" s="1"/>
  <c r="E4064" i="33" s="1"/>
  <c r="F4064" i="33" s="1"/>
  <c r="H4063" i="33"/>
  <c r="D4063" i="33" s="1"/>
  <c r="E4063" i="33" s="1"/>
  <c r="F4063" i="33" s="1"/>
  <c r="H4062" i="33"/>
  <c r="D4062" i="33" s="1"/>
  <c r="E4062" i="33" s="1"/>
  <c r="F4062" i="33" s="1"/>
  <c r="H4061" i="33"/>
  <c r="D4061" i="33" s="1"/>
  <c r="E4061" i="33" s="1"/>
  <c r="F4061" i="33" s="1"/>
  <c r="H4060" i="33"/>
  <c r="D4060" i="33" s="1"/>
  <c r="E4060" i="33" s="1"/>
  <c r="F4060" i="33" s="1"/>
  <c r="H4059" i="33"/>
  <c r="D4059" i="33" s="1"/>
  <c r="E4059" i="33" s="1"/>
  <c r="F4059" i="33" s="1"/>
  <c r="H4058" i="33"/>
  <c r="D4058" i="33" s="1"/>
  <c r="E4058" i="33" s="1"/>
  <c r="F4058" i="33" s="1"/>
  <c r="H4057" i="33"/>
  <c r="D4057" i="33" s="1"/>
  <c r="E4057" i="33" s="1"/>
  <c r="F4057" i="33" s="1"/>
  <c r="H4056" i="33"/>
  <c r="D4056" i="33" s="1"/>
  <c r="E4056" i="33" s="1"/>
  <c r="F4056" i="33" s="1"/>
  <c r="H4055" i="33"/>
  <c r="D4055" i="33" s="1"/>
  <c r="E4055" i="33" s="1"/>
  <c r="F4055" i="33" s="1"/>
  <c r="H4054" i="33"/>
  <c r="D4054" i="33" s="1"/>
  <c r="E4054" i="33" s="1"/>
  <c r="F4054" i="33" s="1"/>
  <c r="H4053" i="33"/>
  <c r="D4053" i="33" s="1"/>
  <c r="E4053" i="33" s="1"/>
  <c r="F4053" i="33" s="1"/>
  <c r="H4052" i="33"/>
  <c r="D4052" i="33" s="1"/>
  <c r="E4052" i="33" s="1"/>
  <c r="F4052" i="33" s="1"/>
  <c r="H4051" i="33"/>
  <c r="D4051" i="33" s="1"/>
  <c r="E4051" i="33" s="1"/>
  <c r="F4051" i="33" s="1"/>
  <c r="H4050" i="33"/>
  <c r="D4050" i="33" s="1"/>
  <c r="E4050" i="33" s="1"/>
  <c r="F4050" i="33" s="1"/>
  <c r="H4049" i="33"/>
  <c r="D4049" i="33" s="1"/>
  <c r="E4049" i="33" s="1"/>
  <c r="F4049" i="33" s="1"/>
  <c r="H4048" i="33"/>
  <c r="D4048" i="33" s="1"/>
  <c r="E4048" i="33" s="1"/>
  <c r="F4048" i="33" s="1"/>
  <c r="H4047" i="33"/>
  <c r="D4047" i="33" s="1"/>
  <c r="E4047" i="33" s="1"/>
  <c r="F4047" i="33" s="1"/>
  <c r="H4046" i="33"/>
  <c r="D4046" i="33" s="1"/>
  <c r="E4046" i="33" s="1"/>
  <c r="F4046" i="33" s="1"/>
  <c r="H4045" i="33"/>
  <c r="D4045" i="33" s="1"/>
  <c r="E4045" i="33" s="1"/>
  <c r="F4045" i="33" s="1"/>
  <c r="H4044" i="33"/>
  <c r="D4044" i="33" s="1"/>
  <c r="E4044" i="33" s="1"/>
  <c r="F4044" i="33" s="1"/>
  <c r="H4043" i="33"/>
  <c r="D4043" i="33" s="1"/>
  <c r="E4043" i="33" s="1"/>
  <c r="F4043" i="33" s="1"/>
  <c r="H4042" i="33"/>
  <c r="D4042" i="33" s="1"/>
  <c r="E4042" i="33" s="1"/>
  <c r="F4042" i="33" s="1"/>
  <c r="H4041" i="33"/>
  <c r="D4041" i="33" s="1"/>
  <c r="E4041" i="33" s="1"/>
  <c r="F4041" i="33" s="1"/>
  <c r="H4040" i="33"/>
  <c r="D4040" i="33" s="1"/>
  <c r="E4040" i="33" s="1"/>
  <c r="F4040" i="33" s="1"/>
  <c r="E4038" i="33"/>
  <c r="AR568" i="29"/>
  <c r="AS568" i="29" s="1"/>
  <c r="AV569" i="29"/>
  <c r="AW569" i="29" s="1"/>
  <c r="AR569" i="29"/>
  <c r="AG569" i="29"/>
  <c r="AV568" i="29"/>
  <c r="AZ568" i="29" s="1"/>
  <c r="AG568" i="29"/>
  <c r="AV89" i="32"/>
  <c r="AZ89" i="32" s="1"/>
  <c r="AR89" i="32"/>
  <c r="AS89" i="32" s="1"/>
  <c r="AF89" i="32"/>
  <c r="AZ569" i="29" l="1"/>
  <c r="AW89" i="32"/>
  <c r="F4070" i="33"/>
  <c r="AQ89" i="32" s="1"/>
  <c r="AW568" i="29"/>
  <c r="E4082" i="33" l="1"/>
  <c r="E4074" i="33"/>
  <c r="E4081" i="33"/>
  <c r="E4073" i="33"/>
  <c r="E4080" i="33"/>
  <c r="E4072" i="33"/>
  <c r="E4079" i="33"/>
  <c r="E4071" i="33"/>
  <c r="E4078" i="33"/>
  <c r="E4077" i="33"/>
  <c r="E4076" i="33"/>
  <c r="E4075" i="33"/>
  <c r="H4019" i="33"/>
  <c r="D4019" i="33" s="1"/>
  <c r="E4019" i="33" s="1"/>
  <c r="F4019" i="33" s="1"/>
  <c r="H4018" i="33"/>
  <c r="D4018" i="33" s="1"/>
  <c r="E4018" i="33" s="1"/>
  <c r="F4018" i="33" s="1"/>
  <c r="H4017" i="33"/>
  <c r="D4017" i="33" s="1"/>
  <c r="H4016" i="33"/>
  <c r="D4016" i="33" s="1"/>
  <c r="E4016" i="33" s="1"/>
  <c r="F4016" i="33" s="1"/>
  <c r="H4015" i="33"/>
  <c r="D4015" i="33" s="1"/>
  <c r="E4015" i="33" s="1"/>
  <c r="F4015" i="33" s="1"/>
  <c r="H4014" i="33"/>
  <c r="D4014" i="33" s="1"/>
  <c r="E4014" i="33" s="1"/>
  <c r="F4014" i="33" s="1"/>
  <c r="H4013" i="33"/>
  <c r="D4013" i="33" s="1"/>
  <c r="E4013" i="33" s="1"/>
  <c r="F4013" i="33" s="1"/>
  <c r="H4012" i="33"/>
  <c r="D4012" i="33" s="1"/>
  <c r="E4012" i="33" s="1"/>
  <c r="F4012" i="33" s="1"/>
  <c r="H4011" i="33"/>
  <c r="H4010" i="33"/>
  <c r="D4010" i="33" s="1"/>
  <c r="E4010" i="33" s="1"/>
  <c r="F4010" i="33" s="1"/>
  <c r="H4009" i="33"/>
  <c r="D4009" i="33" s="1"/>
  <c r="H4008" i="33"/>
  <c r="D4008" i="33" s="1"/>
  <c r="E4008" i="33" s="1"/>
  <c r="F4008" i="33" s="1"/>
  <c r="H4007" i="33"/>
  <c r="D4007" i="33" s="1"/>
  <c r="E4007" i="33" s="1"/>
  <c r="F4007" i="33" s="1"/>
  <c r="H4006" i="33"/>
  <c r="D4006" i="33" s="1"/>
  <c r="E4006" i="33" s="1"/>
  <c r="F4006" i="33" s="1"/>
  <c r="H4005" i="33"/>
  <c r="H4004" i="33"/>
  <c r="D4004" i="33" s="1"/>
  <c r="E4004" i="33" s="1"/>
  <c r="F4004" i="33" s="1"/>
  <c r="H4003" i="33"/>
  <c r="H4002" i="33"/>
  <c r="D4002" i="33" s="1"/>
  <c r="E4002" i="33" s="1"/>
  <c r="F4002" i="33" s="1"/>
  <c r="H4001" i="33"/>
  <c r="D4001" i="33" s="1"/>
  <c r="H4000" i="33"/>
  <c r="D4000" i="33" s="1"/>
  <c r="E4000" i="33" s="1"/>
  <c r="F4000" i="33" s="1"/>
  <c r="H3999" i="33"/>
  <c r="D3999" i="33" s="1"/>
  <c r="E3999" i="33" s="1"/>
  <c r="F3999" i="33" s="1"/>
  <c r="H3998" i="33"/>
  <c r="D3998" i="33" s="1"/>
  <c r="E3998" i="33" s="1"/>
  <c r="F3998" i="33" s="1"/>
  <c r="H3997" i="33"/>
  <c r="D3997" i="33" s="1"/>
  <c r="E3997" i="33" s="1"/>
  <c r="F3997" i="33" s="1"/>
  <c r="H3996" i="33"/>
  <c r="D3996" i="33" s="1"/>
  <c r="E3996" i="33" s="1"/>
  <c r="F3996" i="33" s="1"/>
  <c r="H3995" i="33"/>
  <c r="D3995" i="33" s="1"/>
  <c r="E3995" i="33" s="1"/>
  <c r="F3995" i="33" s="1"/>
  <c r="H3994" i="33"/>
  <c r="D3994" i="33" s="1"/>
  <c r="E3994" i="33" s="1"/>
  <c r="F3994" i="33" s="1"/>
  <c r="H3993" i="33"/>
  <c r="D3993" i="33" s="1"/>
  <c r="E3993" i="33" s="1"/>
  <c r="F3993" i="33" s="1"/>
  <c r="H3992" i="33"/>
  <c r="D3992" i="33" s="1"/>
  <c r="E3992" i="33" s="1"/>
  <c r="F3992" i="33" s="1"/>
  <c r="H3991" i="33"/>
  <c r="D3991" i="33" s="1"/>
  <c r="E3991" i="33" s="1"/>
  <c r="F3991" i="33" s="1"/>
  <c r="H3990" i="33"/>
  <c r="D3990" i="33" s="1"/>
  <c r="E3988" i="33"/>
  <c r="E4083" i="33" l="1"/>
  <c r="F4083" i="33" s="1"/>
  <c r="E3990" i="33"/>
  <c r="F3990" i="33" s="1"/>
  <c r="D4003" i="33"/>
  <c r="E4003" i="33" s="1"/>
  <c r="F4003" i="33" s="1"/>
  <c r="D4005" i="33"/>
  <c r="E4005" i="33" s="1"/>
  <c r="F4005" i="33" s="1"/>
  <c r="E4001" i="33"/>
  <c r="F4001" i="33" s="1"/>
  <c r="E4009" i="33"/>
  <c r="F4009" i="33" s="1"/>
  <c r="E4017" i="33"/>
  <c r="F4017" i="33" s="1"/>
  <c r="D4011" i="33"/>
  <c r="E4011" i="33" s="1"/>
  <c r="F4011" i="33" s="1"/>
  <c r="F4084" i="33" l="1"/>
  <c r="AN89" i="32" s="1"/>
  <c r="AP89" i="32"/>
  <c r="F4020" i="33"/>
  <c r="H3969" i="33"/>
  <c r="D3969" i="33" s="1"/>
  <c r="E3969" i="33" s="1"/>
  <c r="F3969" i="33" s="1"/>
  <c r="H3968" i="33"/>
  <c r="D3968" i="33" s="1"/>
  <c r="E3968" i="33" s="1"/>
  <c r="F3968" i="33" s="1"/>
  <c r="H3967" i="33"/>
  <c r="D3967" i="33" s="1"/>
  <c r="E3967" i="33" s="1"/>
  <c r="F3967" i="33" s="1"/>
  <c r="H3966" i="33"/>
  <c r="D3966" i="33" s="1"/>
  <c r="E3966" i="33" s="1"/>
  <c r="F3966" i="33" s="1"/>
  <c r="H3965" i="33"/>
  <c r="D3965" i="33" s="1"/>
  <c r="H3964" i="33"/>
  <c r="D3964" i="33" s="1"/>
  <c r="E3964" i="33" s="1"/>
  <c r="F3964" i="33" s="1"/>
  <c r="H3963" i="33"/>
  <c r="D3963" i="33" s="1"/>
  <c r="E3963" i="33" s="1"/>
  <c r="F3963" i="33" s="1"/>
  <c r="H3962" i="33"/>
  <c r="D3962" i="33" s="1"/>
  <c r="E3962" i="33" s="1"/>
  <c r="F3962" i="33" s="1"/>
  <c r="H3961" i="33"/>
  <c r="D3961" i="33" s="1"/>
  <c r="H3960" i="33"/>
  <c r="D3960" i="33" s="1"/>
  <c r="E3960" i="33" s="1"/>
  <c r="F3960" i="33" s="1"/>
  <c r="H3959" i="33"/>
  <c r="D3959" i="33" s="1"/>
  <c r="E3959" i="33" s="1"/>
  <c r="F3959" i="33" s="1"/>
  <c r="H3958" i="33"/>
  <c r="D3958" i="33" s="1"/>
  <c r="E3958" i="33" s="1"/>
  <c r="F3958" i="33" s="1"/>
  <c r="H3957" i="33"/>
  <c r="D3957" i="33" s="1"/>
  <c r="E3957" i="33" s="1"/>
  <c r="F3957" i="33" s="1"/>
  <c r="H3956" i="33"/>
  <c r="D3956" i="33" s="1"/>
  <c r="E3956" i="33" s="1"/>
  <c r="F3956" i="33" s="1"/>
  <c r="H3955" i="33"/>
  <c r="D3955" i="33" s="1"/>
  <c r="H3954" i="33"/>
  <c r="D3954" i="33" s="1"/>
  <c r="E3954" i="33" s="1"/>
  <c r="F3954" i="33" s="1"/>
  <c r="H3953" i="33"/>
  <c r="D3953" i="33" s="1"/>
  <c r="E3953" i="33" s="1"/>
  <c r="F3953" i="33" s="1"/>
  <c r="H3952" i="33"/>
  <c r="D3952" i="33" s="1"/>
  <c r="E3952" i="33" s="1"/>
  <c r="F3952" i="33" s="1"/>
  <c r="H3951" i="33"/>
  <c r="D3951" i="33" s="1"/>
  <c r="E3951" i="33" s="1"/>
  <c r="F3951" i="33" s="1"/>
  <c r="H3950" i="33"/>
  <c r="D3950" i="33" s="1"/>
  <c r="E3950" i="33" s="1"/>
  <c r="F3950" i="33" s="1"/>
  <c r="H3949" i="33"/>
  <c r="D3949" i="33" s="1"/>
  <c r="E3949" i="33" s="1"/>
  <c r="F3949" i="33" s="1"/>
  <c r="H3948" i="33"/>
  <c r="D3948" i="33" s="1"/>
  <c r="E3948" i="33" s="1"/>
  <c r="F3948" i="33" s="1"/>
  <c r="H3947" i="33"/>
  <c r="D3947" i="33" s="1"/>
  <c r="E3947" i="33" s="1"/>
  <c r="F3947" i="33" s="1"/>
  <c r="H3946" i="33"/>
  <c r="D3946" i="33" s="1"/>
  <c r="E3946" i="33" s="1"/>
  <c r="F3946" i="33" s="1"/>
  <c r="H3945" i="33"/>
  <c r="D3945" i="33" s="1"/>
  <c r="E3945" i="33" s="1"/>
  <c r="F3945" i="33" s="1"/>
  <c r="H3944" i="33"/>
  <c r="D3944" i="33" s="1"/>
  <c r="E3944" i="33" s="1"/>
  <c r="F3944" i="33" s="1"/>
  <c r="H3943" i="33"/>
  <c r="D3943" i="33" s="1"/>
  <c r="E3943" i="33" s="1"/>
  <c r="F3943" i="33" s="1"/>
  <c r="H3942" i="33"/>
  <c r="D3942" i="33" s="1"/>
  <c r="E3942" i="33" s="1"/>
  <c r="F3942" i="33" s="1"/>
  <c r="H3941" i="33"/>
  <c r="D3941" i="33" s="1"/>
  <c r="E3941" i="33" s="1"/>
  <c r="F3941" i="33" s="1"/>
  <c r="H3940" i="33"/>
  <c r="D3940" i="33" s="1"/>
  <c r="E3938" i="33"/>
  <c r="AV88" i="32"/>
  <c r="AZ88" i="32" s="1"/>
  <c r="AR88" i="32"/>
  <c r="AS88" i="32" s="1"/>
  <c r="AF88" i="32"/>
  <c r="AV87" i="32"/>
  <c r="AZ87" i="32" s="1"/>
  <c r="AR87" i="32"/>
  <c r="AS87" i="32" s="1"/>
  <c r="AF87" i="32"/>
  <c r="AQ88" i="32" l="1"/>
  <c r="E4027" i="33"/>
  <c r="E4026" i="33"/>
  <c r="E4025" i="33"/>
  <c r="E4032" i="33"/>
  <c r="E4024" i="33"/>
  <c r="E4031" i="33"/>
  <c r="E4023" i="33"/>
  <c r="E4030" i="33"/>
  <c r="E4022" i="33"/>
  <c r="E4029" i="33"/>
  <c r="E4021" i="33"/>
  <c r="E4028" i="33"/>
  <c r="E3965" i="33"/>
  <c r="F3965" i="33" s="1"/>
  <c r="E3961" i="33"/>
  <c r="F3961" i="33" s="1"/>
  <c r="E3955" i="33"/>
  <c r="F3955" i="33" s="1"/>
  <c r="E3940" i="33"/>
  <c r="F3940" i="33" s="1"/>
  <c r="AW88" i="32"/>
  <c r="AW87" i="32"/>
  <c r="E4033" i="33" l="1"/>
  <c r="F3970" i="33"/>
  <c r="AQ87" i="32" l="1"/>
  <c r="E3982" i="33"/>
  <c r="E3974" i="33"/>
  <c r="E3981" i="33"/>
  <c r="E3973" i="33"/>
  <c r="E3980" i="33"/>
  <c r="E3972" i="33"/>
  <c r="E3979" i="33"/>
  <c r="E3971" i="33"/>
  <c r="E3978" i="33"/>
  <c r="E3977" i="33"/>
  <c r="E3976" i="33"/>
  <c r="E3975" i="33"/>
  <c r="H3919" i="33"/>
  <c r="D3919" i="33" s="1"/>
  <c r="E3919" i="33" s="1"/>
  <c r="F3919" i="33" s="1"/>
  <c r="H3918" i="33"/>
  <c r="D3918" i="33" s="1"/>
  <c r="H3917" i="33"/>
  <c r="D3917" i="33" s="1"/>
  <c r="H3916" i="33"/>
  <c r="D3916" i="33" s="1"/>
  <c r="E3916" i="33" s="1"/>
  <c r="F3916" i="33" s="1"/>
  <c r="H3915" i="33"/>
  <c r="D3915" i="33" s="1"/>
  <c r="H3914" i="33"/>
  <c r="D3914" i="33" s="1"/>
  <c r="E3914" i="33" s="1"/>
  <c r="F3914" i="33" s="1"/>
  <c r="H3913" i="33"/>
  <c r="D3913" i="33" s="1"/>
  <c r="E3913" i="33" s="1"/>
  <c r="F3913" i="33" s="1"/>
  <c r="H3912" i="33"/>
  <c r="D3912" i="33" s="1"/>
  <c r="E3912" i="33" s="1"/>
  <c r="F3912" i="33" s="1"/>
  <c r="H3911" i="33"/>
  <c r="D3911" i="33" s="1"/>
  <c r="E3911" i="33" s="1"/>
  <c r="F3911" i="33" s="1"/>
  <c r="H3910" i="33"/>
  <c r="D3910" i="33" s="1"/>
  <c r="E3910" i="33" s="1"/>
  <c r="F3910" i="33" s="1"/>
  <c r="H3909" i="33"/>
  <c r="D3909" i="33" s="1"/>
  <c r="H3908" i="33"/>
  <c r="D3908" i="33" s="1"/>
  <c r="E3908" i="33" s="1"/>
  <c r="F3908" i="33" s="1"/>
  <c r="H3907" i="33"/>
  <c r="D3907" i="33" s="1"/>
  <c r="H3906" i="33"/>
  <c r="D3906" i="33" s="1"/>
  <c r="E3906" i="33" s="1"/>
  <c r="F3906" i="33" s="1"/>
  <c r="H3905" i="33"/>
  <c r="D3905" i="33" s="1"/>
  <c r="H3904" i="33"/>
  <c r="D3904" i="33" s="1"/>
  <c r="E3904" i="33" s="1"/>
  <c r="F3904" i="33" s="1"/>
  <c r="H3903" i="33"/>
  <c r="D3903" i="33" s="1"/>
  <c r="E3903" i="33" s="1"/>
  <c r="F3903" i="33" s="1"/>
  <c r="H3902" i="33"/>
  <c r="D3902" i="33" s="1"/>
  <c r="E3902" i="33" s="1"/>
  <c r="F3902" i="33" s="1"/>
  <c r="H3901" i="33"/>
  <c r="D3901" i="33" s="1"/>
  <c r="E3901" i="33" s="1"/>
  <c r="F3901" i="33" s="1"/>
  <c r="H3900" i="33"/>
  <c r="D3900" i="33" s="1"/>
  <c r="E3900" i="33" s="1"/>
  <c r="F3900" i="33" s="1"/>
  <c r="H3899" i="33"/>
  <c r="D3899" i="33" s="1"/>
  <c r="E3899" i="33" s="1"/>
  <c r="F3899" i="33" s="1"/>
  <c r="H3898" i="33"/>
  <c r="D3898" i="33" s="1"/>
  <c r="E3898" i="33" s="1"/>
  <c r="F3898" i="33" s="1"/>
  <c r="H3897" i="33"/>
  <c r="D3897" i="33" s="1"/>
  <c r="E3897" i="33" s="1"/>
  <c r="F3897" i="33" s="1"/>
  <c r="H3896" i="33"/>
  <c r="D3896" i="33" s="1"/>
  <c r="E3896" i="33" s="1"/>
  <c r="F3896" i="33" s="1"/>
  <c r="H3895" i="33"/>
  <c r="D3895" i="33" s="1"/>
  <c r="E3895" i="33" s="1"/>
  <c r="F3895" i="33" s="1"/>
  <c r="H3894" i="33"/>
  <c r="D3894" i="33" s="1"/>
  <c r="E3894" i="33" s="1"/>
  <c r="F3894" i="33" s="1"/>
  <c r="H3893" i="33"/>
  <c r="D3893" i="33" s="1"/>
  <c r="E3893" i="33" s="1"/>
  <c r="F3893" i="33" s="1"/>
  <c r="H3892" i="33"/>
  <c r="D3892" i="33" s="1"/>
  <c r="E3892" i="33" s="1"/>
  <c r="F3892" i="33" s="1"/>
  <c r="H3891" i="33"/>
  <c r="D3891" i="33" s="1"/>
  <c r="E3891" i="33" s="1"/>
  <c r="F3891" i="33" s="1"/>
  <c r="H3890" i="33"/>
  <c r="D3890" i="33" s="1"/>
  <c r="E3890" i="33" s="1"/>
  <c r="F3890" i="33" s="1"/>
  <c r="E3888" i="33"/>
  <c r="F4033" i="33" l="1"/>
  <c r="F4034" i="33" s="1"/>
  <c r="E3983" i="33"/>
  <c r="F3983" i="33" s="1"/>
  <c r="E3918" i="33"/>
  <c r="F3918" i="33" s="1"/>
  <c r="E3917" i="33"/>
  <c r="F3917" i="33" s="1"/>
  <c r="E3915" i="33"/>
  <c r="F3915" i="33" s="1"/>
  <c r="E3909" i="33"/>
  <c r="F3909" i="33" s="1"/>
  <c r="E3907" i="33"/>
  <c r="F3907" i="33" s="1"/>
  <c r="E3905" i="33"/>
  <c r="F3905" i="33" s="1"/>
  <c r="AP88" i="32" l="1"/>
  <c r="AN88" i="32"/>
  <c r="F3984" i="33"/>
  <c r="AN87" i="32" s="1"/>
  <c r="AP87" i="32"/>
  <c r="F3920" i="33"/>
  <c r="AQ86" i="32" l="1"/>
  <c r="E3928" i="33"/>
  <c r="E3927" i="33"/>
  <c r="E3926" i="33"/>
  <c r="E3925" i="33"/>
  <c r="E3932" i="33"/>
  <c r="E3924" i="33"/>
  <c r="E3930" i="33"/>
  <c r="E3922" i="33"/>
  <c r="E3931" i="33"/>
  <c r="E3923" i="33"/>
  <c r="E3929" i="33"/>
  <c r="E3921" i="33"/>
  <c r="AF86" i="32"/>
  <c r="AR86" i="32"/>
  <c r="AS86" i="32" s="1"/>
  <c r="AV86" i="32"/>
  <c r="AW86" i="32" s="1"/>
  <c r="E3933" i="33" l="1"/>
  <c r="F3933" i="33" s="1"/>
  <c r="AZ86" i="32"/>
  <c r="H3869" i="33"/>
  <c r="D3869" i="33" s="1"/>
  <c r="E3869" i="33" s="1"/>
  <c r="F3869" i="33" s="1"/>
  <c r="H3868" i="33"/>
  <c r="D3868" i="33" s="1"/>
  <c r="E3868" i="33" s="1"/>
  <c r="F3868" i="33" s="1"/>
  <c r="H3867" i="33"/>
  <c r="D3867" i="33" s="1"/>
  <c r="E3867" i="33" s="1"/>
  <c r="F3867" i="33" s="1"/>
  <c r="H3866" i="33"/>
  <c r="D3866" i="33" s="1"/>
  <c r="E3866" i="33" s="1"/>
  <c r="F3866" i="33" s="1"/>
  <c r="H3865" i="33"/>
  <c r="D3865" i="33" s="1"/>
  <c r="E3865" i="33" s="1"/>
  <c r="F3865" i="33" s="1"/>
  <c r="H3864" i="33"/>
  <c r="D3864" i="33" s="1"/>
  <c r="E3864" i="33" s="1"/>
  <c r="F3864" i="33" s="1"/>
  <c r="H3863" i="33"/>
  <c r="D3863" i="33" s="1"/>
  <c r="E3863" i="33" s="1"/>
  <c r="F3863" i="33" s="1"/>
  <c r="H3862" i="33"/>
  <c r="D3862" i="33" s="1"/>
  <c r="E3862" i="33" s="1"/>
  <c r="F3862" i="33" s="1"/>
  <c r="H3861" i="33"/>
  <c r="D3861" i="33" s="1"/>
  <c r="E3861" i="33" s="1"/>
  <c r="F3861" i="33" s="1"/>
  <c r="H3860" i="33"/>
  <c r="D3860" i="33" s="1"/>
  <c r="E3860" i="33" s="1"/>
  <c r="F3860" i="33" s="1"/>
  <c r="H3859" i="33"/>
  <c r="D3859" i="33" s="1"/>
  <c r="E3859" i="33" s="1"/>
  <c r="F3859" i="33" s="1"/>
  <c r="H3858" i="33"/>
  <c r="D3858" i="33" s="1"/>
  <c r="E3858" i="33" s="1"/>
  <c r="F3858" i="33" s="1"/>
  <c r="H3857" i="33"/>
  <c r="D3857" i="33" s="1"/>
  <c r="E3857" i="33" s="1"/>
  <c r="F3857" i="33" s="1"/>
  <c r="H3856" i="33"/>
  <c r="D3856" i="33" s="1"/>
  <c r="E3856" i="33" s="1"/>
  <c r="F3856" i="33" s="1"/>
  <c r="H3855" i="33"/>
  <c r="D3855" i="33" s="1"/>
  <c r="E3855" i="33" s="1"/>
  <c r="F3855" i="33" s="1"/>
  <c r="H3854" i="33"/>
  <c r="D3854" i="33" s="1"/>
  <c r="E3854" i="33" s="1"/>
  <c r="F3854" i="33" s="1"/>
  <c r="H3853" i="33"/>
  <c r="D3853" i="33" s="1"/>
  <c r="E3853" i="33" s="1"/>
  <c r="F3853" i="33" s="1"/>
  <c r="H3852" i="33"/>
  <c r="D3852" i="33" s="1"/>
  <c r="E3852" i="33" s="1"/>
  <c r="F3852" i="33" s="1"/>
  <c r="H3851" i="33"/>
  <c r="D3851" i="33" s="1"/>
  <c r="E3851" i="33" s="1"/>
  <c r="F3851" i="33" s="1"/>
  <c r="H3850" i="33"/>
  <c r="D3850" i="33" s="1"/>
  <c r="E3850" i="33" s="1"/>
  <c r="F3850" i="33" s="1"/>
  <c r="H3849" i="33"/>
  <c r="D3849" i="33" s="1"/>
  <c r="E3849" i="33" s="1"/>
  <c r="F3849" i="33" s="1"/>
  <c r="H3848" i="33"/>
  <c r="D3848" i="33" s="1"/>
  <c r="E3848" i="33" s="1"/>
  <c r="F3848" i="33" s="1"/>
  <c r="H3847" i="33"/>
  <c r="D3847" i="33" s="1"/>
  <c r="E3847" i="33" s="1"/>
  <c r="F3847" i="33" s="1"/>
  <c r="H3846" i="33"/>
  <c r="D3846" i="33" s="1"/>
  <c r="E3846" i="33" s="1"/>
  <c r="F3846" i="33" s="1"/>
  <c r="H3845" i="33"/>
  <c r="D3845" i="33" s="1"/>
  <c r="E3845" i="33" s="1"/>
  <c r="F3845" i="33" s="1"/>
  <c r="H3844" i="33"/>
  <c r="D3844" i="33" s="1"/>
  <c r="E3844" i="33" s="1"/>
  <c r="F3844" i="33" s="1"/>
  <c r="H3843" i="33"/>
  <c r="D3843" i="33" s="1"/>
  <c r="E3843" i="33" s="1"/>
  <c r="F3843" i="33" s="1"/>
  <c r="H3842" i="33"/>
  <c r="D3842" i="33" s="1"/>
  <c r="E3842" i="33" s="1"/>
  <c r="F3842" i="33" s="1"/>
  <c r="H3841" i="33"/>
  <c r="D3841" i="33" s="1"/>
  <c r="E3841" i="33" s="1"/>
  <c r="F3841" i="33" s="1"/>
  <c r="I3840" i="33"/>
  <c r="H3840" i="33"/>
  <c r="D3840" i="33" s="1"/>
  <c r="E3840" i="33" s="1"/>
  <c r="F3840" i="33" s="1"/>
  <c r="H3822" i="33"/>
  <c r="D3822" i="33" s="1"/>
  <c r="E3822" i="33" s="1"/>
  <c r="F3822" i="33" s="1"/>
  <c r="H3821" i="33"/>
  <c r="D3821" i="33" s="1"/>
  <c r="E3821" i="33" s="1"/>
  <c r="F3821" i="33" s="1"/>
  <c r="H3820" i="33"/>
  <c r="D3820" i="33" s="1"/>
  <c r="E3820" i="33" s="1"/>
  <c r="F3820" i="33" s="1"/>
  <c r="H3819" i="33"/>
  <c r="D3819" i="33" s="1"/>
  <c r="E3819" i="33" s="1"/>
  <c r="F3819" i="33" s="1"/>
  <c r="H3818" i="33"/>
  <c r="D3818" i="33" s="1"/>
  <c r="H3817" i="33"/>
  <c r="D3817" i="33" s="1"/>
  <c r="E3817" i="33" s="1"/>
  <c r="F3817" i="33" s="1"/>
  <c r="H3816" i="33"/>
  <c r="D3816" i="33" s="1"/>
  <c r="E3816" i="33" s="1"/>
  <c r="F3816" i="33" s="1"/>
  <c r="H3815" i="33"/>
  <c r="D3815" i="33" s="1"/>
  <c r="E3815" i="33" s="1"/>
  <c r="F3815" i="33" s="1"/>
  <c r="H3814" i="33"/>
  <c r="D3814" i="33" s="1"/>
  <c r="E3814" i="33" s="1"/>
  <c r="F3814" i="33" s="1"/>
  <c r="H3813" i="33"/>
  <c r="D3813" i="33" s="1"/>
  <c r="E3813" i="33" s="1"/>
  <c r="F3813" i="33" s="1"/>
  <c r="H3812" i="33"/>
  <c r="D3812" i="33" s="1"/>
  <c r="E3812" i="33" s="1"/>
  <c r="F3812" i="33" s="1"/>
  <c r="H3811" i="33"/>
  <c r="D3811" i="33" s="1"/>
  <c r="E3811" i="33" s="1"/>
  <c r="F3811" i="33" s="1"/>
  <c r="H3810" i="33"/>
  <c r="D3810" i="33" s="1"/>
  <c r="E3810" i="33" s="1"/>
  <c r="F3810" i="33" s="1"/>
  <c r="H3809" i="33"/>
  <c r="D3809" i="33" s="1"/>
  <c r="E3809" i="33" s="1"/>
  <c r="F3809" i="33" s="1"/>
  <c r="H3808" i="33"/>
  <c r="D3808" i="33" s="1"/>
  <c r="E3808" i="33" s="1"/>
  <c r="F3808" i="33" s="1"/>
  <c r="H3807" i="33"/>
  <c r="D3807" i="33" s="1"/>
  <c r="E3807" i="33" s="1"/>
  <c r="F3807" i="33" s="1"/>
  <c r="H3806" i="33"/>
  <c r="D3806" i="33" s="1"/>
  <c r="E3806" i="33" s="1"/>
  <c r="F3806" i="33" s="1"/>
  <c r="H3805" i="33"/>
  <c r="D3805" i="33" s="1"/>
  <c r="E3805" i="33" s="1"/>
  <c r="F3805" i="33" s="1"/>
  <c r="H3804" i="33"/>
  <c r="D3804" i="33" s="1"/>
  <c r="E3804" i="33" s="1"/>
  <c r="F3804" i="33" s="1"/>
  <c r="H3803" i="33"/>
  <c r="D3803" i="33" s="1"/>
  <c r="E3803" i="33" s="1"/>
  <c r="F3803" i="33" s="1"/>
  <c r="H3802" i="33"/>
  <c r="D3802" i="33" s="1"/>
  <c r="E3802" i="33" s="1"/>
  <c r="F3802" i="33" s="1"/>
  <c r="H3801" i="33"/>
  <c r="D3801" i="33" s="1"/>
  <c r="E3801" i="33" s="1"/>
  <c r="F3801" i="33" s="1"/>
  <c r="H3800" i="33"/>
  <c r="D3800" i="33" s="1"/>
  <c r="E3800" i="33" s="1"/>
  <c r="F3800" i="33" s="1"/>
  <c r="H3799" i="33"/>
  <c r="D3799" i="33" s="1"/>
  <c r="E3799" i="33" s="1"/>
  <c r="F3799" i="33" s="1"/>
  <c r="H3798" i="33"/>
  <c r="D3798" i="33" s="1"/>
  <c r="E3798" i="33" s="1"/>
  <c r="F3798" i="33" s="1"/>
  <c r="H3797" i="33"/>
  <c r="D3797" i="33" s="1"/>
  <c r="E3797" i="33" s="1"/>
  <c r="F3797" i="33" s="1"/>
  <c r="H3796" i="33"/>
  <c r="D3796" i="33" s="1"/>
  <c r="E3796" i="33" s="1"/>
  <c r="F3796" i="33" s="1"/>
  <c r="H3795" i="33"/>
  <c r="D3795" i="33" s="1"/>
  <c r="E3795" i="33" s="1"/>
  <c r="F3795" i="33" s="1"/>
  <c r="H3794" i="33"/>
  <c r="D3794" i="33" s="1"/>
  <c r="E3794" i="33" s="1"/>
  <c r="F3794" i="33" s="1"/>
  <c r="I3793" i="33"/>
  <c r="H3793" i="33"/>
  <c r="D3793" i="33" s="1"/>
  <c r="E3793" i="33" s="1"/>
  <c r="F3793" i="33" s="1"/>
  <c r="AP86" i="32" l="1"/>
  <c r="F3934" i="33"/>
  <c r="AN86" i="32" s="1"/>
  <c r="F3870" i="33"/>
  <c r="E3818" i="33"/>
  <c r="F3818" i="33" s="1"/>
  <c r="F3823" i="33" s="1"/>
  <c r="H18680" i="25"/>
  <c r="D18680" i="25" s="1"/>
  <c r="E18680" i="25" s="1"/>
  <c r="F18680" i="25" s="1"/>
  <c r="H18679" i="25"/>
  <c r="D18679" i="25" s="1"/>
  <c r="E18679" i="25" s="1"/>
  <c r="F18679" i="25" s="1"/>
  <c r="H18678" i="25"/>
  <c r="D18678" i="25" s="1"/>
  <c r="E18678" i="25" s="1"/>
  <c r="F18678" i="25" s="1"/>
  <c r="H18677" i="25"/>
  <c r="D18677" i="25" s="1"/>
  <c r="E18677" i="25" s="1"/>
  <c r="F18677" i="25" s="1"/>
  <c r="H18676" i="25"/>
  <c r="D18676" i="25" s="1"/>
  <c r="E18676" i="25" s="1"/>
  <c r="F18676" i="25" s="1"/>
  <c r="H18675" i="25"/>
  <c r="D18675" i="25" s="1"/>
  <c r="E18675" i="25" s="1"/>
  <c r="F18675" i="25" s="1"/>
  <c r="H18674" i="25"/>
  <c r="D18674" i="25" s="1"/>
  <c r="E18674" i="25" s="1"/>
  <c r="F18674" i="25" s="1"/>
  <c r="H18673" i="25"/>
  <c r="D18673" i="25" s="1"/>
  <c r="E18673" i="25" s="1"/>
  <c r="F18673" i="25" s="1"/>
  <c r="H18672" i="25"/>
  <c r="D18672" i="25" s="1"/>
  <c r="E18672" i="25" s="1"/>
  <c r="F18672" i="25" s="1"/>
  <c r="H18671" i="25"/>
  <c r="D18671" i="25" s="1"/>
  <c r="E18671" i="25" s="1"/>
  <c r="F18671" i="25" s="1"/>
  <c r="H18670" i="25"/>
  <c r="D18670" i="25" s="1"/>
  <c r="E18670" i="25" s="1"/>
  <c r="F18670" i="25" s="1"/>
  <c r="H18669" i="25"/>
  <c r="D18669" i="25" s="1"/>
  <c r="H18668" i="25"/>
  <c r="D18668" i="25" s="1"/>
  <c r="H18667" i="25"/>
  <c r="D18667" i="25" s="1"/>
  <c r="E18667" i="25" s="1"/>
  <c r="F18667" i="25" s="1"/>
  <c r="H18666" i="25"/>
  <c r="D18666" i="25" s="1"/>
  <c r="E18666" i="25" s="1"/>
  <c r="F18666" i="25" s="1"/>
  <c r="H18665" i="25"/>
  <c r="D18665" i="25" s="1"/>
  <c r="E18665" i="25" s="1"/>
  <c r="F18665" i="25" s="1"/>
  <c r="H18664" i="25"/>
  <c r="D18664" i="25" s="1"/>
  <c r="E18664" i="25" s="1"/>
  <c r="F18664" i="25" s="1"/>
  <c r="H18663" i="25"/>
  <c r="D18663" i="25" s="1"/>
  <c r="E18663" i="25" s="1"/>
  <c r="F18663" i="25" s="1"/>
  <c r="H18662" i="25"/>
  <c r="D18662" i="25" s="1"/>
  <c r="H18661" i="25"/>
  <c r="D18661" i="25" s="1"/>
  <c r="H18660" i="25"/>
  <c r="D18660" i="25" s="1"/>
  <c r="E18660" i="25" s="1"/>
  <c r="F18660" i="25" s="1"/>
  <c r="H18659" i="25"/>
  <c r="D18659" i="25" s="1"/>
  <c r="E18659" i="25" s="1"/>
  <c r="F18659" i="25" s="1"/>
  <c r="H18658" i="25"/>
  <c r="D18658" i="25" s="1"/>
  <c r="E18658" i="25" s="1"/>
  <c r="F18658" i="25" s="1"/>
  <c r="H18657" i="25"/>
  <c r="D18657" i="25" s="1"/>
  <c r="E18657" i="25" s="1"/>
  <c r="F18657" i="25" s="1"/>
  <c r="H18656" i="25"/>
  <c r="D18656" i="25" s="1"/>
  <c r="E18656" i="25" s="1"/>
  <c r="F18656" i="25" s="1"/>
  <c r="H18655" i="25"/>
  <c r="D18655" i="25" s="1"/>
  <c r="H18654" i="25"/>
  <c r="D18654" i="25" s="1"/>
  <c r="E18654" i="25" s="1"/>
  <c r="F18654" i="25" s="1"/>
  <c r="H18653" i="25"/>
  <c r="D18653" i="25" s="1"/>
  <c r="E18653" i="25" s="1"/>
  <c r="F18653" i="25" s="1"/>
  <c r="H18652" i="25"/>
  <c r="D18652" i="25" s="1"/>
  <c r="E18652" i="25" s="1"/>
  <c r="F18652" i="25" s="1"/>
  <c r="H18651" i="25"/>
  <c r="D18651" i="25" s="1"/>
  <c r="E18651" i="25" s="1"/>
  <c r="F18651" i="25" s="1"/>
  <c r="AQ84" i="32" l="1"/>
  <c r="E3877" i="33"/>
  <c r="E3876" i="33"/>
  <c r="E3875" i="33"/>
  <c r="E3882" i="33"/>
  <c r="E3874" i="33"/>
  <c r="E3881" i="33"/>
  <c r="E3873" i="33"/>
  <c r="E3879" i="33"/>
  <c r="E3871" i="33"/>
  <c r="E3880" i="33"/>
  <c r="E3872" i="33"/>
  <c r="E3878" i="33"/>
  <c r="AQ85" i="32"/>
  <c r="E3828" i="33"/>
  <c r="E3835" i="33"/>
  <c r="E3827" i="33"/>
  <c r="E3834" i="33"/>
  <c r="E3826" i="33"/>
  <c r="E3830" i="33"/>
  <c r="E3833" i="33"/>
  <c r="E3825" i="33"/>
  <c r="E3832" i="33"/>
  <c r="E3824" i="33"/>
  <c r="E3831" i="33"/>
  <c r="E3829" i="33"/>
  <c r="E18669" i="25"/>
  <c r="F18669" i="25" s="1"/>
  <c r="E18668" i="25"/>
  <c r="F18668" i="25" s="1"/>
  <c r="E18662" i="25"/>
  <c r="F18662" i="25" s="1"/>
  <c r="E18661" i="25"/>
  <c r="F18661" i="25" s="1"/>
  <c r="E18655" i="25"/>
  <c r="F18655" i="25" s="1"/>
  <c r="C17220" i="25"/>
  <c r="E3883" i="33" l="1"/>
  <c r="F18681" i="25"/>
  <c r="I3841" i="33" l="1"/>
  <c r="F3883" i="33"/>
  <c r="AQ567" i="29"/>
  <c r="E18694" i="25"/>
  <c r="E18686" i="25"/>
  <c r="E18693" i="25"/>
  <c r="E18685" i="25"/>
  <c r="E18692" i="25"/>
  <c r="E18684" i="25"/>
  <c r="E18699" i="25"/>
  <c r="E18691" i="25"/>
  <c r="E18683" i="25"/>
  <c r="E18698" i="25"/>
  <c r="E18690" i="25"/>
  <c r="E18682" i="25"/>
  <c r="E18697" i="25"/>
  <c r="E18689" i="25"/>
  <c r="E18696" i="25"/>
  <c r="E18688" i="25"/>
  <c r="E18695" i="25"/>
  <c r="E18687" i="25"/>
  <c r="E18957" i="25" l="1"/>
  <c r="F18957" i="25" s="1"/>
  <c r="AP84" i="32"/>
  <c r="F3884" i="33"/>
  <c r="AN84" i="32" s="1"/>
  <c r="E18700" i="25"/>
  <c r="F18700" i="25" s="1"/>
  <c r="F18958" i="25" l="1"/>
  <c r="AN576" i="29" s="1"/>
  <c r="AP576" i="29"/>
  <c r="F18701" i="25"/>
  <c r="AN567" i="29" s="1"/>
  <c r="AP567" i="29"/>
  <c r="AV85" i="32" l="1"/>
  <c r="AW85" i="32" s="1"/>
  <c r="AR85" i="32"/>
  <c r="AS85" i="32" s="1"/>
  <c r="AF85" i="32"/>
  <c r="AZ85" i="32" l="1"/>
  <c r="AV567" i="29" l="1"/>
  <c r="AW567" i="29" s="1"/>
  <c r="AR567" i="29"/>
  <c r="AG567" i="29"/>
  <c r="AZ567" i="29" l="1"/>
  <c r="H18627" i="25" l="1"/>
  <c r="D18627" i="25" s="1"/>
  <c r="E18627" i="25" s="1"/>
  <c r="F18627" i="25" s="1"/>
  <c r="H18626" i="25"/>
  <c r="D18626" i="25" s="1"/>
  <c r="E18626" i="25" s="1"/>
  <c r="F18626" i="25" s="1"/>
  <c r="H18625" i="25"/>
  <c r="D18625" i="25" s="1"/>
  <c r="E18625" i="25" s="1"/>
  <c r="F18625" i="25" s="1"/>
  <c r="H18624" i="25"/>
  <c r="D18624" i="25" s="1"/>
  <c r="E18624" i="25" s="1"/>
  <c r="F18624" i="25" s="1"/>
  <c r="H18623" i="25"/>
  <c r="D18623" i="25" s="1"/>
  <c r="E18623" i="25" s="1"/>
  <c r="F18623" i="25" s="1"/>
  <c r="H18622" i="25"/>
  <c r="D18622" i="25" s="1"/>
  <c r="E18622" i="25" s="1"/>
  <c r="F18622" i="25" s="1"/>
  <c r="H18621" i="25"/>
  <c r="D18621" i="25" s="1"/>
  <c r="E18621" i="25" s="1"/>
  <c r="F18621" i="25" s="1"/>
  <c r="H18620" i="25"/>
  <c r="D18620" i="25" s="1"/>
  <c r="E18620" i="25" s="1"/>
  <c r="F18620" i="25" s="1"/>
  <c r="H18619" i="25"/>
  <c r="D18619" i="25" s="1"/>
  <c r="E18619" i="25" s="1"/>
  <c r="F18619" i="25" s="1"/>
  <c r="H18618" i="25"/>
  <c r="D18618" i="25" s="1"/>
  <c r="E18618" i="25" s="1"/>
  <c r="F18618" i="25" s="1"/>
  <c r="H18617" i="25"/>
  <c r="D18617" i="25" s="1"/>
  <c r="H18616" i="25"/>
  <c r="D18616" i="25" s="1"/>
  <c r="E18616" i="25" s="1"/>
  <c r="F18616" i="25" s="1"/>
  <c r="H18615" i="25"/>
  <c r="D18615" i="25" s="1"/>
  <c r="E18615" i="25" s="1"/>
  <c r="F18615" i="25" s="1"/>
  <c r="H18614" i="25"/>
  <c r="D18614" i="25" s="1"/>
  <c r="E18614" i="25" s="1"/>
  <c r="F18614" i="25" s="1"/>
  <c r="H18613" i="25"/>
  <c r="D18613" i="25" s="1"/>
  <c r="E18613" i="25" s="1"/>
  <c r="F18613" i="25" s="1"/>
  <c r="H18612" i="25"/>
  <c r="D18612" i="25" s="1"/>
  <c r="H18611" i="25"/>
  <c r="D18611" i="25" s="1"/>
  <c r="H18610" i="25"/>
  <c r="D18610" i="25" s="1"/>
  <c r="E18610" i="25" s="1"/>
  <c r="F18610" i="25" s="1"/>
  <c r="H18609" i="25"/>
  <c r="D18609" i="25" s="1"/>
  <c r="E18609" i="25" s="1"/>
  <c r="F18609" i="25" s="1"/>
  <c r="H18608" i="25"/>
  <c r="H18607" i="25"/>
  <c r="D18607" i="25" s="1"/>
  <c r="E18607" i="25" s="1"/>
  <c r="F18607" i="25" s="1"/>
  <c r="H18606" i="25"/>
  <c r="D18606" i="25" s="1"/>
  <c r="E18606" i="25" s="1"/>
  <c r="F18606" i="25" s="1"/>
  <c r="H18605" i="25"/>
  <c r="D18605" i="25" s="1"/>
  <c r="E18605" i="25" s="1"/>
  <c r="F18605" i="25" s="1"/>
  <c r="H18604" i="25"/>
  <c r="D18604" i="25" s="1"/>
  <c r="E18604" i="25" s="1"/>
  <c r="F18604" i="25" s="1"/>
  <c r="H18603" i="25"/>
  <c r="D18603" i="25" s="1"/>
  <c r="E18603" i="25" s="1"/>
  <c r="F18603" i="25" s="1"/>
  <c r="H18602" i="25"/>
  <c r="D18602" i="25" s="1"/>
  <c r="E18602" i="25" s="1"/>
  <c r="F18602" i="25" s="1"/>
  <c r="H18601" i="25"/>
  <c r="D18601" i="25" s="1"/>
  <c r="E18601" i="25" s="1"/>
  <c r="F18601" i="25" s="1"/>
  <c r="H18600" i="25"/>
  <c r="D18600" i="25" s="1"/>
  <c r="E18600" i="25" s="1"/>
  <c r="F18600" i="25" s="1"/>
  <c r="H18599" i="25"/>
  <c r="D18599" i="25" s="1"/>
  <c r="E18599" i="25" s="1"/>
  <c r="F18599" i="25" s="1"/>
  <c r="H18598" i="25"/>
  <c r="D18598" i="25" s="1"/>
  <c r="E18598" i="25" s="1"/>
  <c r="F18598" i="25" s="1"/>
  <c r="E18596" i="25"/>
  <c r="H3775" i="33"/>
  <c r="D3775" i="33" s="1"/>
  <c r="E3775" i="33" s="1"/>
  <c r="F3775" i="33" s="1"/>
  <c r="H3774" i="33"/>
  <c r="D3774" i="33" s="1"/>
  <c r="E3774" i="33" s="1"/>
  <c r="F3774" i="33" s="1"/>
  <c r="H3773" i="33"/>
  <c r="D3773" i="33" s="1"/>
  <c r="E3773" i="33" s="1"/>
  <c r="F3773" i="33" s="1"/>
  <c r="H3772" i="33"/>
  <c r="D3772" i="33" s="1"/>
  <c r="E3772" i="33" s="1"/>
  <c r="F3772" i="33" s="1"/>
  <c r="H3771" i="33"/>
  <c r="D3771" i="33" s="1"/>
  <c r="E3771" i="33" s="1"/>
  <c r="F3771" i="33" s="1"/>
  <c r="H3770" i="33"/>
  <c r="D3770" i="33" s="1"/>
  <c r="E3770" i="33" s="1"/>
  <c r="F3770" i="33" s="1"/>
  <c r="H3769" i="33"/>
  <c r="D3769" i="33" s="1"/>
  <c r="E3769" i="33" s="1"/>
  <c r="F3769" i="33" s="1"/>
  <c r="H3768" i="33"/>
  <c r="D3768" i="33" s="1"/>
  <c r="E3768" i="33" s="1"/>
  <c r="F3768" i="33" s="1"/>
  <c r="H3767" i="33"/>
  <c r="D3767" i="33" s="1"/>
  <c r="E3767" i="33" s="1"/>
  <c r="F3767" i="33" s="1"/>
  <c r="H3766" i="33"/>
  <c r="D3766" i="33" s="1"/>
  <c r="E3766" i="33" s="1"/>
  <c r="F3766" i="33" s="1"/>
  <c r="H3765" i="33"/>
  <c r="D3765" i="33" s="1"/>
  <c r="E3765" i="33" s="1"/>
  <c r="F3765" i="33" s="1"/>
  <c r="H3764" i="33"/>
  <c r="D3764" i="33" s="1"/>
  <c r="E3764" i="33" s="1"/>
  <c r="F3764" i="33" s="1"/>
  <c r="H3763" i="33"/>
  <c r="D3763" i="33" s="1"/>
  <c r="E3763" i="33" s="1"/>
  <c r="F3763" i="33" s="1"/>
  <c r="H3762" i="33"/>
  <c r="D3762" i="33" s="1"/>
  <c r="E3762" i="33" s="1"/>
  <c r="F3762" i="33" s="1"/>
  <c r="H3761" i="33"/>
  <c r="D3761" i="33" s="1"/>
  <c r="E3761" i="33" s="1"/>
  <c r="F3761" i="33" s="1"/>
  <c r="H3760" i="33"/>
  <c r="D3760" i="33" s="1"/>
  <c r="E3760" i="33" s="1"/>
  <c r="F3760" i="33" s="1"/>
  <c r="H3759" i="33"/>
  <c r="D3759" i="33" s="1"/>
  <c r="E3759" i="33" s="1"/>
  <c r="F3759" i="33" s="1"/>
  <c r="H3758" i="33"/>
  <c r="D3758" i="33" s="1"/>
  <c r="E3758" i="33" s="1"/>
  <c r="F3758" i="33" s="1"/>
  <c r="H3757" i="33"/>
  <c r="D3757" i="33" s="1"/>
  <c r="E3757" i="33" s="1"/>
  <c r="F3757" i="33" s="1"/>
  <c r="H3756" i="33"/>
  <c r="D3756" i="33" s="1"/>
  <c r="E3756" i="33" s="1"/>
  <c r="F3756" i="33" s="1"/>
  <c r="H3755" i="33"/>
  <c r="D3755" i="33" s="1"/>
  <c r="E3755" i="33" s="1"/>
  <c r="F3755" i="33" s="1"/>
  <c r="H3754" i="33"/>
  <c r="D3754" i="33" s="1"/>
  <c r="E3754" i="33" s="1"/>
  <c r="F3754" i="33" s="1"/>
  <c r="H3753" i="33"/>
  <c r="D3753" i="33" s="1"/>
  <c r="E3753" i="33" s="1"/>
  <c r="F3753" i="33" s="1"/>
  <c r="H3752" i="33"/>
  <c r="D3752" i="33" s="1"/>
  <c r="E3752" i="33" s="1"/>
  <c r="F3752" i="33" s="1"/>
  <c r="H3751" i="33"/>
  <c r="D3751" i="33" s="1"/>
  <c r="E3751" i="33" s="1"/>
  <c r="F3751" i="33" s="1"/>
  <c r="H3750" i="33"/>
  <c r="D3750" i="33" s="1"/>
  <c r="E3750" i="33" s="1"/>
  <c r="F3750" i="33" s="1"/>
  <c r="H3749" i="33"/>
  <c r="D3749" i="33" s="1"/>
  <c r="E3749" i="33" s="1"/>
  <c r="F3749" i="33" s="1"/>
  <c r="H3748" i="33"/>
  <c r="D3748" i="33" s="1"/>
  <c r="E3748" i="33" s="1"/>
  <c r="F3748" i="33" s="1"/>
  <c r="H3747" i="33"/>
  <c r="D3747" i="33" s="1"/>
  <c r="E3747" i="33" s="1"/>
  <c r="F3747" i="33" s="1"/>
  <c r="I3746" i="33"/>
  <c r="H3746" i="33"/>
  <c r="D3746" i="33" s="1"/>
  <c r="E3746" i="33" s="1"/>
  <c r="F3746" i="33" s="1"/>
  <c r="D18608" i="25" l="1"/>
  <c r="E18608" i="25" s="1"/>
  <c r="F18608" i="25" s="1"/>
  <c r="E18617" i="25"/>
  <c r="F18617" i="25" s="1"/>
  <c r="E18612" i="25"/>
  <c r="F18612" i="25" s="1"/>
  <c r="E18611" i="25"/>
  <c r="F18611" i="25" s="1"/>
  <c r="F3776" i="33"/>
  <c r="F18628" i="25" l="1"/>
  <c r="AQ83" i="32"/>
  <c r="E3783" i="33"/>
  <c r="E3782" i="33"/>
  <c r="E3781" i="33"/>
  <c r="E3788" i="33"/>
  <c r="E3780" i="33"/>
  <c r="E3787" i="33"/>
  <c r="E3779" i="33"/>
  <c r="E3785" i="33"/>
  <c r="E3777" i="33"/>
  <c r="E3786" i="33"/>
  <c r="E3778" i="33"/>
  <c r="E3784" i="33"/>
  <c r="AF84" i="32"/>
  <c r="AV84" i="32"/>
  <c r="AZ84" i="32" s="1"/>
  <c r="AR84" i="32"/>
  <c r="AS84" i="32" s="1"/>
  <c r="AV83" i="32"/>
  <c r="AZ83" i="32" s="1"/>
  <c r="AR83" i="32"/>
  <c r="AS83" i="32" s="1"/>
  <c r="AF83" i="32"/>
  <c r="AQ566" i="29" l="1"/>
  <c r="E18642" i="25"/>
  <c r="E18634" i="25"/>
  <c r="E18641" i="25"/>
  <c r="E18633" i="25"/>
  <c r="E18640" i="25"/>
  <c r="E18632" i="25"/>
  <c r="E18639" i="25"/>
  <c r="E18631" i="25"/>
  <c r="E18646" i="25"/>
  <c r="E18638" i="25"/>
  <c r="E18630" i="25"/>
  <c r="E18645" i="25"/>
  <c r="E18637" i="25"/>
  <c r="E18629" i="25"/>
  <c r="E18644" i="25"/>
  <c r="E18636" i="25"/>
  <c r="E18643" i="25"/>
  <c r="E18635" i="25"/>
  <c r="E3789" i="33"/>
  <c r="F3789" i="33" s="1"/>
  <c r="F3790" i="33" s="1"/>
  <c r="AN83" i="32" s="1"/>
  <c r="AW83" i="32"/>
  <c r="AW84" i="32"/>
  <c r="AN462" i="29"/>
  <c r="E18647" i="25" l="1"/>
  <c r="I3747" i="33"/>
  <c r="AP83" i="32"/>
  <c r="AN12" i="32"/>
  <c r="AP12" i="32"/>
  <c r="H546" i="33"/>
  <c r="H547" i="33"/>
  <c r="AP566" i="29" l="1"/>
  <c r="F18647" i="25"/>
  <c r="F18648" i="25" s="1"/>
  <c r="AN566" i="29" s="1"/>
  <c r="H3728" i="33" l="1"/>
  <c r="D3728" i="33" s="1"/>
  <c r="E3728" i="33" s="1"/>
  <c r="F3728" i="33" s="1"/>
  <c r="H3727" i="33"/>
  <c r="D3727" i="33" s="1"/>
  <c r="E3727" i="33" s="1"/>
  <c r="F3727" i="33" s="1"/>
  <c r="H3726" i="33"/>
  <c r="D3726" i="33" s="1"/>
  <c r="E3726" i="33" s="1"/>
  <c r="F3726" i="33" s="1"/>
  <c r="H3725" i="33"/>
  <c r="D3725" i="33" s="1"/>
  <c r="E3725" i="33" s="1"/>
  <c r="F3725" i="33" s="1"/>
  <c r="H3724" i="33"/>
  <c r="D3724" i="33" s="1"/>
  <c r="E3724" i="33" s="1"/>
  <c r="F3724" i="33" s="1"/>
  <c r="H3723" i="33"/>
  <c r="D3723" i="33" s="1"/>
  <c r="E3723" i="33" s="1"/>
  <c r="F3723" i="33" s="1"/>
  <c r="H3722" i="33"/>
  <c r="D3722" i="33" s="1"/>
  <c r="E3722" i="33" s="1"/>
  <c r="F3722" i="33" s="1"/>
  <c r="H3721" i="33"/>
  <c r="D3721" i="33" s="1"/>
  <c r="E3721" i="33" s="1"/>
  <c r="F3721" i="33" s="1"/>
  <c r="H3720" i="33"/>
  <c r="D3720" i="33" s="1"/>
  <c r="E3720" i="33" s="1"/>
  <c r="F3720" i="33" s="1"/>
  <c r="H3719" i="33"/>
  <c r="D3719" i="33" s="1"/>
  <c r="E3719" i="33" s="1"/>
  <c r="F3719" i="33" s="1"/>
  <c r="H3718" i="33"/>
  <c r="D3718" i="33" s="1"/>
  <c r="H3717" i="33"/>
  <c r="D3717" i="33" s="1"/>
  <c r="E3717" i="33" s="1"/>
  <c r="F3717" i="33" s="1"/>
  <c r="H3716" i="33"/>
  <c r="D3716" i="33" s="1"/>
  <c r="E3716" i="33" s="1"/>
  <c r="F3716" i="33" s="1"/>
  <c r="H3715" i="33"/>
  <c r="D3715" i="33" s="1"/>
  <c r="E3715" i="33" s="1"/>
  <c r="F3715" i="33" s="1"/>
  <c r="H3714" i="33"/>
  <c r="D3714" i="33" s="1"/>
  <c r="E3714" i="33" s="1"/>
  <c r="F3714" i="33" s="1"/>
  <c r="H3713" i="33"/>
  <c r="D3713" i="33" s="1"/>
  <c r="E3713" i="33" s="1"/>
  <c r="F3713" i="33" s="1"/>
  <c r="H3712" i="33"/>
  <c r="D3712" i="33" s="1"/>
  <c r="E3712" i="33" s="1"/>
  <c r="F3712" i="33" s="1"/>
  <c r="H3711" i="33"/>
  <c r="D3711" i="33" s="1"/>
  <c r="E3711" i="33" s="1"/>
  <c r="F3711" i="33" s="1"/>
  <c r="H3710" i="33"/>
  <c r="D3710" i="33" s="1"/>
  <c r="E3710" i="33" s="1"/>
  <c r="F3710" i="33" s="1"/>
  <c r="H3709" i="33"/>
  <c r="D3709" i="33" s="1"/>
  <c r="E3709" i="33" s="1"/>
  <c r="F3709" i="33" s="1"/>
  <c r="H3708" i="33"/>
  <c r="D3708" i="33" s="1"/>
  <c r="E3708" i="33" s="1"/>
  <c r="F3708" i="33" s="1"/>
  <c r="H3707" i="33"/>
  <c r="D3707" i="33" s="1"/>
  <c r="E3707" i="33" s="1"/>
  <c r="F3707" i="33" s="1"/>
  <c r="H3706" i="33"/>
  <c r="D3706" i="33" s="1"/>
  <c r="E3706" i="33" s="1"/>
  <c r="F3706" i="33" s="1"/>
  <c r="H3705" i="33"/>
  <c r="D3705" i="33" s="1"/>
  <c r="E3705" i="33" s="1"/>
  <c r="F3705" i="33" s="1"/>
  <c r="H3704" i="33"/>
  <c r="D3704" i="33" s="1"/>
  <c r="E3704" i="33" s="1"/>
  <c r="F3704" i="33" s="1"/>
  <c r="H3703" i="33"/>
  <c r="D3703" i="33" s="1"/>
  <c r="E3703" i="33" s="1"/>
  <c r="F3703" i="33" s="1"/>
  <c r="H3702" i="33"/>
  <c r="D3702" i="33" s="1"/>
  <c r="E3702" i="33" s="1"/>
  <c r="F3702" i="33" s="1"/>
  <c r="H3701" i="33"/>
  <c r="D3701" i="33" s="1"/>
  <c r="E3701" i="33" s="1"/>
  <c r="F3701" i="33" s="1"/>
  <c r="H3700" i="33"/>
  <c r="D3700" i="33" s="1"/>
  <c r="E3700" i="33" s="1"/>
  <c r="F3700" i="33" s="1"/>
  <c r="I3699" i="33"/>
  <c r="H3699" i="33"/>
  <c r="D3699" i="33" s="1"/>
  <c r="E3699" i="33" s="1"/>
  <c r="F3699" i="33" s="1"/>
  <c r="E3718" i="33" l="1"/>
  <c r="F3718" i="33" s="1"/>
  <c r="F3729" i="33" s="1"/>
  <c r="AQ82" i="32" l="1"/>
  <c r="E3736" i="33"/>
  <c r="E3735" i="33"/>
  <c r="E3734" i="33"/>
  <c r="E3741" i="33"/>
  <c r="E3733" i="33"/>
  <c r="E3740" i="33"/>
  <c r="E3732" i="33"/>
  <c r="E3739" i="33"/>
  <c r="E3731" i="33"/>
  <c r="E3738" i="33"/>
  <c r="E3730" i="33"/>
  <c r="E3737" i="33"/>
  <c r="H3681" i="33" l="1"/>
  <c r="D3681" i="33" s="1"/>
  <c r="E3681" i="33" s="1"/>
  <c r="F3681" i="33" s="1"/>
  <c r="H3680" i="33"/>
  <c r="D3680" i="33" s="1"/>
  <c r="E3680" i="33" s="1"/>
  <c r="F3680" i="33" s="1"/>
  <c r="H3679" i="33"/>
  <c r="D3679" i="33" s="1"/>
  <c r="E3679" i="33" s="1"/>
  <c r="F3679" i="33" s="1"/>
  <c r="H3678" i="33"/>
  <c r="D3678" i="33" s="1"/>
  <c r="E3678" i="33" s="1"/>
  <c r="F3678" i="33" s="1"/>
  <c r="H3677" i="33"/>
  <c r="D3677" i="33" s="1"/>
  <c r="E3677" i="33" s="1"/>
  <c r="F3677" i="33" s="1"/>
  <c r="H3676" i="33"/>
  <c r="D3676" i="33" s="1"/>
  <c r="E3676" i="33" s="1"/>
  <c r="F3676" i="33" s="1"/>
  <c r="H3675" i="33"/>
  <c r="D3675" i="33" s="1"/>
  <c r="E3675" i="33" s="1"/>
  <c r="F3675" i="33" s="1"/>
  <c r="H3674" i="33"/>
  <c r="D3674" i="33" s="1"/>
  <c r="E3674" i="33" s="1"/>
  <c r="F3674" i="33" s="1"/>
  <c r="H3673" i="33"/>
  <c r="D3673" i="33" s="1"/>
  <c r="E3673" i="33" s="1"/>
  <c r="F3673" i="33" s="1"/>
  <c r="H3672" i="33"/>
  <c r="D3672" i="33" s="1"/>
  <c r="E3672" i="33" s="1"/>
  <c r="F3672" i="33" s="1"/>
  <c r="H3671" i="33"/>
  <c r="D3671" i="33" s="1"/>
  <c r="E3671" i="33" s="1"/>
  <c r="F3671" i="33" s="1"/>
  <c r="H3670" i="33"/>
  <c r="D3670" i="33" s="1"/>
  <c r="E3670" i="33" s="1"/>
  <c r="F3670" i="33" s="1"/>
  <c r="H3669" i="33"/>
  <c r="D3669" i="33" s="1"/>
  <c r="E3669" i="33" s="1"/>
  <c r="F3669" i="33" s="1"/>
  <c r="H3668" i="33"/>
  <c r="D3668" i="33" s="1"/>
  <c r="E3668" i="33" s="1"/>
  <c r="F3668" i="33" s="1"/>
  <c r="H3667" i="33"/>
  <c r="D3667" i="33" s="1"/>
  <c r="E3667" i="33" s="1"/>
  <c r="F3667" i="33" s="1"/>
  <c r="H3666" i="33"/>
  <c r="H3665" i="33"/>
  <c r="D3665" i="33" s="1"/>
  <c r="E3665" i="33" s="1"/>
  <c r="F3665" i="33" s="1"/>
  <c r="H3664" i="33"/>
  <c r="D3664" i="33" s="1"/>
  <c r="E3664" i="33" s="1"/>
  <c r="F3664" i="33" s="1"/>
  <c r="H3663" i="33"/>
  <c r="D3663" i="33" s="1"/>
  <c r="E3663" i="33" s="1"/>
  <c r="F3663" i="33" s="1"/>
  <c r="H3662" i="33"/>
  <c r="D3662" i="33" s="1"/>
  <c r="E3662" i="33" s="1"/>
  <c r="F3662" i="33" s="1"/>
  <c r="H3661" i="33"/>
  <c r="D3661" i="33" s="1"/>
  <c r="E3661" i="33" s="1"/>
  <c r="F3661" i="33" s="1"/>
  <c r="H3660" i="33"/>
  <c r="D3660" i="33" s="1"/>
  <c r="E3660" i="33" s="1"/>
  <c r="F3660" i="33" s="1"/>
  <c r="H3659" i="33"/>
  <c r="D3659" i="33" s="1"/>
  <c r="E3659" i="33" s="1"/>
  <c r="F3659" i="33" s="1"/>
  <c r="H3658" i="33"/>
  <c r="D3658" i="33" s="1"/>
  <c r="E3658" i="33" s="1"/>
  <c r="F3658" i="33" s="1"/>
  <c r="H3657" i="33"/>
  <c r="D3657" i="33" s="1"/>
  <c r="E3657" i="33" s="1"/>
  <c r="F3657" i="33" s="1"/>
  <c r="H3656" i="33"/>
  <c r="D3656" i="33" s="1"/>
  <c r="E3656" i="33" s="1"/>
  <c r="F3656" i="33" s="1"/>
  <c r="H3655" i="33"/>
  <c r="D3655" i="33" s="1"/>
  <c r="E3655" i="33" s="1"/>
  <c r="F3655" i="33" s="1"/>
  <c r="H3654" i="33"/>
  <c r="D3654" i="33" s="1"/>
  <c r="E3654" i="33" s="1"/>
  <c r="F3654" i="33" s="1"/>
  <c r="H3653" i="33"/>
  <c r="D3653" i="33" s="1"/>
  <c r="E3653" i="33" s="1"/>
  <c r="F3653" i="33" s="1"/>
  <c r="I3652" i="33"/>
  <c r="H3652" i="33"/>
  <c r="D3652" i="33" s="1"/>
  <c r="E3652" i="33" s="1"/>
  <c r="F3652" i="33" s="1"/>
  <c r="D3666" i="33" l="1"/>
  <c r="E3666" i="33" s="1"/>
  <c r="F3666" i="33" s="1"/>
  <c r="F3682" i="33" s="1"/>
  <c r="E3685" i="33" l="1"/>
  <c r="E3694" i="33"/>
  <c r="E3686" i="33"/>
  <c r="E3692" i="33"/>
  <c r="E3684" i="33"/>
  <c r="E3691" i="33"/>
  <c r="E3683" i="33"/>
  <c r="E3687" i="33"/>
  <c r="E3690" i="33"/>
  <c r="AQ81" i="32"/>
  <c r="E3689" i="33"/>
  <c r="E3688" i="33"/>
  <c r="E3693" i="33"/>
  <c r="H18563" i="25"/>
  <c r="D18563" i="25" s="1"/>
  <c r="E18563" i="25" s="1"/>
  <c r="F18563" i="25" s="1"/>
  <c r="H18562" i="25"/>
  <c r="D18562" i="25" s="1"/>
  <c r="E18562" i="25" s="1"/>
  <c r="F18562" i="25" s="1"/>
  <c r="H18561" i="25"/>
  <c r="D18561" i="25" s="1"/>
  <c r="E18561" i="25" s="1"/>
  <c r="F18561" i="25" s="1"/>
  <c r="H18560" i="25"/>
  <c r="D18560" i="25" s="1"/>
  <c r="E18560" i="25" s="1"/>
  <c r="F18560" i="25" s="1"/>
  <c r="H18559" i="25"/>
  <c r="D18559" i="25" s="1"/>
  <c r="E18559" i="25" s="1"/>
  <c r="F18559" i="25" s="1"/>
  <c r="H18558" i="25"/>
  <c r="D18558" i="25" s="1"/>
  <c r="E18558" i="25" s="1"/>
  <c r="F18558" i="25" s="1"/>
  <c r="H18557" i="25"/>
  <c r="D18557" i="25" s="1"/>
  <c r="E18557" i="25" s="1"/>
  <c r="F18557" i="25" s="1"/>
  <c r="H18556" i="25"/>
  <c r="D18556" i="25" s="1"/>
  <c r="E18556" i="25" s="1"/>
  <c r="F18556" i="25" s="1"/>
  <c r="H18555" i="25"/>
  <c r="D18555" i="25" s="1"/>
  <c r="E18555" i="25" s="1"/>
  <c r="F18555" i="25" s="1"/>
  <c r="H18554" i="25"/>
  <c r="D18554" i="25" s="1"/>
  <c r="H18553" i="25"/>
  <c r="D18553" i="25" s="1"/>
  <c r="E18553" i="25" s="1"/>
  <c r="F18553" i="25" s="1"/>
  <c r="H18552" i="25"/>
  <c r="D18552" i="25" s="1"/>
  <c r="H18551" i="25"/>
  <c r="D18551" i="25" s="1"/>
  <c r="E18551" i="25" s="1"/>
  <c r="F18551" i="25" s="1"/>
  <c r="H18550" i="25"/>
  <c r="D18550" i="25" s="1"/>
  <c r="E18550" i="25" s="1"/>
  <c r="F18550" i="25" s="1"/>
  <c r="H18549" i="25"/>
  <c r="D18549" i="25" s="1"/>
  <c r="E18549" i="25" s="1"/>
  <c r="F18549" i="25" s="1"/>
  <c r="H18548" i="25"/>
  <c r="D18548" i="25" s="1"/>
  <c r="H18547" i="25"/>
  <c r="D18547" i="25" s="1"/>
  <c r="E18547" i="25" s="1"/>
  <c r="F18547" i="25" s="1"/>
  <c r="H18546" i="25"/>
  <c r="D18546" i="25" s="1"/>
  <c r="E18546" i="25" s="1"/>
  <c r="F18546" i="25" s="1"/>
  <c r="H18545" i="25"/>
  <c r="D18545" i="25" s="1"/>
  <c r="E18545" i="25" s="1"/>
  <c r="F18545" i="25" s="1"/>
  <c r="H18544" i="25"/>
  <c r="D18544" i="25" s="1"/>
  <c r="E18544" i="25" s="1"/>
  <c r="F18544" i="25" s="1"/>
  <c r="H18543" i="25"/>
  <c r="D18543" i="25" s="1"/>
  <c r="E18543" i="25" s="1"/>
  <c r="F18543" i="25" s="1"/>
  <c r="H18542" i="25"/>
  <c r="D18542" i="25" s="1"/>
  <c r="E18542" i="25" s="1"/>
  <c r="F18542" i="25" s="1"/>
  <c r="H18541" i="25"/>
  <c r="D18541" i="25" s="1"/>
  <c r="E18541" i="25" s="1"/>
  <c r="F18541" i="25" s="1"/>
  <c r="H18540" i="25"/>
  <c r="D18540" i="25" s="1"/>
  <c r="E18540" i="25" s="1"/>
  <c r="F18540" i="25" s="1"/>
  <c r="H18539" i="25"/>
  <c r="D18539" i="25" s="1"/>
  <c r="E18539" i="25" s="1"/>
  <c r="F18539" i="25" s="1"/>
  <c r="H18538" i="25"/>
  <c r="D18538" i="25" s="1"/>
  <c r="E18538" i="25" s="1"/>
  <c r="F18538" i="25" s="1"/>
  <c r="H18537" i="25"/>
  <c r="D18537" i="25" s="1"/>
  <c r="E18537" i="25" s="1"/>
  <c r="F18537" i="25" s="1"/>
  <c r="H18536" i="25"/>
  <c r="D18536" i="25" s="1"/>
  <c r="E18536" i="25" s="1"/>
  <c r="F18536" i="25" s="1"/>
  <c r="H18535" i="25"/>
  <c r="D18535" i="25" s="1"/>
  <c r="E18535" i="25" s="1"/>
  <c r="F18535" i="25" s="1"/>
  <c r="H18534" i="25"/>
  <c r="D18534" i="25" s="1"/>
  <c r="E18534" i="25" s="1"/>
  <c r="F18534" i="25" s="1"/>
  <c r="E3836" i="33" l="1"/>
  <c r="F3836" i="33" s="1"/>
  <c r="E3742" i="33"/>
  <c r="E18554" i="25"/>
  <c r="F18554" i="25" s="1"/>
  <c r="E18552" i="25"/>
  <c r="F18552" i="25" s="1"/>
  <c r="E18548" i="25"/>
  <c r="F18548" i="25" s="1"/>
  <c r="H18510" i="25"/>
  <c r="D18510" i="25" s="1"/>
  <c r="E18510" i="25" s="1"/>
  <c r="F18510" i="25" s="1"/>
  <c r="H18509" i="25"/>
  <c r="D18509" i="25" s="1"/>
  <c r="E18509" i="25" s="1"/>
  <c r="F18509" i="25" s="1"/>
  <c r="H18508" i="25"/>
  <c r="D18508" i="25" s="1"/>
  <c r="E18508" i="25" s="1"/>
  <c r="F18508" i="25" s="1"/>
  <c r="H18507" i="25"/>
  <c r="D18507" i="25" s="1"/>
  <c r="E18507" i="25" s="1"/>
  <c r="F18507" i="25" s="1"/>
  <c r="H18506" i="25"/>
  <c r="D18506" i="25" s="1"/>
  <c r="E18506" i="25" s="1"/>
  <c r="F18506" i="25" s="1"/>
  <c r="H18505" i="25"/>
  <c r="D18505" i="25" s="1"/>
  <c r="E18505" i="25" s="1"/>
  <c r="F18505" i="25" s="1"/>
  <c r="H18504" i="25"/>
  <c r="D18504" i="25" s="1"/>
  <c r="E18504" i="25" s="1"/>
  <c r="F18504" i="25" s="1"/>
  <c r="H18503" i="25"/>
  <c r="D18503" i="25" s="1"/>
  <c r="E18503" i="25" s="1"/>
  <c r="F18503" i="25" s="1"/>
  <c r="H18502" i="25"/>
  <c r="D18502" i="25" s="1"/>
  <c r="E18502" i="25" s="1"/>
  <c r="F18502" i="25" s="1"/>
  <c r="H18501" i="25"/>
  <c r="D18501" i="25" s="1"/>
  <c r="E18501" i="25" s="1"/>
  <c r="F18501" i="25" s="1"/>
  <c r="H18500" i="25"/>
  <c r="D18500" i="25" s="1"/>
  <c r="E18500" i="25" s="1"/>
  <c r="F18500" i="25" s="1"/>
  <c r="H18499" i="25"/>
  <c r="D18499" i="25" s="1"/>
  <c r="H18498" i="25"/>
  <c r="D18498" i="25" s="1"/>
  <c r="E18498" i="25" s="1"/>
  <c r="F18498" i="25" s="1"/>
  <c r="H18497" i="25"/>
  <c r="D18497" i="25" s="1"/>
  <c r="E18497" i="25" s="1"/>
  <c r="F18497" i="25" s="1"/>
  <c r="H18496" i="25"/>
  <c r="D18496" i="25" s="1"/>
  <c r="E18496" i="25" s="1"/>
  <c r="F18496" i="25" s="1"/>
  <c r="H18495" i="25"/>
  <c r="D18495" i="25" s="1"/>
  <c r="E18495" i="25" s="1"/>
  <c r="F18495" i="25" s="1"/>
  <c r="H18494" i="25"/>
  <c r="D18494" i="25" s="1"/>
  <c r="E18494" i="25" s="1"/>
  <c r="F18494" i="25" s="1"/>
  <c r="H18493" i="25"/>
  <c r="D18493" i="25" s="1"/>
  <c r="E18493" i="25" s="1"/>
  <c r="F18493" i="25" s="1"/>
  <c r="H18492" i="25"/>
  <c r="D18492" i="25" s="1"/>
  <c r="E18492" i="25" s="1"/>
  <c r="F18492" i="25" s="1"/>
  <c r="H18491" i="25"/>
  <c r="D18491" i="25" s="1"/>
  <c r="E18491" i="25" s="1"/>
  <c r="F18491" i="25" s="1"/>
  <c r="H18490" i="25"/>
  <c r="D18490" i="25" s="1"/>
  <c r="E18490" i="25" s="1"/>
  <c r="F18490" i="25" s="1"/>
  <c r="H18489" i="25"/>
  <c r="D18489" i="25" s="1"/>
  <c r="H18488" i="25"/>
  <c r="D18488" i="25" s="1"/>
  <c r="E18488" i="25" s="1"/>
  <c r="F18488" i="25" s="1"/>
  <c r="H18487" i="25"/>
  <c r="D18487" i="25" s="1"/>
  <c r="E18487" i="25" s="1"/>
  <c r="F18487" i="25" s="1"/>
  <c r="H18486" i="25"/>
  <c r="D18486" i="25" s="1"/>
  <c r="E18486" i="25" s="1"/>
  <c r="F18486" i="25" s="1"/>
  <c r="H18485" i="25"/>
  <c r="D18485" i="25" s="1"/>
  <c r="E18485" i="25" s="1"/>
  <c r="F18485" i="25" s="1"/>
  <c r="H18484" i="25"/>
  <c r="D18484" i="25" s="1"/>
  <c r="H18483" i="25"/>
  <c r="D18483" i="25" s="1"/>
  <c r="E18483" i="25" s="1"/>
  <c r="F18483" i="25" s="1"/>
  <c r="H18482" i="25"/>
  <c r="D18482" i="25" s="1"/>
  <c r="E18482" i="25" s="1"/>
  <c r="F18482" i="25" s="1"/>
  <c r="H18481" i="25"/>
  <c r="D18481" i="25" s="1"/>
  <c r="E18481" i="25" s="1"/>
  <c r="F18481" i="25" s="1"/>
  <c r="F3837" i="33" l="1"/>
  <c r="AN85" i="32" s="1"/>
  <c r="AP85" i="32"/>
  <c r="I3794" i="33"/>
  <c r="F3742" i="33"/>
  <c r="I3700" i="33"/>
  <c r="F18564" i="25"/>
  <c r="E18580" i="25" s="1"/>
  <c r="E18499" i="25"/>
  <c r="F18499" i="25" s="1"/>
  <c r="E18489" i="25"/>
  <c r="F18489" i="25" s="1"/>
  <c r="E18484" i="25"/>
  <c r="F18484" i="25" s="1"/>
  <c r="F3743" i="33" l="1"/>
  <c r="AN82" i="32" s="1"/>
  <c r="AP82" i="32"/>
  <c r="E18579" i="25"/>
  <c r="E18565" i="25"/>
  <c r="E18571" i="25"/>
  <c r="E18566" i="25"/>
  <c r="E18568" i="25"/>
  <c r="E18574" i="25"/>
  <c r="E18572" i="25"/>
  <c r="E18578" i="25"/>
  <c r="E18567" i="25"/>
  <c r="E18576" i="25"/>
  <c r="E18582" i="25"/>
  <c r="E18575" i="25"/>
  <c r="AQ564" i="29"/>
  <c r="E18573" i="25"/>
  <c r="E18570" i="25"/>
  <c r="E18581" i="25"/>
  <c r="E18569" i="25"/>
  <c r="E18577" i="25"/>
  <c r="F18511" i="25"/>
  <c r="E18583" i="25" l="1"/>
  <c r="F18583" i="25" s="1"/>
  <c r="AP564" i="29" s="1"/>
  <c r="AQ563" i="29"/>
  <c r="E18525" i="25"/>
  <c r="E18517" i="25"/>
  <c r="E18524" i="25"/>
  <c r="E18516" i="25"/>
  <c r="E18523" i="25"/>
  <c r="E18515" i="25"/>
  <c r="E18522" i="25"/>
  <c r="E18514" i="25"/>
  <c r="E18529" i="25"/>
  <c r="E18521" i="25"/>
  <c r="E18513" i="25"/>
  <c r="E18528" i="25"/>
  <c r="E18520" i="25"/>
  <c r="E18512" i="25"/>
  <c r="E18527" i="25"/>
  <c r="E18519" i="25"/>
  <c r="E18526" i="25"/>
  <c r="E18518" i="25"/>
  <c r="AV82" i="32"/>
  <c r="AZ82" i="32" s="1"/>
  <c r="AR82" i="32"/>
  <c r="AS82" i="32" s="1"/>
  <c r="AF82" i="32"/>
  <c r="AV81" i="32"/>
  <c r="AW81" i="32" s="1"/>
  <c r="AR81" i="32"/>
  <c r="AS81" i="32" s="1"/>
  <c r="AF81" i="32"/>
  <c r="AV566" i="29"/>
  <c r="AW566" i="29" s="1"/>
  <c r="AR566" i="29"/>
  <c r="AG566" i="29"/>
  <c r="AV565" i="29"/>
  <c r="AW565" i="29" s="1"/>
  <c r="AR565" i="29"/>
  <c r="AS565" i="29" s="1"/>
  <c r="AG565" i="29"/>
  <c r="AZ81" i="32" l="1"/>
  <c r="F18584" i="25"/>
  <c r="AN564" i="29" s="1"/>
  <c r="E18530" i="25"/>
  <c r="F18530" i="25" s="1"/>
  <c r="AW82" i="32"/>
  <c r="AZ566" i="29"/>
  <c r="AZ565" i="29"/>
  <c r="AP563" i="29" l="1"/>
  <c r="F18531" i="25"/>
  <c r="AN563" i="29" s="1"/>
  <c r="H3634" i="33"/>
  <c r="D3634" i="33" s="1"/>
  <c r="E3634" i="33" s="1"/>
  <c r="F3634" i="33" s="1"/>
  <c r="H3633" i="33"/>
  <c r="D3633" i="33" s="1"/>
  <c r="E3633" i="33" s="1"/>
  <c r="F3633" i="33" s="1"/>
  <c r="H3632" i="33"/>
  <c r="D3632" i="33" s="1"/>
  <c r="E3632" i="33" s="1"/>
  <c r="F3632" i="33" s="1"/>
  <c r="H3631" i="33"/>
  <c r="D3631" i="33" s="1"/>
  <c r="E3631" i="33" s="1"/>
  <c r="F3631" i="33" s="1"/>
  <c r="H3630" i="33"/>
  <c r="D3630" i="33" s="1"/>
  <c r="E3630" i="33" s="1"/>
  <c r="F3630" i="33" s="1"/>
  <c r="H3629" i="33"/>
  <c r="D3629" i="33" s="1"/>
  <c r="E3629" i="33" s="1"/>
  <c r="F3629" i="33" s="1"/>
  <c r="H3628" i="33"/>
  <c r="D3628" i="33" s="1"/>
  <c r="E3628" i="33" s="1"/>
  <c r="F3628" i="33" s="1"/>
  <c r="H3627" i="33"/>
  <c r="D3627" i="33" s="1"/>
  <c r="E3627" i="33" s="1"/>
  <c r="F3627" i="33" s="1"/>
  <c r="H3626" i="33"/>
  <c r="D3626" i="33" s="1"/>
  <c r="E3626" i="33" s="1"/>
  <c r="F3626" i="33" s="1"/>
  <c r="H3625" i="33"/>
  <c r="D3625" i="33" s="1"/>
  <c r="E3625" i="33" s="1"/>
  <c r="F3625" i="33" s="1"/>
  <c r="H3624" i="33"/>
  <c r="D3624" i="33" s="1"/>
  <c r="E3624" i="33" s="1"/>
  <c r="F3624" i="33" s="1"/>
  <c r="H3623" i="33"/>
  <c r="D3623" i="33" s="1"/>
  <c r="E3623" i="33" s="1"/>
  <c r="F3623" i="33" s="1"/>
  <c r="H3622" i="33"/>
  <c r="D3622" i="33" s="1"/>
  <c r="E3622" i="33" s="1"/>
  <c r="F3622" i="33" s="1"/>
  <c r="H3621" i="33"/>
  <c r="D3621" i="33" s="1"/>
  <c r="E3621" i="33" s="1"/>
  <c r="F3621" i="33" s="1"/>
  <c r="H3620" i="33"/>
  <c r="D3620" i="33" s="1"/>
  <c r="E3620" i="33" s="1"/>
  <c r="F3620" i="33" s="1"/>
  <c r="H3619" i="33"/>
  <c r="D3619" i="33" s="1"/>
  <c r="E3619" i="33" s="1"/>
  <c r="F3619" i="33" s="1"/>
  <c r="H3618" i="33"/>
  <c r="D3618" i="33" s="1"/>
  <c r="E3618" i="33" s="1"/>
  <c r="F3618" i="33" s="1"/>
  <c r="H3617" i="33"/>
  <c r="D3617" i="33" s="1"/>
  <c r="E3617" i="33" s="1"/>
  <c r="F3617" i="33" s="1"/>
  <c r="H3616" i="33"/>
  <c r="D3616" i="33" s="1"/>
  <c r="E3616" i="33" s="1"/>
  <c r="F3616" i="33" s="1"/>
  <c r="H3615" i="33"/>
  <c r="D3615" i="33" s="1"/>
  <c r="E3615" i="33" s="1"/>
  <c r="F3615" i="33" s="1"/>
  <c r="H3614" i="33"/>
  <c r="D3614" i="33" s="1"/>
  <c r="E3614" i="33" s="1"/>
  <c r="F3614" i="33" s="1"/>
  <c r="H3613" i="33"/>
  <c r="D3613" i="33" s="1"/>
  <c r="E3613" i="33" s="1"/>
  <c r="F3613" i="33" s="1"/>
  <c r="H3612" i="33"/>
  <c r="D3612" i="33" s="1"/>
  <c r="E3612" i="33" s="1"/>
  <c r="F3612" i="33" s="1"/>
  <c r="H3611" i="33"/>
  <c r="D3611" i="33" s="1"/>
  <c r="E3611" i="33" s="1"/>
  <c r="F3611" i="33" s="1"/>
  <c r="H3610" i="33"/>
  <c r="D3610" i="33" s="1"/>
  <c r="E3610" i="33" s="1"/>
  <c r="F3610" i="33" s="1"/>
  <c r="H3609" i="33"/>
  <c r="D3609" i="33" s="1"/>
  <c r="E3609" i="33" s="1"/>
  <c r="F3609" i="33" s="1"/>
  <c r="H3608" i="33"/>
  <c r="D3608" i="33" s="1"/>
  <c r="E3608" i="33" s="1"/>
  <c r="F3608" i="33" s="1"/>
  <c r="H3607" i="33"/>
  <c r="D3607" i="33" s="1"/>
  <c r="E3607" i="33" s="1"/>
  <c r="F3607" i="33" s="1"/>
  <c r="H3606" i="33"/>
  <c r="D3606" i="33" s="1"/>
  <c r="E3606" i="33" s="1"/>
  <c r="F3606" i="33" s="1"/>
  <c r="I3605" i="33"/>
  <c r="H3605" i="33"/>
  <c r="D3605" i="33" s="1"/>
  <c r="E3605" i="33" s="1"/>
  <c r="F3605" i="33" s="1"/>
  <c r="H18457" i="25"/>
  <c r="D18457" i="25" s="1"/>
  <c r="E18457" i="25" s="1"/>
  <c r="F18457" i="25" s="1"/>
  <c r="H18456" i="25"/>
  <c r="D18456" i="25" s="1"/>
  <c r="E18456" i="25" s="1"/>
  <c r="F18456" i="25" s="1"/>
  <c r="H18455" i="25"/>
  <c r="D18455" i="25" s="1"/>
  <c r="E18455" i="25" s="1"/>
  <c r="F18455" i="25" s="1"/>
  <c r="H18454" i="25"/>
  <c r="D18454" i="25" s="1"/>
  <c r="E18454" i="25" s="1"/>
  <c r="F18454" i="25" s="1"/>
  <c r="H18453" i="25"/>
  <c r="D18453" i="25" s="1"/>
  <c r="E18453" i="25" s="1"/>
  <c r="F18453" i="25" s="1"/>
  <c r="H18452" i="25"/>
  <c r="D18452" i="25" s="1"/>
  <c r="E18452" i="25" s="1"/>
  <c r="F18452" i="25" s="1"/>
  <c r="H18451" i="25"/>
  <c r="D18451" i="25" s="1"/>
  <c r="E18451" i="25" s="1"/>
  <c r="F18451" i="25" s="1"/>
  <c r="H18450" i="25"/>
  <c r="D18450" i="25" s="1"/>
  <c r="E18450" i="25" s="1"/>
  <c r="F18450" i="25" s="1"/>
  <c r="H18449" i="25"/>
  <c r="D18449" i="25" s="1"/>
  <c r="E18449" i="25" s="1"/>
  <c r="F18449" i="25" s="1"/>
  <c r="H18448" i="25"/>
  <c r="D18448" i="25" s="1"/>
  <c r="E18448" i="25" s="1"/>
  <c r="F18448" i="25" s="1"/>
  <c r="H18447" i="25"/>
  <c r="D18447" i="25" s="1"/>
  <c r="H18446" i="25"/>
  <c r="D18446" i="25" s="1"/>
  <c r="E18446" i="25" s="1"/>
  <c r="F18446" i="25" s="1"/>
  <c r="H18445" i="25"/>
  <c r="D18445" i="25" s="1"/>
  <c r="E18445" i="25" s="1"/>
  <c r="F18445" i="25" s="1"/>
  <c r="H18444" i="25"/>
  <c r="D18444" i="25" s="1"/>
  <c r="E18444" i="25" s="1"/>
  <c r="F18444" i="25" s="1"/>
  <c r="H18443" i="25"/>
  <c r="D18443" i="25" s="1"/>
  <c r="E18443" i="25" s="1"/>
  <c r="F18443" i="25" s="1"/>
  <c r="H18442" i="25"/>
  <c r="D18442" i="25" s="1"/>
  <c r="E18442" i="25" s="1"/>
  <c r="F18442" i="25" s="1"/>
  <c r="H18441" i="25"/>
  <c r="D18441" i="25" s="1"/>
  <c r="H18440" i="25"/>
  <c r="D18440" i="25" s="1"/>
  <c r="E18440" i="25" s="1"/>
  <c r="F18440" i="25" s="1"/>
  <c r="H18439" i="25"/>
  <c r="D18439" i="25" s="1"/>
  <c r="H18438" i="25"/>
  <c r="D18438" i="25" s="1"/>
  <c r="E18438" i="25" s="1"/>
  <c r="F18438" i="25" s="1"/>
  <c r="H18437" i="25"/>
  <c r="D18437" i="25" s="1"/>
  <c r="E18437" i="25" s="1"/>
  <c r="F18437" i="25" s="1"/>
  <c r="H18436" i="25"/>
  <c r="D18436" i="25" s="1"/>
  <c r="H18435" i="25"/>
  <c r="D18435" i="25" s="1"/>
  <c r="E18435" i="25" s="1"/>
  <c r="F18435" i="25" s="1"/>
  <c r="H18434" i="25"/>
  <c r="D18434" i="25" s="1"/>
  <c r="E18434" i="25" s="1"/>
  <c r="F18434" i="25" s="1"/>
  <c r="H18433" i="25"/>
  <c r="D18433" i="25" s="1"/>
  <c r="E18433" i="25" s="1"/>
  <c r="F18433" i="25" s="1"/>
  <c r="H18432" i="25"/>
  <c r="D18432" i="25" s="1"/>
  <c r="E18432" i="25" s="1"/>
  <c r="F18432" i="25" s="1"/>
  <c r="H18431" i="25"/>
  <c r="D18431" i="25" s="1"/>
  <c r="E18431" i="25" s="1"/>
  <c r="F18431" i="25" s="1"/>
  <c r="H18430" i="25"/>
  <c r="D18430" i="25" s="1"/>
  <c r="E18430" i="25" s="1"/>
  <c r="F18430" i="25" s="1"/>
  <c r="H18429" i="25"/>
  <c r="D18429" i="25" s="1"/>
  <c r="E18429" i="25" s="1"/>
  <c r="F18429" i="25" s="1"/>
  <c r="H18428" i="25"/>
  <c r="D18428" i="25" s="1"/>
  <c r="E18428" i="25" s="1"/>
  <c r="F18428" i="25" s="1"/>
  <c r="F3635" i="33" l="1"/>
  <c r="E18447" i="25"/>
  <c r="F18447" i="25" s="1"/>
  <c r="E18441" i="25"/>
  <c r="F18441" i="25" s="1"/>
  <c r="E18439" i="25"/>
  <c r="F18439" i="25" s="1"/>
  <c r="E18436" i="25"/>
  <c r="F18436" i="25" s="1"/>
  <c r="F17942" i="25"/>
  <c r="E3647" i="33" l="1"/>
  <c r="E3639" i="33"/>
  <c r="E3646" i="33"/>
  <c r="E3638" i="33"/>
  <c r="E3645" i="33"/>
  <c r="E3637" i="33"/>
  <c r="E3640" i="33"/>
  <c r="E3644" i="33"/>
  <c r="E3636" i="33"/>
  <c r="E3643" i="33"/>
  <c r="AQ80" i="32"/>
  <c r="E3642" i="33"/>
  <c r="E3641" i="33"/>
  <c r="F18458" i="25"/>
  <c r="E3695" i="33" l="1"/>
  <c r="I3653" i="33" s="1"/>
  <c r="E3648" i="33"/>
  <c r="AQ562" i="29"/>
  <c r="E18472" i="25"/>
  <c r="E18464" i="25"/>
  <c r="E18473" i="25"/>
  <c r="E18465" i="25"/>
  <c r="E18471" i="25"/>
  <c r="E18463" i="25"/>
  <c r="E18470" i="25"/>
  <c r="E18462" i="25"/>
  <c r="E18469" i="25"/>
  <c r="E18461" i="25"/>
  <c r="E18476" i="25"/>
  <c r="E18468" i="25"/>
  <c r="E18460" i="25"/>
  <c r="E18475" i="25"/>
  <c r="E18467" i="25"/>
  <c r="E18459" i="25"/>
  <c r="E18474" i="25"/>
  <c r="E18466" i="25"/>
  <c r="AV11" i="32"/>
  <c r="AX11" i="32" s="1"/>
  <c r="AR11" i="32"/>
  <c r="AT11" i="32" s="1"/>
  <c r="AQ11" i="32"/>
  <c r="AP11" i="32"/>
  <c r="AN11" i="32"/>
  <c r="AF11" i="32"/>
  <c r="F3695" i="33" l="1"/>
  <c r="F3648" i="33"/>
  <c r="I3606" i="33"/>
  <c r="AU11" i="32"/>
  <c r="AW11" i="32"/>
  <c r="AZ11" i="32"/>
  <c r="AS11" i="32"/>
  <c r="F3696" i="33" l="1"/>
  <c r="AN81" i="32" s="1"/>
  <c r="AP81" i="32"/>
  <c r="AP80" i="32"/>
  <c r="F3649" i="33"/>
  <c r="AN80" i="32" s="1"/>
  <c r="H18404" i="25" l="1"/>
  <c r="D18404" i="25" s="1"/>
  <c r="E18404" i="25" s="1"/>
  <c r="F18404" i="25" s="1"/>
  <c r="H18403" i="25"/>
  <c r="D18403" i="25" s="1"/>
  <c r="E18403" i="25" s="1"/>
  <c r="F18403" i="25" s="1"/>
  <c r="H18402" i="25"/>
  <c r="D18402" i="25" s="1"/>
  <c r="E18402" i="25" s="1"/>
  <c r="F18402" i="25" s="1"/>
  <c r="H18401" i="25"/>
  <c r="D18401" i="25" s="1"/>
  <c r="E18401" i="25" s="1"/>
  <c r="F18401" i="25" s="1"/>
  <c r="H18400" i="25"/>
  <c r="D18400" i="25" s="1"/>
  <c r="E18400" i="25" s="1"/>
  <c r="F18400" i="25" s="1"/>
  <c r="H18399" i="25"/>
  <c r="D18399" i="25" s="1"/>
  <c r="E18399" i="25" s="1"/>
  <c r="F18399" i="25" s="1"/>
  <c r="H18398" i="25"/>
  <c r="D18398" i="25" s="1"/>
  <c r="E18398" i="25" s="1"/>
  <c r="F18398" i="25" s="1"/>
  <c r="H18397" i="25"/>
  <c r="D18397" i="25" s="1"/>
  <c r="E18397" i="25" s="1"/>
  <c r="F18397" i="25" s="1"/>
  <c r="H18396" i="25"/>
  <c r="D18396" i="25" s="1"/>
  <c r="E18396" i="25" s="1"/>
  <c r="F18396" i="25" s="1"/>
  <c r="H18395" i="25"/>
  <c r="D18395" i="25" s="1"/>
  <c r="E18395" i="25" s="1"/>
  <c r="F18395" i="25" s="1"/>
  <c r="H18394" i="25"/>
  <c r="D18394" i="25" s="1"/>
  <c r="E18394" i="25" s="1"/>
  <c r="F18394" i="25" s="1"/>
  <c r="H18393" i="25"/>
  <c r="D18393" i="25" s="1"/>
  <c r="E18393" i="25" s="1"/>
  <c r="F18393" i="25" s="1"/>
  <c r="H18392" i="25"/>
  <c r="D18392" i="25" s="1"/>
  <c r="E18392" i="25" s="1"/>
  <c r="F18392" i="25" s="1"/>
  <c r="H18391" i="25"/>
  <c r="D18391" i="25" s="1"/>
  <c r="E18391" i="25" s="1"/>
  <c r="F18391" i="25" s="1"/>
  <c r="H18390" i="25"/>
  <c r="D18390" i="25" s="1"/>
  <c r="E18390" i="25" s="1"/>
  <c r="F18390" i="25" s="1"/>
  <c r="H18389" i="25"/>
  <c r="D18389" i="25" s="1"/>
  <c r="E18389" i="25" s="1"/>
  <c r="F18389" i="25" s="1"/>
  <c r="H18388" i="25"/>
  <c r="D18388" i="25" s="1"/>
  <c r="E18388" i="25" s="1"/>
  <c r="F18388" i="25" s="1"/>
  <c r="H18387" i="25"/>
  <c r="D18387" i="25" s="1"/>
  <c r="E18387" i="25" s="1"/>
  <c r="F18387" i="25" s="1"/>
  <c r="H18386" i="25"/>
  <c r="D18386" i="25" s="1"/>
  <c r="E18386" i="25" s="1"/>
  <c r="F18386" i="25" s="1"/>
  <c r="H18385" i="25"/>
  <c r="D18385" i="25" s="1"/>
  <c r="E18385" i="25" s="1"/>
  <c r="F18385" i="25" s="1"/>
  <c r="H18384" i="25"/>
  <c r="D18384" i="25" s="1"/>
  <c r="E18384" i="25" s="1"/>
  <c r="F18384" i="25" s="1"/>
  <c r="H18383" i="25"/>
  <c r="D18383" i="25" s="1"/>
  <c r="E18383" i="25" s="1"/>
  <c r="F18383" i="25" s="1"/>
  <c r="H18382" i="25"/>
  <c r="D18382" i="25" s="1"/>
  <c r="E18382" i="25" s="1"/>
  <c r="F18382" i="25" s="1"/>
  <c r="H18381" i="25"/>
  <c r="D18381" i="25" s="1"/>
  <c r="E18381" i="25" s="1"/>
  <c r="F18381" i="25" s="1"/>
  <c r="H18380" i="25"/>
  <c r="D18380" i="25" s="1"/>
  <c r="E18380" i="25" s="1"/>
  <c r="F18380" i="25" s="1"/>
  <c r="H18379" i="25"/>
  <c r="D18379" i="25" s="1"/>
  <c r="E18379" i="25" s="1"/>
  <c r="F18379" i="25" s="1"/>
  <c r="H18378" i="25"/>
  <c r="D18378" i="25" s="1"/>
  <c r="E18378" i="25" s="1"/>
  <c r="F18378" i="25" s="1"/>
  <c r="H18377" i="25"/>
  <c r="D18377" i="25" s="1"/>
  <c r="E18377" i="25" s="1"/>
  <c r="F18377" i="25" s="1"/>
  <c r="H18376" i="25"/>
  <c r="D18376" i="25" s="1"/>
  <c r="E18376" i="25" s="1"/>
  <c r="F18376" i="25" s="1"/>
  <c r="I18375" i="25"/>
  <c r="H18375" i="25"/>
  <c r="D18375" i="25" s="1"/>
  <c r="E18375" i="25" s="1"/>
  <c r="F18375" i="25" s="1"/>
  <c r="I3558" i="33"/>
  <c r="H3586" i="33"/>
  <c r="D3586" i="33" s="1"/>
  <c r="E3586" i="33" s="1"/>
  <c r="F3586" i="33" s="1"/>
  <c r="H3539" i="33"/>
  <c r="D3539" i="33" s="1"/>
  <c r="E3539" i="33" s="1"/>
  <c r="F3539" i="33" s="1"/>
  <c r="H3558" i="33"/>
  <c r="D3558" i="33" s="1"/>
  <c r="E3558" i="33" s="1"/>
  <c r="F3558" i="33" s="1"/>
  <c r="H3511" i="33"/>
  <c r="D3511" i="33" s="1"/>
  <c r="E3511" i="33" s="1"/>
  <c r="F3511" i="33" s="1"/>
  <c r="H3516" i="33"/>
  <c r="D3516" i="33" s="1"/>
  <c r="E3516" i="33" s="1"/>
  <c r="F3516" i="33" s="1"/>
  <c r="H3587" i="33"/>
  <c r="D3587" i="33" s="1"/>
  <c r="E3587" i="33" s="1"/>
  <c r="F3587" i="33" s="1"/>
  <c r="H3585" i="33"/>
  <c r="D3585" i="33" s="1"/>
  <c r="E3585" i="33" s="1"/>
  <c r="F3585" i="33" s="1"/>
  <c r="H3584" i="33"/>
  <c r="D3584" i="33" s="1"/>
  <c r="E3584" i="33" s="1"/>
  <c r="F3584" i="33" s="1"/>
  <c r="H3583" i="33"/>
  <c r="D3583" i="33" s="1"/>
  <c r="E3583" i="33" s="1"/>
  <c r="F3583" i="33" s="1"/>
  <c r="H3582" i="33"/>
  <c r="D3582" i="33" s="1"/>
  <c r="E3582" i="33" s="1"/>
  <c r="F3582" i="33" s="1"/>
  <c r="H3581" i="33"/>
  <c r="D3581" i="33" s="1"/>
  <c r="E3581" i="33" s="1"/>
  <c r="F3581" i="33" s="1"/>
  <c r="H3580" i="33"/>
  <c r="D3580" i="33" s="1"/>
  <c r="E3580" i="33" s="1"/>
  <c r="F3580" i="33" s="1"/>
  <c r="H3579" i="33"/>
  <c r="D3579" i="33" s="1"/>
  <c r="E3579" i="33" s="1"/>
  <c r="F3579" i="33" s="1"/>
  <c r="H3578" i="33"/>
  <c r="D3578" i="33" s="1"/>
  <c r="E3578" i="33" s="1"/>
  <c r="F3578" i="33" s="1"/>
  <c r="H3577" i="33"/>
  <c r="D3577" i="33" s="1"/>
  <c r="E3577" i="33" s="1"/>
  <c r="F3577" i="33" s="1"/>
  <c r="H3576" i="33"/>
  <c r="D3576" i="33" s="1"/>
  <c r="E3576" i="33" s="1"/>
  <c r="F3576" i="33" s="1"/>
  <c r="H3575" i="33"/>
  <c r="D3575" i="33" s="1"/>
  <c r="E3575" i="33" s="1"/>
  <c r="F3575" i="33" s="1"/>
  <c r="H3574" i="33"/>
  <c r="D3574" i="33" s="1"/>
  <c r="E3574" i="33" s="1"/>
  <c r="F3574" i="33" s="1"/>
  <c r="H3573" i="33"/>
  <c r="D3573" i="33" s="1"/>
  <c r="E3573" i="33" s="1"/>
  <c r="F3573" i="33" s="1"/>
  <c r="H3572" i="33"/>
  <c r="D3572" i="33" s="1"/>
  <c r="E3572" i="33" s="1"/>
  <c r="F3572" i="33" s="1"/>
  <c r="H3571" i="33"/>
  <c r="D3571" i="33" s="1"/>
  <c r="E3571" i="33" s="1"/>
  <c r="F3571" i="33" s="1"/>
  <c r="H3570" i="33"/>
  <c r="D3570" i="33" s="1"/>
  <c r="E3570" i="33" s="1"/>
  <c r="F3570" i="33" s="1"/>
  <c r="H3569" i="33"/>
  <c r="D3569" i="33" s="1"/>
  <c r="E3569" i="33" s="1"/>
  <c r="F3569" i="33" s="1"/>
  <c r="H3568" i="33"/>
  <c r="D3568" i="33" s="1"/>
  <c r="E3568" i="33" s="1"/>
  <c r="F3568" i="33" s="1"/>
  <c r="H3567" i="33"/>
  <c r="D3567" i="33" s="1"/>
  <c r="E3567" i="33" s="1"/>
  <c r="F3567" i="33" s="1"/>
  <c r="H3566" i="33"/>
  <c r="D3566" i="33" s="1"/>
  <c r="E3566" i="33" s="1"/>
  <c r="F3566" i="33" s="1"/>
  <c r="H3565" i="33"/>
  <c r="D3565" i="33" s="1"/>
  <c r="E3565" i="33" s="1"/>
  <c r="F3565" i="33" s="1"/>
  <c r="H3564" i="33"/>
  <c r="D3564" i="33" s="1"/>
  <c r="E3564" i="33" s="1"/>
  <c r="F3564" i="33" s="1"/>
  <c r="H3563" i="33"/>
  <c r="D3563" i="33" s="1"/>
  <c r="E3563" i="33" s="1"/>
  <c r="F3563" i="33" s="1"/>
  <c r="H3562" i="33"/>
  <c r="D3562" i="33" s="1"/>
  <c r="E3562" i="33" s="1"/>
  <c r="F3562" i="33" s="1"/>
  <c r="H3561" i="33"/>
  <c r="D3561" i="33" s="1"/>
  <c r="E3561" i="33" s="1"/>
  <c r="F3561" i="33" s="1"/>
  <c r="H3560" i="33"/>
  <c r="D3560" i="33" s="1"/>
  <c r="E3560" i="33" s="1"/>
  <c r="F3560" i="33" s="1"/>
  <c r="H3559" i="33"/>
  <c r="D3559" i="33" s="1"/>
  <c r="E3559" i="33" s="1"/>
  <c r="F3559" i="33" s="1"/>
  <c r="AV80" i="32"/>
  <c r="AR80" i="32"/>
  <c r="AS80" i="32" s="1"/>
  <c r="AF80" i="32"/>
  <c r="AV79" i="32"/>
  <c r="AZ79" i="32" s="1"/>
  <c r="AR79" i="32"/>
  <c r="AS79" i="32" s="1"/>
  <c r="AF79" i="32"/>
  <c r="AR564" i="29"/>
  <c r="AS564" i="29" s="1"/>
  <c r="AG564" i="29"/>
  <c r="AV564" i="29"/>
  <c r="AV563" i="29"/>
  <c r="AZ563" i="29" s="1"/>
  <c r="AR563" i="29"/>
  <c r="AG563" i="29"/>
  <c r="H18340" i="25"/>
  <c r="D18340" i="25" s="1"/>
  <c r="E18340" i="25" s="1"/>
  <c r="F18340" i="25" s="1"/>
  <c r="H18339" i="25"/>
  <c r="D18339" i="25" s="1"/>
  <c r="E18339" i="25" s="1"/>
  <c r="F18339" i="25" s="1"/>
  <c r="H18332" i="25"/>
  <c r="D18332" i="25" s="1"/>
  <c r="E18332" i="25" s="1"/>
  <c r="F18332" i="25" s="1"/>
  <c r="H18331" i="25"/>
  <c r="D18331" i="25" s="1"/>
  <c r="E18331" i="25" s="1"/>
  <c r="F18331" i="25" s="1"/>
  <c r="H18324" i="25"/>
  <c r="D18324" i="25" s="1"/>
  <c r="E18324" i="25" s="1"/>
  <c r="F18324" i="25" s="1"/>
  <c r="H18323" i="25"/>
  <c r="D18323" i="25" s="1"/>
  <c r="E18323" i="25" s="1"/>
  <c r="F18323" i="25" s="1"/>
  <c r="H18320" i="25"/>
  <c r="D18320" i="25" s="1"/>
  <c r="E18320" i="25" s="1"/>
  <c r="F18320" i="25" s="1"/>
  <c r="H18316" i="25"/>
  <c r="D18316" i="25" s="1"/>
  <c r="E18316" i="25" s="1"/>
  <c r="F18316" i="25" s="1"/>
  <c r="H18315" i="25"/>
  <c r="D18315" i="25" s="1"/>
  <c r="E18315" i="25" s="1"/>
  <c r="F18315" i="25" s="1"/>
  <c r="H18342" i="25"/>
  <c r="D18342" i="25" s="1"/>
  <c r="E18342" i="25" s="1"/>
  <c r="F18342" i="25" s="1"/>
  <c r="H18341" i="25"/>
  <c r="D18341" i="25" s="1"/>
  <c r="E18341" i="25" s="1"/>
  <c r="F18341" i="25" s="1"/>
  <c r="H18338" i="25"/>
  <c r="D18338" i="25" s="1"/>
  <c r="E18338" i="25" s="1"/>
  <c r="F18338" i="25" s="1"/>
  <c r="H18337" i="25"/>
  <c r="D18337" i="25" s="1"/>
  <c r="E18337" i="25" s="1"/>
  <c r="F18337" i="25" s="1"/>
  <c r="H18336" i="25"/>
  <c r="D18336" i="25" s="1"/>
  <c r="E18336" i="25" s="1"/>
  <c r="F18336" i="25" s="1"/>
  <c r="H18335" i="25"/>
  <c r="D18335" i="25" s="1"/>
  <c r="E18335" i="25" s="1"/>
  <c r="F18335" i="25" s="1"/>
  <c r="H18334" i="25"/>
  <c r="D18334" i="25" s="1"/>
  <c r="E18334" i="25" s="1"/>
  <c r="F18334" i="25" s="1"/>
  <c r="H18333" i="25"/>
  <c r="D18333" i="25" s="1"/>
  <c r="E18333" i="25" s="1"/>
  <c r="F18333" i="25" s="1"/>
  <c r="H18330" i="25"/>
  <c r="D18330" i="25" s="1"/>
  <c r="E18330" i="25" s="1"/>
  <c r="F18330" i="25" s="1"/>
  <c r="H18329" i="25"/>
  <c r="D18329" i="25" s="1"/>
  <c r="E18329" i="25" s="1"/>
  <c r="F18329" i="25" s="1"/>
  <c r="H18328" i="25"/>
  <c r="D18328" i="25" s="1"/>
  <c r="E18328" i="25" s="1"/>
  <c r="F18328" i="25" s="1"/>
  <c r="H18327" i="25"/>
  <c r="D18327" i="25" s="1"/>
  <c r="E18327" i="25" s="1"/>
  <c r="F18327" i="25" s="1"/>
  <c r="H18326" i="25"/>
  <c r="D18326" i="25" s="1"/>
  <c r="E18326" i="25" s="1"/>
  <c r="F18326" i="25" s="1"/>
  <c r="H18325" i="25"/>
  <c r="D18325" i="25" s="1"/>
  <c r="E18325" i="25" s="1"/>
  <c r="F18325" i="25" s="1"/>
  <c r="H18322" i="25"/>
  <c r="D18322" i="25" s="1"/>
  <c r="E18322" i="25" s="1"/>
  <c r="F18322" i="25" s="1"/>
  <c r="H18321" i="25"/>
  <c r="D18321" i="25" s="1"/>
  <c r="E18321" i="25" s="1"/>
  <c r="F18321" i="25" s="1"/>
  <c r="H18319" i="25"/>
  <c r="D18319" i="25" s="1"/>
  <c r="E18319" i="25" s="1"/>
  <c r="F18319" i="25" s="1"/>
  <c r="H18318" i="25"/>
  <c r="D18318" i="25" s="1"/>
  <c r="E18318" i="25" s="1"/>
  <c r="F18318" i="25" s="1"/>
  <c r="H18317" i="25"/>
  <c r="D18317" i="25" s="1"/>
  <c r="E18317" i="25" s="1"/>
  <c r="F18317" i="25" s="1"/>
  <c r="H18314" i="25"/>
  <c r="D18314" i="25" s="1"/>
  <c r="E18314" i="25" s="1"/>
  <c r="F18314" i="25" s="1"/>
  <c r="H18313" i="25"/>
  <c r="D18313" i="25" s="1"/>
  <c r="E18313" i="25" s="1"/>
  <c r="F18313" i="25" s="1"/>
  <c r="H3540" i="33"/>
  <c r="D3540" i="33" s="1"/>
  <c r="E3540" i="33" s="1"/>
  <c r="F3540" i="33" s="1"/>
  <c r="H3538" i="33"/>
  <c r="D3538" i="33" s="1"/>
  <c r="E3538" i="33" s="1"/>
  <c r="F3538" i="33" s="1"/>
  <c r="H3537" i="33"/>
  <c r="D3537" i="33" s="1"/>
  <c r="E3537" i="33" s="1"/>
  <c r="F3537" i="33" s="1"/>
  <c r="H3536" i="33"/>
  <c r="D3536" i="33" s="1"/>
  <c r="E3536" i="33" s="1"/>
  <c r="F3536" i="33" s="1"/>
  <c r="H3535" i="33"/>
  <c r="D3535" i="33" s="1"/>
  <c r="E3535" i="33" s="1"/>
  <c r="F3535" i="33" s="1"/>
  <c r="H3534" i="33"/>
  <c r="D3534" i="33" s="1"/>
  <c r="E3534" i="33" s="1"/>
  <c r="F3534" i="33" s="1"/>
  <c r="H3533" i="33"/>
  <c r="D3533" i="33" s="1"/>
  <c r="E3533" i="33" s="1"/>
  <c r="F3533" i="33" s="1"/>
  <c r="H3532" i="33"/>
  <c r="D3532" i="33" s="1"/>
  <c r="E3532" i="33" s="1"/>
  <c r="F3532" i="33" s="1"/>
  <c r="H3531" i="33"/>
  <c r="D3531" i="33" s="1"/>
  <c r="E3531" i="33" s="1"/>
  <c r="F3531" i="33" s="1"/>
  <c r="H3530" i="33"/>
  <c r="D3530" i="33" s="1"/>
  <c r="E3530" i="33" s="1"/>
  <c r="F3530" i="33" s="1"/>
  <c r="H3529" i="33"/>
  <c r="D3529" i="33" s="1"/>
  <c r="E3529" i="33" s="1"/>
  <c r="F3529" i="33" s="1"/>
  <c r="H3528" i="33"/>
  <c r="D3528" i="33" s="1"/>
  <c r="E3528" i="33" s="1"/>
  <c r="F3528" i="33" s="1"/>
  <c r="H3527" i="33"/>
  <c r="D3527" i="33" s="1"/>
  <c r="E3527" i="33" s="1"/>
  <c r="F3527" i="33" s="1"/>
  <c r="H3526" i="33"/>
  <c r="D3526" i="33" s="1"/>
  <c r="E3526" i="33" s="1"/>
  <c r="F3526" i="33" s="1"/>
  <c r="H3525" i="33"/>
  <c r="D3525" i="33" s="1"/>
  <c r="E3525" i="33" s="1"/>
  <c r="F3525" i="33" s="1"/>
  <c r="H3524" i="33"/>
  <c r="D3524" i="33" s="1"/>
  <c r="E3524" i="33" s="1"/>
  <c r="F3524" i="33" s="1"/>
  <c r="H3523" i="33"/>
  <c r="D3523" i="33" s="1"/>
  <c r="E3523" i="33" s="1"/>
  <c r="F3523" i="33" s="1"/>
  <c r="H3522" i="33"/>
  <c r="D3522" i="33" s="1"/>
  <c r="E3522" i="33" s="1"/>
  <c r="F3522" i="33" s="1"/>
  <c r="H3521" i="33"/>
  <c r="D3521" i="33" s="1"/>
  <c r="E3521" i="33" s="1"/>
  <c r="F3521" i="33" s="1"/>
  <c r="H3520" i="33"/>
  <c r="D3520" i="33" s="1"/>
  <c r="E3520" i="33" s="1"/>
  <c r="F3520" i="33" s="1"/>
  <c r="H3519" i="33"/>
  <c r="D3519" i="33" s="1"/>
  <c r="E3519" i="33" s="1"/>
  <c r="F3519" i="33" s="1"/>
  <c r="H3518" i="33"/>
  <c r="D3518" i="33" s="1"/>
  <c r="E3518" i="33" s="1"/>
  <c r="F3518" i="33" s="1"/>
  <c r="H3517" i="33"/>
  <c r="D3517" i="33" s="1"/>
  <c r="E3517" i="33" s="1"/>
  <c r="F3517" i="33" s="1"/>
  <c r="H3515" i="33"/>
  <c r="D3515" i="33" s="1"/>
  <c r="E3515" i="33" s="1"/>
  <c r="F3515" i="33" s="1"/>
  <c r="H3514" i="33"/>
  <c r="D3514" i="33" s="1"/>
  <c r="E3514" i="33" s="1"/>
  <c r="F3514" i="33" s="1"/>
  <c r="H3513" i="33"/>
  <c r="D3513" i="33" s="1"/>
  <c r="E3513" i="33" s="1"/>
  <c r="F3513" i="33" s="1"/>
  <c r="H3512" i="33"/>
  <c r="D3512" i="33" s="1"/>
  <c r="E3512" i="33" s="1"/>
  <c r="F3512" i="33" s="1"/>
  <c r="I3511" i="33"/>
  <c r="H15061" i="25"/>
  <c r="AQ469" i="29" s="1"/>
  <c r="C17150" i="25"/>
  <c r="C3480" i="33"/>
  <c r="AV562" i="29"/>
  <c r="AZ562" i="29" s="1"/>
  <c r="AR562" i="29"/>
  <c r="AG562" i="29"/>
  <c r="H3493" i="33"/>
  <c r="D3493" i="33" s="1"/>
  <c r="E3493" i="33" s="1"/>
  <c r="F3493" i="33" s="1"/>
  <c r="H3492" i="33"/>
  <c r="D3492" i="33" s="1"/>
  <c r="E3492" i="33" s="1"/>
  <c r="F3492" i="33" s="1"/>
  <c r="H3491" i="33"/>
  <c r="D3491" i="33" s="1"/>
  <c r="E3491" i="33" s="1"/>
  <c r="F3491" i="33" s="1"/>
  <c r="H3490" i="33"/>
  <c r="D3490" i="33" s="1"/>
  <c r="E3490" i="33" s="1"/>
  <c r="F3490" i="33" s="1"/>
  <c r="H3489" i="33"/>
  <c r="D3489" i="33" s="1"/>
  <c r="E3489" i="33" s="1"/>
  <c r="F3489" i="33" s="1"/>
  <c r="H3488" i="33"/>
  <c r="D3488" i="33" s="1"/>
  <c r="E3488" i="33" s="1"/>
  <c r="F3488" i="33" s="1"/>
  <c r="H3487" i="33"/>
  <c r="D3487" i="33" s="1"/>
  <c r="E3487" i="33" s="1"/>
  <c r="F3487" i="33" s="1"/>
  <c r="H3486" i="33"/>
  <c r="D3486" i="33" s="1"/>
  <c r="E3486" i="33" s="1"/>
  <c r="F3486" i="33" s="1"/>
  <c r="H3485" i="33"/>
  <c r="D3485" i="33" s="1"/>
  <c r="E3485" i="33" s="1"/>
  <c r="F3485" i="33" s="1"/>
  <c r="H3484" i="33"/>
  <c r="D3484" i="33" s="1"/>
  <c r="E3484" i="33" s="1"/>
  <c r="F3484" i="33" s="1"/>
  <c r="H3483" i="33"/>
  <c r="D3483" i="33" s="1"/>
  <c r="E3483" i="33" s="1"/>
  <c r="F3483" i="33" s="1"/>
  <c r="H3482" i="33"/>
  <c r="D3482" i="33" s="1"/>
  <c r="E3482" i="33" s="1"/>
  <c r="F3482" i="33" s="1"/>
  <c r="H3481" i="33"/>
  <c r="D3481" i="33" s="1"/>
  <c r="E3481" i="33" s="1"/>
  <c r="F3481" i="33" s="1"/>
  <c r="H3480" i="33"/>
  <c r="D3480" i="33" s="1"/>
  <c r="E3480" i="33" s="1"/>
  <c r="F3480" i="33" s="1"/>
  <c r="H3479" i="33"/>
  <c r="D3479" i="33" s="1"/>
  <c r="E3479" i="33" s="1"/>
  <c r="F3479" i="33" s="1"/>
  <c r="H3478" i="33"/>
  <c r="D3478" i="33" s="1"/>
  <c r="E3478" i="33" s="1"/>
  <c r="F3478" i="33" s="1"/>
  <c r="H3477" i="33"/>
  <c r="D3477" i="33" s="1"/>
  <c r="E3477" i="33" s="1"/>
  <c r="F3477" i="33" s="1"/>
  <c r="H3476" i="33"/>
  <c r="D3476" i="33" s="1"/>
  <c r="E3476" i="33" s="1"/>
  <c r="F3476" i="33" s="1"/>
  <c r="H3475" i="33"/>
  <c r="D3475" i="33" s="1"/>
  <c r="E3475" i="33" s="1"/>
  <c r="F3475" i="33" s="1"/>
  <c r="H3474" i="33"/>
  <c r="D3474" i="33" s="1"/>
  <c r="E3474" i="33" s="1"/>
  <c r="F3474" i="33" s="1"/>
  <c r="H3473" i="33"/>
  <c r="D3473" i="33" s="1"/>
  <c r="E3473" i="33" s="1"/>
  <c r="F3473" i="33" s="1"/>
  <c r="H3472" i="33"/>
  <c r="D3472" i="33" s="1"/>
  <c r="E3472" i="33" s="1"/>
  <c r="F3472" i="33" s="1"/>
  <c r="H3471" i="33"/>
  <c r="D3471" i="33" s="1"/>
  <c r="E3471" i="33" s="1"/>
  <c r="F3471" i="33" s="1"/>
  <c r="H3470" i="33"/>
  <c r="D3470" i="33" s="1"/>
  <c r="E3470" i="33" s="1"/>
  <c r="F3470" i="33" s="1"/>
  <c r="H3469" i="33"/>
  <c r="D3469" i="33" s="1"/>
  <c r="E3469" i="33" s="1"/>
  <c r="F3469" i="33" s="1"/>
  <c r="H3468" i="33"/>
  <c r="D3468" i="33" s="1"/>
  <c r="E3468" i="33" s="1"/>
  <c r="F3468" i="33" s="1"/>
  <c r="H3467" i="33"/>
  <c r="D3467" i="33" s="1"/>
  <c r="E3467" i="33" s="1"/>
  <c r="F3467" i="33" s="1"/>
  <c r="H3466" i="33"/>
  <c r="D3466" i="33" s="1"/>
  <c r="E3466" i="33" s="1"/>
  <c r="F3466" i="33" s="1"/>
  <c r="H3465" i="33"/>
  <c r="D3465" i="33" s="1"/>
  <c r="E3465" i="33" s="1"/>
  <c r="F3465" i="33" s="1"/>
  <c r="I3464" i="33"/>
  <c r="H3464" i="33"/>
  <c r="D3464" i="33" s="1"/>
  <c r="E3464" i="33" s="1"/>
  <c r="F3464" i="33" s="1"/>
  <c r="AF78" i="32"/>
  <c r="AV78" i="32"/>
  <c r="AW78" i="32" s="1"/>
  <c r="AR78" i="32"/>
  <c r="AS78" i="32" s="1"/>
  <c r="AV77" i="32"/>
  <c r="AW77" i="32" s="1"/>
  <c r="AR77" i="32"/>
  <c r="AS77" i="32" s="1"/>
  <c r="AF77" i="32"/>
  <c r="AV561" i="29"/>
  <c r="AW561" i="29" s="1"/>
  <c r="AR561" i="29"/>
  <c r="AG561" i="29"/>
  <c r="H3446" i="33"/>
  <c r="D3446" i="33" s="1"/>
  <c r="E3446" i="33" s="1"/>
  <c r="F3446" i="33" s="1"/>
  <c r="H3445" i="33"/>
  <c r="D3445" i="33" s="1"/>
  <c r="E3445" i="33" s="1"/>
  <c r="F3445" i="33" s="1"/>
  <c r="H3444" i="33"/>
  <c r="D3444" i="33" s="1"/>
  <c r="E3444" i="33" s="1"/>
  <c r="F3444" i="33" s="1"/>
  <c r="H3443" i="33"/>
  <c r="D3443" i="33" s="1"/>
  <c r="E3443" i="33" s="1"/>
  <c r="F3443" i="33" s="1"/>
  <c r="H3442" i="33"/>
  <c r="D3442" i="33" s="1"/>
  <c r="E3442" i="33" s="1"/>
  <c r="F3442" i="33" s="1"/>
  <c r="H3441" i="33"/>
  <c r="D3441" i="33" s="1"/>
  <c r="E3441" i="33" s="1"/>
  <c r="F3441" i="33" s="1"/>
  <c r="H3440" i="33"/>
  <c r="D3440" i="33" s="1"/>
  <c r="E3440" i="33" s="1"/>
  <c r="F3440" i="33" s="1"/>
  <c r="H3439" i="33"/>
  <c r="D3439" i="33" s="1"/>
  <c r="E3439" i="33" s="1"/>
  <c r="F3439" i="33" s="1"/>
  <c r="H3438" i="33"/>
  <c r="D3438" i="33" s="1"/>
  <c r="E3438" i="33" s="1"/>
  <c r="F3438" i="33" s="1"/>
  <c r="H3437" i="33"/>
  <c r="D3437" i="33" s="1"/>
  <c r="E3437" i="33" s="1"/>
  <c r="F3437" i="33" s="1"/>
  <c r="H3436" i="33"/>
  <c r="D3436" i="33" s="1"/>
  <c r="E3436" i="33" s="1"/>
  <c r="F3436" i="33" s="1"/>
  <c r="H3435" i="33"/>
  <c r="D3435" i="33" s="1"/>
  <c r="E3435" i="33" s="1"/>
  <c r="F3435" i="33" s="1"/>
  <c r="H3434" i="33"/>
  <c r="D3434" i="33" s="1"/>
  <c r="E3434" i="33" s="1"/>
  <c r="F3434" i="33" s="1"/>
  <c r="H3433" i="33"/>
  <c r="D3433" i="33" s="1"/>
  <c r="E3433" i="33" s="1"/>
  <c r="F3433" i="33" s="1"/>
  <c r="H3432" i="33"/>
  <c r="D3432" i="33" s="1"/>
  <c r="E3432" i="33" s="1"/>
  <c r="F3432" i="33" s="1"/>
  <c r="H3431" i="33"/>
  <c r="D3431" i="33" s="1"/>
  <c r="E3431" i="33" s="1"/>
  <c r="F3431" i="33" s="1"/>
  <c r="H3430" i="33"/>
  <c r="D3430" i="33" s="1"/>
  <c r="E3430" i="33" s="1"/>
  <c r="F3430" i="33" s="1"/>
  <c r="H3429" i="33"/>
  <c r="D3429" i="33" s="1"/>
  <c r="E3429" i="33" s="1"/>
  <c r="F3429" i="33" s="1"/>
  <c r="H3428" i="33"/>
  <c r="D3428" i="33" s="1"/>
  <c r="E3428" i="33" s="1"/>
  <c r="F3428" i="33" s="1"/>
  <c r="H3427" i="33"/>
  <c r="D3427" i="33" s="1"/>
  <c r="E3427" i="33" s="1"/>
  <c r="F3427" i="33" s="1"/>
  <c r="H3426" i="33"/>
  <c r="D3426" i="33" s="1"/>
  <c r="E3426" i="33" s="1"/>
  <c r="F3426" i="33" s="1"/>
  <c r="H3425" i="33"/>
  <c r="D3425" i="33" s="1"/>
  <c r="E3425" i="33" s="1"/>
  <c r="F3425" i="33" s="1"/>
  <c r="H3424" i="33"/>
  <c r="D3424" i="33" s="1"/>
  <c r="E3424" i="33" s="1"/>
  <c r="F3424" i="33" s="1"/>
  <c r="H3423" i="33"/>
  <c r="D3423" i="33" s="1"/>
  <c r="E3423" i="33" s="1"/>
  <c r="F3423" i="33" s="1"/>
  <c r="H3422" i="33"/>
  <c r="D3422" i="33" s="1"/>
  <c r="E3422" i="33" s="1"/>
  <c r="F3422" i="33" s="1"/>
  <c r="H3421" i="33"/>
  <c r="D3421" i="33" s="1"/>
  <c r="E3421" i="33" s="1"/>
  <c r="F3421" i="33" s="1"/>
  <c r="H3420" i="33"/>
  <c r="D3420" i="33" s="1"/>
  <c r="E3420" i="33" s="1"/>
  <c r="F3420" i="33" s="1"/>
  <c r="H3419" i="33"/>
  <c r="D3419" i="33" s="1"/>
  <c r="E3419" i="33" s="1"/>
  <c r="F3419" i="33" s="1"/>
  <c r="H3418" i="33"/>
  <c r="D3418" i="33" s="1"/>
  <c r="E3418" i="33" s="1"/>
  <c r="F3418" i="33" s="1"/>
  <c r="I3417" i="33"/>
  <c r="H3417" i="33"/>
  <c r="D3417" i="33" s="1"/>
  <c r="E3417" i="33" s="1"/>
  <c r="F3417" i="33" s="1"/>
  <c r="H18280" i="25"/>
  <c r="D18280" i="25" s="1"/>
  <c r="E18280" i="25" s="1"/>
  <c r="F18280" i="25" s="1"/>
  <c r="H18279" i="25"/>
  <c r="D18279" i="25" s="1"/>
  <c r="E18279" i="25" s="1"/>
  <c r="F18279" i="25" s="1"/>
  <c r="H18278" i="25"/>
  <c r="D18278" i="25" s="1"/>
  <c r="E18278" i="25" s="1"/>
  <c r="F18278" i="25" s="1"/>
  <c r="H18277" i="25"/>
  <c r="D18277" i="25" s="1"/>
  <c r="E18277" i="25" s="1"/>
  <c r="F18277" i="25" s="1"/>
  <c r="H18276" i="25"/>
  <c r="D18276" i="25" s="1"/>
  <c r="E18276" i="25" s="1"/>
  <c r="F18276" i="25" s="1"/>
  <c r="H18275" i="25"/>
  <c r="D18275" i="25" s="1"/>
  <c r="E18275" i="25" s="1"/>
  <c r="F18275" i="25" s="1"/>
  <c r="H18274" i="25"/>
  <c r="D18274" i="25" s="1"/>
  <c r="E18274" i="25" s="1"/>
  <c r="F18274" i="25" s="1"/>
  <c r="H18273" i="25"/>
  <c r="D18273" i="25" s="1"/>
  <c r="E18273" i="25" s="1"/>
  <c r="F18273" i="25" s="1"/>
  <c r="H18272" i="25"/>
  <c r="D18272" i="25" s="1"/>
  <c r="E18272" i="25" s="1"/>
  <c r="F18272" i="25" s="1"/>
  <c r="H18271" i="25"/>
  <c r="D18271" i="25" s="1"/>
  <c r="E18271" i="25" s="1"/>
  <c r="F18271" i="25" s="1"/>
  <c r="H18270" i="25"/>
  <c r="D18270" i="25" s="1"/>
  <c r="E18270" i="25" s="1"/>
  <c r="F18270" i="25" s="1"/>
  <c r="H18269" i="25"/>
  <c r="D18269" i="25" s="1"/>
  <c r="E18269" i="25" s="1"/>
  <c r="F18269" i="25" s="1"/>
  <c r="H18268" i="25"/>
  <c r="D18268" i="25" s="1"/>
  <c r="E18268" i="25" s="1"/>
  <c r="F18268" i="25" s="1"/>
  <c r="H18267" i="25"/>
  <c r="D18267" i="25" s="1"/>
  <c r="E18267" i="25" s="1"/>
  <c r="F18267" i="25" s="1"/>
  <c r="H18266" i="25"/>
  <c r="D18266" i="25" s="1"/>
  <c r="E18266" i="25" s="1"/>
  <c r="F18266" i="25" s="1"/>
  <c r="H18265" i="25"/>
  <c r="D18265" i="25" s="1"/>
  <c r="E18265" i="25" s="1"/>
  <c r="F18265" i="25" s="1"/>
  <c r="H18264" i="25"/>
  <c r="D18264" i="25" s="1"/>
  <c r="E18264" i="25" s="1"/>
  <c r="F18264" i="25" s="1"/>
  <c r="H18263" i="25"/>
  <c r="D18263" i="25" s="1"/>
  <c r="E18263" i="25" s="1"/>
  <c r="F18263" i="25" s="1"/>
  <c r="H18262" i="25"/>
  <c r="D18262" i="25" s="1"/>
  <c r="E18262" i="25" s="1"/>
  <c r="F18262" i="25" s="1"/>
  <c r="H18261" i="25"/>
  <c r="D18261" i="25" s="1"/>
  <c r="E18261" i="25" s="1"/>
  <c r="F18261" i="25" s="1"/>
  <c r="H18260" i="25"/>
  <c r="D18260" i="25" s="1"/>
  <c r="E18260" i="25" s="1"/>
  <c r="F18260" i="25" s="1"/>
  <c r="H18259" i="25"/>
  <c r="D18259" i="25" s="1"/>
  <c r="E18259" i="25" s="1"/>
  <c r="F18259" i="25" s="1"/>
  <c r="H18258" i="25"/>
  <c r="D18258" i="25" s="1"/>
  <c r="E18258" i="25" s="1"/>
  <c r="F18258" i="25" s="1"/>
  <c r="H18257" i="25"/>
  <c r="D18257" i="25" s="1"/>
  <c r="E18257" i="25" s="1"/>
  <c r="F18257" i="25" s="1"/>
  <c r="H18256" i="25"/>
  <c r="D18256" i="25" s="1"/>
  <c r="E18256" i="25" s="1"/>
  <c r="F18256" i="25" s="1"/>
  <c r="H18255" i="25"/>
  <c r="D18255" i="25" s="1"/>
  <c r="E18255" i="25" s="1"/>
  <c r="F18255" i="25" s="1"/>
  <c r="H18254" i="25"/>
  <c r="D18254" i="25" s="1"/>
  <c r="E18254" i="25" s="1"/>
  <c r="F18254" i="25" s="1"/>
  <c r="H18253" i="25"/>
  <c r="D18253" i="25" s="1"/>
  <c r="E18253" i="25" s="1"/>
  <c r="F18253" i="25" s="1"/>
  <c r="H18252" i="25"/>
  <c r="D18252" i="25" s="1"/>
  <c r="E18252" i="25" s="1"/>
  <c r="F18252" i="25" s="1"/>
  <c r="H18251" i="25"/>
  <c r="D18251" i="25" s="1"/>
  <c r="E18251" i="25" s="1"/>
  <c r="F18251" i="25" s="1"/>
  <c r="H3399" i="33"/>
  <c r="D3399" i="33" s="1"/>
  <c r="E3399" i="33" s="1"/>
  <c r="F3399" i="33" s="1"/>
  <c r="H3398" i="33"/>
  <c r="D3398" i="33" s="1"/>
  <c r="E3398" i="33" s="1"/>
  <c r="F3398" i="33" s="1"/>
  <c r="H3397" i="33"/>
  <c r="D3397" i="33" s="1"/>
  <c r="E3397" i="33" s="1"/>
  <c r="F3397" i="33" s="1"/>
  <c r="H3396" i="33"/>
  <c r="D3396" i="33" s="1"/>
  <c r="E3396" i="33" s="1"/>
  <c r="F3396" i="33" s="1"/>
  <c r="H3395" i="33"/>
  <c r="D3395" i="33" s="1"/>
  <c r="E3395" i="33" s="1"/>
  <c r="F3395" i="33" s="1"/>
  <c r="H3394" i="33"/>
  <c r="D3394" i="33" s="1"/>
  <c r="E3394" i="33" s="1"/>
  <c r="F3394" i="33" s="1"/>
  <c r="H3393" i="33"/>
  <c r="D3393" i="33" s="1"/>
  <c r="E3393" i="33" s="1"/>
  <c r="F3393" i="33" s="1"/>
  <c r="H3392" i="33"/>
  <c r="D3392" i="33" s="1"/>
  <c r="E3392" i="33" s="1"/>
  <c r="F3392" i="33" s="1"/>
  <c r="H3391" i="33"/>
  <c r="D3391" i="33" s="1"/>
  <c r="E3391" i="33" s="1"/>
  <c r="F3391" i="33" s="1"/>
  <c r="H3390" i="33"/>
  <c r="D3390" i="33" s="1"/>
  <c r="E3390" i="33" s="1"/>
  <c r="F3390" i="33" s="1"/>
  <c r="H3389" i="33"/>
  <c r="D3389" i="33" s="1"/>
  <c r="E3389" i="33" s="1"/>
  <c r="F3389" i="33" s="1"/>
  <c r="H3388" i="33"/>
  <c r="D3388" i="33" s="1"/>
  <c r="E3388" i="33" s="1"/>
  <c r="F3388" i="33" s="1"/>
  <c r="H3387" i="33"/>
  <c r="D3387" i="33" s="1"/>
  <c r="E3387" i="33" s="1"/>
  <c r="F3387" i="33" s="1"/>
  <c r="H3386" i="33"/>
  <c r="D3386" i="33" s="1"/>
  <c r="E3386" i="33" s="1"/>
  <c r="F3386" i="33" s="1"/>
  <c r="H3385" i="33"/>
  <c r="D3385" i="33" s="1"/>
  <c r="E3385" i="33" s="1"/>
  <c r="F3385" i="33" s="1"/>
  <c r="H3384" i="33"/>
  <c r="D3384" i="33" s="1"/>
  <c r="E3384" i="33" s="1"/>
  <c r="F3384" i="33" s="1"/>
  <c r="H3383" i="33"/>
  <c r="D3383" i="33" s="1"/>
  <c r="E3383" i="33" s="1"/>
  <c r="F3383" i="33" s="1"/>
  <c r="H3382" i="33"/>
  <c r="D3382" i="33" s="1"/>
  <c r="E3382" i="33" s="1"/>
  <c r="F3382" i="33" s="1"/>
  <c r="H3381" i="33"/>
  <c r="D3381" i="33" s="1"/>
  <c r="E3381" i="33" s="1"/>
  <c r="F3381" i="33" s="1"/>
  <c r="H3380" i="33"/>
  <c r="D3380" i="33" s="1"/>
  <c r="E3380" i="33" s="1"/>
  <c r="F3380" i="33" s="1"/>
  <c r="H3379" i="33"/>
  <c r="D3379" i="33" s="1"/>
  <c r="E3379" i="33" s="1"/>
  <c r="F3379" i="33" s="1"/>
  <c r="H3378" i="33"/>
  <c r="D3378" i="33" s="1"/>
  <c r="E3378" i="33" s="1"/>
  <c r="F3378" i="33" s="1"/>
  <c r="H3377" i="33"/>
  <c r="D3377" i="33" s="1"/>
  <c r="E3377" i="33" s="1"/>
  <c r="F3377" i="33" s="1"/>
  <c r="H3376" i="33"/>
  <c r="D3376" i="33" s="1"/>
  <c r="E3376" i="33" s="1"/>
  <c r="F3376" i="33" s="1"/>
  <c r="H3375" i="33"/>
  <c r="D3375" i="33" s="1"/>
  <c r="E3375" i="33" s="1"/>
  <c r="F3375" i="33" s="1"/>
  <c r="H3374" i="33"/>
  <c r="D3374" i="33" s="1"/>
  <c r="E3374" i="33" s="1"/>
  <c r="F3374" i="33" s="1"/>
  <c r="H3373" i="33"/>
  <c r="D3373" i="33" s="1"/>
  <c r="E3373" i="33" s="1"/>
  <c r="F3373" i="33" s="1"/>
  <c r="H3372" i="33"/>
  <c r="D3372" i="33" s="1"/>
  <c r="E3372" i="33" s="1"/>
  <c r="F3372" i="33" s="1"/>
  <c r="H3371" i="33"/>
  <c r="D3371" i="33" s="1"/>
  <c r="E3371" i="33" s="1"/>
  <c r="F3371" i="33" s="1"/>
  <c r="I3370" i="33"/>
  <c r="H3370" i="33"/>
  <c r="D3370" i="33" s="1"/>
  <c r="E3370" i="33" s="1"/>
  <c r="F3370" i="33" s="1"/>
  <c r="H18227" i="25"/>
  <c r="D18227" i="25" s="1"/>
  <c r="E18227" i="25" s="1"/>
  <c r="F18227" i="25" s="1"/>
  <c r="H18226" i="25"/>
  <c r="D18226" i="25" s="1"/>
  <c r="E18226" i="25" s="1"/>
  <c r="F18226" i="25" s="1"/>
  <c r="H18225" i="25"/>
  <c r="D18225" i="25" s="1"/>
  <c r="E18225" i="25" s="1"/>
  <c r="F18225" i="25" s="1"/>
  <c r="H18224" i="25"/>
  <c r="D18224" i="25" s="1"/>
  <c r="E18224" i="25" s="1"/>
  <c r="F18224" i="25" s="1"/>
  <c r="H18223" i="25"/>
  <c r="D18223" i="25" s="1"/>
  <c r="E18223" i="25" s="1"/>
  <c r="F18223" i="25" s="1"/>
  <c r="H18222" i="25"/>
  <c r="D18222" i="25" s="1"/>
  <c r="E18222" i="25" s="1"/>
  <c r="F18222" i="25" s="1"/>
  <c r="H18221" i="25"/>
  <c r="D18221" i="25" s="1"/>
  <c r="E18221" i="25" s="1"/>
  <c r="F18221" i="25" s="1"/>
  <c r="H18220" i="25"/>
  <c r="D18220" i="25" s="1"/>
  <c r="E18220" i="25" s="1"/>
  <c r="F18220" i="25" s="1"/>
  <c r="H18219" i="25"/>
  <c r="D18219" i="25" s="1"/>
  <c r="E18219" i="25" s="1"/>
  <c r="F18219" i="25" s="1"/>
  <c r="H18218" i="25"/>
  <c r="D18218" i="25" s="1"/>
  <c r="E18218" i="25" s="1"/>
  <c r="F18218" i="25" s="1"/>
  <c r="H18217" i="25"/>
  <c r="D18217" i="25" s="1"/>
  <c r="E18217" i="25" s="1"/>
  <c r="F18217" i="25" s="1"/>
  <c r="H18216" i="25"/>
  <c r="D18216" i="25" s="1"/>
  <c r="E18216" i="25" s="1"/>
  <c r="F18216" i="25" s="1"/>
  <c r="H18215" i="25"/>
  <c r="D18215" i="25" s="1"/>
  <c r="E18215" i="25" s="1"/>
  <c r="F18215" i="25" s="1"/>
  <c r="H18214" i="25"/>
  <c r="D18214" i="25" s="1"/>
  <c r="E18214" i="25" s="1"/>
  <c r="F18214" i="25" s="1"/>
  <c r="H18213" i="25"/>
  <c r="D18213" i="25" s="1"/>
  <c r="E18213" i="25" s="1"/>
  <c r="F18213" i="25" s="1"/>
  <c r="H18212" i="25"/>
  <c r="D18212" i="25" s="1"/>
  <c r="E18212" i="25" s="1"/>
  <c r="F18212" i="25" s="1"/>
  <c r="H18211" i="25"/>
  <c r="D18211" i="25" s="1"/>
  <c r="E18211" i="25" s="1"/>
  <c r="F18211" i="25" s="1"/>
  <c r="H18210" i="25"/>
  <c r="D18210" i="25" s="1"/>
  <c r="E18210" i="25" s="1"/>
  <c r="F18210" i="25" s="1"/>
  <c r="H18209" i="25"/>
  <c r="D18209" i="25" s="1"/>
  <c r="E18209" i="25" s="1"/>
  <c r="F18209" i="25" s="1"/>
  <c r="H18208" i="25"/>
  <c r="D18208" i="25" s="1"/>
  <c r="E18208" i="25" s="1"/>
  <c r="F18208" i="25" s="1"/>
  <c r="H18207" i="25"/>
  <c r="D18207" i="25" s="1"/>
  <c r="E18207" i="25" s="1"/>
  <c r="F18207" i="25" s="1"/>
  <c r="H18206" i="25"/>
  <c r="D18206" i="25" s="1"/>
  <c r="E18206" i="25" s="1"/>
  <c r="F18206" i="25" s="1"/>
  <c r="H18205" i="25"/>
  <c r="D18205" i="25" s="1"/>
  <c r="E18205" i="25" s="1"/>
  <c r="F18205" i="25" s="1"/>
  <c r="H18204" i="25"/>
  <c r="D18204" i="25" s="1"/>
  <c r="E18204" i="25" s="1"/>
  <c r="F18204" i="25" s="1"/>
  <c r="H18203" i="25"/>
  <c r="D18203" i="25" s="1"/>
  <c r="E18203" i="25" s="1"/>
  <c r="F18203" i="25" s="1"/>
  <c r="H18202" i="25"/>
  <c r="D18202" i="25" s="1"/>
  <c r="E18202" i="25" s="1"/>
  <c r="F18202" i="25" s="1"/>
  <c r="H18201" i="25"/>
  <c r="D18201" i="25" s="1"/>
  <c r="E18201" i="25" s="1"/>
  <c r="F18201" i="25" s="1"/>
  <c r="H18200" i="25"/>
  <c r="D18200" i="25" s="1"/>
  <c r="E18200" i="25" s="1"/>
  <c r="F18200" i="25" s="1"/>
  <c r="H18199" i="25"/>
  <c r="D18199" i="25" s="1"/>
  <c r="E18199" i="25" s="1"/>
  <c r="F18199" i="25" s="1"/>
  <c r="H18198" i="25"/>
  <c r="D18198" i="25" s="1"/>
  <c r="E18198" i="25" s="1"/>
  <c r="F18198" i="25" s="1"/>
  <c r="AG559" i="29"/>
  <c r="AR559" i="29"/>
  <c r="AS559" i="29" s="1"/>
  <c r="AV559" i="29"/>
  <c r="AW559" i="29" s="1"/>
  <c r="AG558" i="29"/>
  <c r="AR558" i="29"/>
  <c r="AS558" i="29" s="1"/>
  <c r="AV558" i="29"/>
  <c r="AW558" i="29" s="1"/>
  <c r="AV76" i="32"/>
  <c r="AZ76" i="32" s="1"/>
  <c r="AF76" i="32"/>
  <c r="AR76" i="32"/>
  <c r="AS76" i="32" s="1"/>
  <c r="AF75" i="32"/>
  <c r="AR75" i="32"/>
  <c r="AS75" i="32" s="1"/>
  <c r="AV75" i="32"/>
  <c r="AW75" i="32" s="1"/>
  <c r="AQ8" i="32"/>
  <c r="AN8" i="32"/>
  <c r="AP8" i="32"/>
  <c r="AV8" i="32"/>
  <c r="AX8" i="32" s="1"/>
  <c r="AF8" i="32"/>
  <c r="H3352" i="33"/>
  <c r="D3352" i="33" s="1"/>
  <c r="E3352" i="33" s="1"/>
  <c r="F3352" i="33" s="1"/>
  <c r="H3351" i="33"/>
  <c r="D3351" i="33" s="1"/>
  <c r="E3351" i="33" s="1"/>
  <c r="F3351" i="33" s="1"/>
  <c r="H3350" i="33"/>
  <c r="D3350" i="33" s="1"/>
  <c r="E3350" i="33" s="1"/>
  <c r="F3350" i="33" s="1"/>
  <c r="H3349" i="33"/>
  <c r="D3349" i="33" s="1"/>
  <c r="E3349" i="33" s="1"/>
  <c r="F3349" i="33" s="1"/>
  <c r="H3348" i="33"/>
  <c r="D3348" i="33" s="1"/>
  <c r="E3348" i="33" s="1"/>
  <c r="F3348" i="33" s="1"/>
  <c r="H3347" i="33"/>
  <c r="D3347" i="33" s="1"/>
  <c r="E3347" i="33" s="1"/>
  <c r="F3347" i="33" s="1"/>
  <c r="H3346" i="33"/>
  <c r="D3346" i="33" s="1"/>
  <c r="E3346" i="33" s="1"/>
  <c r="F3346" i="33" s="1"/>
  <c r="H3345" i="33"/>
  <c r="D3345" i="33" s="1"/>
  <c r="E3345" i="33" s="1"/>
  <c r="F3345" i="33" s="1"/>
  <c r="H3344" i="33"/>
  <c r="D3344" i="33" s="1"/>
  <c r="E3344" i="33" s="1"/>
  <c r="F3344" i="33" s="1"/>
  <c r="H3343" i="33"/>
  <c r="D3343" i="33" s="1"/>
  <c r="E3343" i="33" s="1"/>
  <c r="F3343" i="33" s="1"/>
  <c r="H3342" i="33"/>
  <c r="D3342" i="33" s="1"/>
  <c r="E3342" i="33" s="1"/>
  <c r="F3342" i="33" s="1"/>
  <c r="H3341" i="33"/>
  <c r="D3341" i="33" s="1"/>
  <c r="E3341" i="33" s="1"/>
  <c r="F3341" i="33" s="1"/>
  <c r="H3340" i="33"/>
  <c r="D3340" i="33" s="1"/>
  <c r="E3340" i="33" s="1"/>
  <c r="F3340" i="33" s="1"/>
  <c r="H3339" i="33"/>
  <c r="D3339" i="33" s="1"/>
  <c r="E3339" i="33" s="1"/>
  <c r="F3339" i="33" s="1"/>
  <c r="H3338" i="33"/>
  <c r="D3338" i="33" s="1"/>
  <c r="E3338" i="33" s="1"/>
  <c r="F3338" i="33" s="1"/>
  <c r="H3337" i="33"/>
  <c r="D3337" i="33" s="1"/>
  <c r="E3337" i="33" s="1"/>
  <c r="F3337" i="33" s="1"/>
  <c r="H3336" i="33"/>
  <c r="D3336" i="33" s="1"/>
  <c r="E3336" i="33" s="1"/>
  <c r="F3336" i="33" s="1"/>
  <c r="H3335" i="33"/>
  <c r="D3335" i="33" s="1"/>
  <c r="E3335" i="33" s="1"/>
  <c r="F3335" i="33" s="1"/>
  <c r="H3334" i="33"/>
  <c r="D3334" i="33" s="1"/>
  <c r="E3334" i="33" s="1"/>
  <c r="F3334" i="33" s="1"/>
  <c r="H3333" i="33"/>
  <c r="D3333" i="33" s="1"/>
  <c r="E3333" i="33" s="1"/>
  <c r="F3333" i="33" s="1"/>
  <c r="H3332" i="33"/>
  <c r="D3332" i="33" s="1"/>
  <c r="E3332" i="33" s="1"/>
  <c r="F3332" i="33" s="1"/>
  <c r="H3331" i="33"/>
  <c r="D3331" i="33" s="1"/>
  <c r="E3331" i="33" s="1"/>
  <c r="F3331" i="33" s="1"/>
  <c r="H3330" i="33"/>
  <c r="D3330" i="33" s="1"/>
  <c r="E3330" i="33" s="1"/>
  <c r="F3330" i="33" s="1"/>
  <c r="H3329" i="33"/>
  <c r="D3329" i="33" s="1"/>
  <c r="E3329" i="33" s="1"/>
  <c r="F3329" i="33" s="1"/>
  <c r="H3328" i="33"/>
  <c r="D3328" i="33" s="1"/>
  <c r="E3328" i="33" s="1"/>
  <c r="F3328" i="33" s="1"/>
  <c r="H3327" i="33"/>
  <c r="D3327" i="33" s="1"/>
  <c r="E3327" i="33" s="1"/>
  <c r="F3327" i="33" s="1"/>
  <c r="H3326" i="33"/>
  <c r="D3326" i="33" s="1"/>
  <c r="E3326" i="33" s="1"/>
  <c r="F3326" i="33" s="1"/>
  <c r="H3325" i="33"/>
  <c r="D3325" i="33" s="1"/>
  <c r="E3325" i="33" s="1"/>
  <c r="F3325" i="33" s="1"/>
  <c r="H3324" i="33"/>
  <c r="D3324" i="33" s="1"/>
  <c r="E3324" i="33" s="1"/>
  <c r="F3324" i="33" s="1"/>
  <c r="I3323" i="33"/>
  <c r="H3323" i="33"/>
  <c r="D3323" i="33" s="1"/>
  <c r="E3323" i="33" s="1"/>
  <c r="F3323" i="33" s="1"/>
  <c r="H14193" i="25"/>
  <c r="AQ449" i="29" s="1"/>
  <c r="AV557" i="29"/>
  <c r="AZ557" i="29" s="1"/>
  <c r="AR557" i="29"/>
  <c r="AS557" i="29" s="1"/>
  <c r="AG557" i="29"/>
  <c r="AV74" i="32"/>
  <c r="AZ74" i="32" s="1"/>
  <c r="AF74" i="32"/>
  <c r="AR74" i="32"/>
  <c r="AS74" i="32" s="1"/>
  <c r="AR556" i="29"/>
  <c r="AV556" i="29"/>
  <c r="AZ556" i="29" s="1"/>
  <c r="AG556" i="29"/>
  <c r="BG361" i="29"/>
  <c r="H3305" i="33"/>
  <c r="D3305" i="33" s="1"/>
  <c r="E3305" i="33" s="1"/>
  <c r="F3305" i="33" s="1"/>
  <c r="H3304" i="33"/>
  <c r="D3304" i="33" s="1"/>
  <c r="E3304" i="33" s="1"/>
  <c r="F3304" i="33" s="1"/>
  <c r="H3303" i="33"/>
  <c r="D3303" i="33" s="1"/>
  <c r="E3303" i="33" s="1"/>
  <c r="F3303" i="33" s="1"/>
  <c r="H3302" i="33"/>
  <c r="D3302" i="33" s="1"/>
  <c r="E3302" i="33" s="1"/>
  <c r="F3302" i="33" s="1"/>
  <c r="H3301" i="33"/>
  <c r="D3301" i="33" s="1"/>
  <c r="E3301" i="33" s="1"/>
  <c r="F3301" i="33" s="1"/>
  <c r="H3300" i="33"/>
  <c r="D3300" i="33" s="1"/>
  <c r="E3300" i="33" s="1"/>
  <c r="F3300" i="33" s="1"/>
  <c r="H3299" i="33"/>
  <c r="D3299" i="33" s="1"/>
  <c r="E3299" i="33" s="1"/>
  <c r="F3299" i="33" s="1"/>
  <c r="H3298" i="33"/>
  <c r="D3298" i="33" s="1"/>
  <c r="E3298" i="33" s="1"/>
  <c r="F3298" i="33" s="1"/>
  <c r="H3297" i="33"/>
  <c r="D3297" i="33" s="1"/>
  <c r="E3297" i="33" s="1"/>
  <c r="F3297" i="33" s="1"/>
  <c r="H3296" i="33"/>
  <c r="D3296" i="33" s="1"/>
  <c r="E3296" i="33" s="1"/>
  <c r="F3296" i="33" s="1"/>
  <c r="H3295" i="33"/>
  <c r="D3295" i="33" s="1"/>
  <c r="E3295" i="33" s="1"/>
  <c r="F3295" i="33" s="1"/>
  <c r="H3294" i="33"/>
  <c r="D3294" i="33" s="1"/>
  <c r="E3294" i="33" s="1"/>
  <c r="F3294" i="33" s="1"/>
  <c r="H3293" i="33"/>
  <c r="D3293" i="33" s="1"/>
  <c r="E3293" i="33" s="1"/>
  <c r="F3293" i="33" s="1"/>
  <c r="H3292" i="33"/>
  <c r="D3292" i="33" s="1"/>
  <c r="E3292" i="33" s="1"/>
  <c r="F3292" i="33" s="1"/>
  <c r="H3291" i="33"/>
  <c r="D3291" i="33" s="1"/>
  <c r="E3291" i="33" s="1"/>
  <c r="F3291" i="33" s="1"/>
  <c r="H3290" i="33"/>
  <c r="D3290" i="33" s="1"/>
  <c r="E3290" i="33" s="1"/>
  <c r="F3290" i="33" s="1"/>
  <c r="H3289" i="33"/>
  <c r="D3289" i="33" s="1"/>
  <c r="E3289" i="33" s="1"/>
  <c r="F3289" i="33" s="1"/>
  <c r="H3288" i="33"/>
  <c r="D3288" i="33" s="1"/>
  <c r="E3288" i="33" s="1"/>
  <c r="F3288" i="33" s="1"/>
  <c r="H3287" i="33"/>
  <c r="D3287" i="33" s="1"/>
  <c r="E3287" i="33" s="1"/>
  <c r="F3287" i="33" s="1"/>
  <c r="H3286" i="33"/>
  <c r="D3286" i="33" s="1"/>
  <c r="E3286" i="33" s="1"/>
  <c r="F3286" i="33" s="1"/>
  <c r="H3285" i="33"/>
  <c r="D3285" i="33" s="1"/>
  <c r="E3285" i="33" s="1"/>
  <c r="F3285" i="33" s="1"/>
  <c r="H3284" i="33"/>
  <c r="D3284" i="33" s="1"/>
  <c r="E3284" i="33" s="1"/>
  <c r="F3284" i="33" s="1"/>
  <c r="H3283" i="33"/>
  <c r="D3283" i="33" s="1"/>
  <c r="E3283" i="33" s="1"/>
  <c r="F3283" i="33" s="1"/>
  <c r="H3282" i="33"/>
  <c r="D3282" i="33" s="1"/>
  <c r="E3282" i="33" s="1"/>
  <c r="F3282" i="33" s="1"/>
  <c r="H3281" i="33"/>
  <c r="D3281" i="33" s="1"/>
  <c r="E3281" i="33" s="1"/>
  <c r="F3281" i="33" s="1"/>
  <c r="H3280" i="33"/>
  <c r="D3280" i="33" s="1"/>
  <c r="E3280" i="33" s="1"/>
  <c r="F3280" i="33" s="1"/>
  <c r="H3279" i="33"/>
  <c r="D3279" i="33" s="1"/>
  <c r="E3279" i="33" s="1"/>
  <c r="F3279" i="33" s="1"/>
  <c r="H3278" i="33"/>
  <c r="D3278" i="33" s="1"/>
  <c r="E3278" i="33" s="1"/>
  <c r="F3278" i="33" s="1"/>
  <c r="H3277" i="33"/>
  <c r="D3277" i="33" s="1"/>
  <c r="E3277" i="33" s="1"/>
  <c r="F3277" i="33" s="1"/>
  <c r="I3276" i="33"/>
  <c r="H3276" i="33"/>
  <c r="D3276" i="33" s="1"/>
  <c r="E3276" i="33" s="1"/>
  <c r="F3276" i="33" s="1"/>
  <c r="AQ555" i="29"/>
  <c r="H18168" i="25"/>
  <c r="D18168" i="25" s="1"/>
  <c r="E18168" i="25" s="1"/>
  <c r="F18168" i="25" s="1"/>
  <c r="H18167" i="25"/>
  <c r="D18167" i="25" s="1"/>
  <c r="E18167" i="25" s="1"/>
  <c r="F18167" i="25" s="1"/>
  <c r="H18166" i="25"/>
  <c r="D18166" i="25" s="1"/>
  <c r="E18166" i="25" s="1"/>
  <c r="F18166" i="25" s="1"/>
  <c r="H18165" i="25"/>
  <c r="D18165" i="25" s="1"/>
  <c r="E18165" i="25" s="1"/>
  <c r="F18165" i="25" s="1"/>
  <c r="H18164" i="25"/>
  <c r="D18164" i="25" s="1"/>
  <c r="E18164" i="25" s="1"/>
  <c r="F18164" i="25" s="1"/>
  <c r="H18163" i="25"/>
  <c r="D18163" i="25" s="1"/>
  <c r="E18163" i="25" s="1"/>
  <c r="F18163" i="25" s="1"/>
  <c r="H18162" i="25"/>
  <c r="D18162" i="25" s="1"/>
  <c r="E18162" i="25" s="1"/>
  <c r="F18162" i="25" s="1"/>
  <c r="H18161" i="25"/>
  <c r="D18161" i="25" s="1"/>
  <c r="E18161" i="25" s="1"/>
  <c r="F18161" i="25" s="1"/>
  <c r="H18160" i="25"/>
  <c r="D18160" i="25" s="1"/>
  <c r="E18160" i="25" s="1"/>
  <c r="F18160" i="25" s="1"/>
  <c r="H18159" i="25"/>
  <c r="D18159" i="25" s="1"/>
  <c r="E18159" i="25" s="1"/>
  <c r="F18159" i="25" s="1"/>
  <c r="H18158" i="25"/>
  <c r="D18158" i="25" s="1"/>
  <c r="E18158" i="25" s="1"/>
  <c r="F18158" i="25" s="1"/>
  <c r="H18157" i="25"/>
  <c r="D18157" i="25" s="1"/>
  <c r="E18157" i="25" s="1"/>
  <c r="F18157" i="25" s="1"/>
  <c r="H18156" i="25"/>
  <c r="D18156" i="25" s="1"/>
  <c r="E18156" i="25" s="1"/>
  <c r="F18156" i="25" s="1"/>
  <c r="H18155" i="25"/>
  <c r="D18155" i="25" s="1"/>
  <c r="E18155" i="25" s="1"/>
  <c r="F18155" i="25" s="1"/>
  <c r="H18154" i="25"/>
  <c r="D18154" i="25" s="1"/>
  <c r="E18154" i="25" s="1"/>
  <c r="F18154" i="25" s="1"/>
  <c r="H18153" i="25"/>
  <c r="D18153" i="25" s="1"/>
  <c r="E18153" i="25" s="1"/>
  <c r="F18153" i="25" s="1"/>
  <c r="H18152" i="25"/>
  <c r="D18152" i="25" s="1"/>
  <c r="E18152" i="25" s="1"/>
  <c r="F18152" i="25" s="1"/>
  <c r="H18151" i="25"/>
  <c r="D18151" i="25" s="1"/>
  <c r="E18151" i="25" s="1"/>
  <c r="F18151" i="25" s="1"/>
  <c r="H18150" i="25"/>
  <c r="D18150" i="25" s="1"/>
  <c r="E18150" i="25" s="1"/>
  <c r="F18150" i="25" s="1"/>
  <c r="H18149" i="25"/>
  <c r="D18149" i="25" s="1"/>
  <c r="E18149" i="25" s="1"/>
  <c r="F18149" i="25" s="1"/>
  <c r="H18148" i="25"/>
  <c r="D18148" i="25" s="1"/>
  <c r="E18148" i="25" s="1"/>
  <c r="F18148" i="25" s="1"/>
  <c r="H18147" i="25"/>
  <c r="D18147" i="25" s="1"/>
  <c r="E18147" i="25" s="1"/>
  <c r="F18147" i="25" s="1"/>
  <c r="H18146" i="25"/>
  <c r="D18146" i="25" s="1"/>
  <c r="E18146" i="25" s="1"/>
  <c r="F18146" i="25" s="1"/>
  <c r="H18145" i="25"/>
  <c r="D18145" i="25" s="1"/>
  <c r="E18145" i="25" s="1"/>
  <c r="F18145" i="25" s="1"/>
  <c r="H18144" i="25"/>
  <c r="D18144" i="25" s="1"/>
  <c r="E18144" i="25" s="1"/>
  <c r="F18144" i="25" s="1"/>
  <c r="H18143" i="25"/>
  <c r="D18143" i="25" s="1"/>
  <c r="E18143" i="25" s="1"/>
  <c r="F18143" i="25" s="1"/>
  <c r="H18142" i="25"/>
  <c r="D18142" i="25" s="1"/>
  <c r="E18142" i="25" s="1"/>
  <c r="F18142" i="25" s="1"/>
  <c r="H18141" i="25"/>
  <c r="D18141" i="25" s="1"/>
  <c r="E18141" i="25" s="1"/>
  <c r="F18141" i="25" s="1"/>
  <c r="H18140" i="25"/>
  <c r="D18140" i="25" s="1"/>
  <c r="E18140" i="25" s="1"/>
  <c r="F18140" i="25" s="1"/>
  <c r="H18139" i="25"/>
  <c r="D18139" i="25" s="1"/>
  <c r="E18139" i="25" s="1"/>
  <c r="F18139" i="25" s="1"/>
  <c r="E18137" i="25"/>
  <c r="H18106" i="25"/>
  <c r="H18105" i="25"/>
  <c r="H18104" i="25"/>
  <c r="H18103" i="25"/>
  <c r="H18102" i="25"/>
  <c r="H18101" i="25"/>
  <c r="H18100" i="25"/>
  <c r="H18099" i="25"/>
  <c r="H18098" i="25"/>
  <c r="H18097" i="25"/>
  <c r="H18096" i="25"/>
  <c r="L18096" i="25" s="1"/>
  <c r="M18096" i="25" s="1"/>
  <c r="N18096" i="25" s="1"/>
  <c r="H18095" i="25"/>
  <c r="H18094" i="25"/>
  <c r="H18093" i="25"/>
  <c r="H18092" i="25"/>
  <c r="H18091" i="25"/>
  <c r="H18090" i="25"/>
  <c r="H18089" i="25"/>
  <c r="H18088" i="25"/>
  <c r="H18087" i="25"/>
  <c r="H18086" i="25"/>
  <c r="H18085" i="25"/>
  <c r="H18084" i="25"/>
  <c r="H18083" i="25"/>
  <c r="H18082" i="25"/>
  <c r="H18081" i="25"/>
  <c r="H18080" i="25"/>
  <c r="H18079" i="25"/>
  <c r="H18078" i="25"/>
  <c r="H18077" i="25"/>
  <c r="E18075" i="25"/>
  <c r="H3258" i="33"/>
  <c r="D3258" i="33" s="1"/>
  <c r="E3258" i="33" s="1"/>
  <c r="F3258" i="33" s="1"/>
  <c r="H3257" i="33"/>
  <c r="D3257" i="33" s="1"/>
  <c r="E3257" i="33" s="1"/>
  <c r="F3257" i="33" s="1"/>
  <c r="H3256" i="33"/>
  <c r="D3256" i="33" s="1"/>
  <c r="E3256" i="33" s="1"/>
  <c r="F3256" i="33" s="1"/>
  <c r="H3255" i="33"/>
  <c r="D3255" i="33" s="1"/>
  <c r="E3255" i="33" s="1"/>
  <c r="F3255" i="33" s="1"/>
  <c r="H3254" i="33"/>
  <c r="D3254" i="33" s="1"/>
  <c r="E3254" i="33" s="1"/>
  <c r="F3254" i="33" s="1"/>
  <c r="H3253" i="33"/>
  <c r="D3253" i="33" s="1"/>
  <c r="E3253" i="33" s="1"/>
  <c r="F3253" i="33" s="1"/>
  <c r="H3252" i="33"/>
  <c r="D3252" i="33" s="1"/>
  <c r="E3252" i="33" s="1"/>
  <c r="F3252" i="33" s="1"/>
  <c r="H3251" i="33"/>
  <c r="D3251" i="33" s="1"/>
  <c r="E3251" i="33" s="1"/>
  <c r="F3251" i="33" s="1"/>
  <c r="H3250" i="33"/>
  <c r="D3250" i="33" s="1"/>
  <c r="E3250" i="33" s="1"/>
  <c r="F3250" i="33" s="1"/>
  <c r="H3249" i="33"/>
  <c r="D3249" i="33" s="1"/>
  <c r="E3249" i="33" s="1"/>
  <c r="F3249" i="33" s="1"/>
  <c r="H3248" i="33"/>
  <c r="D3248" i="33" s="1"/>
  <c r="E3248" i="33" s="1"/>
  <c r="F3248" i="33" s="1"/>
  <c r="H3247" i="33"/>
  <c r="D3247" i="33" s="1"/>
  <c r="E3247" i="33" s="1"/>
  <c r="F3247" i="33" s="1"/>
  <c r="H3246" i="33"/>
  <c r="D3246" i="33" s="1"/>
  <c r="E3246" i="33" s="1"/>
  <c r="F3246" i="33" s="1"/>
  <c r="H3245" i="33"/>
  <c r="D3245" i="33" s="1"/>
  <c r="E3245" i="33" s="1"/>
  <c r="F3245" i="33" s="1"/>
  <c r="H3244" i="33"/>
  <c r="D3244" i="33" s="1"/>
  <c r="E3244" i="33" s="1"/>
  <c r="F3244" i="33" s="1"/>
  <c r="H3243" i="33"/>
  <c r="D3243" i="33" s="1"/>
  <c r="E3243" i="33" s="1"/>
  <c r="F3243" i="33" s="1"/>
  <c r="H3242" i="33"/>
  <c r="D3242" i="33" s="1"/>
  <c r="E3242" i="33" s="1"/>
  <c r="F3242" i="33" s="1"/>
  <c r="H3241" i="33"/>
  <c r="D3241" i="33" s="1"/>
  <c r="E3241" i="33" s="1"/>
  <c r="F3241" i="33" s="1"/>
  <c r="H3240" i="33"/>
  <c r="D3240" i="33" s="1"/>
  <c r="E3240" i="33" s="1"/>
  <c r="F3240" i="33" s="1"/>
  <c r="H3239" i="33"/>
  <c r="D3239" i="33" s="1"/>
  <c r="E3239" i="33" s="1"/>
  <c r="F3239" i="33" s="1"/>
  <c r="H3238" i="33"/>
  <c r="D3238" i="33" s="1"/>
  <c r="E3238" i="33" s="1"/>
  <c r="F3238" i="33" s="1"/>
  <c r="H3237" i="33"/>
  <c r="D3237" i="33" s="1"/>
  <c r="E3237" i="33" s="1"/>
  <c r="F3237" i="33" s="1"/>
  <c r="H3236" i="33"/>
  <c r="D3236" i="33" s="1"/>
  <c r="E3236" i="33" s="1"/>
  <c r="F3236" i="33" s="1"/>
  <c r="H3235" i="33"/>
  <c r="D3235" i="33" s="1"/>
  <c r="E3235" i="33" s="1"/>
  <c r="F3235" i="33" s="1"/>
  <c r="H3234" i="33"/>
  <c r="D3234" i="33" s="1"/>
  <c r="E3234" i="33" s="1"/>
  <c r="F3234" i="33" s="1"/>
  <c r="H3233" i="33"/>
  <c r="D3233" i="33" s="1"/>
  <c r="E3233" i="33" s="1"/>
  <c r="F3233" i="33" s="1"/>
  <c r="H3232" i="33"/>
  <c r="D3232" i="33" s="1"/>
  <c r="E3232" i="33" s="1"/>
  <c r="F3232" i="33" s="1"/>
  <c r="H3231" i="33"/>
  <c r="D3231" i="33" s="1"/>
  <c r="E3231" i="33" s="1"/>
  <c r="F3231" i="33" s="1"/>
  <c r="H3230" i="33"/>
  <c r="D3230" i="33" s="1"/>
  <c r="E3230" i="33" s="1"/>
  <c r="F3230" i="33" s="1"/>
  <c r="I3229" i="33"/>
  <c r="H3229" i="33"/>
  <c r="D3229" i="33" s="1"/>
  <c r="E3229" i="33" s="1"/>
  <c r="F3229" i="33" s="1"/>
  <c r="AQ459" i="29"/>
  <c r="AF73" i="32"/>
  <c r="AR73" i="32"/>
  <c r="AS73" i="32" s="1"/>
  <c r="AV73" i="32"/>
  <c r="AW73" i="32" s="1"/>
  <c r="AG555" i="29"/>
  <c r="AR555" i="29"/>
  <c r="AS555" i="29" s="1"/>
  <c r="AV555" i="29"/>
  <c r="AW555" i="29" s="1"/>
  <c r="AG554" i="29"/>
  <c r="AR554" i="29"/>
  <c r="AS554" i="29" s="1"/>
  <c r="AV554" i="29"/>
  <c r="AW554" i="29" s="1"/>
  <c r="AR553" i="29"/>
  <c r="AS553" i="29" s="1"/>
  <c r="AV553" i="29"/>
  <c r="AW553" i="29" s="1"/>
  <c r="AG552" i="29"/>
  <c r="AR552" i="29"/>
  <c r="AS552" i="29" s="1"/>
  <c r="AV552" i="29"/>
  <c r="AW552" i="29" s="1"/>
  <c r="C15709" i="25"/>
  <c r="C3019" i="33"/>
  <c r="C2968" i="33"/>
  <c r="C2920" i="33"/>
  <c r="C2874" i="33"/>
  <c r="C2826" i="33"/>
  <c r="C2732" i="33"/>
  <c r="C2779" i="33"/>
  <c r="H3211" i="33"/>
  <c r="D3211" i="33" s="1"/>
  <c r="E3211" i="33" s="1"/>
  <c r="F3211" i="33" s="1"/>
  <c r="H3210" i="33"/>
  <c r="D3210" i="33" s="1"/>
  <c r="E3210" i="33" s="1"/>
  <c r="F3210" i="33" s="1"/>
  <c r="H3209" i="33"/>
  <c r="D3209" i="33" s="1"/>
  <c r="E3209" i="33" s="1"/>
  <c r="F3209" i="33" s="1"/>
  <c r="H3208" i="33"/>
  <c r="D3208" i="33" s="1"/>
  <c r="E3208" i="33" s="1"/>
  <c r="F3208" i="33" s="1"/>
  <c r="H3207" i="33"/>
  <c r="D3207" i="33" s="1"/>
  <c r="E3207" i="33" s="1"/>
  <c r="F3207" i="33" s="1"/>
  <c r="H3206" i="33"/>
  <c r="D3206" i="33" s="1"/>
  <c r="E3206" i="33" s="1"/>
  <c r="F3206" i="33" s="1"/>
  <c r="H3205" i="33"/>
  <c r="D3205" i="33" s="1"/>
  <c r="E3205" i="33" s="1"/>
  <c r="F3205" i="33" s="1"/>
  <c r="H3204" i="33"/>
  <c r="D3204" i="33" s="1"/>
  <c r="E3204" i="33" s="1"/>
  <c r="F3204" i="33" s="1"/>
  <c r="H3203" i="33"/>
  <c r="D3203" i="33" s="1"/>
  <c r="E3203" i="33" s="1"/>
  <c r="F3203" i="33" s="1"/>
  <c r="H3202" i="33"/>
  <c r="D3202" i="33" s="1"/>
  <c r="E3202" i="33" s="1"/>
  <c r="F3202" i="33" s="1"/>
  <c r="H3201" i="33"/>
  <c r="D3201" i="33" s="1"/>
  <c r="E3201" i="33" s="1"/>
  <c r="F3201" i="33" s="1"/>
  <c r="H3200" i="33"/>
  <c r="D3200" i="33" s="1"/>
  <c r="E3200" i="33" s="1"/>
  <c r="F3200" i="33" s="1"/>
  <c r="H3199" i="33"/>
  <c r="D3199" i="33" s="1"/>
  <c r="E3199" i="33" s="1"/>
  <c r="F3199" i="33" s="1"/>
  <c r="H3198" i="33"/>
  <c r="D3198" i="33" s="1"/>
  <c r="E3198" i="33" s="1"/>
  <c r="F3198" i="33" s="1"/>
  <c r="H3197" i="33"/>
  <c r="D3197" i="33" s="1"/>
  <c r="E3197" i="33" s="1"/>
  <c r="F3197" i="33" s="1"/>
  <c r="H3196" i="33"/>
  <c r="D3196" i="33" s="1"/>
  <c r="E3196" i="33" s="1"/>
  <c r="F3196" i="33" s="1"/>
  <c r="H3195" i="33"/>
  <c r="D3195" i="33" s="1"/>
  <c r="E3195" i="33" s="1"/>
  <c r="F3195" i="33" s="1"/>
  <c r="H3194" i="33"/>
  <c r="D3194" i="33" s="1"/>
  <c r="E3194" i="33" s="1"/>
  <c r="F3194" i="33" s="1"/>
  <c r="H3193" i="33"/>
  <c r="D3193" i="33" s="1"/>
  <c r="E3193" i="33" s="1"/>
  <c r="F3193" i="33" s="1"/>
  <c r="H3192" i="33"/>
  <c r="D3192" i="33" s="1"/>
  <c r="E3192" i="33" s="1"/>
  <c r="F3192" i="33" s="1"/>
  <c r="H3191" i="33"/>
  <c r="D3191" i="33" s="1"/>
  <c r="E3191" i="33" s="1"/>
  <c r="F3191" i="33" s="1"/>
  <c r="H3190" i="33"/>
  <c r="D3190" i="33" s="1"/>
  <c r="E3190" i="33" s="1"/>
  <c r="F3190" i="33" s="1"/>
  <c r="H3189" i="33"/>
  <c r="D3189" i="33" s="1"/>
  <c r="E3189" i="33" s="1"/>
  <c r="F3189" i="33" s="1"/>
  <c r="H3188" i="33"/>
  <c r="D3188" i="33" s="1"/>
  <c r="E3188" i="33" s="1"/>
  <c r="F3188" i="33" s="1"/>
  <c r="H3187" i="33"/>
  <c r="D3187" i="33" s="1"/>
  <c r="E3187" i="33" s="1"/>
  <c r="F3187" i="33" s="1"/>
  <c r="H3186" i="33"/>
  <c r="D3186" i="33" s="1"/>
  <c r="E3186" i="33" s="1"/>
  <c r="F3186" i="33" s="1"/>
  <c r="H3185" i="33"/>
  <c r="D3185" i="33" s="1"/>
  <c r="E3185" i="33" s="1"/>
  <c r="F3185" i="33" s="1"/>
  <c r="H3184" i="33"/>
  <c r="D3184" i="33" s="1"/>
  <c r="E3184" i="33" s="1"/>
  <c r="F3184" i="33" s="1"/>
  <c r="H3183" i="33"/>
  <c r="D3183" i="33" s="1"/>
  <c r="E3183" i="33" s="1"/>
  <c r="F3183" i="33" s="1"/>
  <c r="I3182" i="33"/>
  <c r="H3182" i="33"/>
  <c r="D3182" i="33" s="1"/>
  <c r="E3182" i="33" s="1"/>
  <c r="F3182" i="33" s="1"/>
  <c r="AV72" i="32"/>
  <c r="AW72" i="32" s="1"/>
  <c r="AR72" i="32"/>
  <c r="AS72" i="32" s="1"/>
  <c r="AV71" i="32"/>
  <c r="AZ71" i="32" s="1"/>
  <c r="AR71" i="32"/>
  <c r="AS71" i="32" s="1"/>
  <c r="AF72" i="32"/>
  <c r="AF71" i="32"/>
  <c r="H16217" i="25"/>
  <c r="G14130" i="25"/>
  <c r="AQ450" i="29" s="1"/>
  <c r="H18042" i="25"/>
  <c r="D18042" i="25" s="1"/>
  <c r="E18042" i="25" s="1"/>
  <c r="F18042" i="25" s="1"/>
  <c r="H18041" i="25"/>
  <c r="D18041" i="25" s="1"/>
  <c r="E18041" i="25" s="1"/>
  <c r="F18041" i="25" s="1"/>
  <c r="H18040" i="25"/>
  <c r="D18040" i="25" s="1"/>
  <c r="E18040" i="25" s="1"/>
  <c r="F18040" i="25" s="1"/>
  <c r="H18039" i="25"/>
  <c r="D18039" i="25" s="1"/>
  <c r="E18039" i="25" s="1"/>
  <c r="F18039" i="25" s="1"/>
  <c r="H18038" i="25"/>
  <c r="D18038" i="25" s="1"/>
  <c r="E18038" i="25" s="1"/>
  <c r="F18038" i="25" s="1"/>
  <c r="H18037" i="25"/>
  <c r="D18037" i="25" s="1"/>
  <c r="E18037" i="25" s="1"/>
  <c r="F18037" i="25" s="1"/>
  <c r="H18036" i="25"/>
  <c r="D18036" i="25" s="1"/>
  <c r="E18036" i="25" s="1"/>
  <c r="F18036" i="25" s="1"/>
  <c r="H18035" i="25"/>
  <c r="D18035" i="25" s="1"/>
  <c r="E18035" i="25" s="1"/>
  <c r="F18035" i="25" s="1"/>
  <c r="H18034" i="25"/>
  <c r="D18034" i="25" s="1"/>
  <c r="E18034" i="25" s="1"/>
  <c r="F18034" i="25" s="1"/>
  <c r="H18033" i="25"/>
  <c r="D18033" i="25" s="1"/>
  <c r="E18033" i="25" s="1"/>
  <c r="F18033" i="25" s="1"/>
  <c r="H18032" i="25"/>
  <c r="D18032" i="25" s="1"/>
  <c r="E18032" i="25" s="1"/>
  <c r="F18032" i="25" s="1"/>
  <c r="H18031" i="25"/>
  <c r="D18031" i="25" s="1"/>
  <c r="E18031" i="25" s="1"/>
  <c r="F18031" i="25" s="1"/>
  <c r="H18030" i="25"/>
  <c r="D18030" i="25" s="1"/>
  <c r="E18030" i="25" s="1"/>
  <c r="F18030" i="25" s="1"/>
  <c r="H18029" i="25"/>
  <c r="D18029" i="25" s="1"/>
  <c r="E18029" i="25" s="1"/>
  <c r="F18029" i="25" s="1"/>
  <c r="H18028" i="25"/>
  <c r="D18028" i="25" s="1"/>
  <c r="E18028" i="25" s="1"/>
  <c r="F18028" i="25" s="1"/>
  <c r="H18027" i="25"/>
  <c r="D18027" i="25" s="1"/>
  <c r="E18027" i="25" s="1"/>
  <c r="F18027" i="25" s="1"/>
  <c r="H18026" i="25"/>
  <c r="D18026" i="25" s="1"/>
  <c r="E18026" i="25" s="1"/>
  <c r="F18026" i="25" s="1"/>
  <c r="H18025" i="25"/>
  <c r="D18025" i="25" s="1"/>
  <c r="E18025" i="25" s="1"/>
  <c r="F18025" i="25" s="1"/>
  <c r="H18024" i="25"/>
  <c r="D18024" i="25" s="1"/>
  <c r="E18024" i="25" s="1"/>
  <c r="F18024" i="25" s="1"/>
  <c r="H18023" i="25"/>
  <c r="D18023" i="25" s="1"/>
  <c r="E18023" i="25" s="1"/>
  <c r="F18023" i="25" s="1"/>
  <c r="H18022" i="25"/>
  <c r="D18022" i="25" s="1"/>
  <c r="E18022" i="25" s="1"/>
  <c r="F18022" i="25" s="1"/>
  <c r="H18021" i="25"/>
  <c r="D18021" i="25" s="1"/>
  <c r="E18021" i="25" s="1"/>
  <c r="F18021" i="25" s="1"/>
  <c r="H18020" i="25"/>
  <c r="D18020" i="25" s="1"/>
  <c r="E18020" i="25" s="1"/>
  <c r="F18020" i="25" s="1"/>
  <c r="H18019" i="25"/>
  <c r="D18019" i="25" s="1"/>
  <c r="E18019" i="25" s="1"/>
  <c r="F18019" i="25" s="1"/>
  <c r="H18018" i="25"/>
  <c r="D18018" i="25" s="1"/>
  <c r="E18018" i="25" s="1"/>
  <c r="F18018" i="25" s="1"/>
  <c r="H18017" i="25"/>
  <c r="D18017" i="25" s="1"/>
  <c r="E18017" i="25" s="1"/>
  <c r="F18017" i="25" s="1"/>
  <c r="H18016" i="25"/>
  <c r="D18016" i="25" s="1"/>
  <c r="E18016" i="25" s="1"/>
  <c r="F18016" i="25" s="1"/>
  <c r="H18015" i="25"/>
  <c r="D18015" i="25" s="1"/>
  <c r="E18015" i="25" s="1"/>
  <c r="F18015" i="25" s="1"/>
  <c r="H18014" i="25"/>
  <c r="D18014" i="25" s="1"/>
  <c r="E18014" i="25" s="1"/>
  <c r="F18014" i="25" s="1"/>
  <c r="H18013" i="25"/>
  <c r="D18013" i="25" s="1"/>
  <c r="E18013" i="25" s="1"/>
  <c r="F18013" i="25" s="1"/>
  <c r="E18011" i="25"/>
  <c r="Z18005" i="25"/>
  <c r="Y18005" i="25"/>
  <c r="X18005" i="25"/>
  <c r="W18005" i="25"/>
  <c r="V18005" i="25"/>
  <c r="U18005" i="25"/>
  <c r="T18005" i="25"/>
  <c r="S18005" i="25"/>
  <c r="R18005" i="25"/>
  <c r="Q18005" i="25"/>
  <c r="P18005" i="25"/>
  <c r="O18005" i="25"/>
  <c r="N18005" i="25"/>
  <c r="M18005" i="25"/>
  <c r="L18005" i="25"/>
  <c r="K18005" i="25"/>
  <c r="J18005" i="25"/>
  <c r="I18005" i="25"/>
  <c r="D18005" i="25"/>
  <c r="F18005" i="25" s="1"/>
  <c r="AQ549" i="29" s="1"/>
  <c r="D17829" i="25"/>
  <c r="F17829" i="25" s="1"/>
  <c r="AQ543" i="29" s="1"/>
  <c r="H3164" i="33"/>
  <c r="D3164" i="33" s="1"/>
  <c r="E3164" i="33" s="1"/>
  <c r="F3164" i="33" s="1"/>
  <c r="H3163" i="33"/>
  <c r="D3163" i="33" s="1"/>
  <c r="E3163" i="33" s="1"/>
  <c r="F3163" i="33" s="1"/>
  <c r="H3162" i="33"/>
  <c r="D3162" i="33" s="1"/>
  <c r="E3162" i="33" s="1"/>
  <c r="F3162" i="33" s="1"/>
  <c r="H3161" i="33"/>
  <c r="D3161" i="33" s="1"/>
  <c r="E3161" i="33" s="1"/>
  <c r="F3161" i="33" s="1"/>
  <c r="H3160" i="33"/>
  <c r="D3160" i="33" s="1"/>
  <c r="E3160" i="33" s="1"/>
  <c r="F3160" i="33" s="1"/>
  <c r="H3159" i="33"/>
  <c r="D3159" i="33" s="1"/>
  <c r="E3159" i="33" s="1"/>
  <c r="F3159" i="33" s="1"/>
  <c r="H3158" i="33"/>
  <c r="D3158" i="33" s="1"/>
  <c r="E3158" i="33" s="1"/>
  <c r="F3158" i="33" s="1"/>
  <c r="H3157" i="33"/>
  <c r="D3157" i="33" s="1"/>
  <c r="E3157" i="33" s="1"/>
  <c r="F3157" i="33" s="1"/>
  <c r="H3156" i="33"/>
  <c r="D3156" i="33" s="1"/>
  <c r="E3156" i="33" s="1"/>
  <c r="F3156" i="33" s="1"/>
  <c r="H3155" i="33"/>
  <c r="D3155" i="33" s="1"/>
  <c r="E3155" i="33" s="1"/>
  <c r="F3155" i="33" s="1"/>
  <c r="H3154" i="33"/>
  <c r="D3154" i="33" s="1"/>
  <c r="E3154" i="33" s="1"/>
  <c r="F3154" i="33" s="1"/>
  <c r="H3153" i="33"/>
  <c r="D3153" i="33" s="1"/>
  <c r="E3153" i="33" s="1"/>
  <c r="F3153" i="33" s="1"/>
  <c r="H3152" i="33"/>
  <c r="D3152" i="33" s="1"/>
  <c r="E3152" i="33" s="1"/>
  <c r="F3152" i="33" s="1"/>
  <c r="H3151" i="33"/>
  <c r="D3151" i="33" s="1"/>
  <c r="E3151" i="33" s="1"/>
  <c r="F3151" i="33" s="1"/>
  <c r="H3150" i="33"/>
  <c r="D3150" i="33" s="1"/>
  <c r="E3150" i="33" s="1"/>
  <c r="F3150" i="33" s="1"/>
  <c r="H3149" i="33"/>
  <c r="D3149" i="33" s="1"/>
  <c r="E3149" i="33" s="1"/>
  <c r="F3149" i="33" s="1"/>
  <c r="H3148" i="33"/>
  <c r="D3148" i="33" s="1"/>
  <c r="E3148" i="33" s="1"/>
  <c r="F3148" i="33" s="1"/>
  <c r="H3147" i="33"/>
  <c r="D3147" i="33" s="1"/>
  <c r="E3147" i="33" s="1"/>
  <c r="F3147" i="33" s="1"/>
  <c r="H3146" i="33"/>
  <c r="D3146" i="33" s="1"/>
  <c r="E3146" i="33" s="1"/>
  <c r="F3146" i="33" s="1"/>
  <c r="H3145" i="33"/>
  <c r="D3145" i="33" s="1"/>
  <c r="E3145" i="33" s="1"/>
  <c r="F3145" i="33" s="1"/>
  <c r="H3144" i="33"/>
  <c r="D3144" i="33" s="1"/>
  <c r="E3144" i="33" s="1"/>
  <c r="F3144" i="33" s="1"/>
  <c r="H3143" i="33"/>
  <c r="D3143" i="33" s="1"/>
  <c r="E3143" i="33" s="1"/>
  <c r="F3143" i="33" s="1"/>
  <c r="H3142" i="33"/>
  <c r="D3142" i="33" s="1"/>
  <c r="E3142" i="33" s="1"/>
  <c r="F3142" i="33" s="1"/>
  <c r="H3141" i="33"/>
  <c r="D3141" i="33" s="1"/>
  <c r="E3141" i="33" s="1"/>
  <c r="F3141" i="33" s="1"/>
  <c r="H3140" i="33"/>
  <c r="D3140" i="33" s="1"/>
  <c r="E3140" i="33" s="1"/>
  <c r="F3140" i="33" s="1"/>
  <c r="H3139" i="33"/>
  <c r="D3139" i="33" s="1"/>
  <c r="E3139" i="33" s="1"/>
  <c r="F3139" i="33" s="1"/>
  <c r="H3138" i="33"/>
  <c r="D3138" i="33" s="1"/>
  <c r="E3138" i="33" s="1"/>
  <c r="F3138" i="33" s="1"/>
  <c r="H3137" i="33"/>
  <c r="D3137" i="33" s="1"/>
  <c r="E3137" i="33" s="1"/>
  <c r="F3137" i="33" s="1"/>
  <c r="H3136" i="33"/>
  <c r="D3136" i="33" s="1"/>
  <c r="E3136" i="33" s="1"/>
  <c r="F3136" i="33" s="1"/>
  <c r="I3135" i="33"/>
  <c r="H3135" i="33"/>
  <c r="D3135" i="33" s="1"/>
  <c r="E3135" i="33" s="1"/>
  <c r="F3135" i="33" s="1"/>
  <c r="H3117" i="33"/>
  <c r="D3117" i="33" s="1"/>
  <c r="E3117" i="33" s="1"/>
  <c r="F3117" i="33" s="1"/>
  <c r="H3116" i="33"/>
  <c r="D3116" i="33" s="1"/>
  <c r="E3116" i="33" s="1"/>
  <c r="F3116" i="33" s="1"/>
  <c r="H3115" i="33"/>
  <c r="D3115" i="33" s="1"/>
  <c r="E3115" i="33" s="1"/>
  <c r="F3115" i="33" s="1"/>
  <c r="H3114" i="33"/>
  <c r="D3114" i="33" s="1"/>
  <c r="E3114" i="33" s="1"/>
  <c r="F3114" i="33" s="1"/>
  <c r="H3113" i="33"/>
  <c r="D3113" i="33" s="1"/>
  <c r="E3113" i="33" s="1"/>
  <c r="F3113" i="33" s="1"/>
  <c r="H3112" i="33"/>
  <c r="D3112" i="33" s="1"/>
  <c r="E3112" i="33" s="1"/>
  <c r="F3112" i="33" s="1"/>
  <c r="H3111" i="33"/>
  <c r="D3111" i="33" s="1"/>
  <c r="E3111" i="33" s="1"/>
  <c r="F3111" i="33" s="1"/>
  <c r="H3110" i="33"/>
  <c r="D3110" i="33" s="1"/>
  <c r="E3110" i="33" s="1"/>
  <c r="F3110" i="33" s="1"/>
  <c r="H3109" i="33"/>
  <c r="D3109" i="33" s="1"/>
  <c r="E3109" i="33" s="1"/>
  <c r="F3109" i="33" s="1"/>
  <c r="H3108" i="33"/>
  <c r="D3108" i="33" s="1"/>
  <c r="E3108" i="33" s="1"/>
  <c r="F3108" i="33" s="1"/>
  <c r="H3107" i="33"/>
  <c r="D3107" i="33" s="1"/>
  <c r="E3107" i="33" s="1"/>
  <c r="F3107" i="33" s="1"/>
  <c r="H3106" i="33"/>
  <c r="D3106" i="33" s="1"/>
  <c r="E3106" i="33" s="1"/>
  <c r="F3106" i="33" s="1"/>
  <c r="H3105" i="33"/>
  <c r="D3105" i="33" s="1"/>
  <c r="E3105" i="33" s="1"/>
  <c r="F3105" i="33" s="1"/>
  <c r="H3104" i="33"/>
  <c r="D3104" i="33" s="1"/>
  <c r="E3104" i="33" s="1"/>
  <c r="F3104" i="33" s="1"/>
  <c r="H3103" i="33"/>
  <c r="D3103" i="33" s="1"/>
  <c r="E3103" i="33" s="1"/>
  <c r="F3103" i="33" s="1"/>
  <c r="H3102" i="33"/>
  <c r="D3102" i="33" s="1"/>
  <c r="E3102" i="33" s="1"/>
  <c r="F3102" i="33" s="1"/>
  <c r="H3101" i="33"/>
  <c r="D3101" i="33" s="1"/>
  <c r="E3101" i="33" s="1"/>
  <c r="F3101" i="33" s="1"/>
  <c r="H3100" i="33"/>
  <c r="D3100" i="33" s="1"/>
  <c r="E3100" i="33" s="1"/>
  <c r="F3100" i="33" s="1"/>
  <c r="H3099" i="33"/>
  <c r="D3099" i="33" s="1"/>
  <c r="E3099" i="33" s="1"/>
  <c r="F3099" i="33" s="1"/>
  <c r="H3098" i="33"/>
  <c r="D3098" i="33" s="1"/>
  <c r="E3098" i="33" s="1"/>
  <c r="F3098" i="33" s="1"/>
  <c r="H3097" i="33"/>
  <c r="D3097" i="33" s="1"/>
  <c r="E3097" i="33" s="1"/>
  <c r="F3097" i="33" s="1"/>
  <c r="H3096" i="33"/>
  <c r="D3096" i="33" s="1"/>
  <c r="E3096" i="33" s="1"/>
  <c r="F3096" i="33" s="1"/>
  <c r="H3095" i="33"/>
  <c r="D3095" i="33" s="1"/>
  <c r="E3095" i="33" s="1"/>
  <c r="F3095" i="33" s="1"/>
  <c r="H3094" i="33"/>
  <c r="D3094" i="33" s="1"/>
  <c r="E3094" i="33" s="1"/>
  <c r="F3094" i="33" s="1"/>
  <c r="H3093" i="33"/>
  <c r="D3093" i="33" s="1"/>
  <c r="E3093" i="33" s="1"/>
  <c r="F3093" i="33" s="1"/>
  <c r="H3092" i="33"/>
  <c r="D3092" i="33" s="1"/>
  <c r="E3092" i="33" s="1"/>
  <c r="F3092" i="33" s="1"/>
  <c r="H3091" i="33"/>
  <c r="D3091" i="33" s="1"/>
  <c r="E3091" i="33" s="1"/>
  <c r="F3091" i="33" s="1"/>
  <c r="H3090" i="33"/>
  <c r="D3090" i="33" s="1"/>
  <c r="E3090" i="33" s="1"/>
  <c r="F3090" i="33" s="1"/>
  <c r="H3089" i="33"/>
  <c r="D3089" i="33" s="1"/>
  <c r="E3089" i="33" s="1"/>
  <c r="F3089" i="33" s="1"/>
  <c r="I3088" i="33"/>
  <c r="H3088" i="33"/>
  <c r="D3088" i="33" s="1"/>
  <c r="E3088" i="33" s="1"/>
  <c r="F3088" i="33" s="1"/>
  <c r="AV70" i="32"/>
  <c r="AZ70" i="32" s="1"/>
  <c r="AR70" i="32"/>
  <c r="AS70" i="32" s="1"/>
  <c r="AF70" i="32"/>
  <c r="AV551" i="29"/>
  <c r="AW551" i="29" s="1"/>
  <c r="AR551" i="29"/>
  <c r="AS551" i="29" s="1"/>
  <c r="AG551" i="29"/>
  <c r="H17981" i="25"/>
  <c r="D17981" i="25" s="1"/>
  <c r="E17981" i="25" s="1"/>
  <c r="F17981" i="25" s="1"/>
  <c r="H17980" i="25"/>
  <c r="D17980" i="25" s="1"/>
  <c r="E17980" i="25" s="1"/>
  <c r="F17980" i="25" s="1"/>
  <c r="H17979" i="25"/>
  <c r="D17979" i="25" s="1"/>
  <c r="E17979" i="25" s="1"/>
  <c r="F17979" i="25" s="1"/>
  <c r="H17978" i="25"/>
  <c r="D17978" i="25" s="1"/>
  <c r="E17978" i="25" s="1"/>
  <c r="F17978" i="25" s="1"/>
  <c r="H17977" i="25"/>
  <c r="D17977" i="25" s="1"/>
  <c r="E17977" i="25" s="1"/>
  <c r="F17977" i="25" s="1"/>
  <c r="H17976" i="25"/>
  <c r="D17976" i="25" s="1"/>
  <c r="E17976" i="25" s="1"/>
  <c r="F17976" i="25" s="1"/>
  <c r="H17975" i="25"/>
  <c r="D17975" i="25" s="1"/>
  <c r="E17975" i="25" s="1"/>
  <c r="F17975" i="25" s="1"/>
  <c r="H17974" i="25"/>
  <c r="D17974" i="25" s="1"/>
  <c r="E17974" i="25" s="1"/>
  <c r="F17974" i="25" s="1"/>
  <c r="H17973" i="25"/>
  <c r="D17973" i="25" s="1"/>
  <c r="E17973" i="25" s="1"/>
  <c r="F17973" i="25" s="1"/>
  <c r="H17972" i="25"/>
  <c r="D17972" i="25" s="1"/>
  <c r="E17972" i="25" s="1"/>
  <c r="F17972" i="25" s="1"/>
  <c r="H17971" i="25"/>
  <c r="D17971" i="25" s="1"/>
  <c r="E17971" i="25" s="1"/>
  <c r="F17971" i="25" s="1"/>
  <c r="H17970" i="25"/>
  <c r="D17970" i="25" s="1"/>
  <c r="E17970" i="25" s="1"/>
  <c r="F17970" i="25" s="1"/>
  <c r="H17969" i="25"/>
  <c r="D17969" i="25" s="1"/>
  <c r="E17969" i="25" s="1"/>
  <c r="F17969" i="25" s="1"/>
  <c r="H17968" i="25"/>
  <c r="D17968" i="25" s="1"/>
  <c r="E17968" i="25" s="1"/>
  <c r="F17968" i="25" s="1"/>
  <c r="H17967" i="25"/>
  <c r="D17967" i="25" s="1"/>
  <c r="E17967" i="25" s="1"/>
  <c r="F17967" i="25" s="1"/>
  <c r="H17966" i="25"/>
  <c r="D17966" i="25" s="1"/>
  <c r="E17966" i="25" s="1"/>
  <c r="F17966" i="25" s="1"/>
  <c r="H17965" i="25"/>
  <c r="D17965" i="25" s="1"/>
  <c r="E17965" i="25" s="1"/>
  <c r="F17965" i="25" s="1"/>
  <c r="H17964" i="25"/>
  <c r="D17964" i="25" s="1"/>
  <c r="E17964" i="25" s="1"/>
  <c r="F17964" i="25" s="1"/>
  <c r="H17963" i="25"/>
  <c r="D17963" i="25" s="1"/>
  <c r="E17963" i="25" s="1"/>
  <c r="F17963" i="25" s="1"/>
  <c r="H17962" i="25"/>
  <c r="D17962" i="25" s="1"/>
  <c r="E17962" i="25" s="1"/>
  <c r="F17962" i="25" s="1"/>
  <c r="H17961" i="25"/>
  <c r="D17961" i="25" s="1"/>
  <c r="E17961" i="25" s="1"/>
  <c r="F17961" i="25" s="1"/>
  <c r="H17960" i="25"/>
  <c r="D17960" i="25" s="1"/>
  <c r="E17960" i="25" s="1"/>
  <c r="F17960" i="25" s="1"/>
  <c r="H17959" i="25"/>
  <c r="D17959" i="25" s="1"/>
  <c r="E17959" i="25" s="1"/>
  <c r="F17959" i="25" s="1"/>
  <c r="H17958" i="25"/>
  <c r="D17958" i="25" s="1"/>
  <c r="E17958" i="25" s="1"/>
  <c r="F17958" i="25" s="1"/>
  <c r="H17957" i="25"/>
  <c r="D17957" i="25" s="1"/>
  <c r="E17957" i="25" s="1"/>
  <c r="F17957" i="25" s="1"/>
  <c r="H17956" i="25"/>
  <c r="D17956" i="25" s="1"/>
  <c r="E17956" i="25" s="1"/>
  <c r="F17956" i="25" s="1"/>
  <c r="H17955" i="25"/>
  <c r="D17955" i="25" s="1"/>
  <c r="E17955" i="25" s="1"/>
  <c r="F17955" i="25" s="1"/>
  <c r="H17954" i="25"/>
  <c r="D17954" i="25" s="1"/>
  <c r="E17954" i="25" s="1"/>
  <c r="F17954" i="25" s="1"/>
  <c r="H17953" i="25"/>
  <c r="D17953" i="25" s="1"/>
  <c r="E17953" i="25" s="1"/>
  <c r="F17953" i="25" s="1"/>
  <c r="I17952" i="25"/>
  <c r="H17952" i="25"/>
  <c r="D17952" i="25" s="1"/>
  <c r="E17952" i="25" s="1"/>
  <c r="F17952" i="25" s="1"/>
  <c r="C17945" i="25"/>
  <c r="C17946" i="25" s="1"/>
  <c r="D17942" i="25"/>
  <c r="F17944" i="25" s="1"/>
  <c r="H17936" i="25"/>
  <c r="H17935" i="25"/>
  <c r="H17934" i="25"/>
  <c r="H17933" i="25"/>
  <c r="H3070" i="33"/>
  <c r="D3070" i="33" s="1"/>
  <c r="E3070" i="33" s="1"/>
  <c r="F3070" i="33" s="1"/>
  <c r="H3069" i="33"/>
  <c r="D3069" i="33" s="1"/>
  <c r="E3069" i="33" s="1"/>
  <c r="F3069" i="33" s="1"/>
  <c r="H3068" i="33"/>
  <c r="D3068" i="33" s="1"/>
  <c r="E3068" i="33" s="1"/>
  <c r="F3068" i="33" s="1"/>
  <c r="H3067" i="33"/>
  <c r="D3067" i="33" s="1"/>
  <c r="E3067" i="33" s="1"/>
  <c r="F3067" i="33" s="1"/>
  <c r="H3066" i="33"/>
  <c r="D3066" i="33" s="1"/>
  <c r="E3066" i="33" s="1"/>
  <c r="F3066" i="33" s="1"/>
  <c r="H3065" i="33"/>
  <c r="D3065" i="33" s="1"/>
  <c r="E3065" i="33" s="1"/>
  <c r="F3065" i="33" s="1"/>
  <c r="H3064" i="33"/>
  <c r="D3064" i="33" s="1"/>
  <c r="E3064" i="33" s="1"/>
  <c r="F3064" i="33" s="1"/>
  <c r="H3063" i="33"/>
  <c r="D3063" i="33" s="1"/>
  <c r="E3063" i="33" s="1"/>
  <c r="F3063" i="33" s="1"/>
  <c r="H3062" i="33"/>
  <c r="D3062" i="33" s="1"/>
  <c r="E3062" i="33" s="1"/>
  <c r="F3062" i="33" s="1"/>
  <c r="H3061" i="33"/>
  <c r="D3061" i="33" s="1"/>
  <c r="E3061" i="33" s="1"/>
  <c r="F3061" i="33" s="1"/>
  <c r="H3060" i="33"/>
  <c r="D3060" i="33" s="1"/>
  <c r="E3060" i="33" s="1"/>
  <c r="F3060" i="33" s="1"/>
  <c r="H3059" i="33"/>
  <c r="D3059" i="33" s="1"/>
  <c r="E3059" i="33" s="1"/>
  <c r="F3059" i="33" s="1"/>
  <c r="H3058" i="33"/>
  <c r="D3058" i="33" s="1"/>
  <c r="E3058" i="33" s="1"/>
  <c r="F3058" i="33" s="1"/>
  <c r="H3057" i="33"/>
  <c r="D3057" i="33" s="1"/>
  <c r="E3057" i="33" s="1"/>
  <c r="F3057" i="33" s="1"/>
  <c r="H3056" i="33"/>
  <c r="D3056" i="33" s="1"/>
  <c r="E3056" i="33" s="1"/>
  <c r="F3056" i="33" s="1"/>
  <c r="H3055" i="33"/>
  <c r="D3055" i="33" s="1"/>
  <c r="E3055" i="33" s="1"/>
  <c r="F3055" i="33" s="1"/>
  <c r="H3054" i="33"/>
  <c r="D3054" i="33" s="1"/>
  <c r="E3054" i="33" s="1"/>
  <c r="F3054" i="33" s="1"/>
  <c r="H3053" i="33"/>
  <c r="D3053" i="33" s="1"/>
  <c r="E3053" i="33" s="1"/>
  <c r="F3053" i="33" s="1"/>
  <c r="H3052" i="33"/>
  <c r="D3052" i="33" s="1"/>
  <c r="E3052" i="33" s="1"/>
  <c r="F3052" i="33" s="1"/>
  <c r="H3051" i="33"/>
  <c r="D3051" i="33" s="1"/>
  <c r="E3051" i="33" s="1"/>
  <c r="F3051" i="33" s="1"/>
  <c r="H3050" i="33"/>
  <c r="D3050" i="33" s="1"/>
  <c r="E3050" i="33" s="1"/>
  <c r="F3050" i="33" s="1"/>
  <c r="H3049" i="33"/>
  <c r="D3049" i="33" s="1"/>
  <c r="E3049" i="33" s="1"/>
  <c r="F3049" i="33" s="1"/>
  <c r="H3048" i="33"/>
  <c r="D3048" i="33" s="1"/>
  <c r="E3048" i="33" s="1"/>
  <c r="F3048" i="33" s="1"/>
  <c r="H3047" i="33"/>
  <c r="D3047" i="33" s="1"/>
  <c r="E3047" i="33" s="1"/>
  <c r="F3047" i="33" s="1"/>
  <c r="H3046" i="33"/>
  <c r="D3046" i="33" s="1"/>
  <c r="E3046" i="33" s="1"/>
  <c r="F3046" i="33" s="1"/>
  <c r="H3045" i="33"/>
  <c r="D3045" i="33" s="1"/>
  <c r="E3045" i="33" s="1"/>
  <c r="F3045" i="33" s="1"/>
  <c r="H3044" i="33"/>
  <c r="D3044" i="33" s="1"/>
  <c r="E3044" i="33" s="1"/>
  <c r="F3044" i="33" s="1"/>
  <c r="H3043" i="33"/>
  <c r="D3043" i="33" s="1"/>
  <c r="E3043" i="33" s="1"/>
  <c r="F3043" i="33" s="1"/>
  <c r="H3042" i="33"/>
  <c r="D3042" i="33" s="1"/>
  <c r="E3042" i="33" s="1"/>
  <c r="F3042" i="33" s="1"/>
  <c r="I3041" i="33"/>
  <c r="H3041" i="33"/>
  <c r="D3041" i="33" s="1"/>
  <c r="E3041" i="33" s="1"/>
  <c r="F3041" i="33" s="1"/>
  <c r="H3023" i="33"/>
  <c r="D3023" i="33" s="1"/>
  <c r="E3023" i="33" s="1"/>
  <c r="F3023" i="33" s="1"/>
  <c r="H3022" i="33"/>
  <c r="D3022" i="33" s="1"/>
  <c r="E3022" i="33" s="1"/>
  <c r="F3022" i="33" s="1"/>
  <c r="H3021" i="33"/>
  <c r="D3021" i="33" s="1"/>
  <c r="E3021" i="33" s="1"/>
  <c r="F3021" i="33" s="1"/>
  <c r="H3020" i="33"/>
  <c r="D3020" i="33" s="1"/>
  <c r="E3020" i="33" s="1"/>
  <c r="F3020" i="33" s="1"/>
  <c r="H3019" i="33"/>
  <c r="D3019" i="33" s="1"/>
  <c r="H3018" i="33"/>
  <c r="D3018" i="33" s="1"/>
  <c r="E3018" i="33" s="1"/>
  <c r="F3018" i="33" s="1"/>
  <c r="H3017" i="33"/>
  <c r="D3017" i="33" s="1"/>
  <c r="E3017" i="33" s="1"/>
  <c r="F3017" i="33" s="1"/>
  <c r="H3016" i="33"/>
  <c r="D3016" i="33" s="1"/>
  <c r="E3016" i="33" s="1"/>
  <c r="F3016" i="33" s="1"/>
  <c r="H3015" i="33"/>
  <c r="D3015" i="33" s="1"/>
  <c r="E3015" i="33" s="1"/>
  <c r="F3015" i="33" s="1"/>
  <c r="H3014" i="33"/>
  <c r="D3014" i="33" s="1"/>
  <c r="E3014" i="33" s="1"/>
  <c r="F3014" i="33" s="1"/>
  <c r="H3013" i="33"/>
  <c r="D3013" i="33" s="1"/>
  <c r="E3013" i="33" s="1"/>
  <c r="F3013" i="33" s="1"/>
  <c r="H3012" i="33"/>
  <c r="D3012" i="33" s="1"/>
  <c r="E3012" i="33" s="1"/>
  <c r="F3012" i="33" s="1"/>
  <c r="H3011" i="33"/>
  <c r="D3011" i="33" s="1"/>
  <c r="E3011" i="33" s="1"/>
  <c r="F3011" i="33" s="1"/>
  <c r="H3010" i="33"/>
  <c r="D3010" i="33" s="1"/>
  <c r="E3010" i="33" s="1"/>
  <c r="F3010" i="33" s="1"/>
  <c r="H3009" i="33"/>
  <c r="D3009" i="33" s="1"/>
  <c r="E3009" i="33" s="1"/>
  <c r="F3009" i="33" s="1"/>
  <c r="H3008" i="33"/>
  <c r="D3008" i="33" s="1"/>
  <c r="E3008" i="33" s="1"/>
  <c r="F3008" i="33" s="1"/>
  <c r="H3007" i="33"/>
  <c r="D3007" i="33" s="1"/>
  <c r="E3007" i="33" s="1"/>
  <c r="F3007" i="33" s="1"/>
  <c r="H3006" i="33"/>
  <c r="D3006" i="33" s="1"/>
  <c r="E3006" i="33" s="1"/>
  <c r="F3006" i="33" s="1"/>
  <c r="H3005" i="33"/>
  <c r="D3005" i="33" s="1"/>
  <c r="E3005" i="33" s="1"/>
  <c r="F3005" i="33" s="1"/>
  <c r="H3004" i="33"/>
  <c r="D3004" i="33" s="1"/>
  <c r="E3004" i="33" s="1"/>
  <c r="F3004" i="33" s="1"/>
  <c r="H3003" i="33"/>
  <c r="D3003" i="33" s="1"/>
  <c r="E3003" i="33" s="1"/>
  <c r="F3003" i="33" s="1"/>
  <c r="H3002" i="33"/>
  <c r="D3002" i="33" s="1"/>
  <c r="E3002" i="33" s="1"/>
  <c r="F3002" i="33" s="1"/>
  <c r="H3001" i="33"/>
  <c r="D3001" i="33" s="1"/>
  <c r="E3001" i="33" s="1"/>
  <c r="F3001" i="33" s="1"/>
  <c r="H3000" i="33"/>
  <c r="D3000" i="33" s="1"/>
  <c r="E3000" i="33" s="1"/>
  <c r="F3000" i="33" s="1"/>
  <c r="H2999" i="33"/>
  <c r="D2999" i="33" s="1"/>
  <c r="E2999" i="33" s="1"/>
  <c r="F2999" i="33" s="1"/>
  <c r="H2998" i="33"/>
  <c r="D2998" i="33" s="1"/>
  <c r="E2998" i="33" s="1"/>
  <c r="F2998" i="33" s="1"/>
  <c r="H2997" i="33"/>
  <c r="D2997" i="33" s="1"/>
  <c r="E2997" i="33" s="1"/>
  <c r="F2997" i="33" s="1"/>
  <c r="H2996" i="33"/>
  <c r="D2996" i="33" s="1"/>
  <c r="E2996" i="33" s="1"/>
  <c r="F2996" i="33" s="1"/>
  <c r="H2995" i="33"/>
  <c r="D2995" i="33" s="1"/>
  <c r="E2995" i="33" s="1"/>
  <c r="F2995" i="33" s="1"/>
  <c r="H2994" i="33"/>
  <c r="D2994" i="33" s="1"/>
  <c r="E2994" i="33" s="1"/>
  <c r="F2994" i="33" s="1"/>
  <c r="E2992" i="33"/>
  <c r="H2973" i="33"/>
  <c r="D2973" i="33" s="1"/>
  <c r="E2973" i="33" s="1"/>
  <c r="F2973" i="33" s="1"/>
  <c r="H2972" i="33"/>
  <c r="D2972" i="33" s="1"/>
  <c r="E2972" i="33" s="1"/>
  <c r="F2972" i="33" s="1"/>
  <c r="H2971" i="33"/>
  <c r="D2971" i="33" s="1"/>
  <c r="E2971" i="33" s="1"/>
  <c r="F2971" i="33" s="1"/>
  <c r="H2970" i="33"/>
  <c r="D2970" i="33" s="1"/>
  <c r="E2970" i="33" s="1"/>
  <c r="F2970" i="33" s="1"/>
  <c r="H2969" i="33"/>
  <c r="D2969" i="33" s="1"/>
  <c r="E2969" i="33" s="1"/>
  <c r="F2969" i="33" s="1"/>
  <c r="H2968" i="33"/>
  <c r="D2968" i="33" s="1"/>
  <c r="H2967" i="33"/>
  <c r="D2967" i="33" s="1"/>
  <c r="E2967" i="33" s="1"/>
  <c r="F2967" i="33" s="1"/>
  <c r="H2966" i="33"/>
  <c r="D2966" i="33" s="1"/>
  <c r="E2966" i="33" s="1"/>
  <c r="F2966" i="33" s="1"/>
  <c r="H2965" i="33"/>
  <c r="D2965" i="33" s="1"/>
  <c r="E2965" i="33" s="1"/>
  <c r="F2965" i="33" s="1"/>
  <c r="H2964" i="33"/>
  <c r="D2964" i="33" s="1"/>
  <c r="E2964" i="33" s="1"/>
  <c r="F2964" i="33" s="1"/>
  <c r="H2963" i="33"/>
  <c r="D2963" i="33" s="1"/>
  <c r="E2963" i="33" s="1"/>
  <c r="F2963" i="33" s="1"/>
  <c r="H2962" i="33"/>
  <c r="D2962" i="33" s="1"/>
  <c r="E2962" i="33" s="1"/>
  <c r="F2962" i="33" s="1"/>
  <c r="H2961" i="33"/>
  <c r="D2961" i="33" s="1"/>
  <c r="E2961" i="33" s="1"/>
  <c r="F2961" i="33" s="1"/>
  <c r="H2960" i="33"/>
  <c r="D2960" i="33" s="1"/>
  <c r="E2960" i="33" s="1"/>
  <c r="F2960" i="33" s="1"/>
  <c r="H2959" i="33"/>
  <c r="D2959" i="33" s="1"/>
  <c r="E2959" i="33" s="1"/>
  <c r="F2959" i="33" s="1"/>
  <c r="H2958" i="33"/>
  <c r="D2958" i="33" s="1"/>
  <c r="E2958" i="33" s="1"/>
  <c r="F2958" i="33" s="1"/>
  <c r="H2957" i="33"/>
  <c r="D2957" i="33" s="1"/>
  <c r="E2957" i="33" s="1"/>
  <c r="F2957" i="33" s="1"/>
  <c r="H2956" i="33"/>
  <c r="D2956" i="33" s="1"/>
  <c r="E2956" i="33" s="1"/>
  <c r="F2956" i="33" s="1"/>
  <c r="H2955" i="33"/>
  <c r="D2955" i="33" s="1"/>
  <c r="E2955" i="33" s="1"/>
  <c r="F2955" i="33" s="1"/>
  <c r="H2954" i="33"/>
  <c r="D2954" i="33" s="1"/>
  <c r="E2954" i="33" s="1"/>
  <c r="F2954" i="33" s="1"/>
  <c r="H2953" i="33"/>
  <c r="D2953" i="33" s="1"/>
  <c r="E2953" i="33" s="1"/>
  <c r="F2953" i="33" s="1"/>
  <c r="H2952" i="33"/>
  <c r="D2952" i="33" s="1"/>
  <c r="E2952" i="33" s="1"/>
  <c r="F2952" i="33" s="1"/>
  <c r="H2951" i="33"/>
  <c r="D2951" i="33" s="1"/>
  <c r="E2951" i="33" s="1"/>
  <c r="F2951" i="33" s="1"/>
  <c r="H2950" i="33"/>
  <c r="D2950" i="33" s="1"/>
  <c r="E2950" i="33" s="1"/>
  <c r="F2950" i="33" s="1"/>
  <c r="H2949" i="33"/>
  <c r="D2949" i="33" s="1"/>
  <c r="E2949" i="33" s="1"/>
  <c r="F2949" i="33" s="1"/>
  <c r="H2948" i="33"/>
  <c r="D2948" i="33" s="1"/>
  <c r="E2948" i="33" s="1"/>
  <c r="F2948" i="33" s="1"/>
  <c r="H2947" i="33"/>
  <c r="D2947" i="33" s="1"/>
  <c r="E2947" i="33" s="1"/>
  <c r="F2947" i="33" s="1"/>
  <c r="H2946" i="33"/>
  <c r="D2946" i="33" s="1"/>
  <c r="E2946" i="33" s="1"/>
  <c r="F2946" i="33" s="1"/>
  <c r="H2945" i="33"/>
  <c r="D2945" i="33" s="1"/>
  <c r="E2945" i="33" s="1"/>
  <c r="F2945" i="33" s="1"/>
  <c r="I2944" i="33"/>
  <c r="H2944" i="33"/>
  <c r="D2944" i="33" s="1"/>
  <c r="E2944" i="33" s="1"/>
  <c r="F2944" i="33" s="1"/>
  <c r="AV550" i="29"/>
  <c r="AW550" i="29" s="1"/>
  <c r="AG550" i="29"/>
  <c r="AR550" i="29"/>
  <c r="AS550" i="29" s="1"/>
  <c r="AV549" i="29"/>
  <c r="AW549" i="29" s="1"/>
  <c r="AG549" i="29"/>
  <c r="AR549" i="29"/>
  <c r="AS549" i="29" s="1"/>
  <c r="AV69" i="32"/>
  <c r="AZ69" i="32" s="1"/>
  <c r="AR69" i="32"/>
  <c r="AS69" i="32" s="1"/>
  <c r="AF69" i="32"/>
  <c r="H17909" i="25"/>
  <c r="D17909" i="25" s="1"/>
  <c r="E17909" i="25" s="1"/>
  <c r="F17909" i="25" s="1"/>
  <c r="H17908" i="25"/>
  <c r="D17908" i="25" s="1"/>
  <c r="E17908" i="25" s="1"/>
  <c r="F17908" i="25" s="1"/>
  <c r="H17907" i="25"/>
  <c r="D17907" i="25" s="1"/>
  <c r="E17907" i="25" s="1"/>
  <c r="F17907" i="25" s="1"/>
  <c r="H17906" i="25"/>
  <c r="D17906" i="25" s="1"/>
  <c r="E17906" i="25" s="1"/>
  <c r="F17906" i="25" s="1"/>
  <c r="H17905" i="25"/>
  <c r="D17905" i="25" s="1"/>
  <c r="E17905" i="25" s="1"/>
  <c r="F17905" i="25" s="1"/>
  <c r="H17904" i="25"/>
  <c r="D17904" i="25" s="1"/>
  <c r="E17904" i="25" s="1"/>
  <c r="F17904" i="25" s="1"/>
  <c r="H17903" i="25"/>
  <c r="D17903" i="25" s="1"/>
  <c r="E17903" i="25" s="1"/>
  <c r="F17903" i="25" s="1"/>
  <c r="H17902" i="25"/>
  <c r="D17902" i="25" s="1"/>
  <c r="E17902" i="25" s="1"/>
  <c r="F17902" i="25" s="1"/>
  <c r="H17901" i="25"/>
  <c r="D17901" i="25" s="1"/>
  <c r="E17901" i="25" s="1"/>
  <c r="F17901" i="25" s="1"/>
  <c r="H17900" i="25"/>
  <c r="D17900" i="25" s="1"/>
  <c r="E17900" i="25" s="1"/>
  <c r="F17900" i="25" s="1"/>
  <c r="H17899" i="25"/>
  <c r="D17899" i="25" s="1"/>
  <c r="E17899" i="25" s="1"/>
  <c r="F17899" i="25" s="1"/>
  <c r="H17898" i="25"/>
  <c r="D17898" i="25" s="1"/>
  <c r="E17898" i="25" s="1"/>
  <c r="F17898" i="25" s="1"/>
  <c r="H17897" i="25"/>
  <c r="D17897" i="25" s="1"/>
  <c r="E17897" i="25" s="1"/>
  <c r="F17897" i="25" s="1"/>
  <c r="H17896" i="25"/>
  <c r="D17896" i="25" s="1"/>
  <c r="E17896" i="25" s="1"/>
  <c r="F17896" i="25" s="1"/>
  <c r="H17895" i="25"/>
  <c r="D17895" i="25" s="1"/>
  <c r="E17895" i="25" s="1"/>
  <c r="F17895" i="25" s="1"/>
  <c r="H17894" i="25"/>
  <c r="D17894" i="25" s="1"/>
  <c r="E17894" i="25" s="1"/>
  <c r="F17894" i="25" s="1"/>
  <c r="H17893" i="25"/>
  <c r="D17893" i="25" s="1"/>
  <c r="E17893" i="25" s="1"/>
  <c r="F17893" i="25" s="1"/>
  <c r="H17892" i="25"/>
  <c r="D17892" i="25" s="1"/>
  <c r="E17892" i="25" s="1"/>
  <c r="F17892" i="25" s="1"/>
  <c r="H17891" i="25"/>
  <c r="D17891" i="25" s="1"/>
  <c r="E17891" i="25" s="1"/>
  <c r="F17891" i="25" s="1"/>
  <c r="H17890" i="25"/>
  <c r="D17890" i="25" s="1"/>
  <c r="E17890" i="25" s="1"/>
  <c r="F17890" i="25" s="1"/>
  <c r="H17889" i="25"/>
  <c r="D17889" i="25" s="1"/>
  <c r="E17889" i="25" s="1"/>
  <c r="F17889" i="25" s="1"/>
  <c r="H17888" i="25"/>
  <c r="D17888" i="25" s="1"/>
  <c r="E17888" i="25" s="1"/>
  <c r="F17888" i="25" s="1"/>
  <c r="H17887" i="25"/>
  <c r="D17887" i="25" s="1"/>
  <c r="E17887" i="25" s="1"/>
  <c r="F17887" i="25" s="1"/>
  <c r="H17886" i="25"/>
  <c r="D17886" i="25" s="1"/>
  <c r="E17886" i="25" s="1"/>
  <c r="F17886" i="25" s="1"/>
  <c r="H17885" i="25"/>
  <c r="D17885" i="25" s="1"/>
  <c r="E17885" i="25" s="1"/>
  <c r="F17885" i="25" s="1"/>
  <c r="H17884" i="25"/>
  <c r="D17884" i="25" s="1"/>
  <c r="E17884" i="25" s="1"/>
  <c r="F17884" i="25" s="1"/>
  <c r="H17883" i="25"/>
  <c r="D17883" i="25" s="1"/>
  <c r="E17883" i="25" s="1"/>
  <c r="F17883" i="25" s="1"/>
  <c r="H17882" i="25"/>
  <c r="D17882" i="25" s="1"/>
  <c r="E17882" i="25" s="1"/>
  <c r="F17882" i="25" s="1"/>
  <c r="H17881" i="25"/>
  <c r="D17881" i="25" s="1"/>
  <c r="E17881" i="25" s="1"/>
  <c r="F17881" i="25" s="1"/>
  <c r="H17880" i="25"/>
  <c r="D17880" i="25" s="1"/>
  <c r="E17880" i="25" s="1"/>
  <c r="F17880" i="25" s="1"/>
  <c r="E17878" i="25"/>
  <c r="AV68" i="32"/>
  <c r="AZ68" i="32" s="1"/>
  <c r="AR68" i="32"/>
  <c r="AS68" i="32" s="1"/>
  <c r="AF68" i="32"/>
  <c r="D17865" i="25"/>
  <c r="E17865" i="25" s="1"/>
  <c r="F17865" i="25" s="1"/>
  <c r="D17864" i="25"/>
  <c r="E17864" i="25" s="1"/>
  <c r="F17864" i="25" s="1"/>
  <c r="D17863" i="25"/>
  <c r="E17863" i="25" s="1"/>
  <c r="F17863" i="25" s="1"/>
  <c r="D17862" i="25"/>
  <c r="E17862" i="25" s="1"/>
  <c r="F17862" i="25" s="1"/>
  <c r="D17861" i="25"/>
  <c r="E17861" i="25" s="1"/>
  <c r="F17861" i="25" s="1"/>
  <c r="D17860" i="25"/>
  <c r="E17860" i="25" s="1"/>
  <c r="F17860" i="25" s="1"/>
  <c r="D17859" i="25"/>
  <c r="E17859" i="25" s="1"/>
  <c r="F17859" i="25" s="1"/>
  <c r="D17858" i="25"/>
  <c r="E17858" i="25" s="1"/>
  <c r="F17858" i="25" s="1"/>
  <c r="D17857" i="25"/>
  <c r="E17857" i="25" s="1"/>
  <c r="F17857" i="25" s="1"/>
  <c r="D17856" i="25"/>
  <c r="E17856" i="25" s="1"/>
  <c r="F17856" i="25" s="1"/>
  <c r="D17855" i="25"/>
  <c r="E17855" i="25" s="1"/>
  <c r="F17855" i="25" s="1"/>
  <c r="D17854" i="25"/>
  <c r="E17854" i="25" s="1"/>
  <c r="F17854" i="25" s="1"/>
  <c r="D17853" i="25"/>
  <c r="E17853" i="25" s="1"/>
  <c r="F17853" i="25" s="1"/>
  <c r="D17852" i="25"/>
  <c r="E17852" i="25" s="1"/>
  <c r="F17852" i="25" s="1"/>
  <c r="D17851" i="25"/>
  <c r="E17851" i="25" s="1"/>
  <c r="F17851" i="25" s="1"/>
  <c r="D17850" i="25"/>
  <c r="E17850" i="25" s="1"/>
  <c r="F17850" i="25" s="1"/>
  <c r="D17849" i="25"/>
  <c r="E17849" i="25" s="1"/>
  <c r="F17849" i="25" s="1"/>
  <c r="D17848" i="25"/>
  <c r="E17848" i="25" s="1"/>
  <c r="F17848" i="25" s="1"/>
  <c r="D17847" i="25"/>
  <c r="E17847" i="25" s="1"/>
  <c r="F17847" i="25" s="1"/>
  <c r="D17846" i="25"/>
  <c r="E17846" i="25" s="1"/>
  <c r="F17846" i="25" s="1"/>
  <c r="D17845" i="25"/>
  <c r="E17845" i="25" s="1"/>
  <c r="F17845" i="25" s="1"/>
  <c r="D17844" i="25"/>
  <c r="E17844" i="25" s="1"/>
  <c r="F17844" i="25" s="1"/>
  <c r="D17843" i="25"/>
  <c r="E17843" i="25" s="1"/>
  <c r="F17843" i="25" s="1"/>
  <c r="D17842" i="25"/>
  <c r="E17842" i="25" s="1"/>
  <c r="F17842" i="25" s="1"/>
  <c r="D17841" i="25"/>
  <c r="E17841" i="25" s="1"/>
  <c r="F17841" i="25" s="1"/>
  <c r="D17840" i="25"/>
  <c r="E17840" i="25" s="1"/>
  <c r="F17840" i="25" s="1"/>
  <c r="D17839" i="25"/>
  <c r="E17839" i="25" s="1"/>
  <c r="F17839" i="25" s="1"/>
  <c r="D17838" i="25"/>
  <c r="E17838" i="25" s="1"/>
  <c r="F17838" i="25" s="1"/>
  <c r="D17837" i="25"/>
  <c r="E17837" i="25" s="1"/>
  <c r="F17837" i="25" s="1"/>
  <c r="D17836" i="25"/>
  <c r="E17836" i="25" s="1"/>
  <c r="F17836" i="25" s="1"/>
  <c r="E17834" i="25"/>
  <c r="AG543" i="29"/>
  <c r="AR543" i="29"/>
  <c r="AS543" i="29" s="1"/>
  <c r="AV543" i="29"/>
  <c r="AW543" i="29" s="1"/>
  <c r="Z17829" i="25"/>
  <c r="Y17829" i="25"/>
  <c r="X17829" i="25"/>
  <c r="W17829" i="25"/>
  <c r="V17829" i="25"/>
  <c r="U17829" i="25"/>
  <c r="T17829" i="25"/>
  <c r="S17829" i="25"/>
  <c r="R17829" i="25"/>
  <c r="Q17829" i="25"/>
  <c r="P17829" i="25"/>
  <c r="O17829" i="25"/>
  <c r="N17829" i="25"/>
  <c r="M17829" i="25"/>
  <c r="L17829" i="25"/>
  <c r="K17829" i="25"/>
  <c r="J17829" i="25"/>
  <c r="I17829" i="25"/>
  <c r="H17805" i="25"/>
  <c r="D17805" i="25" s="1"/>
  <c r="E17805" i="25" s="1"/>
  <c r="F17805" i="25" s="1"/>
  <c r="H17804" i="25"/>
  <c r="H17803" i="25"/>
  <c r="D17803" i="25" s="1"/>
  <c r="E17803" i="25" s="1"/>
  <c r="F17803" i="25" s="1"/>
  <c r="H17802" i="25"/>
  <c r="D17802" i="25" s="1"/>
  <c r="E17802" i="25" s="1"/>
  <c r="F17802" i="25" s="1"/>
  <c r="H17801" i="25"/>
  <c r="D17801" i="25" s="1"/>
  <c r="E17801" i="25" s="1"/>
  <c r="F17801" i="25" s="1"/>
  <c r="H17800" i="25"/>
  <c r="D17800" i="25" s="1"/>
  <c r="E17800" i="25" s="1"/>
  <c r="F17800" i="25" s="1"/>
  <c r="H17799" i="25"/>
  <c r="H17798" i="25"/>
  <c r="D17798" i="25" s="1"/>
  <c r="E17798" i="25" s="1"/>
  <c r="F17798" i="25" s="1"/>
  <c r="H17796" i="25"/>
  <c r="D17796" i="25" s="1"/>
  <c r="E17796" i="25" s="1"/>
  <c r="F17796" i="25" s="1"/>
  <c r="H17795" i="25"/>
  <c r="D17795" i="25" s="1"/>
  <c r="E17795" i="25" s="1"/>
  <c r="F17795" i="25" s="1"/>
  <c r="H17794" i="25"/>
  <c r="H17793" i="25"/>
  <c r="D17793" i="25" s="1"/>
  <c r="E17793" i="25" s="1"/>
  <c r="F17793" i="25" s="1"/>
  <c r="H17792" i="25"/>
  <c r="H17791" i="25"/>
  <c r="D17791" i="25" s="1"/>
  <c r="E17791" i="25" s="1"/>
  <c r="F17791" i="25" s="1"/>
  <c r="H17790" i="25"/>
  <c r="D17790" i="25" s="1"/>
  <c r="E17790" i="25" s="1"/>
  <c r="F17790" i="25" s="1"/>
  <c r="H17789" i="25"/>
  <c r="D17789" i="25" s="1"/>
  <c r="E17789" i="25" s="1"/>
  <c r="F17789" i="25" s="1"/>
  <c r="H17788" i="25"/>
  <c r="D17788" i="25" s="1"/>
  <c r="E17788" i="25" s="1"/>
  <c r="F17788" i="25" s="1"/>
  <c r="H17787" i="25"/>
  <c r="D17787" i="25" s="1"/>
  <c r="E17787" i="25" s="1"/>
  <c r="F17787" i="25" s="1"/>
  <c r="H17786" i="25"/>
  <c r="D17786" i="25" s="1"/>
  <c r="E17786" i="25" s="1"/>
  <c r="F17786" i="25" s="1"/>
  <c r="H17785" i="25"/>
  <c r="D17785" i="25" s="1"/>
  <c r="E17785" i="25" s="1"/>
  <c r="F17785" i="25" s="1"/>
  <c r="H17784" i="25"/>
  <c r="D17784" i="25" s="1"/>
  <c r="E17784" i="25" s="1"/>
  <c r="F17784" i="25" s="1"/>
  <c r="H17783" i="25"/>
  <c r="D17783" i="25" s="1"/>
  <c r="E17783" i="25" s="1"/>
  <c r="F17783" i="25" s="1"/>
  <c r="H17782" i="25"/>
  <c r="D17782" i="25" s="1"/>
  <c r="E17782" i="25" s="1"/>
  <c r="F17782" i="25" s="1"/>
  <c r="H17780" i="25"/>
  <c r="D17780" i="25" s="1"/>
  <c r="E17780" i="25" s="1"/>
  <c r="F17780" i="25" s="1"/>
  <c r="H17779" i="25"/>
  <c r="D17779" i="25" s="1"/>
  <c r="E17779" i="25" s="1"/>
  <c r="F17779" i="25" s="1"/>
  <c r="H17778" i="25"/>
  <c r="D17778" i="25" s="1"/>
  <c r="E17778" i="25" s="1"/>
  <c r="F17778" i="25" s="1"/>
  <c r="H17776" i="25"/>
  <c r="D17776" i="25" s="1"/>
  <c r="E17776" i="25" s="1"/>
  <c r="F17776" i="25" s="1"/>
  <c r="E17774" i="25"/>
  <c r="H2926" i="33"/>
  <c r="D2926" i="33" s="1"/>
  <c r="E2926" i="33" s="1"/>
  <c r="F2926" i="33" s="1"/>
  <c r="H2925" i="33"/>
  <c r="D2925" i="33" s="1"/>
  <c r="E2925" i="33" s="1"/>
  <c r="F2925" i="33" s="1"/>
  <c r="H2924" i="33"/>
  <c r="D2924" i="33" s="1"/>
  <c r="E2924" i="33" s="1"/>
  <c r="F2924" i="33" s="1"/>
  <c r="H2923" i="33"/>
  <c r="D2923" i="33" s="1"/>
  <c r="E2923" i="33" s="1"/>
  <c r="F2923" i="33" s="1"/>
  <c r="H2922" i="33"/>
  <c r="D2922" i="33" s="1"/>
  <c r="E2922" i="33" s="1"/>
  <c r="F2922" i="33" s="1"/>
  <c r="H2921" i="33"/>
  <c r="D2921" i="33" s="1"/>
  <c r="E2921" i="33" s="1"/>
  <c r="F2921" i="33" s="1"/>
  <c r="H2920" i="33"/>
  <c r="D2920" i="33" s="1"/>
  <c r="H2919" i="33"/>
  <c r="D2919" i="33" s="1"/>
  <c r="E2919" i="33" s="1"/>
  <c r="F2919" i="33" s="1"/>
  <c r="H2918" i="33"/>
  <c r="D2918" i="33" s="1"/>
  <c r="E2918" i="33" s="1"/>
  <c r="F2918" i="33" s="1"/>
  <c r="H2917" i="33"/>
  <c r="D2917" i="33" s="1"/>
  <c r="E2917" i="33" s="1"/>
  <c r="F2917" i="33" s="1"/>
  <c r="H2916" i="33"/>
  <c r="D2916" i="33" s="1"/>
  <c r="E2916" i="33" s="1"/>
  <c r="F2916" i="33" s="1"/>
  <c r="H2915" i="33"/>
  <c r="D2915" i="33" s="1"/>
  <c r="E2915" i="33" s="1"/>
  <c r="F2915" i="33" s="1"/>
  <c r="H2914" i="33"/>
  <c r="D2914" i="33" s="1"/>
  <c r="E2914" i="33" s="1"/>
  <c r="F2914" i="33" s="1"/>
  <c r="H2913" i="33"/>
  <c r="D2913" i="33" s="1"/>
  <c r="E2913" i="33" s="1"/>
  <c r="F2913" i="33" s="1"/>
  <c r="H2912" i="33"/>
  <c r="D2912" i="33" s="1"/>
  <c r="E2912" i="33" s="1"/>
  <c r="F2912" i="33" s="1"/>
  <c r="H2911" i="33"/>
  <c r="D2911" i="33" s="1"/>
  <c r="E2911" i="33" s="1"/>
  <c r="F2911" i="33" s="1"/>
  <c r="H2910" i="33"/>
  <c r="D2910" i="33" s="1"/>
  <c r="E2910" i="33" s="1"/>
  <c r="F2910" i="33" s="1"/>
  <c r="H2909" i="33"/>
  <c r="D2909" i="33" s="1"/>
  <c r="E2909" i="33" s="1"/>
  <c r="F2909" i="33" s="1"/>
  <c r="H2908" i="33"/>
  <c r="D2908" i="33" s="1"/>
  <c r="E2908" i="33" s="1"/>
  <c r="F2908" i="33" s="1"/>
  <c r="H2907" i="33"/>
  <c r="D2907" i="33" s="1"/>
  <c r="E2907" i="33" s="1"/>
  <c r="F2907" i="33" s="1"/>
  <c r="H2906" i="33"/>
  <c r="D2906" i="33" s="1"/>
  <c r="E2906" i="33" s="1"/>
  <c r="F2906" i="33" s="1"/>
  <c r="H2905" i="33"/>
  <c r="D2905" i="33" s="1"/>
  <c r="E2905" i="33" s="1"/>
  <c r="F2905" i="33" s="1"/>
  <c r="H2904" i="33"/>
  <c r="D2904" i="33" s="1"/>
  <c r="E2904" i="33" s="1"/>
  <c r="F2904" i="33" s="1"/>
  <c r="H2903" i="33"/>
  <c r="D2903" i="33" s="1"/>
  <c r="E2903" i="33" s="1"/>
  <c r="F2903" i="33" s="1"/>
  <c r="H2902" i="33"/>
  <c r="D2902" i="33" s="1"/>
  <c r="E2902" i="33" s="1"/>
  <c r="F2902" i="33" s="1"/>
  <c r="H2901" i="33"/>
  <c r="D2901" i="33" s="1"/>
  <c r="E2901" i="33" s="1"/>
  <c r="F2901" i="33" s="1"/>
  <c r="H2900" i="33"/>
  <c r="D2900" i="33" s="1"/>
  <c r="E2900" i="33" s="1"/>
  <c r="F2900" i="33" s="1"/>
  <c r="H2899" i="33"/>
  <c r="D2899" i="33" s="1"/>
  <c r="E2899" i="33" s="1"/>
  <c r="F2899" i="33" s="1"/>
  <c r="H2898" i="33"/>
  <c r="D2898" i="33" s="1"/>
  <c r="E2898" i="33" s="1"/>
  <c r="F2898" i="33" s="1"/>
  <c r="I2897" i="33"/>
  <c r="H2897" i="33"/>
  <c r="D2897" i="33" s="1"/>
  <c r="E2897" i="33" s="1"/>
  <c r="F2897" i="33" s="1"/>
  <c r="AV548" i="29"/>
  <c r="AW548" i="29" s="1"/>
  <c r="AG548" i="29"/>
  <c r="AR548" i="29"/>
  <c r="AS548" i="29" s="1"/>
  <c r="H2879" i="33"/>
  <c r="D2879" i="33" s="1"/>
  <c r="E2879" i="33" s="1"/>
  <c r="F2879" i="33" s="1"/>
  <c r="H2878" i="33"/>
  <c r="D2878" i="33" s="1"/>
  <c r="E2878" i="33" s="1"/>
  <c r="F2878" i="33" s="1"/>
  <c r="H2877" i="33"/>
  <c r="D2877" i="33" s="1"/>
  <c r="E2877" i="33" s="1"/>
  <c r="F2877" i="33" s="1"/>
  <c r="H2876" i="33"/>
  <c r="D2876" i="33" s="1"/>
  <c r="E2876" i="33" s="1"/>
  <c r="F2876" i="33" s="1"/>
  <c r="H2875" i="33"/>
  <c r="D2875" i="33" s="1"/>
  <c r="E2875" i="33" s="1"/>
  <c r="F2875" i="33" s="1"/>
  <c r="H2874" i="33"/>
  <c r="D2874" i="33" s="1"/>
  <c r="E2874" i="33" s="1"/>
  <c r="F2874" i="33" s="1"/>
  <c r="H2873" i="33"/>
  <c r="D2873" i="33" s="1"/>
  <c r="E2873" i="33" s="1"/>
  <c r="F2873" i="33" s="1"/>
  <c r="H2872" i="33"/>
  <c r="D2872" i="33" s="1"/>
  <c r="E2872" i="33" s="1"/>
  <c r="F2872" i="33" s="1"/>
  <c r="H2871" i="33"/>
  <c r="D2871" i="33" s="1"/>
  <c r="E2871" i="33" s="1"/>
  <c r="F2871" i="33" s="1"/>
  <c r="H2870" i="33"/>
  <c r="D2870" i="33" s="1"/>
  <c r="E2870" i="33" s="1"/>
  <c r="F2870" i="33" s="1"/>
  <c r="H2869" i="33"/>
  <c r="D2869" i="33" s="1"/>
  <c r="E2869" i="33" s="1"/>
  <c r="F2869" i="33" s="1"/>
  <c r="H2868" i="33"/>
  <c r="D2868" i="33" s="1"/>
  <c r="E2868" i="33" s="1"/>
  <c r="F2868" i="33" s="1"/>
  <c r="H2867" i="33"/>
  <c r="D2867" i="33" s="1"/>
  <c r="E2867" i="33" s="1"/>
  <c r="F2867" i="33" s="1"/>
  <c r="H2866" i="33"/>
  <c r="D2866" i="33" s="1"/>
  <c r="E2866" i="33" s="1"/>
  <c r="F2866" i="33" s="1"/>
  <c r="H2865" i="33"/>
  <c r="D2865" i="33" s="1"/>
  <c r="E2865" i="33" s="1"/>
  <c r="F2865" i="33" s="1"/>
  <c r="H2864" i="33"/>
  <c r="D2864" i="33" s="1"/>
  <c r="E2864" i="33" s="1"/>
  <c r="F2864" i="33" s="1"/>
  <c r="H2863" i="33"/>
  <c r="D2863" i="33" s="1"/>
  <c r="E2863" i="33" s="1"/>
  <c r="F2863" i="33" s="1"/>
  <c r="H2862" i="33"/>
  <c r="D2862" i="33" s="1"/>
  <c r="E2862" i="33" s="1"/>
  <c r="F2862" i="33" s="1"/>
  <c r="H2861" i="33"/>
  <c r="D2861" i="33" s="1"/>
  <c r="E2861" i="33" s="1"/>
  <c r="F2861" i="33" s="1"/>
  <c r="H2860" i="33"/>
  <c r="D2860" i="33" s="1"/>
  <c r="E2860" i="33" s="1"/>
  <c r="F2860" i="33" s="1"/>
  <c r="H2859" i="33"/>
  <c r="D2859" i="33" s="1"/>
  <c r="E2859" i="33" s="1"/>
  <c r="F2859" i="33" s="1"/>
  <c r="H2858" i="33"/>
  <c r="D2858" i="33" s="1"/>
  <c r="E2858" i="33" s="1"/>
  <c r="F2858" i="33" s="1"/>
  <c r="H2857" i="33"/>
  <c r="D2857" i="33" s="1"/>
  <c r="E2857" i="33" s="1"/>
  <c r="F2857" i="33" s="1"/>
  <c r="H2856" i="33"/>
  <c r="D2856" i="33" s="1"/>
  <c r="E2856" i="33" s="1"/>
  <c r="F2856" i="33" s="1"/>
  <c r="H2855" i="33"/>
  <c r="D2855" i="33" s="1"/>
  <c r="E2855" i="33" s="1"/>
  <c r="F2855" i="33" s="1"/>
  <c r="H2854" i="33"/>
  <c r="D2854" i="33" s="1"/>
  <c r="E2854" i="33" s="1"/>
  <c r="F2854" i="33" s="1"/>
  <c r="H2853" i="33"/>
  <c r="D2853" i="33" s="1"/>
  <c r="E2853" i="33" s="1"/>
  <c r="F2853" i="33" s="1"/>
  <c r="H2852" i="33"/>
  <c r="D2852" i="33" s="1"/>
  <c r="E2852" i="33" s="1"/>
  <c r="F2852" i="33" s="1"/>
  <c r="H2851" i="33"/>
  <c r="D2851" i="33" s="1"/>
  <c r="E2851" i="33" s="1"/>
  <c r="F2851" i="33" s="1"/>
  <c r="I2850" i="33"/>
  <c r="H2850" i="33"/>
  <c r="D2850" i="33" s="1"/>
  <c r="E2850" i="33" s="1"/>
  <c r="F2850" i="33" s="1"/>
  <c r="AF67" i="32"/>
  <c r="AR67" i="32"/>
  <c r="AS67" i="32" s="1"/>
  <c r="AV67" i="32"/>
  <c r="AW67" i="32" s="1"/>
  <c r="AV66" i="32"/>
  <c r="AW66" i="32" s="1"/>
  <c r="AR66" i="32"/>
  <c r="AS66" i="32" s="1"/>
  <c r="AV65" i="32"/>
  <c r="AW65" i="32" s="1"/>
  <c r="AR65" i="32"/>
  <c r="AS65" i="32" s="1"/>
  <c r="AF66" i="32"/>
  <c r="AF65" i="32"/>
  <c r="AR547" i="29"/>
  <c r="AS547" i="29" s="1"/>
  <c r="AG547" i="29"/>
  <c r="AV547" i="29"/>
  <c r="AZ547" i="29" s="1"/>
  <c r="AG546" i="29"/>
  <c r="AR546" i="29"/>
  <c r="AS546" i="29" s="1"/>
  <c r="AV546" i="29"/>
  <c r="AW546" i="29" s="1"/>
  <c r="AG545" i="29"/>
  <c r="AR545" i="29"/>
  <c r="AS545" i="29" s="1"/>
  <c r="AV545" i="29"/>
  <c r="AW545" i="29" s="1"/>
  <c r="H17743" i="25"/>
  <c r="D17743" i="25" s="1"/>
  <c r="E17743" i="25" s="1"/>
  <c r="F17743" i="25" s="1"/>
  <c r="H17742" i="25"/>
  <c r="D17742" i="25" s="1"/>
  <c r="E17742" i="25" s="1"/>
  <c r="F17742" i="25" s="1"/>
  <c r="H17741" i="25"/>
  <c r="D17741" i="25" s="1"/>
  <c r="E17741" i="25" s="1"/>
  <c r="F17741" i="25" s="1"/>
  <c r="H17740" i="25"/>
  <c r="D17740" i="25" s="1"/>
  <c r="E17740" i="25" s="1"/>
  <c r="F17740" i="25" s="1"/>
  <c r="H17739" i="25"/>
  <c r="D17739" i="25" s="1"/>
  <c r="E17739" i="25" s="1"/>
  <c r="F17739" i="25" s="1"/>
  <c r="H17738" i="25"/>
  <c r="D17738" i="25" s="1"/>
  <c r="E17738" i="25" s="1"/>
  <c r="F17738" i="25" s="1"/>
  <c r="H17737" i="25"/>
  <c r="D17737" i="25" s="1"/>
  <c r="E17737" i="25" s="1"/>
  <c r="F17737" i="25" s="1"/>
  <c r="H17736" i="25"/>
  <c r="D17736" i="25" s="1"/>
  <c r="E17736" i="25" s="1"/>
  <c r="F17736" i="25" s="1"/>
  <c r="H17735" i="25"/>
  <c r="D17735" i="25" s="1"/>
  <c r="E17735" i="25" s="1"/>
  <c r="F17735" i="25" s="1"/>
  <c r="H17734" i="25"/>
  <c r="D17734" i="25" s="1"/>
  <c r="E17734" i="25" s="1"/>
  <c r="F17734" i="25" s="1"/>
  <c r="H17733" i="25"/>
  <c r="D17733" i="25" s="1"/>
  <c r="E17733" i="25" s="1"/>
  <c r="F17733" i="25" s="1"/>
  <c r="H17732" i="25"/>
  <c r="D17732" i="25" s="1"/>
  <c r="E17732" i="25" s="1"/>
  <c r="F17732" i="25" s="1"/>
  <c r="H17731" i="25"/>
  <c r="D17731" i="25" s="1"/>
  <c r="E17731" i="25" s="1"/>
  <c r="F17731" i="25" s="1"/>
  <c r="H17730" i="25"/>
  <c r="D17730" i="25" s="1"/>
  <c r="E17730" i="25" s="1"/>
  <c r="F17730" i="25" s="1"/>
  <c r="H17729" i="25"/>
  <c r="D17729" i="25" s="1"/>
  <c r="E17729" i="25" s="1"/>
  <c r="F17729" i="25" s="1"/>
  <c r="H17728" i="25"/>
  <c r="D17728" i="25" s="1"/>
  <c r="E17728" i="25" s="1"/>
  <c r="F17728" i="25" s="1"/>
  <c r="H17727" i="25"/>
  <c r="D17727" i="25" s="1"/>
  <c r="E17727" i="25" s="1"/>
  <c r="F17727" i="25" s="1"/>
  <c r="H17726" i="25"/>
  <c r="D17726" i="25" s="1"/>
  <c r="E17726" i="25" s="1"/>
  <c r="F17726" i="25" s="1"/>
  <c r="H17725" i="25"/>
  <c r="D17725" i="25" s="1"/>
  <c r="E17725" i="25" s="1"/>
  <c r="F17725" i="25" s="1"/>
  <c r="H17724" i="25"/>
  <c r="D17724" i="25" s="1"/>
  <c r="E17724" i="25" s="1"/>
  <c r="F17724" i="25" s="1"/>
  <c r="H17723" i="25"/>
  <c r="D17723" i="25" s="1"/>
  <c r="E17723" i="25" s="1"/>
  <c r="F17723" i="25" s="1"/>
  <c r="H17722" i="25"/>
  <c r="D17722" i="25" s="1"/>
  <c r="E17722" i="25" s="1"/>
  <c r="F17722" i="25" s="1"/>
  <c r="H17721" i="25"/>
  <c r="D17721" i="25" s="1"/>
  <c r="E17721" i="25" s="1"/>
  <c r="F17721" i="25" s="1"/>
  <c r="H17720" i="25"/>
  <c r="D17720" i="25" s="1"/>
  <c r="E17720" i="25" s="1"/>
  <c r="F17720" i="25" s="1"/>
  <c r="H17719" i="25"/>
  <c r="D17719" i="25" s="1"/>
  <c r="E17719" i="25" s="1"/>
  <c r="F17719" i="25" s="1"/>
  <c r="H17718" i="25"/>
  <c r="D17718" i="25" s="1"/>
  <c r="E17718" i="25" s="1"/>
  <c r="F17718" i="25" s="1"/>
  <c r="H17717" i="25"/>
  <c r="D17717" i="25" s="1"/>
  <c r="E17717" i="25" s="1"/>
  <c r="F17717" i="25" s="1"/>
  <c r="H17716" i="25"/>
  <c r="D17716" i="25" s="1"/>
  <c r="E17716" i="25" s="1"/>
  <c r="F17716" i="25" s="1"/>
  <c r="H17715" i="25"/>
  <c r="D17715" i="25" s="1"/>
  <c r="E17715" i="25" s="1"/>
  <c r="F17715" i="25" s="1"/>
  <c r="H17714" i="25"/>
  <c r="D17714" i="25" s="1"/>
  <c r="E17714" i="25" s="1"/>
  <c r="F17714" i="25" s="1"/>
  <c r="E17712" i="25"/>
  <c r="AG544" i="29"/>
  <c r="AR544" i="29"/>
  <c r="AS544" i="29" s="1"/>
  <c r="AV544" i="29"/>
  <c r="AW544" i="29" s="1"/>
  <c r="AV64" i="32"/>
  <c r="AZ64" i="32" s="1"/>
  <c r="AR64" i="32"/>
  <c r="AS64" i="32" s="1"/>
  <c r="AF64" i="32"/>
  <c r="H2832" i="33"/>
  <c r="D2832" i="33" s="1"/>
  <c r="E2832" i="33" s="1"/>
  <c r="F2832" i="33" s="1"/>
  <c r="H2831" i="33"/>
  <c r="D2831" i="33" s="1"/>
  <c r="E2831" i="33" s="1"/>
  <c r="F2831" i="33" s="1"/>
  <c r="H2830" i="33"/>
  <c r="D2830" i="33" s="1"/>
  <c r="E2830" i="33" s="1"/>
  <c r="F2830" i="33" s="1"/>
  <c r="H2829" i="33"/>
  <c r="D2829" i="33" s="1"/>
  <c r="E2829" i="33" s="1"/>
  <c r="F2829" i="33" s="1"/>
  <c r="H2828" i="33"/>
  <c r="D2828" i="33" s="1"/>
  <c r="E2828" i="33" s="1"/>
  <c r="F2828" i="33" s="1"/>
  <c r="H2827" i="33"/>
  <c r="D2827" i="33" s="1"/>
  <c r="E2827" i="33" s="1"/>
  <c r="F2827" i="33" s="1"/>
  <c r="H2826" i="33"/>
  <c r="D2826" i="33" s="1"/>
  <c r="E2826" i="33" s="1"/>
  <c r="F2826" i="33" s="1"/>
  <c r="H2825" i="33"/>
  <c r="D2825" i="33" s="1"/>
  <c r="E2825" i="33" s="1"/>
  <c r="F2825" i="33" s="1"/>
  <c r="H2824" i="33"/>
  <c r="D2824" i="33" s="1"/>
  <c r="E2824" i="33" s="1"/>
  <c r="F2824" i="33" s="1"/>
  <c r="H2823" i="33"/>
  <c r="D2823" i="33" s="1"/>
  <c r="E2823" i="33" s="1"/>
  <c r="F2823" i="33" s="1"/>
  <c r="H2822" i="33"/>
  <c r="D2822" i="33" s="1"/>
  <c r="E2822" i="33" s="1"/>
  <c r="F2822" i="33" s="1"/>
  <c r="H2821" i="33"/>
  <c r="D2821" i="33" s="1"/>
  <c r="E2821" i="33" s="1"/>
  <c r="F2821" i="33" s="1"/>
  <c r="H2820" i="33"/>
  <c r="D2820" i="33" s="1"/>
  <c r="E2820" i="33" s="1"/>
  <c r="F2820" i="33" s="1"/>
  <c r="H2819" i="33"/>
  <c r="D2819" i="33" s="1"/>
  <c r="E2819" i="33" s="1"/>
  <c r="F2819" i="33" s="1"/>
  <c r="H2818" i="33"/>
  <c r="D2818" i="33" s="1"/>
  <c r="E2818" i="33" s="1"/>
  <c r="F2818" i="33" s="1"/>
  <c r="H2817" i="33"/>
  <c r="D2817" i="33" s="1"/>
  <c r="E2817" i="33" s="1"/>
  <c r="F2817" i="33" s="1"/>
  <c r="H2816" i="33"/>
  <c r="D2816" i="33" s="1"/>
  <c r="E2816" i="33" s="1"/>
  <c r="F2816" i="33" s="1"/>
  <c r="H2815" i="33"/>
  <c r="D2815" i="33" s="1"/>
  <c r="E2815" i="33" s="1"/>
  <c r="F2815" i="33" s="1"/>
  <c r="H2814" i="33"/>
  <c r="D2814" i="33" s="1"/>
  <c r="E2814" i="33" s="1"/>
  <c r="F2814" i="33" s="1"/>
  <c r="H2813" i="33"/>
  <c r="D2813" i="33" s="1"/>
  <c r="E2813" i="33" s="1"/>
  <c r="F2813" i="33" s="1"/>
  <c r="H2812" i="33"/>
  <c r="D2812" i="33" s="1"/>
  <c r="E2812" i="33" s="1"/>
  <c r="F2812" i="33" s="1"/>
  <c r="H2811" i="33"/>
  <c r="D2811" i="33" s="1"/>
  <c r="E2811" i="33" s="1"/>
  <c r="F2811" i="33" s="1"/>
  <c r="H2810" i="33"/>
  <c r="D2810" i="33" s="1"/>
  <c r="E2810" i="33" s="1"/>
  <c r="F2810" i="33" s="1"/>
  <c r="H2809" i="33"/>
  <c r="D2809" i="33" s="1"/>
  <c r="E2809" i="33" s="1"/>
  <c r="F2809" i="33" s="1"/>
  <c r="H2808" i="33"/>
  <c r="D2808" i="33" s="1"/>
  <c r="E2808" i="33" s="1"/>
  <c r="F2808" i="33" s="1"/>
  <c r="H2807" i="33"/>
  <c r="D2807" i="33" s="1"/>
  <c r="E2807" i="33" s="1"/>
  <c r="F2807" i="33" s="1"/>
  <c r="H2806" i="33"/>
  <c r="D2806" i="33" s="1"/>
  <c r="E2806" i="33" s="1"/>
  <c r="F2806" i="33" s="1"/>
  <c r="H2805" i="33"/>
  <c r="D2805" i="33" s="1"/>
  <c r="E2805" i="33" s="1"/>
  <c r="F2805" i="33" s="1"/>
  <c r="H2804" i="33"/>
  <c r="D2804" i="33" s="1"/>
  <c r="E2804" i="33" s="1"/>
  <c r="F2804" i="33" s="1"/>
  <c r="I2803" i="33"/>
  <c r="H2803" i="33"/>
  <c r="D2803" i="33" s="1"/>
  <c r="E2803" i="33" s="1"/>
  <c r="F2803" i="33" s="1"/>
  <c r="H2785" i="33"/>
  <c r="D2785" i="33" s="1"/>
  <c r="E2785" i="33" s="1"/>
  <c r="F2785" i="33" s="1"/>
  <c r="H2784" i="33"/>
  <c r="D2784" i="33" s="1"/>
  <c r="E2784" i="33" s="1"/>
  <c r="F2784" i="33" s="1"/>
  <c r="H2783" i="33"/>
  <c r="D2783" i="33" s="1"/>
  <c r="E2783" i="33" s="1"/>
  <c r="F2783" i="33" s="1"/>
  <c r="H2782" i="33"/>
  <c r="D2782" i="33" s="1"/>
  <c r="E2782" i="33" s="1"/>
  <c r="F2782" i="33" s="1"/>
  <c r="H2781" i="33"/>
  <c r="D2781" i="33" s="1"/>
  <c r="E2781" i="33" s="1"/>
  <c r="F2781" i="33" s="1"/>
  <c r="H2780" i="33"/>
  <c r="D2780" i="33" s="1"/>
  <c r="E2780" i="33" s="1"/>
  <c r="F2780" i="33" s="1"/>
  <c r="H2779" i="33"/>
  <c r="D2779" i="33" s="1"/>
  <c r="E2779" i="33" s="1"/>
  <c r="F2779" i="33" s="1"/>
  <c r="H2778" i="33"/>
  <c r="D2778" i="33" s="1"/>
  <c r="E2778" i="33" s="1"/>
  <c r="F2778" i="33" s="1"/>
  <c r="H2777" i="33"/>
  <c r="D2777" i="33" s="1"/>
  <c r="E2777" i="33" s="1"/>
  <c r="F2777" i="33" s="1"/>
  <c r="H2776" i="33"/>
  <c r="D2776" i="33" s="1"/>
  <c r="E2776" i="33" s="1"/>
  <c r="F2776" i="33" s="1"/>
  <c r="H2775" i="33"/>
  <c r="D2775" i="33" s="1"/>
  <c r="E2775" i="33" s="1"/>
  <c r="F2775" i="33" s="1"/>
  <c r="H2774" i="33"/>
  <c r="D2774" i="33" s="1"/>
  <c r="E2774" i="33" s="1"/>
  <c r="F2774" i="33" s="1"/>
  <c r="H2773" i="33"/>
  <c r="D2773" i="33" s="1"/>
  <c r="E2773" i="33" s="1"/>
  <c r="F2773" i="33" s="1"/>
  <c r="H2772" i="33"/>
  <c r="D2772" i="33" s="1"/>
  <c r="E2772" i="33" s="1"/>
  <c r="F2772" i="33" s="1"/>
  <c r="H2771" i="33"/>
  <c r="D2771" i="33" s="1"/>
  <c r="E2771" i="33" s="1"/>
  <c r="F2771" i="33" s="1"/>
  <c r="H2770" i="33"/>
  <c r="D2770" i="33" s="1"/>
  <c r="E2770" i="33" s="1"/>
  <c r="F2770" i="33" s="1"/>
  <c r="H2769" i="33"/>
  <c r="D2769" i="33" s="1"/>
  <c r="E2769" i="33" s="1"/>
  <c r="F2769" i="33" s="1"/>
  <c r="H2768" i="33"/>
  <c r="D2768" i="33" s="1"/>
  <c r="E2768" i="33" s="1"/>
  <c r="F2768" i="33" s="1"/>
  <c r="H2767" i="33"/>
  <c r="D2767" i="33" s="1"/>
  <c r="E2767" i="33" s="1"/>
  <c r="F2767" i="33" s="1"/>
  <c r="H2766" i="33"/>
  <c r="D2766" i="33" s="1"/>
  <c r="E2766" i="33" s="1"/>
  <c r="F2766" i="33" s="1"/>
  <c r="H2765" i="33"/>
  <c r="D2765" i="33" s="1"/>
  <c r="E2765" i="33" s="1"/>
  <c r="F2765" i="33" s="1"/>
  <c r="H2764" i="33"/>
  <c r="D2764" i="33" s="1"/>
  <c r="E2764" i="33" s="1"/>
  <c r="F2764" i="33" s="1"/>
  <c r="H2763" i="33"/>
  <c r="D2763" i="33" s="1"/>
  <c r="E2763" i="33" s="1"/>
  <c r="F2763" i="33" s="1"/>
  <c r="H2762" i="33"/>
  <c r="D2762" i="33" s="1"/>
  <c r="E2762" i="33" s="1"/>
  <c r="F2762" i="33" s="1"/>
  <c r="H2761" i="33"/>
  <c r="D2761" i="33" s="1"/>
  <c r="E2761" i="33" s="1"/>
  <c r="F2761" i="33" s="1"/>
  <c r="H2760" i="33"/>
  <c r="D2760" i="33" s="1"/>
  <c r="E2760" i="33" s="1"/>
  <c r="F2760" i="33" s="1"/>
  <c r="H2759" i="33"/>
  <c r="D2759" i="33" s="1"/>
  <c r="E2759" i="33" s="1"/>
  <c r="F2759" i="33" s="1"/>
  <c r="H2758" i="33"/>
  <c r="D2758" i="33" s="1"/>
  <c r="E2758" i="33" s="1"/>
  <c r="F2758" i="33" s="1"/>
  <c r="H2757" i="33"/>
  <c r="D2757" i="33" s="1"/>
  <c r="E2757" i="33" s="1"/>
  <c r="F2757" i="33" s="1"/>
  <c r="I2756" i="33"/>
  <c r="H2756" i="33"/>
  <c r="D2756" i="33" s="1"/>
  <c r="E2756" i="33" s="1"/>
  <c r="F2756" i="33" s="1"/>
  <c r="H2738" i="33"/>
  <c r="D2738" i="33" s="1"/>
  <c r="E2738" i="33" s="1"/>
  <c r="F2738" i="33" s="1"/>
  <c r="H2737" i="33"/>
  <c r="D2737" i="33" s="1"/>
  <c r="E2737" i="33" s="1"/>
  <c r="F2737" i="33" s="1"/>
  <c r="H2736" i="33"/>
  <c r="D2736" i="33" s="1"/>
  <c r="E2736" i="33" s="1"/>
  <c r="F2736" i="33" s="1"/>
  <c r="H2735" i="33"/>
  <c r="D2735" i="33" s="1"/>
  <c r="E2735" i="33" s="1"/>
  <c r="F2735" i="33" s="1"/>
  <c r="H2734" i="33"/>
  <c r="D2734" i="33" s="1"/>
  <c r="E2734" i="33" s="1"/>
  <c r="F2734" i="33" s="1"/>
  <c r="H2733" i="33"/>
  <c r="D2733" i="33" s="1"/>
  <c r="E2733" i="33" s="1"/>
  <c r="F2733" i="33" s="1"/>
  <c r="H2732" i="33"/>
  <c r="D2732" i="33" s="1"/>
  <c r="E2732" i="33" s="1"/>
  <c r="F2732" i="33" s="1"/>
  <c r="H2731" i="33"/>
  <c r="D2731" i="33" s="1"/>
  <c r="E2731" i="33" s="1"/>
  <c r="F2731" i="33" s="1"/>
  <c r="H2730" i="33"/>
  <c r="D2730" i="33" s="1"/>
  <c r="E2730" i="33" s="1"/>
  <c r="F2730" i="33" s="1"/>
  <c r="H2729" i="33"/>
  <c r="D2729" i="33" s="1"/>
  <c r="E2729" i="33" s="1"/>
  <c r="F2729" i="33" s="1"/>
  <c r="H2728" i="33"/>
  <c r="D2728" i="33" s="1"/>
  <c r="E2728" i="33" s="1"/>
  <c r="F2728" i="33" s="1"/>
  <c r="H2727" i="33"/>
  <c r="D2727" i="33" s="1"/>
  <c r="E2727" i="33" s="1"/>
  <c r="F2727" i="33" s="1"/>
  <c r="H2726" i="33"/>
  <c r="D2726" i="33" s="1"/>
  <c r="E2726" i="33" s="1"/>
  <c r="F2726" i="33" s="1"/>
  <c r="H2725" i="33"/>
  <c r="D2725" i="33" s="1"/>
  <c r="E2725" i="33" s="1"/>
  <c r="F2725" i="33" s="1"/>
  <c r="H2724" i="33"/>
  <c r="D2724" i="33" s="1"/>
  <c r="E2724" i="33" s="1"/>
  <c r="F2724" i="33" s="1"/>
  <c r="H2723" i="33"/>
  <c r="D2723" i="33" s="1"/>
  <c r="E2723" i="33" s="1"/>
  <c r="F2723" i="33" s="1"/>
  <c r="H2722" i="33"/>
  <c r="D2722" i="33" s="1"/>
  <c r="E2722" i="33" s="1"/>
  <c r="F2722" i="33" s="1"/>
  <c r="H2721" i="33"/>
  <c r="D2721" i="33" s="1"/>
  <c r="E2721" i="33" s="1"/>
  <c r="F2721" i="33" s="1"/>
  <c r="H2720" i="33"/>
  <c r="D2720" i="33" s="1"/>
  <c r="E2720" i="33" s="1"/>
  <c r="F2720" i="33" s="1"/>
  <c r="H2719" i="33"/>
  <c r="D2719" i="33" s="1"/>
  <c r="E2719" i="33" s="1"/>
  <c r="F2719" i="33" s="1"/>
  <c r="H2718" i="33"/>
  <c r="D2718" i="33" s="1"/>
  <c r="E2718" i="33" s="1"/>
  <c r="F2718" i="33" s="1"/>
  <c r="H2717" i="33"/>
  <c r="D2717" i="33" s="1"/>
  <c r="E2717" i="33" s="1"/>
  <c r="F2717" i="33" s="1"/>
  <c r="H2716" i="33"/>
  <c r="D2716" i="33" s="1"/>
  <c r="E2716" i="33" s="1"/>
  <c r="F2716" i="33" s="1"/>
  <c r="H2715" i="33"/>
  <c r="D2715" i="33" s="1"/>
  <c r="E2715" i="33" s="1"/>
  <c r="F2715" i="33" s="1"/>
  <c r="H2714" i="33"/>
  <c r="D2714" i="33" s="1"/>
  <c r="E2714" i="33" s="1"/>
  <c r="F2714" i="33" s="1"/>
  <c r="H2713" i="33"/>
  <c r="D2713" i="33" s="1"/>
  <c r="E2713" i="33" s="1"/>
  <c r="F2713" i="33" s="1"/>
  <c r="H2712" i="33"/>
  <c r="D2712" i="33" s="1"/>
  <c r="E2712" i="33" s="1"/>
  <c r="F2712" i="33" s="1"/>
  <c r="H2711" i="33"/>
  <c r="D2711" i="33" s="1"/>
  <c r="E2711" i="33" s="1"/>
  <c r="F2711" i="33" s="1"/>
  <c r="H2710" i="33"/>
  <c r="D2710" i="33" s="1"/>
  <c r="E2710" i="33" s="1"/>
  <c r="F2710" i="33" s="1"/>
  <c r="I2709" i="33"/>
  <c r="H2709" i="33"/>
  <c r="D2709" i="33" s="1"/>
  <c r="E2709" i="33" s="1"/>
  <c r="F2709" i="33" s="1"/>
  <c r="H17679" i="25"/>
  <c r="H17678" i="25"/>
  <c r="H17677" i="25"/>
  <c r="H17676" i="25"/>
  <c r="H17675" i="25"/>
  <c r="H17674" i="25"/>
  <c r="H17673" i="25"/>
  <c r="H17672" i="25"/>
  <c r="H17671" i="25"/>
  <c r="H17670" i="25"/>
  <c r="H17669" i="25"/>
  <c r="H17668" i="25"/>
  <c r="H17667" i="25"/>
  <c r="H17666" i="25"/>
  <c r="H17665" i="25"/>
  <c r="H17664" i="25"/>
  <c r="H17663" i="25"/>
  <c r="H17662" i="25"/>
  <c r="H17661" i="25"/>
  <c r="H17660" i="25"/>
  <c r="H17659" i="25"/>
  <c r="H17658" i="25"/>
  <c r="H17657" i="25"/>
  <c r="H17656" i="25"/>
  <c r="H17655" i="25"/>
  <c r="H17654" i="25"/>
  <c r="H17653" i="25"/>
  <c r="H17652" i="25"/>
  <c r="H17651" i="25"/>
  <c r="H17650" i="25"/>
  <c r="AV63" i="32"/>
  <c r="AZ63" i="32" s="1"/>
  <c r="AR63" i="32"/>
  <c r="AS63" i="32" s="1"/>
  <c r="AV62" i="32"/>
  <c r="AZ62" i="32" s="1"/>
  <c r="AR62" i="32"/>
  <c r="AS62" i="32" s="1"/>
  <c r="AF63" i="32"/>
  <c r="AF62" i="32"/>
  <c r="AG542" i="29"/>
  <c r="AR542" i="29"/>
  <c r="AS542" i="29" s="1"/>
  <c r="AV542" i="29"/>
  <c r="AZ542" i="29" s="1"/>
  <c r="AG541" i="29"/>
  <c r="AR541" i="29"/>
  <c r="AS541" i="29" s="1"/>
  <c r="AV541" i="29"/>
  <c r="AW541" i="29" s="1"/>
  <c r="AV540" i="29"/>
  <c r="AW540" i="29" s="1"/>
  <c r="AS540" i="29"/>
  <c r="H17620" i="25"/>
  <c r="H17619" i="25"/>
  <c r="H17618" i="25"/>
  <c r="H17617" i="25"/>
  <c r="H17616" i="25"/>
  <c r="H17615" i="25"/>
  <c r="H17614" i="25"/>
  <c r="H17613" i="25"/>
  <c r="H17612" i="25"/>
  <c r="H17611" i="25"/>
  <c r="H17610" i="25"/>
  <c r="H17609" i="25"/>
  <c r="H17608" i="25"/>
  <c r="H17607" i="25"/>
  <c r="H17606" i="25"/>
  <c r="H17605" i="25"/>
  <c r="H17604" i="25"/>
  <c r="H17603" i="25"/>
  <c r="H17602" i="25"/>
  <c r="H17601" i="25"/>
  <c r="H17600" i="25"/>
  <c r="H17599" i="25"/>
  <c r="H17598" i="25"/>
  <c r="H17597" i="25"/>
  <c r="H17596" i="25"/>
  <c r="H17595" i="25"/>
  <c r="H17594" i="25"/>
  <c r="H17593" i="25"/>
  <c r="H17592" i="25"/>
  <c r="H17591" i="25"/>
  <c r="E17589" i="25"/>
  <c r="AN407" i="29"/>
  <c r="AP407" i="29"/>
  <c r="AQ407" i="29"/>
  <c r="AR407" i="29"/>
  <c r="AT407" i="29" s="1"/>
  <c r="AV407" i="29"/>
  <c r="AW407" i="29" s="1"/>
  <c r="F17585" i="25"/>
  <c r="AQ537" i="29" s="1"/>
  <c r="H2691" i="33"/>
  <c r="D2691" i="33" s="1"/>
  <c r="E2691" i="33" s="1"/>
  <c r="F2691" i="33" s="1"/>
  <c r="H2690" i="33"/>
  <c r="D2690" i="33" s="1"/>
  <c r="E2690" i="33" s="1"/>
  <c r="F2690" i="33" s="1"/>
  <c r="H2689" i="33"/>
  <c r="D2689" i="33" s="1"/>
  <c r="E2689" i="33" s="1"/>
  <c r="F2689" i="33" s="1"/>
  <c r="H2688" i="33"/>
  <c r="D2688" i="33" s="1"/>
  <c r="E2688" i="33" s="1"/>
  <c r="F2688" i="33" s="1"/>
  <c r="H2687" i="33"/>
  <c r="D2687" i="33" s="1"/>
  <c r="E2687" i="33" s="1"/>
  <c r="F2687" i="33" s="1"/>
  <c r="H2686" i="33"/>
  <c r="D2686" i="33" s="1"/>
  <c r="E2686" i="33" s="1"/>
  <c r="F2686" i="33" s="1"/>
  <c r="H2685" i="33"/>
  <c r="D2685" i="33" s="1"/>
  <c r="E2685" i="33" s="1"/>
  <c r="F2685" i="33" s="1"/>
  <c r="H2684" i="33"/>
  <c r="D2684" i="33" s="1"/>
  <c r="E2684" i="33" s="1"/>
  <c r="F2684" i="33" s="1"/>
  <c r="H2683" i="33"/>
  <c r="D2683" i="33" s="1"/>
  <c r="E2683" i="33" s="1"/>
  <c r="F2683" i="33" s="1"/>
  <c r="H2682" i="33"/>
  <c r="D2682" i="33" s="1"/>
  <c r="E2682" i="33" s="1"/>
  <c r="F2682" i="33" s="1"/>
  <c r="H2681" i="33"/>
  <c r="D2681" i="33" s="1"/>
  <c r="E2681" i="33" s="1"/>
  <c r="F2681" i="33" s="1"/>
  <c r="H2680" i="33"/>
  <c r="D2680" i="33" s="1"/>
  <c r="E2680" i="33" s="1"/>
  <c r="F2680" i="33" s="1"/>
  <c r="H2679" i="33"/>
  <c r="D2679" i="33" s="1"/>
  <c r="E2679" i="33" s="1"/>
  <c r="F2679" i="33" s="1"/>
  <c r="H2678" i="33"/>
  <c r="D2678" i="33" s="1"/>
  <c r="E2678" i="33" s="1"/>
  <c r="F2678" i="33" s="1"/>
  <c r="H2677" i="33"/>
  <c r="D2677" i="33" s="1"/>
  <c r="E2677" i="33" s="1"/>
  <c r="F2677" i="33" s="1"/>
  <c r="H2676" i="33"/>
  <c r="D2676" i="33" s="1"/>
  <c r="E2676" i="33" s="1"/>
  <c r="F2676" i="33" s="1"/>
  <c r="H2675" i="33"/>
  <c r="D2675" i="33" s="1"/>
  <c r="E2675" i="33" s="1"/>
  <c r="F2675" i="33" s="1"/>
  <c r="H2674" i="33"/>
  <c r="D2674" i="33" s="1"/>
  <c r="E2674" i="33" s="1"/>
  <c r="F2674" i="33" s="1"/>
  <c r="H2673" i="33"/>
  <c r="D2673" i="33" s="1"/>
  <c r="E2673" i="33" s="1"/>
  <c r="F2673" i="33" s="1"/>
  <c r="H2672" i="33"/>
  <c r="D2672" i="33" s="1"/>
  <c r="E2672" i="33" s="1"/>
  <c r="F2672" i="33" s="1"/>
  <c r="H2671" i="33"/>
  <c r="D2671" i="33" s="1"/>
  <c r="E2671" i="33" s="1"/>
  <c r="F2671" i="33" s="1"/>
  <c r="H2670" i="33"/>
  <c r="D2670" i="33" s="1"/>
  <c r="E2670" i="33" s="1"/>
  <c r="F2670" i="33" s="1"/>
  <c r="H2669" i="33"/>
  <c r="D2669" i="33" s="1"/>
  <c r="E2669" i="33" s="1"/>
  <c r="F2669" i="33" s="1"/>
  <c r="H2668" i="33"/>
  <c r="D2668" i="33" s="1"/>
  <c r="E2668" i="33" s="1"/>
  <c r="F2668" i="33" s="1"/>
  <c r="H2667" i="33"/>
  <c r="D2667" i="33" s="1"/>
  <c r="E2667" i="33" s="1"/>
  <c r="F2667" i="33" s="1"/>
  <c r="H2666" i="33"/>
  <c r="D2666" i="33" s="1"/>
  <c r="E2666" i="33" s="1"/>
  <c r="F2666" i="33" s="1"/>
  <c r="H2665" i="33"/>
  <c r="D2665" i="33" s="1"/>
  <c r="E2665" i="33" s="1"/>
  <c r="F2665" i="33" s="1"/>
  <c r="H2664" i="33"/>
  <c r="D2664" i="33" s="1"/>
  <c r="E2664" i="33" s="1"/>
  <c r="F2664" i="33" s="1"/>
  <c r="H2663" i="33"/>
  <c r="D2663" i="33" s="1"/>
  <c r="E2663" i="33" s="1"/>
  <c r="F2663" i="33" s="1"/>
  <c r="I2662" i="33"/>
  <c r="H2662" i="33"/>
  <c r="D2662" i="33" s="1"/>
  <c r="E2662" i="33" s="1"/>
  <c r="F2662" i="33" s="1"/>
  <c r="H2644" i="33"/>
  <c r="D2644" i="33" s="1"/>
  <c r="E2644" i="33" s="1"/>
  <c r="F2644" i="33" s="1"/>
  <c r="H2643" i="33"/>
  <c r="D2643" i="33" s="1"/>
  <c r="E2643" i="33" s="1"/>
  <c r="F2643" i="33" s="1"/>
  <c r="H2642" i="33"/>
  <c r="D2642" i="33" s="1"/>
  <c r="E2642" i="33" s="1"/>
  <c r="F2642" i="33" s="1"/>
  <c r="H2641" i="33"/>
  <c r="D2641" i="33" s="1"/>
  <c r="E2641" i="33" s="1"/>
  <c r="F2641" i="33" s="1"/>
  <c r="H2640" i="33"/>
  <c r="D2640" i="33" s="1"/>
  <c r="E2640" i="33" s="1"/>
  <c r="F2640" i="33" s="1"/>
  <c r="H2639" i="33"/>
  <c r="D2639" i="33" s="1"/>
  <c r="E2639" i="33" s="1"/>
  <c r="F2639" i="33" s="1"/>
  <c r="H2638" i="33"/>
  <c r="D2638" i="33" s="1"/>
  <c r="E2638" i="33" s="1"/>
  <c r="F2638" i="33" s="1"/>
  <c r="H2637" i="33"/>
  <c r="D2637" i="33" s="1"/>
  <c r="E2637" i="33" s="1"/>
  <c r="F2637" i="33" s="1"/>
  <c r="H2636" i="33"/>
  <c r="D2636" i="33" s="1"/>
  <c r="E2636" i="33" s="1"/>
  <c r="F2636" i="33" s="1"/>
  <c r="H2635" i="33"/>
  <c r="D2635" i="33" s="1"/>
  <c r="E2635" i="33" s="1"/>
  <c r="F2635" i="33" s="1"/>
  <c r="H2634" i="33"/>
  <c r="D2634" i="33" s="1"/>
  <c r="E2634" i="33" s="1"/>
  <c r="F2634" i="33" s="1"/>
  <c r="H2633" i="33"/>
  <c r="D2633" i="33" s="1"/>
  <c r="E2633" i="33" s="1"/>
  <c r="F2633" i="33" s="1"/>
  <c r="H2632" i="33"/>
  <c r="D2632" i="33" s="1"/>
  <c r="E2632" i="33" s="1"/>
  <c r="F2632" i="33" s="1"/>
  <c r="H2631" i="33"/>
  <c r="D2631" i="33" s="1"/>
  <c r="E2631" i="33" s="1"/>
  <c r="F2631" i="33" s="1"/>
  <c r="H2630" i="33"/>
  <c r="D2630" i="33" s="1"/>
  <c r="E2630" i="33" s="1"/>
  <c r="F2630" i="33" s="1"/>
  <c r="H2629" i="33"/>
  <c r="D2629" i="33" s="1"/>
  <c r="E2629" i="33" s="1"/>
  <c r="F2629" i="33" s="1"/>
  <c r="H2628" i="33"/>
  <c r="D2628" i="33" s="1"/>
  <c r="E2628" i="33" s="1"/>
  <c r="F2628" i="33" s="1"/>
  <c r="H2627" i="33"/>
  <c r="D2627" i="33" s="1"/>
  <c r="E2627" i="33" s="1"/>
  <c r="F2627" i="33" s="1"/>
  <c r="H2626" i="33"/>
  <c r="D2626" i="33" s="1"/>
  <c r="E2626" i="33" s="1"/>
  <c r="F2626" i="33" s="1"/>
  <c r="H2625" i="33"/>
  <c r="D2625" i="33" s="1"/>
  <c r="E2625" i="33" s="1"/>
  <c r="F2625" i="33" s="1"/>
  <c r="H2624" i="33"/>
  <c r="D2624" i="33" s="1"/>
  <c r="E2624" i="33" s="1"/>
  <c r="F2624" i="33" s="1"/>
  <c r="H2623" i="33"/>
  <c r="D2623" i="33" s="1"/>
  <c r="E2623" i="33" s="1"/>
  <c r="F2623" i="33" s="1"/>
  <c r="H2622" i="33"/>
  <c r="D2622" i="33" s="1"/>
  <c r="E2622" i="33" s="1"/>
  <c r="F2622" i="33" s="1"/>
  <c r="H2621" i="33"/>
  <c r="D2621" i="33" s="1"/>
  <c r="E2621" i="33" s="1"/>
  <c r="F2621" i="33" s="1"/>
  <c r="H2620" i="33"/>
  <c r="D2620" i="33" s="1"/>
  <c r="E2620" i="33" s="1"/>
  <c r="F2620" i="33" s="1"/>
  <c r="H2619" i="33"/>
  <c r="D2619" i="33" s="1"/>
  <c r="E2619" i="33" s="1"/>
  <c r="F2619" i="33" s="1"/>
  <c r="H2618" i="33"/>
  <c r="D2618" i="33" s="1"/>
  <c r="E2618" i="33" s="1"/>
  <c r="F2618" i="33" s="1"/>
  <c r="H2617" i="33"/>
  <c r="D2617" i="33" s="1"/>
  <c r="E2617" i="33" s="1"/>
  <c r="F2617" i="33" s="1"/>
  <c r="H2616" i="33"/>
  <c r="D2616" i="33" s="1"/>
  <c r="E2616" i="33" s="1"/>
  <c r="F2616" i="33" s="1"/>
  <c r="I2615" i="33"/>
  <c r="H2615" i="33"/>
  <c r="D2615" i="33" s="1"/>
  <c r="E2615" i="33" s="1"/>
  <c r="F2615" i="33" s="1"/>
  <c r="AV476" i="29"/>
  <c r="AW476" i="29" s="1"/>
  <c r="AV61" i="32"/>
  <c r="AZ61" i="32" s="1"/>
  <c r="AR61" i="32"/>
  <c r="AS61" i="32" s="1"/>
  <c r="AF61" i="32"/>
  <c r="AF60" i="32"/>
  <c r="AF59" i="32"/>
  <c r="AF58" i="32"/>
  <c r="AF57" i="32"/>
  <c r="AF56" i="32"/>
  <c r="AF55" i="32"/>
  <c r="AF54" i="32"/>
  <c r="AV60" i="32"/>
  <c r="AZ60" i="32" s="1"/>
  <c r="AR60" i="32"/>
  <c r="AS60" i="32" s="1"/>
  <c r="AV59" i="32"/>
  <c r="AZ59" i="32" s="1"/>
  <c r="AR59" i="32"/>
  <c r="AS59" i="32" s="1"/>
  <c r="H17550" i="25"/>
  <c r="D17550" i="25" s="1"/>
  <c r="E17550" i="25" s="1"/>
  <c r="F17550" i="25" s="1"/>
  <c r="H17549" i="25"/>
  <c r="D17549" i="25" s="1"/>
  <c r="E17549" i="25" s="1"/>
  <c r="F17549" i="25" s="1"/>
  <c r="H17548" i="25"/>
  <c r="D17548" i="25" s="1"/>
  <c r="E17548" i="25" s="1"/>
  <c r="F17548" i="25" s="1"/>
  <c r="H17547" i="25"/>
  <c r="D17547" i="25" s="1"/>
  <c r="E17547" i="25" s="1"/>
  <c r="F17547" i="25" s="1"/>
  <c r="H17546" i="25"/>
  <c r="D17546" i="25" s="1"/>
  <c r="E17546" i="25" s="1"/>
  <c r="F17546" i="25" s="1"/>
  <c r="H17545" i="25"/>
  <c r="D17545" i="25" s="1"/>
  <c r="E17545" i="25" s="1"/>
  <c r="F17545" i="25" s="1"/>
  <c r="H17544" i="25"/>
  <c r="D17544" i="25" s="1"/>
  <c r="E17544" i="25" s="1"/>
  <c r="F17544" i="25" s="1"/>
  <c r="H17543" i="25"/>
  <c r="D17543" i="25" s="1"/>
  <c r="E17543" i="25" s="1"/>
  <c r="F17543" i="25" s="1"/>
  <c r="H17542" i="25"/>
  <c r="D17542" i="25" s="1"/>
  <c r="E17542" i="25" s="1"/>
  <c r="F17542" i="25" s="1"/>
  <c r="H17541" i="25"/>
  <c r="D17541" i="25" s="1"/>
  <c r="E17541" i="25" s="1"/>
  <c r="F17541" i="25" s="1"/>
  <c r="H17540" i="25"/>
  <c r="D17540" i="25" s="1"/>
  <c r="E17540" i="25" s="1"/>
  <c r="F17540" i="25" s="1"/>
  <c r="H17539" i="25"/>
  <c r="D17539" i="25" s="1"/>
  <c r="E17539" i="25" s="1"/>
  <c r="F17539" i="25" s="1"/>
  <c r="H17538" i="25"/>
  <c r="D17538" i="25" s="1"/>
  <c r="E17538" i="25" s="1"/>
  <c r="F17538" i="25" s="1"/>
  <c r="H17537" i="25"/>
  <c r="D17537" i="25" s="1"/>
  <c r="E17537" i="25" s="1"/>
  <c r="F17537" i="25" s="1"/>
  <c r="H17536" i="25"/>
  <c r="D17536" i="25" s="1"/>
  <c r="E17536" i="25" s="1"/>
  <c r="F17536" i="25" s="1"/>
  <c r="H17535" i="25"/>
  <c r="D17535" i="25" s="1"/>
  <c r="E17535" i="25" s="1"/>
  <c r="F17535" i="25" s="1"/>
  <c r="H17534" i="25"/>
  <c r="D17534" i="25" s="1"/>
  <c r="E17534" i="25" s="1"/>
  <c r="F17534" i="25" s="1"/>
  <c r="H17533" i="25"/>
  <c r="D17533" i="25" s="1"/>
  <c r="E17533" i="25" s="1"/>
  <c r="F17533" i="25" s="1"/>
  <c r="H17532" i="25"/>
  <c r="D17532" i="25" s="1"/>
  <c r="E17532" i="25" s="1"/>
  <c r="F17532" i="25" s="1"/>
  <c r="H17531" i="25"/>
  <c r="D17531" i="25" s="1"/>
  <c r="E17531" i="25" s="1"/>
  <c r="F17531" i="25" s="1"/>
  <c r="H17530" i="25"/>
  <c r="D17530" i="25" s="1"/>
  <c r="E17530" i="25" s="1"/>
  <c r="F17530" i="25" s="1"/>
  <c r="H17529" i="25"/>
  <c r="D17529" i="25" s="1"/>
  <c r="E17529" i="25" s="1"/>
  <c r="F17529" i="25" s="1"/>
  <c r="H17528" i="25"/>
  <c r="D17528" i="25" s="1"/>
  <c r="E17528" i="25" s="1"/>
  <c r="F17528" i="25" s="1"/>
  <c r="H17527" i="25"/>
  <c r="D17527" i="25" s="1"/>
  <c r="E17527" i="25" s="1"/>
  <c r="F17527" i="25" s="1"/>
  <c r="H17526" i="25"/>
  <c r="D17526" i="25" s="1"/>
  <c r="E17526" i="25" s="1"/>
  <c r="F17526" i="25" s="1"/>
  <c r="H17525" i="25"/>
  <c r="D17525" i="25" s="1"/>
  <c r="E17525" i="25" s="1"/>
  <c r="F17525" i="25" s="1"/>
  <c r="H17524" i="25"/>
  <c r="D17524" i="25" s="1"/>
  <c r="E17524" i="25" s="1"/>
  <c r="F17524" i="25" s="1"/>
  <c r="H17523" i="25"/>
  <c r="D17523" i="25" s="1"/>
  <c r="E17523" i="25" s="1"/>
  <c r="F17523" i="25" s="1"/>
  <c r="H17522" i="25"/>
  <c r="D17522" i="25" s="1"/>
  <c r="E17522" i="25" s="1"/>
  <c r="F17522" i="25" s="1"/>
  <c r="H17521" i="25"/>
  <c r="D17521" i="25" s="1"/>
  <c r="E17521" i="25" s="1"/>
  <c r="F17521" i="25" s="1"/>
  <c r="E17519" i="25"/>
  <c r="AN399" i="29"/>
  <c r="AP399" i="29"/>
  <c r="AQ399" i="29"/>
  <c r="AR399" i="29"/>
  <c r="AS399" i="29" s="1"/>
  <c r="AV399" i="29"/>
  <c r="AW399" i="29" s="1"/>
  <c r="H13344" i="25"/>
  <c r="H13278" i="25"/>
  <c r="H13279" i="25"/>
  <c r="H13280" i="25"/>
  <c r="H13281" i="25"/>
  <c r="H13282" i="25"/>
  <c r="H13283" i="25"/>
  <c r="H13284" i="25"/>
  <c r="H13285" i="25"/>
  <c r="H13286" i="25"/>
  <c r="H13287" i="25"/>
  <c r="H13288" i="25"/>
  <c r="H13289" i="25"/>
  <c r="H13290" i="25"/>
  <c r="H13291" i="25"/>
  <c r="H13292" i="25"/>
  <c r="H13293" i="25"/>
  <c r="H13294" i="25"/>
  <c r="H13295" i="25"/>
  <c r="H13296" i="25"/>
  <c r="H13297" i="25"/>
  <c r="H13298" i="25"/>
  <c r="H13299" i="25"/>
  <c r="H13300" i="25"/>
  <c r="H13301" i="25"/>
  <c r="H13302" i="25"/>
  <c r="H13303" i="25"/>
  <c r="H13304" i="25"/>
  <c r="H13305" i="25"/>
  <c r="H13306" i="25"/>
  <c r="H13307" i="25"/>
  <c r="AG539" i="29"/>
  <c r="AR539" i="29"/>
  <c r="AS539" i="29" s="1"/>
  <c r="AV539" i="29"/>
  <c r="AW539" i="29" s="1"/>
  <c r="AG538" i="29"/>
  <c r="AR538" i="29"/>
  <c r="AS538" i="29" s="1"/>
  <c r="AV538" i="29"/>
  <c r="AZ538" i="29" s="1"/>
  <c r="F17515" i="25"/>
  <c r="AN534" i="29" s="1"/>
  <c r="H17506" i="25"/>
  <c r="H17505" i="25"/>
  <c r="H17504" i="25"/>
  <c r="H17503" i="25"/>
  <c r="H17502" i="25"/>
  <c r="H17501" i="25"/>
  <c r="H17500" i="25"/>
  <c r="H17499" i="25"/>
  <c r="H17498" i="25"/>
  <c r="H17497" i="25"/>
  <c r="H17496" i="25"/>
  <c r="D17496" i="25" s="1"/>
  <c r="H17495" i="25"/>
  <c r="H17494" i="25"/>
  <c r="H17493" i="25"/>
  <c r="H17492" i="25"/>
  <c r="H17491" i="25"/>
  <c r="H17490" i="25"/>
  <c r="H17489" i="25"/>
  <c r="H17488" i="25"/>
  <c r="H17487" i="25"/>
  <c r="H17486" i="25"/>
  <c r="H17485" i="25"/>
  <c r="H17484" i="25"/>
  <c r="H17483" i="25"/>
  <c r="H17482" i="25"/>
  <c r="H17481" i="25"/>
  <c r="H17480" i="25"/>
  <c r="H17479" i="25"/>
  <c r="H17478" i="25"/>
  <c r="H17477" i="25"/>
  <c r="E17475" i="25"/>
  <c r="H17451" i="25"/>
  <c r="D17451" i="25" s="1"/>
  <c r="E17451" i="25" s="1"/>
  <c r="F17451" i="25" s="1"/>
  <c r="H17450" i="25"/>
  <c r="D17450" i="25" s="1"/>
  <c r="E17450" i="25" s="1"/>
  <c r="F17450" i="25" s="1"/>
  <c r="H17449" i="25"/>
  <c r="D17449" i="25" s="1"/>
  <c r="E17449" i="25" s="1"/>
  <c r="F17449" i="25" s="1"/>
  <c r="H17448" i="25"/>
  <c r="D17448" i="25" s="1"/>
  <c r="E17448" i="25" s="1"/>
  <c r="F17448" i="25" s="1"/>
  <c r="H17447" i="25"/>
  <c r="D17447" i="25" s="1"/>
  <c r="E17447" i="25" s="1"/>
  <c r="F17447" i="25" s="1"/>
  <c r="H17446" i="25"/>
  <c r="D17446" i="25" s="1"/>
  <c r="E17446" i="25" s="1"/>
  <c r="F17446" i="25" s="1"/>
  <c r="H17445" i="25"/>
  <c r="D17445" i="25" s="1"/>
  <c r="E17445" i="25" s="1"/>
  <c r="F17445" i="25" s="1"/>
  <c r="H17444" i="25"/>
  <c r="D17444" i="25" s="1"/>
  <c r="E17444" i="25" s="1"/>
  <c r="F17444" i="25" s="1"/>
  <c r="H17443" i="25"/>
  <c r="D17443" i="25" s="1"/>
  <c r="E17443" i="25" s="1"/>
  <c r="F17443" i="25" s="1"/>
  <c r="H17442" i="25"/>
  <c r="D17442" i="25" s="1"/>
  <c r="E17442" i="25" s="1"/>
  <c r="F17442" i="25" s="1"/>
  <c r="H17441" i="25"/>
  <c r="H17440" i="25"/>
  <c r="D17440" i="25" s="1"/>
  <c r="E17440" i="25" s="1"/>
  <c r="F17440" i="25" s="1"/>
  <c r="H17439" i="25"/>
  <c r="D17439" i="25" s="1"/>
  <c r="E17439" i="25" s="1"/>
  <c r="F17439" i="25" s="1"/>
  <c r="H17438" i="25"/>
  <c r="D17438" i="25" s="1"/>
  <c r="E17438" i="25" s="1"/>
  <c r="F17438" i="25" s="1"/>
  <c r="H17437" i="25"/>
  <c r="D17437" i="25" s="1"/>
  <c r="E17437" i="25" s="1"/>
  <c r="F17437" i="25" s="1"/>
  <c r="H17436" i="25"/>
  <c r="D17436" i="25" s="1"/>
  <c r="E17436" i="25" s="1"/>
  <c r="F17436" i="25" s="1"/>
  <c r="H17435" i="25"/>
  <c r="D17435" i="25" s="1"/>
  <c r="E17435" i="25" s="1"/>
  <c r="F17435" i="25" s="1"/>
  <c r="H17434" i="25"/>
  <c r="D17434" i="25" s="1"/>
  <c r="E17434" i="25" s="1"/>
  <c r="F17434" i="25" s="1"/>
  <c r="H17433" i="25"/>
  <c r="H17432" i="25"/>
  <c r="D17432" i="25" s="1"/>
  <c r="E17432" i="25" s="1"/>
  <c r="F17432" i="25" s="1"/>
  <c r="H17431" i="25"/>
  <c r="D17431" i="25" s="1"/>
  <c r="E17431" i="25" s="1"/>
  <c r="F17431" i="25" s="1"/>
  <c r="H17430" i="25"/>
  <c r="D17430" i="25" s="1"/>
  <c r="E17430" i="25" s="1"/>
  <c r="F17430" i="25" s="1"/>
  <c r="H17429" i="25"/>
  <c r="D17429" i="25" s="1"/>
  <c r="E17429" i="25" s="1"/>
  <c r="F17429" i="25" s="1"/>
  <c r="H17428" i="25"/>
  <c r="D17428" i="25" s="1"/>
  <c r="E17428" i="25" s="1"/>
  <c r="F17428" i="25" s="1"/>
  <c r="H17427" i="25"/>
  <c r="D17427" i="25" s="1"/>
  <c r="E17427" i="25" s="1"/>
  <c r="F17427" i="25" s="1"/>
  <c r="H17426" i="25"/>
  <c r="D17426" i="25" s="1"/>
  <c r="E17426" i="25" s="1"/>
  <c r="F17426" i="25" s="1"/>
  <c r="H17425" i="25"/>
  <c r="D17425" i="25" s="1"/>
  <c r="E17425" i="25" s="1"/>
  <c r="F17425" i="25" s="1"/>
  <c r="H17424" i="25"/>
  <c r="D17424" i="25" s="1"/>
  <c r="E17424" i="25" s="1"/>
  <c r="F17424" i="25" s="1"/>
  <c r="H17423" i="25"/>
  <c r="D17423" i="25" s="1"/>
  <c r="E17423" i="25" s="1"/>
  <c r="F17423" i="25" s="1"/>
  <c r="I17422" i="25"/>
  <c r="H17422" i="25"/>
  <c r="D17422" i="25" s="1"/>
  <c r="E17422" i="25" s="1"/>
  <c r="F17422" i="25" s="1"/>
  <c r="AQ532" i="29"/>
  <c r="H2597" i="33"/>
  <c r="D2597" i="33" s="1"/>
  <c r="E2597" i="33" s="1"/>
  <c r="F2597" i="33" s="1"/>
  <c r="H2596" i="33"/>
  <c r="D2596" i="33" s="1"/>
  <c r="E2596" i="33" s="1"/>
  <c r="F2596" i="33" s="1"/>
  <c r="H2595" i="33"/>
  <c r="D2595" i="33" s="1"/>
  <c r="E2595" i="33" s="1"/>
  <c r="F2595" i="33" s="1"/>
  <c r="H2594" i="33"/>
  <c r="D2594" i="33" s="1"/>
  <c r="E2594" i="33" s="1"/>
  <c r="F2594" i="33" s="1"/>
  <c r="H2593" i="33"/>
  <c r="D2593" i="33" s="1"/>
  <c r="E2593" i="33" s="1"/>
  <c r="F2593" i="33" s="1"/>
  <c r="H2592" i="33"/>
  <c r="D2592" i="33" s="1"/>
  <c r="E2592" i="33" s="1"/>
  <c r="F2592" i="33" s="1"/>
  <c r="H2591" i="33"/>
  <c r="D2591" i="33" s="1"/>
  <c r="E2591" i="33" s="1"/>
  <c r="F2591" i="33" s="1"/>
  <c r="H2590" i="33"/>
  <c r="D2590" i="33" s="1"/>
  <c r="E2590" i="33" s="1"/>
  <c r="F2590" i="33" s="1"/>
  <c r="H2589" i="33"/>
  <c r="D2589" i="33" s="1"/>
  <c r="E2589" i="33" s="1"/>
  <c r="F2589" i="33" s="1"/>
  <c r="H2588" i="33"/>
  <c r="D2588" i="33" s="1"/>
  <c r="E2588" i="33" s="1"/>
  <c r="F2588" i="33" s="1"/>
  <c r="H2587" i="33"/>
  <c r="D2587" i="33" s="1"/>
  <c r="E2587" i="33" s="1"/>
  <c r="F2587" i="33" s="1"/>
  <c r="H2586" i="33"/>
  <c r="D2586" i="33" s="1"/>
  <c r="E2586" i="33" s="1"/>
  <c r="F2586" i="33" s="1"/>
  <c r="H2585" i="33"/>
  <c r="D2585" i="33" s="1"/>
  <c r="E2585" i="33" s="1"/>
  <c r="F2585" i="33" s="1"/>
  <c r="H2584" i="33"/>
  <c r="D2584" i="33" s="1"/>
  <c r="E2584" i="33" s="1"/>
  <c r="F2584" i="33" s="1"/>
  <c r="H2583" i="33"/>
  <c r="D2583" i="33" s="1"/>
  <c r="E2583" i="33" s="1"/>
  <c r="F2583" i="33" s="1"/>
  <c r="H2582" i="33"/>
  <c r="D2582" i="33" s="1"/>
  <c r="E2582" i="33" s="1"/>
  <c r="F2582" i="33" s="1"/>
  <c r="H2581" i="33"/>
  <c r="D2581" i="33" s="1"/>
  <c r="E2581" i="33" s="1"/>
  <c r="F2581" i="33" s="1"/>
  <c r="H2580" i="33"/>
  <c r="D2580" i="33" s="1"/>
  <c r="E2580" i="33" s="1"/>
  <c r="F2580" i="33" s="1"/>
  <c r="H2579" i="33"/>
  <c r="D2579" i="33" s="1"/>
  <c r="E2579" i="33" s="1"/>
  <c r="F2579" i="33" s="1"/>
  <c r="H2578" i="33"/>
  <c r="D2578" i="33" s="1"/>
  <c r="E2578" i="33" s="1"/>
  <c r="F2578" i="33" s="1"/>
  <c r="H2577" i="33"/>
  <c r="D2577" i="33" s="1"/>
  <c r="E2577" i="33" s="1"/>
  <c r="F2577" i="33" s="1"/>
  <c r="H2576" i="33"/>
  <c r="D2576" i="33" s="1"/>
  <c r="E2576" i="33" s="1"/>
  <c r="F2576" i="33" s="1"/>
  <c r="H2575" i="33"/>
  <c r="D2575" i="33" s="1"/>
  <c r="E2575" i="33" s="1"/>
  <c r="F2575" i="33" s="1"/>
  <c r="H2574" i="33"/>
  <c r="D2574" i="33" s="1"/>
  <c r="E2574" i="33" s="1"/>
  <c r="F2574" i="33" s="1"/>
  <c r="H2573" i="33"/>
  <c r="D2573" i="33" s="1"/>
  <c r="E2573" i="33" s="1"/>
  <c r="F2573" i="33" s="1"/>
  <c r="H2572" i="33"/>
  <c r="D2572" i="33" s="1"/>
  <c r="E2572" i="33" s="1"/>
  <c r="F2572" i="33" s="1"/>
  <c r="H2571" i="33"/>
  <c r="D2571" i="33" s="1"/>
  <c r="E2571" i="33" s="1"/>
  <c r="F2571" i="33" s="1"/>
  <c r="H2570" i="33"/>
  <c r="D2570" i="33" s="1"/>
  <c r="E2570" i="33" s="1"/>
  <c r="F2570" i="33" s="1"/>
  <c r="H2569" i="33"/>
  <c r="D2569" i="33" s="1"/>
  <c r="E2569" i="33" s="1"/>
  <c r="F2569" i="33" s="1"/>
  <c r="I2568" i="33"/>
  <c r="H2568" i="33"/>
  <c r="D2568" i="33" s="1"/>
  <c r="E2568" i="33" s="1"/>
  <c r="F2568" i="33" s="1"/>
  <c r="H17392" i="25"/>
  <c r="D17392" i="25" s="1"/>
  <c r="E17392" i="25" s="1"/>
  <c r="F17392" i="25" s="1"/>
  <c r="H17391" i="25"/>
  <c r="D17391" i="25" s="1"/>
  <c r="E17391" i="25" s="1"/>
  <c r="F17391" i="25" s="1"/>
  <c r="H17390" i="25"/>
  <c r="D17390" i="25" s="1"/>
  <c r="E17390" i="25" s="1"/>
  <c r="F17390" i="25" s="1"/>
  <c r="H17389" i="25"/>
  <c r="D17389" i="25" s="1"/>
  <c r="E17389" i="25" s="1"/>
  <c r="F17389" i="25" s="1"/>
  <c r="H17388" i="25"/>
  <c r="D17388" i="25" s="1"/>
  <c r="E17388" i="25" s="1"/>
  <c r="F17388" i="25" s="1"/>
  <c r="H17387" i="25"/>
  <c r="D17387" i="25" s="1"/>
  <c r="E17387" i="25" s="1"/>
  <c r="F17387" i="25" s="1"/>
  <c r="H17386" i="25"/>
  <c r="D17386" i="25" s="1"/>
  <c r="E17386" i="25" s="1"/>
  <c r="F17386" i="25" s="1"/>
  <c r="H17385" i="25"/>
  <c r="H17384" i="25"/>
  <c r="D17384" i="25" s="1"/>
  <c r="E17384" i="25" s="1"/>
  <c r="F17384" i="25" s="1"/>
  <c r="H17383" i="25"/>
  <c r="D17383" i="25" s="1"/>
  <c r="E17383" i="25" s="1"/>
  <c r="F17383" i="25" s="1"/>
  <c r="H17382" i="25"/>
  <c r="D17382" i="25" s="1"/>
  <c r="E17382" i="25" s="1"/>
  <c r="F17382" i="25" s="1"/>
  <c r="H17381" i="25"/>
  <c r="D17381" i="25" s="1"/>
  <c r="E17381" i="25" s="1"/>
  <c r="F17381" i="25" s="1"/>
  <c r="H17380" i="25"/>
  <c r="D17380" i="25" s="1"/>
  <c r="E17380" i="25" s="1"/>
  <c r="F17380" i="25" s="1"/>
  <c r="H17379" i="25"/>
  <c r="D17379" i="25" s="1"/>
  <c r="E17379" i="25" s="1"/>
  <c r="F17379" i="25" s="1"/>
  <c r="H17378" i="25"/>
  <c r="D17378" i="25" s="1"/>
  <c r="E17378" i="25" s="1"/>
  <c r="F17378" i="25" s="1"/>
  <c r="H17377" i="25"/>
  <c r="D17377" i="25" s="1"/>
  <c r="E17377" i="25" s="1"/>
  <c r="F17377" i="25" s="1"/>
  <c r="H17376" i="25"/>
  <c r="D17376" i="25" s="1"/>
  <c r="E17376" i="25" s="1"/>
  <c r="F17376" i="25" s="1"/>
  <c r="H17375" i="25"/>
  <c r="D17375" i="25" s="1"/>
  <c r="E17375" i="25" s="1"/>
  <c r="F17375" i="25" s="1"/>
  <c r="H17374" i="25"/>
  <c r="D17374" i="25" s="1"/>
  <c r="E17374" i="25" s="1"/>
  <c r="F17374" i="25" s="1"/>
  <c r="H17373" i="25"/>
  <c r="D17373" i="25" s="1"/>
  <c r="E17373" i="25" s="1"/>
  <c r="F17373" i="25" s="1"/>
  <c r="H17372" i="25"/>
  <c r="H17371" i="25"/>
  <c r="D17371" i="25" s="1"/>
  <c r="E17371" i="25" s="1"/>
  <c r="F17371" i="25" s="1"/>
  <c r="H17370" i="25"/>
  <c r="D17370" i="25" s="1"/>
  <c r="E17370" i="25" s="1"/>
  <c r="F17370" i="25" s="1"/>
  <c r="H17369" i="25"/>
  <c r="D17369" i="25" s="1"/>
  <c r="E17369" i="25" s="1"/>
  <c r="F17369" i="25" s="1"/>
  <c r="H17368" i="25"/>
  <c r="D17368" i="25" s="1"/>
  <c r="E17368" i="25" s="1"/>
  <c r="F17368" i="25" s="1"/>
  <c r="H17367" i="25"/>
  <c r="D17367" i="25" s="1"/>
  <c r="E17367" i="25" s="1"/>
  <c r="F17367" i="25" s="1"/>
  <c r="H17366" i="25"/>
  <c r="D17366" i="25" s="1"/>
  <c r="E17366" i="25" s="1"/>
  <c r="F17366" i="25" s="1"/>
  <c r="H17365" i="25"/>
  <c r="D17365" i="25" s="1"/>
  <c r="E17365" i="25" s="1"/>
  <c r="F17365" i="25" s="1"/>
  <c r="H17364" i="25"/>
  <c r="D17364" i="25" s="1"/>
  <c r="E17364" i="25" s="1"/>
  <c r="F17364" i="25" s="1"/>
  <c r="H17363" i="25"/>
  <c r="D17363" i="25" s="1"/>
  <c r="E17363" i="25" s="1"/>
  <c r="F17363" i="25" s="1"/>
  <c r="E17361" i="25"/>
  <c r="AV537" i="29"/>
  <c r="AW537" i="29" s="1"/>
  <c r="AR537" i="29"/>
  <c r="AS537" i="29" s="1"/>
  <c r="AG537" i="29"/>
  <c r="AV535" i="29"/>
  <c r="AW535" i="29" s="1"/>
  <c r="AG535" i="29"/>
  <c r="AR535" i="29"/>
  <c r="AS535" i="29" s="1"/>
  <c r="AV534" i="29"/>
  <c r="AZ534" i="29" s="1"/>
  <c r="AR534" i="29"/>
  <c r="AS534" i="29" s="1"/>
  <c r="AG534" i="29"/>
  <c r="AG533" i="29"/>
  <c r="AR533" i="29"/>
  <c r="AS533" i="29" s="1"/>
  <c r="AV533" i="29"/>
  <c r="AW533" i="29" s="1"/>
  <c r="F17357" i="25"/>
  <c r="AN531" i="29" s="1"/>
  <c r="H17348" i="25"/>
  <c r="D17348" i="25" s="1"/>
  <c r="E17348" i="25" s="1"/>
  <c r="F17348" i="25" s="1"/>
  <c r="H17347" i="25"/>
  <c r="D17347" i="25" s="1"/>
  <c r="E17347" i="25" s="1"/>
  <c r="F17347" i="25" s="1"/>
  <c r="H17346" i="25"/>
  <c r="D17346" i="25" s="1"/>
  <c r="E17346" i="25" s="1"/>
  <c r="F17346" i="25" s="1"/>
  <c r="H17345" i="25"/>
  <c r="D17345" i="25" s="1"/>
  <c r="E17345" i="25" s="1"/>
  <c r="F17345" i="25" s="1"/>
  <c r="H17344" i="25"/>
  <c r="D17344" i="25" s="1"/>
  <c r="E17344" i="25" s="1"/>
  <c r="F17344" i="25" s="1"/>
  <c r="H17343" i="25"/>
  <c r="D17343" i="25" s="1"/>
  <c r="E17343" i="25" s="1"/>
  <c r="F17343" i="25" s="1"/>
  <c r="H17342" i="25"/>
  <c r="D17342" i="25" s="1"/>
  <c r="E17342" i="25" s="1"/>
  <c r="F17342" i="25" s="1"/>
  <c r="H17341" i="25"/>
  <c r="D17341" i="25" s="1"/>
  <c r="E17341" i="25" s="1"/>
  <c r="F17341" i="25" s="1"/>
  <c r="H17340" i="25"/>
  <c r="D17340" i="25" s="1"/>
  <c r="E17340" i="25" s="1"/>
  <c r="F17340" i="25" s="1"/>
  <c r="H17339" i="25"/>
  <c r="D17339" i="25" s="1"/>
  <c r="E17339" i="25" s="1"/>
  <c r="F17339" i="25" s="1"/>
  <c r="H17338" i="25"/>
  <c r="D17338" i="25" s="1"/>
  <c r="E17338" i="25" s="1"/>
  <c r="F17338" i="25" s="1"/>
  <c r="H17337" i="25"/>
  <c r="D17337" i="25" s="1"/>
  <c r="E17337" i="25" s="1"/>
  <c r="F17337" i="25" s="1"/>
  <c r="H17336" i="25"/>
  <c r="D17336" i="25" s="1"/>
  <c r="E17336" i="25" s="1"/>
  <c r="F17336" i="25" s="1"/>
  <c r="H17335" i="25"/>
  <c r="D17335" i="25" s="1"/>
  <c r="E17335" i="25" s="1"/>
  <c r="F17335" i="25" s="1"/>
  <c r="H17334" i="25"/>
  <c r="D17334" i="25" s="1"/>
  <c r="E17334" i="25" s="1"/>
  <c r="F17334" i="25" s="1"/>
  <c r="H17333" i="25"/>
  <c r="D17333" i="25" s="1"/>
  <c r="E17333" i="25" s="1"/>
  <c r="F17333" i="25" s="1"/>
  <c r="H17332" i="25"/>
  <c r="D17332" i="25" s="1"/>
  <c r="E17332" i="25" s="1"/>
  <c r="F17332" i="25" s="1"/>
  <c r="H17331" i="25"/>
  <c r="D17331" i="25" s="1"/>
  <c r="E17331" i="25" s="1"/>
  <c r="F17331" i="25" s="1"/>
  <c r="H17330" i="25"/>
  <c r="D17330" i="25" s="1"/>
  <c r="E17330" i="25" s="1"/>
  <c r="F17330" i="25" s="1"/>
  <c r="H17329" i="25"/>
  <c r="D17329" i="25" s="1"/>
  <c r="E17329" i="25" s="1"/>
  <c r="F17329" i="25" s="1"/>
  <c r="H17328" i="25"/>
  <c r="D17328" i="25" s="1"/>
  <c r="E17328" i="25" s="1"/>
  <c r="F17328" i="25" s="1"/>
  <c r="H17327" i="25"/>
  <c r="D17327" i="25" s="1"/>
  <c r="E17327" i="25" s="1"/>
  <c r="F17327" i="25" s="1"/>
  <c r="H17326" i="25"/>
  <c r="D17326" i="25" s="1"/>
  <c r="E17326" i="25" s="1"/>
  <c r="F17326" i="25" s="1"/>
  <c r="H17325" i="25"/>
  <c r="D17325" i="25" s="1"/>
  <c r="E17325" i="25" s="1"/>
  <c r="F17325" i="25" s="1"/>
  <c r="H17324" i="25"/>
  <c r="D17324" i="25" s="1"/>
  <c r="E17324" i="25" s="1"/>
  <c r="F17324" i="25" s="1"/>
  <c r="H17323" i="25"/>
  <c r="D17323" i="25" s="1"/>
  <c r="E17323" i="25" s="1"/>
  <c r="F17323" i="25" s="1"/>
  <c r="H17322" i="25"/>
  <c r="D17322" i="25" s="1"/>
  <c r="E17322" i="25" s="1"/>
  <c r="F17322" i="25" s="1"/>
  <c r="H17321" i="25"/>
  <c r="D17321" i="25" s="1"/>
  <c r="E17321" i="25" s="1"/>
  <c r="F17321" i="25" s="1"/>
  <c r="H17320" i="25"/>
  <c r="D17320" i="25" s="1"/>
  <c r="E17320" i="25" s="1"/>
  <c r="F17320" i="25" s="1"/>
  <c r="H17319" i="25"/>
  <c r="D17319" i="25" s="1"/>
  <c r="E17319" i="25" s="1"/>
  <c r="F17319" i="25" s="1"/>
  <c r="E17317" i="25"/>
  <c r="H2550" i="33"/>
  <c r="D2550" i="33" s="1"/>
  <c r="E2550" i="33" s="1"/>
  <c r="F2550" i="33" s="1"/>
  <c r="H2549" i="33"/>
  <c r="D2549" i="33" s="1"/>
  <c r="E2549" i="33" s="1"/>
  <c r="F2549" i="33" s="1"/>
  <c r="H2548" i="33"/>
  <c r="D2548" i="33" s="1"/>
  <c r="E2548" i="33" s="1"/>
  <c r="F2548" i="33" s="1"/>
  <c r="H2547" i="33"/>
  <c r="D2547" i="33" s="1"/>
  <c r="E2547" i="33" s="1"/>
  <c r="F2547" i="33" s="1"/>
  <c r="H2546" i="33"/>
  <c r="D2546" i="33" s="1"/>
  <c r="E2546" i="33" s="1"/>
  <c r="F2546" i="33" s="1"/>
  <c r="H2545" i="33"/>
  <c r="D2545" i="33" s="1"/>
  <c r="E2545" i="33" s="1"/>
  <c r="F2545" i="33" s="1"/>
  <c r="H2544" i="33"/>
  <c r="D2544" i="33" s="1"/>
  <c r="E2544" i="33" s="1"/>
  <c r="F2544" i="33" s="1"/>
  <c r="H2543" i="33"/>
  <c r="D2543" i="33" s="1"/>
  <c r="E2543" i="33" s="1"/>
  <c r="F2543" i="33" s="1"/>
  <c r="H2542" i="33"/>
  <c r="D2542" i="33" s="1"/>
  <c r="E2542" i="33" s="1"/>
  <c r="F2542" i="33" s="1"/>
  <c r="H2541" i="33"/>
  <c r="D2541" i="33" s="1"/>
  <c r="E2541" i="33" s="1"/>
  <c r="F2541" i="33" s="1"/>
  <c r="H2540" i="33"/>
  <c r="D2540" i="33" s="1"/>
  <c r="E2540" i="33" s="1"/>
  <c r="F2540" i="33" s="1"/>
  <c r="H2539" i="33"/>
  <c r="D2539" i="33" s="1"/>
  <c r="E2539" i="33" s="1"/>
  <c r="F2539" i="33" s="1"/>
  <c r="H2538" i="33"/>
  <c r="D2538" i="33" s="1"/>
  <c r="E2538" i="33" s="1"/>
  <c r="F2538" i="33" s="1"/>
  <c r="H2537" i="33"/>
  <c r="D2537" i="33" s="1"/>
  <c r="E2537" i="33" s="1"/>
  <c r="F2537" i="33" s="1"/>
  <c r="H2536" i="33"/>
  <c r="D2536" i="33" s="1"/>
  <c r="E2536" i="33" s="1"/>
  <c r="F2536" i="33" s="1"/>
  <c r="H2535" i="33"/>
  <c r="D2535" i="33" s="1"/>
  <c r="E2535" i="33" s="1"/>
  <c r="F2535" i="33" s="1"/>
  <c r="H2534" i="33"/>
  <c r="D2534" i="33" s="1"/>
  <c r="E2534" i="33" s="1"/>
  <c r="F2534" i="33" s="1"/>
  <c r="H2533" i="33"/>
  <c r="D2533" i="33" s="1"/>
  <c r="E2533" i="33" s="1"/>
  <c r="F2533" i="33" s="1"/>
  <c r="H2532" i="33"/>
  <c r="D2532" i="33" s="1"/>
  <c r="E2532" i="33" s="1"/>
  <c r="F2532" i="33" s="1"/>
  <c r="H2531" i="33"/>
  <c r="D2531" i="33" s="1"/>
  <c r="E2531" i="33" s="1"/>
  <c r="F2531" i="33" s="1"/>
  <c r="H2530" i="33"/>
  <c r="D2530" i="33" s="1"/>
  <c r="E2530" i="33" s="1"/>
  <c r="F2530" i="33" s="1"/>
  <c r="H2529" i="33"/>
  <c r="D2529" i="33" s="1"/>
  <c r="E2529" i="33" s="1"/>
  <c r="F2529" i="33" s="1"/>
  <c r="H2528" i="33"/>
  <c r="D2528" i="33" s="1"/>
  <c r="E2528" i="33" s="1"/>
  <c r="F2528" i="33" s="1"/>
  <c r="H2527" i="33"/>
  <c r="D2527" i="33" s="1"/>
  <c r="E2527" i="33" s="1"/>
  <c r="F2527" i="33" s="1"/>
  <c r="H2526" i="33"/>
  <c r="D2526" i="33" s="1"/>
  <c r="E2526" i="33" s="1"/>
  <c r="F2526" i="33" s="1"/>
  <c r="H2525" i="33"/>
  <c r="D2525" i="33" s="1"/>
  <c r="E2525" i="33" s="1"/>
  <c r="F2525" i="33" s="1"/>
  <c r="H2524" i="33"/>
  <c r="D2524" i="33" s="1"/>
  <c r="E2524" i="33" s="1"/>
  <c r="F2524" i="33" s="1"/>
  <c r="H2523" i="33"/>
  <c r="D2523" i="33" s="1"/>
  <c r="E2523" i="33" s="1"/>
  <c r="F2523" i="33" s="1"/>
  <c r="H2522" i="33"/>
  <c r="D2522" i="33" s="1"/>
  <c r="E2522" i="33" s="1"/>
  <c r="F2522" i="33" s="1"/>
  <c r="I2521" i="33"/>
  <c r="H2521" i="33"/>
  <c r="D2521" i="33" s="1"/>
  <c r="E2521" i="33" s="1"/>
  <c r="F2521" i="33" s="1"/>
  <c r="AV58" i="32"/>
  <c r="AW58" i="32" s="1"/>
  <c r="AR58" i="32"/>
  <c r="AS58" i="32" s="1"/>
  <c r="AV57" i="32"/>
  <c r="AW57" i="32" s="1"/>
  <c r="AR57" i="32"/>
  <c r="AS57" i="32" s="1"/>
  <c r="L11990" i="25"/>
  <c r="H2503" i="33"/>
  <c r="D2503" i="33" s="1"/>
  <c r="E2503" i="33" s="1"/>
  <c r="F2503" i="33" s="1"/>
  <c r="H2502" i="33"/>
  <c r="D2502" i="33" s="1"/>
  <c r="E2502" i="33" s="1"/>
  <c r="F2502" i="33" s="1"/>
  <c r="H2501" i="33"/>
  <c r="D2501" i="33" s="1"/>
  <c r="E2501" i="33" s="1"/>
  <c r="F2501" i="33" s="1"/>
  <c r="H2500" i="33"/>
  <c r="D2500" i="33" s="1"/>
  <c r="E2500" i="33" s="1"/>
  <c r="F2500" i="33" s="1"/>
  <c r="H2499" i="33"/>
  <c r="D2499" i="33" s="1"/>
  <c r="E2499" i="33" s="1"/>
  <c r="F2499" i="33" s="1"/>
  <c r="H2498" i="33"/>
  <c r="D2498" i="33" s="1"/>
  <c r="E2498" i="33" s="1"/>
  <c r="F2498" i="33" s="1"/>
  <c r="H2497" i="33"/>
  <c r="D2497" i="33" s="1"/>
  <c r="E2497" i="33" s="1"/>
  <c r="F2497" i="33" s="1"/>
  <c r="H2496" i="33"/>
  <c r="D2496" i="33" s="1"/>
  <c r="E2496" i="33" s="1"/>
  <c r="F2496" i="33" s="1"/>
  <c r="H2495" i="33"/>
  <c r="D2495" i="33" s="1"/>
  <c r="E2495" i="33" s="1"/>
  <c r="F2495" i="33" s="1"/>
  <c r="H2494" i="33"/>
  <c r="D2494" i="33" s="1"/>
  <c r="E2494" i="33" s="1"/>
  <c r="F2494" i="33" s="1"/>
  <c r="H2493" i="33"/>
  <c r="D2493" i="33" s="1"/>
  <c r="E2493" i="33" s="1"/>
  <c r="F2493" i="33" s="1"/>
  <c r="H2492" i="33"/>
  <c r="D2492" i="33" s="1"/>
  <c r="E2492" i="33" s="1"/>
  <c r="F2492" i="33" s="1"/>
  <c r="H2491" i="33"/>
  <c r="D2491" i="33" s="1"/>
  <c r="E2491" i="33" s="1"/>
  <c r="F2491" i="33" s="1"/>
  <c r="H2490" i="33"/>
  <c r="D2490" i="33" s="1"/>
  <c r="E2490" i="33" s="1"/>
  <c r="F2490" i="33" s="1"/>
  <c r="H2489" i="33"/>
  <c r="D2489" i="33" s="1"/>
  <c r="E2489" i="33" s="1"/>
  <c r="F2489" i="33" s="1"/>
  <c r="H2488" i="33"/>
  <c r="D2488" i="33" s="1"/>
  <c r="E2488" i="33" s="1"/>
  <c r="F2488" i="33" s="1"/>
  <c r="H2487" i="33"/>
  <c r="D2487" i="33" s="1"/>
  <c r="E2487" i="33" s="1"/>
  <c r="F2487" i="33" s="1"/>
  <c r="H2486" i="33"/>
  <c r="D2486" i="33" s="1"/>
  <c r="E2486" i="33" s="1"/>
  <c r="F2486" i="33" s="1"/>
  <c r="H2485" i="33"/>
  <c r="D2485" i="33" s="1"/>
  <c r="E2485" i="33" s="1"/>
  <c r="F2485" i="33" s="1"/>
  <c r="H2484" i="33"/>
  <c r="D2484" i="33" s="1"/>
  <c r="E2484" i="33" s="1"/>
  <c r="F2484" i="33" s="1"/>
  <c r="H2483" i="33"/>
  <c r="D2483" i="33" s="1"/>
  <c r="E2483" i="33" s="1"/>
  <c r="F2483" i="33" s="1"/>
  <c r="H2482" i="33"/>
  <c r="D2482" i="33" s="1"/>
  <c r="E2482" i="33" s="1"/>
  <c r="F2482" i="33" s="1"/>
  <c r="H2481" i="33"/>
  <c r="D2481" i="33" s="1"/>
  <c r="E2481" i="33" s="1"/>
  <c r="F2481" i="33" s="1"/>
  <c r="H2480" i="33"/>
  <c r="D2480" i="33" s="1"/>
  <c r="E2480" i="33" s="1"/>
  <c r="F2480" i="33" s="1"/>
  <c r="H2479" i="33"/>
  <c r="D2479" i="33" s="1"/>
  <c r="E2479" i="33" s="1"/>
  <c r="F2479" i="33" s="1"/>
  <c r="H2478" i="33"/>
  <c r="D2478" i="33" s="1"/>
  <c r="E2478" i="33" s="1"/>
  <c r="F2478" i="33" s="1"/>
  <c r="H2477" i="33"/>
  <c r="D2477" i="33" s="1"/>
  <c r="E2477" i="33" s="1"/>
  <c r="F2477" i="33" s="1"/>
  <c r="H2476" i="33"/>
  <c r="D2476" i="33" s="1"/>
  <c r="E2476" i="33" s="1"/>
  <c r="F2476" i="33" s="1"/>
  <c r="H2475" i="33"/>
  <c r="D2475" i="33" s="1"/>
  <c r="E2475" i="33" s="1"/>
  <c r="F2475" i="33" s="1"/>
  <c r="I2474" i="33"/>
  <c r="H2474" i="33"/>
  <c r="D2474" i="33" s="1"/>
  <c r="E2474" i="33" s="1"/>
  <c r="F2474" i="33" s="1"/>
  <c r="H17293" i="25"/>
  <c r="H17292" i="25"/>
  <c r="H17291" i="25"/>
  <c r="H17290" i="25"/>
  <c r="H17289" i="25"/>
  <c r="H17288" i="25"/>
  <c r="H17287" i="25"/>
  <c r="H17286" i="25"/>
  <c r="H17285" i="25"/>
  <c r="H17284" i="25"/>
  <c r="H17283" i="25"/>
  <c r="H17282" i="25"/>
  <c r="H17281" i="25"/>
  <c r="H17280" i="25"/>
  <c r="H17279" i="25"/>
  <c r="H17278" i="25"/>
  <c r="H17277" i="25"/>
  <c r="H17276" i="25"/>
  <c r="H17275" i="25"/>
  <c r="H17274" i="25"/>
  <c r="H17273" i="25"/>
  <c r="H17271" i="25"/>
  <c r="H17270" i="25"/>
  <c r="H17269" i="25"/>
  <c r="H17267" i="25"/>
  <c r="H17266" i="25"/>
  <c r="H17265" i="25"/>
  <c r="H17264" i="25"/>
  <c r="E17262" i="25"/>
  <c r="H17237" i="25"/>
  <c r="H17236" i="25"/>
  <c r="H17235" i="25"/>
  <c r="H17234" i="25"/>
  <c r="H17233" i="25"/>
  <c r="H17232" i="25"/>
  <c r="H17231" i="25"/>
  <c r="H17230" i="25"/>
  <c r="H17229" i="25"/>
  <c r="H17228" i="25"/>
  <c r="H17227" i="25"/>
  <c r="H17226" i="25"/>
  <c r="H17225" i="25"/>
  <c r="H17224" i="25"/>
  <c r="H17223" i="25"/>
  <c r="H17222" i="25"/>
  <c r="H17221" i="25"/>
  <c r="H17220" i="25"/>
  <c r="H17219" i="25"/>
  <c r="H17218" i="25"/>
  <c r="H17217" i="25"/>
  <c r="H17216" i="25"/>
  <c r="H17215" i="25"/>
  <c r="H17214" i="25"/>
  <c r="H17213" i="25"/>
  <c r="H17212" i="25"/>
  <c r="H17211" i="25"/>
  <c r="H17210" i="25"/>
  <c r="H17209" i="25"/>
  <c r="H17208" i="25"/>
  <c r="E17206" i="25"/>
  <c r="H17171" i="25"/>
  <c r="I17171" i="25" s="1"/>
  <c r="H17170" i="25"/>
  <c r="I17170" i="25" s="1"/>
  <c r="H17169" i="25"/>
  <c r="I17169" i="25" s="1"/>
  <c r="H17168" i="25"/>
  <c r="I17168" i="25" s="1"/>
  <c r="H17167" i="25"/>
  <c r="I17167" i="25" s="1"/>
  <c r="H17166" i="25"/>
  <c r="I17166" i="25" s="1"/>
  <c r="H17165" i="25"/>
  <c r="I17165" i="25" s="1"/>
  <c r="H17164" i="25"/>
  <c r="I17164" i="25" s="1"/>
  <c r="H17163" i="25"/>
  <c r="I17163" i="25" s="1"/>
  <c r="H17162" i="25"/>
  <c r="I17162" i="25" s="1"/>
  <c r="H17161" i="25"/>
  <c r="I17161" i="25" s="1"/>
  <c r="H17160" i="25"/>
  <c r="I17160" i="25" s="1"/>
  <c r="H17159" i="25"/>
  <c r="I17159" i="25" s="1"/>
  <c r="H17158" i="25"/>
  <c r="I17158" i="25" s="1"/>
  <c r="H17157" i="25"/>
  <c r="I17157" i="25" s="1"/>
  <c r="H17156" i="25"/>
  <c r="I17156" i="25" s="1"/>
  <c r="H17155" i="25"/>
  <c r="I17155" i="25" s="1"/>
  <c r="H17154" i="25"/>
  <c r="I17154" i="25" s="1"/>
  <c r="H17153" i="25"/>
  <c r="I17153" i="25" s="1"/>
  <c r="H17152" i="25"/>
  <c r="I17152" i="25" s="1"/>
  <c r="H17151" i="25"/>
  <c r="I17151" i="25" s="1"/>
  <c r="H17150" i="25"/>
  <c r="I17150" i="25" s="1"/>
  <c r="H17149" i="25"/>
  <c r="I17149" i="25" s="1"/>
  <c r="H17148" i="25"/>
  <c r="I17148" i="25" s="1"/>
  <c r="H17147" i="25"/>
  <c r="I17147" i="25" s="1"/>
  <c r="H17146" i="25"/>
  <c r="I17146" i="25" s="1"/>
  <c r="H17145" i="25"/>
  <c r="I17145" i="25" s="1"/>
  <c r="H17144" i="25"/>
  <c r="I17144" i="25" s="1"/>
  <c r="H17143" i="25"/>
  <c r="I17143" i="25" s="1"/>
  <c r="H17142" i="25"/>
  <c r="I17142" i="25" s="1"/>
  <c r="E17140" i="25"/>
  <c r="AR532" i="29"/>
  <c r="AS532" i="29" s="1"/>
  <c r="AV532" i="29"/>
  <c r="AZ532" i="29" s="1"/>
  <c r="AV56" i="32"/>
  <c r="AW56" i="32" s="1"/>
  <c r="AR56" i="32"/>
  <c r="AS56" i="32" s="1"/>
  <c r="AG531" i="29"/>
  <c r="AR531" i="29"/>
  <c r="AS531" i="29" s="1"/>
  <c r="AV531" i="29"/>
  <c r="AW531" i="29" s="1"/>
  <c r="AV530" i="29"/>
  <c r="AW530" i="29" s="1"/>
  <c r="AG530" i="29"/>
  <c r="AR530" i="29"/>
  <c r="AS530" i="29" s="1"/>
  <c r="AG529" i="29"/>
  <c r="AR529" i="29"/>
  <c r="AS529" i="29" s="1"/>
  <c r="AV529" i="29"/>
  <c r="AW529" i="29" s="1"/>
  <c r="AN525" i="29"/>
  <c r="AN524" i="29"/>
  <c r="H2456" i="33"/>
  <c r="D2456" i="33" s="1"/>
  <c r="E2456" i="33" s="1"/>
  <c r="F2456" i="33" s="1"/>
  <c r="H2455" i="33"/>
  <c r="D2455" i="33" s="1"/>
  <c r="E2455" i="33" s="1"/>
  <c r="F2455" i="33" s="1"/>
  <c r="H2454" i="33"/>
  <c r="D2454" i="33" s="1"/>
  <c r="E2454" i="33" s="1"/>
  <c r="F2454" i="33" s="1"/>
  <c r="H2453" i="33"/>
  <c r="D2453" i="33" s="1"/>
  <c r="E2453" i="33" s="1"/>
  <c r="F2453" i="33" s="1"/>
  <c r="H2452" i="33"/>
  <c r="D2452" i="33" s="1"/>
  <c r="E2452" i="33" s="1"/>
  <c r="F2452" i="33" s="1"/>
  <c r="H2451" i="33"/>
  <c r="D2451" i="33" s="1"/>
  <c r="E2451" i="33" s="1"/>
  <c r="F2451" i="33" s="1"/>
  <c r="H2450" i="33"/>
  <c r="D2450" i="33" s="1"/>
  <c r="E2450" i="33" s="1"/>
  <c r="F2450" i="33" s="1"/>
  <c r="H2449" i="33"/>
  <c r="D2449" i="33" s="1"/>
  <c r="E2449" i="33" s="1"/>
  <c r="F2449" i="33" s="1"/>
  <c r="H2448" i="33"/>
  <c r="D2448" i="33" s="1"/>
  <c r="E2448" i="33" s="1"/>
  <c r="F2448" i="33" s="1"/>
  <c r="H2447" i="33"/>
  <c r="D2447" i="33" s="1"/>
  <c r="E2447" i="33" s="1"/>
  <c r="F2447" i="33" s="1"/>
  <c r="H2446" i="33"/>
  <c r="D2446" i="33" s="1"/>
  <c r="E2446" i="33" s="1"/>
  <c r="F2446" i="33" s="1"/>
  <c r="H2445" i="33"/>
  <c r="D2445" i="33" s="1"/>
  <c r="E2445" i="33" s="1"/>
  <c r="F2445" i="33" s="1"/>
  <c r="H2444" i="33"/>
  <c r="D2444" i="33" s="1"/>
  <c r="E2444" i="33" s="1"/>
  <c r="F2444" i="33" s="1"/>
  <c r="H2443" i="33"/>
  <c r="D2443" i="33" s="1"/>
  <c r="E2443" i="33" s="1"/>
  <c r="F2443" i="33" s="1"/>
  <c r="H2442" i="33"/>
  <c r="D2442" i="33" s="1"/>
  <c r="E2442" i="33" s="1"/>
  <c r="F2442" i="33" s="1"/>
  <c r="H2441" i="33"/>
  <c r="D2441" i="33" s="1"/>
  <c r="E2441" i="33" s="1"/>
  <c r="F2441" i="33" s="1"/>
  <c r="H2440" i="33"/>
  <c r="D2440" i="33" s="1"/>
  <c r="E2440" i="33" s="1"/>
  <c r="F2440" i="33" s="1"/>
  <c r="H2439" i="33"/>
  <c r="D2439" i="33" s="1"/>
  <c r="E2439" i="33" s="1"/>
  <c r="F2439" i="33" s="1"/>
  <c r="H2438" i="33"/>
  <c r="D2438" i="33" s="1"/>
  <c r="E2438" i="33" s="1"/>
  <c r="F2438" i="33" s="1"/>
  <c r="H2437" i="33"/>
  <c r="D2437" i="33" s="1"/>
  <c r="E2437" i="33" s="1"/>
  <c r="F2437" i="33" s="1"/>
  <c r="H2436" i="33"/>
  <c r="D2436" i="33" s="1"/>
  <c r="E2436" i="33" s="1"/>
  <c r="F2436" i="33" s="1"/>
  <c r="H2435" i="33"/>
  <c r="D2435" i="33" s="1"/>
  <c r="E2435" i="33" s="1"/>
  <c r="F2435" i="33" s="1"/>
  <c r="H2434" i="33"/>
  <c r="D2434" i="33" s="1"/>
  <c r="E2434" i="33" s="1"/>
  <c r="F2434" i="33" s="1"/>
  <c r="H2433" i="33"/>
  <c r="D2433" i="33" s="1"/>
  <c r="E2433" i="33" s="1"/>
  <c r="F2433" i="33" s="1"/>
  <c r="H2432" i="33"/>
  <c r="D2432" i="33" s="1"/>
  <c r="E2432" i="33" s="1"/>
  <c r="F2432" i="33" s="1"/>
  <c r="H2431" i="33"/>
  <c r="D2431" i="33" s="1"/>
  <c r="E2431" i="33" s="1"/>
  <c r="F2431" i="33" s="1"/>
  <c r="H2430" i="33"/>
  <c r="D2430" i="33" s="1"/>
  <c r="E2430" i="33" s="1"/>
  <c r="F2430" i="33" s="1"/>
  <c r="H2429" i="33"/>
  <c r="D2429" i="33" s="1"/>
  <c r="E2429" i="33" s="1"/>
  <c r="F2429" i="33" s="1"/>
  <c r="H2428" i="33"/>
  <c r="D2428" i="33" s="1"/>
  <c r="E2428" i="33" s="1"/>
  <c r="F2428" i="33" s="1"/>
  <c r="I2427" i="33"/>
  <c r="H2427" i="33"/>
  <c r="D2427" i="33" s="1"/>
  <c r="E2427" i="33" s="1"/>
  <c r="F2427" i="33" s="1"/>
  <c r="H17100" i="25"/>
  <c r="H17099" i="25"/>
  <c r="H17098" i="25"/>
  <c r="H17097" i="25"/>
  <c r="H17096" i="25"/>
  <c r="H17095" i="25"/>
  <c r="H17094" i="25"/>
  <c r="H17093" i="25"/>
  <c r="H17092" i="25"/>
  <c r="H17091" i="25"/>
  <c r="H17090" i="25"/>
  <c r="H17089" i="25"/>
  <c r="H17088" i="25"/>
  <c r="H17087" i="25"/>
  <c r="H17086" i="25"/>
  <c r="H17085" i="25"/>
  <c r="H17084" i="25"/>
  <c r="H17083" i="25"/>
  <c r="H17082" i="25"/>
  <c r="H17081" i="25"/>
  <c r="H17080" i="25"/>
  <c r="H17079" i="25"/>
  <c r="H17078" i="25"/>
  <c r="H17077" i="25"/>
  <c r="H17076" i="25"/>
  <c r="H17075" i="25"/>
  <c r="H17074" i="25"/>
  <c r="H17073" i="25"/>
  <c r="H17072" i="25"/>
  <c r="H17071" i="25"/>
  <c r="E17069" i="25"/>
  <c r="H2409" i="33"/>
  <c r="D2409" i="33" s="1"/>
  <c r="E2409" i="33" s="1"/>
  <c r="F2409" i="33" s="1"/>
  <c r="H2408" i="33"/>
  <c r="D2408" i="33" s="1"/>
  <c r="E2408" i="33" s="1"/>
  <c r="F2408" i="33" s="1"/>
  <c r="H2407" i="33"/>
  <c r="D2407" i="33" s="1"/>
  <c r="E2407" i="33" s="1"/>
  <c r="F2407" i="33" s="1"/>
  <c r="H2406" i="33"/>
  <c r="D2406" i="33" s="1"/>
  <c r="E2406" i="33" s="1"/>
  <c r="F2406" i="33" s="1"/>
  <c r="H2405" i="33"/>
  <c r="D2405" i="33" s="1"/>
  <c r="E2405" i="33" s="1"/>
  <c r="F2405" i="33" s="1"/>
  <c r="H2404" i="33"/>
  <c r="D2404" i="33" s="1"/>
  <c r="E2404" i="33" s="1"/>
  <c r="F2404" i="33" s="1"/>
  <c r="H2403" i="33"/>
  <c r="D2403" i="33" s="1"/>
  <c r="E2403" i="33" s="1"/>
  <c r="F2403" i="33" s="1"/>
  <c r="H2402" i="33"/>
  <c r="D2402" i="33" s="1"/>
  <c r="E2402" i="33" s="1"/>
  <c r="F2402" i="33" s="1"/>
  <c r="H2401" i="33"/>
  <c r="D2401" i="33" s="1"/>
  <c r="E2401" i="33" s="1"/>
  <c r="F2401" i="33" s="1"/>
  <c r="H2400" i="33"/>
  <c r="D2400" i="33" s="1"/>
  <c r="E2400" i="33" s="1"/>
  <c r="F2400" i="33" s="1"/>
  <c r="H2399" i="33"/>
  <c r="D2399" i="33" s="1"/>
  <c r="E2399" i="33" s="1"/>
  <c r="F2399" i="33" s="1"/>
  <c r="H2398" i="33"/>
  <c r="D2398" i="33" s="1"/>
  <c r="E2398" i="33" s="1"/>
  <c r="F2398" i="33" s="1"/>
  <c r="H2397" i="33"/>
  <c r="D2397" i="33" s="1"/>
  <c r="E2397" i="33" s="1"/>
  <c r="F2397" i="33" s="1"/>
  <c r="H2396" i="33"/>
  <c r="D2396" i="33" s="1"/>
  <c r="E2396" i="33" s="1"/>
  <c r="F2396" i="33" s="1"/>
  <c r="H2395" i="33"/>
  <c r="D2395" i="33" s="1"/>
  <c r="E2395" i="33" s="1"/>
  <c r="F2395" i="33" s="1"/>
  <c r="H2394" i="33"/>
  <c r="D2394" i="33" s="1"/>
  <c r="E2394" i="33" s="1"/>
  <c r="F2394" i="33" s="1"/>
  <c r="H2393" i="33"/>
  <c r="D2393" i="33" s="1"/>
  <c r="E2393" i="33" s="1"/>
  <c r="F2393" i="33" s="1"/>
  <c r="H2392" i="33"/>
  <c r="D2392" i="33" s="1"/>
  <c r="E2392" i="33" s="1"/>
  <c r="F2392" i="33" s="1"/>
  <c r="H2391" i="33"/>
  <c r="D2391" i="33" s="1"/>
  <c r="E2391" i="33" s="1"/>
  <c r="F2391" i="33" s="1"/>
  <c r="H2390" i="33"/>
  <c r="D2390" i="33" s="1"/>
  <c r="E2390" i="33" s="1"/>
  <c r="F2390" i="33" s="1"/>
  <c r="H2389" i="33"/>
  <c r="D2389" i="33" s="1"/>
  <c r="E2389" i="33" s="1"/>
  <c r="F2389" i="33" s="1"/>
  <c r="H2388" i="33"/>
  <c r="D2388" i="33" s="1"/>
  <c r="E2388" i="33" s="1"/>
  <c r="F2388" i="33" s="1"/>
  <c r="H2387" i="33"/>
  <c r="D2387" i="33" s="1"/>
  <c r="E2387" i="33" s="1"/>
  <c r="F2387" i="33" s="1"/>
  <c r="H2386" i="33"/>
  <c r="D2386" i="33" s="1"/>
  <c r="E2386" i="33" s="1"/>
  <c r="F2386" i="33" s="1"/>
  <c r="H2385" i="33"/>
  <c r="D2385" i="33" s="1"/>
  <c r="E2385" i="33" s="1"/>
  <c r="F2385" i="33" s="1"/>
  <c r="H2384" i="33"/>
  <c r="D2384" i="33" s="1"/>
  <c r="E2384" i="33" s="1"/>
  <c r="F2384" i="33" s="1"/>
  <c r="H2383" i="33"/>
  <c r="D2383" i="33" s="1"/>
  <c r="E2383" i="33" s="1"/>
  <c r="F2383" i="33" s="1"/>
  <c r="H2382" i="33"/>
  <c r="D2382" i="33" s="1"/>
  <c r="E2382" i="33" s="1"/>
  <c r="F2382" i="33" s="1"/>
  <c r="H2381" i="33"/>
  <c r="D2381" i="33" s="1"/>
  <c r="E2381" i="33" s="1"/>
  <c r="F2381" i="33" s="1"/>
  <c r="I2380" i="33"/>
  <c r="H2380" i="33"/>
  <c r="D2380" i="33" s="1"/>
  <c r="E2380" i="33" s="1"/>
  <c r="F2380" i="33" s="1"/>
  <c r="AV55" i="32"/>
  <c r="AW55" i="32" s="1"/>
  <c r="AR55" i="32"/>
  <c r="AS55" i="32" s="1"/>
  <c r="AV528" i="29"/>
  <c r="AZ528" i="29" s="1"/>
  <c r="AR528" i="29"/>
  <c r="AS528" i="29" s="1"/>
  <c r="AG528" i="29"/>
  <c r="AV527" i="29"/>
  <c r="AZ527" i="29" s="1"/>
  <c r="AS527" i="29"/>
  <c r="AG526" i="29"/>
  <c r="AR526" i="29"/>
  <c r="AS526" i="29" s="1"/>
  <c r="AV526" i="29"/>
  <c r="AZ526" i="29" s="1"/>
  <c r="AO2" i="29"/>
  <c r="AR525" i="29"/>
  <c r="AS525" i="29" s="1"/>
  <c r="AV525" i="29"/>
  <c r="AZ525" i="29" s="1"/>
  <c r="AR523" i="29"/>
  <c r="AS523" i="29" s="1"/>
  <c r="AG524" i="29"/>
  <c r="AR524" i="29"/>
  <c r="AS524" i="29" s="1"/>
  <c r="AV524" i="29"/>
  <c r="AW524" i="29" s="1"/>
  <c r="AV54" i="32"/>
  <c r="AZ54" i="32" s="1"/>
  <c r="AR54" i="32"/>
  <c r="AS54" i="32" s="1"/>
  <c r="H17045" i="25"/>
  <c r="D17045" i="25" s="1"/>
  <c r="E17045" i="25" s="1"/>
  <c r="F17045" i="25" s="1"/>
  <c r="H17043" i="25"/>
  <c r="D17043" i="25" s="1"/>
  <c r="E17043" i="25" s="1"/>
  <c r="F17043" i="25" s="1"/>
  <c r="H17042" i="25"/>
  <c r="D17042" i="25" s="1"/>
  <c r="E17042" i="25" s="1"/>
  <c r="F17042" i="25" s="1"/>
  <c r="H17041" i="25"/>
  <c r="D17041" i="25" s="1"/>
  <c r="E17041" i="25" s="1"/>
  <c r="F17041" i="25" s="1"/>
  <c r="H17040" i="25"/>
  <c r="D17040" i="25" s="1"/>
  <c r="E17040" i="25" s="1"/>
  <c r="F17040" i="25" s="1"/>
  <c r="H17039" i="25"/>
  <c r="D17039" i="25" s="1"/>
  <c r="E17039" i="25" s="1"/>
  <c r="F17039" i="25" s="1"/>
  <c r="H17038" i="25"/>
  <c r="D17038" i="25" s="1"/>
  <c r="E17038" i="25" s="1"/>
  <c r="F17038" i="25" s="1"/>
  <c r="H17037" i="25"/>
  <c r="D17037" i="25" s="1"/>
  <c r="E17037" i="25" s="1"/>
  <c r="F17037" i="25" s="1"/>
  <c r="H17036" i="25"/>
  <c r="D17036" i="25" s="1"/>
  <c r="E17036" i="25" s="1"/>
  <c r="F17036" i="25" s="1"/>
  <c r="H17035" i="25"/>
  <c r="D17035" i="25" s="1"/>
  <c r="E17035" i="25" s="1"/>
  <c r="F17035" i="25" s="1"/>
  <c r="H17034" i="25"/>
  <c r="D17034" i="25" s="1"/>
  <c r="E17034" i="25" s="1"/>
  <c r="F17034" i="25" s="1"/>
  <c r="H17033" i="25"/>
  <c r="D17033" i="25" s="1"/>
  <c r="E17033" i="25" s="1"/>
  <c r="F17033" i="25" s="1"/>
  <c r="H17032" i="25"/>
  <c r="D17032" i="25" s="1"/>
  <c r="E17032" i="25" s="1"/>
  <c r="F17032" i="25" s="1"/>
  <c r="H17031" i="25"/>
  <c r="H17030" i="25"/>
  <c r="D17030" i="25" s="1"/>
  <c r="E17030" i="25" s="1"/>
  <c r="F17030" i="25" s="1"/>
  <c r="H17029" i="25"/>
  <c r="D17029" i="25" s="1"/>
  <c r="E17029" i="25" s="1"/>
  <c r="F17029" i="25" s="1"/>
  <c r="H17028" i="25"/>
  <c r="D17028" i="25" s="1"/>
  <c r="E17028" i="25" s="1"/>
  <c r="F17028" i="25" s="1"/>
  <c r="H17027" i="25"/>
  <c r="D17027" i="25" s="1"/>
  <c r="E17027" i="25" s="1"/>
  <c r="F17027" i="25" s="1"/>
  <c r="H17026" i="25"/>
  <c r="D17026" i="25" s="1"/>
  <c r="E17026" i="25" s="1"/>
  <c r="F17026" i="25" s="1"/>
  <c r="H17025" i="25"/>
  <c r="D17025" i="25" s="1"/>
  <c r="E17025" i="25" s="1"/>
  <c r="F17025" i="25" s="1"/>
  <c r="H17024" i="25"/>
  <c r="D17024" i="25" s="1"/>
  <c r="E17024" i="25" s="1"/>
  <c r="F17024" i="25" s="1"/>
  <c r="H17023" i="25"/>
  <c r="D17023" i="25" s="1"/>
  <c r="E17023" i="25" s="1"/>
  <c r="F17023" i="25" s="1"/>
  <c r="H17022" i="25"/>
  <c r="D17022" i="25" s="1"/>
  <c r="E17022" i="25" s="1"/>
  <c r="F17022" i="25" s="1"/>
  <c r="H17021" i="25"/>
  <c r="D17021" i="25" s="1"/>
  <c r="E17021" i="25" s="1"/>
  <c r="F17021" i="25" s="1"/>
  <c r="H17020" i="25"/>
  <c r="H17019" i="25"/>
  <c r="D17019" i="25" s="1"/>
  <c r="E17019" i="25" s="1"/>
  <c r="F17019" i="25" s="1"/>
  <c r="H17018" i="25"/>
  <c r="D17018" i="25" s="1"/>
  <c r="E17018" i="25" s="1"/>
  <c r="F17018" i="25" s="1"/>
  <c r="H17017" i="25"/>
  <c r="D17017" i="25" s="1"/>
  <c r="E17017" i="25" s="1"/>
  <c r="F17017" i="25" s="1"/>
  <c r="H17016" i="25"/>
  <c r="D17016" i="25" s="1"/>
  <c r="E17016" i="25" s="1"/>
  <c r="F17016" i="25" s="1"/>
  <c r="E17014" i="25"/>
  <c r="H16989" i="25"/>
  <c r="D16989" i="25" s="1"/>
  <c r="E16989" i="25" s="1"/>
  <c r="F16989" i="25" s="1"/>
  <c r="H16988" i="25"/>
  <c r="D16988" i="25" s="1"/>
  <c r="E16988" i="25" s="1"/>
  <c r="F16988" i="25" s="1"/>
  <c r="H16987" i="25"/>
  <c r="D16987" i="25" s="1"/>
  <c r="E16987" i="25" s="1"/>
  <c r="F16987" i="25" s="1"/>
  <c r="H16986" i="25"/>
  <c r="D16986" i="25" s="1"/>
  <c r="E16986" i="25" s="1"/>
  <c r="F16986" i="25" s="1"/>
  <c r="H16985" i="25"/>
  <c r="D16985" i="25" s="1"/>
  <c r="E16985" i="25" s="1"/>
  <c r="F16985" i="25" s="1"/>
  <c r="H16984" i="25"/>
  <c r="D16984" i="25" s="1"/>
  <c r="E16984" i="25" s="1"/>
  <c r="F16984" i="25" s="1"/>
  <c r="H16983" i="25"/>
  <c r="D16983" i="25" s="1"/>
  <c r="E16983" i="25" s="1"/>
  <c r="F16983" i="25" s="1"/>
  <c r="H16982" i="25"/>
  <c r="D16982" i="25" s="1"/>
  <c r="E16982" i="25" s="1"/>
  <c r="F16982" i="25" s="1"/>
  <c r="H16981" i="25"/>
  <c r="D16981" i="25" s="1"/>
  <c r="E16981" i="25" s="1"/>
  <c r="F16981" i="25" s="1"/>
  <c r="H16980" i="25"/>
  <c r="D16980" i="25" s="1"/>
  <c r="E16980" i="25" s="1"/>
  <c r="F16980" i="25" s="1"/>
  <c r="H16979" i="25"/>
  <c r="D16979" i="25" s="1"/>
  <c r="E16979" i="25" s="1"/>
  <c r="F16979" i="25" s="1"/>
  <c r="H16978" i="25"/>
  <c r="D16978" i="25" s="1"/>
  <c r="E16978" i="25" s="1"/>
  <c r="F16978" i="25" s="1"/>
  <c r="H16977" i="25"/>
  <c r="D16977" i="25" s="1"/>
  <c r="E16977" i="25" s="1"/>
  <c r="F16977" i="25" s="1"/>
  <c r="H16976" i="25"/>
  <c r="D16976" i="25" s="1"/>
  <c r="E16976" i="25" s="1"/>
  <c r="F16976" i="25" s="1"/>
  <c r="H16975" i="25"/>
  <c r="D16975" i="25" s="1"/>
  <c r="E16975" i="25" s="1"/>
  <c r="F16975" i="25" s="1"/>
  <c r="H16974" i="25"/>
  <c r="D16974" i="25" s="1"/>
  <c r="E16974" i="25" s="1"/>
  <c r="F16974" i="25" s="1"/>
  <c r="H16973" i="25"/>
  <c r="D16973" i="25" s="1"/>
  <c r="E16973" i="25" s="1"/>
  <c r="F16973" i="25" s="1"/>
  <c r="H16972" i="25"/>
  <c r="D16972" i="25" s="1"/>
  <c r="E16972" i="25" s="1"/>
  <c r="F16972" i="25" s="1"/>
  <c r="H16971" i="25"/>
  <c r="D16971" i="25" s="1"/>
  <c r="E16971" i="25" s="1"/>
  <c r="F16971" i="25" s="1"/>
  <c r="H16970" i="25"/>
  <c r="D16970" i="25" s="1"/>
  <c r="E16970" i="25" s="1"/>
  <c r="F16970" i="25" s="1"/>
  <c r="H16969" i="25"/>
  <c r="D16969" i="25" s="1"/>
  <c r="E16969" i="25" s="1"/>
  <c r="F16969" i="25" s="1"/>
  <c r="H16968" i="25"/>
  <c r="H16967" i="25"/>
  <c r="D16967" i="25" s="1"/>
  <c r="E16967" i="25" s="1"/>
  <c r="F16967" i="25" s="1"/>
  <c r="H16966" i="25"/>
  <c r="D16966" i="25" s="1"/>
  <c r="E16966" i="25" s="1"/>
  <c r="F16966" i="25" s="1"/>
  <c r="H16965" i="25"/>
  <c r="D16965" i="25" s="1"/>
  <c r="E16965" i="25" s="1"/>
  <c r="F16965" i="25" s="1"/>
  <c r="H16964" i="25"/>
  <c r="D16964" i="25" s="1"/>
  <c r="E16964" i="25" s="1"/>
  <c r="F16964" i="25" s="1"/>
  <c r="H16963" i="25"/>
  <c r="D16963" i="25" s="1"/>
  <c r="E16963" i="25" s="1"/>
  <c r="F16963" i="25" s="1"/>
  <c r="H16962" i="25"/>
  <c r="D16962" i="25" s="1"/>
  <c r="E16962" i="25" s="1"/>
  <c r="F16962" i="25" s="1"/>
  <c r="H16961" i="25"/>
  <c r="D16961" i="25" s="1"/>
  <c r="E16961" i="25" s="1"/>
  <c r="F16961" i="25" s="1"/>
  <c r="H16960" i="25"/>
  <c r="D16960" i="25" s="1"/>
  <c r="E16960" i="25" s="1"/>
  <c r="F16960" i="25" s="1"/>
  <c r="E16958" i="25"/>
  <c r="H16933" i="25"/>
  <c r="H16932" i="25"/>
  <c r="H16931" i="25"/>
  <c r="H16930" i="25"/>
  <c r="H16929" i="25"/>
  <c r="H16928" i="25"/>
  <c r="H16927" i="25"/>
  <c r="H16926" i="25"/>
  <c r="H16925" i="25"/>
  <c r="H16924" i="25"/>
  <c r="H16923" i="25"/>
  <c r="H16922" i="25"/>
  <c r="H16921" i="25"/>
  <c r="H16920" i="25"/>
  <c r="H16919" i="25"/>
  <c r="H16918" i="25"/>
  <c r="H16917" i="25"/>
  <c r="H16916" i="25"/>
  <c r="H16915" i="25"/>
  <c r="H16914" i="25"/>
  <c r="H16913" i="25"/>
  <c r="H16912" i="25"/>
  <c r="H16911" i="25"/>
  <c r="H16910" i="25"/>
  <c r="H16909" i="25"/>
  <c r="H16908" i="25"/>
  <c r="H16907" i="25"/>
  <c r="H16906" i="25"/>
  <c r="H16905" i="25"/>
  <c r="H16904" i="25"/>
  <c r="E16902" i="25"/>
  <c r="AN521" i="29"/>
  <c r="AG523" i="29"/>
  <c r="AV523" i="29"/>
  <c r="AZ523" i="29" s="1"/>
  <c r="AF53" i="32"/>
  <c r="AR53" i="32"/>
  <c r="AS53" i="32" s="1"/>
  <c r="AV53" i="32"/>
  <c r="AZ53" i="32" s="1"/>
  <c r="H16834" i="25"/>
  <c r="D16834" i="25" s="1"/>
  <c r="E16834" i="25" s="1"/>
  <c r="F16834" i="25" s="1"/>
  <c r="H16833" i="25"/>
  <c r="D16833" i="25" s="1"/>
  <c r="E16833" i="25" s="1"/>
  <c r="F16833" i="25" s="1"/>
  <c r="H16832" i="25"/>
  <c r="D16832" i="25" s="1"/>
  <c r="E16832" i="25" s="1"/>
  <c r="F16832" i="25" s="1"/>
  <c r="H16831" i="25"/>
  <c r="D16831" i="25" s="1"/>
  <c r="E16831" i="25" s="1"/>
  <c r="F16831" i="25" s="1"/>
  <c r="H16830" i="25"/>
  <c r="D16830" i="25" s="1"/>
  <c r="E16830" i="25" s="1"/>
  <c r="F16830" i="25" s="1"/>
  <c r="H16829" i="25"/>
  <c r="D16829" i="25" s="1"/>
  <c r="E16829" i="25" s="1"/>
  <c r="F16829" i="25" s="1"/>
  <c r="H16828" i="25"/>
  <c r="D16828" i="25" s="1"/>
  <c r="E16828" i="25" s="1"/>
  <c r="F16828" i="25" s="1"/>
  <c r="H16827" i="25"/>
  <c r="D16827" i="25" s="1"/>
  <c r="E16827" i="25" s="1"/>
  <c r="F16827" i="25" s="1"/>
  <c r="H16826" i="25"/>
  <c r="D16826" i="25" s="1"/>
  <c r="E16826" i="25" s="1"/>
  <c r="F16826" i="25" s="1"/>
  <c r="H16825" i="25"/>
  <c r="D16825" i="25" s="1"/>
  <c r="E16825" i="25" s="1"/>
  <c r="F16825" i="25" s="1"/>
  <c r="H16824" i="25"/>
  <c r="D16824" i="25" s="1"/>
  <c r="E16824" i="25" s="1"/>
  <c r="F16824" i="25" s="1"/>
  <c r="H16823" i="25"/>
  <c r="D16823" i="25" s="1"/>
  <c r="E16823" i="25" s="1"/>
  <c r="F16823" i="25" s="1"/>
  <c r="H16822" i="25"/>
  <c r="D16822" i="25" s="1"/>
  <c r="E16822" i="25" s="1"/>
  <c r="F16822" i="25" s="1"/>
  <c r="H16821" i="25"/>
  <c r="D16821" i="25" s="1"/>
  <c r="E16821" i="25" s="1"/>
  <c r="F16821" i="25" s="1"/>
  <c r="H16820" i="25"/>
  <c r="D16820" i="25" s="1"/>
  <c r="E16820" i="25" s="1"/>
  <c r="F16820" i="25" s="1"/>
  <c r="H16819" i="25"/>
  <c r="D16819" i="25" s="1"/>
  <c r="E16819" i="25" s="1"/>
  <c r="F16819" i="25" s="1"/>
  <c r="H16818" i="25"/>
  <c r="D16818" i="25" s="1"/>
  <c r="E16818" i="25" s="1"/>
  <c r="F16818" i="25" s="1"/>
  <c r="H16817" i="25"/>
  <c r="D16817" i="25" s="1"/>
  <c r="E16817" i="25" s="1"/>
  <c r="F16817" i="25" s="1"/>
  <c r="H16816" i="25"/>
  <c r="D16816" i="25" s="1"/>
  <c r="E16816" i="25" s="1"/>
  <c r="F16816" i="25" s="1"/>
  <c r="H16815" i="25"/>
  <c r="D16815" i="25" s="1"/>
  <c r="E16815" i="25" s="1"/>
  <c r="F16815" i="25" s="1"/>
  <c r="H16814" i="25"/>
  <c r="D16814" i="25" s="1"/>
  <c r="E16814" i="25" s="1"/>
  <c r="F16814" i="25" s="1"/>
  <c r="H16813" i="25"/>
  <c r="D16813" i="25" s="1"/>
  <c r="E16813" i="25" s="1"/>
  <c r="F16813" i="25" s="1"/>
  <c r="H16812" i="25"/>
  <c r="D16812" i="25" s="1"/>
  <c r="E16812" i="25" s="1"/>
  <c r="F16812" i="25" s="1"/>
  <c r="H16811" i="25"/>
  <c r="H16810" i="25"/>
  <c r="D16810" i="25" s="1"/>
  <c r="E16810" i="25" s="1"/>
  <c r="F16810" i="25" s="1"/>
  <c r="H16809" i="25"/>
  <c r="D16809" i="25" s="1"/>
  <c r="E16809" i="25" s="1"/>
  <c r="F16809" i="25" s="1"/>
  <c r="H16808" i="25"/>
  <c r="D16808" i="25" s="1"/>
  <c r="E16808" i="25" s="1"/>
  <c r="F16808" i="25" s="1"/>
  <c r="H16807" i="25"/>
  <c r="D16807" i="25" s="1"/>
  <c r="E16807" i="25" s="1"/>
  <c r="F16807" i="25" s="1"/>
  <c r="H16806" i="25"/>
  <c r="D16806" i="25" s="1"/>
  <c r="E16806" i="25" s="1"/>
  <c r="F16806" i="25" s="1"/>
  <c r="H16805" i="25"/>
  <c r="D16805" i="25" s="1"/>
  <c r="E16805" i="25" s="1"/>
  <c r="F16805" i="25" s="1"/>
  <c r="E16803" i="25"/>
  <c r="AQ517" i="29"/>
  <c r="H16768" i="25"/>
  <c r="I16768" i="25" s="1"/>
  <c r="H16767" i="25"/>
  <c r="I16767" i="25" s="1"/>
  <c r="H16766" i="25"/>
  <c r="I16766" i="25" s="1"/>
  <c r="H16765" i="25"/>
  <c r="I16765" i="25" s="1"/>
  <c r="H16764" i="25"/>
  <c r="I16764" i="25" s="1"/>
  <c r="H16763" i="25"/>
  <c r="I16763" i="25" s="1"/>
  <c r="H16762" i="25"/>
  <c r="I16762" i="25" s="1"/>
  <c r="H16761" i="25"/>
  <c r="I16761" i="25" s="1"/>
  <c r="H16760" i="25"/>
  <c r="I16760" i="25" s="1"/>
  <c r="H16759" i="25"/>
  <c r="I16759" i="25" s="1"/>
  <c r="H16758" i="25"/>
  <c r="I16758" i="25" s="1"/>
  <c r="H16757" i="25"/>
  <c r="I16757" i="25" s="1"/>
  <c r="H16756" i="25"/>
  <c r="I16756" i="25" s="1"/>
  <c r="H16755" i="25"/>
  <c r="I16755" i="25" s="1"/>
  <c r="H16754" i="25"/>
  <c r="I16754" i="25" s="1"/>
  <c r="H16753" i="25"/>
  <c r="I16753" i="25" s="1"/>
  <c r="H16752" i="25"/>
  <c r="I16752" i="25" s="1"/>
  <c r="H16751" i="25"/>
  <c r="I16751" i="25" s="1"/>
  <c r="H16750" i="25"/>
  <c r="I16750" i="25" s="1"/>
  <c r="H16749" i="25"/>
  <c r="I16749" i="25" s="1"/>
  <c r="H16748" i="25"/>
  <c r="I16748" i="25" s="1"/>
  <c r="H16747" i="25"/>
  <c r="I16747" i="25" s="1"/>
  <c r="H16746" i="25"/>
  <c r="I16746" i="25" s="1"/>
  <c r="I16745" i="25"/>
  <c r="H16744" i="25"/>
  <c r="I16744" i="25" s="1"/>
  <c r="H16743" i="25"/>
  <c r="I16743" i="25" s="1"/>
  <c r="H16742" i="25"/>
  <c r="I16742" i="25" s="1"/>
  <c r="H16741" i="25"/>
  <c r="I16741" i="25" s="1"/>
  <c r="H16740" i="25"/>
  <c r="I16740" i="25" s="1"/>
  <c r="H16739" i="25"/>
  <c r="I16739" i="25" s="1"/>
  <c r="E16737" i="25"/>
  <c r="AG522" i="29"/>
  <c r="AR522" i="29"/>
  <c r="AS522" i="29" s="1"/>
  <c r="AV522" i="29"/>
  <c r="AZ522" i="29" s="1"/>
  <c r="AG521" i="29"/>
  <c r="AR521" i="29"/>
  <c r="AS521" i="29" s="1"/>
  <c r="AV521" i="29"/>
  <c r="AW521" i="29" s="1"/>
  <c r="AV520" i="29"/>
  <c r="AW520" i="29" s="1"/>
  <c r="AG520" i="29"/>
  <c r="AR520" i="29"/>
  <c r="AS520" i="29" s="1"/>
  <c r="AV519" i="29"/>
  <c r="AW519" i="29" s="1"/>
  <c r="AG519" i="29"/>
  <c r="AR519" i="29"/>
  <c r="AS519" i="29" s="1"/>
  <c r="AG518" i="29"/>
  <c r="AR518" i="29"/>
  <c r="AS518" i="29" s="1"/>
  <c r="AV518" i="29"/>
  <c r="AW518" i="29" s="1"/>
  <c r="AV517" i="29"/>
  <c r="AZ517" i="29" s="1"/>
  <c r="AG517" i="29"/>
  <c r="AR517" i="29"/>
  <c r="AS517" i="29" s="1"/>
  <c r="AV45" i="32"/>
  <c r="AZ45" i="32" s="1"/>
  <c r="AR45" i="32"/>
  <c r="AS45" i="32" s="1"/>
  <c r="AF45" i="32"/>
  <c r="AZ44" i="32"/>
  <c r="AR44" i="32"/>
  <c r="AS44" i="32" s="1"/>
  <c r="F16676" i="25"/>
  <c r="F16674" i="25"/>
  <c r="AG516" i="29"/>
  <c r="AR516" i="29"/>
  <c r="AS516" i="29" s="1"/>
  <c r="AV516" i="29"/>
  <c r="AW516" i="29" s="1"/>
  <c r="L11659" i="25"/>
  <c r="AG515" i="29"/>
  <c r="AR515" i="29"/>
  <c r="AS515" i="29" s="1"/>
  <c r="AV515" i="29"/>
  <c r="AZ515" i="29" s="1"/>
  <c r="AV514" i="29"/>
  <c r="AW514" i="29" s="1"/>
  <c r="AR514" i="29"/>
  <c r="AS514" i="29" s="1"/>
  <c r="AG514" i="29"/>
  <c r="H2127" i="33"/>
  <c r="D2127" i="33" s="1"/>
  <c r="E2127" i="33" s="1"/>
  <c r="F2127" i="33" s="1"/>
  <c r="H2126" i="33"/>
  <c r="D2126" i="33" s="1"/>
  <c r="E2126" i="33" s="1"/>
  <c r="F2126" i="33" s="1"/>
  <c r="H2125" i="33"/>
  <c r="D2125" i="33" s="1"/>
  <c r="E2125" i="33" s="1"/>
  <c r="F2125" i="33" s="1"/>
  <c r="H2124" i="33"/>
  <c r="D2124" i="33" s="1"/>
  <c r="E2124" i="33" s="1"/>
  <c r="F2124" i="33" s="1"/>
  <c r="H2123" i="33"/>
  <c r="D2123" i="33" s="1"/>
  <c r="E2123" i="33" s="1"/>
  <c r="F2123" i="33" s="1"/>
  <c r="H2122" i="33"/>
  <c r="D2122" i="33" s="1"/>
  <c r="E2122" i="33" s="1"/>
  <c r="F2122" i="33" s="1"/>
  <c r="H2121" i="33"/>
  <c r="D2121" i="33" s="1"/>
  <c r="E2121" i="33" s="1"/>
  <c r="F2121" i="33" s="1"/>
  <c r="H2120" i="33"/>
  <c r="D2120" i="33" s="1"/>
  <c r="E2120" i="33" s="1"/>
  <c r="F2120" i="33" s="1"/>
  <c r="H2119" i="33"/>
  <c r="D2119" i="33" s="1"/>
  <c r="E2119" i="33" s="1"/>
  <c r="F2119" i="33" s="1"/>
  <c r="H2118" i="33"/>
  <c r="D2118" i="33" s="1"/>
  <c r="E2118" i="33" s="1"/>
  <c r="F2118" i="33" s="1"/>
  <c r="H2117" i="33"/>
  <c r="D2117" i="33" s="1"/>
  <c r="E2117" i="33" s="1"/>
  <c r="F2117" i="33" s="1"/>
  <c r="H2116" i="33"/>
  <c r="D2116" i="33" s="1"/>
  <c r="E2116" i="33" s="1"/>
  <c r="F2116" i="33" s="1"/>
  <c r="H2115" i="33"/>
  <c r="D2115" i="33" s="1"/>
  <c r="E2115" i="33" s="1"/>
  <c r="F2115" i="33" s="1"/>
  <c r="H2114" i="33"/>
  <c r="D2114" i="33" s="1"/>
  <c r="E2114" i="33" s="1"/>
  <c r="F2114" i="33" s="1"/>
  <c r="H2113" i="33"/>
  <c r="D2113" i="33" s="1"/>
  <c r="E2113" i="33" s="1"/>
  <c r="F2113" i="33" s="1"/>
  <c r="H2112" i="33"/>
  <c r="D2112" i="33" s="1"/>
  <c r="E2112" i="33" s="1"/>
  <c r="F2112" i="33" s="1"/>
  <c r="H2111" i="33"/>
  <c r="D2111" i="33" s="1"/>
  <c r="E2111" i="33" s="1"/>
  <c r="F2111" i="33" s="1"/>
  <c r="H2110" i="33"/>
  <c r="D2110" i="33" s="1"/>
  <c r="E2110" i="33" s="1"/>
  <c r="F2110" i="33" s="1"/>
  <c r="H2109" i="33"/>
  <c r="D2109" i="33" s="1"/>
  <c r="E2109" i="33" s="1"/>
  <c r="F2109" i="33" s="1"/>
  <c r="H2108" i="33"/>
  <c r="D2108" i="33" s="1"/>
  <c r="E2108" i="33" s="1"/>
  <c r="F2108" i="33" s="1"/>
  <c r="H2107" i="33"/>
  <c r="D2107" i="33" s="1"/>
  <c r="E2107" i="33" s="1"/>
  <c r="F2107" i="33" s="1"/>
  <c r="H2106" i="33"/>
  <c r="D2106" i="33" s="1"/>
  <c r="E2106" i="33" s="1"/>
  <c r="F2106" i="33" s="1"/>
  <c r="H2105" i="33"/>
  <c r="D2105" i="33" s="1"/>
  <c r="E2105" i="33" s="1"/>
  <c r="F2105" i="33" s="1"/>
  <c r="H2104" i="33"/>
  <c r="D2104" i="33" s="1"/>
  <c r="E2104" i="33" s="1"/>
  <c r="F2104" i="33" s="1"/>
  <c r="H2103" i="33"/>
  <c r="D2103" i="33" s="1"/>
  <c r="E2103" i="33" s="1"/>
  <c r="F2103" i="33" s="1"/>
  <c r="H2102" i="33"/>
  <c r="D2102" i="33" s="1"/>
  <c r="E2102" i="33" s="1"/>
  <c r="F2102" i="33" s="1"/>
  <c r="H2101" i="33"/>
  <c r="D2101" i="33" s="1"/>
  <c r="E2101" i="33" s="1"/>
  <c r="F2101" i="33" s="1"/>
  <c r="H2100" i="33"/>
  <c r="D2100" i="33" s="1"/>
  <c r="E2100" i="33" s="1"/>
  <c r="F2100" i="33" s="1"/>
  <c r="H2099" i="33"/>
  <c r="D2099" i="33" s="1"/>
  <c r="E2099" i="33" s="1"/>
  <c r="F2099" i="33" s="1"/>
  <c r="H2098" i="33"/>
  <c r="D2098" i="33" s="1"/>
  <c r="E2098" i="33" s="1"/>
  <c r="F2098" i="33" s="1"/>
  <c r="AF42" i="32"/>
  <c r="AR42" i="32"/>
  <c r="AS42" i="32" s="1"/>
  <c r="AV42" i="32"/>
  <c r="AW42" i="32" s="1"/>
  <c r="AV52" i="32"/>
  <c r="AW52" i="32" s="1"/>
  <c r="AR52" i="32"/>
  <c r="AS52" i="32" s="1"/>
  <c r="AF52" i="32"/>
  <c r="AV513" i="29"/>
  <c r="AZ513" i="29" s="1"/>
  <c r="AG513" i="29"/>
  <c r="AR513" i="29"/>
  <c r="AS513" i="29" s="1"/>
  <c r="AV512" i="29"/>
  <c r="AZ512" i="29" s="1"/>
  <c r="AG512" i="29"/>
  <c r="AR512" i="29"/>
  <c r="AS512" i="29" s="1"/>
  <c r="H2030" i="33"/>
  <c r="D2030" i="33" s="1"/>
  <c r="E2030" i="33" s="1"/>
  <c r="F2030" i="33" s="1"/>
  <c r="H2029" i="33"/>
  <c r="D2029" i="33" s="1"/>
  <c r="E2029" i="33" s="1"/>
  <c r="F2029" i="33" s="1"/>
  <c r="H2028" i="33"/>
  <c r="D2028" i="33" s="1"/>
  <c r="E2028" i="33" s="1"/>
  <c r="F2028" i="33" s="1"/>
  <c r="H2027" i="33"/>
  <c r="D2027" i="33" s="1"/>
  <c r="E2027" i="33" s="1"/>
  <c r="F2027" i="33" s="1"/>
  <c r="H2026" i="33"/>
  <c r="D2026" i="33" s="1"/>
  <c r="E2026" i="33" s="1"/>
  <c r="F2026" i="33" s="1"/>
  <c r="H2025" i="33"/>
  <c r="D2025" i="33" s="1"/>
  <c r="E2025" i="33" s="1"/>
  <c r="F2025" i="33" s="1"/>
  <c r="H2024" i="33"/>
  <c r="D2024" i="33" s="1"/>
  <c r="E2024" i="33" s="1"/>
  <c r="F2024" i="33" s="1"/>
  <c r="H2023" i="33"/>
  <c r="D2023" i="33" s="1"/>
  <c r="E2023" i="33" s="1"/>
  <c r="F2023" i="33" s="1"/>
  <c r="H2022" i="33"/>
  <c r="D2022" i="33" s="1"/>
  <c r="E2022" i="33" s="1"/>
  <c r="F2022" i="33" s="1"/>
  <c r="H2021" i="33"/>
  <c r="D2021" i="33" s="1"/>
  <c r="E2021" i="33" s="1"/>
  <c r="F2021" i="33" s="1"/>
  <c r="H2020" i="33"/>
  <c r="D2020" i="33" s="1"/>
  <c r="E2020" i="33" s="1"/>
  <c r="F2020" i="33" s="1"/>
  <c r="H2019" i="33"/>
  <c r="D2019" i="33" s="1"/>
  <c r="E2019" i="33" s="1"/>
  <c r="F2019" i="33" s="1"/>
  <c r="H2018" i="33"/>
  <c r="D2018" i="33" s="1"/>
  <c r="E2018" i="33" s="1"/>
  <c r="F2018" i="33" s="1"/>
  <c r="H2017" i="33"/>
  <c r="D2017" i="33" s="1"/>
  <c r="E2017" i="33" s="1"/>
  <c r="F2017" i="33" s="1"/>
  <c r="H2016" i="33"/>
  <c r="D2016" i="33" s="1"/>
  <c r="E2016" i="33" s="1"/>
  <c r="F2016" i="33" s="1"/>
  <c r="H2015" i="33"/>
  <c r="D2015" i="33" s="1"/>
  <c r="E2015" i="33" s="1"/>
  <c r="F2015" i="33" s="1"/>
  <c r="H2014" i="33"/>
  <c r="D2014" i="33" s="1"/>
  <c r="E2014" i="33" s="1"/>
  <c r="F2014" i="33" s="1"/>
  <c r="H2013" i="33"/>
  <c r="D2013" i="33" s="1"/>
  <c r="E2013" i="33" s="1"/>
  <c r="F2013" i="33" s="1"/>
  <c r="H2012" i="33"/>
  <c r="D2012" i="33" s="1"/>
  <c r="E2012" i="33" s="1"/>
  <c r="F2012" i="33" s="1"/>
  <c r="H2011" i="33"/>
  <c r="D2011" i="33" s="1"/>
  <c r="E2011" i="33" s="1"/>
  <c r="F2011" i="33" s="1"/>
  <c r="H2010" i="33"/>
  <c r="D2010" i="33" s="1"/>
  <c r="E2010" i="33" s="1"/>
  <c r="F2010" i="33" s="1"/>
  <c r="H2009" i="33"/>
  <c r="D2009" i="33" s="1"/>
  <c r="E2009" i="33" s="1"/>
  <c r="F2009" i="33" s="1"/>
  <c r="H2008" i="33"/>
  <c r="D2008" i="33" s="1"/>
  <c r="E2008" i="33" s="1"/>
  <c r="F2008" i="33" s="1"/>
  <c r="H2007" i="33"/>
  <c r="D2007" i="33" s="1"/>
  <c r="E2007" i="33" s="1"/>
  <c r="F2007" i="33" s="1"/>
  <c r="H2006" i="33"/>
  <c r="D2006" i="33" s="1"/>
  <c r="E2006" i="33" s="1"/>
  <c r="F2006" i="33" s="1"/>
  <c r="H2005" i="33"/>
  <c r="D2005" i="33" s="1"/>
  <c r="E2005" i="33" s="1"/>
  <c r="F2005" i="33" s="1"/>
  <c r="H2004" i="33"/>
  <c r="D2004" i="33" s="1"/>
  <c r="E2004" i="33" s="1"/>
  <c r="F2004" i="33" s="1"/>
  <c r="H2003" i="33"/>
  <c r="D2003" i="33" s="1"/>
  <c r="E2003" i="33" s="1"/>
  <c r="F2003" i="33" s="1"/>
  <c r="H2002" i="33"/>
  <c r="D2002" i="33" s="1"/>
  <c r="E2002" i="33" s="1"/>
  <c r="F2002" i="33" s="1"/>
  <c r="H2001" i="33"/>
  <c r="D2001" i="33" s="1"/>
  <c r="E2001" i="33" s="1"/>
  <c r="F2001" i="33" s="1"/>
  <c r="AV40" i="32"/>
  <c r="AW40" i="32" s="1"/>
  <c r="AF40" i="32"/>
  <c r="AV51" i="32"/>
  <c r="AW51" i="32" s="1"/>
  <c r="AR51" i="32"/>
  <c r="AS51" i="32" s="1"/>
  <c r="AF51" i="32"/>
  <c r="H1983" i="33"/>
  <c r="D1983" i="33" s="1"/>
  <c r="E1983" i="33" s="1"/>
  <c r="F1983" i="33" s="1"/>
  <c r="H1982" i="33"/>
  <c r="D1982" i="33" s="1"/>
  <c r="E1982" i="33" s="1"/>
  <c r="F1982" i="33" s="1"/>
  <c r="H1981" i="33"/>
  <c r="D1981" i="33" s="1"/>
  <c r="E1981" i="33" s="1"/>
  <c r="F1981" i="33" s="1"/>
  <c r="H1980" i="33"/>
  <c r="D1980" i="33" s="1"/>
  <c r="E1980" i="33" s="1"/>
  <c r="F1980" i="33" s="1"/>
  <c r="H1979" i="33"/>
  <c r="D1979" i="33" s="1"/>
  <c r="E1979" i="33" s="1"/>
  <c r="F1979" i="33" s="1"/>
  <c r="H1978" i="33"/>
  <c r="D1978" i="33" s="1"/>
  <c r="E1978" i="33" s="1"/>
  <c r="F1978" i="33" s="1"/>
  <c r="H1977" i="33"/>
  <c r="D1977" i="33" s="1"/>
  <c r="E1977" i="33" s="1"/>
  <c r="F1977" i="33" s="1"/>
  <c r="H1976" i="33"/>
  <c r="D1976" i="33" s="1"/>
  <c r="E1976" i="33" s="1"/>
  <c r="F1976" i="33" s="1"/>
  <c r="H1975" i="33"/>
  <c r="D1975" i="33" s="1"/>
  <c r="E1975" i="33" s="1"/>
  <c r="F1975" i="33" s="1"/>
  <c r="H1974" i="33"/>
  <c r="D1974" i="33" s="1"/>
  <c r="E1974" i="33" s="1"/>
  <c r="F1974" i="33" s="1"/>
  <c r="H1973" i="33"/>
  <c r="D1973" i="33" s="1"/>
  <c r="E1973" i="33" s="1"/>
  <c r="F1973" i="33" s="1"/>
  <c r="H1972" i="33"/>
  <c r="D1972" i="33" s="1"/>
  <c r="E1972" i="33" s="1"/>
  <c r="F1972" i="33" s="1"/>
  <c r="H1971" i="33"/>
  <c r="D1971" i="33" s="1"/>
  <c r="E1971" i="33" s="1"/>
  <c r="F1971" i="33" s="1"/>
  <c r="H1970" i="33"/>
  <c r="D1970" i="33" s="1"/>
  <c r="E1970" i="33" s="1"/>
  <c r="F1970" i="33" s="1"/>
  <c r="H1969" i="33"/>
  <c r="D1969" i="33" s="1"/>
  <c r="E1969" i="33" s="1"/>
  <c r="F1969" i="33" s="1"/>
  <c r="H1968" i="33"/>
  <c r="D1968" i="33" s="1"/>
  <c r="E1968" i="33" s="1"/>
  <c r="F1968" i="33" s="1"/>
  <c r="H1967" i="33"/>
  <c r="D1967" i="33" s="1"/>
  <c r="E1967" i="33" s="1"/>
  <c r="F1967" i="33" s="1"/>
  <c r="H1966" i="33"/>
  <c r="D1966" i="33" s="1"/>
  <c r="E1966" i="33" s="1"/>
  <c r="F1966" i="33" s="1"/>
  <c r="H1965" i="33"/>
  <c r="D1965" i="33" s="1"/>
  <c r="E1965" i="33" s="1"/>
  <c r="F1965" i="33" s="1"/>
  <c r="H1964" i="33"/>
  <c r="D1964" i="33" s="1"/>
  <c r="E1964" i="33" s="1"/>
  <c r="F1964" i="33" s="1"/>
  <c r="H1963" i="33"/>
  <c r="D1963" i="33" s="1"/>
  <c r="E1963" i="33" s="1"/>
  <c r="F1963" i="33" s="1"/>
  <c r="H1962" i="33"/>
  <c r="D1962" i="33" s="1"/>
  <c r="E1962" i="33" s="1"/>
  <c r="F1962" i="33" s="1"/>
  <c r="H1961" i="33"/>
  <c r="D1961" i="33" s="1"/>
  <c r="E1961" i="33" s="1"/>
  <c r="F1961" i="33" s="1"/>
  <c r="H1960" i="33"/>
  <c r="D1960" i="33" s="1"/>
  <c r="E1960" i="33" s="1"/>
  <c r="F1960" i="33" s="1"/>
  <c r="H1959" i="33"/>
  <c r="D1959" i="33" s="1"/>
  <c r="E1959" i="33" s="1"/>
  <c r="F1959" i="33" s="1"/>
  <c r="H1958" i="33"/>
  <c r="D1958" i="33" s="1"/>
  <c r="E1958" i="33" s="1"/>
  <c r="F1958" i="33" s="1"/>
  <c r="H1957" i="33"/>
  <c r="D1957" i="33" s="1"/>
  <c r="E1957" i="33" s="1"/>
  <c r="F1957" i="33" s="1"/>
  <c r="H1956" i="33"/>
  <c r="D1956" i="33" s="1"/>
  <c r="E1956" i="33" s="1"/>
  <c r="F1956" i="33" s="1"/>
  <c r="H1955" i="33"/>
  <c r="D1955" i="33" s="1"/>
  <c r="E1955" i="33" s="1"/>
  <c r="F1955" i="33" s="1"/>
  <c r="H1954" i="33"/>
  <c r="D1954" i="33" s="1"/>
  <c r="E1954" i="33" s="1"/>
  <c r="F1954" i="33" s="1"/>
  <c r="AV50" i="32"/>
  <c r="AW50" i="32" s="1"/>
  <c r="AR50" i="32"/>
  <c r="AS50" i="32" s="1"/>
  <c r="AF50" i="32"/>
  <c r="Y1715" i="25"/>
  <c r="Y2080" i="25"/>
  <c r="Y3316" i="25"/>
  <c r="Y4095" i="25"/>
  <c r="Y4316" i="25"/>
  <c r="Y4652" i="25"/>
  <c r="Y4805" i="25"/>
  <c r="Y5307" i="25"/>
  <c r="Y9252" i="25"/>
  <c r="Y12333" i="25"/>
  <c r="H1936" i="33"/>
  <c r="D1936" i="33" s="1"/>
  <c r="E1936" i="33" s="1"/>
  <c r="F1936" i="33" s="1"/>
  <c r="H1935" i="33"/>
  <c r="D1935" i="33" s="1"/>
  <c r="E1935" i="33" s="1"/>
  <c r="F1935" i="33" s="1"/>
  <c r="H1934" i="33"/>
  <c r="D1934" i="33" s="1"/>
  <c r="E1934" i="33" s="1"/>
  <c r="F1934" i="33" s="1"/>
  <c r="H1933" i="33"/>
  <c r="D1933" i="33" s="1"/>
  <c r="E1933" i="33" s="1"/>
  <c r="F1933" i="33" s="1"/>
  <c r="H1932" i="33"/>
  <c r="D1932" i="33" s="1"/>
  <c r="E1932" i="33" s="1"/>
  <c r="F1932" i="33" s="1"/>
  <c r="H1931" i="33"/>
  <c r="D1931" i="33" s="1"/>
  <c r="E1931" i="33" s="1"/>
  <c r="F1931" i="33" s="1"/>
  <c r="H1930" i="33"/>
  <c r="D1930" i="33" s="1"/>
  <c r="E1930" i="33" s="1"/>
  <c r="F1930" i="33" s="1"/>
  <c r="H1929" i="33"/>
  <c r="D1929" i="33" s="1"/>
  <c r="E1929" i="33" s="1"/>
  <c r="F1929" i="33" s="1"/>
  <c r="H1928" i="33"/>
  <c r="D1928" i="33" s="1"/>
  <c r="E1928" i="33" s="1"/>
  <c r="F1928" i="33" s="1"/>
  <c r="H1927" i="33"/>
  <c r="D1927" i="33" s="1"/>
  <c r="E1927" i="33" s="1"/>
  <c r="F1927" i="33" s="1"/>
  <c r="H1926" i="33"/>
  <c r="D1926" i="33" s="1"/>
  <c r="E1926" i="33" s="1"/>
  <c r="F1926" i="33" s="1"/>
  <c r="H1925" i="33"/>
  <c r="D1925" i="33" s="1"/>
  <c r="E1925" i="33" s="1"/>
  <c r="F1925" i="33" s="1"/>
  <c r="H1924" i="33"/>
  <c r="D1924" i="33" s="1"/>
  <c r="E1924" i="33" s="1"/>
  <c r="F1924" i="33" s="1"/>
  <c r="H1923" i="33"/>
  <c r="D1923" i="33" s="1"/>
  <c r="E1923" i="33" s="1"/>
  <c r="F1923" i="33" s="1"/>
  <c r="H1922" i="33"/>
  <c r="D1922" i="33" s="1"/>
  <c r="E1922" i="33" s="1"/>
  <c r="F1922" i="33" s="1"/>
  <c r="H1921" i="33"/>
  <c r="D1921" i="33" s="1"/>
  <c r="E1921" i="33" s="1"/>
  <c r="F1921" i="33" s="1"/>
  <c r="H1920" i="33"/>
  <c r="D1920" i="33" s="1"/>
  <c r="E1920" i="33" s="1"/>
  <c r="F1920" i="33" s="1"/>
  <c r="H1919" i="33"/>
  <c r="D1919" i="33" s="1"/>
  <c r="E1919" i="33" s="1"/>
  <c r="F1919" i="33" s="1"/>
  <c r="H1918" i="33"/>
  <c r="D1918" i="33" s="1"/>
  <c r="E1918" i="33" s="1"/>
  <c r="F1918" i="33" s="1"/>
  <c r="H1917" i="33"/>
  <c r="D1917" i="33" s="1"/>
  <c r="E1917" i="33" s="1"/>
  <c r="F1917" i="33" s="1"/>
  <c r="H1916" i="33"/>
  <c r="D1916" i="33" s="1"/>
  <c r="E1916" i="33" s="1"/>
  <c r="F1916" i="33" s="1"/>
  <c r="H1915" i="33"/>
  <c r="D1915" i="33" s="1"/>
  <c r="E1915" i="33" s="1"/>
  <c r="F1915" i="33" s="1"/>
  <c r="H1914" i="33"/>
  <c r="D1914" i="33" s="1"/>
  <c r="E1914" i="33" s="1"/>
  <c r="F1914" i="33" s="1"/>
  <c r="H1913" i="33"/>
  <c r="D1913" i="33" s="1"/>
  <c r="E1913" i="33" s="1"/>
  <c r="F1913" i="33" s="1"/>
  <c r="H1912" i="33"/>
  <c r="D1912" i="33" s="1"/>
  <c r="E1912" i="33" s="1"/>
  <c r="F1912" i="33" s="1"/>
  <c r="H1911" i="33"/>
  <c r="D1911" i="33" s="1"/>
  <c r="E1911" i="33" s="1"/>
  <c r="F1911" i="33" s="1"/>
  <c r="H1910" i="33"/>
  <c r="D1910" i="33" s="1"/>
  <c r="E1910" i="33" s="1"/>
  <c r="F1910" i="33" s="1"/>
  <c r="H1909" i="33"/>
  <c r="D1909" i="33" s="1"/>
  <c r="E1909" i="33" s="1"/>
  <c r="F1909" i="33" s="1"/>
  <c r="H1908" i="33"/>
  <c r="D1908" i="33" s="1"/>
  <c r="E1908" i="33" s="1"/>
  <c r="F1908" i="33" s="1"/>
  <c r="H1907" i="33"/>
  <c r="D1907" i="33" s="1"/>
  <c r="E1907" i="33" s="1"/>
  <c r="F1907" i="33" s="1"/>
  <c r="L12182" i="25"/>
  <c r="L11977" i="25"/>
  <c r="AR511" i="29"/>
  <c r="AS511" i="29" s="1"/>
  <c r="AV511" i="29"/>
  <c r="AW511" i="29" s="1"/>
  <c r="AR510" i="29"/>
  <c r="AS510" i="29" s="1"/>
  <c r="AV510" i="29"/>
  <c r="AZ510" i="29" s="1"/>
  <c r="H1889" i="33"/>
  <c r="D1889" i="33" s="1"/>
  <c r="E1889" i="33" s="1"/>
  <c r="F1889" i="33" s="1"/>
  <c r="H1888" i="33"/>
  <c r="D1888" i="33" s="1"/>
  <c r="E1888" i="33" s="1"/>
  <c r="F1888" i="33" s="1"/>
  <c r="H1887" i="33"/>
  <c r="D1887" i="33" s="1"/>
  <c r="E1887" i="33" s="1"/>
  <c r="F1887" i="33" s="1"/>
  <c r="H1886" i="33"/>
  <c r="D1886" i="33" s="1"/>
  <c r="E1886" i="33" s="1"/>
  <c r="F1886" i="33" s="1"/>
  <c r="H1885" i="33"/>
  <c r="D1885" i="33" s="1"/>
  <c r="E1885" i="33" s="1"/>
  <c r="F1885" i="33" s="1"/>
  <c r="H1884" i="33"/>
  <c r="D1884" i="33" s="1"/>
  <c r="E1884" i="33" s="1"/>
  <c r="F1884" i="33" s="1"/>
  <c r="H1883" i="33"/>
  <c r="D1883" i="33" s="1"/>
  <c r="E1883" i="33" s="1"/>
  <c r="F1883" i="33" s="1"/>
  <c r="H1882" i="33"/>
  <c r="D1882" i="33" s="1"/>
  <c r="E1882" i="33" s="1"/>
  <c r="F1882" i="33" s="1"/>
  <c r="H1881" i="33"/>
  <c r="D1881" i="33" s="1"/>
  <c r="E1881" i="33" s="1"/>
  <c r="F1881" i="33" s="1"/>
  <c r="H1880" i="33"/>
  <c r="D1880" i="33" s="1"/>
  <c r="E1880" i="33" s="1"/>
  <c r="F1880" i="33" s="1"/>
  <c r="H1879" i="33"/>
  <c r="D1879" i="33" s="1"/>
  <c r="E1879" i="33" s="1"/>
  <c r="F1879" i="33" s="1"/>
  <c r="H1878" i="33"/>
  <c r="D1878" i="33" s="1"/>
  <c r="E1878" i="33" s="1"/>
  <c r="F1878" i="33" s="1"/>
  <c r="H1877" i="33"/>
  <c r="D1877" i="33" s="1"/>
  <c r="E1877" i="33" s="1"/>
  <c r="F1877" i="33" s="1"/>
  <c r="H1876" i="33"/>
  <c r="D1876" i="33" s="1"/>
  <c r="E1876" i="33" s="1"/>
  <c r="F1876" i="33" s="1"/>
  <c r="H1875" i="33"/>
  <c r="D1875" i="33" s="1"/>
  <c r="E1875" i="33" s="1"/>
  <c r="F1875" i="33" s="1"/>
  <c r="H1874" i="33"/>
  <c r="D1874" i="33" s="1"/>
  <c r="E1874" i="33" s="1"/>
  <c r="F1874" i="33" s="1"/>
  <c r="H1873" i="33"/>
  <c r="D1873" i="33" s="1"/>
  <c r="E1873" i="33" s="1"/>
  <c r="F1873" i="33" s="1"/>
  <c r="H1872" i="33"/>
  <c r="D1872" i="33" s="1"/>
  <c r="E1872" i="33" s="1"/>
  <c r="F1872" i="33" s="1"/>
  <c r="H1871" i="33"/>
  <c r="D1871" i="33" s="1"/>
  <c r="E1871" i="33" s="1"/>
  <c r="F1871" i="33" s="1"/>
  <c r="H1870" i="33"/>
  <c r="D1870" i="33" s="1"/>
  <c r="E1870" i="33" s="1"/>
  <c r="F1870" i="33" s="1"/>
  <c r="H1869" i="33"/>
  <c r="D1869" i="33" s="1"/>
  <c r="E1869" i="33" s="1"/>
  <c r="F1869" i="33" s="1"/>
  <c r="H1868" i="33"/>
  <c r="D1868" i="33" s="1"/>
  <c r="E1868" i="33" s="1"/>
  <c r="F1868" i="33" s="1"/>
  <c r="H1867" i="33"/>
  <c r="D1867" i="33" s="1"/>
  <c r="E1867" i="33" s="1"/>
  <c r="F1867" i="33" s="1"/>
  <c r="H1866" i="33"/>
  <c r="D1866" i="33" s="1"/>
  <c r="E1866" i="33" s="1"/>
  <c r="F1866" i="33" s="1"/>
  <c r="H1865" i="33"/>
  <c r="D1865" i="33" s="1"/>
  <c r="E1865" i="33" s="1"/>
  <c r="F1865" i="33" s="1"/>
  <c r="H1864" i="33"/>
  <c r="D1864" i="33" s="1"/>
  <c r="E1864" i="33" s="1"/>
  <c r="F1864" i="33" s="1"/>
  <c r="H1863" i="33"/>
  <c r="D1863" i="33" s="1"/>
  <c r="E1863" i="33" s="1"/>
  <c r="F1863" i="33" s="1"/>
  <c r="H1862" i="33"/>
  <c r="D1862" i="33" s="1"/>
  <c r="E1862" i="33" s="1"/>
  <c r="F1862" i="33" s="1"/>
  <c r="H1861" i="33"/>
  <c r="D1861" i="33" s="1"/>
  <c r="E1861" i="33" s="1"/>
  <c r="F1861" i="33" s="1"/>
  <c r="H1860" i="33"/>
  <c r="D1860" i="33" s="1"/>
  <c r="E1860" i="33" s="1"/>
  <c r="F1860" i="33" s="1"/>
  <c r="AV507" i="29"/>
  <c r="AW507" i="29" s="1"/>
  <c r="AG507" i="29"/>
  <c r="AR507" i="29"/>
  <c r="AS507" i="29" s="1"/>
  <c r="AF49" i="32"/>
  <c r="AR49" i="32"/>
  <c r="AS49" i="32" s="1"/>
  <c r="AV49" i="32"/>
  <c r="AZ49" i="32" s="1"/>
  <c r="AV509" i="29"/>
  <c r="AZ509" i="29" s="1"/>
  <c r="AV508" i="29"/>
  <c r="AW508" i="29" s="1"/>
  <c r="AG509" i="29"/>
  <c r="AR509" i="29"/>
  <c r="AS509" i="29" s="1"/>
  <c r="H1842" i="33"/>
  <c r="D1842" i="33" s="1"/>
  <c r="E1842" i="33" s="1"/>
  <c r="F1842" i="33" s="1"/>
  <c r="H1841" i="33"/>
  <c r="D1841" i="33" s="1"/>
  <c r="E1841" i="33" s="1"/>
  <c r="F1841" i="33" s="1"/>
  <c r="H1840" i="33"/>
  <c r="D1840" i="33" s="1"/>
  <c r="E1840" i="33" s="1"/>
  <c r="F1840" i="33" s="1"/>
  <c r="H1839" i="33"/>
  <c r="D1839" i="33" s="1"/>
  <c r="E1839" i="33" s="1"/>
  <c r="F1839" i="33" s="1"/>
  <c r="H1838" i="33"/>
  <c r="D1838" i="33" s="1"/>
  <c r="E1838" i="33" s="1"/>
  <c r="F1838" i="33" s="1"/>
  <c r="H1837" i="33"/>
  <c r="D1837" i="33" s="1"/>
  <c r="E1837" i="33" s="1"/>
  <c r="F1837" i="33" s="1"/>
  <c r="H1836" i="33"/>
  <c r="D1836" i="33" s="1"/>
  <c r="E1836" i="33" s="1"/>
  <c r="F1836" i="33" s="1"/>
  <c r="H1835" i="33"/>
  <c r="D1835" i="33" s="1"/>
  <c r="E1835" i="33" s="1"/>
  <c r="F1835" i="33" s="1"/>
  <c r="H1834" i="33"/>
  <c r="D1834" i="33" s="1"/>
  <c r="E1834" i="33" s="1"/>
  <c r="F1834" i="33" s="1"/>
  <c r="H1833" i="33"/>
  <c r="D1833" i="33" s="1"/>
  <c r="E1833" i="33" s="1"/>
  <c r="F1833" i="33" s="1"/>
  <c r="H1832" i="33"/>
  <c r="D1832" i="33" s="1"/>
  <c r="E1832" i="33" s="1"/>
  <c r="F1832" i="33" s="1"/>
  <c r="H1831" i="33"/>
  <c r="D1831" i="33" s="1"/>
  <c r="E1831" i="33" s="1"/>
  <c r="F1831" i="33" s="1"/>
  <c r="H1830" i="33"/>
  <c r="D1830" i="33" s="1"/>
  <c r="E1830" i="33" s="1"/>
  <c r="F1830" i="33" s="1"/>
  <c r="H1829" i="33"/>
  <c r="D1829" i="33" s="1"/>
  <c r="E1829" i="33" s="1"/>
  <c r="F1829" i="33" s="1"/>
  <c r="H1828" i="33"/>
  <c r="D1828" i="33" s="1"/>
  <c r="E1828" i="33" s="1"/>
  <c r="F1828" i="33" s="1"/>
  <c r="H1827" i="33"/>
  <c r="D1827" i="33" s="1"/>
  <c r="E1827" i="33" s="1"/>
  <c r="F1827" i="33" s="1"/>
  <c r="H1826" i="33"/>
  <c r="D1826" i="33" s="1"/>
  <c r="E1826" i="33" s="1"/>
  <c r="F1826" i="33" s="1"/>
  <c r="H1825" i="33"/>
  <c r="D1825" i="33" s="1"/>
  <c r="E1825" i="33" s="1"/>
  <c r="F1825" i="33" s="1"/>
  <c r="H1824" i="33"/>
  <c r="D1824" i="33" s="1"/>
  <c r="E1824" i="33" s="1"/>
  <c r="F1824" i="33" s="1"/>
  <c r="H1823" i="33"/>
  <c r="D1823" i="33" s="1"/>
  <c r="E1823" i="33" s="1"/>
  <c r="F1823" i="33" s="1"/>
  <c r="H1822" i="33"/>
  <c r="D1822" i="33" s="1"/>
  <c r="E1822" i="33" s="1"/>
  <c r="F1822" i="33" s="1"/>
  <c r="H1821" i="33"/>
  <c r="D1821" i="33" s="1"/>
  <c r="E1821" i="33" s="1"/>
  <c r="F1821" i="33" s="1"/>
  <c r="H1820" i="33"/>
  <c r="D1820" i="33" s="1"/>
  <c r="E1820" i="33" s="1"/>
  <c r="F1820" i="33" s="1"/>
  <c r="H1819" i="33"/>
  <c r="D1819" i="33" s="1"/>
  <c r="E1819" i="33" s="1"/>
  <c r="F1819" i="33" s="1"/>
  <c r="H1818" i="33"/>
  <c r="D1818" i="33" s="1"/>
  <c r="E1818" i="33" s="1"/>
  <c r="F1818" i="33" s="1"/>
  <c r="H1817" i="33"/>
  <c r="D1817" i="33" s="1"/>
  <c r="E1817" i="33" s="1"/>
  <c r="F1817" i="33" s="1"/>
  <c r="H1816" i="33"/>
  <c r="D1816" i="33" s="1"/>
  <c r="E1816" i="33" s="1"/>
  <c r="F1816" i="33" s="1"/>
  <c r="H1815" i="33"/>
  <c r="D1815" i="33" s="1"/>
  <c r="E1815" i="33" s="1"/>
  <c r="F1815" i="33" s="1"/>
  <c r="H1814" i="33"/>
  <c r="D1814" i="33" s="1"/>
  <c r="E1814" i="33" s="1"/>
  <c r="F1814" i="33" s="1"/>
  <c r="H1813" i="33"/>
  <c r="D1813" i="33" s="1"/>
  <c r="E1813" i="33" s="1"/>
  <c r="F1813" i="33" s="1"/>
  <c r="AR508" i="29"/>
  <c r="AS508" i="29" s="1"/>
  <c r="AN503" i="29"/>
  <c r="AV48" i="32"/>
  <c r="AW48" i="32" s="1"/>
  <c r="AR48" i="32"/>
  <c r="AS48" i="32" s="1"/>
  <c r="AF48" i="32"/>
  <c r="AV47" i="32"/>
  <c r="AW47" i="32" s="1"/>
  <c r="AF47" i="32"/>
  <c r="AR47" i="32"/>
  <c r="AS47" i="32" s="1"/>
  <c r="H1795" i="33"/>
  <c r="D1795" i="33" s="1"/>
  <c r="E1795" i="33" s="1"/>
  <c r="F1795" i="33" s="1"/>
  <c r="H1794" i="33"/>
  <c r="D1794" i="33" s="1"/>
  <c r="E1794" i="33" s="1"/>
  <c r="F1794" i="33" s="1"/>
  <c r="H1793" i="33"/>
  <c r="D1793" i="33" s="1"/>
  <c r="E1793" i="33" s="1"/>
  <c r="F1793" i="33" s="1"/>
  <c r="H1792" i="33"/>
  <c r="D1792" i="33" s="1"/>
  <c r="E1792" i="33" s="1"/>
  <c r="F1792" i="33" s="1"/>
  <c r="H1791" i="33"/>
  <c r="D1791" i="33" s="1"/>
  <c r="E1791" i="33" s="1"/>
  <c r="F1791" i="33" s="1"/>
  <c r="H1790" i="33"/>
  <c r="D1790" i="33" s="1"/>
  <c r="E1790" i="33" s="1"/>
  <c r="F1790" i="33" s="1"/>
  <c r="H1789" i="33"/>
  <c r="D1789" i="33" s="1"/>
  <c r="E1789" i="33" s="1"/>
  <c r="F1789" i="33" s="1"/>
  <c r="H1788" i="33"/>
  <c r="D1788" i="33" s="1"/>
  <c r="E1788" i="33" s="1"/>
  <c r="F1788" i="33" s="1"/>
  <c r="H1787" i="33"/>
  <c r="D1787" i="33" s="1"/>
  <c r="E1787" i="33" s="1"/>
  <c r="F1787" i="33" s="1"/>
  <c r="H1786" i="33"/>
  <c r="D1786" i="33" s="1"/>
  <c r="E1786" i="33" s="1"/>
  <c r="F1786" i="33" s="1"/>
  <c r="H1785" i="33"/>
  <c r="D1785" i="33" s="1"/>
  <c r="E1785" i="33" s="1"/>
  <c r="F1785" i="33" s="1"/>
  <c r="H1784" i="33"/>
  <c r="D1784" i="33" s="1"/>
  <c r="E1784" i="33" s="1"/>
  <c r="F1784" i="33" s="1"/>
  <c r="H1783" i="33"/>
  <c r="D1783" i="33" s="1"/>
  <c r="E1783" i="33" s="1"/>
  <c r="F1783" i="33" s="1"/>
  <c r="H1782" i="33"/>
  <c r="D1782" i="33" s="1"/>
  <c r="E1782" i="33" s="1"/>
  <c r="F1782" i="33" s="1"/>
  <c r="H1781" i="33"/>
  <c r="D1781" i="33" s="1"/>
  <c r="E1781" i="33" s="1"/>
  <c r="F1781" i="33" s="1"/>
  <c r="H1780" i="33"/>
  <c r="D1780" i="33" s="1"/>
  <c r="E1780" i="33" s="1"/>
  <c r="F1780" i="33" s="1"/>
  <c r="H1779" i="33"/>
  <c r="D1779" i="33" s="1"/>
  <c r="E1779" i="33" s="1"/>
  <c r="F1779" i="33" s="1"/>
  <c r="H1778" i="33"/>
  <c r="D1778" i="33" s="1"/>
  <c r="E1778" i="33" s="1"/>
  <c r="F1778" i="33" s="1"/>
  <c r="H1777" i="33"/>
  <c r="D1777" i="33" s="1"/>
  <c r="E1777" i="33" s="1"/>
  <c r="F1777" i="33" s="1"/>
  <c r="H1776" i="33"/>
  <c r="D1776" i="33" s="1"/>
  <c r="E1776" i="33" s="1"/>
  <c r="F1776" i="33" s="1"/>
  <c r="H1775" i="33"/>
  <c r="D1775" i="33" s="1"/>
  <c r="E1775" i="33" s="1"/>
  <c r="F1775" i="33" s="1"/>
  <c r="H1774" i="33"/>
  <c r="D1774" i="33" s="1"/>
  <c r="E1774" i="33" s="1"/>
  <c r="F1774" i="33" s="1"/>
  <c r="H1773" i="33"/>
  <c r="D1773" i="33" s="1"/>
  <c r="E1773" i="33" s="1"/>
  <c r="F1773" i="33" s="1"/>
  <c r="H1772" i="33"/>
  <c r="D1772" i="33" s="1"/>
  <c r="E1772" i="33" s="1"/>
  <c r="F1772" i="33" s="1"/>
  <c r="H1771" i="33"/>
  <c r="D1771" i="33" s="1"/>
  <c r="E1771" i="33" s="1"/>
  <c r="F1771" i="33" s="1"/>
  <c r="H1770" i="33"/>
  <c r="D1770" i="33" s="1"/>
  <c r="E1770" i="33" s="1"/>
  <c r="F1770" i="33" s="1"/>
  <c r="H1769" i="33"/>
  <c r="D1769" i="33" s="1"/>
  <c r="E1769" i="33" s="1"/>
  <c r="F1769" i="33" s="1"/>
  <c r="H1768" i="33"/>
  <c r="D1768" i="33" s="1"/>
  <c r="E1768" i="33" s="1"/>
  <c r="F1768" i="33" s="1"/>
  <c r="H1767" i="33"/>
  <c r="D1767" i="33" s="1"/>
  <c r="E1767" i="33" s="1"/>
  <c r="F1767" i="33" s="1"/>
  <c r="H1766" i="33"/>
  <c r="D1766" i="33" s="1"/>
  <c r="E1766" i="33" s="1"/>
  <c r="F1766" i="33" s="1"/>
  <c r="AN364" i="29"/>
  <c r="AP364" i="29"/>
  <c r="AQ364" i="29"/>
  <c r="AR364" i="29"/>
  <c r="AT364" i="29" s="1"/>
  <c r="AU364" i="29" s="1"/>
  <c r="AV364" i="29"/>
  <c r="AW364" i="29" s="1"/>
  <c r="Q11941" i="25"/>
  <c r="H11548" i="25"/>
  <c r="H11549" i="25"/>
  <c r="H11550" i="25"/>
  <c r="H11551" i="25"/>
  <c r="H11552" i="25"/>
  <c r="H11553" i="25"/>
  <c r="H11554" i="25"/>
  <c r="H11555" i="25"/>
  <c r="H11556" i="25"/>
  <c r="H11557" i="25"/>
  <c r="H11558" i="25"/>
  <c r="H11559" i="25"/>
  <c r="H11560" i="25"/>
  <c r="H11561" i="25"/>
  <c r="H11562" i="25"/>
  <c r="H11563" i="25"/>
  <c r="H11564" i="25"/>
  <c r="H11565" i="25"/>
  <c r="H11566" i="25"/>
  <c r="H11567" i="25"/>
  <c r="H11568" i="25"/>
  <c r="H11569" i="25"/>
  <c r="H11570" i="25"/>
  <c r="H11571" i="25"/>
  <c r="H11572" i="25"/>
  <c r="H11573" i="25"/>
  <c r="H11574" i="25"/>
  <c r="H11575" i="25"/>
  <c r="H11576" i="25"/>
  <c r="H11577" i="25"/>
  <c r="H16220" i="25"/>
  <c r="H11663" i="25"/>
  <c r="AF46" i="32"/>
  <c r="AR46" i="32"/>
  <c r="AS46" i="32" s="1"/>
  <c r="AV46" i="32"/>
  <c r="AZ46" i="32" s="1"/>
  <c r="AR506" i="29"/>
  <c r="AS506" i="29" s="1"/>
  <c r="AV506" i="29"/>
  <c r="AW506" i="29" s="1"/>
  <c r="AV505" i="29"/>
  <c r="AZ505" i="29" s="1"/>
  <c r="AR505" i="29"/>
  <c r="AS505" i="29" s="1"/>
  <c r="AR504" i="29"/>
  <c r="AS504" i="29" s="1"/>
  <c r="AV504" i="29"/>
  <c r="AW504" i="29" s="1"/>
  <c r="AS503" i="29"/>
  <c r="AV503" i="29"/>
  <c r="AW503" i="29" s="1"/>
  <c r="AV502" i="29"/>
  <c r="AW502" i="29" s="1"/>
  <c r="AG502" i="29"/>
  <c r="AS502" i="29"/>
  <c r="AV501" i="29"/>
  <c r="AZ501" i="29" s="1"/>
  <c r="AR501" i="29"/>
  <c r="AS501" i="29" s="1"/>
  <c r="L11722" i="25"/>
  <c r="AN479" i="29"/>
  <c r="AP479" i="29"/>
  <c r="AQ479" i="29"/>
  <c r="AS479" i="29"/>
  <c r="AV479" i="29"/>
  <c r="AZ479" i="29" s="1"/>
  <c r="AF43" i="32"/>
  <c r="AR43" i="32"/>
  <c r="AS43" i="32" s="1"/>
  <c r="AZ43" i="32"/>
  <c r="AV41" i="32"/>
  <c r="AW41" i="32" s="1"/>
  <c r="AR41" i="32"/>
  <c r="AS41" i="32" s="1"/>
  <c r="AF41" i="32"/>
  <c r="AV499" i="29"/>
  <c r="AW499" i="29" s="1"/>
  <c r="AG499" i="29"/>
  <c r="AS499" i="29"/>
  <c r="AR498" i="29"/>
  <c r="AS498" i="29" s="1"/>
  <c r="AV498" i="29"/>
  <c r="AW498" i="29" s="1"/>
  <c r="AR497" i="29"/>
  <c r="AS497" i="29" s="1"/>
  <c r="AR496" i="29"/>
  <c r="AS496" i="29" s="1"/>
  <c r="AR495" i="29"/>
  <c r="AV497" i="29"/>
  <c r="AW497" i="29" s="1"/>
  <c r="AR19" i="32"/>
  <c r="AS19" i="32" s="1"/>
  <c r="AF19" i="32"/>
  <c r="AV19" i="32"/>
  <c r="AW19" i="32" s="1"/>
  <c r="AF17" i="32"/>
  <c r="AR17" i="32"/>
  <c r="AS17" i="32" s="1"/>
  <c r="AV17" i="32"/>
  <c r="AZ17" i="32" s="1"/>
  <c r="AV496" i="29"/>
  <c r="AZ496" i="29" s="1"/>
  <c r="AG495" i="29"/>
  <c r="AV495" i="29"/>
  <c r="AZ495" i="29" s="1"/>
  <c r="AV494" i="29"/>
  <c r="AW494" i="29" s="1"/>
  <c r="AR494" i="29"/>
  <c r="AS494" i="29" s="1"/>
  <c r="AV493" i="29"/>
  <c r="AZ493" i="29" s="1"/>
  <c r="AR493" i="29"/>
  <c r="AG493" i="29"/>
  <c r="AR38" i="32"/>
  <c r="AS38" i="32" s="1"/>
  <c r="AF38" i="32"/>
  <c r="AV38" i="32"/>
  <c r="AZ38" i="32" s="1"/>
  <c r="AN482" i="29"/>
  <c r="AR492" i="29"/>
  <c r="AS492" i="29" s="1"/>
  <c r="AR491" i="29"/>
  <c r="AS491" i="29" s="1"/>
  <c r="AV492" i="29"/>
  <c r="AW492" i="29" s="1"/>
  <c r="AG491" i="29"/>
  <c r="AV491" i="29"/>
  <c r="AW491" i="29" s="1"/>
  <c r="E15789" i="25"/>
  <c r="AR36" i="32"/>
  <c r="AS36" i="32" s="1"/>
  <c r="AV37" i="32"/>
  <c r="AW37" i="32" s="1"/>
  <c r="AN488" i="29"/>
  <c r="I15778" i="25"/>
  <c r="AP489" i="29" s="1"/>
  <c r="AF37" i="32"/>
  <c r="F15721" i="25"/>
  <c r="AN486" i="29" s="1"/>
  <c r="H15712" i="25"/>
  <c r="D15712" i="25" s="1"/>
  <c r="E15712" i="25" s="1"/>
  <c r="F15712" i="25" s="1"/>
  <c r="H15711" i="25"/>
  <c r="D15711" i="25" s="1"/>
  <c r="E15711" i="25" s="1"/>
  <c r="F15711" i="25" s="1"/>
  <c r="H15710" i="25"/>
  <c r="D15710" i="25" s="1"/>
  <c r="E15710" i="25" s="1"/>
  <c r="F15710" i="25" s="1"/>
  <c r="H15709" i="25"/>
  <c r="D15709" i="25" s="1"/>
  <c r="H15708" i="25"/>
  <c r="D15708" i="25" s="1"/>
  <c r="E15708" i="25" s="1"/>
  <c r="F15708" i="25" s="1"/>
  <c r="H15707" i="25"/>
  <c r="D15707" i="25" s="1"/>
  <c r="E15707" i="25" s="1"/>
  <c r="F15707" i="25" s="1"/>
  <c r="H15706" i="25"/>
  <c r="H15705" i="25"/>
  <c r="D15705" i="25" s="1"/>
  <c r="E15705" i="25" s="1"/>
  <c r="F15705" i="25" s="1"/>
  <c r="H15704" i="25"/>
  <c r="D15704" i="25" s="1"/>
  <c r="E15704" i="25" s="1"/>
  <c r="F15704" i="25" s="1"/>
  <c r="H15703" i="25"/>
  <c r="D15703" i="25" s="1"/>
  <c r="E15703" i="25" s="1"/>
  <c r="F15703" i="25" s="1"/>
  <c r="H15702" i="25"/>
  <c r="D15702" i="25" s="1"/>
  <c r="E15702" i="25" s="1"/>
  <c r="F15702" i="25" s="1"/>
  <c r="H15701" i="25"/>
  <c r="D15701" i="25" s="1"/>
  <c r="E15701" i="25" s="1"/>
  <c r="F15701" i="25" s="1"/>
  <c r="H15700" i="25"/>
  <c r="D15700" i="25" s="1"/>
  <c r="E15700" i="25" s="1"/>
  <c r="F15700" i="25" s="1"/>
  <c r="H15699" i="25"/>
  <c r="D15699" i="25" s="1"/>
  <c r="E15699" i="25" s="1"/>
  <c r="F15699" i="25" s="1"/>
  <c r="H15698" i="25"/>
  <c r="D15698" i="25" s="1"/>
  <c r="E15698" i="25" s="1"/>
  <c r="F15698" i="25" s="1"/>
  <c r="H15697" i="25"/>
  <c r="D15697" i="25" s="1"/>
  <c r="E15697" i="25" s="1"/>
  <c r="F15697" i="25" s="1"/>
  <c r="H15696" i="25"/>
  <c r="D15696" i="25" s="1"/>
  <c r="E15696" i="25" s="1"/>
  <c r="F15696" i="25" s="1"/>
  <c r="H15695" i="25"/>
  <c r="D15695" i="25" s="1"/>
  <c r="E15695" i="25" s="1"/>
  <c r="F15695" i="25" s="1"/>
  <c r="H15694" i="25"/>
  <c r="D15694" i="25" s="1"/>
  <c r="E15694" i="25" s="1"/>
  <c r="F15694" i="25" s="1"/>
  <c r="H15693" i="25"/>
  <c r="D15693" i="25" s="1"/>
  <c r="E15693" i="25" s="1"/>
  <c r="F15693" i="25" s="1"/>
  <c r="H15692" i="25"/>
  <c r="H15691" i="25"/>
  <c r="D15691" i="25" s="1"/>
  <c r="E15691" i="25" s="1"/>
  <c r="F15691" i="25" s="1"/>
  <c r="H15690" i="25"/>
  <c r="D15690" i="25" s="1"/>
  <c r="E15690" i="25" s="1"/>
  <c r="F15690" i="25" s="1"/>
  <c r="H15689" i="25"/>
  <c r="D15689" i="25" s="1"/>
  <c r="E15689" i="25" s="1"/>
  <c r="F15689" i="25" s="1"/>
  <c r="H15688" i="25"/>
  <c r="D15688" i="25" s="1"/>
  <c r="E15688" i="25" s="1"/>
  <c r="F15688" i="25" s="1"/>
  <c r="H15687" i="25"/>
  <c r="D15687" i="25" s="1"/>
  <c r="E15687" i="25" s="1"/>
  <c r="H15686" i="25"/>
  <c r="D15686" i="25" s="1"/>
  <c r="E15686" i="25" s="1"/>
  <c r="F15686" i="25" s="1"/>
  <c r="H15685" i="25"/>
  <c r="D15685" i="25" s="1"/>
  <c r="E15685" i="25" s="1"/>
  <c r="F15685" i="25" s="1"/>
  <c r="H15684" i="25"/>
  <c r="D15684" i="25" s="1"/>
  <c r="E15684" i="25" s="1"/>
  <c r="F15684" i="25" s="1"/>
  <c r="H15683" i="25"/>
  <c r="D15683" i="25" s="1"/>
  <c r="E15683" i="25" s="1"/>
  <c r="F15683" i="25" s="1"/>
  <c r="E15681" i="25"/>
  <c r="AF36" i="32"/>
  <c r="AV36" i="32"/>
  <c r="AW36" i="32" s="1"/>
  <c r="AV33" i="32"/>
  <c r="AW33" i="32" s="1"/>
  <c r="AF33" i="32"/>
  <c r="AS33" i="32"/>
  <c r="AV35" i="32"/>
  <c r="AZ35" i="32" s="1"/>
  <c r="AF35" i="32"/>
  <c r="AR35" i="32"/>
  <c r="AS35" i="32" s="1"/>
  <c r="AS488" i="29"/>
  <c r="AV488" i="29"/>
  <c r="AW488" i="29" s="1"/>
  <c r="AV489" i="29"/>
  <c r="AZ489" i="29" s="1"/>
  <c r="AR489" i="29"/>
  <c r="AS489" i="29" s="1"/>
  <c r="AG486" i="29"/>
  <c r="AR486" i="29"/>
  <c r="AS486" i="29" s="1"/>
  <c r="AV486" i="29"/>
  <c r="AW486" i="29" s="1"/>
  <c r="AV487" i="29"/>
  <c r="AZ487" i="29" s="1"/>
  <c r="AR487" i="29"/>
  <c r="AG487" i="29"/>
  <c r="AR485" i="29"/>
  <c r="AG485" i="29"/>
  <c r="AV485" i="29"/>
  <c r="AW485" i="29" s="1"/>
  <c r="AV484" i="29"/>
  <c r="AW484" i="29" s="1"/>
  <c r="AR484" i="29"/>
  <c r="AR483" i="29"/>
  <c r="AS483" i="29" s="1"/>
  <c r="AV483" i="29"/>
  <c r="AW483" i="29" s="1"/>
  <c r="I14196" i="25"/>
  <c r="H7457" i="25"/>
  <c r="H7456" i="25"/>
  <c r="H7455" i="25"/>
  <c r="H7454" i="25"/>
  <c r="H7453" i="25"/>
  <c r="H7452" i="25"/>
  <c r="H7451" i="25"/>
  <c r="H7450" i="25"/>
  <c r="H7449" i="25"/>
  <c r="H7448" i="25"/>
  <c r="AF34" i="32"/>
  <c r="AR34" i="32"/>
  <c r="AS34" i="32" s="1"/>
  <c r="AV34" i="32"/>
  <c r="AW34" i="32" s="1"/>
  <c r="AF32" i="32"/>
  <c r="AS32" i="32"/>
  <c r="AV32" i="32"/>
  <c r="AW32" i="32" s="1"/>
  <c r="AG481" i="29"/>
  <c r="AR481" i="29"/>
  <c r="AS481" i="29" s="1"/>
  <c r="AV481" i="29"/>
  <c r="AW481" i="29" s="1"/>
  <c r="AV482" i="29"/>
  <c r="AW482" i="29" s="1"/>
  <c r="AS482" i="29"/>
  <c r="AR480" i="29"/>
  <c r="AG480" i="29"/>
  <c r="AV480" i="29"/>
  <c r="AW480" i="29" s="1"/>
  <c r="L9689" i="25"/>
  <c r="AV16" i="32"/>
  <c r="AX16" i="32" s="1"/>
  <c r="AR16" i="32"/>
  <c r="AT16" i="32" s="1"/>
  <c r="AF16" i="32"/>
  <c r="AR31" i="32"/>
  <c r="AS31" i="32" s="1"/>
  <c r="AR30" i="32"/>
  <c r="AT30" i="32" s="1"/>
  <c r="AV31" i="32"/>
  <c r="AX31" i="32" s="1"/>
  <c r="AV30" i="32"/>
  <c r="AZ30" i="32" s="1"/>
  <c r="AR478" i="29"/>
  <c r="AS478" i="29" s="1"/>
  <c r="AR477" i="29"/>
  <c r="AV478" i="29"/>
  <c r="AZ478" i="29" s="1"/>
  <c r="AV477" i="29"/>
  <c r="AW477" i="29" s="1"/>
  <c r="AQ478" i="29"/>
  <c r="AN478" i="29"/>
  <c r="F15326" i="25"/>
  <c r="AQ474" i="29" s="1"/>
  <c r="H15335" i="25"/>
  <c r="H15334" i="25"/>
  <c r="H15333" i="25"/>
  <c r="L10720" i="25"/>
  <c r="L10721" i="25"/>
  <c r="L10722" i="25"/>
  <c r="L9535" i="25"/>
  <c r="L9687" i="25"/>
  <c r="AG477" i="29"/>
  <c r="AF31" i="32"/>
  <c r="AF30" i="32"/>
  <c r="I818" i="33"/>
  <c r="AR476" i="29"/>
  <c r="AS476" i="29" s="1"/>
  <c r="AV475" i="29"/>
  <c r="AZ475" i="29" s="1"/>
  <c r="AR475" i="29"/>
  <c r="AS475" i="29" s="1"/>
  <c r="AV474" i="29"/>
  <c r="AZ474" i="29" s="1"/>
  <c r="AR474" i="29"/>
  <c r="AS474" i="29" s="1"/>
  <c r="AV473" i="29"/>
  <c r="AW473" i="29" s="1"/>
  <c r="AR472" i="29"/>
  <c r="AS472" i="29" s="1"/>
  <c r="AV472" i="29"/>
  <c r="AZ472" i="29" s="1"/>
  <c r="R9256" i="25"/>
  <c r="S9256" i="25"/>
  <c r="Q9256" i="25"/>
  <c r="P9256" i="25"/>
  <c r="O9256" i="25"/>
  <c r="N9256" i="25"/>
  <c r="M9256" i="25"/>
  <c r="L9256" i="25"/>
  <c r="K9256" i="25"/>
  <c r="J9256" i="25"/>
  <c r="AV14" i="32"/>
  <c r="AZ14" i="32" s="1"/>
  <c r="AF14" i="32"/>
  <c r="AV471" i="29"/>
  <c r="AZ471" i="29" s="1"/>
  <c r="AG471" i="29"/>
  <c r="AZ294" i="29"/>
  <c r="AV326" i="29"/>
  <c r="AW326" i="29" s="1"/>
  <c r="AZ239" i="29"/>
  <c r="H8749" i="25"/>
  <c r="H8748" i="25"/>
  <c r="H8750" i="25"/>
  <c r="H8751" i="25"/>
  <c r="AV62" i="29"/>
  <c r="AW62" i="29" s="1"/>
  <c r="AR62" i="29"/>
  <c r="AS62" i="29" s="1"/>
  <c r="AR57" i="29"/>
  <c r="AS57" i="29" s="1"/>
  <c r="AV9" i="32"/>
  <c r="AZ9" i="32" s="1"/>
  <c r="AR9" i="32"/>
  <c r="AT9" i="32" s="1"/>
  <c r="AF9" i="32"/>
  <c r="AV7" i="32"/>
  <c r="AX7" i="32" s="1"/>
  <c r="AF7" i="32"/>
  <c r="AV12" i="32"/>
  <c r="AX12" i="32" s="1"/>
  <c r="AF12" i="32"/>
  <c r="AN466" i="29"/>
  <c r="AV3" i="32"/>
  <c r="AZ3" i="32" s="1"/>
  <c r="AF3" i="32"/>
  <c r="AV27" i="32"/>
  <c r="AW27" i="32" s="1"/>
  <c r="AR27" i="32"/>
  <c r="AS27" i="32" s="1"/>
  <c r="AF27" i="32"/>
  <c r="AV470" i="29"/>
  <c r="AW470" i="29" s="1"/>
  <c r="AR470" i="29"/>
  <c r="AS470" i="29" s="1"/>
  <c r="AV469" i="29"/>
  <c r="AZ469" i="29" s="1"/>
  <c r="AR469" i="29"/>
  <c r="AS469" i="29" s="1"/>
  <c r="AV468" i="29"/>
  <c r="AZ468" i="29" s="1"/>
  <c r="AG468" i="29"/>
  <c r="AR463" i="29"/>
  <c r="AT463" i="29" s="1"/>
  <c r="AV463" i="29"/>
  <c r="AZ463" i="29" s="1"/>
  <c r="AV467" i="29"/>
  <c r="AW467" i="29" s="1"/>
  <c r="AG467" i="29"/>
  <c r="AV20" i="32"/>
  <c r="AZ20" i="32" s="1"/>
  <c r="AR20" i="32"/>
  <c r="AS20" i="32" s="1"/>
  <c r="AF20" i="32"/>
  <c r="AQ462" i="29"/>
  <c r="AP376" i="29"/>
  <c r="C10970" i="25"/>
  <c r="AV459" i="29"/>
  <c r="AW459" i="29" s="1"/>
  <c r="AR459" i="29"/>
  <c r="AT459" i="29" s="1"/>
  <c r="AV466" i="29"/>
  <c r="AW466" i="29" s="1"/>
  <c r="AR466" i="29"/>
  <c r="AS466" i="29" s="1"/>
  <c r="AG466" i="29"/>
  <c r="AV465" i="29"/>
  <c r="AW465" i="29" s="1"/>
  <c r="AR465" i="29"/>
  <c r="AS465" i="29" s="1"/>
  <c r="AV15" i="32"/>
  <c r="AZ15" i="32" s="1"/>
  <c r="AR15" i="32"/>
  <c r="AT15" i="32" s="1"/>
  <c r="AF15" i="32"/>
  <c r="AV464" i="29"/>
  <c r="AW464" i="29" s="1"/>
  <c r="L10972" i="25"/>
  <c r="P6" i="33"/>
  <c r="P35" i="33"/>
  <c r="P34" i="33"/>
  <c r="P33" i="33"/>
  <c r="P32" i="33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P7" i="33"/>
  <c r="AV13" i="32"/>
  <c r="AX13" i="32" s="1"/>
  <c r="AR13" i="32"/>
  <c r="AS13" i="32" s="1"/>
  <c r="AF13" i="32"/>
  <c r="AV24" i="32"/>
  <c r="AX24" i="32" s="1"/>
  <c r="AR24" i="32"/>
  <c r="AS24" i="32" s="1"/>
  <c r="AF24" i="32"/>
  <c r="AV10" i="32"/>
  <c r="AX10" i="32" s="1"/>
  <c r="AF10" i="32"/>
  <c r="AV21" i="32"/>
  <c r="AX21" i="32" s="1"/>
  <c r="AR21" i="32"/>
  <c r="AT21" i="32" s="1"/>
  <c r="AF21" i="32"/>
  <c r="AV18" i="32"/>
  <c r="AW18" i="32" s="1"/>
  <c r="AR18" i="32"/>
  <c r="AT18" i="32" s="1"/>
  <c r="AF18" i="32"/>
  <c r="AV29" i="32"/>
  <c r="AZ29" i="32" s="1"/>
  <c r="AR29" i="32"/>
  <c r="AS29" i="32" s="1"/>
  <c r="AF29" i="32"/>
  <c r="AV25" i="32"/>
  <c r="AX25" i="32" s="1"/>
  <c r="AR25" i="32"/>
  <c r="AS25" i="32" s="1"/>
  <c r="AF25" i="32"/>
  <c r="AV4" i="32"/>
  <c r="AW4" i="32" s="1"/>
  <c r="AF4" i="32"/>
  <c r="AV6" i="32"/>
  <c r="AW6" i="32" s="1"/>
  <c r="AR6" i="32"/>
  <c r="AS6" i="32" s="1"/>
  <c r="AF6" i="32"/>
  <c r="AV28" i="32"/>
  <c r="AZ28" i="32" s="1"/>
  <c r="AF28" i="32"/>
  <c r="AV5" i="32"/>
  <c r="AX5" i="32" s="1"/>
  <c r="AF5" i="32"/>
  <c r="AV26" i="32"/>
  <c r="AX26" i="32" s="1"/>
  <c r="AF26" i="32"/>
  <c r="H7765" i="32"/>
  <c r="AN320" i="29"/>
  <c r="AQ455" i="29"/>
  <c r="AR462" i="29"/>
  <c r="AT462" i="29" s="1"/>
  <c r="AV462" i="29"/>
  <c r="AW462" i="29" s="1"/>
  <c r="H14332" i="25"/>
  <c r="H14331" i="25"/>
  <c r="H14330" i="25"/>
  <c r="H14329" i="25"/>
  <c r="H14328" i="25"/>
  <c r="H14327" i="25"/>
  <c r="H14326" i="25"/>
  <c r="H14325" i="25"/>
  <c r="H14324" i="25"/>
  <c r="H14323" i="25"/>
  <c r="H14322" i="25"/>
  <c r="H14321" i="25"/>
  <c r="H14320" i="25"/>
  <c r="H14319" i="25"/>
  <c r="H14318" i="25"/>
  <c r="H14317" i="25"/>
  <c r="H14316" i="25"/>
  <c r="H14315" i="25"/>
  <c r="H14314" i="25"/>
  <c r="H14313" i="25"/>
  <c r="H14312" i="25"/>
  <c r="H14311" i="25"/>
  <c r="H14310" i="25"/>
  <c r="H14309" i="25"/>
  <c r="H14308" i="25"/>
  <c r="H14307" i="25"/>
  <c r="H14306" i="25"/>
  <c r="H14305" i="25"/>
  <c r="H14304" i="25"/>
  <c r="H14303" i="25"/>
  <c r="AV461" i="29"/>
  <c r="AX461" i="29" s="1"/>
  <c r="AV460" i="29"/>
  <c r="AZ460" i="29" s="1"/>
  <c r="AV442" i="29"/>
  <c r="AX442" i="29" s="1"/>
  <c r="AV385" i="29"/>
  <c r="AW385" i="29" s="1"/>
  <c r="AZ402" i="29"/>
  <c r="L9676" i="25"/>
  <c r="L9677" i="25"/>
  <c r="L9678" i="25"/>
  <c r="L9679" i="25"/>
  <c r="L9680" i="25"/>
  <c r="L9681" i="25"/>
  <c r="L9682" i="25"/>
  <c r="L9683" i="25"/>
  <c r="L9684" i="25"/>
  <c r="L9685" i="25"/>
  <c r="L9686" i="25"/>
  <c r="L9688" i="25"/>
  <c r="L9690" i="25"/>
  <c r="L9691" i="25"/>
  <c r="L9692" i="25"/>
  <c r="L9693" i="25"/>
  <c r="AR456" i="29"/>
  <c r="AS456" i="29" s="1"/>
  <c r="AR455" i="29"/>
  <c r="AT455" i="29" s="1"/>
  <c r="AQ361" i="29"/>
  <c r="AP361" i="29" s="1"/>
  <c r="L9522" i="25"/>
  <c r="K9252" i="25"/>
  <c r="L9252" i="25"/>
  <c r="M9252" i="25"/>
  <c r="N9252" i="25"/>
  <c r="O9252" i="25"/>
  <c r="P9252" i="25"/>
  <c r="Q9252" i="25"/>
  <c r="J9252" i="25"/>
  <c r="AV458" i="29"/>
  <c r="AZ458" i="29" s="1"/>
  <c r="AG458" i="29"/>
  <c r="AV457" i="29"/>
  <c r="AZ457" i="29" s="1"/>
  <c r="AV456" i="29"/>
  <c r="AX456" i="29" s="1"/>
  <c r="AV455" i="29"/>
  <c r="AZ455" i="29" s="1"/>
  <c r="AV447" i="29"/>
  <c r="AW447" i="29" s="1"/>
  <c r="AV449" i="29"/>
  <c r="AW449" i="29" s="1"/>
  <c r="AR449" i="29"/>
  <c r="AS449" i="29" s="1"/>
  <c r="AW281" i="29"/>
  <c r="F14020" i="25"/>
  <c r="AN442" i="29" s="1"/>
  <c r="AV454" i="29"/>
  <c r="AX454" i="29" s="1"/>
  <c r="L9495" i="25"/>
  <c r="O9967" i="25"/>
  <c r="L10969" i="25"/>
  <c r="L10970" i="25"/>
  <c r="AV453" i="29"/>
  <c r="AZ453" i="29" s="1"/>
  <c r="AV452" i="29"/>
  <c r="AX452" i="29" s="1"/>
  <c r="AV451" i="29"/>
  <c r="AW451" i="29" s="1"/>
  <c r="AV450" i="29"/>
  <c r="AW450" i="29" s="1"/>
  <c r="AR450" i="29"/>
  <c r="AS450" i="29" s="1"/>
  <c r="AG453" i="29"/>
  <c r="L10932" i="25"/>
  <c r="L10933" i="25"/>
  <c r="AR410" i="29"/>
  <c r="AS410" i="29" s="1"/>
  <c r="AR5" i="29"/>
  <c r="AS5" i="29" s="1"/>
  <c r="AN387" i="29"/>
  <c r="AQ377" i="29"/>
  <c r="AP377" i="29" s="1"/>
  <c r="AN377" i="29"/>
  <c r="AN372" i="29"/>
  <c r="AQ315" i="29"/>
  <c r="AN314" i="29"/>
  <c r="AN312" i="29"/>
  <c r="AN307" i="29"/>
  <c r="AR303" i="29"/>
  <c r="AT303" i="29" s="1"/>
  <c r="AU303" i="29" s="1"/>
  <c r="AN303" i="29"/>
  <c r="AQ297" i="29"/>
  <c r="AP297" i="29"/>
  <c r="AN297" i="29"/>
  <c r="AV249" i="29"/>
  <c r="AW249" i="29" s="1"/>
  <c r="AV247" i="29"/>
  <c r="AW247" i="29" s="1"/>
  <c r="AR247" i="29"/>
  <c r="AS247" i="29" s="1"/>
  <c r="AR225" i="29"/>
  <c r="AT225" i="29" s="1"/>
  <c r="AU225" i="29" s="1"/>
  <c r="AR193" i="29"/>
  <c r="AT193" i="29" s="1"/>
  <c r="AU193" i="29" s="1"/>
  <c r="AV117" i="29"/>
  <c r="AX117" i="29" s="1"/>
  <c r="AY117" i="29" s="1"/>
  <c r="AR102" i="29"/>
  <c r="AS102" i="29" s="1"/>
  <c r="AV98" i="29"/>
  <c r="AW98" i="29" s="1"/>
  <c r="AR86" i="29"/>
  <c r="AT86" i="29" s="1"/>
  <c r="AU86" i="29" s="1"/>
  <c r="AR76" i="29"/>
  <c r="AS76" i="29" s="1"/>
  <c r="AR66" i="29"/>
  <c r="AS66" i="29" s="1"/>
  <c r="AR61" i="29"/>
  <c r="AS61" i="29" s="1"/>
  <c r="AR58" i="29"/>
  <c r="AS58" i="29" s="1"/>
  <c r="AR52" i="29"/>
  <c r="AS52" i="29" s="1"/>
  <c r="AV448" i="29"/>
  <c r="AX448" i="29" s="1"/>
  <c r="AR448" i="29"/>
  <c r="AS448" i="29" s="1"/>
  <c r="AV446" i="29"/>
  <c r="AX446" i="29" s="1"/>
  <c r="AR446" i="29"/>
  <c r="AT446" i="29" s="1"/>
  <c r="AV445" i="29"/>
  <c r="AX445" i="29" s="1"/>
  <c r="AR445" i="29"/>
  <c r="AS445" i="29" s="1"/>
  <c r="AV444" i="29"/>
  <c r="AZ444" i="29" s="1"/>
  <c r="AV443" i="29"/>
  <c r="AW443" i="29" s="1"/>
  <c r="AR443" i="29"/>
  <c r="AS443" i="29" s="1"/>
  <c r="AR442" i="29"/>
  <c r="AS442" i="29" s="1"/>
  <c r="AV441" i="29"/>
  <c r="AW441" i="29" s="1"/>
  <c r="AR440" i="29"/>
  <c r="AT440" i="29" s="1"/>
  <c r="AV439" i="29"/>
  <c r="AX439" i="29" s="1"/>
  <c r="AR439" i="29"/>
  <c r="AT439" i="29" s="1"/>
  <c r="AV438" i="29"/>
  <c r="AZ438" i="29" s="1"/>
  <c r="AR438" i="29"/>
  <c r="AS438" i="29" s="1"/>
  <c r="AV437" i="29"/>
  <c r="AW437" i="29" s="1"/>
  <c r="AR437" i="29"/>
  <c r="AT437" i="29" s="1"/>
  <c r="AV436" i="29"/>
  <c r="AX436" i="29" s="1"/>
  <c r="AR436" i="29"/>
  <c r="AT436" i="29" s="1"/>
  <c r="AV435" i="29"/>
  <c r="AZ435" i="29" s="1"/>
  <c r="AR435" i="29"/>
  <c r="AT435" i="29" s="1"/>
  <c r="AU435" i="29" s="1"/>
  <c r="AV434" i="29"/>
  <c r="AZ434" i="29" s="1"/>
  <c r="AR434" i="29"/>
  <c r="AT434" i="29" s="1"/>
  <c r="AV432" i="29"/>
  <c r="AW432" i="29" s="1"/>
  <c r="AR432" i="29"/>
  <c r="AT432" i="29" s="1"/>
  <c r="AU432" i="29" s="1"/>
  <c r="AV431" i="29"/>
  <c r="AW431" i="29" s="1"/>
  <c r="AR431" i="29"/>
  <c r="AT431" i="29" s="1"/>
  <c r="AV429" i="29"/>
  <c r="AZ429" i="29" s="1"/>
  <c r="AR429" i="29"/>
  <c r="AS429" i="29" s="1"/>
  <c r="AV428" i="29"/>
  <c r="AX428" i="29" s="1"/>
  <c r="AR428" i="29"/>
  <c r="AT428" i="29" s="1"/>
  <c r="AV427" i="29"/>
  <c r="AW427" i="29" s="1"/>
  <c r="AR427" i="29"/>
  <c r="AT427" i="29" s="1"/>
  <c r="AV426" i="29"/>
  <c r="AZ426" i="29" s="1"/>
  <c r="AR426" i="29"/>
  <c r="AS426" i="29" s="1"/>
  <c r="AV425" i="29"/>
  <c r="AZ425" i="29" s="1"/>
  <c r="AV424" i="29"/>
  <c r="AX424" i="29" s="1"/>
  <c r="AT424" i="29"/>
  <c r="AV423" i="29"/>
  <c r="AZ423" i="29" s="1"/>
  <c r="AV422" i="29"/>
  <c r="AW422" i="29" s="1"/>
  <c r="AV421" i="29"/>
  <c r="AZ421" i="29" s="1"/>
  <c r="AV420" i="29"/>
  <c r="AW420" i="29" s="1"/>
  <c r="AR420" i="29"/>
  <c r="AS420" i="29" s="1"/>
  <c r="AV419" i="29"/>
  <c r="AZ419" i="29" s="1"/>
  <c r="AR419" i="29"/>
  <c r="AS419" i="29" s="1"/>
  <c r="AV418" i="29"/>
  <c r="AX418" i="29" s="1"/>
  <c r="AY418" i="29" s="1"/>
  <c r="AR418" i="29"/>
  <c r="AT418" i="29" s="1"/>
  <c r="AU418" i="29" s="1"/>
  <c r="AV417" i="29"/>
  <c r="AW417" i="29" s="1"/>
  <c r="AV416" i="29"/>
  <c r="AZ416" i="29" s="1"/>
  <c r="AR416" i="29"/>
  <c r="AS416" i="29" s="1"/>
  <c r="AR415" i="29"/>
  <c r="AT415" i="29" s="1"/>
  <c r="AV414" i="29"/>
  <c r="AX414" i="29" s="1"/>
  <c r="AY414" i="29" s="1"/>
  <c r="AR414" i="29"/>
  <c r="AS414" i="29" s="1"/>
  <c r="AV413" i="29"/>
  <c r="AW413" i="29" s="1"/>
  <c r="AR413" i="29"/>
  <c r="AS413" i="29" s="1"/>
  <c r="AV412" i="29"/>
  <c r="AW412" i="29" s="1"/>
  <c r="AV411" i="29"/>
  <c r="AX411" i="29" s="1"/>
  <c r="AR411" i="29"/>
  <c r="AT411" i="29" s="1"/>
  <c r="AV410" i="29"/>
  <c r="AW410" i="29" s="1"/>
  <c r="AZ409" i="29"/>
  <c r="AW409" i="29"/>
  <c r="AV408" i="29"/>
  <c r="AX408" i="29" s="1"/>
  <c r="AY408" i="29" s="1"/>
  <c r="AV406" i="29"/>
  <c r="AW406" i="29" s="1"/>
  <c r="AR406" i="29"/>
  <c r="AS406" i="29" s="1"/>
  <c r="AR405" i="29"/>
  <c r="AT405" i="29" s="1"/>
  <c r="AV404" i="29"/>
  <c r="AZ404" i="29" s="1"/>
  <c r="AR404" i="29"/>
  <c r="AT404" i="29" s="1"/>
  <c r="AV403" i="29"/>
  <c r="AX403" i="29" s="1"/>
  <c r="AR403" i="29"/>
  <c r="AS403" i="29" s="1"/>
  <c r="AV402" i="29"/>
  <c r="AW402" i="29" s="1"/>
  <c r="AR402" i="29"/>
  <c r="AS402" i="29" s="1"/>
  <c r="AV401" i="29"/>
  <c r="AX401" i="29" s="1"/>
  <c r="AY401" i="29" s="1"/>
  <c r="AR401" i="29"/>
  <c r="AS401" i="29" s="1"/>
  <c r="AV400" i="29"/>
  <c r="AZ400" i="29" s="1"/>
  <c r="AR400" i="29"/>
  <c r="AS400" i="29" s="1"/>
  <c r="AV398" i="29"/>
  <c r="AX398" i="29" s="1"/>
  <c r="AY398" i="29" s="1"/>
  <c r="AR398" i="29"/>
  <c r="AS398" i="29" s="1"/>
  <c r="AV397" i="29"/>
  <c r="AX397" i="29" s="1"/>
  <c r="AY397" i="29" s="1"/>
  <c r="AV396" i="29"/>
  <c r="AZ396" i="29" s="1"/>
  <c r="AR396" i="29"/>
  <c r="AS396" i="29" s="1"/>
  <c r="AV395" i="29"/>
  <c r="AZ395" i="29" s="1"/>
  <c r="AR395" i="29"/>
  <c r="AT395" i="29" s="1"/>
  <c r="AU395" i="29" s="1"/>
  <c r="AV394" i="29"/>
  <c r="AW394" i="29" s="1"/>
  <c r="AR394" i="29"/>
  <c r="AT394" i="29" s="1"/>
  <c r="AU394" i="29" s="1"/>
  <c r="AV393" i="29"/>
  <c r="AX393" i="29" s="1"/>
  <c r="AY393" i="29" s="1"/>
  <c r="AR393" i="29"/>
  <c r="AT393" i="29" s="1"/>
  <c r="AU393" i="29" s="1"/>
  <c r="AV392" i="29"/>
  <c r="AZ392" i="29" s="1"/>
  <c r="AR392" i="29"/>
  <c r="AS392" i="29" s="1"/>
  <c r="AV391" i="29"/>
  <c r="AZ391" i="29" s="1"/>
  <c r="AR391" i="29"/>
  <c r="AT391" i="29" s="1"/>
  <c r="AU391" i="29" s="1"/>
  <c r="AV390" i="29"/>
  <c r="AW390" i="29" s="1"/>
  <c r="AR390" i="29"/>
  <c r="AT390" i="29" s="1"/>
  <c r="AU390" i="29" s="1"/>
  <c r="AV389" i="29"/>
  <c r="AX389" i="29" s="1"/>
  <c r="AY389" i="29" s="1"/>
  <c r="AR389" i="29"/>
  <c r="AT389" i="29" s="1"/>
  <c r="AU389" i="29" s="1"/>
  <c r="AV388" i="29"/>
  <c r="AW388" i="29" s="1"/>
  <c r="AR388" i="29"/>
  <c r="AS388" i="29" s="1"/>
  <c r="AV387" i="29"/>
  <c r="AZ387" i="29" s="1"/>
  <c r="AR387" i="29"/>
  <c r="AS387" i="29" s="1"/>
  <c r="AV386" i="29"/>
  <c r="AW386" i="29" s="1"/>
  <c r="AR386" i="29"/>
  <c r="AS386" i="29" s="1"/>
  <c r="AR385" i="29"/>
  <c r="AS385" i="29" s="1"/>
  <c r="AV384" i="29"/>
  <c r="AZ384" i="29" s="1"/>
  <c r="AR384" i="29"/>
  <c r="AS384" i="29" s="1"/>
  <c r="AV383" i="29"/>
  <c r="AX383" i="29" s="1"/>
  <c r="AY383" i="29" s="1"/>
  <c r="AS383" i="29"/>
  <c r="AV382" i="29"/>
  <c r="AX382" i="29" s="1"/>
  <c r="AY382" i="29" s="1"/>
  <c r="AR382" i="29"/>
  <c r="AT382" i="29" s="1"/>
  <c r="AU382" i="29" s="1"/>
  <c r="AV381" i="29"/>
  <c r="AW381" i="29" s="1"/>
  <c r="AR381" i="29"/>
  <c r="AT381" i="29" s="1"/>
  <c r="AU381" i="29" s="1"/>
  <c r="AV380" i="29"/>
  <c r="AX380" i="29" s="1"/>
  <c r="AY380" i="29" s="1"/>
  <c r="AV379" i="29"/>
  <c r="AZ379" i="29" s="1"/>
  <c r="AR379" i="29"/>
  <c r="AS379" i="29" s="1"/>
  <c r="AV378" i="29"/>
  <c r="AZ378" i="29" s="1"/>
  <c r="AR378" i="29"/>
  <c r="AS378" i="29" s="1"/>
  <c r="AV377" i="29"/>
  <c r="AZ377" i="29" s="1"/>
  <c r="AR377" i="29"/>
  <c r="AT377" i="29" s="1"/>
  <c r="AU377" i="29" s="1"/>
  <c r="AV376" i="29"/>
  <c r="AW376" i="29" s="1"/>
  <c r="AR376" i="29"/>
  <c r="AS376" i="29" s="1"/>
  <c r="AV375" i="29"/>
  <c r="AZ375" i="29" s="1"/>
  <c r="AR375" i="29"/>
  <c r="AS375" i="29" s="1"/>
  <c r="AV374" i="29"/>
  <c r="AZ374" i="29" s="1"/>
  <c r="AR374" i="29"/>
  <c r="AS374" i="29" s="1"/>
  <c r="AV373" i="29"/>
  <c r="AW373" i="29" s="1"/>
  <c r="AR373" i="29"/>
  <c r="AT373" i="29" s="1"/>
  <c r="AU373" i="29" s="1"/>
  <c r="AV372" i="29"/>
  <c r="AW372" i="29" s="1"/>
  <c r="AR372" i="29"/>
  <c r="AT372" i="29" s="1"/>
  <c r="AU372" i="29" s="1"/>
  <c r="AV370" i="29"/>
  <c r="AX370" i="29" s="1"/>
  <c r="AY370" i="29" s="1"/>
  <c r="AT370" i="29"/>
  <c r="AU370" i="29" s="1"/>
  <c r="AV369" i="29"/>
  <c r="AX369" i="29" s="1"/>
  <c r="AY369" i="29" s="1"/>
  <c r="AV368" i="29"/>
  <c r="AX368" i="29" s="1"/>
  <c r="AY368" i="29" s="1"/>
  <c r="AV366" i="29"/>
  <c r="AZ366" i="29" s="1"/>
  <c r="AR366" i="29"/>
  <c r="AS366" i="29" s="1"/>
  <c r="AV365" i="29"/>
  <c r="AW365" i="29" s="1"/>
  <c r="AR365" i="29"/>
  <c r="AT365" i="29" s="1"/>
  <c r="AU365" i="29" s="1"/>
  <c r="AZ363" i="29"/>
  <c r="AV363" i="29"/>
  <c r="AX363" i="29" s="1"/>
  <c r="AR363" i="29"/>
  <c r="AT363" i="29" s="1"/>
  <c r="AV362" i="29"/>
  <c r="AZ362" i="29" s="1"/>
  <c r="AR362" i="29"/>
  <c r="AT362" i="29" s="1"/>
  <c r="AU362" i="29" s="1"/>
  <c r="AV361" i="29"/>
  <c r="AW361" i="29" s="1"/>
  <c r="AR361" i="29"/>
  <c r="AT361" i="29" s="1"/>
  <c r="AU361" i="29" s="1"/>
  <c r="AV360" i="29"/>
  <c r="AZ360" i="29" s="1"/>
  <c r="AR360" i="29"/>
  <c r="AT360" i="29" s="1"/>
  <c r="AU360" i="29" s="1"/>
  <c r="AV359" i="29"/>
  <c r="AW359" i="29" s="1"/>
  <c r="AV358" i="29"/>
  <c r="AW358" i="29" s="1"/>
  <c r="AR358" i="29"/>
  <c r="AS358" i="29" s="1"/>
  <c r="AV357" i="29"/>
  <c r="AX357" i="29" s="1"/>
  <c r="AY357" i="29" s="1"/>
  <c r="AR357" i="29"/>
  <c r="AT357" i="29" s="1"/>
  <c r="AU357" i="29" s="1"/>
  <c r="AV356" i="29"/>
  <c r="AW356" i="29" s="1"/>
  <c r="AR356" i="29"/>
  <c r="AS356" i="29" s="1"/>
  <c r="AV355" i="29"/>
  <c r="AW355" i="29" s="1"/>
  <c r="AR355" i="29"/>
  <c r="AS355" i="29" s="1"/>
  <c r="AV354" i="29"/>
  <c r="AW354" i="29" s="1"/>
  <c r="AR354" i="29"/>
  <c r="AS354" i="29" s="1"/>
  <c r="AZ353" i="29"/>
  <c r="AV353" i="29"/>
  <c r="AX353" i="29" s="1"/>
  <c r="AY353" i="29" s="1"/>
  <c r="AR353" i="29"/>
  <c r="AT353" i="29" s="1"/>
  <c r="AU353" i="29" s="1"/>
  <c r="AV352" i="29"/>
  <c r="AX352" i="29" s="1"/>
  <c r="AY352" i="29" s="1"/>
  <c r="AR352" i="29"/>
  <c r="AS352" i="29" s="1"/>
  <c r="AZ351" i="29"/>
  <c r="AV351" i="29"/>
  <c r="AX351" i="29" s="1"/>
  <c r="AY351" i="29" s="1"/>
  <c r="AR351" i="29"/>
  <c r="AT351" i="29" s="1"/>
  <c r="AU351" i="29" s="1"/>
  <c r="AW350" i="29"/>
  <c r="AR350" i="29"/>
  <c r="AT350" i="29" s="1"/>
  <c r="AU350" i="29" s="1"/>
  <c r="AV349" i="29"/>
  <c r="AZ349" i="29" s="1"/>
  <c r="AZ348" i="29"/>
  <c r="AV348" i="29"/>
  <c r="AX348" i="29" s="1"/>
  <c r="AY348" i="29" s="1"/>
  <c r="AR348" i="29"/>
  <c r="AS348" i="29" s="1"/>
  <c r="AV347" i="29"/>
  <c r="AW347" i="29" s="1"/>
  <c r="AR347" i="29"/>
  <c r="AS347" i="29" s="1"/>
  <c r="AV346" i="29"/>
  <c r="AW346" i="29" s="1"/>
  <c r="AR346" i="29"/>
  <c r="AT346" i="29" s="1"/>
  <c r="AU346" i="29" s="1"/>
  <c r="AV344" i="29"/>
  <c r="AZ344" i="29" s="1"/>
  <c r="AR344" i="29"/>
  <c r="AT344" i="29" s="1"/>
  <c r="AU344" i="29" s="1"/>
  <c r="AV343" i="29"/>
  <c r="AX343" i="29" s="1"/>
  <c r="AY343" i="29" s="1"/>
  <c r="AR343" i="29"/>
  <c r="AT343" i="29" s="1"/>
  <c r="AU343" i="29" s="1"/>
  <c r="AV342" i="29"/>
  <c r="AZ342" i="29" s="1"/>
  <c r="AR342" i="29"/>
  <c r="AS342" i="29" s="1"/>
  <c r="AZ341" i="29"/>
  <c r="AV339" i="29"/>
  <c r="AW339" i="29" s="1"/>
  <c r="AR339" i="29"/>
  <c r="AS339" i="29" s="1"/>
  <c r="AV337" i="29"/>
  <c r="AX337" i="29" s="1"/>
  <c r="AY337" i="29" s="1"/>
  <c r="AR337" i="29"/>
  <c r="AT337" i="29" s="1"/>
  <c r="AU337" i="29" s="1"/>
  <c r="AV336" i="29"/>
  <c r="AZ336" i="29" s="1"/>
  <c r="AV334" i="29"/>
  <c r="AX334" i="29" s="1"/>
  <c r="AY334" i="29" s="1"/>
  <c r="AR334" i="29"/>
  <c r="AS334" i="29" s="1"/>
  <c r="AV333" i="29"/>
  <c r="AW333" i="29" s="1"/>
  <c r="AR333" i="29"/>
  <c r="AT333" i="29" s="1"/>
  <c r="AU333" i="29" s="1"/>
  <c r="AV332" i="29"/>
  <c r="AW332" i="29" s="1"/>
  <c r="AR332" i="29"/>
  <c r="AS332" i="29" s="1"/>
  <c r="AZ331" i="29"/>
  <c r="AV331" i="29"/>
  <c r="AW331" i="29" s="1"/>
  <c r="AR331" i="29"/>
  <c r="AS331" i="29" s="1"/>
  <c r="AV330" i="29"/>
  <c r="AW330" i="29" s="1"/>
  <c r="AR330" i="29"/>
  <c r="AT330" i="29" s="1"/>
  <c r="AU330" i="29" s="1"/>
  <c r="AZ329" i="29"/>
  <c r="AR329" i="29"/>
  <c r="AT329" i="29" s="1"/>
  <c r="AU329" i="29" s="1"/>
  <c r="AV328" i="29"/>
  <c r="AW328" i="29" s="1"/>
  <c r="AR328" i="29"/>
  <c r="AS328" i="29" s="1"/>
  <c r="AR326" i="29"/>
  <c r="AT326" i="29" s="1"/>
  <c r="AU326" i="29" s="1"/>
  <c r="AV325" i="29"/>
  <c r="AZ325" i="29" s="1"/>
  <c r="AR325" i="29"/>
  <c r="AT325" i="29" s="1"/>
  <c r="AU325" i="29" s="1"/>
  <c r="AV324" i="29"/>
  <c r="AX324" i="29" s="1"/>
  <c r="AY324" i="29" s="1"/>
  <c r="AR324" i="29"/>
  <c r="AT324" i="29" s="1"/>
  <c r="AU324" i="29" s="1"/>
  <c r="AV323" i="29"/>
  <c r="AX323" i="29" s="1"/>
  <c r="AY323" i="29" s="1"/>
  <c r="AZ322" i="29"/>
  <c r="AV322" i="29"/>
  <c r="AW322" i="29" s="1"/>
  <c r="AR322" i="29"/>
  <c r="AV321" i="29"/>
  <c r="AW321" i="29" s="1"/>
  <c r="AV320" i="29"/>
  <c r="AW320" i="29" s="1"/>
  <c r="AR320" i="29"/>
  <c r="AT320" i="29" s="1"/>
  <c r="AU320" i="29" s="1"/>
  <c r="AV319" i="29"/>
  <c r="AW319" i="29" s="1"/>
  <c r="AV318" i="29"/>
  <c r="AW318" i="29" s="1"/>
  <c r="AR318" i="29"/>
  <c r="AS318" i="29" s="1"/>
  <c r="AV316" i="29"/>
  <c r="AZ316" i="29" s="1"/>
  <c r="AV315" i="29"/>
  <c r="AW315" i="29" s="1"/>
  <c r="AV314" i="29"/>
  <c r="AW314" i="29" s="1"/>
  <c r="AR314" i="29"/>
  <c r="AT314" i="29" s="1"/>
  <c r="AU314" i="29" s="1"/>
  <c r="AV313" i="29"/>
  <c r="AX313" i="29" s="1"/>
  <c r="AY313" i="29" s="1"/>
  <c r="AR313" i="29"/>
  <c r="AT313" i="29" s="1"/>
  <c r="AU313" i="29" s="1"/>
  <c r="AV312" i="29"/>
  <c r="AZ312" i="29" s="1"/>
  <c r="AT312" i="29"/>
  <c r="AU312" i="29" s="1"/>
  <c r="AS312" i="29"/>
  <c r="AV311" i="29"/>
  <c r="AW311" i="29" s="1"/>
  <c r="AR311" i="29"/>
  <c r="AS311" i="29" s="1"/>
  <c r="AV309" i="29"/>
  <c r="AZ309" i="29" s="1"/>
  <c r="AR309" i="29"/>
  <c r="AT309" i="29" s="1"/>
  <c r="AU309" i="29" s="1"/>
  <c r="AV307" i="29"/>
  <c r="AZ307" i="29" s="1"/>
  <c r="AR307" i="29"/>
  <c r="AT307" i="29" s="1"/>
  <c r="AU307" i="29" s="1"/>
  <c r="AW306" i="29"/>
  <c r="AR306" i="29"/>
  <c r="AS306" i="29" s="1"/>
  <c r="AV305" i="29"/>
  <c r="AZ305" i="29" s="1"/>
  <c r="AR305" i="29"/>
  <c r="AT305" i="29" s="1"/>
  <c r="AU305" i="29" s="1"/>
  <c r="AZ303" i="29"/>
  <c r="AX303" i="29"/>
  <c r="AY303" i="29" s="1"/>
  <c r="AW303" i="29"/>
  <c r="AV300" i="29"/>
  <c r="AW300" i="29" s="1"/>
  <c r="AR300" i="29"/>
  <c r="AT300" i="29" s="1"/>
  <c r="AU300" i="29" s="1"/>
  <c r="AV299" i="29"/>
  <c r="AX299" i="29" s="1"/>
  <c r="AY299" i="29" s="1"/>
  <c r="AT299" i="29"/>
  <c r="AU299" i="29" s="1"/>
  <c r="AS299" i="29"/>
  <c r="AV297" i="29"/>
  <c r="AZ297" i="29" s="1"/>
  <c r="AV296" i="29"/>
  <c r="AZ296" i="29" s="1"/>
  <c r="AS295" i="29"/>
  <c r="AV292" i="29"/>
  <c r="AX292" i="29" s="1"/>
  <c r="AY292" i="29" s="1"/>
  <c r="AR292" i="29"/>
  <c r="AS292" i="29" s="1"/>
  <c r="AV291" i="29"/>
  <c r="AW291" i="29" s="1"/>
  <c r="AR291" i="29"/>
  <c r="AT291" i="29" s="1"/>
  <c r="AU291" i="29" s="1"/>
  <c r="AV290" i="29"/>
  <c r="AZ290" i="29" s="1"/>
  <c r="AR290" i="29"/>
  <c r="AT290" i="29" s="1"/>
  <c r="AU290" i="29" s="1"/>
  <c r="AV288" i="29"/>
  <c r="AZ288" i="29" s="1"/>
  <c r="AR288" i="29"/>
  <c r="AT288" i="29" s="1"/>
  <c r="AU288" i="29" s="1"/>
  <c r="AV286" i="29"/>
  <c r="AX286" i="29" s="1"/>
  <c r="AV283" i="29"/>
  <c r="AW283" i="29" s="1"/>
  <c r="AV278" i="29"/>
  <c r="AX278" i="29" s="1"/>
  <c r="AY278" i="29" s="1"/>
  <c r="AR278" i="29"/>
  <c r="AT278" i="29" s="1"/>
  <c r="AU278" i="29" s="1"/>
  <c r="AV277" i="29"/>
  <c r="AZ277" i="29" s="1"/>
  <c r="AR277" i="29"/>
  <c r="AT277" i="29" s="1"/>
  <c r="AU277" i="29" s="1"/>
  <c r="AZ271" i="29"/>
  <c r="AX271" i="29"/>
  <c r="AY271" i="29" s="1"/>
  <c r="AW271" i="29"/>
  <c r="AV270" i="29"/>
  <c r="AZ270" i="29" s="1"/>
  <c r="AR270" i="29"/>
  <c r="AS270" i="29" s="1"/>
  <c r="AV268" i="29"/>
  <c r="AW268" i="29" s="1"/>
  <c r="AR268" i="29"/>
  <c r="AT268" i="29" s="1"/>
  <c r="AU268" i="29" s="1"/>
  <c r="AV267" i="29"/>
  <c r="AZ267" i="29" s="1"/>
  <c r="AR267" i="29"/>
  <c r="AT267" i="29" s="1"/>
  <c r="AU267" i="29" s="1"/>
  <c r="AV266" i="29"/>
  <c r="AX266" i="29" s="1"/>
  <c r="AY266" i="29" s="1"/>
  <c r="AR266" i="29"/>
  <c r="AT266" i="29" s="1"/>
  <c r="AU266" i="29" s="1"/>
  <c r="AV265" i="29"/>
  <c r="AX265" i="29" s="1"/>
  <c r="AY265" i="29" s="1"/>
  <c r="AR265" i="29"/>
  <c r="AT265" i="29" s="1"/>
  <c r="AU265" i="29" s="1"/>
  <c r="AV263" i="29"/>
  <c r="AZ263" i="29" s="1"/>
  <c r="AR263" i="29"/>
  <c r="AS263" i="29" s="1"/>
  <c r="AW262" i="29"/>
  <c r="AV258" i="29"/>
  <c r="AW258" i="29" s="1"/>
  <c r="AR258" i="29"/>
  <c r="AT258" i="29" s="1"/>
  <c r="AV257" i="29"/>
  <c r="AZ257" i="29" s="1"/>
  <c r="AR257" i="29"/>
  <c r="AS257" i="29" s="1"/>
  <c r="AV256" i="29"/>
  <c r="AW256" i="29" s="1"/>
  <c r="AT256" i="29"/>
  <c r="AU256" i="29" s="1"/>
  <c r="AS256" i="29"/>
  <c r="AV255" i="29"/>
  <c r="AX255" i="29" s="1"/>
  <c r="AY255" i="29" s="1"/>
  <c r="AR255" i="29"/>
  <c r="AS255" i="29" s="1"/>
  <c r="AV254" i="29"/>
  <c r="AW254" i="29" s="1"/>
  <c r="AV253" i="29"/>
  <c r="AX253" i="29" s="1"/>
  <c r="AY253" i="29" s="1"/>
  <c r="AV252" i="29"/>
  <c r="AW252" i="29" s="1"/>
  <c r="AR252" i="29"/>
  <c r="AT252" i="29" s="1"/>
  <c r="AU252" i="29" s="1"/>
  <c r="AV251" i="29"/>
  <c r="AX251" i="29" s="1"/>
  <c r="AY251" i="29" s="1"/>
  <c r="AR251" i="29"/>
  <c r="AS251" i="29" s="1"/>
  <c r="AV250" i="29"/>
  <c r="AZ250" i="29" s="1"/>
  <c r="AR250" i="29"/>
  <c r="AS250" i="29" s="1"/>
  <c r="AR249" i="29"/>
  <c r="AT249" i="29" s="1"/>
  <c r="AU249" i="29" s="1"/>
  <c r="AV246" i="29"/>
  <c r="AX246" i="29" s="1"/>
  <c r="AY246" i="29" s="1"/>
  <c r="AR246" i="29"/>
  <c r="AS246" i="29" s="1"/>
  <c r="AV244" i="29"/>
  <c r="AX244" i="29" s="1"/>
  <c r="AY244" i="29" s="1"/>
  <c r="AR244" i="29"/>
  <c r="AS244" i="29" s="1"/>
  <c r="AV243" i="29"/>
  <c r="AX243" i="29" s="1"/>
  <c r="AY243" i="29" s="1"/>
  <c r="AV241" i="29"/>
  <c r="AX241" i="29" s="1"/>
  <c r="AY241" i="29" s="1"/>
  <c r="AR241" i="29"/>
  <c r="AS241" i="29" s="1"/>
  <c r="AX239" i="29"/>
  <c r="AY239" i="29" s="1"/>
  <c r="AR239" i="29"/>
  <c r="AT239" i="29" s="1"/>
  <c r="AU239" i="29" s="1"/>
  <c r="AZ238" i="29"/>
  <c r="AR238" i="29"/>
  <c r="AS238" i="29" s="1"/>
  <c r="AZ237" i="29"/>
  <c r="AW237" i="29"/>
  <c r="AR237" i="29"/>
  <c r="AS237" i="29" s="1"/>
  <c r="AZ235" i="29"/>
  <c r="AX235" i="29"/>
  <c r="AY235" i="29" s="1"/>
  <c r="AW235" i="29"/>
  <c r="AR235" i="29"/>
  <c r="AS235" i="29" s="1"/>
  <c r="AZ234" i="29"/>
  <c r="AX234" i="29"/>
  <c r="AY234" i="29" s="1"/>
  <c r="AR234" i="29"/>
  <c r="AS234" i="29" s="1"/>
  <c r="AZ233" i="29"/>
  <c r="AX233" i="29"/>
  <c r="AY233" i="29" s="1"/>
  <c r="AR233" i="29"/>
  <c r="AS233" i="29" s="1"/>
  <c r="AZ232" i="29"/>
  <c r="AX232" i="29"/>
  <c r="AY232" i="29" s="1"/>
  <c r="AR232" i="29"/>
  <c r="AS232" i="29" s="1"/>
  <c r="AZ230" i="29"/>
  <c r="AR230" i="29"/>
  <c r="AS230" i="29" s="1"/>
  <c r="AZ227" i="29"/>
  <c r="AZ226" i="29"/>
  <c r="AX226" i="29"/>
  <c r="AY226" i="29" s="1"/>
  <c r="AR226" i="29"/>
  <c r="AT226" i="29" s="1"/>
  <c r="AU226" i="29" s="1"/>
  <c r="AZ224" i="29"/>
  <c r="AX224" i="29"/>
  <c r="AY224" i="29" s="1"/>
  <c r="AV223" i="29"/>
  <c r="AZ223" i="29" s="1"/>
  <c r="AV222" i="29"/>
  <c r="AZ222" i="29" s="1"/>
  <c r="AR222" i="29"/>
  <c r="AS222" i="29" s="1"/>
  <c r="AV221" i="29"/>
  <c r="AZ221" i="29" s="1"/>
  <c r="AZ220" i="29"/>
  <c r="AR220" i="29"/>
  <c r="AS220" i="29" s="1"/>
  <c r="AV219" i="29"/>
  <c r="AW219" i="29" s="1"/>
  <c r="AV218" i="29"/>
  <c r="AZ218" i="29" s="1"/>
  <c r="AV217" i="29"/>
  <c r="AZ217" i="29" s="1"/>
  <c r="AV216" i="29"/>
  <c r="AX216" i="29" s="1"/>
  <c r="AY216" i="29" s="1"/>
  <c r="AV215" i="29"/>
  <c r="AZ215" i="29" s="1"/>
  <c r="AV214" i="29"/>
  <c r="AX214" i="29" s="1"/>
  <c r="AY214" i="29" s="1"/>
  <c r="AV213" i="29"/>
  <c r="AZ213" i="29" s="1"/>
  <c r="AV212" i="29"/>
  <c r="AZ212" i="29" s="1"/>
  <c r="AR212" i="29"/>
  <c r="AS212" i="29" s="1"/>
  <c r="AZ211" i="29"/>
  <c r="AR211" i="29"/>
  <c r="AS211" i="29" s="1"/>
  <c r="AV209" i="29"/>
  <c r="AZ209" i="29" s="1"/>
  <c r="AV208" i="29"/>
  <c r="AW208" i="29" s="1"/>
  <c r="AS208" i="29"/>
  <c r="AV207" i="29"/>
  <c r="AZ207" i="29" s="1"/>
  <c r="AV205" i="29"/>
  <c r="AX205" i="29" s="1"/>
  <c r="AY205" i="29" s="1"/>
  <c r="AV204" i="29"/>
  <c r="AX204" i="29" s="1"/>
  <c r="AY204" i="29" s="1"/>
  <c r="AV203" i="29"/>
  <c r="AX203" i="29" s="1"/>
  <c r="AY203" i="29" s="1"/>
  <c r="AV202" i="29"/>
  <c r="AX202" i="29" s="1"/>
  <c r="AY202" i="29" s="1"/>
  <c r="AV200" i="29"/>
  <c r="AW200" i="29" s="1"/>
  <c r="AV199" i="29"/>
  <c r="AW199" i="29" s="1"/>
  <c r="AV197" i="29"/>
  <c r="AW197" i="29" s="1"/>
  <c r="AV195" i="29"/>
  <c r="AW195" i="29" s="1"/>
  <c r="AV192" i="29"/>
  <c r="AX192" i="29" s="1"/>
  <c r="AY192" i="29" s="1"/>
  <c r="AV191" i="29"/>
  <c r="AZ191" i="29" s="1"/>
  <c r="AV190" i="29"/>
  <c r="AX190" i="29" s="1"/>
  <c r="AV189" i="29"/>
  <c r="AZ189" i="29" s="1"/>
  <c r="AV188" i="29"/>
  <c r="AX188" i="29" s="1"/>
  <c r="AY188" i="29" s="1"/>
  <c r="AR188" i="29"/>
  <c r="AT188" i="29" s="1"/>
  <c r="AU188" i="29" s="1"/>
  <c r="AZ187" i="29"/>
  <c r="AZ185" i="29"/>
  <c r="AX185" i="29"/>
  <c r="AY185" i="29" s="1"/>
  <c r="AV184" i="29"/>
  <c r="AZ184" i="29" s="1"/>
  <c r="AV183" i="29"/>
  <c r="AZ183" i="29" s="1"/>
  <c r="AS183" i="29"/>
  <c r="AV182" i="29"/>
  <c r="AW182" i="29" s="1"/>
  <c r="AR182" i="29"/>
  <c r="AS182" i="29" s="1"/>
  <c r="AT181" i="29"/>
  <c r="AU181" i="29" s="1"/>
  <c r="AS181" i="29"/>
  <c r="AV180" i="29"/>
  <c r="AZ180" i="29" s="1"/>
  <c r="AV179" i="29"/>
  <c r="AX179" i="29" s="1"/>
  <c r="AY179" i="29" s="1"/>
  <c r="AV178" i="29"/>
  <c r="AW178" i="29" s="1"/>
  <c r="AV177" i="29"/>
  <c r="AW177" i="29" s="1"/>
  <c r="AR177" i="29"/>
  <c r="AS177" i="29" s="1"/>
  <c r="AV176" i="29"/>
  <c r="AW176" i="29" s="1"/>
  <c r="AR176" i="29"/>
  <c r="AT176" i="29" s="1"/>
  <c r="AU176" i="29" s="1"/>
  <c r="AV175" i="29"/>
  <c r="AZ175" i="29" s="1"/>
  <c r="AV174" i="29"/>
  <c r="AZ174" i="29" s="1"/>
  <c r="AV173" i="29"/>
  <c r="AZ173" i="29" s="1"/>
  <c r="AZ172" i="29"/>
  <c r="AV171" i="29"/>
  <c r="AW171" i="29" s="1"/>
  <c r="AZ170" i="29"/>
  <c r="AR170" i="29"/>
  <c r="AS170" i="29" s="1"/>
  <c r="AV169" i="29"/>
  <c r="AZ169" i="29" s="1"/>
  <c r="AV167" i="29"/>
  <c r="AW167" i="29" s="1"/>
  <c r="AV166" i="29"/>
  <c r="AZ166" i="29" s="1"/>
  <c r="AV163" i="29"/>
  <c r="AZ163" i="29" s="1"/>
  <c r="AV162" i="29"/>
  <c r="AW162" i="29" s="1"/>
  <c r="AV161" i="29"/>
  <c r="AW161" i="29" s="1"/>
  <c r="AV160" i="29"/>
  <c r="AW160" i="29" s="1"/>
  <c r="AV159" i="29"/>
  <c r="AX159" i="29" s="1"/>
  <c r="AY159" i="29" s="1"/>
  <c r="AV158" i="29"/>
  <c r="AZ158" i="29" s="1"/>
  <c r="AV157" i="29"/>
  <c r="AW157" i="29" s="1"/>
  <c r="AR157" i="29"/>
  <c r="AS157" i="29" s="1"/>
  <c r="AV156" i="29"/>
  <c r="AZ156" i="29" s="1"/>
  <c r="AV155" i="29"/>
  <c r="AZ155" i="29" s="1"/>
  <c r="AV154" i="29"/>
  <c r="AZ154" i="29" s="1"/>
  <c r="AZ153" i="29"/>
  <c r="AW153" i="29"/>
  <c r="AV152" i="29"/>
  <c r="AX152" i="29" s="1"/>
  <c r="AY152" i="29" s="1"/>
  <c r="AV151" i="29"/>
  <c r="AX151" i="29" s="1"/>
  <c r="AY151" i="29" s="1"/>
  <c r="AV150" i="29"/>
  <c r="AZ150" i="29" s="1"/>
  <c r="AR150" i="29"/>
  <c r="AS150" i="29" s="1"/>
  <c r="AV149" i="29"/>
  <c r="AX149" i="29" s="1"/>
  <c r="AY149" i="29" s="1"/>
  <c r="AV148" i="29"/>
  <c r="AW148" i="29" s="1"/>
  <c r="AR148" i="29"/>
  <c r="AS148" i="29" s="1"/>
  <c r="AV146" i="29"/>
  <c r="AW146" i="29" s="1"/>
  <c r="AV145" i="29"/>
  <c r="AW145" i="29" s="1"/>
  <c r="AR145" i="29"/>
  <c r="AS145" i="29" s="1"/>
  <c r="AV144" i="29"/>
  <c r="AW144" i="29" s="1"/>
  <c r="AS144" i="29"/>
  <c r="AV143" i="29"/>
  <c r="AW143" i="29" s="1"/>
  <c r="AS143" i="29"/>
  <c r="AV142" i="29"/>
  <c r="AZ142" i="29" s="1"/>
  <c r="AV141" i="29"/>
  <c r="AZ141" i="29" s="1"/>
  <c r="AV140" i="29"/>
  <c r="AW140" i="29" s="1"/>
  <c r="AV138" i="29"/>
  <c r="AZ138" i="29" s="1"/>
  <c r="AV137" i="29"/>
  <c r="AW137" i="29" s="1"/>
  <c r="AV136" i="29"/>
  <c r="AW136" i="29" s="1"/>
  <c r="AV135" i="29"/>
  <c r="AW135" i="29" s="1"/>
  <c r="AV134" i="29"/>
  <c r="AW134" i="29" s="1"/>
  <c r="AS134" i="29"/>
  <c r="AZ133" i="29"/>
  <c r="AR133" i="29"/>
  <c r="AS133" i="29" s="1"/>
  <c r="AR132" i="29"/>
  <c r="AS132" i="29" s="1"/>
  <c r="AV131" i="29"/>
  <c r="AW131" i="29" s="1"/>
  <c r="AR131" i="29"/>
  <c r="AS131" i="29" s="1"/>
  <c r="AV130" i="29"/>
  <c r="AZ130" i="29" s="1"/>
  <c r="AV129" i="29"/>
  <c r="AZ129" i="29" s="1"/>
  <c r="AS129" i="29"/>
  <c r="AZ128" i="29"/>
  <c r="AR128" i="29"/>
  <c r="AS128" i="29" s="1"/>
  <c r="AZ126" i="29"/>
  <c r="AV125" i="29"/>
  <c r="AZ125" i="29" s="1"/>
  <c r="AS125" i="29"/>
  <c r="AV124" i="29"/>
  <c r="AZ124" i="29" s="1"/>
  <c r="AR124" i="29"/>
  <c r="AS124" i="29" s="1"/>
  <c r="AV123" i="29"/>
  <c r="AW123" i="29" s="1"/>
  <c r="AV122" i="29"/>
  <c r="AZ122" i="29" s="1"/>
  <c r="AV121" i="29"/>
  <c r="AZ121" i="29" s="1"/>
  <c r="AR121" i="29"/>
  <c r="AS121" i="29" s="1"/>
  <c r="AV120" i="29"/>
  <c r="AZ120" i="29" s="1"/>
  <c r="AV119" i="29"/>
  <c r="AW119" i="29" s="1"/>
  <c r="AV118" i="29"/>
  <c r="AW118" i="29" s="1"/>
  <c r="AS118" i="29"/>
  <c r="AR116" i="29"/>
  <c r="AS116" i="29" s="1"/>
  <c r="AV115" i="29"/>
  <c r="AW115" i="29" s="1"/>
  <c r="AS115" i="29"/>
  <c r="AV114" i="29"/>
  <c r="AW114" i="29" s="1"/>
  <c r="AR114" i="29"/>
  <c r="AS114" i="29" s="1"/>
  <c r="AV113" i="29"/>
  <c r="AZ113" i="29" s="1"/>
  <c r="AV112" i="29"/>
  <c r="AZ112" i="29" s="1"/>
  <c r="AV111" i="29"/>
  <c r="AZ111" i="29" s="1"/>
  <c r="AZ110" i="29"/>
  <c r="AW110" i="29"/>
  <c r="AS110" i="29"/>
  <c r="AV109" i="29"/>
  <c r="AX109" i="29" s="1"/>
  <c r="AY109" i="29" s="1"/>
  <c r="AR108" i="29"/>
  <c r="AS108" i="29" s="1"/>
  <c r="AV106" i="29"/>
  <c r="AW106" i="29" s="1"/>
  <c r="AV105" i="29"/>
  <c r="AZ105" i="29" s="1"/>
  <c r="AS105" i="29"/>
  <c r="AV103" i="29"/>
  <c r="AW103" i="29" s="1"/>
  <c r="AS103" i="29"/>
  <c r="AV102" i="29"/>
  <c r="AW102" i="29" s="1"/>
  <c r="AV100" i="29"/>
  <c r="AW100" i="29" s="1"/>
  <c r="AV99" i="29"/>
  <c r="AW99" i="29" s="1"/>
  <c r="AS99" i="29"/>
  <c r="AZ97" i="29"/>
  <c r="AX97" i="29"/>
  <c r="AY97" i="29" s="1"/>
  <c r="AW97" i="29"/>
  <c r="AR96" i="29"/>
  <c r="AS96" i="29" s="1"/>
  <c r="AV95" i="29"/>
  <c r="AZ95" i="29" s="1"/>
  <c r="AV94" i="29"/>
  <c r="AZ94" i="29" s="1"/>
  <c r="AV92" i="29"/>
  <c r="AW92" i="29" s="1"/>
  <c r="AV91" i="29"/>
  <c r="AW91" i="29" s="1"/>
  <c r="AV90" i="29"/>
  <c r="AW90" i="29" s="1"/>
  <c r="AV89" i="29"/>
  <c r="AW89" i="29" s="1"/>
  <c r="AV88" i="29"/>
  <c r="AZ88" i="29" s="1"/>
  <c r="AW87" i="29"/>
  <c r="AZ86" i="29"/>
  <c r="AW86" i="29"/>
  <c r="AV85" i="29"/>
  <c r="AZ85" i="29" s="1"/>
  <c r="AZ84" i="29"/>
  <c r="AW84" i="29"/>
  <c r="AV83" i="29"/>
  <c r="AR83" i="29"/>
  <c r="AS83" i="29" s="1"/>
  <c r="AV82" i="29"/>
  <c r="AX82" i="29" s="1"/>
  <c r="AY82" i="29" s="1"/>
  <c r="AV81" i="29"/>
  <c r="AW81" i="29" s="1"/>
  <c r="AZ79" i="29"/>
  <c r="AR79" i="29"/>
  <c r="AS79" i="29" s="1"/>
  <c r="AV78" i="29"/>
  <c r="AW78" i="29" s="1"/>
  <c r="AZ77" i="29"/>
  <c r="AW77" i="29"/>
  <c r="AS77" i="29"/>
  <c r="AV76" i="29"/>
  <c r="AW76" i="29" s="1"/>
  <c r="AZ75" i="29"/>
  <c r="AR75" i="29"/>
  <c r="AS75" i="29" s="1"/>
  <c r="AR74" i="29"/>
  <c r="AS74" i="29" s="1"/>
  <c r="AR73" i="29"/>
  <c r="AS73" i="29" s="1"/>
  <c r="AV71" i="29"/>
  <c r="AZ71" i="29" s="1"/>
  <c r="AV70" i="29"/>
  <c r="AZ70" i="29" s="1"/>
  <c r="AR70" i="29"/>
  <c r="AS70" i="29" s="1"/>
  <c r="AV69" i="29"/>
  <c r="AZ69" i="29" s="1"/>
  <c r="AV68" i="29"/>
  <c r="AZ68" i="29" s="1"/>
  <c r="AV67" i="29"/>
  <c r="AW67" i="29" s="1"/>
  <c r="AZ66" i="29"/>
  <c r="AX66" i="29"/>
  <c r="AY66" i="29" s="1"/>
  <c r="AW66" i="29"/>
  <c r="AV65" i="29"/>
  <c r="AZ65" i="29" s="1"/>
  <c r="AR65" i="29"/>
  <c r="AS65" i="29" s="1"/>
  <c r="AV64" i="29"/>
  <c r="AW64" i="29" s="1"/>
  <c r="AV63" i="29"/>
  <c r="AZ63" i="29" s="1"/>
  <c r="AR63" i="29"/>
  <c r="AS63" i="29" s="1"/>
  <c r="AV61" i="29"/>
  <c r="AZ61" i="29" s="1"/>
  <c r="AV60" i="29"/>
  <c r="AW60" i="29" s="1"/>
  <c r="AR60" i="29"/>
  <c r="AS60" i="29" s="1"/>
  <c r="AV58" i="29"/>
  <c r="AW58" i="29" s="1"/>
  <c r="AV56" i="29"/>
  <c r="AZ56" i="29" s="1"/>
  <c r="AR56" i="29"/>
  <c r="AS56" i="29" s="1"/>
  <c r="AV55" i="29"/>
  <c r="AZ55" i="29" s="1"/>
  <c r="AS55" i="29"/>
  <c r="AV54" i="29"/>
  <c r="AZ54" i="29" s="1"/>
  <c r="AS54" i="29"/>
  <c r="AV53" i="29"/>
  <c r="AZ53" i="29" s="1"/>
  <c r="AR53" i="29"/>
  <c r="AS53" i="29" s="1"/>
  <c r="AZ52" i="29"/>
  <c r="AZ51" i="29"/>
  <c r="AR51" i="29"/>
  <c r="AS51" i="29" s="1"/>
  <c r="AZ50" i="29"/>
  <c r="AR50" i="29"/>
  <c r="AS50" i="29" s="1"/>
  <c r="AZ49" i="29"/>
  <c r="AR49" i="29"/>
  <c r="AS49" i="29" s="1"/>
  <c r="AZ48" i="29"/>
  <c r="AR48" i="29"/>
  <c r="AS48" i="29" s="1"/>
  <c r="AR46" i="29"/>
  <c r="AS46" i="29" s="1"/>
  <c r="AZ45" i="29"/>
  <c r="AW45" i="29"/>
  <c r="AR45" i="29"/>
  <c r="AS45" i="29" s="1"/>
  <c r="AZ44" i="29"/>
  <c r="AW44" i="29"/>
  <c r="AS44" i="29"/>
  <c r="AR42" i="29"/>
  <c r="AS42" i="29" s="1"/>
  <c r="AV41" i="29"/>
  <c r="AW41" i="29" s="1"/>
  <c r="AR41" i="29"/>
  <c r="AS41" i="29" s="1"/>
  <c r="AZ40" i="29"/>
  <c r="AW40" i="29"/>
  <c r="AR40" i="29"/>
  <c r="AS40" i="29" s="1"/>
  <c r="AV39" i="29"/>
  <c r="AZ39" i="29" s="1"/>
  <c r="AR39" i="29"/>
  <c r="AS39" i="29" s="1"/>
  <c r="AR36" i="29"/>
  <c r="AS36" i="29" s="1"/>
  <c r="AR35" i="29"/>
  <c r="AV35" i="29" s="1"/>
  <c r="AZ35" i="29" s="1"/>
  <c r="AR34" i="29"/>
  <c r="AS34" i="29" s="1"/>
  <c r="AV33" i="29"/>
  <c r="AW33" i="29" s="1"/>
  <c r="AS33" i="29"/>
  <c r="AR32" i="29"/>
  <c r="AS32" i="29" s="1"/>
  <c r="AV31" i="29"/>
  <c r="AZ31" i="29" s="1"/>
  <c r="AR31" i="29"/>
  <c r="AS31" i="29" s="1"/>
  <c r="AV30" i="29"/>
  <c r="AW30" i="29" s="1"/>
  <c r="AR30" i="29"/>
  <c r="AS30" i="29" s="1"/>
  <c r="AV29" i="29"/>
  <c r="AW29" i="29" s="1"/>
  <c r="AR29" i="29"/>
  <c r="AS29" i="29" s="1"/>
  <c r="AR28" i="29"/>
  <c r="AS28" i="29" s="1"/>
  <c r="AR27" i="29"/>
  <c r="AS27" i="29" s="1"/>
  <c r="AR26" i="29"/>
  <c r="AS26" i="29" s="1"/>
  <c r="AZ24" i="29"/>
  <c r="AW24" i="29"/>
  <c r="AS24" i="29"/>
  <c r="AV23" i="29"/>
  <c r="AW23" i="29" s="1"/>
  <c r="AR23" i="29"/>
  <c r="AS23" i="29" s="1"/>
  <c r="AV21" i="29"/>
  <c r="AW21" i="29" s="1"/>
  <c r="AR21" i="29"/>
  <c r="AS21" i="29" s="1"/>
  <c r="AV20" i="29"/>
  <c r="AW20" i="29" s="1"/>
  <c r="AR20" i="29"/>
  <c r="AS20" i="29" s="1"/>
  <c r="AZ19" i="29"/>
  <c r="AW19" i="29"/>
  <c r="AR19" i="29"/>
  <c r="AS19" i="29" s="1"/>
  <c r="AV18" i="29"/>
  <c r="AW18" i="29" s="1"/>
  <c r="AR18" i="29"/>
  <c r="AS18" i="29" s="1"/>
  <c r="AV17" i="29"/>
  <c r="AW17" i="29" s="1"/>
  <c r="AR17" i="29"/>
  <c r="AS17" i="29" s="1"/>
  <c r="AV15" i="29"/>
  <c r="AW15" i="29" s="1"/>
  <c r="AR15" i="29"/>
  <c r="AS15" i="29" s="1"/>
  <c r="AV14" i="29"/>
  <c r="AW14" i="29" s="1"/>
  <c r="AR14" i="29"/>
  <c r="AS14" i="29" s="1"/>
  <c r="AV13" i="29"/>
  <c r="AW13" i="29" s="1"/>
  <c r="AR13" i="29"/>
  <c r="AS13" i="29" s="1"/>
  <c r="AV12" i="29"/>
  <c r="AW12" i="29" s="1"/>
  <c r="AR12" i="29"/>
  <c r="AS12" i="29" s="1"/>
  <c r="AV11" i="29"/>
  <c r="AW11" i="29" s="1"/>
  <c r="AR11" i="29"/>
  <c r="AS11" i="29" s="1"/>
  <c r="AV10" i="29"/>
  <c r="AW10" i="29" s="1"/>
  <c r="AR10" i="29"/>
  <c r="AS10" i="29" s="1"/>
  <c r="AV9" i="29"/>
  <c r="AW9" i="29" s="1"/>
  <c r="AR9" i="29"/>
  <c r="AS9" i="29" s="1"/>
  <c r="AV8" i="29"/>
  <c r="AW8" i="29" s="1"/>
  <c r="AR8" i="29"/>
  <c r="AS8" i="29" s="1"/>
  <c r="AV7" i="29"/>
  <c r="AW7" i="29" s="1"/>
  <c r="AR7" i="29"/>
  <c r="AS7" i="29" s="1"/>
  <c r="AV6" i="29"/>
  <c r="AW6" i="29" s="1"/>
  <c r="AR6" i="29"/>
  <c r="AS6" i="29" s="1"/>
  <c r="AV5" i="29"/>
  <c r="AW5" i="29" s="1"/>
  <c r="AV4" i="29"/>
  <c r="AW4" i="29" s="1"/>
  <c r="AR4" i="29"/>
  <c r="AS4" i="29" s="1"/>
  <c r="AV3" i="29"/>
  <c r="AW3" i="29" s="1"/>
  <c r="AR3" i="29"/>
  <c r="AS3" i="29" s="1"/>
  <c r="AG445" i="29"/>
  <c r="AG439" i="29"/>
  <c r="AG434" i="29"/>
  <c r="AG402" i="29"/>
  <c r="AR243" i="29"/>
  <c r="AS243" i="29" s="1"/>
  <c r="AR187" i="29"/>
  <c r="AT187" i="29" s="1"/>
  <c r="AU187" i="29" s="1"/>
  <c r="AR139" i="29"/>
  <c r="AT139" i="29" s="1"/>
  <c r="AU139" i="29" s="1"/>
  <c r="AR127" i="29"/>
  <c r="AT127" i="29" s="1"/>
  <c r="AU127" i="29" s="1"/>
  <c r="AR107" i="29"/>
  <c r="AS107" i="29" s="1"/>
  <c r="AR80" i="29"/>
  <c r="AT80" i="29" s="1"/>
  <c r="AU80" i="29" s="1"/>
  <c r="AR59" i="29"/>
  <c r="AS59" i="29" s="1"/>
  <c r="AR47" i="29"/>
  <c r="AS47" i="29" s="1"/>
  <c r="AR38" i="29"/>
  <c r="AT38" i="29" s="1"/>
  <c r="AU38" i="29" s="1"/>
  <c r="AR25" i="29"/>
  <c r="AS25" i="29" s="1"/>
  <c r="M116" i="29"/>
  <c r="AV116" i="29" s="1"/>
  <c r="AW116" i="29" s="1"/>
  <c r="M74" i="29"/>
  <c r="AV74" i="29" s="1"/>
  <c r="AZ74" i="29" s="1"/>
  <c r="M73" i="29"/>
  <c r="AV73" i="29" s="1"/>
  <c r="M39" i="29"/>
  <c r="BD249" i="29"/>
  <c r="BD110" i="29"/>
  <c r="BD93" i="29"/>
  <c r="BD86" i="29"/>
  <c r="BD76" i="29"/>
  <c r="BD72" i="29"/>
  <c r="BD66" i="29"/>
  <c r="BD61" i="29"/>
  <c r="BD58" i="29"/>
  <c r="BD54" i="29"/>
  <c r="I843" i="25"/>
  <c r="F844" i="25" s="1"/>
  <c r="F845" i="25" s="1"/>
  <c r="F846" i="25" s="1"/>
  <c r="H843" i="25"/>
  <c r="I708" i="25"/>
  <c r="F709" i="25" s="1"/>
  <c r="F710" i="25" s="1"/>
  <c r="F711" i="25" s="1"/>
  <c r="F712" i="25" s="1"/>
  <c r="H712" i="25" s="1"/>
  <c r="H708" i="25"/>
  <c r="H613" i="25"/>
  <c r="D613" i="25" s="1"/>
  <c r="E613" i="25" s="1"/>
  <c r="I626" i="25"/>
  <c r="F627" i="25" s="1"/>
  <c r="H626" i="25"/>
  <c r="I320" i="25"/>
  <c r="F321" i="25" s="1"/>
  <c r="H320" i="25"/>
  <c r="I8747" i="25"/>
  <c r="F12331" i="25"/>
  <c r="AQ414" i="29" s="1"/>
  <c r="AP414" i="29" s="1"/>
  <c r="L8596" i="25"/>
  <c r="H2470" i="25"/>
  <c r="D2470" i="25" s="1"/>
  <c r="E2470" i="25" s="1"/>
  <c r="F2470" i="25" s="1"/>
  <c r="H2471" i="25"/>
  <c r="D2471" i="25" s="1"/>
  <c r="H2472" i="25"/>
  <c r="D2472" i="25" s="1"/>
  <c r="E2472" i="25" s="1"/>
  <c r="F2472" i="25" s="1"/>
  <c r="H2473" i="25"/>
  <c r="D2473" i="25" s="1"/>
  <c r="E2473" i="25" s="1"/>
  <c r="F2473" i="25" s="1"/>
  <c r="H2474" i="25"/>
  <c r="D2474" i="25" s="1"/>
  <c r="E2474" i="25" s="1"/>
  <c r="F2474" i="25" s="1"/>
  <c r="H2475" i="25"/>
  <c r="D2475" i="25" s="1"/>
  <c r="E2475" i="25" s="1"/>
  <c r="F2475" i="25" s="1"/>
  <c r="H2476" i="25"/>
  <c r="D2476" i="25" s="1"/>
  <c r="E2476" i="25" s="1"/>
  <c r="F2476" i="25" s="1"/>
  <c r="H2477" i="25"/>
  <c r="D2477" i="25" s="1"/>
  <c r="E2477" i="25" s="1"/>
  <c r="F2477" i="25" s="1"/>
  <c r="H2478" i="25"/>
  <c r="D2478" i="25" s="1"/>
  <c r="H2479" i="25"/>
  <c r="D2479" i="25" s="1"/>
  <c r="E2479" i="25" s="1"/>
  <c r="F2479" i="25" s="1"/>
  <c r="H2480" i="25"/>
  <c r="D2480" i="25" s="1"/>
  <c r="E2480" i="25" s="1"/>
  <c r="F2480" i="25" s="1"/>
  <c r="H2481" i="25"/>
  <c r="D2481" i="25" s="1"/>
  <c r="E2481" i="25" s="1"/>
  <c r="F2481" i="25" s="1"/>
  <c r="H2482" i="25"/>
  <c r="D2482" i="25" s="1"/>
  <c r="H2483" i="25"/>
  <c r="D2483" i="25" s="1"/>
  <c r="E2483" i="25" s="1"/>
  <c r="F2483" i="25" s="1"/>
  <c r="H2484" i="25"/>
  <c r="D2484" i="25" s="1"/>
  <c r="E2484" i="25" s="1"/>
  <c r="F2484" i="25" s="1"/>
  <c r="H2485" i="25"/>
  <c r="D2485" i="25" s="1"/>
  <c r="E2485" i="25" s="1"/>
  <c r="F2485" i="25" s="1"/>
  <c r="H2486" i="25"/>
  <c r="D2486" i="25" s="1"/>
  <c r="E2486" i="25" s="1"/>
  <c r="F2486" i="25" s="1"/>
  <c r="H2487" i="25"/>
  <c r="D2487" i="25" s="1"/>
  <c r="E2487" i="25" s="1"/>
  <c r="F2487" i="25" s="1"/>
  <c r="H2488" i="25"/>
  <c r="D2488" i="25" s="1"/>
  <c r="H2489" i="25"/>
  <c r="D2489" i="25" s="1"/>
  <c r="E2489" i="25" s="1"/>
  <c r="F2489" i="25" s="1"/>
  <c r="H2490" i="25"/>
  <c r="D2490" i="25" s="1"/>
  <c r="E2490" i="25" s="1"/>
  <c r="F2490" i="25" s="1"/>
  <c r="H2491" i="25"/>
  <c r="D2491" i="25" s="1"/>
  <c r="E2491" i="25" s="1"/>
  <c r="F2491" i="25" s="1"/>
  <c r="H2492" i="25"/>
  <c r="D2492" i="25" s="1"/>
  <c r="E2492" i="25" s="1"/>
  <c r="F2492" i="25" s="1"/>
  <c r="H2493" i="25"/>
  <c r="D2493" i="25" s="1"/>
  <c r="E2493" i="25" s="1"/>
  <c r="F2493" i="25" s="1"/>
  <c r="H2494" i="25"/>
  <c r="D2494" i="25" s="1"/>
  <c r="E2494" i="25" s="1"/>
  <c r="F2494" i="25" s="1"/>
  <c r="H2495" i="25"/>
  <c r="D2495" i="25" s="1"/>
  <c r="E2495" i="25" s="1"/>
  <c r="F2495" i="25" s="1"/>
  <c r="H2496" i="25"/>
  <c r="D2496" i="25" s="1"/>
  <c r="E2496" i="25" s="1"/>
  <c r="F2496" i="25" s="1"/>
  <c r="H2497" i="25"/>
  <c r="D2497" i="25" s="1"/>
  <c r="E2497" i="25" s="1"/>
  <c r="F2497" i="25" s="1"/>
  <c r="H2498" i="25"/>
  <c r="D2498" i="25" s="1"/>
  <c r="E2498" i="25" s="1"/>
  <c r="F2498" i="25" s="1"/>
  <c r="H2469" i="25"/>
  <c r="D2469" i="25" s="1"/>
  <c r="E2469" i="25" s="1"/>
  <c r="F2469" i="25" s="1"/>
  <c r="O8960" i="25"/>
  <c r="L9058" i="25"/>
  <c r="E1174" i="25"/>
  <c r="F1174" i="25" s="1"/>
  <c r="J13040" i="25"/>
  <c r="H2286" i="25"/>
  <c r="O8961" i="25"/>
  <c r="O8962" i="25"/>
  <c r="L8933" i="25"/>
  <c r="L8934" i="25"/>
  <c r="L8935" i="25"/>
  <c r="L8936" i="25"/>
  <c r="L8937" i="25"/>
  <c r="L8938" i="25"/>
  <c r="L8939" i="25"/>
  <c r="L8940" i="25"/>
  <c r="L8941" i="25"/>
  <c r="L8942" i="25"/>
  <c r="L8943" i="25"/>
  <c r="N11759" i="25"/>
  <c r="D12813" i="25"/>
  <c r="F12814" i="25" s="1"/>
  <c r="F12815" i="25" s="1"/>
  <c r="F12816" i="25" s="1"/>
  <c r="AN418" i="29" s="1"/>
  <c r="F12813" i="25"/>
  <c r="E5412" i="25"/>
  <c r="F5412" i="25" s="1"/>
  <c r="C12479" i="25"/>
  <c r="H12479" i="25" s="1"/>
  <c r="C12478" i="25"/>
  <c r="H12478" i="25" s="1"/>
  <c r="C12477" i="25"/>
  <c r="H12477" i="25" s="1"/>
  <c r="C12476" i="25"/>
  <c r="H12475" i="25"/>
  <c r="F12475" i="25" s="1"/>
  <c r="F12476" i="25" s="1"/>
  <c r="F12477" i="25" s="1"/>
  <c r="F12478" i="25" s="1"/>
  <c r="F12479" i="25" s="1"/>
  <c r="F12480" i="25" s="1"/>
  <c r="F12481" i="25" s="1"/>
  <c r="AN400" i="29" s="1"/>
  <c r="J12333" i="25"/>
  <c r="K12333" i="25"/>
  <c r="L12333" i="25"/>
  <c r="M12333" i="25"/>
  <c r="N12333" i="25"/>
  <c r="O12333" i="25"/>
  <c r="P12333" i="25"/>
  <c r="Q12333" i="25"/>
  <c r="R12333" i="25"/>
  <c r="S12333" i="25"/>
  <c r="T12333" i="25"/>
  <c r="U12333" i="25"/>
  <c r="V12333" i="25"/>
  <c r="W12333" i="25"/>
  <c r="X12333" i="25"/>
  <c r="Z12333" i="25"/>
  <c r="I12333" i="25"/>
  <c r="H12333" i="25" s="1"/>
  <c r="F12333" i="25" s="1"/>
  <c r="K10625" i="25"/>
  <c r="J10625" i="25"/>
  <c r="AN406" i="29"/>
  <c r="L6626" i="25"/>
  <c r="L6625" i="25"/>
  <c r="C10987" i="25"/>
  <c r="E1173" i="25"/>
  <c r="F1173" i="25" s="1"/>
  <c r="H12006" i="25"/>
  <c r="H12005" i="25"/>
  <c r="H12004" i="25"/>
  <c r="H12003" i="25"/>
  <c r="H12002" i="25"/>
  <c r="H12001" i="25"/>
  <c r="H12000" i="25"/>
  <c r="H11999" i="25"/>
  <c r="H11998" i="25"/>
  <c r="H11997" i="25"/>
  <c r="H11996" i="25"/>
  <c r="H11995" i="25"/>
  <c r="H11994" i="25"/>
  <c r="H11993" i="25"/>
  <c r="H11992" i="25"/>
  <c r="H11991" i="25"/>
  <c r="H11990" i="25"/>
  <c r="H11989" i="25"/>
  <c r="H11988" i="25"/>
  <c r="H11987" i="25"/>
  <c r="H11986" i="25"/>
  <c r="H11985" i="25"/>
  <c r="H11984" i="25"/>
  <c r="H11983" i="25"/>
  <c r="H11982" i="25"/>
  <c r="H11981" i="25"/>
  <c r="H11980" i="25"/>
  <c r="H11979" i="25"/>
  <c r="H11978" i="25"/>
  <c r="H11977" i="25"/>
  <c r="C11969" i="25"/>
  <c r="H11969" i="25" s="1"/>
  <c r="C11968" i="25"/>
  <c r="H11968" i="25" s="1"/>
  <c r="C11967" i="25"/>
  <c r="H11967" i="25" s="1"/>
  <c r="C11966" i="25"/>
  <c r="H11859" i="25"/>
  <c r="H11858" i="25"/>
  <c r="H11857" i="25"/>
  <c r="H11856" i="25"/>
  <c r="H11855" i="25"/>
  <c r="H11854" i="25"/>
  <c r="H11853" i="25"/>
  <c r="H11852" i="25"/>
  <c r="H11851" i="25"/>
  <c r="H11850" i="25"/>
  <c r="H11849" i="25"/>
  <c r="H11848" i="25"/>
  <c r="H11847" i="25"/>
  <c r="H11846" i="25"/>
  <c r="H11845" i="25"/>
  <c r="H11844" i="25"/>
  <c r="H11843" i="25"/>
  <c r="H11842" i="25"/>
  <c r="H11841" i="25"/>
  <c r="H11840" i="25"/>
  <c r="F10880" i="25"/>
  <c r="H11759" i="25"/>
  <c r="H11758" i="25"/>
  <c r="H11757" i="25"/>
  <c r="H11676" i="25"/>
  <c r="H11675" i="25"/>
  <c r="H11674" i="25"/>
  <c r="H11673" i="25"/>
  <c r="H11672" i="25"/>
  <c r="H11671" i="25"/>
  <c r="H11670" i="25"/>
  <c r="H11669" i="25"/>
  <c r="H11668" i="25"/>
  <c r="H11667" i="25"/>
  <c r="H11666" i="25"/>
  <c r="H11665" i="25"/>
  <c r="H11664" i="25"/>
  <c r="H11662" i="25"/>
  <c r="H11661" i="25"/>
  <c r="H11660" i="25"/>
  <c r="H11659" i="25"/>
  <c r="H11658" i="25"/>
  <c r="H11657" i="25"/>
  <c r="H11656" i="25"/>
  <c r="H11655" i="25"/>
  <c r="H11654" i="25"/>
  <c r="H11653" i="25"/>
  <c r="H11652" i="25"/>
  <c r="H11651" i="25"/>
  <c r="H11650" i="25"/>
  <c r="H11649" i="25"/>
  <c r="H11648" i="25"/>
  <c r="H11647" i="25"/>
  <c r="AN383" i="29"/>
  <c r="H11632" i="25"/>
  <c r="H11631" i="25"/>
  <c r="H11630" i="25"/>
  <c r="H11629" i="25"/>
  <c r="H11628" i="25"/>
  <c r="H11627" i="25"/>
  <c r="H11626" i="25"/>
  <c r="H11625" i="25"/>
  <c r="H11624" i="25"/>
  <c r="H11623" i="25"/>
  <c r="H11622" i="25"/>
  <c r="H11621" i="25"/>
  <c r="H11620" i="25"/>
  <c r="H11619" i="25"/>
  <c r="H11618" i="25"/>
  <c r="H11617" i="25"/>
  <c r="H11616" i="25"/>
  <c r="H11615" i="25"/>
  <c r="H11614" i="25"/>
  <c r="H11613" i="25"/>
  <c r="H11612" i="25"/>
  <c r="H11611" i="25"/>
  <c r="H11610" i="25"/>
  <c r="H11609" i="25"/>
  <c r="H11608" i="25"/>
  <c r="H11607" i="25"/>
  <c r="H11606" i="25"/>
  <c r="H11605" i="25"/>
  <c r="H11604" i="25"/>
  <c r="H11603" i="25"/>
  <c r="F11542" i="25"/>
  <c r="AN385" i="29" s="1"/>
  <c r="F1629" i="25"/>
  <c r="AQ366" i="29"/>
  <c r="AP366" i="29" s="1"/>
  <c r="AN353" i="29"/>
  <c r="AQ373" i="29"/>
  <c r="AP373" i="29" s="1"/>
  <c r="E5631" i="25"/>
  <c r="F5631" i="25" s="1"/>
  <c r="E5630" i="25"/>
  <c r="F5630" i="25" s="1"/>
  <c r="E5629" i="25"/>
  <c r="F5629" i="25" s="1"/>
  <c r="E5628" i="25"/>
  <c r="F5628" i="25" s="1"/>
  <c r="E5627" i="25"/>
  <c r="F5627" i="25" s="1"/>
  <c r="E5626" i="25"/>
  <c r="F5626" i="25" s="1"/>
  <c r="E5625" i="25"/>
  <c r="F5625" i="25" s="1"/>
  <c r="E5624" i="25"/>
  <c r="F5624" i="25" s="1"/>
  <c r="E5623" i="25"/>
  <c r="F5623" i="25" s="1"/>
  <c r="E5622" i="25"/>
  <c r="F5622" i="25" s="1"/>
  <c r="E5621" i="25"/>
  <c r="F5621" i="25" s="1"/>
  <c r="E5620" i="25"/>
  <c r="F5620" i="25" s="1"/>
  <c r="E5619" i="25"/>
  <c r="F5619" i="25" s="1"/>
  <c r="E5618" i="25"/>
  <c r="F5618" i="25" s="1"/>
  <c r="E5617" i="25"/>
  <c r="F5617" i="25" s="1"/>
  <c r="E5616" i="25"/>
  <c r="F5616" i="25" s="1"/>
  <c r="E5615" i="25"/>
  <c r="F5615" i="25" s="1"/>
  <c r="E5614" i="25"/>
  <c r="F5614" i="25" s="1"/>
  <c r="E5613" i="25"/>
  <c r="F5613" i="25" s="1"/>
  <c r="E5612" i="25"/>
  <c r="F5612" i="25" s="1"/>
  <c r="E11440" i="25"/>
  <c r="AN380" i="29"/>
  <c r="L6627" i="25"/>
  <c r="L6628" i="25"/>
  <c r="L6629" i="25"/>
  <c r="L6630" i="25"/>
  <c r="L6631" i="25"/>
  <c r="L6632" i="25"/>
  <c r="AQ362" i="29"/>
  <c r="E3319" i="25"/>
  <c r="E3318" i="25"/>
  <c r="E3317" i="25"/>
  <c r="E3316" i="25"/>
  <c r="E3315" i="25"/>
  <c r="H11123" i="25"/>
  <c r="H11122" i="25"/>
  <c r="H11121" i="25"/>
  <c r="H11120" i="25"/>
  <c r="H11119" i="25"/>
  <c r="H11118" i="25"/>
  <c r="H11117" i="25"/>
  <c r="H11116" i="25"/>
  <c r="H11115" i="25"/>
  <c r="H11114" i="25"/>
  <c r="H11113" i="25"/>
  <c r="H11112" i="25"/>
  <c r="H11111" i="25"/>
  <c r="H11110" i="25"/>
  <c r="H11109" i="25"/>
  <c r="H11108" i="25"/>
  <c r="H11107" i="25"/>
  <c r="H11106" i="25"/>
  <c r="H11105" i="25"/>
  <c r="H11104" i="25"/>
  <c r="G11097" i="25"/>
  <c r="H11096" i="25"/>
  <c r="H11095" i="25"/>
  <c r="H11094" i="25"/>
  <c r="H9039" i="25"/>
  <c r="H9743" i="25"/>
  <c r="H9046" i="25"/>
  <c r="F9046" i="25" s="1"/>
  <c r="C10239" i="25"/>
  <c r="C10238" i="25"/>
  <c r="C10237" i="25"/>
  <c r="C10236" i="25"/>
  <c r="C10235" i="25"/>
  <c r="C10234" i="25"/>
  <c r="C10233" i="25"/>
  <c r="C10232" i="25"/>
  <c r="C10231" i="25"/>
  <c r="C10230" i="25"/>
  <c r="E10230" i="25" s="1"/>
  <c r="F10230" i="25" s="1"/>
  <c r="C10229" i="25"/>
  <c r="E10229" i="25" s="1"/>
  <c r="F10229" i="25" s="1"/>
  <c r="C10228" i="25"/>
  <c r="E10228" i="25" s="1"/>
  <c r="F10228" i="25" s="1"/>
  <c r="C10227" i="25"/>
  <c r="E10227" i="25" s="1"/>
  <c r="F10227" i="25" s="1"/>
  <c r="C10226" i="25"/>
  <c r="E10226" i="25" s="1"/>
  <c r="F10226" i="25" s="1"/>
  <c r="C10225" i="25"/>
  <c r="E10225" i="25" s="1"/>
  <c r="F10225" i="25" s="1"/>
  <c r="C10224" i="25"/>
  <c r="E10224" i="25" s="1"/>
  <c r="F10224" i="25" s="1"/>
  <c r="C10223" i="25"/>
  <c r="E10223" i="25" s="1"/>
  <c r="F10223" i="25" s="1"/>
  <c r="C10222" i="25"/>
  <c r="E10222" i="25" s="1"/>
  <c r="F10222" i="25" s="1"/>
  <c r="C10221" i="25"/>
  <c r="E10221" i="25" s="1"/>
  <c r="F10221" i="25" s="1"/>
  <c r="C10220" i="25"/>
  <c r="E10220" i="25" s="1"/>
  <c r="F10220" i="25" s="1"/>
  <c r="C10219" i="25"/>
  <c r="E10219" i="25" s="1"/>
  <c r="F10219" i="25" s="1"/>
  <c r="C10218" i="25"/>
  <c r="E10218" i="25" s="1"/>
  <c r="F10218" i="25" s="1"/>
  <c r="C10216" i="25"/>
  <c r="E10216" i="25" s="1"/>
  <c r="F10216" i="25" s="1"/>
  <c r="C10215" i="25"/>
  <c r="E10215" i="25" s="1"/>
  <c r="F10215" i="25" s="1"/>
  <c r="C10213" i="25"/>
  <c r="E10213" i="25" s="1"/>
  <c r="F10213" i="25" s="1"/>
  <c r="C10212" i="25"/>
  <c r="E10212" i="25" s="1"/>
  <c r="F10212" i="25" s="1"/>
  <c r="C10211" i="25"/>
  <c r="E10211" i="25" s="1"/>
  <c r="F10211" i="25" s="1"/>
  <c r="C10210" i="25"/>
  <c r="E10210" i="25" s="1"/>
  <c r="F10210" i="25" s="1"/>
  <c r="C10209" i="25"/>
  <c r="E10209" i="25" s="1"/>
  <c r="F10209" i="25" s="1"/>
  <c r="C10208" i="25"/>
  <c r="E10208" i="25" s="1"/>
  <c r="F10208" i="25" s="1"/>
  <c r="C10207" i="25"/>
  <c r="E10207" i="25" s="1"/>
  <c r="F10207" i="25" s="1"/>
  <c r="C10206" i="25"/>
  <c r="E10206" i="25" s="1"/>
  <c r="F10206" i="25" s="1"/>
  <c r="C10205" i="25"/>
  <c r="E10205" i="25" s="1"/>
  <c r="F10205" i="25" s="1"/>
  <c r="C10214" i="25"/>
  <c r="E10214" i="25" s="1"/>
  <c r="F10214" i="25" s="1"/>
  <c r="G9748" i="25"/>
  <c r="H9747" i="25"/>
  <c r="H9746" i="25"/>
  <c r="H9745" i="25"/>
  <c r="G5893" i="25"/>
  <c r="H5889" i="25"/>
  <c r="H5888" i="25"/>
  <c r="H9129" i="25"/>
  <c r="H9037" i="25"/>
  <c r="H9041" i="25"/>
  <c r="C9047" i="25"/>
  <c r="C9048" i="25" s="1"/>
  <c r="C9050" i="25"/>
  <c r="H9050" i="25" s="1"/>
  <c r="H11076" i="25"/>
  <c r="H11075" i="25"/>
  <c r="H11074" i="25"/>
  <c r="H11073" i="25"/>
  <c r="H11072" i="25"/>
  <c r="H11071" i="25"/>
  <c r="H11070" i="25"/>
  <c r="H11069" i="25"/>
  <c r="H11068" i="25"/>
  <c r="H11067" i="25"/>
  <c r="H11066" i="25"/>
  <c r="H11065" i="25"/>
  <c r="H11064" i="25"/>
  <c r="H11063" i="25"/>
  <c r="H11062" i="25"/>
  <c r="H11061" i="25"/>
  <c r="H11060" i="25"/>
  <c r="H11059" i="25"/>
  <c r="H11058" i="25"/>
  <c r="H11057" i="25"/>
  <c r="AN331" i="29"/>
  <c r="H8259" i="29"/>
  <c r="AN365" i="29"/>
  <c r="H3805" i="25"/>
  <c r="C10081" i="25"/>
  <c r="E10081" i="25" s="1"/>
  <c r="F10081" i="25" s="1"/>
  <c r="H10998" i="25"/>
  <c r="D10998" i="25" s="1"/>
  <c r="E10998" i="25" s="1"/>
  <c r="F10998" i="25" s="1"/>
  <c r="H10997" i="25"/>
  <c r="D10997" i="25" s="1"/>
  <c r="E10997" i="25" s="1"/>
  <c r="F10997" i="25" s="1"/>
  <c r="H10996" i="25"/>
  <c r="D10996" i="25" s="1"/>
  <c r="E10996" i="25" s="1"/>
  <c r="F10996" i="25" s="1"/>
  <c r="H10995" i="25"/>
  <c r="D10995" i="25" s="1"/>
  <c r="E10995" i="25" s="1"/>
  <c r="F10995" i="25" s="1"/>
  <c r="H10994" i="25"/>
  <c r="D10994" i="25" s="1"/>
  <c r="E10994" i="25" s="1"/>
  <c r="F10994" i="25" s="1"/>
  <c r="H10993" i="25"/>
  <c r="D10993" i="25" s="1"/>
  <c r="E10993" i="25" s="1"/>
  <c r="F10993" i="25" s="1"/>
  <c r="H10992" i="25"/>
  <c r="D10992" i="25" s="1"/>
  <c r="E10992" i="25" s="1"/>
  <c r="F10992" i="25" s="1"/>
  <c r="H10991" i="25"/>
  <c r="D10991" i="25" s="1"/>
  <c r="E10991" i="25" s="1"/>
  <c r="F10991" i="25" s="1"/>
  <c r="H10990" i="25"/>
  <c r="D10990" i="25" s="1"/>
  <c r="E10990" i="25" s="1"/>
  <c r="F10990" i="25" s="1"/>
  <c r="H10989" i="25"/>
  <c r="D10989" i="25" s="1"/>
  <c r="E10989" i="25" s="1"/>
  <c r="F10989" i="25" s="1"/>
  <c r="H10988" i="25"/>
  <c r="D10988" i="25" s="1"/>
  <c r="E10988" i="25" s="1"/>
  <c r="F10988" i="25" s="1"/>
  <c r="H10987" i="25"/>
  <c r="D10987" i="25" s="1"/>
  <c r="E10987" i="25" s="1"/>
  <c r="F10987" i="25" s="1"/>
  <c r="H10986" i="25"/>
  <c r="D10986" i="25" s="1"/>
  <c r="E10986" i="25" s="1"/>
  <c r="F10986" i="25" s="1"/>
  <c r="H10985" i="25"/>
  <c r="D10985" i="25" s="1"/>
  <c r="E10985" i="25" s="1"/>
  <c r="F10985" i="25" s="1"/>
  <c r="H10984" i="25"/>
  <c r="D10984" i="25" s="1"/>
  <c r="E10984" i="25" s="1"/>
  <c r="F10984" i="25" s="1"/>
  <c r="H10983" i="25"/>
  <c r="D10983" i="25" s="1"/>
  <c r="E10983" i="25" s="1"/>
  <c r="F10983" i="25" s="1"/>
  <c r="H10982" i="25"/>
  <c r="D10982" i="25" s="1"/>
  <c r="E10982" i="25" s="1"/>
  <c r="F10982" i="25" s="1"/>
  <c r="H10981" i="25"/>
  <c r="D10981" i="25" s="1"/>
  <c r="E10981" i="25" s="1"/>
  <c r="F10981" i="25" s="1"/>
  <c r="H10980" i="25"/>
  <c r="D10980" i="25" s="1"/>
  <c r="E10980" i="25" s="1"/>
  <c r="F10980" i="25" s="1"/>
  <c r="H10979" i="25"/>
  <c r="D10979" i="25" s="1"/>
  <c r="E10979" i="25" s="1"/>
  <c r="F10979" i="25" s="1"/>
  <c r="H10978" i="25"/>
  <c r="D10978" i="25" s="1"/>
  <c r="E10978" i="25" s="1"/>
  <c r="F10978" i="25" s="1"/>
  <c r="H10977" i="25"/>
  <c r="D10977" i="25" s="1"/>
  <c r="E10977" i="25" s="1"/>
  <c r="F10977" i="25" s="1"/>
  <c r="H10976" i="25"/>
  <c r="D10976" i="25" s="1"/>
  <c r="E10976" i="25" s="1"/>
  <c r="F10976" i="25" s="1"/>
  <c r="H10975" i="25"/>
  <c r="D10975" i="25" s="1"/>
  <c r="E10975" i="25" s="1"/>
  <c r="F10975" i="25" s="1"/>
  <c r="H10974" i="25"/>
  <c r="D10974" i="25" s="1"/>
  <c r="E10974" i="25" s="1"/>
  <c r="F10974" i="25" s="1"/>
  <c r="H10973" i="25"/>
  <c r="D10973" i="25" s="1"/>
  <c r="E10973" i="25" s="1"/>
  <c r="F10973" i="25" s="1"/>
  <c r="H10972" i="25"/>
  <c r="D10972" i="25" s="1"/>
  <c r="E10972" i="25" s="1"/>
  <c r="F10972" i="25" s="1"/>
  <c r="H10971" i="25"/>
  <c r="D10971" i="25" s="1"/>
  <c r="E10971" i="25" s="1"/>
  <c r="F10971" i="25" s="1"/>
  <c r="H10970" i="25"/>
  <c r="D10970" i="25" s="1"/>
  <c r="H10969" i="25"/>
  <c r="D10969" i="25" s="1"/>
  <c r="E10969" i="25" s="1"/>
  <c r="F10969" i="25" s="1"/>
  <c r="E10967" i="25"/>
  <c r="H10961" i="25"/>
  <c r="H10960" i="25"/>
  <c r="H10959" i="25"/>
  <c r="H10958" i="25"/>
  <c r="H10957" i="25"/>
  <c r="H10956" i="25"/>
  <c r="H10955" i="25"/>
  <c r="H10954" i="25"/>
  <c r="H10953" i="25"/>
  <c r="H10952" i="25"/>
  <c r="H10951" i="25"/>
  <c r="H10950" i="25"/>
  <c r="H10949" i="25"/>
  <c r="H10948" i="25"/>
  <c r="H10947" i="25"/>
  <c r="H10946" i="25"/>
  <c r="H10945" i="25"/>
  <c r="H10944" i="25"/>
  <c r="H10943" i="25"/>
  <c r="H10942" i="25"/>
  <c r="H10941" i="25"/>
  <c r="H10940" i="25"/>
  <c r="H10939" i="25"/>
  <c r="H10938" i="25"/>
  <c r="H10937" i="25"/>
  <c r="H10936" i="25"/>
  <c r="H10935" i="25"/>
  <c r="H10934" i="25"/>
  <c r="H10933" i="25"/>
  <c r="H10932" i="25"/>
  <c r="F10879" i="25"/>
  <c r="AN366" i="29"/>
  <c r="E10195" i="25"/>
  <c r="D10195" i="25" s="1"/>
  <c r="F10201" i="25" s="1"/>
  <c r="AN360" i="29"/>
  <c r="H10719" i="25"/>
  <c r="K2628" i="25"/>
  <c r="L2628" i="25" s="1"/>
  <c r="F10624" i="25"/>
  <c r="F10625" i="25" s="1"/>
  <c r="L2888" i="25"/>
  <c r="L2889" i="25"/>
  <c r="L2890" i="25"/>
  <c r="L2891" i="25"/>
  <c r="L2892" i="25"/>
  <c r="L2893" i="25"/>
  <c r="L2894" i="25"/>
  <c r="L2895" i="25"/>
  <c r="L2896" i="25"/>
  <c r="L2897" i="25"/>
  <c r="L2898" i="25"/>
  <c r="L2899" i="25"/>
  <c r="L2854" i="25"/>
  <c r="L2853" i="25"/>
  <c r="L2852" i="25"/>
  <c r="L2851" i="25"/>
  <c r="I5307" i="25"/>
  <c r="J5307" i="25"/>
  <c r="H10748" i="25"/>
  <c r="H10747" i="25"/>
  <c r="H10746" i="25"/>
  <c r="H10745" i="25"/>
  <c r="H10744" i="25"/>
  <c r="H10743" i="25"/>
  <c r="H10742" i="25"/>
  <c r="H10741" i="25"/>
  <c r="H10740" i="25"/>
  <c r="H10739" i="25"/>
  <c r="H10738" i="25"/>
  <c r="H10737" i="25"/>
  <c r="H10736" i="25"/>
  <c r="H10735" i="25"/>
  <c r="H10734" i="25"/>
  <c r="H10733" i="25"/>
  <c r="H10732" i="25"/>
  <c r="H10731" i="25"/>
  <c r="H10730" i="25"/>
  <c r="H10729" i="25"/>
  <c r="H10728" i="25"/>
  <c r="H10727" i="25"/>
  <c r="H10726" i="25"/>
  <c r="H10725" i="25"/>
  <c r="H10724" i="25"/>
  <c r="H10723" i="25"/>
  <c r="H10722" i="25"/>
  <c r="H10721" i="25"/>
  <c r="H10720" i="25"/>
  <c r="AN351" i="29"/>
  <c r="E10680" i="25"/>
  <c r="U10625" i="25"/>
  <c r="L4659" i="25"/>
  <c r="L4660" i="25"/>
  <c r="L4661" i="25"/>
  <c r="L4662" i="25"/>
  <c r="AN355" i="29"/>
  <c r="P10625" i="25"/>
  <c r="L10625" i="25"/>
  <c r="M10625" i="25"/>
  <c r="N10625" i="25"/>
  <c r="O10625" i="25"/>
  <c r="Q10625" i="25"/>
  <c r="R10625" i="25"/>
  <c r="S10625" i="25"/>
  <c r="T10625" i="25"/>
  <c r="N5865" i="25"/>
  <c r="N5866" i="25"/>
  <c r="N5867" i="25"/>
  <c r="N5868" i="25"/>
  <c r="AN358" i="29"/>
  <c r="H8934" i="25"/>
  <c r="H8935" i="25"/>
  <c r="H8936" i="25"/>
  <c r="H8937" i="25"/>
  <c r="H8938" i="25"/>
  <c r="H8939" i="25"/>
  <c r="H8940" i="25"/>
  <c r="H8941" i="25"/>
  <c r="H8942" i="25"/>
  <c r="H8943" i="25"/>
  <c r="H8944" i="25"/>
  <c r="H8945" i="25"/>
  <c r="H8946" i="25"/>
  <c r="H8947" i="25"/>
  <c r="H8948" i="25"/>
  <c r="H8949" i="25"/>
  <c r="H8950" i="25"/>
  <c r="H8951" i="25"/>
  <c r="H8952" i="25"/>
  <c r="H8933" i="25"/>
  <c r="H9059" i="25"/>
  <c r="H9060" i="25"/>
  <c r="H9061" i="25"/>
  <c r="H9062" i="25"/>
  <c r="H9063" i="25"/>
  <c r="H9064" i="25"/>
  <c r="H9065" i="25"/>
  <c r="H9066" i="25"/>
  <c r="H9067" i="25"/>
  <c r="H9068" i="25"/>
  <c r="H9069" i="25"/>
  <c r="H9070" i="25"/>
  <c r="H9071" i="25"/>
  <c r="H9072" i="25"/>
  <c r="H9073" i="25"/>
  <c r="H9074" i="25"/>
  <c r="H9075" i="25"/>
  <c r="H9076" i="25"/>
  <c r="H9077" i="25"/>
  <c r="H9078" i="25"/>
  <c r="H9079" i="25"/>
  <c r="H9080" i="25"/>
  <c r="H9081" i="25"/>
  <c r="H9082" i="25"/>
  <c r="H9083" i="25"/>
  <c r="H9084" i="25"/>
  <c r="H9085" i="25"/>
  <c r="H9086" i="25"/>
  <c r="H9087" i="25"/>
  <c r="H9058" i="25"/>
  <c r="H9096" i="25"/>
  <c r="H9097" i="25"/>
  <c r="H9098" i="25"/>
  <c r="H9099" i="25"/>
  <c r="H9100" i="25"/>
  <c r="H9101" i="25"/>
  <c r="H9102" i="25"/>
  <c r="H9103" i="25"/>
  <c r="H9104" i="25"/>
  <c r="H9105" i="25"/>
  <c r="H9106" i="25"/>
  <c r="H9107" i="25"/>
  <c r="H9108" i="25"/>
  <c r="H9109" i="25"/>
  <c r="H9110" i="25"/>
  <c r="H9111" i="25"/>
  <c r="H9112" i="25"/>
  <c r="H9113" i="25"/>
  <c r="H9114" i="25"/>
  <c r="H9115" i="25"/>
  <c r="H9116" i="25"/>
  <c r="H9117" i="25"/>
  <c r="H9118" i="25"/>
  <c r="H9119" i="25"/>
  <c r="H9120" i="25"/>
  <c r="H9121" i="25"/>
  <c r="H9122" i="25"/>
  <c r="H9123" i="25"/>
  <c r="H9124" i="25"/>
  <c r="H9095" i="25"/>
  <c r="H9496" i="25"/>
  <c r="H9497" i="25"/>
  <c r="H9498" i="25"/>
  <c r="H9499" i="25"/>
  <c r="H9500" i="25"/>
  <c r="H9501" i="25"/>
  <c r="H9502" i="25"/>
  <c r="H9503" i="25"/>
  <c r="H9504" i="25"/>
  <c r="H9505" i="25"/>
  <c r="H9506" i="25"/>
  <c r="H9507" i="25"/>
  <c r="H9508" i="25"/>
  <c r="H9509" i="25"/>
  <c r="H9510" i="25"/>
  <c r="H9511" i="25"/>
  <c r="H9512" i="25"/>
  <c r="H9513" i="25"/>
  <c r="H9514" i="25"/>
  <c r="H9495" i="25"/>
  <c r="AQ321" i="29"/>
  <c r="H9995" i="25"/>
  <c r="H9996" i="25"/>
  <c r="H9997" i="25"/>
  <c r="H9998" i="25"/>
  <c r="H9999" i="25"/>
  <c r="H10000" i="25"/>
  <c r="H10001" i="25"/>
  <c r="H10002" i="25"/>
  <c r="H10003" i="25"/>
  <c r="H10004" i="25"/>
  <c r="H10005" i="25"/>
  <c r="H10006" i="25"/>
  <c r="H10007" i="25"/>
  <c r="H10008" i="25"/>
  <c r="H10009" i="25"/>
  <c r="H10010" i="25"/>
  <c r="H10011" i="25"/>
  <c r="H10012" i="25"/>
  <c r="H10013" i="25"/>
  <c r="H10014" i="25"/>
  <c r="H10015" i="25"/>
  <c r="H10016" i="25"/>
  <c r="H10017" i="25"/>
  <c r="H10018" i="25"/>
  <c r="H10019" i="25"/>
  <c r="H10020" i="25"/>
  <c r="H10021" i="25"/>
  <c r="H10022" i="25"/>
  <c r="H10023" i="25"/>
  <c r="H9994" i="25"/>
  <c r="E10075" i="25"/>
  <c r="F10075" i="25" s="1"/>
  <c r="E10076" i="25"/>
  <c r="F10076" i="25" s="1"/>
  <c r="E10077" i="25"/>
  <c r="F10077" i="25" s="1"/>
  <c r="E10078" i="25"/>
  <c r="F10078" i="25" s="1"/>
  <c r="E10079" i="25"/>
  <c r="F10079" i="25" s="1"/>
  <c r="E10080" i="25"/>
  <c r="F10080" i="25" s="1"/>
  <c r="E10082" i="25"/>
  <c r="F10082" i="25" s="1"/>
  <c r="E10083" i="25"/>
  <c r="F10083" i="25" s="1"/>
  <c r="E10084" i="25"/>
  <c r="F10084" i="25" s="1"/>
  <c r="E10085" i="25"/>
  <c r="F10085" i="25" s="1"/>
  <c r="E10086" i="25"/>
  <c r="F10086" i="25" s="1"/>
  <c r="E10087" i="25"/>
  <c r="F10087" i="25" s="1"/>
  <c r="E10088" i="25"/>
  <c r="F10088" i="25" s="1"/>
  <c r="E10089" i="25"/>
  <c r="F10089" i="25" s="1"/>
  <c r="E10090" i="25"/>
  <c r="F10090" i="25" s="1"/>
  <c r="E10091" i="25"/>
  <c r="F10091" i="25" s="1"/>
  <c r="E10092" i="25"/>
  <c r="F10092" i="25" s="1"/>
  <c r="E10093" i="25"/>
  <c r="F10093" i="25" s="1"/>
  <c r="E10094" i="25"/>
  <c r="F10094" i="25" s="1"/>
  <c r="E10095" i="25"/>
  <c r="F10095" i="25" s="1"/>
  <c r="E10096" i="25"/>
  <c r="F10096" i="25" s="1"/>
  <c r="E10097" i="25"/>
  <c r="F10097" i="25" s="1"/>
  <c r="E10098" i="25"/>
  <c r="F10098" i="25" s="1"/>
  <c r="E10099" i="25"/>
  <c r="F10099" i="25" s="1"/>
  <c r="E10100" i="25"/>
  <c r="F10100" i="25" s="1"/>
  <c r="E10101" i="25"/>
  <c r="F10101" i="25" s="1"/>
  <c r="E10102" i="25"/>
  <c r="F10102" i="25" s="1"/>
  <c r="E10103" i="25"/>
  <c r="F10103" i="25" s="1"/>
  <c r="E10074" i="25"/>
  <c r="F10074" i="25" s="1"/>
  <c r="E10204" i="25"/>
  <c r="F10204" i="25" s="1"/>
  <c r="I4805" i="25"/>
  <c r="K5307" i="25"/>
  <c r="L5307" i="25"/>
  <c r="M5307" i="25"/>
  <c r="N5307" i="25"/>
  <c r="F4207" i="25"/>
  <c r="AN352" i="29"/>
  <c r="L3671" i="25"/>
  <c r="AN348" i="29"/>
  <c r="L3457" i="25"/>
  <c r="L3458" i="25"/>
  <c r="L3459" i="25"/>
  <c r="L3460" i="25"/>
  <c r="L3461" i="25"/>
  <c r="L3462" i="25"/>
  <c r="L3463" i="25"/>
  <c r="L3464" i="25"/>
  <c r="L3465" i="25"/>
  <c r="L3466" i="25"/>
  <c r="L3467" i="25"/>
  <c r="L3468" i="25"/>
  <c r="L3469" i="25"/>
  <c r="L3470" i="25"/>
  <c r="L3471" i="25"/>
  <c r="L3472" i="25"/>
  <c r="L3473" i="25"/>
  <c r="L3456" i="25"/>
  <c r="L5577" i="25"/>
  <c r="L5578" i="25"/>
  <c r="L5579" i="25"/>
  <c r="O2960" i="25"/>
  <c r="P2960" i="25"/>
  <c r="Q2960" i="25"/>
  <c r="H10358" i="25"/>
  <c r="H10357" i="25"/>
  <c r="H10356" i="25"/>
  <c r="H10355" i="25"/>
  <c r="H10354" i="25"/>
  <c r="H10353" i="25"/>
  <c r="H10352" i="25"/>
  <c r="H10351" i="25"/>
  <c r="H10350" i="25"/>
  <c r="H10349" i="25"/>
  <c r="H10348" i="25"/>
  <c r="H10347" i="25"/>
  <c r="H10346" i="25"/>
  <c r="H10345" i="25"/>
  <c r="H10344" i="25"/>
  <c r="H10343" i="25"/>
  <c r="H10342" i="25"/>
  <c r="H10341" i="25"/>
  <c r="H10340" i="25"/>
  <c r="H10339" i="25"/>
  <c r="H10338" i="25"/>
  <c r="H10337" i="25"/>
  <c r="H10336" i="25"/>
  <c r="H10335" i="25"/>
  <c r="H10334" i="25"/>
  <c r="H10333" i="25"/>
  <c r="H10332" i="25"/>
  <c r="H10331" i="25"/>
  <c r="H10330" i="25"/>
  <c r="H10329" i="25"/>
  <c r="J4805" i="25"/>
  <c r="L4316" i="25"/>
  <c r="M4316" i="25"/>
  <c r="N4316" i="25"/>
  <c r="O4316" i="25"/>
  <c r="K4316" i="25"/>
  <c r="J4652" i="25"/>
  <c r="K4652" i="25"/>
  <c r="L4652" i="25"/>
  <c r="M4652" i="25"/>
  <c r="E10287" i="25"/>
  <c r="E2502" i="25"/>
  <c r="F2502" i="25" s="1"/>
  <c r="E2503" i="25"/>
  <c r="F2503" i="25" s="1"/>
  <c r="E2504" i="25"/>
  <c r="F2504" i="25" s="1"/>
  <c r="E2505" i="25"/>
  <c r="F2505" i="25" s="1"/>
  <c r="E2506" i="25"/>
  <c r="F2506" i="25" s="1"/>
  <c r="E2507" i="25"/>
  <c r="F2507" i="25" s="1"/>
  <c r="E2508" i="25"/>
  <c r="F2508" i="25" s="1"/>
  <c r="E2509" i="25"/>
  <c r="F2509" i="25" s="1"/>
  <c r="E2510" i="25"/>
  <c r="F2510" i="25" s="1"/>
  <c r="E2511" i="25"/>
  <c r="F2511" i="25" s="1"/>
  <c r="E2512" i="25"/>
  <c r="F2512" i="25" s="1"/>
  <c r="E2513" i="25"/>
  <c r="F2513" i="25" s="1"/>
  <c r="E2514" i="25"/>
  <c r="F2514" i="25" s="1"/>
  <c r="E2515" i="25"/>
  <c r="E2516" i="25" s="1"/>
  <c r="F2516" i="25" s="1"/>
  <c r="E2501" i="25"/>
  <c r="F2501" i="25" s="1"/>
  <c r="E5400" i="25"/>
  <c r="F5400" i="25" s="1"/>
  <c r="E5401" i="25"/>
  <c r="F5401" i="25" s="1"/>
  <c r="E5402" i="25"/>
  <c r="F5402" i="25" s="1"/>
  <c r="E5403" i="25"/>
  <c r="F5403" i="25" s="1"/>
  <c r="E5404" i="25"/>
  <c r="F5404" i="25" s="1"/>
  <c r="E5405" i="25"/>
  <c r="F5405" i="25" s="1"/>
  <c r="E5406" i="25"/>
  <c r="F5406" i="25" s="1"/>
  <c r="E5407" i="25"/>
  <c r="F5407" i="25" s="1"/>
  <c r="E5408" i="25"/>
  <c r="F5408" i="25" s="1"/>
  <c r="E5409" i="25"/>
  <c r="F5409" i="25" s="1"/>
  <c r="E5410" i="25"/>
  <c r="F5410" i="25" s="1"/>
  <c r="E5411" i="25"/>
  <c r="F5411" i="25" s="1"/>
  <c r="E5413" i="25"/>
  <c r="F5413" i="25" s="1"/>
  <c r="E5414" i="25"/>
  <c r="F5414" i="25" s="1"/>
  <c r="E5399" i="25"/>
  <c r="F5399" i="25" s="1"/>
  <c r="L5614" i="25"/>
  <c r="L5615" i="25"/>
  <c r="L5616" i="25"/>
  <c r="L5617" i="25"/>
  <c r="L5613" i="25"/>
  <c r="F4205" i="25"/>
  <c r="F4206" i="25"/>
  <c r="L2187" i="25"/>
  <c r="L2188" i="25"/>
  <c r="L2189" i="25"/>
  <c r="L2190" i="25"/>
  <c r="L2191" i="25"/>
  <c r="L2192" i="25"/>
  <c r="L2193" i="25"/>
  <c r="L2194" i="25"/>
  <c r="L2195" i="25"/>
  <c r="L2196" i="25"/>
  <c r="L2197" i="25"/>
  <c r="L2198" i="25"/>
  <c r="L2199" i="25"/>
  <c r="L2200" i="25"/>
  <c r="L2201" i="25"/>
  <c r="L2202" i="25"/>
  <c r="L2203" i="25"/>
  <c r="L2186" i="25"/>
  <c r="L2763" i="25"/>
  <c r="L2764" i="25"/>
  <c r="L2765" i="25"/>
  <c r="L2766" i="25"/>
  <c r="L2767" i="25"/>
  <c r="L2768" i="25"/>
  <c r="L2769" i="25"/>
  <c r="L2770" i="25"/>
  <c r="L2771" i="25"/>
  <c r="L2772" i="25"/>
  <c r="L2773" i="25"/>
  <c r="L2762" i="25"/>
  <c r="K3316" i="25"/>
  <c r="L3316" i="25"/>
  <c r="M3316" i="25"/>
  <c r="N3316" i="25"/>
  <c r="O3316" i="25"/>
  <c r="P3316" i="25"/>
  <c r="Q3316" i="25"/>
  <c r="R3316" i="25"/>
  <c r="J3316" i="25"/>
  <c r="L4453" i="25"/>
  <c r="L4454" i="25"/>
  <c r="L4455" i="25"/>
  <c r="L4456" i="25"/>
  <c r="L4452" i="25"/>
  <c r="F10283" i="25"/>
  <c r="AN347" i="29" s="1"/>
  <c r="H10274" i="25"/>
  <c r="H10273" i="25"/>
  <c r="H10272" i="25"/>
  <c r="H10271" i="25"/>
  <c r="H10270" i="25"/>
  <c r="H10269" i="25"/>
  <c r="H10268" i="25"/>
  <c r="H10267" i="25"/>
  <c r="H10266" i="25"/>
  <c r="H10265" i="25"/>
  <c r="H10264" i="25"/>
  <c r="H10263" i="25"/>
  <c r="H10262" i="25"/>
  <c r="H10261" i="25"/>
  <c r="H10260" i="25"/>
  <c r="H10259" i="25"/>
  <c r="H10258" i="25"/>
  <c r="H10257" i="25"/>
  <c r="H10256" i="25"/>
  <c r="H10255" i="25"/>
  <c r="H10254" i="25"/>
  <c r="H10253" i="25"/>
  <c r="H10252" i="25"/>
  <c r="H10251" i="25"/>
  <c r="H10250" i="25"/>
  <c r="H10249" i="25"/>
  <c r="H10248" i="25"/>
  <c r="H10247" i="25"/>
  <c r="H10246" i="25"/>
  <c r="H10245" i="25"/>
  <c r="E10239" i="25"/>
  <c r="F10239" i="25" s="1"/>
  <c r="E10238" i="25"/>
  <c r="F10238" i="25" s="1"/>
  <c r="E10237" i="25"/>
  <c r="F10237" i="25" s="1"/>
  <c r="E10236" i="25"/>
  <c r="F10236" i="25" s="1"/>
  <c r="E10235" i="25"/>
  <c r="F10235" i="25" s="1"/>
  <c r="E10234" i="25"/>
  <c r="F10234" i="25" s="1"/>
  <c r="E10233" i="25"/>
  <c r="F10233" i="25" s="1"/>
  <c r="E10232" i="25"/>
  <c r="F10232" i="25" s="1"/>
  <c r="E10231" i="25"/>
  <c r="F10231" i="25" s="1"/>
  <c r="E10217" i="25"/>
  <c r="F10217" i="25" s="1"/>
  <c r="R3138" i="25"/>
  <c r="S3138" i="25"/>
  <c r="T3138" i="25"/>
  <c r="U3138" i="25"/>
  <c r="V3138" i="25"/>
  <c r="Q3138" i="25"/>
  <c r="P3138" i="25"/>
  <c r="O3138" i="25"/>
  <c r="N3138" i="25"/>
  <c r="M3138" i="25"/>
  <c r="L3138" i="25"/>
  <c r="K3138" i="25"/>
  <c r="J3138" i="25"/>
  <c r="L3662" i="25"/>
  <c r="L3663" i="25"/>
  <c r="L3664" i="25"/>
  <c r="L3665" i="25"/>
  <c r="L3666" i="25"/>
  <c r="L3667" i="25"/>
  <c r="L3668" i="25"/>
  <c r="L3669" i="25"/>
  <c r="L3670" i="25"/>
  <c r="L3672" i="25"/>
  <c r="L3661" i="25"/>
  <c r="F2395" i="25"/>
  <c r="AV107" i="29"/>
  <c r="AX107" i="29" s="1"/>
  <c r="AY107" i="29" s="1"/>
  <c r="E2377" i="25"/>
  <c r="E8321" i="25"/>
  <c r="F8321" i="25" s="1"/>
  <c r="E8304" i="25"/>
  <c r="F8304" i="25" s="1"/>
  <c r="E8305" i="25"/>
  <c r="F8305" i="25" s="1"/>
  <c r="E8306" i="25"/>
  <c r="F8306" i="25" s="1"/>
  <c r="E8307" i="25"/>
  <c r="F8307" i="25" s="1"/>
  <c r="E8308" i="25"/>
  <c r="F8308" i="25" s="1"/>
  <c r="E8309" i="25"/>
  <c r="F8309" i="25" s="1"/>
  <c r="E8310" i="25"/>
  <c r="F8310" i="25" s="1"/>
  <c r="E8311" i="25"/>
  <c r="F8311" i="25" s="1"/>
  <c r="E8312" i="25"/>
  <c r="F8312" i="25" s="1"/>
  <c r="E8313" i="25"/>
  <c r="F8313" i="25" s="1"/>
  <c r="E8314" i="25"/>
  <c r="F8314" i="25" s="1"/>
  <c r="E8315" i="25"/>
  <c r="F8315" i="25" s="1"/>
  <c r="E8316" i="25"/>
  <c r="F8316" i="25" s="1"/>
  <c r="E8317" i="25"/>
  <c r="F8317" i="25" s="1"/>
  <c r="E8318" i="25"/>
  <c r="F8318" i="25" s="1"/>
  <c r="E8319" i="25"/>
  <c r="F8319" i="25" s="1"/>
  <c r="E8320" i="25"/>
  <c r="F8320" i="25" s="1"/>
  <c r="E8322" i="25"/>
  <c r="F8322" i="25" s="1"/>
  <c r="E8323" i="25"/>
  <c r="F8323" i="25" s="1"/>
  <c r="E8324" i="25"/>
  <c r="F8324" i="25" s="1"/>
  <c r="E8325" i="25"/>
  <c r="F8325" i="25" s="1"/>
  <c r="E8326" i="25"/>
  <c r="F8326" i="25" s="1"/>
  <c r="E8327" i="25"/>
  <c r="F8327" i="25" s="1"/>
  <c r="E8328" i="25"/>
  <c r="F8328" i="25" s="1"/>
  <c r="E8329" i="25"/>
  <c r="F8329" i="25" s="1"/>
  <c r="E8330" i="25"/>
  <c r="F8330" i="25" s="1"/>
  <c r="E8331" i="25"/>
  <c r="F8331" i="25" s="1"/>
  <c r="E8332" i="25"/>
  <c r="F8332" i="25" s="1"/>
  <c r="E8333" i="25"/>
  <c r="F8333" i="25" s="1"/>
  <c r="E8334" i="25"/>
  <c r="F8334" i="25" s="1"/>
  <c r="E8303" i="25"/>
  <c r="F8303" i="25" s="1"/>
  <c r="AN325" i="29"/>
  <c r="F9914" i="25"/>
  <c r="AN330" i="29" s="1"/>
  <c r="E10105" i="25"/>
  <c r="E10106" i="25"/>
  <c r="F8755" i="25"/>
  <c r="AQ299" i="29" s="1"/>
  <c r="F10165" i="25"/>
  <c r="F1091" i="25"/>
  <c r="AV59" i="29"/>
  <c r="AX59" i="29" s="1"/>
  <c r="AY59" i="29" s="1"/>
  <c r="I1873" i="25"/>
  <c r="E3493" i="25"/>
  <c r="F3493" i="25" s="1"/>
  <c r="R2615" i="25"/>
  <c r="T2615" i="25" s="1"/>
  <c r="U2615" i="25" s="1"/>
  <c r="T2614" i="25"/>
  <c r="U2614" i="25" s="1"/>
  <c r="R2613" i="25"/>
  <c r="T2613" i="25" s="1"/>
  <c r="U2613" i="25" s="1"/>
  <c r="T2612" i="25"/>
  <c r="U2612" i="25" s="1"/>
  <c r="T2611" i="25"/>
  <c r="U2611" i="25" s="1"/>
  <c r="T2610" i="25"/>
  <c r="U2610" i="25" s="1"/>
  <c r="T2609" i="25"/>
  <c r="U2609" i="25" s="1"/>
  <c r="R2608" i="25"/>
  <c r="T2608" i="25" s="1"/>
  <c r="U2608" i="25" s="1"/>
  <c r="T2607" i="25"/>
  <c r="U2607" i="25" s="1"/>
  <c r="T2606" i="25"/>
  <c r="U2606" i="25" s="1"/>
  <c r="T2605" i="25"/>
  <c r="U2605" i="25" s="1"/>
  <c r="R2604" i="25"/>
  <c r="T2604" i="25" s="1"/>
  <c r="U2604" i="25" s="1"/>
  <c r="R2603" i="25"/>
  <c r="T2603" i="25" s="1"/>
  <c r="U2603" i="25" s="1"/>
  <c r="R2602" i="25"/>
  <c r="T2602" i="25" s="1"/>
  <c r="U2602" i="25" s="1"/>
  <c r="T2601" i="25"/>
  <c r="U2601" i="25" s="1"/>
  <c r="T2600" i="25"/>
  <c r="U2600" i="25" s="1"/>
  <c r="T2599" i="25"/>
  <c r="U2599" i="25" s="1"/>
  <c r="T2598" i="25"/>
  <c r="U2598" i="25" s="1"/>
  <c r="R2597" i="25"/>
  <c r="T2597" i="25" s="1"/>
  <c r="U2597" i="25" s="1"/>
  <c r="T2596" i="25"/>
  <c r="U2596" i="25" s="1"/>
  <c r="N4645" i="25"/>
  <c r="N4644" i="25"/>
  <c r="N4643" i="25"/>
  <c r="N4642" i="25"/>
  <c r="N4641" i="25"/>
  <c r="N4640" i="25"/>
  <c r="N4639" i="25"/>
  <c r="N4638" i="25"/>
  <c r="N4637" i="25"/>
  <c r="N4636" i="25"/>
  <c r="N4635" i="25"/>
  <c r="N4634" i="25"/>
  <c r="N4633" i="25"/>
  <c r="N4632" i="25"/>
  <c r="N4631" i="25"/>
  <c r="J2035" i="25"/>
  <c r="K2035" i="25"/>
  <c r="L2035" i="25"/>
  <c r="M2035" i="25"/>
  <c r="I2035" i="25"/>
  <c r="J4316" i="25"/>
  <c r="J4095" i="25"/>
  <c r="P2624" i="25"/>
  <c r="P2625" i="25"/>
  <c r="P2626" i="25"/>
  <c r="P2627" i="25"/>
  <c r="P2628" i="25"/>
  <c r="P2623" i="25"/>
  <c r="J2080" i="25"/>
  <c r="K2080" i="25"/>
  <c r="L2080" i="25"/>
  <c r="M2080" i="25"/>
  <c r="N2080" i="25"/>
  <c r="O2080" i="25"/>
  <c r="P2080" i="25"/>
  <c r="Q2080" i="25"/>
  <c r="R2080" i="25"/>
  <c r="S2080" i="25"/>
  <c r="T2080" i="25"/>
  <c r="U2080" i="25"/>
  <c r="V2080" i="25"/>
  <c r="W2080" i="25"/>
  <c r="X2080" i="25"/>
  <c r="Z2080" i="25"/>
  <c r="AA2080" i="25"/>
  <c r="AB2080" i="25"/>
  <c r="I2080" i="25"/>
  <c r="K4095" i="25"/>
  <c r="L4095" i="25"/>
  <c r="M4095" i="25"/>
  <c r="N4095" i="25"/>
  <c r="M2960" i="25"/>
  <c r="N2960" i="25"/>
  <c r="L2960" i="25"/>
  <c r="K2960" i="25"/>
  <c r="J2960" i="25"/>
  <c r="F8815" i="25"/>
  <c r="AQ300" i="29" s="1"/>
  <c r="AP300" i="29" s="1"/>
  <c r="K2607" i="25"/>
  <c r="L1754" i="25"/>
  <c r="E3542" i="25"/>
  <c r="F3542" i="25" s="1"/>
  <c r="E1169" i="25"/>
  <c r="F1169" i="25" s="1"/>
  <c r="E1170" i="25"/>
  <c r="F1170" i="25" s="1"/>
  <c r="E1171" i="25"/>
  <c r="F1171" i="25" s="1"/>
  <c r="I3138" i="25"/>
  <c r="E820" i="25"/>
  <c r="E1180" i="25"/>
  <c r="E1740" i="25"/>
  <c r="E1772" i="25"/>
  <c r="E1897" i="25"/>
  <c r="E2283" i="25"/>
  <c r="E2320" i="25"/>
  <c r="E2467" i="25"/>
  <c r="E2594" i="25"/>
  <c r="E2727" i="25"/>
  <c r="E3400" i="25"/>
  <c r="E3491" i="25"/>
  <c r="E3903" i="25"/>
  <c r="E4040" i="25"/>
  <c r="E4262" i="25"/>
  <c r="E4448" i="25"/>
  <c r="E4489" i="25"/>
  <c r="E5366" i="25"/>
  <c r="E8958" i="25"/>
  <c r="H10127" i="25"/>
  <c r="H10128" i="25"/>
  <c r="H10129" i="25"/>
  <c r="H10130" i="25"/>
  <c r="H10131" i="25"/>
  <c r="H10132" i="25"/>
  <c r="H10133" i="25"/>
  <c r="H10134" i="25"/>
  <c r="H10135" i="25"/>
  <c r="H10136" i="25"/>
  <c r="H10137" i="25"/>
  <c r="H10138" i="25"/>
  <c r="H10139" i="25"/>
  <c r="H10140" i="25"/>
  <c r="H10141" i="25"/>
  <c r="H10142" i="25"/>
  <c r="H10143" i="25"/>
  <c r="H10144" i="25"/>
  <c r="H10145" i="25"/>
  <c r="H10146" i="25"/>
  <c r="H10147" i="25"/>
  <c r="H10148" i="25"/>
  <c r="H10149" i="25"/>
  <c r="H10150" i="25"/>
  <c r="H10151" i="25"/>
  <c r="H10152" i="25"/>
  <c r="H10153" i="25"/>
  <c r="H10154" i="25"/>
  <c r="H10155" i="25"/>
  <c r="H10156" i="25"/>
  <c r="H9548" i="25"/>
  <c r="H9549" i="25"/>
  <c r="H9550" i="25"/>
  <c r="H9551" i="25"/>
  <c r="H9552" i="25"/>
  <c r="H9553" i="25"/>
  <c r="H9554" i="25"/>
  <c r="H9555" i="25"/>
  <c r="H9556" i="25"/>
  <c r="H9557" i="25"/>
  <c r="H9558" i="25"/>
  <c r="H9559" i="25"/>
  <c r="H9560" i="25"/>
  <c r="H9561" i="25"/>
  <c r="H9562" i="25"/>
  <c r="H9563" i="25"/>
  <c r="H9564" i="25"/>
  <c r="H9565" i="25"/>
  <c r="H9566" i="25"/>
  <c r="H9567" i="25"/>
  <c r="H9568" i="25"/>
  <c r="H9569" i="25"/>
  <c r="H9570" i="25"/>
  <c r="H9571" i="25"/>
  <c r="H9572" i="25"/>
  <c r="H9573" i="25"/>
  <c r="H9574" i="25"/>
  <c r="H9575" i="25"/>
  <c r="H9576" i="25"/>
  <c r="H9577" i="25"/>
  <c r="H10030" i="25"/>
  <c r="H10031" i="25"/>
  <c r="H10032" i="25"/>
  <c r="H10033" i="25"/>
  <c r="H10034" i="25"/>
  <c r="H10035" i="25"/>
  <c r="H10036" i="25"/>
  <c r="H10037" i="25"/>
  <c r="H10038" i="25"/>
  <c r="H10039" i="25"/>
  <c r="H10040" i="25"/>
  <c r="H10041" i="25"/>
  <c r="H10042" i="25"/>
  <c r="H10043" i="25"/>
  <c r="H10044" i="25"/>
  <c r="H10045" i="25"/>
  <c r="H10046" i="25"/>
  <c r="H10047" i="25"/>
  <c r="H10048" i="25"/>
  <c r="H10049" i="25"/>
  <c r="H10050" i="25"/>
  <c r="H10051" i="25"/>
  <c r="H10052" i="25"/>
  <c r="H10053" i="25"/>
  <c r="H10054" i="25"/>
  <c r="H10055" i="25"/>
  <c r="H10056" i="25"/>
  <c r="H10057" i="25"/>
  <c r="H10058" i="25"/>
  <c r="H10059" i="25"/>
  <c r="H2623" i="25"/>
  <c r="H2624" i="25"/>
  <c r="H2625" i="25"/>
  <c r="H2626" i="25"/>
  <c r="H2627" i="25"/>
  <c r="H2628" i="25"/>
  <c r="H2629" i="25"/>
  <c r="H2630" i="25"/>
  <c r="H2631" i="25"/>
  <c r="H2632" i="25"/>
  <c r="H2633" i="25"/>
  <c r="H2634" i="25"/>
  <c r="H2635" i="25"/>
  <c r="H2636" i="25"/>
  <c r="H2637" i="25"/>
  <c r="H2638" i="25"/>
  <c r="H2639" i="25"/>
  <c r="H2640" i="25"/>
  <c r="H2641" i="25"/>
  <c r="H2642" i="25"/>
  <c r="H2643" i="25"/>
  <c r="H2644" i="25"/>
  <c r="H2645" i="25"/>
  <c r="H2646" i="25"/>
  <c r="H2647" i="25"/>
  <c r="H2648" i="25"/>
  <c r="H2649" i="25"/>
  <c r="H2650" i="25"/>
  <c r="H2651" i="25"/>
  <c r="H2652" i="25"/>
  <c r="H9632" i="25"/>
  <c r="H9633" i="25"/>
  <c r="H9634" i="25"/>
  <c r="H9635" i="25"/>
  <c r="H9636" i="25"/>
  <c r="H9637" i="25"/>
  <c r="H9638" i="25"/>
  <c r="H9639" i="25"/>
  <c r="H9640" i="25"/>
  <c r="H9641" i="25"/>
  <c r="H9642" i="25"/>
  <c r="H9643" i="25"/>
  <c r="H9644" i="25"/>
  <c r="H9645" i="25"/>
  <c r="H9646" i="25"/>
  <c r="H9647" i="25"/>
  <c r="H9648" i="25"/>
  <c r="H9649" i="25"/>
  <c r="H9650" i="25"/>
  <c r="H9651" i="25"/>
  <c r="H9652" i="25"/>
  <c r="H9653" i="25"/>
  <c r="H9654" i="25"/>
  <c r="H9655" i="25"/>
  <c r="H9656" i="25"/>
  <c r="H9657" i="25"/>
  <c r="H9658" i="25"/>
  <c r="H9659" i="25"/>
  <c r="H9660" i="25"/>
  <c r="H9661" i="25"/>
  <c r="E9251" i="25"/>
  <c r="F9251" i="25" s="1"/>
  <c r="AN318" i="29"/>
  <c r="E10072" i="25"/>
  <c r="L1743" i="25"/>
  <c r="L1744" i="25"/>
  <c r="L1745" i="25"/>
  <c r="L1746" i="25"/>
  <c r="L1747" i="25"/>
  <c r="L1748" i="25"/>
  <c r="L1749" i="25"/>
  <c r="L1750" i="25"/>
  <c r="L1751" i="25"/>
  <c r="L1752" i="25"/>
  <c r="L1753" i="25"/>
  <c r="K2606" i="25"/>
  <c r="E4310" i="25"/>
  <c r="F4310" i="25" s="1"/>
  <c r="E4309" i="25"/>
  <c r="F4309" i="25" s="1"/>
  <c r="N2284" i="25"/>
  <c r="N2285" i="25"/>
  <c r="N2286" i="25"/>
  <c r="N2287" i="25"/>
  <c r="N2288" i="25"/>
  <c r="N2289" i="25"/>
  <c r="N2290" i="25"/>
  <c r="N2291" i="25"/>
  <c r="N2292" i="25"/>
  <c r="N2293" i="25"/>
  <c r="N2294" i="25"/>
  <c r="N2283" i="25"/>
  <c r="L2294" i="25"/>
  <c r="L2293" i="25"/>
  <c r="I4182" i="25"/>
  <c r="K2623" i="25"/>
  <c r="L2623" i="25" s="1"/>
  <c r="K2624" i="25"/>
  <c r="L2624" i="25" s="1"/>
  <c r="K2625" i="25"/>
  <c r="L2625" i="25" s="1"/>
  <c r="J2626" i="25"/>
  <c r="K2626" i="25" s="1"/>
  <c r="L2626" i="25" s="1"/>
  <c r="K2627" i="25"/>
  <c r="L2627" i="25" s="1"/>
  <c r="K2629" i="25"/>
  <c r="L2629" i="25" s="1"/>
  <c r="K2630" i="25"/>
  <c r="L2630" i="25" s="1"/>
  <c r="J2631" i="25"/>
  <c r="K2631" i="25" s="1"/>
  <c r="L2631" i="25" s="1"/>
  <c r="K2632" i="25"/>
  <c r="L2632" i="25" s="1"/>
  <c r="K2633" i="25"/>
  <c r="L2633" i="25" s="1"/>
  <c r="K2634" i="25"/>
  <c r="L2634" i="25" s="1"/>
  <c r="K2635" i="25"/>
  <c r="L2635" i="25" s="1"/>
  <c r="J2636" i="25"/>
  <c r="K2636" i="25" s="1"/>
  <c r="L2636" i="25" s="1"/>
  <c r="K2637" i="25"/>
  <c r="L2637" i="25" s="1"/>
  <c r="K2638" i="25"/>
  <c r="L2638" i="25" s="1"/>
  <c r="K2639" i="25"/>
  <c r="L2639" i="25" s="1"/>
  <c r="J2640" i="25"/>
  <c r="K2640" i="25" s="1"/>
  <c r="L2640" i="25" s="1"/>
  <c r="K2641" i="25"/>
  <c r="L2641" i="25" s="1"/>
  <c r="K2642" i="25"/>
  <c r="L2642" i="25" s="1"/>
  <c r="K2643" i="25"/>
  <c r="L2643" i="25" s="1"/>
  <c r="K2644" i="25"/>
  <c r="L2644" i="25" s="1"/>
  <c r="K2645" i="25"/>
  <c r="L2645" i="25" s="1"/>
  <c r="K2646" i="25"/>
  <c r="L2646" i="25" s="1"/>
  <c r="K2647" i="25"/>
  <c r="L2647" i="25" s="1"/>
  <c r="K2648" i="25"/>
  <c r="L2648" i="25" s="1"/>
  <c r="K2649" i="25"/>
  <c r="L2649" i="25" s="1"/>
  <c r="K2650" i="25"/>
  <c r="L2650" i="25" s="1"/>
  <c r="K2651" i="25"/>
  <c r="L2651" i="25" s="1"/>
  <c r="K2652" i="25"/>
  <c r="L2652" i="25" s="1"/>
  <c r="H4904" i="25"/>
  <c r="H4905" i="25"/>
  <c r="H4906" i="25"/>
  <c r="H4907" i="25"/>
  <c r="H4908" i="25"/>
  <c r="H4909" i="25"/>
  <c r="H4910" i="25"/>
  <c r="H4911" i="25"/>
  <c r="H4912" i="25"/>
  <c r="H4913" i="25"/>
  <c r="H4914" i="25"/>
  <c r="H4915" i="25"/>
  <c r="H4916" i="25"/>
  <c r="H4917" i="25"/>
  <c r="H4918" i="25"/>
  <c r="H4919" i="25"/>
  <c r="H4920" i="25"/>
  <c r="H4921" i="25"/>
  <c r="H4922" i="25"/>
  <c r="H4923" i="25"/>
  <c r="L2283" i="25"/>
  <c r="L2284" i="25"/>
  <c r="L2285" i="25"/>
  <c r="L2286" i="25"/>
  <c r="L2287" i="25"/>
  <c r="L2288" i="25"/>
  <c r="L2289" i="25"/>
  <c r="L2290" i="25"/>
  <c r="L2291" i="25"/>
  <c r="L2292" i="25"/>
  <c r="H2285" i="25"/>
  <c r="E2285" i="25"/>
  <c r="F2285" i="25" s="1"/>
  <c r="E2286" i="25"/>
  <c r="F2286" i="25" s="1"/>
  <c r="H2287" i="25"/>
  <c r="C2287" i="25"/>
  <c r="E2287" i="25" s="1"/>
  <c r="F2287" i="25" s="1"/>
  <c r="H2288" i="25"/>
  <c r="E2288" i="25"/>
  <c r="F2288" i="25" s="1"/>
  <c r="H2289" i="25"/>
  <c r="E2289" i="25"/>
  <c r="F2289" i="25" s="1"/>
  <c r="H2290" i="25"/>
  <c r="E2290" i="25"/>
  <c r="F2290" i="25" s="1"/>
  <c r="H2291" i="25"/>
  <c r="E2291" i="25"/>
  <c r="F2291" i="25" s="1"/>
  <c r="H2292" i="25"/>
  <c r="E2292" i="25"/>
  <c r="F2292" i="25" s="1"/>
  <c r="H2293" i="25"/>
  <c r="E2293" i="25"/>
  <c r="F2293" i="25" s="1"/>
  <c r="H2294" i="25"/>
  <c r="C2294" i="25"/>
  <c r="E2294" i="25" s="1"/>
  <c r="F2294" i="25" s="1"/>
  <c r="H2295" i="25"/>
  <c r="E2295" i="25"/>
  <c r="F2295" i="25" s="1"/>
  <c r="H2296" i="25"/>
  <c r="E2296" i="25"/>
  <c r="F2296" i="25" s="1"/>
  <c r="H2297" i="25"/>
  <c r="E2297" i="25"/>
  <c r="F2297" i="25" s="1"/>
  <c r="H2298" i="25"/>
  <c r="C2298" i="25"/>
  <c r="E2298" i="25" s="1"/>
  <c r="F2298" i="25" s="1"/>
  <c r="H2299" i="25"/>
  <c r="E2299" i="25"/>
  <c r="F2299" i="25" s="1"/>
  <c r="H2300" i="25"/>
  <c r="E2300" i="25"/>
  <c r="F2300" i="25" s="1"/>
  <c r="H2301" i="25"/>
  <c r="E2301" i="25"/>
  <c r="F2301" i="25" s="1"/>
  <c r="H2302" i="25"/>
  <c r="E2302" i="25"/>
  <c r="F2302" i="25" s="1"/>
  <c r="H2303" i="25"/>
  <c r="E2303" i="25"/>
  <c r="F2303" i="25" s="1"/>
  <c r="H2304" i="25"/>
  <c r="C2304" i="25"/>
  <c r="E2304" i="25"/>
  <c r="F2304" i="25" s="1"/>
  <c r="H2305" i="25"/>
  <c r="E2305" i="25"/>
  <c r="F2305" i="25" s="1"/>
  <c r="H2306" i="25"/>
  <c r="E2306" i="25"/>
  <c r="F2306" i="25" s="1"/>
  <c r="H2307" i="25"/>
  <c r="E2307" i="25"/>
  <c r="F2307" i="25" s="1"/>
  <c r="H2308" i="25"/>
  <c r="E2308" i="25"/>
  <c r="F2308" i="25" s="1"/>
  <c r="H2309" i="25"/>
  <c r="E2309" i="25"/>
  <c r="F2309" i="25" s="1"/>
  <c r="H2310" i="25"/>
  <c r="E2310" i="25"/>
  <c r="F2310" i="25" s="1"/>
  <c r="H2311" i="25"/>
  <c r="E2311" i="25"/>
  <c r="F2311" i="25" s="1"/>
  <c r="H2312" i="25"/>
  <c r="E2312" i="25"/>
  <c r="F2312" i="25" s="1"/>
  <c r="H2313" i="25"/>
  <c r="E2313" i="25"/>
  <c r="F2313" i="25" s="1"/>
  <c r="H2314" i="25"/>
  <c r="E2314" i="25"/>
  <c r="F2314" i="25" s="1"/>
  <c r="H3456" i="25"/>
  <c r="H3457" i="25"/>
  <c r="H3458" i="25"/>
  <c r="H3459" i="25"/>
  <c r="H3460" i="25"/>
  <c r="H3461" i="25"/>
  <c r="H3462" i="25"/>
  <c r="H3463" i="25"/>
  <c r="H3464" i="25"/>
  <c r="H3465" i="25"/>
  <c r="H3466" i="25"/>
  <c r="H3467" i="25"/>
  <c r="H3468" i="25"/>
  <c r="H3469" i="25"/>
  <c r="H3470" i="25"/>
  <c r="H3471" i="25"/>
  <c r="H3472" i="25"/>
  <c r="H3473" i="25"/>
  <c r="H3474" i="25"/>
  <c r="H3475" i="25"/>
  <c r="H3476" i="25"/>
  <c r="H3477" i="25"/>
  <c r="H3478" i="25"/>
  <c r="H3479" i="25"/>
  <c r="H3480" i="25"/>
  <c r="H3481" i="25"/>
  <c r="H3482" i="25"/>
  <c r="H3483" i="25"/>
  <c r="H3484" i="25"/>
  <c r="H3485" i="25"/>
  <c r="AN311" i="29"/>
  <c r="F392" i="25"/>
  <c r="AV25" i="29"/>
  <c r="AX25" i="29" s="1"/>
  <c r="AY25" i="29" s="1"/>
  <c r="F547" i="25"/>
  <c r="F560" i="25"/>
  <c r="F573" i="25"/>
  <c r="F816" i="25"/>
  <c r="AV47" i="29"/>
  <c r="AZ47" i="29" s="1"/>
  <c r="F1004" i="25"/>
  <c r="E1167" i="25"/>
  <c r="F1167" i="25" s="1"/>
  <c r="E1168" i="25"/>
  <c r="F1168" i="25" s="1"/>
  <c r="F1204" i="25"/>
  <c r="F1205" i="25" s="1"/>
  <c r="F1206" i="25" s="1"/>
  <c r="F1207" i="25" s="1"/>
  <c r="E1226" i="25"/>
  <c r="F1226" i="25" s="1"/>
  <c r="E1234" i="25"/>
  <c r="F1234" i="25" s="1"/>
  <c r="E1236" i="25"/>
  <c r="F1236" i="25" s="1"/>
  <c r="E1237" i="25"/>
  <c r="F1237" i="25" s="1"/>
  <c r="E1238" i="25"/>
  <c r="F1238" i="25" s="1"/>
  <c r="E1423" i="25"/>
  <c r="F1423" i="25" s="1"/>
  <c r="E1425" i="25"/>
  <c r="F1425" i="25" s="1"/>
  <c r="E1426" i="25"/>
  <c r="F1426" i="25" s="1"/>
  <c r="E1427" i="25"/>
  <c r="F1427" i="25" s="1"/>
  <c r="E1430" i="25"/>
  <c r="F1430" i="25" s="1"/>
  <c r="E1431" i="25"/>
  <c r="F1431" i="25" s="1"/>
  <c r="F1467" i="25"/>
  <c r="E1742" i="25"/>
  <c r="F1742" i="25" s="1"/>
  <c r="E1743" i="25"/>
  <c r="F1743" i="25" s="1"/>
  <c r="E1744" i="25"/>
  <c r="F1744" i="25" s="1"/>
  <c r="E1746" i="25"/>
  <c r="F1746" i="25" s="1"/>
  <c r="E1747" i="25"/>
  <c r="F1747" i="25" s="1"/>
  <c r="E1748" i="25"/>
  <c r="F1748" i="25" s="1"/>
  <c r="E1749" i="25"/>
  <c r="F1749" i="25" s="1"/>
  <c r="E1750" i="25"/>
  <c r="F1750" i="25" s="1"/>
  <c r="C1751" i="25"/>
  <c r="E1751" i="25" s="1"/>
  <c r="F1751" i="25" s="1"/>
  <c r="E1752" i="25"/>
  <c r="F1752" i="25" s="1"/>
  <c r="E1753" i="25"/>
  <c r="F1753" i="25" s="1"/>
  <c r="C1754" i="25"/>
  <c r="E1754" i="25" s="1"/>
  <c r="F1754" i="25" s="1"/>
  <c r="E1755" i="25"/>
  <c r="F1755" i="25" s="1"/>
  <c r="C1756" i="25"/>
  <c r="E1756" i="25" s="1"/>
  <c r="F1756" i="25" s="1"/>
  <c r="E1757" i="25"/>
  <c r="F1757" i="25" s="1"/>
  <c r="C1758" i="25"/>
  <c r="E1758" i="25" s="1"/>
  <c r="F1758" i="25" s="1"/>
  <c r="E1759" i="25"/>
  <c r="F1759" i="25" s="1"/>
  <c r="E1760" i="25"/>
  <c r="F1760" i="25" s="1"/>
  <c r="E1761" i="25"/>
  <c r="F1761" i="25" s="1"/>
  <c r="E1763" i="25"/>
  <c r="F1763" i="25" s="1"/>
  <c r="C1764" i="25"/>
  <c r="E1764" i="25" s="1"/>
  <c r="F1764" i="25" s="1"/>
  <c r="E1765" i="25"/>
  <c r="F1765" i="25" s="1"/>
  <c r="E1766" i="25"/>
  <c r="F1766" i="25" s="1"/>
  <c r="D1774" i="25"/>
  <c r="E1774" i="25" s="1"/>
  <c r="F1774" i="25" s="1"/>
  <c r="D1775" i="25"/>
  <c r="E1775" i="25" s="1"/>
  <c r="F1775" i="25" s="1"/>
  <c r="D1776" i="25"/>
  <c r="E1776" i="25" s="1"/>
  <c r="F1776" i="25" s="1"/>
  <c r="D1777" i="25"/>
  <c r="E1777" i="25" s="1"/>
  <c r="F1777" i="25" s="1"/>
  <c r="D1778" i="25"/>
  <c r="C1778" i="25"/>
  <c r="D1779" i="25"/>
  <c r="C1779" i="25"/>
  <c r="D1780" i="25"/>
  <c r="E1780" i="25" s="1"/>
  <c r="F1780" i="25" s="1"/>
  <c r="D1781" i="25"/>
  <c r="E1781" i="25" s="1"/>
  <c r="F1781" i="25" s="1"/>
  <c r="D1782" i="25"/>
  <c r="C1782" i="25"/>
  <c r="D1784" i="25"/>
  <c r="C1784" i="25"/>
  <c r="D1785" i="25"/>
  <c r="C1785" i="25"/>
  <c r="D1786" i="25"/>
  <c r="E1786" i="25" s="1"/>
  <c r="F1786" i="25" s="1"/>
  <c r="D1787" i="25"/>
  <c r="E1787" i="25" s="1"/>
  <c r="F1787" i="25" s="1"/>
  <c r="D1788" i="25"/>
  <c r="E1788" i="25" s="1"/>
  <c r="F1788" i="25" s="1"/>
  <c r="D1789" i="25"/>
  <c r="E1789" i="25" s="1"/>
  <c r="F1789" i="25" s="1"/>
  <c r="D1790" i="25"/>
  <c r="E1790" i="25" s="1"/>
  <c r="F1790" i="25" s="1"/>
  <c r="D1791" i="25"/>
  <c r="E1791" i="25" s="1"/>
  <c r="F1791" i="25" s="1"/>
  <c r="D1792" i="25"/>
  <c r="E1792" i="25" s="1"/>
  <c r="F1792" i="25" s="1"/>
  <c r="D1793" i="25"/>
  <c r="E1793" i="25" s="1"/>
  <c r="F1793" i="25" s="1"/>
  <c r="D1794" i="25"/>
  <c r="C1794" i="25"/>
  <c r="D1795" i="25"/>
  <c r="C1795" i="25"/>
  <c r="D1796" i="25"/>
  <c r="E1796" i="25" s="1"/>
  <c r="F1796" i="25" s="1"/>
  <c r="D1797" i="25"/>
  <c r="C1797" i="25"/>
  <c r="D1798" i="25"/>
  <c r="E1798" i="25" s="1"/>
  <c r="F1798" i="25" s="1"/>
  <c r="D1799" i="25"/>
  <c r="E1799" i="25" s="1"/>
  <c r="F1799" i="25" s="1"/>
  <c r="D1800" i="25"/>
  <c r="E1800" i="25" s="1"/>
  <c r="F1800" i="25" s="1"/>
  <c r="D1801" i="25"/>
  <c r="E1801" i="25" s="1"/>
  <c r="F1801" i="25" s="1"/>
  <c r="D1802" i="25"/>
  <c r="C1802" i="25"/>
  <c r="D1803" i="25"/>
  <c r="C1803" i="25"/>
  <c r="F1893" i="25"/>
  <c r="L1901" i="25"/>
  <c r="L1902" i="25"/>
  <c r="L1903" i="25"/>
  <c r="L1904" i="25"/>
  <c r="L1905" i="25"/>
  <c r="L1906" i="25"/>
  <c r="L1907" i="25"/>
  <c r="L1908" i="25"/>
  <c r="L1909" i="25"/>
  <c r="L1910" i="25"/>
  <c r="L1911" i="25"/>
  <c r="L1912" i="25"/>
  <c r="H1899" i="25"/>
  <c r="D1899" i="25" s="1"/>
  <c r="E1899" i="25" s="1"/>
  <c r="F1899" i="25" s="1"/>
  <c r="H1900" i="25"/>
  <c r="D1900" i="25" s="1"/>
  <c r="E1900" i="25" s="1"/>
  <c r="F1900" i="25" s="1"/>
  <c r="H1901" i="25"/>
  <c r="D1901" i="25" s="1"/>
  <c r="C1901" i="25"/>
  <c r="H1902" i="25"/>
  <c r="D1902" i="25" s="1"/>
  <c r="C1902" i="25"/>
  <c r="H1903" i="25"/>
  <c r="D1903" i="25" s="1"/>
  <c r="C1903" i="25"/>
  <c r="H1904" i="25"/>
  <c r="D1904" i="25" s="1"/>
  <c r="C1904" i="25"/>
  <c r="H1905" i="25"/>
  <c r="D1905" i="25" s="1"/>
  <c r="E1905" i="25" s="1"/>
  <c r="F1905" i="25" s="1"/>
  <c r="H1906" i="25"/>
  <c r="D1906" i="25" s="1"/>
  <c r="E1906" i="25" s="1"/>
  <c r="F1906" i="25" s="1"/>
  <c r="H1907" i="25"/>
  <c r="D1907" i="25" s="1"/>
  <c r="E1907" i="25" s="1"/>
  <c r="F1907" i="25" s="1"/>
  <c r="H1908" i="25"/>
  <c r="D1908" i="25" s="1"/>
  <c r="E1908" i="25" s="1"/>
  <c r="F1908" i="25" s="1"/>
  <c r="H1909" i="25"/>
  <c r="D1909" i="25" s="1"/>
  <c r="C1909" i="25"/>
  <c r="H1910" i="25"/>
  <c r="D1910" i="25" s="1"/>
  <c r="C1910" i="25"/>
  <c r="H1911" i="25"/>
  <c r="D1911" i="25" s="1"/>
  <c r="E1911" i="25" s="1"/>
  <c r="F1911" i="25" s="1"/>
  <c r="H1912" i="25"/>
  <c r="D1912" i="25" s="1"/>
  <c r="C1912" i="25"/>
  <c r="H1913" i="25"/>
  <c r="D1913" i="25" s="1"/>
  <c r="E1913" i="25" s="1"/>
  <c r="F1913" i="25" s="1"/>
  <c r="H1914" i="25"/>
  <c r="D1914" i="25" s="1"/>
  <c r="E1914" i="25" s="1"/>
  <c r="F1914" i="25" s="1"/>
  <c r="H1915" i="25"/>
  <c r="D1915" i="25" s="1"/>
  <c r="C1915" i="25"/>
  <c r="H1916" i="25"/>
  <c r="D1916" i="25" s="1"/>
  <c r="E1916" i="25" s="1"/>
  <c r="F1916" i="25" s="1"/>
  <c r="H1917" i="25"/>
  <c r="D1917" i="25" s="1"/>
  <c r="C1917" i="25"/>
  <c r="H1918" i="25"/>
  <c r="D1918" i="25" s="1"/>
  <c r="E1918" i="25" s="1"/>
  <c r="F1918" i="25" s="1"/>
  <c r="E2046" i="25"/>
  <c r="F2046" i="25" s="1"/>
  <c r="E2056" i="25"/>
  <c r="F2056" i="25" s="1"/>
  <c r="E2057" i="25"/>
  <c r="F2057" i="25" s="1"/>
  <c r="E2058" i="25"/>
  <c r="F2058" i="25" s="1"/>
  <c r="E2061" i="25"/>
  <c r="F2061" i="25" s="1"/>
  <c r="E2062" i="25"/>
  <c r="F2062" i="25" s="1"/>
  <c r="H2186" i="25"/>
  <c r="H2187" i="25"/>
  <c r="H2188" i="25"/>
  <c r="H2189" i="25"/>
  <c r="H2190" i="25"/>
  <c r="H2191" i="25"/>
  <c r="H2192" i="25"/>
  <c r="H2193" i="25"/>
  <c r="H2194" i="25"/>
  <c r="H2195" i="25"/>
  <c r="H2196" i="25"/>
  <c r="H2197" i="25"/>
  <c r="H2198" i="25"/>
  <c r="H2199" i="25"/>
  <c r="H2200" i="25"/>
  <c r="H2201" i="25"/>
  <c r="H2202" i="25"/>
  <c r="H2203" i="25"/>
  <c r="H2204" i="25"/>
  <c r="H2205" i="25"/>
  <c r="K2323" i="25"/>
  <c r="K2324" i="25"/>
  <c r="K2325" i="25"/>
  <c r="K2326" i="25"/>
  <c r="K2327" i="25"/>
  <c r="K2328" i="25"/>
  <c r="K2329" i="25"/>
  <c r="K2330" i="25"/>
  <c r="K2331" i="25"/>
  <c r="K2332" i="25"/>
  <c r="K2333" i="25"/>
  <c r="K2334" i="25"/>
  <c r="E2322" i="25"/>
  <c r="F2322" i="25" s="1"/>
  <c r="E2323" i="25"/>
  <c r="F2323" i="25" s="1"/>
  <c r="E2324" i="25"/>
  <c r="F2324" i="25" s="1"/>
  <c r="E2325" i="25"/>
  <c r="F2325" i="25" s="1"/>
  <c r="E2326" i="25"/>
  <c r="F2326" i="25" s="1"/>
  <c r="E2327" i="25"/>
  <c r="F2327" i="25" s="1"/>
  <c r="E2328" i="25"/>
  <c r="F2328" i="25" s="1"/>
  <c r="E2329" i="25"/>
  <c r="F2329" i="25" s="1"/>
  <c r="E2330" i="25"/>
  <c r="F2330" i="25" s="1"/>
  <c r="E2331" i="25"/>
  <c r="F2331" i="25" s="1"/>
  <c r="E2332" i="25"/>
  <c r="F2332" i="25" s="1"/>
  <c r="E2333" i="25"/>
  <c r="F2333" i="25" s="1"/>
  <c r="E2334" i="25"/>
  <c r="F2334" i="25" s="1"/>
  <c r="E2335" i="25"/>
  <c r="F2335" i="25" s="1"/>
  <c r="E2336" i="25"/>
  <c r="F2336" i="25" s="1"/>
  <c r="E2337" i="25"/>
  <c r="F2337" i="25" s="1"/>
  <c r="E2338" i="25"/>
  <c r="F2338" i="25" s="1"/>
  <c r="E2339" i="25"/>
  <c r="F2339" i="25" s="1"/>
  <c r="E2340" i="25"/>
  <c r="F2340" i="25" s="1"/>
  <c r="E2341" i="25"/>
  <c r="F2341" i="25" s="1"/>
  <c r="E2447" i="25"/>
  <c r="F2447" i="25" s="1"/>
  <c r="E2448" i="25"/>
  <c r="F2448" i="25" s="1"/>
  <c r="E2449" i="25"/>
  <c r="F2449" i="25" s="1"/>
  <c r="E2450" i="25"/>
  <c r="F2450" i="25" s="1"/>
  <c r="E2451" i="25"/>
  <c r="F2451" i="25" s="1"/>
  <c r="E2452" i="25"/>
  <c r="F2452" i="25" s="1"/>
  <c r="E2453" i="25"/>
  <c r="F2453" i="25" s="1"/>
  <c r="E2454" i="25"/>
  <c r="F2454" i="25" s="1"/>
  <c r="E2455" i="25"/>
  <c r="F2455" i="25" s="1"/>
  <c r="E2456" i="25"/>
  <c r="F2456" i="25" s="1"/>
  <c r="E2457" i="25"/>
  <c r="F2457" i="25" s="1"/>
  <c r="E2458" i="25"/>
  <c r="F2458" i="25" s="1"/>
  <c r="E2459" i="25"/>
  <c r="F2459" i="25" s="1"/>
  <c r="E2460" i="25"/>
  <c r="F2460" i="25" s="1"/>
  <c r="E2461" i="25"/>
  <c r="F2461" i="25" s="1"/>
  <c r="E2462" i="25"/>
  <c r="F2462" i="25" s="1"/>
  <c r="C2471" i="25"/>
  <c r="C2478" i="25"/>
  <c r="C2482" i="25"/>
  <c r="C2488" i="25"/>
  <c r="K2596" i="25"/>
  <c r="K2597" i="25"/>
  <c r="K2598" i="25"/>
  <c r="K2599" i="25"/>
  <c r="K2600" i="25"/>
  <c r="K2601" i="25"/>
  <c r="K2602" i="25"/>
  <c r="K2603" i="25"/>
  <c r="K2604" i="25"/>
  <c r="K2605" i="25"/>
  <c r="H2596" i="25"/>
  <c r="E2596" i="25"/>
  <c r="F2596" i="25" s="1"/>
  <c r="H2597" i="25"/>
  <c r="C2597" i="25"/>
  <c r="E2597" i="25" s="1"/>
  <c r="F2597" i="25" s="1"/>
  <c r="H2598" i="25"/>
  <c r="E2598" i="25"/>
  <c r="F2598" i="25" s="1"/>
  <c r="H2599" i="25"/>
  <c r="E2599" i="25"/>
  <c r="F2599" i="25" s="1"/>
  <c r="H2600" i="25"/>
  <c r="E2600" i="25"/>
  <c r="F2600" i="25" s="1"/>
  <c r="H2601" i="25"/>
  <c r="E2601" i="25"/>
  <c r="F2601" i="25" s="1"/>
  <c r="H2602" i="25"/>
  <c r="C2602" i="25"/>
  <c r="E2602" i="25" s="1"/>
  <c r="F2602" i="25" s="1"/>
  <c r="H2603" i="25"/>
  <c r="C2603" i="25"/>
  <c r="E2603" i="25" s="1"/>
  <c r="F2603" i="25" s="1"/>
  <c r="H2604" i="25"/>
  <c r="C2604" i="25"/>
  <c r="E2604" i="25" s="1"/>
  <c r="F2604" i="25" s="1"/>
  <c r="H2605" i="25"/>
  <c r="E2605" i="25"/>
  <c r="F2605" i="25" s="1"/>
  <c r="H2606" i="25"/>
  <c r="E2606" i="25"/>
  <c r="F2606" i="25" s="1"/>
  <c r="H2607" i="25"/>
  <c r="E2607" i="25"/>
  <c r="F2607" i="25" s="1"/>
  <c r="H2608" i="25"/>
  <c r="C2608" i="25"/>
  <c r="E2608" i="25" s="1"/>
  <c r="F2608" i="25" s="1"/>
  <c r="H2609" i="25"/>
  <c r="E2609" i="25"/>
  <c r="F2609" i="25" s="1"/>
  <c r="H2610" i="25"/>
  <c r="E2610" i="25"/>
  <c r="F2610" i="25" s="1"/>
  <c r="H2611" i="25"/>
  <c r="E2611" i="25"/>
  <c r="F2611" i="25" s="1"/>
  <c r="H2612" i="25"/>
  <c r="E2612" i="25"/>
  <c r="F2612" i="25" s="1"/>
  <c r="H2613" i="25"/>
  <c r="C2613" i="25"/>
  <c r="E2613" i="25" s="1"/>
  <c r="F2613" i="25" s="1"/>
  <c r="H2614" i="25"/>
  <c r="E2614" i="25"/>
  <c r="F2614" i="25" s="1"/>
  <c r="H2615" i="25"/>
  <c r="C2615" i="25"/>
  <c r="E2615" i="25" s="1"/>
  <c r="F2615" i="25" s="1"/>
  <c r="F2751" i="25"/>
  <c r="F2755" i="25" s="1"/>
  <c r="BD120" i="29" s="1"/>
  <c r="H2761" i="25"/>
  <c r="H2762" i="25"/>
  <c r="H2763" i="25"/>
  <c r="H2764" i="25"/>
  <c r="H2765" i="25"/>
  <c r="H2766" i="25"/>
  <c r="H2767" i="25"/>
  <c r="H2768" i="25"/>
  <c r="H2769" i="25"/>
  <c r="H2770" i="25"/>
  <c r="H2771" i="25"/>
  <c r="H2772" i="25"/>
  <c r="H2773" i="25"/>
  <c r="H2774" i="25"/>
  <c r="H2775" i="25"/>
  <c r="H2776" i="25"/>
  <c r="H2777" i="25"/>
  <c r="H2778" i="25"/>
  <c r="H2779" i="25"/>
  <c r="H2780" i="25"/>
  <c r="H2781" i="25"/>
  <c r="H2782" i="25"/>
  <c r="H2783" i="25"/>
  <c r="H2784" i="25"/>
  <c r="H2785" i="25"/>
  <c r="H2786" i="25"/>
  <c r="H2787" i="25"/>
  <c r="H2788" i="25"/>
  <c r="H2789" i="25"/>
  <c r="H2790" i="25"/>
  <c r="H2887" i="25"/>
  <c r="H2888" i="25"/>
  <c r="H2889" i="25"/>
  <c r="H2890" i="25"/>
  <c r="H2891" i="25"/>
  <c r="H2892" i="25"/>
  <c r="H2893" i="25"/>
  <c r="H2894" i="25"/>
  <c r="H2895" i="25"/>
  <c r="H2896" i="25"/>
  <c r="H2897" i="25"/>
  <c r="H2898" i="25"/>
  <c r="H2899" i="25"/>
  <c r="H2900" i="25"/>
  <c r="H2901" i="25"/>
  <c r="H2902" i="25"/>
  <c r="H2903" i="25"/>
  <c r="H2904" i="25"/>
  <c r="H2905" i="25"/>
  <c r="H2906" i="25"/>
  <c r="H2907" i="25"/>
  <c r="H2908" i="25"/>
  <c r="H2909" i="25"/>
  <c r="H2910" i="25"/>
  <c r="H2911" i="25"/>
  <c r="H2912" i="25"/>
  <c r="H2913" i="25"/>
  <c r="H2914" i="25"/>
  <c r="H2915" i="25"/>
  <c r="H2916" i="25"/>
  <c r="E3271" i="25"/>
  <c r="F3271" i="25" s="1"/>
  <c r="E3272" i="25"/>
  <c r="F3272" i="25" s="1"/>
  <c r="E3273" i="25"/>
  <c r="F3273" i="25" s="1"/>
  <c r="E3274" i="25"/>
  <c r="F3274" i="25" s="1"/>
  <c r="E3275" i="25"/>
  <c r="F3275" i="25" s="1"/>
  <c r="E3276" i="25"/>
  <c r="F3276" i="25" s="1"/>
  <c r="E3277" i="25"/>
  <c r="F3277" i="25" s="1"/>
  <c r="E3278" i="25"/>
  <c r="F3278" i="25" s="1"/>
  <c r="E3279" i="25"/>
  <c r="F3279" i="25" s="1"/>
  <c r="E3280" i="25"/>
  <c r="F3280" i="25" s="1"/>
  <c r="E3281" i="25"/>
  <c r="F3281" i="25" s="1"/>
  <c r="E3282" i="25"/>
  <c r="F3282" i="25" s="1"/>
  <c r="E3283" i="25"/>
  <c r="F3283" i="25" s="1"/>
  <c r="E3284" i="25"/>
  <c r="F3284" i="25" s="1"/>
  <c r="F3343" i="25"/>
  <c r="E3349" i="25"/>
  <c r="F3349" i="25" s="1"/>
  <c r="E3350" i="25"/>
  <c r="F3350" i="25" s="1"/>
  <c r="E3351" i="25"/>
  <c r="F3351" i="25" s="1"/>
  <c r="E3352" i="25"/>
  <c r="F3352" i="25" s="1"/>
  <c r="E3353" i="25"/>
  <c r="F3353" i="25" s="1"/>
  <c r="E3354" i="25"/>
  <c r="F3354" i="25" s="1"/>
  <c r="E3355" i="25"/>
  <c r="F3355" i="25" s="1"/>
  <c r="E3356" i="25"/>
  <c r="F3356" i="25" s="1"/>
  <c r="E3357" i="25"/>
  <c r="F3357" i="25" s="1"/>
  <c r="E3358" i="25"/>
  <c r="F3358" i="25" s="1"/>
  <c r="E3359" i="25"/>
  <c r="F3359" i="25" s="1"/>
  <c r="E3360" i="25"/>
  <c r="F3360" i="25" s="1"/>
  <c r="E3361" i="25"/>
  <c r="F3361" i="25" s="1"/>
  <c r="C3362" i="25"/>
  <c r="E3362" i="25" s="1"/>
  <c r="F3362" i="25" s="1"/>
  <c r="D3363" i="25"/>
  <c r="E3363" i="25" s="1"/>
  <c r="F3363" i="25" s="1"/>
  <c r="E3364" i="25"/>
  <c r="F3364" i="25" s="1"/>
  <c r="E3365" i="25"/>
  <c r="F3365" i="25" s="1"/>
  <c r="E3366" i="25"/>
  <c r="F3366" i="25" s="1"/>
  <c r="E3367" i="25"/>
  <c r="F3367" i="25" s="1"/>
  <c r="E3368" i="25"/>
  <c r="F3368" i="25" s="1"/>
  <c r="E3369" i="25"/>
  <c r="F3369" i="25" s="1"/>
  <c r="E3370" i="25"/>
  <c r="F3370" i="25" s="1"/>
  <c r="E3371" i="25"/>
  <c r="F3371" i="25" s="1"/>
  <c r="E3372" i="25"/>
  <c r="F3372" i="25" s="1"/>
  <c r="C3373" i="25"/>
  <c r="E3373" i="25" s="1"/>
  <c r="F3373" i="25" s="1"/>
  <c r="E3374" i="25"/>
  <c r="F3374" i="25" s="1"/>
  <c r="C3375" i="25"/>
  <c r="E3375" i="25" s="1"/>
  <c r="F3375" i="25" s="1"/>
  <c r="E3376" i="25"/>
  <c r="F3376" i="25" s="1"/>
  <c r="E3377" i="25"/>
  <c r="F3377" i="25" s="1"/>
  <c r="E3378" i="25"/>
  <c r="F3378" i="25" s="1"/>
  <c r="E3381" i="25"/>
  <c r="F3381" i="25" s="1"/>
  <c r="E3382" i="25"/>
  <c r="F3382" i="25" s="1"/>
  <c r="E3383" i="25"/>
  <c r="F3383" i="25" s="1"/>
  <c r="E3384" i="25"/>
  <c r="F3384" i="25" s="1"/>
  <c r="E3385" i="25"/>
  <c r="F3385" i="25" s="1"/>
  <c r="E3386" i="25"/>
  <c r="F3386" i="25" s="1"/>
  <c r="E3387" i="25"/>
  <c r="F3387" i="25" s="1"/>
  <c r="E3388" i="25"/>
  <c r="F3388" i="25" s="1"/>
  <c r="E3389" i="25"/>
  <c r="F3389" i="25" s="1"/>
  <c r="E3390" i="25"/>
  <c r="F3390" i="25" s="1"/>
  <c r="E3391" i="25"/>
  <c r="F3391" i="25" s="1"/>
  <c r="E3392" i="25"/>
  <c r="F3392" i="25" s="1"/>
  <c r="E3393" i="25"/>
  <c r="F3393" i="25" s="1"/>
  <c r="E3394" i="25"/>
  <c r="F3394" i="25" s="1"/>
  <c r="E3395" i="25"/>
  <c r="F3395" i="25" s="1"/>
  <c r="E3402" i="25"/>
  <c r="F3402" i="25" s="1"/>
  <c r="E3403" i="25"/>
  <c r="F3403" i="25" s="1"/>
  <c r="E3404" i="25"/>
  <c r="F3404" i="25" s="1"/>
  <c r="E3405" i="25"/>
  <c r="F3405" i="25" s="1"/>
  <c r="E3406" i="25"/>
  <c r="F3406" i="25" s="1"/>
  <c r="E3407" i="25"/>
  <c r="F3407" i="25" s="1"/>
  <c r="E3408" i="25"/>
  <c r="F3408" i="25" s="1"/>
  <c r="E3409" i="25"/>
  <c r="F3409" i="25" s="1"/>
  <c r="E3410" i="25"/>
  <c r="F3410" i="25" s="1"/>
  <c r="C3411" i="25"/>
  <c r="E3411" i="25" s="1"/>
  <c r="F3411" i="25" s="1"/>
  <c r="E3412" i="25"/>
  <c r="F3412" i="25" s="1"/>
  <c r="E3413" i="25"/>
  <c r="F3413" i="25" s="1"/>
  <c r="E3414" i="25"/>
  <c r="F3414" i="25" s="1"/>
  <c r="E3415" i="25"/>
  <c r="F3415" i="25" s="1"/>
  <c r="E3416" i="25"/>
  <c r="F3416" i="25" s="1"/>
  <c r="E3417" i="25"/>
  <c r="F3417" i="25" s="1"/>
  <c r="E3418" i="25"/>
  <c r="F3418" i="25" s="1"/>
  <c r="E3419" i="25"/>
  <c r="F3419" i="25" s="1"/>
  <c r="E3420" i="25"/>
  <c r="F3420" i="25" s="1"/>
  <c r="C3421" i="25"/>
  <c r="E3421" i="25" s="1"/>
  <c r="F3421" i="25" s="1"/>
  <c r="E3422" i="25"/>
  <c r="F3422" i="25" s="1"/>
  <c r="E3423" i="25"/>
  <c r="F3423" i="25" s="1"/>
  <c r="E3424" i="25"/>
  <c r="F3424" i="25" s="1"/>
  <c r="E3425" i="25"/>
  <c r="F3425" i="25" s="1"/>
  <c r="E3426" i="25"/>
  <c r="F3426" i="25" s="1"/>
  <c r="E3427" i="25"/>
  <c r="F3427" i="25" s="1"/>
  <c r="E3428" i="25"/>
  <c r="F3428" i="25" s="1"/>
  <c r="E3429" i="25"/>
  <c r="F3429" i="25" s="1"/>
  <c r="E3430" i="25"/>
  <c r="F3430" i="25" s="1"/>
  <c r="E3431" i="25"/>
  <c r="F3431" i="25" s="1"/>
  <c r="E3434" i="25"/>
  <c r="F3434" i="25" s="1"/>
  <c r="E3435" i="25"/>
  <c r="F3435" i="25" s="1"/>
  <c r="E3436" i="25"/>
  <c r="F3436" i="25" s="1"/>
  <c r="E3437" i="25"/>
  <c r="F3437" i="25" s="1"/>
  <c r="E3438" i="25"/>
  <c r="F3438" i="25" s="1"/>
  <c r="E3439" i="25"/>
  <c r="F3439" i="25" s="1"/>
  <c r="E3440" i="25"/>
  <c r="F3440" i="25" s="1"/>
  <c r="E3441" i="25"/>
  <c r="F3441" i="25" s="1"/>
  <c r="E3442" i="25"/>
  <c r="F3442" i="25" s="1"/>
  <c r="E3443" i="25"/>
  <c r="F3443" i="25" s="1"/>
  <c r="E3444" i="25"/>
  <c r="F3444" i="25" s="1"/>
  <c r="E3445" i="25"/>
  <c r="F3445" i="25" s="1"/>
  <c r="E3446" i="25"/>
  <c r="F3446" i="25" s="1"/>
  <c r="E3447" i="25"/>
  <c r="F3447" i="25" s="1"/>
  <c r="E3448" i="25"/>
  <c r="F3448" i="25" s="1"/>
  <c r="E3449" i="25"/>
  <c r="F3449" i="25" s="1"/>
  <c r="C3494" i="25"/>
  <c r="E3494" i="25" s="1"/>
  <c r="F3494" i="25" s="1"/>
  <c r="E3495" i="25"/>
  <c r="F3495" i="25" s="1"/>
  <c r="E3496" i="25"/>
  <c r="F3496" i="25" s="1"/>
  <c r="E3497" i="25"/>
  <c r="F3497" i="25" s="1"/>
  <c r="C3498" i="25"/>
  <c r="E3498" i="25" s="1"/>
  <c r="F3498" i="25" s="1"/>
  <c r="C3499" i="25"/>
  <c r="E3499" i="25" s="1"/>
  <c r="F3499" i="25" s="1"/>
  <c r="E3500" i="25"/>
  <c r="F3500" i="25" s="1"/>
  <c r="E3501" i="25"/>
  <c r="F3501" i="25" s="1"/>
  <c r="E3502" i="25"/>
  <c r="F3502" i="25" s="1"/>
  <c r="E3503" i="25"/>
  <c r="F3503" i="25" s="1"/>
  <c r="E3504" i="25"/>
  <c r="F3504" i="25" s="1"/>
  <c r="C3505" i="25"/>
  <c r="E3505" i="25" s="1"/>
  <c r="F3505" i="25" s="1"/>
  <c r="C3506" i="25"/>
  <c r="E3506" i="25" s="1"/>
  <c r="F3506" i="25" s="1"/>
  <c r="E3507" i="25"/>
  <c r="F3507" i="25" s="1"/>
  <c r="E3508" i="25"/>
  <c r="F3508" i="25" s="1"/>
  <c r="E3509" i="25"/>
  <c r="F3509" i="25" s="1"/>
  <c r="E3510" i="25"/>
  <c r="F3510" i="25" s="1"/>
  <c r="E3511" i="25"/>
  <c r="F3511" i="25" s="1"/>
  <c r="E3512" i="25"/>
  <c r="F3512" i="25" s="1"/>
  <c r="E3513" i="25"/>
  <c r="F3513" i="25" s="1"/>
  <c r="E3514" i="25"/>
  <c r="F3514" i="25" s="1"/>
  <c r="C3515" i="25"/>
  <c r="E3515" i="25" s="1"/>
  <c r="F3515" i="25" s="1"/>
  <c r="E3516" i="25"/>
  <c r="F3516" i="25" s="1"/>
  <c r="E3517" i="25"/>
  <c r="F3517" i="25" s="1"/>
  <c r="E3518" i="25"/>
  <c r="F3518" i="25" s="1"/>
  <c r="C3519" i="25"/>
  <c r="E3519" i="25" s="1"/>
  <c r="F3519" i="25" s="1"/>
  <c r="E3520" i="25"/>
  <c r="F3520" i="25" s="1"/>
  <c r="E3521" i="25"/>
  <c r="F3521" i="25" s="1"/>
  <c r="E3522" i="25"/>
  <c r="F3522" i="25" s="1"/>
  <c r="E3525" i="25"/>
  <c r="F3525" i="25" s="1"/>
  <c r="E3526" i="25"/>
  <c r="F3526" i="25" s="1"/>
  <c r="E3527" i="25"/>
  <c r="F3527" i="25" s="1"/>
  <c r="E3528" i="25"/>
  <c r="F3528" i="25" s="1"/>
  <c r="E3529" i="25"/>
  <c r="F3529" i="25" s="1"/>
  <c r="E3530" i="25"/>
  <c r="F3530" i="25" s="1"/>
  <c r="E3531" i="25"/>
  <c r="F3531" i="25" s="1"/>
  <c r="E3532" i="25"/>
  <c r="F3532" i="25" s="1"/>
  <c r="E3533" i="25"/>
  <c r="F3533" i="25" s="1"/>
  <c r="E3534" i="25"/>
  <c r="F3534" i="25" s="1"/>
  <c r="E3535" i="25"/>
  <c r="F3535" i="25" s="1"/>
  <c r="E3536" i="25"/>
  <c r="F3536" i="25" s="1"/>
  <c r="E3537" i="25"/>
  <c r="F3537" i="25" s="1"/>
  <c r="E3538" i="25"/>
  <c r="F3538" i="25" s="1"/>
  <c r="E3539" i="25"/>
  <c r="F3539" i="25" s="1"/>
  <c r="E3540" i="25"/>
  <c r="F3540" i="25" s="1"/>
  <c r="E3541" i="25"/>
  <c r="F3541" i="25" s="1"/>
  <c r="F3611" i="25"/>
  <c r="AV139" i="29"/>
  <c r="AZ139" i="29" s="1"/>
  <c r="E3639" i="25"/>
  <c r="F3639" i="25" s="1"/>
  <c r="E3640" i="25"/>
  <c r="F3640" i="25" s="1"/>
  <c r="E3641" i="25"/>
  <c r="F3641" i="25" s="1"/>
  <c r="E3642" i="25"/>
  <c r="F3642" i="25" s="1"/>
  <c r="E3643" i="25"/>
  <c r="F3643" i="25" s="1"/>
  <c r="E3644" i="25"/>
  <c r="F3644" i="25" s="1"/>
  <c r="E3645" i="25"/>
  <c r="F3645" i="25" s="1"/>
  <c r="E3646" i="25"/>
  <c r="F3646" i="25" s="1"/>
  <c r="E3647" i="25"/>
  <c r="F3647" i="25" s="1"/>
  <c r="E3648" i="25"/>
  <c r="F3648" i="25" s="1"/>
  <c r="E3649" i="25"/>
  <c r="F3649" i="25" s="1"/>
  <c r="E3650" i="25"/>
  <c r="F3650" i="25" s="1"/>
  <c r="E3651" i="25"/>
  <c r="F3651" i="25" s="1"/>
  <c r="E3652" i="25"/>
  <c r="F3652" i="25" s="1"/>
  <c r="E3653" i="25"/>
  <c r="F3653" i="25" s="1"/>
  <c r="E3654" i="25"/>
  <c r="F3654" i="25" s="1"/>
  <c r="H3661" i="25"/>
  <c r="H3662" i="25"/>
  <c r="H3663" i="25"/>
  <c r="H3664" i="25"/>
  <c r="H3665" i="25"/>
  <c r="H3666" i="25"/>
  <c r="H3667" i="25"/>
  <c r="H3668" i="25"/>
  <c r="H3669" i="25"/>
  <c r="H3670" i="25"/>
  <c r="H3671" i="25"/>
  <c r="H3672" i="25"/>
  <c r="H3673" i="25"/>
  <c r="H3674" i="25"/>
  <c r="H3675" i="25"/>
  <c r="H3676" i="25"/>
  <c r="H3677" i="25"/>
  <c r="H3678" i="25"/>
  <c r="H3679" i="25"/>
  <c r="H3680" i="25"/>
  <c r="H3681" i="25"/>
  <c r="H3682" i="25"/>
  <c r="H3683" i="25"/>
  <c r="H3684" i="25"/>
  <c r="H3685" i="25"/>
  <c r="H3753" i="25"/>
  <c r="H3754" i="25"/>
  <c r="H3755" i="25"/>
  <c r="H3756" i="25"/>
  <c r="H3757" i="25"/>
  <c r="H3758" i="25"/>
  <c r="H3759" i="25"/>
  <c r="H3760" i="25"/>
  <c r="H3761" i="25"/>
  <c r="H3762" i="25"/>
  <c r="H3763" i="25"/>
  <c r="H3764" i="25"/>
  <c r="H3765" i="25"/>
  <c r="H3766" i="25"/>
  <c r="H3767" i="25"/>
  <c r="H3768" i="25"/>
  <c r="H3769" i="25"/>
  <c r="H3770" i="25"/>
  <c r="H3771" i="25"/>
  <c r="H3772" i="25"/>
  <c r="H3773" i="25"/>
  <c r="H3774" i="25"/>
  <c r="H3775" i="25"/>
  <c r="H3776" i="25"/>
  <c r="H3777" i="25"/>
  <c r="H3778" i="25"/>
  <c r="H3779" i="25"/>
  <c r="H3780" i="25"/>
  <c r="H3781" i="25"/>
  <c r="H3782" i="25"/>
  <c r="M3868" i="25"/>
  <c r="M3869" i="25"/>
  <c r="M3870" i="25"/>
  <c r="M3871" i="25"/>
  <c r="M3872" i="25"/>
  <c r="M3873" i="25"/>
  <c r="M3874" i="25"/>
  <c r="M3875" i="25"/>
  <c r="M3876" i="25"/>
  <c r="M3877" i="25"/>
  <c r="M3878" i="25"/>
  <c r="M3879" i="25"/>
  <c r="E3937" i="25"/>
  <c r="F3937" i="25" s="1"/>
  <c r="E3938" i="25"/>
  <c r="F3938" i="25" s="1"/>
  <c r="E3939" i="25"/>
  <c r="F3939" i="25" s="1"/>
  <c r="E3940" i="25"/>
  <c r="F3940" i="25" s="1"/>
  <c r="E3941" i="25"/>
  <c r="F3941" i="25" s="1"/>
  <c r="E3942" i="25"/>
  <c r="F3942" i="25" s="1"/>
  <c r="E3943" i="25"/>
  <c r="F3943" i="25" s="1"/>
  <c r="E3944" i="25"/>
  <c r="F3944" i="25" s="1"/>
  <c r="E3945" i="25"/>
  <c r="F3945" i="25" s="1"/>
  <c r="E3946" i="25"/>
  <c r="F3946" i="25" s="1"/>
  <c r="E3947" i="25"/>
  <c r="F3947" i="25" s="1"/>
  <c r="E3948" i="25"/>
  <c r="F3948" i="25" s="1"/>
  <c r="E3949" i="25"/>
  <c r="F3949" i="25" s="1"/>
  <c r="E3950" i="25"/>
  <c r="F3950" i="25" s="1"/>
  <c r="E3951" i="25"/>
  <c r="F3951" i="25" s="1"/>
  <c r="E3952" i="25"/>
  <c r="F3952" i="25" s="1"/>
  <c r="E4042" i="25"/>
  <c r="F4042" i="25" s="1"/>
  <c r="E4043" i="25"/>
  <c r="F4043" i="25" s="1"/>
  <c r="C4044" i="25"/>
  <c r="E4044" i="25" s="1"/>
  <c r="F4044" i="25" s="1"/>
  <c r="E4045" i="25"/>
  <c r="F4045" i="25" s="1"/>
  <c r="E4046" i="25"/>
  <c r="F4046" i="25" s="1"/>
  <c r="E4047" i="25"/>
  <c r="F4047" i="25" s="1"/>
  <c r="E4048" i="25"/>
  <c r="F4048" i="25" s="1"/>
  <c r="E4049" i="25"/>
  <c r="F4049" i="25" s="1"/>
  <c r="E4050" i="25"/>
  <c r="F4050" i="25" s="1"/>
  <c r="C4051" i="25"/>
  <c r="E4051" i="25" s="1"/>
  <c r="F4051" i="25" s="1"/>
  <c r="E4052" i="25"/>
  <c r="F4052" i="25" s="1"/>
  <c r="E4053" i="25"/>
  <c r="F4053" i="25" s="1"/>
  <c r="E4054" i="25"/>
  <c r="F4054" i="25" s="1"/>
  <c r="C4055" i="25"/>
  <c r="E4055" i="25" s="1"/>
  <c r="F4055" i="25" s="1"/>
  <c r="E4056" i="25"/>
  <c r="F4056" i="25" s="1"/>
  <c r="E4057" i="25"/>
  <c r="F4057" i="25" s="1"/>
  <c r="E4058" i="25"/>
  <c r="F4058" i="25" s="1"/>
  <c r="E4059" i="25"/>
  <c r="F4059" i="25" s="1"/>
  <c r="E4060" i="25"/>
  <c r="F4060" i="25" s="1"/>
  <c r="C4061" i="25"/>
  <c r="E4061" i="25" s="1"/>
  <c r="F4061" i="25" s="1"/>
  <c r="E4062" i="25"/>
  <c r="F4062" i="25" s="1"/>
  <c r="E4063" i="25"/>
  <c r="F4063" i="25" s="1"/>
  <c r="E4064" i="25"/>
  <c r="F4064" i="25" s="1"/>
  <c r="E4065" i="25"/>
  <c r="F4065" i="25" s="1"/>
  <c r="E4066" i="25"/>
  <c r="F4066" i="25" s="1"/>
  <c r="E4067" i="25"/>
  <c r="F4067" i="25" s="1"/>
  <c r="E4068" i="25"/>
  <c r="F4068" i="25" s="1"/>
  <c r="E4069" i="25"/>
  <c r="F4069" i="25" s="1"/>
  <c r="E4070" i="25"/>
  <c r="F4070" i="25" s="1"/>
  <c r="E4071" i="25"/>
  <c r="F4071" i="25" s="1"/>
  <c r="E4074" i="25"/>
  <c r="F4074" i="25" s="1"/>
  <c r="E4075" i="25"/>
  <c r="F4075" i="25" s="1"/>
  <c r="E4076" i="25"/>
  <c r="F4076" i="25" s="1"/>
  <c r="E4077" i="25"/>
  <c r="F4077" i="25" s="1"/>
  <c r="E4078" i="25"/>
  <c r="F4078" i="25" s="1"/>
  <c r="E4079" i="25"/>
  <c r="F4079" i="25" s="1"/>
  <c r="E4080" i="25"/>
  <c r="F4080" i="25" s="1"/>
  <c r="E4081" i="25"/>
  <c r="F4081" i="25" s="1"/>
  <c r="E4082" i="25"/>
  <c r="F4082" i="25" s="1"/>
  <c r="E4083" i="25"/>
  <c r="F4083" i="25" s="1"/>
  <c r="E4084" i="25"/>
  <c r="F4084" i="25" s="1"/>
  <c r="E4085" i="25"/>
  <c r="F4085" i="25" s="1"/>
  <c r="E4086" i="25"/>
  <c r="F4086" i="25" s="1"/>
  <c r="E4087" i="25"/>
  <c r="F4087" i="25" s="1"/>
  <c r="E4088" i="25"/>
  <c r="F4088" i="25" s="1"/>
  <c r="E4089" i="25"/>
  <c r="F4089" i="25" s="1"/>
  <c r="F4190" i="25"/>
  <c r="F4191" i="25"/>
  <c r="F4192" i="25"/>
  <c r="F4193" i="25"/>
  <c r="F4194" i="25"/>
  <c r="F4195" i="25"/>
  <c r="F4196" i="25"/>
  <c r="F4197" i="25"/>
  <c r="F4198" i="25"/>
  <c r="F4199" i="25"/>
  <c r="F4200" i="25"/>
  <c r="F4201" i="25"/>
  <c r="F4202" i="25"/>
  <c r="F4203" i="25"/>
  <c r="F4204" i="25"/>
  <c r="H4264" i="25"/>
  <c r="E4264" i="25"/>
  <c r="F4264" i="25" s="1"/>
  <c r="H4265" i="25"/>
  <c r="E4265" i="25"/>
  <c r="F4265" i="25" s="1"/>
  <c r="H4266" i="25"/>
  <c r="E4266" i="25"/>
  <c r="F4266" i="25" s="1"/>
  <c r="H4267" i="25"/>
  <c r="E4267" i="25"/>
  <c r="F4267" i="25" s="1"/>
  <c r="H4268" i="25"/>
  <c r="E4268" i="25"/>
  <c r="F4268" i="25" s="1"/>
  <c r="H4269" i="25"/>
  <c r="C4269" i="25"/>
  <c r="E4269" i="25" s="1"/>
  <c r="F4269" i="25" s="1"/>
  <c r="H4270" i="25"/>
  <c r="E4270" i="25"/>
  <c r="F4270" i="25" s="1"/>
  <c r="H4271" i="25"/>
  <c r="E4271" i="25"/>
  <c r="F4271" i="25" s="1"/>
  <c r="H4272" i="25"/>
  <c r="E4272" i="25"/>
  <c r="F4272" i="25" s="1"/>
  <c r="H4273" i="25"/>
  <c r="E4273" i="25"/>
  <c r="F4273" i="25" s="1"/>
  <c r="H4274" i="25"/>
  <c r="C4274" i="25"/>
  <c r="E4274" i="25" s="1"/>
  <c r="F4274" i="25" s="1"/>
  <c r="H4275" i="25"/>
  <c r="E4275" i="25"/>
  <c r="F4275" i="25" s="1"/>
  <c r="H4276" i="25"/>
  <c r="E4276" i="25"/>
  <c r="F4276" i="25" s="1"/>
  <c r="H4277" i="25"/>
  <c r="E4277" i="25"/>
  <c r="F4277" i="25" s="1"/>
  <c r="H4278" i="25"/>
  <c r="E4278" i="25"/>
  <c r="F4278" i="25" s="1"/>
  <c r="H4279" i="25"/>
  <c r="E4279" i="25"/>
  <c r="F4279" i="25" s="1"/>
  <c r="H4280" i="25"/>
  <c r="E4280" i="25"/>
  <c r="F4280" i="25" s="1"/>
  <c r="H4281" i="25"/>
  <c r="E4281" i="25"/>
  <c r="F4281" i="25" s="1"/>
  <c r="H4282" i="25"/>
  <c r="E4282" i="25"/>
  <c r="F4282" i="25" s="1"/>
  <c r="H4283" i="25"/>
  <c r="E4283" i="25"/>
  <c r="F4283" i="25" s="1"/>
  <c r="H4284" i="25"/>
  <c r="E4284" i="25"/>
  <c r="F4284" i="25" s="1"/>
  <c r="H4285" i="25"/>
  <c r="E4285" i="25"/>
  <c r="F4285" i="25" s="1"/>
  <c r="H4286" i="25"/>
  <c r="E4286" i="25"/>
  <c r="F4286" i="25" s="1"/>
  <c r="H4287" i="25"/>
  <c r="E4287" i="25"/>
  <c r="F4287" i="25" s="1"/>
  <c r="H4288" i="25"/>
  <c r="E4288" i="25"/>
  <c r="F4288" i="25" s="1"/>
  <c r="H4289" i="25"/>
  <c r="E4289" i="25"/>
  <c r="F4289" i="25" s="1"/>
  <c r="H4290" i="25"/>
  <c r="E4290" i="25"/>
  <c r="F4290" i="25" s="1"/>
  <c r="H4291" i="25"/>
  <c r="E4291" i="25"/>
  <c r="F4291" i="25" s="1"/>
  <c r="H4292" i="25"/>
  <c r="E4292" i="25"/>
  <c r="F4292" i="25" s="1"/>
  <c r="H4293" i="25"/>
  <c r="E4293" i="25"/>
  <c r="F4293" i="25" s="1"/>
  <c r="E4295" i="25"/>
  <c r="F4295" i="25" s="1"/>
  <c r="E4296" i="25"/>
  <c r="F4296" i="25" s="1"/>
  <c r="E4297" i="25"/>
  <c r="F4297" i="25" s="1"/>
  <c r="E4298" i="25"/>
  <c r="F4298" i="25" s="1"/>
  <c r="E4299" i="25"/>
  <c r="F4299" i="25" s="1"/>
  <c r="E4300" i="25"/>
  <c r="F4300" i="25" s="1"/>
  <c r="E4301" i="25"/>
  <c r="F4301" i="25" s="1"/>
  <c r="E4302" i="25"/>
  <c r="F4302" i="25" s="1"/>
  <c r="E4303" i="25"/>
  <c r="F4303" i="25" s="1"/>
  <c r="E4304" i="25"/>
  <c r="F4304" i="25" s="1"/>
  <c r="E4305" i="25"/>
  <c r="F4305" i="25" s="1"/>
  <c r="E4306" i="25"/>
  <c r="F4306" i="25" s="1"/>
  <c r="E4307" i="25"/>
  <c r="F4307" i="25" s="1"/>
  <c r="E4308" i="25"/>
  <c r="F4308" i="25" s="1"/>
  <c r="H4381" i="25"/>
  <c r="H4382" i="25"/>
  <c r="H4383" i="25"/>
  <c r="H4384" i="25"/>
  <c r="H4385" i="25"/>
  <c r="H4386" i="25"/>
  <c r="H4387" i="25"/>
  <c r="H4388" i="25"/>
  <c r="H4389" i="25"/>
  <c r="H4390" i="25"/>
  <c r="H4391" i="25"/>
  <c r="H4392" i="25"/>
  <c r="H4393" i="25"/>
  <c r="H4394" i="25"/>
  <c r="H4395" i="25"/>
  <c r="H4396" i="25"/>
  <c r="H4397" i="25"/>
  <c r="H4398" i="25"/>
  <c r="H4399" i="25"/>
  <c r="H4400" i="25"/>
  <c r="H4401" i="25"/>
  <c r="H4402" i="25"/>
  <c r="H4403" i="25"/>
  <c r="H4404" i="25"/>
  <c r="H4405" i="25"/>
  <c r="H4406" i="25"/>
  <c r="H4407" i="25"/>
  <c r="H4408" i="25"/>
  <c r="H4409" i="25"/>
  <c r="H4410" i="25"/>
  <c r="F4431" i="25"/>
  <c r="H4450" i="25"/>
  <c r="D4450" i="25" s="1"/>
  <c r="E4450" i="25" s="1"/>
  <c r="F4450" i="25" s="1"/>
  <c r="H4451" i="25"/>
  <c r="D4451" i="25" s="1"/>
  <c r="E4451" i="25" s="1"/>
  <c r="F4451" i="25" s="1"/>
  <c r="H4452" i="25"/>
  <c r="D4452" i="25" s="1"/>
  <c r="E4452" i="25" s="1"/>
  <c r="F4452" i="25" s="1"/>
  <c r="H4453" i="25"/>
  <c r="D4453" i="25" s="1"/>
  <c r="E4453" i="25" s="1"/>
  <c r="F4453" i="25" s="1"/>
  <c r="H4454" i="25"/>
  <c r="D4454" i="25" s="1"/>
  <c r="C4454" i="25"/>
  <c r="H4455" i="25"/>
  <c r="D4455" i="25" s="1"/>
  <c r="E4455" i="25" s="1"/>
  <c r="F4455" i="25" s="1"/>
  <c r="H4456" i="25"/>
  <c r="D4456" i="25" s="1"/>
  <c r="E4456" i="25" s="1"/>
  <c r="F4456" i="25" s="1"/>
  <c r="H4457" i="25"/>
  <c r="D4457" i="25" s="1"/>
  <c r="E4457" i="25" s="1"/>
  <c r="F4457" i="25" s="1"/>
  <c r="H4458" i="25"/>
  <c r="D4458" i="25" s="1"/>
  <c r="C4458" i="25"/>
  <c r="H4459" i="25"/>
  <c r="D4459" i="25" s="1"/>
  <c r="C4459" i="25"/>
  <c r="H4460" i="25"/>
  <c r="D4460" i="25" s="1"/>
  <c r="E4460" i="25" s="1"/>
  <c r="F4460" i="25" s="1"/>
  <c r="H4461" i="25"/>
  <c r="D4461" i="25" s="1"/>
  <c r="E4461" i="25" s="1"/>
  <c r="F4461" i="25" s="1"/>
  <c r="H4462" i="25"/>
  <c r="D4462" i="25" s="1"/>
  <c r="E4462" i="25" s="1"/>
  <c r="F4462" i="25" s="1"/>
  <c r="H4463" i="25"/>
  <c r="D4463" i="25" s="1"/>
  <c r="E4463" i="25" s="1"/>
  <c r="F4463" i="25" s="1"/>
  <c r="H4464" i="25"/>
  <c r="D4464" i="25" s="1"/>
  <c r="E4464" i="25" s="1"/>
  <c r="F4464" i="25" s="1"/>
  <c r="H4465" i="25"/>
  <c r="D4465" i="25" s="1"/>
  <c r="E4465" i="25" s="1"/>
  <c r="F4465" i="25" s="1"/>
  <c r="H4466" i="25"/>
  <c r="D4466" i="25" s="1"/>
  <c r="E4466" i="25" s="1"/>
  <c r="F4466" i="25" s="1"/>
  <c r="H4467" i="25"/>
  <c r="D4467" i="25" s="1"/>
  <c r="E4467" i="25" s="1"/>
  <c r="F4467" i="25" s="1"/>
  <c r="H4468" i="25"/>
  <c r="D4468" i="25" s="1"/>
  <c r="E4468" i="25" s="1"/>
  <c r="F4468" i="25" s="1"/>
  <c r="H4469" i="25"/>
  <c r="D4469" i="25" s="1"/>
  <c r="E4469" i="25" s="1"/>
  <c r="F4469" i="25" s="1"/>
  <c r="H4470" i="25"/>
  <c r="D4470" i="25" s="1"/>
  <c r="C4470" i="25"/>
  <c r="H4471" i="25"/>
  <c r="D4471" i="25" s="1"/>
  <c r="E4471" i="25" s="1"/>
  <c r="F4471" i="25" s="1"/>
  <c r="H4472" i="25"/>
  <c r="D4472" i="25" s="1"/>
  <c r="E4472" i="25" s="1"/>
  <c r="F4472" i="25" s="1"/>
  <c r="H4473" i="25"/>
  <c r="D4473" i="25" s="1"/>
  <c r="E4473" i="25" s="1"/>
  <c r="F4473" i="25" s="1"/>
  <c r="H4474" i="25"/>
  <c r="D4474" i="25" s="1"/>
  <c r="E4474" i="25" s="1"/>
  <c r="F4474" i="25" s="1"/>
  <c r="H4475" i="25"/>
  <c r="D4475" i="25" s="1"/>
  <c r="E4475" i="25" s="1"/>
  <c r="F4475" i="25" s="1"/>
  <c r="H4476" i="25"/>
  <c r="D4476" i="25" s="1"/>
  <c r="E4476" i="25" s="1"/>
  <c r="F4476" i="25" s="1"/>
  <c r="H4477" i="25"/>
  <c r="D4477" i="25" s="1"/>
  <c r="E4477" i="25" s="1"/>
  <c r="F4477" i="25" s="1"/>
  <c r="H4478" i="25"/>
  <c r="D4478" i="25" s="1"/>
  <c r="E4478" i="25" s="1"/>
  <c r="F4478" i="25" s="1"/>
  <c r="H4479" i="25"/>
  <c r="D4479" i="25" s="1"/>
  <c r="E4479" i="25" s="1"/>
  <c r="F4479" i="25" s="1"/>
  <c r="E4491" i="25"/>
  <c r="F4491" i="25" s="1"/>
  <c r="E4492" i="25"/>
  <c r="F4492" i="25" s="1"/>
  <c r="E4493" i="25"/>
  <c r="F4493" i="25" s="1"/>
  <c r="E4494" i="25"/>
  <c r="F4494" i="25" s="1"/>
  <c r="E4495" i="25"/>
  <c r="F4495" i="25" s="1"/>
  <c r="E4496" i="25"/>
  <c r="F4496" i="25" s="1"/>
  <c r="E4497" i="25"/>
  <c r="F4497" i="25" s="1"/>
  <c r="E4498" i="25"/>
  <c r="F4498" i="25" s="1"/>
  <c r="E4499" i="25"/>
  <c r="F4499" i="25" s="1"/>
  <c r="C4500" i="25"/>
  <c r="E4500" i="25" s="1"/>
  <c r="F4500" i="25" s="1"/>
  <c r="E4501" i="25"/>
  <c r="F4501" i="25" s="1"/>
  <c r="E4502" i="25"/>
  <c r="F4502" i="25" s="1"/>
  <c r="E4503" i="25"/>
  <c r="F4503" i="25" s="1"/>
  <c r="C4504" i="25"/>
  <c r="E4504" i="25" s="1"/>
  <c r="F4504" i="25" s="1"/>
  <c r="E4505" i="25"/>
  <c r="F4505" i="25" s="1"/>
  <c r="E4506" i="25"/>
  <c r="F4506" i="25" s="1"/>
  <c r="E4507" i="25"/>
  <c r="F4507" i="25" s="1"/>
  <c r="E4508" i="25"/>
  <c r="F4508" i="25" s="1"/>
  <c r="E4509" i="25"/>
  <c r="F4509" i="25" s="1"/>
  <c r="E4510" i="25"/>
  <c r="F4510" i="25" s="1"/>
  <c r="E4511" i="25"/>
  <c r="F4511" i="25" s="1"/>
  <c r="E4512" i="25"/>
  <c r="F4512" i="25" s="1"/>
  <c r="E4513" i="25"/>
  <c r="F4513" i="25" s="1"/>
  <c r="E4514" i="25"/>
  <c r="F4514" i="25" s="1"/>
  <c r="E4515" i="25"/>
  <c r="F4515" i="25" s="1"/>
  <c r="E4516" i="25"/>
  <c r="F4516" i="25" s="1"/>
  <c r="E4517" i="25"/>
  <c r="F4517" i="25" s="1"/>
  <c r="E4518" i="25"/>
  <c r="F4518" i="25" s="1"/>
  <c r="E4519" i="25"/>
  <c r="F4519" i="25" s="1"/>
  <c r="E4520" i="25"/>
  <c r="F4520" i="25" s="1"/>
  <c r="E4523" i="25"/>
  <c r="F4523" i="25" s="1"/>
  <c r="E4524" i="25"/>
  <c r="F4524" i="25" s="1"/>
  <c r="E4525" i="25"/>
  <c r="F4525" i="25" s="1"/>
  <c r="E4526" i="25"/>
  <c r="F4526" i="25" s="1"/>
  <c r="E4527" i="25"/>
  <c r="F4527" i="25" s="1"/>
  <c r="E4528" i="25"/>
  <c r="F4528" i="25" s="1"/>
  <c r="E4529" i="25"/>
  <c r="F4529" i="25" s="1"/>
  <c r="E4530" i="25"/>
  <c r="F4530" i="25" s="1"/>
  <c r="E4531" i="25"/>
  <c r="F4531" i="25" s="1"/>
  <c r="E4532" i="25"/>
  <c r="F4532" i="25" s="1"/>
  <c r="E4533" i="25"/>
  <c r="F4533" i="25" s="1"/>
  <c r="E4534" i="25"/>
  <c r="F4534" i="25" s="1"/>
  <c r="E4535" i="25"/>
  <c r="F4535" i="25" s="1"/>
  <c r="E4536" i="25"/>
  <c r="F4536" i="25" s="1"/>
  <c r="E4543" i="25"/>
  <c r="F4543" i="25" s="1"/>
  <c r="E4544" i="25"/>
  <c r="F4544" i="25" s="1"/>
  <c r="E4545" i="25"/>
  <c r="F4545" i="25" s="1"/>
  <c r="E4548" i="25"/>
  <c r="F4548" i="25" s="1"/>
  <c r="E4549" i="25"/>
  <c r="F4549" i="25" s="1"/>
  <c r="H4599" i="25"/>
  <c r="H4600" i="25"/>
  <c r="H4601" i="25"/>
  <c r="H4602" i="25"/>
  <c r="H4603" i="25"/>
  <c r="H4604" i="25"/>
  <c r="H4605" i="25"/>
  <c r="H4606" i="25"/>
  <c r="H4607" i="25"/>
  <c r="H4608" i="25"/>
  <c r="H4609" i="25"/>
  <c r="H4610" i="25"/>
  <c r="H4611" i="25"/>
  <c r="H4612" i="25"/>
  <c r="H4613" i="25"/>
  <c r="H4614" i="25"/>
  <c r="H4615" i="25"/>
  <c r="H4616" i="25"/>
  <c r="H4617" i="25"/>
  <c r="H4618" i="25"/>
  <c r="H4619" i="25"/>
  <c r="H4620" i="25"/>
  <c r="H4621" i="25"/>
  <c r="H4622" i="25"/>
  <c r="H4623" i="25"/>
  <c r="H4624" i="25"/>
  <c r="H4625" i="25"/>
  <c r="H4626" i="25"/>
  <c r="H4627" i="25"/>
  <c r="H4628" i="25"/>
  <c r="H4658" i="25"/>
  <c r="H4659" i="25"/>
  <c r="H4660" i="25"/>
  <c r="H4661" i="25"/>
  <c r="H4662" i="25"/>
  <c r="H4663" i="25"/>
  <c r="H4664" i="25"/>
  <c r="H4665" i="25"/>
  <c r="H4666" i="25"/>
  <c r="H4667" i="25"/>
  <c r="H4668" i="25"/>
  <c r="H4669" i="25"/>
  <c r="H4670" i="25"/>
  <c r="H4671" i="25"/>
  <c r="H4672" i="25"/>
  <c r="H4673" i="25"/>
  <c r="H4674" i="25"/>
  <c r="H4675" i="25"/>
  <c r="H4676" i="25"/>
  <c r="H4677" i="25"/>
  <c r="H4678" i="25"/>
  <c r="H4679" i="25"/>
  <c r="H4680" i="25"/>
  <c r="H4681" i="25"/>
  <c r="H4682" i="25"/>
  <c r="H4683" i="25"/>
  <c r="H4684" i="25"/>
  <c r="H4685" i="25"/>
  <c r="H4686" i="25"/>
  <c r="H4687" i="25"/>
  <c r="H4695" i="25"/>
  <c r="H4696" i="25"/>
  <c r="H4697" i="25"/>
  <c r="H4698" i="25"/>
  <c r="H4699" i="25"/>
  <c r="H4700" i="25"/>
  <c r="H4701" i="25"/>
  <c r="H4702" i="25"/>
  <c r="H4703" i="25"/>
  <c r="H4704" i="25"/>
  <c r="H4705" i="25"/>
  <c r="H4706" i="25"/>
  <c r="H4707" i="25"/>
  <c r="H4708" i="25"/>
  <c r="H4709" i="25"/>
  <c r="H4710" i="25"/>
  <c r="H4711" i="25"/>
  <c r="H4712" i="25"/>
  <c r="H4713" i="25"/>
  <c r="H4714" i="25"/>
  <c r="H4715" i="25"/>
  <c r="H4716" i="25"/>
  <c r="H4717" i="25"/>
  <c r="H4718" i="25"/>
  <c r="H4719" i="25"/>
  <c r="H4720" i="25"/>
  <c r="H4721" i="25"/>
  <c r="H4722" i="25"/>
  <c r="H4723" i="25"/>
  <c r="H4724" i="25"/>
  <c r="H4769" i="25"/>
  <c r="H4770" i="25"/>
  <c r="H4771" i="25"/>
  <c r="H4772" i="25"/>
  <c r="H4773" i="25"/>
  <c r="H4774" i="25"/>
  <c r="H4775" i="25"/>
  <c r="H4776" i="25"/>
  <c r="H4777" i="25"/>
  <c r="H4778" i="25"/>
  <c r="H4779" i="25"/>
  <c r="H4780" i="25"/>
  <c r="H4781" i="25"/>
  <c r="H4782" i="25"/>
  <c r="H4783" i="25"/>
  <c r="H4784" i="25"/>
  <c r="H4785" i="25"/>
  <c r="H4786" i="25"/>
  <c r="H4787" i="25"/>
  <c r="H4788" i="25"/>
  <c r="H4789" i="25"/>
  <c r="H4790" i="25"/>
  <c r="H4791" i="25"/>
  <c r="H4792" i="25"/>
  <c r="H4793" i="25"/>
  <c r="H4794" i="25"/>
  <c r="H4795" i="25"/>
  <c r="H4796" i="25"/>
  <c r="H4797" i="25"/>
  <c r="H4798" i="25"/>
  <c r="H5368" i="25"/>
  <c r="D5368" i="25" s="1"/>
  <c r="E5368" i="25" s="1"/>
  <c r="F5368" i="25" s="1"/>
  <c r="H5369" i="25"/>
  <c r="D5369" i="25" s="1"/>
  <c r="E5369" i="25" s="1"/>
  <c r="F5369" i="25" s="1"/>
  <c r="H5370" i="25"/>
  <c r="D5370" i="25" s="1"/>
  <c r="E5370" i="25" s="1"/>
  <c r="F5370" i="25" s="1"/>
  <c r="H5371" i="25"/>
  <c r="D5371" i="25" s="1"/>
  <c r="C5371" i="25"/>
  <c r="H5372" i="25"/>
  <c r="D5372" i="25" s="1"/>
  <c r="E5372" i="25" s="1"/>
  <c r="F5372" i="25" s="1"/>
  <c r="H5373" i="25"/>
  <c r="D5373" i="25" s="1"/>
  <c r="C5373" i="25"/>
  <c r="H5374" i="25"/>
  <c r="D5374" i="25" s="1"/>
  <c r="E5374" i="25" s="1"/>
  <c r="F5374" i="25" s="1"/>
  <c r="H5375" i="25"/>
  <c r="D5375" i="25" s="1"/>
  <c r="E5375" i="25" s="1"/>
  <c r="F5375" i="25" s="1"/>
  <c r="H5376" i="25"/>
  <c r="D5376" i="25" s="1"/>
  <c r="E5376" i="25" s="1"/>
  <c r="F5376" i="25" s="1"/>
  <c r="H5377" i="25"/>
  <c r="D5377" i="25" s="1"/>
  <c r="C5377" i="25"/>
  <c r="H5378" i="25"/>
  <c r="D5378" i="25" s="1"/>
  <c r="E5378" i="25" s="1"/>
  <c r="F5378" i="25" s="1"/>
  <c r="H5379" i="25"/>
  <c r="D5379" i="25" s="1"/>
  <c r="E5379" i="25" s="1"/>
  <c r="F5379" i="25" s="1"/>
  <c r="H5380" i="25"/>
  <c r="D5380" i="25" s="1"/>
  <c r="E5380" i="25" s="1"/>
  <c r="F5380" i="25" s="1"/>
  <c r="H5381" i="25"/>
  <c r="D5381" i="25" s="1"/>
  <c r="E5381" i="25" s="1"/>
  <c r="F5381" i="25" s="1"/>
  <c r="H5382" i="25"/>
  <c r="D5382" i="25" s="1"/>
  <c r="E5382" i="25" s="1"/>
  <c r="F5382" i="25" s="1"/>
  <c r="H5383" i="25"/>
  <c r="D5383" i="25" s="1"/>
  <c r="E5383" i="25" s="1"/>
  <c r="F5383" i="25" s="1"/>
  <c r="H5384" i="25"/>
  <c r="D5384" i="25" s="1"/>
  <c r="E5384" i="25" s="1"/>
  <c r="F5384" i="25" s="1"/>
  <c r="H5385" i="25"/>
  <c r="D5385" i="25" s="1"/>
  <c r="E5385" i="25" s="1"/>
  <c r="F5385" i="25" s="1"/>
  <c r="H5386" i="25"/>
  <c r="D5386" i="25" s="1"/>
  <c r="E5386" i="25" s="1"/>
  <c r="F5386" i="25" s="1"/>
  <c r="H5387" i="25"/>
  <c r="D5387" i="25" s="1"/>
  <c r="E5387" i="25" s="1"/>
  <c r="F5387" i="25" s="1"/>
  <c r="H5388" i="25"/>
  <c r="D5388" i="25" s="1"/>
  <c r="E5388" i="25" s="1"/>
  <c r="F5388" i="25" s="1"/>
  <c r="H5389" i="25"/>
  <c r="D5389" i="25" s="1"/>
  <c r="E5389" i="25" s="1"/>
  <c r="F5389" i="25" s="1"/>
  <c r="H5390" i="25"/>
  <c r="D5390" i="25" s="1"/>
  <c r="C5390" i="25"/>
  <c r="H5391" i="25"/>
  <c r="D5391" i="25" s="1"/>
  <c r="E5391" i="25" s="1"/>
  <c r="F5391" i="25" s="1"/>
  <c r="H5392" i="25"/>
  <c r="D5392" i="25" s="1"/>
  <c r="E5392" i="25" s="1"/>
  <c r="F5392" i="25" s="1"/>
  <c r="H5393" i="25"/>
  <c r="D5393" i="25" s="1"/>
  <c r="E5393" i="25" s="1"/>
  <c r="F5393" i="25" s="1"/>
  <c r="H5394" i="25"/>
  <c r="D5394" i="25" s="1"/>
  <c r="E5394" i="25" s="1"/>
  <c r="F5394" i="25" s="1"/>
  <c r="H5395" i="25"/>
  <c r="D5395" i="25" s="1"/>
  <c r="E5395" i="25" s="1"/>
  <c r="F5395" i="25" s="1"/>
  <c r="H5396" i="25"/>
  <c r="D5396" i="25" s="1"/>
  <c r="E5396" i="25" s="1"/>
  <c r="F5396" i="25" s="1"/>
  <c r="H5397" i="25"/>
  <c r="D5397" i="25" s="1"/>
  <c r="E5397" i="25" s="1"/>
  <c r="F5397" i="25" s="1"/>
  <c r="H5575" i="25"/>
  <c r="H5576" i="25"/>
  <c r="H5577" i="25"/>
  <c r="H5578" i="25"/>
  <c r="H5579" i="25"/>
  <c r="H5580" i="25"/>
  <c r="H5581" i="25"/>
  <c r="H5582" i="25"/>
  <c r="H5583" i="25"/>
  <c r="H5584" i="25"/>
  <c r="H5585" i="25"/>
  <c r="H5586" i="25"/>
  <c r="H5587" i="25"/>
  <c r="H5588" i="25"/>
  <c r="H5589" i="25"/>
  <c r="H5590" i="25"/>
  <c r="H5591" i="25"/>
  <c r="H5592" i="25"/>
  <c r="H5593" i="25"/>
  <c r="H5594" i="25"/>
  <c r="H5595" i="25"/>
  <c r="H5596" i="25"/>
  <c r="H5597" i="25"/>
  <c r="H5598" i="25"/>
  <c r="H5599" i="25"/>
  <c r="H5600" i="25"/>
  <c r="H5601" i="25"/>
  <c r="H5602" i="25"/>
  <c r="H5603" i="25"/>
  <c r="H5604" i="25"/>
  <c r="H5612" i="25"/>
  <c r="H5613" i="25"/>
  <c r="H5614" i="25"/>
  <c r="H5615" i="25"/>
  <c r="H5616" i="25"/>
  <c r="H5617" i="25"/>
  <c r="H5618" i="25"/>
  <c r="H5619" i="25"/>
  <c r="H5620" i="25"/>
  <c r="H5621" i="25"/>
  <c r="H5622" i="25"/>
  <c r="H5623" i="25"/>
  <c r="H5624" i="25"/>
  <c r="H5625" i="25"/>
  <c r="H5626" i="25"/>
  <c r="H5627" i="25"/>
  <c r="H5628" i="25"/>
  <c r="H5629" i="25"/>
  <c r="H5630" i="25"/>
  <c r="H5631" i="25"/>
  <c r="F5858" i="25"/>
  <c r="AV193" i="29"/>
  <c r="AX193" i="29" s="1"/>
  <c r="AY193" i="29" s="1"/>
  <c r="H5864" i="25"/>
  <c r="H5865" i="25"/>
  <c r="H5866" i="25"/>
  <c r="H5867" i="25"/>
  <c r="H5868" i="25"/>
  <c r="H5869" i="25"/>
  <c r="H5870" i="25"/>
  <c r="H5871" i="25"/>
  <c r="H5872" i="25"/>
  <c r="H5873" i="25"/>
  <c r="H5874" i="25"/>
  <c r="H5875" i="25"/>
  <c r="H5876" i="25"/>
  <c r="H5877" i="25"/>
  <c r="H5878" i="25"/>
  <c r="H5879" i="25"/>
  <c r="H5880" i="25"/>
  <c r="H5881" i="25"/>
  <c r="H5882" i="25"/>
  <c r="H5883" i="25"/>
  <c r="F5191" i="25"/>
  <c r="AV187" i="29"/>
  <c r="AW187" i="29" s="1"/>
  <c r="H6625" i="25"/>
  <c r="H6626" i="25"/>
  <c r="H6627" i="25"/>
  <c r="H6628" i="25"/>
  <c r="H6629" i="25"/>
  <c r="H6630" i="25"/>
  <c r="H6631" i="25"/>
  <c r="H6632" i="25"/>
  <c r="H6633" i="25"/>
  <c r="H6634" i="25"/>
  <c r="H6635" i="25"/>
  <c r="H6636" i="25"/>
  <c r="H6637" i="25"/>
  <c r="H6638" i="25"/>
  <c r="H6639" i="25"/>
  <c r="H6640" i="25"/>
  <c r="H6641" i="25"/>
  <c r="H6642" i="25"/>
  <c r="H6643" i="25"/>
  <c r="H6644" i="25"/>
  <c r="H8596" i="25"/>
  <c r="H8597" i="25"/>
  <c r="H8598" i="25"/>
  <c r="H8599" i="25"/>
  <c r="H8600" i="25"/>
  <c r="H8601" i="25"/>
  <c r="H8602" i="25"/>
  <c r="H8603" i="25"/>
  <c r="H8604" i="25"/>
  <c r="H8605" i="25"/>
  <c r="H8606" i="25"/>
  <c r="H8607" i="25"/>
  <c r="H8608" i="25"/>
  <c r="H8609" i="25"/>
  <c r="H8610" i="25"/>
  <c r="H8611" i="25"/>
  <c r="H8612" i="25"/>
  <c r="H8613" i="25"/>
  <c r="H8614" i="25"/>
  <c r="H8615" i="25"/>
  <c r="H8616" i="25"/>
  <c r="H8617" i="25"/>
  <c r="H8618" i="25"/>
  <c r="H8619" i="25"/>
  <c r="H8620" i="25"/>
  <c r="H8621" i="25"/>
  <c r="H8622" i="25"/>
  <c r="H8623" i="25"/>
  <c r="H8624" i="25"/>
  <c r="H8625" i="25"/>
  <c r="F8760" i="25"/>
  <c r="AN299" i="29" s="1"/>
  <c r="H8825" i="25"/>
  <c r="H8826" i="25"/>
  <c r="H8827" i="25"/>
  <c r="H8828" i="25"/>
  <c r="H8829" i="25"/>
  <c r="H8830" i="25"/>
  <c r="H8831" i="25"/>
  <c r="H8832" i="25"/>
  <c r="H8833" i="25"/>
  <c r="H8834" i="25"/>
  <c r="H8835" i="25"/>
  <c r="H8836" i="25"/>
  <c r="H8837" i="25"/>
  <c r="H8838" i="25"/>
  <c r="H8839" i="25"/>
  <c r="H8840" i="25"/>
  <c r="H8841" i="25"/>
  <c r="H8842" i="25"/>
  <c r="H8843" i="25"/>
  <c r="H8844" i="25"/>
  <c r="H8845" i="25"/>
  <c r="H8846" i="25"/>
  <c r="H8847" i="25"/>
  <c r="H8848" i="25"/>
  <c r="H8849" i="25"/>
  <c r="H8850" i="25"/>
  <c r="H8851" i="25"/>
  <c r="H8852" i="25"/>
  <c r="H8853" i="25"/>
  <c r="H8854" i="25"/>
  <c r="H8960" i="25"/>
  <c r="H8961" i="25"/>
  <c r="H8962" i="25"/>
  <c r="H8963" i="25"/>
  <c r="H8964" i="25"/>
  <c r="H8965" i="25"/>
  <c r="H8966" i="25"/>
  <c r="H8967" i="25"/>
  <c r="H8968" i="25"/>
  <c r="H8969" i="25"/>
  <c r="H8970" i="25"/>
  <c r="H8971" i="25"/>
  <c r="H8972" i="25"/>
  <c r="H8973" i="25"/>
  <c r="H8974" i="25"/>
  <c r="H8975" i="25"/>
  <c r="H8976" i="25"/>
  <c r="H8977" i="25"/>
  <c r="H8978" i="25"/>
  <c r="H8979" i="25"/>
  <c r="H8980" i="25"/>
  <c r="H8981" i="25"/>
  <c r="H8982" i="25"/>
  <c r="H8983" i="25"/>
  <c r="H8984" i="25"/>
  <c r="H8985" i="25"/>
  <c r="H8986" i="25"/>
  <c r="H8987" i="25"/>
  <c r="H8988" i="25"/>
  <c r="H8989" i="25"/>
  <c r="H8996" i="25"/>
  <c r="H8997" i="25"/>
  <c r="H8998" i="25"/>
  <c r="H8999" i="25"/>
  <c r="H9000" i="25"/>
  <c r="H9001" i="25"/>
  <c r="H9002" i="25"/>
  <c r="H9003" i="25"/>
  <c r="H9004" i="25"/>
  <c r="H9005" i="25"/>
  <c r="H9006" i="25"/>
  <c r="H9007" i="25"/>
  <c r="H9008" i="25"/>
  <c r="H9009" i="25"/>
  <c r="H9010" i="25"/>
  <c r="H9011" i="25"/>
  <c r="H9012" i="25"/>
  <c r="H9013" i="25"/>
  <c r="H9014" i="25"/>
  <c r="H9015" i="25"/>
  <c r="H9016" i="25"/>
  <c r="H9017" i="25"/>
  <c r="H9018" i="25"/>
  <c r="H9019" i="25"/>
  <c r="H9020" i="25"/>
  <c r="H9021" i="25"/>
  <c r="H9022" i="25"/>
  <c r="H9023" i="25"/>
  <c r="H9024" i="25"/>
  <c r="H9025" i="25"/>
  <c r="H9261" i="25"/>
  <c r="H9262" i="25"/>
  <c r="H9263" i="25"/>
  <c r="H9264" i="25"/>
  <c r="H9265" i="25"/>
  <c r="H9266" i="25"/>
  <c r="H9267" i="25"/>
  <c r="H9268" i="25"/>
  <c r="H9269" i="25"/>
  <c r="H9270" i="25"/>
  <c r="H9271" i="25"/>
  <c r="H9272" i="25"/>
  <c r="H9273" i="25"/>
  <c r="H9274" i="25"/>
  <c r="H9275" i="25"/>
  <c r="H9276" i="25"/>
  <c r="H9277" i="25"/>
  <c r="H9278" i="25"/>
  <c r="H9279" i="25"/>
  <c r="H9280" i="25"/>
  <c r="H9281" i="25"/>
  <c r="H9282" i="25"/>
  <c r="H9283" i="25"/>
  <c r="H9284" i="25"/>
  <c r="H9285" i="25"/>
  <c r="H9286" i="25"/>
  <c r="H9287" i="25"/>
  <c r="H9288" i="25"/>
  <c r="H9289" i="25"/>
  <c r="H9290" i="25"/>
  <c r="E9874" i="25"/>
  <c r="E4094" i="25"/>
  <c r="F4094" i="25" s="1"/>
  <c r="F4095" i="25" s="1"/>
  <c r="E3845" i="25"/>
  <c r="F3845" i="25" s="1"/>
  <c r="E3846" i="25"/>
  <c r="F3846" i="25" s="1"/>
  <c r="E3847" i="25"/>
  <c r="F3847" i="25" s="1"/>
  <c r="E3848" i="25"/>
  <c r="F3848" i="25" s="1"/>
  <c r="E3849" i="25"/>
  <c r="F3849" i="25" s="1"/>
  <c r="E3850" i="25"/>
  <c r="F3850" i="25" s="1"/>
  <c r="E3851" i="25"/>
  <c r="F3851" i="25" s="1"/>
  <c r="E3852" i="25"/>
  <c r="F3852" i="25" s="1"/>
  <c r="E3853" i="25"/>
  <c r="F3853" i="25" s="1"/>
  <c r="E3854" i="25"/>
  <c r="F3854" i="25" s="1"/>
  <c r="E3855" i="25"/>
  <c r="F3855" i="25" s="1"/>
  <c r="E3856" i="25"/>
  <c r="F3856" i="25" s="1"/>
  <c r="E3857" i="25"/>
  <c r="F3857" i="25" s="1"/>
  <c r="E3858" i="25"/>
  <c r="F3858" i="25" s="1"/>
  <c r="E3859" i="25"/>
  <c r="F3859" i="25" s="1"/>
  <c r="E3860" i="25"/>
  <c r="F3860" i="25" s="1"/>
  <c r="E3813" i="25"/>
  <c r="F3813" i="25" s="1"/>
  <c r="E3814" i="25"/>
  <c r="F3814" i="25" s="1"/>
  <c r="E3815" i="25"/>
  <c r="F3815" i="25" s="1"/>
  <c r="E3816" i="25"/>
  <c r="F3816" i="25" s="1"/>
  <c r="E3817" i="25"/>
  <c r="F3817" i="25" s="1"/>
  <c r="C3818" i="25"/>
  <c r="E3818" i="25" s="1"/>
  <c r="F3818" i="25" s="1"/>
  <c r="E3819" i="25"/>
  <c r="F3819" i="25" s="1"/>
  <c r="E3820" i="25"/>
  <c r="F3820" i="25" s="1"/>
  <c r="E3821" i="25"/>
  <c r="F3821" i="25" s="1"/>
  <c r="E3822" i="25"/>
  <c r="F3822" i="25" s="1"/>
  <c r="E3823" i="25"/>
  <c r="F3823" i="25" s="1"/>
  <c r="C3824" i="25"/>
  <c r="E3824" i="25" s="1"/>
  <c r="F3824" i="25" s="1"/>
  <c r="E3825" i="25"/>
  <c r="F3825" i="25" s="1"/>
  <c r="E3826" i="25"/>
  <c r="F3826" i="25" s="1"/>
  <c r="E3827" i="25"/>
  <c r="F3827" i="25" s="1"/>
  <c r="E3828" i="25"/>
  <c r="F3828" i="25" s="1"/>
  <c r="E3829" i="25"/>
  <c r="F3829" i="25" s="1"/>
  <c r="E3830" i="25"/>
  <c r="F3830" i="25" s="1"/>
  <c r="E3831" i="25"/>
  <c r="F3831" i="25" s="1"/>
  <c r="E3832" i="25"/>
  <c r="F3832" i="25" s="1"/>
  <c r="E3833" i="25"/>
  <c r="F3833" i="25" s="1"/>
  <c r="E3834" i="25"/>
  <c r="F3834" i="25" s="1"/>
  <c r="E3835" i="25"/>
  <c r="F3835" i="25" s="1"/>
  <c r="E3836" i="25"/>
  <c r="F3836" i="25" s="1"/>
  <c r="E3837" i="25"/>
  <c r="F3837" i="25" s="1"/>
  <c r="E3838" i="25"/>
  <c r="F3838" i="25" s="1"/>
  <c r="E3839" i="25"/>
  <c r="F3839" i="25" s="1"/>
  <c r="E3840" i="25"/>
  <c r="F3840" i="25" s="1"/>
  <c r="E3841" i="25"/>
  <c r="F3841" i="25" s="1"/>
  <c r="E3842" i="25"/>
  <c r="F3842" i="25" s="1"/>
  <c r="E3617" i="25"/>
  <c r="F3617" i="25" s="1"/>
  <c r="E3618" i="25"/>
  <c r="F3618" i="25" s="1"/>
  <c r="E3619" i="25"/>
  <c r="F3619" i="25" s="1"/>
  <c r="E3620" i="25"/>
  <c r="F3620" i="25" s="1"/>
  <c r="C3621" i="25"/>
  <c r="E3621" i="25" s="1"/>
  <c r="F3621" i="25" s="1"/>
  <c r="E3622" i="25"/>
  <c r="F3622" i="25" s="1"/>
  <c r="E3623" i="25"/>
  <c r="F3623" i="25" s="1"/>
  <c r="E3624" i="25"/>
  <c r="F3624" i="25" s="1"/>
  <c r="E3625" i="25"/>
  <c r="F3625" i="25" s="1"/>
  <c r="E3626" i="25"/>
  <c r="F3626" i="25" s="1"/>
  <c r="E3627" i="25"/>
  <c r="F3627" i="25" s="1"/>
  <c r="E3628" i="25"/>
  <c r="F3628" i="25" s="1"/>
  <c r="E3629" i="25"/>
  <c r="F3629" i="25" s="1"/>
  <c r="E3630" i="25"/>
  <c r="F3630" i="25" s="1"/>
  <c r="E3631" i="25"/>
  <c r="F3631" i="25" s="1"/>
  <c r="E3632" i="25"/>
  <c r="F3632" i="25" s="1"/>
  <c r="E3633" i="25"/>
  <c r="F3633" i="25" s="1"/>
  <c r="E3634" i="25"/>
  <c r="F3634" i="25" s="1"/>
  <c r="E3635" i="25"/>
  <c r="F3635" i="25" s="1"/>
  <c r="E3636" i="25"/>
  <c r="F3636" i="25" s="1"/>
  <c r="E2924" i="25"/>
  <c r="F2924" i="25" s="1"/>
  <c r="E2925" i="25"/>
  <c r="F2925" i="25" s="1"/>
  <c r="E2926" i="25"/>
  <c r="F2926" i="25" s="1"/>
  <c r="E2927" i="25"/>
  <c r="F2927" i="25" s="1"/>
  <c r="E2928" i="25"/>
  <c r="F2928" i="25" s="1"/>
  <c r="E2929" i="25"/>
  <c r="F2929" i="25" s="1"/>
  <c r="C2930" i="25"/>
  <c r="E2930" i="25" s="1"/>
  <c r="F2930" i="25" s="1"/>
  <c r="E2931" i="25"/>
  <c r="F2931" i="25" s="1"/>
  <c r="E2932" i="25"/>
  <c r="F2932" i="25" s="1"/>
  <c r="E2933" i="25"/>
  <c r="F2933" i="25" s="1"/>
  <c r="E2934" i="25"/>
  <c r="F2934" i="25" s="1"/>
  <c r="E2935" i="25"/>
  <c r="F2935" i="25" s="1"/>
  <c r="E2936" i="25"/>
  <c r="F2936" i="25" s="1"/>
  <c r="E2937" i="25"/>
  <c r="F2937" i="25" s="1"/>
  <c r="E2938" i="25"/>
  <c r="F2938" i="25" s="1"/>
  <c r="E2939" i="25"/>
  <c r="F2939" i="25" s="1"/>
  <c r="E2940" i="25"/>
  <c r="F2940" i="25" s="1"/>
  <c r="E2941" i="25"/>
  <c r="F2941" i="25" s="1"/>
  <c r="E2942" i="25"/>
  <c r="F2942" i="25" s="1"/>
  <c r="E2943" i="25"/>
  <c r="F2943" i="25" s="1"/>
  <c r="E2944" i="25"/>
  <c r="F2944" i="25" s="1"/>
  <c r="E2945" i="25"/>
  <c r="F2945" i="25" s="1"/>
  <c r="E2946" i="25"/>
  <c r="F2946" i="25" s="1"/>
  <c r="E2947" i="25"/>
  <c r="F2947" i="25" s="1"/>
  <c r="E2948" i="25"/>
  <c r="F2948" i="25" s="1"/>
  <c r="E2949" i="25"/>
  <c r="F2949" i="25" s="1"/>
  <c r="E2950" i="25"/>
  <c r="F2950" i="25" s="1"/>
  <c r="E2951" i="25"/>
  <c r="F2951" i="25" s="1"/>
  <c r="E2952" i="25"/>
  <c r="F2952" i="25" s="1"/>
  <c r="E2953" i="25"/>
  <c r="F2953" i="25" s="1"/>
  <c r="C2740" i="25"/>
  <c r="C3914" i="25"/>
  <c r="E3914" i="25" s="1"/>
  <c r="F3914" i="25" s="1"/>
  <c r="C5160" i="25"/>
  <c r="E5160" i="25" s="1"/>
  <c r="F5160" i="25" s="1"/>
  <c r="AE1715" i="25"/>
  <c r="AS596" i="29"/>
  <c r="AC1715" i="25"/>
  <c r="AD1715" i="25"/>
  <c r="AB1715" i="25"/>
  <c r="AA1715" i="25"/>
  <c r="D3052" i="25"/>
  <c r="E3052" i="25" s="1"/>
  <c r="F3052" i="25" s="1"/>
  <c r="E3098" i="25"/>
  <c r="F3098" i="25" s="1"/>
  <c r="M1342" i="25"/>
  <c r="M1341" i="25"/>
  <c r="D1345" i="25"/>
  <c r="E1345" i="25" s="1"/>
  <c r="F1345" i="25" s="1"/>
  <c r="C3000" i="25"/>
  <c r="E3000" i="25" s="1"/>
  <c r="F3000" i="25" s="1"/>
  <c r="C3005" i="25"/>
  <c r="E3005" i="25" s="1"/>
  <c r="F3005" i="25" s="1"/>
  <c r="D2999" i="25"/>
  <c r="E2999" i="25" s="1"/>
  <c r="F2999" i="25" s="1"/>
  <c r="E3044" i="25"/>
  <c r="F3044" i="25" s="1"/>
  <c r="C5175" i="25"/>
  <c r="E5175" i="25" s="1"/>
  <c r="F5175" i="25" s="1"/>
  <c r="C3067" i="25"/>
  <c r="E3067" i="25" s="1"/>
  <c r="F3067" i="25" s="1"/>
  <c r="C3014" i="25"/>
  <c r="E3014" i="25" s="1"/>
  <c r="F3014" i="25" s="1"/>
  <c r="D2417" i="25"/>
  <c r="E2417" i="25" s="1"/>
  <c r="F2417" i="25" s="1"/>
  <c r="D1382" i="25"/>
  <c r="E1382" i="25" s="1"/>
  <c r="F1382" i="25" s="1"/>
  <c r="E1368" i="25"/>
  <c r="F1368" i="25" s="1"/>
  <c r="E1369" i="25"/>
  <c r="F1369" i="25" s="1"/>
  <c r="L1380" i="25"/>
  <c r="L5241" i="25"/>
  <c r="L1379" i="25"/>
  <c r="E3097" i="25"/>
  <c r="F3097" i="25" s="1"/>
  <c r="L1378" i="25"/>
  <c r="L5238" i="25"/>
  <c r="L5239" i="25"/>
  <c r="L5240" i="25"/>
  <c r="X1715" i="25"/>
  <c r="Z1715" i="25"/>
  <c r="M1339" i="25"/>
  <c r="M1340" i="25"/>
  <c r="S529" i="25"/>
  <c r="T529" i="25"/>
  <c r="H1643" i="25"/>
  <c r="H1512" i="25"/>
  <c r="H1304" i="25"/>
  <c r="H1190" i="25"/>
  <c r="C830" i="25"/>
  <c r="H830" i="25"/>
  <c r="D830" i="25" s="1"/>
  <c r="H695" i="25"/>
  <c r="D695" i="25" s="1"/>
  <c r="C695" i="25"/>
  <c r="E2278" i="25"/>
  <c r="F2278" i="25" s="1"/>
  <c r="N5038" i="25"/>
  <c r="O5033" i="25"/>
  <c r="O5034" i="25"/>
  <c r="O5035" i="25"/>
  <c r="O5036" i="25"/>
  <c r="O5037" i="25"/>
  <c r="O5038" i="25"/>
  <c r="O5039" i="25"/>
  <c r="O5040" i="25"/>
  <c r="O5041" i="25"/>
  <c r="O5042" i="25"/>
  <c r="O5043" i="25"/>
  <c r="O5044" i="25"/>
  <c r="O5045" i="25"/>
  <c r="E3042" i="25"/>
  <c r="F3042" i="25" s="1"/>
  <c r="E3043" i="25"/>
  <c r="F3043" i="25" s="1"/>
  <c r="L1377" i="25"/>
  <c r="F766" i="25"/>
  <c r="L1373" i="25"/>
  <c r="L1374" i="25"/>
  <c r="L1375" i="25"/>
  <c r="L1376" i="25"/>
  <c r="H1331" i="25"/>
  <c r="E1331" i="25"/>
  <c r="F1331" i="25" s="1"/>
  <c r="H1332" i="25"/>
  <c r="E1332" i="25"/>
  <c r="F1332" i="25" s="1"/>
  <c r="H1333" i="25"/>
  <c r="E1333" i="25"/>
  <c r="F1333" i="25" s="1"/>
  <c r="H1334" i="25"/>
  <c r="E1334" i="25"/>
  <c r="F1334" i="25" s="1"/>
  <c r="H1335" i="25"/>
  <c r="E1335" i="25"/>
  <c r="F1335" i="25" s="1"/>
  <c r="H1336" i="25"/>
  <c r="E1336" i="25"/>
  <c r="F1336" i="25" s="1"/>
  <c r="H1337" i="25"/>
  <c r="E1337" i="25"/>
  <c r="F1337" i="25" s="1"/>
  <c r="H1338" i="25"/>
  <c r="E1338" i="25"/>
  <c r="F1338" i="25" s="1"/>
  <c r="H1339" i="25"/>
  <c r="E1339" i="25"/>
  <c r="F1339" i="25" s="1"/>
  <c r="H1340" i="25"/>
  <c r="E1340" i="25"/>
  <c r="F1340" i="25" s="1"/>
  <c r="H1341" i="25"/>
  <c r="E1341" i="25"/>
  <c r="F1341" i="25" s="1"/>
  <c r="H1342" i="25"/>
  <c r="E1342" i="25"/>
  <c r="F1342" i="25" s="1"/>
  <c r="H1343" i="25"/>
  <c r="E1343" i="25"/>
  <c r="F1343" i="25" s="1"/>
  <c r="H1344" i="25"/>
  <c r="E1344" i="25"/>
  <c r="F1344" i="25" s="1"/>
  <c r="H1345" i="25"/>
  <c r="H1346" i="25"/>
  <c r="E1346" i="25"/>
  <c r="F1346" i="25" s="1"/>
  <c r="H1347" i="25"/>
  <c r="E1347" i="25"/>
  <c r="F1347" i="25" s="1"/>
  <c r="H1348" i="25"/>
  <c r="E1348" i="25"/>
  <c r="F1348" i="25" s="1"/>
  <c r="H1349" i="25"/>
  <c r="E1349" i="25"/>
  <c r="F1349" i="25" s="1"/>
  <c r="H1350" i="25"/>
  <c r="E1350" i="25"/>
  <c r="F1350" i="25" s="1"/>
  <c r="H1351" i="25"/>
  <c r="E1351" i="25"/>
  <c r="F1351" i="25" s="1"/>
  <c r="H1352" i="25"/>
  <c r="E1352" i="25"/>
  <c r="F1352" i="25" s="1"/>
  <c r="H1353" i="25"/>
  <c r="E1353" i="25"/>
  <c r="F1353" i="25" s="1"/>
  <c r="H1354" i="25"/>
  <c r="E1354" i="25"/>
  <c r="F1354" i="25" s="1"/>
  <c r="H1355" i="25"/>
  <c r="E1355" i="25"/>
  <c r="F1355" i="25" s="1"/>
  <c r="H1356" i="25"/>
  <c r="E1356" i="25"/>
  <c r="F1356" i="25" s="1"/>
  <c r="H1357" i="25"/>
  <c r="E1357" i="25"/>
  <c r="F1357" i="25" s="1"/>
  <c r="H1358" i="25"/>
  <c r="E1358" i="25"/>
  <c r="F1358" i="25" s="1"/>
  <c r="H1359" i="25"/>
  <c r="E1359" i="25"/>
  <c r="F1359" i="25" s="1"/>
  <c r="H1360" i="25"/>
  <c r="E1360" i="25"/>
  <c r="F1360" i="25" s="1"/>
  <c r="H1715" i="25"/>
  <c r="I1715" i="25"/>
  <c r="J1715" i="25"/>
  <c r="K1715" i="25"/>
  <c r="L1715" i="25"/>
  <c r="M1715" i="25"/>
  <c r="N1715" i="25"/>
  <c r="O1715" i="25"/>
  <c r="P1715" i="25"/>
  <c r="Q1715" i="25"/>
  <c r="R1715" i="25"/>
  <c r="S1715" i="25"/>
  <c r="T1715" i="25"/>
  <c r="U1715" i="25"/>
  <c r="V1715" i="25"/>
  <c r="W1715" i="25"/>
  <c r="L1965" i="25"/>
  <c r="L1966" i="25"/>
  <c r="L1967" i="25"/>
  <c r="L1968" i="25"/>
  <c r="L1969" i="25"/>
  <c r="L1970" i="25"/>
  <c r="L1971" i="25"/>
  <c r="L1972" i="25"/>
  <c r="L1973" i="25"/>
  <c r="L1974" i="25"/>
  <c r="L1975" i="25"/>
  <c r="L1976" i="25"/>
  <c r="D4372" i="25"/>
  <c r="H5038" i="25"/>
  <c r="E5038" i="25"/>
  <c r="F5038" i="25" s="1"/>
  <c r="H5039" i="25"/>
  <c r="E5039" i="25"/>
  <c r="F5039" i="25" s="1"/>
  <c r="H5040" i="25"/>
  <c r="E5040" i="25"/>
  <c r="F5040" i="25" s="1"/>
  <c r="H5041" i="25"/>
  <c r="C5041" i="25"/>
  <c r="E5041" i="25" s="1"/>
  <c r="F5041" i="25" s="1"/>
  <c r="E5042" i="25"/>
  <c r="F5042" i="25" s="1"/>
  <c r="E5043" i="25"/>
  <c r="F5043" i="25" s="1"/>
  <c r="E5044" i="25"/>
  <c r="F5044" i="25" s="1"/>
  <c r="E5045" i="25"/>
  <c r="F5045" i="25" s="1"/>
  <c r="E5046" i="25"/>
  <c r="F5046" i="25" s="1"/>
  <c r="C5047" i="25"/>
  <c r="E5047" i="25" s="1"/>
  <c r="F5047" i="25" s="1"/>
  <c r="E5048" i="25"/>
  <c r="F5048" i="25" s="1"/>
  <c r="E5049" i="25"/>
  <c r="F5049" i="25" s="1"/>
  <c r="E5050" i="25"/>
  <c r="F5050" i="25" s="1"/>
  <c r="E5051" i="25"/>
  <c r="F5051" i="25" s="1"/>
  <c r="E5052" i="25"/>
  <c r="F5052" i="25" s="1"/>
  <c r="E5053" i="25"/>
  <c r="F5053" i="25" s="1"/>
  <c r="E5054" i="25"/>
  <c r="F5054" i="25" s="1"/>
  <c r="E5055" i="25"/>
  <c r="F5055" i="25" s="1"/>
  <c r="E5056" i="25"/>
  <c r="F5056" i="25" s="1"/>
  <c r="E5057" i="25"/>
  <c r="F5057" i="25" s="1"/>
  <c r="H5042" i="25"/>
  <c r="H5043" i="25"/>
  <c r="H5044" i="25"/>
  <c r="H5045" i="25"/>
  <c r="H5046" i="25"/>
  <c r="H5047" i="25"/>
  <c r="H5048" i="25"/>
  <c r="H5049" i="25"/>
  <c r="H5050" i="25"/>
  <c r="H5051" i="25"/>
  <c r="H5052" i="25"/>
  <c r="H5053" i="25"/>
  <c r="H5054" i="25"/>
  <c r="H5055" i="25"/>
  <c r="H5056" i="25"/>
  <c r="H5057" i="25"/>
  <c r="H5234" i="25"/>
  <c r="E5234" i="25"/>
  <c r="F5234" i="25" s="1"/>
  <c r="H5235" i="25"/>
  <c r="E5235" i="25"/>
  <c r="F5235" i="25" s="1"/>
  <c r="H5236" i="25"/>
  <c r="E5236" i="25"/>
  <c r="F5236" i="25" s="1"/>
  <c r="H5237" i="25"/>
  <c r="C5237" i="25"/>
  <c r="E5237" i="25" s="1"/>
  <c r="F5237" i="25" s="1"/>
  <c r="H5238" i="25"/>
  <c r="E5238" i="25"/>
  <c r="F5238" i="25" s="1"/>
  <c r="H5239" i="25"/>
  <c r="E5239" i="25"/>
  <c r="F5239" i="25" s="1"/>
  <c r="H5240" i="25"/>
  <c r="E5240" i="25"/>
  <c r="F5240" i="25" s="1"/>
  <c r="H5241" i="25"/>
  <c r="E5241" i="25"/>
  <c r="F5241" i="25" s="1"/>
  <c r="H5242" i="25"/>
  <c r="E5242" i="25"/>
  <c r="F5242" i="25" s="1"/>
  <c r="H5243" i="25"/>
  <c r="C5243" i="25"/>
  <c r="E5243" i="25" s="1"/>
  <c r="F5243" i="25" s="1"/>
  <c r="H5244" i="25"/>
  <c r="E5244" i="25"/>
  <c r="F5244" i="25" s="1"/>
  <c r="H5245" i="25"/>
  <c r="E5245" i="25"/>
  <c r="F5245" i="25" s="1"/>
  <c r="H5246" i="25"/>
  <c r="E5246" i="25"/>
  <c r="F5246" i="25" s="1"/>
  <c r="H5247" i="25"/>
  <c r="E5247" i="25"/>
  <c r="F5247" i="25" s="1"/>
  <c r="H5248" i="25"/>
  <c r="E5248" i="25"/>
  <c r="F5248" i="25" s="1"/>
  <c r="H5249" i="25"/>
  <c r="E5249" i="25"/>
  <c r="F5249" i="25" s="1"/>
  <c r="H5250" i="25"/>
  <c r="E5250" i="25"/>
  <c r="F5250" i="25" s="1"/>
  <c r="H5251" i="25"/>
  <c r="E5251" i="25"/>
  <c r="F5251" i="25" s="1"/>
  <c r="H5252" i="25"/>
  <c r="E5252" i="25"/>
  <c r="F5252" i="25" s="1"/>
  <c r="H5253" i="25"/>
  <c r="E5253" i="25"/>
  <c r="F5253" i="25" s="1"/>
  <c r="H5254" i="25"/>
  <c r="E5254" i="25"/>
  <c r="F5254" i="25" s="1"/>
  <c r="H5255" i="25"/>
  <c r="E5255" i="25"/>
  <c r="F5255" i="25" s="1"/>
  <c r="H5256" i="25"/>
  <c r="E5256" i="25"/>
  <c r="F5256" i="25" s="1"/>
  <c r="H5257" i="25"/>
  <c r="E5257" i="25"/>
  <c r="F5257" i="25" s="1"/>
  <c r="H5258" i="25"/>
  <c r="E5258" i="25"/>
  <c r="F5258" i="25" s="1"/>
  <c r="H5259" i="25"/>
  <c r="E5259" i="25"/>
  <c r="F5259" i="25" s="1"/>
  <c r="H5260" i="25"/>
  <c r="E5260" i="25"/>
  <c r="F5260" i="25" s="1"/>
  <c r="H5261" i="25"/>
  <c r="E5261" i="25"/>
  <c r="F5261" i="25" s="1"/>
  <c r="H5262" i="25"/>
  <c r="E5262" i="25"/>
  <c r="F5262" i="25" s="1"/>
  <c r="H5263" i="25"/>
  <c r="E5263" i="25"/>
  <c r="F5263" i="25" s="1"/>
  <c r="E527" i="25"/>
  <c r="F529" i="25"/>
  <c r="M1338" i="25"/>
  <c r="R529" i="25"/>
  <c r="H8745" i="25"/>
  <c r="H8744" i="25"/>
  <c r="H8743" i="25"/>
  <c r="H8742" i="25"/>
  <c r="H8741" i="25"/>
  <c r="H8740" i="25"/>
  <c r="H8739" i="25"/>
  <c r="H8738" i="25"/>
  <c r="H8737" i="25"/>
  <c r="H8736" i="25"/>
  <c r="H8735" i="25"/>
  <c r="H8734" i="25"/>
  <c r="H8733" i="25"/>
  <c r="H8732" i="25"/>
  <c r="H8731" i="25"/>
  <c r="H8730" i="25"/>
  <c r="H8729" i="25"/>
  <c r="H8728" i="25"/>
  <c r="H8727" i="25"/>
  <c r="H8726" i="25"/>
  <c r="L5237" i="25"/>
  <c r="M1337" i="25"/>
  <c r="P529" i="25"/>
  <c r="Q529" i="25"/>
  <c r="E3096" i="25"/>
  <c r="F3096" i="25" s="1"/>
  <c r="I529" i="25"/>
  <c r="J529" i="25"/>
  <c r="K529" i="25"/>
  <c r="L529" i="25"/>
  <c r="M529" i="25"/>
  <c r="N529" i="25"/>
  <c r="O529" i="25"/>
  <c r="L2862" i="25"/>
  <c r="L2861" i="25"/>
  <c r="L2860" i="25"/>
  <c r="L2859" i="25"/>
  <c r="L2858" i="25"/>
  <c r="L2857" i="25"/>
  <c r="L2856" i="25"/>
  <c r="C3053" i="25"/>
  <c r="E3053" i="25" s="1"/>
  <c r="F3053" i="25" s="1"/>
  <c r="L5236" i="25"/>
  <c r="M1336" i="25"/>
  <c r="E2277" i="25"/>
  <c r="F2277" i="25" s="1"/>
  <c r="L2855" i="25"/>
  <c r="E2810" i="25"/>
  <c r="F2810" i="25" s="1"/>
  <c r="D2800" i="25"/>
  <c r="E2800" i="25" s="1"/>
  <c r="F2800" i="25" s="1"/>
  <c r="E2843" i="25"/>
  <c r="F2843" i="25" s="1"/>
  <c r="O1964" i="25"/>
  <c r="P1964" i="25" s="1"/>
  <c r="P1984" i="25"/>
  <c r="P1983" i="25"/>
  <c r="P1973" i="25"/>
  <c r="P1967" i="25"/>
  <c r="P1966" i="25"/>
  <c r="P1968" i="25"/>
  <c r="P1969" i="25"/>
  <c r="P1970" i="25"/>
  <c r="P1971" i="25"/>
  <c r="P1972" i="25"/>
  <c r="P1974" i="25"/>
  <c r="P1975" i="25"/>
  <c r="P1976" i="25"/>
  <c r="P1977" i="25"/>
  <c r="P1978" i="25"/>
  <c r="P1979" i="25"/>
  <c r="P1980" i="25"/>
  <c r="P1981" i="25"/>
  <c r="P1982" i="25"/>
  <c r="P1985" i="25"/>
  <c r="P1986" i="25"/>
  <c r="P1987" i="25"/>
  <c r="P1988" i="25"/>
  <c r="P1989" i="25"/>
  <c r="P1990" i="25"/>
  <c r="P1991" i="25"/>
  <c r="P1992" i="25"/>
  <c r="P1965" i="25"/>
  <c r="P1963" i="25"/>
  <c r="L1372" i="25"/>
  <c r="E2830" i="25"/>
  <c r="F2830" i="25" s="1"/>
  <c r="E2831" i="25"/>
  <c r="F2831" i="25" s="1"/>
  <c r="E2832" i="25"/>
  <c r="F2832" i="25" s="1"/>
  <c r="E2833" i="25"/>
  <c r="F2833" i="25" s="1"/>
  <c r="E2834" i="25"/>
  <c r="F2834" i="25" s="1"/>
  <c r="E2835" i="25"/>
  <c r="F2835" i="25" s="1"/>
  <c r="E2836" i="25"/>
  <c r="F2836" i="25" s="1"/>
  <c r="E2837" i="25"/>
  <c r="F2837" i="25" s="1"/>
  <c r="E2838" i="25"/>
  <c r="F2838" i="25" s="1"/>
  <c r="E2839" i="25"/>
  <c r="F2839" i="25" s="1"/>
  <c r="E2840" i="25"/>
  <c r="F2840" i="25" s="1"/>
  <c r="E2841" i="25"/>
  <c r="F2841" i="25" s="1"/>
  <c r="E2842" i="25"/>
  <c r="F2842" i="25" s="1"/>
  <c r="M1335" i="25"/>
  <c r="L1371" i="25"/>
  <c r="L3554" i="25"/>
  <c r="L3553" i="25"/>
  <c r="D2525" i="25"/>
  <c r="E2525" i="25" s="1"/>
  <c r="F2525" i="25" s="1"/>
  <c r="E3095" i="25"/>
  <c r="F3095" i="25" s="1"/>
  <c r="M1334" i="25"/>
  <c r="E2276" i="25"/>
  <c r="F2276" i="25" s="1"/>
  <c r="M1332" i="25"/>
  <c r="M1333" i="25"/>
  <c r="E3041" i="25"/>
  <c r="F3041" i="25" s="1"/>
  <c r="L3549" i="25"/>
  <c r="L3550" i="25"/>
  <c r="L3551" i="25"/>
  <c r="L3552" i="25"/>
  <c r="L1369" i="25"/>
  <c r="L1370" i="25"/>
  <c r="I1320" i="25"/>
  <c r="M1331" i="25"/>
  <c r="E3094" i="25"/>
  <c r="F3094" i="25" s="1"/>
  <c r="E3083" i="25"/>
  <c r="F3083" i="25" s="1"/>
  <c r="E3084" i="25"/>
  <c r="F3084" i="25" s="1"/>
  <c r="E3085" i="25"/>
  <c r="F3085" i="25" s="1"/>
  <c r="E3086" i="25"/>
  <c r="F3086" i="25" s="1"/>
  <c r="E3087" i="25"/>
  <c r="F3087" i="25" s="1"/>
  <c r="E3088" i="25"/>
  <c r="F3088" i="25" s="1"/>
  <c r="E3089" i="25"/>
  <c r="F3089" i="25" s="1"/>
  <c r="E3090" i="25"/>
  <c r="F3090" i="25" s="1"/>
  <c r="E3091" i="25"/>
  <c r="F3091" i="25" s="1"/>
  <c r="E3092" i="25"/>
  <c r="F3092" i="25" s="1"/>
  <c r="E3093" i="25"/>
  <c r="F3093" i="25" s="1"/>
  <c r="E1494" i="25"/>
  <c r="F1494" i="25" s="1"/>
  <c r="E1495" i="25"/>
  <c r="F1495" i="25" s="1"/>
  <c r="E1496" i="25"/>
  <c r="F1496" i="25" s="1"/>
  <c r="H3078" i="25"/>
  <c r="I3083" i="25"/>
  <c r="F599" i="25"/>
  <c r="AV38" i="29"/>
  <c r="AZ38" i="29" s="1"/>
  <c r="F2410" i="25"/>
  <c r="F3227" i="25"/>
  <c r="AV127" i="29"/>
  <c r="AW127" i="29" s="1"/>
  <c r="E926" i="25"/>
  <c r="F926" i="25" s="1"/>
  <c r="E922" i="25"/>
  <c r="F922" i="25" s="1"/>
  <c r="E923" i="25"/>
  <c r="F923" i="25" s="1"/>
  <c r="E924" i="25"/>
  <c r="F924" i="25" s="1"/>
  <c r="E925" i="25"/>
  <c r="F925" i="25" s="1"/>
  <c r="E927" i="25"/>
  <c r="F927" i="25" s="1"/>
  <c r="E928" i="25"/>
  <c r="F928" i="25" s="1"/>
  <c r="E929" i="25"/>
  <c r="F929" i="25" s="1"/>
  <c r="E930" i="25"/>
  <c r="F930" i="25" s="1"/>
  <c r="E931" i="25"/>
  <c r="F931" i="25" s="1"/>
  <c r="E932" i="25"/>
  <c r="F932" i="25" s="1"/>
  <c r="E933" i="25"/>
  <c r="F933" i="25" s="1"/>
  <c r="E934" i="25"/>
  <c r="F934" i="25" s="1"/>
  <c r="E935" i="25"/>
  <c r="F935" i="25" s="1"/>
  <c r="E936" i="25"/>
  <c r="F936" i="25" s="1"/>
  <c r="E937" i="25"/>
  <c r="F937" i="25" s="1"/>
  <c r="E938" i="25"/>
  <c r="F938" i="25" s="1"/>
  <c r="E939" i="25"/>
  <c r="F939" i="25" s="1"/>
  <c r="E940" i="25"/>
  <c r="F940" i="25" s="1"/>
  <c r="E941" i="25"/>
  <c r="F941" i="25" s="1"/>
  <c r="E942" i="25"/>
  <c r="F942" i="25" s="1"/>
  <c r="E943" i="25"/>
  <c r="F943" i="25" s="1"/>
  <c r="E944" i="25"/>
  <c r="F944" i="25" s="1"/>
  <c r="E945" i="25"/>
  <c r="F945" i="25" s="1"/>
  <c r="E946" i="25"/>
  <c r="F946" i="25" s="1"/>
  <c r="E947" i="25"/>
  <c r="F947" i="25" s="1"/>
  <c r="E948" i="25"/>
  <c r="F948" i="25" s="1"/>
  <c r="E949" i="25"/>
  <c r="F949" i="25" s="1"/>
  <c r="E950" i="25"/>
  <c r="F950" i="25" s="1"/>
  <c r="E921" i="25"/>
  <c r="F921" i="25" s="1"/>
  <c r="H4042" i="25"/>
  <c r="H4043" i="25"/>
  <c r="H4044" i="25"/>
  <c r="H4045" i="25"/>
  <c r="H4046" i="25"/>
  <c r="H4047" i="25"/>
  <c r="H4048" i="25"/>
  <c r="H4049" i="25"/>
  <c r="H4050" i="25"/>
  <c r="H4051" i="25"/>
  <c r="H4052" i="25"/>
  <c r="H4053" i="25"/>
  <c r="H4054" i="25"/>
  <c r="H4055" i="25"/>
  <c r="H4056" i="25"/>
  <c r="H4057" i="25"/>
  <c r="H4058" i="25"/>
  <c r="H4059" i="25"/>
  <c r="H4060" i="25"/>
  <c r="H4061" i="25"/>
  <c r="H4062" i="25"/>
  <c r="H4063" i="25"/>
  <c r="H4064" i="25"/>
  <c r="H4065" i="25"/>
  <c r="H4066" i="25"/>
  <c r="H4067" i="25"/>
  <c r="H4068" i="25"/>
  <c r="H4069" i="25"/>
  <c r="H4070" i="25"/>
  <c r="H4071" i="25"/>
  <c r="E3040" i="25"/>
  <c r="F3040" i="25" s="1"/>
  <c r="E2275" i="25"/>
  <c r="F2275" i="25" s="1"/>
  <c r="E1473" i="25"/>
  <c r="F1473" i="25" s="1"/>
  <c r="E1474" i="25"/>
  <c r="F1474" i="25" s="1"/>
  <c r="E1475" i="25"/>
  <c r="F1475" i="25" s="1"/>
  <c r="E1476" i="25"/>
  <c r="F1476" i="25" s="1"/>
  <c r="E1477" i="25"/>
  <c r="F1477" i="25" s="1"/>
  <c r="E1478" i="25"/>
  <c r="F1478" i="25" s="1"/>
  <c r="E1479" i="25"/>
  <c r="F1479" i="25" s="1"/>
  <c r="E1480" i="25"/>
  <c r="F1480" i="25" s="1"/>
  <c r="E1481" i="25"/>
  <c r="F1481" i="25" s="1"/>
  <c r="E1482" i="25"/>
  <c r="F1482" i="25" s="1"/>
  <c r="E1483" i="25"/>
  <c r="F1483" i="25" s="1"/>
  <c r="E1484" i="25"/>
  <c r="F1484" i="25" s="1"/>
  <c r="E1485" i="25"/>
  <c r="F1485" i="25" s="1"/>
  <c r="E1486" i="25"/>
  <c r="F1486" i="25" s="1"/>
  <c r="E1487" i="25"/>
  <c r="F1487" i="25" s="1"/>
  <c r="E1488" i="25"/>
  <c r="F1488" i="25" s="1"/>
  <c r="E1489" i="25"/>
  <c r="F1489" i="25" s="1"/>
  <c r="E1490" i="25"/>
  <c r="F1490" i="25" s="1"/>
  <c r="E1491" i="25"/>
  <c r="F1491" i="25" s="1"/>
  <c r="E1492" i="25"/>
  <c r="F1492" i="25" s="1"/>
  <c r="E1493" i="25"/>
  <c r="F1493" i="25" s="1"/>
  <c r="H5155" i="25"/>
  <c r="E5155" i="25"/>
  <c r="F5155" i="25" s="1"/>
  <c r="H5156" i="25"/>
  <c r="E5156" i="25"/>
  <c r="F5156" i="25" s="1"/>
  <c r="H5157" i="25"/>
  <c r="E5157" i="25"/>
  <c r="F5157" i="25" s="1"/>
  <c r="H5158" i="25"/>
  <c r="C5158" i="25"/>
  <c r="E5158" i="25" s="1"/>
  <c r="F5158" i="25" s="1"/>
  <c r="H5159" i="25"/>
  <c r="E5159" i="25"/>
  <c r="F5159" i="25" s="1"/>
  <c r="H5160" i="25"/>
  <c r="H5161" i="25"/>
  <c r="E5161" i="25"/>
  <c r="F5161" i="25" s="1"/>
  <c r="H5162" i="25"/>
  <c r="E5162" i="25"/>
  <c r="F5162" i="25" s="1"/>
  <c r="H5163" i="25"/>
  <c r="C5163" i="25"/>
  <c r="E5163" i="25" s="1"/>
  <c r="F5163" i="25" s="1"/>
  <c r="H5164" i="25"/>
  <c r="E5164" i="25"/>
  <c r="F5164" i="25" s="1"/>
  <c r="H5165" i="25"/>
  <c r="E5165" i="25"/>
  <c r="F5165" i="25" s="1"/>
  <c r="H5166" i="25"/>
  <c r="E5166" i="25"/>
  <c r="F5166" i="25" s="1"/>
  <c r="H5167" i="25"/>
  <c r="E5167" i="25"/>
  <c r="F5167" i="25" s="1"/>
  <c r="H5168" i="25"/>
  <c r="E5168" i="25"/>
  <c r="F5168" i="25" s="1"/>
  <c r="H5169" i="25"/>
  <c r="E5169" i="25"/>
  <c r="F5169" i="25" s="1"/>
  <c r="H5170" i="25"/>
  <c r="E5170" i="25"/>
  <c r="F5170" i="25" s="1"/>
  <c r="H5171" i="25"/>
  <c r="E5171" i="25"/>
  <c r="F5171" i="25" s="1"/>
  <c r="H5172" i="25"/>
  <c r="E5172" i="25"/>
  <c r="F5172" i="25" s="1"/>
  <c r="H5173" i="25"/>
  <c r="E5173" i="25"/>
  <c r="F5173" i="25" s="1"/>
  <c r="H5174" i="25"/>
  <c r="E5174" i="25"/>
  <c r="F5174" i="25" s="1"/>
  <c r="H5175" i="25"/>
  <c r="H5176" i="25"/>
  <c r="E5176" i="25"/>
  <c r="F5176" i="25" s="1"/>
  <c r="H5177" i="25"/>
  <c r="E5177" i="25"/>
  <c r="F5177" i="25" s="1"/>
  <c r="H5178" i="25"/>
  <c r="E5178" i="25"/>
  <c r="F5178" i="25" s="1"/>
  <c r="H5179" i="25"/>
  <c r="E5179" i="25"/>
  <c r="F5179" i="25" s="1"/>
  <c r="H5180" i="25"/>
  <c r="E5180" i="25"/>
  <c r="F5180" i="25" s="1"/>
  <c r="H5181" i="25"/>
  <c r="E5181" i="25"/>
  <c r="F5181" i="25" s="1"/>
  <c r="H5182" i="25"/>
  <c r="E5182" i="25"/>
  <c r="F5182" i="25" s="1"/>
  <c r="H5183" i="25"/>
  <c r="E5183" i="25"/>
  <c r="F5183" i="25" s="1"/>
  <c r="H5184" i="25"/>
  <c r="E5184" i="25"/>
  <c r="F5184" i="25" s="1"/>
  <c r="L1270" i="25"/>
  <c r="E3036" i="25"/>
  <c r="F3036" i="25" s="1"/>
  <c r="E3037" i="25"/>
  <c r="F3037" i="25" s="1"/>
  <c r="E3038" i="25"/>
  <c r="F3038" i="25" s="1"/>
  <c r="E3039" i="25"/>
  <c r="F3039" i="25" s="1"/>
  <c r="E3035" i="25"/>
  <c r="F3035" i="25" s="1"/>
  <c r="E3552" i="25"/>
  <c r="F3552" i="25" s="1"/>
  <c r="H3553" i="25"/>
  <c r="E3553" i="25"/>
  <c r="F3553" i="25" s="1"/>
  <c r="H3555" i="25"/>
  <c r="E3555" i="25"/>
  <c r="F3555" i="25" s="1"/>
  <c r="H3564" i="25"/>
  <c r="E3564" i="25"/>
  <c r="F3564" i="25" s="1"/>
  <c r="H3558" i="25"/>
  <c r="E3558" i="25"/>
  <c r="F3558" i="25" s="1"/>
  <c r="H3559" i="25"/>
  <c r="E3559" i="25"/>
  <c r="F3559" i="25" s="1"/>
  <c r="H3551" i="25"/>
  <c r="E3551" i="25"/>
  <c r="F3551" i="25" s="1"/>
  <c r="H3560" i="25"/>
  <c r="E3560" i="25"/>
  <c r="F3560" i="25" s="1"/>
  <c r="H3549" i="25"/>
  <c r="E3549" i="25"/>
  <c r="F3549" i="25" s="1"/>
  <c r="H3550" i="25"/>
  <c r="E3550" i="25"/>
  <c r="F3550" i="25" s="1"/>
  <c r="E3554" i="25"/>
  <c r="F3554" i="25" s="1"/>
  <c r="E3556" i="25"/>
  <c r="F3556" i="25" s="1"/>
  <c r="E3557" i="25"/>
  <c r="F3557" i="25" s="1"/>
  <c r="E3561" i="25"/>
  <c r="F3561" i="25" s="1"/>
  <c r="E3562" i="25"/>
  <c r="F3562" i="25" s="1"/>
  <c r="E3563" i="25"/>
  <c r="F3563" i="25" s="1"/>
  <c r="H3562" i="25"/>
  <c r="H3561" i="25"/>
  <c r="H3554" i="25"/>
  <c r="H3556" i="25"/>
  <c r="H3557" i="25"/>
  <c r="H3563" i="25"/>
  <c r="E3029" i="25"/>
  <c r="F3029" i="25" s="1"/>
  <c r="E3030" i="25"/>
  <c r="F3030" i="25" s="1"/>
  <c r="E3031" i="25"/>
  <c r="F3031" i="25" s="1"/>
  <c r="E3032" i="25"/>
  <c r="F3032" i="25" s="1"/>
  <c r="E3033" i="25"/>
  <c r="F3033" i="25" s="1"/>
  <c r="E3034" i="25"/>
  <c r="F3034" i="25" s="1"/>
  <c r="F3230" i="25"/>
  <c r="F3233" i="25" s="1"/>
  <c r="H2550" i="25"/>
  <c r="C2550" i="25"/>
  <c r="E2550" i="25" s="1"/>
  <c r="F2550" i="25" s="1"/>
  <c r="H2523" i="25"/>
  <c r="E2523" i="25"/>
  <c r="F2523" i="25" s="1"/>
  <c r="H2524" i="25"/>
  <c r="E2524" i="25"/>
  <c r="F2524" i="25" s="1"/>
  <c r="H2525" i="25"/>
  <c r="H2526" i="25"/>
  <c r="E2526" i="25"/>
  <c r="F2526" i="25" s="1"/>
  <c r="H2527" i="25"/>
  <c r="E2527" i="25"/>
  <c r="F2527" i="25" s="1"/>
  <c r="H2528" i="25"/>
  <c r="E2528" i="25"/>
  <c r="F2528" i="25" s="1"/>
  <c r="H2529" i="25"/>
  <c r="E2529" i="25"/>
  <c r="F2529" i="25" s="1"/>
  <c r="H2530" i="25"/>
  <c r="E2530" i="25"/>
  <c r="F2530" i="25" s="1"/>
  <c r="H2531" i="25"/>
  <c r="E2531" i="25"/>
  <c r="F2531" i="25" s="1"/>
  <c r="H2532" i="25"/>
  <c r="E2532" i="25"/>
  <c r="F2532" i="25" s="1"/>
  <c r="H2533" i="25"/>
  <c r="C2533" i="25"/>
  <c r="E2533" i="25" s="1"/>
  <c r="F2533" i="25" s="1"/>
  <c r="H2534" i="25"/>
  <c r="E2534" i="25"/>
  <c r="F2534" i="25" s="1"/>
  <c r="H2535" i="25"/>
  <c r="E2535" i="25"/>
  <c r="F2535" i="25" s="1"/>
  <c r="H2536" i="25"/>
  <c r="E2536" i="25"/>
  <c r="F2536" i="25" s="1"/>
  <c r="H2537" i="25"/>
  <c r="E2537" i="25"/>
  <c r="F2537" i="25" s="1"/>
  <c r="H2538" i="25"/>
  <c r="E2538" i="25"/>
  <c r="F2538" i="25" s="1"/>
  <c r="H2539" i="25"/>
  <c r="E2539" i="25"/>
  <c r="F2539" i="25" s="1"/>
  <c r="H2540" i="25"/>
  <c r="E2540" i="25"/>
  <c r="F2540" i="25" s="1"/>
  <c r="H2541" i="25"/>
  <c r="E2541" i="25"/>
  <c r="F2541" i="25" s="1"/>
  <c r="H2542" i="25"/>
  <c r="E2542" i="25"/>
  <c r="F2542" i="25" s="1"/>
  <c r="H2543" i="25"/>
  <c r="E2543" i="25"/>
  <c r="F2543" i="25" s="1"/>
  <c r="H2544" i="25"/>
  <c r="E2544" i="25"/>
  <c r="F2544" i="25" s="1"/>
  <c r="H2545" i="25"/>
  <c r="E2545" i="25"/>
  <c r="F2545" i="25" s="1"/>
  <c r="H2546" i="25"/>
  <c r="E2546" i="25"/>
  <c r="F2546" i="25" s="1"/>
  <c r="H2547" i="25"/>
  <c r="E2547" i="25"/>
  <c r="F2547" i="25" s="1"/>
  <c r="H2548" i="25"/>
  <c r="E2548" i="25"/>
  <c r="F2548" i="25" s="1"/>
  <c r="H2549" i="25"/>
  <c r="E2549" i="25"/>
  <c r="F2549" i="25" s="1"/>
  <c r="H2551" i="25"/>
  <c r="E2551" i="25"/>
  <c r="F2551" i="25" s="1"/>
  <c r="E2264" i="25"/>
  <c r="F2264" i="25" s="1"/>
  <c r="E2265" i="25"/>
  <c r="F2265" i="25" s="1"/>
  <c r="E2266" i="25"/>
  <c r="F2266" i="25" s="1"/>
  <c r="E2267" i="25"/>
  <c r="F2267" i="25" s="1"/>
  <c r="E2268" i="25"/>
  <c r="F2268" i="25" s="1"/>
  <c r="E2269" i="25"/>
  <c r="F2269" i="25" s="1"/>
  <c r="E2270" i="25"/>
  <c r="F2270" i="25" s="1"/>
  <c r="E2271" i="25"/>
  <c r="F2271" i="25" s="1"/>
  <c r="E2272" i="25"/>
  <c r="F2272" i="25" s="1"/>
  <c r="E2273" i="25"/>
  <c r="F2273" i="25" s="1"/>
  <c r="E2274" i="25"/>
  <c r="F2274" i="25" s="1"/>
  <c r="F801" i="25"/>
  <c r="AV46" i="29"/>
  <c r="AW46" i="29" s="1"/>
  <c r="F524" i="25"/>
  <c r="AV32" i="29"/>
  <c r="AZ32" i="29" s="1"/>
  <c r="F436" i="25"/>
  <c r="AV28" i="29"/>
  <c r="AZ28" i="29" s="1"/>
  <c r="F423" i="25"/>
  <c r="AV27" i="29"/>
  <c r="AZ27" i="29" s="1"/>
  <c r="F410" i="25"/>
  <c r="AV26" i="29"/>
  <c r="AZ26" i="29" s="1"/>
  <c r="K2869" i="25"/>
  <c r="H1368" i="25"/>
  <c r="H1369" i="25"/>
  <c r="H1370" i="25"/>
  <c r="E1370" i="25"/>
  <c r="F1370" i="25" s="1"/>
  <c r="H1371" i="25"/>
  <c r="E1371" i="25"/>
  <c r="F1371" i="25" s="1"/>
  <c r="H1372" i="25"/>
  <c r="E1372" i="25"/>
  <c r="F1372" i="25" s="1"/>
  <c r="H1373" i="25"/>
  <c r="E1373" i="25"/>
  <c r="F1373" i="25" s="1"/>
  <c r="H1374" i="25"/>
  <c r="E1374" i="25"/>
  <c r="F1374" i="25" s="1"/>
  <c r="H1375" i="25"/>
  <c r="E1375" i="25"/>
  <c r="F1375" i="25" s="1"/>
  <c r="H1376" i="25"/>
  <c r="E1376" i="25"/>
  <c r="F1376" i="25" s="1"/>
  <c r="H1377" i="25"/>
  <c r="E1377" i="25"/>
  <c r="F1377" i="25" s="1"/>
  <c r="H1378" i="25"/>
  <c r="E1378" i="25"/>
  <c r="F1378" i="25" s="1"/>
  <c r="H1379" i="25"/>
  <c r="E1379" i="25"/>
  <c r="F1379" i="25" s="1"/>
  <c r="E1380" i="25"/>
  <c r="F1380" i="25" s="1"/>
  <c r="H1381" i="25"/>
  <c r="E1381" i="25"/>
  <c r="F1381" i="25" s="1"/>
  <c r="H1382" i="25"/>
  <c r="H1383" i="25"/>
  <c r="E1383" i="25"/>
  <c r="F1383" i="25" s="1"/>
  <c r="H1384" i="25"/>
  <c r="E1384" i="25"/>
  <c r="F1384" i="25" s="1"/>
  <c r="H1385" i="25"/>
  <c r="E1385" i="25"/>
  <c r="F1385" i="25" s="1"/>
  <c r="H1386" i="25"/>
  <c r="E1386" i="25"/>
  <c r="F1386" i="25" s="1"/>
  <c r="H1387" i="25"/>
  <c r="E1387" i="25"/>
  <c r="F1387" i="25" s="1"/>
  <c r="H1388" i="25"/>
  <c r="E1388" i="25"/>
  <c r="F1388" i="25" s="1"/>
  <c r="H1389" i="25"/>
  <c r="E1389" i="25"/>
  <c r="F1389" i="25" s="1"/>
  <c r="H1390" i="25"/>
  <c r="E1390" i="25"/>
  <c r="F1390" i="25" s="1"/>
  <c r="H1391" i="25"/>
  <c r="E1391" i="25"/>
  <c r="F1391" i="25" s="1"/>
  <c r="H1392" i="25"/>
  <c r="E1392" i="25"/>
  <c r="F1392" i="25" s="1"/>
  <c r="H1393" i="25"/>
  <c r="E1393" i="25"/>
  <c r="F1393" i="25" s="1"/>
  <c r="H1394" i="25"/>
  <c r="E1394" i="25"/>
  <c r="F1394" i="25" s="1"/>
  <c r="H1395" i="25"/>
  <c r="E1395" i="25"/>
  <c r="F1395" i="25" s="1"/>
  <c r="H1396" i="25"/>
  <c r="E1396" i="25"/>
  <c r="F1396" i="25" s="1"/>
  <c r="H1397" i="25"/>
  <c r="E1397" i="25"/>
  <c r="F1397" i="25" s="1"/>
  <c r="L1259" i="25"/>
  <c r="L1260" i="25"/>
  <c r="L1261" i="25"/>
  <c r="L1262" i="25"/>
  <c r="L1263" i="25"/>
  <c r="L1264" i="25"/>
  <c r="L1265" i="25"/>
  <c r="L1266" i="25"/>
  <c r="L1267" i="25"/>
  <c r="L1268" i="25"/>
  <c r="L1269" i="25"/>
  <c r="J1139" i="25"/>
  <c r="F1736" i="25"/>
  <c r="AV80" i="29"/>
  <c r="AZ80" i="29" s="1"/>
  <c r="F779" i="25"/>
  <c r="F879" i="25"/>
  <c r="F890" i="25"/>
  <c r="F915" i="25"/>
  <c r="F1029" i="25"/>
  <c r="F4036" i="25"/>
  <c r="F4845" i="25"/>
  <c r="I988" i="25"/>
  <c r="F989" i="25" s="1"/>
  <c r="F991" i="25" s="1"/>
  <c r="E855" i="25"/>
  <c r="E854" i="25"/>
  <c r="E856" i="25"/>
  <c r="E857" i="25"/>
  <c r="E858" i="25"/>
  <c r="E859" i="25"/>
  <c r="E860" i="25"/>
  <c r="E861" i="25"/>
  <c r="E862" i="25"/>
  <c r="E863" i="25"/>
  <c r="E864" i="25"/>
  <c r="E865" i="25"/>
  <c r="E852" i="25"/>
  <c r="E866" i="25"/>
  <c r="F584" i="25"/>
  <c r="AR37" i="29"/>
  <c r="AS37" i="29" s="1"/>
  <c r="F176" i="25"/>
  <c r="E3296" i="25"/>
  <c r="F3296" i="25" s="1"/>
  <c r="E3297" i="25"/>
  <c r="F3297" i="25" s="1"/>
  <c r="E3298" i="25"/>
  <c r="F3298" i="25" s="1"/>
  <c r="F2180" i="25"/>
  <c r="AV96" i="29" s="1"/>
  <c r="AZ96" i="29" s="1"/>
  <c r="H1184" i="25"/>
  <c r="E4024" i="25"/>
  <c r="H2444" i="25"/>
  <c r="D650" i="25"/>
  <c r="E650" i="25" s="1"/>
  <c r="F650" i="25" s="1"/>
  <c r="E4023" i="25"/>
  <c r="E4022" i="25"/>
  <c r="E2179" i="25"/>
  <c r="E678" i="25"/>
  <c r="F678" i="25" s="1"/>
  <c r="E667" i="25"/>
  <c r="F667" i="25" s="1"/>
  <c r="E668" i="25"/>
  <c r="F668" i="25" s="1"/>
  <c r="E669" i="25"/>
  <c r="F669" i="25" s="1"/>
  <c r="E670" i="25"/>
  <c r="F670" i="25" s="1"/>
  <c r="E671" i="25"/>
  <c r="F671" i="25" s="1"/>
  <c r="E672" i="25"/>
  <c r="F672" i="25" s="1"/>
  <c r="E673" i="25"/>
  <c r="F673" i="25" s="1"/>
  <c r="E674" i="25"/>
  <c r="F674" i="25" s="1"/>
  <c r="E675" i="25"/>
  <c r="F675" i="25" s="1"/>
  <c r="E676" i="25"/>
  <c r="F676" i="25" s="1"/>
  <c r="E677" i="25"/>
  <c r="F677" i="25" s="1"/>
  <c r="E2178" i="25"/>
  <c r="E2675" i="25"/>
  <c r="F2675" i="25" s="1"/>
  <c r="E2687" i="25"/>
  <c r="F2687" i="25" s="1"/>
  <c r="E2660" i="25"/>
  <c r="F2660" i="25" s="1"/>
  <c r="E2661" i="25"/>
  <c r="F2661" i="25" s="1"/>
  <c r="E2662" i="25"/>
  <c r="F2662" i="25" s="1"/>
  <c r="E2665" i="25"/>
  <c r="F2665" i="25" s="1"/>
  <c r="E2666" i="25"/>
  <c r="F2666" i="25" s="1"/>
  <c r="E2667" i="25"/>
  <c r="F2667" i="25" s="1"/>
  <c r="E2668" i="25"/>
  <c r="F2668" i="25" s="1"/>
  <c r="E2669" i="25"/>
  <c r="F2669" i="25" s="1"/>
  <c r="E2670" i="25"/>
  <c r="F2670" i="25" s="1"/>
  <c r="E2672" i="25"/>
  <c r="F2672" i="25" s="1"/>
  <c r="E2673" i="25"/>
  <c r="F2673" i="25" s="1"/>
  <c r="E2676" i="25"/>
  <c r="F2676" i="25" s="1"/>
  <c r="E2677" i="25"/>
  <c r="F2677" i="25" s="1"/>
  <c r="E2678" i="25"/>
  <c r="F2678" i="25" s="1"/>
  <c r="E2680" i="25"/>
  <c r="F2680" i="25" s="1"/>
  <c r="E2681" i="25"/>
  <c r="F2681" i="25" s="1"/>
  <c r="E2682" i="25"/>
  <c r="F2682" i="25" s="1"/>
  <c r="E2683" i="25"/>
  <c r="F2683" i="25" s="1"/>
  <c r="E2674" i="25"/>
  <c r="F2674" i="25" s="1"/>
  <c r="E2663" i="25"/>
  <c r="F2663" i="25" s="1"/>
  <c r="C2664" i="25"/>
  <c r="E2664" i="25" s="1"/>
  <c r="F2664" i="25" s="1"/>
  <c r="E2671" i="25"/>
  <c r="F2671" i="25" s="1"/>
  <c r="E2679" i="25"/>
  <c r="F2679" i="25" s="1"/>
  <c r="E2684" i="25"/>
  <c r="F2684" i="25" s="1"/>
  <c r="E2685" i="25"/>
  <c r="F2685" i="25" s="1"/>
  <c r="E2686" i="25"/>
  <c r="F2686" i="25" s="1"/>
  <c r="E2688" i="25"/>
  <c r="F2688" i="25" s="1"/>
  <c r="E2689" i="25"/>
  <c r="F2689" i="25" s="1"/>
  <c r="F163" i="25"/>
  <c r="F150" i="25"/>
  <c r="E2177" i="25"/>
  <c r="E4021" i="25"/>
  <c r="E4550" i="25"/>
  <c r="E4020" i="25"/>
  <c r="E2176" i="25"/>
  <c r="F336" i="25"/>
  <c r="E4019" i="25"/>
  <c r="E4018" i="25"/>
  <c r="E2175" i="25"/>
  <c r="E2174" i="25"/>
  <c r="C649" i="25"/>
  <c r="E649" i="25" s="1"/>
  <c r="F649" i="25" s="1"/>
  <c r="C1589" i="25"/>
  <c r="E1589" i="25" s="1"/>
  <c r="F1589" i="25" s="1"/>
  <c r="C1272" i="25"/>
  <c r="C4823" i="25"/>
  <c r="C3058" i="25"/>
  <c r="E3058" i="25" s="1"/>
  <c r="F3058" i="25" s="1"/>
  <c r="C2732" i="25"/>
  <c r="C2426" i="25"/>
  <c r="E2426" i="25" s="1"/>
  <c r="F2426" i="25" s="1"/>
  <c r="E4016" i="25"/>
  <c r="E4017" i="25"/>
  <c r="E2172" i="25"/>
  <c r="E2173" i="25"/>
  <c r="C3178" i="25"/>
  <c r="E3178" i="25" s="1"/>
  <c r="E3183" i="25"/>
  <c r="E3184" i="25"/>
  <c r="C3185" i="25"/>
  <c r="E3185" i="25" s="1"/>
  <c r="E3186" i="25"/>
  <c r="E3187" i="25"/>
  <c r="E3168" i="25"/>
  <c r="E3169" i="25"/>
  <c r="E3170" i="25"/>
  <c r="E3171" i="25"/>
  <c r="E3172" i="25"/>
  <c r="C1602" i="25"/>
  <c r="E1602" i="25" s="1"/>
  <c r="F1602" i="25" s="1"/>
  <c r="C1565" i="25"/>
  <c r="E1565" i="25" s="1"/>
  <c r="F1565" i="25" s="1"/>
  <c r="C4817" i="25"/>
  <c r="C1594" i="25"/>
  <c r="E1594" i="25" s="1"/>
  <c r="F1594" i="25" s="1"/>
  <c r="C1557" i="25"/>
  <c r="E1557" i="25" s="1"/>
  <c r="F1557" i="25" s="1"/>
  <c r="C1267" i="25"/>
  <c r="C828" i="25"/>
  <c r="C693" i="25"/>
  <c r="C611" i="25"/>
  <c r="C305" i="25"/>
  <c r="E4015" i="25"/>
  <c r="E4014" i="25"/>
  <c r="E2171" i="25"/>
  <c r="E1429" i="25"/>
  <c r="E2060" i="25"/>
  <c r="E4547" i="25"/>
  <c r="F282" i="25"/>
  <c r="F511" i="25"/>
  <c r="F220" i="25"/>
  <c r="E2170" i="25"/>
  <c r="E2059" i="25"/>
  <c r="E4546" i="25"/>
  <c r="E1428" i="25"/>
  <c r="F293" i="25"/>
  <c r="E1470" i="25"/>
  <c r="H3363" i="25"/>
  <c r="E4013" i="25"/>
  <c r="E2169" i="25"/>
  <c r="H658" i="25"/>
  <c r="E658" i="25"/>
  <c r="F658" i="25" s="1"/>
  <c r="H1273" i="25"/>
  <c r="D1273" i="25" s="1"/>
  <c r="E1273" i="25" s="1"/>
  <c r="F1273" i="25" s="1"/>
  <c r="H650" i="25"/>
  <c r="H4814" i="25"/>
  <c r="D4814" i="25" s="1"/>
  <c r="E4814" i="25" s="1"/>
  <c r="H3179" i="25"/>
  <c r="H3177" i="25"/>
  <c r="H3052" i="25"/>
  <c r="H2999" i="25"/>
  <c r="H2970" i="25"/>
  <c r="H2800" i="25"/>
  <c r="H2417" i="25"/>
  <c r="F790" i="25"/>
  <c r="F459" i="25"/>
  <c r="E719" i="25"/>
  <c r="F719" i="25" s="1"/>
  <c r="E730" i="25"/>
  <c r="F730" i="25" s="1"/>
  <c r="E731" i="25"/>
  <c r="F731" i="25" s="1"/>
  <c r="E732" i="25"/>
  <c r="F732" i="25" s="1"/>
  <c r="E741" i="25"/>
  <c r="F741" i="25" s="1"/>
  <c r="E746" i="25"/>
  <c r="F746" i="25" s="1"/>
  <c r="E749" i="25"/>
  <c r="F749" i="25" s="1"/>
  <c r="E751" i="25"/>
  <c r="F751" i="25" s="1"/>
  <c r="I3000" i="25"/>
  <c r="H2998" i="25"/>
  <c r="H3000" i="25"/>
  <c r="H3001" i="25"/>
  <c r="H3002" i="25"/>
  <c r="H3003" i="25"/>
  <c r="H3004" i="25"/>
  <c r="H3005" i="25"/>
  <c r="H3006" i="25"/>
  <c r="H3007" i="25"/>
  <c r="H3008" i="25"/>
  <c r="H3009" i="25"/>
  <c r="H3010" i="25"/>
  <c r="H3011" i="25"/>
  <c r="H3012" i="25"/>
  <c r="H3013" i="25"/>
  <c r="H3014" i="25"/>
  <c r="H3015" i="25"/>
  <c r="H3016" i="25"/>
  <c r="H3017" i="25"/>
  <c r="H3018" i="25"/>
  <c r="H3019" i="25"/>
  <c r="H3020" i="25"/>
  <c r="H3021" i="25"/>
  <c r="H3022" i="25"/>
  <c r="H3023" i="25"/>
  <c r="H3024" i="25"/>
  <c r="H3025" i="25"/>
  <c r="H3026" i="25"/>
  <c r="H2997" i="25"/>
  <c r="H2799" i="25"/>
  <c r="H2801" i="25"/>
  <c r="H2802" i="25"/>
  <c r="H2803" i="25"/>
  <c r="H2804" i="25"/>
  <c r="H2805" i="25"/>
  <c r="H2806" i="25"/>
  <c r="H2807" i="25"/>
  <c r="H2809" i="25"/>
  <c r="D2809" i="25" s="1"/>
  <c r="E2809" i="25" s="1"/>
  <c r="F2809" i="25" s="1"/>
  <c r="H2810" i="25"/>
  <c r="H2811" i="25"/>
  <c r="H2812" i="25"/>
  <c r="H2813" i="25"/>
  <c r="H2814" i="25"/>
  <c r="H2815" i="25"/>
  <c r="H2816" i="25"/>
  <c r="H2817" i="25"/>
  <c r="H2818" i="25"/>
  <c r="H2819" i="25"/>
  <c r="H2820" i="25"/>
  <c r="H2821" i="25"/>
  <c r="H2822" i="25"/>
  <c r="H2823" i="25"/>
  <c r="H2824" i="25"/>
  <c r="H2825" i="25"/>
  <c r="H2826" i="25"/>
  <c r="H2827" i="25"/>
  <c r="H2798" i="25"/>
  <c r="E4012" i="25"/>
  <c r="E4011" i="25"/>
  <c r="E2168" i="25"/>
  <c r="E2167" i="25"/>
  <c r="H5524" i="25"/>
  <c r="H5525" i="25"/>
  <c r="H5526" i="25"/>
  <c r="H5527" i="25"/>
  <c r="H5528" i="25"/>
  <c r="H5523" i="25"/>
  <c r="F2369" i="25"/>
  <c r="E4812" i="25"/>
  <c r="E3166" i="25"/>
  <c r="E2968" i="25"/>
  <c r="E2922" i="25"/>
  <c r="E1809" i="25"/>
  <c r="E919" i="25"/>
  <c r="E685" i="25"/>
  <c r="E603" i="25"/>
  <c r="E297" i="25"/>
  <c r="E752" i="25"/>
  <c r="E73" i="25"/>
  <c r="E76" i="25"/>
  <c r="E1453" i="25"/>
  <c r="E718" i="25"/>
  <c r="E720" i="25"/>
  <c r="E721" i="25"/>
  <c r="E722" i="25"/>
  <c r="E723" i="25"/>
  <c r="E724" i="25"/>
  <c r="E725" i="25"/>
  <c r="E726" i="25"/>
  <c r="E727" i="25"/>
  <c r="E728" i="25"/>
  <c r="E729" i="25"/>
  <c r="E733" i="25"/>
  <c r="E734" i="25"/>
  <c r="E735" i="25"/>
  <c r="E736" i="25"/>
  <c r="E737" i="25"/>
  <c r="E738" i="25"/>
  <c r="E739" i="25"/>
  <c r="E740" i="25"/>
  <c r="E742" i="25"/>
  <c r="E743" i="25"/>
  <c r="E744" i="25"/>
  <c r="E745" i="25"/>
  <c r="E747" i="25"/>
  <c r="E748" i="25"/>
  <c r="E750" i="25"/>
  <c r="H687" i="25"/>
  <c r="D687" i="25" s="1"/>
  <c r="E687" i="25" s="1"/>
  <c r="H688" i="25"/>
  <c r="D688" i="25" s="1"/>
  <c r="E688" i="25" s="1"/>
  <c r="H689" i="25"/>
  <c r="D689" i="25" s="1"/>
  <c r="H690" i="25"/>
  <c r="D690" i="25" s="1"/>
  <c r="E690" i="25" s="1"/>
  <c r="H691" i="25"/>
  <c r="D691" i="25" s="1"/>
  <c r="E691" i="25" s="1"/>
  <c r="H692" i="25"/>
  <c r="D692" i="25" s="1"/>
  <c r="H693" i="25"/>
  <c r="D693" i="25" s="1"/>
  <c r="H694" i="25"/>
  <c r="D694" i="25" s="1"/>
  <c r="E694" i="25" s="1"/>
  <c r="H696" i="25"/>
  <c r="D696" i="25" s="1"/>
  <c r="H697" i="25"/>
  <c r="D697" i="25" s="1"/>
  <c r="E697" i="25" s="1"/>
  <c r="H698" i="25"/>
  <c r="D698" i="25" s="1"/>
  <c r="E698" i="25" s="1"/>
  <c r="H699" i="25"/>
  <c r="D699" i="25" s="1"/>
  <c r="H700" i="25"/>
  <c r="D700" i="25" s="1"/>
  <c r="E700" i="25" s="1"/>
  <c r="H701" i="25"/>
  <c r="D701" i="25" s="1"/>
  <c r="E701" i="25" s="1"/>
  <c r="H702" i="25"/>
  <c r="D702" i="25" s="1"/>
  <c r="E702" i="25" s="1"/>
  <c r="H703" i="25"/>
  <c r="D703" i="25" s="1"/>
  <c r="E703" i="25" s="1"/>
  <c r="H704" i="25"/>
  <c r="D704" i="25" s="1"/>
  <c r="E704" i="25" s="1"/>
  <c r="H705" i="25"/>
  <c r="D705" i="25" s="1"/>
  <c r="E705" i="25" s="1"/>
  <c r="H706" i="25"/>
  <c r="D706" i="25" s="1"/>
  <c r="E706" i="25" s="1"/>
  <c r="H5058" i="25"/>
  <c r="H5059" i="25"/>
  <c r="H5060" i="25"/>
  <c r="H5061" i="25"/>
  <c r="H5062" i="25"/>
  <c r="H5063" i="25"/>
  <c r="H5064" i="25"/>
  <c r="H5065" i="25"/>
  <c r="H5066" i="25"/>
  <c r="H5067" i="25"/>
  <c r="E5058" i="25"/>
  <c r="F5058" i="25" s="1"/>
  <c r="E5059" i="25"/>
  <c r="F5059" i="25" s="1"/>
  <c r="E5060" i="25"/>
  <c r="F5060" i="25" s="1"/>
  <c r="E5061" i="25"/>
  <c r="F5061" i="25" s="1"/>
  <c r="E5062" i="25"/>
  <c r="F5062" i="25" s="1"/>
  <c r="E5063" i="25"/>
  <c r="F5063" i="25" s="1"/>
  <c r="E5064" i="25"/>
  <c r="F5064" i="25" s="1"/>
  <c r="E5065" i="25"/>
  <c r="F5065" i="25" s="1"/>
  <c r="E5066" i="25"/>
  <c r="F5066" i="25" s="1"/>
  <c r="E5067" i="25"/>
  <c r="F5067" i="25" s="1"/>
  <c r="E137" i="25"/>
  <c r="D1716" i="25"/>
  <c r="H4491" i="25"/>
  <c r="H4492" i="25"/>
  <c r="H4493" i="25"/>
  <c r="H4494" i="25"/>
  <c r="H4495" i="25"/>
  <c r="H4496" i="25"/>
  <c r="H4497" i="25"/>
  <c r="H4498" i="25"/>
  <c r="H4499" i="25"/>
  <c r="H4500" i="25"/>
  <c r="H4501" i="25"/>
  <c r="H4502" i="25"/>
  <c r="H4503" i="25"/>
  <c r="H4504" i="25"/>
  <c r="H4505" i="25"/>
  <c r="H4506" i="25"/>
  <c r="H4507" i="25"/>
  <c r="H4508" i="25"/>
  <c r="H4509" i="25"/>
  <c r="H4510" i="25"/>
  <c r="H4511" i="25"/>
  <c r="H4512" i="25"/>
  <c r="H4513" i="25"/>
  <c r="H4514" i="25"/>
  <c r="H4515" i="25"/>
  <c r="H4516" i="25"/>
  <c r="H4517" i="25"/>
  <c r="H4518" i="25"/>
  <c r="H4519" i="25"/>
  <c r="H4520" i="25"/>
  <c r="E4009" i="25"/>
  <c r="E4010" i="25"/>
  <c r="E2166" i="25"/>
  <c r="E2165" i="25"/>
  <c r="E4542" i="25"/>
  <c r="E4541" i="25"/>
  <c r="E3294" i="25"/>
  <c r="E3295" i="25"/>
  <c r="E2054" i="25"/>
  <c r="E2055" i="25"/>
  <c r="E1424" i="25"/>
  <c r="E1235" i="25"/>
  <c r="E209" i="25"/>
  <c r="E126" i="25"/>
  <c r="H4815" i="25"/>
  <c r="D4815" i="25" s="1"/>
  <c r="E4815" i="25" s="1"/>
  <c r="H4816" i="25"/>
  <c r="D4816" i="25" s="1"/>
  <c r="E4816" i="25" s="1"/>
  <c r="H4817" i="25"/>
  <c r="D4817" i="25" s="1"/>
  <c r="H4818" i="25"/>
  <c r="D4818" i="25" s="1"/>
  <c r="E4818" i="25" s="1"/>
  <c r="H4819" i="25"/>
  <c r="D4819" i="25" s="1"/>
  <c r="E4819" i="25" s="1"/>
  <c r="H4820" i="25"/>
  <c r="D4820" i="25" s="1"/>
  <c r="E4820" i="25" s="1"/>
  <c r="H4821" i="25"/>
  <c r="D4821" i="25" s="1"/>
  <c r="E4821" i="25" s="1"/>
  <c r="H4822" i="25"/>
  <c r="D4822" i="25" s="1"/>
  <c r="E4822" i="25" s="1"/>
  <c r="H4823" i="25"/>
  <c r="D4823" i="25" s="1"/>
  <c r="H4824" i="25"/>
  <c r="D4824" i="25" s="1"/>
  <c r="E4824" i="25" s="1"/>
  <c r="H4825" i="25"/>
  <c r="D4825" i="25" s="1"/>
  <c r="E4825" i="25" s="1"/>
  <c r="H4826" i="25"/>
  <c r="D4826" i="25" s="1"/>
  <c r="E4826" i="25" s="1"/>
  <c r="H4827" i="25"/>
  <c r="D4827" i="25" s="1"/>
  <c r="E4827" i="25" s="1"/>
  <c r="H4828" i="25"/>
  <c r="D4828" i="25" s="1"/>
  <c r="E4828" i="25" s="1"/>
  <c r="H4829" i="25"/>
  <c r="D4829" i="25" s="1"/>
  <c r="E4829" i="25" s="1"/>
  <c r="H4830" i="25"/>
  <c r="D4830" i="25" s="1"/>
  <c r="E4830" i="25" s="1"/>
  <c r="H4831" i="25"/>
  <c r="D4831" i="25" s="1"/>
  <c r="E4831" i="25" s="1"/>
  <c r="H4832" i="25"/>
  <c r="D4832" i="25" s="1"/>
  <c r="E4832" i="25" s="1"/>
  <c r="H4833" i="25"/>
  <c r="D4833" i="25" s="1"/>
  <c r="E4833" i="25" s="1"/>
  <c r="H4834" i="25"/>
  <c r="D4834" i="25" s="1"/>
  <c r="E4834" i="25" s="1"/>
  <c r="H4835" i="25"/>
  <c r="D4835" i="25" s="1"/>
  <c r="E4835" i="25" s="1"/>
  <c r="H4836" i="25"/>
  <c r="D4836" i="25" s="1"/>
  <c r="E4836" i="25" s="1"/>
  <c r="H4837" i="25"/>
  <c r="D4837" i="25" s="1"/>
  <c r="E4837" i="25" s="1"/>
  <c r="H4838" i="25"/>
  <c r="D4838" i="25" s="1"/>
  <c r="E4838" i="25" s="1"/>
  <c r="H4839" i="25"/>
  <c r="D4839" i="25" s="1"/>
  <c r="E4839" i="25" s="1"/>
  <c r="H4840" i="25"/>
  <c r="D4840" i="25" s="1"/>
  <c r="E4840" i="25" s="1"/>
  <c r="H4841" i="25"/>
  <c r="D4841" i="25" s="1"/>
  <c r="E4841" i="25" s="1"/>
  <c r="H4843" i="25"/>
  <c r="D4843" i="25" s="1"/>
  <c r="E4843" i="25" s="1"/>
  <c r="H4842" i="25"/>
  <c r="D4842" i="25" s="1"/>
  <c r="E4842" i="25" s="1"/>
  <c r="C3918" i="25"/>
  <c r="E3918" i="25" s="1"/>
  <c r="F3918" i="25" s="1"/>
  <c r="C3252" i="25"/>
  <c r="E3252" i="25" s="1"/>
  <c r="F3252" i="25" s="1"/>
  <c r="C2244" i="25"/>
  <c r="E2244" i="25" s="1"/>
  <c r="F2244" i="25" s="1"/>
  <c r="H3934" i="25"/>
  <c r="H3933" i="25"/>
  <c r="H3932" i="25"/>
  <c r="H3931" i="25"/>
  <c r="H3930" i="25"/>
  <c r="H3929" i="25"/>
  <c r="H3928" i="25"/>
  <c r="H3927" i="25"/>
  <c r="H3926" i="25"/>
  <c r="H3925" i="25"/>
  <c r="H3924" i="25"/>
  <c r="H3923" i="25"/>
  <c r="H3922" i="25"/>
  <c r="H3921" i="25"/>
  <c r="H3920" i="25"/>
  <c r="H3919" i="25"/>
  <c r="H3918" i="25"/>
  <c r="H3917" i="25"/>
  <c r="H3916" i="25"/>
  <c r="H3915" i="25"/>
  <c r="H3914" i="25"/>
  <c r="H3913" i="25"/>
  <c r="H3912" i="25"/>
  <c r="H3911" i="25"/>
  <c r="H3910" i="25"/>
  <c r="H3909" i="25"/>
  <c r="H3908" i="25"/>
  <c r="H3907" i="25"/>
  <c r="H3906" i="25"/>
  <c r="H3905" i="25"/>
  <c r="H3552" i="25"/>
  <c r="H3431" i="25"/>
  <c r="H3430" i="25"/>
  <c r="H3429" i="25"/>
  <c r="H3428" i="25"/>
  <c r="H3427" i="25"/>
  <c r="H3426" i="25"/>
  <c r="H3425" i="25"/>
  <c r="H3424" i="25"/>
  <c r="H3423" i="25"/>
  <c r="H3422" i="25"/>
  <c r="H3421" i="25"/>
  <c r="H3420" i="25"/>
  <c r="H3419" i="25"/>
  <c r="H3418" i="25"/>
  <c r="H3417" i="25"/>
  <c r="H3416" i="25"/>
  <c r="H3415" i="25"/>
  <c r="H3414" i="25"/>
  <c r="H3413" i="25"/>
  <c r="H3412" i="25"/>
  <c r="H3411" i="25"/>
  <c r="H3410" i="25"/>
  <c r="H3409" i="25"/>
  <c r="H3408" i="25"/>
  <c r="H3407" i="25"/>
  <c r="H3406" i="25"/>
  <c r="H3405" i="25"/>
  <c r="H3404" i="25"/>
  <c r="H3403" i="25"/>
  <c r="H3402" i="25"/>
  <c r="H3378" i="25"/>
  <c r="H3377" i="25"/>
  <c r="H3376" i="25"/>
  <c r="H3375" i="25"/>
  <c r="H3374" i="25"/>
  <c r="H3373" i="25"/>
  <c r="H3372" i="25"/>
  <c r="H3371" i="25"/>
  <c r="H3370" i="25"/>
  <c r="H3369" i="25"/>
  <c r="H3368" i="25"/>
  <c r="H3367" i="25"/>
  <c r="H3366" i="25"/>
  <c r="H3365" i="25"/>
  <c r="H3364" i="25"/>
  <c r="H3362" i="25"/>
  <c r="H3361" i="25"/>
  <c r="H3360" i="25"/>
  <c r="H3359" i="25"/>
  <c r="H3358" i="25"/>
  <c r="H3357" i="25"/>
  <c r="H3356" i="25"/>
  <c r="H3355" i="25"/>
  <c r="H3354" i="25"/>
  <c r="H3353" i="25"/>
  <c r="H3352" i="25"/>
  <c r="H3351" i="25"/>
  <c r="H3350" i="25"/>
  <c r="H3349" i="25"/>
  <c r="H3268" i="25"/>
  <c r="H3267" i="25"/>
  <c r="H3266" i="25"/>
  <c r="H3265" i="25"/>
  <c r="H3264" i="25"/>
  <c r="H3263" i="25"/>
  <c r="H3262" i="25"/>
  <c r="H3261" i="25"/>
  <c r="H3260" i="25"/>
  <c r="H3259" i="25"/>
  <c r="H3258" i="25"/>
  <c r="H3257" i="25"/>
  <c r="H3256" i="25"/>
  <c r="H3255" i="25"/>
  <c r="H3254" i="25"/>
  <c r="H3253" i="25"/>
  <c r="H3252" i="25"/>
  <c r="H3251" i="25"/>
  <c r="H3250" i="25"/>
  <c r="H3249" i="25"/>
  <c r="H3248" i="25"/>
  <c r="H3247" i="25"/>
  <c r="H3246" i="25"/>
  <c r="H3245" i="25"/>
  <c r="H3244" i="25"/>
  <c r="H3243" i="25"/>
  <c r="H3242" i="25"/>
  <c r="H3241" i="25"/>
  <c r="H3240" i="25"/>
  <c r="H3239" i="25"/>
  <c r="H3080" i="25"/>
  <c r="H3079" i="25"/>
  <c r="H3077" i="25"/>
  <c r="H3076" i="25"/>
  <c r="H3075" i="25"/>
  <c r="H3074" i="25"/>
  <c r="H3073" i="25"/>
  <c r="H3072" i="25"/>
  <c r="H3071" i="25"/>
  <c r="H3070" i="25"/>
  <c r="H3069" i="25"/>
  <c r="H3068" i="25"/>
  <c r="H3067" i="25"/>
  <c r="H3066" i="25"/>
  <c r="H3065" i="25"/>
  <c r="H3064" i="25"/>
  <c r="H3063" i="25"/>
  <c r="H3062" i="25"/>
  <c r="H3061" i="25"/>
  <c r="H3060" i="25"/>
  <c r="H3059" i="25"/>
  <c r="H3058" i="25"/>
  <c r="H3057" i="25"/>
  <c r="H3056" i="25"/>
  <c r="H3055" i="25"/>
  <c r="H3054" i="25"/>
  <c r="H3053" i="25"/>
  <c r="H3051" i="25"/>
  <c r="H2989" i="25"/>
  <c r="H2988" i="25"/>
  <c r="H2987" i="25"/>
  <c r="H2986" i="25"/>
  <c r="H2985" i="25"/>
  <c r="H2984" i="25"/>
  <c r="H2983" i="25"/>
  <c r="H2982" i="25"/>
  <c r="H2981" i="25"/>
  <c r="H2980" i="25"/>
  <c r="E2980" i="25"/>
  <c r="H2979" i="25"/>
  <c r="H2978" i="25"/>
  <c r="H2977" i="25"/>
  <c r="H2976" i="25"/>
  <c r="H2975" i="25"/>
  <c r="H2974" i="25"/>
  <c r="H2973" i="25"/>
  <c r="H2972" i="25"/>
  <c r="H2971" i="25"/>
  <c r="H2748" i="25"/>
  <c r="D2748" i="25" s="1"/>
  <c r="E2748" i="25" s="1"/>
  <c r="H2747" i="25"/>
  <c r="D2747" i="25" s="1"/>
  <c r="E2747" i="25" s="1"/>
  <c r="H2746" i="25"/>
  <c r="D2746" i="25" s="1"/>
  <c r="E2746" i="25" s="1"/>
  <c r="H2745" i="25"/>
  <c r="D2745" i="25" s="1"/>
  <c r="E2745" i="25" s="1"/>
  <c r="H2744" i="25"/>
  <c r="D2744" i="25" s="1"/>
  <c r="E2744" i="25" s="1"/>
  <c r="H2743" i="25"/>
  <c r="D2743" i="25" s="1"/>
  <c r="E2743" i="25" s="1"/>
  <c r="H2742" i="25"/>
  <c r="D2742" i="25" s="1"/>
  <c r="E2742" i="25" s="1"/>
  <c r="H2741" i="25"/>
  <c r="D2741" i="25" s="1"/>
  <c r="E2741" i="25" s="1"/>
  <c r="H2740" i="25"/>
  <c r="D2740" i="25" s="1"/>
  <c r="E2740" i="25" s="1"/>
  <c r="H2739" i="25"/>
  <c r="D2739" i="25" s="1"/>
  <c r="E2739" i="25" s="1"/>
  <c r="H2738" i="25"/>
  <c r="D2738" i="25" s="1"/>
  <c r="E2738" i="25" s="1"/>
  <c r="H2737" i="25"/>
  <c r="D2737" i="25" s="1"/>
  <c r="E2737" i="25" s="1"/>
  <c r="H2736" i="25"/>
  <c r="D2736" i="25" s="1"/>
  <c r="E2736" i="25" s="1"/>
  <c r="H2735" i="25"/>
  <c r="D2735" i="25" s="1"/>
  <c r="E2735" i="25" s="1"/>
  <c r="H2734" i="25"/>
  <c r="D2734" i="25" s="1"/>
  <c r="E2734" i="25" s="1"/>
  <c r="H2733" i="25"/>
  <c r="D2733" i="25" s="1"/>
  <c r="E2733" i="25" s="1"/>
  <c r="H2732" i="25"/>
  <c r="D2732" i="25" s="1"/>
  <c r="H2731" i="25"/>
  <c r="D2731" i="25" s="1"/>
  <c r="H2730" i="25"/>
  <c r="D2730" i="25" s="1"/>
  <c r="E2730" i="25" s="1"/>
  <c r="H2729" i="25"/>
  <c r="D2729" i="25" s="1"/>
  <c r="E2729" i="25" s="1"/>
  <c r="H2716" i="25"/>
  <c r="H2715" i="25"/>
  <c r="H2714" i="25"/>
  <c r="H2713" i="25"/>
  <c r="H2712" i="25"/>
  <c r="H2711" i="25"/>
  <c r="H2710" i="25"/>
  <c r="H2709" i="25"/>
  <c r="H2708" i="25"/>
  <c r="H2707" i="25"/>
  <c r="H2706" i="25"/>
  <c r="H2705" i="25"/>
  <c r="H2704" i="25"/>
  <c r="H2703" i="25"/>
  <c r="H2702" i="25"/>
  <c r="H2701" i="25"/>
  <c r="H2700" i="25"/>
  <c r="H2699" i="25"/>
  <c r="H2698" i="25"/>
  <c r="H2697" i="25"/>
  <c r="H2689" i="25"/>
  <c r="H2688" i="25"/>
  <c r="H2687" i="25"/>
  <c r="H2686" i="25"/>
  <c r="H2685" i="25"/>
  <c r="H2684" i="25"/>
  <c r="H2683" i="25"/>
  <c r="H2682" i="25"/>
  <c r="H2681" i="25"/>
  <c r="H2680" i="25"/>
  <c r="H2679" i="25"/>
  <c r="H2678" i="25"/>
  <c r="H2677" i="25"/>
  <c r="H2676" i="25"/>
  <c r="H2675" i="25"/>
  <c r="H2674" i="25"/>
  <c r="H2673" i="25"/>
  <c r="H2672" i="25"/>
  <c r="H2671" i="25"/>
  <c r="H2670" i="25"/>
  <c r="H2669" i="25"/>
  <c r="H2668" i="25"/>
  <c r="H2667" i="25"/>
  <c r="H2666" i="25"/>
  <c r="H2665" i="25"/>
  <c r="H2664" i="25"/>
  <c r="H2663" i="25"/>
  <c r="H2662" i="25"/>
  <c r="H2661" i="25"/>
  <c r="H2660" i="25"/>
  <c r="H2418" i="25"/>
  <c r="H2419" i="25"/>
  <c r="H2420" i="25"/>
  <c r="H2421" i="25"/>
  <c r="H2422" i="25"/>
  <c r="H2423" i="25"/>
  <c r="H2424" i="25"/>
  <c r="H2425" i="25"/>
  <c r="H2426" i="25"/>
  <c r="H2427" i="25"/>
  <c r="H2428" i="25"/>
  <c r="H2429" i="25"/>
  <c r="H2430" i="25"/>
  <c r="H2431" i="25"/>
  <c r="H2432" i="25"/>
  <c r="H2433" i="25"/>
  <c r="H2434" i="25"/>
  <c r="H2435" i="25"/>
  <c r="H2436" i="25"/>
  <c r="H2437" i="25"/>
  <c r="H2438" i="25"/>
  <c r="H2439" i="25"/>
  <c r="H2440" i="25"/>
  <c r="H2441" i="25"/>
  <c r="H2442" i="25"/>
  <c r="H2443" i="25"/>
  <c r="H2368" i="25"/>
  <c r="H2367" i="25"/>
  <c r="H2366" i="25"/>
  <c r="H2365" i="25"/>
  <c r="H2364" i="25"/>
  <c r="H2363" i="25"/>
  <c r="H2362" i="25"/>
  <c r="H2361" i="25"/>
  <c r="H2360" i="25"/>
  <c r="H2359" i="25"/>
  <c r="H2358" i="25"/>
  <c r="H2357" i="25"/>
  <c r="H2356" i="25"/>
  <c r="H2355" i="25"/>
  <c r="H2354" i="25"/>
  <c r="H2353" i="25"/>
  <c r="H2352" i="25"/>
  <c r="H2351" i="25"/>
  <c r="H2350" i="25"/>
  <c r="H2349" i="25"/>
  <c r="H2232" i="25"/>
  <c r="H2233" i="25"/>
  <c r="H2234" i="25"/>
  <c r="H2235" i="25"/>
  <c r="H2236" i="25"/>
  <c r="H2237" i="25"/>
  <c r="H2238" i="25"/>
  <c r="H2239" i="25"/>
  <c r="H2240" i="25"/>
  <c r="H2241" i="25"/>
  <c r="H2242" i="25"/>
  <c r="H2243" i="25"/>
  <c r="H2244" i="25"/>
  <c r="H2245" i="25"/>
  <c r="H2246" i="25"/>
  <c r="H2247" i="25"/>
  <c r="H2248" i="25"/>
  <c r="H2249" i="25"/>
  <c r="H2250" i="25"/>
  <c r="H2251" i="25"/>
  <c r="H2252" i="25"/>
  <c r="H2253" i="25"/>
  <c r="H2254" i="25"/>
  <c r="H2255" i="25"/>
  <c r="H2256" i="25"/>
  <c r="H2257" i="25"/>
  <c r="H2258" i="25"/>
  <c r="H2259" i="25"/>
  <c r="H2260" i="25"/>
  <c r="H2231" i="25"/>
  <c r="H2107" i="25"/>
  <c r="H2106" i="25"/>
  <c r="H2105" i="25"/>
  <c r="H2104" i="25"/>
  <c r="H2103" i="25"/>
  <c r="H2102" i="25"/>
  <c r="H2101" i="25"/>
  <c r="H2100" i="25"/>
  <c r="H2099" i="25"/>
  <c r="H2098" i="25"/>
  <c r="H2097" i="25"/>
  <c r="H2096" i="25"/>
  <c r="H2095" i="25"/>
  <c r="H2094" i="25"/>
  <c r="H2093" i="25"/>
  <c r="H2092" i="25"/>
  <c r="H2091" i="25"/>
  <c r="H2090" i="25"/>
  <c r="H2089" i="25"/>
  <c r="H2088" i="25"/>
  <c r="H1945" i="25"/>
  <c r="H1944" i="25"/>
  <c r="H1943" i="25"/>
  <c r="H1942" i="25"/>
  <c r="H1941" i="25"/>
  <c r="H1940" i="25"/>
  <c r="H1939" i="25"/>
  <c r="H1938" i="25"/>
  <c r="H1937" i="25"/>
  <c r="H1936" i="25"/>
  <c r="H1935" i="25"/>
  <c r="H1934" i="25"/>
  <c r="H1933" i="25"/>
  <c r="H1932" i="25"/>
  <c r="H1931" i="25"/>
  <c r="H1930" i="25"/>
  <c r="H1929" i="25"/>
  <c r="H1928" i="25"/>
  <c r="H1927" i="25"/>
  <c r="H1926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2" i="25"/>
  <c r="H1641" i="25"/>
  <c r="H1640" i="25"/>
  <c r="H1639" i="25"/>
  <c r="H1638" i="25"/>
  <c r="H1637" i="25"/>
  <c r="H1636" i="25"/>
  <c r="H1635" i="25"/>
  <c r="H1604" i="25"/>
  <c r="H1603" i="25"/>
  <c r="H1602" i="25"/>
  <c r="H1601" i="25"/>
  <c r="H1600" i="25"/>
  <c r="H1599" i="25"/>
  <c r="H1598" i="25"/>
  <c r="H1597" i="25"/>
  <c r="H1596" i="25"/>
  <c r="H1595" i="25"/>
  <c r="H1594" i="25"/>
  <c r="H1593" i="25"/>
  <c r="H1592" i="25"/>
  <c r="H1591" i="25"/>
  <c r="H1590" i="25"/>
  <c r="H1589" i="25"/>
  <c r="H1588" i="25"/>
  <c r="H1587" i="25"/>
  <c r="H1586" i="25"/>
  <c r="H1585" i="25"/>
  <c r="H1584" i="25"/>
  <c r="H1583" i="25"/>
  <c r="H1582" i="25"/>
  <c r="H1581" i="25"/>
  <c r="H1580" i="25"/>
  <c r="H1579" i="25"/>
  <c r="H1578" i="25"/>
  <c r="H1577" i="25"/>
  <c r="H1576" i="25"/>
  <c r="H1575" i="25"/>
  <c r="H1567" i="25"/>
  <c r="H1566" i="25"/>
  <c r="H1565" i="25"/>
  <c r="H1564" i="25"/>
  <c r="H1563" i="25"/>
  <c r="H1562" i="25"/>
  <c r="H1561" i="25"/>
  <c r="H1560" i="25"/>
  <c r="H1559" i="25"/>
  <c r="H1558" i="25"/>
  <c r="H1557" i="25"/>
  <c r="H1556" i="25"/>
  <c r="H1555" i="25"/>
  <c r="H1554" i="25"/>
  <c r="H1553" i="25"/>
  <c r="H1552" i="25"/>
  <c r="H1551" i="25"/>
  <c r="H1550" i="25"/>
  <c r="H1549" i="25"/>
  <c r="H1548" i="25"/>
  <c r="H1547" i="25"/>
  <c r="H1546" i="25"/>
  <c r="H1545" i="25"/>
  <c r="H1544" i="25"/>
  <c r="H1543" i="25"/>
  <c r="H1542" i="25"/>
  <c r="H1541" i="25"/>
  <c r="H1540" i="25"/>
  <c r="H1539" i="25"/>
  <c r="H1538" i="25"/>
  <c r="H1523" i="25"/>
  <c r="H1522" i="25"/>
  <c r="H1521" i="25"/>
  <c r="H1520" i="25"/>
  <c r="H1519" i="25"/>
  <c r="H1518" i="25"/>
  <c r="H1517" i="25"/>
  <c r="H1516" i="25"/>
  <c r="H1515" i="25"/>
  <c r="H1514" i="25"/>
  <c r="H1513" i="25"/>
  <c r="H1511" i="25"/>
  <c r="H1510" i="25"/>
  <c r="H1509" i="25"/>
  <c r="H1508" i="25"/>
  <c r="H1507" i="25"/>
  <c r="H1506" i="25"/>
  <c r="H1505" i="25"/>
  <c r="H1504" i="25"/>
  <c r="H1315" i="25"/>
  <c r="H1314" i="25"/>
  <c r="H1313" i="25"/>
  <c r="H1312" i="25"/>
  <c r="H1311" i="25"/>
  <c r="H1310" i="25"/>
  <c r="H1309" i="25"/>
  <c r="H1308" i="25"/>
  <c r="H1307" i="25"/>
  <c r="H1306" i="25"/>
  <c r="H1305" i="25"/>
  <c r="H1303" i="25"/>
  <c r="H1302" i="25"/>
  <c r="H1301" i="25"/>
  <c r="H1300" i="25"/>
  <c r="H1299" i="25"/>
  <c r="H1298" i="25"/>
  <c r="H1297" i="25"/>
  <c r="H1296" i="25"/>
  <c r="H1266" i="25"/>
  <c r="D1266" i="25" s="1"/>
  <c r="E1266" i="25" s="1"/>
  <c r="F1266" i="25" s="1"/>
  <c r="H1288" i="25"/>
  <c r="D1288" i="25" s="1"/>
  <c r="E1288" i="25" s="1"/>
  <c r="F1288" i="25" s="1"/>
  <c r="H1287" i="25"/>
  <c r="D1287" i="25" s="1"/>
  <c r="E1287" i="25" s="1"/>
  <c r="F1287" i="25" s="1"/>
  <c r="H1286" i="25"/>
  <c r="D1286" i="25" s="1"/>
  <c r="E1286" i="25" s="1"/>
  <c r="F1286" i="25" s="1"/>
  <c r="H1285" i="25"/>
  <c r="D1285" i="25" s="1"/>
  <c r="E1285" i="25" s="1"/>
  <c r="F1285" i="25" s="1"/>
  <c r="H1284" i="25"/>
  <c r="D1284" i="25" s="1"/>
  <c r="E1284" i="25" s="1"/>
  <c r="F1284" i="25" s="1"/>
  <c r="H1283" i="25"/>
  <c r="D1283" i="25" s="1"/>
  <c r="E1283" i="25" s="1"/>
  <c r="F1283" i="25" s="1"/>
  <c r="H1282" i="25"/>
  <c r="D1282" i="25" s="1"/>
  <c r="E1282" i="25" s="1"/>
  <c r="F1282" i="25" s="1"/>
  <c r="H1281" i="25"/>
  <c r="D1281" i="25" s="1"/>
  <c r="E1281" i="25" s="1"/>
  <c r="F1281" i="25" s="1"/>
  <c r="H1280" i="25"/>
  <c r="D1280" i="25" s="1"/>
  <c r="E1280" i="25" s="1"/>
  <c r="F1280" i="25" s="1"/>
  <c r="H1279" i="25"/>
  <c r="D1279" i="25" s="1"/>
  <c r="E1279" i="25" s="1"/>
  <c r="F1279" i="25" s="1"/>
  <c r="H1278" i="25"/>
  <c r="D1278" i="25" s="1"/>
  <c r="E1278" i="25" s="1"/>
  <c r="F1278" i="25" s="1"/>
  <c r="H1277" i="25"/>
  <c r="D1277" i="25" s="1"/>
  <c r="H1276" i="25"/>
  <c r="D1276" i="25" s="1"/>
  <c r="E1276" i="25" s="1"/>
  <c r="F1276" i="25" s="1"/>
  <c r="H1275" i="25"/>
  <c r="D1275" i="25" s="1"/>
  <c r="E1275" i="25" s="1"/>
  <c r="F1275" i="25" s="1"/>
  <c r="H1274" i="25"/>
  <c r="D1274" i="25" s="1"/>
  <c r="E1274" i="25" s="1"/>
  <c r="F1274" i="25" s="1"/>
  <c r="H1272" i="25"/>
  <c r="D1272" i="25" s="1"/>
  <c r="H1271" i="25"/>
  <c r="D1271" i="25" s="1"/>
  <c r="E1271" i="25" s="1"/>
  <c r="F1271" i="25" s="1"/>
  <c r="H1270" i="25"/>
  <c r="D1270" i="25" s="1"/>
  <c r="E1270" i="25" s="1"/>
  <c r="F1270" i="25" s="1"/>
  <c r="H1269" i="25"/>
  <c r="D1269" i="25" s="1"/>
  <c r="E1269" i="25" s="1"/>
  <c r="F1269" i="25" s="1"/>
  <c r="H1268" i="25"/>
  <c r="D1268" i="25" s="1"/>
  <c r="H1267" i="25"/>
  <c r="D1267" i="25" s="1"/>
  <c r="E1267" i="25" s="1"/>
  <c r="F1267" i="25" s="1"/>
  <c r="H1265" i="25"/>
  <c r="D1265" i="25" s="1"/>
  <c r="E1265" i="25" s="1"/>
  <c r="F1265" i="25" s="1"/>
  <c r="H1264" i="25"/>
  <c r="D1264" i="25" s="1"/>
  <c r="E1264" i="25" s="1"/>
  <c r="F1264" i="25" s="1"/>
  <c r="H1263" i="25"/>
  <c r="D1263" i="25" s="1"/>
  <c r="E1263" i="25" s="1"/>
  <c r="F1263" i="25" s="1"/>
  <c r="H1262" i="25"/>
  <c r="D1262" i="25" s="1"/>
  <c r="E1262" i="25" s="1"/>
  <c r="F1262" i="25" s="1"/>
  <c r="H1261" i="25"/>
  <c r="D1261" i="25" s="1"/>
  <c r="E1261" i="25" s="1"/>
  <c r="F1261" i="25" s="1"/>
  <c r="H1260" i="25"/>
  <c r="D1260" i="25" s="1"/>
  <c r="E1260" i="25" s="1"/>
  <c r="F1260" i="25" s="1"/>
  <c r="H1259" i="25"/>
  <c r="D1259" i="25" s="1"/>
  <c r="E1259" i="25" s="1"/>
  <c r="F1259" i="25" s="1"/>
  <c r="H1201" i="25"/>
  <c r="H1200" i="25"/>
  <c r="H1199" i="25"/>
  <c r="H1198" i="25"/>
  <c r="H1197" i="25"/>
  <c r="H1196" i="25"/>
  <c r="H1195" i="25"/>
  <c r="H1194" i="25"/>
  <c r="H1193" i="25"/>
  <c r="H1192" i="25"/>
  <c r="H1191" i="25"/>
  <c r="H1189" i="25"/>
  <c r="H1188" i="25"/>
  <c r="H1187" i="25"/>
  <c r="H1186" i="25"/>
  <c r="H1185" i="25"/>
  <c r="H1183" i="25"/>
  <c r="H1182" i="25"/>
  <c r="H1153" i="25"/>
  <c r="H1152" i="25"/>
  <c r="H1151" i="25"/>
  <c r="H1150" i="25"/>
  <c r="H1149" i="25"/>
  <c r="H1148" i="25"/>
  <c r="H1147" i="25"/>
  <c r="H1146" i="25"/>
  <c r="H1145" i="25"/>
  <c r="H1144" i="25"/>
  <c r="H1143" i="25"/>
  <c r="H1142" i="25"/>
  <c r="H1141" i="25"/>
  <c r="H1140" i="25"/>
  <c r="H1139" i="25"/>
  <c r="H1138" i="25"/>
  <c r="H1137" i="25"/>
  <c r="H1136" i="25"/>
  <c r="H1135" i="25"/>
  <c r="H1134" i="25"/>
  <c r="H1036" i="25"/>
  <c r="H1037" i="25"/>
  <c r="H1038" i="25"/>
  <c r="H1039" i="25"/>
  <c r="H1040" i="25"/>
  <c r="H1041" i="25"/>
  <c r="H1042" i="25"/>
  <c r="H1043" i="25"/>
  <c r="H1044" i="25"/>
  <c r="H1045" i="25"/>
  <c r="H1046" i="25"/>
  <c r="H1047" i="25"/>
  <c r="H1048" i="25"/>
  <c r="H1049" i="25"/>
  <c r="H1050" i="25"/>
  <c r="H1051" i="25"/>
  <c r="H1052" i="25"/>
  <c r="H1053" i="25"/>
  <c r="H1054" i="25"/>
  <c r="H1035" i="25"/>
  <c r="H959" i="25"/>
  <c r="H960" i="25"/>
  <c r="H961" i="25"/>
  <c r="H962" i="25"/>
  <c r="H963" i="25"/>
  <c r="H964" i="25"/>
  <c r="H965" i="25"/>
  <c r="H966" i="25"/>
  <c r="H967" i="25"/>
  <c r="H968" i="25"/>
  <c r="H969" i="25"/>
  <c r="H970" i="25"/>
  <c r="H971" i="25"/>
  <c r="H972" i="25"/>
  <c r="H973" i="25"/>
  <c r="H974" i="25"/>
  <c r="H975" i="25"/>
  <c r="H976" i="25"/>
  <c r="H977" i="25"/>
  <c r="H958" i="25"/>
  <c r="H3814" i="25"/>
  <c r="H3815" i="25"/>
  <c r="H3816" i="25"/>
  <c r="H3817" i="25"/>
  <c r="H3818" i="25"/>
  <c r="H3819" i="25"/>
  <c r="H3820" i="25"/>
  <c r="H3821" i="25"/>
  <c r="H3822" i="25"/>
  <c r="H3823" i="25"/>
  <c r="H3824" i="25"/>
  <c r="H3825" i="25"/>
  <c r="H3826" i="25"/>
  <c r="H3827" i="25"/>
  <c r="H3828" i="25"/>
  <c r="H3829" i="25"/>
  <c r="H3830" i="25"/>
  <c r="H3831" i="25"/>
  <c r="H3832" i="25"/>
  <c r="H3833" i="25"/>
  <c r="H3834" i="25"/>
  <c r="H3835" i="25"/>
  <c r="H3836" i="25"/>
  <c r="H3837" i="25"/>
  <c r="H3838" i="25"/>
  <c r="H3839" i="25"/>
  <c r="H3840" i="25"/>
  <c r="H3841" i="25"/>
  <c r="H3842" i="25"/>
  <c r="H3813" i="25"/>
  <c r="E2398" i="25"/>
  <c r="H823" i="25"/>
  <c r="D823" i="25" s="1"/>
  <c r="E823" i="25" s="1"/>
  <c r="H824" i="25"/>
  <c r="D824" i="25" s="1"/>
  <c r="H825" i="25"/>
  <c r="D825" i="25" s="1"/>
  <c r="E825" i="25" s="1"/>
  <c r="H826" i="25"/>
  <c r="D826" i="25" s="1"/>
  <c r="E826" i="25" s="1"/>
  <c r="H827" i="25"/>
  <c r="D827" i="25" s="1"/>
  <c r="H828" i="25"/>
  <c r="D828" i="25" s="1"/>
  <c r="H829" i="25"/>
  <c r="D829" i="25" s="1"/>
  <c r="E829" i="25" s="1"/>
  <c r="H831" i="25"/>
  <c r="D831" i="25" s="1"/>
  <c r="H832" i="25"/>
  <c r="D832" i="25" s="1"/>
  <c r="E832" i="25" s="1"/>
  <c r="H833" i="25"/>
  <c r="D833" i="25" s="1"/>
  <c r="E833" i="25" s="1"/>
  <c r="H834" i="25"/>
  <c r="D834" i="25" s="1"/>
  <c r="H835" i="25"/>
  <c r="D835" i="25" s="1"/>
  <c r="E835" i="25" s="1"/>
  <c r="H836" i="25"/>
  <c r="D836" i="25" s="1"/>
  <c r="E836" i="25" s="1"/>
  <c r="H837" i="25"/>
  <c r="D837" i="25" s="1"/>
  <c r="E837" i="25" s="1"/>
  <c r="H838" i="25"/>
  <c r="D838" i="25" s="1"/>
  <c r="E838" i="25" s="1"/>
  <c r="H839" i="25"/>
  <c r="D839" i="25" s="1"/>
  <c r="E839" i="25" s="1"/>
  <c r="H840" i="25"/>
  <c r="D840" i="25" s="1"/>
  <c r="E840" i="25" s="1"/>
  <c r="H841" i="25"/>
  <c r="D841" i="25" s="1"/>
  <c r="E841" i="25" s="1"/>
  <c r="H822" i="25"/>
  <c r="D822" i="25" s="1"/>
  <c r="E822" i="25" s="1"/>
  <c r="H643" i="25"/>
  <c r="H637" i="25"/>
  <c r="H638" i="25"/>
  <c r="H639" i="25"/>
  <c r="H640" i="25"/>
  <c r="H641" i="25"/>
  <c r="H642" i="25"/>
  <c r="H644" i="25"/>
  <c r="H645" i="25"/>
  <c r="H646" i="25"/>
  <c r="H647" i="25"/>
  <c r="H648" i="25"/>
  <c r="H649" i="25"/>
  <c r="H651" i="25"/>
  <c r="H652" i="25"/>
  <c r="H653" i="25"/>
  <c r="H654" i="25"/>
  <c r="H655" i="25"/>
  <c r="H656" i="25"/>
  <c r="H657" i="25"/>
  <c r="H659" i="25"/>
  <c r="H660" i="25"/>
  <c r="H661" i="25"/>
  <c r="H662" i="25"/>
  <c r="H663" i="25"/>
  <c r="H664" i="25"/>
  <c r="H665" i="25"/>
  <c r="H622" i="25"/>
  <c r="D622" i="25" s="1"/>
  <c r="E622" i="25" s="1"/>
  <c r="H623" i="25"/>
  <c r="D623" i="25" s="1"/>
  <c r="E623" i="25" s="1"/>
  <c r="H624" i="25"/>
  <c r="D624" i="25" s="1"/>
  <c r="E624" i="25" s="1"/>
  <c r="H612" i="25"/>
  <c r="D612" i="25" s="1"/>
  <c r="E612" i="25" s="1"/>
  <c r="H609" i="25"/>
  <c r="D609" i="25" s="1"/>
  <c r="E609" i="25" s="1"/>
  <c r="H305" i="25"/>
  <c r="D305" i="25" s="1"/>
  <c r="H306" i="25"/>
  <c r="D306" i="25" s="1"/>
  <c r="H307" i="25"/>
  <c r="H308" i="25"/>
  <c r="D308" i="25" s="1"/>
  <c r="H309" i="25"/>
  <c r="D309" i="25" s="1"/>
  <c r="E309" i="25" s="1"/>
  <c r="H310" i="25"/>
  <c r="D310" i="25" s="1"/>
  <c r="E310" i="25" s="1"/>
  <c r="H311" i="25"/>
  <c r="D311" i="25" s="1"/>
  <c r="H312" i="25"/>
  <c r="D312" i="25" s="1"/>
  <c r="E312" i="25" s="1"/>
  <c r="H313" i="25"/>
  <c r="D313" i="25" s="1"/>
  <c r="E313" i="25" s="1"/>
  <c r="H314" i="25"/>
  <c r="D314" i="25" s="1"/>
  <c r="E314" i="25" s="1"/>
  <c r="H315" i="25"/>
  <c r="D315" i="25" s="1"/>
  <c r="E315" i="25" s="1"/>
  <c r="H316" i="25"/>
  <c r="D316" i="25" s="1"/>
  <c r="E316" i="25" s="1"/>
  <c r="H317" i="25"/>
  <c r="D317" i="25" s="1"/>
  <c r="E317" i="25" s="1"/>
  <c r="H318" i="25"/>
  <c r="D318" i="25" s="1"/>
  <c r="H304" i="25"/>
  <c r="D304" i="25" s="1"/>
  <c r="H303" i="25"/>
  <c r="D303" i="25" s="1"/>
  <c r="E303" i="25" s="1"/>
  <c r="H299" i="25"/>
  <c r="D299" i="25" s="1"/>
  <c r="E299" i="25" s="1"/>
  <c r="H3168" i="25"/>
  <c r="H3180" i="25"/>
  <c r="H3184" i="25"/>
  <c r="H3172" i="25"/>
  <c r="H3187" i="25"/>
  <c r="H3175" i="25"/>
  <c r="H3170" i="25"/>
  <c r="H3173" i="25"/>
  <c r="H3181" i="25"/>
  <c r="H3174" i="25"/>
  <c r="H3176" i="25"/>
  <c r="H3169" i="25"/>
  <c r="H3185" i="25"/>
  <c r="H3178" i="25"/>
  <c r="H3182" i="25"/>
  <c r="H3183" i="25"/>
  <c r="H3171" i="25"/>
  <c r="H3186" i="25"/>
  <c r="I3232" i="25"/>
  <c r="H3232" i="25"/>
  <c r="I3231" i="25"/>
  <c r="H3231" i="25"/>
  <c r="I3230" i="25"/>
  <c r="H3230" i="25"/>
  <c r="H4372" i="25"/>
  <c r="H4373" i="25"/>
  <c r="H4374" i="25"/>
  <c r="E4008" i="25"/>
  <c r="E4007" i="25"/>
  <c r="E3293" i="25"/>
  <c r="E3292" i="25"/>
  <c r="E2053" i="25"/>
  <c r="E2052" i="25"/>
  <c r="E1422" i="25"/>
  <c r="E1421" i="25"/>
  <c r="E1233" i="25"/>
  <c r="E2164" i="25"/>
  <c r="E2163" i="25"/>
  <c r="E4006" i="25"/>
  <c r="E1232" i="25"/>
  <c r="H3617" i="25"/>
  <c r="H3618" i="25"/>
  <c r="H3619" i="25"/>
  <c r="H3620" i="25"/>
  <c r="H3621" i="25"/>
  <c r="H3622" i="25"/>
  <c r="H3623" i="25"/>
  <c r="H3624" i="25"/>
  <c r="H3625" i="25"/>
  <c r="H3626" i="25"/>
  <c r="H3627" i="25"/>
  <c r="H3628" i="25"/>
  <c r="H3629" i="25"/>
  <c r="H3630" i="25"/>
  <c r="H3631" i="25"/>
  <c r="H3632" i="25"/>
  <c r="H3633" i="25"/>
  <c r="H3634" i="25"/>
  <c r="H3635" i="25"/>
  <c r="H3636" i="25"/>
  <c r="E3323" i="25"/>
  <c r="E1575" i="25"/>
  <c r="F1575" i="25" s="1"/>
  <c r="E1576" i="25"/>
  <c r="F1576" i="25" s="1"/>
  <c r="E1577" i="25"/>
  <c r="F1577" i="25" s="1"/>
  <c r="E1578" i="25"/>
  <c r="F1578" i="25" s="1"/>
  <c r="E1579" i="25"/>
  <c r="F1579" i="25" s="1"/>
  <c r="E1580" i="25"/>
  <c r="F1580" i="25" s="1"/>
  <c r="E1581" i="25"/>
  <c r="F1581" i="25" s="1"/>
  <c r="E1582" i="25"/>
  <c r="F1582" i="25" s="1"/>
  <c r="E1583" i="25"/>
  <c r="F1583" i="25" s="1"/>
  <c r="E1584" i="25"/>
  <c r="F1584" i="25" s="1"/>
  <c r="E1585" i="25"/>
  <c r="F1585" i="25" s="1"/>
  <c r="E1586" i="25"/>
  <c r="F1586" i="25" s="1"/>
  <c r="E1587" i="25"/>
  <c r="F1587" i="25" s="1"/>
  <c r="E1588" i="25"/>
  <c r="F1588" i="25" s="1"/>
  <c r="E1590" i="25"/>
  <c r="F1590" i="25" s="1"/>
  <c r="C1591" i="25"/>
  <c r="E1591" i="25" s="1"/>
  <c r="F1591" i="25" s="1"/>
  <c r="C1592" i="25"/>
  <c r="E1592" i="25" s="1"/>
  <c r="F1592" i="25" s="1"/>
  <c r="E1593" i="25"/>
  <c r="F1593" i="25" s="1"/>
  <c r="C1595" i="25"/>
  <c r="E1595" i="25" s="1"/>
  <c r="F1595" i="25" s="1"/>
  <c r="C1596" i="25"/>
  <c r="E1596" i="25" s="1"/>
  <c r="F1596" i="25" s="1"/>
  <c r="E1597" i="25"/>
  <c r="F1597" i="25" s="1"/>
  <c r="E1598" i="25"/>
  <c r="F1598" i="25" s="1"/>
  <c r="E1599" i="25"/>
  <c r="F1599" i="25" s="1"/>
  <c r="C1600" i="25"/>
  <c r="E1600" i="25" s="1"/>
  <c r="F1600" i="25" s="1"/>
  <c r="E1601" i="25"/>
  <c r="F1601" i="25" s="1"/>
  <c r="E1603" i="25"/>
  <c r="F1603" i="25" s="1"/>
  <c r="E1604" i="25"/>
  <c r="F1604" i="25" s="1"/>
  <c r="E1538" i="25"/>
  <c r="F1538" i="25" s="1"/>
  <c r="E1539" i="25"/>
  <c r="F1539" i="25" s="1"/>
  <c r="E1540" i="25"/>
  <c r="F1540" i="25" s="1"/>
  <c r="E1541" i="25"/>
  <c r="F1541" i="25" s="1"/>
  <c r="E1542" i="25"/>
  <c r="F1542" i="25" s="1"/>
  <c r="E1543" i="25"/>
  <c r="F1543" i="25" s="1"/>
  <c r="E1544" i="25"/>
  <c r="F1544" i="25" s="1"/>
  <c r="E1545" i="25"/>
  <c r="F1545" i="25" s="1"/>
  <c r="E1546" i="25"/>
  <c r="F1546" i="25" s="1"/>
  <c r="E1547" i="25"/>
  <c r="F1547" i="25" s="1"/>
  <c r="E1548" i="25"/>
  <c r="F1548" i="25" s="1"/>
  <c r="E1549" i="25"/>
  <c r="F1549" i="25" s="1"/>
  <c r="E1550" i="25"/>
  <c r="F1550" i="25" s="1"/>
  <c r="E1551" i="25"/>
  <c r="F1551" i="25" s="1"/>
  <c r="E1552" i="25"/>
  <c r="F1552" i="25" s="1"/>
  <c r="E1553" i="25"/>
  <c r="F1553" i="25" s="1"/>
  <c r="E1554" i="25"/>
  <c r="F1554" i="25" s="1"/>
  <c r="E1555" i="25"/>
  <c r="F1555" i="25" s="1"/>
  <c r="E1556" i="25"/>
  <c r="F1556" i="25" s="1"/>
  <c r="E1558" i="25"/>
  <c r="F1558" i="25" s="1"/>
  <c r="E1559" i="25"/>
  <c r="F1559" i="25" s="1"/>
  <c r="E1560" i="25"/>
  <c r="F1560" i="25" s="1"/>
  <c r="E1561" i="25"/>
  <c r="F1561" i="25" s="1"/>
  <c r="E1562" i="25"/>
  <c r="F1562" i="25" s="1"/>
  <c r="C1563" i="25"/>
  <c r="E1563" i="25" s="1"/>
  <c r="F1563" i="25" s="1"/>
  <c r="E1564" i="25"/>
  <c r="F1564" i="25" s="1"/>
  <c r="E1566" i="25"/>
  <c r="F1566" i="25" s="1"/>
  <c r="E1567" i="25"/>
  <c r="F1567" i="25" s="1"/>
  <c r="E2162" i="25"/>
  <c r="E3291" i="25"/>
  <c r="E2051" i="25"/>
  <c r="E1420" i="25"/>
  <c r="E1231" i="25"/>
  <c r="E3905" i="25"/>
  <c r="F3905" i="25" s="1"/>
  <c r="E3906" i="25"/>
  <c r="F3906" i="25" s="1"/>
  <c r="C3907" i="25"/>
  <c r="E3907" i="25" s="1"/>
  <c r="F3907" i="25" s="1"/>
  <c r="E3908" i="25"/>
  <c r="F3908" i="25" s="1"/>
  <c r="E3909" i="25"/>
  <c r="F3909" i="25" s="1"/>
  <c r="E3910" i="25"/>
  <c r="F3910" i="25" s="1"/>
  <c r="E3911" i="25"/>
  <c r="F3911" i="25" s="1"/>
  <c r="E3912" i="25"/>
  <c r="F3912" i="25" s="1"/>
  <c r="E3913" i="25"/>
  <c r="F3913" i="25" s="1"/>
  <c r="E3915" i="25"/>
  <c r="F3915" i="25" s="1"/>
  <c r="E3916" i="25"/>
  <c r="F3916" i="25" s="1"/>
  <c r="E3917" i="25"/>
  <c r="F3917" i="25" s="1"/>
  <c r="E3919" i="25"/>
  <c r="F3919" i="25" s="1"/>
  <c r="E3920" i="25"/>
  <c r="F3920" i="25" s="1"/>
  <c r="E3921" i="25"/>
  <c r="F3921" i="25" s="1"/>
  <c r="E3922" i="25"/>
  <c r="F3922" i="25" s="1"/>
  <c r="E3923" i="25"/>
  <c r="F3923" i="25" s="1"/>
  <c r="C3924" i="25"/>
  <c r="E3924" i="25" s="1"/>
  <c r="F3924" i="25" s="1"/>
  <c r="E3925" i="25"/>
  <c r="F3925" i="25" s="1"/>
  <c r="E3926" i="25"/>
  <c r="F3926" i="25" s="1"/>
  <c r="E3927" i="25"/>
  <c r="F3927" i="25" s="1"/>
  <c r="E3928" i="25"/>
  <c r="F3928" i="25" s="1"/>
  <c r="E3929" i="25"/>
  <c r="F3929" i="25" s="1"/>
  <c r="E3930" i="25"/>
  <c r="F3930" i="25" s="1"/>
  <c r="E3931" i="25"/>
  <c r="F3931" i="25" s="1"/>
  <c r="E3932" i="25"/>
  <c r="F3932" i="25" s="1"/>
  <c r="E3933" i="25"/>
  <c r="F3933" i="25" s="1"/>
  <c r="E3934" i="25"/>
  <c r="F3934" i="25" s="1"/>
  <c r="E497" i="25"/>
  <c r="F497" i="25" s="1"/>
  <c r="E1451" i="25"/>
  <c r="E2161" i="25"/>
  <c r="E3290" i="25"/>
  <c r="E2050" i="25"/>
  <c r="E1419" i="25"/>
  <c r="E1230" i="25"/>
  <c r="E1229" i="25"/>
  <c r="E496" i="25"/>
  <c r="E99" i="25"/>
  <c r="E3289" i="25"/>
  <c r="E2049" i="25"/>
  <c r="E1418" i="25"/>
  <c r="E495" i="25"/>
  <c r="E2160" i="25"/>
  <c r="E2159" i="25"/>
  <c r="E3288" i="25"/>
  <c r="E2048" i="25"/>
  <c r="E1417" i="25"/>
  <c r="E1228" i="25"/>
  <c r="E494" i="25"/>
  <c r="C1268" i="25"/>
  <c r="C645" i="25"/>
  <c r="E645" i="25" s="1"/>
  <c r="F645" i="25" s="1"/>
  <c r="E2798" i="25"/>
  <c r="F2798" i="25" s="1"/>
  <c r="E2799" i="25"/>
  <c r="F2799" i="25" s="1"/>
  <c r="E2801" i="25"/>
  <c r="F2801" i="25" s="1"/>
  <c r="E2802" i="25"/>
  <c r="F2802" i="25" s="1"/>
  <c r="E2803" i="25"/>
  <c r="F2803" i="25" s="1"/>
  <c r="E2804" i="25"/>
  <c r="F2804" i="25" s="1"/>
  <c r="E2805" i="25"/>
  <c r="F2805" i="25" s="1"/>
  <c r="E2806" i="25"/>
  <c r="F2806" i="25" s="1"/>
  <c r="E2807" i="25"/>
  <c r="F2807" i="25" s="1"/>
  <c r="E2808" i="25"/>
  <c r="F2808" i="25" s="1"/>
  <c r="E2811" i="25"/>
  <c r="F2811" i="25" s="1"/>
  <c r="E2812" i="25"/>
  <c r="F2812" i="25" s="1"/>
  <c r="E2813" i="25"/>
  <c r="F2813" i="25" s="1"/>
  <c r="E2814" i="25"/>
  <c r="F2814" i="25" s="1"/>
  <c r="E2815" i="25"/>
  <c r="F2815" i="25" s="1"/>
  <c r="E2816" i="25"/>
  <c r="F2816" i="25" s="1"/>
  <c r="E2817" i="25"/>
  <c r="F2817" i="25" s="1"/>
  <c r="E2818" i="25"/>
  <c r="F2818" i="25" s="1"/>
  <c r="E2819" i="25"/>
  <c r="F2819" i="25" s="1"/>
  <c r="E2820" i="25"/>
  <c r="F2820" i="25" s="1"/>
  <c r="E2821" i="25"/>
  <c r="F2821" i="25" s="1"/>
  <c r="E2822" i="25"/>
  <c r="F2822" i="25" s="1"/>
  <c r="E2823" i="25"/>
  <c r="F2823" i="25" s="1"/>
  <c r="E2824" i="25"/>
  <c r="F2824" i="25" s="1"/>
  <c r="E2825" i="25"/>
  <c r="F2825" i="25" s="1"/>
  <c r="E2826" i="25"/>
  <c r="F2826" i="25" s="1"/>
  <c r="E2827" i="25"/>
  <c r="F2827" i="25" s="1"/>
  <c r="E3239" i="25"/>
  <c r="F3239" i="25" s="1"/>
  <c r="E3240" i="25"/>
  <c r="F3240" i="25" s="1"/>
  <c r="E3241" i="25"/>
  <c r="F3241" i="25" s="1"/>
  <c r="E3242" i="25"/>
  <c r="F3242" i="25" s="1"/>
  <c r="E3243" i="25"/>
  <c r="F3243" i="25" s="1"/>
  <c r="E3244" i="25"/>
  <c r="F3244" i="25" s="1"/>
  <c r="E3245" i="25"/>
  <c r="F3245" i="25" s="1"/>
  <c r="E3246" i="25"/>
  <c r="F3246" i="25" s="1"/>
  <c r="E3247" i="25"/>
  <c r="F3247" i="25" s="1"/>
  <c r="E3248" i="25"/>
  <c r="F3248" i="25" s="1"/>
  <c r="E3249" i="25"/>
  <c r="F3249" i="25" s="1"/>
  <c r="E3250" i="25"/>
  <c r="F3250" i="25" s="1"/>
  <c r="E3251" i="25"/>
  <c r="F3251" i="25" s="1"/>
  <c r="E3253" i="25"/>
  <c r="F3253" i="25" s="1"/>
  <c r="E3254" i="25"/>
  <c r="F3254" i="25" s="1"/>
  <c r="E3255" i="25"/>
  <c r="F3255" i="25" s="1"/>
  <c r="E3256" i="25"/>
  <c r="F3256" i="25" s="1"/>
  <c r="E3257" i="25"/>
  <c r="F3257" i="25" s="1"/>
  <c r="C3258" i="25"/>
  <c r="E3258" i="25" s="1"/>
  <c r="F3258" i="25" s="1"/>
  <c r="E3259" i="25"/>
  <c r="F3259" i="25" s="1"/>
  <c r="E3260" i="25"/>
  <c r="F3260" i="25" s="1"/>
  <c r="E3261" i="25"/>
  <c r="F3261" i="25" s="1"/>
  <c r="E3262" i="25"/>
  <c r="F3262" i="25" s="1"/>
  <c r="E3263" i="25"/>
  <c r="F3263" i="25" s="1"/>
  <c r="E3264" i="25"/>
  <c r="F3264" i="25" s="1"/>
  <c r="E3265" i="25"/>
  <c r="F3265" i="25" s="1"/>
  <c r="E3266" i="25"/>
  <c r="F3266" i="25" s="1"/>
  <c r="E3267" i="25"/>
  <c r="F3267" i="25" s="1"/>
  <c r="E3268" i="25"/>
  <c r="F3268" i="25" s="1"/>
  <c r="E3051" i="25"/>
  <c r="F3051" i="25" s="1"/>
  <c r="E3054" i="25"/>
  <c r="F3054" i="25" s="1"/>
  <c r="E3055" i="25"/>
  <c r="F3055" i="25" s="1"/>
  <c r="E3056" i="25"/>
  <c r="F3056" i="25" s="1"/>
  <c r="C3057" i="25"/>
  <c r="E3057" i="25" s="1"/>
  <c r="F3057" i="25" s="1"/>
  <c r="E3059" i="25"/>
  <c r="F3059" i="25" s="1"/>
  <c r="C3060" i="25"/>
  <c r="E3060" i="25" s="1"/>
  <c r="F3060" i="25" s="1"/>
  <c r="E3061" i="25"/>
  <c r="F3061" i="25" s="1"/>
  <c r="E3062" i="25"/>
  <c r="F3062" i="25" s="1"/>
  <c r="E3063" i="25"/>
  <c r="F3063" i="25" s="1"/>
  <c r="E3064" i="25"/>
  <c r="F3064" i="25" s="1"/>
  <c r="C3065" i="25"/>
  <c r="E3065" i="25" s="1"/>
  <c r="F3065" i="25" s="1"/>
  <c r="E3066" i="25"/>
  <c r="F3066" i="25" s="1"/>
  <c r="E3068" i="25"/>
  <c r="F3068" i="25" s="1"/>
  <c r="E3069" i="25"/>
  <c r="F3069" i="25" s="1"/>
  <c r="E3070" i="25"/>
  <c r="F3070" i="25" s="1"/>
  <c r="C3071" i="25"/>
  <c r="E3071" i="25" s="1"/>
  <c r="F3071" i="25" s="1"/>
  <c r="E3072" i="25"/>
  <c r="F3072" i="25" s="1"/>
  <c r="E3073" i="25"/>
  <c r="F3073" i="25" s="1"/>
  <c r="E3074" i="25"/>
  <c r="F3074" i="25" s="1"/>
  <c r="E3075" i="25"/>
  <c r="F3075" i="25" s="1"/>
  <c r="E3076" i="25"/>
  <c r="F3076" i="25" s="1"/>
  <c r="E3077" i="25"/>
  <c r="F3077" i="25" s="1"/>
  <c r="E3078" i="25"/>
  <c r="F3078" i="25" s="1"/>
  <c r="E3079" i="25"/>
  <c r="F3079" i="25" s="1"/>
  <c r="E3080" i="25"/>
  <c r="F3080" i="25" s="1"/>
  <c r="E2997" i="25"/>
  <c r="F2997" i="25" s="1"/>
  <c r="E2998" i="25"/>
  <c r="F2998" i="25" s="1"/>
  <c r="E3001" i="25"/>
  <c r="F3001" i="25" s="1"/>
  <c r="E3002" i="25"/>
  <c r="F3002" i="25" s="1"/>
  <c r="E3003" i="25"/>
  <c r="F3003" i="25" s="1"/>
  <c r="C3004" i="25"/>
  <c r="E3004" i="25" s="1"/>
  <c r="F3004" i="25" s="1"/>
  <c r="E3006" i="25"/>
  <c r="F3006" i="25" s="1"/>
  <c r="E3007" i="25"/>
  <c r="F3007" i="25" s="1"/>
  <c r="C3008" i="25"/>
  <c r="E3008" i="25" s="1"/>
  <c r="F3008" i="25" s="1"/>
  <c r="E3009" i="25"/>
  <c r="F3009" i="25" s="1"/>
  <c r="E3010" i="25"/>
  <c r="F3010" i="25" s="1"/>
  <c r="E3011" i="25"/>
  <c r="F3011" i="25" s="1"/>
  <c r="E3012" i="25"/>
  <c r="F3012" i="25" s="1"/>
  <c r="E3013" i="25"/>
  <c r="F3013" i="25" s="1"/>
  <c r="E3015" i="25"/>
  <c r="F3015" i="25" s="1"/>
  <c r="E3016" i="25"/>
  <c r="F3016" i="25" s="1"/>
  <c r="C3017" i="25"/>
  <c r="E3017" i="25" s="1"/>
  <c r="F3017" i="25" s="1"/>
  <c r="C3018" i="25"/>
  <c r="E3018" i="25" s="1"/>
  <c r="F3018" i="25" s="1"/>
  <c r="E3019" i="25"/>
  <c r="F3019" i="25" s="1"/>
  <c r="E3020" i="25"/>
  <c r="F3020" i="25" s="1"/>
  <c r="E3021" i="25"/>
  <c r="F3021" i="25" s="1"/>
  <c r="E3022" i="25"/>
  <c r="F3022" i="25" s="1"/>
  <c r="E3023" i="25"/>
  <c r="F3023" i="25" s="1"/>
  <c r="E3024" i="25"/>
  <c r="F3024" i="25" s="1"/>
  <c r="E3025" i="25"/>
  <c r="F3025" i="25" s="1"/>
  <c r="E3026" i="25"/>
  <c r="F3026" i="25" s="1"/>
  <c r="C2233" i="25"/>
  <c r="E2233" i="25" s="1"/>
  <c r="F2233" i="25" s="1"/>
  <c r="C831" i="25"/>
  <c r="C696" i="25"/>
  <c r="C614" i="25"/>
  <c r="C308" i="25"/>
  <c r="E2158" i="25"/>
  <c r="E2047" i="25"/>
  <c r="E1416" i="25"/>
  <c r="E1227" i="25"/>
  <c r="E468" i="25"/>
  <c r="F468" i="25" s="1"/>
  <c r="E470" i="25"/>
  <c r="F470" i="25" s="1"/>
  <c r="E492" i="25"/>
  <c r="F492" i="25" s="1"/>
  <c r="E493" i="25"/>
  <c r="E3180" i="25"/>
  <c r="E3175" i="25"/>
  <c r="E3174" i="25"/>
  <c r="E3173" i="25"/>
  <c r="E3181" i="25"/>
  <c r="E3176" i="25"/>
  <c r="E3177" i="25"/>
  <c r="E3179" i="25"/>
  <c r="E3182" i="25"/>
  <c r="E1415" i="25"/>
  <c r="E2157" i="25"/>
  <c r="C2731" i="25"/>
  <c r="C2984" i="25"/>
  <c r="E2984" i="25" s="1"/>
  <c r="C2979" i="25"/>
  <c r="E2979" i="25" s="1"/>
  <c r="E2975" i="25"/>
  <c r="E2970" i="25"/>
  <c r="E2981" i="25"/>
  <c r="E2983" i="25"/>
  <c r="E2977" i="25"/>
  <c r="E2988" i="25"/>
  <c r="E2972" i="25"/>
  <c r="E2982" i="25"/>
  <c r="E2989" i="25"/>
  <c r="E2976" i="25"/>
  <c r="E2987" i="25"/>
  <c r="E2978" i="25"/>
  <c r="E2971" i="25"/>
  <c r="E2985" i="25"/>
  <c r="E2986" i="25"/>
  <c r="E2973" i="25"/>
  <c r="E2974" i="25"/>
  <c r="E2156" i="25"/>
  <c r="E2045" i="25"/>
  <c r="E1414" i="25"/>
  <c r="E1225" i="25"/>
  <c r="E491" i="25"/>
  <c r="E4" i="25"/>
  <c r="E6" i="25"/>
  <c r="E8" i="25"/>
  <c r="E10" i="25"/>
  <c r="E12" i="25"/>
  <c r="F12" i="25"/>
  <c r="E15" i="25"/>
  <c r="E17" i="25"/>
  <c r="E19" i="25"/>
  <c r="E21" i="25"/>
  <c r="E23" i="25"/>
  <c r="F23" i="25"/>
  <c r="E26" i="25"/>
  <c r="E27" i="25"/>
  <c r="E28" i="25"/>
  <c r="E29" i="25"/>
  <c r="F29" i="25"/>
  <c r="E32" i="25"/>
  <c r="E35" i="25" s="1"/>
  <c r="F35" i="25"/>
  <c r="E38" i="25"/>
  <c r="E41" i="25"/>
  <c r="E44" i="25"/>
  <c r="E53" i="25"/>
  <c r="F53" i="25"/>
  <c r="E56" i="25"/>
  <c r="E59" i="25" s="1"/>
  <c r="F59" i="25"/>
  <c r="E62" i="25"/>
  <c r="E64" i="25"/>
  <c r="E66" i="25"/>
  <c r="E70" i="25"/>
  <c r="F70" i="25"/>
  <c r="F88" i="25"/>
  <c r="E91" i="25"/>
  <c r="F99" i="25"/>
  <c r="E102" i="25"/>
  <c r="E104" i="25"/>
  <c r="E106" i="25"/>
  <c r="E108" i="25"/>
  <c r="E110" i="25"/>
  <c r="E112" i="25"/>
  <c r="E114" i="25"/>
  <c r="E116" i="25"/>
  <c r="E118" i="25"/>
  <c r="E120" i="25"/>
  <c r="E122" i="25"/>
  <c r="F126" i="25"/>
  <c r="E129" i="25"/>
  <c r="E131" i="25"/>
  <c r="F137" i="25"/>
  <c r="E140" i="25"/>
  <c r="E153" i="25"/>
  <c r="E166" i="25"/>
  <c r="E179" i="25"/>
  <c r="E180" i="25"/>
  <c r="C181" i="25"/>
  <c r="E181" i="25" s="1"/>
  <c r="E182" i="25"/>
  <c r="F182" i="25" s="1"/>
  <c r="E183" i="25"/>
  <c r="E184" i="25"/>
  <c r="F184" i="25" s="1"/>
  <c r="C185" i="25"/>
  <c r="E185" i="25" s="1"/>
  <c r="C186" i="25"/>
  <c r="E186" i="25" s="1"/>
  <c r="F186" i="25" s="1"/>
  <c r="C187" i="25"/>
  <c r="E187" i="25" s="1"/>
  <c r="F187" i="25" s="1"/>
  <c r="C188" i="25"/>
  <c r="E188" i="25" s="1"/>
  <c r="C189" i="25"/>
  <c r="E189" i="25" s="1"/>
  <c r="E190" i="25"/>
  <c r="E191" i="25"/>
  <c r="E192" i="25"/>
  <c r="E193" i="25"/>
  <c r="E194" i="25"/>
  <c r="F194" i="25" s="1"/>
  <c r="E195" i="25"/>
  <c r="E196" i="25"/>
  <c r="F196" i="25" s="1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12" i="25"/>
  <c r="E285" i="25"/>
  <c r="H300" i="25"/>
  <c r="D300" i="25" s="1"/>
  <c r="E300" i="25" s="1"/>
  <c r="H301" i="25"/>
  <c r="D301" i="25" s="1"/>
  <c r="E301" i="25" s="1"/>
  <c r="H302" i="25"/>
  <c r="D302" i="25" s="1"/>
  <c r="E302" i="25" s="1"/>
  <c r="C304" i="25"/>
  <c r="C311" i="25"/>
  <c r="E328" i="25"/>
  <c r="E376" i="25"/>
  <c r="E395" i="25"/>
  <c r="E413" i="25"/>
  <c r="E426" i="25"/>
  <c r="E462" i="25"/>
  <c r="E463" i="25"/>
  <c r="E464" i="25"/>
  <c r="E465" i="25"/>
  <c r="E466" i="25"/>
  <c r="E467" i="25"/>
  <c r="E469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501" i="25"/>
  <c r="E514" i="25"/>
  <c r="E516" i="25"/>
  <c r="E550" i="25"/>
  <c r="H605" i="25"/>
  <c r="D605" i="25" s="1"/>
  <c r="E605" i="25" s="1"/>
  <c r="H606" i="25"/>
  <c r="D606" i="25" s="1"/>
  <c r="E606" i="25" s="1"/>
  <c r="C607" i="25"/>
  <c r="H607" i="25"/>
  <c r="D607" i="25" s="1"/>
  <c r="H608" i="25"/>
  <c r="D608" i="25" s="1"/>
  <c r="E608" i="25" s="1"/>
  <c r="C610" i="25"/>
  <c r="H610" i="25"/>
  <c r="D610" i="25" s="1"/>
  <c r="H611" i="25"/>
  <c r="D611" i="25" s="1"/>
  <c r="E611" i="25" s="1"/>
  <c r="H614" i="25"/>
  <c r="D614" i="25" s="1"/>
  <c r="H615" i="25"/>
  <c r="D615" i="25" s="1"/>
  <c r="E615" i="25" s="1"/>
  <c r="H616" i="25"/>
  <c r="D616" i="25" s="1"/>
  <c r="E616" i="25" s="1"/>
  <c r="C617" i="25"/>
  <c r="H617" i="25"/>
  <c r="D617" i="25" s="1"/>
  <c r="H618" i="25"/>
  <c r="D618" i="25" s="1"/>
  <c r="E618" i="25" s="1"/>
  <c r="H619" i="25"/>
  <c r="D619" i="25" s="1"/>
  <c r="E619" i="25" s="1"/>
  <c r="H620" i="25"/>
  <c r="D620" i="25" s="1"/>
  <c r="E620" i="25" s="1"/>
  <c r="H621" i="25"/>
  <c r="D621" i="25" s="1"/>
  <c r="E621" i="25" s="1"/>
  <c r="H636" i="25"/>
  <c r="E636" i="25"/>
  <c r="F636" i="25" s="1"/>
  <c r="E637" i="25"/>
  <c r="F637" i="25" s="1"/>
  <c r="E638" i="25"/>
  <c r="F638" i="25" s="1"/>
  <c r="E639" i="25"/>
  <c r="F639" i="25" s="1"/>
  <c r="E640" i="25"/>
  <c r="F640" i="25" s="1"/>
  <c r="E641" i="25"/>
  <c r="F641" i="25" s="1"/>
  <c r="E642" i="25"/>
  <c r="F642" i="25" s="1"/>
  <c r="E643" i="25"/>
  <c r="F643" i="25" s="1"/>
  <c r="E644" i="25"/>
  <c r="F644" i="25" s="1"/>
  <c r="E646" i="25"/>
  <c r="F646" i="25" s="1"/>
  <c r="E647" i="25"/>
  <c r="F647" i="25" s="1"/>
  <c r="E648" i="25"/>
  <c r="F648" i="25" s="1"/>
  <c r="E651" i="25"/>
  <c r="F651" i="25" s="1"/>
  <c r="E652" i="25"/>
  <c r="F652" i="25" s="1"/>
  <c r="E653" i="25"/>
  <c r="F653" i="25" s="1"/>
  <c r="E654" i="25"/>
  <c r="F654" i="25" s="1"/>
  <c r="E655" i="25"/>
  <c r="F655" i="25" s="1"/>
  <c r="E656" i="25"/>
  <c r="F656" i="25" s="1"/>
  <c r="E657" i="25"/>
  <c r="F657" i="25" s="1"/>
  <c r="E659" i="25"/>
  <c r="F659" i="25" s="1"/>
  <c r="C660" i="25"/>
  <c r="E660" i="25" s="1"/>
  <c r="F660" i="25" s="1"/>
  <c r="C661" i="25"/>
  <c r="E661" i="25" s="1"/>
  <c r="F661" i="25" s="1"/>
  <c r="C662" i="25"/>
  <c r="E662" i="25" s="1"/>
  <c r="F662" i="25" s="1"/>
  <c r="C663" i="25"/>
  <c r="E663" i="25" s="1"/>
  <c r="F663" i="25" s="1"/>
  <c r="E664" i="25"/>
  <c r="F664" i="25" s="1"/>
  <c r="E665" i="25"/>
  <c r="F665" i="25" s="1"/>
  <c r="C689" i="25"/>
  <c r="C692" i="25"/>
  <c r="C699" i="25"/>
  <c r="E717" i="25"/>
  <c r="E756" i="25"/>
  <c r="C824" i="25"/>
  <c r="C827" i="25"/>
  <c r="C834" i="25"/>
  <c r="E1211" i="25"/>
  <c r="E1212" i="25"/>
  <c r="E1213" i="25"/>
  <c r="E1214" i="25"/>
  <c r="E1215" i="25"/>
  <c r="C1216" i="25"/>
  <c r="E1216" i="25" s="1"/>
  <c r="E1217" i="25"/>
  <c r="E1218" i="25"/>
  <c r="E1219" i="25"/>
  <c r="E1220" i="25"/>
  <c r="E1221" i="25"/>
  <c r="E1222" i="25"/>
  <c r="E1223" i="25"/>
  <c r="E1224" i="25"/>
  <c r="C1277" i="25"/>
  <c r="E1402" i="25"/>
  <c r="E1403" i="25"/>
  <c r="E1404" i="25"/>
  <c r="C1405" i="25"/>
  <c r="E1405" i="25" s="1"/>
  <c r="E1406" i="25"/>
  <c r="E1407" i="25"/>
  <c r="E1408" i="25"/>
  <c r="E1409" i="25"/>
  <c r="E1410" i="25"/>
  <c r="E1411" i="25"/>
  <c r="E1412" i="25"/>
  <c r="E1413" i="25"/>
  <c r="E2038" i="25"/>
  <c r="E2039" i="25"/>
  <c r="E2040" i="25"/>
  <c r="E2041" i="25"/>
  <c r="E2042" i="25"/>
  <c r="E2043" i="25"/>
  <c r="E2044" i="25"/>
  <c r="E2150" i="25"/>
  <c r="E2151" i="25"/>
  <c r="E2152" i="25"/>
  <c r="E2153" i="25"/>
  <c r="E2154" i="25"/>
  <c r="E2155" i="25"/>
  <c r="E2231" i="25"/>
  <c r="F2231" i="25" s="1"/>
  <c r="E2232" i="25"/>
  <c r="F2232" i="25" s="1"/>
  <c r="E2234" i="25"/>
  <c r="F2234" i="25" s="1"/>
  <c r="E2235" i="25"/>
  <c r="F2235" i="25" s="1"/>
  <c r="E2236" i="25"/>
  <c r="F2236" i="25" s="1"/>
  <c r="E2237" i="25"/>
  <c r="F2237" i="25" s="1"/>
  <c r="E2238" i="25"/>
  <c r="F2238" i="25" s="1"/>
  <c r="E2239" i="25"/>
  <c r="F2239" i="25" s="1"/>
  <c r="E2240" i="25"/>
  <c r="F2240" i="25" s="1"/>
  <c r="E2241" i="25"/>
  <c r="F2241" i="25" s="1"/>
  <c r="E2242" i="25"/>
  <c r="F2242" i="25" s="1"/>
  <c r="E2243" i="25"/>
  <c r="F2243" i="25" s="1"/>
  <c r="E2245" i="25"/>
  <c r="F2245" i="25" s="1"/>
  <c r="E2246" i="25"/>
  <c r="F2246" i="25" s="1"/>
  <c r="E2247" i="25"/>
  <c r="F2247" i="25" s="1"/>
  <c r="E2248" i="25"/>
  <c r="F2248" i="25" s="1"/>
  <c r="E2249" i="25"/>
  <c r="F2249" i="25" s="1"/>
  <c r="C2250" i="25"/>
  <c r="E2250" i="25" s="1"/>
  <c r="F2250" i="25" s="1"/>
  <c r="E2251" i="25"/>
  <c r="F2251" i="25" s="1"/>
  <c r="E2252" i="25"/>
  <c r="F2252" i="25" s="1"/>
  <c r="E2253" i="25"/>
  <c r="F2253" i="25" s="1"/>
  <c r="E2254" i="25"/>
  <c r="F2254" i="25" s="1"/>
  <c r="E2255" i="25"/>
  <c r="F2255" i="25" s="1"/>
  <c r="E2256" i="25"/>
  <c r="F2256" i="25" s="1"/>
  <c r="E2257" i="25"/>
  <c r="F2257" i="25" s="1"/>
  <c r="E2258" i="25"/>
  <c r="F2258" i="25" s="1"/>
  <c r="E2259" i="25"/>
  <c r="F2259" i="25" s="1"/>
  <c r="E2260" i="25"/>
  <c r="F2260" i="25" s="1"/>
  <c r="E2263" i="25"/>
  <c r="E2355" i="25"/>
  <c r="E2349" i="25"/>
  <c r="E2362" i="25"/>
  <c r="E2357" i="25"/>
  <c r="E2354" i="25"/>
  <c r="E2367" i="25"/>
  <c r="E2352" i="25"/>
  <c r="E2358" i="25"/>
  <c r="E2360" i="25"/>
  <c r="E2368" i="25"/>
  <c r="E2350" i="25"/>
  <c r="E2366" i="25"/>
  <c r="E2364" i="25"/>
  <c r="C2365" i="25"/>
  <c r="E2365" i="25" s="1"/>
  <c r="E2353" i="25"/>
  <c r="C2359" i="25"/>
  <c r="E2359" i="25" s="1"/>
  <c r="E2361" i="25"/>
  <c r="E2363" i="25"/>
  <c r="C2351" i="25"/>
  <c r="E2351" i="25" s="1"/>
  <c r="E2356" i="25"/>
  <c r="H2416" i="25"/>
  <c r="E2416" i="25"/>
  <c r="F2416" i="25" s="1"/>
  <c r="E2418" i="25"/>
  <c r="F2418" i="25" s="1"/>
  <c r="E2419" i="25"/>
  <c r="F2419" i="25" s="1"/>
  <c r="E2420" i="25"/>
  <c r="F2420" i="25" s="1"/>
  <c r="E2421" i="25"/>
  <c r="F2421" i="25" s="1"/>
  <c r="E2422" i="25"/>
  <c r="F2422" i="25" s="1"/>
  <c r="E2423" i="25"/>
  <c r="F2423" i="25" s="1"/>
  <c r="E2424" i="25"/>
  <c r="F2424" i="25" s="1"/>
  <c r="E2425" i="25"/>
  <c r="F2425" i="25" s="1"/>
  <c r="E2427" i="25"/>
  <c r="F2427" i="25" s="1"/>
  <c r="E2428" i="25"/>
  <c r="F2428" i="25" s="1"/>
  <c r="E2429" i="25"/>
  <c r="F2429" i="25" s="1"/>
  <c r="E2430" i="25"/>
  <c r="F2430" i="25" s="1"/>
  <c r="E2431" i="25"/>
  <c r="F2431" i="25" s="1"/>
  <c r="C2432" i="25"/>
  <c r="E2432" i="25" s="1"/>
  <c r="F2432" i="25" s="1"/>
  <c r="E2433" i="25"/>
  <c r="F2433" i="25" s="1"/>
  <c r="E2434" i="25"/>
  <c r="F2434" i="25" s="1"/>
  <c r="E2435" i="25"/>
  <c r="F2435" i="25" s="1"/>
  <c r="E2436" i="25"/>
  <c r="F2436" i="25" s="1"/>
  <c r="E2437" i="25"/>
  <c r="F2437" i="25" s="1"/>
  <c r="E2438" i="25"/>
  <c r="F2438" i="25" s="1"/>
  <c r="E2439" i="25"/>
  <c r="F2439" i="25" s="1"/>
  <c r="C2440" i="25"/>
  <c r="E2440" i="25" s="1"/>
  <c r="F2440" i="25" s="1"/>
  <c r="E2441" i="25"/>
  <c r="F2441" i="25" s="1"/>
  <c r="E2442" i="25"/>
  <c r="F2442" i="25" s="1"/>
  <c r="C2443" i="25"/>
  <c r="E2443" i="25" s="1"/>
  <c r="F2443" i="25" s="1"/>
  <c r="E2444" i="25"/>
  <c r="F2444" i="25" s="1"/>
  <c r="E1745" i="25"/>
  <c r="F1745" i="25" s="1"/>
  <c r="E1762" i="25"/>
  <c r="F1762" i="25" s="1"/>
  <c r="N2035" i="25"/>
  <c r="O2035" i="25"/>
  <c r="P2035" i="25"/>
  <c r="Q2035" i="25"/>
  <c r="R2035" i="25"/>
  <c r="S2035" i="25"/>
  <c r="T2035" i="25"/>
  <c r="H3160" i="25"/>
  <c r="O4095" i="25"/>
  <c r="P4095" i="25"/>
  <c r="L3673" i="25"/>
  <c r="L3674" i="25"/>
  <c r="L3675" i="25"/>
  <c r="L3676" i="25"/>
  <c r="L3677" i="25"/>
  <c r="L3678" i="25"/>
  <c r="P2629" i="25"/>
  <c r="P2630" i="25"/>
  <c r="P2631" i="25"/>
  <c r="P2632" i="25"/>
  <c r="P2633" i="25"/>
  <c r="L5618" i="25"/>
  <c r="L5619" i="25"/>
  <c r="L5620" i="25"/>
  <c r="L5621" i="25"/>
  <c r="L5622" i="25"/>
  <c r="L5623" i="25"/>
  <c r="L5624" i="25"/>
  <c r="L5625" i="25"/>
  <c r="L5626" i="25"/>
  <c r="L5627" i="25"/>
  <c r="L5628" i="25"/>
  <c r="L5629" i="25"/>
  <c r="L5630" i="25"/>
  <c r="S3316" i="25"/>
  <c r="T3316" i="25"/>
  <c r="U3316" i="25"/>
  <c r="V3316" i="25"/>
  <c r="W3316" i="25"/>
  <c r="X3316" i="25"/>
  <c r="Z3316" i="25"/>
  <c r="AA3316" i="25"/>
  <c r="E10107" i="25"/>
  <c r="E10108" i="25"/>
  <c r="E10109" i="25"/>
  <c r="E10110" i="25"/>
  <c r="E10111" i="25"/>
  <c r="E10112" i="25"/>
  <c r="E10113" i="25"/>
  <c r="E10114" i="25"/>
  <c r="E10115" i="25"/>
  <c r="E10116" i="25"/>
  <c r="E10117" i="25"/>
  <c r="E10118" i="25"/>
  <c r="L4457" i="25"/>
  <c r="L4458" i="25"/>
  <c r="L4459" i="25"/>
  <c r="L4460" i="25"/>
  <c r="L4461" i="25"/>
  <c r="L4462" i="25"/>
  <c r="L4463" i="25"/>
  <c r="L4464" i="25"/>
  <c r="L4465" i="25"/>
  <c r="L5580" i="25"/>
  <c r="K4805" i="25"/>
  <c r="L4805" i="25"/>
  <c r="AC2080" i="25"/>
  <c r="AD2080" i="25"/>
  <c r="AE2080" i="25"/>
  <c r="AF2080" i="25" s="1"/>
  <c r="R2960" i="25"/>
  <c r="S2960" i="25"/>
  <c r="T2960" i="25"/>
  <c r="U2960" i="25"/>
  <c r="E4185" i="25"/>
  <c r="F4185" i="25" s="1"/>
  <c r="W3138" i="25"/>
  <c r="L4706" i="25"/>
  <c r="L4702" i="25"/>
  <c r="L4715" i="25"/>
  <c r="L4707" i="25"/>
  <c r="L4716" i="25"/>
  <c r="L4696" i="25"/>
  <c r="F4726" i="25"/>
  <c r="N4652" i="25"/>
  <c r="O4652" i="25"/>
  <c r="P4652" i="25"/>
  <c r="Q4652" i="25"/>
  <c r="R4652" i="25"/>
  <c r="S4652" i="25"/>
  <c r="T4652" i="25"/>
  <c r="U4652" i="25"/>
  <c r="V4652" i="25"/>
  <c r="P4316" i="25"/>
  <c r="Q4316" i="25"/>
  <c r="R4316" i="25"/>
  <c r="S4316" i="25"/>
  <c r="T4316" i="25"/>
  <c r="U4316" i="25"/>
  <c r="V4316" i="25"/>
  <c r="W4316" i="25"/>
  <c r="X4316" i="25"/>
  <c r="Z4316" i="25"/>
  <c r="H4430" i="25"/>
  <c r="M4805" i="25"/>
  <c r="N4805" i="25"/>
  <c r="O4805" i="25"/>
  <c r="P4805" i="25"/>
  <c r="Q4805" i="25"/>
  <c r="R4805" i="25"/>
  <c r="S4805" i="25"/>
  <c r="T4805" i="25"/>
  <c r="U4805" i="25"/>
  <c r="V4805" i="25"/>
  <c r="W4805" i="25"/>
  <c r="X4805" i="25"/>
  <c r="Q4095" i="25"/>
  <c r="R4095" i="25"/>
  <c r="S4095" i="25"/>
  <c r="T4095" i="25"/>
  <c r="U4095" i="25"/>
  <c r="V4095" i="25"/>
  <c r="W4095" i="25"/>
  <c r="X4095" i="25"/>
  <c r="Z4095" i="25"/>
  <c r="AA4095" i="25"/>
  <c r="AB4095" i="25"/>
  <c r="AC4095" i="25"/>
  <c r="AD4095" i="25"/>
  <c r="AE4095" i="25"/>
  <c r="AF4095" i="25"/>
  <c r="AG4095" i="25"/>
  <c r="F1805" i="25"/>
  <c r="L5581" i="25"/>
  <c r="L5582" i="25"/>
  <c r="L5583" i="25"/>
  <c r="L5584" i="25"/>
  <c r="L5585" i="25"/>
  <c r="L5586" i="25"/>
  <c r="L5587" i="25"/>
  <c r="L5588" i="25"/>
  <c r="O5307" i="25"/>
  <c r="P5307" i="25"/>
  <c r="Q5307" i="25"/>
  <c r="R5307" i="25"/>
  <c r="S5307" i="25"/>
  <c r="T5307" i="25"/>
  <c r="U5307" i="25"/>
  <c r="V5307" i="25"/>
  <c r="W5307" i="25"/>
  <c r="X5307" i="25"/>
  <c r="N5869" i="25"/>
  <c r="N5870" i="25"/>
  <c r="N5871" i="25"/>
  <c r="N5872" i="25"/>
  <c r="N5873" i="25"/>
  <c r="P2634" i="25"/>
  <c r="L4663" i="25"/>
  <c r="L4664" i="25"/>
  <c r="L4665" i="25"/>
  <c r="L4666" i="25"/>
  <c r="L4667" i="25"/>
  <c r="L4668" i="25"/>
  <c r="L4669" i="25"/>
  <c r="L4670" i="25"/>
  <c r="L4671" i="25"/>
  <c r="L4672" i="25"/>
  <c r="L4673" i="25"/>
  <c r="L4674" i="25"/>
  <c r="L4675" i="25"/>
  <c r="L4676" i="25"/>
  <c r="H9040" i="25"/>
  <c r="H9038" i="25"/>
  <c r="H4945" i="25"/>
  <c r="N5874" i="25"/>
  <c r="N5875" i="25"/>
  <c r="N5876" i="25"/>
  <c r="N5877" i="25"/>
  <c r="N5878" i="25"/>
  <c r="N5879" i="25"/>
  <c r="N5880" i="25"/>
  <c r="N5881" i="25"/>
  <c r="N5882" i="25"/>
  <c r="L4466" i="25"/>
  <c r="L4467" i="25"/>
  <c r="L4468" i="25"/>
  <c r="L4469" i="25"/>
  <c r="W4652" i="25"/>
  <c r="X4652" i="25"/>
  <c r="Z4652" i="25"/>
  <c r="AA4652" i="25"/>
  <c r="AB4652" i="25"/>
  <c r="AC4652" i="25"/>
  <c r="AD4652" i="25"/>
  <c r="AE4652" i="25"/>
  <c r="AF4652" i="25"/>
  <c r="AG4652" i="25"/>
  <c r="Z4805" i="25"/>
  <c r="AA4805" i="25"/>
  <c r="AB4805" i="25"/>
  <c r="AC4805" i="25"/>
  <c r="AD4805" i="25"/>
  <c r="AE4805" i="25"/>
  <c r="AF4805" i="25"/>
  <c r="AA4316" i="25"/>
  <c r="AB4316" i="25"/>
  <c r="AC4316" i="25"/>
  <c r="AD4316" i="25"/>
  <c r="AE4316" i="25"/>
  <c r="AF4316" i="25"/>
  <c r="AG4316" i="25"/>
  <c r="H9744" i="25"/>
  <c r="H5890" i="25"/>
  <c r="H5891" i="25"/>
  <c r="H5892" i="25"/>
  <c r="H5893" i="25" s="1"/>
  <c r="L6633" i="25"/>
  <c r="L6634" i="25"/>
  <c r="L6635" i="25"/>
  <c r="L6636" i="25"/>
  <c r="Z5307" i="25"/>
  <c r="AA5307" i="25"/>
  <c r="AB5307" i="25"/>
  <c r="AC5307" i="25"/>
  <c r="H11092" i="25"/>
  <c r="H5884" i="25"/>
  <c r="H11965" i="25"/>
  <c r="F11965" i="25" s="1"/>
  <c r="F11966" i="25" s="1"/>
  <c r="F11967" i="25" s="1"/>
  <c r="F11968" i="25" s="1"/>
  <c r="F11969" i="25" s="1"/>
  <c r="F11971" i="25" s="1"/>
  <c r="AN396" i="29" s="1"/>
  <c r="L6637" i="25"/>
  <c r="L6638" i="25"/>
  <c r="L6639" i="25"/>
  <c r="L6640" i="25"/>
  <c r="L6641" i="25"/>
  <c r="L6642" i="25"/>
  <c r="AD5307" i="25"/>
  <c r="AE5307" i="25"/>
  <c r="AF5307" i="25" s="1"/>
  <c r="AQ312" i="29"/>
  <c r="AP312" i="29" s="1"/>
  <c r="D989" i="25"/>
  <c r="D8815" i="25"/>
  <c r="F8820" i="25" s="1"/>
  <c r="AN300" i="29" s="1"/>
  <c r="D9626" i="25"/>
  <c r="E9626" i="25" s="1"/>
  <c r="F9626" i="25" s="1"/>
  <c r="D12331" i="25"/>
  <c r="O8963" i="25"/>
  <c r="O8964" i="25"/>
  <c r="O8965" i="25"/>
  <c r="O8966" i="25"/>
  <c r="L9059" i="25"/>
  <c r="L9060" i="25"/>
  <c r="L9061" i="25"/>
  <c r="L8597" i="25"/>
  <c r="L8598" i="25"/>
  <c r="L8599" i="25"/>
  <c r="L8600" i="25"/>
  <c r="L8601" i="25"/>
  <c r="L8602" i="25"/>
  <c r="L8603" i="25"/>
  <c r="L8604" i="25"/>
  <c r="L9062" i="25"/>
  <c r="L9063" i="25"/>
  <c r="L9064" i="25"/>
  <c r="L9065" i="25"/>
  <c r="AX306" i="29"/>
  <c r="AY306" i="29" s="1"/>
  <c r="AZ306" i="29"/>
  <c r="AW341" i="29"/>
  <c r="O8967" i="25"/>
  <c r="O8968" i="25"/>
  <c r="O8969" i="25"/>
  <c r="O8970" i="25"/>
  <c r="L10934" i="25"/>
  <c r="L9496" i="25"/>
  <c r="L9497" i="25"/>
  <c r="L9498" i="25"/>
  <c r="L9499" i="25"/>
  <c r="L9500" i="25"/>
  <c r="L9501" i="25"/>
  <c r="O9968" i="25"/>
  <c r="O9969" i="25"/>
  <c r="L8944" i="25"/>
  <c r="L8945" i="25"/>
  <c r="L8946" i="25"/>
  <c r="L8947" i="25"/>
  <c r="L8948" i="25"/>
  <c r="L8949" i="25"/>
  <c r="L8950" i="25"/>
  <c r="L10971" i="25"/>
  <c r="L10973" i="25"/>
  <c r="L10974" i="25"/>
  <c r="O8971" i="25"/>
  <c r="O8972" i="25"/>
  <c r="O8973" i="25"/>
  <c r="O8974" i="25"/>
  <c r="O8975" i="25"/>
  <c r="O8976" i="25"/>
  <c r="O8977" i="25"/>
  <c r="L9066" i="25"/>
  <c r="L9067" i="25"/>
  <c r="L9068" i="25"/>
  <c r="L9523" i="25"/>
  <c r="L9524" i="25"/>
  <c r="L9525" i="25"/>
  <c r="L9526" i="25"/>
  <c r="L9527" i="25"/>
  <c r="O9970" i="25"/>
  <c r="O9971" i="25"/>
  <c r="O9972" i="25"/>
  <c r="O9973" i="25"/>
  <c r="O9974" i="25"/>
  <c r="O9975" i="25"/>
  <c r="O9976" i="25"/>
  <c r="O9977" i="25"/>
  <c r="O9978" i="25"/>
  <c r="O9979" i="25"/>
  <c r="O9980" i="25"/>
  <c r="O9981" i="25"/>
  <c r="O9982" i="25"/>
  <c r="O9983" i="25"/>
  <c r="O9984" i="25"/>
  <c r="L10935" i="25"/>
  <c r="L10936" i="25"/>
  <c r="L10937" i="25"/>
  <c r="R9252" i="25"/>
  <c r="S9252" i="25"/>
  <c r="T9252" i="25"/>
  <c r="U9252" i="25"/>
  <c r="V9252" i="25"/>
  <c r="W9252" i="25"/>
  <c r="D1717" i="25"/>
  <c r="D1956" i="25"/>
  <c r="E1956" i="25" s="1"/>
  <c r="F1956" i="25" s="1"/>
  <c r="F1957" i="25" s="1"/>
  <c r="D4374" i="25"/>
  <c r="D11965" i="25"/>
  <c r="D13331" i="25"/>
  <c r="F13332" i="25" s="1"/>
  <c r="AQ432" i="29" s="1"/>
  <c r="AP432" i="29" s="1"/>
  <c r="D13337" i="25"/>
  <c r="F13338" i="25" s="1"/>
  <c r="AQ435" i="29" s="1"/>
  <c r="AP435" i="29" s="1"/>
  <c r="F13337" i="25"/>
  <c r="F13340" i="25" s="1"/>
  <c r="AN435" i="29" s="1"/>
  <c r="D12475" i="25"/>
  <c r="AP455" i="29"/>
  <c r="AN455" i="29" s="1"/>
  <c r="D9046" i="25"/>
  <c r="AQ443" i="29"/>
  <c r="AP443" i="29" s="1"/>
  <c r="AN443" i="29"/>
  <c r="F13331" i="25"/>
  <c r="F13334" i="25" s="1"/>
  <c r="AN432" i="29" s="1"/>
  <c r="AV181" i="29"/>
  <c r="D1715" i="25"/>
  <c r="D4373" i="25"/>
  <c r="L8605" i="25"/>
  <c r="L8606" i="25"/>
  <c r="L8607" i="25"/>
  <c r="L9069" i="25"/>
  <c r="L9070" i="25"/>
  <c r="L9528" i="25"/>
  <c r="L9529" i="25"/>
  <c r="L9530" i="25"/>
  <c r="L9531" i="25"/>
  <c r="L9532" i="25"/>
  <c r="L9502" i="25"/>
  <c r="L9503" i="25"/>
  <c r="L9504" i="25"/>
  <c r="L9505" i="25"/>
  <c r="L9506" i="25"/>
  <c r="L9071" i="25"/>
  <c r="L9072" i="25"/>
  <c r="L9073" i="25"/>
  <c r="L9074" i="25"/>
  <c r="L9075" i="25"/>
  <c r="AR254" i="29"/>
  <c r="AS254" i="29" s="1"/>
  <c r="AN306" i="29"/>
  <c r="AQ306" i="29"/>
  <c r="AP306" i="29" s="1"/>
  <c r="AV211" i="29"/>
  <c r="AW211" i="29" s="1"/>
  <c r="X9252" i="25"/>
  <c r="Z9252" i="25"/>
  <c r="AA9252" i="25"/>
  <c r="L9533" i="25"/>
  <c r="L9534" i="25"/>
  <c r="L9536" i="25"/>
  <c r="L9537" i="25"/>
  <c r="L9538" i="25"/>
  <c r="L9539" i="25"/>
  <c r="L9507" i="25"/>
  <c r="L9508" i="25"/>
  <c r="L9509" i="25"/>
  <c r="F3899" i="25"/>
  <c r="H3612" i="25"/>
  <c r="AR253" i="29"/>
  <c r="AP315" i="29"/>
  <c r="AN315" i="29"/>
  <c r="AQ316" i="29"/>
  <c r="T9256" i="25"/>
  <c r="U9256" i="25"/>
  <c r="AN316" i="29"/>
  <c r="AN361" i="29"/>
  <c r="AQ329" i="29"/>
  <c r="AP329" i="29" s="1"/>
  <c r="AN329" i="29"/>
  <c r="L9510" i="25"/>
  <c r="L9511" i="25"/>
  <c r="L9512" i="25"/>
  <c r="AP316" i="29"/>
  <c r="AP311" i="29"/>
  <c r="AQ311" i="29"/>
  <c r="AP320" i="29"/>
  <c r="AQ320" i="29"/>
  <c r="AQ323" i="29"/>
  <c r="AN323" i="29"/>
  <c r="AN321" i="29"/>
  <c r="AP319" i="29"/>
  <c r="AN319" i="29"/>
  <c r="AQ319" i="29"/>
  <c r="AQ337" i="29"/>
  <c r="AN337" i="29"/>
  <c r="AQ346" i="29"/>
  <c r="L10723" i="25"/>
  <c r="L10724" i="25"/>
  <c r="L10725" i="25"/>
  <c r="I9626" i="25"/>
  <c r="I9627" i="25" s="1"/>
  <c r="AN346" i="29"/>
  <c r="AQ325" i="29"/>
  <c r="AP325" i="29"/>
  <c r="AP318" i="29"/>
  <c r="AQ318" i="29"/>
  <c r="AP328" i="29"/>
  <c r="AQ328" i="29"/>
  <c r="AN328" i="29"/>
  <c r="AN333" i="29"/>
  <c r="AQ333" i="29"/>
  <c r="AP330" i="29"/>
  <c r="AQ330" i="29"/>
  <c r="F4763" i="25"/>
  <c r="AV225" i="29"/>
  <c r="AW225" i="29" s="1"/>
  <c r="AQ334" i="29"/>
  <c r="AP334" i="29" s="1"/>
  <c r="G9784" i="25"/>
  <c r="AN334" i="29"/>
  <c r="D990" i="25"/>
  <c r="AS370" i="29"/>
  <c r="AX350" i="29"/>
  <c r="AY350" i="29" s="1"/>
  <c r="AZ350" i="29"/>
  <c r="AQ336" i="29"/>
  <c r="AN336" i="29"/>
  <c r="AP336" i="29"/>
  <c r="AQ344" i="29"/>
  <c r="AN339" i="29"/>
  <c r="AP339" i="29"/>
  <c r="AQ339" i="29"/>
  <c r="AP344" i="29"/>
  <c r="AN344" i="29"/>
  <c r="AQ347" i="29"/>
  <c r="AP347" i="29"/>
  <c r="F10786" i="25"/>
  <c r="AQ350" i="29" s="1"/>
  <c r="F10787" i="25"/>
  <c r="AN350" i="29" s="1"/>
  <c r="AP350" i="29"/>
  <c r="AP478" i="29"/>
  <c r="AQ352" i="29"/>
  <c r="AP352" i="29"/>
  <c r="AQ354" i="29"/>
  <c r="AN354" i="29"/>
  <c r="AN356" i="29"/>
  <c r="AP356" i="29"/>
  <c r="AP354" i="29"/>
  <c r="AQ368" i="29"/>
  <c r="AP368" i="29" s="1"/>
  <c r="AQ356" i="29"/>
  <c r="AN368" i="29"/>
  <c r="AN359" i="29"/>
  <c r="AP359" i="29"/>
  <c r="AQ359" i="29"/>
  <c r="L11648" i="25"/>
  <c r="L11649" i="25"/>
  <c r="AP358" i="29"/>
  <c r="AQ358" i="29"/>
  <c r="AP355" i="29"/>
  <c r="AQ355" i="29"/>
  <c r="AT383" i="29"/>
  <c r="AU383" i="29" s="1"/>
  <c r="AN362" i="29"/>
  <c r="AP362" i="29"/>
  <c r="L11650" i="25"/>
  <c r="L11651" i="25"/>
  <c r="L11652" i="25"/>
  <c r="L11723" i="25"/>
  <c r="L11724" i="25"/>
  <c r="AQ360" i="29"/>
  <c r="AP360" i="29"/>
  <c r="AN381" i="29"/>
  <c r="AN489" i="29"/>
  <c r="AQ381" i="29"/>
  <c r="AT380" i="29"/>
  <c r="AU380" i="29" s="1"/>
  <c r="AS380" i="29"/>
  <c r="AN373" i="29"/>
  <c r="L11725" i="25"/>
  <c r="L11727" i="25"/>
  <c r="L11726" i="25"/>
  <c r="AN370" i="29"/>
  <c r="AQ370" i="29"/>
  <c r="AP370" i="29"/>
  <c r="H9130" i="25"/>
  <c r="L11656" i="25"/>
  <c r="L11653" i="25"/>
  <c r="L11655" i="25"/>
  <c r="L11654" i="25"/>
  <c r="L11728" i="25"/>
  <c r="Q11945" i="25"/>
  <c r="Q11944" i="25"/>
  <c r="Q11943" i="25"/>
  <c r="Q11942" i="25"/>
  <c r="L11978" i="25"/>
  <c r="L11979" i="25"/>
  <c r="L11980" i="25"/>
  <c r="AQ379" i="29"/>
  <c r="L12183" i="25"/>
  <c r="AP365" i="29"/>
  <c r="AQ365" i="29"/>
  <c r="AQ376" i="29"/>
  <c r="AN376" i="29"/>
  <c r="AP374" i="29"/>
  <c r="AQ374" i="29"/>
  <c r="AN374" i="29"/>
  <c r="AQ375" i="29"/>
  <c r="AN379" i="29"/>
  <c r="AP379" i="29"/>
  <c r="AP375" i="29"/>
  <c r="AN375" i="29"/>
  <c r="AP378" i="29"/>
  <c r="AQ378" i="29"/>
  <c r="AN378" i="29"/>
  <c r="AP380" i="29"/>
  <c r="AQ380" i="29"/>
  <c r="L11657" i="25"/>
  <c r="L11658" i="25"/>
  <c r="L11982" i="25"/>
  <c r="L11981" i="25"/>
  <c r="L11729" i="25"/>
  <c r="L11730" i="25"/>
  <c r="Q11947" i="25"/>
  <c r="Q11946" i="25"/>
  <c r="L12184" i="25"/>
  <c r="L12185" i="25"/>
  <c r="L11732" i="25"/>
  <c r="L11660" i="25"/>
  <c r="L11731" i="25"/>
  <c r="L12186" i="25"/>
  <c r="L12187" i="25"/>
  <c r="AP383" i="29"/>
  <c r="AQ383" i="29"/>
  <c r="Q11949" i="25"/>
  <c r="Q11950" i="25"/>
  <c r="Q11948" i="25"/>
  <c r="L11985" i="25"/>
  <c r="L11983" i="25"/>
  <c r="L11984" i="25"/>
  <c r="AQ385" i="29"/>
  <c r="AP385" i="29"/>
  <c r="I16225" i="25"/>
  <c r="AQ503" i="29" s="1"/>
  <c r="AP462" i="29"/>
  <c r="AQ382" i="29"/>
  <c r="AP382" i="29" s="1"/>
  <c r="AN382" i="29"/>
  <c r="L11661" i="25"/>
  <c r="L11663" i="25"/>
  <c r="L11662" i="25"/>
  <c r="AQ384" i="29"/>
  <c r="AP384" i="29" s="1"/>
  <c r="L11665" i="25"/>
  <c r="L11664" i="25"/>
  <c r="AN384" i="29"/>
  <c r="L11987" i="25"/>
  <c r="L11988" i="25"/>
  <c r="L11989" i="25"/>
  <c r="L11734" i="25"/>
  <c r="L11736" i="25"/>
  <c r="L11735" i="25"/>
  <c r="Q11951" i="25"/>
  <c r="Q11953" i="25"/>
  <c r="Q11954" i="25"/>
  <c r="L11986" i="25"/>
  <c r="H9131" i="25"/>
  <c r="Q11952" i="25"/>
  <c r="L11733" i="25"/>
  <c r="L11737" i="25"/>
  <c r="L12192" i="25"/>
  <c r="L12189" i="25"/>
  <c r="L12188" i="25"/>
  <c r="L12191" i="25"/>
  <c r="L12190" i="25"/>
  <c r="H9132" i="25"/>
  <c r="AN309" i="29"/>
  <c r="H9133" i="25"/>
  <c r="H9134" i="25" s="1"/>
  <c r="AQ309" i="29" s="1"/>
  <c r="AP309" i="29" s="1"/>
  <c r="AQ386" i="29"/>
  <c r="AN386" i="29"/>
  <c r="AP386" i="29"/>
  <c r="L11738" i="25"/>
  <c r="L11739" i="25"/>
  <c r="AQ388" i="29"/>
  <c r="AN388" i="29"/>
  <c r="AQ3" i="32"/>
  <c r="AP3" i="32"/>
  <c r="F812" i="33"/>
  <c r="AN3" i="32" s="1"/>
  <c r="AQ4" i="32"/>
  <c r="AP4" i="32"/>
  <c r="H15332" i="25"/>
  <c r="AN476" i="29"/>
  <c r="AQ390" i="29"/>
  <c r="AN4" i="32"/>
  <c r="AQ389" i="29"/>
  <c r="AN389" i="29"/>
  <c r="AP389" i="29"/>
  <c r="AN390" i="29"/>
  <c r="AP390" i="29"/>
  <c r="L11992" i="25"/>
  <c r="L11991" i="25"/>
  <c r="L11993" i="25"/>
  <c r="AQ394" i="29"/>
  <c r="AP394" i="29" s="1"/>
  <c r="Q11957" i="25"/>
  <c r="Q11958" i="25"/>
  <c r="Q11955" i="25"/>
  <c r="AN394" i="29"/>
  <c r="Q11956" i="25"/>
  <c r="AQ393" i="29"/>
  <c r="AP393" i="29" s="1"/>
  <c r="AN393" i="29"/>
  <c r="AN392" i="29"/>
  <c r="AQ392" i="29"/>
  <c r="AP392" i="29" s="1"/>
  <c r="L12194" i="25"/>
  <c r="L12196" i="25"/>
  <c r="L12195" i="25"/>
  <c r="L12193" i="25"/>
  <c r="AN469" i="29"/>
  <c r="AP406" i="29"/>
  <c r="AQ406" i="29"/>
  <c r="AQ397" i="29"/>
  <c r="AP397" i="29"/>
  <c r="F12044" i="25"/>
  <c r="AN397" i="29" s="1"/>
  <c r="AQ395" i="29"/>
  <c r="L11994" i="25"/>
  <c r="AX405" i="29"/>
  <c r="AW405" i="29"/>
  <c r="AZ405" i="29"/>
  <c r="AN322" i="29"/>
  <c r="AP322" i="29"/>
  <c r="AQ322" i="29"/>
  <c r="L12198" i="25"/>
  <c r="AQ401" i="29"/>
  <c r="AP401" i="29" s="1"/>
  <c r="L12197" i="25"/>
  <c r="L12199" i="25"/>
  <c r="AQ403" i="29"/>
  <c r="AN401" i="29"/>
  <c r="AN403" i="29"/>
  <c r="AP403" i="29"/>
  <c r="AQ405" i="29"/>
  <c r="AQ404" i="29"/>
  <c r="AP405" i="29"/>
  <c r="AN405" i="29"/>
  <c r="AP404" i="29"/>
  <c r="AN404" i="29"/>
  <c r="AN413" i="29"/>
  <c r="AQ413" i="29"/>
  <c r="AP413" i="29"/>
  <c r="AX409" i="29"/>
  <c r="AQ409" i="29"/>
  <c r="AP409" i="29"/>
  <c r="AN409" i="29"/>
  <c r="AQ331" i="29"/>
  <c r="AP331" i="29"/>
  <c r="AP417" i="29"/>
  <c r="AQ417" i="29"/>
  <c r="AQ411" i="29"/>
  <c r="AQ408" i="29"/>
  <c r="AQ410" i="29"/>
  <c r="AN417" i="29"/>
  <c r="AQ412" i="29"/>
  <c r="AN408" i="29"/>
  <c r="AP408" i="29"/>
  <c r="AP411" i="29"/>
  <c r="AN411" i="29"/>
  <c r="AP410" i="29"/>
  <c r="AN410" i="29"/>
  <c r="AN412" i="29"/>
  <c r="AP412" i="29"/>
  <c r="AX415" i="29"/>
  <c r="AS423" i="29"/>
  <c r="AT423" i="29"/>
  <c r="AQ398" i="29"/>
  <c r="AN398" i="29"/>
  <c r="AP398" i="29"/>
  <c r="AW415" i="29"/>
  <c r="AZ415" i="29"/>
  <c r="AQ415" i="29"/>
  <c r="AP415" i="29"/>
  <c r="AN415" i="29"/>
  <c r="AQ482" i="29"/>
  <c r="AP482" i="29"/>
  <c r="AQ5" i="32"/>
  <c r="AQ416" i="29"/>
  <c r="AP5" i="32"/>
  <c r="AN5" i="32"/>
  <c r="AP416" i="29"/>
  <c r="AN416" i="29"/>
  <c r="F1128" i="25"/>
  <c r="AN465" i="29"/>
  <c r="AQ527" i="29"/>
  <c r="AP525" i="29"/>
  <c r="AQ419" i="29"/>
  <c r="AQ420" i="29"/>
  <c r="AP420" i="29"/>
  <c r="AP419" i="29"/>
  <c r="AN419" i="29"/>
  <c r="AN420" i="29"/>
  <c r="AQ426" i="29"/>
  <c r="AP426" i="29"/>
  <c r="AN426" i="29"/>
  <c r="AQ353" i="29"/>
  <c r="AP353" i="29"/>
  <c r="AQ465" i="29"/>
  <c r="AP465" i="29" s="1"/>
  <c r="AQ525" i="29"/>
  <c r="AP527" i="29"/>
  <c r="AQ488" i="29"/>
  <c r="AN527" i="29"/>
  <c r="AP488" i="29"/>
  <c r="AQ425" i="29"/>
  <c r="AP425" i="29" s="1"/>
  <c r="AQ421" i="29"/>
  <c r="AN391" i="29"/>
  <c r="AQ391" i="29"/>
  <c r="AP391" i="29" s="1"/>
  <c r="AN425" i="29"/>
  <c r="AP421" i="29"/>
  <c r="AN421" i="29"/>
  <c r="AQ6" i="32"/>
  <c r="AP6" i="32"/>
  <c r="AN6" i="32"/>
  <c r="AP348" i="29"/>
  <c r="AQ348" i="29"/>
  <c r="AR78" i="29"/>
  <c r="AS78" i="29" s="1"/>
  <c r="AV42" i="29"/>
  <c r="AW42" i="29" s="1"/>
  <c r="AV37" i="29"/>
  <c r="AZ37" i="29" s="1"/>
  <c r="AQ424" i="29"/>
  <c r="AP424" i="29"/>
  <c r="AN424" i="29"/>
  <c r="AR43" i="29"/>
  <c r="AS43" i="29" s="1"/>
  <c r="AV43" i="29"/>
  <c r="AZ43" i="29" s="1"/>
  <c r="AQ423" i="29"/>
  <c r="AS407" i="29"/>
  <c r="AS424" i="29"/>
  <c r="AN423" i="29"/>
  <c r="AP423" i="29"/>
  <c r="AR169" i="29"/>
  <c r="AS169" i="29" s="1"/>
  <c r="AR91" i="29"/>
  <c r="AS91" i="29" s="1"/>
  <c r="AR16" i="29"/>
  <c r="AS16" i="29" s="1"/>
  <c r="AV16" i="29"/>
  <c r="AZ16" i="29" s="1"/>
  <c r="AR69" i="29"/>
  <c r="AS69" i="29" s="1"/>
  <c r="AR64" i="29"/>
  <c r="AS64" i="29" s="1"/>
  <c r="AR136" i="29"/>
  <c r="AS136" i="29" s="1"/>
  <c r="M430" i="29"/>
  <c r="AV430" i="29" s="1"/>
  <c r="AZ430" i="29" s="1"/>
  <c r="AQ7" i="32"/>
  <c r="AQ430" i="29"/>
  <c r="AP422" i="29"/>
  <c r="AQ422" i="29"/>
  <c r="AN7" i="32"/>
  <c r="AP7" i="32"/>
  <c r="AP430" i="29"/>
  <c r="AN430" i="29"/>
  <c r="AN422" i="29"/>
  <c r="AN532" i="29"/>
  <c r="AP532" i="29"/>
  <c r="AQ351" i="29"/>
  <c r="AP351" i="29"/>
  <c r="AQ438" i="29"/>
  <c r="AQ431" i="29"/>
  <c r="AP431" i="29" s="1"/>
  <c r="AN431" i="29"/>
  <c r="AQ292" i="29"/>
  <c r="AN438" i="29"/>
  <c r="AP438" i="29"/>
  <c r="AN292" i="29"/>
  <c r="AP292" i="29"/>
  <c r="AQ437" i="29"/>
  <c r="AP437" i="29" s="1"/>
  <c r="AN437" i="29"/>
  <c r="AX15" i="32"/>
  <c r="E14012" i="25"/>
  <c r="F14012" i="25"/>
  <c r="AQ442" i="29" s="1"/>
  <c r="AP442" i="29" s="1"/>
  <c r="AZ541" i="29"/>
  <c r="AQ363" i="29"/>
  <c r="AP363" i="29"/>
  <c r="AN363" i="29"/>
  <c r="AQ436" i="29"/>
  <c r="M433" i="29"/>
  <c r="AV433" i="29" s="1"/>
  <c r="AW433" i="29" s="1"/>
  <c r="AQ433" i="29"/>
  <c r="AP436" i="29"/>
  <c r="AN436" i="29"/>
  <c r="AP433" i="29"/>
  <c r="AN433" i="29"/>
  <c r="AW74" i="32"/>
  <c r="AX463" i="29"/>
  <c r="AQ441" i="29"/>
  <c r="K14025" i="25"/>
  <c r="AQ444" i="29"/>
  <c r="AP441" i="29"/>
  <c r="AN441" i="29"/>
  <c r="AQ9" i="32"/>
  <c r="AN9" i="32"/>
  <c r="AP9" i="32"/>
  <c r="AN444" i="29"/>
  <c r="AP444" i="29"/>
  <c r="AQ446" i="29"/>
  <c r="AP446" i="29"/>
  <c r="AN446" i="29"/>
  <c r="M440" i="29"/>
  <c r="AV440" i="29" s="1"/>
  <c r="AW440" i="29" s="1"/>
  <c r="AQ440" i="29"/>
  <c r="AP440" i="29"/>
  <c r="AQ504" i="29"/>
  <c r="AQ506" i="29"/>
  <c r="AN440" i="29"/>
  <c r="AP504" i="29"/>
  <c r="AP506" i="29"/>
  <c r="AN506" i="29"/>
  <c r="AN504" i="29"/>
  <c r="AW564" i="29"/>
  <c r="AZ564" i="29"/>
  <c r="AQ12" i="32"/>
  <c r="AZ454" i="29" l="1"/>
  <c r="AW463" i="29"/>
  <c r="AW457" i="29"/>
  <c r="AX457" i="29"/>
  <c r="E1272" i="25"/>
  <c r="F1272" i="25" s="1"/>
  <c r="E4817" i="25"/>
  <c r="E2732" i="25"/>
  <c r="E828" i="25"/>
  <c r="E4459" i="25"/>
  <c r="F4459" i="25" s="1"/>
  <c r="E693" i="25"/>
  <c r="E4458" i="25"/>
  <c r="F4458" i="25" s="1"/>
  <c r="E305" i="25"/>
  <c r="E1902" i="25"/>
  <c r="F1902" i="25" s="1"/>
  <c r="E607" i="25"/>
  <c r="E15709" i="25"/>
  <c r="F15709" i="25" s="1"/>
  <c r="E17797" i="25"/>
  <c r="F17797" i="25" s="1"/>
  <c r="E17781" i="25"/>
  <c r="F17781" i="25" s="1"/>
  <c r="D17804" i="25"/>
  <c r="E17804" i="25" s="1"/>
  <c r="F17804" i="25" s="1"/>
  <c r="D17799" i="25"/>
  <c r="E17799" i="25" s="1"/>
  <c r="F17799" i="25" s="1"/>
  <c r="D17794" i="25"/>
  <c r="E17794" i="25" s="1"/>
  <c r="F17794" i="25" s="1"/>
  <c r="D17792" i="25"/>
  <c r="E17792" i="25" s="1"/>
  <c r="F17792" i="25" s="1"/>
  <c r="E17777" i="25"/>
  <c r="F17777" i="25" s="1"/>
  <c r="D17273" i="25"/>
  <c r="E17273" i="25" s="1"/>
  <c r="F17273" i="25" s="1"/>
  <c r="I17273" i="25"/>
  <c r="J17273" i="25" s="1"/>
  <c r="K17273" i="25" s="1"/>
  <c r="D17281" i="25"/>
  <c r="E17281" i="25" s="1"/>
  <c r="F17281" i="25" s="1"/>
  <c r="I17281" i="25"/>
  <c r="J17281" i="25" s="1"/>
  <c r="K17281" i="25" s="1"/>
  <c r="D17289" i="25"/>
  <c r="E17289" i="25" s="1"/>
  <c r="F17289" i="25" s="1"/>
  <c r="I17289" i="25"/>
  <c r="J17289" i="25" s="1"/>
  <c r="K17289" i="25" s="1"/>
  <c r="D17655" i="25"/>
  <c r="E17655" i="25" s="1"/>
  <c r="F17655" i="25" s="1"/>
  <c r="D17663" i="25"/>
  <c r="E17663" i="25" s="1"/>
  <c r="F17663" i="25" s="1"/>
  <c r="D17671" i="25"/>
  <c r="E17671" i="25" s="1"/>
  <c r="F17671" i="25" s="1"/>
  <c r="D17679" i="25"/>
  <c r="E17679" i="25" s="1"/>
  <c r="F17679" i="25" s="1"/>
  <c r="E1915" i="25"/>
  <c r="F1915" i="25" s="1"/>
  <c r="E1802" i="25"/>
  <c r="F1802" i="25" s="1"/>
  <c r="D17264" i="25"/>
  <c r="E17264" i="25" s="1"/>
  <c r="F17264" i="25" s="1"/>
  <c r="I17264" i="25"/>
  <c r="J17264" i="25" s="1"/>
  <c r="K17264" i="25" s="1"/>
  <c r="D17274" i="25"/>
  <c r="E17274" i="25" s="1"/>
  <c r="F17274" i="25" s="1"/>
  <c r="I17274" i="25"/>
  <c r="J17274" i="25" s="1"/>
  <c r="K17274" i="25" s="1"/>
  <c r="D17282" i="25"/>
  <c r="E17282" i="25" s="1"/>
  <c r="F17282" i="25" s="1"/>
  <c r="I17282" i="25"/>
  <c r="J17282" i="25" s="1"/>
  <c r="K17282" i="25" s="1"/>
  <c r="D17290" i="25"/>
  <c r="E17290" i="25" s="1"/>
  <c r="F17290" i="25" s="1"/>
  <c r="I17290" i="25"/>
  <c r="J17290" i="25" s="1"/>
  <c r="K17290" i="25" s="1"/>
  <c r="D17656" i="25"/>
  <c r="E17656" i="25" s="1"/>
  <c r="F17656" i="25" s="1"/>
  <c r="D17664" i="25"/>
  <c r="E17664" i="25" s="1"/>
  <c r="F17664" i="25" s="1"/>
  <c r="D17672" i="25"/>
  <c r="E17672" i="25" s="1"/>
  <c r="F17672" i="25" s="1"/>
  <c r="D17265" i="25"/>
  <c r="E17265" i="25" s="1"/>
  <c r="F17265" i="25" s="1"/>
  <c r="I17265" i="25"/>
  <c r="J17265" i="25" s="1"/>
  <c r="K17265" i="25" s="1"/>
  <c r="D17275" i="25"/>
  <c r="E17275" i="25" s="1"/>
  <c r="F17275" i="25" s="1"/>
  <c r="I17275" i="25"/>
  <c r="J17275" i="25" s="1"/>
  <c r="K17275" i="25" s="1"/>
  <c r="D17283" i="25"/>
  <c r="E17283" i="25" s="1"/>
  <c r="F17283" i="25" s="1"/>
  <c r="I17283" i="25"/>
  <c r="J17283" i="25" s="1"/>
  <c r="K17283" i="25" s="1"/>
  <c r="D17291" i="25"/>
  <c r="E17291" i="25" s="1"/>
  <c r="F17291" i="25" s="1"/>
  <c r="I17291" i="25"/>
  <c r="J17291" i="25" s="1"/>
  <c r="K17291" i="25" s="1"/>
  <c r="D17657" i="25"/>
  <c r="E17657" i="25" s="1"/>
  <c r="F17657" i="25" s="1"/>
  <c r="D17665" i="25"/>
  <c r="E17665" i="25" s="1"/>
  <c r="F17665" i="25" s="1"/>
  <c r="D17673" i="25"/>
  <c r="E17673" i="25" s="1"/>
  <c r="F17673" i="25" s="1"/>
  <c r="E4470" i="25"/>
  <c r="F4470" i="25" s="1"/>
  <c r="D17266" i="25"/>
  <c r="E17266" i="25" s="1"/>
  <c r="F17266" i="25" s="1"/>
  <c r="I17266" i="25"/>
  <c r="J17266" i="25" s="1"/>
  <c r="K17266" i="25" s="1"/>
  <c r="D17276" i="25"/>
  <c r="E17276" i="25" s="1"/>
  <c r="F17276" i="25" s="1"/>
  <c r="I17276" i="25"/>
  <c r="J17276" i="25" s="1"/>
  <c r="K17276" i="25" s="1"/>
  <c r="D17284" i="25"/>
  <c r="E17284" i="25" s="1"/>
  <c r="F17284" i="25" s="1"/>
  <c r="I17284" i="25"/>
  <c r="J17284" i="25" s="1"/>
  <c r="K17284" i="25" s="1"/>
  <c r="D17292" i="25"/>
  <c r="E17292" i="25" s="1"/>
  <c r="F17292" i="25" s="1"/>
  <c r="I17292" i="25"/>
  <c r="J17292" i="25" s="1"/>
  <c r="K17292" i="25" s="1"/>
  <c r="D17650" i="25"/>
  <c r="E17650" i="25" s="1"/>
  <c r="F17650" i="25" s="1"/>
  <c r="D17658" i="25"/>
  <c r="E17658" i="25" s="1"/>
  <c r="F17658" i="25" s="1"/>
  <c r="D17666" i="25"/>
  <c r="E17666" i="25" s="1"/>
  <c r="F17666" i="25" s="1"/>
  <c r="D17674" i="25"/>
  <c r="E17674" i="25" s="1"/>
  <c r="F17674" i="25" s="1"/>
  <c r="E5377" i="25"/>
  <c r="F5377" i="25" s="1"/>
  <c r="E5371" i="25"/>
  <c r="F5371" i="25" s="1"/>
  <c r="D17267" i="25"/>
  <c r="E17267" i="25" s="1"/>
  <c r="F17267" i="25" s="1"/>
  <c r="I17267" i="25"/>
  <c r="J17267" i="25" s="1"/>
  <c r="K17267" i="25" s="1"/>
  <c r="D17277" i="25"/>
  <c r="E17277" i="25" s="1"/>
  <c r="F17277" i="25" s="1"/>
  <c r="I17277" i="25"/>
  <c r="J17277" i="25" s="1"/>
  <c r="K17277" i="25" s="1"/>
  <c r="D17285" i="25"/>
  <c r="E17285" i="25" s="1"/>
  <c r="F17285" i="25" s="1"/>
  <c r="I17285" i="25"/>
  <c r="J17285" i="25" s="1"/>
  <c r="K17285" i="25" s="1"/>
  <c r="D17293" i="25"/>
  <c r="E17293" i="25" s="1"/>
  <c r="F17293" i="25" s="1"/>
  <c r="I17293" i="25"/>
  <c r="J17293" i="25" s="1"/>
  <c r="K17293" i="25" s="1"/>
  <c r="D17651" i="25"/>
  <c r="E17651" i="25" s="1"/>
  <c r="F17651" i="25" s="1"/>
  <c r="D17659" i="25"/>
  <c r="E17659" i="25" s="1"/>
  <c r="F17659" i="25" s="1"/>
  <c r="D17667" i="25"/>
  <c r="E17667" i="25" s="1"/>
  <c r="F17667" i="25" s="1"/>
  <c r="D17675" i="25"/>
  <c r="E17675" i="25" s="1"/>
  <c r="F17675" i="25" s="1"/>
  <c r="E2731" i="25"/>
  <c r="E1912" i="25"/>
  <c r="F1912" i="25" s="1"/>
  <c r="D17269" i="25"/>
  <c r="E17269" i="25" s="1"/>
  <c r="F17269" i="25" s="1"/>
  <c r="I17269" i="25"/>
  <c r="J17269" i="25" s="1"/>
  <c r="K17269" i="25" s="1"/>
  <c r="D17278" i="25"/>
  <c r="E17278" i="25" s="1"/>
  <c r="F17278" i="25" s="1"/>
  <c r="I17278" i="25"/>
  <c r="J17278" i="25" s="1"/>
  <c r="K17278" i="25" s="1"/>
  <c r="D17286" i="25"/>
  <c r="E17286" i="25" s="1"/>
  <c r="F17286" i="25" s="1"/>
  <c r="I17286" i="25"/>
  <c r="J17286" i="25" s="1"/>
  <c r="K17286" i="25" s="1"/>
  <c r="D17652" i="25"/>
  <c r="E17652" i="25" s="1"/>
  <c r="F17652" i="25" s="1"/>
  <c r="D17660" i="25"/>
  <c r="E17660" i="25" s="1"/>
  <c r="F17660" i="25" s="1"/>
  <c r="D17668" i="25"/>
  <c r="E17668" i="25" s="1"/>
  <c r="F17668" i="25" s="1"/>
  <c r="D17676" i="25"/>
  <c r="E17676" i="25" s="1"/>
  <c r="F17676" i="25" s="1"/>
  <c r="E4823" i="25"/>
  <c r="E830" i="25"/>
  <c r="E5390" i="25"/>
  <c r="F5390" i="25" s="1"/>
  <c r="D17270" i="25"/>
  <c r="E17270" i="25" s="1"/>
  <c r="F17270" i="25" s="1"/>
  <c r="I17270" i="25"/>
  <c r="J17270" i="25" s="1"/>
  <c r="K17270" i="25" s="1"/>
  <c r="D17279" i="25"/>
  <c r="E17279" i="25" s="1"/>
  <c r="F17279" i="25" s="1"/>
  <c r="I17279" i="25"/>
  <c r="J17279" i="25" s="1"/>
  <c r="K17279" i="25" s="1"/>
  <c r="D17287" i="25"/>
  <c r="E17287" i="25" s="1"/>
  <c r="F17287" i="25" s="1"/>
  <c r="I17287" i="25"/>
  <c r="J17287" i="25" s="1"/>
  <c r="K17287" i="25" s="1"/>
  <c r="D17653" i="25"/>
  <c r="E17653" i="25" s="1"/>
  <c r="F17653" i="25" s="1"/>
  <c r="D17661" i="25"/>
  <c r="E17661" i="25" s="1"/>
  <c r="F17661" i="25" s="1"/>
  <c r="D17669" i="25"/>
  <c r="E17669" i="25" s="1"/>
  <c r="F17669" i="25" s="1"/>
  <c r="D17677" i="25"/>
  <c r="E17677" i="25" s="1"/>
  <c r="F17677" i="25" s="1"/>
  <c r="D17280" i="25"/>
  <c r="E17280" i="25" s="1"/>
  <c r="F17280" i="25" s="1"/>
  <c r="I17280" i="25"/>
  <c r="J17280" i="25" s="1"/>
  <c r="K17280" i="25" s="1"/>
  <c r="D17288" i="25"/>
  <c r="E17288" i="25" s="1"/>
  <c r="F17288" i="25" s="1"/>
  <c r="I17288" i="25"/>
  <c r="J17288" i="25" s="1"/>
  <c r="K17288" i="25" s="1"/>
  <c r="D17654" i="25"/>
  <c r="E17654" i="25" s="1"/>
  <c r="F17654" i="25" s="1"/>
  <c r="D17662" i="25"/>
  <c r="E17662" i="25" s="1"/>
  <c r="F17662" i="25" s="1"/>
  <c r="D17670" i="25"/>
  <c r="E17670" i="25" s="1"/>
  <c r="F17670" i="25" s="1"/>
  <c r="D17678" i="25"/>
  <c r="E17678" i="25" s="1"/>
  <c r="F17678" i="25" s="1"/>
  <c r="E17268" i="25"/>
  <c r="F17268" i="25" s="1"/>
  <c r="I17268" i="25"/>
  <c r="J17268" i="25" s="1"/>
  <c r="K17268" i="25" s="1"/>
  <c r="E17272" i="25"/>
  <c r="F17272" i="25" s="1"/>
  <c r="I17272" i="25"/>
  <c r="J17272" i="25" s="1"/>
  <c r="K17272" i="25" s="1"/>
  <c r="D17271" i="25"/>
  <c r="E17271" i="25" s="1"/>
  <c r="F17271" i="25" s="1"/>
  <c r="I17271" i="25"/>
  <c r="J17271" i="25" s="1"/>
  <c r="K17271" i="25" s="1"/>
  <c r="E692" i="25"/>
  <c r="E695" i="25"/>
  <c r="E5373" i="25"/>
  <c r="F5373" i="25" s="1"/>
  <c r="E1917" i="25"/>
  <c r="F1917" i="25" s="1"/>
  <c r="E1901" i="25"/>
  <c r="F1901" i="25" s="1"/>
  <c r="E1785" i="25"/>
  <c r="F1785" i="25" s="1"/>
  <c r="E1779" i="25"/>
  <c r="F1779" i="25" s="1"/>
  <c r="E308" i="25"/>
  <c r="E1803" i="25"/>
  <c r="F1803" i="25" s="1"/>
  <c r="E1797" i="25"/>
  <c r="F1797" i="25" s="1"/>
  <c r="E614" i="25"/>
  <c r="E1910" i="25"/>
  <c r="F1910" i="25" s="1"/>
  <c r="E1778" i="25"/>
  <c r="F1778" i="25" s="1"/>
  <c r="E827" i="25"/>
  <c r="E610" i="25"/>
  <c r="E1909" i="25"/>
  <c r="F1909" i="25" s="1"/>
  <c r="E1903" i="25"/>
  <c r="F1903" i="25" s="1"/>
  <c r="E1795" i="25"/>
  <c r="F1795" i="25" s="1"/>
  <c r="E1782" i="25"/>
  <c r="F1782" i="25" s="1"/>
  <c r="E834" i="25"/>
  <c r="E1277" i="25"/>
  <c r="F1277" i="25" s="1"/>
  <c r="E696" i="25"/>
  <c r="E617" i="25"/>
  <c r="E304" i="25"/>
  <c r="E311" i="25"/>
  <c r="E824" i="25"/>
  <c r="E4454" i="25"/>
  <c r="F4454" i="25" s="1"/>
  <c r="E10970" i="25"/>
  <c r="F10970" i="25" s="1"/>
  <c r="F10999" i="25" s="1"/>
  <c r="AQ369" i="29" s="1"/>
  <c r="AP369" i="29" s="1"/>
  <c r="E17044" i="25"/>
  <c r="F17044" i="25" s="1"/>
  <c r="D17031" i="25"/>
  <c r="E17031" i="25" s="1"/>
  <c r="F17031" i="25" s="1"/>
  <c r="D17020" i="25"/>
  <c r="E17020" i="25" s="1"/>
  <c r="F17020" i="25" s="1"/>
  <c r="D17385" i="25"/>
  <c r="E17385" i="25" s="1"/>
  <c r="F17385" i="25" s="1"/>
  <c r="D17372" i="25"/>
  <c r="E17372" i="25" s="1"/>
  <c r="F17372" i="25" s="1"/>
  <c r="D17433" i="25"/>
  <c r="E17433" i="25" s="1"/>
  <c r="F17433" i="25" s="1"/>
  <c r="D17441" i="25"/>
  <c r="E17441" i="25" s="1"/>
  <c r="F17441" i="25" s="1"/>
  <c r="AW16" i="32"/>
  <c r="AW393" i="29"/>
  <c r="AW212" i="29"/>
  <c r="D16741" i="25"/>
  <c r="E16741" i="25" s="1"/>
  <c r="F16741" i="25" s="1"/>
  <c r="J16741" i="25"/>
  <c r="K16741" i="25" s="1"/>
  <c r="D16749" i="25"/>
  <c r="E16749" i="25" s="1"/>
  <c r="F16749" i="25" s="1"/>
  <c r="J16749" i="25"/>
  <c r="K16749" i="25" s="1"/>
  <c r="D16757" i="25"/>
  <c r="E16757" i="25" s="1"/>
  <c r="F16757" i="25" s="1"/>
  <c r="J16757" i="25"/>
  <c r="K16757" i="25" s="1"/>
  <c r="D16765" i="25"/>
  <c r="E16765" i="25" s="1"/>
  <c r="F16765" i="25" s="1"/>
  <c r="J16765" i="25"/>
  <c r="K16765" i="25" s="1"/>
  <c r="D17591" i="25"/>
  <c r="E17591" i="25" s="1"/>
  <c r="F17591" i="25" s="1"/>
  <c r="L17591" i="25"/>
  <c r="M17591" i="25" s="1"/>
  <c r="N17591" i="25" s="1"/>
  <c r="D17599" i="25"/>
  <c r="E17599" i="25" s="1"/>
  <c r="F17599" i="25" s="1"/>
  <c r="L17599" i="25"/>
  <c r="M17599" i="25" s="1"/>
  <c r="N17599" i="25" s="1"/>
  <c r="D17607" i="25"/>
  <c r="E17607" i="25" s="1"/>
  <c r="F17607" i="25" s="1"/>
  <c r="L17607" i="25"/>
  <c r="M17607" i="25" s="1"/>
  <c r="N17607" i="25" s="1"/>
  <c r="D17615" i="25"/>
  <c r="E17615" i="25" s="1"/>
  <c r="F17615" i="25" s="1"/>
  <c r="L17615" i="25"/>
  <c r="M17615" i="25" s="1"/>
  <c r="N17615" i="25" s="1"/>
  <c r="D16742" i="25"/>
  <c r="E16742" i="25" s="1"/>
  <c r="F16742" i="25" s="1"/>
  <c r="J16742" i="25"/>
  <c r="K16742" i="25" s="1"/>
  <c r="D16750" i="25"/>
  <c r="E16750" i="25" s="1"/>
  <c r="F16750" i="25" s="1"/>
  <c r="J16750" i="25"/>
  <c r="K16750" i="25" s="1"/>
  <c r="D16758" i="25"/>
  <c r="E16758" i="25" s="1"/>
  <c r="F16758" i="25" s="1"/>
  <c r="J16758" i="25"/>
  <c r="K16758" i="25" s="1"/>
  <c r="D16766" i="25"/>
  <c r="E16766" i="25" s="1"/>
  <c r="F16766" i="25" s="1"/>
  <c r="J16766" i="25"/>
  <c r="K16766" i="25" s="1"/>
  <c r="D17592" i="25"/>
  <c r="E17592" i="25" s="1"/>
  <c r="F17592" i="25" s="1"/>
  <c r="L17592" i="25"/>
  <c r="M17592" i="25" s="1"/>
  <c r="N17592" i="25" s="1"/>
  <c r="D17600" i="25"/>
  <c r="E17600" i="25" s="1"/>
  <c r="F17600" i="25" s="1"/>
  <c r="L17600" i="25"/>
  <c r="M17600" i="25" s="1"/>
  <c r="N17600" i="25" s="1"/>
  <c r="D17616" i="25"/>
  <c r="E17616" i="25" s="1"/>
  <c r="F17616" i="25" s="1"/>
  <c r="L17616" i="25"/>
  <c r="M17616" i="25" s="1"/>
  <c r="N17616" i="25" s="1"/>
  <c r="D16743" i="25"/>
  <c r="E16743" i="25" s="1"/>
  <c r="F16743" i="25" s="1"/>
  <c r="J16743" i="25"/>
  <c r="K16743" i="25" s="1"/>
  <c r="D16751" i="25"/>
  <c r="E16751" i="25" s="1"/>
  <c r="F16751" i="25" s="1"/>
  <c r="J16751" i="25"/>
  <c r="K16751" i="25" s="1"/>
  <c r="D16759" i="25"/>
  <c r="E16759" i="25" s="1"/>
  <c r="F16759" i="25" s="1"/>
  <c r="J16759" i="25"/>
  <c r="K16759" i="25" s="1"/>
  <c r="D16767" i="25"/>
  <c r="E16767" i="25" s="1"/>
  <c r="F16767" i="25" s="1"/>
  <c r="J16767" i="25"/>
  <c r="K16767" i="25" s="1"/>
  <c r="D17593" i="25"/>
  <c r="E17593" i="25" s="1"/>
  <c r="F17593" i="25" s="1"/>
  <c r="L17593" i="25"/>
  <c r="M17593" i="25" s="1"/>
  <c r="N17593" i="25" s="1"/>
  <c r="D17601" i="25"/>
  <c r="E17601" i="25" s="1"/>
  <c r="F17601" i="25" s="1"/>
  <c r="L17601" i="25"/>
  <c r="M17601" i="25" s="1"/>
  <c r="N17601" i="25" s="1"/>
  <c r="D17609" i="25"/>
  <c r="E17609" i="25" s="1"/>
  <c r="F17609" i="25" s="1"/>
  <c r="L17609" i="25"/>
  <c r="M17609" i="25" s="1"/>
  <c r="N17609" i="25" s="1"/>
  <c r="D17617" i="25"/>
  <c r="E17617" i="25" s="1"/>
  <c r="F17617" i="25" s="1"/>
  <c r="L17617" i="25"/>
  <c r="M17617" i="25" s="1"/>
  <c r="N17617" i="25" s="1"/>
  <c r="D16744" i="25"/>
  <c r="E16744" i="25" s="1"/>
  <c r="F16744" i="25" s="1"/>
  <c r="J16744" i="25"/>
  <c r="K16744" i="25" s="1"/>
  <c r="D16752" i="25"/>
  <c r="E16752" i="25" s="1"/>
  <c r="F16752" i="25" s="1"/>
  <c r="J16752" i="25"/>
  <c r="K16752" i="25" s="1"/>
  <c r="D16760" i="25"/>
  <c r="E16760" i="25" s="1"/>
  <c r="F16760" i="25" s="1"/>
  <c r="J16760" i="25"/>
  <c r="K16760" i="25" s="1"/>
  <c r="D16768" i="25"/>
  <c r="E16768" i="25" s="1"/>
  <c r="F16768" i="25" s="1"/>
  <c r="J16768" i="25"/>
  <c r="K16768" i="25" s="1"/>
  <c r="D17594" i="25"/>
  <c r="E17594" i="25" s="1"/>
  <c r="F17594" i="25" s="1"/>
  <c r="L17594" i="25"/>
  <c r="M17594" i="25" s="1"/>
  <c r="N17594" i="25" s="1"/>
  <c r="D17602" i="25"/>
  <c r="E17602" i="25" s="1"/>
  <c r="F17602" i="25" s="1"/>
  <c r="L17602" i="25"/>
  <c r="M17602" i="25" s="1"/>
  <c r="N17602" i="25" s="1"/>
  <c r="D17610" i="25"/>
  <c r="E17610" i="25" s="1"/>
  <c r="F17610" i="25" s="1"/>
  <c r="L17610" i="25"/>
  <c r="M17610" i="25" s="1"/>
  <c r="N17610" i="25" s="1"/>
  <c r="D17618" i="25"/>
  <c r="E17618" i="25" s="1"/>
  <c r="F17618" i="25" s="1"/>
  <c r="L17618" i="25"/>
  <c r="M17618" i="25" s="1"/>
  <c r="N17618" i="25" s="1"/>
  <c r="E16745" i="25"/>
  <c r="F16745" i="25" s="1"/>
  <c r="J16745" i="25"/>
  <c r="K16745" i="25" s="1"/>
  <c r="D16753" i="25"/>
  <c r="E16753" i="25" s="1"/>
  <c r="F16753" i="25" s="1"/>
  <c r="J16753" i="25"/>
  <c r="K16753" i="25" s="1"/>
  <c r="D16761" i="25"/>
  <c r="E16761" i="25" s="1"/>
  <c r="F16761" i="25" s="1"/>
  <c r="J16761" i="25"/>
  <c r="K16761" i="25" s="1"/>
  <c r="D17595" i="25"/>
  <c r="E17595" i="25" s="1"/>
  <c r="F17595" i="25" s="1"/>
  <c r="L17595" i="25"/>
  <c r="M17595" i="25" s="1"/>
  <c r="N17595" i="25" s="1"/>
  <c r="D17603" i="25"/>
  <c r="E17603" i="25" s="1"/>
  <c r="F17603" i="25" s="1"/>
  <c r="L17603" i="25"/>
  <c r="M17603" i="25" s="1"/>
  <c r="N17603" i="25" s="1"/>
  <c r="D17611" i="25"/>
  <c r="E17611" i="25" s="1"/>
  <c r="F17611" i="25" s="1"/>
  <c r="L17611" i="25"/>
  <c r="M17611" i="25" s="1"/>
  <c r="N17611" i="25" s="1"/>
  <c r="D17619" i="25"/>
  <c r="E17619" i="25" s="1"/>
  <c r="F17619" i="25" s="1"/>
  <c r="L17619" i="25"/>
  <c r="M17619" i="25" s="1"/>
  <c r="N17619" i="25" s="1"/>
  <c r="D16746" i="25"/>
  <c r="E16746" i="25" s="1"/>
  <c r="F16746" i="25" s="1"/>
  <c r="J16746" i="25"/>
  <c r="K16746" i="25" s="1"/>
  <c r="D16754" i="25"/>
  <c r="E16754" i="25" s="1"/>
  <c r="F16754" i="25" s="1"/>
  <c r="J16754" i="25"/>
  <c r="K16754" i="25" s="1"/>
  <c r="D16762" i="25"/>
  <c r="E16762" i="25" s="1"/>
  <c r="F16762" i="25" s="1"/>
  <c r="J16762" i="25"/>
  <c r="K16762" i="25" s="1"/>
  <c r="D17596" i="25"/>
  <c r="E17596" i="25" s="1"/>
  <c r="F17596" i="25" s="1"/>
  <c r="L17596" i="25"/>
  <c r="M17596" i="25" s="1"/>
  <c r="N17596" i="25" s="1"/>
  <c r="D17604" i="25"/>
  <c r="E17604" i="25" s="1"/>
  <c r="F17604" i="25" s="1"/>
  <c r="L17604" i="25"/>
  <c r="M17604" i="25" s="1"/>
  <c r="N17604" i="25" s="1"/>
  <c r="D17612" i="25"/>
  <c r="E17612" i="25" s="1"/>
  <c r="F17612" i="25" s="1"/>
  <c r="L17612" i="25"/>
  <c r="M17612" i="25" s="1"/>
  <c r="N17612" i="25" s="1"/>
  <c r="D17620" i="25"/>
  <c r="E17620" i="25" s="1"/>
  <c r="F17620" i="25" s="1"/>
  <c r="L17620" i="25"/>
  <c r="M17620" i="25" s="1"/>
  <c r="N17620" i="25" s="1"/>
  <c r="D16739" i="25"/>
  <c r="E16739" i="25" s="1"/>
  <c r="F16739" i="25" s="1"/>
  <c r="J16739" i="25"/>
  <c r="K16739" i="25" s="1"/>
  <c r="D16747" i="25"/>
  <c r="E16747" i="25" s="1"/>
  <c r="F16747" i="25" s="1"/>
  <c r="J16747" i="25"/>
  <c r="K16747" i="25" s="1"/>
  <c r="D16755" i="25"/>
  <c r="E16755" i="25" s="1"/>
  <c r="F16755" i="25" s="1"/>
  <c r="J16755" i="25"/>
  <c r="K16755" i="25" s="1"/>
  <c r="D16763" i="25"/>
  <c r="E16763" i="25" s="1"/>
  <c r="F16763" i="25" s="1"/>
  <c r="J16763" i="25"/>
  <c r="K16763" i="25" s="1"/>
  <c r="D17597" i="25"/>
  <c r="E17597" i="25" s="1"/>
  <c r="F17597" i="25" s="1"/>
  <c r="L17597" i="25"/>
  <c r="M17597" i="25" s="1"/>
  <c r="N17597" i="25" s="1"/>
  <c r="D17605" i="25"/>
  <c r="E17605" i="25" s="1"/>
  <c r="F17605" i="25" s="1"/>
  <c r="L17605" i="25"/>
  <c r="M17605" i="25" s="1"/>
  <c r="N17605" i="25" s="1"/>
  <c r="D17613" i="25"/>
  <c r="E17613" i="25" s="1"/>
  <c r="F17613" i="25" s="1"/>
  <c r="L17613" i="25"/>
  <c r="M17613" i="25" s="1"/>
  <c r="N17613" i="25" s="1"/>
  <c r="D16740" i="25"/>
  <c r="E16740" i="25" s="1"/>
  <c r="F16740" i="25" s="1"/>
  <c r="J16740" i="25"/>
  <c r="K16740" i="25" s="1"/>
  <c r="D16748" i="25"/>
  <c r="E16748" i="25" s="1"/>
  <c r="F16748" i="25" s="1"/>
  <c r="J16748" i="25"/>
  <c r="K16748" i="25" s="1"/>
  <c r="D16756" i="25"/>
  <c r="E16756" i="25" s="1"/>
  <c r="F16756" i="25" s="1"/>
  <c r="J16756" i="25"/>
  <c r="K16756" i="25" s="1"/>
  <c r="D16764" i="25"/>
  <c r="E16764" i="25" s="1"/>
  <c r="F16764" i="25" s="1"/>
  <c r="J16764" i="25"/>
  <c r="K16764" i="25" s="1"/>
  <c r="D17598" i="25"/>
  <c r="E17598" i="25" s="1"/>
  <c r="F17598" i="25" s="1"/>
  <c r="L17598" i="25"/>
  <c r="M17598" i="25" s="1"/>
  <c r="N17598" i="25" s="1"/>
  <c r="D17606" i="25"/>
  <c r="E17606" i="25" s="1"/>
  <c r="F17606" i="25" s="1"/>
  <c r="L17606" i="25"/>
  <c r="M17606" i="25" s="1"/>
  <c r="N17606" i="25" s="1"/>
  <c r="D17614" i="25"/>
  <c r="E17614" i="25" s="1"/>
  <c r="F17614" i="25" s="1"/>
  <c r="L17614" i="25"/>
  <c r="M17614" i="25" s="1"/>
  <c r="N17614" i="25" s="1"/>
  <c r="D17608" i="25"/>
  <c r="E17608" i="25" s="1"/>
  <c r="F17608" i="25" s="1"/>
  <c r="L17608" i="25"/>
  <c r="M17608" i="25" s="1"/>
  <c r="N17608" i="25" s="1"/>
  <c r="D17208" i="25"/>
  <c r="E17208" i="25" s="1"/>
  <c r="F17208" i="25" s="1"/>
  <c r="D17216" i="25"/>
  <c r="E17216" i="25" s="1"/>
  <c r="F17216" i="25" s="1"/>
  <c r="D17224" i="25"/>
  <c r="E17224" i="25" s="1"/>
  <c r="F17224" i="25" s="1"/>
  <c r="D17232" i="25"/>
  <c r="E17232" i="25" s="1"/>
  <c r="F17232" i="25" s="1"/>
  <c r="D17225" i="25"/>
  <c r="E17225" i="25" s="1"/>
  <c r="F17225" i="25" s="1"/>
  <c r="D17210" i="25"/>
  <c r="E17210" i="25" s="1"/>
  <c r="F17210" i="25" s="1"/>
  <c r="D17218" i="25"/>
  <c r="E17218" i="25" s="1"/>
  <c r="F17218" i="25" s="1"/>
  <c r="D17226" i="25"/>
  <c r="E17226" i="25" s="1"/>
  <c r="F17226" i="25" s="1"/>
  <c r="D17234" i="25"/>
  <c r="E17234" i="25" s="1"/>
  <c r="F17234" i="25" s="1"/>
  <c r="D17209" i="25"/>
  <c r="E17209" i="25" s="1"/>
  <c r="F17209" i="25" s="1"/>
  <c r="D17211" i="25"/>
  <c r="E17211" i="25" s="1"/>
  <c r="F17211" i="25" s="1"/>
  <c r="D17219" i="25"/>
  <c r="E17219" i="25" s="1"/>
  <c r="F17219" i="25" s="1"/>
  <c r="D17227" i="25"/>
  <c r="E17227" i="25" s="1"/>
  <c r="F17227" i="25" s="1"/>
  <c r="D17235" i="25"/>
  <c r="E17235" i="25" s="1"/>
  <c r="F17235" i="25" s="1"/>
  <c r="D17212" i="25"/>
  <c r="E17212" i="25" s="1"/>
  <c r="F17212" i="25" s="1"/>
  <c r="D17220" i="25"/>
  <c r="E17220" i="25" s="1"/>
  <c r="F17220" i="25" s="1"/>
  <c r="D17228" i="25"/>
  <c r="E17228" i="25" s="1"/>
  <c r="F17228" i="25" s="1"/>
  <c r="D17236" i="25"/>
  <c r="E17236" i="25" s="1"/>
  <c r="F17236" i="25" s="1"/>
  <c r="D17217" i="25"/>
  <c r="E17217" i="25" s="1"/>
  <c r="F17217" i="25" s="1"/>
  <c r="D17213" i="25"/>
  <c r="E17213" i="25" s="1"/>
  <c r="F17213" i="25" s="1"/>
  <c r="D17221" i="25"/>
  <c r="E17221" i="25" s="1"/>
  <c r="F17221" i="25" s="1"/>
  <c r="D17229" i="25"/>
  <c r="E17229" i="25" s="1"/>
  <c r="F17229" i="25" s="1"/>
  <c r="D17237" i="25"/>
  <c r="E17237" i="25" s="1"/>
  <c r="F17237" i="25" s="1"/>
  <c r="D17233" i="25"/>
  <c r="E17233" i="25" s="1"/>
  <c r="F17233" i="25" s="1"/>
  <c r="D17214" i="25"/>
  <c r="E17214" i="25" s="1"/>
  <c r="F17214" i="25" s="1"/>
  <c r="D17222" i="25"/>
  <c r="E17222" i="25" s="1"/>
  <c r="F17222" i="25" s="1"/>
  <c r="D17230" i="25"/>
  <c r="E17230" i="25" s="1"/>
  <c r="F17230" i="25" s="1"/>
  <c r="D17215" i="25"/>
  <c r="E17215" i="25" s="1"/>
  <c r="F17215" i="25" s="1"/>
  <c r="D17223" i="25"/>
  <c r="E17223" i="25" s="1"/>
  <c r="F17223" i="25" s="1"/>
  <c r="D17231" i="25"/>
  <c r="E17231" i="25" s="1"/>
  <c r="F17231" i="25" s="1"/>
  <c r="D16811" i="25"/>
  <c r="E16811" i="25" s="1"/>
  <c r="F16811" i="25" s="1"/>
  <c r="F16835" i="25" s="1"/>
  <c r="D17161" i="25"/>
  <c r="E17161" i="25" s="1"/>
  <c r="F17161" i="25" s="1"/>
  <c r="J17161" i="25"/>
  <c r="K17161" i="25" s="1"/>
  <c r="D17154" i="25"/>
  <c r="E17154" i="25" s="1"/>
  <c r="F17154" i="25" s="1"/>
  <c r="J17154" i="25"/>
  <c r="K17154" i="25" s="1"/>
  <c r="D17170" i="25"/>
  <c r="E17170" i="25" s="1"/>
  <c r="F17170" i="25" s="1"/>
  <c r="J17170" i="25"/>
  <c r="K17170" i="25" s="1"/>
  <c r="D17147" i="25"/>
  <c r="E17147" i="25" s="1"/>
  <c r="F17147" i="25" s="1"/>
  <c r="J17147" i="25"/>
  <c r="K17147" i="25" s="1"/>
  <c r="D17155" i="25"/>
  <c r="E17155" i="25" s="1"/>
  <c r="F17155" i="25" s="1"/>
  <c r="J17155" i="25"/>
  <c r="K17155" i="25" s="1"/>
  <c r="D17163" i="25"/>
  <c r="E17163" i="25" s="1"/>
  <c r="F17163" i="25" s="1"/>
  <c r="J17163" i="25"/>
  <c r="K17163" i="25" s="1"/>
  <c r="D17171" i="25"/>
  <c r="E17171" i="25" s="1"/>
  <c r="F17171" i="25" s="1"/>
  <c r="J17171" i="25"/>
  <c r="K17171" i="25" s="1"/>
  <c r="D17148" i="25"/>
  <c r="E17148" i="25" s="1"/>
  <c r="F17148" i="25" s="1"/>
  <c r="J17148" i="25"/>
  <c r="K17148" i="25" s="1"/>
  <c r="D17156" i="25"/>
  <c r="E17156" i="25" s="1"/>
  <c r="F17156" i="25" s="1"/>
  <c r="J17156" i="25"/>
  <c r="K17156" i="25" s="1"/>
  <c r="D17164" i="25"/>
  <c r="E17164" i="25" s="1"/>
  <c r="F17164" i="25" s="1"/>
  <c r="J17164" i="25"/>
  <c r="K17164" i="25" s="1"/>
  <c r="D17146" i="25"/>
  <c r="E17146" i="25" s="1"/>
  <c r="F17146" i="25" s="1"/>
  <c r="J17146" i="25"/>
  <c r="K17146" i="25" s="1"/>
  <c r="D17162" i="25"/>
  <c r="E17162" i="25" s="1"/>
  <c r="F17162" i="25" s="1"/>
  <c r="J17162" i="25"/>
  <c r="K17162" i="25" s="1"/>
  <c r="D17149" i="25"/>
  <c r="E17149" i="25" s="1"/>
  <c r="F17149" i="25" s="1"/>
  <c r="J17149" i="25"/>
  <c r="K17149" i="25" s="1"/>
  <c r="D17157" i="25"/>
  <c r="E17157" i="25" s="1"/>
  <c r="F17157" i="25" s="1"/>
  <c r="J17157" i="25"/>
  <c r="K17157" i="25" s="1"/>
  <c r="D17165" i="25"/>
  <c r="E17165" i="25" s="1"/>
  <c r="F17165" i="25" s="1"/>
  <c r="J17165" i="25"/>
  <c r="K17165" i="25" s="1"/>
  <c r="D17145" i="25"/>
  <c r="E17145" i="25" s="1"/>
  <c r="F17145" i="25" s="1"/>
  <c r="J17145" i="25"/>
  <c r="K17145" i="25" s="1"/>
  <c r="D17142" i="25"/>
  <c r="E17142" i="25" s="1"/>
  <c r="F17142" i="25" s="1"/>
  <c r="J17142" i="25"/>
  <c r="K17142" i="25" s="1"/>
  <c r="D17150" i="25"/>
  <c r="E17150" i="25" s="1"/>
  <c r="F17150" i="25" s="1"/>
  <c r="J17150" i="25"/>
  <c r="K17150" i="25" s="1"/>
  <c r="D17158" i="25"/>
  <c r="E17158" i="25" s="1"/>
  <c r="F17158" i="25" s="1"/>
  <c r="J17158" i="25"/>
  <c r="K17158" i="25" s="1"/>
  <c r="D17166" i="25"/>
  <c r="E17166" i="25" s="1"/>
  <c r="F17166" i="25" s="1"/>
  <c r="J17166" i="25"/>
  <c r="K17166" i="25" s="1"/>
  <c r="D17169" i="25"/>
  <c r="E17169" i="25" s="1"/>
  <c r="F17169" i="25" s="1"/>
  <c r="J17169" i="25"/>
  <c r="K17169" i="25" s="1"/>
  <c r="D17143" i="25"/>
  <c r="E17143" i="25" s="1"/>
  <c r="F17143" i="25" s="1"/>
  <c r="J17143" i="25"/>
  <c r="K17143" i="25" s="1"/>
  <c r="D17151" i="25"/>
  <c r="E17151" i="25" s="1"/>
  <c r="F17151" i="25" s="1"/>
  <c r="J17151" i="25"/>
  <c r="K17151" i="25" s="1"/>
  <c r="D17159" i="25"/>
  <c r="E17159" i="25" s="1"/>
  <c r="F17159" i="25" s="1"/>
  <c r="J17159" i="25"/>
  <c r="K17159" i="25" s="1"/>
  <c r="D17167" i="25"/>
  <c r="E17167" i="25" s="1"/>
  <c r="F17167" i="25" s="1"/>
  <c r="J17167" i="25"/>
  <c r="K17167" i="25" s="1"/>
  <c r="D17153" i="25"/>
  <c r="E17153" i="25" s="1"/>
  <c r="F17153" i="25" s="1"/>
  <c r="J17153" i="25"/>
  <c r="K17153" i="25" s="1"/>
  <c r="D17144" i="25"/>
  <c r="E17144" i="25" s="1"/>
  <c r="F17144" i="25" s="1"/>
  <c r="J17144" i="25"/>
  <c r="K17144" i="25" s="1"/>
  <c r="D17152" i="25"/>
  <c r="E17152" i="25" s="1"/>
  <c r="F17152" i="25" s="1"/>
  <c r="J17152" i="25"/>
  <c r="K17152" i="25" s="1"/>
  <c r="D17160" i="25"/>
  <c r="E17160" i="25" s="1"/>
  <c r="F17160" i="25" s="1"/>
  <c r="J17160" i="25"/>
  <c r="K17160" i="25" s="1"/>
  <c r="D17168" i="25"/>
  <c r="E17168" i="25" s="1"/>
  <c r="F17168" i="25" s="1"/>
  <c r="J17168" i="25"/>
  <c r="K17168" i="25" s="1"/>
  <c r="D16910" i="25"/>
  <c r="E16910" i="25" s="1"/>
  <c r="F16910" i="25" s="1"/>
  <c r="D16918" i="25"/>
  <c r="E16918" i="25" s="1"/>
  <c r="F16918" i="25" s="1"/>
  <c r="D16911" i="25"/>
  <c r="E16911" i="25" s="1"/>
  <c r="F16911" i="25" s="1"/>
  <c r="D16919" i="25"/>
  <c r="E16919" i="25" s="1"/>
  <c r="F16919" i="25" s="1"/>
  <c r="D16927" i="25"/>
  <c r="E16927" i="25" s="1"/>
  <c r="F16927" i="25" s="1"/>
  <c r="D16904" i="25"/>
  <c r="E16904" i="25" s="1"/>
  <c r="F16904" i="25" s="1"/>
  <c r="D16912" i="25"/>
  <c r="E16912" i="25" s="1"/>
  <c r="F16912" i="25" s="1"/>
  <c r="D16920" i="25"/>
  <c r="E16920" i="25" s="1"/>
  <c r="F16920" i="25" s="1"/>
  <c r="D16928" i="25"/>
  <c r="E16928" i="25" s="1"/>
  <c r="F16928" i="25" s="1"/>
  <c r="D16905" i="25"/>
  <c r="E16905" i="25" s="1"/>
  <c r="F16905" i="25" s="1"/>
  <c r="D16913" i="25"/>
  <c r="E16913" i="25" s="1"/>
  <c r="F16913" i="25" s="1"/>
  <c r="D16921" i="25"/>
  <c r="E16921" i="25" s="1"/>
  <c r="F16921" i="25" s="1"/>
  <c r="D16929" i="25"/>
  <c r="E16929" i="25" s="1"/>
  <c r="F16929" i="25" s="1"/>
  <c r="D16906" i="25"/>
  <c r="E16906" i="25" s="1"/>
  <c r="F16906" i="25" s="1"/>
  <c r="D16914" i="25"/>
  <c r="E16914" i="25" s="1"/>
  <c r="F16914" i="25" s="1"/>
  <c r="D16922" i="25"/>
  <c r="E16922" i="25" s="1"/>
  <c r="F16922" i="25" s="1"/>
  <c r="D16930" i="25"/>
  <c r="E16930" i="25" s="1"/>
  <c r="F16930" i="25" s="1"/>
  <c r="D16907" i="25"/>
  <c r="E16907" i="25" s="1"/>
  <c r="F16907" i="25" s="1"/>
  <c r="D16915" i="25"/>
  <c r="E16915" i="25" s="1"/>
  <c r="F16915" i="25" s="1"/>
  <c r="D16923" i="25"/>
  <c r="E16923" i="25" s="1"/>
  <c r="F16923" i="25" s="1"/>
  <c r="D16931" i="25"/>
  <c r="E16931" i="25" s="1"/>
  <c r="F16931" i="25" s="1"/>
  <c r="D16908" i="25"/>
  <c r="E16908" i="25" s="1"/>
  <c r="F16908" i="25" s="1"/>
  <c r="D16916" i="25"/>
  <c r="E16916" i="25" s="1"/>
  <c r="F16916" i="25" s="1"/>
  <c r="D16924" i="25"/>
  <c r="E16924" i="25" s="1"/>
  <c r="F16924" i="25" s="1"/>
  <c r="D16932" i="25"/>
  <c r="E16932" i="25" s="1"/>
  <c r="F16932" i="25" s="1"/>
  <c r="D16909" i="25"/>
  <c r="E16909" i="25" s="1"/>
  <c r="F16909" i="25" s="1"/>
  <c r="D16917" i="25"/>
  <c r="E16917" i="25" s="1"/>
  <c r="F16917" i="25" s="1"/>
  <c r="D16925" i="25"/>
  <c r="E16925" i="25" s="1"/>
  <c r="F16925" i="25" s="1"/>
  <c r="D16933" i="25"/>
  <c r="E16933" i="25" s="1"/>
  <c r="F16933" i="25" s="1"/>
  <c r="D16926" i="25"/>
  <c r="E16926" i="25" s="1"/>
  <c r="F16926" i="25" s="1"/>
  <c r="AZ507" i="29"/>
  <c r="AZ436" i="29"/>
  <c r="AZ52" i="32"/>
  <c r="AZ544" i="29"/>
  <c r="D18080" i="25"/>
  <c r="E18080" i="25" s="1"/>
  <c r="F18080" i="25" s="1"/>
  <c r="L18080" i="25"/>
  <c r="M18080" i="25" s="1"/>
  <c r="N18080" i="25" s="1"/>
  <c r="D18088" i="25"/>
  <c r="E18088" i="25" s="1"/>
  <c r="F18088" i="25" s="1"/>
  <c r="L18088" i="25"/>
  <c r="M18088" i="25" s="1"/>
  <c r="N18088" i="25" s="1"/>
  <c r="D18104" i="25"/>
  <c r="E18104" i="25" s="1"/>
  <c r="F18104" i="25" s="1"/>
  <c r="L18104" i="25"/>
  <c r="M18104" i="25" s="1"/>
  <c r="N18104" i="25" s="1"/>
  <c r="D18081" i="25"/>
  <c r="E18081" i="25" s="1"/>
  <c r="F18081" i="25" s="1"/>
  <c r="L18081" i="25"/>
  <c r="M18081" i="25" s="1"/>
  <c r="N18081" i="25" s="1"/>
  <c r="D18082" i="25"/>
  <c r="E18082" i="25" s="1"/>
  <c r="F18082" i="25" s="1"/>
  <c r="L18082" i="25"/>
  <c r="M18082" i="25" s="1"/>
  <c r="N18082" i="25" s="1"/>
  <c r="D18090" i="25"/>
  <c r="E18090" i="25" s="1"/>
  <c r="F18090" i="25" s="1"/>
  <c r="L18090" i="25"/>
  <c r="M18090" i="25" s="1"/>
  <c r="N18090" i="25" s="1"/>
  <c r="D18098" i="25"/>
  <c r="E18098" i="25" s="1"/>
  <c r="F18098" i="25" s="1"/>
  <c r="L18098" i="25"/>
  <c r="M18098" i="25" s="1"/>
  <c r="N18098" i="25" s="1"/>
  <c r="D18106" i="25"/>
  <c r="E18106" i="25" s="1"/>
  <c r="F18106" i="25" s="1"/>
  <c r="L18106" i="25"/>
  <c r="M18106" i="25" s="1"/>
  <c r="N18106" i="25" s="1"/>
  <c r="D18097" i="25"/>
  <c r="E18097" i="25" s="1"/>
  <c r="F18097" i="25" s="1"/>
  <c r="L18097" i="25"/>
  <c r="M18097" i="25" s="1"/>
  <c r="N18097" i="25" s="1"/>
  <c r="D18105" i="25"/>
  <c r="E18105" i="25" s="1"/>
  <c r="F18105" i="25" s="1"/>
  <c r="L18105" i="25"/>
  <c r="M18105" i="25" s="1"/>
  <c r="N18105" i="25" s="1"/>
  <c r="D18083" i="25"/>
  <c r="E18083" i="25" s="1"/>
  <c r="F18083" i="25" s="1"/>
  <c r="L18083" i="25"/>
  <c r="M18083" i="25" s="1"/>
  <c r="N18083" i="25" s="1"/>
  <c r="D18091" i="25"/>
  <c r="E18091" i="25" s="1"/>
  <c r="F18091" i="25" s="1"/>
  <c r="L18091" i="25"/>
  <c r="M18091" i="25" s="1"/>
  <c r="N18091" i="25" s="1"/>
  <c r="D18099" i="25"/>
  <c r="E18099" i="25" s="1"/>
  <c r="F18099" i="25" s="1"/>
  <c r="L18099" i="25"/>
  <c r="M18099" i="25" s="1"/>
  <c r="N18099" i="25" s="1"/>
  <c r="D18089" i="25"/>
  <c r="E18089" i="25" s="1"/>
  <c r="F18089" i="25" s="1"/>
  <c r="L18089" i="25"/>
  <c r="M18089" i="25" s="1"/>
  <c r="N18089" i="25" s="1"/>
  <c r="D18084" i="25"/>
  <c r="E18084" i="25" s="1"/>
  <c r="F18084" i="25" s="1"/>
  <c r="L18084" i="25"/>
  <c r="M18084" i="25" s="1"/>
  <c r="N18084" i="25" s="1"/>
  <c r="D18092" i="25"/>
  <c r="E18092" i="25" s="1"/>
  <c r="F18092" i="25" s="1"/>
  <c r="L18092" i="25"/>
  <c r="M18092" i="25" s="1"/>
  <c r="N18092" i="25" s="1"/>
  <c r="D18077" i="25"/>
  <c r="E18077" i="25" s="1"/>
  <c r="F18077" i="25" s="1"/>
  <c r="L18077" i="25"/>
  <c r="M18077" i="25" s="1"/>
  <c r="N18077" i="25" s="1"/>
  <c r="D18085" i="25"/>
  <c r="E18085" i="25" s="1"/>
  <c r="F18085" i="25" s="1"/>
  <c r="L18085" i="25"/>
  <c r="M18085" i="25" s="1"/>
  <c r="N18085" i="25" s="1"/>
  <c r="D18093" i="25"/>
  <c r="E18093" i="25" s="1"/>
  <c r="F18093" i="25" s="1"/>
  <c r="L18093" i="25"/>
  <c r="M18093" i="25" s="1"/>
  <c r="N18093" i="25" s="1"/>
  <c r="D18101" i="25"/>
  <c r="E18101" i="25" s="1"/>
  <c r="F18101" i="25" s="1"/>
  <c r="L18101" i="25"/>
  <c r="M18101" i="25" s="1"/>
  <c r="N18101" i="25" s="1"/>
  <c r="D18078" i="25"/>
  <c r="E18078" i="25" s="1"/>
  <c r="F18078" i="25" s="1"/>
  <c r="L18078" i="25"/>
  <c r="M18078" i="25" s="1"/>
  <c r="N18078" i="25" s="1"/>
  <c r="D18086" i="25"/>
  <c r="E18086" i="25" s="1"/>
  <c r="F18086" i="25" s="1"/>
  <c r="L18086" i="25"/>
  <c r="M18086" i="25" s="1"/>
  <c r="N18086" i="25" s="1"/>
  <c r="D18094" i="25"/>
  <c r="E18094" i="25" s="1"/>
  <c r="F18094" i="25" s="1"/>
  <c r="L18094" i="25"/>
  <c r="M18094" i="25" s="1"/>
  <c r="N18094" i="25" s="1"/>
  <c r="D18102" i="25"/>
  <c r="E18102" i="25" s="1"/>
  <c r="F18102" i="25" s="1"/>
  <c r="L18102" i="25"/>
  <c r="M18102" i="25" s="1"/>
  <c r="N18102" i="25" s="1"/>
  <c r="D18079" i="25"/>
  <c r="E18079" i="25" s="1"/>
  <c r="F18079" i="25" s="1"/>
  <c r="L18079" i="25"/>
  <c r="M18079" i="25" s="1"/>
  <c r="N18079" i="25" s="1"/>
  <c r="D18087" i="25"/>
  <c r="E18087" i="25" s="1"/>
  <c r="F18087" i="25" s="1"/>
  <c r="L18087" i="25"/>
  <c r="M18087" i="25" s="1"/>
  <c r="N18087" i="25" s="1"/>
  <c r="D18095" i="25"/>
  <c r="E18095" i="25" s="1"/>
  <c r="F18095" i="25" s="1"/>
  <c r="L18095" i="25"/>
  <c r="M18095" i="25" s="1"/>
  <c r="N18095" i="25" s="1"/>
  <c r="D18103" i="25"/>
  <c r="E18103" i="25" s="1"/>
  <c r="F18103" i="25" s="1"/>
  <c r="L18103" i="25"/>
  <c r="M18103" i="25" s="1"/>
  <c r="N18103" i="25" s="1"/>
  <c r="D18100" i="25"/>
  <c r="E18100" i="25" s="1"/>
  <c r="F18100" i="25" s="1"/>
  <c r="L18100" i="25"/>
  <c r="M18100" i="25" s="1"/>
  <c r="N18100" i="25" s="1"/>
  <c r="AS446" i="29"/>
  <c r="AS436" i="29"/>
  <c r="D16968" i="25"/>
  <c r="E16968" i="25" s="1"/>
  <c r="F16968" i="25" s="1"/>
  <c r="F16990" i="25" s="1"/>
  <c r="AZ452" i="29"/>
  <c r="AS382" i="29"/>
  <c r="AX410" i="29"/>
  <c r="AY410" i="29" s="1"/>
  <c r="AS415" i="29"/>
  <c r="AZ553" i="29"/>
  <c r="D17075" i="25"/>
  <c r="E17075" i="25" s="1"/>
  <c r="F17075" i="25" s="1"/>
  <c r="D17083" i="25"/>
  <c r="E17083" i="25" s="1"/>
  <c r="F17083" i="25" s="1"/>
  <c r="D17091" i="25"/>
  <c r="E17091" i="25" s="1"/>
  <c r="F17091" i="25" s="1"/>
  <c r="D17099" i="25"/>
  <c r="E17099" i="25" s="1"/>
  <c r="F17099" i="25" s="1"/>
  <c r="D17100" i="25"/>
  <c r="E17100" i="25" s="1"/>
  <c r="F17100" i="25" s="1"/>
  <c r="D17077" i="25"/>
  <c r="E17077" i="25" s="1"/>
  <c r="F17077" i="25" s="1"/>
  <c r="D17085" i="25"/>
  <c r="E17085" i="25" s="1"/>
  <c r="F17085" i="25" s="1"/>
  <c r="D17093" i="25"/>
  <c r="E17093" i="25" s="1"/>
  <c r="F17093" i="25" s="1"/>
  <c r="D17078" i="25"/>
  <c r="E17078" i="25" s="1"/>
  <c r="F17078" i="25" s="1"/>
  <c r="D17086" i="25"/>
  <c r="E17086" i="25" s="1"/>
  <c r="F17086" i="25" s="1"/>
  <c r="D17094" i="25"/>
  <c r="E17094" i="25" s="1"/>
  <c r="F17094" i="25" s="1"/>
  <c r="D17071" i="25"/>
  <c r="E17071" i="25" s="1"/>
  <c r="F17071" i="25" s="1"/>
  <c r="D17079" i="25"/>
  <c r="E17079" i="25" s="1"/>
  <c r="F17079" i="25" s="1"/>
  <c r="D17087" i="25"/>
  <c r="E17087" i="25" s="1"/>
  <c r="F17087" i="25" s="1"/>
  <c r="D17095" i="25"/>
  <c r="E17095" i="25" s="1"/>
  <c r="F17095" i="25" s="1"/>
  <c r="D17072" i="25"/>
  <c r="E17072" i="25" s="1"/>
  <c r="F17072" i="25" s="1"/>
  <c r="D17080" i="25"/>
  <c r="E17080" i="25" s="1"/>
  <c r="F17080" i="25" s="1"/>
  <c r="D17088" i="25"/>
  <c r="E17088" i="25" s="1"/>
  <c r="F17088" i="25" s="1"/>
  <c r="D17096" i="25"/>
  <c r="E17096" i="25" s="1"/>
  <c r="F17096" i="25" s="1"/>
  <c r="D17073" i="25"/>
  <c r="E17073" i="25" s="1"/>
  <c r="F17073" i="25" s="1"/>
  <c r="D17081" i="25"/>
  <c r="E17081" i="25" s="1"/>
  <c r="F17081" i="25" s="1"/>
  <c r="D17089" i="25"/>
  <c r="E17089" i="25" s="1"/>
  <c r="F17089" i="25" s="1"/>
  <c r="D17097" i="25"/>
  <c r="E17097" i="25" s="1"/>
  <c r="F17097" i="25" s="1"/>
  <c r="D17074" i="25"/>
  <c r="E17074" i="25" s="1"/>
  <c r="F17074" i="25" s="1"/>
  <c r="D17082" i="25"/>
  <c r="E17082" i="25" s="1"/>
  <c r="F17082" i="25" s="1"/>
  <c r="D17090" i="25"/>
  <c r="E17090" i="25" s="1"/>
  <c r="F17090" i="25" s="1"/>
  <c r="D17098" i="25"/>
  <c r="E17098" i="25" s="1"/>
  <c r="F17098" i="25" s="1"/>
  <c r="D17092" i="25"/>
  <c r="E17092" i="25" s="1"/>
  <c r="F17092" i="25" s="1"/>
  <c r="D17076" i="25"/>
  <c r="E17076" i="25" s="1"/>
  <c r="F17076" i="25" s="1"/>
  <c r="AS435" i="29"/>
  <c r="AX429" i="29"/>
  <c r="AY429" i="29" s="1"/>
  <c r="AW452" i="29"/>
  <c r="AZ486" i="29"/>
  <c r="AZ480" i="29"/>
  <c r="AZ477" i="29"/>
  <c r="AZ31" i="32"/>
  <c r="AW31" i="32"/>
  <c r="AZ67" i="32"/>
  <c r="AZ33" i="32"/>
  <c r="AZ47" i="32"/>
  <c r="AZ55" i="32"/>
  <c r="AZ540" i="29"/>
  <c r="AZ499" i="29"/>
  <c r="AW469" i="29"/>
  <c r="AW517" i="29"/>
  <c r="AW505" i="29"/>
  <c r="AW475" i="29"/>
  <c r="F18810" i="25"/>
  <c r="F18811" i="25" s="1"/>
  <c r="F18812" i="25" s="1"/>
  <c r="F18813" i="25" s="1"/>
  <c r="F18814" i="25" s="1"/>
  <c r="F18815" i="25" s="1"/>
  <c r="H18814" i="25"/>
  <c r="AW489" i="29"/>
  <c r="AZ461" i="29"/>
  <c r="AZ481" i="29"/>
  <c r="AX437" i="29"/>
  <c r="AY437" i="29" s="1"/>
  <c r="AW461" i="29"/>
  <c r="AZ502" i="29"/>
  <c r="AZ548" i="29"/>
  <c r="H16219" i="25"/>
  <c r="D18096" i="25"/>
  <c r="E18096" i="25" s="1"/>
  <c r="F18096" i="25" s="1"/>
  <c r="AZ356" i="29"/>
  <c r="AS381" i="29"/>
  <c r="AZ25" i="29"/>
  <c r="AZ365" i="29"/>
  <c r="AT385" i="29"/>
  <c r="AU385" i="29" s="1"/>
  <c r="AX385" i="29"/>
  <c r="AY385" i="29" s="1"/>
  <c r="AW150" i="29"/>
  <c r="AZ137" i="29"/>
  <c r="AT342" i="29"/>
  <c r="AU342" i="29" s="1"/>
  <c r="AW205" i="29"/>
  <c r="AZ144" i="29"/>
  <c r="AT398" i="29"/>
  <c r="AU398" i="29" s="1"/>
  <c r="AZ205" i="29"/>
  <c r="AZ529" i="29"/>
  <c r="AS463" i="29"/>
  <c r="AZ533" i="29"/>
  <c r="AZ545" i="29"/>
  <c r="AX127" i="29"/>
  <c r="AY127" i="29" s="1"/>
  <c r="AW557" i="29"/>
  <c r="AX316" i="29"/>
  <c r="AY316" i="29" s="1"/>
  <c r="AZ397" i="29"/>
  <c r="AT456" i="29"/>
  <c r="AU456" i="29" s="1"/>
  <c r="AW299" i="29"/>
  <c r="AX360" i="29"/>
  <c r="AY360" i="29" s="1"/>
  <c r="AW370" i="29"/>
  <c r="AZ413" i="29"/>
  <c r="AZ256" i="29"/>
  <c r="AX163" i="29"/>
  <c r="AY163" i="29" s="1"/>
  <c r="AZ484" i="29"/>
  <c r="AZ343" i="29"/>
  <c r="AX396" i="29"/>
  <c r="AY396" i="29" s="1"/>
  <c r="AU434" i="29"/>
  <c r="AW28" i="32"/>
  <c r="AZ66" i="32"/>
  <c r="AZ7" i="32"/>
  <c r="D17084" i="25"/>
  <c r="E17084" i="25" s="1"/>
  <c r="F17084" i="25" s="1"/>
  <c r="AW35" i="32"/>
  <c r="AW82" i="29"/>
  <c r="AT374" i="29"/>
  <c r="AU374" i="29" s="1"/>
  <c r="AS351" i="29"/>
  <c r="AT399" i="29"/>
  <c r="AU399" i="29" s="1"/>
  <c r="AW512" i="29"/>
  <c r="AZ559" i="29"/>
  <c r="AZ467" i="29"/>
  <c r="AW456" i="29"/>
  <c r="AW277" i="29"/>
  <c r="AS455" i="29"/>
  <c r="AZ78" i="32"/>
  <c r="AZ408" i="29"/>
  <c r="AT376" i="29"/>
  <c r="AU376" i="29" s="1"/>
  <c r="AW397" i="29"/>
  <c r="AX413" i="29"/>
  <c r="AY413" i="29" s="1"/>
  <c r="AW360" i="29"/>
  <c r="AW352" i="29"/>
  <c r="AS372" i="29"/>
  <c r="AW487" i="29"/>
  <c r="AT235" i="29"/>
  <c r="AU235" i="29" s="1"/>
  <c r="AS365" i="29"/>
  <c r="AW418" i="29"/>
  <c r="AX106" i="29"/>
  <c r="AY106" i="29" s="1"/>
  <c r="AS393" i="29"/>
  <c r="AW496" i="29"/>
  <c r="AW408" i="29"/>
  <c r="AW337" i="29"/>
  <c r="AZ91" i="29"/>
  <c r="AZ466" i="29"/>
  <c r="AW193" i="29"/>
  <c r="AX392" i="29"/>
  <c r="AY392" i="29" s="1"/>
  <c r="AZ385" i="29"/>
  <c r="AW527" i="29"/>
  <c r="AZ370" i="29"/>
  <c r="AT306" i="29"/>
  <c r="AU306" i="29" s="1"/>
  <c r="AT328" i="29"/>
  <c r="AU328" i="29" s="1"/>
  <c r="AS337" i="29"/>
  <c r="AW343" i="29"/>
  <c r="AZ503" i="29"/>
  <c r="AW423" i="29"/>
  <c r="AW510" i="29"/>
  <c r="AX423" i="29"/>
  <c r="AY423" i="29" s="1"/>
  <c r="AX256" i="29"/>
  <c r="AY256" i="29" s="1"/>
  <c r="AX322" i="29"/>
  <c r="AY322" i="29" s="1"/>
  <c r="AZ190" i="29"/>
  <c r="AW515" i="29"/>
  <c r="AW190" i="29"/>
  <c r="AZ355" i="29"/>
  <c r="AX355" i="29"/>
  <c r="AY355" i="29" s="1"/>
  <c r="AW396" i="29"/>
  <c r="AS434" i="29"/>
  <c r="AZ127" i="29"/>
  <c r="AZ203" i="29"/>
  <c r="AT270" i="29"/>
  <c r="AU270" i="29" s="1"/>
  <c r="AS360" i="29"/>
  <c r="AX375" i="29"/>
  <c r="AY375" i="29" s="1"/>
  <c r="AW316" i="29"/>
  <c r="AZ193" i="29"/>
  <c r="AW348" i="29"/>
  <c r="AW278" i="29"/>
  <c r="AZ254" i="29"/>
  <c r="AX425" i="29"/>
  <c r="AY425" i="29" s="1"/>
  <c r="AW25" i="29"/>
  <c r="AZ67" i="29"/>
  <c r="AZ459" i="29"/>
  <c r="AY445" i="29"/>
  <c r="AW429" i="29"/>
  <c r="AW191" i="29"/>
  <c r="AW163" i="29"/>
  <c r="AX173" i="29"/>
  <c r="AY173" i="29" s="1"/>
  <c r="AZ328" i="29"/>
  <c r="AW453" i="29"/>
  <c r="AW448" i="29"/>
  <c r="AT356" i="29"/>
  <c r="AU356" i="29" s="1"/>
  <c r="AX252" i="29"/>
  <c r="AY252" i="29" s="1"/>
  <c r="AZ252" i="29"/>
  <c r="AW173" i="29"/>
  <c r="AX328" i="29"/>
  <c r="AY328" i="29" s="1"/>
  <c r="AX453" i="29"/>
  <c r="AY453" i="29" s="1"/>
  <c r="AZ119" i="29"/>
  <c r="AZ555" i="29"/>
  <c r="AW425" i="29"/>
  <c r="AZ448" i="29"/>
  <c r="AT246" i="29"/>
  <c r="AU246" i="29" s="1"/>
  <c r="AZ364" i="29"/>
  <c r="AX470" i="29"/>
  <c r="AY470" i="29" s="1"/>
  <c r="AZ352" i="29"/>
  <c r="AZ552" i="29"/>
  <c r="AX364" i="29"/>
  <c r="AY364" i="29" s="1"/>
  <c r="AS357" i="29"/>
  <c r="AT379" i="29"/>
  <c r="AU379" i="29" s="1"/>
  <c r="AW445" i="29"/>
  <c r="AW501" i="29"/>
  <c r="AZ337" i="29"/>
  <c r="AX459" i="29"/>
  <c r="AY459" i="29" s="1"/>
  <c r="AW471" i="29"/>
  <c r="AT27" i="32"/>
  <c r="AZ12" i="32"/>
  <c r="AX30" i="32"/>
  <c r="AX18" i="32"/>
  <c r="AW53" i="32"/>
  <c r="AZ50" i="32"/>
  <c r="AT6" i="32"/>
  <c r="AU6" i="32" s="1"/>
  <c r="AZ19" i="32"/>
  <c r="AZ25" i="32"/>
  <c r="AW25" i="32"/>
  <c r="AZ18" i="32"/>
  <c r="AZ386" i="29"/>
  <c r="AW221" i="29"/>
  <c r="AZ145" i="29"/>
  <c r="AX221" i="29"/>
  <c r="AY221" i="29" s="1"/>
  <c r="AX386" i="29"/>
  <c r="AY386" i="29" s="1"/>
  <c r="AZ399" i="29"/>
  <c r="AZ214" i="29"/>
  <c r="AW214" i="29"/>
  <c r="AX390" i="29"/>
  <c r="AY390" i="29" s="1"/>
  <c r="AX399" i="29"/>
  <c r="AY399" i="29" s="1"/>
  <c r="AZ390" i="29"/>
  <c r="AX140" i="29"/>
  <c r="AY140" i="29" s="1"/>
  <c r="AW324" i="29"/>
  <c r="AZ140" i="29"/>
  <c r="F17583" i="25"/>
  <c r="F17586" i="25" s="1"/>
  <c r="AN537" i="29" s="1"/>
  <c r="AZ330" i="29"/>
  <c r="AS277" i="29"/>
  <c r="AW454" i="29"/>
  <c r="AW525" i="29"/>
  <c r="AZ64" i="29"/>
  <c r="AX404" i="29"/>
  <c r="AY404" i="29" s="1"/>
  <c r="AX400" i="29"/>
  <c r="AY400" i="29" s="1"/>
  <c r="AZ159" i="29"/>
  <c r="AZ519" i="29"/>
  <c r="AW446" i="29"/>
  <c r="AW362" i="29"/>
  <c r="AZ508" i="29"/>
  <c r="AX297" i="29"/>
  <c r="AY297" i="29" s="1"/>
  <c r="AW159" i="29"/>
  <c r="AX267" i="29"/>
  <c r="AY267" i="29" s="1"/>
  <c r="AS290" i="29"/>
  <c r="AW69" i="29"/>
  <c r="AW404" i="29"/>
  <c r="AW495" i="29"/>
  <c r="AZ41" i="29"/>
  <c r="AT358" i="29"/>
  <c r="AU358" i="29" s="1"/>
  <c r="AZ115" i="29"/>
  <c r="AT347" i="29"/>
  <c r="AU347" i="29" s="1"/>
  <c r="AW297" i="29"/>
  <c r="AW522" i="29"/>
  <c r="AZ368" i="29"/>
  <c r="AW523" i="29"/>
  <c r="AS391" i="29"/>
  <c r="AZ82" i="29"/>
  <c r="AT378" i="29"/>
  <c r="AU378" i="29" s="1"/>
  <c r="AZ441" i="29"/>
  <c r="AZ488" i="29"/>
  <c r="AW73" i="29"/>
  <c r="AZ73" i="29"/>
  <c r="AT426" i="29"/>
  <c r="AU426" i="29" s="1"/>
  <c r="AZ100" i="29"/>
  <c r="AZ114" i="29"/>
  <c r="AV108" i="29"/>
  <c r="AW108" i="29" s="1"/>
  <c r="AW266" i="29"/>
  <c r="AX61" i="29"/>
  <c r="AY61" i="29" s="1"/>
  <c r="AX94" i="29"/>
  <c r="AY94" i="29" s="1"/>
  <c r="F713" i="25"/>
  <c r="F714" i="25" s="1"/>
  <c r="AW61" i="29"/>
  <c r="AZ33" i="29"/>
  <c r="AW94" i="29"/>
  <c r="AW85" i="29"/>
  <c r="AX138" i="29"/>
  <c r="AY138" i="29" s="1"/>
  <c r="AZ99" i="29"/>
  <c r="AX100" i="29"/>
  <c r="AY100" i="29" s="1"/>
  <c r="AS258" i="29"/>
  <c r="AZ266" i="29"/>
  <c r="AZ92" i="29"/>
  <c r="AS288" i="29"/>
  <c r="AT13" i="32"/>
  <c r="AU13" i="32" s="1"/>
  <c r="AZ34" i="32"/>
  <c r="AW44" i="32"/>
  <c r="AT24" i="32"/>
  <c r="AZ32" i="32"/>
  <c r="AW12" i="32"/>
  <c r="AZ65" i="32"/>
  <c r="AW9" i="32"/>
  <c r="AX9" i="32"/>
  <c r="AX29" i="32"/>
  <c r="AW61" i="32"/>
  <c r="AZ72" i="32"/>
  <c r="E2920" i="33"/>
  <c r="F2920" i="33" s="1"/>
  <c r="F2927" i="33" s="1"/>
  <c r="AQ64" i="32" s="1"/>
  <c r="E2968" i="33"/>
  <c r="F2968" i="33" s="1"/>
  <c r="F2974" i="33" s="1"/>
  <c r="AN555" i="29"/>
  <c r="D17477" i="25"/>
  <c r="E17477" i="25" s="1"/>
  <c r="F17477" i="25" s="1"/>
  <c r="D17485" i="25"/>
  <c r="E17485" i="25" s="1"/>
  <c r="F17485" i="25" s="1"/>
  <c r="D17493" i="25"/>
  <c r="E17493" i="25" s="1"/>
  <c r="F17493" i="25" s="1"/>
  <c r="D17501" i="25"/>
  <c r="E17501" i="25" s="1"/>
  <c r="F17501" i="25" s="1"/>
  <c r="D17478" i="25"/>
  <c r="E17478" i="25" s="1"/>
  <c r="F17478" i="25" s="1"/>
  <c r="D17486" i="25"/>
  <c r="E17486" i="25" s="1"/>
  <c r="F17486" i="25" s="1"/>
  <c r="D17494" i="25"/>
  <c r="E17494" i="25" s="1"/>
  <c r="F17494" i="25" s="1"/>
  <c r="D17502" i="25"/>
  <c r="E17502" i="25" s="1"/>
  <c r="F17502" i="25" s="1"/>
  <c r="D17484" i="25"/>
  <c r="E17484" i="25" s="1"/>
  <c r="F17484" i="25" s="1"/>
  <c r="D17479" i="25"/>
  <c r="E17479" i="25" s="1"/>
  <c r="F17479" i="25" s="1"/>
  <c r="D17487" i="25"/>
  <c r="E17487" i="25" s="1"/>
  <c r="F17487" i="25" s="1"/>
  <c r="D17495" i="25"/>
  <c r="E17495" i="25" s="1"/>
  <c r="F17495" i="25" s="1"/>
  <c r="D17503" i="25"/>
  <c r="E17503" i="25" s="1"/>
  <c r="F17503" i="25" s="1"/>
  <c r="D17500" i="25"/>
  <c r="E17500" i="25" s="1"/>
  <c r="F17500" i="25" s="1"/>
  <c r="D17480" i="25"/>
  <c r="E17480" i="25" s="1"/>
  <c r="F17480" i="25" s="1"/>
  <c r="D17488" i="25"/>
  <c r="E17488" i="25" s="1"/>
  <c r="F17488" i="25" s="1"/>
  <c r="E17496" i="25"/>
  <c r="F17496" i="25" s="1"/>
  <c r="D17504" i="25"/>
  <c r="E17504" i="25" s="1"/>
  <c r="F17504" i="25" s="1"/>
  <c r="D17492" i="25"/>
  <c r="E17492" i="25" s="1"/>
  <c r="F17492" i="25" s="1"/>
  <c r="D17481" i="25"/>
  <c r="E17481" i="25" s="1"/>
  <c r="F17481" i="25" s="1"/>
  <c r="D17489" i="25"/>
  <c r="E17489" i="25" s="1"/>
  <c r="F17489" i="25" s="1"/>
  <c r="D17497" i="25"/>
  <c r="E17497" i="25" s="1"/>
  <c r="F17497" i="25" s="1"/>
  <c r="D17505" i="25"/>
  <c r="E17505" i="25" s="1"/>
  <c r="F17505" i="25" s="1"/>
  <c r="D17482" i="25"/>
  <c r="E17482" i="25" s="1"/>
  <c r="F17482" i="25" s="1"/>
  <c r="D17490" i="25"/>
  <c r="E17490" i="25" s="1"/>
  <c r="F17490" i="25" s="1"/>
  <c r="D17498" i="25"/>
  <c r="E17498" i="25" s="1"/>
  <c r="F17498" i="25" s="1"/>
  <c r="D17506" i="25"/>
  <c r="E17506" i="25" s="1"/>
  <c r="F17506" i="25" s="1"/>
  <c r="D17483" i="25"/>
  <c r="E17483" i="25" s="1"/>
  <c r="F17483" i="25" s="1"/>
  <c r="D17491" i="25"/>
  <c r="E17491" i="25" s="1"/>
  <c r="F17491" i="25" s="1"/>
  <c r="D17499" i="25"/>
  <c r="E17499" i="25" s="1"/>
  <c r="F17499" i="25" s="1"/>
  <c r="AW45" i="32"/>
  <c r="AZ58" i="32"/>
  <c r="AT20" i="32"/>
  <c r="AU20" i="32" s="1"/>
  <c r="AW62" i="32"/>
  <c r="AW29" i="32"/>
  <c r="AW30" i="32"/>
  <c r="AZ42" i="32"/>
  <c r="AZ48" i="32"/>
  <c r="AX3" i="32"/>
  <c r="AW54" i="32"/>
  <c r="AZ24" i="32"/>
  <c r="AW24" i="32"/>
  <c r="AZ37" i="32"/>
  <c r="AX20" i="32"/>
  <c r="AT31" i="32"/>
  <c r="AZ6" i="32"/>
  <c r="AZ51" i="32"/>
  <c r="AW69" i="32"/>
  <c r="AS15" i="32"/>
  <c r="AW64" i="32"/>
  <c r="AW71" i="32"/>
  <c r="AW3" i="32"/>
  <c r="AW17" i="32"/>
  <c r="AZ56" i="32"/>
  <c r="AW5" i="32"/>
  <c r="AZ40" i="32"/>
  <c r="AW70" i="32"/>
  <c r="AW49" i="32"/>
  <c r="AW80" i="32"/>
  <c r="AZ80" i="32"/>
  <c r="AS30" i="32"/>
  <c r="AX6" i="32"/>
  <c r="AP555" i="29"/>
  <c r="AY436" i="29"/>
  <c r="AV36" i="29"/>
  <c r="AZ36" i="29" s="1"/>
  <c r="AW54" i="29"/>
  <c r="AW56" i="29"/>
  <c r="AW243" i="29"/>
  <c r="AZ171" i="29"/>
  <c r="AZ251" i="29"/>
  <c r="AW222" i="29"/>
  <c r="AZ243" i="29"/>
  <c r="AT244" i="29"/>
  <c r="AU244" i="29" s="1"/>
  <c r="AT251" i="29"/>
  <c r="AU251" i="29" s="1"/>
  <c r="AW216" i="29"/>
  <c r="AX89" i="29"/>
  <c r="AY89" i="29" s="1"/>
  <c r="AZ123" i="29"/>
  <c r="AZ216" i="29"/>
  <c r="AW263" i="29"/>
  <c r="AX162" i="29"/>
  <c r="AY162" i="29" s="1"/>
  <c r="AW155" i="29"/>
  <c r="AX217" i="29"/>
  <c r="AY217" i="29" s="1"/>
  <c r="AW436" i="29"/>
  <c r="AX277" i="29"/>
  <c r="AY277" i="29" s="1"/>
  <c r="AX290" i="29"/>
  <c r="AY290" i="29" s="1"/>
  <c r="AW534" i="29"/>
  <c r="AX441" i="29"/>
  <c r="AY441" i="29" s="1"/>
  <c r="AW16" i="29"/>
  <c r="AT396" i="29"/>
  <c r="AU396" i="29" s="1"/>
  <c r="AZ202" i="29"/>
  <c r="AW218" i="29"/>
  <c r="AZ311" i="29"/>
  <c r="AX464" i="29"/>
  <c r="AY464" i="29" s="1"/>
  <c r="AW383" i="29"/>
  <c r="AW203" i="29"/>
  <c r="AZ498" i="29"/>
  <c r="AW493" i="29"/>
  <c r="AZ369" i="29"/>
  <c r="AZ162" i="29"/>
  <c r="AS326" i="29"/>
  <c r="AW336" i="29"/>
  <c r="AZ148" i="29"/>
  <c r="AT401" i="29"/>
  <c r="AU401" i="29" s="1"/>
  <c r="AZ520" i="29"/>
  <c r="AW391" i="29"/>
  <c r="AZ524" i="29"/>
  <c r="AX378" i="29"/>
  <c r="AY378" i="29" s="1"/>
  <c r="AW251" i="29"/>
  <c r="AZ446" i="29"/>
  <c r="AW154" i="29"/>
  <c r="AX431" i="29"/>
  <c r="AY431" i="29" s="1"/>
  <c r="AW26" i="29"/>
  <c r="AX336" i="29"/>
  <c r="AY336" i="29" s="1"/>
  <c r="AW401" i="29"/>
  <c r="AW290" i="29"/>
  <c r="AW416" i="29"/>
  <c r="AX155" i="29"/>
  <c r="AY155" i="29" s="1"/>
  <c r="AT263" i="29"/>
  <c r="AU263" i="29" s="1"/>
  <c r="AW342" i="29"/>
  <c r="AX218" i="29"/>
  <c r="AY218" i="29" s="1"/>
  <c r="AZ135" i="29"/>
  <c r="AW374" i="29"/>
  <c r="AW458" i="29"/>
  <c r="AT388" i="29"/>
  <c r="AU388" i="29" s="1"/>
  <c r="AZ546" i="29"/>
  <c r="AZ431" i="29"/>
  <c r="AW202" i="29"/>
  <c r="AW395" i="29"/>
  <c r="AX416" i="29"/>
  <c r="AY416" i="29" s="1"/>
  <c r="AX358" i="29"/>
  <c r="AY358" i="29" s="1"/>
  <c r="AX154" i="29"/>
  <c r="AY154" i="29" s="1"/>
  <c r="AX305" i="29"/>
  <c r="AY305" i="29" s="1"/>
  <c r="AW217" i="29"/>
  <c r="AZ334" i="29"/>
  <c r="AZ401" i="29"/>
  <c r="AZ531" i="29"/>
  <c r="AW351" i="29"/>
  <c r="AT62" i="29"/>
  <c r="AU62" i="29" s="1"/>
  <c r="AX349" i="29"/>
  <c r="AY349" i="29" s="1"/>
  <c r="AZ393" i="29"/>
  <c r="AW138" i="29"/>
  <c r="AW55" i="29"/>
  <c r="AZ451" i="29"/>
  <c r="AX300" i="29"/>
  <c r="AY300" i="29" s="1"/>
  <c r="AW121" i="29"/>
  <c r="AW63" i="29"/>
  <c r="AX318" i="29"/>
  <c r="AY318" i="29" s="1"/>
  <c r="AZ318" i="29"/>
  <c r="AX332" i="29"/>
  <c r="AY332" i="29" s="1"/>
  <c r="AS353" i="29"/>
  <c r="AX175" i="29"/>
  <c r="AY175" i="29" s="1"/>
  <c r="AZ323" i="29"/>
  <c r="AZ157" i="29"/>
  <c r="AZ29" i="29"/>
  <c r="AS249" i="29"/>
  <c r="AW349" i="29"/>
  <c r="AZ558" i="29"/>
  <c r="AZ424" i="29"/>
  <c r="AW389" i="29"/>
  <c r="AZ537" i="29"/>
  <c r="AZ456" i="29"/>
  <c r="AT414" i="29"/>
  <c r="AU414" i="29" s="1"/>
  <c r="AX365" i="29"/>
  <c r="AY365" i="29" s="1"/>
  <c r="AX407" i="29"/>
  <c r="AY407" i="29" s="1"/>
  <c r="AW130" i="29"/>
  <c r="AS266" i="29"/>
  <c r="AZ492" i="29"/>
  <c r="AX438" i="29"/>
  <c r="AY438" i="29" s="1"/>
  <c r="AZ195" i="29"/>
  <c r="AX356" i="29"/>
  <c r="AY356" i="29" s="1"/>
  <c r="AW207" i="29"/>
  <c r="AW323" i="29"/>
  <c r="AX451" i="29"/>
  <c r="AY451" i="29" s="1"/>
  <c r="AZ300" i="29"/>
  <c r="AZ470" i="29"/>
  <c r="AV132" i="29"/>
  <c r="AZ132" i="29" s="1"/>
  <c r="AZ389" i="29"/>
  <c r="AX312" i="29"/>
  <c r="AY312" i="29" s="1"/>
  <c r="AW472" i="29"/>
  <c r="AX372" i="29"/>
  <c r="AY372" i="29" s="1"/>
  <c r="AW292" i="29"/>
  <c r="AW312" i="29"/>
  <c r="AX449" i="29"/>
  <c r="AY449" i="29" s="1"/>
  <c r="AZ449" i="29"/>
  <c r="AP469" i="29"/>
  <c r="AZ247" i="29"/>
  <c r="H15336" i="25"/>
  <c r="AP476" i="29" s="1"/>
  <c r="AN547" i="29"/>
  <c r="AW296" i="29"/>
  <c r="AX296" i="29"/>
  <c r="AY296" i="29" s="1"/>
  <c r="AZ188" i="29"/>
  <c r="AW124" i="29"/>
  <c r="AX361" i="29"/>
  <c r="AY361" i="29" s="1"/>
  <c r="AS350" i="29"/>
  <c r="AZ199" i="29"/>
  <c r="AW31" i="29"/>
  <c r="AZ208" i="29"/>
  <c r="AX160" i="29"/>
  <c r="AY160" i="29" s="1"/>
  <c r="AS309" i="29"/>
  <c r="AS313" i="29"/>
  <c r="AZ62" i="29"/>
  <c r="AW353" i="29"/>
  <c r="AW47" i="29"/>
  <c r="AZ160" i="29"/>
  <c r="AZ319" i="29"/>
  <c r="AS373" i="29"/>
  <c r="AW250" i="29"/>
  <c r="AX258" i="29"/>
  <c r="AY258" i="29" s="1"/>
  <c r="AS346" i="29"/>
  <c r="AW39" i="29"/>
  <c r="AW71" i="29"/>
  <c r="AX250" i="29"/>
  <c r="AY250" i="29" s="1"/>
  <c r="AS267" i="29"/>
  <c r="AX47" i="29"/>
  <c r="AY47" i="29" s="1"/>
  <c r="AZ361" i="29"/>
  <c r="AP517" i="29"/>
  <c r="AW442" i="29"/>
  <c r="AS278" i="29"/>
  <c r="AX443" i="29"/>
  <c r="AY443" i="29" s="1"/>
  <c r="AW38" i="29"/>
  <c r="AZ324" i="29"/>
  <c r="AS363" i="29"/>
  <c r="AX311" i="29"/>
  <c r="AY311" i="29" s="1"/>
  <c r="AV57" i="29"/>
  <c r="AW57" i="29" s="1"/>
  <c r="AZ418" i="29"/>
  <c r="AZ192" i="29"/>
  <c r="AX432" i="29"/>
  <c r="AY432" i="29" s="1"/>
  <c r="AZ410" i="29"/>
  <c r="AX326" i="29"/>
  <c r="AY326" i="29" s="1"/>
  <c r="AU437" i="29"/>
  <c r="AW305" i="29"/>
  <c r="AS404" i="29"/>
  <c r="AW414" i="29"/>
  <c r="AW424" i="29"/>
  <c r="AZ551" i="29"/>
  <c r="AZ414" i="29"/>
  <c r="AX270" i="29"/>
  <c r="AY270" i="29" s="1"/>
  <c r="AW204" i="29"/>
  <c r="AZ358" i="29"/>
  <c r="AX207" i="29"/>
  <c r="AY207" i="29" s="1"/>
  <c r="AZ427" i="29"/>
  <c r="AS305" i="29"/>
  <c r="AW158" i="29"/>
  <c r="AW334" i="29"/>
  <c r="AU424" i="29"/>
  <c r="AY428" i="29"/>
  <c r="AY442" i="29"/>
  <c r="AS437" i="29"/>
  <c r="AW400" i="29"/>
  <c r="AW129" i="29"/>
  <c r="AZ346" i="29"/>
  <c r="AW192" i="29"/>
  <c r="AW403" i="29"/>
  <c r="AZ554" i="29"/>
  <c r="AX450" i="29"/>
  <c r="AY450" i="29" s="1"/>
  <c r="AZ403" i="29"/>
  <c r="AX38" i="29"/>
  <c r="AY38" i="29" s="1"/>
  <c r="AZ450" i="29"/>
  <c r="AW309" i="29"/>
  <c r="AW107" i="29"/>
  <c r="AZ506" i="29"/>
  <c r="AZ382" i="29"/>
  <c r="AX462" i="29"/>
  <c r="AY462" i="29" s="1"/>
  <c r="AW468" i="29"/>
  <c r="AW112" i="29"/>
  <c r="AW32" i="29"/>
  <c r="AT233" i="29"/>
  <c r="AU233" i="29" s="1"/>
  <c r="AZ60" i="29"/>
  <c r="AT387" i="29"/>
  <c r="AU387" i="29" s="1"/>
  <c r="AS291" i="29"/>
  <c r="AT47" i="29"/>
  <c r="AU47" i="29" s="1"/>
  <c r="AW169" i="29"/>
  <c r="AX309" i="29"/>
  <c r="AY309" i="29" s="1"/>
  <c r="AZ326" i="29"/>
  <c r="AX419" i="29"/>
  <c r="AY419" i="29" s="1"/>
  <c r="AW382" i="29"/>
  <c r="AZ407" i="29"/>
  <c r="AX374" i="29"/>
  <c r="AY374" i="29" s="1"/>
  <c r="AW378" i="29"/>
  <c r="AZ432" i="29"/>
  <c r="AZ442" i="29"/>
  <c r="AW556" i="29"/>
  <c r="AW563" i="29"/>
  <c r="AX342" i="29"/>
  <c r="AY342" i="29" s="1"/>
  <c r="AX427" i="29"/>
  <c r="AY427" i="29" s="1"/>
  <c r="AT331" i="29"/>
  <c r="AU331" i="29" s="1"/>
  <c r="AW419" i="29"/>
  <c r="AW478" i="29"/>
  <c r="AX219" i="29"/>
  <c r="AY219" i="29" s="1"/>
  <c r="AX81" i="29"/>
  <c r="AY81" i="29" s="1"/>
  <c r="AS268" i="29"/>
  <c r="AW149" i="29"/>
  <c r="AX373" i="29"/>
  <c r="AY373" i="29" s="1"/>
  <c r="AZ143" i="29"/>
  <c r="AX346" i="29"/>
  <c r="AY346" i="29" s="1"/>
  <c r="AZ278" i="29"/>
  <c r="AX406" i="29"/>
  <c r="AY406" i="29" s="1"/>
  <c r="AT403" i="29"/>
  <c r="AU403" i="29" s="1"/>
  <c r="AS325" i="29"/>
  <c r="AZ219" i="29"/>
  <c r="AZ81" i="29"/>
  <c r="AT386" i="29"/>
  <c r="AU386" i="29" s="1"/>
  <c r="AZ373" i="29"/>
  <c r="AZ398" i="29"/>
  <c r="AW70" i="29"/>
  <c r="AZ447" i="29"/>
  <c r="AZ530" i="29"/>
  <c r="AZ406" i="29"/>
  <c r="AX447" i="29"/>
  <c r="AY447" i="29" s="1"/>
  <c r="AX377" i="29"/>
  <c r="AY377" i="29" s="1"/>
  <c r="AZ439" i="29"/>
  <c r="AZ539" i="29"/>
  <c r="AZ518" i="29"/>
  <c r="AX422" i="29"/>
  <c r="AY422" i="29" s="1"/>
  <c r="AZ176" i="29"/>
  <c r="AZ149" i="29"/>
  <c r="AS394" i="29"/>
  <c r="AW435" i="29"/>
  <c r="AW439" i="29"/>
  <c r="AW270" i="29"/>
  <c r="AZ76" i="29"/>
  <c r="AZ422" i="29"/>
  <c r="AW244" i="29"/>
  <c r="AZ299" i="29"/>
  <c r="AZ504" i="29"/>
  <c r="AW538" i="29"/>
  <c r="AW95" i="29"/>
  <c r="AZ482" i="29"/>
  <c r="AX320" i="29"/>
  <c r="AY320" i="29" s="1"/>
  <c r="AX417" i="29"/>
  <c r="AY417" i="29" s="1"/>
  <c r="AW27" i="29"/>
  <c r="AW377" i="29"/>
  <c r="AZ244" i="29"/>
  <c r="AZ543" i="29"/>
  <c r="AZ550" i="29"/>
  <c r="AW398" i="29"/>
  <c r="AW474" i="29"/>
  <c r="AW426" i="29"/>
  <c r="AZ445" i="29"/>
  <c r="AZ417" i="29"/>
  <c r="AS390" i="29"/>
  <c r="AZ46" i="29"/>
  <c r="AX176" i="29"/>
  <c r="AY176" i="29" s="1"/>
  <c r="AS188" i="29"/>
  <c r="AZ381" i="29"/>
  <c r="AZ136" i="29"/>
  <c r="AX426" i="29"/>
  <c r="AY426" i="29" s="1"/>
  <c r="AZ511" i="29"/>
  <c r="AQ489" i="29"/>
  <c r="AR120" i="29"/>
  <c r="AS120" i="29" s="1"/>
  <c r="AP537" i="29"/>
  <c r="F2515" i="25"/>
  <c r="F2517" i="25" s="1"/>
  <c r="F1208" i="25"/>
  <c r="BD63" i="29" s="1"/>
  <c r="AP474" i="29"/>
  <c r="AY454" i="29"/>
  <c r="E3019" i="33"/>
  <c r="F3019" i="33" s="1"/>
  <c r="F3024" i="33" s="1"/>
  <c r="E3025" i="33" s="1"/>
  <c r="E3026" i="33" s="1"/>
  <c r="E3027" i="33" s="1"/>
  <c r="E3028" i="33" s="1"/>
  <c r="E3029" i="33" s="1"/>
  <c r="E3030" i="33" s="1"/>
  <c r="E3031" i="33" s="1"/>
  <c r="E3032" i="33" s="1"/>
  <c r="E3033" i="33" s="1"/>
  <c r="E3034" i="33" s="1"/>
  <c r="AP503" i="29"/>
  <c r="AN551" i="29"/>
  <c r="AY463" i="29"/>
  <c r="AY452" i="29"/>
  <c r="AY457" i="29"/>
  <c r="AU407" i="29"/>
  <c r="AZ117" i="29"/>
  <c r="H11966" i="25"/>
  <c r="H11970" i="25" s="1"/>
  <c r="AQ396" i="29" s="1"/>
  <c r="AP396" i="29" s="1"/>
  <c r="D15706" i="25"/>
  <c r="E15706" i="25" s="1"/>
  <c r="F15706" i="25" s="1"/>
  <c r="D15692" i="25"/>
  <c r="E15692" i="25" s="1"/>
  <c r="F15692" i="25" s="1"/>
  <c r="I17942" i="25"/>
  <c r="AP548" i="29" s="1"/>
  <c r="F17943" i="25"/>
  <c r="F17948" i="25" s="1"/>
  <c r="AU405" i="29"/>
  <c r="AY411" i="29"/>
  <c r="H9042" i="25"/>
  <c r="AQ307" i="29" s="1"/>
  <c r="AP307" i="29" s="1"/>
  <c r="AW96" i="29"/>
  <c r="AS193" i="29"/>
  <c r="E88" i="25"/>
  <c r="H9748" i="25"/>
  <c r="AS225" i="29"/>
  <c r="L1381" i="25"/>
  <c r="L1382" i="25" s="1"/>
  <c r="AQ418" i="29"/>
  <c r="AP418" i="29" s="1"/>
  <c r="H11097" i="25"/>
  <c r="AQ372" i="29" s="1"/>
  <c r="AP372" i="29" s="1"/>
  <c r="AT61" i="29"/>
  <c r="AU61" i="29" s="1"/>
  <c r="H14192" i="25"/>
  <c r="AN449" i="29" s="1"/>
  <c r="AU21" i="32"/>
  <c r="AY403" i="29"/>
  <c r="AU16" i="32"/>
  <c r="AY448" i="29"/>
  <c r="AZ332" i="29"/>
  <c r="AW241" i="29"/>
  <c r="AW213" i="29"/>
  <c r="AX391" i="29"/>
  <c r="AY391" i="29" s="1"/>
  <c r="AX387" i="29"/>
  <c r="AY387" i="29" s="1"/>
  <c r="AX319" i="29"/>
  <c r="AY319" i="29" s="1"/>
  <c r="AW65" i="29"/>
  <c r="AZ268" i="29"/>
  <c r="AW111" i="29"/>
  <c r="AW387" i="29"/>
  <c r="AZ313" i="29"/>
  <c r="AW174" i="29"/>
  <c r="AZ359" i="29"/>
  <c r="AT311" i="29"/>
  <c r="AU311" i="29" s="1"/>
  <c r="AT66" i="29"/>
  <c r="AU66" i="29" s="1"/>
  <c r="AW166" i="29"/>
  <c r="AW189" i="29"/>
  <c r="AX58" i="29"/>
  <c r="AY58" i="29" s="1"/>
  <c r="AZ90" i="29"/>
  <c r="AS324" i="29"/>
  <c r="AS265" i="29"/>
  <c r="AW253" i="29"/>
  <c r="AZ107" i="29"/>
  <c r="AZ58" i="29"/>
  <c r="AW363" i="29"/>
  <c r="AT400" i="29"/>
  <c r="AU400" i="29" s="1"/>
  <c r="AW53" i="29"/>
  <c r="AZ253" i="29"/>
  <c r="AW74" i="29"/>
  <c r="AW88" i="29"/>
  <c r="AW120" i="29"/>
  <c r="AW246" i="29"/>
  <c r="AZ178" i="29"/>
  <c r="AX174" i="29"/>
  <c r="AY174" i="29" s="1"/>
  <c r="AW125" i="29"/>
  <c r="AT257" i="29"/>
  <c r="AU257" i="29" s="1"/>
  <c r="AZ200" i="29"/>
  <c r="AX359" i="29"/>
  <c r="AY359" i="29" s="1"/>
  <c r="AW105" i="29"/>
  <c r="AZ116" i="29"/>
  <c r="AZ241" i="29"/>
  <c r="AT250" i="29"/>
  <c r="AU250" i="29" s="1"/>
  <c r="AW313" i="29"/>
  <c r="AT292" i="29"/>
  <c r="AU292" i="29" s="1"/>
  <c r="AT375" i="29"/>
  <c r="AU375" i="29" s="1"/>
  <c r="AX225" i="29"/>
  <c r="AY225" i="29" s="1"/>
  <c r="AS364" i="29"/>
  <c r="AZ98" i="29"/>
  <c r="AZ354" i="29"/>
  <c r="AW257" i="29"/>
  <c r="AS307" i="29"/>
  <c r="AW122" i="29"/>
  <c r="AT384" i="29"/>
  <c r="AU384" i="29" s="1"/>
  <c r="AW421" i="29"/>
  <c r="AW384" i="29"/>
  <c r="AX321" i="29"/>
  <c r="AY321" i="29" s="1"/>
  <c r="AW392" i="29"/>
  <c r="AW379" i="29"/>
  <c r="AW180" i="29"/>
  <c r="AZ491" i="29"/>
  <c r="AT348" i="29"/>
  <c r="AU348" i="29" s="1"/>
  <c r="AT406" i="29"/>
  <c r="AU406" i="29" s="1"/>
  <c r="AT438" i="29"/>
  <c r="AU438" i="29" s="1"/>
  <c r="AX354" i="29"/>
  <c r="AY354" i="29" s="1"/>
  <c r="AW528" i="29"/>
  <c r="AZ428" i="29"/>
  <c r="AZ411" i="29"/>
  <c r="AZ380" i="29"/>
  <c r="AX325" i="29"/>
  <c r="AY325" i="29" s="1"/>
  <c r="AX339" i="29"/>
  <c r="AY339" i="29" s="1"/>
  <c r="AX362" i="29"/>
  <c r="AY362" i="29" s="1"/>
  <c r="AZ333" i="29"/>
  <c r="AX366" i="29"/>
  <c r="AY366" i="29" s="1"/>
  <c r="AZ549" i="29"/>
  <c r="AZ412" i="29"/>
  <c r="AW547" i="29"/>
  <c r="AZ485" i="29"/>
  <c r="AT402" i="29"/>
  <c r="AU402" i="29" s="1"/>
  <c r="AU439" i="29"/>
  <c r="AX444" i="29"/>
  <c r="AY444" i="29" s="1"/>
  <c r="AZ561" i="29"/>
  <c r="AZ497" i="29"/>
  <c r="AX344" i="29"/>
  <c r="AY344" i="29" s="1"/>
  <c r="AT355" i="29"/>
  <c r="AU355" i="29" s="1"/>
  <c r="AZ321" i="29"/>
  <c r="AZ320" i="29"/>
  <c r="AT241" i="29"/>
  <c r="AU241" i="29" s="1"/>
  <c r="AX402" i="29"/>
  <c r="AY402" i="29" s="1"/>
  <c r="AW307" i="29"/>
  <c r="AT352" i="29"/>
  <c r="AU352" i="29" s="1"/>
  <c r="AT334" i="29"/>
  <c r="AU334" i="29" s="1"/>
  <c r="AX283" i="29"/>
  <c r="AY283" i="29" s="1"/>
  <c r="AZ151" i="29"/>
  <c r="AW428" i="29"/>
  <c r="AS252" i="29"/>
  <c r="AW411" i="29"/>
  <c r="AW380" i="29"/>
  <c r="AX421" i="29"/>
  <c r="AY421" i="29" s="1"/>
  <c r="AW542" i="29"/>
  <c r="AX187" i="29"/>
  <c r="AY187" i="29" s="1"/>
  <c r="AZ291" i="29"/>
  <c r="AZ265" i="29"/>
  <c r="AW479" i="29"/>
  <c r="AW325" i="29"/>
  <c r="AZ514" i="29"/>
  <c r="AZ516" i="29"/>
  <c r="AY439" i="29"/>
  <c r="AW357" i="29"/>
  <c r="AW438" i="29"/>
  <c r="AX384" i="29"/>
  <c r="AY384" i="29" s="1"/>
  <c r="AW265" i="29"/>
  <c r="AW509" i="29"/>
  <c r="AW183" i="29"/>
  <c r="AZ394" i="29"/>
  <c r="AZ376" i="29"/>
  <c r="AX307" i="29"/>
  <c r="AY307" i="29" s="1"/>
  <c r="AW209" i="29"/>
  <c r="AZ283" i="29"/>
  <c r="AW152" i="29"/>
  <c r="AX376" i="29"/>
  <c r="AY376" i="29" s="1"/>
  <c r="AT366" i="29"/>
  <c r="AU366" i="29" s="1"/>
  <c r="AW366" i="29"/>
  <c r="AX412" i="29"/>
  <c r="AY412" i="29" s="1"/>
  <c r="AZ483" i="29"/>
  <c r="AS395" i="29"/>
  <c r="AZ535" i="29"/>
  <c r="AZ465" i="29"/>
  <c r="AW344" i="29"/>
  <c r="AW215" i="29"/>
  <c r="AZ255" i="29"/>
  <c r="AW434" i="29"/>
  <c r="AW141" i="29"/>
  <c r="AY424" i="29"/>
  <c r="AX394" i="29"/>
  <c r="AY394" i="29" s="1"/>
  <c r="AS362" i="29"/>
  <c r="AX333" i="29"/>
  <c r="AY333" i="29" s="1"/>
  <c r="AZ246" i="29"/>
  <c r="AT232" i="29"/>
  <c r="AU232" i="29" s="1"/>
  <c r="AZ161" i="29"/>
  <c r="AS330" i="29"/>
  <c r="AZ179" i="29"/>
  <c r="AW532" i="29"/>
  <c r="AX388" i="29"/>
  <c r="AY388" i="29" s="1"/>
  <c r="AX314" i="29"/>
  <c r="AY314" i="29" s="1"/>
  <c r="AX434" i="29"/>
  <c r="AY434" i="29" s="1"/>
  <c r="AX268" i="29"/>
  <c r="AY268" i="29" s="1"/>
  <c r="AW513" i="29"/>
  <c r="AU363" i="29"/>
  <c r="AZ357" i="29"/>
  <c r="AT392" i="29"/>
  <c r="AU392" i="29" s="1"/>
  <c r="AX257" i="29"/>
  <c r="AY257" i="29" s="1"/>
  <c r="AX142" i="29"/>
  <c r="AY142" i="29" s="1"/>
  <c r="AX330" i="29"/>
  <c r="AY330" i="29" s="1"/>
  <c r="H711" i="25"/>
  <c r="AW109" i="29"/>
  <c r="AT234" i="29"/>
  <c r="AU234" i="29" s="1"/>
  <c r="AZ204" i="29"/>
  <c r="AW455" i="29"/>
  <c r="AZ315" i="29"/>
  <c r="AW179" i="29"/>
  <c r="AZ464" i="29"/>
  <c r="AS226" i="29"/>
  <c r="AV34" i="29"/>
  <c r="AW34" i="29" s="1"/>
  <c r="AW460" i="29"/>
  <c r="AW151" i="29"/>
  <c r="AZ476" i="29"/>
  <c r="AX458" i="29"/>
  <c r="AY458" i="29" s="1"/>
  <c r="AZ521" i="29"/>
  <c r="AZ152" i="29"/>
  <c r="AW526" i="29"/>
  <c r="AZ314" i="29"/>
  <c r="AS405" i="29"/>
  <c r="AZ473" i="29"/>
  <c r="AZ494" i="29"/>
  <c r="AW188" i="29"/>
  <c r="AX455" i="29"/>
  <c r="AY455" i="29" s="1"/>
  <c r="AZ420" i="29"/>
  <c r="H710" i="25"/>
  <c r="AZ286" i="29"/>
  <c r="AS389" i="29"/>
  <c r="AZ388" i="29"/>
  <c r="AZ118" i="29"/>
  <c r="AS176" i="29"/>
  <c r="AW444" i="29"/>
  <c r="H709" i="25"/>
  <c r="AZ443" i="29"/>
  <c r="AX141" i="29"/>
  <c r="AY141" i="29" s="1"/>
  <c r="AX379" i="29"/>
  <c r="AY379" i="29" s="1"/>
  <c r="AW113" i="29"/>
  <c r="AX161" i="29"/>
  <c r="AY161" i="29" s="1"/>
  <c r="AX315" i="29"/>
  <c r="AX460" i="29"/>
  <c r="AY460" i="29" s="1"/>
  <c r="AZ372" i="29"/>
  <c r="AW156" i="29"/>
  <c r="AW286" i="29"/>
  <c r="AZ146" i="29"/>
  <c r="AW255" i="29"/>
  <c r="AX420" i="29"/>
  <c r="AY420" i="29" s="1"/>
  <c r="AY405" i="29"/>
  <c r="AZ197" i="29"/>
  <c r="F628" i="25"/>
  <c r="H627" i="25"/>
  <c r="AX80" i="29"/>
  <c r="AY80" i="29" s="1"/>
  <c r="AW59" i="29"/>
  <c r="AZ225" i="29"/>
  <c r="AW35" i="29"/>
  <c r="AZ106" i="29"/>
  <c r="AW175" i="29"/>
  <c r="AS314" i="29"/>
  <c r="AX381" i="29"/>
  <c r="AY381" i="29" s="1"/>
  <c r="AX347" i="29"/>
  <c r="AY347" i="29" s="1"/>
  <c r="AW37" i="29"/>
  <c r="AW369" i="29"/>
  <c r="AZ182" i="29"/>
  <c r="AS439" i="29"/>
  <c r="AZ258" i="29"/>
  <c r="AX291" i="29"/>
  <c r="AY291" i="29" s="1"/>
  <c r="AZ339" i="29"/>
  <c r="AZ167" i="29"/>
  <c r="AZ383" i="29"/>
  <c r="AW139" i="29"/>
  <c r="AW288" i="29"/>
  <c r="AX139" i="29"/>
  <c r="AY139" i="29" s="1"/>
  <c r="AZ103" i="29"/>
  <c r="AT59" i="29"/>
  <c r="AU59" i="29" s="1"/>
  <c r="AS329" i="29"/>
  <c r="AS239" i="29"/>
  <c r="AT442" i="29"/>
  <c r="AU442" i="29" s="1"/>
  <c r="AZ347" i="29"/>
  <c r="AX263" i="29"/>
  <c r="AY263" i="29" s="1"/>
  <c r="AT237" i="29"/>
  <c r="AU237" i="29" s="1"/>
  <c r="AS300" i="29"/>
  <c r="AZ109" i="29"/>
  <c r="AZ78" i="29"/>
  <c r="AW375" i="29"/>
  <c r="AX288" i="29"/>
  <c r="AY288" i="29" s="1"/>
  <c r="AZ131" i="29"/>
  <c r="AT332" i="29"/>
  <c r="AU332" i="29" s="1"/>
  <c r="AX62" i="29"/>
  <c r="AY62" i="29" s="1"/>
  <c r="AW28" i="29"/>
  <c r="AZ134" i="29"/>
  <c r="AW68" i="29"/>
  <c r="AX331" i="29"/>
  <c r="AY331" i="29" s="1"/>
  <c r="AZ292" i="29"/>
  <c r="AW142" i="29"/>
  <c r="AT354" i="29"/>
  <c r="AU354" i="29" s="1"/>
  <c r="AZ437" i="29"/>
  <c r="AS377" i="29"/>
  <c r="AT255" i="29"/>
  <c r="AU255" i="29" s="1"/>
  <c r="AX435" i="29"/>
  <c r="AY435" i="29" s="1"/>
  <c r="AZ177" i="29"/>
  <c r="AY415" i="29"/>
  <c r="AW80" i="29"/>
  <c r="AZ59" i="29"/>
  <c r="AW223" i="29"/>
  <c r="AT413" i="29"/>
  <c r="AU413" i="29" s="1"/>
  <c r="AU415" i="29"/>
  <c r="AY446" i="29"/>
  <c r="AZ89" i="29"/>
  <c r="AW267" i="29"/>
  <c r="AZ462" i="29"/>
  <c r="AX395" i="29"/>
  <c r="AY395" i="29" s="1"/>
  <c r="AS361" i="29"/>
  <c r="AW562" i="29"/>
  <c r="AW38" i="32"/>
  <c r="AX28" i="32"/>
  <c r="AZ21" i="32"/>
  <c r="AZ10" i="32"/>
  <c r="AW15" i="32"/>
  <c r="AZ77" i="32"/>
  <c r="AX27" i="32"/>
  <c r="AW43" i="32"/>
  <c r="AS21" i="32"/>
  <c r="AT29" i="32"/>
  <c r="AZ27" i="32"/>
  <c r="AS9" i="32"/>
  <c r="AZ57" i="32"/>
  <c r="K2335" i="25"/>
  <c r="F2343" i="25" s="1"/>
  <c r="L3679" i="25"/>
  <c r="L3680" i="25" s="1"/>
  <c r="F10104" i="25"/>
  <c r="AQ341" i="29" s="1"/>
  <c r="I10625" i="25"/>
  <c r="H10625" i="25" s="1"/>
  <c r="L2900" i="25"/>
  <c r="AT243" i="29"/>
  <c r="AU243" i="29" s="1"/>
  <c r="H3044" i="25"/>
  <c r="AU15" i="32"/>
  <c r="AU423" i="29"/>
  <c r="AU404" i="29"/>
  <c r="AU462" i="29"/>
  <c r="AU431" i="29"/>
  <c r="AY409" i="29"/>
  <c r="AY456" i="29"/>
  <c r="H321" i="25"/>
  <c r="F322" i="25"/>
  <c r="H322" i="25" s="1"/>
  <c r="H8752" i="25"/>
  <c r="H844" i="25"/>
  <c r="F2074" i="25"/>
  <c r="F8335" i="25"/>
  <c r="L2204" i="25"/>
  <c r="L2205" i="25" s="1"/>
  <c r="K2608" i="25"/>
  <c r="L2295" i="25"/>
  <c r="F2316" i="25" s="1"/>
  <c r="L1755" i="25"/>
  <c r="F1768" i="25" s="1"/>
  <c r="I3139" i="25"/>
  <c r="H9047" i="25"/>
  <c r="F9047" i="25" s="1"/>
  <c r="F3301" i="25"/>
  <c r="F3312" i="25" s="1"/>
  <c r="L1271" i="25"/>
  <c r="L1272" i="25" s="1"/>
  <c r="L1913" i="25"/>
  <c r="L1914" i="25" s="1"/>
  <c r="I4652" i="25"/>
  <c r="L11666" i="25"/>
  <c r="H2462" i="25"/>
  <c r="L9694" i="25"/>
  <c r="AP333" i="29" s="1"/>
  <c r="I9256" i="25"/>
  <c r="H4311" i="25"/>
  <c r="L2863" i="25"/>
  <c r="L2864" i="25" s="1"/>
  <c r="L1977" i="25"/>
  <c r="L1978" i="25" s="1"/>
  <c r="M3880" i="25"/>
  <c r="M3881" i="25" s="1"/>
  <c r="L2774" i="25"/>
  <c r="L2775" i="25" s="1"/>
  <c r="F1253" i="25"/>
  <c r="H4207" i="25"/>
  <c r="F1176" i="25"/>
  <c r="I4095" i="25"/>
  <c r="L8951" i="25"/>
  <c r="AS320" i="29"/>
  <c r="AT318" i="29"/>
  <c r="AU318" i="29" s="1"/>
  <c r="AS411" i="29"/>
  <c r="AS427" i="29"/>
  <c r="AT339" i="29"/>
  <c r="AU339" i="29" s="1"/>
  <c r="AS418" i="29"/>
  <c r="AS80" i="29"/>
  <c r="AT25" i="29"/>
  <c r="AU25" i="29" s="1"/>
  <c r="AS343" i="29"/>
  <c r="AS431" i="29"/>
  <c r="AS139" i="29"/>
  <c r="AT419" i="29"/>
  <c r="AU419" i="29" s="1"/>
  <c r="AU427" i="29"/>
  <c r="AS86" i="29"/>
  <c r="AT443" i="29"/>
  <c r="AU443" i="29" s="1"/>
  <c r="AS344" i="29"/>
  <c r="AT420" i="29"/>
  <c r="AU420" i="29" s="1"/>
  <c r="AT416" i="29"/>
  <c r="AU416" i="29" s="1"/>
  <c r="AT470" i="29"/>
  <c r="AU470" i="29" s="1"/>
  <c r="AS428" i="29"/>
  <c r="AW117" i="29"/>
  <c r="AS333" i="29"/>
  <c r="AX249" i="29"/>
  <c r="AY249" i="29" s="1"/>
  <c r="AS459" i="29"/>
  <c r="AT445" i="29"/>
  <c r="AU445" i="29" s="1"/>
  <c r="AZ249" i="29"/>
  <c r="AS127" i="29"/>
  <c r="AT58" i="29"/>
  <c r="AU58" i="29" s="1"/>
  <c r="AT429" i="29"/>
  <c r="AU429" i="29" s="1"/>
  <c r="AS432" i="29"/>
  <c r="AS462" i="29"/>
  <c r="AS440" i="29"/>
  <c r="AT448" i="29"/>
  <c r="AU448" i="29" s="1"/>
  <c r="AS187" i="29"/>
  <c r="AT449" i="29"/>
  <c r="AU449" i="29" s="1"/>
  <c r="AU463" i="29"/>
  <c r="AW10" i="32"/>
  <c r="AW79" i="32"/>
  <c r="AW76" i="32"/>
  <c r="AZ75" i="32"/>
  <c r="AZ4" i="32"/>
  <c r="AZ8" i="32"/>
  <c r="AX14" i="32"/>
  <c r="AW68" i="32"/>
  <c r="AU18" i="32"/>
  <c r="AW59" i="32"/>
  <c r="AS16" i="32"/>
  <c r="AZ36" i="32"/>
  <c r="AW63" i="32"/>
  <c r="AW8" i="32"/>
  <c r="AW7" i="32"/>
  <c r="AW14" i="32"/>
  <c r="AZ5" i="32"/>
  <c r="AW26" i="32"/>
  <c r="AZ26" i="32"/>
  <c r="AX4" i="32"/>
  <c r="AW21" i="32"/>
  <c r="AW20" i="32"/>
  <c r="AW60" i="32"/>
  <c r="AZ73" i="32"/>
  <c r="AZ16" i="32"/>
  <c r="AZ41" i="32"/>
  <c r="AW46" i="32"/>
  <c r="AZ13" i="32"/>
  <c r="AW13" i="32"/>
  <c r="AT25" i="32"/>
  <c r="AS18" i="32"/>
  <c r="C9049" i="25"/>
  <c r="H9049" i="25" s="1"/>
  <c r="H9051" i="25" s="1"/>
  <c r="AQ305" i="29" s="1"/>
  <c r="AP305" i="29" s="1"/>
  <c r="H9048" i="25"/>
  <c r="F9627" i="25"/>
  <c r="AN324" i="29" s="1"/>
  <c r="AP324" i="29"/>
  <c r="F5416" i="25"/>
  <c r="H5414" i="25"/>
  <c r="H3951" i="25"/>
  <c r="H3952" i="25" s="1"/>
  <c r="F10240" i="25"/>
  <c r="AR349" i="29" s="1"/>
  <c r="Q11959" i="25"/>
  <c r="AS303" i="29"/>
  <c r="E4090" i="25"/>
  <c r="I4807" i="25"/>
  <c r="H2035" i="25"/>
  <c r="P2635" i="25"/>
  <c r="F3045" i="25"/>
  <c r="F3099" i="25"/>
  <c r="H2843" i="25"/>
  <c r="I2843" i="25" s="1"/>
  <c r="L5242" i="25"/>
  <c r="L5243" i="25" s="1"/>
  <c r="I9252" i="25"/>
  <c r="F9252" i="25" s="1"/>
  <c r="N5883" i="25"/>
  <c r="N5884" i="25" s="1"/>
  <c r="AT107" i="29"/>
  <c r="AU107" i="29" s="1"/>
  <c r="J2961" i="25"/>
  <c r="L5589" i="25"/>
  <c r="F15329" i="25"/>
  <c r="AN474" i="29" s="1"/>
  <c r="L11995" i="25"/>
  <c r="L11996" i="25" s="1"/>
  <c r="F12008" i="25" s="1"/>
  <c r="AN395" i="29" s="1"/>
  <c r="I4316" i="25"/>
  <c r="E10121" i="25"/>
  <c r="AP341" i="29" s="1"/>
  <c r="I1712" i="25"/>
  <c r="F1713" i="25" s="1"/>
  <c r="F10195" i="25"/>
  <c r="AQ343" i="29" s="1"/>
  <c r="AP343" i="29" s="1"/>
  <c r="AS38" i="29"/>
  <c r="F1290" i="25"/>
  <c r="F680" i="25"/>
  <c r="H4569" i="25"/>
  <c r="F12334" i="25"/>
  <c r="AN414" i="29" s="1"/>
  <c r="L10726" i="25"/>
  <c r="AP346" i="29" s="1"/>
  <c r="L8608" i="25"/>
  <c r="L8610" i="25" s="1"/>
  <c r="L8611" i="25" s="1"/>
  <c r="F753" i="25"/>
  <c r="L3555" i="25"/>
  <c r="AQ524" i="29"/>
  <c r="H17829" i="25"/>
  <c r="H17830" i="25" s="1"/>
  <c r="F17831" i="25" s="1"/>
  <c r="AN543" i="29" s="1"/>
  <c r="AU428" i="29"/>
  <c r="AN540" i="29"/>
  <c r="AQ492" i="29"/>
  <c r="AP558" i="29"/>
  <c r="AN553" i="29"/>
  <c r="AN459" i="29"/>
  <c r="F4521" i="25"/>
  <c r="F1605" i="25"/>
  <c r="F1606" i="25" s="1"/>
  <c r="F4091" i="25"/>
  <c r="F3543" i="25"/>
  <c r="F3450" i="25"/>
  <c r="F2616" i="25"/>
  <c r="F2617" i="25" s="1"/>
  <c r="F3285" i="25"/>
  <c r="AZ440" i="29"/>
  <c r="F498" i="25"/>
  <c r="H845" i="25"/>
  <c r="AW430" i="29"/>
  <c r="L11740" i="25"/>
  <c r="AP388" i="29" s="1"/>
  <c r="L4677" i="25"/>
  <c r="L4678" i="25" s="1"/>
  <c r="I5309" i="25"/>
  <c r="F666" i="25"/>
  <c r="F209" i="25"/>
  <c r="H3653" i="25"/>
  <c r="F3379" i="25"/>
  <c r="F4538" i="25"/>
  <c r="AX430" i="29"/>
  <c r="AY430" i="29" s="1"/>
  <c r="AX440" i="29"/>
  <c r="AY440" i="29" s="1"/>
  <c r="H3098" i="25"/>
  <c r="I2082" i="25"/>
  <c r="I3316" i="25"/>
  <c r="F3269" i="25"/>
  <c r="L9076" i="25"/>
  <c r="L9077" i="25" s="1"/>
  <c r="L6643" i="25"/>
  <c r="L6644" i="25" s="1"/>
  <c r="H3395" i="25"/>
  <c r="F2342" i="25"/>
  <c r="AN402" i="29"/>
  <c r="F2445" i="25"/>
  <c r="O9985" i="25"/>
  <c r="AP321" i="29" s="1"/>
  <c r="L9540" i="25"/>
  <c r="L9541" i="25" s="1"/>
  <c r="O8978" i="25"/>
  <c r="O8979" i="25" s="1"/>
  <c r="AP296" i="29" s="1"/>
  <c r="AQ296" i="29" s="1"/>
  <c r="F3954" i="25"/>
  <c r="F3432" i="25"/>
  <c r="F3081" i="25"/>
  <c r="H16218" i="25"/>
  <c r="F2690" i="25"/>
  <c r="F2691" i="25" s="1"/>
  <c r="F1398" i="25"/>
  <c r="F1399" i="25" s="1"/>
  <c r="F2279" i="25"/>
  <c r="F3565" i="25"/>
  <c r="F3566" i="25" s="1"/>
  <c r="F1497" i="25"/>
  <c r="F1470" i="25" s="1"/>
  <c r="F951" i="25"/>
  <c r="F952" i="25" s="1"/>
  <c r="F2844" i="25"/>
  <c r="F5068" i="25"/>
  <c r="F5069" i="25" s="1"/>
  <c r="F5185" i="25"/>
  <c r="F2954" i="25"/>
  <c r="F2955" i="25" s="1"/>
  <c r="F3637" i="25"/>
  <c r="H3861" i="25"/>
  <c r="M1344" i="25"/>
  <c r="M1345" i="25" s="1"/>
  <c r="H529" i="25"/>
  <c r="H528" i="25" s="1"/>
  <c r="F4570" i="25"/>
  <c r="F1767" i="25"/>
  <c r="AQ553" i="29"/>
  <c r="AP553" i="29"/>
  <c r="AP514" i="29"/>
  <c r="AQ514" i="29"/>
  <c r="F16677" i="25"/>
  <c r="AN514" i="29" s="1"/>
  <c r="AU411" i="29"/>
  <c r="E1784" i="25"/>
  <c r="F1784" i="25" s="1"/>
  <c r="AU9" i="32"/>
  <c r="E1794" i="25"/>
  <c r="F1794" i="25" s="1"/>
  <c r="F17910" i="25"/>
  <c r="AQ545" i="29" s="1"/>
  <c r="E1904" i="25"/>
  <c r="F1904" i="25" s="1"/>
  <c r="AU440" i="29"/>
  <c r="AU446" i="29"/>
  <c r="AU459" i="29"/>
  <c r="AU455" i="29"/>
  <c r="AY461" i="29"/>
  <c r="F2880" i="33"/>
  <c r="E2881" i="33" s="1"/>
  <c r="E2882" i="33" s="1"/>
  <c r="E2883" i="33" s="1"/>
  <c r="E2884" i="33" s="1"/>
  <c r="F1937" i="33"/>
  <c r="AQ49" i="32" s="1"/>
  <c r="F18228" i="25"/>
  <c r="E18243" i="25" s="1"/>
  <c r="F18043" i="25"/>
  <c r="F13333" i="25"/>
  <c r="F18343" i="25"/>
  <c r="E18359" i="25" s="1"/>
  <c r="AQ439" i="29"/>
  <c r="AP439" i="29" s="1"/>
  <c r="H11760" i="25"/>
  <c r="AQ387" i="29" s="1"/>
  <c r="AP387" i="29" s="1"/>
  <c r="F2645" i="33"/>
  <c r="F2786" i="33"/>
  <c r="AQ62" i="32" s="1"/>
  <c r="F2833" i="33"/>
  <c r="E2834" i="33" s="1"/>
  <c r="E2835" i="33" s="1"/>
  <c r="E2836" i="33" s="1"/>
  <c r="E2837" i="33" s="1"/>
  <c r="E17349" i="25"/>
  <c r="AN492" i="29"/>
  <c r="F3118" i="33"/>
  <c r="AQ69" i="32" s="1"/>
  <c r="F3353" i="33"/>
  <c r="E3408" i="33" s="1"/>
  <c r="F2739" i="33"/>
  <c r="E2740" i="33" s="1"/>
  <c r="E2741" i="33" s="1"/>
  <c r="E2742" i="33" s="1"/>
  <c r="E2743" i="33" s="1"/>
  <c r="E17866" i="25"/>
  <c r="F2504" i="33"/>
  <c r="AQ15" i="32"/>
  <c r="F1890" i="33"/>
  <c r="E1891" i="33" s="1"/>
  <c r="E1892" i="33" s="1"/>
  <c r="E1893" i="33" s="1"/>
  <c r="E1894" i="33" s="1"/>
  <c r="E1895" i="33" s="1"/>
  <c r="E1896" i="33" s="1"/>
  <c r="E1897" i="33" s="1"/>
  <c r="E1898" i="33" s="1"/>
  <c r="E1899" i="33" s="1"/>
  <c r="E1900" i="33" s="1"/>
  <c r="E1901" i="33" s="1"/>
  <c r="E1902" i="33" s="1"/>
  <c r="F17982" i="25"/>
  <c r="F18169" i="25"/>
  <c r="AQ554" i="29" s="1"/>
  <c r="F17551" i="25"/>
  <c r="F15687" i="25"/>
  <c r="F17744" i="25"/>
  <c r="H12476" i="25"/>
  <c r="H12480" i="25" s="1"/>
  <c r="AQ400" i="29" s="1"/>
  <c r="AP400" i="29" s="1"/>
  <c r="AQ451" i="29"/>
  <c r="E989" i="25"/>
  <c r="H14130" i="25"/>
  <c r="AN450" i="29" s="1"/>
  <c r="AQ324" i="29"/>
  <c r="F17349" i="25"/>
  <c r="AQ531" i="29" s="1"/>
  <c r="AP497" i="29"/>
  <c r="AP402" i="29"/>
  <c r="AQ402" i="29"/>
  <c r="AQ497" i="29"/>
  <c r="E1713" i="25"/>
  <c r="L10975" i="25"/>
  <c r="F11000" i="25" s="1"/>
  <c r="AN369" i="29" s="1"/>
  <c r="F5398" i="25"/>
  <c r="E4372" i="25"/>
  <c r="F4372" i="25" s="1"/>
  <c r="F4375" i="25" s="1"/>
  <c r="F17866" i="25"/>
  <c r="F17874" i="25" s="1"/>
  <c r="AN544" i="29" s="1"/>
  <c r="F3306" i="33"/>
  <c r="E3316" i="33" s="1"/>
  <c r="AN10" i="32"/>
  <c r="F18281" i="25"/>
  <c r="E18288" i="25" s="1"/>
  <c r="F2828" i="25"/>
  <c r="F1796" i="33"/>
  <c r="AQ46" i="32" s="1"/>
  <c r="F2410" i="33"/>
  <c r="AQ54" i="32" s="1"/>
  <c r="F1984" i="33"/>
  <c r="F2031" i="33"/>
  <c r="F2128" i="33"/>
  <c r="F2457" i="33"/>
  <c r="AQ55" i="32" s="1"/>
  <c r="F2692" i="33"/>
  <c r="F2598" i="33"/>
  <c r="F2551" i="33"/>
  <c r="E2552" i="33" s="1"/>
  <c r="E2553" i="33" s="1"/>
  <c r="E2554" i="33" s="1"/>
  <c r="E2555" i="33" s="1"/>
  <c r="F3259" i="33"/>
  <c r="AQ72" i="32" s="1"/>
  <c r="F3212" i="33"/>
  <c r="AQ71" i="32" s="1"/>
  <c r="F3071" i="33"/>
  <c r="AQ68" i="32" s="1"/>
  <c r="F3165" i="33"/>
  <c r="F3588" i="33"/>
  <c r="E3590" i="33" s="1"/>
  <c r="F3541" i="33"/>
  <c r="E3553" i="33" s="1"/>
  <c r="F3494" i="33"/>
  <c r="E3496" i="33" s="1"/>
  <c r="F3447" i="33"/>
  <c r="E3457" i="33" s="1"/>
  <c r="F3400" i="33"/>
  <c r="AQ75" i="32" s="1"/>
  <c r="F18405" i="25"/>
  <c r="E18410" i="25" s="1"/>
  <c r="F1843" i="33"/>
  <c r="F1568" i="25"/>
  <c r="F1569" i="25" s="1"/>
  <c r="H846" i="25"/>
  <c r="F847" i="25"/>
  <c r="F2261" i="25"/>
  <c r="H4536" i="25"/>
  <c r="F4537" i="25" s="1"/>
  <c r="L12200" i="25"/>
  <c r="L12201" i="25" s="1"/>
  <c r="L9513" i="25"/>
  <c r="H3542" i="25"/>
  <c r="U2616" i="25"/>
  <c r="AX181" i="29"/>
  <c r="AY181" i="29" s="1"/>
  <c r="AZ181" i="29"/>
  <c r="AX433" i="29"/>
  <c r="AY433" i="29" s="1"/>
  <c r="AZ433" i="29"/>
  <c r="L10938" i="25"/>
  <c r="F3027" i="25"/>
  <c r="F3862" i="25"/>
  <c r="E831" i="25"/>
  <c r="H3284" i="25"/>
  <c r="H3449" i="25"/>
  <c r="AW181" i="29"/>
  <c r="F681" i="25"/>
  <c r="H2278" i="25"/>
  <c r="F5264" i="25"/>
  <c r="F5265" i="25" s="1"/>
  <c r="F1361" i="25"/>
  <c r="F1362" i="25" s="1"/>
  <c r="F4480" i="25"/>
  <c r="F2463" i="25"/>
  <c r="AN439" i="29"/>
  <c r="E689" i="25"/>
  <c r="F4312" i="25"/>
  <c r="F3396" i="25"/>
  <c r="F13339" i="25"/>
  <c r="F2552" i="25"/>
  <c r="F2553" i="25" s="1"/>
  <c r="AS253" i="29"/>
  <c r="AT253" i="29"/>
  <c r="AU253" i="29" s="1"/>
  <c r="L4470" i="25"/>
  <c r="E4480" i="25" s="1"/>
  <c r="H4480" i="25" s="1"/>
  <c r="E699" i="25"/>
  <c r="F3843" i="25"/>
  <c r="F3655" i="25"/>
  <c r="F1444" i="25"/>
  <c r="L5631" i="25"/>
  <c r="E1268" i="25"/>
  <c r="F1268" i="25" s="1"/>
  <c r="F4072" i="25"/>
  <c r="L2653" i="25"/>
  <c r="K2653" i="25" s="1"/>
  <c r="L3474" i="25"/>
  <c r="L3475" i="25" s="1"/>
  <c r="AW43" i="29"/>
  <c r="E2488" i="25"/>
  <c r="F2488" i="25" s="1"/>
  <c r="E2482" i="25"/>
  <c r="F2482" i="25" s="1"/>
  <c r="AU436" i="29"/>
  <c r="AQ10" i="32"/>
  <c r="E2471" i="25"/>
  <c r="F2471" i="25" s="1"/>
  <c r="AY363" i="29"/>
  <c r="AS35" i="29"/>
  <c r="AS322" i="29"/>
  <c r="AT322" i="29"/>
  <c r="AU322" i="29" s="1"/>
  <c r="E2478" i="25"/>
  <c r="F2478" i="25" s="1"/>
  <c r="AZ83" i="29"/>
  <c r="AW83" i="29"/>
  <c r="AW368" i="29"/>
  <c r="H18005" i="25"/>
  <c r="H18006" i="25" s="1"/>
  <c r="E2506" i="33" l="1"/>
  <c r="E2507" i="33" s="1"/>
  <c r="E2508" i="33" s="1"/>
  <c r="E2514" i="33"/>
  <c r="E2516" i="33"/>
  <c r="E2515" i="33"/>
  <c r="E2599" i="33"/>
  <c r="E2600" i="33" s="1"/>
  <c r="E2601" i="33" s="1"/>
  <c r="E2602" i="33" s="1"/>
  <c r="E2610" i="33"/>
  <c r="E2609" i="33"/>
  <c r="E2606" i="33"/>
  <c r="E2607" i="33"/>
  <c r="E2608" i="33"/>
  <c r="E842" i="25"/>
  <c r="F17806" i="25"/>
  <c r="E17807" i="25" s="1"/>
  <c r="E17808" i="25" s="1"/>
  <c r="E17809" i="25" s="1"/>
  <c r="E17810" i="25" s="1"/>
  <c r="E17811" i="25" s="1"/>
  <c r="E17812" i="25" s="1"/>
  <c r="E17813" i="25" s="1"/>
  <c r="E17814" i="25" s="1"/>
  <c r="E17815" i="25" s="1"/>
  <c r="E17816" i="25" s="1"/>
  <c r="E17817" i="25" s="1"/>
  <c r="E17818" i="25" s="1"/>
  <c r="E17819" i="25" s="1"/>
  <c r="E17820" i="25" s="1"/>
  <c r="E17821" i="25" s="1"/>
  <c r="E17822" i="25" s="1"/>
  <c r="E17823" i="25" s="1"/>
  <c r="E17824" i="25" s="1"/>
  <c r="F17680" i="25"/>
  <c r="F17294" i="25"/>
  <c r="AQ529" i="29" s="1"/>
  <c r="AQ512" i="29"/>
  <c r="F1919" i="25"/>
  <c r="F17046" i="25"/>
  <c r="AQ522" i="29" s="1"/>
  <c r="F17393" i="25"/>
  <c r="E17394" i="25" s="1"/>
  <c r="E17395" i="25" s="1"/>
  <c r="E17396" i="25" s="1"/>
  <c r="E17397" i="25" s="1"/>
  <c r="E17398" i="25" s="1"/>
  <c r="E17399" i="25" s="1"/>
  <c r="E17400" i="25" s="1"/>
  <c r="E17401" i="25" s="1"/>
  <c r="E17402" i="25" s="1"/>
  <c r="E17403" i="25" s="1"/>
  <c r="E17404" i="25" s="1"/>
  <c r="E17405" i="25" s="1"/>
  <c r="E17406" i="25" s="1"/>
  <c r="E17407" i="25" s="1"/>
  <c r="E17408" i="25" s="1"/>
  <c r="E17409" i="25" s="1"/>
  <c r="E17410" i="25" s="1"/>
  <c r="E17411" i="25" s="1"/>
  <c r="F17452" i="25"/>
  <c r="E17453" i="25" s="1"/>
  <c r="E17454" i="25" s="1"/>
  <c r="E17455" i="25" s="1"/>
  <c r="E17456" i="25" s="1"/>
  <c r="E17463" i="25" s="1"/>
  <c r="E17464" i="25" s="1"/>
  <c r="E17465" i="25" s="1"/>
  <c r="E17466" i="25" s="1"/>
  <c r="E17467" i="25" s="1"/>
  <c r="E17468" i="25" s="1"/>
  <c r="E17469" i="25" s="1"/>
  <c r="E17470" i="25" s="1"/>
  <c r="G17620" i="25"/>
  <c r="G17613" i="25"/>
  <c r="F16769" i="25"/>
  <c r="AQ516" i="29" s="1"/>
  <c r="G17601" i="25"/>
  <c r="G17614" i="25"/>
  <c r="G17616" i="25"/>
  <c r="G17618" i="25"/>
  <c r="G17599" i="25"/>
  <c r="G17617" i="25"/>
  <c r="G17596" i="25"/>
  <c r="G17610" i="25"/>
  <c r="G17609" i="25"/>
  <c r="G17615" i="25"/>
  <c r="G17591" i="25"/>
  <c r="G17598" i="25"/>
  <c r="G17604" i="25"/>
  <c r="G17603" i="25"/>
  <c r="G17612" i="25"/>
  <c r="G17595" i="25"/>
  <c r="F17621" i="25"/>
  <c r="E17637" i="25" s="1"/>
  <c r="G17597" i="25"/>
  <c r="G17611" i="25"/>
  <c r="G17594" i="25"/>
  <c r="G17592" i="25"/>
  <c r="G17608" i="25"/>
  <c r="G17606" i="25"/>
  <c r="G17619" i="25"/>
  <c r="G17602" i="25"/>
  <c r="G17605" i="25"/>
  <c r="G17593" i="25"/>
  <c r="G17600" i="25"/>
  <c r="G17607" i="25"/>
  <c r="F17238" i="25"/>
  <c r="AQ528" i="29" s="1"/>
  <c r="AQ509" i="29"/>
  <c r="F17172" i="25"/>
  <c r="E17190" i="25" s="1"/>
  <c r="AQ518" i="29"/>
  <c r="E16852" i="25"/>
  <c r="E16844" i="25"/>
  <c r="E16842" i="25"/>
  <c r="E16840" i="25"/>
  <c r="E16845" i="25"/>
  <c r="E16851" i="25"/>
  <c r="E16843" i="25"/>
  <c r="E16841" i="25"/>
  <c r="E16846" i="25"/>
  <c r="E16850" i="25"/>
  <c r="E16847" i="25"/>
  <c r="E16849" i="25"/>
  <c r="E16848" i="25"/>
  <c r="E16853" i="25"/>
  <c r="AQ505" i="29"/>
  <c r="F16934" i="25"/>
  <c r="AQ520" i="29" s="1"/>
  <c r="F18816" i="25"/>
  <c r="AN570" i="29" s="1"/>
  <c r="F18107" i="25"/>
  <c r="E18109" i="25" s="1"/>
  <c r="E17008" i="25"/>
  <c r="E17000" i="25"/>
  <c r="E16992" i="25"/>
  <c r="E17007" i="25"/>
  <c r="E16999" i="25"/>
  <c r="E17006" i="25"/>
  <c r="E16998" i="25"/>
  <c r="E16996" i="25"/>
  <c r="E17002" i="25"/>
  <c r="E17001" i="25"/>
  <c r="E17005" i="25"/>
  <c r="E16997" i="25"/>
  <c r="E17004" i="25"/>
  <c r="E16995" i="25"/>
  <c r="E16993" i="25"/>
  <c r="E17003" i="25"/>
  <c r="E16994" i="25"/>
  <c r="AQ515" i="29"/>
  <c r="AQ513" i="29"/>
  <c r="I16048" i="25"/>
  <c r="F17101" i="25"/>
  <c r="AQ485" i="29"/>
  <c r="AQ511" i="29"/>
  <c r="AQ37" i="32"/>
  <c r="AQ42" i="32"/>
  <c r="AQ41" i="32"/>
  <c r="AP521" i="29"/>
  <c r="H16221" i="25"/>
  <c r="AQ502" i="29" s="1"/>
  <c r="AP570" i="29"/>
  <c r="AQ570" i="29"/>
  <c r="AQ36" i="32"/>
  <c r="AW132" i="29"/>
  <c r="AW36" i="29"/>
  <c r="AZ108" i="29"/>
  <c r="AQ33" i="32"/>
  <c r="AN517" i="29"/>
  <c r="AQ476" i="29"/>
  <c r="AN497" i="29"/>
  <c r="H713" i="25"/>
  <c r="H714" i="25" s="1"/>
  <c r="BD41" i="29" s="1"/>
  <c r="E17507" i="25"/>
  <c r="F17507" i="25"/>
  <c r="AQ534" i="29" s="1"/>
  <c r="AQ25" i="32"/>
  <c r="AQ21" i="32"/>
  <c r="AQ463" i="29"/>
  <c r="H17937" i="25"/>
  <c r="AP547" i="29" s="1"/>
  <c r="AQ56" i="32"/>
  <c r="AZ57" i="29"/>
  <c r="AN349" i="29"/>
  <c r="H2516" i="25"/>
  <c r="AN565" i="29"/>
  <c r="AQ14" i="32"/>
  <c r="F1920" i="25"/>
  <c r="E18346" i="25"/>
  <c r="AQ551" i="29"/>
  <c r="F10121" i="25"/>
  <c r="F10122" i="25" s="1"/>
  <c r="AN341" i="29" s="1"/>
  <c r="O9986" i="25"/>
  <c r="F17949" i="25"/>
  <c r="AN548" i="29" s="1"/>
  <c r="F323" i="25"/>
  <c r="H323" i="25" s="1"/>
  <c r="AQ458" i="29"/>
  <c r="AN502" i="29"/>
  <c r="F8991" i="25"/>
  <c r="AN296" i="29" s="1"/>
  <c r="E18291" i="25"/>
  <c r="E17239" i="25"/>
  <c r="E17240" i="25" s="1"/>
  <c r="AQ40" i="32"/>
  <c r="E18236" i="25"/>
  <c r="F15713" i="25"/>
  <c r="AP486" i="29" s="1"/>
  <c r="E15713" i="25"/>
  <c r="AQ548" i="29"/>
  <c r="E18357" i="25"/>
  <c r="AQ20" i="32"/>
  <c r="E18348" i="25"/>
  <c r="E18239" i="25"/>
  <c r="E18347" i="25"/>
  <c r="E18344" i="25"/>
  <c r="E3035" i="33"/>
  <c r="E3036" i="33" s="1"/>
  <c r="E18352" i="25"/>
  <c r="E18355" i="25"/>
  <c r="AP449" i="29"/>
  <c r="AQ61" i="32"/>
  <c r="E18244" i="25"/>
  <c r="AP492" i="29"/>
  <c r="E18170" i="25"/>
  <c r="E18171" i="25" s="1"/>
  <c r="E18172" i="25" s="1"/>
  <c r="E18173" i="25" s="1"/>
  <c r="E18174" i="25" s="1"/>
  <c r="E18175" i="25" s="1"/>
  <c r="E18176" i="25" s="1"/>
  <c r="E18177" i="25" s="1"/>
  <c r="E18178" i="25" s="1"/>
  <c r="E18179" i="25" s="1"/>
  <c r="E18180" i="25" s="1"/>
  <c r="E18181" i="25" s="1"/>
  <c r="E18182" i="25" s="1"/>
  <c r="E18183" i="25" s="1"/>
  <c r="E18184" i="25" s="1"/>
  <c r="E18185" i="25" s="1"/>
  <c r="E18186" i="25" s="1"/>
  <c r="E18187" i="25" s="1"/>
  <c r="E2787" i="33"/>
  <c r="E2788" i="33" s="1"/>
  <c r="E2789" i="33" s="1"/>
  <c r="E2790" i="33" s="1"/>
  <c r="E2791" i="33" s="1"/>
  <c r="E2792" i="33" s="1"/>
  <c r="E2793" i="33" s="1"/>
  <c r="E2794" i="33" s="1"/>
  <c r="E2795" i="33" s="1"/>
  <c r="E2796" i="33" s="1"/>
  <c r="E3403" i="33"/>
  <c r="E1797" i="33"/>
  <c r="E1798" i="33" s="1"/>
  <c r="E1799" i="33" s="1"/>
  <c r="E1800" i="33" s="1"/>
  <c r="E1801" i="33" s="1"/>
  <c r="E1802" i="33" s="1"/>
  <c r="E1803" i="33" s="1"/>
  <c r="E1804" i="33" s="1"/>
  <c r="E1805" i="33" s="1"/>
  <c r="E1806" i="33" s="1"/>
  <c r="E1807" i="33" s="1"/>
  <c r="E1808" i="33" s="1"/>
  <c r="E3363" i="33"/>
  <c r="AQ63" i="32"/>
  <c r="E3410" i="33"/>
  <c r="E3406" i="33"/>
  <c r="AP543" i="29"/>
  <c r="F1718" i="25"/>
  <c r="E18232" i="25"/>
  <c r="E18242" i="25"/>
  <c r="E18245" i="25"/>
  <c r="E18229" i="25"/>
  <c r="E18234" i="25"/>
  <c r="AQ556" i="29"/>
  <c r="E18231" i="25"/>
  <c r="E18241" i="25"/>
  <c r="E18237" i="25"/>
  <c r="E18235" i="25"/>
  <c r="E18230" i="25"/>
  <c r="E18238" i="25"/>
  <c r="E18240" i="25"/>
  <c r="E18233" i="25"/>
  <c r="AN558" i="29"/>
  <c r="E3364" i="33"/>
  <c r="E3362" i="33"/>
  <c r="AQ67" i="32"/>
  <c r="E3360" i="33"/>
  <c r="E3354" i="33"/>
  <c r="AP459" i="29"/>
  <c r="AZ34" i="29"/>
  <c r="H628" i="25"/>
  <c r="F629" i="25"/>
  <c r="E18246" i="25"/>
  <c r="AP395" i="29"/>
  <c r="E16836" i="25"/>
  <c r="E16837" i="25" s="1"/>
  <c r="E16838" i="25" s="1"/>
  <c r="E16839" i="25" s="1"/>
  <c r="AQ508" i="29"/>
  <c r="E16770" i="25"/>
  <c r="E16771" i="25" s="1"/>
  <c r="E16772" i="25" s="1"/>
  <c r="E16773" i="25" s="1"/>
  <c r="E16774" i="25" s="1"/>
  <c r="F9048" i="25"/>
  <c r="F9049" i="25" s="1"/>
  <c r="F9050" i="25" s="1"/>
  <c r="F9052" i="25" s="1"/>
  <c r="AN305" i="29" s="1"/>
  <c r="AQ558" i="29"/>
  <c r="AP450" i="29"/>
  <c r="E18296" i="25"/>
  <c r="E18294" i="25"/>
  <c r="E18292" i="25"/>
  <c r="AQ472" i="29"/>
  <c r="AP531" i="29"/>
  <c r="E17911" i="25"/>
  <c r="E17912" i="25" s="1"/>
  <c r="E17913" i="25" s="1"/>
  <c r="E17914" i="25" s="1"/>
  <c r="E17915" i="25" s="1"/>
  <c r="E17916" i="25" s="1"/>
  <c r="E17917" i="25" s="1"/>
  <c r="E17918" i="25" s="1"/>
  <c r="E17919" i="25" s="1"/>
  <c r="E17920" i="25" s="1"/>
  <c r="E17921" i="25" s="1"/>
  <c r="E17922" i="25" s="1"/>
  <c r="E17923" i="25" s="1"/>
  <c r="E17924" i="25" s="1"/>
  <c r="E17925" i="25" s="1"/>
  <c r="E17926" i="25" s="1"/>
  <c r="E17927" i="25" s="1"/>
  <c r="E17928" i="25" s="1"/>
  <c r="AQ461" i="29"/>
  <c r="E18351" i="25"/>
  <c r="E3407" i="33"/>
  <c r="E3358" i="33"/>
  <c r="E1938" i="33"/>
  <c r="E1939" i="33" s="1"/>
  <c r="E1940" i="33" s="1"/>
  <c r="E1941" i="33" s="1"/>
  <c r="E1942" i="33" s="1"/>
  <c r="E1943" i="33" s="1"/>
  <c r="E1944" i="33" s="1"/>
  <c r="E1945" i="33" s="1"/>
  <c r="E1946" i="33" s="1"/>
  <c r="E1947" i="33" s="1"/>
  <c r="E1948" i="33" s="1"/>
  <c r="E1949" i="33" s="1"/>
  <c r="E18361" i="25"/>
  <c r="E3357" i="33"/>
  <c r="E18349" i="25"/>
  <c r="E3361" i="33"/>
  <c r="AP453" i="29"/>
  <c r="AQ74" i="32"/>
  <c r="E3405" i="33"/>
  <c r="E18356" i="25"/>
  <c r="E18345" i="25"/>
  <c r="E18350" i="25"/>
  <c r="E18354" i="25"/>
  <c r="E3409" i="33"/>
  <c r="AQ559" i="29"/>
  <c r="E3412" i="33"/>
  <c r="E3402" i="33"/>
  <c r="E18358" i="25"/>
  <c r="E3365" i="33"/>
  <c r="E18353" i="25"/>
  <c r="E3355" i="33"/>
  <c r="AQ484" i="29"/>
  <c r="E3356" i="33"/>
  <c r="E2928" i="33"/>
  <c r="E2929" i="33" s="1"/>
  <c r="E2930" i="33" s="1"/>
  <c r="E2931" i="33" s="1"/>
  <c r="E2932" i="33" s="1"/>
  <c r="E2933" i="33" s="1"/>
  <c r="E2934" i="33" s="1"/>
  <c r="E2935" i="33" s="1"/>
  <c r="E2936" i="33" s="1"/>
  <c r="E2937" i="33" s="1"/>
  <c r="AQ48" i="32"/>
  <c r="E3404" i="33"/>
  <c r="E3401" i="33"/>
  <c r="E3411" i="33"/>
  <c r="E3359" i="33"/>
  <c r="E2411" i="33"/>
  <c r="E2412" i="33" s="1"/>
  <c r="E2413" i="33" s="1"/>
  <c r="E2414" i="33" s="1"/>
  <c r="E2415" i="33" s="1"/>
  <c r="E2416" i="33" s="1"/>
  <c r="E2417" i="33" s="1"/>
  <c r="E2418" i="33" s="1"/>
  <c r="E2419" i="33" s="1"/>
  <c r="E2420" i="33" s="1"/>
  <c r="AT349" i="29"/>
  <c r="AU349" i="29" s="1"/>
  <c r="AS349" i="29"/>
  <c r="F1804" i="25"/>
  <c r="E18360" i="25"/>
  <c r="AP540" i="29"/>
  <c r="AP524" i="29"/>
  <c r="E17681" i="25"/>
  <c r="E17682" i="25" s="1"/>
  <c r="E17683" i="25" s="1"/>
  <c r="AQ447" i="29"/>
  <c r="E2885" i="33"/>
  <c r="E2886" i="33" s="1"/>
  <c r="E2887" i="33" s="1"/>
  <c r="E2888" i="33" s="1"/>
  <c r="E2889" i="33" s="1"/>
  <c r="E2890" i="33" s="1"/>
  <c r="E2891" i="33"/>
  <c r="E2892" i="33" s="1"/>
  <c r="AQ57" i="32"/>
  <c r="AQ65" i="32"/>
  <c r="E18418" i="25"/>
  <c r="E18416" i="25"/>
  <c r="E3264" i="33"/>
  <c r="E2646" i="33"/>
  <c r="E2647" i="33" s="1"/>
  <c r="E2648" i="33" s="1"/>
  <c r="E2649" i="33" s="1"/>
  <c r="E2656" i="33" s="1"/>
  <c r="E2657" i="33" s="1"/>
  <c r="AQ59" i="32"/>
  <c r="E3270" i="33"/>
  <c r="E18412" i="25"/>
  <c r="AQ550" i="29"/>
  <c r="E18044" i="25"/>
  <c r="E3598" i="33"/>
  <c r="E3119" i="33"/>
  <c r="E3120" i="33" s="1"/>
  <c r="E3121" i="33" s="1"/>
  <c r="E3122" i="33" s="1"/>
  <c r="E3123" i="33" s="1"/>
  <c r="AP544" i="29"/>
  <c r="AQ544" i="29"/>
  <c r="E3596" i="33"/>
  <c r="AQ428" i="29"/>
  <c r="E3589" i="33"/>
  <c r="E3594" i="33"/>
  <c r="E18423" i="25"/>
  <c r="E18420" i="25"/>
  <c r="AN429" i="29"/>
  <c r="AP429" i="29"/>
  <c r="AQ541" i="29"/>
  <c r="E17745" i="25"/>
  <c r="E17746" i="25" s="1"/>
  <c r="E17747" i="25" s="1"/>
  <c r="E17748" i="25" s="1"/>
  <c r="E17749" i="25" s="1"/>
  <c r="E17750" i="25" s="1"/>
  <c r="E17751" i="25" s="1"/>
  <c r="E17752" i="25" s="1"/>
  <c r="E17753" i="25" s="1"/>
  <c r="E17754" i="25" s="1"/>
  <c r="E17755" i="25" s="1"/>
  <c r="E17756" i="25" s="1"/>
  <c r="E17757" i="25" s="1"/>
  <c r="E17758" i="25" s="1"/>
  <c r="E17759" i="25" s="1"/>
  <c r="E17760" i="25" s="1"/>
  <c r="E17761" i="25" s="1"/>
  <c r="E17762" i="25" s="1"/>
  <c r="E17763" i="25" s="1"/>
  <c r="E17764" i="25" s="1"/>
  <c r="E17765" i="25" s="1"/>
  <c r="E17766" i="25" s="1"/>
  <c r="E17767" i="25" s="1"/>
  <c r="E17768" i="25" s="1"/>
  <c r="AQ546" i="29"/>
  <c r="E17983" i="25"/>
  <c r="E17984" i="25" s="1"/>
  <c r="E17985" i="25" s="1"/>
  <c r="E17986" i="25" s="1"/>
  <c r="E3495" i="33"/>
  <c r="E3448" i="33"/>
  <c r="AQ452" i="29"/>
  <c r="E17047" i="25"/>
  <c r="E17048" i="25" s="1"/>
  <c r="E17049" i="25" s="1"/>
  <c r="E17050" i="25" s="1"/>
  <c r="E17051" i="25" s="1"/>
  <c r="E17052" i="25" s="1"/>
  <c r="E17053" i="25" s="1"/>
  <c r="E17054" i="25" s="1"/>
  <c r="E17055" i="25" s="1"/>
  <c r="E17056" i="25" s="1"/>
  <c r="E17057" i="25" s="1"/>
  <c r="E17058" i="25" s="1"/>
  <c r="E17059" i="25" s="1"/>
  <c r="E17060" i="25" s="1"/>
  <c r="E17061" i="25" s="1"/>
  <c r="E17062" i="25" s="1"/>
  <c r="E17063" i="25" s="1"/>
  <c r="E17064" i="25" s="1"/>
  <c r="E18417" i="25"/>
  <c r="E17173" i="25"/>
  <c r="E18411" i="25"/>
  <c r="E17295" i="25"/>
  <c r="AQ429" i="29"/>
  <c r="AQ519" i="29"/>
  <c r="E16991" i="25"/>
  <c r="E17552" i="25"/>
  <c r="E17553" i="25" s="1"/>
  <c r="E17554" i="25" s="1"/>
  <c r="E17555" i="25" s="1"/>
  <c r="E17556" i="25" s="1"/>
  <c r="E17557" i="25" s="1"/>
  <c r="E17558" i="25" s="1"/>
  <c r="E17559" i="25" s="1"/>
  <c r="E17560" i="25" s="1"/>
  <c r="E17561" i="25" s="1"/>
  <c r="E17562" i="25" s="1"/>
  <c r="E17563" i="25" s="1"/>
  <c r="E17564" i="25" s="1"/>
  <c r="E17565" i="25" s="1"/>
  <c r="E17566" i="25" s="1"/>
  <c r="E17567" i="25" s="1"/>
  <c r="E17568" i="25" s="1"/>
  <c r="E17569" i="25" s="1"/>
  <c r="AQ535" i="29"/>
  <c r="E3459" i="33"/>
  <c r="AQ460" i="29"/>
  <c r="E3271" i="33"/>
  <c r="AQ475" i="29"/>
  <c r="E3593" i="33"/>
  <c r="E3453" i="33"/>
  <c r="E3268" i="33"/>
  <c r="AQ77" i="32"/>
  <c r="E3269" i="33"/>
  <c r="AQ427" i="29"/>
  <c r="E3072" i="33"/>
  <c r="E3073" i="33" s="1"/>
  <c r="E3074" i="33" s="1"/>
  <c r="E3075" i="33" s="1"/>
  <c r="E3497" i="33"/>
  <c r="E3261" i="33"/>
  <c r="AQ494" i="29"/>
  <c r="E3260" i="33"/>
  <c r="E18407" i="25"/>
  <c r="E3315" i="33"/>
  <c r="E3318" i="33"/>
  <c r="E3311" i="33"/>
  <c r="AQ73" i="32"/>
  <c r="E3309" i="33"/>
  <c r="E3310" i="33"/>
  <c r="AP10" i="32"/>
  <c r="E3314" i="33"/>
  <c r="E3313" i="33"/>
  <c r="E3307" i="33"/>
  <c r="E3450" i="33"/>
  <c r="E2458" i="33"/>
  <c r="E2459" i="33" s="1"/>
  <c r="E2460" i="33" s="1"/>
  <c r="E2461" i="33" s="1"/>
  <c r="AQ456" i="29"/>
  <c r="E3308" i="33"/>
  <c r="E3312" i="33"/>
  <c r="E3542" i="33"/>
  <c r="AQ78" i="32"/>
  <c r="E3317" i="33"/>
  <c r="E3213" i="33"/>
  <c r="E3214" i="33" s="1"/>
  <c r="E3215" i="33" s="1"/>
  <c r="E3216" i="33" s="1"/>
  <c r="E3217" i="33" s="1"/>
  <c r="E2603" i="33"/>
  <c r="E2604" i="33" s="1"/>
  <c r="E2605" i="33" s="1"/>
  <c r="AQ557" i="29"/>
  <c r="E18299" i="25"/>
  <c r="E18285" i="25"/>
  <c r="AQ70" i="32"/>
  <c r="E3166" i="33"/>
  <c r="E3167" i="33" s="1"/>
  <c r="E3168" i="33" s="1"/>
  <c r="E3169" i="33" s="1"/>
  <c r="AQ60" i="32"/>
  <c r="E2693" i="33"/>
  <c r="AQ434" i="29"/>
  <c r="AP434" i="29"/>
  <c r="E18282" i="25"/>
  <c r="E18298" i="25"/>
  <c r="AQ58" i="32"/>
  <c r="E18283" i="25"/>
  <c r="E18287" i="25"/>
  <c r="AQ76" i="32"/>
  <c r="E18408" i="25"/>
  <c r="E18415" i="25"/>
  <c r="AQ52" i="32"/>
  <c r="E2129" i="33"/>
  <c r="E2130" i="33" s="1"/>
  <c r="E2131" i="33" s="1"/>
  <c r="E2132" i="33" s="1"/>
  <c r="E2133" i="33" s="1"/>
  <c r="E2134" i="33" s="1"/>
  <c r="E2135" i="33" s="1"/>
  <c r="E2136" i="33" s="1"/>
  <c r="E2137" i="33" s="1"/>
  <c r="E2138" i="33" s="1"/>
  <c r="E2139" i="33" s="1"/>
  <c r="E2140" i="33" s="1"/>
  <c r="E18293" i="25"/>
  <c r="E18286" i="25"/>
  <c r="E1903" i="33"/>
  <c r="F1903" i="33" s="1"/>
  <c r="AP48" i="32" s="1"/>
  <c r="E3506" i="33"/>
  <c r="E3458" i="33"/>
  <c r="E18413" i="25"/>
  <c r="E18419" i="25"/>
  <c r="E3265" i="33"/>
  <c r="E3262" i="33"/>
  <c r="E3266" i="33"/>
  <c r="E3263" i="33"/>
  <c r="E3267" i="33"/>
  <c r="E2032" i="33"/>
  <c r="E2033" i="33" s="1"/>
  <c r="E2034" i="33" s="1"/>
  <c r="E2035" i="33" s="1"/>
  <c r="E2036" i="33" s="1"/>
  <c r="E2037" i="33" s="1"/>
  <c r="E2038" i="33" s="1"/>
  <c r="E2039" i="33" s="1"/>
  <c r="E2040" i="33" s="1"/>
  <c r="E2041" i="33" s="1"/>
  <c r="E2042" i="33" s="1"/>
  <c r="E2043" i="33" s="1"/>
  <c r="AQ51" i="32"/>
  <c r="F2499" i="25"/>
  <c r="E18295" i="25"/>
  <c r="E18289" i="25"/>
  <c r="E2975" i="33"/>
  <c r="E2976" i="33" s="1"/>
  <c r="E2977" i="33" s="1"/>
  <c r="E2978" i="33" s="1"/>
  <c r="AQ66" i="32"/>
  <c r="AQ50" i="32"/>
  <c r="E1985" i="33"/>
  <c r="AQ457" i="29"/>
  <c r="E18297" i="25"/>
  <c r="E18290" i="25"/>
  <c r="AQ53" i="32"/>
  <c r="E18284" i="25"/>
  <c r="E3455" i="33"/>
  <c r="E18409" i="25"/>
  <c r="E18422" i="25"/>
  <c r="E3449" i="33"/>
  <c r="AQ448" i="29"/>
  <c r="AQ445" i="29"/>
  <c r="AQ79" i="32"/>
  <c r="E3591" i="33"/>
  <c r="E3595" i="33"/>
  <c r="E3599" i="33"/>
  <c r="E3592" i="33"/>
  <c r="E3597" i="33"/>
  <c r="E3600" i="33"/>
  <c r="E3549" i="33"/>
  <c r="E3550" i="33"/>
  <c r="E3543" i="33"/>
  <c r="E3544" i="33"/>
  <c r="E3546" i="33"/>
  <c r="E3548" i="33"/>
  <c r="E3552" i="33"/>
  <c r="E3547" i="33"/>
  <c r="E3545" i="33"/>
  <c r="E3551" i="33"/>
  <c r="E3503" i="33"/>
  <c r="E3501" i="33"/>
  <c r="E3500" i="33"/>
  <c r="E3498" i="33"/>
  <c r="E3499" i="33"/>
  <c r="E3502" i="33"/>
  <c r="E3504" i="33"/>
  <c r="E3505" i="33"/>
  <c r="E3451" i="33"/>
  <c r="E3456" i="33"/>
  <c r="E3454" i="33"/>
  <c r="E3452" i="33"/>
  <c r="E18406" i="25"/>
  <c r="E18414" i="25"/>
  <c r="E18421" i="25"/>
  <c r="AQ561" i="29"/>
  <c r="AQ471" i="29"/>
  <c r="AQ464" i="29"/>
  <c r="AQ468" i="29"/>
  <c r="AQ24" i="32"/>
  <c r="AQ43" i="32"/>
  <c r="AQ47" i="32"/>
  <c r="E1844" i="33"/>
  <c r="AQ17" i="32"/>
  <c r="AP466" i="29"/>
  <c r="AQ466" i="29"/>
  <c r="E2556" i="33"/>
  <c r="E2557" i="33" s="1"/>
  <c r="E2558" i="33" s="1"/>
  <c r="E2559" i="33" s="1"/>
  <c r="E2560" i="33" s="1"/>
  <c r="E2561" i="33" s="1"/>
  <c r="E2562" i="33"/>
  <c r="E2563" i="33" s="1"/>
  <c r="AQ18" i="32"/>
  <c r="E2509" i="33"/>
  <c r="E2510" i="33" s="1"/>
  <c r="E2511" i="33" s="1"/>
  <c r="E2512" i="33" s="1"/>
  <c r="E2513" i="33" s="1"/>
  <c r="H847" i="25"/>
  <c r="F848" i="25"/>
  <c r="H848" i="25" s="1"/>
  <c r="E2838" i="33"/>
  <c r="E2844" i="33"/>
  <c r="E2845" i="33" s="1"/>
  <c r="AP549" i="29"/>
  <c r="F18007" i="25"/>
  <c r="AN549" i="29" s="1"/>
  <c r="AP323" i="29"/>
  <c r="L9514" i="25"/>
  <c r="E2750" i="33"/>
  <c r="E2751" i="33" s="1"/>
  <c r="E2744" i="33"/>
  <c r="AQ13" i="32"/>
  <c r="AP447" i="29"/>
  <c r="AN447" i="29"/>
  <c r="AQ467" i="29"/>
  <c r="AQ539" i="29" l="1"/>
  <c r="E17692" i="25"/>
  <c r="E17684" i="25"/>
  <c r="E17691" i="25"/>
  <c r="E17686" i="25"/>
  <c r="E17698" i="25"/>
  <c r="E17690" i="25"/>
  <c r="E17695" i="25"/>
  <c r="E17687" i="25"/>
  <c r="E17685" i="25"/>
  <c r="E17697" i="25"/>
  <c r="E17689" i="25"/>
  <c r="E17688" i="25"/>
  <c r="E17693" i="25"/>
  <c r="E17696" i="25"/>
  <c r="E17694" i="25"/>
  <c r="AQ542" i="29"/>
  <c r="E17825" i="25"/>
  <c r="F17825" i="25" s="1"/>
  <c r="F17826" i="25" s="1"/>
  <c r="AN542" i="29" s="1"/>
  <c r="AP512" i="29"/>
  <c r="E17457" i="25"/>
  <c r="E17458" i="25" s="1"/>
  <c r="E17459" i="25" s="1"/>
  <c r="E17460" i="25" s="1"/>
  <c r="E17461" i="25" s="1"/>
  <c r="E17462" i="25" s="1"/>
  <c r="AQ533" i="29"/>
  <c r="AQ530" i="29"/>
  <c r="E17412" i="25"/>
  <c r="F17412" i="25" s="1"/>
  <c r="AP530" i="29" s="1"/>
  <c r="E17625" i="25"/>
  <c r="E17639" i="25"/>
  <c r="E17632" i="25"/>
  <c r="E17641" i="25"/>
  <c r="E17643" i="25"/>
  <c r="E16781" i="25"/>
  <c r="E17628" i="25"/>
  <c r="E17640" i="25"/>
  <c r="E17635" i="25"/>
  <c r="E17645" i="25"/>
  <c r="E16783" i="25"/>
  <c r="E16777" i="25"/>
  <c r="E16786" i="25"/>
  <c r="E16785" i="25"/>
  <c r="E16776" i="25"/>
  <c r="E16778" i="25"/>
  <c r="E16784" i="25"/>
  <c r="E16780" i="25"/>
  <c r="E16775" i="25"/>
  <c r="E17633" i="25"/>
  <c r="E17631" i="25"/>
  <c r="E16787" i="25"/>
  <c r="E16779" i="25"/>
  <c r="E17626" i="25"/>
  <c r="E16782" i="25"/>
  <c r="E17636" i="25"/>
  <c r="E17644" i="25"/>
  <c r="E17630" i="25"/>
  <c r="E17627" i="25"/>
  <c r="E17638" i="25"/>
  <c r="E17623" i="25"/>
  <c r="E17254" i="25"/>
  <c r="E17247" i="25"/>
  <c r="E17634" i="25"/>
  <c r="E17629" i="25"/>
  <c r="E17624" i="25"/>
  <c r="E17642" i="25"/>
  <c r="E17249" i="25"/>
  <c r="E17243" i="25"/>
  <c r="E17248" i="25"/>
  <c r="E17246" i="25"/>
  <c r="E17256" i="25"/>
  <c r="E17244" i="25"/>
  <c r="E17241" i="25"/>
  <c r="E17252" i="25"/>
  <c r="E17245" i="25"/>
  <c r="E17242" i="25"/>
  <c r="E17253" i="25"/>
  <c r="E17250" i="25"/>
  <c r="E17255" i="25"/>
  <c r="E17251" i="25"/>
  <c r="AQ526" i="29"/>
  <c r="E17175" i="25"/>
  <c r="E17179" i="25"/>
  <c r="E17183" i="25"/>
  <c r="E17187" i="25"/>
  <c r="E17176" i="25"/>
  <c r="E17188" i="25"/>
  <c r="E17184" i="25"/>
  <c r="E17180" i="25"/>
  <c r="E17177" i="25"/>
  <c r="E17181" i="25"/>
  <c r="E17185" i="25"/>
  <c r="E17189" i="25"/>
  <c r="E17178" i="25"/>
  <c r="E17182" i="25"/>
  <c r="E17174" i="25"/>
  <c r="E17186" i="25"/>
  <c r="AP502" i="29"/>
  <c r="AQ523" i="29"/>
  <c r="E17118" i="25"/>
  <c r="E17110" i="25"/>
  <c r="E17117" i="25"/>
  <c r="E17109" i="25"/>
  <c r="E17108" i="25"/>
  <c r="E17115" i="25"/>
  <c r="E17107" i="25"/>
  <c r="E17106" i="25"/>
  <c r="E17112" i="25"/>
  <c r="E17119" i="25"/>
  <c r="E17111" i="25"/>
  <c r="E17116" i="25"/>
  <c r="E17114" i="25"/>
  <c r="E17113" i="25"/>
  <c r="E16935" i="25"/>
  <c r="E16936" i="25" s="1"/>
  <c r="E16937" i="25" s="1"/>
  <c r="E16938" i="25" s="1"/>
  <c r="E16939" i="25" s="1"/>
  <c r="E16946" i="25"/>
  <c r="E16945" i="25"/>
  <c r="E16952" i="25"/>
  <c r="E16944" i="25"/>
  <c r="E16951" i="25"/>
  <c r="E16943" i="25"/>
  <c r="E16941" i="25"/>
  <c r="E16950" i="25"/>
  <c r="E16942" i="25"/>
  <c r="E16949" i="25"/>
  <c r="E16948" i="25"/>
  <c r="E16940" i="25"/>
  <c r="E16947" i="25"/>
  <c r="AQ510" i="29"/>
  <c r="AN508" i="29"/>
  <c r="E18122" i="25"/>
  <c r="AQ499" i="29"/>
  <c r="E18110" i="25"/>
  <c r="E18121" i="25"/>
  <c r="E18108" i="25"/>
  <c r="E18120" i="25"/>
  <c r="E18125" i="25"/>
  <c r="E18111" i="25"/>
  <c r="E18115" i="25"/>
  <c r="AQ552" i="29"/>
  <c r="E18112" i="25"/>
  <c r="E18117" i="25"/>
  <c r="E18119" i="25"/>
  <c r="E18116" i="25"/>
  <c r="E18118" i="25"/>
  <c r="E18113" i="25"/>
  <c r="E18123" i="25"/>
  <c r="E18114" i="25"/>
  <c r="E18124" i="25"/>
  <c r="AQ38" i="32"/>
  <c r="AQ507" i="29"/>
  <c r="AQ501" i="29"/>
  <c r="AQ44" i="32"/>
  <c r="AQ496" i="29"/>
  <c r="AP513" i="29"/>
  <c r="E17102" i="25"/>
  <c r="E17103" i="25" s="1"/>
  <c r="E17104" i="25" s="1"/>
  <c r="E17105" i="25" s="1"/>
  <c r="AQ45" i="32"/>
  <c r="AQ34" i="32"/>
  <c r="AQ491" i="29"/>
  <c r="AQ521" i="29"/>
  <c r="AQ35" i="32"/>
  <c r="AQ30" i="32"/>
  <c r="AQ495" i="29"/>
  <c r="AQ487" i="29"/>
  <c r="AQ483" i="29"/>
  <c r="AQ27" i="32"/>
  <c r="AQ477" i="29"/>
  <c r="AP534" i="29"/>
  <c r="AN21" i="32"/>
  <c r="AQ493" i="29"/>
  <c r="AN463" i="29"/>
  <c r="AQ473" i="29"/>
  <c r="AQ547" i="29"/>
  <c r="AQ565" i="29"/>
  <c r="AP565" i="29"/>
  <c r="AQ29" i="32"/>
  <c r="AQ481" i="29"/>
  <c r="AQ480" i="29"/>
  <c r="AP551" i="29"/>
  <c r="F324" i="25"/>
  <c r="F325" i="25" s="1"/>
  <c r="AP509" i="29"/>
  <c r="AQ453" i="29"/>
  <c r="E2797" i="33"/>
  <c r="E2798" i="33" s="1"/>
  <c r="E3037" i="33"/>
  <c r="F3037" i="33" s="1"/>
  <c r="F3038" i="33" s="1"/>
  <c r="AN67" i="32" s="1"/>
  <c r="AP458" i="29"/>
  <c r="E18188" i="25"/>
  <c r="F18188" i="25" s="1"/>
  <c r="F18189" i="25" s="1"/>
  <c r="AN554" i="29" s="1"/>
  <c r="E2421" i="33"/>
  <c r="E2422" i="33" s="1"/>
  <c r="AQ19" i="32"/>
  <c r="E16854" i="25"/>
  <c r="F16854" i="25" s="1"/>
  <c r="F16855" i="25" s="1"/>
  <c r="AN518" i="29" s="1"/>
  <c r="E1809" i="33"/>
  <c r="F1809" i="33" s="1"/>
  <c r="F1810" i="33" s="1"/>
  <c r="AN46" i="32" s="1"/>
  <c r="AQ486" i="29"/>
  <c r="E18477" i="25"/>
  <c r="F18477" i="25" s="1"/>
  <c r="AP19" i="32"/>
  <c r="E18247" i="25"/>
  <c r="F18247" i="25" s="1"/>
  <c r="F18248" i="25" s="1"/>
  <c r="AN556" i="29" s="1"/>
  <c r="E18362" i="25"/>
  <c r="F18362" i="25" s="1"/>
  <c r="F18363" i="25" s="1"/>
  <c r="AN559" i="29" s="1"/>
  <c r="E2650" i="33"/>
  <c r="E2651" i="33" s="1"/>
  <c r="E2652" i="33" s="1"/>
  <c r="E2653" i="33" s="1"/>
  <c r="E2654" i="33" s="1"/>
  <c r="E2655" i="33" s="1"/>
  <c r="E2141" i="33"/>
  <c r="F2141" i="33" s="1"/>
  <c r="AP52" i="32" s="1"/>
  <c r="E1950" i="33"/>
  <c r="F1950" i="33" s="1"/>
  <c r="AP49" i="32" s="1"/>
  <c r="E2938" i="33"/>
  <c r="E2939" i="33" s="1"/>
  <c r="E3413" i="33"/>
  <c r="I3371" i="33" s="1"/>
  <c r="F1904" i="33"/>
  <c r="AN48" i="32" s="1"/>
  <c r="F630" i="25"/>
  <c r="H629" i="25"/>
  <c r="H630" i="25" s="1"/>
  <c r="BD39" i="29" s="1"/>
  <c r="E2044" i="33"/>
  <c r="F2044" i="33" s="1"/>
  <c r="F2045" i="33" s="1"/>
  <c r="AN51" i="32" s="1"/>
  <c r="E3366" i="33"/>
  <c r="F3366" i="33" s="1"/>
  <c r="AQ454" i="29"/>
  <c r="E17065" i="25"/>
  <c r="F17065" i="25" s="1"/>
  <c r="F17066" i="25" s="1"/>
  <c r="AN522" i="29" s="1"/>
  <c r="AN451" i="29"/>
  <c r="E3223" i="33"/>
  <c r="E3224" i="33" s="1"/>
  <c r="H849" i="25"/>
  <c r="BD48" i="29" s="1"/>
  <c r="E17009" i="25"/>
  <c r="F17009" i="25" s="1"/>
  <c r="AP519" i="29" s="1"/>
  <c r="AQ540" i="29"/>
  <c r="AQ16" i="32"/>
  <c r="E3129" i="33"/>
  <c r="E3130" i="33" s="1"/>
  <c r="E2893" i="33"/>
  <c r="F2893" i="33" s="1"/>
  <c r="AP428" i="29"/>
  <c r="AN427" i="29"/>
  <c r="AQ470" i="29"/>
  <c r="E17570" i="25"/>
  <c r="F17570" i="25" s="1"/>
  <c r="AP535" i="29" s="1"/>
  <c r="E2611" i="33"/>
  <c r="F2611" i="33" s="1"/>
  <c r="AN24" i="32"/>
  <c r="E17769" i="25"/>
  <c r="F17769" i="25" s="1"/>
  <c r="F17770" i="25" s="1"/>
  <c r="AN541" i="29" s="1"/>
  <c r="E18045" i="25"/>
  <c r="E18046" i="25" s="1"/>
  <c r="E18047" i="25" s="1"/>
  <c r="E18048" i="25" s="1"/>
  <c r="E18049" i="25" s="1"/>
  <c r="E18050" i="25" s="1"/>
  <c r="E18051" i="25" s="1"/>
  <c r="E18052" i="25" s="1"/>
  <c r="E18053" i="25" s="1"/>
  <c r="E18054" i="25" s="1"/>
  <c r="E18055" i="25" s="1"/>
  <c r="E18056" i="25" s="1"/>
  <c r="E18057" i="25" s="1"/>
  <c r="E18058" i="25" s="1"/>
  <c r="E18059" i="25" s="1"/>
  <c r="E18060" i="25" s="1"/>
  <c r="E18061" i="25" s="1"/>
  <c r="AP452" i="29"/>
  <c r="AN452" i="29"/>
  <c r="E17993" i="25"/>
  <c r="E17994" i="25" s="1"/>
  <c r="E17995" i="25" s="1"/>
  <c r="E17996" i="25" s="1"/>
  <c r="E17997" i="25" s="1"/>
  <c r="E17998" i="25" s="1"/>
  <c r="E17999" i="25" s="1"/>
  <c r="E18000" i="25" s="1"/>
  <c r="E17987" i="25"/>
  <c r="E17988" i="25" s="1"/>
  <c r="E17989" i="25" s="1"/>
  <c r="E17990" i="25" s="1"/>
  <c r="E17991" i="25" s="1"/>
  <c r="E17992" i="25" s="1"/>
  <c r="E17296" i="25"/>
  <c r="E17297" i="25" s="1"/>
  <c r="E17298" i="25" s="1"/>
  <c r="E17299" i="25" s="1"/>
  <c r="E17300" i="25" s="1"/>
  <c r="E17301" i="25" s="1"/>
  <c r="E17302" i="25" s="1"/>
  <c r="E17303" i="25" s="1"/>
  <c r="E17304" i="25" s="1"/>
  <c r="E17305" i="25" s="1"/>
  <c r="E17306" i="25" s="1"/>
  <c r="E17307" i="25" s="1"/>
  <c r="E17308" i="25" s="1"/>
  <c r="E17309" i="25" s="1"/>
  <c r="E17310" i="25" s="1"/>
  <c r="E17311" i="25" s="1"/>
  <c r="E17312" i="25" s="1"/>
  <c r="E17929" i="25"/>
  <c r="F17929" i="25" s="1"/>
  <c r="F17930" i="25" s="1"/>
  <c r="AN545" i="29" s="1"/>
  <c r="I819" i="33"/>
  <c r="E18424" i="25"/>
  <c r="I18376" i="25" s="1"/>
  <c r="E3319" i="33"/>
  <c r="AP73" i="32" s="1"/>
  <c r="E18300" i="25"/>
  <c r="F18300" i="25" s="1"/>
  <c r="F18301" i="25" s="1"/>
  <c r="AN557" i="29" s="1"/>
  <c r="E2468" i="33"/>
  <c r="E2469" i="33" s="1"/>
  <c r="E2462" i="33"/>
  <c r="E3460" i="33"/>
  <c r="F3460" i="33" s="1"/>
  <c r="E3272" i="33"/>
  <c r="I3230" i="33" s="1"/>
  <c r="E3554" i="33"/>
  <c r="F3554" i="33" s="1"/>
  <c r="AP78" i="32" s="1"/>
  <c r="AN40" i="32"/>
  <c r="E1986" i="33"/>
  <c r="E1987" i="33" s="1"/>
  <c r="E1988" i="33" s="1"/>
  <c r="E1989" i="33" s="1"/>
  <c r="E1990" i="33" s="1"/>
  <c r="E1991" i="33" s="1"/>
  <c r="E1992" i="33" s="1"/>
  <c r="E1993" i="33" s="1"/>
  <c r="E1994" i="33" s="1"/>
  <c r="E1995" i="33" s="1"/>
  <c r="E1996" i="33" s="1"/>
  <c r="E2694" i="33"/>
  <c r="E2695" i="33" s="1"/>
  <c r="E2696" i="33" s="1"/>
  <c r="E3176" i="33"/>
  <c r="E3177" i="33" s="1"/>
  <c r="E3170" i="33"/>
  <c r="E2979" i="33"/>
  <c r="E2985" i="33"/>
  <c r="E2986" i="33" s="1"/>
  <c r="AN471" i="29"/>
  <c r="E3601" i="33"/>
  <c r="I3559" i="33" s="1"/>
  <c r="E3507" i="33"/>
  <c r="AP77" i="32" s="1"/>
  <c r="AP472" i="29"/>
  <c r="AN456" i="29"/>
  <c r="AN464" i="29"/>
  <c r="AP32" i="32"/>
  <c r="E1845" i="33"/>
  <c r="E1846" i="33" s="1"/>
  <c r="E1847" i="33" s="1"/>
  <c r="E1848" i="33" s="1"/>
  <c r="E1849" i="33" s="1"/>
  <c r="E1850" i="33" s="1"/>
  <c r="E1851" i="33" s="1"/>
  <c r="E1852" i="33" s="1"/>
  <c r="E1853" i="33" s="1"/>
  <c r="E1854" i="33" s="1"/>
  <c r="E1855" i="33" s="1"/>
  <c r="E2517" i="33"/>
  <c r="E2839" i="33"/>
  <c r="E2840" i="33" s="1"/>
  <c r="E2841" i="33" s="1"/>
  <c r="E2842" i="33" s="1"/>
  <c r="E2843" i="33" s="1"/>
  <c r="E2846" i="33" s="1"/>
  <c r="E3218" i="33"/>
  <c r="E3219" i="33" s="1"/>
  <c r="E3220" i="33" s="1"/>
  <c r="E3221" i="33" s="1"/>
  <c r="E3222" i="33" s="1"/>
  <c r="E2564" i="33"/>
  <c r="E2745" i="33"/>
  <c r="E2746" i="33" s="1"/>
  <c r="E2747" i="33" s="1"/>
  <c r="E2748" i="33" s="1"/>
  <c r="E2749" i="33" s="1"/>
  <c r="E3124" i="33"/>
  <c r="E3125" i="33" s="1"/>
  <c r="E3126" i="33" s="1"/>
  <c r="E3127" i="33" s="1"/>
  <c r="E3128" i="33" s="1"/>
  <c r="AP20" i="32"/>
  <c r="AN20" i="32"/>
  <c r="F849" i="25"/>
  <c r="E3076" i="33"/>
  <c r="E3082" i="33"/>
  <c r="E3083" i="33" s="1"/>
  <c r="AP542" i="29" l="1"/>
  <c r="E17471" i="25"/>
  <c r="I17423" i="25" s="1"/>
  <c r="F17413" i="25"/>
  <c r="AN530" i="29" s="1"/>
  <c r="E16788" i="25"/>
  <c r="F16788" i="25" s="1"/>
  <c r="F16789" i="25" s="1"/>
  <c r="AN516" i="29" s="1"/>
  <c r="E17646" i="25"/>
  <c r="AP538" i="29" s="1"/>
  <c r="E17257" i="25"/>
  <c r="F17257" i="25" s="1"/>
  <c r="AP528" i="29" s="1"/>
  <c r="E17191" i="25"/>
  <c r="F17191" i="25" s="1"/>
  <c r="AP526" i="29" s="1"/>
  <c r="AP510" i="29"/>
  <c r="AP508" i="29"/>
  <c r="E16953" i="25"/>
  <c r="F16953" i="25" s="1"/>
  <c r="F16954" i="25" s="1"/>
  <c r="AN520" i="29" s="1"/>
  <c r="AN499" i="29"/>
  <c r="E18126" i="25"/>
  <c r="F18126" i="25" s="1"/>
  <c r="F18127" i="25" s="1"/>
  <c r="AN552" i="29" s="1"/>
  <c r="AP498" i="29"/>
  <c r="AP501" i="29"/>
  <c r="I16049" i="25"/>
  <c r="AP37" i="32"/>
  <c r="AP41" i="32"/>
  <c r="AN491" i="29"/>
  <c r="AP21" i="32"/>
  <c r="AP25" i="32"/>
  <c r="AP463" i="29"/>
  <c r="AN15" i="32"/>
  <c r="AR22" i="29"/>
  <c r="AV22" i="29" s="1"/>
  <c r="AP518" i="29"/>
  <c r="AP481" i="29"/>
  <c r="AN480" i="29"/>
  <c r="H324" i="25"/>
  <c r="H325" i="25" s="1"/>
  <c r="AN509" i="29"/>
  <c r="AN52" i="32"/>
  <c r="AN458" i="29"/>
  <c r="E2799" i="33"/>
  <c r="F2799" i="33" s="1"/>
  <c r="AP62" i="32" s="1"/>
  <c r="AP51" i="32"/>
  <c r="AP67" i="32"/>
  <c r="AN45" i="32"/>
  <c r="AP554" i="29"/>
  <c r="AN512" i="29"/>
  <c r="I2569" i="33"/>
  <c r="AN445" i="29"/>
  <c r="AP445" i="29"/>
  <c r="AN460" i="29"/>
  <c r="AP460" i="29"/>
  <c r="AP556" i="29"/>
  <c r="E2423" i="33"/>
  <c r="F2423" i="33" s="1"/>
  <c r="AP54" i="32" s="1"/>
  <c r="AP562" i="29"/>
  <c r="F18478" i="25"/>
  <c r="AN562" i="29" s="1"/>
  <c r="AP559" i="29"/>
  <c r="AP46" i="32"/>
  <c r="AN513" i="29"/>
  <c r="AP522" i="29"/>
  <c r="AN19" i="32"/>
  <c r="F17571" i="25"/>
  <c r="AN535" i="29" s="1"/>
  <c r="AP24" i="32"/>
  <c r="F3413" i="33"/>
  <c r="F3414" i="33" s="1"/>
  <c r="AN75" i="32" s="1"/>
  <c r="AN483" i="29"/>
  <c r="F17010" i="25"/>
  <c r="AN519" i="29" s="1"/>
  <c r="AP427" i="29"/>
  <c r="AN44" i="32"/>
  <c r="AP40" i="32"/>
  <c r="I2851" i="33"/>
  <c r="F1951" i="33"/>
  <c r="AN49" i="32" s="1"/>
  <c r="E2940" i="33"/>
  <c r="F2940" i="33" s="1"/>
  <c r="F2941" i="33" s="1"/>
  <c r="AN64" i="32" s="1"/>
  <c r="I3324" i="33"/>
  <c r="AP74" i="32"/>
  <c r="F3367" i="33"/>
  <c r="AN74" i="32" s="1"/>
  <c r="AN16" i="32"/>
  <c r="AP451" i="29"/>
  <c r="F3555" i="33"/>
  <c r="AN78" i="32" s="1"/>
  <c r="AN428" i="29"/>
  <c r="I3512" i="33"/>
  <c r="AP557" i="29"/>
  <c r="AP541" i="29"/>
  <c r="AP545" i="29"/>
  <c r="AN14" i="32"/>
  <c r="AP471" i="29"/>
  <c r="F3272" i="33"/>
  <c r="F3273" i="33" s="1"/>
  <c r="AN72" i="32" s="1"/>
  <c r="E17313" i="25"/>
  <c r="F17313" i="25" s="1"/>
  <c r="AP529" i="29" s="1"/>
  <c r="AN32" i="32"/>
  <c r="E18062" i="25"/>
  <c r="F18062" i="25" s="1"/>
  <c r="AN461" i="29"/>
  <c r="E18001" i="25"/>
  <c r="F3319" i="33"/>
  <c r="F3320" i="33" s="1"/>
  <c r="AN73" i="32" s="1"/>
  <c r="I3465" i="33"/>
  <c r="I3418" i="33"/>
  <c r="I3277" i="33"/>
  <c r="F18424" i="25"/>
  <c r="AP505" i="29"/>
  <c r="F3461" i="33"/>
  <c r="AN76" i="32" s="1"/>
  <c r="AP76" i="32"/>
  <c r="AN434" i="29"/>
  <c r="AP43" i="32"/>
  <c r="AN472" i="29"/>
  <c r="AP27" i="32"/>
  <c r="E2463" i="33"/>
  <c r="E2464" i="33" s="1"/>
  <c r="E2465" i="33" s="1"/>
  <c r="E2466" i="33" s="1"/>
  <c r="E2467" i="33" s="1"/>
  <c r="AN457" i="29"/>
  <c r="AP457" i="29"/>
  <c r="AN28" i="32"/>
  <c r="E3171" i="33"/>
  <c r="E3172" i="33" s="1"/>
  <c r="E3173" i="33" s="1"/>
  <c r="E3174" i="33" s="1"/>
  <c r="E3175" i="33" s="1"/>
  <c r="E2697" i="33"/>
  <c r="E2698" i="33" s="1"/>
  <c r="E2699" i="33" s="1"/>
  <c r="E2700" i="33" s="1"/>
  <c r="E2701" i="33" s="1"/>
  <c r="E2702" i="33" s="1"/>
  <c r="E2703" i="33"/>
  <c r="E2704" i="33" s="1"/>
  <c r="F3601" i="33"/>
  <c r="F3602" i="33" s="1"/>
  <c r="AN79" i="32" s="1"/>
  <c r="F3507" i="33"/>
  <c r="F3508" i="33" s="1"/>
  <c r="AN77" i="32" s="1"/>
  <c r="E2980" i="33"/>
  <c r="E2981" i="33" s="1"/>
  <c r="E2982" i="33" s="1"/>
  <c r="E2983" i="33" s="1"/>
  <c r="E2984" i="33" s="1"/>
  <c r="E1997" i="33"/>
  <c r="F1997" i="33" s="1"/>
  <c r="AP477" i="29"/>
  <c r="AN448" i="29"/>
  <c r="AP448" i="29"/>
  <c r="AP456" i="29"/>
  <c r="F18425" i="25"/>
  <c r="AN561" i="29" s="1"/>
  <c r="AP561" i="29"/>
  <c r="AP464" i="29"/>
  <c r="AP468" i="29"/>
  <c r="AN468" i="29"/>
  <c r="E2658" i="33"/>
  <c r="F2658" i="33" s="1"/>
  <c r="E3225" i="33"/>
  <c r="F3225" i="33" s="1"/>
  <c r="E2752" i="33"/>
  <c r="I2710" i="33" s="1"/>
  <c r="AN35" i="32"/>
  <c r="E1856" i="33"/>
  <c r="F1856" i="33" s="1"/>
  <c r="AP484" i="29"/>
  <c r="AN484" i="29"/>
  <c r="AP31" i="32"/>
  <c r="AQ31" i="32"/>
  <c r="F2894" i="33"/>
  <c r="AN65" i="32" s="1"/>
  <c r="AP65" i="32"/>
  <c r="AP13" i="32"/>
  <c r="AN13" i="32"/>
  <c r="AQ26" i="32"/>
  <c r="AN26" i="32"/>
  <c r="AP26" i="32"/>
  <c r="AN53" i="32"/>
  <c r="AP53" i="32"/>
  <c r="AP511" i="29"/>
  <c r="AN511" i="29"/>
  <c r="AN18" i="32"/>
  <c r="AP18" i="32"/>
  <c r="F2612" i="33"/>
  <c r="AN58" i="32" s="1"/>
  <c r="AP58" i="32"/>
  <c r="F2846" i="33"/>
  <c r="I2804" i="33"/>
  <c r="E3077" i="33"/>
  <c r="E3078" i="33" s="1"/>
  <c r="E3079" i="33" s="1"/>
  <c r="E3080" i="33" s="1"/>
  <c r="E3081" i="33" s="1"/>
  <c r="I2522" i="33"/>
  <c r="F2564" i="33"/>
  <c r="F2565" i="33" s="1"/>
  <c r="AN57" i="32" s="1"/>
  <c r="AP57" i="32"/>
  <c r="E17120" i="25"/>
  <c r="E3131" i="33"/>
  <c r="F2517" i="33"/>
  <c r="F2518" i="33" s="1"/>
  <c r="AN56" i="32" s="1"/>
  <c r="I2475" i="33"/>
  <c r="AP56" i="32"/>
  <c r="F17471" i="25" l="1"/>
  <c r="AP533" i="29" s="1"/>
  <c r="AN507" i="29"/>
  <c r="AP516" i="29"/>
  <c r="AQ538" i="29"/>
  <c r="F17646" i="25"/>
  <c r="F17647" i="25" s="1"/>
  <c r="AN538" i="29" s="1"/>
  <c r="AN510" i="29"/>
  <c r="F17192" i="25"/>
  <c r="AN526" i="29" s="1"/>
  <c r="F17258" i="25"/>
  <c r="AN528" i="29" s="1"/>
  <c r="AP520" i="29"/>
  <c r="AP499" i="29"/>
  <c r="AP552" i="29"/>
  <c r="AN498" i="29"/>
  <c r="AQ498" i="29"/>
  <c r="AP496" i="29"/>
  <c r="AN501" i="29"/>
  <c r="AN496" i="29"/>
  <c r="AN37" i="32"/>
  <c r="AP491" i="29"/>
  <c r="AN453" i="29"/>
  <c r="AN25" i="32"/>
  <c r="AP473" i="29"/>
  <c r="AN473" i="29"/>
  <c r="AN31" i="32"/>
  <c r="AP15" i="32"/>
  <c r="AS22" i="29"/>
  <c r="F2800" i="33"/>
  <c r="AN62" i="32" s="1"/>
  <c r="AN481" i="29"/>
  <c r="AP480" i="29"/>
  <c r="I2757" i="33"/>
  <c r="AP45" i="32"/>
  <c r="AQ32" i="32"/>
  <c r="AP16" i="32"/>
  <c r="F2424" i="33"/>
  <c r="AN54" i="32" s="1"/>
  <c r="AP14" i="32"/>
  <c r="I2381" i="33"/>
  <c r="AN495" i="29"/>
  <c r="AP483" i="29"/>
  <c r="AP495" i="29"/>
  <c r="AP64" i="32"/>
  <c r="I2898" i="33"/>
  <c r="AP75" i="32"/>
  <c r="AP44" i="32"/>
  <c r="AP515" i="29"/>
  <c r="AN515" i="29"/>
  <c r="AP79" i="32"/>
  <c r="AN454" i="29"/>
  <c r="AZ22" i="29"/>
  <c r="AW22" i="29"/>
  <c r="E17699" i="25"/>
  <c r="AP28" i="32"/>
  <c r="AN41" i="32"/>
  <c r="AP461" i="29"/>
  <c r="AQ28" i="32"/>
  <c r="AP72" i="32"/>
  <c r="AN27" i="32"/>
  <c r="AP507" i="29"/>
  <c r="F18063" i="25"/>
  <c r="AN550" i="29" s="1"/>
  <c r="AP550" i="29"/>
  <c r="F17314" i="25"/>
  <c r="AN529" i="29" s="1"/>
  <c r="AP493" i="29"/>
  <c r="AN493" i="29"/>
  <c r="AP35" i="32"/>
  <c r="E2470" i="33"/>
  <c r="I2428" i="33" s="1"/>
  <c r="I17953" i="25"/>
  <c r="F18001" i="25"/>
  <c r="AN505" i="29"/>
  <c r="AN494" i="29"/>
  <c r="AP494" i="29"/>
  <c r="I2616" i="33"/>
  <c r="AN43" i="32"/>
  <c r="E2987" i="33"/>
  <c r="F2987" i="33" s="1"/>
  <c r="F2752" i="33"/>
  <c r="AP61" i="32" s="1"/>
  <c r="AP475" i="29"/>
  <c r="AN487" i="29"/>
  <c r="AP487" i="29"/>
  <c r="E2705" i="33"/>
  <c r="E3178" i="33"/>
  <c r="AP50" i="32"/>
  <c r="F1998" i="33"/>
  <c r="AN50" i="32" s="1"/>
  <c r="AN477" i="29"/>
  <c r="AN34" i="32"/>
  <c r="AP34" i="32"/>
  <c r="AN42" i="32"/>
  <c r="AP42" i="32"/>
  <c r="I3183" i="33"/>
  <c r="AP47" i="32"/>
  <c r="F1857" i="33"/>
  <c r="AN47" i="32" s="1"/>
  <c r="E3084" i="33"/>
  <c r="I3042" i="33" s="1"/>
  <c r="AP17" i="32"/>
  <c r="AN17" i="32"/>
  <c r="AN38" i="32"/>
  <c r="AP38" i="32"/>
  <c r="AP71" i="32"/>
  <c r="F3226" i="33"/>
  <c r="AN71" i="32" s="1"/>
  <c r="AN33" i="32"/>
  <c r="AP33" i="32"/>
  <c r="AP29" i="32"/>
  <c r="AN29" i="32"/>
  <c r="I3089" i="33"/>
  <c r="F3131" i="33"/>
  <c r="F3132" i="33" s="1"/>
  <c r="AN69" i="32" s="1"/>
  <c r="AP69" i="32"/>
  <c r="F17120" i="25"/>
  <c r="F17121" i="25" s="1"/>
  <c r="AN523" i="29" s="1"/>
  <c r="AP523" i="29"/>
  <c r="AN485" i="29"/>
  <c r="AP485" i="29"/>
  <c r="AP59" i="32"/>
  <c r="F2659" i="33"/>
  <c r="AN59" i="32" s="1"/>
  <c r="F2847" i="33"/>
  <c r="AN63" i="32" s="1"/>
  <c r="AP63" i="32"/>
  <c r="AP36" i="32"/>
  <c r="AN36" i="32"/>
  <c r="AN30" i="32"/>
  <c r="AP30" i="32"/>
  <c r="AP467" i="29"/>
  <c r="AN467" i="29"/>
  <c r="AP470" i="29"/>
  <c r="AN470" i="29"/>
  <c r="F17699" i="25" l="1"/>
  <c r="F17700" i="25" s="1"/>
  <c r="I17651" i="25"/>
  <c r="F17472" i="25"/>
  <c r="AN533" i="29" s="1"/>
  <c r="AN475" i="29"/>
  <c r="AP454" i="29"/>
  <c r="F2470" i="33"/>
  <c r="F2471" i="33" s="1"/>
  <c r="AN55" i="32" s="1"/>
  <c r="AP55" i="32"/>
  <c r="I2945" i="33"/>
  <c r="F18002" i="25"/>
  <c r="AN546" i="29" s="1"/>
  <c r="AP546" i="29"/>
  <c r="F2753" i="33"/>
  <c r="AN61" i="32" s="1"/>
  <c r="F3084" i="33"/>
  <c r="AP68" i="32" s="1"/>
  <c r="F2988" i="33"/>
  <c r="AN66" i="32" s="1"/>
  <c r="AP66" i="32"/>
  <c r="I3136" i="33"/>
  <c r="F3178" i="33"/>
  <c r="F2705" i="33"/>
  <c r="I2663" i="33"/>
  <c r="AP539" i="29" l="1"/>
  <c r="AN539" i="29"/>
  <c r="F3085" i="33"/>
  <c r="AN68" i="32" s="1"/>
  <c r="AP60" i="32"/>
  <c r="F2706" i="33"/>
  <c r="AN60" i="32" s="1"/>
  <c r="F3179" i="33"/>
  <c r="AN70" i="32" s="1"/>
  <c r="AP70" i="32"/>
  <c r="BG536" i="29" l="1"/>
  <c r="BG525" i="29"/>
  <c r="BG495" i="29"/>
  <c r="BG492" i="29"/>
  <c r="BG532" i="29"/>
  <c r="BG553" i="29"/>
  <c r="BG555" i="29"/>
  <c r="BG540" i="29"/>
  <c r="BG527" i="29"/>
  <c r="BG524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<sst xmlns="http://schemas.openxmlformats.org/spreadsheetml/2006/main" count="60999" uniqueCount="10843">
  <si>
    <t>ČSOB Energie a distribuce 4 (Global Partners)</t>
  </si>
  <si>
    <t>DRAX GROUP PLC</t>
  </si>
  <si>
    <t>ENCANA CORP</t>
  </si>
  <si>
    <t>INTERNATIONAL POWER</t>
  </si>
  <si>
    <t>OCCIDENTAL PETROLEUM CORP</t>
  </si>
  <si>
    <t>SEADRILL LTD</t>
  </si>
  <si>
    <t>TRANSOCEAN LTD</t>
  </si>
  <si>
    <t>DRX LN Equity</t>
  </si>
  <si>
    <t>ECA CT Equity</t>
  </si>
  <si>
    <t>IPR LN Equity</t>
  </si>
  <si>
    <t>OXY UN Equity</t>
  </si>
  <si>
    <t>SDRL NO Equity</t>
  </si>
  <si>
    <t>RIG UN Equity</t>
  </si>
  <si>
    <t>BE0947381795/3</t>
  </si>
  <si>
    <t>BE0947381795/4</t>
  </si>
  <si>
    <t>BE0947381795/5</t>
  </si>
  <si>
    <t>BE0948120424/12</t>
  </si>
  <si>
    <t>BE0948120424/13</t>
  </si>
  <si>
    <t>BE0948120424/14</t>
  </si>
  <si>
    <t>Maximal Invest 21</t>
  </si>
  <si>
    <t>LU0292715181</t>
  </si>
  <si>
    <t>ČSOB Globálního růstu +10 (Horizon)</t>
  </si>
  <si>
    <t>listopad 08</t>
  </si>
  <si>
    <t>prosinec 08</t>
  </si>
  <si>
    <t>leden 09</t>
  </si>
  <si>
    <t>únor 09</t>
  </si>
  <si>
    <t>březen 09</t>
  </si>
  <si>
    <t>duben 09</t>
  </si>
  <si>
    <t>květen 09</t>
  </si>
  <si>
    <t>červen 09</t>
  </si>
  <si>
    <t>červenec 09</t>
  </si>
  <si>
    <t>ČSOB Světový strom 14 (Global Partners)</t>
  </si>
  <si>
    <t>BE0948039582/6</t>
  </si>
  <si>
    <t>BE0948039582/7</t>
  </si>
  <si>
    <t>BE0948039582/8</t>
  </si>
  <si>
    <t>BE0948039582/9</t>
  </si>
  <si>
    <t>LU0201808119/4</t>
  </si>
  <si>
    <t>LU0201808119/5</t>
  </si>
  <si>
    <t>LU0201808119/6</t>
  </si>
  <si>
    <t>LU0202579032/1</t>
  </si>
  <si>
    <t>LU0202579032/2</t>
  </si>
  <si>
    <t>LU0202579032/3</t>
  </si>
  <si>
    <t>LU0202579032/4</t>
  </si>
  <si>
    <t>LU0202579891/1</t>
  </si>
  <si>
    <t>INTESA SANPAOLO</t>
  </si>
  <si>
    <t>BE0946692697</t>
  </si>
  <si>
    <t>Fund Partners CSOB World Tree 7</t>
  </si>
  <si>
    <t>Fund Partners CSOB World Tree 8</t>
  </si>
  <si>
    <t>Fund Partners CSOB World Growth Plus 7</t>
  </si>
  <si>
    <t>TIT IM</t>
  </si>
  <si>
    <t>7203 JT</t>
  </si>
  <si>
    <t>CIE DE SAINT-GOBAIN</t>
  </si>
  <si>
    <t>IBM</t>
  </si>
  <si>
    <t>DANONE</t>
  </si>
  <si>
    <t>REPSOL</t>
  </si>
  <si>
    <t>AIG UN Equity</t>
  </si>
  <si>
    <t>AIG (American International Group)</t>
  </si>
  <si>
    <t>BE0946360287</t>
  </si>
  <si>
    <t>posledních 10 obchodních dní v listopadu 2008</t>
  </si>
  <si>
    <t>WHR UN Equity</t>
  </si>
  <si>
    <t>AAL LN</t>
  </si>
  <si>
    <t>ČSOB Středoevropský region 1</t>
  </si>
  <si>
    <t>ČSOB Click Program 6</t>
  </si>
  <si>
    <t>Maximal Invest 33</t>
  </si>
  <si>
    <t>LINDE AG</t>
  </si>
  <si>
    <t>MAN GROUP</t>
  </si>
  <si>
    <t>CMCSA UQ Equity</t>
  </si>
  <si>
    <t>CONTINENTAL AG</t>
  </si>
  <si>
    <t>CON GY Equity</t>
  </si>
  <si>
    <t>INTERCONTINENTAL HOTELS GROUP</t>
  </si>
  <si>
    <t>IHG LN Equity</t>
  </si>
  <si>
    <t>LENOVO GROUP LTD</t>
  </si>
  <si>
    <t>992 HK Equity</t>
  </si>
  <si>
    <t>Fund Partners CSOB World Click Plus 7</t>
  </si>
  <si>
    <t>Horizon CSOB Private Banking Emerging Markets 2</t>
  </si>
  <si>
    <t>BE0947489903</t>
  </si>
  <si>
    <t>ČSOB Private Banking Energy and Utilities 1</t>
  </si>
  <si>
    <t>ČSOB Energie a Distribuce 2 (KBC Click)</t>
  </si>
  <si>
    <t>NOK1V FH Equity</t>
  </si>
  <si>
    <t>NDA SS Equity</t>
  </si>
  <si>
    <t>NOVN VX Equity</t>
  </si>
  <si>
    <t>9437 JT</t>
  </si>
  <si>
    <t>9437 JT Equity</t>
  </si>
  <si>
    <t>ČSOB Světový click+ 16 (Fund Partners)</t>
  </si>
  <si>
    <t>zhodnocení měny</t>
  </si>
  <si>
    <t>změna koše</t>
  </si>
  <si>
    <t>BE0947598059/8</t>
  </si>
  <si>
    <t>BE0947598059/9</t>
  </si>
  <si>
    <t>BE0947598059/10</t>
  </si>
  <si>
    <t>Aktuální výnos dle parametrů fondu</t>
  </si>
  <si>
    <t>Hodnota koše ve srovnání se začátkem období</t>
  </si>
  <si>
    <t>LU0202578901/4</t>
  </si>
  <si>
    <t>LU0202579032/5</t>
  </si>
  <si>
    <t>LU0206669789/1</t>
  </si>
  <si>
    <t>LU0206669789/2</t>
  </si>
  <si>
    <t>LU0206669789/3</t>
  </si>
  <si>
    <t>LU0206669789/4</t>
  </si>
  <si>
    <t>LU0206669789/5</t>
  </si>
  <si>
    <t>LU0209318921/1</t>
  </si>
  <si>
    <t>LU0209318921/2</t>
  </si>
  <si>
    <t>PRE UN Equity</t>
  </si>
  <si>
    <t>RSA LN Equity</t>
  </si>
  <si>
    <t>ROYAL &amp; SUN ALLIANCE</t>
  </si>
  <si>
    <t>SAIPEM</t>
  </si>
  <si>
    <t>SPM IM Equity</t>
  </si>
  <si>
    <t>SE UN Equity</t>
  </si>
  <si>
    <t>UNILEVER UK</t>
  </si>
  <si>
    <t>ULVR LN Equity</t>
  </si>
  <si>
    <t>Click za 1. období</t>
  </si>
  <si>
    <t>AMAT UQ Equity</t>
  </si>
  <si>
    <t>dividenda</t>
  </si>
  <si>
    <t>vznik fondu / vypoř. upis. obd.</t>
  </si>
  <si>
    <t>počáteční hodnota</t>
  </si>
  <si>
    <t>období</t>
  </si>
  <si>
    <t>index</t>
  </si>
  <si>
    <t>DJ EuroStoxx 50</t>
  </si>
  <si>
    <t>konečná hodnota</t>
  </si>
  <si>
    <t>zhodnocení koše</t>
  </si>
  <si>
    <t>GEBN VX Equity</t>
  </si>
  <si>
    <t xml:space="preserve">plain vanilla </t>
  </si>
  <si>
    <t>reverse swing</t>
  </si>
  <si>
    <t>výnos fondu</t>
  </si>
  <si>
    <t>fond</t>
  </si>
  <si>
    <t>MANULIFE FINANCIAL CORP</t>
  </si>
  <si>
    <t>LU0289335688/22</t>
  </si>
  <si>
    <t>LU0289335688/23</t>
  </si>
  <si>
    <t>LU0289335688/24</t>
  </si>
  <si>
    <t>BE0946887701/1</t>
  </si>
  <si>
    <t>BE0946990760/1</t>
  </si>
  <si>
    <t>BE0946990760/2</t>
  </si>
  <si>
    <t>BE0946990760/3</t>
  </si>
  <si>
    <t>BE0946990760/4</t>
  </si>
  <si>
    <t>BE0946990760/5</t>
  </si>
  <si>
    <t>Optimum Fund ČSOB Kratky Horizont 1</t>
  </si>
  <si>
    <t>ČSOB Krátký horizont 1</t>
  </si>
  <si>
    <t>BE0935108283</t>
  </si>
  <si>
    <t>Optimum Fund ČSOB Kvalitni Akcie 2</t>
  </si>
  <si>
    <t>BE0935109299</t>
  </si>
  <si>
    <t>ANHEUSER-BUSCH COS INC</t>
  </si>
  <si>
    <t>ASAHI BREWERIES LTD</t>
  </si>
  <si>
    <t>BROWN-FORMAN CORP-CLASS B</t>
  </si>
  <si>
    <t>FORTUNE BRANDS INC</t>
  </si>
  <si>
    <t>FOSTER´S GROUP LTD</t>
  </si>
  <si>
    <t>Fund Partners CSOB Click Reverse 5</t>
  </si>
  <si>
    <t>LU0306697896/11</t>
  </si>
  <si>
    <t>LU0254128266/14</t>
  </si>
  <si>
    <t>LU0254128266/15</t>
  </si>
  <si>
    <t>LU0239832222/2</t>
  </si>
  <si>
    <t>LU0239832222/3</t>
  </si>
  <si>
    <t>LU0222135807/3</t>
  </si>
  <si>
    <t>LU0222135807/4</t>
  </si>
  <si>
    <t>LU0222135807/5</t>
  </si>
  <si>
    <t>LU0220509748/1</t>
  </si>
  <si>
    <t>ČSOB Světového růstu+ 8</t>
  </si>
  <si>
    <t>ČSOB Asijského růstu 1</t>
  </si>
  <si>
    <t>ČSOB Světový click+ 21</t>
  </si>
  <si>
    <t>ARCELOR</t>
  </si>
  <si>
    <t>BANCO SANTANDER</t>
  </si>
  <si>
    <t>CISCO SYSTEMS</t>
  </si>
  <si>
    <t>GOOGLE</t>
  </si>
  <si>
    <t>ERICSSON</t>
  </si>
  <si>
    <t>SAMSUNG ELECTRONICS</t>
  </si>
  <si>
    <t>SCHLUMBERGER</t>
  </si>
  <si>
    <t>TIME WARNER</t>
  </si>
  <si>
    <t>WAL-MART STORES</t>
  </si>
  <si>
    <t>HALLIBURTON</t>
  </si>
  <si>
    <t>Horizon CSOB Private Banking Attractive Sectors 1</t>
  </si>
  <si>
    <t>ATCOA SS Equity</t>
  </si>
  <si>
    <t>BUL IM Equity</t>
  </si>
  <si>
    <t>BNZL LN Equity</t>
  </si>
  <si>
    <t>LLY UN Equity</t>
  </si>
  <si>
    <t>ČSOB Světový click+ EUR 4</t>
  </si>
  <si>
    <t>ČSOB Světového růstu+ 7</t>
  </si>
  <si>
    <t>LU0180692963</t>
  </si>
  <si>
    <t>LU0238572431/7</t>
  </si>
  <si>
    <t>LU0238572431/8</t>
  </si>
  <si>
    <t>LU0238572431/9</t>
  </si>
  <si>
    <t>LU0289334871/4</t>
  </si>
  <si>
    <t>LU0289334871/5</t>
  </si>
  <si>
    <t>LU0292714531/1</t>
  </si>
  <si>
    <t>LU0292714531/2</t>
  </si>
  <si>
    <t>SWISS RE-REG</t>
  </si>
  <si>
    <t>UBS AG-REGISTERED</t>
  </si>
  <si>
    <t>LU0228823257</t>
  </si>
  <si>
    <t>LU0228824065</t>
  </si>
  <si>
    <t>BE0947598059/7</t>
  </si>
  <si>
    <t>ČSOB Světový strom 3 (Fund Partners)</t>
  </si>
  <si>
    <t>ČSOB Reverzní click 3 (Fund Partners)</t>
  </si>
  <si>
    <t>BE0947511151</t>
  </si>
  <si>
    <t>ČSOB</t>
  </si>
  <si>
    <t>BE0947510146/18</t>
  </si>
  <si>
    <t>LU0327242995/1</t>
  </si>
  <si>
    <t>ČSOB Krátkodobého Globálního růstu 3 (Horizon)</t>
  </si>
  <si>
    <t>ČSOB Private Banking Europe Lookback 1 (Horizon)</t>
  </si>
  <si>
    <t>Maximal Invest 18</t>
  </si>
  <si>
    <t>PSB, ČSOB</t>
  </si>
  <si>
    <t>LU0275127552</t>
  </si>
  <si>
    <t>LU0275127396</t>
  </si>
  <si>
    <t>LU0275127800</t>
  </si>
  <si>
    <t>LU0279614951</t>
  </si>
  <si>
    <t>LU0275128014</t>
  </si>
  <si>
    <t>LU0279281967</t>
  </si>
  <si>
    <t>LU0279608474</t>
  </si>
  <si>
    <t>ISP IM</t>
  </si>
  <si>
    <t>ISP IM Equity</t>
  </si>
  <si>
    <t>58% - rozdíl</t>
  </si>
  <si>
    <t>BE0947601085</t>
  </si>
  <si>
    <t>MC FP</t>
  </si>
  <si>
    <t>ENEL IM</t>
  </si>
  <si>
    <t>GSK LN</t>
  </si>
  <si>
    <t>RWE GY</t>
  </si>
  <si>
    <t>BP/ LN</t>
  </si>
  <si>
    <t>LU0228819735</t>
  </si>
  <si>
    <t>BE0945430685</t>
  </si>
  <si>
    <t>LU0232376870</t>
  </si>
  <si>
    <t>absolutní - původní podmínky</t>
  </si>
  <si>
    <t>p.a. - původní podmínky</t>
  </si>
  <si>
    <t>Global Partners CSOB Fixovany click 12</t>
  </si>
  <si>
    <t>AXA</t>
  </si>
  <si>
    <t>LU0197371528/1</t>
  </si>
  <si>
    <t>LU0197371528/2</t>
  </si>
  <si>
    <t>LU0197371528/3</t>
  </si>
  <si>
    <t>LU0197371528/4</t>
  </si>
  <si>
    <t>LU0201808119/1</t>
  </si>
  <si>
    <t>LU0201808119/2</t>
  </si>
  <si>
    <t>LU0201808119/3</t>
  </si>
  <si>
    <t>LU0289334871/3</t>
  </si>
  <si>
    <t>Fund Partners CSOB World Growth Plus 9</t>
  </si>
  <si>
    <t>Fund Partners CSOB Europe Real Estate Growth Plus 1</t>
  </si>
  <si>
    <t>ČSOB Asijského růstu 4 (Fund Partners)</t>
  </si>
  <si>
    <t>ČSOB Světového růstu + 16 (Fund Partners)</t>
  </si>
  <si>
    <t>SUNTRUST BANKS INC</t>
  </si>
  <si>
    <t>Maximal Invest 45</t>
  </si>
  <si>
    <t>ČSOB Krátkodobého růstu 1 (Fund Partners)</t>
  </si>
  <si>
    <t>ČSOB PB Europe Booster 1 (Horizon)</t>
  </si>
  <si>
    <t>BE6220203788</t>
  </si>
  <si>
    <t>plain vanilla with cap</t>
  </si>
  <si>
    <t>ČSOB Private Banking Strong European Economies 1 (KBC click)</t>
  </si>
  <si>
    <t>DEUTSCHE BOERSE</t>
  </si>
  <si>
    <t>DB1 GY Equity</t>
  </si>
  <si>
    <t>MERCK KGaA</t>
  </si>
  <si>
    <t>MRK GY Equity</t>
  </si>
  <si>
    <t>BE0948384152/2</t>
  </si>
  <si>
    <t>BE0948384152/3</t>
  </si>
  <si>
    <t>BE0948384152/4</t>
  </si>
  <si>
    <t>BE0948384152/5</t>
  </si>
  <si>
    <t>ČSOB Reverzní click 6</t>
  </si>
  <si>
    <t>MITSUBISHI CORP</t>
  </si>
  <si>
    <t>ČSOB Click Program 5</t>
  </si>
  <si>
    <t>ČSOB Globálního růstu+ 3</t>
  </si>
  <si>
    <t>každý měsíc (uzavírací kurz 10. ref. dne v měsíci)</t>
  </si>
  <si>
    <t>LU0171683807</t>
  </si>
  <si>
    <t>koš vybraných akcií</t>
  </si>
  <si>
    <t>PNC UN Equity</t>
  </si>
  <si>
    <t>MILLIPORE CORP</t>
  </si>
  <si>
    <t xml:space="preserve">VERIZON COMMUNICATIONS </t>
  </si>
  <si>
    <t>LU0246705031/6</t>
  </si>
  <si>
    <t>EBS AV Equity</t>
  </si>
  <si>
    <t>RY CN Equity</t>
  </si>
  <si>
    <t>Ne</t>
  </si>
  <si>
    <t>ČSOB Světového růstu + 14 (Fund Partners)</t>
  </si>
  <si>
    <t>ČSOB Krátkodobého růstu 6 (Fund Partners)</t>
  </si>
  <si>
    <t>ČSOB Změny klimatu 1 (KBC Click)</t>
  </si>
  <si>
    <t>BE0947753639/6</t>
  </si>
  <si>
    <t>participace</t>
  </si>
  <si>
    <t>LU0233991131/12</t>
  </si>
  <si>
    <t>CPG LN Equity</t>
  </si>
  <si>
    <t>MB IM Equity</t>
  </si>
  <si>
    <t>SCMN VX Equity</t>
  </si>
  <si>
    <t>Maximal Invest 29</t>
  </si>
  <si>
    <t>Horizon CSOB World Growth +19</t>
  </si>
  <si>
    <t>ČSOB Světového růstu +19</t>
  </si>
  <si>
    <t>BE0947753639</t>
  </si>
  <si>
    <t>Horizon CSOB Asian Growth 5</t>
  </si>
  <si>
    <t>tree</t>
  </si>
  <si>
    <t>plain vanilla + best of</t>
  </si>
  <si>
    <t>STERV FH Equity</t>
  </si>
  <si>
    <t>LU0306697896/3</t>
  </si>
  <si>
    <t>ČSOB Reverzního rozpětí 3 (KBC Click)</t>
  </si>
  <si>
    <t>SCHNEIDER ELECTRIC</t>
  </si>
  <si>
    <t>AKZO NOBEL</t>
  </si>
  <si>
    <t>KEY CORP</t>
  </si>
  <si>
    <t>CMA UN</t>
  </si>
  <si>
    <t>D UN</t>
  </si>
  <si>
    <t>ČSOB Růstu USD 1 (Fund Partners)</t>
  </si>
  <si>
    <t>REN NA Equity</t>
  </si>
  <si>
    <t>LU0249278069</t>
  </si>
  <si>
    <t>BE0948081030</t>
  </si>
  <si>
    <t>ČSOB Světového růstu +11 (Fund Partners)</t>
  </si>
  <si>
    <t>ČSOB Top start 4 (Optimum fund)</t>
  </si>
  <si>
    <t>Fund Partners CSOB World Click Plus 15</t>
  </si>
  <si>
    <t>SINGAPORE AIRLINES LTD</t>
  </si>
  <si>
    <t>SIA SP Equity</t>
  </si>
  <si>
    <t>LU0585242471/1</t>
  </si>
  <si>
    <t>LU0585242471/2</t>
  </si>
  <si>
    <t>LU0585242471/3</t>
  </si>
  <si>
    <t>LU0585242471/4</t>
  </si>
  <si>
    <t>LU0585242471/5</t>
  </si>
  <si>
    <t>ČSOB Reverzní click 7</t>
  </si>
  <si>
    <t>ČSOB Bankovního růstu 1</t>
  </si>
  <si>
    <t>ČSOB Světoví Giganti 1 (KBC Click)</t>
  </si>
  <si>
    <t>LU0377944227</t>
  </si>
  <si>
    <t>ČSOB Evropského nemovitostního růstu 1 (Fund Partners)</t>
  </si>
  <si>
    <t>CSOB PB Emerging Markets 1 (Horizon)</t>
  </si>
  <si>
    <t>MER UN Equity</t>
  </si>
  <si>
    <t>PRU LN Equity</t>
  </si>
  <si>
    <t>ANGLO AMERICAN PLC</t>
  </si>
  <si>
    <t>HOME DEPOT</t>
  </si>
  <si>
    <t>MERRILL LYNCH &amp; CO</t>
  </si>
  <si>
    <t>PRUDENTIAL</t>
  </si>
  <si>
    <t>KONINKLIJKE DSM</t>
  </si>
  <si>
    <t>ČSOB Asijského růstu 3 (Fund Partners)</t>
  </si>
  <si>
    <t>zveřejňování klikacích hodnot</t>
  </si>
  <si>
    <t>název sloupce - web</t>
  </si>
  <si>
    <t>Horizon CSOB Central Europe Frontier 1</t>
  </si>
  <si>
    <t>Horizon CSOB Spectrum 1</t>
  </si>
  <si>
    <t>Fund Partners CSOB Click Program 6</t>
  </si>
  <si>
    <t xml:space="preserve">ČSOB Středoevropských šampionů 2 </t>
  </si>
  <si>
    <t>ČSOB Světový click+ 4 (Fund Partners)</t>
  </si>
  <si>
    <t>BE0948039582/16</t>
  </si>
  <si>
    <t>BE0947953692/1</t>
  </si>
  <si>
    <t>BE0947953692/2</t>
  </si>
  <si>
    <t>BE0947953692/3</t>
  </si>
  <si>
    <t>BE0947953692/4</t>
  </si>
  <si>
    <t>LU0275127800/14</t>
  </si>
  <si>
    <t>ve druhém období byla překročena hranice a akcie SANOFI-AVENTIS byla vyřazena z koše</t>
  </si>
  <si>
    <t>MSCI Singapore</t>
  </si>
  <si>
    <t>Hang Seng</t>
  </si>
  <si>
    <t>Hang Seng China Enterprises</t>
  </si>
  <si>
    <t>G IM Equity</t>
  </si>
  <si>
    <t>AUTOMATIC DATA PROCESSING</t>
  </si>
  <si>
    <t>BEST BUY CO INC</t>
  </si>
  <si>
    <t>BBY UN Equity</t>
  </si>
  <si>
    <t>CARNIVAL COPR</t>
  </si>
  <si>
    <t>CCL UN Equity</t>
  </si>
  <si>
    <t>CIE FINANCIERE RICHEMON BR A</t>
  </si>
  <si>
    <t>CFR VX Equity</t>
  </si>
  <si>
    <t>LU0337400856/3</t>
  </si>
  <si>
    <t>LU0337400856/4</t>
  </si>
  <si>
    <t>Global Partners CSOB Bull and Bear 2</t>
  </si>
  <si>
    <t>Horizon CSOB World Growth +18</t>
  </si>
  <si>
    <t>BANCO BRADESCO-SPONSORED ADR</t>
  </si>
  <si>
    <t>BBD UN Equity</t>
  </si>
  <si>
    <t>BANK OF CHINA LTD - H</t>
  </si>
  <si>
    <t>LU0171686735/7</t>
  </si>
  <si>
    <t>DIXONS RETAIL</t>
  </si>
  <si>
    <t>MSI UN</t>
  </si>
  <si>
    <t>MSI UN Equity</t>
  </si>
  <si>
    <t>BE0935050675/30</t>
  </si>
  <si>
    <t>BE0935050675/31</t>
  </si>
  <si>
    <t>BE0935050675/32</t>
  </si>
  <si>
    <t>ČSOB Private Banking Asian Buffer Jumper 1</t>
  </si>
  <si>
    <t>PNR UN Equity</t>
  </si>
  <si>
    <t>UNR1V FH Equity</t>
  </si>
  <si>
    <t>WEIR LN Equity</t>
  </si>
  <si>
    <t xml:space="preserve">DHR UN </t>
  </si>
  <si>
    <t>ČSOB Asijských šampionů 1</t>
  </si>
  <si>
    <t>ČSOB Světového růstu+ 14</t>
  </si>
  <si>
    <t>ČSOB Býci a Medvědi 2 (Global Partners)</t>
  </si>
  <si>
    <t>ALLIANZ SE-REG</t>
  </si>
  <si>
    <t>ALV GY Equity</t>
  </si>
  <si>
    <t>ČSOB Světového růstu +EUR 2 (Global Partners)</t>
  </si>
  <si>
    <t>ČSOB Fixovaného růstu 4 (Horizon)</t>
  </si>
  <si>
    <t>ČSOB Světového růstu+ 2 (Fund Partners)</t>
  </si>
  <si>
    <t>ČSOB Vodního bohatství 1</t>
  </si>
  <si>
    <t>ČSOB Světového růstu +EUR 1</t>
  </si>
  <si>
    <t>TRANSCANADA CORP</t>
  </si>
  <si>
    <t>TRP CT Equity</t>
  </si>
  <si>
    <t>WESTFIELD GROUP</t>
  </si>
  <si>
    <t>v pátem období byla překročena hranice a ING byla vyřazena z koše</t>
  </si>
  <si>
    <t>Horizon CSOB Central Europe Frontier 2</t>
  </si>
  <si>
    <t>Fund Partners CSOB China Winners 1</t>
  </si>
  <si>
    <t>Fund Partners CSOB Sustainables 1</t>
  </si>
  <si>
    <t>Fund Partners CSOB US Growth USD 1</t>
  </si>
  <si>
    <t>LU0201808382/4</t>
  </si>
  <si>
    <t>LU0201808382/5</t>
  </si>
  <si>
    <t>LU0201808549/1</t>
  </si>
  <si>
    <t>LU0201808549/2</t>
  </si>
  <si>
    <t>BE0948081030/11</t>
  </si>
  <si>
    <t>Optimum fund CSOB Government bonds 1</t>
  </si>
  <si>
    <t>BE0948761045</t>
  </si>
  <si>
    <t>ČSOB Jumper plus 2 (Horizon)</t>
  </si>
  <si>
    <t>SKKEUR Crncy</t>
  </si>
  <si>
    <t>PLNEUR Crncy</t>
  </si>
  <si>
    <t>CZKEUR Crncy</t>
  </si>
  <si>
    <t>BE0947382801/6</t>
  </si>
  <si>
    <t>BE0947382801/7</t>
  </si>
  <si>
    <t>ČSOB Private Banking Europe Lookback 1</t>
  </si>
  <si>
    <t>ČSOB Světový lookback 2</t>
  </si>
  <si>
    <t>ČSOB Rozvojové trhy 1</t>
  </si>
  <si>
    <t>ČSOB Fixovaného růstu 5</t>
  </si>
  <si>
    <t>Royal Bank of Scotland překročila hranici</t>
  </si>
  <si>
    <t>Fund Partners CSOB World Tree EUR 1</t>
  </si>
  <si>
    <t>Fund Partners CSOB World Tree 9</t>
  </si>
  <si>
    <t>Fund Partners CSOB World Tree 10</t>
  </si>
  <si>
    <t>BE0947597044/12</t>
  </si>
  <si>
    <t>BE0947597044/13</t>
  </si>
  <si>
    <t>ve druhém období byla dosažena hranice u akcií Telecom Italia a BP</t>
  </si>
  <si>
    <t>Maximal Invest 70</t>
  </si>
  <si>
    <t>Maximal Invest 69</t>
  </si>
  <si>
    <t>ČSOB Vodního bohatství 1 (KBC Click)</t>
  </si>
  <si>
    <t>BE0935050675/20</t>
  </si>
  <si>
    <t>BE0935050675/21</t>
  </si>
  <si>
    <t>BE0935050675/22</t>
  </si>
  <si>
    <t>BE0935050675/23</t>
  </si>
  <si>
    <t>BE0935050675/24</t>
  </si>
  <si>
    <t>BE0935050675/25</t>
  </si>
  <si>
    <t>BE0935050675/26</t>
  </si>
  <si>
    <t>BE0935050675/27</t>
  </si>
  <si>
    <t>BE0935050675/28</t>
  </si>
  <si>
    <t>BE0935050675/29</t>
  </si>
  <si>
    <t>ČSOB Top start 2 (Optimum fund)</t>
  </si>
  <si>
    <t>BE0948820635/1</t>
  </si>
  <si>
    <t>BE0948820635/2</t>
  </si>
  <si>
    <t>BE0948820635/3</t>
  </si>
  <si>
    <t>BE0948820635/4</t>
  </si>
  <si>
    <t>BE0948820635/5</t>
  </si>
  <si>
    <t>Global Partners CSOB Reverzny 3</t>
  </si>
  <si>
    <t>4.období</t>
  </si>
  <si>
    <t>LU0233991560/3</t>
  </si>
  <si>
    <t>LU0233991560/4</t>
  </si>
  <si>
    <t>LU0233991560/5</t>
  </si>
  <si>
    <t>LU0233991560/6</t>
  </si>
  <si>
    <t>LU0233991560/7</t>
  </si>
  <si>
    <t>LU0233991560/8</t>
  </si>
  <si>
    <t>1 HK Equity</t>
  </si>
  <si>
    <t>CHINA LIFE INSURANCE CO-H</t>
  </si>
  <si>
    <t>2628 HK Equity</t>
  </si>
  <si>
    <t>CHINA MOBILE LTD</t>
  </si>
  <si>
    <t>BE0947382801/1</t>
  </si>
  <si>
    <t>BE0947382801/2</t>
  </si>
  <si>
    <t>OUTOKUMP U OYJ</t>
  </si>
  <si>
    <t>OUT1V FH Equity</t>
  </si>
  <si>
    <t>OUTOKUMP U oyj</t>
  </si>
  <si>
    <t>TELIASONERA AB</t>
  </si>
  <si>
    <t>TLSN SS Equity</t>
  </si>
  <si>
    <t>TWY Index</t>
  </si>
  <si>
    <t>Global Partners CSOB US Growth Plus USD 2</t>
  </si>
  <si>
    <t>LU0527217334</t>
  </si>
  <si>
    <t>ČSOB Jumper plus 2</t>
  </si>
  <si>
    <t>Horizon CSOB Jumper plus 2</t>
  </si>
  <si>
    <t>BE6200916946</t>
  </si>
  <si>
    <t>Optimum fund CSOB Fixovaneho rustu 8</t>
  </si>
  <si>
    <t>BE6200241014</t>
  </si>
  <si>
    <t>Maximal Invest 61</t>
  </si>
  <si>
    <t>Optimum Fund ČSOB Airbag jumper 1</t>
  </si>
  <si>
    <t>Global Partners CSOB Svetovy strom 13</t>
  </si>
  <si>
    <t>ČSOB Světový strom 13</t>
  </si>
  <si>
    <t>ČSOB Prémiový fond 8</t>
  </si>
  <si>
    <t>Maximal Invest 54</t>
  </si>
  <si>
    <t>Maximal Invest 55</t>
  </si>
  <si>
    <t>ČSOB Double safety 1</t>
  </si>
  <si>
    <t>LU0197371528</t>
  </si>
  <si>
    <t>ČSOB Světový click+ 9</t>
  </si>
  <si>
    <t>ČSOB Světový click+ USD 2</t>
  </si>
  <si>
    <t>ČSOB Světový click+ EUR 1</t>
  </si>
  <si>
    <t>ČSOB Světový click+ 11</t>
  </si>
  <si>
    <t>ČSOB Reverzní click 2</t>
  </si>
  <si>
    <t>BE0947471729</t>
  </si>
  <si>
    <t>NISSAN MOTOR CO LTD</t>
  </si>
  <si>
    <t>LU0292711198/7</t>
  </si>
  <si>
    <t>LU0292711198/8</t>
  </si>
  <si>
    <t>LU0292711198/9</t>
  </si>
  <si>
    <t>LU0292711198/10</t>
  </si>
  <si>
    <t>LU0292711198/11</t>
  </si>
  <si>
    <t>SMI Index</t>
  </si>
  <si>
    <t xml:space="preserve">ve třetím období byla překročena hranice </t>
  </si>
  <si>
    <t>large click</t>
  </si>
  <si>
    <t>KBC Click CSOB European Equities 1</t>
  </si>
  <si>
    <t>KBC Click CSOB PB Reverse Spread 1</t>
  </si>
  <si>
    <t>ČSOB Světového růstu + 4 (Fund Partners)</t>
  </si>
  <si>
    <t>LU0512265264/1</t>
  </si>
  <si>
    <t>LU0512265264/2</t>
  </si>
  <si>
    <t>LU0512265264/3</t>
  </si>
  <si>
    <t>LU0512265264/4</t>
  </si>
  <si>
    <t>LU0512265264/5</t>
  </si>
  <si>
    <t>ČSOB Click s pamětí 2 (Global Partners)</t>
  </si>
  <si>
    <t>ČSOB Asijské investice 1 (KBC click)</t>
  </si>
  <si>
    <t>ČSOB Krátký horizont 1 (Optimum fund)</t>
  </si>
  <si>
    <t>LG FP Equity</t>
  </si>
  <si>
    <t>LU0414111806</t>
  </si>
  <si>
    <t>Royal Bank of Scotland byla vyřazena z koše</t>
  </si>
  <si>
    <t>FEMSAUBD MM Equity</t>
  </si>
  <si>
    <t>ČSOB Světového růstu + 18 (Horizon)</t>
  </si>
  <si>
    <t>AGS SM Equity</t>
  </si>
  <si>
    <t>WTR UN Equity</t>
  </si>
  <si>
    <t>ČSOB PB Reverse Spread 1 (KBC Click)</t>
  </si>
  <si>
    <t>Fund Partners Global Growth Plus 2</t>
  </si>
  <si>
    <t>Fund Partners Global Growth Plus 3</t>
  </si>
  <si>
    <t>ČSOB Světový strom 9 (Fund Partners)</t>
  </si>
  <si>
    <t>BAYN GR Equity</t>
  </si>
  <si>
    <t>Maximal Invest 12</t>
  </si>
  <si>
    <t>LU0249274746</t>
  </si>
  <si>
    <t>ROLLS ROYCE</t>
  </si>
  <si>
    <t>TAIWAN SEMICONDUCTOR</t>
  </si>
  <si>
    <t>HUFEUR Crncy</t>
  </si>
  <si>
    <t>ELECTRICITE DE FRANCE</t>
  </si>
  <si>
    <t>EDF FP Equity</t>
  </si>
  <si>
    <t>ČSOB Globálního růstu +8 (Horizon)</t>
  </si>
  <si>
    <t>ČSOB Reverzní click 4 (Fund Partners)</t>
  </si>
  <si>
    <t>ČSOB Světový strom 7 (Fund Partners)</t>
  </si>
  <si>
    <t>Fund Partners CSOB Stock Selection Short Term 4</t>
  </si>
  <si>
    <t>Global Partners CSOB World Growth Plus 22</t>
  </si>
  <si>
    <t>Commodity Index</t>
  </si>
  <si>
    <t>MRK UN Equity</t>
  </si>
  <si>
    <t>DPW GY Equity</t>
  </si>
  <si>
    <t>Veolia</t>
  </si>
  <si>
    <t>UNILEVER NV-CVA</t>
  </si>
  <si>
    <t>ČSOB Světový Lookback 2 (Horizon)</t>
  </si>
  <si>
    <t>ČSOB Fixovaného růstu 5 (Horizon)</t>
  </si>
  <si>
    <t>ČSOB Rozvojové trhy 1 (Horizon)</t>
  </si>
  <si>
    <t>BE0946430015</t>
  </si>
  <si>
    <t>LU0264740605</t>
  </si>
  <si>
    <t>BE0949016654/24</t>
  </si>
  <si>
    <t>BE0949016654/25</t>
  </si>
  <si>
    <t>BE0949016654/26</t>
  </si>
  <si>
    <t>BE0949016654/27</t>
  </si>
  <si>
    <t>BE0949016654/28</t>
  </si>
  <si>
    <t>BE0949016654/29</t>
  </si>
  <si>
    <t>BE0949016654/30</t>
  </si>
  <si>
    <t>1.období</t>
  </si>
  <si>
    <t>2.období</t>
  </si>
  <si>
    <t>3.období</t>
  </si>
  <si>
    <t>ČSOB Světový Reverzní Swing 2 (Horizon)</t>
  </si>
  <si>
    <t>Global Partners CSOB Svetovy strom 15</t>
  </si>
  <si>
    <t>ČSOB Světový strom 15</t>
  </si>
  <si>
    <t>LU0514759173</t>
  </si>
  <si>
    <t>BE0947755659/4</t>
  </si>
  <si>
    <t>LU0502408940/2</t>
  </si>
  <si>
    <t>LU0502408940/1</t>
  </si>
  <si>
    <t>LU0502408940/3</t>
  </si>
  <si>
    <t>BATS LN Equity</t>
  </si>
  <si>
    <t>Global Partners CSOB Fixovany click 6</t>
  </si>
  <si>
    <t>DIS UN</t>
  </si>
  <si>
    <t>WPP LN</t>
  </si>
  <si>
    <t>Optimum fund ČSOB Private Banking Asian Buffer Jumper 1</t>
  </si>
  <si>
    <t>BE0935129495</t>
  </si>
  <si>
    <t>ČSOB Click s pamětí 3</t>
  </si>
  <si>
    <t>více akcií překročilo hranici</t>
  </si>
  <si>
    <t>Fund Partners CSOB Click Program 1</t>
  </si>
  <si>
    <t>EUCFBRL Crncy</t>
  </si>
  <si>
    <t>EUCFTRY Crncy</t>
  </si>
  <si>
    <t>EUCFIDR Crncy</t>
  </si>
  <si>
    <t>INRRRTEU Crncy</t>
  </si>
  <si>
    <t>LU0209404507/3</t>
  </si>
  <si>
    <t>LU0209404507/4</t>
  </si>
  <si>
    <t>LU0209404507/5</t>
  </si>
  <si>
    <t>LU0180692617/4</t>
  </si>
  <si>
    <t>LU0180692617/5</t>
  </si>
  <si>
    <t>LU0180692617/6</t>
  </si>
  <si>
    <t>LU0180692617/7</t>
  </si>
  <si>
    <t>LU0180692617/8</t>
  </si>
  <si>
    <t>LU0190374016/1</t>
  </si>
  <si>
    <t>LU0190374016/2</t>
  </si>
  <si>
    <t>LU0190374016/3</t>
  </si>
  <si>
    <t>LU0190374016/4</t>
  </si>
  <si>
    <t>LU0190374016/5</t>
  </si>
  <si>
    <t>LU0190374107/1</t>
  </si>
  <si>
    <t>LU0190374107/2</t>
  </si>
  <si>
    <t>LU0190374107/3</t>
  </si>
  <si>
    <t>LU0190374107/4</t>
  </si>
  <si>
    <t>Hodnota koše</t>
  </si>
  <si>
    <t>005930 KS Equity</t>
  </si>
  <si>
    <t>SLB UN Equity</t>
  </si>
  <si>
    <t>BE0946430015/1</t>
  </si>
  <si>
    <t>LU0264741751/1</t>
  </si>
  <si>
    <t>LU0264741751/2</t>
  </si>
  <si>
    <t>LU0264741751/3</t>
  </si>
  <si>
    <t>LU0264741751/4</t>
  </si>
  <si>
    <t>LU0264741751/5</t>
  </si>
  <si>
    <t>LU0264741751/6</t>
  </si>
  <si>
    <t>LU0264742643/1</t>
  </si>
  <si>
    <t>LU0264742643/2</t>
  </si>
  <si>
    <t>LU0264742643/3</t>
  </si>
  <si>
    <t>plain vanilla Q averaging</t>
  </si>
  <si>
    <t>booster + no cap prot</t>
  </si>
  <si>
    <t>TUI</t>
  </si>
  <si>
    <t>TELEFONICA SA</t>
  </si>
  <si>
    <t>STORA ENSO</t>
  </si>
  <si>
    <t>VODAFONE</t>
  </si>
  <si>
    <t>VOLVO</t>
  </si>
  <si>
    <t>CHEVRON</t>
  </si>
  <si>
    <t>CVX UN</t>
  </si>
  <si>
    <t>TESCO</t>
  </si>
  <si>
    <t>TSCO LN</t>
  </si>
  <si>
    <t>STERV FH</t>
  </si>
  <si>
    <t>VOD LN</t>
  </si>
  <si>
    <t>VOLVB SS</t>
  </si>
  <si>
    <t>DTE GY</t>
  </si>
  <si>
    <t>CVX UN Equity</t>
  </si>
  <si>
    <t>BE0947752623/4</t>
  </si>
  <si>
    <t>BE0947752623/5</t>
  </si>
  <si>
    <t>BE0947752623/6</t>
  </si>
  <si>
    <t>BE0947752623/7</t>
  </si>
  <si>
    <t>BE0947752623/8</t>
  </si>
  <si>
    <t>BE0947752623/9</t>
  </si>
  <si>
    <t>LU0395336265</t>
  </si>
  <si>
    <t>STANDARD BANK GROUP LTD</t>
  </si>
  <si>
    <t>SBK SJ Equity</t>
  </si>
  <si>
    <t>LU0270175846/14</t>
  </si>
  <si>
    <t>LU0270175846/15</t>
  </si>
  <si>
    <t>LU0270175846/16</t>
  </si>
  <si>
    <t>LU0275127800/1</t>
  </si>
  <si>
    <t>BE0945290253/3</t>
  </si>
  <si>
    <t>květen 2011</t>
  </si>
  <si>
    <t>červen 2011</t>
  </si>
  <si>
    <t>červenec 2011</t>
  </si>
  <si>
    <t>srpen 2011</t>
  </si>
  <si>
    <t>září 2011</t>
  </si>
  <si>
    <t>Hodnota</t>
  </si>
  <si>
    <t>LU0283973641/12</t>
  </si>
  <si>
    <t>LU0283973641/13</t>
  </si>
  <si>
    <t>LU0283973641/14</t>
  </si>
  <si>
    <t>LU0283973641/15</t>
  </si>
  <si>
    <t>LU0287594872/1</t>
  </si>
  <si>
    <t>ve třetím období byla dosažena hranice</t>
  </si>
  <si>
    <t>removed</t>
  </si>
  <si>
    <t>2 období</t>
  </si>
  <si>
    <t>BE0947597044/18</t>
  </si>
  <si>
    <t>LU0209275774/11</t>
  </si>
  <si>
    <t>LU0289335688/12</t>
  </si>
  <si>
    <t>LU0289335688/13</t>
  </si>
  <si>
    <t>LU0289335688/14</t>
  </si>
  <si>
    <t>LU0289335688/15</t>
  </si>
  <si>
    <t>LU0289335688/16</t>
  </si>
  <si>
    <t>LU0289335688/17</t>
  </si>
  <si>
    <t>LU0289335688/18</t>
  </si>
  <si>
    <t>LU0289335688/19</t>
  </si>
  <si>
    <t>LU0289335688/20</t>
  </si>
  <si>
    <t>LU0289335688/21</t>
  </si>
  <si>
    <t>LU0190374107/5</t>
  </si>
  <si>
    <t>Průměrování</t>
  </si>
  <si>
    <t>6 HK Equity</t>
  </si>
  <si>
    <t>9020 JT Equity</t>
  </si>
  <si>
    <t>ČSOB Fixovaného růstu 7 (Horizon)</t>
  </si>
  <si>
    <t>BE0947508124/2</t>
  </si>
  <si>
    <t>BE0947508124/3</t>
  </si>
  <si>
    <t>ERICB SS</t>
  </si>
  <si>
    <t>HAL UN</t>
  </si>
  <si>
    <t>7201 JT Equity</t>
  </si>
  <si>
    <t>STI UN Equity</t>
  </si>
  <si>
    <t>SCAB SS Equity</t>
  </si>
  <si>
    <t>UPM1V FH Equity</t>
  </si>
  <si>
    <t>plain vanilla Q averaging + best of</t>
  </si>
  <si>
    <t>BE0947381795/10</t>
  </si>
  <si>
    <t>BE0947381795/11</t>
  </si>
  <si>
    <t>BE0947381795/12</t>
  </si>
  <si>
    <t>BE0947381795/13</t>
  </si>
  <si>
    <t>BE0947381795/14</t>
  </si>
  <si>
    <t>BE0947381795/15</t>
  </si>
  <si>
    <t>BE0947381795/16</t>
  </si>
  <si>
    <t>BE0947381795/17</t>
  </si>
  <si>
    <t>ČSOB Krátkodobého globálního růstu 1</t>
  </si>
  <si>
    <t>BE0947510146</t>
  </si>
  <si>
    <t>KBC Click CSOB Mega Caps 2</t>
  </si>
  <si>
    <t>ČSOB Světoví giganti 2</t>
  </si>
  <si>
    <t>CS FP Equity</t>
  </si>
  <si>
    <t>VIV FP Equity</t>
  </si>
  <si>
    <t>CS FP</t>
  </si>
  <si>
    <t>VIV FP</t>
  </si>
  <si>
    <t>ČSOB Světového růstu +EUR 2</t>
  </si>
  <si>
    <t>Maximal Invest 28</t>
  </si>
  <si>
    <t>ČSOB Fixovaného růstu 4</t>
  </si>
  <si>
    <t>LU0239832222/4</t>
  </si>
  <si>
    <t>Horizon CSOB World Reverse Swing 1</t>
  </si>
  <si>
    <t>ČSOB Globálního růstu +9 (Horizon)</t>
  </si>
  <si>
    <t>BMW GY Equity</t>
  </si>
  <si>
    <t>HUYNDAI MOTOR CO</t>
  </si>
  <si>
    <t>005380 KS Equity</t>
  </si>
  <si>
    <t>IND &amp; COMM BK OF CHINA - H</t>
  </si>
  <si>
    <t>1398 HK Equity</t>
  </si>
  <si>
    <t>LU0233991131/41</t>
  </si>
  <si>
    <t>LU0233991131/42</t>
  </si>
  <si>
    <t>LU0233991560/1</t>
  </si>
  <si>
    <t>LU0233991560/2</t>
  </si>
  <si>
    <t>Fund Partners CSOB Click Reverse 2</t>
  </si>
  <si>
    <t>Fund Partners CSOB World Growth Plus 1</t>
  </si>
  <si>
    <t>LU0239831760/1</t>
  </si>
  <si>
    <t>LU0239831760/2</t>
  </si>
  <si>
    <t>LU0239831760/3</t>
  </si>
  <si>
    <t>LU0239831760/4</t>
  </si>
  <si>
    <t>ČSOB Private Banking Strong European Economies 1</t>
  </si>
  <si>
    <t>Finální parametry</t>
  </si>
  <si>
    <t>ČSOB Krátkodobého růstu 8</t>
  </si>
  <si>
    <t>ČSOB Energie a Distribuce 2</t>
  </si>
  <si>
    <t>WM UN Equity</t>
  </si>
  <si>
    <t>KBC Click CSOB Fotbal a relax 1</t>
  </si>
  <si>
    <t>Horizon CSOB Private Banking Europe Entry Optimizer 1</t>
  </si>
  <si>
    <t>Fund Partners CSOB World Growth+ 15</t>
  </si>
  <si>
    <t>Fund Partners CSOB Digital Reverse 2</t>
  </si>
  <si>
    <t>KBC Click CSOB Climate Change 1</t>
  </si>
  <si>
    <t>Horizon CSOB Private Banking Central Europe Winners 2</t>
  </si>
  <si>
    <t>Fund Partners CSOB Asian Growth 4</t>
  </si>
  <si>
    <t>FINALNÍ PARAMETRY</t>
  </si>
  <si>
    <t>55%-rozdíl</t>
  </si>
  <si>
    <t>průměr              -33,88%</t>
  </si>
  <si>
    <t>BE0949016654/21</t>
  </si>
  <si>
    <t>BE0949016654/22</t>
  </si>
  <si>
    <t>BE0949016654/23</t>
  </si>
  <si>
    <t>ve čtvrtém období překročilo hranici několik akcií, akcie GE byla vyřazena z koše</t>
  </si>
  <si>
    <t>KBC Reverzny 4 (Global Partners)</t>
  </si>
  <si>
    <t>7974 JT Equity</t>
  </si>
  <si>
    <t>SUMITOMO MITSUI FINANCIAL GROUP</t>
  </si>
  <si>
    <t>8316 JT Equity</t>
  </si>
  <si>
    <t>ČSOB Fixovaný Click 1</t>
  </si>
  <si>
    <t>ČSOB Bonusový fond 2</t>
  </si>
  <si>
    <t>ČSOB Evropský lookback 1</t>
  </si>
  <si>
    <t>ČSOB Světového růstu +21</t>
  </si>
  <si>
    <t>BE0948384152</t>
  </si>
  <si>
    <t>Horizon CSOB Europe Lookback 1</t>
  </si>
  <si>
    <t>Maximal Invest 37</t>
  </si>
  <si>
    <t>lookback</t>
  </si>
  <si>
    <t>LU0269674064/10</t>
  </si>
  <si>
    <t>LU0269674064/11</t>
  </si>
  <si>
    <t>LU0269674064/12</t>
  </si>
  <si>
    <t>LU0283973138/3</t>
  </si>
  <si>
    <t>ČSOB Private Banking Asian Jumpstart 1</t>
  </si>
  <si>
    <t>BE0947718285</t>
  </si>
  <si>
    <t>BE0947597044</t>
  </si>
  <si>
    <t>VINCI</t>
  </si>
  <si>
    <t>BANCA INTESA SPA</t>
  </si>
  <si>
    <t>ARCELORMITTAL</t>
  </si>
  <si>
    <t>GDF Suez</t>
  </si>
  <si>
    <t>DIAGEO</t>
  </si>
  <si>
    <t>E.ON</t>
  </si>
  <si>
    <t>UNILEVER</t>
  </si>
  <si>
    <t>CARREFOUR</t>
  </si>
  <si>
    <t>Global Partners CSOB Fixovany click 16</t>
  </si>
  <si>
    <t>ČSOB Fixovaný click 16</t>
  </si>
  <si>
    <t>LU0640984208</t>
  </si>
  <si>
    <t>SAN SM Equity</t>
  </si>
  <si>
    <t>AC FP</t>
  </si>
  <si>
    <t>LU0389840041/2</t>
  </si>
  <si>
    <t>LU0389840041/3</t>
  </si>
  <si>
    <t>kladný výnos</t>
  </si>
  <si>
    <t>SPPRBRIE Index</t>
  </si>
  <si>
    <t>ČSOB Globálního růstu+ 2</t>
  </si>
  <si>
    <t>ČSOB Světový click+ 13 (Fund Partners)</t>
  </si>
  <si>
    <t>ČSOB Světový click+ EUR 2 (Fund Partners)</t>
  </si>
  <si>
    <t>ČSOB Světový click+ USD 3 (Fund Partners)</t>
  </si>
  <si>
    <t>Global Partners KBC Meny 2 EUR</t>
  </si>
  <si>
    <t>KBC Měny 2</t>
  </si>
  <si>
    <t>LU0490007829</t>
  </si>
  <si>
    <t>CELG UQ Equity</t>
  </si>
  <si>
    <t>SGP UN Equity</t>
  </si>
  <si>
    <t>HTO GA Equity</t>
  </si>
  <si>
    <t>HELLENIC TELECOMMUN</t>
  </si>
  <si>
    <t>ERSTE BANK</t>
  </si>
  <si>
    <t>Fund Partners CSOB Fix Upside 3</t>
  </si>
  <si>
    <t>LU0249276956/20</t>
  </si>
  <si>
    <t>BE0947750601</t>
  </si>
  <si>
    <t>ČSOB Click Program 4</t>
  </si>
  <si>
    <t>ČSOB Bull &amp; Bear 1</t>
  </si>
  <si>
    <t>ČSOB PB Europe Booster 1</t>
  </si>
  <si>
    <t>ČSOB PB Emerging Markets 1</t>
  </si>
  <si>
    <t>LU0249276287</t>
  </si>
  <si>
    <t>poslední cena fondu k</t>
  </si>
  <si>
    <t>ČMSS, PSB</t>
  </si>
  <si>
    <t>struktura</t>
  </si>
  <si>
    <t>Global Partners CSOB Variable Click Plus 1</t>
  </si>
  <si>
    <t>S&amp;P 500</t>
  </si>
  <si>
    <t>Nikkei 225</t>
  </si>
  <si>
    <t xml:space="preserve">Fund Partners CSOB World Tree 12 </t>
  </si>
  <si>
    <t>ČSOB Býci a Medvědi 3 (Horizon)</t>
  </si>
  <si>
    <t>LU0311893811/17</t>
  </si>
  <si>
    <t>LU0311893811/18</t>
  </si>
  <si>
    <t>BE0948039582/10</t>
  </si>
  <si>
    <t>LU0317821394/18</t>
  </si>
  <si>
    <t>LU0317821394/19</t>
  </si>
  <si>
    <t>LU0317821394/20</t>
  </si>
  <si>
    <t>LU0317821394/21</t>
  </si>
  <si>
    <t>LU0317821394/22</t>
  </si>
  <si>
    <t>LU0317821394/23</t>
  </si>
  <si>
    <t>LU0317821394/24</t>
  </si>
  <si>
    <t>LU0317821394/25</t>
  </si>
  <si>
    <t>LU0201807657/2</t>
  </si>
  <si>
    <t>Fund Partners CSOB Europe Real Estate Growth Plus 2</t>
  </si>
  <si>
    <t>LU0169762704</t>
  </si>
  <si>
    <t>LU0171683120</t>
  </si>
  <si>
    <t>LU0171683559</t>
  </si>
  <si>
    <t>LU0171686495</t>
  </si>
  <si>
    <t>splaceno</t>
  </si>
  <si>
    <t>AKZA NA</t>
  </si>
  <si>
    <t>CMA UN Equity</t>
  </si>
  <si>
    <t>Optimum fund ČSOB Private Banking Buffer Jumper 1</t>
  </si>
  <si>
    <t>LU0233991131/8</t>
  </si>
  <si>
    <t>LU0233991131/9</t>
  </si>
  <si>
    <t>LU0233991131/10</t>
  </si>
  <si>
    <t>SLB UN</t>
  </si>
  <si>
    <t>TWX UN</t>
  </si>
  <si>
    <t>BE0947754645/11</t>
  </si>
  <si>
    <t>BE0947754645/12</t>
  </si>
  <si>
    <t>BE0947754645/13</t>
  </si>
  <si>
    <t>BE0947754645/14</t>
  </si>
  <si>
    <t>BE0947754645/15</t>
  </si>
  <si>
    <t>LU0228824065/7</t>
  </si>
  <si>
    <t>Fund Partners CSOB Central Europe Winners 1</t>
  </si>
  <si>
    <t>Fund Partners CSOB Fix Upside 2</t>
  </si>
  <si>
    <t>LU0233991131/14</t>
  </si>
  <si>
    <t>LU0279281884</t>
  </si>
  <si>
    <t>CEZ CP</t>
  </si>
  <si>
    <t>ČSOB Růstu USD 2 (Global Partners)</t>
  </si>
  <si>
    <t>ANNALY CAPITAL MANAGEMENT</t>
  </si>
  <si>
    <t>NLY UN Equity</t>
  </si>
  <si>
    <t>ADS GY</t>
  </si>
  <si>
    <t>BANK OF MONTREAL</t>
  </si>
  <si>
    <t>BMO CT Equity</t>
  </si>
  <si>
    <t>BCE INC</t>
  </si>
  <si>
    <t>BCE CT Equity</t>
  </si>
  <si>
    <t>CLOROX COMPANY</t>
  </si>
  <si>
    <t>CLX UN Equity</t>
  </si>
  <si>
    <t>KELLOGG</t>
  </si>
  <si>
    <t>K UN Equity</t>
  </si>
  <si>
    <t>PROGRESS ENERGY</t>
  </si>
  <si>
    <t>ČSOB Globálního růstu USD 1 (Optimum fund)</t>
  </si>
  <si>
    <t>Zhodnocení koše</t>
  </si>
  <si>
    <t>MCDONALD´S CORP</t>
  </si>
  <si>
    <t>MCD UN Equity</t>
  </si>
  <si>
    <t>PUBLICIS GROUPE</t>
  </si>
  <si>
    <t>LU0243781365/7</t>
  </si>
  <si>
    <t>LU0243781365/8</t>
  </si>
  <si>
    <t>LU0243781365/9</t>
  </si>
  <si>
    <t>LU0243781365/10</t>
  </si>
  <si>
    <t>LU0243781365/11</t>
  </si>
  <si>
    <t>min.</t>
  </si>
  <si>
    <t>max.</t>
  </si>
  <si>
    <t>ČSOB, ČMSS</t>
  </si>
  <si>
    <t>Maximal Invest 1</t>
  </si>
  <si>
    <t>PSB</t>
  </si>
  <si>
    <t>LU0233990166/11</t>
  </si>
  <si>
    <t>LU0233990166/12</t>
  </si>
  <si>
    <t>LU0233990166/13</t>
  </si>
  <si>
    <t>LU0233990166/14</t>
  </si>
  <si>
    <t>LU0233990166/15</t>
  </si>
  <si>
    <t>LU0228824065/29</t>
  </si>
  <si>
    <t>Horizon CSOB Short Term Global Growth 1</t>
  </si>
  <si>
    <t>Fund Partners CSOB World Click Plus 14</t>
  </si>
  <si>
    <t>Fund Partners CSOB World Click EUR Plus 3</t>
  </si>
  <si>
    <t>Fund Partners CSOB World Click USD Plus 3</t>
  </si>
  <si>
    <t>BE0947508124/8</t>
  </si>
  <si>
    <t>Fund Partners CSOB World Click Plus 24</t>
  </si>
  <si>
    <t>Fund Partners CSOB Short Term Growth 5</t>
  </si>
  <si>
    <t>Fund Partners CSOB World Growth Plus EUR 1</t>
  </si>
  <si>
    <t>Global Partners CSOB Click with memory 1</t>
  </si>
  <si>
    <t>ČSOB Click s pamětí 1</t>
  </si>
  <si>
    <t>LU0486654469</t>
  </si>
  <si>
    <t xml:space="preserve">počáteční hodnota </t>
  </si>
  <si>
    <t>6m průměr nazačátku</t>
  </si>
  <si>
    <t>LU0302430136/29</t>
  </si>
  <si>
    <t>LU0302430136/30</t>
  </si>
  <si>
    <t>LU0298382754/1</t>
  </si>
  <si>
    <t>LU0298382754/2</t>
  </si>
  <si>
    <t>LU0298382754/3</t>
  </si>
  <si>
    <t>LU0298382754/4</t>
  </si>
  <si>
    <t>LU0298382754/5</t>
  </si>
  <si>
    <t>LU0298382754/6</t>
  </si>
  <si>
    <t>LU0298382754/7</t>
  </si>
  <si>
    <t>LU0298382754/8</t>
  </si>
  <si>
    <t>LU0298382754/9</t>
  </si>
  <si>
    <t>LU0298382754/10</t>
  </si>
  <si>
    <t>LU0298382754/11</t>
  </si>
  <si>
    <t>LU0298382754/12</t>
  </si>
  <si>
    <t>LU0298382754/13</t>
  </si>
  <si>
    <t>LU0298382754/14</t>
  </si>
  <si>
    <t>LU0491833488</t>
  </si>
  <si>
    <t>Optimum fund CSOB Global Growth USD 1</t>
  </si>
  <si>
    <t>ČSOB Globálního růstu USD 1</t>
  </si>
  <si>
    <t>BE0949071238</t>
  </si>
  <si>
    <t>ČSOB Premiový fond 2</t>
  </si>
  <si>
    <t>KBC Select Investors CSOB Premium 2</t>
  </si>
  <si>
    <t>LU0411242968</t>
  </si>
  <si>
    <t>ČSOB Světový strom 6 (Fund Partners)</t>
  </si>
  <si>
    <t>BAE SYSTEMS</t>
  </si>
  <si>
    <t>BARCLAYS</t>
  </si>
  <si>
    <t>KINGFISHER</t>
  </si>
  <si>
    <t>ČSOB Světového růstu +23</t>
  </si>
  <si>
    <t>LU0254128266/8</t>
  </si>
  <si>
    <t>Maximal Invest 23</t>
  </si>
  <si>
    <t>LU0302430136</t>
  </si>
  <si>
    <t>ČSOB Globálního růstu + 1 (Fund Partners)</t>
  </si>
  <si>
    <t>ČSOB Fixovaný click 7</t>
  </si>
  <si>
    <t>ČSOB Fixovaného růstu 7</t>
  </si>
  <si>
    <t>LU0366358199/7</t>
  </si>
  <si>
    <t>LU0366358199/8</t>
  </si>
  <si>
    <t>LU0366358199/9</t>
  </si>
  <si>
    <t>LU0366358199/10</t>
  </si>
  <si>
    <t>LU0366358199/11</t>
  </si>
  <si>
    <t>LU0366358199/12</t>
  </si>
  <si>
    <t>LU0366358199/13</t>
  </si>
  <si>
    <t>BE0947753639/9</t>
  </si>
  <si>
    <t>BE0947753639/10</t>
  </si>
  <si>
    <t>BE0947753639/11</t>
  </si>
  <si>
    <t>ČSOB Světový strom USD 1 (Fund Partners)</t>
  </si>
  <si>
    <t>Fund Partners CSOB World Click Plus 23</t>
  </si>
  <si>
    <t>Fund Partners CSOB Bull &amp; Bear 1</t>
  </si>
  <si>
    <t>LU0201808549/4</t>
  </si>
  <si>
    <t>LU0201808549/5</t>
  </si>
  <si>
    <t>LU0249276956/27</t>
  </si>
  <si>
    <t>SUN LIFE FINANCIAL INC</t>
  </si>
  <si>
    <t>SLF CT Equity</t>
  </si>
  <si>
    <t>LU0191081982</t>
  </si>
  <si>
    <t>BAT</t>
  </si>
  <si>
    <t>LU0193667663</t>
  </si>
  <si>
    <t>LU0193668471</t>
  </si>
  <si>
    <t>FTSE 100</t>
  </si>
  <si>
    <t>EUR</t>
  </si>
  <si>
    <t>LU0196739014</t>
  </si>
  <si>
    <t>LU0196738719</t>
  </si>
  <si>
    <t>maximální výnos při splatnosti</t>
  </si>
  <si>
    <t>Horizon CSOB Bonusovy fond 2</t>
  </si>
  <si>
    <t>headstart</t>
  </si>
  <si>
    <t>ČSOB Click Program 6 (Fund Partners)</t>
  </si>
  <si>
    <t>ČSOB Světový Reverzní Swing 1 (Fund Partners)</t>
  </si>
  <si>
    <t>ČSOB Evropského Nemovitostního růstu 1</t>
  </si>
  <si>
    <t>Oficiální název fondu</t>
  </si>
  <si>
    <t>AMZN UQ Equity</t>
  </si>
  <si>
    <t>ČSOB Světového růstu +18</t>
  </si>
  <si>
    <t>LU0311893811/5</t>
  </si>
  <si>
    <t>LU0311893811/6</t>
  </si>
  <si>
    <t>LU0224849660/11</t>
  </si>
  <si>
    <t>LU0224849660/12</t>
  </si>
  <si>
    <t>LU0224849587/1</t>
  </si>
  <si>
    <t>LU0224849587/2</t>
  </si>
  <si>
    <t>LU0224849587/3</t>
  </si>
  <si>
    <t>LU0224849587/4</t>
  </si>
  <si>
    <t>LU0224849587/5</t>
  </si>
  <si>
    <t>LU0258216455/1</t>
  </si>
  <si>
    <t>LU0258216455/2</t>
  </si>
  <si>
    <t>LU0287594872/16</t>
  </si>
  <si>
    <t>BE0946998847/1</t>
  </si>
  <si>
    <t>BE0946998847/2</t>
  </si>
  <si>
    <t>BE0946998847/3</t>
  </si>
  <si>
    <t>BE0946998847/4</t>
  </si>
  <si>
    <t>BE0946998847/5</t>
  </si>
  <si>
    <t>BE0946998847/6</t>
  </si>
  <si>
    <t>BE0946998847/7</t>
  </si>
  <si>
    <t>BE0946998847/8</t>
  </si>
  <si>
    <t>BE0946998847/9</t>
  </si>
  <si>
    <t>BG GROUP PLC</t>
  </si>
  <si>
    <t>CONOCOPHILLIPS</t>
  </si>
  <si>
    <t>Horizon CSOB Fixovaneho rustu 6</t>
  </si>
  <si>
    <t>Global Partners CSOB Fixovany Click 3</t>
  </si>
  <si>
    <t>LU0389840041</t>
  </si>
  <si>
    <t>Horizon CSOB Digitalni reverzni 3</t>
  </si>
  <si>
    <t>LU0249276956/9</t>
  </si>
  <si>
    <t>LU0249276956/10</t>
  </si>
  <si>
    <t>LU0249276956/11</t>
  </si>
  <si>
    <t>digital reverse click</t>
  </si>
  <si>
    <t>Fortis vyřazen z koše</t>
  </si>
  <si>
    <t>LU0311893811/16</t>
  </si>
  <si>
    <t>ČSOB Private Banking růstu 1 (KBC Click)</t>
  </si>
  <si>
    <t>CANON INC</t>
  </si>
  <si>
    <t>7751 JT Equity</t>
  </si>
  <si>
    <t>COMCAST CORP-CL A</t>
  </si>
  <si>
    <t>Horizon CSOB Bonusovy fond 1</t>
  </si>
  <si>
    <t>BE0948259842</t>
  </si>
  <si>
    <t>ČSOB Světový Jumper 3</t>
  </si>
  <si>
    <t>LU0395336778/16</t>
  </si>
  <si>
    <t>ČSOB Fixovaný Click 3 (Global Partners)</t>
  </si>
  <si>
    <t>HUTCHISON WHAMPOA LTD</t>
  </si>
  <si>
    <t>13 HK Equity</t>
  </si>
  <si>
    <t>CSOB Private Banking Double Safety 1 (Optimum)</t>
  </si>
  <si>
    <t>Fund Partners CSOB Global Growth Plus 4</t>
  </si>
  <si>
    <t>KBC Click CSOB Breweries 1</t>
  </si>
  <si>
    <t>Horizon CSOB Středoevropské měny 3</t>
  </si>
  <si>
    <t>LU0254128266</t>
  </si>
  <si>
    <t>LU0425517678/4</t>
  </si>
  <si>
    <t>FINÁLNÍ PARAMETERY</t>
  </si>
  <si>
    <t>BE0948820635/7</t>
  </si>
  <si>
    <t>BE0948820635/8</t>
  </si>
  <si>
    <t>ČSOB Světový click+ 23</t>
  </si>
  <si>
    <t>ČSOB Světový click+ USD 6</t>
  </si>
  <si>
    <t>ČSOB Double safety 2 (Optimum fund)</t>
  </si>
  <si>
    <t>LU0486242430</t>
  </si>
  <si>
    <t>BE0948039582/11</t>
  </si>
  <si>
    <t>BE0948039582/12</t>
  </si>
  <si>
    <t>BE0948039582/13</t>
  </si>
  <si>
    <t>BE0948039582/14</t>
  </si>
  <si>
    <t>BE0948039582/15</t>
  </si>
  <si>
    <t>Maximal Invest 36</t>
  </si>
  <si>
    <t>ČSOB Světový click+ EUR 4 (Fund Partners)</t>
  </si>
  <si>
    <t>ČSOB Krátkodobého evropského růstu 1</t>
  </si>
  <si>
    <t>ČSOB Býci a medvědi 3</t>
  </si>
  <si>
    <t>LU0196739014/2</t>
  </si>
  <si>
    <t>LU0196739014/3</t>
  </si>
  <si>
    <t>LU0196739014/4</t>
  </si>
  <si>
    <t>LU0196739014/5</t>
  </si>
  <si>
    <t>BE0175458828</t>
  </si>
  <si>
    <t>LU0233991131/28</t>
  </si>
  <si>
    <t>LU0233991131/29</t>
  </si>
  <si>
    <t>LU0233991131/30</t>
  </si>
  <si>
    <t>LU0233991131/31</t>
  </si>
  <si>
    <t>RON/EUR</t>
  </si>
  <si>
    <t>RONEUR Crncy</t>
  </si>
  <si>
    <t>ČSOB Evropského Nemovitostního růstu 3</t>
  </si>
  <si>
    <t>ČSOB Asijských šampionů 2</t>
  </si>
  <si>
    <t>ČSOB Středoevropské měny 2</t>
  </si>
  <si>
    <t>ČSOB Globálního růstu+ 6</t>
  </si>
  <si>
    <t>ČSOB Reverzní click 8</t>
  </si>
  <si>
    <t>Fund Partners CSOB World Tree CZK 1</t>
  </si>
  <si>
    <t>Fund Partners CSOB Click Reverse 3</t>
  </si>
  <si>
    <t>MICROSOFT</t>
  </si>
  <si>
    <t>ORACLE</t>
  </si>
  <si>
    <t>TEXAS INSTRUMENTS</t>
  </si>
  <si>
    <t>LU0224849660/1</t>
  </si>
  <si>
    <t>LU0224849660/2</t>
  </si>
  <si>
    <t>LU0224849660/3</t>
  </si>
  <si>
    <t>LU0224849660/4</t>
  </si>
  <si>
    <t>LU0209319499/4</t>
  </si>
  <si>
    <t>KBC Click ČSOB Spotřební trendy 1</t>
  </si>
  <si>
    <t>ČSOB Spotřební trendy 1</t>
  </si>
  <si>
    <t>BE6217218039</t>
  </si>
  <si>
    <t>BE0948820635/26</t>
  </si>
  <si>
    <t>BE0948820635/27</t>
  </si>
  <si>
    <t>BE0947730405</t>
  </si>
  <si>
    <t>ČSOB Býci a medvědi 2</t>
  </si>
  <si>
    <t>LU0201807657/3</t>
  </si>
  <si>
    <t>LU0201807657/4</t>
  </si>
  <si>
    <t>BE0947382801/10</t>
  </si>
  <si>
    <t>BE0947382801/11</t>
  </si>
  <si>
    <t>BE0947382801/12</t>
  </si>
  <si>
    <t>BE0947438397/1</t>
  </si>
  <si>
    <t>BE0947441425/1</t>
  </si>
  <si>
    <t>BE0947441425/2</t>
  </si>
  <si>
    <t>BE0947441425/3</t>
  </si>
  <si>
    <t>LU0302430136/12</t>
  </si>
  <si>
    <t>LU0302430136/13</t>
  </si>
  <si>
    <r>
      <t>SCOTTISH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SOUTHERN ENERGY</t>
    </r>
  </si>
  <si>
    <t>SCOTTISH&amp; SOUTHERN ENERGY</t>
  </si>
  <si>
    <t>BE0057544232</t>
  </si>
  <si>
    <t>LU0147743354</t>
  </si>
  <si>
    <t>IBERDROLA</t>
  </si>
  <si>
    <t>LU0171686735/11</t>
  </si>
  <si>
    <t>LU0171686735/12</t>
  </si>
  <si>
    <t>LU0180692963/1</t>
  </si>
  <si>
    <t>LU0180692963/2</t>
  </si>
  <si>
    <t>Hang Seng Bank Ltd</t>
  </si>
  <si>
    <t>Hennes &amp; Mauritz</t>
  </si>
  <si>
    <t>HK &amp; China Gas</t>
  </si>
  <si>
    <t>Nestle</t>
  </si>
  <si>
    <t>NIPPON TELEGRAPH &amp; TELEPHONE</t>
  </si>
  <si>
    <t>PITNEY BOWES INC</t>
  </si>
  <si>
    <t>SHARP CORP</t>
  </si>
  <si>
    <t>ČSOB Variabilního růstu 2 (Global Partners)</t>
  </si>
  <si>
    <t>REMY COINTREAU</t>
  </si>
  <si>
    <t>MOL HB Equity</t>
  </si>
  <si>
    <t>OTP HB Equity</t>
  </si>
  <si>
    <t>TKA AV Equity</t>
  </si>
  <si>
    <t>LU0228822440/6</t>
  </si>
  <si>
    <t>LU0228822440/7</t>
  </si>
  <si>
    <t>LU0228822440/8</t>
  </si>
  <si>
    <t>BE0947598059/1</t>
  </si>
  <si>
    <t>BE0947598059/2</t>
  </si>
  <si>
    <t>BE0947598059/3</t>
  </si>
  <si>
    <t>BE0947598059/4</t>
  </si>
  <si>
    <t>BE0947598059/5</t>
  </si>
  <si>
    <t>ERICB SS Equity</t>
  </si>
  <si>
    <t>BE0948820635/14</t>
  </si>
  <si>
    <t>BE0948820635/15</t>
  </si>
  <si>
    <t>BE0948820635/16</t>
  </si>
  <si>
    <t>BE0948820635/17</t>
  </si>
  <si>
    <t>BE0948820635/18</t>
  </si>
  <si>
    <t>BE0948820635/19</t>
  </si>
  <si>
    <t>BE0948820635/20</t>
  </si>
  <si>
    <t>BE0948820635/21</t>
  </si>
  <si>
    <t>ČSOB Světového růstu 1 (Fund Partners)</t>
  </si>
  <si>
    <t>11 HK Equity</t>
  </si>
  <si>
    <t>3 HK Equity</t>
  </si>
  <si>
    <t>LU0196739014/1</t>
  </si>
  <si>
    <t>LU0317821394/4</t>
  </si>
  <si>
    <t>LU0317821394/5</t>
  </si>
  <si>
    <t>LU0317821394/6</t>
  </si>
  <si>
    <t>LU0317821394/7</t>
  </si>
  <si>
    <t>LU0317821394/8</t>
  </si>
  <si>
    <t>LU0317821394/9</t>
  </si>
  <si>
    <t>LU0317821394/10</t>
  </si>
  <si>
    <t>LU0317821394/11</t>
  </si>
  <si>
    <t>LU0317821394/12</t>
  </si>
  <si>
    <t>LU0317821394/13</t>
  </si>
  <si>
    <t>LU0317821394/14</t>
  </si>
  <si>
    <t>LU0220509748/6</t>
  </si>
  <si>
    <t>LU0220509748/7</t>
  </si>
  <si>
    <t>LU0331409754</t>
  </si>
  <si>
    <t>ČSOB Změny klimatu 2</t>
  </si>
  <si>
    <t>BE0947552569</t>
  </si>
  <si>
    <t>BE0947598059</t>
  </si>
  <si>
    <t>Horizon CSOB Krátkodobého růstu 8</t>
  </si>
  <si>
    <t>KBC Click CSOB Energy &amp; Utilities 2</t>
  </si>
  <si>
    <t>Horizon CSOB Bonusovy fond 3</t>
  </si>
  <si>
    <t>ČSOB Bonusový fond 3</t>
  </si>
  <si>
    <t>LU0302430136/1</t>
  </si>
  <si>
    <t>LU0302430136/2</t>
  </si>
  <si>
    <t>PHIA NA Equity</t>
  </si>
  <si>
    <t>AVIVA PLC</t>
  </si>
  <si>
    <t>FIAT SPA</t>
  </si>
  <si>
    <t>ČSOB Evropské akcie 1</t>
  </si>
  <si>
    <t>ČSOB Evropské skcie 2</t>
  </si>
  <si>
    <t>ČSOB Světové investice 2</t>
  </si>
  <si>
    <t>ČSOB Světové akcie 2</t>
  </si>
  <si>
    <t>ve druhém období byla dosažena hranice u několika akcií, Fortis vyřazen z koše</t>
  </si>
  <si>
    <t>Horizon CSOB Europe Real Estate Growth 4</t>
  </si>
  <si>
    <t>Fund Partners CSOB World Growth Plus 2</t>
  </si>
  <si>
    <t>Fund Partners CSOB World Click Plus 13</t>
  </si>
  <si>
    <t>BE0947381795/18</t>
  </si>
  <si>
    <t>ČSOB Fixovaný Click 8 (Global Partners)</t>
  </si>
  <si>
    <t>ČSOB Světový Jumper 4 (Optimum fund)</t>
  </si>
  <si>
    <t>ALLIED IRISH BANK PLC</t>
  </si>
  <si>
    <t>ALBK ID Equity</t>
  </si>
  <si>
    <t>DEUTSCHE BANK AG-REGISTERED</t>
  </si>
  <si>
    <t>DBK GY Equity</t>
  </si>
  <si>
    <t>ČSOB Globálního růstu +8</t>
  </si>
  <si>
    <t>ČSOB Fix Upside 1 (Fund Partners)</t>
  </si>
  <si>
    <t>ČSOB Click Program 2 (Fund Partners)</t>
  </si>
  <si>
    <t>KBC Click PSB Dividendový fond 2</t>
  </si>
  <si>
    <t>LU0233991560</t>
  </si>
  <si>
    <t>Fund Partners CSOB World Click EUR Plus 1</t>
  </si>
  <si>
    <t>LU0249276956</t>
  </si>
  <si>
    <t>BE0946114734</t>
  </si>
  <si>
    <t>LU0258407476</t>
  </si>
  <si>
    <t>BE0946339075</t>
  </si>
  <si>
    <t>Royla Bank of Scotland byla vyřazena z koše</t>
  </si>
  <si>
    <t>ČSOB Světový click+ 2</t>
  </si>
  <si>
    <t>ČSOB Světový click+ 3</t>
  </si>
  <si>
    <t>ČSOB Světový click+ 4</t>
  </si>
  <si>
    <t>MSCI Taiwan Index</t>
  </si>
  <si>
    <t xml:space="preserve">vyřazena </t>
  </si>
  <si>
    <t>LU0180694159</t>
  </si>
  <si>
    <t>BE0948080024/2</t>
  </si>
  <si>
    <t>BE0948080024/3</t>
  </si>
  <si>
    <t>BE0948080024/4</t>
  </si>
  <si>
    <t>ČSOB Světový strom 11</t>
  </si>
  <si>
    <t>ČSOB Globálního růstu+ 4</t>
  </si>
  <si>
    <t>ČSOB Private Banking Double Safety 1</t>
  </si>
  <si>
    <t>ČSOB PB World Jumper 1</t>
  </si>
  <si>
    <t>ČSOB PB Asian Click 1</t>
  </si>
  <si>
    <t>ČSOB Spektrum 1</t>
  </si>
  <si>
    <t>Fund Partners CSOB Click Program 2</t>
  </si>
  <si>
    <t>Fund Partners CSOB Click Program 3</t>
  </si>
  <si>
    <t>Fund Partners CSOB Click Program 4</t>
  </si>
  <si>
    <t>LU0224849587</t>
  </si>
  <si>
    <t>ČSOB Sport Event Winners 1 (Global Partners)</t>
  </si>
  <si>
    <t>BMW</t>
  </si>
  <si>
    <t>COCA-COLA</t>
  </si>
  <si>
    <t>KO UN Equity</t>
  </si>
  <si>
    <t>VISA</t>
  </si>
  <si>
    <t>V UN Equity</t>
  </si>
  <si>
    <t>Sony corp byla vyřazena z koše</t>
  </si>
  <si>
    <t>LU0395336778/7</t>
  </si>
  <si>
    <t>LU0395336778/8</t>
  </si>
  <si>
    <t>LU0395336778/9</t>
  </si>
  <si>
    <t>LU0395336778/10</t>
  </si>
  <si>
    <t>LU0395336778/11</t>
  </si>
  <si>
    <t>LU0395336778/12</t>
  </si>
  <si>
    <t>LU0395336778/13</t>
  </si>
  <si>
    <t>PRŮMĚR*PARTICIPACE</t>
  </si>
  <si>
    <t>ČSOB Reverzního rozpětí 5 (KBC Click)</t>
  </si>
  <si>
    <t>BE0059886375</t>
  </si>
  <si>
    <t>LU0228824065/35</t>
  </si>
  <si>
    <t>LU0228824065/36</t>
  </si>
  <si>
    <t>LU0228824065/37</t>
  </si>
  <si>
    <t>LU0228824065/38</t>
  </si>
  <si>
    <t>LU0228824065/39</t>
  </si>
  <si>
    <t>LU0228824065/40</t>
  </si>
  <si>
    <t>LU0228824065/41</t>
  </si>
  <si>
    <t>AMAZON.COM INC</t>
  </si>
  <si>
    <t>BE0947512167</t>
  </si>
  <si>
    <t>BE0947507118</t>
  </si>
  <si>
    <t>Maximal Invest 27</t>
  </si>
  <si>
    <t>TERUMO CORP</t>
  </si>
  <si>
    <t>ALLERGAN INC</t>
  </si>
  <si>
    <t>BE0948924700</t>
  </si>
  <si>
    <t>Optimum fund CSOB Kvalitni akcie 1</t>
  </si>
  <si>
    <t>LU0228822440/4</t>
  </si>
  <si>
    <t>LU0228822440/5</t>
  </si>
  <si>
    <t>BE0947755659/3</t>
  </si>
  <si>
    <t>AGS BB</t>
  </si>
  <si>
    <t>AGEAS</t>
  </si>
  <si>
    <t>ACCIONA</t>
  </si>
  <si>
    <t>ANA SM Equity</t>
  </si>
  <si>
    <t>ČSOB Click s pamětí 1 (Global Partners)</t>
  </si>
  <si>
    <t>LU0486654469/1</t>
  </si>
  <si>
    <t>LU0486654469/2</t>
  </si>
  <si>
    <t>Maximal Invest 17, PSB</t>
  </si>
  <si>
    <t>TOTAL SA</t>
  </si>
  <si>
    <t>BASF AG</t>
  </si>
  <si>
    <t>TIM SPA</t>
  </si>
  <si>
    <t>SUEZ SA</t>
  </si>
  <si>
    <t>SANOFI-AVENTIS</t>
  </si>
  <si>
    <t>BP PLC</t>
  </si>
  <si>
    <t>LU0212806581</t>
  </si>
  <si>
    <t>NOKIA OYJ</t>
  </si>
  <si>
    <t>LU0215860999</t>
  </si>
  <si>
    <t>LU0215862425</t>
  </si>
  <si>
    <t>KBC Click CSOB Energy &amp; Utilities 3</t>
  </si>
  <si>
    <t>ČSOB Krátkodobého Globálního růstu 1 (Horizon)</t>
  </si>
  <si>
    <t>ČSOB PB Europe Entry Optimizer 1</t>
  </si>
  <si>
    <t>CSOB PB CE Winners 2</t>
  </si>
  <si>
    <t>ČSOB Digitální Reverzní 2</t>
  </si>
  <si>
    <t>ČSOB Farmacie &amp; Biotechnologie 1</t>
  </si>
  <si>
    <t>ČSOB Světoví Giganti 1</t>
  </si>
  <si>
    <t>ČSOB Private Banking BRIC 1</t>
  </si>
  <si>
    <t>ČSOB PB World Lookback 1</t>
  </si>
  <si>
    <t>ČSOB Komodity 1</t>
  </si>
  <si>
    <t>NORDEA BANK AB</t>
  </si>
  <si>
    <t>PEPSICO INC</t>
  </si>
  <si>
    <t>PHILIPS ELECTRONICS NV</t>
  </si>
  <si>
    <t>SAP AG</t>
  </si>
  <si>
    <t>SONY CORP</t>
  </si>
  <si>
    <t>Aktuální 2y</t>
  </si>
  <si>
    <t>rozdíl</t>
  </si>
  <si>
    <t>BANK OF IRELAND</t>
  </si>
  <si>
    <t>WASTE MANAGEMENT</t>
  </si>
  <si>
    <t>CREDIT SUISSE</t>
  </si>
  <si>
    <t>PEUGEOT</t>
  </si>
  <si>
    <t>SIEMENS</t>
  </si>
  <si>
    <t>MTLQQ US Equity</t>
  </si>
  <si>
    <t>Maximal Invest 7</t>
  </si>
  <si>
    <t>Maximal Invest 8</t>
  </si>
  <si>
    <t>ČSOB Bonusový fond 3 (Horizon)</t>
  </si>
  <si>
    <t>Global Partners CSOB Digitalni reverzni 4</t>
  </si>
  <si>
    <t>ČSOB Digitální reverzní 4</t>
  </si>
  <si>
    <t>LU0527217417</t>
  </si>
  <si>
    <t>ČSOB Uzamčeného růstu 1</t>
  </si>
  <si>
    <t>ČSOB Světový strom 12</t>
  </si>
  <si>
    <t>ČSOB Světového růstu+ 12</t>
  </si>
  <si>
    <t>ČSOB Asijského růstu 3</t>
  </si>
  <si>
    <t>ČSOB Světový strom 10</t>
  </si>
  <si>
    <t>ČSOB Čínského růstu 1</t>
  </si>
  <si>
    <t>LU0298382754/15</t>
  </si>
  <si>
    <t>LU0298382754/16</t>
  </si>
  <si>
    <t>LU0306697037/1</t>
  </si>
  <si>
    <t>DUKE ENERGY CORP</t>
  </si>
  <si>
    <t>ČSOB Asijského růstu 5 (Horizon)</t>
  </si>
  <si>
    <t>BE0947597044/9</t>
  </si>
  <si>
    <t>BE0947597044/10</t>
  </si>
  <si>
    <t>BE0947597044/11</t>
  </si>
  <si>
    <t>ČSOB Světový click+ EUR 2</t>
  </si>
  <si>
    <t>Fund Partners CSOB Staircase Click 1</t>
  </si>
  <si>
    <t>MEDIOBANCA SPA</t>
  </si>
  <si>
    <t>SWISSCOM AG-REG</t>
  </si>
  <si>
    <t>Název fondu</t>
  </si>
  <si>
    <t>ČSOB Světové akcie 2 (KBC Click)</t>
  </si>
  <si>
    <t>ČSOB Světový click+ 18</t>
  </si>
  <si>
    <t>ČSOB Světový strom 4</t>
  </si>
  <si>
    <t>ČSOB Světového růstu+ 3</t>
  </si>
  <si>
    <t>ČSOB Světový click+ 19</t>
  </si>
  <si>
    <t>ČSOB Světový strom 5</t>
  </si>
  <si>
    <t>LU0190374362/5</t>
  </si>
  <si>
    <t>LU0193667663/1</t>
  </si>
  <si>
    <t>LU0193667663/2</t>
  </si>
  <si>
    <t>LU0233991560/10</t>
  </si>
  <si>
    <t>LU0233990166/1</t>
  </si>
  <si>
    <t>LU0233990166/2</t>
  </si>
  <si>
    <t>LU0459403738/3</t>
  </si>
  <si>
    <t>LU0459403738/4</t>
  </si>
  <si>
    <t>LU0459403738/5</t>
  </si>
  <si>
    <t>LU0459403738/6</t>
  </si>
  <si>
    <t>LU0459403738/7</t>
  </si>
  <si>
    <t>LU0459403738/8</t>
  </si>
  <si>
    <t>LU0459403738/9</t>
  </si>
  <si>
    <t>LU0459403738/10</t>
  </si>
  <si>
    <t>LU0459403738/11</t>
  </si>
  <si>
    <t>LU0459403738/12</t>
  </si>
  <si>
    <t>LU0459403738/13</t>
  </si>
  <si>
    <t>LU0459403738/14</t>
  </si>
  <si>
    <t>LU0459403738/15</t>
  </si>
  <si>
    <t>LU0459403738/16</t>
  </si>
  <si>
    <t>LU0620346295/1</t>
  </si>
  <si>
    <t>LU0620346295/2</t>
  </si>
  <si>
    <t>LU0620346295/3</t>
  </si>
  <si>
    <t>LU0620346295/4</t>
  </si>
  <si>
    <t>LU0620346295/5</t>
  </si>
  <si>
    <t>LU0620346295/6</t>
  </si>
  <si>
    <t>LU0620346295/7</t>
  </si>
  <si>
    <t>LU0620346295/8</t>
  </si>
  <si>
    <t>LU0620346295/9</t>
  </si>
  <si>
    <t>LU0620346295/10</t>
  </si>
  <si>
    <t>LU0620346295/11</t>
  </si>
  <si>
    <t>LU0620346295/12</t>
  </si>
  <si>
    <t>LU0620346295/13</t>
  </si>
  <si>
    <t>LU0620346295/14</t>
  </si>
  <si>
    <t>LU0620346295/15</t>
  </si>
  <si>
    <t>LU0594978982/1</t>
  </si>
  <si>
    <t>LU0594978982/2</t>
  </si>
  <si>
    <t>LU0594978982/3</t>
  </si>
  <si>
    <t>LU0594978982/4</t>
  </si>
  <si>
    <t>LU0594978982/5</t>
  </si>
  <si>
    <t>BE0935050675/6</t>
  </si>
  <si>
    <t>BE0935050675/7</t>
  </si>
  <si>
    <t>BE0935050675/8</t>
  </si>
  <si>
    <t>BE0935050675/9</t>
  </si>
  <si>
    <t>BE0935050675/10</t>
  </si>
  <si>
    <t>BE0935050675/11</t>
  </si>
  <si>
    <t>BE0935050675/12</t>
  </si>
  <si>
    <t>BE0935050675/13</t>
  </si>
  <si>
    <t>BE0935050675/14</t>
  </si>
  <si>
    <t>BE0935050675/15</t>
  </si>
  <si>
    <t>BE0935050675/16</t>
  </si>
  <si>
    <t>BE0935050675/17</t>
  </si>
  <si>
    <t>BE0935050675/18</t>
  </si>
  <si>
    <t>BE0935050675/19</t>
  </si>
  <si>
    <t>TELEKOM AUSTRIA</t>
  </si>
  <si>
    <t>TELEKOMUNIKACJA POLSKA</t>
  </si>
  <si>
    <t>LU0238572605/1</t>
  </si>
  <si>
    <t>Fund Partners CSOB Asian Growth 1</t>
  </si>
  <si>
    <t>Fund Partners CSOB World Growth Plus 8</t>
  </si>
  <si>
    <t>ČSOB Světový click+ 3 (Fund Partners)</t>
  </si>
  <si>
    <t>ČSOB Fixovaný click 8</t>
  </si>
  <si>
    <t>ČSOB Státních dluhopisů 1</t>
  </si>
  <si>
    <t xml:space="preserve">ve druhém období byla dosažena hranice u akcie Telecom Italia </t>
  </si>
  <si>
    <t>AIR FRANCE</t>
  </si>
  <si>
    <t>BE0947754645/7</t>
  </si>
  <si>
    <t>BE0947754645/8</t>
  </si>
  <si>
    <t>BE0947754645/9</t>
  </si>
  <si>
    <t>7912 JT Equity</t>
  </si>
  <si>
    <t>CSCO UQ Equity</t>
  </si>
  <si>
    <t>ČSOB Energie a distribuce 3 (KBC click)</t>
  </si>
  <si>
    <t>AMERICAN ELECTRIC POWER</t>
  </si>
  <si>
    <t>AEP UN Equity</t>
  </si>
  <si>
    <t>CONSOLIDATED EDISON</t>
  </si>
  <si>
    <t>ED UN Equity</t>
  </si>
  <si>
    <t>FIRST ENERGY</t>
  </si>
  <si>
    <t>FE UN Equity</t>
  </si>
  <si>
    <t>PUBLIC SERVICE ENTERPRISE</t>
  </si>
  <si>
    <t>LU0224849587/6</t>
  </si>
  <si>
    <t>akcie Nokia byla vyřazena z koše</t>
  </si>
  <si>
    <t>akcie NTT Docomo byla vyřazena z koše</t>
  </si>
  <si>
    <t>1. období</t>
  </si>
  <si>
    <t>2. období</t>
  </si>
  <si>
    <t>3. období</t>
  </si>
  <si>
    <t>4. období</t>
  </si>
  <si>
    <t>5. období</t>
  </si>
  <si>
    <t>vyřazena z koše</t>
  </si>
  <si>
    <t>ACA FP</t>
  </si>
  <si>
    <t>HSBA LN</t>
  </si>
  <si>
    <t>MUV2 GY</t>
  </si>
  <si>
    <t>Fund Partners CSOB Stock Selection Short Term 3</t>
  </si>
  <si>
    <t>Fund Partners Global Growth Plus 1</t>
  </si>
  <si>
    <t>akcie Telecom Italia byla vyřazena z koše po konci druhého období</t>
  </si>
  <si>
    <t>Horizon CSOB Central European Currencies 2</t>
  </si>
  <si>
    <t>Horizon CSOB Global Growth Plus 6</t>
  </si>
  <si>
    <t>Horizon CSOB World Lookback 1</t>
  </si>
  <si>
    <t>Horizon CSOB Commodity 1</t>
  </si>
  <si>
    <t>IMPERIAL TOBACCO</t>
  </si>
  <si>
    <t>Fund Partners CSOB Click Reverse 8</t>
  </si>
  <si>
    <t>ČSOB Fixovaný click 6</t>
  </si>
  <si>
    <t>ČSOB Fixovaný click 5</t>
  </si>
  <si>
    <t>ČSOB Světový strom 14</t>
  </si>
  <si>
    <t>ČSOB Fixovaný click 4</t>
  </si>
  <si>
    <t>BE0947442431/8</t>
  </si>
  <si>
    <t>BE0947442431/9</t>
  </si>
  <si>
    <t>BE0947442431/10</t>
  </si>
  <si>
    <t>BE0947442431/11</t>
  </si>
  <si>
    <t>BE0947442431/12</t>
  </si>
  <si>
    <t>BE0947442431/13</t>
  </si>
  <si>
    <t>BE0947442431/14</t>
  </si>
  <si>
    <t>BE0947442431/15</t>
  </si>
  <si>
    <t>BE0947442431/16</t>
  </si>
  <si>
    <t>BE0947440419/1</t>
  </si>
  <si>
    <t>BE0947507118/1</t>
  </si>
  <si>
    <t>BE0947507118/2</t>
  </si>
  <si>
    <t>ČSOB Středoevropský region 2</t>
  </si>
  <si>
    <t>BE0948039582</t>
  </si>
  <si>
    <t>Horizon CSOB World Jumper 2</t>
  </si>
  <si>
    <t>ČSOB Světový jumper 2</t>
  </si>
  <si>
    <t>BE0947950664</t>
  </si>
  <si>
    <t>ČSOB Světový Lookback 1</t>
  </si>
  <si>
    <t>BE0947953692</t>
  </si>
  <si>
    <t>KBC Click CSOB BRIC 1</t>
  </si>
  <si>
    <t>ČSOB BRIC 1</t>
  </si>
  <si>
    <t>Maximal Invest 32</t>
  </si>
  <si>
    <t>BAYER SCHERING PHARMA</t>
  </si>
  <si>
    <t>prémie</t>
  </si>
  <si>
    <t>ve čtvrtém období byla překročena hranice</t>
  </si>
  <si>
    <t>ČSOB Kvalitní akcie 1 (Optimum fund)</t>
  </si>
  <si>
    <t>SU FP</t>
  </si>
  <si>
    <t>GENERAL MOTORS CORP</t>
  </si>
  <si>
    <t>HEWLETT-PACKARD CO</t>
  </si>
  <si>
    <t>LU0311893811/19</t>
  </si>
  <si>
    <t>LU0311893811/20</t>
  </si>
  <si>
    <t>LU0201808549/3</t>
  </si>
  <si>
    <t>KIMBERLY-CLARK</t>
  </si>
  <si>
    <t>KMB UN</t>
  </si>
  <si>
    <t>KMB UN Equity</t>
  </si>
  <si>
    <t>AEGON</t>
  </si>
  <si>
    <t>Bank of Ireland</t>
  </si>
  <si>
    <t>GlaxoSmithKline</t>
  </si>
  <si>
    <t>Participation CSOB Private Banking Commodity1</t>
  </si>
  <si>
    <t>Fund Partners CSOB World Equities 4</t>
  </si>
  <si>
    <t>LU0249276956/17</t>
  </si>
  <si>
    <t>LU0249276956/18</t>
  </si>
  <si>
    <t>BE0945290253/5</t>
  </si>
  <si>
    <t>BE0945290253/6</t>
  </si>
  <si>
    <t>BE0945290253/7</t>
  </si>
  <si>
    <t>BE0945290253/8</t>
  </si>
  <si>
    <t>BE0945290253/9</t>
  </si>
  <si>
    <t>BE0945290253/10</t>
  </si>
  <si>
    <t>Horizon CSOB Emerging Forex</t>
  </si>
  <si>
    <t>ČSOB Světový click+ USD 3</t>
  </si>
  <si>
    <t>ČSOB Světový click+ 12</t>
  </si>
  <si>
    <t>ČSOB Sponzoři sportu 1</t>
  </si>
  <si>
    <t>BE0948357851</t>
  </si>
  <si>
    <t>BE0948081030/5</t>
  </si>
  <si>
    <t>BE0948081030/6</t>
  </si>
  <si>
    <t>BE0948081030/7</t>
  </si>
  <si>
    <t>BE0948081030/8</t>
  </si>
  <si>
    <t>BE0948081030/9</t>
  </si>
  <si>
    <t>BE0948081030/10</t>
  </si>
  <si>
    <t>Fund Partners CSOB Europe Growth Plus 2</t>
  </si>
  <si>
    <t>ČSOB Světový click+ 13</t>
  </si>
  <si>
    <t>LU0202579032/6</t>
  </si>
  <si>
    <t>LU0209319499</t>
  </si>
  <si>
    <t>LU0209318921</t>
  </si>
  <si>
    <t>LU0209404507</t>
  </si>
  <si>
    <t>PFIZER INC</t>
  </si>
  <si>
    <t>KBC Select Investors CSOB Premium 5</t>
  </si>
  <si>
    <t>ČSOB Prémiový fond 5</t>
  </si>
  <si>
    <t>LU0448650415</t>
  </si>
  <si>
    <t>Maximal Invest 50</t>
  </si>
  <si>
    <t>ČSOB Světové akcie 7</t>
  </si>
  <si>
    <t>ČSOB Světový click+ 1</t>
  </si>
  <si>
    <t>LU0215860130/8</t>
  </si>
  <si>
    <t>LU0215860130/9</t>
  </si>
  <si>
    <t>ČSOB Digitální Reverzní 2 (Fund Partners)</t>
  </si>
  <si>
    <t>ČSOB PB CE Winners 2 (Horizon)</t>
  </si>
  <si>
    <t>ČSOB Světoví Giganti 2 (KBC Click)</t>
  </si>
  <si>
    <t>ČSOB Asijský click+ 1 (Global Partners)</t>
  </si>
  <si>
    <t xml:space="preserve">ČSOB Private Banking BRIC 1 (Horizon) </t>
  </si>
  <si>
    <t>ČSOB Světový click+ 22 (Fund Partners)</t>
  </si>
  <si>
    <t xml:space="preserve">   FINÁLNÍ PARAMETRY</t>
  </si>
  <si>
    <t>Horizon CSOB World Growth Plus 17</t>
  </si>
  <si>
    <t>KBC Click PSB Regular Coupon 1</t>
  </si>
  <si>
    <t>Horizon CSOB World Reverse Swing 2</t>
  </si>
  <si>
    <t>Horizon CSOB Financial Growth 2</t>
  </si>
  <si>
    <t>LU0641744791</t>
  </si>
  <si>
    <t>BE0948081030/12</t>
  </si>
  <si>
    <t>BE0948081030/13</t>
  </si>
  <si>
    <t>BE0948081030/14</t>
  </si>
  <si>
    <t>BE0948081030/15</t>
  </si>
  <si>
    <t>BE0948081030/16</t>
  </si>
  <si>
    <t>COLGATE-PALMOLIVE</t>
  </si>
  <si>
    <t>DEUTSCHE LUFTHANSA</t>
  </si>
  <si>
    <t>EMERSON ELECTRIC</t>
  </si>
  <si>
    <t>srpen 09</t>
  </si>
  <si>
    <t>Průměr*part</t>
  </si>
  <si>
    <t>Měsíc</t>
  </si>
  <si>
    <t>Kon. Hodnota</t>
  </si>
  <si>
    <t>Výnos</t>
  </si>
  <si>
    <t>Global Partners CSOB Click with memory 2</t>
  </si>
  <si>
    <t>ČSOB Harmonického růstu 2</t>
  </si>
  <si>
    <t>BE0947754645</t>
  </si>
  <si>
    <t>ČSOB Asijský click+ 1</t>
  </si>
  <si>
    <t>Global Partners CSOB Asian Click Plus 1</t>
  </si>
  <si>
    <t>LU0337400856</t>
  </si>
  <si>
    <t>click+best of</t>
  </si>
  <si>
    <t>ČSOB Krátkodobého růstu 1</t>
  </si>
  <si>
    <t>ČSOB Světový click+ 22</t>
  </si>
  <si>
    <t>BE0949016654/1</t>
  </si>
  <si>
    <t>BE0949016654/2</t>
  </si>
  <si>
    <t>BE0949016654/3</t>
  </si>
  <si>
    <t>BE0949016654/4</t>
  </si>
  <si>
    <t>BE0949016654/5</t>
  </si>
  <si>
    <t>BE0949016654/6</t>
  </si>
  <si>
    <t>BE0949016654/7</t>
  </si>
  <si>
    <t>BE0949016654/8</t>
  </si>
  <si>
    <t>BE0949016654/9</t>
  </si>
  <si>
    <t>BE0949016654/10</t>
  </si>
  <si>
    <t>SKFB SS Equity</t>
  </si>
  <si>
    <t>SU FP Equity</t>
  </si>
  <si>
    <t>AKZA NA Equity</t>
  </si>
  <si>
    <t>Optimum fund CSOB Short Term Global Invest 2</t>
  </si>
  <si>
    <t>ČSOB Krátkodobý globální invest 2</t>
  </si>
  <si>
    <t>BE0935083031</t>
  </si>
  <si>
    <t>BE0935082025</t>
  </si>
  <si>
    <t>ČSOB Energie a Distribuce 3</t>
  </si>
  <si>
    <t>Maximal Invest 58</t>
  </si>
  <si>
    <t>KBC Click CSOB Private Banking Energy &amp; Utilities 1</t>
  </si>
  <si>
    <t>ČSOB Světové akcie 5 (KBC Click)</t>
  </si>
  <si>
    <t>KBC Click CSOB Energy &amp; Utilities 1</t>
  </si>
  <si>
    <t>Horizon CSOB Pharma and Finance 1</t>
  </si>
  <si>
    <t>Horizon CSOB Fix Upside 4</t>
  </si>
  <si>
    <t>KBC Click CSOB Climate Change 2</t>
  </si>
  <si>
    <t>LU0279614951/14</t>
  </si>
  <si>
    <t>LU0279614951/15</t>
  </si>
  <si>
    <t>LU0202579891/2</t>
  </si>
  <si>
    <t>LU0202579891/3</t>
  </si>
  <si>
    <t>LU0202579891/4</t>
  </si>
  <si>
    <t>LU0202579891/5</t>
  </si>
  <si>
    <t>LU0280622654/2</t>
  </si>
  <si>
    <t>LU0280622654/3</t>
  </si>
  <si>
    <t>BE0947597044/19</t>
  </si>
  <si>
    <t>BE0947597044/20</t>
  </si>
  <si>
    <t>BE0947509130/1</t>
  </si>
  <si>
    <t>BE0947509130/2</t>
  </si>
  <si>
    <t>BE0947509130/3</t>
  </si>
  <si>
    <t>BE0947552569/1</t>
  </si>
  <si>
    <t>BE0947552569/2</t>
  </si>
  <si>
    <t>BE0947552569/3</t>
  </si>
  <si>
    <t>BE0947552569/4</t>
  </si>
  <si>
    <t>LU0228824065/20</t>
  </si>
  <si>
    <t>LU0228824065/21</t>
  </si>
  <si>
    <t>LU0228824065/22</t>
  </si>
  <si>
    <t>LU0228824065/23</t>
  </si>
  <si>
    <t>LU0228824065/24</t>
  </si>
  <si>
    <t>LU0228824065/25</t>
  </si>
  <si>
    <t>LU0228824065/26</t>
  </si>
  <si>
    <t>Kon. hodnota</t>
  </si>
  <si>
    <t>Průměr*participace</t>
  </si>
  <si>
    <t>červenec 06</t>
  </si>
  <si>
    <t>červenec 07</t>
  </si>
  <si>
    <t>ČSOB Rozvoj infrastruktury 1</t>
  </si>
  <si>
    <t>BE0948818613</t>
  </si>
  <si>
    <t>Optimum fund CSOB Svetovy jumper 4</t>
  </si>
  <si>
    <t>ČSOB Světový jumper 4</t>
  </si>
  <si>
    <t>BE0948819629</t>
  </si>
  <si>
    <t>Počáteční hodnota-kurz</t>
  </si>
  <si>
    <t>Aktuální hodnota - kurz</t>
  </si>
  <si>
    <t>LU0246705031</t>
  </si>
  <si>
    <t>BE0945774249</t>
  </si>
  <si>
    <t>Px Close 1d</t>
  </si>
  <si>
    <t>SSE LN</t>
  </si>
  <si>
    <t>ČSOB Prémiový fond 1</t>
  </si>
  <si>
    <t>ČSOB Světového růstu +22</t>
  </si>
  <si>
    <t>ČSOB Fixovaného růstu 6</t>
  </si>
  <si>
    <t>Maximal Invest 38</t>
  </si>
  <si>
    <t>SVT LN</t>
  </si>
  <si>
    <t>KBC</t>
  </si>
  <si>
    <t>TELECOM ITALIA</t>
  </si>
  <si>
    <t>LVMH</t>
  </si>
  <si>
    <t>ČSOB Variabilního růstu 1 (Global Partners)</t>
  </si>
  <si>
    <t>ČSOB Světový click+ 15 (Fund Partners)</t>
  </si>
  <si>
    <t>ČSOB Světových pivovarů 1 (KBC Click)</t>
  </si>
  <si>
    <t>16 akcií překročilo hranici</t>
  </si>
  <si>
    <t>Fund Partners CSOB World Click Plus 12</t>
  </si>
  <si>
    <t>KBC Click CSOB Private Banking Financial Lookback 1</t>
  </si>
  <si>
    <t>Horizon CSOB Global Growth Plus 8</t>
  </si>
  <si>
    <t>Horizon ČSOB Rozvojové trhy 1</t>
  </si>
  <si>
    <t>LU0269674064</t>
  </si>
  <si>
    <t>LU0270175846</t>
  </si>
  <si>
    <t>LU0264742213</t>
  </si>
  <si>
    <t>AKCATEL-LUCENT</t>
  </si>
  <si>
    <t>NIKE</t>
  </si>
  <si>
    <t>ČSOB Světový strom 4 (Fund Partners)</t>
  </si>
  <si>
    <t>LU0254128001/10</t>
  </si>
  <si>
    <t>LU0254128001/11</t>
  </si>
  <si>
    <t>LU0254128001/12</t>
  </si>
  <si>
    <t>LU0254128001/13</t>
  </si>
  <si>
    <t>LU0254128001/14</t>
  </si>
  <si>
    <t>LU0254128001/15</t>
  </si>
  <si>
    <t>LU0254128001/16</t>
  </si>
  <si>
    <t>LU0268096574/1</t>
  </si>
  <si>
    <t>LU0268096574/2</t>
  </si>
  <si>
    <t>LU0268096574/3</t>
  </si>
  <si>
    <t>MASTERCARD INC-CLASS A</t>
  </si>
  <si>
    <t>MA UN Equity</t>
  </si>
  <si>
    <t>MATSUSHITA ELECTRIC INDUST</t>
  </si>
  <si>
    <t>6752 JT Equity</t>
  </si>
  <si>
    <t>ČSOB Sětové investice 2 (KBC Equisafe)</t>
  </si>
  <si>
    <t>ČSOB Evropské akcie 2 (KBC Click</t>
  </si>
  <si>
    <t>ČSOB Asijských šampionů 2 (Fund Partners)</t>
  </si>
  <si>
    <t>LU0233991131/3</t>
  </si>
  <si>
    <t>Optimum fund CSOB Double safety 1</t>
  </si>
  <si>
    <t>BE0949065172</t>
  </si>
  <si>
    <t>Global Partners KBC Rastový 6 EUR</t>
  </si>
  <si>
    <t>KBC Rastový 6 EUR</t>
  </si>
  <si>
    <t>LU0482553889</t>
  </si>
  <si>
    <t>ČSOB Asijské investice 2 (KBC click)</t>
  </si>
  <si>
    <t>ČSOB Růstový fix 1 (Optimum fund)</t>
  </si>
  <si>
    <t>Maximal Invest 48</t>
  </si>
  <si>
    <t>KBC Click CSOB Energie 1</t>
  </si>
  <si>
    <t>BE0948815585</t>
  </si>
  <si>
    <t>ČSOB Krátkodobého globálního růstu 4</t>
  </si>
  <si>
    <t>Horizon CSOB Krátkodobého globálního růstu 4</t>
  </si>
  <si>
    <t>BE0948261863</t>
  </si>
  <si>
    <t>ČSOB Světového růstu +20</t>
  </si>
  <si>
    <t>Fund Partners CSOB World Tree 11</t>
  </si>
  <si>
    <t>ČSOB PB Commodity 1 (Participation)</t>
  </si>
  <si>
    <t>ČSOB Krátkodobého růstu 4 (Fund Partners)</t>
  </si>
  <si>
    <t>177 HK Equity</t>
  </si>
  <si>
    <t>KOREA ELECTRIC POWER</t>
  </si>
  <si>
    <t>015760 KS Equity</t>
  </si>
  <si>
    <t>MTR CORP</t>
  </si>
  <si>
    <t>66 HK Equity</t>
  </si>
  <si>
    <t>SEMBCORP INDUSTRIES LTD</t>
  </si>
  <si>
    <t>SCI SP Equity</t>
  </si>
  <si>
    <t>ČSOB Rozvoj infrastruktury 1 (Optimum fund)</t>
  </si>
  <si>
    <t>PNC UN</t>
  </si>
  <si>
    <t>USB UN</t>
  </si>
  <si>
    <t>ČSOB Státních dluhopisů 2</t>
  </si>
  <si>
    <t>ČSOB Světového růstu+ 4</t>
  </si>
  <si>
    <t>ČSOB Krátkodobého růstu 2 (Fund Partners)</t>
  </si>
  <si>
    <t>ČSOB Fixovaného růstu 2 (Fund Partners)</t>
  </si>
  <si>
    <t>ČSOB PB Variable Participation 1 (Horizon)</t>
  </si>
  <si>
    <t>53%-rozdíl</t>
  </si>
  <si>
    <t>TSCO LN Equity</t>
  </si>
  <si>
    <t>BE0947598059/11</t>
  </si>
  <si>
    <t>BE0947598059/12</t>
  </si>
  <si>
    <t>BE0947598059/13</t>
  </si>
  <si>
    <t>BE0947598059/14</t>
  </si>
  <si>
    <t>BE0947598059/15</t>
  </si>
  <si>
    <t>MMC UN Equity</t>
  </si>
  <si>
    <t>MARSH &amp; MCLENNAN COS</t>
  </si>
  <si>
    <t>PARTNERRE LTD</t>
  </si>
  <si>
    <t>upisovací období</t>
  </si>
  <si>
    <t>splatnost fondu</t>
  </si>
  <si>
    <t>výnos za období</t>
  </si>
  <si>
    <t>minimální výnos při splatnosti</t>
  </si>
  <si>
    <t>složení koše</t>
  </si>
  <si>
    <t>začátek</t>
  </si>
  <si>
    <t>konec</t>
  </si>
  <si>
    <t xml:space="preserve">ČSOB Středoevropské měny 2 (Horizon) </t>
  </si>
  <si>
    <t>LU0289335688/2</t>
  </si>
  <si>
    <t>ČSOB Světový strom 3</t>
  </si>
  <si>
    <t>ČSOB Reverzní click 3</t>
  </si>
  <si>
    <t>ČSOB Světový click+ 15</t>
  </si>
  <si>
    <t>ČSOB Světový click+ USD 4</t>
  </si>
  <si>
    <t>ČSOB Světový click+ 16</t>
  </si>
  <si>
    <t>ČSOB Světový strom CZK 1</t>
  </si>
  <si>
    <t>ČSOB Světový click+ 17</t>
  </si>
  <si>
    <t>ČSOB Světový click+ EUR 3</t>
  </si>
  <si>
    <t>LU0366358199/1</t>
  </si>
  <si>
    <t>Fund Partners CSOB World Growth Plus 6</t>
  </si>
  <si>
    <t>POSTNL</t>
  </si>
  <si>
    <t>PNL NA Equity</t>
  </si>
  <si>
    <t>ČSOB Světového růstu+ 2</t>
  </si>
  <si>
    <t>Global Partners CSOB Click s pamětí 4</t>
  </si>
  <si>
    <t>Optimum Fund ČSOB Růstový fix 1</t>
  </si>
  <si>
    <t>Global Partners CSOB Fixovaný click 15</t>
  </si>
  <si>
    <t>Optimum fund ČSOB Duo bonus 2</t>
  </si>
  <si>
    <t>KBC Select Investors CSOB Premium plus 2</t>
  </si>
  <si>
    <t>Global Partners ČSOB Sport Event Winners 1</t>
  </si>
  <si>
    <t>Global Partners CSOB Evropský click 1</t>
  </si>
  <si>
    <t>Global partners ČSOB Světového růstu +25</t>
  </si>
  <si>
    <t>Global Partners ČSOB BRIC šampioni 1</t>
  </si>
  <si>
    <t>Global Partners CSOB Světový strom 16</t>
  </si>
  <si>
    <t>ČSOB Click s pamětí 4</t>
  </si>
  <si>
    <t>LU0594967605</t>
  </si>
  <si>
    <t>Fund Partners CSOB Global Growth Plus 5</t>
  </si>
  <si>
    <t>ČSOB PB Attractive Sectors 1 (Horizon)</t>
  </si>
  <si>
    <t>ČSOB Reverzního rozpětí 3</t>
  </si>
  <si>
    <t>ČSOB Stupňovitý click 1</t>
  </si>
  <si>
    <t>LU0292714531/3</t>
  </si>
  <si>
    <t>BE0947321197/3</t>
  </si>
  <si>
    <t>BE0947321197/4</t>
  </si>
  <si>
    <t>BE0947321197/5</t>
  </si>
  <si>
    <t>BE0947321197/6</t>
  </si>
  <si>
    <t>BE0947321197/7</t>
  </si>
  <si>
    <t>BE0947321197/8</t>
  </si>
  <si>
    <t>BE0947321197/9</t>
  </si>
  <si>
    <t>BE0947321197/10</t>
  </si>
  <si>
    <t>LU0390247053</t>
  </si>
  <si>
    <t>LU0396544586</t>
  </si>
  <si>
    <t>DTE GY Equity</t>
  </si>
  <si>
    <t>REED ELSEVIER</t>
  </si>
  <si>
    <t>REN NA</t>
  </si>
  <si>
    <t>BE0947953692/6</t>
  </si>
  <si>
    <t>LU0337400856/1</t>
  </si>
  <si>
    <t>LU0337400856/2</t>
  </si>
  <si>
    <t>ČSOB Digitální Reverzní 1</t>
  </si>
  <si>
    <t>BE0947953692/5</t>
  </si>
  <si>
    <t>z koše byla vyřazena akcie Royal Bank of Scotland</t>
  </si>
  <si>
    <t>BE0948191169</t>
  </si>
  <si>
    <t>ČSOB Uzamčeného růstu + 1 (Fund Partners)</t>
  </si>
  <si>
    <t>LU0292714531/9</t>
  </si>
  <si>
    <t>LU0292714531/10</t>
  </si>
  <si>
    <t>LU0292714531/11</t>
  </si>
  <si>
    <t>LU0292714531/12</t>
  </si>
  <si>
    <t>LU0292714531/13</t>
  </si>
  <si>
    <t>LU0275128014/5</t>
  </si>
  <si>
    <t>ČSOB Alternativní energie plus (KBC Click)</t>
  </si>
  <si>
    <t>PS Dividendový fond 2</t>
  </si>
  <si>
    <t>BE0948820635/28</t>
  </si>
  <si>
    <t>BE0948820635/29</t>
  </si>
  <si>
    <t>BE0948820635/30</t>
  </si>
  <si>
    <t>BE0948820635/31</t>
  </si>
  <si>
    <t>BE0948820635/32</t>
  </si>
  <si>
    <t>BE0948820635/33</t>
  </si>
  <si>
    <t>počáteční hodnota (průměr 3 měsíce)</t>
  </si>
  <si>
    <t>ČSOB Světový strom 8</t>
  </si>
  <si>
    <t>ČSOB Světový strom 9</t>
  </si>
  <si>
    <t>ČSOB Světový click+ USD 5</t>
  </si>
  <si>
    <t>ČSOB Bankovního růstu 2</t>
  </si>
  <si>
    <t>ČSOB Energie a Distribuce 1</t>
  </si>
  <si>
    <t>ČSOB Světového růstu +16</t>
  </si>
  <si>
    <t>ČSOB Reverzního rozpětí 4</t>
  </si>
  <si>
    <t>fix upside click with memory</t>
  </si>
  <si>
    <t>ČSOB Krátkodobého růstu 5 (Fund Partners)</t>
  </si>
  <si>
    <t>ČSOB Reverzní click 7 (Fund Partners)</t>
  </si>
  <si>
    <t>ČSOB Světového růstu +EUR 1 (Fund Partners)</t>
  </si>
  <si>
    <t>ČSOB Globálního růstu + 5 (Fund Partners)</t>
  </si>
  <si>
    <t>ČSOB Bankovního růstu 1 (Fund Partners)</t>
  </si>
  <si>
    <t>ČSOB Asijských šampionů 1 (Fund Partners)</t>
  </si>
  <si>
    <t>ČSOB Vodního bohatství 2 (KBC Click)</t>
  </si>
  <si>
    <t>BE0948820635/9</t>
  </si>
  <si>
    <t>BE0948820635/10</t>
  </si>
  <si>
    <t>ALU FP Equity</t>
  </si>
  <si>
    <t>NKE UN Equity</t>
  </si>
  <si>
    <t>DG FP Equity</t>
  </si>
  <si>
    <t>LU0280622654</t>
  </si>
  <si>
    <t>AAL LN Equity</t>
  </si>
  <si>
    <t>HD UN Equity</t>
  </si>
  <si>
    <t>ČSOB Private Banking Jumpstart 1</t>
  </si>
  <si>
    <t>ČSOB Světového růstu + 6 (Fund Partners)</t>
  </si>
  <si>
    <t>ČSOB Globálního růstu +9</t>
  </si>
  <si>
    <t>ČSOB Komodity 2</t>
  </si>
  <si>
    <t>Fund Partners CSOB World Click Plus 8</t>
  </si>
  <si>
    <t>Fund Partners CSOB World Growth 2</t>
  </si>
  <si>
    <t>Fund Partners CSOB World Click Plus 9</t>
  </si>
  <si>
    <t>Fund Partners CSOB World Click Plus 10</t>
  </si>
  <si>
    <t>SANDVIK AB</t>
  </si>
  <si>
    <t>UU/ LN</t>
  </si>
  <si>
    <t>BBVA SM</t>
  </si>
  <si>
    <t>SAND SS</t>
  </si>
  <si>
    <t>UU/ LN Equity</t>
  </si>
  <si>
    <t>CREDIT AGRICOLE</t>
  </si>
  <si>
    <t>LU0209318921/4</t>
  </si>
  <si>
    <t>LU0209318921/5</t>
  </si>
  <si>
    <t>LU0209319499/1</t>
  </si>
  <si>
    <t>ČSOB Světového růstu +22 (Global Partners)</t>
  </si>
  <si>
    <t>Fund Partners CSOB World Click USD Plus 6</t>
  </si>
  <si>
    <t>BE0947755659/10</t>
  </si>
  <si>
    <t>BE0948360889</t>
  </si>
  <si>
    <t>ČSOB Farmacie a Finance 1 (Horizon)</t>
  </si>
  <si>
    <t>DNB NORA SA</t>
  </si>
  <si>
    <t>SWEDBANK AB - A SHARES</t>
  </si>
  <si>
    <t>SWEDA SS Equity</t>
  </si>
  <si>
    <t>PS Dividendový fond (KBC Click)</t>
  </si>
  <si>
    <t>TKA GY Equity</t>
  </si>
  <si>
    <t>STL NO Equity</t>
  </si>
  <si>
    <t>HMB SS Equity</t>
  </si>
  <si>
    <t>LU0209275774/12</t>
  </si>
  <si>
    <t>LU0212806581/1</t>
  </si>
  <si>
    <t>LU0212806581/2</t>
  </si>
  <si>
    <t>LU0212806581/3</t>
  </si>
  <si>
    <t>BG/ LN EQUITY</t>
  </si>
  <si>
    <t xml:space="preserve">LLY UN </t>
  </si>
  <si>
    <t>Global Partners PS Fixovany Click 1</t>
  </si>
  <si>
    <t>ČSOB Světový lookback 3</t>
  </si>
  <si>
    <t>BE0947752623/2</t>
  </si>
  <si>
    <t>BE0947752623/3</t>
  </si>
  <si>
    <t>průměr            40,88%</t>
  </si>
  <si>
    <t>Fund Partners CSOB World Tree 3</t>
  </si>
  <si>
    <t>ve třetím období byla dosažena hranice u Sanofi-Aventis</t>
  </si>
  <si>
    <t>USD</t>
  </si>
  <si>
    <t>LU0238572605/5</t>
  </si>
  <si>
    <t>LU0238572605/6</t>
  </si>
  <si>
    <t>BE0947263589/11</t>
  </si>
  <si>
    <t>BE0947263589/12</t>
  </si>
  <si>
    <t>BE0947263589/13</t>
  </si>
  <si>
    <t>BE0947263589/14</t>
  </si>
  <si>
    <t>BE0947263589/15</t>
  </si>
  <si>
    <t>BE0947263589/16</t>
  </si>
  <si>
    <t>BE0947263589/17</t>
  </si>
  <si>
    <t>BE0947263589/18</t>
  </si>
  <si>
    <t>BE0947263589/19</t>
  </si>
  <si>
    <t>BE0947263589/20</t>
  </si>
  <si>
    <t>ČSOB Evropského růstu + 1 (Fund Partners)</t>
  </si>
  <si>
    <t>ČSOB Fixovaného růstu 3</t>
  </si>
  <si>
    <t>Fund Partners CSOB Europe Growth Plus 1</t>
  </si>
  <si>
    <t>LU0238572605/2</t>
  </si>
  <si>
    <t>ČSOB Premiový fond 9</t>
  </si>
  <si>
    <t>LU0494990517</t>
  </si>
  <si>
    <t>Maximal Invest 56</t>
  </si>
  <si>
    <t>Horizon CSOB Jumper plus 1</t>
  </si>
  <si>
    <t>ČSOB Jumper plus 1</t>
  </si>
  <si>
    <t>BE0949094461</t>
  </si>
  <si>
    <t>Optimum fund CSOB Double safety 2</t>
  </si>
  <si>
    <t>ČSOB Double safety 2</t>
  </si>
  <si>
    <t>BE0935024415</t>
  </si>
  <si>
    <t>Global Partners CSOB Fixovany click 11</t>
  </si>
  <si>
    <t>ČSOB Fixovaný click 11</t>
  </si>
  <si>
    <t>HSBC HOLDINGS</t>
  </si>
  <si>
    <t>MUENCHENER RUECKVER</t>
  </si>
  <si>
    <t>EMAP PLC</t>
  </si>
  <si>
    <t>EMA LN Equity</t>
  </si>
  <si>
    <t>BUD UN Equity</t>
  </si>
  <si>
    <t>2502 JT Equity</t>
  </si>
  <si>
    <t>BF/B UN Equity</t>
  </si>
  <si>
    <t>CARLB DC Equity</t>
  </si>
  <si>
    <t>HEIA NA Equity</t>
  </si>
  <si>
    <t>2503 JT Equity</t>
  </si>
  <si>
    <t>LU0275127800/2</t>
  </si>
  <si>
    <t>LU0275127800/3</t>
  </si>
  <si>
    <t>LU0275127800/4</t>
  </si>
  <si>
    <t>LU0275127800/5</t>
  </si>
  <si>
    <t>LU0275127800/6</t>
  </si>
  <si>
    <t>LU0275127800/7</t>
  </si>
  <si>
    <t>LU0209275188/5</t>
  </si>
  <si>
    <t>LU0209275188/6</t>
  </si>
  <si>
    <t>LU0209275774/1</t>
  </si>
  <si>
    <t>BE0947440419</t>
  </si>
  <si>
    <t>BE0947439403</t>
  </si>
  <si>
    <t>Horizon CSOB Private Banking Jumpstart 1</t>
  </si>
  <si>
    <t>DEXB BB Equity</t>
  </si>
  <si>
    <t>ČSOB Fotbal a Relax 1 (KBC Click)</t>
  </si>
  <si>
    <t>ČSOB Nových nadnárodních firem 1 (KBC Click)</t>
  </si>
  <si>
    <t>PS Fixovaný click 1 (Global Partners)</t>
  </si>
  <si>
    <t>BE0947263589/8</t>
  </si>
  <si>
    <t>BE0947263589/9</t>
  </si>
  <si>
    <t>BE0947263589/10</t>
  </si>
  <si>
    <t>BIFF LN Equity</t>
  </si>
  <si>
    <t>FUM1V FH Equity</t>
  </si>
  <si>
    <t>GAM SM Equity</t>
  </si>
  <si>
    <t>9503 JT Equity</t>
  </si>
  <si>
    <t>SZU GY Equity</t>
  </si>
  <si>
    <t>UMI BB Equity</t>
  </si>
  <si>
    <t>ČSOB Fixovaný Click 7 (Global Partners)</t>
  </si>
  <si>
    <t>LU0425517678/1</t>
  </si>
  <si>
    <t>LU0425517678/2</t>
  </si>
  <si>
    <t>LU0425517678/3</t>
  </si>
  <si>
    <t>BE6209683349</t>
  </si>
  <si>
    <t>ČSOB Globální invest 1</t>
  </si>
  <si>
    <t>Optimum fund CSOB Globální invest 1</t>
  </si>
  <si>
    <t>BE6208645638</t>
  </si>
  <si>
    <t>ČSOB Energie a distribuce 4</t>
  </si>
  <si>
    <t>LU0549620028</t>
  </si>
  <si>
    <t>Global Partners CSOB Energie a distribuce 4</t>
  </si>
  <si>
    <t>ČSOB, ČMSS, PB</t>
  </si>
  <si>
    <t>LU0438533415/3</t>
  </si>
  <si>
    <t>LU0438533415/4</t>
  </si>
  <si>
    <t>LU0438533415/5</t>
  </si>
  <si>
    <t>LU0438533415/6</t>
  </si>
  <si>
    <t>LU0438533415/7</t>
  </si>
  <si>
    <t>LU0438533415/8</t>
  </si>
  <si>
    <t>LU0438533415/9</t>
  </si>
  <si>
    <t>LU0438533415/10</t>
  </si>
  <si>
    <t>LU0438533415/11</t>
  </si>
  <si>
    <t>LU0438533415/12</t>
  </si>
  <si>
    <t>LU0438533415/13</t>
  </si>
  <si>
    <t>LU0438533415/14</t>
  </si>
  <si>
    <t>LU0438533415/15</t>
  </si>
  <si>
    <t>LU0438533415/16</t>
  </si>
  <si>
    <t>po čtvrletích (konce kalendářních čtvrtletí)</t>
  </si>
  <si>
    <t>Chráněná hodnota</t>
  </si>
  <si>
    <t>ČSOB Krátkodobého růstu 4</t>
  </si>
  <si>
    <t>KBC Click CSOB Private Banking Growth 1</t>
  </si>
  <si>
    <t>KBC Click CSOB Private Banking Steepener 1</t>
  </si>
  <si>
    <t>průměr</t>
  </si>
  <si>
    <t>KBC Life Invest Fund Flexible CSOB Private Banking Renta 03/2010</t>
  </si>
  <si>
    <t>ČSOB Private renta 03/2010</t>
  </si>
  <si>
    <t>PB-Maximal Invest</t>
  </si>
  <si>
    <t>renta</t>
  </si>
  <si>
    <t>LU0486242430/1</t>
  </si>
  <si>
    <t>NIKKEI 225</t>
  </si>
  <si>
    <t>ČSOB Private renta 03/2010 (KBC Flexible)</t>
  </si>
  <si>
    <t>CHUGAI PHARMACEUTICAL CO LTD</t>
  </si>
  <si>
    <t>WYETH</t>
  </si>
  <si>
    <t>CITIGROUP</t>
  </si>
  <si>
    <t>C UN</t>
  </si>
  <si>
    <t>BE0947755659/5</t>
  </si>
  <si>
    <t>BE0947755659/6</t>
  </si>
  <si>
    <t>BE0947755659/7</t>
  </si>
  <si>
    <t>BE0947755659/8</t>
  </si>
  <si>
    <t>BE0947755659/9</t>
  </si>
  <si>
    <t>LU0209275188/4</t>
  </si>
  <si>
    <t xml:space="preserve">ČSOB Private Banking Luxury &amp; Growth Stock 1 </t>
  </si>
  <si>
    <t>KBC Click CSOB Sustainables 2</t>
  </si>
  <si>
    <t>Scottish&amp; Southern Energy</t>
  </si>
  <si>
    <t>ČSOB Digitální reverzní 3</t>
  </si>
  <si>
    <t>ČSOB, PSB, ČMSS</t>
  </si>
  <si>
    <t>LU0311893811/7</t>
  </si>
  <si>
    <t>LU0311893811/8</t>
  </si>
  <si>
    <t>LU0311893811/9</t>
  </si>
  <si>
    <t>LU0311893811/10</t>
  </si>
  <si>
    <t>LU0311893811/11</t>
  </si>
  <si>
    <t>LU0311893811/12</t>
  </si>
  <si>
    <t>LU0302430136/28</t>
  </si>
  <si>
    <t>Optimum fund ČSOB Airbag jumper Asie 1</t>
  </si>
  <si>
    <t>BE6208640589</t>
  </si>
  <si>
    <t>ČSOB Exclusive Germany 1</t>
  </si>
  <si>
    <t>Optimum fund ČSOB Exclusive Germany 1</t>
  </si>
  <si>
    <t>BE6209542875</t>
  </si>
  <si>
    <t>ČSOB, Privátní banka</t>
  </si>
  <si>
    <t>ČSOB Fixovaný click 13</t>
  </si>
  <si>
    <t>Global Partners ČSOB Fixovaný click 13</t>
  </si>
  <si>
    <t>LU0551487597</t>
  </si>
  <si>
    <t>ČSOB Airbag jumper 2</t>
  </si>
  <si>
    <t>Optimum fund ČSOB Airbag jumper 2</t>
  </si>
  <si>
    <t>BE6210119820</t>
  </si>
  <si>
    <t>ČSOB Top start 4</t>
  </si>
  <si>
    <t>LU0317821394/15</t>
  </si>
  <si>
    <t>LU0317821394/16</t>
  </si>
  <si>
    <t>LU0317821394/17</t>
  </si>
  <si>
    <t>LU0306697896/14</t>
  </si>
  <si>
    <t>LU0306697896/15</t>
  </si>
  <si>
    <t>LU0306697896/16</t>
  </si>
  <si>
    <t>ČSOB Evropského Nemovitostního růstu 3 (Horizon)</t>
  </si>
  <si>
    <t>ČSOB Variabilního růstu 3</t>
  </si>
  <si>
    <t>GPS UN</t>
  </si>
  <si>
    <t>NOVOB DC</t>
  </si>
  <si>
    <t>SGE LN</t>
  </si>
  <si>
    <t>GPS UN Equity</t>
  </si>
  <si>
    <t>6971 JT Equity</t>
  </si>
  <si>
    <t>NOVOB DC Equity</t>
  </si>
  <si>
    <t>SGE LN Equity</t>
  </si>
  <si>
    <t>SCH GY Equity</t>
  </si>
  <si>
    <t>UCG IM Equity</t>
  </si>
  <si>
    <t>PENTAIR</t>
  </si>
  <si>
    <t>UPONOR</t>
  </si>
  <si>
    <t>WEIR GROUP</t>
  </si>
  <si>
    <t>LU0389840041/1</t>
  </si>
  <si>
    <t>LU0302430136/4</t>
  </si>
  <si>
    <t>LU0269674064/14</t>
  </si>
  <si>
    <t>ASTRA ZENECA PLC</t>
  </si>
  <si>
    <t>SCHERING-PLOUGH COPR</t>
  </si>
  <si>
    <t>MERCK &amp; CO.INC.</t>
  </si>
  <si>
    <t>PS Fixovany click 2 (Global Partners)</t>
  </si>
  <si>
    <t>OTP HB</t>
  </si>
  <si>
    <t>TKA AV</t>
  </si>
  <si>
    <t>941 HK Equity</t>
  </si>
  <si>
    <t>CHINA TELECOM CORP LTD-H</t>
  </si>
  <si>
    <t>728 HK Equity</t>
  </si>
  <si>
    <t>MI UN Equity</t>
  </si>
  <si>
    <t>TROW UQ Equity</t>
  </si>
  <si>
    <t>WFC UN Equity</t>
  </si>
  <si>
    <t>Maximal Invest 49</t>
  </si>
  <si>
    <t>Kospi 200 Index</t>
  </si>
  <si>
    <t>ČSOB Středoevropské měny 1 (Horizon)</t>
  </si>
  <si>
    <t>ČSOB Spectrum 1 (Horizon)</t>
  </si>
  <si>
    <t>ČSOB PB Asian Click 1 (Horizon)</t>
  </si>
  <si>
    <t>ČSOB Světového růstu + 13 (Fund Partners)</t>
  </si>
  <si>
    <t>ČSOB Středoevropský region 1 (Horizon)</t>
  </si>
  <si>
    <t>LU0180692963/3</t>
  </si>
  <si>
    <t>BE0947597044/14</t>
  </si>
  <si>
    <t>BE0947597044/15</t>
  </si>
  <si>
    <t>BE0947597044/16</t>
  </si>
  <si>
    <t>BE0947597044/17</t>
  </si>
  <si>
    <t>Horizon ČSOB Krátkodobého globálního růstu 3</t>
  </si>
  <si>
    <t>BE0948185104</t>
  </si>
  <si>
    <t>Horizon CSOB World Jumper 1</t>
  </si>
  <si>
    <t>LISTOPAD 10</t>
  </si>
  <si>
    <t>PROSINEC 10</t>
  </si>
  <si>
    <t>průměr*participace</t>
  </si>
  <si>
    <t>Fund Partners CSOB World Click EUR Plus 4</t>
  </si>
  <si>
    <t>ČSOB Fixovaný click 12</t>
  </si>
  <si>
    <t>LU0533526850</t>
  </si>
  <si>
    <t>LU0395336778</t>
  </si>
  <si>
    <t>BE0948447785</t>
  </si>
  <si>
    <t>BE0946693703</t>
  </si>
  <si>
    <t>4543 JT Equity</t>
  </si>
  <si>
    <t>AGN UN Equity</t>
  </si>
  <si>
    <t>SHP LN Equity</t>
  </si>
  <si>
    <t>CSOB Private Banking Variable Participation 1</t>
  </si>
  <si>
    <t>Fund Partners CSOB Performance Lock 1</t>
  </si>
  <si>
    <t>KBC Click CSOB Reverse Spread 2</t>
  </si>
  <si>
    <t>RB/ LN Equity</t>
  </si>
  <si>
    <t>RIO LN Equity</t>
  </si>
  <si>
    <t>STAN LN Equity</t>
  </si>
  <si>
    <t>YULC LN Equity</t>
  </si>
  <si>
    <t>LU0258407716</t>
  </si>
  <si>
    <t>Fund Partners CSOB World Growth Plus 5</t>
  </si>
  <si>
    <t>Fund Partners CSOB World Click Plus 19</t>
  </si>
  <si>
    <t>Jakékoli odhady výnosů nebo údaje o minulých výnosech slouží pouze pro informační účely a nejsou zárukou budoucích výnosů. Hodnota investice v čase kolísá a není-li uvedeno jinak, návratnost investice zaručena není. Za jakoukoli ztrátu, která by investorovi mohla vzniknout použitím informací uvedených v této publikaci, nelze uplatňovat nároky na náhradu případné ztráty nebo škody.</t>
  </si>
  <si>
    <t>,</t>
  </si>
  <si>
    <t>NKE UN</t>
  </si>
  <si>
    <t>DG FP</t>
  </si>
  <si>
    <t>MMM UN</t>
  </si>
  <si>
    <t>BE6208645638/1</t>
  </si>
  <si>
    <t>BE6208645638/2</t>
  </si>
  <si>
    <t>BE6208645638/3</t>
  </si>
  <si>
    <t>BE6208645638/4</t>
  </si>
  <si>
    <t>Fund Partners CSOB Click Reverse 6</t>
  </si>
  <si>
    <t>Privátní banka, ČSOB</t>
  </si>
  <si>
    <t>LU0264742056/8</t>
  </si>
  <si>
    <t>LU0264742056/9</t>
  </si>
  <si>
    <t>LU0264742056/10</t>
  </si>
  <si>
    <t>BE0947552569/5</t>
  </si>
  <si>
    <t>BE0947552569/6</t>
  </si>
  <si>
    <t>BE0947552569/7</t>
  </si>
  <si>
    <t>BE0947552569/8</t>
  </si>
  <si>
    <t>BE0948168902/15</t>
  </si>
  <si>
    <t>BE0948168902/16</t>
  </si>
  <si>
    <t>Horizon CSOB Private Banking World Jumper 1</t>
  </si>
  <si>
    <t>Fund Partners CSOB Asian Growth 3</t>
  </si>
  <si>
    <t>KBC Click CSOB Reverse Spread 3</t>
  </si>
  <si>
    <t>ČSOB Světový click+ EUR 5 (Global Partners)</t>
  </si>
  <si>
    <t>LU0459403738</t>
  </si>
  <si>
    <t>LU0459410519</t>
  </si>
  <si>
    <t>LHA GY Equity</t>
  </si>
  <si>
    <t>Fund Partners CSOB Click Reverse 7</t>
  </si>
  <si>
    <t>BE0176714773</t>
  </si>
  <si>
    <t>LU0215860999/1</t>
  </si>
  <si>
    <t>LU0222135807/1</t>
  </si>
  <si>
    <t>LU0222135807/2</t>
  </si>
  <si>
    <t>TAP UN Equity</t>
  </si>
  <si>
    <t>RCO FP Equity</t>
  </si>
  <si>
    <t>SAB LN Equity</t>
  </si>
  <si>
    <t xml:space="preserve">PNN LN </t>
  </si>
  <si>
    <t xml:space="preserve">WEIR LN </t>
  </si>
  <si>
    <t>SKK/EUR</t>
  </si>
  <si>
    <t>PLN/EUR</t>
  </si>
  <si>
    <t>CZK/EUR</t>
  </si>
  <si>
    <t>Měny</t>
  </si>
  <si>
    <t>ALTRIA GROUP</t>
  </si>
  <si>
    <t>BANK OF AMERICA</t>
  </si>
  <si>
    <t>ABBOTT LABORATORIES</t>
  </si>
  <si>
    <t>KBC Equisafe CSOB World investments 1</t>
  </si>
  <si>
    <t>ČSOB Premiový fond 6</t>
  </si>
  <si>
    <t>ČSOB Světový click+ EUR 5</t>
  </si>
  <si>
    <t>BE0947753639/1</t>
  </si>
  <si>
    <t>BE0948168902/9</t>
  </si>
  <si>
    <t>BE0948168902/10</t>
  </si>
  <si>
    <t>BE0948168902/11</t>
  </si>
  <si>
    <t>BE0948168902/12</t>
  </si>
  <si>
    <t>BE0948168902/13</t>
  </si>
  <si>
    <t>BE0948168902/14</t>
  </si>
  <si>
    <t>LU0366358199/15</t>
  </si>
  <si>
    <t>LU0366358199/16</t>
  </si>
  <si>
    <t>ČSOB Světového růstu +20 (Global Partners)</t>
  </si>
  <si>
    <t>BE0948083051/1</t>
  </si>
  <si>
    <t>BE0948083051/2</t>
  </si>
  <si>
    <t>BE0948083051/3</t>
  </si>
  <si>
    <t>SYNN VX Equity</t>
  </si>
  <si>
    <t>DIS UN Equity</t>
  </si>
  <si>
    <t>WPP LN Equity</t>
  </si>
  <si>
    <t>váha</t>
  </si>
  <si>
    <t>SGY Index</t>
  </si>
  <si>
    <t>TOP40 Index</t>
  </si>
  <si>
    <t>USIBOV Index</t>
  </si>
  <si>
    <t>MSCI Singapore Cash Index</t>
  </si>
  <si>
    <t>FTSE Africa Top40</t>
  </si>
  <si>
    <t>Bovespa Brazil</t>
  </si>
  <si>
    <t>akcie ING byla vyřezena z koše</t>
  </si>
  <si>
    <t>II,10</t>
  </si>
  <si>
    <t>ne</t>
  </si>
  <si>
    <t>ano</t>
  </si>
  <si>
    <t>LU0201807657</t>
  </si>
  <si>
    <t>LU0201808549</t>
  </si>
  <si>
    <t>LU0201808119</t>
  </si>
  <si>
    <t>LU0201808382</t>
  </si>
  <si>
    <t>LU0202578901</t>
  </si>
  <si>
    <t>LU0202579032</t>
  </si>
  <si>
    <t>LU0202579891</t>
  </si>
  <si>
    <t>LU0205763591</t>
  </si>
  <si>
    <t>LU0206669789</t>
  </si>
  <si>
    <t>LU0206670282</t>
  </si>
  <si>
    <t>UCB</t>
  </si>
  <si>
    <t>LU0209275188</t>
  </si>
  <si>
    <t>LU0209275774</t>
  </si>
  <si>
    <t>AV/ LN Equity</t>
  </si>
  <si>
    <t>PRŮMĚROVÁNÍ</t>
  </si>
  <si>
    <t>DUK UN Equity</t>
  </si>
  <si>
    <t>LU0243781365/5</t>
  </si>
  <si>
    <t>LU0243781365/6</t>
  </si>
  <si>
    <t>ČSOB Růstový fix 1</t>
  </si>
  <si>
    <t>BE6216553170</t>
  </si>
  <si>
    <t>ČSOB Fixovaný click 15</t>
  </si>
  <si>
    <t>LU0594978982</t>
  </si>
  <si>
    <t>ČSOB Duo bonus 2</t>
  </si>
  <si>
    <t>BE6216554186</t>
  </si>
  <si>
    <t>ČSOB Premium plus 2</t>
  </si>
  <si>
    <t>LU0620296920</t>
  </si>
  <si>
    <t>ČSOB Sport Event Winners 1</t>
  </si>
  <si>
    <t>LU0596880574</t>
  </si>
  <si>
    <t>857 HK Equity</t>
  </si>
  <si>
    <t>PETROLEO BRASILEIRO S.A.-ADR</t>
  </si>
  <si>
    <t>ALSTOM</t>
  </si>
  <si>
    <t>ALO FP Equity</t>
  </si>
  <si>
    <t>RR/ LN Equity</t>
  </si>
  <si>
    <t>Global Partners CSOB Svetovy Strom 14</t>
  </si>
  <si>
    <t>LU0407100865</t>
  </si>
  <si>
    <t>LU0405596049</t>
  </si>
  <si>
    <t>LU0233991131/21</t>
  </si>
  <si>
    <t>LU0233991131/22</t>
  </si>
  <si>
    <t>akci Royal bank of Scotland byla vyřezena z koše po čtvrtém období</t>
  </si>
  <si>
    <t>říjen 2010</t>
  </si>
  <si>
    <t>listopad 2010</t>
  </si>
  <si>
    <t>LU0228824065/8</t>
  </si>
  <si>
    <t>LU0228824065/9</t>
  </si>
  <si>
    <t>počet období</t>
  </si>
  <si>
    <t>ČSOB Digitální reverzní 1 (Fund Partners)</t>
  </si>
  <si>
    <t>BE0948080024</t>
  </si>
  <si>
    <t>Horizon ČSOB Private Banking Europe Lookback 1</t>
  </si>
  <si>
    <t>BE0948184099</t>
  </si>
  <si>
    <t>počet období do splatnosti</t>
  </si>
  <si>
    <t>Horizon ČSOB Globálního růstu +10</t>
  </si>
  <si>
    <t>BE6210119820/4</t>
  </si>
  <si>
    <t>BE6210119820/5</t>
  </si>
  <si>
    <t>ČSOB Světový click+ 24 (Fund Partners)</t>
  </si>
  <si>
    <t>ČSOB Krátkodobého Globálního růstu 4 (Horizon)</t>
  </si>
  <si>
    <t>TUI1 GY Equity</t>
  </si>
  <si>
    <t>BE0948168902/1</t>
  </si>
  <si>
    <t>BE0948168902/2</t>
  </si>
  <si>
    <t>BE0948168902/3</t>
  </si>
  <si>
    <t>BE0948168902/4</t>
  </si>
  <si>
    <t>BE0948168902/5</t>
  </si>
  <si>
    <t>BE0948168902/6</t>
  </si>
  <si>
    <t>BE0948168902/7</t>
  </si>
  <si>
    <t>BE0948168902/8</t>
  </si>
  <si>
    <t>LU0366358199</t>
  </si>
  <si>
    <t>ČSOB Nových nadnárodních firem 1</t>
  </si>
  <si>
    <t>KBC Click CSOB New Multinationals 1</t>
  </si>
  <si>
    <t>BE0948254793</t>
  </si>
  <si>
    <t>ČSOB Reverzní click 1</t>
  </si>
  <si>
    <t>ČSOB Světový click+ 5</t>
  </si>
  <si>
    <t>ČSOB Světového růstu 1</t>
  </si>
  <si>
    <t>ČSOB Private Banking Double Safety 1 (Optimum)</t>
  </si>
  <si>
    <t>LU0233991131/32</t>
  </si>
  <si>
    <t>LU0233991131/33</t>
  </si>
  <si>
    <t>LU0233991131/34</t>
  </si>
  <si>
    <t>LU0233991131/35</t>
  </si>
  <si>
    <t>LU0233991131/36</t>
  </si>
  <si>
    <t>ve třetím období byla dosažena hranice u několika akcií,Royal Bank of Scotland byla vyřazena z koše</t>
  </si>
  <si>
    <t>vyřazena</t>
  </si>
  <si>
    <t>ČSOB Světový Jumper 3 (Horizon)</t>
  </si>
  <si>
    <t>DGE LN Equity</t>
  </si>
  <si>
    <t>ELE SM</t>
  </si>
  <si>
    <t>ČSOB Fixovaný click 17</t>
  </si>
  <si>
    <t>Global Partners CSOB Fixovany click 17</t>
  </si>
  <si>
    <t>LU0662476869</t>
  </si>
  <si>
    <t>Horizon CSOB Jump start 1</t>
  </si>
  <si>
    <t>ČSOB Jump start 1</t>
  </si>
  <si>
    <t>BE6223787738</t>
  </si>
  <si>
    <t>Global Partners ČSOB Fixovany click USD 2</t>
  </si>
  <si>
    <t>ČSOB Fixovany click USD 2</t>
  </si>
  <si>
    <t>LU0670475838</t>
  </si>
  <si>
    <t>BE6225261922</t>
  </si>
  <si>
    <t>ČSOB Duo bonus 3</t>
  </si>
  <si>
    <t>Optimum fund ČSOB Duo bonus 3</t>
  </si>
  <si>
    <t>Maximal Invest 73</t>
  </si>
  <si>
    <t>LU0670471258</t>
  </si>
  <si>
    <t>ČSOB Digitální reverzní 5</t>
  </si>
  <si>
    <t>Global Partners CSOB Digitalni reverzni 5</t>
  </si>
  <si>
    <t>USB UN Equity</t>
  </si>
  <si>
    <t>LU0306696815/6</t>
  </si>
  <si>
    <t>LU0306696815/7</t>
  </si>
  <si>
    <t>LU0306696815/8</t>
  </si>
  <si>
    <t>LU0306696815/9</t>
  </si>
  <si>
    <t>LU0306696815/10</t>
  </si>
  <si>
    <t>LU0306696815/11</t>
  </si>
  <si>
    <t>LU0306696815/12</t>
  </si>
  <si>
    <t>LU0306696815/13</t>
  </si>
  <si>
    <t>LU0306696815/14</t>
  </si>
  <si>
    <t>LU0306696815/15</t>
  </si>
  <si>
    <t>LU0306696815/16</t>
  </si>
  <si>
    <t>LU0306696815/17</t>
  </si>
  <si>
    <t>LU0306696815/18</t>
  </si>
  <si>
    <t>US BANCORP</t>
  </si>
  <si>
    <t>LU0275127800/13</t>
  </si>
  <si>
    <t>LU0280622654/4</t>
  </si>
  <si>
    <t>BE0948255808</t>
  </si>
  <si>
    <t>BE0948253787</t>
  </si>
  <si>
    <t>Maximal Invest 34</t>
  </si>
  <si>
    <t>LU0254128266/9</t>
  </si>
  <si>
    <t>LU0254128266/10</t>
  </si>
  <si>
    <t>LU0254128266/11</t>
  </si>
  <si>
    <t>LU0254128266/12</t>
  </si>
  <si>
    <t>LU0254128266/13</t>
  </si>
  <si>
    <t>BE0948120424/3</t>
  </si>
  <si>
    <t>BE0948120424/4</t>
  </si>
  <si>
    <t>BE0948120424/5</t>
  </si>
  <si>
    <t>BE0948120424/6</t>
  </si>
  <si>
    <t>BE0948120424/7</t>
  </si>
  <si>
    <t>DJ Eurostoxx 50</t>
  </si>
  <si>
    <t>ČSOB Světového růstu + 9 (Fund Partners)</t>
  </si>
  <si>
    <t>ČSOB Světového růstu + 7 (Fund Partners)</t>
  </si>
  <si>
    <t xml:space="preserve">ČSOB PB Europe Short 1 (KBC Click) </t>
  </si>
  <si>
    <t>ČSOB PB Europe Short 2 (Horizon)</t>
  </si>
  <si>
    <t>ČSOB, PSB</t>
  </si>
  <si>
    <t>ČSOB, ČMSS, PSB</t>
  </si>
  <si>
    <t>KRAFT FOODS</t>
  </si>
  <si>
    <t>Fund Partners CSOB Click Program 5</t>
  </si>
  <si>
    <t>z koše byla vyřazena akcie Telecom Italia</t>
  </si>
  <si>
    <t>ČSOB Světový click+ 9 (Fund Partners)</t>
  </si>
  <si>
    <t>ČSOB Světový click+ USD 2 (Fund Partners)</t>
  </si>
  <si>
    <t>ČSOB Světový click+ EUR 1 (Fund Partners)</t>
  </si>
  <si>
    <t>SOCIETE GENERALE</t>
  </si>
  <si>
    <t>LU0233991131/15</t>
  </si>
  <si>
    <t>LU0233990596/4</t>
  </si>
  <si>
    <t>AGUAS DE BARCELONA-CLASS A</t>
  </si>
  <si>
    <t>AQUA AMERICA</t>
  </si>
  <si>
    <t>ČSOB Evropský click 1</t>
  </si>
  <si>
    <t>LU0620346451</t>
  </si>
  <si>
    <t>ČSOB Světového růstu +25</t>
  </si>
  <si>
    <t>LU0620346295</t>
  </si>
  <si>
    <t>BE0949016654/11</t>
  </si>
  <si>
    <t>BE0949016654/12</t>
  </si>
  <si>
    <t>BE0949016654/13</t>
  </si>
  <si>
    <t>BE0949016654/14</t>
  </si>
  <si>
    <t>BE0949016654/15</t>
  </si>
  <si>
    <t>BE0949016654/16</t>
  </si>
  <si>
    <t>BE0949016654/17</t>
  </si>
  <si>
    <t>BE6208645638/5</t>
  </si>
  <si>
    <t>BE6208645638/6</t>
  </si>
  <si>
    <t>BE6208645638/7</t>
  </si>
  <si>
    <t>BE6208645638/8</t>
  </si>
  <si>
    <t>BE6208645638/9</t>
  </si>
  <si>
    <t>BE6208645638/10</t>
  </si>
  <si>
    <t>BE6208645638/11</t>
  </si>
  <si>
    <t>BE6208645638/12</t>
  </si>
  <si>
    <t>BE6208645638/13</t>
  </si>
  <si>
    <t>BE6208645638/14</t>
  </si>
  <si>
    <t>BE6208645638/15</t>
  </si>
  <si>
    <t>BE6208645638/16</t>
  </si>
  <si>
    <t>ČSOB Globální invest 1 (Optimum fund)</t>
  </si>
  <si>
    <t>PROSINEC 09</t>
  </si>
  <si>
    <t>SRPEN 10</t>
  </si>
  <si>
    <t xml:space="preserve">PRŮMĚR </t>
  </si>
  <si>
    <t>BE0947507118/8</t>
  </si>
  <si>
    <t>LU0567760797</t>
  </si>
  <si>
    <t>BE6213170291</t>
  </si>
  <si>
    <t>LU0562901255</t>
  </si>
  <si>
    <t>BE6213171307</t>
  </si>
  <si>
    <t>BE6214085712</t>
  </si>
  <si>
    <t>BE6213739160</t>
  </si>
  <si>
    <r>
      <t xml:space="preserve">Průměrné zhodnocení </t>
    </r>
    <r>
      <rPr>
        <b/>
        <sz val="10"/>
        <color indexed="10"/>
        <rFont val="Arial CE"/>
        <charset val="238"/>
      </rPr>
      <t>-7,17%</t>
    </r>
  </si>
  <si>
    <r>
      <t xml:space="preserve">Průměrné zhdonocení * participace </t>
    </r>
    <r>
      <rPr>
        <b/>
        <sz val="10"/>
        <color indexed="10"/>
        <rFont val="Arial CE"/>
        <charset val="238"/>
      </rPr>
      <t>-3,94</t>
    </r>
  </si>
  <si>
    <t>ČSOB Click Program 4 (Fund Partners)</t>
  </si>
  <si>
    <t>ČSOB Bull &amp; Bear 1 (Fund Partners)</t>
  </si>
  <si>
    <t>FINÁLNÍ PARAM.</t>
  </si>
  <si>
    <t>ČSOB Private Banking Luxury nad Growth Stocks 1 (Horizon)</t>
  </si>
  <si>
    <t>KBC Click CSOB World Equities 2</t>
  </si>
  <si>
    <t>vyřazeno z koše</t>
  </si>
  <si>
    <t>ve čtvrtém období byla vyřazena akcie RBS</t>
  </si>
  <si>
    <t>BE0946177392</t>
  </si>
  <si>
    <t>BE6222688416</t>
  </si>
  <si>
    <t>ČSOB Globálních společností 1</t>
  </si>
  <si>
    <t>Optimum fund CSOB Globálních společností 1</t>
  </si>
  <si>
    <t>KBC Select Investors CSOB Premium 11</t>
  </si>
  <si>
    <t>ČSOB Premium 11</t>
  </si>
  <si>
    <t>Optimum fund ČSOB Exclusive Buffer Jumper 1</t>
  </si>
  <si>
    <t>ČSOB Exclusive Buffer Jumper 1</t>
  </si>
  <si>
    <t>BE6222687400</t>
  </si>
  <si>
    <t>BE0947755659/18</t>
  </si>
  <si>
    <t>ČSOB Světový strom 13 (Global Partners)</t>
  </si>
  <si>
    <t>ADVANCED MICRO DEVICES</t>
  </si>
  <si>
    <t>KBC Click CSOB World Equities 5</t>
  </si>
  <si>
    <t>BE0948662029</t>
  </si>
  <si>
    <t>Maximal Invest 44</t>
  </si>
  <si>
    <t>LU0233991131/6</t>
  </si>
  <si>
    <t>LU0233991131/7</t>
  </si>
  <si>
    <t>BE0947508124/5</t>
  </si>
  <si>
    <t>BE0947508124/6</t>
  </si>
  <si>
    <t>BE0947508124/7</t>
  </si>
  <si>
    <t>LU0279614951/16</t>
  </si>
  <si>
    <t>LU0280622654/1</t>
  </si>
  <si>
    <t>BE0947508124/14</t>
  </si>
  <si>
    <t>Maximal Invest 2</t>
  </si>
  <si>
    <t>BE0947507118/3</t>
  </si>
  <si>
    <t>BE0947507118/4</t>
  </si>
  <si>
    <t>BE0947507118/5</t>
  </si>
  <si>
    <t>BE0947507118/6</t>
  </si>
  <si>
    <t>BE0947507118/7</t>
  </si>
  <si>
    <t>ČSOB Světový strom EUR 1 (Fund Partners)</t>
  </si>
  <si>
    <t>ČSOB Reverzní click 6 (Fund Partners)</t>
  </si>
  <si>
    <t>ČSOB Světový strom 10 (Fund Partners)</t>
  </si>
  <si>
    <t>ČSOB Čínského růstu 1 (Fund Partners)</t>
  </si>
  <si>
    <t>ČSOB Exclusive Airbag Jumper 1 (Horizon)</t>
  </si>
  <si>
    <t>BE6217952587/1</t>
  </si>
  <si>
    <t>BE6217952587/2</t>
  </si>
  <si>
    <t>BE6217952587/3</t>
  </si>
  <si>
    <t>BE6217952587/4</t>
  </si>
  <si>
    <t>BE6217952587/5</t>
  </si>
  <si>
    <t>Horizon CSOB Exclusive Airbag Jumper 1</t>
  </si>
  <si>
    <t>v šestém období byla vyřazena akcie Sony</t>
  </si>
  <si>
    <t>Hodnota podkladového koše včetně průměrování / dle parametrů fondů</t>
  </si>
  <si>
    <t>Fund Partners CSOB Stock Selection Short Term 2</t>
  </si>
  <si>
    <t>HYUNDAI HEAVY INDUSTRIES</t>
  </si>
  <si>
    <t>LU0289335688/3</t>
  </si>
  <si>
    <t>LU0289335688/4</t>
  </si>
  <si>
    <t>LU0289335688/5</t>
  </si>
  <si>
    <t>LU0289335688/6</t>
  </si>
  <si>
    <t>LU0302430136/3</t>
  </si>
  <si>
    <t>BE0948081030/1</t>
  </si>
  <si>
    <t>BE0948081030/2</t>
  </si>
  <si>
    <t>BE0948081030/3</t>
  </si>
  <si>
    <t>BE0948081030/4</t>
  </si>
  <si>
    <t>LU0243781522/10</t>
  </si>
  <si>
    <t>LU0243781522/11</t>
  </si>
  <si>
    <t>LU0246705031/1</t>
  </si>
  <si>
    <t>LU0246705031/2</t>
  </si>
  <si>
    <t>LU0246705031/3</t>
  </si>
  <si>
    <t>PRŮMĚŘ</t>
  </si>
  <si>
    <t>Horizon CSOB PB Central Europe Winners 1</t>
  </si>
  <si>
    <t>Horizon CSOB Private Banking Emerging Markets 1</t>
  </si>
  <si>
    <t>ČSOB Harmonického růstu 1 (Fund Partners)</t>
  </si>
  <si>
    <t>LU0302430136/14</t>
  </si>
  <si>
    <t>LU0302430136/15</t>
  </si>
  <si>
    <t>Maximal Invest 47</t>
  </si>
  <si>
    <t>govbo</t>
  </si>
  <si>
    <t>BE0947598059/16</t>
  </si>
  <si>
    <t>BE0947754645/1</t>
  </si>
  <si>
    <t>BE0947754645/2</t>
  </si>
  <si>
    <t>BE0947754645/3</t>
  </si>
  <si>
    <t>ČSOB Světových pivovarů 2 (KBC Click)</t>
  </si>
  <si>
    <t xml:space="preserve">ČSOB Reverzního rozpětí 4 (KBC Click) </t>
  </si>
  <si>
    <t>LU0180692880/2</t>
  </si>
  <si>
    <t>LU0180692880/3</t>
  </si>
  <si>
    <t>LU0180692880/4</t>
  </si>
  <si>
    <t>LU0180692617/1</t>
  </si>
  <si>
    <t>LU0180692617/2</t>
  </si>
  <si>
    <t>LU0180692617/3</t>
  </si>
  <si>
    <t>ČSOB Světový click+ 2 (Fund Partners)</t>
  </si>
  <si>
    <t>APPLIED MATERIALS</t>
  </si>
  <si>
    <t>ČSOB Click s pamětí 2</t>
  </si>
  <si>
    <t>LU0512265264</t>
  </si>
  <si>
    <t>PGN UN Equity</t>
  </si>
  <si>
    <t>ROGERS COMMUNICATIONS</t>
  </si>
  <si>
    <t>RCI/B CT Equity</t>
  </si>
  <si>
    <t>ČSOB Fixovaný Click 2 (Global Partners)</t>
  </si>
  <si>
    <t>LU0228824065/42</t>
  </si>
  <si>
    <t>Maximal Invest 71</t>
  </si>
  <si>
    <t>Maximal Invest 72</t>
  </si>
  <si>
    <t>LU0292711198/12</t>
  </si>
  <si>
    <t>LU0254128001/3</t>
  </si>
  <si>
    <t>LU0254128001/4</t>
  </si>
  <si>
    <t>LU0254128001/5</t>
  </si>
  <si>
    <t>LU0254128001/6</t>
  </si>
  <si>
    <t>LU0254128001/7</t>
  </si>
  <si>
    <t>LU0254128001/8</t>
  </si>
  <si>
    <t>LU0254128001/9</t>
  </si>
  <si>
    <t>BE0948820635</t>
  </si>
  <si>
    <t>ČSOB Světový click+ USD 5 (Fund Partners)</t>
  </si>
  <si>
    <t>HUF/EUR</t>
  </si>
  <si>
    <t>CHINA COMMUNICATIONS CONSTRUCTIONS</t>
  </si>
  <si>
    <t>1800 HK Equity</t>
  </si>
  <si>
    <t>CHINA HIGH SPEED TRANSMISSION</t>
  </si>
  <si>
    <t>658 HK Equity</t>
  </si>
  <si>
    <t>žádná akcie nepřekročila bariéru</t>
  </si>
  <si>
    <t>Fund Partners CSOB Click Reverse 4</t>
  </si>
  <si>
    <t>Fund Partners CSOB World Growth Plus 3</t>
  </si>
  <si>
    <t>ITX SM</t>
  </si>
  <si>
    <t>ČSOB Globálního růstu +6 (Horizon)</t>
  </si>
  <si>
    <t>ČSOB Private Banking World Lookback 1 (Horizon)</t>
  </si>
  <si>
    <t>ČSOB Komodity 1 (Horizon)</t>
  </si>
  <si>
    <t>ČSOB Private Banking Jumpstart 1 (Horizon)</t>
  </si>
  <si>
    <t>BBVA SM Equity</t>
  </si>
  <si>
    <t>SAND SS Equity</t>
  </si>
  <si>
    <t xml:space="preserve">aktuální hodnota </t>
  </si>
  <si>
    <t>LU0264741751</t>
  </si>
  <si>
    <t>LU0264742643</t>
  </si>
  <si>
    <t>LU0268096574</t>
  </si>
  <si>
    <t xml:space="preserve">ve druhém období byla dosažena hranice u Telecom Italia </t>
  </si>
  <si>
    <t>plain vanila Q averaging + best of</t>
  </si>
  <si>
    <t>SHIRE PLC</t>
  </si>
  <si>
    <t>CELGENE CORP</t>
  </si>
  <si>
    <t>4503 JT Equity</t>
  </si>
  <si>
    <t>BE0947510146/8</t>
  </si>
  <si>
    <t>BE0947510146/9</t>
  </si>
  <si>
    <t>BE0947510146/10</t>
  </si>
  <si>
    <t>DAX Price Index</t>
  </si>
  <si>
    <t>DAXK Index</t>
  </si>
  <si>
    <t>BE6209684354</t>
  </si>
  <si>
    <t>ČSOB Private Banking Europe Bull &amp; Bear 1</t>
  </si>
  <si>
    <t>Optimum fund ČSOB Private Banking Europe Bull &amp; Bear 1</t>
  </si>
  <si>
    <t>ČSOB Fixovaný click 12 (Global Partners)</t>
  </si>
  <si>
    <t>LU0533526850/1</t>
  </si>
  <si>
    <t>LU0533526850/2</t>
  </si>
  <si>
    <t>LU0533526850/3</t>
  </si>
  <si>
    <t>LU0533526850/4</t>
  </si>
  <si>
    <t>LU0533526850/5</t>
  </si>
  <si>
    <t>ATLANTIA SPA</t>
  </si>
  <si>
    <t>ATL IM Equity</t>
  </si>
  <si>
    <t>BRITISH LAND</t>
  </si>
  <si>
    <t>BLND LN Equity</t>
  </si>
  <si>
    <t>BE0947507118/11</t>
  </si>
  <si>
    <t>BE0947507118/12</t>
  </si>
  <si>
    <t>BE0947507118/13</t>
  </si>
  <si>
    <t>BE0947507118/14</t>
  </si>
  <si>
    <t>BE0947507118/15</t>
  </si>
  <si>
    <t>BE0947507118/16</t>
  </si>
  <si>
    <t>BE0947508124/1</t>
  </si>
  <si>
    <t>LU0306697037/2</t>
  </si>
  <si>
    <t>LU0306697037/3</t>
  </si>
  <si>
    <t>ČSOB Reverzny 3</t>
  </si>
  <si>
    <t>LU0421750307</t>
  </si>
  <si>
    <t>reverse click</t>
  </si>
  <si>
    <t>KBC Reverzny 3 (Global Partners)</t>
  </si>
  <si>
    <t>Maximal Invest 41, PSB</t>
  </si>
  <si>
    <t>Maximal Invest 43</t>
  </si>
  <si>
    <t>ČSOB World Growth Short 1 (Horizon)</t>
  </si>
  <si>
    <t>ČSOB Digitální Reverzní 4 (Global Partners)</t>
  </si>
  <si>
    <t>KBC Click CSOB Water 1</t>
  </si>
  <si>
    <t>Horizon CSOB Central European Currencies 1</t>
  </si>
  <si>
    <t>ORCO PROPERTY GROUP</t>
  </si>
  <si>
    <t>LU0193667663/3</t>
  </si>
  <si>
    <t>LU0193667663/4</t>
  </si>
  <si>
    <t>LU0193667663/5</t>
  </si>
  <si>
    <t>LU0191081982/1</t>
  </si>
  <si>
    <t>LU0191081982/2</t>
  </si>
  <si>
    <t>LU0191081982/3</t>
  </si>
  <si>
    <t>LU0191081982/4</t>
  </si>
  <si>
    <t>LU0191081982/5</t>
  </si>
  <si>
    <t>4519 JT Equity</t>
  </si>
  <si>
    <t>EMR UN Equity</t>
  </si>
  <si>
    <t>HNZ UN Equity</t>
  </si>
  <si>
    <t>HOLN VX Equity</t>
  </si>
  <si>
    <t>INCH LN Equity</t>
  </si>
  <si>
    <t>LIN GY Equity</t>
  </si>
  <si>
    <t>BE0947510146/7</t>
  </si>
  <si>
    <t>ČSOB Světové akcie 5</t>
  </si>
  <si>
    <t>ČSOB Světové akcie 6</t>
  </si>
  <si>
    <t>ČSOB PB Steepener 1 (KBC Click)</t>
  </si>
  <si>
    <t>ČSOB Světový strom 16 (Global Partners)</t>
  </si>
  <si>
    <t>LU0220509151/8</t>
  </si>
  <si>
    <t>ČSOB Fixovaného růstu 2</t>
  </si>
  <si>
    <t>ČSOB Středoevropských šampionů 1</t>
  </si>
  <si>
    <t>MOTOROLA</t>
  </si>
  <si>
    <t>YAHOO!</t>
  </si>
  <si>
    <t>STMMICROELECTRONICS</t>
  </si>
  <si>
    <t>LU0180692617</t>
  </si>
  <si>
    <t>BE6200242020/1</t>
  </si>
  <si>
    <t>BE6200242020/2</t>
  </si>
  <si>
    <t>BE6200242020/3</t>
  </si>
  <si>
    <t>BE6200242020/4</t>
  </si>
  <si>
    <t>ČSOB Airbag jumper 1 (Optimum fund)</t>
  </si>
  <si>
    <t>BE6200916946/1</t>
  </si>
  <si>
    <t>BE6200916946/2</t>
  </si>
  <si>
    <t>BE6200916946/3</t>
  </si>
  <si>
    <t>BE6200916946/4</t>
  </si>
  <si>
    <t>BE6200916946/5</t>
  </si>
  <si>
    <t>BE6200242020/5</t>
  </si>
  <si>
    <t>ČSOB Světový click USD+ 4 (Fund Partners)</t>
  </si>
  <si>
    <t>LU0283973138/4</t>
  </si>
  <si>
    <t>LU0283973138/5</t>
  </si>
  <si>
    <t>LU0283973138/6</t>
  </si>
  <si>
    <t>LU0283973138/7</t>
  </si>
  <si>
    <t>BE0948820635/11</t>
  </si>
  <si>
    <t>BE0948820635/12</t>
  </si>
  <si>
    <t>BE0949016654/19</t>
  </si>
  <si>
    <t>BE0949016654/20</t>
  </si>
  <si>
    <t>PUB FP Equity</t>
  </si>
  <si>
    <t>RYANAIR HOLDINGS PLC</t>
  </si>
  <si>
    <t>BE0948255808/1</t>
  </si>
  <si>
    <t>LU0279614951/12</t>
  </si>
  <si>
    <t>LU0279614951/13</t>
  </si>
  <si>
    <t>BE0948820635/25</t>
  </si>
  <si>
    <t>PEP UN Equity</t>
  </si>
  <si>
    <t>PFE UN Equity</t>
  </si>
  <si>
    <r>
      <t>JOHNSON</t>
    </r>
    <r>
      <rPr>
        <sz val="10"/>
        <rFont val="Arial"/>
        <family val="2"/>
        <charset val="238"/>
      </rPr>
      <t>&amp;JOHNSON</t>
    </r>
  </si>
  <si>
    <t>Broad Commodity Index</t>
  </si>
  <si>
    <t>Telecom Italia byla vyřazena z koše</t>
  </si>
  <si>
    <t>TFI FP Equity</t>
  </si>
  <si>
    <t>BE0948120424/11</t>
  </si>
  <si>
    <t>ČSOB Světového růstu +12 (Fund Partners)</t>
  </si>
  <si>
    <t>BE0947752623/14</t>
  </si>
  <si>
    <t>BE0947752623/15</t>
  </si>
  <si>
    <t>BE0947752623/16</t>
  </si>
  <si>
    <t>BE0948039582/1</t>
  </si>
  <si>
    <t>BE0948039582/2</t>
  </si>
  <si>
    <t>LU0302430136/26</t>
  </si>
  <si>
    <t>LU0302430136/27</t>
  </si>
  <si>
    <t>LU0289334871/2</t>
  </si>
  <si>
    <t>LU0366358199/6</t>
  </si>
  <si>
    <t>VZ UN</t>
  </si>
  <si>
    <t>ČSOB Světový click+ 25 (Fund Partners)</t>
  </si>
  <si>
    <t>LU0362469362/1</t>
  </si>
  <si>
    <t>LU0362469362/2</t>
  </si>
  <si>
    <t>LU0362469362/3</t>
  </si>
  <si>
    <t>LU0362469362/4</t>
  </si>
  <si>
    <t>LU0362469362/5</t>
  </si>
  <si>
    <t>BE0948253787/1</t>
  </si>
  <si>
    <t>BE0948253787/2</t>
  </si>
  <si>
    <t>BE0948253787/3</t>
  </si>
  <si>
    <t>BE0948253787/4</t>
  </si>
  <si>
    <t>ČSOB Private Banking Family Enterprises (KBC Click)</t>
  </si>
  <si>
    <t>ČSOB Jumper plus 1 (Horizon)</t>
  </si>
  <si>
    <t>8.období</t>
  </si>
  <si>
    <t>LU0171686735</t>
  </si>
  <si>
    <t>hodnota 1 akcie v upisovacím období</t>
  </si>
  <si>
    <t>ČSOB Světový click+ USD 1 (Fund Partners)</t>
  </si>
  <si>
    <t>ČSOB Světový click+ 24</t>
  </si>
  <si>
    <t>ČSOB Evropského růstu+ 2</t>
  </si>
  <si>
    <t>LU0209319499/2</t>
  </si>
  <si>
    <t>LU0306697896/12</t>
  </si>
  <si>
    <t>PRŮMĚR</t>
  </si>
  <si>
    <t>ČSOB Digitální click 1 (Fund Partners)</t>
  </si>
  <si>
    <t>BOUYGUES</t>
  </si>
  <si>
    <t>EN FP Equity</t>
  </si>
  <si>
    <t>P G &amp; E CORP</t>
  </si>
  <si>
    <t>SBM OFFSHORE NV</t>
  </si>
  <si>
    <t>SBMO NA Equity</t>
  </si>
  <si>
    <t>ČSOB Globálního růstu+ 5</t>
  </si>
  <si>
    <t>ČSOB Bonusový fond 1 (Horizon)</t>
  </si>
  <si>
    <t>ČSOB Fixovaný Click 10 (Global Partners)</t>
  </si>
  <si>
    <t>LU0474458683/1</t>
  </si>
  <si>
    <t>LU0474458683/2</t>
  </si>
  <si>
    <t>LU0474458683/3</t>
  </si>
  <si>
    <t>BE0948075941</t>
  </si>
  <si>
    <t xml:space="preserve">ČSOB Emerging Forex 1 (Horizon) </t>
  </si>
  <si>
    <t>BE0948360889/1</t>
  </si>
  <si>
    <t>EUR/RUB</t>
  </si>
  <si>
    <t>EUR/BRL</t>
  </si>
  <si>
    <t>EUR/TRY</t>
  </si>
  <si>
    <t>EUR/IDR</t>
  </si>
  <si>
    <t>EUR/INR</t>
  </si>
  <si>
    <t>EUCFRUB Crncy</t>
  </si>
  <si>
    <t>LU0254127961</t>
  </si>
  <si>
    <t>LU0254128001</t>
  </si>
  <si>
    <t>ČSOB Světového růstu + 15 (Fund Partners)</t>
  </si>
  <si>
    <t>ČSOB Evropského Nemovitostvího růstu 2 (Fund Partners)</t>
  </si>
  <si>
    <t>ČSOB Evropského růstu +2 (Fund Partners)</t>
  </si>
  <si>
    <t>LU0249278069/1</t>
  </si>
  <si>
    <t>LU0249276956/1</t>
  </si>
  <si>
    <t>LU0249276956/2</t>
  </si>
  <si>
    <t>ČSOB Světový click+ 7 (Fund Partners)</t>
  </si>
  <si>
    <t>strom</t>
  </si>
  <si>
    <t>LU0264742056/6</t>
  </si>
  <si>
    <t>LU0264742056/7</t>
  </si>
  <si>
    <t>LU0283973641/4</t>
  </si>
  <si>
    <t>LU0283973641/5</t>
  </si>
  <si>
    <t>LU0283973641/6</t>
  </si>
  <si>
    <t>LU0283973641/7</t>
  </si>
  <si>
    <t>LU0283973641/8</t>
  </si>
  <si>
    <t>LU0283973641/9</t>
  </si>
  <si>
    <t>LU0283973641/10</t>
  </si>
  <si>
    <t>LU0283973641/11</t>
  </si>
  <si>
    <t>BE0947441425/4</t>
  </si>
  <si>
    <t>BE0947441425/5</t>
  </si>
  <si>
    <t>LU0254128183</t>
  </si>
  <si>
    <t>Maximal Invest 13</t>
  </si>
  <si>
    <t>LU0233991131/24</t>
  </si>
  <si>
    <t>LU0233991131/25</t>
  </si>
  <si>
    <t>LU0233991131/26</t>
  </si>
  <si>
    <t>LU0233991131/27</t>
  </si>
  <si>
    <t>KBC Click CSOB Reverse Spread 5</t>
  </si>
  <si>
    <t>Fund Partners CSOB Pharma &amp; Biotech 1</t>
  </si>
  <si>
    <t>KBC Click CSOB Mega Caps 1</t>
  </si>
  <si>
    <t>Fund Partners CSOB World Click Plus 18</t>
  </si>
  <si>
    <t>váž. zhodnoc.</t>
  </si>
  <si>
    <t>6.období</t>
  </si>
  <si>
    <t>7.období</t>
  </si>
  <si>
    <t>Fund Partners CSOB World Tree 2</t>
  </si>
  <si>
    <t>LU0327242995/2</t>
  </si>
  <si>
    <t>LU0327242995/3</t>
  </si>
  <si>
    <t>LU0327242995/4</t>
  </si>
  <si>
    <t>LU0327242995/5</t>
  </si>
  <si>
    <t>LU0327242995/6</t>
  </si>
  <si>
    <t>BE0947597044/1</t>
  </si>
  <si>
    <t>BE0947597044/2</t>
  </si>
  <si>
    <t>září 09</t>
  </si>
  <si>
    <t>HUANENG POWER INTL INC</t>
  </si>
  <si>
    <t>902 HK Equity</t>
  </si>
  <si>
    <t>JACOBS ENGINEERING GROUP INC</t>
  </si>
  <si>
    <t>JEC UN Equity</t>
  </si>
  <si>
    <t>LU0220509748/11</t>
  </si>
  <si>
    <t>LU0220509151/1</t>
  </si>
  <si>
    <t>LU0220509151/2</t>
  </si>
  <si>
    <t>LU0220509151/3</t>
  </si>
  <si>
    <t>LU0220509151/4</t>
  </si>
  <si>
    <t>LU0220509151/5</t>
  </si>
  <si>
    <t>LU0220509151/6</t>
  </si>
  <si>
    <t>LU0220509151/7</t>
  </si>
  <si>
    <t>ČSOB Světový click+ USD 6 (Fund Partners)</t>
  </si>
  <si>
    <t>ČSOB Světový strom 11 (Fund Partners)</t>
  </si>
  <si>
    <t>GILEAD SCIENCES INC</t>
  </si>
  <si>
    <t>LU0233990166</t>
  </si>
  <si>
    <t>BE0945628726</t>
  </si>
  <si>
    <t>BE0945674217</t>
  </si>
  <si>
    <t>LU0233990596</t>
  </si>
  <si>
    <t>Maximal Invest 9</t>
  </si>
  <si>
    <t>Cena</t>
  </si>
  <si>
    <t>DJ EuroStoxx 51</t>
  </si>
  <si>
    <t>DJ EuroStoxx 52</t>
  </si>
  <si>
    <t>DJ EuroStoxx 53</t>
  </si>
  <si>
    <t>DJ EuroStoxx 54</t>
  </si>
  <si>
    <t>DJ EuroStoxx 55</t>
  </si>
  <si>
    <t>DJ EuroStoxx 56</t>
  </si>
  <si>
    <t>HAL UN Equity</t>
  </si>
  <si>
    <t>LU0169762704/1</t>
  </si>
  <si>
    <t>LU0169762704/2</t>
  </si>
  <si>
    <t>BE0947552569/19</t>
  </si>
  <si>
    <t>BE0947552569/20</t>
  </si>
  <si>
    <t>BE0947552569/21</t>
  </si>
  <si>
    <t>BE0947552569/22</t>
  </si>
  <si>
    <t>BE0947754645/22</t>
  </si>
  <si>
    <t>BE0948191169/1</t>
  </si>
  <si>
    <t>BE0948191169/2</t>
  </si>
  <si>
    <t>BE0948191169/3</t>
  </si>
  <si>
    <t>CL UN Equity</t>
  </si>
  <si>
    <t>BE0947552569/18</t>
  </si>
  <si>
    <t>KBC Select Investors CSOB Premium 10</t>
  </si>
  <si>
    <t>KBC Click CSOB Private Banking Global Leaders 1</t>
  </si>
  <si>
    <t>ČSOB Býci a medvědi plus 1</t>
  </si>
  <si>
    <t>Global Partners CSOB Fixovany click USD 1</t>
  </si>
  <si>
    <t>ČSOB Fixovaný click USD 1</t>
  </si>
  <si>
    <t>ČSOB Prémiový fond 10</t>
  </si>
  <si>
    <t>ČSOB Private Banking Global Leaders 1</t>
  </si>
  <si>
    <t>LU0190374362/3</t>
  </si>
  <si>
    <t>LU0190374362/4</t>
  </si>
  <si>
    <t xml:space="preserve">ČSOB Světový strom 12 (Fund Partners) </t>
  </si>
  <si>
    <t>914 HK Equity</t>
  </si>
  <si>
    <t>BHP BILITON</t>
  </si>
  <si>
    <t>BLT LN Equity</t>
  </si>
  <si>
    <t>Global Partners CSOB Fixovany Click 1</t>
  </si>
  <si>
    <t>fix upside click</t>
  </si>
  <si>
    <t>ROYAL DUTCH</t>
  </si>
  <si>
    <t>ROYAL BANK OF SCOTLAND</t>
  </si>
  <si>
    <t>ING GROEP</t>
  </si>
  <si>
    <t>LU0299475623/15</t>
  </si>
  <si>
    <t>LU0299475623/16</t>
  </si>
  <si>
    <t>BE0947263589/1</t>
  </si>
  <si>
    <t>BE0947263589/2</t>
  </si>
  <si>
    <t>BE0947263589/3</t>
  </si>
  <si>
    <t>LU0479976747</t>
  </si>
  <si>
    <t>LU0484885016</t>
  </si>
  <si>
    <t>LU0317821394/26</t>
  </si>
  <si>
    <t>LU0317821394/27</t>
  </si>
  <si>
    <t>LU0317821394/28</t>
  </si>
  <si>
    <t>LU0239831760/5</t>
  </si>
  <si>
    <t>LU0243781365/1</t>
  </si>
  <si>
    <t>LU0243781365/2</t>
  </si>
  <si>
    <t>LU0502408940</t>
  </si>
  <si>
    <t>Maximal Invest 57</t>
  </si>
  <si>
    <t>BE0935050675</t>
  </si>
  <si>
    <t>ČSOB Top start 3</t>
  </si>
  <si>
    <t>Optimum fund CSOB Top start 3</t>
  </si>
  <si>
    <t>LU0264742056/13</t>
  </si>
  <si>
    <t>LU0264742056/14</t>
  </si>
  <si>
    <t>Global Partners CSOB World Growth Plus 20</t>
  </si>
  <si>
    <t>LU0238572431/1</t>
  </si>
  <si>
    <t>PS Dividendový fond 2 (KBC Click)</t>
  </si>
  <si>
    <t>ČSOB Komodity 2 (Horizon)</t>
  </si>
  <si>
    <t>BE0948079018/1</t>
  </si>
  <si>
    <t>LU0459407721</t>
  </si>
  <si>
    <t>VOW GY</t>
  </si>
  <si>
    <t>ČSOB Reverzního rozpětí 2 (KBC Click)</t>
  </si>
  <si>
    <t>TWX UN Equity</t>
  </si>
  <si>
    <t>WMT UN Equity</t>
  </si>
  <si>
    <t>LU0264742056</t>
  </si>
  <si>
    <t>Maximal Invest 15</t>
  </si>
  <si>
    <t>Maximal Invest 16</t>
  </si>
  <si>
    <t>D UN Equity</t>
  </si>
  <si>
    <t>LU0249276956/12</t>
  </si>
  <si>
    <t>LU0249276956/13</t>
  </si>
  <si>
    <t>LU0249276956/14</t>
  </si>
  <si>
    <t>LU0249276956/15</t>
  </si>
  <si>
    <t>LU0249276956/16</t>
  </si>
  <si>
    <t>UNICREDITO ITALIANO</t>
  </si>
  <si>
    <t>DEUTSCHE TELEKOM</t>
  </si>
  <si>
    <t>FRANCE TELECOM</t>
  </si>
  <si>
    <t>THYSSENKRUPP</t>
  </si>
  <si>
    <t>ČSOB Středoevropský region 2 (Horizon)</t>
  </si>
  <si>
    <t>Fund Partners CSOB World Growth Plus 16</t>
  </si>
  <si>
    <t>Horizon CSOB Private Banking BRIC 1</t>
  </si>
  <si>
    <t>Fund Partners CSOB Asian Winners 2</t>
  </si>
  <si>
    <t>BE0947755659/1</t>
  </si>
  <si>
    <t>BE0947755659/2</t>
  </si>
  <si>
    <t>ČSOB Reverzní click 4</t>
  </si>
  <si>
    <t>ČSOB Světového růstu+ 6</t>
  </si>
  <si>
    <t>LU0171683120/4</t>
  </si>
  <si>
    <t>LU0171683120/5</t>
  </si>
  <si>
    <t>BE0947753639/2</t>
  </si>
  <si>
    <t>BE0948038576</t>
  </si>
  <si>
    <t>Maximal Invest 30</t>
  </si>
  <si>
    <t>LU0567760797/1</t>
  </si>
  <si>
    <t>LU0567760797/2</t>
  </si>
  <si>
    <t>LU0567760797/3</t>
  </si>
  <si>
    <t>LU0567760797/4</t>
  </si>
  <si>
    <t>LU0567760797/5</t>
  </si>
  <si>
    <t>LU0249276956/28</t>
  </si>
  <si>
    <t>LU0249276956/29</t>
  </si>
  <si>
    <t>LU0249276956/30</t>
  </si>
  <si>
    <t>LU0249276956/31</t>
  </si>
  <si>
    <t>LU0249276956/32</t>
  </si>
  <si>
    <t>LU0249276956/33</t>
  </si>
  <si>
    <t>LU0249276956/34</t>
  </si>
  <si>
    <t xml:space="preserve">ČSOB Středoevropské měny 3 (Horizon) </t>
  </si>
  <si>
    <t>LU0264742056/15</t>
  </si>
  <si>
    <t>LU0264742056/16</t>
  </si>
  <si>
    <t>LU0254128001/1</t>
  </si>
  <si>
    <t>LU0254128001/2</t>
  </si>
  <si>
    <t>LU0275127800/15</t>
  </si>
  <si>
    <t>LU0275127800/16</t>
  </si>
  <si>
    <t>LU0279608474/1</t>
  </si>
  <si>
    <t>LU0279608474/2</t>
  </si>
  <si>
    <t>LU0279608474/3</t>
  </si>
  <si>
    <t>LU0279608474/4</t>
  </si>
  <si>
    <t>LU0279608474/5</t>
  </si>
  <si>
    <t>LU0279281884/1</t>
  </si>
  <si>
    <t>LU0279614951/1</t>
  </si>
  <si>
    <t>LU0279614951/2</t>
  </si>
  <si>
    <t>LU0279614951/3</t>
  </si>
  <si>
    <t>LU0279614951/4</t>
  </si>
  <si>
    <t>LU0279614951/5</t>
  </si>
  <si>
    <t>LU0279614951/6</t>
  </si>
  <si>
    <t>LU0279614951/7</t>
  </si>
  <si>
    <t>LU0279614951/8</t>
  </si>
  <si>
    <t>LU0279614951/9</t>
  </si>
  <si>
    <t>Optimum fund CSOB Rozvoj infrastruktury 1</t>
  </si>
  <si>
    <t>BE0947510146/15</t>
  </si>
  <si>
    <t>HOLCIM</t>
  </si>
  <si>
    <t>INCHCAPE</t>
  </si>
  <si>
    <t>LU0215860130/10</t>
  </si>
  <si>
    <t>LU0254128266/16</t>
  </si>
  <si>
    <t>LU0254128266/17</t>
  </si>
  <si>
    <t>LU0254128266/18</t>
  </si>
  <si>
    <t>LU0254128266/19</t>
  </si>
  <si>
    <t>BE0947508124/15</t>
  </si>
  <si>
    <t>BE0947508124/16</t>
  </si>
  <si>
    <t>ČSOB PB Commodity 1</t>
  </si>
  <si>
    <t>LU0311893811/4</t>
  </si>
  <si>
    <t>BE0947441425/8</t>
  </si>
  <si>
    <t>BE0947441425/9</t>
  </si>
  <si>
    <t>BE0947441425/10</t>
  </si>
  <si>
    <t>BE0947441425/11</t>
  </si>
  <si>
    <t>PCG UN Equity</t>
  </si>
  <si>
    <t>ASSICURAZIONI GENERALI</t>
  </si>
  <si>
    <t>BE0947320181</t>
  </si>
  <si>
    <t>DEUTSCHE POST AG-REG</t>
  </si>
  <si>
    <t>EDP PL Equity</t>
  </si>
  <si>
    <t>ENERGIAS DE PORTUGAL SA</t>
  </si>
  <si>
    <t>S&amp;P BRIC 40 (EURO) CME</t>
  </si>
  <si>
    <t>3M</t>
  </si>
  <si>
    <t>ATLAS COP</t>
  </si>
  <si>
    <t>LU0306697896/9</t>
  </si>
  <si>
    <t>LU0306697896/10</t>
  </si>
  <si>
    <t>3382 JT Equity</t>
  </si>
  <si>
    <t>LU0562901255/1</t>
  </si>
  <si>
    <t>LU0562901255/2</t>
  </si>
  <si>
    <t>LU0562901255/3</t>
  </si>
  <si>
    <t>LU0562901255/4</t>
  </si>
  <si>
    <t>LU0562901255/5</t>
  </si>
  <si>
    <t>BE0947754645/4</t>
  </si>
  <si>
    <t>BE0947754645/5</t>
  </si>
  <si>
    <t>BE0947754645/6</t>
  </si>
  <si>
    <t>LU0171683559/1</t>
  </si>
  <si>
    <t>LU0220509748/4</t>
  </si>
  <si>
    <t>LU0243781522</t>
  </si>
  <si>
    <t>BE0945890433</t>
  </si>
  <si>
    <t>RDSA NA Equity</t>
  </si>
  <si>
    <t>OR FP Equity</t>
  </si>
  <si>
    <t>FINÁLNÍ PARAMETRY</t>
  </si>
  <si>
    <t>SSABA SS Equity</t>
  </si>
  <si>
    <t>COMMONWEALTH BANK OF AUSTRALIA</t>
  </si>
  <si>
    <t>CBA AU Equity</t>
  </si>
  <si>
    <t>NATIONAL AUSTRALIA BANK</t>
  </si>
  <si>
    <t>NAB AU Equity</t>
  </si>
  <si>
    <t>ROYAL BANK OF CANADA</t>
  </si>
  <si>
    <t>LU0302430136/17</t>
  </si>
  <si>
    <t>LU0302430136/18</t>
  </si>
  <si>
    <t>TE VA PHARMACEUTICAL-SP ADR</t>
  </si>
  <si>
    <t>p.a. při posledně známé ceně</t>
  </si>
  <si>
    <t>absolutní při poslední ceně</t>
  </si>
  <si>
    <t xml:space="preserve"> </t>
  </si>
  <si>
    <t>Název</t>
  </si>
  <si>
    <t>Ticker</t>
  </si>
  <si>
    <t>Ticker Equity</t>
  </si>
  <si>
    <t>ABT UN</t>
  </si>
  <si>
    <t>ABT UN Equity</t>
  </si>
  <si>
    <t>ABBN VX Equity</t>
  </si>
  <si>
    <t>LU0239832222/1</t>
  </si>
  <si>
    <t>konečná hodnota průměr 5 dnů - konečné zhodnocení vyplaceno 9%</t>
  </si>
  <si>
    <t>BATS LN</t>
  </si>
  <si>
    <t>BNP FP</t>
  </si>
  <si>
    <t>BNP FP Equity</t>
  </si>
  <si>
    <t>BP/ LN Equity</t>
  </si>
  <si>
    <t>CA FP Equity</t>
  </si>
  <si>
    <t>SGO FP Equity</t>
  </si>
  <si>
    <t>C UN Equity</t>
  </si>
  <si>
    <t>BN FP</t>
  </si>
  <si>
    <t>BN FP Equity</t>
  </si>
  <si>
    <t>DELB BB Equity</t>
  </si>
  <si>
    <t>Reynolds</t>
  </si>
  <si>
    <t>Roche</t>
  </si>
  <si>
    <t>Fund Partners CSOB World Click Plus 20</t>
  </si>
  <si>
    <t>RICHT HB Equity</t>
  </si>
  <si>
    <t>TELEFONICA O2 CZECH REPUBLIC</t>
  </si>
  <si>
    <t>Maximal Invest 4</t>
  </si>
  <si>
    <t>Maximal Invest 5</t>
  </si>
  <si>
    <t>Maximal Invest 6</t>
  </si>
  <si>
    <t>ČSOB Private Banking Consumer Trends 1 (KBC click)</t>
  </si>
  <si>
    <t>ACE</t>
  </si>
  <si>
    <t>BAXTER</t>
  </si>
  <si>
    <t>BAX UN Equity</t>
  </si>
  <si>
    <t>ESPRIT</t>
  </si>
  <si>
    <t>YUM BRANDS</t>
  </si>
  <si>
    <t>YUM UN Equity</t>
  </si>
  <si>
    <t>ČSOB Private Banking Global Leaders 1 (KBC click)</t>
  </si>
  <si>
    <t>PPL CORP</t>
  </si>
  <si>
    <t>PPL UN Equity</t>
  </si>
  <si>
    <t>SEMPRA ENERGY</t>
  </si>
  <si>
    <t>SRE UN Equity</t>
  </si>
  <si>
    <t>SEVEN &amp; I HOLDINGS</t>
  </si>
  <si>
    <t>Fund Partners CSOB World Tree USD 1</t>
  </si>
  <si>
    <t>Fund Partners CSOB World Tree 4</t>
  </si>
  <si>
    <t>Fund Partners CSOB World Tree 5</t>
  </si>
  <si>
    <t>RIO TINTO</t>
  </si>
  <si>
    <t>STANDARD CHARTERED</t>
  </si>
  <si>
    <t>YULE CATTO &amp; COMPANY</t>
  </si>
  <si>
    <t>MMM UN Equity</t>
  </si>
  <si>
    <t>ČSOB Click Program 1 (Fund Partners)</t>
  </si>
  <si>
    <t>ČSOB Equity + 2 (Fund Partners)</t>
  </si>
  <si>
    <t>KBC Click CSOB World Equities 1</t>
  </si>
  <si>
    <t>KBC Click CSOB European Equities 2</t>
  </si>
  <si>
    <t>KBC Equisafe CSOB World investments 2</t>
  </si>
  <si>
    <t>NATIONAL GRID</t>
  </si>
  <si>
    <t>NOVARTIS</t>
  </si>
  <si>
    <t>Horizon CSOB Short Term Growth 7</t>
  </si>
  <si>
    <t>KBC Click CSOB Water 3</t>
  </si>
  <si>
    <t>BE0949094461/4</t>
  </si>
  <si>
    <t>COP UN Equity</t>
  </si>
  <si>
    <t>LU0292714531/4</t>
  </si>
  <si>
    <t>LU0292714531/5</t>
  </si>
  <si>
    <t>BE0947321197/1</t>
  </si>
  <si>
    <t>BE0947321197/2</t>
  </si>
  <si>
    <t>BE0947753639/12</t>
  </si>
  <si>
    <t>BE0947753639/13</t>
  </si>
  <si>
    <t>BE0947753639/14</t>
  </si>
  <si>
    <t>Fund Partners CSOB World Growth Plus 4</t>
  </si>
  <si>
    <t>SO UN Equity</t>
  </si>
  <si>
    <t>4502 JT</t>
  </si>
  <si>
    <t>4502 JT Equity</t>
  </si>
  <si>
    <t>TIT IM Equity</t>
  </si>
  <si>
    <t>TEF SM Equity</t>
  </si>
  <si>
    <t>FP FP Equity</t>
  </si>
  <si>
    <t>7203 JT Equity</t>
  </si>
  <si>
    <t>UCB BB</t>
  </si>
  <si>
    <t>UCB BB Equity</t>
  </si>
  <si>
    <t>UNA NA</t>
  </si>
  <si>
    <t>UNA NA Equity</t>
  </si>
  <si>
    <t>BE0948358867</t>
  </si>
  <si>
    <t>MO UN Equity</t>
  </si>
  <si>
    <t>BA/ LN</t>
  </si>
  <si>
    <t>PG UN</t>
  </si>
  <si>
    <t>PG UN Equity</t>
  </si>
  <si>
    <t>REP SM Equity</t>
  </si>
  <si>
    <t>ROG VX Equity</t>
  </si>
  <si>
    <t>RBS LN Equity</t>
  </si>
  <si>
    <t>RWE GY Equity</t>
  </si>
  <si>
    <t>BE0948191169/11</t>
  </si>
  <si>
    <t>BE0948191169/12</t>
  </si>
  <si>
    <t>BE0948191169/13</t>
  </si>
  <si>
    <t>BE0948191169/14</t>
  </si>
  <si>
    <t>BE0948191169/15</t>
  </si>
  <si>
    <t>BE0948191169/16</t>
  </si>
  <si>
    <t>BE0948037560</t>
  </si>
  <si>
    <t>ISIN</t>
  </si>
  <si>
    <t>měna</t>
  </si>
  <si>
    <t>ČSOB PB Attractive Sectors 1</t>
  </si>
  <si>
    <t>LU0327242995</t>
  </si>
  <si>
    <t>PRUDENTIAL FINANCIAL</t>
  </si>
  <si>
    <t>SARA LEE</t>
  </si>
  <si>
    <t>WHIRPOOL</t>
  </si>
  <si>
    <t>REGIONS FINANCIAL</t>
  </si>
  <si>
    <t>ČSOB PB Europe Short 3</t>
  </si>
  <si>
    <t>ČSOB Růstu USD 1</t>
  </si>
  <si>
    <t>ČSOB Světový Reverzní Swing 1</t>
  </si>
  <si>
    <t>DTE UN Equity</t>
  </si>
  <si>
    <t>PX UN Equity</t>
  </si>
  <si>
    <t>PFG UN Equity</t>
  </si>
  <si>
    <t>PRU UN Equity</t>
  </si>
  <si>
    <t>COSTCO WHOLESALE CORP</t>
  </si>
  <si>
    <t>COST UQ Equity</t>
  </si>
  <si>
    <t>FRESENIUS MEDICAL CARE</t>
  </si>
  <si>
    <t>HPQ UN</t>
  </si>
  <si>
    <t>IBM UN</t>
  </si>
  <si>
    <t>JNJ UN</t>
  </si>
  <si>
    <t>BE0947507118/9</t>
  </si>
  <si>
    <t>BE0940307862</t>
  </si>
  <si>
    <t>LU0438533415/1</t>
  </si>
  <si>
    <t>LU0438533415/2</t>
  </si>
  <si>
    <t>Global Partners CSOB Fixovany click 7</t>
  </si>
  <si>
    <t>Horizon CSOB Svetovy Lookback 3</t>
  </si>
  <si>
    <t>akcie Ageas (dříve Fortis) byla vyřazena z koše po třetím období</t>
  </si>
  <si>
    <t>digital click + best of</t>
  </si>
  <si>
    <t>L´OREAL</t>
  </si>
  <si>
    <t>RAUT ARUUKKI OYI</t>
  </si>
  <si>
    <t>SSAB SVENSKT STAL AB/SE RA</t>
  </si>
  <si>
    <t>SCANIA</t>
  </si>
  <si>
    <t>BE0949094461/2</t>
  </si>
  <si>
    <t>BE0949094461/3</t>
  </si>
  <si>
    <t>hranice byla překročena ve třetím období u několika akcií, akcie ING byla vyřazena z koše</t>
  </si>
  <si>
    <t>LU0180692534/4</t>
  </si>
  <si>
    <t>koeficient násobení / dělení</t>
  </si>
  <si>
    <t>LU0287594872/2</t>
  </si>
  <si>
    <t>LU0287594872/3</t>
  </si>
  <si>
    <t>click</t>
  </si>
  <si>
    <t>LU0287594872/4</t>
  </si>
  <si>
    <t>BE0949094461/5</t>
  </si>
  <si>
    <t>TRANSALTA CORP</t>
  </si>
  <si>
    <t>Volvo</t>
  </si>
  <si>
    <t>Wesfarmers</t>
  </si>
  <si>
    <t>WISCONSIN ENERGY CORP</t>
  </si>
  <si>
    <t>XCEL ENERGY INC</t>
  </si>
  <si>
    <t>CPB UN  Equity</t>
  </si>
  <si>
    <t>LU0201807657/5</t>
  </si>
  <si>
    <t>RF UN Equity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</si>
  <si>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</si>
  <si>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</si>
  <si>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</si>
  <si>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</si>
  <si>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</si>
  <si>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</si>
  <si>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</si>
  <si>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ZÁŘÍ 10</t>
  </si>
  <si>
    <t>ŘÍJEN 10</t>
  </si>
  <si>
    <t>ČSOB Světové akcie 6 (KBC Click)</t>
  </si>
  <si>
    <t>ČSOB Světové akcie 4 (KBC Click)</t>
  </si>
  <si>
    <t>LU0366358199/2</t>
  </si>
  <si>
    <t>LU0366358199/3</t>
  </si>
  <si>
    <t>LU0366358199/4</t>
  </si>
  <si>
    <t>LU0366358199/5</t>
  </si>
  <si>
    <t>THE SWATCH GROUP AG-BR</t>
  </si>
  <si>
    <t>LU0289334871/1</t>
  </si>
  <si>
    <t>Zakliknuté hodnoty (v %)</t>
  </si>
  <si>
    <t>LU0180692963/4</t>
  </si>
  <si>
    <t>LU0180692534/1</t>
  </si>
  <si>
    <t>LU0180692534/2</t>
  </si>
  <si>
    <t>LU0180692534/3</t>
  </si>
  <si>
    <t xml:space="preserve">ve druhém období byla dosažena hranice </t>
  </si>
  <si>
    <t>Maximal Invest 24</t>
  </si>
  <si>
    <t>LU0306696815</t>
  </si>
  <si>
    <t>LU0306697896</t>
  </si>
  <si>
    <t>BE0947187796</t>
  </si>
  <si>
    <t>BE0947312105</t>
  </si>
  <si>
    <t>LU0306697037</t>
  </si>
  <si>
    <t>BE0947321197</t>
  </si>
  <si>
    <t>Fund Partners CSOB World Click Plus 17</t>
  </si>
  <si>
    <t>ČSOB Světového růstu+ 13</t>
  </si>
  <si>
    <t>LU0233990596/5</t>
  </si>
  <si>
    <t>LU0233990596/6</t>
  </si>
  <si>
    <t>LU0233990596/7</t>
  </si>
  <si>
    <t>LU0289335688</t>
  </si>
  <si>
    <t>datum</t>
  </si>
  <si>
    <t>BE0946887701</t>
  </si>
  <si>
    <t>BE0946998847</t>
  </si>
  <si>
    <t>ADIDAS</t>
  </si>
  <si>
    <t>CATERPILLAR</t>
  </si>
  <si>
    <t>GENENTECH</t>
  </si>
  <si>
    <t>INTEL</t>
  </si>
  <si>
    <t>LOCKHEED MARTIN</t>
  </si>
  <si>
    <t>SYMANTEC</t>
  </si>
  <si>
    <t>LMT UN</t>
  </si>
  <si>
    <t>CAT UN Equity</t>
  </si>
  <si>
    <t>DNA UN Equity</t>
  </si>
  <si>
    <t>INTC UQ Equity</t>
  </si>
  <si>
    <t>LMT UN Equity</t>
  </si>
  <si>
    <t>SYMC UQ Equity</t>
  </si>
  <si>
    <t>ADS GY Equity</t>
  </si>
  <si>
    <t>ČSOB Světového růstu + 3 (Fund Partners)</t>
  </si>
  <si>
    <t>Fund Partners CSOB World Click USD Plus 4</t>
  </si>
  <si>
    <t>PS Dividendový fond 1</t>
  </si>
  <si>
    <t>ČSOB Private Banking Financial Lookback 1 (KBC Click)</t>
  </si>
  <si>
    <t>Fund Partners CSOB World Click USD Plus 5</t>
  </si>
  <si>
    <t>ČSOB Krátkodobého růstu 5</t>
  </si>
  <si>
    <t>ČSOB Fixovaného růstu 3 (Fund Partners)</t>
  </si>
  <si>
    <t>Global Partners CSOB Variable Growth 2</t>
  </si>
  <si>
    <t>plain vanilla Q averaginng</t>
  </si>
  <si>
    <t>plain vanilla airbag</t>
  </si>
  <si>
    <t>airbag bull&amp;bear</t>
  </si>
  <si>
    <t>ČSOB Click s pamětí 3 (Global Partners)</t>
  </si>
  <si>
    <t>ASTELLAS PHARMA INC</t>
  </si>
  <si>
    <t>LU0471002674</t>
  </si>
  <si>
    <t>KBC Select Investors CSOB Premium 7</t>
  </si>
  <si>
    <t>Maximal Invest 53</t>
  </si>
  <si>
    <t>LU0474458683</t>
  </si>
  <si>
    <t>Global Partners CSOB Fixovany click 10</t>
  </si>
  <si>
    <t>BE0949016654</t>
  </si>
  <si>
    <t>Optimum fund CSOB Top start 2</t>
  </si>
  <si>
    <t>BE0947508124/9</t>
  </si>
  <si>
    <t>LU0302430136/19</t>
  </si>
  <si>
    <t>LU0302430136/20</t>
  </si>
  <si>
    <t>LU0302430136/21</t>
  </si>
  <si>
    <t>LU0302430136/22</t>
  </si>
  <si>
    <t>LU0302430136/23</t>
  </si>
  <si>
    <t>LU0302430136/24</t>
  </si>
  <si>
    <t>LU0302430136/25</t>
  </si>
  <si>
    <t>Horizon CSOB Global Growth Plus 7</t>
  </si>
  <si>
    <t>ČSOB Globálního růstu +7</t>
  </si>
  <si>
    <t>BE0947755659</t>
  </si>
  <si>
    <t>LU0269674064/13</t>
  </si>
  <si>
    <t>počáteční hodnota/průměr 3M</t>
  </si>
  <si>
    <t>několik akcií překročilo hranici, KBC byla vyřazena z koše</t>
  </si>
  <si>
    <t>několik akcií překročilo hranici, ING byla vyřazena z koše</t>
  </si>
  <si>
    <t>BE0947508124/20</t>
  </si>
  <si>
    <t>LU0243781522/5</t>
  </si>
  <si>
    <t>LU0243781522/6</t>
  </si>
  <si>
    <t>LU0243781522/7</t>
  </si>
  <si>
    <t>BE0947306040</t>
  </si>
  <si>
    <t>BE0947381795</t>
  </si>
  <si>
    <t>BE0947382801</t>
  </si>
  <si>
    <t>plain vanilla + cap</t>
  </si>
  <si>
    <t>performance lock</t>
  </si>
  <si>
    <t>LU0306697037/13</t>
  </si>
  <si>
    <t>LU0306697037/14</t>
  </si>
  <si>
    <t>LU0306697037/15</t>
  </si>
  <si>
    <t>LU0306697037/16</t>
  </si>
  <si>
    <t>LU0306697037/17</t>
  </si>
  <si>
    <t>LU0306697037/18</t>
  </si>
  <si>
    <t>LU0306696815/1</t>
  </si>
  <si>
    <t>LU0306696815/2</t>
  </si>
  <si>
    <t>LU0306696815/3</t>
  </si>
  <si>
    <t>UNITED UTILITIES PLC</t>
  </si>
  <si>
    <t>BANCO BILBAO VIZCAYA ARGENTA</t>
  </si>
  <si>
    <t>LU0171686735/1</t>
  </si>
  <si>
    <t>LU0171686735/2</t>
  </si>
  <si>
    <t>LU0171686735/3</t>
  </si>
  <si>
    <t>LU0171686735/4</t>
  </si>
  <si>
    <t>BE0948255808/10</t>
  </si>
  <si>
    <t>BE0948255808/11</t>
  </si>
  <si>
    <t>BE0948255808/12</t>
  </si>
  <si>
    <t>BE0948255808/13</t>
  </si>
  <si>
    <t>LU0233991131/37</t>
  </si>
  <si>
    <t>LU0233991131/38</t>
  </si>
  <si>
    <t>LU0233991131/39</t>
  </si>
  <si>
    <t>LU0233991131/40</t>
  </si>
  <si>
    <t>LU0228824065/15</t>
  </si>
  <si>
    <t>LU0228824065/16</t>
  </si>
  <si>
    <t>LU0228824065/17</t>
  </si>
  <si>
    <t>LU0414111988</t>
  </si>
  <si>
    <t>ČSOB Fixovaný click 11 (Global Partners)</t>
  </si>
  <si>
    <t>ČSOB Světový strom 15 (Global Partners)</t>
  </si>
  <si>
    <t>LU0233990166/5</t>
  </si>
  <si>
    <t>LU0233990166/6</t>
  </si>
  <si>
    <t>LU0233990166/7</t>
  </si>
  <si>
    <t>LU0233990166/8</t>
  </si>
  <si>
    <t>LU0233990166/9</t>
  </si>
  <si>
    <t>LU0233990166/10</t>
  </si>
  <si>
    <t>LU0228824065/3</t>
  </si>
  <si>
    <t>LU0228824065/4</t>
  </si>
  <si>
    <t>LU0228824065/5</t>
  </si>
  <si>
    <t>LU0228824065/6</t>
  </si>
  <si>
    <t>LU0190374362/1</t>
  </si>
  <si>
    <t>LU0190374362/2</t>
  </si>
  <si>
    <t>LU0228822440/1</t>
  </si>
  <si>
    <t>DELHAIZE</t>
  </si>
  <si>
    <t>DEXIA</t>
  </si>
  <si>
    <t>ACCOR</t>
  </si>
  <si>
    <t>BNP PARIBAS</t>
  </si>
  <si>
    <t>BAYER</t>
  </si>
  <si>
    <t>ENI</t>
  </si>
  <si>
    <t>TAKEDA</t>
  </si>
  <si>
    <t>PROCTER &amp; GAMBLE</t>
  </si>
  <si>
    <t>listopad 09</t>
  </si>
  <si>
    <t>LU0292714531/14</t>
  </si>
  <si>
    <t>LU0292714531/15</t>
  </si>
  <si>
    <t>ČSOB Prémiový fond 7</t>
  </si>
  <si>
    <t>ČSOB Kvalitní akcie 1</t>
  </si>
  <si>
    <t>ČSOB Fixovaný click 10</t>
  </si>
  <si>
    <t>ČSOB Top start 2</t>
  </si>
  <si>
    <t>ČSOB Alternativní energie plus</t>
  </si>
  <si>
    <t>LU0431462893</t>
  </si>
  <si>
    <t>ČSOB Variabilního růstu 2</t>
  </si>
  <si>
    <t>LU0279614951/10</t>
  </si>
  <si>
    <t>LU0279614951/11</t>
  </si>
  <si>
    <t>LU0283973138/8</t>
  </si>
  <si>
    <t>LU0283973138/9</t>
  </si>
  <si>
    <t>LU0283973138/10</t>
  </si>
  <si>
    <t>BE6222688416/1</t>
  </si>
  <si>
    <t>BE6222688416/2</t>
  </si>
  <si>
    <t>BE6222688416/3</t>
  </si>
  <si>
    <t>BE6222688416/4</t>
  </si>
  <si>
    <t>BE6222688416/5</t>
  </si>
  <si>
    <t>BE6222688416/6</t>
  </si>
  <si>
    <t>BE6222688416/7</t>
  </si>
  <si>
    <t>BE6222688416/8</t>
  </si>
  <si>
    <t>BE6222688416/9</t>
  </si>
  <si>
    <t>BE6222688416/10</t>
  </si>
  <si>
    <t>BE6222688416/11</t>
  </si>
  <si>
    <t>BE6222688416/12</t>
  </si>
  <si>
    <t>BE6222688416/13</t>
  </si>
  <si>
    <t>BE6222688416/14</t>
  </si>
  <si>
    <t>ILLINOIS TOOL WORKS</t>
  </si>
  <si>
    <t>ITW UN Equity</t>
  </si>
  <si>
    <t>QBE AT Equity</t>
  </si>
  <si>
    <t>QBE INSURANCE GROUP LTD</t>
  </si>
  <si>
    <t>ČSOB Globálních společností 1 (Optimum fund)</t>
  </si>
  <si>
    <t>ČSOB Fixovaný click 16 (Global Partners)</t>
  </si>
  <si>
    <t>LU0640984208/1</t>
  </si>
  <si>
    <t>LU0640984208/2</t>
  </si>
  <si>
    <t>LU0640984208/3</t>
  </si>
  <si>
    <t>LU0640984208/4</t>
  </si>
  <si>
    <t>Click za období</t>
  </si>
  <si>
    <t>Fund Partners CSOB Digital Click 1</t>
  </si>
  <si>
    <t>ČSOB Krátkodobého globálního růstu 2</t>
  </si>
  <si>
    <t>BE0947759693</t>
  </si>
  <si>
    <t>BE0947382801/3</t>
  </si>
  <si>
    <t>BE0947382801/4</t>
  </si>
  <si>
    <t>BE0947382801/5</t>
  </si>
  <si>
    <t>Fund Partners CSOB World Click Plus 3</t>
  </si>
  <si>
    <t>Fund Partners CSOB World Click Plus 4</t>
  </si>
  <si>
    <t>Fund Partners CSOB Click Reverse 1</t>
  </si>
  <si>
    <t>Fund Partners CSOB World Click Plus 5</t>
  </si>
  <si>
    <t>ČSOB Asijského růstu 2</t>
  </si>
  <si>
    <t>ČSOB Reverzního rozpětí 2</t>
  </si>
  <si>
    <t>ČSOB World Growth Short 1</t>
  </si>
  <si>
    <t>LU0215862425/3</t>
  </si>
  <si>
    <t>LU0215862425/4</t>
  </si>
  <si>
    <t>BE0935129495/1</t>
  </si>
  <si>
    <t>BE0935129495/2</t>
  </si>
  <si>
    <t>BE0935129495/3</t>
  </si>
  <si>
    <t>BE0935129495/4</t>
  </si>
  <si>
    <t>ČSOB Kvalitní akcie 2</t>
  </si>
  <si>
    <t>ČSOB Růstu USD 2</t>
  </si>
  <si>
    <t>ČSOB Světové akcie 4</t>
  </si>
  <si>
    <t>2330 TT Equity</t>
  </si>
  <si>
    <t>KBC Click CSOB Reverse Spread 4</t>
  </si>
  <si>
    <t>poč. hodn./bariéra</t>
  </si>
  <si>
    <t>bariéra</t>
  </si>
  <si>
    <t>AGS BB Equity</t>
  </si>
  <si>
    <t>NEE US Equity</t>
  </si>
  <si>
    <t>NEXTRA ENERGY</t>
  </si>
  <si>
    <t>ING Group byla vyřazena z koše</t>
  </si>
  <si>
    <t>LU0224849587/7</t>
  </si>
  <si>
    <t>LU0224849587/8</t>
  </si>
  <si>
    <t>BE0945290253/1</t>
  </si>
  <si>
    <t>BE0945290253/2</t>
  </si>
  <si>
    <t>KBC Click CSOB Private Banking New Multinationals 1</t>
  </si>
  <si>
    <t>BE0948256814</t>
  </si>
  <si>
    <t>LU0233991131/16</t>
  </si>
  <si>
    <t>LU0233991131/17</t>
  </si>
  <si>
    <t>LU0233991131/18</t>
  </si>
  <si>
    <t>BE0948120424/8</t>
  </si>
  <si>
    <t>BE0948120424/9</t>
  </si>
  <si>
    <t>BE0948120424/10</t>
  </si>
  <si>
    <t>Global Partners CSOB Fixovany click 2</t>
  </si>
  <si>
    <t>KBC Select Investors CSOB Premium 1</t>
  </si>
  <si>
    <t>ČSOB Click Program 1</t>
  </si>
  <si>
    <t>ČSOB Equity+ 2</t>
  </si>
  <si>
    <t>ČSOB Fix Upside 1</t>
  </si>
  <si>
    <t>ČSOB Click Program 2</t>
  </si>
  <si>
    <t>reverse spread</t>
  </si>
  <si>
    <t>plain vanilla + variable particip.</t>
  </si>
  <si>
    <t>ČSOB Světového růstu 9</t>
  </si>
  <si>
    <t>ČSOB Světový strom EUR 1</t>
  </si>
  <si>
    <t>u Royal bak of Scotland byla dosažena hranice a byla vyřazena z koše po třetím období</t>
  </si>
  <si>
    <t>BE0948168902</t>
  </si>
  <si>
    <t>BE0948079018</t>
  </si>
  <si>
    <t>BE0947441425/6</t>
  </si>
  <si>
    <t>BE0947441425/7</t>
  </si>
  <si>
    <t>ČSOB Světový click+ 11 (Fund Partners)</t>
  </si>
  <si>
    <t>ČSOB Reverzní click 2 (Fund Partners)</t>
  </si>
  <si>
    <t>ČSOB Světový click+ 10 (Fund Partners)</t>
  </si>
  <si>
    <t>ČSOB Airbag jumper Asie 1 (Optimum fund)</t>
  </si>
  <si>
    <t>BE6208640589/1</t>
  </si>
  <si>
    <t>BE6214326215</t>
  </si>
  <si>
    <t>LU0585242471</t>
  </si>
  <si>
    <t>LU0578977166</t>
  </si>
  <si>
    <t>BE6214379743</t>
  </si>
  <si>
    <t xml:space="preserve">FINÁLNÍ PARAMETERY </t>
  </si>
  <si>
    <t>akcie Royal Bank of Scotland byla vyřazena z koše</t>
  </si>
  <si>
    <t>ČSOB Světový click+ 6</t>
  </si>
  <si>
    <t>ČSOB Světový strom 1</t>
  </si>
  <si>
    <t>ČSOB Světový click+ 8</t>
  </si>
  <si>
    <t>BE0947754645/16</t>
  </si>
  <si>
    <t>BE0947754645/17</t>
  </si>
  <si>
    <t>BE0947754645/18</t>
  </si>
  <si>
    <t>BE0947754645/19</t>
  </si>
  <si>
    <t>BE0947754645/20</t>
  </si>
  <si>
    <t>BE0947754645/21</t>
  </si>
  <si>
    <t>LU0171683559/5</t>
  </si>
  <si>
    <t>STM FP Equity</t>
  </si>
  <si>
    <t>YHOO UQ Equity</t>
  </si>
  <si>
    <t>ČSOB Premiový fond 4</t>
  </si>
  <si>
    <t>Maximal Invest 46</t>
  </si>
  <si>
    <t>Optimum fund CSOB Fixovaneho rustu 7</t>
  </si>
  <si>
    <t>KBC Select Investors CSOB Premium 4</t>
  </si>
  <si>
    <t>LU0425517678</t>
  </si>
  <si>
    <t>BE0948692323</t>
  </si>
  <si>
    <t>LU0426537055</t>
  </si>
  <si>
    <t>click + best of</t>
  </si>
  <si>
    <t>ČSOB Sponzoři Sportu 1 (KBC Click)</t>
  </si>
  <si>
    <t>S&amp;P ASX 200</t>
  </si>
  <si>
    <t>3 období</t>
  </si>
  <si>
    <t>ČSOB Private Banking Financial Lookback 1</t>
  </si>
  <si>
    <t>Maximal Invest 31</t>
  </si>
  <si>
    <t>ČSOB Fixovaný click 15 (Global Partners)</t>
  </si>
  <si>
    <t>ČSOB Duo Bonus 2 (Optimum fund)</t>
  </si>
  <si>
    <t>BE6216554186/1</t>
  </si>
  <si>
    <t>BE6216554186/2</t>
  </si>
  <si>
    <t>BE6216554186/3</t>
  </si>
  <si>
    <t>BE6216554186/4</t>
  </si>
  <si>
    <t>BE6216554186/5</t>
  </si>
  <si>
    <t>BE6216554186/6</t>
  </si>
  <si>
    <t>BE6216554186/7</t>
  </si>
  <si>
    <t>BE6216554186/8</t>
  </si>
  <si>
    <t>LU0459403738/1</t>
  </si>
  <si>
    <t>LU0459403738/2</t>
  </si>
  <si>
    <t>VIVENDI UNIVERSAL SA</t>
  </si>
  <si>
    <t>HD UN</t>
  </si>
  <si>
    <t>LU0166701622</t>
  </si>
  <si>
    <t>BE0948255808/14</t>
  </si>
  <si>
    <t>LU0299475623/13</t>
  </si>
  <si>
    <t>LU0299475623/14</t>
  </si>
  <si>
    <t>LU0377944227/6</t>
  </si>
  <si>
    <t>LU0377944227/7</t>
  </si>
  <si>
    <t>LU0377944227/8</t>
  </si>
  <si>
    <t>LU0377944227/9</t>
  </si>
  <si>
    <t>LU0377944227/10</t>
  </si>
  <si>
    <t>LU0377944227/11</t>
  </si>
  <si>
    <t>LU0377944227/12</t>
  </si>
  <si>
    <t>LU0377944227/13</t>
  </si>
  <si>
    <t>LU0377944227/14</t>
  </si>
  <si>
    <t>LU0377944227/15</t>
  </si>
  <si>
    <t>LU0377944227/16</t>
  </si>
  <si>
    <t>LU0292711198</t>
  </si>
  <si>
    <t>LU0238572605/3</t>
  </si>
  <si>
    <t>LU0238572605/4</t>
  </si>
  <si>
    <t>large click + best of</t>
  </si>
  <si>
    <t>plain vanilla</t>
  </si>
  <si>
    <t>click reverse</t>
  </si>
  <si>
    <t>click reverse digital</t>
  </si>
  <si>
    <t>Horizon CSOB Private Banking Europe Short 2</t>
  </si>
  <si>
    <t>LU0302430136/7</t>
  </si>
  <si>
    <t>LU0302430136/8</t>
  </si>
  <si>
    <t>LU0302430136/9</t>
  </si>
  <si>
    <t>LU0302430136/10</t>
  </si>
  <si>
    <t>LU0302430136/11</t>
  </si>
  <si>
    <t>několik akcií překročilo hranici v pátém období</t>
  </si>
  <si>
    <t>RENEWABLE ENERGY</t>
  </si>
  <si>
    <t>REC NO Equity</t>
  </si>
  <si>
    <t>SOLARWORLD</t>
  </si>
  <si>
    <t>IBR SM Equity</t>
  </si>
  <si>
    <t>WESTAS WIND SYSTEMS</t>
  </si>
  <si>
    <t>VWS DC Equity</t>
  </si>
  <si>
    <t>LU0269674064/1</t>
  </si>
  <si>
    <t>LU0269674064/2</t>
  </si>
  <si>
    <t>LU0269674064/3</t>
  </si>
  <si>
    <t>LU0269674064/4</t>
  </si>
  <si>
    <t>LU0269674064/5</t>
  </si>
  <si>
    <t>LU0269674064/6</t>
  </si>
  <si>
    <t>LU0269674064/7</t>
  </si>
  <si>
    <t>LU0269674064/8</t>
  </si>
  <si>
    <t>LU0269674064/9</t>
  </si>
  <si>
    <t>LU0275127800/10</t>
  </si>
  <si>
    <t>LU0275127800/11</t>
  </si>
  <si>
    <t>LU0275127800/12</t>
  </si>
  <si>
    <t>Horizon World Growth Short 1</t>
  </si>
  <si>
    <t>prosinec 2010</t>
  </si>
  <si>
    <t>leden 2011</t>
  </si>
  <si>
    <t>únor 2011</t>
  </si>
  <si>
    <t>březen 2011</t>
  </si>
  <si>
    <t>duben 2011</t>
  </si>
  <si>
    <t>GLE FP</t>
  </si>
  <si>
    <t>SKFB SS</t>
  </si>
  <si>
    <t>SMI</t>
  </si>
  <si>
    <t>BE0173422834</t>
  </si>
  <si>
    <t>CZK</t>
  </si>
  <si>
    <t>-</t>
  </si>
  <si>
    <t>BE0174400912</t>
  </si>
  <si>
    <t>LU0238572431/10</t>
  </si>
  <si>
    <t>Kuala Lumpur Comp Index</t>
  </si>
  <si>
    <t>KLCI Index</t>
  </si>
  <si>
    <t>LU0233991131/11</t>
  </si>
  <si>
    <t>několik akcií překročilo hranici ve druhém období, akce Fortis poklesla nejvíce a byla vyřazena z koše</t>
  </si>
  <si>
    <t>LU0228822440/3</t>
  </si>
  <si>
    <t>ČSOB Globálního růstu + 2 (Fund Partners)</t>
  </si>
  <si>
    <t>PNC FINANCIAL SERVICES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</si>
  <si>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10"/>
        <rFont val="Arial CE"/>
        <family val="2"/>
        <charset val="238"/>
      </rPr>
      <t xml:space="preserve"> GAMBLE</t>
    </r>
  </si>
  <si>
    <t>EAST JAPAN RAILWAY</t>
  </si>
  <si>
    <t>říjen 09</t>
  </si>
  <si>
    <t>říjen 08</t>
  </si>
  <si>
    <t>LU0205763591/1</t>
  </si>
  <si>
    <t>LU0205763591/2</t>
  </si>
  <si>
    <t>LU0205763591/3</t>
  </si>
  <si>
    <t>LU0205763591/4</t>
  </si>
  <si>
    <t>LU0209404507/1</t>
  </si>
  <si>
    <t>LU0209404507/2</t>
  </si>
  <si>
    <t>Global Partners CSOB Fixovany Click 4</t>
  </si>
  <si>
    <t>DANAHER</t>
  </si>
  <si>
    <t>GEBERIT</t>
  </si>
  <si>
    <t>KELDA</t>
  </si>
  <si>
    <t xml:space="preserve">NORTHUMBRIAN WATER </t>
  </si>
  <si>
    <t>ORGANO</t>
  </si>
  <si>
    <t>PENNON</t>
  </si>
  <si>
    <t>ČSOB Globálního růstu +7 (Horizon)</t>
  </si>
  <si>
    <t>BE0947755659/17</t>
  </si>
  <si>
    <t>KEY UN</t>
  </si>
  <si>
    <t>ČSOB Stupňovitý click 1 (Fund Partners)</t>
  </si>
  <si>
    <t>ČSOB Bankovního růstu 2 (Fund Partners)</t>
  </si>
  <si>
    <t>BE0947598059/6</t>
  </si>
  <si>
    <t>ČSOB Světového růstu 2</t>
  </si>
  <si>
    <t>ČSOB Světový click+ 7</t>
  </si>
  <si>
    <t>Fund Partners CSOB Asian Growth 2</t>
  </si>
  <si>
    <t>BE0947442431/5</t>
  </si>
  <si>
    <t>BE0947442431/6</t>
  </si>
  <si>
    <t>BE0947442431/7</t>
  </si>
  <si>
    <t>ČSOB Fixovaný Click 5 (Global Partners)</t>
  </si>
  <si>
    <t>GAS NATURAL SDG</t>
  </si>
  <si>
    <t>GAS SM Equity</t>
  </si>
  <si>
    <t>MEDIASET</t>
  </si>
  <si>
    <t>MS IM Equity</t>
  </si>
  <si>
    <t>BE0947510146/6</t>
  </si>
  <si>
    <t>Horizon ČSOB Krátkodobého evropského růstu 1</t>
  </si>
  <si>
    <t>BE0948167896</t>
  </si>
  <si>
    <t>Horizon ČSOB Býci a medvědi 3</t>
  </si>
  <si>
    <t>BE0948177028</t>
  </si>
  <si>
    <t>KBC Click CSOB Breweries 2</t>
  </si>
  <si>
    <t>BE0948820635/13</t>
  </si>
  <si>
    <t>DJ EuroStoxx 57</t>
  </si>
  <si>
    <t>DJ EuroStoxx 58</t>
  </si>
  <si>
    <t>LU0238572431</t>
  </si>
  <si>
    <t>Maximal Invest 10</t>
  </si>
  <si>
    <t>LU0238572605</t>
  </si>
  <si>
    <t>LU0239832222</t>
  </si>
  <si>
    <t>BE0948384152/6</t>
  </si>
  <si>
    <t>Bayer</t>
  </si>
  <si>
    <t>COMPASS GROUP PLC</t>
  </si>
  <si>
    <t>Danone</t>
  </si>
  <si>
    <t>JPM UN</t>
  </si>
  <si>
    <t>BMY UN</t>
  </si>
  <si>
    <t>BE0947552569/9</t>
  </si>
  <si>
    <t>BE0947552569/10</t>
  </si>
  <si>
    <t>BE0947552569/11</t>
  </si>
  <si>
    <t>BE0947552569/12</t>
  </si>
  <si>
    <t>BE0947552569/13</t>
  </si>
  <si>
    <t>BE0947552569/14</t>
  </si>
  <si>
    <t>BE0947552569/15</t>
  </si>
  <si>
    <t>BE0947552569/16</t>
  </si>
  <si>
    <t>BE0947552569/17</t>
  </si>
  <si>
    <t>double safety</t>
  </si>
  <si>
    <t>AMGEN</t>
  </si>
  <si>
    <t>LAFARGE</t>
  </si>
  <si>
    <t>SYNGENTA</t>
  </si>
  <si>
    <t>WALT DISNEY</t>
  </si>
  <si>
    <t>WPP GROUP</t>
  </si>
  <si>
    <t>PINAULT PRINTEMPS</t>
  </si>
  <si>
    <t>AMGN UQ</t>
  </si>
  <si>
    <t>DSM NA Equity</t>
  </si>
  <si>
    <t>Maximal Invest 25</t>
  </si>
  <si>
    <t xml:space="preserve">ve druhém období byla dosažena hranice u akcií BP a Motorola </t>
  </si>
  <si>
    <t>LU0311893811</t>
  </si>
  <si>
    <t>NDA SS</t>
  </si>
  <si>
    <t>PFE UN</t>
  </si>
  <si>
    <t>PHIA NA</t>
  </si>
  <si>
    <t>SAN FP</t>
  </si>
  <si>
    <t>SAP GY</t>
  </si>
  <si>
    <t>6758 JT</t>
  </si>
  <si>
    <t>HEINEKEN NV</t>
  </si>
  <si>
    <t>INBEV NV</t>
  </si>
  <si>
    <t>KIRIN HOLDINGS CO LTD</t>
  </si>
  <si>
    <t>ČSOB Světového růstu + 5 (Fund Partners)</t>
  </si>
  <si>
    <t>ČSOB Variabilní Click +1 (Global Partners)</t>
  </si>
  <si>
    <t>LU0268097200</t>
  </si>
  <si>
    <t>TELEVISION FRANCAISE</t>
  </si>
  <si>
    <t>TNT</t>
  </si>
  <si>
    <t>duo bonus</t>
  </si>
  <si>
    <t>Optimu fund CSOB Byci a medvedi plus 1</t>
  </si>
  <si>
    <t>LU0169762704/3</t>
  </si>
  <si>
    <t>LU0169762704/4</t>
  </si>
  <si>
    <t>LU0169762704/5</t>
  </si>
  <si>
    <t>LU0171683120/1</t>
  </si>
  <si>
    <t>LU0171683120/2</t>
  </si>
  <si>
    <t>LU0171683120/3</t>
  </si>
  <si>
    <t>ČSOB Asijského růstu 2 (Fund Partners)</t>
  </si>
  <si>
    <t>BE0947381795/6</t>
  </si>
  <si>
    <t>BE0947381795/7</t>
  </si>
  <si>
    <t>BE0947381795/8</t>
  </si>
  <si>
    <t>BE0947381795/9</t>
  </si>
  <si>
    <t>LU0464495331</t>
  </si>
  <si>
    <t>LU0269673686</t>
  </si>
  <si>
    <t>BE0946579530</t>
  </si>
  <si>
    <t>BE0946519908</t>
  </si>
  <si>
    <t>plain vanilla + partial cap.prot.</t>
  </si>
  <si>
    <t>LU0254128183/6</t>
  </si>
  <si>
    <t>LU0254128266/1</t>
  </si>
  <si>
    <t>LU0254128266/2</t>
  </si>
  <si>
    <t>LU0254128266/3</t>
  </si>
  <si>
    <t>Horizon CSOB Svetovy Jumper 3</t>
  </si>
  <si>
    <t>BE0948322509</t>
  </si>
  <si>
    <t>VZ UN Equity</t>
  </si>
  <si>
    <t>LU0233991131</t>
  </si>
  <si>
    <t>ve třetím období bylo dosaženo hranice u Royal Bank of Scotland</t>
  </si>
  <si>
    <t>ČSOB Světových pivovarů 1</t>
  </si>
  <si>
    <t>LU0317821394/29</t>
  </si>
  <si>
    <t>BE0947442431/1</t>
  </si>
  <si>
    <t>BE0947442431/2</t>
  </si>
  <si>
    <t>BE0947442431/3</t>
  </si>
  <si>
    <t>BE0947442431/4</t>
  </si>
  <si>
    <t>Fund Partners CSOB Stock Selection Short Term 1</t>
  </si>
  <si>
    <t>ČSOB Krátkodobého evropského růstu 1 (Horizon)</t>
  </si>
  <si>
    <t>BE0947754645/10</t>
  </si>
  <si>
    <t>EOAN GR Equity</t>
  </si>
  <si>
    <t>LU0249276956/22</t>
  </si>
  <si>
    <t>LU0249276956/23</t>
  </si>
  <si>
    <t>LU0249276956/24</t>
  </si>
  <si>
    <t>LU0249276956/25</t>
  </si>
  <si>
    <t>LU0249276956/26</t>
  </si>
  <si>
    <t>BE0947752623/10</t>
  </si>
  <si>
    <t>BE0947752623/11</t>
  </si>
  <si>
    <t>BE0947752623/12</t>
  </si>
  <si>
    <t>BE0947752623/13</t>
  </si>
  <si>
    <t>BE0945290253/4</t>
  </si>
  <si>
    <t xml:space="preserve"> - 15% v období</t>
  </si>
  <si>
    <t>ČSOB Reverzního rozpětí 5</t>
  </si>
  <si>
    <t>ČSOB Asijského růstu 4</t>
  </si>
  <si>
    <t>Optimum fund CSOB Short Term Global Invest 1</t>
  </si>
  <si>
    <t>ČSOB Krátkodobý globální invest 1</t>
  </si>
  <si>
    <t>BE0949070222</t>
  </si>
  <si>
    <t>Global Partners CSOB Variable Growth 3</t>
  </si>
  <si>
    <t>STATOIL</t>
  </si>
  <si>
    <r>
      <t xml:space="preserve">HENNES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MAURITZ</t>
    </r>
  </si>
  <si>
    <t>TELENOR</t>
  </si>
  <si>
    <t>METRO</t>
  </si>
  <si>
    <t>VOLKSWAGEN</t>
  </si>
  <si>
    <t>TKA GY</t>
  </si>
  <si>
    <t>HMB SS</t>
  </si>
  <si>
    <t>TEL NO</t>
  </si>
  <si>
    <t>ČSOB Fixovaný click 14</t>
  </si>
  <si>
    <t>PS Fixovaný click 2</t>
  </si>
  <si>
    <t>ČSOB Asijské investice 2</t>
  </si>
  <si>
    <t>ČSOB Duo Bonus 1</t>
  </si>
  <si>
    <t>ČSOB Private Banking Consumer Trends 1</t>
  </si>
  <si>
    <t>Global Partners ČSOB Fixovaný click 14</t>
  </si>
  <si>
    <t>Optimum fund ČSOB Světové investice 1</t>
  </si>
  <si>
    <t>Global Partners PS Fixovany Click 2</t>
  </si>
  <si>
    <t>KBC Click CSOB Asijske investice 2</t>
  </si>
  <si>
    <t>Optimum fund CSOB Duo Bonus 1</t>
  </si>
  <si>
    <t>KBC Click CSOB Private Banking Consumer Trends 1</t>
  </si>
  <si>
    <t>ČSOB Světového růstu +24 (Global Partners)</t>
  </si>
  <si>
    <t>LU0249276956/21</t>
  </si>
  <si>
    <t>klikání zavěrečné hodnoty</t>
  </si>
  <si>
    <t>BE0945290253</t>
  </si>
  <si>
    <t>ALCOA INC</t>
  </si>
  <si>
    <t>CARREFOUR SA</t>
  </si>
  <si>
    <t>DIAGEO PLC</t>
  </si>
  <si>
    <t>GENERAL ELECTRIC CO</t>
  </si>
  <si>
    <t>LU0243781365/3</t>
  </si>
  <si>
    <t>LU0243781365/4</t>
  </si>
  <si>
    <t>Fund Partners CSOB World Click Plus 2</t>
  </si>
  <si>
    <t>LU0215861294/4</t>
  </si>
  <si>
    <t>LU0215860130/1</t>
  </si>
  <si>
    <t>LU0215860130/2</t>
  </si>
  <si>
    <t>LU0215860130/3</t>
  </si>
  <si>
    <t>LU0215860130/4</t>
  </si>
  <si>
    <t>LU0215860130/5</t>
  </si>
  <si>
    <t>LU0215860130/6</t>
  </si>
  <si>
    <t>LU0215860130/7</t>
  </si>
  <si>
    <t>LU0228824065/27</t>
  </si>
  <si>
    <t>LU0228824065/28</t>
  </si>
  <si>
    <t>ČSOB Globálního růstu +10</t>
  </si>
  <si>
    <t>ČSOB Krátkodobého globálního růstu 3</t>
  </si>
  <si>
    <t>5.období</t>
  </si>
  <si>
    <t>REYNOLDS</t>
  </si>
  <si>
    <t>EXXON MOBIL</t>
  </si>
  <si>
    <t>JOHNSON&amp;JOHNSON</t>
  </si>
  <si>
    <t>SOUTHERN COMPANY</t>
  </si>
  <si>
    <t>LU0289335688/7</t>
  </si>
  <si>
    <t>LU0289335688/8</t>
  </si>
  <si>
    <t>LU0289335688/9</t>
  </si>
  <si>
    <t>LU0289335688/10</t>
  </si>
  <si>
    <t>LU0292711198/13</t>
  </si>
  <si>
    <t>LU0292711198/14</t>
  </si>
  <si>
    <t>LU0292711198/15</t>
  </si>
  <si>
    <t>LU0292711198/16</t>
  </si>
  <si>
    <t>LU0299475623/1</t>
  </si>
  <si>
    <t>LU0299475623/2</t>
  </si>
  <si>
    <t>LU0299475623/3</t>
  </si>
  <si>
    <t>LU0299475623/4</t>
  </si>
  <si>
    <t>LU0299475623/5</t>
  </si>
  <si>
    <t>LU0299475623/6</t>
  </si>
  <si>
    <t>LU0299475623/7</t>
  </si>
  <si>
    <t>LU0299475623/8</t>
  </si>
  <si>
    <t>LU0299475623/9</t>
  </si>
  <si>
    <t>LU0299475623/10</t>
  </si>
  <si>
    <t>BE0948820635/6</t>
  </si>
  <si>
    <t>Maximal Invest 35</t>
  </si>
  <si>
    <t>ČSOB Bonusový fond 1</t>
  </si>
  <si>
    <t>BE0948120424/1</t>
  </si>
  <si>
    <t>BE0948120424/2</t>
  </si>
  <si>
    <t>3988 HK Equity</t>
  </si>
  <si>
    <t>CATHAY PACIFIC AIRWAYS</t>
  </si>
  <si>
    <t>293 HK Equity</t>
  </si>
  <si>
    <t>LU0395336778/14</t>
  </si>
  <si>
    <t>LU0395336778/15</t>
  </si>
  <si>
    <t>Maximal Invest 26</t>
  </si>
  <si>
    <t>KBC Select Investors CSOB Premium 8</t>
  </si>
  <si>
    <t>ČSOB Světového růstu+ 5</t>
  </si>
  <si>
    <t>LU0215860130/11</t>
  </si>
  <si>
    <t>LU0215862425/1</t>
  </si>
  <si>
    <t>LU0215862425/2</t>
  </si>
  <si>
    <t>Aktuální 10y</t>
  </si>
  <si>
    <t>absolutní při původní ceně</t>
  </si>
  <si>
    <t>9.období</t>
  </si>
  <si>
    <t>10.období</t>
  </si>
  <si>
    <t>11.období</t>
  </si>
  <si>
    <t>LU0215860130</t>
  </si>
  <si>
    <t>Dosažena hranice u Pfizer, Fortis, Sanofi, Fortis vyřazen z koše</t>
  </si>
  <si>
    <t>ING byla vyřazena z koše</t>
  </si>
  <si>
    <t>ČSOB Světového růstu USD 1</t>
  </si>
  <si>
    <t>ČSOB Fotbal a relax 1</t>
  </si>
  <si>
    <t>ČSOB Private Banking Declining Jumper 1</t>
  </si>
  <si>
    <t>KBC Click CSOB Světoví giganti 3</t>
  </si>
  <si>
    <t>Global Partners CSOB World Click Plus 25</t>
  </si>
  <si>
    <t>Horizon CSOB Svetoveho rustu USD 1</t>
  </si>
  <si>
    <t>BE0947508124/4</t>
  </si>
  <si>
    <t>ČSOB Private Banking Buffer Jumper 1</t>
  </si>
  <si>
    <t>BE0935107277</t>
  </si>
  <si>
    <t>buffer jumper</t>
  </si>
  <si>
    <t>Fund Partners CSOB World Click USD Plus 2</t>
  </si>
  <si>
    <t>LU0233991131/19</t>
  </si>
  <si>
    <t>LU0233991131/20</t>
  </si>
  <si>
    <t>SAN FP Equity</t>
  </si>
  <si>
    <t>SAP GY Equity</t>
  </si>
  <si>
    <t>SVT LN Equity</t>
  </si>
  <si>
    <t>SMIN LN Equity</t>
  </si>
  <si>
    <t>6758 JT Equity</t>
  </si>
  <si>
    <t>SO UN</t>
  </si>
  <si>
    <t>ČSOB Světového růstu 2 (Fund Partners)</t>
  </si>
  <si>
    <t>Fund Partners CSOB Financials Short Term Growth 1</t>
  </si>
  <si>
    <t>ČSOB Světový strom 8 (Fund Partners)</t>
  </si>
  <si>
    <t>ČSOB Světoví giganti 3 (KBC Click)</t>
  </si>
  <si>
    <t>BAC UN Equity</t>
  </si>
  <si>
    <t>BARC LN</t>
  </si>
  <si>
    <t>BARC LN Equity</t>
  </si>
  <si>
    <t>BAS GY</t>
  </si>
  <si>
    <t>BAS GY Equity</t>
  </si>
  <si>
    <t>ČSOB Světový strom CZK 1 (Fund Partners)</t>
  </si>
  <si>
    <t>ČSOB Světový click+ 17 (Fund Partners)</t>
  </si>
  <si>
    <t>ČSOB Světový click+ EUR 3 (Fund Partners)</t>
  </si>
  <si>
    <t>BE0947510146/16</t>
  </si>
  <si>
    <t>BE0947510146/17</t>
  </si>
  <si>
    <t>počáteční hodnota 2. období</t>
  </si>
  <si>
    <t>počáteční hodnota 1. období</t>
  </si>
  <si>
    <t>LU0238572431/5</t>
  </si>
  <si>
    <t>LU0238572431/6</t>
  </si>
  <si>
    <t>konečná hodnota po 6 měs.</t>
  </si>
  <si>
    <t>váž.zhodnocení</t>
  </si>
  <si>
    <t>zhodnocení za první období</t>
  </si>
  <si>
    <t>Horizon CSOB PB Luxury &amp; Growth Stocks 1</t>
  </si>
  <si>
    <t>entry optimizer</t>
  </si>
  <si>
    <t>plain vanilla + lookback</t>
  </si>
  <si>
    <t>Fund Partners CSOB World Click EUR Plus 2</t>
  </si>
  <si>
    <t>ČSOB Reverzní click 1 (Fund Partners)</t>
  </si>
  <si>
    <t>ČSOB Světový click+ 5 (Fund Partners)</t>
  </si>
  <si>
    <t>BANK OF NEW YORK MELLON</t>
  </si>
  <si>
    <t>LU0306697896/4</t>
  </si>
  <si>
    <t>LU0306697896/5</t>
  </si>
  <si>
    <t>LU0306697896/6</t>
  </si>
  <si>
    <t>LU0306697896/7</t>
  </si>
  <si>
    <t>LU0306697896/8</t>
  </si>
  <si>
    <t>Horizon CSOB Private Banking Europe Booster 1</t>
  </si>
  <si>
    <t>LU0311893811/13</t>
  </si>
  <si>
    <t>LU0311893811/14</t>
  </si>
  <si>
    <t>LU0311893811/15</t>
  </si>
  <si>
    <t>MITSUBISHI UFJ FINANCIAL GROUP</t>
  </si>
  <si>
    <t>8306 JT Equity</t>
  </si>
  <si>
    <t>MIZUHO FINANCIAL GROUP</t>
  </si>
  <si>
    <t>8411 JT Equity</t>
  </si>
  <si>
    <t>NINTENDO</t>
  </si>
  <si>
    <t>Broad Commodity Index_MAY2008</t>
  </si>
  <si>
    <t>ČSOB Světový click+ 20</t>
  </si>
  <si>
    <t>PM UN Equity</t>
  </si>
  <si>
    <t>akci KBC byla vyřazena z koše</t>
  </si>
  <si>
    <t>LU0243781522/8</t>
  </si>
  <si>
    <t>LU0220509748/2</t>
  </si>
  <si>
    <t>LU0220509748/3</t>
  </si>
  <si>
    <t>ČSOB Krátkodobého růstu 2</t>
  </si>
  <si>
    <t>ČSOB Krátkodobého růstu 3</t>
  </si>
  <si>
    <t>9432 JT  Equity</t>
  </si>
  <si>
    <t>PBI UN  Equity</t>
  </si>
  <si>
    <t>6753 JT  Equity</t>
  </si>
  <si>
    <t>19 HK  Equity</t>
  </si>
  <si>
    <t>TA CN  Equity</t>
  </si>
  <si>
    <t>WES AU Equity</t>
  </si>
  <si>
    <t>WEC UN  Equity</t>
  </si>
  <si>
    <t>ČSOB Private Banking New Multinationals 1 (KBC Click)</t>
  </si>
  <si>
    <t>AMERICA MOVIL-ADR SERIES L</t>
  </si>
  <si>
    <t>AMX UN Equity</t>
  </si>
  <si>
    <t>LU0302430136/16</t>
  </si>
  <si>
    <t>TOYOTA MOTOR CORP</t>
  </si>
  <si>
    <t>CA FP</t>
  </si>
  <si>
    <t>SGO FP</t>
  </si>
  <si>
    <t>DGE LN</t>
  </si>
  <si>
    <t>GE UN</t>
  </si>
  <si>
    <t>AGN NA Equity</t>
  </si>
  <si>
    <t>BKIR ID Equity</t>
  </si>
  <si>
    <t>RAI UN Equity</t>
  </si>
  <si>
    <t>SSE LN Equity</t>
  </si>
  <si>
    <t xml:space="preserve">AGN NA </t>
  </si>
  <si>
    <t xml:space="preserve">RAI UN </t>
  </si>
  <si>
    <t>ČSOB Středoevropské měny 3</t>
  </si>
  <si>
    <t>Hang Seng China Enterprises Index</t>
  </si>
  <si>
    <t>Hang Seng Index</t>
  </si>
  <si>
    <t>Telecom Italia</t>
  </si>
  <si>
    <t>WOLTERS KLUWER</t>
  </si>
  <si>
    <t>LU0233991131/1</t>
  </si>
  <si>
    <t>LU0233991131/2</t>
  </si>
  <si>
    <t>BE0948820635/24</t>
  </si>
  <si>
    <t>ČSOB Fixovaný click 14 (Global Partners)</t>
  </si>
  <si>
    <t>SL/ LN Equity</t>
  </si>
  <si>
    <t>LU0215862425/5</t>
  </si>
  <si>
    <t>LU0215862425/6</t>
  </si>
  <si>
    <t>LU0215862425/7</t>
  </si>
  <si>
    <t>BE0946998847/10</t>
  </si>
  <si>
    <t>BE0946998847/11</t>
  </si>
  <si>
    <t>BE0946998847/12</t>
  </si>
  <si>
    <t>BE0946998847/13</t>
  </si>
  <si>
    <t>BE0946998847/14</t>
  </si>
  <si>
    <t>BE0946998847/15</t>
  </si>
  <si>
    <t>BE0946998847/16</t>
  </si>
  <si>
    <t>BE0946998847/17</t>
  </si>
  <si>
    <t>BE0946998847/18</t>
  </si>
  <si>
    <t>LU0215861294</t>
  </si>
  <si>
    <t>LU0215861963</t>
  </si>
  <si>
    <t>LU0220509748</t>
  </si>
  <si>
    <t>LU0220509151</t>
  </si>
  <si>
    <t>LU0292711198/1</t>
  </si>
  <si>
    <t>LU0292711198/2</t>
  </si>
  <si>
    <t>LU0292711198/3</t>
  </si>
  <si>
    <t>LU0292711198/4</t>
  </si>
  <si>
    <t>ČSOB Click s pamětí 4 (Global Partners)</t>
  </si>
  <si>
    <t>LU0594967605/1</t>
  </si>
  <si>
    <t>LU0594967605/2</t>
  </si>
  <si>
    <t>LU0594967605/3</t>
  </si>
  <si>
    <t>LU0594967605/4</t>
  </si>
  <si>
    <t>LU0594967605/5</t>
  </si>
  <si>
    <t>LU0233991131/13</t>
  </si>
  <si>
    <t>LU0264742643/4</t>
  </si>
  <si>
    <t>LU0264742056/1</t>
  </si>
  <si>
    <t>LU0264742056/2</t>
  </si>
  <si>
    <t>LU0264742056/3</t>
  </si>
  <si>
    <t>LU0264742056/4</t>
  </si>
  <si>
    <t>LU0264742056/5</t>
  </si>
  <si>
    <t>LU0254128266/4</t>
  </si>
  <si>
    <t>LU0254128266/5</t>
  </si>
  <si>
    <t>LU0254128266/6</t>
  </si>
  <si>
    <t>LU0254128266/7</t>
  </si>
  <si>
    <t>fix upside</t>
  </si>
  <si>
    <t>steepener</t>
  </si>
  <si>
    <t>VOD LN Equity</t>
  </si>
  <si>
    <t>VOLVB SS Equity</t>
  </si>
  <si>
    <t>LU0306697896/13</t>
  </si>
  <si>
    <t>LU0270175846/8</t>
  </si>
  <si>
    <t>LU0270175846/9</t>
  </si>
  <si>
    <t>LU0270175846/10</t>
  </si>
  <si>
    <t>LU0270175846/11</t>
  </si>
  <si>
    <t>LU0270175846/12</t>
  </si>
  <si>
    <t>LU0270175846/13</t>
  </si>
  <si>
    <t>BE0946876597</t>
  </si>
  <si>
    <t>LU0228823257/1</t>
  </si>
  <si>
    <t>LU0228823257/2</t>
  </si>
  <si>
    <t>LU0228823257/3</t>
  </si>
  <si>
    <t>LU0302430136/5</t>
  </si>
  <si>
    <t>LU0302430136/6</t>
  </si>
  <si>
    <t>TORONTO-DOMINION BANK</t>
  </si>
  <si>
    <t>DHR UN Equity</t>
  </si>
  <si>
    <t>KEL LN Equity</t>
  </si>
  <si>
    <t>NWG LN Equity</t>
  </si>
  <si>
    <t>6368 JT Equity</t>
  </si>
  <si>
    <t>PNN LN Equity</t>
  </si>
  <si>
    <t>AMGN UQ Equity</t>
  </si>
  <si>
    <t>LU0180692880/1</t>
  </si>
  <si>
    <t>LU0228824065/18</t>
  </si>
  <si>
    <t>ČSOB PB Variable Participation 1</t>
  </si>
  <si>
    <t>ČSOB Světového růstu+ 10</t>
  </si>
  <si>
    <t>v pátém období byla vyřazena akcie ING Group</t>
  </si>
  <si>
    <t>BE0948191169/9</t>
  </si>
  <si>
    <t>BE0948191169/10</t>
  </si>
  <si>
    <t>8058 JT Equity</t>
  </si>
  <si>
    <t>UNITED PARCEL SERVICE</t>
  </si>
  <si>
    <t>UPS UN Equity</t>
  </si>
  <si>
    <t>HENNES &amp; MAURITZ</t>
  </si>
  <si>
    <t>OMV AG</t>
  </si>
  <si>
    <t>OMV AV Equity</t>
  </si>
  <si>
    <t>RICHTER GEDEON NYRT</t>
  </si>
  <si>
    <t>BE0947753639/15</t>
  </si>
  <si>
    <t>SAN SM</t>
  </si>
  <si>
    <t>CSCO UQ</t>
  </si>
  <si>
    <t>ČSOB Světový strom 2 (Fund Partners)</t>
  </si>
  <si>
    <t>ČSOB Click Program 3 (Fund Partners)</t>
  </si>
  <si>
    <t>ČSOB Private Banking New Multinationals 1</t>
  </si>
  <si>
    <t>LU0171686735/8</t>
  </si>
  <si>
    <t>LU0171686735/9</t>
  </si>
  <si>
    <t>LU0171686735/10</t>
  </si>
  <si>
    <t>SKF AB-B SHARES</t>
  </si>
  <si>
    <t>maximální výnos do splatnosti</t>
  </si>
  <si>
    <t>BE0175459834</t>
  </si>
  <si>
    <t>BE0177035103</t>
  </si>
  <si>
    <t>není omezen</t>
  </si>
  <si>
    <t xml:space="preserve">minimální výnos do splatnosti </t>
  </si>
  <si>
    <t>LU0209404507/6</t>
  </si>
  <si>
    <t>LU0209275188/1</t>
  </si>
  <si>
    <t>SWIRE PACIFIC LTD  'A'</t>
  </si>
  <si>
    <t>TELUS CORP</t>
  </si>
  <si>
    <t>BE0947441425/12</t>
  </si>
  <si>
    <t>BE0947441425/13</t>
  </si>
  <si>
    <t>BE0947441425/14</t>
  </si>
  <si>
    <t>LU0317821394/1</t>
  </si>
  <si>
    <t>LU0317821394/2</t>
  </si>
  <si>
    <t>LU0317821394/3</t>
  </si>
  <si>
    <t>LU0228824065/30</t>
  </si>
  <si>
    <t>LU0228824065/31</t>
  </si>
  <si>
    <t>LU0228824065/32</t>
  </si>
  <si>
    <t>LU0228824065/33</t>
  </si>
  <si>
    <t>LU0228824065/34</t>
  </si>
  <si>
    <t>LU0258216455</t>
  </si>
  <si>
    <t>LU0258407633</t>
  </si>
  <si>
    <t>PSB, Maximal Invest 40</t>
  </si>
  <si>
    <t>Maximal Invest 39</t>
  </si>
  <si>
    <t>Global Partners CSOB Click s pameti 3</t>
  </si>
  <si>
    <t>LU0518434104</t>
  </si>
  <si>
    <t>BE0935104241</t>
  </si>
  <si>
    <t>Maximal Invest 59</t>
  </si>
  <si>
    <t>ČSOB Asijské investice 1</t>
  </si>
  <si>
    <t>KBC Click CSOB Asijske investice 1</t>
  </si>
  <si>
    <t>Fund Partners CSOB World Click Plus 16</t>
  </si>
  <si>
    <t>LU0306697037/4</t>
  </si>
  <si>
    <t>LU0306697037/5</t>
  </si>
  <si>
    <t>LU0306697037/6</t>
  </si>
  <si>
    <t>LU0306697037/7</t>
  </si>
  <si>
    <t>LU0306697037/8</t>
  </si>
  <si>
    <t>LU0306697037/9</t>
  </si>
  <si>
    <t>LU0306697037/10</t>
  </si>
  <si>
    <t>LU0306697037/11</t>
  </si>
  <si>
    <t>LU0306697037/12</t>
  </si>
  <si>
    <t>LU0215861294/3</t>
  </si>
  <si>
    <t>LU0180694076</t>
  </si>
  <si>
    <t>LU0190374016</t>
  </si>
  <si>
    <t>LU0190374362</t>
  </si>
  <si>
    <t>LU0190374107</t>
  </si>
  <si>
    <t>ceny akcií k</t>
  </si>
  <si>
    <t>LU0258216455/3</t>
  </si>
  <si>
    <t>LU0258216455/4</t>
  </si>
  <si>
    <t>LU0258216455/5</t>
  </si>
  <si>
    <t>LU0220509748/8</t>
  </si>
  <si>
    <t>LU0220509748/9</t>
  </si>
  <si>
    <t>LU0220509748/10</t>
  </si>
  <si>
    <t>ČSOB Reverzní click 5 (Fund Partners)</t>
  </si>
  <si>
    <t>Fund Partners CSOB World Growth 1</t>
  </si>
  <si>
    <t>Fund Partners CSOB World Click USD Plus 1</t>
  </si>
  <si>
    <t>Fund Partners CSOB World Click Plus 6</t>
  </si>
  <si>
    <t>Fund Partners CSOB World Tree 1</t>
  </si>
  <si>
    <t>LU0268096574/4</t>
  </si>
  <si>
    <t>LU0268096574/5</t>
  </si>
  <si>
    <t>LU0275128014/1</t>
  </si>
  <si>
    <t>LU0275128014/2</t>
  </si>
  <si>
    <t>LU0275128014/3</t>
  </si>
  <si>
    <t>LU0275128014/4</t>
  </si>
  <si>
    <t>BE0947597044/3</t>
  </si>
  <si>
    <t>BE0947597044/4</t>
  </si>
  <si>
    <t>BE0947597044/5</t>
  </si>
  <si>
    <t>BE0947597044/6</t>
  </si>
  <si>
    <t>BE0947597044/7</t>
  </si>
  <si>
    <t>BE0947597044/8</t>
  </si>
  <si>
    <t>ČSOB Evropský Lookback 1 (Horizon)</t>
  </si>
  <si>
    <t>BE0948384152/1</t>
  </si>
  <si>
    <t>BE0947753639/16</t>
  </si>
  <si>
    <t>BE0947752623/1</t>
  </si>
  <si>
    <t>BE0948820635/22</t>
  </si>
  <si>
    <t>BE0948820635/23</t>
  </si>
  <si>
    <t>Global Partners KBC Reverzny 4</t>
  </si>
  <si>
    <t>LU0431462976</t>
  </si>
  <si>
    <t>KBC Reverzny 4</t>
  </si>
  <si>
    <t>LU0299475623/11</t>
  </si>
  <si>
    <t>LU0299475623/12</t>
  </si>
  <si>
    <t>17 akcií překročilo hranici</t>
  </si>
  <si>
    <t>ČSOB Světový click+ 10</t>
  </si>
  <si>
    <t>ČSOB Digitální click 1</t>
  </si>
  <si>
    <t>ČSOB Světového růstu+ 1</t>
  </si>
  <si>
    <t>LU0292711198/5</t>
  </si>
  <si>
    <t>LU0292711198/6</t>
  </si>
  <si>
    <t>EOAN GY</t>
  </si>
  <si>
    <t>EOAN GY Equity</t>
  </si>
  <si>
    <t>LU0212806581/4</t>
  </si>
  <si>
    <t>LU0212806581/5</t>
  </si>
  <si>
    <t>LU0215861294/1</t>
  </si>
  <si>
    <t>LU0215861294/2</t>
  </si>
  <si>
    <t>BE0947507118/10</t>
  </si>
  <si>
    <t>ČSOB Světové investice 1</t>
  </si>
  <si>
    <t>LU0228822440/2</t>
  </si>
  <si>
    <t>XEL UN  Equity</t>
  </si>
  <si>
    <t>LU0180692880</t>
  </si>
  <si>
    <t>prosinec 09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</si>
  <si>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</si>
  <si>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</si>
  <si>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</si>
  <si>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</si>
  <si>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</si>
  <si>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</si>
  <si>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</si>
  <si>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srpen 10</t>
  </si>
  <si>
    <t>září 10</t>
  </si>
  <si>
    <t>říjen 10</t>
  </si>
  <si>
    <t>listopad 10</t>
  </si>
  <si>
    <t>Průměr</t>
  </si>
  <si>
    <t>ČSOB Airbag jumper 1</t>
  </si>
  <si>
    <t>BE6200242020</t>
  </si>
  <si>
    <t>KBC Click CSOB Private Banking Europe Short 1</t>
  </si>
  <si>
    <t>BE0949016654/18</t>
  </si>
  <si>
    <t>BE0948076956</t>
  </si>
  <si>
    <t>Horizon CSOB Globalniho rustu 9</t>
  </si>
  <si>
    <t>ČSOB Globálního růstu+ 1</t>
  </si>
  <si>
    <t>Horizon CSOB Short Term Global Growth 2</t>
  </si>
  <si>
    <t>SIE GY Equity</t>
  </si>
  <si>
    <t>ČSOB PB Europe Short 2</t>
  </si>
  <si>
    <t>jumpstart</t>
  </si>
  <si>
    <t>LU0275127800/8</t>
  </si>
  <si>
    <t>LU0275127800/9</t>
  </si>
  <si>
    <t>BE0947508124</t>
  </si>
  <si>
    <t>BE0947442431</t>
  </si>
  <si>
    <t>LU0243781365/12</t>
  </si>
  <si>
    <t>LU0243781365/13</t>
  </si>
  <si>
    <t>LU0243781365/14</t>
  </si>
  <si>
    <t>LU0243781522/1</t>
  </si>
  <si>
    <t>LU0243781522/2</t>
  </si>
  <si>
    <t>LU0243781522/3</t>
  </si>
  <si>
    <t>LU0243781522/4</t>
  </si>
  <si>
    <t>TEL NO Equity</t>
  </si>
  <si>
    <t>MEO GY Equity</t>
  </si>
  <si>
    <t>VOW GY Equity</t>
  </si>
  <si>
    <t>COMERICA</t>
  </si>
  <si>
    <t>PHILIP MORRIS</t>
  </si>
  <si>
    <t>LU0490007829/1</t>
  </si>
  <si>
    <t>KBC Meny 2</t>
  </si>
  <si>
    <t>ČSOB Fixovaný click 3</t>
  </si>
  <si>
    <t>NESTLE</t>
  </si>
  <si>
    <t>ENEL</t>
  </si>
  <si>
    <t>GLAXOSMITHKLINE</t>
  </si>
  <si>
    <t>ROCHE</t>
  </si>
  <si>
    <t>RWE</t>
  </si>
  <si>
    <t>KBC BB</t>
  </si>
  <si>
    <t>BE0947753639/7</t>
  </si>
  <si>
    <t>BE0947753639/8</t>
  </si>
  <si>
    <t>Optimum fund ČSOB Top start 4</t>
  </si>
  <si>
    <t>ČSOB Světového růstu+ 11</t>
  </si>
  <si>
    <t>ČSOB Evropského růstu+ 1</t>
  </si>
  <si>
    <t>Horizon CSOB Private Banking Declining Jumper 1</t>
  </si>
  <si>
    <t>ČSOB Vodního bohatství 2</t>
  </si>
  <si>
    <t>ČSOB Harmonického růstu 1</t>
  </si>
  <si>
    <t>ČSOB Krátkodobého růstu 6</t>
  </si>
  <si>
    <t>ČSOB Středoevropské měny 1</t>
  </si>
  <si>
    <t>click - fixed + dividend</t>
  </si>
  <si>
    <t>AC FP Equity</t>
  </si>
  <si>
    <t>AA UN Equity</t>
  </si>
  <si>
    <t>MO UN</t>
  </si>
  <si>
    <t>WELLS FARGO &amp; COMPANY</t>
  </si>
  <si>
    <t>CBK GY Equity</t>
  </si>
  <si>
    <t>HRX GY Equity</t>
  </si>
  <si>
    <t>BE0947752623/17</t>
  </si>
  <si>
    <t>BE0947752623/18</t>
  </si>
  <si>
    <t>BE0947752623/19</t>
  </si>
  <si>
    <t>BE0947752623/20</t>
  </si>
  <si>
    <t>CENTRAL EUROPEAN MEDIA ENTERPRISES</t>
  </si>
  <si>
    <t>CEZ CP Equity</t>
  </si>
  <si>
    <t>LTS PW Equity</t>
  </si>
  <si>
    <t>ITX SM Equity</t>
  </si>
  <si>
    <t>Global Partners CSOB World Growth Plus 21</t>
  </si>
  <si>
    <t>ČMSS, ČSOB</t>
  </si>
  <si>
    <t>LU0376851274</t>
  </si>
  <si>
    <t>ČSOB Energie a Distribuce 1 (KBC Click)</t>
  </si>
  <si>
    <t>ČSOB Světové akcie 1</t>
  </si>
  <si>
    <t>ČSOB Click Program 3</t>
  </si>
  <si>
    <t>BE0948077962</t>
  </si>
  <si>
    <t>ČSOB Evropského Nemovitostního růstu 2</t>
  </si>
  <si>
    <t>ČSOB Světového růstu +15</t>
  </si>
  <si>
    <t>Optimum fund CSOB Top start 1</t>
  </si>
  <si>
    <t>ČSOB Top start 1</t>
  </si>
  <si>
    <t>ČSOB Variabilního růstu 3 (Global Partners)</t>
  </si>
  <si>
    <t>LU0292714531/6</t>
  </si>
  <si>
    <t>LU0292714531/7</t>
  </si>
  <si>
    <t>LU0292714531/8</t>
  </si>
  <si>
    <t>LU0306696815/19</t>
  </si>
  <si>
    <t>LU0306696815/20</t>
  </si>
  <si>
    <t>LU0306697896/1</t>
  </si>
  <si>
    <t>LU0306697896/2</t>
  </si>
  <si>
    <t>bull and bear</t>
  </si>
  <si>
    <t>NESN VX Equity</t>
  </si>
  <si>
    <t>ČSOB Bonusový fond 2 (Horizon)</t>
  </si>
  <si>
    <t>CAMPBELL SOUP CO</t>
  </si>
  <si>
    <t>Dai Nippon Printing</t>
  </si>
  <si>
    <t>jumper</t>
  </si>
  <si>
    <t>staircase click</t>
  </si>
  <si>
    <t>BE0947306040/1</t>
  </si>
  <si>
    <t>BE0947381795/1</t>
  </si>
  <si>
    <t>BE0947381795/2</t>
  </si>
  <si>
    <t>Fund Partners CSOB World Click Plus 21</t>
  </si>
  <si>
    <t>Fund Partners CSOB World Click Plus 22</t>
  </si>
  <si>
    <t>Fund Partners CSOB World Tree 6</t>
  </si>
  <si>
    <t>Fund Partners CSOB Fix Upside 1</t>
  </si>
  <si>
    <t>několik akcií překročilo hranici, Telecom Itaila byla vyřazena z koše</t>
  </si>
  <si>
    <t>ČSOB Fixovaný click 2</t>
  </si>
  <si>
    <t>PS Fixovaný click 1</t>
  </si>
  <si>
    <t>ČSOB Světový click+ USD 1</t>
  </si>
  <si>
    <t>ČSOB Private Banking Emerging Markets 2</t>
  </si>
  <si>
    <t>ČSOB Světový jumper 1</t>
  </si>
  <si>
    <t>ČSOB Světový reverzní swing 2</t>
  </si>
  <si>
    <t>T ROWE PRICE GROUP INC</t>
  </si>
  <si>
    <t>MOLSON COORS BREWING CO-B</t>
  </si>
  <si>
    <t>ČSOB Světoví giganti 3</t>
  </si>
  <si>
    <t>ČSOB Světový click +25</t>
  </si>
  <si>
    <t>Fund Partners CSOB World Growth+ 13</t>
  </si>
  <si>
    <t>Horizon CSOB Private Banking Asian Click 1</t>
  </si>
  <si>
    <t>LU0269673686/1</t>
  </si>
  <si>
    <t>LU0270175846/1</t>
  </si>
  <si>
    <t>LU0270175846/2</t>
  </si>
  <si>
    <t>LU0270175846/3</t>
  </si>
  <si>
    <t>LU0270175846/4</t>
  </si>
  <si>
    <t>LU0270175846/5</t>
  </si>
  <si>
    <t>LU0270175846/6</t>
  </si>
  <si>
    <t>LU0270175846/7</t>
  </si>
  <si>
    <t>GILD UQ Equity</t>
  </si>
  <si>
    <t>AZN LN Equity</t>
  </si>
  <si>
    <t>BE0947263589/4</t>
  </si>
  <si>
    <t>BE0947263589/5</t>
  </si>
  <si>
    <t>BE0947263589/6</t>
  </si>
  <si>
    <t>BE0947263589/7</t>
  </si>
  <si>
    <t>LU0254128266/21</t>
  </si>
  <si>
    <t>LU0254128266/22</t>
  </si>
  <si>
    <t>LU0254128266/23</t>
  </si>
  <si>
    <t>LU0254128266/24</t>
  </si>
  <si>
    <t>LU0254128266/25</t>
  </si>
  <si>
    <t>ČSOB Spotřební trendy 1 (KBC click)</t>
  </si>
  <si>
    <t>LU0233990166/3</t>
  </si>
  <si>
    <t>LU0233990166/4</t>
  </si>
  <si>
    <t>Fund Partners CSOB World Growth Plus 10</t>
  </si>
  <si>
    <t>ČSOB Digitální Reverzní 3 (Fund Partners)</t>
  </si>
  <si>
    <t>ČSOB Fixovaný Click 6 (Global Partners)</t>
  </si>
  <si>
    <t>ČSOB Fixovaný Click 9 (Global Partners)</t>
  </si>
  <si>
    <t>hranice byla překročena, akcie KBC byla vyřazena z koše</t>
  </si>
  <si>
    <t>více akcií překročilo hranici, ING bude vyřazena z koše</t>
  </si>
  <si>
    <t>SVENSKA CELLULOSA AB-B SHS</t>
  </si>
  <si>
    <t>UPM-KYMMENE OYJ</t>
  </si>
  <si>
    <t>ČSOB PB Emerging Markets 2 (Horizon)</t>
  </si>
  <si>
    <t>ČSOB Světové akcie 7 (KBC Click)</t>
  </si>
  <si>
    <t>ČSOB Krátkodobého růstu 7</t>
  </si>
  <si>
    <t>ČSOB Vodního bohatství 3</t>
  </si>
  <si>
    <t>ČSOB Světového růstu +17</t>
  </si>
  <si>
    <t>ČSOB Evropského Nemovitostního růstu 4</t>
  </si>
  <si>
    <t>ĆSOB Variabilní click 1</t>
  </si>
  <si>
    <t xml:space="preserve">ČSOB Farmacie a Finance 1 </t>
  </si>
  <si>
    <t>ČSOB Změny klimatu 1</t>
  </si>
  <si>
    <t>ČSOB Světový click +1 (Fund Partners)</t>
  </si>
  <si>
    <t>Fund Partners CSOB Central Europe Winners 2</t>
  </si>
  <si>
    <t>ve čtvrtém období byla dosažena hranice, akcie Fortis vyřazena z koše</t>
  </si>
  <si>
    <t>ČSOB Světový click+ 6 (Fund Partners)</t>
  </si>
  <si>
    <t>ČSOB Světový strom 1 (Fund Partners)</t>
  </si>
  <si>
    <t>ČSOB Světový click+ 8 (Fund Partners)</t>
  </si>
  <si>
    <t>ČSOB Světového růstu +25 (Global Partners)</t>
  </si>
  <si>
    <t>PEG UN Equity</t>
  </si>
  <si>
    <t>TERNA SPA</t>
  </si>
  <si>
    <t>TRN IM Equity</t>
  </si>
  <si>
    <t>ČSOB Kvalitní akcie 2 (Optimum fund)</t>
  </si>
  <si>
    <t>konec 1.období</t>
  </si>
  <si>
    <t>Global Partners CSOB Fixovany click 9</t>
  </si>
  <si>
    <t>LU0287594872/11</t>
  </si>
  <si>
    <t>LU0287594872/12</t>
  </si>
  <si>
    <t>LU0287594872/13</t>
  </si>
  <si>
    <t>LU0287594872/14</t>
  </si>
  <si>
    <t>LU0287594872/15</t>
  </si>
  <si>
    <t>LU0171683559/2</t>
  </si>
  <si>
    <t>LU0171683559/3</t>
  </si>
  <si>
    <t>LU0171683559/4</t>
  </si>
  <si>
    <t>ENDESA</t>
  </si>
  <si>
    <t>LU0254128266/20</t>
  </si>
  <si>
    <t>Global Partners CSOB Svetoveho rustu plus 24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</si>
  <si>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GAMBLE</t>
    </r>
  </si>
  <si>
    <t>RECKITT BENCKISER</t>
  </si>
  <si>
    <t>PBR UN Equity</t>
  </si>
  <si>
    <t>PING AN INSURANCE GROUP CO-H</t>
  </si>
  <si>
    <t>2318 HK Equity</t>
  </si>
  <si>
    <t>POSCO</t>
  </si>
  <si>
    <t>005490 KS Equity</t>
  </si>
  <si>
    <t>Maximal Invest 60</t>
  </si>
  <si>
    <t>BE6214085712/1</t>
  </si>
  <si>
    <t>BE6214085712/2</t>
  </si>
  <si>
    <t>BE6214085712/3</t>
  </si>
  <si>
    <t>BE6214085712/4</t>
  </si>
  <si>
    <t>BE6214085712/5</t>
  </si>
  <si>
    <t>BE6214085712/6</t>
  </si>
  <si>
    <t>BE6214085712/7</t>
  </si>
  <si>
    <t>BE6214085712/8</t>
  </si>
  <si>
    <t>ČSOB Duo Bonus 1 (Optimum fund)</t>
  </si>
  <si>
    <t>CANADIAN IMPERIAL BANK OF COMMERCE</t>
  </si>
  <si>
    <t>CM CT Equity</t>
  </si>
  <si>
    <t>LAND SECURITIES</t>
  </si>
  <si>
    <t>LAND LN Equity</t>
  </si>
  <si>
    <t>PEARSON</t>
  </si>
  <si>
    <t>PSON LN Equity</t>
  </si>
  <si>
    <t>STANDARD LIFE</t>
  </si>
  <si>
    <t>ČSOB Světový click+ 20 (Fund Partners)</t>
  </si>
  <si>
    <t>ČSOB Světového růstu +21 (Global Partners)</t>
  </si>
  <si>
    <t>LU0377944227/1</t>
  </si>
  <si>
    <t>LU0377944227/2</t>
  </si>
  <si>
    <t>LU0377944227/3</t>
  </si>
  <si>
    <t>Nokia byla vyřazena z koše</t>
  </si>
  <si>
    <t>KBC Click CSOB Private Banking Strong European Economies 1</t>
  </si>
  <si>
    <t>průměr            49,34%</t>
  </si>
  <si>
    <t>LU0180692534</t>
  </si>
  <si>
    <t>Fund Partners CSOB World Growth Plus 11</t>
  </si>
  <si>
    <t>Fund Partners CSOB World Growth Plus 12</t>
  </si>
  <si>
    <t>ČSOB Světového růstu + 8 (Fund Partners)</t>
  </si>
  <si>
    <t>LU0224849660/5</t>
  </si>
  <si>
    <t>LU0224849660/6</t>
  </si>
  <si>
    <t>LU0224849660/7</t>
  </si>
  <si>
    <t>LU0224849660/8</t>
  </si>
  <si>
    <t>DAI GY Equity</t>
  </si>
  <si>
    <t>LU0249276956/3</t>
  </si>
  <si>
    <t>LU0249276956/4</t>
  </si>
  <si>
    <t>LU0249276956/5</t>
  </si>
  <si>
    <t>LU0249276956/6</t>
  </si>
  <si>
    <t>ČSOB Světový click+ 12 (Fund Partners)</t>
  </si>
  <si>
    <t>ČSOB Světový click +14 (Fund Partners)</t>
  </si>
  <si>
    <t>ČSOB Krátkodobého růstu 7 (Horizon)</t>
  </si>
  <si>
    <t>ČSOB Reverzní click 8 (Fund Partners)</t>
  </si>
  <si>
    <t>ČSOB Vodního bohatství 3 (KBC Click)</t>
  </si>
  <si>
    <t>ČSOB Světového růstu + 17 (Horizon)</t>
  </si>
  <si>
    <t>ČSOB Evropského Nemovitostního růstu 4 (Horizon)</t>
  </si>
  <si>
    <t>BE0948191169/4</t>
  </si>
  <si>
    <t>BE0948191169/5</t>
  </si>
  <si>
    <t>BE0948191169/6</t>
  </si>
  <si>
    <t>Výnos koše</t>
  </si>
  <si>
    <t>LU0395336778/6</t>
  </si>
  <si>
    <t>VIE FP Equity</t>
  </si>
  <si>
    <t xml:space="preserve">UG FP </t>
  </si>
  <si>
    <t xml:space="preserve">SIE GY </t>
  </si>
  <si>
    <t xml:space="preserve">VIE FP </t>
  </si>
  <si>
    <t>AT&amp;T</t>
  </si>
  <si>
    <t>T UN</t>
  </si>
  <si>
    <t>T UN Equity</t>
  </si>
  <si>
    <t>LU0287594872</t>
  </si>
  <si>
    <t>BULGARI</t>
  </si>
  <si>
    <t>BUNZL</t>
  </si>
  <si>
    <t>Maximal Invest 14</t>
  </si>
  <si>
    <t>BE0947312105/1</t>
  </si>
  <si>
    <t>LU0311893811/1</t>
  </si>
  <si>
    <t>LU0311893811/2</t>
  </si>
  <si>
    <t>LU0311893811/3</t>
  </si>
  <si>
    <t>BE0947508124/10</t>
  </si>
  <si>
    <t>BE0947508124/11</t>
  </si>
  <si>
    <t>BE0947508124/12</t>
  </si>
  <si>
    <t>BE0947508124/13</t>
  </si>
  <si>
    <t>LU0202579891/6</t>
  </si>
  <si>
    <t>LU0202579891/7</t>
  </si>
  <si>
    <t>LU0202579891/8</t>
  </si>
  <si>
    <t>LU0202579891/9</t>
  </si>
  <si>
    <t>LU0202579891/10</t>
  </si>
  <si>
    <t>LU0202579891/11</t>
  </si>
  <si>
    <t>LU0202579891/12</t>
  </si>
  <si>
    <t>LU0202578901/1</t>
  </si>
  <si>
    <t>LU0202578901/2</t>
  </si>
  <si>
    <t>LU0202578901/3</t>
  </si>
  <si>
    <t>BE0948385167</t>
  </si>
  <si>
    <t>ČSOB Středoevropských šampionů 2</t>
  </si>
  <si>
    <t>DAIMLERCHRYSLER AG-REG</t>
  </si>
  <si>
    <t>LU0287594872/5</t>
  </si>
  <si>
    <t>LU0287594872/6</t>
  </si>
  <si>
    <t>LU0287594872/7</t>
  </si>
  <si>
    <t>LU0287594872/8</t>
  </si>
  <si>
    <t>LU0287594872/9</t>
  </si>
  <si>
    <t>LU0287594872/10</t>
  </si>
  <si>
    <t>ČSOB Světový click+ 19 (Fund Partners)</t>
  </si>
  <si>
    <t>ČSOB Světový strom 5 (Fund Partners)</t>
  </si>
  <si>
    <t>KONINKLIJKE AHOLD</t>
  </si>
  <si>
    <t>AH NA Equity</t>
  </si>
  <si>
    <t>HOST HOTELS &amp; RESORTS</t>
  </si>
  <si>
    <t>HST UN Equity</t>
  </si>
  <si>
    <t>LAGARDERE S.C.A.</t>
  </si>
  <si>
    <t>MMB FP Equity</t>
  </si>
  <si>
    <t>MEDTRONIC INC</t>
  </si>
  <si>
    <t>MDT UN Equity</t>
  </si>
  <si>
    <t>MITSUBISHI ELECTRIC CORP</t>
  </si>
  <si>
    <t>6503 JT Equity</t>
  </si>
  <si>
    <t>PERNOD-RICARD SA</t>
  </si>
  <si>
    <t>RI FP Equity</t>
  </si>
  <si>
    <t>LU0377944227/4</t>
  </si>
  <si>
    <t>LU0377944227/5</t>
  </si>
  <si>
    <t>CHINA RAILWAY CONSTRUCTION</t>
  </si>
  <si>
    <t>390 HK Equity</t>
  </si>
  <si>
    <t>CHINA RAILWAY GROUP LTD</t>
  </si>
  <si>
    <t>ANHUI CONCH CEMENT CO LTD</t>
  </si>
  <si>
    <t>1186 HK Equity</t>
  </si>
  <si>
    <t>CHINA RESOURCES POWER HOLDING</t>
  </si>
  <si>
    <t>836 HK Equity</t>
  </si>
  <si>
    <t>CLP</t>
  </si>
  <si>
    <t>2 HK Equity</t>
  </si>
  <si>
    <t>DATANG INTL POWER GEN CO</t>
  </si>
  <si>
    <t>991 HK Equity</t>
  </si>
  <si>
    <t>DOOSAN HEAVY INDUSTRIES</t>
  </si>
  <si>
    <t>034020 KS Equity</t>
  </si>
  <si>
    <t>HONG KONG ELECTRIC</t>
  </si>
  <si>
    <t>ČSOB Emerging forex 1</t>
  </si>
  <si>
    <t>Global Partners CSOB Fixovany click 5</t>
  </si>
  <si>
    <t>ELI LILLY</t>
  </si>
  <si>
    <t>EMG LN Equity</t>
  </si>
  <si>
    <t>LU0228824065/10</t>
  </si>
  <si>
    <t>LU0228824065/11</t>
  </si>
  <si>
    <t>LU0228824065/12</t>
  </si>
  <si>
    <t>LU0228824065/13</t>
  </si>
  <si>
    <t>LU0249276956/35</t>
  </si>
  <si>
    <t>LU0249276956/36</t>
  </si>
  <si>
    <t>LU0254128183/1</t>
  </si>
  <si>
    <t>LU0254128183/2</t>
  </si>
  <si>
    <t>LU0254128183/3</t>
  </si>
  <si>
    <t>LU0254128183/4</t>
  </si>
  <si>
    <t>LU0254128183/5</t>
  </si>
  <si>
    <t>LU0249276956/7</t>
  </si>
  <si>
    <t>LU0249276956/8</t>
  </si>
  <si>
    <t>poslední obchodní den v měsíci (za posledních 24 měsíců od června 2007 do května 2009)</t>
  </si>
  <si>
    <t>BE0947262573</t>
  </si>
  <si>
    <t>BE0947263589</t>
  </si>
  <si>
    <t>LU0296782518</t>
  </si>
  <si>
    <t>BE0947170628</t>
  </si>
  <si>
    <t>BE0946997831</t>
  </si>
  <si>
    <t>LU0296782609</t>
  </si>
  <si>
    <t>LU0299475623</t>
  </si>
  <si>
    <t>LU0298382754</t>
  </si>
  <si>
    <t>LU0300904389</t>
  </si>
  <si>
    <t>BE0947051406</t>
  </si>
  <si>
    <t>BE0947137296</t>
  </si>
  <si>
    <t>BE0947207024</t>
  </si>
  <si>
    <t>ADP US Equity</t>
  </si>
  <si>
    <t>ABI BB Equity</t>
  </si>
  <si>
    <t>FME GY Equity</t>
  </si>
  <si>
    <t>LU0249276956/19</t>
  </si>
  <si>
    <t>BE0948178034</t>
  </si>
  <si>
    <t>LU0362469362</t>
  </si>
  <si>
    <t>BE0948260857</t>
  </si>
  <si>
    <t>Fund Partners CSOB Short Term Growth 6</t>
  </si>
  <si>
    <t>LU0233991560/9</t>
  </si>
  <si>
    <t>OTP BANK NYRT</t>
  </si>
  <si>
    <t>ČSOB Airbag jumper 2 (Optimum fund)</t>
  </si>
  <si>
    <t>BE6210119820/1</t>
  </si>
  <si>
    <t>BE6210119820/2</t>
  </si>
  <si>
    <t>BE6210119820/3</t>
  </si>
  <si>
    <t>Fund Partners CSOB World Click Plus 1</t>
  </si>
  <si>
    <t>ČSOB PB Steepener 1</t>
  </si>
  <si>
    <t xml:space="preserve">ČSOB PB Růstu 1 </t>
  </si>
  <si>
    <t xml:space="preserve">ČSOB PB Europe Short 1 </t>
  </si>
  <si>
    <t>DOMINION RESOURCES</t>
  </si>
  <si>
    <t>ČSOB PB Central Europe Winners 1</t>
  </si>
  <si>
    <t>BE0947753639/5</t>
  </si>
  <si>
    <t>ČSOB Fixovaný Click 4 (Global Partners)</t>
  </si>
  <si>
    <t>Horizon CSOB Commodity 2</t>
  </si>
  <si>
    <t>ČSOB Private Banking Asian Jumpstart (Horizon)</t>
  </si>
  <si>
    <t>JOHNSON MATTHEY PLC</t>
  </si>
  <si>
    <t>JMAT LN Equity</t>
  </si>
  <si>
    <t>ČSOB Změny klimatu 2 (KBC Click)</t>
  </si>
  <si>
    <t>KUBOTA CORP</t>
  </si>
  <si>
    <t>6326 JT Equity</t>
  </si>
  <si>
    <t>ELE SM Equity</t>
  </si>
  <si>
    <t>ENEL IM Equity</t>
  </si>
  <si>
    <t>ENI IM</t>
  </si>
  <si>
    <t>ENI IM Equity</t>
  </si>
  <si>
    <t>XOM UN</t>
  </si>
  <si>
    <t>XOM UN Equity</t>
  </si>
  <si>
    <t>GE UN Equity</t>
  </si>
  <si>
    <t>GSK LN Equity</t>
  </si>
  <si>
    <t>HPQ UN Equity</t>
  </si>
  <si>
    <t>IBM UN Equity</t>
  </si>
  <si>
    <t>INGA NA</t>
  </si>
  <si>
    <t>INGA NA Equity</t>
  </si>
  <si>
    <t>ČSOB Světový click+ 14</t>
  </si>
  <si>
    <t>ČSOB Světový strom 2</t>
  </si>
  <si>
    <t>Horizon CSOB Europe Real Estate Growth 3</t>
  </si>
  <si>
    <t>KBC Click CSOB Water 2</t>
  </si>
  <si>
    <t>BE0946875581/1</t>
  </si>
  <si>
    <t>LU0283973138/1</t>
  </si>
  <si>
    <t>LU0283973138/2</t>
  </si>
  <si>
    <t>BE0948255808/15</t>
  </si>
  <si>
    <t>BE0948255808/16</t>
  </si>
  <si>
    <t>ČSOB Světový Jumper 2 (Horizon)</t>
  </si>
  <si>
    <t>KONINKLIJKE KPN NV</t>
  </si>
  <si>
    <t>KPN NA Equity</t>
  </si>
  <si>
    <t>JNJ UN Equity</t>
  </si>
  <si>
    <t>KBC BB Equity</t>
  </si>
  <si>
    <t>KGF LN</t>
  </si>
  <si>
    <t>KGF LN Equity</t>
  </si>
  <si>
    <t>MC FP Equity</t>
  </si>
  <si>
    <t>MSFT UQ Equity</t>
  </si>
  <si>
    <t>NG/ LN</t>
  </si>
  <si>
    <t>ČSOB Světový click+ 23 (Fund Partners)</t>
  </si>
  <si>
    <t>akcie</t>
  </si>
  <si>
    <t>zhodnocení</t>
  </si>
  <si>
    <t>aktuální hodnota</t>
  </si>
  <si>
    <t>% v koši</t>
  </si>
  <si>
    <t>KBC Click CSOB World Equities 6</t>
  </si>
  <si>
    <t>IBE SM Equity</t>
  </si>
  <si>
    <t>KEY UN Equity</t>
  </si>
  <si>
    <t>GLE FP Equity</t>
  </si>
  <si>
    <t>ČSOB BRIC šampioni 1</t>
  </si>
  <si>
    <t>LU0611338012</t>
  </si>
  <si>
    <t>ČSOB Světový strom 16</t>
  </si>
  <si>
    <t>LU0620346378</t>
  </si>
  <si>
    <t>Maximal Invest 64</t>
  </si>
  <si>
    <t>Maximal Invest 62</t>
  </si>
  <si>
    <t>Maximal Invest 63</t>
  </si>
  <si>
    <t>Maximal Invest 66</t>
  </si>
  <si>
    <t>Maximal Invest 65</t>
  </si>
  <si>
    <t>Maximal Invest 67</t>
  </si>
  <si>
    <t>Maximal Invest 68</t>
  </si>
  <si>
    <t>009540 KS Equity</t>
  </si>
  <si>
    <t>ZEIJIANG EXPRESSWAY</t>
  </si>
  <si>
    <t>576 HK Equity</t>
  </si>
  <si>
    <t>Global Partners CSOB Variable Growth 1</t>
  </si>
  <si>
    <t>ČSOB Variabilního růstu 1</t>
  </si>
  <si>
    <t>LU0338512949</t>
  </si>
  <si>
    <t>LU0306696815/4</t>
  </si>
  <si>
    <t>LU0306696815/5</t>
  </si>
  <si>
    <t>ČSOB PB Reverse Spread 1</t>
  </si>
  <si>
    <t>ČSOB Top start 1 (Optimum fund)</t>
  </si>
  <si>
    <t>BE0947382801/8</t>
  </si>
  <si>
    <t>BE0947382801/9</t>
  </si>
  <si>
    <t xml:space="preserve">ČSOB Click Program 5 (Fund Partners) </t>
  </si>
  <si>
    <t>ČSOB Krátkodobého růstu 3 (Fund Partners)</t>
  </si>
  <si>
    <t>ČSOB Globálního růstu + 3 (Fund Partners)</t>
  </si>
  <si>
    <t>ČSOB PB Central Europe Winners 1 (Horizon)</t>
  </si>
  <si>
    <t>LU0317821394</t>
  </si>
  <si>
    <t>BE0947441425</t>
  </si>
  <si>
    <t>BE0947656634</t>
  </si>
  <si>
    <t>LU0233991131/4</t>
  </si>
  <si>
    <t>LU0233991131/5</t>
  </si>
  <si>
    <t>LU0292714531/16</t>
  </si>
  <si>
    <t>LU0233991131/23</t>
  </si>
  <si>
    <t>NG/ LN Equity</t>
  </si>
  <si>
    <t>Global Partners CSOB Fixovany click 8</t>
  </si>
  <si>
    <t>LU0435707731</t>
  </si>
  <si>
    <t>Global Partners CSOB Svetoveho rustu plus 23</t>
  </si>
  <si>
    <t>LU0438533415</t>
  </si>
  <si>
    <t>Fund Partners CSOB World Growth Plus 14</t>
  </si>
  <si>
    <t>Fund Partners CSOB Asian Winners 1</t>
  </si>
  <si>
    <t>ČSOB Fixovaného růstu 6 (Horizon)</t>
  </si>
  <si>
    <t>LU0395336778/1</t>
  </si>
  <si>
    <t>LU0395336778/2</t>
  </si>
  <si>
    <t>LU0395336778/3</t>
  </si>
  <si>
    <t>LU0395336778/4</t>
  </si>
  <si>
    <t>LU0395336778/5</t>
  </si>
  <si>
    <t>ČSOB Krátkodobého růstu 8 (Horizon)</t>
  </si>
  <si>
    <t>LU0228824065/14</t>
  </si>
  <si>
    <t>LU0228824065/19</t>
  </si>
  <si>
    <t>LU0264742056/11</t>
  </si>
  <si>
    <t>LU0264742056/12</t>
  </si>
  <si>
    <t>KBC Select Investors CSOB Premium 6</t>
  </si>
  <si>
    <t>Global Partners CSOB World Click plus EUR 5</t>
  </si>
  <si>
    <t>Maximal Invest 52</t>
  </si>
  <si>
    <t>doba v letech do splatnosti</t>
  </si>
  <si>
    <t>BE0948122446</t>
  </si>
  <si>
    <t>BE0948120424</t>
  </si>
  <si>
    <t>BE0948078978</t>
  </si>
  <si>
    <t>BE0948083051</t>
  </si>
  <si>
    <t>CHEUNG KONG HOLDINGS LTD</t>
  </si>
  <si>
    <t>ČSOB Světový strom 7</t>
  </si>
  <si>
    <t>ČSOB Světového růstu+ 9</t>
  </si>
  <si>
    <t>LU0209319499/3</t>
  </si>
  <si>
    <t>SU CN Equity</t>
  </si>
  <si>
    <t>SUNCOR ENERGY</t>
  </si>
  <si>
    <t>LU0233990596/3</t>
  </si>
  <si>
    <t>VEOLIA</t>
  </si>
  <si>
    <t>CSGN VX Equity</t>
  </si>
  <si>
    <t>UG FP Equity</t>
  </si>
  <si>
    <t>BE0946591659</t>
  </si>
  <si>
    <t>AIG UN</t>
  </si>
  <si>
    <t>BE0947510146/1</t>
  </si>
  <si>
    <t>BE0947510146/2</t>
  </si>
  <si>
    <t>BE0947510146/3</t>
  </si>
  <si>
    <t>BE0947510146/4</t>
  </si>
  <si>
    <t>BE0947510146/5</t>
  </si>
  <si>
    <t>LU0283973138/11</t>
  </si>
  <si>
    <t>LU0283973138/12</t>
  </si>
  <si>
    <t>LU0283973138/13</t>
  </si>
  <si>
    <t>LU0283973138/14</t>
  </si>
  <si>
    <t>LU0289335688/1</t>
  </si>
  <si>
    <t>SX5E Index</t>
  </si>
  <si>
    <t>LU0238572431/2</t>
  </si>
  <si>
    <t>LU0238572431/3</t>
  </si>
  <si>
    <t>LU0238572431/4</t>
  </si>
  <si>
    <t>ČSOB Krátkodobý globální invest 1 (Optimum fund)</t>
  </si>
  <si>
    <t>BE0949070222/1</t>
  </si>
  <si>
    <t>BE0949070222/2</t>
  </si>
  <si>
    <t>BE0949070222/3</t>
  </si>
  <si>
    <t>BE0949070222/4</t>
  </si>
  <si>
    <t>BE0949070222/5</t>
  </si>
  <si>
    <t>BE0949070222/6</t>
  </si>
  <si>
    <t>BE0949070222/7</t>
  </si>
  <si>
    <t>BE0949070222/8</t>
  </si>
  <si>
    <t>BE0949070222/9</t>
  </si>
  <si>
    <t>BE0949070222/10</t>
  </si>
  <si>
    <t>BE0949070222/11</t>
  </si>
  <si>
    <t>BE0949070222/12</t>
  </si>
  <si>
    <t>BE0949070222/13</t>
  </si>
  <si>
    <t>BE0949070222/14</t>
  </si>
  <si>
    <t>ČSOB Private Banking Declining Jumper 1 (Horizon)</t>
  </si>
  <si>
    <t>PRU LN</t>
  </si>
  <si>
    <t>TFI FP</t>
  </si>
  <si>
    <t>TNT NA</t>
  </si>
  <si>
    <t>ABB LTD</t>
  </si>
  <si>
    <t>BIFFA</t>
  </si>
  <si>
    <t>FORTUM</t>
  </si>
  <si>
    <t>GAMESA CORP TECHNOLOGICA</t>
  </si>
  <si>
    <t>KANSAI ELECTRIC POWER</t>
  </si>
  <si>
    <t>SUEDZUCKER</t>
  </si>
  <si>
    <t>UMICORE</t>
  </si>
  <si>
    <t>NTT DOCOMO</t>
  </si>
  <si>
    <t>COMMERZBANK AG</t>
  </si>
  <si>
    <t>HYPO REAL ESTATE HOLDING</t>
  </si>
  <si>
    <t>MARSHAL &amp; ILSLEY CORP</t>
  </si>
  <si>
    <t>distribuční kanál / poznámka</t>
  </si>
  <si>
    <t>ICICI BANK LTD-SPON ADR</t>
  </si>
  <si>
    <t>IBN UN Equity</t>
  </si>
  <si>
    <t>LG ELECTRONICS INC</t>
  </si>
  <si>
    <t>066570 KS Equity</t>
  </si>
  <si>
    <t>PETROCHINA CO LTD-H</t>
  </si>
  <si>
    <t>Horizon CSOB Private Banking Europe Short 3</t>
  </si>
  <si>
    <t>ČSOB Exclusive Airbag Jumper 1</t>
  </si>
  <si>
    <t>BE6217952587</t>
  </si>
  <si>
    <t>declining jumper</t>
  </si>
  <si>
    <t>BE6208640589/2</t>
  </si>
  <si>
    <t>BE6208640589/3</t>
  </si>
  <si>
    <t>BE6208640589/4</t>
  </si>
  <si>
    <t>BE6208640589/5</t>
  </si>
  <si>
    <t>GAP</t>
  </si>
  <si>
    <t>KYOCERA</t>
  </si>
  <si>
    <t>NOVO NORDISK</t>
  </si>
  <si>
    <t>SAGE GROUP</t>
  </si>
  <si>
    <t>BE0947755659/11</t>
  </si>
  <si>
    <t>BE0947755659/12</t>
  </si>
  <si>
    <t>BE0947755659/13</t>
  </si>
  <si>
    <t>BE0947755659/14</t>
  </si>
  <si>
    <t>BE0947755659/15</t>
  </si>
  <si>
    <t>BE0947755659/16</t>
  </si>
  <si>
    <t>DTE ENERGY COMPANY</t>
  </si>
  <si>
    <t>PRAXAIR</t>
  </si>
  <si>
    <t>PRINCIPAL FINANCIAL</t>
  </si>
  <si>
    <t>LU0239831844</t>
  </si>
  <si>
    <t>LU0239832065</t>
  </si>
  <si>
    <t>LU0239831760</t>
  </si>
  <si>
    <t>LU0242786621</t>
  </si>
  <si>
    <t>Maximal Invest 11</t>
  </si>
  <si>
    <t>LU0243781100</t>
  </si>
  <si>
    <t>LU0243781365</t>
  </si>
  <si>
    <t>BK UN Equity</t>
  </si>
  <si>
    <t>BA/ LN Equity</t>
  </si>
  <si>
    <t>BAC UN</t>
  </si>
  <si>
    <t>KBC Select Investors CSOB Premium plus 1</t>
  </si>
  <si>
    <t>ČSOB Premium plus 1</t>
  </si>
  <si>
    <t>LU0559923635</t>
  </si>
  <si>
    <t>ING byla byřazena z koše po třetím období</t>
  </si>
  <si>
    <t>LU0171686735/5</t>
  </si>
  <si>
    <t>LU0171686735/6</t>
  </si>
  <si>
    <t>BE0948120424/15</t>
  </si>
  <si>
    <t>BE0948122446/1</t>
  </si>
  <si>
    <t>ČSOB Krátkodobého Globálního růstu 2 (Horizon)</t>
  </si>
  <si>
    <t>LU0196738719/1</t>
  </si>
  <si>
    <t>LU0201807657/1</t>
  </si>
  <si>
    <t>MFC CT Equity</t>
  </si>
  <si>
    <t>JPM UN Equity</t>
  </si>
  <si>
    <t>BMY UN Equity</t>
  </si>
  <si>
    <t>ACA FP Equity</t>
  </si>
  <si>
    <t>HSBA LN Equity</t>
  </si>
  <si>
    <t>MUV2 GY Equity</t>
  </si>
  <si>
    <t>KBC Rastovy 6 (Global Partners)</t>
  </si>
  <si>
    <t>CENTRICA PLC</t>
  </si>
  <si>
    <t>EXELON</t>
  </si>
  <si>
    <t>CNA LN Equity</t>
  </si>
  <si>
    <t>EXC UN Equity</t>
  </si>
  <si>
    <t>FIRST SOLAR</t>
  </si>
  <si>
    <t>FSLR UQ Equity</t>
  </si>
  <si>
    <t>GDF SUEZ</t>
  </si>
  <si>
    <t>GSZ FP Equity</t>
  </si>
  <si>
    <t>IBERDROLA RENOVABLES</t>
  </si>
  <si>
    <t>ČSOB Světové investice 1 (Optimum fund)</t>
  </si>
  <si>
    <t>ČSOB Fixovaný click 13 (Global Partners)</t>
  </si>
  <si>
    <t>LU0551487597/1</t>
  </si>
  <si>
    <t>LU0551487597/2</t>
  </si>
  <si>
    <t>LU0551487597/3</t>
  </si>
  <si>
    <t>LU0551487597/4</t>
  </si>
  <si>
    <t>LU0551487597/5</t>
  </si>
  <si>
    <t>BE0948080024/1</t>
  </si>
  <si>
    <t>JIANGSU EXPRESS CO LTD</t>
  </si>
  <si>
    <t>10 akcií překročilo hranici</t>
  </si>
  <si>
    <t>akcie Telecom Italia byla vyřazena z koše</t>
  </si>
  <si>
    <t>ČSOB Světový strom 6</t>
  </si>
  <si>
    <t>ČSOB Světový strom USD 1</t>
  </si>
  <si>
    <t>BE0947510146/14</t>
  </si>
  <si>
    <t>červenec 08</t>
  </si>
  <si>
    <t>říjen 06</t>
  </si>
  <si>
    <t>leden 07</t>
  </si>
  <si>
    <t>duben 07</t>
  </si>
  <si>
    <t>říjen 07</t>
  </si>
  <si>
    <t>leden 08</t>
  </si>
  <si>
    <t>duben 08</t>
  </si>
  <si>
    <t>Období</t>
  </si>
  <si>
    <t>Konečná hodnota</t>
  </si>
  <si>
    <t>LU0254128266/26</t>
  </si>
  <si>
    <t>LU0254128266/27</t>
  </si>
  <si>
    <t>LU0254128266/28</t>
  </si>
  <si>
    <t>LU0254128266/29</t>
  </si>
  <si>
    <t>LU0254128266/30</t>
  </si>
  <si>
    <t>SRPEN</t>
  </si>
  <si>
    <t>průměr                        -49,84%</t>
  </si>
  <si>
    <t>BE0947508124/19</t>
  </si>
  <si>
    <t>ČSOB Farmacie a Biotechnologie 1 (Fund Partners)</t>
  </si>
  <si>
    <t>LU0327243456</t>
  </si>
  <si>
    <t>Global Partners CSOB World Growth Plus EUR 2</t>
  </si>
  <si>
    <t>EPRA Index</t>
  </si>
  <si>
    <t>JP MORGAN CHASE</t>
  </si>
  <si>
    <t>BRISTOL-MYERS SQUIBB</t>
  </si>
  <si>
    <t>ČSOB Fixovaný click USD 1 (Global Partners)</t>
  </si>
  <si>
    <t>ČSOB PB World Jumper 1 (Horizon)</t>
  </si>
  <si>
    <t>ČSOB PB Europe Short 3 (Horizon)</t>
  </si>
  <si>
    <t>ČSOB Světový Jumper 1 (Horizon)</t>
  </si>
  <si>
    <t>WKL NA Equity</t>
  </si>
  <si>
    <t>ČMSS</t>
  </si>
  <si>
    <t>Privátní banka</t>
  </si>
  <si>
    <t>LU0222135807</t>
  </si>
  <si>
    <t>LU0222730862</t>
  </si>
  <si>
    <t>E.ON AG</t>
  </si>
  <si>
    <t>LU0224849660</t>
  </si>
  <si>
    <t>12.období</t>
  </si>
  <si>
    <t>Optimum fund CSOB Statnich dluhopisu 2</t>
  </si>
  <si>
    <t>BE0948865119</t>
  </si>
  <si>
    <t>ČSOB Fixovaný click 9</t>
  </si>
  <si>
    <t>ČSOB Světového růstu +24</t>
  </si>
  <si>
    <t>LU0201808382/1</t>
  </si>
  <si>
    <t>LU0201808382/2</t>
  </si>
  <si>
    <t>LU0201808382/3</t>
  </si>
  <si>
    <t>LU0239832065/1</t>
  </si>
  <si>
    <t>ČSOB Private Banking Asian Buffer jumper 1 (Optimum fund)</t>
  </si>
  <si>
    <t>ČSOB Top start 3 (Optimum fund)</t>
  </si>
  <si>
    <t>BE0935050675/1</t>
  </si>
  <si>
    <t>BE0935050675/2</t>
  </si>
  <si>
    <t>BE0935050675/3</t>
  </si>
  <si>
    <t>BE0935050675/4</t>
  </si>
  <si>
    <t>BE0935050675/5</t>
  </si>
  <si>
    <t>SPX Index</t>
  </si>
  <si>
    <t>NKY Index</t>
  </si>
  <si>
    <t>UKX Index</t>
  </si>
  <si>
    <t>AS51 Index</t>
  </si>
  <si>
    <t>KOSPI2 Index</t>
  </si>
  <si>
    <t>HSCEI Index</t>
  </si>
  <si>
    <t>HSI Index</t>
  </si>
  <si>
    <t>ČSOB Globálního růstu + 4 (Fund Partners)</t>
  </si>
  <si>
    <t>ČSOB Světového růstu + 10 (Fund Partners)</t>
  </si>
  <si>
    <t>BE0948882288</t>
  </si>
  <si>
    <t>Maximal Invest 51</t>
  </si>
  <si>
    <t>UHR VX Equity</t>
  </si>
  <si>
    <t>MT NA Equity</t>
  </si>
  <si>
    <t>Maximal Invest 22</t>
  </si>
  <si>
    <t>ČSOB Evropský click 1 (Global Partners)</t>
  </si>
  <si>
    <t>AAPL UQ</t>
  </si>
  <si>
    <t>BE0946875581</t>
  </si>
  <si>
    <t>LU0283973138</t>
  </si>
  <si>
    <t>LU0283973641</t>
  </si>
  <si>
    <t>Maximal Invest 19</t>
  </si>
  <si>
    <t>Maximal Invest 20</t>
  </si>
  <si>
    <t>BE0946990760</t>
  </si>
  <si>
    <t xml:space="preserve">plain vanilla Q averaging </t>
  </si>
  <si>
    <t>LU0289334871</t>
  </si>
  <si>
    <t>LU0289335415</t>
  </si>
  <si>
    <t>ČSOB Světový click+ 21 (Fund Partners)</t>
  </si>
  <si>
    <t xml:space="preserve">ČSOB BRIC 1 (Horizon) </t>
  </si>
  <si>
    <t>Fortis byl vyřazen z koše</t>
  </si>
  <si>
    <t>LU0220509748/5</t>
  </si>
  <si>
    <t>LU0366358199/14</t>
  </si>
  <si>
    <t>LU0246705031/4</t>
  </si>
  <si>
    <t>LU0246705031/5</t>
  </si>
  <si>
    <t>CEZ</t>
  </si>
  <si>
    <t>GRUPA LOTOS</t>
  </si>
  <si>
    <t>INDITEX</t>
  </si>
  <si>
    <t>KOMERCNI BANKA</t>
  </si>
  <si>
    <t>MOL HUNGARIAN OIL AND GAS</t>
  </si>
  <si>
    <t>SABMILLER PLC</t>
  </si>
  <si>
    <t>BE0948255808/2</t>
  </si>
  <si>
    <t>BE0948255808/3</t>
  </si>
  <si>
    <t>BE0948255808/4</t>
  </si>
  <si>
    <t>BE0948255808/5</t>
  </si>
  <si>
    <t>BE0948255808/6</t>
  </si>
  <si>
    <t>BE0948255808/7</t>
  </si>
  <si>
    <t>BE0948255808/8</t>
  </si>
  <si>
    <t>BE0948255808/9</t>
  </si>
  <si>
    <t>XI.09</t>
  </si>
  <si>
    <t>několik akcií překročilo hranici ve čtrtém období</t>
  </si>
  <si>
    <t>ČSOB Světových pivovarů 2</t>
  </si>
  <si>
    <t>ČSOB Světového růstu 9 (KBC Click)</t>
  </si>
  <si>
    <t>LU0243781522/9</t>
  </si>
  <si>
    <t>LU0289335688/11</t>
  </si>
  <si>
    <t>LU0283973641/1</t>
  </si>
  <si>
    <t>SMITHS GROUP</t>
  </si>
  <si>
    <t>SMIN LN</t>
  </si>
  <si>
    <t>SEVERN TRENT</t>
  </si>
  <si>
    <t>ČSOB Double safety 1 (Optimum fund)</t>
  </si>
  <si>
    <t>Maximal Invest 3</t>
  </si>
  <si>
    <t>několik akcií překročilo hranici</t>
  </si>
  <si>
    <t>BE0935083031/6</t>
  </si>
  <si>
    <t>BE0935083031/7</t>
  </si>
  <si>
    <t>BE0935083031/8</t>
  </si>
  <si>
    <t>BE0935083031/9</t>
  </si>
  <si>
    <t>BE0935083031/10</t>
  </si>
  <si>
    <t>BE0935083031/11</t>
  </si>
  <si>
    <t>BE0935083031/12</t>
  </si>
  <si>
    <t>BE0935083031/13</t>
  </si>
  <si>
    <t>BE0935083031/14</t>
  </si>
  <si>
    <t>LU0283973641/2</t>
  </si>
  <si>
    <t>LU0283973641/3</t>
  </si>
  <si>
    <t>NW28</t>
  </si>
  <si>
    <t>LU0228822440</t>
  </si>
  <si>
    <t>ČSOB Fixovaného růstu 8 (Horizon)</t>
  </si>
  <si>
    <t>Fund Partners CSOB Digital Reverse 1</t>
  </si>
  <si>
    <t>Fund Partners CSOB Equity Plus 2</t>
  </si>
  <si>
    <t>BE0947438397</t>
  </si>
  <si>
    <t>ČSOB Středoevropských šampionů 1 (Fund Partners)</t>
  </si>
  <si>
    <t>BE0947753639/3</t>
  </si>
  <si>
    <t>BE0947753639/4</t>
  </si>
  <si>
    <t>premium</t>
  </si>
  <si>
    <t>DAI NIPPON PRINTING</t>
  </si>
  <si>
    <t>HANG SENG BANK LTD</t>
  </si>
  <si>
    <t>WESFARMERS</t>
  </si>
  <si>
    <t>ČSOB Světový Lookback 3 (Horizon)</t>
  </si>
  <si>
    <t>ČSOB Fixovaný Click 1 (Global Partners)</t>
  </si>
  <si>
    <t>Horizon ČSOB Fixovaného růstu 5</t>
  </si>
  <si>
    <t>BE0948187126</t>
  </si>
  <si>
    <t>Fund Partners CSOB World Click Plus 11</t>
  </si>
  <si>
    <t>KBC Click CSOB World Equities 7</t>
  </si>
  <si>
    <t>KBC Click CSOB World Growth 9</t>
  </si>
  <si>
    <t>ČSOB Světový Lookback 1 (Horizon)</t>
  </si>
  <si>
    <t>HJ HEINZ</t>
  </si>
  <si>
    <t>ČSOB Světový click+ 18 (Fund Partners)</t>
  </si>
  <si>
    <t>1.11..2007</t>
  </si>
  <si>
    <t>BE0947509130</t>
  </si>
  <si>
    <t>ČSOB Airbag jumper Asie 1</t>
  </si>
  <si>
    <t>LU0224849660/9</t>
  </si>
  <si>
    <t>LU0224849660/10</t>
  </si>
  <si>
    <t>LU0209275774/2</t>
  </si>
  <si>
    <t>LU0209275774/3</t>
  </si>
  <si>
    <t>LU0209275774/4</t>
  </si>
  <si>
    <t>LU0209275774/5</t>
  </si>
  <si>
    <t>LU0209275774/6</t>
  </si>
  <si>
    <t>LU0209275774/7</t>
  </si>
  <si>
    <t>LU0209275774/8</t>
  </si>
  <si>
    <t>LU0209275774/9</t>
  </si>
  <si>
    <t>LU0209275774/10</t>
  </si>
  <si>
    <t>KBC Select Investors CSOB Premium 9</t>
  </si>
  <si>
    <t>LU0292714531</t>
  </si>
  <si>
    <t>BE0946996825</t>
  </si>
  <si>
    <t>CARLSBERG AS-B</t>
  </si>
  <si>
    <t>FOMENTO ECONOMICO MEXICA</t>
  </si>
  <si>
    <t>ČSOB Asijského růstu 1 (Fund Partners)</t>
  </si>
  <si>
    <t>BE0935107277/1</t>
  </si>
  <si>
    <t>BE0935107277/2</t>
  </si>
  <si>
    <t>BE0935107277/3</t>
  </si>
  <si>
    <t>BE0935107277/4</t>
  </si>
  <si>
    <t>ČSOB Private Banking Buffer jumper 1 (Optimum fund)</t>
  </si>
  <si>
    <t>ČSOB Krátkodobý globální invest 2 (Optimum fund)</t>
  </si>
  <si>
    <t>BE0935083031/1</t>
  </si>
  <si>
    <t>BE0935083031/2</t>
  </si>
  <si>
    <t>BE0935083031/3</t>
  </si>
  <si>
    <t>BE0935083031/4</t>
  </si>
  <si>
    <t>BE0935083031/5</t>
  </si>
  <si>
    <t>BE0948189148</t>
  </si>
  <si>
    <t>FTE FP Equity</t>
  </si>
  <si>
    <t>LU0209275188/2</t>
  </si>
  <si>
    <t>LU0209275188/3</t>
  </si>
  <si>
    <t>LU0486654469/3</t>
  </si>
  <si>
    <t>LU0486654469/4</t>
  </si>
  <si>
    <t>BE0949094461/1</t>
  </si>
  <si>
    <t>ČSOB Asijského růstu 5</t>
  </si>
  <si>
    <t>BE0947752623</t>
  </si>
  <si>
    <t>BE0947321197/11</t>
  </si>
  <si>
    <t>BE0947321197/12</t>
  </si>
  <si>
    <t>BE0947321197/13</t>
  </si>
  <si>
    <t>BE0947321197/14</t>
  </si>
  <si>
    <t>BE0947321197/15</t>
  </si>
  <si>
    <t>BE0947321197/16</t>
  </si>
  <si>
    <t>BE0947321197/17</t>
  </si>
  <si>
    <t>BE0947321197/18</t>
  </si>
  <si>
    <t>BE0947321197/19</t>
  </si>
  <si>
    <t>BE0947321197/20</t>
  </si>
  <si>
    <t>BE0947321197/21</t>
  </si>
  <si>
    <t>ČSOB Harmonického růstu 2 (KBC Click)</t>
  </si>
  <si>
    <t>ZURICH FINANCIAL SERVICE</t>
  </si>
  <si>
    <t>ZURN VX Equity</t>
  </si>
  <si>
    <t>ČSOB Světového růstu + 19 (Horizon)</t>
  </si>
  <si>
    <t>BE0947510146/11</t>
  </si>
  <si>
    <t>BE0947510146/12</t>
  </si>
  <si>
    <t>BE0947510146/13</t>
  </si>
  <si>
    <t>BE0949016654/31</t>
  </si>
  <si>
    <t>BE0949016654/32</t>
  </si>
  <si>
    <t>BNZL LN</t>
  </si>
  <si>
    <t>CL UN</t>
  </si>
  <si>
    <t>LHA GY</t>
  </si>
  <si>
    <t>EMR UN</t>
  </si>
  <si>
    <t>HNZ UN</t>
  </si>
  <si>
    <t>INCH LN</t>
  </si>
  <si>
    <t>LIN GY</t>
  </si>
  <si>
    <t>EMG LN</t>
  </si>
  <si>
    <t>RIO LN</t>
  </si>
  <si>
    <t>STAN LN</t>
  </si>
  <si>
    <t>TELENET GROUP HOLDING NV</t>
  </si>
  <si>
    <t>TNET BB Equity</t>
  </si>
  <si>
    <t>LU0228823257/4</t>
  </si>
  <si>
    <t>LU0228823257/5</t>
  </si>
  <si>
    <t>LU0228824065/1</t>
  </si>
  <si>
    <t>LU0228824065/2</t>
  </si>
  <si>
    <t>Horizon CSOB Světový lookback 2</t>
  </si>
  <si>
    <t>BE0948190153</t>
  </si>
  <si>
    <t>LU0209318921/3</t>
  </si>
  <si>
    <t>Zhodnocení</t>
  </si>
  <si>
    <t>BE0948039582/3</t>
  </si>
  <si>
    <t>BE0948039582/4</t>
  </si>
  <si>
    <t>BE0948039582/5</t>
  </si>
  <si>
    <t>BE0948191169/7</t>
  </si>
  <si>
    <t>BE0948191169/8</t>
  </si>
  <si>
    <t>BE0947508124/17</t>
  </si>
  <si>
    <t>BE0947508124/18</t>
  </si>
  <si>
    <t>LU0233990166/16</t>
  </si>
  <si>
    <t>LU0233990166/17</t>
  </si>
  <si>
    <t>LU0233990166/18</t>
  </si>
  <si>
    <t>LU0233990166/19</t>
  </si>
  <si>
    <t>LU0233990166/20</t>
  </si>
  <si>
    <t>LU0233990166/21</t>
  </si>
  <si>
    <t>LU0233990166/22</t>
  </si>
  <si>
    <t>LU0233990166/23</t>
  </si>
  <si>
    <t>LU0233990166/24</t>
  </si>
  <si>
    <t>LU0233990596/1</t>
  </si>
  <si>
    <t>LU0233990596/2</t>
  </si>
  <si>
    <t>ČSOB Světového růstu +23 (Global Partners)</t>
  </si>
  <si>
    <t>ČSOB Evropské akcie 1 (KBC Click)</t>
  </si>
  <si>
    <t>ČSOB Světové akcie (KBC Click)</t>
  </si>
  <si>
    <t>ČSOB Světové investice 1 (KBC Equisafe)</t>
  </si>
  <si>
    <t>ČSOB Světového růstu USD 1 (Horizon)</t>
  </si>
  <si>
    <t>UNIBAIL</t>
  </si>
  <si>
    <t>ČSOB Reverzní click 5</t>
  </si>
  <si>
    <t>Optimum Fund ČSOB Globálního růstu plus 11</t>
  </si>
  <si>
    <t>ČSOB Globálního růstu+ 11</t>
  </si>
  <si>
    <t>BE6226567400</t>
  </si>
  <si>
    <t>BE6222687400/1</t>
  </si>
  <si>
    <t>BE6222687400/2</t>
  </si>
  <si>
    <t>BE6222687400/3</t>
  </si>
  <si>
    <t>BE6222687400/4</t>
  </si>
  <si>
    <t>BE6222687400/5</t>
  </si>
  <si>
    <t>v šestém období byla překročena hranice a KBC byla vyřazena z koše</t>
  </si>
  <si>
    <t>Horizon CSOB PB World Lookback 1</t>
  </si>
  <si>
    <t>Počáteční hodnota</t>
  </si>
  <si>
    <t>Změna</t>
  </si>
  <si>
    <t>Průměr k 30. 9. 2011</t>
  </si>
  <si>
    <t>Zakliknuté hodnoty</t>
  </si>
  <si>
    <t>6. období</t>
  </si>
  <si>
    <t>7. období</t>
  </si>
  <si>
    <t>8. období</t>
  </si>
  <si>
    <t>9. období</t>
  </si>
  <si>
    <t>10. období</t>
  </si>
  <si>
    <t>11. období</t>
  </si>
  <si>
    <t>Celkem za všechna období</t>
  </si>
  <si>
    <t xml:space="preserve">Zhodnocení k výplatě </t>
  </si>
  <si>
    <t>LU0431462976/1</t>
  </si>
  <si>
    <t>LU0431462976/2</t>
  </si>
  <si>
    <t>LU0431462976/3</t>
  </si>
  <si>
    <t>LU0431462976/4</t>
  </si>
  <si>
    <t>LU0431462976/5</t>
  </si>
  <si>
    <t>LU0431462976/6</t>
  </si>
  <si>
    <t>LU0431462976/7</t>
  </si>
  <si>
    <t>LU0431462976/8</t>
  </si>
  <si>
    <t>LU0431462976/9</t>
  </si>
  <si>
    <t>LU0431462976/10</t>
  </si>
  <si>
    <t>LU0431462976/11</t>
  </si>
  <si>
    <t>LU0431462976/12</t>
  </si>
  <si>
    <t>LU0431462976/13</t>
  </si>
  <si>
    <t>LU0431462976/14</t>
  </si>
  <si>
    <t>LU0431462976/15</t>
  </si>
  <si>
    <t>LU0431462976/16</t>
  </si>
  <si>
    <t>LU0431462976/17</t>
  </si>
  <si>
    <t>LU0431462976/18</t>
  </si>
  <si>
    <t>LU0431462976/19</t>
  </si>
  <si>
    <t>LU0431462976/20</t>
  </si>
  <si>
    <t>LU0431462976/21</t>
  </si>
  <si>
    <t>LU0431462976/22</t>
  </si>
  <si>
    <t>LU0431462976/23</t>
  </si>
  <si>
    <t>LU0431462976/24</t>
  </si>
  <si>
    <t>LU0431462976/25</t>
  </si>
  <si>
    <t>LU0431462976/26</t>
  </si>
  <si>
    <t>ČSOB Exclusive Buffer Jumper 1 (Optimum fund)</t>
  </si>
  <si>
    <t>LU0620346378/1</t>
  </si>
  <si>
    <t>LU0620346378/2</t>
  </si>
  <si>
    <t>LU0620346378/3</t>
  </si>
  <si>
    <t>LU0620346378/4</t>
  </si>
  <si>
    <t>LU0620346378/5</t>
  </si>
  <si>
    <t>LU0620346451/1</t>
  </si>
  <si>
    <t>LU0620346451/2</t>
  </si>
  <si>
    <t>LU0620346451/3</t>
  </si>
  <si>
    <t>LU0620346451/4</t>
  </si>
  <si>
    <t>LU0620346451/5</t>
  </si>
  <si>
    <t>BE6209683349/1</t>
  </si>
  <si>
    <t>BE6209683349/2</t>
  </si>
  <si>
    <t>BE6209683349/3</t>
  </si>
  <si>
    <t>BE6209683349/4</t>
  </si>
  <si>
    <t>BE6209683349/5</t>
  </si>
  <si>
    <t>BE6209683349/6</t>
  </si>
  <si>
    <t>BE6209683349/7</t>
  </si>
  <si>
    <t>BE6209683349/8</t>
  </si>
  <si>
    <t>BE6209683349/9</t>
  </si>
  <si>
    <t>BE6209683349/10</t>
  </si>
  <si>
    <t>BE6209683349/11</t>
  </si>
  <si>
    <t>BE6209683349/12</t>
  </si>
  <si>
    <t>BE6209683349/13</t>
  </si>
  <si>
    <t>BE6209683349/14</t>
  </si>
  <si>
    <t>BE6209683349/15</t>
  </si>
  <si>
    <t>BE6209683349/16</t>
  </si>
  <si>
    <t>BE6209683349/17</t>
  </si>
  <si>
    <t>BE6209683349/18</t>
  </si>
  <si>
    <t>BE6209683349/19</t>
  </si>
  <si>
    <t>BE6209683349/20</t>
  </si>
  <si>
    <t>BE6209683349/21</t>
  </si>
  <si>
    <t>BE6209683349/22</t>
  </si>
  <si>
    <t>BE6209683349/23</t>
  </si>
  <si>
    <t>BE6209683349/24</t>
  </si>
  <si>
    <t>BE6209683349/25</t>
  </si>
  <si>
    <t>BE6209683349/26</t>
  </si>
  <si>
    <t>BE6209683349/27</t>
  </si>
  <si>
    <t>BE6209683349/28</t>
  </si>
  <si>
    <t>BE6209683349/29</t>
  </si>
  <si>
    <t>BE6209683349/30</t>
  </si>
  <si>
    <t>BE6209683349/31</t>
  </si>
  <si>
    <t>BE6209683349/32</t>
  </si>
  <si>
    <t>BE6209683349/33</t>
  </si>
  <si>
    <t>BE6209683349/34</t>
  </si>
  <si>
    <t>BE0948662029/1</t>
  </si>
  <si>
    <t>BE0948662029/2</t>
  </si>
  <si>
    <t>BE0948662029/3</t>
  </si>
  <si>
    <t>BE0948662029/4</t>
  </si>
  <si>
    <t>BE0948662029/5</t>
  </si>
  <si>
    <t>BE0948662029/6</t>
  </si>
  <si>
    <t>BE0948662029/7</t>
  </si>
  <si>
    <t>BE0948662029/8</t>
  </si>
  <si>
    <t>BE0948662029/9</t>
  </si>
  <si>
    <t>BE0948662029/10</t>
  </si>
  <si>
    <t>BE0948662029/11</t>
  </si>
  <si>
    <t>BE0948662029/12</t>
  </si>
  <si>
    <t>BE0948662029/13</t>
  </si>
  <si>
    <t>BE0948662029/14</t>
  </si>
  <si>
    <t>BE0948662029/15</t>
  </si>
  <si>
    <t>BE0948662029/16</t>
  </si>
  <si>
    <t>BE0948662029/17</t>
  </si>
  <si>
    <t>BE0948662029/18</t>
  </si>
  <si>
    <t>BE0948662029/19</t>
  </si>
  <si>
    <t>BE0948662029/20</t>
  </si>
  <si>
    <t>BE0948662029/21</t>
  </si>
  <si>
    <t>BE0948662029/22</t>
  </si>
  <si>
    <t>BE0948662029/23</t>
  </si>
  <si>
    <t>BE0948662029/24</t>
  </si>
  <si>
    <t>BE0948662029/25</t>
  </si>
  <si>
    <t>BE0948662029/26</t>
  </si>
  <si>
    <t>BE0948662029/27</t>
  </si>
  <si>
    <t>BE0948662029/28</t>
  </si>
  <si>
    <t>BE0948662029/29</t>
  </si>
  <si>
    <t>BE0948662029/30</t>
  </si>
  <si>
    <t>BE0948662029/31</t>
  </si>
  <si>
    <t>BE0948662029/32</t>
  </si>
  <si>
    <t>BE0948662029/33</t>
  </si>
  <si>
    <t>BE0948662029/34</t>
  </si>
  <si>
    <t>BE0948662029/35</t>
  </si>
  <si>
    <t>BE0948662029/36</t>
  </si>
  <si>
    <t>LU0527217417/1</t>
  </si>
  <si>
    <t>LU0527217417/2</t>
  </si>
  <si>
    <t>LU0527217417/3</t>
  </si>
  <si>
    <t>LU0527217417/4</t>
  </si>
  <si>
    <t>LU0527217417/5</t>
  </si>
  <si>
    <t>LU0527217417/6</t>
  </si>
  <si>
    <t>LU0527217417/7</t>
  </si>
  <si>
    <t>LU0527217417/8</t>
  </si>
  <si>
    <t>LU0527217417/9</t>
  </si>
  <si>
    <t>LU0527217417/10</t>
  </si>
  <si>
    <t>LU0527217417/11</t>
  </si>
  <si>
    <t>LU0527217417/12</t>
  </si>
  <si>
    <t>LU0527217417/13</t>
  </si>
  <si>
    <t>LU0527217417/14</t>
  </si>
  <si>
    <t>LU0527217417/15</t>
  </si>
  <si>
    <t>LU0527217417/16</t>
  </si>
  <si>
    <t>LU0527217417/17</t>
  </si>
  <si>
    <t>LU0527217417/18</t>
  </si>
  <si>
    <t>LU0527217417/19</t>
  </si>
  <si>
    <t>LU0527217417/20</t>
  </si>
  <si>
    <t>LU0527217417/21</t>
  </si>
  <si>
    <t>LU0527217417/22</t>
  </si>
  <si>
    <t>LU0527217417/23</t>
  </si>
  <si>
    <t>LU0527217417/24</t>
  </si>
  <si>
    <t>LU0527217417/25</t>
  </si>
  <si>
    <t>LU0527217417/26</t>
  </si>
  <si>
    <t>LU0527217417/27</t>
  </si>
  <si>
    <t>LU0527217417/28</t>
  </si>
  <si>
    <t>LU0527217417/29</t>
  </si>
  <si>
    <t>LU0527217417/30</t>
  </si>
  <si>
    <t>LU0527217417/31</t>
  </si>
  <si>
    <t>LU0527217417/32</t>
  </si>
  <si>
    <t>LU0527217417/33</t>
  </si>
  <si>
    <t>LU0527217417/34</t>
  </si>
  <si>
    <t>LU0527217417/35</t>
  </si>
  <si>
    <t>LU0527217417/36</t>
  </si>
  <si>
    <t>LU0518434104/1</t>
  </si>
  <si>
    <t>LU0518434104/2</t>
  </si>
  <si>
    <t>LU0518434104/3</t>
  </si>
  <si>
    <t>LU0518434104/4</t>
  </si>
  <si>
    <t>LU0518434104/5</t>
  </si>
  <si>
    <t>LU0514759173/1</t>
  </si>
  <si>
    <t>LU0514759173/2</t>
  </si>
  <si>
    <t>LU0514759173/3</t>
  </si>
  <si>
    <t>LU0514759173/4</t>
  </si>
  <si>
    <t>LU0514759173/5</t>
  </si>
  <si>
    <t>LU0484885016/1</t>
  </si>
  <si>
    <t>LU0484885016/2</t>
  </si>
  <si>
    <t>LU0484885016/3</t>
  </si>
  <si>
    <t>LU0484885016/4</t>
  </si>
  <si>
    <t>LU0484885016/5</t>
  </si>
  <si>
    <t>LU0459410519/1</t>
  </si>
  <si>
    <t>LU0459410519/2</t>
  </si>
  <si>
    <t>LU0459410519/3</t>
  </si>
  <si>
    <t>LU0459410519/4</t>
  </si>
  <si>
    <t>LU0459407721/1</t>
  </si>
  <si>
    <t>LU0459407721/2</t>
  </si>
  <si>
    <t>LU0459407721/3</t>
  </si>
  <si>
    <t>LU0435707731/1</t>
  </si>
  <si>
    <t>LU0435707731/2</t>
  </si>
  <si>
    <t>LU0435707731/3</t>
  </si>
  <si>
    <t>ČSOB Duo bonus 4</t>
  </si>
  <si>
    <t>KBC Click ČSOB Duo bonus 4</t>
  </si>
  <si>
    <t>BE6227977921</t>
  </si>
  <si>
    <t>Maximal Invest 74</t>
  </si>
  <si>
    <t>ČSOB Fixovany Click 18</t>
  </si>
  <si>
    <t>Global Partners CSOB Fixovany Click 18</t>
  </si>
  <si>
    <t>ČSOB Duo bonus 1 EUR</t>
  </si>
  <si>
    <t>Horizon CSOB Duo Bonus 1</t>
  </si>
  <si>
    <t>BE6227714233</t>
  </si>
  <si>
    <t>LU0421750307/1</t>
  </si>
  <si>
    <t>LU0421750307/2</t>
  </si>
  <si>
    <t>LU0421750307/3</t>
  </si>
  <si>
    <t>LU0421750307/4</t>
  </si>
  <si>
    <t>LU0421750307/5</t>
  </si>
  <si>
    <t>LU0421750307/6</t>
  </si>
  <si>
    <t>LU0421750307/7</t>
  </si>
  <si>
    <t>LU0421750307/8</t>
  </si>
  <si>
    <t>LU0421750307/9</t>
  </si>
  <si>
    <t>LU0421750307/10</t>
  </si>
  <si>
    <t>LU0421750307/11</t>
  </si>
  <si>
    <t>LU0421750307/12</t>
  </si>
  <si>
    <t>LU0421750307/13</t>
  </si>
  <si>
    <t>LU0421750307/14</t>
  </si>
  <si>
    <t>LU0421750307/15</t>
  </si>
  <si>
    <t>LU0421750307/16</t>
  </si>
  <si>
    <t>LU0421750307/17</t>
  </si>
  <si>
    <t>LU0421750307/18</t>
  </si>
  <si>
    <t>LU0421750307/19</t>
  </si>
  <si>
    <t>LU0421750307/20</t>
  </si>
  <si>
    <t>LU0421750307/21</t>
  </si>
  <si>
    <t>LU0421750307/22</t>
  </si>
  <si>
    <t>LU0421750307/23</t>
  </si>
  <si>
    <t>LU0421750307/24</t>
  </si>
  <si>
    <t>LU0421750307/25</t>
  </si>
  <si>
    <t>LU0421750307/26</t>
  </si>
  <si>
    <t>LU0421750307/27</t>
  </si>
  <si>
    <t>LU0421750307/28</t>
  </si>
  <si>
    <t>LU0421750307/29</t>
  </si>
  <si>
    <t>LU0421750307/30</t>
  </si>
  <si>
    <t>LU0414111988/1</t>
  </si>
  <si>
    <t>LU0414111988/2</t>
  </si>
  <si>
    <t>LU0414111988/3</t>
  </si>
  <si>
    <t>LU0414111988/4</t>
  </si>
  <si>
    <t>LU0414111806/1</t>
  </si>
  <si>
    <t>LU0414111806/2</t>
  </si>
  <si>
    <t>LU0414111806/3</t>
  </si>
  <si>
    <t>LU0414111806/4</t>
  </si>
  <si>
    <t>LU0414111806/5</t>
  </si>
  <si>
    <t>LU0405596049/1</t>
  </si>
  <si>
    <t>LU0405596049/2</t>
  </si>
  <si>
    <t>LU0405596049/3</t>
  </si>
  <si>
    <t>LU0405596049/4</t>
  </si>
  <si>
    <t>LU0395336265/1</t>
  </si>
  <si>
    <t>LU0395336265/2</t>
  </si>
  <si>
    <t>LU0395336265/3</t>
  </si>
  <si>
    <t>LU0390247053/1</t>
  </si>
  <si>
    <t>LU0390247053/2</t>
  </si>
  <si>
    <t>LU0390247053/3</t>
  </si>
  <si>
    <t>LU0390247053/4</t>
  </si>
  <si>
    <t>LU0390247053/5</t>
  </si>
  <si>
    <t>BE0948385167/1</t>
  </si>
  <si>
    <t>BE0948385167/2</t>
  </si>
  <si>
    <t>BE0948385167/3</t>
  </si>
  <si>
    <t>BE0948385167/4</t>
  </si>
  <si>
    <t>BE0948385167/5</t>
  </si>
  <si>
    <t>BE0948385167/6</t>
  </si>
  <si>
    <t>BE0948190153/1</t>
  </si>
  <si>
    <t>BE0948190153/2</t>
  </si>
  <si>
    <t>BE0948190153/3</t>
  </si>
  <si>
    <t>BE0948190153/4</t>
  </si>
  <si>
    <t>BE0948190153/5</t>
  </si>
  <si>
    <t>BE0948190153/6</t>
  </si>
  <si>
    <t>LU0376851274/1</t>
  </si>
  <si>
    <t>LU0376851274/2</t>
  </si>
  <si>
    <t>LU0376851274/3</t>
  </si>
  <si>
    <t>BE0948184099/1</t>
  </si>
  <si>
    <t>BE0948184099/2</t>
  </si>
  <si>
    <t>BE0948184099/3</t>
  </si>
  <si>
    <t>BE0948184099/4</t>
  </si>
  <si>
    <t>BE0948184099/5</t>
  </si>
  <si>
    <t>BE0948184099/6</t>
  </si>
  <si>
    <t>LU0682059992</t>
  </si>
  <si>
    <t>DNB NO Equity</t>
  </si>
  <si>
    <t>BK UN</t>
  </si>
  <si>
    <t>DTE UN</t>
  </si>
  <si>
    <t>PRU UN</t>
  </si>
  <si>
    <t>RF UN</t>
  </si>
  <si>
    <t>WHR UN</t>
  </si>
  <si>
    <t>9503 JT</t>
  </si>
  <si>
    <t>SZU GY</t>
  </si>
  <si>
    <t>WM UN</t>
  </si>
  <si>
    <t>DUK UN</t>
  </si>
  <si>
    <t>7201 JT</t>
  </si>
  <si>
    <t>OR FP</t>
  </si>
  <si>
    <t>SSABA SS</t>
  </si>
  <si>
    <t>CBA AU</t>
  </si>
  <si>
    <t>NAB AU</t>
  </si>
  <si>
    <t>HTO GA</t>
  </si>
  <si>
    <t>EBS AV</t>
  </si>
  <si>
    <t>DBK GY</t>
  </si>
  <si>
    <t>EDP PL</t>
  </si>
  <si>
    <t>4503 JT</t>
  </si>
  <si>
    <t>4543 JT</t>
  </si>
  <si>
    <t>SHP LN</t>
  </si>
  <si>
    <t>GILD UQ</t>
  </si>
  <si>
    <t>AZN LN</t>
  </si>
  <si>
    <t>MRK UN</t>
  </si>
  <si>
    <t>MFC CT</t>
  </si>
  <si>
    <t>SLF CT</t>
  </si>
  <si>
    <t>CBK GY</t>
  </si>
  <si>
    <t>TROW UQ</t>
  </si>
  <si>
    <t>WFC UN</t>
  </si>
  <si>
    <t>EN FP</t>
  </si>
  <si>
    <t>PCG UN</t>
  </si>
  <si>
    <t>SBMO NA</t>
  </si>
  <si>
    <t>G IM</t>
  </si>
  <si>
    <t>ADP US</t>
  </si>
  <si>
    <t>BBY UN</t>
  </si>
  <si>
    <t>CCL UN</t>
  </si>
  <si>
    <t>COST UQ</t>
  </si>
  <si>
    <t>FME GY</t>
  </si>
  <si>
    <t>HST UN</t>
  </si>
  <si>
    <t>MMB FP</t>
  </si>
  <si>
    <t>MDT UN</t>
  </si>
  <si>
    <t>6503 JT</t>
  </si>
  <si>
    <t>RI FP</t>
  </si>
  <si>
    <t>DNB NO</t>
  </si>
  <si>
    <t>SWEDA SS</t>
  </si>
  <si>
    <t>ALV GY</t>
  </si>
  <si>
    <t>JMAT LN</t>
  </si>
  <si>
    <t>6326 JT</t>
  </si>
  <si>
    <t>BG/ LN</t>
  </si>
  <si>
    <t>COP UN</t>
  </si>
  <si>
    <t>SU CN</t>
  </si>
  <si>
    <t>PM UN</t>
  </si>
  <si>
    <t>OMV AV</t>
  </si>
  <si>
    <t>RICHT HB</t>
  </si>
  <si>
    <t>KPN NA</t>
  </si>
  <si>
    <t>2502 JT</t>
  </si>
  <si>
    <t>BF/B UN</t>
  </si>
  <si>
    <t>CARLB DC</t>
  </si>
  <si>
    <t>HEIA NA</t>
  </si>
  <si>
    <t>ABI BB</t>
  </si>
  <si>
    <t>2503 JT</t>
  </si>
  <si>
    <t>TAP UN</t>
  </si>
  <si>
    <t>RCO FP</t>
  </si>
  <si>
    <t>SAB LN</t>
  </si>
  <si>
    <t>BSY LN</t>
  </si>
  <si>
    <t>FEMSAUBD MM</t>
  </si>
  <si>
    <t>AMX UN</t>
  </si>
  <si>
    <t>BBD UN</t>
  </si>
  <si>
    <t>3988 HK</t>
  </si>
  <si>
    <t>293 HK</t>
  </si>
  <si>
    <t>1 HK</t>
  </si>
  <si>
    <t>2628 HK</t>
  </si>
  <si>
    <t>941 HK</t>
  </si>
  <si>
    <t>728 HK</t>
  </si>
  <si>
    <t>005380 KS</t>
  </si>
  <si>
    <t>1398 HK</t>
  </si>
  <si>
    <t>IBN UN</t>
  </si>
  <si>
    <t>066570 KS</t>
  </si>
  <si>
    <t>857 HK</t>
  </si>
  <si>
    <t>PBR UN</t>
  </si>
  <si>
    <t>2318 HK</t>
  </si>
  <si>
    <t>005490 KS</t>
  </si>
  <si>
    <t>SIA SP</t>
  </si>
  <si>
    <t>SBK SJ</t>
  </si>
  <si>
    <t>7751 JT</t>
  </si>
  <si>
    <t>CON GY</t>
  </si>
  <si>
    <t>IHG LN</t>
  </si>
  <si>
    <t>992 HK</t>
  </si>
  <si>
    <t>MA UN</t>
  </si>
  <si>
    <t>6752 JT</t>
  </si>
  <si>
    <t>MCD UN</t>
  </si>
  <si>
    <t>PUB FP</t>
  </si>
  <si>
    <t>ALO FP</t>
  </si>
  <si>
    <t>CPG LN</t>
  </si>
  <si>
    <t>MB IM</t>
  </si>
  <si>
    <t>WKL NA</t>
  </si>
  <si>
    <t>CPB UN</t>
  </si>
  <si>
    <t>11 HK</t>
  </si>
  <si>
    <t>3 HK</t>
  </si>
  <si>
    <t>9432 JT</t>
  </si>
  <si>
    <t>PBI UN</t>
  </si>
  <si>
    <t>19 HK</t>
  </si>
  <si>
    <t>TA CN</t>
  </si>
  <si>
    <t>WES AU</t>
  </si>
  <si>
    <t>WEC UN</t>
  </si>
  <si>
    <t>TNET BB</t>
  </si>
  <si>
    <t>AV/ LN</t>
  </si>
  <si>
    <t>2330 TT</t>
  </si>
  <si>
    <t>8058 JT</t>
  </si>
  <si>
    <t>UPS UN</t>
  </si>
  <si>
    <t>AMAT UQ</t>
  </si>
  <si>
    <t>CNA LN</t>
  </si>
  <si>
    <t>FSLR UQ</t>
  </si>
  <si>
    <t>IBR SM</t>
  </si>
  <si>
    <t>914 HK</t>
  </si>
  <si>
    <t>1800 HK</t>
  </si>
  <si>
    <t>658 HK</t>
  </si>
  <si>
    <t>1186 HK</t>
  </si>
  <si>
    <t>390 HK</t>
  </si>
  <si>
    <t>836 HK</t>
  </si>
  <si>
    <t>2 HK</t>
  </si>
  <si>
    <t>991 HK</t>
  </si>
  <si>
    <t>034020 KS</t>
  </si>
  <si>
    <t>6 HK</t>
  </si>
  <si>
    <t>902 HK</t>
  </si>
  <si>
    <t>009540 KS</t>
  </si>
  <si>
    <t>177 HK</t>
  </si>
  <si>
    <t>015760 KS</t>
  </si>
  <si>
    <t>66 HK</t>
  </si>
  <si>
    <t>SCI SP</t>
  </si>
  <si>
    <t>576 HK</t>
  </si>
  <si>
    <t>MMC UN</t>
  </si>
  <si>
    <t>PRE UN</t>
  </si>
  <si>
    <t>RSA LN</t>
  </si>
  <si>
    <t>SE UN</t>
  </si>
  <si>
    <t>ULVR LN</t>
  </si>
  <si>
    <t>8306 JT</t>
  </si>
  <si>
    <t>8411 JT</t>
  </si>
  <si>
    <t>8316 JT</t>
  </si>
  <si>
    <t>AEP UN</t>
  </si>
  <si>
    <t>ED UN</t>
  </si>
  <si>
    <t>FE UN</t>
  </si>
  <si>
    <t>PEG UN</t>
  </si>
  <si>
    <t>TRN IM</t>
  </si>
  <si>
    <t>NLY UN</t>
  </si>
  <si>
    <t>BMO CT</t>
  </si>
  <si>
    <t>BCE CT</t>
  </si>
  <si>
    <t>CLX UN</t>
  </si>
  <si>
    <t>K UN</t>
  </si>
  <si>
    <t>PGN UN</t>
  </si>
  <si>
    <t>RCI/B CT</t>
  </si>
  <si>
    <t>TRP CT</t>
  </si>
  <si>
    <t>ATL IM</t>
  </si>
  <si>
    <t>BLND LN</t>
  </si>
  <si>
    <t>DRX LN</t>
  </si>
  <si>
    <t>IPR LN</t>
  </si>
  <si>
    <t>OXY UN</t>
  </si>
  <si>
    <t>RIG UN</t>
  </si>
  <si>
    <t>CM CT</t>
  </si>
  <si>
    <t>LAND LN</t>
  </si>
  <si>
    <t>PSON LN</t>
  </si>
  <si>
    <t>BAX UN</t>
  </si>
  <si>
    <t>YUM UN</t>
  </si>
  <si>
    <t>PPL UN</t>
  </si>
  <si>
    <t>SRE UN</t>
  </si>
  <si>
    <t>KO UN</t>
  </si>
  <si>
    <t>V UN</t>
  </si>
  <si>
    <t>DB1 GY</t>
  </si>
  <si>
    <t>MRK GY</t>
  </si>
  <si>
    <t>ITW UN</t>
  </si>
  <si>
    <t>QBE AT</t>
  </si>
  <si>
    <t>několik akcií překročilo hranici, General Electric byla vyřazena z koše</t>
  </si>
  <si>
    <t>LU0670471258/1</t>
  </si>
  <si>
    <t>LU0670471258/2</t>
  </si>
  <si>
    <t>LU0670471258/3</t>
  </si>
  <si>
    <t>LU0670471258/4</t>
  </si>
  <si>
    <t>LU0670471258/5</t>
  </si>
  <si>
    <t>LU0670471258/6</t>
  </si>
  <si>
    <t>LU0670471258/7</t>
  </si>
  <si>
    <t>LU0670471258/8</t>
  </si>
  <si>
    <t>LU0670471258/9</t>
  </si>
  <si>
    <t>LU0670471258/10</t>
  </si>
  <si>
    <t>LU0670471258/11</t>
  </si>
  <si>
    <t>LU0670471258/12</t>
  </si>
  <si>
    <t>LU0670471258/13</t>
  </si>
  <si>
    <t>LU0670471258/14</t>
  </si>
  <si>
    <t>LU0670471258/15</t>
  </si>
  <si>
    <t>LU0670471258/16</t>
  </si>
  <si>
    <t>LU0670471258/17</t>
  </si>
  <si>
    <t>LU0670471258/18</t>
  </si>
  <si>
    <t>LU0670471258/19</t>
  </si>
  <si>
    <t>LU0670471258/20</t>
  </si>
  <si>
    <t>LU0670471258/21</t>
  </si>
  <si>
    <t>LU0670471258/22</t>
  </si>
  <si>
    <t>LU0670471258/23</t>
  </si>
  <si>
    <t>LU0670471258/24</t>
  </si>
  <si>
    <t>LU0670471258/25</t>
  </si>
  <si>
    <t>LU0670471258/26</t>
  </si>
  <si>
    <t>LU0670471258/27</t>
  </si>
  <si>
    <t>LU0670471258/28</t>
  </si>
  <si>
    <t>LU0670471258/29</t>
  </si>
  <si>
    <t>LU0670471258/30</t>
  </si>
  <si>
    <t>LU0670471258/31</t>
  </si>
  <si>
    <t>LU0670471258/32</t>
  </si>
  <si>
    <t>LU0670471258/33</t>
  </si>
  <si>
    <t>LU0670471258/34</t>
  </si>
  <si>
    <t>LU0670471258/35</t>
  </si>
  <si>
    <t>LU0670471258/36</t>
  </si>
  <si>
    <t>ČSOB Digitální Reverzní 5 (Global Partners)</t>
  </si>
  <si>
    <t>LU0670475838/1</t>
  </si>
  <si>
    <t>LU0670475838/2</t>
  </si>
  <si>
    <t>LU0670475838/3</t>
  </si>
  <si>
    <t>LU0670475838/4</t>
  </si>
  <si>
    <t>LU0670475838/5</t>
  </si>
  <si>
    <t>EISAI</t>
  </si>
  <si>
    <t>4523 JT Equity</t>
  </si>
  <si>
    <t>4523 JT</t>
  </si>
  <si>
    <t>ČSOB Fixovaný click USD 2 (Global Partners)</t>
  </si>
  <si>
    <t>PRŮMĚR * participace</t>
  </si>
  <si>
    <t>LU0611338012/1</t>
  </si>
  <si>
    <t>LU0611338012/2</t>
  </si>
  <si>
    <t>LU0611338012/3</t>
  </si>
  <si>
    <t>LU0611338012/4</t>
  </si>
  <si>
    <t>LU0611338012/5</t>
  </si>
  <si>
    <t>LU0611338012/6</t>
  </si>
  <si>
    <t>LU0611338012/7</t>
  </si>
  <si>
    <t>LU0611338012/8</t>
  </si>
  <si>
    <t>LU0611338012/9</t>
  </si>
  <si>
    <t>LU0611338012/10</t>
  </si>
  <si>
    <t>LU0611338012/11</t>
  </si>
  <si>
    <t>LU0611338012/12</t>
  </si>
  <si>
    <t>2353 TT</t>
  </si>
  <si>
    <t>ACER INC</t>
  </si>
  <si>
    <t>2353 TT Equity</t>
  </si>
  <si>
    <t>2454 TT Equity</t>
  </si>
  <si>
    <t>2454 TT</t>
  </si>
  <si>
    <t>MEDIATEK INC</t>
  </si>
  <si>
    <t>ČSOB BRIC šampioni 1 (Global Partners)</t>
  </si>
  <si>
    <t>ČSOB Fixovaný click 17 (Global Partners)</t>
  </si>
  <si>
    <t>LU0662476869/1</t>
  </si>
  <si>
    <t>LU0662476869/2</t>
  </si>
  <si>
    <t>LU0662476869/3</t>
  </si>
  <si>
    <t>LU0662476869/4</t>
  </si>
  <si>
    <t>REL LN Equity</t>
  </si>
  <si>
    <t>REL LN</t>
  </si>
  <si>
    <t>REED ELSEVIER PLC</t>
  </si>
  <si>
    <t>PRŮMĚR * PARTICIPACE</t>
  </si>
  <si>
    <t>BE6225261922/1</t>
  </si>
  <si>
    <t>BE6225261922/2</t>
  </si>
  <si>
    <t>BE6225261922/3</t>
  </si>
  <si>
    <t>BE6225261922/4</t>
  </si>
  <si>
    <t>BE6225261922/5</t>
  </si>
  <si>
    <t>BE6225261922/6</t>
  </si>
  <si>
    <t>BE6225261922/7</t>
  </si>
  <si>
    <t>BE6225261922/8</t>
  </si>
  <si>
    <t>ČSOB Duo Bonus 3 (Optimum fund)</t>
  </si>
  <si>
    <t>ČSOB Vitálních firem 1</t>
  </si>
  <si>
    <t>LU0708206098</t>
  </si>
  <si>
    <t>LU0724652887</t>
  </si>
  <si>
    <t>ČSOB Fixovaný click 19</t>
  </si>
  <si>
    <t>ČSOB Globálního růstu+ 12</t>
  </si>
  <si>
    <t>BE6229347073</t>
  </si>
  <si>
    <t>ČSOB Premium 12</t>
  </si>
  <si>
    <t>Maximal Invest 75</t>
  </si>
  <si>
    <t>LU0677802646</t>
  </si>
  <si>
    <t>KBC Select investors ČSOB Premium 12</t>
  </si>
  <si>
    <t>Global Partners CSOB Vitalnich Firem 1</t>
  </si>
  <si>
    <t>Global Partners ČSOB Fixovaný click 19</t>
  </si>
  <si>
    <t>Optimum Fund ČSOB Globálního růstu plus 12</t>
  </si>
  <si>
    <t>koš vybraných akcií/indexů/dluhopisů</t>
  </si>
  <si>
    <t>několik akcií překročilo hranici, Toyota Motor Corp byla vyřazena z koše</t>
  </si>
  <si>
    <t>BE6227714233/1</t>
  </si>
  <si>
    <t>BE6227714233/2</t>
  </si>
  <si>
    <t>BE6227714233/3</t>
  </si>
  <si>
    <t>BE6227714233/4</t>
  </si>
  <si>
    <t>BE6227714233/5</t>
  </si>
  <si>
    <t>BE6227714233/6</t>
  </si>
  <si>
    <t>BE6227714233/7</t>
  </si>
  <si>
    <t>BE6227714233/8</t>
  </si>
  <si>
    <t>ČSOB Duo Bonus 1 EUR (Horizon)</t>
  </si>
  <si>
    <t>WIN UW equity</t>
  </si>
  <si>
    <t>LU0682059992/1</t>
  </si>
  <si>
    <t>LU0682059992/2</t>
  </si>
  <si>
    <t>LU0682059992/3</t>
  </si>
  <si>
    <t>LU0682059992/4</t>
  </si>
  <si>
    <t>LU0682059992/5</t>
  </si>
  <si>
    <t>8031 JT equity</t>
  </si>
  <si>
    <t>8031 JT</t>
  </si>
  <si>
    <t>MITSUI</t>
  </si>
  <si>
    <t>4063 JT equity</t>
  </si>
  <si>
    <t>4063 JT</t>
  </si>
  <si>
    <t>SHIN-ETSU CHEMICAL CO LTD</t>
  </si>
  <si>
    <t>SUMITOMO CORP</t>
  </si>
  <si>
    <t>WINDSTREAM CORP</t>
  </si>
  <si>
    <t>8053 JT equity</t>
  </si>
  <si>
    <t>8053 JT</t>
  </si>
  <si>
    <t>MRW LN Equity</t>
  </si>
  <si>
    <t>MRW LN</t>
  </si>
  <si>
    <t>WM MORRISON SUPERMARKETS PLC</t>
  </si>
  <si>
    <t>XEL UN Equity</t>
  </si>
  <si>
    <t>ČSOB Fixovaný click 18 (Global Partners)</t>
  </si>
  <si>
    <t>Global Partners ČSOB Fixovaný click EUR 1</t>
  </si>
  <si>
    <t>ČSOB Fixovaný click EUR 1</t>
  </si>
  <si>
    <t>LU0717556491</t>
  </si>
  <si>
    <t>ČSOB Duo Bonus 4 (KBC Click)</t>
  </si>
  <si>
    <t>BE6227977921/1</t>
  </si>
  <si>
    <t>BE6227977921/2</t>
  </si>
  <si>
    <t>BE6227977921/3</t>
  </si>
  <si>
    <t>BE6227977921/4</t>
  </si>
  <si>
    <t>BE6227977921/5</t>
  </si>
  <si>
    <t>BE6227977921/6</t>
  </si>
  <si>
    <t>BE6227977921/7</t>
  </si>
  <si>
    <t>BE6227977921/8</t>
  </si>
  <si>
    <t>ALL UN Equity</t>
  </si>
  <si>
    <t>ALL UN</t>
  </si>
  <si>
    <t>ALLSTATE</t>
  </si>
  <si>
    <t>CAG UN Equity</t>
  </si>
  <si>
    <t>CAG UN</t>
  </si>
  <si>
    <t>CONAGRA FOODS INC</t>
  </si>
  <si>
    <t>ČSOB Vitálních firem 1 (Global Partners)</t>
  </si>
  <si>
    <t>NEXT PLC</t>
  </si>
  <si>
    <t>NXT LN Equity</t>
  </si>
  <si>
    <t>NXT LN</t>
  </si>
  <si>
    <t>RDSA LN Equity</t>
  </si>
  <si>
    <t>RDSA LN</t>
  </si>
  <si>
    <t>TRV UN Equity</t>
  </si>
  <si>
    <t>TRV UN</t>
  </si>
  <si>
    <t>TRAVELERS COS INC</t>
  </si>
  <si>
    <t>TYCO INTERNATIONAL</t>
  </si>
  <si>
    <t>ROYAL DUTCH SHELL UK</t>
  </si>
  <si>
    <t>9 akcií překročilo hranici</t>
  </si>
  <si>
    <t>Optimum Fund ČSOB Exclusive Lookback 1</t>
  </si>
  <si>
    <t>ČSOB Exclusive Lookback 1</t>
  </si>
  <si>
    <t>BE6231128420</t>
  </si>
  <si>
    <t>LU0737134980</t>
  </si>
  <si>
    <t>Global Partners ČSOB Fixovaný click 20</t>
  </si>
  <si>
    <t>ČSOB Fixovaný click 20</t>
  </si>
  <si>
    <t>ČSOB Úrokový click 1</t>
  </si>
  <si>
    <t>LU0752698893</t>
  </si>
  <si>
    <t>2,5 až 6%</t>
  </si>
  <si>
    <t>KBC Select investors ČSOB Úrokový click 1</t>
  </si>
  <si>
    <t>Akcie Toyota si v 6 období vedla nejhůře</t>
  </si>
  <si>
    <t>LU0752707041</t>
  </si>
  <si>
    <t>Global partners ČSOB Světového růstu +26</t>
  </si>
  <si>
    <t>ČSOB Světového růstu +26</t>
  </si>
  <si>
    <t>Participace</t>
  </si>
  <si>
    <t>z koše byla vyřazena akcie Motorola</t>
  </si>
  <si>
    <t>zhodnocení dle parametrů</t>
  </si>
  <si>
    <t>LU0717556491/1</t>
  </si>
  <si>
    <t>LU0717556491/2</t>
  </si>
  <si>
    <t>LU0717556491/3</t>
  </si>
  <si>
    <t>LU0717556491/4</t>
  </si>
  <si>
    <t>LU0717556491/5</t>
  </si>
  <si>
    <t>ČSOB Fixovaný click EUR 1 (Global Partners)</t>
  </si>
  <si>
    <t>ETR UN Equity</t>
  </si>
  <si>
    <t>ETR UN</t>
  </si>
  <si>
    <t>ENTERGY CORP</t>
  </si>
  <si>
    <t>ČSOB Duo bonus 5</t>
  </si>
  <si>
    <t>KBC Click ČSOB Duo bonus 5</t>
  </si>
  <si>
    <t>BE6231127414</t>
  </si>
  <si>
    <t>Maximal Invest 77</t>
  </si>
  <si>
    <t>PARTICIPACE</t>
  </si>
  <si>
    <t>ČSOB PB Europe Entry Optimizer 1 (Horizon)</t>
  </si>
  <si>
    <t>LU0724652887/1</t>
  </si>
  <si>
    <t>LU0724652887/2</t>
  </si>
  <si>
    <t>LU0724652887/3</t>
  </si>
  <si>
    <t>LU0724652887/4</t>
  </si>
  <si>
    <t>LU0724652887/5</t>
  </si>
  <si>
    <t>ČSOB Fixovaný click 19 (Global Partners)</t>
  </si>
  <si>
    <t>CTL UN Equity</t>
  </si>
  <si>
    <t>CENTURYLINK INC</t>
  </si>
  <si>
    <t>TLS AT Equity</t>
  </si>
  <si>
    <t>TLS AT</t>
  </si>
  <si>
    <t>TELSTRA CORP</t>
  </si>
  <si>
    <t>LU0767654055</t>
  </si>
  <si>
    <t>ČSOB Fixovaný click 21</t>
  </si>
  <si>
    <t>Global Partners ČSOB Fixovaný click 21</t>
  </si>
  <si>
    <t>z koše byla vyřazena akcie Nokia</t>
  </si>
  <si>
    <t>Dotknutí bariery =&gt; click of 0.2867% =(0.43%/1.5) za posledni periodu</t>
  </si>
  <si>
    <t>nejnižší počáteční hodnota (2/3/2009)</t>
  </si>
  <si>
    <t>ČSOB Click plus 1</t>
  </si>
  <si>
    <t>Horizon CSOB Click plus 1</t>
  </si>
  <si>
    <t>BE6238493355</t>
  </si>
  <si>
    <t>BE6231128420/1</t>
  </si>
  <si>
    <t>BE6231128420/2</t>
  </si>
  <si>
    <t>BE6231128420/3</t>
  </si>
  <si>
    <t>BE6231128420/4</t>
  </si>
  <si>
    <t>BE6231128420/5</t>
  </si>
  <si>
    <t>BE6231128420/6</t>
  </si>
  <si>
    <t>ČSOB Jump Start 1 (Horizon)</t>
  </si>
  <si>
    <t>ČSOB Exclusive Lookback 1 (Optimum Fund)</t>
  </si>
  <si>
    <t>Minimální hodnota za první 2 roky</t>
  </si>
  <si>
    <t>Index</t>
  </si>
  <si>
    <t>Výnos fondu</t>
  </si>
  <si>
    <t>ČSOB Globálního růstu+ 11 (Optimum fund)</t>
  </si>
  <si>
    <t>počáteční hodnota (průměr)</t>
  </si>
  <si>
    <t>Stock</t>
  </si>
  <si>
    <t>Price 201112</t>
  </si>
  <si>
    <t>Price 201201</t>
  </si>
  <si>
    <t>Price 201202</t>
  </si>
  <si>
    <t>Price 201203</t>
  </si>
  <si>
    <t>Average</t>
  </si>
  <si>
    <t>Počáteční průměrování</t>
  </si>
  <si>
    <t xml:space="preserve">STM byla vyřazena </t>
  </si>
  <si>
    <t>PRŮMĚR*participace</t>
  </si>
  <si>
    <t>KBC Select investors ČSOB Úrokový click 2</t>
  </si>
  <si>
    <t>ČSOB Úrokový click 2</t>
  </si>
  <si>
    <t>LU0767456766</t>
  </si>
  <si>
    <t>Maximal Invest 81</t>
  </si>
  <si>
    <t>Maximal Invest 79</t>
  </si>
  <si>
    <t>ČSOB Life Exclusive Jump Start 1</t>
  </si>
  <si>
    <t>ČSOB Life Inflace 1</t>
  </si>
  <si>
    <t>KBC Select Investors ČSOB Life Exclusive Jump Start 1</t>
  </si>
  <si>
    <t>KBC Select Investors ČSOB Life Inflace 1</t>
  </si>
  <si>
    <t>ČSOB Life Exclusive Head Start 1</t>
  </si>
  <si>
    <t>KBC Select Investors ČSOB Life Exclusive Head Start 1</t>
  </si>
  <si>
    <t>Global Partners ČSOB Click s pamětí 5</t>
  </si>
  <si>
    <t>ČSOB Click s pamětí 5</t>
  </si>
  <si>
    <t>ČSOB Fixovaného růstu plus 1</t>
  </si>
  <si>
    <t>KBC Select investors ČSOB Fixovaného růstu plus 1</t>
  </si>
  <si>
    <t>Maximal Invest 82</t>
  </si>
  <si>
    <t>Maximal Invest 83</t>
  </si>
  <si>
    <t>Maximal Invest 84</t>
  </si>
  <si>
    <t>Maximal Invest 86</t>
  </si>
  <si>
    <t>LU0809105504</t>
  </si>
  <si>
    <t>LU0670468973</t>
  </si>
  <si>
    <t>LU0780263249</t>
  </si>
  <si>
    <t>LU0765606685</t>
  </si>
  <si>
    <t>LU0774982143</t>
  </si>
  <si>
    <t>2,3 až 6%</t>
  </si>
  <si>
    <t>ČSOB Globálního růstu+ 12 (Optimum fund)</t>
  </si>
  <si>
    <t>Price 201204</t>
  </si>
  <si>
    <t>Price 201205</t>
  </si>
  <si>
    <t>Price 201206</t>
  </si>
  <si>
    <t>ČSOB Fixovaný click 20 (Global Partners)</t>
  </si>
  <si>
    <t>LU0737134980/1</t>
  </si>
  <si>
    <t>LU0737134980/2</t>
  </si>
  <si>
    <t>LU0737134980/3</t>
  </si>
  <si>
    <t>LU0737134980/4</t>
  </si>
  <si>
    <t>LU0737134980/5</t>
  </si>
  <si>
    <t>Date</t>
  </si>
  <si>
    <t>Euro Stoxx 50 Price Index</t>
  </si>
  <si>
    <t>ČSOB Úrokový click 1 (KBC Select investors)</t>
  </si>
  <si>
    <t>ČSOB Úrokový click 2 (KBC Select investors)</t>
  </si>
  <si>
    <t>vývoj úrokového swapu na začátku 1. období</t>
  </si>
  <si>
    <t>vývoj úrokového swapu na začátku 2. období</t>
  </si>
  <si>
    <t>vývoj úrokového swapu na začátku 3. období</t>
  </si>
  <si>
    <t>vývoj úrokového swapu na začátku 4. období</t>
  </si>
  <si>
    <t>vývoj úrokového swapu na začátku 5. období</t>
  </si>
  <si>
    <t>LU0752698893/1</t>
  </si>
  <si>
    <t>LU0752698893/2</t>
  </si>
  <si>
    <t>LU0752698893/3</t>
  </si>
  <si>
    <t>LU0752698893/4</t>
  </si>
  <si>
    <t>LU0752698893/5</t>
  </si>
  <si>
    <t>LU0767456766/1</t>
  </si>
  <si>
    <t>LU0767456766/2</t>
  </si>
  <si>
    <t>LU0767456766/3</t>
  </si>
  <si>
    <t>LU0767654055/1</t>
  </si>
  <si>
    <t>LU0767654055/2</t>
  </si>
  <si>
    <t>LU0767654055/3</t>
  </si>
  <si>
    <t>LU0767654055/4</t>
  </si>
  <si>
    <t>LU0767654055/5</t>
  </si>
  <si>
    <t>ČSOB Fixovaný click 21 (Global Partners)</t>
  </si>
  <si>
    <t>ČSOB Life Exclusive Jump Start 1 (KBC Select Investors)</t>
  </si>
  <si>
    <t>ČSOB Life Exclusive Head Start 1 (KBC Select Investors)</t>
  </si>
  <si>
    <t>KBC Click CSOB Sport Sponsors 1</t>
  </si>
  <si>
    <t>Horizon CSOB Private Banking Asian Jumpstart 1</t>
  </si>
  <si>
    <t>v sedmém období byla vyřazena akcie Cie de St-Gobain</t>
  </si>
  <si>
    <t>v druhém období byla vyřazena akcie Nintendo</t>
  </si>
  <si>
    <t>ČSOB Private Banking Buffer Jumper 2</t>
  </si>
  <si>
    <t>KBC Select Investors ČSOB Private Banking Buffer Jumper 2</t>
  </si>
  <si>
    <t>LU0822583455</t>
  </si>
  <si>
    <t>KBC Select investors CSOB Menovych Prilezitosti 1</t>
  </si>
  <si>
    <t>ČSOB Měnových příležitostí 1</t>
  </si>
  <si>
    <t>LU0817839185</t>
  </si>
  <si>
    <t>Maximal Invest 88</t>
  </si>
  <si>
    <t>Global Partners ČSOB Click s pamětí 6</t>
  </si>
  <si>
    <t>ČSOB Click s pamětí 6</t>
  </si>
  <si>
    <t>LU0815409932</t>
  </si>
  <si>
    <t>ČSOB Potravin a nápojů 1</t>
  </si>
  <si>
    <t>Optimum Fund ČSOB Potravin a nápojů 1</t>
  </si>
  <si>
    <t>BE6241267937</t>
  </si>
  <si>
    <t>ČSOB Memory Click 1 EUR</t>
  </si>
  <si>
    <t>Horizon CSOB Memory Click 1</t>
  </si>
  <si>
    <t>BE6242162186</t>
  </si>
  <si>
    <t>10,75%,</t>
  </si>
  <si>
    <t>ČSOB Click plus 1 (Horizon)</t>
  </si>
  <si>
    <t>BE6238493355/1</t>
  </si>
  <si>
    <t>BE6238493355/2</t>
  </si>
  <si>
    <t>BE6238493355/3</t>
  </si>
  <si>
    <t>BE6238493355/4</t>
  </si>
  <si>
    <t>BE6238493355/5</t>
  </si>
  <si>
    <t>LU0765606685/1</t>
  </si>
  <si>
    <t>LU0765606685/2</t>
  </si>
  <si>
    <t>LU0765606685/3</t>
  </si>
  <si>
    <t>LU0765606685/4</t>
  </si>
  <si>
    <t>LU0765606685/5</t>
  </si>
  <si>
    <t>vývoj evropské inflace v 1. období (index EU HICP Ex Tobacco)</t>
  </si>
  <si>
    <t>vývoj evropské inflace v 2. období (index EU HICP Ex Tobacco)</t>
  </si>
  <si>
    <t>vývoj evropské inflace v 3. období (index EU HICP Ex Tobacco)</t>
  </si>
  <si>
    <t>zhodnocení + bonus</t>
  </si>
  <si>
    <t>ČSOB Life Inflace 1 (KBC Select investors)</t>
  </si>
  <si>
    <t>BE6231127414/1</t>
  </si>
  <si>
    <t>BE6231127414/2</t>
  </si>
  <si>
    <t>BE6231127414/3</t>
  </si>
  <si>
    <t>BE6231127414/4</t>
  </si>
  <si>
    <t>BE6231127414/5</t>
  </si>
  <si>
    <t>BE6231127414/6</t>
  </si>
  <si>
    <t>BE6231127414/7</t>
  </si>
  <si>
    <t>BE6231127414/8</t>
  </si>
  <si>
    <t>BCE Inc</t>
  </si>
  <si>
    <t>SYSCO CORP</t>
  </si>
  <si>
    <t>ČSOB Duo Bonus 5 (KBC Click)</t>
  </si>
  <si>
    <t>SYY UN Equity</t>
  </si>
  <si>
    <t>SYY UN</t>
  </si>
  <si>
    <t>přepočet</t>
  </si>
  <si>
    <t>výnos při předčasném splacení</t>
  </si>
  <si>
    <t>Horizon CSOB Private Banking Europe Index Jumper 1</t>
  </si>
  <si>
    <t>ČSOB Private Banking Europe Index Jumper 1</t>
  </si>
  <si>
    <t>ČSOB Private Banking Europe Index Jumper 1 (Horizon)</t>
  </si>
  <si>
    <t>BE0948080024/5</t>
  </si>
  <si>
    <t>BE0948253787/5</t>
  </si>
  <si>
    <t>KBC Click CSOB Private Banking Family Enterprises 1</t>
  </si>
  <si>
    <t>ČSOB Private Banking Family Enterprises 1</t>
  </si>
  <si>
    <t>ČSOB Private Banking Buffer Jumper 2 (KBC Select Investors)</t>
  </si>
  <si>
    <t>LU0822583455/1</t>
  </si>
  <si>
    <t>LU0822583455/2</t>
  </si>
  <si>
    <t>LU0822583455/3</t>
  </si>
  <si>
    <t>LU0822583455/4</t>
  </si>
  <si>
    <t>LU0822583455/5</t>
  </si>
  <si>
    <t>LU0825385932</t>
  </si>
  <si>
    <t>ČSOB Exclusive Buffer Jumper 2</t>
  </si>
  <si>
    <t>KBC Money ČSOB Exclusive Buffer Jumper 2</t>
  </si>
  <si>
    <t>BE6242289484</t>
  </si>
  <si>
    <t>ČSOB Individuálního růstu 1</t>
  </si>
  <si>
    <t>Optimum Fund CSOB Individualniho Rustu 1</t>
  </si>
  <si>
    <t>v sedmém období byla překročena hranice a TOYOTA byla vyřazena z koše</t>
  </si>
  <si>
    <t>ČSOB Fixovaného růstu plus 1 (KBC Select investors)</t>
  </si>
  <si>
    <t>ČSOB Exclusive Global Leaders 1</t>
  </si>
  <si>
    <t>Optimum Fund CSOB Exclusive Global Leaders 1</t>
  </si>
  <si>
    <t>BE6242538062</t>
  </si>
  <si>
    <t>Global Partners ČSOB Fixovaný click 22</t>
  </si>
  <si>
    <t>ČSOB Fixovaný click 22</t>
  </si>
  <si>
    <t>ČSOB Life Světový strom plus 1</t>
  </si>
  <si>
    <t>KBC Select Investors ČSOB Světový strom plus 1</t>
  </si>
  <si>
    <t>LU0851139419</t>
  </si>
  <si>
    <t>Maximal Invest 89</t>
  </si>
  <si>
    <t>LU0847042610</t>
  </si>
  <si>
    <t>LU0752707041/1</t>
  </si>
  <si>
    <t>LU0752707041/2</t>
  </si>
  <si>
    <t>LU0752707041/3</t>
  </si>
  <si>
    <t>LU0752707041/4</t>
  </si>
  <si>
    <t>LU0752707041/5</t>
  </si>
  <si>
    <t>LU0752707041/6</t>
  </si>
  <si>
    <t>LU0752707041/7</t>
  </si>
  <si>
    <t>LU0752707041/8</t>
  </si>
  <si>
    <t>LU0752707041/9</t>
  </si>
  <si>
    <t>LU0752707041/10</t>
  </si>
  <si>
    <t>LU0752707041/11</t>
  </si>
  <si>
    <t>LU0752707041/12</t>
  </si>
  <si>
    <t>ČSOB Exclusive Buffer Jumper 2 (KBC Money)</t>
  </si>
  <si>
    <t>LU0825385932/1</t>
  </si>
  <si>
    <t>LU0825385932/2</t>
  </si>
  <si>
    <t>LU0825385932/3</t>
  </si>
  <si>
    <t>LU0825385932/4</t>
  </si>
  <si>
    <t>LU0825385932/5</t>
  </si>
  <si>
    <t>FX CZK/EUR (ECB)</t>
  </si>
  <si>
    <t>ČSOB Měnových příležitostí 1 (KBC Select investors)</t>
  </si>
  <si>
    <t>několik akcií překročilo hranici, Toyoty Motor Corp byla vyřazena z koše</t>
  </si>
  <si>
    <t>ČSOB Click s pamětí 5 (Global Partners)</t>
  </si>
  <si>
    <t>LU0670468973/1</t>
  </si>
  <si>
    <t>LU0670468973/2</t>
  </si>
  <si>
    <t>LU0670468973/3</t>
  </si>
  <si>
    <t>LU0670468973/4</t>
  </si>
  <si>
    <t>LU0670468973/5</t>
  </si>
  <si>
    <t>BE6242162186/1</t>
  </si>
  <si>
    <t>BE6242162186/2</t>
  </si>
  <si>
    <t>BE6242162186/3</t>
  </si>
  <si>
    <t>BE6242162186/4</t>
  </si>
  <si>
    <t>BE6242162186/5</t>
  </si>
  <si>
    <t>ČSOB Memory Click 1 (Horizon)</t>
  </si>
  <si>
    <t>LU0815409932/1</t>
  </si>
  <si>
    <t>LU0815409932/2</t>
  </si>
  <si>
    <t>LU0815409932/3</t>
  </si>
  <si>
    <t>LU0815409932/4</t>
  </si>
  <si>
    <t>LU0815409932/5</t>
  </si>
  <si>
    <t>ČSOB Click s pamětí 6 (Global Partners)</t>
  </si>
  <si>
    <t>LU0863480397</t>
  </si>
  <si>
    <t>Global Partners CSOB Svetoveho Rustu Plus 27</t>
  </si>
  <si>
    <t>ČSOB Světového Růstu+ 27</t>
  </si>
  <si>
    <t>Global Partners CSOB Fixovany click USD 3</t>
  </si>
  <si>
    <t>ČSOB Fixovaný click USD 3</t>
  </si>
  <si>
    <t>LU0863475801</t>
  </si>
  <si>
    <t>BE6245499577</t>
  </si>
  <si>
    <t>Optimum fund CSOB Exclusive Jumpstart 2</t>
  </si>
  <si>
    <t>ČSOB Exclusive Jumpstart 2</t>
  </si>
  <si>
    <t>KBC Select investors CSOB Silnych odvetvi 1</t>
  </si>
  <si>
    <t>ČSOB Silných odvětví 1</t>
  </si>
  <si>
    <t>LU0864387633</t>
  </si>
  <si>
    <t>Maximal Invest 90</t>
  </si>
  <si>
    <t>ČSOB Potravin a nápojů 1 (Optimum Fund)</t>
  </si>
  <si>
    <t>ABF LN Equity</t>
  </si>
  <si>
    <t>ABF LN</t>
  </si>
  <si>
    <t>ASSOCIATED BRITISH FOODS</t>
  </si>
  <si>
    <t>CCL AT Equity</t>
  </si>
  <si>
    <t>COCA COLA AMATIL LTD</t>
  </si>
  <si>
    <t>ABV Un Equity</t>
  </si>
  <si>
    <t>ABV UN</t>
  </si>
  <si>
    <t>COMPANHIA DE BEBIDAS</t>
  </si>
  <si>
    <t>DPS UN Equity</t>
  </si>
  <si>
    <t>DR PEPPER SNAPPLE GROUP</t>
  </si>
  <si>
    <t>GIS UN Equity</t>
  </si>
  <si>
    <t>GIS UN</t>
  </si>
  <si>
    <t>GENERAL MILLS</t>
  </si>
  <si>
    <t>HSY UN Equity</t>
  </si>
  <si>
    <t>HSY UN</t>
  </si>
  <si>
    <t>HERSHEY</t>
  </si>
  <si>
    <t>2914 JT Equity</t>
  </si>
  <si>
    <t>2914 JT</t>
  </si>
  <si>
    <t>JAPAN TOBACCO</t>
  </si>
  <si>
    <t>MKC UN Equity</t>
  </si>
  <si>
    <t>MCCORMICK</t>
  </si>
  <si>
    <t>MDLZ UW Equity</t>
  </si>
  <si>
    <t>MDLZ UW</t>
  </si>
  <si>
    <t>MONDOLEZ INTERNATIONAL</t>
  </si>
  <si>
    <t>TATE LN Equity</t>
  </si>
  <si>
    <t>TATE LN</t>
  </si>
  <si>
    <t>TATE &amp; LYLE PLC</t>
  </si>
  <si>
    <t>SJM UN Equity</t>
  </si>
  <si>
    <t>SJM UN</t>
  </si>
  <si>
    <t>JM SMUCKER</t>
  </si>
  <si>
    <t>KRFT UW Equity</t>
  </si>
  <si>
    <t>ČSOB Life Světový strom plus 1 (KBC Select Investors)</t>
  </si>
  <si>
    <t>LU0851139419/1</t>
  </si>
  <si>
    <t>LU0851139419/2</t>
  </si>
  <si>
    <t>LU0851139419/3</t>
  </si>
  <si>
    <t>LU0851139419/4</t>
  </si>
  <si>
    <t>LU0851139419/5</t>
  </si>
  <si>
    <t>4568 JT Equity</t>
  </si>
  <si>
    <t>4568 JT</t>
  </si>
  <si>
    <t>DAIICHI SANKYO</t>
  </si>
  <si>
    <t>SBRY LN Equity</t>
  </si>
  <si>
    <t>SBRY LN</t>
  </si>
  <si>
    <t>SAINSBURRY</t>
  </si>
  <si>
    <t>WES AT Equity</t>
  </si>
  <si>
    <t>WES AT</t>
  </si>
  <si>
    <t>WESTFARMERS LTD</t>
  </si>
  <si>
    <t>ČSOB Potravin a nápojů 3</t>
  </si>
  <si>
    <t>Optimum Fund ČSOB Potravin a nápojů 3</t>
  </si>
  <si>
    <t>BE6247089954</t>
  </si>
  <si>
    <t>ČSOB Fixovaný click 22 (Global Partners)</t>
  </si>
  <si>
    <t>LU0847042610/1</t>
  </si>
  <si>
    <t>LU0847042610/2</t>
  </si>
  <si>
    <t>LU0847042610/3</t>
  </si>
  <si>
    <t>LU0847042610/4</t>
  </si>
  <si>
    <t>LU0847042610/5</t>
  </si>
  <si>
    <t>TCL AT Equity</t>
  </si>
  <si>
    <t>TCL AT</t>
  </si>
  <si>
    <t>TRANSURBAN GROUP</t>
  </si>
  <si>
    <t>WOW AT Equity</t>
  </si>
  <si>
    <t>WOW AT</t>
  </si>
  <si>
    <t>WOOLWORTHS</t>
  </si>
  <si>
    <t>ČSOB Individuálního růstu 1 (Optimum Fund)</t>
  </si>
  <si>
    <t>ČSOB Exclusive Global Leaders 1 (Optimum Fund)</t>
  </si>
  <si>
    <t>z koše byla vyřazena akcie Outokompu OYJ</t>
  </si>
  <si>
    <t>BAYN GY Equity</t>
  </si>
  <si>
    <t>.KFTPACK INDEX</t>
  </si>
  <si>
    <t>9432 JT Equity</t>
  </si>
  <si>
    <t>KBC Money ČSOB Exclusive Buffer Jumper 3</t>
  </si>
  <si>
    <t>ČSOB Exclusive Buffer Jumper 3</t>
  </si>
  <si>
    <t>LU0893356633</t>
  </si>
  <si>
    <t>ČSOB Globálního růstu+ 14</t>
  </si>
  <si>
    <t>Optimum fund ČSOB Globálního růstu plus 14</t>
  </si>
  <si>
    <t>BE6249138106</t>
  </si>
  <si>
    <t>BE6249170422</t>
  </si>
  <si>
    <t>ČSOB Globálního růstu EUR 1</t>
  </si>
  <si>
    <t>Optimum Fund ČSOB Globálního růstu EUR 1</t>
  </si>
  <si>
    <t>LU0864387633/1</t>
  </si>
  <si>
    <t>LU0864387633/2</t>
  </si>
  <si>
    <t>LU0864387633/3</t>
  </si>
  <si>
    <t>LU0864387633/4</t>
  </si>
  <si>
    <t>LU0864387633/5</t>
  </si>
  <si>
    <t>Optimum fund ČSOB Dobyvatelé nových trhů 1</t>
  </si>
  <si>
    <t>ČSOB Dobyvatelé nových trhů 1</t>
  </si>
  <si>
    <t>BE6249533173</t>
  </si>
  <si>
    <t>KBC Select Investors ČSOB Silných společností 1</t>
  </si>
  <si>
    <t>ČSOB Silných společností 1</t>
  </si>
  <si>
    <t>LU0910883395</t>
  </si>
  <si>
    <t>Maximal Invest 91</t>
  </si>
  <si>
    <t>ČSOB Světového růstu +27 (Global Partners)</t>
  </si>
  <si>
    <t>LU0863480397/1</t>
  </si>
  <si>
    <t>LU0863480397/2</t>
  </si>
  <si>
    <t>LU0863480397/3</t>
  </si>
  <si>
    <t>LU0863480397/4</t>
  </si>
  <si>
    <t>LU0863480397/5</t>
  </si>
  <si>
    <t>LU0863480397/6</t>
  </si>
  <si>
    <t>LU0863480397/7</t>
  </si>
  <si>
    <t>LU0863480397/8</t>
  </si>
  <si>
    <t>LU0863480397/9</t>
  </si>
  <si>
    <t>LU0863480397/10</t>
  </si>
  <si>
    <t>LU0863480397/11</t>
  </si>
  <si>
    <t>LU0863480397/12</t>
  </si>
  <si>
    <t>LU0863480397/13</t>
  </si>
  <si>
    <t>LU0863480397/14</t>
  </si>
  <si>
    <t>LU0863480397/15</t>
  </si>
  <si>
    <t>LU0863480397/16</t>
  </si>
  <si>
    <t>LU0863480397/17</t>
  </si>
  <si>
    <t>LU0863480397/18</t>
  </si>
  <si>
    <t>LU0863475801/1</t>
  </si>
  <si>
    <t>LU0863475801/2</t>
  </si>
  <si>
    <t>LU0863475801/3</t>
  </si>
  <si>
    <t>LU0863475801/4</t>
  </si>
  <si>
    <t>LU0863475801/5</t>
  </si>
  <si>
    <t>ČSOB Fixovaný click USD 3 (Global Partners)</t>
  </si>
  <si>
    <t/>
  </si>
  <si>
    <t>ČSOB Exclusive Jumpstart 2 (Optimum Fund)</t>
  </si>
  <si>
    <t>Optimum fund ČSOB Světových příležitostí 1</t>
  </si>
  <si>
    <t>ČSOB Světových příležitostí 1</t>
  </si>
  <si>
    <t>BE6251790430</t>
  </si>
  <si>
    <t>ČSOB Private Banking Global Leaders 2</t>
  </si>
  <si>
    <t>Optimum Fund ČSOB Private Banking Global Leaders 2</t>
  </si>
  <si>
    <t>BE6251783369</t>
  </si>
  <si>
    <t>ČSOB Potravin a nápojů 4</t>
  </si>
  <si>
    <t>LU0923011927</t>
  </si>
  <si>
    <t>KBC Select investors ČSOB Potravin a nápojů 4</t>
  </si>
  <si>
    <t>Maximal Invest 92</t>
  </si>
  <si>
    <t>z koše byla vyřazena akcie Advanced Micro Devices</t>
  </si>
  <si>
    <t>ČSOB Potravin a nápojů 3 (Optimum Fund)</t>
  </si>
  <si>
    <t xml:space="preserve">Minimální </t>
  </si>
  <si>
    <t>ČSOB Globálního růstu+ 14 (Optimum fund)</t>
  </si>
  <si>
    <t>ČSOB Exclusive Buffer Jumper 3 (KBC Money)</t>
  </si>
  <si>
    <t>Optimum Fund ČSOB Světový jumpstart 1</t>
  </si>
  <si>
    <t>ČSOB Světový jumpstart 1</t>
  </si>
  <si>
    <t>BE6252609860</t>
  </si>
  <si>
    <t>KBC Money ČSOB Exclusive Buffer Jumper EUR 2</t>
  </si>
  <si>
    <t>ČSOB Exclusive Buffer Jumper EUR 2</t>
  </si>
  <si>
    <t>LU0945640695</t>
  </si>
  <si>
    <t>ČSOB Globálního růstu EUR 1 (Optimum fund)</t>
  </si>
  <si>
    <t>Optimum Fund ČSOB Perspektivních trhů 1</t>
  </si>
  <si>
    <t>ČSOB Perspektivních trhů 1</t>
  </si>
  <si>
    <t>BE6253700130</t>
  </si>
  <si>
    <t>Maximal Invest 93</t>
  </si>
  <si>
    <t>Global Partners ČSOB Světových firem 1</t>
  </si>
  <si>
    <t>ČSOB Světových firem 1</t>
  </si>
  <si>
    <t>LU0948875777</t>
  </si>
  <si>
    <t xml:space="preserve">ČSOB </t>
  </si>
  <si>
    <t>ČSOB Dobyvatelé nových trhů 1 (Optimum fund)</t>
  </si>
  <si>
    <t>ČSOB Silných společností 1 (KBC Select investors)</t>
  </si>
  <si>
    <t>WBC AT Equity</t>
  </si>
  <si>
    <t>WBC AT</t>
  </si>
  <si>
    <t>WESTPAC</t>
  </si>
  <si>
    <t>REE SQ Equity</t>
  </si>
  <si>
    <t>REE SQ</t>
  </si>
  <si>
    <t>RED ELECTRICA</t>
  </si>
  <si>
    <t>NTT Docomo</t>
  </si>
  <si>
    <t>MARUBENI</t>
  </si>
  <si>
    <t>8002 JT Equity</t>
  </si>
  <si>
    <t>8002 JT</t>
  </si>
  <si>
    <t>CRESCENT POINT ENERGY</t>
  </si>
  <si>
    <t>CPG CT Equity</t>
  </si>
  <si>
    <t>CPG CT</t>
  </si>
  <si>
    <t>ČSOB Světových příležitostí 1 (Optimum fund)</t>
  </si>
  <si>
    <t>akcie E.ON byla vyřazen</t>
  </si>
  <si>
    <t>ČSOB Asijské indexy 1</t>
  </si>
  <si>
    <t>Optimum Fund ČSOB Asijské indexy 1</t>
  </si>
  <si>
    <t>BE6254440744</t>
  </si>
  <si>
    <t>KBC Money ČSOB Exclusive Buffer Jumper 4</t>
  </si>
  <si>
    <t>ČSOB Exclusive Buffer Jumper 4</t>
  </si>
  <si>
    <t>LU0956502289</t>
  </si>
  <si>
    <t>Maximal Invest 94</t>
  </si>
  <si>
    <t>ČSOB Potravin a nápojů 5</t>
  </si>
  <si>
    <t>KBC Select investors ČSOB Potravin a nápojů 5</t>
  </si>
  <si>
    <t>LU0955042998</t>
  </si>
  <si>
    <t>ČSOB Duo bonus 2 EUR</t>
  </si>
  <si>
    <t>Global Partners ČSOB Duo Bonus 2</t>
  </si>
  <si>
    <t>LU0935061464</t>
  </si>
  <si>
    <t>PRŮMĚR s parametry</t>
  </si>
  <si>
    <t>HAS UW Equity</t>
  </si>
  <si>
    <t>HAS UW</t>
  </si>
  <si>
    <t>HASBRO</t>
  </si>
  <si>
    <t>SINGAPORE TELECOM</t>
  </si>
  <si>
    <t>ST SP Equity</t>
  </si>
  <si>
    <t>ST SP</t>
  </si>
  <si>
    <t>ČSOB Private Banking Global Leaders 2 (Optimum fund)</t>
  </si>
  <si>
    <t>ČSOB Potravin a nápojů 4 (KBC Select investors)</t>
  </si>
  <si>
    <t>Price 201307</t>
  </si>
  <si>
    <t>Price 201308</t>
  </si>
  <si>
    <t>Price 201309</t>
  </si>
  <si>
    <t>Price 201310</t>
  </si>
  <si>
    <t>průměr posledních 5 dnů</t>
  </si>
  <si>
    <t>ČSOB Exclusive Buffer Jumper EUR 2 (KBC Money)</t>
  </si>
  <si>
    <t>LU0945640695/1</t>
  </si>
  <si>
    <t>LU0945640695/2</t>
  </si>
  <si>
    <t>LU0945640695/3</t>
  </si>
  <si>
    <t>LU0945640695/4</t>
  </si>
  <si>
    <t>LU0945640695/5</t>
  </si>
  <si>
    <t>LU0817839185/1</t>
  </si>
  <si>
    <t>LU0817839185/2</t>
  </si>
  <si>
    <t>LU0817839185/3</t>
  </si>
  <si>
    <t>LU0817839185/4</t>
  </si>
  <si>
    <t>LU0817839185/5</t>
  </si>
  <si>
    <t>ČSOB Světový jumpstart 1 (Optimum Fund)</t>
  </si>
  <si>
    <t>poslední cena</t>
  </si>
  <si>
    <t>BE6256216076</t>
  </si>
  <si>
    <t>ČSOB Private Banking World Selection 1</t>
  </si>
  <si>
    <t>Optimum Fund CSOB Private Banking World Selection 1</t>
  </si>
  <si>
    <t>ČSOB Šampioni sportu 1</t>
  </si>
  <si>
    <t>Optimum Fund ČSOB Šampioni sportu 1</t>
  </si>
  <si>
    <t>BE6256218098</t>
  </si>
  <si>
    <t>Optimum Fund ČSOB Světových příležitostí USD 1</t>
  </si>
  <si>
    <t>ČSOB Světových příležitostí USD 1</t>
  </si>
  <si>
    <t>BE6256217082</t>
  </si>
  <si>
    <t>ČSOB Life Fixovaný click 23</t>
  </si>
  <si>
    <t>KBC Select investors ČSOB Zdravotnictví a farmacie 1</t>
  </si>
  <si>
    <t>ČSOB Life Zdravotnictví a farmacie 1</t>
  </si>
  <si>
    <t>LU0967712828</t>
  </si>
  <si>
    <t>Maximal Invest 95</t>
  </si>
  <si>
    <t>Maximal Invest 96</t>
  </si>
  <si>
    <t>LU0958563495</t>
  </si>
  <si>
    <t>ČSOB Globálního růstu+ 16</t>
  </si>
  <si>
    <t>Optimum Fund ČSOB Globálního růstu plus 16</t>
  </si>
  <si>
    <t>BE6256550508</t>
  </si>
  <si>
    <t>ČSOB Private Banking US Housing Premium 1</t>
  </si>
  <si>
    <t>BE6257570034</t>
  </si>
  <si>
    <t>Optimum Fund ČSOB Private Banking US Housing Premium 1</t>
  </si>
  <si>
    <t>ČSOB Dobyvatelé nových trhů 2</t>
  </si>
  <si>
    <t>Global Partners ČSOB Dobyvatelé nových trhů 2</t>
  </si>
  <si>
    <t>LU0969533487</t>
  </si>
  <si>
    <t>ČSOB Asijské indexy 1 (Optimum Fund)</t>
  </si>
  <si>
    <t xml:space="preserve">Průměrování </t>
  </si>
  <si>
    <t>BE6254440744/1</t>
  </si>
  <si>
    <t>BE6254440744/2</t>
  </si>
  <si>
    <t>BE6254440744/3</t>
  </si>
  <si>
    <t>BE6254440744/4</t>
  </si>
  <si>
    <t>BE6254440744/5</t>
  </si>
  <si>
    <t>BE6254440744/6</t>
  </si>
  <si>
    <t>BE6254440744/7</t>
  </si>
  <si>
    <t>BE6254440744/8</t>
  </si>
  <si>
    <t>BE6254440744/9</t>
  </si>
  <si>
    <t>BE6254440744/10</t>
  </si>
  <si>
    <t>BE6254440744/11</t>
  </si>
  <si>
    <t>BE6254440744/12</t>
  </si>
  <si>
    <t>BE6254440744/13</t>
  </si>
  <si>
    <t>BE6254440744/14</t>
  </si>
  <si>
    <t>BE6254440744/15</t>
  </si>
  <si>
    <t>BE6254440744/16</t>
  </si>
  <si>
    <t>BE6254440744/17</t>
  </si>
  <si>
    <t>BE6254440744/18</t>
  </si>
  <si>
    <t>LU0948875777/1</t>
  </si>
  <si>
    <t>LU0948875777/2</t>
  </si>
  <si>
    <t>LU0948875777/3</t>
  </si>
  <si>
    <t>LU0948875777/4</t>
  </si>
  <si>
    <t>LU0948875777/5</t>
  </si>
  <si>
    <t>LU0948875777/6</t>
  </si>
  <si>
    <t>LU0948875777/7</t>
  </si>
  <si>
    <t>LU0948875777/8</t>
  </si>
  <si>
    <t>LU0948875777/9</t>
  </si>
  <si>
    <t>LU0948875777/10</t>
  </si>
  <si>
    <t>LU0948875777/11</t>
  </si>
  <si>
    <t>LU0948875777/12</t>
  </si>
  <si>
    <t>LU0948875777/13</t>
  </si>
  <si>
    <t>LU0948875777/14</t>
  </si>
  <si>
    <t>LU0948875777/15</t>
  </si>
  <si>
    <t>LU0948875777/16</t>
  </si>
  <si>
    <t>LU0948875777/17</t>
  </si>
  <si>
    <t>LU0948875777/18</t>
  </si>
  <si>
    <t>AGL ENERGY</t>
  </si>
  <si>
    <t>ANZ AT Equity</t>
  </si>
  <si>
    <t>ANZ AT</t>
  </si>
  <si>
    <t>Australia and New Zealand Banking Group</t>
  </si>
  <si>
    <t>BNS CT Equity</t>
  </si>
  <si>
    <t>BNS CT</t>
  </si>
  <si>
    <t>BANK OF NOVA SCOTIA</t>
  </si>
  <si>
    <t>KEP SP Equity</t>
  </si>
  <si>
    <t>KEP SP</t>
  </si>
  <si>
    <t>KEPPEL CORP</t>
  </si>
  <si>
    <t>PAYX UW Equity</t>
  </si>
  <si>
    <t>PAYX UW</t>
  </si>
  <si>
    <t>PAYCHEX INC</t>
  </si>
  <si>
    <t>SENIOR HOUSING PROPERTIES TRUST</t>
  </si>
  <si>
    <t>VTR UN Equity</t>
  </si>
  <si>
    <t>VTR UN</t>
  </si>
  <si>
    <t>VENTAS INC</t>
  </si>
  <si>
    <t>ČSOB Světových firem 1 (Global Partners)</t>
  </si>
  <si>
    <t>ČSOB Duo Bonus 2 (Global Partners)</t>
  </si>
  <si>
    <t>LU0935061464/2</t>
  </si>
  <si>
    <t>LU0935061464/3</t>
  </si>
  <si>
    <t>LU0935061464/4</t>
  </si>
  <si>
    <t>LU0935061464/5</t>
  </si>
  <si>
    <t>LU0935061464/6</t>
  </si>
  <si>
    <t>LU0935061464/7</t>
  </si>
  <si>
    <t>LU0935061464/8</t>
  </si>
  <si>
    <t>.ABBOTT Index</t>
  </si>
  <si>
    <t>výnos dle parametrů</t>
  </si>
  <si>
    <t>Price 201311</t>
  </si>
  <si>
    <t>Price 201312</t>
  </si>
  <si>
    <t>Price 201401</t>
  </si>
  <si>
    <t>průměrování pro výpošet počáteční ceny</t>
  </si>
  <si>
    <t>ČSOB Potravin a nápojů 5 (KBC Select investors)</t>
  </si>
  <si>
    <t>PPL Corp</t>
  </si>
  <si>
    <t>ČSOB Private Banking World Selection 1 (KBC Select investors)</t>
  </si>
  <si>
    <t>ČSOB Fixovaný click 23 (KBC Select investors)</t>
  </si>
  <si>
    <t>LU0958563495/1</t>
  </si>
  <si>
    <t>LU0958563495/2</t>
  </si>
  <si>
    <t>LU0958563495/3</t>
  </si>
  <si>
    <t>LU0958563495/4</t>
  </si>
  <si>
    <t>LU0958563495/5</t>
  </si>
  <si>
    <t>BE6256216076/1</t>
  </si>
  <si>
    <t>BE6256216076/2</t>
  </si>
  <si>
    <t>BE6256216076/3</t>
  </si>
  <si>
    <t>BE6256216076/4</t>
  </si>
  <si>
    <t>BE6256216076/5</t>
  </si>
  <si>
    <t>BE6256216076/6</t>
  </si>
  <si>
    <t>BE6256216076/7</t>
  </si>
  <si>
    <t>BE6256216076/8</t>
  </si>
  <si>
    <t>BE6256216076/9</t>
  </si>
  <si>
    <t>BE6256216076/10</t>
  </si>
  <si>
    <t>BE6256216076/11</t>
  </si>
  <si>
    <t>BE6256216076/12</t>
  </si>
  <si>
    <t>BE6256216076/13</t>
  </si>
  <si>
    <t>BE6256216076/14</t>
  </si>
  <si>
    <t>BE6256216076/15</t>
  </si>
  <si>
    <t>BE6256216076/16</t>
  </si>
  <si>
    <t>BE6256216076/17</t>
  </si>
  <si>
    <t>BE6256216076/18</t>
  </si>
  <si>
    <t>ČSOB Šampioni sportu 2</t>
  </si>
  <si>
    <t>Optimum Fund ČSOB Šampioni sportu 2</t>
  </si>
  <si>
    <t>BE6258418753</t>
  </si>
  <si>
    <t>ČSOB Globálního růstu EUR 2</t>
  </si>
  <si>
    <t>Optimum Fund ČSOB Globálního růstu EUR 2</t>
  </si>
  <si>
    <t>BE6258420775</t>
  </si>
  <si>
    <t>Optimum Fund ČSOB Exclusive Airbag Jumper +1</t>
  </si>
  <si>
    <t>ČSOB Exclusive Airbag Jumper +1</t>
  </si>
  <si>
    <t>BE6258421781</t>
  </si>
  <si>
    <t>ČSOB Airbag Jumper EUR +1</t>
  </si>
  <si>
    <t>Optimum Fund ČSOB Airbag Jumper EUR +1</t>
  </si>
  <si>
    <t>BE6258634979</t>
  </si>
  <si>
    <t>ČSOB Světových příležitostí 2</t>
  </si>
  <si>
    <t>LU0994470010</t>
  </si>
  <si>
    <t>Maximal Invest 98</t>
  </si>
  <si>
    <t>Select Investors ČSOB Světových příležitostí 2</t>
  </si>
  <si>
    <t>ORA FP Equity</t>
  </si>
  <si>
    <t>ČSOB Globálního růstu+ 16 (Optimum fund)</t>
  </si>
  <si>
    <t>ABEV UN Equity</t>
  </si>
  <si>
    <t>ABEV UN</t>
  </si>
  <si>
    <t>AMBEV</t>
  </si>
  <si>
    <t>ČSOB Airbag Jumper EUR +1 (Optimum Fund)</t>
  </si>
  <si>
    <t>ČSOB Silných odvětví 1 (KBC Select Investors)</t>
  </si>
  <si>
    <t>ORANGE</t>
  </si>
  <si>
    <t>ČSOB Evropa 1</t>
  </si>
  <si>
    <t>Optimum Fund ČSOB Evropa 1</t>
  </si>
  <si>
    <t>BE6261089302</t>
  </si>
  <si>
    <t>ČSOB Perspektivních trhů 2</t>
  </si>
  <si>
    <t>Optimum Fund ČSOB Perspektivních trhů 2</t>
  </si>
  <si>
    <t>BE6260676059</t>
  </si>
  <si>
    <t>ČSOB Exclusive Airbag Jumper+ 2</t>
  </si>
  <si>
    <t>Optimum Fund ČSOB Exclusive Airbag Jumper+ 2</t>
  </si>
  <si>
    <t>BE6261091324</t>
  </si>
  <si>
    <t>BE6260670961</t>
  </si>
  <si>
    <t>ČSOB Silné firmy 1</t>
  </si>
  <si>
    <t>Horizon ČSOB Silné firmy 1</t>
  </si>
  <si>
    <t>ČSOB Dobyvatelé nových trhů 2 (Global Partners)</t>
  </si>
  <si>
    <t>ČSOB Life Zdravotnictví a farmacie 1 (KBC Select investors)</t>
  </si>
  <si>
    <t>AET UN Equity</t>
  </si>
  <si>
    <t>AET UN</t>
  </si>
  <si>
    <t>AETNA</t>
  </si>
  <si>
    <t>HUM UN Equity</t>
  </si>
  <si>
    <t>HUM UN</t>
  </si>
  <si>
    <t>HUMANA</t>
  </si>
  <si>
    <t>4578 JT Equity</t>
  </si>
  <si>
    <t>4578 JT</t>
  </si>
  <si>
    <t>OTSUKA HOLDINGS</t>
  </si>
  <si>
    <t>4507 JT Equity</t>
  </si>
  <si>
    <t>4507 JT</t>
  </si>
  <si>
    <t>SHIONOGI</t>
  </si>
  <si>
    <t>SN/ LN Equity</t>
  </si>
  <si>
    <t>SN/ LN</t>
  </si>
  <si>
    <t>SMITH AND NEPHEW</t>
  </si>
  <si>
    <t>UNH UN Equity</t>
  </si>
  <si>
    <t>UNH UN</t>
  </si>
  <si>
    <t>UNITED HEALTH GROUP</t>
  </si>
  <si>
    <t>LU0967712828/1</t>
  </si>
  <si>
    <t>LU0967712828/2</t>
  </si>
  <si>
    <t>LU0967712828/3</t>
  </si>
  <si>
    <t>LU0967712828/4</t>
  </si>
  <si>
    <t>LU0967712828/5</t>
  </si>
  <si>
    <t>LU0967712828/6</t>
  </si>
  <si>
    <t>LU0967712828/7</t>
  </si>
  <si>
    <t>LU0967712828/8</t>
  </si>
  <si>
    <t>LU0967712828/9</t>
  </si>
  <si>
    <t>LU0967712828/10</t>
  </si>
  <si>
    <t>LU0967712828/11</t>
  </si>
  <si>
    <t>LU0967712828/12</t>
  </si>
  <si>
    <t>LU0967712828/13</t>
  </si>
  <si>
    <t>LU0967712828/14</t>
  </si>
  <si>
    <t>LU0967712828/15</t>
  </si>
  <si>
    <t>LU0967712828/16</t>
  </si>
  <si>
    <t>LU0967712828/17</t>
  </si>
  <si>
    <t>LU0967712828/18</t>
  </si>
  <si>
    <t>BE6257570034/1</t>
  </si>
  <si>
    <t>BE6257570034/2</t>
  </si>
  <si>
    <t>BE6257570034/3</t>
  </si>
  <si>
    <t>BE6257570034/4</t>
  </si>
  <si>
    <t>BE6257570034/5</t>
  </si>
  <si>
    <t>BE6257570034/6</t>
  </si>
  <si>
    <t>BE6257570034/7</t>
  </si>
  <si>
    <t>BE6257570034/8</t>
  </si>
  <si>
    <t>BE6257570034/9</t>
  </si>
  <si>
    <t>BE6257570034/10</t>
  </si>
  <si>
    <t>BE6257570034/11</t>
  </si>
  <si>
    <t>BE6257570034/12</t>
  </si>
  <si>
    <t>BE6257570034/13</t>
  </si>
  <si>
    <t>BE6257570034/14</t>
  </si>
  <si>
    <t>BE6257570034/15</t>
  </si>
  <si>
    <t>BE6257570034/16</t>
  </si>
  <si>
    <t>BE6257570034/17</t>
  </si>
  <si>
    <t>BE6257570034/18</t>
  </si>
  <si>
    <t>ČSOB Private Banking US Housing Premium 1 (Optimum Fund)</t>
  </si>
  <si>
    <t>dělení</t>
  </si>
  <si>
    <t>NE</t>
  </si>
  <si>
    <t>ANO</t>
  </si>
  <si>
    <t>PNC Financial Services</t>
  </si>
  <si>
    <t>US Bancorp</t>
  </si>
  <si>
    <t>AIV UN Equity</t>
  </si>
  <si>
    <t>AVB UN Equity</t>
  </si>
  <si>
    <t>BBT UN Equity</t>
  </si>
  <si>
    <t>EQR UN Equity</t>
  </si>
  <si>
    <t>MTB UN Equity</t>
  </si>
  <si>
    <t>PCL UN Equity</t>
  </si>
  <si>
    <t>WY UN Equity</t>
  </si>
  <si>
    <t>EQR UN</t>
  </si>
  <si>
    <t>AVB UN</t>
  </si>
  <si>
    <t>MTB UN</t>
  </si>
  <si>
    <t>WY UN</t>
  </si>
  <si>
    <t>AVALONBAY</t>
  </si>
  <si>
    <t>EQUITY RESIDENTIAL</t>
  </si>
  <si>
    <t>BB&amp;T</t>
  </si>
  <si>
    <t>APARTMENT INVT &amp; MGMT CO</t>
  </si>
  <si>
    <t>M&amp;T BANK</t>
  </si>
  <si>
    <t>PLUM CREEK TIMBER</t>
  </si>
  <si>
    <t>WEYERHAEUSER</t>
  </si>
  <si>
    <t>LU0956502289/1</t>
  </si>
  <si>
    <t>LU0956502289/2</t>
  </si>
  <si>
    <t>LU0956502289/3</t>
  </si>
  <si>
    <t>LU0956502289/4</t>
  </si>
  <si>
    <t>LU0956502289/5</t>
  </si>
  <si>
    <t>ČSOB Exclusive Buffer Jumper 4 (KBC Money)</t>
  </si>
  <si>
    <t>ČSOB Světových příležitostí USD 1 (Optimum Fund)</t>
  </si>
  <si>
    <t>BE6256217082/1</t>
  </si>
  <si>
    <t>BE6256217082/2</t>
  </si>
  <si>
    <t>BE6256217082/3</t>
  </si>
  <si>
    <t>BE6256217082/4</t>
  </si>
  <si>
    <t>BE6256217082/5</t>
  </si>
  <si>
    <t>BE6256217082/6</t>
  </si>
  <si>
    <t>BE6256217082/7</t>
  </si>
  <si>
    <t>BE6256217082/8</t>
  </si>
  <si>
    <t>BE6256217082/9</t>
  </si>
  <si>
    <t>BE6256217082/10</t>
  </si>
  <si>
    <t>BE6256217082/11</t>
  </si>
  <si>
    <t>BE6256217082/12</t>
  </si>
  <si>
    <t>BE6256217082/13</t>
  </si>
  <si>
    <t>BE6256217082/14</t>
  </si>
  <si>
    <t>BE6256217082/15</t>
  </si>
  <si>
    <t>BE6256217082/16</t>
  </si>
  <si>
    <t>BE6256217082/17</t>
  </si>
  <si>
    <t>BE6256217082/18</t>
  </si>
  <si>
    <t>AMERICAN EXPRESS</t>
  </si>
  <si>
    <t>FORD MOTOR</t>
  </si>
  <si>
    <t>BE6256218098/1</t>
  </si>
  <si>
    <t>BE6256218098/2</t>
  </si>
  <si>
    <t>BE6256218098/3</t>
  </si>
  <si>
    <t>BE6256218098/4</t>
  </si>
  <si>
    <t>BE6256218098/5</t>
  </si>
  <si>
    <t>BE6256218098/6</t>
  </si>
  <si>
    <t>BE6256218098/7</t>
  </si>
  <si>
    <t>BE6256218098/8</t>
  </si>
  <si>
    <t>BE6256218098/9</t>
  </si>
  <si>
    <t>BE6256218098/10</t>
  </si>
  <si>
    <t>BE6256218098/11</t>
  </si>
  <si>
    <t>BE6256218098/12</t>
  </si>
  <si>
    <t>BE6256218098/13</t>
  </si>
  <si>
    <t>BE6256218098/14</t>
  </si>
  <si>
    <t>BE6256218098/15</t>
  </si>
  <si>
    <t>BE6256218098/16</t>
  </si>
  <si>
    <t>BE6256218098/17</t>
  </si>
  <si>
    <t>BE6256218098/18</t>
  </si>
  <si>
    <t>ČSOB Šampioni sportu 1 (Optimum Fund)</t>
  </si>
  <si>
    <t>ČSOB Šampioni sportu 2 (Optimum Fund)</t>
  </si>
  <si>
    <t>BE6258418753/1</t>
  </si>
  <si>
    <t>BE6258418753/2</t>
  </si>
  <si>
    <t>BE6258418753/3</t>
  </si>
  <si>
    <t>BE6258418753/4</t>
  </si>
  <si>
    <t>BE6258418753/5</t>
  </si>
  <si>
    <t>BE6258418753/6</t>
  </si>
  <si>
    <t>BE6258418753/7</t>
  </si>
  <si>
    <t>BE6258418753/8</t>
  </si>
  <si>
    <t>BE6258418753/9</t>
  </si>
  <si>
    <t>BE6258418753/10</t>
  </si>
  <si>
    <t>BE6258418753/11</t>
  </si>
  <si>
    <t>BE6258418753/12</t>
  </si>
  <si>
    <t>BE6258418753/13</t>
  </si>
  <si>
    <t>BE6258418753/14</t>
  </si>
  <si>
    <t>BE6258418753/15</t>
  </si>
  <si>
    <t>BE6258418753/16</t>
  </si>
  <si>
    <t>BE6258418753/17</t>
  </si>
  <si>
    <t>BE6258418753/18</t>
  </si>
  <si>
    <t>AXP UN Equity</t>
  </si>
  <si>
    <t>AXP UN</t>
  </si>
  <si>
    <t>F UN Equity</t>
  </si>
  <si>
    <t>F UN</t>
  </si>
  <si>
    <t>ČSOB Globálního růstu EUR 2 (Optimum fund)</t>
  </si>
  <si>
    <t>BE6258420775/1</t>
  </si>
  <si>
    <t>BE6258420775/2</t>
  </si>
  <si>
    <t>BE6258420775/3</t>
  </si>
  <si>
    <t>BE6258420775/4</t>
  </si>
  <si>
    <t>BE6258420775/5</t>
  </si>
  <si>
    <t>BE6258420775/6</t>
  </si>
  <si>
    <t>BE6258420775/7</t>
  </si>
  <si>
    <t>BE6258420775/8</t>
  </si>
  <si>
    <t>BE6258420775/9</t>
  </si>
  <si>
    <t>BE6258420775/10</t>
  </si>
  <si>
    <t>BE6258420775/11</t>
  </si>
  <si>
    <t>BE6258420775/12</t>
  </si>
  <si>
    <t>BE6258420775/13</t>
  </si>
  <si>
    <t>BE6258420775/14</t>
  </si>
  <si>
    <t>BE6258420775/15</t>
  </si>
  <si>
    <t>BE6258420775/16</t>
  </si>
  <si>
    <t>BE6258420775/17</t>
  </si>
  <si>
    <t>BE6258420775/18</t>
  </si>
  <si>
    <t>ČSOB Exclusive Airbag Jumper +1 (Optimum Fund)</t>
  </si>
  <si>
    <t>konečné období</t>
  </si>
  <si>
    <t>LU0893356633/1</t>
  </si>
  <si>
    <t>LU0893356633/2</t>
  </si>
  <si>
    <t>LU0893356633/3</t>
  </si>
  <si>
    <t>LU0893356633/4</t>
  </si>
  <si>
    <t>LU0893356633/5</t>
  </si>
  <si>
    <t>LU0258407633/1</t>
  </si>
  <si>
    <t>LU0258407633/2</t>
  </si>
  <si>
    <t>LU0258407633/3</t>
  </si>
  <si>
    <t>LU0258407633/4</t>
  </si>
  <si>
    <t>LU0258407633/5</t>
  </si>
  <si>
    <t>LU0258407633/6</t>
  </si>
  <si>
    <t>LU0258407633/7</t>
  </si>
  <si>
    <t>LU0258407633/8</t>
  </si>
  <si>
    <t>LU0258407633/9</t>
  </si>
  <si>
    <t>LU0258407633/10</t>
  </si>
  <si>
    <t>LU0258407633/11</t>
  </si>
  <si>
    <t>LU0258407633/12</t>
  </si>
  <si>
    <t>LU0258407633/13</t>
  </si>
  <si>
    <t>LU0258407633/14</t>
  </si>
  <si>
    <t>LU0258407633/15</t>
  </si>
  <si>
    <t>LU0258407633/16</t>
  </si>
  <si>
    <t>ČSOB PB Enhanced World Selection 1</t>
  </si>
  <si>
    <t>Optimum Fund ČSOB Private Banking Enhanced World Selection 1</t>
  </si>
  <si>
    <t>BE6261972408</t>
  </si>
  <si>
    <t>ČSOB Perspektivních trhů 3</t>
  </si>
  <si>
    <t>Optimum Fund ČSOB Perspektivních trhů 3</t>
  </si>
  <si>
    <t>BE6261937054</t>
  </si>
  <si>
    <t>ČSOB Svět a pivní prémie 1</t>
  </si>
  <si>
    <t>Optimum Fund ČSOB Svět a pivní prémie 1</t>
  </si>
  <si>
    <t>BE6262449323</t>
  </si>
  <si>
    <t>ČSOB Svět s bonusem pivovarů 1</t>
  </si>
  <si>
    <t>Horizon CSOB Svet s Bonusom Pivovarov 1</t>
  </si>
  <si>
    <t>BE6263905331</t>
  </si>
  <si>
    <t>Price 201402</t>
  </si>
  <si>
    <t>Price 201403</t>
  </si>
  <si>
    <t>Price 201404</t>
  </si>
  <si>
    <t>Adidas AG</t>
  </si>
  <si>
    <t>American Express Co</t>
  </si>
  <si>
    <t>Anheuser-Busch Inbev NV</t>
  </si>
  <si>
    <t>AT&amp;T Inc (UN)</t>
  </si>
  <si>
    <t>Barclays</t>
  </si>
  <si>
    <t>Deutsche Telekom AG (GY)</t>
  </si>
  <si>
    <t>Diageo PLC</t>
  </si>
  <si>
    <t>Ford Motor Co (UN)</t>
  </si>
  <si>
    <t>General Electric</t>
  </si>
  <si>
    <t>GlaxoSmithKline PLC</t>
  </si>
  <si>
    <t>IBM Corp</t>
  </si>
  <si>
    <t>Johnson &amp; Johnson</t>
  </si>
  <si>
    <t>Kellogg</t>
  </si>
  <si>
    <t>McDonald's</t>
  </si>
  <si>
    <t>Microsoft Corp (UW)</t>
  </si>
  <si>
    <t>Nestle SA</t>
  </si>
  <si>
    <t>Nike Inc</t>
  </si>
  <si>
    <t>Novartis AG</t>
  </si>
  <si>
    <t>Pfizer Inc</t>
  </si>
  <si>
    <t>Philip Morris International In (UN)</t>
  </si>
  <si>
    <t>Procter &amp; Gamble</t>
  </si>
  <si>
    <t>Royal Dutch Shell Plc</t>
  </si>
  <si>
    <t>Siemens AG</t>
  </si>
  <si>
    <t>Swisscom AG</t>
  </si>
  <si>
    <t>The Coca-Cola Co</t>
  </si>
  <si>
    <t>Total SA</t>
  </si>
  <si>
    <t>Unilever NV</t>
  </si>
  <si>
    <t>United Parcel Service</t>
  </si>
  <si>
    <t>Verizon Communications Inc</t>
  </si>
  <si>
    <t>AGL Energy Ltd (AT)</t>
  </si>
  <si>
    <t>Australia &amp; New Zealand Bankin (AT)</t>
  </si>
  <si>
    <t>Bank of Nova Scotia (CT)</t>
  </si>
  <si>
    <t>BHP Billiton</t>
  </si>
  <si>
    <t>BMW AG</t>
  </si>
  <si>
    <t>British American Tobacco PLC</t>
  </si>
  <si>
    <t>British Land</t>
  </si>
  <si>
    <t>Consolidated Edison</t>
  </si>
  <si>
    <t>Intel Corp (UW)</t>
  </si>
  <si>
    <t>Keppel Corp Ltd</t>
  </si>
  <si>
    <t>Koninklijke Ahold</t>
  </si>
  <si>
    <t>National Grid PLC</t>
  </si>
  <si>
    <t>Pearson PLC</t>
  </si>
  <si>
    <t>Reynolds American Inc</t>
  </si>
  <si>
    <t>Royal Bank of Canada (CT)</t>
  </si>
  <si>
    <t>Sainsburry</t>
  </si>
  <si>
    <t>Senior Housing Properties Trust</t>
  </si>
  <si>
    <t>Southern Copper Corp</t>
  </si>
  <si>
    <t>SSE PLC</t>
  </si>
  <si>
    <t>Standard Chartered</t>
  </si>
  <si>
    <t>Ventas Inc</t>
  </si>
  <si>
    <t>Vodafone Group PLC</t>
  </si>
  <si>
    <t>WM Morrison Supermarkets PLC</t>
  </si>
  <si>
    <t>Optimum Fund ČSOB Světové trhy 1</t>
  </si>
  <si>
    <t>ČSOB Světové trhy 1</t>
  </si>
  <si>
    <t>BE6263908368</t>
  </si>
  <si>
    <t>Horizon ČSOB Světový pokrok 1</t>
  </si>
  <si>
    <t>ČSOB Světový pokrok 1</t>
  </si>
  <si>
    <t>BE6264651033</t>
  </si>
  <si>
    <t>Select Investors ČSOB Světový výběr 1</t>
  </si>
  <si>
    <t>ČSOB Světový výběr 1</t>
  </si>
  <si>
    <t>LU1022007568</t>
  </si>
  <si>
    <t>Maximal Invest 99</t>
  </si>
  <si>
    <t>Maximal Invest 100</t>
  </si>
  <si>
    <t>Select Investors ČSOB Life Světových firem Plus 1</t>
  </si>
  <si>
    <t>LU1045111470</t>
  </si>
  <si>
    <t>ČSOB Světových příležitostí 2 (KBC Select investors)</t>
  </si>
  <si>
    <t>Entergy Corp</t>
  </si>
  <si>
    <t>KD8 GY</t>
  </si>
  <si>
    <t>KD8 GY Equity</t>
  </si>
  <si>
    <t>KABEL DEUTSCHLAND HOLDING</t>
  </si>
  <si>
    <t>National Grid</t>
  </si>
  <si>
    <t>SRG IM Equity</t>
  </si>
  <si>
    <t>SRG IM</t>
  </si>
  <si>
    <t>SNAM SPA</t>
  </si>
  <si>
    <t>SREN VX Equity</t>
  </si>
  <si>
    <t>SWISS RE</t>
  </si>
  <si>
    <t>ČSOB Silné firmy 1 (Horizon)</t>
  </si>
  <si>
    <t>LU0994470010/1</t>
  </si>
  <si>
    <t>LU0994470010/2</t>
  </si>
  <si>
    <t>LU0994470010/3</t>
  </si>
  <si>
    <t>LU0994470010/4</t>
  </si>
  <si>
    <t>LU0994470010/5</t>
  </si>
  <si>
    <t>LU0994470010/6</t>
  </si>
  <si>
    <t>LU0994470010/7</t>
  </si>
  <si>
    <t>LU0994470010/8</t>
  </si>
  <si>
    <t>LU0994470010/9</t>
  </si>
  <si>
    <t>LU0994470010/10</t>
  </si>
  <si>
    <t>LU0994470010/11</t>
  </si>
  <si>
    <t>LU0994470010/12</t>
  </si>
  <si>
    <t>LU0994470010/13</t>
  </si>
  <si>
    <t>LU0994470010/14</t>
  </si>
  <si>
    <t>LU0994470010/15</t>
  </si>
  <si>
    <t>LU0994470010/16</t>
  </si>
  <si>
    <t>LU0994470010/17</t>
  </si>
  <si>
    <t>LU0994470010/18</t>
  </si>
  <si>
    <t>BE6260670961/1</t>
  </si>
  <si>
    <t>BE6260670961/2</t>
  </si>
  <si>
    <t>BE6260670961/3</t>
  </si>
  <si>
    <t>BE6260670961/4</t>
  </si>
  <si>
    <t>BE6260670961/5</t>
  </si>
  <si>
    <t>BE6260670961/6</t>
  </si>
  <si>
    <t>BE6260670961/7</t>
  </si>
  <si>
    <t>BE6260670961/8</t>
  </si>
  <si>
    <t>BE6260670961/9</t>
  </si>
  <si>
    <t>BE6260670961/10</t>
  </si>
  <si>
    <t>BE6260670961/11</t>
  </si>
  <si>
    <t>BE6260670961/12</t>
  </si>
  <si>
    <t>BE6260670961/13</t>
  </si>
  <si>
    <t>BE6260670961/14</t>
  </si>
  <si>
    <t>BE6260670961/15</t>
  </si>
  <si>
    <t>BE6260670961/16</t>
  </si>
  <si>
    <t>BE6260670961/17</t>
  </si>
  <si>
    <t>BE6260670961/18</t>
  </si>
  <si>
    <t>CNP UN Equity</t>
  </si>
  <si>
    <t>CNP UN</t>
  </si>
  <si>
    <t>CENTERPOINT ENERGY</t>
  </si>
  <si>
    <t>1878 JT Equity</t>
  </si>
  <si>
    <t>1878 JT</t>
  </si>
  <si>
    <t>DAITO TRUST CONSTRUCT</t>
  </si>
  <si>
    <t>HCP UN Equity</t>
  </si>
  <si>
    <t>HEALTH CARE REIT</t>
  </si>
  <si>
    <t>Snam Spa</t>
  </si>
  <si>
    <t>TeliaSonera AB</t>
  </si>
  <si>
    <t>ČSOB Exclusive Airbag Jumper +2 (Optimum Fund)</t>
  </si>
  <si>
    <t>ČSOB Perspektivních trhů 2 (Optimum Fund)</t>
  </si>
  <si>
    <t>BE6260676059/1</t>
  </si>
  <si>
    <t>BE6260676059/2</t>
  </si>
  <si>
    <t>BE6260676059/3</t>
  </si>
  <si>
    <t>BE6260676059/4</t>
  </si>
  <si>
    <t>BE6260676059/5</t>
  </si>
  <si>
    <t>BE6260676059/6</t>
  </si>
  <si>
    <t>BE6260676059/7</t>
  </si>
  <si>
    <t>BE6260676059/8</t>
  </si>
  <si>
    <t>BE6260676059/9</t>
  </si>
  <si>
    <t>BE6260676059/10</t>
  </si>
  <si>
    <t>BE6260676059/11</t>
  </si>
  <si>
    <t>BE6260676059/12</t>
  </si>
  <si>
    <t>BE6260676059/13</t>
  </si>
  <si>
    <t>BE6260676059/15</t>
  </si>
  <si>
    <t>BE6260676059/16</t>
  </si>
  <si>
    <t>BE6260676059/17</t>
  </si>
  <si>
    <t>BE6260676059/18</t>
  </si>
  <si>
    <t>Select Investors ČSOB Life Světových firem Plus 2</t>
  </si>
  <si>
    <t>Maximal Invest 101</t>
  </si>
  <si>
    <t>LU1061943780</t>
  </si>
  <si>
    <t>Optimum Fund ČSOB Globálních příležitostí USD 1</t>
  </si>
  <si>
    <t>ČSOB Globálních příležitostí USD 1</t>
  </si>
  <si>
    <t>BE6265843316</t>
  </si>
  <si>
    <t>z koše byla vyřazena akcie Arcelor</t>
  </si>
  <si>
    <t>BE6263905331/1</t>
  </si>
  <si>
    <t>BE6263905331/2</t>
  </si>
  <si>
    <t>BE6263905331/3</t>
  </si>
  <si>
    <t>BE6263905331/4</t>
  </si>
  <si>
    <t>BE6263905331/5</t>
  </si>
  <si>
    <t>BE6263905331/6</t>
  </si>
  <si>
    <t>BE6263905331/7</t>
  </si>
  <si>
    <t>BE6263905331/8</t>
  </si>
  <si>
    <t>BE6263905331/9</t>
  </si>
  <si>
    <t>BE6263905331/10</t>
  </si>
  <si>
    <t>BE6263905331/11</t>
  </si>
  <si>
    <t>BE6263905331/12</t>
  </si>
  <si>
    <t>BE6263905331/13</t>
  </si>
  <si>
    <t>BE6263905331/14</t>
  </si>
  <si>
    <t>BE6263905331/15</t>
  </si>
  <si>
    <t>BE6263905331/16</t>
  </si>
  <si>
    <t>BE6263905331/17</t>
  </si>
  <si>
    <t>BE6263905331/18</t>
  </si>
  <si>
    <t>ČSOB Svět s bonusem pivovarů 1 (Horizon)</t>
  </si>
  <si>
    <t>Unilever UK</t>
  </si>
  <si>
    <t>ORA FP</t>
  </si>
  <si>
    <t>ČSOB Svět s high tech bonusem 1</t>
  </si>
  <si>
    <t>Horizon CSOB Svet s High Tech Bonusom 1</t>
  </si>
  <si>
    <t>BE6265486629</t>
  </si>
  <si>
    <t>ČSOB Evropské oživení 1</t>
  </si>
  <si>
    <t>Optimum Fund ČSOB Evropské oživení 1</t>
  </si>
  <si>
    <t>BE6266373768</t>
  </si>
  <si>
    <t>BE6266328317</t>
  </si>
  <si>
    <t>ČSOB Svět s německým bonusem 1</t>
  </si>
  <si>
    <t>Horizon CSOB Svet s Nemeckym Bonusom 1</t>
  </si>
  <si>
    <t>BE6266859774</t>
  </si>
  <si>
    <t>ČSOB Světové trhy 1 (Optimum fund)</t>
  </si>
  <si>
    <t>Price 201406</t>
  </si>
  <si>
    <t>Price 201407</t>
  </si>
  <si>
    <t>Price 201408</t>
  </si>
  <si>
    <t>Price 201409</t>
  </si>
  <si>
    <t>BE6263908368/1</t>
  </si>
  <si>
    <t>BE6263908368/2</t>
  </si>
  <si>
    <t>BE6263908368/3</t>
  </si>
  <si>
    <t>BE6263908368/4</t>
  </si>
  <si>
    <t>BE6263908368/5</t>
  </si>
  <si>
    <t>BE6263908368/6</t>
  </si>
  <si>
    <t>BE6263908368/7</t>
  </si>
  <si>
    <t>BE6263908368/8</t>
  </si>
  <si>
    <t>BE6263908368/9</t>
  </si>
  <si>
    <t>BE6263908368/10</t>
  </si>
  <si>
    <t>BE6263908368/11</t>
  </si>
  <si>
    <t>BE6263908368/12</t>
  </si>
  <si>
    <t>BE6263908368/13</t>
  </si>
  <si>
    <t>BE6263908368/14</t>
  </si>
  <si>
    <t>BE6263908368/15</t>
  </si>
  <si>
    <t>BE6263908368/16</t>
  </si>
  <si>
    <t>BE6263908368/17</t>
  </si>
  <si>
    <t>BE6263908368/18</t>
  </si>
  <si>
    <t>BAE Systems</t>
  </si>
  <si>
    <t>Intel</t>
  </si>
  <si>
    <t>Select Investors ČSOB Life Světových firem Plus 3</t>
  </si>
  <si>
    <t>ČSOB Life Světových firem +1</t>
  </si>
  <si>
    <t>ČSOB Life Světových firem +2</t>
  </si>
  <si>
    <t>ČSOB Life Světových firem +3</t>
  </si>
  <si>
    <t>LU1081743665</t>
  </si>
  <si>
    <t>Maximal Invest 102</t>
  </si>
  <si>
    <t>Optimum Fund ČSOB Exclusive Airbag Jumper +3</t>
  </si>
  <si>
    <t>ČSOB Exclusive Airbag Jumper +3</t>
  </si>
  <si>
    <t>Optimum Fund ČSOB Exclusive Airbag Jumper +4</t>
  </si>
  <si>
    <t>ČSOB Exclusive Airbag Jumper +4</t>
  </si>
  <si>
    <t>BE6269228217</t>
  </si>
  <si>
    <t>Global Partners ČSOB Světových příležitostí 3</t>
  </si>
  <si>
    <t>ČSOB Světových příležitostí 3</t>
  </si>
  <si>
    <t>LU1070113318</t>
  </si>
  <si>
    <t>Optimum Fund ČSOB Airbag Jumper EUR 3</t>
  </si>
  <si>
    <t>ČSOB Airbag Jumper EUR 3</t>
  </si>
  <si>
    <t>BE6269229223</t>
  </si>
  <si>
    <t>ČSOB Life Světových firem +2 (KBC Select investors)</t>
  </si>
  <si>
    <t>Centrica PLC</t>
  </si>
  <si>
    <t>ENAGAS</t>
  </si>
  <si>
    <t>ENG SQ Equity</t>
  </si>
  <si>
    <t>ENG SQ</t>
  </si>
  <si>
    <t>SAMPO OYJ</t>
  </si>
  <si>
    <t>UL NA Equity</t>
  </si>
  <si>
    <t>žádná akcie nebyla vyřazena</t>
  </si>
  <si>
    <t>ČSOB Světový expres 1</t>
  </si>
  <si>
    <t>Optimum Fund ČSOB Světový expres 1</t>
  </si>
  <si>
    <t>BE6269781892</t>
  </si>
  <si>
    <t>Maximal Invest 103</t>
  </si>
  <si>
    <t>ČSOB Life Nová infrastruktura 1</t>
  </si>
  <si>
    <t>Select Investors ČSOB Nová infrastruktura 1</t>
  </si>
  <si>
    <t>LU1103453137</t>
  </si>
  <si>
    <t>ve druhém období byla vyřazena akcie Koninklijke KPN NV</t>
  </si>
  <si>
    <t>ve třetím období byla vyřazena akcie Orange</t>
  </si>
  <si>
    <t>SXXP Index</t>
  </si>
  <si>
    <t>STOXX EUROPE 600</t>
  </si>
  <si>
    <t>Stoxx Europe 600</t>
  </si>
  <si>
    <t>Strike</t>
  </si>
  <si>
    <t>BE6261089302/1</t>
  </si>
  <si>
    <t>BE6261089302/2</t>
  </si>
  <si>
    <t>BE6261089302/3</t>
  </si>
  <si>
    <t>BE6261089302/4</t>
  </si>
  <si>
    <t>BE6261089302/5</t>
  </si>
  <si>
    <t>BE6261089302/6</t>
  </si>
  <si>
    <t>BE6261089302/7</t>
  </si>
  <si>
    <t>BE6261089302/8</t>
  </si>
  <si>
    <t>BE6261089302/9</t>
  </si>
  <si>
    <t>BE6261089302/10</t>
  </si>
  <si>
    <t>BE6261089302/11</t>
  </si>
  <si>
    <t>BE6261089302/12</t>
  </si>
  <si>
    <t>BE6261089302/13</t>
  </si>
  <si>
    <t>BE6261089302/14</t>
  </si>
  <si>
    <t>BE6261089302/15</t>
  </si>
  <si>
    <t>BE6261089302/16</t>
  </si>
  <si>
    <t>BE6261089302/17</t>
  </si>
  <si>
    <t>BE6261089302/18</t>
  </si>
  <si>
    <t>ČSOB Evropa 1 (Optimum Fund)</t>
  </si>
  <si>
    <t>ČSOB PB Enhanced World Selection 1 (Optimum fund)</t>
  </si>
  <si>
    <t>Price 201405</t>
  </si>
  <si>
    <t>BE6261972408/1</t>
  </si>
  <si>
    <t>BE6261972408/2</t>
  </si>
  <si>
    <t>BE6261972408/3</t>
  </si>
  <si>
    <t>BE6261972408/4</t>
  </si>
  <si>
    <t>BE6261972408/5</t>
  </si>
  <si>
    <t>BE6261972408/6</t>
  </si>
  <si>
    <t>BE6261972408/7</t>
  </si>
  <si>
    <t>BE6261972408/8</t>
  </si>
  <si>
    <t>BE6261972408/9</t>
  </si>
  <si>
    <t>BE6261972408/10</t>
  </si>
  <si>
    <t>BE6261972408/11</t>
  </si>
  <si>
    <t>BE6261972408/12</t>
  </si>
  <si>
    <t>BE6261972408/13</t>
  </si>
  <si>
    <t>BE6261972408/14</t>
  </si>
  <si>
    <t>BE6261972408/15</t>
  </si>
  <si>
    <t>BE6261972408/16</t>
  </si>
  <si>
    <t>BE6261972408/17</t>
  </si>
  <si>
    <t>BE6261972408/18</t>
  </si>
  <si>
    <t>American Electric Power Co Inc</t>
  </si>
  <si>
    <t>Bank of Montreal (CT)</t>
  </si>
  <si>
    <t>British Sky Broadcasting</t>
  </si>
  <si>
    <t>Canadian Imperial Bank of Comm (CT)</t>
  </si>
  <si>
    <t>Daito Trust Construct Ltd</t>
  </si>
  <si>
    <t>Eni SpA (IM)</t>
  </si>
  <si>
    <t>HCP Inc</t>
  </si>
  <si>
    <t>Health Care Reit Inc</t>
  </si>
  <si>
    <t>Muenchener Rueckversicherungs (GY)</t>
  </si>
  <si>
    <t>Roche Holding AG</t>
  </si>
  <si>
    <t>Statoil ASA</t>
  </si>
  <si>
    <t>Sysco Corporation</t>
  </si>
  <si>
    <t>The Toronto-Dominion Bank (CT)</t>
  </si>
  <si>
    <t>Zürich Financial Services AG</t>
  </si>
  <si>
    <t>ČSOB Perspektivních trhů 3 (Optimum Fund)</t>
  </si>
  <si>
    <t>BE6261937054/1</t>
  </si>
  <si>
    <t>BE6261937054/2</t>
  </si>
  <si>
    <t>BE6261937054/3</t>
  </si>
  <si>
    <t>BE6261937054/4</t>
  </si>
  <si>
    <t>BE6261937054/5</t>
  </si>
  <si>
    <t>BE6261937054/6</t>
  </si>
  <si>
    <t>BE6261937054/7</t>
  </si>
  <si>
    <t>BE6261937054/8</t>
  </si>
  <si>
    <t>BE6261937054/9</t>
  </si>
  <si>
    <t>BE6261937054/10</t>
  </si>
  <si>
    <t>BE6261937054/11</t>
  </si>
  <si>
    <t>BE6261937054/12</t>
  </si>
  <si>
    <t>BE6261937054/13</t>
  </si>
  <si>
    <t>BE6261937054/14</t>
  </si>
  <si>
    <t>BE6261937054/15</t>
  </si>
  <si>
    <t>BE6261937054/16</t>
  </si>
  <si>
    <t>BE6261937054/17</t>
  </si>
  <si>
    <t>BE6261937054/18</t>
  </si>
  <si>
    <t>ČSOB Svět a pivní prémie 1 (Optimum Fund)</t>
  </si>
  <si>
    <t>BE6262449323/1</t>
  </si>
  <si>
    <t>BE6262449323/2</t>
  </si>
  <si>
    <t>BE6262449323/3</t>
  </si>
  <si>
    <t>BE6262449323/4</t>
  </si>
  <si>
    <t>BE6262449323/5</t>
  </si>
  <si>
    <t>BE6262449323/6</t>
  </si>
  <si>
    <t>BE6262449323/7</t>
  </si>
  <si>
    <t>BE6262449323/8</t>
  </si>
  <si>
    <t>BE6262449323/9</t>
  </si>
  <si>
    <t>BE6262449323/10</t>
  </si>
  <si>
    <t>BE6262449323/11</t>
  </si>
  <si>
    <t>BE6262449323/12</t>
  </si>
  <si>
    <t>BE6262449323/13</t>
  </si>
  <si>
    <t>BE6262449323/14</t>
  </si>
  <si>
    <t>BE6262449323/15</t>
  </si>
  <si>
    <t>BE6262449323/16</t>
  </si>
  <si>
    <t>BE6262449323/17</t>
  </si>
  <si>
    <t>BE6262449323/18</t>
  </si>
  <si>
    <t>FREEPORT-MCMORAN COPPER</t>
  </si>
  <si>
    <t>FCX UN</t>
  </si>
  <si>
    <t>FCX UN Equity</t>
  </si>
  <si>
    <t>GAZPROM</t>
  </si>
  <si>
    <t>OGZD LI Equity</t>
  </si>
  <si>
    <t>OGZD LI</t>
  </si>
  <si>
    <t>VALE UN Equity</t>
  </si>
  <si>
    <t>VALE UN</t>
  </si>
  <si>
    <t>VALE</t>
  </si>
  <si>
    <t>WRT AT Equity</t>
  </si>
  <si>
    <t>WRT AT</t>
  </si>
  <si>
    <t>WESTFIELD RETAIL TRUST</t>
  </si>
  <si>
    <t>ČSOB Světový pokrok 1 (Horizon)</t>
  </si>
  <si>
    <t>BE6264651033/1</t>
  </si>
  <si>
    <t>BE6264651033/2</t>
  </si>
  <si>
    <t>BE6264651033/3</t>
  </si>
  <si>
    <t>BE6264651033/4</t>
  </si>
  <si>
    <t>BE6264651033/5</t>
  </si>
  <si>
    <t>BE6264651033/6</t>
  </si>
  <si>
    <t>BE6264651033/7</t>
  </si>
  <si>
    <t>BE6264651033/8</t>
  </si>
  <si>
    <t>BE6264651033/9</t>
  </si>
  <si>
    <t>BE6264651033/10</t>
  </si>
  <si>
    <t>BE6264651033/11</t>
  </si>
  <si>
    <t>BE6264651033/12</t>
  </si>
  <si>
    <t>GFS LN Equity</t>
  </si>
  <si>
    <t>GFS LN</t>
  </si>
  <si>
    <t>G4S PLC</t>
  </si>
  <si>
    <t>LU1061943780/1</t>
  </si>
  <si>
    <t>LU1061943780/2</t>
  </si>
  <si>
    <t>LU1061943780/3</t>
  </si>
  <si>
    <t>LU1061943780/4</t>
  </si>
  <si>
    <t>LU1061943780/5</t>
  </si>
  <si>
    <t>LU1061943780/6</t>
  </si>
  <si>
    <t>LU1061943780/7</t>
  </si>
  <si>
    <t>LU1061943780/8</t>
  </si>
  <si>
    <t>LU1061943780/9</t>
  </si>
  <si>
    <t>LU1061943780/10</t>
  </si>
  <si>
    <t>LU1061943780/11</t>
  </si>
  <si>
    <t>LU1061943780/12</t>
  </si>
  <si>
    <t>LU1061943780/13</t>
  </si>
  <si>
    <t>LU1061943780/14</t>
  </si>
  <si>
    <t>LU1061943780/15</t>
  </si>
  <si>
    <t>LU1061943780/16</t>
  </si>
  <si>
    <t>LU1061943780/17</t>
  </si>
  <si>
    <t>LU1061943780/18</t>
  </si>
  <si>
    <t>BE6266373768/1</t>
  </si>
  <si>
    <t>BE6266373768/2</t>
  </si>
  <si>
    <t>BE6266373768/3</t>
  </si>
  <si>
    <t>BE6266373768/4</t>
  </si>
  <si>
    <t>BE6266373768/5</t>
  </si>
  <si>
    <t>BE6266373768/6</t>
  </si>
  <si>
    <t>BE6266373768/7</t>
  </si>
  <si>
    <t>BE6266373768/8</t>
  </si>
  <si>
    <t>BE6266373768/9</t>
  </si>
  <si>
    <t>BE6266373768/10</t>
  </si>
  <si>
    <t>BE6266373768/11</t>
  </si>
  <si>
    <t>BE6266373768/12</t>
  </si>
  <si>
    <t>BE6266373768/13</t>
  </si>
  <si>
    <t>BE6266373768/14</t>
  </si>
  <si>
    <t>BE6266373768/15</t>
  </si>
  <si>
    <t>BE6266373768/16</t>
  </si>
  <si>
    <t>BE6266373768/17</t>
  </si>
  <si>
    <t>BE6266373768/18</t>
  </si>
  <si>
    <t>ČSOB Evropské oživení 1 (Optimum Fund)</t>
  </si>
  <si>
    <t>CCL LN Equity</t>
  </si>
  <si>
    <t>CCL LN</t>
  </si>
  <si>
    <t>CARNIVAL PLC</t>
  </si>
  <si>
    <t>EZJ LN Equity</t>
  </si>
  <si>
    <t>EZJ LN</t>
  </si>
  <si>
    <t>EASYJET PLC</t>
  </si>
  <si>
    <t>KER FP Equity</t>
  </si>
  <si>
    <t>KER FP</t>
  </si>
  <si>
    <t>KERING</t>
  </si>
  <si>
    <t>SWEDISH MATCH</t>
  </si>
  <si>
    <t>Horizon CSOB Svet s Bonusom Rodina 1</t>
  </si>
  <si>
    <t>ČSOB Svět s bonusem rodina 1</t>
  </si>
  <si>
    <t>BE6270462912</t>
  </si>
  <si>
    <t>ČSOB Světových příležitostí 4</t>
  </si>
  <si>
    <t>Optimum Fund ČSOB Světových příležitostí 4</t>
  </si>
  <si>
    <t>BE6270464934</t>
  </si>
  <si>
    <t>ČSOB Fixovaný click USD 4</t>
  </si>
  <si>
    <t>Global Partners ČSOB Fixovaný click USD 4</t>
  </si>
  <si>
    <t>LU1109640059</t>
  </si>
  <si>
    <t>ČSOB Exclusive Airbag Jumper +3 (Optimum Fund)</t>
  </si>
  <si>
    <t>Optimum Fund ČSOB Exclusive Airbag Jumper +5</t>
  </si>
  <si>
    <t>ČSOB Exclusive Airbag Jumper +5</t>
  </si>
  <si>
    <t>BE6271895698</t>
  </si>
  <si>
    <t>ČSOB Exclusive Airbag Jumper +4 (Optimum Fund)</t>
  </si>
  <si>
    <t>ČSOB Airbag Jumper EUR 3 (Optimum Fund)</t>
  </si>
  <si>
    <t>LU1022007568/1</t>
  </si>
  <si>
    <t>LU1022007568/2</t>
  </si>
  <si>
    <t>LU1022007568/3</t>
  </si>
  <si>
    <t>LU1022007568/4</t>
  </si>
  <si>
    <t>LU1022007568/5</t>
  </si>
  <si>
    <t>LU1022007568/6</t>
  </si>
  <si>
    <t>LU1022007568/7</t>
  </si>
  <si>
    <t>LU1022007568/8</t>
  </si>
  <si>
    <t>LU1022007568/9</t>
  </si>
  <si>
    <t>LU1022007568/10</t>
  </si>
  <si>
    <t>LU1022007568/11</t>
  </si>
  <si>
    <t>LU1022007568/12</t>
  </si>
  <si>
    <t>LU1022007568/13</t>
  </si>
  <si>
    <t>LU1022007568/14</t>
  </si>
  <si>
    <t>LU1022007568/15</t>
  </si>
  <si>
    <t>LU1022007568/16</t>
  </si>
  <si>
    <t>LU1022007568/17</t>
  </si>
  <si>
    <t>LU1022007568/18</t>
  </si>
  <si>
    <t>ČSOB Světový výběr 1 (KBC Select investors)</t>
  </si>
  <si>
    <t>LU1045111470/1</t>
  </si>
  <si>
    <t>LU1045111470/2</t>
  </si>
  <si>
    <t>LU1045111470/3</t>
  </si>
  <si>
    <t>LU1045111470/4</t>
  </si>
  <si>
    <t>LU1045111470/5</t>
  </si>
  <si>
    <t>LU1045111470/6</t>
  </si>
  <si>
    <t>LU1045111470/7</t>
  </si>
  <si>
    <t>LU1045111470/8</t>
  </si>
  <si>
    <t>LU1045111470/9</t>
  </si>
  <si>
    <t>LU1045111470/10</t>
  </si>
  <si>
    <t>LU1045111470/11</t>
  </si>
  <si>
    <t>LU1045111470/12</t>
  </si>
  <si>
    <t>LU1045111470/13</t>
  </si>
  <si>
    <t>LU1045111470/14</t>
  </si>
  <si>
    <t>LU1045111470/15</t>
  </si>
  <si>
    <t>LU1045111470/16</t>
  </si>
  <si>
    <t>LU1045111470/17</t>
  </si>
  <si>
    <t>LU1045111470/18</t>
  </si>
  <si>
    <t>ČSOB Life Světových firem +1 (KBC Select investors)</t>
  </si>
  <si>
    <t>ČSOB Globálních příležitostí USD 1 (Optimum Fund)</t>
  </si>
  <si>
    <t>BE6265843316/1</t>
  </si>
  <si>
    <t>BE6265843316/2</t>
  </si>
  <si>
    <t>BE6265843316/3</t>
  </si>
  <si>
    <t>BE6265843316/4</t>
  </si>
  <si>
    <t>BE6265843316/5</t>
  </si>
  <si>
    <t>BE6265843316/6</t>
  </si>
  <si>
    <t>BE6265843316/7</t>
  </si>
  <si>
    <t>BE6265843316/8</t>
  </si>
  <si>
    <t>BE6265843316/9</t>
  </si>
  <si>
    <t>BE6265843316/10</t>
  </si>
  <si>
    <t>BE6265843316/11</t>
  </si>
  <si>
    <t>BE6265843316/12</t>
  </si>
  <si>
    <t>BE6265843316/13</t>
  </si>
  <si>
    <t>BE6265843316/14</t>
  </si>
  <si>
    <t>BE6265843316/15</t>
  </si>
  <si>
    <t>BE6265843316/16</t>
  </si>
  <si>
    <t>BE6265843316/17</t>
  </si>
  <si>
    <t>BE6265843316/18</t>
  </si>
  <si>
    <t>SKAND ENSKILDA</t>
  </si>
  <si>
    <t>SEBA SS Equity</t>
  </si>
  <si>
    <t>SEBA SS</t>
  </si>
  <si>
    <t>SVENSKA HANDELSBANKEN</t>
  </si>
  <si>
    <t>SHBA SS Equity</t>
  </si>
  <si>
    <t>SHBA SS</t>
  </si>
  <si>
    <t>HCP INC</t>
  </si>
  <si>
    <t>ČSOB Svět s high tech bonusem 1 (Horizon)</t>
  </si>
  <si>
    <t>BE6265486629/1</t>
  </si>
  <si>
    <t>BE6265486629/2</t>
  </si>
  <si>
    <t>BE6265486629/3</t>
  </si>
  <si>
    <t>BE6265486629/4</t>
  </si>
  <si>
    <t>BE6265486629/5</t>
  </si>
  <si>
    <t>BE6265486629/6</t>
  </si>
  <si>
    <t>BE6265486629/7</t>
  </si>
  <si>
    <t>BE6265486629/8</t>
  </si>
  <si>
    <t>BE6265486629/9</t>
  </si>
  <si>
    <t>BE6265486629/10</t>
  </si>
  <si>
    <t>BE6265486629/11</t>
  </si>
  <si>
    <t>BE6265486629/12</t>
  </si>
  <si>
    <t>BE6265486629/13</t>
  </si>
  <si>
    <t>BE6265486629/14</t>
  </si>
  <si>
    <t>BE6265486629/15</t>
  </si>
  <si>
    <t>BE6265486629/16</t>
  </si>
  <si>
    <t>BE6265486629/17</t>
  </si>
  <si>
    <t>BE6265486629/18</t>
  </si>
  <si>
    <t>AAPL UW Equity</t>
  </si>
  <si>
    <t>APPLE INC</t>
  </si>
  <si>
    <t>EBAY UW Equity</t>
  </si>
  <si>
    <t>EBAY UW</t>
  </si>
  <si>
    <t>EBAY INC</t>
  </si>
  <si>
    <t>GOOG UW Equity</t>
  </si>
  <si>
    <t>ORCL UN</t>
  </si>
  <si>
    <t>ORCL UN Equity</t>
  </si>
  <si>
    <t>QCOM UW Equity</t>
  </si>
  <si>
    <t>QUALCOMM</t>
  </si>
  <si>
    <t>ČSOB Svět s německým bonusem 1 (Horizon)</t>
  </si>
  <si>
    <t>QCOM UW</t>
  </si>
  <si>
    <t>ADECCO</t>
  </si>
  <si>
    <t>BE6266859774/1</t>
  </si>
  <si>
    <t>BE6266859774/2</t>
  </si>
  <si>
    <t>BE6266859774/3</t>
  </si>
  <si>
    <t>BE6266859774/4</t>
  </si>
  <si>
    <t>BE6266859774/5</t>
  </si>
  <si>
    <t>BE6266859774/6</t>
  </si>
  <si>
    <t>BE6266859774/7</t>
  </si>
  <si>
    <t>BE6266859774/8</t>
  </si>
  <si>
    <t>BE6266859774/9</t>
  </si>
  <si>
    <t>BE6266859774/10</t>
  </si>
  <si>
    <t>BE6266859774/11</t>
  </si>
  <si>
    <t>BE6266859774/12</t>
  </si>
  <si>
    <t>BE6266859774/13</t>
  </si>
  <si>
    <t>BE6266859774/14</t>
  </si>
  <si>
    <t>BE6266859774/15</t>
  </si>
  <si>
    <t>BE6266859774/16</t>
  </si>
  <si>
    <t>BE6266859774/17</t>
  </si>
  <si>
    <t>BE6266859774/18</t>
  </si>
  <si>
    <t>ČSOB Life Světových firem +3 (KBC Select investors)</t>
  </si>
  <si>
    <t>LU1081743665/1</t>
  </si>
  <si>
    <t>LU1081743665/2</t>
  </si>
  <si>
    <t>LU1081743665/3</t>
  </si>
  <si>
    <t>LU1081743665/4</t>
  </si>
  <si>
    <t>LU1081743665/5</t>
  </si>
  <si>
    <t>LU1081743665/6</t>
  </si>
  <si>
    <t>LU1081743665/7</t>
  </si>
  <si>
    <t>LU1081743665/8</t>
  </si>
  <si>
    <t>LU1081743665/9</t>
  </si>
  <si>
    <t>LU1081743665/10</t>
  </si>
  <si>
    <t>LU1081743665/11</t>
  </si>
  <si>
    <t>LU1081743665/12</t>
  </si>
  <si>
    <t>LU1081743665/13</t>
  </si>
  <si>
    <t>LU1081743665/14</t>
  </si>
  <si>
    <t>LU1081743665/15</t>
  </si>
  <si>
    <t>LU1081743665/16</t>
  </si>
  <si>
    <t>LU1081743665/17</t>
  </si>
  <si>
    <t>LU1081743665/18</t>
  </si>
  <si>
    <t>ČSOB Světových příležitostí 3 (Global Partners)</t>
  </si>
  <si>
    <t>BAYTEX ENERGY CORP</t>
  </si>
  <si>
    <t>BTE CT Equity</t>
  </si>
  <si>
    <t>BTE CT</t>
  </si>
  <si>
    <t>LU1070113318/1</t>
  </si>
  <si>
    <t>LU1070113318/2</t>
  </si>
  <si>
    <t>LU1070113318/3</t>
  </si>
  <si>
    <t>LU1070113318/4</t>
  </si>
  <si>
    <t>LU1070113318/5</t>
  </si>
  <si>
    <t>LU1070113318/6</t>
  </si>
  <si>
    <t>LU1070113318/7</t>
  </si>
  <si>
    <t>LU1070113318/8</t>
  </si>
  <si>
    <t>LU1070113318/9</t>
  </si>
  <si>
    <t>LU1070113318/10</t>
  </si>
  <si>
    <t>LU1070113318/11</t>
  </si>
  <si>
    <t>LU1070113318/12</t>
  </si>
  <si>
    <t>LU1070113318/13</t>
  </si>
  <si>
    <t>LU1070113318/14</t>
  </si>
  <si>
    <t>LU1070113318/15</t>
  </si>
  <si>
    <t>LU1070113318/16</t>
  </si>
  <si>
    <t>LU1070113318/17</t>
  </si>
  <si>
    <t>LU1070113318/18</t>
  </si>
  <si>
    <t>click za období</t>
  </si>
  <si>
    <t>Optimum Fund ČSOB Světový expres 2</t>
  </si>
  <si>
    <t>Select Investors ČSOB Světový výběr 2</t>
  </si>
  <si>
    <t>BE6271898726</t>
  </si>
  <si>
    <t>ČSOB Světový expres 2</t>
  </si>
  <si>
    <t>Maximal Invest 104</t>
  </si>
  <si>
    <t>ČSOB Světový výběr 2</t>
  </si>
  <si>
    <t>LU1123732924</t>
  </si>
  <si>
    <t>minimální click</t>
  </si>
  <si>
    <t>výnos v období</t>
  </si>
  <si>
    <t>Optimum Fund ČSOB Velkých firem 1</t>
  </si>
  <si>
    <t>ČSOB Velkých firem 1</t>
  </si>
  <si>
    <t>BE6272689876</t>
  </si>
  <si>
    <t>BE6269781892/1</t>
  </si>
  <si>
    <t>BE6269781892/2</t>
  </si>
  <si>
    <t>BE6269781892/3</t>
  </si>
  <si>
    <t>BE6269781892/4</t>
  </si>
  <si>
    <t>BE6269781892/5</t>
  </si>
  <si>
    <t>BE6269781892/6</t>
  </si>
  <si>
    <t>BE6269781892/7</t>
  </si>
  <si>
    <t>BE6269781892/8</t>
  </si>
  <si>
    <t>BE6269781892/9</t>
  </si>
  <si>
    <t>BE6269781892/10</t>
  </si>
  <si>
    <t>BE6269781892/11</t>
  </si>
  <si>
    <t>BE6269781892/12</t>
  </si>
  <si>
    <t>BE6269781892/13</t>
  </si>
  <si>
    <t>BE6269781892/14</t>
  </si>
  <si>
    <t>BE6269781892/15</t>
  </si>
  <si>
    <t>BE6269781892/16</t>
  </si>
  <si>
    <t>BE6269781892/17</t>
  </si>
  <si>
    <t>BE6269781892/18</t>
  </si>
  <si>
    <t>ČSOB Světový expres 1 (Optimum Fund)</t>
  </si>
  <si>
    <t>Pozorování</t>
  </si>
  <si>
    <t>Průměr zavíracích cen akcií za prvních 5 obchodních dní v listopadu v letech:</t>
  </si>
  <si>
    <t>ČSOB,Privátní banka</t>
  </si>
  <si>
    <t>KBC Select investors ČSOB Fixovaný click 23</t>
  </si>
  <si>
    <t>Optimum Fund ČSOB Dobrý start 1</t>
  </si>
  <si>
    <t>ČSOB Dobrý start 1</t>
  </si>
  <si>
    <t>BE6274498532</t>
  </si>
  <si>
    <t>Select Investors ČSOB Výběr světových akcií 1</t>
  </si>
  <si>
    <t>ČSOB Výběr světových akcií 1</t>
  </si>
  <si>
    <t>LU1147753476</t>
  </si>
  <si>
    <t>Optimum Fund CSOB Airbag Jumper EUR 5</t>
  </si>
  <si>
    <t>ČSOB Airbag Jumper EUR 5</t>
  </si>
  <si>
    <t>BE6274495504</t>
  </si>
  <si>
    <t>počáteční h.</t>
  </si>
  <si>
    <t>konečná h.</t>
  </si>
  <si>
    <t>ČSOB Světového růstu+ 1 (Fund Partners)</t>
  </si>
  <si>
    <t>Maximální výnos do splatnosti</t>
  </si>
  <si>
    <t>výnos do splatnosti u násobení/dělení</t>
  </si>
  <si>
    <t>výnos dělen</t>
  </si>
  <si>
    <t>výnos násoben</t>
  </si>
  <si>
    <t>koeficient násobení/dělení</t>
  </si>
  <si>
    <t>fond dělil</t>
  </si>
  <si>
    <t>12.2011</t>
  </si>
  <si>
    <t>12.2012</t>
  </si>
  <si>
    <t>06.2014</t>
  </si>
  <si>
    <t>07.2011</t>
  </si>
  <si>
    <t>08.2011</t>
  </si>
  <si>
    <t>08.2012</t>
  </si>
  <si>
    <t>08.2013</t>
  </si>
  <si>
    <t>08.2014</t>
  </si>
  <si>
    <t>08.2015</t>
  </si>
  <si>
    <t>180.2015</t>
  </si>
  <si>
    <t>UBS US Equity</t>
  </si>
  <si>
    <t>UBS US</t>
  </si>
  <si>
    <t>aktuální /průměrná hodnota</t>
  </si>
  <si>
    <t>ČSOB Exclusive Airbag Jumper +6</t>
  </si>
  <si>
    <t>Optimum Fund ČSOB Exclusive Airbag Jumper +6</t>
  </si>
  <si>
    <t>BE6275114872</t>
  </si>
  <si>
    <t>BE6275587754</t>
  </si>
  <si>
    <t>ČSOB Schody k úspěchu 1</t>
  </si>
  <si>
    <t>Optimum Fund ČSOB Schody k úspěchu 1</t>
  </si>
  <si>
    <t>ČSOB Globální oživení 1</t>
  </si>
  <si>
    <t>Optimum Fund ČSOB Globální oživení 1</t>
  </si>
  <si>
    <t>BE6275415972</t>
  </si>
  <si>
    <t>ČSOB Life Zlatý střed 1</t>
  </si>
  <si>
    <t>Select Investors ČSOB Life Zlatý střed 1</t>
  </si>
  <si>
    <t>SKY LN Equity</t>
  </si>
  <si>
    <t>SKY UK LIMITED</t>
  </si>
  <si>
    <t>porovnání s počátkem období pro rozhodnutí o navýšení ochrany</t>
  </si>
  <si>
    <t>Nárůst koše 2. období</t>
  </si>
  <si>
    <t>Změna koše 1. období</t>
  </si>
  <si>
    <t>KMI UN Equity</t>
  </si>
  <si>
    <t>KMI UN</t>
  </si>
  <si>
    <t>KINDER MORGAN</t>
  </si>
  <si>
    <t>OLD MUTUAL</t>
  </si>
  <si>
    <t>OML LN Equity</t>
  </si>
  <si>
    <t>OML LN</t>
  </si>
  <si>
    <t>ČSOB Velkých firem 1 (Optimum Fund)</t>
  </si>
  <si>
    <t>BE6272689876/1</t>
  </si>
  <si>
    <t>BE6272689876/2</t>
  </si>
  <si>
    <t>BE6272689876/3</t>
  </si>
  <si>
    <t>BE6272689876/4</t>
  </si>
  <si>
    <t>BE6272689876/5</t>
  </si>
  <si>
    <t>BE6272689876/6</t>
  </si>
  <si>
    <t>BE6272689876/7</t>
  </si>
  <si>
    <t>BE6272689876/8</t>
  </si>
  <si>
    <t>BE6272689876/9</t>
  </si>
  <si>
    <t>BE6272689876/10</t>
  </si>
  <si>
    <t>BE6272689876/11</t>
  </si>
  <si>
    <t>BE6272689876/12</t>
  </si>
  <si>
    <t>BE6272689876/13</t>
  </si>
  <si>
    <t>BE6272689876/14</t>
  </si>
  <si>
    <t>BE6272689876/15</t>
  </si>
  <si>
    <t>BE6272689876/16</t>
  </si>
  <si>
    <t>BE6272689876/17</t>
  </si>
  <si>
    <t>BE6272689876/18</t>
  </si>
  <si>
    <t>GAS SQ Equity</t>
  </si>
  <si>
    <t>INTC UW Equity</t>
  </si>
  <si>
    <t>TEF SQ Equity</t>
  </si>
  <si>
    <t>HNZ UN CASH</t>
  </si>
  <si>
    <t>IPR LN CASH</t>
  </si>
  <si>
    <t>WFD AT Equity</t>
  </si>
  <si>
    <t>UL NA</t>
  </si>
  <si>
    <t>ORANGE POLSKA</t>
  </si>
  <si>
    <t>Horizon ČSOB Stredny vyber 1</t>
  </si>
  <si>
    <t>ČSOB Střední výběr 1</t>
  </si>
  <si>
    <t>BE6276289012</t>
  </si>
  <si>
    <t>REP SQ Equity</t>
  </si>
  <si>
    <t>KONE OYJ</t>
  </si>
  <si>
    <t>KNEBV FH Equity</t>
  </si>
  <si>
    <t>KNEBV FH</t>
  </si>
  <si>
    <t>KONINKLIJKE VOPAK</t>
  </si>
  <si>
    <t>VPK NA Equity</t>
  </si>
  <si>
    <t>VPK NA</t>
  </si>
  <si>
    <t>SKANSKA AB</t>
  </si>
  <si>
    <t>SKAB SS Equity</t>
  </si>
  <si>
    <t>SKAB SS</t>
  </si>
  <si>
    <t>ČSOB Life Nová infrastruktura 1 (KBC Select investors)</t>
  </si>
  <si>
    <t>LU1103453137/1</t>
  </si>
  <si>
    <t>LU1103453137/2</t>
  </si>
  <si>
    <t>LU1103453137/3</t>
  </si>
  <si>
    <t>LU1103453137/4</t>
  </si>
  <si>
    <t>LU1103453137/5</t>
  </si>
  <si>
    <t>LU1103453137/6</t>
  </si>
  <si>
    <t>LU1103453137/7</t>
  </si>
  <si>
    <t>LU1103453137/8</t>
  </si>
  <si>
    <t>LU1103453137/9</t>
  </si>
  <si>
    <t>LU1103453137/10</t>
  </si>
  <si>
    <t>LU1103453137/11</t>
  </si>
  <si>
    <t>LU1103453137/12</t>
  </si>
  <si>
    <t>LU1103453137/13</t>
  </si>
  <si>
    <t>LU1103453137/14</t>
  </si>
  <si>
    <t>LU1103453137/15</t>
  </si>
  <si>
    <t>LU1103453137/16</t>
  </si>
  <si>
    <t>LU1103453137/17</t>
  </si>
  <si>
    <t>LU1103453137/18</t>
  </si>
  <si>
    <t>SPECTRA ENEGRY</t>
  </si>
  <si>
    <t>WEST JAPAN RAILWAY</t>
  </si>
  <si>
    <t>9021 JT Equity</t>
  </si>
  <si>
    <t>MAT UW Equity</t>
  </si>
  <si>
    <t>MAT UW</t>
  </si>
  <si>
    <t>MATTEL INC</t>
  </si>
  <si>
    <t>CAIXABANK</t>
  </si>
  <si>
    <t>CABK SQ Equity</t>
  </si>
  <si>
    <t>CABK SQ</t>
  </si>
  <si>
    <t>ČSOB Svět s bonusem rodina 1 (Horizon)</t>
  </si>
  <si>
    <t>ČSOB Světových příležitostí 4 (Optimum Fund)</t>
  </si>
  <si>
    <t>BE6270464934/1</t>
  </si>
  <si>
    <t>BE6270464934/2</t>
  </si>
  <si>
    <t>BE6270464934/3</t>
  </si>
  <si>
    <t>BE6270464934/4</t>
  </si>
  <si>
    <t>BE6270464934/5</t>
  </si>
  <si>
    <t>BE6270464934/6</t>
  </si>
  <si>
    <t>BE6270464934/7</t>
  </si>
  <si>
    <t>BE6270464934/8</t>
  </si>
  <si>
    <t>BE6270464934/9</t>
  </si>
  <si>
    <t>BE6270464934/10</t>
  </si>
  <si>
    <t>BE6270464934/11</t>
  </si>
  <si>
    <t>BE6270464934/12</t>
  </si>
  <si>
    <t>BE6270464934/13</t>
  </si>
  <si>
    <t>BE6270464934/14</t>
  </si>
  <si>
    <t>BE6270464934/15</t>
  </si>
  <si>
    <t>BE6270464934/16</t>
  </si>
  <si>
    <t>BE6270464934/17</t>
  </si>
  <si>
    <t>BE6270464934/18</t>
  </si>
  <si>
    <t>AMERICAN CAPITAL AGENCY</t>
  </si>
  <si>
    <t>AOZORA BANK</t>
  </si>
  <si>
    <t>8304 JT Equity</t>
  </si>
  <si>
    <t>8304 JT</t>
  </si>
  <si>
    <t>FRONTIER COMMUNICATIONS</t>
  </si>
  <si>
    <t>SES SA</t>
  </si>
  <si>
    <t>SESG FP Equity</t>
  </si>
  <si>
    <t>SESG FP</t>
  </si>
  <si>
    <t>TELE DANMARK</t>
  </si>
  <si>
    <t>TDC DC Equity</t>
  </si>
  <si>
    <t>TDC DC</t>
  </si>
  <si>
    <t>ČSOB Fixovaný click USD 4 (Global Partners)</t>
  </si>
  <si>
    <t>LU1109640059/1</t>
  </si>
  <si>
    <t>LU1109640059/2</t>
  </si>
  <si>
    <t>LU1109640059/3</t>
  </si>
  <si>
    <t>LU1109640059/4</t>
  </si>
  <si>
    <t>LU1109640059/5</t>
  </si>
  <si>
    <t>CORIO</t>
  </si>
  <si>
    <t>CORA NA Equity</t>
  </si>
  <si>
    <t>CORA NA</t>
  </si>
  <si>
    <t>ČSOB Exclusive Airbag Jumper +5 (Optimum Fund)</t>
  </si>
  <si>
    <t>ČSOB Světový expres 2 (Optimum Fund)</t>
  </si>
  <si>
    <t>DIRECT INSURANCE</t>
  </si>
  <si>
    <t>DLG LN Equity</t>
  </si>
  <si>
    <t>DLG LN</t>
  </si>
  <si>
    <t>BE6271898726/1</t>
  </si>
  <si>
    <t>BE6271898726/2</t>
  </si>
  <si>
    <t>BE6271898726/3</t>
  </si>
  <si>
    <t>BE6271898726/4</t>
  </si>
  <si>
    <t>BE6271898726/5</t>
  </si>
  <si>
    <t>BE6271898726/6</t>
  </si>
  <si>
    <t>BE6271898726/7</t>
  </si>
  <si>
    <t>BE6271898726/8</t>
  </si>
  <si>
    <t>BE6271898726/9</t>
  </si>
  <si>
    <t>BE6271898726/10</t>
  </si>
  <si>
    <t>BE6271898726/11</t>
  </si>
  <si>
    <t>BE6271898726/12</t>
  </si>
  <si>
    <t>BE6271898726/13</t>
  </si>
  <si>
    <t>BE6271898726/14</t>
  </si>
  <si>
    <t>BE6271898726/15</t>
  </si>
  <si>
    <t>BE6271898726/16</t>
  </si>
  <si>
    <t>BE6271898726/17</t>
  </si>
  <si>
    <t>BE6271898726/18</t>
  </si>
  <si>
    <t>ČSOB Světový výběr 2 (KBC Select investors)</t>
  </si>
  <si>
    <t>LU1123732924/1</t>
  </si>
  <si>
    <t>LU1123732924/2</t>
  </si>
  <si>
    <t>LU1123732924/3</t>
  </si>
  <si>
    <t>LU1123732924/4</t>
  </si>
  <si>
    <t>LU1123732924/5</t>
  </si>
  <si>
    <t>LU1123732924/6</t>
  </si>
  <si>
    <t>LU1123732924/7</t>
  </si>
  <si>
    <t>LU1123732924/8</t>
  </si>
  <si>
    <t>LU1123732924/9</t>
  </si>
  <si>
    <t>LU1123732924/10</t>
  </si>
  <si>
    <t>LU1123732924/11</t>
  </si>
  <si>
    <t>LU1123732924/12</t>
  </si>
  <si>
    <t>LU1123732924/13</t>
  </si>
  <si>
    <t>LU1123732924/14</t>
  </si>
  <si>
    <t>LU1123732924/15</t>
  </si>
  <si>
    <t>LU1123732924/16</t>
  </si>
  <si>
    <t>LU1123732924/17</t>
  </si>
  <si>
    <t>LU1123732924/18</t>
  </si>
  <si>
    <t>ČSOB Exclusive Buffer Jumper 5</t>
  </si>
  <si>
    <t>Contribute Partners ČSOB Exclusive Buffer Jumper 5</t>
  </si>
  <si>
    <t>LU1173638484</t>
  </si>
  <si>
    <t>ČSOB Globálních příležitostí USD 2</t>
  </si>
  <si>
    <t>Optimum Fund ČSOB Globálních příležitostí USD 2</t>
  </si>
  <si>
    <t>BE6276582036</t>
  </si>
  <si>
    <t>ČSOB Private Banking Delta Headstart 1</t>
  </si>
  <si>
    <t>Optimum Fund ČSOB Private Banking Delta Headstart 1</t>
  </si>
  <si>
    <t>BE6276809363</t>
  </si>
  <si>
    <t>Optimum Fund ČSOB Světový expres 3</t>
  </si>
  <si>
    <t>ČSOB Světový expres 3</t>
  </si>
  <si>
    <t>Počátek 2. období</t>
  </si>
  <si>
    <t>Výnos 2. období</t>
  </si>
  <si>
    <t>ČSOB Exclusive Airbag Jumper +6 (Optimum Fund)</t>
  </si>
  <si>
    <t>Optimum Fund ČSOB Airbag Jumper EUR 6</t>
  </si>
  <si>
    <t>ČSOB Airbag Jumper EUR 6</t>
  </si>
  <si>
    <t>BE6278160294</t>
  </si>
  <si>
    <t>ČSOB Globální oživení 1 (Optimum Fund)</t>
  </si>
  <si>
    <t>BE6275415972/1</t>
  </si>
  <si>
    <t>BE6275415972/2</t>
  </si>
  <si>
    <t>BE6275415972/3</t>
  </si>
  <si>
    <t>BE6275415972/4</t>
  </si>
  <si>
    <t>BE6275415972/5</t>
  </si>
  <si>
    <t>BE6275415972/6</t>
  </si>
  <si>
    <t>BE6275415972/7</t>
  </si>
  <si>
    <t>BE6275415972/8</t>
  </si>
  <si>
    <t>BE6275415972/9</t>
  </si>
  <si>
    <t>BE6275415972/10</t>
  </si>
  <si>
    <t>BE6275415972/11</t>
  </si>
  <si>
    <t>BE6275415972/12</t>
  </si>
  <si>
    <t>BE6275415972/13</t>
  </si>
  <si>
    <t>BE6275415972/14</t>
  </si>
  <si>
    <t>BE6275415972/15</t>
  </si>
  <si>
    <t>BE6275415972/16</t>
  </si>
  <si>
    <t>BE6275415972/17</t>
  </si>
  <si>
    <t>BE6275415972/18</t>
  </si>
  <si>
    <t>LAS VEGAS SANDS</t>
  </si>
  <si>
    <t>LVS UN Equity</t>
  </si>
  <si>
    <t>LGEN LN Equity</t>
  </si>
  <si>
    <t>LVS UN</t>
  </si>
  <si>
    <t>LGEN LN</t>
  </si>
  <si>
    <t>LEGAL AND GENERAL GROUP</t>
  </si>
  <si>
    <t>NOKIAN RENKAAT</t>
  </si>
  <si>
    <t>ČSOB Airbag Jumper EUR 5 (Optimum Fund)</t>
  </si>
  <si>
    <t>BE6274498532/1</t>
  </si>
  <si>
    <t>BE6274498532/2</t>
  </si>
  <si>
    <t>BE6274498532/3</t>
  </si>
  <si>
    <t>BE6274498532/4</t>
  </si>
  <si>
    <t>BE6274498532/5</t>
  </si>
  <si>
    <t>BE6274498532/6</t>
  </si>
  <si>
    <t>BE6274498532/7</t>
  </si>
  <si>
    <t>BE6274498532/8</t>
  </si>
  <si>
    <t>BE6274498532/9</t>
  </si>
  <si>
    <t>BE6274498532/10</t>
  </si>
  <si>
    <t>BE6274498532/11</t>
  </si>
  <si>
    <t>BE6274498532/12</t>
  </si>
  <si>
    <t>BE6274498532/13</t>
  </si>
  <si>
    <t>BE6274498532/14</t>
  </si>
  <si>
    <t>BE6274498532/15</t>
  </si>
  <si>
    <t>BE6274498532/16</t>
  </si>
  <si>
    <t>BE6274498532/17</t>
  </si>
  <si>
    <t>BE6274498532/18</t>
  </si>
  <si>
    <t>CANADIAN OIL SANDS LTD</t>
  </si>
  <si>
    <t>COS CT Equity</t>
  </si>
  <si>
    <t>COS CT</t>
  </si>
  <si>
    <t>ČSOB Dobrý start 1 (Optimum Fund)</t>
  </si>
  <si>
    <t>ČSOB Výběr světových akcií 1 (KBC Select investors)</t>
  </si>
  <si>
    <t>BE6278798853</t>
  </si>
  <si>
    <t>Optimum Fund ČSOB Dobrý start 2</t>
  </si>
  <si>
    <t>ČSOB Dobrý start 2</t>
  </si>
  <si>
    <t>Select Investors ČSOB Life Zlatý střed 2</t>
  </si>
  <si>
    <t>ČSOB Life Zlatý střed 2</t>
  </si>
  <si>
    <t>LU1251116379</t>
  </si>
  <si>
    <t>Maximal Invest</t>
  </si>
  <si>
    <t>ČSOB Life Zlatý střed 1 (Select Investors)</t>
  </si>
  <si>
    <t>AMFW LN Equity</t>
  </si>
  <si>
    <t>AMEC FOSTER WHEELER PLC</t>
  </si>
  <si>
    <t>DIGITAL REALTY TRUST</t>
  </si>
  <si>
    <t>DLR UN Equity</t>
  </si>
  <si>
    <t>AMFW LN</t>
  </si>
  <si>
    <t>DLR UN</t>
  </si>
  <si>
    <t>ELISA</t>
  </si>
  <si>
    <t>TEL2B SS Equity</t>
  </si>
  <si>
    <t>TEL2B SS</t>
  </si>
  <si>
    <t>TELE2</t>
  </si>
  <si>
    <t>LU1190401676/1</t>
  </si>
  <si>
    <t>LU1190401676/2</t>
  </si>
  <si>
    <t>LU1190401676/3</t>
  </si>
  <si>
    <t>LU1190401676/4</t>
  </si>
  <si>
    <t>LU1190401676/5</t>
  </si>
  <si>
    <t>LU1190401676/6</t>
  </si>
  <si>
    <t>LU1190401676/7</t>
  </si>
  <si>
    <t>LU1190401676/8</t>
  </si>
  <si>
    <t>LU1190401676/9</t>
  </si>
  <si>
    <t>LU1190401676/10</t>
  </si>
  <si>
    <t>LU1190401676/11</t>
  </si>
  <si>
    <t>LU1190401676/12</t>
  </si>
  <si>
    <t>LU1190401676/13</t>
  </si>
  <si>
    <t>LU1190401676/14</t>
  </si>
  <si>
    <t>LU1190401676/15</t>
  </si>
  <si>
    <t>LU1190401676/16</t>
  </si>
  <si>
    <t>LU1190401676/17</t>
  </si>
  <si>
    <t>LU1190401676/18</t>
  </si>
  <si>
    <t>Minimální hodnota:</t>
  </si>
  <si>
    <t>Contribute Partners ČSOB Exkluzivní Evropský Jumper 1</t>
  </si>
  <si>
    <t>ČSOB Exkluzivní evropský jumper 1</t>
  </si>
  <si>
    <t>LU1239630756</t>
  </si>
  <si>
    <t>Horizon CSOB Globalny Rast EUR 1</t>
  </si>
  <si>
    <t>ČSOB Globální růst EUR 1</t>
  </si>
  <si>
    <t>BE6279710279</t>
  </si>
  <si>
    <t>ve čtvrtém období byla vyřazena akcie Centrica PLC</t>
  </si>
  <si>
    <t>konečná</t>
  </si>
  <si>
    <t>ČSOB Schody k úspěchu 1 (Optimum Fund)</t>
  </si>
  <si>
    <t>BE6275587754/1</t>
  </si>
  <si>
    <t>BE6275587754/2</t>
  </si>
  <si>
    <t>BE6275587754/3</t>
  </si>
  <si>
    <t>BE6275587754/4</t>
  </si>
  <si>
    <t>BE6275587754/5</t>
  </si>
  <si>
    <t>BE6275587754/6</t>
  </si>
  <si>
    <t>BE6275587754/7</t>
  </si>
  <si>
    <t>BE6275587754/8</t>
  </si>
  <si>
    <t>BE6275587754/9</t>
  </si>
  <si>
    <t>BE6275587754/10</t>
  </si>
  <si>
    <t>BE6275587754/11</t>
  </si>
  <si>
    <t>BE6275587754/12</t>
  </si>
  <si>
    <t>BE6275587754/13</t>
  </si>
  <si>
    <t>BE6275587754/14</t>
  </si>
  <si>
    <t>BE6275587754/15</t>
  </si>
  <si>
    <t>BE6275587754/16</t>
  </si>
  <si>
    <t>BE6275587754/17</t>
  </si>
  <si>
    <t>BE6275587754/18</t>
  </si>
  <si>
    <t>8953 JT Equity</t>
  </si>
  <si>
    <t>JAPAN RETAIL FUND INVESTMENT</t>
  </si>
  <si>
    <t>LU1173638484/1</t>
  </si>
  <si>
    <t>LU1173638484/2</t>
  </si>
  <si>
    <t>LU1173638484/3</t>
  </si>
  <si>
    <t>LU1173638484/4</t>
  </si>
  <si>
    <t>LU1173638484/5</t>
  </si>
  <si>
    <t>ČSOB Exclusive Buffer Jumper 5 (Contribute Partners)</t>
  </si>
  <si>
    <t>ABERDEEN ASSET MGMT PLC</t>
  </si>
  <si>
    <t>8953 JT</t>
  </si>
  <si>
    <t>ADN LN Equity</t>
  </si>
  <si>
    <t>ADN LN</t>
  </si>
  <si>
    <t>Health Care Reit</t>
  </si>
  <si>
    <t>HSBC Holdings</t>
  </si>
  <si>
    <t>Philip Morris</t>
  </si>
  <si>
    <t>Pearson</t>
  </si>
  <si>
    <t>Royal Bank of Canada</t>
  </si>
  <si>
    <t>BXP UN Equity</t>
  </si>
  <si>
    <t>BOSTON PROPERTIES</t>
  </si>
  <si>
    <t>BXP UN</t>
  </si>
  <si>
    <t>FER SQ Equity</t>
  </si>
  <si>
    <t>FER SQ</t>
  </si>
  <si>
    <t>FERROVIAL</t>
  </si>
  <si>
    <t>POT CT Equity</t>
  </si>
  <si>
    <t>POT CT</t>
  </si>
  <si>
    <t>POTASH CORP</t>
  </si>
  <si>
    <t>REX LN Equity</t>
  </si>
  <si>
    <t>REX LN</t>
  </si>
  <si>
    <t>REXAM PLC</t>
  </si>
  <si>
    <t>T CT Equity</t>
  </si>
  <si>
    <t>T CT</t>
  </si>
  <si>
    <t>ČSOB Střední výběr 1 (Horizon)</t>
  </si>
  <si>
    <t>BE6276289012/1</t>
  </si>
  <si>
    <t>BE6276289012/2</t>
  </si>
  <si>
    <t>BE6276289012/3</t>
  </si>
  <si>
    <t>BE6276289012/4</t>
  </si>
  <si>
    <t>BE6276289012/5</t>
  </si>
  <si>
    <t>BE6276289012/6</t>
  </si>
  <si>
    <t>BE6276289012/7</t>
  </si>
  <si>
    <t>BE6276289012/8</t>
  </si>
  <si>
    <t>BE6276289012/9</t>
  </si>
  <si>
    <t>BE6276289012/10</t>
  </si>
  <si>
    <t>BE6276289012/11</t>
  </si>
  <si>
    <t>BE6276289012/12</t>
  </si>
  <si>
    <t>BE6276289012/13</t>
  </si>
  <si>
    <t>BE6276289012/14</t>
  </si>
  <si>
    <t>BE6276289012/15</t>
  </si>
  <si>
    <t>BE6276289012/16</t>
  </si>
  <si>
    <t>BE6276289012/17</t>
  </si>
  <si>
    <t>BE6276289012/18</t>
  </si>
  <si>
    <t>pořadí</t>
  </si>
  <si>
    <t>váž. zhod. po vyřazení 20 akcií</t>
  </si>
  <si>
    <t>Perspective 90 Best Performer USD 1</t>
  </si>
  <si>
    <t>Perspective Silver Economy 90 USD 1</t>
  </si>
  <si>
    <t>Perspective 90 Best Performer USD 3</t>
  </si>
  <si>
    <t>Perspective European Champions 90 USD 3</t>
  </si>
  <si>
    <t xml:space="preserve">Perspective Global Stocks Invest Ladder 1 </t>
  </si>
  <si>
    <t>Perspective Germany 90 Smart start USD 1</t>
  </si>
  <si>
    <t>Perspective Global Stocks 90 2</t>
  </si>
  <si>
    <t>Perspective Germany 90 Smart start USD 3</t>
  </si>
  <si>
    <t>Perspective Japan 90 USD 1</t>
  </si>
  <si>
    <t>Perspective Germany 90 Smart start USD 5</t>
  </si>
  <si>
    <t>Perspective QS Conditional Coupon USD 1</t>
  </si>
  <si>
    <t>Perspective European Exporters 90 Smart Start USD 1</t>
  </si>
  <si>
    <t>BE6270135559</t>
  </si>
  <si>
    <t>BE6271629949</t>
  </si>
  <si>
    <t>BE6272401900</t>
  </si>
  <si>
    <t>BE6274141843</t>
  </si>
  <si>
    <t>BE6274688496</t>
  </si>
  <si>
    <t>Perspective US and Asia Winners 90 Best Performer USD 1</t>
  </si>
  <si>
    <t>BE6274693546</t>
  </si>
  <si>
    <t>BE6275539276</t>
  </si>
  <si>
    <t>BE6275546347</t>
  </si>
  <si>
    <t>BE6277125611</t>
  </si>
  <si>
    <t>BE6277726806</t>
  </si>
  <si>
    <t>BE6278567480</t>
  </si>
  <si>
    <t>BE6278569502</t>
  </si>
  <si>
    <t>Perspective Japan 90 USD 3</t>
  </si>
  <si>
    <t>BE6279255572</t>
  </si>
  <si>
    <t>BE6279992182</t>
  </si>
  <si>
    <t>BE6270135559/1</t>
  </si>
  <si>
    <t>BE6270135559/2</t>
  </si>
  <si>
    <t>BE6270135559/3</t>
  </si>
  <si>
    <t>BE6270135559/4</t>
  </si>
  <si>
    <t>BE6270135559/5</t>
  </si>
  <si>
    <t>BE6270135559/6</t>
  </si>
  <si>
    <t>BE6270135559/7</t>
  </si>
  <si>
    <t>BE6270135559/8</t>
  </si>
  <si>
    <t>BE6270135559/9</t>
  </si>
  <si>
    <t>BE6270135559/10</t>
  </si>
  <si>
    <t>BE6270135559/11</t>
  </si>
  <si>
    <t>BE6270135559/12</t>
  </si>
  <si>
    <t>BE6270135559/13</t>
  </si>
  <si>
    <t>BE6270135559/14</t>
  </si>
  <si>
    <t>BE6270135559/15</t>
  </si>
  <si>
    <t>BE6270135559/16</t>
  </si>
  <si>
    <t>BE6270135559/17</t>
  </si>
  <si>
    <t>BE6270135559/18</t>
  </si>
  <si>
    <t>ABB Ltd</t>
  </si>
  <si>
    <t>Air Liquid</t>
  </si>
  <si>
    <t>koš evropských akcií</t>
  </si>
  <si>
    <t>koš amerických akcií</t>
  </si>
  <si>
    <t>ConocoPhillips</t>
  </si>
  <si>
    <t>Home Depot</t>
  </si>
  <si>
    <t>PepsiCo Inc</t>
  </si>
  <si>
    <t>90 Best Performer USD 1 (Perspective)</t>
  </si>
  <si>
    <t>AIR LIQUID</t>
  </si>
  <si>
    <t>AI FP Equity</t>
  </si>
  <si>
    <t>AI FP</t>
  </si>
  <si>
    <t>Enel</t>
  </si>
  <si>
    <t>Iberdrola</t>
  </si>
  <si>
    <t>Novartis</t>
  </si>
  <si>
    <t>Repsol</t>
  </si>
  <si>
    <t>Siemens</t>
  </si>
  <si>
    <t>Swiss Re</t>
  </si>
  <si>
    <t>Telefonica SA</t>
  </si>
  <si>
    <t>Vinci</t>
  </si>
  <si>
    <t>ABBV UN Equity</t>
  </si>
  <si>
    <t>ABBV UN</t>
  </si>
  <si>
    <t>ABBVIE INC</t>
  </si>
  <si>
    <t>Altria Group</t>
  </si>
  <si>
    <t>Chevron</t>
  </si>
  <si>
    <t>CME GROUP INC</t>
  </si>
  <si>
    <t>CME UW Equity</t>
  </si>
  <si>
    <t>CME UW</t>
  </si>
  <si>
    <t>TGT UN</t>
  </si>
  <si>
    <t>TGT UN Equity</t>
  </si>
  <si>
    <t>TARGET</t>
  </si>
  <si>
    <t>TXN UW</t>
  </si>
  <si>
    <t>TXN UW Equity</t>
  </si>
  <si>
    <t>ČSOB Světový expres 4</t>
  </si>
  <si>
    <t xml:space="preserve">Optimum Fund ČSOB Světový expres 4 </t>
  </si>
  <si>
    <t>LU1244748338</t>
  </si>
  <si>
    <t>Perspective European Exporters 90 Smart Start USD 2</t>
  </si>
  <si>
    <t>BE6280492339</t>
  </si>
  <si>
    <t>ČSOB Exkluzivní evropský jumper 2</t>
  </si>
  <si>
    <t>ČSOB Fixovaný click USD 5</t>
  </si>
  <si>
    <t>Global Partners ČSOB Fixovaný click USD 5</t>
  </si>
  <si>
    <t>Contribute Partners ČSOB Exkluzivní evropský jumper 2</t>
  </si>
  <si>
    <t>LU1284712277</t>
  </si>
  <si>
    <t>ČSOB Airbag Jumper EUR 6 (Optimum Fund)</t>
  </si>
  <si>
    <t>DJ Eurostoxx Select Dividend 30</t>
  </si>
  <si>
    <t>Electricite de France</t>
  </si>
  <si>
    <t>Proximus</t>
  </si>
  <si>
    <t>Tele2</t>
  </si>
  <si>
    <t>Terna Spa</t>
  </si>
  <si>
    <t>ČSOB Life Zlatý střed 2 (Select Investors)</t>
  </si>
  <si>
    <t>DL NA Equity</t>
  </si>
  <si>
    <t>DL NA</t>
  </si>
  <si>
    <t>DELTA LLOYD</t>
  </si>
  <si>
    <t>PROXIMUS</t>
  </si>
  <si>
    <t>PROX BB Equity</t>
  </si>
  <si>
    <t>PROX BB</t>
  </si>
  <si>
    <t>REP SQ</t>
  </si>
  <si>
    <t>ČSOB Dobrý start 2 (Optimum Fund)</t>
  </si>
  <si>
    <t>LU1251116379/1</t>
  </si>
  <si>
    <t>LU1251116379/2</t>
  </si>
  <si>
    <t>LU1251116379/3</t>
  </si>
  <si>
    <t>LU1251116379/4</t>
  </si>
  <si>
    <t>LU1251116379/5</t>
  </si>
  <si>
    <t>LU1251116379/6</t>
  </si>
  <si>
    <t>LU1251116379/7</t>
  </si>
  <si>
    <t>LU1251116379/8</t>
  </si>
  <si>
    <t>LU1251116379/9</t>
  </si>
  <si>
    <t>LU1251116379/10</t>
  </si>
  <si>
    <t>LU1251116379/11</t>
  </si>
  <si>
    <t>LU1251116379/12</t>
  </si>
  <si>
    <t>LU1251116379/13</t>
  </si>
  <si>
    <t>LU1251116379/14</t>
  </si>
  <si>
    <t>LU1251116379/15</t>
  </si>
  <si>
    <t>LU1251116379/16</t>
  </si>
  <si>
    <t>LU1251116379/17</t>
  </si>
  <si>
    <t>LU1251116379/18</t>
  </si>
  <si>
    <t>APOLLO INVESTMENT</t>
  </si>
  <si>
    <t>AINV UW Equity</t>
  </si>
  <si>
    <t>Price 201510</t>
  </si>
  <si>
    <t>Price 201504</t>
  </si>
  <si>
    <t>Price 201505</t>
  </si>
  <si>
    <t>Price 201506</t>
  </si>
  <si>
    <t>Price 201507</t>
  </si>
  <si>
    <t>Price 201508</t>
  </si>
  <si>
    <t>Price 201509</t>
  </si>
  <si>
    <t>Price 201511</t>
  </si>
  <si>
    <t>Price 201512</t>
  </si>
  <si>
    <t>Price 201601</t>
  </si>
  <si>
    <t>Price 201602</t>
  </si>
  <si>
    <t>Price 201603</t>
  </si>
  <si>
    <t>BE6278798853/1</t>
  </si>
  <si>
    <t>BE6278798853/2</t>
  </si>
  <si>
    <t>BE6278798853/3</t>
  </si>
  <si>
    <t>BE6278798853/4</t>
  </si>
  <si>
    <t>BE6278798853/5</t>
  </si>
  <si>
    <t>BE6278798853/6</t>
  </si>
  <si>
    <t>BE6278798853/7</t>
  </si>
  <si>
    <t>BE6278798853/8</t>
  </si>
  <si>
    <t>BE6278798853/9</t>
  </si>
  <si>
    <t>BE6278798853/10</t>
  </si>
  <si>
    <t>BE6278798853/11</t>
  </si>
  <si>
    <t>BE6278798853/12</t>
  </si>
  <si>
    <t>BE6278798853/13</t>
  </si>
  <si>
    <t>BE6278798853/14</t>
  </si>
  <si>
    <t>BE6278798853/15</t>
  </si>
  <si>
    <t>BE6278798853/16</t>
  </si>
  <si>
    <t>BE6278798853/17</t>
  </si>
  <si>
    <t>BE6278798853/18</t>
  </si>
  <si>
    <t>Perspective E-commerce 90 USD 1</t>
  </si>
  <si>
    <t>BE6281007631</t>
  </si>
  <si>
    <t>BE6271629949/1</t>
  </si>
  <si>
    <t>BE6271629949/2</t>
  </si>
  <si>
    <t>BE6271629949/3</t>
  </si>
  <si>
    <t>BE6271629949/4</t>
  </si>
  <si>
    <t>BE6271629949/5</t>
  </si>
  <si>
    <t>BE6271629949/6</t>
  </si>
  <si>
    <t>BE6271629949/7</t>
  </si>
  <si>
    <t>BE6271629949/8</t>
  </si>
  <si>
    <t>BE6271629949/9</t>
  </si>
  <si>
    <t>BE6271629949/10</t>
  </si>
  <si>
    <t>BE6271629949/11</t>
  </si>
  <si>
    <t>BE6271629949/12</t>
  </si>
  <si>
    <t>Silver Economy 90 USD 1 (Perspective)</t>
  </si>
  <si>
    <t>BEIERSDORF</t>
  </si>
  <si>
    <t>BEI GY Equity</t>
  </si>
  <si>
    <t>BEI GY</t>
  </si>
  <si>
    <t>CVS CAREMARK</t>
  </si>
  <si>
    <t>CVS UN Equity</t>
  </si>
  <si>
    <t>CVS UN</t>
  </si>
  <si>
    <t>DARDEN RESTAURANTS</t>
  </si>
  <si>
    <t>DRI UN Equity</t>
  </si>
  <si>
    <t>DRI UN</t>
  </si>
  <si>
    <t>HEALTHCARE REALTY TRUST</t>
  </si>
  <si>
    <t>HR UN Equity</t>
  </si>
  <si>
    <t>HR UN</t>
  </si>
  <si>
    <t>MARKS &amp; SPENCER</t>
  </si>
  <si>
    <t>MKS LN Equity</t>
  </si>
  <si>
    <t>MKS LN</t>
  </si>
  <si>
    <t>ENGIE</t>
  </si>
  <si>
    <t>SD3E Index</t>
  </si>
  <si>
    <t>ENGI FP Equity</t>
  </si>
  <si>
    <t>ENGI FP</t>
  </si>
  <si>
    <t>ČSOB Fixovaného rŮstu 8</t>
  </si>
  <si>
    <t>Click za 2. období</t>
  </si>
  <si>
    <t>ČSOB Exkluzivní evropský jumper 1 (Contribute Partners)</t>
  </si>
  <si>
    <t>LU1239630756/1</t>
  </si>
  <si>
    <t>LU1239630756/2</t>
  </si>
  <si>
    <t>LU1239630756/3</t>
  </si>
  <si>
    <t>LU1239630756/4</t>
  </si>
  <si>
    <t>LU1239630756/5</t>
  </si>
  <si>
    <t>ČSOB Globálních příležitostí USD 2 (Optimum Fund)</t>
  </si>
  <si>
    <t>BE6276582036/1</t>
  </si>
  <si>
    <t>BE6276582036/2</t>
  </si>
  <si>
    <t>BE6276582036/3</t>
  </si>
  <si>
    <t>BE6276582036/4</t>
  </si>
  <si>
    <t>BE6276582036/5</t>
  </si>
  <si>
    <t>BE6276582036/6</t>
  </si>
  <si>
    <t>BE6276582036/7</t>
  </si>
  <si>
    <t>BE6276582036/8</t>
  </si>
  <si>
    <t>BE6276582036/9</t>
  </si>
  <si>
    <t>BE6276582036/10</t>
  </si>
  <si>
    <t>BE6276582036/11</t>
  </si>
  <si>
    <t>BE6276582036/12</t>
  </si>
  <si>
    <t>BE6276582036/13</t>
  </si>
  <si>
    <t>BE6276582036/14</t>
  </si>
  <si>
    <t>BE6276582036/15</t>
  </si>
  <si>
    <t>BE6276582036/16</t>
  </si>
  <si>
    <t>BE6276582036/17</t>
  </si>
  <si>
    <t>BE6276582036/18</t>
  </si>
  <si>
    <t>BE6277276182</t>
  </si>
  <si>
    <t>BE6276809363/1</t>
  </si>
  <si>
    <t>BE6276809363/2</t>
  </si>
  <si>
    <t>BE6276809363/3</t>
  </si>
  <si>
    <t>BE6276809363/4</t>
  </si>
  <si>
    <t>BE6276809363/5</t>
  </si>
  <si>
    <t>BE6276809363/6</t>
  </si>
  <si>
    <t>BE6276809363/7</t>
  </si>
  <si>
    <t>BE6276809363/8</t>
  </si>
  <si>
    <t>BE6276809363/9</t>
  </si>
  <si>
    <t>BE6276809363/10</t>
  </si>
  <si>
    <t>BE6276809363/11</t>
  </si>
  <si>
    <t>BE6276809363/12</t>
  </si>
  <si>
    <t>BE6276809363/13</t>
  </si>
  <si>
    <t>BE6276809363/14</t>
  </si>
  <si>
    <t>BE6276809363/15</t>
  </si>
  <si>
    <t>BE6276809363/16</t>
  </si>
  <si>
    <t>BE6276809363/17</t>
  </si>
  <si>
    <t>BE6276809363/18</t>
  </si>
  <si>
    <t>ČSOB Private Banking Delta Headstart 1 (Optimum Fund)</t>
  </si>
  <si>
    <t>BE6277276182/1</t>
  </si>
  <si>
    <t>BE6277276182/2</t>
  </si>
  <si>
    <t>BE6277276182/3</t>
  </si>
  <si>
    <t>BE6277276182/4</t>
  </si>
  <si>
    <t>BE6277276182/5</t>
  </si>
  <si>
    <t>BE6277276182/6</t>
  </si>
  <si>
    <t>BE6277276182/7</t>
  </si>
  <si>
    <t>BE6277276182/8</t>
  </si>
  <si>
    <t>BE6277276182/9</t>
  </si>
  <si>
    <t>BE6277276182/10</t>
  </si>
  <si>
    <t>BE6277276182/11</t>
  </si>
  <si>
    <t>BE6277276182/12</t>
  </si>
  <si>
    <t>BE6277276182/13</t>
  </si>
  <si>
    <t>BE6277276182/14</t>
  </si>
  <si>
    <t>BE6277276182/15</t>
  </si>
  <si>
    <t>BE6277276182/16</t>
  </si>
  <si>
    <t>BE6277276182/17</t>
  </si>
  <si>
    <t>BE6277276182/18</t>
  </si>
  <si>
    <t>ČSOB Světový expres 3 (Optimum Fund)</t>
  </si>
  <si>
    <t>BE6274141843/1</t>
  </si>
  <si>
    <t>BE6274141843/2</t>
  </si>
  <si>
    <t>BE6274141843/3</t>
  </si>
  <si>
    <t>BE6274141843/4</t>
  </si>
  <si>
    <t>BE6274141843/5</t>
  </si>
  <si>
    <t>BE6274141843/6</t>
  </si>
  <si>
    <t>BE6274141843/7</t>
  </si>
  <si>
    <t>BE6274141843/8</t>
  </si>
  <si>
    <t>BE6274141843/9</t>
  </si>
  <si>
    <t>BE6274141843/10</t>
  </si>
  <si>
    <t>BE6274141843/11</t>
  </si>
  <si>
    <t>BE6274141843/12</t>
  </si>
  <si>
    <t>European Champions 90 USD 3 (Perspective)</t>
  </si>
  <si>
    <t>AIR FP Equity</t>
  </si>
  <si>
    <t>AIR FP</t>
  </si>
  <si>
    <t>AIRBUS GROUP</t>
  </si>
  <si>
    <t>CAP FP Equity</t>
  </si>
  <si>
    <t>CAP FP</t>
  </si>
  <si>
    <t>CAP GEMINI</t>
  </si>
  <si>
    <t>DSM</t>
  </si>
  <si>
    <t>ESSILOR INTERNATIONAL</t>
  </si>
  <si>
    <t>LUX IM Equity</t>
  </si>
  <si>
    <t>LUX IM</t>
  </si>
  <si>
    <t>LUXOTTICA GROUP</t>
  </si>
  <si>
    <t>MICHELIN</t>
  </si>
  <si>
    <t>ML FP Equity</t>
  </si>
  <si>
    <t>ML FP</t>
  </si>
  <si>
    <t>RANDSTAD HOLDING</t>
  </si>
  <si>
    <t>RAND NA Equity</t>
  </si>
  <si>
    <t>RAND NA</t>
  </si>
  <si>
    <t>SAFRAN</t>
  </si>
  <si>
    <t>SAF FP Equity</t>
  </si>
  <si>
    <t>SAF FP</t>
  </si>
  <si>
    <t>TEC FP Equity</t>
  </si>
  <si>
    <t>TEC FP</t>
  </si>
  <si>
    <t>TECHNIP SA</t>
  </si>
  <si>
    <t>Vallourec sa</t>
  </si>
  <si>
    <t>VK FP Equity</t>
  </si>
  <si>
    <t>VALLOUREC SA</t>
  </si>
  <si>
    <t>BE6274688496/1</t>
  </si>
  <si>
    <t>BE6274688496/2</t>
  </si>
  <si>
    <t>BE6274688496/3</t>
  </si>
  <si>
    <t>BE6274688496/4</t>
  </si>
  <si>
    <t>BE6274688496/5</t>
  </si>
  <si>
    <t>BE6274688496/6</t>
  </si>
  <si>
    <t>Global Stocks Invest Ladder 1 (Perspective)</t>
  </si>
  <si>
    <t>US and Asia Winners 90 Best Performer USD 1 (Perspective)</t>
  </si>
  <si>
    <t>Beiersdorf</t>
  </si>
  <si>
    <t>Freeport-McMoran Copper</t>
  </si>
  <si>
    <t>Kering</t>
  </si>
  <si>
    <t>Eisai</t>
  </si>
  <si>
    <t>SGS SA</t>
  </si>
  <si>
    <t>druhý koš akcií</t>
  </si>
  <si>
    <t>první koš akcií</t>
  </si>
  <si>
    <t>1288 HK Equity</t>
  </si>
  <si>
    <t>1288 HK</t>
  </si>
  <si>
    <t>AGRICULTURAL BANK OF CHINA</t>
  </si>
  <si>
    <t>Reed Elsevier</t>
  </si>
  <si>
    <t>ALFA LAVAL</t>
  </si>
  <si>
    <t>ALFA SS Equity</t>
  </si>
  <si>
    <t>4901 JT Equity</t>
  </si>
  <si>
    <t>ALFA SS</t>
  </si>
  <si>
    <t>FUJIFILM HOLDINGS</t>
  </si>
  <si>
    <t>1605 JT Equity</t>
  </si>
  <si>
    <t>1605 JT</t>
  </si>
  <si>
    <t>INPEX CORPORATION</t>
  </si>
  <si>
    <t>INTERTEK GROUP</t>
  </si>
  <si>
    <t>ITRK LN Equity</t>
  </si>
  <si>
    <t>ITRK LN</t>
  </si>
  <si>
    <t>6301 JT Equity</t>
  </si>
  <si>
    <t>6301 JT</t>
  </si>
  <si>
    <t>KOMATSU</t>
  </si>
  <si>
    <t>MXIM UW Equity</t>
  </si>
  <si>
    <t>MXIM UW</t>
  </si>
  <si>
    <t>MAXIM INTEGRATED PRODUCTS</t>
  </si>
  <si>
    <t>SOLB BB Equity</t>
  </si>
  <si>
    <t>SOLB BB</t>
  </si>
  <si>
    <t>SOLVAY</t>
  </si>
  <si>
    <t>SUMITOMO ELETRIC</t>
  </si>
  <si>
    <t>5802 JT Equity</t>
  </si>
  <si>
    <t>WRT1V FH Equity</t>
  </si>
  <si>
    <t>5802 JT</t>
  </si>
  <si>
    <t>WRT1V FH</t>
  </si>
  <si>
    <t>WARTSILA OYJ</t>
  </si>
  <si>
    <t>GIVAUDAN</t>
  </si>
  <si>
    <t>BE6274693546/1</t>
  </si>
  <si>
    <t>BE6274693546/2</t>
  </si>
  <si>
    <t>BE6274693546/3</t>
  </si>
  <si>
    <t>BE6274693546/4</t>
  </si>
  <si>
    <t>BE6274693546/5</t>
  </si>
  <si>
    <t>BE6274693546/6</t>
  </si>
  <si>
    <t>BE6274693546/7</t>
  </si>
  <si>
    <t>BE6274693546/8</t>
  </si>
  <si>
    <t>BE6274693546/9</t>
  </si>
  <si>
    <t>BE6274693546/10</t>
  </si>
  <si>
    <t>BE6274693546/11</t>
  </si>
  <si>
    <t>BE6274693546/12</t>
  </si>
  <si>
    <t>Germany 90 Smart Start USD 1 (Perspective)</t>
  </si>
  <si>
    <t>BE6275539276/1</t>
  </si>
  <si>
    <t>BE6275539276/2</t>
  </si>
  <si>
    <t>BE6275539276/3</t>
  </si>
  <si>
    <t>BE6275539276/4</t>
  </si>
  <si>
    <t>BE6275539276/5</t>
  </si>
  <si>
    <t>BE6275539276/6</t>
  </si>
  <si>
    <t>BE6275539276/7</t>
  </si>
  <si>
    <t>BE6275539276/8</t>
  </si>
  <si>
    <t>BE6275539276/9</t>
  </si>
  <si>
    <t>BE6275539276/10</t>
  </si>
  <si>
    <t>BE6275539276/11</t>
  </si>
  <si>
    <t>BE6275539276/12</t>
  </si>
  <si>
    <t>BILFINGER</t>
  </si>
  <si>
    <t>GBF GY Equity</t>
  </si>
  <si>
    <t>GBF GY</t>
  </si>
  <si>
    <t>BRENNTAG</t>
  </si>
  <si>
    <t>BNR GY Equity</t>
  </si>
  <si>
    <t>BNR GY</t>
  </si>
  <si>
    <t>FREENET</t>
  </si>
  <si>
    <t>FNTN GY Equity</t>
  </si>
  <si>
    <t>FNTN GY</t>
  </si>
  <si>
    <t>GEA GROUP</t>
  </si>
  <si>
    <t>G1A GY Equity</t>
  </si>
  <si>
    <t>G1A GY</t>
  </si>
  <si>
    <t>HEI GY Equity</t>
  </si>
  <si>
    <t>HEI GY</t>
  </si>
  <si>
    <t>HEIDELBERGCEMENT</t>
  </si>
  <si>
    <t>HENKEL</t>
  </si>
  <si>
    <t>HEN3 GY Equity</t>
  </si>
  <si>
    <t>HEN3 GY</t>
  </si>
  <si>
    <t>HUGO BOSS</t>
  </si>
  <si>
    <t>BOSS GY Equity</t>
  </si>
  <si>
    <t>BOSS GY</t>
  </si>
  <si>
    <t>PORSCHE AUTOMOBIL HOLDING</t>
  </si>
  <si>
    <t>PAH3 GY Equity</t>
  </si>
  <si>
    <t>PAH3 GY</t>
  </si>
  <si>
    <t>PSM GY Equity</t>
  </si>
  <si>
    <t>PSM GY</t>
  </si>
  <si>
    <t>PROSIEBENSAT 1 MEDIA</t>
  </si>
  <si>
    <t>STADA ARZNEIMITTEL</t>
  </si>
  <si>
    <t>SAZ GY Equity</t>
  </si>
  <si>
    <t>SAZ GY</t>
  </si>
  <si>
    <t>TELEFONICA DEUTSCHLAND HOLDING</t>
  </si>
  <si>
    <t>O2D GY Equity</t>
  </si>
  <si>
    <t>O2D GY</t>
  </si>
  <si>
    <t>UNITED INTERNET</t>
  </si>
  <si>
    <t>UTDI GY Equity</t>
  </si>
  <si>
    <t>UTDI GY</t>
  </si>
  <si>
    <t>Global Stocks 90 2 (Perspective)</t>
  </si>
  <si>
    <t>BE6275546347/1</t>
  </si>
  <si>
    <t>BE6275546347/2</t>
  </si>
  <si>
    <t>BE6275546347/3</t>
  </si>
  <si>
    <t>BE6275546347/4</t>
  </si>
  <si>
    <t>BE6275546347/5</t>
  </si>
  <si>
    <t>BE6275546347/6</t>
  </si>
  <si>
    <t>BE6275546347/7</t>
  </si>
  <si>
    <t>BE6275546347/8</t>
  </si>
  <si>
    <t>BE6275546347/9</t>
  </si>
  <si>
    <t>BE6275546347/10</t>
  </si>
  <si>
    <t>BE6275546347/11</t>
  </si>
  <si>
    <t>BE6275546347/12</t>
  </si>
  <si>
    <t>BE6277125611/1</t>
  </si>
  <si>
    <t>BE6277125611/2</t>
  </si>
  <si>
    <t>BE6277125611/3</t>
  </si>
  <si>
    <t>BE6277125611/4</t>
  </si>
  <si>
    <t>BE6277125611/5</t>
  </si>
  <si>
    <t>BE6277125611/6</t>
  </si>
  <si>
    <t>BE6277125611/7</t>
  </si>
  <si>
    <t>BE6277125611/8</t>
  </si>
  <si>
    <t>BE6277125611/9</t>
  </si>
  <si>
    <t>BE6277125611/10</t>
  </si>
  <si>
    <t>BE6277125611/11</t>
  </si>
  <si>
    <t>BE6277125611/12</t>
  </si>
  <si>
    <t>Germany 90 Smart Start USD 3 (Perspective)</t>
  </si>
  <si>
    <t>Quality Stocks 90 Conditional Coupon USD 1 (Perspective)</t>
  </si>
  <si>
    <t>BE6278569502/1</t>
  </si>
  <si>
    <t>BE6278569502/2</t>
  </si>
  <si>
    <t>BE6278569502/3</t>
  </si>
  <si>
    <t>BE6278569502/4</t>
  </si>
  <si>
    <t>BE6278569502/5</t>
  </si>
  <si>
    <t>BE6278569502/6</t>
  </si>
  <si>
    <t>BE6279255572/1</t>
  </si>
  <si>
    <t>BE6279255572/2</t>
  </si>
  <si>
    <t>BE6279255572/3</t>
  </si>
  <si>
    <t>BE6279255572/4</t>
  </si>
  <si>
    <t>BE6279255572/5</t>
  </si>
  <si>
    <t>BE6279255572/6</t>
  </si>
  <si>
    <t>BE6279255572/7</t>
  </si>
  <si>
    <t>BE6279255572/8</t>
  </si>
  <si>
    <t>BE6279255572/9</t>
  </si>
  <si>
    <t>BE6279255572/10</t>
  </si>
  <si>
    <t>BE6279255572/11</t>
  </si>
  <si>
    <t>BE6279255572/12</t>
  </si>
  <si>
    <t>KAO</t>
  </si>
  <si>
    <t>5108 JT Equity</t>
  </si>
  <si>
    <t>5108 JT</t>
  </si>
  <si>
    <t>BRIDGESTONE</t>
  </si>
  <si>
    <t>6902 JT Equity</t>
  </si>
  <si>
    <t>6902 JT</t>
  </si>
  <si>
    <t>DENSO</t>
  </si>
  <si>
    <t>7267 JT Equity</t>
  </si>
  <si>
    <t>7267 JT</t>
  </si>
  <si>
    <t>HONDA MOTOR</t>
  </si>
  <si>
    <t>5411 JT Equity</t>
  </si>
  <si>
    <t>5411 JT</t>
  </si>
  <si>
    <t>JFE HOLDINGS</t>
  </si>
  <si>
    <t>4452 JT Equity</t>
  </si>
  <si>
    <t>4452 JT</t>
  </si>
  <si>
    <t>9433 JT Equity</t>
  </si>
  <si>
    <t>9433 JT</t>
  </si>
  <si>
    <t>KDDI</t>
  </si>
  <si>
    <t>3405 JT Equity</t>
  </si>
  <si>
    <t>3405 JT</t>
  </si>
  <si>
    <t>KURARAY CO</t>
  </si>
  <si>
    <t>7731 JT Equity</t>
  </si>
  <si>
    <t>7731 JT</t>
  </si>
  <si>
    <t>NIKON</t>
  </si>
  <si>
    <t xml:space="preserve">NIPPON STEEL &amp; SUMITOMO META </t>
  </si>
  <si>
    <t>5401 JT Equity</t>
  </si>
  <si>
    <t>5401 JT</t>
  </si>
  <si>
    <t>2002 JT Equity</t>
  </si>
  <si>
    <t>2002 JT</t>
  </si>
  <si>
    <t>NISSHIN SEIFUN GROUP</t>
  </si>
  <si>
    <t>6988 JT Equity</t>
  </si>
  <si>
    <t>6988 JT</t>
  </si>
  <si>
    <t>NITTO DENKO</t>
  </si>
  <si>
    <t>NOMURA HOLDINGS</t>
  </si>
  <si>
    <t>8604 JT Equity</t>
  </si>
  <si>
    <t>8604 JT</t>
  </si>
  <si>
    <t>PANASONIC CORP</t>
  </si>
  <si>
    <t>RICOH CO</t>
  </si>
  <si>
    <t>7752 JT Equity</t>
  </si>
  <si>
    <t>7752 JT</t>
  </si>
  <si>
    <t>1928 JT Equity</t>
  </si>
  <si>
    <t>1928 JT</t>
  </si>
  <si>
    <t>SEKISUI HOUSE</t>
  </si>
  <si>
    <t>6502 JT Equity</t>
  </si>
  <si>
    <t>TOSHIBA CORP</t>
  </si>
  <si>
    <t>Japan 90 USD 3 (Perspective)</t>
  </si>
  <si>
    <t>European Exporters 90 Smart Start USD 1 (Perspective)</t>
  </si>
  <si>
    <t>BE6279992182/1</t>
  </si>
  <si>
    <t>BE6279992182/2</t>
  </si>
  <si>
    <t>BE6279992182/3</t>
  </si>
  <si>
    <t>BE6279992182/4</t>
  </si>
  <si>
    <t>BE6279992182/5</t>
  </si>
  <si>
    <t>BE6279992182/6</t>
  </si>
  <si>
    <t>BE6279992182/7</t>
  </si>
  <si>
    <t>BE6279992182/8</t>
  </si>
  <si>
    <t>BE6279992182/9</t>
  </si>
  <si>
    <t>BE6279992182/10</t>
  </si>
  <si>
    <t>BE6279992182/11</t>
  </si>
  <si>
    <t>BE6279992182/12</t>
  </si>
  <si>
    <t>Linde AG</t>
  </si>
  <si>
    <t>ABERTIS</t>
  </si>
  <si>
    <t>ABE SQ Equity</t>
  </si>
  <si>
    <t>ABE SQ</t>
  </si>
  <si>
    <t>CO FP Equity</t>
  </si>
  <si>
    <t>CO FP</t>
  </si>
  <si>
    <t>CASINO</t>
  </si>
  <si>
    <t>CHRISTIAN DIOR</t>
  </si>
  <si>
    <t>CDI FP Equity</t>
  </si>
  <si>
    <t>CDI FP</t>
  </si>
  <si>
    <t>EUTELSAT COMMUNICATIONS</t>
  </si>
  <si>
    <t>ETL FP Equity</t>
  </si>
  <si>
    <t>ETL FP</t>
  </si>
  <si>
    <t>GALP PL Equity</t>
  </si>
  <si>
    <t>GALP PL</t>
  </si>
  <si>
    <t>GALP ENERGIA SGPS</t>
  </si>
  <si>
    <t>SODEXO</t>
  </si>
  <si>
    <t>SW FP Equity</t>
  </si>
  <si>
    <t>SW FP</t>
  </si>
  <si>
    <t>SUEZ ENVIRONMENT</t>
  </si>
  <si>
    <t>SEV FP Equity</t>
  </si>
  <si>
    <t>SEV FP</t>
  </si>
  <si>
    <t>NOKIA FH Equity</t>
  </si>
  <si>
    <t>NOKIA FH</t>
  </si>
  <si>
    <t>KHC UW Equity</t>
  </si>
  <si>
    <t>KHC UW</t>
  </si>
  <si>
    <t>KRAFT HEINZ</t>
  </si>
  <si>
    <t>LAFARGEHOLCIM</t>
  </si>
  <si>
    <t>WFD AU Equity</t>
  </si>
  <si>
    <t>WFD AU</t>
  </si>
  <si>
    <t>BE6279710279/1</t>
  </si>
  <si>
    <t>BE6279710279/2</t>
  </si>
  <si>
    <t>BE6279710279/3</t>
  </si>
  <si>
    <t>BE6279710279/4</t>
  </si>
  <si>
    <t>BE6279710279/5</t>
  </si>
  <si>
    <t>BE6279710279/6</t>
  </si>
  <si>
    <t>BE6279710279/7</t>
  </si>
  <si>
    <t>BE6279710279/8</t>
  </si>
  <si>
    <t>BE6279710279/9</t>
  </si>
  <si>
    <t>BE6279710279/10</t>
  </si>
  <si>
    <t>BE6279710279/11</t>
  </si>
  <si>
    <t>BE6279710279/12</t>
  </si>
  <si>
    <t>BE6279710279/13</t>
  </si>
  <si>
    <t>BE6279710279/14</t>
  </si>
  <si>
    <t>BE6279710279/15</t>
  </si>
  <si>
    <t>BE6279710279/16</t>
  </si>
  <si>
    <t>BE6279710279/17</t>
  </si>
  <si>
    <t>BE6279710279/18</t>
  </si>
  <si>
    <t>ČSOB Globální růst EUR 1 (Horizon)</t>
  </si>
  <si>
    <t>Perspective European Exporters 90 Smart Start USD 4</t>
  </si>
  <si>
    <t>ČSOB Globální oživení 2</t>
  </si>
  <si>
    <t>Optimum Fund ČSOB Globální oživení 2</t>
  </si>
  <si>
    <t>BE6281185478</t>
  </si>
  <si>
    <t>BE6281819027</t>
  </si>
  <si>
    <t>v období vyřazena SAINSBURRY</t>
  </si>
  <si>
    <t>Ano</t>
  </si>
  <si>
    <t>v období vyřazena WM MORRISON</t>
  </si>
  <si>
    <t>aktuální výnos</t>
  </si>
  <si>
    <t>ČSOB Dobrý start 3</t>
  </si>
  <si>
    <t>BE6282553575</t>
  </si>
  <si>
    <t>Optimum Fund ČSOB Dobrý start 3</t>
  </si>
  <si>
    <t>ČSOB Exkluzivní evropský jumper 3</t>
  </si>
  <si>
    <t>LU1311094582</t>
  </si>
  <si>
    <t>Contribute Partners ČSOB Exkluzivní evropský jumper 3</t>
  </si>
  <si>
    <t>ČSOB Svět s bonusem energie 1</t>
  </si>
  <si>
    <t>BE6282706165</t>
  </si>
  <si>
    <t>Horizon ČSOB Svět s bonusem energie 1</t>
  </si>
  <si>
    <t>Perspective E-commerce 90 USD 3</t>
  </si>
  <si>
    <t>BE6282406071</t>
  </si>
  <si>
    <t>BE6282408093</t>
  </si>
  <si>
    <t>Průměr zavíracích cen akcií za prvních 5 obchodních dní v lednu v letech:</t>
  </si>
  <si>
    <t>Průměr zavíracích cen akcií za prvních 5 obchodních dní v červenci v letech:</t>
  </si>
  <si>
    <t>LU1284712277/1</t>
  </si>
  <si>
    <t>LU1284712277/2</t>
  </si>
  <si>
    <t>LU1284712277/3</t>
  </si>
  <si>
    <t>LU1284712277/4</t>
  </si>
  <si>
    <t>LU1284712277/5</t>
  </si>
  <si>
    <t>WERELDHAVE</t>
  </si>
  <si>
    <t>WHA NA Equity</t>
  </si>
  <si>
    <t>WHA NA</t>
  </si>
  <si>
    <t>SUNCORP GROUP</t>
  </si>
  <si>
    <t>SUN AT Equity</t>
  </si>
  <si>
    <t>ČSOB Fixovaný click USD 5 (Global Partners)</t>
  </si>
  <si>
    <t>ČSOB Exkluzivní evropský jumper 2 (Contribute Partners)</t>
  </si>
  <si>
    <t>LU1254617860/1</t>
  </si>
  <si>
    <t>LU1254617860/2</t>
  </si>
  <si>
    <t>LU1254617860/3</t>
  </si>
  <si>
    <t>LU1254617860/4</t>
  </si>
  <si>
    <t>LU1254617860/5</t>
  </si>
  <si>
    <t>Perspective Eurozone Airbag 1</t>
  </si>
  <si>
    <t>BE6270146663</t>
  </si>
  <si>
    <t>bez období</t>
  </si>
  <si>
    <t>Eurozone Airbag 1 (Perspective)</t>
  </si>
  <si>
    <t>Perspective World Stocks 90 Timing Step Up USD 1</t>
  </si>
  <si>
    <t>BE6270149691</t>
  </si>
  <si>
    <t>World Stocks 90 Timing Step Up USD 1 (Perspective)</t>
  </si>
  <si>
    <t>Transocean Ltd</t>
  </si>
  <si>
    <t>Enagas</t>
  </si>
  <si>
    <t>Orange</t>
  </si>
  <si>
    <t>Perspective Asia 90 Timing USD 2</t>
  </si>
  <si>
    <t>BE6271688564</t>
  </si>
  <si>
    <t>BE6271688564/1</t>
  </si>
  <si>
    <t>Taiwan Weighted Index</t>
  </si>
  <si>
    <t>TWSE Index</t>
  </si>
  <si>
    <t>BE6271688564/2</t>
  </si>
  <si>
    <t>BE6271688564/3</t>
  </si>
  <si>
    <t>BE6271688564/4</t>
  </si>
  <si>
    <t>BE6271688564/5</t>
  </si>
  <si>
    <t>BE6271688564/6</t>
  </si>
  <si>
    <t>BE6271688564/7</t>
  </si>
  <si>
    <t>BE6271688564/8</t>
  </si>
  <si>
    <t>BE6271688564/9</t>
  </si>
  <si>
    <t>BE6271688564/10</t>
  </si>
  <si>
    <t>BE6271688564/11</t>
  </si>
  <si>
    <t>BE6271688564/12</t>
  </si>
  <si>
    <t>Asia 90 Timing USD 2 (Perspective)</t>
  </si>
  <si>
    <t>BE6270149691/1</t>
  </si>
  <si>
    <t>BE6270149691/2</t>
  </si>
  <si>
    <t>BE6270149691/3</t>
  </si>
  <si>
    <t>BE6270149691/4</t>
  </si>
  <si>
    <t>BE6270149691/5</t>
  </si>
  <si>
    <t>BE6270149691/6</t>
  </si>
  <si>
    <t>BE6270149691/7</t>
  </si>
  <si>
    <t>BE6270149691/8</t>
  </si>
  <si>
    <t>BE6270149691/9</t>
  </si>
  <si>
    <t>BE6270149691/10</t>
  </si>
  <si>
    <t>BE6270149691/11</t>
  </si>
  <si>
    <t>BE6270149691/12</t>
  </si>
  <si>
    <t>Germany 90 Smart Start USD 5 (Perspective)</t>
  </si>
  <si>
    <t>BE6278567480/1</t>
  </si>
  <si>
    <t>BE6278567480/2</t>
  </si>
  <si>
    <t>BE6278567480/3</t>
  </si>
  <si>
    <t>BE6278567480/4</t>
  </si>
  <si>
    <t>BE6278567480/5</t>
  </si>
  <si>
    <t>BE6278567480/6</t>
  </si>
  <si>
    <t>BE6278567480/7</t>
  </si>
  <si>
    <t>BE6278567480/8</t>
  </si>
  <si>
    <t>BE6278567480/9</t>
  </si>
  <si>
    <t>BE6278567480/10</t>
  </si>
  <si>
    <t>BE6278567480/11</t>
  </si>
  <si>
    <t>BE6278567480/12</t>
  </si>
  <si>
    <t>Commerzbank AG</t>
  </si>
  <si>
    <t>Continental AG</t>
  </si>
  <si>
    <t>IFX GY Equity</t>
  </si>
  <si>
    <t>K+S AG</t>
  </si>
  <si>
    <t>SDF GY Equity</t>
  </si>
  <si>
    <t>Brenntag</t>
  </si>
  <si>
    <t>IFX GY</t>
  </si>
  <si>
    <t>INFINEON TECHNOLOGIES</t>
  </si>
  <si>
    <t>SDF GY</t>
  </si>
  <si>
    <t>Minimální výchozí hodnota koše:</t>
  </si>
  <si>
    <t>ShareMultiplier</t>
  </si>
  <si>
    <t>ČSOB Světový expres 5</t>
  </si>
  <si>
    <t>LU1317707666</t>
  </si>
  <si>
    <t>Contribute Partners ČSOB Světový expres 5</t>
  </si>
  <si>
    <t>BE6284090428</t>
  </si>
  <si>
    <t>Perspective MY.fund Universal Selection Airbag USD April 2021</t>
  </si>
  <si>
    <t>ČSOB Světový expres 4 (Optimum Fund)</t>
  </si>
  <si>
    <t>LU1244748338/1</t>
  </si>
  <si>
    <t>LU1244748338/2</t>
  </si>
  <si>
    <t>LU1244748338/3</t>
  </si>
  <si>
    <t>LU1244748338/4</t>
  </si>
  <si>
    <t>LU1244748338/5</t>
  </si>
  <si>
    <t>LU1244748338/6</t>
  </si>
  <si>
    <t>LU1244748338/7</t>
  </si>
  <si>
    <t>LU1244748338/8</t>
  </si>
  <si>
    <t>LU1244748338/9</t>
  </si>
  <si>
    <t>LU1244748338/10</t>
  </si>
  <si>
    <t>LU1244748338/11</t>
  </si>
  <si>
    <t>LU1244748338/12</t>
  </si>
  <si>
    <t>LU1244748338/13</t>
  </si>
  <si>
    <t>LU1244748338/14</t>
  </si>
  <si>
    <t>LU1244748338/15</t>
  </si>
  <si>
    <t>LU1244748338/16</t>
  </si>
  <si>
    <t>LU1244748338/17</t>
  </si>
  <si>
    <t>LU1244748338/18</t>
  </si>
  <si>
    <t>ČSOB Globálních příležitostí USD 3</t>
  </si>
  <si>
    <t>Optimum Fund CSOB Globalnich Prilezitosti USD 3</t>
  </si>
  <si>
    <t>BE6283791349</t>
  </si>
  <si>
    <t>ČSOB Světoví hráči 1</t>
  </si>
  <si>
    <t>Contribute Partners ČSOB Světoví hráči 1</t>
  </si>
  <si>
    <t>LU1328607426</t>
  </si>
  <si>
    <t>ČSOB Airbag jumper exclusive EUR 8</t>
  </si>
  <si>
    <t>BE6284973524</t>
  </si>
  <si>
    <t>Optimum Fund ČSOB Airbag jumper exclusive EUR 8</t>
  </si>
  <si>
    <t>Global Partners Patria Selection 1</t>
  </si>
  <si>
    <t>Patria Selection 1</t>
  </si>
  <si>
    <t>LU1332500260</t>
  </si>
  <si>
    <t xml:space="preserve"> 18.01.2016</t>
  </si>
  <si>
    <t>LU1339538255</t>
  </si>
  <si>
    <t>Contribute partners ČSOB Exkluzivní evropský jumper 4</t>
  </si>
  <si>
    <t>ČSOB Exkluzivní evropský jumper 4</t>
  </si>
  <si>
    <t>AGL AU</t>
  </si>
  <si>
    <t>AGL AU Equity</t>
  </si>
  <si>
    <t>CB US Equity</t>
  </si>
  <si>
    <t>CB US</t>
  </si>
  <si>
    <t>TD CN Equity</t>
  </si>
  <si>
    <t>LHN VX Equity</t>
  </si>
  <si>
    <t>TELIA SS Equity</t>
  </si>
  <si>
    <t>TELIA SS</t>
  </si>
  <si>
    <t>IMB LN Equity</t>
  </si>
  <si>
    <t>IMB LN</t>
  </si>
  <si>
    <t>MFCB US Equity</t>
  </si>
  <si>
    <t>ČSOB Dobrý start 3 (Optimum Fund)</t>
  </si>
  <si>
    <t>NA CT Equity</t>
  </si>
  <si>
    <t>TD CT Equity</t>
  </si>
  <si>
    <t>Baloise Holding AG</t>
  </si>
  <si>
    <t>National Bank of Canada</t>
  </si>
  <si>
    <t>Telefonica SA (SQ)</t>
  </si>
  <si>
    <t>NA CT</t>
  </si>
  <si>
    <t>TEF SQ</t>
  </si>
  <si>
    <t>TD CT</t>
  </si>
  <si>
    <t>BE6282553575/1</t>
  </si>
  <si>
    <t>BE6282553575/2</t>
  </si>
  <si>
    <t>BE6282553575/3</t>
  </si>
  <si>
    <t>BE6282553575/4</t>
  </si>
  <si>
    <t>BE6282553575/5</t>
  </si>
  <si>
    <t>BE6282553575/6</t>
  </si>
  <si>
    <t>BE6282553575/7</t>
  </si>
  <si>
    <t>BE6282553575/8</t>
  </si>
  <si>
    <t>BE6282553575/9</t>
  </si>
  <si>
    <t>BE6282553575/10</t>
  </si>
  <si>
    <t>BE6282553575/11</t>
  </si>
  <si>
    <t>BE6282553575/12</t>
  </si>
  <si>
    <t>BE6282553575/13</t>
  </si>
  <si>
    <t>BE6282553575/14</t>
  </si>
  <si>
    <t>BE6282553575/15</t>
  </si>
  <si>
    <t>BE6282553575/16</t>
  </si>
  <si>
    <t>BE6282553575/17</t>
  </si>
  <si>
    <t>BE6282553575/18</t>
  </si>
  <si>
    <t>ČSOB Globální oživení 2 (Optimum Fund)</t>
  </si>
  <si>
    <t>BE6281185478/1</t>
  </si>
  <si>
    <t>BE6281185478/2</t>
  </si>
  <si>
    <t>BE6281185478/3</t>
  </si>
  <si>
    <t>BE6281185478/4</t>
  </si>
  <si>
    <t>BE6281185478/5</t>
  </si>
  <si>
    <t>BE6281185478/6</t>
  </si>
  <si>
    <t>BE6281185478/7</t>
  </si>
  <si>
    <t>BE6281185478/8</t>
  </si>
  <si>
    <t>BE6281185478/9</t>
  </si>
  <si>
    <t>BE6281185478/10</t>
  </si>
  <si>
    <t>BE6281185478/11</t>
  </si>
  <si>
    <t>BE6281185478/12</t>
  </si>
  <si>
    <t>BE6281185478/13</t>
  </si>
  <si>
    <t>BE6281185478/14</t>
  </si>
  <si>
    <t>BE6281185478/15</t>
  </si>
  <si>
    <t>BE6281185478/16</t>
  </si>
  <si>
    <t>BE6281185478/17</t>
  </si>
  <si>
    <t>BE6281185478/18</t>
  </si>
  <si>
    <t>ČSOB Exkluzivní evropský jumper 3 (Contribute Partners)</t>
  </si>
  <si>
    <t>LU1311094582/1</t>
  </si>
  <si>
    <t>LU1311094582/2</t>
  </si>
  <si>
    <t>LU1311094582/3</t>
  </si>
  <si>
    <t>LU1311094582/4</t>
  </si>
  <si>
    <t>LU1311094582/5</t>
  </si>
  <si>
    <t>ČSOB Světový expres 5 (Optimum Fund)</t>
  </si>
  <si>
    <t>RDSB LN Equity</t>
  </si>
  <si>
    <t>RDSB LN</t>
  </si>
  <si>
    <t>Royal Dutch Shell Plc (B)</t>
  </si>
  <si>
    <t>LU1317707666/1</t>
  </si>
  <si>
    <t>LU1317707666/2</t>
  </si>
  <si>
    <t>LU1317707666/3</t>
  </si>
  <si>
    <t>LU1317707666/4</t>
  </si>
  <si>
    <t>LU1317707666/5</t>
  </si>
  <si>
    <t>LU1317707666/6</t>
  </si>
  <si>
    <t>LU1317707666/7</t>
  </si>
  <si>
    <t>LU1317707666/8</t>
  </si>
  <si>
    <t>LU1317707666/9</t>
  </si>
  <si>
    <t>LU1317707666/10</t>
  </si>
  <si>
    <t>LU1317707666/11</t>
  </si>
  <si>
    <t>LU1317707666/12</t>
  </si>
  <si>
    <t>LU1317707666/13</t>
  </si>
  <si>
    <t>LU1317707666/14</t>
  </si>
  <si>
    <t>LU1317707666/15</t>
  </si>
  <si>
    <t>LU1317707666/16</t>
  </si>
  <si>
    <t>LU1317707666/17</t>
  </si>
  <si>
    <t>LU1317707666/18</t>
  </si>
  <si>
    <t>pokles ceny ověřen na bloomberg</t>
  </si>
  <si>
    <t>AHT LN Equity</t>
  </si>
  <si>
    <t>AZM IM Equity</t>
  </si>
  <si>
    <t>DFS UN Equity</t>
  </si>
  <si>
    <t>HON UN Equity</t>
  </si>
  <si>
    <t>MET UN Equity</t>
  </si>
  <si>
    <t>TW/ LN Equity</t>
  </si>
  <si>
    <t>UNP UN Equity</t>
  </si>
  <si>
    <t>WDC UW Equity</t>
  </si>
  <si>
    <t>Ashtead Group PLC</t>
  </si>
  <si>
    <t>Azimut Holding SpA</t>
  </si>
  <si>
    <t>Bayer AG</t>
  </si>
  <si>
    <t>Discover Financial Services</t>
  </si>
  <si>
    <t>Honeywell International</t>
  </si>
  <si>
    <t>MetLife Inc</t>
  </si>
  <si>
    <t>Taylor Wimpey Plc</t>
  </si>
  <si>
    <t>Union Pacific Corp</t>
  </si>
  <si>
    <t>Western Digital</t>
  </si>
  <si>
    <t>AHT LN</t>
  </si>
  <si>
    <t>AZM IM</t>
  </si>
  <si>
    <t>BAYN GY</t>
  </si>
  <si>
    <t>DFS UN</t>
  </si>
  <si>
    <t>HON UN</t>
  </si>
  <si>
    <t>MET UN</t>
  </si>
  <si>
    <t>TW/ LN</t>
  </si>
  <si>
    <t>UNP UN</t>
  </si>
  <si>
    <t>WDC UW</t>
  </si>
  <si>
    <t>ENB CT Equity</t>
  </si>
  <si>
    <t>5020 JT Equity</t>
  </si>
  <si>
    <t>ENB CT</t>
  </si>
  <si>
    <t>5020 JT</t>
  </si>
  <si>
    <t>Enbridge Inc</t>
  </si>
  <si>
    <t>JX Holdings</t>
  </si>
  <si>
    <t>Woodside Petroleum</t>
  </si>
  <si>
    <t>WPL AT Equity</t>
  </si>
  <si>
    <t>ELISA FH</t>
  </si>
  <si>
    <t>ELISA FH Equity</t>
  </si>
  <si>
    <t>Perpective Universal Selection Airbag USD April 2021</t>
  </si>
  <si>
    <t>Perspective Exclusive Universal Selection Short Term Timing 1</t>
  </si>
  <si>
    <t>Perspective Quality Stocks Conditional Coupon USD 1</t>
  </si>
  <si>
    <t>Perspective Global Stocks Invest Ladder 1</t>
  </si>
  <si>
    <t>Pozorování:</t>
  </si>
  <si>
    <t>10 dní v únoru 2016</t>
  </si>
  <si>
    <t>Koš</t>
  </si>
  <si>
    <t>Ochrana</t>
  </si>
  <si>
    <t>European Exporters 90 Smart Start USD 4 (Perspective)</t>
  </si>
  <si>
    <t>Gas Natural SDG SA (SQ)</t>
  </si>
  <si>
    <t>Iberdrola SA (SQ)</t>
  </si>
  <si>
    <t>IBE SQ Equity</t>
  </si>
  <si>
    <t>IBE SQ</t>
  </si>
  <si>
    <t>BE6281819027/1</t>
  </si>
  <si>
    <t>BE6281819027/2</t>
  </si>
  <si>
    <t>BE6281819027/3</t>
  </si>
  <si>
    <t>BE6281819027/4</t>
  </si>
  <si>
    <t>BE6281819027/5</t>
  </si>
  <si>
    <t>BE6281819027/6</t>
  </si>
  <si>
    <t>BE6281819027/7</t>
  </si>
  <si>
    <t>BE6281819027/8</t>
  </si>
  <si>
    <t>BE6281819027/9</t>
  </si>
  <si>
    <t>BE6281819027/10</t>
  </si>
  <si>
    <t>BE6281819027/11</t>
  </si>
  <si>
    <t>BE6281819027/12</t>
  </si>
  <si>
    <t>BABA UN Equity</t>
  </si>
  <si>
    <t>AMZN UW Equity</t>
  </si>
  <si>
    <t>BPOST BB Equity</t>
  </si>
  <si>
    <t>DSV DC Equity</t>
  </si>
  <si>
    <t>EXPE UW Equity</t>
  </si>
  <si>
    <t>FDX UN Equity</t>
  </si>
  <si>
    <t>GRPN UW Equity</t>
  </si>
  <si>
    <t>IP UN Equity</t>
  </si>
  <si>
    <t>MNDI LN Equity</t>
  </si>
  <si>
    <t>PLD UN Equity</t>
  </si>
  <si>
    <t>SKG ID Equity</t>
  </si>
  <si>
    <t>700 HK Equity</t>
  </si>
  <si>
    <t>WBA UW Equity</t>
  </si>
  <si>
    <t>WFM UW Equity</t>
  </si>
  <si>
    <t>WMH LN Equity</t>
  </si>
  <si>
    <t>YNAP IM Equity</t>
  </si>
  <si>
    <t>Alibaba Group</t>
  </si>
  <si>
    <t>Amazon.com Inc (UW)</t>
  </si>
  <si>
    <t>Bpost SA</t>
  </si>
  <si>
    <t>DSV A/S</t>
  </si>
  <si>
    <t>Expedia Inc.</t>
  </si>
  <si>
    <t>Fedex corp</t>
  </si>
  <si>
    <t>Groupon Inc.</t>
  </si>
  <si>
    <t>International Paper</t>
  </si>
  <si>
    <t>Mondi PLC</t>
  </si>
  <si>
    <t>ProLogis Inc</t>
  </si>
  <si>
    <t>Smurfit Kappa Group PLC</t>
  </si>
  <si>
    <t>Sports Direct International PLC</t>
  </si>
  <si>
    <t>Tencent Holdings Limited</t>
  </si>
  <si>
    <t>The Priceline Group Inc.</t>
  </si>
  <si>
    <t>Walgreens Boots Alliance</t>
  </si>
  <si>
    <t>Whole Foods Market Inc.</t>
  </si>
  <si>
    <t>William Hill PLC</t>
  </si>
  <si>
    <t>Yoox Net-a-porter Group</t>
  </si>
  <si>
    <t>BABA UN</t>
  </si>
  <si>
    <t>BPOST BB</t>
  </si>
  <si>
    <t>DSV DC</t>
  </si>
  <si>
    <t>EXPE UW</t>
  </si>
  <si>
    <t>FDX UN</t>
  </si>
  <si>
    <t>GRPN UW</t>
  </si>
  <si>
    <t>IP UN</t>
  </si>
  <si>
    <t>MNDI LN</t>
  </si>
  <si>
    <t>PLD UN</t>
  </si>
  <si>
    <t>SKG ID</t>
  </si>
  <si>
    <t>700 HK</t>
  </si>
  <si>
    <t>WBA UW</t>
  </si>
  <si>
    <t>WFM UW</t>
  </si>
  <si>
    <t>WMH LN</t>
  </si>
  <si>
    <t>YNAP IM</t>
  </si>
  <si>
    <t>BE6282406071/1</t>
  </si>
  <si>
    <t>BE6282406071/2</t>
  </si>
  <si>
    <t>BE6282406071/3</t>
  </si>
  <si>
    <t>BE6282406071/4</t>
  </si>
  <si>
    <t>BE6282406071/5</t>
  </si>
  <si>
    <t>BE6282406071/6</t>
  </si>
  <si>
    <t>BE6282406071/7</t>
  </si>
  <si>
    <t>BE6282406071/8</t>
  </si>
  <si>
    <t>BE6282406071/9</t>
  </si>
  <si>
    <t>BE6282406071/10</t>
  </si>
  <si>
    <t>BE6282406071/11</t>
  </si>
  <si>
    <t>BE6282406071/12</t>
  </si>
  <si>
    <t>BE6282408093/1</t>
  </si>
  <si>
    <t>BE6282408093/2</t>
  </si>
  <si>
    <t>BE6282408093/3</t>
  </si>
  <si>
    <t>BE6282408093/4</t>
  </si>
  <si>
    <t>BE6282408093/5</t>
  </si>
  <si>
    <t>BE6282408093/6</t>
  </si>
  <si>
    <t>BE6284090428/1</t>
  </si>
  <si>
    <t>BE6284090428/2</t>
  </si>
  <si>
    <t>BE6284090428/3</t>
  </si>
  <si>
    <t>BE6284090428/4</t>
  </si>
  <si>
    <t>BE6284090428/5</t>
  </si>
  <si>
    <t>BE6284090428/6</t>
  </si>
  <si>
    <t>BE6284633037</t>
  </si>
  <si>
    <t>Perspective Universal Selection 90 Timing Optimizer USD 1</t>
  </si>
  <si>
    <t>Perspective Universal Selection 90 Timing Optimizer USD 3</t>
  </si>
  <si>
    <t>BE6272401900/1</t>
  </si>
  <si>
    <t>BE6272401900/2</t>
  </si>
  <si>
    <t>BE6272401900/3</t>
  </si>
  <si>
    <t>BE6272401900/4</t>
  </si>
  <si>
    <t>BE6272401900/5</t>
  </si>
  <si>
    <t>BE6272401900/6</t>
  </si>
  <si>
    <t>BE6272401900/7</t>
  </si>
  <si>
    <t>BE6272401900/8</t>
  </si>
  <si>
    <t>BE6272401900/9</t>
  </si>
  <si>
    <t>BE6272401900/10</t>
  </si>
  <si>
    <t>BE6272401900/11</t>
  </si>
  <si>
    <t>BE6272401900/12</t>
  </si>
  <si>
    <t>BE6272401900/13</t>
  </si>
  <si>
    <t>BE6272401900/14</t>
  </si>
  <si>
    <t>BE6272401900/15</t>
  </si>
  <si>
    <t>BE6272401900/16</t>
  </si>
  <si>
    <t>BE6272401900/17</t>
  </si>
  <si>
    <t>BE6272401900/18</t>
  </si>
  <si>
    <t>Větší</t>
  </si>
  <si>
    <t>5333 JT Equity</t>
  </si>
  <si>
    <t>5333 JT</t>
  </si>
  <si>
    <t>NGK Insulators Ltd</t>
  </si>
  <si>
    <t>5713 JT Equity</t>
  </si>
  <si>
    <t>5713 JT</t>
  </si>
  <si>
    <t>Sumitomo Metal</t>
  </si>
  <si>
    <t>BE6277726806/1</t>
  </si>
  <si>
    <t>BE6277726806/2</t>
  </si>
  <si>
    <t>BE6277726806/3</t>
  </si>
  <si>
    <t>BE6277726806/4</t>
  </si>
  <si>
    <t>BE6277726806/5</t>
  </si>
  <si>
    <t>BE6277726806/6</t>
  </si>
  <si>
    <t>BE6277726806/7</t>
  </si>
  <si>
    <t>BE6277726806/8</t>
  </si>
  <si>
    <t>BE6277726806/9</t>
  </si>
  <si>
    <t>BE6277726806/10</t>
  </si>
  <si>
    <t>BE6277726806/11</t>
  </si>
  <si>
    <t>BE6277726806/12</t>
  </si>
  <si>
    <t>BE6284633037/1</t>
  </si>
  <si>
    <t>BE6284633037/2</t>
  </si>
  <si>
    <t>BE6284633037/3</t>
  </si>
  <si>
    <t>BE6284633037/4</t>
  </si>
  <si>
    <t>BE6284633037/5</t>
  </si>
  <si>
    <t>BE6284633037/6</t>
  </si>
  <si>
    <t>BE6284633037/7</t>
  </si>
  <si>
    <t>BE6284633037/8</t>
  </si>
  <si>
    <t>BE6284633037/9</t>
  </si>
  <si>
    <t>BE6284633037/10</t>
  </si>
  <si>
    <t>BE6284633037/11</t>
  </si>
  <si>
    <t>BE6284633037/12</t>
  </si>
  <si>
    <t>ČSOB Globálních příležitostí USD 3 (Optimum Fund)</t>
  </si>
  <si>
    <t>BE6283791349/1</t>
  </si>
  <si>
    <t>BE6283791349/2</t>
  </si>
  <si>
    <t>BE6283791349/3</t>
  </si>
  <si>
    <t>BE6283791349/4</t>
  </si>
  <si>
    <t>BE6283791349/5</t>
  </si>
  <si>
    <t>BE6283791349/6</t>
  </si>
  <si>
    <t>BE6283791349/7</t>
  </si>
  <si>
    <t>BE6283791349/8</t>
  </si>
  <si>
    <t>BE6283791349/9</t>
  </si>
  <si>
    <t>BE6283791349/10</t>
  </si>
  <si>
    <t>BE6283791349/11</t>
  </si>
  <si>
    <t>BE6283791349/12</t>
  </si>
  <si>
    <t>BE6283791349/13</t>
  </si>
  <si>
    <t>BE6283791349/14</t>
  </si>
  <si>
    <t>BE6283791349/15</t>
  </si>
  <si>
    <t>BE6283791349/16</t>
  </si>
  <si>
    <t>BE6283791349/17</t>
  </si>
  <si>
    <t>BE6283791349/18</t>
  </si>
  <si>
    <t>LU1328607426/1</t>
  </si>
  <si>
    <t>LU1328607426/2</t>
  </si>
  <si>
    <t>LU1328607426/3</t>
  </si>
  <si>
    <t>LU1328607426/4</t>
  </si>
  <si>
    <t>LU1328607426/5</t>
  </si>
  <si>
    <t>LU1328607426/6</t>
  </si>
  <si>
    <t>LU1328607426/7</t>
  </si>
  <si>
    <t>LU1328607426/8</t>
  </si>
  <si>
    <t>LU1328607426/9</t>
  </si>
  <si>
    <t>LU1328607426/10</t>
  </si>
  <si>
    <t>LU1328607426/11</t>
  </si>
  <si>
    <t>LU1328607426/12</t>
  </si>
  <si>
    <t>LU1328607426/13</t>
  </si>
  <si>
    <t>LU1328607426/14</t>
  </si>
  <si>
    <t>LU1328607426/15</t>
  </si>
  <si>
    <t>LU1328607426/16</t>
  </si>
  <si>
    <t>LU1328607426/17</t>
  </si>
  <si>
    <t>LU1328607426/18</t>
  </si>
  <si>
    <t>STOXX Europe 600 Oil &amp; Gas Price EUR</t>
  </si>
  <si>
    <t>SXEP Index</t>
  </si>
  <si>
    <t>změna indexu</t>
  </si>
  <si>
    <t>BE6281007631/1</t>
  </si>
  <si>
    <t>BE6281007631/2</t>
  </si>
  <si>
    <t>BE6281007631/3</t>
  </si>
  <si>
    <t>BE6281007631/4</t>
  </si>
  <si>
    <t>BE6281007631/5</t>
  </si>
  <si>
    <t>BE6281007631/6</t>
  </si>
  <si>
    <t>BE6281007631/7</t>
  </si>
  <si>
    <t>BE6281007631/8</t>
  </si>
  <si>
    <t>BE6281007631/9</t>
  </si>
  <si>
    <t>BE6281007631/10</t>
  </si>
  <si>
    <t>BE6281007631/11</t>
  </si>
  <si>
    <t>BE6281007631/12</t>
  </si>
  <si>
    <t>BE6280492339/1</t>
  </si>
  <si>
    <t>BE6280492339/2</t>
  </si>
  <si>
    <t>BE6280492339/3</t>
  </si>
  <si>
    <t>BE6280492339/4</t>
  </si>
  <si>
    <t>BE6280492339/5</t>
  </si>
  <si>
    <t>BE6280492339/6</t>
  </si>
  <si>
    <t>BE6280492339/7</t>
  </si>
  <si>
    <t>BE6280492339/8</t>
  </si>
  <si>
    <t>BE6280492339/9</t>
  </si>
  <si>
    <t>BE6280492339/10</t>
  </si>
  <si>
    <t>BE6280492339/11</t>
  </si>
  <si>
    <t>BE6280492339/12</t>
  </si>
  <si>
    <t>Smart start</t>
  </si>
  <si>
    <t>Minimální hodnota</t>
  </si>
  <si>
    <t xml:space="preserve">Minimální hodnota </t>
  </si>
  <si>
    <t>Smart Start</t>
  </si>
  <si>
    <t>BE6286142573</t>
  </si>
  <si>
    <t>ČSOB Dobrý start 4</t>
  </si>
  <si>
    <t>Optimum Fund CSOB Dobry start 4</t>
  </si>
  <si>
    <t>BE6285423172</t>
  </si>
  <si>
    <t>Oprimum Fund CSOB Airbag Jumper EUR 7</t>
  </si>
  <si>
    <t>ČSOB Airbag Jumper EUR 7</t>
  </si>
  <si>
    <t>BE6284969480</t>
  </si>
  <si>
    <t xml:space="preserve">Smart Start </t>
  </si>
  <si>
    <t>Výchozí hodnota 100</t>
  </si>
  <si>
    <t>Contribute Partners CSOB Energie a ropa 1</t>
  </si>
  <si>
    <t>ČSOB Energie a ropa 1</t>
  </si>
  <si>
    <t>LU1373023909</t>
  </si>
  <si>
    <t>NO</t>
  </si>
  <si>
    <t>YES</t>
  </si>
  <si>
    <t>Proti minimu</t>
  </si>
  <si>
    <t>F</t>
  </si>
  <si>
    <t>1. pozorování</t>
  </si>
  <si>
    <t>2. pozorování</t>
  </si>
  <si>
    <t>Pozorování 1  - červen 2016:</t>
  </si>
  <si>
    <t>ČSOB Exkluzivní evropský jumper 4 (Contribute Partners)</t>
  </si>
  <si>
    <t>LU1339538255/1</t>
  </si>
  <si>
    <t>LU1339538255/2</t>
  </si>
  <si>
    <t>LU1339538255/3</t>
  </si>
  <si>
    <t>LU1339538255/4</t>
  </si>
  <si>
    <t>LU1339538255/5</t>
  </si>
  <si>
    <t>Optimum Fund CSOB Airbag Jumper EUR 7</t>
  </si>
  <si>
    <t>BE6286142573/1</t>
  </si>
  <si>
    <t>BE6286142573/2</t>
  </si>
  <si>
    <t>BE6286142573/3</t>
  </si>
  <si>
    <t>BE6286142573/4</t>
  </si>
  <si>
    <t>BE6286142573/5</t>
  </si>
  <si>
    <t>BE6286142573/6</t>
  </si>
  <si>
    <t>BE6286142573/7</t>
  </si>
  <si>
    <t>BE6286142573/8</t>
  </si>
  <si>
    <t>BE6286142573/9</t>
  </si>
  <si>
    <t>BE6286142573/10</t>
  </si>
  <si>
    <t>BE6286142573/11</t>
  </si>
  <si>
    <t>BE6286142573/12</t>
  </si>
  <si>
    <t>ČSOB Dobrý start 4 (Optimum Fund)</t>
  </si>
  <si>
    <t>BE6285423172/1</t>
  </si>
  <si>
    <t>BE6285423172/2</t>
  </si>
  <si>
    <t>BE6285423172/3</t>
  </si>
  <si>
    <t>BE6285423172/4</t>
  </si>
  <si>
    <t>BE6285423172/5</t>
  </si>
  <si>
    <t>BE6285423172/6</t>
  </si>
  <si>
    <t>BE6285423172/7</t>
  </si>
  <si>
    <t>BE6285423172/8</t>
  </si>
  <si>
    <t>BE6285423172/9</t>
  </si>
  <si>
    <t>BE6285423172/10</t>
  </si>
  <si>
    <t>BE6285423172/11</t>
  </si>
  <si>
    <t>BE6285423172/12</t>
  </si>
  <si>
    <t>BE6285423172/13</t>
  </si>
  <si>
    <t>BE6285423172/14</t>
  </si>
  <si>
    <t>BE6285423172/15</t>
  </si>
  <si>
    <t>BE6285423172/16</t>
  </si>
  <si>
    <t>BE6285423172/17</t>
  </si>
  <si>
    <t>BE6285423172/18</t>
  </si>
  <si>
    <t>Perspective Universal Selection Protection USD 1</t>
  </si>
  <si>
    <t>BE6286939788</t>
  </si>
  <si>
    <t>BE6286939788/1</t>
  </si>
  <si>
    <t>BE6286939788/2</t>
  </si>
  <si>
    <t>BE6286939788/3</t>
  </si>
  <si>
    <t>BE6286939788/4</t>
  </si>
  <si>
    <t>BE6286939788/5</t>
  </si>
  <si>
    <t>BE6286939788/6</t>
  </si>
  <si>
    <t>BE6286939788/7</t>
  </si>
  <si>
    <t>BE6286939788/8</t>
  </si>
  <si>
    <t>BE6286939788/9</t>
  </si>
  <si>
    <t>BE6286939788/10</t>
  </si>
  <si>
    <t>BE6286939788/11</t>
  </si>
  <si>
    <t>BE6286939788/12</t>
  </si>
  <si>
    <t>AD NA</t>
  </si>
  <si>
    <t>AD NA Equity</t>
  </si>
  <si>
    <t>Perspective Solid Companies 90 Timing USD 3</t>
  </si>
  <si>
    <t>BE6287839086/2</t>
  </si>
  <si>
    <t>BE6287839086/3</t>
  </si>
  <si>
    <t>BE6287839086/4</t>
  </si>
  <si>
    <t>BE6287839086/5</t>
  </si>
  <si>
    <t>BE6287839086/6</t>
  </si>
  <si>
    <t>BE6287839086/7</t>
  </si>
  <si>
    <t>BE6287839086/8</t>
  </si>
  <si>
    <t>BE6287839086/9</t>
  </si>
  <si>
    <t>BE6287839086/10</t>
  </si>
  <si>
    <t>BE6287839086/11</t>
  </si>
  <si>
    <t>BE6287839086/12</t>
  </si>
  <si>
    <t>BE6287839086/1</t>
  </si>
  <si>
    <t>SAMPO FH</t>
  </si>
  <si>
    <t>SAMPO FH Equity</t>
  </si>
  <si>
    <t>JCI US</t>
  </si>
  <si>
    <t>JCI US Equity</t>
  </si>
  <si>
    <t>BE6287839086</t>
  </si>
  <si>
    <t>LU1254617860</t>
  </si>
  <si>
    <t>ČSOB Světoví hráči 2</t>
  </si>
  <si>
    <t>ČSOB Evropský jumper 5</t>
  </si>
  <si>
    <t>ČSOB Patria airbag 1</t>
  </si>
  <si>
    <t>LU1386139338</t>
  </si>
  <si>
    <t xml:space="preserve">Contribute Partners ČSOB Světoví hráči 2 </t>
  </si>
  <si>
    <t>Contribute Partners ČSOB Evropský jumper 5</t>
  </si>
  <si>
    <t>Optimum fund ČSOB Patria airbag 1</t>
  </si>
  <si>
    <t xml:space="preserve">Perspective Universal Selection 100 USD 1 </t>
  </si>
  <si>
    <t xml:space="preserve">Perspective Universal Selection 100 USD 2 </t>
  </si>
  <si>
    <t>BE6288412966</t>
  </si>
  <si>
    <t>BE6288934365</t>
  </si>
  <si>
    <t>BE6286962046</t>
  </si>
  <si>
    <t>nezaklikl</t>
  </si>
  <si>
    <t>LU1425364806/1</t>
  </si>
  <si>
    <t>LU1425364806/2</t>
  </si>
  <si>
    <t>LU1425364806/3</t>
  </si>
  <si>
    <t>LU1425364806/4</t>
  </si>
  <si>
    <t>LU1425364806/5</t>
  </si>
  <si>
    <t>LU1386139338 /1</t>
  </si>
  <si>
    <t>LU1386139338 /2</t>
  </si>
  <si>
    <t>LU1386139338 /3</t>
  </si>
  <si>
    <t>LU1386139338 /4</t>
  </si>
  <si>
    <t>LU1386139338 /5</t>
  </si>
  <si>
    <t>LU1386139338 /6</t>
  </si>
  <si>
    <t>LU1386139338 /7</t>
  </si>
  <si>
    <t>LU1386139338 /8</t>
  </si>
  <si>
    <t>LU1386139338 /9</t>
  </si>
  <si>
    <t>LU1386139338 /10</t>
  </si>
  <si>
    <t>LU1386139338 /11</t>
  </si>
  <si>
    <t>LU1386139338 /12</t>
  </si>
  <si>
    <t>LU1386139338 /13</t>
  </si>
  <si>
    <t>LU1386139338 /14</t>
  </si>
  <si>
    <t>LU1386139338 /15</t>
  </si>
  <si>
    <t>LU1386139338 /16</t>
  </si>
  <si>
    <t>LU1386139338 /17</t>
  </si>
  <si>
    <t>LU1386139338 /18</t>
  </si>
  <si>
    <t>ČSOB Patria Airbag 1 (Optimum Fund)</t>
  </si>
  <si>
    <t>International Consolidated Airlines</t>
  </si>
  <si>
    <t>IAG LN Equity</t>
  </si>
  <si>
    <t>Simon Property Group Inc (UN)</t>
  </si>
  <si>
    <t>SPG UN Equity</t>
  </si>
  <si>
    <t>Softbank Group Corp</t>
  </si>
  <si>
    <t>9984 JT Equity</t>
  </si>
  <si>
    <t>IAG LN</t>
  </si>
  <si>
    <t>SPG UN</t>
  </si>
  <si>
    <t>9984 JT</t>
  </si>
  <si>
    <t>BE6286962046/1</t>
  </si>
  <si>
    <t>BE6286962046/2</t>
  </si>
  <si>
    <t>BE6286962046/3</t>
  </si>
  <si>
    <t>BE6286962046/4</t>
  </si>
  <si>
    <t>BE6286962046/5</t>
  </si>
  <si>
    <t>BE6286962046/6</t>
  </si>
  <si>
    <t>BE6286962046/7</t>
  </si>
  <si>
    <t>BE6286962046/8</t>
  </si>
  <si>
    <t>BE6286962046/9</t>
  </si>
  <si>
    <t>BE6286962046/10</t>
  </si>
  <si>
    <t>BE6286962046/11</t>
  </si>
  <si>
    <t>BE6286962046/12</t>
  </si>
  <si>
    <t>BE6286962046/13</t>
  </si>
  <si>
    <t>BE6286962046/14</t>
  </si>
  <si>
    <t>BE6286962046/15</t>
  </si>
  <si>
    <t>BE6286962046/16</t>
  </si>
  <si>
    <t>BE6286962046/17</t>
  </si>
  <si>
    <t>BE6286962046/18</t>
  </si>
  <si>
    <t>Perspective Universal Selection 100 USD 1</t>
  </si>
  <si>
    <t>BE6288412966/1</t>
  </si>
  <si>
    <t>BE6288412966/2</t>
  </si>
  <si>
    <t>BE6288412966/3</t>
  </si>
  <si>
    <t>BE6288412966/4</t>
  </si>
  <si>
    <t>BE6288412966/5</t>
  </si>
  <si>
    <t>BE6288412966/6</t>
  </si>
  <si>
    <t>BE6288412966/7</t>
  </si>
  <si>
    <t>BE6288412966/8</t>
  </si>
  <si>
    <t>BE6288412966/9</t>
  </si>
  <si>
    <t>BE6288412966/10</t>
  </si>
  <si>
    <t>BE6288412966/11</t>
  </si>
  <si>
    <t>BE6288412966/12</t>
  </si>
  <si>
    <t>vývoj evropské inflace v 4. období (indexEurostat Eurozone HICP Ex Tobacco Unrevised Series
)</t>
  </si>
  <si>
    <t xml:space="preserve">vývoj evropské inflace v 5. období (indexEurostat Eurozone HICP Ex Tobacco Unrevised Series
</t>
  </si>
  <si>
    <t>Po 1. roce</t>
  </si>
  <si>
    <t>Není dividenda</t>
  </si>
  <si>
    <t>po 1. roce zaklikl ochranu</t>
  </si>
  <si>
    <t>CPB UN Equity</t>
  </si>
  <si>
    <t>započítáno</t>
  </si>
  <si>
    <t>Global Partners Patria Selection 2</t>
  </si>
  <si>
    <t>Patria Selection 2</t>
  </si>
  <si>
    <t>Contribute Partners ČSOB Šampioni sportu 3</t>
  </si>
  <si>
    <t>ČSOB Šampioni sportu 3</t>
  </si>
  <si>
    <t>Amgen Inc (UW)</t>
  </si>
  <si>
    <t>Cardinal Health</t>
  </si>
  <si>
    <t>MARINE HARVEST ASA</t>
  </si>
  <si>
    <t>Pandora AS</t>
  </si>
  <si>
    <t>PHILLIPS 66</t>
  </si>
  <si>
    <t>Starbucks</t>
  </si>
  <si>
    <t>TWENTY-FIRST CENTURY FOX-A</t>
  </si>
  <si>
    <t>VF Corp</t>
  </si>
  <si>
    <t>AMGN UW Equity</t>
  </si>
  <si>
    <t>AMGN UW</t>
  </si>
  <si>
    <t>CAH UN Equity</t>
  </si>
  <si>
    <t>MSFT UW Equity</t>
  </si>
  <si>
    <t>PNDORA DC Equity</t>
  </si>
  <si>
    <t>PSX UN Equity</t>
  </si>
  <si>
    <t>SBUX UW Equity</t>
  </si>
  <si>
    <t>FOXA UW Equity</t>
  </si>
  <si>
    <t>VFC UN Equity</t>
  </si>
  <si>
    <t>CAH UN</t>
  </si>
  <si>
    <t>MSFT UW</t>
  </si>
  <si>
    <t>PNDORA DC</t>
  </si>
  <si>
    <t>PSX UN</t>
  </si>
  <si>
    <t>SBUX UW</t>
  </si>
  <si>
    <t>FOXA UW</t>
  </si>
  <si>
    <t>VFC UN</t>
  </si>
  <si>
    <t>LU1457606314 /1</t>
  </si>
  <si>
    <t>LU1457606314 /2</t>
  </si>
  <si>
    <t>LU1457606314 /3</t>
  </si>
  <si>
    <t>LU1457606314 /4</t>
  </si>
  <si>
    <t>LU1457606314 /5</t>
  </si>
  <si>
    <t>LU1457606314 /6</t>
  </si>
  <si>
    <t>LU1457606314 /7</t>
  </si>
  <si>
    <t>LU1457606314 /8</t>
  </si>
  <si>
    <t>LU1457606314 /9</t>
  </si>
  <si>
    <t>LU1457606314 /10</t>
  </si>
  <si>
    <t>LU1457606314 /11</t>
  </si>
  <si>
    <t>LU1457606314 /12</t>
  </si>
  <si>
    <t>LU1457606314 /13</t>
  </si>
  <si>
    <t>LU1457606314 /14</t>
  </si>
  <si>
    <t>LU1457606314 /15</t>
  </si>
  <si>
    <t>LU1457606314 /16</t>
  </si>
  <si>
    <t>LU1457606314 /17</t>
  </si>
  <si>
    <t>LU1457606314 /18</t>
  </si>
  <si>
    <t>Banco Santander SA (SQ)</t>
  </si>
  <si>
    <t>SAN SQ Equity</t>
  </si>
  <si>
    <t>SAN SQ</t>
  </si>
  <si>
    <t>UBS Group AG</t>
  </si>
  <si>
    <t>LU1419801573  /1</t>
  </si>
  <si>
    <t>LU1419801573  /2</t>
  </si>
  <si>
    <t>LU1419801573  /3</t>
  </si>
  <si>
    <t>LU1419801573  /4</t>
  </si>
  <si>
    <t>LU1419801573  /5</t>
  </si>
  <si>
    <t>LU1419801573  /6</t>
  </si>
  <si>
    <t>LU1419801573  /7</t>
  </si>
  <si>
    <t>LU1419801573  /8</t>
  </si>
  <si>
    <t>LU1419801573  /9</t>
  </si>
  <si>
    <t>LU1419801573  /10</t>
  </si>
  <si>
    <t>LU1419801573  /11</t>
  </si>
  <si>
    <t>LU1419801573  /12</t>
  </si>
  <si>
    <t>LU1419801573  /13</t>
  </si>
  <si>
    <t>LU1419801573  /14</t>
  </si>
  <si>
    <t>LU1419801573  /15</t>
  </si>
  <si>
    <t>LU1419801573  /16</t>
  </si>
  <si>
    <t>LU1419801573  /17</t>
  </si>
  <si>
    <t>LU1419801573  /18</t>
  </si>
  <si>
    <t xml:space="preserve">Contribute Partners ČSOB Patria expres 1 </t>
  </si>
  <si>
    <t>ČSOB Patria expres 1</t>
  </si>
  <si>
    <t xml:space="preserve">Contribute Partners ČSOB Zpětného odkupu 1 </t>
  </si>
  <si>
    <t xml:space="preserve">ČSOB Zpětného odkupu 1 </t>
  </si>
  <si>
    <t xml:space="preserve">Contribute Partners ČSOB Energie a ropa 2 </t>
  </si>
  <si>
    <t>ČSOB Energie a ropa 2</t>
  </si>
  <si>
    <t>Global Partners ČSOB Fixovaný click USD 6</t>
  </si>
  <si>
    <t>ČSOB Fixovaný click USD 6</t>
  </si>
  <si>
    <t xml:space="preserve">Contribute Partners ČSOB Automobiles &amp; Parts Conditional Coupon 1 </t>
  </si>
  <si>
    <t xml:space="preserve">ČSOB Automobiles &amp; Parts Conditional Coupon 1 </t>
  </si>
  <si>
    <t>STOXX® Europe 600 Automobiles &amp; Parts</t>
  </si>
  <si>
    <t>Eurostoxx 50</t>
  </si>
  <si>
    <t>Perspective Universal Selection 100 USD 2</t>
  </si>
  <si>
    <t>National Australia Bank Ltd (AT)</t>
  </si>
  <si>
    <t>NAB AT Equity</t>
  </si>
  <si>
    <t>Swire Pacific Ltd</t>
  </si>
  <si>
    <t>19 HK Equity</t>
  </si>
  <si>
    <t>NAB AT</t>
  </si>
  <si>
    <t>BE6288934365/2</t>
  </si>
  <si>
    <t>BE6288934365/3</t>
  </si>
  <si>
    <t>BE6288934365/4</t>
  </si>
  <si>
    <t>BE6288934365/5</t>
  </si>
  <si>
    <t>BE6288934365/6</t>
  </si>
  <si>
    <t>BE6288934365/7</t>
  </si>
  <si>
    <t>BE6288934365/8</t>
  </si>
  <si>
    <t>BE6288934365/9</t>
  </si>
  <si>
    <t>BE6288934365/10</t>
  </si>
  <si>
    <t>BE6288934365/11</t>
  </si>
  <si>
    <t>BE6288934365/12</t>
  </si>
  <si>
    <t>BE6288934365/1</t>
  </si>
  <si>
    <t>Perspective Universal Selection 90 Timing Optimizer USD 6</t>
  </si>
  <si>
    <t xml:space="preserve">Perspective Universal Selection 90 Timing Optimizer USD 6 </t>
  </si>
  <si>
    <t>Perspective Healthcare 90 USD 1</t>
  </si>
  <si>
    <t xml:space="preserve">Perspective Universal Selection 100 USD 5 </t>
  </si>
  <si>
    <t>BE6289487074/1</t>
  </si>
  <si>
    <t>BE6289487074/2</t>
  </si>
  <si>
    <t>BE6289487074/3</t>
  </si>
  <si>
    <t>BE6289487074/4</t>
  </si>
  <si>
    <t>BE6289487074/5</t>
  </si>
  <si>
    <t>BE6289487074/6</t>
  </si>
  <si>
    <t>BE6289487074/7</t>
  </si>
  <si>
    <t>BE6289487074/8</t>
  </si>
  <si>
    <t>BE6289487074/9</t>
  </si>
  <si>
    <t>BE6289487074/10</t>
  </si>
  <si>
    <t>BE6289487074/11</t>
  </si>
  <si>
    <t>BE6289487074/12</t>
  </si>
  <si>
    <t>Anthem Inc</t>
  </si>
  <si>
    <t>ANTM UN Equity</t>
  </si>
  <si>
    <t>Becton Dickinson and Co</t>
  </si>
  <si>
    <t>BDX UN Equity</t>
  </si>
  <si>
    <t>CSL Ltd</t>
  </si>
  <si>
    <t>CSL AT Equity</t>
  </si>
  <si>
    <t>Grifols SA</t>
  </si>
  <si>
    <t>GRF SQ Equity</t>
  </si>
  <si>
    <t>KYOWA HAKKO KIRIN CO LTD</t>
  </si>
  <si>
    <t>4151 JT Equity</t>
  </si>
  <si>
    <t>Lonza Group AG-REG</t>
  </si>
  <si>
    <t>MITSUBISHI TANABE PHARMA CORP</t>
  </si>
  <si>
    <t>4508 JT Equity</t>
  </si>
  <si>
    <t>Santen Pharmaceutical Co Ltd</t>
  </si>
  <si>
    <t>4536 JT Equity</t>
  </si>
  <si>
    <t>Sonova Holding AG</t>
  </si>
  <si>
    <t>St Jude Medical Inc</t>
  </si>
  <si>
    <t>STJ UN Equity</t>
  </si>
  <si>
    <t>BDX UN</t>
  </si>
  <si>
    <t>CSL AT</t>
  </si>
  <si>
    <t>GRF SQ</t>
  </si>
  <si>
    <t>4151 JT</t>
  </si>
  <si>
    <t>4508 JT</t>
  </si>
  <si>
    <t xml:space="preserve">4536 JT </t>
  </si>
  <si>
    <t>STJ UN</t>
  </si>
  <si>
    <t>BE6289999342/1</t>
  </si>
  <si>
    <t>BE6289999342/2</t>
  </si>
  <si>
    <t>BE6289999342/3</t>
  </si>
  <si>
    <t>BE6289999342/4</t>
  </si>
  <si>
    <t>BE6289999342/5</t>
  </si>
  <si>
    <t>BE6289999342/6</t>
  </si>
  <si>
    <t>BE6289999342/7</t>
  </si>
  <si>
    <t>BE6289999342/8</t>
  </si>
  <si>
    <t>BE6289999342/9</t>
  </si>
  <si>
    <t>BE6289999342/10</t>
  </si>
  <si>
    <t>BE6289999342/11</t>
  </si>
  <si>
    <t>BE6289999342/12</t>
  </si>
  <si>
    <t>ČSOB Patria expres 1 (Optimum Fund)</t>
  </si>
  <si>
    <t>LU1431708533/1</t>
  </si>
  <si>
    <t>LU1431708533/2</t>
  </si>
  <si>
    <t>LU1431708533/3</t>
  </si>
  <si>
    <t>LU1431708533/4</t>
  </si>
  <si>
    <t>LU1431708533/5</t>
  </si>
  <si>
    <t>LU1431708533/6</t>
  </si>
  <si>
    <t>LU1431708533/7</t>
  </si>
  <si>
    <t>LU1431708533/8</t>
  </si>
  <si>
    <t>LU1431708533/9</t>
  </si>
  <si>
    <t>LU1431708533/10</t>
  </si>
  <si>
    <t>LU1431708533/11</t>
  </si>
  <si>
    <t>LU1431708533/12</t>
  </si>
  <si>
    <t>LU1431708533/13</t>
  </si>
  <si>
    <t>LU1431708533/14</t>
  </si>
  <si>
    <t>LU1431708533/15</t>
  </si>
  <si>
    <t>LU1431708533/16</t>
  </si>
  <si>
    <t>LU1431708533/17</t>
  </si>
  <si>
    <t>LU1431708533/18</t>
  </si>
  <si>
    <t>ČSOB Fixovaný click USD 6 (Global Partners)</t>
  </si>
  <si>
    <t>LU1463037496/1</t>
  </si>
  <si>
    <t>LU1463037496/2</t>
  </si>
  <si>
    <t>LU1463037496/3</t>
  </si>
  <si>
    <t>LU1463037496/4</t>
  </si>
  <si>
    <t>LU1463037496/5</t>
  </si>
  <si>
    <t>LU1457606314</t>
  </si>
  <si>
    <t>LU1419801573</t>
  </si>
  <si>
    <t>LU1431708533</t>
  </si>
  <si>
    <t>LU1463037496</t>
  </si>
  <si>
    <t>LU1479924919</t>
  </si>
  <si>
    <t>LU1457606587</t>
  </si>
  <si>
    <t>LU1480021697</t>
  </si>
  <si>
    <t>LU1425364806</t>
  </si>
  <si>
    <t>BE6289999342</t>
  </si>
  <si>
    <t>ČSOB Evropský jumper 5 (Contribute Partners)</t>
  </si>
  <si>
    <t>FORTUM FH</t>
  </si>
  <si>
    <t>FORTUM FH Equity</t>
  </si>
  <si>
    <t>Contribute Partners ČSOB Firmy s tradicí 1</t>
  </si>
  <si>
    <t>Optimum Fund ČSOB Šampioni sportu s dobrým startem 1</t>
  </si>
  <si>
    <t>Optimum Fund ČSOB Airbag Jumper EUR 10</t>
  </si>
  <si>
    <t>Perspective Global Select 90 Timing Optimizer USD 1</t>
  </si>
  <si>
    <t>Contribute Partners ČSOB Světový Expres 6</t>
  </si>
  <si>
    <t>ČSOB Šampioni sportu s dobrým startem 1</t>
  </si>
  <si>
    <t>ČSOB Firmy s tradicí 1</t>
  </si>
  <si>
    <t>ČSOB Airbag Jumper EUR 10</t>
  </si>
  <si>
    <t>ČSOB Světový expres 6</t>
  </si>
  <si>
    <t>BE6290199403</t>
  </si>
  <si>
    <t>LU1495571215</t>
  </si>
  <si>
    <t>BE6291543260</t>
  </si>
  <si>
    <t>LU1512742427</t>
  </si>
  <si>
    <t>AP Moeller - Maersk AS</t>
  </si>
  <si>
    <t>MAERSKB DC Equity</t>
  </si>
  <si>
    <t>IMI PLC</t>
  </si>
  <si>
    <t>IMI LN Equity</t>
  </si>
  <si>
    <t>MEGGITT PLC</t>
  </si>
  <si>
    <t>MGGT LN Equity</t>
  </si>
  <si>
    <t>MAERSKB DC</t>
  </si>
  <si>
    <t>IMI LN</t>
  </si>
  <si>
    <t>MGGT LN</t>
  </si>
  <si>
    <t>LU1479924919 /1</t>
  </si>
  <si>
    <t>LU1479924919 /2</t>
  </si>
  <si>
    <t>LU1479924919 /3</t>
  </si>
  <si>
    <t>LU1479924919 /4</t>
  </si>
  <si>
    <t>LU1479924919 /5</t>
  </si>
  <si>
    <t>LU1479924919 /6</t>
  </si>
  <si>
    <t>LU1479924919 /7</t>
  </si>
  <si>
    <t>LU1479924919 /8</t>
  </si>
  <si>
    <t>LU1479924919 /9</t>
  </si>
  <si>
    <t>LU1479924919 /10</t>
  </si>
  <si>
    <t>LU1479924919 /11</t>
  </si>
  <si>
    <t>LU1479924919 /12</t>
  </si>
  <si>
    <t>LU1479924919 /13</t>
  </si>
  <si>
    <t>LU1479924919 /14</t>
  </si>
  <si>
    <t>LU1479924919 /15</t>
  </si>
  <si>
    <t>LU1479924919 /16</t>
  </si>
  <si>
    <t>LU1479924919 /17</t>
  </si>
  <si>
    <t>LU1479924919 /18</t>
  </si>
  <si>
    <t>LU1457606587/1</t>
  </si>
  <si>
    <t>LU1457606587/2</t>
  </si>
  <si>
    <t>LU1457606587/3</t>
  </si>
  <si>
    <t>LU1457606587/4</t>
  </si>
  <si>
    <t>BE6289487074</t>
  </si>
  <si>
    <t>Perspective Universal Selection 100 USD 5</t>
  </si>
  <si>
    <t>UPM FH Equity</t>
  </si>
  <si>
    <t>UPM FH</t>
  </si>
  <si>
    <t>Koš skončil po roce s výnosem 16,56% a fond zaklikl 10% bonus.</t>
  </si>
  <si>
    <t>STOXX Europe 600 Automobiles &amp; Parts Price EUR</t>
  </si>
  <si>
    <t>SXAP Index</t>
  </si>
  <si>
    <t>LU1480021697/1</t>
  </si>
  <si>
    <t>LU1480021697/2</t>
  </si>
  <si>
    <t>LU1480021697/3</t>
  </si>
  <si>
    <t>LU1480021697/4</t>
  </si>
  <si>
    <t>LU1480021697/5</t>
  </si>
  <si>
    <t>LU1480021697/6</t>
  </si>
  <si>
    <t>Změna od počátku</t>
  </si>
  <si>
    <t>10 dní v únoru 2017</t>
  </si>
  <si>
    <t>BE6290749082 /1</t>
  </si>
  <si>
    <t>BE6290749082 /2</t>
  </si>
  <si>
    <t>BE6290749082 /3</t>
  </si>
  <si>
    <t>BE6290749082 /4</t>
  </si>
  <si>
    <t>BE6290749082 /5</t>
  </si>
  <si>
    <t>BE6290749082 /6</t>
  </si>
  <si>
    <t>BE6290749082 /7</t>
  </si>
  <si>
    <t>BE6290749082 /8</t>
  </si>
  <si>
    <t>BE6290749082 /9</t>
  </si>
  <si>
    <t>BE6290749082 /10</t>
  </si>
  <si>
    <t>BE6290749082 /11</t>
  </si>
  <si>
    <t>BE6290749082 /12</t>
  </si>
  <si>
    <t>AGL AT Equity</t>
  </si>
  <si>
    <t>DANSKE DC Equity</t>
  </si>
  <si>
    <t>NN NA Equity</t>
  </si>
  <si>
    <t>PTEC LN Equity</t>
  </si>
  <si>
    <t>O UN Equity</t>
  </si>
  <si>
    <t>SYD AT Equity</t>
  </si>
  <si>
    <t>AGL AT</t>
  </si>
  <si>
    <t>DANSKE DC</t>
  </si>
  <si>
    <t>NN NA</t>
  </si>
  <si>
    <t>PTEC LN</t>
  </si>
  <si>
    <t>O UN</t>
  </si>
  <si>
    <t>SYD AT</t>
  </si>
  <si>
    <t>Danske Bank</t>
  </si>
  <si>
    <t>NN GROUP NV</t>
  </si>
  <si>
    <t>Playtech PLC</t>
  </si>
  <si>
    <t>REALTY INCOME CORP</t>
  </si>
  <si>
    <t>SYDNEY AIRPORT</t>
  </si>
  <si>
    <t>BE6291635215/1</t>
  </si>
  <si>
    <t>BE6291635215/2</t>
  </si>
  <si>
    <t>BE6291635215/3</t>
  </si>
  <si>
    <t>BE6291635215/4</t>
  </si>
  <si>
    <t>BE6291635215/5</t>
  </si>
  <si>
    <t>BE6291635215/6</t>
  </si>
  <si>
    <t>BE6291635215/7</t>
  </si>
  <si>
    <t>BE6291635215/8</t>
  </si>
  <si>
    <t>BE6291635215/9</t>
  </si>
  <si>
    <t>BE6291635215/10</t>
  </si>
  <si>
    <t>BE6291635215/11</t>
  </si>
  <si>
    <t>BE6291635215/12</t>
  </si>
  <si>
    <t>BE6290199403 /1</t>
  </si>
  <si>
    <t>BE6290199403 /2</t>
  </si>
  <si>
    <t>BE6290199403 /3</t>
  </si>
  <si>
    <t>BE6290199403 /4</t>
  </si>
  <si>
    <t>BE6290199403 /5</t>
  </si>
  <si>
    <t>BE6290199403 /6</t>
  </si>
  <si>
    <t>BE6290199403 /7</t>
  </si>
  <si>
    <t>BE6290199403 /8</t>
  </si>
  <si>
    <t>BE6290199403 /9</t>
  </si>
  <si>
    <t>BE6290199403 /10</t>
  </si>
  <si>
    <t>BE6290199403 /11</t>
  </si>
  <si>
    <t>BE6290199403 /12</t>
  </si>
  <si>
    <t>BE6290199403 /13</t>
  </si>
  <si>
    <t>BE6290199403 /14</t>
  </si>
  <si>
    <t>BE6290199403 /15</t>
  </si>
  <si>
    <t>BE6290199403 /16</t>
  </si>
  <si>
    <t>BE6290199403 /17</t>
  </si>
  <si>
    <t>BE6290199403 /18</t>
  </si>
  <si>
    <t>LU1495571215/1</t>
  </si>
  <si>
    <t>LU1495571215/2</t>
  </si>
  <si>
    <t>LU1495571215/3</t>
  </si>
  <si>
    <t>LU1495571215/4</t>
  </si>
  <si>
    <t>LU1495571215/5</t>
  </si>
  <si>
    <t>LU1495571215/6</t>
  </si>
  <si>
    <t>LU1495571215/7</t>
  </si>
  <si>
    <t>LU1495571215/8</t>
  </si>
  <si>
    <t>LU1495571215/9</t>
  </si>
  <si>
    <t>LU1495571215/10</t>
  </si>
  <si>
    <t>LU1495571215/11</t>
  </si>
  <si>
    <t>LU1495571215/12</t>
  </si>
  <si>
    <t>LU1495571215/13</t>
  </si>
  <si>
    <t>LU1495571215/14</t>
  </si>
  <si>
    <t>LU1495571215/15</t>
  </si>
  <si>
    <t>LU1495571215/16</t>
  </si>
  <si>
    <t>LU1495571215/17</t>
  </si>
  <si>
    <t>LU1495571215/18</t>
  </si>
  <si>
    <t>koeficient násobení / dělení / airbag</t>
  </si>
  <si>
    <t>LU1173638484/6</t>
  </si>
  <si>
    <t>Perspective Global Select 100 USD 2</t>
  </si>
  <si>
    <t>BE6292463732/1</t>
  </si>
  <si>
    <t>BE6292463732/2</t>
  </si>
  <si>
    <t>BE6292463732/3</t>
  </si>
  <si>
    <t>BE6292463732/4</t>
  </si>
  <si>
    <t>BE6292463732/5</t>
  </si>
  <si>
    <t>BE6292463732/6</t>
  </si>
  <si>
    <t>BE6292463732/7</t>
  </si>
  <si>
    <t>BE6292463732/8</t>
  </si>
  <si>
    <t>BE6292463732/9</t>
  </si>
  <si>
    <t>BE6292463732/10</t>
  </si>
  <si>
    <t>BE6292463732/11</t>
  </si>
  <si>
    <t>BE6292463732/12</t>
  </si>
  <si>
    <t>BE6290749082</t>
  </si>
  <si>
    <t>BE6291635215</t>
  </si>
  <si>
    <t>BE6292463732</t>
  </si>
  <si>
    <t>zaklikl ochranu</t>
  </si>
  <si>
    <t xml:space="preserve">Contribute Partners ČSOB Informacni technologie 1 </t>
  </si>
  <si>
    <t>ČSOB Informační technologie 1</t>
  </si>
  <si>
    <t xml:space="preserve">Optimum Fund ČSOB Airbag bonus EUR 1 </t>
  </si>
  <si>
    <t>ČSOB Airbag Bonus EUR 1</t>
  </si>
  <si>
    <t>BE6292544572</t>
  </si>
  <si>
    <t>LU1528129817</t>
  </si>
  <si>
    <t xml:space="preserve">Optimum Fund ČSOB Banky a pojišťovny 1 </t>
  </si>
  <si>
    <t xml:space="preserve">ČSOB Banky a pojišťovny 1 </t>
  </si>
  <si>
    <t>BE6293169031</t>
  </si>
  <si>
    <t xml:space="preserve">Perspective US Growth 90 USD 1 </t>
  </si>
  <si>
    <t xml:space="preserve">Perspective Low Carbon Emission 90 Timing USD 1 </t>
  </si>
  <si>
    <t>BE6293043715</t>
  </si>
  <si>
    <t>BE6294061229</t>
  </si>
  <si>
    <t xml:space="preserve">Contribute Partners ČSOB Banks Conditional Coupon 1 </t>
  </si>
  <si>
    <t xml:space="preserve">ČSOB Banks Conditional Coupon 1 </t>
  </si>
  <si>
    <t>LU1551683235</t>
  </si>
  <si>
    <t>STOXX® Europe 600 Banks Index</t>
  </si>
  <si>
    <t>Contribute Partners ČSOB Stříbrná ekonomika 1</t>
  </si>
  <si>
    <t>ČSOB Stříbrná ekonomika 1</t>
  </si>
  <si>
    <t>LU1555154068</t>
  </si>
  <si>
    <t xml:space="preserve">Contribute Partners ČSOB Světoví hráči 3 </t>
  </si>
  <si>
    <t xml:space="preserve">ČSOB Světoví hráči 3 </t>
  </si>
  <si>
    <t>LU1550265612</t>
  </si>
  <si>
    <t>ČSOB Světový expres 6 (Optimum Fund)</t>
  </si>
  <si>
    <t>LU1512742427/1</t>
  </si>
  <si>
    <t>LU1512742427/2</t>
  </si>
  <si>
    <t>LU1512742427/3</t>
  </si>
  <si>
    <t>LU1512742427/4</t>
  </si>
  <si>
    <t>LU1512742427/5</t>
  </si>
  <si>
    <t>LU1512742427/6</t>
  </si>
  <si>
    <t>LU1512742427/7</t>
  </si>
  <si>
    <t>LU1512742427/8</t>
  </si>
  <si>
    <t>LU1512742427/9</t>
  </si>
  <si>
    <t>LU1512742427/10</t>
  </si>
  <si>
    <t>LU1512742427/11</t>
  </si>
  <si>
    <t>LU1512742427/12</t>
  </si>
  <si>
    <t>LU1512742427/13</t>
  </si>
  <si>
    <t>LU1512742427/14</t>
  </si>
  <si>
    <t>LU1512742427/15</t>
  </si>
  <si>
    <t>LU1512742427/16</t>
  </si>
  <si>
    <t>LU1512742427/17</t>
  </si>
  <si>
    <t>LU1512742427/18</t>
  </si>
  <si>
    <t>Applied Materials Inc (UW)</t>
  </si>
  <si>
    <t>ASML Holding</t>
  </si>
  <si>
    <t>Cisco Systems Inc (UW)</t>
  </si>
  <si>
    <t>Micro Focus Intl PLC</t>
  </si>
  <si>
    <t>NVIDIA CORP</t>
  </si>
  <si>
    <t>Rightmove PLC</t>
  </si>
  <si>
    <t>Tokyo Electron</t>
  </si>
  <si>
    <t>AMAT UW Equity</t>
  </si>
  <si>
    <t>ASML NA Equity</t>
  </si>
  <si>
    <t>CSCO UW Equity</t>
  </si>
  <si>
    <t>MCRO LN Equity</t>
  </si>
  <si>
    <t>NVDA UW Equity</t>
  </si>
  <si>
    <t>RMV LN Equity</t>
  </si>
  <si>
    <t>8035 JT Equity</t>
  </si>
  <si>
    <t>LU1528129817/1</t>
  </si>
  <si>
    <t>LU1528129817/2</t>
  </si>
  <si>
    <t>LU1528129817/3</t>
  </si>
  <si>
    <t>LU1528129817/4</t>
  </si>
  <si>
    <t>LU1528129817/5</t>
  </si>
  <si>
    <t>LU1528129817/6</t>
  </si>
  <si>
    <t>LU1528129817/7</t>
  </si>
  <si>
    <t>LU1528129817/8</t>
  </si>
  <si>
    <t>LU1528129817/9</t>
  </si>
  <si>
    <t>LU1528129817/10</t>
  </si>
  <si>
    <t>LU1528129817/11</t>
  </si>
  <si>
    <t>LU1528129817/12</t>
  </si>
  <si>
    <t>LU1528129817/13</t>
  </si>
  <si>
    <t>LU1528129817/14</t>
  </si>
  <si>
    <t>LU1528129817/15</t>
  </si>
  <si>
    <t>LU1528129817/16</t>
  </si>
  <si>
    <t>LU1528129817/17</t>
  </si>
  <si>
    <t>LU1528129817/18</t>
  </si>
  <si>
    <t>BE6292544572/1</t>
  </si>
  <si>
    <t>BE6292544572/2</t>
  </si>
  <si>
    <t>BE6292544572/3</t>
  </si>
  <si>
    <t>BE6292544572/4</t>
  </si>
  <si>
    <t>BE6292544572/5</t>
  </si>
  <si>
    <t>BE6292544572/6</t>
  </si>
  <si>
    <t>Commonwealth Bank of Australia (AT)</t>
  </si>
  <si>
    <t>Hammerson PLC</t>
  </si>
  <si>
    <t>Lloyds Banking Group PLC</t>
  </si>
  <si>
    <t>Withbread PLC</t>
  </si>
  <si>
    <t>CBA AT Equity</t>
  </si>
  <si>
    <t>HMSO LN Equity</t>
  </si>
  <si>
    <t>LLOY LN Equity</t>
  </si>
  <si>
    <t>WTB LN Equity</t>
  </si>
  <si>
    <t>ACS Actividades Cons y Serv</t>
  </si>
  <si>
    <t>ACS SQ Equity</t>
  </si>
  <si>
    <t>Assa Asbloy AB-B</t>
  </si>
  <si>
    <t>ASSAB SS Equity</t>
  </si>
  <si>
    <t>CRH PLC</t>
  </si>
  <si>
    <t>CRH ID Equity</t>
  </si>
  <si>
    <t>Goldcorp Inc (CT)</t>
  </si>
  <si>
    <t>G CT Equity</t>
  </si>
  <si>
    <t>HartFord Financial Svcs Grp</t>
  </si>
  <si>
    <t>HIG UN Equity</t>
  </si>
  <si>
    <t>Nucor Corp</t>
  </si>
  <si>
    <t>NUE UN Equity</t>
  </si>
  <si>
    <t>Randgold Resources Ltd</t>
  </si>
  <si>
    <t>RRS LN Equity</t>
  </si>
  <si>
    <t>Republic Services Inc</t>
  </si>
  <si>
    <t>RSG UN Equity</t>
  </si>
  <si>
    <t>Suncor Energy Inc (CT)</t>
  </si>
  <si>
    <t>SU CT Equity</t>
  </si>
  <si>
    <t>Thales</t>
  </si>
  <si>
    <t>HO FP Equity</t>
  </si>
  <si>
    <t>Valero Energy Corp</t>
  </si>
  <si>
    <t>VLO UN Equity</t>
  </si>
  <si>
    <t>AMAT UW</t>
  </si>
  <si>
    <t>ASML NA</t>
  </si>
  <si>
    <t>CSCO UW</t>
  </si>
  <si>
    <t>INTC UW</t>
  </si>
  <si>
    <t>MCRO LN</t>
  </si>
  <si>
    <t>NVDA UW</t>
  </si>
  <si>
    <t>RMV LN</t>
  </si>
  <si>
    <t>8035 JT</t>
  </si>
  <si>
    <t>CBA AT</t>
  </si>
  <si>
    <t>HMSO LN</t>
  </si>
  <si>
    <t>LLOY LN</t>
  </si>
  <si>
    <t>WTB LN</t>
  </si>
  <si>
    <t>ACS SQ</t>
  </si>
  <si>
    <t>ASSAB SS</t>
  </si>
  <si>
    <t>G CT</t>
  </si>
  <si>
    <t>HIG UN</t>
  </si>
  <si>
    <t>NUE UN</t>
  </si>
  <si>
    <t>RRS LN</t>
  </si>
  <si>
    <t>RSG UN</t>
  </si>
  <si>
    <t>SU CT</t>
  </si>
  <si>
    <t>HO FP</t>
  </si>
  <si>
    <t>VLO UN</t>
  </si>
  <si>
    <t>BE6293043715/1</t>
  </si>
  <si>
    <t>BE6293043715/2</t>
  </si>
  <si>
    <t>BE6293043715/3</t>
  </si>
  <si>
    <t>BE6293043715/4</t>
  </si>
  <si>
    <t>BE6293043715/5</t>
  </si>
  <si>
    <t>BE6293043715/6</t>
  </si>
  <si>
    <t>BE6294061229/1</t>
  </si>
  <si>
    <t>BE6294061229/2</t>
  </si>
  <si>
    <t>BE6294061229/3</t>
  </si>
  <si>
    <t>BE6294061229/4</t>
  </si>
  <si>
    <t>BE6294061229/5</t>
  </si>
  <si>
    <t>BE6294061229/6</t>
  </si>
  <si>
    <t>Perspective Low Carbon Emission 90 Timing USD 1</t>
  </si>
  <si>
    <t>BE6294720022</t>
  </si>
  <si>
    <t>Perspective Universal Selection 100 Head Start USD 1</t>
  </si>
  <si>
    <t>Konečná cena akcií</t>
  </si>
  <si>
    <t>Pozorování 2  - červen 2017:</t>
  </si>
  <si>
    <t>3. pozorování</t>
  </si>
  <si>
    <t>nerelevantní</t>
  </si>
  <si>
    <t>ČSOB Banky a pojišťovny 1</t>
  </si>
  <si>
    <t>ADM LN Equity</t>
  </si>
  <si>
    <t>AMP UN Equity</t>
  </si>
  <si>
    <t>2388 HK Equity</t>
  </si>
  <si>
    <t>IVZ UN Equity</t>
  </si>
  <si>
    <t>MQG AT Equity</t>
  </si>
  <si>
    <t>STT UN Equity</t>
  </si>
  <si>
    <t>TRI CT Equity</t>
  </si>
  <si>
    <t>ADM LN</t>
  </si>
  <si>
    <t>AMP UN</t>
  </si>
  <si>
    <t>2388 HK</t>
  </si>
  <si>
    <t>IVZ UN</t>
  </si>
  <si>
    <t>MQG AT</t>
  </si>
  <si>
    <t>STT UN</t>
  </si>
  <si>
    <t>TRI CT</t>
  </si>
  <si>
    <t>ADMIRAL GROUP PLC</t>
  </si>
  <si>
    <t>Ameriprise Financial</t>
  </si>
  <si>
    <t>Boc Hong Kong Hold Ltd</t>
  </si>
  <si>
    <t>Invesco LTD</t>
  </si>
  <si>
    <t>Macquarie Group Ltd</t>
  </si>
  <si>
    <t>State Street Corp</t>
  </si>
  <si>
    <t>THOMSON REUTERS CORP</t>
  </si>
  <si>
    <t>BE6293169031 /1</t>
  </si>
  <si>
    <t>BE6293169031 /2</t>
  </si>
  <si>
    <t>BE6293169031 /3</t>
  </si>
  <si>
    <t>BE6293169031 /4</t>
  </si>
  <si>
    <t>BE6293169031 /5</t>
  </si>
  <si>
    <t>BE6293169031 /6</t>
  </si>
  <si>
    <t>Započítáno</t>
  </si>
  <si>
    <t>BE6294720022/1</t>
  </si>
  <si>
    <t>BE6294720022/2</t>
  </si>
  <si>
    <t>BE6294720022/3</t>
  </si>
  <si>
    <t>BE6294720022/4</t>
  </si>
  <si>
    <t>BE6294720022/5</t>
  </si>
  <si>
    <t>BE6294720022/6</t>
  </si>
  <si>
    <t>BE6294720022/7</t>
  </si>
  <si>
    <t>BE6294720022/8</t>
  </si>
  <si>
    <t>BE6294720022/9</t>
  </si>
  <si>
    <t>BE6294720022/10</t>
  </si>
  <si>
    <t>BE6294720022/11</t>
  </si>
  <si>
    <t>BE6294720022/12</t>
  </si>
  <si>
    <t>Perspective Universal Selection 100 Head Start USD 2</t>
  </si>
  <si>
    <t>BE6295341414</t>
  </si>
  <si>
    <t>nezaklikl ochranu</t>
  </si>
  <si>
    <t>ČSOB Banks Conditional Coupon 1</t>
  </si>
  <si>
    <t>SX7P Index</t>
  </si>
  <si>
    <t>LU1550265612/1</t>
  </si>
  <si>
    <t>LU1550265612/2</t>
  </si>
  <si>
    <t>LU1550265612/3</t>
  </si>
  <si>
    <t>LU1550265612/4</t>
  </si>
  <si>
    <t>LU1550265612/5</t>
  </si>
  <si>
    <t>LU1550265612/6</t>
  </si>
  <si>
    <t>ITV LN Equity</t>
  </si>
  <si>
    <t>ITV LN</t>
  </si>
  <si>
    <t>ITV</t>
  </si>
  <si>
    <t>Julius Baer Group LTD</t>
  </si>
  <si>
    <t>Vifor Pharma AG</t>
  </si>
  <si>
    <t>LU1555154068/1</t>
  </si>
  <si>
    <t>LU1555154068/2</t>
  </si>
  <si>
    <t>LU1555154068/3</t>
  </si>
  <si>
    <t>LU1555154068/4</t>
  </si>
  <si>
    <t>LU1555154068/5</t>
  </si>
  <si>
    <t>LU1555154068/6</t>
  </si>
  <si>
    <t>BE6295341414/1</t>
  </si>
  <si>
    <t>BE6295341414/2</t>
  </si>
  <si>
    <t>BE6295341414/3</t>
  </si>
  <si>
    <t>BE6295341414/4</t>
  </si>
  <si>
    <t>BE6295341414/5</t>
  </si>
  <si>
    <t>BE6295341414/6</t>
  </si>
  <si>
    <t>BE6295341414/7</t>
  </si>
  <si>
    <t>BE6295341414/8</t>
  </si>
  <si>
    <t>BE6295341414/9</t>
  </si>
  <si>
    <t>BE6295341414/10</t>
  </si>
  <si>
    <t>BE6295341414/11</t>
  </si>
  <si>
    <t>BE6295341414/12</t>
  </si>
  <si>
    <t>HNZ UN Cash</t>
  </si>
  <si>
    <t>ČSOB Airbag Jumper EUR 11</t>
  </si>
  <si>
    <t>ČSOB Firmy s tradicí 2</t>
  </si>
  <si>
    <t>ČSOB Energie a ropa 3</t>
  </si>
  <si>
    <t>SLA LN Equity</t>
  </si>
  <si>
    <t>CEC GR</t>
  </si>
  <si>
    <t>CEC GR Equity</t>
  </si>
  <si>
    <t>BE6295853681</t>
  </si>
  <si>
    <t>Optimum Fund ČSOB Airbag Jumper EUR 11</t>
  </si>
  <si>
    <t>LU1574033467</t>
  </si>
  <si>
    <t>Contribute Partners ČSOB Firmy s tradicí 2</t>
  </si>
  <si>
    <t xml:space="preserve">ČSOB Basic Resources Conditional Coupon 1 </t>
  </si>
  <si>
    <t>ČSOB Krátkodobých příležitostí 2</t>
  </si>
  <si>
    <t>ČSOB Potraviny a svět 1</t>
  </si>
  <si>
    <t>LU1574033467/1</t>
  </si>
  <si>
    <t>LU1574033467/2</t>
  </si>
  <si>
    <t>LU1574033467/3</t>
  </si>
  <si>
    <t>LU1574033467/4</t>
  </si>
  <si>
    <t>LU1574033467/5</t>
  </si>
  <si>
    <t>LU1574033467/6</t>
  </si>
  <si>
    <t>Contribute Partners ČSOB Energie a ropa 3</t>
  </si>
  <si>
    <t>LU1600526948</t>
  </si>
  <si>
    <t>STOXX® Europe 600 Oil &amp; Gas</t>
  </si>
  <si>
    <t xml:space="preserve">Contribute Partners ČSOB Basic Resources Conditional Coupon 1 </t>
  </si>
  <si>
    <t>LU1621480281</t>
  </si>
  <si>
    <t>STOXX® Europe 600 Basic Resources Index</t>
  </si>
  <si>
    <t>BE6296913617</t>
  </si>
  <si>
    <t>Horizon ČSOB Krátkodobých příležitostí 2</t>
  </si>
  <si>
    <t>Contribute Partners ČSOB Potraviny a svět 1</t>
  </si>
  <si>
    <t>LU1623845978</t>
  </si>
  <si>
    <t>ČSOB / MI</t>
  </si>
  <si>
    <t>ČSOB Světový výběr 3</t>
  </si>
  <si>
    <t>Select Investors ČSOB Světový výběr 3</t>
  </si>
  <si>
    <t>LU1649822548</t>
  </si>
  <si>
    <t>Perspective World Selection 100 Absolute Performance USD 1</t>
  </si>
  <si>
    <t>BE6297577460</t>
  </si>
  <si>
    <t>výše prvního clicku / participace na poklesu</t>
  </si>
  <si>
    <t>Konečná hodnot</t>
  </si>
  <si>
    <t>NEE UN Equity</t>
  </si>
  <si>
    <t>LU1600526948/1</t>
  </si>
  <si>
    <t>LU1600526948/2</t>
  </si>
  <si>
    <t>LU1600526948/3</t>
  </si>
  <si>
    <t>LU1600526948/4</t>
  </si>
  <si>
    <t>zaklikl 100% ochranu</t>
  </si>
  <si>
    <t>Hodnota koše po 2. roce (10/2016)</t>
  </si>
  <si>
    <t>Hodnota koše po 3. roce (10/2017)</t>
  </si>
  <si>
    <t>Hodnota koše po 1. roce (10/2015)</t>
  </si>
  <si>
    <t xml:space="preserve">NESN SE </t>
  </si>
  <si>
    <t>NESN SE Equity</t>
  </si>
  <si>
    <t xml:space="preserve">NOVN SE </t>
  </si>
  <si>
    <t>NOVN SE Equity</t>
  </si>
  <si>
    <t xml:space="preserve">ROG SE </t>
  </si>
  <si>
    <t>ROG SE Equity</t>
  </si>
  <si>
    <t>SYNN SE</t>
  </si>
  <si>
    <t>SYNN SE Equity</t>
  </si>
  <si>
    <t>CSGN SE Equity</t>
  </si>
  <si>
    <t xml:space="preserve">GEBN SE </t>
  </si>
  <si>
    <t>GEBN SE Equity</t>
  </si>
  <si>
    <t xml:space="preserve">ABBN SE </t>
  </si>
  <si>
    <t>ABBN SE Equity</t>
  </si>
  <si>
    <t xml:space="preserve">CFR SE </t>
  </si>
  <si>
    <t>CFR SE Equity</t>
  </si>
  <si>
    <t xml:space="preserve">UHR SE </t>
  </si>
  <si>
    <t>UHR SE Equity</t>
  </si>
  <si>
    <t xml:space="preserve">ZURN SE </t>
  </si>
  <si>
    <t>ZURN SE Equity</t>
  </si>
  <si>
    <t xml:space="preserve">SCMN SE </t>
  </si>
  <si>
    <t>SCMN SE Equity</t>
  </si>
  <si>
    <t xml:space="preserve">SREN SE </t>
  </si>
  <si>
    <t>SREN SE Equity</t>
  </si>
  <si>
    <t xml:space="preserve">ADEN SE </t>
  </si>
  <si>
    <t>ADEN SE Equity</t>
  </si>
  <si>
    <t xml:space="preserve">GIVN SE </t>
  </si>
  <si>
    <t>GIVN SE Equity</t>
  </si>
  <si>
    <t xml:space="preserve">SGSN SE </t>
  </si>
  <si>
    <t>SGSN SE Equity</t>
  </si>
  <si>
    <t xml:space="preserve">BALN SE </t>
  </si>
  <si>
    <t>BALN SE Equity</t>
  </si>
  <si>
    <t xml:space="preserve">UBSG SE </t>
  </si>
  <si>
    <t>UBSG SE Equity</t>
  </si>
  <si>
    <t xml:space="preserve">LONN SE </t>
  </si>
  <si>
    <t>LONN SE Equity</t>
  </si>
  <si>
    <t xml:space="preserve">SOON SE </t>
  </si>
  <si>
    <t>SOON SE Equity</t>
  </si>
  <si>
    <t xml:space="preserve">BAER SE </t>
  </si>
  <si>
    <t>BAER SE Equity</t>
  </si>
  <si>
    <t xml:space="preserve">VIFN SE </t>
  </si>
  <si>
    <t>VIFN SE Equity</t>
  </si>
  <si>
    <t>Perspective World Selection 100 Absolute Performance USD 2</t>
  </si>
  <si>
    <t>Perspective World Selection 100 Absolute Performance USD 3</t>
  </si>
  <si>
    <t>Costco Wholesale Corp (UW)</t>
  </si>
  <si>
    <t>COST UW Equity</t>
  </si>
  <si>
    <t>COST UW</t>
  </si>
  <si>
    <t>SNH US Equity</t>
  </si>
  <si>
    <t>BT Group Plc</t>
  </si>
  <si>
    <t>Royal Mail Plc</t>
  </si>
  <si>
    <t>Swiss Re Ltd</t>
  </si>
  <si>
    <t>BT/A LN Equity</t>
  </si>
  <si>
    <t>RMG LN Equity</t>
  </si>
  <si>
    <t>BT/A LN</t>
  </si>
  <si>
    <t>SXPP Index</t>
  </si>
  <si>
    <t>SREN SW</t>
  </si>
  <si>
    <t>ZURN SW</t>
  </si>
  <si>
    <t>SREN SW Equity</t>
  </si>
  <si>
    <t>ZURN SW Equity</t>
  </si>
  <si>
    <t>BE6297577460/1</t>
  </si>
  <si>
    <t>BE6297577460/2</t>
  </si>
  <si>
    <t>BE6297577460/3</t>
  </si>
  <si>
    <t>BE6297577460/4</t>
  </si>
  <si>
    <t>BE6297577460/5</t>
  </si>
  <si>
    <t>BE6297577460/6</t>
  </si>
  <si>
    <t>BE6297577460/7</t>
  </si>
  <si>
    <t>BE6297577460/8</t>
  </si>
  <si>
    <t>BE6297577460/9</t>
  </si>
  <si>
    <t>BE6297577460/10</t>
  </si>
  <si>
    <t>BE6297577460/11</t>
  </si>
  <si>
    <t>BE6297577460/12</t>
  </si>
  <si>
    <t>CSOB Basic Resources Conditional Coupon 1</t>
  </si>
  <si>
    <t>LU1621480281/1</t>
  </si>
  <si>
    <t>LU1621480281/2</t>
  </si>
  <si>
    <t>LU1621480281/3</t>
  </si>
  <si>
    <t>LU1621480281/4</t>
  </si>
  <si>
    <t>LU1621480281/5</t>
  </si>
  <si>
    <t>LU1621480281/6</t>
  </si>
  <si>
    <t>ČSOB Zdravotnictví 1</t>
  </si>
  <si>
    <t>ČSOB Potraviny a svět 2</t>
  </si>
  <si>
    <t>Contribute PArtners ČSOB Zdravotnictví 1</t>
  </si>
  <si>
    <t>Kraft Foods PACKAGE</t>
  </si>
  <si>
    <t>.KFTPACK Index</t>
  </si>
  <si>
    <t>.KFTPACK</t>
  </si>
  <si>
    <t>Po 2. roce</t>
  </si>
  <si>
    <t>Dividenda</t>
  </si>
  <si>
    <t>BE6298150374/1</t>
  </si>
  <si>
    <t>BE6298150374/2</t>
  </si>
  <si>
    <t>BE6298150374/3</t>
  </si>
  <si>
    <t>BE6298150374/4</t>
  </si>
  <si>
    <t>BE6298150374/5</t>
  </si>
  <si>
    <t>BE6298150374/6</t>
  </si>
  <si>
    <t>BE6298150374/7</t>
  </si>
  <si>
    <t>BE6298150374/8</t>
  </si>
  <si>
    <t>BE6298150374/9</t>
  </si>
  <si>
    <t>BE6298150374/10</t>
  </si>
  <si>
    <t>BE6298150374/11</t>
  </si>
  <si>
    <t>BE6298150374/12</t>
  </si>
  <si>
    <t>HKT Trust and HKT LTD-SS</t>
  </si>
  <si>
    <t>6823 HK Equity</t>
  </si>
  <si>
    <t>6823 HK</t>
  </si>
  <si>
    <t>BE6296913617/1</t>
  </si>
  <si>
    <t>BE6296913617/2</t>
  </si>
  <si>
    <t>BE6296913617/3</t>
  </si>
  <si>
    <t>BE6296913617/4</t>
  </si>
  <si>
    <t>BE6296913617/5</t>
  </si>
  <si>
    <t>BE6296913617/6</t>
  </si>
  <si>
    <t>Fond</t>
  </si>
  <si>
    <t>AJINOMOTO CO INC</t>
  </si>
  <si>
    <t>Archer-Daniels-Midland Co</t>
  </si>
  <si>
    <t>MEIJI HOLDINGS CO LTD</t>
  </si>
  <si>
    <t>WH GROUP LTD</t>
  </si>
  <si>
    <t>2802 JT Equity</t>
  </si>
  <si>
    <t>ADM UN Equity</t>
  </si>
  <si>
    <t>2269 JT Equity</t>
  </si>
  <si>
    <t>288 HK Equity</t>
  </si>
  <si>
    <t>2802 JT</t>
  </si>
  <si>
    <t>ADM UN</t>
  </si>
  <si>
    <t>2269 JT</t>
  </si>
  <si>
    <t>288 HK</t>
  </si>
  <si>
    <t>LU1623845978 /1</t>
  </si>
  <si>
    <t>LU1623845978 /2</t>
  </si>
  <si>
    <t>LU1623845978 /3</t>
  </si>
  <si>
    <t>LU1623845978 /4</t>
  </si>
  <si>
    <t>LU1623845978 /5</t>
  </si>
  <si>
    <t>LU1623845978 /6</t>
  </si>
  <si>
    <t>LU1649822548/1</t>
  </si>
  <si>
    <t>LU1649822548/2</t>
  </si>
  <si>
    <t>LU1649822548/3</t>
  </si>
  <si>
    <t>LU1649822548/4</t>
  </si>
  <si>
    <t>LU1649822548/5</t>
  </si>
  <si>
    <t>LU1649822548/6</t>
  </si>
  <si>
    <t>Vestas Wind Systems</t>
  </si>
  <si>
    <t>VWS DC</t>
  </si>
  <si>
    <t>Po 1.roce</t>
  </si>
  <si>
    <t>ČSOB Šampioni sportu 4</t>
  </si>
  <si>
    <t>LU1694798015</t>
  </si>
  <si>
    <t>Select Investors ČSOB Potraviny a svět 2</t>
  </si>
  <si>
    <t>Perspective World Selection 100 Absolute Performance USD 4</t>
  </si>
  <si>
    <t>Perspective World Selection 100 Absolute Performance USD 5</t>
  </si>
  <si>
    <t>aktul.</t>
  </si>
  <si>
    <t>Klepierre</t>
  </si>
  <si>
    <t>LI FP Equity</t>
  </si>
  <si>
    <t>LI FP</t>
  </si>
  <si>
    <t>Akt. 12/17</t>
  </si>
  <si>
    <t>ČSOB Světový expres 7 (Optimum Fund)</t>
  </si>
  <si>
    <t>LU1580882071/1</t>
  </si>
  <si>
    <t>LU1580882071/2</t>
  </si>
  <si>
    <t>LU1580882071/3</t>
  </si>
  <si>
    <t>LU1580882071/4</t>
  </si>
  <si>
    <t>LU1580882071/5</t>
  </si>
  <si>
    <t>LU1580882071/6</t>
  </si>
  <si>
    <t>LU1580882071/7</t>
  </si>
  <si>
    <t>LU1580882071/8</t>
  </si>
  <si>
    <t>LU1580882071/9</t>
  </si>
  <si>
    <t>LU1580882071/10</t>
  </si>
  <si>
    <t>LU1580882071/11</t>
  </si>
  <si>
    <t>LU1580882071/12</t>
  </si>
  <si>
    <t>ČSOB Světový expres 7</t>
  </si>
  <si>
    <t>Contribute Partners ČSOB Světový expres 7</t>
  </si>
  <si>
    <t>BE6298772771 /1</t>
  </si>
  <si>
    <t>BE6298772771 /2</t>
  </si>
  <si>
    <t>BE6298772771 /3</t>
  </si>
  <si>
    <t>BE6298772771 /4</t>
  </si>
  <si>
    <t>BE6298772771 /5</t>
  </si>
  <si>
    <t>BE6298772771 /6</t>
  </si>
  <si>
    <t>BE6298772771 /7</t>
  </si>
  <si>
    <t>BE6298772771 /8</t>
  </si>
  <si>
    <t>BE6298772771 /9</t>
  </si>
  <si>
    <t>BE6298772771 /10</t>
  </si>
  <si>
    <t>BE6298772771 /11</t>
  </si>
  <si>
    <t>BE6298772771 /12</t>
  </si>
  <si>
    <t>Contribute Partners ČSOB Šampioni sportu 4</t>
  </si>
  <si>
    <t>ČSOB Světový výběr 4 (ČSOB Světové akcie a pojišťovny 1)</t>
  </si>
  <si>
    <t>Select Investors ČSOB Světový výběr 4</t>
  </si>
  <si>
    <t>LU1730011696</t>
  </si>
  <si>
    <t>PEP UW</t>
  </si>
  <si>
    <t>PEP UW Equity</t>
  </si>
  <si>
    <t>RY CT</t>
  </si>
  <si>
    <t>RY CT Equity</t>
  </si>
  <si>
    <t>Hoya Corp</t>
  </si>
  <si>
    <t>7741 JT Equity</t>
  </si>
  <si>
    <t>7741 JT</t>
  </si>
  <si>
    <t>LU1651849801/1</t>
  </si>
  <si>
    <t>LU1651849801/2</t>
  </si>
  <si>
    <t>LU1651849801/3</t>
  </si>
  <si>
    <t>LU1651849801/4</t>
  </si>
  <si>
    <t>LU1651849801/5</t>
  </si>
  <si>
    <t>LU1651849801/6</t>
  </si>
  <si>
    <t>XEL US</t>
  </si>
  <si>
    <t>XEL US Equity</t>
  </si>
  <si>
    <t>BE6299842805 /1</t>
  </si>
  <si>
    <t>BE6299842805 /2</t>
  </si>
  <si>
    <t>BE6299842805 /3</t>
  </si>
  <si>
    <t>BE6299842805 /4</t>
  </si>
  <si>
    <t>BE6299842805 /5</t>
  </si>
  <si>
    <t>BE6299842805 /6</t>
  </si>
  <si>
    <t>BE6299842805 /7</t>
  </si>
  <si>
    <t>BE6299842805 /8</t>
  </si>
  <si>
    <t>BE6299842805 /9</t>
  </si>
  <si>
    <t>BE6299842805 /10</t>
  </si>
  <si>
    <t>BE6299842805 /11</t>
  </si>
  <si>
    <t>BE6299842805 /12</t>
  </si>
  <si>
    <t>Tyson Foods Inc</t>
  </si>
  <si>
    <t>TSN UN Equity</t>
  </si>
  <si>
    <t>TSN UN</t>
  </si>
  <si>
    <t>LU1694798015 /1</t>
  </si>
  <si>
    <t>LU1694798015 /2</t>
  </si>
  <si>
    <t>LU1694798015 /3</t>
  </si>
  <si>
    <t>LU1694798015 /4</t>
  </si>
  <si>
    <t>LU1694798015 /5</t>
  </si>
  <si>
    <t>LU1694798015 /6</t>
  </si>
  <si>
    <t>Baxter Inc - Shire Plc (USD) Package</t>
  </si>
  <si>
    <t>.BXTSHPG Index</t>
  </si>
  <si>
    <t>.BXTSHPG</t>
  </si>
  <si>
    <t>10 dní v únoru 2018</t>
  </si>
  <si>
    <t>BKNG US Equity</t>
  </si>
  <si>
    <t>BKNG US</t>
  </si>
  <si>
    <t>BE6298150374</t>
  </si>
  <si>
    <t>BE6298772771</t>
  </si>
  <si>
    <t>BE6299842805</t>
  </si>
  <si>
    <t>LU1690131013/1</t>
  </si>
  <si>
    <t>LU1690131013/2</t>
  </si>
  <si>
    <t>LU1690131013/3</t>
  </si>
  <si>
    <t>LU1690131013/4</t>
  </si>
  <si>
    <t>LU1690131013/5</t>
  </si>
  <si>
    <t>LU1690131013/6</t>
  </si>
  <si>
    <t>BE6300566286 /1</t>
  </si>
  <si>
    <t>BE6300566286 /2</t>
  </si>
  <si>
    <t>BE6300566286 /3</t>
  </si>
  <si>
    <t>BE6300566286 /4</t>
  </si>
  <si>
    <t>BE6300566286 /5</t>
  </si>
  <si>
    <t>BE6300566286 /6</t>
  </si>
  <si>
    <t>BE6300566286 /7</t>
  </si>
  <si>
    <t>BE6300566286 /8</t>
  </si>
  <si>
    <t>BE6300566286 /9</t>
  </si>
  <si>
    <t>BE6300566286 /10</t>
  </si>
  <si>
    <t>BE6300566286 /11</t>
  </si>
  <si>
    <t>BE6300566286 /12</t>
  </si>
  <si>
    <t>Perspective World Selection 100 Absolute Performance USD 6</t>
  </si>
  <si>
    <t>Perspective Premium World Selection Airbag 2</t>
  </si>
  <si>
    <t>výchozí hodnota / airbag</t>
  </si>
  <si>
    <t>BE6301360465 /1</t>
  </si>
  <si>
    <t>BE6301360465 /2</t>
  </si>
  <si>
    <t>BE6301360465 /3</t>
  </si>
  <si>
    <t>BE6301360465 /4</t>
  </si>
  <si>
    <t>BE6301360465 /5</t>
  </si>
  <si>
    <t>BE6301360465 /6</t>
  </si>
  <si>
    <t>BE6301360465 /7</t>
  </si>
  <si>
    <t>BE6301360465 /8</t>
  </si>
  <si>
    <t>BE6301360465 /9</t>
  </si>
  <si>
    <t>BE6301360465 /10</t>
  </si>
  <si>
    <t>BE6301360465 /11</t>
  </si>
  <si>
    <t>BE6301360465 /12</t>
  </si>
  <si>
    <t>BE6301360465/1</t>
  </si>
  <si>
    <t>BE6301360465/2</t>
  </si>
  <si>
    <t>BE6301360465/3</t>
  </si>
  <si>
    <t>BE6301360465/4</t>
  </si>
  <si>
    <t>BE6301360465/5</t>
  </si>
  <si>
    <t>BE6301360465/6</t>
  </si>
  <si>
    <t>BE6301360465/7</t>
  </si>
  <si>
    <t>BE6301360465/8</t>
  </si>
  <si>
    <t>BE6301360465/9</t>
  </si>
  <si>
    <t>BE6301360465/10</t>
  </si>
  <si>
    <t>BE6301360465/11</t>
  </si>
  <si>
    <t>BE6301360465/12</t>
  </si>
  <si>
    <t>BE6300566286</t>
  </si>
  <si>
    <t>BE6301365514</t>
  </si>
  <si>
    <t>BE6301360465</t>
  </si>
  <si>
    <t>LU1690131013</t>
  </si>
  <si>
    <t>LU1651849801</t>
  </si>
  <si>
    <t>LU1730011696/1</t>
  </si>
  <si>
    <t>LU1730011696/2</t>
  </si>
  <si>
    <t>LU1730011696/3</t>
  </si>
  <si>
    <t>LU1730011696/4</t>
  </si>
  <si>
    <t>LU1730011696/5</t>
  </si>
  <si>
    <t>LU1730011696/6</t>
  </si>
  <si>
    <t>LU1730011696/7</t>
  </si>
  <si>
    <t>LU1730011696/8</t>
  </si>
  <si>
    <t>LU1730011696/9</t>
  </si>
  <si>
    <t>LU1730011696/10</t>
  </si>
  <si>
    <t>LU1730011696/11</t>
  </si>
  <si>
    <t>LU1730011696/12</t>
  </si>
  <si>
    <t>LU1730011696/13</t>
  </si>
  <si>
    <t>LU1730011696/14</t>
  </si>
  <si>
    <t>LU1730011696/16</t>
  </si>
  <si>
    <t>LU1730011696/17</t>
  </si>
  <si>
    <t>LU1730011696/18</t>
  </si>
  <si>
    <t>ČSOB Informační technologie 2</t>
  </si>
  <si>
    <t>ČSOB Globálních firem 1</t>
  </si>
  <si>
    <t>Perspective European Quality 100 Absolute Performance USD 1</t>
  </si>
  <si>
    <t xml:space="preserve">Contribute Partners ČSOB Informační technologie 2 </t>
  </si>
  <si>
    <t>LU1730012405</t>
  </si>
  <si>
    <t>Select Investors ČSOB Globálních firem 1</t>
  </si>
  <si>
    <t>LU1758982984</t>
  </si>
  <si>
    <t xml:space="preserve">Perspective European Quality 100 Absolute Performance USD 1 </t>
  </si>
  <si>
    <t>BE6302066731</t>
  </si>
  <si>
    <t xml:space="preserve">Perspective Europe 100 Timing USD 1 </t>
  </si>
  <si>
    <t>BE6302967045</t>
  </si>
  <si>
    <t>WELL UN</t>
  </si>
  <si>
    <t>WELL UN Equity</t>
  </si>
  <si>
    <t>Endesa SA (SQ)</t>
  </si>
  <si>
    <t>ELE SQ Equity</t>
  </si>
  <si>
    <t>Swiss Life Holding</t>
  </si>
  <si>
    <t>SLHN SE Equity</t>
  </si>
  <si>
    <t>ELE SQ</t>
  </si>
  <si>
    <t>SLHN SE</t>
  </si>
  <si>
    <t>BE6302066731 /1</t>
  </si>
  <si>
    <t>BE6302066731 /2</t>
  </si>
  <si>
    <t>BE6302066731 /3</t>
  </si>
  <si>
    <t>BE6302066731 /4</t>
  </si>
  <si>
    <t>BE6302066731 /5</t>
  </si>
  <si>
    <t>BE6302066731 /6</t>
  </si>
  <si>
    <t>BE6302066731 /7</t>
  </si>
  <si>
    <t>BE6302066731 /8</t>
  </si>
  <si>
    <t>BE6302066731 /9</t>
  </si>
  <si>
    <t>BE6302066731 /10</t>
  </si>
  <si>
    <t>BE6302066731 /11</t>
  </si>
  <si>
    <t>BE6302066731 /12</t>
  </si>
  <si>
    <t xml:space="preserve">Optimum Fund ČSOB Airbag Jumper EUR 13 </t>
  </si>
  <si>
    <t xml:space="preserve">ČSOB Airbag Jumper EUR 13 </t>
  </si>
  <si>
    <t>Perspective Europe 100 Timing USD 2</t>
  </si>
  <si>
    <t>BE6302305212</t>
  </si>
  <si>
    <t>ČSOB Svět s bonusem nápojů 1</t>
  </si>
  <si>
    <t xml:space="preserve">Global Partners ČSOB Svět s bonusem nápojů 1 </t>
  </si>
  <si>
    <t>výše prvního clicku / bariéra/ bonus</t>
  </si>
  <si>
    <t>Select Investors ČSOB Globálních firem 2</t>
  </si>
  <si>
    <t>ČSOB Globálních firem 2</t>
  </si>
  <si>
    <t>EQNR NO</t>
  </si>
  <si>
    <t>EQNR NO Equity</t>
  </si>
  <si>
    <t>LU1758982984/1</t>
  </si>
  <si>
    <t>LU1758982984/2</t>
  </si>
  <si>
    <t>LU1758982984/3</t>
  </si>
  <si>
    <t>LU1758982984/4</t>
  </si>
  <si>
    <t>LU1758982984/5</t>
  </si>
  <si>
    <t>LU1758982984/6</t>
  </si>
  <si>
    <t>LU1758982984/7</t>
  </si>
  <si>
    <t>LU1758982984/8</t>
  </si>
  <si>
    <t>LU1758982984/9</t>
  </si>
  <si>
    <t>LU1758982984/10</t>
  </si>
  <si>
    <t>LU1758982984/11</t>
  </si>
  <si>
    <t>LU1758982984/12</t>
  </si>
  <si>
    <t>LU1758982984/13</t>
  </si>
  <si>
    <t>LU1758982984/14</t>
  </si>
  <si>
    <t>LU1758982984/16</t>
  </si>
  <si>
    <t>LU1758982984/17</t>
  </si>
  <si>
    <t>LU1758982984/18</t>
  </si>
  <si>
    <t>LU1758982984/15</t>
  </si>
  <si>
    <t>LU1730011696/15</t>
  </si>
  <si>
    <t>vyplaceno 2%</t>
  </si>
  <si>
    <t>LU1799163479</t>
  </si>
  <si>
    <t xml:space="preserve">ČSOB Banks Conditional Coupon 2 </t>
  </si>
  <si>
    <t xml:space="preserve">Select Investors ČSOB Banks Conditional Coupon 2 </t>
  </si>
  <si>
    <t xml:space="preserve">Horizon CSOB Globalny rast EUR 2  </t>
  </si>
  <si>
    <t xml:space="preserve">ČSOB Globalny rast EUR 2  </t>
  </si>
  <si>
    <t>ATVI UW Equity</t>
  </si>
  <si>
    <t>AMS SQ Equity</t>
  </si>
  <si>
    <t>ADI UW Equity</t>
  </si>
  <si>
    <t>ADP UW Equity</t>
  </si>
  <si>
    <t>AVGO UW Equity</t>
  </si>
  <si>
    <t>HPE UN Equity</t>
  </si>
  <si>
    <t>6501 JT Equity</t>
  </si>
  <si>
    <t>INTU UW Equity</t>
  </si>
  <si>
    <t>LRCX UW Equity</t>
  </si>
  <si>
    <t>MCHP UW Equity</t>
  </si>
  <si>
    <t>MU UW Equity</t>
  </si>
  <si>
    <t>6981 JT Equity</t>
  </si>
  <si>
    <t>6724 JT Equity</t>
  </si>
  <si>
    <t>SWKS UW Equity</t>
  </si>
  <si>
    <t>XLNX UW Equity</t>
  </si>
  <si>
    <t>Activision Blizzard Inc</t>
  </si>
  <si>
    <t>Amadeus IT Holding SA</t>
  </si>
  <si>
    <t>Analog Devices Inc</t>
  </si>
  <si>
    <t>Automatic Data Processing Inc (UW)</t>
  </si>
  <si>
    <t>BROADCOM LTD</t>
  </si>
  <si>
    <t>HEWLETT PACKARD ENTERPRISE</t>
  </si>
  <si>
    <t>HITACHI LTD</t>
  </si>
  <si>
    <t>Intuit Inc</t>
  </si>
  <si>
    <t>LAM REASEARCH CORP</t>
  </si>
  <si>
    <t>Microchip Technology Inc (UW)</t>
  </si>
  <si>
    <t>MICRON TECHNOLOGY INC</t>
  </si>
  <si>
    <t>Murata Manufacturing Co Ltd (JT)</t>
  </si>
  <si>
    <t>SEIKO EPSON CORP</t>
  </si>
  <si>
    <t>SKYWORKS SOLUTIONS INC</t>
  </si>
  <si>
    <t>STMicroelectronics (IM)</t>
  </si>
  <si>
    <t>XILINX INC (UW)</t>
  </si>
  <si>
    <t>ATVI UW</t>
  </si>
  <si>
    <t>AMS SQ</t>
  </si>
  <si>
    <t>ADI UW</t>
  </si>
  <si>
    <t>ADP UW</t>
  </si>
  <si>
    <t>AVGO UW</t>
  </si>
  <si>
    <t>HPE UN</t>
  </si>
  <si>
    <t>6501 JT</t>
  </si>
  <si>
    <t>INTU UW</t>
  </si>
  <si>
    <t>LRCX UW</t>
  </si>
  <si>
    <t>MCHP UW</t>
  </si>
  <si>
    <t>MU UW</t>
  </si>
  <si>
    <t>6981 JT</t>
  </si>
  <si>
    <t>6724 JT</t>
  </si>
  <si>
    <t>SWKS UW</t>
  </si>
  <si>
    <t>XLNX UW</t>
  </si>
  <si>
    <t>LU1730012405/1</t>
  </si>
  <si>
    <t>LU1730012405/2</t>
  </si>
  <si>
    <t>LU1730012405/3</t>
  </si>
  <si>
    <t>LU1730012405/4</t>
  </si>
  <si>
    <t>LU1730012405/5</t>
  </si>
  <si>
    <t>LU1730012405/6</t>
  </si>
  <si>
    <t>NTGY SM Equity</t>
  </si>
  <si>
    <t>NTGY SM</t>
  </si>
  <si>
    <t>KDP US</t>
  </si>
  <si>
    <t>KDP US Equity</t>
  </si>
  <si>
    <t>ČSOB Airbag Jumper EUR 13</t>
  </si>
  <si>
    <t>Perspective Europe 100 Timing USD 1</t>
  </si>
  <si>
    <t>BE6302967045/1</t>
  </si>
  <si>
    <t>BE6302967045/2</t>
  </si>
  <si>
    <t>BE6302967045/3</t>
  </si>
  <si>
    <t>BE6302967045/4</t>
  </si>
  <si>
    <t>BE6302967045/5</t>
  </si>
  <si>
    <t>BE6302967045/6</t>
  </si>
  <si>
    <t>BE6302967045/7</t>
  </si>
  <si>
    <t>BE6302967045/8</t>
  </si>
  <si>
    <t>BE6302967045/9</t>
  </si>
  <si>
    <t>BE6302967045/10</t>
  </si>
  <si>
    <t>BE6302967045/11</t>
  </si>
  <si>
    <t>BE6302967045/12</t>
  </si>
  <si>
    <t>Perspective Europe 100 Timing USD 3</t>
  </si>
  <si>
    <t>Perspective Europe 100 Timing USD 4</t>
  </si>
  <si>
    <t>ABN Amro Group NV</t>
  </si>
  <si>
    <t>ABN NA Equity</t>
  </si>
  <si>
    <t>BOLIDEN AB</t>
  </si>
  <si>
    <t>BOL SS Equity</t>
  </si>
  <si>
    <t>Unibail-Rodamco SE &amp; WFD</t>
  </si>
  <si>
    <t>URW NA Equity</t>
  </si>
  <si>
    <t>ABN NA</t>
  </si>
  <si>
    <t>BOL SS</t>
  </si>
  <si>
    <t>URW NA</t>
  </si>
  <si>
    <t>BE6303976433/1</t>
  </si>
  <si>
    <t>BE6303976433/2</t>
  </si>
  <si>
    <t>BE6303976433/3</t>
  </si>
  <si>
    <t>BE6303976433/4</t>
  </si>
  <si>
    <t>BE6303976433/5</t>
  </si>
  <si>
    <t>BE6303976433/6</t>
  </si>
  <si>
    <t>BE6303976433/7</t>
  </si>
  <si>
    <t>BE6303976433/8</t>
  </si>
  <si>
    <t>BE6303976433/9</t>
  </si>
  <si>
    <t>BE6303976433/10</t>
  </si>
  <si>
    <t>BE6303976433/11</t>
  </si>
  <si>
    <t>BE6303976433/12</t>
  </si>
  <si>
    <t>BE6303976433</t>
  </si>
  <si>
    <t>BE6304723149</t>
  </si>
  <si>
    <t>BE6305318279</t>
  </si>
  <si>
    <t>BE6304579640</t>
  </si>
  <si>
    <t>ČSOB Zpětného odkupu 2</t>
  </si>
  <si>
    <t>ČSOB Fixovaný click USD 7</t>
  </si>
  <si>
    <t>ČSOB Evropských firem 1</t>
  </si>
  <si>
    <t xml:space="preserve">Optimum Fund ČSOB Sponzoři sportu 1 </t>
  </si>
  <si>
    <t xml:space="preserve">Optimum Fund ČSOB Zpětného odkupu 2 </t>
  </si>
  <si>
    <t xml:space="preserve">Global Partners ČSOB Fixovaný click USD 7 </t>
  </si>
  <si>
    <t>Select Investors ČSOB Evropských firem 1</t>
  </si>
  <si>
    <t>LU1825124941</t>
  </si>
  <si>
    <t>LU1190401676</t>
  </si>
  <si>
    <t>BE6304723149/1</t>
  </si>
  <si>
    <t>BE6304723149/2</t>
  </si>
  <si>
    <t>BE6304723149/3</t>
  </si>
  <si>
    <t>BE6304723149/4</t>
  </si>
  <si>
    <t>BE6304723149/5</t>
  </si>
  <si>
    <t>BE6304723149/6</t>
  </si>
  <si>
    <t>BE6304723149/7</t>
  </si>
  <si>
    <t>BE6304723149/8</t>
  </si>
  <si>
    <t>BE6304723149/9</t>
  </si>
  <si>
    <t>BE6304723149/10</t>
  </si>
  <si>
    <t>BE6304723149/11</t>
  </si>
  <si>
    <t>BE6304723149/12</t>
  </si>
  <si>
    <t>LU1796246137/1</t>
  </si>
  <si>
    <t>LU1796246137/2</t>
  </si>
  <si>
    <t>LU1796246137/3</t>
  </si>
  <si>
    <t>LU1796246137/4</t>
  </si>
  <si>
    <t>LU1796246137/5</t>
  </si>
  <si>
    <t>LU1796246137/6</t>
  </si>
  <si>
    <t>LU1796246137/7</t>
  </si>
  <si>
    <t>LU1796246137/8</t>
  </si>
  <si>
    <t>LU1796246137/9</t>
  </si>
  <si>
    <t>LU1796246137/10</t>
  </si>
  <si>
    <t>LU1796246137/11</t>
  </si>
  <si>
    <t>LU1796246137/12</t>
  </si>
  <si>
    <t>LU1796246137/13</t>
  </si>
  <si>
    <t>LU1796246137/14</t>
  </si>
  <si>
    <t>LU1796246137/15</t>
  </si>
  <si>
    <t>LU1796246137/16</t>
  </si>
  <si>
    <t>LU1796246137/17</t>
  </si>
  <si>
    <t>LU1796246137/18</t>
  </si>
  <si>
    <t>KDP UN Equity</t>
  </si>
  <si>
    <t>TWE AU Equity</t>
  </si>
  <si>
    <t>Keurig Dr Pepper Inc</t>
  </si>
  <si>
    <t>KDP UN</t>
  </si>
  <si>
    <t>Treasure Wine Estates</t>
  </si>
  <si>
    <t>TWE AU</t>
  </si>
  <si>
    <t>2.</t>
  </si>
  <si>
    <t>LU1799163479/1</t>
  </si>
  <si>
    <t>LU1799163479/2</t>
  </si>
  <si>
    <t>LU1799163479/3</t>
  </si>
  <si>
    <t>LU1799163479/4</t>
  </si>
  <si>
    <t>LU1799163479/5</t>
  </si>
  <si>
    <t>LU1799163479/6</t>
  </si>
  <si>
    <t>LU1799163479/7</t>
  </si>
  <si>
    <t>LU1799163479/8</t>
  </si>
  <si>
    <t>LU1799163479/9</t>
  </si>
  <si>
    <t>LU1799163479/10</t>
  </si>
  <si>
    <t>LU1799163479/11</t>
  </si>
  <si>
    <t>LU1799163479/12</t>
  </si>
  <si>
    <t>LU1799163479/13</t>
  </si>
  <si>
    <t>LU1799163479/14</t>
  </si>
  <si>
    <t>LU1799163479/15</t>
  </si>
  <si>
    <t>LU1799163479/16</t>
  </si>
  <si>
    <t>LU1799163479/17</t>
  </si>
  <si>
    <t>LU1799163479/18</t>
  </si>
  <si>
    <t>ČSOB Banks Conditional Coupon 2</t>
  </si>
  <si>
    <t>ČSOB Globální rast 2 (Horizon)</t>
  </si>
  <si>
    <t>BE6304579640/1</t>
  </si>
  <si>
    <t>BE6304579640/2</t>
  </si>
  <si>
    <t>BE6304579640/3</t>
  </si>
  <si>
    <t>BE6304579640/4</t>
  </si>
  <si>
    <t>BE6304579640/5</t>
  </si>
  <si>
    <t>BE6304579640/6</t>
  </si>
  <si>
    <t>BE6304579640/7</t>
  </si>
  <si>
    <t>BE6304579640/8</t>
  </si>
  <si>
    <t>BE6304579640/9</t>
  </si>
  <si>
    <t>BE6304579640/10</t>
  </si>
  <si>
    <t>BE6304579640/11</t>
  </si>
  <si>
    <t>BE6304579640/12</t>
  </si>
  <si>
    <t>BE6304579640/13</t>
  </si>
  <si>
    <t>BE6304579640/14</t>
  </si>
  <si>
    <t>BE6304579640/15</t>
  </si>
  <si>
    <t>BE6304579640/16</t>
  </si>
  <si>
    <t>BE6304579640/17</t>
  </si>
  <si>
    <t>BE6304579640/18</t>
  </si>
  <si>
    <t>BE6305318279/1</t>
  </si>
  <si>
    <t>BE6305318279/2</t>
  </si>
  <si>
    <t>BE6305318279/3</t>
  </si>
  <si>
    <t>BE6305318279/4</t>
  </si>
  <si>
    <t>BE6305318279/5</t>
  </si>
  <si>
    <t>BE6305318279/6</t>
  </si>
  <si>
    <t>BE6305318279/7</t>
  </si>
  <si>
    <t>BE6305318279/8</t>
  </si>
  <si>
    <t>BE6305318279/9</t>
  </si>
  <si>
    <t>BE6305318279/10</t>
  </si>
  <si>
    <t>BE6305318279/11</t>
  </si>
  <si>
    <t>BE6305318279/12</t>
  </si>
  <si>
    <t>Perspective America 100 Timing USD 1</t>
  </si>
  <si>
    <t>Perspective America 100 Timing USD 2</t>
  </si>
  <si>
    <t>fond nebyl po 1. roce ukončen</t>
  </si>
  <si>
    <t>aktualizováno</t>
  </si>
  <si>
    <t>Aktualizováno</t>
  </si>
  <si>
    <t xml:space="preserve">Perspective America 100 Timing USD 1 </t>
  </si>
  <si>
    <t>BE6307113769</t>
  </si>
  <si>
    <t>Optimum Fund ČSOB Světové trhy 2</t>
  </si>
  <si>
    <t>ČSOB Světové trhy 2</t>
  </si>
  <si>
    <t>BE6306356955</t>
  </si>
  <si>
    <t>ČSOB Fixovaný click USD 7 (Global Partners)</t>
  </si>
  <si>
    <t>TRAVIS PERKINS PLC</t>
  </si>
  <si>
    <t>TPK LN Equity</t>
  </si>
  <si>
    <t xml:space="preserve">TPK LN </t>
  </si>
  <si>
    <t>LU1826207778/1</t>
  </si>
  <si>
    <t>LU1826207778/2</t>
  </si>
  <si>
    <t>LU1826207778/3</t>
  </si>
  <si>
    <t>LU1826207778/4</t>
  </si>
  <si>
    <t>LU1826207778/5</t>
  </si>
  <si>
    <t>AUTO TRADER GROUP PLC</t>
  </si>
  <si>
    <t>AUTO LN Equity</t>
  </si>
  <si>
    <t>AUTO LN</t>
  </si>
  <si>
    <t>BE6304957549/1</t>
  </si>
  <si>
    <t>BE6304957549/2</t>
  </si>
  <si>
    <t>BE6304957549/3</t>
  </si>
  <si>
    <t>BE6304957549/4</t>
  </si>
  <si>
    <t>BE6304957549/5</t>
  </si>
  <si>
    <t>BE6304957549/6</t>
  </si>
  <si>
    <t>BE6304957549/7</t>
  </si>
  <si>
    <t>BE6304957549/8</t>
  </si>
  <si>
    <t>BE6304957549/9</t>
  </si>
  <si>
    <t>BE6304957549/10</t>
  </si>
  <si>
    <t>BE6304957549/11</t>
  </si>
  <si>
    <t>BE6304957549/12</t>
  </si>
  <si>
    <t>BE6304957549/13</t>
  </si>
  <si>
    <t>BE6304957549/14</t>
  </si>
  <si>
    <t>BE6304957549/15</t>
  </si>
  <si>
    <t>BE6304957549/16</t>
  </si>
  <si>
    <t>BE6304957549/17</t>
  </si>
  <si>
    <t>BE6304957549/18</t>
  </si>
  <si>
    <t>RAKUTEN INC</t>
  </si>
  <si>
    <t>4755 JT Equity</t>
  </si>
  <si>
    <t>UniCredit SpA</t>
  </si>
  <si>
    <t>4755 JT</t>
  </si>
  <si>
    <t>UCG IM</t>
  </si>
  <si>
    <t>BE6304872664/4</t>
  </si>
  <si>
    <t>BE6304872664/5</t>
  </si>
  <si>
    <t>BE6304872664/6</t>
  </si>
  <si>
    <t>BE6304872664/7</t>
  </si>
  <si>
    <t>BE6304872664/8</t>
  </si>
  <si>
    <t>BE6304872664/9</t>
  </si>
  <si>
    <t>BE6304872664/10</t>
  </si>
  <si>
    <t>BE6304872664/11</t>
  </si>
  <si>
    <t>BE6304872664/12</t>
  </si>
  <si>
    <t>BE6304872664/13</t>
  </si>
  <si>
    <t>BE6304872664/14</t>
  </si>
  <si>
    <t>BE6304872664/15</t>
  </si>
  <si>
    <t>BE6304872664/16</t>
  </si>
  <si>
    <t>BE6304872664/17</t>
  </si>
  <si>
    <t>BE6304872664/18</t>
  </si>
  <si>
    <t>BE6304872664/1</t>
  </si>
  <si>
    <t>BE6304872664/2</t>
  </si>
  <si>
    <t>BE6304872664/3</t>
  </si>
  <si>
    <t>EL FP</t>
  </si>
  <si>
    <t>EL FP Equity</t>
  </si>
  <si>
    <t>BE6304872664</t>
  </si>
  <si>
    <t>LU1826207778</t>
  </si>
  <si>
    <t>BE6304957549</t>
  </si>
  <si>
    <t>LU1825124941/1</t>
  </si>
  <si>
    <t>LU1825124941/2</t>
  </si>
  <si>
    <t>LU1825124941/3</t>
  </si>
  <si>
    <t>LU1825124941/4</t>
  </si>
  <si>
    <t>LU1825124941/5</t>
  </si>
  <si>
    <t>LU1825124941/6</t>
  </si>
  <si>
    <t>LU1825124941/7</t>
  </si>
  <si>
    <t>LU1825124941/8</t>
  </si>
  <si>
    <t>LU1825124941/9</t>
  </si>
  <si>
    <t>LU1825124941/10</t>
  </si>
  <si>
    <t>LU1825124941/11</t>
  </si>
  <si>
    <t>LU1825124941/12</t>
  </si>
  <si>
    <t>LU1825124941/13</t>
  </si>
  <si>
    <t>LU1825124941/14</t>
  </si>
  <si>
    <t>LU1825124941/15</t>
  </si>
  <si>
    <t>LU1825124941/16</t>
  </si>
  <si>
    <t>LU1825124941/17</t>
  </si>
  <si>
    <t>LU1825124941/18</t>
  </si>
  <si>
    <t>LU1580882071</t>
  </si>
  <si>
    <t>BE6307616944</t>
  </si>
  <si>
    <t>ČSOB Evropský jumper 7</t>
  </si>
  <si>
    <t xml:space="preserve">Optimum Fund ČSOB Airbag Jumper EUR 14 </t>
  </si>
  <si>
    <t xml:space="preserve">ČSOB Airbag Jumper EUR 14 </t>
  </si>
  <si>
    <t xml:space="preserve">Contribute Partners ČSOB Evropský jumper 7 </t>
  </si>
  <si>
    <t>LU1839732663</t>
  </si>
  <si>
    <t>BE6307209757</t>
  </si>
  <si>
    <t>Crown Castle Intl</t>
  </si>
  <si>
    <t>CCI UN Equity</t>
  </si>
  <si>
    <t>Nutrien Ltd</t>
  </si>
  <si>
    <t>NTR CT Equity</t>
  </si>
  <si>
    <t>Pembina Pipeline Corp</t>
  </si>
  <si>
    <t>PPL CT Equity</t>
  </si>
  <si>
    <t>Williams Cos Inc</t>
  </si>
  <si>
    <t>WMB UN Equity</t>
  </si>
  <si>
    <t>CCI UN</t>
  </si>
  <si>
    <t>NTR CT</t>
  </si>
  <si>
    <t>PPL CT</t>
  </si>
  <si>
    <t>WMB UN</t>
  </si>
  <si>
    <t>BE6307113769/1</t>
  </si>
  <si>
    <t>BE6307113769/2</t>
  </si>
  <si>
    <t>BE6307113769/3</t>
  </si>
  <si>
    <t>BE6307113769/4</t>
  </si>
  <si>
    <t>BE6307113769/5</t>
  </si>
  <si>
    <t>BE6307113769/6</t>
  </si>
  <si>
    <t>BE6307113769/7</t>
  </si>
  <si>
    <t>BE6307113769/8</t>
  </si>
  <si>
    <t>BE6307113769/9</t>
  </si>
  <si>
    <t>BE6307113769/10</t>
  </si>
  <si>
    <t>BE6307113769/11</t>
  </si>
  <si>
    <t>BE6307113769/12</t>
  </si>
  <si>
    <t>Global Partners ČSOB Zdravotnictví a farmacie 2</t>
  </si>
  <si>
    <t>ČSOB Zdravotnictví a farmacie 2</t>
  </si>
  <si>
    <t>LU1884573988</t>
  </si>
  <si>
    <t>Perspective America 100 Timing USD 3</t>
  </si>
  <si>
    <t>ČSOB Energy Conditional Coupon 1</t>
  </si>
  <si>
    <t>Contribute Partners ČSOB Energy Conditional Coupon 1</t>
  </si>
  <si>
    <t>LU1864526824</t>
  </si>
  <si>
    <t>Optimum Fund ČSOB Private Banking Family Enterprises 1</t>
  </si>
  <si>
    <t>BE6308824414</t>
  </si>
  <si>
    <t>12.14.2018</t>
  </si>
  <si>
    <t>Po 3. roce</t>
  </si>
  <si>
    <t>LU1796246137</t>
  </si>
  <si>
    <t>LU1783244624</t>
  </si>
  <si>
    <t>BE6308657681</t>
  </si>
  <si>
    <t>BE6307616944/1</t>
  </si>
  <si>
    <t>BE6307616944/2</t>
  </si>
  <si>
    <t>BE6307616944/3</t>
  </si>
  <si>
    <t>BE6307616944/4</t>
  </si>
  <si>
    <t>BE6307616944/5</t>
  </si>
  <si>
    <t>BE6307616944/6</t>
  </si>
  <si>
    <t>BE6307616944/7</t>
  </si>
  <si>
    <t>BE6307616944/8</t>
  </si>
  <si>
    <t>BE6307616944/9</t>
  </si>
  <si>
    <t>BE6307616944/10</t>
  </si>
  <si>
    <t>BE6307616944/11</t>
  </si>
  <si>
    <t>BE6307616944/12</t>
  </si>
  <si>
    <t>BE6306356955/1</t>
  </si>
  <si>
    <t>BE6306356955/2</t>
  </si>
  <si>
    <t>BE6306356955/3</t>
  </si>
  <si>
    <t>BE6306356955/4</t>
  </si>
  <si>
    <t>BE6306356955/5</t>
  </si>
  <si>
    <t>BE6306356955/6</t>
  </si>
  <si>
    <t>BE6306356955/7</t>
  </si>
  <si>
    <t>BE6306356955/8</t>
  </si>
  <si>
    <t>BE6306356955/9</t>
  </si>
  <si>
    <t>BE6306356955/10</t>
  </si>
  <si>
    <t>BE6306356955/11</t>
  </si>
  <si>
    <t>BE6306356955/12</t>
  </si>
  <si>
    <t>BE6306356955/13</t>
  </si>
  <si>
    <t>BE6306356955/14</t>
  </si>
  <si>
    <t>BE6306356955/15</t>
  </si>
  <si>
    <t>BE6306356955/16</t>
  </si>
  <si>
    <t>BE6306356955/17</t>
  </si>
  <si>
    <t>BE6306356955/18</t>
  </si>
  <si>
    <t xml:space="preserve">bariéra </t>
  </si>
  <si>
    <t>BHP LN</t>
  </si>
  <si>
    <t>BHP LN Equity</t>
  </si>
  <si>
    <t>TUI AG (GBP)</t>
  </si>
  <si>
    <t>Scentre Group (AT)</t>
  </si>
  <si>
    <t>SCG AT Equity</t>
  </si>
  <si>
    <t>SCG AT</t>
  </si>
  <si>
    <t xml:space="preserve">kontrola navyšla - rozdíl 1,66% </t>
  </si>
  <si>
    <t>PO 1. nezaklikl ochranu</t>
  </si>
  <si>
    <t>TIME WARNER - acquired by AT&amp;T</t>
  </si>
  <si>
    <t>Perspective America 100 Timing USD 4</t>
  </si>
  <si>
    <t>DOMINION ENERGY</t>
  </si>
  <si>
    <t>BE6308657681/1</t>
  </si>
  <si>
    <t>BE6308657681/2</t>
  </si>
  <si>
    <t>BE6308657681/3</t>
  </si>
  <si>
    <t>BE6308657681/4</t>
  </si>
  <si>
    <t>BE6308657681/5</t>
  </si>
  <si>
    <t>BE6308657681/6</t>
  </si>
  <si>
    <t>BE6308657681/7</t>
  </si>
  <si>
    <t>BE6308657681/8</t>
  </si>
  <si>
    <t>BE6308657681/9</t>
  </si>
  <si>
    <t>BE6308657681/10</t>
  </si>
  <si>
    <t>BE6308657681/11</t>
  </si>
  <si>
    <t>BE6308657681/12</t>
  </si>
  <si>
    <t>BE6309481198</t>
  </si>
  <si>
    <t>Perspective America 100 Timing USD 5</t>
  </si>
  <si>
    <t>ČSOB Airbag Jumper EUR 14</t>
  </si>
  <si>
    <t>ČSOB Evropských firem 2</t>
  </si>
  <si>
    <t>ČSOB Zboží dlouhodobé spotřeby 1</t>
  </si>
  <si>
    <t>ČSOB Výběrový click 1</t>
  </si>
  <si>
    <t>ČSOB Airbag jumper +1</t>
  </si>
  <si>
    <t>Select Investors ČSOB Výběrový click 1</t>
  </si>
  <si>
    <t>Select Investors ČSOB Evropských firem 2</t>
  </si>
  <si>
    <t>LU1874716480</t>
  </si>
  <si>
    <t xml:space="preserve">Optimum Fund ČSOB Zboží dlouhodobé spotřeby 1 </t>
  </si>
  <si>
    <t>LU1911615307</t>
  </si>
  <si>
    <t>BE6308810272</t>
  </si>
  <si>
    <t xml:space="preserve">Optimum Fund ČSOB Airbag jumper + 1 </t>
  </si>
  <si>
    <t>BE6309827747</t>
  </si>
  <si>
    <t>MOWI NO</t>
  </si>
  <si>
    <t>MOWI NO Equity</t>
  </si>
  <si>
    <t>Fresenius SE &amp; Co KGaA</t>
  </si>
  <si>
    <t>FRE GY Equity</t>
  </si>
  <si>
    <t>GILEAD SCIENCES INC (UW)</t>
  </si>
  <si>
    <t>GILD UW Equity</t>
  </si>
  <si>
    <t>ONO Pharmaceutical Co Ltd</t>
  </si>
  <si>
    <t>4528 JT Equity</t>
  </si>
  <si>
    <t>FRE GY</t>
  </si>
  <si>
    <t>GILD UW</t>
  </si>
  <si>
    <t>4528 JT</t>
  </si>
  <si>
    <t>LU1884573988/1</t>
  </si>
  <si>
    <t>LU1884573988/2</t>
  </si>
  <si>
    <t>LU1884573988/3</t>
  </si>
  <si>
    <t>LU1884573988/4</t>
  </si>
  <si>
    <t>LU1884573988/5</t>
  </si>
  <si>
    <t>LU1884573988/6</t>
  </si>
  <si>
    <t>LU1884573988/7</t>
  </si>
  <si>
    <t>LU1884573988/8</t>
  </si>
  <si>
    <t>LU1884573988/9</t>
  </si>
  <si>
    <t>LU1884573988/10</t>
  </si>
  <si>
    <t>LU1884573988/11</t>
  </si>
  <si>
    <t>LU1884573988/12</t>
  </si>
  <si>
    <t>LU1884573988/13</t>
  </si>
  <si>
    <t>LU1884573988/14</t>
  </si>
  <si>
    <t>LU1884573988/15</t>
  </si>
  <si>
    <t>LU1884573988/16</t>
  </si>
  <si>
    <t>LU1884573988/17</t>
  </si>
  <si>
    <t>LU1884573988/18</t>
  </si>
  <si>
    <t>Old Mutual Ltd</t>
  </si>
  <si>
    <t>OMU LN Equity</t>
  </si>
  <si>
    <t>OMU LN</t>
  </si>
  <si>
    <t>LU1864526824/1</t>
  </si>
  <si>
    <t>LU1864526824/2</t>
  </si>
  <si>
    <t>LU1864526824/3</t>
  </si>
  <si>
    <t>LU1864526824/4</t>
  </si>
  <si>
    <t>LU1864526824/5</t>
  </si>
  <si>
    <t>LU1864526824/6</t>
  </si>
  <si>
    <t>Dassault Systèmes</t>
  </si>
  <si>
    <t>HEXAGON SS Equity</t>
  </si>
  <si>
    <t>ILIAD SA</t>
  </si>
  <si>
    <t>Inditex SA (SQ)</t>
  </si>
  <si>
    <t>MONCLER SPA</t>
  </si>
  <si>
    <t>RECORDATI SPA</t>
  </si>
  <si>
    <t>UBISOFT ENTERTAINMENT</t>
  </si>
  <si>
    <t>Volkswagen AG</t>
  </si>
  <si>
    <t>Wacker Chemie AG</t>
  </si>
  <si>
    <t>DSY FP Equity</t>
  </si>
  <si>
    <t>HEXAB SS Equity</t>
  </si>
  <si>
    <t>ILD FP Equity</t>
  </si>
  <si>
    <t>ITX SQ Equity</t>
  </si>
  <si>
    <t>MONC IM Equity</t>
  </si>
  <si>
    <t>REC IM Equity</t>
  </si>
  <si>
    <t>UBI FP Equity</t>
  </si>
  <si>
    <t>VOW3 GY Equity</t>
  </si>
  <si>
    <t>WCH GY Equity</t>
  </si>
  <si>
    <t>DSY FP</t>
  </si>
  <si>
    <t>HEXAB SS</t>
  </si>
  <si>
    <t>ILD FP</t>
  </si>
  <si>
    <t>ITX SQ</t>
  </si>
  <si>
    <t>MONC IM</t>
  </si>
  <si>
    <t>REC IM</t>
  </si>
  <si>
    <t>UBI FP</t>
  </si>
  <si>
    <t>VOW3 GY</t>
  </si>
  <si>
    <t>WCH GY</t>
  </si>
  <si>
    <t>BE6308824414/1</t>
  </si>
  <si>
    <t>BE6308824414/2</t>
  </si>
  <si>
    <t>BE6308824414/3</t>
  </si>
  <si>
    <t>BE6308824414/4</t>
  </si>
  <si>
    <t>BE6308824414/5</t>
  </si>
  <si>
    <t>BE6308824414/6</t>
  </si>
  <si>
    <t>BE6308824414/7</t>
  </si>
  <si>
    <t>BE6308824414/8</t>
  </si>
  <si>
    <t>BE6308824414/9</t>
  </si>
  <si>
    <t>BE6308824414/10</t>
  </si>
  <si>
    <t>BE6308824414/11</t>
  </si>
  <si>
    <t>BE6308824414/12</t>
  </si>
  <si>
    <t>BE6308824414/13</t>
  </si>
  <si>
    <t>BE6308824414/14</t>
  </si>
  <si>
    <t>BE6308824414/15</t>
  </si>
  <si>
    <t>BE6308824414/16</t>
  </si>
  <si>
    <t>BE6308824414/17</t>
  </si>
  <si>
    <t>BE6308824414/18</t>
  </si>
  <si>
    <t>Aena Sme SA</t>
  </si>
  <si>
    <t>AENA SQ Equity</t>
  </si>
  <si>
    <t>AENA SQ</t>
  </si>
  <si>
    <t>LU1874716480/1</t>
  </si>
  <si>
    <t>LU1874716480/2</t>
  </si>
  <si>
    <t>LU1874716480/3</t>
  </si>
  <si>
    <t>LU1874716480/4</t>
  </si>
  <si>
    <t>LU1874716480/5</t>
  </si>
  <si>
    <t>LU1874716480/6</t>
  </si>
  <si>
    <t>LU1874716480/7</t>
  </si>
  <si>
    <t>LU1874716480/8</t>
  </si>
  <si>
    <t>LU1874716480/9</t>
  </si>
  <si>
    <t>LU1874716480/10</t>
  </si>
  <si>
    <t>LU1874716480/11</t>
  </si>
  <si>
    <t>LU1874716480/12</t>
  </si>
  <si>
    <t>LU1874716480/13</t>
  </si>
  <si>
    <t>LU1874716480/14</t>
  </si>
  <si>
    <t>LU1874716480/15</t>
  </si>
  <si>
    <t>LU1874716480/16</t>
  </si>
  <si>
    <t>LU1874716480/17</t>
  </si>
  <si>
    <t>LU1874716480/18</t>
  </si>
  <si>
    <t>BE6309481198/1</t>
  </si>
  <si>
    <t>BE6309481198/2</t>
  </si>
  <si>
    <t>BE6309481198/3</t>
  </si>
  <si>
    <t>BE6309481198/4</t>
  </si>
  <si>
    <t>BE6309481198/5</t>
  </si>
  <si>
    <t>BE6309481198/6</t>
  </si>
  <si>
    <t>BE6309481198/7</t>
  </si>
  <si>
    <t>BE6309481198/8</t>
  </si>
  <si>
    <t>BE6309481198/9</t>
  </si>
  <si>
    <t>BE6309481198/10</t>
  </si>
  <si>
    <t>BE6309481198/11</t>
  </si>
  <si>
    <t>BE6309481198/12</t>
  </si>
  <si>
    <t>AGNC UW</t>
  </si>
  <si>
    <t>AGNC UW Equity</t>
  </si>
  <si>
    <t>FTR UW</t>
  </si>
  <si>
    <t>FTR UW Equity</t>
  </si>
  <si>
    <t>Tele Danmark (Cash Amount)</t>
  </si>
  <si>
    <t>TDC DC CASH</t>
  </si>
  <si>
    <t>Perspective America 100 Timing USD 6</t>
  </si>
  <si>
    <t>BE6310188477</t>
  </si>
  <si>
    <t>BE6311001844</t>
  </si>
  <si>
    <t>BE6310188477/1</t>
  </si>
  <si>
    <t>BE6310188477/2</t>
  </si>
  <si>
    <t>BE6310188477/3</t>
  </si>
  <si>
    <t>BE6310188477/4</t>
  </si>
  <si>
    <t>BE6310188477/5</t>
  </si>
  <si>
    <t>BE6310188477/6</t>
  </si>
  <si>
    <t>BE6310188477/7</t>
  </si>
  <si>
    <t>BE6310188477/8</t>
  </si>
  <si>
    <t>BE6310188477/9</t>
  </si>
  <si>
    <t>BE6310188477/10</t>
  </si>
  <si>
    <t>BE6310188477/11</t>
  </si>
  <si>
    <t>BE6310188477/12</t>
  </si>
  <si>
    <t>ČSOB Výběrový click 1 (Global Partners)</t>
  </si>
  <si>
    <t>BARRATT DEVELOPMENTS PLC</t>
  </si>
  <si>
    <t>BDEV LN Equity</t>
  </si>
  <si>
    <t>BDEV LN</t>
  </si>
  <si>
    <t>LU1911615307/1</t>
  </si>
  <si>
    <t>LU1911615307/2</t>
  </si>
  <si>
    <t>LU1911615307/3</t>
  </si>
  <si>
    <t>LU1911615307/4</t>
  </si>
  <si>
    <t>LU1911615307/5</t>
  </si>
  <si>
    <t>WINMQ US Equity</t>
  </si>
  <si>
    <t>Pozorování 3  - červen 2018:</t>
  </si>
  <si>
    <t>Naturgy Energy Group SA</t>
  </si>
  <si>
    <t>NTGY SQ Equity</t>
  </si>
  <si>
    <t>NTGY SQ</t>
  </si>
  <si>
    <t>ČSOB Světových firem s lookbackem 1</t>
  </si>
  <si>
    <t>ČSOB Fixovaný click USD 8</t>
  </si>
  <si>
    <t>ČSOB Finance 1</t>
  </si>
  <si>
    <t>ČSOB Airbag jumper EUR 15</t>
  </si>
  <si>
    <t>ČSOB Světových příležitostí +1</t>
  </si>
  <si>
    <t xml:space="preserve">Optimum Fund ČSOB Světových firem s lookbackem 1 </t>
  </si>
  <si>
    <t>BE6310265275</t>
  </si>
  <si>
    <t xml:space="preserve">Global Partners ČSOB Fixovaný click USD 8 </t>
  </si>
  <si>
    <t>LU1923690298</t>
  </si>
  <si>
    <t>Global Partners ČSOB Finance 1</t>
  </si>
  <si>
    <t>LU1940135822</t>
  </si>
  <si>
    <t>ČSOB Evropský jumper 8</t>
  </si>
  <si>
    <t>Contribute Partners ČSOB Evropský jumper 8</t>
  </si>
  <si>
    <t>LU1928563888</t>
  </si>
  <si>
    <t>BE6312053695</t>
  </si>
  <si>
    <t>Optimum Fund ČSOB Airbag Jumper EUR 15</t>
  </si>
  <si>
    <t>STOXX® Europe 600 Telecommunications</t>
  </si>
  <si>
    <t>BWY LN Equity</t>
  </si>
  <si>
    <t>BKG LN Equity</t>
  </si>
  <si>
    <t>BRBY LN Equity</t>
  </si>
  <si>
    <t>GM UN Equity</t>
  </si>
  <si>
    <t>005380 KP Equity</t>
  </si>
  <si>
    <t>PSN LN Equity</t>
  </si>
  <si>
    <t>RNO FP Equity</t>
  </si>
  <si>
    <t>7270 JT Equity</t>
  </si>
  <si>
    <t>7269 JT Equity</t>
  </si>
  <si>
    <t>BELLWAY PLC</t>
  </si>
  <si>
    <t>BERKELEY GROUP HOLDINGS</t>
  </si>
  <si>
    <t>Burberry Group PLC</t>
  </si>
  <si>
    <t>General Motors Co</t>
  </si>
  <si>
    <t>Hyundai Motor Co (KP)</t>
  </si>
  <si>
    <t>PERSIMMON PLC</t>
  </si>
  <si>
    <t>Renault</t>
  </si>
  <si>
    <t>SUBARU CORP</t>
  </si>
  <si>
    <t>SUZUKI MOTOR CORP</t>
  </si>
  <si>
    <t>BWY LN</t>
  </si>
  <si>
    <t>BKG LN</t>
  </si>
  <si>
    <t>BRBY LN</t>
  </si>
  <si>
    <t>GM UN</t>
  </si>
  <si>
    <t>005380 KP</t>
  </si>
  <si>
    <t>PSN LN</t>
  </si>
  <si>
    <t>RNO FP</t>
  </si>
  <si>
    <t>7270 JT</t>
  </si>
  <si>
    <t xml:space="preserve">7269 JT </t>
  </si>
  <si>
    <t>BE6308810272 /1</t>
  </si>
  <si>
    <t>BE6308810272 /2</t>
  </si>
  <si>
    <t>BE6308810272 /3</t>
  </si>
  <si>
    <t>BE6308810272 /4</t>
  </si>
  <si>
    <t>BE6308810272 /5</t>
  </si>
  <si>
    <t>BE6308810272 /6</t>
  </si>
  <si>
    <t>BE6308810272 /7</t>
  </si>
  <si>
    <t>BE6308810272 /8</t>
  </si>
  <si>
    <t>BE6308810272 /9</t>
  </si>
  <si>
    <t>BE6308810272 /10</t>
  </si>
  <si>
    <t>BE6308810272 /11</t>
  </si>
  <si>
    <t>BE6308810272 /12</t>
  </si>
  <si>
    <t>BE6308810272 /13</t>
  </si>
  <si>
    <t>BE6308810272 /14</t>
  </si>
  <si>
    <t>BE6308810272 /15</t>
  </si>
  <si>
    <t>BE6308810272 /16</t>
  </si>
  <si>
    <t>BE6308810272 /17</t>
  </si>
  <si>
    <t>BE6308810272 /18</t>
  </si>
  <si>
    <t>PSA UN Equity</t>
  </si>
  <si>
    <t>Public Storage Inc</t>
  </si>
  <si>
    <t>PSA UN</t>
  </si>
  <si>
    <t>BE6311001844/1</t>
  </si>
  <si>
    <t>BE6311001844/2</t>
  </si>
  <si>
    <t>BE6311001844/3</t>
  </si>
  <si>
    <t>BE6311001844/4</t>
  </si>
  <si>
    <t>BE6311001844/5</t>
  </si>
  <si>
    <t>BE6311001844/6</t>
  </si>
  <si>
    <t>BE6311001844/7</t>
  </si>
  <si>
    <t>BE6311001844/8</t>
  </si>
  <si>
    <t>BE6311001844/9</t>
  </si>
  <si>
    <t>BE6311001844/10</t>
  </si>
  <si>
    <t>BE6311001844/11</t>
  </si>
  <si>
    <t>BE6311001844/12</t>
  </si>
  <si>
    <t>ČSOB Perspektivních trhů 1 (Optimum Fund)</t>
  </si>
  <si>
    <t>BE6310265275 /1</t>
  </si>
  <si>
    <t>BE6310265275 /2</t>
  </si>
  <si>
    <t>BE6310265275 /3</t>
  </si>
  <si>
    <t>BE6310265275 /4</t>
  </si>
  <si>
    <t>BE6310265275 /5</t>
  </si>
  <si>
    <t>BE6310265275 /6</t>
  </si>
  <si>
    <t>BE6310265275 /7</t>
  </si>
  <si>
    <t>BE6310265275 /8</t>
  </si>
  <si>
    <t>BE6310265275 /9</t>
  </si>
  <si>
    <t>BE6310265275 /10</t>
  </si>
  <si>
    <t>BE6310265275 /11</t>
  </si>
  <si>
    <t>BE6310265275 /12</t>
  </si>
  <si>
    <t>BE6310265275 /13</t>
  </si>
  <si>
    <t>BE6310265275 /14</t>
  </si>
  <si>
    <t>BE6310265275 /15</t>
  </si>
  <si>
    <t>BE6310265275 /16</t>
  </si>
  <si>
    <t>BE6310265275 /17</t>
  </si>
  <si>
    <t>BE6310265275 /18</t>
  </si>
  <si>
    <t>ČSOB Fixovaný click USD 8 (Global Partners)</t>
  </si>
  <si>
    <t>BABCOCK INTL GROUP PLC</t>
  </si>
  <si>
    <t>Banco Bilbao Vizcaya Argentari (SQ)</t>
  </si>
  <si>
    <t>COVESTRO AG</t>
  </si>
  <si>
    <t>SCHRODERS PLC</t>
  </si>
  <si>
    <t>Valeo SA</t>
  </si>
  <si>
    <t>BAB LN Equity</t>
  </si>
  <si>
    <t>BBVA SQ Equity</t>
  </si>
  <si>
    <t>1COV GY Equity</t>
  </si>
  <si>
    <t>SDR LN Equity</t>
  </si>
  <si>
    <t>FR FP Equity</t>
  </si>
  <si>
    <t>BAB LN</t>
  </si>
  <si>
    <t>BBVA SQ</t>
  </si>
  <si>
    <t>1COV GY</t>
  </si>
  <si>
    <t>SDR LN</t>
  </si>
  <si>
    <t>FR FP</t>
  </si>
  <si>
    <t>LU1923690298/1</t>
  </si>
  <si>
    <t>LU1923690298/2</t>
  </si>
  <si>
    <t>LU1923690298/3</t>
  </si>
  <si>
    <t>LU1923690298/4</t>
  </si>
  <si>
    <t>LU1923690298/5</t>
  </si>
  <si>
    <t>f</t>
  </si>
  <si>
    <t>ČSOB Světových firem s lookbackem 2</t>
  </si>
  <si>
    <t>Select Investors ČSOB Světových příležitostí plus 1</t>
  </si>
  <si>
    <t>LU1959373546</t>
  </si>
  <si>
    <t xml:space="preserve">výchozí hodnota / buffer / bariéra </t>
  </si>
  <si>
    <t xml:space="preserve">Optimum Fund ČSOB Světových firem s lookbackem 2 </t>
  </si>
  <si>
    <t>BE6312530619</t>
  </si>
  <si>
    <t xml:space="preserve">Corporátní událost </t>
  </si>
  <si>
    <t>CMCSA UW Equity od 02/2019 - upraveno průměrování</t>
  </si>
  <si>
    <t>průměrná hodnota</t>
  </si>
  <si>
    <t>TYRES FH</t>
  </si>
  <si>
    <t>TYRES FH Equity</t>
  </si>
  <si>
    <t>Perspective North America 100 Timing USD 2</t>
  </si>
  <si>
    <t>Perspective North America 100 Timing USD 1</t>
  </si>
  <si>
    <t>IG Group Holdings PLC</t>
  </si>
  <si>
    <t>IGG LN Equity</t>
  </si>
  <si>
    <t>IGG LN</t>
  </si>
  <si>
    <t>LU1940135822/1</t>
  </si>
  <si>
    <t>LU1940135822/2</t>
  </si>
  <si>
    <t>LU1940135822/3</t>
  </si>
  <si>
    <t>LU1940135822/4</t>
  </si>
  <si>
    <t>LU1940135822/5</t>
  </si>
  <si>
    <t>LU1940135822/6</t>
  </si>
  <si>
    <t>LU1940135822/7</t>
  </si>
  <si>
    <t>LU1940135822/8</t>
  </si>
  <si>
    <t>LU1940135822/9</t>
  </si>
  <si>
    <t>LU1940135822/10</t>
  </si>
  <si>
    <t>LU1940135822/11</t>
  </si>
  <si>
    <t>LU1940135822/12</t>
  </si>
  <si>
    <t>LU1940135822/13</t>
  </si>
  <si>
    <t>LU1940135822/14</t>
  </si>
  <si>
    <t>LU1940135822/15</t>
  </si>
  <si>
    <t>LU1940135822/16</t>
  </si>
  <si>
    <t>LU1940135822/17</t>
  </si>
  <si>
    <t>LU1940135822/18</t>
  </si>
  <si>
    <t>BE6312425539</t>
  </si>
  <si>
    <t>BE6311874844</t>
  </si>
  <si>
    <t>Perspective North America 100 Timing USD 3</t>
  </si>
  <si>
    <t>BE6313123729</t>
  </si>
  <si>
    <t>Pozorování 4  - červen 2019:</t>
  </si>
  <si>
    <t>BE6311874844/3</t>
  </si>
  <si>
    <t>BE6311874844/4</t>
  </si>
  <si>
    <t>BE6311874844/5</t>
  </si>
  <si>
    <t>BE6311874844/6</t>
  </si>
  <si>
    <t>BE6311874844/7</t>
  </si>
  <si>
    <t>BE6311874844/8</t>
  </si>
  <si>
    <t>BE6311874844/9</t>
  </si>
  <si>
    <t>BE6311874844/10</t>
  </si>
  <si>
    <t>BE6311874844/11</t>
  </si>
  <si>
    <t>BE6311874844/12</t>
  </si>
  <si>
    <t>BE6311874844/1</t>
  </si>
  <si>
    <t>BE6311874844/2</t>
  </si>
  <si>
    <t>BE6312425539/1</t>
  </si>
  <si>
    <t>BE6312425539/2</t>
  </si>
  <si>
    <t>BE6312425539/3</t>
  </si>
  <si>
    <t>BE6312425539/4</t>
  </si>
  <si>
    <t>BE6312425539/5</t>
  </si>
  <si>
    <t>BE6312425539/6</t>
  </si>
  <si>
    <t>BE6312425539/7</t>
  </si>
  <si>
    <t>BE6312425539/8</t>
  </si>
  <si>
    <t>BE6312425539/9</t>
  </si>
  <si>
    <t>BE6312425539/10</t>
  </si>
  <si>
    <t>BE6312425539/11</t>
  </si>
  <si>
    <t>BE6312425539/12</t>
  </si>
  <si>
    <t>Perspective North America 100 Timing USD 4</t>
  </si>
  <si>
    <t>LU1928563888/1</t>
  </si>
  <si>
    <t>LU1928563888/2</t>
  </si>
  <si>
    <t>LU1928563888/3</t>
  </si>
  <si>
    <t>LU1928563888/4</t>
  </si>
  <si>
    <t>LU1928563888/5</t>
  </si>
  <si>
    <t>ČSOB Airbag Jumper EUR 15</t>
  </si>
  <si>
    <t>STOXX Europe 600 Telecommunications Price EUR</t>
  </si>
  <si>
    <t>SXKP Index</t>
  </si>
  <si>
    <t>Perspective North America 100 Timing USD 5</t>
  </si>
  <si>
    <t>Vonovia SE</t>
  </si>
  <si>
    <t>VNA GY Equity</t>
  </si>
  <si>
    <t>VNA GY</t>
  </si>
  <si>
    <t>LU1959373546/1</t>
  </si>
  <si>
    <t>LU1959373546/2</t>
  </si>
  <si>
    <t>LU1959373546/3</t>
  </si>
  <si>
    <t>LU1959373546/4</t>
  </si>
  <si>
    <t>LU1959373546/5</t>
  </si>
  <si>
    <t>LU1959373546/6</t>
  </si>
  <si>
    <t>LU1959373546/7</t>
  </si>
  <si>
    <t>LU1959373546/8</t>
  </si>
  <si>
    <t>LU1959373546/9</t>
  </si>
  <si>
    <t>LU1959373546/10</t>
  </si>
  <si>
    <t>LU1959373546/11</t>
  </si>
  <si>
    <t>LU1959373546/12</t>
  </si>
  <si>
    <t>LU1959373546/13</t>
  </si>
  <si>
    <t>LU1959373546/14</t>
  </si>
  <si>
    <t>LU1959373546/15</t>
  </si>
  <si>
    <t>LU1959373546/16</t>
  </si>
  <si>
    <t>LU1959373546/17</t>
  </si>
  <si>
    <t>LU1959373546/18</t>
  </si>
  <si>
    <t>LU1959373546/19</t>
  </si>
  <si>
    <t>LU1959373546/20</t>
  </si>
  <si>
    <t>LU1959373546/21</t>
  </si>
  <si>
    <t>LU1959373546/22</t>
  </si>
  <si>
    <t>LU1959373546/23</t>
  </si>
  <si>
    <t>LU1959373546/24</t>
  </si>
  <si>
    <t>ČSOB Světových příležitostí +2</t>
  </si>
  <si>
    <t>ČSOB Globálního růstu 1</t>
  </si>
  <si>
    <t>ČSOB Evropský jumper 9</t>
  </si>
  <si>
    <t xml:space="preserve">correctie 25 jul 19 - click mei 2014 verkeerd - corp act. RSA LN </t>
  </si>
  <si>
    <t>Contribute Partners ČSOB Evropský jumper 9</t>
  </si>
  <si>
    <t>LU1959336006</t>
  </si>
  <si>
    <t>Select Investors ČSOB Světových příležitostí +2</t>
  </si>
  <si>
    <t>LU1987795470</t>
  </si>
  <si>
    <t>ČSOB Přírodního bohatství 1</t>
  </si>
  <si>
    <t>ČSOB Výberový click 2</t>
  </si>
  <si>
    <t>Perspective North America 100 Timing USD 6</t>
  </si>
  <si>
    <t>Global Partners ČSOB Globálního růstu 1</t>
  </si>
  <si>
    <t>LU2003424020</t>
  </si>
  <si>
    <t>Global Partners ČSOB Přírodního bohatství 1</t>
  </si>
  <si>
    <t>BE6313867408</t>
  </si>
  <si>
    <t>WP CAREY INC</t>
  </si>
  <si>
    <t>WPC UN Equity</t>
  </si>
  <si>
    <t>WPC UN</t>
  </si>
  <si>
    <t>BE6312530619/1</t>
  </si>
  <si>
    <t>BE6312530619/2</t>
  </si>
  <si>
    <t>BE6312530619/3</t>
  </si>
  <si>
    <t>BE6312530619/4</t>
  </si>
  <si>
    <t>BE6312530619/5</t>
  </si>
  <si>
    <t>BE6312530619/6</t>
  </si>
  <si>
    <t>BE6312530619/7</t>
  </si>
  <si>
    <t>BE6312530619/8</t>
  </si>
  <si>
    <t>BE6312530619/9</t>
  </si>
  <si>
    <t>BE6312530619/10</t>
  </si>
  <si>
    <t>BE6312530619/11</t>
  </si>
  <si>
    <t>BE6312530619/12</t>
  </si>
  <si>
    <t>BE6312530619/13</t>
  </si>
  <si>
    <t>BE6312530619/14</t>
  </si>
  <si>
    <t>BE6312530619/15</t>
  </si>
  <si>
    <t>BE6312530619/16</t>
  </si>
  <si>
    <t>BE6312530619/17</t>
  </si>
  <si>
    <t>BE6312530619/18</t>
  </si>
  <si>
    <t>CMCSA UW Equity</t>
  </si>
  <si>
    <t>COMCAST CORP-CL A (UW)</t>
  </si>
  <si>
    <t>CMCSA UW</t>
  </si>
  <si>
    <t>ONEOK INC</t>
  </si>
  <si>
    <t>OKE UN Equity</t>
  </si>
  <si>
    <t>OKE UN</t>
  </si>
  <si>
    <t>BE6313123729/1</t>
  </si>
  <si>
    <t>BE6313123729/2</t>
  </si>
  <si>
    <t>BE6313123729/3</t>
  </si>
  <si>
    <t>BE6313123729/4</t>
  </si>
  <si>
    <t>BE6313123729/5</t>
  </si>
  <si>
    <t>BE6313123729/6</t>
  </si>
  <si>
    <t>BE6313123729/7</t>
  </si>
  <si>
    <t>BE6313123729/8</t>
  </si>
  <si>
    <t>BE6313123729/9</t>
  </si>
  <si>
    <t>BE6313123729/10</t>
  </si>
  <si>
    <t>BE6313123729/11</t>
  </si>
  <si>
    <t>BE6313123729/12</t>
  </si>
  <si>
    <t>BE6313867408/1</t>
  </si>
  <si>
    <t>BE6313867408/2</t>
  </si>
  <si>
    <t>BE6313867408/3</t>
  </si>
  <si>
    <t>BE6313867408/4</t>
  </si>
  <si>
    <t>BE6313867408/5</t>
  </si>
  <si>
    <t>BE6313867408/6</t>
  </si>
  <si>
    <t>BE6313867408/7</t>
  </si>
  <si>
    <t>BE6313867408/8</t>
  </si>
  <si>
    <t>BE6313867408/9</t>
  </si>
  <si>
    <t>BE6313867408/10</t>
  </si>
  <si>
    <t>BE6313867408/11</t>
  </si>
  <si>
    <t>BE6313867408/12</t>
  </si>
  <si>
    <t>BE6314390780/1</t>
  </si>
  <si>
    <t>BE6314390780/2</t>
  </si>
  <si>
    <t>BE6314390780/3</t>
  </si>
  <si>
    <t>BE6314390780/4</t>
  </si>
  <si>
    <t>BE6314390780/5</t>
  </si>
  <si>
    <t>BE6314390780/6</t>
  </si>
  <si>
    <t>BE6314390780/7</t>
  </si>
  <si>
    <t>BE6314390780/8</t>
  </si>
  <si>
    <t>BE6314390780/9</t>
  </si>
  <si>
    <t>BE6314390780/10</t>
  </si>
  <si>
    <t>BE6314390780/11</t>
  </si>
  <si>
    <t>BE6314390780/12</t>
  </si>
  <si>
    <t>LU2016775210</t>
  </si>
  <si>
    <t>Fond po 1. roce zaklikl bonus ve výši 10%.</t>
  </si>
  <si>
    <t>BE6314390780</t>
  </si>
  <si>
    <t>BE6315027365</t>
  </si>
  <si>
    <t>Datum aktualizace podkladových aktiv</t>
  </si>
  <si>
    <t>LU1959336006/1</t>
  </si>
  <si>
    <t>LU1959336006/2</t>
  </si>
  <si>
    <t>LU1959336006/3</t>
  </si>
  <si>
    <t>LU1959336006/4</t>
  </si>
  <si>
    <t>LU1959336006/5</t>
  </si>
  <si>
    <t>LU2016138682</t>
  </si>
  <si>
    <t>LU1987795470/1</t>
  </si>
  <si>
    <t>LU1987795470/2</t>
  </si>
  <si>
    <t>LU1987795470/3</t>
  </si>
  <si>
    <t>LU1987795470/4</t>
  </si>
  <si>
    <t>LU1987795470/5</t>
  </si>
  <si>
    <t>LU1987795470/6</t>
  </si>
  <si>
    <t>LU1987795470/7</t>
  </si>
  <si>
    <t>LU1987795470/8</t>
  </si>
  <si>
    <t>LU1987795470/9</t>
  </si>
  <si>
    <t>LU1987795470/10</t>
  </si>
  <si>
    <t>LU1987795470/11</t>
  </si>
  <si>
    <t>LU1987795470/12</t>
  </si>
  <si>
    <t>LU1987795470/13</t>
  </si>
  <si>
    <t>LU1987795470/14</t>
  </si>
  <si>
    <t>LU1987795470/15</t>
  </si>
  <si>
    <t>LU1987795470/16</t>
  </si>
  <si>
    <t>LU1987795470/17</t>
  </si>
  <si>
    <t>LU1987795470/18</t>
  </si>
  <si>
    <t>LU1987795470/19</t>
  </si>
  <si>
    <t>LU1987795470/20</t>
  </si>
  <si>
    <t>LU1987795470/21</t>
  </si>
  <si>
    <t>LU1987795470/22</t>
  </si>
  <si>
    <t>LU1987795470/23</t>
  </si>
  <si>
    <t>LU1987795470/24</t>
  </si>
  <si>
    <t>Select Investors ČSOB Výběrový click 2</t>
  </si>
  <si>
    <t>SUN AU</t>
  </si>
  <si>
    <t>SUN AU Equity</t>
  </si>
  <si>
    <t>ČSOB Globálního růstu 2</t>
  </si>
  <si>
    <t>ČSOB Světových příležitostí s lookbackem 1</t>
  </si>
  <si>
    <t>ČSOB Evropský jumper 10</t>
  </si>
  <si>
    <t>Global Partners ČSOB Globálního růstu 2</t>
  </si>
  <si>
    <t>LU2027387450</t>
  </si>
  <si>
    <t>LU2045769390</t>
  </si>
  <si>
    <t>Select Investors ČSOB Světových příležitostí s lookbackem 1</t>
  </si>
  <si>
    <t>Maximal Investors</t>
  </si>
  <si>
    <t>Contribute Partners ČSOB Evropský jumper 10</t>
  </si>
  <si>
    <t>LU2010650112</t>
  </si>
  <si>
    <t xml:space="preserve">Perspective USA &amp; Canada 100 Timing USD 1 </t>
  </si>
  <si>
    <t>Perspective USA &amp; Canada 100 Timing USD 2</t>
  </si>
  <si>
    <t>Perspective Global 90 Long Term 6</t>
  </si>
  <si>
    <t>Perspective USA &amp; Canada 100 Timing USD 1</t>
  </si>
  <si>
    <t>FORTIS INC</t>
  </si>
  <si>
    <t>FTS CT Equity</t>
  </si>
  <si>
    <t>FTS CT</t>
  </si>
  <si>
    <t>BE6315514388/1</t>
  </si>
  <si>
    <t>BE6315514388/2</t>
  </si>
  <si>
    <t>BE6315514388/3</t>
  </si>
  <si>
    <t>BE6315514388/4</t>
  </si>
  <si>
    <t>BE6315514388/5</t>
  </si>
  <si>
    <t>BE6315514388/6</t>
  </si>
  <si>
    <t>BE6315514388/7</t>
  </si>
  <si>
    <t>BE6315514388/8</t>
  </si>
  <si>
    <t>BE6315514388/9</t>
  </si>
  <si>
    <t>BE6315514388/10</t>
  </si>
  <si>
    <t>BE6315514388/11</t>
  </si>
  <si>
    <t>BE6315514388/12</t>
  </si>
  <si>
    <t>LU2033386512</t>
  </si>
  <si>
    <t>ČSOB Telecommunications Conditional Coupon 1</t>
  </si>
  <si>
    <t>Contribute Partner ČSOB Telecommunications Conditional Coupon 1</t>
  </si>
  <si>
    <t>TechnipFMC</t>
  </si>
  <si>
    <t>FTI FP Equity</t>
  </si>
  <si>
    <t>FTI FP</t>
  </si>
  <si>
    <t>HEALTHPEAK PROP INC</t>
  </si>
  <si>
    <t>PEAK US Equity</t>
  </si>
  <si>
    <t>BE6315027365/3</t>
  </si>
  <si>
    <t>BE6315027365/4</t>
  </si>
  <si>
    <t>BE6315027365/5</t>
  </si>
  <si>
    <t>BE6315027365/6</t>
  </si>
  <si>
    <t>BE6315027365/7</t>
  </si>
  <si>
    <t>BE6315027365/8</t>
  </si>
  <si>
    <t>BE6315027365/9</t>
  </si>
  <si>
    <t>BE6315027365/10</t>
  </si>
  <si>
    <t>BE6315027365/11</t>
  </si>
  <si>
    <t>BE6315027365/12</t>
  </si>
  <si>
    <t>BE6315027365/1</t>
  </si>
  <si>
    <t>BE6315027365/2</t>
  </si>
  <si>
    <t>BHP Billiton Ltd (AT)</t>
  </si>
  <si>
    <t>BHP AT Equity</t>
  </si>
  <si>
    <t>BHP AT</t>
  </si>
  <si>
    <t>LU2003424020/1</t>
  </si>
  <si>
    <t>LU2003424020/2</t>
  </si>
  <si>
    <t>LU2003424020/3</t>
  </si>
  <si>
    <t>LU2003424020/4</t>
  </si>
  <si>
    <t>LU2003424020/5</t>
  </si>
  <si>
    <t>LU2003424020/6</t>
  </si>
  <si>
    <t>LU2003424020/7</t>
  </si>
  <si>
    <t>LU2003424020/8</t>
  </si>
  <si>
    <t>LU2003424020/9</t>
  </si>
  <si>
    <t>LU2003424020/10</t>
  </si>
  <si>
    <t>LU2003424020/11</t>
  </si>
  <si>
    <t>LU2003424020/12</t>
  </si>
  <si>
    <t>LU2003424020/13</t>
  </si>
  <si>
    <t>LU2003424020/14</t>
  </si>
  <si>
    <t>LU2003424020/15</t>
  </si>
  <si>
    <t>LU2003424020/16</t>
  </si>
  <si>
    <t>LU2003424020/17</t>
  </si>
  <si>
    <t>LU2003424020/18</t>
  </si>
  <si>
    <t>STOXX Europe 600 Utilities Price EUR</t>
  </si>
  <si>
    <t>SX6P Index</t>
  </si>
  <si>
    <t>Po 4. roce</t>
  </si>
  <si>
    <t>ČSOB Výběrový click 2 (Global Partners)</t>
  </si>
  <si>
    <t>LU2016775210/1</t>
  </si>
  <si>
    <t>LU2016775210/2</t>
  </si>
  <si>
    <t>LU2016775210/3</t>
  </si>
  <si>
    <t>LU2016775210/4</t>
  </si>
  <si>
    <t>LU2016775210/5</t>
  </si>
  <si>
    <t>Perspective Buyback 100 Timing USD 1</t>
  </si>
  <si>
    <t>BE6315514388</t>
  </si>
  <si>
    <t>BE6315899359</t>
  </si>
  <si>
    <t>BE6316756194</t>
  </si>
  <si>
    <t>LU2027387450/6</t>
  </si>
  <si>
    <t>LU2027387450/7</t>
  </si>
  <si>
    <t>LU2027387450/8</t>
  </si>
  <si>
    <t>LU2027387450/9</t>
  </si>
  <si>
    <t>LU2027387450/10</t>
  </si>
  <si>
    <t>LU2027387450/11</t>
  </si>
  <si>
    <t>LU2027387450/12</t>
  </si>
  <si>
    <t>LU2027387450/13</t>
  </si>
  <si>
    <t>LU2027387450/14</t>
  </si>
  <si>
    <t>LU2027387450/15</t>
  </si>
  <si>
    <t>LU2027387450/16</t>
  </si>
  <si>
    <t>LU2027387450/17</t>
  </si>
  <si>
    <t>LU2027387450/18</t>
  </si>
  <si>
    <t>LU2027387450/1</t>
  </si>
  <si>
    <t>LU2027387450/2</t>
  </si>
  <si>
    <t>LU2027387450/3</t>
  </si>
  <si>
    <t>LU2027387450/4</t>
  </si>
  <si>
    <t>LU2027387450/5</t>
  </si>
  <si>
    <t>Po 2. zaklikl ochranu</t>
  </si>
  <si>
    <t>FRAS LN</t>
  </si>
  <si>
    <t>FRAS LN Equity</t>
  </si>
  <si>
    <t>BE6315903391</t>
  </si>
  <si>
    <t>Global Partners ČSOB Přírodního bohatství 2</t>
  </si>
  <si>
    <t>ČSOB Přírodního bohatství 2</t>
  </si>
  <si>
    <t>Select Investors ČSOB Globálních firem 3</t>
  </si>
  <si>
    <t>ČSOB Globálních firem 3</t>
  </si>
  <si>
    <t>Perspective Buyback 100 Timing USD 2</t>
  </si>
  <si>
    <t xml:space="preserve">Perspective Buyback 100 Timing USD 2 </t>
  </si>
  <si>
    <t>BE6317200754</t>
  </si>
  <si>
    <t>LU2068166789</t>
  </si>
  <si>
    <t>LU2065731049</t>
  </si>
  <si>
    <t>akt.12/19</t>
  </si>
  <si>
    <t>Akt 12/19</t>
  </si>
  <si>
    <t>Perspective Buyback 100 Timing USD 3</t>
  </si>
  <si>
    <t>BE6315903391/1</t>
  </si>
  <si>
    <t>BE6315903391/2</t>
  </si>
  <si>
    <t>BE6315903391/3</t>
  </si>
  <si>
    <t>BE6315903391/4</t>
  </si>
  <si>
    <t>BE6315903391/5</t>
  </si>
  <si>
    <t>BE6315903391/6</t>
  </si>
  <si>
    <t>BE6315903391/7</t>
  </si>
  <si>
    <t>BE6315903391/8</t>
  </si>
  <si>
    <t>BE6315903391/9</t>
  </si>
  <si>
    <t>BE6315903391/10</t>
  </si>
  <si>
    <t>BE6315903391/11</t>
  </si>
  <si>
    <t>BE6315903391/12</t>
  </si>
  <si>
    <t>BE6315899359/1</t>
  </si>
  <si>
    <t>BE6315899359/2</t>
  </si>
  <si>
    <t>BE6315899359/3</t>
  </si>
  <si>
    <t>BE6315899359/4</t>
  </si>
  <si>
    <t>BE6315899359/5</t>
  </si>
  <si>
    <t>BE6315899359/6</t>
  </si>
  <si>
    <t>BE6315899359/7</t>
  </si>
  <si>
    <t>BE6315899359/8</t>
  </si>
  <si>
    <t>BE6315899359/9</t>
  </si>
  <si>
    <t>BE6315899359/10</t>
  </si>
  <si>
    <t>BE6315899359/11</t>
  </si>
  <si>
    <t>BE6315899359/12</t>
  </si>
  <si>
    <t>CITIZENS FINANCIAL GROUP</t>
  </si>
  <si>
    <t>Eaton Corp</t>
  </si>
  <si>
    <t>PRINCIPAL FINANCIAL GROUP</t>
  </si>
  <si>
    <t>CFG UN Equity</t>
  </si>
  <si>
    <t>ETN UN Equity</t>
  </si>
  <si>
    <t>PFG UW Equity</t>
  </si>
  <si>
    <t>CFG UN</t>
  </si>
  <si>
    <t>ETN UN</t>
  </si>
  <si>
    <t>PFG UW</t>
  </si>
  <si>
    <t>BE6316756194/1</t>
  </si>
  <si>
    <t>BE6316756194/2</t>
  </si>
  <si>
    <t>BE6316756194/3</t>
  </si>
  <si>
    <t>BE6316756194/4</t>
  </si>
  <si>
    <t>BE6316756194/5</t>
  </si>
  <si>
    <t>BE6316756194/6</t>
  </si>
  <si>
    <t>BE6316756194/7</t>
  </si>
  <si>
    <t>BE6316756194/8</t>
  </si>
  <si>
    <t>BE6316756194/9</t>
  </si>
  <si>
    <t>BE6316756194/10</t>
  </si>
  <si>
    <t>BE6316756194/11</t>
  </si>
  <si>
    <t>BE6316756194/12</t>
  </si>
  <si>
    <t>LU2045769390/1</t>
  </si>
  <si>
    <t>LU2045769390/2</t>
  </si>
  <si>
    <t>LU2045769390/3</t>
  </si>
  <si>
    <t>LU2045769390/4</t>
  </si>
  <si>
    <t>LU2045769390/5</t>
  </si>
  <si>
    <t>LU2045769390/6</t>
  </si>
  <si>
    <t>LU2045769390/7</t>
  </si>
  <si>
    <t>LU2045769390/8</t>
  </si>
  <si>
    <t>LU2045769390/9</t>
  </si>
  <si>
    <t>LU2045769390/10</t>
  </si>
  <si>
    <t>LU2045769390/11</t>
  </si>
  <si>
    <t>LU2045769390/12</t>
  </si>
  <si>
    <t>LU2045769390/13</t>
  </si>
  <si>
    <t>LU2045769390/14</t>
  </si>
  <si>
    <t>LU2045769390/15</t>
  </si>
  <si>
    <t>LU2045769390/16</t>
  </si>
  <si>
    <t>LU2045769390/17</t>
  </si>
  <si>
    <t>LU2045769390/18</t>
  </si>
  <si>
    <t>ČSOB Evropský jumper 11</t>
  </si>
  <si>
    <t>Contribute Partners ČSOB Evropský jumper 11</t>
  </si>
  <si>
    <t>LU2053061532</t>
  </si>
  <si>
    <t>BE6317200754/4</t>
  </si>
  <si>
    <t>BE6317200754/5</t>
  </si>
  <si>
    <t>BE6317200754/6</t>
  </si>
  <si>
    <t>BE6317200754/7</t>
  </si>
  <si>
    <t>BE6317200754/8</t>
  </si>
  <si>
    <t>BE6317200754/9</t>
  </si>
  <si>
    <t>BE6317200754/10</t>
  </si>
  <si>
    <t>BE6317200754/11</t>
  </si>
  <si>
    <t>BE6317200754/12</t>
  </si>
  <si>
    <t>BE6317200754/1</t>
  </si>
  <si>
    <t>BE6317200754/2</t>
  </si>
  <si>
    <t>BE6317200754/3</t>
  </si>
  <si>
    <t>Perspective Buyback 100 Timing USD 4</t>
  </si>
  <si>
    <t>SYNN SW CASH</t>
  </si>
  <si>
    <t>Syngenta CHF (Cash Amount)</t>
  </si>
  <si>
    <t>BLL UN Equity</t>
  </si>
  <si>
    <t>Ball Corp</t>
  </si>
  <si>
    <t>BE6317569562/1</t>
  </si>
  <si>
    <t>BE6317569562/2</t>
  </si>
  <si>
    <t>BE6317569562/3</t>
  </si>
  <si>
    <t>BE6317569562/4</t>
  </si>
  <si>
    <t>BE6317569562/5</t>
  </si>
  <si>
    <t>BE6317569562/6</t>
  </si>
  <si>
    <t>BE6317569562/7</t>
  </si>
  <si>
    <t>BE6317569562/8</t>
  </si>
  <si>
    <t>BE6317569562/9</t>
  </si>
  <si>
    <t>BE6317569562/10</t>
  </si>
  <si>
    <t>BE6317569562/11</t>
  </si>
  <si>
    <t>BE6317569562/12</t>
  </si>
  <si>
    <t>Bariéra</t>
  </si>
  <si>
    <t>změna proti bariéře</t>
  </si>
  <si>
    <t>LU2065731049/1</t>
  </si>
  <si>
    <t>LU2065731049/2</t>
  </si>
  <si>
    <t>LU2065731049/3</t>
  </si>
  <si>
    <t>LU2065731049/4</t>
  </si>
  <si>
    <t>LU2065731049/5</t>
  </si>
  <si>
    <t>LU2065731049/6</t>
  </si>
  <si>
    <t>LU2065731049/7</t>
  </si>
  <si>
    <t>LU2065731049/8</t>
  </si>
  <si>
    <t>LU2065731049/9</t>
  </si>
  <si>
    <t>LU2065731049/10</t>
  </si>
  <si>
    <t>LU2065731049/11</t>
  </si>
  <si>
    <t>LU2065731049/12</t>
  </si>
  <si>
    <t>LU2065731049/13</t>
  </si>
  <si>
    <t>LU2065731049/14</t>
  </si>
  <si>
    <t>LU2065731049/15</t>
  </si>
  <si>
    <t>LU2065731049/16</t>
  </si>
  <si>
    <t>LU2065731049/17</t>
  </si>
  <si>
    <t>LU2065731049/18</t>
  </si>
  <si>
    <t>BE6317569562</t>
  </si>
  <si>
    <t>ČSOB Světové trhy 3</t>
  </si>
  <si>
    <t>ČSOB Airbag jumper EUR 16</t>
  </si>
  <si>
    <t>ČSOB Globálních firem 4</t>
  </si>
  <si>
    <t>ČSOB Airbag jumper +2</t>
  </si>
  <si>
    <t>Perspective Buyback 100 Timing USD 5</t>
  </si>
  <si>
    <t>K</t>
  </si>
  <si>
    <t>BE6318382932</t>
  </si>
  <si>
    <t>BE6319051833</t>
  </si>
  <si>
    <t>BE6318382932/1</t>
  </si>
  <si>
    <t>BE6318382932/2</t>
  </si>
  <si>
    <t>BE6318382932/3</t>
  </si>
  <si>
    <t>BE6318382932/4</t>
  </si>
  <si>
    <t>BE6318382932/5</t>
  </si>
  <si>
    <t>BE6318382932/6</t>
  </si>
  <si>
    <t>BE6318382932/7</t>
  </si>
  <si>
    <t>BE6318382932/8</t>
  </si>
  <si>
    <t>BE6318382932/9</t>
  </si>
  <si>
    <t>BE6318382932/10</t>
  </si>
  <si>
    <t>BE6318382932/11</t>
  </si>
  <si>
    <t>BE6318382932/12</t>
  </si>
  <si>
    <t>zajištění 100%</t>
  </si>
  <si>
    <t>koš</t>
  </si>
  <si>
    <t>od počátku:</t>
  </si>
  <si>
    <t>BE6318058607</t>
  </si>
  <si>
    <t>Optimum Fund ČSOB Světové trhy 3</t>
  </si>
  <si>
    <t>Optimum Fund ČSOB Airbag Jumper EUR 16</t>
  </si>
  <si>
    <t>BE6318092945</t>
  </si>
  <si>
    <t>KBC Select Investors ČSOB Globálních firem 4</t>
  </si>
  <si>
    <t>LU2093634454</t>
  </si>
  <si>
    <t>Optimum Fund ČSOB Airbag Jumper +2</t>
  </si>
  <si>
    <t>BE6318408224</t>
  </si>
  <si>
    <t>Perspective Global Timing USD 1</t>
  </si>
  <si>
    <t>BE6320721077</t>
  </si>
  <si>
    <t>PEAK UN Equity</t>
  </si>
  <si>
    <t>HEALTHPEAK PROP INC.</t>
  </si>
  <si>
    <t>BE6319051833/1</t>
  </si>
  <si>
    <t>BE6319051833/2</t>
  </si>
  <si>
    <t>BE6319051833/3</t>
  </si>
  <si>
    <t>BE6319051833/4</t>
  </si>
  <si>
    <t>BE6319051833/5</t>
  </si>
  <si>
    <t>BE6319051833/6</t>
  </si>
  <si>
    <t>BE6319051833/7</t>
  </si>
  <si>
    <t>BE6319051833/8</t>
  </si>
  <si>
    <t>BE6319051833/9</t>
  </si>
  <si>
    <t>BE6319051833/10</t>
  </si>
  <si>
    <t>BE6319051833/11</t>
  </si>
  <si>
    <t>BE6319051833/12</t>
  </si>
  <si>
    <t>BE6318058607/1</t>
  </si>
  <si>
    <t>BE6318058607/2</t>
  </si>
  <si>
    <t>BE6318058607/3</t>
  </si>
  <si>
    <t>BE6318058607/4</t>
  </si>
  <si>
    <t>BE6318058607/5</t>
  </si>
  <si>
    <t>BE6318058607/6</t>
  </si>
  <si>
    <t>BE6318058607/7</t>
  </si>
  <si>
    <t>BE6318058607/8</t>
  </si>
  <si>
    <t>BE6318058607/9</t>
  </si>
  <si>
    <t>BE6318058607/10</t>
  </si>
  <si>
    <t>BE6318058607/11</t>
  </si>
  <si>
    <t>BE6318058607/12</t>
  </si>
  <si>
    <t>BE6318058607/13</t>
  </si>
  <si>
    <t>BE6318058607/14</t>
  </si>
  <si>
    <t>BE6318058607/15</t>
  </si>
  <si>
    <t>BE6318058607/16</t>
  </si>
  <si>
    <t>BE6318058607/17</t>
  </si>
  <si>
    <t>BE6318058607/18</t>
  </si>
  <si>
    <t>Průměr zavíracích cen akcií za prvních 5 obchodních dní v březnu v letech:</t>
  </si>
  <si>
    <t>ČSOB Airbag Jumper EUR 16</t>
  </si>
  <si>
    <t>ČSOB Sprinter 1</t>
  </si>
  <si>
    <t>Perspective Global Timing USD 2</t>
  </si>
  <si>
    <t>Perspective Global Timing USD 3</t>
  </si>
  <si>
    <t>ČSOB Airbag 1</t>
  </si>
  <si>
    <t>LU2093634454/1</t>
  </si>
  <si>
    <t>LU2093634454/2</t>
  </si>
  <si>
    <t>LU2093634454/3</t>
  </si>
  <si>
    <t>LU2093634454/4</t>
  </si>
  <si>
    <t>LU2093634454/5</t>
  </si>
  <si>
    <t>LU2093634454/6</t>
  </si>
  <si>
    <t>LU2093634454/7</t>
  </si>
  <si>
    <t>LU2093634454/8</t>
  </si>
  <si>
    <t>LU2093634454/9</t>
  </si>
  <si>
    <t>LU2093634454/10</t>
  </si>
  <si>
    <t>LU2093634454/11</t>
  </si>
  <si>
    <t>LU2093634454/12</t>
  </si>
  <si>
    <t>LU2093634454/13</t>
  </si>
  <si>
    <t>LU2093634454/14</t>
  </si>
  <si>
    <t>LU2093634454/15</t>
  </si>
  <si>
    <t>LU2093634454/16</t>
  </si>
  <si>
    <t>LU2093634454/17</t>
  </si>
  <si>
    <t>LU2093634454/18</t>
  </si>
  <si>
    <t>Aktuální hodnota</t>
  </si>
  <si>
    <t>MEDICAL PROPERTIES TRUST INC</t>
  </si>
  <si>
    <t>MPW UN Equity</t>
  </si>
  <si>
    <t>POWER CORP OF CANADA</t>
  </si>
  <si>
    <t>POW CT Equity</t>
  </si>
  <si>
    <t>MPW UN</t>
  </si>
  <si>
    <t>POW CT</t>
  </si>
  <si>
    <t>Contribute Partners ČSOB Sprinter 1</t>
  </si>
  <si>
    <t>LU2117582952</t>
  </si>
  <si>
    <t>BE6321399063</t>
  </si>
  <si>
    <t>Abertis (Cash Amount)</t>
  </si>
  <si>
    <t>ABE SQ CASH</t>
  </si>
  <si>
    <t>Optimum Fund ČSOB Airbag 1</t>
  </si>
  <si>
    <t>BE6321625384</t>
  </si>
  <si>
    <t>vyplaceno 0%</t>
  </si>
  <si>
    <t>6.2020</t>
  </si>
  <si>
    <t>Perspective Global Timing USD 4</t>
  </si>
  <si>
    <t>Perspective Global Timing USD 5</t>
  </si>
  <si>
    <t>BE6321850693</t>
  </si>
  <si>
    <t>BE6322497379</t>
  </si>
  <si>
    <t>BE6323119774</t>
  </si>
  <si>
    <t>Optimum Fund ČSOB Airbag Amerika 1</t>
  </si>
  <si>
    <t>ČSOB Airbag Amerika 1</t>
  </si>
  <si>
    <t>BE6322583269</t>
  </si>
  <si>
    <t>ČSOB Evropský jumper 12</t>
  </si>
  <si>
    <t>Contribute Partners ČSOB Evropský jumper 12</t>
  </si>
  <si>
    <t>LU2147076249</t>
  </si>
  <si>
    <t>LU2117582952/1</t>
  </si>
  <si>
    <t>LU2117582952/2</t>
  </si>
  <si>
    <t>LU2117582952/3</t>
  </si>
  <si>
    <t>LU2117582952/4</t>
  </si>
  <si>
    <t>LU2117582952/5</t>
  </si>
  <si>
    <t>LU2117582952/6</t>
  </si>
  <si>
    <t>LU2117582952/7</t>
  </si>
  <si>
    <t>LU2117582952/8</t>
  </si>
  <si>
    <t>LU2117582952/9</t>
  </si>
  <si>
    <t>LU2117582952/10</t>
  </si>
  <si>
    <t>LU2117582952/11</t>
  </si>
  <si>
    <t>LU2117582952/12</t>
  </si>
  <si>
    <t>LU2117582952/13</t>
  </si>
  <si>
    <t>LU2117582952/14</t>
  </si>
  <si>
    <t>LU2117582952/15</t>
  </si>
  <si>
    <t>LU2117582952/16</t>
  </si>
  <si>
    <t>LU2117582952/17</t>
  </si>
  <si>
    <t>LU2117582952/18</t>
  </si>
  <si>
    <t>ČSOB Airbag  1</t>
  </si>
  <si>
    <t>BE6321625384/1</t>
  </si>
  <si>
    <t>BE6321625384/2</t>
  </si>
  <si>
    <t>BE6321625384/3</t>
  </si>
  <si>
    <t>BE6321625384/4</t>
  </si>
  <si>
    <t>BE6321625384/5</t>
  </si>
  <si>
    <t>BE6321625384/6</t>
  </si>
  <si>
    <t>BE6321625384/7</t>
  </si>
  <si>
    <t>BE6321625384/8</t>
  </si>
  <si>
    <t>BE6321625384/9</t>
  </si>
  <si>
    <t>BE6321625384/10</t>
  </si>
  <si>
    <t>BE6321625384/11</t>
  </si>
  <si>
    <t>BE6321625384/12</t>
  </si>
  <si>
    <t>BE6321625384/13</t>
  </si>
  <si>
    <t>BE6321625384/14</t>
  </si>
  <si>
    <t>BE6321625384/15</t>
  </si>
  <si>
    <t>BE6321625384/16</t>
  </si>
  <si>
    <t>BE6321625384/17</t>
  </si>
  <si>
    <t>BE6321625384/18</t>
  </si>
  <si>
    <t>Stada Arzneimittel AG CASH</t>
  </si>
  <si>
    <t>SAZ GY Equity CASH</t>
  </si>
  <si>
    <t>LUMN US</t>
  </si>
  <si>
    <t>LUMN US Equity</t>
  </si>
  <si>
    <t>ČSOB Evropský jumper 13</t>
  </si>
  <si>
    <t>Contribute Partners ČSOB Evropský jumper 13</t>
  </si>
  <si>
    <t>Optimum Fund ČSOB Lookback 1</t>
  </si>
  <si>
    <t>ČSOB Lookback 1</t>
  </si>
  <si>
    <t>ČSOB (Premium)</t>
  </si>
  <si>
    <t>Perspective Global Timing USD 6</t>
  </si>
  <si>
    <t>BE6323515856</t>
  </si>
  <si>
    <t>JAPAN POST HOLDINGS CO LTD</t>
  </si>
  <si>
    <t>6178 JT Equity</t>
  </si>
  <si>
    <t>6178 JT</t>
  </si>
  <si>
    <t>ČSOB Globální investice 1</t>
  </si>
  <si>
    <t>Contribute Partners ČSOB Globální investice 1</t>
  </si>
  <si>
    <t>LU2198234366</t>
  </si>
  <si>
    <t>BE6323306702</t>
  </si>
  <si>
    <t>LU2182979943</t>
  </si>
  <si>
    <t>AEP US Equity</t>
  </si>
  <si>
    <t>HYDRO ONE LTD</t>
  </si>
  <si>
    <t>H CT Equity</t>
  </si>
  <si>
    <t>INTACT FINANCIAL CORP</t>
  </si>
  <si>
    <t>IFC CT Equity</t>
  </si>
  <si>
    <t>XEL UW Equity</t>
  </si>
  <si>
    <t>AEP US</t>
  </si>
  <si>
    <t>H CT</t>
  </si>
  <si>
    <t>IFC CT</t>
  </si>
  <si>
    <t>XEL UW</t>
  </si>
  <si>
    <t>ČSOB Farmacie a svět 1</t>
  </si>
  <si>
    <t>Contribute Partners ČSOB Farmacie a svět 1</t>
  </si>
  <si>
    <t>LU2212172840</t>
  </si>
  <si>
    <t>ČSOB Globálních firem 5</t>
  </si>
  <si>
    <t>Optimum Fund ČSOB Globálních firem 5</t>
  </si>
  <si>
    <t>Perspective Global Timing USD 7</t>
  </si>
  <si>
    <t>Perspective Global Timing USD 8</t>
  </si>
  <si>
    <t>BE6324234283</t>
  </si>
  <si>
    <t>BE6324661675</t>
  </si>
  <si>
    <t>MS&amp;AD INSURANCE GROUP HOLDING</t>
  </si>
  <si>
    <t>SOFTBANK CORP</t>
  </si>
  <si>
    <t>TOKIO MARINE HOLDINGS INC</t>
  </si>
  <si>
    <t>8725 JT Equity</t>
  </si>
  <si>
    <t>8725 JT</t>
  </si>
  <si>
    <t>9434 JT Equity</t>
  </si>
  <si>
    <t>9434 JT</t>
  </si>
  <si>
    <t>8766 JT Equity</t>
  </si>
  <si>
    <t>8766 JT</t>
  </si>
  <si>
    <t>SUN AT</t>
  </si>
  <si>
    <t>SunCorp Group INC</t>
  </si>
  <si>
    <t>BE6324294881</t>
  </si>
  <si>
    <t>ShareName</t>
  </si>
  <si>
    <t>BloombergCode</t>
  </si>
  <si>
    <t>Allianz SE</t>
  </si>
  <si>
    <t>Altria Group Inc</t>
  </si>
  <si>
    <t>Boston Properties Inc</t>
  </si>
  <si>
    <t>Direct Line Insurance Group</t>
  </si>
  <si>
    <t>Ferrovial SA (SQ)</t>
  </si>
  <si>
    <t>Legal &amp; General Group Plc</t>
  </si>
  <si>
    <t>Sampo Oyj -A-</t>
  </si>
  <si>
    <t>TELUS Corp (CT)</t>
  </si>
  <si>
    <t>United Utilities Group PLC</t>
  </si>
  <si>
    <t>Welltower Inc</t>
  </si>
  <si>
    <t>Basket value:</t>
  </si>
  <si>
    <t>Aktuální hodnoty</t>
  </si>
  <si>
    <t>Průměrná</t>
  </si>
  <si>
    <t xml:space="preserve">původně BAT </t>
  </si>
  <si>
    <t>RIO TINTO LTD</t>
  </si>
  <si>
    <t>RIO AT Equity</t>
  </si>
  <si>
    <t>RIO AT</t>
  </si>
  <si>
    <t>ČSOB Evropský jumper 14</t>
  </si>
  <si>
    <t>ČSOB Světový expres 8</t>
  </si>
  <si>
    <t>LU2210950817</t>
  </si>
  <si>
    <t>Contribute Partners ČSOB Evropský jumper 14</t>
  </si>
  <si>
    <t>Contribute Partners ČSOB Světový expres 8</t>
  </si>
  <si>
    <t>Perspective Global Timing USD 9</t>
  </si>
  <si>
    <t>Perspective Global 90 Smart Start USD 1</t>
  </si>
  <si>
    <t>BE6325131520</t>
  </si>
  <si>
    <t>BE6325626628</t>
  </si>
  <si>
    <t>LU2242471501</t>
  </si>
  <si>
    <t>Fortescue Metals Group Ltd</t>
  </si>
  <si>
    <t>FMG AT Equity</t>
  </si>
  <si>
    <t>Japan Post Banks Co Ltd</t>
  </si>
  <si>
    <t>7182 JT Equity</t>
  </si>
  <si>
    <t>CenturyLink</t>
  </si>
  <si>
    <t>LUMN UN Equity</t>
  </si>
  <si>
    <t>FMG AT</t>
  </si>
  <si>
    <t>7182 JT</t>
  </si>
  <si>
    <t>LUMN UN</t>
  </si>
  <si>
    <t>John Wood Group Plc</t>
  </si>
  <si>
    <t>WG/ LN Equity</t>
  </si>
  <si>
    <t>WG/ LN</t>
  </si>
  <si>
    <t>STOCKLAND</t>
  </si>
  <si>
    <t>SGP AT Equity</t>
  </si>
  <si>
    <t>Yara International ASA</t>
  </si>
  <si>
    <t>YAR NO Equity</t>
  </si>
  <si>
    <t>SGP AT</t>
  </si>
  <si>
    <t>YAR NO</t>
  </si>
  <si>
    <t>10 dní v dubnu 2021</t>
  </si>
  <si>
    <t>Initial Strike</t>
  </si>
  <si>
    <t>Weight</t>
  </si>
  <si>
    <t>Sharemultiplier</t>
  </si>
  <si>
    <t>British American Tobacco PLC (Reynolds)</t>
  </si>
  <si>
    <t>Final fixing 30 středních akcií:</t>
  </si>
  <si>
    <t>Perspective Global 90 Smart Start USD 2</t>
  </si>
  <si>
    <t>Perspective Global 90 Smart Start USD 3</t>
  </si>
  <si>
    <t>BE6326215694</t>
  </si>
  <si>
    <t>BE6326804760</t>
  </si>
  <si>
    <t>ČSOB Farmacie a svět 2</t>
  </si>
  <si>
    <t>10 dní v květnu 2021</t>
  </si>
  <si>
    <t>5 první dní</t>
  </si>
  <si>
    <t>Stellantis NV</t>
  </si>
  <si>
    <t>Contribute Partners ČSOB Farmacie a svět 2</t>
  </si>
  <si>
    <t>LU2271213519</t>
  </si>
  <si>
    <t>Perspective Global Timing USD 10</t>
  </si>
  <si>
    <t>bez zajištění</t>
  </si>
  <si>
    <t>Metro Wholesale - Ceconomy Package</t>
  </si>
  <si>
    <t>.METRO Index</t>
  </si>
  <si>
    <t>Booking Holdings Inc</t>
  </si>
  <si>
    <t>BKNG UW Equity</t>
  </si>
  <si>
    <t>BKNG UW</t>
  </si>
  <si>
    <t>Cie Fin Richemont</t>
  </si>
  <si>
    <t>CFR SE</t>
  </si>
  <si>
    <t>HOLN SE</t>
  </si>
  <si>
    <t>HOLN SE Equity</t>
  </si>
  <si>
    <t>BE6327442354</t>
  </si>
  <si>
    <t>ASX Ltd</t>
  </si>
  <si>
    <t>ASX AT Equity</t>
  </si>
  <si>
    <t>Coles Group Ltd</t>
  </si>
  <si>
    <t>COL AT Equity</t>
  </si>
  <si>
    <t>Essity Aktiebolag - B</t>
  </si>
  <si>
    <t>ESSITYB SS Equity</t>
  </si>
  <si>
    <t>Finecobank Spa</t>
  </si>
  <si>
    <t>FBK IM Equity</t>
  </si>
  <si>
    <t>LafargeHolcim Ltd (VX)</t>
  </si>
  <si>
    <t>HOLN SW Equity</t>
  </si>
  <si>
    <t>ASX AT</t>
  </si>
  <si>
    <t>COL AT</t>
  </si>
  <si>
    <t>ESSITYB SS</t>
  </si>
  <si>
    <t>FBK IM</t>
  </si>
  <si>
    <t>HOLN SW</t>
  </si>
  <si>
    <t>10 dní v ČERVNU 2021</t>
  </si>
  <si>
    <t>Perspective Global 95 USD 1</t>
  </si>
  <si>
    <t>BE6327837421</t>
  </si>
  <si>
    <t>TotalEnergies SE</t>
  </si>
  <si>
    <t>TTE FP Equity</t>
  </si>
  <si>
    <t>TTE FP</t>
  </si>
  <si>
    <t>splacen</t>
  </si>
  <si>
    <t>ABDN LN</t>
  </si>
  <si>
    <t>ABDN LN Equity</t>
  </si>
  <si>
    <t>Perspective Global 95 USD 2</t>
  </si>
  <si>
    <t>Perspective Global 95 USD 3</t>
  </si>
  <si>
    <t>BE6328278955</t>
  </si>
  <si>
    <t>BE6328875131</t>
  </si>
  <si>
    <t>Great-West Lifeco Inc</t>
  </si>
  <si>
    <t>GWO CT Equity</t>
  </si>
  <si>
    <t>M&amp;G PLC</t>
  </si>
  <si>
    <t>MNG LN Equity</t>
  </si>
  <si>
    <t>GWO CT</t>
  </si>
  <si>
    <t>MNG LN</t>
  </si>
  <si>
    <t>Perspective Global 95 USD 4</t>
  </si>
  <si>
    <t>BE6329543027</t>
  </si>
  <si>
    <t>Optimum Fund ČSOB Globálních firem 7</t>
  </si>
  <si>
    <t>BE6329232795</t>
  </si>
  <si>
    <t>Contribute Partners ČSOB Sprinter 2</t>
  </si>
  <si>
    <t>ČSOB Globálních firem 7</t>
  </si>
  <si>
    <t>ČSOB Sprinter 2</t>
  </si>
  <si>
    <t>LU2351211581</t>
  </si>
  <si>
    <t>Splaceno</t>
  </si>
  <si>
    <t>Mitsubishi Chemical Holdings Corp</t>
  </si>
  <si>
    <t>4188 JT Equity</t>
  </si>
  <si>
    <t>4188 JT</t>
  </si>
  <si>
    <t>St Jude Medical Inc - acquired by Abbott Laboratories</t>
  </si>
  <si>
    <t>HST UW Equity</t>
  </si>
  <si>
    <t>HST UW</t>
  </si>
  <si>
    <t xml:space="preserve">Host Hotels &amp; Resorts </t>
  </si>
  <si>
    <t>Daimler - Daimler Trucking Package</t>
  </si>
  <si>
    <t>.DAIMLER F Index</t>
  </si>
  <si>
    <t>Shell PLC</t>
  </si>
  <si>
    <t>SHEL LN Equity</t>
  </si>
  <si>
    <t>SHEL LN</t>
  </si>
  <si>
    <t>MBG GR</t>
  </si>
  <si>
    <t>MBG GR Equity</t>
  </si>
  <si>
    <t>Mercedez-Benz Group</t>
  </si>
  <si>
    <t>MBG GY</t>
  </si>
  <si>
    <t>MBG GY Equity</t>
  </si>
  <si>
    <t>ShareMult</t>
  </si>
  <si>
    <t>30-okt-2020</t>
  </si>
  <si>
    <t>31-mrt-2021</t>
  </si>
  <si>
    <t>28-mei-2021</t>
  </si>
  <si>
    <t>31-mei-2021</t>
  </si>
  <si>
    <t>29-okt-2021</t>
  </si>
  <si>
    <t>Evolution</t>
  </si>
  <si>
    <t>b5</t>
  </si>
  <si>
    <t>AXA SA</t>
  </si>
  <si>
    <t>w2</t>
  </si>
  <si>
    <t>CenturyLink Inc</t>
  </si>
  <si>
    <t>w4</t>
  </si>
  <si>
    <t>Digital Realty Trust Inc</t>
  </si>
  <si>
    <t>b1</t>
  </si>
  <si>
    <t>w5</t>
  </si>
  <si>
    <t>Elisa Corp</t>
  </si>
  <si>
    <t>b2</t>
  </si>
  <si>
    <t>Enagas SA</t>
  </si>
  <si>
    <t>Fortum OYJ</t>
  </si>
  <si>
    <t>b3</t>
  </si>
  <si>
    <t>w1</t>
  </si>
  <si>
    <t>Repsol SA (SQ)</t>
  </si>
  <si>
    <t>Swedbank AB</t>
  </si>
  <si>
    <t>Telia Co AB</t>
  </si>
  <si>
    <t>b4</t>
  </si>
  <si>
    <t>w3</t>
  </si>
  <si>
    <t xml:space="preserve">zaklikl ochranu </t>
  </si>
  <si>
    <t>Contribute Partners ČSOB Evropský jumper 15</t>
  </si>
  <si>
    <t>LU2392988429</t>
  </si>
  <si>
    <t>ČSOB Evropský jumper 15</t>
  </si>
  <si>
    <t>AT&amp;T &amp; Warner Bros Discovery Package</t>
  </si>
  <si>
    <t>.ATTWBD F Index</t>
  </si>
  <si>
    <t>.ATTWBD F</t>
  </si>
  <si>
    <t>BALL UN Equity</t>
  </si>
  <si>
    <t>ČSOB Lookback 2</t>
  </si>
  <si>
    <t>Optimum Fund ČSOB Lookback 2</t>
  </si>
  <si>
    <t>BE6332922838</t>
  </si>
  <si>
    <t>6M lookback</t>
  </si>
  <si>
    <t>WDS AU</t>
  </si>
  <si>
    <t>WDS AU Equity</t>
  </si>
  <si>
    <t>ShareMult/30</t>
  </si>
  <si>
    <t>ShareMult/20</t>
  </si>
  <si>
    <t>31-mrt-2022</t>
  </si>
  <si>
    <t>31-mei-2022</t>
  </si>
  <si>
    <t>Imperial Brands PLC</t>
  </si>
  <si>
    <t>HSBC Holdings PLC (GBP)</t>
  </si>
  <si>
    <t>Royal Dutch Shell Plc (A)</t>
  </si>
  <si>
    <t>Universal Music Group NV</t>
  </si>
  <si>
    <t>UMG NA Equity</t>
  </si>
  <si>
    <t>Vivendi SA</t>
  </si>
  <si>
    <t>Contribute Partners ČSOB Evropský jumper 16</t>
  </si>
  <si>
    <t>ČSOB Evropský jumper 16</t>
  </si>
  <si>
    <t>LU2449218416</t>
  </si>
  <si>
    <t>.GSKHLN</t>
  </si>
  <si>
    <t>.GSKHLN F Index</t>
  </si>
  <si>
    <t>GlaxoSmithKline - Haleon Package</t>
  </si>
  <si>
    <t>Poč</t>
  </si>
  <si>
    <t>Akt.</t>
  </si>
  <si>
    <t>UMG NA</t>
  </si>
  <si>
    <t>Red Electrica Corporacion SA</t>
  </si>
  <si>
    <t>RED SQ Equity</t>
  </si>
  <si>
    <t>RED SQ</t>
  </si>
  <si>
    <t>SYDNEY AIRPORT (Cash Amount)</t>
  </si>
  <si>
    <t>SYD AT CASH</t>
  </si>
  <si>
    <t xml:space="preserve">Konečná hodnota </t>
  </si>
  <si>
    <t>Woodside Energy Group Ltd</t>
  </si>
  <si>
    <t>WDS AT Equity</t>
  </si>
  <si>
    <t>WDS AT</t>
  </si>
  <si>
    <t>IDS LN</t>
  </si>
  <si>
    <t>IDS LN Equity</t>
  </si>
  <si>
    <t xml:space="preserve">Global Select 100 </t>
  </si>
  <si>
    <t>Contribute Partners ČSOB Evropský jumper 17</t>
  </si>
  <si>
    <t>LU2478272698</t>
  </si>
  <si>
    <t>ČSOB Evropský jumper 17</t>
  </si>
  <si>
    <t>BHP LN &amp; WDS AT Package</t>
  </si>
  <si>
    <t>.BHPLNWD2 F Index</t>
  </si>
  <si>
    <t>.BHPLNWD2 F</t>
  </si>
  <si>
    <t>Sanofi &amp; EAPI Package</t>
  </si>
  <si>
    <t>.SANOFI F Index</t>
  </si>
  <si>
    <t>.SANOFI F</t>
  </si>
  <si>
    <t>STLAp FP</t>
  </si>
  <si>
    <t>STLAP FP Equity</t>
  </si>
  <si>
    <t>STMMI IM</t>
  </si>
  <si>
    <t>STMMI IM Equity</t>
  </si>
  <si>
    <t>Contribute Partners ČSOB Evropský jumper 18</t>
  </si>
  <si>
    <t>ČSOB Evropský jumper 18</t>
  </si>
  <si>
    <t>LU2547252267</t>
  </si>
  <si>
    <t>Svenska HB &amp; Industriva COCSH3K</t>
  </si>
  <si>
    <t>.SHBACOC F Index</t>
  </si>
  <si>
    <t>.SHBACOC F</t>
  </si>
  <si>
    <t>DSM Firmenich AG</t>
  </si>
  <si>
    <t>DSFIR NA Equity</t>
  </si>
  <si>
    <t>DSFIR NA</t>
  </si>
  <si>
    <t>KDP UW Equity</t>
  </si>
  <si>
    <t xml:space="preserve">Keurig Dr Pepper Inc  </t>
  </si>
  <si>
    <t>ILIAD SA (Cash Amount)</t>
  </si>
  <si>
    <t>ILD FP CASH</t>
  </si>
  <si>
    <t>Contribute Partners ČSOB Evropský jumper 19</t>
  </si>
  <si>
    <t>LU2568296730</t>
  </si>
  <si>
    <t>ČSOB Evropský jumper 19</t>
  </si>
  <si>
    <t>ČSOB Farmacie a zdravotnictví 4</t>
  </si>
  <si>
    <t>Optimum Fund ČSOB Zdravotnictví a farmacie 4</t>
  </si>
  <si>
    <t>BE6341263828</t>
  </si>
  <si>
    <t>DHL GR</t>
  </si>
  <si>
    <t>DHL GR Equity</t>
  </si>
  <si>
    <t>ČSOB Zdravotnictví a farmacie 4</t>
  </si>
  <si>
    <t>DAI ICHI LIFE HOLDINGS INC</t>
  </si>
  <si>
    <t>Eurofins Scientific</t>
  </si>
  <si>
    <t>POSTE ITALIANE SPA</t>
  </si>
  <si>
    <t>SONIC HEALTHCARE LTD</t>
  </si>
  <si>
    <t>8750 JT Equity</t>
  </si>
  <si>
    <t>ERF FP Equity</t>
  </si>
  <si>
    <t>PST IM Equity</t>
  </si>
  <si>
    <t>SHL AT Equity</t>
  </si>
  <si>
    <t>.</t>
  </si>
  <si>
    <t>URW FP Equity</t>
  </si>
  <si>
    <t>URW FP</t>
  </si>
  <si>
    <t xml:space="preserve">Unibail - Rodamco SE &amp; WFD </t>
  </si>
  <si>
    <t>Optimum Fund ČSOB Lookback 3</t>
  </si>
  <si>
    <t>ČSOB Lookback 3</t>
  </si>
  <si>
    <t>BE6343430185</t>
  </si>
  <si>
    <t>Contribute Partners ČSOB Potraviny a zboží základní potřeby 1</t>
  </si>
  <si>
    <t>ČSOB Potraviny a zboží základní potřeby 1</t>
  </si>
  <si>
    <t>LU2628345659</t>
  </si>
  <si>
    <t>Celltech</t>
  </si>
  <si>
    <t>CCH LN Equity</t>
  </si>
  <si>
    <t>Church Dwight Corp</t>
  </si>
  <si>
    <t>CHD UN Equity</t>
  </si>
  <si>
    <t>Kikkoman Corp</t>
  </si>
  <si>
    <t>2801 JT Equity</t>
  </si>
  <si>
    <t>Kose Corp</t>
  </si>
  <si>
    <t>4922 JT Equity</t>
  </si>
  <si>
    <t>Kroger</t>
  </si>
  <si>
    <t>KR UN Equity</t>
  </si>
  <si>
    <t>Reckitt Benckiser Group</t>
  </si>
  <si>
    <t>RKT LN Equity</t>
  </si>
  <si>
    <t>Shiseido</t>
  </si>
  <si>
    <t>4911 JT Equity</t>
  </si>
  <si>
    <t>CCH LN</t>
  </si>
  <si>
    <t>CHD UN</t>
  </si>
  <si>
    <t>2801 JT</t>
  </si>
  <si>
    <t>4922 JT</t>
  </si>
  <si>
    <t>KR UN</t>
  </si>
  <si>
    <t>RKT LN</t>
  </si>
  <si>
    <t>4911 JT</t>
  </si>
  <si>
    <t>Contribute Partners ČSOB Evropský jumper 20</t>
  </si>
  <si>
    <t>ČSOB Evropský jumper 20</t>
  </si>
  <si>
    <t>LU2628356854</t>
  </si>
  <si>
    <t>Advanced Micro Devices</t>
  </si>
  <si>
    <t>AMD UW Equity</t>
  </si>
  <si>
    <t>AMD UW</t>
  </si>
  <si>
    <t>Deutsche Post AG (GY)</t>
  </si>
  <si>
    <t>DHL GY Equity</t>
  </si>
  <si>
    <t>DHL GY</t>
  </si>
  <si>
    <t>Atlantia Spa (Cash Amount)</t>
  </si>
  <si>
    <t>ATL IM CASH</t>
  </si>
  <si>
    <t>BHP AT &amp; WDS AT Package</t>
  </si>
  <si>
    <t>.BHPATWDS F Index</t>
  </si>
  <si>
    <t>Svenska HB &amp; Industriva GPCGR1K</t>
  </si>
  <si>
    <t>.SHBAGPC F Index</t>
  </si>
  <si>
    <t>Optimum Fund ČSOB Lookback farmacie a zdravotnictví 1</t>
  </si>
  <si>
    <t>ČSOB Lookback farmacie a zdravotnictví 1</t>
  </si>
  <si>
    <t>BE6346377557</t>
  </si>
  <si>
    <t>DOC US</t>
  </si>
  <si>
    <t>DOC US Equity</t>
  </si>
  <si>
    <t>ČSOB Krátkodobý 1</t>
  </si>
  <si>
    <t>BE6347180828</t>
  </si>
  <si>
    <t>Optimum Fund ČSOB Krátkodobý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</si>
</sst>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\ _K_č_-;\-* #,##0.00\ _K_č_-;_-* &quot;-&quot;??\ _K_č_-;_-@_-"/>
    <numFmt numFmtId="165" formatCode="#,##0.000"/>
    <numFmt numFmtId="166" formatCode="0.000"/>
    <numFmt numFmtId="167" formatCode="0.0%"/>
    <numFmt numFmtId="168" formatCode="#,##0.0000"/>
    <numFmt numFmtId="169" formatCode="#,##0.0"/>
    <numFmt numFmtId="170" formatCode="0.0"/>
    <numFmt numFmtId="171" formatCode="0.0000"/>
    <numFmt numFmtId="172" formatCode="mm/yyyy"/>
    <numFmt numFmtId="173" formatCode="0.000%"/>
    <numFmt numFmtId="174" formatCode="0.0000%"/>
    <numFmt numFmtId="176" formatCode="0.000000000"/>
    <numFmt numFmtId="177" formatCode="0.0000000"/>
    <numFmt numFmtId="178" formatCode="0.00000"/>
    <numFmt numFmtId="179" formatCode="0.0000000000"/>
    <numFmt numFmtId="180" formatCode="_-* #,##0\ _K_č_-;\-* #,##0\ _K_č_-;_-* &quot;-&quot;??\ _K_č_-;_-@_-"/>
    <numFmt numFmtId="181" formatCode="[$-405]mmmm\ yy;@"/>
    <numFmt numFmtId="182" formatCode="0.00000000"/>
    <numFmt numFmtId="183" formatCode="0.00000000000"/>
    <numFmt numFmtId="184" formatCode="_-* #,##0.0000\ _K_č_-;\-* #,##0.0000\ _K_č_-;_-* &quot;-&quot;??\ _K_č_-;_-@_-"/>
    <numFmt numFmtId="185" formatCode="#,##0.00_ ;\-#,##0.00\ "/>
    <numFmt numFmtId="186" formatCode="[$-405]mmm\-yy;@"/>
    <numFmt numFmtId="187" formatCode="[$-405]d\-mmm\.;@"/>
    <numFmt numFmtId="188" formatCode="0.000E+00"/>
    <numFmt numFmtId="189" formatCode="0.0000000000000"/>
    <numFmt numFmtId="190" formatCode="d/m/yy;@"/>
  </numFmts>
  <fonts count="75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u/>
      <sz val="8"/>
      <color indexed="12"/>
      <name val="Arial CE"/>
      <charset val="238"/>
    </font>
    <font>
      <b/>
      <sz val="10"/>
      <name val="Arial CE"/>
      <charset val="238"/>
    </font>
    <font>
      <sz val="10"/>
      <color indexed="12"/>
      <name val="Arial CE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9"/>
      <name val="Arial CE"/>
      <family val="2"/>
      <charset val="238"/>
    </font>
    <font>
      <b/>
      <sz val="10"/>
      <color indexed="10"/>
      <name val="Arial CE"/>
      <charset val="238"/>
    </font>
    <font>
      <sz val="10"/>
      <name val="Arial"/>
      <family val="2"/>
    </font>
    <font>
      <sz val="10"/>
      <color indexed="10"/>
      <name val="Arial CE"/>
      <charset val="238"/>
    </font>
    <font>
      <sz val="8.5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b/>
      <sz val="11"/>
      <name val="Arial CE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38"/>
    </font>
    <font>
      <b/>
      <sz val="16"/>
      <name val="Arial CE"/>
      <charset val="238"/>
    </font>
    <font>
      <sz val="9"/>
      <name val="Arial CE"/>
      <charset val="238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  <charset val="238"/>
    </font>
    <font>
      <sz val="9"/>
      <name val="Arial"/>
      <family val="2"/>
      <charset val="238"/>
    </font>
    <font>
      <sz val="10"/>
      <name val="Verdan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sz val="10"/>
      <color indexed="8"/>
      <name val="Verdana"/>
      <family val="2"/>
      <charset val="238"/>
    </font>
    <font>
      <b/>
      <sz val="11"/>
      <color indexed="8"/>
      <name val="Calibri"/>
      <family val="2"/>
    </font>
    <font>
      <b/>
      <sz val="10"/>
      <color indexed="17"/>
      <name val="Arial CE"/>
      <charset val="238"/>
    </font>
    <font>
      <sz val="10"/>
      <color indexed="10"/>
      <name val="Arial CE"/>
      <family val="2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b/>
      <sz val="10"/>
      <color indexed="10"/>
      <name val="Arial CE"/>
      <charset val="238"/>
    </font>
    <font>
      <u/>
      <sz val="8"/>
      <name val="Arial CE"/>
      <charset val="238"/>
    </font>
    <font>
      <sz val="10"/>
      <color indexed="12"/>
      <name val="Arial"/>
      <family val="2"/>
      <charset val="238"/>
    </font>
    <font>
      <u/>
      <sz val="8"/>
      <color indexed="12"/>
      <name val="Arial CE"/>
      <family val="2"/>
      <charset val="238"/>
    </font>
    <font>
      <sz val="10"/>
      <color indexed="49"/>
      <name val="Arial CE"/>
      <charset val="238"/>
    </font>
    <font>
      <b/>
      <sz val="11"/>
      <color indexed="8"/>
      <name val="Calibri"/>
      <family val="2"/>
    </font>
    <font>
      <sz val="10"/>
      <color indexed="12"/>
      <name val="Arial"/>
      <family val="2"/>
      <charset val="238"/>
    </font>
    <font>
      <u/>
      <sz val="8"/>
      <color indexed="12"/>
      <name val="Arial CE"/>
      <charset val="238"/>
    </font>
    <font>
      <sz val="10"/>
      <color indexed="12"/>
      <name val="Arial CE"/>
      <family val="2"/>
      <charset val="238"/>
    </font>
    <font>
      <sz val="10"/>
      <color indexed="12"/>
      <name val="Arial CE"/>
      <charset val="238"/>
    </font>
    <font>
      <sz val="10"/>
      <color indexed="8"/>
      <name val="Arial CE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Arial CE"/>
      <charset val="238"/>
    </font>
    <font>
      <sz val="10"/>
      <color indexed="10"/>
      <name val="Arial CE"/>
      <charset val="238"/>
    </font>
    <font>
      <b/>
      <sz val="10"/>
      <color indexed="10"/>
      <name val="Arial CE"/>
      <charset val="238"/>
    </font>
    <font>
      <b/>
      <sz val="10"/>
      <color indexed="17"/>
      <name val="Arial CE"/>
      <charset val="238"/>
    </font>
    <font>
      <sz val="10"/>
      <color indexed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 CE"/>
      <charset val="238"/>
    </font>
    <font>
      <sz val="10"/>
      <color theme="0"/>
      <name val="Arial CE"/>
      <charset val="238"/>
    </font>
    <font>
      <sz val="10"/>
      <name val="Calibri"/>
      <family val="2"/>
      <scheme val="minor"/>
    </font>
    <font>
      <sz val="10"/>
      <color theme="1"/>
      <name val="Arial CE"/>
      <charset val="238"/>
    </font>
    <font>
      <sz val="10"/>
      <color rgb="FFFF0000"/>
      <name val="Calibri"/>
      <family val="2"/>
      <scheme val="minor"/>
    </font>
    <font>
      <b/>
      <sz val="10"/>
      <name val="Arial"/>
      <family val="2"/>
      <charset val="238"/>
    </font>
    <font>
      <sz val="10"/>
      <color theme="1"/>
      <name val="Arial CE"/>
      <family val="2"/>
      <charset val="238"/>
    </font>
    <font>
      <sz val="10"/>
      <color theme="1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9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61" fillId="1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62" fillId="0" borderId="0"/>
    <xf numFmtId="0" fontId="9" fillId="0" borderId="0"/>
    <xf numFmtId="0" fontId="9" fillId="0" borderId="0"/>
    <xf numFmtId="0" fontId="16" fillId="0" borderId="0"/>
    <xf numFmtId="0" fontId="1" fillId="0" borderId="0"/>
    <xf numFmtId="0" fontId="16" fillId="0" borderId="0"/>
    <xf numFmtId="0" fontId="15" fillId="0" borderId="0"/>
    <xf numFmtId="0" fontId="16" fillId="0" borderId="0"/>
    <xf numFmtId="0" fontId="9" fillId="0" borderId="0"/>
    <xf numFmtId="9" fontId="1" fillId="0" borderId="0" applyFont="0" applyFill="0" applyBorder="0" applyAlignment="0" applyProtection="0"/>
    <xf numFmtId="0" fontId="63" fillId="13" borderId="0" applyNumberFormat="0" applyBorder="0" applyAlignment="0" applyProtection="0"/>
    <xf numFmtId="0" fontId="64" fillId="14" borderId="0" applyNumberFormat="0" applyBorder="0" applyAlignment="0" applyProtection="0"/>
  </cellStyleXfs>
  <cellXfs count="3926">
    <xf numFmtId="0" fontId="0" fillId="0" borderId="0" xfId="0"/>
    <xf numFmtId="0" fontId="0" fillId="2" borderId="0" xfId="1" applyFont="1" applyFill="1"/>
    <xf numFmtId="10" fontId="0" fillId="0" borderId="2" xfId="17" applyNumberFormat="1" applyFont="1" applyBorder="1"/>
    <xf numFmtId="0" fontId="0" fillId="0" borderId="3" xfId="1" applyFont="1" applyBorder="1"/>
    <xf numFmtId="0" fontId="0" fillId="0" borderId="4" xfId="1" applyFont="1" applyBorder="1"/>
    <xf numFmtId="0" fontId="0" fillId="0" borderId="5" xfId="1" applyFont="1" applyBorder="1"/>
    <xf numFmtId="4" fontId="0" fillId="0" borderId="5" xfId="1" applyNumberFormat="1" applyFont="1" applyBorder="1"/>
    <xf numFmtId="0" fontId="0" fillId="0" borderId="7" xfId="1" applyFont="1" applyBorder="1"/>
    <xf numFmtId="4" fontId="0" fillId="0" borderId="7" xfId="1" applyNumberFormat="1" applyFont="1" applyBorder="1"/>
    <xf numFmtId="10" fontId="0" fillId="0" borderId="5" xfId="17" applyNumberFormat="1" applyFont="1" applyBorder="1" applyAlignment="1">
      <alignment horizontal="center" vertical="center" wrapText="1"/>
    </xf>
    <xf numFmtId="10" fontId="0" fillId="0" borderId="8" xfId="17" applyNumberFormat="1" applyFont="1" applyBorder="1" applyAlignment="1">
      <alignment horizontal="center" vertical="center" wrapText="1"/>
    </xf>
    <xf numFmtId="4" fontId="0" fillId="0" borderId="0" xfId="1" applyNumberFormat="1" applyFont="1" applyBorder="1"/>
    <xf numFmtId="0" fontId="0" fillId="0" borderId="0" xfId="1" applyFont="1" applyFill="1" applyBorder="1"/>
    <xf numFmtId="4" fontId="0" fillId="0" borderId="10" xfId="1" applyNumberFormat="1" applyFont="1" applyBorder="1"/>
    <xf numFmtId="10" fontId="0" fillId="0" borderId="10" xfId="17" applyNumberFormat="1" applyFont="1" applyBorder="1"/>
    <xf numFmtId="0" fontId="0" fillId="3" borderId="11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0" fontId="2" fillId="0" borderId="0" xfId="1" applyFont="1"/>
    <xf numFmtId="10" fontId="2" fillId="3" borderId="10" xfId="17" applyNumberFormat="1" applyFont="1" applyFill="1" applyBorder="1" applyAlignment="1">
      <alignment horizontal="center" vertical="center" wrapText="1"/>
    </xf>
    <xf numFmtId="0" fontId="0" fillId="2" borderId="0" xfId="1" applyFont="1" applyFill="1" applyBorder="1" applyAlignment="1">
      <alignment horizontal="left"/>
    </xf>
    <xf numFmtId="10" fontId="0" fillId="2" borderId="0" xfId="17" applyNumberFormat="1" applyFont="1" applyFill="1" applyBorder="1" applyAlignment="1">
      <alignment horizontal="center" vertical="center" wrapText="1"/>
    </xf>
    <xf numFmtId="0" fontId="0" fillId="0" borderId="0" xfId="1" applyFont="1" applyBorder="1"/>
    <xf numFmtId="0" fontId="0" fillId="0" borderId="11" xfId="1" applyFont="1" applyBorder="1" applyAlignment="1">
      <alignment horizontal="center"/>
    </xf>
    <xf numFmtId="0" fontId="0" fillId="2" borderId="11" xfId="1" applyFont="1" applyFill="1" applyBorder="1" applyAlignment="1">
      <alignment horizontal="center"/>
    </xf>
    <xf numFmtId="0" fontId="0" fillId="0" borderId="12" xfId="1" applyFont="1" applyBorder="1" applyAlignment="1">
      <alignment horizontal="center"/>
    </xf>
    <xf numFmtId="4" fontId="0" fillId="0" borderId="12" xfId="1" applyNumberFormat="1" applyFont="1" applyBorder="1"/>
    <xf numFmtId="4" fontId="0" fillId="0" borderId="13" xfId="1" applyNumberFormat="1" applyFont="1" applyBorder="1"/>
    <xf numFmtId="9" fontId="3" fillId="0" borderId="6" xfId="1" applyNumberFormat="1" applyFont="1" applyBorder="1" applyAlignment="1">
      <alignment horizontal="center"/>
    </xf>
    <xf numFmtId="0" fontId="3" fillId="0" borderId="7" xfId="1" applyFont="1" applyBorder="1"/>
    <xf numFmtId="10" fontId="0" fillId="0" borderId="7" xfId="17" applyNumberFormat="1" applyFont="1" applyBorder="1"/>
    <xf numFmtId="10" fontId="0" fillId="0" borderId="14" xfId="17" applyNumberFormat="1" applyFont="1" applyBorder="1"/>
    <xf numFmtId="2" fontId="0" fillId="0" borderId="0" xfId="1" applyNumberFormat="1" applyFont="1"/>
    <xf numFmtId="4" fontId="2" fillId="0" borderId="0" xfId="1" applyNumberFormat="1" applyFont="1" applyBorder="1" applyAlignment="1">
      <alignment horizontal="right"/>
    </xf>
    <xf numFmtId="14" fontId="0" fillId="0" borderId="0" xfId="17" applyNumberFormat="1" applyFont="1" applyBorder="1" applyAlignment="1">
      <alignment horizontal="center" vertical="center" wrapText="1"/>
    </xf>
    <xf numFmtId="2" fontId="0" fillId="0" borderId="15" xfId="1" applyNumberFormat="1" applyFont="1" applyBorder="1"/>
    <xf numFmtId="0" fontId="2" fillId="3" borderId="11" xfId="1" applyFont="1" applyFill="1" applyBorder="1" applyAlignment="1">
      <alignment horizontal="center" vertical="center" wrapText="1"/>
    </xf>
    <xf numFmtId="10" fontId="2" fillId="3" borderId="2" xfId="17" applyNumberFormat="1" applyFont="1" applyFill="1" applyBorder="1" applyAlignment="1">
      <alignment horizontal="center"/>
    </xf>
    <xf numFmtId="10" fontId="0" fillId="0" borderId="0" xfId="17" applyNumberFormat="1" applyFont="1"/>
    <xf numFmtId="10" fontId="0" fillId="0" borderId="14" xfId="17" applyNumberFormat="1" applyFont="1" applyBorder="1" applyAlignment="1">
      <alignment horizontal="center" vertical="center" wrapText="1"/>
    </xf>
    <xf numFmtId="0" fontId="0" fillId="0" borderId="0" xfId="1" applyFont="1" applyFill="1"/>
    <xf numFmtId="10" fontId="3" fillId="0" borderId="4" xfId="1" applyNumberFormat="1" applyFont="1" applyBorder="1" applyAlignment="1">
      <alignment horizontal="center"/>
    </xf>
    <xf numFmtId="10" fontId="3" fillId="0" borderId="13" xfId="1" applyNumberFormat="1" applyFont="1" applyBorder="1" applyAlignment="1">
      <alignment horizontal="center"/>
    </xf>
    <xf numFmtId="10" fontId="3" fillId="0" borderId="3" xfId="1" applyNumberFormat="1" applyFont="1" applyBorder="1" applyAlignment="1">
      <alignment horizontal="center"/>
    </xf>
    <xf numFmtId="0" fontId="3" fillId="0" borderId="10" xfId="1" applyFont="1" applyBorder="1"/>
    <xf numFmtId="2" fontId="0" fillId="0" borderId="0" xfId="1" applyNumberFormat="1" applyFont="1" applyFill="1"/>
    <xf numFmtId="10" fontId="3" fillId="0" borderId="0" xfId="17" applyNumberFormat="1" applyFont="1" applyFill="1" applyBorder="1" applyAlignment="1">
      <alignment vertical="center"/>
    </xf>
    <xf numFmtId="10" fontId="3" fillId="0" borderId="0" xfId="17" applyNumberFormat="1" applyFont="1" applyFill="1" applyBorder="1" applyAlignment="1">
      <alignment horizontal="center" vertical="center"/>
    </xf>
    <xf numFmtId="4" fontId="3" fillId="0" borderId="13" xfId="1" applyNumberFormat="1" applyFont="1" applyFill="1" applyBorder="1" applyAlignment="1">
      <alignment vertical="center"/>
    </xf>
    <xf numFmtId="10" fontId="3" fillId="0" borderId="13" xfId="17" applyNumberFormat="1" applyFont="1" applyFill="1" applyBorder="1" applyAlignment="1">
      <alignment horizontal="right" vertical="center"/>
    </xf>
    <xf numFmtId="14" fontId="3" fillId="0" borderId="0" xfId="1" applyNumberFormat="1" applyFont="1" applyFill="1" applyBorder="1" applyAlignment="1">
      <alignment horizontal="center" vertical="center"/>
    </xf>
    <xf numFmtId="10" fontId="3" fillId="0" borderId="16" xfId="17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14" fontId="3" fillId="0" borderId="13" xfId="1" applyNumberFormat="1" applyFont="1" applyFill="1" applyBorder="1" applyAlignment="1">
      <alignment horizontal="center" vertical="center"/>
    </xf>
    <xf numFmtId="10" fontId="3" fillId="0" borderId="13" xfId="17" applyNumberFormat="1" applyFont="1" applyFill="1" applyBorder="1" applyAlignment="1">
      <alignment vertical="center"/>
    </xf>
    <xf numFmtId="4" fontId="3" fillId="0" borderId="13" xfId="1" applyNumberFormat="1" applyFont="1" applyFill="1" applyBorder="1" applyAlignment="1">
      <alignment horizontal="center" vertical="center"/>
    </xf>
    <xf numFmtId="10" fontId="3" fillId="0" borderId="0" xfId="17" applyNumberFormat="1" applyFont="1" applyFill="1" applyBorder="1" applyAlignment="1">
      <alignment horizontal="right" vertical="center"/>
    </xf>
    <xf numFmtId="14" fontId="3" fillId="0" borderId="9" xfId="1" applyNumberFormat="1" applyFont="1" applyFill="1" applyBorder="1" applyAlignment="1">
      <alignment horizontal="center" vertical="center"/>
    </xf>
    <xf numFmtId="0" fontId="5" fillId="0" borderId="0" xfId="12" applyFont="1"/>
    <xf numFmtId="0" fontId="5" fillId="0" borderId="0" xfId="12" applyFont="1" applyFill="1"/>
    <xf numFmtId="0" fontId="3" fillId="0" borderId="0" xfId="12" applyFont="1" applyBorder="1"/>
    <xf numFmtId="0" fontId="1" fillId="0" borderId="0" xfId="12" applyFill="1" applyBorder="1"/>
    <xf numFmtId="0" fontId="1" fillId="0" borderId="0" xfId="12" applyFont="1" applyFill="1" applyBorder="1"/>
    <xf numFmtId="0" fontId="0" fillId="0" borderId="0" xfId="1" applyFont="1" applyAlignment="1">
      <alignment horizontal="center"/>
    </xf>
    <xf numFmtId="4" fontId="0" fillId="0" borderId="12" xfId="1" applyNumberFormat="1" applyFont="1" applyFill="1" applyBorder="1"/>
    <xf numFmtId="4" fontId="0" fillId="0" borderId="13" xfId="1" applyNumberFormat="1" applyFont="1" applyFill="1" applyBorder="1"/>
    <xf numFmtId="0" fontId="3" fillId="0" borderId="0" xfId="1" applyFont="1" applyBorder="1"/>
    <xf numFmtId="0" fontId="0" fillId="3" borderId="12" xfId="1" applyFont="1" applyFill="1" applyBorder="1" applyAlignment="1">
      <alignment horizontal="center"/>
    </xf>
    <xf numFmtId="4" fontId="0" fillId="0" borderId="0" xfId="1" applyNumberFormat="1" applyFont="1"/>
    <xf numFmtId="0" fontId="5" fillId="0" borderId="0" xfId="1" applyFont="1"/>
    <xf numFmtId="0" fontId="3" fillId="0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10" fontId="0" fillId="0" borderId="11" xfId="17" applyNumberFormat="1" applyFont="1" applyBorder="1"/>
    <xf numFmtId="0" fontId="1" fillId="0" borderId="0" xfId="12" applyBorder="1"/>
    <xf numFmtId="9" fontId="0" fillId="0" borderId="0" xfId="17" applyFont="1"/>
    <xf numFmtId="0" fontId="0" fillId="0" borderId="13" xfId="1" applyFont="1" applyBorder="1"/>
    <xf numFmtId="0" fontId="0" fillId="0" borderId="13" xfId="1" applyFont="1" applyBorder="1" applyAlignment="1">
      <alignment horizontal="center"/>
    </xf>
    <xf numFmtId="2" fontId="0" fillId="0" borderId="13" xfId="1" applyNumberFormat="1" applyFont="1" applyBorder="1"/>
    <xf numFmtId="0" fontId="0" fillId="2" borderId="0" xfId="1" applyFont="1" applyFill="1" applyBorder="1"/>
    <xf numFmtId="10" fontId="0" fillId="0" borderId="13" xfId="17" applyNumberFormat="1" applyFont="1" applyBorder="1"/>
    <xf numFmtId="10" fontId="0" fillId="0" borderId="13" xfId="17" applyNumberFormat="1" applyFont="1" applyBorder="1" applyAlignment="1">
      <alignment horizontal="center"/>
    </xf>
    <xf numFmtId="10" fontId="0" fillId="0" borderId="0" xfId="17" applyNumberFormat="1" applyFont="1" applyBorder="1"/>
    <xf numFmtId="10" fontId="0" fillId="0" borderId="15" xfId="17" applyNumberFormat="1" applyFont="1" applyBorder="1"/>
    <xf numFmtId="0" fontId="3" fillId="0" borderId="0" xfId="12" applyFont="1" applyFill="1" applyBorder="1"/>
    <xf numFmtId="2" fontId="0" fillId="0" borderId="0" xfId="1" applyNumberFormat="1" applyFont="1" applyBorder="1"/>
    <xf numFmtId="10" fontId="0" fillId="0" borderId="5" xfId="17" applyNumberFormat="1" applyFont="1" applyBorder="1"/>
    <xf numFmtId="4" fontId="1" fillId="0" borderId="0" xfId="12" applyNumberFormat="1" applyFont="1" applyBorder="1" applyAlignment="1">
      <alignment horizontal="left"/>
    </xf>
    <xf numFmtId="2" fontId="1" fillId="0" borderId="0" xfId="12" applyNumberFormat="1" applyFont="1" applyFill="1" applyBorder="1"/>
    <xf numFmtId="9" fontId="0" fillId="0" borderId="0" xfId="17" applyFont="1" applyAlignment="1">
      <alignment horizontal="center"/>
    </xf>
    <xf numFmtId="10" fontId="0" fillId="0" borderId="13" xfId="17" applyNumberFormat="1" applyFont="1" applyFill="1" applyBorder="1" applyAlignment="1">
      <alignment horizontal="center"/>
    </xf>
    <xf numFmtId="10" fontId="0" fillId="0" borderId="16" xfId="17" applyNumberFormat="1" applyFont="1" applyBorder="1"/>
    <xf numFmtId="0" fontId="9" fillId="0" borderId="0" xfId="9" applyBorder="1"/>
    <xf numFmtId="10" fontId="0" fillId="0" borderId="12" xfId="17" applyNumberFormat="1" applyFont="1" applyBorder="1"/>
    <xf numFmtId="0" fontId="9" fillId="0" borderId="0" xfId="9" applyFill="1" applyBorder="1"/>
    <xf numFmtId="0" fontId="2" fillId="2" borderId="0" xfId="1" applyFont="1" applyFill="1" applyBorder="1" applyAlignment="1">
      <alignment horizontal="left"/>
    </xf>
    <xf numFmtId="10" fontId="2" fillId="2" borderId="0" xfId="17" applyNumberFormat="1" applyFont="1" applyFill="1" applyBorder="1" applyAlignment="1">
      <alignment horizontal="center" vertical="center" wrapText="1"/>
    </xf>
    <xf numFmtId="10" fontId="2" fillId="2" borderId="0" xfId="17" applyNumberFormat="1" applyFont="1" applyFill="1" applyBorder="1" applyAlignment="1">
      <alignment horizontal="center"/>
    </xf>
    <xf numFmtId="0" fontId="2" fillId="2" borderId="0" xfId="1" applyFont="1" applyFill="1" applyBorder="1"/>
    <xf numFmtId="10" fontId="0" fillId="0" borderId="11" xfId="17" applyNumberFormat="1" applyFont="1" applyBorder="1" applyAlignment="1">
      <alignment horizontal="center" vertical="center" wrapText="1"/>
    </xf>
    <xf numFmtId="10" fontId="3" fillId="0" borderId="13" xfId="1" applyNumberFormat="1" applyFont="1" applyFill="1" applyBorder="1" applyAlignment="1">
      <alignment horizontal="center"/>
    </xf>
    <xf numFmtId="0" fontId="9" fillId="0" borderId="0" xfId="9" applyFont="1" applyFill="1" applyBorder="1"/>
    <xf numFmtId="10" fontId="0" fillId="0" borderId="0" xfId="1" applyNumberFormat="1" applyFont="1"/>
    <xf numFmtId="0" fontId="12" fillId="0" borderId="0" xfId="13" applyFont="1" applyBorder="1"/>
    <xf numFmtId="2" fontId="0" fillId="0" borderId="13" xfId="1" applyNumberFormat="1" applyFont="1" applyFill="1" applyBorder="1"/>
    <xf numFmtId="0" fontId="0" fillId="0" borderId="0" xfId="1" applyFont="1" applyBorder="1" applyAlignment="1">
      <alignment horizontal="center"/>
    </xf>
    <xf numFmtId="2" fontId="11" fillId="0" borderId="0" xfId="1" applyNumberFormat="1" applyFont="1"/>
    <xf numFmtId="0" fontId="9" fillId="0" borderId="0" xfId="10"/>
    <xf numFmtId="2" fontId="0" fillId="0" borderId="12" xfId="1" applyNumberFormat="1" applyFont="1" applyBorder="1"/>
    <xf numFmtId="174" fontId="0" fillId="0" borderId="0" xfId="1" applyNumberFormat="1" applyFont="1"/>
    <xf numFmtId="179" fontId="18" fillId="0" borderId="1" xfId="1" applyNumberFormat="1" applyFont="1" applyFill="1" applyBorder="1" applyAlignment="1">
      <alignment horizontal="right" wrapText="1"/>
    </xf>
    <xf numFmtId="0" fontId="1" fillId="0" borderId="0" xfId="1" applyFont="1"/>
    <xf numFmtId="179" fontId="1" fillId="0" borderId="0" xfId="1" applyNumberFormat="1" applyFont="1"/>
    <xf numFmtId="179" fontId="18" fillId="0" borderId="0" xfId="1" applyNumberFormat="1" applyFont="1" applyFill="1" applyBorder="1" applyAlignment="1">
      <alignment horizontal="center"/>
    </xf>
    <xf numFmtId="179" fontId="18" fillId="0" borderId="0" xfId="1" applyNumberFormat="1" applyFont="1" applyFill="1" applyBorder="1" applyAlignment="1">
      <alignment horizontal="right" wrapText="1"/>
    </xf>
    <xf numFmtId="2" fontId="0" fillId="0" borderId="0" xfId="1" applyNumberFormat="1" applyFont="1" applyFill="1" applyBorder="1"/>
    <xf numFmtId="179" fontId="18" fillId="0" borderId="1" xfId="6" applyNumberFormat="1" applyFont="1" applyFill="1" applyBorder="1" applyAlignment="1">
      <alignment horizontal="right" wrapText="1"/>
    </xf>
    <xf numFmtId="0" fontId="18" fillId="0" borderId="1" xfId="6" applyFont="1" applyFill="1" applyBorder="1" applyAlignment="1">
      <alignment horizontal="right" wrapText="1"/>
    </xf>
    <xf numFmtId="179" fontId="18" fillId="0" borderId="1" xfId="6" applyNumberFormat="1" applyFont="1" applyFill="1" applyBorder="1" applyAlignment="1">
      <alignment horizontal="left" wrapText="1"/>
    </xf>
    <xf numFmtId="0" fontId="9" fillId="0" borderId="0" xfId="9" applyFont="1"/>
    <xf numFmtId="0" fontId="18" fillId="0" borderId="0" xfId="6" applyFont="1" applyFill="1" applyBorder="1" applyAlignment="1">
      <alignment horizontal="center"/>
    </xf>
    <xf numFmtId="171" fontId="18" fillId="0" borderId="0" xfId="6" applyNumberFormat="1" applyFont="1" applyFill="1" applyBorder="1" applyAlignment="1">
      <alignment horizontal="right" wrapText="1"/>
    </xf>
    <xf numFmtId="171" fontId="18" fillId="0" borderId="0" xfId="7" applyNumberFormat="1" applyFont="1" applyFill="1" applyBorder="1" applyAlignment="1">
      <alignment horizontal="right" wrapText="1"/>
    </xf>
    <xf numFmtId="0" fontId="18" fillId="0" borderId="0" xfId="6" applyFont="1" applyFill="1" applyBorder="1" applyAlignment="1">
      <alignment horizontal="right" wrapText="1"/>
    </xf>
    <xf numFmtId="171" fontId="18" fillId="0" borderId="0" xfId="6" applyNumberFormat="1" applyFont="1" applyFill="1" applyBorder="1" applyAlignment="1">
      <alignment horizontal="left" wrapText="1"/>
    </xf>
    <xf numFmtId="0" fontId="3" fillId="0" borderId="9" xfId="1" applyFont="1" applyFill="1" applyBorder="1" applyAlignment="1">
      <alignment horizontal="center" vertical="center"/>
    </xf>
    <xf numFmtId="0" fontId="0" fillId="0" borderId="9" xfId="1" applyFont="1" applyBorder="1" applyAlignment="1">
      <alignment horizontal="center"/>
    </xf>
    <xf numFmtId="9" fontId="0" fillId="0" borderId="0" xfId="17" applyFont="1" applyFill="1" applyBorder="1" applyAlignment="1">
      <alignment horizontal="center"/>
    </xf>
    <xf numFmtId="10" fontId="3" fillId="0" borderId="9" xfId="17" applyNumberFormat="1" applyFont="1" applyFill="1" applyBorder="1" applyAlignment="1">
      <alignment vertical="center"/>
    </xf>
    <xf numFmtId="0" fontId="1" fillId="0" borderId="0" xfId="12" applyFont="1"/>
    <xf numFmtId="0" fontId="12" fillId="0" borderId="0" xfId="1" applyFont="1" applyBorder="1"/>
    <xf numFmtId="171" fontId="12" fillId="0" borderId="0" xfId="1" applyNumberFormat="1" applyFont="1" applyFill="1" applyBorder="1"/>
    <xf numFmtId="0" fontId="0" fillId="2" borderId="12" xfId="1" applyFont="1" applyFill="1" applyBorder="1" applyAlignment="1">
      <alignment horizontal="center"/>
    </xf>
    <xf numFmtId="0" fontId="1" fillId="0" borderId="0" xfId="1" applyFont="1" applyFill="1" applyBorder="1"/>
    <xf numFmtId="0" fontId="19" fillId="0" borderId="0" xfId="1" applyFont="1" applyFill="1" applyBorder="1"/>
    <xf numFmtId="10" fontId="1" fillId="0" borderId="0" xfId="17" applyNumberFormat="1" applyFont="1" applyFill="1" applyBorder="1" applyAlignment="1">
      <alignment horizontal="center"/>
    </xf>
    <xf numFmtId="10" fontId="19" fillId="0" borderId="0" xfId="17" applyNumberFormat="1" applyFont="1" applyFill="1" applyBorder="1" applyAlignment="1">
      <alignment horizontal="center"/>
    </xf>
    <xf numFmtId="10" fontId="0" fillId="0" borderId="0" xfId="17" applyNumberFormat="1" applyFont="1" applyFill="1" applyBorder="1"/>
    <xf numFmtId="0" fontId="0" fillId="0" borderId="12" xfId="1" applyFont="1" applyFill="1" applyBorder="1"/>
    <xf numFmtId="0" fontId="0" fillId="0" borderId="13" xfId="1" applyFont="1" applyFill="1" applyBorder="1"/>
    <xf numFmtId="2" fontId="19" fillId="0" borderId="13" xfId="1" applyNumberFormat="1" applyFont="1" applyFill="1" applyBorder="1" applyAlignment="1">
      <alignment horizontal="right"/>
    </xf>
    <xf numFmtId="0" fontId="12" fillId="0" borderId="15" xfId="1" applyFont="1" applyBorder="1"/>
    <xf numFmtId="0" fontId="12" fillId="0" borderId="13" xfId="12" applyFont="1" applyBorder="1"/>
    <xf numFmtId="0" fontId="0" fillId="3" borderId="10" xfId="1" applyFont="1" applyFill="1" applyBorder="1" applyAlignment="1">
      <alignment horizontal="center"/>
    </xf>
    <xf numFmtId="0" fontId="12" fillId="0" borderId="0" xfId="12" applyFont="1" applyBorder="1"/>
    <xf numFmtId="0" fontId="1" fillId="0" borderId="0" xfId="12" applyFont="1" applyBorder="1"/>
    <xf numFmtId="0" fontId="5" fillId="0" borderId="0" xfId="1" applyFont="1" applyFill="1" applyBorder="1"/>
    <xf numFmtId="0" fontId="0" fillId="0" borderId="12" xfId="1" applyFont="1" applyBorder="1" applyAlignment="1">
      <alignment horizontal="right"/>
    </xf>
    <xf numFmtId="0" fontId="0" fillId="0" borderId="13" xfId="1" applyFont="1" applyFill="1" applyBorder="1" applyAlignment="1">
      <alignment horizontal="right"/>
    </xf>
    <xf numFmtId="0" fontId="0" fillId="0" borderId="15" xfId="1" applyFont="1" applyFill="1" applyBorder="1" applyAlignment="1">
      <alignment horizontal="right"/>
    </xf>
    <xf numFmtId="10" fontId="0" fillId="0" borderId="0" xfId="17" applyNumberFormat="1" applyFont="1" applyBorder="1" applyAlignment="1">
      <alignment horizontal="center"/>
    </xf>
    <xf numFmtId="0" fontId="12" fillId="0" borderId="15" xfId="1" applyFont="1" applyFill="1" applyBorder="1"/>
    <xf numFmtId="0" fontId="12" fillId="0" borderId="9" xfId="12" applyFont="1" applyFill="1" applyBorder="1"/>
    <xf numFmtId="0" fontId="0" fillId="0" borderId="10" xfId="1" applyFont="1" applyFill="1" applyBorder="1"/>
    <xf numFmtId="10" fontId="0" fillId="0" borderId="0" xfId="17" applyNumberFormat="1" applyFont="1" applyFill="1" applyBorder="1" applyAlignment="1">
      <alignment horizontal="center"/>
    </xf>
    <xf numFmtId="49" fontId="3" fillId="2" borderId="0" xfId="1" applyNumberFormat="1" applyFont="1" applyFill="1" applyBorder="1" applyAlignment="1">
      <alignment horizontal="center"/>
    </xf>
    <xf numFmtId="178" fontId="0" fillId="0" borderId="0" xfId="17" applyNumberFormat="1" applyFont="1" applyBorder="1"/>
    <xf numFmtId="0" fontId="12" fillId="0" borderId="0" xfId="1" applyFont="1" applyFill="1" applyBorder="1"/>
    <xf numFmtId="4" fontId="0" fillId="0" borderId="11" xfId="1" applyNumberFormat="1" applyFont="1" applyBorder="1"/>
    <xf numFmtId="0" fontId="0" fillId="0" borderId="11" xfId="1" applyFont="1" applyBorder="1"/>
    <xf numFmtId="0" fontId="2" fillId="0" borderId="0" xfId="1" applyFont="1" applyFill="1" applyBorder="1" applyAlignment="1">
      <alignment horizontal="left"/>
    </xf>
    <xf numFmtId="10" fontId="2" fillId="0" borderId="0" xfId="17" applyNumberFormat="1" applyFont="1" applyFill="1" applyBorder="1" applyAlignment="1">
      <alignment horizontal="center" vertical="center" wrapText="1"/>
    </xf>
    <xf numFmtId="0" fontId="11" fillId="0" borderId="0" xfId="1" applyFont="1" applyFill="1"/>
    <xf numFmtId="2" fontId="11" fillId="0" borderId="0" xfId="1" applyNumberFormat="1" applyFont="1" applyFill="1"/>
    <xf numFmtId="0" fontId="11" fillId="0" borderId="0" xfId="1" applyFont="1"/>
    <xf numFmtId="180" fontId="0" fillId="0" borderId="0" xfId="2" applyNumberFormat="1" applyFont="1"/>
    <xf numFmtId="10" fontId="2" fillId="0" borderId="0" xfId="17" applyNumberFormat="1" applyFont="1" applyFill="1" applyBorder="1" applyAlignment="1">
      <alignment horizontal="center"/>
    </xf>
    <xf numFmtId="17" fontId="1" fillId="0" borderId="0" xfId="1" quotePrefix="1" applyNumberFormat="1" applyFont="1"/>
    <xf numFmtId="9" fontId="3" fillId="0" borderId="12" xfId="1" applyNumberFormat="1" applyFont="1" applyBorder="1" applyAlignment="1">
      <alignment horizontal="center"/>
    </xf>
    <xf numFmtId="0" fontId="0" fillId="0" borderId="15" xfId="1" applyFont="1" applyBorder="1"/>
    <xf numFmtId="174" fontId="0" fillId="0" borderId="0" xfId="17" applyNumberFormat="1" applyFont="1" applyBorder="1"/>
    <xf numFmtId="10" fontId="5" fillId="0" borderId="14" xfId="17" applyNumberFormat="1" applyFont="1" applyBorder="1"/>
    <xf numFmtId="10" fontId="0" fillId="0" borderId="0" xfId="17" applyNumberFormat="1" applyFont="1" applyFill="1"/>
    <xf numFmtId="0" fontId="19" fillId="0" borderId="0" xfId="12" applyFont="1" applyFill="1" applyBorder="1"/>
    <xf numFmtId="0" fontId="0" fillId="3" borderId="0" xfId="1" applyFont="1" applyFill="1" applyBorder="1" applyAlignment="1">
      <alignment horizontal="center"/>
    </xf>
    <xf numFmtId="0" fontId="10" fillId="2" borderId="0" xfId="1" applyFont="1" applyFill="1" applyBorder="1"/>
    <xf numFmtId="0" fontId="5" fillId="2" borderId="0" xfId="1" applyFont="1" applyFill="1" applyBorder="1"/>
    <xf numFmtId="0" fontId="11" fillId="0" borderId="0" xfId="1" applyFont="1" applyFill="1" applyBorder="1"/>
    <xf numFmtId="10" fontId="0" fillId="2" borderId="0" xfId="17" applyNumberFormat="1" applyFont="1" applyFill="1" applyBorder="1"/>
    <xf numFmtId="0" fontId="11" fillId="2" borderId="0" xfId="1" applyFont="1" applyFill="1" applyBorder="1"/>
    <xf numFmtId="14" fontId="11" fillId="2" borderId="0" xfId="1" applyNumberFormat="1" applyFont="1" applyFill="1" applyBorder="1"/>
    <xf numFmtId="0" fontId="2" fillId="0" borderId="3" xfId="1" applyFont="1" applyFill="1" applyBorder="1" applyAlignment="1">
      <alignment horizontal="left"/>
    </xf>
    <xf numFmtId="0" fontId="2" fillId="0" borderId="10" xfId="1" applyFont="1" applyFill="1" applyBorder="1" applyAlignment="1">
      <alignment horizontal="left"/>
    </xf>
    <xf numFmtId="10" fontId="2" fillId="0" borderId="10" xfId="17" applyNumberFormat="1" applyFont="1" applyFill="1" applyBorder="1" applyAlignment="1">
      <alignment horizontal="center" vertical="center" wrapText="1"/>
    </xf>
    <xf numFmtId="178" fontId="0" fillId="0" borderId="12" xfId="17" applyNumberFormat="1" applyFont="1" applyBorder="1"/>
    <xf numFmtId="178" fontId="0" fillId="0" borderId="13" xfId="17" applyNumberFormat="1" applyFont="1" applyBorder="1"/>
    <xf numFmtId="178" fontId="0" fillId="0" borderId="13" xfId="17" applyNumberFormat="1" applyFont="1" applyFill="1" applyBorder="1"/>
    <xf numFmtId="10" fontId="2" fillId="3" borderId="2" xfId="17" applyNumberFormat="1" applyFont="1" applyFill="1" applyBorder="1" applyAlignment="1">
      <alignment horizontal="center" vertical="center" wrapText="1"/>
    </xf>
    <xf numFmtId="174" fontId="0" fillId="0" borderId="2" xfId="17" applyNumberFormat="1" applyFont="1" applyBorder="1" applyAlignment="1">
      <alignment horizontal="right"/>
    </xf>
    <xf numFmtId="0" fontId="12" fillId="0" borderId="0" xfId="14" applyFont="1" applyBorder="1"/>
    <xf numFmtId="10" fontId="0" fillId="0" borderId="12" xfId="17" applyNumberFormat="1" applyFont="1" applyBorder="1" applyAlignment="1">
      <alignment horizontal="center"/>
    </xf>
    <xf numFmtId="10" fontId="5" fillId="3" borderId="2" xfId="17" applyNumberFormat="1" applyFont="1" applyFill="1" applyBorder="1" applyAlignment="1">
      <alignment horizontal="center"/>
    </xf>
    <xf numFmtId="178" fontId="0" fillId="0" borderId="15" xfId="17" applyNumberFormat="1" applyFont="1" applyFill="1" applyBorder="1"/>
    <xf numFmtId="0" fontId="0" fillId="0" borderId="2" xfId="1" applyFont="1" applyBorder="1"/>
    <xf numFmtId="10" fontId="0" fillId="0" borderId="11" xfId="17" applyNumberFormat="1" applyFont="1" applyFill="1" applyBorder="1"/>
    <xf numFmtId="10" fontId="0" fillId="0" borderId="11" xfId="1" applyNumberFormat="1" applyFont="1" applyFill="1" applyBorder="1"/>
    <xf numFmtId="0" fontId="0" fillId="0" borderId="11" xfId="1" applyFont="1" applyFill="1" applyBorder="1"/>
    <xf numFmtId="172" fontId="3" fillId="0" borderId="0" xfId="17" applyNumberFormat="1" applyFont="1" applyFill="1" applyBorder="1" applyAlignment="1">
      <alignment horizontal="center" vertical="center" wrapText="1"/>
    </xf>
    <xf numFmtId="10" fontId="3" fillId="0" borderId="9" xfId="17" applyNumberFormat="1" applyFont="1" applyFill="1" applyBorder="1" applyAlignment="1">
      <alignment horizontal="right" vertical="center"/>
    </xf>
    <xf numFmtId="0" fontId="1" fillId="2" borderId="0" xfId="1" applyFont="1" applyFill="1" applyBorder="1"/>
    <xf numFmtId="4" fontId="3" fillId="0" borderId="0" xfId="1" applyNumberFormat="1" applyFont="1" applyFill="1" applyBorder="1" applyAlignment="1">
      <alignment horizontal="right" vertical="center"/>
    </xf>
    <xf numFmtId="10" fontId="0" fillId="0" borderId="16" xfId="17" applyNumberFormat="1" applyFont="1" applyBorder="1" applyAlignment="1">
      <alignment horizontal="center" vertical="center" wrapText="1"/>
    </xf>
    <xf numFmtId="168" fontId="0" fillId="0" borderId="0" xfId="1" applyNumberFormat="1" applyFont="1"/>
    <xf numFmtId="10" fontId="0" fillId="0" borderId="8" xfId="17" applyNumberFormat="1" applyFont="1" applyBorder="1"/>
    <xf numFmtId="0" fontId="0" fillId="4" borderId="0" xfId="1" applyFont="1" applyFill="1" applyBorder="1"/>
    <xf numFmtId="0" fontId="5" fillId="3" borderId="0" xfId="1" applyFont="1" applyFill="1" applyBorder="1" applyAlignment="1">
      <alignment horizontal="center" vertical="center" wrapText="1" shrinkToFit="1"/>
    </xf>
    <xf numFmtId="0" fontId="6" fillId="4" borderId="0" xfId="1" applyFont="1" applyFill="1"/>
    <xf numFmtId="0" fontId="0" fillId="4" borderId="0" xfId="1" applyFont="1" applyFill="1"/>
    <xf numFmtId="0" fontId="12" fillId="0" borderId="0" xfId="13" applyFont="1" applyFill="1" applyBorder="1"/>
    <xf numFmtId="0" fontId="5" fillId="0" borderId="0" xfId="1" applyFont="1" applyFill="1"/>
    <xf numFmtId="10" fontId="5" fillId="0" borderId="0" xfId="17" applyNumberFormat="1" applyFont="1" applyFill="1"/>
    <xf numFmtId="4" fontId="3" fillId="0" borderId="13" xfId="17" applyNumberFormat="1" applyFont="1" applyFill="1" applyBorder="1" applyAlignment="1">
      <alignment vertical="center"/>
    </xf>
    <xf numFmtId="0" fontId="12" fillId="0" borderId="13" xfId="12" applyFont="1" applyFill="1" applyBorder="1"/>
    <xf numFmtId="179" fontId="0" fillId="0" borderId="0" xfId="1" applyNumberFormat="1" applyFont="1"/>
    <xf numFmtId="176" fontId="0" fillId="0" borderId="0" xfId="1" applyNumberFormat="1" applyFont="1"/>
    <xf numFmtId="176" fontId="0" fillId="0" borderId="0" xfId="1" applyNumberFormat="1" applyFont="1" applyFill="1"/>
    <xf numFmtId="0" fontId="11" fillId="0" borderId="0" xfId="1" applyFont="1" applyBorder="1"/>
    <xf numFmtId="10" fontId="0" fillId="0" borderId="0" xfId="17" applyNumberFormat="1" applyFont="1" applyBorder="1" applyAlignment="1">
      <alignment horizontal="center" vertical="center" wrapText="1"/>
    </xf>
    <xf numFmtId="0" fontId="0" fillId="0" borderId="9" xfId="1" applyFont="1" applyFill="1" applyBorder="1"/>
    <xf numFmtId="0" fontId="2" fillId="0" borderId="0" xfId="1" applyFont="1" applyBorder="1"/>
    <xf numFmtId="0" fontId="0" fillId="2" borderId="10" xfId="1" applyFont="1" applyFill="1" applyBorder="1"/>
    <xf numFmtId="181" fontId="0" fillId="0" borderId="0" xfId="1" applyNumberFormat="1" applyFont="1" applyBorder="1"/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1" fontId="3" fillId="0" borderId="13" xfId="17" applyNumberFormat="1" applyFont="1" applyFill="1" applyBorder="1" applyAlignment="1">
      <alignment horizontal="center" vertical="center"/>
    </xf>
    <xf numFmtId="10" fontId="0" fillId="0" borderId="0" xfId="1" applyNumberFormat="1" applyFont="1" applyFill="1"/>
    <xf numFmtId="10" fontId="5" fillId="0" borderId="0" xfId="1" applyNumberFormat="1" applyFont="1" applyFill="1"/>
    <xf numFmtId="168" fontId="0" fillId="0" borderId="0" xfId="1" applyNumberFormat="1" applyFont="1" applyBorder="1" applyAlignment="1">
      <alignment horizontal="right"/>
    </xf>
    <xf numFmtId="173" fontId="0" fillId="0" borderId="0" xfId="17" applyNumberFormat="1" applyFont="1"/>
    <xf numFmtId="14" fontId="0" fillId="0" borderId="11" xfId="1" applyNumberFormat="1" applyFont="1" applyFill="1" applyBorder="1"/>
    <xf numFmtId="10" fontId="5" fillId="0" borderId="11" xfId="1" applyNumberFormat="1" applyFont="1" applyFill="1" applyBorder="1"/>
    <xf numFmtId="10" fontId="0" fillId="0" borderId="0" xfId="17" applyNumberFormat="1" applyFont="1" applyFill="1" applyBorder="1" applyAlignment="1">
      <alignment horizontal="right"/>
    </xf>
    <xf numFmtId="14" fontId="0" fillId="0" borderId="11" xfId="1" applyNumberFormat="1" applyFont="1" applyBorder="1"/>
    <xf numFmtId="0" fontId="17" fillId="4" borderId="0" xfId="1" applyFont="1" applyFill="1"/>
    <xf numFmtId="0" fontId="0" fillId="2" borderId="9" xfId="1" applyFont="1" applyFill="1" applyBorder="1"/>
    <xf numFmtId="2" fontId="0" fillId="0" borderId="16" xfId="1" applyNumberFormat="1" applyFont="1" applyBorder="1"/>
    <xf numFmtId="0" fontId="0" fillId="0" borderId="0" xfId="1" applyFont="1" applyFill="1" applyBorder="1" applyAlignment="1">
      <alignment horizontal="left"/>
    </xf>
    <xf numFmtId="14" fontId="0" fillId="0" borderId="0" xfId="1" applyNumberFormat="1" applyFont="1"/>
    <xf numFmtId="9" fontId="0" fillId="0" borderId="0" xfId="1" applyNumberFormat="1" applyFont="1"/>
    <xf numFmtId="0" fontId="0" fillId="0" borderId="0" xfId="1" applyFont="1" applyBorder="1" applyAlignment="1">
      <alignment horizontal="left"/>
    </xf>
    <xf numFmtId="171" fontId="0" fillId="0" borderId="0" xfId="1" applyNumberFormat="1" applyFont="1" applyFill="1"/>
    <xf numFmtId="182" fontId="0" fillId="0" borderId="0" xfId="1" applyNumberFormat="1" applyFont="1" applyFill="1"/>
    <xf numFmtId="10" fontId="0" fillId="0" borderId="13" xfId="1" applyNumberFormat="1" applyFont="1" applyBorder="1" applyAlignment="1">
      <alignment horizontal="center"/>
    </xf>
    <xf numFmtId="164" fontId="0" fillId="0" borderId="0" xfId="2" applyFont="1"/>
    <xf numFmtId="2" fontId="0" fillId="0" borderId="15" xfId="1" applyNumberFormat="1" applyFont="1" applyFill="1" applyBorder="1"/>
    <xf numFmtId="17" fontId="11" fillId="2" borderId="0" xfId="1" applyNumberFormat="1" applyFont="1" applyFill="1" applyBorder="1"/>
    <xf numFmtId="14" fontId="3" fillId="0" borderId="16" xfId="1" applyNumberFormat="1" applyFont="1" applyFill="1" applyBorder="1" applyAlignment="1">
      <alignment horizontal="right" vertical="center"/>
    </xf>
    <xf numFmtId="0" fontId="5" fillId="5" borderId="10" xfId="1" applyFont="1" applyFill="1" applyBorder="1"/>
    <xf numFmtId="0" fontId="0" fillId="2" borderId="11" xfId="1" applyFont="1" applyFill="1" applyBorder="1"/>
    <xf numFmtId="49" fontId="0" fillId="0" borderId="0" xfId="1" applyNumberFormat="1" applyFont="1"/>
    <xf numFmtId="14" fontId="0" fillId="0" borderId="13" xfId="1" applyNumberFormat="1" applyFont="1" applyBorder="1"/>
    <xf numFmtId="0" fontId="25" fillId="2" borderId="0" xfId="1" applyFont="1" applyFill="1" applyBorder="1"/>
    <xf numFmtId="184" fontId="0" fillId="0" borderId="0" xfId="2" applyNumberFormat="1" applyFont="1"/>
    <xf numFmtId="171" fontId="0" fillId="0" borderId="0" xfId="1" applyNumberFormat="1" applyFont="1"/>
    <xf numFmtId="178" fontId="0" fillId="0" borderId="0" xfId="1" applyNumberFormat="1" applyFont="1"/>
    <xf numFmtId="177" fontId="0" fillId="0" borderId="0" xfId="1" applyNumberFormat="1" applyFont="1"/>
    <xf numFmtId="181" fontId="0" fillId="0" borderId="0" xfId="1" applyNumberFormat="1" applyFont="1" applyAlignment="1">
      <alignment horizontal="left"/>
    </xf>
    <xf numFmtId="181" fontId="0" fillId="0" borderId="0" xfId="1" applyNumberFormat="1" applyFont="1"/>
    <xf numFmtId="181" fontId="0" fillId="0" borderId="0" xfId="1" applyNumberFormat="1" applyFont="1" applyFill="1"/>
    <xf numFmtId="171" fontId="0" fillId="2" borderId="11" xfId="1" applyNumberFormat="1" applyFont="1" applyFill="1" applyBorder="1"/>
    <xf numFmtId="1" fontId="0" fillId="0" borderId="0" xfId="2" applyNumberFormat="1" applyFont="1" applyAlignment="1">
      <alignment horizontal="center"/>
    </xf>
    <xf numFmtId="0" fontId="5" fillId="0" borderId="11" xfId="1" applyFont="1" applyBorder="1"/>
    <xf numFmtId="10" fontId="5" fillId="0" borderId="0" xfId="1" applyNumberFormat="1" applyFont="1"/>
    <xf numFmtId="0" fontId="5" fillId="3" borderId="11" xfId="1" applyFont="1" applyFill="1" applyBorder="1" applyAlignment="1">
      <alignment horizontal="center"/>
    </xf>
    <xf numFmtId="10" fontId="5" fillId="0" borderId="11" xfId="1" applyNumberFormat="1" applyFont="1" applyBorder="1"/>
    <xf numFmtId="181" fontId="5" fillId="0" borderId="0" xfId="1" applyNumberFormat="1" applyFont="1"/>
    <xf numFmtId="4" fontId="0" fillId="0" borderId="15" xfId="1" applyNumberFormat="1" applyFont="1" applyFill="1" applyBorder="1"/>
    <xf numFmtId="179" fontId="0" fillId="0" borderId="0" xfId="1" applyNumberFormat="1" applyFont="1" applyFill="1" applyBorder="1"/>
    <xf numFmtId="171" fontId="0" fillId="0" borderId="0" xfId="1" applyNumberFormat="1" applyFont="1" applyFill="1" applyBorder="1"/>
    <xf numFmtId="181" fontId="0" fillId="0" borderId="0" xfId="1" applyNumberFormat="1" applyFont="1" applyFill="1" applyBorder="1"/>
    <xf numFmtId="10" fontId="5" fillId="0" borderId="0" xfId="17" applyNumberFormat="1" applyFont="1" applyFill="1" applyBorder="1"/>
    <xf numFmtId="181" fontId="5" fillId="0" borderId="0" xfId="1" applyNumberFormat="1" applyFont="1" applyFill="1" applyBorder="1"/>
    <xf numFmtId="17" fontId="0" fillId="0" borderId="0" xfId="1" applyNumberFormat="1" applyFont="1"/>
    <xf numFmtId="10" fontId="2" fillId="5" borderId="2" xfId="1" applyNumberFormat="1" applyFont="1" applyFill="1" applyBorder="1" applyAlignment="1">
      <alignment horizontal="center"/>
    </xf>
    <xf numFmtId="181" fontId="3" fillId="0" borderId="7" xfId="1" applyNumberFormat="1" applyFont="1" applyBorder="1"/>
    <xf numFmtId="49" fontId="0" fillId="0" borderId="11" xfId="1" applyNumberFormat="1" applyFont="1" applyBorder="1"/>
    <xf numFmtId="49" fontId="0" fillId="0" borderId="11" xfId="1" applyNumberFormat="1" applyFont="1" applyFill="1" applyBorder="1"/>
    <xf numFmtId="49" fontId="5" fillId="0" borderId="11" xfId="1" applyNumberFormat="1" applyFont="1" applyBorder="1"/>
    <xf numFmtId="171" fontId="5" fillId="0" borderId="11" xfId="1" applyNumberFormat="1" applyFont="1" applyBorder="1"/>
    <xf numFmtId="10" fontId="5" fillId="0" borderId="11" xfId="17" applyNumberFormat="1" applyFont="1" applyBorder="1"/>
    <xf numFmtId="49" fontId="0" fillId="0" borderId="15" xfId="1" applyNumberFormat="1" applyFont="1" applyBorder="1"/>
    <xf numFmtId="2" fontId="5" fillId="3" borderId="17" xfId="1" applyNumberFormat="1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3" borderId="19" xfId="1" applyFont="1" applyFill="1" applyBorder="1" applyAlignment="1">
      <alignment horizontal="center" vertical="center"/>
    </xf>
    <xf numFmtId="10" fontId="5" fillId="0" borderId="12" xfId="17" applyNumberFormat="1" applyFont="1" applyBorder="1"/>
    <xf numFmtId="0" fontId="2" fillId="3" borderId="17" xfId="1" applyFont="1" applyFill="1" applyBorder="1" applyAlignment="1">
      <alignment horizontal="left"/>
    </xf>
    <xf numFmtId="0" fontId="2" fillId="3" borderId="19" xfId="1" applyFont="1" applyFill="1" applyBorder="1" applyAlignment="1">
      <alignment horizontal="left"/>
    </xf>
    <xf numFmtId="4" fontId="5" fillId="0" borderId="12" xfId="1" applyNumberFormat="1" applyFont="1" applyBorder="1"/>
    <xf numFmtId="179" fontId="26" fillId="2" borderId="0" xfId="1" applyNumberFormat="1" applyFont="1" applyFill="1" applyBorder="1"/>
    <xf numFmtId="49" fontId="5" fillId="3" borderId="20" xfId="1" applyNumberFormat="1" applyFont="1" applyFill="1" applyBorder="1"/>
    <xf numFmtId="10" fontId="5" fillId="3" borderId="0" xfId="17" applyNumberFormat="1" applyFont="1" applyFill="1" applyBorder="1"/>
    <xf numFmtId="10" fontId="5" fillId="3" borderId="21" xfId="1" applyNumberFormat="1" applyFont="1" applyFill="1" applyBorder="1"/>
    <xf numFmtId="49" fontId="5" fillId="3" borderId="22" xfId="1" applyNumberFormat="1" applyFont="1" applyFill="1" applyBorder="1"/>
    <xf numFmtId="0" fontId="0" fillId="3" borderId="23" xfId="1" applyFont="1" applyFill="1" applyBorder="1"/>
    <xf numFmtId="10" fontId="5" fillId="3" borderId="24" xfId="1" applyNumberFormat="1" applyFont="1" applyFill="1" applyBorder="1"/>
    <xf numFmtId="2" fontId="20" fillId="3" borderId="25" xfId="1" applyNumberFormat="1" applyFont="1" applyFill="1" applyBorder="1" applyAlignment="1">
      <alignment horizontal="center"/>
    </xf>
    <xf numFmtId="0" fontId="20" fillId="3" borderId="25" xfId="1" applyFont="1" applyFill="1" applyBorder="1" applyAlignment="1">
      <alignment horizontal="center"/>
    </xf>
    <xf numFmtId="0" fontId="20" fillId="3" borderId="19" xfId="1" applyFont="1" applyFill="1" applyBorder="1" applyAlignment="1">
      <alignment horizontal="center"/>
    </xf>
    <xf numFmtId="10" fontId="0" fillId="2" borderId="0" xfId="1" applyNumberFormat="1" applyFont="1" applyFill="1" applyBorder="1"/>
    <xf numFmtId="0" fontId="17" fillId="0" borderId="0" xfId="1" applyFont="1"/>
    <xf numFmtId="0" fontId="17" fillId="0" borderId="0" xfId="1" applyFont="1" applyFill="1"/>
    <xf numFmtId="0" fontId="16" fillId="2" borderId="0" xfId="1" applyFont="1" applyFill="1" applyBorder="1"/>
    <xf numFmtId="184" fontId="16" fillId="2" borderId="0" xfId="2" applyNumberFormat="1" applyFont="1" applyFill="1" applyBorder="1"/>
    <xf numFmtId="179" fontId="16" fillId="2" borderId="0" xfId="1" applyNumberFormat="1" applyFont="1" applyFill="1" applyBorder="1"/>
    <xf numFmtId="49" fontId="0" fillId="0" borderId="0" xfId="1" applyNumberFormat="1" applyFont="1" applyFill="1"/>
    <xf numFmtId="164" fontId="0" fillId="0" borderId="0" xfId="2" applyFont="1" applyFill="1" applyBorder="1" applyAlignment="1">
      <alignment horizontal="right"/>
    </xf>
    <xf numFmtId="0" fontId="7" fillId="2" borderId="0" xfId="1" applyFont="1" applyFill="1" applyBorder="1"/>
    <xf numFmtId="0" fontId="11" fillId="2" borderId="0" xfId="1" applyFont="1" applyFill="1" applyBorder="1" applyAlignment="1">
      <alignment horizontal="right"/>
    </xf>
    <xf numFmtId="0" fontId="16" fillId="0" borderId="0" xfId="1" applyFont="1"/>
    <xf numFmtId="0" fontId="0" fillId="0" borderId="8" xfId="1" applyFont="1" applyBorder="1"/>
    <xf numFmtId="0" fontId="12" fillId="0" borderId="15" xfId="12" applyFont="1" applyBorder="1"/>
    <xf numFmtId="49" fontId="5" fillId="0" borderId="0" xfId="1" applyNumberFormat="1" applyFont="1"/>
    <xf numFmtId="49" fontId="0" fillId="0" borderId="0" xfId="1" applyNumberFormat="1" applyFont="1" applyAlignment="1"/>
    <xf numFmtId="49" fontId="5" fillId="0" borderId="0" xfId="1" applyNumberFormat="1" applyFont="1" applyAlignment="1"/>
    <xf numFmtId="0" fontId="3" fillId="0" borderId="6" xfId="1" applyFont="1" applyFill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0" fillId="5" borderId="0" xfId="1" applyFont="1" applyFill="1" applyBorder="1"/>
    <xf numFmtId="0" fontId="16" fillId="2" borderId="11" xfId="1" applyFont="1" applyFill="1" applyBorder="1"/>
    <xf numFmtId="4" fontId="3" fillId="0" borderId="13" xfId="1" applyNumberFormat="1" applyFont="1" applyFill="1" applyBorder="1" applyAlignment="1">
      <alignment horizontal="right" vertical="center"/>
    </xf>
    <xf numFmtId="181" fontId="0" fillId="4" borderId="20" xfId="1" applyNumberFormat="1" applyFont="1" applyFill="1" applyBorder="1"/>
    <xf numFmtId="10" fontId="0" fillId="4" borderId="21" xfId="17" applyNumberFormat="1" applyFont="1" applyFill="1" applyBorder="1"/>
    <xf numFmtId="2" fontId="20" fillId="5" borderId="26" xfId="1" applyNumberFormat="1" applyFont="1" applyFill="1" applyBorder="1" applyAlignment="1">
      <alignment horizontal="center"/>
    </xf>
    <xf numFmtId="0" fontId="20" fillId="5" borderId="27" xfId="1" applyFont="1" applyFill="1" applyBorder="1" applyAlignment="1">
      <alignment horizontal="center"/>
    </xf>
    <xf numFmtId="0" fontId="20" fillId="5" borderId="28" xfId="1" applyFont="1" applyFill="1" applyBorder="1" applyAlignment="1">
      <alignment horizontal="center"/>
    </xf>
    <xf numFmtId="181" fontId="5" fillId="5" borderId="20" xfId="1" applyNumberFormat="1" applyFont="1" applyFill="1" applyBorder="1"/>
    <xf numFmtId="10" fontId="5" fillId="5" borderId="21" xfId="1" applyNumberFormat="1" applyFont="1" applyFill="1" applyBorder="1"/>
    <xf numFmtId="181" fontId="5" fillId="5" borderId="22" xfId="1" applyNumberFormat="1" applyFont="1" applyFill="1" applyBorder="1"/>
    <xf numFmtId="0" fontId="0" fillId="5" borderId="23" xfId="1" applyFont="1" applyFill="1" applyBorder="1"/>
    <xf numFmtId="10" fontId="5" fillId="5" borderId="24" xfId="17" applyNumberFormat="1" applyFont="1" applyFill="1" applyBorder="1"/>
    <xf numFmtId="0" fontId="16" fillId="0" borderId="12" xfId="1" applyFont="1" applyFill="1" applyBorder="1"/>
    <xf numFmtId="0" fontId="16" fillId="0" borderId="13" xfId="1" applyFont="1" applyFill="1" applyBorder="1"/>
    <xf numFmtId="0" fontId="16" fillId="0" borderId="15" xfId="1" applyFont="1" applyFill="1" applyBorder="1"/>
    <xf numFmtId="0" fontId="0" fillId="0" borderId="5" xfId="1" applyFont="1" applyFill="1" applyBorder="1"/>
    <xf numFmtId="0" fontId="5" fillId="5" borderId="17" xfId="1" applyFont="1" applyFill="1" applyBorder="1" applyAlignment="1">
      <alignment horizontal="center"/>
    </xf>
    <xf numFmtId="0" fontId="5" fillId="5" borderId="18" xfId="1" applyFont="1" applyFill="1" applyBorder="1" applyAlignment="1">
      <alignment horizontal="center"/>
    </xf>
    <xf numFmtId="0" fontId="5" fillId="5" borderId="19" xfId="1" applyFont="1" applyFill="1" applyBorder="1" applyAlignment="1">
      <alignment horizontal="center"/>
    </xf>
    <xf numFmtId="0" fontId="5" fillId="5" borderId="26" xfId="1" applyFont="1" applyFill="1" applyBorder="1"/>
    <xf numFmtId="0" fontId="0" fillId="5" borderId="27" xfId="1" applyFont="1" applyFill="1" applyBorder="1"/>
    <xf numFmtId="10" fontId="5" fillId="5" borderId="28" xfId="1" applyNumberFormat="1" applyFont="1" applyFill="1" applyBorder="1"/>
    <xf numFmtId="0" fontId="5" fillId="5" borderId="23" xfId="1" applyFont="1" applyFill="1" applyBorder="1"/>
    <xf numFmtId="181" fontId="0" fillId="0" borderId="0" xfId="1" applyNumberFormat="1" applyFont="1" applyAlignment="1">
      <alignment wrapText="1"/>
    </xf>
    <xf numFmtId="181" fontId="5" fillId="0" borderId="0" xfId="1" applyNumberFormat="1" applyFont="1" applyAlignment="1">
      <alignment wrapText="1"/>
    </xf>
    <xf numFmtId="179" fontId="16" fillId="0" borderId="0" xfId="1" applyNumberFormat="1" applyFont="1"/>
    <xf numFmtId="9" fontId="0" fillId="0" borderId="0" xfId="1" applyNumberFormat="1" applyFont="1" applyFill="1"/>
    <xf numFmtId="4" fontId="3" fillId="0" borderId="11" xfId="1" applyNumberFormat="1" applyFont="1" applyBorder="1" applyAlignment="1">
      <alignment vertical="center"/>
    </xf>
    <xf numFmtId="179" fontId="16" fillId="2" borderId="11" xfId="1" applyNumberFormat="1" applyFont="1" applyFill="1" applyBorder="1"/>
    <xf numFmtId="14" fontId="0" fillId="0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0" fontId="27" fillId="0" borderId="11" xfId="5" applyFont="1" applyFill="1" applyBorder="1" applyAlignment="1">
      <alignment horizontal="right" wrapText="1"/>
    </xf>
    <xf numFmtId="0" fontId="16" fillId="2" borderId="0" xfId="1" applyFont="1" applyFill="1"/>
    <xf numFmtId="10" fontId="16" fillId="2" borderId="0" xfId="17" applyNumberFormat="1" applyFont="1" applyFill="1" applyBorder="1"/>
    <xf numFmtId="0" fontId="0" fillId="0" borderId="11" xfId="1" applyFont="1" applyBorder="1" applyAlignment="1">
      <alignment horizontal="center" vertical="center" wrapText="1"/>
    </xf>
    <xf numFmtId="179" fontId="16" fillId="2" borderId="0" xfId="15" applyNumberFormat="1" applyFill="1" applyBorder="1"/>
    <xf numFmtId="10" fontId="19" fillId="4" borderId="12" xfId="17" applyNumberFormat="1" applyFont="1" applyFill="1" applyBorder="1" applyAlignment="1">
      <alignment horizontal="center" vertical="center" wrapText="1"/>
    </xf>
    <xf numFmtId="181" fontId="16" fillId="0" borderId="0" xfId="1" applyNumberFormat="1" applyFont="1"/>
    <xf numFmtId="14" fontId="28" fillId="2" borderId="11" xfId="1" applyNumberFormat="1" applyFont="1" applyFill="1" applyBorder="1"/>
    <xf numFmtId="14" fontId="28" fillId="2" borderId="3" xfId="1" applyNumberFormat="1" applyFont="1" applyFill="1" applyBorder="1"/>
    <xf numFmtId="0" fontId="27" fillId="0" borderId="29" xfId="5" applyFont="1" applyFill="1" applyBorder="1" applyAlignment="1">
      <alignment horizontal="right" wrapText="1"/>
    </xf>
    <xf numFmtId="0" fontId="16" fillId="2" borderId="11" xfId="1" applyFont="1" applyFill="1" applyBorder="1" applyAlignment="1">
      <alignment horizontal="right"/>
    </xf>
    <xf numFmtId="0" fontId="27" fillId="0" borderId="30" xfId="5" applyFont="1" applyFill="1" applyBorder="1" applyAlignment="1">
      <alignment horizontal="right" wrapText="1"/>
    </xf>
    <xf numFmtId="166" fontId="0" fillId="0" borderId="0" xfId="1" applyNumberFormat="1" applyFont="1" applyBorder="1"/>
    <xf numFmtId="165" fontId="0" fillId="0" borderId="0" xfId="1" applyNumberFormat="1" applyFont="1"/>
    <xf numFmtId="0" fontId="0" fillId="3" borderId="9" xfId="1" applyFont="1" applyFill="1" applyBorder="1" applyAlignment="1">
      <alignment horizontal="center"/>
    </xf>
    <xf numFmtId="174" fontId="5" fillId="0" borderId="0" xfId="1" applyNumberFormat="1" applyFont="1"/>
    <xf numFmtId="0" fontId="29" fillId="0" borderId="0" xfId="1" applyFont="1"/>
    <xf numFmtId="4" fontId="0" fillId="0" borderId="11" xfId="1" applyNumberFormat="1" applyFont="1" applyFill="1" applyBorder="1"/>
    <xf numFmtId="4" fontId="3" fillId="0" borderId="11" xfId="1" applyNumberFormat="1" applyFont="1" applyFill="1" applyBorder="1" applyAlignment="1">
      <alignment vertical="center"/>
    </xf>
    <xf numFmtId="183" fontId="0" fillId="2" borderId="0" xfId="1" applyNumberFormat="1" applyFont="1" applyFill="1" applyBorder="1"/>
    <xf numFmtId="4" fontId="0" fillId="0" borderId="0" xfId="0" applyNumberFormat="1"/>
    <xf numFmtId="0" fontId="0" fillId="0" borderId="10" xfId="0" applyBorder="1"/>
    <xf numFmtId="10" fontId="0" fillId="0" borderId="31" xfId="17" applyNumberFormat="1" applyFont="1" applyBorder="1"/>
    <xf numFmtId="0" fontId="0" fillId="0" borderId="0" xfId="0" applyBorder="1"/>
    <xf numFmtId="0" fontId="19" fillId="4" borderId="11" xfId="1" applyFont="1" applyFill="1" applyBorder="1" applyAlignment="1">
      <alignment horizontal="center" vertical="center"/>
    </xf>
    <xf numFmtId="0" fontId="19" fillId="4" borderId="12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vertical="top"/>
    </xf>
    <xf numFmtId="0" fontId="2" fillId="5" borderId="10" xfId="1" applyFont="1" applyFill="1" applyBorder="1" applyAlignment="1">
      <alignment vertical="top"/>
    </xf>
    <xf numFmtId="0" fontId="3" fillId="0" borderId="32" xfId="1" applyFont="1" applyBorder="1"/>
    <xf numFmtId="4" fontId="0" fillId="0" borderId="33" xfId="1" applyNumberFormat="1" applyFont="1" applyBorder="1" applyAlignment="1">
      <alignment horizontal="right"/>
    </xf>
    <xf numFmtId="2" fontId="0" fillId="0" borderId="33" xfId="1" applyNumberFormat="1" applyFont="1" applyBorder="1"/>
    <xf numFmtId="10" fontId="0" fillId="0" borderId="33" xfId="17" applyNumberFormat="1" applyFont="1" applyBorder="1" applyAlignment="1">
      <alignment horizontal="right"/>
    </xf>
    <xf numFmtId="174" fontId="0" fillId="0" borderId="34" xfId="17" applyNumberFormat="1" applyFont="1" applyBorder="1" applyAlignment="1">
      <alignment horizontal="right"/>
    </xf>
    <xf numFmtId="0" fontId="3" fillId="0" borderId="35" xfId="1" applyFont="1" applyBorder="1"/>
    <xf numFmtId="4" fontId="0" fillId="0" borderId="36" xfId="1" applyNumberFormat="1" applyFont="1" applyBorder="1" applyAlignment="1">
      <alignment horizontal="right"/>
    </xf>
    <xf numFmtId="2" fontId="0" fillId="0" borderId="36" xfId="1" applyNumberFormat="1" applyFont="1" applyBorder="1"/>
    <xf numFmtId="10" fontId="0" fillId="0" borderId="36" xfId="17" applyNumberFormat="1" applyFont="1" applyBorder="1" applyAlignment="1">
      <alignment horizontal="right"/>
    </xf>
    <xf numFmtId="174" fontId="0" fillId="0" borderId="31" xfId="17" applyNumberFormat="1" applyFont="1" applyBorder="1" applyAlignment="1">
      <alignment horizontal="right"/>
    </xf>
    <xf numFmtId="0" fontId="3" fillId="0" borderId="37" xfId="1" applyFont="1" applyBorder="1"/>
    <xf numFmtId="4" fontId="0" fillId="0" borderId="38" xfId="1" applyNumberFormat="1" applyFont="1" applyBorder="1" applyAlignment="1">
      <alignment horizontal="right"/>
    </xf>
    <xf numFmtId="2" fontId="0" fillId="0" borderId="38" xfId="1" applyNumberFormat="1" applyFont="1" applyBorder="1"/>
    <xf numFmtId="10" fontId="0" fillId="0" borderId="38" xfId="17" applyNumberFormat="1" applyFont="1" applyBorder="1" applyAlignment="1">
      <alignment horizontal="right"/>
    </xf>
    <xf numFmtId="174" fontId="0" fillId="0" borderId="39" xfId="17" applyNumberFormat="1" applyFont="1" applyBorder="1" applyAlignment="1">
      <alignment horizontal="right"/>
    </xf>
    <xf numFmtId="0" fontId="19" fillId="4" borderId="11" xfId="1" applyFont="1" applyFill="1" applyBorder="1" applyAlignment="1">
      <alignment horizontal="center" vertical="center" wrapText="1"/>
    </xf>
    <xf numFmtId="0" fontId="12" fillId="0" borderId="32" xfId="1" applyFont="1" applyBorder="1"/>
    <xf numFmtId="2" fontId="19" fillId="0" borderId="33" xfId="1" applyNumberFormat="1" applyFont="1" applyFill="1" applyBorder="1" applyAlignment="1">
      <alignment horizontal="right"/>
    </xf>
    <xf numFmtId="10" fontId="0" fillId="0" borderId="34" xfId="17" applyNumberFormat="1" applyFont="1" applyBorder="1"/>
    <xf numFmtId="0" fontId="12" fillId="0" borderId="35" xfId="1" applyFont="1" applyBorder="1"/>
    <xf numFmtId="2" fontId="19" fillId="0" borderId="36" xfId="1" applyNumberFormat="1" applyFont="1" applyFill="1" applyBorder="1" applyAlignment="1">
      <alignment horizontal="right"/>
    </xf>
    <xf numFmtId="0" fontId="12" fillId="0" borderId="35" xfId="12" applyFont="1" applyFill="1" applyBorder="1"/>
    <xf numFmtId="10" fontId="0" fillId="0" borderId="31" xfId="17" applyNumberFormat="1" applyFont="1" applyFill="1" applyBorder="1"/>
    <xf numFmtId="0" fontId="12" fillId="0" borderId="35" xfId="1" applyFont="1" applyFill="1" applyBorder="1"/>
    <xf numFmtId="0" fontId="12" fillId="0" borderId="37" xfId="1" applyFont="1" applyBorder="1"/>
    <xf numFmtId="2" fontId="19" fillId="0" borderId="38" xfId="1" applyNumberFormat="1" applyFont="1" applyFill="1" applyBorder="1" applyAlignment="1">
      <alignment horizontal="right"/>
    </xf>
    <xf numFmtId="10" fontId="0" fillId="0" borderId="39" xfId="17" applyNumberFormat="1" applyFont="1" applyFill="1" applyBorder="1"/>
    <xf numFmtId="0" fontId="0" fillId="0" borderId="35" xfId="0" applyBorder="1" applyAlignment="1">
      <alignment horizontal="center" wrapText="1"/>
    </xf>
    <xf numFmtId="10" fontId="0" fillId="0" borderId="31" xfId="17" applyNumberFormat="1" applyFont="1" applyBorder="1" applyAlignment="1">
      <alignment horizontal="right" wrapText="1"/>
    </xf>
    <xf numFmtId="0" fontId="0" fillId="2" borderId="37" xfId="0" applyFont="1" applyFill="1" applyBorder="1" applyAlignment="1">
      <alignment horizontal="center" wrapText="1"/>
    </xf>
    <xf numFmtId="10" fontId="0" fillId="2" borderId="39" xfId="0" applyNumberFormat="1" applyFont="1" applyFill="1" applyBorder="1" applyAlignment="1">
      <alignment horizontal="right" vertical="center" wrapText="1"/>
    </xf>
    <xf numFmtId="10" fontId="0" fillId="0" borderId="0" xfId="0" applyNumberFormat="1"/>
    <xf numFmtId="10" fontId="5" fillId="0" borderId="10" xfId="17" applyNumberFormat="1" applyFont="1" applyBorder="1"/>
    <xf numFmtId="0" fontId="0" fillId="0" borderId="15" xfId="0" applyBorder="1"/>
    <xf numFmtId="10" fontId="5" fillId="0" borderId="11" xfId="17" applyNumberFormat="1" applyFont="1" applyFill="1" applyBorder="1" applyAlignment="1">
      <alignment horizontal="center"/>
    </xf>
    <xf numFmtId="2" fontId="16" fillId="0" borderId="13" xfId="1" applyNumberFormat="1" applyFont="1" applyFill="1" applyBorder="1"/>
    <xf numFmtId="4" fontId="5" fillId="0" borderId="7" xfId="1" applyNumberFormat="1" applyFont="1" applyBorder="1"/>
    <xf numFmtId="0" fontId="5" fillId="0" borderId="0" xfId="0" applyFont="1"/>
    <xf numFmtId="10" fontId="0" fillId="0" borderId="0" xfId="0" applyNumberFormat="1" applyBorder="1"/>
    <xf numFmtId="0" fontId="0" fillId="6" borderId="0" xfId="0" applyFill="1"/>
    <xf numFmtId="0" fontId="0" fillId="0" borderId="0" xfId="0" applyFill="1"/>
    <xf numFmtId="0" fontId="19" fillId="6" borderId="0" xfId="1" applyFont="1" applyFill="1" applyBorder="1"/>
    <xf numFmtId="0" fontId="0" fillId="0" borderId="11" xfId="0" applyBorder="1"/>
    <xf numFmtId="0" fontId="5" fillId="0" borderId="0" xfId="1" applyFont="1" applyBorder="1"/>
    <xf numFmtId="10" fontId="5" fillId="0" borderId="0" xfId="1" applyNumberFormat="1" applyFont="1" applyBorder="1"/>
    <xf numFmtId="166" fontId="1" fillId="0" borderId="11" xfId="12" applyNumberFormat="1" applyFont="1" applyFill="1" applyBorder="1" applyAlignment="1">
      <alignment horizontal="right"/>
    </xf>
    <xf numFmtId="2" fontId="0" fillId="0" borderId="11" xfId="1" applyNumberFormat="1" applyFont="1" applyFill="1" applyBorder="1"/>
    <xf numFmtId="10" fontId="5" fillId="0" borderId="0" xfId="17" applyNumberFormat="1" applyFont="1"/>
    <xf numFmtId="10" fontId="5" fillId="0" borderId="0" xfId="0" applyNumberFormat="1" applyFont="1"/>
    <xf numFmtId="171" fontId="0" fillId="0" borderId="0" xfId="0" applyNumberFormat="1"/>
    <xf numFmtId="166" fontId="0" fillId="0" borderId="0" xfId="0" applyNumberFormat="1"/>
    <xf numFmtId="2" fontId="0" fillId="0" borderId="12" xfId="1" applyNumberFormat="1" applyFont="1" applyFill="1" applyBorder="1"/>
    <xf numFmtId="171" fontId="34" fillId="0" borderId="11" xfId="0" applyNumberFormat="1" applyFont="1" applyBorder="1"/>
    <xf numFmtId="2" fontId="34" fillId="0" borderId="11" xfId="0" applyNumberFormat="1" applyFont="1" applyBorder="1"/>
    <xf numFmtId="2" fontId="19" fillId="0" borderId="0" xfId="1" applyNumberFormat="1" applyFont="1" applyFill="1" applyBorder="1" applyAlignment="1">
      <alignment horizontal="right"/>
    </xf>
    <xf numFmtId="0" fontId="34" fillId="0" borderId="11" xfId="0" applyFont="1" applyBorder="1"/>
    <xf numFmtId="0" fontId="34" fillId="0" borderId="11" xfId="0" applyFont="1" applyFill="1" applyBorder="1"/>
    <xf numFmtId="0" fontId="30" fillId="0" borderId="0" xfId="0" applyFont="1" applyBorder="1" applyAlignment="1">
      <alignment horizontal="left" wrapText="1" indent="1"/>
    </xf>
    <xf numFmtId="0" fontId="0" fillId="2" borderId="11" xfId="0" applyFill="1" applyBorder="1"/>
    <xf numFmtId="2" fontId="0" fillId="0" borderId="0" xfId="0" applyNumberFormat="1"/>
    <xf numFmtId="10" fontId="19" fillId="0" borderId="0" xfId="17" applyNumberFormat="1" applyFont="1" applyBorder="1"/>
    <xf numFmtId="14" fontId="0" fillId="0" borderId="11" xfId="0" applyNumberFormat="1" applyBorder="1"/>
    <xf numFmtId="172" fontId="3" fillId="0" borderId="9" xfId="1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9" fontId="0" fillId="0" borderId="12" xfId="0" applyNumberFormat="1" applyBorder="1"/>
    <xf numFmtId="9" fontId="0" fillId="0" borderId="13" xfId="0" applyNumberFormat="1" applyBorder="1"/>
    <xf numFmtId="9" fontId="0" fillId="0" borderId="15" xfId="0" applyNumberFormat="1" applyBorder="1"/>
    <xf numFmtId="0" fontId="16" fillId="0" borderId="0" xfId="11" applyFill="1" applyBorder="1"/>
    <xf numFmtId="0" fontId="19" fillId="2" borderId="0" xfId="1" applyFont="1" applyFill="1" applyBorder="1"/>
    <xf numFmtId="0" fontId="0" fillId="2" borderId="0" xfId="0" applyFill="1"/>
    <xf numFmtId="10" fontId="19" fillId="2" borderId="0" xfId="17" applyNumberFormat="1" applyFont="1" applyFill="1"/>
    <xf numFmtId="9" fontId="0" fillId="0" borderId="8" xfId="0" applyNumberFormat="1" applyBorder="1"/>
    <xf numFmtId="9" fontId="0" fillId="0" borderId="16" xfId="0" applyNumberFormat="1" applyBorder="1"/>
    <xf numFmtId="9" fontId="0" fillId="0" borderId="14" xfId="0" applyNumberFormat="1" applyBorder="1"/>
    <xf numFmtId="0" fontId="0" fillId="0" borderId="12" xfId="0" applyBorder="1" applyAlignment="1">
      <alignment horizontal="center"/>
    </xf>
    <xf numFmtId="10" fontId="0" fillId="0" borderId="12" xfId="0" applyNumberFormat="1" applyBorder="1"/>
    <xf numFmtId="10" fontId="0" fillId="0" borderId="13" xfId="0" applyNumberFormat="1" applyBorder="1"/>
    <xf numFmtId="10" fontId="0" fillId="0" borderId="15" xfId="0" applyNumberFormat="1" applyBorder="1"/>
    <xf numFmtId="0" fontId="0" fillId="0" borderId="13" xfId="0" applyBorder="1"/>
    <xf numFmtId="2" fontId="16" fillId="0" borderId="12" xfId="1" applyNumberFormat="1" applyFont="1" applyFill="1" applyBorder="1"/>
    <xf numFmtId="2" fontId="16" fillId="2" borderId="11" xfId="1" applyNumberFormat="1" applyFont="1" applyFill="1" applyBorder="1"/>
    <xf numFmtId="171" fontId="37" fillId="0" borderId="11" xfId="0" applyNumberFormat="1" applyFont="1" applyBorder="1"/>
    <xf numFmtId="10" fontId="2" fillId="0" borderId="7" xfId="17" applyNumberFormat="1" applyFont="1" applyFill="1" applyBorder="1" applyAlignment="1">
      <alignment horizontal="center" vertical="center" wrapText="1"/>
    </xf>
    <xf numFmtId="0" fontId="7" fillId="0" borderId="12" xfId="12" applyFont="1" applyBorder="1"/>
    <xf numFmtId="0" fontId="0" fillId="0" borderId="9" xfId="0" applyBorder="1"/>
    <xf numFmtId="4" fontId="3" fillId="0" borderId="9" xfId="1" applyNumberFormat="1" applyFont="1" applyFill="1" applyBorder="1" applyAlignment="1">
      <alignment horizontal="right" vertical="center"/>
    </xf>
    <xf numFmtId="4" fontId="0" fillId="2" borderId="0" xfId="1" applyNumberFormat="1" applyFont="1" applyFill="1" applyAlignment="1">
      <alignment horizontal="right"/>
    </xf>
    <xf numFmtId="4" fontId="0" fillId="0" borderId="0" xfId="0" applyNumberFormat="1" applyAlignment="1">
      <alignment horizontal="right"/>
    </xf>
    <xf numFmtId="0" fontId="40" fillId="0" borderId="0" xfId="0" applyFont="1" applyBorder="1"/>
    <xf numFmtId="179" fontId="0" fillId="0" borderId="0" xfId="0" applyNumberFormat="1" applyBorder="1"/>
    <xf numFmtId="10" fontId="0" fillId="0" borderId="11" xfId="17" applyNumberFormat="1" applyFont="1" applyBorder="1" applyAlignment="1">
      <alignment horizontal="center"/>
    </xf>
    <xf numFmtId="0" fontId="0" fillId="0" borderId="11" xfId="0" applyBorder="1" applyAlignment="1">
      <alignment horizontal="right"/>
    </xf>
    <xf numFmtId="0" fontId="2" fillId="6" borderId="12" xfId="1" applyFont="1" applyFill="1" applyBorder="1" applyAlignment="1">
      <alignment horizontal="center" vertical="center" wrapText="1"/>
    </xf>
    <xf numFmtId="14" fontId="2" fillId="6" borderId="15" xfId="1" applyNumberFormat="1" applyFont="1" applyFill="1" applyBorder="1" applyAlignment="1">
      <alignment horizontal="center" vertical="center"/>
    </xf>
    <xf numFmtId="10" fontId="0" fillId="0" borderId="0" xfId="1" applyNumberFormat="1" applyFont="1" applyFill="1" applyBorder="1"/>
    <xf numFmtId="10" fontId="16" fillId="2" borderId="13" xfId="2" applyNumberFormat="1" applyFont="1" applyFill="1" applyBorder="1" applyAlignment="1">
      <alignment horizontal="center"/>
    </xf>
    <xf numFmtId="10" fontId="16" fillId="0" borderId="13" xfId="2" applyNumberFormat="1" applyFont="1" applyFill="1" applyBorder="1" applyAlignment="1">
      <alignment horizontal="center"/>
    </xf>
    <xf numFmtId="2" fontId="16" fillId="0" borderId="11" xfId="1" applyNumberFormat="1" applyFont="1" applyFill="1" applyBorder="1"/>
    <xf numFmtId="181" fontId="0" fillId="0" borderId="11" xfId="1" applyNumberFormat="1" applyFont="1" applyBorder="1"/>
    <xf numFmtId="0" fontId="5" fillId="0" borderId="11" xfId="0" applyFont="1" applyBorder="1"/>
    <xf numFmtId="181" fontId="3" fillId="0" borderId="15" xfId="1" applyNumberFormat="1" applyFont="1" applyBorder="1"/>
    <xf numFmtId="0" fontId="40" fillId="0" borderId="11" xfId="0" applyFont="1" applyBorder="1"/>
    <xf numFmtId="9" fontId="0" fillId="0" borderId="11" xfId="0" applyNumberFormat="1" applyBorder="1"/>
    <xf numFmtId="10" fontId="0" fillId="0" borderId="11" xfId="0" applyNumberFormat="1" applyBorder="1"/>
    <xf numFmtId="0" fontId="4" fillId="7" borderId="13" xfId="3" applyFill="1" applyBorder="1" applyAlignment="1" applyProtection="1">
      <alignment horizontal="left" vertical="center" wrapText="1"/>
    </xf>
    <xf numFmtId="0" fontId="4" fillId="7" borderId="13" xfId="3" applyFill="1" applyBorder="1" applyAlignment="1" applyProtection="1">
      <alignment horizontal="left"/>
    </xf>
    <xf numFmtId="0" fontId="0" fillId="0" borderId="12" xfId="0" applyBorder="1"/>
    <xf numFmtId="15" fontId="40" fillId="0" borderId="11" xfId="0" applyNumberFormat="1" applyFont="1" applyBorder="1"/>
    <xf numFmtId="15" fontId="40" fillId="0" borderId="3" xfId="0" applyNumberFormat="1" applyFont="1" applyBorder="1"/>
    <xf numFmtId="166" fontId="0" fillId="0" borderId="11" xfId="0" applyNumberFormat="1" applyBorder="1"/>
    <xf numFmtId="166" fontId="40" fillId="0" borderId="11" xfId="0" applyNumberFormat="1" applyFont="1" applyBorder="1"/>
    <xf numFmtId="171" fontId="40" fillId="0" borderId="11" xfId="0" applyNumberFormat="1" applyFont="1" applyBorder="1"/>
    <xf numFmtId="0" fontId="47" fillId="0" borderId="11" xfId="0" applyFont="1" applyBorder="1"/>
    <xf numFmtId="0" fontId="0" fillId="0" borderId="2" xfId="0" applyBorder="1"/>
    <xf numFmtId="10" fontId="5" fillId="0" borderId="14" xfId="17" applyNumberFormat="1" applyFont="1" applyBorder="1" applyAlignment="1">
      <alignment horizontal="center"/>
    </xf>
    <xf numFmtId="2" fontId="7" fillId="0" borderId="11" xfId="1" applyNumberFormat="1" applyFont="1" applyFill="1" applyBorder="1"/>
    <xf numFmtId="10" fontId="19" fillId="7" borderId="2" xfId="17" applyNumberFormat="1" applyFont="1" applyFill="1" applyBorder="1"/>
    <xf numFmtId="2" fontId="0" fillId="0" borderId="0" xfId="12" applyNumberFormat="1" applyFont="1" applyFill="1" applyBorder="1"/>
    <xf numFmtId="0" fontId="0" fillId="0" borderId="0" xfId="12" applyFont="1" applyFill="1" applyBorder="1"/>
    <xf numFmtId="10" fontId="0" fillId="0" borderId="11" xfId="17" applyNumberFormat="1" applyFont="1" applyBorder="1" applyAlignment="1">
      <alignment horizontal="left" vertical="center" wrapText="1"/>
    </xf>
    <xf numFmtId="0" fontId="19" fillId="7" borderId="12" xfId="1" applyFont="1" applyFill="1" applyBorder="1" applyAlignment="1">
      <alignment horizontal="center"/>
    </xf>
    <xf numFmtId="0" fontId="19" fillId="7" borderId="11" xfId="1" applyFont="1" applyFill="1" applyBorder="1" applyAlignment="1">
      <alignment horizontal="center" vertical="center" wrapText="1"/>
    </xf>
    <xf numFmtId="10" fontId="19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/>
    <xf numFmtId="10" fontId="20" fillId="5" borderId="13" xfId="17" applyNumberFormat="1" applyFont="1" applyFill="1" applyBorder="1" applyAlignment="1">
      <alignment horizontal="center"/>
    </xf>
    <xf numFmtId="0" fontId="19" fillId="5" borderId="13" xfId="1" applyFont="1" applyFill="1" applyBorder="1"/>
    <xf numFmtId="0" fontId="19" fillId="7" borderId="12" xfId="1" applyFont="1" applyFill="1" applyBorder="1" applyAlignment="1">
      <alignment horizontal="center" vertical="center" wrapText="1"/>
    </xf>
    <xf numFmtId="0" fontId="3" fillId="7" borderId="3" xfId="1" applyFont="1" applyFill="1" applyBorder="1"/>
    <xf numFmtId="10" fontId="19" fillId="5" borderId="5" xfId="17" applyNumberFormat="1" applyFont="1" applyFill="1" applyBorder="1"/>
    <xf numFmtId="10" fontId="19" fillId="5" borderId="0" xfId="17" applyNumberFormat="1" applyFont="1" applyFill="1" applyBorder="1"/>
    <xf numFmtId="0" fontId="0" fillId="0" borderId="0" xfId="1" applyFont="1" applyFill="1" applyBorder="1" applyAlignment="1">
      <alignment horizontal="center"/>
    </xf>
    <xf numFmtId="0" fontId="3" fillId="0" borderId="0" xfId="1" applyFont="1" applyFill="1"/>
    <xf numFmtId="0" fontId="19" fillId="0" borderId="0" xfId="1" applyFont="1" applyFill="1"/>
    <xf numFmtId="0" fontId="19" fillId="0" borderId="13" xfId="1" applyFont="1" applyFill="1" applyBorder="1" applyAlignment="1">
      <alignment horizontal="center"/>
    </xf>
    <xf numFmtId="0" fontId="19" fillId="0" borderId="0" xfId="0" applyFont="1" applyFill="1"/>
    <xf numFmtId="0" fontId="7" fillId="0" borderId="0" xfId="16" applyFont="1" applyFill="1"/>
    <xf numFmtId="0" fontId="43" fillId="0" borderId="13" xfId="3" applyFont="1" applyFill="1" applyBorder="1" applyAlignment="1" applyProtection="1">
      <alignment horizontal="left" vertical="center" wrapText="1"/>
    </xf>
    <xf numFmtId="10" fontId="19" fillId="0" borderId="13" xfId="17" applyNumberFormat="1" applyFont="1" applyFill="1" applyBorder="1"/>
    <xf numFmtId="10" fontId="7" fillId="0" borderId="13" xfId="16" applyNumberFormat="1" applyFont="1" applyFill="1" applyBorder="1"/>
    <xf numFmtId="10" fontId="19" fillId="0" borderId="16" xfId="17" applyNumberFormat="1" applyFont="1" applyFill="1" applyBorder="1" applyAlignment="1">
      <alignment vertical="center"/>
    </xf>
    <xf numFmtId="10" fontId="2" fillId="2" borderId="0" xfId="1" applyNumberFormat="1" applyFont="1" applyFill="1" applyBorder="1"/>
    <xf numFmtId="10" fontId="2" fillId="2" borderId="0" xfId="17" applyNumberFormat="1" applyFont="1" applyFill="1" applyBorder="1"/>
    <xf numFmtId="10" fontId="2" fillId="2" borderId="11" xfId="1" applyNumberFormat="1" applyFont="1" applyFill="1" applyBorder="1"/>
    <xf numFmtId="0" fontId="0" fillId="0" borderId="2" xfId="0" applyNumberFormat="1" applyBorder="1"/>
    <xf numFmtId="0" fontId="0" fillId="0" borderId="11" xfId="0" applyNumberFormat="1" applyBorder="1"/>
    <xf numFmtId="0" fontId="0" fillId="0" borderId="2" xfId="0" applyNumberFormat="1" applyBorder="1" applyAlignment="1">
      <alignment horizontal="right"/>
    </xf>
    <xf numFmtId="10" fontId="5" fillId="0" borderId="11" xfId="0" applyNumberFormat="1" applyFont="1" applyBorder="1"/>
    <xf numFmtId="0" fontId="44" fillId="7" borderId="0" xfId="16" applyFont="1" applyFill="1"/>
    <xf numFmtId="0" fontId="4" fillId="7" borderId="13" xfId="3" applyFont="1" applyFill="1" applyBorder="1" applyAlignment="1" applyProtection="1">
      <alignment horizontal="left" vertical="center" wrapText="1"/>
    </xf>
    <xf numFmtId="0" fontId="6" fillId="7" borderId="13" xfId="1" applyFont="1" applyFill="1" applyBorder="1" applyAlignment="1">
      <alignment horizontal="center" vertical="center"/>
    </xf>
    <xf numFmtId="0" fontId="45" fillId="7" borderId="13" xfId="3" applyFont="1" applyFill="1" applyBorder="1" applyAlignment="1" applyProtection="1">
      <alignment horizontal="left" vertical="center" wrapText="1"/>
    </xf>
    <xf numFmtId="0" fontId="6" fillId="7" borderId="9" xfId="1" applyFont="1" applyFill="1" applyBorder="1" applyAlignment="1">
      <alignment horizontal="center" vertical="center"/>
    </xf>
    <xf numFmtId="0" fontId="44" fillId="7" borderId="9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/>
    </xf>
    <xf numFmtId="0" fontId="44" fillId="7" borderId="0" xfId="1" applyFont="1" applyFill="1" applyAlignment="1">
      <alignment horizontal="center"/>
    </xf>
    <xf numFmtId="0" fontId="17" fillId="7" borderId="0" xfId="1" applyFont="1" applyFill="1" applyAlignment="1">
      <alignment horizontal="center"/>
    </xf>
    <xf numFmtId="0" fontId="44" fillId="7" borderId="16" xfId="16" applyFont="1" applyFill="1" applyBorder="1"/>
    <xf numFmtId="0" fontId="4" fillId="7" borderId="16" xfId="3" applyFont="1" applyFill="1" applyBorder="1" applyAlignment="1" applyProtection="1"/>
    <xf numFmtId="0" fontId="4" fillId="7" borderId="16" xfId="3" applyFont="1" applyFill="1" applyBorder="1" applyAlignment="1" applyProtection="1">
      <alignment horizontal="left" vertical="center" wrapText="1"/>
    </xf>
    <xf numFmtId="0" fontId="44" fillId="7" borderId="0" xfId="16" applyFont="1" applyFill="1" applyAlignment="1">
      <alignment horizontal="center"/>
    </xf>
    <xf numFmtId="0" fontId="4" fillId="7" borderId="13" xfId="3" applyFont="1" applyFill="1" applyBorder="1" applyAlignment="1" applyProtection="1">
      <alignment horizontal="left"/>
    </xf>
    <xf numFmtId="0" fontId="17" fillId="7" borderId="9" xfId="1" applyFont="1" applyFill="1" applyBorder="1" applyAlignment="1">
      <alignment horizontal="center"/>
    </xf>
    <xf numFmtId="0" fontId="44" fillId="7" borderId="13" xfId="1" applyFont="1" applyFill="1" applyBorder="1" applyAlignment="1">
      <alignment horizontal="center"/>
    </xf>
    <xf numFmtId="0" fontId="44" fillId="7" borderId="0" xfId="1" applyFont="1" applyFill="1" applyBorder="1" applyAlignment="1">
      <alignment horizontal="center"/>
    </xf>
    <xf numFmtId="9" fontId="4" fillId="7" borderId="13" xfId="3" applyNumberFormat="1" applyFont="1" applyFill="1" applyBorder="1" applyAlignment="1" applyProtection="1">
      <alignment horizontal="left"/>
    </xf>
    <xf numFmtId="0" fontId="44" fillId="7" borderId="0" xfId="1" applyFont="1" applyFill="1"/>
    <xf numFmtId="0" fontId="44" fillId="7" borderId="0" xfId="1" applyFont="1" applyFill="1" applyBorder="1"/>
    <xf numFmtId="0" fontId="4" fillId="7" borderId="9" xfId="3" applyFont="1" applyFill="1" applyBorder="1" applyAlignment="1" applyProtection="1">
      <alignment horizontal="left" vertical="center" wrapText="1"/>
    </xf>
    <xf numFmtId="14" fontId="6" fillId="7" borderId="13" xfId="1" applyNumberFormat="1" applyFont="1" applyFill="1" applyBorder="1" applyAlignment="1">
      <alignment horizontal="center" vertical="center"/>
    </xf>
    <xf numFmtId="14" fontId="6" fillId="7" borderId="0" xfId="1" applyNumberFormat="1" applyFont="1" applyFill="1" applyBorder="1" applyAlignment="1">
      <alignment horizontal="center" vertical="center"/>
    </xf>
    <xf numFmtId="14" fontId="6" fillId="7" borderId="8" xfId="1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right" vertical="center"/>
    </xf>
    <xf numFmtId="4" fontId="6" fillId="7" borderId="13" xfId="1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right" vertical="center"/>
    </xf>
    <xf numFmtId="10" fontId="6" fillId="7" borderId="16" xfId="17" applyNumberFormat="1" applyFont="1" applyFill="1" applyBorder="1" applyAlignment="1">
      <alignment horizontal="right" vertical="center"/>
    </xf>
    <xf numFmtId="10" fontId="6" fillId="7" borderId="13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vertical="center"/>
    </xf>
    <xf numFmtId="10" fontId="6" fillId="7" borderId="16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right" vertical="center"/>
    </xf>
    <xf numFmtId="10" fontId="6" fillId="7" borderId="9" xfId="17" applyNumberFormat="1" applyFont="1" applyFill="1" applyBorder="1" applyAlignment="1">
      <alignment horizontal="center" vertical="center"/>
    </xf>
    <xf numFmtId="14" fontId="17" fillId="7" borderId="16" xfId="1" applyNumberFormat="1" applyFont="1" applyFill="1" applyBorder="1" applyAlignment="1">
      <alignment horizontal="center"/>
    </xf>
    <xf numFmtId="172" fontId="6" fillId="7" borderId="0" xfId="17" applyNumberFormat="1" applyFont="1" applyFill="1" applyBorder="1" applyAlignment="1">
      <alignment horizontal="center" vertical="center" wrapText="1"/>
    </xf>
    <xf numFmtId="0" fontId="6" fillId="7" borderId="0" xfId="1" applyFont="1" applyFill="1" applyAlignment="1">
      <alignment horizontal="center"/>
    </xf>
    <xf numFmtId="14" fontId="6" fillId="7" borderId="16" xfId="1" applyNumberFormat="1" applyFont="1" applyFill="1" applyBorder="1" applyAlignment="1">
      <alignment horizontal="center"/>
    </xf>
    <xf numFmtId="1" fontId="6" fillId="7" borderId="0" xfId="17" applyNumberFormat="1" applyFont="1" applyFill="1" applyBorder="1" applyAlignment="1">
      <alignment horizontal="center" vertical="center"/>
    </xf>
    <xf numFmtId="1" fontId="6" fillId="7" borderId="13" xfId="17" applyNumberFormat="1" applyFont="1" applyFill="1" applyBorder="1" applyAlignment="1">
      <alignment horizontal="center" vertical="center"/>
    </xf>
    <xf numFmtId="0" fontId="6" fillId="7" borderId="13" xfId="1" applyFont="1" applyFill="1" applyBorder="1" applyAlignment="1">
      <alignment horizontal="center"/>
    </xf>
    <xf numFmtId="0" fontId="6" fillId="7" borderId="16" xfId="1" applyFont="1" applyFill="1" applyBorder="1" applyAlignment="1">
      <alignment horizontal="center" vertical="center"/>
    </xf>
    <xf numFmtId="0" fontId="17" fillId="7" borderId="13" xfId="1" applyFont="1" applyFill="1" applyBorder="1" applyAlignment="1">
      <alignment horizontal="center"/>
    </xf>
    <xf numFmtId="169" fontId="6" fillId="7" borderId="16" xfId="17" applyNumberFormat="1" applyFont="1" applyFill="1" applyBorder="1" applyAlignment="1">
      <alignment horizontal="center" vertical="center"/>
    </xf>
    <xf numFmtId="169" fontId="6" fillId="7" borderId="13" xfId="17" applyNumberFormat="1" applyFont="1" applyFill="1" applyBorder="1" applyAlignment="1">
      <alignment horizontal="center" vertical="center"/>
    </xf>
    <xf numFmtId="10" fontId="17" fillId="7" borderId="16" xfId="1" applyNumberFormat="1" applyFont="1" applyFill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 vertical="center"/>
    </xf>
    <xf numFmtId="10" fontId="17" fillId="7" borderId="13" xfId="17" applyNumberFormat="1" applyFont="1" applyFill="1" applyBorder="1" applyAlignment="1">
      <alignment horizontal="center"/>
    </xf>
    <xf numFmtId="10" fontId="17" fillId="7" borderId="13" xfId="17" applyNumberFormat="1" applyFont="1" applyFill="1" applyBorder="1"/>
    <xf numFmtId="1" fontId="17" fillId="7" borderId="13" xfId="1" applyNumberFormat="1" applyFont="1" applyFill="1" applyBorder="1" applyAlignment="1">
      <alignment horizontal="center"/>
    </xf>
    <xf numFmtId="0" fontId="17" fillId="7" borderId="16" xfId="1" applyFont="1" applyFill="1" applyBorder="1" applyAlignment="1">
      <alignment horizontal="center"/>
    </xf>
    <xf numFmtId="2" fontId="17" fillId="7" borderId="13" xfId="1" applyNumberFormat="1" applyFont="1" applyFill="1" applyBorder="1"/>
    <xf numFmtId="0" fontId="17" fillId="7" borderId="0" xfId="1" applyFont="1" applyFill="1"/>
    <xf numFmtId="0" fontId="17" fillId="7" borderId="13" xfId="1" applyFont="1" applyFill="1" applyBorder="1"/>
    <xf numFmtId="1" fontId="17" fillId="7" borderId="13" xfId="1" applyNumberFormat="1" applyFont="1" applyFill="1" applyBorder="1"/>
    <xf numFmtId="0" fontId="17" fillId="7" borderId="0" xfId="1" applyFont="1" applyFill="1" applyBorder="1"/>
    <xf numFmtId="0" fontId="17" fillId="7" borderId="16" xfId="1" applyFont="1" applyFill="1" applyBorder="1"/>
    <xf numFmtId="14" fontId="17" fillId="7" borderId="16" xfId="1" applyNumberFormat="1" applyFont="1" applyFill="1" applyBorder="1" applyAlignment="1">
      <alignment horizontal="right"/>
    </xf>
    <xf numFmtId="14" fontId="6" fillId="7" borderId="9" xfId="1" applyNumberFormat="1" applyFont="1" applyFill="1" applyBorder="1" applyAlignment="1">
      <alignment horizontal="center" vertical="center"/>
    </xf>
    <xf numFmtId="10" fontId="17" fillId="7" borderId="16" xfId="17" applyNumberFormat="1" applyFont="1" applyFill="1" applyBorder="1"/>
    <xf numFmtId="14" fontId="6" fillId="7" borderId="13" xfId="1" applyNumberFormat="1" applyFont="1" applyFill="1" applyBorder="1" applyAlignment="1">
      <alignment horizontal="right" vertical="center"/>
    </xf>
    <xf numFmtId="10" fontId="17" fillId="7" borderId="0" xfId="17" applyNumberFormat="1" applyFont="1" applyFill="1"/>
    <xf numFmtId="9" fontId="17" fillId="7" borderId="0" xfId="17" applyFont="1" applyFill="1" applyAlignment="1">
      <alignment horizontal="center"/>
    </xf>
    <xf numFmtId="9" fontId="17" fillId="7" borderId="16" xfId="17" applyFont="1" applyFill="1" applyBorder="1" applyAlignment="1">
      <alignment horizontal="center"/>
    </xf>
    <xf numFmtId="14" fontId="6" fillId="7" borderId="0" xfId="1" applyNumberFormat="1" applyFont="1" applyFill="1" applyBorder="1" applyAlignment="1">
      <alignment horizontal="right" vertical="center"/>
    </xf>
    <xf numFmtId="0" fontId="17" fillId="7" borderId="0" xfId="1" applyFont="1" applyFill="1" applyBorder="1" applyAlignment="1">
      <alignment horizontal="center"/>
    </xf>
    <xf numFmtId="14" fontId="6" fillId="7" borderId="9" xfId="1" applyNumberFormat="1" applyFont="1" applyFill="1" applyBorder="1" applyAlignment="1">
      <alignment horizontal="right" vertical="center"/>
    </xf>
    <xf numFmtId="2" fontId="17" fillId="7" borderId="9" xfId="1" applyNumberFormat="1" applyFont="1" applyFill="1" applyBorder="1"/>
    <xf numFmtId="10" fontId="17" fillId="7" borderId="9" xfId="17" applyNumberFormat="1" applyFont="1" applyFill="1" applyBorder="1" applyAlignment="1">
      <alignment horizontal="center"/>
    </xf>
    <xf numFmtId="1" fontId="17" fillId="7" borderId="13" xfId="17" applyNumberFormat="1" applyFont="1" applyFill="1" applyBorder="1" applyAlignment="1">
      <alignment horizontal="center"/>
    </xf>
    <xf numFmtId="10" fontId="17" fillId="7" borderId="0" xfId="17" applyNumberFormat="1" applyFont="1" applyFill="1" applyBorder="1" applyAlignment="1">
      <alignment horizontal="center"/>
    </xf>
    <xf numFmtId="10" fontId="17" fillId="7" borderId="16" xfId="17" applyNumberFormat="1" applyFont="1" applyFill="1" applyBorder="1" applyAlignment="1">
      <alignment horizontal="center"/>
    </xf>
    <xf numFmtId="10" fontId="6" fillId="7" borderId="9" xfId="17" applyNumberFormat="1" applyFont="1" applyFill="1" applyBorder="1" applyAlignment="1">
      <alignment horizontal="right" vertical="center"/>
    </xf>
    <xf numFmtId="10" fontId="17" fillId="7" borderId="9" xfId="17" applyNumberFormat="1" applyFont="1" applyFill="1" applyBorder="1" applyAlignment="1">
      <alignment horizontal="right"/>
    </xf>
    <xf numFmtId="14" fontId="17" fillId="7" borderId="9" xfId="1" applyNumberFormat="1" applyFont="1" applyFill="1" applyBorder="1" applyAlignment="1">
      <alignment horizontal="right"/>
    </xf>
    <xf numFmtId="1" fontId="17" fillId="7" borderId="16" xfId="17" applyNumberFormat="1" applyFont="1" applyFill="1" applyBorder="1" applyAlignment="1">
      <alignment horizontal="center"/>
    </xf>
    <xf numFmtId="14" fontId="17" fillId="7" borderId="13" xfId="1" applyNumberFormat="1" applyFont="1" applyFill="1" applyBorder="1" applyAlignment="1">
      <alignment horizontal="right"/>
    </xf>
    <xf numFmtId="10" fontId="17" fillId="7" borderId="0" xfId="17" applyNumberFormat="1" applyFont="1" applyFill="1" applyBorder="1" applyAlignment="1">
      <alignment horizontal="right"/>
    </xf>
    <xf numFmtId="10" fontId="17" fillId="7" borderId="13" xfId="17" applyNumberFormat="1" applyFont="1" applyFill="1" applyBorder="1" applyAlignment="1">
      <alignment horizontal="right"/>
    </xf>
    <xf numFmtId="2" fontId="17" fillId="7" borderId="0" xfId="1" applyNumberFormat="1" applyFont="1" applyFill="1" applyBorder="1"/>
    <xf numFmtId="1" fontId="17" fillId="7" borderId="0" xfId="17" applyNumberFormat="1" applyFont="1" applyFill="1" applyBorder="1" applyAlignment="1">
      <alignment horizontal="center"/>
    </xf>
    <xf numFmtId="2" fontId="17" fillId="7" borderId="16" xfId="1" applyNumberFormat="1" applyFont="1" applyFill="1" applyBorder="1"/>
    <xf numFmtId="9" fontId="17" fillId="7" borderId="16" xfId="1" applyNumberFormat="1" applyFont="1" applyFill="1" applyBorder="1" applyAlignment="1">
      <alignment horizontal="center"/>
    </xf>
    <xf numFmtId="164" fontId="17" fillId="7" borderId="16" xfId="2" applyFont="1" applyFill="1" applyBorder="1" applyAlignment="1">
      <alignment horizontal="center"/>
    </xf>
    <xf numFmtId="14" fontId="17" fillId="7" borderId="16" xfId="1" applyNumberFormat="1" applyFont="1" applyFill="1" applyBorder="1"/>
    <xf numFmtId="10" fontId="17" fillId="7" borderId="13" xfId="1" applyNumberFormat="1" applyFont="1" applyFill="1" applyBorder="1" applyAlignment="1">
      <alignment horizontal="center"/>
    </xf>
    <xf numFmtId="14" fontId="3" fillId="0" borderId="16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 applyAlignment="1">
      <alignment horizontal="right"/>
    </xf>
    <xf numFmtId="14" fontId="17" fillId="7" borderId="13" xfId="1" applyNumberFormat="1" applyFont="1" applyFill="1" applyBorder="1"/>
    <xf numFmtId="49" fontId="17" fillId="7" borderId="0" xfId="17" applyNumberFormat="1" applyFont="1" applyFill="1" applyBorder="1" applyAlignment="1">
      <alignment horizontal="center"/>
    </xf>
    <xf numFmtId="164" fontId="0" fillId="0" borderId="13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/>
    </xf>
    <xf numFmtId="164" fontId="0" fillId="0" borderId="0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 vertical="center"/>
    </xf>
    <xf numFmtId="9" fontId="6" fillId="7" borderId="0" xfId="17" applyNumberFormat="1" applyFont="1" applyFill="1" applyBorder="1" applyAlignment="1">
      <alignment horizontal="center" vertical="center"/>
    </xf>
    <xf numFmtId="9" fontId="17" fillId="7" borderId="0" xfId="17" applyNumberFormat="1" applyFont="1" applyFill="1" applyAlignment="1">
      <alignment horizontal="center"/>
    </xf>
    <xf numFmtId="10" fontId="17" fillId="7" borderId="12" xfId="17" applyNumberFormat="1" applyFont="1" applyFill="1" applyBorder="1"/>
    <xf numFmtId="4" fontId="6" fillId="7" borderId="13" xfId="1" applyNumberFormat="1" applyFont="1" applyFill="1" applyBorder="1" applyAlignment="1">
      <alignment horizontal="right" vertical="center"/>
    </xf>
    <xf numFmtId="10" fontId="6" fillId="7" borderId="4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horizontal="center"/>
    </xf>
    <xf numFmtId="10" fontId="6" fillId="7" borderId="8" xfId="17" applyNumberFormat="1" applyFont="1" applyFill="1" applyBorder="1" applyAlignment="1">
      <alignment horizontal="center" vertical="center"/>
    </xf>
    <xf numFmtId="0" fontId="6" fillId="7" borderId="12" xfId="1" applyFont="1" applyFill="1" applyBorder="1"/>
    <xf numFmtId="4" fontId="6" fillId="7" borderId="12" xfId="1" applyNumberFormat="1" applyFont="1" applyFill="1" applyBorder="1" applyAlignment="1">
      <alignment vertical="center"/>
    </xf>
    <xf numFmtId="10" fontId="6" fillId="7" borderId="9" xfId="17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center"/>
    </xf>
    <xf numFmtId="0" fontId="6" fillId="7" borderId="13" xfId="1" applyFont="1" applyFill="1" applyBorder="1"/>
    <xf numFmtId="0" fontId="6" fillId="7" borderId="16" xfId="1" applyFont="1" applyFill="1" applyBorder="1" applyAlignment="1">
      <alignment horizontal="center"/>
    </xf>
    <xf numFmtId="4" fontId="44" fillId="7" borderId="13" xfId="16" applyNumberFormat="1" applyFont="1" applyFill="1" applyBorder="1"/>
    <xf numFmtId="4" fontId="17" fillId="7" borderId="13" xfId="1" applyNumberFormat="1" applyFont="1" applyFill="1" applyBorder="1"/>
    <xf numFmtId="10" fontId="17" fillId="7" borderId="13" xfId="1" applyNumberFormat="1" applyFont="1" applyFill="1" applyBorder="1"/>
    <xf numFmtId="9" fontId="6" fillId="7" borderId="0" xfId="17" applyNumberFormat="1" applyFont="1" applyFill="1" applyAlignment="1">
      <alignment horizontal="center"/>
    </xf>
    <xf numFmtId="10" fontId="6" fillId="7" borderId="13" xfId="17" applyNumberFormat="1" applyFont="1" applyFill="1" applyBorder="1"/>
    <xf numFmtId="4" fontId="6" fillId="7" borderId="13" xfId="1" applyNumberFormat="1" applyFont="1" applyFill="1" applyBorder="1"/>
    <xf numFmtId="4" fontId="6" fillId="7" borderId="16" xfId="17" applyNumberFormat="1" applyFont="1" applyFill="1" applyBorder="1" applyAlignment="1">
      <alignment vertical="center"/>
    </xf>
    <xf numFmtId="0" fontId="6" fillId="7" borderId="9" xfId="1" applyFont="1" applyFill="1" applyBorder="1"/>
    <xf numFmtId="0" fontId="17" fillId="7" borderId="9" xfId="1" applyFont="1" applyFill="1" applyBorder="1"/>
    <xf numFmtId="4" fontId="6" fillId="7" borderId="16" xfId="17" applyNumberFormat="1" applyFont="1" applyFill="1" applyBorder="1" applyAlignment="1">
      <alignment horizontal="center" vertical="center"/>
    </xf>
    <xf numFmtId="10" fontId="6" fillId="7" borderId="9" xfId="17" applyNumberFormat="1" applyFont="1" applyFill="1" applyBorder="1" applyAlignment="1">
      <alignment horizontal="left" vertical="center"/>
    </xf>
    <xf numFmtId="10" fontId="17" fillId="7" borderId="16" xfId="17" applyNumberFormat="1" applyFont="1" applyFill="1" applyBorder="1" applyAlignment="1">
      <alignment horizontal="center" vertical="center"/>
    </xf>
    <xf numFmtId="10" fontId="17" fillId="7" borderId="0" xfId="17" applyNumberFormat="1" applyFont="1" applyFill="1" applyBorder="1"/>
    <xf numFmtId="10" fontId="6" fillId="7" borderId="0" xfId="17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center"/>
    </xf>
    <xf numFmtId="9" fontId="6" fillId="7" borderId="0" xfId="17" applyFont="1" applyFill="1" applyAlignment="1">
      <alignment horizontal="center"/>
    </xf>
    <xf numFmtId="4" fontId="6" fillId="7" borderId="9" xfId="1" applyNumberFormat="1" applyFont="1" applyFill="1" applyBorder="1" applyAlignment="1">
      <alignment horizontal="right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0" fontId="17" fillId="7" borderId="0" xfId="1" applyFont="1" applyFill="1" applyBorder="1" applyAlignment="1">
      <alignment horizontal="center" vertical="center"/>
    </xf>
    <xf numFmtId="1" fontId="17" fillId="7" borderId="0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/>
    <xf numFmtId="10" fontId="17" fillId="7" borderId="16" xfId="17" applyNumberFormat="1" applyFont="1" applyFill="1" applyBorder="1" applyAlignment="1">
      <alignment horizontal="right" vertical="center"/>
    </xf>
    <xf numFmtId="9" fontId="17" fillId="7" borderId="0" xfId="17" applyFont="1" applyFill="1" applyBorder="1" applyAlignment="1">
      <alignment horizontal="center"/>
    </xf>
    <xf numFmtId="4" fontId="44" fillId="7" borderId="9" xfId="1" applyNumberFormat="1" applyFont="1" applyFill="1" applyBorder="1" applyAlignment="1">
      <alignment horizontal="right"/>
    </xf>
    <xf numFmtId="4" fontId="6" fillId="7" borderId="0" xfId="1" applyNumberFormat="1" applyFont="1" applyFill="1" applyBorder="1" applyAlignment="1">
      <alignment horizontal="right" vertical="center"/>
    </xf>
    <xf numFmtId="4" fontId="44" fillId="7" borderId="0" xfId="1" applyNumberFormat="1" applyFont="1" applyFill="1" applyAlignment="1">
      <alignment horizontal="right"/>
    </xf>
    <xf numFmtId="4" fontId="17" fillId="7" borderId="0" xfId="1" applyNumberFormat="1" applyFont="1" applyFill="1" applyAlignment="1">
      <alignment horizontal="right"/>
    </xf>
    <xf numFmtId="10" fontId="6" fillId="7" borderId="13" xfId="17" applyNumberFormat="1" applyFont="1" applyFill="1" applyBorder="1" applyAlignment="1">
      <alignment horizontal="right"/>
    </xf>
    <xf numFmtId="4" fontId="44" fillId="7" borderId="0" xfId="16" applyNumberFormat="1" applyFont="1" applyFill="1" applyAlignment="1">
      <alignment horizontal="right"/>
    </xf>
    <xf numFmtId="9" fontId="17" fillId="7" borderId="0" xfId="17" applyFont="1" applyFill="1" applyBorder="1" applyAlignment="1">
      <alignment horizontal="center" vertical="center"/>
    </xf>
    <xf numFmtId="4" fontId="17" fillId="7" borderId="9" xfId="1" applyNumberFormat="1" applyFont="1" applyFill="1" applyBorder="1" applyAlignment="1">
      <alignment horizontal="right"/>
    </xf>
    <xf numFmtId="4" fontId="44" fillId="7" borderId="13" xfId="1" applyNumberFormat="1" applyFont="1" applyFill="1" applyBorder="1" applyAlignment="1">
      <alignment horizontal="right"/>
    </xf>
    <xf numFmtId="9" fontId="17" fillId="7" borderId="0" xfId="1" applyNumberFormat="1" applyFont="1" applyFill="1" applyBorder="1" applyAlignment="1">
      <alignment horizontal="center" vertical="center"/>
    </xf>
    <xf numFmtId="4" fontId="44" fillId="7" borderId="0" xfId="1" applyNumberFormat="1" applyFont="1" applyFill="1" applyBorder="1" applyAlignment="1">
      <alignment horizontal="right"/>
    </xf>
    <xf numFmtId="0" fontId="46" fillId="7" borderId="13" xfId="1" applyFont="1" applyFill="1" applyBorder="1" applyAlignment="1">
      <alignment horizontal="center"/>
    </xf>
    <xf numFmtId="4" fontId="46" fillId="7" borderId="13" xfId="1" applyNumberFormat="1" applyFont="1" applyFill="1" applyBorder="1"/>
    <xf numFmtId="1" fontId="17" fillId="7" borderId="0" xfId="2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right"/>
    </xf>
    <xf numFmtId="10" fontId="17" fillId="7" borderId="16" xfId="17" applyNumberFormat="1" applyFont="1" applyFill="1" applyBorder="1" applyAlignment="1">
      <alignment horizontal="right"/>
    </xf>
    <xf numFmtId="4" fontId="6" fillId="7" borderId="13" xfId="17" applyNumberFormat="1" applyFont="1" applyFill="1" applyBorder="1" applyAlignment="1">
      <alignment vertical="center"/>
    </xf>
    <xf numFmtId="9" fontId="17" fillId="7" borderId="9" xfId="17" applyFont="1" applyFill="1" applyBorder="1" applyAlignment="1">
      <alignment horizontal="center"/>
    </xf>
    <xf numFmtId="167" fontId="44" fillId="7" borderId="13" xfId="16" applyNumberFormat="1" applyFont="1" applyFill="1" applyBorder="1" applyAlignment="1">
      <alignment horizontal="right"/>
    </xf>
    <xf numFmtId="4" fontId="6" fillId="7" borderId="9" xfId="1" applyNumberFormat="1" applyFont="1" applyFill="1" applyBorder="1" applyAlignment="1">
      <alignment vertical="center"/>
    </xf>
    <xf numFmtId="4" fontId="6" fillId="7" borderId="0" xfId="1" applyNumberFormat="1" applyFont="1" applyFill="1" applyBorder="1" applyAlignment="1">
      <alignment vertical="center"/>
    </xf>
    <xf numFmtId="4" fontId="6" fillId="7" borderId="16" xfId="1" applyNumberFormat="1" applyFont="1" applyFill="1" applyBorder="1" applyAlignment="1">
      <alignment vertical="center"/>
    </xf>
    <xf numFmtId="1" fontId="17" fillId="7" borderId="0" xfId="1" applyNumberFormat="1" applyFont="1" applyFill="1" applyAlignment="1">
      <alignment horizontal="center"/>
    </xf>
    <xf numFmtId="10" fontId="17" fillId="7" borderId="0" xfId="1" applyNumberFormat="1" applyFont="1" applyFill="1"/>
    <xf numFmtId="4" fontId="6" fillId="7" borderId="9" xfId="17" applyNumberFormat="1" applyFont="1" applyFill="1" applyBorder="1" applyAlignment="1">
      <alignment vertical="center"/>
    </xf>
    <xf numFmtId="10" fontId="0" fillId="0" borderId="13" xfId="1" applyNumberFormat="1" applyFont="1" applyFill="1" applyBorder="1"/>
    <xf numFmtId="4" fontId="6" fillId="7" borderId="0" xfId="17" applyNumberFormat="1" applyFont="1" applyFill="1" applyBorder="1" applyAlignment="1">
      <alignment vertical="center"/>
    </xf>
    <xf numFmtId="1" fontId="0" fillId="0" borderId="0" xfId="2" applyNumberFormat="1" applyFont="1" applyFill="1" applyAlignment="1">
      <alignment horizontal="center"/>
    </xf>
    <xf numFmtId="10" fontId="17" fillId="7" borderId="13" xfId="1" applyNumberFormat="1" applyFont="1" applyFill="1" applyBorder="1" applyAlignment="1">
      <alignment horizontal="right"/>
    </xf>
    <xf numFmtId="0" fontId="19" fillId="7" borderId="11" xfId="1" applyFont="1" applyFill="1" applyBorder="1" applyAlignment="1">
      <alignment horizontal="center"/>
    </xf>
    <xf numFmtId="0" fontId="19" fillId="7" borderId="4" xfId="1" applyFont="1" applyFill="1" applyBorder="1"/>
    <xf numFmtId="0" fontId="19" fillId="7" borderId="5" xfId="1" applyFont="1" applyFill="1" applyBorder="1"/>
    <xf numFmtId="4" fontId="19" fillId="7" borderId="5" xfId="1" applyNumberFormat="1" applyFont="1" applyFill="1" applyBorder="1"/>
    <xf numFmtId="10" fontId="19" fillId="7" borderId="5" xfId="17" applyNumberFormat="1" applyFont="1" applyFill="1" applyBorder="1" applyAlignment="1">
      <alignment horizontal="center" vertical="center" wrapText="1"/>
    </xf>
    <xf numFmtId="10" fontId="19" fillId="7" borderId="8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/>
    <xf numFmtId="4" fontId="19" fillId="7" borderId="0" xfId="1" applyNumberFormat="1" applyFont="1" applyFill="1" applyBorder="1"/>
    <xf numFmtId="4" fontId="2" fillId="7" borderId="0" xfId="1" applyNumberFormat="1" applyFont="1" applyFill="1" applyBorder="1" applyAlignment="1">
      <alignment horizontal="right"/>
    </xf>
    <xf numFmtId="14" fontId="19" fillId="7" borderId="0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 applyAlignment="1">
      <alignment horizontal="center" vertical="center" wrapText="1"/>
    </xf>
    <xf numFmtId="10" fontId="9" fillId="7" borderId="0" xfId="17" applyNumberFormat="1" applyFont="1" applyFill="1" applyAlignment="1">
      <alignment horizontal="center"/>
    </xf>
    <xf numFmtId="0" fontId="12" fillId="7" borderId="4" xfId="1" applyFont="1" applyFill="1" applyBorder="1"/>
    <xf numFmtId="171" fontId="19" fillId="7" borderId="12" xfId="1" applyNumberFormat="1" applyFont="1" applyFill="1" applyBorder="1"/>
    <xf numFmtId="2" fontId="19" fillId="7" borderId="8" xfId="1" applyNumberFormat="1" applyFont="1" applyFill="1" applyBorder="1"/>
    <xf numFmtId="10" fontId="19" fillId="7" borderId="5" xfId="17" applyNumberFormat="1" applyFont="1" applyFill="1" applyBorder="1"/>
    <xf numFmtId="0" fontId="19" fillId="7" borderId="9" xfId="1" applyFont="1" applyFill="1" applyBorder="1"/>
    <xf numFmtId="171" fontId="19" fillId="7" borderId="13" xfId="1" applyNumberFormat="1" applyFont="1" applyFill="1" applyBorder="1"/>
    <xf numFmtId="2" fontId="19" fillId="7" borderId="16" xfId="1" applyNumberFormat="1" applyFont="1" applyFill="1" applyBorder="1"/>
    <xf numFmtId="10" fontId="19" fillId="7" borderId="0" xfId="17" applyNumberFormat="1" applyFont="1" applyFill="1" applyBorder="1"/>
    <xf numFmtId="0" fontId="12" fillId="7" borderId="9" xfId="1" applyFont="1" applyFill="1" applyBorder="1"/>
    <xf numFmtId="0" fontId="3" fillId="7" borderId="9" xfId="12" applyFont="1" applyFill="1" applyBorder="1"/>
    <xf numFmtId="0" fontId="3" fillId="7" borderId="9" xfId="1" applyFont="1" applyFill="1" applyBorder="1"/>
    <xf numFmtId="0" fontId="19" fillId="7" borderId="6" xfId="1" applyFont="1" applyFill="1" applyBorder="1"/>
    <xf numFmtId="171" fontId="19" fillId="7" borderId="15" xfId="1" applyNumberFormat="1" applyFont="1" applyFill="1" applyBorder="1"/>
    <xf numFmtId="2" fontId="19" fillId="7" borderId="15" xfId="1" applyNumberFormat="1" applyFont="1" applyFill="1" applyBorder="1"/>
    <xf numFmtId="10" fontId="19" fillId="7" borderId="7" xfId="17" applyNumberFormat="1" applyFont="1" applyFill="1" applyBorder="1"/>
    <xf numFmtId="9" fontId="3" fillId="7" borderId="3" xfId="1" applyNumberFormat="1" applyFont="1" applyFill="1" applyBorder="1" applyAlignment="1">
      <alignment horizontal="center"/>
    </xf>
    <xf numFmtId="0" fontId="3" fillId="7" borderId="10" xfId="1" applyFont="1" applyFill="1" applyBorder="1"/>
    <xf numFmtId="4" fontId="19" fillId="7" borderId="10" xfId="1" applyNumberFormat="1" applyFont="1" applyFill="1" applyBorder="1"/>
    <xf numFmtId="10" fontId="19" fillId="7" borderId="10" xfId="17" applyNumberFormat="1" applyFont="1" applyFill="1" applyBorder="1"/>
    <xf numFmtId="10" fontId="2" fillId="7" borderId="10" xfId="17" applyNumberFormat="1" applyFont="1" applyFill="1" applyBorder="1" applyAlignment="1">
      <alignment horizontal="center" vertical="center" wrapText="1"/>
    </xf>
    <xf numFmtId="10" fontId="2" fillId="7" borderId="2" xfId="17" applyNumberFormat="1" applyFont="1" applyFill="1" applyBorder="1" applyAlignment="1">
      <alignment horizontal="center" vertical="center" wrapText="1"/>
    </xf>
    <xf numFmtId="0" fontId="2" fillId="7" borderId="3" xfId="1" applyFont="1" applyFill="1" applyBorder="1" applyAlignment="1">
      <alignment horizontal="left"/>
    </xf>
    <xf numFmtId="0" fontId="2" fillId="7" borderId="10" xfId="1" applyFont="1" applyFill="1" applyBorder="1" applyAlignment="1">
      <alignment horizontal="left"/>
    </xf>
    <xf numFmtId="0" fontId="19" fillId="7" borderId="3" xfId="1" applyFont="1" applyFill="1" applyBorder="1" applyAlignment="1">
      <alignment horizontal="center"/>
    </xf>
    <xf numFmtId="0" fontId="19" fillId="7" borderId="7" xfId="1" applyFont="1" applyFill="1" applyBorder="1"/>
    <xf numFmtId="4" fontId="19" fillId="7" borderId="7" xfId="1" applyNumberFormat="1" applyFont="1" applyFill="1" applyBorder="1"/>
    <xf numFmtId="0" fontId="19" fillId="7" borderId="3" xfId="1" applyFont="1" applyFill="1" applyBorder="1"/>
    <xf numFmtId="0" fontId="19" fillId="7" borderId="10" xfId="1" applyFont="1" applyFill="1" applyBorder="1"/>
    <xf numFmtId="10" fontId="19" fillId="7" borderId="10" xfId="17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/>
    </xf>
    <xf numFmtId="0" fontId="3" fillId="7" borderId="13" xfId="1" applyFont="1" applyFill="1" applyBorder="1" applyAlignment="1">
      <alignment horizontal="center" vertical="center"/>
    </xf>
    <xf numFmtId="0" fontId="19" fillId="7" borderId="11" xfId="1" applyFont="1" applyFill="1" applyBorder="1" applyAlignment="1">
      <alignment horizontal="center" wrapText="1"/>
    </xf>
    <xf numFmtId="10" fontId="3" fillId="7" borderId="4" xfId="1" applyNumberFormat="1" applyFont="1" applyFill="1" applyBorder="1" applyAlignment="1">
      <alignment horizontal="center"/>
    </xf>
    <xf numFmtId="0" fontId="3" fillId="7" borderId="12" xfId="1" applyFont="1" applyFill="1" applyBorder="1"/>
    <xf numFmtId="4" fontId="19" fillId="7" borderId="12" xfId="1" applyNumberFormat="1" applyFont="1" applyFill="1" applyBorder="1"/>
    <xf numFmtId="2" fontId="19" fillId="7" borderId="0" xfId="1" applyNumberFormat="1" applyFont="1" applyFill="1"/>
    <xf numFmtId="10" fontId="19" fillId="7" borderId="4" xfId="17" applyNumberFormat="1" applyFont="1" applyFill="1" applyBorder="1"/>
    <xf numFmtId="10" fontId="3" fillId="7" borderId="9" xfId="1" applyNumberFormat="1" applyFont="1" applyFill="1" applyBorder="1" applyAlignment="1">
      <alignment horizontal="center"/>
    </xf>
    <xf numFmtId="0" fontId="3" fillId="7" borderId="13" xfId="1" applyFont="1" applyFill="1" applyBorder="1"/>
    <xf numFmtId="4" fontId="19" fillId="7" borderId="13" xfId="1" applyNumberFormat="1" applyFont="1" applyFill="1" applyBorder="1"/>
    <xf numFmtId="10" fontId="19" fillId="7" borderId="9" xfId="17" applyNumberFormat="1" applyFont="1" applyFill="1" applyBorder="1"/>
    <xf numFmtId="0" fontId="3" fillId="7" borderId="13" xfId="12" applyFont="1" applyFill="1" applyBorder="1"/>
    <xf numFmtId="0" fontId="1" fillId="7" borderId="13" xfId="1" applyFont="1" applyFill="1" applyBorder="1"/>
    <xf numFmtId="10" fontId="3" fillId="7" borderId="6" xfId="1" applyNumberFormat="1" applyFont="1" applyFill="1" applyBorder="1" applyAlignment="1">
      <alignment horizontal="center"/>
    </xf>
    <xf numFmtId="0" fontId="3" fillId="7" borderId="15" xfId="1" applyFont="1" applyFill="1" applyBorder="1"/>
    <xf numFmtId="4" fontId="19" fillId="7" borderId="15" xfId="1" applyNumberFormat="1" applyFont="1" applyFill="1" applyBorder="1"/>
    <xf numFmtId="10" fontId="19" fillId="7" borderId="6" xfId="17" applyNumberFormat="1" applyFont="1" applyFill="1" applyBorder="1"/>
    <xf numFmtId="9" fontId="3" fillId="7" borderId="6" xfId="1" applyNumberFormat="1" applyFont="1" applyFill="1" applyBorder="1" applyAlignment="1">
      <alignment horizontal="center"/>
    </xf>
    <xf numFmtId="0" fontId="3" fillId="7" borderId="7" xfId="1" applyFont="1" applyFill="1" applyBorder="1"/>
    <xf numFmtId="0" fontId="3" fillId="7" borderId="11" xfId="1" applyFont="1" applyFill="1" applyBorder="1" applyAlignment="1">
      <alignment horizontal="center" vertical="center"/>
    </xf>
    <xf numFmtId="10" fontId="2" fillId="7" borderId="2" xfId="17" applyNumberFormat="1" applyFont="1" applyFill="1" applyBorder="1" applyAlignment="1">
      <alignment horizontal="center"/>
    </xf>
    <xf numFmtId="0" fontId="3" fillId="7" borderId="12" xfId="1" applyFont="1" applyFill="1" applyBorder="1" applyAlignment="1">
      <alignment horizontal="center" vertical="center"/>
    </xf>
    <xf numFmtId="0" fontId="3" fillId="7" borderId="15" xfId="1" applyFont="1" applyFill="1" applyBorder="1" applyAlignment="1">
      <alignment horizontal="center" vertical="center"/>
    </xf>
    <xf numFmtId="0" fontId="3" fillId="7" borderId="12" xfId="12" applyFont="1" applyFill="1" applyBorder="1"/>
    <xf numFmtId="10" fontId="11" fillId="7" borderId="9" xfId="1" applyNumberFormat="1" applyFont="1" applyFill="1" applyBorder="1" applyAlignment="1">
      <alignment horizontal="center"/>
    </xf>
    <xf numFmtId="0" fontId="11" fillId="7" borderId="13" xfId="12" applyFont="1" applyFill="1" applyBorder="1"/>
    <xf numFmtId="4" fontId="11" fillId="7" borderId="13" xfId="1" applyNumberFormat="1" applyFont="1" applyFill="1" applyBorder="1"/>
    <xf numFmtId="2" fontId="11" fillId="7" borderId="0" xfId="1" applyNumberFormat="1" applyFont="1" applyFill="1"/>
    <xf numFmtId="10" fontId="11" fillId="7" borderId="9" xfId="17" applyNumberFormat="1" applyFont="1" applyFill="1" applyBorder="1"/>
    <xf numFmtId="0" fontId="11" fillId="7" borderId="13" xfId="1" applyFont="1" applyFill="1" applyBorder="1"/>
    <xf numFmtId="10" fontId="11" fillId="7" borderId="6" xfId="1" applyNumberFormat="1" applyFont="1" applyFill="1" applyBorder="1" applyAlignment="1">
      <alignment horizontal="center"/>
    </xf>
    <xf numFmtId="0" fontId="11" fillId="7" borderId="15" xfId="1" applyFont="1" applyFill="1" applyBorder="1"/>
    <xf numFmtId="4" fontId="11" fillId="7" borderId="15" xfId="1" applyNumberFormat="1" applyFont="1" applyFill="1" applyBorder="1"/>
    <xf numFmtId="2" fontId="11" fillId="7" borderId="15" xfId="1" applyNumberFormat="1" applyFont="1" applyFill="1" applyBorder="1"/>
    <xf numFmtId="10" fontId="11" fillId="7" borderId="6" xfId="17" applyNumberFormat="1" applyFont="1" applyFill="1" applyBorder="1"/>
    <xf numFmtId="9" fontId="3" fillId="7" borderId="9" xfId="1" applyNumberFormat="1" applyFont="1" applyFill="1" applyBorder="1" applyAlignment="1">
      <alignment horizontal="center"/>
    </xf>
    <xf numFmtId="2" fontId="19" fillId="7" borderId="7" xfId="1" applyNumberFormat="1" applyFont="1" applyFill="1" applyBorder="1"/>
    <xf numFmtId="0" fontId="3" fillId="7" borderId="10" xfId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/>
    </xf>
    <xf numFmtId="14" fontId="5" fillId="7" borderId="0" xfId="17" applyNumberFormat="1" applyFont="1" applyFill="1" applyBorder="1" applyAlignment="1">
      <alignment horizontal="center" vertical="center" wrapText="1"/>
    </xf>
    <xf numFmtId="4" fontId="1" fillId="7" borderId="12" xfId="15" applyNumberFormat="1" applyFont="1" applyFill="1" applyBorder="1"/>
    <xf numFmtId="4" fontId="1" fillId="7" borderId="13" xfId="15" applyNumberFormat="1" applyFont="1" applyFill="1" applyBorder="1"/>
    <xf numFmtId="4" fontId="1" fillId="7" borderId="15" xfId="15" applyNumberFormat="1" applyFont="1" applyFill="1" applyBorder="1"/>
    <xf numFmtId="164" fontId="3" fillId="7" borderId="12" xfId="2" applyFont="1" applyFill="1" applyBorder="1" applyAlignment="1">
      <alignment vertical="center"/>
    </xf>
    <xf numFmtId="164" fontId="3" fillId="7" borderId="8" xfId="2" applyFont="1" applyFill="1" applyBorder="1" applyAlignment="1">
      <alignment vertical="center"/>
    </xf>
    <xf numFmtId="164" fontId="3" fillId="7" borderId="13" xfId="2" applyFont="1" applyFill="1" applyBorder="1" applyAlignment="1">
      <alignment horizontal="right" vertical="center"/>
    </xf>
    <xf numFmtId="164" fontId="3" fillId="7" borderId="16" xfId="2" applyFont="1" applyFill="1" applyBorder="1" applyAlignment="1">
      <alignment horizontal="right" vertical="center"/>
    </xf>
    <xf numFmtId="164" fontId="3" fillId="7" borderId="15" xfId="2" applyFont="1" applyFill="1" applyBorder="1" applyAlignment="1">
      <alignment horizontal="right" vertical="center"/>
    </xf>
    <xf numFmtId="164" fontId="19" fillId="7" borderId="12" xfId="2" applyFont="1" applyFill="1" applyBorder="1"/>
    <xf numFmtId="164" fontId="19" fillId="7" borderId="15" xfId="2" applyFont="1" applyFill="1" applyBorder="1"/>
    <xf numFmtId="0" fontId="5" fillId="7" borderId="10" xfId="1" applyFont="1" applyFill="1" applyBorder="1"/>
    <xf numFmtId="0" fontId="1" fillId="7" borderId="11" xfId="1" applyFont="1" applyFill="1" applyBorder="1" applyAlignment="1">
      <alignment horizontal="center"/>
    </xf>
    <xf numFmtId="0" fontId="1" fillId="7" borderId="12" xfId="1" applyFont="1" applyFill="1" applyBorder="1" applyAlignment="1">
      <alignment horizontal="center" vertical="center"/>
    </xf>
    <xf numFmtId="0" fontId="1" fillId="7" borderId="5" xfId="1" applyFont="1" applyFill="1" applyBorder="1"/>
    <xf numFmtId="4" fontId="1" fillId="7" borderId="5" xfId="1" applyNumberFormat="1" applyFont="1" applyFill="1" applyBorder="1"/>
    <xf numFmtId="0" fontId="1" fillId="7" borderId="15" xfId="1" applyFont="1" applyFill="1" applyBorder="1" applyAlignment="1">
      <alignment horizontal="center" vertical="center"/>
    </xf>
    <xf numFmtId="0" fontId="1" fillId="7" borderId="0" xfId="1" applyFont="1" applyFill="1" applyBorder="1"/>
    <xf numFmtId="4" fontId="1" fillId="7" borderId="7" xfId="1" applyNumberFormat="1" applyFont="1" applyFill="1" applyBorder="1"/>
    <xf numFmtId="0" fontId="1" fillId="7" borderId="13" xfId="1" applyFont="1" applyFill="1" applyBorder="1" applyAlignment="1">
      <alignment horizontal="center" vertical="center"/>
    </xf>
    <xf numFmtId="10" fontId="5" fillId="7" borderId="10" xfId="17" applyNumberFormat="1" applyFont="1" applyFill="1" applyBorder="1" applyAlignment="1">
      <alignment horizontal="center" vertical="center" wrapText="1"/>
    </xf>
    <xf numFmtId="10" fontId="5" fillId="7" borderId="2" xfId="17" applyNumberFormat="1" applyFont="1" applyFill="1" applyBorder="1" applyAlignment="1">
      <alignment horizontal="center" vertical="center" wrapText="1"/>
    </xf>
    <xf numFmtId="4" fontId="3" fillId="7" borderId="5" xfId="1" applyNumberFormat="1" applyFont="1" applyFill="1" applyBorder="1" applyAlignment="1">
      <alignment vertical="center"/>
    </xf>
    <xf numFmtId="4" fontId="3" fillId="7" borderId="7" xfId="1" applyNumberFormat="1" applyFont="1" applyFill="1" applyBorder="1" applyAlignment="1">
      <alignment horizontal="right" vertical="center"/>
    </xf>
    <xf numFmtId="4" fontId="19" fillId="7" borderId="12" xfId="1" applyNumberFormat="1" applyFont="1" applyFill="1" applyBorder="1" applyAlignment="1">
      <alignment horizontal="center"/>
    </xf>
    <xf numFmtId="4" fontId="19" fillId="7" borderId="15" xfId="1" applyNumberFormat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horizontal="right" vertical="center"/>
    </xf>
    <xf numFmtId="2" fontId="19" fillId="7" borderId="0" xfId="1" applyNumberFormat="1" applyFont="1" applyFill="1" applyBorder="1"/>
    <xf numFmtId="0" fontId="19" fillId="7" borderId="12" xfId="1" applyFont="1" applyFill="1" applyBorder="1"/>
    <xf numFmtId="4" fontId="3" fillId="7" borderId="12" xfId="1" applyNumberFormat="1" applyFont="1" applyFill="1" applyBorder="1" applyAlignment="1">
      <alignment vertical="center"/>
    </xf>
    <xf numFmtId="0" fontId="19" fillId="7" borderId="15" xfId="1" applyFont="1" applyFill="1" applyBorder="1"/>
    <xf numFmtId="4" fontId="3" fillId="7" borderId="13" xfId="1" applyNumberFormat="1" applyFont="1" applyFill="1" applyBorder="1" applyAlignment="1">
      <alignment horizontal="right" vertical="center"/>
    </xf>
    <xf numFmtId="2" fontId="19" fillId="7" borderId="12" xfId="1" applyNumberFormat="1" applyFont="1" applyFill="1" applyBorder="1"/>
    <xf numFmtId="4" fontId="3" fillId="7" borderId="15" xfId="1" applyNumberFormat="1" applyFont="1" applyFill="1" applyBorder="1" applyAlignment="1">
      <alignment horizontal="right" vertical="center"/>
    </xf>
    <xf numFmtId="4" fontId="3" fillId="7" borderId="12" xfId="1" applyNumberFormat="1" applyFont="1" applyFill="1" applyBorder="1" applyAlignment="1">
      <alignment horizontal="right" vertical="center"/>
    </xf>
    <xf numFmtId="4" fontId="3" fillId="7" borderId="15" xfId="1" applyNumberFormat="1" applyFont="1" applyFill="1" applyBorder="1" applyAlignment="1">
      <alignment vertical="center"/>
    </xf>
    <xf numFmtId="4" fontId="19" fillId="7" borderId="12" xfId="1" applyNumberFormat="1" applyFont="1" applyFill="1" applyBorder="1" applyAlignment="1">
      <alignment horizontal="right"/>
    </xf>
    <xf numFmtId="4" fontId="11" fillId="7" borderId="13" xfId="1" applyNumberFormat="1" applyFont="1" applyFill="1" applyBorder="1" applyAlignment="1">
      <alignment horizontal="right"/>
    </xf>
    <xf numFmtId="4" fontId="19" fillId="7" borderId="13" xfId="1" applyNumberFormat="1" applyFont="1" applyFill="1" applyBorder="1" applyAlignment="1">
      <alignment horizontal="right"/>
    </xf>
    <xf numFmtId="4" fontId="19" fillId="7" borderId="15" xfId="1" applyNumberFormat="1" applyFont="1" applyFill="1" applyBorder="1" applyAlignment="1">
      <alignment horizontal="right"/>
    </xf>
    <xf numFmtId="4" fontId="19" fillId="7" borderId="7" xfId="1" applyNumberFormat="1" applyFont="1" applyFill="1" applyBorder="1" applyAlignment="1">
      <alignment horizontal="right"/>
    </xf>
    <xf numFmtId="0" fontId="2" fillId="7" borderId="3" xfId="1" applyFont="1" applyFill="1" applyBorder="1"/>
    <xf numFmtId="14" fontId="3" fillId="7" borderId="7" xfId="1" applyNumberFormat="1" applyFont="1" applyFill="1" applyBorder="1"/>
    <xf numFmtId="168" fontId="19" fillId="7" borderId="7" xfId="1" applyNumberFormat="1" applyFont="1" applyFill="1" applyBorder="1"/>
    <xf numFmtId="49" fontId="3" fillId="7" borderId="6" xfId="1" applyNumberFormat="1" applyFont="1" applyFill="1" applyBorder="1" applyAlignment="1">
      <alignment horizontal="center"/>
    </xf>
    <xf numFmtId="0" fontId="19" fillId="7" borderId="0" xfId="1" applyFont="1" applyFill="1"/>
    <xf numFmtId="10" fontId="19" fillId="7" borderId="4" xfId="17" applyNumberFormat="1" applyFont="1" applyFill="1" applyBorder="1" applyAlignment="1">
      <alignment horizontal="right"/>
    </xf>
    <xf numFmtId="10" fontId="19" fillId="7" borderId="9" xfId="17" applyNumberFormat="1" applyFont="1" applyFill="1" applyBorder="1" applyAlignment="1">
      <alignment horizontal="right"/>
    </xf>
    <xf numFmtId="10" fontId="11" fillId="7" borderId="9" xfId="17" applyNumberFormat="1" applyFont="1" applyFill="1" applyBorder="1" applyAlignment="1">
      <alignment horizontal="right"/>
    </xf>
    <xf numFmtId="10" fontId="19" fillId="7" borderId="10" xfId="17" applyNumberFormat="1" applyFont="1" applyFill="1" applyBorder="1" applyAlignment="1">
      <alignment horizontal="right"/>
    </xf>
    <xf numFmtId="0" fontId="2" fillId="7" borderId="10" xfId="1" applyFont="1" applyFill="1" applyBorder="1"/>
    <xf numFmtId="10" fontId="2" fillId="7" borderId="10" xfId="17" applyNumberFormat="1" applyFont="1" applyFill="1" applyBorder="1" applyAlignment="1">
      <alignment horizontal="left" vertical="center" wrapText="1"/>
    </xf>
    <xf numFmtId="4" fontId="19" fillId="7" borderId="0" xfId="1" applyNumberFormat="1" applyFont="1" applyFill="1"/>
    <xf numFmtId="0" fontId="3" fillId="7" borderId="15" xfId="12" applyFont="1" applyFill="1" applyBorder="1"/>
    <xf numFmtId="10" fontId="19" fillId="7" borderId="6" xfId="17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right"/>
    </xf>
    <xf numFmtId="0" fontId="19" fillId="7" borderId="2" xfId="1" applyFont="1" applyFill="1" applyBorder="1"/>
    <xf numFmtId="0" fontId="3" fillId="7" borderId="2" xfId="1" applyFont="1" applyFill="1" applyBorder="1"/>
    <xf numFmtId="0" fontId="19" fillId="7" borderId="40" xfId="1" applyFont="1" applyFill="1" applyBorder="1" applyAlignment="1">
      <alignment horizontal="center"/>
    </xf>
    <xf numFmtId="0" fontId="19" fillId="7" borderId="41" xfId="1" applyFont="1" applyFill="1" applyBorder="1" applyAlignment="1">
      <alignment horizontal="center"/>
    </xf>
    <xf numFmtId="0" fontId="19" fillId="7" borderId="42" xfId="1" applyFont="1" applyFill="1" applyBorder="1" applyAlignment="1">
      <alignment horizontal="center"/>
    </xf>
    <xf numFmtId="0" fontId="19" fillId="7" borderId="43" xfId="1" applyFont="1" applyFill="1" applyBorder="1"/>
    <xf numFmtId="0" fontId="19" fillId="7" borderId="44" xfId="1" applyFont="1" applyFill="1" applyBorder="1"/>
    <xf numFmtId="0" fontId="3" fillId="7" borderId="20" xfId="1" applyFont="1" applyFill="1" applyBorder="1" applyAlignment="1">
      <alignment horizontal="center" vertical="center"/>
    </xf>
    <xf numFmtId="4" fontId="3" fillId="7" borderId="0" xfId="1" applyNumberFormat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/>
    </xf>
    <xf numFmtId="4" fontId="19" fillId="7" borderId="0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right"/>
    </xf>
    <xf numFmtId="4" fontId="19" fillId="7" borderId="0" xfId="1" applyNumberFormat="1" applyFont="1" applyFill="1" applyBorder="1" applyAlignment="1">
      <alignment horizontal="center"/>
    </xf>
    <xf numFmtId="0" fontId="2" fillId="7" borderId="17" xfId="1" applyFont="1" applyFill="1" applyBorder="1" applyAlignment="1">
      <alignment horizontal="left"/>
    </xf>
    <xf numFmtId="0" fontId="2" fillId="7" borderId="18" xfId="1" applyFont="1" applyFill="1" applyBorder="1" applyAlignment="1">
      <alignment horizontal="left"/>
    </xf>
    <xf numFmtId="10" fontId="2" fillId="7" borderId="17" xfId="17" applyNumberFormat="1" applyFont="1" applyFill="1" applyBorder="1" applyAlignment="1">
      <alignment horizontal="center"/>
    </xf>
    <xf numFmtId="2" fontId="19" fillId="7" borderId="5" xfId="1" applyNumberFormat="1" applyFont="1" applyFill="1" applyBorder="1"/>
    <xf numFmtId="0" fontId="5" fillId="7" borderId="11" xfId="1" applyFont="1" applyFill="1" applyBorder="1" applyAlignment="1">
      <alignment horizontal="center" vertical="center" wrapText="1"/>
    </xf>
    <xf numFmtId="4" fontId="12" fillId="7" borderId="5" xfId="1" applyNumberFormat="1" applyFont="1" applyFill="1" applyBorder="1" applyAlignment="1">
      <alignment horizontal="right"/>
    </xf>
    <xf numFmtId="0" fontId="3" fillId="7" borderId="9" xfId="1" applyFont="1" applyFill="1" applyBorder="1" applyAlignment="1">
      <alignment horizontal="center" vertical="center"/>
    </xf>
    <xf numFmtId="165" fontId="19" fillId="7" borderId="4" xfId="1" applyNumberFormat="1" applyFont="1" applyFill="1" applyBorder="1" applyAlignment="1">
      <alignment horizontal="right"/>
    </xf>
    <xf numFmtId="0" fontId="16" fillId="7" borderId="12" xfId="1" applyFont="1" applyFill="1" applyBorder="1"/>
    <xf numFmtId="10" fontId="3" fillId="7" borderId="13" xfId="1" applyNumberFormat="1" applyFont="1" applyFill="1" applyBorder="1" applyAlignment="1">
      <alignment horizontal="center"/>
    </xf>
    <xf numFmtId="165" fontId="19" fillId="7" borderId="9" xfId="1" applyNumberFormat="1" applyFont="1" applyFill="1" applyBorder="1" applyAlignment="1">
      <alignment horizontal="right"/>
    </xf>
    <xf numFmtId="0" fontId="16" fillId="7" borderId="13" xfId="1" applyFont="1" applyFill="1" applyBorder="1"/>
    <xf numFmtId="0" fontId="19" fillId="7" borderId="13" xfId="1" applyFont="1" applyFill="1" applyBorder="1"/>
    <xf numFmtId="0" fontId="3" fillId="7" borderId="0" xfId="12" applyFont="1" applyFill="1" applyBorder="1"/>
    <xf numFmtId="10" fontId="3" fillId="7" borderId="3" xfId="1" applyNumberFormat="1" applyFont="1" applyFill="1" applyBorder="1" applyAlignment="1">
      <alignment horizontal="center"/>
    </xf>
    <xf numFmtId="165" fontId="19" fillId="7" borderId="10" xfId="1" applyNumberFormat="1" applyFont="1" applyFill="1" applyBorder="1" applyAlignment="1">
      <alignment horizontal="right"/>
    </xf>
    <xf numFmtId="10" fontId="19" fillId="7" borderId="16" xfId="17" applyNumberFormat="1" applyFont="1" applyFill="1" applyBorder="1" applyAlignment="1">
      <alignment horizontal="center" vertical="center" wrapText="1"/>
    </xf>
    <xf numFmtId="10" fontId="19" fillId="7" borderId="13" xfId="17" applyNumberFormat="1" applyFont="1" applyFill="1" applyBorder="1" applyAlignment="1">
      <alignment horizontal="right"/>
    </xf>
    <xf numFmtId="10" fontId="11" fillId="7" borderId="13" xfId="17" applyNumberFormat="1" applyFont="1" applyFill="1" applyBorder="1" applyAlignment="1">
      <alignment horizontal="right"/>
    </xf>
    <xf numFmtId="4" fontId="3" fillId="7" borderId="12" xfId="1" applyNumberFormat="1" applyFont="1" applyFill="1" applyBorder="1" applyAlignment="1">
      <alignment horizontal="center" vertical="center"/>
    </xf>
    <xf numFmtId="4" fontId="3" fillId="7" borderId="15" xfId="1" applyNumberFormat="1" applyFont="1" applyFill="1" applyBorder="1" applyAlignment="1">
      <alignment horizontal="center" vertical="center"/>
    </xf>
    <xf numFmtId="4" fontId="19" fillId="7" borderId="5" xfId="1" applyNumberFormat="1" applyFont="1" applyFill="1" applyBorder="1" applyAlignment="1">
      <alignment horizontal="right"/>
    </xf>
    <xf numFmtId="10" fontId="39" fillId="7" borderId="9" xfId="1" applyNumberFormat="1" applyFont="1" applyFill="1" applyBorder="1" applyAlignment="1">
      <alignment horizontal="center"/>
    </xf>
    <xf numFmtId="0" fontId="39" fillId="7" borderId="13" xfId="1" applyFont="1" applyFill="1" applyBorder="1"/>
    <xf numFmtId="4" fontId="39" fillId="7" borderId="13" xfId="1" applyNumberFormat="1" applyFont="1" applyFill="1" applyBorder="1" applyAlignment="1">
      <alignment horizontal="right"/>
    </xf>
    <xf numFmtId="2" fontId="39" fillId="7" borderId="0" xfId="1" applyNumberFormat="1" applyFont="1" applyFill="1"/>
    <xf numFmtId="10" fontId="39" fillId="7" borderId="9" xfId="17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right"/>
    </xf>
    <xf numFmtId="4" fontId="19" fillId="7" borderId="8" xfId="1" applyNumberFormat="1" applyFont="1" applyFill="1" applyBorder="1" applyAlignment="1">
      <alignment horizontal="right"/>
    </xf>
    <xf numFmtId="4" fontId="19" fillId="7" borderId="16" xfId="1" applyNumberFormat="1" applyFont="1" applyFill="1" applyBorder="1" applyAlignment="1">
      <alignment horizontal="right"/>
    </xf>
    <xf numFmtId="4" fontId="19" fillId="7" borderId="14" xfId="1" applyNumberFormat="1" applyFont="1" applyFill="1" applyBorder="1" applyAlignment="1">
      <alignment horizontal="right"/>
    </xf>
    <xf numFmtId="4" fontId="5" fillId="7" borderId="7" xfId="1" applyNumberFormat="1" applyFont="1" applyFill="1" applyBorder="1"/>
    <xf numFmtId="10" fontId="5" fillId="7" borderId="7" xfId="17" applyNumberFormat="1" applyFont="1" applyFill="1" applyBorder="1"/>
    <xf numFmtId="10" fontId="1" fillId="7" borderId="9" xfId="1" applyNumberFormat="1" applyFont="1" applyFill="1" applyBorder="1" applyAlignment="1">
      <alignment horizontal="center"/>
    </xf>
    <xf numFmtId="4" fontId="1" fillId="7" borderId="13" xfId="1" applyNumberFormat="1" applyFont="1" applyFill="1" applyBorder="1" applyAlignment="1">
      <alignment horizontal="right"/>
    </xf>
    <xf numFmtId="2" fontId="1" fillId="7" borderId="0" xfId="1" applyNumberFormat="1" applyFont="1" applyFill="1"/>
    <xf numFmtId="10" fontId="1" fillId="7" borderId="13" xfId="17" applyNumberFormat="1" applyFont="1" applyFill="1" applyBorder="1" applyAlignment="1">
      <alignment horizontal="right"/>
    </xf>
    <xf numFmtId="0" fontId="3" fillId="7" borderId="0" xfId="1" applyFont="1" applyFill="1" applyBorder="1"/>
    <xf numFmtId="49" fontId="19" fillId="7" borderId="45" xfId="1" applyNumberFormat="1" applyFont="1" applyFill="1" applyBorder="1"/>
    <xf numFmtId="0" fontId="19" fillId="7" borderId="45" xfId="1" applyFont="1" applyFill="1" applyBorder="1"/>
    <xf numFmtId="10" fontId="19" fillId="7" borderId="45" xfId="17" applyNumberFormat="1" applyFont="1" applyFill="1" applyBorder="1"/>
    <xf numFmtId="49" fontId="19" fillId="7" borderId="46" xfId="1" applyNumberFormat="1" applyFont="1" applyFill="1" applyBorder="1"/>
    <xf numFmtId="0" fontId="19" fillId="7" borderId="46" xfId="1" applyFont="1" applyFill="1" applyBorder="1"/>
    <xf numFmtId="10" fontId="19" fillId="7" borderId="46" xfId="17" applyNumberFormat="1" applyFont="1" applyFill="1" applyBorder="1"/>
    <xf numFmtId="49" fontId="19" fillId="7" borderId="47" xfId="1" applyNumberFormat="1" applyFont="1" applyFill="1" applyBorder="1"/>
    <xf numFmtId="0" fontId="19" fillId="7" borderId="47" xfId="1" applyFont="1" applyFill="1" applyBorder="1"/>
    <xf numFmtId="2" fontId="19" fillId="7" borderId="10" xfId="1" applyNumberFormat="1" applyFont="1" applyFill="1" applyBorder="1"/>
    <xf numFmtId="4" fontId="3" fillId="7" borderId="5" xfId="1" applyNumberFormat="1" applyFont="1" applyFill="1" applyBorder="1" applyAlignment="1">
      <alignment horizontal="center" vertical="center"/>
    </xf>
    <xf numFmtId="4" fontId="3" fillId="7" borderId="7" xfId="1" applyNumberFormat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/>
    </xf>
    <xf numFmtId="0" fontId="5" fillId="7" borderId="5" xfId="1" applyFont="1" applyFill="1" applyBorder="1"/>
    <xf numFmtId="10" fontId="19" fillId="7" borderId="0" xfId="17" applyNumberFormat="1" applyFont="1" applyFill="1" applyBorder="1" applyAlignment="1">
      <alignment horizontal="center" vertical="center" wrapText="1"/>
    </xf>
    <xf numFmtId="181" fontId="19" fillId="7" borderId="0" xfId="1" applyNumberFormat="1" applyFont="1" applyFill="1"/>
    <xf numFmtId="10" fontId="19" fillId="7" borderId="0" xfId="17" applyNumberFormat="1" applyFont="1" applyFill="1" applyBorder="1" applyAlignment="1">
      <alignment horizontal="right" vertical="center" wrapText="1"/>
    </xf>
    <xf numFmtId="10" fontId="5" fillId="7" borderId="7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/>
    <xf numFmtId="10" fontId="19" fillId="7" borderId="13" xfId="17" applyNumberFormat="1" applyFont="1" applyFill="1" applyBorder="1"/>
    <xf numFmtId="10" fontId="1" fillId="7" borderId="13" xfId="17" applyNumberFormat="1" applyFont="1" applyFill="1" applyBorder="1"/>
    <xf numFmtId="4" fontId="1" fillId="7" borderId="13" xfId="1" applyNumberFormat="1" applyFont="1" applyFill="1" applyBorder="1"/>
    <xf numFmtId="0" fontId="19" fillId="7" borderId="11" xfId="1" applyFont="1" applyFill="1" applyBorder="1" applyAlignment="1">
      <alignment horizontal="center" vertical="center"/>
    </xf>
    <xf numFmtId="10" fontId="32" fillId="7" borderId="9" xfId="1" applyNumberFormat="1" applyFont="1" applyFill="1" applyBorder="1" applyAlignment="1">
      <alignment horizontal="center"/>
    </xf>
    <xf numFmtId="0" fontId="32" fillId="7" borderId="13" xfId="1" applyFont="1" applyFill="1" applyBorder="1"/>
    <xf numFmtId="4" fontId="32" fillId="7" borderId="13" xfId="1" applyNumberFormat="1" applyFont="1" applyFill="1" applyBorder="1" applyAlignment="1">
      <alignment horizontal="right"/>
    </xf>
    <xf numFmtId="2" fontId="32" fillId="7" borderId="0" xfId="1" applyNumberFormat="1" applyFont="1" applyFill="1"/>
    <xf numFmtId="10" fontId="32" fillId="7" borderId="13" xfId="17" applyNumberFormat="1" applyFont="1" applyFill="1" applyBorder="1" applyAlignment="1">
      <alignment horizontal="right"/>
    </xf>
    <xf numFmtId="0" fontId="3" fillId="7" borderId="0" xfId="1" applyFont="1" applyFill="1" applyBorder="1" applyAlignment="1">
      <alignment horizontal="center" vertical="center"/>
    </xf>
    <xf numFmtId="0" fontId="12" fillId="7" borderId="0" xfId="14" applyFont="1" applyFill="1" applyBorder="1"/>
    <xf numFmtId="10" fontId="19" fillId="7" borderId="11" xfId="17" applyNumberFormat="1" applyFont="1" applyFill="1" applyBorder="1"/>
    <xf numFmtId="2" fontId="19" fillId="7" borderId="13" xfId="1" applyNumberFormat="1" applyFont="1" applyFill="1" applyBorder="1"/>
    <xf numFmtId="10" fontId="19" fillId="7" borderId="16" xfId="17" applyNumberFormat="1" applyFont="1" applyFill="1" applyBorder="1"/>
    <xf numFmtId="49" fontId="3" fillId="7" borderId="12" xfId="1" applyNumberFormat="1" applyFont="1" applyFill="1" applyBorder="1"/>
    <xf numFmtId="10" fontId="19" fillId="7" borderId="8" xfId="17" applyNumberFormat="1" applyFont="1" applyFill="1" applyBorder="1"/>
    <xf numFmtId="4" fontId="7" fillId="7" borderId="5" xfId="1" applyNumberFormat="1" applyFont="1" applyFill="1" applyBorder="1"/>
    <xf numFmtId="4" fontId="7" fillId="7" borderId="0" xfId="1" applyNumberFormat="1" applyFont="1" applyFill="1" applyBorder="1"/>
    <xf numFmtId="4" fontId="7" fillId="7" borderId="7" xfId="1" applyNumberFormat="1" applyFont="1" applyFill="1" applyBorder="1"/>
    <xf numFmtId="0" fontId="5" fillId="7" borderId="32" xfId="0" applyFont="1" applyFill="1" applyBorder="1" applyAlignment="1">
      <alignment horizontal="center" vertical="center" wrapText="1"/>
    </xf>
    <xf numFmtId="0" fontId="5" fillId="7" borderId="34" xfId="0" applyFont="1" applyFill="1" applyBorder="1" applyAlignment="1">
      <alignment horizontal="center" vertical="center" wrapText="1"/>
    </xf>
    <xf numFmtId="0" fontId="5" fillId="7" borderId="37" xfId="0" applyFont="1" applyFill="1" applyBorder="1" applyAlignment="1">
      <alignment horizontal="center" wrapText="1"/>
    </xf>
    <xf numFmtId="10" fontId="5" fillId="7" borderId="39" xfId="0" applyNumberFormat="1" applyFont="1" applyFill="1" applyBorder="1" applyAlignment="1">
      <alignment horizontal="right" vertical="center" wrapText="1"/>
    </xf>
    <xf numFmtId="181" fontId="19" fillId="7" borderId="20" xfId="1" applyNumberFormat="1" applyFont="1" applyFill="1" applyBorder="1"/>
    <xf numFmtId="10" fontId="19" fillId="7" borderId="21" xfId="17" applyNumberFormat="1" applyFont="1" applyFill="1" applyBorder="1"/>
    <xf numFmtId="0" fontId="8" fillId="7" borderId="0" xfId="1" applyFont="1" applyFill="1" applyAlignment="1">
      <alignment horizontal="center"/>
    </xf>
    <xf numFmtId="0" fontId="1" fillId="7" borderId="11" xfId="12" applyFont="1" applyFill="1" applyBorder="1" applyAlignment="1">
      <alignment horizontal="center"/>
    </xf>
    <xf numFmtId="0" fontId="1" fillId="7" borderId="11" xfId="12" applyFill="1" applyBorder="1" applyAlignment="1">
      <alignment horizontal="center"/>
    </xf>
    <xf numFmtId="0" fontId="1" fillId="7" borderId="12" xfId="12" applyFont="1" applyFill="1" applyBorder="1" applyAlignment="1">
      <alignment horizontal="center"/>
    </xf>
    <xf numFmtId="0" fontId="1" fillId="7" borderId="12" xfId="12" applyFill="1" applyBorder="1" applyAlignment="1">
      <alignment horizontal="center"/>
    </xf>
    <xf numFmtId="9" fontId="1" fillId="7" borderId="4" xfId="17" applyFill="1" applyBorder="1"/>
    <xf numFmtId="4" fontId="3" fillId="7" borderId="5" xfId="12" applyNumberFormat="1" applyFont="1" applyFill="1" applyBorder="1" applyAlignment="1">
      <alignment vertical="center"/>
    </xf>
    <xf numFmtId="9" fontId="1" fillId="7" borderId="9" xfId="17" applyFill="1" applyBorder="1"/>
    <xf numFmtId="0" fontId="1" fillId="7" borderId="0" xfId="12" applyFill="1" applyBorder="1"/>
    <xf numFmtId="4" fontId="3" fillId="7" borderId="0" xfId="12" applyNumberFormat="1" applyFont="1" applyFill="1" applyBorder="1" applyAlignment="1">
      <alignment horizontal="right" vertical="center"/>
    </xf>
    <xf numFmtId="9" fontId="1" fillId="7" borderId="0" xfId="17" applyFill="1"/>
    <xf numFmtId="4" fontId="1" fillId="7" borderId="0" xfId="12" applyNumberFormat="1" applyFill="1"/>
    <xf numFmtId="0" fontId="1" fillId="7" borderId="10" xfId="12" applyFill="1" applyBorder="1"/>
    <xf numFmtId="10" fontId="5" fillId="7" borderId="2" xfId="17" applyNumberFormat="1" applyFont="1" applyFill="1" applyBorder="1" applyAlignment="1">
      <alignment horizontal="center"/>
    </xf>
    <xf numFmtId="0" fontId="8" fillId="7" borderId="11" xfId="1" applyFont="1" applyFill="1" applyBorder="1" applyAlignment="1">
      <alignment horizontal="center"/>
    </xf>
    <xf numFmtId="0" fontId="7" fillId="7" borderId="12" xfId="1" applyFont="1" applyFill="1" applyBorder="1" applyAlignment="1">
      <alignment horizontal="center"/>
    </xf>
    <xf numFmtId="0" fontId="7" fillId="7" borderId="13" xfId="1" applyFont="1" applyFill="1" applyBorder="1" applyAlignment="1">
      <alignment horizontal="center"/>
    </xf>
    <xf numFmtId="0" fontId="7" fillId="7" borderId="15" xfId="1" applyFont="1" applyFill="1" applyBorder="1" applyAlignment="1">
      <alignment horizontal="center"/>
    </xf>
    <xf numFmtId="0" fontId="12" fillId="7" borderId="13" xfId="14" applyFont="1" applyFill="1" applyBorder="1"/>
    <xf numFmtId="2" fontId="3" fillId="7" borderId="6" xfId="1" applyNumberFormat="1" applyFont="1" applyFill="1" applyBorder="1" applyAlignment="1">
      <alignment horizontal="center"/>
    </xf>
    <xf numFmtId="2" fontId="3" fillId="7" borderId="7" xfId="1" applyNumberFormat="1" applyFont="1" applyFill="1" applyBorder="1"/>
    <xf numFmtId="2" fontId="19" fillId="7" borderId="7" xfId="17" applyNumberFormat="1" applyFont="1" applyFill="1" applyBorder="1"/>
    <xf numFmtId="0" fontId="7" fillId="7" borderId="11" xfId="16" applyFont="1" applyFill="1" applyBorder="1" applyAlignment="1">
      <alignment horizontal="center"/>
    </xf>
    <xf numFmtId="181" fontId="3" fillId="7" borderId="7" xfId="1" applyNumberFormat="1" applyFont="1" applyFill="1" applyBorder="1"/>
    <xf numFmtId="2" fontId="19" fillId="7" borderId="6" xfId="1" applyNumberFormat="1" applyFont="1" applyFill="1" applyBorder="1"/>
    <xf numFmtId="10" fontId="19" fillId="7" borderId="13" xfId="17" applyNumberFormat="1" applyFont="1" applyFill="1" applyBorder="1" applyAlignment="1">
      <alignment horizontal="center"/>
    </xf>
    <xf numFmtId="10" fontId="19" fillId="7" borderId="15" xfId="17" applyNumberFormat="1" applyFont="1" applyFill="1" applyBorder="1"/>
    <xf numFmtId="9" fontId="3" fillId="7" borderId="4" xfId="1" applyNumberFormat="1" applyFont="1" applyFill="1" applyBorder="1" applyAlignment="1">
      <alignment horizontal="center"/>
    </xf>
    <xf numFmtId="0" fontId="3" fillId="7" borderId="5" xfId="1" applyFont="1" applyFill="1" applyBorder="1"/>
    <xf numFmtId="0" fontId="8" fillId="7" borderId="9" xfId="1" applyFont="1" applyFill="1" applyBorder="1" applyAlignment="1">
      <alignment horizontal="center"/>
    </xf>
    <xf numFmtId="4" fontId="3" fillId="7" borderId="5" xfId="1" applyNumberFormat="1" applyFont="1" applyFill="1" applyBorder="1" applyAlignment="1">
      <alignment horizontal="right" vertical="center"/>
    </xf>
    <xf numFmtId="168" fontId="0" fillId="7" borderId="11" xfId="0" applyNumberFormat="1" applyFill="1" applyBorder="1" applyAlignment="1">
      <alignment horizontal="center"/>
    </xf>
    <xf numFmtId="0" fontId="8" fillId="7" borderId="12" xfId="1" applyFont="1" applyFill="1" applyBorder="1" applyAlignment="1">
      <alignment horizontal="center"/>
    </xf>
    <xf numFmtId="0" fontId="8" fillId="7" borderId="13" xfId="1" applyFont="1" applyFill="1" applyBorder="1" applyAlignment="1">
      <alignment horizontal="center"/>
    </xf>
    <xf numFmtId="0" fontId="8" fillId="7" borderId="15" xfId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vertical="center"/>
    </xf>
    <xf numFmtId="4" fontId="31" fillId="7" borderId="5" xfId="1" applyNumberFormat="1" applyFont="1" applyFill="1" applyBorder="1" applyAlignment="1">
      <alignment vertical="center"/>
    </xf>
    <xf numFmtId="4" fontId="31" fillId="7" borderId="0" xfId="1" applyNumberFormat="1" applyFont="1" applyFill="1" applyBorder="1" applyAlignment="1">
      <alignment horizontal="right" vertical="center"/>
    </xf>
    <xf numFmtId="4" fontId="31" fillId="7" borderId="7" xfId="1" applyNumberFormat="1" applyFont="1" applyFill="1" applyBorder="1" applyAlignment="1">
      <alignment horizontal="right" vertical="center"/>
    </xf>
    <xf numFmtId="10" fontId="2" fillId="7" borderId="14" xfId="17" applyNumberFormat="1" applyFont="1" applyFill="1" applyBorder="1" applyAlignment="1">
      <alignment horizontal="center"/>
    </xf>
    <xf numFmtId="0" fontId="1" fillId="7" borderId="0" xfId="1" applyFont="1" applyFill="1"/>
    <xf numFmtId="0" fontId="7" fillId="7" borderId="11" xfId="1" applyFont="1" applyFill="1" applyBorder="1" applyAlignment="1">
      <alignment horizontal="center"/>
    </xf>
    <xf numFmtId="10" fontId="12" fillId="7" borderId="12" xfId="17" applyNumberFormat="1" applyFont="1" applyFill="1" applyBorder="1" applyAlignment="1">
      <alignment horizontal="center"/>
    </xf>
    <xf numFmtId="0" fontId="12" fillId="7" borderId="12" xfId="14" applyFont="1" applyFill="1" applyBorder="1"/>
    <xf numFmtId="2" fontId="12" fillId="7" borderId="12" xfId="14" applyNumberFormat="1" applyFont="1" applyFill="1" applyBorder="1" applyAlignment="1">
      <alignment horizontal="right"/>
    </xf>
    <xf numFmtId="10" fontId="12" fillId="7" borderId="13" xfId="17" applyNumberFormat="1" applyFont="1" applyFill="1" applyBorder="1" applyAlignment="1">
      <alignment horizontal="center"/>
    </xf>
    <xf numFmtId="2" fontId="12" fillId="7" borderId="13" xfId="14" applyNumberFormat="1" applyFont="1" applyFill="1" applyBorder="1" applyAlignment="1">
      <alignment horizontal="right"/>
    </xf>
    <xf numFmtId="10" fontId="12" fillId="7" borderId="15" xfId="17" applyNumberFormat="1" applyFont="1" applyFill="1" applyBorder="1" applyAlignment="1">
      <alignment horizontal="center"/>
    </xf>
    <xf numFmtId="0" fontId="12" fillId="7" borderId="15" xfId="14" applyFont="1" applyFill="1" applyBorder="1"/>
    <xf numFmtId="2" fontId="12" fillId="7" borderId="15" xfId="14" applyNumberFormat="1" applyFont="1" applyFill="1" applyBorder="1" applyAlignment="1">
      <alignment horizontal="right"/>
    </xf>
    <xf numFmtId="2" fontId="9" fillId="7" borderId="13" xfId="10" applyNumberFormat="1" applyFill="1" applyBorder="1"/>
    <xf numFmtId="0" fontId="3" fillId="7" borderId="4" xfId="1" applyFont="1" applyFill="1" applyBorder="1"/>
    <xf numFmtId="10" fontId="19" fillId="7" borderId="12" xfId="17" applyNumberFormat="1" applyFont="1" applyFill="1" applyBorder="1" applyAlignment="1">
      <alignment horizontal="right"/>
    </xf>
    <xf numFmtId="0" fontId="3" fillId="7" borderId="6" xfId="1" applyFont="1" applyFill="1" applyBorder="1"/>
    <xf numFmtId="10" fontId="19" fillId="7" borderId="15" xfId="17" applyNumberFormat="1" applyFont="1" applyFill="1" applyBorder="1" applyAlignment="1">
      <alignment horizontal="right"/>
    </xf>
    <xf numFmtId="4" fontId="5" fillId="7" borderId="10" xfId="1" applyNumberFormat="1" applyFont="1" applyFill="1" applyBorder="1" applyAlignment="1">
      <alignment horizontal="right"/>
    </xf>
    <xf numFmtId="10" fontId="5" fillId="7" borderId="7" xfId="17" applyNumberFormat="1" applyFont="1" applyFill="1" applyBorder="1" applyAlignment="1">
      <alignment horizontal="right"/>
    </xf>
    <xf numFmtId="0" fontId="11" fillId="7" borderId="9" xfId="1" applyFont="1" applyFill="1" applyBorder="1"/>
    <xf numFmtId="4" fontId="11" fillId="7" borderId="0" xfId="1" applyNumberFormat="1" applyFont="1" applyFill="1"/>
    <xf numFmtId="0" fontId="9" fillId="7" borderId="0" xfId="10" applyFill="1"/>
    <xf numFmtId="0" fontId="9" fillId="7" borderId="0" xfId="10" applyFont="1" applyFill="1"/>
    <xf numFmtId="10" fontId="21" fillId="7" borderId="9" xfId="1" applyNumberFormat="1" applyFont="1" applyFill="1" applyBorder="1" applyAlignment="1">
      <alignment horizontal="center"/>
    </xf>
    <xf numFmtId="0" fontId="23" fillId="7" borderId="0" xfId="10" applyFont="1" applyFill="1"/>
    <xf numFmtId="0" fontId="9" fillId="7" borderId="14" xfId="10" applyFont="1" applyFill="1" applyBorder="1"/>
    <xf numFmtId="17" fontId="3" fillId="7" borderId="7" xfId="1" applyNumberFormat="1" applyFont="1" applyFill="1" applyBorder="1"/>
    <xf numFmtId="17" fontId="3" fillId="7" borderId="7" xfId="1" applyNumberFormat="1" applyFont="1" applyFill="1" applyBorder="1" applyAlignment="1">
      <alignment horizontal="right"/>
    </xf>
    <xf numFmtId="0" fontId="12" fillId="7" borderId="9" xfId="14" applyFont="1" applyFill="1" applyBorder="1"/>
    <xf numFmtId="168" fontId="19" fillId="7" borderId="12" xfId="1" applyNumberFormat="1" applyFont="1" applyFill="1" applyBorder="1" applyAlignment="1">
      <alignment horizontal="right"/>
    </xf>
    <xf numFmtId="168" fontId="19" fillId="7" borderId="13" xfId="1" applyNumberFormat="1" applyFont="1" applyFill="1" applyBorder="1" applyAlignment="1">
      <alignment horizontal="right"/>
    </xf>
    <xf numFmtId="10" fontId="3" fillId="7" borderId="15" xfId="1" applyNumberFormat="1" applyFont="1" applyFill="1" applyBorder="1" applyAlignment="1">
      <alignment horizontal="center"/>
    </xf>
    <xf numFmtId="168" fontId="19" fillId="7" borderId="15" xfId="1" applyNumberFormat="1" applyFont="1" applyFill="1" applyBorder="1" applyAlignment="1">
      <alignment horizontal="right"/>
    </xf>
    <xf numFmtId="165" fontId="19" fillId="7" borderId="12" xfId="1" applyNumberFormat="1" applyFont="1" applyFill="1" applyBorder="1" applyAlignment="1">
      <alignment horizontal="right"/>
    </xf>
    <xf numFmtId="165" fontId="19" fillId="7" borderId="13" xfId="1" applyNumberFormat="1" applyFont="1" applyFill="1" applyBorder="1" applyAlignment="1">
      <alignment horizontal="right"/>
    </xf>
    <xf numFmtId="165" fontId="9" fillId="7" borderId="13" xfId="10" applyNumberFormat="1" applyFill="1" applyBorder="1"/>
    <xf numFmtId="10" fontId="5" fillId="7" borderId="10" xfId="17" applyNumberFormat="1" applyFont="1" applyFill="1" applyBorder="1" applyAlignment="1">
      <alignment horizontal="left"/>
    </xf>
    <xf numFmtId="0" fontId="12" fillId="7" borderId="13" xfId="1" applyFont="1" applyFill="1" applyBorder="1"/>
    <xf numFmtId="0" fontId="12" fillId="7" borderId="15" xfId="1" applyFont="1" applyFill="1" applyBorder="1"/>
    <xf numFmtId="4" fontId="5" fillId="7" borderId="10" xfId="1" applyNumberFormat="1" applyFont="1" applyFill="1" applyBorder="1"/>
    <xf numFmtId="10" fontId="1" fillId="7" borderId="0" xfId="17" applyNumberFormat="1" applyFont="1" applyFill="1" applyBorder="1" applyAlignment="1">
      <alignment horizontal="center"/>
    </xf>
    <xf numFmtId="0" fontId="12" fillId="7" borderId="12" xfId="1" applyFont="1" applyFill="1" applyBorder="1"/>
    <xf numFmtId="2" fontId="19" fillId="7" borderId="4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center"/>
    </xf>
    <xf numFmtId="2" fontId="19" fillId="7" borderId="9" xfId="1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center"/>
    </xf>
    <xf numFmtId="2" fontId="19" fillId="7" borderId="6" xfId="1" applyNumberFormat="1" applyFont="1" applyFill="1" applyBorder="1" applyAlignment="1">
      <alignment horizontal="right"/>
    </xf>
    <xf numFmtId="17" fontId="19" fillId="7" borderId="0" xfId="1" applyNumberFormat="1" applyFont="1" applyFill="1"/>
    <xf numFmtId="2" fontId="19" fillId="7" borderId="12" xfId="1" applyNumberFormat="1" applyFont="1" applyFill="1" applyBorder="1" applyAlignment="1">
      <alignment horizontal="right"/>
    </xf>
    <xf numFmtId="2" fontId="19" fillId="7" borderId="13" xfId="1" applyNumberFormat="1" applyFont="1" applyFill="1" applyBorder="1" applyAlignment="1">
      <alignment horizontal="right"/>
    </xf>
    <xf numFmtId="2" fontId="19" fillId="7" borderId="15" xfId="1" applyNumberFormat="1" applyFont="1" applyFill="1" applyBorder="1" applyAlignment="1">
      <alignment horizontal="right"/>
    </xf>
    <xf numFmtId="0" fontId="12" fillId="7" borderId="12" xfId="12" applyFont="1" applyFill="1" applyBorder="1"/>
    <xf numFmtId="4" fontId="1" fillId="7" borderId="12" xfId="12" applyNumberFormat="1" applyFont="1" applyFill="1" applyBorder="1" applyAlignment="1">
      <alignment horizontal="right"/>
    </xf>
    <xf numFmtId="0" fontId="12" fillId="7" borderId="13" xfId="12" applyFont="1" applyFill="1" applyBorder="1"/>
    <xf numFmtId="4" fontId="1" fillId="7" borderId="13" xfId="12" applyNumberFormat="1" applyFont="1" applyFill="1" applyBorder="1" applyAlignment="1">
      <alignment horizontal="right"/>
    </xf>
    <xf numFmtId="10" fontId="1" fillId="7" borderId="5" xfId="17" applyNumberFormat="1" applyFont="1" applyFill="1" applyBorder="1" applyAlignment="1">
      <alignment horizontal="center"/>
    </xf>
    <xf numFmtId="0" fontId="12" fillId="7" borderId="5" xfId="12" applyFont="1" applyFill="1" applyBorder="1"/>
    <xf numFmtId="166" fontId="1" fillId="7" borderId="5" xfId="12" applyNumberFormat="1" applyFont="1" applyFill="1" applyBorder="1" applyAlignment="1">
      <alignment horizontal="right"/>
    </xf>
    <xf numFmtId="9" fontId="3" fillId="7" borderId="0" xfId="1" applyNumberFormat="1" applyFont="1" applyFill="1" applyBorder="1" applyAlignment="1">
      <alignment horizontal="center"/>
    </xf>
    <xf numFmtId="0" fontId="12" fillId="7" borderId="0" xfId="1" applyFont="1" applyFill="1" applyBorder="1"/>
    <xf numFmtId="0" fontId="19" fillId="7" borderId="10" xfId="1" applyFont="1" applyFill="1" applyBorder="1" applyAlignment="1">
      <alignment horizontal="center"/>
    </xf>
    <xf numFmtId="0" fontId="7" fillId="7" borderId="0" xfId="1" applyFont="1" applyFill="1" applyAlignment="1">
      <alignment horizontal="center"/>
    </xf>
    <xf numFmtId="10" fontId="19" fillId="7" borderId="12" xfId="17" applyNumberFormat="1" applyFont="1" applyFill="1" applyBorder="1" applyAlignment="1">
      <alignment horizontal="center"/>
    </xf>
    <xf numFmtId="0" fontId="0" fillId="7" borderId="0" xfId="0" applyFill="1"/>
    <xf numFmtId="10" fontId="19" fillId="7" borderId="15" xfId="17" applyNumberFormat="1" applyFont="1" applyFill="1" applyBorder="1" applyAlignment="1">
      <alignment horizontal="center"/>
    </xf>
    <xf numFmtId="0" fontId="19" fillId="7" borderId="8" xfId="1" applyFont="1" applyFill="1" applyBorder="1"/>
    <xf numFmtId="4" fontId="3" fillId="7" borderId="4" xfId="1" applyNumberFormat="1" applyFont="1" applyFill="1" applyBorder="1" applyAlignment="1">
      <alignment vertical="center"/>
    </xf>
    <xf numFmtId="0" fontId="19" fillId="7" borderId="16" xfId="1" applyFont="1" applyFill="1" applyBorder="1"/>
    <xf numFmtId="4" fontId="3" fillId="7" borderId="9" xfId="1" applyNumberFormat="1" applyFont="1" applyFill="1" applyBorder="1" applyAlignment="1">
      <alignment horizontal="right" vertical="center"/>
    </xf>
    <xf numFmtId="4" fontId="3" fillId="7" borderId="13" xfId="1" applyNumberFormat="1" applyFont="1" applyFill="1" applyBorder="1" applyAlignment="1">
      <alignment vertical="center"/>
    </xf>
    <xf numFmtId="4" fontId="3" fillId="7" borderId="10" xfId="1" applyNumberFormat="1" applyFont="1" applyFill="1" applyBorder="1" applyAlignment="1">
      <alignment horizontal="right" vertical="center"/>
    </xf>
    <xf numFmtId="4" fontId="3" fillId="7" borderId="7" xfId="1" applyNumberFormat="1" applyFont="1" applyFill="1" applyBorder="1" applyAlignment="1">
      <alignment vertical="center"/>
    </xf>
    <xf numFmtId="10" fontId="19" fillId="7" borderId="10" xfId="17" applyNumberFormat="1" applyFont="1" applyFill="1" applyBorder="1" applyAlignment="1">
      <alignment horizontal="center" vertical="center"/>
    </xf>
    <xf numFmtId="10" fontId="19" fillId="7" borderId="2" xfId="17" applyNumberFormat="1" applyFont="1" applyFill="1" applyBorder="1" applyAlignment="1">
      <alignment horizontal="center" vertical="center"/>
    </xf>
    <xf numFmtId="4" fontId="3" fillId="7" borderId="10" xfId="1" applyNumberFormat="1" applyFont="1" applyFill="1" applyBorder="1" applyAlignment="1">
      <alignment vertical="center"/>
    </xf>
    <xf numFmtId="0" fontId="2" fillId="7" borderId="3" xfId="1" applyFont="1" applyFill="1" applyBorder="1" applyAlignment="1"/>
    <xf numFmtId="0" fontId="2" fillId="7" borderId="10" xfId="1" applyFont="1" applyFill="1" applyBorder="1" applyAlignment="1"/>
    <xf numFmtId="0" fontId="16" fillId="7" borderId="8" xfId="1" applyFont="1" applyFill="1" applyBorder="1"/>
    <xf numFmtId="0" fontId="16" fillId="7" borderId="16" xfId="1" applyFont="1" applyFill="1" applyBorder="1"/>
    <xf numFmtId="0" fontId="16" fillId="7" borderId="14" xfId="1" applyFont="1" applyFill="1" applyBorder="1"/>
    <xf numFmtId="4" fontId="3" fillId="7" borderId="16" xfId="1" applyNumberFormat="1" applyFont="1" applyFill="1" applyBorder="1" applyAlignment="1">
      <alignment vertical="center"/>
    </xf>
    <xf numFmtId="4" fontId="3" fillId="7" borderId="16" xfId="1" applyNumberFormat="1" applyFont="1" applyFill="1" applyBorder="1" applyAlignment="1">
      <alignment horizontal="right" vertical="center"/>
    </xf>
    <xf numFmtId="0" fontId="16" fillId="7" borderId="15" xfId="1" applyFont="1" applyFill="1" applyBorder="1"/>
    <xf numFmtId="4" fontId="3" fillId="7" borderId="14" xfId="1" applyNumberFormat="1" applyFont="1" applyFill="1" applyBorder="1" applyAlignment="1">
      <alignment horizontal="right" vertical="center"/>
    </xf>
    <xf numFmtId="0" fontId="19" fillId="7" borderId="2" xfId="1" applyFont="1" applyFill="1" applyBorder="1" applyAlignment="1">
      <alignment horizontal="center"/>
    </xf>
    <xf numFmtId="0" fontId="7" fillId="7" borderId="9" xfId="1" applyFont="1" applyFill="1" applyBorder="1" applyAlignment="1">
      <alignment horizontal="center"/>
    </xf>
    <xf numFmtId="0" fontId="19" fillId="7" borderId="12" xfId="1" applyFont="1" applyFill="1" applyBorder="1" applyAlignment="1">
      <alignment horizontal="right"/>
    </xf>
    <xf numFmtId="168" fontId="3" fillId="7" borderId="12" xfId="1" applyNumberFormat="1" applyFont="1" applyFill="1" applyBorder="1" applyAlignment="1">
      <alignment vertical="center"/>
    </xf>
    <xf numFmtId="0" fontId="19" fillId="7" borderId="13" xfId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right"/>
    </xf>
    <xf numFmtId="168" fontId="3" fillId="7" borderId="15" xfId="1" applyNumberFormat="1" applyFont="1" applyFill="1" applyBorder="1" applyAlignment="1">
      <alignment horizontal="right" vertical="center"/>
    </xf>
    <xf numFmtId="2" fontId="1" fillId="7" borderId="12" xfId="15" applyNumberFormat="1" applyFont="1" applyFill="1" applyBorder="1"/>
    <xf numFmtId="2" fontId="1" fillId="7" borderId="13" xfId="15" applyNumberFormat="1" applyFont="1" applyFill="1" applyBorder="1"/>
    <xf numFmtId="2" fontId="1" fillId="7" borderId="15" xfId="15" applyNumberFormat="1" applyFont="1" applyFill="1" applyBorder="1"/>
    <xf numFmtId="0" fontId="19" fillId="7" borderId="12" xfId="1" applyFont="1" applyFill="1" applyBorder="1" applyAlignment="1">
      <alignment horizontal="left"/>
    </xf>
    <xf numFmtId="168" fontId="19" fillId="7" borderId="9" xfId="1" applyNumberFormat="1" applyFont="1" applyFill="1" applyBorder="1" applyAlignment="1">
      <alignment horizontal="right"/>
    </xf>
    <xf numFmtId="10" fontId="19" fillId="7" borderId="12" xfId="17" applyNumberFormat="1" applyFont="1" applyFill="1" applyBorder="1" applyAlignment="1">
      <alignment horizontal="center" vertical="center"/>
    </xf>
    <xf numFmtId="0" fontId="19" fillId="7" borderId="13" xfId="1" applyFont="1" applyFill="1" applyBorder="1" applyAlignment="1">
      <alignment horizontal="left"/>
    </xf>
    <xf numFmtId="10" fontId="19" fillId="7" borderId="13" xfId="17" applyNumberFormat="1" applyFont="1" applyFill="1" applyBorder="1" applyAlignment="1">
      <alignment horizontal="center" vertical="center"/>
    </xf>
    <xf numFmtId="168" fontId="3" fillId="7" borderId="9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left"/>
    </xf>
    <xf numFmtId="168" fontId="3" fillId="7" borderId="6" xfId="1" applyNumberFormat="1" applyFont="1" applyFill="1" applyBorder="1" applyAlignment="1">
      <alignment horizontal="right" vertical="center"/>
    </xf>
    <xf numFmtId="10" fontId="19" fillId="7" borderId="15" xfId="17" applyNumberFormat="1" applyFont="1" applyFill="1" applyBorder="1" applyAlignment="1">
      <alignment horizontal="center" vertical="center"/>
    </xf>
    <xf numFmtId="0" fontId="19" fillId="7" borderId="4" xfId="1" applyFont="1" applyFill="1" applyBorder="1" applyAlignment="1">
      <alignment horizontal="center"/>
    </xf>
    <xf numFmtId="4" fontId="1" fillId="7" borderId="13" xfId="17" applyNumberFormat="1" applyFill="1" applyBorder="1" applyAlignment="1">
      <alignment vertical="center"/>
    </xf>
    <xf numFmtId="4" fontId="3" fillId="7" borderId="6" xfId="1" applyNumberFormat="1" applyFont="1" applyFill="1" applyBorder="1" applyAlignment="1">
      <alignment horizontal="right" vertical="center"/>
    </xf>
    <xf numFmtId="4" fontId="1" fillId="7" borderId="15" xfId="17" applyNumberFormat="1" applyFill="1" applyBorder="1" applyAlignment="1">
      <alignment vertical="center"/>
    </xf>
    <xf numFmtId="4" fontId="3" fillId="7" borderId="8" xfId="1" applyNumberFormat="1" applyFont="1" applyFill="1" applyBorder="1" applyAlignment="1">
      <alignment vertical="center"/>
    </xf>
    <xf numFmtId="164" fontId="1" fillId="7" borderId="16" xfId="2" applyFill="1" applyBorder="1" applyAlignment="1">
      <alignment horizontal="right" vertical="center"/>
    </xf>
    <xf numFmtId="4" fontId="1" fillId="7" borderId="16" xfId="17" applyNumberFormat="1" applyFill="1" applyBorder="1" applyAlignment="1">
      <alignment vertical="center"/>
    </xf>
    <xf numFmtId="4" fontId="1" fillId="7" borderId="14" xfId="17" applyNumberFormat="1" applyFill="1" applyBorder="1" applyAlignment="1">
      <alignment vertical="center"/>
    </xf>
    <xf numFmtId="185" fontId="1" fillId="7" borderId="12" xfId="2" applyNumberFormat="1" applyFill="1" applyBorder="1" applyAlignment="1">
      <alignment vertical="center"/>
    </xf>
    <xf numFmtId="2" fontId="1" fillId="7" borderId="4" xfId="15" applyNumberFormat="1" applyFont="1" applyFill="1" applyBorder="1" applyAlignment="1">
      <alignment horizontal="right"/>
    </xf>
    <xf numFmtId="2" fontId="1" fillId="7" borderId="9" xfId="15" applyNumberFormat="1" applyFont="1" applyFill="1" applyBorder="1" applyAlignment="1">
      <alignment horizontal="right"/>
    </xf>
    <xf numFmtId="10" fontId="1" fillId="7" borderId="12" xfId="17" applyNumberFormat="1" applyFont="1" applyFill="1" applyBorder="1" applyAlignment="1">
      <alignment horizontal="center"/>
    </xf>
    <xf numFmtId="10" fontId="1" fillId="7" borderId="13" xfId="17" applyNumberFormat="1" applyFont="1" applyFill="1" applyBorder="1" applyAlignment="1">
      <alignment horizontal="center"/>
    </xf>
    <xf numFmtId="10" fontId="1" fillId="7" borderId="15" xfId="17" applyNumberFormat="1" applyFont="1" applyFill="1" applyBorder="1" applyAlignment="1">
      <alignment horizontal="center"/>
    </xf>
    <xf numFmtId="10" fontId="11" fillId="7" borderId="0" xfId="1" applyNumberFormat="1" applyFont="1" applyFill="1" applyBorder="1" applyAlignment="1">
      <alignment horizontal="center"/>
    </xf>
    <xf numFmtId="168" fontId="11" fillId="7" borderId="13" xfId="1" applyNumberFormat="1" applyFont="1" applyFill="1" applyBorder="1" applyAlignment="1">
      <alignment horizontal="right"/>
    </xf>
    <xf numFmtId="2" fontId="11" fillId="7" borderId="13" xfId="1" applyNumberFormat="1" applyFont="1" applyFill="1" applyBorder="1"/>
    <xf numFmtId="10" fontId="11" fillId="7" borderId="0" xfId="17" applyNumberFormat="1" applyFont="1" applyFill="1" applyBorder="1"/>
    <xf numFmtId="10" fontId="3" fillId="7" borderId="0" xfId="1" applyNumberFormat="1" applyFont="1" applyFill="1" applyBorder="1" applyAlignment="1">
      <alignment horizontal="center"/>
    </xf>
    <xf numFmtId="168" fontId="11" fillId="7" borderId="15" xfId="1" applyNumberFormat="1" applyFont="1" applyFill="1" applyBorder="1" applyAlignment="1">
      <alignment horizontal="right"/>
    </xf>
    <xf numFmtId="181" fontId="7" fillId="7" borderId="11" xfId="1" applyNumberFormat="1" applyFont="1" applyFill="1" applyBorder="1" applyAlignment="1">
      <alignment horizontal="center"/>
    </xf>
    <xf numFmtId="2" fontId="19" fillId="7" borderId="0" xfId="1" applyNumberFormat="1" applyFont="1" applyFill="1" applyBorder="1" applyAlignment="1">
      <alignment horizontal="right"/>
    </xf>
    <xf numFmtId="166" fontId="19" fillId="7" borderId="12" xfId="1" applyNumberFormat="1" applyFont="1" applyFill="1" applyBorder="1" applyAlignment="1">
      <alignment horizontal="right"/>
    </xf>
    <xf numFmtId="166" fontId="19" fillId="7" borderId="13" xfId="1" applyNumberFormat="1" applyFont="1" applyFill="1" applyBorder="1" applyAlignment="1">
      <alignment horizontal="right"/>
    </xf>
    <xf numFmtId="166" fontId="19" fillId="7" borderId="15" xfId="1" applyNumberFormat="1" applyFont="1" applyFill="1" applyBorder="1" applyAlignment="1">
      <alignment horizontal="right"/>
    </xf>
    <xf numFmtId="10" fontId="5" fillId="7" borderId="0" xfId="1" applyNumberFormat="1" applyFont="1" applyFill="1"/>
    <xf numFmtId="0" fontId="12" fillId="7" borderId="9" xfId="12" applyFont="1" applyFill="1" applyBorder="1"/>
    <xf numFmtId="2" fontId="19" fillId="7" borderId="4" xfId="1" applyNumberFormat="1" applyFont="1" applyFill="1" applyBorder="1"/>
    <xf numFmtId="2" fontId="19" fillId="7" borderId="9" xfId="1" applyNumberFormat="1" applyFont="1" applyFill="1" applyBorder="1"/>
    <xf numFmtId="0" fontId="19" fillId="7" borderId="11" xfId="1" applyFont="1" applyFill="1" applyBorder="1"/>
    <xf numFmtId="10" fontId="19" fillId="7" borderId="11" xfId="17" applyNumberFormat="1" applyFont="1" applyFill="1" applyBorder="1" applyAlignment="1">
      <alignment horizontal="center" vertical="center"/>
    </xf>
    <xf numFmtId="2" fontId="19" fillId="7" borderId="12" xfId="17" applyNumberFormat="1" applyFont="1" applyFill="1" applyBorder="1" applyAlignment="1">
      <alignment horizontal="center" vertical="center"/>
    </xf>
    <xf numFmtId="2" fontId="19" fillId="7" borderId="13" xfId="17" applyNumberFormat="1" applyFont="1" applyFill="1" applyBorder="1" applyAlignment="1">
      <alignment horizontal="center" vertical="center"/>
    </xf>
    <xf numFmtId="2" fontId="19" fillId="7" borderId="15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9" fontId="3" fillId="7" borderId="12" xfId="1" applyNumberFormat="1" applyFont="1" applyFill="1" applyBorder="1" applyAlignment="1">
      <alignment horizontal="center"/>
    </xf>
    <xf numFmtId="17" fontId="3" fillId="7" borderId="3" xfId="1" applyNumberFormat="1" applyFont="1" applyFill="1" applyBorder="1"/>
    <xf numFmtId="10" fontId="1" fillId="7" borderId="9" xfId="17" applyNumberFormat="1" applyFont="1" applyFill="1" applyBorder="1" applyAlignment="1">
      <alignment horizontal="center"/>
    </xf>
    <xf numFmtId="10" fontId="19" fillId="7" borderId="9" xfId="17" applyNumberFormat="1" applyFont="1" applyFill="1" applyBorder="1" applyAlignment="1">
      <alignment horizontal="center"/>
    </xf>
    <xf numFmtId="9" fontId="3" fillId="7" borderId="11" xfId="1" applyNumberFormat="1" applyFont="1" applyFill="1" applyBorder="1" applyAlignment="1">
      <alignment horizontal="center"/>
    </xf>
    <xf numFmtId="0" fontId="12" fillId="7" borderId="11" xfId="1" applyFont="1" applyFill="1" applyBorder="1"/>
    <xf numFmtId="4" fontId="19" fillId="7" borderId="11" xfId="1" applyNumberFormat="1" applyFont="1" applyFill="1" applyBorder="1"/>
    <xf numFmtId="168" fontId="19" fillId="7" borderId="0" xfId="1" applyNumberFormat="1" applyFont="1" applyFill="1"/>
    <xf numFmtId="10" fontId="19" fillId="7" borderId="15" xfId="17" applyNumberFormat="1" applyFont="1" applyFill="1" applyBorder="1" applyAlignment="1">
      <alignment horizontal="center" vertical="center" wrapText="1"/>
    </xf>
    <xf numFmtId="17" fontId="3" fillId="7" borderId="10" xfId="1" applyNumberFormat="1" applyFont="1" applyFill="1" applyBorder="1"/>
    <xf numFmtId="10" fontId="19" fillId="7" borderId="0" xfId="17" applyNumberFormat="1" applyFont="1" applyFill="1"/>
    <xf numFmtId="10" fontId="19" fillId="7" borderId="0" xfId="1" applyNumberFormat="1" applyFont="1" applyFill="1" applyBorder="1"/>
    <xf numFmtId="181" fontId="19" fillId="7" borderId="0" xfId="1" applyNumberFormat="1" applyFont="1" applyFill="1" applyBorder="1"/>
    <xf numFmtId="4" fontId="19" fillId="7" borderId="9" xfId="1" applyNumberFormat="1" applyFont="1" applyFill="1" applyBorder="1" applyAlignment="1">
      <alignment horizontal="right"/>
    </xf>
    <xf numFmtId="171" fontId="0" fillId="7" borderId="11" xfId="0" applyNumberFormat="1" applyFill="1" applyBorder="1" applyAlignment="1">
      <alignment horizontal="center"/>
    </xf>
    <xf numFmtId="4" fontId="19" fillId="7" borderId="3" xfId="1" applyNumberFormat="1" applyFont="1" applyFill="1" applyBorder="1"/>
    <xf numFmtId="4" fontId="19" fillId="7" borderId="2" xfId="1" applyNumberFormat="1" applyFont="1" applyFill="1" applyBorder="1"/>
    <xf numFmtId="0" fontId="0" fillId="7" borderId="0" xfId="0" applyFill="1" applyBorder="1"/>
    <xf numFmtId="0" fontId="0" fillId="7" borderId="32" xfId="0" applyFill="1" applyBorder="1" applyAlignment="1">
      <alignment horizontal="right"/>
    </xf>
    <xf numFmtId="0" fontId="0" fillId="7" borderId="33" xfId="0" applyFill="1" applyBorder="1" applyAlignment="1">
      <alignment horizontal="right"/>
    </xf>
    <xf numFmtId="0" fontId="0" fillId="7" borderId="34" xfId="0" applyFill="1" applyBorder="1" applyAlignment="1">
      <alignment horizontal="right"/>
    </xf>
    <xf numFmtId="0" fontId="3" fillId="7" borderId="3" xfId="1" applyFont="1" applyFill="1" applyBorder="1" applyAlignment="1">
      <alignment horizontal="center" vertical="center"/>
    </xf>
    <xf numFmtId="181" fontId="3" fillId="7" borderId="35" xfId="1" applyNumberFormat="1" applyFont="1" applyFill="1" applyBorder="1"/>
    <xf numFmtId="4" fontId="19" fillId="7" borderId="36" xfId="1" applyNumberFormat="1" applyFont="1" applyFill="1" applyBorder="1"/>
    <xf numFmtId="10" fontId="19" fillId="7" borderId="31" xfId="17" applyNumberFormat="1" applyFont="1" applyFill="1" applyBorder="1"/>
    <xf numFmtId="181" fontId="3" fillId="7" borderId="37" xfId="1" applyNumberFormat="1" applyFont="1" applyFill="1" applyBorder="1"/>
    <xf numFmtId="4" fontId="19" fillId="7" borderId="38" xfId="1" applyNumberFormat="1" applyFont="1" applyFill="1" applyBorder="1"/>
    <xf numFmtId="10" fontId="19" fillId="7" borderId="39" xfId="17" applyNumberFormat="1" applyFont="1" applyFill="1" applyBorder="1" applyAlignment="1">
      <alignment horizontal="right"/>
    </xf>
    <xf numFmtId="10" fontId="3" fillId="7" borderId="12" xfId="1" applyNumberFormat="1" applyFont="1" applyFill="1" applyBorder="1" applyAlignment="1">
      <alignment horizontal="center"/>
    </xf>
    <xf numFmtId="4" fontId="19" fillId="7" borderId="4" xfId="1" applyNumberFormat="1" applyFont="1" applyFill="1" applyBorder="1"/>
    <xf numFmtId="4" fontId="19" fillId="7" borderId="9" xfId="1" applyNumberFormat="1" applyFont="1" applyFill="1" applyBorder="1"/>
    <xf numFmtId="4" fontId="19" fillId="7" borderId="6" xfId="1" applyNumberFormat="1" applyFont="1" applyFill="1" applyBorder="1"/>
    <xf numFmtId="4" fontId="19" fillId="7" borderId="8" xfId="1" applyNumberFormat="1" applyFont="1" applyFill="1" applyBorder="1"/>
    <xf numFmtId="4" fontId="19" fillId="7" borderId="16" xfId="1" applyNumberFormat="1" applyFont="1" applyFill="1" applyBorder="1"/>
    <xf numFmtId="4" fontId="1" fillId="7" borderId="16" xfId="1" applyNumberFormat="1" applyFont="1" applyFill="1" applyBorder="1"/>
    <xf numFmtId="4" fontId="1" fillId="7" borderId="0" xfId="12" applyNumberFormat="1" applyFill="1" applyAlignment="1">
      <alignment horizontal="right"/>
    </xf>
    <xf numFmtId="10" fontId="11" fillId="7" borderId="4" xfId="1" applyNumberFormat="1" applyFont="1" applyFill="1" applyBorder="1" applyAlignment="1">
      <alignment horizontal="center"/>
    </xf>
    <xf numFmtId="0" fontId="11" fillId="7" borderId="0" xfId="12" applyFont="1" applyFill="1" applyBorder="1"/>
    <xf numFmtId="168" fontId="11" fillId="7" borderId="12" xfId="1" applyNumberFormat="1" applyFont="1" applyFill="1" applyBorder="1" applyAlignment="1">
      <alignment horizontal="right"/>
    </xf>
    <xf numFmtId="2" fontId="11" fillId="7" borderId="12" xfId="1" applyNumberFormat="1" applyFont="1" applyFill="1" applyBorder="1"/>
    <xf numFmtId="10" fontId="11" fillId="7" borderId="5" xfId="17" applyNumberFormat="1" applyFont="1" applyFill="1" applyBorder="1"/>
    <xf numFmtId="10" fontId="21" fillId="7" borderId="0" xfId="1" applyNumberFormat="1" applyFont="1" applyFill="1" applyBorder="1" applyAlignment="1">
      <alignment horizontal="center"/>
    </xf>
    <xf numFmtId="0" fontId="22" fillId="7" borderId="9" xfId="14" applyFont="1" applyFill="1" applyBorder="1"/>
    <xf numFmtId="0" fontId="11" fillId="7" borderId="0" xfId="1" applyFont="1" applyFill="1" applyBorder="1"/>
    <xf numFmtId="0" fontId="22" fillId="7" borderId="0" xfId="1" applyFont="1" applyFill="1" applyBorder="1"/>
    <xf numFmtId="0" fontId="3" fillId="7" borderId="8" xfId="1" applyFont="1" applyFill="1" applyBorder="1"/>
    <xf numFmtId="4" fontId="19" fillId="7" borderId="4" xfId="1" applyNumberFormat="1" applyFont="1" applyFill="1" applyBorder="1" applyAlignment="1">
      <alignment horizontal="right"/>
    </xf>
    <xf numFmtId="0" fontId="3" fillId="7" borderId="16" xfId="1" applyFont="1" applyFill="1" applyBorder="1"/>
    <xf numFmtId="0" fontId="3" fillId="7" borderId="16" xfId="12" applyFont="1" applyFill="1" applyBorder="1"/>
    <xf numFmtId="0" fontId="3" fillId="7" borderId="14" xfId="1" applyFont="1" applyFill="1" applyBorder="1"/>
    <xf numFmtId="0" fontId="3" fillId="7" borderId="4" xfId="1" applyFont="1" applyFill="1" applyBorder="1" applyAlignment="1">
      <alignment horizontal="center" vertical="center"/>
    </xf>
    <xf numFmtId="181" fontId="3" fillId="7" borderId="4" xfId="1" applyNumberFormat="1" applyFont="1" applyFill="1" applyBorder="1"/>
    <xf numFmtId="181" fontId="3" fillId="7" borderId="9" xfId="1" applyNumberFormat="1" applyFont="1" applyFill="1" applyBorder="1"/>
    <xf numFmtId="0" fontId="3" fillId="7" borderId="6" xfId="1" applyFont="1" applyFill="1" applyBorder="1" applyAlignment="1">
      <alignment horizontal="center" vertical="center"/>
    </xf>
    <xf numFmtId="181" fontId="3" fillId="7" borderId="6" xfId="1" applyNumberFormat="1" applyFont="1" applyFill="1" applyBorder="1"/>
    <xf numFmtId="4" fontId="1" fillId="7" borderId="4" xfId="12" applyNumberFormat="1" applyFont="1" applyFill="1" applyBorder="1" applyAlignment="1">
      <alignment horizontal="right"/>
    </xf>
    <xf numFmtId="4" fontId="1" fillId="7" borderId="9" xfId="12" applyNumberFormat="1" applyFont="1" applyFill="1" applyBorder="1" applyAlignment="1">
      <alignment horizontal="right"/>
    </xf>
    <xf numFmtId="0" fontId="5" fillId="7" borderId="10" xfId="1" applyFont="1" applyFill="1" applyBorder="1" applyAlignment="1">
      <alignment horizontal="center"/>
    </xf>
    <xf numFmtId="10" fontId="1" fillId="7" borderId="12" xfId="17" applyNumberFormat="1" applyFill="1" applyBorder="1"/>
    <xf numFmtId="10" fontId="1" fillId="7" borderId="13" xfId="17" applyNumberFormat="1" applyFill="1" applyBorder="1"/>
    <xf numFmtId="10" fontId="1" fillId="7" borderId="15" xfId="17" applyNumberFormat="1" applyFill="1" applyBorder="1"/>
    <xf numFmtId="181" fontId="3" fillId="7" borderId="11" xfId="1" applyNumberFormat="1" applyFont="1" applyFill="1" applyBorder="1"/>
    <xf numFmtId="181" fontId="3" fillId="7" borderId="15" xfId="1" applyNumberFormat="1" applyFont="1" applyFill="1" applyBorder="1"/>
    <xf numFmtId="0" fontId="19" fillId="7" borderId="0" xfId="1" applyFont="1" applyFill="1" applyBorder="1" applyAlignment="1">
      <alignment horizontal="center" vertical="center"/>
    </xf>
    <xf numFmtId="181" fontId="19" fillId="7" borderId="11" xfId="1" applyNumberFormat="1" applyFont="1" applyFill="1" applyBorder="1" applyAlignment="1"/>
    <xf numFmtId="0" fontId="19" fillId="7" borderId="12" xfId="1" applyFont="1" applyFill="1" applyBorder="1" applyAlignment="1">
      <alignment horizontal="center" vertical="center"/>
    </xf>
    <xf numFmtId="4" fontId="3" fillId="7" borderId="11" xfId="1" applyNumberFormat="1" applyFont="1" applyFill="1" applyBorder="1" applyAlignment="1">
      <alignment vertical="center"/>
    </xf>
    <xf numFmtId="181" fontId="19" fillId="7" borderId="9" xfId="1" applyNumberFormat="1" applyFont="1" applyFill="1" applyBorder="1" applyAlignment="1"/>
    <xf numFmtId="181" fontId="19" fillId="7" borderId="9" xfId="1" applyNumberFormat="1" applyFont="1" applyFill="1" applyBorder="1"/>
    <xf numFmtId="0" fontId="5" fillId="7" borderId="0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0" fontId="0" fillId="7" borderId="3" xfId="0" applyFill="1" applyBorder="1"/>
    <xf numFmtId="0" fontId="0" fillId="7" borderId="10" xfId="0" applyFill="1" applyBorder="1"/>
    <xf numFmtId="171" fontId="0" fillId="7" borderId="0" xfId="0" applyNumberFormat="1" applyFill="1"/>
    <xf numFmtId="0" fontId="5" fillId="7" borderId="0" xfId="0" applyFont="1" applyFill="1"/>
    <xf numFmtId="0" fontId="5" fillId="7" borderId="0" xfId="1" applyFont="1" applyFill="1"/>
    <xf numFmtId="10" fontId="5" fillId="7" borderId="0" xfId="0" applyNumberFormat="1" applyFont="1" applyFill="1"/>
    <xf numFmtId="0" fontId="3" fillId="7" borderId="8" xfId="12" applyFont="1" applyFill="1" applyBorder="1"/>
    <xf numFmtId="0" fontId="12" fillId="7" borderId="16" xfId="1" applyFont="1" applyFill="1" applyBorder="1"/>
    <xf numFmtId="10" fontId="19" fillId="7" borderId="13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right"/>
    </xf>
    <xf numFmtId="168" fontId="3" fillId="7" borderId="0" xfId="1" applyNumberFormat="1" applyFont="1" applyFill="1" applyBorder="1" applyAlignment="1">
      <alignment vertical="center"/>
    </xf>
    <xf numFmtId="168" fontId="3" fillId="7" borderId="0" xfId="1" applyNumberFormat="1" applyFont="1" applyFill="1" applyBorder="1" applyAlignment="1">
      <alignment horizontal="right" vertical="center"/>
    </xf>
    <xf numFmtId="0" fontId="0" fillId="7" borderId="5" xfId="0" applyFill="1" applyBorder="1"/>
    <xf numFmtId="0" fontId="0" fillId="7" borderId="12" xfId="0" applyFill="1" applyBorder="1"/>
    <xf numFmtId="0" fontId="0" fillId="7" borderId="11" xfId="0" applyFill="1" applyBorder="1"/>
    <xf numFmtId="0" fontId="0" fillId="7" borderId="7" xfId="0" applyFill="1" applyBorder="1"/>
    <xf numFmtId="4" fontId="2" fillId="7" borderId="7" xfId="1" applyNumberFormat="1" applyFont="1" applyFill="1" applyBorder="1" applyAlignment="1">
      <alignment horizontal="right"/>
    </xf>
    <xf numFmtId="0" fontId="0" fillId="7" borderId="15" xfId="0" applyFill="1" applyBorder="1"/>
    <xf numFmtId="10" fontId="19" fillId="7" borderId="11" xfId="17" applyNumberFormat="1" applyFont="1" applyFill="1" applyBorder="1" applyAlignment="1">
      <alignment horizontal="center"/>
    </xf>
    <xf numFmtId="0" fontId="0" fillId="7" borderId="13" xfId="0" applyFill="1" applyBorder="1"/>
    <xf numFmtId="181" fontId="3" fillId="7" borderId="3" xfId="1" applyNumberFormat="1" applyFont="1" applyFill="1" applyBorder="1"/>
    <xf numFmtId="0" fontId="1" fillId="7" borderId="4" xfId="1" applyFont="1" applyFill="1" applyBorder="1"/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8" xfId="17" applyNumberFormat="1" applyFont="1" applyFill="1" applyBorder="1" applyAlignment="1">
      <alignment horizontal="center" vertical="center" wrapText="1"/>
    </xf>
    <xf numFmtId="4" fontId="1" fillId="7" borderId="0" xfId="1" applyNumberFormat="1" applyFont="1" applyFill="1" applyBorder="1"/>
    <xf numFmtId="4" fontId="19" fillId="7" borderId="6" xfId="1" applyNumberFormat="1" applyFont="1" applyFill="1" applyBorder="1" applyAlignment="1">
      <alignment horizontal="right"/>
    </xf>
    <xf numFmtId="0" fontId="3" fillId="7" borderId="7" xfId="12" applyFont="1" applyFill="1" applyBorder="1"/>
    <xf numFmtId="0" fontId="12" fillId="7" borderId="16" xfId="14" applyFont="1" applyFill="1" applyBorder="1"/>
    <xf numFmtId="0" fontId="5" fillId="7" borderId="11" xfId="0" applyFont="1" applyFill="1" applyBorder="1"/>
    <xf numFmtId="2" fontId="19" fillId="7" borderId="14" xfId="1" applyNumberFormat="1" applyFont="1" applyFill="1" applyBorder="1"/>
    <xf numFmtId="2" fontId="19" fillId="7" borderId="11" xfId="17" applyNumberFormat="1" applyFont="1" applyFill="1" applyBorder="1" applyAlignment="1">
      <alignment horizontal="center" vertical="center" wrapText="1"/>
    </xf>
    <xf numFmtId="0" fontId="5" fillId="7" borderId="7" xfId="1" applyFont="1" applyFill="1" applyBorder="1"/>
    <xf numFmtId="10" fontId="19" fillId="7" borderId="0" xfId="1" applyNumberFormat="1" applyFont="1" applyFill="1"/>
    <xf numFmtId="10" fontId="0" fillId="7" borderId="0" xfId="0" applyNumberFormat="1" applyFill="1"/>
    <xf numFmtId="10" fontId="5" fillId="7" borderId="3" xfId="17" applyNumberFormat="1" applyFont="1" applyFill="1" applyBorder="1" applyAlignment="1">
      <alignment horizontal="center"/>
    </xf>
    <xf numFmtId="0" fontId="12" fillId="7" borderId="10" xfId="12" applyFont="1" applyFill="1" applyBorder="1"/>
    <xf numFmtId="166" fontId="1" fillId="7" borderId="10" xfId="12" applyNumberFormat="1" applyFont="1" applyFill="1" applyBorder="1" applyAlignment="1">
      <alignment horizontal="right"/>
    </xf>
    <xf numFmtId="168" fontId="19" fillId="7" borderId="10" xfId="1" applyNumberFormat="1" applyFont="1" applyFill="1" applyBorder="1"/>
    <xf numFmtId="17" fontId="3" fillId="7" borderId="11" xfId="1" applyNumberFormat="1" applyFont="1" applyFill="1" applyBorder="1"/>
    <xf numFmtId="10" fontId="1" fillId="7" borderId="5" xfId="17" applyNumberFormat="1" applyFont="1" applyFill="1" applyBorder="1"/>
    <xf numFmtId="10" fontId="1" fillId="7" borderId="0" xfId="17" applyNumberFormat="1" applyFont="1" applyFill="1" applyBorder="1"/>
    <xf numFmtId="10" fontId="5" fillId="7" borderId="10" xfId="17" applyNumberFormat="1" applyFont="1" applyFill="1" applyBorder="1"/>
    <xf numFmtId="10" fontId="5" fillId="7" borderId="5" xfId="17" applyNumberFormat="1" applyFont="1" applyFill="1" applyBorder="1" applyAlignment="1">
      <alignment horizontal="center"/>
    </xf>
    <xf numFmtId="10" fontId="1" fillId="7" borderId="12" xfId="1" applyNumberFormat="1" applyFont="1" applyFill="1" applyBorder="1" applyAlignment="1">
      <alignment horizontal="center"/>
    </xf>
    <xf numFmtId="0" fontId="1" fillId="7" borderId="8" xfId="12" applyFont="1" applyFill="1" applyBorder="1"/>
    <xf numFmtId="4" fontId="1" fillId="7" borderId="12" xfId="1" applyNumberFormat="1" applyFont="1" applyFill="1" applyBorder="1"/>
    <xf numFmtId="10" fontId="1" fillId="7" borderId="4" xfId="17" applyNumberFormat="1" applyFont="1" applyFill="1" applyBorder="1"/>
    <xf numFmtId="10" fontId="1" fillId="7" borderId="13" xfId="1" applyNumberFormat="1" applyFont="1" applyFill="1" applyBorder="1" applyAlignment="1">
      <alignment horizontal="center"/>
    </xf>
    <xf numFmtId="0" fontId="1" fillId="7" borderId="16" xfId="1" applyFont="1" applyFill="1" applyBorder="1"/>
    <xf numFmtId="10" fontId="1" fillId="7" borderId="9" xfId="17" applyNumberFormat="1" applyFont="1" applyFill="1" applyBorder="1"/>
    <xf numFmtId="0" fontId="1" fillId="7" borderId="16" xfId="12" applyFont="1" applyFill="1" applyBorder="1"/>
    <xf numFmtId="4" fontId="33" fillId="7" borderId="13" xfId="1" applyNumberFormat="1" applyFont="1" applyFill="1" applyBorder="1"/>
    <xf numFmtId="2" fontId="33" fillId="7" borderId="13" xfId="1" applyNumberFormat="1" applyFont="1" applyFill="1" applyBorder="1"/>
    <xf numFmtId="10" fontId="1" fillId="7" borderId="15" xfId="1" applyNumberFormat="1" applyFont="1" applyFill="1" applyBorder="1" applyAlignment="1">
      <alignment horizontal="center"/>
    </xf>
    <xf numFmtId="0" fontId="1" fillId="7" borderId="14" xfId="1" applyFont="1" applyFill="1" applyBorder="1"/>
    <xf numFmtId="4" fontId="1" fillId="7" borderId="15" xfId="1" applyNumberFormat="1" applyFont="1" applyFill="1" applyBorder="1"/>
    <xf numFmtId="10" fontId="1" fillId="7" borderId="6" xfId="17" applyNumberFormat="1" applyFont="1" applyFill="1" applyBorder="1"/>
    <xf numFmtId="2" fontId="19" fillId="7" borderId="11" xfId="1" applyNumberFormat="1" applyFont="1" applyFill="1" applyBorder="1"/>
    <xf numFmtId="2" fontId="19" fillId="7" borderId="11" xfId="1" applyNumberFormat="1" applyFont="1" applyFill="1" applyBorder="1" applyAlignment="1">
      <alignment horizontal="center"/>
    </xf>
    <xf numFmtId="4" fontId="19" fillId="7" borderId="11" xfId="1" applyNumberFormat="1" applyFont="1" applyFill="1" applyBorder="1" applyAlignment="1">
      <alignment horizontal="center"/>
    </xf>
    <xf numFmtId="0" fontId="12" fillId="7" borderId="4" xfId="12" applyFont="1" applyFill="1" applyBorder="1"/>
    <xf numFmtId="0" fontId="7" fillId="7" borderId="9" xfId="12" applyFont="1" applyFill="1" applyBorder="1"/>
    <xf numFmtId="10" fontId="5" fillId="7" borderId="11" xfId="17" applyNumberFormat="1" applyFont="1" applyFill="1" applyBorder="1" applyAlignment="1">
      <alignment horizontal="center"/>
    </xf>
    <xf numFmtId="10" fontId="5" fillId="7" borderId="15" xfId="17" applyNumberFormat="1" applyFont="1" applyFill="1" applyBorder="1" applyAlignment="1">
      <alignment horizontal="center"/>
    </xf>
    <xf numFmtId="166" fontId="1" fillId="7" borderId="0" xfId="12" applyNumberFormat="1" applyFont="1" applyFill="1" applyBorder="1" applyAlignment="1">
      <alignment horizontal="right"/>
    </xf>
    <xf numFmtId="181" fontId="3" fillId="7" borderId="10" xfId="1" applyNumberFormat="1" applyFont="1" applyFill="1" applyBorder="1"/>
    <xf numFmtId="10" fontId="16" fillId="7" borderId="12" xfId="2" applyNumberFormat="1" applyFont="1" applyFill="1" applyBorder="1" applyAlignment="1">
      <alignment horizontal="center"/>
    </xf>
    <xf numFmtId="10" fontId="16" fillId="7" borderId="13" xfId="2" applyNumberFormat="1" applyFont="1" applyFill="1" applyBorder="1" applyAlignment="1">
      <alignment horizontal="center"/>
    </xf>
    <xf numFmtId="0" fontId="12" fillId="7" borderId="0" xfId="12" applyFont="1" applyFill="1" applyBorder="1"/>
    <xf numFmtId="0" fontId="7" fillId="7" borderId="0" xfId="12" applyFont="1" applyFill="1" applyBorder="1"/>
    <xf numFmtId="10" fontId="16" fillId="7" borderId="15" xfId="2" applyNumberFormat="1" applyFont="1" applyFill="1" applyBorder="1" applyAlignment="1">
      <alignment horizontal="center"/>
    </xf>
    <xf numFmtId="0" fontId="12" fillId="7" borderId="3" xfId="12" applyFont="1" applyFill="1" applyBorder="1"/>
    <xf numFmtId="0" fontId="16" fillId="7" borderId="11" xfId="1" applyFont="1" applyFill="1" applyBorder="1"/>
    <xf numFmtId="181" fontId="3" fillId="7" borderId="12" xfId="1" applyNumberFormat="1" applyFont="1" applyFill="1" applyBorder="1"/>
    <xf numFmtId="181" fontId="3" fillId="7" borderId="13" xfId="1" applyNumberFormat="1" applyFont="1" applyFill="1" applyBorder="1"/>
    <xf numFmtId="0" fontId="28" fillId="7" borderId="10" xfId="12" applyFont="1" applyFill="1" applyBorder="1"/>
    <xf numFmtId="166" fontId="5" fillId="7" borderId="10" xfId="12" applyNumberFormat="1" applyFont="1" applyFill="1" applyBorder="1" applyAlignment="1">
      <alignment horizontal="right"/>
    </xf>
    <xf numFmtId="2" fontId="5" fillId="7" borderId="10" xfId="1" applyNumberFormat="1" applyFont="1" applyFill="1" applyBorder="1"/>
    <xf numFmtId="164" fontId="19" fillId="7" borderId="4" xfId="2" applyFont="1" applyFill="1" applyBorder="1" applyAlignment="1">
      <alignment horizontal="right" vertical="center" wrapText="1"/>
    </xf>
    <xf numFmtId="4" fontId="19" fillId="7" borderId="5" xfId="1" applyNumberFormat="1" applyFont="1" applyFill="1" applyBorder="1" applyAlignment="1">
      <alignment horizontal="center"/>
    </xf>
    <xf numFmtId="10" fontId="16" fillId="7" borderId="12" xfId="2" applyNumberFormat="1" applyFont="1" applyFill="1" applyBorder="1"/>
    <xf numFmtId="10" fontId="16" fillId="7" borderId="13" xfId="2" applyNumberFormat="1" applyFont="1" applyFill="1" applyBorder="1"/>
    <xf numFmtId="10" fontId="16" fillId="7" borderId="15" xfId="2" applyNumberFormat="1" applyFont="1" applyFill="1" applyBorder="1"/>
    <xf numFmtId="10" fontId="19" fillId="7" borderId="10" xfId="17" applyNumberFormat="1" applyFont="1" applyFill="1" applyBorder="1" applyAlignment="1">
      <alignment horizontal="center" vertical="center" wrapText="1"/>
    </xf>
    <xf numFmtId="10" fontId="19" fillId="7" borderId="6" xfId="17" applyNumberFormat="1" applyFont="1" applyFill="1" applyBorder="1" applyAlignment="1">
      <alignment horizontal="center"/>
    </xf>
    <xf numFmtId="4" fontId="19" fillId="7" borderId="3" xfId="1" applyNumberFormat="1" applyFont="1" applyFill="1" applyBorder="1" applyAlignment="1">
      <alignment horizontal="right"/>
    </xf>
    <xf numFmtId="168" fontId="19" fillId="7" borderId="5" xfId="1" applyNumberFormat="1" applyFont="1" applyFill="1" applyBorder="1"/>
    <xf numFmtId="168" fontId="19" fillId="7" borderId="0" xfId="1" applyNumberFormat="1" applyFont="1" applyFill="1" applyBorder="1"/>
    <xf numFmtId="164" fontId="19" fillId="7" borderId="5" xfId="2" applyFont="1" applyFill="1" applyBorder="1" applyAlignment="1">
      <alignment horizontal="right" vertical="center" wrapText="1"/>
    </xf>
    <xf numFmtId="4" fontId="38" fillId="7" borderId="5" xfId="1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 vertical="center" wrapText="1"/>
    </xf>
    <xf numFmtId="165" fontId="19" fillId="7" borderId="3" xfId="1" applyNumberFormat="1" applyFont="1" applyFill="1" applyBorder="1" applyAlignment="1">
      <alignment horizontal="right"/>
    </xf>
    <xf numFmtId="4" fontId="19" fillId="7" borderId="11" xfId="1" applyNumberFormat="1" applyFont="1" applyFill="1" applyBorder="1" applyAlignment="1">
      <alignment horizontal="right"/>
    </xf>
    <xf numFmtId="14" fontId="0" fillId="0" borderId="12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7" fontId="0" fillId="0" borderId="0" xfId="17" applyNumberFormat="1" applyFont="1"/>
    <xf numFmtId="0" fontId="48" fillId="7" borderId="0" xfId="1" applyFont="1" applyFill="1" applyBorder="1" applyAlignment="1">
      <alignment wrapText="1"/>
    </xf>
    <xf numFmtId="0" fontId="49" fillId="7" borderId="13" xfId="3" applyFont="1" applyFill="1" applyBorder="1" applyAlignment="1" applyProtection="1">
      <alignment horizontal="left" vertical="center" wrapText="1"/>
    </xf>
    <xf numFmtId="0" fontId="50" fillId="7" borderId="13" xfId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center" vertical="center"/>
    </xf>
    <xf numFmtId="14" fontId="50" fillId="7" borderId="0" xfId="1" applyNumberFormat="1" applyFont="1" applyFill="1" applyBorder="1" applyAlignment="1">
      <alignment horizontal="center" vertical="center"/>
    </xf>
    <xf numFmtId="14" fontId="50" fillId="7" borderId="9" xfId="1" applyNumberFormat="1" applyFont="1" applyFill="1" applyBorder="1" applyAlignment="1">
      <alignment horizontal="center" vertical="center"/>
    </xf>
    <xf numFmtId="14" fontId="51" fillId="7" borderId="13" xfId="1" applyNumberFormat="1" applyFont="1" applyFill="1" applyBorder="1"/>
    <xf numFmtId="2" fontId="51" fillId="7" borderId="13" xfId="1" applyNumberFormat="1" applyFont="1" applyFill="1" applyBorder="1"/>
    <xf numFmtId="10" fontId="50" fillId="7" borderId="0" xfId="17" applyNumberFormat="1" applyFont="1" applyFill="1" applyBorder="1" applyAlignment="1">
      <alignment horizontal="center" vertical="center"/>
    </xf>
    <xf numFmtId="10" fontId="50" fillId="7" borderId="16" xfId="17" applyNumberFormat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right" vertical="center"/>
    </xf>
    <xf numFmtId="10" fontId="51" fillId="7" borderId="13" xfId="17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center"/>
    </xf>
    <xf numFmtId="10" fontId="51" fillId="7" borderId="13" xfId="17" applyNumberFormat="1" applyFont="1" applyFill="1" applyBorder="1" applyAlignment="1">
      <alignment horizontal="center"/>
    </xf>
    <xf numFmtId="164" fontId="51" fillId="7" borderId="0" xfId="2" applyFont="1" applyFill="1" applyBorder="1" applyAlignment="1">
      <alignment horizontal="center"/>
    </xf>
    <xf numFmtId="0" fontId="51" fillId="7" borderId="13" xfId="1" applyFont="1" applyFill="1" applyBorder="1" applyAlignment="1">
      <alignment horizontal="center"/>
    </xf>
    <xf numFmtId="172" fontId="50" fillId="7" borderId="0" xfId="17" applyNumberFormat="1" applyFont="1" applyFill="1" applyBorder="1" applyAlignment="1">
      <alignment horizontal="center" vertical="center" wrapText="1"/>
    </xf>
    <xf numFmtId="9" fontId="51" fillId="7" borderId="0" xfId="1" applyNumberFormat="1" applyFont="1" applyFill="1" applyAlignment="1">
      <alignment horizontal="center"/>
    </xf>
    <xf numFmtId="1" fontId="51" fillId="7" borderId="0" xfId="2" applyNumberFormat="1" applyFont="1" applyFill="1" applyAlignment="1">
      <alignment horizontal="center"/>
    </xf>
    <xf numFmtId="10" fontId="51" fillId="7" borderId="13" xfId="1" applyNumberFormat="1" applyFont="1" applyFill="1" applyBorder="1"/>
    <xf numFmtId="4" fontId="50" fillId="7" borderId="13" xfId="1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horizontal="right" vertical="center"/>
    </xf>
    <xf numFmtId="10" fontId="50" fillId="7" borderId="0" xfId="17" applyNumberFormat="1" applyFont="1" applyFill="1" applyBorder="1" applyAlignment="1">
      <alignment horizontal="right" vertical="center"/>
    </xf>
    <xf numFmtId="10" fontId="50" fillId="7" borderId="16" xfId="17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vertical="center"/>
    </xf>
    <xf numFmtId="10" fontId="50" fillId="7" borderId="0" xfId="17" applyNumberFormat="1" applyFont="1" applyFill="1" applyBorder="1" applyAlignment="1">
      <alignment vertical="center"/>
    </xf>
    <xf numFmtId="10" fontId="51" fillId="7" borderId="0" xfId="17" applyNumberFormat="1" applyFont="1" applyFill="1"/>
    <xf numFmtId="10" fontId="51" fillId="7" borderId="16" xfId="17" applyNumberFormat="1" applyFont="1" applyFill="1" applyBorder="1"/>
    <xf numFmtId="4" fontId="50" fillId="7" borderId="13" xfId="17" applyNumberFormat="1" applyFont="1" applyFill="1" applyBorder="1" applyAlignment="1">
      <alignment vertical="center"/>
    </xf>
    <xf numFmtId="0" fontId="51" fillId="7" borderId="0" xfId="1" applyFont="1" applyFill="1" applyBorder="1"/>
    <xf numFmtId="0" fontId="51" fillId="7" borderId="13" xfId="1" applyFont="1" applyFill="1" applyBorder="1"/>
    <xf numFmtId="9" fontId="17" fillId="7" borderId="0" xfId="1" applyNumberFormat="1" applyFont="1" applyFill="1" applyAlignment="1">
      <alignment horizontal="center"/>
    </xf>
    <xf numFmtId="14" fontId="0" fillId="0" borderId="0" xfId="0" applyNumberFormat="1"/>
    <xf numFmtId="0" fontId="19" fillId="0" borderId="10" xfId="1" applyFont="1" applyFill="1" applyBorder="1"/>
    <xf numFmtId="165" fontId="19" fillId="0" borderId="3" xfId="1" applyNumberFormat="1" applyFont="1" applyFill="1" applyBorder="1" applyAlignment="1">
      <alignment horizontal="right"/>
    </xf>
    <xf numFmtId="10" fontId="19" fillId="0" borderId="12" xfId="17" applyNumberFormat="1" applyFont="1" applyFill="1" applyBorder="1" applyAlignment="1">
      <alignment horizontal="center" vertical="center" wrapText="1"/>
    </xf>
    <xf numFmtId="4" fontId="19" fillId="0" borderId="3" xfId="1" applyNumberFormat="1" applyFont="1" applyFill="1" applyBorder="1" applyAlignment="1">
      <alignment horizontal="right"/>
    </xf>
    <xf numFmtId="4" fontId="3" fillId="0" borderId="15" xfId="1" applyNumberFormat="1" applyFont="1" applyFill="1" applyBorder="1" applyAlignment="1">
      <alignment vertical="center"/>
    </xf>
    <xf numFmtId="10" fontId="19" fillId="0" borderId="15" xfId="17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>
      <alignment vertical="center"/>
    </xf>
    <xf numFmtId="10" fontId="19" fillId="0" borderId="5" xfId="17" applyNumberFormat="1" applyFont="1" applyFill="1" applyBorder="1" applyAlignment="1">
      <alignment horizontal="center" vertical="center" wrapText="1"/>
    </xf>
    <xf numFmtId="10" fontId="19" fillId="0" borderId="16" xfId="17" applyNumberFormat="1" applyFont="1" applyFill="1" applyBorder="1" applyAlignment="1">
      <alignment horizontal="center" vertical="center" wrapText="1"/>
    </xf>
    <xf numFmtId="10" fontId="1" fillId="0" borderId="12" xfId="17" applyNumberFormat="1" applyFont="1" applyFill="1" applyBorder="1" applyAlignment="1">
      <alignment horizontal="center"/>
    </xf>
    <xf numFmtId="10" fontId="19" fillId="0" borderId="13" xfId="17" applyNumberFormat="1" applyFont="1" applyFill="1" applyBorder="1" applyAlignment="1">
      <alignment horizontal="center"/>
    </xf>
    <xf numFmtId="10" fontId="19" fillId="0" borderId="15" xfId="17" applyNumberFormat="1" applyFont="1" applyFill="1" applyBorder="1" applyAlignment="1">
      <alignment horizontal="center"/>
    </xf>
    <xf numFmtId="1" fontId="0" fillId="0" borderId="0" xfId="0" applyNumberFormat="1"/>
    <xf numFmtId="0" fontId="3" fillId="6" borderId="0" xfId="12" applyFont="1" applyFill="1" applyBorder="1"/>
    <xf numFmtId="10" fontId="19" fillId="7" borderId="5" xfId="17" applyNumberFormat="1" applyFont="1" applyFill="1" applyBorder="1" applyAlignment="1">
      <alignment horizontal="center" vertical="center"/>
    </xf>
    <xf numFmtId="173" fontId="19" fillId="7" borderId="11" xfId="17" applyNumberFormat="1" applyFont="1" applyFill="1" applyBorder="1" applyAlignment="1"/>
    <xf numFmtId="0" fontId="7" fillId="7" borderId="13" xfId="12" applyFont="1" applyFill="1" applyBorder="1"/>
    <xf numFmtId="0" fontId="12" fillId="7" borderId="15" xfId="12" applyFont="1" applyFill="1" applyBorder="1"/>
    <xf numFmtId="0" fontId="19" fillId="7" borderId="14" xfId="1" applyFont="1" applyFill="1" applyBorder="1"/>
    <xf numFmtId="0" fontId="1" fillId="7" borderId="5" xfId="12" applyFont="1" applyFill="1" applyBorder="1"/>
    <xf numFmtId="0" fontId="35" fillId="7" borderId="13" xfId="1" applyFont="1" applyFill="1" applyBorder="1"/>
    <xf numFmtId="2" fontId="33" fillId="7" borderId="16" xfId="1" applyNumberFormat="1" applyFont="1" applyFill="1" applyBorder="1"/>
    <xf numFmtId="0" fontId="1" fillId="7" borderId="0" xfId="12" applyFont="1" applyFill="1" applyBorder="1"/>
    <xf numFmtId="0" fontId="41" fillId="7" borderId="13" xfId="1" applyFont="1" applyFill="1" applyBorder="1"/>
    <xf numFmtId="2" fontId="42" fillId="7" borderId="16" xfId="1" applyNumberFormat="1" applyFont="1" applyFill="1" applyBorder="1"/>
    <xf numFmtId="2" fontId="16" fillId="7" borderId="13" xfId="1" applyNumberFormat="1" applyFont="1" applyFill="1" applyBorder="1"/>
    <xf numFmtId="10" fontId="1" fillId="7" borderId="11" xfId="1" applyNumberFormat="1" applyFont="1" applyFill="1" applyBorder="1" applyAlignment="1">
      <alignment horizontal="center"/>
    </xf>
    <xf numFmtId="2" fontId="16" fillId="7" borderId="12" xfId="1" applyNumberFormat="1" applyFont="1" applyFill="1" applyBorder="1"/>
    <xf numFmtId="2" fontId="16" fillId="7" borderId="15" xfId="1" applyNumberFormat="1" applyFont="1" applyFill="1" applyBorder="1"/>
    <xf numFmtId="0" fontId="16" fillId="7" borderId="4" xfId="1" applyFont="1" applyFill="1" applyBorder="1"/>
    <xf numFmtId="0" fontId="16" fillId="7" borderId="9" xfId="1" applyFont="1" applyFill="1" applyBorder="1"/>
    <xf numFmtId="0" fontId="16" fillId="7" borderId="6" xfId="1" applyFont="1" applyFill="1" applyBorder="1"/>
    <xf numFmtId="10" fontId="52" fillId="7" borderId="5" xfId="17" applyNumberFormat="1" applyFont="1" applyFill="1" applyBorder="1"/>
    <xf numFmtId="10" fontId="52" fillId="7" borderId="0" xfId="17" applyNumberFormat="1" applyFont="1" applyFill="1" applyBorder="1"/>
    <xf numFmtId="166" fontId="16" fillId="7" borderId="13" xfId="1" applyNumberFormat="1" applyFont="1" applyFill="1" applyBorder="1"/>
    <xf numFmtId="0" fontId="12" fillId="7" borderId="6" xfId="12" applyFont="1" applyFill="1" applyBorder="1"/>
    <xf numFmtId="0" fontId="12" fillId="6" borderId="0" xfId="1" applyFont="1" applyFill="1" applyBorder="1"/>
    <xf numFmtId="171" fontId="53" fillId="0" borderId="11" xfId="8" applyNumberFormat="1" applyFont="1" applyBorder="1"/>
    <xf numFmtId="0" fontId="16" fillId="4" borderId="12" xfId="1" applyFont="1" applyFill="1" applyBorder="1"/>
    <xf numFmtId="0" fontId="16" fillId="4" borderId="13" xfId="1" applyFont="1" applyFill="1" applyBorder="1"/>
    <xf numFmtId="0" fontId="16" fillId="4" borderId="15" xfId="1" applyFont="1" applyFill="1" applyBorder="1"/>
    <xf numFmtId="4" fontId="2" fillId="4" borderId="0" xfId="1" applyNumberFormat="1" applyFont="1" applyFill="1" applyBorder="1" applyAlignment="1">
      <alignment horizontal="right"/>
    </xf>
    <xf numFmtId="0" fontId="3" fillId="4" borderId="7" xfId="1" applyFont="1" applyFill="1" applyBorder="1"/>
    <xf numFmtId="171" fontId="54" fillId="0" borderId="11" xfId="0" applyNumberFormat="1" applyFont="1" applyBorder="1"/>
    <xf numFmtId="14" fontId="19" fillId="3" borderId="11" xfId="17" applyNumberFormat="1" applyFont="1" applyFill="1" applyBorder="1" applyAlignment="1">
      <alignment horizontal="center" vertical="center" wrapText="1"/>
    </xf>
    <xf numFmtId="0" fontId="0" fillId="0" borderId="11" xfId="0" applyFill="1" applyBorder="1"/>
    <xf numFmtId="4" fontId="9" fillId="7" borderId="13" xfId="10" applyNumberFormat="1" applyFill="1" applyBorder="1"/>
    <xf numFmtId="0" fontId="7" fillId="7" borderId="0" xfId="10" applyFont="1" applyFill="1"/>
    <xf numFmtId="0" fontId="55" fillId="0" borderId="0" xfId="8" applyFont="1" applyBorder="1"/>
    <xf numFmtId="0" fontId="0" fillId="2" borderId="0" xfId="0" applyFill="1" applyBorder="1"/>
    <xf numFmtId="171" fontId="54" fillId="2" borderId="0" xfId="8" applyNumberFormat="1" applyFont="1" applyFill="1" applyBorder="1"/>
    <xf numFmtId="171" fontId="54" fillId="0" borderId="0" xfId="8" applyNumberFormat="1" applyFont="1" applyBorder="1"/>
    <xf numFmtId="181" fontId="0" fillId="0" borderId="0" xfId="0" applyNumberFormat="1"/>
    <xf numFmtId="171" fontId="54" fillId="0" borderId="11" xfId="8" applyNumberFormat="1" applyFont="1" applyBorder="1"/>
    <xf numFmtId="10" fontId="19" fillId="0" borderId="9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horizontal="right" vertical="center"/>
    </xf>
    <xf numFmtId="10" fontId="19" fillId="0" borderId="16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vertical="center"/>
    </xf>
    <xf numFmtId="10" fontId="19" fillId="0" borderId="0" xfId="17" applyNumberFormat="1" applyFont="1"/>
    <xf numFmtId="0" fontId="0" fillId="3" borderId="0" xfId="0" applyFill="1"/>
    <xf numFmtId="0" fontId="19" fillId="8" borderId="0" xfId="1" applyFont="1" applyFill="1" applyBorder="1"/>
    <xf numFmtId="0" fontId="7" fillId="0" borderId="0" xfId="9" applyFont="1" applyBorder="1"/>
    <xf numFmtId="10" fontId="6" fillId="7" borderId="16" xfId="1" applyNumberFormat="1" applyFont="1" applyFill="1" applyBorder="1" applyAlignment="1">
      <alignment horizontal="right" vertical="center"/>
    </xf>
    <xf numFmtId="10" fontId="6" fillId="7" borderId="12" xfId="1" applyNumberFormat="1" applyFont="1" applyFill="1" applyBorder="1" applyAlignment="1">
      <alignment horizontal="right" vertical="center"/>
    </xf>
    <xf numFmtId="10" fontId="6" fillId="7" borderId="13" xfId="1" applyNumberFormat="1" applyFont="1" applyFill="1" applyBorder="1" applyAlignment="1">
      <alignment horizontal="right" vertical="center"/>
    </xf>
    <xf numFmtId="10" fontId="44" fillId="7" borderId="13" xfId="16" applyNumberFormat="1" applyFont="1" applyFill="1" applyBorder="1" applyAlignment="1">
      <alignment horizontal="right"/>
    </xf>
    <xf numFmtId="10" fontId="6" fillId="7" borderId="13" xfId="1" applyNumberFormat="1" applyFont="1" applyFill="1" applyBorder="1" applyAlignment="1">
      <alignment horizontal="right"/>
    </xf>
    <xf numFmtId="10" fontId="17" fillId="7" borderId="16" xfId="1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right"/>
    </xf>
    <xf numFmtId="10" fontId="0" fillId="2" borderId="0" xfId="1" applyNumberFormat="1" applyFont="1" applyFill="1" applyAlignment="1">
      <alignment horizontal="right"/>
    </xf>
    <xf numFmtId="10" fontId="0" fillId="0" borderId="0" xfId="1" applyNumberFormat="1" applyFont="1" applyAlignment="1">
      <alignment horizontal="right"/>
    </xf>
    <xf numFmtId="0" fontId="52" fillId="7" borderId="11" xfId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 vertical="center" wrapText="1"/>
    </xf>
    <xf numFmtId="0" fontId="52" fillId="2" borderId="0" xfId="1" applyFont="1" applyFill="1" applyBorder="1"/>
    <xf numFmtId="0" fontId="52" fillId="0" borderId="0" xfId="0" applyFont="1"/>
    <xf numFmtId="10" fontId="52" fillId="7" borderId="4" xfId="1" applyNumberFormat="1" applyFont="1" applyFill="1" applyBorder="1" applyAlignment="1">
      <alignment horizontal="center"/>
    </xf>
    <xf numFmtId="0" fontId="52" fillId="7" borderId="12" xfId="1" applyFont="1" applyFill="1" applyBorder="1"/>
    <xf numFmtId="168" fontId="52" fillId="7" borderId="12" xfId="1" applyNumberFormat="1" applyFont="1" applyFill="1" applyBorder="1" applyAlignment="1">
      <alignment horizontal="right"/>
    </xf>
    <xf numFmtId="2" fontId="52" fillId="7" borderId="12" xfId="1" applyNumberFormat="1" applyFont="1" applyFill="1" applyBorder="1"/>
    <xf numFmtId="10" fontId="56" fillId="7" borderId="0" xfId="1" applyNumberFormat="1" applyFont="1" applyFill="1" applyBorder="1" applyAlignment="1">
      <alignment horizontal="center"/>
    </xf>
    <xf numFmtId="0" fontId="56" fillId="7" borderId="13" xfId="12" applyFont="1" applyFill="1" applyBorder="1"/>
    <xf numFmtId="168" fontId="56" fillId="7" borderId="13" xfId="1" applyNumberFormat="1" applyFont="1" applyFill="1" applyBorder="1" applyAlignment="1">
      <alignment horizontal="right"/>
    </xf>
    <xf numFmtId="2" fontId="56" fillId="7" borderId="13" xfId="1" applyNumberFormat="1" applyFont="1" applyFill="1" applyBorder="1"/>
    <xf numFmtId="10" fontId="56" fillId="7" borderId="0" xfId="17" applyNumberFormat="1" applyFont="1" applyFill="1" applyBorder="1"/>
    <xf numFmtId="10" fontId="56" fillId="7" borderId="13" xfId="17" applyNumberFormat="1" applyFont="1" applyFill="1" applyBorder="1" applyAlignment="1">
      <alignment horizontal="center"/>
    </xf>
    <xf numFmtId="14" fontId="56" fillId="2" borderId="0" xfId="1" applyNumberFormat="1" applyFont="1" applyFill="1" applyBorder="1"/>
    <xf numFmtId="0" fontId="56" fillId="0" borderId="0" xfId="1" applyFont="1"/>
    <xf numFmtId="10" fontId="52" fillId="7" borderId="0" xfId="1" applyNumberFormat="1" applyFont="1" applyFill="1" applyBorder="1" applyAlignment="1">
      <alignment horizontal="center"/>
    </xf>
    <xf numFmtId="0" fontId="52" fillId="7" borderId="13" xfId="12" applyFont="1" applyFill="1" applyBorder="1"/>
    <xf numFmtId="168" fontId="52" fillId="7" borderId="13" xfId="1" applyNumberFormat="1" applyFont="1" applyFill="1" applyBorder="1" applyAlignment="1">
      <alignment horizontal="right"/>
    </xf>
    <xf numFmtId="2" fontId="52" fillId="7" borderId="13" xfId="1" applyNumberFormat="1" applyFont="1" applyFill="1" applyBorder="1"/>
    <xf numFmtId="10" fontId="56" fillId="7" borderId="9" xfId="1" applyNumberFormat="1" applyFont="1" applyFill="1" applyBorder="1" applyAlignment="1">
      <alignment horizontal="center"/>
    </xf>
    <xf numFmtId="0" fontId="56" fillId="7" borderId="15" xfId="1" applyFont="1" applyFill="1" applyBorder="1"/>
    <xf numFmtId="168" fontId="56" fillId="7" borderId="15" xfId="1" applyNumberFormat="1" applyFont="1" applyFill="1" applyBorder="1" applyAlignment="1">
      <alignment horizontal="right"/>
    </xf>
    <xf numFmtId="2" fontId="56" fillId="7" borderId="15" xfId="1" applyNumberFormat="1" applyFont="1" applyFill="1" applyBorder="1"/>
    <xf numFmtId="9" fontId="52" fillId="7" borderId="3" xfId="1" applyNumberFormat="1" applyFont="1" applyFill="1" applyBorder="1" applyAlignment="1">
      <alignment horizontal="center"/>
    </xf>
    <xf numFmtId="0" fontId="52" fillId="7" borderId="10" xfId="1" applyFont="1" applyFill="1" applyBorder="1"/>
    <xf numFmtId="4" fontId="52" fillId="7" borderId="10" xfId="1" applyNumberFormat="1" applyFont="1" applyFill="1" applyBorder="1"/>
    <xf numFmtId="10" fontId="52" fillId="7" borderId="2" xfId="17" applyNumberFormat="1" applyFont="1" applyFill="1" applyBorder="1"/>
    <xf numFmtId="10" fontId="56" fillId="7" borderId="2" xfId="17" applyNumberFormat="1" applyFont="1" applyFill="1" applyBorder="1" applyAlignment="1">
      <alignment horizontal="center" vertical="center" wrapText="1"/>
    </xf>
    <xf numFmtId="10" fontId="56" fillId="7" borderId="10" xfId="17" applyNumberFormat="1" applyFont="1" applyFill="1" applyBorder="1" applyAlignment="1">
      <alignment horizontal="center" vertical="center" wrapText="1"/>
    </xf>
    <xf numFmtId="0" fontId="56" fillId="2" borderId="0" xfId="1" applyFont="1" applyFill="1" applyBorder="1"/>
    <xf numFmtId="0" fontId="19" fillId="4" borderId="11" xfId="1" applyFont="1" applyFill="1" applyBorder="1" applyAlignment="1">
      <alignment horizontal="center"/>
    </xf>
    <xf numFmtId="0" fontId="19" fillId="4" borderId="4" xfId="1" applyFont="1" applyFill="1" applyBorder="1"/>
    <xf numFmtId="0" fontId="19" fillId="4" borderId="5" xfId="1" applyFont="1" applyFill="1" applyBorder="1"/>
    <xf numFmtId="4" fontId="19" fillId="4" borderId="5" xfId="1" applyNumberFormat="1" applyFont="1" applyFill="1" applyBorder="1"/>
    <xf numFmtId="10" fontId="19" fillId="4" borderId="5" xfId="17" applyNumberFormat="1" applyFont="1" applyFill="1" applyBorder="1" applyAlignment="1">
      <alignment horizontal="center" vertical="center" wrapText="1"/>
    </xf>
    <xf numFmtId="10" fontId="19" fillId="4" borderId="8" xfId="17" applyNumberFormat="1" applyFont="1" applyFill="1" applyBorder="1" applyAlignment="1">
      <alignment horizontal="center" vertical="center" wrapText="1"/>
    </xf>
    <xf numFmtId="0" fontId="19" fillId="4" borderId="0" xfId="1" applyFont="1" applyFill="1" applyBorder="1"/>
    <xf numFmtId="4" fontId="19" fillId="4" borderId="0" xfId="1" applyNumberFormat="1" applyFont="1" applyFill="1" applyBorder="1"/>
    <xf numFmtId="14" fontId="19" fillId="4" borderId="0" xfId="17" applyNumberFormat="1" applyFont="1" applyFill="1" applyBorder="1" applyAlignment="1">
      <alignment horizontal="center" vertical="center" wrapText="1"/>
    </xf>
    <xf numFmtId="10" fontId="19" fillId="4" borderId="14" xfId="17" applyNumberFormat="1" applyFont="1" applyFill="1" applyBorder="1" applyAlignment="1">
      <alignment horizontal="center" vertical="center" wrapText="1"/>
    </xf>
    <xf numFmtId="0" fontId="19" fillId="4" borderId="12" xfId="1" applyFont="1" applyFill="1" applyBorder="1" applyAlignment="1">
      <alignment horizontal="center"/>
    </xf>
    <xf numFmtId="10" fontId="9" fillId="4" borderId="0" xfId="17" applyNumberFormat="1" applyFont="1" applyFill="1" applyAlignment="1">
      <alignment horizontal="center"/>
    </xf>
    <xf numFmtId="2" fontId="19" fillId="4" borderId="12" xfId="1" applyNumberFormat="1" applyFont="1" applyFill="1" applyBorder="1"/>
    <xf numFmtId="10" fontId="19" fillId="4" borderId="5" xfId="17" applyNumberFormat="1" applyFont="1" applyFill="1" applyBorder="1"/>
    <xf numFmtId="2" fontId="19" fillId="4" borderId="13" xfId="1" applyNumberFormat="1" applyFont="1" applyFill="1" applyBorder="1"/>
    <xf numFmtId="0" fontId="19" fillId="4" borderId="13" xfId="1" applyFont="1" applyFill="1" applyBorder="1"/>
    <xf numFmtId="2" fontId="19" fillId="4" borderId="15" xfId="1" applyNumberFormat="1" applyFont="1" applyFill="1" applyBorder="1"/>
    <xf numFmtId="9" fontId="3" fillId="4" borderId="3" xfId="1" applyNumberFormat="1" applyFont="1" applyFill="1" applyBorder="1" applyAlignment="1">
      <alignment horizontal="center"/>
    </xf>
    <xf numFmtId="4" fontId="19" fillId="4" borderId="7" xfId="1" applyNumberFormat="1" applyFont="1" applyFill="1" applyBorder="1"/>
    <xf numFmtId="10" fontId="19" fillId="4" borderId="7" xfId="17" applyNumberFormat="1" applyFont="1" applyFill="1" applyBorder="1"/>
    <xf numFmtId="0" fontId="3" fillId="4" borderId="13" xfId="1" applyFont="1" applyFill="1" applyBorder="1" applyAlignment="1">
      <alignment horizontal="center" vertical="center"/>
    </xf>
    <xf numFmtId="10" fontId="19" fillId="4" borderId="13" xfId="17" applyNumberFormat="1" applyFont="1" applyFill="1" applyBorder="1" applyAlignment="1">
      <alignment horizontal="center"/>
    </xf>
    <xf numFmtId="10" fontId="19" fillId="4" borderId="0" xfId="17" applyNumberFormat="1" applyFont="1" applyFill="1" applyBorder="1"/>
    <xf numFmtId="0" fontId="19" fillId="4" borderId="9" xfId="1" applyFont="1" applyFill="1" applyBorder="1"/>
    <xf numFmtId="0" fontId="3" fillId="4" borderId="0" xfId="12" applyFont="1" applyFill="1" applyBorder="1"/>
    <xf numFmtId="0" fontId="12" fillId="4" borderId="9" xfId="1" applyFont="1" applyFill="1" applyBorder="1"/>
    <xf numFmtId="0" fontId="12" fillId="4" borderId="0" xfId="1" applyFont="1" applyFill="1" applyBorder="1"/>
    <xf numFmtId="0" fontId="3" fillId="4" borderId="9" xfId="12" applyFont="1" applyFill="1" applyBorder="1"/>
    <xf numFmtId="0" fontId="0" fillId="4" borderId="0" xfId="0" applyFill="1"/>
    <xf numFmtId="10" fontId="19" fillId="4" borderId="2" xfId="17" applyNumberFormat="1" applyFont="1" applyFill="1" applyBorder="1"/>
    <xf numFmtId="10" fontId="16" fillId="4" borderId="13" xfId="2" applyNumberFormat="1" applyFont="1" applyFill="1" applyBorder="1" applyAlignment="1">
      <alignment horizontal="center"/>
    </xf>
    <xf numFmtId="10" fontId="5" fillId="4" borderId="11" xfId="17" applyNumberFormat="1" applyFont="1" applyFill="1" applyBorder="1" applyAlignment="1">
      <alignment horizontal="center"/>
    </xf>
    <xf numFmtId="10" fontId="19" fillId="4" borderId="12" xfId="17" applyNumberFormat="1" applyFont="1" applyFill="1" applyBorder="1" applyAlignment="1">
      <alignment horizontal="center"/>
    </xf>
    <xf numFmtId="0" fontId="12" fillId="4" borderId="4" xfId="1" applyFont="1" applyFill="1" applyBorder="1"/>
    <xf numFmtId="0" fontId="16" fillId="4" borderId="4" xfId="1" applyFont="1" applyFill="1" applyBorder="1"/>
    <xf numFmtId="0" fontId="16" fillId="4" borderId="9" xfId="1" applyFont="1" applyFill="1" applyBorder="1"/>
    <xf numFmtId="0" fontId="12" fillId="4" borderId="9" xfId="12" applyFont="1" applyFill="1" applyBorder="1"/>
    <xf numFmtId="0" fontId="19" fillId="4" borderId="6" xfId="1" applyFont="1" applyFill="1" applyBorder="1"/>
    <xf numFmtId="0" fontId="16" fillId="4" borderId="6" xfId="1" applyFont="1" applyFill="1" applyBorder="1"/>
    <xf numFmtId="10" fontId="16" fillId="4" borderId="12" xfId="2" applyNumberFormat="1" applyFont="1" applyFill="1" applyBorder="1" applyAlignment="1">
      <alignment horizontal="center"/>
    </xf>
    <xf numFmtId="0" fontId="12" fillId="4" borderId="5" xfId="12" applyFont="1" applyFill="1" applyBorder="1"/>
    <xf numFmtId="2" fontId="19" fillId="4" borderId="16" xfId="1" applyNumberFormat="1" applyFont="1" applyFill="1" applyBorder="1"/>
    <xf numFmtId="0" fontId="12" fillId="4" borderId="0" xfId="12" applyFont="1" applyFill="1" applyBorder="1"/>
    <xf numFmtId="0" fontId="7" fillId="4" borderId="0" xfId="12" applyFont="1" applyFill="1" applyBorder="1"/>
    <xf numFmtId="10" fontId="19" fillId="4" borderId="9" xfId="17" applyNumberFormat="1" applyFont="1" applyFill="1" applyBorder="1"/>
    <xf numFmtId="10" fontId="16" fillId="4" borderId="15" xfId="2" applyNumberFormat="1" applyFont="1" applyFill="1" applyBorder="1" applyAlignment="1">
      <alignment horizontal="center"/>
    </xf>
    <xf numFmtId="2" fontId="19" fillId="4" borderId="14" xfId="1" applyNumberFormat="1" applyFont="1" applyFill="1" applyBorder="1"/>
    <xf numFmtId="10" fontId="19" fillId="4" borderId="6" xfId="17" applyNumberFormat="1" applyFont="1" applyFill="1" applyBorder="1"/>
    <xf numFmtId="0" fontId="12" fillId="4" borderId="10" xfId="12" applyFont="1" applyFill="1" applyBorder="1"/>
    <xf numFmtId="166" fontId="1" fillId="4" borderId="10" xfId="12" applyNumberFormat="1" applyFont="1" applyFill="1" applyBorder="1" applyAlignment="1">
      <alignment horizontal="right"/>
    </xf>
    <xf numFmtId="2" fontId="19" fillId="4" borderId="10" xfId="1" applyNumberFormat="1" applyFont="1" applyFill="1" applyBorder="1"/>
    <xf numFmtId="9" fontId="3" fillId="4" borderId="0" xfId="1" applyNumberFormat="1" applyFont="1" applyFill="1" applyBorder="1" applyAlignment="1">
      <alignment horizontal="center"/>
    </xf>
    <xf numFmtId="4" fontId="19" fillId="4" borderId="0" xfId="1" applyNumberFormat="1" applyFont="1" applyFill="1" applyBorder="1" applyAlignment="1">
      <alignment horizontal="right"/>
    </xf>
    <xf numFmtId="2" fontId="19" fillId="4" borderId="0" xfId="1" applyNumberFormat="1" applyFont="1" applyFill="1" applyBorder="1"/>
    <xf numFmtId="0" fontId="19" fillId="4" borderId="3" xfId="1" applyFont="1" applyFill="1" applyBorder="1" applyAlignment="1">
      <alignment horizontal="center"/>
    </xf>
    <xf numFmtId="0" fontId="19" fillId="4" borderId="10" xfId="1" applyFont="1" applyFill="1" applyBorder="1" applyAlignment="1">
      <alignment horizontal="center"/>
    </xf>
    <xf numFmtId="0" fontId="19" fillId="4" borderId="10" xfId="1" applyFont="1" applyFill="1" applyBorder="1"/>
    <xf numFmtId="186" fontId="0" fillId="0" borderId="0" xfId="0" applyNumberFormat="1"/>
    <xf numFmtId="10" fontId="52" fillId="0" borderId="0" xfId="17" applyNumberFormat="1" applyFont="1" applyFill="1" applyBorder="1"/>
    <xf numFmtId="0" fontId="0" fillId="0" borderId="0" xfId="1" applyFont="1" applyAlignment="1">
      <alignment horizontal="right"/>
    </xf>
    <xf numFmtId="0" fontId="12" fillId="0" borderId="15" xfId="12" applyFont="1" applyFill="1" applyBorder="1"/>
    <xf numFmtId="10" fontId="52" fillId="0" borderId="5" xfId="17" applyNumberFormat="1" applyFont="1" applyFill="1" applyBorder="1"/>
    <xf numFmtId="178" fontId="0" fillId="0" borderId="12" xfId="17" applyNumberFormat="1" applyFont="1" applyFill="1" applyBorder="1"/>
    <xf numFmtId="0" fontId="0" fillId="0" borderId="13" xfId="0" applyFill="1" applyBorder="1"/>
    <xf numFmtId="9" fontId="0" fillId="0" borderId="11" xfId="0" applyNumberFormat="1" applyFill="1" applyBorder="1"/>
    <xf numFmtId="10" fontId="0" fillId="0" borderId="11" xfId="0" applyNumberFormat="1" applyFill="1" applyBorder="1"/>
    <xf numFmtId="0" fontId="12" fillId="7" borderId="11" xfId="12" applyFont="1" applyFill="1" applyBorder="1"/>
    <xf numFmtId="166" fontId="1" fillId="7" borderId="11" xfId="12" applyNumberFormat="1" applyFont="1" applyFill="1" applyBorder="1" applyAlignment="1">
      <alignment horizontal="right"/>
    </xf>
    <xf numFmtId="9" fontId="0" fillId="0" borderId="0" xfId="0" applyNumberFormat="1"/>
    <xf numFmtId="0" fontId="55" fillId="0" borderId="11" xfId="0" applyFont="1" applyBorder="1"/>
    <xf numFmtId="9" fontId="3" fillId="0" borderId="12" xfId="1" applyNumberFormat="1" applyFont="1" applyFill="1" applyBorder="1" applyAlignment="1">
      <alignment horizontal="center"/>
    </xf>
    <xf numFmtId="4" fontId="19" fillId="0" borderId="12" xfId="1" applyNumberFormat="1" applyFont="1" applyFill="1" applyBorder="1"/>
    <xf numFmtId="4" fontId="19" fillId="0" borderId="13" xfId="1" applyNumberFormat="1" applyFont="1" applyFill="1" applyBorder="1"/>
    <xf numFmtId="181" fontId="3" fillId="0" borderId="7" xfId="1" applyNumberFormat="1" applyFont="1" applyFill="1" applyBorder="1"/>
    <xf numFmtId="4" fontId="0" fillId="0" borderId="10" xfId="1" applyNumberFormat="1" applyFont="1" applyFill="1" applyBorder="1"/>
    <xf numFmtId="10" fontId="0" fillId="0" borderId="10" xfId="17" applyNumberFormat="1" applyFont="1" applyFill="1" applyBorder="1"/>
    <xf numFmtId="10" fontId="0" fillId="0" borderId="2" xfId="17" applyNumberFormat="1" applyFont="1" applyFill="1" applyBorder="1"/>
    <xf numFmtId="4" fontId="0" fillId="0" borderId="7" xfId="1" applyNumberFormat="1" applyFont="1" applyFill="1" applyBorder="1"/>
    <xf numFmtId="9" fontId="3" fillId="0" borderId="6" xfId="1" applyNumberFormat="1" applyFont="1" applyFill="1" applyBorder="1" applyAlignment="1">
      <alignment horizontal="center"/>
    </xf>
    <xf numFmtId="0" fontId="3" fillId="0" borderId="7" xfId="1" applyFont="1" applyFill="1" applyBorder="1"/>
    <xf numFmtId="4" fontId="5" fillId="0" borderId="7" xfId="1" applyNumberFormat="1" applyFont="1" applyFill="1" applyBorder="1"/>
    <xf numFmtId="10" fontId="5" fillId="0" borderId="10" xfId="17" applyNumberFormat="1" applyFont="1" applyFill="1" applyBorder="1"/>
    <xf numFmtId="10" fontId="5" fillId="0" borderId="14" xfId="17" applyNumberFormat="1" applyFont="1" applyFill="1" applyBorder="1"/>
    <xf numFmtId="2" fontId="19" fillId="0" borderId="4" xfId="1" applyNumberFormat="1" applyFont="1" applyFill="1" applyBorder="1"/>
    <xf numFmtId="2" fontId="19" fillId="0" borderId="9" xfId="1" applyNumberFormat="1" applyFont="1" applyFill="1" applyBorder="1"/>
    <xf numFmtId="2" fontId="19" fillId="0" borderId="6" xfId="1" applyNumberFormat="1" applyFont="1" applyFill="1" applyBorder="1"/>
    <xf numFmtId="10" fontId="19" fillId="0" borderId="4" xfId="17" applyNumberFormat="1" applyFont="1" applyFill="1" applyBorder="1"/>
    <xf numFmtId="178" fontId="19" fillId="0" borderId="12" xfId="17" applyNumberFormat="1" applyFont="1" applyFill="1" applyBorder="1"/>
    <xf numFmtId="10" fontId="19" fillId="0" borderId="9" xfId="17" applyNumberFormat="1" applyFont="1" applyFill="1" applyBorder="1"/>
    <xf numFmtId="178" fontId="19" fillId="0" borderId="13" xfId="17" applyNumberFormat="1" applyFont="1" applyFill="1" applyBorder="1"/>
    <xf numFmtId="10" fontId="19" fillId="0" borderId="6" xfId="17" applyNumberFormat="1" applyFont="1" applyFill="1" applyBorder="1"/>
    <xf numFmtId="178" fontId="19" fillId="0" borderId="15" xfId="17" applyNumberFormat="1" applyFont="1" applyFill="1" applyBorder="1"/>
    <xf numFmtId="4" fontId="19" fillId="0" borderId="10" xfId="1" applyNumberFormat="1" applyFont="1" applyFill="1" applyBorder="1"/>
    <xf numFmtId="10" fontId="19" fillId="0" borderId="10" xfId="17" applyNumberFormat="1" applyFont="1" applyFill="1" applyBorder="1"/>
    <xf numFmtId="10" fontId="19" fillId="0" borderId="2" xfId="17" applyNumberFormat="1" applyFont="1" applyFill="1" applyBorder="1"/>
    <xf numFmtId="4" fontId="19" fillId="0" borderId="7" xfId="1" applyNumberFormat="1" applyFont="1" applyFill="1" applyBorder="1"/>
    <xf numFmtId="10" fontId="0" fillId="0" borderId="5" xfId="17" applyNumberFormat="1" applyFont="1" applyFill="1" applyBorder="1"/>
    <xf numFmtId="10" fontId="0" fillId="0" borderId="12" xfId="17" applyNumberFormat="1" applyFont="1" applyFill="1" applyBorder="1"/>
    <xf numFmtId="0" fontId="3" fillId="2" borderId="11" xfId="1" applyFont="1" applyFill="1" applyBorder="1" applyAlignment="1">
      <alignment horizontal="center" vertical="center"/>
    </xf>
    <xf numFmtId="181" fontId="3" fillId="2" borderId="7" xfId="1" applyNumberFormat="1" applyFont="1" applyFill="1" applyBorder="1"/>
    <xf numFmtId="0" fontId="12" fillId="2" borderId="13" xfId="12" applyFont="1" applyFill="1" applyBorder="1"/>
    <xf numFmtId="0" fontId="12" fillId="2" borderId="15" xfId="12" applyFont="1" applyFill="1" applyBorder="1"/>
    <xf numFmtId="2" fontId="7" fillId="2" borderId="11" xfId="1" applyNumberFormat="1" applyFont="1" applyFill="1" applyBorder="1"/>
    <xf numFmtId="10" fontId="1" fillId="2" borderId="0" xfId="17" applyNumberFormat="1" applyFont="1" applyFill="1" applyBorder="1" applyAlignment="1">
      <alignment horizontal="center"/>
    </xf>
    <xf numFmtId="10" fontId="19" fillId="2" borderId="0" xfId="17" applyNumberFormat="1" applyFont="1" applyFill="1" applyBorder="1" applyAlignment="1">
      <alignment horizontal="center"/>
    </xf>
    <xf numFmtId="2" fontId="19" fillId="2" borderId="12" xfId="1" applyNumberFormat="1" applyFont="1" applyFill="1" applyBorder="1"/>
    <xf numFmtId="10" fontId="19" fillId="2" borderId="5" xfId="17" applyNumberFormat="1" applyFont="1" applyFill="1" applyBorder="1"/>
    <xf numFmtId="178" fontId="19" fillId="2" borderId="12" xfId="17" applyNumberFormat="1" applyFont="1" applyFill="1" applyBorder="1"/>
    <xf numFmtId="2" fontId="19" fillId="2" borderId="13" xfId="1" applyNumberFormat="1" applyFont="1" applyFill="1" applyBorder="1"/>
    <xf numFmtId="10" fontId="19" fillId="2" borderId="0" xfId="17" applyNumberFormat="1" applyFont="1" applyFill="1" applyBorder="1"/>
    <xf numFmtId="178" fontId="19" fillId="2" borderId="13" xfId="17" applyNumberFormat="1" applyFont="1" applyFill="1" applyBorder="1"/>
    <xf numFmtId="2" fontId="19" fillId="2" borderId="15" xfId="1" applyNumberFormat="1" applyFont="1" applyFill="1" applyBorder="1"/>
    <xf numFmtId="0" fontId="19" fillId="2" borderId="11" xfId="1" applyFont="1" applyFill="1" applyBorder="1" applyAlignment="1">
      <alignment horizontal="center"/>
    </xf>
    <xf numFmtId="10" fontId="19" fillId="2" borderId="11" xfId="17" applyNumberFormat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/>
    </xf>
    <xf numFmtId="10" fontId="52" fillId="2" borderId="5" xfId="17" applyNumberFormat="1" applyFont="1" applyFill="1" applyBorder="1"/>
    <xf numFmtId="10" fontId="52" fillId="2" borderId="0" xfId="17" applyNumberFormat="1" applyFont="1" applyFill="1" applyBorder="1"/>
    <xf numFmtId="9" fontId="3" fillId="2" borderId="12" xfId="1" applyNumberFormat="1" applyFont="1" applyFill="1" applyBorder="1" applyAlignment="1">
      <alignment horizontal="center"/>
    </xf>
    <xf numFmtId="0" fontId="12" fillId="2" borderId="15" xfId="1" applyFont="1" applyFill="1" applyBorder="1"/>
    <xf numFmtId="4" fontId="19" fillId="2" borderId="12" xfId="1" applyNumberFormat="1" applyFont="1" applyFill="1" applyBorder="1"/>
    <xf numFmtId="4" fontId="19" fillId="2" borderId="13" xfId="1" applyNumberFormat="1" applyFont="1" applyFill="1" applyBorder="1"/>
    <xf numFmtId="10" fontId="19" fillId="2" borderId="12" xfId="17" applyNumberFormat="1" applyFont="1" applyFill="1" applyBorder="1"/>
    <xf numFmtId="4" fontId="19" fillId="2" borderId="10" xfId="1" applyNumberFormat="1" applyFont="1" applyFill="1" applyBorder="1"/>
    <xf numFmtId="10" fontId="19" fillId="2" borderId="10" xfId="17" applyNumberFormat="1" applyFont="1" applyFill="1" applyBorder="1"/>
    <xf numFmtId="10" fontId="19" fillId="2" borderId="2" xfId="17" applyNumberFormat="1" applyFont="1" applyFill="1" applyBorder="1"/>
    <xf numFmtId="4" fontId="19" fillId="2" borderId="7" xfId="1" applyNumberFormat="1" applyFont="1" applyFill="1" applyBorder="1"/>
    <xf numFmtId="9" fontId="3" fillId="2" borderId="6" xfId="1" applyNumberFormat="1" applyFont="1" applyFill="1" applyBorder="1" applyAlignment="1">
      <alignment horizontal="center"/>
    </xf>
    <xf numFmtId="0" fontId="3" fillId="2" borderId="7" xfId="1" applyFont="1" applyFill="1" applyBorder="1"/>
    <xf numFmtId="4" fontId="5" fillId="2" borderId="7" xfId="1" applyNumberFormat="1" applyFont="1" applyFill="1" applyBorder="1"/>
    <xf numFmtId="10" fontId="5" fillId="2" borderId="10" xfId="17" applyNumberFormat="1" applyFont="1" applyFill="1" applyBorder="1"/>
    <xf numFmtId="10" fontId="5" fillId="2" borderId="14" xfId="17" applyNumberFormat="1" applyFont="1" applyFill="1" applyBorder="1"/>
    <xf numFmtId="2" fontId="19" fillId="2" borderId="4" xfId="1" applyNumberFormat="1" applyFont="1" applyFill="1" applyBorder="1"/>
    <xf numFmtId="10" fontId="19" fillId="2" borderId="4" xfId="17" applyNumberFormat="1" applyFont="1" applyFill="1" applyBorder="1"/>
    <xf numFmtId="2" fontId="19" fillId="2" borderId="9" xfId="1" applyNumberFormat="1" applyFont="1" applyFill="1" applyBorder="1"/>
    <xf numFmtId="10" fontId="19" fillId="2" borderId="9" xfId="17" applyNumberFormat="1" applyFont="1" applyFill="1" applyBorder="1"/>
    <xf numFmtId="2" fontId="19" fillId="2" borderId="6" xfId="1" applyNumberFormat="1" applyFont="1" applyFill="1" applyBorder="1"/>
    <xf numFmtId="10" fontId="19" fillId="2" borderId="6" xfId="17" applyNumberFormat="1" applyFont="1" applyFill="1" applyBorder="1"/>
    <xf numFmtId="178" fontId="19" fillId="2" borderId="15" xfId="17" applyNumberFormat="1" applyFont="1" applyFill="1" applyBorder="1"/>
    <xf numFmtId="10" fontId="19" fillId="2" borderId="13" xfId="17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indent="1"/>
    </xf>
    <xf numFmtId="0" fontId="5" fillId="0" borderId="0" xfId="0" applyFont="1" applyAlignment="1">
      <alignment horizontal="right"/>
    </xf>
    <xf numFmtId="0" fontId="0" fillId="0" borderId="0" xfId="1" applyNumberFormat="1" applyFont="1"/>
    <xf numFmtId="0" fontId="0" fillId="0" borderId="0" xfId="0" applyNumberFormat="1"/>
    <xf numFmtId="186" fontId="0" fillId="0" borderId="0" xfId="1" applyNumberFormat="1" applyFont="1"/>
    <xf numFmtId="181" fontId="5" fillId="0" borderId="0" xfId="1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55" fillId="0" borderId="0" xfId="0" applyFont="1" applyBorder="1"/>
    <xf numFmtId="10" fontId="3" fillId="7" borderId="11" xfId="1" applyNumberFormat="1" applyFont="1" applyFill="1" applyBorder="1" applyAlignment="1">
      <alignment horizontal="center"/>
    </xf>
    <xf numFmtId="0" fontId="12" fillId="7" borderId="8" xfId="12" applyFont="1" applyFill="1" applyBorder="1"/>
    <xf numFmtId="0" fontId="12" fillId="7" borderId="16" xfId="12" applyFont="1" applyFill="1" applyBorder="1"/>
    <xf numFmtId="0" fontId="7" fillId="7" borderId="16" xfId="12" applyFont="1" applyFill="1" applyBorder="1"/>
    <xf numFmtId="0" fontId="12" fillId="7" borderId="14" xfId="12" applyFont="1" applyFill="1" applyBorder="1"/>
    <xf numFmtId="0" fontId="64" fillId="14" borderId="0" xfId="19"/>
    <xf numFmtId="0" fontId="63" fillId="13" borderId="0" xfId="18"/>
    <xf numFmtId="0" fontId="19" fillId="5" borderId="11" xfId="1" applyFont="1" applyFill="1" applyBorder="1" applyAlignment="1">
      <alignment horizontal="center"/>
    </xf>
    <xf numFmtId="0" fontId="19" fillId="5" borderId="4" xfId="1" applyFont="1" applyFill="1" applyBorder="1"/>
    <xf numFmtId="0" fontId="19" fillId="5" borderId="5" xfId="1" applyFont="1" applyFill="1" applyBorder="1"/>
    <xf numFmtId="4" fontId="19" fillId="5" borderId="5" xfId="1" applyNumberFormat="1" applyFont="1" applyFill="1" applyBorder="1"/>
    <xf numFmtId="10" fontId="19" fillId="5" borderId="5" xfId="17" applyNumberFormat="1" applyFont="1" applyFill="1" applyBorder="1" applyAlignment="1">
      <alignment horizontal="center" vertical="center" wrapText="1"/>
    </xf>
    <xf numFmtId="10" fontId="19" fillId="5" borderId="8" xfId="17" applyNumberFormat="1" applyFont="1" applyFill="1" applyBorder="1" applyAlignment="1">
      <alignment horizontal="center" vertical="center" wrapText="1"/>
    </xf>
    <xf numFmtId="0" fontId="19" fillId="5" borderId="0" xfId="1" applyFont="1" applyFill="1" applyBorder="1"/>
    <xf numFmtId="4" fontId="19" fillId="5" borderId="0" xfId="1" applyNumberFormat="1" applyFont="1" applyFill="1" applyBorder="1"/>
    <xf numFmtId="4" fontId="2" fillId="5" borderId="0" xfId="1" applyNumberFormat="1" applyFont="1" applyFill="1" applyBorder="1" applyAlignment="1">
      <alignment horizontal="right"/>
    </xf>
    <xf numFmtId="14" fontId="19" fillId="5" borderId="0" xfId="17" applyNumberFormat="1" applyFont="1" applyFill="1" applyBorder="1" applyAlignment="1">
      <alignment horizontal="center" vertical="center" wrapText="1"/>
    </xf>
    <xf numFmtId="10" fontId="19" fillId="5" borderId="14" xfId="17" applyNumberFormat="1" applyFont="1" applyFill="1" applyBorder="1" applyAlignment="1">
      <alignment horizontal="center" vertical="center" wrapText="1"/>
    </xf>
    <xf numFmtId="10" fontId="19" fillId="5" borderId="12" xfId="17" applyNumberFormat="1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/>
    </xf>
    <xf numFmtId="0" fontId="3" fillId="5" borderId="12" xfId="1" applyFont="1" applyFill="1" applyBorder="1"/>
    <xf numFmtId="165" fontId="19" fillId="5" borderId="12" xfId="1" applyNumberFormat="1" applyFont="1" applyFill="1" applyBorder="1" applyAlignment="1">
      <alignment horizontal="right"/>
    </xf>
    <xf numFmtId="2" fontId="19" fillId="5" borderId="0" xfId="1" applyNumberFormat="1" applyFont="1" applyFill="1"/>
    <xf numFmtId="10" fontId="19" fillId="5" borderId="4" xfId="17" applyNumberFormat="1" applyFont="1" applyFill="1" applyBorder="1" applyAlignment="1">
      <alignment horizontal="right"/>
    </xf>
    <xf numFmtId="10" fontId="3" fillId="5" borderId="13" xfId="1" applyNumberFormat="1" applyFont="1" applyFill="1" applyBorder="1" applyAlignment="1">
      <alignment horizontal="center"/>
    </xf>
    <xf numFmtId="0" fontId="3" fillId="5" borderId="13" xfId="1" applyFont="1" applyFill="1" applyBorder="1"/>
    <xf numFmtId="165" fontId="19" fillId="5" borderId="13" xfId="1" applyNumberFormat="1" applyFont="1" applyFill="1" applyBorder="1" applyAlignment="1">
      <alignment horizontal="right"/>
    </xf>
    <xf numFmtId="10" fontId="19" fillId="5" borderId="9" xfId="17" applyNumberFormat="1" applyFont="1" applyFill="1" applyBorder="1" applyAlignment="1">
      <alignment horizontal="right"/>
    </xf>
    <xf numFmtId="165" fontId="9" fillId="5" borderId="13" xfId="10" applyNumberFormat="1" applyFill="1" applyBorder="1"/>
    <xf numFmtId="0" fontId="3" fillId="5" borderId="0" xfId="12" applyFont="1" applyFill="1" applyBorder="1"/>
    <xf numFmtId="0" fontId="19" fillId="5" borderId="9" xfId="1" applyFont="1" applyFill="1" applyBorder="1"/>
    <xf numFmtId="0" fontId="9" fillId="5" borderId="0" xfId="10" applyFont="1" applyFill="1"/>
    <xf numFmtId="0" fontId="7" fillId="5" borderId="0" xfId="10" applyFont="1" applyFill="1"/>
    <xf numFmtId="0" fontId="3" fillId="5" borderId="9" xfId="1" applyFont="1" applyFill="1" applyBorder="1"/>
    <xf numFmtId="0" fontId="12" fillId="5" borderId="9" xfId="12" applyFont="1" applyFill="1" applyBorder="1"/>
    <xf numFmtId="10" fontId="3" fillId="5" borderId="9" xfId="1" applyNumberFormat="1" applyFont="1" applyFill="1" applyBorder="1" applyAlignment="1">
      <alignment horizontal="center"/>
    </xf>
    <xf numFmtId="0" fontId="12" fillId="5" borderId="15" xfId="1" applyFont="1" applyFill="1" applyBorder="1"/>
    <xf numFmtId="10" fontId="3" fillId="5" borderId="3" xfId="1" applyNumberFormat="1" applyFont="1" applyFill="1" applyBorder="1" applyAlignment="1">
      <alignment horizontal="center"/>
    </xf>
    <xf numFmtId="0" fontId="3" fillId="5" borderId="10" xfId="1" applyFont="1" applyFill="1" applyBorder="1"/>
    <xf numFmtId="165" fontId="19" fillId="5" borderId="10" xfId="1" applyNumberFormat="1" applyFont="1" applyFill="1" applyBorder="1" applyAlignment="1">
      <alignment horizontal="right"/>
    </xf>
    <xf numFmtId="4" fontId="19" fillId="5" borderId="10" xfId="1" applyNumberFormat="1" applyFont="1" applyFill="1" applyBorder="1" applyAlignment="1">
      <alignment horizontal="right"/>
    </xf>
    <xf numFmtId="10" fontId="19" fillId="5" borderId="10" xfId="17" applyNumberFormat="1" applyFont="1" applyFill="1" applyBorder="1" applyAlignment="1">
      <alignment horizontal="right"/>
    </xf>
    <xf numFmtId="187" fontId="0" fillId="0" borderId="0" xfId="0" applyNumberFormat="1"/>
    <xf numFmtId="2" fontId="19" fillId="0" borderId="12" xfId="1" applyNumberFormat="1" applyFont="1" applyFill="1" applyBorder="1"/>
    <xf numFmtId="2" fontId="19" fillId="0" borderId="13" xfId="1" applyNumberFormat="1" applyFont="1" applyFill="1" applyBorder="1"/>
    <xf numFmtId="2" fontId="19" fillId="0" borderId="15" xfId="1" applyNumberFormat="1" applyFont="1" applyFill="1" applyBorder="1"/>
    <xf numFmtId="10" fontId="19" fillId="0" borderId="12" xfId="17" applyNumberFormat="1" applyFont="1" applyFill="1" applyBorder="1"/>
    <xf numFmtId="10" fontId="9" fillId="5" borderId="0" xfId="17" applyNumberFormat="1" applyFont="1" applyFill="1" applyAlignment="1">
      <alignment horizontal="center"/>
    </xf>
    <xf numFmtId="0" fontId="12" fillId="5" borderId="4" xfId="1" applyFont="1" applyFill="1" applyBorder="1"/>
    <xf numFmtId="0" fontId="16" fillId="5" borderId="12" xfId="1" applyFont="1" applyFill="1" applyBorder="1"/>
    <xf numFmtId="2" fontId="19" fillId="5" borderId="8" xfId="1" applyNumberFormat="1" applyFont="1" applyFill="1" applyBorder="1"/>
    <xf numFmtId="0" fontId="16" fillId="5" borderId="13" xfId="1" applyFont="1" applyFill="1" applyBorder="1"/>
    <xf numFmtId="2" fontId="19" fillId="5" borderId="16" xfId="1" applyNumberFormat="1" applyFont="1" applyFill="1" applyBorder="1"/>
    <xf numFmtId="0" fontId="12" fillId="5" borderId="9" xfId="1" applyFont="1" applyFill="1" applyBorder="1"/>
    <xf numFmtId="0" fontId="3" fillId="5" borderId="9" xfId="12" applyFont="1" applyFill="1" applyBorder="1"/>
    <xf numFmtId="0" fontId="19" fillId="5" borderId="6" xfId="1" applyFont="1" applyFill="1" applyBorder="1"/>
    <xf numFmtId="0" fontId="16" fillId="5" borderId="15" xfId="1" applyFont="1" applyFill="1" applyBorder="1"/>
    <xf numFmtId="2" fontId="19" fillId="5" borderId="14" xfId="1" applyNumberFormat="1" applyFont="1" applyFill="1" applyBorder="1"/>
    <xf numFmtId="10" fontId="19" fillId="5" borderId="7" xfId="17" applyNumberFormat="1" applyFont="1" applyFill="1" applyBorder="1"/>
    <xf numFmtId="9" fontId="3" fillId="5" borderId="3" xfId="1" applyNumberFormat="1" applyFont="1" applyFill="1" applyBorder="1" applyAlignment="1">
      <alignment horizontal="center"/>
    </xf>
    <xf numFmtId="0" fontId="3" fillId="5" borderId="7" xfId="1" applyFont="1" applyFill="1" applyBorder="1"/>
    <xf numFmtId="4" fontId="19" fillId="5" borderId="7" xfId="1" applyNumberFormat="1" applyFont="1" applyFill="1" applyBorder="1"/>
    <xf numFmtId="0" fontId="3" fillId="0" borderId="0" xfId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right"/>
    </xf>
    <xf numFmtId="0" fontId="19" fillId="7" borderId="6" xfId="1" applyFont="1" applyFill="1" applyBorder="1" applyAlignment="1">
      <alignment horizontal="center"/>
    </xf>
    <xf numFmtId="0" fontId="19" fillId="7" borderId="7" xfId="1" applyFont="1" applyFill="1" applyBorder="1" applyAlignment="1">
      <alignment horizontal="center"/>
    </xf>
    <xf numFmtId="0" fontId="58" fillId="0" borderId="0" xfId="0" applyFont="1"/>
    <xf numFmtId="0" fontId="19" fillId="0" borderId="7" xfId="1" applyFont="1" applyFill="1" applyBorder="1"/>
    <xf numFmtId="4" fontId="19" fillId="0" borderId="0" xfId="1" applyNumberFormat="1" applyFont="1" applyFill="1" applyBorder="1" applyAlignment="1">
      <alignment horizontal="center"/>
    </xf>
    <xf numFmtId="0" fontId="19" fillId="0" borderId="11" xfId="1" applyFont="1" applyFill="1" applyBorder="1"/>
    <xf numFmtId="10" fontId="19" fillId="0" borderId="11" xfId="17" applyNumberFormat="1" applyFont="1" applyFill="1" applyBorder="1" applyAlignment="1">
      <alignment horizontal="center" vertical="center" wrapText="1"/>
    </xf>
    <xf numFmtId="4" fontId="19" fillId="0" borderId="11" xfId="1" applyNumberFormat="1" applyFont="1" applyFill="1" applyBorder="1" applyAlignment="1">
      <alignment horizontal="right"/>
    </xf>
    <xf numFmtId="0" fontId="12" fillId="2" borderId="12" xfId="12" applyFont="1" applyFill="1" applyBorder="1"/>
    <xf numFmtId="168" fontId="0" fillId="0" borderId="0" xfId="0" applyNumberFormat="1"/>
    <xf numFmtId="0" fontId="0" fillId="9" borderId="0" xfId="0" applyFill="1"/>
    <xf numFmtId="0" fontId="5" fillId="0" borderId="0" xfId="0" applyFont="1" applyBorder="1"/>
    <xf numFmtId="10" fontId="0" fillId="0" borderId="11" xfId="17" applyNumberFormat="1" applyFont="1" applyFill="1" applyBorder="1" applyAlignment="1">
      <alignment horizontal="center" vertical="center" wrapText="1"/>
    </xf>
    <xf numFmtId="174" fontId="5" fillId="7" borderId="0" xfId="1" applyNumberFormat="1" applyFont="1" applyFill="1"/>
    <xf numFmtId="172" fontId="3" fillId="0" borderId="16" xfId="17" applyNumberFormat="1" applyFont="1" applyFill="1" applyBorder="1" applyAlignment="1">
      <alignment horizontal="center" vertical="center" wrapText="1"/>
    </xf>
    <xf numFmtId="10" fontId="44" fillId="7" borderId="13" xfId="17" applyNumberFormat="1" applyFont="1" applyFill="1" applyBorder="1" applyAlignment="1">
      <alignment horizontal="right"/>
    </xf>
    <xf numFmtId="10" fontId="0" fillId="2" borderId="0" xfId="17" applyNumberFormat="1" applyFont="1" applyFill="1" applyAlignment="1">
      <alignment horizontal="right"/>
    </xf>
    <xf numFmtId="10" fontId="0" fillId="0" borderId="0" xfId="17" applyNumberFormat="1" applyFont="1" applyAlignment="1">
      <alignment horizontal="right"/>
    </xf>
    <xf numFmtId="186" fontId="0" fillId="0" borderId="0" xfId="0" applyNumberFormat="1" applyFill="1"/>
    <xf numFmtId="10" fontId="19" fillId="0" borderId="5" xfId="17" applyNumberFormat="1" applyFont="1" applyFill="1" applyBorder="1"/>
    <xf numFmtId="10" fontId="19" fillId="0" borderId="0" xfId="17" applyNumberFormat="1" applyFont="1" applyFill="1" applyBorder="1"/>
    <xf numFmtId="0" fontId="0" fillId="0" borderId="0" xfId="0" applyFont="1"/>
    <xf numFmtId="0" fontId="0" fillId="0" borderId="0" xfId="0" applyFont="1" applyFill="1"/>
    <xf numFmtId="0" fontId="4" fillId="0" borderId="0" xfId="3" applyAlignment="1" applyProtection="1"/>
    <xf numFmtId="0" fontId="3" fillId="2" borderId="0" xfId="12" applyFont="1" applyFill="1" applyBorder="1"/>
    <xf numFmtId="10" fontId="5" fillId="2" borderId="11" xfId="17" applyNumberFormat="1" applyFont="1" applyFill="1" applyBorder="1" applyAlignment="1">
      <alignment horizontal="center"/>
    </xf>
    <xf numFmtId="0" fontId="12" fillId="2" borderId="11" xfId="12" applyFont="1" applyFill="1" applyBorder="1"/>
    <xf numFmtId="166" fontId="1" fillId="2" borderId="11" xfId="12" applyNumberFormat="1" applyFont="1" applyFill="1" applyBorder="1" applyAlignment="1">
      <alignment horizontal="right"/>
    </xf>
    <xf numFmtId="2" fontId="19" fillId="2" borderId="11" xfId="1" applyNumberFormat="1" applyFont="1" applyFill="1" applyBorder="1"/>
    <xf numFmtId="10" fontId="19" fillId="2" borderId="11" xfId="17" applyNumberFormat="1" applyFont="1" applyFill="1" applyBorder="1"/>
    <xf numFmtId="0" fontId="19" fillId="2" borderId="3" xfId="1" applyFont="1" applyFill="1" applyBorder="1"/>
    <xf numFmtId="0" fontId="19" fillId="2" borderId="10" xfId="1" applyFont="1" applyFill="1" applyBorder="1"/>
    <xf numFmtId="0" fontId="19" fillId="2" borderId="6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9" fillId="2" borderId="7" xfId="1" applyFont="1" applyFill="1" applyBorder="1"/>
    <xf numFmtId="0" fontId="3" fillId="2" borderId="12" xfId="1" applyFont="1" applyFill="1" applyBorder="1" applyAlignment="1">
      <alignment horizontal="center" vertical="center"/>
    </xf>
    <xf numFmtId="0" fontId="19" fillId="2" borderId="4" xfId="1" applyFont="1" applyFill="1" applyBorder="1"/>
    <xf numFmtId="0" fontId="19" fillId="2" borderId="5" xfId="1" applyFont="1" applyFill="1" applyBorder="1"/>
    <xf numFmtId="0" fontId="19" fillId="2" borderId="8" xfId="1" applyFont="1" applyFill="1" applyBorder="1"/>
    <xf numFmtId="10" fontId="19" fillId="2" borderId="12" xfId="17" applyNumberFormat="1" applyFont="1" applyFill="1" applyBorder="1" applyAlignment="1">
      <alignment horizontal="center"/>
    </xf>
    <xf numFmtId="0" fontId="19" fillId="2" borderId="9" xfId="1" applyFont="1" applyFill="1" applyBorder="1"/>
    <xf numFmtId="10" fontId="19" fillId="2" borderId="16" xfId="1" applyNumberFormat="1" applyFont="1" applyFill="1" applyBorder="1"/>
    <xf numFmtId="10" fontId="19" fillId="2" borderId="13" xfId="17" applyNumberFormat="1" applyFont="1" applyFill="1" applyBorder="1" applyAlignment="1">
      <alignment horizontal="center"/>
    </xf>
    <xf numFmtId="0" fontId="19" fillId="2" borderId="16" xfId="1" applyFont="1" applyFill="1" applyBorder="1"/>
    <xf numFmtId="0" fontId="19" fillId="2" borderId="6" xfId="1" applyFont="1" applyFill="1" applyBorder="1"/>
    <xf numFmtId="0" fontId="19" fillId="2" borderId="14" xfId="1" applyFont="1" applyFill="1" applyBorder="1"/>
    <xf numFmtId="10" fontId="19" fillId="2" borderId="15" xfId="17" applyNumberFormat="1" applyFont="1" applyFill="1" applyBorder="1" applyAlignment="1">
      <alignment horizont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10" fontId="19" fillId="7" borderId="16" xfId="17" applyNumberFormat="1" applyFont="1" applyFill="1" applyBorder="1" applyAlignment="1">
      <alignment horizontal="center"/>
    </xf>
    <xf numFmtId="171" fontId="54" fillId="7" borderId="11" xfId="8" applyNumberFormat="1" applyFont="1" applyFill="1" applyBorder="1"/>
    <xf numFmtId="4" fontId="3" fillId="0" borderId="15" xfId="1" applyNumberFormat="1" applyFont="1" applyFill="1" applyBorder="1" applyAlignment="1">
      <alignment horizontal="center" vertical="center"/>
    </xf>
    <xf numFmtId="4" fontId="3" fillId="0" borderId="12" xfId="1" applyNumberFormat="1" applyFont="1" applyFill="1" applyBorder="1" applyAlignment="1">
      <alignment horizontal="center" vertical="center"/>
    </xf>
    <xf numFmtId="167" fontId="5" fillId="0" borderId="0" xfId="17" applyNumberFormat="1" applyFont="1"/>
    <xf numFmtId="0" fontId="0" fillId="0" borderId="0" xfId="0" applyBorder="1" applyAlignment="1">
      <alignment horizontal="center"/>
    </xf>
    <xf numFmtId="9" fontId="0" fillId="0" borderId="0" xfId="17" applyFont="1" applyBorder="1"/>
    <xf numFmtId="4" fontId="3" fillId="0" borderId="4" xfId="1" applyNumberFormat="1" applyFont="1" applyFill="1" applyBorder="1" applyAlignment="1">
      <alignment vertical="center"/>
    </xf>
    <xf numFmtId="4" fontId="3" fillId="0" borderId="9" xfId="1" applyNumberFormat="1" applyFont="1" applyFill="1" applyBorder="1" applyAlignment="1">
      <alignment vertical="center"/>
    </xf>
    <xf numFmtId="4" fontId="3" fillId="0" borderId="6" xfId="1" applyNumberFormat="1" applyFont="1" applyFill="1" applyBorder="1" applyAlignment="1">
      <alignment vertical="center"/>
    </xf>
    <xf numFmtId="0" fontId="19" fillId="0" borderId="5" xfId="1" applyFont="1" applyFill="1" applyBorder="1"/>
    <xf numFmtId="0" fontId="19" fillId="0" borderId="11" xfId="1" applyFont="1" applyFill="1" applyBorder="1" applyAlignment="1">
      <alignment horizontal="center"/>
    </xf>
    <xf numFmtId="0" fontId="19" fillId="0" borderId="12" xfId="1" applyFont="1" applyFill="1" applyBorder="1" applyAlignment="1">
      <alignment horizontal="center"/>
    </xf>
    <xf numFmtId="9" fontId="0" fillId="0" borderId="13" xfId="17" applyFont="1" applyFill="1" applyBorder="1" applyAlignment="1">
      <alignment horizontal="center"/>
    </xf>
    <xf numFmtId="10" fontId="0" fillId="0" borderId="0" xfId="17" applyNumberFormat="1" applyFont="1" applyFill="1" applyBorder="1" applyAlignment="1"/>
    <xf numFmtId="4" fontId="3" fillId="7" borderId="12" xfId="1" applyNumberFormat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/>
    </xf>
    <xf numFmtId="0" fontId="0" fillId="0" borderId="16" xfId="1" applyFont="1" applyBorder="1" applyAlignment="1">
      <alignment horizontal="center"/>
    </xf>
    <xf numFmtId="9" fontId="0" fillId="0" borderId="13" xfId="2" applyNumberFormat="1" applyFont="1" applyFill="1" applyBorder="1" applyAlignment="1">
      <alignment horizontal="center"/>
    </xf>
    <xf numFmtId="10" fontId="0" fillId="0" borderId="9" xfId="17" applyNumberFormat="1" applyFont="1" applyBorder="1" applyAlignment="1">
      <alignment horizontal="right"/>
    </xf>
    <xf numFmtId="4" fontId="19" fillId="2" borderId="5" xfId="1" applyNumberFormat="1" applyFont="1" applyFill="1" applyBorder="1"/>
    <xf numFmtId="4" fontId="2" fillId="2" borderId="0" xfId="1" applyNumberFormat="1" applyFont="1" applyFill="1" applyBorder="1" applyAlignment="1">
      <alignment horizontal="right"/>
    </xf>
    <xf numFmtId="14" fontId="19" fillId="2" borderId="0" xfId="17" applyNumberFormat="1" applyFont="1" applyFill="1" applyBorder="1" applyAlignment="1">
      <alignment horizontal="center" vertical="center" wrapText="1"/>
    </xf>
    <xf numFmtId="10" fontId="19" fillId="2" borderId="14" xfId="17" applyNumberFormat="1" applyFont="1" applyFill="1" applyBorder="1" applyAlignment="1">
      <alignment horizontal="center" vertical="center" wrapText="1"/>
    </xf>
    <xf numFmtId="186" fontId="0" fillId="0" borderId="11" xfId="0" applyNumberFormat="1" applyBorder="1"/>
    <xf numFmtId="0" fontId="34" fillId="7" borderId="11" xfId="0" applyFont="1" applyFill="1" applyBorder="1"/>
    <xf numFmtId="10" fontId="5" fillId="7" borderId="0" xfId="17" applyNumberFormat="1" applyFont="1" applyFill="1"/>
    <xf numFmtId="0" fontId="0" fillId="2" borderId="11" xfId="0" applyFill="1" applyBorder="1" applyAlignment="1">
      <alignment horizontal="center"/>
    </xf>
    <xf numFmtId="10" fontId="0" fillId="2" borderId="12" xfId="0" applyNumberFormat="1" applyFill="1" applyBorder="1"/>
    <xf numFmtId="10" fontId="0" fillId="2" borderId="13" xfId="0" applyNumberFormat="1" applyFill="1" applyBorder="1"/>
    <xf numFmtId="10" fontId="19" fillId="2" borderId="15" xfId="17" applyNumberFormat="1" applyFont="1" applyFill="1" applyBorder="1"/>
    <xf numFmtId="10" fontId="0" fillId="2" borderId="15" xfId="0" applyNumberFormat="1" applyFill="1" applyBorder="1"/>
    <xf numFmtId="9" fontId="19" fillId="2" borderId="0" xfId="17" applyFont="1" applyFill="1"/>
    <xf numFmtId="173" fontId="19" fillId="7" borderId="9" xfId="17" applyNumberFormat="1" applyFont="1" applyFill="1" applyBorder="1"/>
    <xf numFmtId="0" fontId="19" fillId="7" borderId="3" xfId="1" applyFont="1" applyFill="1" applyBorder="1" applyAlignment="1">
      <alignment horizontal="left" vertical="top" wrapText="1"/>
    </xf>
    <xf numFmtId="173" fontId="19" fillId="7" borderId="6" xfId="17" applyNumberFormat="1" applyFont="1" applyFill="1" applyBorder="1"/>
    <xf numFmtId="2" fontId="54" fillId="0" borderId="11" xfId="8" applyNumberFormat="1" applyFont="1" applyBorder="1"/>
    <xf numFmtId="2" fontId="5" fillId="0" borderId="0" xfId="0" applyNumberFormat="1" applyFont="1"/>
    <xf numFmtId="0" fontId="0" fillId="0" borderId="11" xfId="1" applyFont="1" applyFill="1" applyBorder="1" applyAlignment="1">
      <alignment horizontal="center"/>
    </xf>
    <xf numFmtId="0" fontId="0" fillId="0" borderId="12" xfId="1" applyFont="1" applyFill="1" applyBorder="1" applyAlignment="1">
      <alignment horizontal="center"/>
    </xf>
    <xf numFmtId="14" fontId="0" fillId="0" borderId="13" xfId="1" applyNumberFormat="1" applyFont="1" applyFill="1" applyBorder="1"/>
    <xf numFmtId="10" fontId="0" fillId="0" borderId="13" xfId="1" applyNumberFormat="1" applyFont="1" applyFill="1" applyBorder="1" applyAlignment="1"/>
    <xf numFmtId="0" fontId="29" fillId="0" borderId="0" xfId="1" applyFont="1" applyFill="1"/>
    <xf numFmtId="4" fontId="19" fillId="0" borderId="4" xfId="1" applyNumberFormat="1" applyFont="1" applyFill="1" applyBorder="1" applyAlignment="1">
      <alignment horizontal="right"/>
    </xf>
    <xf numFmtId="0" fontId="19" fillId="0" borderId="13" xfId="1" applyFont="1" applyFill="1" applyBorder="1"/>
    <xf numFmtId="4" fontId="19" fillId="0" borderId="12" xfId="1" applyNumberFormat="1" applyFont="1" applyFill="1" applyBorder="1" applyAlignment="1">
      <alignment horizontal="right"/>
    </xf>
    <xf numFmtId="0" fontId="19" fillId="3" borderId="11" xfId="1" applyFont="1" applyFill="1" applyBorder="1" applyAlignment="1">
      <alignment horizontal="center"/>
    </xf>
    <xf numFmtId="0" fontId="19" fillId="3" borderId="12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10" fontId="3" fillId="0" borderId="0" xfId="17" applyNumberFormat="1" applyFont="1" applyFill="1" applyBorder="1" applyAlignment="1">
      <alignment horizontal="left" vertical="center"/>
    </xf>
    <xf numFmtId="2" fontId="19" fillId="7" borderId="5" xfId="1" applyNumberFormat="1" applyFont="1" applyFill="1" applyBorder="1" applyAlignment="1">
      <alignment horizontal="right"/>
    </xf>
    <xf numFmtId="0" fontId="19" fillId="7" borderId="0" xfId="12" applyFont="1" applyFill="1" applyBorder="1"/>
    <xf numFmtId="10" fontId="33" fillId="7" borderId="13" xfId="1" applyNumberFormat="1" applyFont="1" applyFill="1" applyBorder="1" applyAlignment="1">
      <alignment horizontal="center"/>
    </xf>
    <xf numFmtId="0" fontId="33" fillId="7" borderId="0" xfId="1" applyFont="1" applyFill="1" applyBorder="1"/>
    <xf numFmtId="10" fontId="33" fillId="7" borderId="9" xfId="17" applyNumberFormat="1" applyFont="1" applyFill="1" applyBorder="1"/>
    <xf numFmtId="0" fontId="1" fillId="7" borderId="7" xfId="12" applyFont="1" applyFill="1" applyBorder="1"/>
    <xf numFmtId="0" fontId="3" fillId="7" borderId="11" xfId="1" applyFont="1" applyFill="1" applyBorder="1"/>
    <xf numFmtId="14" fontId="0" fillId="0" borderId="0" xfId="0" applyNumberFormat="1" applyFill="1"/>
    <xf numFmtId="4" fontId="19" fillId="0" borderId="9" xfId="17" applyNumberFormat="1" applyFont="1" applyFill="1" applyBorder="1" applyAlignment="1">
      <alignment vertical="center"/>
    </xf>
    <xf numFmtId="0" fontId="0" fillId="2" borderId="13" xfId="1" applyFont="1" applyFill="1" applyBorder="1"/>
    <xf numFmtId="0" fontId="4" fillId="0" borderId="0" xfId="3" applyFill="1" applyBorder="1" applyAlignment="1" applyProtection="1">
      <alignment horizontal="left" vertical="center"/>
    </xf>
    <xf numFmtId="0" fontId="59" fillId="0" borderId="0" xfId="0" applyFont="1"/>
    <xf numFmtId="188" fontId="0" fillId="0" borderId="0" xfId="0" applyNumberFormat="1"/>
    <xf numFmtId="14" fontId="0" fillId="0" borderId="0" xfId="1" applyNumberFormat="1" applyFont="1" applyFill="1" applyBorder="1"/>
    <xf numFmtId="10" fontId="4" fillId="0" borderId="0" xfId="3" applyNumberFormat="1" applyFill="1" applyBorder="1" applyAlignment="1" applyProtection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right" vertical="center"/>
    </xf>
    <xf numFmtId="10" fontId="19" fillId="2" borderId="12" xfId="17" applyNumberFormat="1" applyFont="1" applyFill="1" applyBorder="1" applyAlignment="1">
      <alignment horizontal="center" vertical="center" wrapText="1"/>
    </xf>
    <xf numFmtId="4" fontId="3" fillId="7" borderId="9" xfId="1" applyNumberFormat="1" applyFont="1" applyFill="1" applyBorder="1" applyAlignment="1">
      <alignment vertical="center"/>
    </xf>
    <xf numFmtId="4" fontId="3" fillId="7" borderId="13" xfId="1" applyNumberFormat="1" applyFont="1" applyFill="1" applyBorder="1" applyAlignment="1">
      <alignment horizontal="center" vertical="center"/>
    </xf>
    <xf numFmtId="4" fontId="3" fillId="7" borderId="6" xfId="1" applyNumberFormat="1" applyFont="1" applyFill="1" applyBorder="1" applyAlignment="1">
      <alignment vertical="center"/>
    </xf>
    <xf numFmtId="189" fontId="0" fillId="0" borderId="0" xfId="0" applyNumberFormat="1"/>
    <xf numFmtId="168" fontId="19" fillId="7" borderId="3" xfId="1" applyNumberFormat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vertical="center"/>
    </xf>
    <xf numFmtId="168" fontId="3" fillId="7" borderId="15" xfId="1" applyNumberFormat="1" applyFont="1" applyFill="1" applyBorder="1" applyAlignment="1">
      <alignment vertical="center"/>
    </xf>
    <xf numFmtId="0" fontId="5" fillId="7" borderId="11" xfId="1" applyFont="1" applyFill="1" applyBorder="1" applyAlignment="1">
      <alignment horizontal="center"/>
    </xf>
    <xf numFmtId="10" fontId="0" fillId="0" borderId="8" xfId="17" applyNumberFormat="1" applyFont="1" applyFill="1" applyBorder="1" applyAlignment="1">
      <alignment horizontal="center" vertical="center" wrapText="1"/>
    </xf>
    <xf numFmtId="10" fontId="0" fillId="0" borderId="5" xfId="17" applyNumberFormat="1" applyFont="1" applyFill="1" applyBorder="1" applyAlignment="1">
      <alignment horizontal="center" vertical="center" wrapText="1"/>
    </xf>
    <xf numFmtId="0" fontId="0" fillId="0" borderId="4" xfId="1" applyFont="1" applyFill="1" applyBorder="1"/>
    <xf numFmtId="4" fontId="0" fillId="0" borderId="5" xfId="1" applyNumberFormat="1" applyFont="1" applyFill="1" applyBorder="1"/>
    <xf numFmtId="4" fontId="0" fillId="0" borderId="0" xfId="1" applyNumberFormat="1" applyFont="1" applyFill="1" applyBorder="1"/>
    <xf numFmtId="4" fontId="2" fillId="0" borderId="0" xfId="1" applyNumberFormat="1" applyFont="1" applyFill="1" applyBorder="1" applyAlignment="1">
      <alignment horizontal="right"/>
    </xf>
    <xf numFmtId="14" fontId="0" fillId="0" borderId="0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/>
    <xf numFmtId="0" fontId="19" fillId="7" borderId="0" xfId="1" applyFont="1" applyFill="1" applyAlignment="1">
      <alignment horizontal="center" vertical="center"/>
    </xf>
    <xf numFmtId="0" fontId="5" fillId="7" borderId="11" xfId="1" applyFont="1" applyFill="1" applyBorder="1" applyAlignment="1">
      <alignment horizontal="center" vertical="center"/>
    </xf>
    <xf numFmtId="0" fontId="7" fillId="7" borderId="11" xfId="12" applyFont="1" applyFill="1" applyBorder="1"/>
    <xf numFmtId="2" fontId="16" fillId="7" borderId="11" xfId="1" applyNumberFormat="1" applyFont="1" applyFill="1" applyBorder="1"/>
    <xf numFmtId="178" fontId="19" fillId="7" borderId="11" xfId="1" applyNumberFormat="1" applyFont="1" applyFill="1" applyBorder="1"/>
    <xf numFmtId="2" fontId="0" fillId="7" borderId="11" xfId="0" applyNumberFormat="1" applyFill="1" applyBorder="1" applyAlignment="1">
      <alignment horizontal="right"/>
    </xf>
    <xf numFmtId="0" fontId="3" fillId="7" borderId="11" xfId="12" applyFont="1" applyFill="1" applyBorder="1"/>
    <xf numFmtId="0" fontId="12" fillId="7" borderId="11" xfId="14" applyFont="1" applyFill="1" applyBorder="1"/>
    <xf numFmtId="14" fontId="0" fillId="0" borderId="0" xfId="0" applyNumberFormat="1" applyFill="1" applyBorder="1"/>
    <xf numFmtId="0" fontId="0" fillId="0" borderId="0" xfId="0" applyFill="1" applyBorder="1"/>
    <xf numFmtId="171" fontId="0" fillId="0" borderId="11" xfId="0" applyNumberFormat="1" applyBorder="1"/>
    <xf numFmtId="10" fontId="64" fillId="14" borderId="0" xfId="19" applyNumberFormat="1"/>
    <xf numFmtId="4" fontId="0" fillId="6" borderId="0" xfId="0" applyNumberFormat="1" applyFill="1"/>
    <xf numFmtId="4" fontId="0" fillId="0" borderId="0" xfId="12" applyNumberFormat="1" applyFont="1" applyBorder="1" applyAlignment="1">
      <alignment horizontal="left"/>
    </xf>
    <xf numFmtId="0" fontId="40" fillId="2" borderId="11" xfId="0" applyFont="1" applyFill="1" applyBorder="1"/>
    <xf numFmtId="9" fontId="0" fillId="2" borderId="11" xfId="0" applyNumberFormat="1" applyFill="1" applyBorder="1"/>
    <xf numFmtId="10" fontId="0" fillId="2" borderId="11" xfId="0" applyNumberFormat="1" applyFill="1" applyBorder="1"/>
    <xf numFmtId="0" fontId="64" fillId="2" borderId="0" xfId="19" applyFill="1"/>
    <xf numFmtId="0" fontId="0" fillId="0" borderId="4" xfId="1" applyFont="1" applyBorder="1" applyAlignment="1">
      <alignment horizontal="right"/>
    </xf>
    <xf numFmtId="0" fontId="19" fillId="10" borderId="0" xfId="1" applyFont="1" applyFill="1" applyBorder="1"/>
    <xf numFmtId="0" fontId="0" fillId="11" borderId="0" xfId="0" applyFill="1"/>
    <xf numFmtId="4" fontId="0" fillId="0" borderId="0" xfId="0" applyNumberFormat="1" applyFill="1"/>
    <xf numFmtId="10" fontId="64" fillId="2" borderId="0" xfId="19" applyNumberFormat="1" applyFill="1"/>
    <xf numFmtId="0" fontId="0" fillId="0" borderId="0" xfId="0" applyAlignment="1">
      <alignment horizontal="right"/>
    </xf>
    <xf numFmtId="0" fontId="0" fillId="7" borderId="11" xfId="1" applyFont="1" applyFill="1" applyBorder="1" applyAlignment="1">
      <alignment horizontal="center"/>
    </xf>
    <xf numFmtId="0" fontId="0" fillId="7" borderId="4" xfId="1" applyFont="1" applyFill="1" applyBorder="1"/>
    <xf numFmtId="0" fontId="0" fillId="7" borderId="5" xfId="1" applyFont="1" applyFill="1" applyBorder="1"/>
    <xf numFmtId="4" fontId="0" fillId="7" borderId="5" xfId="1" applyNumberFormat="1" applyFont="1" applyFill="1" applyBorder="1"/>
    <xf numFmtId="10" fontId="0" fillId="7" borderId="5" xfId="17" applyNumberFormat="1" applyFont="1" applyFill="1" applyBorder="1" applyAlignment="1">
      <alignment horizontal="center" vertical="center" wrapText="1"/>
    </xf>
    <xf numFmtId="10" fontId="0" fillId="7" borderId="8" xfId="17" applyNumberFormat="1" applyFont="1" applyFill="1" applyBorder="1" applyAlignment="1">
      <alignment horizontal="center" vertical="center" wrapText="1"/>
    </xf>
    <xf numFmtId="0" fontId="0" fillId="7" borderId="0" xfId="1" applyFont="1" applyFill="1" applyBorder="1"/>
    <xf numFmtId="4" fontId="0" fillId="7" borderId="0" xfId="1" applyNumberFormat="1" applyFont="1" applyFill="1" applyBorder="1"/>
    <xf numFmtId="14" fontId="0" fillId="7" borderId="0" xfId="17" applyNumberFormat="1" applyFont="1" applyFill="1" applyBorder="1" applyAlignment="1">
      <alignment horizontal="center" vertical="center" wrapText="1"/>
    </xf>
    <xf numFmtId="10" fontId="0" fillId="7" borderId="14" xfId="17" applyNumberFormat="1" applyFont="1" applyFill="1" applyBorder="1" applyAlignment="1">
      <alignment horizontal="center" vertical="center" wrapText="1"/>
    </xf>
    <xf numFmtId="10" fontId="0" fillId="7" borderId="12" xfId="17" applyNumberFormat="1" applyFont="1" applyFill="1" applyBorder="1" applyAlignment="1">
      <alignment horizontal="center" vertical="center" wrapText="1"/>
    </xf>
    <xf numFmtId="0" fontId="0" fillId="7" borderId="12" xfId="1" applyFont="1" applyFill="1" applyBorder="1" applyAlignment="1">
      <alignment horizontal="center"/>
    </xf>
    <xf numFmtId="2" fontId="0" fillId="7" borderId="8" xfId="1" applyNumberFormat="1" applyFont="1" applyFill="1" applyBorder="1"/>
    <xf numFmtId="10" fontId="0" fillId="7" borderId="5" xfId="17" applyNumberFormat="1" applyFont="1" applyFill="1" applyBorder="1"/>
    <xf numFmtId="2" fontId="0" fillId="7" borderId="16" xfId="1" applyNumberFormat="1" applyFont="1" applyFill="1" applyBorder="1"/>
    <xf numFmtId="10" fontId="0" fillId="7" borderId="0" xfId="17" applyNumberFormat="1" applyFont="1" applyFill="1" applyBorder="1"/>
    <xf numFmtId="0" fontId="0" fillId="7" borderId="9" xfId="1" applyFont="1" applyFill="1" applyBorder="1"/>
    <xf numFmtId="2" fontId="0" fillId="7" borderId="14" xfId="1" applyNumberFormat="1" applyFont="1" applyFill="1" applyBorder="1"/>
    <xf numFmtId="10" fontId="0" fillId="7" borderId="7" xfId="17" applyNumberFormat="1" applyFont="1" applyFill="1" applyBorder="1"/>
    <xf numFmtId="10" fontId="0" fillId="7" borderId="0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/>
    </xf>
    <xf numFmtId="0" fontId="12" fillId="0" borderId="11" xfId="12" applyFont="1" applyFill="1" applyBorder="1"/>
    <xf numFmtId="2" fontId="19" fillId="0" borderId="11" xfId="1" applyNumberFormat="1" applyFont="1" applyFill="1" applyBorder="1"/>
    <xf numFmtId="10" fontId="19" fillId="0" borderId="11" xfId="17" applyNumberFormat="1" applyFont="1" applyFill="1" applyBorder="1"/>
    <xf numFmtId="0" fontId="19" fillId="0" borderId="3" xfId="1" applyFont="1" applyFill="1" applyBorder="1"/>
    <xf numFmtId="0" fontId="19" fillId="0" borderId="6" xfId="1" applyFont="1" applyFill="1" applyBorder="1" applyAlignment="1">
      <alignment horizontal="center"/>
    </xf>
    <xf numFmtId="0" fontId="19" fillId="0" borderId="7" xfId="1" applyFont="1" applyFill="1" applyBorder="1" applyAlignment="1">
      <alignment horizontal="center"/>
    </xf>
    <xf numFmtId="0" fontId="19" fillId="0" borderId="4" xfId="1" applyFont="1" applyFill="1" applyBorder="1"/>
    <xf numFmtId="0" fontId="19" fillId="0" borderId="8" xfId="1" applyFont="1" applyFill="1" applyBorder="1"/>
    <xf numFmtId="10" fontId="19" fillId="0" borderId="12" xfId="17" applyNumberFormat="1" applyFont="1" applyFill="1" applyBorder="1" applyAlignment="1">
      <alignment horizontal="center"/>
    </xf>
    <xf numFmtId="0" fontId="19" fillId="0" borderId="9" xfId="1" applyFont="1" applyFill="1" applyBorder="1"/>
    <xf numFmtId="10" fontId="19" fillId="0" borderId="16" xfId="1" applyNumberFormat="1" applyFont="1" applyFill="1" applyBorder="1"/>
    <xf numFmtId="0" fontId="19" fillId="0" borderId="6" xfId="1" applyFont="1" applyFill="1" applyBorder="1"/>
    <xf numFmtId="0" fontId="19" fillId="0" borderId="14" xfId="1" applyFont="1" applyFill="1" applyBorder="1"/>
    <xf numFmtId="0" fontId="3" fillId="15" borderId="12" xfId="1" applyFont="1" applyFill="1" applyBorder="1" applyAlignment="1">
      <alignment horizontal="center" vertical="center"/>
    </xf>
    <xf numFmtId="0" fontId="19" fillId="15" borderId="10" xfId="1" applyFont="1" applyFill="1" applyBorder="1"/>
    <xf numFmtId="4" fontId="3" fillId="15" borderId="12" xfId="1" applyNumberFormat="1" applyFont="1" applyFill="1" applyBorder="1" applyAlignment="1">
      <alignment vertical="center"/>
    </xf>
    <xf numFmtId="0" fontId="0" fillId="15" borderId="0" xfId="0" applyFill="1"/>
    <xf numFmtId="4" fontId="3" fillId="15" borderId="13" xfId="1" applyNumberFormat="1" applyFont="1" applyFill="1" applyBorder="1" applyAlignment="1">
      <alignment vertical="center"/>
    </xf>
    <xf numFmtId="4" fontId="19" fillId="15" borderId="3" xfId="1" applyNumberFormat="1" applyFont="1" applyFill="1" applyBorder="1" applyAlignment="1">
      <alignment horizontal="right"/>
    </xf>
    <xf numFmtId="10" fontId="19" fillId="15" borderId="13" xfId="17" applyNumberFormat="1" applyFont="1" applyFill="1" applyBorder="1" applyAlignment="1">
      <alignment horizontal="center" vertical="center" wrapText="1"/>
    </xf>
    <xf numFmtId="4" fontId="3" fillId="15" borderId="15" xfId="1" applyNumberFormat="1" applyFont="1" applyFill="1" applyBorder="1" applyAlignment="1">
      <alignment vertical="center"/>
    </xf>
    <xf numFmtId="10" fontId="19" fillId="15" borderId="15" xfId="17" applyNumberFormat="1" applyFont="1" applyFill="1" applyBorder="1" applyAlignment="1">
      <alignment horizontal="center" vertical="center" wrapText="1"/>
    </xf>
    <xf numFmtId="0" fontId="3" fillId="15" borderId="9" xfId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9" fontId="19" fillId="15" borderId="0" xfId="17" applyFont="1" applyFill="1"/>
    <xf numFmtId="167" fontId="19" fillId="16" borderId="0" xfId="17" applyNumberFormat="1" applyFont="1" applyFill="1"/>
    <xf numFmtId="10" fontId="5" fillId="7" borderId="14" xfId="17" applyNumberFormat="1" applyFont="1" applyFill="1" applyBorder="1" applyAlignment="1">
      <alignment horizontal="center"/>
    </xf>
    <xf numFmtId="10" fontId="5" fillId="7" borderId="8" xfId="17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/>
    </xf>
    <xf numFmtId="10" fontId="19" fillId="7" borderId="0" xfId="17" applyNumberFormat="1" applyFont="1" applyFill="1" applyAlignment="1">
      <alignment horizontal="center"/>
    </xf>
    <xf numFmtId="10" fontId="5" fillId="7" borderId="16" xfId="17" applyNumberFormat="1" applyFont="1" applyFill="1" applyBorder="1" applyAlignment="1">
      <alignment horizontal="center"/>
    </xf>
    <xf numFmtId="10" fontId="19" fillId="16" borderId="0" xfId="17" applyNumberFormat="1" applyFont="1" applyFill="1" applyAlignment="1">
      <alignment horizontal="center"/>
    </xf>
    <xf numFmtId="10" fontId="19" fillId="4" borderId="15" xfId="17" applyNumberFormat="1" applyFont="1" applyFill="1" applyBorder="1" applyAlignment="1">
      <alignment horizontal="center"/>
    </xf>
    <xf numFmtId="10" fontId="19" fillId="4" borderId="14" xfId="17" applyNumberFormat="1" applyFont="1" applyFill="1" applyBorder="1" applyAlignment="1">
      <alignment horizontal="center"/>
    </xf>
    <xf numFmtId="10" fontId="0" fillId="0" borderId="2" xfId="17" applyNumberFormat="1" applyFont="1" applyBorder="1" applyAlignment="1">
      <alignment horizontal="center"/>
    </xf>
    <xf numFmtId="10" fontId="19" fillId="5" borderId="14" xfId="17" applyNumberFormat="1" applyFont="1" applyFill="1" applyBorder="1" applyAlignment="1">
      <alignment horizontal="center"/>
    </xf>
    <xf numFmtId="10" fontId="0" fillId="7" borderId="16" xfId="17" applyNumberFormat="1" applyFont="1" applyFill="1" applyBorder="1" applyAlignment="1">
      <alignment horizontal="center"/>
    </xf>
    <xf numFmtId="10" fontId="19" fillId="2" borderId="2" xfId="17" applyNumberFormat="1" applyFont="1" applyFill="1" applyBorder="1" applyAlignment="1">
      <alignment horizontal="center"/>
    </xf>
    <xf numFmtId="10" fontId="5" fillId="2" borderId="14" xfId="17" applyNumberFormat="1" applyFont="1" applyFill="1" applyBorder="1" applyAlignment="1">
      <alignment horizontal="center"/>
    </xf>
    <xf numFmtId="10" fontId="0" fillId="0" borderId="12" xfId="17" applyNumberFormat="1" applyFont="1" applyFill="1" applyBorder="1" applyAlignment="1">
      <alignment horizontal="center"/>
    </xf>
    <xf numFmtId="10" fontId="19" fillId="0" borderId="2" xfId="17" applyNumberFormat="1" applyFont="1" applyFill="1" applyBorder="1" applyAlignment="1">
      <alignment horizontal="center"/>
    </xf>
    <xf numFmtId="10" fontId="0" fillId="0" borderId="2" xfId="17" applyNumberFormat="1" applyFont="1" applyFill="1" applyBorder="1" applyAlignment="1">
      <alignment horizontal="center"/>
    </xf>
    <xf numFmtId="10" fontId="5" fillId="0" borderId="14" xfId="17" applyNumberFormat="1" applyFont="1" applyFill="1" applyBorder="1" applyAlignment="1">
      <alignment horizontal="center"/>
    </xf>
    <xf numFmtId="10" fontId="19" fillId="0" borderId="14" xfId="17" applyNumberFormat="1" applyFont="1" applyFill="1" applyBorder="1" applyAlignment="1">
      <alignment horizontal="center"/>
    </xf>
    <xf numFmtId="10" fontId="19" fillId="2" borderId="14" xfId="17" applyNumberFormat="1" applyFont="1" applyFill="1" applyBorder="1" applyAlignment="1">
      <alignment horizontal="center"/>
    </xf>
    <xf numFmtId="10" fontId="2" fillId="3" borderId="11" xfId="17" applyNumberFormat="1" applyFont="1" applyFill="1" applyBorder="1" applyAlignment="1">
      <alignment horizontal="center"/>
    </xf>
    <xf numFmtId="10" fontId="0" fillId="2" borderId="0" xfId="17" applyNumberFormat="1" applyFont="1" applyFill="1" applyAlignment="1">
      <alignment horizontal="center"/>
    </xf>
    <xf numFmtId="10" fontId="19" fillId="7" borderId="11" xfId="17" applyNumberFormat="1" applyFont="1" applyFill="1" applyBorder="1" applyAlignment="1">
      <alignment horizontal="center" wrapText="1"/>
    </xf>
    <xf numFmtId="10" fontId="11" fillId="7" borderId="13" xfId="17" applyNumberFormat="1" applyFont="1" applyFill="1" applyBorder="1" applyAlignment="1">
      <alignment horizontal="center"/>
    </xf>
    <xf numFmtId="10" fontId="11" fillId="7" borderId="15" xfId="17" applyNumberFormat="1" applyFont="1" applyFill="1" applyBorder="1" applyAlignment="1">
      <alignment horizontal="center"/>
    </xf>
    <xf numFmtId="10" fontId="1" fillId="7" borderId="11" xfId="17" applyNumberFormat="1" applyFont="1" applyFill="1" applyBorder="1" applyAlignment="1">
      <alignment horizontal="center"/>
    </xf>
    <xf numFmtId="10" fontId="0" fillId="0" borderId="0" xfId="17" applyNumberFormat="1" applyFont="1" applyFill="1" applyAlignment="1">
      <alignment horizontal="center"/>
    </xf>
    <xf numFmtId="10" fontId="11" fillId="7" borderId="16" xfId="17" applyNumberFormat="1" applyFont="1" applyFill="1" applyBorder="1" applyAlignment="1">
      <alignment horizontal="center"/>
    </xf>
    <xf numFmtId="10" fontId="2" fillId="7" borderId="19" xfId="17" applyNumberFormat="1" applyFont="1" applyFill="1" applyBorder="1" applyAlignment="1">
      <alignment horizontal="center"/>
    </xf>
    <xf numFmtId="10" fontId="5" fillId="7" borderId="11" xfId="17" applyNumberFormat="1" applyFont="1" applyFill="1" applyBorder="1" applyAlignment="1">
      <alignment horizontal="center" vertical="center" wrapText="1"/>
    </xf>
    <xf numFmtId="10" fontId="39" fillId="7" borderId="13" xfId="17" applyNumberFormat="1" applyFont="1" applyFill="1" applyBorder="1" applyAlignment="1">
      <alignment horizontal="center"/>
    </xf>
    <xf numFmtId="10" fontId="13" fillId="7" borderId="13" xfId="17" applyNumberFormat="1" applyFont="1" applyFill="1" applyBorder="1" applyAlignment="1">
      <alignment horizontal="center"/>
    </xf>
    <xf numFmtId="10" fontId="32" fillId="7" borderId="13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/>
    </xf>
    <xf numFmtId="10" fontId="1" fillId="7" borderId="11" xfId="17" applyNumberFormat="1" applyFill="1" applyBorder="1" applyAlignment="1">
      <alignment horizontal="center"/>
    </xf>
    <xf numFmtId="10" fontId="5" fillId="7" borderId="13" xfId="17" applyNumberFormat="1" applyFont="1" applyFill="1" applyBorder="1" applyAlignment="1">
      <alignment horizontal="center"/>
    </xf>
    <xf numFmtId="10" fontId="5" fillId="7" borderId="25" xfId="17" applyNumberFormat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/>
    </xf>
    <xf numFmtId="10" fontId="19" fillId="5" borderId="12" xfId="17" applyNumberFormat="1" applyFont="1" applyFill="1" applyBorder="1" applyAlignment="1">
      <alignment horizontal="center"/>
    </xf>
    <xf numFmtId="10" fontId="19" fillId="5" borderId="13" xfId="17" applyNumberFormat="1" applyFont="1" applyFill="1" applyBorder="1" applyAlignment="1">
      <alignment horizontal="center"/>
    </xf>
    <xf numFmtId="10" fontId="5" fillId="5" borderId="13" xfId="17" applyNumberFormat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/>
    </xf>
    <xf numFmtId="10" fontId="52" fillId="7" borderId="1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10" fontId="2" fillId="0" borderId="10" xfId="17" applyNumberFormat="1" applyFont="1" applyFill="1" applyBorder="1" applyAlignment="1">
      <alignment horizontal="center"/>
    </xf>
    <xf numFmtId="10" fontId="0" fillId="0" borderId="0" xfId="17" applyNumberFormat="1" applyFont="1" applyAlignment="1">
      <alignment horizontal="center"/>
    </xf>
    <xf numFmtId="10" fontId="5" fillId="7" borderId="16" xfId="17" applyNumberFormat="1" applyFont="1" applyFill="1" applyBorder="1" applyAlignment="1">
      <alignment horizontal="center" vertical="center"/>
    </xf>
    <xf numFmtId="10" fontId="0" fillId="7" borderId="12" xfId="17" applyNumberFormat="1" applyFont="1" applyFill="1" applyBorder="1" applyAlignment="1">
      <alignment horizontal="center"/>
    </xf>
    <xf numFmtId="10" fontId="0" fillId="7" borderId="15" xfId="17" applyNumberFormat="1" applyFont="1" applyFill="1" applyBorder="1" applyAlignment="1">
      <alignment horizontal="center"/>
    </xf>
    <xf numFmtId="10" fontId="0" fillId="7" borderId="13" xfId="17" applyNumberFormat="1" applyFont="1" applyFill="1" applyBorder="1" applyAlignment="1">
      <alignment horizontal="center"/>
    </xf>
    <xf numFmtId="10" fontId="33" fillId="7" borderId="13" xfId="17" applyNumberFormat="1" applyFont="1" applyFill="1" applyBorder="1" applyAlignment="1">
      <alignment horizontal="center"/>
    </xf>
    <xf numFmtId="10" fontId="0" fillId="3" borderId="12" xfId="17" applyNumberFormat="1" applyFont="1" applyFill="1" applyBorder="1" applyAlignment="1">
      <alignment horizontal="center"/>
    </xf>
    <xf numFmtId="10" fontId="0" fillId="7" borderId="0" xfId="17" applyNumberFormat="1" applyFont="1" applyFill="1" applyAlignment="1">
      <alignment horizontal="center"/>
    </xf>
    <xf numFmtId="10" fontId="0" fillId="7" borderId="8" xfId="17" applyNumberFormat="1" applyFont="1" applyFill="1" applyBorder="1" applyAlignment="1">
      <alignment horizontal="center"/>
    </xf>
    <xf numFmtId="10" fontId="0" fillId="7" borderId="14" xfId="17" applyNumberFormat="1" applyFont="1" applyFill="1" applyBorder="1" applyAlignment="1">
      <alignment horizontal="center"/>
    </xf>
    <xf numFmtId="10" fontId="0" fillId="3" borderId="11" xfId="17" applyNumberFormat="1" applyFont="1" applyFill="1" applyBorder="1" applyAlignment="1">
      <alignment horizontal="center"/>
    </xf>
    <xf numFmtId="10" fontId="19" fillId="4" borderId="11" xfId="17" applyNumberFormat="1" applyFont="1" applyFill="1" applyBorder="1" applyAlignment="1">
      <alignment horizontal="center"/>
    </xf>
    <xf numFmtId="10" fontId="19" fillId="4" borderId="16" xfId="17" applyNumberFormat="1" applyFont="1" applyFill="1" applyBorder="1" applyAlignment="1">
      <alignment horizontal="center"/>
    </xf>
    <xf numFmtId="10" fontId="19" fillId="5" borderId="11" xfId="17" applyNumberFormat="1" applyFont="1" applyFill="1" applyBorder="1" applyAlignment="1">
      <alignment horizontal="center"/>
    </xf>
    <xf numFmtId="10" fontId="19" fillId="5" borderId="15" xfId="17" applyNumberFormat="1" applyFont="1" applyFill="1" applyBorder="1" applyAlignment="1">
      <alignment horizontal="center"/>
    </xf>
    <xf numFmtId="10" fontId="19" fillId="3" borderId="11" xfId="17" applyNumberFormat="1" applyFont="1" applyFill="1" applyBorder="1" applyAlignment="1">
      <alignment horizontal="center"/>
    </xf>
    <xf numFmtId="10" fontId="0" fillId="0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10" fontId="2" fillId="15" borderId="2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0" fillId="15" borderId="10" xfId="0" applyFill="1" applyBorder="1"/>
    <xf numFmtId="10" fontId="19" fillId="15" borderId="2" xfId="17" applyNumberFormat="1" applyFont="1" applyFill="1" applyBorder="1" applyAlignment="1">
      <alignment horizontal="center"/>
    </xf>
    <xf numFmtId="4" fontId="5" fillId="7" borderId="0" xfId="1" applyNumberFormat="1" applyFont="1" applyFill="1" applyBorder="1"/>
    <xf numFmtId="10" fontId="5" fillId="7" borderId="5" xfId="17" applyNumberFormat="1" applyFont="1" applyFill="1" applyBorder="1"/>
    <xf numFmtId="10" fontId="5" fillId="15" borderId="11" xfId="1" applyNumberFormat="1" applyFont="1" applyFill="1" applyBorder="1" applyAlignment="1">
      <alignment horizontal="center"/>
    </xf>
    <xf numFmtId="10" fontId="5" fillId="15" borderId="11" xfId="17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left" wrapText="1" indent="1"/>
    </xf>
    <xf numFmtId="2" fontId="0" fillId="7" borderId="0" xfId="1" applyNumberFormat="1" applyFont="1" applyFill="1" applyBorder="1"/>
    <xf numFmtId="4" fontId="2" fillId="15" borderId="0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6" fillId="15" borderId="13" xfId="1" applyFont="1" applyFill="1" applyBorder="1"/>
    <xf numFmtId="0" fontId="3" fillId="15" borderId="0" xfId="12" applyFont="1" applyFill="1" applyBorder="1"/>
    <xf numFmtId="10" fontId="19" fillId="15" borderId="8" xfId="17" applyNumberFormat="1" applyFont="1" applyFill="1" applyBorder="1" applyAlignment="1">
      <alignment horizontal="center"/>
    </xf>
    <xf numFmtId="9" fontId="19" fillId="15" borderId="10" xfId="17" applyFont="1" applyFill="1" applyBorder="1"/>
    <xf numFmtId="10" fontId="2" fillId="15" borderId="10" xfId="17" applyNumberFormat="1" applyFont="1" applyFill="1" applyBorder="1" applyAlignment="1">
      <alignment horizontal="center" vertical="center" wrapText="1"/>
    </xf>
    <xf numFmtId="10" fontId="2" fillId="15" borderId="2" xfId="17" applyNumberFormat="1" applyFont="1" applyFill="1" applyBorder="1" applyAlignment="1">
      <alignment horizontal="center" vertical="center" wrapText="1"/>
    </xf>
    <xf numFmtId="10" fontId="2" fillId="15" borderId="11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0" fillId="17" borderId="0" xfId="0" applyFill="1" applyBorder="1"/>
    <xf numFmtId="10" fontId="19" fillId="17" borderId="0" xfId="17" applyNumberFormat="1" applyFont="1" applyFill="1" applyBorder="1" applyAlignment="1">
      <alignment horizontal="center"/>
    </xf>
    <xf numFmtId="0" fontId="2" fillId="15" borderId="10" xfId="1" applyFont="1" applyFill="1" applyBorder="1"/>
    <xf numFmtId="10" fontId="19" fillId="15" borderId="0" xfId="17" applyNumberFormat="1" applyFont="1" applyFill="1"/>
    <xf numFmtId="10" fontId="19" fillId="15" borderId="10" xfId="17" applyNumberFormat="1" applyFont="1" applyFill="1" applyBorder="1"/>
    <xf numFmtId="0" fontId="19" fillId="15" borderId="11" xfId="1" applyFont="1" applyFill="1" applyBorder="1" applyAlignment="1">
      <alignment horizontal="center"/>
    </xf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3" xfId="2" applyNumberFormat="1" applyFont="1" applyFill="1" applyBorder="1" applyAlignment="1">
      <alignment horizontal="center"/>
    </xf>
    <xf numFmtId="0" fontId="12" fillId="15" borderId="13" xfId="12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7" fillId="15" borderId="13" xfId="12" applyFont="1" applyFill="1" applyBorder="1"/>
    <xf numFmtId="0" fontId="19" fillId="15" borderId="13" xfId="1" applyFont="1" applyFill="1" applyBorder="1"/>
    <xf numFmtId="0" fontId="3" fillId="15" borderId="9" xfId="1" applyFont="1" applyFill="1" applyBorder="1"/>
    <xf numFmtId="0" fontId="3" fillId="15" borderId="13" xfId="12" applyFont="1" applyFill="1" applyBorder="1"/>
    <xf numFmtId="0" fontId="12" fillId="15" borderId="6" xfId="12" applyFont="1" applyFill="1" applyBorder="1"/>
    <xf numFmtId="0" fontId="12" fillId="15" borderId="11" xfId="12" applyFont="1" applyFill="1" applyBorder="1"/>
    <xf numFmtId="166" fontId="1" fillId="15" borderId="11" xfId="12" applyNumberFormat="1" applyFont="1" applyFill="1" applyBorder="1" applyAlignment="1">
      <alignment horizontal="right"/>
    </xf>
    <xf numFmtId="2" fontId="19" fillId="15" borderId="11" xfId="1" applyNumberFormat="1" applyFont="1" applyFill="1" applyBorder="1"/>
    <xf numFmtId="10" fontId="5" fillId="15" borderId="11" xfId="17" applyNumberFormat="1" applyFont="1" applyFill="1" applyBorder="1" applyAlignment="1">
      <alignment horizontal="right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6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2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65" fillId="15" borderId="12" xfId="0" applyFont="1" applyFill="1" applyBorder="1"/>
    <xf numFmtId="10" fontId="0" fillId="15" borderId="12" xfId="0" applyNumberFormat="1" applyFill="1" applyBorder="1"/>
    <xf numFmtId="10" fontId="0" fillId="15" borderId="13" xfId="0" applyNumberFormat="1" applyFill="1" applyBorder="1"/>
    <xf numFmtId="10" fontId="19" fillId="15" borderId="15" xfId="17" applyNumberFormat="1" applyFont="1" applyFill="1" applyBorder="1"/>
    <xf numFmtId="10" fontId="0" fillId="15" borderId="15" xfId="0" applyNumberFormat="1" applyFill="1" applyBorder="1"/>
    <xf numFmtId="0" fontId="3" fillId="15" borderId="11" xfId="1" applyFont="1" applyFill="1" applyBorder="1" applyAlignment="1">
      <alignment horizontal="center" vertical="center"/>
    </xf>
    <xf numFmtId="167" fontId="19" fillId="15" borderId="10" xfId="17" applyNumberFormat="1" applyFont="1" applyFill="1" applyBorder="1"/>
    <xf numFmtId="9" fontId="0" fillId="0" borderId="0" xfId="17" applyFont="1" applyFill="1"/>
    <xf numFmtId="10" fontId="51" fillId="7" borderId="0" xfId="17" applyNumberFormat="1" applyFont="1" applyFill="1" applyBorder="1"/>
    <xf numFmtId="0" fontId="0" fillId="15" borderId="0" xfId="0" applyFill="1" applyAlignment="1">
      <alignment horizontal="center"/>
    </xf>
    <xf numFmtId="0" fontId="7" fillId="15" borderId="16" xfId="1" applyFont="1" applyFill="1" applyBorder="1" applyAlignment="1">
      <alignment wrapText="1"/>
    </xf>
    <xf numFmtId="0" fontId="4" fillId="15" borderId="16" xfId="3" applyFill="1" applyBorder="1" applyAlignment="1" applyProtection="1">
      <alignment horizontal="left" vertical="center" wrapText="1"/>
    </xf>
    <xf numFmtId="0" fontId="19" fillId="15" borderId="13" xfId="1" applyFont="1" applyFill="1" applyBorder="1" applyAlignment="1">
      <alignment horizontal="center" vertical="center"/>
    </xf>
    <xf numFmtId="10" fontId="3" fillId="15" borderId="0" xfId="17" applyNumberFormat="1" applyFont="1" applyFill="1" applyBorder="1" applyAlignment="1">
      <alignment horizontal="center" vertical="center"/>
    </xf>
    <xf numFmtId="14" fontId="3" fillId="15" borderId="0" xfId="1" applyNumberFormat="1" applyFont="1" applyFill="1" applyBorder="1" applyAlignment="1">
      <alignment horizontal="center" vertical="center"/>
    </xf>
    <xf numFmtId="14" fontId="3" fillId="15" borderId="9" xfId="1" applyNumberFormat="1" applyFont="1" applyFill="1" applyBorder="1" applyAlignment="1">
      <alignment horizontal="center" vertical="center"/>
    </xf>
    <xf numFmtId="14" fontId="19" fillId="15" borderId="13" xfId="1" applyNumberFormat="1" applyFont="1" applyFill="1" applyBorder="1"/>
    <xf numFmtId="10" fontId="3" fillId="15" borderId="16" xfId="17" applyNumberFormat="1" applyFont="1" applyFill="1" applyBorder="1" applyAlignment="1">
      <alignment horizontal="center" vertical="center"/>
    </xf>
    <xf numFmtId="10" fontId="3" fillId="15" borderId="13" xfId="17" applyNumberFormat="1" applyFont="1" applyFill="1" applyBorder="1" applyAlignment="1">
      <alignment horizontal="right" vertical="center"/>
    </xf>
    <xf numFmtId="10" fontId="19" fillId="15" borderId="13" xfId="17" applyNumberFormat="1" applyFont="1" applyFill="1" applyBorder="1" applyAlignment="1">
      <alignment horizontal="right"/>
    </xf>
    <xf numFmtId="10" fontId="19" fillId="15" borderId="13" xfId="1" applyNumberFormat="1" applyFont="1" applyFill="1" applyBorder="1" applyAlignment="1">
      <alignment horizontal="center"/>
    </xf>
    <xf numFmtId="164" fontId="19" fillId="15" borderId="0" xfId="2" applyFont="1" applyFill="1" applyBorder="1" applyAlignment="1">
      <alignment horizontal="center"/>
    </xf>
    <xf numFmtId="0" fontId="19" fillId="15" borderId="13" xfId="1" applyFont="1" applyFill="1" applyBorder="1" applyAlignment="1">
      <alignment horizontal="center"/>
    </xf>
    <xf numFmtId="172" fontId="3" fillId="15" borderId="0" xfId="17" applyNumberFormat="1" applyFont="1" applyFill="1" applyBorder="1" applyAlignment="1">
      <alignment horizontal="center" vertical="center" wrapText="1"/>
    </xf>
    <xf numFmtId="4" fontId="3" fillId="15" borderId="13" xfId="1" applyNumberFormat="1" applyFont="1" applyFill="1" applyBorder="1" applyAlignment="1">
      <alignment horizontal="center" vertical="center"/>
    </xf>
    <xf numFmtId="1" fontId="19" fillId="15" borderId="0" xfId="2" applyNumberFormat="1" applyFont="1" applyFill="1" applyAlignment="1">
      <alignment horizontal="center"/>
    </xf>
    <xf numFmtId="9" fontId="19" fillId="15" borderId="0" xfId="17" applyFont="1" applyFill="1" applyBorder="1" applyAlignment="1">
      <alignment horizontal="center"/>
    </xf>
    <xf numFmtId="10" fontId="19" fillId="15" borderId="13" xfId="1" applyNumberFormat="1" applyFont="1" applyFill="1" applyBorder="1"/>
    <xf numFmtId="4" fontId="3" fillId="15" borderId="13" xfId="1" applyNumberFormat="1" applyFont="1" applyFill="1" applyBorder="1" applyAlignment="1">
      <alignment horizontal="right" vertical="center"/>
    </xf>
    <xf numFmtId="10" fontId="3" fillId="15" borderId="9" xfId="17" applyNumberFormat="1" applyFont="1" applyFill="1" applyBorder="1" applyAlignment="1">
      <alignment vertical="center"/>
    </xf>
    <xf numFmtId="10" fontId="3" fillId="15" borderId="0" xfId="17" applyNumberFormat="1" applyFont="1" applyFill="1" applyBorder="1" applyAlignment="1">
      <alignment vertical="center"/>
    </xf>
    <xf numFmtId="10" fontId="19" fillId="15" borderId="16" xfId="17" applyNumberFormat="1" applyFont="1" applyFill="1" applyBorder="1"/>
    <xf numFmtId="4" fontId="3" fillId="15" borderId="13" xfId="17" applyNumberFormat="1" applyFont="1" applyFill="1" applyBorder="1" applyAlignment="1">
      <alignment vertical="center"/>
    </xf>
    <xf numFmtId="0" fontId="19" fillId="15" borderId="0" xfId="0" applyFont="1" applyFill="1"/>
    <xf numFmtId="0" fontId="0" fillId="15" borderId="0" xfId="0" applyFont="1" applyFill="1"/>
    <xf numFmtId="10" fontId="5" fillId="15" borderId="0" xfId="17" applyNumberFormat="1" applyFont="1" applyFill="1"/>
    <xf numFmtId="10" fontId="5" fillId="15" borderId="10" xfId="17" applyNumberFormat="1" applyFont="1" applyFill="1" applyBorder="1"/>
    <xf numFmtId="0" fontId="0" fillId="15" borderId="10" xfId="0" applyFill="1" applyBorder="1"/>
    <xf numFmtId="2" fontId="0" fillId="15" borderId="0" xfId="0" applyNumberFormat="1" applyFill="1"/>
    <xf numFmtId="0" fontId="0" fillId="18" borderId="0" xfId="0" applyFill="1"/>
    <xf numFmtId="10" fontId="1" fillId="15" borderId="0" xfId="17" applyNumberFormat="1" applyFont="1" applyFill="1" applyBorder="1" applyAlignment="1">
      <alignment horizontal="center"/>
    </xf>
    <xf numFmtId="0" fontId="7" fillId="15" borderId="12" xfId="12" applyFont="1" applyFill="1" applyBorder="1"/>
    <xf numFmtId="2" fontId="19" fillId="15" borderId="12" xfId="1" applyNumberFormat="1" applyFont="1" applyFill="1" applyBorder="1" applyAlignment="1">
      <alignment horizontal="right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 applyAlignment="1">
      <alignment horizontal="right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0" fontId="12" fillId="15" borderId="13" xfId="14" applyFont="1" applyFill="1" applyBorder="1"/>
    <xf numFmtId="10" fontId="19" fillId="15" borderId="7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 applyAlignment="1">
      <alignment horizontal="right"/>
    </xf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2" fillId="15" borderId="4" xfId="12" applyFont="1" applyFill="1" applyBorder="1"/>
    <xf numFmtId="2" fontId="19" fillId="15" borderId="8" xfId="1" applyNumberFormat="1" applyFont="1" applyFill="1" applyBorder="1"/>
    <xf numFmtId="0" fontId="12" fillId="15" borderId="9" xfId="12" applyFont="1" applyFill="1" applyBorder="1"/>
    <xf numFmtId="2" fontId="19" fillId="15" borderId="16" xfId="1" applyNumberFormat="1" applyFont="1" applyFill="1" applyBorder="1"/>
    <xf numFmtId="0" fontId="3" fillId="15" borderId="9" xfId="12" applyFont="1" applyFill="1" applyBorder="1"/>
    <xf numFmtId="0" fontId="19" fillId="15" borderId="9" xfId="1" applyFont="1" applyFill="1" applyBorder="1"/>
    <xf numFmtId="2" fontId="19" fillId="15" borderId="14" xfId="1" applyNumberFormat="1" applyFont="1" applyFill="1" applyBorder="1"/>
    <xf numFmtId="10" fontId="19" fillId="15" borderId="0" xfId="17" applyNumberFormat="1" applyFont="1" applyFill="1" applyAlignment="1">
      <alignment horizontal="center"/>
    </xf>
    <xf numFmtId="0" fontId="0" fillId="0" borderId="0" xfId="1" applyFont="1" applyFill="1" applyBorder="1" applyAlignment="1">
      <alignment horizontal="right"/>
    </xf>
    <xf numFmtId="0" fontId="12" fillId="0" borderId="0" xfId="13" applyFont="1" applyBorder="1" applyAlignment="1">
      <alignment horizontal="right"/>
    </xf>
    <xf numFmtId="0" fontId="12" fillId="0" borderId="0" xfId="13" applyFont="1" applyFill="1" applyBorder="1" applyAlignment="1">
      <alignment horizontal="right"/>
    </xf>
    <xf numFmtId="0" fontId="5" fillId="0" borderId="0" xfId="12" applyFont="1" applyAlignment="1">
      <alignment horizontal="right"/>
    </xf>
    <xf numFmtId="0" fontId="0" fillId="0" borderId="0" xfId="1" applyFont="1" applyBorder="1" applyAlignment="1">
      <alignment horizontal="right"/>
    </xf>
    <xf numFmtId="10" fontId="1" fillId="17" borderId="0" xfId="17" applyNumberFormat="1" applyFont="1" applyFill="1" applyBorder="1" applyAlignment="1">
      <alignment horizontal="center"/>
    </xf>
    <xf numFmtId="0" fontId="12" fillId="17" borderId="13" xfId="12" applyFont="1" applyFill="1" applyBorder="1"/>
    <xf numFmtId="0" fontId="12" fillId="17" borderId="15" xfId="12" applyFont="1" applyFill="1" applyBorder="1"/>
    <xf numFmtId="2" fontId="16" fillId="17" borderId="11" xfId="1" applyNumberFormat="1" applyFont="1" applyFill="1" applyBorder="1"/>
    <xf numFmtId="2" fontId="7" fillId="17" borderId="11" xfId="1" applyNumberFormat="1" applyFont="1" applyFill="1" applyBorder="1"/>
    <xf numFmtId="2" fontId="19" fillId="17" borderId="4" xfId="1" applyNumberFormat="1" applyFont="1" applyFill="1" applyBorder="1"/>
    <xf numFmtId="10" fontId="19" fillId="17" borderId="4" xfId="17" applyNumberFormat="1" applyFont="1" applyFill="1" applyBorder="1"/>
    <xf numFmtId="10" fontId="19" fillId="17" borderId="12" xfId="17" applyNumberFormat="1" applyFont="1" applyFill="1" applyBorder="1" applyAlignment="1">
      <alignment horizontal="center"/>
    </xf>
    <xf numFmtId="2" fontId="19" fillId="17" borderId="9" xfId="1" applyNumberFormat="1" applyFont="1" applyFill="1" applyBorder="1"/>
    <xf numFmtId="10" fontId="19" fillId="17" borderId="9" xfId="17" applyNumberFormat="1" applyFont="1" applyFill="1" applyBorder="1"/>
    <xf numFmtId="10" fontId="19" fillId="17" borderId="13" xfId="17" applyNumberFormat="1" applyFont="1" applyFill="1" applyBorder="1" applyAlignment="1">
      <alignment horizontal="center"/>
    </xf>
    <xf numFmtId="2" fontId="19" fillId="17" borderId="6" xfId="1" applyNumberFormat="1" applyFont="1" applyFill="1" applyBorder="1"/>
    <xf numFmtId="10" fontId="19" fillId="17" borderId="6" xfId="17" applyNumberFormat="1" applyFont="1" applyFill="1" applyBorder="1"/>
    <xf numFmtId="10" fontId="19" fillId="17" borderId="15" xfId="17" applyNumberFormat="1" applyFont="1" applyFill="1" applyBorder="1" applyAlignment="1">
      <alignment horizontal="center"/>
    </xf>
    <xf numFmtId="9" fontId="3" fillId="17" borderId="12" xfId="1" applyNumberFormat="1" applyFont="1" applyFill="1" applyBorder="1" applyAlignment="1">
      <alignment horizontal="center"/>
    </xf>
    <xf numFmtId="0" fontId="12" fillId="17" borderId="15" xfId="1" applyFont="1" applyFill="1" applyBorder="1"/>
    <xf numFmtId="4" fontId="19" fillId="17" borderId="12" xfId="1" applyNumberFormat="1" applyFont="1" applyFill="1" applyBorder="1"/>
    <xf numFmtId="4" fontId="19" fillId="17" borderId="13" xfId="1" applyNumberFormat="1" applyFont="1" applyFill="1" applyBorder="1"/>
    <xf numFmtId="10" fontId="19" fillId="17" borderId="13" xfId="17" applyNumberFormat="1" applyFont="1" applyFill="1" applyBorder="1"/>
    <xf numFmtId="0" fontId="3" fillId="17" borderId="11" xfId="1" applyFont="1" applyFill="1" applyBorder="1" applyAlignment="1">
      <alignment horizontal="center" vertical="center"/>
    </xf>
    <xf numFmtId="181" fontId="3" fillId="17" borderId="7" xfId="1" applyNumberFormat="1" applyFont="1" applyFill="1" applyBorder="1"/>
    <xf numFmtId="4" fontId="19" fillId="17" borderId="10" xfId="1" applyNumberFormat="1" applyFont="1" applyFill="1" applyBorder="1"/>
    <xf numFmtId="10" fontId="19" fillId="17" borderId="10" xfId="17" applyNumberFormat="1" applyFont="1" applyFill="1" applyBorder="1"/>
    <xf numFmtId="10" fontId="19" fillId="17" borderId="2" xfId="17" applyNumberFormat="1" applyFont="1" applyFill="1" applyBorder="1" applyAlignment="1">
      <alignment horizontal="center"/>
    </xf>
    <xf numFmtId="4" fontId="19" fillId="17" borderId="7" xfId="1" applyNumberFormat="1" applyFont="1" applyFill="1" applyBorder="1"/>
    <xf numFmtId="10" fontId="19" fillId="17" borderId="12" xfId="17" applyNumberFormat="1" applyFont="1" applyFill="1" applyBorder="1"/>
    <xf numFmtId="2" fontId="19" fillId="17" borderId="12" xfId="1" applyNumberFormat="1" applyFont="1" applyFill="1" applyBorder="1"/>
    <xf numFmtId="10" fontId="52" fillId="17" borderId="5" xfId="17" applyNumberFormat="1" applyFont="1" applyFill="1" applyBorder="1"/>
    <xf numFmtId="178" fontId="19" fillId="17" borderId="12" xfId="17" applyNumberFormat="1" applyFont="1" applyFill="1" applyBorder="1"/>
    <xf numFmtId="2" fontId="19" fillId="17" borderId="13" xfId="1" applyNumberFormat="1" applyFont="1" applyFill="1" applyBorder="1"/>
    <xf numFmtId="10" fontId="52" fillId="17" borderId="0" xfId="17" applyNumberFormat="1" applyFont="1" applyFill="1" applyBorder="1"/>
    <xf numFmtId="178" fontId="19" fillId="17" borderId="13" xfId="17" applyNumberFormat="1" applyFont="1" applyFill="1" applyBorder="1"/>
    <xf numFmtId="2" fontId="19" fillId="17" borderId="15" xfId="1" applyNumberFormat="1" applyFont="1" applyFill="1" applyBorder="1"/>
    <xf numFmtId="9" fontId="3" fillId="17" borderId="6" xfId="1" applyNumberFormat="1" applyFont="1" applyFill="1" applyBorder="1" applyAlignment="1">
      <alignment horizontal="center"/>
    </xf>
    <xf numFmtId="0" fontId="3" fillId="17" borderId="7" xfId="1" applyFont="1" applyFill="1" applyBorder="1"/>
    <xf numFmtId="4" fontId="5" fillId="17" borderId="7" xfId="1" applyNumberFormat="1" applyFont="1" applyFill="1" applyBorder="1"/>
    <xf numFmtId="10" fontId="5" fillId="17" borderId="10" xfId="17" applyNumberFormat="1" applyFont="1" applyFill="1" applyBorder="1"/>
    <xf numFmtId="10" fontId="5" fillId="17" borderId="14" xfId="17" applyNumberFormat="1" applyFont="1" applyFill="1" applyBorder="1"/>
    <xf numFmtId="10" fontId="19" fillId="17" borderId="2" xfId="17" applyNumberFormat="1" applyFont="1" applyFill="1" applyBorder="1"/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/>
    </xf>
    <xf numFmtId="10" fontId="3" fillId="15" borderId="12" xfId="1" applyNumberFormat="1" applyFont="1" applyFill="1" applyBorder="1" applyAlignment="1">
      <alignment horizontal="center"/>
    </xf>
    <xf numFmtId="0" fontId="12" fillId="15" borderId="12" xfId="12" applyFont="1" applyFill="1" applyBorder="1"/>
    <xf numFmtId="2" fontId="16" fillId="15" borderId="12" xfId="1" applyNumberFormat="1" applyFont="1" applyFill="1" applyBorder="1"/>
    <xf numFmtId="0" fontId="19" fillId="15" borderId="8" xfId="1" applyFont="1" applyFill="1" applyBorder="1"/>
    <xf numFmtId="10" fontId="19" fillId="15" borderId="8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3" fillId="15" borderId="13" xfId="1" applyNumberFormat="1" applyFont="1" applyFill="1" applyBorder="1" applyAlignment="1">
      <alignment horizontal="center"/>
    </xf>
    <xf numFmtId="2" fontId="16" fillId="15" borderId="13" xfId="1" applyNumberFormat="1" applyFont="1" applyFill="1" applyBorder="1"/>
    <xf numFmtId="0" fontId="19" fillId="15" borderId="16" xfId="1" applyFont="1" applyFill="1" applyBorder="1"/>
    <xf numFmtId="10" fontId="19" fillId="15" borderId="16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13" xfId="1" applyFont="1" applyFill="1" applyBorder="1"/>
    <xf numFmtId="0" fontId="19" fillId="15" borderId="13" xfId="1" applyFont="1" applyFill="1" applyBorder="1"/>
    <xf numFmtId="0" fontId="12" fillId="15" borderId="13" xfId="1" applyFont="1" applyFill="1" applyBorder="1"/>
    <xf numFmtId="10" fontId="3" fillId="15" borderId="15" xfId="1" applyNumberFormat="1" applyFont="1" applyFill="1" applyBorder="1" applyAlignment="1">
      <alignment horizontal="center"/>
    </xf>
    <xf numFmtId="0" fontId="12" fillId="15" borderId="15" xfId="1" applyFont="1" applyFill="1" applyBorder="1"/>
    <xf numFmtId="2" fontId="16" fillId="15" borderId="15" xfId="1" applyNumberFormat="1" applyFont="1" applyFill="1" applyBorder="1"/>
    <xf numFmtId="0" fontId="19" fillId="15" borderId="14" xfId="1" applyFont="1" applyFill="1" applyBorder="1"/>
    <xf numFmtId="10" fontId="19" fillId="15" borderId="14" xfId="17" applyNumberFormat="1" applyFont="1" applyFill="1" applyBorder="1"/>
    <xf numFmtId="0" fontId="19" fillId="15" borderId="11" xfId="1" applyFont="1" applyFill="1" applyBorder="1" applyAlignment="1">
      <alignment horizontal="center" vertical="center"/>
    </xf>
    <xf numFmtId="2" fontId="16" fillId="15" borderId="11" xfId="1" applyNumberFormat="1" applyFont="1" applyFill="1" applyBorder="1"/>
    <xf numFmtId="0" fontId="12" fillId="15" borderId="15" xfId="12" applyFont="1" applyFill="1" applyBorder="1"/>
    <xf numFmtId="10" fontId="19" fillId="17" borderId="14" xfId="17" applyNumberFormat="1" applyFont="1" applyFill="1" applyBorder="1"/>
    <xf numFmtId="10" fontId="16" fillId="17" borderId="13" xfId="2" applyNumberFormat="1" applyFont="1" applyFill="1" applyBorder="1" applyAlignment="1">
      <alignment horizontal="center"/>
    </xf>
    <xf numFmtId="0" fontId="3" fillId="17" borderId="0" xfId="12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10" fontId="19" fillId="17" borderId="11" xfId="17" applyNumberFormat="1" applyFont="1" applyFill="1" applyBorder="1" applyAlignment="1">
      <alignment horizontal="center"/>
    </xf>
    <xf numFmtId="10" fontId="5" fillId="17" borderId="11" xfId="17" applyNumberFormat="1" applyFont="1" applyFill="1" applyBorder="1" applyAlignment="1">
      <alignment horizontal="center"/>
    </xf>
    <xf numFmtId="0" fontId="12" fillId="17" borderId="11" xfId="12" applyFont="1" applyFill="1" applyBorder="1"/>
    <xf numFmtId="166" fontId="1" fillId="17" borderId="11" xfId="12" applyNumberFormat="1" applyFont="1" applyFill="1" applyBorder="1" applyAlignment="1">
      <alignment horizontal="right"/>
    </xf>
    <xf numFmtId="2" fontId="19" fillId="17" borderId="11" xfId="1" applyNumberFormat="1" applyFont="1" applyFill="1" applyBorder="1"/>
    <xf numFmtId="10" fontId="19" fillId="17" borderId="11" xfId="17" applyNumberFormat="1" applyFont="1" applyFill="1" applyBorder="1"/>
    <xf numFmtId="0" fontId="19" fillId="17" borderId="3" xfId="1" applyFont="1" applyFill="1" applyBorder="1"/>
    <xf numFmtId="0" fontId="19" fillId="17" borderId="10" xfId="1" applyFont="1" applyFill="1" applyBorder="1"/>
    <xf numFmtId="0" fontId="19" fillId="17" borderId="6" xfId="1" applyFont="1" applyFill="1" applyBorder="1" applyAlignment="1">
      <alignment horizontal="center"/>
    </xf>
    <xf numFmtId="0" fontId="19" fillId="17" borderId="7" xfId="1" applyFont="1" applyFill="1" applyBorder="1" applyAlignment="1">
      <alignment horizontal="center"/>
    </xf>
    <xf numFmtId="0" fontId="19" fillId="17" borderId="7" xfId="1" applyFont="1" applyFill="1" applyBorder="1"/>
    <xf numFmtId="0" fontId="3" fillId="17" borderId="12" xfId="1" applyFont="1" applyFill="1" applyBorder="1" applyAlignment="1">
      <alignment horizontal="center" vertical="center"/>
    </xf>
    <xf numFmtId="0" fontId="19" fillId="17" borderId="4" xfId="1" applyFont="1" applyFill="1" applyBorder="1"/>
    <xf numFmtId="0" fontId="19" fillId="17" borderId="5" xfId="1" applyFont="1" applyFill="1" applyBorder="1"/>
    <xf numFmtId="0" fontId="19" fillId="17" borderId="8" xfId="1" applyFont="1" applyFill="1" applyBorder="1"/>
    <xf numFmtId="0" fontId="19" fillId="17" borderId="9" xfId="1" applyFont="1" applyFill="1" applyBorder="1"/>
    <xf numFmtId="0" fontId="19" fillId="17" borderId="0" xfId="1" applyFont="1" applyFill="1" applyBorder="1"/>
    <xf numFmtId="10" fontId="19" fillId="17" borderId="16" xfId="1" applyNumberFormat="1" applyFont="1" applyFill="1" applyBorder="1"/>
    <xf numFmtId="0" fontId="19" fillId="17" borderId="6" xfId="1" applyFont="1" applyFill="1" applyBorder="1"/>
    <xf numFmtId="0" fontId="19" fillId="17" borderId="14" xfId="1" applyFont="1" applyFill="1" applyBorder="1"/>
    <xf numFmtId="0" fontId="0" fillId="19" borderId="0" xfId="0" applyFill="1"/>
    <xf numFmtId="4" fontId="0" fillId="17" borderId="0" xfId="0" applyNumberFormat="1" applyFill="1"/>
    <xf numFmtId="190" fontId="0" fillId="0" borderId="0" xfId="0" applyNumberFormat="1"/>
    <xf numFmtId="0" fontId="0" fillId="20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10" fontId="19" fillId="15" borderId="4" xfId="1" applyNumberFormat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2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3" fillId="15" borderId="4" xfId="1" applyFont="1" applyFill="1" applyBorder="1" applyAlignment="1">
      <alignment horizontal="center" vertical="center"/>
    </xf>
    <xf numFmtId="0" fontId="19" fillId="15" borderId="4" xfId="1" applyFont="1" applyFill="1" applyBorder="1"/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5" xfId="1" applyNumberFormat="1" applyFont="1" applyFill="1" applyBorder="1" applyAlignment="1">
      <alignment horizontal="right"/>
    </xf>
    <xf numFmtId="10" fontId="19" fillId="15" borderId="5" xfId="17" applyNumberFormat="1" applyFont="1" applyFill="1" applyBorder="1"/>
    <xf numFmtId="2" fontId="19" fillId="15" borderId="0" xfId="1" applyNumberFormat="1" applyFont="1" applyFill="1" applyBorder="1" applyAlignment="1">
      <alignment horizontal="right"/>
    </xf>
    <xf numFmtId="10" fontId="19" fillId="15" borderId="0" xfId="17" applyNumberFormat="1" applyFont="1" applyFill="1" applyBorder="1"/>
    <xf numFmtId="9" fontId="3" fillId="15" borderId="12" xfId="1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7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4" fontId="19" fillId="15" borderId="7" xfId="1" applyNumberFormat="1" applyFont="1" applyFill="1" applyBorder="1"/>
    <xf numFmtId="9" fontId="3" fillId="15" borderId="6" xfId="1" applyNumberFormat="1" applyFont="1" applyFill="1" applyBorder="1" applyAlignment="1">
      <alignment horizontal="center"/>
    </xf>
    <xf numFmtId="0" fontId="3" fillId="15" borderId="7" xfId="1" applyFont="1" applyFill="1" applyBorder="1"/>
    <xf numFmtId="4" fontId="5" fillId="15" borderId="7" xfId="1" applyNumberFormat="1" applyFont="1" applyFill="1" applyBorder="1"/>
    <xf numFmtId="10" fontId="5" fillId="15" borderId="14" xfId="17" applyNumberFormat="1" applyFont="1" applyFill="1" applyBorder="1" applyAlignment="1">
      <alignment horizontal="center"/>
    </xf>
    <xf numFmtId="0" fontId="12" fillId="15" borderId="5" xfId="12" applyFont="1" applyFill="1" applyBorder="1"/>
    <xf numFmtId="0" fontId="19" fillId="15" borderId="8" xfId="1" applyFont="1" applyFill="1" applyBorder="1"/>
    <xf numFmtId="0" fontId="0" fillId="15" borderId="8" xfId="0" applyFill="1" applyBorder="1"/>
    <xf numFmtId="10" fontId="19" fillId="15" borderId="12" xfId="17" applyNumberFormat="1" applyFont="1" applyFill="1" applyBorder="1" applyAlignment="1">
      <alignment horizontal="center" vertical="center"/>
    </xf>
    <xf numFmtId="0" fontId="3" fillId="15" borderId="13" xfId="1" applyFont="1" applyFill="1" applyBorder="1" applyAlignment="1">
      <alignment horizontal="center" vertical="center"/>
    </xf>
    <xf numFmtId="0" fontId="12" fillId="15" borderId="0" xfId="12" applyFont="1" applyFill="1" applyBorder="1"/>
    <xf numFmtId="0" fontId="19" fillId="15" borderId="16" xfId="1" applyFont="1" applyFill="1" applyBorder="1"/>
    <xf numFmtId="0" fontId="0" fillId="15" borderId="16" xfId="0" applyFill="1" applyBorder="1"/>
    <xf numFmtId="10" fontId="19" fillId="15" borderId="13" xfId="17" applyNumberFormat="1" applyFont="1" applyFill="1" applyBorder="1" applyAlignment="1">
      <alignment horizontal="center" vertical="center"/>
    </xf>
    <xf numFmtId="0" fontId="3" fillId="15" borderId="15" xfId="1" applyFont="1" applyFill="1" applyBorder="1" applyAlignment="1">
      <alignment horizontal="center" vertical="center"/>
    </xf>
    <xf numFmtId="0" fontId="12" fillId="15" borderId="7" xfId="12" applyFont="1" applyFill="1" applyBorder="1"/>
    <xf numFmtId="0" fontId="19" fillId="15" borderId="14" xfId="1" applyFont="1" applyFill="1" applyBorder="1"/>
    <xf numFmtId="0" fontId="0" fillId="15" borderId="14" xfId="0" applyFill="1" applyBorder="1"/>
    <xf numFmtId="10" fontId="19" fillId="15" borderId="15" xfId="17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vertical="center"/>
    </xf>
    <xf numFmtId="0" fontId="3" fillId="15" borderId="3" xfId="1" applyFont="1" applyFill="1" applyBorder="1" applyAlignment="1">
      <alignment horizontal="center" vertical="center"/>
    </xf>
    <xf numFmtId="0" fontId="16" fillId="15" borderId="5" xfId="1" applyFont="1" applyFill="1" applyBorder="1"/>
    <xf numFmtId="10" fontId="19" fillId="15" borderId="5" xfId="17" applyNumberFormat="1" applyFont="1" applyFill="1" applyBorder="1" applyAlignment="1">
      <alignment horizontal="right" vertical="center"/>
    </xf>
    <xf numFmtId="0" fontId="16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81" fontId="3" fillId="15" borderId="0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9" fontId="3" fillId="15" borderId="11" xfId="1" applyNumberFormat="1" applyFont="1" applyFill="1" applyBorder="1" applyAlignment="1">
      <alignment horizontal="center"/>
    </xf>
    <xf numFmtId="0" fontId="3" fillId="15" borderId="10" xfId="1" applyFont="1" applyFill="1" applyBorder="1"/>
    <xf numFmtId="4" fontId="5" fillId="15" borderId="10" xfId="1" applyNumberFormat="1" applyFont="1" applyFill="1" applyBorder="1"/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9" fillId="15" borderId="0" xfId="17" applyNumberFormat="1" applyFont="1" applyFill="1" applyAlignment="1">
      <alignment horizontal="center"/>
    </xf>
    <xf numFmtId="2" fontId="19" fillId="15" borderId="8" xfId="1" applyNumberFormat="1" applyFont="1" applyFill="1" applyBorder="1" applyAlignment="1">
      <alignment horizontal="right"/>
    </xf>
    <xf numFmtId="2" fontId="19" fillId="15" borderId="8" xfId="1" applyNumberFormat="1" applyFont="1" applyFill="1" applyBorder="1"/>
    <xf numFmtId="2" fontId="19" fillId="15" borderId="16" xfId="1" applyNumberFormat="1" applyFont="1" applyFill="1" applyBorder="1" applyAlignment="1">
      <alignment horizontal="right"/>
    </xf>
    <xf numFmtId="2" fontId="19" fillId="15" borderId="16" xfId="1" applyNumberFormat="1" applyFont="1" applyFill="1" applyBorder="1"/>
    <xf numFmtId="0" fontId="0" fillId="15" borderId="13" xfId="0" applyFill="1" applyBorder="1"/>
    <xf numFmtId="2" fontId="19" fillId="15" borderId="14" xfId="1" applyNumberFormat="1" applyFont="1" applyFill="1" applyBorder="1" applyAlignment="1">
      <alignment horizontal="right"/>
    </xf>
    <xf numFmtId="2" fontId="19" fillId="15" borderId="14" xfId="1" applyNumberFormat="1" applyFont="1" applyFill="1" applyBorder="1"/>
    <xf numFmtId="9" fontId="3" fillId="15" borderId="3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3" xfId="1" applyNumberFormat="1" applyFont="1" applyFill="1" applyBorder="1" applyAlignment="1">
      <alignment horizontal="right"/>
    </xf>
    <xf numFmtId="4" fontId="3" fillId="17" borderId="12" xfId="1" applyNumberFormat="1" applyFont="1" applyFill="1" applyBorder="1" applyAlignment="1">
      <alignment vertical="center"/>
    </xf>
    <xf numFmtId="4" fontId="3" fillId="17" borderId="13" xfId="1" applyNumberFormat="1" applyFont="1" applyFill="1" applyBorder="1" applyAlignment="1">
      <alignment vertical="center"/>
    </xf>
    <xf numFmtId="4" fontId="3" fillId="17" borderId="15" xfId="1" applyNumberFormat="1" applyFont="1" applyFill="1" applyBorder="1" applyAlignment="1">
      <alignment vertical="center"/>
    </xf>
    <xf numFmtId="0" fontId="3" fillId="17" borderId="9" xfId="1" applyFont="1" applyFill="1" applyBorder="1" applyAlignment="1">
      <alignment horizontal="center" vertical="center"/>
    </xf>
    <xf numFmtId="4" fontId="3" fillId="17" borderId="0" xfId="1" applyNumberFormat="1" applyFont="1" applyFill="1" applyBorder="1" applyAlignment="1">
      <alignment vertical="center"/>
    </xf>
    <xf numFmtId="165" fontId="19" fillId="17" borderId="3" xfId="1" applyNumberFormat="1" applyFont="1" applyFill="1" applyBorder="1" applyAlignment="1">
      <alignment horizontal="right"/>
    </xf>
    <xf numFmtId="10" fontId="19" fillId="17" borderId="12" xfId="17" applyNumberFormat="1" applyFont="1" applyFill="1" applyBorder="1" applyAlignment="1">
      <alignment horizontal="center" vertical="center" wrapText="1"/>
    </xf>
    <xf numFmtId="4" fontId="19" fillId="17" borderId="3" xfId="1" applyNumberFormat="1" applyFont="1" applyFill="1" applyBorder="1" applyAlignment="1">
      <alignment horizontal="right"/>
    </xf>
    <xf numFmtId="10" fontId="19" fillId="17" borderId="13" xfId="17" applyNumberFormat="1" applyFont="1" applyFill="1" applyBorder="1" applyAlignment="1">
      <alignment horizontal="center" vertical="center" wrapText="1"/>
    </xf>
    <xf numFmtId="10" fontId="19" fillId="17" borderId="15" xfId="17" applyNumberFormat="1" applyFont="1" applyFill="1" applyBorder="1" applyAlignment="1">
      <alignment horizontal="center" vertical="center" wrapText="1"/>
    </xf>
    <xf numFmtId="4" fontId="19" fillId="17" borderId="5" xfId="1" applyNumberFormat="1" applyFont="1" applyFill="1" applyBorder="1" applyAlignment="1">
      <alignment horizontal="center"/>
    </xf>
    <xf numFmtId="10" fontId="19" fillId="17" borderId="5" xfId="17" applyNumberFormat="1" applyFont="1" applyFill="1" applyBorder="1" applyAlignment="1">
      <alignment horizontal="center" vertical="center" wrapText="1"/>
    </xf>
    <xf numFmtId="10" fontId="19" fillId="17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11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181" fontId="3" fillId="15" borderId="15" xfId="1" applyNumberFormat="1" applyFont="1" applyFill="1" applyBorder="1"/>
    <xf numFmtId="4" fontId="19" fillId="15" borderId="7" xfId="1" applyNumberFormat="1" applyFont="1" applyFill="1" applyBorder="1"/>
    <xf numFmtId="0" fontId="17" fillId="7" borderId="13" xfId="1" applyFont="1" applyFill="1" applyBorder="1" applyAlignment="1">
      <alignment horizontal="right"/>
    </xf>
    <xf numFmtId="0" fontId="0" fillId="2" borderId="0" xfId="1" applyFont="1" applyFill="1" applyAlignment="1">
      <alignment horizontal="right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4" fontId="19" fillId="0" borderId="5" xfId="1" applyNumberFormat="1" applyFont="1" applyFill="1" applyBorder="1"/>
    <xf numFmtId="14" fontId="19" fillId="0" borderId="0" xfId="17" applyNumberFormat="1" applyFont="1" applyFill="1" applyBorder="1" applyAlignment="1">
      <alignment horizontal="center" vertical="center" wrapText="1"/>
    </xf>
    <xf numFmtId="10" fontId="19" fillId="0" borderId="14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6" fillId="15" borderId="11" xfId="1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0" fontId="16" fillId="15" borderId="12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9" xfId="1" applyFont="1" applyFill="1" applyBorder="1" applyAlignment="1">
      <alignment horizontal="center"/>
    </xf>
    <xf numFmtId="0" fontId="19" fillId="15" borderId="0" xfId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0" fontId="30" fillId="15" borderId="7" xfId="0" applyFont="1" applyFill="1" applyBorder="1" applyAlignment="1">
      <alignment horizontal="left" wrapText="1" indent="1"/>
    </xf>
    <xf numFmtId="2" fontId="19" fillId="15" borderId="7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0" fontId="12" fillId="15" borderId="7" xfId="1" applyFont="1" applyFill="1" applyBorder="1"/>
    <xf numFmtId="10" fontId="19" fillId="15" borderId="8" xfId="17" applyNumberFormat="1" applyFont="1" applyFill="1" applyBorder="1" applyAlignment="1">
      <alignment horizontal="center"/>
    </xf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5" fillId="21" borderId="25" xfId="0" applyNumberFormat="1" applyFont="1" applyFill="1" applyBorder="1"/>
    <xf numFmtId="0" fontId="0" fillId="21" borderId="0" xfId="0" applyFill="1"/>
    <xf numFmtId="0" fontId="19" fillId="0" borderId="0" xfId="1" applyFont="1"/>
    <xf numFmtId="10" fontId="19" fillId="17" borderId="5" xfId="17" applyNumberFormat="1" applyFont="1" applyFill="1" applyBorder="1"/>
    <xf numFmtId="10" fontId="19" fillId="17" borderId="0" xfId="17" applyNumberFormat="1" applyFont="1" applyFill="1" applyBorder="1"/>
    <xf numFmtId="4" fontId="19" fillId="17" borderId="5" xfId="1" applyNumberFormat="1" applyFont="1" applyFill="1" applyBorder="1"/>
    <xf numFmtId="4" fontId="2" fillId="17" borderId="0" xfId="1" applyNumberFormat="1" applyFont="1" applyFill="1" applyBorder="1" applyAlignment="1">
      <alignment horizontal="right"/>
    </xf>
    <xf numFmtId="14" fontId="19" fillId="17" borderId="0" xfId="17" applyNumberFormat="1" applyFont="1" applyFill="1" applyBorder="1" applyAlignment="1">
      <alignment horizontal="center" vertical="center" wrapText="1"/>
    </xf>
    <xf numFmtId="10" fontId="19" fillId="17" borderId="14" xfId="17" applyNumberFormat="1" applyFont="1" applyFill="1" applyBorder="1" applyAlignment="1">
      <alignment horizontal="center" vertical="center" wrapText="1"/>
    </xf>
    <xf numFmtId="10" fontId="5" fillId="17" borderId="14" xfId="17" applyNumberFormat="1" applyFont="1" applyFill="1" applyBorder="1" applyAlignment="1">
      <alignment horizontal="center"/>
    </xf>
    <xf numFmtId="0" fontId="0" fillId="17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0" fillId="15" borderId="11" xfId="0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11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 vertical="center" wrapText="1"/>
    </xf>
    <xf numFmtId="9" fontId="19" fillId="17" borderId="0" xfId="17" applyFont="1" applyFill="1"/>
    <xf numFmtId="167" fontId="5" fillId="15" borderId="10" xfId="17" applyNumberFormat="1" applyFont="1" applyFill="1" applyBorder="1"/>
    <xf numFmtId="171" fontId="63" fillId="13" borderId="11" xfId="18" applyNumberFormat="1" applyBorder="1"/>
    <xf numFmtId="10" fontId="0" fillId="0" borderId="0" xfId="1" applyNumberFormat="1" applyFont="1" applyFill="1" applyBorder="1" applyAlignment="1"/>
    <xf numFmtId="0" fontId="5" fillId="0" borderId="9" xfId="1" applyFont="1" applyFill="1" applyBorder="1" applyAlignment="1">
      <alignment horizontal="center"/>
    </xf>
    <xf numFmtId="0" fontId="65" fillId="0" borderId="0" xfId="0" applyFont="1" applyBorder="1"/>
    <xf numFmtId="4" fontId="19" fillId="18" borderId="0" xfId="17" applyNumberFormat="1" applyFont="1" applyFill="1"/>
    <xf numFmtId="4" fontId="5" fillId="0" borderId="0" xfId="0" applyNumberFormat="1" applyFon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0" fontId="0" fillId="15" borderId="3" xfId="0" applyFill="1" applyBorder="1"/>
    <xf numFmtId="0" fontId="19" fillId="15" borderId="2" xfId="1" applyFont="1" applyFill="1" applyBorder="1"/>
    <xf numFmtId="0" fontId="0" fillId="15" borderId="2" xfId="0" applyFill="1" applyBorder="1"/>
    <xf numFmtId="10" fontId="19" fillId="15" borderId="11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0" xfId="1" applyNumberFormat="1" applyFont="1" applyFill="1" applyBorder="1"/>
    <xf numFmtId="10" fontId="19" fillId="15" borderId="0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19" fillId="15" borderId="10" xfId="1" applyNumberFormat="1" applyFont="1" applyFill="1" applyBorder="1"/>
    <xf numFmtId="0" fontId="19" fillId="15" borderId="10" xfId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7" fillId="15" borderId="11" xfId="1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10" fontId="5" fillId="15" borderId="14" xfId="17" applyNumberFormat="1" applyFont="1" applyFill="1" applyBorder="1"/>
    <xf numFmtId="9" fontId="0" fillId="22" borderId="0" xfId="0" applyNumberFormat="1" applyFill="1"/>
    <xf numFmtId="0" fontId="0" fillId="22" borderId="0" xfId="0" applyFill="1"/>
    <xf numFmtId="10" fontId="0" fillId="22" borderId="0" xfId="0" applyNumberFormat="1" applyFill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4" fontId="3" fillId="15" borderId="12" xfId="1" applyNumberFormat="1" applyFont="1" applyFill="1" applyBorder="1" applyAlignment="1">
      <alignment vertical="center"/>
    </xf>
    <xf numFmtId="0" fontId="12" fillId="15" borderId="9" xfId="14" applyFont="1" applyFill="1" applyBorder="1"/>
    <xf numFmtId="10" fontId="19" fillId="15" borderId="0" xfId="17" applyNumberFormat="1" applyFont="1" applyFill="1" applyAlignment="1">
      <alignment horizontal="center"/>
    </xf>
    <xf numFmtId="10" fontId="3" fillId="15" borderId="4" xfId="1" applyNumberFormat="1" applyFont="1" applyFill="1" applyBorder="1" applyAlignment="1">
      <alignment horizontal="center"/>
    </xf>
    <xf numFmtId="0" fontId="3" fillId="15" borderId="12" xfId="1" applyFont="1" applyFill="1" applyBorder="1"/>
    <xf numFmtId="10" fontId="3" fillId="15" borderId="9" xfId="1" applyNumberFormat="1" applyFont="1" applyFill="1" applyBorder="1" applyAlignment="1">
      <alignment horizontal="center"/>
    </xf>
    <xf numFmtId="4" fontId="19" fillId="15" borderId="9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right"/>
    </xf>
    <xf numFmtId="0" fontId="3" fillId="15" borderId="5" xfId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 vertical="center" wrapText="1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4" fontId="19" fillId="15" borderId="12" xfId="1" applyNumberFormat="1" applyFont="1" applyFill="1" applyBorder="1" applyAlignment="1">
      <alignment horizontal="center"/>
    </xf>
    <xf numFmtId="167" fontId="3" fillId="15" borderId="4" xfId="1" applyNumberFormat="1" applyFont="1" applyFill="1" applyBorder="1" applyAlignment="1">
      <alignment horizontal="center"/>
    </xf>
    <xf numFmtId="167" fontId="3" fillId="15" borderId="9" xfId="1" applyNumberFormat="1" applyFont="1" applyFill="1" applyBorder="1" applyAlignment="1">
      <alignment horizontal="center"/>
    </xf>
    <xf numFmtId="4" fontId="19" fillId="15" borderId="13" xfId="1" applyNumberFormat="1" applyFont="1" applyFill="1" applyBorder="1" applyAlignment="1">
      <alignment horizontal="right"/>
    </xf>
    <xf numFmtId="4" fontId="19" fillId="15" borderId="15" xfId="1" applyNumberFormat="1" applyFont="1" applyFill="1" applyBorder="1" applyAlignment="1">
      <alignment horizontal="right"/>
    </xf>
    <xf numFmtId="0" fontId="16" fillId="15" borderId="15" xfId="1" applyFont="1" applyFill="1" applyBorder="1"/>
    <xf numFmtId="0" fontId="30" fillId="15" borderId="0" xfId="0" applyFont="1" applyFill="1" applyBorder="1" applyAlignment="1">
      <alignment horizontal="left" wrapText="1" indent="1"/>
    </xf>
    <xf numFmtId="2" fontId="19" fillId="15" borderId="0" xfId="1" applyNumberFormat="1" applyFont="1" applyFill="1" applyBorder="1"/>
    <xf numFmtId="0" fontId="12" fillId="15" borderId="9" xfId="1" applyFont="1" applyFill="1" applyBorder="1"/>
    <xf numFmtId="10" fontId="3" fillId="15" borderId="5" xfId="17" applyNumberFormat="1" applyFont="1" applyFill="1" applyBorder="1" applyAlignment="1">
      <alignment vertical="center"/>
    </xf>
    <xf numFmtId="10" fontId="3" fillId="15" borderId="6" xfId="17" applyNumberFormat="1" applyFont="1" applyFill="1" applyBorder="1" applyAlignment="1">
      <alignment vertical="center"/>
    </xf>
    <xf numFmtId="10" fontId="19" fillId="15" borderId="0" xfId="17" applyNumberFormat="1" applyFont="1" applyFill="1" applyBorder="1" applyAlignment="1">
      <alignment horizontal="right"/>
    </xf>
    <xf numFmtId="0" fontId="19" fillId="15" borderId="15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vertical="center"/>
    </xf>
    <xf numFmtId="164" fontId="19" fillId="15" borderId="8" xfId="2" applyFont="1" applyFill="1" applyBorder="1" applyAlignment="1">
      <alignment horizontal="right" vertical="center" wrapText="1"/>
    </xf>
    <xf numFmtId="10" fontId="3" fillId="15" borderId="13" xfId="17" applyNumberFormat="1" applyFont="1" applyFill="1" applyBorder="1" applyAlignment="1">
      <alignment vertical="center"/>
    </xf>
    <xf numFmtId="164" fontId="19" fillId="15" borderId="16" xfId="2" applyFont="1" applyFill="1" applyBorder="1" applyAlignment="1">
      <alignment horizontal="right" vertical="center" wrapText="1"/>
    </xf>
    <xf numFmtId="10" fontId="3" fillId="15" borderId="15" xfId="17" applyNumberFormat="1" applyFont="1" applyFill="1" applyBorder="1" applyAlignment="1">
      <alignment vertical="center"/>
    </xf>
    <xf numFmtId="0" fontId="16" fillId="15" borderId="16" xfId="1" applyFont="1" applyFill="1" applyBorder="1"/>
    <xf numFmtId="166" fontId="0" fillId="15" borderId="0" xfId="0" applyNumberFormat="1" applyFill="1"/>
    <xf numFmtId="166" fontId="16" fillId="15" borderId="13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0" fontId="19" fillId="17" borderId="12" xfId="1" applyFont="1" applyFill="1" applyBorder="1" applyAlignment="1">
      <alignment horizontal="center"/>
    </xf>
    <xf numFmtId="10" fontId="19" fillId="17" borderId="12" xfId="17" applyNumberFormat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63" fillId="13" borderId="0" xfId="18" applyNumberForma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0" xfId="1" applyFont="1" applyFill="1" applyBorder="1"/>
    <xf numFmtId="0" fontId="19" fillId="15" borderId="9" xfId="1" applyFont="1" applyFill="1" applyBorder="1"/>
    <xf numFmtId="0" fontId="12" fillId="15" borderId="0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11" xfId="1" applyFont="1" applyFill="1" applyBorder="1"/>
    <xf numFmtId="10" fontId="5" fillId="15" borderId="16" xfId="17" applyNumberFormat="1" applyFont="1" applyFill="1" applyBorder="1" applyAlignment="1">
      <alignment horizontal="center"/>
    </xf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9" fontId="3" fillId="15" borderId="9" xfId="1" applyNumberFormat="1" applyFont="1" applyFill="1" applyBorder="1" applyAlignment="1">
      <alignment horizontal="center"/>
    </xf>
    <xf numFmtId="4" fontId="5" fillId="15" borderId="0" xfId="1" applyNumberFormat="1" applyFont="1" applyFill="1" applyBorder="1"/>
    <xf numFmtId="10" fontId="5" fillId="15" borderId="5" xfId="17" applyNumberFormat="1" applyFont="1" applyFill="1" applyBorder="1"/>
    <xf numFmtId="4" fontId="3" fillId="15" borderId="11" xfId="1" applyNumberFormat="1" applyFont="1" applyFill="1" applyBorder="1" applyAlignment="1">
      <alignment horizontal="center" vertical="center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1" xfId="1" applyFont="1" applyFill="1" applyBorder="1"/>
    <xf numFmtId="4" fontId="3" fillId="15" borderId="11" xfId="1" applyNumberFormat="1" applyFont="1" applyFill="1" applyBorder="1" applyAlignment="1">
      <alignment vertic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71" fontId="19" fillId="15" borderId="12" xfId="1" applyNumberFormat="1" applyFont="1" applyFill="1" applyBorder="1"/>
    <xf numFmtId="2" fontId="19" fillId="15" borderId="4" xfId="1" applyNumberFormat="1" applyFont="1" applyFill="1" applyBorder="1"/>
    <xf numFmtId="10" fontId="19" fillId="15" borderId="12" xfId="17" applyNumberFormat="1" applyFont="1" applyFill="1" applyBorder="1"/>
    <xf numFmtId="10" fontId="19" fillId="15" borderId="8" xfId="17" applyNumberFormat="1" applyFont="1" applyFill="1" applyBorder="1" applyAlignment="1">
      <alignment horizontal="center"/>
    </xf>
    <xf numFmtId="171" fontId="19" fillId="15" borderId="13" xfId="1" applyNumberFormat="1" applyFont="1" applyFill="1" applyBorder="1"/>
    <xf numFmtId="2" fontId="19" fillId="15" borderId="9" xfId="1" applyNumberFormat="1" applyFont="1" applyFill="1" applyBorder="1"/>
    <xf numFmtId="10" fontId="19" fillId="15" borderId="13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171" fontId="19" fillId="15" borderId="15" xfId="1" applyNumberFormat="1" applyFont="1" applyFill="1" applyBorder="1"/>
    <xf numFmtId="2" fontId="19" fillId="15" borderId="6" xfId="1" applyNumberFormat="1" applyFont="1" applyFill="1" applyBorder="1"/>
    <xf numFmtId="10" fontId="19" fillId="15" borderId="15" xfId="17" applyNumberFormat="1" applyFont="1" applyFill="1" applyBorder="1"/>
    <xf numFmtId="10" fontId="19" fillId="15" borderId="14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7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2" fillId="0" borderId="6" xfId="12" applyFont="1" applyFill="1" applyBorder="1"/>
    <xf numFmtId="2" fontId="19" fillId="0" borderId="8" xfId="1" applyNumberFormat="1" applyFont="1" applyFill="1" applyBorder="1"/>
    <xf numFmtId="2" fontId="19" fillId="0" borderId="16" xfId="1" applyNumberFormat="1" applyFont="1" applyFill="1" applyBorder="1"/>
    <xf numFmtId="2" fontId="19" fillId="0" borderId="14" xfId="1" applyNumberFormat="1" applyFont="1" applyFill="1" applyBorder="1"/>
    <xf numFmtId="2" fontId="7" fillId="0" borderId="13" xfId="1" applyNumberFormat="1" applyFont="1" applyFill="1" applyBorder="1"/>
    <xf numFmtId="2" fontId="16" fillId="0" borderId="15" xfId="1" applyNumberFormat="1" applyFont="1" applyFill="1" applyBorder="1"/>
    <xf numFmtId="0" fontId="44" fillId="7" borderId="0" xfId="1" applyFont="1" applyFill="1" applyBorder="1" applyAlignment="1">
      <alignment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0" borderId="14" xfId="17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2" fillId="17" borderId="9" xfId="12" applyFont="1" applyFill="1" applyBorder="1"/>
    <xf numFmtId="2" fontId="16" fillId="17" borderId="12" xfId="1" applyNumberFormat="1" applyFont="1" applyFill="1" applyBorder="1"/>
    <xf numFmtId="2" fontId="19" fillId="17" borderId="8" xfId="1" applyNumberFormat="1" applyFont="1" applyFill="1" applyBorder="1"/>
    <xf numFmtId="2" fontId="16" fillId="17" borderId="13" xfId="1" applyNumberFormat="1" applyFont="1" applyFill="1" applyBorder="1"/>
    <xf numFmtId="2" fontId="19" fillId="17" borderId="16" xfId="1" applyNumberFormat="1" applyFont="1" applyFill="1" applyBorder="1"/>
    <xf numFmtId="2" fontId="7" fillId="17" borderId="13" xfId="1" applyNumberFormat="1" applyFont="1" applyFill="1" applyBorder="1"/>
    <xf numFmtId="0" fontId="12" fillId="17" borderId="6" xfId="12" applyFont="1" applyFill="1" applyBorder="1"/>
    <xf numFmtId="2" fontId="16" fillId="17" borderId="15" xfId="1" applyNumberFormat="1" applyFont="1" applyFill="1" applyBorder="1"/>
    <xf numFmtId="2" fontId="19" fillId="17" borderId="14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10" fontId="19" fillId="15" borderId="13" xfId="17" applyNumberFormat="1" applyFont="1" applyFill="1" applyBorder="1"/>
    <xf numFmtId="10" fontId="19" fillId="15" borderId="2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/>
    <xf numFmtId="0" fontId="19" fillId="0" borderId="15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2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0" fontId="16" fillId="15" borderId="12" xfId="2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4" xfId="17" applyNumberFormat="1" applyFont="1" applyFill="1" applyBorder="1"/>
    <xf numFmtId="2" fontId="19" fillId="15" borderId="13" xfId="1" applyNumberFormat="1" applyFont="1" applyFill="1" applyBorder="1"/>
    <xf numFmtId="10" fontId="19" fillId="15" borderId="9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10" fontId="16" fillId="15" borderId="15" xfId="2" applyNumberFormat="1" applyFont="1" applyFill="1" applyBorder="1" applyAlignment="1">
      <alignment horizontal="center"/>
    </xf>
    <xf numFmtId="0" fontId="3" fillId="15" borderId="7" xfId="12" applyFont="1" applyFill="1" applyBorder="1"/>
    <xf numFmtId="2" fontId="19" fillId="15" borderId="15" xfId="1" applyNumberFormat="1" applyFont="1" applyFill="1" applyBorder="1"/>
    <xf numFmtId="10" fontId="19" fillId="15" borderId="6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15" xfId="17" applyNumberFormat="1" applyFont="1" applyFill="1" applyBorder="1" applyAlignment="1">
      <alignment horizontal="center"/>
    </xf>
    <xf numFmtId="166" fontId="1" fillId="15" borderId="15" xfId="12" applyNumberFormat="1" applyFont="1" applyFill="1" applyBorder="1" applyAlignment="1">
      <alignment horizontal="right"/>
    </xf>
    <xf numFmtId="10" fontId="19" fillId="15" borderId="15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9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3" fillId="15" borderId="5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4" fontId="3" fillId="15" borderId="0" xfId="1" applyNumberFormat="1" applyFont="1" applyFill="1" applyBorder="1" applyAlignment="1">
      <alignment horizontal="right" vertical="center"/>
    </xf>
    <xf numFmtId="4" fontId="19" fillId="15" borderId="0" xfId="1" applyNumberFormat="1" applyFont="1" applyFill="1" applyBorder="1" applyAlignment="1">
      <alignment horizontal="center"/>
    </xf>
    <xf numFmtId="0" fontId="3" fillId="15" borderId="6" xfId="1" applyFont="1" applyFill="1" applyBorder="1" applyAlignment="1">
      <alignment horizontal="center" vertical="center"/>
    </xf>
    <xf numFmtId="0" fontId="19" fillId="15" borderId="7" xfId="1" applyFont="1" applyFill="1" applyBorder="1"/>
    <xf numFmtId="4" fontId="3" fillId="15" borderId="7" xfId="1" applyNumberFormat="1" applyFont="1" applyFill="1" applyBorder="1" applyAlignment="1">
      <alignment horizontal="right" vertical="center"/>
    </xf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81" fontId="19" fillId="15" borderId="0" xfId="1" applyNumberFormat="1" applyFont="1" applyFill="1" applyBorder="1"/>
    <xf numFmtId="0" fontId="19" fillId="15" borderId="10" xfId="1" applyFont="1" applyFill="1" applyBorder="1"/>
    <xf numFmtId="0" fontId="0" fillId="2" borderId="0" xfId="1" applyFont="1" applyFill="1" applyBorder="1" applyAlignment="1">
      <alignment horizontal="right"/>
    </xf>
    <xf numFmtId="2" fontId="19" fillId="0" borderId="5" xfId="1" applyNumberFormat="1" applyFont="1" applyFill="1" applyBorder="1"/>
    <xf numFmtId="2" fontId="19" fillId="0" borderId="0" xfId="1" applyNumberFormat="1" applyFont="1" applyFill="1" applyBorder="1"/>
    <xf numFmtId="2" fontId="19" fillId="0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0" fontId="19" fillId="15" borderId="13" xfId="1" applyFont="1" applyFill="1" applyBorder="1"/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17" fontId="0" fillId="0" borderId="0" xfId="0" quotePrefix="1" applyNumberFormat="1"/>
    <xf numFmtId="0" fontId="61" fillId="12" borderId="0" xfId="4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3" xfId="1" applyFont="1" applyFill="1" applyBorder="1"/>
    <xf numFmtId="0" fontId="19" fillId="15" borderId="10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7" xfId="1" applyFont="1" applyFill="1" applyBorder="1" applyAlignment="1">
      <alignment horizontal="center"/>
    </xf>
    <xf numFmtId="0" fontId="19" fillId="15" borderId="7" xfId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9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10" fontId="19" fillId="15" borderId="14" xfId="17" applyNumberFormat="1" applyFont="1" applyFill="1" applyBorder="1"/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/>
    <xf numFmtId="4" fontId="19" fillId="15" borderId="5" xfId="1" applyNumberFormat="1" applyFont="1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78" fontId="19" fillId="15" borderId="12" xfId="17" applyNumberFormat="1" applyFont="1" applyFill="1" applyBorder="1"/>
    <xf numFmtId="10" fontId="1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/>
    <xf numFmtId="178" fontId="19" fillId="15" borderId="13" xfId="17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0" fontId="19" fillId="15" borderId="0" xfId="17" applyNumberFormat="1" applyFont="1" applyFill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2" fontId="19" fillId="15" borderId="16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7" fillId="15" borderId="9" xfId="12" applyFont="1" applyFill="1" applyBorder="1"/>
    <xf numFmtId="0" fontId="19" fillId="15" borderId="9" xfId="1" applyFont="1" applyFill="1" applyBorder="1"/>
    <xf numFmtId="0" fontId="3" fillId="15" borderId="6" xfId="12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0" fillId="2" borderId="0" xfId="17" applyNumberFormat="1" applyFont="1" applyFill="1" applyBorder="1" applyAlignment="1">
      <alignment horizontal="left"/>
    </xf>
    <xf numFmtId="0" fontId="19" fillId="15" borderId="3" xfId="1" applyFont="1" applyFill="1" applyBorder="1"/>
    <xf numFmtId="0" fontId="19" fillId="15" borderId="2" xfId="1" applyFont="1" applyFill="1" applyBorder="1"/>
    <xf numFmtId="0" fontId="19" fillId="15" borderId="11" xfId="1" applyFont="1" applyFill="1" applyBorder="1" applyAlignment="1">
      <alignment horizontal="center"/>
    </xf>
    <xf numFmtId="0" fontId="40" fillId="15" borderId="11" xfId="0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9" fontId="0" fillId="15" borderId="11" xfId="0" applyNumberFormat="1" applyFill="1" applyBorder="1"/>
    <xf numFmtId="10" fontId="19" fillId="15" borderId="11" xfId="17" applyNumberFormat="1" applyFont="1" applyFill="1" applyBorder="1"/>
    <xf numFmtId="10" fontId="0" fillId="15" borderId="11" xfId="0" applyNumberForma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0" fillId="15" borderId="10" xfId="0" applyFill="1" applyBorder="1"/>
    <xf numFmtId="10" fontId="1" fillId="15" borderId="12" xfId="1" applyNumberFormat="1" applyFont="1" applyFill="1" applyBorder="1" applyAlignment="1">
      <alignment horizontal="center"/>
    </xf>
    <xf numFmtId="10" fontId="1" fillId="15" borderId="5" xfId="17" applyNumberFormat="1" applyFont="1" applyFill="1" applyBorder="1"/>
    <xf numFmtId="10" fontId="1" fillId="15" borderId="13" xfId="1" applyNumberFormat="1" applyFont="1" applyFill="1" applyBorder="1" applyAlignment="1">
      <alignment horizontal="center"/>
    </xf>
    <xf numFmtId="10" fontId="1" fillId="15" borderId="0" xfId="17" applyNumberFormat="1" applyFont="1" applyFill="1" applyBorder="1"/>
    <xf numFmtId="10" fontId="1" fillId="15" borderId="13" xfId="17" applyNumberFormat="1" applyFont="1" applyFill="1" applyBorder="1" applyAlignment="1">
      <alignment horizontal="center"/>
    </xf>
    <xf numFmtId="0" fontId="57" fillId="15" borderId="13" xfId="0" applyFont="1" applyFill="1" applyBorder="1"/>
    <xf numFmtId="0" fontId="60" fillId="15" borderId="13" xfId="1" applyFont="1" applyFill="1" applyBorder="1"/>
    <xf numFmtId="2" fontId="57" fillId="15" borderId="16" xfId="1" applyNumberFormat="1" applyFont="1" applyFill="1" applyBorder="1"/>
    <xf numFmtId="10" fontId="57" fillId="15" borderId="0" xfId="17" applyNumberFormat="1" applyFont="1" applyFill="1" applyBorder="1"/>
    <xf numFmtId="10" fontId="57" fillId="15" borderId="13" xfId="17" applyNumberFormat="1" applyFont="1" applyFill="1" applyBorder="1" applyAlignment="1">
      <alignment horizontal="center"/>
    </xf>
    <xf numFmtId="10" fontId="1" fillId="15" borderId="15" xfId="1" applyNumberFormat="1" applyFont="1" applyFill="1" applyBorder="1" applyAlignment="1">
      <alignment horizontal="center"/>
    </xf>
    <xf numFmtId="0" fontId="57" fillId="15" borderId="15" xfId="0" applyFont="1" applyFill="1" applyBorder="1"/>
    <xf numFmtId="0" fontId="60" fillId="15" borderId="15" xfId="1" applyFont="1" applyFill="1" applyBorder="1"/>
    <xf numFmtId="2" fontId="57" fillId="15" borderId="14" xfId="1" applyNumberFormat="1" applyFont="1" applyFill="1" applyBorder="1"/>
    <xf numFmtId="10" fontId="57" fillId="15" borderId="7" xfId="17" applyNumberFormat="1" applyFont="1" applyFill="1" applyBorder="1"/>
    <xf numFmtId="10" fontId="57" fillId="15" borderId="15" xfId="17" applyNumberFormat="1" applyFont="1" applyFill="1" applyBorder="1" applyAlignment="1">
      <alignment horizontal="center"/>
    </xf>
    <xf numFmtId="0" fontId="3" fillId="15" borderId="10" xfId="1" applyFont="1" applyFill="1" applyBorder="1" applyAlignment="1">
      <alignment horizontal="center" vertical="center"/>
    </xf>
    <xf numFmtId="2" fontId="16" fillId="15" borderId="13" xfId="1" applyNumberFormat="1" applyFont="1" applyFill="1" applyBorder="1" applyAlignment="1">
      <alignment horizontal="left" indent="6"/>
    </xf>
    <xf numFmtId="166" fontId="16" fillId="15" borderId="13" xfId="1" applyNumberFormat="1" applyFont="1" applyFill="1" applyBorder="1" applyAlignment="1">
      <alignment horizontal="right"/>
    </xf>
    <xf numFmtId="2" fontId="16" fillId="15" borderId="13" xfId="1" applyNumberFormat="1" applyFont="1" applyFill="1" applyBorder="1" applyAlignment="1">
      <alignment horizontal="right"/>
    </xf>
    <xf numFmtId="0" fontId="12" fillId="15" borderId="15" xfId="14" applyFont="1" applyFill="1" applyBorder="1"/>
    <xf numFmtId="0" fontId="19" fillId="15" borderId="15" xfId="1" applyFont="1" applyFill="1" applyBorder="1"/>
    <xf numFmtId="0" fontId="0" fillId="15" borderId="15" xfId="0" applyFill="1" applyBorder="1"/>
    <xf numFmtId="10" fontId="1" fillId="15" borderId="7" xfId="17" applyNumberFormat="1" applyFont="1" applyFill="1" applyBorder="1"/>
    <xf numFmtId="10" fontId="3" fillId="15" borderId="3" xfId="1" applyNumberFormat="1" applyFont="1" applyFill="1" applyBorder="1" applyAlignment="1">
      <alignment horizontal="center"/>
    </xf>
    <xf numFmtId="2" fontId="19" fillId="15" borderId="10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0" fontId="19" fillId="15" borderId="12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center"/>
    </xf>
    <xf numFmtId="10" fontId="3" fillId="15" borderId="13" xfId="17" applyNumberFormat="1" applyFont="1" applyFill="1" applyBorder="1" applyAlignment="1">
      <alignment horizontal="center" vertical="center"/>
    </xf>
    <xf numFmtId="4" fontId="19" fillId="15" borderId="0" xfId="1" applyNumberFormat="1" applyFont="1" applyFill="1" applyBorder="1" applyAlignment="1">
      <alignment horizontal="center"/>
    </xf>
    <xf numFmtId="10" fontId="3" fillId="15" borderId="15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19" fillId="15" borderId="11" xfId="1" applyNumberFormat="1" applyFont="1" applyFill="1" applyBorder="1"/>
    <xf numFmtId="10" fontId="19" fillId="15" borderId="2" xfId="17" applyNumberFormat="1" applyFont="1" applyFill="1" applyBorder="1"/>
    <xf numFmtId="170" fontId="0" fillId="20" borderId="0" xfId="0" applyNumberFormat="1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5" fillId="15" borderId="8" xfId="17" applyNumberFormat="1" applyFont="1" applyFill="1" applyBorder="1" applyAlignment="1">
      <alignment horizontal="center"/>
    </xf>
    <xf numFmtId="0" fontId="0" fillId="23" borderId="3" xfId="1" applyFont="1" applyFill="1" applyBorder="1"/>
    <xf numFmtId="0" fontId="0" fillId="23" borderId="2" xfId="1" applyFont="1" applyFill="1" applyBorder="1"/>
    <xf numFmtId="0" fontId="0" fillId="23" borderId="0" xfId="0" applyFill="1"/>
    <xf numFmtId="0" fontId="0" fillId="23" borderId="11" xfId="1" applyFont="1" applyFill="1" applyBorder="1" applyAlignment="1">
      <alignment horizontal="center"/>
    </xf>
    <xf numFmtId="0" fontId="40" fillId="23" borderId="11" xfId="0" applyFont="1" applyFill="1" applyBorder="1"/>
    <xf numFmtId="10" fontId="0" fillId="23" borderId="11" xfId="17" applyNumberFormat="1" applyFont="1" applyFill="1" applyBorder="1" applyAlignment="1">
      <alignment horizontal="center" vertical="center" wrapText="1"/>
    </xf>
    <xf numFmtId="0" fontId="0" fillId="23" borderId="12" xfId="1" applyFont="1" applyFill="1" applyBorder="1" applyAlignment="1">
      <alignment horizontal="center"/>
    </xf>
    <xf numFmtId="0" fontId="0" fillId="23" borderId="11" xfId="0" applyFill="1" applyBorder="1"/>
    <xf numFmtId="9" fontId="0" fillId="23" borderId="11" xfId="0" applyNumberFormat="1" applyFill="1" applyBorder="1"/>
    <xf numFmtId="10" fontId="0" fillId="23" borderId="11" xfId="17" applyNumberFormat="1" applyFont="1" applyFill="1" applyBorder="1"/>
    <xf numFmtId="10" fontId="0" fillId="23" borderId="11" xfId="0" applyNumberFormat="1" applyFill="1" applyBorder="1"/>
    <xf numFmtId="10" fontId="0" fillId="23" borderId="0" xfId="0" applyNumberFormat="1" applyFill="1"/>
    <xf numFmtId="0" fontId="66" fillId="0" borderId="11" xfId="0" applyFont="1" applyBorder="1"/>
    <xf numFmtId="179" fontId="66" fillId="0" borderId="11" xfId="0" applyNumberFormat="1" applyFont="1" applyBorder="1"/>
    <xf numFmtId="15" fontId="66" fillId="0" borderId="11" xfId="0" applyNumberFormat="1" applyFont="1" applyBorder="1"/>
    <xf numFmtId="0" fontId="65" fillId="0" borderId="11" xfId="0" applyFont="1" applyBorder="1"/>
    <xf numFmtId="0" fontId="65" fillId="0" borderId="12" xfId="0" applyFont="1" applyBorder="1"/>
    <xf numFmtId="0" fontId="65" fillId="0" borderId="0" xfId="0" applyFont="1"/>
    <xf numFmtId="171" fontId="66" fillId="0" borderId="11" xfId="0" applyNumberFormat="1" applyFont="1" applyBorder="1"/>
    <xf numFmtId="15" fontId="66" fillId="0" borderId="0" xfId="0" applyNumberFormat="1" applyFont="1" applyBorder="1"/>
    <xf numFmtId="2" fontId="0" fillId="0" borderId="0" xfId="0" applyNumberFormat="1" applyBorder="1"/>
    <xf numFmtId="0" fontId="0" fillId="15" borderId="11" xfId="1" applyFont="1" applyFill="1" applyBorder="1" applyAlignment="1">
      <alignment horizontal="center"/>
    </xf>
    <xf numFmtId="0" fontId="0" fillId="15" borderId="4" xfId="1" applyFont="1" applyFill="1" applyBorder="1"/>
    <xf numFmtId="0" fontId="0" fillId="15" borderId="5" xfId="1" applyFont="1" applyFill="1" applyBorder="1"/>
    <xf numFmtId="4" fontId="0" fillId="15" borderId="5" xfId="1" applyNumberFormat="1" applyFont="1" applyFill="1" applyBorder="1"/>
    <xf numFmtId="10" fontId="0" fillId="15" borderId="5" xfId="17" applyNumberFormat="1" applyFont="1" applyFill="1" applyBorder="1" applyAlignment="1">
      <alignment horizontal="center" vertical="center" wrapText="1"/>
    </xf>
    <xf numFmtId="10" fontId="0" fillId="15" borderId="8" xfId="17" applyNumberFormat="1" applyFont="1" applyFill="1" applyBorder="1" applyAlignment="1">
      <alignment horizontal="center" vertical="center" wrapText="1"/>
    </xf>
    <xf numFmtId="0" fontId="0" fillId="15" borderId="0" xfId="1" applyFont="1" applyFill="1" applyBorder="1"/>
    <xf numFmtId="4" fontId="0" fillId="15" borderId="0" xfId="1" applyNumberFormat="1" applyFont="1" applyFill="1" applyBorder="1"/>
    <xf numFmtId="14" fontId="0" fillId="15" borderId="0" xfId="17" applyNumberFormat="1" applyFont="1" applyFill="1" applyBorder="1" applyAlignment="1">
      <alignment horizontal="center" vertical="center" wrapText="1"/>
    </xf>
    <xf numFmtId="10" fontId="0" fillId="15" borderId="14" xfId="17" applyNumberFormat="1" applyFont="1" applyFill="1" applyBorder="1" applyAlignment="1">
      <alignment horizontal="center" vertical="center" wrapText="1"/>
    </xf>
    <xf numFmtId="10" fontId="0" fillId="15" borderId="11" xfId="17" applyNumberFormat="1" applyFont="1" applyFill="1" applyBorder="1" applyAlignment="1">
      <alignment horizontal="center" vertical="center" wrapText="1"/>
    </xf>
    <xf numFmtId="0" fontId="0" fillId="15" borderId="12" xfId="1" applyFont="1" applyFill="1" applyBorder="1" applyAlignment="1">
      <alignment horizontal="center"/>
    </xf>
    <xf numFmtId="2" fontId="0" fillId="15" borderId="4" xfId="1" applyNumberFormat="1" applyFont="1" applyFill="1" applyBorder="1"/>
    <xf numFmtId="10" fontId="0" fillId="15" borderId="4" xfId="17" applyNumberFormat="1" applyFont="1" applyFill="1" applyBorder="1"/>
    <xf numFmtId="178" fontId="0" fillId="15" borderId="12" xfId="17" applyNumberFormat="1" applyFont="1" applyFill="1" applyBorder="1"/>
    <xf numFmtId="2" fontId="0" fillId="15" borderId="9" xfId="1" applyNumberFormat="1" applyFont="1" applyFill="1" applyBorder="1"/>
    <xf numFmtId="10" fontId="0" fillId="15" borderId="9" xfId="17" applyNumberFormat="1" applyFont="1" applyFill="1" applyBorder="1"/>
    <xf numFmtId="178" fontId="0" fillId="15" borderId="13" xfId="17" applyNumberFormat="1" applyFont="1" applyFill="1" applyBorder="1"/>
    <xf numFmtId="2" fontId="0" fillId="15" borderId="6" xfId="1" applyNumberFormat="1" applyFont="1" applyFill="1" applyBorder="1"/>
    <xf numFmtId="10" fontId="0" fillId="15" borderId="6" xfId="17" applyNumberFormat="1" applyFont="1" applyFill="1" applyBorder="1"/>
    <xf numFmtId="178" fontId="0" fillId="15" borderId="15" xfId="17" applyNumberFormat="1" applyFont="1" applyFill="1" applyBorder="1"/>
    <xf numFmtId="4" fontId="0" fillId="15" borderId="12" xfId="1" applyNumberFormat="1" applyFont="1" applyFill="1" applyBorder="1"/>
    <xf numFmtId="4" fontId="0" fillId="15" borderId="13" xfId="1" applyNumberFormat="1" applyFont="1" applyFill="1" applyBorder="1"/>
    <xf numFmtId="10" fontId="0" fillId="15" borderId="13" xfId="17" applyNumberFormat="1" applyFont="1" applyFill="1" applyBorder="1"/>
    <xf numFmtId="4" fontId="0" fillId="15" borderId="10" xfId="1" applyNumberFormat="1" applyFont="1" applyFill="1" applyBorder="1"/>
    <xf numFmtId="10" fontId="0" fillId="15" borderId="10" xfId="17" applyNumberFormat="1" applyFont="1" applyFill="1" applyBorder="1"/>
    <xf numFmtId="10" fontId="0" fillId="15" borderId="2" xfId="17" applyNumberFormat="1" applyFont="1" applyFill="1" applyBorder="1"/>
    <xf numFmtId="4" fontId="0" fillId="15" borderId="7" xfId="1" applyNumberFormat="1" applyFont="1" applyFill="1" applyBorder="1"/>
    <xf numFmtId="10" fontId="1" fillId="15" borderId="10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0" fillId="17" borderId="0" xfId="17" applyNumberFormat="1" applyFont="1" applyFill="1" applyBorder="1" applyAlignment="1">
      <alignment horizontal="left" vertical="center" wrapText="1"/>
    </xf>
    <xf numFmtId="2" fontId="0" fillId="17" borderId="9" xfId="1" applyNumberFormat="1" applyFont="1" applyFill="1" applyBorder="1" applyAlignment="1">
      <alignment horizontal="left"/>
    </xf>
    <xf numFmtId="10" fontId="52" fillId="15" borderId="5" xfId="17" applyNumberFormat="1" applyFont="1" applyFill="1" applyBorder="1"/>
    <xf numFmtId="10" fontId="52" fillId="15" borderId="0" xfId="17" applyNumberFormat="1" applyFont="1" applyFill="1" applyBorder="1"/>
    <xf numFmtId="2" fontId="16" fillId="2" borderId="13" xfId="1" applyNumberFormat="1" applyFont="1" applyFill="1" applyBorder="1"/>
    <xf numFmtId="2" fontId="19" fillId="17" borderId="5" xfId="1" applyNumberFormat="1" applyFont="1" applyFill="1" applyBorder="1"/>
    <xf numFmtId="2" fontId="19" fillId="17" borderId="0" xfId="1" applyNumberFormat="1" applyFont="1" applyFill="1" applyBorder="1"/>
    <xf numFmtId="0" fontId="0" fillId="17" borderId="13" xfId="0" applyFill="1" applyBorder="1"/>
    <xf numFmtId="2" fontId="19" fillId="17" borderId="7" xfId="1" applyNumberFormat="1" applyFont="1" applyFill="1" applyBorder="1"/>
    <xf numFmtId="10" fontId="0" fillId="15" borderId="11" xfId="17" applyNumberFormat="1" applyFont="1" applyFill="1" applyBorder="1" applyAlignment="1">
      <alignment horizontal="center"/>
    </xf>
    <xf numFmtId="10" fontId="0" fillId="15" borderId="12" xfId="17" applyNumberFormat="1" applyFont="1" applyFill="1" applyBorder="1" applyAlignment="1">
      <alignment horizontal="center"/>
    </xf>
    <xf numFmtId="2" fontId="0" fillId="15" borderId="12" xfId="1" applyNumberFormat="1" applyFont="1" applyFill="1" applyBorder="1"/>
    <xf numFmtId="10" fontId="0" fillId="15" borderId="5" xfId="17" applyNumberFormat="1" applyFont="1" applyFill="1" applyBorder="1"/>
    <xf numFmtId="2" fontId="0" fillId="15" borderId="13" xfId="1" applyNumberFormat="1" applyFont="1" applyFill="1" applyBorder="1"/>
    <xf numFmtId="10" fontId="0" fillId="15" borderId="0" xfId="17" applyNumberFormat="1" applyFont="1" applyFill="1" applyBorder="1"/>
    <xf numFmtId="10" fontId="0" fillId="15" borderId="13" xfId="17" applyNumberFormat="1" applyFont="1" applyFill="1" applyBorder="1" applyAlignment="1">
      <alignment horizontal="center"/>
    </xf>
    <xf numFmtId="2" fontId="0" fillId="15" borderId="15" xfId="1" applyNumberFormat="1" applyFont="1" applyFill="1" applyBorder="1"/>
    <xf numFmtId="10" fontId="0" fillId="15" borderId="12" xfId="17" applyNumberFormat="1" applyFont="1" applyFill="1" applyBorder="1"/>
    <xf numFmtId="10" fontId="0" fillId="15" borderId="2" xfId="17" applyNumberFormat="1" applyFont="1" applyFill="1" applyBorder="1" applyAlignment="1">
      <alignment horizontal="center"/>
    </xf>
    <xf numFmtId="14" fontId="0" fillId="0" borderId="0" xfId="1" applyNumberFormat="1" applyFont="1" applyFill="1"/>
    <xf numFmtId="0" fontId="0" fillId="15" borderId="12" xfId="1" applyFont="1" applyFill="1" applyBorder="1"/>
    <xf numFmtId="4" fontId="0" fillId="15" borderId="4" xfId="1" applyNumberFormat="1" applyFont="1" applyFill="1" applyBorder="1" applyAlignment="1">
      <alignment horizontal="right"/>
    </xf>
    <xf numFmtId="10" fontId="0" fillId="15" borderId="12" xfId="17" applyNumberFormat="1" applyFont="1" applyFill="1" applyBorder="1" applyAlignment="1">
      <alignment horizontal="center" vertical="center" wrapText="1"/>
    </xf>
    <xf numFmtId="0" fontId="0" fillId="15" borderId="11" xfId="1" applyFont="1" applyFill="1" applyBorder="1"/>
    <xf numFmtId="4" fontId="0" fillId="15" borderId="11" xfId="1" applyNumberFormat="1" applyFont="1" applyFill="1" applyBorder="1" applyAlignment="1">
      <alignment horizontal="right"/>
    </xf>
    <xf numFmtId="0" fontId="0" fillId="15" borderId="13" xfId="1" applyFont="1" applyFill="1" applyBorder="1"/>
    <xf numFmtId="4" fontId="0" fillId="15" borderId="12" xfId="1" applyNumberFormat="1" applyFont="1" applyFill="1" applyBorder="1" applyAlignment="1">
      <alignment horizontal="right"/>
    </xf>
    <xf numFmtId="0" fontId="0" fillId="15" borderId="10" xfId="1" applyFont="1" applyFill="1" applyBorder="1"/>
    <xf numFmtId="0" fontId="55" fillId="15" borderId="12" xfId="8" applyFont="1" applyFill="1" applyBorder="1"/>
    <xf numFmtId="0" fontId="3" fillId="23" borderId="12" xfId="1" applyFont="1" applyFill="1" applyBorder="1" applyAlignment="1">
      <alignment horizontal="center" vertical="center"/>
    </xf>
    <xf numFmtId="0" fontId="0" fillId="23" borderId="12" xfId="1" applyFont="1" applyFill="1" applyBorder="1"/>
    <xf numFmtId="10" fontId="0" fillId="23" borderId="12" xfId="17" applyNumberFormat="1" applyFont="1" applyFill="1" applyBorder="1" applyAlignment="1">
      <alignment vertical="center" wrapText="1"/>
    </xf>
    <xf numFmtId="0" fontId="3" fillId="23" borderId="13" xfId="1" applyFont="1" applyFill="1" applyBorder="1" applyAlignment="1">
      <alignment horizontal="center" vertical="center"/>
    </xf>
    <xf numFmtId="0" fontId="0" fillId="23" borderId="13" xfId="1" applyFont="1" applyFill="1" applyBorder="1"/>
    <xf numFmtId="0" fontId="0" fillId="23" borderId="10" xfId="1" applyFont="1" applyFill="1" applyBorder="1"/>
    <xf numFmtId="10" fontId="2" fillId="23" borderId="2" xfId="1" applyNumberFormat="1" applyFont="1" applyFill="1" applyBorder="1" applyAlignment="1">
      <alignment horizontal="center"/>
    </xf>
    <xf numFmtId="0" fontId="0" fillId="23" borderId="4" xfId="1" applyFont="1" applyFill="1" applyBorder="1"/>
    <xf numFmtId="0" fontId="0" fillId="23" borderId="5" xfId="1" applyFont="1" applyFill="1" applyBorder="1"/>
    <xf numFmtId="4" fontId="0" fillId="23" borderId="5" xfId="1" applyNumberFormat="1" applyFont="1" applyFill="1" applyBorder="1"/>
    <xf numFmtId="10" fontId="0" fillId="23" borderId="5" xfId="17" applyNumberFormat="1" applyFont="1" applyFill="1" applyBorder="1" applyAlignment="1">
      <alignment horizontal="center" vertical="center" wrapText="1"/>
    </xf>
    <xf numFmtId="10" fontId="0" fillId="23" borderId="8" xfId="17" applyNumberFormat="1" applyFont="1" applyFill="1" applyBorder="1" applyAlignment="1">
      <alignment horizontal="center" vertical="center" wrapText="1"/>
    </xf>
    <xf numFmtId="0" fontId="0" fillId="23" borderId="0" xfId="1" applyFont="1" applyFill="1" applyBorder="1"/>
    <xf numFmtId="4" fontId="0" fillId="23" borderId="0" xfId="1" applyNumberFormat="1" applyFont="1" applyFill="1" applyBorder="1"/>
    <xf numFmtId="4" fontId="2" fillId="23" borderId="0" xfId="1" applyNumberFormat="1" applyFont="1" applyFill="1" applyBorder="1" applyAlignment="1">
      <alignment horizontal="right"/>
    </xf>
    <xf numFmtId="14" fontId="0" fillId="23" borderId="0" xfId="17" applyNumberFormat="1" applyFont="1" applyFill="1" applyBorder="1" applyAlignment="1">
      <alignment horizontal="center" vertical="center" wrapText="1"/>
    </xf>
    <xf numFmtId="10" fontId="0" fillId="23" borderId="14" xfId="17" applyNumberFormat="1" applyFont="1" applyFill="1" applyBorder="1" applyAlignment="1">
      <alignment horizontal="center" vertical="center" wrapText="1"/>
    </xf>
    <xf numFmtId="10" fontId="1" fillId="23" borderId="0" xfId="17" applyNumberFormat="1" applyFont="1" applyFill="1" applyBorder="1" applyAlignment="1">
      <alignment horizontal="center"/>
    </xf>
    <xf numFmtId="0" fontId="12" fillId="23" borderId="13" xfId="12" applyFont="1" applyFill="1" applyBorder="1"/>
    <xf numFmtId="2" fontId="16" fillId="23" borderId="11" xfId="1" applyNumberFormat="1" applyFont="1" applyFill="1" applyBorder="1"/>
    <xf numFmtId="2" fontId="0" fillId="23" borderId="12" xfId="1" applyNumberFormat="1" applyFont="1" applyFill="1" applyBorder="1"/>
    <xf numFmtId="10" fontId="0" fillId="23" borderId="5" xfId="17" applyNumberFormat="1" applyFont="1" applyFill="1" applyBorder="1"/>
    <xf numFmtId="178" fontId="0" fillId="23" borderId="12" xfId="17" applyNumberFormat="1" applyFont="1" applyFill="1" applyBorder="1"/>
    <xf numFmtId="10" fontId="19" fillId="23" borderId="0" xfId="17" applyNumberFormat="1" applyFont="1" applyFill="1" applyBorder="1" applyAlignment="1">
      <alignment horizontal="center"/>
    </xf>
    <xf numFmtId="10" fontId="0" fillId="23" borderId="0" xfId="17" applyNumberFormat="1" applyFont="1" applyFill="1" applyBorder="1"/>
    <xf numFmtId="178" fontId="0" fillId="23" borderId="13" xfId="17" applyNumberFormat="1" applyFont="1" applyFill="1" applyBorder="1"/>
    <xf numFmtId="2" fontId="7" fillId="23" borderId="11" xfId="1" applyNumberFormat="1" applyFont="1" applyFill="1" applyBorder="1"/>
    <xf numFmtId="0" fontId="12" fillId="23" borderId="15" xfId="12" applyFont="1" applyFill="1" applyBorder="1"/>
    <xf numFmtId="9" fontId="3" fillId="23" borderId="12" xfId="1" applyNumberFormat="1" applyFont="1" applyFill="1" applyBorder="1" applyAlignment="1">
      <alignment horizontal="center"/>
    </xf>
    <xf numFmtId="0" fontId="12" fillId="23" borderId="15" xfId="1" applyFont="1" applyFill="1" applyBorder="1"/>
    <xf numFmtId="4" fontId="0" fillId="23" borderId="12" xfId="1" applyNumberFormat="1" applyFont="1" applyFill="1" applyBorder="1"/>
    <xf numFmtId="10" fontId="0" fillId="23" borderId="12" xfId="17" applyNumberFormat="1" applyFont="1" applyFill="1" applyBorder="1"/>
    <xf numFmtId="0" fontId="3" fillId="23" borderId="11" xfId="1" applyFont="1" applyFill="1" applyBorder="1" applyAlignment="1">
      <alignment horizontal="center" vertical="center"/>
    </xf>
    <xf numFmtId="181" fontId="3" fillId="23" borderId="7" xfId="1" applyNumberFormat="1" applyFont="1" applyFill="1" applyBorder="1"/>
    <xf numFmtId="4" fontId="0" fillId="23" borderId="10" xfId="1" applyNumberFormat="1" applyFont="1" applyFill="1" applyBorder="1"/>
    <xf numFmtId="10" fontId="0" fillId="23" borderId="10" xfId="17" applyNumberFormat="1" applyFont="1" applyFill="1" applyBorder="1"/>
    <xf numFmtId="10" fontId="0" fillId="23" borderId="2" xfId="17" applyNumberFormat="1" applyFont="1" applyFill="1" applyBorder="1"/>
    <xf numFmtId="4" fontId="0" fillId="23" borderId="7" xfId="1" applyNumberFormat="1" applyFont="1" applyFill="1" applyBorder="1"/>
    <xf numFmtId="9" fontId="3" fillId="23" borderId="6" xfId="1" applyNumberFormat="1" applyFont="1" applyFill="1" applyBorder="1" applyAlignment="1">
      <alignment horizontal="center"/>
    </xf>
    <xf numFmtId="0" fontId="3" fillId="23" borderId="7" xfId="1" applyFont="1" applyFill="1" applyBorder="1"/>
    <xf numFmtId="4" fontId="5" fillId="23" borderId="7" xfId="1" applyNumberFormat="1" applyFont="1" applyFill="1" applyBorder="1"/>
    <xf numFmtId="10" fontId="5" fillId="23" borderId="10" xfId="17" applyNumberFormat="1" applyFont="1" applyFill="1" applyBorder="1"/>
    <xf numFmtId="10" fontId="5" fillId="23" borderId="14" xfId="17" applyNumberFormat="1" applyFont="1" applyFill="1" applyBorder="1"/>
    <xf numFmtId="10" fontId="2" fillId="23" borderId="10" xfId="17" applyNumberFormat="1" applyFont="1" applyFill="1" applyBorder="1" applyAlignment="1">
      <alignment horizontal="center" vertical="center" wrapText="1"/>
    </xf>
    <xf numFmtId="10" fontId="2" fillId="23" borderId="2" xfId="17" applyNumberFormat="1" applyFont="1" applyFill="1" applyBorder="1" applyAlignment="1">
      <alignment horizontal="center" vertical="center" wrapText="1"/>
    </xf>
    <xf numFmtId="2" fontId="0" fillId="23" borderId="4" xfId="1" applyNumberFormat="1" applyFont="1" applyFill="1" applyBorder="1"/>
    <xf numFmtId="10" fontId="0" fillId="23" borderId="4" xfId="17" applyNumberFormat="1" applyFont="1" applyFill="1" applyBorder="1"/>
    <xf numFmtId="2" fontId="0" fillId="23" borderId="9" xfId="1" applyNumberFormat="1" applyFont="1" applyFill="1" applyBorder="1"/>
    <xf numFmtId="10" fontId="0" fillId="23" borderId="9" xfId="17" applyNumberFormat="1" applyFont="1" applyFill="1" applyBorder="1"/>
    <xf numFmtId="2" fontId="0" fillId="23" borderId="6" xfId="1" applyNumberFormat="1" applyFont="1" applyFill="1" applyBorder="1"/>
    <xf numFmtId="10" fontId="0" fillId="23" borderId="6" xfId="17" applyNumberFormat="1" applyFont="1" applyFill="1" applyBorder="1"/>
    <xf numFmtId="178" fontId="0" fillId="23" borderId="15" xfId="17" applyNumberFormat="1" applyFont="1" applyFill="1" applyBorder="1"/>
    <xf numFmtId="4" fontId="0" fillId="23" borderId="13" xfId="1" applyNumberFormat="1" applyFont="1" applyFill="1" applyBorder="1"/>
    <xf numFmtId="10" fontId="0" fillId="23" borderId="13" xfId="17" applyNumberFormat="1" applyFont="1" applyFill="1" applyBorder="1"/>
    <xf numFmtId="10" fontId="0" fillId="23" borderId="11" xfId="17" applyNumberFormat="1" applyFont="1" applyFill="1" applyBorder="1" applyAlignment="1">
      <alignment horizontal="center"/>
    </xf>
    <xf numFmtId="10" fontId="0" fillId="23" borderId="12" xfId="17" applyNumberFormat="1" applyFont="1" applyFill="1" applyBorder="1" applyAlignment="1">
      <alignment horizontal="center"/>
    </xf>
    <xf numFmtId="2" fontId="16" fillId="23" borderId="12" xfId="1" applyNumberFormat="1" applyFont="1" applyFill="1" applyBorder="1"/>
    <xf numFmtId="2" fontId="19" fillId="23" borderId="13" xfId="1" applyNumberFormat="1" applyFont="1" applyFill="1" applyBorder="1" applyAlignment="1">
      <alignment horizontal="right"/>
    </xf>
    <xf numFmtId="10" fontId="0" fillId="23" borderId="13" xfId="17" applyNumberFormat="1" applyFont="1" applyFill="1" applyBorder="1" applyAlignment="1">
      <alignment horizontal="center"/>
    </xf>
    <xf numFmtId="2" fontId="19" fillId="23" borderId="0" xfId="1" applyNumberFormat="1" applyFont="1" applyFill="1" applyBorder="1" applyAlignment="1">
      <alignment horizontal="right"/>
    </xf>
    <xf numFmtId="181" fontId="3" fillId="23" borderId="15" xfId="1" applyNumberFormat="1" applyFont="1" applyFill="1" applyBorder="1"/>
    <xf numFmtId="10" fontId="0" fillId="23" borderId="2" xfId="17" applyNumberFormat="1" applyFont="1" applyFill="1" applyBorder="1" applyAlignment="1">
      <alignment horizontal="center"/>
    </xf>
    <xf numFmtId="10" fontId="5" fillId="23" borderId="14" xfId="17" applyNumberFormat="1" applyFont="1" applyFill="1" applyBorder="1" applyAlignment="1">
      <alignment horizontal="center"/>
    </xf>
    <xf numFmtId="0" fontId="65" fillId="17" borderId="11" xfId="0" applyFont="1" applyFill="1" applyBorder="1"/>
    <xf numFmtId="186" fontId="0" fillId="0" borderId="0" xfId="0" applyNumberFormat="1" applyAlignment="1">
      <alignment horizontal="right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71" fontId="63" fillId="24" borderId="11" xfId="18" applyNumberFormat="1" applyFill="1" applyBorder="1"/>
    <xf numFmtId="4" fontId="3" fillId="0" borderId="0" xfId="17" applyNumberFormat="1" applyFont="1" applyFill="1" applyBorder="1" applyAlignment="1">
      <alignment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6" fillId="0" borderId="15" xfId="0" applyFont="1" applyBorder="1"/>
    <xf numFmtId="171" fontId="66" fillId="0" borderId="15" xfId="0" applyNumberFormat="1" applyFont="1" applyBorder="1"/>
    <xf numFmtId="0" fontId="65" fillId="0" borderId="15" xfId="0" applyFont="1" applyBorder="1"/>
    <xf numFmtId="179" fontId="65" fillId="0" borderId="0" xfId="0" applyNumberFormat="1" applyFont="1" applyBorder="1"/>
    <xf numFmtId="2" fontId="0" fillId="0" borderId="0" xfId="0" applyNumberFormat="1" applyBorder="1" applyAlignment="1">
      <alignment horizontal="right" indent="5"/>
    </xf>
    <xf numFmtId="179" fontId="0" fillId="0" borderId="11" xfId="0" applyNumberFormat="1" applyBorder="1"/>
    <xf numFmtId="10" fontId="0" fillId="15" borderId="15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0" fillId="15" borderId="0" xfId="17" applyNumberFormat="1" applyFont="1" applyFill="1" applyAlignment="1">
      <alignment horizontal="center"/>
    </xf>
    <xf numFmtId="10" fontId="0" fillId="15" borderId="16" xfId="17" applyNumberFormat="1" applyFont="1" applyFill="1" applyBorder="1" applyAlignment="1">
      <alignment horizontal="center" vertical="center" wrapText="1"/>
    </xf>
    <xf numFmtId="2" fontId="0" fillId="15" borderId="11" xfId="1" applyNumberFormat="1" applyFont="1" applyFill="1" applyBorder="1"/>
    <xf numFmtId="10" fontId="0" fillId="15" borderId="11" xfId="17" applyNumberFormat="1" applyFont="1" applyFill="1" applyBorder="1"/>
    <xf numFmtId="0" fontId="0" fillId="15" borderId="3" xfId="1" applyFont="1" applyFill="1" applyBorder="1"/>
    <xf numFmtId="0" fontId="0" fillId="15" borderId="6" xfId="1" applyFont="1" applyFill="1" applyBorder="1" applyAlignment="1">
      <alignment horizontal="center"/>
    </xf>
    <xf numFmtId="0" fontId="0" fillId="15" borderId="7" xfId="1" applyFont="1" applyFill="1" applyBorder="1" applyAlignment="1">
      <alignment horizontal="center"/>
    </xf>
    <xf numFmtId="0" fontId="0" fillId="15" borderId="7" xfId="1" applyFont="1" applyFill="1" applyBorder="1"/>
    <xf numFmtId="0" fontId="0" fillId="15" borderId="8" xfId="1" applyFont="1" applyFill="1" applyBorder="1"/>
    <xf numFmtId="0" fontId="0" fillId="15" borderId="9" xfId="1" applyFont="1" applyFill="1" applyBorder="1"/>
    <xf numFmtId="0" fontId="0" fillId="15" borderId="16" xfId="1" applyFont="1" applyFill="1" applyBorder="1"/>
    <xf numFmtId="0" fontId="0" fillId="15" borderId="6" xfId="1" applyFont="1" applyFill="1" applyBorder="1"/>
    <xf numFmtId="0" fontId="0" fillId="15" borderId="14" xfId="1" applyFont="1" applyFill="1" applyBorder="1"/>
    <xf numFmtId="0" fontId="0" fillId="15" borderId="10" xfId="1" applyFont="1" applyFill="1" applyBorder="1" applyAlignment="1">
      <alignment horizontal="center"/>
    </xf>
    <xf numFmtId="2" fontId="0" fillId="15" borderId="16" xfId="1" applyNumberFormat="1" applyFont="1" applyFill="1" applyBorder="1"/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" fillId="15" borderId="8" xfId="17" applyNumberFormat="1" applyFont="1" applyFill="1" applyBorder="1" applyAlignment="1">
      <alignment horizontal="center"/>
    </xf>
    <xf numFmtId="2" fontId="19" fillId="15" borderId="4" xfId="1" applyNumberFormat="1" applyFont="1" applyFill="1" applyBorder="1" applyAlignment="1">
      <alignment horizontal="right"/>
    </xf>
    <xf numFmtId="2" fontId="19" fillId="15" borderId="9" xfId="1" applyNumberFormat="1" applyFont="1" applyFill="1" applyBorder="1" applyAlignment="1">
      <alignment horizontal="right"/>
    </xf>
    <xf numFmtId="0" fontId="3" fillId="15" borderId="15" xfId="12" applyFont="1" applyFill="1" applyBorder="1"/>
    <xf numFmtId="2" fontId="19" fillId="15" borderId="6" xfId="1" applyNumberFormat="1" applyFont="1" applyFill="1" applyBorder="1" applyAlignment="1">
      <alignment horizontal="right"/>
    </xf>
    <xf numFmtId="17" fontId="3" fillId="15" borderId="3" xfId="1" applyNumberFormat="1" applyFont="1" applyFill="1" applyBorder="1"/>
    <xf numFmtId="171" fontId="54" fillId="15" borderId="11" xfId="8" applyNumberFormat="1" applyFont="1" applyFill="1" applyBorder="1"/>
    <xf numFmtId="17" fontId="3" fillId="15" borderId="7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73" fontId="19" fillId="15" borderId="4" xfId="1" applyNumberFormat="1" applyFont="1" applyFill="1" applyBorder="1"/>
    <xf numFmtId="10" fontId="1" fillId="15" borderId="11" xfId="17" applyNumberFormat="1" applyFont="1" applyFill="1" applyBorder="1" applyAlignment="1">
      <alignment horizontal="center"/>
    </xf>
    <xf numFmtId="178" fontId="0" fillId="15" borderId="11" xfId="17" applyNumberFormat="1" applyFont="1" applyFill="1" applyBorder="1"/>
    <xf numFmtId="9" fontId="3" fillId="15" borderId="13" xfId="1" applyNumberFormat="1" applyFont="1" applyFill="1" applyBorder="1" applyAlignment="1">
      <alignment horizontal="center"/>
    </xf>
    <xf numFmtId="168" fontId="0" fillId="15" borderId="10" xfId="1" applyNumberFormat="1" applyFont="1" applyFill="1" applyBorder="1"/>
    <xf numFmtId="178" fontId="19" fillId="17" borderId="15" xfId="17" applyNumberFormat="1" applyFont="1" applyFill="1" applyBorder="1"/>
    <xf numFmtId="0" fontId="0" fillId="20" borderId="0" xfId="1" applyFont="1" applyFill="1" applyBorder="1" applyAlignment="1">
      <alignment horizontal="righ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67" fillId="0" borderId="0" xfId="0" applyFont="1"/>
    <xf numFmtId="0" fontId="67" fillId="0" borderId="0" xfId="0" applyFont="1" applyFill="1"/>
    <xf numFmtId="0" fontId="67" fillId="15" borderId="0" xfId="0" applyFont="1" applyFill="1"/>
    <xf numFmtId="0" fontId="0" fillId="15" borderId="13" xfId="1" applyFont="1" applyFill="1" applyBorder="1" applyAlignment="1">
      <alignment horizontal="center" vertical="center"/>
    </xf>
    <xf numFmtId="0" fontId="68" fillId="0" borderId="0" xfId="0" applyFont="1"/>
    <xf numFmtId="0" fontId="68" fillId="15" borderId="0" xfId="0" applyFont="1" applyFill="1"/>
    <xf numFmtId="0" fontId="68" fillId="0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0" fillId="15" borderId="4" xfId="1" applyNumberFormat="1" applyFont="1" applyFill="1" applyBorder="1"/>
    <xf numFmtId="10" fontId="0" fillId="15" borderId="8" xfId="17" applyNumberFormat="1" applyFont="1" applyFill="1" applyBorder="1" applyAlignment="1">
      <alignment horizontal="center"/>
    </xf>
    <xf numFmtId="0" fontId="0" fillId="15" borderId="3" xfId="1" applyFont="1" applyFill="1" applyBorder="1" applyAlignment="1">
      <alignment horizontal="center"/>
    </xf>
    <xf numFmtId="10" fontId="0" fillId="15" borderId="12" xfId="1" applyNumberFormat="1" applyFont="1" applyFill="1" applyBorder="1"/>
    <xf numFmtId="10" fontId="0" fillId="15" borderId="13" xfId="1" applyNumberFormat="1" applyFont="1" applyFill="1" applyBorder="1"/>
    <xf numFmtId="10" fontId="0" fillId="15" borderId="11" xfId="1" applyNumberFormat="1" applyFont="1" applyFill="1" applyBorder="1"/>
    <xf numFmtId="10" fontId="0" fillId="15" borderId="14" xfId="17" applyNumberFormat="1" applyFont="1" applyFill="1" applyBorder="1" applyAlignment="1">
      <alignment horizontal="center"/>
    </xf>
    <xf numFmtId="10" fontId="6" fillId="7" borderId="0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2" fillId="15" borderId="12" xfId="1" applyNumberFormat="1" applyFont="1" applyFill="1" applyBorder="1" applyAlignment="1">
      <alignment horizontal="center"/>
    </xf>
    <xf numFmtId="0" fontId="28" fillId="15" borderId="15" xfId="1" applyFont="1" applyFill="1" applyBorder="1"/>
    <xf numFmtId="4" fontId="5" fillId="15" borderId="12" xfId="1" applyNumberFormat="1" applyFont="1" applyFill="1" applyBorder="1"/>
    <xf numFmtId="4" fontId="5" fillId="15" borderId="13" xfId="1" applyNumberFormat="1" applyFont="1" applyFill="1" applyBorder="1"/>
    <xf numFmtId="10" fontId="5" fillId="15" borderId="12" xfId="17" applyNumberFormat="1" applyFont="1" applyFill="1" applyBorder="1"/>
    <xf numFmtId="10" fontId="0" fillId="15" borderId="0" xfId="17" applyNumberFormat="1" applyFont="1" applyFill="1"/>
    <xf numFmtId="0" fontId="5" fillId="15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7" borderId="16" xfId="17" applyNumberFormat="1" applyFont="1" applyFill="1" applyBorder="1"/>
    <xf numFmtId="166" fontId="16" fillId="17" borderId="13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0" fontId="19" fillId="23" borderId="10" xfId="1" applyFont="1" applyFill="1" applyBorder="1"/>
    <xf numFmtId="4" fontId="3" fillId="23" borderId="12" xfId="1" applyNumberFormat="1" applyFont="1" applyFill="1" applyBorder="1" applyAlignment="1">
      <alignment vertical="center"/>
    </xf>
    <xf numFmtId="165" fontId="19" fillId="23" borderId="3" xfId="1" applyNumberFormat="1" applyFont="1" applyFill="1" applyBorder="1" applyAlignment="1">
      <alignment horizontal="right"/>
    </xf>
    <xf numFmtId="10" fontId="19" fillId="23" borderId="12" xfId="17" applyNumberFormat="1" applyFont="1" applyFill="1" applyBorder="1" applyAlignment="1">
      <alignment horizontal="center" vertical="center" wrapText="1"/>
    </xf>
    <xf numFmtId="4" fontId="3" fillId="23" borderId="13" xfId="1" applyNumberFormat="1" applyFont="1" applyFill="1" applyBorder="1" applyAlignment="1">
      <alignment vertical="center"/>
    </xf>
    <xf numFmtId="4" fontId="19" fillId="23" borderId="3" xfId="1" applyNumberFormat="1" applyFont="1" applyFill="1" applyBorder="1" applyAlignment="1">
      <alignment horizontal="right"/>
    </xf>
    <xf numFmtId="10" fontId="19" fillId="23" borderId="13" xfId="17" applyNumberFormat="1" applyFont="1" applyFill="1" applyBorder="1" applyAlignment="1">
      <alignment horizontal="center" vertical="center" wrapText="1"/>
    </xf>
    <xf numFmtId="4" fontId="3" fillId="23" borderId="15" xfId="1" applyNumberFormat="1" applyFont="1" applyFill="1" applyBorder="1" applyAlignment="1">
      <alignment vertical="center"/>
    </xf>
    <xf numFmtId="10" fontId="19" fillId="23" borderId="15" xfId="17" applyNumberFormat="1" applyFont="1" applyFill="1" applyBorder="1" applyAlignment="1">
      <alignment horizontal="center" vertical="center" wrapText="1"/>
    </xf>
    <xf numFmtId="0" fontId="3" fillId="23" borderId="9" xfId="1" applyFont="1" applyFill="1" applyBorder="1" applyAlignment="1">
      <alignment horizontal="center" vertical="center"/>
    </xf>
    <xf numFmtId="4" fontId="3" fillId="23" borderId="0" xfId="1" applyNumberFormat="1" applyFont="1" applyFill="1" applyBorder="1" applyAlignment="1">
      <alignment vertical="center"/>
    </xf>
    <xf numFmtId="4" fontId="19" fillId="23" borderId="5" xfId="1" applyNumberFormat="1" applyFont="1" applyFill="1" applyBorder="1" applyAlignment="1">
      <alignment horizontal="center"/>
    </xf>
    <xf numFmtId="10" fontId="19" fillId="23" borderId="5" xfId="17" applyNumberFormat="1" applyFont="1" applyFill="1" applyBorder="1" applyAlignment="1">
      <alignment horizontal="center" vertical="center" wrapText="1"/>
    </xf>
    <xf numFmtId="10" fontId="19" fillId="23" borderId="16" xfId="17" applyNumberFormat="1" applyFont="1" applyFill="1" applyBorder="1" applyAlignment="1">
      <alignment horizontal="center" vertical="center" wrapText="1"/>
    </xf>
    <xf numFmtId="17" fontId="0" fillId="2" borderId="0" xfId="1" applyNumberFormat="1" applyFont="1" applyFill="1" applyBorder="1" applyAlignment="1">
      <alignment horizontal="lef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15" fontId="66" fillId="0" borderId="0" xfId="0" applyNumberFormat="1" applyFont="1"/>
    <xf numFmtId="0" fontId="69" fillId="0" borderId="11" xfId="0" applyFont="1" applyBorder="1"/>
    <xf numFmtId="0" fontId="65" fillId="25" borderId="11" xfId="0" applyFont="1" applyFill="1" applyBorder="1"/>
    <xf numFmtId="179" fontId="65" fillId="25" borderId="11" xfId="0" applyNumberFormat="1" applyFont="1" applyFill="1" applyBorder="1"/>
    <xf numFmtId="0" fontId="65" fillId="25" borderId="0" xfId="0" applyFont="1" applyFill="1"/>
    <xf numFmtId="10" fontId="69" fillId="25" borderId="11" xfId="17" applyNumberFormat="1" applyFont="1" applyFill="1" applyBorder="1"/>
    <xf numFmtId="179" fontId="65" fillId="0" borderId="11" xfId="0" applyNumberFormat="1" applyFont="1" applyBorder="1"/>
    <xf numFmtId="10" fontId="69" fillId="0" borderId="11" xfId="17" applyNumberFormat="1" applyFont="1" applyBorder="1"/>
    <xf numFmtId="179" fontId="65" fillId="0" borderId="12" xfId="0" applyNumberFormat="1" applyFont="1" applyBorder="1"/>
    <xf numFmtId="4" fontId="0" fillId="0" borderId="11" xfId="0" applyNumberFormat="1" applyBorder="1"/>
    <xf numFmtId="10" fontId="64" fillId="26" borderId="0" xfId="19" applyNumberFormat="1" applyFill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1" xfId="17" applyNumberFormat="1" applyFont="1" applyFill="1" applyBorder="1" applyAlignment="1">
      <alignment horizontal="center"/>
    </xf>
    <xf numFmtId="10" fontId="16" fillId="15" borderId="3" xfId="17" applyNumberFormat="1" applyFont="1" applyFill="1" applyBorder="1" applyAlignment="1">
      <alignment horizontal="center"/>
    </xf>
    <xf numFmtId="0" fontId="16" fillId="15" borderId="2" xfId="1" applyFont="1" applyFill="1" applyBorder="1"/>
    <xf numFmtId="0" fontId="7" fillId="15" borderId="0" xfId="12" applyFont="1" applyFill="1" applyBorder="1"/>
    <xf numFmtId="10" fontId="33" fillId="15" borderId="13" xfId="1" applyNumberFormat="1" applyFont="1" applyFill="1" applyBorder="1" applyAlignment="1">
      <alignment horizontal="center"/>
    </xf>
    <xf numFmtId="0" fontId="33" fillId="15" borderId="0" xfId="1" applyFont="1" applyFill="1" applyBorder="1"/>
    <xf numFmtId="0" fontId="35" fillId="15" borderId="13" xfId="1" applyFont="1" applyFill="1" applyBorder="1"/>
    <xf numFmtId="10" fontId="33" fillId="15" borderId="9" xfId="17" applyNumberFormat="1" applyFont="1" applyFill="1" applyBorder="1"/>
    <xf numFmtId="0" fontId="1" fillId="15" borderId="13" xfId="12" applyFont="1" applyFill="1" applyBorder="1"/>
    <xf numFmtId="10" fontId="1" fillId="15" borderId="15" xfId="17" applyNumberFormat="1" applyFont="1" applyFill="1" applyBorder="1" applyAlignment="1">
      <alignment horizontal="center"/>
    </xf>
    <xf numFmtId="0" fontId="0" fillId="15" borderId="2" xfId="1" applyFont="1" applyFill="1" applyBorder="1"/>
    <xf numFmtId="0" fontId="0" fillId="15" borderId="12" xfId="1" applyFont="1" applyFill="1" applyBorder="1" applyAlignment="1">
      <alignment horizontal="center" vertical="center"/>
    </xf>
    <xf numFmtId="10" fontId="0" fillId="15" borderId="12" xfId="17" applyNumberFormat="1" applyFont="1" applyFill="1" applyBorder="1" applyAlignment="1">
      <alignment horizontal="center" vertical="center"/>
    </xf>
    <xf numFmtId="10" fontId="0" fillId="15" borderId="8" xfId="17" applyNumberFormat="1" applyFont="1" applyFill="1" applyBorder="1"/>
    <xf numFmtId="10" fontId="0" fillId="15" borderId="16" xfId="17" applyNumberFormat="1" applyFont="1" applyFill="1" applyBorder="1"/>
    <xf numFmtId="171" fontId="16" fillId="15" borderId="13" xfId="1" applyNumberFormat="1" applyFont="1" applyFill="1" applyBorder="1"/>
    <xf numFmtId="10" fontId="0" fillId="15" borderId="14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5" fillId="17" borderId="0" xfId="0" applyFont="1" applyFill="1" applyBorder="1"/>
    <xf numFmtId="0" fontId="5" fillId="17" borderId="0" xfId="0" applyFont="1" applyFill="1" applyBorder="1" applyAlignment="1">
      <alignment horizontal="right"/>
    </xf>
    <xf numFmtId="0" fontId="71" fillId="0" borderId="11" xfId="0" applyFont="1" applyBorder="1"/>
    <xf numFmtId="179" fontId="71" fillId="0" borderId="11" xfId="0" applyNumberFormat="1" applyFont="1" applyBorder="1"/>
    <xf numFmtId="179" fontId="71" fillId="0" borderId="12" xfId="0" applyNumberFormat="1" applyFont="1" applyBorder="1"/>
    <xf numFmtId="0" fontId="71" fillId="0" borderId="12" xfId="0" applyFont="1" applyBorder="1"/>
    <xf numFmtId="0" fontId="65" fillId="19" borderId="11" xfId="0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3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10" fontId="0" fillId="0" borderId="9" xfId="17" applyNumberFormat="1" applyFont="1" applyBorder="1"/>
    <xf numFmtId="10" fontId="0" fillId="0" borderId="16" xfId="0" applyNumberFormat="1" applyBorder="1"/>
    <xf numFmtId="10" fontId="0" fillId="0" borderId="6" xfId="17" applyNumberFormat="1" applyFont="1" applyBorder="1"/>
    <xf numFmtId="10" fontId="0" fillId="0" borderId="14" xfId="0" applyNumberFormat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7" borderId="0" xfId="1" applyFont="1" applyFill="1" applyBorder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5" fillId="15" borderId="3" xfId="1" applyNumberFormat="1" applyFont="1" applyFill="1" applyBorder="1" applyAlignment="1">
      <alignment horizontal="right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2" fontId="16" fillId="15" borderId="11" xfId="1" applyNumberFormat="1" applyFont="1" applyFill="1" applyBorder="1" applyAlignment="1"/>
    <xf numFmtId="4" fontId="3" fillId="15" borderId="13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4" fillId="2" borderId="0" xfId="3" applyFill="1" applyAlignment="1" applyProtection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0" borderId="16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0" fillId="20" borderId="0" xfId="0" applyFill="1" applyBorder="1" applyAlignment="1">
      <alignment horizontal="right"/>
    </xf>
    <xf numFmtId="0" fontId="12" fillId="0" borderId="0" xfId="12" applyFont="1" applyFill="1" applyBorder="1"/>
    <xf numFmtId="0" fontId="9" fillId="6" borderId="0" xfId="9" applyFill="1" applyBorder="1"/>
    <xf numFmtId="0" fontId="19" fillId="6" borderId="0" xfId="12" applyFont="1" applyFill="1" applyBorder="1"/>
    <xf numFmtId="0" fontId="19" fillId="20" borderId="0" xfId="1" applyFont="1" applyFill="1" applyBorder="1" applyAlignment="1">
      <alignment horizontal="right"/>
    </xf>
    <xf numFmtId="0" fontId="0" fillId="6" borderId="0" xfId="0" applyFill="1" applyBorder="1"/>
    <xf numFmtId="0" fontId="0" fillId="8" borderId="0" xfId="0" applyFill="1" applyBorder="1"/>
    <xf numFmtId="166" fontId="0" fillId="20" borderId="0" xfId="1" applyNumberFormat="1" applyFont="1" applyFill="1" applyBorder="1" applyAlignment="1">
      <alignment horizontal="right"/>
    </xf>
    <xf numFmtId="0" fontId="0" fillId="20" borderId="0" xfId="0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" fillId="15" borderId="10" xfId="1" applyNumberFormat="1" applyFont="1" applyFill="1" applyBorder="1"/>
    <xf numFmtId="4" fontId="1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Border="1"/>
    <xf numFmtId="10" fontId="0" fillId="0" borderId="0" xfId="1" applyNumberFormat="1" applyFont="1" applyBorder="1" applyAlignment="1">
      <alignment horizontal="center"/>
    </xf>
    <xf numFmtId="164" fontId="0" fillId="0" borderId="9" xfId="2" applyFont="1" applyFill="1" applyBorder="1" applyAlignment="1">
      <alignment horizontal="center"/>
    </xf>
    <xf numFmtId="4" fontId="3" fillId="0" borderId="9" xfId="1" applyNumberFormat="1" applyFont="1" applyFill="1" applyBorder="1" applyAlignment="1">
      <alignment horizontal="center" vertical="center"/>
    </xf>
    <xf numFmtId="10" fontId="0" fillId="0" borderId="0" xfId="17" applyNumberFormat="1" applyFont="1" applyBorder="1" applyAlignment="1">
      <alignment horizontal="right"/>
    </xf>
    <xf numFmtId="4" fontId="19" fillId="0" borderId="0" xfId="17" applyNumberFormat="1" applyFont="1" applyFill="1" applyBorder="1" applyAlignment="1">
      <alignment vertic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4" xfId="1" applyNumberFormat="1" applyFont="1" applyFill="1" applyBorder="1" applyAlignment="1">
      <alignment vertical="center"/>
    </xf>
    <xf numFmtId="4" fontId="3" fillId="15" borderId="9" xfId="1" applyNumberFormat="1" applyFont="1" applyFill="1" applyBorder="1" applyAlignment="1">
      <alignment vertical="center"/>
    </xf>
    <xf numFmtId="4" fontId="3" fillId="15" borderId="6" xfId="1" applyNumberFormat="1" applyFont="1" applyFill="1" applyBorder="1" applyAlignment="1">
      <alignment vertical="center"/>
    </xf>
    <xf numFmtId="10" fontId="70" fillId="15" borderId="2" xfId="17" applyNumberFormat="1" applyFont="1" applyFill="1" applyBorder="1" applyAlignment="1">
      <alignment horizontal="center"/>
    </xf>
    <xf numFmtId="2" fontId="0" fillId="2" borderId="0" xfId="1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right"/>
    </xf>
    <xf numFmtId="0" fontId="7" fillId="0" borderId="9" xfId="12" applyFont="1" applyFill="1" applyBorder="1"/>
    <xf numFmtId="0" fontId="7" fillId="0" borderId="6" xfId="12" applyFont="1" applyFill="1" applyBorder="1"/>
    <xf numFmtId="2" fontId="7" fillId="0" borderId="12" xfId="1" applyNumberFormat="1" applyFont="1" applyFill="1" applyBorder="1"/>
    <xf numFmtId="0" fontId="0" fillId="0" borderId="13" xfId="0" applyFont="1" applyFill="1" applyBorder="1"/>
    <xf numFmtId="2" fontId="7" fillId="0" borderId="15" xfId="1" applyNumberFormat="1" applyFont="1" applyFill="1" applyBorder="1"/>
    <xf numFmtId="9" fontId="2" fillId="0" borderId="12" xfId="1" applyNumberFormat="1" applyFont="1" applyFill="1" applyBorder="1" applyAlignment="1">
      <alignment horizontal="center"/>
    </xf>
    <xf numFmtId="0" fontId="72" fillId="0" borderId="15" xfId="1" applyFont="1" applyFill="1" applyBorder="1"/>
    <xf numFmtId="4" fontId="5" fillId="0" borderId="13" xfId="1" applyNumberFormat="1" applyFont="1" applyFill="1" applyBorder="1"/>
    <xf numFmtId="10" fontId="5" fillId="0" borderId="13" xfId="17" applyNumberFormat="1" applyFont="1" applyFill="1" applyBorder="1"/>
    <xf numFmtId="10" fontId="5" fillId="0" borderId="13" xfId="17" applyNumberFormat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 vertical="center"/>
    </xf>
    <xf numFmtId="181" fontId="1" fillId="0" borderId="7" xfId="1" applyNumberFormat="1" applyFont="1" applyFill="1" applyBorder="1"/>
    <xf numFmtId="4" fontId="1" fillId="0" borderId="10" xfId="1" applyNumberFormat="1" applyFont="1" applyFill="1" applyBorder="1"/>
    <xf numFmtId="10" fontId="1" fillId="0" borderId="10" xfId="17" applyNumberFormat="1" applyFont="1" applyFill="1" applyBorder="1"/>
    <xf numFmtId="10" fontId="1" fillId="0" borderId="2" xfId="17" applyNumberFormat="1" applyFont="1" applyFill="1" applyBorder="1" applyAlignment="1">
      <alignment horizontal="center"/>
    </xf>
    <xf numFmtId="4" fontId="1" fillId="0" borderId="7" xfId="1" applyNumberFormat="1" applyFont="1" applyFill="1" applyBorder="1"/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8" fillId="0" borderId="0" xfId="1" applyFont="1" applyFill="1"/>
    <xf numFmtId="10" fontId="68" fillId="0" borderId="0" xfId="17" applyNumberFormat="1" applyFont="1" applyFill="1"/>
    <xf numFmtId="190" fontId="0" fillId="0" borderId="0" xfId="1" applyNumberFormat="1" applyFont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73" fillId="0" borderId="12" xfId="1" applyNumberFormat="1" applyFont="1" applyFill="1" applyBorder="1" applyAlignment="1">
      <alignment horizontal="center"/>
    </xf>
    <xf numFmtId="0" fontId="74" fillId="0" borderId="15" xfId="1" applyFont="1" applyFill="1" applyBorder="1"/>
    <xf numFmtId="4" fontId="70" fillId="0" borderId="13" xfId="1" applyNumberFormat="1" applyFont="1" applyFill="1" applyBorder="1"/>
    <xf numFmtId="10" fontId="70" fillId="0" borderId="12" xfId="17" applyNumberFormat="1" applyFont="1" applyFill="1" applyBorder="1"/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68" fillId="0" borderId="0" xfId="1" applyFont="1" applyFill="1" applyBorder="1"/>
    <xf numFmtId="10" fontId="68" fillId="0" borderId="0" xfId="1" applyNumberFormat="1" applyFont="1" applyFill="1" applyBorder="1"/>
    <xf numFmtId="10" fontId="68" fillId="0" borderId="0" xfId="0" applyNumberFormat="1" applyFont="1" applyFill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7" fillId="17" borderId="9" xfId="12" applyFont="1" applyFill="1" applyBorder="1"/>
    <xf numFmtId="0" fontId="7" fillId="17" borderId="6" xfId="12" applyFont="1" applyFill="1" applyBorder="1"/>
    <xf numFmtId="2" fontId="7" fillId="17" borderId="12" xfId="1" applyNumberFormat="1" applyFont="1" applyFill="1" applyBorder="1"/>
    <xf numFmtId="0" fontId="0" fillId="17" borderId="13" xfId="0" applyFont="1" applyFill="1" applyBorder="1"/>
    <xf numFmtId="2" fontId="7" fillId="17" borderId="15" xfId="1" applyNumberFormat="1" applyFont="1" applyFill="1" applyBorder="1"/>
    <xf numFmtId="9" fontId="2" fillId="17" borderId="12" xfId="1" applyNumberFormat="1" applyFont="1" applyFill="1" applyBorder="1" applyAlignment="1">
      <alignment horizontal="center"/>
    </xf>
    <xf numFmtId="0" fontId="72" fillId="17" borderId="15" xfId="1" applyFont="1" applyFill="1" applyBorder="1"/>
    <xf numFmtId="4" fontId="5" fillId="17" borderId="13" xfId="1" applyNumberFormat="1" applyFont="1" applyFill="1" applyBorder="1"/>
    <xf numFmtId="10" fontId="5" fillId="17" borderId="13" xfId="17" applyNumberFormat="1" applyFont="1" applyFill="1" applyBorder="1"/>
    <xf numFmtId="10" fontId="5" fillId="17" borderId="13" xfId="17" applyNumberFormat="1" applyFont="1" applyFill="1" applyBorder="1" applyAlignment="1">
      <alignment horizontal="center"/>
    </xf>
    <xf numFmtId="0" fontId="1" fillId="17" borderId="11" xfId="1" applyFont="1" applyFill="1" applyBorder="1" applyAlignment="1">
      <alignment horizontal="center" vertical="center"/>
    </xf>
    <xf numFmtId="181" fontId="1" fillId="17" borderId="7" xfId="1" applyNumberFormat="1" applyFont="1" applyFill="1" applyBorder="1"/>
    <xf numFmtId="4" fontId="1" fillId="17" borderId="10" xfId="1" applyNumberFormat="1" applyFont="1" applyFill="1" applyBorder="1"/>
    <xf numFmtId="4" fontId="1" fillId="17" borderId="7" xfId="1" applyNumberFormat="1" applyFont="1" applyFill="1" applyBorder="1"/>
    <xf numFmtId="10" fontId="1" fillId="17" borderId="10" xfId="17" applyNumberFormat="1" applyFont="1" applyFill="1" applyBorder="1"/>
    <xf numFmtId="10" fontId="1" fillId="17" borderId="2" xfId="17" applyNumberFormat="1" applyFont="1" applyFill="1" applyBorder="1" applyAlignment="1">
      <alignment horizontal="center"/>
    </xf>
    <xf numFmtId="167" fontId="68" fillId="0" borderId="0" xfId="17" applyNumberFormat="1" applyFont="1" applyFill="1" applyBorder="1"/>
    <xf numFmtId="0" fontId="68" fillId="0" borderId="0" xfId="0" applyFont="1" applyFill="1" applyBorder="1"/>
    <xf numFmtId="4" fontId="68" fillId="0" borderId="0" xfId="1" applyNumberFormat="1" applyFont="1" applyFill="1" applyBorder="1" applyAlignment="1">
      <alignment horizontal="right" vertical="center"/>
    </xf>
    <xf numFmtId="4" fontId="68" fillId="0" borderId="0" xfId="17" applyNumberFormat="1" applyFont="1" applyFill="1" applyBorder="1"/>
    <xf numFmtId="10" fontId="68" fillId="0" borderId="0" xfId="17" applyNumberFormat="1" applyFont="1" applyFill="1" applyBorder="1"/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0" fillId="0" borderId="16" xfId="17" applyNumberFormat="1" applyFont="1" applyFill="1" applyBorder="1" applyAlignment="1">
      <alignment horizontal="center"/>
    </xf>
    <xf numFmtId="9" fontId="0" fillId="0" borderId="16" xfId="17" applyFont="1" applyFill="1" applyBorder="1" applyAlignment="1">
      <alignment horizontal="center"/>
    </xf>
    <xf numFmtId="14" fontId="50" fillId="7" borderId="13" xfId="1" applyNumberFormat="1" applyFont="1" applyFill="1" applyBorder="1" applyAlignment="1">
      <alignment horizontal="center" vertical="center"/>
    </xf>
    <xf numFmtId="10" fontId="0" fillId="0" borderId="13" xfId="1" applyNumberFormat="1" applyFont="1" applyBorder="1" applyAlignment="1">
      <alignment horizontal="right"/>
    </xf>
    <xf numFmtId="10" fontId="0" fillId="0" borderId="13" xfId="17" applyNumberFormat="1" applyFont="1" applyBorder="1" applyAlignment="1">
      <alignment horizontal="right"/>
    </xf>
    <xf numFmtId="10" fontId="19" fillId="0" borderId="16" xfId="17" applyNumberFormat="1" applyFont="1" applyBorder="1"/>
    <xf numFmtId="0" fontId="1" fillId="0" borderId="0" xfId="0" applyFont="1"/>
    <xf numFmtId="0" fontId="1" fillId="0" borderId="0" xfId="1" applyFont="1" applyFill="1"/>
    <xf numFmtId="0" fontId="1" fillId="0" borderId="0" xfId="0" applyFont="1" applyFill="1"/>
    <xf numFmtId="10" fontId="6" fillId="7" borderId="9" xfId="17" applyNumberFormat="1" applyFont="1" applyFill="1" applyBorder="1" applyAlignment="1">
      <alignment horizontal="center" vertical="center"/>
    </xf>
    <xf numFmtId="0" fontId="17" fillId="7" borderId="16" xfId="1" applyFont="1" applyFill="1" applyBorder="1" applyAlignment="1">
      <alignment horizontal="center" vertical="center"/>
    </xf>
    <xf numFmtId="1" fontId="0" fillId="0" borderId="9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19" fillId="0" borderId="9" xfId="1" applyFont="1" applyFill="1" applyBorder="1" applyAlignment="1">
      <alignment horizontal="center" vertical="center"/>
    </xf>
    <xf numFmtId="0" fontId="19" fillId="0" borderId="16" xfId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4" fontId="6" fillId="7" borderId="9" xfId="1" applyNumberFormat="1" applyFont="1" applyFill="1" applyBorder="1" applyAlignment="1">
      <alignment horizontal="center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 wrapText="1"/>
    </xf>
    <xf numFmtId="172" fontId="6" fillId="7" borderId="0" xfId="17" applyNumberFormat="1" applyFont="1" applyFill="1" applyBorder="1" applyAlignment="1">
      <alignment horizontal="center" vertical="center" wrapText="1"/>
    </xf>
    <xf numFmtId="172" fontId="6" fillId="7" borderId="16" xfId="17" applyNumberFormat="1" applyFont="1" applyFill="1" applyBorder="1" applyAlignment="1">
      <alignment horizontal="center" vertical="center" wrapText="1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3" fontId="6" fillId="7" borderId="9" xfId="1" applyNumberFormat="1" applyFont="1" applyFill="1" applyBorder="1" applyAlignment="1">
      <alignment horizontal="center" vertical="center"/>
    </xf>
    <xf numFmtId="3" fontId="6" fillId="7" borderId="16" xfId="1" applyNumberFormat="1" applyFont="1" applyFill="1" applyBorder="1" applyAlignment="1">
      <alignment horizontal="center" vertical="center"/>
    </xf>
    <xf numFmtId="0" fontId="5" fillId="6" borderId="16" xfId="1" applyFont="1" applyFill="1" applyBorder="1" applyAlignment="1">
      <alignment horizontal="center" vertical="center"/>
    </xf>
    <xf numFmtId="0" fontId="0" fillId="6" borderId="16" xfId="1" applyFont="1" applyFill="1" applyBorder="1" applyAlignment="1">
      <alignment horizontal="center" vertical="center"/>
    </xf>
    <xf numFmtId="0" fontId="2" fillId="6" borderId="11" xfId="1" applyFont="1" applyFill="1" applyBorder="1" applyAlignment="1">
      <alignment horizontal="center" vertical="center" wrapText="1"/>
    </xf>
    <xf numFmtId="0" fontId="0" fillId="2" borderId="0" xfId="1" applyNumberFormat="1" applyFont="1" applyFill="1" applyAlignment="1">
      <alignment horizontal="center" wrapText="1"/>
    </xf>
    <xf numFmtId="0" fontId="2" fillId="6" borderId="11" xfId="1" applyFont="1" applyFill="1" applyBorder="1" applyAlignment="1">
      <alignment horizontal="right" vertical="center" wrapText="1"/>
    </xf>
    <xf numFmtId="0" fontId="17" fillId="7" borderId="9" xfId="1" applyFont="1" applyFill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 wrapText="1"/>
    </xf>
    <xf numFmtId="0" fontId="2" fillId="6" borderId="6" xfId="1" applyFont="1" applyFill="1" applyBorder="1" applyAlignment="1">
      <alignment horizontal="center" vertical="center" wrapText="1"/>
    </xf>
    <xf numFmtId="0" fontId="2" fillId="6" borderId="3" xfId="1" applyFont="1" applyFill="1" applyBorder="1" applyAlignment="1">
      <alignment horizontal="center" vertical="center" wrapText="1"/>
    </xf>
    <xf numFmtId="0" fontId="2" fillId="6" borderId="12" xfId="1" applyFont="1" applyFill="1" applyBorder="1" applyAlignment="1">
      <alignment horizontal="center" vertical="center" wrapText="1"/>
    </xf>
    <xf numFmtId="0" fontId="0" fillId="0" borderId="15" xfId="1" applyFont="1" applyBorder="1" applyAlignment="1">
      <alignment horizontal="center" vertical="center" wrapText="1"/>
    </xf>
    <xf numFmtId="10" fontId="2" fillId="6" borderId="2" xfId="17" applyNumberFormat="1" applyFont="1" applyFill="1" applyBorder="1" applyAlignment="1">
      <alignment horizontal="right" vertical="center" wrapText="1"/>
    </xf>
    <xf numFmtId="10" fontId="2" fillId="6" borderId="11" xfId="17" applyNumberFormat="1" applyFont="1" applyFill="1" applyBorder="1" applyAlignment="1">
      <alignment horizontal="right" vertical="center" wrapText="1"/>
    </xf>
    <xf numFmtId="10" fontId="2" fillId="6" borderId="12" xfId="1" applyNumberFormat="1" applyFont="1" applyFill="1" applyBorder="1" applyAlignment="1">
      <alignment horizontal="center" vertical="center" wrapText="1"/>
    </xf>
    <xf numFmtId="10" fontId="0" fillId="0" borderId="13" xfId="1" applyNumberFormat="1" applyFont="1" applyBorder="1" applyAlignment="1">
      <alignment horizontal="center" vertic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0" fontId="2" fillId="7" borderId="3" xfId="12" applyFont="1" applyFill="1" applyBorder="1" applyAlignment="1">
      <alignment horizontal="left"/>
    </xf>
    <xf numFmtId="0" fontId="2" fillId="7" borderId="10" xfId="12" applyFont="1" applyFill="1" applyBorder="1" applyAlignment="1">
      <alignment horizontal="left"/>
    </xf>
    <xf numFmtId="10" fontId="19" fillId="7" borderId="5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7" borderId="7" xfId="17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3" xfId="17" applyNumberFormat="1" applyFont="1" applyFill="1" applyBorder="1" applyAlignment="1">
      <alignment horizontal="center" vertical="center"/>
    </xf>
    <xf numFmtId="10" fontId="19" fillId="15" borderId="15" xfId="17" applyNumberFormat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10" fontId="1" fillId="7" borderId="8" xfId="17" applyNumberFormat="1" applyFill="1" applyBorder="1" applyAlignment="1">
      <alignment horizontal="center" vertical="center"/>
    </xf>
    <xf numFmtId="10" fontId="1" fillId="7" borderId="16" xfId="17" applyNumberFormat="1" applyFill="1" applyBorder="1" applyAlignment="1">
      <alignment horizontal="center" vertical="center"/>
    </xf>
    <xf numFmtId="10" fontId="1" fillId="7" borderId="14" xfId="17" applyNumberFormat="1" applyFill="1" applyBorder="1" applyAlignment="1">
      <alignment horizontal="center" vertical="center"/>
    </xf>
    <xf numFmtId="10" fontId="5" fillId="5" borderId="12" xfId="17" applyNumberFormat="1" applyFont="1" applyFill="1" applyBorder="1" applyAlignment="1">
      <alignment horizontal="center" vertical="center" wrapText="1"/>
    </xf>
    <xf numFmtId="10" fontId="5" fillId="5" borderId="13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" fillId="7" borderId="12" xfId="17" applyNumberFormat="1" applyFill="1" applyBorder="1" applyAlignment="1">
      <alignment horizontal="center" vertical="center"/>
    </xf>
    <xf numFmtId="10" fontId="1" fillId="7" borderId="13" xfId="17" applyNumberFormat="1" applyFill="1" applyBorder="1" applyAlignment="1">
      <alignment horizontal="center" vertical="center"/>
    </xf>
    <xf numFmtId="10" fontId="1" fillId="7" borderId="15" xfId="17" applyNumberFormat="1" applyFill="1" applyBorder="1" applyAlignment="1">
      <alignment horizontal="center" vertical="center"/>
    </xf>
    <xf numFmtId="10" fontId="19" fillId="7" borderId="5" xfId="1" applyNumberFormat="1" applyFont="1" applyFill="1" applyBorder="1" applyAlignment="1">
      <alignment horizontal="center" vertical="center"/>
    </xf>
    <xf numFmtId="0" fontId="19" fillId="7" borderId="5" xfId="1" applyFont="1" applyFill="1" applyBorder="1" applyAlignment="1">
      <alignment horizontal="center" vertic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" fillId="7" borderId="8" xfId="17" applyNumberFormat="1" applyFont="1" applyFill="1" applyBorder="1" applyAlignment="1">
      <alignment horizontal="center" vertical="center"/>
    </xf>
    <xf numFmtId="10" fontId="1" fillId="7" borderId="14" xfId="17" applyNumberFormat="1" applyFont="1" applyFill="1" applyBorder="1" applyAlignment="1">
      <alignment horizontal="center" vertical="center"/>
    </xf>
    <xf numFmtId="10" fontId="1" fillId="7" borderId="5" xfId="17" applyNumberFormat="1" applyFont="1" applyFill="1" applyBorder="1" applyAlignment="1">
      <alignment horizontal="center" vertical="center"/>
    </xf>
    <xf numFmtId="10" fontId="1" fillId="7" borderId="7" xfId="17" applyNumberFormat="1" applyFont="1" applyFill="1" applyBorder="1" applyAlignment="1">
      <alignment horizontal="center" vertical="center"/>
    </xf>
    <xf numFmtId="10" fontId="1" fillId="7" borderId="8" xfId="17" applyNumberFormat="1" applyFont="1" applyFill="1" applyBorder="1" applyAlignment="1">
      <alignment horizontal="center" vertical="center" wrapText="1"/>
    </xf>
    <xf numFmtId="10" fontId="1" fillId="7" borderId="14" xfId="17" applyNumberFormat="1" applyFont="1" applyFill="1" applyBorder="1" applyAlignment="1">
      <alignment horizontal="center" vertical="center" wrapText="1"/>
    </xf>
    <xf numFmtId="0" fontId="19" fillId="7" borderId="48" xfId="1" applyFont="1" applyFill="1" applyBorder="1" applyAlignment="1">
      <alignment horizontal="center"/>
    </xf>
    <xf numFmtId="0" fontId="19" fillId="7" borderId="49" xfId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 vertical="center" wrapText="1"/>
    </xf>
    <xf numFmtId="0" fontId="19" fillId="7" borderId="50" xfId="1" applyFont="1" applyFill="1" applyBorder="1" applyAlignment="1"/>
    <xf numFmtId="0" fontId="19" fillId="7" borderId="6" xfId="1" applyFont="1" applyFill="1" applyBorder="1" applyAlignment="1"/>
    <xf numFmtId="0" fontId="19" fillId="7" borderId="21" xfId="1" applyFont="1" applyFill="1" applyBorder="1" applyAlignment="1"/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7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9" fontId="19" fillId="7" borderId="11" xfId="17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left"/>
    </xf>
    <xf numFmtId="0" fontId="2" fillId="7" borderId="7" xfId="1" applyFont="1" applyFill="1" applyBorder="1" applyAlignment="1">
      <alignment horizontal="left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7" borderId="12" xfId="1" applyNumberFormat="1" applyFont="1" applyFill="1" applyBorder="1" applyAlignment="1">
      <alignment horizontal="center"/>
    </xf>
    <xf numFmtId="0" fontId="19" fillId="15" borderId="15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5" fillId="7" borderId="45" xfId="17" applyNumberFormat="1" applyFont="1" applyFill="1" applyBorder="1" applyAlignment="1">
      <alignment horizontal="center" vertical="center" wrapText="1"/>
    </xf>
    <xf numFmtId="10" fontId="19" fillId="7" borderId="46" xfId="17" applyNumberFormat="1" applyFont="1" applyFill="1" applyBorder="1" applyAlignment="1">
      <alignment horizontal="center"/>
    </xf>
    <xf numFmtId="10" fontId="19" fillId="7" borderId="47" xfId="17" applyNumberFormat="1" applyFont="1" applyFill="1" applyBorder="1" applyAlignment="1">
      <alignment horizontal="center"/>
    </xf>
    <xf numFmtId="10" fontId="19" fillId="7" borderId="46" xfId="17" applyNumberFormat="1" applyFont="1" applyFill="1" applyBorder="1" applyAlignment="1">
      <alignment horizontal="center" vertical="center" wrapText="1"/>
    </xf>
    <xf numFmtId="10" fontId="36" fillId="7" borderId="5" xfId="17" applyNumberFormat="1" applyFont="1" applyFill="1" applyBorder="1" applyAlignment="1">
      <alignment horizontal="center" vertical="center"/>
    </xf>
    <xf numFmtId="10" fontId="36" fillId="7" borderId="0" xfId="17" applyNumberFormat="1" applyFont="1" applyFill="1" applyBorder="1" applyAlignment="1">
      <alignment horizontal="center" vertical="center"/>
    </xf>
    <xf numFmtId="10" fontId="36" fillId="7" borderId="7" xfId="17" applyNumberFormat="1" applyFont="1" applyFill="1" applyBorder="1" applyAlignment="1">
      <alignment horizontal="center" vertical="center"/>
    </xf>
    <xf numFmtId="10" fontId="36" fillId="7" borderId="8" xfId="17" applyNumberFormat="1" applyFont="1" applyFill="1" applyBorder="1" applyAlignment="1">
      <alignment horizontal="center" vertical="center"/>
    </xf>
    <xf numFmtId="10" fontId="36" fillId="7" borderId="16" xfId="17" applyNumberFormat="1" applyFont="1" applyFill="1" applyBorder="1" applyAlignment="1">
      <alignment horizontal="center" vertical="center"/>
    </xf>
    <xf numFmtId="10" fontId="36" fillId="7" borderId="14" xfId="17" applyNumberFormat="1" applyFont="1" applyFill="1" applyBorder="1" applyAlignment="1">
      <alignment horizontal="center" vertical="center"/>
    </xf>
    <xf numFmtId="10" fontId="24" fillId="5" borderId="12" xfId="17" applyNumberFormat="1" applyFont="1" applyFill="1" applyBorder="1" applyAlignment="1">
      <alignment horizontal="center" vertical="center"/>
    </xf>
    <xf numFmtId="10" fontId="24" fillId="5" borderId="13" xfId="17" applyNumberFormat="1" applyFont="1" applyFill="1" applyBorder="1" applyAlignment="1">
      <alignment horizontal="center" vertical="center"/>
    </xf>
    <xf numFmtId="10" fontId="24" fillId="5" borderId="15" xfId="17" applyNumberFormat="1" applyFont="1" applyFill="1" applyBorder="1" applyAlignment="1">
      <alignment horizontal="center" vertical="center"/>
    </xf>
    <xf numFmtId="0" fontId="56" fillId="7" borderId="3" xfId="1" applyFont="1" applyFill="1" applyBorder="1" applyAlignment="1">
      <alignment horizontal="left"/>
    </xf>
    <xf numFmtId="0" fontId="56" fillId="7" borderId="10" xfId="1" applyFont="1" applyFill="1" applyBorder="1" applyAlignment="1">
      <alignment horizontal="left"/>
    </xf>
    <xf numFmtId="10" fontId="1" fillId="7" borderId="5" xfId="17" applyNumberFormat="1" applyFill="1" applyBorder="1" applyAlignment="1">
      <alignment horizontal="center" vertical="center"/>
    </xf>
    <xf numFmtId="10" fontId="1" fillId="7" borderId="0" xfId="17" applyNumberFormat="1" applyFill="1" applyBorder="1" applyAlignment="1">
      <alignment horizontal="center" vertical="center"/>
    </xf>
    <xf numFmtId="10" fontId="1" fillId="7" borderId="7" xfId="17" applyNumberFormat="1" applyFill="1" applyBorder="1" applyAlignment="1">
      <alignment horizontal="center" vertical="center"/>
    </xf>
    <xf numFmtId="0" fontId="0" fillId="15" borderId="3" xfId="0" applyFill="1" applyBorder="1"/>
    <xf numFmtId="0" fontId="0" fillId="15" borderId="10" xfId="0" applyFill="1" applyBorder="1"/>
    <xf numFmtId="0" fontId="19" fillId="15" borderId="7" xfId="1" applyFont="1" applyFill="1" applyBorder="1" applyAlignment="1">
      <alignment horizontal="center" vertical="center" wrapText="1"/>
    </xf>
    <xf numFmtId="165" fontId="0" fillId="0" borderId="10" xfId="1" applyNumberFormat="1" applyFont="1" applyBorder="1" applyAlignment="1">
      <alignment horizontal="center"/>
    </xf>
    <xf numFmtId="4" fontId="19" fillId="7" borderId="10" xfId="1" applyNumberFormat="1" applyFont="1" applyFill="1" applyBorder="1" applyAlignment="1">
      <alignment horizontal="center"/>
    </xf>
    <xf numFmtId="0" fontId="2" fillId="5" borderId="10" xfId="1" applyFont="1" applyFill="1" applyBorder="1" applyAlignment="1">
      <alignment horizontal="right"/>
    </xf>
    <xf numFmtId="4" fontId="3" fillId="7" borderId="4" xfId="1" applyNumberFormat="1" applyFont="1" applyFill="1" applyBorder="1" applyAlignment="1">
      <alignment horizontal="center" vertical="center"/>
    </xf>
    <xf numFmtId="4" fontId="3" fillId="7" borderId="9" xfId="1" applyNumberFormat="1" applyFont="1" applyFill="1" applyBorder="1" applyAlignment="1">
      <alignment horizontal="center" vertical="center"/>
    </xf>
    <xf numFmtId="4" fontId="3" fillId="7" borderId="6" xfId="1" applyNumberFormat="1" applyFont="1" applyFill="1" applyBorder="1" applyAlignment="1">
      <alignment horizontal="center" vertical="center"/>
    </xf>
    <xf numFmtId="168" fontId="3" fillId="7" borderId="8" xfId="1" applyNumberFormat="1" applyFont="1" applyFill="1" applyBorder="1" applyAlignment="1">
      <alignment horizontal="center" vertical="center"/>
    </xf>
    <xf numFmtId="168" fontId="3" fillId="7" borderId="16" xfId="1" applyNumberFormat="1" applyFont="1" applyFill="1" applyBorder="1" applyAlignment="1">
      <alignment horizontal="center" vertical="center"/>
    </xf>
    <xf numFmtId="168" fontId="3" fillId="7" borderId="14" xfId="1" applyNumberFormat="1" applyFont="1" applyFill="1" applyBorder="1" applyAlignment="1">
      <alignment horizontal="center" vertical="center"/>
    </xf>
    <xf numFmtId="0" fontId="2" fillId="15" borderId="2" xfId="1" applyFont="1" applyFill="1" applyBorder="1" applyAlignment="1">
      <alignment horizontal="left"/>
    </xf>
    <xf numFmtId="0" fontId="2" fillId="23" borderId="3" xfId="1" applyFont="1" applyFill="1" applyBorder="1" applyAlignment="1">
      <alignment horizontal="left"/>
    </xf>
    <xf numFmtId="0" fontId="2" fillId="23" borderId="10" xfId="1" applyFont="1" applyFill="1" applyBorder="1" applyAlignment="1">
      <alignment horizontal="left"/>
    </xf>
    <xf numFmtId="4" fontId="3" fillId="15" borderId="11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vertical="center"/>
    </xf>
    <xf numFmtId="0" fontId="0" fillId="15" borderId="13" xfId="0" applyFill="1" applyBorder="1" applyAlignment="1">
      <alignment vertical="center"/>
    </xf>
    <xf numFmtId="0" fontId="0" fillId="15" borderId="15" xfId="0" applyFill="1" applyBorder="1" applyAlignment="1">
      <alignment vertical="center"/>
    </xf>
    <xf numFmtId="4" fontId="3" fillId="7" borderId="12" xfId="1" applyNumberFormat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left"/>
    </xf>
    <xf numFmtId="0" fontId="5" fillId="3" borderId="10" xfId="1" applyFont="1" applyFill="1" applyBorder="1" applyAlignment="1">
      <alignment horizontal="left"/>
    </xf>
    <xf numFmtId="0" fontId="0" fillId="15" borderId="13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4" fontId="3" fillId="23" borderId="8" xfId="1" applyNumberFormat="1" applyFont="1" applyFill="1" applyBorder="1" applyAlignment="1">
      <alignment horizontal="center" vertical="center"/>
    </xf>
    <xf numFmtId="4" fontId="3" fillId="23" borderId="16" xfId="1" applyNumberFormat="1" applyFont="1" applyFill="1" applyBorder="1" applyAlignment="1">
      <alignment horizontal="center" vertical="center"/>
    </xf>
    <xf numFmtId="4" fontId="3" fillId="23" borderId="14" xfId="1" applyNumberFormat="1" applyFont="1" applyFill="1" applyBorder="1" applyAlignment="1">
      <alignment horizontal="center" vertical="center"/>
    </xf>
    <xf numFmtId="0" fontId="2" fillId="15" borderId="11" xfId="1" applyFont="1" applyFill="1" applyBorder="1" applyAlignment="1">
      <alignment horizontal="left"/>
    </xf>
    <xf numFmtId="4" fontId="3" fillId="17" borderId="8" xfId="1" applyNumberFormat="1" applyFont="1" applyFill="1" applyBorder="1" applyAlignment="1">
      <alignment horizontal="center" vertical="center"/>
    </xf>
    <xf numFmtId="4" fontId="3" fillId="17" borderId="16" xfId="1" applyNumberFormat="1" applyFont="1" applyFill="1" applyBorder="1" applyAlignment="1">
      <alignment horizontal="center" vertical="center"/>
    </xf>
    <xf numFmtId="4" fontId="3" fillId="17" borderId="14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2" fillId="6" borderId="2" xfId="1" applyFont="1" applyFill="1" applyBorder="1" applyAlignment="1">
      <alignment horizontal="center" vertical="center" wrapText="1"/>
    </xf>
    <xf numFmtId="0" fontId="0" fillId="0" borderId="0" xfId="1" applyNumberFormat="1" applyFont="1" applyFill="1" applyAlignment="1">
      <alignment horizontal="center" wrapText="1"/>
    </xf>
    <xf numFmtId="10" fontId="5" fillId="15" borderId="3" xfId="17" applyNumberFormat="1" applyFont="1" applyFill="1" applyBorder="1" applyAlignment="1">
      <alignment horizontal="left"/>
    </xf>
    <xf numFmtId="10" fontId="5" fillId="15" borderId="10" xfId="17" applyNumberFormat="1" applyFont="1" applyFill="1" applyBorder="1" applyAlignment="1">
      <alignment horizontal="left"/>
    </xf>
    <xf numFmtId="4" fontId="0" fillId="23" borderId="12" xfId="1" applyNumberFormat="1" applyFont="1" applyFill="1" applyBorder="1" applyAlignment="1">
      <alignment horizontal="center"/>
    </xf>
    <xf numFmtId="4" fontId="0" fillId="23" borderId="15" xfId="1" applyNumberFormat="1" applyFont="1" applyFill="1" applyBorder="1" applyAlignment="1">
      <alignment horizontal="center"/>
    </xf>
    <xf numFmtId="4" fontId="3" fillId="23" borderId="12" xfId="1" applyNumberFormat="1" applyFont="1" applyFill="1" applyBorder="1" applyAlignment="1">
      <alignment horizontal="center" vertical="center"/>
    </xf>
    <xf numFmtId="4" fontId="3" fillId="23" borderId="15" xfId="1" applyNumberFormat="1" applyFont="1" applyFill="1" applyBorder="1" applyAlignment="1">
      <alignment horizontal="center" vertical="center"/>
    </xf>
    <xf numFmtId="0" fontId="19" fillId="15" borderId="14" xfId="1" applyFont="1" applyFill="1" applyBorder="1" applyAlignment="1">
      <alignment horizontal="center" vertical="center" wrapText="1"/>
    </xf>
  </cellXfs>
  <cellStyles count="20">
    <cellStyle name="=D:\WINNT\SYSTEM32\COMMAND.COM" xfId="1" xr:uid="{00000000-0005-0000-0000-000000000000}"/>
    <cellStyle name="Čárka" xfId="2" builtinId="3"/>
    <cellStyle name="Hypertextový odkaz" xfId="3" builtinId="8"/>
    <cellStyle name="Neutrální" xfId="4" builtinId="28"/>
    <cellStyle name="Normal_Fixing details" xfId="5" xr:uid="{00000000-0005-0000-0000-000004000000}"/>
    <cellStyle name="Normal_Sheet1" xfId="6" xr:uid="{00000000-0005-0000-0000-000005000000}"/>
    <cellStyle name="Normal_Sheet2" xfId="7" xr:uid="{00000000-0005-0000-0000-000006000000}"/>
    <cellStyle name="Normální" xfId="0" builtinId="0"/>
    <cellStyle name="Normální 2" xfId="8" xr:uid="{00000000-0005-0000-0000-000008000000}"/>
    <cellStyle name="normální_indexy" xfId="9" xr:uid="{00000000-0005-0000-0000-000009000000}"/>
    <cellStyle name="normální_klikací hodnoty" xfId="10" xr:uid="{00000000-0005-0000-0000-00000A000000}"/>
    <cellStyle name="normální_klikací hodnoty_1" xfId="11" xr:uid="{00000000-0005-0000-0000-00000B000000}"/>
    <cellStyle name="normální_List1" xfId="12" xr:uid="{00000000-0005-0000-0000-00000C000000}"/>
    <cellStyle name="normální_List1_indexy" xfId="13" xr:uid="{00000000-0005-0000-0000-00000E000000}"/>
    <cellStyle name="normální_List1_klikací hodnoty" xfId="14" xr:uid="{00000000-0005-0000-0000-00000F000000}"/>
    <cellStyle name="normální_List1_klikací hodnoty_1" xfId="15" xr:uid="{00000000-0005-0000-0000-000010000000}"/>
    <cellStyle name="normální_parametry" xfId="16" xr:uid="{00000000-0005-0000-0000-000011000000}"/>
    <cellStyle name="Procenta" xfId="17" builtinId="5"/>
    <cellStyle name="Správně" xfId="18" builtinId="26"/>
    <cellStyle name="Špatně" xfId="19" builtinId="27"/>
  </cellStyles>
  <dxfs count="78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E92PQPJO/SIWOP1K_20230531_toNetwor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ADT4TD70/OFCST3K_20230306_toNetwor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1601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2909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1611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2802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280324.xlsx" TargetMode="External"/><Relationship Id="rId1" Type="http://schemas.openxmlformats.org/officeDocument/2006/relationships/externalLinkPath" Target="file:///R:\00041710%20-%20Produkty%20a%20portfolia\products\NAV%20ALL\all%202803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01132/AppData/Local/Microsoft/Windows/INetCache/Content.Outlook/7WOQPHS5/SICGF2K_20231229_toNetwor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01132/AppData/Local/Microsoft/Windows/INetCache/Content.Outlook/7WOQPHS5/GPZAF2K_20231229_toNetwork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01132/AppData/Local/Microsoft/Windows/INetCache/Content.Outlook/7WOQPHS5/SICEF2K_20231229_toNetwo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klikací hodnoty"/>
      <sheetName val="indexy"/>
      <sheetName val="YTY, YTD"/>
    </sheetNames>
    <sheetDataSet>
      <sheetData sheetId="0"/>
      <sheetData sheetId="1"/>
      <sheetData sheetId="2"/>
      <sheetData sheetId="3">
        <row r="21">
          <cell r="B21" t="str">
            <v>Malajsie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ABBN SE Equity</v>
          </cell>
          <cell r="C10">
            <v>0.1076484392</v>
          </cell>
          <cell r="D10">
            <v>33.26</v>
          </cell>
        </row>
        <row r="11">
          <cell r="B11" t="str">
            <v>ALV GY Equity</v>
          </cell>
          <cell r="C11">
            <v>9.4741828999999993E-3</v>
          </cell>
          <cell r="D11">
            <v>199.98</v>
          </cell>
        </row>
        <row r="12">
          <cell r="B12" t="str">
            <v>G IM Equity</v>
          </cell>
          <cell r="C12">
            <v>0.48430547569999999</v>
          </cell>
          <cell r="D12">
            <v>17.715</v>
          </cell>
        </row>
        <row r="13">
          <cell r="B13" t="str">
            <v>CS FP Equity</v>
          </cell>
          <cell r="C13">
            <v>0.216656556</v>
          </cell>
          <cell r="D13">
            <v>26.414999999999999</v>
          </cell>
        </row>
        <row r="14">
          <cell r="B14" t="str">
            <v>BAS GY Equity</v>
          </cell>
          <cell r="C14">
            <v>3.2337866E-2</v>
          </cell>
          <cell r="D14">
            <v>44.414999999999999</v>
          </cell>
        </row>
        <row r="15">
          <cell r="B15" t="str">
            <v>BCE CT Equity</v>
          </cell>
          <cell r="C15">
            <v>3.3370597199999998E-2</v>
          </cell>
          <cell r="D15">
            <v>61.24</v>
          </cell>
        </row>
        <row r="16">
          <cell r="B16" t="str">
            <v>7751 JT Equity</v>
          </cell>
          <cell r="C16">
            <v>6.2871330000000003E-4</v>
          </cell>
          <cell r="D16">
            <v>3461</v>
          </cell>
        </row>
        <row r="17">
          <cell r="B17" t="str">
            <v>DTE GY Equity</v>
          </cell>
          <cell r="C17">
            <v>0.12998830110000001</v>
          </cell>
          <cell r="D17">
            <v>20.745000000000001</v>
          </cell>
        </row>
        <row r="18">
          <cell r="B18" t="str">
            <v>D UN Equity</v>
          </cell>
          <cell r="C18">
            <v>2.5855159400000001E-2</v>
          </cell>
          <cell r="D18">
            <v>50.28</v>
          </cell>
        </row>
        <row r="19">
          <cell r="B19" t="str">
            <v>EOAN GY Equity</v>
          </cell>
          <cell r="C19">
            <v>0.20358927900000001</v>
          </cell>
          <cell r="D19">
            <v>11.31</v>
          </cell>
        </row>
        <row r="20">
          <cell r="B20" t="str">
            <v>ENB CT Equity</v>
          </cell>
          <cell r="C20">
            <v>6.4799015099999996E-2</v>
          </cell>
          <cell r="D20">
            <v>47.79</v>
          </cell>
        </row>
        <row r="21">
          <cell r="B21" t="str">
            <v>ENGI FP Equity</v>
          </cell>
          <cell r="C21">
            <v>0.15054006249999999</v>
          </cell>
          <cell r="D21">
            <v>14.042</v>
          </cell>
        </row>
        <row r="22">
          <cell r="B22" t="str">
            <v>ENI IM Equity</v>
          </cell>
          <cell r="C22">
            <v>0.34942554440000001</v>
          </cell>
          <cell r="D22">
            <v>12.45</v>
          </cell>
        </row>
        <row r="23">
          <cell r="B23" t="str">
            <v>GSK LN Equity</v>
          </cell>
          <cell r="C23">
            <v>0.1841578009</v>
          </cell>
          <cell r="D23">
            <v>13.464</v>
          </cell>
        </row>
        <row r="24">
          <cell r="B24" t="str">
            <v>IBE SQ Equity</v>
          </cell>
          <cell r="C24">
            <v>0.33663988509999998</v>
          </cell>
          <cell r="D24">
            <v>11.4</v>
          </cell>
        </row>
        <row r="25">
          <cell r="B25" t="str">
            <v>MUV2 GY Equity</v>
          </cell>
          <cell r="C25">
            <v>8.9513493999999992E-3</v>
          </cell>
          <cell r="D25">
            <v>334</v>
          </cell>
        </row>
        <row r="26">
          <cell r="B26" t="str">
            <v>ORA FP Equity</v>
          </cell>
          <cell r="C26">
            <v>0.439967149</v>
          </cell>
          <cell r="D26">
            <v>11.172000000000001</v>
          </cell>
        </row>
        <row r="27">
          <cell r="B27" t="str">
            <v>SAN FP Equity</v>
          </cell>
          <cell r="C27">
            <v>2.6179563199999999E-2</v>
          </cell>
          <cell r="D27">
            <v>94.88</v>
          </cell>
        </row>
        <row r="28">
          <cell r="B28" t="str">
            <v>SHEL LN Equity</v>
          </cell>
          <cell r="C28">
            <v>0.11692943309999999</v>
          </cell>
          <cell r="D28">
            <v>22.204999999999998</v>
          </cell>
        </row>
        <row r="29">
          <cell r="B29" t="str">
            <v>8316 JT Equity</v>
          </cell>
          <cell r="C29">
            <v>5.3044769999999999E-4</v>
          </cell>
          <cell r="D29">
            <v>5678</v>
          </cell>
        </row>
        <row r="30">
          <cell r="B30" t="str">
            <v>SLHN SE Equity</v>
          </cell>
          <cell r="C30">
            <v>4.1827004000000003E-3</v>
          </cell>
          <cell r="D30">
            <v>526</v>
          </cell>
        </row>
        <row r="31">
          <cell r="B31" t="str">
            <v>SREN SE Equity</v>
          </cell>
          <cell r="C31">
            <v>8.0570438699999997E-2</v>
          </cell>
          <cell r="D31">
            <v>91.22</v>
          </cell>
        </row>
        <row r="32">
          <cell r="B32" t="str">
            <v>SCMN SE Equity</v>
          </cell>
          <cell r="C32">
            <v>1.6235743E-2</v>
          </cell>
          <cell r="D32">
            <v>576.79999999999995</v>
          </cell>
        </row>
        <row r="33">
          <cell r="B33" t="str">
            <v>TRP CT Equity</v>
          </cell>
          <cell r="C33">
            <v>3.0565616699999999E-2</v>
          </cell>
          <cell r="D33">
            <v>52.84</v>
          </cell>
        </row>
        <row r="34">
          <cell r="B34" t="str">
            <v>TEF SQ Equity</v>
          </cell>
          <cell r="C34">
            <v>0.27329124649999997</v>
          </cell>
          <cell r="D34">
            <v>3.97</v>
          </cell>
        </row>
        <row r="35">
          <cell r="B35" t="str">
            <v>TTE FP Equity</v>
          </cell>
          <cell r="C35">
            <v>6.2887678899999994E-2</v>
          </cell>
          <cell r="D35">
            <v>53.08</v>
          </cell>
        </row>
        <row r="36">
          <cell r="B36" t="str">
            <v>VNA GY Equity</v>
          </cell>
          <cell r="C36">
            <v>7.2845595599999993E-2</v>
          </cell>
          <cell r="D36">
            <v>17.16</v>
          </cell>
        </row>
        <row r="37">
          <cell r="B37" t="str">
            <v>WFC UN Equity</v>
          </cell>
          <cell r="C37">
            <v>4.3491497400000002E-2</v>
          </cell>
          <cell r="D37">
            <v>39.81</v>
          </cell>
        </row>
        <row r="38">
          <cell r="B38" t="str">
            <v>WES AT Equity</v>
          </cell>
          <cell r="C38">
            <v>5.7175474499999997E-2</v>
          </cell>
          <cell r="D38">
            <v>47.67</v>
          </cell>
        </row>
        <row r="39">
          <cell r="B39" t="str">
            <v>ZURN SE Equity</v>
          </cell>
          <cell r="C39">
            <v>2.35557388E-2</v>
          </cell>
          <cell r="D39">
            <v>426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G IM Equity</v>
          </cell>
          <cell r="C10">
            <v>0.39734573049999999</v>
          </cell>
        </row>
        <row r="11">
          <cell r="B11" t="str">
            <v>BCE CT Equity</v>
          </cell>
          <cell r="C11">
            <v>3.4645232800000002E-2</v>
          </cell>
        </row>
        <row r="12">
          <cell r="B12" t="str">
            <v>CM CT Equity</v>
          </cell>
          <cell r="C12">
            <v>4.8982990599999998E-2</v>
          </cell>
        </row>
        <row r="13">
          <cell r="B13" t="str">
            <v>7751 JT Equity</v>
          </cell>
          <cell r="C13">
            <v>8.8339219999999995E-4</v>
          </cell>
        </row>
        <row r="14">
          <cell r="B14" t="str">
            <v>CBA AT Equity</v>
          </cell>
          <cell r="C14">
            <v>8.26036676E-2</v>
          </cell>
        </row>
        <row r="15">
          <cell r="B15" t="str">
            <v>DTE GY Equity</v>
          </cell>
          <cell r="C15">
            <v>0.1610500463</v>
          </cell>
        </row>
        <row r="16">
          <cell r="B16" t="str">
            <v>D UN Equity</v>
          </cell>
          <cell r="C16">
            <v>2.51512217E-2</v>
          </cell>
        </row>
        <row r="17">
          <cell r="B17" t="str">
            <v>ENB CT Equity</v>
          </cell>
          <cell r="C17">
            <v>4.9481679399999999E-2</v>
          </cell>
        </row>
        <row r="18">
          <cell r="B18" t="str">
            <v>ELE SQ Equity</v>
          </cell>
          <cell r="C18">
            <v>0.41163909539999999</v>
          </cell>
        </row>
        <row r="19">
          <cell r="B19" t="str">
            <v>ENEL IM Equity</v>
          </cell>
          <cell r="C19">
            <v>0.32279931569999998</v>
          </cell>
        </row>
        <row r="20">
          <cell r="B20" t="str">
            <v>EDP PL Equity</v>
          </cell>
          <cell r="C20">
            <v>0.54840264770000002</v>
          </cell>
        </row>
        <row r="21">
          <cell r="B21" t="str">
            <v>ENGI FP Equity</v>
          </cell>
          <cell r="C21">
            <v>0.2121700755</v>
          </cell>
        </row>
        <row r="22">
          <cell r="B22" t="str">
            <v>ENI IM Equity</v>
          </cell>
          <cell r="C22">
            <v>0.23092821599999999</v>
          </cell>
        </row>
        <row r="23">
          <cell r="B23" t="str">
            <v>GSK LN Equity</v>
          </cell>
          <cell r="C23">
            <v>0.1208443318</v>
          </cell>
        </row>
        <row r="24">
          <cell r="B24" t="str">
            <v>MQG AT Equity</v>
          </cell>
          <cell r="C24">
            <v>2.0242915E-2</v>
          </cell>
        </row>
        <row r="25">
          <cell r="B25" t="str">
            <v>NTGY SQ Equity</v>
          </cell>
          <cell r="C25">
            <v>0.51738075989999999</v>
          </cell>
        </row>
        <row r="26">
          <cell r="B26" t="str">
            <v>ORA FP Equity</v>
          </cell>
          <cell r="C26">
            <v>0.62938640800000001</v>
          </cell>
        </row>
        <row r="27">
          <cell r="B27" t="str">
            <v>PPL CT Equity</v>
          </cell>
          <cell r="C27">
            <v>7.25163162E-2</v>
          </cell>
        </row>
        <row r="28">
          <cell r="B28" t="str">
            <v>PPL UN Equity</v>
          </cell>
          <cell r="C28">
            <v>7.7821011699999998E-2</v>
          </cell>
        </row>
        <row r="29">
          <cell r="B29" t="str">
            <v>SHEL LN Equity</v>
          </cell>
          <cell r="C29">
            <v>0.1436389491</v>
          </cell>
        </row>
        <row r="30">
          <cell r="B30" t="str">
            <v>SRG IM Equity</v>
          </cell>
          <cell r="C30">
            <v>1.3018460177</v>
          </cell>
        </row>
        <row r="31">
          <cell r="B31" t="str">
            <v>SHBA SS Equity</v>
          </cell>
          <cell r="C31">
            <v>2.5892485199999999E-2</v>
          </cell>
        </row>
        <row r="32">
          <cell r="B32" t="str">
            <v>SREN SE Equity</v>
          </cell>
          <cell r="C32">
            <v>0.1073767851</v>
          </cell>
        </row>
        <row r="33">
          <cell r="B33" t="str">
            <v>SYD AT CASH</v>
          </cell>
          <cell r="C33">
            <v>0.3545694418</v>
          </cell>
        </row>
        <row r="34">
          <cell r="B34" t="str">
            <v>TELIA SS Equity</v>
          </cell>
          <cell r="C34">
            <v>5.7272128499999998E-2</v>
          </cell>
        </row>
        <row r="35">
          <cell r="B35" t="str">
            <v>T CT Equity</v>
          </cell>
          <cell r="C35">
            <v>8.8806003300000005E-2</v>
          </cell>
        </row>
        <row r="36">
          <cell r="B36" t="str">
            <v>TTE FP Equity</v>
          </cell>
          <cell r="C36">
            <v>6.4388937600000001E-2</v>
          </cell>
        </row>
        <row r="37">
          <cell r="B37" t="str">
            <v>WBC AT Equity</v>
          </cell>
          <cell r="C37">
            <v>0.25498820680000001</v>
          </cell>
        </row>
        <row r="38">
          <cell r="B38" t="str">
            <v>WPC UN Equity</v>
          </cell>
          <cell r="C38">
            <v>3.1747543500000003E-2</v>
          </cell>
        </row>
        <row r="39">
          <cell r="B39" t="str">
            <v>ZURN SE Equity</v>
          </cell>
          <cell r="C39">
            <v>2.6313192799999999E-2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indexy"/>
      <sheetName val="klikací hodnoty"/>
    </sheetNames>
    <sheetDataSet>
      <sheetData sheetId="0">
        <row r="4">
          <cell r="A4" t="str">
            <v>ČSOB Click Program 2</v>
          </cell>
          <cell r="B4" t="str">
            <v>LU0222135807</v>
          </cell>
          <cell r="C4" t="str">
            <v>CZK</v>
          </cell>
          <cell r="D4">
            <v>38544</v>
          </cell>
          <cell r="E4">
            <v>38516</v>
          </cell>
          <cell r="F4">
            <v>38533</v>
          </cell>
          <cell r="G4">
            <v>40451</v>
          </cell>
          <cell r="H4">
            <v>5.2246575342465755</v>
          </cell>
          <cell r="I4" t="str">
            <v>veřejná</v>
          </cell>
          <cell r="L4">
            <v>-0.03</v>
          </cell>
          <cell r="M4">
            <v>5.2499999999999998E-2</v>
          </cell>
          <cell r="N4">
            <v>10</v>
          </cell>
          <cell r="O4" t="str">
            <v>období:prvních 10 dní červener 2006,7,8,9; prvních 10 dní květen 2010</v>
          </cell>
          <cell r="P4">
            <v>1</v>
          </cell>
          <cell r="Q4">
            <v>0.04</v>
          </cell>
          <cell r="U4">
            <v>0.26250000000000001</v>
          </cell>
          <cell r="V4">
            <v>5</v>
          </cell>
          <cell r="W4">
            <v>2.7068493150684931</v>
          </cell>
          <cell r="X4" t="str">
            <v>50% SX5E+ 50%SPX</v>
          </cell>
          <cell r="Y4">
            <v>0.105</v>
          </cell>
          <cell r="Z4">
            <v>2.5178082191780824</v>
          </cell>
          <cell r="AA4">
            <v>10.220000000000001</v>
          </cell>
          <cell r="AB4">
            <v>-9.5420009501640868E-2</v>
          </cell>
          <cell r="AC4">
            <v>-0.03</v>
          </cell>
          <cell r="AD4">
            <v>7.4999999999999997E-2</v>
          </cell>
          <cell r="AE4">
            <v>2.200000000000002E-2</v>
          </cell>
          <cell r="AF4">
            <v>8.6804887487126337E-3</v>
          </cell>
        </row>
        <row r="5">
          <cell r="A5" t="str">
            <v>ČSOB PB Steepener 1</v>
          </cell>
          <cell r="B5" t="str">
            <v>BE0945290253</v>
          </cell>
          <cell r="C5" t="str">
            <v>CZK</v>
          </cell>
          <cell r="D5">
            <v>38625</v>
          </cell>
          <cell r="E5">
            <v>38603</v>
          </cell>
          <cell r="F5">
            <v>38618</v>
          </cell>
          <cell r="G5">
            <v>42307</v>
          </cell>
          <cell r="H5">
            <v>10.087671232876712</v>
          </cell>
          <cell r="I5" t="str">
            <v>neveřejná</v>
          </cell>
          <cell r="J5">
            <v>0.05</v>
          </cell>
          <cell r="K5" t="str">
            <v>-</v>
          </cell>
          <cell r="L5">
            <v>0</v>
          </cell>
          <cell r="M5">
            <v>0.25</v>
          </cell>
          <cell r="N5">
            <v>10000</v>
          </cell>
          <cell r="O5" t="str">
            <v>poslední rozhodný den v září na konci každého období</v>
          </cell>
          <cell r="P5">
            <v>1</v>
          </cell>
          <cell r="Q5">
            <v>0.05</v>
          </cell>
          <cell r="U5">
            <v>2.2999999999999998</v>
          </cell>
          <cell r="V5">
            <v>10</v>
          </cell>
          <cell r="W5">
            <v>7.7917808219178086</v>
          </cell>
          <cell r="X5" t="str">
            <v>4x rozdíl (10-letá-2letá CZK swap rate)</v>
          </cell>
          <cell r="Y5">
            <v>7.0800000000000002E-2</v>
          </cell>
          <cell r="Z5">
            <v>2.2958904109589033</v>
          </cell>
          <cell r="AA5">
            <v>9255.74</v>
          </cell>
          <cell r="AB5">
            <v>1.1600000000000001E-2</v>
          </cell>
          <cell r="AC5">
            <v>1.1600000000000001E-2</v>
          </cell>
          <cell r="AD5">
            <v>8.2400000000000001E-2</v>
          </cell>
          <cell r="AE5">
            <v>-7.4425999999999992E-2</v>
          </cell>
          <cell r="AF5">
            <v>-3.3125714507367454E-2</v>
          </cell>
        </row>
        <row r="6">
          <cell r="A6" t="str">
            <v>ČSOB PB Growth 1</v>
          </cell>
          <cell r="B6" t="str">
            <v>BE0945430685</v>
          </cell>
          <cell r="C6" t="str">
            <v>CZK</v>
          </cell>
          <cell r="D6">
            <v>38674</v>
          </cell>
          <cell r="E6">
            <v>38644</v>
          </cell>
          <cell r="F6">
            <v>38666</v>
          </cell>
          <cell r="G6">
            <v>40512</v>
          </cell>
          <cell r="H6">
            <v>5.0356164383561648</v>
          </cell>
          <cell r="I6" t="str">
            <v>neveřejná</v>
          </cell>
          <cell r="N6">
            <v>10000</v>
          </cell>
          <cell r="O6" t="str">
            <v>průměr 12 měsíců od listopadu 2009 do října 2010</v>
          </cell>
          <cell r="P6">
            <v>1</v>
          </cell>
          <cell r="Q6">
            <v>0</v>
          </cell>
          <cell r="S6">
            <v>0.72</v>
          </cell>
          <cell r="U6" t="str">
            <v>neomezen</v>
          </cell>
          <cell r="V6">
            <v>1</v>
          </cell>
          <cell r="W6">
            <v>2.8739726027397259</v>
          </cell>
          <cell r="X6" t="str">
            <v>koš 30 světových akcií</v>
          </cell>
          <cell r="Z6">
            <v>2.1616438356164389</v>
          </cell>
          <cell r="AA6">
            <v>11081.03</v>
          </cell>
          <cell r="AB6">
            <v>0.23181186340002458</v>
          </cell>
          <cell r="AC6">
            <v>0.16690454164801768</v>
          </cell>
          <cell r="AD6">
            <v>0.16690454164801768</v>
          </cell>
          <cell r="AE6">
            <v>0.10810300000000006</v>
          </cell>
          <cell r="AF6">
            <v>4.8632357045433228E-2</v>
          </cell>
        </row>
        <row r="7">
          <cell r="A7" t="str">
            <v xml:space="preserve">ČSOB PB Europe Short 1 </v>
          </cell>
          <cell r="B7" t="str">
            <v>BE0945628726</v>
          </cell>
          <cell r="C7" t="str">
            <v>CZK</v>
          </cell>
          <cell r="D7">
            <v>38695</v>
          </cell>
          <cell r="E7">
            <v>38670</v>
          </cell>
          <cell r="F7">
            <v>38688</v>
          </cell>
          <cell r="G7">
            <v>39812</v>
          </cell>
          <cell r="H7">
            <v>3.0602739726027397</v>
          </cell>
          <cell r="I7" t="str">
            <v>neveřejná</v>
          </cell>
          <cell r="N7">
            <v>10000</v>
          </cell>
          <cell r="O7" t="str">
            <v>průměr posledních 10 dní v listopadu 2008</v>
          </cell>
          <cell r="P7">
            <v>0.95499999999999996</v>
          </cell>
          <cell r="Q7">
            <v>-4.500000000000004E-2</v>
          </cell>
          <cell r="S7">
            <v>1</v>
          </cell>
          <cell r="U7" t="str">
            <v>neomezen</v>
          </cell>
          <cell r="V7">
            <v>1</v>
          </cell>
          <cell r="W7">
            <v>0.95616438356164379</v>
          </cell>
          <cell r="X7" t="str">
            <v>koš 30 evropských akcií</v>
          </cell>
          <cell r="Z7">
            <v>2.1041095890410961</v>
          </cell>
          <cell r="AA7">
            <v>11859.02</v>
          </cell>
          <cell r="AB7">
            <v>0.23990096258781754</v>
          </cell>
          <cell r="AC7">
            <v>0.19490096258781753</v>
          </cell>
          <cell r="AD7">
            <v>0.19490096258781753</v>
          </cell>
          <cell r="AE7">
            <v>0.18590200000000001</v>
          </cell>
          <cell r="AF7">
            <v>8.4407379288345075E-2</v>
          </cell>
        </row>
        <row r="8">
          <cell r="A8" t="str">
            <v>ČSOB PB Europe Short 2</v>
          </cell>
          <cell r="B8" t="str">
            <v>BE0945674217</v>
          </cell>
          <cell r="C8" t="str">
            <v>CZK</v>
          </cell>
          <cell r="D8">
            <v>38716</v>
          </cell>
          <cell r="E8">
            <v>38693</v>
          </cell>
          <cell r="F8">
            <v>38709</v>
          </cell>
          <cell r="G8">
            <v>39843</v>
          </cell>
          <cell r="H8">
            <v>3.0876712328767124</v>
          </cell>
          <cell r="I8" t="str">
            <v>neveřejná</v>
          </cell>
          <cell r="N8">
            <v>10000</v>
          </cell>
          <cell r="O8" t="str">
            <v>průměr 6 měsíců od července 2008 do prosince 2008</v>
          </cell>
          <cell r="P8">
            <v>0.95499999999999996</v>
          </cell>
          <cell r="Q8">
            <v>-4.500000000000004E-2</v>
          </cell>
          <cell r="S8">
            <v>1</v>
          </cell>
          <cell r="U8" t="str">
            <v>neomezen</v>
          </cell>
          <cell r="V8">
            <v>1</v>
          </cell>
          <cell r="W8">
            <v>1.0410958904109588</v>
          </cell>
          <cell r="X8" t="str">
            <v>koš 30 evropských akcií</v>
          </cell>
          <cell r="Z8">
            <v>2.0465753424657533</v>
          </cell>
          <cell r="AA8">
            <v>11608.82</v>
          </cell>
          <cell r="AB8">
            <v>0.2137086971918655</v>
          </cell>
          <cell r="AC8">
            <v>0.16870869719186549</v>
          </cell>
          <cell r="AD8">
            <v>0.16870869719186549</v>
          </cell>
          <cell r="AE8">
            <v>0.16088199999999997</v>
          </cell>
          <cell r="AF8">
            <v>7.5614937772767954E-2</v>
          </cell>
        </row>
        <row r="9">
          <cell r="A9" t="str">
            <v>ČSOB Světový Click+ 21</v>
          </cell>
          <cell r="B9" t="str">
            <v>LU0239831760</v>
          </cell>
          <cell r="C9" t="str">
            <v>CZK</v>
          </cell>
          <cell r="D9">
            <v>38755</v>
          </cell>
          <cell r="E9">
            <v>38719</v>
          </cell>
          <cell r="F9">
            <v>38748</v>
          </cell>
          <cell r="G9">
            <v>40694</v>
          </cell>
          <cell r="H9">
            <v>5.3123287671232875</v>
          </cell>
          <cell r="I9" t="str">
            <v>veřejná</v>
          </cell>
          <cell r="L9">
            <v>-0.03</v>
          </cell>
          <cell r="M9">
            <v>5.6000000000000001E-2</v>
          </cell>
          <cell r="N9">
            <v>10</v>
          </cell>
          <cell r="O9" t="str">
            <v>období:prvních 10 dní únor 2007,8,9,10; prvních 10 dní květen 2011</v>
          </cell>
          <cell r="P9">
            <v>1</v>
          </cell>
          <cell r="Q9">
            <v>0.08</v>
          </cell>
          <cell r="U9">
            <v>0.28000000000000003</v>
          </cell>
          <cell r="V9">
            <v>5</v>
          </cell>
          <cell r="W9">
            <v>3.3726027397260272</v>
          </cell>
          <cell r="X9" t="str">
            <v>50% SX5E+ 30%SPX+20%NKY</v>
          </cell>
          <cell r="Y9">
            <v>5.6000000000000001E-2</v>
          </cell>
          <cell r="Z9">
            <v>1.9397260273972603</v>
          </cell>
          <cell r="AA9">
            <v>9.98</v>
          </cell>
          <cell r="AB9">
            <v>-7.5802639733917071E-2</v>
          </cell>
          <cell r="AC9">
            <v>-0.03</v>
          </cell>
          <cell r="AD9">
            <v>2.6000000000000002E-2</v>
          </cell>
          <cell r="AE9">
            <v>-2.0000000000000018E-3</v>
          </cell>
          <cell r="AF9">
            <v>-1.0315734585064629E-3</v>
          </cell>
        </row>
        <row r="10">
          <cell r="A10" t="str">
            <v>ČSOB Bull &amp; Bear 1</v>
          </cell>
          <cell r="B10" t="str">
            <v>LU0242786621</v>
          </cell>
          <cell r="C10" t="str">
            <v>CZK</v>
          </cell>
          <cell r="D10">
            <v>38793</v>
          </cell>
          <cell r="E10">
            <v>38754</v>
          </cell>
          <cell r="F10">
            <v>38786</v>
          </cell>
          <cell r="G10">
            <v>40847</v>
          </cell>
          <cell r="H10">
            <v>5.6273972602739724</v>
          </cell>
          <cell r="I10" t="str">
            <v>veřejná</v>
          </cell>
          <cell r="N10">
            <v>10</v>
          </cell>
          <cell r="O10" t="str">
            <v>průměr 12 měsíců od října 2010 do září 2011</v>
          </cell>
          <cell r="P10">
            <v>1</v>
          </cell>
          <cell r="Q10">
            <v>0</v>
          </cell>
          <cell r="S10">
            <v>0.5</v>
          </cell>
          <cell r="T10">
            <v>0.4</v>
          </cell>
          <cell r="U10" t="str">
            <v>neomezen</v>
          </cell>
          <cell r="V10">
            <v>1</v>
          </cell>
          <cell r="W10">
            <v>3.7917808219178082</v>
          </cell>
          <cell r="X10" t="str">
            <v>koš 25 světových akcií</v>
          </cell>
          <cell r="Z10">
            <v>1.8356164383561642</v>
          </cell>
          <cell r="AA10">
            <v>10.3</v>
          </cell>
          <cell r="AB10">
            <v>0.1610643910278349</v>
          </cell>
          <cell r="AC10">
            <v>8.0532195513917451E-2</v>
          </cell>
          <cell r="AD10">
            <v>8.0532195513917451E-2</v>
          </cell>
          <cell r="AE10">
            <v>3.0000000000000027E-2</v>
          </cell>
          <cell r="AF10">
            <v>1.6233280487119472E-2</v>
          </cell>
        </row>
        <row r="11">
          <cell r="A11" t="str">
            <v>ČSOB PB Europe Booster 1</v>
          </cell>
          <cell r="B11" t="str">
            <v>BE0945774249</v>
          </cell>
          <cell r="C11" t="str">
            <v>CZK</v>
          </cell>
          <cell r="D11">
            <v>38828</v>
          </cell>
          <cell r="E11">
            <v>38777</v>
          </cell>
          <cell r="F11">
            <v>38821</v>
          </cell>
          <cell r="G11">
            <v>40329</v>
          </cell>
          <cell r="H11">
            <v>4.1123287671232873</v>
          </cell>
          <cell r="I11" t="str">
            <v>veřejná</v>
          </cell>
          <cell r="N11">
            <v>10</v>
          </cell>
          <cell r="O11" t="str">
            <v>průměr 6 měsíců od listopadu 2009 do dubna 2010</v>
          </cell>
          <cell r="P11" t="str">
            <v>není</v>
          </cell>
          <cell r="Q11" t="str">
            <v>není</v>
          </cell>
          <cell r="S11">
            <v>1.45</v>
          </cell>
          <cell r="T11">
            <v>-1</v>
          </cell>
          <cell r="U11" t="str">
            <v>neomezen</v>
          </cell>
          <cell r="V11">
            <v>1</v>
          </cell>
          <cell r="W11">
            <v>2.3726027397260272</v>
          </cell>
          <cell r="X11" t="str">
            <v>100% DJ Eurostoxx 50</v>
          </cell>
          <cell r="Z11">
            <v>1.7397260273972601</v>
          </cell>
          <cell r="AA11">
            <v>10.75</v>
          </cell>
          <cell r="AB11">
            <v>6.6322191084799531E-2</v>
          </cell>
          <cell r="AC11">
            <v>9.6167177072959312E-2</v>
          </cell>
          <cell r="AD11">
            <v>9.6167177072959312E-2</v>
          </cell>
          <cell r="AE11">
            <v>7.4999999999999956E-2</v>
          </cell>
          <cell r="AF11">
            <v>4.2446280698954952E-2</v>
          </cell>
        </row>
        <row r="12">
          <cell r="A12" t="str">
            <v>ČSOB PB Emerging Markets 1</v>
          </cell>
          <cell r="B12" t="str">
            <v>BE0946114734</v>
          </cell>
          <cell r="C12" t="str">
            <v>CZK</v>
          </cell>
          <cell r="D12">
            <v>38856</v>
          </cell>
          <cell r="E12">
            <v>38840</v>
          </cell>
          <cell r="F12">
            <v>38849</v>
          </cell>
          <cell r="G12">
            <v>41059</v>
          </cell>
          <cell r="H12">
            <v>6.0356164383561648</v>
          </cell>
          <cell r="I12" t="str">
            <v>neveřejná</v>
          </cell>
          <cell r="N12">
            <v>10</v>
          </cell>
          <cell r="O12" t="str">
            <v>průměr 24 měsíců od květen 2010 do duben 2012</v>
          </cell>
          <cell r="P12">
            <v>0.95</v>
          </cell>
          <cell r="Q12">
            <v>0</v>
          </cell>
          <cell r="S12">
            <v>0.75</v>
          </cell>
          <cell r="U12" t="str">
            <v>neomezen</v>
          </cell>
          <cell r="V12">
            <v>1</v>
          </cell>
          <cell r="W12">
            <v>4.3726027397260276</v>
          </cell>
          <cell r="X12" t="str">
            <v>30% SGY; 30% Kospi2; 20% HSCEI; 15% TOP40; 5% USIBOV</v>
          </cell>
          <cell r="Z12">
            <v>1.6630136986301371</v>
          </cell>
          <cell r="AA12">
            <v>12.15</v>
          </cell>
          <cell r="AB12">
            <v>0.45967129340109403</v>
          </cell>
          <cell r="AC12">
            <v>0.29475347005082053</v>
          </cell>
          <cell r="AD12">
            <v>0.29475347005082053</v>
          </cell>
          <cell r="AE12">
            <v>0.21500000000000008</v>
          </cell>
          <cell r="AF12">
            <v>0.12423534410096493</v>
          </cell>
        </row>
        <row r="13">
          <cell r="A13" t="str">
            <v>ČSOB PB Central Europe Winners 1</v>
          </cell>
          <cell r="B13" t="str">
            <v>BE0946177392</v>
          </cell>
          <cell r="C13" t="str">
            <v>CZK</v>
          </cell>
          <cell r="D13">
            <v>38884</v>
          </cell>
          <cell r="E13">
            <v>38852</v>
          </cell>
          <cell r="F13">
            <v>38877</v>
          </cell>
          <cell r="G13">
            <v>40753</v>
          </cell>
          <cell r="H13">
            <v>5.1205479452054794</v>
          </cell>
          <cell r="I13" t="str">
            <v>neveřejná</v>
          </cell>
          <cell r="N13">
            <v>10</v>
          </cell>
          <cell r="O13" t="str">
            <v>průměr 12 měsíců od červenec 2010 do června 2011</v>
          </cell>
          <cell r="P13">
            <v>0.96</v>
          </cell>
          <cell r="Q13">
            <v>-4.0000000000000036E-2</v>
          </cell>
          <cell r="S13">
            <v>1</v>
          </cell>
          <cell r="U13" t="str">
            <v>neomezen</v>
          </cell>
          <cell r="V13">
            <v>1</v>
          </cell>
          <cell r="W13">
            <v>3.5342465753424657</v>
          </cell>
          <cell r="X13" t="str">
            <v>koš 30 CE Winners akcií</v>
          </cell>
          <cell r="Z13">
            <v>1.5863013698630137</v>
          </cell>
          <cell r="AA13">
            <v>12.37</v>
          </cell>
          <cell r="AB13">
            <v>0.31861061612394381</v>
          </cell>
          <cell r="AC13">
            <v>0.27861061612394383</v>
          </cell>
          <cell r="AD13">
            <v>0.27861061612394383</v>
          </cell>
          <cell r="AE13">
            <v>0.23699999999999988</v>
          </cell>
          <cell r="AF13">
            <v>0.14348271299875948</v>
          </cell>
        </row>
        <row r="14">
          <cell r="A14" t="str">
            <v>ČSOB Click program 5</v>
          </cell>
          <cell r="B14" t="str">
            <v>LU0258216455</v>
          </cell>
          <cell r="C14" t="str">
            <v>CZK</v>
          </cell>
          <cell r="D14">
            <v>38926</v>
          </cell>
          <cell r="E14">
            <v>38883</v>
          </cell>
          <cell r="F14">
            <v>38919</v>
          </cell>
          <cell r="G14">
            <v>40907</v>
          </cell>
          <cell r="H14">
            <v>5.4273972602739722</v>
          </cell>
          <cell r="I14" t="str">
            <v>veřejná</v>
          </cell>
          <cell r="L14">
            <v>-0.03</v>
          </cell>
          <cell r="M14">
            <v>7.1999999999999995E-2</v>
          </cell>
          <cell r="N14">
            <v>10</v>
          </cell>
          <cell r="O14" t="str">
            <v>období:prvních 10 dní srpnu 2007,8,9,10; prvních 10 dní prosinci 2011</v>
          </cell>
          <cell r="P14">
            <v>1</v>
          </cell>
          <cell r="Q14">
            <v>0.05</v>
          </cell>
          <cell r="U14">
            <v>0.36000000000000004</v>
          </cell>
          <cell r="V14">
            <v>5</v>
          </cell>
          <cell r="W14">
            <v>3.956164383561644</v>
          </cell>
          <cell r="X14" t="str">
            <v>50% SX5E+ 30%SPX+20%NKY</v>
          </cell>
          <cell r="Y14">
            <v>7.1999999999999995E-2</v>
          </cell>
          <cell r="Z14">
            <v>1.4712328767123282</v>
          </cell>
          <cell r="AA14">
            <v>10.17</v>
          </cell>
          <cell r="AB14">
            <v>-7.4779269825072769E-2</v>
          </cell>
          <cell r="AC14">
            <v>-0.03</v>
          </cell>
          <cell r="AD14">
            <v>4.1999999999999996E-2</v>
          </cell>
          <cell r="AE14">
            <v>1.6999999999999904E-2</v>
          </cell>
          <cell r="AF14">
            <v>1.1523709205465416E-2</v>
          </cell>
        </row>
        <row r="15">
          <cell r="A15" t="str">
            <v>ČSOB PB Reverse Spread 1</v>
          </cell>
          <cell r="B15" t="str">
            <v>BE0946339075</v>
          </cell>
          <cell r="C15" t="str">
            <v>CZK</v>
          </cell>
          <cell r="D15">
            <v>38947</v>
          </cell>
          <cell r="E15">
            <v>38908</v>
          </cell>
          <cell r="F15">
            <v>38940</v>
          </cell>
          <cell r="G15">
            <v>39538</v>
          </cell>
          <cell r="H15">
            <v>1.6191780821917807</v>
          </cell>
          <cell r="I15" t="str">
            <v>neveřejná</v>
          </cell>
          <cell r="N15">
            <v>10</v>
          </cell>
          <cell r="O15" t="str">
            <v>posledních 10 obchodních dní v únoru 2008</v>
          </cell>
          <cell r="P15">
            <v>1</v>
          </cell>
          <cell r="Q15">
            <v>0</v>
          </cell>
          <cell r="T15">
            <v>0</v>
          </cell>
          <cell r="U15">
            <v>0.57999999999999996</v>
          </cell>
          <cell r="V15">
            <v>1</v>
          </cell>
          <cell r="W15">
            <v>0.20547945205479451</v>
          </cell>
          <cell r="X15" t="str">
            <v>koš 20 akcií</v>
          </cell>
          <cell r="Z15">
            <v>1.4136986301369863</v>
          </cell>
          <cell r="AA15">
            <v>9.92</v>
          </cell>
          <cell r="AB15">
            <v>0.15922786190001706</v>
          </cell>
          <cell r="AC15">
            <v>-0.37101307898625668</v>
          </cell>
          <cell r="AD15">
            <v>-0.37101307898625668</v>
          </cell>
          <cell r="AE15">
            <v>-8.0000000000000071E-3</v>
          </cell>
          <cell r="AF15">
            <v>-5.6655616680140186E-3</v>
          </cell>
        </row>
        <row r="16">
          <cell r="A16" t="str">
            <v>ČSOB PB Commodity 1</v>
          </cell>
          <cell r="B16" t="str">
            <v>BE0946430015</v>
          </cell>
          <cell r="C16" t="str">
            <v>CZK</v>
          </cell>
          <cell r="D16">
            <v>38989</v>
          </cell>
          <cell r="E16">
            <v>38943</v>
          </cell>
          <cell r="F16">
            <v>38982</v>
          </cell>
          <cell r="G16">
            <v>41029</v>
          </cell>
          <cell r="H16">
            <v>5.5890410958904111</v>
          </cell>
          <cell r="I16" t="str">
            <v>neveřejná</v>
          </cell>
          <cell r="N16">
            <v>10</v>
          </cell>
          <cell r="O16" t="str">
            <v>poslední den v březnu 2012</v>
          </cell>
          <cell r="P16">
            <v>1</v>
          </cell>
          <cell r="Q16">
            <v>0</v>
          </cell>
          <cell r="S16">
            <v>1</v>
          </cell>
          <cell r="U16" t="str">
            <v>neomezen</v>
          </cell>
          <cell r="V16">
            <v>1</v>
          </cell>
          <cell r="W16">
            <v>4.2904109589041095</v>
          </cell>
          <cell r="X16" t="str">
            <v>KBC Commodity Index</v>
          </cell>
          <cell r="Z16">
            <v>1.2986301369863016</v>
          </cell>
          <cell r="AA16">
            <v>11.35</v>
          </cell>
          <cell r="AB16">
            <v>0.1401164698162729</v>
          </cell>
          <cell r="AC16">
            <v>0.1541281167979002</v>
          </cell>
          <cell r="AD16">
            <v>0.1541281167979002</v>
          </cell>
          <cell r="AE16">
            <v>0.13500000000000001</v>
          </cell>
          <cell r="AF16">
            <v>0.10242520455993454</v>
          </cell>
        </row>
        <row r="17">
          <cell r="A17" t="str">
            <v>CSOB PB Variable Participation 1</v>
          </cell>
          <cell r="B17" t="str">
            <v>BE0946519908</v>
          </cell>
          <cell r="C17" t="str">
            <v>CZK</v>
          </cell>
          <cell r="D17">
            <v>39003</v>
          </cell>
          <cell r="E17">
            <v>38973</v>
          </cell>
          <cell r="F17">
            <v>38996</v>
          </cell>
          <cell r="G17">
            <v>40847</v>
          </cell>
          <cell r="H17">
            <v>5.0520547945205481</v>
          </cell>
          <cell r="I17" t="str">
            <v>neveřejná</v>
          </cell>
          <cell r="N17">
            <v>10</v>
          </cell>
          <cell r="O17" t="str">
            <v>průměr 12 měsíců od října 2010 do září 2011</v>
          </cell>
          <cell r="P17">
            <v>1</v>
          </cell>
          <cell r="Q17">
            <v>0</v>
          </cell>
          <cell r="S17" t="str">
            <v>100%/50%</v>
          </cell>
          <cell r="U17" t="str">
            <v>neomezen</v>
          </cell>
          <cell r="V17">
            <v>1</v>
          </cell>
          <cell r="W17">
            <v>3.7917808219178082</v>
          </cell>
          <cell r="X17" t="str">
            <v>koš 30 světových akcií</v>
          </cell>
          <cell r="Z17">
            <v>1.2602739726027399</v>
          </cell>
          <cell r="AA17">
            <v>9.77</v>
          </cell>
          <cell r="AB17">
            <v>-2.8971092268893807E-2</v>
          </cell>
          <cell r="AC17">
            <v>0</v>
          </cell>
          <cell r="AD17">
            <v>0</v>
          </cell>
          <cell r="AE17">
            <v>-2.300000000000002E-2</v>
          </cell>
          <cell r="AF17">
            <v>-1.8293749842744123E-2</v>
          </cell>
        </row>
        <row r="18">
          <cell r="A18" t="str">
            <v>ČSOB PB Double Safety 1</v>
          </cell>
          <cell r="B18" t="str">
            <v>BE0946591659</v>
          </cell>
          <cell r="C18" t="str">
            <v>CZK</v>
          </cell>
          <cell r="D18">
            <v>39037</v>
          </cell>
          <cell r="E18">
            <v>39001</v>
          </cell>
          <cell r="F18">
            <v>39031</v>
          </cell>
          <cell r="G18">
            <v>41089</v>
          </cell>
          <cell r="H18">
            <v>5.6219178082191785</v>
          </cell>
          <cell r="I18" t="str">
            <v>neveřejná</v>
          </cell>
          <cell r="N18">
            <v>10</v>
          </cell>
          <cell r="O18" t="str">
            <v>prvních 10 dní v květnu 2007 + průměr 12 měsíců od června 2011 do května 2012</v>
          </cell>
          <cell r="P18">
            <v>1</v>
          </cell>
          <cell r="Q18">
            <v>0</v>
          </cell>
          <cell r="S18">
            <v>1</v>
          </cell>
          <cell r="U18" t="str">
            <v>neomezen</v>
          </cell>
          <cell r="V18">
            <v>2</v>
          </cell>
          <cell r="W18">
            <v>4.4547945205479449</v>
          </cell>
          <cell r="X18" t="str">
            <v>koš 30 světových akcií</v>
          </cell>
          <cell r="Y18">
            <v>6.9800000000000001E-2</v>
          </cell>
          <cell r="Z18">
            <v>1.1671232876712336</v>
          </cell>
          <cell r="AA18">
            <v>9.67</v>
          </cell>
          <cell r="AB18">
            <v>-0.12153329900539639</v>
          </cell>
          <cell r="AC18">
            <v>0</v>
          </cell>
          <cell r="AD18">
            <v>6.9800000000000001E-2</v>
          </cell>
          <cell r="AE18">
            <v>-3.3000000000000029E-2</v>
          </cell>
          <cell r="AF18">
            <v>-2.8342306955761454E-2</v>
          </cell>
        </row>
        <row r="19">
          <cell r="A19" t="str">
            <v>ČSOB World Growth Short 1</v>
          </cell>
          <cell r="B19" t="str">
            <v>BE0946360287</v>
          </cell>
          <cell r="C19" t="str">
            <v>CZK</v>
          </cell>
          <cell r="D19">
            <v>39058</v>
          </cell>
          <cell r="E19">
            <v>39006</v>
          </cell>
          <cell r="F19">
            <v>39051</v>
          </cell>
          <cell r="G19">
            <v>39812</v>
          </cell>
          <cell r="H19">
            <v>2.0657534246575344</v>
          </cell>
          <cell r="I19" t="str">
            <v>veřejná</v>
          </cell>
          <cell r="N19">
            <v>10</v>
          </cell>
          <cell r="O19" t="str">
            <v>posledních 10 obchodních dní v listopadu 2008</v>
          </cell>
          <cell r="P19">
            <v>0.96</v>
          </cell>
          <cell r="Q19">
            <v>0</v>
          </cell>
          <cell r="S19">
            <v>1</v>
          </cell>
          <cell r="U19" t="str">
            <v>neomezen</v>
          </cell>
          <cell r="V19">
            <v>1</v>
          </cell>
          <cell r="W19">
            <v>0.95616438356164379</v>
          </cell>
          <cell r="X19" t="str">
            <v>koš 30 světových akcií</v>
          </cell>
          <cell r="Z19">
            <v>1.1095890410958906</v>
          </cell>
          <cell r="AA19">
            <v>9.7799999999999994</v>
          </cell>
          <cell r="AB19">
            <v>-4.9702132574008066E-2</v>
          </cell>
          <cell r="AC19">
            <v>-0.04</v>
          </cell>
          <cell r="AD19">
            <v>-0.04</v>
          </cell>
          <cell r="AE19">
            <v>-2.200000000000002E-2</v>
          </cell>
          <cell r="AF19">
            <v>-1.9848876709851693E-2</v>
          </cell>
        </row>
        <row r="20">
          <cell r="A20" t="str">
            <v>ČSOB PB World Jumper 1</v>
          </cell>
          <cell r="B20" t="str">
            <v>BE0946693703</v>
          </cell>
          <cell r="C20" t="str">
            <v>CZK</v>
          </cell>
          <cell r="D20">
            <v>39108</v>
          </cell>
          <cell r="E20">
            <v>39048</v>
          </cell>
          <cell r="F20">
            <v>39101</v>
          </cell>
          <cell r="G20">
            <v>40968</v>
          </cell>
          <cell r="H20">
            <v>5.095890410958904</v>
          </cell>
          <cell r="I20" t="str">
            <v>veřejná</v>
          </cell>
          <cell r="J20" t="str">
            <v>prémium 7%/rok</v>
          </cell>
          <cell r="N20">
            <v>10</v>
          </cell>
          <cell r="O20" t="str">
            <v>prvních 10 dní v únoru 2009,2010,2011,2012</v>
          </cell>
          <cell r="P20">
            <v>1</v>
          </cell>
          <cell r="Q20">
            <v>0</v>
          </cell>
          <cell r="S20">
            <v>1</v>
          </cell>
          <cell r="U20">
            <v>0.35</v>
          </cell>
          <cell r="V20">
            <v>1</v>
          </cell>
          <cell r="W20">
            <v>4.1232876712328768</v>
          </cell>
          <cell r="X20" t="str">
            <v>koš 30 světových akcií</v>
          </cell>
          <cell r="Z20">
            <v>0.97260273972602729</v>
          </cell>
          <cell r="AA20">
            <v>9.8800000000000008</v>
          </cell>
          <cell r="AB20">
            <v>-5.8263140262301394E-2</v>
          </cell>
          <cell r="AC20">
            <v>0</v>
          </cell>
          <cell r="AD20">
            <v>0</v>
          </cell>
          <cell r="AE20">
            <v>-1.19999999999999E-2</v>
          </cell>
          <cell r="AF20" t="str">
            <v>N.A.</v>
          </cell>
        </row>
        <row r="21">
          <cell r="A21" t="str">
            <v>ČSOB PB Asian Click 1</v>
          </cell>
          <cell r="B21" t="str">
            <v>BE0946990760</v>
          </cell>
          <cell r="C21" t="str">
            <v>CZK</v>
          </cell>
          <cell r="D21">
            <v>39164</v>
          </cell>
          <cell r="E21">
            <v>39132</v>
          </cell>
          <cell r="F21">
            <v>39157</v>
          </cell>
          <cell r="G21">
            <v>41089</v>
          </cell>
          <cell r="H21">
            <v>5.2739726027397262</v>
          </cell>
          <cell r="I21" t="str">
            <v>veřejná</v>
          </cell>
          <cell r="L21">
            <v>-0.03</v>
          </cell>
          <cell r="M21">
            <v>7.4999999999999997E-2</v>
          </cell>
          <cell r="N21">
            <v>10</v>
          </cell>
          <cell r="O21" t="str">
            <v>5 období:prvních 10 dní dubnu 2008,9,10,11; prvních 10 dní červnu 2012</v>
          </cell>
          <cell r="P21">
            <v>1</v>
          </cell>
          <cell r="Q21">
            <v>0</v>
          </cell>
          <cell r="U21">
            <v>0.375</v>
          </cell>
          <cell r="V21">
            <v>5</v>
          </cell>
          <cell r="W21">
            <v>4.4547945205479449</v>
          </cell>
          <cell r="X21" t="str">
            <v>SGI, HSI, HSCEI, NKY (po 25%)</v>
          </cell>
          <cell r="Z21">
            <v>0.81917808219178134</v>
          </cell>
          <cell r="AA21">
            <v>9.8699999999999992</v>
          </cell>
          <cell r="AB21">
            <v>0.11108649421467703</v>
          </cell>
          <cell r="AC21">
            <v>7.4999999999999997E-2</v>
          </cell>
          <cell r="AD21">
            <v>7.4999999999999997E-2</v>
          </cell>
          <cell r="AE21">
            <v>-1.3000000000000123E-2</v>
          </cell>
          <cell r="AF21" t="str">
            <v>N.A.</v>
          </cell>
        </row>
        <row r="22">
          <cell r="A22" t="str">
            <v>ČSOB PB Attractive Sectors 2</v>
          </cell>
          <cell r="B22" t="str">
            <v>BE0947051406</v>
          </cell>
          <cell r="C22" t="str">
            <v>CZK</v>
          </cell>
          <cell r="D22">
            <v>39189</v>
          </cell>
          <cell r="E22">
            <v>39153</v>
          </cell>
          <cell r="F22">
            <v>39182</v>
          </cell>
          <cell r="G22">
            <v>40298</v>
          </cell>
          <cell r="H22">
            <v>3.0383561643835617</v>
          </cell>
          <cell r="I22" t="str">
            <v>veřejná</v>
          </cell>
          <cell r="N22">
            <v>10</v>
          </cell>
          <cell r="O22" t="str">
            <v>průměr 6 měsíců od října 2009 do března 2010</v>
          </cell>
          <cell r="P22">
            <v>0.95</v>
          </cell>
          <cell r="Q22">
            <v>0</v>
          </cell>
          <cell r="S22">
            <v>0.8</v>
          </cell>
          <cell r="U22" t="str">
            <v>neomezen</v>
          </cell>
          <cell r="V22">
            <v>1</v>
          </cell>
          <cell r="W22">
            <v>2.2876712328767121</v>
          </cell>
          <cell r="X22" t="str">
            <v>50% EPRA + 50% CE Winners</v>
          </cell>
          <cell r="Z22">
            <v>0.75068493150684956</v>
          </cell>
          <cell r="AA22">
            <v>9.0399999999999991</v>
          </cell>
          <cell r="AB22">
            <v>-0.23745153395228744</v>
          </cell>
          <cell r="AC22">
            <v>-0.05</v>
          </cell>
          <cell r="AD22">
            <v>-0.05</v>
          </cell>
          <cell r="AE22">
            <v>-9.6000000000000085E-2</v>
          </cell>
          <cell r="AF22" t="str">
            <v>N.A.</v>
          </cell>
        </row>
        <row r="23">
          <cell r="A23" t="str">
            <v>ČSOB PB Europe Short 3</v>
          </cell>
          <cell r="B23" t="str">
            <v>BE0947137296</v>
          </cell>
          <cell r="C23" t="str">
            <v>CZK</v>
          </cell>
          <cell r="D23">
            <v>39224</v>
          </cell>
          <cell r="E23">
            <v>39182</v>
          </cell>
          <cell r="F23">
            <v>39213</v>
          </cell>
          <cell r="G23">
            <v>39994</v>
          </cell>
          <cell r="H23">
            <v>2.1095890410958904</v>
          </cell>
          <cell r="I23" t="str">
            <v>veřejná</v>
          </cell>
          <cell r="N23">
            <v>10</v>
          </cell>
          <cell r="O23" t="str">
            <v>průměr 6 měsíců od prosince 2008 do května 2009</v>
          </cell>
          <cell r="P23">
            <v>0.95</v>
          </cell>
          <cell r="Q23">
            <v>0</v>
          </cell>
          <cell r="S23">
            <v>1</v>
          </cell>
          <cell r="U23" t="str">
            <v>neomezen</v>
          </cell>
          <cell r="V23">
            <v>1</v>
          </cell>
          <cell r="W23">
            <v>1.4547945205479451</v>
          </cell>
          <cell r="X23" t="str">
            <v>koš 30 evropských akcií</v>
          </cell>
          <cell r="Z23">
            <v>0.65479452054794529</v>
          </cell>
          <cell r="AA23">
            <v>9.3000000000000007</v>
          </cell>
          <cell r="AB23">
            <v>-0.13367064974890142</v>
          </cell>
          <cell r="AC23">
            <v>-0.05</v>
          </cell>
          <cell r="AD23">
            <v>-0.05</v>
          </cell>
          <cell r="AE23">
            <v>-6.9999999999999951E-2</v>
          </cell>
          <cell r="AF23" t="str">
            <v>N.A.</v>
          </cell>
        </row>
        <row r="24">
          <cell r="A24" t="str">
            <v>ČSOB PB Entry Optimizer 1</v>
          </cell>
          <cell r="B24" t="str">
            <v>BE0947207024</v>
          </cell>
          <cell r="C24" t="str">
            <v>CZK</v>
          </cell>
          <cell r="D24">
            <v>39241</v>
          </cell>
          <cell r="E24">
            <v>39209</v>
          </cell>
          <cell r="F24">
            <v>39234</v>
          </cell>
          <cell r="G24">
            <v>41089</v>
          </cell>
          <cell r="H24">
            <v>5.0630136986301366</v>
          </cell>
          <cell r="I24" t="str">
            <v>veřejná</v>
          </cell>
          <cell r="N24">
            <v>10</v>
          </cell>
          <cell r="O24" t="str">
            <v>počátek 24M první den (0707-0609); konec posl. 12m 0611-0512)</v>
          </cell>
          <cell r="P24">
            <v>1</v>
          </cell>
          <cell r="Q24" t="str">
            <v>není</v>
          </cell>
          <cell r="S24">
            <v>0.95</v>
          </cell>
          <cell r="U24" t="str">
            <v>neomezen</v>
          </cell>
          <cell r="V24">
            <v>1</v>
          </cell>
          <cell r="W24">
            <v>4.4547945205479449</v>
          </cell>
          <cell r="X24" t="str">
            <v>DJ Eurostoxx 50</v>
          </cell>
          <cell r="Z24">
            <v>0.60821917808219172</v>
          </cell>
          <cell r="AA24">
            <v>9.36</v>
          </cell>
          <cell r="AB24">
            <v>-6.1255546771105118E-2</v>
          </cell>
          <cell r="AC24">
            <v>-6.1255546771105118E-2</v>
          </cell>
          <cell r="AD24">
            <v>-6.1255546771105118E-2</v>
          </cell>
          <cell r="AE24">
            <v>-6.4000000000000057E-2</v>
          </cell>
          <cell r="AF24" t="str">
            <v>N.A.</v>
          </cell>
        </row>
        <row r="25">
          <cell r="A25" t="str">
            <v>ČSOB PB Central Europe Winners 2</v>
          </cell>
          <cell r="B25" t="str">
            <v>BE0947262573</v>
          </cell>
          <cell r="C25" t="str">
            <v>CZK</v>
          </cell>
          <cell r="D25">
            <v>39262</v>
          </cell>
          <cell r="E25">
            <v>39230</v>
          </cell>
          <cell r="F25">
            <v>39255</v>
          </cell>
          <cell r="G25">
            <v>41121</v>
          </cell>
          <cell r="H25">
            <v>5.0931506849315067</v>
          </cell>
          <cell r="I25" t="str">
            <v>veřejná</v>
          </cell>
          <cell r="N25">
            <v>10</v>
          </cell>
          <cell r="O25" t="str">
            <v>průměr 12 měsíců od červenec 2011 do června 2012</v>
          </cell>
          <cell r="P25">
            <v>0.95</v>
          </cell>
          <cell r="Q25">
            <v>0</v>
          </cell>
          <cell r="S25">
            <v>1.05</v>
          </cell>
          <cell r="U25" t="str">
            <v>neomezen</v>
          </cell>
          <cell r="V25">
            <v>1</v>
          </cell>
          <cell r="W25">
            <v>4.5424657534246577</v>
          </cell>
          <cell r="X25" t="str">
            <v>koš 30 CE Winners akcií</v>
          </cell>
          <cell r="Z25">
            <v>0.55068493150684894</v>
          </cell>
          <cell r="AA25">
            <v>9.25</v>
          </cell>
          <cell r="AB25">
            <v>-9.1184072130462049E-2</v>
          </cell>
          <cell r="AC25">
            <v>-0.05</v>
          </cell>
          <cell r="AD25">
            <v>-0.05</v>
          </cell>
          <cell r="AE25">
            <v>-7.4999999999999956E-2</v>
          </cell>
          <cell r="AF25" t="str">
            <v>N.A.</v>
          </cell>
        </row>
        <row r="26">
          <cell r="A26" t="str">
            <v>ČSOB PB BRIC 1</v>
          </cell>
          <cell r="B26" t="str">
            <v>BE0947320181</v>
          </cell>
          <cell r="C26" t="str">
            <v>CZK</v>
          </cell>
          <cell r="D26">
            <v>39311</v>
          </cell>
          <cell r="E26">
            <v>39265</v>
          </cell>
          <cell r="F26">
            <v>39304</v>
          </cell>
          <cell r="G26">
            <v>40786</v>
          </cell>
          <cell r="H26">
            <v>4.0410958904109586</v>
          </cell>
          <cell r="I26" t="str">
            <v>veřejná</v>
          </cell>
          <cell r="N26">
            <v>10</v>
          </cell>
          <cell r="O26" t="str">
            <v>průměr 12 měsíců od srpna 2010 do července 2011</v>
          </cell>
          <cell r="P26">
            <v>0.95</v>
          </cell>
          <cell r="Q26">
            <v>0</v>
          </cell>
          <cell r="S26">
            <v>0.9</v>
          </cell>
          <cell r="U26" t="str">
            <v>neomezen</v>
          </cell>
          <cell r="V26">
            <v>1</v>
          </cell>
          <cell r="W26">
            <v>3.6246575342465754</v>
          </cell>
          <cell r="X26" t="str">
            <v>50% S&amp;P BRIC 40 + 50% BRIC Winners</v>
          </cell>
          <cell r="Z26">
            <v>0.41643835616438318</v>
          </cell>
          <cell r="AA26">
            <v>10.52</v>
          </cell>
          <cell r="AB26">
            <v>0.15767237001698306</v>
          </cell>
          <cell r="AC26">
            <v>7.6137896013586462E-2</v>
          </cell>
          <cell r="AD26">
            <v>7.6137896013586462E-2</v>
          </cell>
          <cell r="AE26">
            <v>5.2000000000000046E-2</v>
          </cell>
          <cell r="AF26" t="str">
            <v>N.A.</v>
          </cell>
        </row>
        <row r="27">
          <cell r="A27" t="str">
            <v>ČSOB PB World Lookback 1</v>
          </cell>
          <cell r="B27" t="str">
            <v>BE0947382801</v>
          </cell>
          <cell r="C27" t="str">
            <v>CZK</v>
          </cell>
          <cell r="D27">
            <v>39346</v>
          </cell>
          <cell r="E27">
            <v>39295</v>
          </cell>
          <cell r="F27">
            <v>39339</v>
          </cell>
          <cell r="G27">
            <v>41362</v>
          </cell>
          <cell r="H27">
            <v>5.5232876712328771</v>
          </cell>
          <cell r="I27" t="str">
            <v>veřejná</v>
          </cell>
          <cell r="N27">
            <v>10</v>
          </cell>
          <cell r="O27" t="str">
            <v>počátek 12M první den (1007-0908); konec posl. 18m 0911-0213)</v>
          </cell>
          <cell r="P27">
            <v>0.95</v>
          </cell>
          <cell r="Q27">
            <v>0</v>
          </cell>
          <cell r="S27">
            <v>1.1000000000000001</v>
          </cell>
          <cell r="U27" t="str">
            <v>neomezen</v>
          </cell>
          <cell r="V27">
            <v>1</v>
          </cell>
          <cell r="W27">
            <v>5.2027397260273975</v>
          </cell>
          <cell r="X27" t="str">
            <v>koš 30 světových akcií</v>
          </cell>
          <cell r="Z27">
            <v>0.32054794520547958</v>
          </cell>
          <cell r="AA27">
            <v>9.61</v>
          </cell>
          <cell r="AB27">
            <v>-8.4071029535042016E-2</v>
          </cell>
          <cell r="AC27">
            <v>-0.05</v>
          </cell>
          <cell r="AD27">
            <v>-0.05</v>
          </cell>
          <cell r="AE27">
            <v>-3.9000000000000035E-2</v>
          </cell>
          <cell r="AF27" t="str">
            <v>N.A.</v>
          </cell>
        </row>
        <row r="28">
          <cell r="A28" t="str">
            <v>ČSOB PB Jumpstart 1</v>
          </cell>
          <cell r="B28" t="str">
            <v>BE0947471729</v>
          </cell>
          <cell r="C28" t="str">
            <v>CZK</v>
          </cell>
          <cell r="D28">
            <v>39367</v>
          </cell>
          <cell r="E28">
            <v>39328</v>
          </cell>
          <cell r="F28">
            <v>39360</v>
          </cell>
          <cell r="G28">
            <v>41578</v>
          </cell>
          <cell r="H28">
            <v>6.0575342465753428</v>
          </cell>
          <cell r="I28" t="str">
            <v>veřejná</v>
          </cell>
          <cell r="N28">
            <v>10</v>
          </cell>
          <cell r="O28" t="str">
            <v>průměr 18 měsíců od dubna 2012 do září 2013</v>
          </cell>
          <cell r="P28">
            <v>1</v>
          </cell>
          <cell r="Q28">
            <v>0</v>
          </cell>
          <cell r="R28">
            <v>0.3</v>
          </cell>
          <cell r="S28">
            <v>0.8</v>
          </cell>
          <cell r="U28" t="str">
            <v>neomezen</v>
          </cell>
          <cell r="V28">
            <v>1</v>
          </cell>
          <cell r="W28">
            <v>5.7945205479452051</v>
          </cell>
          <cell r="X28" t="str">
            <v>koš 30 světových akcií</v>
          </cell>
          <cell r="Z28">
            <v>0.26301369863013768</v>
          </cell>
          <cell r="AA28">
            <v>9.5500000000000007</v>
          </cell>
          <cell r="AB28">
            <v>-6.2400964171018793E-2</v>
          </cell>
          <cell r="AC28">
            <v>0</v>
          </cell>
          <cell r="AD28">
            <v>0</v>
          </cell>
          <cell r="AE28">
            <v>-4.4999999999999929E-2</v>
          </cell>
          <cell r="AF28" t="str">
            <v>N.A.</v>
          </cell>
        </row>
        <row r="29">
          <cell r="A29" t="str">
            <v>ČSOB PB Emerging Markets 2</v>
          </cell>
          <cell r="B29" t="str">
            <v>BE0947489903</v>
          </cell>
          <cell r="C29" t="str">
            <v>CZK</v>
          </cell>
          <cell r="D29">
            <v>39381</v>
          </cell>
          <cell r="E29">
            <v>39335</v>
          </cell>
          <cell r="F29">
            <v>39374</v>
          </cell>
          <cell r="G29">
            <v>41578</v>
          </cell>
          <cell r="H29">
            <v>6.0191780821917806</v>
          </cell>
          <cell r="I29" t="str">
            <v>veřejná</v>
          </cell>
          <cell r="N29">
            <v>10</v>
          </cell>
          <cell r="O29" t="str">
            <v>průměr 24 měsíců od října 2011 do září 2013</v>
          </cell>
          <cell r="P29">
            <v>0.95</v>
          </cell>
          <cell r="Q29">
            <v>0</v>
          </cell>
          <cell r="S29">
            <v>0.8</v>
          </cell>
          <cell r="U29" t="str">
            <v>neomezen</v>
          </cell>
          <cell r="V29">
            <v>1</v>
          </cell>
          <cell r="W29">
            <v>5.7945205479452051</v>
          </cell>
          <cell r="X29" t="str">
            <v>30% SGY; 30% Kospi2; 20% HSCEI; 15% TOP40; 5% USIBOV</v>
          </cell>
          <cell r="Z29">
            <v>0.22465753424657553</v>
          </cell>
          <cell r="AA29">
            <v>8.91</v>
          </cell>
          <cell r="AB29">
            <v>-0.1813134175841622</v>
          </cell>
          <cell r="AC29">
            <v>-0.05</v>
          </cell>
          <cell r="AD29">
            <v>-0.05</v>
          </cell>
          <cell r="AE29">
            <v>-0.10899999999999999</v>
          </cell>
          <cell r="AF29" t="str">
            <v>N.A.</v>
          </cell>
        </row>
        <row r="30">
          <cell r="A30" t="str">
            <v>ČSOB PB Luxury and Growth Stocks 1</v>
          </cell>
          <cell r="B30" t="str">
            <v>BE0947656634</v>
          </cell>
          <cell r="C30" t="str">
            <v>CZK</v>
          </cell>
          <cell r="D30">
            <v>39409</v>
          </cell>
          <cell r="E30">
            <v>39370</v>
          </cell>
          <cell r="F30">
            <v>39402</v>
          </cell>
          <cell r="G30">
            <v>41425</v>
          </cell>
          <cell r="H30">
            <v>5.5232876712328771</v>
          </cell>
          <cell r="I30" t="str">
            <v>veřejná</v>
          </cell>
          <cell r="N30">
            <v>10</v>
          </cell>
          <cell r="O30" t="str">
            <v>průměr 18 měsíců od listopadu 2011 do dubna 2013</v>
          </cell>
          <cell r="P30">
            <v>0.95</v>
          </cell>
          <cell r="S30">
            <v>1</v>
          </cell>
          <cell r="U30" t="str">
            <v>neomezen</v>
          </cell>
          <cell r="V30">
            <v>1</v>
          </cell>
          <cell r="W30">
            <v>5.375342465753425</v>
          </cell>
          <cell r="X30" t="str">
            <v>koš 30 "Luxury and Growth" akcií</v>
          </cell>
          <cell r="Z30">
            <v>0.14794520547945211</v>
          </cell>
          <cell r="AA30">
            <v>9.23</v>
          </cell>
          <cell r="AB30">
            <v>-8.4360272699712913E-2</v>
          </cell>
          <cell r="AC30">
            <v>-0.05</v>
          </cell>
          <cell r="AD30">
            <v>-0.05</v>
          </cell>
          <cell r="AE30">
            <v>-7.6999999999999957E-2</v>
          </cell>
          <cell r="AF30" t="str">
            <v>N.A.</v>
          </cell>
        </row>
        <row r="32">
          <cell r="A32" t="str">
            <v>Centea Fund Reverse Spread 3</v>
          </cell>
          <cell r="B32" t="str">
            <v>BE0946228906</v>
          </cell>
          <cell r="C32" t="str">
            <v>EUR</v>
          </cell>
          <cell r="D32">
            <v>38905</v>
          </cell>
          <cell r="E32">
            <v>38866</v>
          </cell>
          <cell r="F32">
            <v>38898</v>
          </cell>
          <cell r="G32">
            <v>39478</v>
          </cell>
          <cell r="H32">
            <v>1.5698630136986302</v>
          </cell>
          <cell r="I32" t="str">
            <v>neveřejná</v>
          </cell>
          <cell r="N32">
            <v>1000</v>
          </cell>
          <cell r="O32" t="str">
            <v>posledních 10 obchodních dní v prosinci 2008</v>
          </cell>
          <cell r="P32">
            <v>1</v>
          </cell>
          <cell r="Q32">
            <v>0</v>
          </cell>
          <cell r="U32">
            <v>0.54</v>
          </cell>
          <cell r="V32">
            <v>1</v>
          </cell>
          <cell r="W32">
            <v>4.1095890410958902E-2</v>
          </cell>
          <cell r="X32" t="str">
            <v>koš 20 akcií</v>
          </cell>
          <cell r="Z32">
            <v>1.5287671232876714</v>
          </cell>
          <cell r="AA32">
            <v>1000.7</v>
          </cell>
          <cell r="AB32">
            <v>0.31990816824883739</v>
          </cell>
          <cell r="AC32">
            <v>0</v>
          </cell>
          <cell r="AD32">
            <v>0</v>
          </cell>
          <cell r="AE32">
            <v>7.0000000000014495E-4</v>
          </cell>
          <cell r="AF32">
            <v>4.5782989167908461E-4</v>
          </cell>
        </row>
        <row r="33">
          <cell r="A33" t="str">
            <v>Centea Fund Safety Click Germany 2</v>
          </cell>
          <cell r="B33" t="str">
            <v>BE0946033892</v>
          </cell>
          <cell r="C33" t="str">
            <v>EUR</v>
          </cell>
          <cell r="D33">
            <v>38845</v>
          </cell>
          <cell r="E33">
            <v>38810</v>
          </cell>
          <cell r="F33">
            <v>38835</v>
          </cell>
          <cell r="G33">
            <v>40326</v>
          </cell>
          <cell r="H33">
            <v>4.0575342465753428</v>
          </cell>
          <cell r="I33" t="str">
            <v>neveřejná</v>
          </cell>
          <cell r="N33">
            <v>1000</v>
          </cell>
          <cell r="O33" t="str">
            <v>průměr 16 čtvrtletních pozorování od července 2006 do dubna 2010</v>
          </cell>
          <cell r="P33">
            <v>1</v>
          </cell>
          <cell r="Q33">
            <v>0</v>
          </cell>
          <cell r="S33">
            <v>1.05</v>
          </cell>
          <cell r="U33" t="str">
            <v>neomezen</v>
          </cell>
          <cell r="V33">
            <v>1</v>
          </cell>
          <cell r="W33">
            <v>2.3643835616438356</v>
          </cell>
          <cell r="X33" t="str">
            <v>koš 25 německých blue-chips</v>
          </cell>
          <cell r="Z33">
            <v>1.6931506849315072</v>
          </cell>
          <cell r="AA33">
            <v>1145.3</v>
          </cell>
          <cell r="AB33">
            <v>0.21142916999785311</v>
          </cell>
          <cell r="AC33">
            <v>0.22200062849774577</v>
          </cell>
          <cell r="AD33">
            <v>0.22200062849774577</v>
          </cell>
          <cell r="AE33">
            <v>0.14529999999999998</v>
          </cell>
          <cell r="AF33">
            <v>8.3424350876385889E-2</v>
          </cell>
        </row>
        <row r="34">
          <cell r="A34" t="str">
            <v>Centea Fund Safety Click Germany 3</v>
          </cell>
          <cell r="B34" t="str">
            <v>BE0946126852</v>
          </cell>
          <cell r="C34" t="str">
            <v>EUR</v>
          </cell>
          <cell r="D34">
            <v>38876</v>
          </cell>
          <cell r="E34">
            <v>38840</v>
          </cell>
          <cell r="F34">
            <v>38861</v>
          </cell>
          <cell r="G34">
            <v>40359</v>
          </cell>
          <cell r="H34">
            <v>4.0630136986301366</v>
          </cell>
          <cell r="I34" t="str">
            <v>neveřejná</v>
          </cell>
          <cell r="N34">
            <v>1000</v>
          </cell>
          <cell r="O34" t="str">
            <v>průměr 16 čtvrtletních pozorování od srpna 2006 do května 2010</v>
          </cell>
          <cell r="P34">
            <v>1</v>
          </cell>
          <cell r="Q34">
            <v>0</v>
          </cell>
          <cell r="S34">
            <v>1.05</v>
          </cell>
          <cell r="U34" t="str">
            <v>neomezen</v>
          </cell>
          <cell r="V34">
            <v>1</v>
          </cell>
          <cell r="W34">
            <v>2.4547945205479453</v>
          </cell>
          <cell r="X34" t="str">
            <v>koš 25 německých blue-chips</v>
          </cell>
          <cell r="Z34">
            <v>1.6082191780821913</v>
          </cell>
          <cell r="AA34">
            <v>1260.07</v>
          </cell>
          <cell r="AB34">
            <v>0.32216791131253397</v>
          </cell>
          <cell r="AC34">
            <v>0.33827630687816068</v>
          </cell>
          <cell r="AD34">
            <v>0.33827630687816068</v>
          </cell>
          <cell r="AE34">
            <v>0.26007000000000002</v>
          </cell>
          <cell r="AF34">
            <v>0.15458520608248927</v>
          </cell>
        </row>
        <row r="35">
          <cell r="A35" t="str">
            <v>Centea Fund World Jumper 2</v>
          </cell>
          <cell r="B35" t="str">
            <v>BE0946439107</v>
          </cell>
          <cell r="C35" t="str">
            <v>EUR</v>
          </cell>
          <cell r="D35">
            <v>38996</v>
          </cell>
          <cell r="E35">
            <v>38964</v>
          </cell>
          <cell r="F35">
            <v>38989</v>
          </cell>
          <cell r="G35">
            <v>40847</v>
          </cell>
          <cell r="H35">
            <v>5.0712328767123287</v>
          </cell>
          <cell r="I35" t="str">
            <v>neveřejná</v>
          </cell>
          <cell r="J35" t="str">
            <v>prémium 7,5%/rok</v>
          </cell>
          <cell r="N35">
            <v>1000</v>
          </cell>
          <cell r="O35" t="str">
            <v>prvních 10 dní v říjnu 2008,2009,2010,2011</v>
          </cell>
          <cell r="P35">
            <v>1</v>
          </cell>
          <cell r="Q35">
            <v>0</v>
          </cell>
          <cell r="S35">
            <v>1</v>
          </cell>
          <cell r="U35">
            <v>0.375</v>
          </cell>
          <cell r="V35">
            <v>4</v>
          </cell>
          <cell r="W35">
            <v>3.7917808219178082</v>
          </cell>
          <cell r="X35" t="str">
            <v>koš 30 světových akcií</v>
          </cell>
          <cell r="Z35">
            <v>1.2794520547945205</v>
          </cell>
          <cell r="AA35">
            <v>1016.03</v>
          </cell>
          <cell r="AB35">
            <v>-2.0959739129177597E-2</v>
          </cell>
          <cell r="AC35">
            <v>0</v>
          </cell>
          <cell r="AD35">
            <v>0</v>
          </cell>
          <cell r="AE35">
            <v>1.6029999999999989E-2</v>
          </cell>
          <cell r="AF35">
            <v>1.2507009478639253E-2</v>
          </cell>
        </row>
        <row r="36">
          <cell r="A36" t="str">
            <v>Centea Fund World Jumper 3</v>
          </cell>
          <cell r="B36" t="str">
            <v>BE0946578524</v>
          </cell>
          <cell r="C36" t="str">
            <v>EUR</v>
          </cell>
          <cell r="D36">
            <v>39031</v>
          </cell>
          <cell r="E36">
            <v>38992</v>
          </cell>
          <cell r="F36">
            <v>39024</v>
          </cell>
          <cell r="G36">
            <v>40877</v>
          </cell>
          <cell r="H36">
            <v>5.0575342465753428</v>
          </cell>
          <cell r="I36" t="str">
            <v>neveřejná</v>
          </cell>
          <cell r="J36" t="str">
            <v>prémium 7,5%/rok</v>
          </cell>
          <cell r="N36">
            <v>1000</v>
          </cell>
          <cell r="O36" t="str">
            <v>prvních 10 dní v listopadu 2008,2009,2010,2011</v>
          </cell>
          <cell r="P36">
            <v>1</v>
          </cell>
          <cell r="Q36">
            <v>0</v>
          </cell>
          <cell r="S36">
            <v>1</v>
          </cell>
          <cell r="U36">
            <v>0.375</v>
          </cell>
          <cell r="V36">
            <v>4</v>
          </cell>
          <cell r="W36">
            <v>3.8739726027397259</v>
          </cell>
          <cell r="X36" t="str">
            <v>koš 30 světových akcií</v>
          </cell>
          <cell r="Z36">
            <v>1.1835616438356169</v>
          </cell>
          <cell r="AA36">
            <v>1010.18</v>
          </cell>
          <cell r="AB36">
            <v>-3.54695962466854E-2</v>
          </cell>
          <cell r="AC36">
            <v>0</v>
          </cell>
          <cell r="AD36">
            <v>0</v>
          </cell>
          <cell r="AE36">
            <v>1.0179999999999856E-2</v>
          </cell>
          <cell r="AF36">
            <v>8.5943939394712565E-3</v>
          </cell>
        </row>
        <row r="37">
          <cell r="A37" t="str">
            <v>KBC Click Digital Reverse Europe 2</v>
          </cell>
          <cell r="B37" t="str">
            <v>BE0946665420</v>
          </cell>
          <cell r="C37" t="str">
            <v>EUR</v>
          </cell>
          <cell r="D37">
            <v>39058</v>
          </cell>
          <cell r="E37">
            <v>39027</v>
          </cell>
          <cell r="F37">
            <v>39045</v>
          </cell>
          <cell r="G37">
            <v>39721</v>
          </cell>
          <cell r="H37">
            <v>1.8164383561643835</v>
          </cell>
          <cell r="I37" t="str">
            <v>neveřejná</v>
          </cell>
          <cell r="L37">
            <v>-5</v>
          </cell>
          <cell r="M37">
            <v>0</v>
          </cell>
          <cell r="N37">
            <v>1000</v>
          </cell>
          <cell r="O37" t="str">
            <v>10 den každého měsíce</v>
          </cell>
          <cell r="P37">
            <v>1</v>
          </cell>
          <cell r="Q37">
            <v>0</v>
          </cell>
          <cell r="U37">
            <v>0.46</v>
          </cell>
          <cell r="V37">
            <v>21</v>
          </cell>
          <cell r="W37">
            <v>0.70684931506849313</v>
          </cell>
          <cell r="X37" t="str">
            <v>DJ Eurostoxx 50</v>
          </cell>
          <cell r="Z37">
            <v>1.1095890410958904</v>
          </cell>
          <cell r="AA37">
            <v>1058.77</v>
          </cell>
          <cell r="AB37">
            <v>-5.5582543646585214E-2</v>
          </cell>
          <cell r="AC37">
            <v>-0.05</v>
          </cell>
          <cell r="AD37">
            <v>0.26</v>
          </cell>
          <cell r="AE37">
            <v>5.8769999999999989E-2</v>
          </cell>
          <cell r="AF37">
            <v>5.2815048034855927E-2</v>
          </cell>
        </row>
        <row r="38">
          <cell r="A38" t="str">
            <v>KBC Click Interest 35</v>
          </cell>
          <cell r="B38" t="str">
            <v>BE0945537786</v>
          </cell>
          <cell r="C38" t="str">
            <v>EUR</v>
          </cell>
          <cell r="D38">
            <v>38693</v>
          </cell>
          <cell r="E38">
            <v>38663</v>
          </cell>
          <cell r="F38">
            <v>38681</v>
          </cell>
          <cell r="G38">
            <v>43310</v>
          </cell>
          <cell r="H38">
            <v>12.64931506849315</v>
          </cell>
          <cell r="I38" t="str">
            <v>neveřejná</v>
          </cell>
          <cell r="J38">
            <v>0.05</v>
          </cell>
          <cell r="K38">
            <v>0.05</v>
          </cell>
          <cell r="L38">
            <v>0.02</v>
          </cell>
          <cell r="M38">
            <v>0.1</v>
          </cell>
          <cell r="N38">
            <v>1000</v>
          </cell>
          <cell r="O38" t="str">
            <v>období je první den v prosinci až poslední den v listopadu</v>
          </cell>
          <cell r="P38">
            <v>1</v>
          </cell>
          <cell r="Q38">
            <v>0.3</v>
          </cell>
          <cell r="U38">
            <v>1.1000000000000001</v>
          </cell>
          <cell r="V38">
            <v>12</v>
          </cell>
          <cell r="W38">
            <v>10.53972602739726</v>
          </cell>
          <cell r="X38" t="str">
            <v>3x rozdíl (10-letá-2letá EUR swap rate)</v>
          </cell>
          <cell r="Y38">
            <v>0.1</v>
          </cell>
          <cell r="Z38">
            <v>2.1095890410958908</v>
          </cell>
          <cell r="AA38">
            <v>950.89</v>
          </cell>
          <cell r="AB38">
            <v>2.9550000000000054E-3</v>
          </cell>
          <cell r="AC38">
            <v>0.02</v>
          </cell>
          <cell r="AD38">
            <v>0.12000000000000001</v>
          </cell>
          <cell r="AE38">
            <v>-4.9109999999999987E-2</v>
          </cell>
          <cell r="AF38">
            <v>-2.3587827895568347E-2</v>
          </cell>
        </row>
        <row r="39">
          <cell r="A39" t="str">
            <v>KBC ClickPlus Double Safety 2</v>
          </cell>
          <cell r="B39" t="str">
            <v>BE0946443141</v>
          </cell>
          <cell r="C39" t="str">
            <v>EUR</v>
          </cell>
          <cell r="D39">
            <v>38996</v>
          </cell>
          <cell r="E39">
            <v>38964</v>
          </cell>
          <cell r="F39">
            <v>38989</v>
          </cell>
          <cell r="G39">
            <v>41578</v>
          </cell>
          <cell r="H39">
            <v>7.0739726027397261</v>
          </cell>
          <cell r="I39" t="str">
            <v>neveřejná</v>
          </cell>
          <cell r="N39">
            <v>1000</v>
          </cell>
          <cell r="O39" t="str">
            <v>10 posledních dní v dubnu 2007 + průměr 12 měsíců od října 2012 do září 2013</v>
          </cell>
          <cell r="P39">
            <v>1</v>
          </cell>
          <cell r="Q39">
            <v>0</v>
          </cell>
          <cell r="S39">
            <v>1</v>
          </cell>
          <cell r="U39" t="str">
            <v>neomezen</v>
          </cell>
          <cell r="V39">
            <v>2</v>
          </cell>
          <cell r="W39">
            <v>5.7945205479452051</v>
          </cell>
          <cell r="X39" t="str">
            <v>koš 30 světových akcií</v>
          </cell>
          <cell r="Y39">
            <v>7.3700000000000002E-2</v>
          </cell>
          <cell r="Z39">
            <v>1.279452054794521</v>
          </cell>
          <cell r="AA39">
            <v>987.09</v>
          </cell>
          <cell r="AB39">
            <v>-8.5665471744175187E-2</v>
          </cell>
          <cell r="AC39">
            <v>0</v>
          </cell>
          <cell r="AD39">
            <v>7.3700000000000002E-2</v>
          </cell>
          <cell r="AE39">
            <v>-1.2909999999999977E-2</v>
          </cell>
          <cell r="AF39">
            <v>-1.0104558054037649E-2</v>
          </cell>
        </row>
        <row r="40">
          <cell r="A40" t="str">
            <v>KBC ClickPlus Europe Best Of 12</v>
          </cell>
          <cell r="B40" t="str">
            <v>BE0946444156</v>
          </cell>
          <cell r="C40" t="str">
            <v>EUR</v>
          </cell>
          <cell r="D40">
            <v>38996</v>
          </cell>
          <cell r="E40">
            <v>38964</v>
          </cell>
          <cell r="F40">
            <v>38989</v>
          </cell>
          <cell r="G40">
            <v>42124</v>
          </cell>
          <cell r="H40">
            <v>8.5698630136986296</v>
          </cell>
          <cell r="I40" t="str">
            <v>neveřejná</v>
          </cell>
          <cell r="L40">
            <v>-0.03</v>
          </cell>
          <cell r="M40">
            <v>0.08</v>
          </cell>
          <cell r="N40">
            <v>1000</v>
          </cell>
          <cell r="O40" t="str">
            <v>prvních 10 dní v říjnu 2007,2008,2009,2010,2011,2012,2013 a dubnu 2015</v>
          </cell>
          <cell r="P40">
            <v>1</v>
          </cell>
          <cell r="Q40">
            <v>0.2</v>
          </cell>
          <cell r="S40">
            <v>1</v>
          </cell>
          <cell r="U40">
            <v>0.64</v>
          </cell>
          <cell r="V40">
            <v>8</v>
          </cell>
          <cell r="W40">
            <v>7.2904109589041095</v>
          </cell>
          <cell r="X40" t="str">
            <v>DJ Eurostoxx 50</v>
          </cell>
          <cell r="Y40">
            <v>0.08</v>
          </cell>
          <cell r="Z40">
            <v>1.2794520547945201</v>
          </cell>
          <cell r="AA40">
            <v>1013.79</v>
          </cell>
          <cell r="AB40">
            <v>-7.489801189337697E-2</v>
          </cell>
          <cell r="AC40">
            <v>-0.03</v>
          </cell>
          <cell r="AD40">
            <v>0.05</v>
          </cell>
          <cell r="AE40">
            <v>1.3789999999999969E-2</v>
          </cell>
          <cell r="AF40">
            <v>1.076191014104344E-2</v>
          </cell>
        </row>
        <row r="41">
          <cell r="A41" t="str">
            <v>KBC ClickPlus Financials Short Term 5</v>
          </cell>
          <cell r="B41" t="str">
            <v>BE0945655026</v>
          </cell>
          <cell r="C41" t="str">
            <v>EUR</v>
          </cell>
          <cell r="D41">
            <v>38723</v>
          </cell>
          <cell r="E41">
            <v>38684</v>
          </cell>
          <cell r="F41">
            <v>38716</v>
          </cell>
          <cell r="G41">
            <v>39660</v>
          </cell>
          <cell r="H41">
            <v>2.5671232876712327</v>
          </cell>
          <cell r="I41" t="str">
            <v>neveřejná</v>
          </cell>
          <cell r="N41">
            <v>1000</v>
          </cell>
          <cell r="O41" t="str">
            <v>průměr 10 čtvrtletních pozorování od března 2006 do června 2008</v>
          </cell>
          <cell r="P41">
            <v>1</v>
          </cell>
          <cell r="Q41">
            <v>0</v>
          </cell>
          <cell r="S41">
            <v>0.75</v>
          </cell>
          <cell r="U41" t="str">
            <v>neomezen</v>
          </cell>
          <cell r="V41">
            <v>1</v>
          </cell>
          <cell r="W41">
            <v>0.53972602739726028</v>
          </cell>
          <cell r="X41" t="str">
            <v>koš 20 finančních akcií</v>
          </cell>
          <cell r="Z41">
            <v>2.0273972602739723</v>
          </cell>
          <cell r="AA41">
            <v>1018.34</v>
          </cell>
          <cell r="AB41">
            <v>6.274671144697741E-2</v>
          </cell>
          <cell r="AC41">
            <v>4.7060033585233058E-2</v>
          </cell>
          <cell r="AD41">
            <v>4.7060033585233058E-2</v>
          </cell>
          <cell r="AE41">
            <v>1.8340000000000023E-2</v>
          </cell>
          <cell r="AF41">
            <v>9.0044271286497946E-3</v>
          </cell>
        </row>
        <row r="42">
          <cell r="A42" t="str">
            <v>KBC ClickPlus Financials Short Term 6</v>
          </cell>
          <cell r="B42" t="str">
            <v>BE0945764141</v>
          </cell>
          <cell r="C42" t="str">
            <v>EUR</v>
          </cell>
          <cell r="D42">
            <v>38755</v>
          </cell>
          <cell r="E42">
            <v>38719</v>
          </cell>
          <cell r="F42">
            <v>38744</v>
          </cell>
          <cell r="G42">
            <v>39689</v>
          </cell>
          <cell r="H42">
            <v>2.558904109589041</v>
          </cell>
          <cell r="I42" t="str">
            <v>neveřejná</v>
          </cell>
          <cell r="N42">
            <v>1000</v>
          </cell>
          <cell r="O42" t="str">
            <v>průměr 10 čtvrtletních pozorování od dubna 2006 do července 2008</v>
          </cell>
          <cell r="P42">
            <v>1</v>
          </cell>
          <cell r="Q42">
            <v>0</v>
          </cell>
          <cell r="S42">
            <v>0.75</v>
          </cell>
          <cell r="U42" t="str">
            <v>neomezen</v>
          </cell>
          <cell r="V42">
            <v>1</v>
          </cell>
          <cell r="W42">
            <v>0.61917808219178083</v>
          </cell>
          <cell r="X42" t="str">
            <v>koš 20 finančních akcií</v>
          </cell>
          <cell r="Z42">
            <v>1.9397260273972603</v>
          </cell>
          <cell r="AA42">
            <v>1005.5</v>
          </cell>
          <cell r="AB42">
            <v>4.6501922938634796E-2</v>
          </cell>
          <cell r="AC42">
            <v>3.4876442203976094E-2</v>
          </cell>
          <cell r="AD42">
            <v>3.4876442203976094E-2</v>
          </cell>
          <cell r="AE42">
            <v>5.5000000000000604E-3</v>
          </cell>
          <cell r="AF42">
            <v>2.8316846242308902E-3</v>
          </cell>
        </row>
        <row r="43">
          <cell r="A43" t="str">
            <v>KBC ClickPlus Financials Short Term 7</v>
          </cell>
          <cell r="B43" t="str">
            <v>BE0945843937</v>
          </cell>
          <cell r="C43" t="str">
            <v>EUR</v>
          </cell>
          <cell r="D43">
            <v>38783</v>
          </cell>
          <cell r="E43">
            <v>38747</v>
          </cell>
          <cell r="F43">
            <v>38772</v>
          </cell>
          <cell r="G43">
            <v>39721</v>
          </cell>
          <cell r="H43">
            <v>2.56986301369863</v>
          </cell>
          <cell r="I43" t="str">
            <v>neveřejná</v>
          </cell>
          <cell r="N43">
            <v>1000</v>
          </cell>
          <cell r="O43" t="str">
            <v>průměr 10 čtvrtletních pozorování od května 2006 do srpna 2008</v>
          </cell>
          <cell r="P43">
            <v>1</v>
          </cell>
          <cell r="Q43">
            <v>0</v>
          </cell>
          <cell r="S43">
            <v>0.75</v>
          </cell>
          <cell r="U43" t="str">
            <v>neomezen</v>
          </cell>
          <cell r="V43">
            <v>1</v>
          </cell>
          <cell r="W43">
            <v>0.70684931506849313</v>
          </cell>
          <cell r="X43" t="str">
            <v>koš 20 finančních akcií</v>
          </cell>
          <cell r="Z43">
            <v>1.8630136986301369</v>
          </cell>
          <cell r="AA43">
            <v>978.65</v>
          </cell>
          <cell r="AB43">
            <v>-1.6778536219080237E-2</v>
          </cell>
          <cell r="AC43">
            <v>-1.2583902164310178E-2</v>
          </cell>
          <cell r="AD43">
            <v>-1.2583902164310178E-2</v>
          </cell>
          <cell r="AE43">
            <v>-2.134999999999998E-2</v>
          </cell>
          <cell r="AF43">
            <v>-1.1517194226006167E-2</v>
          </cell>
        </row>
        <row r="44">
          <cell r="A44" t="str">
            <v>KBC ClickPlus Financials Short Term 8</v>
          </cell>
          <cell r="B44" t="str">
            <v>BE0945937903</v>
          </cell>
          <cell r="C44" t="str">
            <v>EUR</v>
          </cell>
          <cell r="D44">
            <v>38814</v>
          </cell>
          <cell r="E44">
            <v>38775</v>
          </cell>
          <cell r="F44">
            <v>38807</v>
          </cell>
          <cell r="G44">
            <v>39752</v>
          </cell>
          <cell r="H44">
            <v>2.56986301369863</v>
          </cell>
          <cell r="I44" t="str">
            <v>neveřejná</v>
          </cell>
          <cell r="N44">
            <v>1000</v>
          </cell>
          <cell r="O44" t="str">
            <v>průměr 10 čtvrtletních pozorování od června 2006 do září 2008</v>
          </cell>
          <cell r="P44">
            <v>1</v>
          </cell>
          <cell r="Q44">
            <v>0</v>
          </cell>
          <cell r="S44">
            <v>0.8</v>
          </cell>
          <cell r="U44" t="str">
            <v>neomezen</v>
          </cell>
          <cell r="V44">
            <v>1</v>
          </cell>
          <cell r="W44">
            <v>0.79178082191780819</v>
          </cell>
          <cell r="X44" t="str">
            <v>koš 20 finančních akcií</v>
          </cell>
          <cell r="Z44">
            <v>1.7780821917808218</v>
          </cell>
          <cell r="AA44">
            <v>981.38</v>
          </cell>
          <cell r="AB44">
            <v>-2.4855490008334077E-2</v>
          </cell>
          <cell r="AC44">
            <v>-1.9884392006667265E-2</v>
          </cell>
          <cell r="AD44">
            <v>-1.9884392006667265E-2</v>
          </cell>
          <cell r="AE44">
            <v>-1.861999999999997E-2</v>
          </cell>
          <cell r="AF44">
            <v>-1.051500487849466E-2</v>
          </cell>
        </row>
        <row r="45">
          <cell r="A45" t="str">
            <v>KBC ClickPlus First Choice Short Term 11</v>
          </cell>
          <cell r="B45" t="str">
            <v>BE0945842921</v>
          </cell>
          <cell r="C45" t="str">
            <v>EUR</v>
          </cell>
          <cell r="D45">
            <v>38783</v>
          </cell>
          <cell r="E45">
            <v>38747</v>
          </cell>
          <cell r="F45">
            <v>38772</v>
          </cell>
          <cell r="G45">
            <v>40268</v>
          </cell>
          <cell r="H45">
            <v>4.0684931506849313</v>
          </cell>
          <cell r="I45" t="str">
            <v>neveřejná</v>
          </cell>
          <cell r="N45">
            <v>1000</v>
          </cell>
          <cell r="O45" t="str">
            <v>průměr 16 čtvrtletních pozorování od května 2006 do února 2010</v>
          </cell>
          <cell r="P45">
            <v>1</v>
          </cell>
          <cell r="Q45">
            <v>0</v>
          </cell>
          <cell r="S45">
            <v>1</v>
          </cell>
          <cell r="U45" t="str">
            <v>neomezen</v>
          </cell>
          <cell r="V45">
            <v>1</v>
          </cell>
          <cell r="W45">
            <v>2.2054794520547945</v>
          </cell>
          <cell r="X45" t="str">
            <v>koš 30 světových akcií</v>
          </cell>
          <cell r="Z45">
            <v>1.8630136986301369</v>
          </cell>
          <cell r="AA45">
            <v>1103.33</v>
          </cell>
          <cell r="AB45">
            <v>0.16719093782805006</v>
          </cell>
          <cell r="AC45">
            <v>0.16719093782805006</v>
          </cell>
          <cell r="AD45">
            <v>0.16719093782805006</v>
          </cell>
          <cell r="AE45">
            <v>0.10332999999999992</v>
          </cell>
          <cell r="AF45">
            <v>5.4199403049987493E-2</v>
          </cell>
        </row>
        <row r="46">
          <cell r="A46" t="str">
            <v>KBC ClickPlus First Choice Short Term 7</v>
          </cell>
          <cell r="B46" t="str">
            <v>BE0945402403</v>
          </cell>
          <cell r="C46" t="str">
            <v>EUR</v>
          </cell>
          <cell r="D46">
            <v>38666</v>
          </cell>
          <cell r="E46">
            <v>38628</v>
          </cell>
          <cell r="F46">
            <v>38660</v>
          </cell>
          <cell r="G46">
            <v>40147</v>
          </cell>
          <cell r="H46">
            <v>4.0575342465753428</v>
          </cell>
          <cell r="I46" t="str">
            <v>neveřejná</v>
          </cell>
          <cell r="N46">
            <v>1000</v>
          </cell>
          <cell r="O46" t="str">
            <v>průměr 16 čtvrtletních pozorování od ledna 2006 do října 2009</v>
          </cell>
          <cell r="P46">
            <v>1</v>
          </cell>
          <cell r="Q46">
            <v>0</v>
          </cell>
          <cell r="S46">
            <v>1</v>
          </cell>
          <cell r="U46" t="str">
            <v>neomezen</v>
          </cell>
          <cell r="V46">
            <v>1</v>
          </cell>
          <cell r="W46">
            <v>1.8739726027397261</v>
          </cell>
          <cell r="X46" t="str">
            <v>koš 30 akcií</v>
          </cell>
          <cell r="Z46">
            <v>2.1835616438356169</v>
          </cell>
          <cell r="AA46">
            <v>1203.76</v>
          </cell>
          <cell r="AB46">
            <v>0.27863190342295874</v>
          </cell>
          <cell r="AC46">
            <v>0.20897392756721905</v>
          </cell>
          <cell r="AD46">
            <v>0.20897392756721905</v>
          </cell>
          <cell r="AE46">
            <v>0.20375999999999994</v>
          </cell>
          <cell r="AF46">
            <v>8.8640909554468017E-2</v>
          </cell>
        </row>
        <row r="47">
          <cell r="A47" t="str">
            <v>KBC ClickPlus First Choice Short Term 9</v>
          </cell>
          <cell r="B47" t="str">
            <v>BE0945656032</v>
          </cell>
          <cell r="C47" t="str">
            <v>EUR</v>
          </cell>
          <cell r="D47">
            <v>38723</v>
          </cell>
          <cell r="E47">
            <v>38684</v>
          </cell>
          <cell r="F47">
            <v>38716</v>
          </cell>
          <cell r="G47">
            <v>40207</v>
          </cell>
          <cell r="H47">
            <v>4.065753424657534</v>
          </cell>
          <cell r="I47" t="str">
            <v>neveřejná</v>
          </cell>
          <cell r="N47">
            <v>1000</v>
          </cell>
          <cell r="O47" t="str">
            <v>průměr 16 čtvrtletních pozorování od března 2006 do prosince 2009</v>
          </cell>
          <cell r="P47">
            <v>1</v>
          </cell>
          <cell r="Q47">
            <v>0</v>
          </cell>
          <cell r="S47">
            <v>1</v>
          </cell>
          <cell r="U47" t="str">
            <v>neomezen</v>
          </cell>
          <cell r="V47">
            <v>1</v>
          </cell>
          <cell r="W47">
            <v>2.0383561643835617</v>
          </cell>
          <cell r="X47" t="str">
            <v>koš 30 akcií</v>
          </cell>
          <cell r="Z47">
            <v>2.0273972602739723</v>
          </cell>
          <cell r="AA47">
            <v>1145.03</v>
          </cell>
          <cell r="AB47">
            <v>0.2183381207948803</v>
          </cell>
          <cell r="AC47">
            <v>0.2183381207948803</v>
          </cell>
          <cell r="AD47">
            <v>0.2183381207948803</v>
          </cell>
          <cell r="AE47">
            <v>0.14502999999999999</v>
          </cell>
          <cell r="AF47">
            <v>6.9082009875658823E-2</v>
          </cell>
        </row>
        <row r="48">
          <cell r="A48" t="str">
            <v>KBC EquiPlus Safety Booster 1</v>
          </cell>
          <cell r="B48" t="str">
            <v>BE0945276112</v>
          </cell>
          <cell r="C48" t="str">
            <v>USD</v>
          </cell>
          <cell r="D48">
            <v>38632</v>
          </cell>
          <cell r="E48">
            <v>38600</v>
          </cell>
          <cell r="F48">
            <v>38625</v>
          </cell>
          <cell r="G48">
            <v>41029</v>
          </cell>
          <cell r="H48">
            <v>6.5671232876712331</v>
          </cell>
          <cell r="I48" t="str">
            <v>neveřejná</v>
          </cell>
          <cell r="N48">
            <v>1000</v>
          </cell>
          <cell r="O48" t="str">
            <v>průměr 18 měsíců od října 2010 do března 2012</v>
          </cell>
          <cell r="P48">
            <v>1</v>
          </cell>
          <cell r="Q48">
            <v>0</v>
          </cell>
          <cell r="S48">
            <v>2</v>
          </cell>
          <cell r="U48" t="str">
            <v>neomezen</v>
          </cell>
          <cell r="V48">
            <v>1</v>
          </cell>
          <cell r="W48">
            <v>4.2904109589041095</v>
          </cell>
          <cell r="X48" t="str">
            <v>koš 20 světových akcií</v>
          </cell>
          <cell r="Z48">
            <v>2.2767123287671236</v>
          </cell>
          <cell r="AA48">
            <v>1460.87</v>
          </cell>
          <cell r="AB48">
            <v>0.22347728906820816</v>
          </cell>
          <cell r="AC48">
            <v>0.44695457813641631</v>
          </cell>
          <cell r="AD48">
            <v>0.44695457813641631</v>
          </cell>
          <cell r="AE48">
            <v>0.46086999999999989</v>
          </cell>
          <cell r="AF48">
            <v>0.18114254838772315</v>
          </cell>
        </row>
        <row r="49">
          <cell r="A49" t="str">
            <v>KBC EquiPlus Safety Booster 10</v>
          </cell>
          <cell r="B49" t="str">
            <v>BE0946236016</v>
          </cell>
          <cell r="C49" t="str">
            <v>USD</v>
          </cell>
          <cell r="D49">
            <v>38905</v>
          </cell>
          <cell r="E49">
            <v>38866</v>
          </cell>
          <cell r="F49">
            <v>38898</v>
          </cell>
          <cell r="G49">
            <v>41394</v>
          </cell>
          <cell r="H49">
            <v>6.8191780821917805</v>
          </cell>
          <cell r="I49" t="str">
            <v>neveřejná</v>
          </cell>
          <cell r="N49">
            <v>1000</v>
          </cell>
          <cell r="O49" t="str">
            <v>průměr 18 měsíců od října 2011 do března 2013</v>
          </cell>
          <cell r="P49">
            <v>1</v>
          </cell>
          <cell r="Q49">
            <v>0</v>
          </cell>
          <cell r="S49">
            <v>2</v>
          </cell>
          <cell r="U49" t="str">
            <v>neomezen</v>
          </cell>
          <cell r="V49">
            <v>1</v>
          </cell>
          <cell r="W49">
            <v>5.2904109589041095</v>
          </cell>
          <cell r="X49" t="str">
            <v>koš 30 světových akcií</v>
          </cell>
          <cell r="Z49">
            <v>1.5287671232876709</v>
          </cell>
          <cell r="AA49">
            <v>1265.45</v>
          </cell>
          <cell r="AB49">
            <v>0.11177646089756377</v>
          </cell>
          <cell r="AC49">
            <v>0.22355292179512753</v>
          </cell>
          <cell r="AD49">
            <v>0.22355292179512753</v>
          </cell>
          <cell r="AE49">
            <v>0.26544999999999996</v>
          </cell>
          <cell r="AF49">
            <v>0.16648909607793683</v>
          </cell>
        </row>
        <row r="50">
          <cell r="A50" t="str">
            <v>KBC EquiPlus Safety Booster 11</v>
          </cell>
          <cell r="B50" t="str">
            <v>BE0946333011</v>
          </cell>
          <cell r="C50" t="str">
            <v>USD</v>
          </cell>
          <cell r="D50">
            <v>38937</v>
          </cell>
          <cell r="E50">
            <v>38901</v>
          </cell>
          <cell r="F50">
            <v>38926</v>
          </cell>
          <cell r="G50">
            <v>41425</v>
          </cell>
          <cell r="H50">
            <v>6.816438356164384</v>
          </cell>
          <cell r="I50" t="str">
            <v>neveřejná</v>
          </cell>
          <cell r="N50">
            <v>1000</v>
          </cell>
          <cell r="O50" t="str">
            <v>průměr 18 měsíců od listopadu 2011 do dubna 2013</v>
          </cell>
          <cell r="P50">
            <v>1</v>
          </cell>
          <cell r="Q50">
            <v>0</v>
          </cell>
          <cell r="S50">
            <v>2</v>
          </cell>
          <cell r="U50" t="str">
            <v>neomezen</v>
          </cell>
          <cell r="V50">
            <v>1</v>
          </cell>
          <cell r="W50">
            <v>5.375342465753425</v>
          </cell>
          <cell r="X50" t="str">
            <v>koš 30 světových akcií</v>
          </cell>
          <cell r="Z50">
            <v>1.441095890410959</v>
          </cell>
          <cell r="AA50">
            <v>1219.1400000000001</v>
          </cell>
          <cell r="AB50">
            <v>0.10419404467807337</v>
          </cell>
          <cell r="AC50">
            <v>0.20838808935614675</v>
          </cell>
          <cell r="AD50">
            <v>0.20838808935614675</v>
          </cell>
          <cell r="AE50">
            <v>0.21914000000000011</v>
          </cell>
          <cell r="AF50">
            <v>0.14739773071501738</v>
          </cell>
        </row>
        <row r="51">
          <cell r="A51" t="str">
            <v>KBC EquiPlus Safety Booster 12</v>
          </cell>
          <cell r="B51" t="str">
            <v>BE0946405736</v>
          </cell>
          <cell r="C51" t="str">
            <v>USD</v>
          </cell>
          <cell r="D51">
            <v>38968</v>
          </cell>
          <cell r="E51">
            <v>38929</v>
          </cell>
          <cell r="F51">
            <v>38961</v>
          </cell>
          <cell r="G51">
            <v>41453</v>
          </cell>
          <cell r="H51">
            <v>6.8082191780821919</v>
          </cell>
          <cell r="I51" t="str">
            <v>neveřejná</v>
          </cell>
          <cell r="N51">
            <v>1000</v>
          </cell>
          <cell r="O51" t="str">
            <v>průměr 18 měsíců od prosince 2011 do května 2013</v>
          </cell>
          <cell r="P51">
            <v>1</v>
          </cell>
          <cell r="Q51">
            <v>0</v>
          </cell>
          <cell r="S51">
            <v>2</v>
          </cell>
          <cell r="U51" t="str">
            <v>neomezen</v>
          </cell>
          <cell r="V51">
            <v>1</v>
          </cell>
          <cell r="W51">
            <v>5.4520547945205475</v>
          </cell>
          <cell r="X51" t="str">
            <v>koš 30 světových akcií</v>
          </cell>
          <cell r="Z51">
            <v>1.3561643835616444</v>
          </cell>
          <cell r="AA51">
            <v>1184</v>
          </cell>
          <cell r="AB51">
            <v>6.9952921362278667E-2</v>
          </cell>
          <cell r="AC51">
            <v>0.13990584272455733</v>
          </cell>
          <cell r="AD51">
            <v>0.13990584272455733</v>
          </cell>
          <cell r="AE51">
            <v>0.18399999999999994</v>
          </cell>
          <cell r="AF51">
            <v>0.13262884810871212</v>
          </cell>
        </row>
        <row r="52">
          <cell r="A52" t="str">
            <v>KBC EquiPlus Safety Booster 2</v>
          </cell>
          <cell r="B52" t="str">
            <v>BE0945403419</v>
          </cell>
          <cell r="C52" t="str">
            <v>USD</v>
          </cell>
          <cell r="D52">
            <v>38666</v>
          </cell>
          <cell r="E52">
            <v>38628</v>
          </cell>
          <cell r="F52">
            <v>38660</v>
          </cell>
          <cell r="G52">
            <v>41152</v>
          </cell>
          <cell r="H52">
            <v>6.8109589041095893</v>
          </cell>
          <cell r="I52" t="str">
            <v>neveřejná</v>
          </cell>
          <cell r="N52">
            <v>1000</v>
          </cell>
          <cell r="O52" t="str">
            <v>průměr 18 měsíců od února 2011 do července 2012</v>
          </cell>
          <cell r="P52">
            <v>1</v>
          </cell>
          <cell r="Q52">
            <v>0</v>
          </cell>
          <cell r="S52">
            <v>2</v>
          </cell>
          <cell r="U52" t="str">
            <v>neomezen</v>
          </cell>
          <cell r="V52">
            <v>1</v>
          </cell>
          <cell r="W52">
            <v>4.6273972602739724</v>
          </cell>
          <cell r="X52" t="str">
            <v>koš 20 světových akcií</v>
          </cell>
          <cell r="Z52">
            <v>2.1835616438356169</v>
          </cell>
          <cell r="AA52">
            <v>1403.68</v>
          </cell>
          <cell r="AB52">
            <v>0.21328548328026148</v>
          </cell>
          <cell r="AC52">
            <v>0.42657096656052296</v>
          </cell>
          <cell r="AD52">
            <v>0.42657096656052296</v>
          </cell>
          <cell r="AE52">
            <v>0.40368000000000004</v>
          </cell>
          <cell r="AF52">
            <v>0.16800308825563581</v>
          </cell>
        </row>
        <row r="53">
          <cell r="A53" t="str">
            <v>KBC EquiPlus Safety Booster 3</v>
          </cell>
          <cell r="B53" t="str">
            <v>BE0945540814</v>
          </cell>
          <cell r="C53" t="str">
            <v>USD</v>
          </cell>
          <cell r="D53">
            <v>38693</v>
          </cell>
          <cell r="E53">
            <v>38663</v>
          </cell>
          <cell r="F53">
            <v>38681</v>
          </cell>
          <cell r="G53">
            <v>41180</v>
          </cell>
          <cell r="H53">
            <v>6.8136986301369866</v>
          </cell>
          <cell r="I53" t="str">
            <v>neveřejná</v>
          </cell>
          <cell r="N53">
            <v>1000</v>
          </cell>
          <cell r="O53" t="str">
            <v>průměr 18 měsíců od března 2011 do srpna 2012</v>
          </cell>
          <cell r="P53">
            <v>1</v>
          </cell>
          <cell r="Q53">
            <v>0</v>
          </cell>
          <cell r="S53">
            <v>2</v>
          </cell>
          <cell r="U53" t="str">
            <v>neomezen</v>
          </cell>
          <cell r="V53">
            <v>1</v>
          </cell>
          <cell r="W53">
            <v>4.7041095890410958</v>
          </cell>
          <cell r="X53" t="str">
            <v>koš 20 světových akcií</v>
          </cell>
          <cell r="Z53">
            <v>2.1095890410958908</v>
          </cell>
          <cell r="AA53">
            <v>1362.41</v>
          </cell>
          <cell r="AB53">
            <v>0.18178407316470502</v>
          </cell>
          <cell r="AC53">
            <v>0.36356814632941004</v>
          </cell>
          <cell r="AD53">
            <v>0.36356814632941004</v>
          </cell>
          <cell r="AE53">
            <v>0.36241000000000012</v>
          </cell>
          <cell r="AF53">
            <v>0.15788491634518231</v>
          </cell>
        </row>
        <row r="54">
          <cell r="A54" t="str">
            <v>KBC EquiPlus Safety Booster 4</v>
          </cell>
          <cell r="B54" t="str">
            <v>BE0945652965</v>
          </cell>
          <cell r="C54" t="str">
            <v>USD</v>
          </cell>
          <cell r="D54">
            <v>38723</v>
          </cell>
          <cell r="E54">
            <v>38684</v>
          </cell>
          <cell r="F54">
            <v>38716</v>
          </cell>
          <cell r="G54">
            <v>41121</v>
          </cell>
          <cell r="H54">
            <v>6.5698630136986305</v>
          </cell>
          <cell r="I54" t="str">
            <v>neveřejná</v>
          </cell>
          <cell r="N54">
            <v>1000</v>
          </cell>
          <cell r="O54" t="str">
            <v>průměr 18 měsíců od ledna 2011 do června 2012</v>
          </cell>
          <cell r="P54">
            <v>1</v>
          </cell>
          <cell r="Q54">
            <v>0</v>
          </cell>
          <cell r="S54">
            <v>2</v>
          </cell>
          <cell r="U54" t="str">
            <v>neomezen</v>
          </cell>
          <cell r="V54">
            <v>1</v>
          </cell>
          <cell r="W54">
            <v>4.5424657534246577</v>
          </cell>
          <cell r="X54" t="str">
            <v>koš 20 světových akcií</v>
          </cell>
          <cell r="Z54">
            <v>2.0273972602739727</v>
          </cell>
          <cell r="AA54">
            <v>1300.94</v>
          </cell>
          <cell r="AB54">
            <v>0.13850031741613217</v>
          </cell>
          <cell r="AC54">
            <v>0.27700063483226434</v>
          </cell>
          <cell r="AD54">
            <v>0.27700063483226434</v>
          </cell>
          <cell r="AE54">
            <v>0.30093999999999999</v>
          </cell>
          <cell r="AF54">
            <v>0.13856184285975148</v>
          </cell>
        </row>
        <row r="55">
          <cell r="A55" t="str">
            <v>KBC EquiPlus Safety Booster 5</v>
          </cell>
          <cell r="B55" t="str">
            <v>BE0945759091</v>
          </cell>
          <cell r="C55" t="str">
            <v>USD</v>
          </cell>
          <cell r="D55">
            <v>38755</v>
          </cell>
          <cell r="E55">
            <v>38719</v>
          </cell>
          <cell r="F55">
            <v>38744</v>
          </cell>
          <cell r="G55">
            <v>41243</v>
          </cell>
          <cell r="H55">
            <v>6.816438356164384</v>
          </cell>
          <cell r="I55" t="str">
            <v>neveřejná</v>
          </cell>
          <cell r="N55">
            <v>1000</v>
          </cell>
          <cell r="O55" t="str">
            <v>průměr 18 měsíců od května 2011 do října 2012</v>
          </cell>
          <cell r="P55">
            <v>1</v>
          </cell>
          <cell r="Q55">
            <v>0</v>
          </cell>
          <cell r="S55">
            <v>2</v>
          </cell>
          <cell r="U55" t="str">
            <v>neomezen</v>
          </cell>
          <cell r="V55">
            <v>1</v>
          </cell>
          <cell r="W55">
            <v>4.8767123287671232</v>
          </cell>
          <cell r="X55" t="str">
            <v>koš 30 světových akcií</v>
          </cell>
          <cell r="Z55">
            <v>1.9397260273972607</v>
          </cell>
          <cell r="AA55">
            <v>1227.46</v>
          </cell>
          <cell r="AB55">
            <v>9.2607250635689226E-2</v>
          </cell>
          <cell r="AC55">
            <v>0.18521450127137845</v>
          </cell>
          <cell r="AD55">
            <v>0.18521450127137845</v>
          </cell>
          <cell r="AE55">
            <v>0.22746</v>
          </cell>
          <cell r="AF55">
            <v>0.11144136667535354</v>
          </cell>
        </row>
        <row r="56">
          <cell r="A56" t="str">
            <v>KBC EquiPlus Safety Booster 7</v>
          </cell>
          <cell r="B56" t="str">
            <v>BE0945939925</v>
          </cell>
          <cell r="C56" t="str">
            <v>USD</v>
          </cell>
          <cell r="D56">
            <v>38814</v>
          </cell>
          <cell r="E56">
            <v>38775</v>
          </cell>
          <cell r="F56">
            <v>38807</v>
          </cell>
          <cell r="G56">
            <v>41305</v>
          </cell>
          <cell r="H56">
            <v>6.8246575342465752</v>
          </cell>
          <cell r="I56" t="str">
            <v>neveřejná</v>
          </cell>
          <cell r="N56">
            <v>1000</v>
          </cell>
          <cell r="O56" t="str">
            <v>průměr 18 měsíců od července 2011 do prosince 2012</v>
          </cell>
          <cell r="P56">
            <v>1</v>
          </cell>
          <cell r="Q56">
            <v>0</v>
          </cell>
          <cell r="S56">
            <v>2</v>
          </cell>
          <cell r="U56" t="str">
            <v>neomezen</v>
          </cell>
          <cell r="V56">
            <v>1</v>
          </cell>
          <cell r="W56">
            <v>5.0465753424657533</v>
          </cell>
          <cell r="X56" t="str">
            <v>koš 30 světových akcií</v>
          </cell>
          <cell r="Z56">
            <v>1.7780821917808218</v>
          </cell>
          <cell r="AA56">
            <v>1232.56</v>
          </cell>
          <cell r="AB56">
            <v>6.4069748197330037E-2</v>
          </cell>
          <cell r="AC56">
            <v>0.12813949639466007</v>
          </cell>
          <cell r="AD56">
            <v>0.12813949639466007</v>
          </cell>
          <cell r="AE56">
            <v>0.23255999999999988</v>
          </cell>
          <cell r="AF56">
            <v>0.1247883102087286</v>
          </cell>
        </row>
        <row r="57">
          <cell r="A57" t="str">
            <v>KBC EquiPlus Safety Booster 8</v>
          </cell>
          <cell r="B57" t="str">
            <v>BE0946043024</v>
          </cell>
          <cell r="C57" t="str">
            <v>USD</v>
          </cell>
          <cell r="D57">
            <v>38845</v>
          </cell>
          <cell r="E57">
            <v>38810</v>
          </cell>
          <cell r="F57">
            <v>38835</v>
          </cell>
          <cell r="G57">
            <v>41333</v>
          </cell>
          <cell r="H57">
            <v>6.816438356164384</v>
          </cell>
          <cell r="I57" t="str">
            <v>neveřejná</v>
          </cell>
          <cell r="N57">
            <v>1000</v>
          </cell>
          <cell r="O57" t="str">
            <v>průměr 18 měsíců od srpna 2011 do ledna 2013</v>
          </cell>
          <cell r="P57">
            <v>1</v>
          </cell>
          <cell r="Q57">
            <v>0</v>
          </cell>
          <cell r="S57">
            <v>2</v>
          </cell>
          <cell r="U57" t="str">
            <v>neomezen</v>
          </cell>
          <cell r="V57">
            <v>1</v>
          </cell>
          <cell r="W57">
            <v>5.1232876712328768</v>
          </cell>
          <cell r="X57" t="str">
            <v>koš 30 světových akcií</v>
          </cell>
          <cell r="Z57">
            <v>1.6931506849315072</v>
          </cell>
          <cell r="AA57">
            <v>1215.07</v>
          </cell>
          <cell r="AB57">
            <v>4.9975216524513255E-2</v>
          </cell>
          <cell r="AC57">
            <v>9.995043304902651E-2</v>
          </cell>
          <cell r="AD57">
            <v>9.995043304902651E-2</v>
          </cell>
          <cell r="AE57">
            <v>0.21506999999999987</v>
          </cell>
          <cell r="AF57">
            <v>0.12193264832889206</v>
          </cell>
        </row>
        <row r="58">
          <cell r="A58" t="str">
            <v>KBC EquiPlus Safety Booster 9</v>
          </cell>
          <cell r="B58" t="str">
            <v>BE0946124832</v>
          </cell>
          <cell r="C58" t="str">
            <v>USD</v>
          </cell>
          <cell r="D58">
            <v>38876</v>
          </cell>
          <cell r="E58">
            <v>38840</v>
          </cell>
          <cell r="F58">
            <v>38861</v>
          </cell>
          <cell r="G58">
            <v>41362</v>
          </cell>
          <cell r="H58">
            <v>6.8109589041095893</v>
          </cell>
          <cell r="I58" t="str">
            <v>neveřejná</v>
          </cell>
          <cell r="N58">
            <v>1000</v>
          </cell>
          <cell r="O58" t="str">
            <v>průměr 18 měsíců od září 2011 do února 2013</v>
          </cell>
          <cell r="P58">
            <v>1</v>
          </cell>
          <cell r="Q58">
            <v>0</v>
          </cell>
          <cell r="S58">
            <v>2</v>
          </cell>
          <cell r="U58" t="str">
            <v>neomezen</v>
          </cell>
          <cell r="V58">
            <v>1</v>
          </cell>
          <cell r="W58">
            <v>5.2027397260273975</v>
          </cell>
          <cell r="X58" t="str">
            <v>koš 30 světových akcií</v>
          </cell>
          <cell r="Z58">
            <v>1.6082191780821917</v>
          </cell>
          <cell r="AA58">
            <v>1278.4100000000001</v>
          </cell>
          <cell r="AB58">
            <v>0.10219665648977</v>
          </cell>
          <cell r="AC58">
            <v>0.20439331297954</v>
          </cell>
          <cell r="AD58">
            <v>0.20439331297954</v>
          </cell>
          <cell r="AE58">
            <v>0.27841000000000005</v>
          </cell>
          <cell r="AF58">
            <v>0.1650058946604438</v>
          </cell>
        </row>
        <row r="59">
          <cell r="A59" t="str">
            <v>KBC EquiPlus World Jumper 2</v>
          </cell>
          <cell r="B59" t="str">
            <v>BE0946662393</v>
          </cell>
          <cell r="C59" t="str">
            <v>EUR</v>
          </cell>
          <cell r="D59">
            <v>39058</v>
          </cell>
          <cell r="E59">
            <v>39027</v>
          </cell>
          <cell r="F59">
            <v>39045</v>
          </cell>
          <cell r="G59">
            <v>40907</v>
          </cell>
          <cell r="H59">
            <v>5.065753424657534</v>
          </cell>
          <cell r="I59" t="str">
            <v>neveřejná</v>
          </cell>
          <cell r="N59">
            <v>1000</v>
          </cell>
          <cell r="O59" t="str">
            <v>prvních 10 dní v prosinci 2008,2009,2010,2011</v>
          </cell>
          <cell r="P59">
            <v>1</v>
          </cell>
          <cell r="Q59">
            <v>0</v>
          </cell>
          <cell r="S59">
            <v>1</v>
          </cell>
          <cell r="U59">
            <v>0.375</v>
          </cell>
          <cell r="V59">
            <v>1</v>
          </cell>
          <cell r="W59">
            <v>3.956164383561644</v>
          </cell>
          <cell r="X59" t="str">
            <v>koš 30 světových akcií</v>
          </cell>
          <cell r="Z59">
            <v>1.10958904109589</v>
          </cell>
          <cell r="AA59">
            <v>980.81</v>
          </cell>
          <cell r="AB59">
            <v>-8.9217878774434253E-2</v>
          </cell>
          <cell r="AC59">
            <v>0</v>
          </cell>
          <cell r="AD59">
            <v>0</v>
          </cell>
          <cell r="AE59">
            <v>-1.919000000000004E-2</v>
          </cell>
          <cell r="AF59">
            <v>-1.7311197112619081E-2</v>
          </cell>
        </row>
        <row r="60">
          <cell r="A60" t="str">
            <v>KBC Equisafe BRIC 2</v>
          </cell>
          <cell r="B60" t="str">
            <v>BE0946666436</v>
          </cell>
          <cell r="C60" t="str">
            <v>USD</v>
          </cell>
          <cell r="D60">
            <v>39058</v>
          </cell>
          <cell r="E60">
            <v>39027</v>
          </cell>
          <cell r="F60">
            <v>39045</v>
          </cell>
          <cell r="G60">
            <v>41271</v>
          </cell>
          <cell r="H60">
            <v>6.0630136986301366</v>
          </cell>
          <cell r="I60" t="str">
            <v>neveřejná</v>
          </cell>
          <cell r="N60">
            <v>1000</v>
          </cell>
          <cell r="O60" t="str">
            <v>průměr 18 měsíců od června 2011 do listopadu 2012</v>
          </cell>
          <cell r="P60">
            <v>1</v>
          </cell>
          <cell r="Q60">
            <v>0</v>
          </cell>
          <cell r="S60">
            <v>1</v>
          </cell>
          <cell r="U60">
            <v>0.7</v>
          </cell>
          <cell r="V60">
            <v>1</v>
          </cell>
          <cell r="W60">
            <v>4.9534246575342467</v>
          </cell>
          <cell r="X60" t="str">
            <v>S&amp;P BRIC 40 Price Index</v>
          </cell>
          <cell r="Z60">
            <v>1.10958904109589</v>
          </cell>
          <cell r="AA60">
            <v>1190.82</v>
          </cell>
          <cell r="AB60">
            <v>0.43739298109532876</v>
          </cell>
          <cell r="AC60">
            <v>0.43739298109532876</v>
          </cell>
          <cell r="AD60">
            <v>0.43739298109532876</v>
          </cell>
          <cell r="AE60">
            <v>0.19081999999999999</v>
          </cell>
          <cell r="AF60">
            <v>0.17045614282250066</v>
          </cell>
        </row>
        <row r="61">
          <cell r="A61" t="str">
            <v>KBC Equisafe Central Europe  Winners 2</v>
          </cell>
          <cell r="B61" t="str">
            <v>BE0945654011</v>
          </cell>
          <cell r="C61" t="str">
            <v>PLN</v>
          </cell>
          <cell r="D61">
            <v>38723</v>
          </cell>
          <cell r="E61">
            <v>38684</v>
          </cell>
          <cell r="F61">
            <v>38716</v>
          </cell>
          <cell r="G61">
            <v>40574</v>
          </cell>
          <cell r="H61">
            <v>5.0712328767123287</v>
          </cell>
          <cell r="I61" t="str">
            <v>neveřejná</v>
          </cell>
          <cell r="N61">
            <v>5000</v>
          </cell>
          <cell r="O61" t="str">
            <v>průměr posledních 6 měsíců od července 2010 do prosince 2010</v>
          </cell>
          <cell r="P61">
            <v>1</v>
          </cell>
          <cell r="Q61">
            <v>0</v>
          </cell>
          <cell r="S61">
            <v>1.5</v>
          </cell>
          <cell r="U61" t="str">
            <v>neomezen</v>
          </cell>
          <cell r="V61">
            <v>1</v>
          </cell>
          <cell r="W61">
            <v>3.043835616438356</v>
          </cell>
          <cell r="X61" t="str">
            <v>koš 20 CE Winners společností</v>
          </cell>
          <cell r="Z61">
            <v>2.0273972602739727</v>
          </cell>
          <cell r="AA61">
            <v>7167.4</v>
          </cell>
          <cell r="AB61">
            <v>0.3623291980397213</v>
          </cell>
          <cell r="AC61">
            <v>0.5434937970595819</v>
          </cell>
          <cell r="AD61">
            <v>0.5434937970595819</v>
          </cell>
          <cell r="AE61">
            <v>0.43347999999999987</v>
          </cell>
          <cell r="AF61">
            <v>0.19437063924598696</v>
          </cell>
        </row>
        <row r="62">
          <cell r="A62" t="str">
            <v>KBC Equisafe Central Europe  Winners 3</v>
          </cell>
          <cell r="B62" t="str">
            <v>BE0945757079</v>
          </cell>
          <cell r="C62" t="str">
            <v>PLN</v>
          </cell>
          <cell r="D62">
            <v>38755</v>
          </cell>
          <cell r="E62">
            <v>38719</v>
          </cell>
          <cell r="F62">
            <v>38744</v>
          </cell>
          <cell r="G62">
            <v>40602</v>
          </cell>
          <cell r="H62">
            <v>5.0602739726027401</v>
          </cell>
          <cell r="I62" t="str">
            <v>neveřejná</v>
          </cell>
          <cell r="N62">
            <v>5000</v>
          </cell>
          <cell r="O62" t="str">
            <v>průměr posledních 6 měsíců od srpna 2010 do ledna 2011</v>
          </cell>
          <cell r="P62">
            <v>1</v>
          </cell>
          <cell r="Q62">
            <v>0</v>
          </cell>
          <cell r="S62">
            <v>1.4</v>
          </cell>
          <cell r="U62" t="str">
            <v>neomezen</v>
          </cell>
          <cell r="V62">
            <v>1</v>
          </cell>
          <cell r="W62">
            <v>3.1205479452054794</v>
          </cell>
          <cell r="X62" t="str">
            <v>koš 20 CE Winners společností</v>
          </cell>
          <cell r="Z62">
            <v>1.9397260273972607</v>
          </cell>
          <cell r="AA62">
            <v>6658.53</v>
          </cell>
          <cell r="AB62">
            <v>0.30225683145588339</v>
          </cell>
          <cell r="AC62">
            <v>0.42315956403823674</v>
          </cell>
          <cell r="AD62">
            <v>0.42315956403823674</v>
          </cell>
          <cell r="AE62">
            <v>0.33170600000000006</v>
          </cell>
          <cell r="AF62">
            <v>0.15914315893214193</v>
          </cell>
        </row>
        <row r="63">
          <cell r="A63" t="str">
            <v>KBC Equisafe European Selection 2</v>
          </cell>
          <cell r="B63" t="str">
            <v>BE0946406742</v>
          </cell>
          <cell r="C63" t="str">
            <v>EUR</v>
          </cell>
          <cell r="D63">
            <v>38968</v>
          </cell>
          <cell r="E63">
            <v>38929</v>
          </cell>
          <cell r="F63">
            <v>38961</v>
          </cell>
          <cell r="G63">
            <v>40207</v>
          </cell>
          <cell r="H63">
            <v>3.3945205479452056</v>
          </cell>
          <cell r="I63" t="str">
            <v>neveřejná</v>
          </cell>
          <cell r="N63">
            <v>1000</v>
          </cell>
          <cell r="O63" t="str">
            <v>průměr 6 měsíců od července 2009 do prosince 2009</v>
          </cell>
          <cell r="P63">
            <v>1</v>
          </cell>
          <cell r="Q63">
            <v>0</v>
          </cell>
          <cell r="S63">
            <v>0.8</v>
          </cell>
          <cell r="U63" t="str">
            <v>neomezen</v>
          </cell>
          <cell r="V63">
            <v>1</v>
          </cell>
          <cell r="W63">
            <v>2.0383561643835617</v>
          </cell>
          <cell r="X63" t="str">
            <v>koš 30 evropských akcií</v>
          </cell>
          <cell r="Z63">
            <v>1.3561643835616439</v>
          </cell>
          <cell r="AA63">
            <v>1059.3699999999999</v>
          </cell>
          <cell r="AB63">
            <v>9.4078291827807622E-2</v>
          </cell>
          <cell r="AC63">
            <v>7.5262633462246098E-2</v>
          </cell>
          <cell r="AD63">
            <v>7.5262633462246098E-2</v>
          </cell>
          <cell r="AE63">
            <v>5.9369999999999923E-2</v>
          </cell>
          <cell r="AF63">
            <v>4.3444836106155016E-2</v>
          </cell>
        </row>
        <row r="64">
          <cell r="A64" t="str">
            <v>KBC Equisafe European Selection 3</v>
          </cell>
          <cell r="B64" t="str">
            <v>BE0946446177</v>
          </cell>
          <cell r="C64" t="str">
            <v>EUR</v>
          </cell>
          <cell r="D64">
            <v>38996</v>
          </cell>
          <cell r="E64">
            <v>38964</v>
          </cell>
          <cell r="F64">
            <v>38989</v>
          </cell>
          <cell r="G64">
            <v>40235</v>
          </cell>
          <cell r="H64">
            <v>3.3945205479452056</v>
          </cell>
          <cell r="I64" t="str">
            <v>neveřejná</v>
          </cell>
          <cell r="N64">
            <v>1000</v>
          </cell>
          <cell r="O64" t="str">
            <v>průměr 6 měsíců od srpna 2009 do ledna 2010</v>
          </cell>
          <cell r="P64">
            <v>1</v>
          </cell>
          <cell r="Q64">
            <v>0</v>
          </cell>
          <cell r="S64">
            <v>0.8</v>
          </cell>
          <cell r="U64" t="str">
            <v>neomezen</v>
          </cell>
          <cell r="V64">
            <v>1</v>
          </cell>
          <cell r="W64">
            <v>2.1150684931506851</v>
          </cell>
          <cell r="X64" t="str">
            <v>koš 30 evropských akcií</v>
          </cell>
          <cell r="Z64">
            <v>1.2794520547945205</v>
          </cell>
          <cell r="AA64">
            <v>1025.47</v>
          </cell>
          <cell r="AB64">
            <v>2.4077287135285768E-2</v>
          </cell>
          <cell r="AC64">
            <v>1.9261829708228616E-2</v>
          </cell>
          <cell r="AD64">
            <v>1.9261829708228616E-2</v>
          </cell>
          <cell r="AE64">
            <v>2.5470000000000104E-2</v>
          </cell>
          <cell r="AF64">
            <v>1.9852152524967304E-2</v>
          </cell>
        </row>
        <row r="65">
          <cell r="A65" t="str">
            <v>KBC Equisafe Japan Invest 10</v>
          </cell>
          <cell r="B65" t="str">
            <v>BE0945846963</v>
          </cell>
          <cell r="C65" t="str">
            <v>USD</v>
          </cell>
          <cell r="D65">
            <v>38783</v>
          </cell>
          <cell r="E65">
            <v>38747</v>
          </cell>
          <cell r="F65">
            <v>38772</v>
          </cell>
          <cell r="G65">
            <v>40268</v>
          </cell>
          <cell r="H65">
            <v>4.0684931506849313</v>
          </cell>
          <cell r="I65" t="str">
            <v>neveřejná</v>
          </cell>
          <cell r="N65">
            <v>1000</v>
          </cell>
          <cell r="O65" t="str">
            <v>průměr 6 měsíců od září 2009 do února 2010</v>
          </cell>
          <cell r="P65">
            <v>1</v>
          </cell>
          <cell r="Q65">
            <v>0</v>
          </cell>
          <cell r="S65">
            <v>1</v>
          </cell>
          <cell r="U65" t="str">
            <v>neomezen</v>
          </cell>
          <cell r="V65">
            <v>1</v>
          </cell>
          <cell r="W65">
            <v>2.2054794520547945</v>
          </cell>
          <cell r="X65" t="str">
            <v>Nikkei 225</v>
          </cell>
          <cell r="Z65">
            <v>1.8630136986301369</v>
          </cell>
          <cell r="AA65">
            <v>997.6</v>
          </cell>
          <cell r="AB65">
            <v>-0.15338441296880345</v>
          </cell>
          <cell r="AC65">
            <v>-0.15338441296880345</v>
          </cell>
          <cell r="AD65">
            <v>-0.15338441296880345</v>
          </cell>
          <cell r="AE65">
            <v>-2.3999999999999577E-3</v>
          </cell>
          <cell r="AF65">
            <v>-1.2889522408917609E-3</v>
          </cell>
        </row>
        <row r="66">
          <cell r="A66" t="str">
            <v>KBC Equisafe World Selection 1</v>
          </cell>
          <cell r="B66" t="str">
            <v>BE0945265974</v>
          </cell>
          <cell r="C66" t="str">
            <v>EUR</v>
          </cell>
          <cell r="D66">
            <v>38632</v>
          </cell>
          <cell r="E66">
            <v>38600</v>
          </cell>
          <cell r="F66">
            <v>38625</v>
          </cell>
          <cell r="G66">
            <v>41029</v>
          </cell>
          <cell r="H66">
            <v>6.5671232876712331</v>
          </cell>
          <cell r="I66" t="str">
            <v>neveřejná</v>
          </cell>
          <cell r="N66">
            <v>1000</v>
          </cell>
          <cell r="O66" t="str">
            <v>průměr 18 měsíců od října 2010 do března 2012</v>
          </cell>
          <cell r="P66">
            <v>1</v>
          </cell>
          <cell r="Q66">
            <v>0</v>
          </cell>
          <cell r="S66">
            <v>1</v>
          </cell>
          <cell r="U66" t="str">
            <v>neomezen</v>
          </cell>
          <cell r="V66">
            <v>1</v>
          </cell>
          <cell r="W66">
            <v>4.2904109589041095</v>
          </cell>
          <cell r="X66" t="str">
            <v>koš 20 světových akcií</v>
          </cell>
          <cell r="Z66">
            <v>2.2767123287671236</v>
          </cell>
          <cell r="AA66">
            <v>1110.73</v>
          </cell>
          <cell r="AB66">
            <v>0.22347728906820816</v>
          </cell>
          <cell r="AC66">
            <v>0.22347728906820816</v>
          </cell>
          <cell r="AD66">
            <v>0.22347728906820816</v>
          </cell>
          <cell r="AE66">
            <v>0.11073</v>
          </cell>
          <cell r="AF66">
            <v>4.7207189593784449E-2</v>
          </cell>
        </row>
        <row r="67">
          <cell r="A67" t="str">
            <v>KBC Equisafe World Selection 10</v>
          </cell>
          <cell r="B67" t="str">
            <v>BE0946237022</v>
          </cell>
          <cell r="C67" t="str">
            <v>EUR</v>
          </cell>
          <cell r="D67">
            <v>38905</v>
          </cell>
          <cell r="E67">
            <v>38866</v>
          </cell>
          <cell r="F67">
            <v>38898</v>
          </cell>
          <cell r="G67">
            <v>40753</v>
          </cell>
          <cell r="H67">
            <v>5.0630136986301366</v>
          </cell>
          <cell r="I67" t="str">
            <v>neveřejná</v>
          </cell>
          <cell r="N67">
            <v>1000</v>
          </cell>
          <cell r="O67" t="str">
            <v>průměr 12 měsíců od července 2010 do června 2011</v>
          </cell>
          <cell r="P67">
            <v>1</v>
          </cell>
          <cell r="Q67">
            <v>0</v>
          </cell>
          <cell r="S67">
            <v>1</v>
          </cell>
          <cell r="U67" t="str">
            <v>neomezen</v>
          </cell>
          <cell r="V67">
            <v>1</v>
          </cell>
          <cell r="W67">
            <v>3.5342465753424657</v>
          </cell>
          <cell r="X67" t="str">
            <v>koš 30 světových akcií</v>
          </cell>
          <cell r="Z67">
            <v>1.5287671232876709</v>
          </cell>
          <cell r="AA67">
            <v>1069.8399999999999</v>
          </cell>
          <cell r="AB67">
            <v>0.11177646089756377</v>
          </cell>
          <cell r="AC67">
            <v>0.11177646089756377</v>
          </cell>
          <cell r="AD67">
            <v>0.11177646089756377</v>
          </cell>
          <cell r="AE67">
            <v>6.9839999999999902E-2</v>
          </cell>
          <cell r="AF67">
            <v>4.5148709791558161E-2</v>
          </cell>
        </row>
        <row r="68">
          <cell r="A68" t="str">
            <v>KBC Equisafe World Selection 2</v>
          </cell>
          <cell r="B68" t="str">
            <v>BE0945405430</v>
          </cell>
          <cell r="C68" t="str">
            <v>EUR</v>
          </cell>
          <cell r="D68">
            <v>38666</v>
          </cell>
          <cell r="E68">
            <v>38628</v>
          </cell>
          <cell r="F68">
            <v>38659</v>
          </cell>
          <cell r="G68">
            <v>41152</v>
          </cell>
          <cell r="H68">
            <v>6.8109589041095893</v>
          </cell>
          <cell r="I68" t="str">
            <v>neveřejná</v>
          </cell>
          <cell r="N68">
            <v>1000</v>
          </cell>
          <cell r="O68" t="str">
            <v>průměr 18 měsíců od února 2011 do července 2012</v>
          </cell>
          <cell r="P68">
            <v>1</v>
          </cell>
          <cell r="Q68">
            <v>0</v>
          </cell>
          <cell r="S68">
            <v>1</v>
          </cell>
          <cell r="U68" t="str">
            <v>neomezen</v>
          </cell>
          <cell r="V68">
            <v>1</v>
          </cell>
          <cell r="W68">
            <v>4.6273972602739724</v>
          </cell>
          <cell r="X68" t="str">
            <v>koš 20 světových akcií</v>
          </cell>
          <cell r="Z68">
            <v>2.1835616438356169</v>
          </cell>
          <cell r="AA68">
            <v>1108.82</v>
          </cell>
          <cell r="AB68">
            <v>0.21328548328026148</v>
          </cell>
          <cell r="AC68">
            <v>0.21328548328026148</v>
          </cell>
          <cell r="AD68">
            <v>0.21328548328026148</v>
          </cell>
          <cell r="AE68">
            <v>0.10881999999999992</v>
          </cell>
          <cell r="AF68">
            <v>4.8443177064644516E-2</v>
          </cell>
        </row>
        <row r="69">
          <cell r="A69" t="str">
            <v>KBC Equisafe World Selection 3</v>
          </cell>
          <cell r="B69" t="str">
            <v>BE0945543842</v>
          </cell>
          <cell r="C69" t="str">
            <v>EUR</v>
          </cell>
          <cell r="D69">
            <v>38693</v>
          </cell>
          <cell r="E69">
            <v>38663</v>
          </cell>
          <cell r="F69">
            <v>38681</v>
          </cell>
          <cell r="G69">
            <v>41180</v>
          </cell>
          <cell r="H69">
            <v>6.8136986301369866</v>
          </cell>
          <cell r="I69" t="str">
            <v>neveřejná</v>
          </cell>
          <cell r="N69">
            <v>1000</v>
          </cell>
          <cell r="O69" t="str">
            <v>průměr 18 měsíců od března 2011 do srpna 2012</v>
          </cell>
          <cell r="P69">
            <v>1</v>
          </cell>
          <cell r="Q69">
            <v>0</v>
          </cell>
          <cell r="S69">
            <v>1</v>
          </cell>
          <cell r="U69" t="str">
            <v>neomezen</v>
          </cell>
          <cell r="V69">
            <v>1</v>
          </cell>
          <cell r="W69">
            <v>4.7041095890410958</v>
          </cell>
          <cell r="X69" t="str">
            <v>koš 20 světových akcií</v>
          </cell>
          <cell r="Z69">
            <v>2.1095890410958908</v>
          </cell>
          <cell r="AA69">
            <v>1084.26</v>
          </cell>
          <cell r="AB69">
            <v>7.7294345539604611E-2</v>
          </cell>
          <cell r="AC69">
            <v>7.7294345539604611E-2</v>
          </cell>
          <cell r="AD69">
            <v>7.7294345539604611E-2</v>
          </cell>
          <cell r="AE69">
            <v>8.4260000000000002E-2</v>
          </cell>
          <cell r="AF69">
            <v>3.9092383215152182E-2</v>
          </cell>
        </row>
        <row r="70">
          <cell r="A70" t="str">
            <v>KBC Equisafe World Selection 4</v>
          </cell>
          <cell r="B70" t="str">
            <v>BE0945646900</v>
          </cell>
          <cell r="C70" t="str">
            <v>EUR</v>
          </cell>
          <cell r="D70">
            <v>38723</v>
          </cell>
          <cell r="E70">
            <v>38684</v>
          </cell>
          <cell r="F70">
            <v>38716</v>
          </cell>
          <cell r="G70">
            <v>41121</v>
          </cell>
          <cell r="H70">
            <v>6.5698630136986305</v>
          </cell>
          <cell r="I70" t="str">
            <v>neveřejná</v>
          </cell>
          <cell r="N70">
            <v>1000</v>
          </cell>
          <cell r="O70" t="str">
            <v>průměr 18 měsíců od ledna 2011 do června 2012</v>
          </cell>
          <cell r="P70">
            <v>1</v>
          </cell>
          <cell r="Q70">
            <v>0</v>
          </cell>
          <cell r="S70">
            <v>1</v>
          </cell>
          <cell r="U70" t="str">
            <v>neomezen</v>
          </cell>
          <cell r="V70">
            <v>1</v>
          </cell>
          <cell r="W70">
            <v>4.5424657534246577</v>
          </cell>
          <cell r="X70" t="str">
            <v>koš 20 světových akcií</v>
          </cell>
          <cell r="Z70">
            <v>2.0273972602739727</v>
          </cell>
          <cell r="AA70">
            <v>1062.45</v>
          </cell>
          <cell r="AB70">
            <v>0.13850031741613217</v>
          </cell>
          <cell r="AC70">
            <v>0.13850031741613217</v>
          </cell>
          <cell r="AD70">
            <v>0.13850031741613217</v>
          </cell>
          <cell r="AE70">
            <v>6.2450000000000117E-2</v>
          </cell>
          <cell r="AF70">
            <v>3.0330343939205084E-2</v>
          </cell>
        </row>
        <row r="71">
          <cell r="A71" t="str">
            <v>KBC Equisafe World Selection 5</v>
          </cell>
          <cell r="B71" t="str">
            <v>BE0945756063</v>
          </cell>
          <cell r="C71" t="str">
            <v>EUR</v>
          </cell>
          <cell r="D71">
            <v>38755</v>
          </cell>
          <cell r="E71">
            <v>38719</v>
          </cell>
          <cell r="F71">
            <v>38744</v>
          </cell>
          <cell r="G71">
            <v>41243</v>
          </cell>
          <cell r="H71">
            <v>6.816438356164384</v>
          </cell>
          <cell r="I71" t="str">
            <v>neveřejná</v>
          </cell>
          <cell r="N71">
            <v>1000</v>
          </cell>
          <cell r="O71" t="str">
            <v>průměr 18 měsíců od května 2011 do října 2012</v>
          </cell>
          <cell r="P71">
            <v>1</v>
          </cell>
          <cell r="Q71">
            <v>0</v>
          </cell>
          <cell r="S71">
            <v>1</v>
          </cell>
          <cell r="U71" t="str">
            <v>neomezen</v>
          </cell>
          <cell r="V71">
            <v>1</v>
          </cell>
          <cell r="W71">
            <v>4.8767123287671232</v>
          </cell>
          <cell r="X71" t="str">
            <v>koš 30 světových akcií</v>
          </cell>
          <cell r="Z71">
            <v>1.9397260273972607</v>
          </cell>
          <cell r="AA71">
            <v>1039.01</v>
          </cell>
          <cell r="AB71">
            <v>9.2509984316361066E-2</v>
          </cell>
          <cell r="AC71">
            <v>9.2509984316361066E-2</v>
          </cell>
          <cell r="AD71">
            <v>9.2509984316361066E-2</v>
          </cell>
          <cell r="AE71">
            <v>3.9009999999999989E-2</v>
          </cell>
          <cell r="AF71">
            <v>1.9924630509115193E-2</v>
          </cell>
        </row>
        <row r="72">
          <cell r="A72" t="str">
            <v>KBC Equisafe World Selection 7</v>
          </cell>
          <cell r="B72" t="str">
            <v>BE0945940931</v>
          </cell>
          <cell r="C72" t="str">
            <v>EUR</v>
          </cell>
          <cell r="D72">
            <v>38814</v>
          </cell>
          <cell r="E72">
            <v>38775</v>
          </cell>
          <cell r="F72">
            <v>38807</v>
          </cell>
          <cell r="G72">
            <v>41305</v>
          </cell>
          <cell r="H72">
            <v>6.8246575342465752</v>
          </cell>
          <cell r="I72" t="str">
            <v>neveřejná</v>
          </cell>
          <cell r="N72">
            <v>1000</v>
          </cell>
          <cell r="O72" t="str">
            <v>průměr 18 měsíců od července 2011 do prosince 2012</v>
          </cell>
          <cell r="P72">
            <v>1</v>
          </cell>
          <cell r="Q72">
            <v>0</v>
          </cell>
          <cell r="S72">
            <v>1</v>
          </cell>
          <cell r="U72" t="str">
            <v>neomezen</v>
          </cell>
          <cell r="V72">
            <v>1</v>
          </cell>
          <cell r="W72">
            <v>5.0465753424657533</v>
          </cell>
          <cell r="X72" t="str">
            <v>koš 20 světových akcií</v>
          </cell>
          <cell r="Z72">
            <v>1.7780821917808218</v>
          </cell>
          <cell r="AA72">
            <v>1033.48</v>
          </cell>
          <cell r="AB72">
            <v>6.4069748197330037E-2</v>
          </cell>
          <cell r="AC72">
            <v>6.4069748197330037E-2</v>
          </cell>
          <cell r="AD72">
            <v>6.4069748197330037E-2</v>
          </cell>
          <cell r="AE72">
            <v>3.3479999999999954E-2</v>
          </cell>
          <cell r="AF72">
            <v>1.8693513321033528E-2</v>
          </cell>
        </row>
        <row r="73">
          <cell r="A73" t="str">
            <v>KBC Equisafe World Short Term 1</v>
          </cell>
          <cell r="B73" t="str">
            <v>BE0946568426</v>
          </cell>
          <cell r="C73" t="str">
            <v>EUR</v>
          </cell>
          <cell r="D73">
            <v>39031</v>
          </cell>
          <cell r="E73">
            <v>38992</v>
          </cell>
          <cell r="F73">
            <v>39024</v>
          </cell>
          <cell r="G73">
            <v>39962</v>
          </cell>
          <cell r="H73">
            <v>2.5506849315068494</v>
          </cell>
          <cell r="I73" t="str">
            <v>neveřejná</v>
          </cell>
          <cell r="N73">
            <v>1000</v>
          </cell>
          <cell r="O73" t="str">
            <v>průměr 6 měsíců od listopadu 2008 do dubna 2009</v>
          </cell>
          <cell r="P73">
            <v>1</v>
          </cell>
          <cell r="Q73">
            <v>0</v>
          </cell>
          <cell r="S73">
            <v>1</v>
          </cell>
          <cell r="U73">
            <v>0.2</v>
          </cell>
          <cell r="V73">
            <v>5</v>
          </cell>
          <cell r="W73">
            <v>1.3671232876712329</v>
          </cell>
          <cell r="X73" t="str">
            <v>koš 30 světových akcií</v>
          </cell>
          <cell r="Z73">
            <v>1.1835616438356165</v>
          </cell>
          <cell r="AA73">
            <v>998.59</v>
          </cell>
          <cell r="AB73">
            <v>-3.54695962466854E-2</v>
          </cell>
          <cell r="AC73">
            <v>0</v>
          </cell>
          <cell r="AD73">
            <v>0</v>
          </cell>
          <cell r="AE73">
            <v>-1.4100000000000223E-3</v>
          </cell>
          <cell r="AF73">
            <v>-1.1914497744140995E-3</v>
          </cell>
        </row>
        <row r="74">
          <cell r="A74" t="str">
            <v>KBC Equisafe World Short Term USD 2</v>
          </cell>
          <cell r="B74" t="str">
            <v>BE0946668457</v>
          </cell>
          <cell r="C74" t="str">
            <v>USD</v>
          </cell>
          <cell r="D74">
            <v>39058</v>
          </cell>
          <cell r="E74">
            <v>39027</v>
          </cell>
          <cell r="F74">
            <v>39045</v>
          </cell>
          <cell r="G74">
            <v>39994</v>
          </cell>
          <cell r="H74">
            <v>2.5643835616438357</v>
          </cell>
          <cell r="I74" t="str">
            <v>neveřejná</v>
          </cell>
          <cell r="N74">
            <v>1000</v>
          </cell>
          <cell r="O74" t="str">
            <v>průměr 6 měsíců od prosince 2008 do května 2009</v>
          </cell>
          <cell r="P74">
            <v>1</v>
          </cell>
          <cell r="Q74">
            <v>0</v>
          </cell>
          <cell r="S74">
            <v>1</v>
          </cell>
          <cell r="U74" t="str">
            <v>neomezen</v>
          </cell>
          <cell r="V74">
            <v>1</v>
          </cell>
          <cell r="W74">
            <v>1.4547945205479451</v>
          </cell>
          <cell r="X74" t="str">
            <v>koš 30 světových akcií</v>
          </cell>
          <cell r="Z74">
            <v>1.1095890410958906</v>
          </cell>
          <cell r="AA74">
            <v>1017.39</v>
          </cell>
          <cell r="AB74">
            <v>-8.9217878774434253E-2</v>
          </cell>
          <cell r="AC74">
            <v>-8.9217878774434253E-2</v>
          </cell>
          <cell r="AD74">
            <v>-8.9217878774434253E-2</v>
          </cell>
          <cell r="AE74">
            <v>1.7390000000000017E-2</v>
          </cell>
          <cell r="AF74">
            <v>1.5659095109829879E-2</v>
          </cell>
        </row>
        <row r="75">
          <cell r="A75" t="str">
            <v>KBC Equisafe World Sustainables 1</v>
          </cell>
          <cell r="B75" t="str">
            <v>BE0946393619</v>
          </cell>
          <cell r="C75" t="str">
            <v>EUR</v>
          </cell>
          <cell r="D75">
            <v>38968</v>
          </cell>
          <cell r="E75">
            <v>38929</v>
          </cell>
          <cell r="F75">
            <v>38961</v>
          </cell>
          <cell r="G75">
            <v>40816</v>
          </cell>
          <cell r="H75">
            <v>5.0630136986301366</v>
          </cell>
          <cell r="I75" t="str">
            <v>neveřejná</v>
          </cell>
          <cell r="N75">
            <v>1000</v>
          </cell>
          <cell r="O75" t="str">
            <v>průměr 12 měsíců od září 2010 do srpna 2011</v>
          </cell>
          <cell r="P75">
            <v>1</v>
          </cell>
          <cell r="Q75">
            <v>0</v>
          </cell>
          <cell r="S75">
            <v>1</v>
          </cell>
          <cell r="U75" t="str">
            <v>neomezen</v>
          </cell>
          <cell r="V75">
            <v>1</v>
          </cell>
          <cell r="W75">
            <v>3.7068493150684931</v>
          </cell>
          <cell r="X75" t="str">
            <v>koš 30 akcií udržitelného růstu</v>
          </cell>
          <cell r="Z75">
            <v>1.3561643835616435</v>
          </cell>
          <cell r="AA75">
            <v>1022.44</v>
          </cell>
          <cell r="AB75">
            <v>1.9530598130687766E-3</v>
          </cell>
          <cell r="AC75">
            <v>1.9530598130687766E-3</v>
          </cell>
          <cell r="AD75">
            <v>1.9530598130687766E-3</v>
          </cell>
          <cell r="AE75">
            <v>2.2440000000000015E-2</v>
          </cell>
          <cell r="AF75">
            <v>1.6498363882284206E-2</v>
          </cell>
        </row>
        <row r="76">
          <cell r="A76" t="str">
            <v>KBC Equisafe World Sustainables 2</v>
          </cell>
          <cell r="B76" t="str">
            <v>BE0946447183</v>
          </cell>
          <cell r="C76" t="str">
            <v>EUR</v>
          </cell>
          <cell r="D76">
            <v>38996</v>
          </cell>
          <cell r="E76">
            <v>38964</v>
          </cell>
          <cell r="F76">
            <v>38989</v>
          </cell>
          <cell r="G76">
            <v>40847</v>
          </cell>
          <cell r="H76">
            <v>5.0712328767123287</v>
          </cell>
          <cell r="I76" t="str">
            <v>neveřejná</v>
          </cell>
          <cell r="N76">
            <v>1000</v>
          </cell>
          <cell r="O76" t="str">
            <v>průměr 12 měsíců od října 2010 do září 2011</v>
          </cell>
          <cell r="P76">
            <v>1</v>
          </cell>
          <cell r="Q76">
            <v>0</v>
          </cell>
          <cell r="S76">
            <v>1</v>
          </cell>
          <cell r="U76" t="str">
            <v>neomezen</v>
          </cell>
          <cell r="V76">
            <v>1</v>
          </cell>
          <cell r="W76">
            <v>3.7917808219178082</v>
          </cell>
          <cell r="X76" t="str">
            <v>koš 30 akcií udržitelného růstu</v>
          </cell>
          <cell r="Z76">
            <v>1.2794520547945205</v>
          </cell>
          <cell r="AA76">
            <v>990.49</v>
          </cell>
          <cell r="AB76">
            <v>-6.0345189178262593E-2</v>
          </cell>
          <cell r="AC76">
            <v>0</v>
          </cell>
          <cell r="AD76">
            <v>0</v>
          </cell>
          <cell r="AE76">
            <v>-9.5100000000000184E-3</v>
          </cell>
          <cell r="AF76">
            <v>-7.4406188732316636E-3</v>
          </cell>
        </row>
        <row r="77">
          <cell r="A77" t="str">
            <v>KBC Multisafe Interest Short Term 3</v>
          </cell>
          <cell r="B77" t="str">
            <v>BE0946441129</v>
          </cell>
          <cell r="C77" t="str">
            <v>EUR</v>
          </cell>
          <cell r="D77">
            <v>38996</v>
          </cell>
          <cell r="E77">
            <v>38964</v>
          </cell>
          <cell r="F77">
            <v>38989</v>
          </cell>
          <cell r="G77">
            <v>41029</v>
          </cell>
          <cell r="H77">
            <v>5.5698630136986305</v>
          </cell>
          <cell r="I77" t="str">
            <v>neveřejná</v>
          </cell>
          <cell r="N77">
            <v>1000</v>
          </cell>
          <cell r="O77" t="str">
            <v>první den v 10 2007,2008,2009 a 2010</v>
          </cell>
          <cell r="P77">
            <v>1</v>
          </cell>
          <cell r="Q77">
            <v>0</v>
          </cell>
          <cell r="S77">
            <v>0.8</v>
          </cell>
          <cell r="U77" t="str">
            <v>neomezen</v>
          </cell>
          <cell r="V77">
            <v>5</v>
          </cell>
          <cell r="W77">
            <v>4.2904109589041095</v>
          </cell>
          <cell r="X77" t="str">
            <v>10 -letá EUR swap rate</v>
          </cell>
          <cell r="Y77">
            <v>6.9280000000000008E-2</v>
          </cell>
          <cell r="Z77">
            <v>1.279452054794521</v>
          </cell>
          <cell r="AA77">
            <v>1029.46</v>
          </cell>
          <cell r="AB77">
            <v>3.7323999999999996E-2</v>
          </cell>
          <cell r="AC77">
            <v>3.7323999999999996E-2</v>
          </cell>
          <cell r="AD77">
            <v>0.106604</v>
          </cell>
          <cell r="AE77">
            <v>2.9460000000000042E-2</v>
          </cell>
          <cell r="AF77">
            <v>2.2952274987906085E-2</v>
          </cell>
        </row>
        <row r="78">
          <cell r="A78" t="str">
            <v>KBC Participation Belgium Short 4</v>
          </cell>
          <cell r="B78" t="str">
            <v>BE0946329944</v>
          </cell>
          <cell r="C78" t="str">
            <v>EUR</v>
          </cell>
          <cell r="D78">
            <v>38937</v>
          </cell>
          <cell r="E78">
            <v>38901</v>
          </cell>
          <cell r="F78">
            <v>38926</v>
          </cell>
          <cell r="G78">
            <v>39507</v>
          </cell>
          <cell r="H78">
            <v>1.5616438356164384</v>
          </cell>
          <cell r="I78" t="str">
            <v>neveřejná</v>
          </cell>
          <cell r="N78">
            <v>1000</v>
          </cell>
          <cell r="O78" t="str">
            <v>průměr 3 měsíců od listopadu 2007 do ledna 2008</v>
          </cell>
          <cell r="P78">
            <v>0.95</v>
          </cell>
          <cell r="Q78">
            <v>-0.05</v>
          </cell>
          <cell r="S78">
            <v>1</v>
          </cell>
          <cell r="U78" t="str">
            <v>neomezen</v>
          </cell>
          <cell r="V78">
            <v>1</v>
          </cell>
          <cell r="W78">
            <v>0.12054794520547946</v>
          </cell>
          <cell r="X78" t="str">
            <v>index BEL 20</v>
          </cell>
          <cell r="Z78">
            <v>1.441095890410959</v>
          </cell>
          <cell r="AA78">
            <v>1013.02</v>
          </cell>
          <cell r="AB78">
            <v>-2.6778995103549086E-3</v>
          </cell>
          <cell r="AC78">
            <v>3.7909562585087639E-2</v>
          </cell>
          <cell r="AD78">
            <v>3.7909562585087639E-2</v>
          </cell>
          <cell r="AE78">
            <v>1.3020000000000032E-2</v>
          </cell>
          <cell r="AF78">
            <v>9.0168893964739372E-3</v>
          </cell>
        </row>
        <row r="79">
          <cell r="A79" t="str">
            <v>KBC Participation Europe Short 6</v>
          </cell>
          <cell r="B79" t="str">
            <v>BE0946401693</v>
          </cell>
          <cell r="C79" t="str">
            <v>EUR</v>
          </cell>
          <cell r="D79">
            <v>38968</v>
          </cell>
          <cell r="E79">
            <v>38929</v>
          </cell>
          <cell r="F79">
            <v>38961</v>
          </cell>
          <cell r="G79">
            <v>39721</v>
          </cell>
          <cell r="H79">
            <v>2.0630136986301371</v>
          </cell>
          <cell r="I79" t="str">
            <v>neveřejná</v>
          </cell>
          <cell r="N79">
            <v>1000</v>
          </cell>
          <cell r="O79" t="str">
            <v>posledních 10 dní v srpnu 2008</v>
          </cell>
          <cell r="P79">
            <v>1</v>
          </cell>
          <cell r="Q79">
            <v>-0.05</v>
          </cell>
          <cell r="S79">
            <v>1</v>
          </cell>
          <cell r="U79" t="str">
            <v>neomezen</v>
          </cell>
          <cell r="V79">
            <v>1</v>
          </cell>
          <cell r="W79">
            <v>0.70684931506849313</v>
          </cell>
          <cell r="X79" t="str">
            <v>koš 30 evropských akcií</v>
          </cell>
          <cell r="Z79">
            <v>1.3561643835616439</v>
          </cell>
          <cell r="AA79">
            <v>1051.99</v>
          </cell>
          <cell r="AB79">
            <v>-2.6432906271072198E-3</v>
          </cell>
          <cell r="AC79">
            <v>4.4075185651071561E-2</v>
          </cell>
          <cell r="AD79">
            <v>4.4075185651071561E-2</v>
          </cell>
          <cell r="AE79">
            <v>5.1989999999999981E-2</v>
          </cell>
          <cell r="AF79">
            <v>3.8079905335177466E-2</v>
          </cell>
        </row>
        <row r="80">
          <cell r="A80" t="str">
            <v>KBC Participation Europe Short 7</v>
          </cell>
          <cell r="B80" t="str">
            <v>BE0946442135</v>
          </cell>
          <cell r="C80" t="str">
            <v>EUR</v>
          </cell>
          <cell r="D80">
            <v>38996</v>
          </cell>
          <cell r="E80">
            <v>38964</v>
          </cell>
          <cell r="F80">
            <v>38989</v>
          </cell>
          <cell r="G80">
            <v>39752</v>
          </cell>
          <cell r="H80">
            <v>2.0712328767123287</v>
          </cell>
          <cell r="I80" t="str">
            <v>neveřejná</v>
          </cell>
          <cell r="N80">
            <v>1000</v>
          </cell>
          <cell r="O80" t="str">
            <v>posledních 10 dní v září 2009</v>
          </cell>
          <cell r="P80">
            <v>0.95</v>
          </cell>
          <cell r="Q80">
            <v>-0.05</v>
          </cell>
          <cell r="S80">
            <v>1</v>
          </cell>
          <cell r="U80" t="str">
            <v>neomezen</v>
          </cell>
          <cell r="V80">
            <v>1</v>
          </cell>
          <cell r="W80">
            <v>0.79178082191780819</v>
          </cell>
          <cell r="X80" t="str">
            <v>koš 30 evropských akcií</v>
          </cell>
          <cell r="Z80">
            <v>1.2794520547945205</v>
          </cell>
          <cell r="AA80">
            <v>1000.33</v>
          </cell>
          <cell r="AB80">
            <v>-5.9590530662297914E-3</v>
          </cell>
          <cell r="AC80">
            <v>-2.5922712864714235E-2</v>
          </cell>
          <cell r="AD80">
            <v>-2.5922712864714235E-2</v>
          </cell>
          <cell r="AE80">
            <v>3.2999999999994145E-4</v>
          </cell>
          <cell r="AF80">
            <v>2.5791361828497728E-4</v>
          </cell>
        </row>
        <row r="81">
          <cell r="A81" t="str">
            <v>KBC Equisafe World Short Term 3</v>
          </cell>
          <cell r="B81" t="str">
            <v>BE0946724045</v>
          </cell>
          <cell r="C81" t="str">
            <v>EUR</v>
          </cell>
          <cell r="D81">
            <v>39090</v>
          </cell>
          <cell r="E81">
            <v>39048</v>
          </cell>
          <cell r="F81">
            <v>39080</v>
          </cell>
          <cell r="G81">
            <v>40024</v>
          </cell>
          <cell r="H81">
            <v>2.558904109589041</v>
          </cell>
          <cell r="I81" t="str">
            <v>neveřejná</v>
          </cell>
          <cell r="N81">
            <v>1000</v>
          </cell>
          <cell r="O81" t="str">
            <v>průměr 6 měsíců od ledna 2009 do června 2009</v>
          </cell>
          <cell r="P81">
            <v>1</v>
          </cell>
          <cell r="Q81">
            <v>0</v>
          </cell>
          <cell r="S81">
            <v>1</v>
          </cell>
          <cell r="U81">
            <v>0.2</v>
          </cell>
          <cell r="V81">
            <v>1</v>
          </cell>
          <cell r="W81">
            <v>1.536986301369863</v>
          </cell>
          <cell r="X81" t="str">
            <v>koš 30 světových akcií</v>
          </cell>
          <cell r="Z81">
            <v>1.021917808219178</v>
          </cell>
          <cell r="AA81">
            <v>987.77</v>
          </cell>
          <cell r="AB81">
            <v>-2.9131250249411211E-3</v>
          </cell>
          <cell r="AC81">
            <v>0</v>
          </cell>
          <cell r="AD81">
            <v>0</v>
          </cell>
          <cell r="AE81">
            <v>-1.2229999999999963E-2</v>
          </cell>
          <cell r="AF81">
            <v>-1.1969270543436994E-2</v>
          </cell>
        </row>
        <row r="82">
          <cell r="A82" t="str">
            <v>KBC Equisafe World Short Term USD 3</v>
          </cell>
          <cell r="B82" t="str">
            <v>BE0946723039</v>
          </cell>
          <cell r="C82" t="str">
            <v>USD</v>
          </cell>
          <cell r="D82">
            <v>39090</v>
          </cell>
          <cell r="E82">
            <v>39048</v>
          </cell>
          <cell r="F82">
            <v>39080</v>
          </cell>
          <cell r="G82">
            <v>40024</v>
          </cell>
          <cell r="H82">
            <v>2.558904109589041</v>
          </cell>
          <cell r="I82" t="str">
            <v>neveřejná</v>
          </cell>
          <cell r="N82">
            <v>1000</v>
          </cell>
          <cell r="O82" t="str">
            <v>průměr 6 měsíců od ledna 2009 do června 2009</v>
          </cell>
          <cell r="P82">
            <v>1</v>
          </cell>
          <cell r="Q82">
            <v>0</v>
          </cell>
          <cell r="S82">
            <v>1</v>
          </cell>
          <cell r="U82" t="str">
            <v>neomezen</v>
          </cell>
          <cell r="V82">
            <v>1</v>
          </cell>
          <cell r="W82">
            <v>1.536986301369863</v>
          </cell>
          <cell r="X82" t="str">
            <v>koš 30 světových akcií</v>
          </cell>
          <cell r="Z82">
            <v>1.021917808219178</v>
          </cell>
          <cell r="AA82">
            <v>1010.17</v>
          </cell>
          <cell r="AB82">
            <v>-5.5874036487585377E-3</v>
          </cell>
          <cell r="AC82">
            <v>-8.4169019048036961E-2</v>
          </cell>
          <cell r="AD82">
            <v>-8.4169019048036961E-2</v>
          </cell>
          <cell r="AE82">
            <v>1.0170000000000012E-2</v>
          </cell>
          <cell r="AF82">
            <v>9.950795046505867E-3</v>
          </cell>
        </row>
        <row r="83">
          <cell r="A83" t="str">
            <v>KBC EquiMax World Short Term USD 4</v>
          </cell>
          <cell r="B83" t="str">
            <v>BE0946802825</v>
          </cell>
          <cell r="C83" t="str">
            <v>USD</v>
          </cell>
          <cell r="D83">
            <v>39122</v>
          </cell>
          <cell r="E83">
            <v>39084</v>
          </cell>
          <cell r="F83">
            <v>39115</v>
          </cell>
          <cell r="G83">
            <v>40056</v>
          </cell>
          <cell r="H83">
            <v>2.558904109589041</v>
          </cell>
          <cell r="I83" t="str">
            <v>neveřejná</v>
          </cell>
          <cell r="N83">
            <v>1000</v>
          </cell>
          <cell r="O83" t="str">
            <v>průměr 6 měsíců od února 2009 do července 2009</v>
          </cell>
          <cell r="P83">
            <v>1</v>
          </cell>
          <cell r="Q83">
            <v>0</v>
          </cell>
          <cell r="S83">
            <v>1</v>
          </cell>
          <cell r="U83" t="str">
            <v>neomezen</v>
          </cell>
          <cell r="V83">
            <v>1</v>
          </cell>
          <cell r="W83">
            <v>1.6246575342465754</v>
          </cell>
          <cell r="X83" t="str">
            <v>koš 30 světových akcií</v>
          </cell>
          <cell r="Z83">
            <v>0.93424657534246558</v>
          </cell>
          <cell r="AA83">
            <v>988.24</v>
          </cell>
          <cell r="AB83">
            <v>-6.2895585366825602E-3</v>
          </cell>
          <cell r="AC83">
            <v>-0.15618685895056558</v>
          </cell>
          <cell r="AD83">
            <v>-0.15618685895056558</v>
          </cell>
          <cell r="AE83">
            <v>-1.1759999999999993E-2</v>
          </cell>
          <cell r="AF83" t="str">
            <v>N.A.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indexy"/>
      <sheetName val="klikací hodnoty"/>
    </sheetNames>
    <sheetDataSet>
      <sheetData sheetId="0"/>
      <sheetData sheetId="1">
        <row r="22">
          <cell r="C22" t="str">
            <v>AABA NA Equity</v>
          </cell>
          <cell r="D22">
            <v>23</v>
          </cell>
        </row>
        <row r="23">
          <cell r="C23" t="str">
            <v>ALT SM Equity</v>
          </cell>
          <cell r="D23">
            <v>37.44</v>
          </cell>
        </row>
        <row r="24">
          <cell r="C24" t="str">
            <v>MO UN Equity</v>
          </cell>
          <cell r="D24">
            <v>76.55</v>
          </cell>
        </row>
        <row r="25">
          <cell r="C25" t="str">
            <v>LOR FP Equity</v>
          </cell>
          <cell r="D25">
            <v>40.96</v>
          </cell>
        </row>
        <row r="26">
          <cell r="C26" t="str">
            <v>CS FP Equity</v>
          </cell>
          <cell r="D26">
            <v>29.08</v>
          </cell>
        </row>
        <row r="27">
          <cell r="C27" t="str">
            <v>BIN IM Equity</v>
          </cell>
          <cell r="D27">
            <v>5.1890000000000001</v>
          </cell>
        </row>
        <row r="28">
          <cell r="C28" t="str">
            <v>SAN SM Equity</v>
          </cell>
          <cell r="D28">
            <v>12.47</v>
          </cell>
        </row>
        <row r="29">
          <cell r="C29" t="str">
            <v>BAC UN Equity</v>
          </cell>
          <cell r="D29">
            <v>53.57</v>
          </cell>
        </row>
        <row r="30">
          <cell r="C30" t="str">
            <v>BKIR ID Equity</v>
          </cell>
          <cell r="D30">
            <v>15.42</v>
          </cell>
        </row>
        <row r="31">
          <cell r="C31" t="str">
            <v>BARC LN Equity</v>
          </cell>
          <cell r="D31">
            <v>674</v>
          </cell>
        </row>
        <row r="32">
          <cell r="C32" t="str">
            <v>BAS GY Equity</v>
          </cell>
          <cell r="D32">
            <v>63.15</v>
          </cell>
        </row>
        <row r="33">
          <cell r="C33" t="str">
            <v>BATS LN Equity</v>
          </cell>
          <cell r="D33">
            <v>1444</v>
          </cell>
        </row>
        <row r="34">
          <cell r="C34" t="str">
            <v>BAY GY Equity</v>
          </cell>
          <cell r="D34">
            <v>40.200000000000003</v>
          </cell>
        </row>
        <row r="35">
          <cell r="C35" t="str">
            <v>BLS UN Equity</v>
          </cell>
          <cell r="D35">
            <v>42.75</v>
          </cell>
        </row>
        <row r="36">
          <cell r="C36" t="str">
            <v>BNP FP Equity</v>
          </cell>
          <cell r="D36">
            <v>84.85</v>
          </cell>
        </row>
        <row r="37">
          <cell r="C37" t="str">
            <v>BP/ LN Equity</v>
          </cell>
          <cell r="D37">
            <v>582</v>
          </cell>
        </row>
        <row r="38">
          <cell r="C38" t="str">
            <v>CA FP Equity</v>
          </cell>
          <cell r="D38">
            <v>49.83</v>
          </cell>
        </row>
        <row r="39">
          <cell r="C39" t="str">
            <v>C UN Equity</v>
          </cell>
          <cell r="D39">
            <v>49.67</v>
          </cell>
        </row>
        <row r="40">
          <cell r="C40" t="str">
            <v>ACA FP Equity</v>
          </cell>
          <cell r="D40">
            <v>34.64</v>
          </cell>
        </row>
        <row r="41">
          <cell r="C41" t="str">
            <v>CSGN VX Equity</v>
          </cell>
          <cell r="D41">
            <v>72.349999999999994</v>
          </cell>
        </row>
        <row r="42">
          <cell r="C42" t="str">
            <v>DCX GY Equity</v>
          </cell>
          <cell r="D42">
            <v>39.409999999999997</v>
          </cell>
        </row>
        <row r="43">
          <cell r="C43" t="str">
            <v>BN FP Equity</v>
          </cell>
          <cell r="D43">
            <v>110.7</v>
          </cell>
        </row>
        <row r="44">
          <cell r="C44" t="str">
            <v>DANSKE DC Equity</v>
          </cell>
          <cell r="D44">
            <v>231.25</v>
          </cell>
        </row>
        <row r="45">
          <cell r="C45" t="str">
            <v>DTE GY Equity</v>
          </cell>
          <cell r="D45">
            <v>12.54</v>
          </cell>
        </row>
        <row r="46">
          <cell r="C46" t="str">
            <v>DEXB BB Equity</v>
          </cell>
          <cell r="D46">
            <v>20.43</v>
          </cell>
        </row>
        <row r="47">
          <cell r="C47" t="str">
            <v>DGE LN Equity</v>
          </cell>
          <cell r="D47">
            <v>943.5</v>
          </cell>
        </row>
        <row r="48">
          <cell r="C48" t="str">
            <v>EOA GY Equity</v>
          </cell>
          <cell r="D48">
            <v>93.48</v>
          </cell>
        </row>
        <row r="49">
          <cell r="C49" t="str">
            <v>ENEL IM Equity</v>
          </cell>
          <cell r="D49">
            <v>7.1950000000000003</v>
          </cell>
        </row>
        <row r="50">
          <cell r="C50" t="str">
            <v>ENI IM Equity</v>
          </cell>
          <cell r="D50">
            <v>23.37</v>
          </cell>
        </row>
        <row r="51">
          <cell r="C51" t="str">
            <v>FORB BB Equity</v>
          </cell>
          <cell r="D51">
            <v>32.01</v>
          </cell>
        </row>
        <row r="52">
          <cell r="C52" t="str">
            <v>FTE FP Equity</v>
          </cell>
          <cell r="D52">
            <v>18.100000000000001</v>
          </cell>
        </row>
        <row r="53">
          <cell r="C53" t="str">
            <v>HMB SS Equity</v>
          </cell>
          <cell r="D53">
            <v>306.5</v>
          </cell>
        </row>
        <row r="54">
          <cell r="C54" t="str">
            <v>CVX UN Equity</v>
          </cell>
          <cell r="D54">
            <v>64.86</v>
          </cell>
        </row>
        <row r="55">
          <cell r="C55" t="str">
            <v>INGA NA Equity</v>
          </cell>
          <cell r="D55">
            <v>34.69</v>
          </cell>
        </row>
        <row r="56">
          <cell r="C56" t="str">
            <v>KBC BB Equity</v>
          </cell>
          <cell r="D56">
            <v>83.05</v>
          </cell>
        </row>
        <row r="57">
          <cell r="C57" t="str">
            <v>KGF LN Equity</v>
          </cell>
          <cell r="D57">
            <v>245.25</v>
          </cell>
        </row>
        <row r="58">
          <cell r="C58" t="str">
            <v>KFT UN Equity</v>
          </cell>
          <cell r="D58">
            <v>35.659999999999997</v>
          </cell>
        </row>
        <row r="59">
          <cell r="C59" t="str">
            <v>LG FP Equity</v>
          </cell>
          <cell r="D59">
            <v>101.8</v>
          </cell>
        </row>
        <row r="60">
          <cell r="C60" t="str">
            <v>LLOY LN Equity</v>
          </cell>
          <cell r="D60">
            <v>539.5</v>
          </cell>
        </row>
        <row r="61">
          <cell r="C61" t="str">
            <v>MEO GY Equity</v>
          </cell>
          <cell r="D61">
            <v>46.09</v>
          </cell>
        </row>
        <row r="62">
          <cell r="C62" t="str">
            <v>NESN VX Equity</v>
          </cell>
          <cell r="D62">
            <v>436</v>
          </cell>
        </row>
        <row r="63">
          <cell r="C63" t="str">
            <v>NOK1V FH Equity</v>
          </cell>
          <cell r="D63">
            <v>15.66</v>
          </cell>
        </row>
        <row r="64">
          <cell r="C64" t="str">
            <v>NDA SS Equity</v>
          </cell>
          <cell r="D64">
            <v>96</v>
          </cell>
        </row>
        <row r="65">
          <cell r="C65" t="str">
            <v>PFE UN Equity</v>
          </cell>
          <cell r="D65">
            <v>28.36</v>
          </cell>
        </row>
        <row r="66">
          <cell r="C66" t="str">
            <v>REN NA Equity</v>
          </cell>
          <cell r="D66">
            <v>13.15</v>
          </cell>
        </row>
        <row r="67">
          <cell r="C67" t="str">
            <v>REP SM Equity</v>
          </cell>
          <cell r="D67">
            <v>23.47</v>
          </cell>
        </row>
        <row r="68">
          <cell r="C68" t="str">
            <v>RBS LN Equity</v>
          </cell>
          <cell r="D68">
            <v>1839</v>
          </cell>
        </row>
        <row r="69">
          <cell r="C69" t="str">
            <v>RWE GY Equity</v>
          </cell>
          <cell r="D69">
            <v>72.75</v>
          </cell>
        </row>
        <row r="70">
          <cell r="C70" t="str">
            <v>SGO FP Equity</v>
          </cell>
          <cell r="D70">
            <v>57.2</v>
          </cell>
        </row>
        <row r="71">
          <cell r="C71" t="str">
            <v>SBC UN Equity</v>
          </cell>
          <cell r="D71" t="str">
            <v>#N/A History</v>
          </cell>
        </row>
        <row r="72">
          <cell r="C72" t="str">
            <v>SVT LN Equity</v>
          </cell>
          <cell r="D72">
            <v>1336</v>
          </cell>
        </row>
        <row r="73">
          <cell r="C73" t="str">
            <v>GLE FP Equity</v>
          </cell>
          <cell r="D73">
            <v>124.67</v>
          </cell>
        </row>
        <row r="74">
          <cell r="C74" t="str">
            <v>STL NO Equity</v>
          </cell>
          <cell r="D74">
            <v>154.25</v>
          </cell>
        </row>
        <row r="75">
          <cell r="C75" t="str">
            <v>STERV FH Equity</v>
          </cell>
          <cell r="D75">
            <v>11.96</v>
          </cell>
        </row>
        <row r="76">
          <cell r="C76" t="str">
            <v>SZE FP Equity</v>
          </cell>
          <cell r="D76">
            <v>34.68</v>
          </cell>
        </row>
        <row r="77">
          <cell r="C77" t="str">
            <v>TDC DC Equity</v>
          </cell>
          <cell r="D77">
            <v>217</v>
          </cell>
        </row>
        <row r="78">
          <cell r="C78" t="str">
            <v>TIT IM Equity</v>
          </cell>
          <cell r="D78">
            <v>2.2400000000000002</v>
          </cell>
        </row>
        <row r="79">
          <cell r="C79" t="str">
            <v>TEF SM Equity</v>
          </cell>
          <cell r="D79">
            <v>13.67</v>
          </cell>
        </row>
        <row r="80">
          <cell r="C80" t="str">
            <v>TEL NO Equity</v>
          </cell>
          <cell r="D80">
            <v>85.1</v>
          </cell>
        </row>
        <row r="81">
          <cell r="C81" t="str">
            <v>TSCO LN Equity</v>
          </cell>
          <cell r="D81">
            <v>360</v>
          </cell>
        </row>
        <row r="82">
          <cell r="C82" t="str">
            <v>FP FP Equity</v>
          </cell>
          <cell r="D82">
            <v>51.75</v>
          </cell>
        </row>
        <row r="83">
          <cell r="C83" t="str">
            <v>7203 JT Equity</v>
          </cell>
          <cell r="D83">
            <v>6420</v>
          </cell>
        </row>
        <row r="84">
          <cell r="C84" t="str">
            <v>TUI1 GY Equity</v>
          </cell>
          <cell r="D84">
            <v>16.28</v>
          </cell>
        </row>
        <row r="85">
          <cell r="C85" t="str">
            <v>UBSN VX Equity</v>
          </cell>
          <cell r="D85">
            <v>74.8</v>
          </cell>
        </row>
        <row r="86">
          <cell r="C86" t="str">
            <v>UC IM Equity</v>
          </cell>
          <cell r="D86">
            <v>6.5449999999999999</v>
          </cell>
        </row>
        <row r="87">
          <cell r="C87" t="str">
            <v>UNA NA Equity</v>
          </cell>
          <cell r="D87">
            <v>19.399999999999999</v>
          </cell>
        </row>
        <row r="88">
          <cell r="C88" t="str">
            <v>USB UN Equity</v>
          </cell>
          <cell r="D88">
            <v>33.22</v>
          </cell>
        </row>
        <row r="89">
          <cell r="C89" t="str">
            <v>VZ UN Equity</v>
          </cell>
          <cell r="D89">
            <v>37.130000000000003</v>
          </cell>
        </row>
        <row r="90">
          <cell r="C90" t="str">
            <v>VIV FP Equity</v>
          </cell>
          <cell r="D90">
            <v>28.43</v>
          </cell>
        </row>
        <row r="91">
          <cell r="C91" t="str">
            <v>VOD LN Equity</v>
          </cell>
          <cell r="D91">
            <v>122.25</v>
          </cell>
        </row>
        <row r="92">
          <cell r="C92" t="str">
            <v>VOW GY Equity</v>
          </cell>
          <cell r="D92">
            <v>67.180000000000007</v>
          </cell>
        </row>
        <row r="93">
          <cell r="C93" t="str">
            <v>VOLVB SS Equity</v>
          </cell>
          <cell r="D93">
            <v>436.5</v>
          </cell>
        </row>
        <row r="94">
          <cell r="C94" t="str">
            <v>T UN Equity</v>
          </cell>
          <cell r="D94">
            <v>32.56</v>
          </cell>
        </row>
        <row r="95">
          <cell r="C95" t="str">
            <v>ABT UN Equity</v>
          </cell>
          <cell r="D95">
            <v>48.56</v>
          </cell>
        </row>
        <row r="96">
          <cell r="C96" t="str">
            <v>BA/ LN Equity</v>
          </cell>
          <cell r="D96">
            <v>395.25</v>
          </cell>
        </row>
        <row r="97">
          <cell r="C97" t="str">
            <v>ELE SM Equity</v>
          </cell>
          <cell r="D97">
            <v>33.549999999999997</v>
          </cell>
        </row>
        <row r="98">
          <cell r="C98" t="str">
            <v>XOM UN Equity</v>
          </cell>
          <cell r="D98">
            <v>67.099999999999994</v>
          </cell>
        </row>
        <row r="99">
          <cell r="C99" t="str">
            <v>JNJ UN Equity</v>
          </cell>
          <cell r="D99">
            <v>64.94</v>
          </cell>
        </row>
        <row r="100">
          <cell r="C100" t="str">
            <v>NG/ LN Equity</v>
          </cell>
          <cell r="D100">
            <v>667.5</v>
          </cell>
        </row>
        <row r="101">
          <cell r="C101" t="str">
            <v>NOVN VX Equity</v>
          </cell>
          <cell r="D101">
            <v>73</v>
          </cell>
        </row>
        <row r="102">
          <cell r="C102" t="str">
            <v>PEP UN Equity</v>
          </cell>
          <cell r="D102">
            <v>65.260000000000005</v>
          </cell>
        </row>
        <row r="103">
          <cell r="C103" t="str">
            <v>SO UN Equity</v>
          </cell>
          <cell r="D103">
            <v>34.46</v>
          </cell>
        </row>
        <row r="104">
          <cell r="C104" t="str">
            <v>DCX  GY EQUITY</v>
          </cell>
          <cell r="D104">
            <v>39.409999999999997</v>
          </cell>
        </row>
        <row r="105">
          <cell r="C105" t="str">
            <v>AAPL UQ Equity</v>
          </cell>
          <cell r="D105">
            <v>77.03</v>
          </cell>
        </row>
        <row r="106">
          <cell r="C106" t="str">
            <v>CSCO UQ Equity</v>
          </cell>
          <cell r="D106">
            <v>23</v>
          </cell>
        </row>
        <row r="107">
          <cell r="C107" t="str">
            <v>GOOG UQ Equity</v>
          </cell>
          <cell r="D107">
            <v>401.9</v>
          </cell>
        </row>
        <row r="108">
          <cell r="C108" t="str">
            <v>ERICB SS Equity</v>
          </cell>
          <cell r="D108">
            <v>25.4</v>
          </cell>
        </row>
        <row r="109">
          <cell r="C109" t="str">
            <v>HAL UN Equity</v>
          </cell>
          <cell r="D109">
            <v>28.45</v>
          </cell>
        </row>
        <row r="110">
          <cell r="C110" t="str">
            <v>MSFT UQ Equity</v>
          </cell>
          <cell r="D110">
            <v>27.33</v>
          </cell>
        </row>
        <row r="111">
          <cell r="C111" t="str">
            <v>MOT UN Equity</v>
          </cell>
          <cell r="D111">
            <v>25</v>
          </cell>
        </row>
        <row r="112">
          <cell r="C112" t="str">
            <v>005930 KS Equity</v>
          </cell>
          <cell r="D112">
            <v>664000</v>
          </cell>
        </row>
        <row r="113">
          <cell r="C113" t="str">
            <v>SAP GY Equity</v>
          </cell>
          <cell r="D113">
            <v>156.4</v>
          </cell>
        </row>
        <row r="114">
          <cell r="C114" t="str">
            <v>SLB UN Equity</v>
          </cell>
          <cell r="D114">
            <v>62.03</v>
          </cell>
        </row>
        <row r="115">
          <cell r="C115" t="str">
            <v>TWX UN Equity</v>
          </cell>
          <cell r="D115">
            <v>18.23</v>
          </cell>
        </row>
        <row r="116">
          <cell r="C116" t="str">
            <v>WMT UN Equity</v>
          </cell>
          <cell r="D116">
            <v>49.32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21122111753"/>
    </sheetNames>
    <sheetDataSet>
      <sheetData sheetId="0">
        <row r="2">
          <cell r="A2" t="str">
            <v>IE00B529VP14</v>
          </cell>
          <cell r="B2" t="str">
            <v>Archipel Portf. Pro May 90 Cap (In Liquidation)</v>
          </cell>
          <cell r="C2" t="str">
            <v>KAP</v>
          </cell>
          <cell r="D2">
            <v>20221114</v>
          </cell>
          <cell r="E2">
            <v>12.169700000000001</v>
          </cell>
        </row>
        <row r="3">
          <cell r="A3" t="str">
            <v>IE00B3ZKSQ75</v>
          </cell>
          <cell r="B3" t="str">
            <v>Archipel Portf. Pro November 90 Cap (In Liquidation)</v>
          </cell>
          <cell r="C3" t="str">
            <v>KAP</v>
          </cell>
          <cell r="D3">
            <v>20221114</v>
          </cell>
          <cell r="E3">
            <v>356.71480000000003</v>
          </cell>
        </row>
        <row r="4">
          <cell r="A4" t="str">
            <v>LU1551683235</v>
          </cell>
          <cell r="B4" t="str">
            <v>Contribute Partners CSOB Banks Conditional Coupon 1 Dis</v>
          </cell>
          <cell r="C4" t="str">
            <v>DIV</v>
          </cell>
          <cell r="D4">
            <v>20221116</v>
          </cell>
          <cell r="E4">
            <v>8.9700000000000006</v>
          </cell>
        </row>
        <row r="5">
          <cell r="A5" t="str">
            <v>LU1783244624</v>
          </cell>
          <cell r="B5" t="str">
            <v>Contribute Partners CSOB Banks Conditional Coupon 2 Dis</v>
          </cell>
          <cell r="C5" t="str">
            <v>DIV</v>
          </cell>
          <cell r="D5">
            <v>20221116</v>
          </cell>
          <cell r="E5">
            <v>8.6999999999999993</v>
          </cell>
        </row>
        <row r="6">
          <cell r="A6" t="str">
            <v>LU2308617658</v>
          </cell>
          <cell r="B6" t="str">
            <v>Contribute Partners CSOB Buffer Jumper EUR 11 Cap</v>
          </cell>
          <cell r="C6" t="str">
            <v>EUR-KAP-RETAIL</v>
          </cell>
          <cell r="D6">
            <v>20221116</v>
          </cell>
          <cell r="E6">
            <v>9.3699999999999992</v>
          </cell>
        </row>
        <row r="7">
          <cell r="A7" t="str">
            <v>LU2332954424</v>
          </cell>
          <cell r="B7" t="str">
            <v>Contribute Partners CSOB Buffer Jumper EUR 12 Cap</v>
          </cell>
          <cell r="C7" t="str">
            <v>EUR-KAP-RETAIL</v>
          </cell>
          <cell r="D7">
            <v>20221116</v>
          </cell>
          <cell r="E7">
            <v>9.2899999999999991</v>
          </cell>
        </row>
        <row r="8">
          <cell r="A8" t="str">
            <v>LU1836363165</v>
          </cell>
          <cell r="B8" t="str">
            <v>Contribute Partners CSOB Buffer Jumper EUR 6 Cap</v>
          </cell>
          <cell r="C8" t="str">
            <v>KAP</v>
          </cell>
          <cell r="D8">
            <v>20221031</v>
          </cell>
          <cell r="E8">
            <v>11.66</v>
          </cell>
        </row>
        <row r="9">
          <cell r="A9" t="str">
            <v>LU1951936811</v>
          </cell>
          <cell r="B9" t="str">
            <v>Contribute Partners CSOB Buffer Jumper EUR 8 Cap</v>
          </cell>
          <cell r="C9" t="str">
            <v>KAP</v>
          </cell>
          <cell r="D9">
            <v>20221116</v>
          </cell>
          <cell r="E9">
            <v>9.57</v>
          </cell>
        </row>
        <row r="10">
          <cell r="A10" t="str">
            <v>LU1600526948</v>
          </cell>
          <cell r="B10" t="str">
            <v>Contribute Partners CSOB Energie a ropa 3 Cap (Called)</v>
          </cell>
          <cell r="C10" t="str">
            <v>KAP</v>
          </cell>
          <cell r="D10">
            <v>20221031</v>
          </cell>
          <cell r="E10">
            <v>13.5</v>
          </cell>
        </row>
        <row r="11">
          <cell r="A11" t="str">
            <v>LU1495571215</v>
          </cell>
          <cell r="B11" t="str">
            <v>Contribute Partners CSOB Firmy s tradici 1 Cap</v>
          </cell>
          <cell r="C11" t="str">
            <v>KAP</v>
          </cell>
          <cell r="D11">
            <v>20221116</v>
          </cell>
          <cell r="E11">
            <v>11.21</v>
          </cell>
        </row>
        <row r="12">
          <cell r="A12" t="str">
            <v>LU1574033467</v>
          </cell>
          <cell r="B12" t="str">
            <v>Contribute Partners CSOB Firmy s tradici 2 Cap</v>
          </cell>
          <cell r="C12" t="str">
            <v>KAP</v>
          </cell>
          <cell r="D12">
            <v>20221116</v>
          </cell>
          <cell r="E12">
            <v>9.6199999999999992</v>
          </cell>
        </row>
        <row r="13">
          <cell r="A13" t="str">
            <v>LU1528129817</v>
          </cell>
          <cell r="B13" t="str">
            <v>Contribute Partners CSOB Informacni technologie 1 Cap</v>
          </cell>
          <cell r="C13" t="str">
            <v>KAP</v>
          </cell>
          <cell r="D13">
            <v>20221116</v>
          </cell>
          <cell r="E13">
            <v>13.45</v>
          </cell>
        </row>
        <row r="14">
          <cell r="A14" t="str">
            <v>LU1730012405</v>
          </cell>
          <cell r="B14" t="str">
            <v>Contribute Partners CSOB Informacni technologie 2 Cap</v>
          </cell>
          <cell r="C14" t="str">
            <v>KAP</v>
          </cell>
          <cell r="D14">
            <v>20221116</v>
          </cell>
          <cell r="E14">
            <v>12.09</v>
          </cell>
        </row>
        <row r="15">
          <cell r="A15" t="str">
            <v>LU1431708533</v>
          </cell>
          <cell r="B15" t="str">
            <v>Contribute Partners CSOB Patria expres 1 Cap</v>
          </cell>
          <cell r="C15" t="str">
            <v>KAP</v>
          </cell>
          <cell r="D15">
            <v>20221116</v>
          </cell>
          <cell r="E15">
            <v>11.18</v>
          </cell>
        </row>
        <row r="16">
          <cell r="A16" t="str">
            <v>LU1623845978</v>
          </cell>
          <cell r="B16" t="str">
            <v>Contribute Partners CSOB Potraviny a svet 1 Cap</v>
          </cell>
          <cell r="C16" t="str">
            <v>KAP</v>
          </cell>
          <cell r="D16">
            <v>20221116</v>
          </cell>
          <cell r="E16">
            <v>10</v>
          </cell>
        </row>
        <row r="17">
          <cell r="A17" t="str">
            <v>LU1419801573</v>
          </cell>
          <cell r="B17" t="str">
            <v>Contribute Partners CSOB Sampioni sportu 3 Cap (Matured)</v>
          </cell>
          <cell r="C17" t="str">
            <v>KAP</v>
          </cell>
          <cell r="D17">
            <v>20220930</v>
          </cell>
          <cell r="E17">
            <v>10</v>
          </cell>
        </row>
        <row r="18">
          <cell r="A18" t="str">
            <v>LU1690131013</v>
          </cell>
          <cell r="B18" t="str">
            <v>Contribute Partners CSOB Sampioni sportu 4 Cap</v>
          </cell>
          <cell r="C18" t="str">
            <v>KAP</v>
          </cell>
          <cell r="D18">
            <v>20221116</v>
          </cell>
          <cell r="E18">
            <v>9.73</v>
          </cell>
        </row>
        <row r="19">
          <cell r="A19" t="str">
            <v>LU1555154068</v>
          </cell>
          <cell r="B19" t="str">
            <v>Contribute Partners CSOB Stribrna ekonomika 1 Cap</v>
          </cell>
          <cell r="C19" t="str">
            <v>KAP</v>
          </cell>
          <cell r="D19">
            <v>20221116</v>
          </cell>
          <cell r="E19">
            <v>10.35</v>
          </cell>
        </row>
        <row r="20">
          <cell r="A20" t="str">
            <v>LU1550265612</v>
          </cell>
          <cell r="B20" t="str">
            <v>Contribute Partners CSOB Svetovi hraci 3 Cap</v>
          </cell>
          <cell r="C20" t="str">
            <v>KAP</v>
          </cell>
          <cell r="D20">
            <v>20221116</v>
          </cell>
          <cell r="E20">
            <v>10.26</v>
          </cell>
        </row>
        <row r="21">
          <cell r="A21" t="str">
            <v>LU1512742427</v>
          </cell>
          <cell r="B21" t="str">
            <v>Contribute Partners CSOB Svetovy expres 6 Cap</v>
          </cell>
          <cell r="C21" t="str">
            <v>KAP</v>
          </cell>
          <cell r="D21">
            <v>20221116</v>
          </cell>
          <cell r="E21">
            <v>10.41</v>
          </cell>
        </row>
        <row r="22">
          <cell r="A22" t="str">
            <v>LU1580882071</v>
          </cell>
          <cell r="B22" t="str">
            <v>Contribute Partners CSOB Svetovy expres 7 Cap</v>
          </cell>
          <cell r="C22" t="str">
            <v>KAP</v>
          </cell>
          <cell r="D22">
            <v>20221116</v>
          </cell>
          <cell r="E22">
            <v>9.5</v>
          </cell>
        </row>
        <row r="23">
          <cell r="A23" t="str">
            <v>LU2033386512</v>
          </cell>
          <cell r="B23" t="str">
            <v>Contribute Partners CSOB Telecommunications Conditional Coupon 1 Dis</v>
          </cell>
          <cell r="C23" t="str">
            <v>DIV</v>
          </cell>
          <cell r="D23">
            <v>20221116</v>
          </cell>
          <cell r="E23">
            <v>8.39</v>
          </cell>
        </row>
        <row r="24">
          <cell r="A24" t="str">
            <v>LU1651849801</v>
          </cell>
          <cell r="B24" t="str">
            <v>Contribute Partners CSOB Zdravotnictvi 1 Cap</v>
          </cell>
          <cell r="C24" t="str">
            <v>KAP</v>
          </cell>
          <cell r="D24">
            <v>20221116</v>
          </cell>
          <cell r="E24">
            <v>12.56</v>
          </cell>
        </row>
        <row r="25">
          <cell r="A25" t="str">
            <v>LU1479924919</v>
          </cell>
          <cell r="B25" t="str">
            <v>Contribute Partners CSOB Zpetneho odkupu 1 Cap</v>
          </cell>
          <cell r="C25" t="str">
            <v>KAP</v>
          </cell>
          <cell r="D25">
            <v>20221116</v>
          </cell>
          <cell r="E25">
            <v>12.67</v>
          </cell>
        </row>
        <row r="26">
          <cell r="A26" t="str">
            <v>LU2010650112</v>
          </cell>
          <cell r="B26" t="str">
            <v>Contribute Partners ČSOB Evropský jumper 10 Cap</v>
          </cell>
          <cell r="C26" t="str">
            <v>CZK-KAP-RETAIL</v>
          </cell>
          <cell r="D26">
            <v>20221116</v>
          </cell>
          <cell r="E26">
            <v>11.12</v>
          </cell>
        </row>
        <row r="27">
          <cell r="A27" t="str">
            <v>LU2053061532</v>
          </cell>
          <cell r="B27" t="str">
            <v>Contribute Partners ČSOB Evropský jumper 11 Cap</v>
          </cell>
          <cell r="C27" t="str">
            <v>CZK-KAP-RETAIL</v>
          </cell>
          <cell r="D27">
            <v>20221116</v>
          </cell>
          <cell r="E27">
            <v>11.61</v>
          </cell>
        </row>
        <row r="28">
          <cell r="A28" t="str">
            <v>LU2147076249</v>
          </cell>
          <cell r="B28" t="str">
            <v>Contribute Partners ČSOB Evropský jumper 12 Cap</v>
          </cell>
          <cell r="C28" t="str">
            <v>CZK-KAP-RETAIL</v>
          </cell>
          <cell r="D28">
            <v>20221116</v>
          </cell>
          <cell r="E28">
            <v>10.06</v>
          </cell>
        </row>
        <row r="29">
          <cell r="A29" t="str">
            <v>LU2182979943</v>
          </cell>
          <cell r="B29" t="str">
            <v>Contribute Partners ČSOB Evropský jumper 13 Cap</v>
          </cell>
          <cell r="C29" t="str">
            <v>CZK-KAP-RETAIL</v>
          </cell>
          <cell r="D29">
            <v>20221116</v>
          </cell>
          <cell r="E29">
            <v>9.8800000000000008</v>
          </cell>
        </row>
        <row r="30">
          <cell r="A30" t="str">
            <v>LU2210950817</v>
          </cell>
          <cell r="B30" t="str">
            <v>Contribute Partners ČSOB Evropský jumper 14 Cap</v>
          </cell>
          <cell r="C30" t="str">
            <v>CZK-KAP-RETAIL</v>
          </cell>
          <cell r="D30">
            <v>20221116</v>
          </cell>
          <cell r="E30">
            <v>9.4499999999999993</v>
          </cell>
        </row>
        <row r="31">
          <cell r="A31" t="str">
            <v>LU2392988429</v>
          </cell>
          <cell r="B31" t="str">
            <v>Contribute Partners ČSOB Evropský Jumper 15 Cap</v>
          </cell>
          <cell r="C31" t="str">
            <v>CZK-KAP-RET.PVBK.PMBK</v>
          </cell>
          <cell r="D31">
            <v>20221116</v>
          </cell>
          <cell r="E31">
            <v>9.6999999999999993</v>
          </cell>
        </row>
        <row r="32">
          <cell r="A32" t="str">
            <v>LU2449218416</v>
          </cell>
          <cell r="B32" t="str">
            <v>Contribute Partners ČSOB Evropský Jumper 16 Cap</v>
          </cell>
          <cell r="C32" t="str">
            <v>CZK-KAP-RET.PVBK.PMBK</v>
          </cell>
          <cell r="D32">
            <v>20221116</v>
          </cell>
          <cell r="E32">
            <v>10.119999999999999</v>
          </cell>
        </row>
        <row r="33">
          <cell r="A33" t="str">
            <v>LU2478272698</v>
          </cell>
          <cell r="B33" t="str">
            <v>Contribute Partners ČSOB Evropský Jumper 17 Cap</v>
          </cell>
        </row>
        <row r="34">
          <cell r="A34" t="str">
            <v>LU2212172840</v>
          </cell>
          <cell r="B34" t="str">
            <v>Contribute Partners ČSOB Farmacie a svět 1 Cap</v>
          </cell>
          <cell r="C34" t="str">
            <v>CZK-KAP-RETAIL</v>
          </cell>
          <cell r="D34">
            <v>20221116</v>
          </cell>
          <cell r="E34">
            <v>9.6999999999999993</v>
          </cell>
        </row>
        <row r="35">
          <cell r="A35" t="str">
            <v>LU2271213519</v>
          </cell>
          <cell r="B35" t="str">
            <v>Contribute Partners ČSOB Farmacie a svět 2 Cap</v>
          </cell>
          <cell r="C35" t="str">
            <v>CZK-KAP-RETAIL</v>
          </cell>
          <cell r="D35">
            <v>20221116</v>
          </cell>
          <cell r="E35">
            <v>9.34</v>
          </cell>
        </row>
        <row r="36">
          <cell r="A36" t="str">
            <v>LU2198234366</v>
          </cell>
          <cell r="B36" t="str">
            <v>Contribute Partners ČSOB Globální investice 1 Cap</v>
          </cell>
          <cell r="C36" t="str">
            <v>CZK-KAP-RETAIL</v>
          </cell>
          <cell r="D36">
            <v>20221116</v>
          </cell>
          <cell r="E36">
            <v>9.5299999999999994</v>
          </cell>
        </row>
        <row r="37">
          <cell r="A37" t="str">
            <v>LU2117582952</v>
          </cell>
          <cell r="B37" t="str">
            <v>Contribute Partners ČSOB Sprinter 1 Cap</v>
          </cell>
          <cell r="C37" t="str">
            <v>CZK-KAP-RETAIL</v>
          </cell>
          <cell r="D37">
            <v>20221116</v>
          </cell>
          <cell r="E37">
            <v>13.31</v>
          </cell>
        </row>
        <row r="38">
          <cell r="A38" t="str">
            <v>LU2351211581</v>
          </cell>
          <cell r="B38" t="str">
            <v>Contribute Partners ČSOB Sprinter 2 Cap</v>
          </cell>
          <cell r="C38" t="str">
            <v>CZK-KAP-RETAIL.PRIVBK</v>
          </cell>
          <cell r="D38">
            <v>20221116</v>
          </cell>
          <cell r="E38">
            <v>9.19</v>
          </cell>
        </row>
        <row r="39">
          <cell r="A39" t="str">
            <v>LU2242471501</v>
          </cell>
          <cell r="B39" t="str">
            <v>Contribute Partners ČSOB Světový expres 8 Cap</v>
          </cell>
          <cell r="C39" t="str">
            <v>CZK-KAP-RETAIL</v>
          </cell>
          <cell r="D39">
            <v>20221116</v>
          </cell>
          <cell r="E39">
            <v>9.82</v>
          </cell>
        </row>
        <row r="40">
          <cell r="A40" t="str">
            <v>BE0171768782</v>
          </cell>
          <cell r="B40" t="str">
            <v>Fivest Euroland Cap</v>
          </cell>
          <cell r="C40" t="str">
            <v>EUR-KAP-RETAIL</v>
          </cell>
          <cell r="D40">
            <v>20221118</v>
          </cell>
          <cell r="E40">
            <v>973.95</v>
          </cell>
        </row>
        <row r="41">
          <cell r="A41" t="str">
            <v>BE0171767776</v>
          </cell>
          <cell r="B41" t="str">
            <v>Fivest Euroland Dis</v>
          </cell>
          <cell r="C41" t="str">
            <v>EUR-DIV-RETAIL</v>
          </cell>
          <cell r="D41">
            <v>20221118</v>
          </cell>
          <cell r="E41">
            <v>578.05999999999995</v>
          </cell>
        </row>
        <row r="42">
          <cell r="A42" t="str">
            <v>BE6254090150</v>
          </cell>
          <cell r="B42" t="str">
            <v>Generation Plan 90 August Dis</v>
          </cell>
          <cell r="C42" t="str">
            <v>EUR-DIV-RETAIL</v>
          </cell>
          <cell r="D42">
            <v>20221118</v>
          </cell>
          <cell r="E42">
            <v>227.95</v>
          </cell>
        </row>
        <row r="43">
          <cell r="A43" t="str">
            <v>BE6261276230</v>
          </cell>
          <cell r="B43" t="str">
            <v>Generation Plan 90 February Dis</v>
          </cell>
          <cell r="C43" t="str">
            <v>EUR-DIV-RETAIL</v>
          </cell>
          <cell r="D43">
            <v>20221118</v>
          </cell>
          <cell r="E43">
            <v>226.65</v>
          </cell>
        </row>
        <row r="44">
          <cell r="A44" t="str">
            <v>LU1684805630</v>
          </cell>
          <cell r="B44" t="str">
            <v>Global Partners CSOB Expertiza vyvazena Cap</v>
          </cell>
          <cell r="C44" t="str">
            <v>KAP</v>
          </cell>
          <cell r="D44">
            <v>20221118</v>
          </cell>
          <cell r="E44">
            <v>958.65</v>
          </cell>
        </row>
        <row r="45">
          <cell r="A45" t="str">
            <v>LU1826207778</v>
          </cell>
          <cell r="B45" t="str">
            <v>Global Partners CSOB Fixovany Click USD 7 Cap</v>
          </cell>
          <cell r="C45" t="str">
            <v>KAP</v>
          </cell>
          <cell r="D45">
            <v>20221116</v>
          </cell>
          <cell r="E45">
            <v>10.17</v>
          </cell>
        </row>
        <row r="46">
          <cell r="A46" t="str">
            <v>LU0984228972</v>
          </cell>
          <cell r="B46" t="str">
            <v>Global Partners CSOB Portf. Pro unor 90 Cap</v>
          </cell>
          <cell r="C46" t="str">
            <v>KAP</v>
          </cell>
          <cell r="D46">
            <v>20221118</v>
          </cell>
          <cell r="E46">
            <v>894.64</v>
          </cell>
        </row>
        <row r="47">
          <cell r="A47" t="str">
            <v>LU1796246137</v>
          </cell>
          <cell r="B47" t="str">
            <v>Global Partners CSOB Svet s bonusem nápoju 1 Cap</v>
          </cell>
          <cell r="C47" t="str">
            <v>KAP</v>
          </cell>
          <cell r="D47">
            <v>20221116</v>
          </cell>
          <cell r="E47">
            <v>9.35</v>
          </cell>
        </row>
        <row r="48">
          <cell r="A48" t="str">
            <v>LU1940135822</v>
          </cell>
          <cell r="B48" t="str">
            <v>Global Partners ČSOB Finance 1 Cap</v>
          </cell>
          <cell r="C48" t="str">
            <v>KAP</v>
          </cell>
          <cell r="D48">
            <v>20221116</v>
          </cell>
          <cell r="E48">
            <v>9.65</v>
          </cell>
        </row>
        <row r="49">
          <cell r="A49" t="str">
            <v>LU1923690298</v>
          </cell>
          <cell r="B49" t="str">
            <v>Global Partners ČSOB Fixovaný Click USD 8 Cap</v>
          </cell>
          <cell r="C49" t="str">
            <v>KAP</v>
          </cell>
          <cell r="D49">
            <v>20221116</v>
          </cell>
          <cell r="E49">
            <v>9.89</v>
          </cell>
        </row>
        <row r="50">
          <cell r="A50" t="str">
            <v>LU2003424020</v>
          </cell>
          <cell r="B50" t="str">
            <v>Global Partners ČSOB Globálního růstu 1 Cap</v>
          </cell>
          <cell r="C50" t="str">
            <v>CZK-KAP-RETAIL</v>
          </cell>
          <cell r="D50">
            <v>20221116</v>
          </cell>
          <cell r="E50">
            <v>8.9</v>
          </cell>
        </row>
        <row r="51">
          <cell r="A51" t="str">
            <v>LU2027387450</v>
          </cell>
          <cell r="B51" t="str">
            <v>Global Partners ČSOB Globálního růstu 2 Cap</v>
          </cell>
          <cell r="C51" t="str">
            <v>CZK-KAP-RETAIL</v>
          </cell>
          <cell r="D51">
            <v>20221116</v>
          </cell>
          <cell r="E51">
            <v>8.9</v>
          </cell>
        </row>
        <row r="52">
          <cell r="A52" t="str">
            <v>LU2016138682</v>
          </cell>
          <cell r="B52" t="str">
            <v>Global Partners ČSOB Přírodního bohatství 1 Cap</v>
          </cell>
          <cell r="C52" t="str">
            <v>CZK-KAP-RETAIL</v>
          </cell>
          <cell r="D52">
            <v>20221116</v>
          </cell>
          <cell r="E52">
            <v>9.19</v>
          </cell>
        </row>
        <row r="53">
          <cell r="A53" t="str">
            <v>LU2068166789</v>
          </cell>
          <cell r="B53" t="str">
            <v>Global Partners ČSOB Přírodního bohatství 2 Cap</v>
          </cell>
          <cell r="C53" t="str">
            <v>CZK-KAP-RETAIL</v>
          </cell>
          <cell r="D53">
            <v>20221116</v>
          </cell>
          <cell r="E53">
            <v>8.7200000000000006</v>
          </cell>
        </row>
        <row r="54">
          <cell r="A54" t="str">
            <v>LU1884573988</v>
          </cell>
          <cell r="B54" t="str">
            <v>Global Partners ČSOB Zdravotnictví a farmacie 2 Cap</v>
          </cell>
          <cell r="C54" t="str">
            <v>KAP</v>
          </cell>
          <cell r="D54">
            <v>20221116</v>
          </cell>
          <cell r="E54">
            <v>11.27</v>
          </cell>
        </row>
        <row r="55">
          <cell r="A55" t="str">
            <v>LU1457606314</v>
          </cell>
          <cell r="B55" t="str">
            <v>Global Partners Patria Selection 2 Cap (Matured)</v>
          </cell>
          <cell r="C55" t="str">
            <v>KAP</v>
          </cell>
          <cell r="D55">
            <v>20221031</v>
          </cell>
          <cell r="E55">
            <v>13.57</v>
          </cell>
        </row>
        <row r="56">
          <cell r="A56" t="str">
            <v>BE6279064602</v>
          </cell>
          <cell r="B56" t="str">
            <v>Horizon 2030 Cap</v>
          </cell>
          <cell r="C56" t="str">
            <v>EUR-KAP-RETAIL</v>
          </cell>
          <cell r="D56">
            <v>20221118</v>
          </cell>
          <cell r="E56">
            <v>103.58</v>
          </cell>
        </row>
        <row r="57">
          <cell r="A57" t="str">
            <v>BE6279062580</v>
          </cell>
          <cell r="B57" t="str">
            <v>Horizon 2035 Cap</v>
          </cell>
          <cell r="C57" t="str">
            <v>EUR-KAP-RETAIL</v>
          </cell>
          <cell r="D57">
            <v>20221118</v>
          </cell>
          <cell r="E57">
            <v>105.5</v>
          </cell>
        </row>
        <row r="58">
          <cell r="A58" t="str">
            <v>BE6279061574</v>
          </cell>
          <cell r="B58" t="str">
            <v>Horizon 2040 Cap</v>
          </cell>
          <cell r="C58" t="str">
            <v>EUR-KAP-RETAIL</v>
          </cell>
          <cell r="D58">
            <v>20221118</v>
          </cell>
          <cell r="E58">
            <v>107.64</v>
          </cell>
        </row>
        <row r="59">
          <cell r="A59" t="str">
            <v>BE0948467015</v>
          </cell>
          <cell r="B59" t="str">
            <v>Horizon Access Fund China Classic Shares Cap</v>
          </cell>
          <cell r="C59" t="str">
            <v>USD-KAP-RETAIL</v>
          </cell>
          <cell r="D59">
            <v>20221118</v>
          </cell>
          <cell r="E59">
            <v>1064.3599999999999</v>
          </cell>
        </row>
        <row r="60">
          <cell r="A60" t="str">
            <v>BE0948466975</v>
          </cell>
          <cell r="B60" t="str">
            <v>Horizon Access Fund China Classic Shares Dis</v>
          </cell>
          <cell r="C60" t="str">
            <v>USD-DIV-RETAIL</v>
          </cell>
          <cell r="D60">
            <v>20221118</v>
          </cell>
          <cell r="E60">
            <v>901.26</v>
          </cell>
        </row>
        <row r="61">
          <cell r="A61" t="str">
            <v>BE6228533665</v>
          </cell>
          <cell r="B61" t="str">
            <v>Horizon Access Fund China Inst. B Shares Cap</v>
          </cell>
          <cell r="C61" t="str">
            <v>USD-KAP-INSTIT.B</v>
          </cell>
          <cell r="D61">
            <v>20221118</v>
          </cell>
          <cell r="E61">
            <v>1097.02</v>
          </cell>
        </row>
        <row r="62">
          <cell r="A62" t="str">
            <v>BE0944666800</v>
          </cell>
          <cell r="B62" t="str">
            <v>Horizon Access India Fund Classic Shares Cap</v>
          </cell>
          <cell r="C62" t="str">
            <v>USD-KAP-RETAIL</v>
          </cell>
          <cell r="D62">
            <v>20221118</v>
          </cell>
          <cell r="E62">
            <v>1947.19</v>
          </cell>
        </row>
        <row r="63">
          <cell r="A63" t="str">
            <v>BE0944665794</v>
          </cell>
          <cell r="B63" t="str">
            <v>Horizon Access India Fund Classic Shares Dis</v>
          </cell>
          <cell r="C63" t="str">
            <v>USD-DIV-RETAIL</v>
          </cell>
          <cell r="D63">
            <v>20221118</v>
          </cell>
          <cell r="E63">
            <v>1613.22</v>
          </cell>
        </row>
        <row r="64">
          <cell r="A64" t="str">
            <v>BE6228534671</v>
          </cell>
          <cell r="B64" t="str">
            <v>Horizon Access India Fund Inst. B Shares Cap (empty)</v>
          </cell>
          <cell r="C64" t="str">
            <v>USD-KAP-INSTIT.B</v>
          </cell>
          <cell r="D64">
            <v>20210518</v>
          </cell>
          <cell r="E64">
            <v>1852.68</v>
          </cell>
        </row>
        <row r="65">
          <cell r="A65" t="str">
            <v>BE6333570529</v>
          </cell>
          <cell r="B65" t="str">
            <v>Horizon Business SRI Dyn. DBI-RDT Classic Shares Dis</v>
          </cell>
          <cell r="C65" t="str">
            <v>EUR-DIV-CLASSIC</v>
          </cell>
          <cell r="D65">
            <v>20221118</v>
          </cell>
          <cell r="E65">
            <v>972.31</v>
          </cell>
        </row>
        <row r="66">
          <cell r="A66" t="str">
            <v>BE6333571535</v>
          </cell>
          <cell r="B66" t="str">
            <v>Horizon Business SRI Dyn. DBI-RDT Comfort Portf. Shares Dis</v>
          </cell>
          <cell r="C66" t="str">
            <v>EUR-DIV-COMF.PTF</v>
          </cell>
          <cell r="D66">
            <v>20221118</v>
          </cell>
          <cell r="E66">
            <v>974.15</v>
          </cell>
        </row>
        <row r="67">
          <cell r="A67" t="str">
            <v>BE6258734035</v>
          </cell>
          <cell r="B67" t="str">
            <v>Horizon Comfort Def. Classic Shares Cap</v>
          </cell>
          <cell r="C67" t="str">
            <v>EUR-KAP-RETAIL</v>
          </cell>
          <cell r="D67">
            <v>20221118</v>
          </cell>
          <cell r="E67">
            <v>1120.53</v>
          </cell>
        </row>
        <row r="68">
          <cell r="A68" t="str">
            <v>BE6294806888</v>
          </cell>
          <cell r="B68" t="str">
            <v>Horizon Comfort Def. Classic Shares CSOB Private Banking Cap</v>
          </cell>
          <cell r="C68" t="str">
            <v>EUR-KAP-CSOB PB</v>
          </cell>
          <cell r="D68">
            <v>20221118</v>
          </cell>
          <cell r="E68">
            <v>950.67</v>
          </cell>
        </row>
        <row r="69">
          <cell r="A69" t="str">
            <v>BE6294805872</v>
          </cell>
          <cell r="B69" t="str">
            <v>Horizon Comfort Def. Classic Shares CSOB Private Banking Dis</v>
          </cell>
          <cell r="C69" t="str">
            <v>EUR-DIV-CSOB.PB</v>
          </cell>
          <cell r="D69">
            <v>20221118</v>
          </cell>
          <cell r="E69">
            <v>885.88</v>
          </cell>
        </row>
        <row r="70">
          <cell r="A70" t="str">
            <v>BE6258735040</v>
          </cell>
          <cell r="B70" t="str">
            <v>Horizon Comfort Def. Classic Shares Dis</v>
          </cell>
          <cell r="C70" t="str">
            <v>EUR-DIV-RETAIL</v>
          </cell>
          <cell r="D70">
            <v>20221118</v>
          </cell>
          <cell r="E70">
            <v>921.2</v>
          </cell>
        </row>
        <row r="71">
          <cell r="A71" t="str">
            <v>BE6258738077</v>
          </cell>
          <cell r="B71" t="str">
            <v>Horizon Comfort Dyn. Classic Shares Cap</v>
          </cell>
          <cell r="C71" t="str">
            <v>EUR-KAP-RETAIL</v>
          </cell>
          <cell r="D71">
            <v>20221118</v>
          </cell>
          <cell r="E71">
            <v>1337.3</v>
          </cell>
        </row>
        <row r="72">
          <cell r="A72" t="str">
            <v>BE6294809916</v>
          </cell>
          <cell r="B72" t="str">
            <v>Horizon Comfort Dyn. Classic Shares CSOB Private Banking Cap</v>
          </cell>
          <cell r="C72" t="str">
            <v>EUR-KAP-CSOB PB</v>
          </cell>
          <cell r="D72">
            <v>20221118</v>
          </cell>
          <cell r="E72">
            <v>1066.46</v>
          </cell>
        </row>
        <row r="73">
          <cell r="A73" t="str">
            <v>BE6294808900</v>
          </cell>
          <cell r="B73" t="str">
            <v>Horizon Comfort Dyn. Classic Shares CSOB Private Banking Dis</v>
          </cell>
          <cell r="C73" t="str">
            <v>EUR-DIV-CSOB.PB</v>
          </cell>
          <cell r="D73">
            <v>20221118</v>
          </cell>
          <cell r="E73">
            <v>996.97</v>
          </cell>
        </row>
        <row r="74">
          <cell r="A74" t="str">
            <v>BE6258739083</v>
          </cell>
          <cell r="B74" t="str">
            <v>Horizon Comfort Dyn. Classic Shares Dis</v>
          </cell>
          <cell r="C74" t="str">
            <v>EUR-DIV-RETAIL</v>
          </cell>
          <cell r="D74">
            <v>20221118</v>
          </cell>
          <cell r="E74">
            <v>1070.26</v>
          </cell>
        </row>
        <row r="75">
          <cell r="A75" t="str">
            <v>BE6292610266</v>
          </cell>
          <cell r="B75" t="str">
            <v>Horizon Comfort Dyn. High Classic Shares Cap</v>
          </cell>
          <cell r="C75" t="str">
            <v>EUR-KAP-RETAIL</v>
          </cell>
          <cell r="D75">
            <v>20221118</v>
          </cell>
          <cell r="E75">
            <v>1175.5</v>
          </cell>
        </row>
        <row r="76">
          <cell r="A76" t="str">
            <v>BE6302981186</v>
          </cell>
          <cell r="B76" t="str">
            <v>Horizon Comfort Dyn. High Classic Shares CSOB Private Banking Cap</v>
          </cell>
          <cell r="C76" t="str">
            <v>EUR-KAP-CSOB PB</v>
          </cell>
          <cell r="D76">
            <v>20221118</v>
          </cell>
          <cell r="E76">
            <v>1175.17</v>
          </cell>
        </row>
        <row r="77">
          <cell r="A77" t="str">
            <v>BE6302982192</v>
          </cell>
          <cell r="B77" t="str">
            <v>Horizon Comfort Dyn. High Classic Shares CSOB Private Banking Dis</v>
          </cell>
          <cell r="C77" t="str">
            <v>EUR-DIV-CSOB.PB</v>
          </cell>
          <cell r="D77">
            <v>20221118</v>
          </cell>
          <cell r="E77">
            <v>1091.58</v>
          </cell>
        </row>
        <row r="78">
          <cell r="A78" t="str">
            <v>BE6292611272</v>
          </cell>
          <cell r="B78" t="str">
            <v>Horizon Comfort Dyn. High Classic Shares Dis</v>
          </cell>
          <cell r="C78" t="str">
            <v>EUR-DIV-RETAIL</v>
          </cell>
          <cell r="D78">
            <v>20221118</v>
          </cell>
          <cell r="E78">
            <v>1102.6600000000001</v>
          </cell>
        </row>
        <row r="79">
          <cell r="A79" t="str">
            <v>BE6266330339</v>
          </cell>
          <cell r="B79" t="str">
            <v>Horizon Comfort Pro August 90 Cap</v>
          </cell>
          <cell r="C79" t="str">
            <v>EUR-KAP-RETAIL</v>
          </cell>
          <cell r="D79">
            <v>20221118</v>
          </cell>
          <cell r="E79">
            <v>1071.44</v>
          </cell>
        </row>
        <row r="80">
          <cell r="A80" t="str">
            <v>BE6277711659</v>
          </cell>
          <cell r="B80" t="str">
            <v>Horizon Comfort Pro February 90 Cap</v>
          </cell>
          <cell r="C80" t="str">
            <v>EUR-KAP-RETAIL</v>
          </cell>
          <cell r="D80">
            <v>20221118</v>
          </cell>
          <cell r="E80">
            <v>937.35</v>
          </cell>
        </row>
        <row r="81">
          <cell r="A81" t="str">
            <v>BE6285342331</v>
          </cell>
          <cell r="B81" t="str">
            <v>Horizon Comfort Pro May 90 Cap</v>
          </cell>
          <cell r="C81" t="str">
            <v>EUR-KAP-RETAIL</v>
          </cell>
          <cell r="D81">
            <v>20221118</v>
          </cell>
          <cell r="E81">
            <v>1090.4100000000001</v>
          </cell>
        </row>
        <row r="82">
          <cell r="A82" t="str">
            <v>BE6282172640</v>
          </cell>
          <cell r="B82" t="str">
            <v>Horizon Comfort Pro November 90 Cap</v>
          </cell>
          <cell r="C82" t="str">
            <v>EUR-KAP-RETAIL</v>
          </cell>
          <cell r="D82">
            <v>20221118</v>
          </cell>
          <cell r="E82">
            <v>1065.3499999999999</v>
          </cell>
        </row>
        <row r="83">
          <cell r="A83" t="str">
            <v>BE6292936612</v>
          </cell>
          <cell r="B83" t="str">
            <v>Horizon Comfort SRI Def. Cap</v>
          </cell>
          <cell r="C83" t="str">
            <v>EUR-KAP-RETAIL</v>
          </cell>
          <cell r="D83">
            <v>20221118</v>
          </cell>
          <cell r="E83">
            <v>923.29</v>
          </cell>
        </row>
        <row r="84">
          <cell r="A84" t="str">
            <v>BE6292937628</v>
          </cell>
          <cell r="B84" t="str">
            <v>Horizon Comfort SRI Def. Dis</v>
          </cell>
          <cell r="C84" t="str">
            <v>EUR-DIV-RETAIL</v>
          </cell>
          <cell r="D84">
            <v>20221118</v>
          </cell>
          <cell r="E84">
            <v>890.89</v>
          </cell>
        </row>
        <row r="85">
          <cell r="A85" t="str">
            <v>BE6292868906</v>
          </cell>
          <cell r="B85" t="str">
            <v>Horizon Comfort SRI Dyn. Cap</v>
          </cell>
          <cell r="C85" t="str">
            <v>EUR-KAP-RETAIL</v>
          </cell>
          <cell r="D85">
            <v>20221118</v>
          </cell>
          <cell r="E85">
            <v>1039.26</v>
          </cell>
        </row>
        <row r="86">
          <cell r="A86" t="str">
            <v>BE6292869912</v>
          </cell>
          <cell r="B86" t="str">
            <v>Horizon Comfort SRI Dyn. Dis</v>
          </cell>
          <cell r="C86" t="str">
            <v>EUR-DIV-RETAIL</v>
          </cell>
          <cell r="D86">
            <v>20221118</v>
          </cell>
          <cell r="E86">
            <v>991.92</v>
          </cell>
        </row>
        <row r="87">
          <cell r="A87" t="str">
            <v>BE6335527691</v>
          </cell>
          <cell r="B87" t="str">
            <v>Horizon Comfort SRI Dyn. High Classic Shares Cap</v>
          </cell>
          <cell r="C87" t="str">
            <v>EUR-KAP-CLASSIC</v>
          </cell>
          <cell r="D87">
            <v>20221118</v>
          </cell>
          <cell r="E87">
            <v>188.27</v>
          </cell>
        </row>
        <row r="88">
          <cell r="A88" t="str">
            <v>BE6335528707</v>
          </cell>
          <cell r="B88" t="str">
            <v>Horizon Comfort SRI Dyn. High Classic Shares Dis</v>
          </cell>
          <cell r="C88" t="str">
            <v>EUR-DIV-CLASSIC</v>
          </cell>
          <cell r="D88">
            <v>20221118</v>
          </cell>
          <cell r="E88">
            <v>188.12</v>
          </cell>
        </row>
        <row r="89">
          <cell r="A89" t="str">
            <v>BE6319267082</v>
          </cell>
          <cell r="B89" t="str">
            <v>Horizon Comfort SRI Dyn. High Comfort Portf. Shares Cap</v>
          </cell>
          <cell r="C89" t="str">
            <v>EUR-KAP-COMF.PTF</v>
          </cell>
          <cell r="D89">
            <v>20221118</v>
          </cell>
          <cell r="E89">
            <v>1147.31</v>
          </cell>
        </row>
        <row r="90">
          <cell r="A90" t="str">
            <v>BE6319268098</v>
          </cell>
          <cell r="B90" t="str">
            <v>Horizon Comfort SRI Dyn. High Comfort Portf. Shares Dis</v>
          </cell>
          <cell r="C90" t="str">
            <v>EUR-DIV-COMF.PTF</v>
          </cell>
          <cell r="D90">
            <v>20221118</v>
          </cell>
          <cell r="E90">
            <v>1129.46</v>
          </cell>
        </row>
        <row r="91">
          <cell r="A91" t="str">
            <v>BE6327901094</v>
          </cell>
          <cell r="B91" t="str">
            <v>Horizon Comfort SRI Dyn. High Inst. F Shares LU Cap</v>
          </cell>
          <cell r="C91" t="str">
            <v>EUR-KAP-INST.FLU</v>
          </cell>
          <cell r="D91">
            <v>20221118</v>
          </cell>
          <cell r="E91">
            <v>902.04</v>
          </cell>
        </row>
        <row r="92">
          <cell r="A92" t="str">
            <v>BE6334473822</v>
          </cell>
          <cell r="B92" t="str">
            <v>Horizon Comfort SRI Dyn. High Inst. Shares Cap</v>
          </cell>
          <cell r="C92" t="str">
            <v>EUR-KAP-INSTIT.F</v>
          </cell>
          <cell r="D92">
            <v>20221118</v>
          </cell>
          <cell r="E92">
            <v>1017.72</v>
          </cell>
        </row>
        <row r="93">
          <cell r="A93" t="str">
            <v>BE6305608265</v>
          </cell>
          <cell r="B93" t="str">
            <v>Horizon CSOB Europsky Rast 1 Cap</v>
          </cell>
          <cell r="C93" t="str">
            <v>EUR-KAP-RETAIL</v>
          </cell>
          <cell r="D93">
            <v>20221116</v>
          </cell>
          <cell r="E93">
            <v>10.15</v>
          </cell>
        </row>
        <row r="94">
          <cell r="A94" t="str">
            <v>BE6311160491</v>
          </cell>
          <cell r="B94" t="str">
            <v>Horizon CSOB Financie 1 Cap</v>
          </cell>
          <cell r="C94" t="str">
            <v>EUR-KAP-RETAIL</v>
          </cell>
          <cell r="D94">
            <v>20221116</v>
          </cell>
          <cell r="E94">
            <v>10.18</v>
          </cell>
        </row>
        <row r="95">
          <cell r="A95" t="str">
            <v>BE6304579640</v>
          </cell>
          <cell r="B95" t="str">
            <v>Horizon CSOB Globálny Rast 2 Cap</v>
          </cell>
          <cell r="C95" t="str">
            <v>EUR-KAP-RETAIL</v>
          </cell>
          <cell r="D95">
            <v>20221116</v>
          </cell>
          <cell r="E95">
            <v>9.58</v>
          </cell>
        </row>
        <row r="96">
          <cell r="A96" t="str">
            <v>BE0943443219</v>
          </cell>
          <cell r="B96" t="str">
            <v>Horizon Dollar Obligatiedepot Dis</v>
          </cell>
          <cell r="C96" t="str">
            <v>USD-DIV-RETAIL</v>
          </cell>
          <cell r="D96">
            <v>20221118</v>
          </cell>
          <cell r="E96">
            <v>438.7</v>
          </cell>
        </row>
        <row r="97">
          <cell r="A97" t="str">
            <v>BE0941634553</v>
          </cell>
          <cell r="B97" t="str">
            <v>Horizon Europees Obligatiedepot Dis</v>
          </cell>
          <cell r="C97" t="str">
            <v>EUR-DIV-RETAIL</v>
          </cell>
          <cell r="D97">
            <v>20221118</v>
          </cell>
          <cell r="E97">
            <v>459.3</v>
          </cell>
        </row>
        <row r="98">
          <cell r="A98" t="str">
            <v>BE6261308553</v>
          </cell>
          <cell r="B98" t="str">
            <v>Horizon Flexible Plan Cap</v>
          </cell>
          <cell r="C98" t="str">
            <v>EUR-KAP-RETAIL</v>
          </cell>
          <cell r="D98">
            <v>20221118</v>
          </cell>
          <cell r="E98">
            <v>53.94</v>
          </cell>
        </row>
        <row r="99">
          <cell r="A99" t="str">
            <v>BE6278667512</v>
          </cell>
          <cell r="B99" t="str">
            <v>Horizon Flexible Portf. July Cap</v>
          </cell>
          <cell r="C99" t="str">
            <v>EUR-KAP-RETAIL</v>
          </cell>
          <cell r="D99">
            <v>20221118</v>
          </cell>
          <cell r="E99">
            <v>953</v>
          </cell>
        </row>
        <row r="100">
          <cell r="A100" t="str">
            <v>BE6278669534</v>
          </cell>
          <cell r="B100" t="str">
            <v>Horizon Flexible Portf. July Dis</v>
          </cell>
          <cell r="C100" t="str">
            <v>EUR-DIV-RETAIL</v>
          </cell>
          <cell r="D100">
            <v>20221118</v>
          </cell>
          <cell r="E100">
            <v>858.24</v>
          </cell>
        </row>
        <row r="101">
          <cell r="A101" t="str">
            <v>BE6309647889</v>
          </cell>
          <cell r="B101" t="str">
            <v>Horizon Flexible Portf. SRI January Cap</v>
          </cell>
          <cell r="C101" t="str">
            <v>EUR-KAP-RETAIL</v>
          </cell>
          <cell r="D101">
            <v>20221118</v>
          </cell>
          <cell r="E101">
            <v>1039.67</v>
          </cell>
        </row>
        <row r="102">
          <cell r="A102" t="str">
            <v>BE6309650917</v>
          </cell>
          <cell r="B102" t="str">
            <v>Horizon Flexible Portf. SRI January Dis</v>
          </cell>
          <cell r="C102" t="str">
            <v>EUR-DIV-RETAIL</v>
          </cell>
          <cell r="D102">
            <v>20221118</v>
          </cell>
          <cell r="E102">
            <v>998.51</v>
          </cell>
        </row>
        <row r="103">
          <cell r="A103" t="str">
            <v>BE6282715257</v>
          </cell>
          <cell r="B103" t="str">
            <v>Horizon Global Flexible Allocation Cap</v>
          </cell>
          <cell r="C103" t="str">
            <v>EUR-KAP-RETAIL</v>
          </cell>
          <cell r="D103">
            <v>20221118</v>
          </cell>
          <cell r="E103">
            <v>1087.47</v>
          </cell>
        </row>
        <row r="104">
          <cell r="A104" t="str">
            <v>BE6276291034</v>
          </cell>
          <cell r="B104" t="str">
            <v>Horizon Global Flexible Allocation Wealth January Cap</v>
          </cell>
          <cell r="C104" t="str">
            <v>EUR-KAP-RETAIL</v>
          </cell>
          <cell r="D104">
            <v>20221118</v>
          </cell>
          <cell r="E104">
            <v>967.69</v>
          </cell>
        </row>
        <row r="105">
          <cell r="A105" t="str">
            <v>BE6280653971</v>
          </cell>
          <cell r="B105" t="str">
            <v>Horizon Global Flexible Allocation Wealth July Cap</v>
          </cell>
          <cell r="C105" t="str">
            <v>EUR-KAP-RETAIL</v>
          </cell>
          <cell r="D105">
            <v>20221118</v>
          </cell>
          <cell r="E105">
            <v>1055.49</v>
          </cell>
        </row>
        <row r="106">
          <cell r="A106" t="str">
            <v>BE0945431691</v>
          </cell>
          <cell r="B106" t="str">
            <v>Horizon High Interest Obligatiedepot Dis</v>
          </cell>
          <cell r="C106" t="str">
            <v>EUR-DIV-RETAIL</v>
          </cell>
          <cell r="D106">
            <v>20221118</v>
          </cell>
          <cell r="E106">
            <v>357.58</v>
          </cell>
        </row>
        <row r="107">
          <cell r="A107" t="str">
            <v>BE0013403176</v>
          </cell>
          <cell r="B107" t="str">
            <v>Horizon Internationaal Obligatiedepot Dis</v>
          </cell>
          <cell r="C107" t="str">
            <v>EUR-DIV-RETAIL</v>
          </cell>
          <cell r="D107">
            <v>20221118</v>
          </cell>
          <cell r="E107">
            <v>17.989999999999998</v>
          </cell>
        </row>
        <row r="108">
          <cell r="A108" t="str">
            <v>BE6314556505</v>
          </cell>
          <cell r="B108" t="str">
            <v>Horizon Investicna Prilezitost Cap</v>
          </cell>
          <cell r="C108" t="str">
            <v>EUR-KAP-RETAIL</v>
          </cell>
          <cell r="D108">
            <v>20221116</v>
          </cell>
          <cell r="E108">
            <v>9.49</v>
          </cell>
        </row>
        <row r="109">
          <cell r="A109" t="str">
            <v>BE6290488384</v>
          </cell>
          <cell r="B109" t="str">
            <v>Horizon KBC ExpertEase Business Def. Balanced Dis</v>
          </cell>
          <cell r="C109" t="str">
            <v>EUR-DIV-RETAIL</v>
          </cell>
          <cell r="D109">
            <v>20221118</v>
          </cell>
          <cell r="E109">
            <v>887.38</v>
          </cell>
        </row>
        <row r="110">
          <cell r="A110" t="str">
            <v>BE6290489390</v>
          </cell>
          <cell r="B110" t="str">
            <v>Horizon KBC ExpertEase Business Dyn. Balanced Dis</v>
          </cell>
          <cell r="C110" t="str">
            <v>EUR-DIV-RETAIL</v>
          </cell>
          <cell r="D110">
            <v>20221118</v>
          </cell>
          <cell r="E110">
            <v>940.3</v>
          </cell>
        </row>
        <row r="111">
          <cell r="A111" t="str">
            <v>BE6290498482</v>
          </cell>
          <cell r="B111" t="str">
            <v>Horizon KBC ExpertEase Def. Balanced Classic Shares Cap</v>
          </cell>
          <cell r="C111" t="str">
            <v>EUR-KAP-RETAIL</v>
          </cell>
          <cell r="D111">
            <v>20221118</v>
          </cell>
          <cell r="E111">
            <v>934.3</v>
          </cell>
        </row>
        <row r="112">
          <cell r="A112" t="str">
            <v>BE6290499498</v>
          </cell>
          <cell r="B112" t="str">
            <v>Horizon KBC ExpertEase Def. Balanced Classic Shares Dis</v>
          </cell>
          <cell r="C112" t="str">
            <v>EUR-DIV-RETAIL</v>
          </cell>
          <cell r="D112">
            <v>20221118</v>
          </cell>
          <cell r="E112">
            <v>888.29</v>
          </cell>
        </row>
        <row r="113">
          <cell r="A113" t="str">
            <v>BE6311868788</v>
          </cell>
          <cell r="B113" t="str">
            <v>Horizon KBC ExpertEase Def. Balanced Comfort Portf. Shares Cap</v>
          </cell>
          <cell r="C113" t="str">
            <v>EUR-KAP-COMF.PTF</v>
          </cell>
          <cell r="D113">
            <v>20221118</v>
          </cell>
          <cell r="E113">
            <v>968.99</v>
          </cell>
        </row>
        <row r="114">
          <cell r="A114" t="str">
            <v>BE6311870800</v>
          </cell>
          <cell r="B114" t="str">
            <v>Horizon KBC ExpertEase Def. Balanced Comfort Portf. Shares Dis</v>
          </cell>
          <cell r="C114" t="str">
            <v>EUR-DIV-COMF.PTF</v>
          </cell>
          <cell r="D114">
            <v>20221118</v>
          </cell>
          <cell r="E114">
            <v>939.13</v>
          </cell>
        </row>
        <row r="115">
          <cell r="A115" t="str">
            <v>BE6324084720</v>
          </cell>
          <cell r="B115" t="str">
            <v>Horizon KBC ExpertEase Def. Balanced Inst. F shares BG BGN Cap</v>
          </cell>
          <cell r="C115" t="str">
            <v>BGN-KAP-INST.FBG</v>
          </cell>
          <cell r="D115">
            <v>20221118</v>
          </cell>
          <cell r="E115">
            <v>939.93</v>
          </cell>
        </row>
        <row r="116">
          <cell r="A116" t="str">
            <v>BE6324083714</v>
          </cell>
          <cell r="B116" t="str">
            <v>Horizon KBC ExpertEase Def. Balanced Inst. F shares BG EUR Cap</v>
          </cell>
          <cell r="C116" t="str">
            <v>EUR-KAP-INST.FBG</v>
          </cell>
          <cell r="D116">
            <v>20221118</v>
          </cell>
          <cell r="E116">
            <v>943.01</v>
          </cell>
        </row>
        <row r="117">
          <cell r="A117" t="str">
            <v>BE6307322915</v>
          </cell>
          <cell r="B117" t="str">
            <v>Horizon KBC ExpertEase Def. Tolerant Classic Shares Cap</v>
          </cell>
          <cell r="C117" t="str">
            <v>EUR-KAP-RETAIL</v>
          </cell>
          <cell r="D117">
            <v>20221118</v>
          </cell>
          <cell r="E117">
            <v>986.78</v>
          </cell>
        </row>
        <row r="118">
          <cell r="A118" t="str">
            <v>BE6307323921</v>
          </cell>
          <cell r="B118" t="str">
            <v>Horizon KBC ExpertEase Def. Tolerant Classic Shares Dis</v>
          </cell>
          <cell r="C118" t="str">
            <v>EUR-DIV-RETAIL</v>
          </cell>
          <cell r="D118">
            <v>20221118</v>
          </cell>
          <cell r="E118">
            <v>955.41</v>
          </cell>
        </row>
        <row r="119">
          <cell r="A119" t="str">
            <v>BE6311834442</v>
          </cell>
          <cell r="B119" t="str">
            <v>Horizon KBC ExpertEase Def. Tolerant Comfort Portf. Shares Cap</v>
          </cell>
          <cell r="C119" t="str">
            <v>EUR-KAP-COMF.PTF</v>
          </cell>
          <cell r="D119">
            <v>20221118</v>
          </cell>
          <cell r="E119">
            <v>988.19</v>
          </cell>
        </row>
        <row r="120">
          <cell r="A120" t="str">
            <v>BE6311835456</v>
          </cell>
          <cell r="B120" t="str">
            <v>Horizon KBC ExpertEase Def. Tolerant Comfort Portf. Shares Dis</v>
          </cell>
          <cell r="C120" t="str">
            <v>EUR-DIV-COMF.PTF</v>
          </cell>
          <cell r="D120">
            <v>20221118</v>
          </cell>
          <cell r="E120">
            <v>956.73</v>
          </cell>
        </row>
        <row r="121">
          <cell r="A121" t="str">
            <v>BE6324086741</v>
          </cell>
          <cell r="B121" t="str">
            <v>Horizon KBC ExpertEase Def. Tolerant Inst. F shares BG BGN Cap</v>
          </cell>
          <cell r="C121" t="str">
            <v>BGN-KAP-INST.FBG</v>
          </cell>
          <cell r="D121">
            <v>20221118</v>
          </cell>
          <cell r="E121">
            <v>923.02</v>
          </cell>
        </row>
        <row r="122">
          <cell r="A122" t="str">
            <v>BE6324087756</v>
          </cell>
          <cell r="B122" t="str">
            <v>Horizon KBC ExpertEase Def. Tolerant Inst. F shares BG EUR Cap</v>
          </cell>
          <cell r="C122" t="str">
            <v>EUR-KAP-INST.FBG</v>
          </cell>
          <cell r="D122">
            <v>20221118</v>
          </cell>
          <cell r="E122">
            <v>925.97</v>
          </cell>
        </row>
        <row r="123">
          <cell r="A123" t="str">
            <v>BE6290509593</v>
          </cell>
          <cell r="B123" t="str">
            <v>Horizon KBC ExpertEase Dyn. Balanced Classic Shares Cap</v>
          </cell>
          <cell r="C123" t="str">
            <v>EUR-KAP-RETAIL</v>
          </cell>
          <cell r="D123">
            <v>20221118</v>
          </cell>
          <cell r="E123">
            <v>1003.65</v>
          </cell>
        </row>
        <row r="124">
          <cell r="A124" t="str">
            <v>BE6290510609</v>
          </cell>
          <cell r="B124" t="str">
            <v>Horizon KBC ExpertEase Dyn. Balanced Classic Shares Dis</v>
          </cell>
          <cell r="C124" t="str">
            <v>EUR-DIV-RETAIL</v>
          </cell>
          <cell r="D124">
            <v>20221118</v>
          </cell>
          <cell r="E124">
            <v>941.53</v>
          </cell>
        </row>
        <row r="125">
          <cell r="A125" t="str">
            <v>BE6311871816</v>
          </cell>
          <cell r="B125" t="str">
            <v>Horizon KBC ExpertEase Dyn. Balanced Comfort Portf. Shares Cap</v>
          </cell>
          <cell r="C125" t="str">
            <v>EUR-KAP-COMF.PTF</v>
          </cell>
          <cell r="D125">
            <v>20221118</v>
          </cell>
          <cell r="E125">
            <v>1033.18</v>
          </cell>
        </row>
        <row r="126">
          <cell r="A126" t="str">
            <v>BE6311872822</v>
          </cell>
          <cell r="B126" t="str">
            <v>Horizon KBC ExpertEase Dyn. Balanced Comfort Portf. Shares Dis</v>
          </cell>
          <cell r="C126" t="str">
            <v>EUR-DIV-COMF.PTF</v>
          </cell>
          <cell r="D126">
            <v>20221118</v>
          </cell>
          <cell r="E126">
            <v>1001.03</v>
          </cell>
        </row>
        <row r="127">
          <cell r="A127" t="str">
            <v>BE6324088762</v>
          </cell>
          <cell r="B127" t="str">
            <v>Horizon KBC ExpertEase Dyn. Balanced Inst. F shares BG BGN Cap</v>
          </cell>
          <cell r="C127" t="str">
            <v>BGN-KAP-INST.FBG</v>
          </cell>
          <cell r="D127">
            <v>20221118</v>
          </cell>
          <cell r="E127">
            <v>950.79</v>
          </cell>
        </row>
        <row r="128">
          <cell r="A128" t="str">
            <v>BE6324090784</v>
          </cell>
          <cell r="B128" t="str">
            <v>Horizon KBC ExpertEase Dyn. Balanced Inst. F shares BG EUR Cap</v>
          </cell>
          <cell r="C128" t="str">
            <v>EUR-KAP-INST.FBG</v>
          </cell>
          <cell r="D128">
            <v>20221118</v>
          </cell>
          <cell r="E128">
            <v>946.39</v>
          </cell>
        </row>
        <row r="129">
          <cell r="A129" t="str">
            <v>BE6290507571</v>
          </cell>
          <cell r="B129" t="str">
            <v>Horizon KBC ExpertEase Dyn. Cap</v>
          </cell>
          <cell r="C129" t="str">
            <v>EUR-KAP-RETAIL</v>
          </cell>
          <cell r="D129">
            <v>20221118</v>
          </cell>
          <cell r="E129">
            <v>1067.23</v>
          </cell>
        </row>
        <row r="130">
          <cell r="A130" t="str">
            <v>BE6290508587</v>
          </cell>
          <cell r="B130" t="str">
            <v>Horizon KBC ExpertEase Dyn. Dis</v>
          </cell>
          <cell r="C130" t="str">
            <v>EUR-DIV-RETAIL</v>
          </cell>
          <cell r="D130">
            <v>20221118</v>
          </cell>
          <cell r="E130">
            <v>1002.41</v>
          </cell>
        </row>
        <row r="131">
          <cell r="A131" t="str">
            <v>BE6307324937</v>
          </cell>
          <cell r="B131" t="str">
            <v>Horizon KBC ExpertEase Dyn. Tolerant Classic Shares Cap</v>
          </cell>
          <cell r="C131" t="str">
            <v>EUR-KAP-RETAIL</v>
          </cell>
          <cell r="D131">
            <v>20221118</v>
          </cell>
          <cell r="E131">
            <v>1025.57</v>
          </cell>
        </row>
        <row r="132">
          <cell r="A132" t="str">
            <v>BE6307325942</v>
          </cell>
          <cell r="B132" t="str">
            <v>Horizon KBC ExpertEase Dyn. Tolerant Classic Shares Dis</v>
          </cell>
          <cell r="C132" t="str">
            <v>EUR-DIV-RETAIL</v>
          </cell>
          <cell r="D132">
            <v>20221118</v>
          </cell>
          <cell r="E132">
            <v>985.55</v>
          </cell>
        </row>
        <row r="133">
          <cell r="A133" t="str">
            <v>BE6311836462</v>
          </cell>
          <cell r="B133" t="str">
            <v>Horizon KBC ExpertEase Dyn. Tolerant Comfort Portf. Shares Cap</v>
          </cell>
          <cell r="C133" t="str">
            <v>EUR-KAP-COMF.PTF</v>
          </cell>
          <cell r="D133">
            <v>20221118</v>
          </cell>
          <cell r="E133">
            <v>1028.23</v>
          </cell>
        </row>
        <row r="134">
          <cell r="A134" t="str">
            <v>BE6311837478</v>
          </cell>
          <cell r="B134" t="str">
            <v>Horizon KBC ExpertEase Dyn. Tolerant Comfort Portf. Shares Dis</v>
          </cell>
          <cell r="C134" t="str">
            <v>EUR-DIV-COMF.PTF</v>
          </cell>
          <cell r="D134">
            <v>20221118</v>
          </cell>
          <cell r="E134">
            <v>985.84</v>
          </cell>
        </row>
        <row r="135">
          <cell r="A135" t="str">
            <v>BE6324091790</v>
          </cell>
          <cell r="B135" t="str">
            <v>Horizon KBC ExpertEase Dyn. Tolerant Inst. F shares BG BGN Cap</v>
          </cell>
          <cell r="C135" t="str">
            <v>BGN-KAP-INST.FBG</v>
          </cell>
          <cell r="D135">
            <v>20221118</v>
          </cell>
          <cell r="E135">
            <v>939.6</v>
          </cell>
        </row>
        <row r="136">
          <cell r="A136" t="str">
            <v>BE6324092806</v>
          </cell>
          <cell r="B136" t="str">
            <v>Horizon KBC ExpertEase Dyn. Tolerant Inst. F shares BG EUR Cap</v>
          </cell>
          <cell r="C136" t="str">
            <v>EUR-KAP-INST.FBG</v>
          </cell>
          <cell r="D136">
            <v>20221118</v>
          </cell>
          <cell r="E136">
            <v>942.71</v>
          </cell>
        </row>
        <row r="137">
          <cell r="A137" t="str">
            <v>BE6307326957</v>
          </cell>
          <cell r="B137" t="str">
            <v>Horizon KBC ExpertEase Highly Dyn. Tolerant Classic Shares Cap</v>
          </cell>
          <cell r="C137" t="str">
            <v>EUR-KAP-RETAIL</v>
          </cell>
          <cell r="D137">
            <v>20221118</v>
          </cell>
          <cell r="E137">
            <v>1055.47</v>
          </cell>
        </row>
        <row r="138">
          <cell r="A138" t="str">
            <v>BE6307327963</v>
          </cell>
          <cell r="B138" t="str">
            <v>Horizon KBC ExpertEase Highly Dyn. Tolerant Classic Shares Dis</v>
          </cell>
          <cell r="C138" t="str">
            <v>EUR-DIV-RETAIL</v>
          </cell>
          <cell r="D138">
            <v>20221118</v>
          </cell>
          <cell r="E138">
            <v>1009.9</v>
          </cell>
        </row>
        <row r="139">
          <cell r="A139" t="str">
            <v>BE6311859696</v>
          </cell>
          <cell r="B139" t="str">
            <v>Horizon KBC ExpertEase Highly Dyn. Tolerant Comfort Portf. Shares Cap</v>
          </cell>
          <cell r="C139" t="str">
            <v>EUR-KAP-COMF.PTF</v>
          </cell>
          <cell r="D139">
            <v>20221118</v>
          </cell>
          <cell r="E139">
            <v>1059.99</v>
          </cell>
        </row>
        <row r="140">
          <cell r="A140" t="str">
            <v>BE6311860702</v>
          </cell>
          <cell r="B140" t="str">
            <v>Horizon KBC ExpertEase Highly Dyn. Tolerant Comfort Portf. Shares Dis</v>
          </cell>
          <cell r="C140" t="str">
            <v>EUR-DIV-COMF.PTF</v>
          </cell>
          <cell r="D140">
            <v>20221118</v>
          </cell>
          <cell r="E140">
            <v>1058.7</v>
          </cell>
        </row>
        <row r="141">
          <cell r="A141" t="str">
            <v>BE6324093812</v>
          </cell>
          <cell r="B141" t="str">
            <v>Horizon KBC ExpertEase Highly Dyn. Tolerant Inst. F shares BG BGN Cap</v>
          </cell>
          <cell r="C141" t="str">
            <v>BGN-KAP-INST.FBG</v>
          </cell>
          <cell r="D141">
            <v>20221118</v>
          </cell>
          <cell r="E141">
            <v>951.23</v>
          </cell>
        </row>
        <row r="142">
          <cell r="A142" t="str">
            <v>BE6324094828</v>
          </cell>
          <cell r="B142" t="str">
            <v>Horizon KBC ExpertEase Highly Dyn. Tolerant Inst. F shares BG EUR Cap</v>
          </cell>
          <cell r="C142" t="str">
            <v>EUR-KAP-INST.FBG</v>
          </cell>
          <cell r="D142">
            <v>20221118</v>
          </cell>
          <cell r="E142">
            <v>952.2</v>
          </cell>
        </row>
        <row r="143">
          <cell r="A143" t="str">
            <v>BE6321618314</v>
          </cell>
          <cell r="B143" t="str">
            <v>Horizon KBC ExpertEase Highly Dyn. Tolerant Inst. F Shares LU Cap</v>
          </cell>
          <cell r="C143" t="str">
            <v>EUR-KAP-INST.FLU</v>
          </cell>
          <cell r="D143">
            <v>20221118</v>
          </cell>
          <cell r="E143">
            <v>1088.52</v>
          </cell>
        </row>
        <row r="144">
          <cell r="A144" t="str">
            <v>BE6290490406</v>
          </cell>
          <cell r="B144" t="str">
            <v>Horizon KBC ExpertEase SRI Def. Balanced Classic Shares Cap</v>
          </cell>
          <cell r="C144" t="str">
            <v>EUR-KAP-RETAIL</v>
          </cell>
          <cell r="D144">
            <v>20221118</v>
          </cell>
          <cell r="E144">
            <v>921.75</v>
          </cell>
        </row>
        <row r="145">
          <cell r="A145" t="str">
            <v>BE6290491412</v>
          </cell>
          <cell r="B145" t="str">
            <v>Horizon KBC ExpertEase SRI Def. Balanced Classic Shares Dis</v>
          </cell>
          <cell r="C145" t="str">
            <v>EUR-DIV-RETAIL</v>
          </cell>
          <cell r="D145">
            <v>20221118</v>
          </cell>
          <cell r="E145">
            <v>874.14</v>
          </cell>
        </row>
        <row r="146">
          <cell r="A146" t="str">
            <v>BE6311838484</v>
          </cell>
          <cell r="B146" t="str">
            <v>Horizon KBC ExpertEase SRI Def. Balanced Comfort Portf. Shares Cap</v>
          </cell>
          <cell r="C146" t="str">
            <v>EUR-KAP-COMF.PTF</v>
          </cell>
          <cell r="D146">
            <v>20221118</v>
          </cell>
          <cell r="E146">
            <v>954.66</v>
          </cell>
        </row>
        <row r="147">
          <cell r="A147" t="str">
            <v>BE6311839490</v>
          </cell>
          <cell r="B147" t="str">
            <v>Horizon KBC ExpertEase SRI Def. Balanced Comfort Portf. Shares Dis</v>
          </cell>
          <cell r="C147" t="str">
            <v>EUR-DIV-COMF.PTF</v>
          </cell>
          <cell r="D147">
            <v>20221118</v>
          </cell>
          <cell r="E147">
            <v>936.25</v>
          </cell>
        </row>
        <row r="148">
          <cell r="A148" t="str">
            <v>BE6331693182</v>
          </cell>
          <cell r="B148" t="str">
            <v>Horizon KBC ExpertEase SRI Def. Balanced Inst. F shares BG Cap</v>
          </cell>
          <cell r="C148" t="str">
            <v>EUR-KAP-INST.FBG</v>
          </cell>
          <cell r="D148">
            <v>20221118</v>
          </cell>
          <cell r="E148">
            <v>985.6</v>
          </cell>
        </row>
        <row r="149">
          <cell r="A149" t="str">
            <v>BE6323168292</v>
          </cell>
          <cell r="B149" t="str">
            <v>Horizon KBC ExpertEase SRI Def. Balanced Inst. F Shares IE Cap</v>
          </cell>
          <cell r="C149" t="str">
            <v>EUR-KAP-INST.FIE</v>
          </cell>
          <cell r="D149">
            <v>20221118</v>
          </cell>
          <cell r="E149">
            <v>929.01</v>
          </cell>
        </row>
        <row r="150">
          <cell r="A150" t="str">
            <v>BE0946105641</v>
          </cell>
          <cell r="B150" t="str">
            <v>Horizon KBC ExpertEase SRI Def. Conservative  Classic Shares Cap</v>
          </cell>
          <cell r="C150" t="str">
            <v>EUR-KAP-RETAIL</v>
          </cell>
          <cell r="D150">
            <v>20221118</v>
          </cell>
          <cell r="E150">
            <v>306.02</v>
          </cell>
        </row>
        <row r="151">
          <cell r="A151" t="str">
            <v>BE6330357409</v>
          </cell>
          <cell r="B151" t="str">
            <v>Horizon KBC ExpertEase SRI Def. Conservative  Classic Shares Dis</v>
          </cell>
          <cell r="C151" t="str">
            <v>EUR-DIV-RETAIL</v>
          </cell>
          <cell r="D151">
            <v>20221118</v>
          </cell>
          <cell r="E151">
            <v>230.91</v>
          </cell>
        </row>
        <row r="152">
          <cell r="A152" t="str">
            <v>BE6331692176</v>
          </cell>
          <cell r="B152" t="str">
            <v>Horizon KBC ExpertEase SRI Def. Conservative  Inst. F shares BG Cap</v>
          </cell>
          <cell r="C152" t="str">
            <v>EUR-KAP-INST.FBG</v>
          </cell>
          <cell r="D152">
            <v>20221118</v>
          </cell>
          <cell r="E152">
            <v>986.86</v>
          </cell>
        </row>
        <row r="153">
          <cell r="A153" t="str">
            <v>BE6307330025</v>
          </cell>
          <cell r="B153" t="str">
            <v>Horizon KBC ExpertEase SRI Def. Tolerant Classic Shares Cap</v>
          </cell>
          <cell r="C153" t="str">
            <v>EUR-KAP-RETAIL</v>
          </cell>
          <cell r="D153">
            <v>20221118</v>
          </cell>
          <cell r="E153">
            <v>960.89</v>
          </cell>
        </row>
        <row r="154">
          <cell r="A154" t="str">
            <v>BE6307331031</v>
          </cell>
          <cell r="B154" t="str">
            <v>Horizon KBC ExpertEase SRI Def. Tolerant Classic Shares Dis</v>
          </cell>
          <cell r="C154" t="str">
            <v>EUR-DIV-RETAIL</v>
          </cell>
          <cell r="D154">
            <v>20221118</v>
          </cell>
          <cell r="E154">
            <v>937.15</v>
          </cell>
        </row>
        <row r="155">
          <cell r="A155" t="str">
            <v>BE6311840506</v>
          </cell>
          <cell r="B155" t="str">
            <v>Horizon KBC ExpertEase SRI Def. Tolerant Comfort Portf. Shares Cap</v>
          </cell>
          <cell r="C155" t="str">
            <v>EUR-KAP-COMF.PTF</v>
          </cell>
          <cell r="D155">
            <v>20221118</v>
          </cell>
          <cell r="E155">
            <v>964.18</v>
          </cell>
        </row>
        <row r="156">
          <cell r="A156" t="str">
            <v>BE6311841512</v>
          </cell>
          <cell r="B156" t="str">
            <v>Horizon KBC ExpertEase SRI Def. Tolerant Comfort Portf. Shares Dis</v>
          </cell>
          <cell r="C156" t="str">
            <v>EUR-DIV-COMF.PTF</v>
          </cell>
          <cell r="D156">
            <v>20221118</v>
          </cell>
          <cell r="E156">
            <v>942.59</v>
          </cell>
        </row>
        <row r="157">
          <cell r="A157" t="str">
            <v>BE6331695203</v>
          </cell>
          <cell r="B157" t="str">
            <v>Horizon KBC ExpertEase SRI Def. Tolerant Inst. F shares BG Cap</v>
          </cell>
          <cell r="C157" t="str">
            <v>EUR-KAP-INST.FBG</v>
          </cell>
          <cell r="D157">
            <v>20221118</v>
          </cell>
          <cell r="E157">
            <v>984.37</v>
          </cell>
        </row>
        <row r="158">
          <cell r="A158" t="str">
            <v>BE6323166270</v>
          </cell>
          <cell r="B158" t="str">
            <v>Horizon KBC ExpertEase SRI Def. Tolerant Inst. F Shares IE Cap</v>
          </cell>
          <cell r="C158" t="str">
            <v>EUR-KAP-INST.FIE</v>
          </cell>
          <cell r="D158">
            <v>20221118</v>
          </cell>
          <cell r="E158">
            <v>907.76</v>
          </cell>
        </row>
        <row r="159">
          <cell r="A159" t="str">
            <v>BE6290496460</v>
          </cell>
          <cell r="B159" t="str">
            <v>Horizon KBC ExpertEase SRI Dyn. Balanced Classic Shares Cap</v>
          </cell>
          <cell r="C159" t="str">
            <v>EUR-KAP-RETAIL</v>
          </cell>
          <cell r="D159">
            <v>20221118</v>
          </cell>
          <cell r="E159">
            <v>990.58</v>
          </cell>
        </row>
        <row r="160">
          <cell r="A160" t="str">
            <v>BE6290497476</v>
          </cell>
          <cell r="B160" t="str">
            <v>Horizon KBC ExpertEase SRI Dyn. Balanced Classic Shares Dis</v>
          </cell>
          <cell r="C160" t="str">
            <v>EUR-DIV-RETAIL</v>
          </cell>
          <cell r="D160">
            <v>20221118</v>
          </cell>
          <cell r="E160">
            <v>928.14</v>
          </cell>
        </row>
        <row r="161">
          <cell r="A161" t="str">
            <v>BE6311842528</v>
          </cell>
          <cell r="B161" t="str">
            <v>Horizon KBC ExpertEase SRI Dyn. Balanced Comfort Portf. Shares Cap</v>
          </cell>
          <cell r="C161" t="str">
            <v>EUR-KAP-COMF.PTF</v>
          </cell>
          <cell r="D161">
            <v>20221118</v>
          </cell>
          <cell r="E161">
            <v>1016.79</v>
          </cell>
        </row>
        <row r="162">
          <cell r="A162" t="str">
            <v>BE6311843534</v>
          </cell>
          <cell r="B162" t="str">
            <v>Horizon KBC ExpertEase SRI Dyn. Balanced Comfort Portf. Shares Dis</v>
          </cell>
          <cell r="C162" t="str">
            <v>EUR-DIV-COMF.PTF</v>
          </cell>
          <cell r="D162">
            <v>20221118</v>
          </cell>
          <cell r="E162">
            <v>990.85</v>
          </cell>
        </row>
        <row r="163">
          <cell r="A163" t="str">
            <v>BE6331694198</v>
          </cell>
          <cell r="B163" t="str">
            <v>Horizon KBC ExpertEase SRI Dyn. Balanced Inst. F shares BG Cap</v>
          </cell>
          <cell r="C163" t="str">
            <v>EUR-KAP-INST.FBG</v>
          </cell>
          <cell r="D163">
            <v>20221118</v>
          </cell>
          <cell r="E163">
            <v>979.27</v>
          </cell>
        </row>
        <row r="164">
          <cell r="A164" t="str">
            <v>BE6323169308</v>
          </cell>
          <cell r="B164" t="str">
            <v>Horizon KBC ExpertEase SRI Dyn. Balanced Inst. F Shares IE Cap</v>
          </cell>
          <cell r="C164" t="str">
            <v>EUR-KAP-INST.FIE</v>
          </cell>
          <cell r="D164">
            <v>20221118</v>
          </cell>
          <cell r="E164">
            <v>926.65</v>
          </cell>
        </row>
        <row r="165">
          <cell r="A165" t="str">
            <v>BE6290493434</v>
          </cell>
          <cell r="B165" t="str">
            <v>Horizon KBC ExpertEase SRI Dyn. Classic Shares Cap</v>
          </cell>
          <cell r="C165" t="str">
            <v>EUR-KAP-RETAIL</v>
          </cell>
          <cell r="D165">
            <v>20221118</v>
          </cell>
          <cell r="E165">
            <v>1062.98</v>
          </cell>
        </row>
        <row r="166">
          <cell r="A166" t="str">
            <v>BE6290494440</v>
          </cell>
          <cell r="B166" t="str">
            <v>Horizon KBC ExpertEase SRI Dyn. Classic Shares Dis</v>
          </cell>
          <cell r="C166" t="str">
            <v>EUR-DIV-RETAIL</v>
          </cell>
          <cell r="D166">
            <v>20221118</v>
          </cell>
          <cell r="E166">
            <v>990.71</v>
          </cell>
        </row>
        <row r="167">
          <cell r="A167" t="str">
            <v>BE6307334068</v>
          </cell>
          <cell r="B167" t="str">
            <v>Horizon KBC ExpertEase SRI Dyn. Tolerant Classic Shares Cap</v>
          </cell>
          <cell r="C167" t="str">
            <v>EUR-KAP-RETAIL</v>
          </cell>
          <cell r="D167">
            <v>20221118</v>
          </cell>
          <cell r="E167">
            <v>1002.09</v>
          </cell>
        </row>
        <row r="168">
          <cell r="A168" t="str">
            <v>BE6307335073</v>
          </cell>
          <cell r="B168" t="str">
            <v>Horizon KBC ExpertEase SRI Dyn. Tolerant Classic Shares Dis</v>
          </cell>
          <cell r="C168" t="str">
            <v>EUR-DIV-RETAIL</v>
          </cell>
          <cell r="D168">
            <v>20221118</v>
          </cell>
          <cell r="E168">
            <v>969.8</v>
          </cell>
        </row>
        <row r="169">
          <cell r="A169" t="str">
            <v>BE6311844540</v>
          </cell>
          <cell r="B169" t="str">
            <v>Horizon KBC ExpertEase SRI Dyn. Tolerant Comfort Portf. Shares Cap</v>
          </cell>
          <cell r="C169" t="str">
            <v>EUR-KAP-COMF.PTF</v>
          </cell>
          <cell r="D169">
            <v>20221118</v>
          </cell>
          <cell r="E169">
            <v>1006</v>
          </cell>
        </row>
        <row r="170">
          <cell r="A170" t="str">
            <v>BE6311845554</v>
          </cell>
          <cell r="B170" t="str">
            <v>Horizon KBC ExpertEase SRI Dyn. Tolerant Comfort Portf. Shares Dis</v>
          </cell>
          <cell r="C170" t="str">
            <v>EUR-DIV-COMF.PTF</v>
          </cell>
          <cell r="D170">
            <v>20221118</v>
          </cell>
          <cell r="E170">
            <v>978.56</v>
          </cell>
        </row>
        <row r="171">
          <cell r="A171" t="str">
            <v>BE6331696219</v>
          </cell>
          <cell r="B171" t="str">
            <v>Horizon KBC ExpertEase SRI Dyn. Tolerant Inst. F shares BG Cap</v>
          </cell>
          <cell r="C171" t="str">
            <v>EUR-KAP-INST.FBG</v>
          </cell>
          <cell r="D171">
            <v>20221118</v>
          </cell>
          <cell r="E171">
            <v>981.7</v>
          </cell>
        </row>
        <row r="172">
          <cell r="A172" t="str">
            <v>BE6323171320</v>
          </cell>
          <cell r="B172" t="str">
            <v>Horizon KBC ExpertEase SRI Dyn. Tolerant Inst. F Shares IE Cap</v>
          </cell>
          <cell r="C172" t="str">
            <v>EUR-KAP-INST.FIE</v>
          </cell>
          <cell r="D172">
            <v>20221118</v>
          </cell>
          <cell r="E172">
            <v>920.59</v>
          </cell>
        </row>
        <row r="173">
          <cell r="A173" t="str">
            <v>BE6307336089</v>
          </cell>
          <cell r="B173" t="str">
            <v>Horizon KBC Expertease SRI Highly Dyn. Tolerant Classic Shares Cap</v>
          </cell>
          <cell r="C173" t="str">
            <v>EUR-KAP-RETAIL</v>
          </cell>
          <cell r="D173">
            <v>20221118</v>
          </cell>
          <cell r="E173">
            <v>1032.8499999999999</v>
          </cell>
        </row>
        <row r="174">
          <cell r="A174" t="str">
            <v>BE6307337095</v>
          </cell>
          <cell r="B174" t="str">
            <v>Horizon KBC Expertease SRI Highly Dyn. Tolerant Classic Shares Dis</v>
          </cell>
          <cell r="C174" t="str">
            <v>EUR-DIV-RETAIL</v>
          </cell>
          <cell r="D174">
            <v>20221118</v>
          </cell>
          <cell r="E174">
            <v>994.94</v>
          </cell>
        </row>
        <row r="175">
          <cell r="A175" t="str">
            <v>BE6311861718</v>
          </cell>
          <cell r="B175" t="str">
            <v>Horizon KBC Expertease SRI Highly Dyn. Tolerant Comfort Portf. Shares Cap</v>
          </cell>
          <cell r="C175" t="str">
            <v>EUR-KAP-COMF.PTF</v>
          </cell>
          <cell r="D175">
            <v>20221118</v>
          </cell>
          <cell r="E175">
            <v>1037.76</v>
          </cell>
        </row>
        <row r="176">
          <cell r="A176" t="str">
            <v>BE6311862724</v>
          </cell>
          <cell r="B176" t="str">
            <v>Horizon KBC Expertease SRI Highly Dyn. Tolerant Comfort Portf. Shares Dis</v>
          </cell>
          <cell r="C176" t="str">
            <v>EUR-DIV-COMF.PTF</v>
          </cell>
          <cell r="D176">
            <v>20221118</v>
          </cell>
          <cell r="E176">
            <v>1004.6</v>
          </cell>
        </row>
        <row r="177">
          <cell r="A177" t="str">
            <v>BE6331698231</v>
          </cell>
          <cell r="B177" t="str">
            <v>Horizon KBC Expertease SRI Highly Dyn. Tolerant Inst. F shares BG Cap</v>
          </cell>
          <cell r="C177" t="str">
            <v>EUR-KAP-INST.FBG</v>
          </cell>
          <cell r="D177">
            <v>20221118</v>
          </cell>
          <cell r="E177">
            <v>984.28</v>
          </cell>
        </row>
        <row r="178">
          <cell r="A178" t="str">
            <v>BE6323175362</v>
          </cell>
          <cell r="B178" t="str">
            <v>Horizon KBC Expertease SRI Highly Dyn. Tolerant Inst. F Shares IE Cap</v>
          </cell>
          <cell r="C178" t="str">
            <v>EUR-KAP-INST.FIE</v>
          </cell>
          <cell r="D178">
            <v>20221118</v>
          </cell>
          <cell r="E178">
            <v>927.12</v>
          </cell>
        </row>
        <row r="179">
          <cell r="A179" t="str">
            <v>BE6328051626</v>
          </cell>
          <cell r="B179" t="str">
            <v>Horizon Platinum Portf. Classic Shares Cap (empty)</v>
          </cell>
          <cell r="C179" t="str">
            <v>BGN-KAP-RETAIL</v>
          </cell>
          <cell r="D179">
            <v>20211118</v>
          </cell>
          <cell r="E179">
            <v>1000</v>
          </cell>
        </row>
        <row r="180">
          <cell r="A180" t="str">
            <v>BE6328052632</v>
          </cell>
          <cell r="B180" t="str">
            <v>Horizon Platinum Portf. Inst. F shares BG Cap</v>
          </cell>
          <cell r="C180" t="str">
            <v>BGN-KAP-INST.FBG</v>
          </cell>
          <cell r="D180">
            <v>20221118</v>
          </cell>
          <cell r="E180">
            <v>880.79</v>
          </cell>
        </row>
        <row r="181">
          <cell r="A181" t="str">
            <v>BE6227978937</v>
          </cell>
          <cell r="B181" t="str">
            <v>Horizon Private Banking Active Stock Selection Cap</v>
          </cell>
          <cell r="C181" t="str">
            <v>EUR-KAP-RETAIL</v>
          </cell>
          <cell r="D181">
            <v>20221118</v>
          </cell>
          <cell r="E181">
            <v>1774.67</v>
          </cell>
        </row>
        <row r="182">
          <cell r="A182" t="str">
            <v>BE6227979943</v>
          </cell>
          <cell r="B182" t="str">
            <v>Horizon Private Banking Active Stock Selection Dis</v>
          </cell>
          <cell r="C182" t="str">
            <v>EUR-DIV-RETAIL</v>
          </cell>
          <cell r="D182">
            <v>20221118</v>
          </cell>
          <cell r="E182">
            <v>1495.3</v>
          </cell>
        </row>
        <row r="183">
          <cell r="A183" t="str">
            <v>BE0945926799</v>
          </cell>
          <cell r="B183" t="str">
            <v>Horizon Privil. Portf. Def. Cap</v>
          </cell>
          <cell r="C183" t="str">
            <v>EUR-KAP-RETAIL</v>
          </cell>
          <cell r="D183">
            <v>20221118</v>
          </cell>
          <cell r="E183">
            <v>316.67</v>
          </cell>
        </row>
        <row r="184">
          <cell r="A184" t="str">
            <v>BE0945925783</v>
          </cell>
          <cell r="B184" t="str">
            <v>Horizon Privil. Portf. Dyn. Cap</v>
          </cell>
          <cell r="C184" t="str">
            <v>EUR-KAP-RETAIL</v>
          </cell>
          <cell r="D184">
            <v>20221118</v>
          </cell>
          <cell r="E184">
            <v>360.57</v>
          </cell>
        </row>
        <row r="185">
          <cell r="A185" t="str">
            <v>BE0945923762</v>
          </cell>
          <cell r="B185" t="str">
            <v>Horizon Privil. Portf. Dyn. High Cap</v>
          </cell>
          <cell r="C185" t="str">
            <v>EUR-KAP-RETAIL</v>
          </cell>
          <cell r="D185">
            <v>20221118</v>
          </cell>
          <cell r="E185">
            <v>390.33</v>
          </cell>
        </row>
        <row r="186">
          <cell r="A186" t="str">
            <v>BE0946343119</v>
          </cell>
          <cell r="B186" t="str">
            <v>Horizon Privil. Portf. Pro 90 August Cap</v>
          </cell>
          <cell r="C186" t="str">
            <v>EUR-KAP-RETAIL</v>
          </cell>
          <cell r="D186">
            <v>20221118</v>
          </cell>
          <cell r="E186">
            <v>306.22000000000003</v>
          </cell>
        </row>
        <row r="187">
          <cell r="A187" t="str">
            <v>BE0945921741</v>
          </cell>
          <cell r="B187" t="str">
            <v>Horizon Privil. Portf. Pro 90 February Cap</v>
          </cell>
          <cell r="C187" t="str">
            <v>EUR-KAP-RETAIL</v>
          </cell>
          <cell r="D187">
            <v>20221118</v>
          </cell>
          <cell r="E187">
            <v>331.49</v>
          </cell>
        </row>
        <row r="188">
          <cell r="A188" t="str">
            <v>BE0946104636</v>
          </cell>
          <cell r="B188" t="str">
            <v>Horizon Privil. Portf. Pro 90 May Cap</v>
          </cell>
          <cell r="C188" t="str">
            <v>EUR-KAP-RETAIL</v>
          </cell>
          <cell r="D188">
            <v>20221118</v>
          </cell>
          <cell r="E188">
            <v>339.12</v>
          </cell>
        </row>
        <row r="189">
          <cell r="A189" t="str">
            <v>BE0946433043</v>
          </cell>
          <cell r="B189" t="str">
            <v>Horizon Privil. Portf. Pro 90 November Cap</v>
          </cell>
          <cell r="C189" t="str">
            <v>EUR-KAP-RETAIL</v>
          </cell>
          <cell r="D189">
            <v>20221118</v>
          </cell>
          <cell r="E189">
            <v>327.83</v>
          </cell>
        </row>
        <row r="190">
          <cell r="A190" t="str">
            <v>BE6336589641</v>
          </cell>
          <cell r="B190" t="str">
            <v>Horizon Start 100 Cap</v>
          </cell>
          <cell r="C190" t="str">
            <v>EUR-KAP-CS.EUR</v>
          </cell>
          <cell r="D190">
            <v>20221116</v>
          </cell>
          <cell r="E190">
            <v>10.06</v>
          </cell>
        </row>
        <row r="191">
          <cell r="A191" t="str">
            <v>BE0946766467</v>
          </cell>
          <cell r="B191" t="str">
            <v>Horizon Strategisch Obligatiedepot Responsible Classic Shares Dis</v>
          </cell>
          <cell r="C191" t="str">
            <v>EUR-DIV-RETAIL</v>
          </cell>
          <cell r="D191">
            <v>20221118</v>
          </cell>
          <cell r="E191">
            <v>458.89</v>
          </cell>
        </row>
        <row r="192">
          <cell r="A192" t="str">
            <v>BE6337352510</v>
          </cell>
          <cell r="B192" t="str">
            <v>Horizon Strategisch Obligatiedepot Responsible Discretionary Shares Dis (empty)</v>
          </cell>
          <cell r="C192" t="str">
            <v>EUR-DIV-DISCR.SHARES</v>
          </cell>
          <cell r="D192">
            <v>20221031</v>
          </cell>
          <cell r="E192">
            <v>1000</v>
          </cell>
        </row>
        <row r="193">
          <cell r="A193" t="str">
            <v>BE6275363453</v>
          </cell>
          <cell r="B193" t="str">
            <v>Horizon USD Low Cap</v>
          </cell>
          <cell r="C193" t="str">
            <v>USD-KAP-RETAIL</v>
          </cell>
          <cell r="D193">
            <v>20221118</v>
          </cell>
          <cell r="E193">
            <v>113.77</v>
          </cell>
        </row>
        <row r="194">
          <cell r="A194" t="str">
            <v>BE0175210286</v>
          </cell>
          <cell r="B194" t="str">
            <v>IN.flanders Employment Fund IN.flanders Employment Fund Cap</v>
          </cell>
          <cell r="C194" t="str">
            <v>EUR-KAP-RETAIL</v>
          </cell>
          <cell r="D194">
            <v>20221118</v>
          </cell>
          <cell r="E194">
            <v>191.88</v>
          </cell>
        </row>
        <row r="195">
          <cell r="A195" t="str">
            <v>BE0175209270</v>
          </cell>
          <cell r="B195" t="str">
            <v>IN.flanders Employment Fund IN.flanders Employment Fund Dis</v>
          </cell>
          <cell r="C195" t="str">
            <v>EUR-DIV-RETAIL</v>
          </cell>
          <cell r="D195">
            <v>20221118</v>
          </cell>
          <cell r="E195">
            <v>111.83</v>
          </cell>
        </row>
        <row r="196">
          <cell r="A196" t="str">
            <v>BE6284729025</v>
          </cell>
          <cell r="B196" t="str">
            <v>IN.focus Income Portf. Dis</v>
          </cell>
          <cell r="C196" t="str">
            <v>EUR-DIV-RETAIL</v>
          </cell>
          <cell r="D196">
            <v>20221118</v>
          </cell>
          <cell r="E196">
            <v>841.32</v>
          </cell>
        </row>
        <row r="197">
          <cell r="A197" t="str">
            <v>BE6271861351</v>
          </cell>
          <cell r="B197" t="str">
            <v>IN.focus Private Banking Active Income Selection Dis</v>
          </cell>
          <cell r="C197" t="str">
            <v>EUR-DIV-RETAIL</v>
          </cell>
          <cell r="D197">
            <v>20221118</v>
          </cell>
          <cell r="E197">
            <v>894.09</v>
          </cell>
        </row>
        <row r="198">
          <cell r="A198" t="str">
            <v>BE6266960812</v>
          </cell>
          <cell r="B198" t="str">
            <v>KBC B-Assured KBC B-Assured Dyn. Cap</v>
          </cell>
          <cell r="C198" t="str">
            <v>LUX-KAP3-EUR</v>
          </cell>
          <cell r="D198">
            <v>20221117</v>
          </cell>
          <cell r="E198">
            <v>1041.6400000000001</v>
          </cell>
        </row>
        <row r="199">
          <cell r="A199" t="str">
            <v>BE6266959806</v>
          </cell>
          <cell r="B199" t="str">
            <v>KBC B-Assured KBC B-Assured ExpertEase SRI Def. Conservative Cap</v>
          </cell>
          <cell r="C199" t="str">
            <v>LUX-KAP3-EUR</v>
          </cell>
          <cell r="D199">
            <v>20221117</v>
          </cell>
          <cell r="E199">
            <v>920.86</v>
          </cell>
        </row>
        <row r="200">
          <cell r="A200" t="str">
            <v>LU0052032520</v>
          </cell>
          <cell r="B200" t="str">
            <v>KBC Bonds Capital Fund Cap</v>
          </cell>
          <cell r="C200" t="str">
            <v>KAP</v>
          </cell>
          <cell r="D200">
            <v>20221118</v>
          </cell>
          <cell r="E200">
            <v>902.71</v>
          </cell>
        </row>
        <row r="201">
          <cell r="A201" t="str">
            <v>LU0052032793</v>
          </cell>
          <cell r="B201" t="str">
            <v>KBC Bonds Capital Fund Dis</v>
          </cell>
          <cell r="C201" t="str">
            <v>DIV</v>
          </cell>
          <cell r="D201">
            <v>20221118</v>
          </cell>
          <cell r="E201">
            <v>448.88</v>
          </cell>
        </row>
        <row r="202">
          <cell r="A202" t="str">
            <v>LU1911614912</v>
          </cell>
          <cell r="B202" t="str">
            <v>KBC Bonds Capital Fund Inst. B Shares Cap (empty)</v>
          </cell>
          <cell r="C202" t="str">
            <v>EUR-KAP-INSTIT.B</v>
          </cell>
          <cell r="D202">
            <v>20200923</v>
          </cell>
          <cell r="E202">
            <v>1117.55</v>
          </cell>
        </row>
        <row r="203">
          <cell r="A203" t="str">
            <v>LU1687404845</v>
          </cell>
          <cell r="B203" t="str">
            <v>KBC Bonds Capital Fund Inst. F Shares</v>
          </cell>
          <cell r="C203" t="str">
            <v>EUR-KAP-INSTIT.F</v>
          </cell>
          <cell r="D203">
            <v>20221118</v>
          </cell>
          <cell r="E203">
            <v>957.73</v>
          </cell>
        </row>
        <row r="204">
          <cell r="A204" t="str">
            <v>LU0098296873</v>
          </cell>
          <cell r="B204" t="str">
            <v>KBC Bonds Convertibles Cap</v>
          </cell>
          <cell r="C204" t="str">
            <v>KAP</v>
          </cell>
          <cell r="D204">
            <v>20221118</v>
          </cell>
          <cell r="E204">
            <v>889.16</v>
          </cell>
        </row>
        <row r="205">
          <cell r="A205" t="str">
            <v>LU0098298069</v>
          </cell>
          <cell r="B205" t="str">
            <v>KBC Bonds Convertibles Dis</v>
          </cell>
          <cell r="C205" t="str">
            <v>DIV</v>
          </cell>
          <cell r="D205">
            <v>20221118</v>
          </cell>
          <cell r="E205">
            <v>657.67</v>
          </cell>
        </row>
        <row r="206">
          <cell r="A206" t="str">
            <v>LU0276281929</v>
          </cell>
          <cell r="B206" t="str">
            <v>KBC Bonds Convertibles Euro Hedged Cap</v>
          </cell>
          <cell r="C206" t="str">
            <v>KAP2</v>
          </cell>
          <cell r="D206">
            <v>20221118</v>
          </cell>
          <cell r="E206">
            <v>655.94</v>
          </cell>
        </row>
        <row r="207">
          <cell r="A207" t="str">
            <v>LU0276282141</v>
          </cell>
          <cell r="B207" t="str">
            <v>KBC Bonds Convertibles Euro Hedged Dis</v>
          </cell>
          <cell r="C207" t="str">
            <v>DIV2</v>
          </cell>
          <cell r="D207">
            <v>20221118</v>
          </cell>
          <cell r="E207">
            <v>489.53</v>
          </cell>
        </row>
        <row r="208">
          <cell r="A208" t="str">
            <v>LU0702681833</v>
          </cell>
          <cell r="B208" t="str">
            <v>KBC Bonds Convertibles Inst. B Shares Cap (empty)</v>
          </cell>
          <cell r="C208" t="str">
            <v>EUR-KAP-INSTIT.B</v>
          </cell>
          <cell r="D208">
            <v>20190220</v>
          </cell>
          <cell r="E208">
            <v>849.876983</v>
          </cell>
        </row>
        <row r="209">
          <cell r="A209" t="str">
            <v>LU0094437620</v>
          </cell>
          <cell r="B209" t="str">
            <v>KBC Bonds Corporates Euro Cap</v>
          </cell>
          <cell r="C209" t="str">
            <v>KAP</v>
          </cell>
          <cell r="D209">
            <v>20221118</v>
          </cell>
          <cell r="E209">
            <v>811.73</v>
          </cell>
        </row>
        <row r="210">
          <cell r="A210" t="str">
            <v>LU0094437893</v>
          </cell>
          <cell r="B210" t="str">
            <v>KBC Bonds Corporates Euro Dis</v>
          </cell>
          <cell r="C210" t="str">
            <v>DIV</v>
          </cell>
          <cell r="D210">
            <v>20221118</v>
          </cell>
          <cell r="E210">
            <v>365.43</v>
          </cell>
        </row>
        <row r="211">
          <cell r="A211" t="str">
            <v>LU0702682054</v>
          </cell>
          <cell r="B211" t="str">
            <v>KBC Bonds Corporates Euro Inst. B Shares Cap</v>
          </cell>
          <cell r="C211" t="str">
            <v>EUR-KAP-INSTIT.B</v>
          </cell>
          <cell r="D211">
            <v>20221118</v>
          </cell>
          <cell r="E211">
            <v>832.92</v>
          </cell>
        </row>
        <row r="212">
          <cell r="A212" t="str">
            <v>LU0203907273</v>
          </cell>
          <cell r="B212" t="str">
            <v>KBC Bonds Corporates Euro Inst. Shares Dis (empty)</v>
          </cell>
        </row>
        <row r="213">
          <cell r="A213" t="str">
            <v>LU0909309238</v>
          </cell>
          <cell r="B213" t="str">
            <v>KBC Bonds Corporates Euro PLN (empty)</v>
          </cell>
        </row>
        <row r="214">
          <cell r="A214" t="str">
            <v>LU0106101842</v>
          </cell>
          <cell r="B214" t="str">
            <v>KBC Bonds Corporates USD Cap</v>
          </cell>
          <cell r="C214" t="str">
            <v>KAP</v>
          </cell>
          <cell r="D214">
            <v>20221118</v>
          </cell>
          <cell r="E214">
            <v>1149.17</v>
          </cell>
        </row>
        <row r="215">
          <cell r="A215" t="str">
            <v>LU0106102063</v>
          </cell>
          <cell r="B215" t="str">
            <v>KBC Bonds Corporates USD Dis</v>
          </cell>
          <cell r="C215" t="str">
            <v>DIV</v>
          </cell>
          <cell r="D215">
            <v>20221118</v>
          </cell>
          <cell r="E215">
            <v>441.95</v>
          </cell>
        </row>
        <row r="216">
          <cell r="A216" t="str">
            <v>LU0702681320</v>
          </cell>
          <cell r="B216" t="str">
            <v>KBC Bonds Corporates USD Inst. B Shares Cap</v>
          </cell>
          <cell r="C216" t="str">
            <v>USD-KAP-INSTIT.B</v>
          </cell>
          <cell r="D216">
            <v>20221118</v>
          </cell>
          <cell r="E216">
            <v>1180.05</v>
          </cell>
        </row>
        <row r="217">
          <cell r="A217" t="str">
            <v>LU0909309311</v>
          </cell>
          <cell r="B217" t="str">
            <v>KBC Bonds Corporates USD PLN (empty)</v>
          </cell>
        </row>
        <row r="218">
          <cell r="A218" t="str">
            <v>LU0145227863</v>
          </cell>
          <cell r="B218" t="str">
            <v>KBC Bonds Emerging Europe Cap</v>
          </cell>
          <cell r="C218" t="str">
            <v>KAP</v>
          </cell>
          <cell r="D218">
            <v>20221118</v>
          </cell>
          <cell r="E218">
            <v>575.98</v>
          </cell>
        </row>
        <row r="219">
          <cell r="A219" t="str">
            <v>LU0145228085</v>
          </cell>
          <cell r="B219" t="str">
            <v>KBC Bonds Emerging Europe Dis</v>
          </cell>
          <cell r="C219" t="str">
            <v>DIV</v>
          </cell>
          <cell r="D219">
            <v>20221118</v>
          </cell>
          <cell r="E219">
            <v>201.41</v>
          </cell>
        </row>
        <row r="220">
          <cell r="A220" t="str">
            <v>LU0702682567</v>
          </cell>
          <cell r="B220" t="str">
            <v>KBC Bonds Emerging Europe Inst. B Shares Cap</v>
          </cell>
          <cell r="C220" t="str">
            <v>EUR-KAP-INSTIT.B</v>
          </cell>
          <cell r="D220">
            <v>20221118</v>
          </cell>
          <cell r="E220">
            <v>712.99</v>
          </cell>
        </row>
        <row r="221">
          <cell r="A221" t="str">
            <v>LU0337260151</v>
          </cell>
          <cell r="B221" t="str">
            <v>KBC Bonds Emerging Europe USD Frequent Dividend Dis</v>
          </cell>
          <cell r="C221" t="str">
            <v>DIV2</v>
          </cell>
          <cell r="D221">
            <v>20221118</v>
          </cell>
          <cell r="E221">
            <v>203.85</v>
          </cell>
        </row>
        <row r="222">
          <cell r="A222" t="str">
            <v>LU0082283374</v>
          </cell>
          <cell r="B222" t="str">
            <v>KBC Bonds Emerging Markets Cap</v>
          </cell>
          <cell r="C222" t="str">
            <v>KAP</v>
          </cell>
          <cell r="D222">
            <v>20221118</v>
          </cell>
          <cell r="E222">
            <v>2187.04</v>
          </cell>
        </row>
        <row r="223">
          <cell r="A223" t="str">
            <v>LU0082283614</v>
          </cell>
          <cell r="B223" t="str">
            <v>KBC Bonds Emerging Markets Dis</v>
          </cell>
          <cell r="C223" t="str">
            <v>DIV</v>
          </cell>
          <cell r="D223">
            <v>20221118</v>
          </cell>
          <cell r="E223">
            <v>433.63</v>
          </cell>
        </row>
        <row r="224">
          <cell r="A224" t="str">
            <v>LU0702681247</v>
          </cell>
          <cell r="B224" t="str">
            <v>KBC Bonds Emerging Markets Inst. B Shares Cap</v>
          </cell>
          <cell r="C224" t="str">
            <v>USD-KAP-INSTIT.B</v>
          </cell>
          <cell r="D224">
            <v>20221118</v>
          </cell>
          <cell r="E224">
            <v>2285.9</v>
          </cell>
        </row>
        <row r="225">
          <cell r="A225" t="str">
            <v>LU1694795425</v>
          </cell>
          <cell r="B225" t="str">
            <v>KBC Bonds Emerging Markets Inst. Shares Cap</v>
          </cell>
          <cell r="C225" t="str">
            <v>USD-KAP-INSTITUTIONEEL</v>
          </cell>
          <cell r="D225">
            <v>20221118</v>
          </cell>
          <cell r="E225">
            <v>925.09</v>
          </cell>
        </row>
        <row r="226">
          <cell r="A226" t="str">
            <v>LU2254263762</v>
          </cell>
          <cell r="B226" t="str">
            <v>KBC Bonds Emerging Markets Inst. Shares EUR Cap</v>
          </cell>
          <cell r="C226" t="str">
            <v>EUR-KAP-INST.EUR</v>
          </cell>
          <cell r="D226">
            <v>20221118</v>
          </cell>
          <cell r="E226">
            <v>948.98</v>
          </cell>
        </row>
        <row r="227">
          <cell r="A227" t="str">
            <v>LU0052033098</v>
          </cell>
          <cell r="B227" t="str">
            <v>KBC Bonds High Interest Cap</v>
          </cell>
          <cell r="C227" t="str">
            <v>KAP</v>
          </cell>
          <cell r="D227">
            <v>20221118</v>
          </cell>
          <cell r="E227">
            <v>1865.74</v>
          </cell>
        </row>
        <row r="228">
          <cell r="A228" t="str">
            <v>LU0052033254</v>
          </cell>
          <cell r="B228" t="str">
            <v>KBC Bonds High Interest Dis</v>
          </cell>
          <cell r="C228" t="str">
            <v>DIV</v>
          </cell>
          <cell r="D228">
            <v>20221118</v>
          </cell>
          <cell r="E228">
            <v>273.58</v>
          </cell>
        </row>
        <row r="229">
          <cell r="A229" t="str">
            <v>LU0702682302</v>
          </cell>
          <cell r="B229" t="str">
            <v>KBC Bonds High Interest Inst. B Shares Cap</v>
          </cell>
          <cell r="C229" t="str">
            <v>EUR-KAP-INSTIT.B</v>
          </cell>
          <cell r="D229">
            <v>20221118</v>
          </cell>
          <cell r="E229">
            <v>1938.36</v>
          </cell>
        </row>
        <row r="230">
          <cell r="A230" t="str">
            <v>LU1687408838</v>
          </cell>
          <cell r="B230" t="str">
            <v>KBC Bonds High Interest Inst. F Shares</v>
          </cell>
          <cell r="C230" t="str">
            <v>EUR-KAP-INSTIT.F</v>
          </cell>
          <cell r="D230">
            <v>20221118</v>
          </cell>
          <cell r="E230">
            <v>917.57</v>
          </cell>
        </row>
        <row r="231">
          <cell r="A231" t="str">
            <v>LU0259719655</v>
          </cell>
          <cell r="B231" t="str">
            <v>KBC Bonds High Interest Inst. Shares Cap</v>
          </cell>
          <cell r="C231" t="str">
            <v>KAP2</v>
          </cell>
          <cell r="D231">
            <v>20221118</v>
          </cell>
          <cell r="E231">
            <v>704.05</v>
          </cell>
        </row>
        <row r="232">
          <cell r="A232" t="str">
            <v>LU0337262108</v>
          </cell>
          <cell r="B232" t="str">
            <v>KBC Bonds High Interest USD Frequent Dividend Dis</v>
          </cell>
          <cell r="C232" t="str">
            <v>DIV2</v>
          </cell>
          <cell r="D232">
            <v>20221118</v>
          </cell>
          <cell r="E232">
            <v>273.97000000000003</v>
          </cell>
        </row>
        <row r="233">
          <cell r="A233" t="str">
            <v>LU0052030318</v>
          </cell>
          <cell r="B233" t="str">
            <v>KBC Bonds Income Fund Dis</v>
          </cell>
          <cell r="C233" t="str">
            <v>DIV</v>
          </cell>
          <cell r="D233">
            <v>20221118</v>
          </cell>
          <cell r="E233">
            <v>299.58999999999997</v>
          </cell>
        </row>
        <row r="234">
          <cell r="A234" t="str">
            <v>LU0103555248</v>
          </cell>
          <cell r="B234" t="str">
            <v>KBC Bonds Inflation-Linked Bonds Cap</v>
          </cell>
          <cell r="C234" t="str">
            <v>KAP</v>
          </cell>
          <cell r="D234">
            <v>20221118</v>
          </cell>
          <cell r="E234">
            <v>1070.1500000000001</v>
          </cell>
        </row>
        <row r="235">
          <cell r="A235" t="str">
            <v>LU0103555594</v>
          </cell>
          <cell r="B235" t="str">
            <v>KBC Bonds Inflation-Linked Bonds Dis</v>
          </cell>
          <cell r="C235" t="str">
            <v>DIV</v>
          </cell>
          <cell r="D235">
            <v>20221118</v>
          </cell>
          <cell r="E235">
            <v>780.22</v>
          </cell>
        </row>
        <row r="236">
          <cell r="A236" t="str">
            <v>LU0702681676</v>
          </cell>
          <cell r="B236" t="str">
            <v>KBC Bonds Inflation-Linked Bonds Inst. B Shares Cap</v>
          </cell>
          <cell r="C236" t="str">
            <v>EUR-KAP-INSTIT.B</v>
          </cell>
          <cell r="D236">
            <v>20221118</v>
          </cell>
          <cell r="E236">
            <v>1067.67</v>
          </cell>
        </row>
        <row r="237">
          <cell r="A237" t="str">
            <v>LU0203907869</v>
          </cell>
          <cell r="B237" t="str">
            <v>KBC Bonds Inflation-Linked Bonds Inst. Shares Cap</v>
          </cell>
          <cell r="C237" t="str">
            <v>KAP2</v>
          </cell>
          <cell r="D237">
            <v>20221118</v>
          </cell>
          <cell r="E237">
            <v>160.41999999999999</v>
          </cell>
        </row>
        <row r="238">
          <cell r="A238" t="str">
            <v>LU1124088607</v>
          </cell>
          <cell r="B238" t="str">
            <v>KBC Bonds SRI High Interest Cap</v>
          </cell>
          <cell r="C238" t="str">
            <v>EUR-KAP-RETAIL</v>
          </cell>
          <cell r="D238">
            <v>20221118</v>
          </cell>
          <cell r="E238">
            <v>425.26</v>
          </cell>
        </row>
        <row r="239">
          <cell r="A239" t="str">
            <v>LU1124088433</v>
          </cell>
          <cell r="B239" t="str">
            <v>KBC Bonds SRI High Interest Dis</v>
          </cell>
          <cell r="C239" t="str">
            <v>EUR-DIV-RETAIL</v>
          </cell>
          <cell r="D239">
            <v>20221118</v>
          </cell>
          <cell r="E239">
            <v>343.68</v>
          </cell>
        </row>
        <row r="240">
          <cell r="A240" t="str">
            <v>LU1551442467</v>
          </cell>
          <cell r="B240" t="str">
            <v>KBC Bonds SRI High Interest Inst. B Shares Cap</v>
          </cell>
          <cell r="C240" t="str">
            <v>EUR-KAP-INSTIT.B</v>
          </cell>
          <cell r="D240">
            <v>20221118</v>
          </cell>
          <cell r="E240">
            <v>894.84</v>
          </cell>
        </row>
        <row r="241">
          <cell r="A241" t="str">
            <v>LU1124096618</v>
          </cell>
          <cell r="B241" t="str">
            <v>KBC Bonds SRI High Interest Inst. Shares Cap</v>
          </cell>
          <cell r="C241" t="str">
            <v>EUR-KAP-INSTITUTIONEEL</v>
          </cell>
          <cell r="D241">
            <v>20221118</v>
          </cell>
          <cell r="E241">
            <v>447.54</v>
          </cell>
        </row>
        <row r="242">
          <cell r="A242" t="str">
            <v>LU1124095214</v>
          </cell>
          <cell r="B242" t="str">
            <v>KBC Bonds SRI High Interest Inst. Shares Dis (empty)</v>
          </cell>
        </row>
        <row r="243">
          <cell r="A243" t="str">
            <v>LU1892257681</v>
          </cell>
          <cell r="B243" t="str">
            <v>KBC Bonds SRI Strategic Accents Corp.Shares Cap (empty)</v>
          </cell>
          <cell r="C243" t="str">
            <v>KAP2</v>
          </cell>
          <cell r="D243">
            <v>20181128</v>
          </cell>
          <cell r="E243">
            <v>1000</v>
          </cell>
        </row>
        <row r="244">
          <cell r="A244" t="str">
            <v>LU1892257764</v>
          </cell>
          <cell r="B244" t="str">
            <v>KBC Bonds SRI Strategic Accents Inst. B Shares Cap</v>
          </cell>
          <cell r="C244" t="str">
            <v>EUR-KAP-INSTIT.B</v>
          </cell>
          <cell r="D244">
            <v>20221118</v>
          </cell>
          <cell r="E244">
            <v>800.69</v>
          </cell>
        </row>
        <row r="245">
          <cell r="A245" t="str">
            <v>LU1892258812</v>
          </cell>
          <cell r="B245" t="str">
            <v>KBC Bonds SRI Strategic Broad 25 75 Corp.Shares Cap (empty)</v>
          </cell>
          <cell r="C245" t="str">
            <v>KAP2</v>
          </cell>
          <cell r="D245">
            <v>20181128</v>
          </cell>
          <cell r="E245">
            <v>1000</v>
          </cell>
        </row>
        <row r="246">
          <cell r="A246" t="str">
            <v>LU1892258903</v>
          </cell>
          <cell r="B246" t="str">
            <v>KBC Bonds SRI Strategic Broad 25 75 Inst. B Shares Cap</v>
          </cell>
          <cell r="C246" t="str">
            <v>EUR-KAP-INSTIT.B</v>
          </cell>
          <cell r="D246">
            <v>20221118</v>
          </cell>
          <cell r="E246">
            <v>874.28</v>
          </cell>
        </row>
        <row r="247">
          <cell r="A247" t="str">
            <v>LU1892258655</v>
          </cell>
          <cell r="B247" t="str">
            <v>KBC Bonds SRI Strategic Broad 50 50 Corp.Shares Cap (empty)</v>
          </cell>
          <cell r="C247" t="str">
            <v>KAP2</v>
          </cell>
          <cell r="D247">
            <v>20220203</v>
          </cell>
          <cell r="E247">
            <v>960.46759999999995</v>
          </cell>
        </row>
        <row r="248">
          <cell r="A248" t="str">
            <v>LU1892258739</v>
          </cell>
          <cell r="B248" t="str">
            <v>KBC Bonds SRI Strategic Broad 50 50 Inst. B Shares Cap</v>
          </cell>
          <cell r="C248" t="str">
            <v>EUR-KAP-INSTIT.B</v>
          </cell>
          <cell r="D248">
            <v>20221118</v>
          </cell>
          <cell r="E248">
            <v>874.37</v>
          </cell>
        </row>
        <row r="249">
          <cell r="A249" t="str">
            <v>LU1892258499</v>
          </cell>
          <cell r="B249" t="str">
            <v>KBC Bonds SRI Strategic Broad 75 25 Corp.Shares Cap (empty)</v>
          </cell>
          <cell r="C249" t="str">
            <v>KAP2</v>
          </cell>
          <cell r="D249">
            <v>20181128</v>
          </cell>
          <cell r="E249">
            <v>1000</v>
          </cell>
        </row>
        <row r="250">
          <cell r="A250" t="str">
            <v>LU1892258572</v>
          </cell>
          <cell r="B250" t="str">
            <v>KBC Bonds SRI Strategic Broad 75 25 Inst. B Shares Cap</v>
          </cell>
          <cell r="C250" t="str">
            <v>EUR-KAP-INSTIT.B</v>
          </cell>
          <cell r="D250">
            <v>20221118</v>
          </cell>
          <cell r="E250">
            <v>867.9</v>
          </cell>
        </row>
        <row r="251">
          <cell r="A251" t="str">
            <v>LU1811814190</v>
          </cell>
          <cell r="B251" t="str">
            <v>KBC Bonds Strategic Accents Corp.Shares Cap (empty)</v>
          </cell>
          <cell r="C251" t="str">
            <v>KAP2</v>
          </cell>
          <cell r="D251">
            <v>20180523</v>
          </cell>
          <cell r="E251">
            <v>1000</v>
          </cell>
        </row>
        <row r="252">
          <cell r="A252" t="str">
            <v>LU1275397401</v>
          </cell>
          <cell r="B252" t="str">
            <v>KBC Bonds Strategic Accents Inst. B Shares Cap</v>
          </cell>
          <cell r="C252" t="str">
            <v>EUR-KAP-INSTIT.B</v>
          </cell>
          <cell r="D252">
            <v>20221118</v>
          </cell>
          <cell r="E252">
            <v>767.58</v>
          </cell>
        </row>
        <row r="253">
          <cell r="A253" t="str">
            <v>LU1892259034</v>
          </cell>
          <cell r="B253" t="str">
            <v>KBC Bonds Strategic Broad 30 70 Corp.Shares Cap (empty)</v>
          </cell>
          <cell r="C253" t="str">
            <v>KAP2</v>
          </cell>
          <cell r="D253">
            <v>20181128</v>
          </cell>
          <cell r="E253">
            <v>1000</v>
          </cell>
        </row>
        <row r="254">
          <cell r="A254" t="str">
            <v>LU1892259117</v>
          </cell>
          <cell r="B254" t="str">
            <v>KBC Bonds Strategic Broad 30 70 Inst. B Shares Cap</v>
          </cell>
          <cell r="C254" t="str">
            <v>EUR-KAP-INSTIT.B</v>
          </cell>
          <cell r="D254">
            <v>20221118</v>
          </cell>
          <cell r="E254">
            <v>927.04</v>
          </cell>
        </row>
        <row r="255">
          <cell r="A255" t="str">
            <v>LU1892257848</v>
          </cell>
          <cell r="B255" t="str">
            <v>KBC Bonds Strategic Broad 40 60 Corp.Shares Cap (empty)</v>
          </cell>
          <cell r="C255" t="str">
            <v>KAP2</v>
          </cell>
          <cell r="D255">
            <v>20181128</v>
          </cell>
          <cell r="E255">
            <v>1000</v>
          </cell>
        </row>
        <row r="256">
          <cell r="A256" t="str">
            <v>LU1892258069</v>
          </cell>
          <cell r="B256" t="str">
            <v>KBC Bonds Strategic Broad 40 60 Inst. B Shares Cap</v>
          </cell>
          <cell r="C256" t="str">
            <v>EUR-KAP-INSTIT.B</v>
          </cell>
          <cell r="D256">
            <v>20221118</v>
          </cell>
          <cell r="E256">
            <v>925.21</v>
          </cell>
        </row>
        <row r="257">
          <cell r="A257" t="str">
            <v>LU1811814356</v>
          </cell>
          <cell r="B257" t="str">
            <v>KBC Bonds Strategic Broad 50 50 Corp.Shares Cap (empty)</v>
          </cell>
          <cell r="C257" t="str">
            <v>KAP2</v>
          </cell>
          <cell r="D257">
            <v>20180523</v>
          </cell>
          <cell r="E257">
            <v>1000</v>
          </cell>
        </row>
        <row r="258">
          <cell r="A258" t="str">
            <v>LU1275397153</v>
          </cell>
          <cell r="B258" t="str">
            <v>KBC Bonds Strategic Broad 50 50 Inst. B Shares Cap</v>
          </cell>
          <cell r="C258" t="str">
            <v>EUR-KAP-INSTIT.B</v>
          </cell>
          <cell r="D258">
            <v>20221118</v>
          </cell>
          <cell r="E258">
            <v>956.83</v>
          </cell>
        </row>
        <row r="259">
          <cell r="A259" t="str">
            <v>LU1811813978</v>
          </cell>
          <cell r="B259" t="str">
            <v>KBC Bonds Strategic Broad 60 40 Corp.Shares Cap (empty)</v>
          </cell>
          <cell r="C259" t="str">
            <v>KAP2</v>
          </cell>
          <cell r="D259">
            <v>20180523</v>
          </cell>
          <cell r="E259">
            <v>1000</v>
          </cell>
        </row>
        <row r="260">
          <cell r="A260" t="str">
            <v>LU1275396775</v>
          </cell>
          <cell r="B260" t="str">
            <v>KBC Bonds Strategic Broad 60 40 Inst. B Shares Cap</v>
          </cell>
          <cell r="C260" t="str">
            <v>EUR-KAP-INSTIT.B</v>
          </cell>
          <cell r="D260">
            <v>20221118</v>
          </cell>
          <cell r="E260">
            <v>961.64</v>
          </cell>
        </row>
        <row r="261">
          <cell r="A261" t="str">
            <v>LU1811813622</v>
          </cell>
          <cell r="B261" t="str">
            <v>KBC Bonds Strategic Broad 70 30 Corp.Shares Cap (empty)</v>
          </cell>
          <cell r="C261" t="str">
            <v>KAP2</v>
          </cell>
          <cell r="D261">
            <v>20180523</v>
          </cell>
          <cell r="E261">
            <v>1000</v>
          </cell>
        </row>
        <row r="262">
          <cell r="A262" t="str">
            <v>LU0705564648</v>
          </cell>
          <cell r="B262" t="str">
            <v>KBC Bonds Strategic Broad 70 30 Inst. B Shares Cap</v>
          </cell>
          <cell r="C262" t="str">
            <v>EUR-KAP-INSTIT.B</v>
          </cell>
          <cell r="D262">
            <v>20221118</v>
          </cell>
          <cell r="E262">
            <v>1054.54</v>
          </cell>
        </row>
        <row r="263">
          <cell r="A263" t="str">
            <v>LU1811814273</v>
          </cell>
          <cell r="B263" t="str">
            <v>KBC Bonds Strategic Emerging Opportunities Corp.Shares Cap</v>
          </cell>
          <cell r="C263" t="str">
            <v>KAP2</v>
          </cell>
          <cell r="D263">
            <v>20180524</v>
          </cell>
          <cell r="E263">
            <v>1000</v>
          </cell>
        </row>
        <row r="264">
          <cell r="A264" t="str">
            <v>LU1275396932</v>
          </cell>
          <cell r="B264" t="str">
            <v>KBC Bonds Strategic Emerging Opportunities Inst. B Shares Cap</v>
          </cell>
          <cell r="C264" t="str">
            <v>EUR-KAP-INSTIT.B</v>
          </cell>
          <cell r="D264">
            <v>20211008</v>
          </cell>
          <cell r="E264">
            <v>1045.4431</v>
          </cell>
        </row>
        <row r="265">
          <cell r="A265" t="str">
            <v>BE6216839124</v>
          </cell>
          <cell r="B265" t="str">
            <v>KBC Comfort4Life Dyn. Cap</v>
          </cell>
          <cell r="C265" t="str">
            <v>KAP</v>
          </cell>
          <cell r="D265">
            <v>20221117</v>
          </cell>
          <cell r="E265">
            <v>1185.08</v>
          </cell>
        </row>
        <row r="266">
          <cell r="A266" t="str">
            <v>BE0175280016</v>
          </cell>
          <cell r="B266" t="str">
            <v>KBC Eco Fund Alternative Energy Classic Shares Cap</v>
          </cell>
          <cell r="C266" t="str">
            <v>EUR-KAP-RETAIL</v>
          </cell>
          <cell r="D266">
            <v>20221118</v>
          </cell>
          <cell r="E266">
            <v>673.31</v>
          </cell>
        </row>
        <row r="267">
          <cell r="A267" t="str">
            <v>BE0175279976</v>
          </cell>
          <cell r="B267" t="str">
            <v>KBC Eco Fund Alternative Energy Classic Shares Dis</v>
          </cell>
          <cell r="C267" t="str">
            <v>EUR-DIV-RETAIL</v>
          </cell>
          <cell r="D267">
            <v>20221118</v>
          </cell>
          <cell r="E267">
            <v>516.08000000000004</v>
          </cell>
        </row>
        <row r="268">
          <cell r="A268" t="str">
            <v>BE6228924690</v>
          </cell>
          <cell r="B268" t="str">
            <v>KBC Eco Fund Alternative Energy Inst. B Shares Cap</v>
          </cell>
          <cell r="C268" t="str">
            <v>EUR-KAP-INSTIT.B</v>
          </cell>
          <cell r="D268">
            <v>20221118</v>
          </cell>
          <cell r="E268">
            <v>708.52</v>
          </cell>
        </row>
        <row r="269">
          <cell r="A269" t="str">
            <v>BE0946844272</v>
          </cell>
          <cell r="B269" t="str">
            <v>KBC Eco Fund Climate Change Classic Shares Cap</v>
          </cell>
          <cell r="C269" t="str">
            <v>EUR-KAP-RETAIL</v>
          </cell>
          <cell r="D269">
            <v>20221118</v>
          </cell>
          <cell r="E269">
            <v>784.68</v>
          </cell>
        </row>
        <row r="270">
          <cell r="A270" t="str">
            <v>BE0946843266</v>
          </cell>
          <cell r="B270" t="str">
            <v>KBC Eco Fund Climate Change Classic Shares Dis</v>
          </cell>
          <cell r="C270" t="str">
            <v>EUR-DIV-RETAIL</v>
          </cell>
          <cell r="D270">
            <v>20221118</v>
          </cell>
          <cell r="E270">
            <v>652.79999999999995</v>
          </cell>
        </row>
        <row r="271">
          <cell r="A271" t="str">
            <v>BE6228923684</v>
          </cell>
          <cell r="B271" t="str">
            <v>KBC Eco Fund Climate Change Inst. B Shares Cap</v>
          </cell>
          <cell r="C271" t="str">
            <v>EUR-KAP-INSTIT.B</v>
          </cell>
          <cell r="D271">
            <v>20221118</v>
          </cell>
          <cell r="E271">
            <v>826.73</v>
          </cell>
        </row>
        <row r="272">
          <cell r="A272" t="str">
            <v>BE0947250453</v>
          </cell>
          <cell r="B272" t="str">
            <v>KBC Eco Fund CSOB Water Cap</v>
          </cell>
          <cell r="C272" t="str">
            <v>CZK-KAP-RETAIL</v>
          </cell>
          <cell r="D272">
            <v>20221118</v>
          </cell>
          <cell r="E272">
            <v>1765.78</v>
          </cell>
        </row>
        <row r="273">
          <cell r="A273" t="str">
            <v>BE0947249448</v>
          </cell>
          <cell r="B273" t="str">
            <v>KBC Eco Fund CSOB Water Dis (empty)</v>
          </cell>
          <cell r="C273" t="str">
            <v>CZK-DIV-RETAIL</v>
          </cell>
          <cell r="D273">
            <v>20100520</v>
          </cell>
          <cell r="E273">
            <v>626.28</v>
          </cell>
        </row>
        <row r="274">
          <cell r="A274" t="str">
            <v>BE0175718510</v>
          </cell>
          <cell r="B274" t="str">
            <v>KBC Eco Fund Impact Investing Classic Shares Cap</v>
          </cell>
          <cell r="C274" t="str">
            <v>EUR-KAP-RETAIL</v>
          </cell>
          <cell r="D274">
            <v>20221118</v>
          </cell>
          <cell r="E274">
            <v>717.43</v>
          </cell>
        </row>
        <row r="275">
          <cell r="A275" t="str">
            <v>BE0175717504</v>
          </cell>
          <cell r="B275" t="str">
            <v>KBC Eco Fund Impact Investing Classic Shares Dis</v>
          </cell>
          <cell r="C275" t="str">
            <v>EUR-DIV-RETAIL</v>
          </cell>
          <cell r="D275">
            <v>20221118</v>
          </cell>
          <cell r="E275">
            <v>523.17999999999995</v>
          </cell>
        </row>
        <row r="276">
          <cell r="A276" t="str">
            <v>BE6327153373</v>
          </cell>
          <cell r="B276" t="str">
            <v>KBC Eco Fund Impact Investing Inst. F Shares LU Cap</v>
          </cell>
          <cell r="C276" t="str">
            <v>EUR-KAP-INST.FLU</v>
          </cell>
          <cell r="D276">
            <v>20221118</v>
          </cell>
          <cell r="E276">
            <v>861.71</v>
          </cell>
        </row>
        <row r="277">
          <cell r="A277" t="str">
            <v>BE6315653806</v>
          </cell>
          <cell r="B277" t="str">
            <v>KBC Eco Fund Impact Investing K&amp;H Classic Shares HUF Cap</v>
          </cell>
          <cell r="C277" t="str">
            <v>HUF-KAP-RETAIL</v>
          </cell>
          <cell r="D277">
            <v>20221118</v>
          </cell>
          <cell r="E277">
            <v>1312.36</v>
          </cell>
        </row>
        <row r="278">
          <cell r="A278" t="str">
            <v>BE0175479063</v>
          </cell>
          <cell r="B278" t="str">
            <v>KBC Eco Fund Water Classic Shares Cap</v>
          </cell>
          <cell r="C278" t="str">
            <v>EUR-KAP-RETAIL</v>
          </cell>
          <cell r="D278">
            <v>20221118</v>
          </cell>
          <cell r="E278">
            <v>2037.13</v>
          </cell>
        </row>
        <row r="279">
          <cell r="A279" t="str">
            <v>BE0175478057</v>
          </cell>
          <cell r="B279" t="str">
            <v>KBC Eco Fund Water Classic Shares Dis</v>
          </cell>
          <cell r="C279" t="str">
            <v>EUR-DIV-RETAIL</v>
          </cell>
          <cell r="D279">
            <v>20221118</v>
          </cell>
          <cell r="E279">
            <v>1452.01</v>
          </cell>
        </row>
        <row r="280">
          <cell r="A280" t="str">
            <v>BE6228912570</v>
          </cell>
          <cell r="B280" t="str">
            <v>KBC Eco Fund Water Inst. B Shares Cap</v>
          </cell>
          <cell r="C280" t="str">
            <v>EUR-KAP-INSTIT.B</v>
          </cell>
          <cell r="D280">
            <v>20221118</v>
          </cell>
          <cell r="E280">
            <v>2153.2399999999998</v>
          </cell>
        </row>
        <row r="281">
          <cell r="A281" t="str">
            <v>BE0133741752</v>
          </cell>
          <cell r="B281" t="str">
            <v>KBC Eco Fund World Classic Shares Cap</v>
          </cell>
          <cell r="C281" t="str">
            <v>EUR-KAP-RETAIL</v>
          </cell>
          <cell r="D281">
            <v>20221118</v>
          </cell>
          <cell r="E281">
            <v>1316.94</v>
          </cell>
        </row>
        <row r="282">
          <cell r="A282" t="str">
            <v>BE0177657500</v>
          </cell>
          <cell r="B282" t="str">
            <v>KBC Eco Fund World Classic Shares Dis</v>
          </cell>
          <cell r="C282" t="str">
            <v>EUR-DIV-RETAIL</v>
          </cell>
          <cell r="D282">
            <v>20221118</v>
          </cell>
          <cell r="E282">
            <v>933</v>
          </cell>
        </row>
        <row r="283">
          <cell r="A283" t="str">
            <v>BE6257810497</v>
          </cell>
          <cell r="B283" t="str">
            <v>KBC Eco Fund World Inst. Shares Cap</v>
          </cell>
          <cell r="C283" t="str">
            <v>EUR-KAP-INSTITUTIONEEL</v>
          </cell>
          <cell r="D283">
            <v>20221118</v>
          </cell>
          <cell r="E283">
            <v>1342.07</v>
          </cell>
        </row>
        <row r="284">
          <cell r="A284" t="str">
            <v>BE0126163634</v>
          </cell>
          <cell r="B284" t="str">
            <v>KBC Equity Fund Asia Pacific Classic Shares Cap</v>
          </cell>
          <cell r="C284" t="str">
            <v>JPY-KAP-RETAIL</v>
          </cell>
          <cell r="D284">
            <v>20221118</v>
          </cell>
          <cell r="E284">
            <v>75878</v>
          </cell>
        </row>
        <row r="285">
          <cell r="A285" t="str">
            <v>BE0152250578</v>
          </cell>
          <cell r="B285" t="str">
            <v>KBC Equity Fund Asia Pacific Classic Shares Dis</v>
          </cell>
          <cell r="C285" t="str">
            <v>JPY-DIV-RETAIL</v>
          </cell>
          <cell r="D285">
            <v>20221118</v>
          </cell>
          <cell r="E285">
            <v>55009</v>
          </cell>
        </row>
        <row r="286">
          <cell r="A286" t="str">
            <v>BE6228564975</v>
          </cell>
          <cell r="B286" t="str">
            <v>KBC Equity Fund Asia Pacific Inst. B Shares Cap</v>
          </cell>
          <cell r="C286" t="str">
            <v>JPY-KAP-INSTIT.B</v>
          </cell>
          <cell r="D286">
            <v>20221118</v>
          </cell>
          <cell r="E286">
            <v>84299</v>
          </cell>
        </row>
        <row r="287">
          <cell r="A287" t="str">
            <v>BE0129009966</v>
          </cell>
          <cell r="B287" t="str">
            <v>KBC Equity Fund Belgium Cap</v>
          </cell>
          <cell r="C287" t="str">
            <v>EUR-KAP-RETAIL</v>
          </cell>
          <cell r="D287">
            <v>20221118</v>
          </cell>
          <cell r="E287">
            <v>961.56</v>
          </cell>
        </row>
        <row r="288">
          <cell r="A288" t="str">
            <v>BE0129141348</v>
          </cell>
          <cell r="B288" t="str">
            <v>KBC Equity Fund Belgium Dis</v>
          </cell>
          <cell r="C288" t="str">
            <v>EUR-DIV-RETAIL</v>
          </cell>
          <cell r="D288">
            <v>20221118</v>
          </cell>
          <cell r="E288">
            <v>463.89</v>
          </cell>
        </row>
        <row r="289">
          <cell r="A289" t="str">
            <v>BE0168099951</v>
          </cell>
          <cell r="B289" t="str">
            <v>KBC Equity Fund Buyback America Classic Shares Cap</v>
          </cell>
          <cell r="C289" t="str">
            <v>USD-KAP-RETAIL</v>
          </cell>
          <cell r="D289">
            <v>20221118</v>
          </cell>
          <cell r="E289">
            <v>2932.59</v>
          </cell>
        </row>
        <row r="290">
          <cell r="A290" t="str">
            <v>BE0168098946</v>
          </cell>
          <cell r="B290" t="str">
            <v>KBC Equity Fund Buyback America Classic Shares Dis</v>
          </cell>
          <cell r="C290" t="str">
            <v>USD-DIV-RETAIL</v>
          </cell>
          <cell r="D290">
            <v>20221118</v>
          </cell>
          <cell r="E290">
            <v>2264.14</v>
          </cell>
        </row>
        <row r="291">
          <cell r="A291" t="str">
            <v>BE6228536692</v>
          </cell>
          <cell r="B291" t="str">
            <v>KBC Equity Fund Buyback America Inst. B Shares Cap</v>
          </cell>
          <cell r="C291" t="str">
            <v>USD-KAP-INSTIT.B</v>
          </cell>
          <cell r="D291">
            <v>20221118</v>
          </cell>
          <cell r="E291">
            <v>3091.1</v>
          </cell>
        </row>
        <row r="292">
          <cell r="A292" t="str">
            <v>BE0174407016</v>
          </cell>
          <cell r="B292" t="str">
            <v>KBC Equity Fund Buyback Europe Classic Shares Cap</v>
          </cell>
          <cell r="C292" t="str">
            <v>EUR-KAP-RETAIL</v>
          </cell>
          <cell r="D292">
            <v>20221118</v>
          </cell>
          <cell r="E292">
            <v>1277.6300000000001</v>
          </cell>
        </row>
        <row r="293">
          <cell r="A293" t="str">
            <v>BE0174406976</v>
          </cell>
          <cell r="B293" t="str">
            <v>KBC Equity Fund Buyback Europe Classic Shares Dis</v>
          </cell>
          <cell r="C293" t="str">
            <v>EUR-DIV-RETAIL</v>
          </cell>
          <cell r="D293">
            <v>20221118</v>
          </cell>
          <cell r="E293">
            <v>737.85</v>
          </cell>
        </row>
        <row r="294">
          <cell r="A294" t="str">
            <v>BE6228537708</v>
          </cell>
          <cell r="B294" t="str">
            <v>KBC Equity Fund Buyback Europe Inst. B Shares Cap (empty)</v>
          </cell>
          <cell r="C294" t="str">
            <v>EUR-KAP-INSTIT.B</v>
          </cell>
          <cell r="D294">
            <v>20220607</v>
          </cell>
          <cell r="E294">
            <v>1338.43</v>
          </cell>
        </row>
        <row r="295">
          <cell r="A295" t="str">
            <v>BE0167421966</v>
          </cell>
          <cell r="B295" t="str">
            <v>KBC Equity Fund Communication Services Classic Shares Cap</v>
          </cell>
          <cell r="C295" t="str">
            <v>EUR-KAP-RETAIL</v>
          </cell>
          <cell r="D295">
            <v>20221118</v>
          </cell>
          <cell r="E295">
            <v>432.79</v>
          </cell>
        </row>
        <row r="296">
          <cell r="A296" t="str">
            <v>BE0167422972</v>
          </cell>
          <cell r="B296" t="str">
            <v>KBC Equity Fund Communication Services Classic Shares Dis</v>
          </cell>
          <cell r="C296" t="str">
            <v>EUR-DIV-RETAIL</v>
          </cell>
          <cell r="D296">
            <v>20221118</v>
          </cell>
          <cell r="E296">
            <v>261.56</v>
          </cell>
        </row>
        <row r="297">
          <cell r="A297" t="str">
            <v>BE6228908537</v>
          </cell>
          <cell r="B297" t="str">
            <v>KBC Equity Fund Communication Services Inst. B Shares Cap</v>
          </cell>
          <cell r="C297" t="str">
            <v>EUR-KAP-INSTIT.B</v>
          </cell>
          <cell r="D297">
            <v>20221118</v>
          </cell>
          <cell r="E297">
            <v>456.02</v>
          </cell>
        </row>
        <row r="298">
          <cell r="A298" t="str">
            <v>BE6239644220</v>
          </cell>
          <cell r="B298" t="str">
            <v>KBC Equity Fund CSOB Akciovy fond dividendovych firem Cap</v>
          </cell>
          <cell r="C298" t="str">
            <v>CZK-KAP-RETAIL</v>
          </cell>
          <cell r="D298">
            <v>20221118</v>
          </cell>
          <cell r="E298">
            <v>1908.11</v>
          </cell>
        </row>
        <row r="299">
          <cell r="A299" t="str">
            <v>BE6239645235</v>
          </cell>
          <cell r="B299" t="str">
            <v>KBC Equity Fund CSOB Akciovy fond dividendovych firem Dis</v>
          </cell>
          <cell r="C299" t="str">
            <v>CZK-DIV-RETAIL</v>
          </cell>
          <cell r="D299">
            <v>20221118</v>
          </cell>
          <cell r="E299">
            <v>1570.45</v>
          </cell>
        </row>
        <row r="300">
          <cell r="A300" t="str">
            <v>BE0156153802</v>
          </cell>
          <cell r="B300" t="str">
            <v>KBC Equity Fund Emerging Europe Classic Shares Cap (NAV suspension)</v>
          </cell>
          <cell r="C300" t="str">
            <v>EUR-KAP-RETAIL</v>
          </cell>
          <cell r="D300">
            <v>20220222</v>
          </cell>
          <cell r="E300">
            <v>1568.27</v>
          </cell>
        </row>
        <row r="301">
          <cell r="A301" t="str">
            <v>BE6328577067</v>
          </cell>
          <cell r="B301" t="str">
            <v>KBC Equity Fund Emerging Europe Classic Shares CSOB CZK Cap (NAV suspension)</v>
          </cell>
          <cell r="C301" t="str">
            <v>CZK-KAP-RET.CSOB</v>
          </cell>
          <cell r="D301">
            <v>20220222</v>
          </cell>
          <cell r="E301">
            <v>1444.65</v>
          </cell>
        </row>
        <row r="302">
          <cell r="A302" t="str">
            <v>BE0156154818</v>
          </cell>
          <cell r="B302" t="str">
            <v>KBC Equity Fund Emerging Europe Classic Shares Dis (NAV suspension)</v>
          </cell>
          <cell r="C302" t="str">
            <v>EUR-DIV-RETAIL</v>
          </cell>
          <cell r="D302">
            <v>20220222</v>
          </cell>
          <cell r="E302">
            <v>958.48</v>
          </cell>
        </row>
        <row r="303">
          <cell r="A303" t="str">
            <v>BE6228925705</v>
          </cell>
          <cell r="B303" t="str">
            <v>KBC Equity Fund Emerging Europe Inst. B Shares Cap (NAV suspension)</v>
          </cell>
          <cell r="C303" t="str">
            <v>EUR-KAP-INSTIT.B</v>
          </cell>
          <cell r="D303">
            <v>20211123</v>
          </cell>
          <cell r="E303">
            <v>1917.27</v>
          </cell>
        </row>
        <row r="304">
          <cell r="A304" t="str">
            <v>BE0126164640</v>
          </cell>
          <cell r="B304" t="str">
            <v>KBC Equity Fund Emerging Markets Classic Shares Cap</v>
          </cell>
          <cell r="C304" t="str">
            <v>EUR-KAP-RETAIL</v>
          </cell>
          <cell r="D304">
            <v>20221118</v>
          </cell>
          <cell r="E304">
            <v>1797.26</v>
          </cell>
        </row>
        <row r="305">
          <cell r="A305" t="str">
            <v>BE6294031891</v>
          </cell>
          <cell r="B305" t="str">
            <v>KBC Equity Fund Emerging Markets Classic Shares CSOB CZK Cap</v>
          </cell>
          <cell r="C305" t="str">
            <v>CZK-KAP-RET.CSOB</v>
          </cell>
          <cell r="D305">
            <v>20221118</v>
          </cell>
          <cell r="E305">
            <v>792.67</v>
          </cell>
        </row>
        <row r="306">
          <cell r="A306" t="str">
            <v>BE0152251584</v>
          </cell>
          <cell r="B306" t="str">
            <v>KBC Equity Fund Emerging Markets Classic Shares Dis</v>
          </cell>
          <cell r="C306" t="str">
            <v>EUR-DIV-RETAIL</v>
          </cell>
          <cell r="D306">
            <v>20221118</v>
          </cell>
          <cell r="E306">
            <v>1076.02</v>
          </cell>
        </row>
        <row r="307">
          <cell r="A307" t="str">
            <v>BE6228663025</v>
          </cell>
          <cell r="B307" t="str">
            <v>KBC Equity Fund Emerging Markets Inst. B Shares Cap</v>
          </cell>
          <cell r="C307" t="str">
            <v>EUR-KAP-INSTIT.B</v>
          </cell>
          <cell r="D307">
            <v>20221118</v>
          </cell>
          <cell r="E307">
            <v>1900.89</v>
          </cell>
        </row>
        <row r="308">
          <cell r="A308" t="str">
            <v>BE6257807469</v>
          </cell>
          <cell r="B308" t="str">
            <v>KBC Equity Fund EMU Small &amp; Medium Caps Classic Shares Cap</v>
          </cell>
          <cell r="C308" t="str">
            <v>EUR-KAP-RETAIL</v>
          </cell>
          <cell r="D308">
            <v>20221118</v>
          </cell>
          <cell r="E308">
            <v>2130.88</v>
          </cell>
        </row>
        <row r="309">
          <cell r="A309" t="str">
            <v>BE6257808475</v>
          </cell>
          <cell r="B309" t="str">
            <v>KBC Equity Fund EMU Small &amp; Medium Caps Classic Shares Dis</v>
          </cell>
          <cell r="C309" t="str">
            <v>EUR-DIV-RETAIL</v>
          </cell>
          <cell r="D309">
            <v>20221118</v>
          </cell>
          <cell r="E309">
            <v>1887.62</v>
          </cell>
        </row>
        <row r="310">
          <cell r="A310" t="str">
            <v>BE6306633817</v>
          </cell>
          <cell r="B310" t="str">
            <v>KBC Equity Fund EMU Small &amp; Medium Caps Corp.Wealth Office shares Cap</v>
          </cell>
          <cell r="C310" t="str">
            <v>EUR-KAP-CORP W&amp;I</v>
          </cell>
          <cell r="D310">
            <v>20221118</v>
          </cell>
          <cell r="E310">
            <v>1237.19</v>
          </cell>
        </row>
        <row r="311">
          <cell r="A311" t="str">
            <v>BE6306634823</v>
          </cell>
          <cell r="B311" t="str">
            <v>KBC Equity Fund EMU Small &amp; Medium Caps Corp.Wealth Office shares Dis</v>
          </cell>
          <cell r="C311" t="str">
            <v>EUR-DIV-CORP W&amp;I</v>
          </cell>
          <cell r="D311">
            <v>20221118</v>
          </cell>
          <cell r="E311">
            <v>1196.43</v>
          </cell>
        </row>
        <row r="312">
          <cell r="A312" t="str">
            <v>BE6257809481</v>
          </cell>
          <cell r="B312" t="str">
            <v>KBC Equity Fund EMU Small &amp; Medium Caps Inst. B Shares Cap</v>
          </cell>
          <cell r="C312" t="str">
            <v>EUR-KAP-INSTIT.B</v>
          </cell>
          <cell r="D312">
            <v>20221118</v>
          </cell>
          <cell r="E312">
            <v>2258</v>
          </cell>
        </row>
        <row r="313">
          <cell r="A313" t="str">
            <v>BE0126161612</v>
          </cell>
          <cell r="B313" t="str">
            <v>KBC Equity Fund Europe Classic Shares Cap</v>
          </cell>
          <cell r="C313" t="str">
            <v>EUR-KAP-RETAIL</v>
          </cell>
          <cell r="D313">
            <v>20221118</v>
          </cell>
          <cell r="E313">
            <v>1865.4</v>
          </cell>
        </row>
        <row r="314">
          <cell r="A314" t="str">
            <v>BE6264650027</v>
          </cell>
          <cell r="B314" t="str">
            <v>KBC Equity Fund Europe Classic Shares CSOB CZK Cap</v>
          </cell>
          <cell r="C314" t="str">
            <v>CZK-KAP-RET.CSOB</v>
          </cell>
          <cell r="D314">
            <v>20221118</v>
          </cell>
          <cell r="E314">
            <v>1120.97</v>
          </cell>
        </row>
        <row r="315">
          <cell r="A315" t="str">
            <v>BE0152247541</v>
          </cell>
          <cell r="B315" t="str">
            <v>KBC Equity Fund Europe Classic Shares Dis</v>
          </cell>
          <cell r="C315" t="str">
            <v>EUR-DIV-RETAIL</v>
          </cell>
          <cell r="D315">
            <v>20221118</v>
          </cell>
          <cell r="E315">
            <v>1090.9100000000001</v>
          </cell>
        </row>
        <row r="316">
          <cell r="A316" t="str">
            <v>BE6258422797</v>
          </cell>
          <cell r="B316" t="str">
            <v>KBC Equity Fund Europe Inst. B Shares Cap</v>
          </cell>
          <cell r="C316" t="str">
            <v>EUR-KAP-INSTIT.B</v>
          </cell>
          <cell r="D316">
            <v>20221118</v>
          </cell>
          <cell r="E316">
            <v>1958.47</v>
          </cell>
        </row>
        <row r="317">
          <cell r="A317" t="str">
            <v>BE0175979211</v>
          </cell>
          <cell r="B317" t="str">
            <v>KBC Equity Fund Eurozone Classic Shares Cap</v>
          </cell>
          <cell r="C317" t="str">
            <v>EUR-KAP-RETAIL</v>
          </cell>
          <cell r="D317">
            <v>20221118</v>
          </cell>
          <cell r="E317">
            <v>609.02</v>
          </cell>
        </row>
        <row r="318">
          <cell r="A318" t="str">
            <v>BE0175978205</v>
          </cell>
          <cell r="B318" t="str">
            <v>KBC Equity Fund Eurozone Classic Shares Dis</v>
          </cell>
          <cell r="C318" t="str">
            <v>EUR-DIV-RETAIL</v>
          </cell>
          <cell r="D318">
            <v>20221118</v>
          </cell>
          <cell r="E318">
            <v>390.05</v>
          </cell>
        </row>
        <row r="319">
          <cell r="A319" t="str">
            <v>BE6299576080</v>
          </cell>
          <cell r="B319" t="str">
            <v>KBC Equity Fund Eurozone DBI-RDT Classic Shares Dis</v>
          </cell>
          <cell r="C319" t="str">
            <v>EUR-DIV-RETAIL</v>
          </cell>
          <cell r="D319">
            <v>20221118</v>
          </cell>
          <cell r="E319">
            <v>496.64</v>
          </cell>
        </row>
        <row r="320">
          <cell r="A320" t="str">
            <v>BE6299844827</v>
          </cell>
          <cell r="B320" t="str">
            <v>KBC Equity Fund Eurozone DBI-RDT Corp.Shares Dis</v>
          </cell>
          <cell r="C320" t="str">
            <v>EUR-DIV-CORP.SHARES</v>
          </cell>
          <cell r="D320">
            <v>20221118</v>
          </cell>
          <cell r="E320">
            <v>501.99</v>
          </cell>
        </row>
        <row r="321">
          <cell r="A321" t="str">
            <v>BE6299995397</v>
          </cell>
          <cell r="B321" t="str">
            <v>KBC Equity Fund Eurozone DBI-RDT Corp.Wealth shares Dis</v>
          </cell>
          <cell r="C321" t="str">
            <v>EUR-DIV-CORP.WEALTH</v>
          </cell>
          <cell r="D321">
            <v>20221118</v>
          </cell>
          <cell r="E321">
            <v>504.15</v>
          </cell>
        </row>
        <row r="322">
          <cell r="A322" t="str">
            <v>BE6300846175</v>
          </cell>
          <cell r="B322" t="str">
            <v>KBC Equity Fund Eurozone DBI-RDT Discretionary Shares Dis</v>
          </cell>
          <cell r="C322" t="str">
            <v>EUR-DIV-DISCR.SHARES</v>
          </cell>
          <cell r="D322">
            <v>20221118</v>
          </cell>
          <cell r="E322">
            <v>505.54</v>
          </cell>
        </row>
        <row r="323">
          <cell r="A323" t="str">
            <v>BE6299843811</v>
          </cell>
          <cell r="B323" t="str">
            <v>KBC Equity Fund Eurozone DBI-RDT Inst. Shares Dis (empty)</v>
          </cell>
          <cell r="C323" t="str">
            <v>EUR-DIV-INSTITUTIONEEL</v>
          </cell>
          <cell r="D323">
            <v>20220323</v>
          </cell>
          <cell r="E323">
            <v>579.74</v>
          </cell>
        </row>
        <row r="324">
          <cell r="A324" t="str">
            <v>BE6228543763</v>
          </cell>
          <cell r="B324" t="str">
            <v>KBC Equity Fund Eurozone Inst. B Shares Cap</v>
          </cell>
          <cell r="C324" t="str">
            <v>EUR-KAP-INSTIT.B</v>
          </cell>
          <cell r="D324">
            <v>20221118</v>
          </cell>
          <cell r="E324">
            <v>640.99</v>
          </cell>
        </row>
        <row r="325">
          <cell r="A325" t="str">
            <v>BE6266852704</v>
          </cell>
          <cell r="B325" t="str">
            <v>KBC Equity Fund Family Enterprises Classic Shares Cap</v>
          </cell>
          <cell r="C325" t="str">
            <v>EUR-KAP-RETAIL</v>
          </cell>
          <cell r="D325">
            <v>20221118</v>
          </cell>
          <cell r="E325">
            <v>1467.46</v>
          </cell>
        </row>
        <row r="326">
          <cell r="A326" t="str">
            <v>BE6266853710</v>
          </cell>
          <cell r="B326" t="str">
            <v>KBC Equity Fund Family Enterprises Classic Shares Dis</v>
          </cell>
          <cell r="C326" t="str">
            <v>EUR-DIV-RETAIL</v>
          </cell>
          <cell r="D326">
            <v>20221118</v>
          </cell>
          <cell r="E326">
            <v>1310.46</v>
          </cell>
        </row>
        <row r="327">
          <cell r="A327" t="str">
            <v>BE6306641893</v>
          </cell>
          <cell r="B327" t="str">
            <v>KBC Equity Fund Family Enterprises Corp.Wealth Office shares Cap</v>
          </cell>
          <cell r="C327" t="str">
            <v>EUR-KAP-CORP W&amp;I</v>
          </cell>
          <cell r="D327">
            <v>20221118</v>
          </cell>
          <cell r="E327">
            <v>1117.51</v>
          </cell>
        </row>
        <row r="328">
          <cell r="A328" t="str">
            <v>BE6306642909</v>
          </cell>
          <cell r="B328" t="str">
            <v>KBC Equity Fund Family Enterprises Corp.Wealth Office shares Dis</v>
          </cell>
          <cell r="C328" t="str">
            <v>EUR-DIV-CORP W&amp;I</v>
          </cell>
          <cell r="D328">
            <v>20221118</v>
          </cell>
          <cell r="E328">
            <v>1072.1099999999999</v>
          </cell>
        </row>
        <row r="329">
          <cell r="A329" t="str">
            <v>BE6269458574</v>
          </cell>
          <cell r="B329" t="str">
            <v>KBC Equity Fund Family Enterprises Inst. B Shares Cap (empty)</v>
          </cell>
          <cell r="C329" t="str">
            <v>EUR-KAP-INSTIT.B</v>
          </cell>
          <cell r="D329">
            <v>20201106</v>
          </cell>
          <cell r="E329">
            <v>1404.67</v>
          </cell>
        </row>
        <row r="330">
          <cell r="A330" t="str">
            <v>BE0164243223</v>
          </cell>
          <cell r="B330" t="str">
            <v>KBC Equity Fund Flanders Cap</v>
          </cell>
          <cell r="C330" t="str">
            <v>EUR-KAP-RETAIL</v>
          </cell>
          <cell r="D330">
            <v>20221118</v>
          </cell>
          <cell r="E330">
            <v>3744.56</v>
          </cell>
        </row>
        <row r="331">
          <cell r="A331" t="str">
            <v>BE0164244239</v>
          </cell>
          <cell r="B331" t="str">
            <v>KBC Equity Fund Flanders Dis</v>
          </cell>
          <cell r="C331" t="str">
            <v>EUR-DIV-RETAIL</v>
          </cell>
          <cell r="D331">
            <v>20221118</v>
          </cell>
          <cell r="E331">
            <v>2353.2800000000002</v>
          </cell>
        </row>
        <row r="332">
          <cell r="A332" t="str">
            <v>BE6322323575</v>
          </cell>
          <cell r="B332" t="str">
            <v>KBC Equity Fund Fundamental Opportunities Classic Shares Cap</v>
          </cell>
          <cell r="C332" t="str">
            <v>EUR-KAP-RETAIL</v>
          </cell>
          <cell r="D332">
            <v>20221118</v>
          </cell>
          <cell r="E332">
            <v>1039.95</v>
          </cell>
        </row>
        <row r="333">
          <cell r="A333" t="str">
            <v>BE6322325596</v>
          </cell>
          <cell r="B333" t="str">
            <v>KBC Equity Fund Fundamental Opportunities Classic Shares Dis</v>
          </cell>
          <cell r="C333" t="str">
            <v>EUR-DIV-RETAIL</v>
          </cell>
          <cell r="D333">
            <v>20221118</v>
          </cell>
          <cell r="E333">
            <v>1091.56</v>
          </cell>
        </row>
        <row r="334">
          <cell r="A334" t="str">
            <v>BE6322326602</v>
          </cell>
          <cell r="B334" t="str">
            <v>KBC Equity Fund Fundamental Opportunities Corp.Wealth &amp; Inst. Office shares Cap</v>
          </cell>
          <cell r="C334" t="str">
            <v>EUR-KAP-CORP W&amp;I</v>
          </cell>
          <cell r="D334">
            <v>20221118</v>
          </cell>
          <cell r="E334">
            <v>1048.8</v>
          </cell>
        </row>
        <row r="335">
          <cell r="A335" t="str">
            <v>BE6322328624</v>
          </cell>
          <cell r="B335" t="str">
            <v>KBC Equity Fund Fundamental Opportunities Corp.Wealth &amp; Inst. Office shares Dis</v>
          </cell>
          <cell r="C335" t="str">
            <v>EUR-DIV-CORP W&amp;I</v>
          </cell>
          <cell r="D335">
            <v>20221118</v>
          </cell>
          <cell r="E335">
            <v>1047.51</v>
          </cell>
        </row>
        <row r="336">
          <cell r="A336" t="str">
            <v>BE6326280375</v>
          </cell>
          <cell r="B336" t="str">
            <v>KBC Equity Fund Fundamental Opportunities DBI-RDT Classic Shares Dis</v>
          </cell>
          <cell r="C336" t="str">
            <v>EUR-DIV-RETAIL</v>
          </cell>
          <cell r="D336">
            <v>20221118</v>
          </cell>
          <cell r="E336">
            <v>980.83</v>
          </cell>
        </row>
        <row r="337">
          <cell r="A337" t="str">
            <v>BE6326281381</v>
          </cell>
          <cell r="B337" t="str">
            <v>KBC Equity Fund Fundamental Opportunities DBI-RDT Corp.Shares Dis</v>
          </cell>
          <cell r="C337" t="str">
            <v>EUR-DIV-CORP.SHARES</v>
          </cell>
          <cell r="D337">
            <v>20221118</v>
          </cell>
          <cell r="E337">
            <v>987.12</v>
          </cell>
        </row>
        <row r="338">
          <cell r="A338" t="str">
            <v>BE6326282397</v>
          </cell>
          <cell r="B338" t="str">
            <v>KBC Equity Fund Fundamental Opportunities Inst. F Shares LU Cap</v>
          </cell>
          <cell r="C338" t="str">
            <v>EUR-KAP-INST.FLU</v>
          </cell>
          <cell r="D338">
            <v>20221118</v>
          </cell>
          <cell r="E338">
            <v>1041.29</v>
          </cell>
        </row>
        <row r="339">
          <cell r="A339" t="str">
            <v>BE0940704951</v>
          </cell>
          <cell r="B339" t="str">
            <v>KBC Equity Fund High Dividend Classic Shares Cap</v>
          </cell>
          <cell r="C339" t="str">
            <v>EUR-KAP-RETAIL</v>
          </cell>
          <cell r="D339">
            <v>20221118</v>
          </cell>
          <cell r="E339">
            <v>1976.8</v>
          </cell>
        </row>
        <row r="340">
          <cell r="A340" t="str">
            <v>BE0940703946</v>
          </cell>
          <cell r="B340" t="str">
            <v>KBC Equity Fund High Dividend Classic Shares Dis</v>
          </cell>
          <cell r="C340" t="str">
            <v>EUR-DIV-RETAIL</v>
          </cell>
          <cell r="D340">
            <v>20221118</v>
          </cell>
          <cell r="E340">
            <v>1114.95</v>
          </cell>
        </row>
        <row r="341">
          <cell r="A341" t="str">
            <v>BE0947326246</v>
          </cell>
          <cell r="B341" t="str">
            <v>KBC Equity Fund High Dividend Eurozone Classic Shares Cap</v>
          </cell>
          <cell r="C341" t="str">
            <v>EUR-KAP-RETAIL</v>
          </cell>
          <cell r="D341">
            <v>20221118</v>
          </cell>
          <cell r="E341">
            <v>592.97</v>
          </cell>
        </row>
        <row r="342">
          <cell r="A342" t="str">
            <v>BE0947325230</v>
          </cell>
          <cell r="B342" t="str">
            <v>KBC Equity Fund High Dividend Eurozone Classic Shares Dis</v>
          </cell>
          <cell r="C342" t="str">
            <v>EUR-DIV-RETAIL</v>
          </cell>
          <cell r="D342">
            <v>20221118</v>
          </cell>
          <cell r="E342">
            <v>361.41</v>
          </cell>
        </row>
        <row r="343">
          <cell r="A343" t="str">
            <v>BE6228916613</v>
          </cell>
          <cell r="B343" t="str">
            <v>KBC Equity Fund High Dividend Eurozone Inst. B Shares Cap (empty)</v>
          </cell>
          <cell r="C343" t="str">
            <v>EUR-KAP-INSTIT.B</v>
          </cell>
          <cell r="D343">
            <v>20220608</v>
          </cell>
          <cell r="E343">
            <v>619.66999999999996</v>
          </cell>
        </row>
        <row r="344">
          <cell r="A344" t="str">
            <v>BE6228914592</v>
          </cell>
          <cell r="B344" t="str">
            <v>KBC Equity Fund High Dividend Inst. B Shares Cap (empty)</v>
          </cell>
          <cell r="C344" t="str">
            <v>EUR-KAP-INSTIT.B</v>
          </cell>
          <cell r="D344">
            <v>20220602</v>
          </cell>
          <cell r="E344">
            <v>2087.34</v>
          </cell>
        </row>
        <row r="345">
          <cell r="A345" t="str">
            <v>BE6297712844</v>
          </cell>
          <cell r="B345" t="str">
            <v>KBC Equity Fund High Dividend Inst. Shares Cap</v>
          </cell>
          <cell r="C345" t="str">
            <v>EUR-KAP-INSTITUTIONEEL</v>
          </cell>
          <cell r="D345">
            <v>20221118</v>
          </cell>
          <cell r="E345">
            <v>1433.64</v>
          </cell>
        </row>
        <row r="346">
          <cell r="A346" t="str">
            <v>BE0176715788</v>
          </cell>
          <cell r="B346" t="str">
            <v>KBC Equity Fund High Dividend North America Classic Shares Cap</v>
          </cell>
          <cell r="C346" t="str">
            <v>USD-KAP-RETAIL</v>
          </cell>
          <cell r="D346">
            <v>20221118</v>
          </cell>
          <cell r="E346">
            <v>1530.34</v>
          </cell>
        </row>
        <row r="347">
          <cell r="A347" t="str">
            <v>BE0176713767</v>
          </cell>
          <cell r="B347" t="str">
            <v>KBC Equity Fund High Dividend North America Classic Shares Dis</v>
          </cell>
          <cell r="C347" t="str">
            <v>USD-DIV-RETAIL</v>
          </cell>
          <cell r="D347">
            <v>20221118</v>
          </cell>
          <cell r="E347">
            <v>1048.53</v>
          </cell>
        </row>
        <row r="348">
          <cell r="A348" t="str">
            <v>BE6228548812</v>
          </cell>
          <cell r="B348" t="str">
            <v>KBC Equity Fund High Dividend North America Inst. B Shares Cap (empty)</v>
          </cell>
          <cell r="C348" t="str">
            <v>USD-KAP-INSTIT.B</v>
          </cell>
          <cell r="D348">
            <v>20220602</v>
          </cell>
          <cell r="E348">
            <v>1653.82</v>
          </cell>
        </row>
        <row r="349">
          <cell r="A349" t="str">
            <v>BE0146026415</v>
          </cell>
          <cell r="B349" t="str">
            <v>KBC Equity Fund Latin America Cap</v>
          </cell>
          <cell r="C349" t="str">
            <v>EUR-KAP-RETAIL</v>
          </cell>
          <cell r="D349">
            <v>20221118</v>
          </cell>
          <cell r="E349">
            <v>1191.19</v>
          </cell>
        </row>
        <row r="350">
          <cell r="A350" t="str">
            <v>BE0152246535</v>
          </cell>
          <cell r="B350" t="str">
            <v>KBC Equity Fund Latin America Dis</v>
          </cell>
          <cell r="C350" t="str">
            <v>EUR-DIV-RETAIL</v>
          </cell>
          <cell r="D350">
            <v>20221118</v>
          </cell>
          <cell r="E350">
            <v>586.87</v>
          </cell>
        </row>
        <row r="351">
          <cell r="A351" t="str">
            <v>BE0168205079</v>
          </cell>
          <cell r="B351" t="str">
            <v>KBC Equity Fund Luxury &amp; Tourism Classic Shares Cap</v>
          </cell>
          <cell r="C351" t="str">
            <v>EUR-KAP-RETAIL</v>
          </cell>
          <cell r="D351">
            <v>20221118</v>
          </cell>
          <cell r="E351">
            <v>213.91</v>
          </cell>
        </row>
        <row r="352">
          <cell r="A352" t="str">
            <v>BE0168207091</v>
          </cell>
          <cell r="B352" t="str">
            <v>KBC Equity Fund Luxury &amp; Tourism Classic Shares Dis</v>
          </cell>
          <cell r="C352" t="str">
            <v>EUR-DIV-RETAIL</v>
          </cell>
          <cell r="D352">
            <v>20221118</v>
          </cell>
          <cell r="E352">
            <v>157.34</v>
          </cell>
        </row>
        <row r="353">
          <cell r="A353" t="str">
            <v>BE6228550834</v>
          </cell>
          <cell r="B353" t="str">
            <v>KBC Equity Fund Luxury &amp; Tourism Inst. B Shares Cap (empty)</v>
          </cell>
          <cell r="C353" t="str">
            <v>EUR-KAP-INSTIT.B</v>
          </cell>
          <cell r="D353">
            <v>20170127</v>
          </cell>
          <cell r="E353">
            <v>160.52000000000001</v>
          </cell>
        </row>
        <row r="354">
          <cell r="A354" t="str">
            <v>BE0170813936</v>
          </cell>
          <cell r="B354" t="str">
            <v>KBC Equity Fund Medical Technologies Classic Shares Cap</v>
          </cell>
          <cell r="C354" t="str">
            <v>USD-KAP-RETAIL</v>
          </cell>
          <cell r="D354">
            <v>20221118</v>
          </cell>
          <cell r="E354">
            <v>5365.91</v>
          </cell>
        </row>
        <row r="355">
          <cell r="A355" t="str">
            <v>BE0170812920</v>
          </cell>
          <cell r="B355" t="str">
            <v>KBC Equity Fund Medical Technologies Classic Shares Dis</v>
          </cell>
          <cell r="C355" t="str">
            <v>USD-DIV-RETAIL</v>
          </cell>
          <cell r="D355">
            <v>20221118</v>
          </cell>
          <cell r="E355">
            <v>4706.62</v>
          </cell>
        </row>
        <row r="356">
          <cell r="A356" t="str">
            <v>BE6228551840</v>
          </cell>
          <cell r="B356" t="str">
            <v>KBC Equity Fund Medical Technologies Inst. B Shares Cap</v>
          </cell>
          <cell r="C356" t="str">
            <v>USD-KAP-INSTIT.B</v>
          </cell>
          <cell r="D356">
            <v>20221118</v>
          </cell>
          <cell r="E356">
            <v>5696.69</v>
          </cell>
        </row>
        <row r="357">
          <cell r="A357" t="str">
            <v>BE0146025409</v>
          </cell>
          <cell r="B357" t="str">
            <v>KBC Equity Fund New Asia Classic Shares Cap</v>
          </cell>
          <cell r="C357" t="str">
            <v>EUR-KAP-RETAIL</v>
          </cell>
          <cell r="D357">
            <v>20221118</v>
          </cell>
          <cell r="E357">
            <v>857.89</v>
          </cell>
        </row>
        <row r="358">
          <cell r="A358" t="str">
            <v>BE0152245529</v>
          </cell>
          <cell r="B358" t="str">
            <v>KBC Equity Fund New Asia Classic Shares Dis</v>
          </cell>
          <cell r="C358" t="str">
            <v>EUR-DIV-RETAIL</v>
          </cell>
          <cell r="D358">
            <v>20221118</v>
          </cell>
          <cell r="E358">
            <v>538.1</v>
          </cell>
        </row>
        <row r="359">
          <cell r="A359" t="str">
            <v>BE6228552855</v>
          </cell>
          <cell r="B359" t="str">
            <v>KBC Equity Fund New Asia Inst. B Shares Cap</v>
          </cell>
          <cell r="C359" t="str">
            <v>EUR-KAP-INSTIT.B</v>
          </cell>
          <cell r="D359">
            <v>20221118</v>
          </cell>
          <cell r="E359">
            <v>907.38</v>
          </cell>
        </row>
        <row r="360">
          <cell r="A360" t="str">
            <v>BE0170533070</v>
          </cell>
          <cell r="B360" t="str">
            <v>KBC Equity Fund New Shares Cap</v>
          </cell>
          <cell r="C360" t="str">
            <v>EUR-KAP-RETAIL</v>
          </cell>
          <cell r="D360">
            <v>20221118</v>
          </cell>
          <cell r="E360">
            <v>1593.08</v>
          </cell>
        </row>
        <row r="361">
          <cell r="A361" t="str">
            <v>BE0170532064</v>
          </cell>
          <cell r="B361" t="str">
            <v>KBC Equity Fund New Shares Dis</v>
          </cell>
          <cell r="C361" t="str">
            <v>EUR-DIV-RETAIL</v>
          </cell>
          <cell r="D361">
            <v>20221118</v>
          </cell>
          <cell r="E361">
            <v>1148.53</v>
          </cell>
        </row>
        <row r="362">
          <cell r="A362" t="str">
            <v>BE0126162628</v>
          </cell>
          <cell r="B362" t="str">
            <v>KBC Equity Fund North America Classic Shares Cap</v>
          </cell>
          <cell r="C362" t="str">
            <v>USD-KAP-RETAIL</v>
          </cell>
          <cell r="D362">
            <v>20221118</v>
          </cell>
          <cell r="E362">
            <v>3677.91</v>
          </cell>
        </row>
        <row r="363">
          <cell r="A363" t="str">
            <v>BE6252265333</v>
          </cell>
          <cell r="B363" t="str">
            <v>KBC Equity Fund North America Classic Shares CSOB CZK Cap</v>
          </cell>
          <cell r="C363" t="str">
            <v>CZK-KAP-RET.CSOB</v>
          </cell>
          <cell r="D363">
            <v>20221118</v>
          </cell>
          <cell r="E363">
            <v>2507.48</v>
          </cell>
        </row>
        <row r="364">
          <cell r="A364" t="str">
            <v>BE0152249562</v>
          </cell>
          <cell r="B364" t="str">
            <v>KBC Equity Fund North America Classic Shares Dis</v>
          </cell>
          <cell r="C364" t="str">
            <v>USD-DIV-RETAIL</v>
          </cell>
          <cell r="D364">
            <v>20221118</v>
          </cell>
          <cell r="E364">
            <v>2548.48</v>
          </cell>
        </row>
        <row r="365">
          <cell r="A365" t="str">
            <v>BE6228535686</v>
          </cell>
          <cell r="B365" t="str">
            <v>KBC Equity Fund North America Inst. B Shares Cap</v>
          </cell>
          <cell r="C365" t="str">
            <v>USD-KAP-INSTIT.B</v>
          </cell>
          <cell r="D365">
            <v>20221118</v>
          </cell>
          <cell r="E365">
            <v>3871.17</v>
          </cell>
        </row>
        <row r="366">
          <cell r="A366" t="str">
            <v>BE6215122415</v>
          </cell>
          <cell r="B366" t="str">
            <v>KBC Equity Fund North American Continent Classic Shares Cap</v>
          </cell>
          <cell r="C366" t="str">
            <v>EUR-KAP-RETAIL</v>
          </cell>
          <cell r="D366">
            <v>20221118</v>
          </cell>
          <cell r="E366">
            <v>568.83000000000004</v>
          </cell>
        </row>
        <row r="367">
          <cell r="A367" t="str">
            <v>BE6215123421</v>
          </cell>
          <cell r="B367" t="str">
            <v>KBC Equity Fund North American Continent Classic Shares Dis</v>
          </cell>
          <cell r="C367" t="str">
            <v>EUR-DIV-RETAIL</v>
          </cell>
          <cell r="D367">
            <v>20221118</v>
          </cell>
          <cell r="E367">
            <v>486</v>
          </cell>
        </row>
        <row r="368">
          <cell r="A368" t="str">
            <v>BE6228928733</v>
          </cell>
          <cell r="B368" t="str">
            <v>KBC Equity Fund North American Continent Inst. B Shares Cap</v>
          </cell>
          <cell r="C368" t="str">
            <v>EUR-KAP-INSTIT.B</v>
          </cell>
          <cell r="D368">
            <v>20221118</v>
          </cell>
          <cell r="E368">
            <v>596.4</v>
          </cell>
        </row>
        <row r="369">
          <cell r="A369" t="str">
            <v>BE0057593726</v>
          </cell>
          <cell r="B369" t="str">
            <v>KBC Equity Fund Quant Global 1 Classic Shares Cap</v>
          </cell>
          <cell r="C369" t="str">
            <v>EUR-KAP-RETAIL</v>
          </cell>
          <cell r="D369">
            <v>20221118</v>
          </cell>
          <cell r="E369">
            <v>9017.9500000000007</v>
          </cell>
        </row>
        <row r="370">
          <cell r="A370" t="str">
            <v>BE0057592710</v>
          </cell>
          <cell r="B370" t="str">
            <v>KBC Equity Fund Quant Global 1 Classic Shares Dis</v>
          </cell>
          <cell r="C370" t="str">
            <v>EUR-DIV-RETAIL</v>
          </cell>
          <cell r="D370">
            <v>20221118</v>
          </cell>
          <cell r="E370">
            <v>6648.85</v>
          </cell>
        </row>
        <row r="371">
          <cell r="A371" t="str">
            <v>BE6306639871</v>
          </cell>
          <cell r="B371" t="str">
            <v>KBC Equity Fund Quant Global 1 Corp.Wealth Office shares Cap</v>
          </cell>
          <cell r="C371" t="str">
            <v>EUR-KAP-CORP W&amp;I</v>
          </cell>
          <cell r="D371">
            <v>20221118</v>
          </cell>
          <cell r="E371">
            <v>1347.35</v>
          </cell>
        </row>
        <row r="372">
          <cell r="A372" t="str">
            <v>BE6306640887</v>
          </cell>
          <cell r="B372" t="str">
            <v>KBC Equity Fund Quant Global 1 Corp.Wealth Office shares Dis</v>
          </cell>
          <cell r="C372" t="str">
            <v>EUR-DIV-CORP W&amp;I</v>
          </cell>
          <cell r="D372">
            <v>20221118</v>
          </cell>
          <cell r="E372">
            <v>1283.0899999999999</v>
          </cell>
        </row>
        <row r="373">
          <cell r="A373" t="str">
            <v>BE6321882043</v>
          </cell>
          <cell r="B373" t="str">
            <v>KBC Equity Fund Rest of Europe Classic Shares Cap</v>
          </cell>
          <cell r="C373" t="str">
            <v>EUR-KAP-RETAIL</v>
          </cell>
          <cell r="D373">
            <v>20221118</v>
          </cell>
          <cell r="E373">
            <v>1329.93</v>
          </cell>
        </row>
        <row r="374">
          <cell r="A374" t="str">
            <v>BE6321883058</v>
          </cell>
          <cell r="B374" t="str">
            <v>KBC Equity Fund Rest of Europe Classic Shares Dis (empty)</v>
          </cell>
          <cell r="C374" t="str">
            <v>EUR-DIV-RETAIL</v>
          </cell>
          <cell r="D374">
            <v>20200605</v>
          </cell>
          <cell r="E374">
            <v>1000</v>
          </cell>
        </row>
        <row r="375">
          <cell r="A375" t="str">
            <v>BE6321859785</v>
          </cell>
          <cell r="B375" t="str">
            <v>KBC Equity Fund Rest of Europe Inst. B Shares Cap</v>
          </cell>
          <cell r="C375" t="str">
            <v>EUR-KAP-INSTIT.B</v>
          </cell>
          <cell r="D375">
            <v>20221118</v>
          </cell>
          <cell r="E375">
            <v>1349.26</v>
          </cell>
        </row>
        <row r="376">
          <cell r="A376" t="str">
            <v>BE6307772564</v>
          </cell>
          <cell r="B376" t="str">
            <v>KBC Equity Fund SRI Asia Pacific Classic Shares Cap</v>
          </cell>
          <cell r="C376" t="str">
            <v>JPY-KAP-RETAIL</v>
          </cell>
          <cell r="D376">
            <v>20221118</v>
          </cell>
          <cell r="E376">
            <v>141919</v>
          </cell>
        </row>
        <row r="377">
          <cell r="A377" t="str">
            <v>BE6307773570</v>
          </cell>
          <cell r="B377" t="str">
            <v>KBC Equity Fund SRI Asia Pacific Inst. B Shares Cap</v>
          </cell>
          <cell r="C377" t="str">
            <v>EUR-KAP-INSTIT.B</v>
          </cell>
          <cell r="D377">
            <v>20221118</v>
          </cell>
          <cell r="E377">
            <v>1111.25</v>
          </cell>
        </row>
        <row r="378">
          <cell r="A378" t="str">
            <v>BE6260699283</v>
          </cell>
          <cell r="B378" t="str">
            <v>KBC Equity Fund SRI Emerging Markets Classic Shares Cap</v>
          </cell>
          <cell r="C378" t="str">
            <v>EUR-KAP-RETAIL</v>
          </cell>
          <cell r="D378">
            <v>20221118</v>
          </cell>
          <cell r="E378">
            <v>1277.55</v>
          </cell>
        </row>
        <row r="379">
          <cell r="A379" t="str">
            <v>BE6260700297</v>
          </cell>
          <cell r="B379" t="str">
            <v>KBC Equity Fund SRI Emerging Markets Classic Shares Dis</v>
          </cell>
          <cell r="C379" t="str">
            <v>EUR-DIV-RETAIL</v>
          </cell>
          <cell r="D379">
            <v>20221118</v>
          </cell>
          <cell r="E379">
            <v>1047.3599999999999</v>
          </cell>
        </row>
        <row r="380">
          <cell r="A380" t="str">
            <v>BE6260701303</v>
          </cell>
          <cell r="B380" t="str">
            <v>KBC Equity Fund SRI Emerging Markets Corp.Shares Cap</v>
          </cell>
          <cell r="C380" t="str">
            <v>EUR-KAP-CORP.SHARES</v>
          </cell>
          <cell r="D380">
            <v>20221118</v>
          </cell>
          <cell r="E380">
            <v>1388.39</v>
          </cell>
        </row>
        <row r="381">
          <cell r="A381" t="str">
            <v>BE6294967557</v>
          </cell>
          <cell r="B381" t="str">
            <v>KBC Equity Fund SRI Emerging Markets Inst. B Shares Cap</v>
          </cell>
          <cell r="C381" t="str">
            <v>EUR-KAP-INSTIT.B</v>
          </cell>
          <cell r="D381">
            <v>20221118</v>
          </cell>
          <cell r="E381">
            <v>1397.83</v>
          </cell>
        </row>
        <row r="382">
          <cell r="A382" t="str">
            <v>BE6260702319</v>
          </cell>
          <cell r="B382" t="str">
            <v>KBC Equity Fund SRI Emerging Markets Inst. Shares Cap</v>
          </cell>
          <cell r="C382" t="str">
            <v>EUR-KAP-INSTITUTIONEEL</v>
          </cell>
          <cell r="D382">
            <v>20221118</v>
          </cell>
          <cell r="E382">
            <v>1413.69</v>
          </cell>
        </row>
        <row r="383">
          <cell r="A383" t="str">
            <v>BE6311809196</v>
          </cell>
          <cell r="B383" t="str">
            <v>KBC Equity Fund SRI EMU Small &amp; Medium Caps Classic Shares Cap</v>
          </cell>
          <cell r="C383" t="str">
            <v>EUR-KAP-RETAIL</v>
          </cell>
          <cell r="D383">
            <v>20221118</v>
          </cell>
          <cell r="E383">
            <v>1144.19</v>
          </cell>
        </row>
        <row r="384">
          <cell r="A384" t="str">
            <v>BE6311811218</v>
          </cell>
          <cell r="B384" t="str">
            <v>KBC Equity Fund SRI EMU Small &amp; Medium Caps Classic Shares Dis</v>
          </cell>
          <cell r="C384" t="str">
            <v>EUR-DIV-RETAIL</v>
          </cell>
          <cell r="D384">
            <v>20221118</v>
          </cell>
          <cell r="E384">
            <v>1117.42</v>
          </cell>
        </row>
        <row r="385">
          <cell r="A385" t="str">
            <v>BE6313626903</v>
          </cell>
          <cell r="B385" t="str">
            <v>KBC Equity Fund SRI EMU Small &amp; Medium Caps Inst. B Shares Cap</v>
          </cell>
          <cell r="C385" t="str">
            <v>EUR-KAP-INSTIT.B</v>
          </cell>
          <cell r="D385">
            <v>20221118</v>
          </cell>
          <cell r="E385">
            <v>1202.6400000000001</v>
          </cell>
        </row>
        <row r="386">
          <cell r="A386" t="str">
            <v>BE6311812224</v>
          </cell>
          <cell r="B386" t="str">
            <v>KBC Equity Fund SRI EMU Small &amp; Medium Caps Inst. Shares Cap</v>
          </cell>
          <cell r="C386" t="str">
            <v>EUR-KAP-INSTITUTIONEEL</v>
          </cell>
          <cell r="D386">
            <v>20221118</v>
          </cell>
          <cell r="E386">
            <v>1198.05</v>
          </cell>
        </row>
        <row r="387">
          <cell r="A387" t="str">
            <v>BE6311815250</v>
          </cell>
          <cell r="B387" t="str">
            <v>KBC Equity Fund SRI EMU Small &amp; Medium Caps Inst. Shares Dis</v>
          </cell>
          <cell r="C387" t="str">
            <v>EUR-DIV-INSTITUTIONEEL</v>
          </cell>
          <cell r="D387">
            <v>20221118</v>
          </cell>
          <cell r="E387">
            <v>1147.6300000000001</v>
          </cell>
        </row>
        <row r="388">
          <cell r="A388" t="str">
            <v>BE6307731156</v>
          </cell>
          <cell r="B388" t="str">
            <v>KBC Equity Fund SRI Eurozone Classic Shares Cap</v>
          </cell>
          <cell r="C388" t="str">
            <v>EUR-KAP-RETAIL</v>
          </cell>
          <cell r="D388">
            <v>20221118</v>
          </cell>
          <cell r="E388">
            <v>1094.1600000000001</v>
          </cell>
        </row>
        <row r="389">
          <cell r="A389" t="str">
            <v>BE6307732162</v>
          </cell>
          <cell r="B389" t="str">
            <v>KBC Equity Fund SRI Eurozone Inst. B Shares Cap</v>
          </cell>
          <cell r="C389" t="str">
            <v>EUR-KAP-INSTIT.B</v>
          </cell>
          <cell r="D389">
            <v>20221118</v>
          </cell>
          <cell r="E389">
            <v>1117.69</v>
          </cell>
        </row>
        <row r="390">
          <cell r="A390" t="str">
            <v>BE6295392920</v>
          </cell>
          <cell r="B390" t="str">
            <v>KBC Equity Fund SRI Minimum Variance Classic Shares Cap</v>
          </cell>
          <cell r="C390" t="str">
            <v>EUR-KAP-RETAIL</v>
          </cell>
          <cell r="D390">
            <v>20221118</v>
          </cell>
          <cell r="E390">
            <v>1335.69</v>
          </cell>
        </row>
        <row r="391">
          <cell r="A391" t="str">
            <v>BE6295400038</v>
          </cell>
          <cell r="B391" t="str">
            <v>KBC Equity Fund SRI Minimum Variance Corp.Shares Cap (empty)</v>
          </cell>
          <cell r="C391" t="str">
            <v>EUR-KAP-CORP.SHARES</v>
          </cell>
          <cell r="D391">
            <v>20220113</v>
          </cell>
          <cell r="E391">
            <v>1414.65</v>
          </cell>
        </row>
        <row r="392">
          <cell r="A392" t="str">
            <v>BE6295401044</v>
          </cell>
          <cell r="B392" t="str">
            <v>KBC Equity Fund SRI Minimum Variance Corp.Shares Dis (empty)</v>
          </cell>
          <cell r="C392" t="str">
            <v>EUR-DIV-CORP.SHARES</v>
          </cell>
          <cell r="D392">
            <v>20170627</v>
          </cell>
          <cell r="E392">
            <v>1000</v>
          </cell>
        </row>
        <row r="393">
          <cell r="A393" t="str">
            <v>BE6295394942</v>
          </cell>
          <cell r="B393" t="str">
            <v>KBC Equity Fund SRI Minimum Variance Discretionary Shares Cap</v>
          </cell>
          <cell r="C393" t="str">
            <v>EUR-KAP-DISCR.SHARES</v>
          </cell>
          <cell r="D393">
            <v>20221118</v>
          </cell>
          <cell r="E393">
            <v>1403.1</v>
          </cell>
        </row>
        <row r="394">
          <cell r="A394" t="str">
            <v>BE6295396962</v>
          </cell>
          <cell r="B394" t="str">
            <v>KBC Equity Fund SRI Minimum Variance Discretionary Shares Dis (empty)</v>
          </cell>
          <cell r="C394" t="str">
            <v>EUR-DIV-DISCR.SHARES</v>
          </cell>
          <cell r="D394">
            <v>20170627</v>
          </cell>
          <cell r="E394">
            <v>1000</v>
          </cell>
        </row>
        <row r="395">
          <cell r="A395" t="str">
            <v>BE6295397978</v>
          </cell>
          <cell r="B395" t="str">
            <v>KBC Equity Fund SRI Minimum Variance Inst. Shares Cap</v>
          </cell>
          <cell r="C395" t="str">
            <v>EUR-KAP-INSTITUTIONEEL</v>
          </cell>
          <cell r="D395">
            <v>20221118</v>
          </cell>
          <cell r="E395">
            <v>1409.38</v>
          </cell>
        </row>
        <row r="396">
          <cell r="A396" t="str">
            <v>BE6295398018</v>
          </cell>
          <cell r="B396" t="str">
            <v>KBC Equity Fund SRI Minimum Variance Inst. Shares Dis (empty)</v>
          </cell>
          <cell r="C396" t="str">
            <v>EUR-DIV-INSTITUTIONEEL</v>
          </cell>
          <cell r="D396">
            <v>20170627</v>
          </cell>
          <cell r="E396">
            <v>1000</v>
          </cell>
        </row>
        <row r="397">
          <cell r="A397" t="str">
            <v>BE6307776607</v>
          </cell>
          <cell r="B397" t="str">
            <v>KBC Equity Fund SRI North America Classic Shares Cap</v>
          </cell>
          <cell r="C397" t="str">
            <v>USD-KAP-RETAIL</v>
          </cell>
          <cell r="D397">
            <v>20221118</v>
          </cell>
          <cell r="E397">
            <v>1296.28</v>
          </cell>
        </row>
        <row r="398">
          <cell r="A398" t="str">
            <v>BE6307777613</v>
          </cell>
          <cell r="B398" t="str">
            <v>KBC Equity Fund SRI North America Inst. B Shares Cap</v>
          </cell>
          <cell r="C398" t="str">
            <v>EUR-KAP-INSTIT.B</v>
          </cell>
          <cell r="D398">
            <v>20221118</v>
          </cell>
          <cell r="E398">
            <v>1526.5</v>
          </cell>
        </row>
        <row r="399">
          <cell r="A399" t="str">
            <v>BE6318121264</v>
          </cell>
          <cell r="B399" t="str">
            <v>KBC Equity Fund SRI North American Continent Classic Shares Cap (empty)</v>
          </cell>
          <cell r="C399" t="str">
            <v>USD-KAP-RETAIL</v>
          </cell>
          <cell r="D399">
            <v>20200415</v>
          </cell>
          <cell r="E399">
            <v>1000</v>
          </cell>
        </row>
        <row r="400">
          <cell r="A400" t="str">
            <v>BE6318122270</v>
          </cell>
          <cell r="B400" t="str">
            <v>KBC Equity Fund SRI North American Continent Inst. B Shares EUR Cap</v>
          </cell>
          <cell r="C400" t="str">
            <v>EUR-KAP-INST.B EUR</v>
          </cell>
          <cell r="D400">
            <v>20221118</v>
          </cell>
          <cell r="E400">
            <v>1420.13</v>
          </cell>
        </row>
        <row r="401">
          <cell r="A401" t="str">
            <v>BE6307779635</v>
          </cell>
          <cell r="B401" t="str">
            <v>KBC Equity Fund SRI Rest of Europe Classic Shares Cap</v>
          </cell>
          <cell r="C401" t="str">
            <v>EUR-KAP-RETAIL</v>
          </cell>
          <cell r="D401">
            <v>20221118</v>
          </cell>
          <cell r="E401">
            <v>1293.1500000000001</v>
          </cell>
        </row>
        <row r="402">
          <cell r="A402" t="str">
            <v>BE6307780641</v>
          </cell>
          <cell r="B402" t="str">
            <v>KBC Equity Fund SRI Rest of Europe Inst. B Shares Cap</v>
          </cell>
          <cell r="C402" t="str">
            <v>EUR-KAP-INSTIT.B</v>
          </cell>
          <cell r="D402">
            <v>20221118</v>
          </cell>
          <cell r="E402">
            <v>1313.82</v>
          </cell>
        </row>
        <row r="403">
          <cell r="A403" t="str">
            <v>BE6307763472</v>
          </cell>
          <cell r="B403" t="str">
            <v>KBC Equity Fund SRI USA &amp; Canada Classic Shares Cap (empty)</v>
          </cell>
          <cell r="C403" t="str">
            <v>EUR-KAP-RETAIL</v>
          </cell>
          <cell r="D403">
            <v>20181105</v>
          </cell>
          <cell r="E403">
            <v>1000</v>
          </cell>
        </row>
        <row r="404">
          <cell r="A404" t="str">
            <v>BE6307764488</v>
          </cell>
          <cell r="B404" t="str">
            <v>KBC Equity Fund SRI USA &amp; Canada Inst. B Shares Cap</v>
          </cell>
          <cell r="C404" t="str">
            <v>EUR-KAP-INSTIT.B</v>
          </cell>
          <cell r="D404">
            <v>20221118</v>
          </cell>
          <cell r="E404">
            <v>1475.28</v>
          </cell>
        </row>
        <row r="405">
          <cell r="A405" t="str">
            <v>BE6307728129</v>
          </cell>
          <cell r="B405" t="str">
            <v>KBC Equity Fund SRI World Classic Shares Cap</v>
          </cell>
          <cell r="C405" t="str">
            <v>EUR-KAP-RETAIL</v>
          </cell>
          <cell r="D405">
            <v>20221118</v>
          </cell>
          <cell r="E405">
            <v>1299.95</v>
          </cell>
        </row>
        <row r="406">
          <cell r="A406" t="str">
            <v>BE6321630434</v>
          </cell>
          <cell r="B406" t="str">
            <v>KBC Equity Fund SRI World DBI-RDT Classic Shares Dis</v>
          </cell>
          <cell r="C406" t="str">
            <v>EUR-DIV-RETAIL</v>
          </cell>
          <cell r="D406">
            <v>20221118</v>
          </cell>
          <cell r="E406">
            <v>551.71</v>
          </cell>
        </row>
        <row r="407">
          <cell r="A407" t="str">
            <v>BE6321631440</v>
          </cell>
          <cell r="B407" t="str">
            <v>KBC Equity Fund SRI World DBI-RDT Corp.Shares Dis</v>
          </cell>
          <cell r="C407" t="str">
            <v>EUR-DIV-CORP.SHARES</v>
          </cell>
          <cell r="D407">
            <v>20221118</v>
          </cell>
          <cell r="E407">
            <v>553.61</v>
          </cell>
        </row>
        <row r="408">
          <cell r="A408" t="str">
            <v>BE6321632455</v>
          </cell>
          <cell r="B408" t="str">
            <v>KBC Equity Fund SRI World DBI-RDT Corp.Wealth shares Dis</v>
          </cell>
          <cell r="C408" t="str">
            <v>EUR-DIV-CORP.WEALTH</v>
          </cell>
          <cell r="D408">
            <v>20221118</v>
          </cell>
          <cell r="E408">
            <v>556.27</v>
          </cell>
        </row>
        <row r="409">
          <cell r="A409" t="str">
            <v>BE6321635482</v>
          </cell>
          <cell r="B409" t="str">
            <v>KBC Equity Fund SRI World DBI-RDT Discretionary Shares Dis</v>
          </cell>
          <cell r="C409" t="str">
            <v>EUR-DIV-DISCR.SHARES</v>
          </cell>
          <cell r="D409">
            <v>20221118</v>
          </cell>
          <cell r="E409">
            <v>437.36</v>
          </cell>
        </row>
        <row r="410">
          <cell r="A410" t="str">
            <v>BE6321636498</v>
          </cell>
          <cell r="B410" t="str">
            <v>KBC Equity Fund SRI World DBI-RDT Inst. Shares Dis</v>
          </cell>
          <cell r="C410" t="str">
            <v>EUR-DIV-INSTITUTIONEEL</v>
          </cell>
          <cell r="D410">
            <v>20221118</v>
          </cell>
          <cell r="E410">
            <v>558.54</v>
          </cell>
        </row>
        <row r="411">
          <cell r="A411" t="str">
            <v>BE6307729135</v>
          </cell>
          <cell r="B411" t="str">
            <v>KBC Equity Fund SRI World Inst. B Shares Cap</v>
          </cell>
          <cell r="C411" t="str">
            <v>EUR-KAP-INSTIT.B</v>
          </cell>
          <cell r="D411">
            <v>20221118</v>
          </cell>
          <cell r="E411">
            <v>1337.92</v>
          </cell>
        </row>
        <row r="412">
          <cell r="A412" t="str">
            <v>BE6228929749</v>
          </cell>
          <cell r="B412" t="str">
            <v>KBC Equity Fund Strategic Comm. Serv. &amp; Tech. Inst. B Shares Cap (empty)</v>
          </cell>
          <cell r="C412" t="str">
            <v>EUR-KAP-INSTIT.B</v>
          </cell>
          <cell r="D412">
            <v>20220517</v>
          </cell>
          <cell r="E412">
            <v>383.17</v>
          </cell>
        </row>
        <row r="413">
          <cell r="A413" t="str">
            <v>BE0173086381</v>
          </cell>
          <cell r="B413" t="str">
            <v>KBC Equity Fund Strategic Communication Services &amp; Technology Classic Shares Cap</v>
          </cell>
          <cell r="C413" t="str">
            <v>EUR-KAP-RETAIL</v>
          </cell>
          <cell r="D413">
            <v>20221118</v>
          </cell>
          <cell r="E413">
            <v>347.78</v>
          </cell>
        </row>
        <row r="414">
          <cell r="A414" t="str">
            <v>BE0173085375</v>
          </cell>
          <cell r="B414" t="str">
            <v>KBC Equity Fund Strategic Communication Services &amp; Technology Classic Shares Dis</v>
          </cell>
          <cell r="C414" t="str">
            <v>EUR-DIV-RETAIL</v>
          </cell>
          <cell r="D414">
            <v>20221118</v>
          </cell>
          <cell r="E414">
            <v>270.95</v>
          </cell>
        </row>
        <row r="415">
          <cell r="A415" t="str">
            <v>BE0170815956</v>
          </cell>
          <cell r="B415" t="str">
            <v>KBC Equity Fund Strategic Satellites Classic Shares Cap</v>
          </cell>
          <cell r="C415" t="str">
            <v>EUR-KAP-RETAIL</v>
          </cell>
          <cell r="D415">
            <v>20221118</v>
          </cell>
          <cell r="E415">
            <v>1328.88</v>
          </cell>
        </row>
        <row r="416">
          <cell r="A416" t="str">
            <v>BE0170814942</v>
          </cell>
          <cell r="B416" t="str">
            <v>KBC Equity Fund Strategic Satellites Classic Shares Dis</v>
          </cell>
          <cell r="C416" t="str">
            <v>EUR-DIV-RETAIL</v>
          </cell>
          <cell r="D416">
            <v>20221118</v>
          </cell>
          <cell r="E416">
            <v>906.57</v>
          </cell>
        </row>
        <row r="417">
          <cell r="A417" t="str">
            <v>BE6258069176</v>
          </cell>
          <cell r="B417" t="str">
            <v>KBC Equity Fund Strategic Satellites Inst. B Shares Cap (empty)</v>
          </cell>
          <cell r="C417" t="str">
            <v>EUR-KAP-INSTIT.B</v>
          </cell>
          <cell r="D417">
            <v>20200612</v>
          </cell>
          <cell r="E417">
            <v>845.3</v>
          </cell>
        </row>
        <row r="418">
          <cell r="A418" t="str">
            <v>BE0167243154</v>
          </cell>
          <cell r="B418" t="str">
            <v>KBC Equity Fund Trends Classic Shares Cap</v>
          </cell>
          <cell r="C418" t="str">
            <v>EUR-KAP-RETAIL</v>
          </cell>
          <cell r="D418">
            <v>20221118</v>
          </cell>
          <cell r="E418">
            <v>200.2</v>
          </cell>
        </row>
        <row r="419">
          <cell r="A419" t="str">
            <v>BE6286992340</v>
          </cell>
          <cell r="B419" t="str">
            <v>KBC Equity Fund Trends Classic Shares CSOB CZK Cap</v>
          </cell>
          <cell r="C419" t="str">
            <v>CZK-KAP-RET.CSOB</v>
          </cell>
          <cell r="D419">
            <v>20221118</v>
          </cell>
          <cell r="E419">
            <v>1636.29</v>
          </cell>
        </row>
        <row r="420">
          <cell r="A420" t="str">
            <v>BE0167244160</v>
          </cell>
          <cell r="B420" t="str">
            <v>KBC Equity Fund Trends Classic Shares Dis</v>
          </cell>
          <cell r="C420" t="str">
            <v>EUR-DIV-RETAIL</v>
          </cell>
          <cell r="D420">
            <v>20221118</v>
          </cell>
          <cell r="E420">
            <v>153.51</v>
          </cell>
        </row>
        <row r="421">
          <cell r="A421" t="str">
            <v>BE6228927727</v>
          </cell>
          <cell r="B421" t="str">
            <v>KBC Equity Fund Trends Inst. B Shares Cap</v>
          </cell>
          <cell r="C421" t="str">
            <v>EUR-KAP-INSTIT.B</v>
          </cell>
          <cell r="D421">
            <v>20221118</v>
          </cell>
          <cell r="E421">
            <v>206.25</v>
          </cell>
        </row>
        <row r="422">
          <cell r="A422" t="str">
            <v>BE6333465449</v>
          </cell>
          <cell r="B422" t="str">
            <v>KBC Equity Fund Trends Inst. F Shares LU Cap</v>
          </cell>
          <cell r="C422" t="str">
            <v>EUR-KAP-INST.FLU</v>
          </cell>
          <cell r="D422">
            <v>20221118</v>
          </cell>
          <cell r="E422">
            <v>995.79</v>
          </cell>
        </row>
        <row r="423">
          <cell r="A423" t="str">
            <v>BE0168342476</v>
          </cell>
          <cell r="B423" t="str">
            <v>KBC Equity Fund US Small Caps Classic Shares Cap</v>
          </cell>
          <cell r="C423" t="str">
            <v>USD-KAP-RETAIL</v>
          </cell>
          <cell r="D423">
            <v>20221118</v>
          </cell>
          <cell r="E423">
            <v>2364.98</v>
          </cell>
        </row>
        <row r="424">
          <cell r="A424" t="str">
            <v>BE0168341460</v>
          </cell>
          <cell r="B424" t="str">
            <v>KBC Equity Fund US Small Caps Classic Shares Dis</v>
          </cell>
          <cell r="C424" t="str">
            <v>USD-DIV-RETAIL</v>
          </cell>
          <cell r="D424">
            <v>20221118</v>
          </cell>
          <cell r="E424">
            <v>1972.16</v>
          </cell>
        </row>
        <row r="425">
          <cell r="A425" t="str">
            <v>BE6228910558</v>
          </cell>
          <cell r="B425" t="str">
            <v>KBC Equity Fund US Small Caps Inst. B Shares Cap</v>
          </cell>
          <cell r="C425" t="str">
            <v>USD-KAP-INSTIT.B</v>
          </cell>
          <cell r="D425">
            <v>20221118</v>
          </cell>
          <cell r="E425">
            <v>2469.9299999999998</v>
          </cell>
        </row>
        <row r="426">
          <cell r="A426" t="str">
            <v>BE0172711518</v>
          </cell>
          <cell r="B426" t="str">
            <v>KBC Equity Fund USA &amp; Canada Classic Shares Cap</v>
          </cell>
          <cell r="C426" t="str">
            <v>EUR-KAP-RETAIL</v>
          </cell>
          <cell r="D426">
            <v>20221118</v>
          </cell>
          <cell r="E426">
            <v>1151.71</v>
          </cell>
        </row>
        <row r="427">
          <cell r="A427" t="str">
            <v>BE0172710502</v>
          </cell>
          <cell r="B427" t="str">
            <v>KBC Equity Fund USA &amp; Canada Classic Shares Dis</v>
          </cell>
          <cell r="C427" t="str">
            <v>EUR-DIV-RETAIL</v>
          </cell>
          <cell r="D427">
            <v>20221118</v>
          </cell>
          <cell r="E427">
            <v>737.33</v>
          </cell>
        </row>
        <row r="428">
          <cell r="A428" t="str">
            <v>BE6228541742</v>
          </cell>
          <cell r="B428" t="str">
            <v>KBC Equity Fund USA &amp; Canada Inst. B Shares Cap</v>
          </cell>
          <cell r="C428" t="str">
            <v>EUR-KAP-INSTIT.B</v>
          </cell>
          <cell r="D428">
            <v>20221118</v>
          </cell>
          <cell r="E428">
            <v>1207.4000000000001</v>
          </cell>
        </row>
        <row r="429">
          <cell r="A429" t="str">
            <v>BE0166584350</v>
          </cell>
          <cell r="B429" t="str">
            <v>KBC Equity Fund We Care Classic Shares Cap</v>
          </cell>
          <cell r="C429" t="str">
            <v>EUR-KAP-RETAIL</v>
          </cell>
          <cell r="D429">
            <v>20221118</v>
          </cell>
          <cell r="E429">
            <v>2474.02</v>
          </cell>
        </row>
        <row r="430">
          <cell r="A430" t="str">
            <v>BE6337475774</v>
          </cell>
          <cell r="B430" t="str">
            <v>KBC Equity Fund We Care Classic Shares CSOB CZK Cap</v>
          </cell>
        </row>
        <row r="431">
          <cell r="A431" t="str">
            <v>BE0166585365</v>
          </cell>
          <cell r="B431" t="str">
            <v>KBC Equity Fund We Care Classic Shares Dis</v>
          </cell>
          <cell r="C431" t="str">
            <v>EUR-DIV-RETAIL</v>
          </cell>
          <cell r="D431">
            <v>20221118</v>
          </cell>
          <cell r="E431">
            <v>1868.36</v>
          </cell>
        </row>
        <row r="432">
          <cell r="A432" t="str">
            <v>BE6228903488</v>
          </cell>
          <cell r="B432" t="str">
            <v>KBC Equity Fund We Care Inst. B Shares Cap</v>
          </cell>
          <cell r="C432" t="str">
            <v>EUR-KAP-INSTIT.B</v>
          </cell>
          <cell r="D432">
            <v>20221118</v>
          </cell>
          <cell r="E432">
            <v>2609.0700000000002</v>
          </cell>
        </row>
        <row r="433">
          <cell r="A433" t="str">
            <v>BE6323644201</v>
          </cell>
          <cell r="B433" t="str">
            <v>KBC Equity Fund We Care K&amp;H Classic Shares HUF Cap</v>
          </cell>
          <cell r="C433" t="str">
            <v>HUF-KAP-K&amp;H RET</v>
          </cell>
          <cell r="D433">
            <v>20221118</v>
          </cell>
          <cell r="E433">
            <v>1505.52</v>
          </cell>
        </row>
        <row r="434">
          <cell r="A434" t="str">
            <v>BE6213773508</v>
          </cell>
          <cell r="B434" t="str">
            <v>KBC Equity Fund We Digitize Classic Shares Cap</v>
          </cell>
          <cell r="C434" t="str">
            <v>USD-KAP-RETAIL</v>
          </cell>
          <cell r="D434">
            <v>20221118</v>
          </cell>
          <cell r="E434">
            <v>516.67999999999995</v>
          </cell>
        </row>
        <row r="435">
          <cell r="A435" t="str">
            <v>BE6213774514</v>
          </cell>
          <cell r="B435" t="str">
            <v>KBC Equity Fund We Digitize Classic Shares Dis</v>
          </cell>
          <cell r="C435" t="str">
            <v>USD-DIV-RETAIL</v>
          </cell>
          <cell r="D435">
            <v>20221118</v>
          </cell>
          <cell r="E435">
            <v>446.57</v>
          </cell>
        </row>
        <row r="436">
          <cell r="A436" t="str">
            <v>BE6336587629</v>
          </cell>
          <cell r="B436" t="str">
            <v>KBC Equity Fund We Digitize Classic Shares EUR Cap</v>
          </cell>
          <cell r="C436" t="str">
            <v>EUR-KAP-CS.EUR</v>
          </cell>
          <cell r="D436">
            <v>20221118</v>
          </cell>
          <cell r="E436">
            <v>95.6</v>
          </cell>
        </row>
        <row r="437">
          <cell r="A437" t="str">
            <v>BE6336588635</v>
          </cell>
          <cell r="B437" t="str">
            <v>KBC Equity Fund We Digitize Classic Shares EUR Dis</v>
          </cell>
          <cell r="C437" t="str">
            <v>EUR-DIV-CS.EUR</v>
          </cell>
          <cell r="D437">
            <v>20221118</v>
          </cell>
          <cell r="E437">
            <v>95.54</v>
          </cell>
        </row>
        <row r="438">
          <cell r="A438" t="str">
            <v>BE6228907521</v>
          </cell>
          <cell r="B438" t="str">
            <v>KBC Equity Fund We Digitize Inst. B Shares Cap</v>
          </cell>
          <cell r="C438" t="str">
            <v>USD-KAP-INSTIT.B</v>
          </cell>
          <cell r="D438">
            <v>20221118</v>
          </cell>
          <cell r="E438">
            <v>544.84</v>
          </cell>
        </row>
        <row r="439">
          <cell r="A439" t="str">
            <v>BE6323645216</v>
          </cell>
          <cell r="B439" t="str">
            <v>KBC Equity Fund We Digitize K&amp;H Classic Shares HUF Cap</v>
          </cell>
          <cell r="C439" t="str">
            <v>HUF-KAP-K&amp;H RET</v>
          </cell>
          <cell r="D439">
            <v>20221118</v>
          </cell>
          <cell r="E439">
            <v>1254.82</v>
          </cell>
        </row>
        <row r="440">
          <cell r="A440" t="str">
            <v>BE0171890065</v>
          </cell>
          <cell r="B440" t="str">
            <v>KBC Equity Fund We Like Classic Shares Cap</v>
          </cell>
          <cell r="C440" t="str">
            <v>EUR-KAP-RETAIL</v>
          </cell>
          <cell r="D440">
            <v>20221118</v>
          </cell>
          <cell r="E440">
            <v>803.34</v>
          </cell>
        </row>
        <row r="441">
          <cell r="A441" t="str">
            <v>BE6283257820</v>
          </cell>
          <cell r="B441" t="str">
            <v>KBC Equity Fund We Like Classic Shares CSOB CZK Cap</v>
          </cell>
          <cell r="C441" t="str">
            <v>CZK-KAP-CSOB PRIV.BANKING</v>
          </cell>
          <cell r="D441">
            <v>20221118</v>
          </cell>
          <cell r="E441">
            <v>1382.73</v>
          </cell>
        </row>
        <row r="442">
          <cell r="A442" t="str">
            <v>BE0171889059</v>
          </cell>
          <cell r="B442" t="str">
            <v>KBC Equity Fund We Like Classic Shares Dis</v>
          </cell>
          <cell r="C442" t="str">
            <v>EUR-DIV-RETAIL</v>
          </cell>
          <cell r="D442">
            <v>20221118</v>
          </cell>
          <cell r="E442">
            <v>637.71</v>
          </cell>
        </row>
        <row r="443">
          <cell r="A443" t="str">
            <v>BE6228539720</v>
          </cell>
          <cell r="B443" t="str">
            <v>KBC Equity Fund We Like Inst. B Shares Cap</v>
          </cell>
          <cell r="C443" t="str">
            <v>EUR-KAP-INSTIT.B</v>
          </cell>
          <cell r="D443">
            <v>20221118</v>
          </cell>
          <cell r="E443">
            <v>848.15</v>
          </cell>
        </row>
        <row r="444">
          <cell r="A444" t="str">
            <v>BE0170241062</v>
          </cell>
          <cell r="B444" t="str">
            <v>KBC Equity Fund We Live Classic Shares Cap</v>
          </cell>
          <cell r="C444" t="str">
            <v>EUR-KAP-RETAIL</v>
          </cell>
          <cell r="D444">
            <v>20221118</v>
          </cell>
          <cell r="E444">
            <v>2371.13</v>
          </cell>
        </row>
        <row r="445">
          <cell r="A445" t="str">
            <v>BE6337481830</v>
          </cell>
          <cell r="B445" t="str">
            <v>KBC Equity Fund We Live Classic Shares CSOB CZK Cap</v>
          </cell>
        </row>
        <row r="446">
          <cell r="A446" t="str">
            <v>BE0170242078</v>
          </cell>
          <cell r="B446" t="str">
            <v>KBC Equity Fund We Live Classic Shares Dis</v>
          </cell>
          <cell r="C446" t="str">
            <v>EUR-DIV-RETAIL</v>
          </cell>
          <cell r="D446">
            <v>20221118</v>
          </cell>
          <cell r="E446">
            <v>1574.41</v>
          </cell>
        </row>
        <row r="447">
          <cell r="A447" t="str">
            <v>BE6306637859</v>
          </cell>
          <cell r="B447" t="str">
            <v>KBC Equity Fund We Live Corp.Wealth Office shares Cap</v>
          </cell>
          <cell r="C447" t="str">
            <v>EUR-KAP-CORP W&amp;I</v>
          </cell>
          <cell r="D447">
            <v>20221118</v>
          </cell>
          <cell r="E447">
            <v>1277.8699999999999</v>
          </cell>
        </row>
        <row r="448">
          <cell r="A448" t="str">
            <v>BE6306638865</v>
          </cell>
          <cell r="B448" t="str">
            <v>KBC Equity Fund We Live Corp.Wealth Office shares Dis (empty)</v>
          </cell>
          <cell r="C448" t="str">
            <v>EUR-DIV-CORP W&amp;I</v>
          </cell>
          <cell r="D448">
            <v>20221028</v>
          </cell>
          <cell r="E448">
            <v>1196</v>
          </cell>
        </row>
        <row r="449">
          <cell r="A449" t="str">
            <v>BE6228545784</v>
          </cell>
          <cell r="B449" t="str">
            <v>KBC Equity Fund We Live Inst. B Shares Cap</v>
          </cell>
          <cell r="C449" t="str">
            <v>EUR-KAP-INSTIT.B</v>
          </cell>
          <cell r="D449">
            <v>20221118</v>
          </cell>
          <cell r="E449">
            <v>2497.27</v>
          </cell>
        </row>
        <row r="450">
          <cell r="A450" t="str">
            <v>BE0166985482</v>
          </cell>
          <cell r="B450" t="str">
            <v>KBC Equity Fund We Shape Classic Shares Cap</v>
          </cell>
          <cell r="C450" t="str">
            <v>EUR-KAP-RETAIL</v>
          </cell>
          <cell r="D450">
            <v>20221118</v>
          </cell>
          <cell r="E450">
            <v>776.94</v>
          </cell>
        </row>
        <row r="451">
          <cell r="A451" t="str">
            <v>BE0166984477</v>
          </cell>
          <cell r="B451" t="str">
            <v>KBC Equity Fund We Shape Classic Shares Dis</v>
          </cell>
          <cell r="C451" t="str">
            <v>EUR-DIV-RETAIL</v>
          </cell>
          <cell r="D451">
            <v>20221118</v>
          </cell>
          <cell r="E451">
            <v>465.98</v>
          </cell>
        </row>
        <row r="452">
          <cell r="A452" t="str">
            <v>BE6228544779</v>
          </cell>
          <cell r="B452" t="str">
            <v>KBC Equity Fund We Shape Inst. B Shares Cap</v>
          </cell>
          <cell r="C452" t="str">
            <v>EUR-KAP-INSTIT.B</v>
          </cell>
          <cell r="D452">
            <v>20221118</v>
          </cell>
          <cell r="E452">
            <v>820.56</v>
          </cell>
        </row>
        <row r="453">
          <cell r="A453" t="str">
            <v>BE6213775529</v>
          </cell>
          <cell r="B453" t="str">
            <v>KBC Equity Fund World Classic Shares Cap</v>
          </cell>
          <cell r="C453" t="str">
            <v>EUR-KAP-RETAIL</v>
          </cell>
          <cell r="D453">
            <v>20221118</v>
          </cell>
          <cell r="E453">
            <v>587.21</v>
          </cell>
        </row>
        <row r="454">
          <cell r="A454" t="str">
            <v>BE6213776535</v>
          </cell>
          <cell r="B454" t="str">
            <v>KBC Equity Fund World Classic Shares Dis</v>
          </cell>
          <cell r="C454" t="str">
            <v>EUR-DIV-RETAIL</v>
          </cell>
          <cell r="D454">
            <v>20221118</v>
          </cell>
          <cell r="E454">
            <v>403.13</v>
          </cell>
        </row>
        <row r="455">
          <cell r="A455" t="str">
            <v>BE6313419770</v>
          </cell>
          <cell r="B455" t="str">
            <v>KBC Equity Fund World DBI-RDT Classic Shares Dis</v>
          </cell>
          <cell r="C455" t="str">
            <v>EUR-DIV-RETAIL</v>
          </cell>
          <cell r="D455">
            <v>20221118</v>
          </cell>
          <cell r="E455">
            <v>557.41</v>
          </cell>
        </row>
        <row r="456">
          <cell r="A456" t="str">
            <v>BE6313620849</v>
          </cell>
          <cell r="B456" t="str">
            <v>KBC Equity Fund World DBI-RDT Corp.Shares Dis</v>
          </cell>
          <cell r="C456" t="str">
            <v>EUR-DIV-CORP.SHARES</v>
          </cell>
          <cell r="D456">
            <v>20221118</v>
          </cell>
          <cell r="E456">
            <v>562.85</v>
          </cell>
        </row>
        <row r="457">
          <cell r="A457" t="str">
            <v>BE6313621854</v>
          </cell>
          <cell r="B457" t="str">
            <v>KBC Equity Fund World DBI-RDT Corp.Wealth shares Dis</v>
          </cell>
          <cell r="C457" t="str">
            <v>EUR-DIV-CORP.WEALTH</v>
          </cell>
          <cell r="D457">
            <v>20221118</v>
          </cell>
          <cell r="E457">
            <v>565.55999999999995</v>
          </cell>
        </row>
        <row r="458">
          <cell r="A458" t="str">
            <v>BE6313622860</v>
          </cell>
          <cell r="B458" t="str">
            <v>KBC Equity Fund World DBI-RDT Discretionary Shares Dis</v>
          </cell>
          <cell r="C458" t="str">
            <v>EUR-DIV-DISCR.SHARES</v>
          </cell>
          <cell r="D458">
            <v>20221118</v>
          </cell>
          <cell r="E458">
            <v>566.35</v>
          </cell>
        </row>
        <row r="459">
          <cell r="A459" t="str">
            <v>BE6313623876</v>
          </cell>
          <cell r="B459" t="str">
            <v>KBC Equity Fund World DBI-RDT Inst. Shares Dis</v>
          </cell>
          <cell r="C459" t="str">
            <v>EUR-DIV-INSTITUTIONEEL</v>
          </cell>
          <cell r="D459">
            <v>20221118</v>
          </cell>
          <cell r="E459">
            <v>571.91999999999996</v>
          </cell>
        </row>
        <row r="460">
          <cell r="A460" t="str">
            <v>BE6321861807</v>
          </cell>
          <cell r="B460" t="str">
            <v>KBC Equity Fund World Inst. B Shares Cap</v>
          </cell>
          <cell r="C460" t="str">
            <v>EUR-KAP-INSTIT.B</v>
          </cell>
          <cell r="D460">
            <v>20221118</v>
          </cell>
          <cell r="E460">
            <v>1324.47</v>
          </cell>
        </row>
        <row r="461">
          <cell r="A461" t="str">
            <v>BE6330705979</v>
          </cell>
          <cell r="B461" t="str">
            <v>KBC Equity Fund World Inst. Shares Cap (empty)</v>
          </cell>
          <cell r="C461" t="str">
            <v>EUR-KAP-INSTITUTIONEEL</v>
          </cell>
          <cell r="D461">
            <v>20211019</v>
          </cell>
          <cell r="E461">
            <v>1000</v>
          </cell>
        </row>
        <row r="462">
          <cell r="A462" t="str">
            <v>BE0171536403</v>
          </cell>
          <cell r="B462" t="str">
            <v>KBC Index Fund Euroland Classic Shares Cap</v>
          </cell>
          <cell r="C462" t="str">
            <v>EUR-KAP-RETAIL</v>
          </cell>
          <cell r="D462">
            <v>20221118</v>
          </cell>
          <cell r="E462">
            <v>922.02</v>
          </cell>
        </row>
        <row r="463">
          <cell r="A463" t="str">
            <v>BE0171535397</v>
          </cell>
          <cell r="B463" t="str">
            <v>KBC Index Fund Euroland Classic Shares Dis</v>
          </cell>
          <cell r="C463" t="str">
            <v>EUR-DIV-RETAIL</v>
          </cell>
          <cell r="D463">
            <v>20221118</v>
          </cell>
          <cell r="E463">
            <v>495.37</v>
          </cell>
        </row>
        <row r="464">
          <cell r="A464" t="str">
            <v>BE6267431672</v>
          </cell>
          <cell r="B464" t="str">
            <v>KBC Index Fund Euroland Inst. B Shares Cap</v>
          </cell>
          <cell r="C464" t="str">
            <v>EUR-KAP-INSTIT.B</v>
          </cell>
          <cell r="D464">
            <v>20221118</v>
          </cell>
          <cell r="E464">
            <v>769.18</v>
          </cell>
        </row>
        <row r="465">
          <cell r="A465" t="str">
            <v>BE0162584123</v>
          </cell>
          <cell r="B465" t="str">
            <v>KBC Inst. Fund Euro Bonds Classic Shares Cap</v>
          </cell>
          <cell r="C465" t="str">
            <v>EUR-KAP-RETAIL</v>
          </cell>
          <cell r="D465">
            <v>20221118</v>
          </cell>
          <cell r="E465">
            <v>5983.45</v>
          </cell>
        </row>
        <row r="466">
          <cell r="A466" t="str">
            <v>BE6325884292</v>
          </cell>
          <cell r="B466" t="str">
            <v>KBC Inst. Fund Euro Bonds Classic Shares Dis</v>
          </cell>
          <cell r="C466" t="str">
            <v>EUR-DIV-RETAIL</v>
          </cell>
          <cell r="D466">
            <v>20221118</v>
          </cell>
          <cell r="E466">
            <v>832.79</v>
          </cell>
        </row>
        <row r="467">
          <cell r="A467" t="str">
            <v>BE0177543338</v>
          </cell>
          <cell r="B467" t="str">
            <v>KBC Inst. Fund Euro Bonds Def. Classic Shares Cap</v>
          </cell>
          <cell r="C467" t="str">
            <v>EUR-KAP-RETAIL</v>
          </cell>
          <cell r="D467">
            <v>20221118</v>
          </cell>
          <cell r="E467">
            <v>8183.42</v>
          </cell>
        </row>
        <row r="468">
          <cell r="A468" t="str">
            <v>BE0177541316</v>
          </cell>
          <cell r="B468" t="str">
            <v>KBC Inst. Fund Euro Bonds Def. Classic Shares Dis (empty)</v>
          </cell>
          <cell r="C468" t="str">
            <v>EUR-DIV-RETAIL</v>
          </cell>
          <cell r="D468">
            <v>20171109</v>
          </cell>
          <cell r="E468">
            <v>7751.27</v>
          </cell>
        </row>
        <row r="469">
          <cell r="A469" t="str">
            <v>BE6274078219</v>
          </cell>
          <cell r="B469" t="str">
            <v>KBC Inst. Fund Euro Bonds Def. Inst. B Shares Cap</v>
          </cell>
          <cell r="C469" t="str">
            <v>EUR-KAP-INSTIT.B</v>
          </cell>
          <cell r="D469">
            <v>20221118</v>
          </cell>
          <cell r="E469">
            <v>509.18</v>
          </cell>
        </row>
        <row r="470">
          <cell r="A470" t="str">
            <v>BE6329809741</v>
          </cell>
          <cell r="B470" t="str">
            <v>KBC Inst. Fund Euro Bonds Def. Inst. Shares Cap</v>
          </cell>
          <cell r="C470" t="str">
            <v>EUR-KAP-INSTITUTIONEEL</v>
          </cell>
          <cell r="D470">
            <v>20221118</v>
          </cell>
          <cell r="E470">
            <v>848.7</v>
          </cell>
        </row>
        <row r="471">
          <cell r="A471" t="str">
            <v>BE6274083268</v>
          </cell>
          <cell r="B471" t="str">
            <v>KBC Inst. Fund Euro Bonds Inst. B Shares Cap</v>
          </cell>
          <cell r="C471" t="str">
            <v>EUR-KAP-INSTIT.B</v>
          </cell>
          <cell r="D471">
            <v>20221118</v>
          </cell>
          <cell r="E471">
            <v>993.71</v>
          </cell>
        </row>
        <row r="472">
          <cell r="A472" t="str">
            <v>BE0947881943</v>
          </cell>
          <cell r="B472" t="str">
            <v>KBC Inst. Fund Euro Bonds Inst. Shares Cap</v>
          </cell>
          <cell r="C472" t="str">
            <v>EUR-KAP-INSTITUTIONEEL</v>
          </cell>
          <cell r="D472">
            <v>20221118</v>
          </cell>
          <cell r="E472">
            <v>6049.83</v>
          </cell>
        </row>
        <row r="473">
          <cell r="A473" t="str">
            <v>BE6325886313</v>
          </cell>
          <cell r="B473" t="str">
            <v>KBC Inst. Fund Euro Bonds Inst. Shares Dis (empty)</v>
          </cell>
          <cell r="C473" t="str">
            <v>EUR-DIV-INSTITUTIONEEL</v>
          </cell>
          <cell r="D473">
            <v>20210119</v>
          </cell>
          <cell r="E473">
            <v>1000</v>
          </cell>
        </row>
        <row r="474">
          <cell r="A474" t="str">
            <v>BE0156939903</v>
          </cell>
          <cell r="B474" t="str">
            <v>KBC Inst. Fund Euro Bonds Short Classic Shares Cap</v>
          </cell>
          <cell r="C474" t="str">
            <v>EUR-KAP-RETAIL</v>
          </cell>
          <cell r="D474">
            <v>20221118</v>
          </cell>
          <cell r="E474">
            <v>4860.6899999999996</v>
          </cell>
        </row>
        <row r="475">
          <cell r="A475" t="str">
            <v>BE0156938897</v>
          </cell>
          <cell r="B475" t="str">
            <v>KBC Inst. Fund Euro Bonds Short Classic Shares Dis</v>
          </cell>
          <cell r="C475" t="str">
            <v>EUR-DIV-RETAIL</v>
          </cell>
          <cell r="D475">
            <v>20221118</v>
          </cell>
          <cell r="E475">
            <v>2277.1</v>
          </cell>
        </row>
        <row r="476">
          <cell r="A476" t="str">
            <v>BE6295244410</v>
          </cell>
          <cell r="B476" t="str">
            <v>KBC Inst. Fund Euro Bonds Short Inst. B Shares Cap</v>
          </cell>
          <cell r="C476" t="str">
            <v>EUR-KAP-INSTIT.B</v>
          </cell>
          <cell r="D476">
            <v>20221118</v>
          </cell>
          <cell r="E476">
            <v>4871.22</v>
          </cell>
        </row>
        <row r="477">
          <cell r="A477" t="str">
            <v>BE6225960150</v>
          </cell>
          <cell r="B477" t="str">
            <v>KBC Inst. Fund Euro Bonds Short Inst. Shares Cap</v>
          </cell>
          <cell r="C477" t="str">
            <v>EUR-KAP-INSTITUTIONEEL</v>
          </cell>
          <cell r="D477">
            <v>20221118</v>
          </cell>
          <cell r="E477">
            <v>4891.97</v>
          </cell>
        </row>
        <row r="478">
          <cell r="A478" t="str">
            <v>BE6225959145</v>
          </cell>
          <cell r="B478" t="str">
            <v>KBC Inst. Fund Euro Bonds Short Inst. Shares Dis (empty)</v>
          </cell>
          <cell r="C478" t="str">
            <v>EUR-DIV-INSTITUTIONEEL</v>
          </cell>
          <cell r="D478">
            <v>20180206</v>
          </cell>
          <cell r="E478">
            <v>2532.2399999999998</v>
          </cell>
        </row>
        <row r="479">
          <cell r="A479" t="str">
            <v>BE0168961846</v>
          </cell>
          <cell r="B479" t="str">
            <v>KBC Inst. Fund Euro Corp.Bonds Classic Shares Cap</v>
          </cell>
          <cell r="C479" t="str">
            <v>EUR-KAP-RETAIL</v>
          </cell>
          <cell r="D479">
            <v>20221118</v>
          </cell>
          <cell r="E479">
            <v>9620.41</v>
          </cell>
        </row>
        <row r="480">
          <cell r="A480" t="str">
            <v>BE0945990464</v>
          </cell>
          <cell r="B480" t="str">
            <v>KBC Inst. Fund Euro Corp.Bonds Classic Shares Dis</v>
          </cell>
          <cell r="C480" t="str">
            <v>EUR-DIV-RETAIL</v>
          </cell>
          <cell r="D480">
            <v>20221118</v>
          </cell>
          <cell r="E480">
            <v>6029.94</v>
          </cell>
        </row>
        <row r="481">
          <cell r="A481" t="str">
            <v>BE6229415755</v>
          </cell>
          <cell r="B481" t="str">
            <v>KBC Inst. Fund Euro Corp.Bonds ex Financials Classic Shares Cap</v>
          </cell>
          <cell r="C481" t="str">
            <v>EUR-KAP-RETAIL</v>
          </cell>
          <cell r="D481">
            <v>20221118</v>
          </cell>
          <cell r="E481">
            <v>1169.19</v>
          </cell>
        </row>
        <row r="482">
          <cell r="A482" t="str">
            <v>BE6229416761</v>
          </cell>
          <cell r="B482" t="str">
            <v>KBC Inst. Fund Euro Corp.Bonds ex Financials Classic Shares Dis</v>
          </cell>
          <cell r="C482" t="str">
            <v>EUR-DIV-RETAIL</v>
          </cell>
          <cell r="D482">
            <v>20221118</v>
          </cell>
          <cell r="E482">
            <v>985.36</v>
          </cell>
        </row>
        <row r="483">
          <cell r="A483" t="str">
            <v>BE6229419799</v>
          </cell>
          <cell r="B483" t="str">
            <v>KBC Inst. Fund Euro Corp.Bonds ex Financials Inst. B Shares Cap</v>
          </cell>
          <cell r="C483" t="str">
            <v>EUR-KAP-INSTIT.B</v>
          </cell>
          <cell r="D483">
            <v>20221118</v>
          </cell>
          <cell r="E483">
            <v>1171.43</v>
          </cell>
        </row>
        <row r="484">
          <cell r="A484" t="str">
            <v>BE6229417777</v>
          </cell>
          <cell r="B484" t="str">
            <v>KBC Inst. Fund Euro Corp.Bonds ex Financials Inst. Shares Cap</v>
          </cell>
          <cell r="C484" t="str">
            <v>EUR-KAP-INSTITUTIONEEL</v>
          </cell>
          <cell r="D484">
            <v>20221118</v>
          </cell>
          <cell r="E484">
            <v>1180.78</v>
          </cell>
        </row>
        <row r="485">
          <cell r="A485" t="str">
            <v>BE6229418783</v>
          </cell>
          <cell r="B485" t="str">
            <v>KBC Inst. Fund Euro Corp.Bonds ex Financials Inst. Shares Dis (empty)</v>
          </cell>
          <cell r="C485" t="str">
            <v>EUR-DIV-INSTITUTIONEEL</v>
          </cell>
          <cell r="D485">
            <v>20111129</v>
          </cell>
          <cell r="E485">
            <v>1000</v>
          </cell>
        </row>
        <row r="486">
          <cell r="A486" t="str">
            <v>BE6274086295</v>
          </cell>
          <cell r="B486" t="str">
            <v>KBC Inst. Fund Euro Corp.Bonds Inst. B Shares Cap</v>
          </cell>
          <cell r="C486" t="str">
            <v>EUR-KAP-INSTIT.B</v>
          </cell>
          <cell r="D486">
            <v>20221118</v>
          </cell>
          <cell r="E486">
            <v>973.1</v>
          </cell>
        </row>
        <row r="487">
          <cell r="A487" t="str">
            <v>BE6225962172</v>
          </cell>
          <cell r="B487" t="str">
            <v>KBC Inst. Fund Euro Corp.Bonds Inst. Shares Cap</v>
          </cell>
          <cell r="C487" t="str">
            <v>EUR-KAP-INSTITUTIONEEL</v>
          </cell>
          <cell r="D487">
            <v>20221118</v>
          </cell>
          <cell r="E487">
            <v>9697.94</v>
          </cell>
        </row>
        <row r="488">
          <cell r="A488" t="str">
            <v>BE6225961166</v>
          </cell>
          <cell r="B488" t="str">
            <v>KBC Inst. Fund Euro Corp.Bonds Inst. Shares Dis</v>
          </cell>
          <cell r="C488" t="str">
            <v>EUR-DIV-INSTITUTIONEEL</v>
          </cell>
          <cell r="D488">
            <v>20221118</v>
          </cell>
          <cell r="E488">
            <v>6083.39</v>
          </cell>
        </row>
        <row r="489">
          <cell r="A489" t="str">
            <v>BE0166981440</v>
          </cell>
          <cell r="B489" t="str">
            <v>KBC Inst. Fund Euro Equity Classic Shares Cap</v>
          </cell>
          <cell r="C489" t="str">
            <v>EUR-KAP-RETAIL</v>
          </cell>
          <cell r="D489">
            <v>20221118</v>
          </cell>
          <cell r="E489">
            <v>11039.55</v>
          </cell>
        </row>
        <row r="490">
          <cell r="A490" t="str">
            <v>BE6295243404</v>
          </cell>
          <cell r="B490" t="str">
            <v>KBC Inst. Fund Euro Equity Inst. B Shares Cap</v>
          </cell>
          <cell r="C490" t="str">
            <v>EUR-KAP-INSTIT.B</v>
          </cell>
          <cell r="D490">
            <v>20221118</v>
          </cell>
          <cell r="E490">
            <v>11152.22</v>
          </cell>
        </row>
        <row r="491">
          <cell r="A491" t="str">
            <v>BE0947887031</v>
          </cell>
          <cell r="B491" t="str">
            <v>KBC Inst. Fund Euro Equity Inst. Shares Cap</v>
          </cell>
          <cell r="C491" t="str">
            <v>EUR-KAP-INSTITUTIONEEL</v>
          </cell>
          <cell r="D491">
            <v>20221118</v>
          </cell>
          <cell r="E491">
            <v>11158.88</v>
          </cell>
        </row>
        <row r="492">
          <cell r="A492" t="str">
            <v>BE6333605879</v>
          </cell>
          <cell r="B492" t="str">
            <v>KBC Inst. Fund Euro Equity Small &amp; Medium Caps Classic Shares Cap (empty)</v>
          </cell>
          <cell r="C492" t="str">
            <v>EUR-KAP-RETAIL</v>
          </cell>
          <cell r="D492">
            <v>20220426</v>
          </cell>
          <cell r="E492">
            <v>1000</v>
          </cell>
        </row>
        <row r="493">
          <cell r="A493" t="str">
            <v>BE0945052786</v>
          </cell>
          <cell r="B493" t="str">
            <v>KBC Inst. Fund Euro Equity Small &amp; Medium Caps Discretionary Shares Cap</v>
          </cell>
          <cell r="C493" t="str">
            <v>EUR-KAP-DISCR.</v>
          </cell>
          <cell r="D493">
            <v>20221118</v>
          </cell>
          <cell r="E493">
            <v>9864.9500000000007</v>
          </cell>
        </row>
        <row r="494">
          <cell r="A494" t="str">
            <v>BE0947888047</v>
          </cell>
          <cell r="B494" t="str">
            <v>KBC Inst. Fund Euro Equity Small &amp; Medium Caps Inst. Shares Cap</v>
          </cell>
          <cell r="C494" t="str">
            <v>EUR-KAP-INSTITUTIONEEL</v>
          </cell>
          <cell r="D494">
            <v>20221118</v>
          </cell>
          <cell r="E494">
            <v>9964.11</v>
          </cell>
        </row>
        <row r="495">
          <cell r="A495" t="str">
            <v>BE0166983461</v>
          </cell>
          <cell r="B495" t="str">
            <v>KBC Inst. Fund Euro Satellite Equity Classic Shares Cap</v>
          </cell>
          <cell r="C495" t="str">
            <v>EUR-KAP-RETAIL</v>
          </cell>
          <cell r="D495">
            <v>20221118</v>
          </cell>
          <cell r="E495">
            <v>9861.2000000000007</v>
          </cell>
        </row>
        <row r="496">
          <cell r="A496" t="str">
            <v>BE6295242398</v>
          </cell>
          <cell r="B496" t="str">
            <v>KBC Inst. Fund Euro Satellite Equity Inst. B Shares Cap</v>
          </cell>
          <cell r="C496" t="str">
            <v>EUR-KAP-INSTIT.B</v>
          </cell>
          <cell r="D496">
            <v>20221118</v>
          </cell>
          <cell r="E496">
            <v>9964.7000000000007</v>
          </cell>
        </row>
        <row r="497">
          <cell r="A497" t="str">
            <v>BE0947889052</v>
          </cell>
          <cell r="B497" t="str">
            <v>KBC Inst. Fund Euro Satellite Equity Inst. Shares Cap</v>
          </cell>
          <cell r="C497" t="str">
            <v>EUR-KAP-INSTITUTIONEEL</v>
          </cell>
          <cell r="D497">
            <v>20221118</v>
          </cell>
          <cell r="E497">
            <v>9958.33</v>
          </cell>
        </row>
        <row r="498">
          <cell r="A498" t="str">
            <v>BE0168584952</v>
          </cell>
          <cell r="B498" t="str">
            <v>KBC Inst. Fund European Real Estate Classic Shares Cap</v>
          </cell>
          <cell r="C498" t="str">
            <v>EUR-KAP-RETAIL</v>
          </cell>
          <cell r="D498">
            <v>20221118</v>
          </cell>
          <cell r="E498">
            <v>12709.27</v>
          </cell>
        </row>
        <row r="499">
          <cell r="A499" t="str">
            <v>BE0947127198</v>
          </cell>
          <cell r="B499" t="str">
            <v>KBC Inst. Fund European Real Estate Classic Shares Dis (empty)</v>
          </cell>
          <cell r="C499" t="str">
            <v>EUR-DIV-RETAIL</v>
          </cell>
          <cell r="D499">
            <v>20210511</v>
          </cell>
          <cell r="E499">
            <v>10590</v>
          </cell>
        </row>
        <row r="500">
          <cell r="A500" t="str">
            <v>BE6213915950</v>
          </cell>
          <cell r="B500" t="str">
            <v>KBC Inst. Fund European Real Estate Inst. Shares Cap</v>
          </cell>
          <cell r="C500" t="str">
            <v>EUR-KAP-INSTITUTIONEEL</v>
          </cell>
          <cell r="D500">
            <v>20221118</v>
          </cell>
          <cell r="E500">
            <v>1570.21</v>
          </cell>
        </row>
        <row r="501">
          <cell r="A501" t="str">
            <v>BE0945892454</v>
          </cell>
          <cell r="B501" t="str">
            <v>KBC Inst. Fund Global Def. Cap</v>
          </cell>
          <cell r="C501" t="str">
            <v>EUR-KAP-RETAIL</v>
          </cell>
          <cell r="D501">
            <v>20221118</v>
          </cell>
          <cell r="E501">
            <v>1619.95</v>
          </cell>
        </row>
        <row r="502">
          <cell r="A502" t="str">
            <v>BE6277099352</v>
          </cell>
          <cell r="B502" t="str">
            <v>KBC Inst. Fund Global Def. Dis</v>
          </cell>
          <cell r="C502" t="str">
            <v>EUR-DIV-RETAIL</v>
          </cell>
          <cell r="D502">
            <v>20221118</v>
          </cell>
          <cell r="E502">
            <v>931.15</v>
          </cell>
        </row>
        <row r="503">
          <cell r="A503" t="str">
            <v>BE0057773583</v>
          </cell>
          <cell r="B503" t="str">
            <v>KBC Inst. Fund Global SRI Def. 1 Classic Shares Cap</v>
          </cell>
          <cell r="C503" t="str">
            <v>EUR-KAP-RETAIL</v>
          </cell>
          <cell r="D503">
            <v>20221118</v>
          </cell>
          <cell r="E503">
            <v>1889.53</v>
          </cell>
        </row>
        <row r="504">
          <cell r="A504" t="str">
            <v>BE0057771561</v>
          </cell>
          <cell r="B504" t="str">
            <v>KBC Inst. Fund Global SRI Def. 1 Classic Shares Dis</v>
          </cell>
          <cell r="C504" t="str">
            <v>EUR-DIV-RETAIL</v>
          </cell>
          <cell r="D504">
            <v>20221118</v>
          </cell>
          <cell r="E504">
            <v>1144.9000000000001</v>
          </cell>
        </row>
        <row r="505">
          <cell r="A505" t="str">
            <v>BE6225965209</v>
          </cell>
          <cell r="B505" t="str">
            <v>KBC Inst. Fund Global SRI Def. 1 Inst. Shares Cap</v>
          </cell>
          <cell r="C505" t="str">
            <v>EUR-KAP-INSTITUTIONEEL</v>
          </cell>
          <cell r="D505">
            <v>20221118</v>
          </cell>
          <cell r="E505">
            <v>1894.21</v>
          </cell>
        </row>
        <row r="506">
          <cell r="A506" t="str">
            <v>BE6325116372</v>
          </cell>
          <cell r="B506" t="str">
            <v>KBC Inst. Fund SRI Asia Pacific Classic Shares Cap (empty)</v>
          </cell>
          <cell r="C506" t="str">
            <v>EUR-KAP-RETAIL</v>
          </cell>
          <cell r="D506">
            <v>20201216</v>
          </cell>
          <cell r="E506">
            <v>1000</v>
          </cell>
        </row>
        <row r="507">
          <cell r="A507" t="str">
            <v>BE6325117388</v>
          </cell>
          <cell r="B507" t="str">
            <v>KBC Inst. Fund SRI Asia Pacific Classic Shares Dis</v>
          </cell>
          <cell r="C507" t="str">
            <v>EUR-DIV-RETAIL</v>
          </cell>
          <cell r="D507">
            <v>20221118</v>
          </cell>
          <cell r="E507">
            <v>1030.32</v>
          </cell>
        </row>
        <row r="508">
          <cell r="A508" t="str">
            <v>BE6332394400</v>
          </cell>
          <cell r="B508" t="str">
            <v>KBC Inst. Fund SRI Asia Pacific Inst. B Shares Cap</v>
          </cell>
          <cell r="C508" t="str">
            <v>EUR-KAP-INSTIT.B</v>
          </cell>
          <cell r="D508">
            <v>20221118</v>
          </cell>
          <cell r="E508">
            <v>953.3</v>
          </cell>
        </row>
        <row r="509">
          <cell r="A509" t="str">
            <v>BE6325118394</v>
          </cell>
          <cell r="B509" t="str">
            <v>KBC Inst. Fund SRI Asia Pacific Inst. Shares Cap</v>
          </cell>
          <cell r="C509" t="str">
            <v>EUR-KAP-INSTITUTIONEEL</v>
          </cell>
          <cell r="D509">
            <v>20221118</v>
          </cell>
          <cell r="E509">
            <v>1031.33</v>
          </cell>
        </row>
        <row r="510">
          <cell r="A510" t="str">
            <v>BE6325119400</v>
          </cell>
          <cell r="B510" t="str">
            <v>KBC Inst. Fund SRI Asia Pacific Inst. Shares Dis (empty)</v>
          </cell>
          <cell r="C510" t="str">
            <v>EUR-DIV-INSTITUTIONEEL</v>
          </cell>
          <cell r="D510">
            <v>20201216</v>
          </cell>
          <cell r="E510">
            <v>1000</v>
          </cell>
        </row>
        <row r="511">
          <cell r="A511" t="str">
            <v>BE0058979031</v>
          </cell>
          <cell r="B511" t="str">
            <v>KBC Inst. Fund SRI Euro Bonds Classic Shares Cap</v>
          </cell>
          <cell r="C511" t="str">
            <v>EUR-KAP-RETAIL</v>
          </cell>
          <cell r="D511">
            <v>20221118</v>
          </cell>
          <cell r="E511">
            <v>852.16</v>
          </cell>
        </row>
        <row r="512">
          <cell r="A512" t="str">
            <v>BE0058977019</v>
          </cell>
          <cell r="B512" t="str">
            <v>KBC Inst. Fund SRI Euro Bonds Classic Shares Dis</v>
          </cell>
          <cell r="C512" t="str">
            <v>EUR-DIV-RETAIL</v>
          </cell>
          <cell r="D512">
            <v>20221118</v>
          </cell>
          <cell r="E512">
            <v>515.48</v>
          </cell>
        </row>
        <row r="513">
          <cell r="A513" t="str">
            <v>BE6228918635</v>
          </cell>
          <cell r="B513" t="str">
            <v>KBC Inst. Fund SRI Euro Bonds Inst. B Shares Cap</v>
          </cell>
          <cell r="C513" t="str">
            <v>EUR-KAP-INSTIT.B</v>
          </cell>
          <cell r="D513">
            <v>20221118</v>
          </cell>
          <cell r="E513">
            <v>860.78</v>
          </cell>
        </row>
        <row r="514">
          <cell r="A514" t="str">
            <v>BE6225968237</v>
          </cell>
          <cell r="B514" t="str">
            <v>KBC Inst. Fund SRI Euro Bonds Inst. Shares Cap</v>
          </cell>
          <cell r="C514" t="str">
            <v>EUR-KAP-INSTITUTIONEEL</v>
          </cell>
          <cell r="D514">
            <v>20221118</v>
          </cell>
          <cell r="E514">
            <v>854.31</v>
          </cell>
        </row>
        <row r="515">
          <cell r="A515" t="str">
            <v>BE6225967221</v>
          </cell>
          <cell r="B515" t="str">
            <v>KBC Inst. Fund SRI Euro Bonds Inst. Shares Dis (empty)</v>
          </cell>
          <cell r="C515" t="str">
            <v>EUR-DIV-INSTITUTIONEEL</v>
          </cell>
          <cell r="D515">
            <v>20110906</v>
          </cell>
          <cell r="E515">
            <v>572.11</v>
          </cell>
        </row>
        <row r="516">
          <cell r="A516" t="str">
            <v>BE0175761940</v>
          </cell>
          <cell r="B516" t="str">
            <v>KBC Inst. Fund SRI Euro Equities Classic Shares Cap</v>
          </cell>
          <cell r="C516" t="str">
            <v>EUR-KAP-RETAIL</v>
          </cell>
          <cell r="D516">
            <v>20221118</v>
          </cell>
          <cell r="E516">
            <v>3506.73</v>
          </cell>
        </row>
        <row r="517">
          <cell r="A517" t="str">
            <v>BE6295240376</v>
          </cell>
          <cell r="B517" t="str">
            <v>KBC Inst. Fund SRI Euro Equities Inst. B Shares Cap</v>
          </cell>
          <cell r="C517" t="str">
            <v>EUR-KAP-INSTIT.B</v>
          </cell>
          <cell r="D517">
            <v>20221118</v>
          </cell>
          <cell r="E517">
            <v>3546.19</v>
          </cell>
        </row>
        <row r="518">
          <cell r="A518" t="str">
            <v>BE6225969243</v>
          </cell>
          <cell r="B518" t="str">
            <v>KBC Inst. Fund SRI Euro Equities Inst. Shares Cap</v>
          </cell>
          <cell r="C518" t="str">
            <v>EUR-KAP-INSTITUTIONEEL</v>
          </cell>
          <cell r="D518">
            <v>20221118</v>
          </cell>
          <cell r="E518">
            <v>3541.29</v>
          </cell>
        </row>
        <row r="519">
          <cell r="A519" t="str">
            <v>BE0174966755</v>
          </cell>
          <cell r="B519" t="str">
            <v>KBC Inst. Fund SRI Global Classic Shares Cap</v>
          </cell>
          <cell r="C519" t="str">
            <v>EUR-KAP-RETAIL</v>
          </cell>
          <cell r="D519">
            <v>20221118</v>
          </cell>
          <cell r="E519">
            <v>5011.8500000000004</v>
          </cell>
        </row>
        <row r="520">
          <cell r="A520" t="str">
            <v>BE0945776269</v>
          </cell>
          <cell r="B520" t="str">
            <v>KBC Inst. Fund SRI Global Classic Shares Dis</v>
          </cell>
          <cell r="C520" t="str">
            <v>EUR-DIV-RETAIL</v>
          </cell>
          <cell r="D520">
            <v>20221118</v>
          </cell>
          <cell r="E520">
            <v>3573.37</v>
          </cell>
        </row>
        <row r="521">
          <cell r="A521" t="str">
            <v>BE6225963188</v>
          </cell>
          <cell r="B521" t="str">
            <v>KBC Inst. Fund SRI Global Inst. Shares Cap</v>
          </cell>
          <cell r="C521" t="str">
            <v>EUR-KAP-INSTITUTIONEEL</v>
          </cell>
          <cell r="D521">
            <v>20221118</v>
          </cell>
          <cell r="E521">
            <v>5022.18</v>
          </cell>
        </row>
        <row r="522">
          <cell r="A522" t="str">
            <v>BE0058442485</v>
          </cell>
          <cell r="B522" t="str">
            <v>KBC Inst. Fund SRI North America Classic Shares Cap</v>
          </cell>
          <cell r="C522" t="str">
            <v>USD-KAP-RETAIL</v>
          </cell>
          <cell r="D522">
            <v>20221118</v>
          </cell>
          <cell r="E522">
            <v>20650.23</v>
          </cell>
        </row>
        <row r="523">
          <cell r="A523" t="str">
            <v>BE0058441479</v>
          </cell>
          <cell r="B523" t="str">
            <v>KBC Inst. Fund SRI North America Classic Shares Dis</v>
          </cell>
          <cell r="C523" t="str">
            <v>USD-DIV-RETAIL</v>
          </cell>
          <cell r="D523">
            <v>20221118</v>
          </cell>
          <cell r="E523">
            <v>16377.32</v>
          </cell>
        </row>
        <row r="524">
          <cell r="A524" t="str">
            <v>BE6332393394</v>
          </cell>
          <cell r="B524" t="str">
            <v>KBC Inst. Fund SRI North America Inst. B Shares EUR Cap</v>
          </cell>
          <cell r="C524" t="str">
            <v>EUR-KAP-INST.B EUR</v>
          </cell>
          <cell r="D524">
            <v>20221118</v>
          </cell>
          <cell r="E524">
            <v>925.57</v>
          </cell>
        </row>
        <row r="525">
          <cell r="A525" t="str">
            <v>BE6316203486</v>
          </cell>
          <cell r="B525" t="str">
            <v>KBC Inst. Fund SRI North America Inst. Shares EUR Cap</v>
          </cell>
          <cell r="C525" t="str">
            <v>EUR-KAP-INST.EUR</v>
          </cell>
          <cell r="D525">
            <v>20221118</v>
          </cell>
          <cell r="E525">
            <v>1419.6</v>
          </cell>
        </row>
        <row r="526">
          <cell r="A526" t="str">
            <v>BE6325120416</v>
          </cell>
          <cell r="B526" t="str">
            <v>KBC Inst. Fund SRI Rest Of Europe Classic Shares Cap (empty)</v>
          </cell>
          <cell r="C526" t="str">
            <v>EUR-KAP-RETAIL</v>
          </cell>
          <cell r="D526">
            <v>20201216</v>
          </cell>
          <cell r="E526">
            <v>1000</v>
          </cell>
        </row>
        <row r="527">
          <cell r="A527" t="str">
            <v>BE6325121422</v>
          </cell>
          <cell r="B527" t="str">
            <v>KBC Inst. Fund SRI Rest Of Europe Classic Shares Dis</v>
          </cell>
          <cell r="C527" t="str">
            <v>EUR-DIV-RETAIL</v>
          </cell>
          <cell r="D527">
            <v>20221118</v>
          </cell>
          <cell r="E527">
            <v>911.11</v>
          </cell>
        </row>
        <row r="528">
          <cell r="A528" t="str">
            <v>BE6332392388</v>
          </cell>
          <cell r="B528" t="str">
            <v>KBC Inst. Fund SRI Rest Of Europe Inst. B Shares Cap</v>
          </cell>
          <cell r="C528" t="str">
            <v>EUR-KAP-INSTIT.B</v>
          </cell>
          <cell r="D528">
            <v>20221118</v>
          </cell>
          <cell r="E528">
            <v>912.43</v>
          </cell>
        </row>
        <row r="529">
          <cell r="A529" t="str">
            <v>BE6325122438</v>
          </cell>
          <cell r="B529" t="str">
            <v>KBC Inst. Fund SRI Rest Of Europe Inst. Shares Cap</v>
          </cell>
          <cell r="C529" t="str">
            <v>EUR-KAP-INSTITUTIONEEL</v>
          </cell>
          <cell r="D529">
            <v>20221118</v>
          </cell>
          <cell r="E529">
            <v>1144.21</v>
          </cell>
        </row>
        <row r="530">
          <cell r="A530" t="str">
            <v>BE6325123444</v>
          </cell>
          <cell r="B530" t="str">
            <v>KBC Inst. Fund SRI Rest Of Europe Inst. Shares Dis (empty)</v>
          </cell>
          <cell r="C530" t="str">
            <v>EUR-DIV-INSTITUTIONEEL</v>
          </cell>
          <cell r="D530">
            <v>20201216</v>
          </cell>
          <cell r="E530">
            <v>1000</v>
          </cell>
        </row>
        <row r="531">
          <cell r="A531" t="str">
            <v>BE0168344498</v>
          </cell>
          <cell r="B531" t="str">
            <v>KBC Inst. Fund SRI World Equity Classic Shares Cap</v>
          </cell>
          <cell r="C531" t="str">
            <v>EUR-KAP-RETAIL</v>
          </cell>
          <cell r="D531">
            <v>20221118</v>
          </cell>
          <cell r="E531">
            <v>13458.34</v>
          </cell>
        </row>
        <row r="532">
          <cell r="A532" t="str">
            <v>BE0168343482</v>
          </cell>
          <cell r="B532" t="str">
            <v>KBC Inst. Fund SRI World Equity Classic Shares Dis</v>
          </cell>
          <cell r="C532" t="str">
            <v>EUR-DIV-RETAIL</v>
          </cell>
          <cell r="D532">
            <v>20221118</v>
          </cell>
          <cell r="E532">
            <v>10376.969999999999</v>
          </cell>
        </row>
        <row r="533">
          <cell r="A533" t="str">
            <v>BE6295237349</v>
          </cell>
          <cell r="B533" t="str">
            <v>KBC Inst. Fund SRI World Equity Inst. B Shares Cap</v>
          </cell>
          <cell r="C533" t="str">
            <v>EUR-KAP-INSTIT.B</v>
          </cell>
          <cell r="D533">
            <v>20221118</v>
          </cell>
          <cell r="E533">
            <v>13623.93</v>
          </cell>
        </row>
        <row r="534">
          <cell r="A534" t="str">
            <v>BE6221180852</v>
          </cell>
          <cell r="B534" t="str">
            <v>KBC Inst. Fund SRI World Equity Inst. Shares Cap</v>
          </cell>
          <cell r="C534" t="str">
            <v>EUR-KAP-INSTITUTIONEEL</v>
          </cell>
          <cell r="D534">
            <v>20221118</v>
          </cell>
          <cell r="E534">
            <v>13605.28</v>
          </cell>
        </row>
        <row r="535">
          <cell r="A535" t="str">
            <v>BE0057042062</v>
          </cell>
          <cell r="B535" t="str">
            <v>KBC Inst. Fund Upper Grade Euro Corp.Bonds Classic Shares Cap</v>
          </cell>
          <cell r="C535" t="str">
            <v>EUR-KAP-RETAIL</v>
          </cell>
          <cell r="D535">
            <v>20221118</v>
          </cell>
          <cell r="E535">
            <v>4093.19</v>
          </cell>
        </row>
        <row r="536">
          <cell r="A536" t="str">
            <v>BE0945986421</v>
          </cell>
          <cell r="B536" t="str">
            <v>KBC Inst. Fund Upper Grade Euro Corp.Bonds Classic Shares Dis</v>
          </cell>
          <cell r="C536" t="str">
            <v>EUR-DIV-RETAIL</v>
          </cell>
          <cell r="D536">
            <v>20221118</v>
          </cell>
          <cell r="E536">
            <v>2530.7199999999998</v>
          </cell>
        </row>
        <row r="537">
          <cell r="A537" t="str">
            <v>BE6295238354</v>
          </cell>
          <cell r="B537" t="str">
            <v>KBC Inst. Fund Upper Grade Euro Corp.Bonds Inst. B Shares Cap (empty)</v>
          </cell>
          <cell r="C537" t="str">
            <v>EUR-KAP-INSTIT.B</v>
          </cell>
          <cell r="D537">
            <v>20171221</v>
          </cell>
          <cell r="E537">
            <v>4564.0600000000004</v>
          </cell>
        </row>
        <row r="538">
          <cell r="A538" t="str">
            <v>BE6225971264</v>
          </cell>
          <cell r="B538" t="str">
            <v>KBC Inst. Fund Upper Grade Euro Corp.Bonds Inst. Shares Cap</v>
          </cell>
          <cell r="C538" t="str">
            <v>EUR-KAP-INSTITUTIONEEL</v>
          </cell>
          <cell r="D538">
            <v>20221118</v>
          </cell>
          <cell r="E538">
            <v>4124.57</v>
          </cell>
        </row>
        <row r="539">
          <cell r="A539" t="str">
            <v>BE6225970258</v>
          </cell>
          <cell r="B539" t="str">
            <v>KBC Inst. Fund Upper Grade Euro Corp.Bonds Inst. Shares Dis (empty)</v>
          </cell>
          <cell r="C539" t="str">
            <v>EUR-DIV-INSTITUTIONEEL</v>
          </cell>
          <cell r="D539">
            <v>20110906</v>
          </cell>
          <cell r="E539">
            <v>2849.09</v>
          </cell>
        </row>
        <row r="540">
          <cell r="A540" t="str">
            <v>LU0333716834</v>
          </cell>
          <cell r="B540" t="str">
            <v>KBC Inst. Interest Fund Cash Euro Corp.Shares Cap</v>
          </cell>
          <cell r="C540" t="str">
            <v>KAP2</v>
          </cell>
          <cell r="D540">
            <v>20221118</v>
          </cell>
          <cell r="E540">
            <v>4809.26</v>
          </cell>
        </row>
        <row r="541">
          <cell r="A541" t="str">
            <v>LU0333715604</v>
          </cell>
          <cell r="B541" t="str">
            <v>KBC Inst. Interest Fund Cash Euro Corp.Shares Dis</v>
          </cell>
          <cell r="C541" t="str">
            <v>DIV2</v>
          </cell>
          <cell r="D541">
            <v>20221118</v>
          </cell>
          <cell r="E541">
            <v>4333.79</v>
          </cell>
        </row>
        <row r="542">
          <cell r="A542" t="str">
            <v>LU0093925211</v>
          </cell>
          <cell r="B542" t="str">
            <v>KBC Inst. Interest Fund Cash Euro Inst. Shares Cap</v>
          </cell>
          <cell r="C542" t="str">
            <v>KAP</v>
          </cell>
          <cell r="D542">
            <v>20221118</v>
          </cell>
          <cell r="E542">
            <v>4715.24</v>
          </cell>
        </row>
        <row r="543">
          <cell r="A543" t="str">
            <v>LU0239505299</v>
          </cell>
          <cell r="B543" t="str">
            <v>KBC Inst. Interest Fund Cash Euro Inst. Shares Dis (empty)</v>
          </cell>
          <cell r="C543" t="str">
            <v>DIV</v>
          </cell>
          <cell r="D543">
            <v>20180607</v>
          </cell>
          <cell r="E543">
            <v>4234.5276670000003</v>
          </cell>
        </row>
        <row r="544">
          <cell r="A544" t="str">
            <v>LU0159040624</v>
          </cell>
          <cell r="B544" t="str">
            <v>KBC Inst. Interest Fund Cash Upper Grade Euro Corp.Shares Cap</v>
          </cell>
          <cell r="C544" t="str">
            <v>KAP2</v>
          </cell>
          <cell r="D544">
            <v>20221118</v>
          </cell>
          <cell r="E544">
            <v>2974.16</v>
          </cell>
        </row>
        <row r="545">
          <cell r="A545" t="str">
            <v>LU0239505612</v>
          </cell>
          <cell r="B545" t="str">
            <v>KBC Inst. Interest Fund Cash Upper Grade Euro Corp.Shares Dis</v>
          </cell>
          <cell r="C545" t="str">
            <v>DIV2</v>
          </cell>
          <cell r="D545">
            <v>20221118</v>
          </cell>
          <cell r="E545">
            <v>2667.23</v>
          </cell>
        </row>
        <row r="546">
          <cell r="A546" t="str">
            <v>LU0159038560</v>
          </cell>
          <cell r="B546" t="str">
            <v>KBC Inst. Interest Fund Cash Upper Grade Euro Inst. Shares Cap</v>
          </cell>
          <cell r="C546" t="str">
            <v>KAP</v>
          </cell>
          <cell r="D546">
            <v>20221118</v>
          </cell>
          <cell r="E546">
            <v>2933.58</v>
          </cell>
        </row>
        <row r="547">
          <cell r="A547" t="str">
            <v>LU0239505703</v>
          </cell>
          <cell r="B547" t="str">
            <v>KBC Inst. Interest Fund Cash Upper Grade Euro Inst. Shares Dis</v>
          </cell>
          <cell r="C547" t="str">
            <v>DIV</v>
          </cell>
          <cell r="D547">
            <v>20221118</v>
          </cell>
          <cell r="E547">
            <v>2646.71</v>
          </cell>
        </row>
        <row r="548">
          <cell r="A548" t="str">
            <v>BE0948906525</v>
          </cell>
          <cell r="B548" t="str">
            <v>KBC Inst. Investors AB Inbev Cap</v>
          </cell>
          <cell r="C548" t="str">
            <v>EUR-KAP-RETAIL</v>
          </cell>
          <cell r="D548">
            <v>20221118</v>
          </cell>
          <cell r="E548">
            <v>1485.21</v>
          </cell>
        </row>
        <row r="549">
          <cell r="A549" t="str">
            <v>BE6290722782</v>
          </cell>
          <cell r="B549" t="str">
            <v>KBC Inst. Investors Balanced 1 Cap</v>
          </cell>
          <cell r="C549" t="str">
            <v>EUR-KAP-INSTITUTIONEEL</v>
          </cell>
          <cell r="D549">
            <v>20221118</v>
          </cell>
          <cell r="E549">
            <v>1078.8</v>
          </cell>
        </row>
        <row r="550">
          <cell r="A550" t="str">
            <v>BE6298615178</v>
          </cell>
          <cell r="B550" t="str">
            <v>KBC Inst. Investors Balanced 2 Cap</v>
          </cell>
          <cell r="C550" t="str">
            <v>EUR-KAP-INSTITUTIONEEL</v>
          </cell>
          <cell r="D550">
            <v>20221118</v>
          </cell>
          <cell r="E550">
            <v>1112.73</v>
          </cell>
        </row>
        <row r="551">
          <cell r="A551" t="str">
            <v>BE0948241667</v>
          </cell>
          <cell r="B551" t="str">
            <v>KBC Inst. Investors Balanced Sustainables 1 Cap</v>
          </cell>
          <cell r="C551" t="str">
            <v>EUR-KAP-RETAIL</v>
          </cell>
          <cell r="D551">
            <v>20221118</v>
          </cell>
          <cell r="E551">
            <v>1521.98</v>
          </cell>
        </row>
        <row r="552">
          <cell r="A552" t="str">
            <v>BE6314454453</v>
          </cell>
          <cell r="B552" t="str">
            <v>KBC Inst. Investors Global Growth DBI Dis</v>
          </cell>
          <cell r="C552" t="str">
            <v>EUR-DIV-INSTITUTIONEEL</v>
          </cell>
          <cell r="D552">
            <v>20221118</v>
          </cell>
          <cell r="E552">
            <v>1241.8</v>
          </cell>
        </row>
        <row r="553">
          <cell r="A553" t="str">
            <v>BE6229565310</v>
          </cell>
          <cell r="B553" t="str">
            <v>KBC Inst. Investors LDI Solutions 1 Cap</v>
          </cell>
          <cell r="C553" t="str">
            <v>EUR-KAP-RETAIL</v>
          </cell>
          <cell r="D553">
            <v>20221116</v>
          </cell>
          <cell r="E553">
            <v>97044.82</v>
          </cell>
        </row>
        <row r="554">
          <cell r="A554" t="str">
            <v>BE6229566326</v>
          </cell>
          <cell r="B554" t="str">
            <v>KBC Inst. Investors LDI Solutions 2 Cap</v>
          </cell>
          <cell r="C554" t="str">
            <v>EUR-KAP-RETAIL</v>
          </cell>
          <cell r="D554">
            <v>20221116</v>
          </cell>
          <cell r="E554">
            <v>267457.46999999997</v>
          </cell>
        </row>
        <row r="555">
          <cell r="A555" t="str">
            <v>BE6229561277</v>
          </cell>
          <cell r="B555" t="str">
            <v>KBC Inst. Investors LDI Solutions 3 Cap</v>
          </cell>
          <cell r="C555" t="str">
            <v>EUR-KAP-RETAIL</v>
          </cell>
          <cell r="D555">
            <v>20221116</v>
          </cell>
          <cell r="E555">
            <v>32014.720000000001</v>
          </cell>
        </row>
        <row r="556">
          <cell r="A556" t="str">
            <v>BE6229029770</v>
          </cell>
          <cell r="B556" t="str">
            <v>KBC Inst. Investors Mixed Def. 1 Cap</v>
          </cell>
          <cell r="C556" t="str">
            <v>EUR-KAP-RETAIL</v>
          </cell>
          <cell r="D556">
            <v>20221118</v>
          </cell>
          <cell r="E556">
            <v>1482.88</v>
          </cell>
        </row>
        <row r="557">
          <cell r="A557" t="str">
            <v>BE6296829748</v>
          </cell>
          <cell r="B557" t="str">
            <v>KBC Inst. Investors SFUZ 1 Cap</v>
          </cell>
          <cell r="C557" t="str">
            <v>EUR-KAP-INSTITUTIONEEL</v>
          </cell>
          <cell r="D557">
            <v>20221118</v>
          </cell>
          <cell r="E557">
            <v>995.82</v>
          </cell>
        </row>
        <row r="558">
          <cell r="A558" t="str">
            <v>BE6229030786</v>
          </cell>
          <cell r="B558" t="str">
            <v>KBC Inst. Investors Short Term 1 Cap</v>
          </cell>
          <cell r="C558" t="str">
            <v>EUR-KAP-RETAIL</v>
          </cell>
          <cell r="D558">
            <v>20221118</v>
          </cell>
          <cell r="E558">
            <v>1065.74</v>
          </cell>
        </row>
        <row r="559">
          <cell r="A559" t="str">
            <v>BE6325124459</v>
          </cell>
          <cell r="B559" t="str">
            <v>KBC Inst. Investors SRI Euro Bonds Ex-Pharma Cap</v>
          </cell>
          <cell r="C559" t="str">
            <v>EUR-KAP-INSTITUTIONEEL</v>
          </cell>
          <cell r="D559">
            <v>20221118</v>
          </cell>
          <cell r="E559">
            <v>850.71</v>
          </cell>
        </row>
        <row r="560">
          <cell r="A560" t="str">
            <v>BE6300347034</v>
          </cell>
          <cell r="B560" t="str">
            <v>KBC Inst. Investors SRI Global Flexible Allocation July Cap</v>
          </cell>
          <cell r="C560" t="str">
            <v>EUR-KAP-INSTITUTIONEEL</v>
          </cell>
          <cell r="D560">
            <v>20221118</v>
          </cell>
          <cell r="E560">
            <v>952.05</v>
          </cell>
        </row>
        <row r="561">
          <cell r="A561" t="str">
            <v>BE6325125464</v>
          </cell>
          <cell r="B561" t="str">
            <v>KBC Inst. Investors SRI World Equities Ex-Pharma Cap</v>
          </cell>
          <cell r="C561" t="str">
            <v>EUR-KAP-INSTITUTIONEEL</v>
          </cell>
          <cell r="D561">
            <v>20221118</v>
          </cell>
          <cell r="E561">
            <v>1128.5999999999999</v>
          </cell>
        </row>
        <row r="562">
          <cell r="A562" t="str">
            <v>BE6309410452</v>
          </cell>
          <cell r="B562" t="str">
            <v>KBC Inst. Investors Structural Growth DBI Dis</v>
          </cell>
          <cell r="C562" t="str">
            <v>EUR-DIV-INSTITUTIONEEL</v>
          </cell>
          <cell r="D562">
            <v>20221118</v>
          </cell>
          <cell r="E562">
            <v>1170.43</v>
          </cell>
        </row>
        <row r="563">
          <cell r="A563" t="str">
            <v>LU0321028754</v>
          </cell>
          <cell r="B563" t="str">
            <v>KBC Interest Fund CZK Omega Cap (empty)</v>
          </cell>
          <cell r="C563" t="str">
            <v>KAP</v>
          </cell>
          <cell r="D563">
            <v>20220614</v>
          </cell>
          <cell r="E563">
            <v>11181.469300000001</v>
          </cell>
        </row>
        <row r="564">
          <cell r="A564" t="str">
            <v>LU0321028671</v>
          </cell>
          <cell r="B564" t="str">
            <v>KBC Interest Fund CZK Omega Dis</v>
          </cell>
          <cell r="C564" t="str">
            <v>DIV</v>
          </cell>
          <cell r="D564">
            <v>20221118</v>
          </cell>
          <cell r="E564">
            <v>9923.5300000000007</v>
          </cell>
        </row>
        <row r="565">
          <cell r="A565" t="str">
            <v>LU1612329638</v>
          </cell>
          <cell r="B565" t="str">
            <v>KBC Interest Fund CZK Omega Inst. B Shares</v>
          </cell>
          <cell r="C565" t="str">
            <v>CZK-KAP-INSTIT.B</v>
          </cell>
          <cell r="D565">
            <v>20221118</v>
          </cell>
          <cell r="E565">
            <v>10450.19</v>
          </cell>
        </row>
        <row r="566">
          <cell r="A566" t="str">
            <v>BE6243361530</v>
          </cell>
          <cell r="B566" t="str">
            <v>KBC IP ExpertEase SRI Def. Conservative Cap</v>
          </cell>
          <cell r="C566" t="str">
            <v>KAP2</v>
          </cell>
          <cell r="D566">
            <v>20221117</v>
          </cell>
          <cell r="E566">
            <v>999.46</v>
          </cell>
        </row>
        <row r="567">
          <cell r="A567" t="str">
            <v>IE00BM99PP17</v>
          </cell>
          <cell r="B567" t="str">
            <v>KBC Ireland Fund ICAV ExpertEase SRI Balanced Approach Cap</v>
          </cell>
          <cell r="C567" t="str">
            <v>EUR-KAP-RETAIL</v>
          </cell>
          <cell r="D567">
            <v>20221117</v>
          </cell>
          <cell r="E567">
            <v>920.43719999999996</v>
          </cell>
        </row>
        <row r="568">
          <cell r="A568" t="str">
            <v>IE00BM99PM85</v>
          </cell>
          <cell r="B568" t="str">
            <v>KBC Ireland Fund ICAV ExpertEase SRI Balanced Defence Cap</v>
          </cell>
          <cell r="C568" t="str">
            <v>EUR-KAP-RETAIL</v>
          </cell>
          <cell r="D568">
            <v>20221117</v>
          </cell>
          <cell r="E568">
            <v>922.02080000000001</v>
          </cell>
        </row>
        <row r="569">
          <cell r="A569" t="str">
            <v>IE00BM99PQ24</v>
          </cell>
          <cell r="B569" t="str">
            <v>KBC Ireland Fund ICAV ExpertEase SRI Progressive Approach Cap</v>
          </cell>
          <cell r="C569" t="str">
            <v>EUR-KAP-RETAIL</v>
          </cell>
          <cell r="D569">
            <v>20221117</v>
          </cell>
          <cell r="E569">
            <v>910.63430000000005</v>
          </cell>
        </row>
        <row r="570">
          <cell r="A570" t="str">
            <v>IE00BM99PN92</v>
          </cell>
          <cell r="B570" t="str">
            <v>KBC Ireland Fund ICAV ExpertEase SRI Progressive Defence Cap</v>
          </cell>
          <cell r="C570" t="str">
            <v>EUR-KAP-RETAIL</v>
          </cell>
          <cell r="D570">
            <v>20221117</v>
          </cell>
          <cell r="E570">
            <v>901.80489999999998</v>
          </cell>
        </row>
        <row r="571">
          <cell r="A571" t="str">
            <v>IE00BM99PR31</v>
          </cell>
          <cell r="B571" t="str">
            <v>KBC Ireland Fund ICAV ExpertEase SRI Progressive Opportunity Cap</v>
          </cell>
          <cell r="C571" t="str">
            <v>EUR-KAP-RETAIL</v>
          </cell>
          <cell r="D571">
            <v>20221117</v>
          </cell>
          <cell r="E571">
            <v>916.83339999999998</v>
          </cell>
        </row>
        <row r="572">
          <cell r="A572" t="str">
            <v>IE00BM99PS48</v>
          </cell>
          <cell r="B572" t="str">
            <v>KBC Ireland Fund ICAV SIVEK SRI Global Medium Cap</v>
          </cell>
          <cell r="C572" t="str">
            <v>EUR-KAP-RETAIL</v>
          </cell>
          <cell r="D572">
            <v>20221117</v>
          </cell>
          <cell r="E572">
            <v>920.89639999999997</v>
          </cell>
        </row>
        <row r="573">
          <cell r="A573" t="str">
            <v>IE00BN4N0X82</v>
          </cell>
          <cell r="B573" t="str">
            <v>KBC Ireland Fund ICAV SIVEK SRI Global Medium Cap</v>
          </cell>
          <cell r="C573" t="str">
            <v>EUR-KAP-RET.B</v>
          </cell>
          <cell r="D573">
            <v>20221117</v>
          </cell>
          <cell r="E573">
            <v>911.005</v>
          </cell>
        </row>
        <row r="574">
          <cell r="A574" t="str">
            <v>LU0154896004</v>
          </cell>
          <cell r="B574" t="str">
            <v>KBC Life Inst. Fund One Cap</v>
          </cell>
          <cell r="C574" t="str">
            <v>KAP</v>
          </cell>
          <cell r="D574">
            <v>20221116</v>
          </cell>
          <cell r="E574">
            <v>553.54999999999995</v>
          </cell>
        </row>
        <row r="575">
          <cell r="A575" t="str">
            <v>LU0234318078</v>
          </cell>
          <cell r="B575" t="str">
            <v>KBC Life Inst. Fund Two Cap</v>
          </cell>
          <cell r="C575" t="str">
            <v>KAP</v>
          </cell>
          <cell r="D575">
            <v>20221116</v>
          </cell>
          <cell r="E575">
            <v>4787.96</v>
          </cell>
        </row>
        <row r="576">
          <cell r="A576" t="str">
            <v>LU0181125310</v>
          </cell>
          <cell r="B576" t="str">
            <v>KBC Life Invest Platform Def. Cap</v>
          </cell>
          <cell r="C576" t="str">
            <v>KAP2</v>
          </cell>
          <cell r="D576">
            <v>20221117</v>
          </cell>
          <cell r="E576">
            <v>337.42</v>
          </cell>
        </row>
        <row r="577">
          <cell r="A577" t="str">
            <v>BE6264342823</v>
          </cell>
          <cell r="B577" t="str">
            <v>KBC- Life Residential Real Estate Cap</v>
          </cell>
          <cell r="C577" t="str">
            <v>KAP</v>
          </cell>
          <cell r="D577">
            <v>20220930</v>
          </cell>
          <cell r="E577">
            <v>1382.5</v>
          </cell>
        </row>
        <row r="578">
          <cell r="A578" t="str">
            <v>BE6320805912</v>
          </cell>
          <cell r="B578" t="str">
            <v>KBC Lifestyle (PRSA) MyAutoinvest Bonds Cap</v>
          </cell>
          <cell r="C578" t="str">
            <v>EUR-KAP-INSTITUTIONEEL</v>
          </cell>
          <cell r="D578">
            <v>20221117</v>
          </cell>
          <cell r="E578">
            <v>843.85</v>
          </cell>
        </row>
        <row r="579">
          <cell r="A579" t="str">
            <v>BE6320806928</v>
          </cell>
          <cell r="B579" t="str">
            <v>KBC Lifestyle (PRSA) MyAutoinvest Cash Cap</v>
          </cell>
          <cell r="C579" t="str">
            <v>EUR-KAP-INSTITUTIONEEL</v>
          </cell>
          <cell r="D579">
            <v>20221117</v>
          </cell>
          <cell r="E579">
            <v>981.23</v>
          </cell>
        </row>
        <row r="580">
          <cell r="A580" t="str">
            <v>BE6320804907</v>
          </cell>
          <cell r="B580" t="str">
            <v>KBC Lifestyle (PRSA) MyAutoinvest Equities Cap</v>
          </cell>
          <cell r="C580" t="str">
            <v>EUR-KAP-INSTITUTIONEEL</v>
          </cell>
          <cell r="D580">
            <v>20221117</v>
          </cell>
          <cell r="E580">
            <v>1320.87</v>
          </cell>
        </row>
        <row r="581">
          <cell r="A581" t="str">
            <v>BE6323000552</v>
          </cell>
          <cell r="B581" t="str">
            <v>KBC Lifestyle Cash Cap</v>
          </cell>
          <cell r="C581" t="str">
            <v>EUR-KAP-PRSA</v>
          </cell>
          <cell r="D581">
            <v>20221117</v>
          </cell>
          <cell r="E581">
            <v>977.46</v>
          </cell>
        </row>
        <row r="582">
          <cell r="A582" t="str">
            <v>BE6321923458</v>
          </cell>
          <cell r="B582" t="str">
            <v>KBC Lifestyle ExpertEase Balanced Approach Cap</v>
          </cell>
          <cell r="C582" t="str">
            <v>EUR-KAP-PRSA</v>
          </cell>
          <cell r="D582">
            <v>20221117</v>
          </cell>
          <cell r="E582">
            <v>1056.82</v>
          </cell>
        </row>
        <row r="583">
          <cell r="A583" t="str">
            <v>BE6321921437</v>
          </cell>
          <cell r="B583" t="str">
            <v>KBC Lifestyle ExpertEase Balanced Defence Cap</v>
          </cell>
          <cell r="C583" t="str">
            <v>EUR-KAP-PRSA</v>
          </cell>
          <cell r="D583">
            <v>20221117</v>
          </cell>
          <cell r="E583">
            <v>996.35</v>
          </cell>
        </row>
        <row r="584">
          <cell r="A584" t="str">
            <v>BE6321920421</v>
          </cell>
          <cell r="B584" t="str">
            <v>KBC Lifestyle ExpertEase Careful Defence Cap</v>
          </cell>
          <cell r="C584" t="str">
            <v>EUR-KAP-PRSA</v>
          </cell>
          <cell r="D584">
            <v>20221117</v>
          </cell>
          <cell r="E584">
            <v>994.8</v>
          </cell>
        </row>
        <row r="585">
          <cell r="A585" t="str">
            <v>BE6321924464</v>
          </cell>
          <cell r="B585" t="str">
            <v>KBC Lifestyle ExpertEase Progressive Approach Cap</v>
          </cell>
          <cell r="C585" t="str">
            <v>EUR-KAP-PRSA</v>
          </cell>
          <cell r="D585">
            <v>20221117</v>
          </cell>
          <cell r="E585">
            <v>1044.95</v>
          </cell>
        </row>
        <row r="586">
          <cell r="A586" t="str">
            <v>BE6321922443</v>
          </cell>
          <cell r="B586" t="str">
            <v>KBC Lifestyle ExpertEase Progressive Defence Cap</v>
          </cell>
          <cell r="C586" t="str">
            <v>EUR-KAP-PRSA</v>
          </cell>
          <cell r="D586">
            <v>20221117</v>
          </cell>
          <cell r="E586">
            <v>990.71</v>
          </cell>
        </row>
        <row r="587">
          <cell r="A587" t="str">
            <v>BE6321926485</v>
          </cell>
          <cell r="B587" t="str">
            <v>KBC Lifestyle ExpertEase Progressive Opportunity Cap</v>
          </cell>
          <cell r="C587" t="str">
            <v>EUR-KAP-PRSA</v>
          </cell>
          <cell r="D587">
            <v>20221117</v>
          </cell>
          <cell r="E587">
            <v>1081.17</v>
          </cell>
        </row>
        <row r="588">
          <cell r="A588" t="str">
            <v>BE0058976979</v>
          </cell>
          <cell r="B588" t="str">
            <v>KBC Master Fund Bonds Classic Shares Cap</v>
          </cell>
          <cell r="C588" t="str">
            <v>EUR-KAP-RETAIL</v>
          </cell>
          <cell r="D588">
            <v>20221118</v>
          </cell>
          <cell r="E588">
            <v>704.6</v>
          </cell>
        </row>
        <row r="589">
          <cell r="A589" t="str">
            <v>BE0943544255</v>
          </cell>
          <cell r="B589" t="str">
            <v>KBC Master Fund Bonds Classic Shares Dis</v>
          </cell>
          <cell r="C589" t="str">
            <v>EUR-DIV-RETAIL</v>
          </cell>
          <cell r="D589">
            <v>20221118</v>
          </cell>
          <cell r="E589">
            <v>553.64</v>
          </cell>
        </row>
        <row r="590">
          <cell r="A590" t="str">
            <v>BE6331651735</v>
          </cell>
          <cell r="B590" t="str">
            <v>KBC Master Fund Bonds Discretionary Shares Cap (empty)</v>
          </cell>
          <cell r="C590" t="str">
            <v>EUR-KAP-DISCR.SHARES</v>
          </cell>
          <cell r="D590">
            <v>20211119</v>
          </cell>
          <cell r="E590">
            <v>1000</v>
          </cell>
        </row>
        <row r="591">
          <cell r="A591" t="str">
            <v>BE6331652741</v>
          </cell>
          <cell r="B591" t="str">
            <v>KBC Master Fund Bonds Discretionary Shares Dis (empty)</v>
          </cell>
          <cell r="C591" t="str">
            <v>EUR-DIV-DISCR.SHARES</v>
          </cell>
          <cell r="D591">
            <v>20211119</v>
          </cell>
          <cell r="E591">
            <v>1000</v>
          </cell>
        </row>
        <row r="592">
          <cell r="A592" t="str">
            <v>BE6275295747</v>
          </cell>
          <cell r="B592" t="str">
            <v>KBC Master Fund Business Comfort Def. Dis</v>
          </cell>
          <cell r="C592" t="str">
            <v>EUR-DIV-RETAIL</v>
          </cell>
          <cell r="D592">
            <v>20221118</v>
          </cell>
          <cell r="E592">
            <v>870.69</v>
          </cell>
        </row>
        <row r="593">
          <cell r="A593" t="str">
            <v>BE6275298774</v>
          </cell>
          <cell r="B593" t="str">
            <v>KBC Master Fund Business Comfort Dyn. Dis</v>
          </cell>
          <cell r="C593" t="str">
            <v>EUR-DIV-RETAIL</v>
          </cell>
          <cell r="D593">
            <v>20221118</v>
          </cell>
          <cell r="E593">
            <v>980.13</v>
          </cell>
        </row>
        <row r="594">
          <cell r="A594" t="str">
            <v>BE6297957381</v>
          </cell>
          <cell r="B594" t="str">
            <v>KBC Master Fund Business Comfort SRI Def. Classic Shares Dis</v>
          </cell>
          <cell r="C594" t="str">
            <v>EUR-DIV-RETAIL</v>
          </cell>
          <cell r="D594">
            <v>20221118</v>
          </cell>
          <cell r="E594">
            <v>890.76</v>
          </cell>
        </row>
        <row r="595">
          <cell r="A595" t="str">
            <v>BE6297961425</v>
          </cell>
          <cell r="B595" t="str">
            <v>KBC Master Fund Business Comfort SRI Dyn. Classic Shares Dis</v>
          </cell>
          <cell r="C595" t="str">
            <v>EUR-DIV-RETAIL</v>
          </cell>
          <cell r="D595">
            <v>20221118</v>
          </cell>
          <cell r="E595">
            <v>984.78</v>
          </cell>
        </row>
        <row r="596">
          <cell r="A596" t="str">
            <v>BE6216639060</v>
          </cell>
          <cell r="B596" t="str">
            <v>KBC Master Fund CSOB Portf. Pro Kveten 90 Cap</v>
          </cell>
          <cell r="C596" t="str">
            <v>CZK-KAP-RETAIL</v>
          </cell>
          <cell r="D596">
            <v>20221118</v>
          </cell>
          <cell r="E596">
            <v>1183.1099999999999</v>
          </cell>
        </row>
        <row r="597">
          <cell r="A597" t="str">
            <v>BE6201770755</v>
          </cell>
          <cell r="B597" t="str">
            <v>KBC Master Fund CSOB Portf. Pro Listopad 90 Cap</v>
          </cell>
          <cell r="C597" t="str">
            <v>CZK-KAP-RETAIL</v>
          </cell>
          <cell r="D597">
            <v>20221118</v>
          </cell>
          <cell r="E597">
            <v>1231.22</v>
          </cell>
        </row>
        <row r="598">
          <cell r="A598" t="str">
            <v>BE0947168606</v>
          </cell>
          <cell r="B598" t="str">
            <v>KBC Master Fund CSOB Portf. Pro Srpen 90 Cap</v>
          </cell>
          <cell r="C598" t="str">
            <v>CZK-KAP-RETAIL</v>
          </cell>
          <cell r="D598">
            <v>20221118</v>
          </cell>
          <cell r="E598">
            <v>1052.26</v>
          </cell>
        </row>
        <row r="599">
          <cell r="A599" t="str">
            <v>BE0149028368</v>
          </cell>
          <cell r="B599" t="str">
            <v>KBC Master Fund High Cap</v>
          </cell>
          <cell r="C599" t="str">
            <v>EUR-KAP-RETAIL</v>
          </cell>
          <cell r="D599">
            <v>20221118</v>
          </cell>
          <cell r="E599">
            <v>1599.5</v>
          </cell>
        </row>
        <row r="600">
          <cell r="A600" t="str">
            <v>BE0149027352</v>
          </cell>
          <cell r="B600" t="str">
            <v>KBC Master Fund Low Cap</v>
          </cell>
          <cell r="C600" t="str">
            <v>EUR-KAP-RETAIL</v>
          </cell>
          <cell r="D600">
            <v>20221118</v>
          </cell>
          <cell r="E600">
            <v>1121.26</v>
          </cell>
        </row>
        <row r="601">
          <cell r="A601" t="str">
            <v>BE0145346400</v>
          </cell>
          <cell r="B601" t="str">
            <v>KBC Master Fund Medium Cap</v>
          </cell>
          <cell r="C601" t="str">
            <v>EUR-KAP-RETAIL</v>
          </cell>
          <cell r="D601">
            <v>20221118</v>
          </cell>
          <cell r="E601">
            <v>1438.77</v>
          </cell>
        </row>
        <row r="602">
          <cell r="A602" t="str">
            <v>BE6210255244</v>
          </cell>
          <cell r="B602" t="str">
            <v>KBC Master Fund Minimum Variance Global Classic Shares Cap</v>
          </cell>
          <cell r="C602" t="str">
            <v>EUR-KAP-RETAIL</v>
          </cell>
          <cell r="D602">
            <v>20221118</v>
          </cell>
          <cell r="E602">
            <v>2002.57</v>
          </cell>
        </row>
        <row r="603">
          <cell r="A603" t="str">
            <v>BE6210257265</v>
          </cell>
          <cell r="B603" t="str">
            <v>KBC Master Fund Minimum Variance Global Classic Shares Dis</v>
          </cell>
          <cell r="C603" t="str">
            <v>EUR-DIV-RETAIL</v>
          </cell>
          <cell r="D603">
            <v>20221118</v>
          </cell>
          <cell r="E603">
            <v>1565.62</v>
          </cell>
        </row>
        <row r="604">
          <cell r="A604" t="str">
            <v>BE6228919641</v>
          </cell>
          <cell r="B604" t="str">
            <v>KBC Master Fund Minimum Variance Global Inst. B Shares Cap (empty)</v>
          </cell>
          <cell r="C604" t="str">
            <v>EUR-KAP-INSTIT.B</v>
          </cell>
          <cell r="D604">
            <v>20220517</v>
          </cell>
          <cell r="E604">
            <v>2161.9499999999998</v>
          </cell>
        </row>
        <row r="605">
          <cell r="A605" t="str">
            <v>BE6210258271</v>
          </cell>
          <cell r="B605" t="str">
            <v>KBC Master Fund Minimum Variance Global Inst. Shares Cap</v>
          </cell>
          <cell r="C605" t="str">
            <v>EUR-KAP-INSTITUTIONEEL</v>
          </cell>
          <cell r="D605">
            <v>20221118</v>
          </cell>
          <cell r="E605">
            <v>2302.6799999999998</v>
          </cell>
        </row>
        <row r="606">
          <cell r="A606" t="str">
            <v>BE6222654079</v>
          </cell>
          <cell r="B606" t="str">
            <v>KBC Multi Interest Cash 5 Month Duration Classic Shares Cap</v>
          </cell>
          <cell r="C606" t="str">
            <v>EUR-KAP-RETAIL</v>
          </cell>
          <cell r="D606">
            <v>20221118</v>
          </cell>
          <cell r="E606">
            <v>948.49099999999999</v>
          </cell>
        </row>
        <row r="607">
          <cell r="A607" t="str">
            <v>BE6228992408</v>
          </cell>
          <cell r="B607" t="str">
            <v>KBC Multi Interest Cash 5 Month Duration Inst. B Shares Cap</v>
          </cell>
          <cell r="C607" t="str">
            <v>EUR-KAP-INSTIT.B</v>
          </cell>
          <cell r="D607">
            <v>20221118</v>
          </cell>
          <cell r="E607">
            <v>948.12199999999996</v>
          </cell>
        </row>
        <row r="608">
          <cell r="A608" t="str">
            <v>BE0137788486</v>
          </cell>
          <cell r="B608" t="str">
            <v>KBC Multi Interest Cash USD Classic Shares Cap</v>
          </cell>
          <cell r="C608" t="str">
            <v>USD-KAP-RETAIL</v>
          </cell>
          <cell r="D608">
            <v>20221118</v>
          </cell>
          <cell r="E608">
            <v>5774.2889999999998</v>
          </cell>
        </row>
        <row r="609">
          <cell r="A609" t="str">
            <v>BE0154367404</v>
          </cell>
          <cell r="B609" t="str">
            <v>KBC Multi Interest Cash USD Classic Shares Dis</v>
          </cell>
          <cell r="C609" t="str">
            <v>USD-DIV-RETAIL</v>
          </cell>
          <cell r="D609">
            <v>20221118</v>
          </cell>
          <cell r="E609">
            <v>3017.7020000000002</v>
          </cell>
        </row>
        <row r="610">
          <cell r="A610" t="str">
            <v>BE6294964521</v>
          </cell>
          <cell r="B610" t="str">
            <v>KBC Multi Interest Cash USD Inst. B Shares Cap</v>
          </cell>
          <cell r="C610" t="str">
            <v>USD-KAP-INSTIT.B</v>
          </cell>
          <cell r="D610">
            <v>20221118</v>
          </cell>
          <cell r="E610">
            <v>5774.4449999999997</v>
          </cell>
        </row>
        <row r="611">
          <cell r="A611" t="str">
            <v>BE0940482673</v>
          </cell>
          <cell r="B611" t="str">
            <v>KBC Multi Interest CSOB CZK Medium Classic Shares Cap</v>
          </cell>
          <cell r="C611" t="str">
            <v>CZK-KAP-RETAIL</v>
          </cell>
          <cell r="D611">
            <v>20221118</v>
          </cell>
          <cell r="E611">
            <v>131.71199999999999</v>
          </cell>
        </row>
        <row r="612">
          <cell r="A612" t="str">
            <v>BE0940476618</v>
          </cell>
          <cell r="B612" t="str">
            <v>KBC Multi Interest CSOB CZK Medium Classic Shares Dis (empty)</v>
          </cell>
          <cell r="C612" t="str">
            <v>CZK-DIV-RETAIL</v>
          </cell>
          <cell r="D612">
            <v>20200701</v>
          </cell>
          <cell r="E612">
            <v>100.09699999999999</v>
          </cell>
        </row>
        <row r="613">
          <cell r="A613" t="str">
            <v>BE6272658566</v>
          </cell>
          <cell r="B613" t="str">
            <v>KBC Multi Interest CSOB CZK Medium Inst. B Shares Cap</v>
          </cell>
          <cell r="C613" t="str">
            <v>CZK-KAP-INSTIT.B</v>
          </cell>
          <cell r="D613">
            <v>20221118</v>
          </cell>
          <cell r="E613">
            <v>1031.6690000000001</v>
          </cell>
        </row>
        <row r="614">
          <cell r="A614" t="str">
            <v>BE0173476400</v>
          </cell>
          <cell r="B614" t="str">
            <v>KBC Multi Interest CSOB Kratkodoby Classic Shares Cap</v>
          </cell>
          <cell r="C614" t="str">
            <v>CZK-KAP-RETAIL</v>
          </cell>
          <cell r="D614">
            <v>20221118</v>
          </cell>
          <cell r="E614">
            <v>132.59700000000001</v>
          </cell>
        </row>
        <row r="615">
          <cell r="A615" t="str">
            <v>BE0173475394</v>
          </cell>
          <cell r="B615" t="str">
            <v>KBC Multi Interest CSOB Kratkodoby Classic Shares Dis (empty)</v>
          </cell>
          <cell r="C615" t="str">
            <v>CZK-DIV-RETAIL</v>
          </cell>
          <cell r="D615">
            <v>20211213</v>
          </cell>
          <cell r="E615">
            <v>91.191000000000003</v>
          </cell>
        </row>
        <row r="616">
          <cell r="A616" t="str">
            <v>BE6280424621</v>
          </cell>
          <cell r="B616" t="str">
            <v>KBC Multi Interest CSOB Kratkodoby Inst. B Shares Cap</v>
          </cell>
          <cell r="C616" t="str">
            <v>CZK-KAP-INSTIT.B</v>
          </cell>
          <cell r="D616">
            <v>20221118</v>
          </cell>
          <cell r="E616">
            <v>1040.8489999999999</v>
          </cell>
        </row>
        <row r="617">
          <cell r="A617" t="str">
            <v>BE6222652057</v>
          </cell>
          <cell r="B617" t="str">
            <v>KBC Multi Interest SRI Cash 3 Month Duration Classic Shares Cap (empty)</v>
          </cell>
          <cell r="C617" t="str">
            <v>EUR-KAP-RETAIL</v>
          </cell>
          <cell r="D617">
            <v>20210303</v>
          </cell>
          <cell r="E617">
            <v>966.53</v>
          </cell>
        </row>
        <row r="618">
          <cell r="A618" t="str">
            <v>BE6228991392</v>
          </cell>
          <cell r="B618" t="str">
            <v>KBC Multi Interest SRI Cash 3 Month Duration Inst. B Shares Cap</v>
          </cell>
          <cell r="C618" t="str">
            <v>EUR-KAP-INSTIT.B</v>
          </cell>
          <cell r="D618">
            <v>20221118</v>
          </cell>
          <cell r="E618">
            <v>945.67600000000004</v>
          </cell>
        </row>
        <row r="619">
          <cell r="A619" t="str">
            <v>BE6286993355</v>
          </cell>
          <cell r="B619" t="str">
            <v>KBC Multi Interest SRI Cash 4 Month Duration Classic Shares Cap (empty)</v>
          </cell>
          <cell r="C619" t="str">
            <v>EUR-KAP-RETAIL</v>
          </cell>
          <cell r="D619">
            <v>20210303</v>
          </cell>
          <cell r="E619">
            <v>970.67</v>
          </cell>
        </row>
        <row r="620">
          <cell r="A620" t="str">
            <v>BE6286994361</v>
          </cell>
          <cell r="B620" t="str">
            <v>KBC Multi Interest SRI Cash 4 Month Duration Inst. B Shares Cap</v>
          </cell>
          <cell r="C620" t="str">
            <v>EUR-KAP-INSTIT.B</v>
          </cell>
          <cell r="D620">
            <v>20221118</v>
          </cell>
          <cell r="E620">
            <v>949.952</v>
          </cell>
        </row>
        <row r="621">
          <cell r="A621" t="str">
            <v>BE6309646873</v>
          </cell>
          <cell r="B621" t="str">
            <v>KBC Multi Interest SRI Cash Standard Duration Classic Shares Cap (empty)</v>
          </cell>
          <cell r="C621" t="str">
            <v>EUR-KAP-RETAIL</v>
          </cell>
          <cell r="D621">
            <v>20190325</v>
          </cell>
          <cell r="E621">
            <v>998.66600000000005</v>
          </cell>
        </row>
        <row r="622">
          <cell r="A622" t="str">
            <v>BE6309645867</v>
          </cell>
          <cell r="B622" t="str">
            <v>KBC Multi Interest SRI Cash Standard Duration Inst. B Shares Cap</v>
          </cell>
          <cell r="C622" t="str">
            <v>EUR-KAP-INSTIT.B</v>
          </cell>
          <cell r="D622">
            <v>20221118</v>
          </cell>
          <cell r="E622">
            <v>966.35699999999997</v>
          </cell>
        </row>
        <row r="623">
          <cell r="A623" t="str">
            <v>BE0126900241</v>
          </cell>
          <cell r="B623" t="str">
            <v>KBC Multi Track Belgium Cap</v>
          </cell>
          <cell r="C623" t="str">
            <v>EUR-KAP-RETAIL</v>
          </cell>
          <cell r="D623">
            <v>20221118</v>
          </cell>
          <cell r="E623">
            <v>223.55</v>
          </cell>
        </row>
        <row r="624">
          <cell r="A624" t="str">
            <v>BE0152248556</v>
          </cell>
          <cell r="B624" t="str">
            <v>KBC Multi Track Belgium Dis</v>
          </cell>
          <cell r="C624" t="str">
            <v>EUR-DIV-RETAIL</v>
          </cell>
          <cell r="D624">
            <v>20221118</v>
          </cell>
          <cell r="E624">
            <v>96.6</v>
          </cell>
        </row>
        <row r="625">
          <cell r="A625" t="str">
            <v>BE0165668899</v>
          </cell>
          <cell r="B625" t="str">
            <v>KBC Multi Track Germany Classic Shares Cap</v>
          </cell>
          <cell r="C625" t="str">
            <v>EUR-KAP-RETAIL</v>
          </cell>
          <cell r="D625">
            <v>20221118</v>
          </cell>
          <cell r="E625">
            <v>331.07</v>
          </cell>
        </row>
        <row r="626">
          <cell r="A626" t="str">
            <v>BE6271852269</v>
          </cell>
          <cell r="B626" t="str">
            <v>KBC Multi Track Germany Classic Shares CSOB CZK Cap</v>
          </cell>
          <cell r="C626" t="str">
            <v>CZK-KAP-RET.PRIVBK CSOB</v>
          </cell>
          <cell r="D626">
            <v>20221118</v>
          </cell>
          <cell r="E626">
            <v>1043.99</v>
          </cell>
        </row>
        <row r="627">
          <cell r="A627" t="str">
            <v>BE0165669905</v>
          </cell>
          <cell r="B627" t="str">
            <v>KBC Multi Track Germany Classic Shares Dis</v>
          </cell>
          <cell r="C627" t="str">
            <v>EUR-DIV-RETAIL</v>
          </cell>
          <cell r="D627">
            <v>20221118</v>
          </cell>
          <cell r="E627">
            <v>189.32</v>
          </cell>
        </row>
        <row r="628">
          <cell r="A628" t="str">
            <v>BE6294785678</v>
          </cell>
          <cell r="B628" t="str">
            <v>KBC Multi Track Germany Inst. B Shares Cap (empty)</v>
          </cell>
          <cell r="C628" t="str">
            <v>EUR-KAP-INSTIT.B</v>
          </cell>
          <cell r="D628">
            <v>20220602</v>
          </cell>
          <cell r="E628">
            <v>348.7</v>
          </cell>
        </row>
        <row r="629">
          <cell r="A629" t="str">
            <v>BE0161292785</v>
          </cell>
          <cell r="B629" t="str">
            <v>KBC Multi Track Netherlands Cap</v>
          </cell>
          <cell r="C629" t="str">
            <v>EUR-KAP-RETAIL</v>
          </cell>
          <cell r="D629">
            <v>20221118</v>
          </cell>
          <cell r="E629">
            <v>417.29</v>
          </cell>
        </row>
        <row r="630">
          <cell r="A630" t="str">
            <v>BE0161293791</v>
          </cell>
          <cell r="B630" t="str">
            <v>KBC Multi Track Netherlands Dis</v>
          </cell>
          <cell r="C630" t="str">
            <v>EUR-DIV-RETAIL</v>
          </cell>
          <cell r="D630">
            <v>20221118</v>
          </cell>
          <cell r="E630">
            <v>255.32</v>
          </cell>
        </row>
        <row r="631">
          <cell r="A631" t="str">
            <v>BE6246548398</v>
          </cell>
          <cell r="B631" t="str">
            <v>KBC Participation Commodities Classic Shares Cap</v>
          </cell>
          <cell r="C631" t="str">
            <v>EUR-KAP-RETAIL</v>
          </cell>
          <cell r="D631">
            <v>20221118</v>
          </cell>
          <cell r="E631">
            <v>1033.29</v>
          </cell>
        </row>
        <row r="632">
          <cell r="A632" t="str">
            <v>BE6246621153</v>
          </cell>
          <cell r="B632" t="str">
            <v>KBC Participation Commodities Inst. B Shares Cap</v>
          </cell>
          <cell r="C632" t="str">
            <v>EUR-KAP-INSTIT.B</v>
          </cell>
          <cell r="D632">
            <v>20221118</v>
          </cell>
          <cell r="E632">
            <v>1055.6099999999999</v>
          </cell>
        </row>
        <row r="633">
          <cell r="A633" t="str">
            <v>BE0948394250</v>
          </cell>
          <cell r="B633" t="str">
            <v>KBC Participation Europe Financial Bond Opportunities Classic Shares Cap</v>
          </cell>
          <cell r="C633" t="str">
            <v>EUR-KAP-RETAIL</v>
          </cell>
          <cell r="D633">
            <v>20221118</v>
          </cell>
          <cell r="E633">
            <v>1025.32</v>
          </cell>
        </row>
        <row r="634">
          <cell r="A634" t="str">
            <v>BE0948393245</v>
          </cell>
          <cell r="B634" t="str">
            <v>KBC Participation Europe Financial Bond Opportunities Classic Shares Dis</v>
          </cell>
          <cell r="C634" t="str">
            <v>EUR-DIV-RETAIL</v>
          </cell>
          <cell r="D634">
            <v>20221118</v>
          </cell>
          <cell r="E634">
            <v>572.73</v>
          </cell>
        </row>
        <row r="635">
          <cell r="A635" t="str">
            <v>BE6228930754</v>
          </cell>
          <cell r="B635" t="str">
            <v>KBC Participation Europe Financial Bond Opportunities Inst. B Shares Cap</v>
          </cell>
          <cell r="C635" t="str">
            <v>EUR-KAP-INSTIT.B</v>
          </cell>
          <cell r="D635">
            <v>20221118</v>
          </cell>
          <cell r="E635">
            <v>1058.1600000000001</v>
          </cell>
        </row>
        <row r="636">
          <cell r="A636" t="str">
            <v>BE6213172313</v>
          </cell>
          <cell r="B636" t="str">
            <v>KBC Participation Flexible Portf. Cap</v>
          </cell>
          <cell r="C636" t="str">
            <v>EUR-KAP-RETAIL</v>
          </cell>
          <cell r="D636">
            <v>20221118</v>
          </cell>
          <cell r="E636">
            <v>1311.08</v>
          </cell>
        </row>
        <row r="637">
          <cell r="A637" t="str">
            <v>BE6213173329</v>
          </cell>
          <cell r="B637" t="str">
            <v>KBC Participation Flexible Portf. Dis</v>
          </cell>
          <cell r="C637" t="str">
            <v>EUR-DIV-RETAIL</v>
          </cell>
          <cell r="D637">
            <v>20221118</v>
          </cell>
          <cell r="E637">
            <v>1128.6099999999999</v>
          </cell>
        </row>
        <row r="638">
          <cell r="A638" t="str">
            <v>BE6248515668</v>
          </cell>
          <cell r="B638" t="str">
            <v>KBC Participation Local Emerging Market Bonds Classic Shares Cap</v>
          </cell>
          <cell r="C638" t="str">
            <v>EUR-KAP-RETAIL</v>
          </cell>
          <cell r="D638">
            <v>20221118</v>
          </cell>
          <cell r="E638">
            <v>978.9</v>
          </cell>
        </row>
        <row r="639">
          <cell r="A639" t="str">
            <v>BE6248518696</v>
          </cell>
          <cell r="B639" t="str">
            <v>KBC Participation Local Emerging Market Bonds Classic Shares Dis</v>
          </cell>
          <cell r="C639" t="str">
            <v>EUR-DIV-RETAIL</v>
          </cell>
          <cell r="D639">
            <v>20221118</v>
          </cell>
          <cell r="E639">
            <v>590.41999999999996</v>
          </cell>
        </row>
        <row r="640">
          <cell r="A640" t="str">
            <v>BE6248521724</v>
          </cell>
          <cell r="B640" t="str">
            <v>KBC Participation Local Emerging Market Bonds Inst. B Shares Cap</v>
          </cell>
          <cell r="C640" t="str">
            <v>EUR-KAP-INSTIT.B</v>
          </cell>
          <cell r="D640">
            <v>20221118</v>
          </cell>
          <cell r="E640">
            <v>1012.44</v>
          </cell>
        </row>
        <row r="641">
          <cell r="A641" t="str">
            <v>BE6248519702</v>
          </cell>
          <cell r="B641" t="str">
            <v>KBC Participation Local Emerging Market Bonds Inst. Shares Cap</v>
          </cell>
          <cell r="C641" t="str">
            <v>EUR-KAP-INSTITUTIONEEL</v>
          </cell>
          <cell r="D641">
            <v>20221118</v>
          </cell>
          <cell r="E641">
            <v>1052.3699999999999</v>
          </cell>
        </row>
        <row r="642">
          <cell r="A642" t="str">
            <v>BE6248520718</v>
          </cell>
          <cell r="B642" t="str">
            <v>KBC Participation Local Emerging Market Bonds Inst. Shares Dis (empty)</v>
          </cell>
          <cell r="C642" t="str">
            <v>EUR-DIV-INSTITUTIONEEL</v>
          </cell>
          <cell r="D642">
            <v>20211103</v>
          </cell>
          <cell r="E642">
            <v>693.02</v>
          </cell>
        </row>
        <row r="643">
          <cell r="A643" t="str">
            <v>BE6243135215</v>
          </cell>
          <cell r="B643" t="str">
            <v>KBC Participation Private Banking Active Bond Selection Classic Shares Cap</v>
          </cell>
          <cell r="C643" t="str">
            <v>EUR-KAP-RETAIL</v>
          </cell>
          <cell r="D643">
            <v>20221118</v>
          </cell>
          <cell r="E643">
            <v>1129.97</v>
          </cell>
        </row>
        <row r="644">
          <cell r="A644" t="str">
            <v>BE6243137237</v>
          </cell>
          <cell r="B644" t="str">
            <v>KBC Participation Private Banking Active Bond Selection Classic Shares Dis</v>
          </cell>
          <cell r="C644" t="str">
            <v>EUR-DIV-RETAIL</v>
          </cell>
          <cell r="D644">
            <v>20221118</v>
          </cell>
          <cell r="E644">
            <v>939.46</v>
          </cell>
        </row>
        <row r="645">
          <cell r="A645" t="str">
            <v>BE6294992803</v>
          </cell>
          <cell r="B645" t="str">
            <v>KBC Participation Private Banking Active Bond Selection Inst. B Shares Cap</v>
          </cell>
          <cell r="C645" t="str">
            <v>EUR-KAP-INSTIT.B</v>
          </cell>
          <cell r="D645">
            <v>20221118</v>
          </cell>
          <cell r="E645">
            <v>1153.54</v>
          </cell>
        </row>
        <row r="646">
          <cell r="A646" t="str">
            <v>BE6314469600</v>
          </cell>
          <cell r="B646" t="str">
            <v>KBC Participation Short Term Bond Selection Classic Shares Dis</v>
          </cell>
          <cell r="C646" t="str">
            <v>EUR-DIV-RETAIL</v>
          </cell>
          <cell r="D646">
            <v>20221118</v>
          </cell>
          <cell r="E646">
            <v>858.53</v>
          </cell>
        </row>
        <row r="647">
          <cell r="A647" t="str">
            <v>BE6291514949</v>
          </cell>
          <cell r="B647" t="str">
            <v>KBC Participation Short Term Bond Selection Corp.Shares Dis</v>
          </cell>
          <cell r="C647" t="str">
            <v>EUR-DIV-CORP.SHARES</v>
          </cell>
          <cell r="D647">
            <v>20221118</v>
          </cell>
          <cell r="E647">
            <v>858.93</v>
          </cell>
        </row>
        <row r="648">
          <cell r="A648" t="str">
            <v>BE6291515953</v>
          </cell>
          <cell r="B648" t="str">
            <v>KBC Participation Short Term Bond Selection Inst. Shares Dis</v>
          </cell>
          <cell r="C648" t="str">
            <v>EUR-DIV-INSTITUTIONEEL</v>
          </cell>
          <cell r="D648">
            <v>20221118</v>
          </cell>
          <cell r="E648">
            <v>865.3</v>
          </cell>
        </row>
        <row r="649">
          <cell r="A649" t="str">
            <v>BE0948240651</v>
          </cell>
          <cell r="B649" t="str">
            <v>KBC Participation SRI Cash Plus Classic Shares Cap (empty)</v>
          </cell>
          <cell r="C649" t="str">
            <v>EUR-KAP-RETAIL</v>
          </cell>
          <cell r="D649">
            <v>20200909</v>
          </cell>
          <cell r="E649">
            <v>1023.153</v>
          </cell>
        </row>
        <row r="650">
          <cell r="A650" t="str">
            <v>BE0948239646</v>
          </cell>
          <cell r="B650" t="str">
            <v>KBC Participation SRI Cash Plus Classic Shares Dis</v>
          </cell>
          <cell r="C650" t="str">
            <v>EUR-DIV-RETAIL</v>
          </cell>
          <cell r="D650">
            <v>20221118</v>
          </cell>
          <cell r="E650">
            <v>886.51099999999997</v>
          </cell>
        </row>
        <row r="651">
          <cell r="A651" t="str">
            <v>BE6258074226</v>
          </cell>
          <cell r="B651" t="str">
            <v>KBC Participation SRI Cash Plus Inst. B Shares Cap</v>
          </cell>
          <cell r="C651" t="str">
            <v>EUR-KAP-INSTIT.B</v>
          </cell>
          <cell r="D651">
            <v>20221118</v>
          </cell>
          <cell r="E651">
            <v>1003.323</v>
          </cell>
        </row>
        <row r="652">
          <cell r="A652" t="str">
            <v>BE6300931050</v>
          </cell>
          <cell r="B652" t="str">
            <v>KBC Participation SRI Corp.Bonds Classic Shares Cap</v>
          </cell>
          <cell r="C652" t="str">
            <v>EUR-KAP-RET.B</v>
          </cell>
          <cell r="D652">
            <v>20221118</v>
          </cell>
          <cell r="E652">
            <v>886.03</v>
          </cell>
        </row>
        <row r="653">
          <cell r="A653" t="str">
            <v>BE6300933072</v>
          </cell>
          <cell r="B653" t="str">
            <v>KBC Participation SRI Corp.Bonds Classic Shares Dis</v>
          </cell>
          <cell r="C653" t="str">
            <v>EUR-DIV-RET.B</v>
          </cell>
          <cell r="D653">
            <v>20221118</v>
          </cell>
          <cell r="E653">
            <v>828.25</v>
          </cell>
        </row>
        <row r="654">
          <cell r="A654" t="str">
            <v>BE6222648014</v>
          </cell>
          <cell r="B654" t="str">
            <v>KBC Participation SRI Corp.Bonds Discretionary Shares Cap</v>
          </cell>
          <cell r="C654" t="str">
            <v>EUR-KAP-DISCR.SHARES</v>
          </cell>
          <cell r="D654">
            <v>20221118</v>
          </cell>
          <cell r="E654">
            <v>1175.3900000000001</v>
          </cell>
        </row>
        <row r="655">
          <cell r="A655" t="str">
            <v>BE6222650036</v>
          </cell>
          <cell r="B655" t="str">
            <v>KBC Participation SRI Corp.Bonds Discretionary Shares Dis</v>
          </cell>
          <cell r="C655" t="str">
            <v>EUR-DIV-DISCR.SHARES</v>
          </cell>
          <cell r="D655">
            <v>20221118</v>
          </cell>
          <cell r="E655">
            <v>1000.78</v>
          </cell>
        </row>
        <row r="656">
          <cell r="A656" t="str">
            <v>BE6222649020</v>
          </cell>
          <cell r="B656" t="str">
            <v>KBC Participation SRI Corp.Bonds Inst. B Shares Cap</v>
          </cell>
          <cell r="C656" t="str">
            <v>EUR-KAP-INSTIT.B</v>
          </cell>
          <cell r="D656">
            <v>20221118</v>
          </cell>
          <cell r="E656">
            <v>1172.1600000000001</v>
          </cell>
        </row>
        <row r="657">
          <cell r="A657" t="str">
            <v>BE6275358404</v>
          </cell>
          <cell r="B657" t="str">
            <v>KBC Participation SRI Corp.Bonds Inst. Shares Cap</v>
          </cell>
          <cell r="C657" t="str">
            <v>EUR-KAP-INSTITUTIONEEL</v>
          </cell>
          <cell r="D657">
            <v>20221118</v>
          </cell>
          <cell r="E657">
            <v>950.06</v>
          </cell>
        </row>
        <row r="658">
          <cell r="A658" t="str">
            <v>LU0054025654</v>
          </cell>
          <cell r="B658" t="str">
            <v>KBC Renta Canarenta Cap</v>
          </cell>
          <cell r="C658" t="str">
            <v>KAP</v>
          </cell>
          <cell r="D658">
            <v>20221118</v>
          </cell>
          <cell r="E658">
            <v>2410.39</v>
          </cell>
        </row>
        <row r="659">
          <cell r="A659" t="str">
            <v>LU0054025225</v>
          </cell>
          <cell r="B659" t="str">
            <v>KBC Renta Canarenta Dis</v>
          </cell>
          <cell r="C659" t="str">
            <v>DIV</v>
          </cell>
          <cell r="D659">
            <v>20221118</v>
          </cell>
          <cell r="E659">
            <v>942.02</v>
          </cell>
        </row>
        <row r="660">
          <cell r="A660" t="str">
            <v>LU0707510201</v>
          </cell>
          <cell r="B660" t="str">
            <v>KBC Renta Canarenta Inst. B Shares Cap (empty)</v>
          </cell>
        </row>
        <row r="661">
          <cell r="A661" t="str">
            <v>LU0095279401</v>
          </cell>
          <cell r="B661" t="str">
            <v>KBC Renta Czechrenta Cap</v>
          </cell>
          <cell r="C661" t="str">
            <v>KAP</v>
          </cell>
          <cell r="D661">
            <v>20221118</v>
          </cell>
          <cell r="E661">
            <v>34980.93</v>
          </cell>
        </row>
        <row r="662">
          <cell r="A662" t="str">
            <v>LU0095278775</v>
          </cell>
          <cell r="B662" t="str">
            <v>KBC Renta Czechrenta Dis</v>
          </cell>
          <cell r="C662" t="str">
            <v>DIV</v>
          </cell>
          <cell r="D662">
            <v>20221118</v>
          </cell>
          <cell r="E662">
            <v>17026.39</v>
          </cell>
        </row>
        <row r="663">
          <cell r="A663" t="str">
            <v>LU0707510896</v>
          </cell>
          <cell r="B663" t="str">
            <v>KBC Renta Czechrenta Inst. B Shares Cap</v>
          </cell>
          <cell r="C663" t="str">
            <v>CZK-KAP-INSTIT.B</v>
          </cell>
          <cell r="D663">
            <v>20221118</v>
          </cell>
          <cell r="E663">
            <v>36049.769999999997</v>
          </cell>
        </row>
        <row r="664">
          <cell r="A664" t="str">
            <v>LU0063916489</v>
          </cell>
          <cell r="B664" t="str">
            <v>KBC Renta Dollarenta Cap</v>
          </cell>
          <cell r="C664" t="str">
            <v>KAP</v>
          </cell>
          <cell r="D664">
            <v>20221118</v>
          </cell>
          <cell r="E664">
            <v>1073.8699999999999</v>
          </cell>
        </row>
        <row r="665">
          <cell r="A665" t="str">
            <v>LU0063915911</v>
          </cell>
          <cell r="B665" t="str">
            <v>KBC Renta Dollarenta Dis</v>
          </cell>
          <cell r="C665" t="str">
            <v>DIV</v>
          </cell>
          <cell r="D665">
            <v>20221118</v>
          </cell>
          <cell r="E665">
            <v>425.73</v>
          </cell>
        </row>
        <row r="666">
          <cell r="A666" t="str">
            <v>LU0707509963</v>
          </cell>
          <cell r="B666" t="str">
            <v>KBC Renta Dollarenta Inst. B Shares Cap</v>
          </cell>
          <cell r="C666" t="str">
            <v>USD-KAP-INSTIT.B</v>
          </cell>
          <cell r="D666">
            <v>20221118</v>
          </cell>
          <cell r="E666">
            <v>1096.29</v>
          </cell>
        </row>
        <row r="667">
          <cell r="A667" t="str">
            <v>LU1687444809</v>
          </cell>
          <cell r="B667" t="str">
            <v>KBC Renta Dollarenta Inst. F Shares</v>
          </cell>
          <cell r="C667" t="str">
            <v>USD-KAP-INSTIT.F</v>
          </cell>
          <cell r="D667">
            <v>20221118</v>
          </cell>
          <cell r="E667">
            <v>963.85</v>
          </cell>
        </row>
        <row r="668">
          <cell r="A668" t="str">
            <v>LU0058246306</v>
          </cell>
          <cell r="B668" t="str">
            <v>KBC Renta Eurorenta Cap</v>
          </cell>
          <cell r="C668" t="str">
            <v>KAP</v>
          </cell>
          <cell r="D668">
            <v>20221118</v>
          </cell>
          <cell r="E668">
            <v>2702.37</v>
          </cell>
        </row>
        <row r="669">
          <cell r="A669" t="str">
            <v>LU0058246728</v>
          </cell>
          <cell r="B669" t="str">
            <v>KBC Renta Eurorenta Dis</v>
          </cell>
          <cell r="C669" t="str">
            <v>DIV</v>
          </cell>
          <cell r="D669">
            <v>20221118</v>
          </cell>
          <cell r="E669">
            <v>552.84</v>
          </cell>
        </row>
        <row r="670">
          <cell r="A670" t="str">
            <v>LU0707509708</v>
          </cell>
          <cell r="B670" t="str">
            <v>KBC Renta Eurorenta Inst. B Shares Cap</v>
          </cell>
          <cell r="C670" t="str">
            <v>EUR-KAP-INSTIT.B</v>
          </cell>
          <cell r="D670">
            <v>20221118</v>
          </cell>
          <cell r="E670">
            <v>2762.2</v>
          </cell>
        </row>
        <row r="671">
          <cell r="A671" t="str">
            <v>LU0166237098</v>
          </cell>
          <cell r="B671" t="str">
            <v>KBC Renta Nokrenta Cap</v>
          </cell>
          <cell r="C671" t="str">
            <v>KAP</v>
          </cell>
          <cell r="D671">
            <v>20221118</v>
          </cell>
          <cell r="E671">
            <v>6115.41</v>
          </cell>
        </row>
        <row r="672">
          <cell r="A672" t="str">
            <v>LU0166236959</v>
          </cell>
          <cell r="B672" t="str">
            <v>KBC Renta Nokrenta Dis</v>
          </cell>
          <cell r="C672" t="str">
            <v>DIV</v>
          </cell>
          <cell r="D672">
            <v>20221118</v>
          </cell>
          <cell r="E672">
            <v>3701.21</v>
          </cell>
        </row>
        <row r="673">
          <cell r="A673" t="str">
            <v>LU0707532510</v>
          </cell>
          <cell r="B673" t="str">
            <v>KBC Renta Nokrenta Inst. B Shares Cap (empty)</v>
          </cell>
          <cell r="C673" t="str">
            <v>NOK-KAP-INSTIT.B</v>
          </cell>
          <cell r="D673">
            <v>20190221</v>
          </cell>
          <cell r="E673">
            <v>6486.764846</v>
          </cell>
        </row>
        <row r="674">
          <cell r="A674" t="str">
            <v>LU0134871549</v>
          </cell>
          <cell r="B674" t="str">
            <v>KBC Renta Short EUR Cap (NAV suspension)</v>
          </cell>
          <cell r="C674" t="str">
            <v>KAP</v>
          </cell>
          <cell r="D674">
            <v>20221118</v>
          </cell>
          <cell r="E674">
            <v>675.23720000000003</v>
          </cell>
        </row>
        <row r="675">
          <cell r="A675" t="str">
            <v>LU0134871200</v>
          </cell>
          <cell r="B675" t="str">
            <v>KBC Renta Short EUR Dis (NAV suspension)</v>
          </cell>
          <cell r="C675" t="str">
            <v>DIV</v>
          </cell>
          <cell r="D675">
            <v>20221118</v>
          </cell>
          <cell r="E675">
            <v>475.25189999999998</v>
          </cell>
        </row>
        <row r="676">
          <cell r="A676" t="str">
            <v>LU0707517719</v>
          </cell>
          <cell r="B676" t="str">
            <v>KBC Renta Short EUR Inst. B Shares Cap (NAV suspension)</v>
          </cell>
          <cell r="C676" t="str">
            <v>EUR-KAP-INSTIT.B</v>
          </cell>
          <cell r="D676">
            <v>20221118</v>
          </cell>
          <cell r="E676">
            <v>681.90499999999997</v>
          </cell>
        </row>
        <row r="677">
          <cell r="A677" t="str">
            <v>LU1126206991</v>
          </cell>
          <cell r="B677" t="str">
            <v>KBC Renta Strategic Accents 1 Dis</v>
          </cell>
          <cell r="C677" t="str">
            <v>EUR-DIV-RETAIL</v>
          </cell>
          <cell r="D677">
            <v>20221118</v>
          </cell>
          <cell r="E677">
            <v>682.69</v>
          </cell>
        </row>
        <row r="678">
          <cell r="A678" t="str">
            <v>LU0868511139</v>
          </cell>
          <cell r="B678" t="str">
            <v>KBC Renta Strategic Accents 1 Inst. B Shares Cap</v>
          </cell>
          <cell r="C678" t="str">
            <v>EUR-KAP-INSTIT.B</v>
          </cell>
          <cell r="D678">
            <v>20221118</v>
          </cell>
          <cell r="E678">
            <v>916.33</v>
          </cell>
        </row>
        <row r="679">
          <cell r="A679" t="str">
            <v>BE6208726479</v>
          </cell>
          <cell r="B679" t="str">
            <v>KBC Safe4Life KBC Safe4Life ExpertEase SRI Def. Conservative Cap</v>
          </cell>
          <cell r="C679" t="str">
            <v>KAP</v>
          </cell>
          <cell r="D679">
            <v>20221117</v>
          </cell>
          <cell r="E679">
            <v>1039.74</v>
          </cell>
        </row>
        <row r="680">
          <cell r="A680" t="str">
            <v>BE0153263034</v>
          </cell>
          <cell r="B680" t="str">
            <v>KBC Select Immo Belgium Plus Cap</v>
          </cell>
          <cell r="C680" t="str">
            <v>EUR-KAP-RETAIL</v>
          </cell>
          <cell r="D680">
            <v>20221118</v>
          </cell>
          <cell r="E680">
            <v>2457.4</v>
          </cell>
        </row>
        <row r="681">
          <cell r="A681" t="str">
            <v>BE0166978412</v>
          </cell>
          <cell r="B681" t="str">
            <v>KBC Select Immo Europe Plus Classic Shares Cap</v>
          </cell>
          <cell r="C681" t="str">
            <v>EUR-KAP-RETAIL</v>
          </cell>
          <cell r="D681">
            <v>20221118</v>
          </cell>
          <cell r="E681">
            <v>1103.81</v>
          </cell>
        </row>
        <row r="682">
          <cell r="A682" t="str">
            <v>BE6270119397</v>
          </cell>
          <cell r="B682" t="str">
            <v>KBC Select Immo Europe Plus Classic Shares Dis</v>
          </cell>
          <cell r="C682" t="str">
            <v>EUR-DIV-RETAIL</v>
          </cell>
          <cell r="D682">
            <v>20221118</v>
          </cell>
          <cell r="E682">
            <v>912.41</v>
          </cell>
        </row>
        <row r="683">
          <cell r="A683" t="str">
            <v>BE6294997851</v>
          </cell>
          <cell r="B683" t="str">
            <v>KBC Select Immo Europe Plus Inst. B Shares Cap (empty)</v>
          </cell>
          <cell r="C683" t="str">
            <v>EUR-KAP-INSTIT.B</v>
          </cell>
          <cell r="D683">
            <v>20220630</v>
          </cell>
          <cell r="E683">
            <v>1293.3399999999999</v>
          </cell>
        </row>
        <row r="684">
          <cell r="A684" t="str">
            <v>BE0166979428</v>
          </cell>
          <cell r="B684" t="str">
            <v>KBC Select Immo World Plus Classic Shares Cap</v>
          </cell>
          <cell r="C684" t="str">
            <v>EUR-KAP-RETAIL</v>
          </cell>
          <cell r="D684">
            <v>20221118</v>
          </cell>
          <cell r="E684">
            <v>1787.38</v>
          </cell>
        </row>
        <row r="685">
          <cell r="A685" t="str">
            <v>BE0940483689</v>
          </cell>
          <cell r="B685" t="str">
            <v>KBC Select Immo World Plus Classic Shares Dis</v>
          </cell>
          <cell r="C685" t="str">
            <v>EUR-DIV-RETAIL</v>
          </cell>
          <cell r="D685">
            <v>20221118</v>
          </cell>
          <cell r="E685">
            <v>1020.87</v>
          </cell>
        </row>
        <row r="686">
          <cell r="A686" t="str">
            <v>BE6294993819</v>
          </cell>
          <cell r="B686" t="str">
            <v>KBC Select Immo World Plus Inst. B Shares Cap (empty)</v>
          </cell>
          <cell r="C686" t="str">
            <v>EUR-KAP-INSTIT.B</v>
          </cell>
          <cell r="D686">
            <v>20220517</v>
          </cell>
          <cell r="E686">
            <v>2106.71</v>
          </cell>
        </row>
        <row r="687">
          <cell r="A687" t="str">
            <v>BE6333607891</v>
          </cell>
          <cell r="B687" t="str">
            <v>KBC Select Immo World Plus Inst. Shares Cap</v>
          </cell>
          <cell r="C687" t="str">
            <v>EUR-KAP-INSTITUTIONEEL</v>
          </cell>
          <cell r="D687">
            <v>20221118</v>
          </cell>
          <cell r="E687">
            <v>801.8</v>
          </cell>
        </row>
        <row r="688">
          <cell r="A688" t="str">
            <v>LU1567980450</v>
          </cell>
          <cell r="B688" t="str">
            <v>KBC Select Investors Active Asset Allocation Cap</v>
          </cell>
          <cell r="C688" t="str">
            <v>KAP</v>
          </cell>
          <cell r="D688">
            <v>20221031</v>
          </cell>
          <cell r="E688">
            <v>1044.47</v>
          </cell>
        </row>
        <row r="689">
          <cell r="A689" t="str">
            <v>LU1825124941</v>
          </cell>
          <cell r="B689" t="str">
            <v>KBC Select Investors CSOB Evropských firem 1 Cap</v>
          </cell>
          <cell r="C689" t="str">
            <v>KAP</v>
          </cell>
          <cell r="D689">
            <v>20221116</v>
          </cell>
          <cell r="E689">
            <v>9.36</v>
          </cell>
        </row>
        <row r="690">
          <cell r="A690" t="str">
            <v>LU1758982984</v>
          </cell>
          <cell r="B690" t="str">
            <v>KBC Select Investors CSOB Globalnich firem 1 Cap</v>
          </cell>
          <cell r="C690" t="str">
            <v>KAP</v>
          </cell>
          <cell r="D690">
            <v>20221116</v>
          </cell>
          <cell r="E690">
            <v>9.2899999999999991</v>
          </cell>
        </row>
        <row r="691">
          <cell r="A691" t="str">
            <v>LU1799163479</v>
          </cell>
          <cell r="B691" t="str">
            <v>KBC Select Investors CSOB Globalnich firem 2 Cap</v>
          </cell>
          <cell r="C691" t="str">
            <v>KAP</v>
          </cell>
          <cell r="D691">
            <v>20221116</v>
          </cell>
          <cell r="E691">
            <v>9.2799999999999994</v>
          </cell>
        </row>
        <row r="692">
          <cell r="A692" t="str">
            <v>LU2065731049</v>
          </cell>
          <cell r="B692" t="str">
            <v>KBC Select Investors CSOB Globalnich firem 3 Cap</v>
          </cell>
          <cell r="C692" t="str">
            <v>CZK-KAP-RETAIL</v>
          </cell>
          <cell r="D692">
            <v>20221116</v>
          </cell>
          <cell r="E692">
            <v>9.0500000000000007</v>
          </cell>
        </row>
        <row r="693">
          <cell r="A693" t="str">
            <v>LU2093634454</v>
          </cell>
          <cell r="B693" t="str">
            <v>KBC Select Investors CSOB Globalnich firem 4 Cap</v>
          </cell>
          <cell r="C693" t="str">
            <v>CZK-KAP-RETAIL</v>
          </cell>
          <cell r="D693">
            <v>20221116</v>
          </cell>
          <cell r="E693">
            <v>11.37</v>
          </cell>
        </row>
        <row r="694">
          <cell r="A694" t="str">
            <v>LU1694798015</v>
          </cell>
          <cell r="B694" t="str">
            <v>KBC Select Investors CSOB Potraviny a svet 2 Cap</v>
          </cell>
          <cell r="C694" t="str">
            <v>KAP</v>
          </cell>
          <cell r="D694">
            <v>20221116</v>
          </cell>
          <cell r="E694">
            <v>10.119999999999999</v>
          </cell>
        </row>
        <row r="695">
          <cell r="A695" t="str">
            <v>LU1422965860</v>
          </cell>
          <cell r="B695" t="str">
            <v>KBC Select Investors CSOB Strieborna ekonomika 1 Cap (Matured)</v>
          </cell>
          <cell r="C695" t="str">
            <v>KAP</v>
          </cell>
          <cell r="D695">
            <v>20220930</v>
          </cell>
          <cell r="E695">
            <v>11.1</v>
          </cell>
        </row>
        <row r="696">
          <cell r="A696" t="str">
            <v>LU1730011696</v>
          </cell>
          <cell r="B696" t="str">
            <v>KBC Select Investors CSOB Svetovy vyber 4 Cap</v>
          </cell>
          <cell r="C696" t="str">
            <v>KAP</v>
          </cell>
          <cell r="D696">
            <v>20221116</v>
          </cell>
          <cell r="E696">
            <v>9.2899999999999991</v>
          </cell>
        </row>
        <row r="697">
          <cell r="A697" t="str">
            <v>LU1571157749</v>
          </cell>
          <cell r="B697" t="str">
            <v>KBC Select Investors CSOB Vyber Svetovych Akcii 4 Cap</v>
          </cell>
          <cell r="C697" t="str">
            <v>KAP</v>
          </cell>
          <cell r="D697">
            <v>20221116</v>
          </cell>
          <cell r="E697">
            <v>10.56</v>
          </cell>
        </row>
        <row r="698">
          <cell r="A698" t="str">
            <v>LU1874716480</v>
          </cell>
          <cell r="B698" t="str">
            <v>KBC Select Investors ČSOB Evropských firem 2 Cap</v>
          </cell>
          <cell r="C698" t="str">
            <v>KAP</v>
          </cell>
          <cell r="D698">
            <v>20221116</v>
          </cell>
          <cell r="E698">
            <v>9.9600000000000009</v>
          </cell>
        </row>
        <row r="699">
          <cell r="A699" t="str">
            <v>LU1959373546</v>
          </cell>
          <cell r="B699" t="str">
            <v>KBC Select Investors ČSOB Světových příležitostí plus 1 Cap</v>
          </cell>
          <cell r="C699" t="str">
            <v>CZK-KAP-RETAIL</v>
          </cell>
          <cell r="D699">
            <v>20221116</v>
          </cell>
          <cell r="E699">
            <v>9.48</v>
          </cell>
        </row>
        <row r="700">
          <cell r="A700" t="str">
            <v>LU1987795470</v>
          </cell>
          <cell r="B700" t="str">
            <v>KBC Select Investors ČSOB Světových Příležitostí Plus 2 Cap</v>
          </cell>
          <cell r="C700" t="str">
            <v>CZK-KAP-RETAIL</v>
          </cell>
          <cell r="D700">
            <v>20221116</v>
          </cell>
          <cell r="E700">
            <v>9.5399999999999991</v>
          </cell>
        </row>
        <row r="701">
          <cell r="A701" t="str">
            <v>LU2045769390</v>
          </cell>
          <cell r="B701" t="str">
            <v>KBC Select Investors ČSOB Světových příležitostí s lookbackem 1 Cap</v>
          </cell>
          <cell r="C701" t="str">
            <v>CZK-KAP-RETAIL</v>
          </cell>
          <cell r="D701">
            <v>20221116</v>
          </cell>
          <cell r="E701">
            <v>9.9600000000000009</v>
          </cell>
        </row>
        <row r="702">
          <cell r="A702" t="str">
            <v>LU1911615307</v>
          </cell>
          <cell r="B702" t="str">
            <v>KBC Select Investors ČSOB Výběrový click 1 Cap</v>
          </cell>
          <cell r="C702" t="str">
            <v>CZK-KAP-RETAIL</v>
          </cell>
          <cell r="D702">
            <v>20221116</v>
          </cell>
          <cell r="E702">
            <v>9.4499999999999993</v>
          </cell>
        </row>
        <row r="703">
          <cell r="A703" t="str">
            <v>LU2016775210</v>
          </cell>
          <cell r="B703" t="str">
            <v>KBC Select Investors ČSOB Výběrový click 2 Cap</v>
          </cell>
          <cell r="C703" t="str">
            <v>CZK-KAP-RETAIL</v>
          </cell>
          <cell r="D703">
            <v>20221116</v>
          </cell>
          <cell r="E703">
            <v>8.94</v>
          </cell>
        </row>
        <row r="704">
          <cell r="A704" t="str">
            <v>LU2175969638</v>
          </cell>
          <cell r="B704" t="str">
            <v>KBC Select Investors Global Flexible Allocation July Cap</v>
          </cell>
          <cell r="C704" t="str">
            <v>EUR-KAP-RETAIL</v>
          </cell>
          <cell r="D704">
            <v>20221118</v>
          </cell>
          <cell r="E704">
            <v>1014.81</v>
          </cell>
        </row>
        <row r="705">
          <cell r="A705" t="str">
            <v>LU1211048498</v>
          </cell>
          <cell r="B705" t="str">
            <v>KBC Select Investors Global Flexible Allocation Wealth Dis</v>
          </cell>
          <cell r="C705" t="str">
            <v>DIV</v>
          </cell>
          <cell r="D705">
            <v>20221118</v>
          </cell>
          <cell r="E705">
            <v>825.6</v>
          </cell>
        </row>
        <row r="706">
          <cell r="A706" t="str">
            <v>LU1298087138</v>
          </cell>
          <cell r="B706" t="str">
            <v>KBC Select Investors K&amp;H E-commerce 1 Cap</v>
          </cell>
          <cell r="C706" t="str">
            <v>KAP</v>
          </cell>
          <cell r="D706">
            <v>20221116</v>
          </cell>
          <cell r="E706">
            <v>8791.82</v>
          </cell>
        </row>
        <row r="707">
          <cell r="A707" t="str">
            <v>LU1256046175</v>
          </cell>
          <cell r="B707" t="str">
            <v>KBC Select Investors K&amp;H Energy 1 Cap</v>
          </cell>
          <cell r="C707" t="str">
            <v>KAP</v>
          </cell>
          <cell r="D707">
            <v>20221116</v>
          </cell>
          <cell r="E707">
            <v>9144.06</v>
          </cell>
        </row>
        <row r="708">
          <cell r="A708" t="str">
            <v>LU1330825735</v>
          </cell>
          <cell r="B708" t="str">
            <v>KBC Select Investors K&amp;H European Exporters 1 Cap</v>
          </cell>
          <cell r="C708" t="str">
            <v>KAP</v>
          </cell>
          <cell r="D708">
            <v>20221116</v>
          </cell>
          <cell r="E708">
            <v>9360.2999999999993</v>
          </cell>
        </row>
        <row r="709">
          <cell r="A709" t="str">
            <v>LU1881534702</v>
          </cell>
          <cell r="B709" t="str">
            <v>KBC Select Investors K&amp;H Financials 1 Cap</v>
          </cell>
          <cell r="C709" t="str">
            <v>KAP</v>
          </cell>
          <cell r="D709">
            <v>20221116</v>
          </cell>
          <cell r="E709">
            <v>9465.41</v>
          </cell>
        </row>
        <row r="710">
          <cell r="A710" t="str">
            <v>LU1317710454</v>
          </cell>
          <cell r="B710" t="str">
            <v>KBC Select Investors K&amp;H Global Leaders 1 Cap</v>
          </cell>
          <cell r="C710" t="str">
            <v>KAP</v>
          </cell>
          <cell r="D710">
            <v>20221031</v>
          </cell>
          <cell r="E710">
            <v>7573.89</v>
          </cell>
        </row>
        <row r="711">
          <cell r="A711" t="str">
            <v>LU1365148813</v>
          </cell>
          <cell r="B711" t="str">
            <v>KBC Select Investors K&amp;H Household Goods 1 Cap</v>
          </cell>
          <cell r="C711" t="str">
            <v>KAP</v>
          </cell>
          <cell r="D711">
            <v>20221116</v>
          </cell>
          <cell r="E711">
            <v>7938.23</v>
          </cell>
        </row>
        <row r="712">
          <cell r="A712" t="str">
            <v>LU1203051310</v>
          </cell>
          <cell r="B712" t="str">
            <v>KBC Select Investors K&amp;H Kids 1 Cap</v>
          </cell>
          <cell r="C712" t="str">
            <v>KAP</v>
          </cell>
          <cell r="D712">
            <v>20221116</v>
          </cell>
          <cell r="E712">
            <v>9204.48</v>
          </cell>
        </row>
        <row r="713">
          <cell r="A713" t="str">
            <v>LU1132136554</v>
          </cell>
          <cell r="B713" t="str">
            <v>KBC Select Investors K&amp;H Pharma &amp; Food 1 Cap</v>
          </cell>
          <cell r="C713" t="str">
            <v>KAP</v>
          </cell>
          <cell r="D713">
            <v>20221116</v>
          </cell>
          <cell r="E713">
            <v>9715.56</v>
          </cell>
        </row>
        <row r="714">
          <cell r="A714" t="str">
            <v>LU1632915762</v>
          </cell>
          <cell r="B714" t="str">
            <v>KBC Select Investors K&amp;H Pharma 4 Cap</v>
          </cell>
          <cell r="C714" t="str">
            <v>KAP</v>
          </cell>
          <cell r="D714">
            <v>20221116</v>
          </cell>
          <cell r="E714">
            <v>9160.01</v>
          </cell>
        </row>
        <row r="715">
          <cell r="A715" t="str">
            <v>LU1821889307</v>
          </cell>
          <cell r="B715" t="str">
            <v>KBC Select Investors K&amp;H Pharma 5 Cap</v>
          </cell>
          <cell r="C715" t="str">
            <v>KAP</v>
          </cell>
          <cell r="D715">
            <v>20221031</v>
          </cell>
          <cell r="E715">
            <v>7616.65</v>
          </cell>
        </row>
        <row r="716">
          <cell r="A716" t="str">
            <v>LU1934508141</v>
          </cell>
          <cell r="B716" t="str">
            <v>KBC Select Investors K&amp;H Pharma and Healthcare 1 Cap</v>
          </cell>
          <cell r="C716" t="str">
            <v>KAP</v>
          </cell>
          <cell r="D716">
            <v>20221031</v>
          </cell>
          <cell r="E716">
            <v>7224.34</v>
          </cell>
        </row>
        <row r="717">
          <cell r="A717" t="str">
            <v>LU1230545805</v>
          </cell>
          <cell r="B717" t="str">
            <v>KBC Select Investors K&amp;H Recovery Europe 1 Cap</v>
          </cell>
          <cell r="C717" t="str">
            <v>KAP</v>
          </cell>
          <cell r="D717">
            <v>20221116</v>
          </cell>
          <cell r="E717">
            <v>7978.58</v>
          </cell>
        </row>
        <row r="718">
          <cell r="A718" t="str">
            <v>LU1184963962</v>
          </cell>
          <cell r="B718" t="str">
            <v>KBC Select Investors K&amp;H Strong America 1 Cap</v>
          </cell>
          <cell r="C718" t="str">
            <v>KAP</v>
          </cell>
          <cell r="D718">
            <v>20221116</v>
          </cell>
          <cell r="E718">
            <v>10269.049999999999</v>
          </cell>
        </row>
        <row r="719">
          <cell r="A719" t="str">
            <v>LU1110429690</v>
          </cell>
          <cell r="B719" t="str">
            <v>KBC Select Investors K&amp;H Trio Call 1 Dis</v>
          </cell>
          <cell r="C719" t="str">
            <v>DIV</v>
          </cell>
          <cell r="D719">
            <v>20221116</v>
          </cell>
          <cell r="E719">
            <v>3195.65</v>
          </cell>
        </row>
        <row r="720">
          <cell r="A720" t="str">
            <v>LU1147753807</v>
          </cell>
          <cell r="B720" t="str">
            <v>KBC Select Investors K&amp;H Trio Call 2 Dis</v>
          </cell>
          <cell r="C720" t="str">
            <v>DIV</v>
          </cell>
          <cell r="D720">
            <v>20221116</v>
          </cell>
          <cell r="E720">
            <v>2918.81</v>
          </cell>
        </row>
        <row r="721">
          <cell r="A721" t="str">
            <v>LU0308311447</v>
          </cell>
          <cell r="B721" t="str">
            <v>KBC Select Investors KBC Global Flexible Allocation Cap</v>
          </cell>
          <cell r="C721" t="str">
            <v>KAP</v>
          </cell>
          <cell r="D721">
            <v>20221118</v>
          </cell>
          <cell r="E721">
            <v>153.76</v>
          </cell>
        </row>
        <row r="722">
          <cell r="A722" t="str">
            <v>LU1675757493</v>
          </cell>
          <cell r="B722" t="str">
            <v>KBC Select Investors KBC Global Flexible Allocation Inst. CSOB Shares (empty)</v>
          </cell>
          <cell r="C722" t="str">
            <v>KAP2</v>
          </cell>
          <cell r="D722">
            <v>20200429</v>
          </cell>
          <cell r="E722">
            <v>256.54122799999999</v>
          </cell>
        </row>
        <row r="723">
          <cell r="A723" t="str">
            <v>LU0550926215</v>
          </cell>
          <cell r="B723" t="str">
            <v>KBC Select Investors Pass. Infl. Linked Euro Govt.Bonds Inst. Shares Dis (empty)</v>
          </cell>
        </row>
        <row r="724">
          <cell r="A724" t="str">
            <v>LU0332257095</v>
          </cell>
          <cell r="B724" t="str">
            <v>KBC Select Investors Passive Euro Govt.Bonds Corp.Shares Cap</v>
          </cell>
          <cell r="C724" t="str">
            <v>KAP</v>
          </cell>
          <cell r="D724">
            <v>20221118</v>
          </cell>
          <cell r="E724">
            <v>134.26</v>
          </cell>
        </row>
        <row r="725">
          <cell r="A725" t="str">
            <v>LU0332257251</v>
          </cell>
          <cell r="B725" t="str">
            <v>KBC Select Investors Passive Euro Govt.Bonds Corp.Shares Dis (empty)</v>
          </cell>
          <cell r="C725" t="str">
            <v>DIV</v>
          </cell>
          <cell r="D725">
            <v>20171019</v>
          </cell>
          <cell r="E725">
            <v>125.24</v>
          </cell>
        </row>
        <row r="726">
          <cell r="A726" t="str">
            <v>LU0332256873</v>
          </cell>
          <cell r="B726" t="str">
            <v>KBC Select Investors Passive Euro Govt.Bonds Inst. Shares Cap</v>
          </cell>
          <cell r="C726" t="str">
            <v>KAP2</v>
          </cell>
          <cell r="D726">
            <v>20221118</v>
          </cell>
          <cell r="E726">
            <v>130.08000000000001</v>
          </cell>
        </row>
        <row r="727">
          <cell r="A727" t="str">
            <v>LU0332257178</v>
          </cell>
          <cell r="B727" t="str">
            <v>KBC Select Investors Passive Euro Govt.Bonds Inst. Shares Dis (empty)</v>
          </cell>
          <cell r="C727" t="str">
            <v>DIV2</v>
          </cell>
          <cell r="D727">
            <v>20160306</v>
          </cell>
          <cell r="E727">
            <v>122.85</v>
          </cell>
        </row>
        <row r="728">
          <cell r="A728" t="str">
            <v>LU0550926488</v>
          </cell>
          <cell r="B728" t="str">
            <v>KBC Select Investors Passive Inflation Linked Euro Govt.Bonds Corp.Shares Cap</v>
          </cell>
          <cell r="C728" t="str">
            <v>KAP2</v>
          </cell>
          <cell r="D728">
            <v>20221118</v>
          </cell>
          <cell r="E728">
            <v>133.37</v>
          </cell>
        </row>
        <row r="729">
          <cell r="A729" t="str">
            <v>LU0550926561</v>
          </cell>
          <cell r="B729" t="str">
            <v>KBC Select Investors Passive Inflation Linked Euro Govt.Bonds Corp.Shares Dis</v>
          </cell>
          <cell r="C729" t="str">
            <v>DIV2</v>
          </cell>
          <cell r="D729">
            <v>20221118</v>
          </cell>
          <cell r="E729">
            <v>130.43</v>
          </cell>
        </row>
        <row r="730">
          <cell r="A730" t="str">
            <v>LU0550926132</v>
          </cell>
          <cell r="B730" t="str">
            <v>KBC Select Investors Passive Inflation Linked Euro Govt.Bonds Inst. Shares Cap</v>
          </cell>
          <cell r="C730" t="str">
            <v>KAP</v>
          </cell>
          <cell r="D730">
            <v>20221118</v>
          </cell>
          <cell r="E730">
            <v>129.05000000000001</v>
          </cell>
        </row>
        <row r="731">
          <cell r="A731" t="str">
            <v>LU1861487897</v>
          </cell>
          <cell r="B731" t="str">
            <v>KBC Select Investors Selective Wealth Jumper 11 Cap</v>
          </cell>
          <cell r="C731" t="str">
            <v>KAP</v>
          </cell>
          <cell r="D731">
            <v>20221116</v>
          </cell>
          <cell r="E731">
            <v>1076.3800000000001</v>
          </cell>
        </row>
        <row r="732">
          <cell r="A732" t="str">
            <v>LU0513505700</v>
          </cell>
          <cell r="B732" t="str">
            <v>KBC Select Investors SRI Def. Flexible Allocation Cap</v>
          </cell>
          <cell r="C732" t="str">
            <v>KAP</v>
          </cell>
          <cell r="D732">
            <v>20221118</v>
          </cell>
          <cell r="E732">
            <v>130.87</v>
          </cell>
        </row>
        <row r="733">
          <cell r="A733" t="str">
            <v>LU1885682465</v>
          </cell>
          <cell r="B733" t="str">
            <v>KBC Select Investors SRI Def. Flexible Allocation Corp.Shares Cap</v>
          </cell>
          <cell r="C733" t="str">
            <v>EUR-KAP-CORPORATE</v>
          </cell>
          <cell r="D733">
            <v>20221118</v>
          </cell>
          <cell r="E733">
            <v>99.28</v>
          </cell>
        </row>
        <row r="734">
          <cell r="A734" t="str">
            <v>LU1626168204</v>
          </cell>
          <cell r="B734" t="str">
            <v>KBC Select Investors SRI Global Flexible Allocation Cap</v>
          </cell>
          <cell r="C734" t="str">
            <v>KAP</v>
          </cell>
          <cell r="D734">
            <v>20221118</v>
          </cell>
          <cell r="E734">
            <v>955.49</v>
          </cell>
        </row>
        <row r="735">
          <cell r="A735" t="str">
            <v>LU1885682549</v>
          </cell>
          <cell r="B735" t="str">
            <v>KBC Select Investors SRI Global Flexible Allocation Corp.Shares Cap</v>
          </cell>
          <cell r="C735" t="str">
            <v>EUR-KAP-CORPORATE</v>
          </cell>
          <cell r="D735">
            <v>20221118</v>
          </cell>
          <cell r="E735">
            <v>986.17</v>
          </cell>
        </row>
        <row r="736">
          <cell r="A736" t="str">
            <v>LU2177678062</v>
          </cell>
          <cell r="B736" t="str">
            <v>KBC Select Investors SRI Global Flexible Allocation July Cap</v>
          </cell>
          <cell r="C736" t="str">
            <v>EUR-KAP-RETAIL</v>
          </cell>
          <cell r="D736">
            <v>20221118</v>
          </cell>
          <cell r="E736">
            <v>1015.28</v>
          </cell>
        </row>
        <row r="737">
          <cell r="A737" t="str">
            <v>LU2170374842</v>
          </cell>
          <cell r="B737" t="str">
            <v>KBC Select Investors SRI Global Flexible Allocation July Corp.Shares</v>
          </cell>
          <cell r="C737" t="str">
            <v>EUR-KAP-CORPORATE</v>
          </cell>
          <cell r="D737">
            <v>20221118</v>
          </cell>
          <cell r="E737">
            <v>1020.14</v>
          </cell>
        </row>
        <row r="738">
          <cell r="A738" t="str">
            <v>BE6338523580</v>
          </cell>
          <cell r="B738" t="str">
            <v>KBC-Keyman Highly Dyn. Responsible Investing Cap</v>
          </cell>
          <cell r="C738" t="str">
            <v>EUR-KAP-RET.INST</v>
          </cell>
          <cell r="D738">
            <v>20221031</v>
          </cell>
          <cell r="E738">
            <v>1000</v>
          </cell>
        </row>
        <row r="739">
          <cell r="A739" t="str">
            <v>BE0389429714</v>
          </cell>
          <cell r="B739" t="str">
            <v>KBC-Life Cash Cap</v>
          </cell>
          <cell r="C739" t="str">
            <v>KAP</v>
          </cell>
          <cell r="D739">
            <v>20221117</v>
          </cell>
          <cell r="E739">
            <v>305.86</v>
          </cell>
        </row>
        <row r="740">
          <cell r="A740" t="str">
            <v>BE6293208425</v>
          </cell>
          <cell r="B740" t="str">
            <v>KBC-Life Comfort Def. Cap</v>
          </cell>
          <cell r="C740" t="str">
            <v>EUR-KAP-INSTITUTIONEEL</v>
          </cell>
          <cell r="D740">
            <v>20221117</v>
          </cell>
          <cell r="E740">
            <v>939.33</v>
          </cell>
        </row>
        <row r="741">
          <cell r="A741" t="str">
            <v>BE6293212468</v>
          </cell>
          <cell r="B741" t="str">
            <v>KBC-Life Comfort Dyn. Cap</v>
          </cell>
          <cell r="C741" t="str">
            <v>EUR-KAP-INSTITUTIONEEL</v>
          </cell>
          <cell r="D741">
            <v>20221117</v>
          </cell>
          <cell r="E741">
            <v>1048.99</v>
          </cell>
        </row>
        <row r="742">
          <cell r="A742" t="str">
            <v>BE6293217517</v>
          </cell>
          <cell r="B742" t="str">
            <v>KBC-Life Comfort SRI Def. Cap</v>
          </cell>
          <cell r="C742" t="str">
            <v>EUR-KAP-INSTITUTIONEEL</v>
          </cell>
          <cell r="D742">
            <v>20221117</v>
          </cell>
          <cell r="E742">
            <v>922.68</v>
          </cell>
        </row>
        <row r="743">
          <cell r="A743" t="str">
            <v>BE6293218523</v>
          </cell>
          <cell r="B743" t="str">
            <v>KBC-Life Comfort SRI Dyn. Cap</v>
          </cell>
          <cell r="C743" t="str">
            <v>EUR-KAP-INSTITUTIONEEL</v>
          </cell>
          <cell r="D743">
            <v>20221117</v>
          </cell>
          <cell r="E743">
            <v>1039.69</v>
          </cell>
        </row>
        <row r="744">
          <cell r="A744" t="str">
            <v>BE6328346661</v>
          </cell>
          <cell r="B744" t="str">
            <v>KBC-Life Comfort SRI Dyn. High Cap</v>
          </cell>
          <cell r="C744" t="str">
            <v>EUR-KAP-INSTITUTIONEEL</v>
          </cell>
          <cell r="D744">
            <v>20221117</v>
          </cell>
          <cell r="E744">
            <v>899.99</v>
          </cell>
        </row>
        <row r="745">
          <cell r="A745" t="str">
            <v>BE0389434763</v>
          </cell>
          <cell r="B745" t="str">
            <v>KBC-Life Def. Cap</v>
          </cell>
          <cell r="C745" t="str">
            <v>KAP</v>
          </cell>
          <cell r="D745">
            <v>20221117</v>
          </cell>
          <cell r="E745">
            <v>358.9</v>
          </cell>
        </row>
        <row r="746">
          <cell r="A746" t="str">
            <v>BE0389432742</v>
          </cell>
          <cell r="B746" t="str">
            <v>KBC-Life Dyn. Cap</v>
          </cell>
          <cell r="C746" t="str">
            <v>KAP</v>
          </cell>
          <cell r="D746">
            <v>20221117</v>
          </cell>
          <cell r="E746">
            <v>443.91</v>
          </cell>
        </row>
        <row r="747">
          <cell r="A747" t="str">
            <v>BE6328398217</v>
          </cell>
          <cell r="B747" t="str">
            <v>KBC-Life Expert Trends Dyn. Cap</v>
          </cell>
          <cell r="C747" t="str">
            <v>EUR-KAP-INSTITUTIONEEL</v>
          </cell>
          <cell r="D747">
            <v>20221117</v>
          </cell>
          <cell r="E747">
            <v>853.15</v>
          </cell>
        </row>
        <row r="748">
          <cell r="A748" t="str">
            <v>BE6290954195</v>
          </cell>
          <cell r="B748" t="str">
            <v>KBC-Life ExpertEase Def. Balanced Cap</v>
          </cell>
          <cell r="C748" t="str">
            <v>EUR-KAP-INSTITUTIONEEL</v>
          </cell>
          <cell r="D748">
            <v>20221117</v>
          </cell>
          <cell r="E748">
            <v>935.2</v>
          </cell>
        </row>
        <row r="749">
          <cell r="A749" t="str">
            <v>BE6311895088</v>
          </cell>
          <cell r="B749" t="str">
            <v>KBC-Life ExpertEase Def. Balanced Comfort Portf. Cap</v>
          </cell>
          <cell r="C749" t="str">
            <v>EUR-KAP-COMF.PTF</v>
          </cell>
          <cell r="D749">
            <v>20221117</v>
          </cell>
          <cell r="E749">
            <v>964.99</v>
          </cell>
        </row>
        <row r="750">
          <cell r="A750" t="str">
            <v>BE6307798825</v>
          </cell>
          <cell r="B750" t="str">
            <v>KBC-Life ExpertEase Def. Conservative Cap</v>
          </cell>
          <cell r="C750" t="str">
            <v>EUR-KAP-INSTITUTIONEEL</v>
          </cell>
          <cell r="D750">
            <v>20221117</v>
          </cell>
          <cell r="E750">
            <v>976.18</v>
          </cell>
        </row>
        <row r="751">
          <cell r="A751" t="str">
            <v>BE6311894073</v>
          </cell>
          <cell r="B751" t="str">
            <v>KBC-Life ExpertEase Def. Conservative Comfort Portf. Cap</v>
          </cell>
          <cell r="C751" t="str">
            <v>EUR-KAP-COMF.PTF</v>
          </cell>
          <cell r="D751">
            <v>20221117</v>
          </cell>
          <cell r="E751">
            <v>958.45</v>
          </cell>
        </row>
        <row r="752">
          <cell r="A752" t="str">
            <v>BE6307804888</v>
          </cell>
          <cell r="B752" t="str">
            <v>KBC-Life ExpertEase Def. Tolerant Cap</v>
          </cell>
          <cell r="C752" t="str">
            <v>EUR-KAP-INSTITUTIONEEL</v>
          </cell>
          <cell r="D752">
            <v>20221117</v>
          </cell>
          <cell r="E752">
            <v>985.14</v>
          </cell>
        </row>
        <row r="753">
          <cell r="A753" t="str">
            <v>BE6311896094</v>
          </cell>
          <cell r="B753" t="str">
            <v>KBC-Life ExpertEase Def. Tolerant Comfort Portf. Cap</v>
          </cell>
          <cell r="C753" t="str">
            <v>EUR-KAP-COMF.PTF</v>
          </cell>
          <cell r="D753">
            <v>20221117</v>
          </cell>
          <cell r="E753">
            <v>987.03</v>
          </cell>
        </row>
        <row r="754">
          <cell r="A754" t="str">
            <v>BE6290956216</v>
          </cell>
          <cell r="B754" t="str">
            <v>KBC-Life ExpertEase Dyn. Balanced Cap</v>
          </cell>
          <cell r="C754" t="str">
            <v>EUR-KAP-INSTITUTIONEEL</v>
          </cell>
          <cell r="D754">
            <v>20221117</v>
          </cell>
          <cell r="E754">
            <v>1004.78</v>
          </cell>
        </row>
        <row r="755">
          <cell r="A755" t="str">
            <v>BE6311897100</v>
          </cell>
          <cell r="B755" t="str">
            <v>KBC-Life ExpertEase Dyn. Balanced Comfort Portf. Cap</v>
          </cell>
          <cell r="C755" t="str">
            <v>EUR-KAP-COMF.PTF</v>
          </cell>
          <cell r="D755">
            <v>20221117</v>
          </cell>
          <cell r="E755">
            <v>1032.0899999999999</v>
          </cell>
        </row>
        <row r="756">
          <cell r="A756" t="str">
            <v>BE6307811958</v>
          </cell>
          <cell r="B756" t="str">
            <v>KBC-Life ExpertEase Dyn. Tolerant Cap</v>
          </cell>
          <cell r="C756" t="str">
            <v>EUR-KAP-INSTITUTIONEEL</v>
          </cell>
          <cell r="D756">
            <v>20221117</v>
          </cell>
          <cell r="E756">
            <v>1025.78</v>
          </cell>
        </row>
        <row r="757">
          <cell r="A757" t="str">
            <v>BE6311898116</v>
          </cell>
          <cell r="B757" t="str">
            <v>KBC-Life ExpertEase Dyn. Tolerant Comfort Portf. Cap</v>
          </cell>
          <cell r="C757" t="str">
            <v>EUR-KAP-COMF.PTF</v>
          </cell>
          <cell r="D757">
            <v>20221117</v>
          </cell>
          <cell r="E757">
            <v>1028.21</v>
          </cell>
        </row>
        <row r="758">
          <cell r="A758" t="str">
            <v>BE6290969342</v>
          </cell>
          <cell r="B758" t="str">
            <v>KBC-Life ExpertEase Neutral Cap</v>
          </cell>
          <cell r="C758" t="str">
            <v>LUX-KAP3-EUR</v>
          </cell>
          <cell r="D758">
            <v>20221117</v>
          </cell>
          <cell r="E758">
            <v>1069.8599999999999</v>
          </cell>
        </row>
        <row r="759">
          <cell r="A759" t="str">
            <v>BE6290876380</v>
          </cell>
          <cell r="B759" t="str">
            <v>KBC-Life ExpertEase SRI Def. Balanced Cap</v>
          </cell>
          <cell r="C759" t="str">
            <v>EUR-KAP-INSTITUTIONEEL</v>
          </cell>
          <cell r="D759">
            <v>20221117</v>
          </cell>
          <cell r="E759">
            <v>920.64</v>
          </cell>
        </row>
        <row r="760">
          <cell r="A760" t="str">
            <v>BE6311902157</v>
          </cell>
          <cell r="B760" t="str">
            <v>KBC-Life ExpertEase SRI Def. Balanced Comfort Portf. Cap</v>
          </cell>
          <cell r="C760" t="str">
            <v>EUR-KAP-COMF.PTF</v>
          </cell>
          <cell r="D760">
            <v>20221117</v>
          </cell>
          <cell r="E760">
            <v>955.15</v>
          </cell>
        </row>
        <row r="761">
          <cell r="A761" t="str">
            <v>BE6307815025</v>
          </cell>
          <cell r="B761" t="str">
            <v>KBC-Life ExpertEase SRI Def. Conservative Cap</v>
          </cell>
          <cell r="C761" t="str">
            <v>EUR-KAP-INSTITUTIONEEL</v>
          </cell>
          <cell r="D761">
            <v>20221117</v>
          </cell>
          <cell r="E761">
            <v>963.49</v>
          </cell>
        </row>
        <row r="762">
          <cell r="A762" t="str">
            <v>BE6311901142</v>
          </cell>
          <cell r="B762" t="str">
            <v>KBC-Life ExpertEase SRI Def. Conservative Comfort Portf. Cap</v>
          </cell>
          <cell r="C762" t="str">
            <v>EUR-KAP-COMF.PTF</v>
          </cell>
          <cell r="D762">
            <v>20221117</v>
          </cell>
          <cell r="E762">
            <v>958.68</v>
          </cell>
        </row>
        <row r="763">
          <cell r="A763" t="str">
            <v>BE6307816031</v>
          </cell>
          <cell r="B763" t="str">
            <v>KBC-Life ExpertEase SRI Def. Tolerant Cap</v>
          </cell>
          <cell r="C763" t="str">
            <v>EUR-KAP-INSTITUTIONEEL</v>
          </cell>
          <cell r="D763">
            <v>20221117</v>
          </cell>
          <cell r="E763">
            <v>960.98</v>
          </cell>
        </row>
        <row r="764">
          <cell r="A764" t="str">
            <v>BE6311903163</v>
          </cell>
          <cell r="B764" t="str">
            <v>KBC-Life ExpertEase SRI Def. Tolerant Comfort Portf. Cap</v>
          </cell>
          <cell r="C764" t="str">
            <v>EUR-KAP-COMF.PTF</v>
          </cell>
          <cell r="D764">
            <v>20221117</v>
          </cell>
          <cell r="E764">
            <v>964.34</v>
          </cell>
        </row>
        <row r="765">
          <cell r="A765" t="str">
            <v>BE6290890522</v>
          </cell>
          <cell r="B765" t="str">
            <v>KBC-Life ExpertEase SRI Dyn. Balanced Cap</v>
          </cell>
          <cell r="C765" t="str">
            <v>EUR-KAP-INSTITUTIONEEL</v>
          </cell>
          <cell r="D765">
            <v>20221117</v>
          </cell>
          <cell r="E765">
            <v>984.63</v>
          </cell>
        </row>
        <row r="766">
          <cell r="A766" t="str">
            <v>BE6311904179</v>
          </cell>
          <cell r="B766" t="str">
            <v>KBC-Life ExpertEase SRI Dyn. Balanced Comfort Portf. Cap</v>
          </cell>
          <cell r="C766" t="str">
            <v>EUR-KAP-COMF.PTF</v>
          </cell>
          <cell r="D766">
            <v>20221117</v>
          </cell>
          <cell r="E766">
            <v>1016.97</v>
          </cell>
        </row>
        <row r="767">
          <cell r="A767" t="str">
            <v>BE6307818052</v>
          </cell>
          <cell r="B767" t="str">
            <v>KBC-Life ExpertEase SRI Dyn. Tolerant Cap</v>
          </cell>
          <cell r="C767" t="str">
            <v>EUR-KAP-INSTITUTIONEEL</v>
          </cell>
          <cell r="D767">
            <v>20221117</v>
          </cell>
          <cell r="E767">
            <v>1001.13</v>
          </cell>
        </row>
        <row r="768">
          <cell r="A768" t="str">
            <v>BE6311905184</v>
          </cell>
          <cell r="B768" t="str">
            <v>KBC-Life ExpertEase SRI Dyn. Tolerant Comfort Portf. Cap</v>
          </cell>
          <cell r="C768" t="str">
            <v>EUR-KAP-COMF.PTF</v>
          </cell>
          <cell r="D768">
            <v>20221117</v>
          </cell>
          <cell r="E768">
            <v>1005.24</v>
          </cell>
        </row>
        <row r="769">
          <cell r="A769" t="str">
            <v>BE6290891538</v>
          </cell>
          <cell r="B769" t="str">
            <v>KBC-Life ExpertEase SRI Neutral Cap</v>
          </cell>
          <cell r="C769" t="str">
            <v>EUR-KAP-INSTITUTIONEEL</v>
          </cell>
          <cell r="D769">
            <v>20221117</v>
          </cell>
          <cell r="E769">
            <v>1053.24</v>
          </cell>
        </row>
        <row r="770">
          <cell r="A770" t="str">
            <v>BE0948292207</v>
          </cell>
          <cell r="B770" t="str">
            <v>KBC-Life Flexible KBC-Life Flexible Cash Cap</v>
          </cell>
          <cell r="C770" t="str">
            <v>DIV</v>
          </cell>
          <cell r="D770">
            <v>20221117</v>
          </cell>
          <cell r="E770">
            <v>305.86</v>
          </cell>
        </row>
        <row r="771">
          <cell r="A771" t="str">
            <v>BE6282762721</v>
          </cell>
          <cell r="B771" t="str">
            <v>KBC-Life Flexible Portf. January Cap</v>
          </cell>
          <cell r="C771" t="str">
            <v>EUR-KAP-INSTITUTIONEEL</v>
          </cell>
          <cell r="D771">
            <v>20221117</v>
          </cell>
          <cell r="E771">
            <v>1119.6199999999999</v>
          </cell>
        </row>
        <row r="772">
          <cell r="A772" t="str">
            <v>BE6287172207</v>
          </cell>
          <cell r="B772" t="str">
            <v>KBC-Life Flexible Portf. July Cap</v>
          </cell>
          <cell r="C772" t="str">
            <v>EUR-KAP-INSTITUTIONEEL</v>
          </cell>
          <cell r="D772">
            <v>20221117</v>
          </cell>
          <cell r="E772">
            <v>1012.8</v>
          </cell>
        </row>
        <row r="773">
          <cell r="A773" t="str">
            <v>BE6310162217</v>
          </cell>
          <cell r="B773" t="str">
            <v>KBC-Life Flexible Portf. SRI January Cap</v>
          </cell>
          <cell r="C773" t="str">
            <v>EUR-KAP-INSTITUTIONEEL</v>
          </cell>
          <cell r="D773">
            <v>20221117</v>
          </cell>
          <cell r="E773">
            <v>1029.95</v>
          </cell>
        </row>
        <row r="774">
          <cell r="A774" t="str">
            <v>BE6326785571</v>
          </cell>
          <cell r="B774" t="str">
            <v>KBC-Life Fundamental Opportunities Cap</v>
          </cell>
          <cell r="C774" t="str">
            <v>EUR-KAP-INSTITUTIONEEL</v>
          </cell>
          <cell r="D774">
            <v>20221117</v>
          </cell>
          <cell r="E774">
            <v>983.16</v>
          </cell>
        </row>
        <row r="775">
          <cell r="A775" t="str">
            <v>BE6327605042</v>
          </cell>
          <cell r="B775" t="str">
            <v>KBC-Life Impact Investing Cap</v>
          </cell>
          <cell r="C775" t="str">
            <v>EUR-KAP-INSTITUTIONEEL</v>
          </cell>
          <cell r="D775">
            <v>20221117</v>
          </cell>
          <cell r="E775">
            <v>856.23</v>
          </cell>
        </row>
        <row r="776">
          <cell r="A776" t="str">
            <v>BE0389431736</v>
          </cell>
          <cell r="B776" t="str">
            <v>KBC-Life IP Trends Cap</v>
          </cell>
          <cell r="C776" t="str">
            <v>KAP</v>
          </cell>
          <cell r="D776">
            <v>20221117</v>
          </cell>
          <cell r="E776">
            <v>478.04</v>
          </cell>
        </row>
        <row r="777">
          <cell r="A777" t="str">
            <v>BE6328677099</v>
          </cell>
          <cell r="B777" t="str">
            <v>KBC-Life Long-Term Fund Plan KBC-Life LT ExpertEase SRI Neutral Cap</v>
          </cell>
          <cell r="C777" t="str">
            <v>EUR-KAP-INST.EUR</v>
          </cell>
          <cell r="D777">
            <v>20221117</v>
          </cell>
          <cell r="E777">
            <v>865.94</v>
          </cell>
        </row>
        <row r="778">
          <cell r="A778" t="str">
            <v>BE6331242527</v>
          </cell>
          <cell r="B778" t="str">
            <v>KBC-Life MI ExpertEase SRI Def. Conservative Cap</v>
          </cell>
          <cell r="C778" t="str">
            <v>EUR-KAP-INST.LIFEMI</v>
          </cell>
          <cell r="D778">
            <v>20221116</v>
          </cell>
          <cell r="E778">
            <v>963.36</v>
          </cell>
        </row>
        <row r="779">
          <cell r="A779" t="str">
            <v>BE6323118768</v>
          </cell>
          <cell r="B779" t="str">
            <v>KBC-Life MI Global 90 Long Term-10 Cap</v>
          </cell>
          <cell r="C779" t="str">
            <v>EUR-KAP-RETAIL</v>
          </cell>
          <cell r="D779">
            <v>20221031</v>
          </cell>
          <cell r="E779">
            <v>924.59</v>
          </cell>
        </row>
        <row r="780">
          <cell r="A780" t="str">
            <v>BE6322568112</v>
          </cell>
          <cell r="B780" t="str">
            <v>KBC-Life MI Global 90 Long Term-9 Cap</v>
          </cell>
          <cell r="C780" t="str">
            <v>EUR-KAP-RETAIL</v>
          </cell>
          <cell r="D780">
            <v>20221031</v>
          </cell>
          <cell r="E780">
            <v>908.72</v>
          </cell>
        </row>
        <row r="781">
          <cell r="A781" t="str">
            <v>BE6337218141</v>
          </cell>
          <cell r="B781" t="str">
            <v>KBC-Life MI Global Selection 100-1 Cap</v>
          </cell>
        </row>
        <row r="782">
          <cell r="A782" t="str">
            <v>BE6334947718</v>
          </cell>
          <cell r="B782" t="str">
            <v>KBC-Life MI Step In World 100-1 Cap</v>
          </cell>
          <cell r="C782" t="str">
            <v>EUR-KAP-RETAIL</v>
          </cell>
          <cell r="D782">
            <v>20221031</v>
          </cell>
          <cell r="E782">
            <v>905.51</v>
          </cell>
        </row>
        <row r="783">
          <cell r="A783" t="str">
            <v>BE6307940302</v>
          </cell>
          <cell r="B783" t="str">
            <v>KBC-Life MI+ Best In Class Leaders 90-1 Cap</v>
          </cell>
          <cell r="C783" t="str">
            <v>EUR-NOTE-RETAIL</v>
          </cell>
          <cell r="D783">
            <v>20221116</v>
          </cell>
          <cell r="E783">
            <v>987.62</v>
          </cell>
        </row>
        <row r="784">
          <cell r="A784" t="str">
            <v>BE6308654654</v>
          </cell>
          <cell r="B784" t="str">
            <v>KBC-Life MI+ Best In Class Leaders 90-2 Cap</v>
          </cell>
          <cell r="C784" t="str">
            <v>EUR-NOTE-RETAIL</v>
          </cell>
          <cell r="D784">
            <v>20221116</v>
          </cell>
          <cell r="E784">
            <v>1013.43</v>
          </cell>
        </row>
        <row r="785">
          <cell r="A785" t="str">
            <v>BE6306030600</v>
          </cell>
          <cell r="B785" t="str">
            <v>KBC-Life MI+ Continental Europe 90-1 Cap</v>
          </cell>
          <cell r="C785" t="str">
            <v>EUR-NOTE-RETAIL</v>
          </cell>
          <cell r="D785">
            <v>20221116</v>
          </cell>
          <cell r="E785">
            <v>1029.33</v>
          </cell>
        </row>
        <row r="786">
          <cell r="A786" t="str">
            <v>BE6307099620</v>
          </cell>
          <cell r="B786" t="str">
            <v>KBC-Life MI+ Continental Europe 90-2 Cap</v>
          </cell>
          <cell r="C786" t="str">
            <v>EUR-NOTE-RETAIL</v>
          </cell>
          <cell r="D786">
            <v>20221116</v>
          </cell>
          <cell r="E786">
            <v>1010.33</v>
          </cell>
        </row>
        <row r="787">
          <cell r="A787" t="str">
            <v>BE6302984214</v>
          </cell>
          <cell r="B787" t="str">
            <v>KBC-Life MI+ Europe 90-1 Cap</v>
          </cell>
          <cell r="C787" t="str">
            <v>EUR-NOTE-RETAIL</v>
          </cell>
          <cell r="D787">
            <v>20221116</v>
          </cell>
          <cell r="E787">
            <v>977.51</v>
          </cell>
        </row>
        <row r="788">
          <cell r="A788" t="str">
            <v>BE6303981482</v>
          </cell>
          <cell r="B788" t="str">
            <v>KBC-Life MI+ Europe 90-2 Cap</v>
          </cell>
          <cell r="C788" t="str">
            <v>EUR-NOTE-RETAIL</v>
          </cell>
          <cell r="D788">
            <v>20221116</v>
          </cell>
          <cell r="E788">
            <v>1012.16</v>
          </cell>
        </row>
        <row r="789">
          <cell r="A789" t="str">
            <v>BE6304722133</v>
          </cell>
          <cell r="B789" t="str">
            <v>KBC-Life MI+ Europe 90-3 Cap</v>
          </cell>
          <cell r="C789" t="str">
            <v>EUR-NOTE-RETAIL</v>
          </cell>
          <cell r="D789">
            <v>20221116</v>
          </cell>
          <cell r="E789">
            <v>997.23</v>
          </cell>
        </row>
        <row r="790">
          <cell r="A790" t="str">
            <v>BE6305314237</v>
          </cell>
          <cell r="B790" t="str">
            <v>KBC-Life MI+ Europe 90-4 Cap</v>
          </cell>
          <cell r="C790" t="str">
            <v>EUR-NOTE-RETAIL</v>
          </cell>
          <cell r="D790">
            <v>20221116</v>
          </cell>
          <cell r="E790">
            <v>989.07</v>
          </cell>
        </row>
        <row r="791">
          <cell r="A791" t="str">
            <v>BE6302091010</v>
          </cell>
          <cell r="B791" t="str">
            <v>KBC-Life MI+ European Quality 90-1 Cap</v>
          </cell>
          <cell r="C791" t="str">
            <v>EUR-NOTE-RETAIL</v>
          </cell>
          <cell r="D791">
            <v>20221116</v>
          </cell>
          <cell r="E791">
            <v>967.34</v>
          </cell>
        </row>
        <row r="792">
          <cell r="A792" t="str">
            <v>BE6321510206</v>
          </cell>
          <cell r="B792" t="str">
            <v>KBC-Life MI+ Global 100-1 Cap</v>
          </cell>
          <cell r="C792" t="str">
            <v>EUR-NOTE-RETAIL</v>
          </cell>
          <cell r="D792">
            <v>20221116</v>
          </cell>
          <cell r="E792">
            <v>909.95</v>
          </cell>
        </row>
        <row r="793">
          <cell r="A793" t="str">
            <v>BE6321689059</v>
          </cell>
          <cell r="B793" t="str">
            <v>KBC-Life MI+ Global 100-2 Cap</v>
          </cell>
          <cell r="C793" t="str">
            <v>EUR-NOTE-RETAIL</v>
          </cell>
          <cell r="D793">
            <v>20221116</v>
          </cell>
          <cell r="E793">
            <v>895.29</v>
          </cell>
        </row>
        <row r="794">
          <cell r="A794" t="str">
            <v>BE6317612024</v>
          </cell>
          <cell r="B794" t="str">
            <v>KBC-Life MI+ Global 90 Booster-1 Cap</v>
          </cell>
          <cell r="C794" t="str">
            <v>EUR-NOTE-RETAIL</v>
          </cell>
          <cell r="D794">
            <v>20221116</v>
          </cell>
          <cell r="E794">
            <v>965.01</v>
          </cell>
        </row>
        <row r="795">
          <cell r="A795" t="str">
            <v>BE6318393079</v>
          </cell>
          <cell r="B795" t="str">
            <v>KBC-Life MI+ Global 90 Booster-2 Cap</v>
          </cell>
          <cell r="C795" t="str">
            <v>EUR-NOTE-RETAIL</v>
          </cell>
          <cell r="D795">
            <v>20221116</v>
          </cell>
          <cell r="E795">
            <v>1375.01</v>
          </cell>
        </row>
        <row r="796">
          <cell r="A796" t="str">
            <v>BE6319058903</v>
          </cell>
          <cell r="B796" t="str">
            <v>KBC-Life MI+ Global 90 Booster-3 Cap</v>
          </cell>
          <cell r="C796" t="str">
            <v>EUR-NOTE-RETAIL</v>
          </cell>
          <cell r="D796">
            <v>20221116</v>
          </cell>
          <cell r="E796">
            <v>1212.51</v>
          </cell>
        </row>
        <row r="797">
          <cell r="A797" t="str">
            <v>BE6319634844</v>
          </cell>
          <cell r="B797" t="str">
            <v>KBC-Life MI+ Global 90 Booster-4 Cap</v>
          </cell>
          <cell r="C797" t="str">
            <v>EUR-NOTE-RETAIL</v>
          </cell>
          <cell r="D797">
            <v>20221116</v>
          </cell>
          <cell r="E797">
            <v>1125.58</v>
          </cell>
        </row>
        <row r="798">
          <cell r="A798" t="str">
            <v>BE6313122713</v>
          </cell>
          <cell r="B798" t="str">
            <v>KBC-Life MI+ Global 90 Long Term-1 Cap</v>
          </cell>
          <cell r="C798" t="str">
            <v>EUR-NOTE-RETAIL</v>
          </cell>
          <cell r="D798">
            <v>20221116</v>
          </cell>
          <cell r="E798">
            <v>965.99</v>
          </cell>
        </row>
        <row r="799">
          <cell r="A799" t="str">
            <v>BE6313868414</v>
          </cell>
          <cell r="B799" t="str">
            <v>KBC-Life MI+ Global 90 Long Term-2 Cap</v>
          </cell>
          <cell r="C799" t="str">
            <v>EUR-NOTE-RETAIL</v>
          </cell>
          <cell r="D799">
            <v>20221116</v>
          </cell>
          <cell r="E799">
            <v>958.96</v>
          </cell>
        </row>
        <row r="800">
          <cell r="A800" t="str">
            <v>BE6314405935</v>
          </cell>
          <cell r="B800" t="str">
            <v>KBC-Life MI+ Global 90 Long Term-3 Cap</v>
          </cell>
          <cell r="C800" t="str">
            <v>EUR-NOTE-RETAIL</v>
          </cell>
          <cell r="D800">
            <v>20221116</v>
          </cell>
          <cell r="E800">
            <v>966.7</v>
          </cell>
        </row>
        <row r="801">
          <cell r="A801" t="str">
            <v>BE6315033421</v>
          </cell>
          <cell r="B801" t="str">
            <v>KBC-Life MI+ Global 90 Long Term-4 Cap</v>
          </cell>
          <cell r="C801" t="str">
            <v>EUR-NOTE-RETAIL</v>
          </cell>
          <cell r="D801">
            <v>20221116</v>
          </cell>
          <cell r="E801">
            <v>947.65</v>
          </cell>
        </row>
        <row r="802">
          <cell r="A802" t="str">
            <v>BE6315517415</v>
          </cell>
          <cell r="B802" t="str">
            <v>KBC-Life MI+ Global 90 Long Term-5 Cap</v>
          </cell>
          <cell r="C802" t="str">
            <v>EUR-NOTE-RETAIL</v>
          </cell>
          <cell r="D802">
            <v>20221116</v>
          </cell>
          <cell r="E802">
            <v>951.37</v>
          </cell>
        </row>
        <row r="803">
          <cell r="A803" t="str">
            <v>BE6315895316</v>
          </cell>
          <cell r="B803" t="str">
            <v>KBC-Life MI+ Global 90 Long Term-6 Cap</v>
          </cell>
          <cell r="C803" t="str">
            <v>EUR-NOTE-RETAIL</v>
          </cell>
          <cell r="D803">
            <v>20221116</v>
          </cell>
          <cell r="E803">
            <v>949.73</v>
          </cell>
        </row>
        <row r="804">
          <cell r="A804" t="str">
            <v>BE6316734944</v>
          </cell>
          <cell r="B804" t="str">
            <v>KBC-Life MI+ Global 90 Long Term-7 Cap</v>
          </cell>
          <cell r="C804" t="str">
            <v>EUR-NOTE-RETAIL</v>
          </cell>
          <cell r="D804">
            <v>20221116</v>
          </cell>
          <cell r="E804">
            <v>958.57</v>
          </cell>
        </row>
        <row r="805">
          <cell r="A805" t="str">
            <v>BE6317216917</v>
          </cell>
          <cell r="B805" t="str">
            <v>KBC-Life MI+ Global 90 Long Term-8 Cap</v>
          </cell>
          <cell r="C805" t="str">
            <v>EUR-NOTE-RETAIL</v>
          </cell>
          <cell r="D805">
            <v>20221116</v>
          </cell>
          <cell r="E805">
            <v>947.56</v>
          </cell>
        </row>
        <row r="806">
          <cell r="A806" t="str">
            <v>BE6313149013</v>
          </cell>
          <cell r="B806" t="str">
            <v>KBC-Life MI+ Global 90 Short Term-1 Cap</v>
          </cell>
          <cell r="C806" t="str">
            <v>EUR-NOTE-RETAIL</v>
          </cell>
          <cell r="D806">
            <v>20221116</v>
          </cell>
          <cell r="E806">
            <v>957.72</v>
          </cell>
        </row>
        <row r="807">
          <cell r="A807" t="str">
            <v>BE6313876490</v>
          </cell>
          <cell r="B807" t="str">
            <v>KBC-Life MI+ Global 90 Short Term-2 Cap</v>
          </cell>
          <cell r="C807" t="str">
            <v>EUR-NOTE-RETAIL</v>
          </cell>
          <cell r="D807">
            <v>20221116</v>
          </cell>
          <cell r="E807">
            <v>971.73</v>
          </cell>
        </row>
        <row r="808">
          <cell r="A808" t="str">
            <v>BE6314406941</v>
          </cell>
          <cell r="B808" t="str">
            <v>KBC-Life MI+ Global 90 Short Term-3 Cap</v>
          </cell>
          <cell r="C808" t="str">
            <v>EUR-NOTE-RETAIL</v>
          </cell>
          <cell r="D808">
            <v>20221116</v>
          </cell>
          <cell r="E808">
            <v>986.91</v>
          </cell>
        </row>
        <row r="809">
          <cell r="A809" t="str">
            <v>BE6315035442</v>
          </cell>
          <cell r="B809" t="str">
            <v>KBC-Life MI+ Global 90 Short Term-4 Cap</v>
          </cell>
          <cell r="C809" t="str">
            <v>EUR-NOTE-RETAIL</v>
          </cell>
          <cell r="D809">
            <v>20221116</v>
          </cell>
          <cell r="E809">
            <v>949.86</v>
          </cell>
        </row>
        <row r="810">
          <cell r="A810" t="str">
            <v>BE6315516409</v>
          </cell>
          <cell r="B810" t="str">
            <v>KBC-Life MI+ Global 90 Short Term-5 Cap</v>
          </cell>
          <cell r="C810" t="str">
            <v>EUR-NOTE-RETAIL</v>
          </cell>
          <cell r="D810">
            <v>20221116</v>
          </cell>
          <cell r="E810">
            <v>938.08</v>
          </cell>
        </row>
        <row r="811">
          <cell r="A811" t="str">
            <v>BE6315897338</v>
          </cell>
          <cell r="B811" t="str">
            <v>KBC-Life MI+ Global 90 Short Term-6 Cap</v>
          </cell>
          <cell r="C811" t="str">
            <v>EUR-NOTE-RETAIL</v>
          </cell>
          <cell r="D811">
            <v>20221116</v>
          </cell>
          <cell r="E811">
            <v>922.16</v>
          </cell>
        </row>
        <row r="812">
          <cell r="A812" t="str">
            <v>BE6316757200</v>
          </cell>
          <cell r="B812" t="str">
            <v>KBC-Life MI+ Global 90 Short Term-7 Cap</v>
          </cell>
          <cell r="C812" t="str">
            <v>EUR-NOTE-RETAIL</v>
          </cell>
          <cell r="D812">
            <v>20221116</v>
          </cell>
          <cell r="E812">
            <v>923.48</v>
          </cell>
        </row>
        <row r="813">
          <cell r="A813" t="str">
            <v>BE6317298766</v>
          </cell>
          <cell r="B813" t="str">
            <v>KBC-Life MI+ Global 90 Short Term-8 Cap</v>
          </cell>
          <cell r="C813" t="str">
            <v>EUR-NOTE-RETAIL</v>
          </cell>
          <cell r="D813">
            <v>20221116</v>
          </cell>
          <cell r="E813">
            <v>922.47</v>
          </cell>
        </row>
        <row r="814">
          <cell r="A814" t="str">
            <v>BE6310967508</v>
          </cell>
          <cell r="B814" t="str">
            <v>KBC-Life MI+ Global 90-1 Cap (Matured)</v>
          </cell>
          <cell r="C814" t="str">
            <v>EUR-NOTE-RETAIL</v>
          </cell>
          <cell r="D814">
            <v>20220930</v>
          </cell>
          <cell r="E814">
            <v>1076.5999999999999</v>
          </cell>
        </row>
        <row r="815">
          <cell r="A815" t="str">
            <v>BE6311879892</v>
          </cell>
          <cell r="B815" t="str">
            <v>KBC-Life MI+ Global 90-2 Cap (Matured)</v>
          </cell>
          <cell r="C815" t="str">
            <v>EUR-NOTE-RETAIL</v>
          </cell>
          <cell r="D815">
            <v>20221028</v>
          </cell>
          <cell r="E815">
            <v>1013.5</v>
          </cell>
        </row>
        <row r="816">
          <cell r="A816" t="str">
            <v>BE6312421496</v>
          </cell>
          <cell r="B816" t="str">
            <v>KBC-Life MI+ Global 90-3 Cap</v>
          </cell>
          <cell r="C816" t="str">
            <v>EUR-NOTE-RETAIL</v>
          </cell>
          <cell r="D816">
            <v>20221116</v>
          </cell>
          <cell r="E816">
            <v>1005.62</v>
          </cell>
        </row>
        <row r="817">
          <cell r="A817" t="str">
            <v>BE6321790097</v>
          </cell>
          <cell r="B817" t="str">
            <v>KBC-Life MI+ Global 90-4 Cap</v>
          </cell>
          <cell r="C817" t="str">
            <v>EUR-NOTE-RETAIL</v>
          </cell>
          <cell r="D817">
            <v>20221116</v>
          </cell>
          <cell r="E817">
            <v>1077.75</v>
          </cell>
        </row>
        <row r="818">
          <cell r="A818" t="str">
            <v>BE6321852715</v>
          </cell>
          <cell r="B818" t="str">
            <v>KBC-Life MI+ Global 90-5 Cap</v>
          </cell>
          <cell r="C818" t="str">
            <v>EUR-NOTE-RETAIL</v>
          </cell>
          <cell r="D818">
            <v>20221116</v>
          </cell>
          <cell r="E818">
            <v>1070.96</v>
          </cell>
        </row>
        <row r="819">
          <cell r="A819" t="str">
            <v>BE6296045667</v>
          </cell>
          <cell r="B819" t="str">
            <v>KBC-Life MI+ Universal Selection 90-10 Cap</v>
          </cell>
          <cell r="C819" t="str">
            <v>EUR-NOTE-RETAIL</v>
          </cell>
          <cell r="D819">
            <v>20221116</v>
          </cell>
          <cell r="E819">
            <v>1038.1300000000001</v>
          </cell>
        </row>
        <row r="820">
          <cell r="A820" t="str">
            <v>BE6290097359</v>
          </cell>
          <cell r="B820" t="str">
            <v>KBC-Life MI+ Universal Selection 90-2 Cap (Matured)</v>
          </cell>
          <cell r="C820" t="str">
            <v>EUR-NOTE-RETAIL</v>
          </cell>
          <cell r="D820">
            <v>20220930</v>
          </cell>
          <cell r="E820">
            <v>1152.3</v>
          </cell>
        </row>
        <row r="821">
          <cell r="A821" t="str">
            <v>BE6291001665</v>
          </cell>
          <cell r="B821" t="str">
            <v>KBC-Life MI+ Universal Selection 90-3 Cap (Matured)</v>
          </cell>
          <cell r="C821" t="str">
            <v>EUR-NOTE-RETAIL</v>
          </cell>
          <cell r="D821">
            <v>20221031</v>
          </cell>
          <cell r="E821">
            <v>1146.3</v>
          </cell>
        </row>
        <row r="822">
          <cell r="A822" t="str">
            <v>BE6291701876</v>
          </cell>
          <cell r="B822" t="str">
            <v>KBC-Life MI+ Universal Selection 90-4 Cap</v>
          </cell>
          <cell r="C822" t="str">
            <v>EUR-NOTE-RETAIL</v>
          </cell>
          <cell r="D822">
            <v>20221116</v>
          </cell>
          <cell r="E822">
            <v>1106.52</v>
          </cell>
        </row>
        <row r="823">
          <cell r="A823" t="str">
            <v>BE6292429394</v>
          </cell>
          <cell r="B823" t="str">
            <v>KBC-Life MI+ Universal Selection 90-5 Cap</v>
          </cell>
          <cell r="C823" t="str">
            <v>EUR-NOTE-RETAIL</v>
          </cell>
          <cell r="D823">
            <v>20221116</v>
          </cell>
          <cell r="E823">
            <v>1084.43</v>
          </cell>
        </row>
        <row r="824">
          <cell r="A824" t="str">
            <v>BE6293118491</v>
          </cell>
          <cell r="B824" t="str">
            <v>KBC-Life MI+ Universal Selection 90-6 Cap</v>
          </cell>
          <cell r="C824" t="str">
            <v>EUR-NOTE-RETAIL</v>
          </cell>
          <cell r="D824">
            <v>20221116</v>
          </cell>
          <cell r="E824">
            <v>1075.28</v>
          </cell>
        </row>
        <row r="825">
          <cell r="A825" t="str">
            <v>BE6294066277</v>
          </cell>
          <cell r="B825" t="str">
            <v>KBC-Life MI+ Universal Selection 90-7 Cap</v>
          </cell>
          <cell r="C825" t="str">
            <v>EUR-NOTE-RETAIL</v>
          </cell>
          <cell r="D825">
            <v>20221116</v>
          </cell>
          <cell r="E825">
            <v>1039.75</v>
          </cell>
        </row>
        <row r="826">
          <cell r="A826" t="str">
            <v>BE6294673528</v>
          </cell>
          <cell r="B826" t="str">
            <v>KBC-Life MI+ Universal Selection 90-8 Cap</v>
          </cell>
          <cell r="C826" t="str">
            <v>EUR-NOTE-RETAIL</v>
          </cell>
          <cell r="D826">
            <v>20221116</v>
          </cell>
          <cell r="E826">
            <v>1045.49</v>
          </cell>
        </row>
        <row r="827">
          <cell r="A827" t="str">
            <v>BE6295537433</v>
          </cell>
          <cell r="B827" t="str">
            <v>KBC-Life MI+ Universal Selection 90-9 Cap</v>
          </cell>
          <cell r="C827" t="str">
            <v>EUR-NOTE-RETAIL</v>
          </cell>
          <cell r="D827">
            <v>20221116</v>
          </cell>
          <cell r="E827">
            <v>1020.83</v>
          </cell>
        </row>
        <row r="828">
          <cell r="A828" t="str">
            <v>BE6309478160</v>
          </cell>
          <cell r="B828" t="str">
            <v>KBC-Life MI+ Value Selection 90-1 Cap</v>
          </cell>
          <cell r="C828" t="str">
            <v>EUR-NOTE-RETAIL</v>
          </cell>
          <cell r="D828">
            <v>20221116</v>
          </cell>
          <cell r="E828">
            <v>1055.56</v>
          </cell>
        </row>
        <row r="829">
          <cell r="A829" t="str">
            <v>BE6310082381</v>
          </cell>
          <cell r="B829" t="str">
            <v>KBC-Life MI+ Value Selection 90-2 Cap</v>
          </cell>
          <cell r="C829" t="str">
            <v>EUR-NOTE-RETAIL</v>
          </cell>
          <cell r="D829">
            <v>20221116</v>
          </cell>
          <cell r="E829">
            <v>1011.43</v>
          </cell>
        </row>
        <row r="830">
          <cell r="A830" t="str">
            <v>BE6311002859</v>
          </cell>
          <cell r="B830" t="str">
            <v>KBC-Life MI+ Value Selection 90-3 Cap</v>
          </cell>
          <cell r="C830" t="str">
            <v>EUR-NOTE-RETAIL</v>
          </cell>
          <cell r="D830">
            <v>20221116</v>
          </cell>
          <cell r="E830">
            <v>998.11</v>
          </cell>
        </row>
        <row r="831">
          <cell r="A831" t="str">
            <v>BE6311880908</v>
          </cell>
          <cell r="B831" t="str">
            <v>KBC-Life MI+ Value Selection 90-4 Cap</v>
          </cell>
          <cell r="C831" t="str">
            <v>EUR-NOTE-RETAIL</v>
          </cell>
          <cell r="D831">
            <v>20221116</v>
          </cell>
          <cell r="E831">
            <v>1039.0999999999999</v>
          </cell>
        </row>
        <row r="832">
          <cell r="A832" t="str">
            <v>BE6312424524</v>
          </cell>
          <cell r="B832" t="str">
            <v>KBC-Life MI+ Value Selection 90-5 Cap</v>
          </cell>
          <cell r="C832" t="str">
            <v>EUR-NOTE-RETAIL</v>
          </cell>
          <cell r="D832">
            <v>20221116</v>
          </cell>
          <cell r="E832">
            <v>1047.71</v>
          </cell>
        </row>
        <row r="833">
          <cell r="A833" t="str">
            <v>BE6317574612</v>
          </cell>
          <cell r="B833" t="str">
            <v>KBC-Life MI+ World Selection 90 Short Term-1 Cap</v>
          </cell>
          <cell r="C833" t="str">
            <v>EUR-NOTE-RETAIL</v>
          </cell>
          <cell r="D833">
            <v>20221116</v>
          </cell>
          <cell r="E833">
            <v>932.63</v>
          </cell>
        </row>
        <row r="834">
          <cell r="A834" t="str">
            <v>BE6318392063</v>
          </cell>
          <cell r="B834" t="str">
            <v>KBC-Life MI+ World Selection 90 Short Term-2 Cap</v>
          </cell>
          <cell r="C834" t="str">
            <v>EUR-NOTE-RETAIL</v>
          </cell>
          <cell r="D834">
            <v>20221116</v>
          </cell>
          <cell r="E834">
            <v>1230.42</v>
          </cell>
        </row>
        <row r="835">
          <cell r="A835" t="str">
            <v>BE6319055875</v>
          </cell>
          <cell r="B835" t="str">
            <v>KBC-Life MI+ World Selection 90 Short Term-3 Cap</v>
          </cell>
          <cell r="C835" t="str">
            <v>EUR-NOTE-RETAIL</v>
          </cell>
          <cell r="D835">
            <v>20221116</v>
          </cell>
          <cell r="E835">
            <v>1218.9000000000001</v>
          </cell>
        </row>
        <row r="836">
          <cell r="A836" t="str">
            <v>BE6296789348</v>
          </cell>
          <cell r="B836" t="str">
            <v>KBC-Life MI+ World Selection 90-1 Cap</v>
          </cell>
          <cell r="C836" t="str">
            <v>EUR-NOTE-RETAIL</v>
          </cell>
          <cell r="D836">
            <v>20221116</v>
          </cell>
          <cell r="E836">
            <v>914.05</v>
          </cell>
        </row>
        <row r="837">
          <cell r="A837" t="str">
            <v>BE6297596650</v>
          </cell>
          <cell r="B837" t="str">
            <v>KBC-Life MI+ World Selection 90-2 Cap</v>
          </cell>
          <cell r="C837" t="str">
            <v>EUR-NOTE-RETAIL</v>
          </cell>
          <cell r="D837">
            <v>20221116</v>
          </cell>
          <cell r="E837">
            <v>903.57</v>
          </cell>
        </row>
        <row r="838">
          <cell r="A838" t="str">
            <v>BE6298148352</v>
          </cell>
          <cell r="B838" t="str">
            <v>KBC-Life MI+ World Selection 90-3 Cap</v>
          </cell>
          <cell r="C838" t="str">
            <v>EUR-NOTE-RETAIL</v>
          </cell>
          <cell r="D838">
            <v>20221116</v>
          </cell>
          <cell r="E838">
            <v>932.25</v>
          </cell>
        </row>
        <row r="839">
          <cell r="A839" t="str">
            <v>BE6298803113</v>
          </cell>
          <cell r="B839" t="str">
            <v>KBC-Life MI+ World Selection 90-4 Cap</v>
          </cell>
          <cell r="C839" t="str">
            <v>EUR-NOTE-RETAIL</v>
          </cell>
          <cell r="D839">
            <v>20221116</v>
          </cell>
          <cell r="E839">
            <v>938.37</v>
          </cell>
        </row>
        <row r="840">
          <cell r="A840" t="str">
            <v>BE6299789279</v>
          </cell>
          <cell r="B840" t="str">
            <v>KBC-Life MI+ World Selection 90-5 Cap</v>
          </cell>
          <cell r="C840" t="str">
            <v>EUR-NOTE-RETAIL</v>
          </cell>
          <cell r="D840">
            <v>20221116</v>
          </cell>
          <cell r="E840">
            <v>933.26</v>
          </cell>
        </row>
        <row r="841">
          <cell r="A841" t="str">
            <v>BE6300815832</v>
          </cell>
          <cell r="B841" t="str">
            <v>KBC-Life MI+ World Selection 90-6 Cap</v>
          </cell>
          <cell r="C841" t="str">
            <v>EUR-NOTE-RETAIL</v>
          </cell>
          <cell r="D841">
            <v>20221116</v>
          </cell>
          <cell r="E841">
            <v>963.3</v>
          </cell>
        </row>
        <row r="842">
          <cell r="A842" t="str">
            <v>BE6301358444</v>
          </cell>
          <cell r="B842" t="str">
            <v>KBC-Life MI+ World Selection 90-7 Cap</v>
          </cell>
          <cell r="C842" t="str">
            <v>EUR-NOTE-RETAIL</v>
          </cell>
          <cell r="D842">
            <v>20221116</v>
          </cell>
          <cell r="E842">
            <v>972.12</v>
          </cell>
        </row>
        <row r="843">
          <cell r="A843" t="str">
            <v>BE0944386912</v>
          </cell>
          <cell r="B843" t="str">
            <v>KBC-Life Multinvest Cash Cap</v>
          </cell>
          <cell r="C843" t="str">
            <v>KAP</v>
          </cell>
          <cell r="D843">
            <v>20221117</v>
          </cell>
          <cell r="E843">
            <v>305.86</v>
          </cell>
        </row>
        <row r="844">
          <cell r="A844" t="str">
            <v>BE0389433757</v>
          </cell>
          <cell r="B844" t="str">
            <v>KBC-Life Neutral Cap</v>
          </cell>
          <cell r="C844" t="str">
            <v>KAP</v>
          </cell>
          <cell r="D844">
            <v>20221117</v>
          </cell>
          <cell r="E844">
            <v>413.5</v>
          </cell>
        </row>
        <row r="845">
          <cell r="A845" t="str">
            <v>BE6331241511</v>
          </cell>
          <cell r="B845" t="str">
            <v>KBC-Life PP ExpertEase SRI Def. Conservative Cap</v>
          </cell>
          <cell r="C845" t="str">
            <v>EUR-KAP-INST.LIFEPP</v>
          </cell>
          <cell r="D845">
            <v>20221117</v>
          </cell>
          <cell r="E845">
            <v>963.49</v>
          </cell>
        </row>
        <row r="846">
          <cell r="A846" t="str">
            <v>BE6333929238</v>
          </cell>
          <cell r="B846" t="str">
            <v>KBC-Life PP SRI Highly Dyn. Cap</v>
          </cell>
          <cell r="C846" t="str">
            <v>EUR-KAP-INST.LIFEPP</v>
          </cell>
          <cell r="D846">
            <v>20221117</v>
          </cell>
          <cell r="E846">
            <v>900.24</v>
          </cell>
        </row>
        <row r="847">
          <cell r="A847" t="str">
            <v>BE0389225617</v>
          </cell>
          <cell r="B847" t="str">
            <v>KBC-Life Privil. Portf. Def. Cap</v>
          </cell>
          <cell r="C847" t="str">
            <v>KAP</v>
          </cell>
          <cell r="D847">
            <v>20221117</v>
          </cell>
          <cell r="E847">
            <v>316.77999999999997</v>
          </cell>
        </row>
        <row r="848">
          <cell r="A848" t="str">
            <v>BE0389226623</v>
          </cell>
          <cell r="B848" t="str">
            <v>KBC-Life Privil. Portf. Dyn. Cap</v>
          </cell>
          <cell r="C848" t="str">
            <v>KAP</v>
          </cell>
          <cell r="D848">
            <v>20221117</v>
          </cell>
          <cell r="E848">
            <v>341.27</v>
          </cell>
        </row>
        <row r="849">
          <cell r="A849" t="str">
            <v>BE0389227639</v>
          </cell>
          <cell r="B849" t="str">
            <v>KBC-Life Privil. Portf. Highly Dyn. Cap</v>
          </cell>
          <cell r="C849" t="str">
            <v>KAP</v>
          </cell>
          <cell r="D849">
            <v>20221117</v>
          </cell>
          <cell r="E849">
            <v>332.8</v>
          </cell>
        </row>
        <row r="850">
          <cell r="A850" t="str">
            <v>BE0945115443</v>
          </cell>
          <cell r="B850" t="str">
            <v>KBC-Life Privil. Portf. Protected 90 August Cap</v>
          </cell>
          <cell r="C850" t="str">
            <v>KAP</v>
          </cell>
          <cell r="D850">
            <v>20221118</v>
          </cell>
          <cell r="E850">
            <v>319.89</v>
          </cell>
        </row>
        <row r="851">
          <cell r="A851" t="str">
            <v>BE0944242446</v>
          </cell>
          <cell r="B851" t="str">
            <v>KBC-Life Privil. Portf. Protected 90 February Cap</v>
          </cell>
          <cell r="C851" t="str">
            <v>KAP</v>
          </cell>
          <cell r="D851">
            <v>20221118</v>
          </cell>
          <cell r="E851">
            <v>371.41</v>
          </cell>
        </row>
        <row r="852">
          <cell r="A852" t="str">
            <v>BE0942713679</v>
          </cell>
          <cell r="B852" t="str">
            <v>KBC-Life Privil. Portf. Protected 90 May Cap</v>
          </cell>
          <cell r="C852" t="str">
            <v>KAP</v>
          </cell>
          <cell r="D852">
            <v>20221118</v>
          </cell>
          <cell r="E852">
            <v>398.61</v>
          </cell>
        </row>
        <row r="853">
          <cell r="A853" t="str">
            <v>BE0943820101</v>
          </cell>
          <cell r="B853" t="str">
            <v>KBC-Life Privil. Portf. Protected 90 November Cap</v>
          </cell>
          <cell r="C853" t="str">
            <v>KAP</v>
          </cell>
          <cell r="D853">
            <v>20221118</v>
          </cell>
          <cell r="E853">
            <v>385.34</v>
          </cell>
        </row>
        <row r="854">
          <cell r="A854" t="str">
            <v>BE6289843722</v>
          </cell>
          <cell r="B854" t="str">
            <v>KBC-Life S Cash Cap</v>
          </cell>
          <cell r="C854" t="str">
            <v>DIV</v>
          </cell>
          <cell r="D854">
            <v>20221117</v>
          </cell>
          <cell r="E854">
            <v>305.86</v>
          </cell>
        </row>
        <row r="855">
          <cell r="A855" t="str">
            <v>BE6289852814</v>
          </cell>
          <cell r="B855" t="str">
            <v>KBC-Life S Comfort4Life Dyn. Cap</v>
          </cell>
          <cell r="C855" t="str">
            <v>KAP</v>
          </cell>
          <cell r="D855">
            <v>20221117</v>
          </cell>
          <cell r="E855">
            <v>1185.08</v>
          </cell>
        </row>
        <row r="856">
          <cell r="A856" t="str">
            <v>BE6289844738</v>
          </cell>
          <cell r="B856" t="str">
            <v>KBC-Life S Def. Cap</v>
          </cell>
          <cell r="C856" t="str">
            <v>DIV</v>
          </cell>
          <cell r="D856">
            <v>20221117</v>
          </cell>
          <cell r="E856">
            <v>358.9</v>
          </cell>
        </row>
        <row r="857">
          <cell r="A857" t="str">
            <v>BE6289847764</v>
          </cell>
          <cell r="B857" t="str">
            <v>KBC-Life S Dyn. Cap</v>
          </cell>
          <cell r="C857" t="str">
            <v>DIV</v>
          </cell>
          <cell r="D857">
            <v>20221117</v>
          </cell>
          <cell r="E857">
            <v>443.91</v>
          </cell>
        </row>
        <row r="858">
          <cell r="A858" t="str">
            <v>BE6324692019</v>
          </cell>
          <cell r="B858" t="str">
            <v>KBC-Life S European Telecom Timing-1 Cap</v>
          </cell>
          <cell r="C858" t="str">
            <v>EUR-KAP-RETAIL</v>
          </cell>
          <cell r="D858">
            <v>20221031</v>
          </cell>
          <cell r="E858">
            <v>800.28</v>
          </cell>
        </row>
        <row r="859">
          <cell r="A859" t="str">
            <v>BE6289854836</v>
          </cell>
          <cell r="B859" t="str">
            <v>KBC-Life S Flexible Portf. January Cap</v>
          </cell>
          <cell r="C859" t="str">
            <v>KAP</v>
          </cell>
          <cell r="D859">
            <v>20221117</v>
          </cell>
          <cell r="E859">
            <v>1119.6199999999999</v>
          </cell>
        </row>
        <row r="860">
          <cell r="A860" t="str">
            <v>BE6289855841</v>
          </cell>
          <cell r="B860" t="str">
            <v>KBC-Life S Flexible Portf. July Cap</v>
          </cell>
          <cell r="C860" t="str">
            <v>KAP</v>
          </cell>
          <cell r="D860">
            <v>20221117</v>
          </cell>
          <cell r="E860">
            <v>1012.8</v>
          </cell>
        </row>
        <row r="861">
          <cell r="A861" t="str">
            <v>BE6289845743</v>
          </cell>
          <cell r="B861" t="str">
            <v>KBC-Life S Neutral Cap</v>
          </cell>
          <cell r="C861" t="str">
            <v>DIV</v>
          </cell>
          <cell r="D861">
            <v>20221117</v>
          </cell>
          <cell r="E861">
            <v>413.5</v>
          </cell>
        </row>
        <row r="862">
          <cell r="A862" t="str">
            <v>BE6293744932</v>
          </cell>
          <cell r="B862" t="str">
            <v>KBC-Life S Privil. Portf. Protected 90 August Cap</v>
          </cell>
          <cell r="C862" t="str">
            <v>EUR-KAP-RETAIL</v>
          </cell>
          <cell r="D862">
            <v>20221118</v>
          </cell>
          <cell r="E862">
            <v>319.89</v>
          </cell>
        </row>
        <row r="863">
          <cell r="A863" t="str">
            <v>BE6293741904</v>
          </cell>
          <cell r="B863" t="str">
            <v>KBC-Life S Privil. Portf. Protected 90 February Cap</v>
          </cell>
          <cell r="C863" t="str">
            <v>EUR-KAP-RETAIL</v>
          </cell>
          <cell r="D863">
            <v>20221118</v>
          </cell>
          <cell r="E863">
            <v>371.41</v>
          </cell>
        </row>
        <row r="864">
          <cell r="A864" t="str">
            <v>BE6293724736</v>
          </cell>
          <cell r="B864" t="str">
            <v>KBC-Life S Privil. Portf. Protected 90 May Cap</v>
          </cell>
          <cell r="C864" t="str">
            <v>EUR-KAP-RETAIL</v>
          </cell>
          <cell r="D864">
            <v>20221118</v>
          </cell>
          <cell r="E864">
            <v>398.61</v>
          </cell>
        </row>
        <row r="865">
          <cell r="A865" t="str">
            <v>BE6293734834</v>
          </cell>
          <cell r="B865" t="str">
            <v>KBC-Life S Privil. Portf. Protected 90 November Cap</v>
          </cell>
          <cell r="C865" t="str">
            <v>EUR-KAP-RETAIL</v>
          </cell>
          <cell r="D865">
            <v>20221118</v>
          </cell>
          <cell r="E865">
            <v>385.34</v>
          </cell>
        </row>
        <row r="866">
          <cell r="A866" t="str">
            <v>BE6333932265</v>
          </cell>
          <cell r="B866" t="str">
            <v>KBC-Life S SRI Highly Dyn. Cap</v>
          </cell>
          <cell r="C866" t="str">
            <v>EUR-KAP-INST.LIFESOL</v>
          </cell>
          <cell r="D866">
            <v>20221117</v>
          </cell>
          <cell r="E866">
            <v>900.24</v>
          </cell>
        </row>
        <row r="867">
          <cell r="A867" t="str">
            <v>BE6299619518</v>
          </cell>
          <cell r="B867" t="str">
            <v>KBC-Life S Trends Cap</v>
          </cell>
          <cell r="C867" t="str">
            <v>EUR-KAP-RETAIL</v>
          </cell>
          <cell r="D867">
            <v>20221117</v>
          </cell>
          <cell r="E867">
            <v>478.04</v>
          </cell>
        </row>
        <row r="868">
          <cell r="A868" t="str">
            <v>BE6299618502</v>
          </cell>
          <cell r="B868" t="str">
            <v>KBC-Life S World Equities Cap</v>
          </cell>
          <cell r="C868" t="str">
            <v>EUR-KAP-RETAIL</v>
          </cell>
          <cell r="D868">
            <v>20221117</v>
          </cell>
          <cell r="E868">
            <v>319.62</v>
          </cell>
        </row>
        <row r="869">
          <cell r="A869" t="str">
            <v>BE6337106965</v>
          </cell>
          <cell r="B869" t="str">
            <v>KBC-Life S4 Comfort SRI Def. Cap</v>
          </cell>
          <cell r="C869" t="str">
            <v>EUR-KAP-PRIV.LIFESOL4</v>
          </cell>
          <cell r="D869">
            <v>20221117</v>
          </cell>
          <cell r="E869">
            <v>922.68</v>
          </cell>
        </row>
        <row r="870">
          <cell r="A870" t="str">
            <v>BE6337107971</v>
          </cell>
          <cell r="B870" t="str">
            <v>KBC-Life S4 Comfort SRI Dyn. Cap</v>
          </cell>
          <cell r="C870" t="str">
            <v>EUR-KAP-PRIV.LIFESOL4</v>
          </cell>
          <cell r="D870">
            <v>20221117</v>
          </cell>
          <cell r="E870">
            <v>1039.69</v>
          </cell>
        </row>
        <row r="871">
          <cell r="A871" t="str">
            <v>BE6337110033</v>
          </cell>
          <cell r="B871" t="str">
            <v>KBC-Life S4 Comfort SRI Dyn. High Cap</v>
          </cell>
          <cell r="C871" t="str">
            <v>EUR-KAP-PRIV.LIFESOL4</v>
          </cell>
          <cell r="D871">
            <v>20221117</v>
          </cell>
          <cell r="E871">
            <v>899.99</v>
          </cell>
        </row>
        <row r="872">
          <cell r="A872" t="str">
            <v>BE6337111049</v>
          </cell>
          <cell r="B872" t="str">
            <v>KBC-Life S4 Expert Trends Dyn. Cap</v>
          </cell>
          <cell r="C872" t="str">
            <v>EUR-KAP-RET.LIFESOL4</v>
          </cell>
          <cell r="D872">
            <v>20221117</v>
          </cell>
          <cell r="E872">
            <v>853.15</v>
          </cell>
        </row>
        <row r="873">
          <cell r="A873" t="str">
            <v>BE6333207775</v>
          </cell>
          <cell r="B873" t="str">
            <v>KBC-Life S4 ExpertEase SRI Neutral Cap</v>
          </cell>
          <cell r="C873" t="str">
            <v>EUR-KAP-INST.LIFESOL4</v>
          </cell>
          <cell r="D873">
            <v>20221117</v>
          </cell>
          <cell r="E873">
            <v>1053.24</v>
          </cell>
        </row>
        <row r="874">
          <cell r="A874" t="str">
            <v>BE6337112054</v>
          </cell>
          <cell r="B874" t="str">
            <v>KBC-Life S4 Impact Investing Cap</v>
          </cell>
          <cell r="C874" t="str">
            <v>EUR-KAP-RET.LIFESOL4</v>
          </cell>
          <cell r="D874">
            <v>20220912</v>
          </cell>
          <cell r="E874">
            <v>1000</v>
          </cell>
        </row>
        <row r="875">
          <cell r="A875" t="str">
            <v>BE6334547591</v>
          </cell>
          <cell r="B875" t="str">
            <v>KBC-Life S4 SRI Def. Cap</v>
          </cell>
          <cell r="C875" t="str">
            <v>EUR-KAP-INST.LIFESOL4</v>
          </cell>
          <cell r="D875">
            <v>20221117</v>
          </cell>
          <cell r="E875">
            <v>933.33</v>
          </cell>
        </row>
        <row r="876">
          <cell r="A876" t="str">
            <v>BE6310163223</v>
          </cell>
          <cell r="B876" t="str">
            <v>KBC-Life SRI Def. Cap</v>
          </cell>
          <cell r="C876" t="str">
            <v>EUR-KAP-INSTITUTIONEEL</v>
          </cell>
          <cell r="D876">
            <v>20221117</v>
          </cell>
          <cell r="E876">
            <v>933.33</v>
          </cell>
        </row>
        <row r="877">
          <cell r="A877" t="str">
            <v>BE6310164239</v>
          </cell>
          <cell r="B877" t="str">
            <v>KBC-Life SRI Neutral Cap</v>
          </cell>
          <cell r="C877" t="str">
            <v>EUR-KAP-INSTITUTIONEEL</v>
          </cell>
          <cell r="D877">
            <v>20221117</v>
          </cell>
          <cell r="E877">
            <v>1034.82</v>
          </cell>
        </row>
        <row r="878">
          <cell r="A878" t="str">
            <v>BE0389166027</v>
          </cell>
          <cell r="B878" t="str">
            <v>KBC-Life World Equities Cap</v>
          </cell>
          <cell r="C878" t="str">
            <v>KAP</v>
          </cell>
          <cell r="D878">
            <v>20221117</v>
          </cell>
          <cell r="E878">
            <v>319.62</v>
          </cell>
        </row>
        <row r="879">
          <cell r="A879" t="str">
            <v>BE6295853681</v>
          </cell>
          <cell r="B879" t="str">
            <v>Optimum Fund CSOB Airbag Jumper EUR 11 Cap</v>
          </cell>
          <cell r="C879" t="str">
            <v>EUR-KAP-RETAIL</v>
          </cell>
          <cell r="D879">
            <v>20221116</v>
          </cell>
          <cell r="E879">
            <v>11.22</v>
          </cell>
        </row>
        <row r="880">
          <cell r="A880" t="str">
            <v>BE6298900117</v>
          </cell>
          <cell r="B880" t="str">
            <v>Optimum Fund CSOB Airbag Jumper EUR 12 Cap</v>
          </cell>
          <cell r="C880" t="str">
            <v>EUR-KAP-RETAIL.PRIVBK</v>
          </cell>
          <cell r="D880">
            <v>20221116</v>
          </cell>
          <cell r="E880">
            <v>9.91</v>
          </cell>
        </row>
        <row r="881">
          <cell r="A881" t="str">
            <v>BE6302305212</v>
          </cell>
          <cell r="B881" t="str">
            <v>Optimum Fund CSOB Airbag Jumper EUR 13 Cap</v>
          </cell>
          <cell r="C881" t="str">
            <v>EUR-KAP-RETAIL.PRIVBK</v>
          </cell>
          <cell r="D881">
            <v>20221116</v>
          </cell>
          <cell r="E881">
            <v>10.67</v>
          </cell>
        </row>
        <row r="882">
          <cell r="A882" t="str">
            <v>BE6312053695</v>
          </cell>
          <cell r="B882" t="str">
            <v>Optimum Fund CSOB Airbag Jumper EUR 15 Cap</v>
          </cell>
          <cell r="C882" t="str">
            <v>EUR-KAP-RETAIL.PRIVBK</v>
          </cell>
          <cell r="D882">
            <v>20221116</v>
          </cell>
          <cell r="E882">
            <v>8.8000000000000007</v>
          </cell>
        </row>
        <row r="883">
          <cell r="A883" t="str">
            <v>BE6293169031</v>
          </cell>
          <cell r="B883" t="str">
            <v>Optimum Fund CSOB Banky a pojist'ovny 1 Cap</v>
          </cell>
          <cell r="C883" t="str">
            <v>CZK-KAP-RETAIL</v>
          </cell>
          <cell r="D883">
            <v>20221116</v>
          </cell>
          <cell r="E883">
            <v>10.36</v>
          </cell>
        </row>
        <row r="884">
          <cell r="A884" t="str">
            <v>BE6277441869</v>
          </cell>
          <cell r="B884" t="str">
            <v>Optimum Fund CSOB Flexibilní plán Cap</v>
          </cell>
          <cell r="C884" t="str">
            <v>CZK-KAP-RETAIL</v>
          </cell>
          <cell r="D884">
            <v>20221118</v>
          </cell>
          <cell r="E884">
            <v>961.82</v>
          </cell>
        </row>
        <row r="885">
          <cell r="A885" t="str">
            <v>BE6277443881</v>
          </cell>
          <cell r="B885" t="str">
            <v>Optimum Fund CSOB Flexibilní portfolio Cap</v>
          </cell>
          <cell r="C885" t="str">
            <v>CZK-KAP-RETAIL</v>
          </cell>
          <cell r="D885">
            <v>20221118</v>
          </cell>
          <cell r="E885">
            <v>898.23</v>
          </cell>
        </row>
        <row r="886">
          <cell r="A886" t="str">
            <v>BE0948725651</v>
          </cell>
          <cell r="B886" t="str">
            <v>Optimum Fund CSOB Kratkodobych dluhopisu Classic Shares Cap</v>
          </cell>
          <cell r="C886" t="str">
            <v>CZK-KAP-RETAIL</v>
          </cell>
          <cell r="D886">
            <v>20221118</v>
          </cell>
          <cell r="E886">
            <v>107.1</v>
          </cell>
        </row>
        <row r="887">
          <cell r="A887" t="str">
            <v>BE0948724647</v>
          </cell>
          <cell r="B887" t="str">
            <v>Optimum Fund CSOB Kratkodobych dluhopisu Classic Shares Dis (empty)</v>
          </cell>
          <cell r="C887" t="str">
            <v>CZK-DIV-RETAIL</v>
          </cell>
          <cell r="D887">
            <v>20100520</v>
          </cell>
          <cell r="E887">
            <v>101.9</v>
          </cell>
        </row>
        <row r="888">
          <cell r="A888" t="str">
            <v>BE6280425636</v>
          </cell>
          <cell r="B888" t="str">
            <v>Optimum Fund CSOB Kratkodobych dluhopisu Inst. B Shares Cap</v>
          </cell>
          <cell r="C888" t="str">
            <v>CZK-KAP-INSTIT.B</v>
          </cell>
          <cell r="D888">
            <v>20221118</v>
          </cell>
          <cell r="E888">
            <v>1042.56</v>
          </cell>
        </row>
        <row r="889">
          <cell r="A889" t="str">
            <v>BE6332922838</v>
          </cell>
          <cell r="B889" t="str">
            <v>Optimum Fund CSOB Lookback 2 Cap</v>
          </cell>
          <cell r="C889" t="str">
            <v>CZK-KAP-RETAIL.PRIVBK</v>
          </cell>
          <cell r="D889">
            <v>20221116</v>
          </cell>
          <cell r="E889">
            <v>9.48</v>
          </cell>
        </row>
        <row r="890">
          <cell r="A890" t="str">
            <v>BE6327054357</v>
          </cell>
          <cell r="B890" t="str">
            <v>Optimum Fund CSOB Odvážný Classic Shares Cap</v>
          </cell>
          <cell r="C890" t="str">
            <v>CZK-KAP-RETAIL</v>
          </cell>
          <cell r="D890">
            <v>20221118</v>
          </cell>
          <cell r="E890">
            <v>945.8</v>
          </cell>
        </row>
        <row r="891">
          <cell r="A891" t="str">
            <v>BE6285869754</v>
          </cell>
          <cell r="B891" t="str">
            <v>Optimum Fund CSOB Odvážný Classic Shares CSOB Premium Cap</v>
          </cell>
          <cell r="C891" t="str">
            <v>CZK-KAP-CSOB PREM.BANKING</v>
          </cell>
          <cell r="D891">
            <v>20221118</v>
          </cell>
          <cell r="E891">
            <v>1165.8900000000001</v>
          </cell>
        </row>
        <row r="892">
          <cell r="A892" t="str">
            <v>BE6252470446</v>
          </cell>
          <cell r="B892" t="str">
            <v>Optimum Fund CSOB Odvážný Classic Shares CSOB Private Banking Cap</v>
          </cell>
          <cell r="C892" t="str">
            <v>CZK-KAP-CSOB PRIV.BANKING</v>
          </cell>
          <cell r="D892">
            <v>20221118</v>
          </cell>
          <cell r="E892">
            <v>1276.1300000000001</v>
          </cell>
        </row>
        <row r="893">
          <cell r="A893" t="str">
            <v>BE6327056378</v>
          </cell>
          <cell r="B893" t="str">
            <v>Optimum Fund CSOB Opatrný Classic Shares Cap</v>
          </cell>
          <cell r="C893" t="str">
            <v>CZK-KAP-RETAIL</v>
          </cell>
          <cell r="D893">
            <v>20221118</v>
          </cell>
          <cell r="E893">
            <v>947.07</v>
          </cell>
        </row>
        <row r="894">
          <cell r="A894" t="str">
            <v>BE6285923320</v>
          </cell>
          <cell r="B894" t="str">
            <v>Optimum Fund CSOB Opatrný Classic Shares CSOB Premium Cap</v>
          </cell>
          <cell r="C894" t="str">
            <v>CZK-KAP-CSOB PREM.BANKING</v>
          </cell>
          <cell r="D894">
            <v>20221118</v>
          </cell>
          <cell r="E894">
            <v>1098.69</v>
          </cell>
        </row>
        <row r="895">
          <cell r="A895" t="str">
            <v>BE6241648862</v>
          </cell>
          <cell r="B895" t="str">
            <v>Optimum Fund CSOB Opatrný Classic Shares CSOB Private Banking Cap</v>
          </cell>
          <cell r="C895" t="str">
            <v>CZK-KAP-CSOB PRIV.BANKING</v>
          </cell>
          <cell r="D895">
            <v>20221118</v>
          </cell>
          <cell r="E895">
            <v>1224.3699999999999</v>
          </cell>
        </row>
        <row r="896">
          <cell r="A896" t="str">
            <v>BE6282470713</v>
          </cell>
          <cell r="B896" t="str">
            <v>Optimum Fund CSOB Opatrný Classic Shares CSOB Private Banking Dis</v>
          </cell>
          <cell r="C896" t="str">
            <v>CZK-DIV-CSOB PRIV.BANKING</v>
          </cell>
          <cell r="D896">
            <v>20221118</v>
          </cell>
          <cell r="E896">
            <v>1001.57</v>
          </cell>
        </row>
        <row r="897">
          <cell r="A897" t="str">
            <v>BE6290199403</v>
          </cell>
          <cell r="B897" t="str">
            <v>Optimum Fund CSOB Sampioni sportu s dobrym startem 1 Cap</v>
          </cell>
          <cell r="C897" t="str">
            <v>CZK-KAP-RETAIL</v>
          </cell>
          <cell r="D897">
            <v>20221116</v>
          </cell>
          <cell r="E897">
            <v>9.8800000000000008</v>
          </cell>
        </row>
        <row r="898">
          <cell r="A898" t="str">
            <v>BE6304872664</v>
          </cell>
          <cell r="B898" t="str">
            <v>Optimum Fund CSOB Sponzoři sportu 1 Cap</v>
          </cell>
          <cell r="C898" t="str">
            <v>CZK-KAP-RETAIL</v>
          </cell>
          <cell r="D898">
            <v>20221116</v>
          </cell>
          <cell r="E898">
            <v>9.59</v>
          </cell>
        </row>
        <row r="899">
          <cell r="A899" t="str">
            <v>BE6327053342</v>
          </cell>
          <cell r="B899" t="str">
            <v>Optimum Fund CSOB Velmi odvážný Classic Shares Cap</v>
          </cell>
          <cell r="C899" t="str">
            <v>CZK-KAP-RETAIL</v>
          </cell>
          <cell r="D899">
            <v>20221118</v>
          </cell>
          <cell r="E899">
            <v>938.1</v>
          </cell>
        </row>
        <row r="900">
          <cell r="A900" t="str">
            <v>BE6285921308</v>
          </cell>
          <cell r="B900" t="str">
            <v>Optimum Fund CSOB Velmi odvážný Classic Shares CSOB Premium Cap</v>
          </cell>
          <cell r="C900" t="str">
            <v>CZK-KAP-CSOB PREM.BANKING</v>
          </cell>
          <cell r="D900">
            <v>20221118</v>
          </cell>
          <cell r="E900">
            <v>1322.05</v>
          </cell>
        </row>
        <row r="901">
          <cell r="A901" t="str">
            <v>BE6270085051</v>
          </cell>
          <cell r="B901" t="str">
            <v>Optimum Fund CSOB Velmi odvážný Classic Shares CSOB Private Banking Cap</v>
          </cell>
          <cell r="C901" t="str">
            <v>CZK-KAP-CSOB PRIV.BANKING</v>
          </cell>
          <cell r="D901">
            <v>20221118</v>
          </cell>
          <cell r="E901">
            <v>1328.64</v>
          </cell>
        </row>
        <row r="902">
          <cell r="A902" t="str">
            <v>BE6327055362</v>
          </cell>
          <cell r="B902" t="str">
            <v>Optimum Fund CSOB Velmi opatrný  Classic Shares Cap</v>
          </cell>
          <cell r="C902" t="str">
            <v>CZK-KAP-RETAIL</v>
          </cell>
          <cell r="D902">
            <v>20221118</v>
          </cell>
          <cell r="E902">
            <v>953.96</v>
          </cell>
        </row>
        <row r="903">
          <cell r="A903" t="str">
            <v>BE6285922314</v>
          </cell>
          <cell r="B903" t="str">
            <v>Optimum Fund CSOB Velmi opatrný  Classic Shares CSOB Premium Cap</v>
          </cell>
          <cell r="C903" t="str">
            <v>CZK-KAP-CSOB PREM.BANKING</v>
          </cell>
          <cell r="D903">
            <v>20221118</v>
          </cell>
          <cell r="E903">
            <v>1006.42</v>
          </cell>
        </row>
        <row r="904">
          <cell r="A904" t="str">
            <v>BE6242540084</v>
          </cell>
          <cell r="B904" t="str">
            <v>Optimum Fund CSOB Velmi opatrný  Classic Shares CSOB Private Banking Cap</v>
          </cell>
          <cell r="C904" t="str">
            <v>CZK-KAP-CSOB PRIV.BANKING</v>
          </cell>
          <cell r="D904">
            <v>20221118</v>
          </cell>
          <cell r="E904">
            <v>1054.75</v>
          </cell>
        </row>
        <row r="905">
          <cell r="A905" t="str">
            <v>BE6282515194</v>
          </cell>
          <cell r="B905" t="str">
            <v>Optimum Fund CSOB Velmi opatrný  Classic Shares CSOB Private Banking Dis</v>
          </cell>
          <cell r="C905" t="str">
            <v>CZK-DIV-CSOB PRIV.BANKING</v>
          </cell>
          <cell r="D905">
            <v>20221118</v>
          </cell>
          <cell r="E905">
            <v>970.47</v>
          </cell>
        </row>
        <row r="906">
          <cell r="A906" t="str">
            <v>BE6304957549</v>
          </cell>
          <cell r="B906" t="str">
            <v>Optimum Fund CSOB Zpetného odkupu 2 Cap</v>
          </cell>
          <cell r="C906" t="str">
            <v>CZK-KAP-RETAIL.PRIVBK</v>
          </cell>
          <cell r="D906">
            <v>20221116</v>
          </cell>
          <cell r="E906">
            <v>10.42</v>
          </cell>
        </row>
        <row r="907">
          <cell r="A907" t="str">
            <v>BE6321625384</v>
          </cell>
          <cell r="B907" t="str">
            <v>Optimum Fund ČSOB Airbag 1 Cap</v>
          </cell>
          <cell r="C907" t="str">
            <v>CZK-KAP-RETAIL.PRIVBK</v>
          </cell>
          <cell r="D907">
            <v>20221116</v>
          </cell>
          <cell r="E907">
            <v>10.1</v>
          </cell>
        </row>
        <row r="908">
          <cell r="A908" t="str">
            <v>BE6322583269</v>
          </cell>
          <cell r="B908" t="str">
            <v>Optimum Fund ČSOB Airbag Amerika 1 Cap</v>
          </cell>
          <cell r="C908" t="str">
            <v>CZK-KAP-RETAIL.PRIVBK</v>
          </cell>
          <cell r="D908">
            <v>20221116</v>
          </cell>
          <cell r="E908">
            <v>10.1</v>
          </cell>
        </row>
        <row r="909">
          <cell r="A909" t="str">
            <v>BE6324294881</v>
          </cell>
          <cell r="B909" t="str">
            <v>Optimum Fund ČSOB Globálních firem 5 Cap</v>
          </cell>
          <cell r="C909" t="str">
            <v>CZK-KAP-RETAIL</v>
          </cell>
          <cell r="D909">
            <v>20221116</v>
          </cell>
          <cell r="E909">
            <v>8.57</v>
          </cell>
        </row>
        <row r="910">
          <cell r="A910" t="str">
            <v>BE6329232795</v>
          </cell>
          <cell r="B910" t="str">
            <v>Optimum Fund ČSOB Globálních firem 7 Cap</v>
          </cell>
          <cell r="C910" t="str">
            <v>CZK-KAP-RETAIL.PRIVBK</v>
          </cell>
          <cell r="D910">
            <v>20221116</v>
          </cell>
          <cell r="E910">
            <v>8.58</v>
          </cell>
        </row>
        <row r="911">
          <cell r="A911" t="str">
            <v>BE6323306702</v>
          </cell>
          <cell r="B911" t="str">
            <v>Optimum Fund ČSOB Lookback 1 Cap</v>
          </cell>
          <cell r="C911" t="str">
            <v>CZK-KAP-RETAIL.PRIVBK</v>
          </cell>
          <cell r="D911">
            <v>20221116</v>
          </cell>
          <cell r="E911">
            <v>9.15</v>
          </cell>
        </row>
        <row r="912">
          <cell r="A912" t="str">
            <v>BE6308824414</v>
          </cell>
          <cell r="B912" t="str">
            <v>Optimum Fund ČSOB Private Banking Family Enterprises 1 Cap</v>
          </cell>
          <cell r="C912" t="str">
            <v>CZK-KAP-PRIV.BK</v>
          </cell>
          <cell r="D912">
            <v>20221116</v>
          </cell>
          <cell r="E912">
            <v>10.43</v>
          </cell>
        </row>
        <row r="913">
          <cell r="A913" t="str">
            <v>BE6306356955</v>
          </cell>
          <cell r="B913" t="str">
            <v>Optimum Fund ČSOB Světové trhy 2 Cap</v>
          </cell>
          <cell r="C913" t="str">
            <v>CZK-KAP-PRIV.BK</v>
          </cell>
          <cell r="D913">
            <v>20221116</v>
          </cell>
          <cell r="E913">
            <v>10.32</v>
          </cell>
        </row>
        <row r="914">
          <cell r="A914" t="str">
            <v>BE6318058607</v>
          </cell>
          <cell r="B914" t="str">
            <v>Optimum Fund ČSOB Světové trhy 3 Cap</v>
          </cell>
          <cell r="C914" t="str">
            <v>CZK-KAP-RETAIL</v>
          </cell>
          <cell r="D914">
            <v>20221116</v>
          </cell>
          <cell r="E914">
            <v>11.26</v>
          </cell>
        </row>
        <row r="915">
          <cell r="A915" t="str">
            <v>BE6310265275</v>
          </cell>
          <cell r="B915" t="str">
            <v>Optimum Fund ČSOB Světových firem s lookbackem 1 Cap</v>
          </cell>
          <cell r="C915" t="str">
            <v>CZK-KAP-PRIV.BK</v>
          </cell>
          <cell r="D915">
            <v>20221116</v>
          </cell>
          <cell r="E915">
            <v>9.58</v>
          </cell>
        </row>
        <row r="916">
          <cell r="A916" t="str">
            <v>BE6312530619</v>
          </cell>
          <cell r="B916" t="str">
            <v>Optimum Fund ČSOB Světových firem s lookbackem 2 Cap</v>
          </cell>
          <cell r="C916" t="str">
            <v>CZK-KAP-RETAIL.PRIVBK</v>
          </cell>
          <cell r="D916">
            <v>20221116</v>
          </cell>
          <cell r="E916">
            <v>9.26</v>
          </cell>
        </row>
        <row r="917">
          <cell r="A917" t="str">
            <v>BE6308810272</v>
          </cell>
          <cell r="B917" t="str">
            <v>Optimum Fund ČSOB Zboží dlouhodobé spotřeby 1 Cap</v>
          </cell>
          <cell r="C917" t="str">
            <v>CZK-KAP-RETAIL.PRIVBK</v>
          </cell>
          <cell r="D917">
            <v>20221116</v>
          </cell>
          <cell r="E917">
            <v>9.83</v>
          </cell>
        </row>
        <row r="918">
          <cell r="A918" t="str">
            <v>BE6316179249</v>
          </cell>
          <cell r="B918" t="str">
            <v>Optimum Fund Enhanced Intelligence Cap</v>
          </cell>
          <cell r="C918" t="str">
            <v>EUR-KAP-RETAIL</v>
          </cell>
          <cell r="D918">
            <v>20221118</v>
          </cell>
          <cell r="E918">
            <v>994.95</v>
          </cell>
        </row>
        <row r="919">
          <cell r="A919" t="str">
            <v>BE6316180254</v>
          </cell>
          <cell r="B919" t="str">
            <v>Optimum Fund Enhanced Intelligence Dis</v>
          </cell>
          <cell r="C919" t="str">
            <v>EUR-DIV-RETAIL</v>
          </cell>
          <cell r="D919">
            <v>20221118</v>
          </cell>
          <cell r="E919">
            <v>986.8</v>
          </cell>
        </row>
        <row r="920">
          <cell r="A920" t="str">
            <v>BE6314415066</v>
          </cell>
          <cell r="B920" t="str">
            <v>Optimum Fund Exclusive Step In World 1 Cap</v>
          </cell>
          <cell r="C920" t="str">
            <v>EUR-KAP-RETAIL</v>
          </cell>
          <cell r="D920">
            <v>20221116</v>
          </cell>
          <cell r="E920">
            <v>953.63</v>
          </cell>
        </row>
        <row r="921">
          <cell r="A921" t="str">
            <v>BE6314827302</v>
          </cell>
          <cell r="B921" t="str">
            <v>Optimum Fund Exclusive Step In World 2 Cap</v>
          </cell>
          <cell r="C921" t="str">
            <v>EUR-KAP-RETAIL</v>
          </cell>
          <cell r="D921">
            <v>20221116</v>
          </cell>
          <cell r="E921">
            <v>956.58</v>
          </cell>
        </row>
        <row r="922">
          <cell r="A922" t="str">
            <v>BE6337356552</v>
          </cell>
          <cell r="B922" t="str">
            <v>Optimum Fund K&amp;H fix+ egészség Cap</v>
          </cell>
          <cell r="C922" t="str">
            <v>HUF-KAP-RETAIL</v>
          </cell>
          <cell r="D922">
            <v>20221031</v>
          </cell>
          <cell r="E922">
            <v>10000</v>
          </cell>
        </row>
        <row r="923">
          <cell r="A923" t="str">
            <v>BE6315792257</v>
          </cell>
          <cell r="B923" t="str">
            <v>Optimum Fund Step In World 1 Cap</v>
          </cell>
          <cell r="C923" t="str">
            <v>EUR-KAP-RET.PVBK.WEALTH</v>
          </cell>
          <cell r="D923">
            <v>20221116</v>
          </cell>
          <cell r="E923">
            <v>923.03</v>
          </cell>
        </row>
        <row r="924">
          <cell r="A924" t="str">
            <v>BE6316202470</v>
          </cell>
          <cell r="B924" t="str">
            <v>Optimum Fund Step In World 2 Cap</v>
          </cell>
          <cell r="C924" t="str">
            <v>EUR-KAP-RETAIL</v>
          </cell>
          <cell r="D924">
            <v>20221116</v>
          </cell>
          <cell r="E924">
            <v>907.66</v>
          </cell>
        </row>
        <row r="925">
          <cell r="A925" t="str">
            <v>BE6316995644</v>
          </cell>
          <cell r="B925" t="str">
            <v>Optimum Fund Step In World 4 Cap</v>
          </cell>
          <cell r="C925" t="str">
            <v>EUR-KAP-RETAIL</v>
          </cell>
          <cell r="D925">
            <v>20221116</v>
          </cell>
          <cell r="E925">
            <v>935.15</v>
          </cell>
        </row>
        <row r="926">
          <cell r="A926" t="str">
            <v>BE6307113769</v>
          </cell>
          <cell r="B926" t="str">
            <v>Perspective America 100 Timing USD 1 Cap</v>
          </cell>
          <cell r="C926" t="str">
            <v>USD-KAP-RETAIL</v>
          </cell>
          <cell r="D926">
            <v>20221116</v>
          </cell>
          <cell r="E926">
            <v>1157.6600000000001</v>
          </cell>
        </row>
        <row r="927">
          <cell r="A927" t="str">
            <v>BE6307616944</v>
          </cell>
          <cell r="B927" t="str">
            <v>Perspective America 100 Timing USD 2 Cap</v>
          </cell>
          <cell r="C927" t="str">
            <v>USD-KAP-RETAIL</v>
          </cell>
          <cell r="D927">
            <v>20221116</v>
          </cell>
          <cell r="E927">
            <v>1158.6400000000001</v>
          </cell>
        </row>
        <row r="928">
          <cell r="A928" t="str">
            <v>BE6308657681</v>
          </cell>
          <cell r="B928" t="str">
            <v>Perspective America 100 Timing USD 3 Cap</v>
          </cell>
          <cell r="C928" t="str">
            <v>USD-KAP-RETAIL</v>
          </cell>
          <cell r="D928">
            <v>20221116</v>
          </cell>
          <cell r="E928">
            <v>1165.7</v>
          </cell>
        </row>
        <row r="929">
          <cell r="A929" t="str">
            <v>BE6309481198</v>
          </cell>
          <cell r="B929" t="str">
            <v>Perspective America 100 Timing USD 4 Cap</v>
          </cell>
          <cell r="C929" t="str">
            <v>USD-KAP-RETAIL</v>
          </cell>
          <cell r="D929">
            <v>20221116</v>
          </cell>
          <cell r="E929">
            <v>1119.8499999999999</v>
          </cell>
        </row>
        <row r="930">
          <cell r="A930" t="str">
            <v>BE6310188477</v>
          </cell>
          <cell r="B930" t="str">
            <v>Perspective America 100 Timing USD 5 Cap</v>
          </cell>
          <cell r="C930" t="str">
            <v>USD-KAP-RETAIL</v>
          </cell>
          <cell r="D930">
            <v>20221116</v>
          </cell>
          <cell r="E930">
            <v>1074.97</v>
          </cell>
        </row>
        <row r="931">
          <cell r="A931" t="str">
            <v>BE6311001844</v>
          </cell>
          <cell r="B931" t="str">
            <v>Perspective America 100 Timing USD 6 Cap</v>
          </cell>
          <cell r="C931" t="str">
            <v>USD-KAP-RETAIL</v>
          </cell>
          <cell r="D931">
            <v>20221116</v>
          </cell>
          <cell r="E931">
            <v>1082.9100000000001</v>
          </cell>
        </row>
        <row r="932">
          <cell r="A932" t="str">
            <v>BE6307937274</v>
          </cell>
          <cell r="B932" t="str">
            <v>Perspective Best In Class Leaders 90 1 Cap</v>
          </cell>
          <cell r="C932" t="str">
            <v>EUR-KAP-RETAIL</v>
          </cell>
          <cell r="D932">
            <v>20221116</v>
          </cell>
          <cell r="E932">
            <v>989.52</v>
          </cell>
        </row>
        <row r="933">
          <cell r="A933" t="str">
            <v>BE6308641529</v>
          </cell>
          <cell r="B933" t="str">
            <v>Perspective Best In Class Leaders 90 2 Cap</v>
          </cell>
          <cell r="C933" t="str">
            <v>EUR-KAP-RETAIL</v>
          </cell>
          <cell r="D933">
            <v>20221116</v>
          </cell>
          <cell r="E933">
            <v>1013.79</v>
          </cell>
        </row>
        <row r="934">
          <cell r="A934" t="str">
            <v>BE6316756194</v>
          </cell>
          <cell r="B934" t="str">
            <v>Perspective Buyback 100 Timing USD 1 Cap</v>
          </cell>
          <cell r="C934" t="str">
            <v>USD-KAP-RETAIL</v>
          </cell>
          <cell r="D934">
            <v>20221116</v>
          </cell>
          <cell r="E934">
            <v>1025.73</v>
          </cell>
        </row>
        <row r="935">
          <cell r="A935" t="str">
            <v>BE6317200754</v>
          </cell>
          <cell r="B935" t="str">
            <v>Perspective Buyback 100 Timing USD 2 Cap</v>
          </cell>
          <cell r="C935" t="str">
            <v>USD-KAP-RETAIL</v>
          </cell>
          <cell r="D935">
            <v>20221116</v>
          </cell>
          <cell r="E935">
            <v>1128.02</v>
          </cell>
        </row>
        <row r="936">
          <cell r="A936" t="str">
            <v>BE6317569562</v>
          </cell>
          <cell r="B936" t="str">
            <v>Perspective Buyback 100 Timing USD 3 Cap</v>
          </cell>
          <cell r="C936" t="str">
            <v>USD-KAP-RETAIL</v>
          </cell>
          <cell r="D936">
            <v>20221116</v>
          </cell>
          <cell r="E936">
            <v>1123.67</v>
          </cell>
        </row>
        <row r="937">
          <cell r="A937" t="str">
            <v>BE6318382932</v>
          </cell>
          <cell r="B937" t="str">
            <v>Perspective Buyback 100 Timing USD 4 Cap</v>
          </cell>
          <cell r="C937" t="str">
            <v>USD-KAP-RETAIL</v>
          </cell>
          <cell r="D937">
            <v>20221116</v>
          </cell>
          <cell r="E937">
            <v>1238.4000000000001</v>
          </cell>
        </row>
        <row r="938">
          <cell r="A938" t="str">
            <v>BE6319051833</v>
          </cell>
          <cell r="B938" t="str">
            <v>Perspective Buyback 100 Timing USD 5 Cap</v>
          </cell>
          <cell r="C938" t="str">
            <v>USD-KAP-RETAIL</v>
          </cell>
          <cell r="D938">
            <v>20221116</v>
          </cell>
          <cell r="E938">
            <v>1201.8499999999999</v>
          </cell>
        </row>
        <row r="939">
          <cell r="A939" t="str">
            <v>BE6305947747</v>
          </cell>
          <cell r="B939" t="str">
            <v>Perspective Continental Europe 100 Timing USD 1 Cap</v>
          </cell>
          <cell r="C939" t="str">
            <v>USD-KAP-RETAIL</v>
          </cell>
          <cell r="D939">
            <v>20221116</v>
          </cell>
          <cell r="E939">
            <v>1083.45</v>
          </cell>
        </row>
        <row r="940">
          <cell r="A940" t="str">
            <v>BE6323026813</v>
          </cell>
          <cell r="B940" t="str">
            <v>Perspective Euro Stocks Timing 1 Cap</v>
          </cell>
          <cell r="C940" t="str">
            <v>EUR-KAP-RETAIL</v>
          </cell>
          <cell r="D940">
            <v>20221116</v>
          </cell>
          <cell r="E940">
            <v>1097.27</v>
          </cell>
        </row>
        <row r="941">
          <cell r="A941" t="str">
            <v>BE6302967045</v>
          </cell>
          <cell r="B941" t="str">
            <v>Perspective Europe 100 Timing USD 1 Cap</v>
          </cell>
          <cell r="C941" t="str">
            <v>USD-KAP-RETAIL</v>
          </cell>
          <cell r="D941">
            <v>20221116</v>
          </cell>
          <cell r="E941">
            <v>981.16</v>
          </cell>
        </row>
        <row r="942">
          <cell r="A942" t="str">
            <v>BE6303976433</v>
          </cell>
          <cell r="B942" t="str">
            <v>Perspective Europe 100 Timing USD 2 Cap</v>
          </cell>
          <cell r="C942" t="str">
            <v>USD-KAP-RETAIL</v>
          </cell>
          <cell r="D942">
            <v>20221116</v>
          </cell>
          <cell r="E942">
            <v>1005.05</v>
          </cell>
        </row>
        <row r="943">
          <cell r="A943" t="str">
            <v>BE6304723149</v>
          </cell>
          <cell r="B943" t="str">
            <v>Perspective Europe 100 Timing USD 3 Cap</v>
          </cell>
          <cell r="C943" t="str">
            <v>USD-KAP-RETAIL</v>
          </cell>
          <cell r="D943">
            <v>20221116</v>
          </cell>
          <cell r="E943">
            <v>1010.93</v>
          </cell>
        </row>
        <row r="944">
          <cell r="A944" t="str">
            <v>BE6305318279</v>
          </cell>
          <cell r="B944" t="str">
            <v>Perspective Europe 100 Timing USD 4 Cap</v>
          </cell>
          <cell r="C944" t="str">
            <v>USD-KAP-RETAIL</v>
          </cell>
          <cell r="D944">
            <v>20221116</v>
          </cell>
          <cell r="E944">
            <v>1024.8900000000001</v>
          </cell>
        </row>
        <row r="945">
          <cell r="A945" t="str">
            <v>BE6302979164</v>
          </cell>
          <cell r="B945" t="str">
            <v>Perspective Europe Airbag 1 Cap</v>
          </cell>
          <cell r="C945" t="str">
            <v>EUR-KAP-RETAIL</v>
          </cell>
          <cell r="D945">
            <v>20221116</v>
          </cell>
          <cell r="E945">
            <v>988.43</v>
          </cell>
        </row>
        <row r="946">
          <cell r="A946" t="str">
            <v>BE6302066731</v>
          </cell>
          <cell r="B946" t="str">
            <v>Perspective European Quality 100 Absolute Performance USD 1 Cap</v>
          </cell>
          <cell r="C946" t="str">
            <v>USD-KAP-RETAIL</v>
          </cell>
          <cell r="D946">
            <v>20221116</v>
          </cell>
          <cell r="E946">
            <v>1000.63</v>
          </cell>
        </row>
        <row r="947">
          <cell r="A947" t="str">
            <v>BE6302064710</v>
          </cell>
          <cell r="B947" t="str">
            <v>Perspective European Quality Airbag 1 Cap</v>
          </cell>
          <cell r="C947" t="str">
            <v>EUR-KAP-RETAIL</v>
          </cell>
          <cell r="D947">
            <v>20221116</v>
          </cell>
          <cell r="E947">
            <v>1001.31</v>
          </cell>
        </row>
        <row r="948">
          <cell r="A948" t="str">
            <v>BE6292064621</v>
          </cell>
          <cell r="B948" t="str">
            <v>Perspective Exclusive Stock Selection Double Timing 1 Cap</v>
          </cell>
          <cell r="C948" t="str">
            <v>EUR-KAP-RETAIL</v>
          </cell>
          <cell r="D948">
            <v>20221116</v>
          </cell>
          <cell r="E948">
            <v>1115.01</v>
          </cell>
        </row>
        <row r="949">
          <cell r="A949" t="str">
            <v>BE6315512366</v>
          </cell>
          <cell r="B949" t="str">
            <v>Perspective Global 100 Timing NOK 1 Cap</v>
          </cell>
          <cell r="C949" t="str">
            <v>NOK-KAP-RETAIL</v>
          </cell>
          <cell r="D949">
            <v>20221116</v>
          </cell>
          <cell r="E949">
            <v>1178.82</v>
          </cell>
        </row>
        <row r="950">
          <cell r="A950" t="str">
            <v>BE6315902385</v>
          </cell>
          <cell r="B950" t="str">
            <v>Perspective Global 100 Timing NOK 2 Cap</v>
          </cell>
          <cell r="C950" t="str">
            <v>NOK-KAP-RETAIL</v>
          </cell>
          <cell r="D950">
            <v>20221116</v>
          </cell>
          <cell r="E950">
            <v>1156.19</v>
          </cell>
        </row>
        <row r="951">
          <cell r="A951" t="str">
            <v>BE6317210852</v>
          </cell>
          <cell r="B951" t="str">
            <v>Perspective Global 100 Timing NOK 3 Cap</v>
          </cell>
          <cell r="C951" t="str">
            <v>NOK-KAP-RETAIL</v>
          </cell>
          <cell r="D951">
            <v>20221116</v>
          </cell>
          <cell r="E951">
            <v>1154.9100000000001</v>
          </cell>
        </row>
        <row r="952">
          <cell r="A952" t="str">
            <v>BE6317571584</v>
          </cell>
          <cell r="B952" t="str">
            <v>Perspective Global 100 Timing NOK 4 Cap</v>
          </cell>
          <cell r="C952" t="str">
            <v>NOK-KAP-RETAIL</v>
          </cell>
          <cell r="D952">
            <v>20221116</v>
          </cell>
          <cell r="E952">
            <v>1144.69</v>
          </cell>
        </row>
        <row r="953">
          <cell r="A953" t="str">
            <v>BE6310966492</v>
          </cell>
          <cell r="B953" t="str">
            <v>Perspective Global 90 1 Cap</v>
          </cell>
          <cell r="C953" t="str">
            <v>EUR-KAP-RETAIL</v>
          </cell>
          <cell r="D953">
            <v>20221116</v>
          </cell>
          <cell r="E953">
            <v>1034.05</v>
          </cell>
        </row>
        <row r="954">
          <cell r="A954" t="str">
            <v>BE6311873838</v>
          </cell>
          <cell r="B954" t="str">
            <v>Perspective Global 90 2 Cap</v>
          </cell>
          <cell r="C954" t="str">
            <v>EUR-KAP-RETAIL</v>
          </cell>
          <cell r="D954">
            <v>20221116</v>
          </cell>
          <cell r="E954">
            <v>990.9</v>
          </cell>
        </row>
        <row r="955">
          <cell r="A955" t="str">
            <v>BE6312404328</v>
          </cell>
          <cell r="B955" t="str">
            <v>Perspective Global 90 3 Cap</v>
          </cell>
          <cell r="C955" t="str">
            <v>EUR-KAP-RETAIL</v>
          </cell>
          <cell r="D955">
            <v>20221116</v>
          </cell>
          <cell r="E955">
            <v>977.41</v>
          </cell>
        </row>
        <row r="956">
          <cell r="A956" t="str">
            <v>BE6313144931</v>
          </cell>
          <cell r="B956" t="str">
            <v>Perspective Global 90 Long Term 1 Cap</v>
          </cell>
          <cell r="C956" t="str">
            <v>EUR-KAP-RETAIL</v>
          </cell>
          <cell r="D956">
            <v>20221116</v>
          </cell>
          <cell r="E956">
            <v>978.16</v>
          </cell>
        </row>
        <row r="957">
          <cell r="A957" t="str">
            <v>BE6313834077</v>
          </cell>
          <cell r="B957" t="str">
            <v>Perspective Global 90 Long Term 2 Cap</v>
          </cell>
          <cell r="C957" t="str">
            <v>EUR-KAP-RETAIL</v>
          </cell>
          <cell r="D957">
            <v>20221116</v>
          </cell>
          <cell r="E957">
            <v>964.62</v>
          </cell>
        </row>
        <row r="958">
          <cell r="A958" t="str">
            <v>BE6314394824</v>
          </cell>
          <cell r="B958" t="str">
            <v>Perspective Global 90 Long Term 3 Cap</v>
          </cell>
          <cell r="C958" t="str">
            <v>EUR-KAP-RETAIL</v>
          </cell>
          <cell r="D958">
            <v>20221116</v>
          </cell>
          <cell r="E958">
            <v>979.09</v>
          </cell>
        </row>
        <row r="959">
          <cell r="A959" t="str">
            <v>BE6315025344</v>
          </cell>
          <cell r="B959" t="str">
            <v>Perspective Global 90 Long Term 4 Cap</v>
          </cell>
          <cell r="C959" t="str">
            <v>EUR-KAP-RETAIL</v>
          </cell>
          <cell r="D959">
            <v>20221116</v>
          </cell>
          <cell r="E959">
            <v>962.37</v>
          </cell>
        </row>
        <row r="960">
          <cell r="A960" t="str">
            <v>BE6315515393</v>
          </cell>
          <cell r="B960" t="str">
            <v>Perspective Global 90 Long Term 5 Cap</v>
          </cell>
          <cell r="C960" t="str">
            <v>EUR-KAP-RETAIL</v>
          </cell>
          <cell r="D960">
            <v>20221116</v>
          </cell>
          <cell r="E960">
            <v>961.52</v>
          </cell>
        </row>
        <row r="961">
          <cell r="A961" t="str">
            <v>BE6315899359</v>
          </cell>
          <cell r="B961" t="str">
            <v>Perspective Global 90 Long Term 6 Cap</v>
          </cell>
          <cell r="C961" t="str">
            <v>EUR-KAP-RETAIL</v>
          </cell>
          <cell r="D961">
            <v>20221116</v>
          </cell>
          <cell r="E961">
            <v>956.68</v>
          </cell>
        </row>
        <row r="962">
          <cell r="A962" t="str">
            <v>BE6316733938</v>
          </cell>
          <cell r="B962" t="str">
            <v>Perspective Global 90 Long Term 7 Cap</v>
          </cell>
          <cell r="C962" t="str">
            <v>EUR-KAP-RETAIL</v>
          </cell>
          <cell r="D962">
            <v>20221116</v>
          </cell>
          <cell r="E962">
            <v>962.27</v>
          </cell>
        </row>
        <row r="963">
          <cell r="A963" t="str">
            <v>BE6317285631</v>
          </cell>
          <cell r="B963" t="str">
            <v>Perspective Global 90 Long Term 8 Cap</v>
          </cell>
          <cell r="C963" t="str">
            <v>EUR-KAP-RETAIL</v>
          </cell>
          <cell r="D963">
            <v>20221116</v>
          </cell>
          <cell r="E963">
            <v>950.66</v>
          </cell>
        </row>
        <row r="964">
          <cell r="A964" t="str">
            <v>BE6318385968</v>
          </cell>
          <cell r="B964" t="str">
            <v>Perspective Global 90 Long Term 9 Cap</v>
          </cell>
          <cell r="C964" t="str">
            <v>EUR-KAP-RETAIL</v>
          </cell>
          <cell r="D964">
            <v>20221116</v>
          </cell>
          <cell r="E964">
            <v>1155.46</v>
          </cell>
        </row>
        <row r="965">
          <cell r="A965" t="str">
            <v>BE6325626628</v>
          </cell>
          <cell r="B965" t="str">
            <v>Perspective Global 90 Smart Start USD 1 Cap</v>
          </cell>
          <cell r="C965" t="str">
            <v>USD-KAP-RETAIL</v>
          </cell>
          <cell r="D965">
            <v>20221116</v>
          </cell>
          <cell r="E965">
            <v>865.03</v>
          </cell>
        </row>
        <row r="966">
          <cell r="A966" t="str">
            <v>BE6326215694</v>
          </cell>
          <cell r="B966" t="str">
            <v>Perspective Global 90 Smart Start USD 2 Cap</v>
          </cell>
          <cell r="C966" t="str">
            <v>USD-KAP-RETAIL</v>
          </cell>
          <cell r="D966">
            <v>20221116</v>
          </cell>
          <cell r="E966">
            <v>845.52</v>
          </cell>
        </row>
        <row r="967">
          <cell r="A967" t="str">
            <v>BE6326804760</v>
          </cell>
          <cell r="B967" t="str">
            <v>Perspective Global 90 Smart Start USD 3 Cap</v>
          </cell>
          <cell r="C967" t="str">
            <v>USD-KAP-RETAIL</v>
          </cell>
          <cell r="D967">
            <v>20221116</v>
          </cell>
          <cell r="E967">
            <v>853.87</v>
          </cell>
        </row>
        <row r="968">
          <cell r="A968" t="str">
            <v>BE6327837421</v>
          </cell>
          <cell r="B968" t="str">
            <v>Perspective Global 95 USD 1 Cap</v>
          </cell>
          <cell r="C968" t="str">
            <v>USD-KAP-RETAIL</v>
          </cell>
          <cell r="D968">
            <v>20221116</v>
          </cell>
          <cell r="E968">
            <v>883.5</v>
          </cell>
        </row>
        <row r="969">
          <cell r="A969" t="str">
            <v>BE6328278955</v>
          </cell>
          <cell r="B969" t="str">
            <v>Perspective Global 95 USD 2 Cap</v>
          </cell>
          <cell r="C969" t="str">
            <v>USD-KAP-RETAIL</v>
          </cell>
          <cell r="D969">
            <v>20221116</v>
          </cell>
          <cell r="E969">
            <v>889.18</v>
          </cell>
        </row>
        <row r="970">
          <cell r="A970" t="str">
            <v>BE6328875131</v>
          </cell>
          <cell r="B970" t="str">
            <v>Perspective Global 95 USD 3 Cap</v>
          </cell>
          <cell r="C970" t="str">
            <v>USD-KAP-RETAIL</v>
          </cell>
          <cell r="D970">
            <v>20221116</v>
          </cell>
          <cell r="E970">
            <v>863.69</v>
          </cell>
        </row>
        <row r="971">
          <cell r="A971" t="str">
            <v>BE6329543027</v>
          </cell>
          <cell r="B971" t="str">
            <v>Perspective Global 95 USD 4 Cap</v>
          </cell>
          <cell r="C971" t="str">
            <v>USD-KAP-RETAIL</v>
          </cell>
          <cell r="D971">
            <v>20221116</v>
          </cell>
          <cell r="E971">
            <v>867.79</v>
          </cell>
        </row>
        <row r="972">
          <cell r="A972" t="str">
            <v>BE6292463732</v>
          </cell>
          <cell r="B972" t="str">
            <v>Perspective Global Select 100 USD 2 Cap</v>
          </cell>
          <cell r="C972" t="str">
            <v>USD-KAP-RETAIL</v>
          </cell>
          <cell r="D972">
            <v>20221116</v>
          </cell>
          <cell r="E972">
            <v>1067.8599999999999</v>
          </cell>
        </row>
        <row r="973">
          <cell r="A973" t="str">
            <v>BE6291635215</v>
          </cell>
          <cell r="B973" t="str">
            <v>Perspective Global Select 90 Timing Optimizer USD 1 Cap</v>
          </cell>
          <cell r="C973" t="str">
            <v>USD-KAP-RETAIL</v>
          </cell>
          <cell r="D973">
            <v>20221116</v>
          </cell>
          <cell r="E973">
            <v>1192.1500000000001</v>
          </cell>
        </row>
        <row r="974">
          <cell r="A974" t="str">
            <v>BE6320721077</v>
          </cell>
          <cell r="B974" t="str">
            <v>Perspective Global Timing USD 1 Cap</v>
          </cell>
          <cell r="C974" t="str">
            <v>USD-KAP-RETAIL</v>
          </cell>
          <cell r="D974">
            <v>20221116</v>
          </cell>
          <cell r="E974">
            <v>1072.26</v>
          </cell>
        </row>
        <row r="975">
          <cell r="A975" t="str">
            <v>BE6327442354</v>
          </cell>
          <cell r="B975" t="str">
            <v>Perspective Global Timing USD 10 Cap</v>
          </cell>
          <cell r="C975" t="str">
            <v>USD-KAP-RETAIL</v>
          </cell>
          <cell r="D975">
            <v>20221116</v>
          </cell>
          <cell r="E975">
            <v>870.19</v>
          </cell>
        </row>
        <row r="976">
          <cell r="A976" t="str">
            <v>BE6321399063</v>
          </cell>
          <cell r="B976" t="str">
            <v>Perspective Global Timing USD 2 Cap</v>
          </cell>
          <cell r="C976" t="str">
            <v>USD-KAP-RETAIL</v>
          </cell>
          <cell r="D976">
            <v>20221116</v>
          </cell>
          <cell r="E976">
            <v>961.62</v>
          </cell>
        </row>
        <row r="977">
          <cell r="A977" t="str">
            <v>BE6321850693</v>
          </cell>
          <cell r="B977" t="str">
            <v>Perspective Global Timing USD 3 Cap</v>
          </cell>
          <cell r="C977" t="str">
            <v>USD-KAP-RETAIL</v>
          </cell>
          <cell r="D977">
            <v>20221116</v>
          </cell>
          <cell r="E977">
            <v>964.63</v>
          </cell>
        </row>
        <row r="978">
          <cell r="A978" t="str">
            <v>BE6322497379</v>
          </cell>
          <cell r="B978" t="str">
            <v>Perspective Global Timing USD 4 Cap</v>
          </cell>
          <cell r="C978" t="str">
            <v>USD-KAP-RETAIL</v>
          </cell>
          <cell r="D978">
            <v>20221116</v>
          </cell>
          <cell r="E978">
            <v>950.83</v>
          </cell>
        </row>
        <row r="979">
          <cell r="A979" t="str">
            <v>BE6323119774</v>
          </cell>
          <cell r="B979" t="str">
            <v>Perspective Global Timing USD 5 Cap</v>
          </cell>
          <cell r="C979" t="str">
            <v>USD-KAP-RETAIL</v>
          </cell>
          <cell r="D979">
            <v>20221116</v>
          </cell>
          <cell r="E979">
            <v>923.64</v>
          </cell>
        </row>
        <row r="980">
          <cell r="A980" t="str">
            <v>BE6323515856</v>
          </cell>
          <cell r="B980" t="str">
            <v>Perspective Global Timing USD 6 Cap</v>
          </cell>
          <cell r="C980" t="str">
            <v>USD-KAP-RETAIL</v>
          </cell>
          <cell r="D980">
            <v>20221116</v>
          </cell>
          <cell r="E980">
            <v>927.1</v>
          </cell>
        </row>
        <row r="981">
          <cell r="A981" t="str">
            <v>BE6324234283</v>
          </cell>
          <cell r="B981" t="str">
            <v>Perspective Global Timing USD 7 Cap</v>
          </cell>
          <cell r="C981" t="str">
            <v>USD-KAP-RETAIL</v>
          </cell>
          <cell r="D981">
            <v>20221116</v>
          </cell>
          <cell r="E981">
            <v>890.5</v>
          </cell>
        </row>
        <row r="982">
          <cell r="A982" t="str">
            <v>BE6324661675</v>
          </cell>
          <cell r="B982" t="str">
            <v>Perspective Global Timing USD 8 Cap</v>
          </cell>
          <cell r="C982" t="str">
            <v>USD-KAP-RETAIL</v>
          </cell>
          <cell r="D982">
            <v>20221116</v>
          </cell>
          <cell r="E982">
            <v>886.14</v>
          </cell>
        </row>
        <row r="983">
          <cell r="A983" t="str">
            <v>BE6325131520</v>
          </cell>
          <cell r="B983" t="str">
            <v>Perspective Global Timing USD 9 Cap</v>
          </cell>
          <cell r="C983" t="str">
            <v>USD-KAP-RETAIL</v>
          </cell>
          <cell r="D983">
            <v>20221116</v>
          </cell>
          <cell r="E983">
            <v>888.27</v>
          </cell>
        </row>
        <row r="984">
          <cell r="A984" t="str">
            <v>BE6289999342</v>
          </cell>
          <cell r="B984" t="str">
            <v>Perspective Healthcare 90 USD 1 Cap (Matured)</v>
          </cell>
          <cell r="C984" t="str">
            <v>USD-KAP-RETAIL</v>
          </cell>
          <cell r="D984">
            <v>20220930</v>
          </cell>
          <cell r="E984">
            <v>1590.1</v>
          </cell>
        </row>
        <row r="985">
          <cell r="A985" t="str">
            <v>BE6290739950</v>
          </cell>
          <cell r="B985" t="str">
            <v>Perspective Healthcare 90 USD 2 Cap (Matured)</v>
          </cell>
          <cell r="C985" t="str">
            <v>USD-KAP-RETAIL</v>
          </cell>
          <cell r="D985">
            <v>20221031</v>
          </cell>
          <cell r="E985">
            <v>1526.4</v>
          </cell>
        </row>
        <row r="986">
          <cell r="A986" t="str">
            <v>BE6311874844</v>
          </cell>
          <cell r="B986" t="str">
            <v>Perspective North America 100 Timing USD 1 Cap</v>
          </cell>
          <cell r="C986" t="str">
            <v>USD-KAP-RETAIL</v>
          </cell>
          <cell r="D986">
            <v>20221116</v>
          </cell>
          <cell r="E986">
            <v>1111.5899999999999</v>
          </cell>
        </row>
        <row r="987">
          <cell r="A987" t="str">
            <v>BE6312425539</v>
          </cell>
          <cell r="B987" t="str">
            <v>Perspective North America 100 Timing USD 2 Cap</v>
          </cell>
          <cell r="C987" t="str">
            <v>USD-KAP-RETAIL</v>
          </cell>
          <cell r="D987">
            <v>20221116</v>
          </cell>
          <cell r="E987">
            <v>1106.32</v>
          </cell>
        </row>
        <row r="988">
          <cell r="A988" t="str">
            <v>BE6313123729</v>
          </cell>
          <cell r="B988" t="str">
            <v>Perspective North America 100 Timing USD 3 Cap</v>
          </cell>
          <cell r="C988" t="str">
            <v>USD-KAP-RETAIL</v>
          </cell>
          <cell r="D988">
            <v>20221116</v>
          </cell>
          <cell r="E988">
            <v>990.35</v>
          </cell>
        </row>
        <row r="989">
          <cell r="A989" t="str">
            <v>BE6313867408</v>
          </cell>
          <cell r="B989" t="str">
            <v>Perspective North America 100 Timing USD 4 Cap</v>
          </cell>
          <cell r="C989" t="str">
            <v>USD-KAP-RETAIL</v>
          </cell>
          <cell r="D989">
            <v>20221116</v>
          </cell>
          <cell r="E989">
            <v>1157.52</v>
          </cell>
        </row>
        <row r="990">
          <cell r="A990" t="str">
            <v>BE6314390780</v>
          </cell>
          <cell r="B990" t="str">
            <v>Perspective North America 100 Timing USD 5 Cap</v>
          </cell>
          <cell r="C990" t="str">
            <v>USD-KAP-RETAIL</v>
          </cell>
          <cell r="D990">
            <v>20221116</v>
          </cell>
          <cell r="E990">
            <v>1168.6099999999999</v>
          </cell>
        </row>
        <row r="991">
          <cell r="A991" t="str">
            <v>BE6315027365</v>
          </cell>
          <cell r="B991" t="str">
            <v>Perspective North America 100 Timing USD 6 Cap</v>
          </cell>
          <cell r="C991" t="str">
            <v>USD-KAP-RETAIL</v>
          </cell>
          <cell r="D991">
            <v>20221116</v>
          </cell>
          <cell r="E991">
            <v>1145.72</v>
          </cell>
        </row>
        <row r="992">
          <cell r="A992" t="str">
            <v>BE6300563259</v>
          </cell>
          <cell r="B992" t="str">
            <v>Perspective Premium World Selection Airbag 1 Cap</v>
          </cell>
          <cell r="C992" t="str">
            <v>EUR-KAP-RETAIL</v>
          </cell>
          <cell r="D992">
            <v>20221116</v>
          </cell>
          <cell r="E992">
            <v>993.45</v>
          </cell>
        </row>
        <row r="993">
          <cell r="A993" t="str">
            <v>BE6301360465</v>
          </cell>
          <cell r="B993" t="str">
            <v>Perspective Premium World Selection Airbag 2 Cap</v>
          </cell>
          <cell r="C993" t="str">
            <v>EUR-KAP-RETAIL</v>
          </cell>
          <cell r="D993">
            <v>20221116</v>
          </cell>
          <cell r="E993">
            <v>991.55</v>
          </cell>
        </row>
        <row r="994">
          <cell r="A994" t="str">
            <v>BE6294720022</v>
          </cell>
          <cell r="B994" t="str">
            <v>Perspective Universal Selection 100 Head Start USD 1 Cap</v>
          </cell>
          <cell r="C994" t="str">
            <v>USD-KAP-RETAIL</v>
          </cell>
          <cell r="D994">
            <v>20221116</v>
          </cell>
          <cell r="E994">
            <v>1068.28</v>
          </cell>
        </row>
        <row r="995">
          <cell r="A995" t="str">
            <v>BE6295341414</v>
          </cell>
          <cell r="B995" t="str">
            <v>Perspective Universal Selection 100 Head Start USD 2 Cap</v>
          </cell>
          <cell r="C995" t="str">
            <v>USD-KAP-RETAIL</v>
          </cell>
          <cell r="D995">
            <v>20221116</v>
          </cell>
          <cell r="E995">
            <v>1060.75</v>
          </cell>
        </row>
        <row r="996">
          <cell r="A996" t="str">
            <v>BE6295977951</v>
          </cell>
          <cell r="B996" t="str">
            <v>Perspective Universal Selection 100 Head Start USD 3 Cap</v>
          </cell>
          <cell r="C996" t="str">
            <v>USD-KAP-RETAIL</v>
          </cell>
          <cell r="D996">
            <v>20221116</v>
          </cell>
          <cell r="E996">
            <v>1077.75</v>
          </cell>
        </row>
        <row r="997">
          <cell r="A997" t="str">
            <v>BE6288412966</v>
          </cell>
          <cell r="B997" t="str">
            <v>Perspective Universal Selection 100 USD 1 Cap (Matured)</v>
          </cell>
          <cell r="C997" t="str">
            <v>USD-KAP-RETAIL</v>
          </cell>
          <cell r="D997">
            <v>20220930</v>
          </cell>
          <cell r="E997">
            <v>1165.3</v>
          </cell>
        </row>
        <row r="998">
          <cell r="A998" t="str">
            <v>BE6288934365</v>
          </cell>
          <cell r="B998" t="str">
            <v>Perspective Universal Selection 100 USD 2 Cap (Matured)</v>
          </cell>
          <cell r="C998" t="str">
            <v>USD-KAP-RETAIL</v>
          </cell>
          <cell r="D998">
            <v>20221031</v>
          </cell>
          <cell r="E998">
            <v>1175.2</v>
          </cell>
        </row>
        <row r="999">
          <cell r="A999" t="str">
            <v>BE6289503235</v>
          </cell>
          <cell r="B999" t="str">
            <v>Perspective Universal Selection 100 USD 3 Cap</v>
          </cell>
          <cell r="C999" t="str">
            <v>USD-KAP-RETAIL</v>
          </cell>
          <cell r="D999">
            <v>20221116</v>
          </cell>
          <cell r="E999">
            <v>1174.7</v>
          </cell>
        </row>
        <row r="1000">
          <cell r="A1000" t="str">
            <v>BE6289997320</v>
          </cell>
          <cell r="B1000" t="str">
            <v>Perspective Universal Selection 100 USD 4 Cap</v>
          </cell>
          <cell r="C1000" t="str">
            <v>USD-KAP-RETAIL</v>
          </cell>
          <cell r="D1000">
            <v>20221116</v>
          </cell>
          <cell r="E1000">
            <v>1122.1099999999999</v>
          </cell>
        </row>
        <row r="1001">
          <cell r="A1001" t="str">
            <v>BE6290749082</v>
          </cell>
          <cell r="B1001" t="str">
            <v>Perspective Universal Selection 100 USD 5 Cap</v>
          </cell>
          <cell r="C1001" t="str">
            <v>USD-KAP-RETAIL</v>
          </cell>
          <cell r="D1001">
            <v>20221116</v>
          </cell>
          <cell r="E1001">
            <v>1094.76</v>
          </cell>
        </row>
        <row r="1002">
          <cell r="A1002" t="str">
            <v>BE6289487074</v>
          </cell>
          <cell r="B1002" t="str">
            <v>Perspective Universal Selection 90 Timing Optimizer USD 6 Cap</v>
          </cell>
          <cell r="C1002" t="str">
            <v>USD-KAP-RETAIL</v>
          </cell>
          <cell r="D1002">
            <v>20221116</v>
          </cell>
          <cell r="E1002">
            <v>1273.99</v>
          </cell>
        </row>
        <row r="1003">
          <cell r="A1003" t="str">
            <v>BE6289994293</v>
          </cell>
          <cell r="B1003" t="str">
            <v>Perspective Universal Selection 90 Timing Optimizer USD 7 Cap</v>
          </cell>
          <cell r="C1003" t="str">
            <v>USD-KAP-RETAIL</v>
          </cell>
          <cell r="D1003">
            <v>20221116</v>
          </cell>
          <cell r="E1003">
            <v>1222.3800000000001</v>
          </cell>
        </row>
        <row r="1004">
          <cell r="A1004" t="str">
            <v>BE6290742012</v>
          </cell>
          <cell r="B1004" t="str">
            <v>Perspective Universal Selection 90 Timing Optimizer USD 8 Cap</v>
          </cell>
          <cell r="C1004" t="str">
            <v>USD-KAP-RETAIL</v>
          </cell>
          <cell r="D1004">
            <v>20221116</v>
          </cell>
          <cell r="E1004">
            <v>1195.08</v>
          </cell>
        </row>
        <row r="1005">
          <cell r="A1005" t="str">
            <v>BE6315514388</v>
          </cell>
          <cell r="B1005" t="str">
            <v>Perspective USA &amp; Canada 100 Timing USD 1 Cap</v>
          </cell>
          <cell r="C1005" t="str">
            <v>USD-KAP-RETAIL</v>
          </cell>
          <cell r="D1005">
            <v>20221116</v>
          </cell>
          <cell r="E1005">
            <v>1132</v>
          </cell>
        </row>
        <row r="1006">
          <cell r="A1006" t="str">
            <v>BE6315903391</v>
          </cell>
          <cell r="B1006" t="str">
            <v>Perspective USA &amp; Canada 100 Timing USD 2 Cap</v>
          </cell>
          <cell r="C1006" t="str">
            <v>USD-KAP-RETAIL</v>
          </cell>
          <cell r="D1006">
            <v>20221116</v>
          </cell>
          <cell r="E1006">
            <v>1109.7</v>
          </cell>
        </row>
        <row r="1007">
          <cell r="A1007" t="str">
            <v>BE6309482204</v>
          </cell>
          <cell r="B1007" t="str">
            <v>Perspective World 90 1 Cap</v>
          </cell>
          <cell r="C1007" t="str">
            <v>EUR-KAP-RETAIL</v>
          </cell>
          <cell r="D1007">
            <v>20221116</v>
          </cell>
          <cell r="E1007">
            <v>1079.45</v>
          </cell>
        </row>
        <row r="1008">
          <cell r="A1008" t="str">
            <v>BE6310083397</v>
          </cell>
          <cell r="B1008" t="str">
            <v>Perspective World 90 2 Cap</v>
          </cell>
          <cell r="C1008" t="str">
            <v>EUR-KAP-RETAIL</v>
          </cell>
          <cell r="D1008">
            <v>20221116</v>
          </cell>
          <cell r="E1008">
            <v>1042.71</v>
          </cell>
        </row>
        <row r="1009">
          <cell r="A1009" t="str">
            <v>BE6297577460</v>
          </cell>
          <cell r="B1009" t="str">
            <v>Perspective World Selection 100 Absolute Performance USD 1 Cap</v>
          </cell>
          <cell r="C1009" t="str">
            <v>USD-KAP-RETAIL</v>
          </cell>
          <cell r="D1009">
            <v>20221116</v>
          </cell>
          <cell r="E1009">
            <v>965.22</v>
          </cell>
        </row>
        <row r="1010">
          <cell r="A1010" t="str">
            <v>BE6298150374</v>
          </cell>
          <cell r="B1010" t="str">
            <v>Perspective World Selection 100 Absolute Performance USD 2 Cap</v>
          </cell>
          <cell r="C1010" t="str">
            <v>USD-KAP-RETAIL</v>
          </cell>
          <cell r="D1010">
            <v>20221116</v>
          </cell>
          <cell r="E1010">
            <v>986.27</v>
          </cell>
        </row>
        <row r="1011">
          <cell r="A1011" t="str">
            <v>BE6298772771</v>
          </cell>
          <cell r="B1011" t="str">
            <v>Perspective World Selection 100 Absolute Performance USD 3 Cap</v>
          </cell>
          <cell r="C1011" t="str">
            <v>USD-KAP-RETAIL</v>
          </cell>
          <cell r="D1011">
            <v>20221116</v>
          </cell>
          <cell r="E1011">
            <v>978.3</v>
          </cell>
        </row>
        <row r="1012">
          <cell r="A1012" t="str">
            <v>BE6299842805</v>
          </cell>
          <cell r="B1012" t="str">
            <v>Perspective World Selection 100 Absolute Performance USD 4 Cap</v>
          </cell>
          <cell r="C1012" t="str">
            <v>USD-KAP-RETAIL</v>
          </cell>
          <cell r="D1012">
            <v>20221116</v>
          </cell>
          <cell r="E1012">
            <v>976.12</v>
          </cell>
        </row>
        <row r="1013">
          <cell r="A1013" t="str">
            <v>BE6300566286</v>
          </cell>
          <cell r="B1013" t="str">
            <v>Perspective World Selection 100 Absolute Performance USD 5 Cap</v>
          </cell>
          <cell r="C1013" t="str">
            <v>USD-KAP-RETAIL</v>
          </cell>
          <cell r="D1013">
            <v>20221116</v>
          </cell>
          <cell r="E1013">
            <v>1001.09</v>
          </cell>
        </row>
        <row r="1014">
          <cell r="A1014" t="str">
            <v>BE6301365514</v>
          </cell>
          <cell r="B1014" t="str">
            <v>Perspective World Selection 100 Absolute Performance USD 6 Cap</v>
          </cell>
          <cell r="C1014" t="str">
            <v>USD-KAP-RETAIL</v>
          </cell>
          <cell r="D1014">
            <v>20221116</v>
          </cell>
          <cell r="E1014">
            <v>986.52</v>
          </cell>
        </row>
        <row r="1015">
          <cell r="A1015" t="str">
            <v>BE6296812579</v>
          </cell>
          <cell r="B1015" t="str">
            <v>Perspective World Selection 100 Head Start USD 1 Cap</v>
          </cell>
          <cell r="C1015" t="str">
            <v>USD-KAP-RETAIL</v>
          </cell>
          <cell r="D1015">
            <v>20221116</v>
          </cell>
          <cell r="E1015">
            <v>973.54</v>
          </cell>
        </row>
        <row r="1016">
          <cell r="A1016" t="str">
            <v>BE6296034554</v>
          </cell>
          <cell r="B1016" t="str">
            <v>Plato Inst. Index Fund Emerging Markets Equities Classic Shares Cap</v>
          </cell>
          <cell r="C1016" t="str">
            <v>EUR-KAP-RET.B</v>
          </cell>
          <cell r="D1016">
            <v>20221118</v>
          </cell>
          <cell r="E1016">
            <v>552.11</v>
          </cell>
        </row>
        <row r="1017">
          <cell r="A1017" t="str">
            <v>BE6296035569</v>
          </cell>
          <cell r="B1017" t="str">
            <v>Plato Inst. Index Fund Emerging Markets Equities Classic Shares Dis</v>
          </cell>
          <cell r="C1017" t="str">
            <v>EUR-DIV-RET.B</v>
          </cell>
          <cell r="D1017">
            <v>20221118</v>
          </cell>
          <cell r="E1017">
            <v>497.99</v>
          </cell>
        </row>
        <row r="1018">
          <cell r="A1018" t="str">
            <v>BE0948800439</v>
          </cell>
          <cell r="B1018" t="str">
            <v>Plato Inst. Index Fund Emerging Markets Equities Discretionary Shares Cap</v>
          </cell>
          <cell r="C1018" t="str">
            <v>EUR-KAP-DISCR.SHARES</v>
          </cell>
          <cell r="D1018">
            <v>20221118</v>
          </cell>
          <cell r="E1018">
            <v>934.95</v>
          </cell>
        </row>
        <row r="1019">
          <cell r="A1019" t="str">
            <v>BE6300983572</v>
          </cell>
          <cell r="B1019" t="str">
            <v>Plato Inst. Index Fund Emerging Markets Equities Discretionary Shares Dis</v>
          </cell>
          <cell r="C1019" t="str">
            <v>EUR-DIV-DISCR.SHARES</v>
          </cell>
          <cell r="D1019">
            <v>20221118</v>
          </cell>
          <cell r="E1019">
            <v>899.72</v>
          </cell>
        </row>
        <row r="1020">
          <cell r="A1020" t="str">
            <v>BE6294793755</v>
          </cell>
          <cell r="B1020" t="str">
            <v>Plato Inst. Index Fund Emerging Markets Equities Inst. B Shares Cap</v>
          </cell>
          <cell r="C1020" t="str">
            <v>EUR-KAP-INSTIT.B</v>
          </cell>
          <cell r="D1020">
            <v>20221118</v>
          </cell>
          <cell r="E1020">
            <v>991.34</v>
          </cell>
        </row>
        <row r="1021">
          <cell r="A1021" t="str">
            <v>BE0948801445</v>
          </cell>
          <cell r="B1021" t="str">
            <v>Plato Inst. Index Fund Emerging Markets Equities Inst. Shares Cap</v>
          </cell>
          <cell r="C1021" t="str">
            <v>EUR-KAP-INSTITUTIONEEL</v>
          </cell>
          <cell r="D1021">
            <v>20221118</v>
          </cell>
          <cell r="E1021">
            <v>995.15</v>
          </cell>
        </row>
        <row r="1022">
          <cell r="A1022" t="str">
            <v>BE0059874256</v>
          </cell>
          <cell r="B1022" t="str">
            <v>Plato Inst. Index Fund Euro Equity Classic Shares Cap</v>
          </cell>
          <cell r="C1022" t="str">
            <v>EUR-KAP-RETAIL</v>
          </cell>
          <cell r="D1022">
            <v>20221118</v>
          </cell>
          <cell r="E1022">
            <v>6218.75</v>
          </cell>
        </row>
        <row r="1023">
          <cell r="A1023" t="str">
            <v>BE6294795776</v>
          </cell>
          <cell r="B1023" t="str">
            <v>Plato Inst. Index Fund Euro Equity Inst. B Shares Cap</v>
          </cell>
          <cell r="C1023" t="str">
            <v>EUR-KAP-INSTIT.B</v>
          </cell>
          <cell r="D1023">
            <v>20221118</v>
          </cell>
          <cell r="E1023">
            <v>6223.47</v>
          </cell>
        </row>
        <row r="1024">
          <cell r="A1024" t="str">
            <v>BE0947890068</v>
          </cell>
          <cell r="B1024" t="str">
            <v>Plato Inst. Index Fund Euro Equity Inst. Shares Cap</v>
          </cell>
          <cell r="C1024" t="str">
            <v>EUR-KAP-INSTITUTIONEEL</v>
          </cell>
          <cell r="D1024">
            <v>20221118</v>
          </cell>
          <cell r="E1024">
            <v>6280.22</v>
          </cell>
        </row>
        <row r="1025">
          <cell r="A1025" t="str">
            <v>BE6295945636</v>
          </cell>
          <cell r="B1025" t="str">
            <v>Plato Inst. Index Fund European Equity Classic Shares Cap</v>
          </cell>
          <cell r="C1025" t="str">
            <v>EUR-KAP-RET.B</v>
          </cell>
          <cell r="D1025">
            <v>20221118</v>
          </cell>
          <cell r="E1025">
            <v>187.04</v>
          </cell>
        </row>
        <row r="1026">
          <cell r="A1026" t="str">
            <v>BE6295947657</v>
          </cell>
          <cell r="B1026" t="str">
            <v>Plato Inst. Index Fund European Equity Classic Shares Dis</v>
          </cell>
          <cell r="C1026" t="str">
            <v>EUR-DIV-RET.B</v>
          </cell>
          <cell r="D1026">
            <v>20221118</v>
          </cell>
          <cell r="E1026">
            <v>164.09</v>
          </cell>
        </row>
        <row r="1027">
          <cell r="A1027" t="str">
            <v>BE0059883349</v>
          </cell>
          <cell r="B1027" t="str">
            <v>Plato Inst. Index Fund European Equity Discretionary Shares Cap</v>
          </cell>
          <cell r="C1027" t="str">
            <v>EUR-KAP-DISCR.SHARES</v>
          </cell>
          <cell r="D1027">
            <v>20221118</v>
          </cell>
          <cell r="E1027">
            <v>7390.63</v>
          </cell>
        </row>
        <row r="1028">
          <cell r="A1028" t="str">
            <v>BE6300991658</v>
          </cell>
          <cell r="B1028" t="str">
            <v>Plato Inst. Index Fund European Equity Discretionary Shares Dis</v>
          </cell>
          <cell r="C1028" t="str">
            <v>EUR-DIV-DISCR.SHARES</v>
          </cell>
          <cell r="D1028">
            <v>20221118</v>
          </cell>
          <cell r="E1028">
            <v>2801.56</v>
          </cell>
        </row>
        <row r="1029">
          <cell r="A1029" t="str">
            <v>BE6294796782</v>
          </cell>
          <cell r="B1029" t="str">
            <v>Plato Inst. Index Fund European Equity Inst. B Shares Cap (empty)</v>
          </cell>
          <cell r="C1029" t="str">
            <v>EUR-KAP-INSTIT.B</v>
          </cell>
          <cell r="D1029">
            <v>20220622</v>
          </cell>
          <cell r="E1029">
            <v>6903.46</v>
          </cell>
        </row>
        <row r="1030">
          <cell r="A1030" t="str">
            <v>BE0947891074</v>
          </cell>
          <cell r="B1030" t="str">
            <v>Plato Inst. Index Fund European Equity Inst. Shares Cap</v>
          </cell>
          <cell r="C1030" t="str">
            <v>EUR-KAP-INSTITUTIONEEL</v>
          </cell>
          <cell r="D1030">
            <v>20221118</v>
          </cell>
          <cell r="E1030">
            <v>7491.62</v>
          </cell>
        </row>
        <row r="1031">
          <cell r="A1031" t="str">
            <v>BE6295944621</v>
          </cell>
          <cell r="B1031" t="str">
            <v>Plato Inst. Index Fund North American Equity Classic Shares Cap</v>
          </cell>
          <cell r="C1031" t="str">
            <v>USD-KAP-RET.B.</v>
          </cell>
          <cell r="D1031">
            <v>20221118</v>
          </cell>
          <cell r="E1031">
            <v>242.73</v>
          </cell>
        </row>
        <row r="1032">
          <cell r="A1032" t="str">
            <v>BE6295941593</v>
          </cell>
          <cell r="B1032" t="str">
            <v>Plato Inst. Index Fund North American Equity Classic Shares Dis</v>
          </cell>
          <cell r="C1032" t="str">
            <v>USD-DIV-RET.B</v>
          </cell>
          <cell r="D1032">
            <v>20221118</v>
          </cell>
          <cell r="E1032">
            <v>233.75</v>
          </cell>
        </row>
        <row r="1033">
          <cell r="A1033" t="str">
            <v>BE0940715098</v>
          </cell>
          <cell r="B1033" t="str">
            <v>Plato Inst. Index Fund North American Equity Discretionary Shares Cap</v>
          </cell>
          <cell r="C1033" t="str">
            <v>USD-KAP-DISCR.SHARES</v>
          </cell>
          <cell r="D1033">
            <v>20221118</v>
          </cell>
          <cell r="E1033">
            <v>14481</v>
          </cell>
        </row>
        <row r="1034">
          <cell r="A1034" t="str">
            <v>BE6300995691</v>
          </cell>
          <cell r="B1034" t="str">
            <v>Plato Inst. Index Fund North American Equity Discretionary Shares Dis</v>
          </cell>
          <cell r="C1034" t="str">
            <v>USD-DIV-DISCR.SHARES</v>
          </cell>
          <cell r="D1034">
            <v>20221118</v>
          </cell>
          <cell r="E1034">
            <v>3541.63</v>
          </cell>
        </row>
        <row r="1035">
          <cell r="A1035" t="str">
            <v>BE6242915922</v>
          </cell>
          <cell r="B1035" t="str">
            <v>Plato Inst. Index Fund North American Equity Discretionary Shares EUR Cap</v>
          </cell>
          <cell r="C1035" t="str">
            <v>EUR-KAP-RETAIL</v>
          </cell>
          <cell r="D1035">
            <v>20221118</v>
          </cell>
          <cell r="E1035">
            <v>13969.31</v>
          </cell>
        </row>
        <row r="1036">
          <cell r="A1036" t="str">
            <v>BE6295943615</v>
          </cell>
          <cell r="B1036" t="str">
            <v>Plato Inst. Index Fund North American Equity Inst. B Shares Cap</v>
          </cell>
          <cell r="C1036" t="str">
            <v>USD-KAP-INSTIT.B</v>
          </cell>
          <cell r="D1036">
            <v>20221118</v>
          </cell>
          <cell r="E1036">
            <v>335.93</v>
          </cell>
        </row>
        <row r="1037">
          <cell r="A1037" t="str">
            <v>BE6294799810</v>
          </cell>
          <cell r="B1037" t="str">
            <v>Plato Inst. Index Fund North American Equity Inst. B Shares EUR Cap</v>
          </cell>
          <cell r="C1037" t="str">
            <v>EUR-KAP-INST.B EUR</v>
          </cell>
          <cell r="D1037">
            <v>20221118</v>
          </cell>
          <cell r="E1037">
            <v>13865.66</v>
          </cell>
        </row>
        <row r="1038">
          <cell r="A1038" t="str">
            <v>BE0947892080</v>
          </cell>
          <cell r="B1038" t="str">
            <v>Plato Inst. Index Fund North American Equity Inst. Shares Cap</v>
          </cell>
          <cell r="C1038" t="str">
            <v>USD-KAP-INSTITUTIONEEL</v>
          </cell>
          <cell r="D1038">
            <v>20221118</v>
          </cell>
          <cell r="E1038">
            <v>14685.41</v>
          </cell>
        </row>
        <row r="1039">
          <cell r="A1039" t="str">
            <v>BE6242917944</v>
          </cell>
          <cell r="B1039" t="str">
            <v>Plato Inst. Index Fund North American Equity Inst. Shares EUR Cap</v>
          </cell>
          <cell r="C1039" t="str">
            <v>EUR-KAP-INST.EUR</v>
          </cell>
          <cell r="D1039">
            <v>20221118</v>
          </cell>
          <cell r="E1039">
            <v>14151.66</v>
          </cell>
        </row>
        <row r="1040">
          <cell r="A1040" t="str">
            <v>BE6295948663</v>
          </cell>
          <cell r="B1040" t="str">
            <v>Plato Inst. Index Fund Pacific Equity Classic Shares Cap</v>
          </cell>
          <cell r="C1040" t="str">
            <v>JPY-KAP-RET.B</v>
          </cell>
          <cell r="D1040">
            <v>20221118</v>
          </cell>
          <cell r="E1040">
            <v>27876</v>
          </cell>
        </row>
        <row r="1041">
          <cell r="A1041" t="str">
            <v>BE6295949679</v>
          </cell>
          <cell r="B1041" t="str">
            <v>Plato Inst. Index Fund Pacific Equity Classic Shares Dis</v>
          </cell>
          <cell r="C1041" t="str">
            <v>JPY-DIV-RET.B</v>
          </cell>
          <cell r="D1041">
            <v>20221118</v>
          </cell>
          <cell r="E1041">
            <v>24580</v>
          </cell>
        </row>
        <row r="1042">
          <cell r="A1042" t="str">
            <v>BE0940717110</v>
          </cell>
          <cell r="B1042" t="str">
            <v>Plato Inst. Index Fund Pacific Equity Discretionary Shares Cap</v>
          </cell>
          <cell r="C1042" t="str">
            <v>JPY-KAP-DISCR.SHARES</v>
          </cell>
          <cell r="D1042">
            <v>20221118</v>
          </cell>
          <cell r="E1042">
            <v>1200450</v>
          </cell>
        </row>
        <row r="1043">
          <cell r="A1043" t="str">
            <v>BE6300996707</v>
          </cell>
          <cell r="B1043" t="str">
            <v>Plato Inst. Index Fund Pacific Equity Discretionary Shares Dis</v>
          </cell>
          <cell r="C1043" t="str">
            <v>JPY-DIV-DISCR.SHARES</v>
          </cell>
          <cell r="D1043">
            <v>20221118</v>
          </cell>
          <cell r="E1043">
            <v>351497</v>
          </cell>
        </row>
        <row r="1044">
          <cell r="A1044" t="str">
            <v>BE6242921011</v>
          </cell>
          <cell r="B1044" t="str">
            <v>Plato Inst. Index Fund Pacific Equity Discretionary Shares EUR Cap</v>
          </cell>
          <cell r="C1044" t="str">
            <v>EUR-KAP-RETAIL</v>
          </cell>
          <cell r="D1044">
            <v>20221118</v>
          </cell>
          <cell r="E1044">
            <v>8295.06</v>
          </cell>
        </row>
        <row r="1045">
          <cell r="A1045" t="str">
            <v>BE6294803851</v>
          </cell>
          <cell r="B1045" t="str">
            <v>Plato Inst. Index Fund Pacific Equity Inst. B Shares EUR Cap</v>
          </cell>
          <cell r="C1045" t="str">
            <v>EUR-KAP-INST.B EUR</v>
          </cell>
          <cell r="D1045">
            <v>20221118</v>
          </cell>
          <cell r="E1045">
            <v>8297.5499999999993</v>
          </cell>
        </row>
        <row r="1046">
          <cell r="A1046" t="str">
            <v>BE0947893096</v>
          </cell>
          <cell r="B1046" t="str">
            <v>Plato Inst. Index Fund Pacific Equity Inst. Shares Cap (empty)</v>
          </cell>
          <cell r="C1046" t="str">
            <v>JPY-KAP-INSTITUTIONEEL</v>
          </cell>
          <cell r="D1046">
            <v>20210629</v>
          </cell>
          <cell r="E1046">
            <v>1148253</v>
          </cell>
        </row>
        <row r="1047">
          <cell r="A1047" t="str">
            <v>BE6242923033</v>
          </cell>
          <cell r="B1047" t="str">
            <v>Plato Inst. Index Fund Pacific Equity Inst. Shares EUR Cap</v>
          </cell>
          <cell r="C1047" t="str">
            <v>EUR-KAP-INST.EUR</v>
          </cell>
          <cell r="D1047">
            <v>20221118</v>
          </cell>
          <cell r="E1047">
            <v>8376.6200000000008</v>
          </cell>
        </row>
        <row r="1048">
          <cell r="A1048" t="str">
            <v>BE6295950685</v>
          </cell>
          <cell r="B1048" t="str">
            <v>Plato Inst. Index Fund World Classic Shares Cap</v>
          </cell>
          <cell r="C1048" t="str">
            <v>EUR-KAP-RET.B</v>
          </cell>
          <cell r="D1048">
            <v>20221118</v>
          </cell>
          <cell r="E1048">
            <v>490.22</v>
          </cell>
        </row>
        <row r="1049">
          <cell r="A1049" t="str">
            <v>BE6295951691</v>
          </cell>
          <cell r="B1049" t="str">
            <v>Plato Inst. Index Fund World Classic Shares Dis</v>
          </cell>
          <cell r="C1049" t="str">
            <v>EUR-DIV-RET.B</v>
          </cell>
          <cell r="D1049">
            <v>20221118</v>
          </cell>
          <cell r="E1049">
            <v>444.88</v>
          </cell>
        </row>
        <row r="1050">
          <cell r="A1050" t="str">
            <v>BE6330927284</v>
          </cell>
          <cell r="B1050" t="str">
            <v>Plato Inst. Index Fund World DBI-RDT Classic Shares Dis</v>
          </cell>
          <cell r="C1050" t="str">
            <v>EUR-DIV-RETAIL</v>
          </cell>
          <cell r="D1050">
            <v>20221118</v>
          </cell>
          <cell r="E1050">
            <v>916.64</v>
          </cell>
        </row>
        <row r="1051">
          <cell r="A1051" t="str">
            <v>BE6330928290</v>
          </cell>
          <cell r="B1051" t="str">
            <v>Plato Inst. Index Fund World DBI-RDT Corp.Shares Dis (empty)</v>
          </cell>
          <cell r="C1051" t="str">
            <v>EUR-DIV-CORP.SHARES</v>
          </cell>
          <cell r="D1051">
            <v>20211108</v>
          </cell>
          <cell r="E1051">
            <v>1000</v>
          </cell>
        </row>
        <row r="1052">
          <cell r="A1052" t="str">
            <v>BE6330929306</v>
          </cell>
          <cell r="B1052" t="str">
            <v>Plato Inst. Index Fund World DBI-RDT Discretionary Shares Dis</v>
          </cell>
          <cell r="C1052" t="str">
            <v>EUR-DIV-DISCR.SHARES</v>
          </cell>
          <cell r="D1052">
            <v>20221118</v>
          </cell>
          <cell r="E1052">
            <v>919.28</v>
          </cell>
        </row>
        <row r="1053">
          <cell r="A1053" t="str">
            <v>BE6330930312</v>
          </cell>
          <cell r="B1053" t="str">
            <v>Plato Inst. Index Fund World DBI-RDT Inst. Shares Dis</v>
          </cell>
          <cell r="C1053" t="str">
            <v>EUR-DIV-INSTITUTIONEEL</v>
          </cell>
          <cell r="D1053">
            <v>20221118</v>
          </cell>
          <cell r="E1053">
            <v>920.64</v>
          </cell>
        </row>
        <row r="1054">
          <cell r="A1054" t="str">
            <v>BE6295952707</v>
          </cell>
          <cell r="B1054" t="str">
            <v>Plato Inst. Index Fund World Discretionary Shares Cap</v>
          </cell>
          <cell r="C1054" t="str">
            <v>EUR-KAP-DISCR.SHARES</v>
          </cell>
          <cell r="D1054">
            <v>20221118</v>
          </cell>
          <cell r="E1054">
            <v>826.89</v>
          </cell>
        </row>
        <row r="1055">
          <cell r="A1055" t="str">
            <v>BE6295957755</v>
          </cell>
          <cell r="B1055" t="str">
            <v>Plato Inst. Index Fund World Inst. B Shares Cap</v>
          </cell>
          <cell r="C1055" t="str">
            <v>EUR-KAP-INSTIT.B</v>
          </cell>
          <cell r="D1055">
            <v>20221118</v>
          </cell>
          <cell r="E1055">
            <v>992.57</v>
          </cell>
        </row>
        <row r="1056">
          <cell r="A1056" t="str">
            <v>BE6295956740</v>
          </cell>
          <cell r="B1056" t="str">
            <v>Plato Inst. Index Fund World Inst. Shares Cap</v>
          </cell>
          <cell r="C1056" t="str">
            <v>EUR-KAP-INSTITUTIONEEL</v>
          </cell>
          <cell r="D1056">
            <v>20221118</v>
          </cell>
          <cell r="E1056">
            <v>831.24</v>
          </cell>
        </row>
        <row r="1057">
          <cell r="A1057" t="str">
            <v>BE0026535543</v>
          </cell>
          <cell r="B1057" t="str">
            <v>Pricos Cap</v>
          </cell>
          <cell r="C1057" t="str">
            <v>EUR-KAP-RETAIL</v>
          </cell>
          <cell r="D1057">
            <v>20221118</v>
          </cell>
          <cell r="E1057">
            <v>461.1</v>
          </cell>
        </row>
        <row r="1058">
          <cell r="A1058" t="str">
            <v>BE0942006397</v>
          </cell>
          <cell r="B1058" t="str">
            <v>Pricos Def. Cap</v>
          </cell>
          <cell r="C1058" t="str">
            <v>EUR-KAP-RETAIL</v>
          </cell>
          <cell r="D1058">
            <v>20221118</v>
          </cell>
          <cell r="E1058">
            <v>89.18</v>
          </cell>
        </row>
        <row r="1059">
          <cell r="A1059" t="str">
            <v>BE6302079866</v>
          </cell>
          <cell r="B1059" t="str">
            <v>Pricos SRI Cap</v>
          </cell>
          <cell r="C1059" t="str">
            <v>EUR-KAP-RETAIL</v>
          </cell>
          <cell r="D1059">
            <v>20221118</v>
          </cell>
          <cell r="E1059">
            <v>102.91</v>
          </cell>
        </row>
        <row r="1060">
          <cell r="A1060" t="str">
            <v>BE0146657904</v>
          </cell>
          <cell r="B1060" t="str">
            <v>Sivek Global High Cap</v>
          </cell>
          <cell r="C1060" t="str">
            <v>EUR-KAP-RETAIL</v>
          </cell>
          <cell r="D1060">
            <v>20221118</v>
          </cell>
          <cell r="E1060">
            <v>461.3</v>
          </cell>
        </row>
        <row r="1061">
          <cell r="A1061" t="str">
            <v>BE0146658910</v>
          </cell>
          <cell r="B1061" t="str">
            <v>Sivek Global High Dis</v>
          </cell>
          <cell r="C1061" t="str">
            <v>EUR-DIV-RETAIL</v>
          </cell>
          <cell r="D1061">
            <v>20221118</v>
          </cell>
          <cell r="E1061">
            <v>291.52</v>
          </cell>
        </row>
        <row r="1062">
          <cell r="A1062" t="str">
            <v>BE0146661948</v>
          </cell>
          <cell r="B1062" t="str">
            <v>Sivek Global Low Cap</v>
          </cell>
          <cell r="C1062" t="str">
            <v>EUR-KAP-RETAIL</v>
          </cell>
          <cell r="D1062">
            <v>20221118</v>
          </cell>
          <cell r="E1062">
            <v>338.69</v>
          </cell>
        </row>
        <row r="1063">
          <cell r="A1063" t="str">
            <v>BE0146662953</v>
          </cell>
          <cell r="B1063" t="str">
            <v>Sivek Global Low Dis</v>
          </cell>
          <cell r="C1063" t="str">
            <v>EUR-DIV-RETAIL</v>
          </cell>
          <cell r="D1063">
            <v>20221118</v>
          </cell>
          <cell r="E1063">
            <v>146.16999999999999</v>
          </cell>
        </row>
        <row r="1064">
          <cell r="A1064" t="str">
            <v>BE0146659926</v>
          </cell>
          <cell r="B1064" t="str">
            <v>Sivek Global Medium Cap</v>
          </cell>
          <cell r="C1064" t="str">
            <v>EUR-KAP-RETAIL</v>
          </cell>
          <cell r="D1064">
            <v>20221118</v>
          </cell>
          <cell r="E1064">
            <v>405.59</v>
          </cell>
        </row>
        <row r="1065">
          <cell r="A1065" t="str">
            <v>BE0146660932</v>
          </cell>
          <cell r="B1065" t="str">
            <v>Sivek Global Medium Dis</v>
          </cell>
          <cell r="C1065" t="str">
            <v>EUR-DIV-RETAIL</v>
          </cell>
          <cell r="D1065">
            <v>20221118</v>
          </cell>
          <cell r="E1065">
            <v>224.52</v>
          </cell>
        </row>
        <row r="1066">
          <cell r="A1066" t="str">
            <v>BE6307376481</v>
          </cell>
          <cell r="B1066" t="str">
            <v>Sivek SRI Global Low Classic Shares Cap</v>
          </cell>
          <cell r="C1066" t="str">
            <v>EUR-KAP-RETAIL</v>
          </cell>
          <cell r="D1066">
            <v>20221118</v>
          </cell>
          <cell r="E1066">
            <v>929.17</v>
          </cell>
        </row>
        <row r="1067">
          <cell r="A1067" t="str">
            <v>BE6307377497</v>
          </cell>
          <cell r="B1067" t="str">
            <v>Sivek SRI Global Low Classic Shares Dis</v>
          </cell>
          <cell r="C1067" t="str">
            <v>EUR-DIV-RETAIL</v>
          </cell>
          <cell r="D1067">
            <v>20221118</v>
          </cell>
          <cell r="E1067">
            <v>904.45</v>
          </cell>
        </row>
        <row r="1068">
          <cell r="A1068" t="str">
            <v>BE6327336267</v>
          </cell>
          <cell r="B1068" t="str">
            <v>Sivek SRI Global Low Inst. F Shares SK Cap</v>
          </cell>
          <cell r="C1068" t="str">
            <v>EUR-KAP-INST.FSK</v>
          </cell>
          <cell r="D1068">
            <v>20221118</v>
          </cell>
          <cell r="E1068">
            <v>864.31</v>
          </cell>
        </row>
        <row r="1069">
          <cell r="A1069" t="str">
            <v>BE6307378503</v>
          </cell>
          <cell r="B1069" t="str">
            <v>Sivek SRI Global Medium Classic Shares Cap</v>
          </cell>
          <cell r="C1069" t="str">
            <v>EUR-KAP-RETAIL</v>
          </cell>
          <cell r="D1069">
            <v>20221118</v>
          </cell>
          <cell r="E1069">
            <v>1027.44</v>
          </cell>
        </row>
        <row r="1070">
          <cell r="A1070" t="str">
            <v>BE6307379519</v>
          </cell>
          <cell r="B1070" t="str">
            <v>Sivek SRI Global Medium Classic Shares Dis</v>
          </cell>
          <cell r="C1070" t="str">
            <v>EUR-DIV-RETAIL</v>
          </cell>
          <cell r="D1070">
            <v>20221118</v>
          </cell>
          <cell r="E1070">
            <v>988.22</v>
          </cell>
        </row>
        <row r="1071">
          <cell r="A1071" t="str">
            <v>BE6323176378</v>
          </cell>
          <cell r="B1071" t="str">
            <v>Sivek SRI Global Medium Inst. F Shares IE Cap</v>
          </cell>
          <cell r="C1071" t="str">
            <v>EUR-KAP-INST.FIE</v>
          </cell>
          <cell r="D1071">
            <v>20221118</v>
          </cell>
          <cell r="E1071">
            <v>927.22</v>
          </cell>
        </row>
        <row r="1072">
          <cell r="A1072" t="str">
            <v>BE6327337273</v>
          </cell>
          <cell r="B1072" t="str">
            <v>Sivek SRI Global Medium Inst. F Shares SK Cap</v>
          </cell>
          <cell r="C1072" t="str">
            <v>EUR-KAP-INST.FSK</v>
          </cell>
          <cell r="D1072">
            <v>20221118</v>
          </cell>
          <cell r="E1072">
            <v>868.83</v>
          </cell>
        </row>
        <row r="1073">
          <cell r="A1073" t="str">
            <v>BE0948426573</v>
          </cell>
          <cell r="B1073" t="str">
            <v>Vladubel Zorgverzekering Shareclass A Cap (empty)</v>
          </cell>
          <cell r="C1073" t="str">
            <v>EUR-KAP-RETAIL</v>
          </cell>
          <cell r="D1073">
            <v>20150316</v>
          </cell>
          <cell r="E1073">
            <v>2250.65</v>
          </cell>
        </row>
        <row r="1074">
          <cell r="A1074" t="str">
            <v>BE6222626762</v>
          </cell>
          <cell r="B1074" t="str">
            <v>Vladubel Zorgverzekering Shareclass B Cap</v>
          </cell>
          <cell r="C1074" t="str">
            <v>EUR-KAP-INSTITUTIONEEL</v>
          </cell>
          <cell r="D1074">
            <v>20221118</v>
          </cell>
          <cell r="E1074">
            <v>3159.64</v>
          </cell>
        </row>
        <row r="1075">
          <cell r="A1075" t="str">
            <v>BE6277014476</v>
          </cell>
          <cell r="B1075" t="str">
            <v>Vladubel Zorgverzekering Shareclass C Dis</v>
          </cell>
          <cell r="C1075" t="str">
            <v>EUR-DIV-RETAIL</v>
          </cell>
          <cell r="D1075">
            <v>20221118</v>
          </cell>
          <cell r="E1075">
            <v>2127.5500000000002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30306111935"/>
    </sheetNames>
    <sheetDataSet>
      <sheetData sheetId="0">
        <row r="1">
          <cell r="A1" t="str">
            <v>ISIN</v>
          </cell>
          <cell r="B1" t="str">
            <v>Fundname</v>
          </cell>
          <cell r="C1" t="str">
            <v>Share Class</v>
          </cell>
          <cell r="D1" t="str">
            <v>NAV-date</v>
          </cell>
          <cell r="E1" t="str">
            <v>NAV</v>
          </cell>
        </row>
        <row r="2">
          <cell r="A2" t="str">
            <v>BE0013403176</v>
          </cell>
          <cell r="B2" t="str">
            <v>Horizon Internationaal Obligatiedepot Dis</v>
          </cell>
          <cell r="C2" t="str">
            <v>EUR-DIV-RETAIL</v>
          </cell>
          <cell r="D2">
            <v>20230302</v>
          </cell>
          <cell r="E2">
            <v>17.37</v>
          </cell>
        </row>
        <row r="3">
          <cell r="A3" t="str">
            <v>BE0026535543</v>
          </cell>
          <cell r="B3" t="str">
            <v>Pricos Cap</v>
          </cell>
          <cell r="C3" t="str">
            <v>EUR-KAP-RETAIL</v>
          </cell>
          <cell r="D3">
            <v>20230302</v>
          </cell>
          <cell r="E3">
            <v>478.45</v>
          </cell>
        </row>
        <row r="4">
          <cell r="A4" t="str">
            <v>BE0057042062</v>
          </cell>
          <cell r="B4" t="str">
            <v>KBC Inst, Fund Upper Grade Euro Corp,Bonds Classic Shares Cap</v>
          </cell>
          <cell r="C4" t="str">
            <v>EUR-KAP-RETAIL</v>
          </cell>
          <cell r="D4">
            <v>20230302</v>
          </cell>
          <cell r="E4">
            <v>4023.96</v>
          </cell>
        </row>
        <row r="5">
          <cell r="A5" t="str">
            <v>BE0057592710</v>
          </cell>
          <cell r="B5" t="str">
            <v>KBC Equity Fund Quant Global 1 Classic Shares Dis</v>
          </cell>
          <cell r="C5" t="str">
            <v>EUR-DIV-RETAIL</v>
          </cell>
          <cell r="D5">
            <v>20230302</v>
          </cell>
          <cell r="E5">
            <v>6709.37</v>
          </cell>
        </row>
        <row r="6">
          <cell r="A6" t="str">
            <v>BE0057593726</v>
          </cell>
          <cell r="B6" t="str">
            <v>KBC Equity Fund Quant Global 1 Classic Shares Cap</v>
          </cell>
          <cell r="C6" t="str">
            <v>EUR-KAP-RETAIL</v>
          </cell>
          <cell r="D6">
            <v>20230302</v>
          </cell>
          <cell r="E6">
            <v>9100.31</v>
          </cell>
        </row>
        <row r="7">
          <cell r="A7" t="str">
            <v>BE0057771561</v>
          </cell>
          <cell r="B7" t="str">
            <v>KBC Inst, Fund Global Def, 1 Resp, Invest, Classic Shares Dis</v>
          </cell>
          <cell r="C7" t="str">
            <v>EUR-DIV-RETAIL</v>
          </cell>
          <cell r="D7">
            <v>20230302</v>
          </cell>
          <cell r="E7">
            <v>1131.46</v>
          </cell>
        </row>
        <row r="8">
          <cell r="A8" t="str">
            <v>BE0057773583</v>
          </cell>
          <cell r="B8" t="str">
            <v>KBC Inst, Fund Global Def, 1 Resp, Invest, Classic Shares Cap</v>
          </cell>
          <cell r="C8" t="str">
            <v>EUR-KAP-RETAIL</v>
          </cell>
          <cell r="D8">
            <v>20230302</v>
          </cell>
          <cell r="E8">
            <v>1867.31</v>
          </cell>
        </row>
        <row r="9">
          <cell r="A9" t="str">
            <v>BE0058441479</v>
          </cell>
          <cell r="B9" t="str">
            <v>KBC Inst, Fund North America Resp, Invest, Classic Shares Dis</v>
          </cell>
          <cell r="C9" t="str">
            <v>USD-DIV-RETAIL</v>
          </cell>
          <cell r="D9">
            <v>20230302</v>
          </cell>
          <cell r="E9">
            <v>16788.150000000001</v>
          </cell>
        </row>
        <row r="10">
          <cell r="A10" t="str">
            <v>BE0058442485</v>
          </cell>
          <cell r="B10" t="str">
            <v>KBC Inst, Fund North America Resp, Invest, Classic Shares Cap</v>
          </cell>
          <cell r="C10" t="str">
            <v>USD-KAP-RETAIL</v>
          </cell>
          <cell r="D10">
            <v>20230302</v>
          </cell>
          <cell r="E10">
            <v>21165.03</v>
          </cell>
        </row>
        <row r="11">
          <cell r="A11" t="str">
            <v>BE0058976979</v>
          </cell>
          <cell r="B11" t="str">
            <v>KBC Master Fund Bonds Classic Shares Cap</v>
          </cell>
          <cell r="C11" t="str">
            <v>EUR-KAP-RETAIL</v>
          </cell>
          <cell r="D11">
            <v>20230302</v>
          </cell>
          <cell r="E11">
            <v>687.25</v>
          </cell>
        </row>
        <row r="12">
          <cell r="A12" t="str">
            <v>BE0058977019</v>
          </cell>
          <cell r="B12" t="str">
            <v>KBC Inst, Fund Euro Bonds Resp, Invest, Classic Shares Dis</v>
          </cell>
          <cell r="C12" t="str">
            <v>EUR-DIV-RETAIL</v>
          </cell>
          <cell r="D12">
            <v>20230302</v>
          </cell>
          <cell r="E12">
            <v>494.12</v>
          </cell>
        </row>
        <row r="13">
          <cell r="A13" t="str">
            <v>BE0058979031</v>
          </cell>
          <cell r="B13" t="str">
            <v>KBC Inst, Fund Euro Bonds Resp, Invest, Classic Shares Cap</v>
          </cell>
          <cell r="C13" t="str">
            <v>EUR-KAP-RETAIL</v>
          </cell>
          <cell r="D13">
            <v>20230302</v>
          </cell>
          <cell r="E13">
            <v>817.14</v>
          </cell>
        </row>
        <row r="14">
          <cell r="A14" t="str">
            <v>BE0059874256</v>
          </cell>
          <cell r="B14" t="str">
            <v>Plato Inst, Index Fund Euro Equity Classic Shares Cap</v>
          </cell>
          <cell r="C14" t="str">
            <v>EUR-KAP-RETAIL</v>
          </cell>
          <cell r="D14">
            <v>20230302</v>
          </cell>
          <cell r="E14">
            <v>6741.55</v>
          </cell>
        </row>
        <row r="15">
          <cell r="A15" t="str">
            <v>BE0059883349</v>
          </cell>
          <cell r="B15" t="str">
            <v>Plato Inst, Index Fund European Equity Discretionary Shares Cap</v>
          </cell>
          <cell r="C15" t="str">
            <v>EUR-KAP-DISCR,SHARES</v>
          </cell>
          <cell r="D15">
            <v>20230302</v>
          </cell>
          <cell r="E15">
            <v>7872.45</v>
          </cell>
        </row>
        <row r="16">
          <cell r="A16" t="str">
            <v>BE0126161612</v>
          </cell>
          <cell r="B16" t="str">
            <v>KBC Equity Fund Europe Classic Shares Cap</v>
          </cell>
          <cell r="C16" t="str">
            <v>EUR-KAP-RETAIL</v>
          </cell>
          <cell r="D16">
            <v>20230302</v>
          </cell>
          <cell r="E16">
            <v>1981.4</v>
          </cell>
        </row>
        <row r="17">
          <cell r="A17" t="str">
            <v>BE0126162628</v>
          </cell>
          <cell r="B17" t="str">
            <v>KBC Equity Fund North America Classic Shares Cap</v>
          </cell>
          <cell r="C17" t="str">
            <v>USD-KAP-RETAIL</v>
          </cell>
          <cell r="D17">
            <v>20230302</v>
          </cell>
          <cell r="E17">
            <v>3680.39</v>
          </cell>
        </row>
        <row r="18">
          <cell r="A18" t="str">
            <v>BE0126163634</v>
          </cell>
          <cell r="B18" t="str">
            <v>KBC Equity Fund Asia Pacific Classic Shares Cap</v>
          </cell>
          <cell r="C18" t="str">
            <v>JPY-KAP-RETAIL</v>
          </cell>
          <cell r="D18">
            <v>20230302</v>
          </cell>
          <cell r="E18">
            <v>76609</v>
          </cell>
        </row>
        <row r="19">
          <cell r="A19" t="str">
            <v>BE0126164640</v>
          </cell>
          <cell r="B19" t="str">
            <v>KBC Equity Fund Emerging Markets Classic Shares Cap</v>
          </cell>
          <cell r="C19" t="str">
            <v>EUR-KAP-RETAIL</v>
          </cell>
          <cell r="D19">
            <v>20230302</v>
          </cell>
          <cell r="E19">
            <v>1883.83</v>
          </cell>
        </row>
        <row r="20">
          <cell r="A20" t="str">
            <v>BE0126900241</v>
          </cell>
          <cell r="B20" t="str">
            <v>KBC Multi Track Belgium Cap</v>
          </cell>
          <cell r="C20" t="str">
            <v>EUR-KAP-RETAIL</v>
          </cell>
          <cell r="D20">
            <v>20230302</v>
          </cell>
          <cell r="E20">
            <v>235.84</v>
          </cell>
        </row>
        <row r="21">
          <cell r="A21" t="str">
            <v>BE0129009966</v>
          </cell>
          <cell r="B21" t="str">
            <v>KBC Equity Fund Belgium Cap</v>
          </cell>
          <cell r="C21" t="str">
            <v>EUR-KAP-RETAIL</v>
          </cell>
          <cell r="D21">
            <v>20230302</v>
          </cell>
          <cell r="E21">
            <v>1045.9100000000001</v>
          </cell>
        </row>
        <row r="22">
          <cell r="A22" t="str">
            <v>BE0129141348</v>
          </cell>
          <cell r="B22" t="str">
            <v>KBC Equity Fund Belgium Dis</v>
          </cell>
          <cell r="C22" t="str">
            <v>EUR-DIV-RETAIL</v>
          </cell>
          <cell r="D22">
            <v>20230302</v>
          </cell>
          <cell r="E22">
            <v>504.57</v>
          </cell>
        </row>
        <row r="23">
          <cell r="A23" t="str">
            <v>BE0133741752</v>
          </cell>
          <cell r="B23" t="str">
            <v>KBC Eco Fund World Resp, Invest,  Classic Shares Cap</v>
          </cell>
          <cell r="C23" t="str">
            <v>EUR-KAP-RETAIL</v>
          </cell>
          <cell r="D23">
            <v>20230302</v>
          </cell>
          <cell r="E23">
            <v>1310.9</v>
          </cell>
        </row>
        <row r="24">
          <cell r="A24" t="str">
            <v>BE0137788486</v>
          </cell>
          <cell r="B24" t="str">
            <v>KBC Multi Interest Cash USD Classic Shares Cap</v>
          </cell>
          <cell r="C24" t="str">
            <v>USD-KAP-RETAIL</v>
          </cell>
          <cell r="D24">
            <v>20230302</v>
          </cell>
          <cell r="E24">
            <v>5843.1310000000003</v>
          </cell>
        </row>
        <row r="25">
          <cell r="A25" t="str">
            <v>BE0145346400</v>
          </cell>
          <cell r="B25" t="str">
            <v>KBC Master Fund Medium Cap</v>
          </cell>
          <cell r="C25" t="str">
            <v>EUR-KAP-RETAIL</v>
          </cell>
          <cell r="D25">
            <v>20230302</v>
          </cell>
          <cell r="E25">
            <v>1427.29</v>
          </cell>
        </row>
        <row r="26">
          <cell r="A26" t="str">
            <v>BE0146025409</v>
          </cell>
          <cell r="B26" t="str">
            <v>KBC Equity Fund New Asia Classic Shares Cap</v>
          </cell>
          <cell r="C26" t="str">
            <v>EUR-KAP-RETAIL</v>
          </cell>
          <cell r="D26">
            <v>20230302</v>
          </cell>
          <cell r="E26">
            <v>894.12</v>
          </cell>
        </row>
        <row r="27">
          <cell r="A27" t="str">
            <v>BE0146657904</v>
          </cell>
          <cell r="B27" t="str">
            <v>Sivek Global High Cap</v>
          </cell>
          <cell r="C27" t="str">
            <v>EUR-KAP-RETAIL</v>
          </cell>
          <cell r="D27">
            <v>20230302</v>
          </cell>
          <cell r="E27">
            <v>460.02</v>
          </cell>
        </row>
        <row r="28">
          <cell r="A28" t="str">
            <v>BE0146658910</v>
          </cell>
          <cell r="B28" t="str">
            <v>Sivek Global High Dis</v>
          </cell>
          <cell r="C28" t="str">
            <v>EUR-DIV-RETAIL</v>
          </cell>
          <cell r="D28">
            <v>20230302</v>
          </cell>
          <cell r="E28">
            <v>290.70999999999998</v>
          </cell>
        </row>
        <row r="29">
          <cell r="A29" t="str">
            <v>BE0146659926</v>
          </cell>
          <cell r="B29" t="str">
            <v>Sivek Global Medium Cap</v>
          </cell>
          <cell r="C29" t="str">
            <v>EUR-KAP-RETAIL</v>
          </cell>
          <cell r="D29">
            <v>20230302</v>
          </cell>
          <cell r="E29">
            <v>402.55</v>
          </cell>
        </row>
        <row r="30">
          <cell r="A30" t="str">
            <v>BE0146660932</v>
          </cell>
          <cell r="B30" t="str">
            <v>Sivek Global Medium Dis</v>
          </cell>
          <cell r="C30" t="str">
            <v>EUR-DIV-RETAIL</v>
          </cell>
          <cell r="D30">
            <v>20230302</v>
          </cell>
          <cell r="E30">
            <v>222.84</v>
          </cell>
        </row>
        <row r="31">
          <cell r="A31" t="str">
            <v>BE0146661948</v>
          </cell>
          <cell r="B31" t="str">
            <v>Sivek Global Low Cap</v>
          </cell>
          <cell r="C31" t="str">
            <v>EUR-KAP-RETAIL</v>
          </cell>
          <cell r="D31">
            <v>20230302</v>
          </cell>
          <cell r="E31">
            <v>333.98</v>
          </cell>
        </row>
        <row r="32">
          <cell r="A32" t="str">
            <v>BE0146662953</v>
          </cell>
          <cell r="B32" t="str">
            <v>Sivek Global Low Dis</v>
          </cell>
          <cell r="C32" t="str">
            <v>EUR-DIV-RETAIL</v>
          </cell>
          <cell r="D32">
            <v>20230302</v>
          </cell>
          <cell r="E32">
            <v>144.13999999999999</v>
          </cell>
        </row>
        <row r="33">
          <cell r="A33" t="str">
            <v>BE0149027352</v>
          </cell>
          <cell r="B33" t="str">
            <v>KBC Master Fund Low Cap</v>
          </cell>
          <cell r="C33" t="str">
            <v>EUR-KAP-RETAIL</v>
          </cell>
          <cell r="D33">
            <v>20230302</v>
          </cell>
          <cell r="E33">
            <v>1105.76</v>
          </cell>
        </row>
        <row r="34">
          <cell r="A34" t="str">
            <v>BE0149028368</v>
          </cell>
          <cell r="B34" t="str">
            <v>KBC Master Fund High Cap</v>
          </cell>
          <cell r="C34" t="str">
            <v>EUR-KAP-RETAIL</v>
          </cell>
          <cell r="D34">
            <v>20230302</v>
          </cell>
          <cell r="E34">
            <v>1594.9</v>
          </cell>
        </row>
        <row r="35">
          <cell r="A35" t="str">
            <v>BE0152245529</v>
          </cell>
          <cell r="B35" t="str">
            <v>KBC Equity Fund New Asia Classic Shares Dis</v>
          </cell>
          <cell r="C35" t="str">
            <v>EUR-DIV-RETAIL</v>
          </cell>
          <cell r="D35">
            <v>20230302</v>
          </cell>
          <cell r="E35">
            <v>560.79999999999995</v>
          </cell>
        </row>
        <row r="36">
          <cell r="A36" t="str">
            <v>BE0152247541</v>
          </cell>
          <cell r="B36" t="str">
            <v>KBC Equity Fund Europe Classic Shares Dis</v>
          </cell>
          <cell r="C36" t="str">
            <v>EUR-DIV-RETAIL</v>
          </cell>
          <cell r="D36">
            <v>20230302</v>
          </cell>
          <cell r="E36">
            <v>1158.7</v>
          </cell>
        </row>
        <row r="37">
          <cell r="A37" t="str">
            <v>BE0152248556</v>
          </cell>
          <cell r="B37" t="str">
            <v>KBC Multi Track Belgium Dis</v>
          </cell>
          <cell r="C37" t="str">
            <v>EUR-DIV-RETAIL</v>
          </cell>
          <cell r="D37">
            <v>20230302</v>
          </cell>
          <cell r="E37">
            <v>101.91</v>
          </cell>
        </row>
        <row r="38">
          <cell r="A38" t="str">
            <v>BE0152249562</v>
          </cell>
          <cell r="B38" t="str">
            <v>KBC Equity Fund North America Classic Shares Dis</v>
          </cell>
          <cell r="C38" t="str">
            <v>USD-DIV-RETAIL</v>
          </cell>
          <cell r="D38">
            <v>20230302</v>
          </cell>
          <cell r="E38">
            <v>2550.0500000000002</v>
          </cell>
        </row>
        <row r="39">
          <cell r="A39" t="str">
            <v>BE0152250578</v>
          </cell>
          <cell r="B39" t="str">
            <v>KBC Equity Fund Asia Pacific Classic Shares Dis</v>
          </cell>
          <cell r="C39" t="str">
            <v>JPY-DIV-RETAIL</v>
          </cell>
          <cell r="D39">
            <v>20230302</v>
          </cell>
          <cell r="E39">
            <v>55538</v>
          </cell>
        </row>
        <row r="40">
          <cell r="A40" t="str">
            <v>BE0152251584</v>
          </cell>
          <cell r="B40" t="str">
            <v>KBC Equity Fund Emerging Markets Classic Shares Dis</v>
          </cell>
          <cell r="C40" t="str">
            <v>EUR-DIV-RETAIL</v>
          </cell>
          <cell r="D40">
            <v>20230302</v>
          </cell>
          <cell r="E40">
            <v>1127.8399999999999</v>
          </cell>
        </row>
        <row r="41">
          <cell r="A41" t="str">
            <v>BE0153263034</v>
          </cell>
          <cell r="B41" t="str">
            <v>KBC Select Immo Belgium Plus Cap</v>
          </cell>
          <cell r="C41" t="str">
            <v>EUR-KAP-RETAIL</v>
          </cell>
          <cell r="D41">
            <v>20230302</v>
          </cell>
          <cell r="E41">
            <v>2512.4899999999998</v>
          </cell>
        </row>
        <row r="42">
          <cell r="A42" t="str">
            <v>BE0154367404</v>
          </cell>
          <cell r="B42" t="str">
            <v>KBC Multi Interest Cash USD Classic Shares Dis</v>
          </cell>
          <cell r="C42" t="str">
            <v>USD-DIV-RETAIL</v>
          </cell>
          <cell r="D42">
            <v>20230302</v>
          </cell>
          <cell r="E42">
            <v>3053.1579999999999</v>
          </cell>
        </row>
        <row r="43">
          <cell r="A43" t="str">
            <v>BE0156153802</v>
          </cell>
          <cell r="B43" t="str">
            <v>KBC Equity Fund Emerging Europe Classic Shares Cap (In Liquidation)</v>
          </cell>
          <cell r="C43" t="str">
            <v>EUR-KAP-RETAIL</v>
          </cell>
          <cell r="D43">
            <v>20230220</v>
          </cell>
          <cell r="E43">
            <v>978.04</v>
          </cell>
        </row>
        <row r="44">
          <cell r="A44" t="str">
            <v>BE0156154818</v>
          </cell>
          <cell r="B44" t="str">
            <v>KBC Equity Fund Emerging Europe Classic Shares Dis (In Liquidation)</v>
          </cell>
          <cell r="C44" t="str">
            <v>EUR-DIV-RETAIL</v>
          </cell>
          <cell r="D44">
            <v>20230220</v>
          </cell>
          <cell r="E44">
            <v>560.82000000000005</v>
          </cell>
        </row>
        <row r="45">
          <cell r="A45" t="str">
            <v>BE0156938897</v>
          </cell>
          <cell r="B45" t="str">
            <v>KBC Inst, Fund Euro Bonds Short Classic Shares Dis</v>
          </cell>
          <cell r="C45" t="str">
            <v>EUR-DIV-RETAIL</v>
          </cell>
          <cell r="D45">
            <v>20230302</v>
          </cell>
          <cell r="E45">
            <v>2239.35</v>
          </cell>
        </row>
        <row r="46">
          <cell r="A46" t="str">
            <v>BE0156939903</v>
          </cell>
          <cell r="B46" t="str">
            <v>KBC Inst, Fund Euro Bonds Short Classic Shares Cap</v>
          </cell>
          <cell r="C46" t="str">
            <v>EUR-KAP-RETAIL</v>
          </cell>
          <cell r="D46">
            <v>20230302</v>
          </cell>
          <cell r="E46">
            <v>4780</v>
          </cell>
        </row>
        <row r="47">
          <cell r="A47" t="str">
            <v>BE0161292785</v>
          </cell>
          <cell r="B47" t="str">
            <v>KBC Multi Track Netherlands Cap</v>
          </cell>
          <cell r="C47" t="str">
            <v>EUR-KAP-RETAIL</v>
          </cell>
          <cell r="D47">
            <v>20230302</v>
          </cell>
          <cell r="E47">
            <v>442.14</v>
          </cell>
        </row>
        <row r="48">
          <cell r="A48" t="str">
            <v>BE0161293791</v>
          </cell>
          <cell r="B48" t="str">
            <v>KBC Multi Track Netherlands Dis</v>
          </cell>
          <cell r="C48" t="str">
            <v>EUR-DIV-RETAIL</v>
          </cell>
          <cell r="D48">
            <v>20230302</v>
          </cell>
          <cell r="E48">
            <v>270.52999999999997</v>
          </cell>
        </row>
        <row r="49">
          <cell r="A49" t="str">
            <v>BE0162584123</v>
          </cell>
          <cell r="B49" t="str">
            <v>KBC Inst, Fund Euro Bonds Classic Shares Cap</v>
          </cell>
          <cell r="C49" t="str">
            <v>EUR-KAP-RETAIL</v>
          </cell>
          <cell r="D49">
            <v>20230302</v>
          </cell>
          <cell r="E49">
            <v>5736.94</v>
          </cell>
        </row>
        <row r="50">
          <cell r="A50" t="str">
            <v>BE0164243223</v>
          </cell>
          <cell r="B50" t="str">
            <v>KBC Equity Fund Flanders Cap</v>
          </cell>
          <cell r="C50" t="str">
            <v>EUR-KAP-RETAIL</v>
          </cell>
          <cell r="D50">
            <v>20230302</v>
          </cell>
          <cell r="E50">
            <v>4084.45</v>
          </cell>
        </row>
        <row r="51">
          <cell r="A51" t="str">
            <v>BE0164244239</v>
          </cell>
          <cell r="B51" t="str">
            <v>KBC Equity Fund Flanders Dis</v>
          </cell>
          <cell r="C51" t="str">
            <v>EUR-DIV-RETAIL</v>
          </cell>
          <cell r="D51">
            <v>20230302</v>
          </cell>
          <cell r="E51">
            <v>2566.81</v>
          </cell>
        </row>
        <row r="52">
          <cell r="A52" t="str">
            <v>BE0165668899</v>
          </cell>
          <cell r="B52" t="str">
            <v>KBC Multi Track Germany Classic Shares Cap</v>
          </cell>
          <cell r="C52" t="str">
            <v>EUR-KAP-RETAIL</v>
          </cell>
          <cell r="D52">
            <v>20230302</v>
          </cell>
          <cell r="E52">
            <v>352.57</v>
          </cell>
        </row>
        <row r="53">
          <cell r="A53" t="str">
            <v>BE0165669905</v>
          </cell>
          <cell r="B53" t="str">
            <v>KBC Multi Track Germany Classic Shares Dis</v>
          </cell>
          <cell r="C53" t="str">
            <v>EUR-DIV-RETAIL</v>
          </cell>
          <cell r="D53">
            <v>20230302</v>
          </cell>
          <cell r="E53">
            <v>201.61</v>
          </cell>
        </row>
        <row r="54">
          <cell r="A54" t="str">
            <v>BE0166584350</v>
          </cell>
          <cell r="B54" t="str">
            <v>KBC Equity Fund We Care Resp, Invest, Classic Shares Cap</v>
          </cell>
          <cell r="C54" t="str">
            <v>EUR-KAP-RETAIL</v>
          </cell>
          <cell r="D54">
            <v>20230302</v>
          </cell>
          <cell r="E54">
            <v>2372.5300000000002</v>
          </cell>
        </row>
        <row r="55">
          <cell r="A55" t="str">
            <v>BE0166585365</v>
          </cell>
          <cell r="B55" t="str">
            <v>KBC Equity Fund We Care Resp, Invest, Classic Shares Dis</v>
          </cell>
          <cell r="C55" t="str">
            <v>EUR-DIV-RETAIL</v>
          </cell>
          <cell r="D55">
            <v>20230302</v>
          </cell>
          <cell r="E55">
            <v>1791.56</v>
          </cell>
        </row>
        <row r="56">
          <cell r="A56" t="str">
            <v>BE0166978412</v>
          </cell>
          <cell r="B56" t="str">
            <v>KBC Select Immo Europe Plus Classic Shares Cap</v>
          </cell>
          <cell r="C56" t="str">
            <v>EUR-KAP-RETAIL</v>
          </cell>
          <cell r="D56">
            <v>20230302</v>
          </cell>
          <cell r="E56">
            <v>1109.08</v>
          </cell>
        </row>
        <row r="57">
          <cell r="A57" t="str">
            <v>BE0166979428</v>
          </cell>
          <cell r="B57" t="str">
            <v>KBC Select Immo World Plus Classic Shares Cap</v>
          </cell>
          <cell r="C57" t="str">
            <v>EUR-KAP-RETAIL</v>
          </cell>
          <cell r="D57">
            <v>20230302</v>
          </cell>
          <cell r="E57">
            <v>1756.63</v>
          </cell>
        </row>
        <row r="58">
          <cell r="A58" t="str">
            <v>BE0166981440</v>
          </cell>
          <cell r="B58" t="str">
            <v>KBC Inst, Fund Euro Equity Classic Shares Cap</v>
          </cell>
          <cell r="C58" t="str">
            <v>EUR-KAP-RETAIL</v>
          </cell>
          <cell r="D58">
            <v>20230302</v>
          </cell>
          <cell r="E58">
            <v>12041.82</v>
          </cell>
        </row>
        <row r="59">
          <cell r="A59" t="str">
            <v>BE0166983461</v>
          </cell>
          <cell r="B59" t="str">
            <v>KBC Inst, Fund Euro Satellite Equity Classic Shares Cap</v>
          </cell>
          <cell r="C59" t="str">
            <v>EUR-KAP-RETAIL</v>
          </cell>
          <cell r="D59">
            <v>20230302</v>
          </cell>
          <cell r="E59">
            <v>10427.43</v>
          </cell>
        </row>
        <row r="60">
          <cell r="A60" t="str">
            <v>BE0166984477</v>
          </cell>
          <cell r="B60" t="str">
            <v>KBC Equity Fund We Shape Resp, Invest, Classic Shares Dis</v>
          </cell>
          <cell r="C60" t="str">
            <v>EUR-DIV-RETAIL</v>
          </cell>
          <cell r="D60">
            <v>20230302</v>
          </cell>
          <cell r="E60">
            <v>482.05</v>
          </cell>
        </row>
        <row r="61">
          <cell r="A61" t="str">
            <v>BE0166985482</v>
          </cell>
          <cell r="B61" t="str">
            <v>KBC Equity Fund We Shape Resp, Invest, Classic Shares Cap</v>
          </cell>
          <cell r="C61" t="str">
            <v>EUR-KAP-RETAIL</v>
          </cell>
          <cell r="D61">
            <v>20230302</v>
          </cell>
          <cell r="E61">
            <v>803.76</v>
          </cell>
        </row>
        <row r="62">
          <cell r="A62" t="str">
            <v>BE0167243154</v>
          </cell>
          <cell r="B62" t="str">
            <v>KBC Equity Fund Trends Classic Shares Cap</v>
          </cell>
          <cell r="C62" t="str">
            <v>EUR-KAP-RETAIL</v>
          </cell>
          <cell r="D62">
            <v>20230302</v>
          </cell>
          <cell r="E62">
            <v>204.98</v>
          </cell>
        </row>
        <row r="63">
          <cell r="A63" t="str">
            <v>BE0167244160</v>
          </cell>
          <cell r="B63" t="str">
            <v>KBC Equity Fund Trends Classic Shares Dis</v>
          </cell>
          <cell r="C63" t="str">
            <v>EUR-DIV-RETAIL</v>
          </cell>
          <cell r="D63">
            <v>20230302</v>
          </cell>
          <cell r="E63">
            <v>157.16999999999999</v>
          </cell>
        </row>
        <row r="64">
          <cell r="A64" t="str">
            <v>BE0167421966</v>
          </cell>
          <cell r="B64" t="str">
            <v>KBC Equity Fund Communication Services Classic Shares Cap</v>
          </cell>
          <cell r="C64" t="str">
            <v>EUR-KAP-RETAIL</v>
          </cell>
          <cell r="D64">
            <v>20230302</v>
          </cell>
          <cell r="E64">
            <v>469.14</v>
          </cell>
        </row>
        <row r="65">
          <cell r="A65" t="str">
            <v>BE0167422972</v>
          </cell>
          <cell r="B65" t="str">
            <v>KBC Equity Fund Communication Services Classic Shares Dis</v>
          </cell>
          <cell r="C65" t="str">
            <v>EUR-DIV-RETAIL</v>
          </cell>
          <cell r="D65">
            <v>20230302</v>
          </cell>
          <cell r="E65">
            <v>283.49</v>
          </cell>
        </row>
        <row r="66">
          <cell r="A66" t="str">
            <v>BE0168098946</v>
          </cell>
          <cell r="B66" t="str">
            <v>KBC Equity Fund Buyback America Classic Shares Dis</v>
          </cell>
          <cell r="C66" t="str">
            <v>USD-DIV-RETAIL</v>
          </cell>
          <cell r="D66">
            <v>20230302</v>
          </cell>
          <cell r="E66">
            <v>2219.7399999999998</v>
          </cell>
        </row>
        <row r="67">
          <cell r="A67" t="str">
            <v>BE0168099951</v>
          </cell>
          <cell r="B67" t="str">
            <v>KBC Equity Fund Buyback America Classic Shares Cap</v>
          </cell>
          <cell r="C67" t="str">
            <v>USD-KAP-RETAIL</v>
          </cell>
          <cell r="D67">
            <v>20230302</v>
          </cell>
          <cell r="E67">
            <v>2875.12</v>
          </cell>
        </row>
        <row r="68">
          <cell r="A68" t="str">
            <v>BE0168341460</v>
          </cell>
          <cell r="B68" t="str">
            <v>KBC Equity Fund US Small Caps Classic Shares Dis</v>
          </cell>
          <cell r="C68" t="str">
            <v>USD-DIV-RETAIL</v>
          </cell>
          <cell r="D68">
            <v>20230302</v>
          </cell>
          <cell r="E68">
            <v>2042.39</v>
          </cell>
        </row>
        <row r="69">
          <cell r="A69" t="str">
            <v>BE0168342476</v>
          </cell>
          <cell r="B69" t="str">
            <v>KBC Equity Fund US Small Caps Classic Shares Cap</v>
          </cell>
          <cell r="C69" t="str">
            <v>USD-KAP-RETAIL</v>
          </cell>
          <cell r="D69">
            <v>20230302</v>
          </cell>
          <cell r="E69">
            <v>2449.2399999999998</v>
          </cell>
        </row>
        <row r="70">
          <cell r="A70" t="str">
            <v>BE0168343482</v>
          </cell>
          <cell r="B70" t="str">
            <v>KBC Inst, Fund World Equity Resp, Invest, Classic Shares Dis</v>
          </cell>
          <cell r="C70" t="str">
            <v>EUR-DIV-RETAIL</v>
          </cell>
          <cell r="D70">
            <v>20230302</v>
          </cell>
          <cell r="E70">
            <v>10502.21</v>
          </cell>
        </row>
        <row r="71">
          <cell r="A71" t="str">
            <v>BE0168344498</v>
          </cell>
          <cell r="B71" t="str">
            <v>KBC Inst, Fund World Equity Resp, Invest, Classic Shares Cap</v>
          </cell>
          <cell r="C71" t="str">
            <v>EUR-KAP-RETAIL</v>
          </cell>
          <cell r="D71">
            <v>20230302</v>
          </cell>
          <cell r="E71">
            <v>13617.39</v>
          </cell>
        </row>
        <row r="72">
          <cell r="A72" t="str">
            <v>BE0168584952</v>
          </cell>
          <cell r="B72" t="str">
            <v>KBC Inst, Fund European Real Estate Classic Shares Cap</v>
          </cell>
          <cell r="C72" t="str">
            <v>EUR-KAP-RETAIL</v>
          </cell>
          <cell r="D72">
            <v>20230302</v>
          </cell>
          <cell r="E72">
            <v>12666.92</v>
          </cell>
        </row>
        <row r="73">
          <cell r="A73" t="str">
            <v>BE0168961846</v>
          </cell>
          <cell r="B73" t="str">
            <v>KBC Inst, Fund Euro Corp,Bonds Classic Shares Cap</v>
          </cell>
          <cell r="C73" t="str">
            <v>EUR-KAP-RETAIL</v>
          </cell>
          <cell r="D73">
            <v>20230302</v>
          </cell>
          <cell r="E73">
            <v>9548.58</v>
          </cell>
        </row>
        <row r="74">
          <cell r="A74" t="str">
            <v>BE0170241062</v>
          </cell>
          <cell r="B74" t="str">
            <v>KBC Equity Fund We Live Resp, Invest, Classic Shares Cap</v>
          </cell>
          <cell r="C74" t="str">
            <v>EUR-KAP-RETAIL</v>
          </cell>
          <cell r="D74">
            <v>20230302</v>
          </cell>
          <cell r="E74">
            <v>2354.4499999999998</v>
          </cell>
        </row>
        <row r="75">
          <cell r="A75" t="str">
            <v>BE0170242078</v>
          </cell>
          <cell r="B75" t="str">
            <v>KBC Equity Fund We Live Resp, Invest, Classic Shares Dis</v>
          </cell>
          <cell r="C75" t="str">
            <v>EUR-DIV-RETAIL</v>
          </cell>
          <cell r="D75">
            <v>20230302</v>
          </cell>
          <cell r="E75">
            <v>1563.23</v>
          </cell>
        </row>
        <row r="76">
          <cell r="A76" t="str">
            <v>BE0170532064</v>
          </cell>
          <cell r="B76" t="str">
            <v>KBC Equity Fund New Shares Dis</v>
          </cell>
          <cell r="C76" t="str">
            <v>EUR-DIV-RETAIL</v>
          </cell>
          <cell r="D76">
            <v>20230302</v>
          </cell>
          <cell r="E76">
            <v>1205.4000000000001</v>
          </cell>
        </row>
        <row r="77">
          <cell r="A77" t="str">
            <v>BE0170533070</v>
          </cell>
          <cell r="B77" t="str">
            <v>KBC Equity Fund New Shares Cap</v>
          </cell>
          <cell r="C77" t="str">
            <v>EUR-KAP-RETAIL</v>
          </cell>
          <cell r="D77">
            <v>20230302</v>
          </cell>
          <cell r="E77">
            <v>1672.04</v>
          </cell>
        </row>
        <row r="78">
          <cell r="A78" t="str">
            <v>BE0170812920</v>
          </cell>
          <cell r="B78" t="str">
            <v>KBC Equity Fund Medical Technologies Classic Shares Dis</v>
          </cell>
          <cell r="C78" t="str">
            <v>USD-DIV-RETAIL</v>
          </cell>
          <cell r="D78">
            <v>20230302</v>
          </cell>
          <cell r="E78">
            <v>4583.51</v>
          </cell>
        </row>
        <row r="79">
          <cell r="A79" t="str">
            <v>BE0170813936</v>
          </cell>
          <cell r="B79" t="str">
            <v>KBC Equity Fund Medical Technologies Classic Shares Cap</v>
          </cell>
          <cell r="C79" t="str">
            <v>USD-KAP-RETAIL</v>
          </cell>
          <cell r="D79">
            <v>20230302</v>
          </cell>
          <cell r="E79">
            <v>5225.71</v>
          </cell>
        </row>
        <row r="80">
          <cell r="A80" t="str">
            <v>BE0170814942</v>
          </cell>
          <cell r="B80" t="str">
            <v>KBC Equity Fund Strategic Satellites Classic Shares Dis</v>
          </cell>
          <cell r="C80" t="str">
            <v>EUR-DIV-RETAIL</v>
          </cell>
          <cell r="D80">
            <v>20230302</v>
          </cell>
          <cell r="E80">
            <v>914.94</v>
          </cell>
        </row>
        <row r="81">
          <cell r="A81" t="str">
            <v>BE0170815956</v>
          </cell>
          <cell r="B81" t="str">
            <v>KBC Equity Fund Strategic Satellites Classic Shares Cap</v>
          </cell>
          <cell r="C81" t="str">
            <v>EUR-KAP-RETAIL</v>
          </cell>
          <cell r="D81">
            <v>20230302</v>
          </cell>
          <cell r="E81">
            <v>1341.24</v>
          </cell>
        </row>
        <row r="82">
          <cell r="A82" t="str">
            <v>BE0171535397</v>
          </cell>
          <cell r="B82" t="str">
            <v>KBC Index Fund Euroland Classic Shares Dis</v>
          </cell>
          <cell r="C82" t="str">
            <v>EUR-DIV-RETAIL</v>
          </cell>
          <cell r="D82">
            <v>20230302</v>
          </cell>
          <cell r="E82">
            <v>536.4</v>
          </cell>
        </row>
        <row r="83">
          <cell r="A83" t="str">
            <v>BE0171536403</v>
          </cell>
          <cell r="B83" t="str">
            <v>KBC Index Fund Euroland Classic Shares Cap</v>
          </cell>
          <cell r="C83" t="str">
            <v>EUR-KAP-RETAIL</v>
          </cell>
          <cell r="D83">
            <v>20230302</v>
          </cell>
          <cell r="E83">
            <v>998.41</v>
          </cell>
        </row>
        <row r="84">
          <cell r="A84" t="str">
            <v>BE0171767776</v>
          </cell>
          <cell r="B84" t="str">
            <v>Fivest Euroland Dis</v>
          </cell>
          <cell r="C84" t="str">
            <v>EUR-DIV-RETAIL</v>
          </cell>
          <cell r="D84">
            <v>20230302</v>
          </cell>
          <cell r="E84">
            <v>595.22</v>
          </cell>
        </row>
        <row r="85">
          <cell r="A85" t="str">
            <v>BE0171768782</v>
          </cell>
          <cell r="B85" t="str">
            <v>Fivest Euroland Cap</v>
          </cell>
          <cell r="C85" t="str">
            <v>EUR-KAP-RETAIL</v>
          </cell>
          <cell r="D85">
            <v>20230302</v>
          </cell>
          <cell r="E85">
            <v>1002.86</v>
          </cell>
        </row>
        <row r="86">
          <cell r="A86" t="str">
            <v>BE0171889059</v>
          </cell>
          <cell r="B86" t="str">
            <v>KBC Equity Fund We Like Resp, Invest, Classic Shares Dis</v>
          </cell>
          <cell r="C86" t="str">
            <v>EUR-DIV-RETAIL</v>
          </cell>
          <cell r="D86">
            <v>20230302</v>
          </cell>
          <cell r="E86">
            <v>113.57</v>
          </cell>
        </row>
        <row r="87">
          <cell r="A87" t="str">
            <v>BE0171890065</v>
          </cell>
          <cell r="B87" t="str">
            <v>KBC Equity Fund We Like Resp, Invest, Classic Shares Cap</v>
          </cell>
          <cell r="C87" t="str">
            <v>EUR-KAP-RETAIL</v>
          </cell>
          <cell r="D87">
            <v>20230302</v>
          </cell>
          <cell r="E87">
            <v>143.16</v>
          </cell>
        </row>
        <row r="88">
          <cell r="A88" t="str">
            <v>BE0172710502</v>
          </cell>
          <cell r="B88" t="str">
            <v>KBC Equity Fund USA &amp; Canada Classic Shares Dis</v>
          </cell>
          <cell r="C88" t="str">
            <v>EUR-DIV-RETAIL</v>
          </cell>
          <cell r="D88">
            <v>20230302</v>
          </cell>
          <cell r="E88">
            <v>720.41</v>
          </cell>
        </row>
        <row r="89">
          <cell r="A89" t="str">
            <v>BE0172711518</v>
          </cell>
          <cell r="B89" t="str">
            <v>KBC Equity Fund USA &amp; Canada Classic Shares Cap</v>
          </cell>
          <cell r="C89" t="str">
            <v>EUR-KAP-RETAIL</v>
          </cell>
          <cell r="D89">
            <v>20230302</v>
          </cell>
          <cell r="E89">
            <v>1125.3900000000001</v>
          </cell>
        </row>
        <row r="90">
          <cell r="A90" t="str">
            <v>BE0173085375</v>
          </cell>
          <cell r="B90" t="str">
            <v>KBC Equity Fund Strategic Communication Services &amp; Technology Classic Shares Dis</v>
          </cell>
          <cell r="C90" t="str">
            <v>EUR-DIV-RETAIL</v>
          </cell>
          <cell r="D90">
            <v>20230302</v>
          </cell>
          <cell r="E90">
            <v>273.92</v>
          </cell>
        </row>
        <row r="91">
          <cell r="A91" t="str">
            <v>BE0173086381</v>
          </cell>
          <cell r="B91" t="str">
            <v>KBC Equity Fund Strategic Communication Services &amp; Technology Classic Shares Cap</v>
          </cell>
          <cell r="C91" t="str">
            <v>EUR-KAP-RETAIL</v>
          </cell>
          <cell r="D91">
            <v>20230302</v>
          </cell>
          <cell r="E91">
            <v>351.62</v>
          </cell>
        </row>
        <row r="92">
          <cell r="A92" t="str">
            <v>BE0173475394</v>
          </cell>
          <cell r="B92" t="str">
            <v>KBC Multi Interest CSOB Kratkodoby Classic Shares Dis (empty)</v>
          </cell>
          <cell r="C92" t="str">
            <v>CZK-DIV-RETAIL</v>
          </cell>
          <cell r="D92">
            <v>20211213</v>
          </cell>
          <cell r="E92">
            <v>91.191000000000003</v>
          </cell>
        </row>
        <row r="93">
          <cell r="A93" t="str">
            <v>BE0173476400</v>
          </cell>
          <cell r="B93" t="str">
            <v>KBC Multi Interest CSOB Kratkodoby Classic Shares Cap</v>
          </cell>
          <cell r="C93" t="str">
            <v>CZK-KAP-RETAIL</v>
          </cell>
          <cell r="D93">
            <v>20230302</v>
          </cell>
          <cell r="E93">
            <v>135.11099999999999</v>
          </cell>
        </row>
        <row r="94">
          <cell r="A94" t="str">
            <v>BE0174406976</v>
          </cell>
          <cell r="B94" t="str">
            <v>KBC Equity Fund Buyback Europe Classic Shares Dis</v>
          </cell>
          <cell r="C94" t="str">
            <v>EUR-DIV-RETAIL</v>
          </cell>
          <cell r="D94">
            <v>20230302</v>
          </cell>
          <cell r="E94">
            <v>781.97</v>
          </cell>
        </row>
        <row r="95">
          <cell r="A95" t="str">
            <v>BE0174407016</v>
          </cell>
          <cell r="B95" t="str">
            <v>KBC Equity Fund Buyback Europe Classic Shares Cap</v>
          </cell>
          <cell r="C95" t="str">
            <v>EUR-KAP-RETAIL</v>
          </cell>
          <cell r="D95">
            <v>20230302</v>
          </cell>
          <cell r="E95">
            <v>1354.04</v>
          </cell>
        </row>
        <row r="96">
          <cell r="A96" t="str">
            <v>BE0174966755</v>
          </cell>
          <cell r="B96" t="str">
            <v>KBC Inst, Fund Global Resp, Invest, Classic Shares Cap</v>
          </cell>
          <cell r="C96" t="str">
            <v>EUR-KAP-RETAIL</v>
          </cell>
          <cell r="D96">
            <v>20230302</v>
          </cell>
          <cell r="E96">
            <v>4970</v>
          </cell>
        </row>
        <row r="97">
          <cell r="A97" t="str">
            <v>BE0175209270</v>
          </cell>
          <cell r="B97" t="str">
            <v>IN,flanders Employment Fund IN,flanders Employment Fund Resp, Invest, Dis</v>
          </cell>
          <cell r="C97" t="str">
            <v>EUR-DIV-RETAIL</v>
          </cell>
          <cell r="D97">
            <v>20230302</v>
          </cell>
          <cell r="E97">
            <v>121.39</v>
          </cell>
        </row>
        <row r="98">
          <cell r="A98" t="str">
            <v>BE0175210286</v>
          </cell>
          <cell r="B98" t="str">
            <v>IN,flanders Employment Fund IN,flanders Employment Fund Resp, Invest, Cap</v>
          </cell>
          <cell r="C98" t="str">
            <v>EUR-KAP-RETAIL</v>
          </cell>
          <cell r="D98">
            <v>20230302</v>
          </cell>
          <cell r="E98">
            <v>208.27</v>
          </cell>
        </row>
        <row r="99">
          <cell r="A99" t="str">
            <v>BE0175279976</v>
          </cell>
          <cell r="B99" t="str">
            <v>KBC Eco Fund Alternative Energy Resp, Invest,  Classic Shares Dis</v>
          </cell>
          <cell r="C99" t="str">
            <v>EUR-DIV-RETAIL</v>
          </cell>
          <cell r="D99">
            <v>20230302</v>
          </cell>
          <cell r="E99">
            <v>486.41</v>
          </cell>
        </row>
        <row r="100">
          <cell r="A100" t="str">
            <v>BE0175280016</v>
          </cell>
          <cell r="B100" t="str">
            <v>KBC Eco Fund Alternative Energy Resp, Invest,  Classic Shares Cap</v>
          </cell>
          <cell r="C100" t="str">
            <v>EUR-KAP-RETAIL</v>
          </cell>
          <cell r="D100">
            <v>20230302</v>
          </cell>
          <cell r="E100">
            <v>644.15</v>
          </cell>
        </row>
        <row r="101">
          <cell r="A101" t="str">
            <v>BE0175478057</v>
          </cell>
          <cell r="B101" t="str">
            <v>KBC Eco Fund Water Resp, Invest, Classic Shares Dis</v>
          </cell>
          <cell r="C101" t="str">
            <v>EUR-DIV-RETAIL</v>
          </cell>
          <cell r="D101">
            <v>20230302</v>
          </cell>
          <cell r="E101">
            <v>1446.51</v>
          </cell>
        </row>
        <row r="102">
          <cell r="A102" t="str">
            <v>BE0175479063</v>
          </cell>
          <cell r="B102" t="str">
            <v>KBC Eco Fund Water Resp, Invest, Classic Shares Cap</v>
          </cell>
          <cell r="C102" t="str">
            <v>EUR-KAP-RETAIL</v>
          </cell>
          <cell r="D102">
            <v>20230302</v>
          </cell>
          <cell r="E102">
            <v>2060.7600000000002</v>
          </cell>
        </row>
        <row r="103">
          <cell r="A103" t="str">
            <v>BE0175717504</v>
          </cell>
          <cell r="B103" t="str">
            <v>KBC Eco Fund Impact Resp, Invest, Classic Shares Dis</v>
          </cell>
          <cell r="C103" t="str">
            <v>EUR-DIV-RETAIL</v>
          </cell>
          <cell r="D103">
            <v>20230302</v>
          </cell>
          <cell r="E103">
            <v>526.76</v>
          </cell>
        </row>
        <row r="104">
          <cell r="A104" t="str">
            <v>BE0175718510</v>
          </cell>
          <cell r="B104" t="str">
            <v>KBC Eco Fund Impact Resp, Invest, Classic Shares Cap</v>
          </cell>
          <cell r="C104" t="str">
            <v>EUR-KAP-RETAIL</v>
          </cell>
          <cell r="D104">
            <v>20230302</v>
          </cell>
          <cell r="E104">
            <v>738.63</v>
          </cell>
        </row>
        <row r="105">
          <cell r="A105" t="str">
            <v>BE0175761940</v>
          </cell>
          <cell r="B105" t="str">
            <v>KBC Inst, Fund Euro Equities Resp, Invest, Classic Shares Cap</v>
          </cell>
          <cell r="C105" t="str">
            <v>EUR-KAP-RETAIL</v>
          </cell>
          <cell r="D105">
            <v>20230302</v>
          </cell>
          <cell r="E105">
            <v>3813.15</v>
          </cell>
        </row>
        <row r="106">
          <cell r="A106" t="str">
            <v>BE0175978205</v>
          </cell>
          <cell r="B106" t="str">
            <v>KBC Equity Fund Eurozone Classic Shares Dis</v>
          </cell>
          <cell r="C106" t="str">
            <v>EUR-DIV-RETAIL</v>
          </cell>
          <cell r="D106">
            <v>20230302</v>
          </cell>
          <cell r="E106">
            <v>418.99</v>
          </cell>
        </row>
        <row r="107">
          <cell r="A107" t="str">
            <v>BE0175979211</v>
          </cell>
          <cell r="B107" t="str">
            <v>KBC Equity Fund Eurozone Classic Shares Cap</v>
          </cell>
          <cell r="C107" t="str">
            <v>EUR-KAP-RETAIL</v>
          </cell>
          <cell r="D107">
            <v>20230302</v>
          </cell>
          <cell r="E107">
            <v>654.27</v>
          </cell>
        </row>
        <row r="108">
          <cell r="A108" t="str">
            <v>BE0176713767</v>
          </cell>
          <cell r="B108" t="str">
            <v>KBC Equity Fund High Dividend North America Classic Shares Dis</v>
          </cell>
          <cell r="C108" t="str">
            <v>USD-DIV-RETAIL</v>
          </cell>
          <cell r="D108">
            <v>20230302</v>
          </cell>
          <cell r="E108">
            <v>1049.1500000000001</v>
          </cell>
        </row>
        <row r="109">
          <cell r="A109" t="str">
            <v>BE0176715788</v>
          </cell>
          <cell r="B109" t="str">
            <v>KBC Equity Fund High Dividend North America Classic Shares Cap</v>
          </cell>
          <cell r="C109" t="str">
            <v>USD-KAP-RETAIL</v>
          </cell>
          <cell r="D109">
            <v>20230302</v>
          </cell>
          <cell r="E109">
            <v>1531.32</v>
          </cell>
        </row>
        <row r="110">
          <cell r="A110" t="str">
            <v>BE0177541316</v>
          </cell>
          <cell r="B110" t="str">
            <v>KBC Inst, Fund Euro Bonds Def, Classic Shares Dis (empty)</v>
          </cell>
          <cell r="C110" t="str">
            <v>EUR-DIV-RETAIL</v>
          </cell>
          <cell r="D110">
            <v>20171109</v>
          </cell>
          <cell r="E110">
            <v>7751.27</v>
          </cell>
        </row>
        <row r="111">
          <cell r="A111" t="str">
            <v>BE0177543338</v>
          </cell>
          <cell r="B111" t="str">
            <v>KBC Inst, Fund Euro Bonds Def, Classic Shares Cap</v>
          </cell>
          <cell r="C111" t="str">
            <v>EUR-KAP-RETAIL</v>
          </cell>
          <cell r="D111">
            <v>20230302</v>
          </cell>
          <cell r="E111">
            <v>7832.65</v>
          </cell>
        </row>
        <row r="112">
          <cell r="A112" t="str">
            <v>BE0177657500</v>
          </cell>
          <cell r="B112" t="str">
            <v>KBC Eco Fund World Resp, Invest,  Classic Shares Dis</v>
          </cell>
          <cell r="C112" t="str">
            <v>EUR-DIV-RETAIL</v>
          </cell>
          <cell r="D112">
            <v>20230302</v>
          </cell>
          <cell r="E112">
            <v>914.07</v>
          </cell>
        </row>
        <row r="113">
          <cell r="A113" t="str">
            <v>BE0389166027</v>
          </cell>
          <cell r="B113" t="str">
            <v>KBC-Life World Equities Cap</v>
          </cell>
          <cell r="C113" t="str">
            <v>KAP</v>
          </cell>
          <cell r="D113">
            <v>20230301</v>
          </cell>
          <cell r="E113">
            <v>317.29000000000002</v>
          </cell>
        </row>
        <row r="114">
          <cell r="A114" t="str">
            <v>BE0389225617</v>
          </cell>
          <cell r="B114" t="str">
            <v>KBC-Life Privil, Portf, Def, Cap</v>
          </cell>
          <cell r="C114" t="str">
            <v>KAP</v>
          </cell>
          <cell r="D114">
            <v>20230301</v>
          </cell>
          <cell r="E114">
            <v>312.37</v>
          </cell>
        </row>
        <row r="115">
          <cell r="A115" t="str">
            <v>BE0389226623</v>
          </cell>
          <cell r="B115" t="str">
            <v>KBC-Life Privil, Portf, Dyn, Cap</v>
          </cell>
          <cell r="C115" t="str">
            <v>KAP</v>
          </cell>
          <cell r="D115">
            <v>20230301</v>
          </cell>
          <cell r="E115">
            <v>337.88</v>
          </cell>
        </row>
        <row r="116">
          <cell r="A116" t="str">
            <v>BE0389227639</v>
          </cell>
          <cell r="B116" t="str">
            <v>KBC-Life Privil, Portf, Highly Dyn, Cap</v>
          </cell>
          <cell r="C116" t="str">
            <v>KAP</v>
          </cell>
          <cell r="D116">
            <v>20230301</v>
          </cell>
          <cell r="E116">
            <v>330.12</v>
          </cell>
        </row>
        <row r="117">
          <cell r="A117" t="str">
            <v>BE0389429714</v>
          </cell>
          <cell r="B117" t="str">
            <v>KBC-Life Cash Cap</v>
          </cell>
          <cell r="C117" t="str">
            <v>KAP</v>
          </cell>
          <cell r="D117">
            <v>20230301</v>
          </cell>
          <cell r="E117">
            <v>306.86</v>
          </cell>
        </row>
        <row r="118">
          <cell r="A118" t="str">
            <v>BE0389431736</v>
          </cell>
          <cell r="B118" t="str">
            <v>KBC-Life IP Trends Cap</v>
          </cell>
          <cell r="C118" t="str">
            <v>KAP</v>
          </cell>
          <cell r="D118">
            <v>20230301</v>
          </cell>
          <cell r="E118">
            <v>487.33</v>
          </cell>
        </row>
        <row r="119">
          <cell r="A119" t="str">
            <v>BE0389432742</v>
          </cell>
          <cell r="B119" t="str">
            <v>KBC-Life Dyn, Cap</v>
          </cell>
          <cell r="C119" t="str">
            <v>KAP</v>
          </cell>
          <cell r="D119">
            <v>20230301</v>
          </cell>
          <cell r="E119">
            <v>440.66</v>
          </cell>
        </row>
        <row r="120">
          <cell r="A120" t="str">
            <v>BE0389433757</v>
          </cell>
          <cell r="B120" t="str">
            <v>KBC-Life Neutral Cap</v>
          </cell>
          <cell r="C120" t="str">
            <v>KAP</v>
          </cell>
          <cell r="D120">
            <v>20230301</v>
          </cell>
          <cell r="E120">
            <v>409.34</v>
          </cell>
        </row>
        <row r="121">
          <cell r="A121" t="str">
            <v>BE0389434763</v>
          </cell>
          <cell r="B121" t="str">
            <v>KBC-Life Def, Cap</v>
          </cell>
          <cell r="C121" t="str">
            <v>KAP</v>
          </cell>
          <cell r="D121">
            <v>20230301</v>
          </cell>
          <cell r="E121">
            <v>353.96</v>
          </cell>
        </row>
        <row r="122">
          <cell r="A122" t="str">
            <v>BE0940476618</v>
          </cell>
          <cell r="B122" t="str">
            <v>KBC Multi Interest CSOB CZK Medium Classic Shares Dis (empty)</v>
          </cell>
          <cell r="C122" t="str">
            <v>CZK-DIV-RETAIL</v>
          </cell>
          <cell r="D122">
            <v>20200701</v>
          </cell>
          <cell r="E122">
            <v>100.09699999999999</v>
          </cell>
        </row>
        <row r="123">
          <cell r="A123" t="str">
            <v>BE0940482673</v>
          </cell>
          <cell r="B123" t="str">
            <v>KBC Multi Interest CSOB CZK Medium Classic Shares Cap</v>
          </cell>
          <cell r="C123" t="str">
            <v>CZK-KAP-RETAIL</v>
          </cell>
          <cell r="D123">
            <v>20230302</v>
          </cell>
          <cell r="E123">
            <v>133.864</v>
          </cell>
        </row>
        <row r="124">
          <cell r="A124" t="str">
            <v>BE0940483689</v>
          </cell>
          <cell r="B124" t="str">
            <v>KBC Select Immo World Plus Classic Shares Dis</v>
          </cell>
          <cell r="C124" t="str">
            <v>EUR-DIV-RETAIL</v>
          </cell>
          <cell r="D124">
            <v>20230302</v>
          </cell>
          <cell r="E124">
            <v>972.6</v>
          </cell>
        </row>
        <row r="125">
          <cell r="A125" t="str">
            <v>BE0940703946</v>
          </cell>
          <cell r="B125" t="str">
            <v>KBC Equity Fund High Dividend Classic Shares Dis</v>
          </cell>
          <cell r="C125" t="str">
            <v>EUR-DIV-RETAIL</v>
          </cell>
          <cell r="D125">
            <v>20230302</v>
          </cell>
          <cell r="E125">
            <v>1102.57</v>
          </cell>
        </row>
        <row r="126">
          <cell r="A126" t="str">
            <v>BE0940704951</v>
          </cell>
          <cell r="B126" t="str">
            <v>KBC Equity Fund High Dividend Classic Shares Cap</v>
          </cell>
          <cell r="C126" t="str">
            <v>EUR-KAP-RETAIL</v>
          </cell>
          <cell r="D126">
            <v>20230302</v>
          </cell>
          <cell r="E126">
            <v>1954.9</v>
          </cell>
        </row>
        <row r="127">
          <cell r="A127" t="str">
            <v>BE0940715098</v>
          </cell>
          <cell r="B127" t="str">
            <v>Plato Inst, Index Fund North American Equity Discretionary Shares Cap</v>
          </cell>
          <cell r="C127" t="str">
            <v>USD-KAP-DISCR,SHARES</v>
          </cell>
          <cell r="D127">
            <v>20230302</v>
          </cell>
          <cell r="E127">
            <v>14621.38</v>
          </cell>
        </row>
        <row r="128">
          <cell r="A128" t="str">
            <v>BE0940717110</v>
          </cell>
          <cell r="B128" t="str">
            <v>Plato Inst, Index Fund Pacific Equity Discretionary Shares Cap</v>
          </cell>
          <cell r="C128" t="str">
            <v>JPY-KAP-DISCR,SHARES</v>
          </cell>
          <cell r="D128">
            <v>20230302</v>
          </cell>
          <cell r="E128">
            <v>1216491</v>
          </cell>
        </row>
        <row r="129">
          <cell r="A129" t="str">
            <v>BE0941634553</v>
          </cell>
          <cell r="B129" t="str">
            <v>Horizon Europees Obligatiedepot Dis</v>
          </cell>
          <cell r="C129" t="str">
            <v>EUR-DIV-RETAIL</v>
          </cell>
          <cell r="D129">
            <v>20230302</v>
          </cell>
          <cell r="E129">
            <v>448.27</v>
          </cell>
        </row>
        <row r="130">
          <cell r="A130" t="str">
            <v>BE0942006397</v>
          </cell>
          <cell r="B130" t="str">
            <v>Pricos Def, Cap</v>
          </cell>
          <cell r="C130" t="str">
            <v>EUR-KAP-RETAIL</v>
          </cell>
          <cell r="D130">
            <v>20230302</v>
          </cell>
          <cell r="E130">
            <v>89.24</v>
          </cell>
        </row>
        <row r="131">
          <cell r="A131" t="str">
            <v>BE0942713679</v>
          </cell>
          <cell r="B131" t="str">
            <v>KBC-Life Privil, Portf, Protected 90 May Cap</v>
          </cell>
          <cell r="C131" t="str">
            <v>KAP</v>
          </cell>
          <cell r="D131">
            <v>20230302</v>
          </cell>
          <cell r="E131">
            <v>395.13</v>
          </cell>
        </row>
        <row r="132">
          <cell r="A132" t="str">
            <v>BE0943443219</v>
          </cell>
          <cell r="B132" t="str">
            <v>Horizon Dollar Obligatiedepot Dis</v>
          </cell>
          <cell r="C132" t="str">
            <v>USD-DIV-RETAIL</v>
          </cell>
          <cell r="D132">
            <v>20230302</v>
          </cell>
          <cell r="E132">
            <v>437.31</v>
          </cell>
        </row>
        <row r="133">
          <cell r="A133" t="str">
            <v>BE0943544255</v>
          </cell>
          <cell r="B133" t="str">
            <v>KBC Master Fund Bonds Classic Shares Dis</v>
          </cell>
          <cell r="C133" t="str">
            <v>EUR-DIV-RETAIL</v>
          </cell>
          <cell r="D133">
            <v>20230302</v>
          </cell>
          <cell r="E133">
            <v>534.79</v>
          </cell>
        </row>
        <row r="134">
          <cell r="A134" t="str">
            <v>BE0943820101</v>
          </cell>
          <cell r="B134" t="str">
            <v>KBC-Life Privil, Portf, Protected 90 November Cap</v>
          </cell>
          <cell r="C134" t="str">
            <v>KAP</v>
          </cell>
          <cell r="D134">
            <v>20230302</v>
          </cell>
          <cell r="E134">
            <v>378.97</v>
          </cell>
        </row>
        <row r="135">
          <cell r="A135" t="str">
            <v>BE0944242446</v>
          </cell>
          <cell r="B135" t="str">
            <v>KBC-Life Privil, Portf, Protected 90 February Cap</v>
          </cell>
          <cell r="C135" t="str">
            <v>KAP</v>
          </cell>
          <cell r="D135">
            <v>20230302</v>
          </cell>
          <cell r="E135">
            <v>365.54</v>
          </cell>
        </row>
        <row r="136">
          <cell r="A136" t="str">
            <v>BE0944386912</v>
          </cell>
          <cell r="B136" t="str">
            <v>KBC-Life Multinvest Cash Cap</v>
          </cell>
          <cell r="C136" t="str">
            <v>KAP</v>
          </cell>
          <cell r="D136">
            <v>20230301</v>
          </cell>
          <cell r="E136">
            <v>306.86</v>
          </cell>
        </row>
        <row r="137">
          <cell r="A137" t="str">
            <v>BE0944665794</v>
          </cell>
          <cell r="B137" t="str">
            <v>Horizon Access India Fund Classic Shares Dis</v>
          </cell>
          <cell r="C137" t="str">
            <v>USD-DIV-RETAIL</v>
          </cell>
          <cell r="D137">
            <v>20230302</v>
          </cell>
          <cell r="E137">
            <v>1454.37</v>
          </cell>
        </row>
        <row r="138">
          <cell r="A138" t="str">
            <v>BE0944666800</v>
          </cell>
          <cell r="B138" t="str">
            <v>Horizon Access India Fund Classic Shares Cap</v>
          </cell>
          <cell r="C138" t="str">
            <v>USD-KAP-RETAIL</v>
          </cell>
          <cell r="D138">
            <v>20230302</v>
          </cell>
          <cell r="E138">
            <v>1755.62</v>
          </cell>
        </row>
        <row r="139">
          <cell r="A139" t="str">
            <v>BE0945052786</v>
          </cell>
          <cell r="B139" t="str">
            <v>KBC Inst, Fund Euro Equity Small &amp; Medium Caps Discretionary Shares Cap</v>
          </cell>
          <cell r="C139" t="str">
            <v>EUR-KAP-DISCR,</v>
          </cell>
          <cell r="D139">
            <v>20230302</v>
          </cell>
          <cell r="E139">
            <v>11086.16</v>
          </cell>
        </row>
        <row r="140">
          <cell r="A140" t="str">
            <v>BE0945115443</v>
          </cell>
          <cell r="B140" t="str">
            <v>KBC-Life Privil, Portf, Protected 90 August Cap</v>
          </cell>
          <cell r="C140" t="str">
            <v>KAP</v>
          </cell>
          <cell r="D140">
            <v>20230302</v>
          </cell>
          <cell r="E140">
            <v>316.56</v>
          </cell>
        </row>
        <row r="141">
          <cell r="A141" t="str">
            <v>BE0945431691</v>
          </cell>
          <cell r="B141" t="str">
            <v>Horizon High Interest Obligatiedepot Dis</v>
          </cell>
          <cell r="C141" t="str">
            <v>EUR-DIV-RETAIL</v>
          </cell>
          <cell r="D141">
            <v>20230302</v>
          </cell>
          <cell r="E141">
            <v>352.16</v>
          </cell>
        </row>
        <row r="142">
          <cell r="A142" t="str">
            <v>BE0945776269</v>
          </cell>
          <cell r="B142" t="str">
            <v>KBC Inst, Fund Global Resp, Invest, Classic Shares Dis</v>
          </cell>
          <cell r="C142" t="str">
            <v>EUR-DIV-RETAIL</v>
          </cell>
          <cell r="D142">
            <v>20230302</v>
          </cell>
          <cell r="E142">
            <v>3543.65</v>
          </cell>
        </row>
        <row r="143">
          <cell r="A143" t="str">
            <v>BE0945892454</v>
          </cell>
          <cell r="B143" t="str">
            <v>KBC Inst, Fund Global Def, Cap</v>
          </cell>
          <cell r="C143" t="str">
            <v>EUR-KAP-RETAIL</v>
          </cell>
          <cell r="D143">
            <v>20230302</v>
          </cell>
          <cell r="E143">
            <v>1595.08</v>
          </cell>
        </row>
        <row r="144">
          <cell r="A144" t="str">
            <v>BE0945921741</v>
          </cell>
          <cell r="B144" t="str">
            <v>Horizon Privil, Portf, Pro 90 February Cap</v>
          </cell>
          <cell r="C144" t="str">
            <v>EUR-KAP-RETAIL</v>
          </cell>
          <cell r="D144">
            <v>20230302</v>
          </cell>
          <cell r="E144">
            <v>326.26</v>
          </cell>
        </row>
        <row r="145">
          <cell r="A145" t="str">
            <v>BE0945923762</v>
          </cell>
          <cell r="B145" t="str">
            <v>Horizon Privil, Portf, Dyn, High Cap</v>
          </cell>
          <cell r="C145" t="str">
            <v>EUR-KAP-RETAIL</v>
          </cell>
          <cell r="D145">
            <v>20230302</v>
          </cell>
          <cell r="E145">
            <v>389.23</v>
          </cell>
        </row>
        <row r="146">
          <cell r="A146" t="str">
            <v>BE0945925783</v>
          </cell>
          <cell r="B146" t="str">
            <v>Horizon Privil, Portf, Dyn, Cap</v>
          </cell>
          <cell r="C146" t="str">
            <v>EUR-KAP-RETAIL</v>
          </cell>
          <cell r="D146">
            <v>20230302</v>
          </cell>
          <cell r="E146">
            <v>357.75</v>
          </cell>
        </row>
        <row r="147">
          <cell r="A147" t="str">
            <v>BE0945926799</v>
          </cell>
          <cell r="B147" t="str">
            <v>Horizon Privil, Portf, Def, Cap</v>
          </cell>
          <cell r="C147" t="str">
            <v>EUR-KAP-RETAIL</v>
          </cell>
          <cell r="D147">
            <v>20230302</v>
          </cell>
          <cell r="E147">
            <v>312.27999999999997</v>
          </cell>
        </row>
        <row r="148">
          <cell r="A148" t="str">
            <v>BE0945986421</v>
          </cell>
          <cell r="B148" t="str">
            <v>KBC Inst, Fund Upper Grade Euro Corp,Bonds Classic Shares Dis</v>
          </cell>
          <cell r="C148" t="str">
            <v>EUR-DIV-RETAIL</v>
          </cell>
          <cell r="D148">
            <v>20230302</v>
          </cell>
          <cell r="E148">
            <v>2487.19</v>
          </cell>
        </row>
        <row r="149">
          <cell r="A149" t="str">
            <v>BE0945990464</v>
          </cell>
          <cell r="B149" t="str">
            <v>KBC Inst, Fund Euro Corp,Bonds Classic Shares Dis</v>
          </cell>
          <cell r="C149" t="str">
            <v>EUR-DIV-RETAIL</v>
          </cell>
          <cell r="D149">
            <v>20230302</v>
          </cell>
          <cell r="E149">
            <v>5984.53</v>
          </cell>
        </row>
        <row r="150">
          <cell r="A150" t="str">
            <v>BE0946104636</v>
          </cell>
          <cell r="B150" t="str">
            <v>Horizon Privil, Portf, Pro 90 May Cap</v>
          </cell>
          <cell r="C150" t="str">
            <v>EUR-KAP-RETAIL</v>
          </cell>
          <cell r="D150">
            <v>20230302</v>
          </cell>
          <cell r="E150">
            <v>336.13</v>
          </cell>
        </row>
        <row r="151">
          <cell r="A151" t="str">
            <v>BE0946105641</v>
          </cell>
          <cell r="B151" t="str">
            <v>Horizon KBC ExpertEase Def, Conservative Resp, Invest, Classic Shares Cap</v>
          </cell>
          <cell r="C151" t="str">
            <v>EUR-KAP-RETAIL</v>
          </cell>
          <cell r="D151">
            <v>20230302</v>
          </cell>
          <cell r="E151">
            <v>303.01</v>
          </cell>
        </row>
        <row r="152">
          <cell r="A152" t="str">
            <v>BE0946343119</v>
          </cell>
          <cell r="B152" t="str">
            <v>Horizon Privil, Portf, Pro 90 August Cap</v>
          </cell>
          <cell r="C152" t="str">
            <v>EUR-KAP-RETAIL</v>
          </cell>
          <cell r="D152">
            <v>20230302</v>
          </cell>
          <cell r="E152">
            <v>303.05</v>
          </cell>
        </row>
        <row r="153">
          <cell r="A153" t="str">
            <v>BE0946433043</v>
          </cell>
          <cell r="B153" t="str">
            <v>Horizon Privil, Portf, Pro 90 November Cap</v>
          </cell>
          <cell r="C153" t="str">
            <v>EUR-KAP-RETAIL</v>
          </cell>
          <cell r="D153">
            <v>20230302</v>
          </cell>
          <cell r="E153">
            <v>322.41000000000003</v>
          </cell>
        </row>
        <row r="154">
          <cell r="A154" t="str">
            <v>BE0946766467</v>
          </cell>
          <cell r="B154" t="str">
            <v>Horizon Strategisch Obligatiedepot Resp, Invest, Classic Shares Dis</v>
          </cell>
          <cell r="C154" t="str">
            <v>EUR-DIV-RETAIL</v>
          </cell>
          <cell r="D154">
            <v>20230302</v>
          </cell>
          <cell r="E154">
            <v>447.62</v>
          </cell>
        </row>
        <row r="155">
          <cell r="A155" t="str">
            <v>BE0946843266</v>
          </cell>
          <cell r="B155" t="str">
            <v>KBC Eco Fund Climate Change Resp, Invest,  Classic Shares Dis</v>
          </cell>
          <cell r="C155" t="str">
            <v>EUR-DIV-RETAIL</v>
          </cell>
          <cell r="D155">
            <v>20230302</v>
          </cell>
          <cell r="E155">
            <v>632.75</v>
          </cell>
        </row>
        <row r="156">
          <cell r="A156" t="str">
            <v>BE0946844272</v>
          </cell>
          <cell r="B156" t="str">
            <v>KBC Eco Fund Climate Change Resp, Invest,  Classic Shares Cap</v>
          </cell>
          <cell r="C156" t="str">
            <v>EUR-KAP-RETAIL</v>
          </cell>
          <cell r="D156">
            <v>20230302</v>
          </cell>
          <cell r="E156">
            <v>774.32</v>
          </cell>
        </row>
        <row r="157">
          <cell r="A157" t="str">
            <v>BE0947127198</v>
          </cell>
          <cell r="B157" t="str">
            <v>KBC Inst, Fund European Real Estate Classic Shares Dis (empty)</v>
          </cell>
          <cell r="C157" t="str">
            <v>EUR-DIV-RETAIL</v>
          </cell>
          <cell r="D157">
            <v>20210511</v>
          </cell>
          <cell r="E157" t="str">
            <v>10590</v>
          </cell>
        </row>
        <row r="158">
          <cell r="A158" t="str">
            <v>BE0947168606</v>
          </cell>
          <cell r="B158" t="str">
            <v>KBC Master Fund CSOB Portf, Pro Srpen 90 Cap</v>
          </cell>
          <cell r="C158" t="str">
            <v>CZK-KAP-RETAIL</v>
          </cell>
          <cell r="D158">
            <v>20230302</v>
          </cell>
          <cell r="E158">
            <v>1049.33</v>
          </cell>
        </row>
        <row r="159">
          <cell r="A159" t="str">
            <v>BE0947249448</v>
          </cell>
          <cell r="B159" t="str">
            <v>KBC Eco Fund CSOB Water Resp, Invest, Dis (empty)</v>
          </cell>
          <cell r="C159" t="str">
            <v>CZK-DIV-RETAIL</v>
          </cell>
          <cell r="D159">
            <v>20100520</v>
          </cell>
          <cell r="E159">
            <v>626.28</v>
          </cell>
        </row>
        <row r="160">
          <cell r="A160" t="str">
            <v>BE0947250453</v>
          </cell>
          <cell r="B160" t="str">
            <v>KBC Eco Fund CSOB Water Resp, Invest, Cap</v>
          </cell>
          <cell r="C160" t="str">
            <v>CZK-KAP-RETAIL</v>
          </cell>
          <cell r="D160">
            <v>20230302</v>
          </cell>
          <cell r="E160">
            <v>1837.27</v>
          </cell>
        </row>
        <row r="161">
          <cell r="A161" t="str">
            <v>BE0947325230</v>
          </cell>
          <cell r="B161" t="str">
            <v>KBC Equity Fund High Dividend Eurozone Classic Shares Dis</v>
          </cell>
          <cell r="C161" t="str">
            <v>EUR-DIV-RETAIL</v>
          </cell>
          <cell r="D161">
            <v>20230302</v>
          </cell>
          <cell r="E161">
            <v>393.56</v>
          </cell>
        </row>
        <row r="162">
          <cell r="A162" t="str">
            <v>BE0947326246</v>
          </cell>
          <cell r="B162" t="str">
            <v>KBC Equity Fund High Dividend Eurozone Classic Shares Cap</v>
          </cell>
          <cell r="C162" t="str">
            <v>EUR-KAP-RETAIL</v>
          </cell>
          <cell r="D162">
            <v>20230302</v>
          </cell>
          <cell r="E162">
            <v>645.73</v>
          </cell>
        </row>
        <row r="163">
          <cell r="A163" t="str">
            <v>BE0947881943</v>
          </cell>
          <cell r="B163" t="str">
            <v>KBC Inst, Fund Euro Bonds Inst, Shares Cap</v>
          </cell>
          <cell r="C163" t="str">
            <v>EUR-KAP-INSTITUTIONEEL</v>
          </cell>
          <cell r="D163">
            <v>20230302</v>
          </cell>
          <cell r="E163">
            <v>5801.41</v>
          </cell>
        </row>
        <row r="164">
          <cell r="A164" t="str">
            <v>BE0947887031</v>
          </cell>
          <cell r="B164" t="str">
            <v>KBC Inst, Fund Euro Equity Inst, Shares Cap</v>
          </cell>
          <cell r="C164" t="str">
            <v>EUR-KAP-INSTITUTIONEEL</v>
          </cell>
          <cell r="D164">
            <v>20230302</v>
          </cell>
          <cell r="E164">
            <v>12174.8</v>
          </cell>
        </row>
        <row r="165">
          <cell r="A165" t="str">
            <v>BE0947888047</v>
          </cell>
          <cell r="B165" t="str">
            <v>KBC Inst, Fund Euro Equity Small &amp; Medium Caps Inst, Shares Cap</v>
          </cell>
          <cell r="C165" t="str">
            <v>EUR-KAP-INSTITUTIONEEL</v>
          </cell>
          <cell r="D165">
            <v>20230302</v>
          </cell>
          <cell r="E165">
            <v>11200.37</v>
          </cell>
        </row>
        <row r="166">
          <cell r="A166" t="str">
            <v>BE0947889052</v>
          </cell>
          <cell r="B166" t="str">
            <v>KBC Inst, Fund Euro Satellite Equity Inst, Shares Cap</v>
          </cell>
          <cell r="C166" t="str">
            <v>EUR-KAP-INSTITUTIONEEL</v>
          </cell>
          <cell r="D166">
            <v>20230302</v>
          </cell>
          <cell r="E166">
            <v>10532.46</v>
          </cell>
        </row>
        <row r="167">
          <cell r="A167" t="str">
            <v>BE0947890068</v>
          </cell>
          <cell r="B167" t="str">
            <v>Plato Inst, Index Fund Euro Equity Inst, Shares Cap</v>
          </cell>
          <cell r="C167" t="str">
            <v>EUR-KAP-INSTITUTIONEEL</v>
          </cell>
          <cell r="D167">
            <v>20230302</v>
          </cell>
          <cell r="E167">
            <v>6809.64</v>
          </cell>
        </row>
        <row r="168">
          <cell r="A168" t="str">
            <v>BE0947891074</v>
          </cell>
          <cell r="B168" t="str">
            <v>Plato Inst, Index Fund European Equity Inst, Shares Cap</v>
          </cell>
          <cell r="C168" t="str">
            <v>EUR-KAP-INSTITUTIONEEL</v>
          </cell>
          <cell r="D168">
            <v>20230302</v>
          </cell>
          <cell r="E168">
            <v>7981.61</v>
          </cell>
        </row>
        <row r="169">
          <cell r="A169" t="str">
            <v>BE0947892080</v>
          </cell>
          <cell r="B169" t="str">
            <v>Plato Inst, Index Fund North American Equity Inst, Shares Cap</v>
          </cell>
          <cell r="C169" t="str">
            <v>USD-KAP-INSTITUTIONEEL</v>
          </cell>
          <cell r="D169">
            <v>20230302</v>
          </cell>
          <cell r="E169">
            <v>14831.45</v>
          </cell>
        </row>
        <row r="170">
          <cell r="A170" t="str">
            <v>BE0947893096</v>
          </cell>
          <cell r="B170" t="str">
            <v>Plato Inst, Index Fund Pacific Equity Inst, Shares Cap (empty)</v>
          </cell>
          <cell r="C170" t="str">
            <v>JPY-KAP-INSTITUTIONEEL</v>
          </cell>
          <cell r="D170">
            <v>20210629</v>
          </cell>
          <cell r="E170" t="str">
            <v>1148253</v>
          </cell>
        </row>
        <row r="171">
          <cell r="A171" t="str">
            <v>BE0948239646</v>
          </cell>
          <cell r="B171" t="str">
            <v>KBC Participation Cash Plus Resp, Invest, Classic Shares Dis</v>
          </cell>
          <cell r="C171" t="str">
            <v>EUR-DIV-RETAIL</v>
          </cell>
          <cell r="D171">
            <v>20230302</v>
          </cell>
          <cell r="E171">
            <v>889.28800000000001</v>
          </cell>
        </row>
        <row r="172">
          <cell r="A172" t="str">
            <v>BE0948240651</v>
          </cell>
          <cell r="B172" t="str">
            <v>KBC Participation Cash Plus Resp, Invest, Classic Shares Cap</v>
          </cell>
          <cell r="C172" t="str">
            <v>EUR-KAP-RETAIL</v>
          </cell>
          <cell r="D172">
            <v>20230302</v>
          </cell>
          <cell r="E172">
            <v>1006.568</v>
          </cell>
        </row>
        <row r="173">
          <cell r="A173" t="str">
            <v>BE0948241667</v>
          </cell>
          <cell r="B173" t="str">
            <v>KBC Inst, Investors Balanced 3 Resp, Invest, Cap</v>
          </cell>
          <cell r="C173" t="str">
            <v>EUR-KAP-RETAIL</v>
          </cell>
          <cell r="D173">
            <v>20230302</v>
          </cell>
          <cell r="E173">
            <v>1501.29</v>
          </cell>
        </row>
        <row r="174">
          <cell r="A174" t="str">
            <v>BE0948292207</v>
          </cell>
          <cell r="B174" t="str">
            <v>KBC-Life Flexible KBC-Life Flexible Cash Cap</v>
          </cell>
          <cell r="C174" t="str">
            <v>DIV</v>
          </cell>
          <cell r="D174">
            <v>20230301</v>
          </cell>
          <cell r="E174">
            <v>306.86</v>
          </cell>
        </row>
        <row r="175">
          <cell r="A175" t="str">
            <v>BE0948393245</v>
          </cell>
          <cell r="B175" t="str">
            <v>KBC Participation Europe Financial Bond Opportunities Classic Shares Dis</v>
          </cell>
          <cell r="C175" t="str">
            <v>EUR-DIV-RETAIL</v>
          </cell>
          <cell r="D175">
            <v>20230302</v>
          </cell>
          <cell r="E175">
            <v>581.48</v>
          </cell>
        </row>
        <row r="176">
          <cell r="A176" t="str">
            <v>BE0948394250</v>
          </cell>
          <cell r="B176" t="str">
            <v>KBC Participation Europe Financial Bond Opportunities Classic Shares Cap</v>
          </cell>
          <cell r="C176" t="str">
            <v>EUR-KAP-RETAIL</v>
          </cell>
          <cell r="D176">
            <v>20230302</v>
          </cell>
          <cell r="E176">
            <v>1040.96</v>
          </cell>
        </row>
        <row r="177">
          <cell r="A177" t="str">
            <v>BE0948426573</v>
          </cell>
          <cell r="B177" t="str">
            <v>Vladubel Zorgverzekering Shareclass A Cap (empty)</v>
          </cell>
          <cell r="C177" t="str">
            <v>EUR-KAP-RETAIL</v>
          </cell>
          <cell r="D177">
            <v>20150316</v>
          </cell>
          <cell r="E177">
            <v>2250.65</v>
          </cell>
        </row>
        <row r="178">
          <cell r="A178" t="str">
            <v>BE0948466975</v>
          </cell>
          <cell r="B178" t="str">
            <v>Horizon Access Fund China Classic Shares Dis</v>
          </cell>
          <cell r="C178" t="str">
            <v>USD-DIV-RETAIL</v>
          </cell>
          <cell r="D178">
            <v>20230302</v>
          </cell>
          <cell r="E178">
            <v>986.26</v>
          </cell>
        </row>
        <row r="179">
          <cell r="A179" t="str">
            <v>BE0948467015</v>
          </cell>
          <cell r="B179" t="str">
            <v>Horizon Access Fund China Classic Shares Cap</v>
          </cell>
          <cell r="C179" t="str">
            <v>USD-KAP-RETAIL</v>
          </cell>
          <cell r="D179">
            <v>20230302</v>
          </cell>
          <cell r="E179">
            <v>1164.81</v>
          </cell>
        </row>
        <row r="180">
          <cell r="A180" t="str">
            <v>BE0948724647</v>
          </cell>
          <cell r="B180" t="str">
            <v>Optimum Fund ČSOB Kratkodobych dluhopisu Classic Shares Dis (empty)</v>
          </cell>
          <cell r="C180" t="str">
            <v>CZK-DIV-RETAIL</v>
          </cell>
          <cell r="D180">
            <v>20100520</v>
          </cell>
          <cell r="E180">
            <v>101.9</v>
          </cell>
        </row>
        <row r="181">
          <cell r="A181" t="str">
            <v>BE0948725651</v>
          </cell>
          <cell r="B181" t="str">
            <v>Optimum Fund ČSOB Kratkodobych dluhopisu Classic Shares Cap</v>
          </cell>
          <cell r="C181" t="str">
            <v>CZK-KAP-RETAIL</v>
          </cell>
          <cell r="D181">
            <v>20230302</v>
          </cell>
          <cell r="E181">
            <v>109.08</v>
          </cell>
        </row>
        <row r="182">
          <cell r="A182" t="str">
            <v>BE0948800439</v>
          </cell>
          <cell r="B182" t="str">
            <v>Plato Inst, Index Fund Emerging Markets Equities Discretionary Shares Cap</v>
          </cell>
          <cell r="C182" t="str">
            <v>EUR-KAP-DISCR,SHARES</v>
          </cell>
          <cell r="D182">
            <v>20230302</v>
          </cell>
          <cell r="E182">
            <v>958.42</v>
          </cell>
        </row>
        <row r="183">
          <cell r="A183" t="str">
            <v>BE0948801445</v>
          </cell>
          <cell r="B183" t="str">
            <v>Plato Inst, Index Fund Emerging Markets Equities Inst, Shares Cap</v>
          </cell>
          <cell r="C183" t="str">
            <v>EUR-KAP-INSTITUTIONEEL</v>
          </cell>
          <cell r="D183">
            <v>20230302</v>
          </cell>
          <cell r="E183">
            <v>1021.49</v>
          </cell>
        </row>
        <row r="184">
          <cell r="A184" t="str">
            <v>BE0948906525</v>
          </cell>
          <cell r="B184" t="str">
            <v>KBC Inst, Investors AB Inbev Cap</v>
          </cell>
          <cell r="C184" t="str">
            <v>EUR-KAP-RETAIL</v>
          </cell>
          <cell r="D184">
            <v>20230302</v>
          </cell>
          <cell r="E184">
            <v>1489.1</v>
          </cell>
        </row>
        <row r="185">
          <cell r="A185" t="str">
            <v>BE6201770755</v>
          </cell>
          <cell r="B185" t="str">
            <v>KBC Master Fund CSOB Portf, Pro Listopad 90 Cap</v>
          </cell>
          <cell r="C185" t="str">
            <v>CZK-KAP-RETAIL</v>
          </cell>
          <cell r="D185">
            <v>20230302</v>
          </cell>
          <cell r="E185">
            <v>1222.07</v>
          </cell>
        </row>
        <row r="186">
          <cell r="A186" t="str">
            <v>BE6208726479</v>
          </cell>
          <cell r="B186" t="str">
            <v>KBC Safe4Life KBC Safe4Life ExpertEase Def, Conservative Resp, Invest, Cap</v>
          </cell>
          <cell r="C186" t="str">
            <v>KAP</v>
          </cell>
          <cell r="D186">
            <v>20230301</v>
          </cell>
          <cell r="E186">
            <v>1029.6600000000001</v>
          </cell>
        </row>
        <row r="187">
          <cell r="A187" t="str">
            <v>BE6210255244</v>
          </cell>
          <cell r="B187" t="str">
            <v>KBC Master Fund Minimum Variance Global Classic Shares Cap</v>
          </cell>
          <cell r="C187" t="str">
            <v>EUR-KAP-RETAIL</v>
          </cell>
          <cell r="D187">
            <v>20230302</v>
          </cell>
          <cell r="E187">
            <v>1948.39</v>
          </cell>
        </row>
        <row r="188">
          <cell r="A188" t="str">
            <v>BE6210257265</v>
          </cell>
          <cell r="B188" t="str">
            <v>KBC Master Fund Minimum Variance Global Classic Shares Dis</v>
          </cell>
          <cell r="C188" t="str">
            <v>EUR-DIV-RETAIL</v>
          </cell>
          <cell r="D188">
            <v>20230302</v>
          </cell>
          <cell r="E188">
            <v>1490.11</v>
          </cell>
        </row>
        <row r="189">
          <cell r="A189" t="str">
            <v>BE6210258271</v>
          </cell>
          <cell r="B189" t="str">
            <v>KBC Master Fund Minimum Variance Global Inst, Shares Cap</v>
          </cell>
          <cell r="C189" t="str">
            <v>EUR-KAP-INSTITUTIONEEL</v>
          </cell>
          <cell r="D189">
            <v>20230302</v>
          </cell>
          <cell r="E189">
            <v>2248.12</v>
          </cell>
        </row>
        <row r="190">
          <cell r="A190" t="str">
            <v>BE6213172313</v>
          </cell>
          <cell r="B190" t="str">
            <v>KBC Participation Flexible Portf, Cap</v>
          </cell>
          <cell r="C190" t="str">
            <v>EUR-KAP-RETAIL</v>
          </cell>
          <cell r="D190">
            <v>20230302</v>
          </cell>
          <cell r="E190">
            <v>1279.74</v>
          </cell>
        </row>
        <row r="191">
          <cell r="A191" t="str">
            <v>BE6213173329</v>
          </cell>
          <cell r="B191" t="str">
            <v>KBC Participation Flexible Portf, Dis</v>
          </cell>
          <cell r="C191" t="str">
            <v>EUR-DIV-RETAIL</v>
          </cell>
          <cell r="D191">
            <v>20230302</v>
          </cell>
          <cell r="E191">
            <v>1101.6400000000001</v>
          </cell>
        </row>
        <row r="192">
          <cell r="A192" t="str">
            <v>BE6213773508</v>
          </cell>
          <cell r="B192" t="str">
            <v>KBC Equity Fund We Digitize Resp, Invest, Classic Shares Cap</v>
          </cell>
          <cell r="C192" t="str">
            <v>USD-KAP-RETAIL</v>
          </cell>
          <cell r="D192">
            <v>20230302</v>
          </cell>
          <cell r="E192">
            <v>537.25</v>
          </cell>
        </row>
        <row r="193">
          <cell r="A193" t="str">
            <v>BE6213774514</v>
          </cell>
          <cell r="B193" t="str">
            <v>KBC Equity Fund We Digitize Resp, Invest, Classic Shares Dis</v>
          </cell>
          <cell r="C193" t="str">
            <v>USD-DIV-RETAIL</v>
          </cell>
          <cell r="D193">
            <v>20230302</v>
          </cell>
          <cell r="E193">
            <v>464.31</v>
          </cell>
        </row>
        <row r="194">
          <cell r="A194" t="str">
            <v>BE6213775529</v>
          </cell>
          <cell r="B194" t="str">
            <v>KBC Equity Fund World Classic Shares Cap</v>
          </cell>
          <cell r="C194" t="str">
            <v>EUR-KAP-RETAIL</v>
          </cell>
          <cell r="D194">
            <v>20230302</v>
          </cell>
          <cell r="E194">
            <v>587.41</v>
          </cell>
        </row>
        <row r="195">
          <cell r="A195" t="str">
            <v>BE6213776535</v>
          </cell>
          <cell r="B195" t="str">
            <v>KBC Equity Fund World Classic Shares Dis</v>
          </cell>
          <cell r="C195" t="str">
            <v>EUR-DIV-RETAIL</v>
          </cell>
          <cell r="D195">
            <v>20230302</v>
          </cell>
          <cell r="E195">
            <v>403.09</v>
          </cell>
        </row>
        <row r="196">
          <cell r="A196" t="str">
            <v>BE6213915950</v>
          </cell>
          <cell r="B196" t="str">
            <v>KBC Inst, Fund European Real Estate Inst, Shares Cap</v>
          </cell>
          <cell r="C196" t="str">
            <v>EUR-KAP-INSTITUTIONEEL</v>
          </cell>
          <cell r="D196">
            <v>20230302</v>
          </cell>
          <cell r="E196">
            <v>1565.25</v>
          </cell>
        </row>
        <row r="197">
          <cell r="A197" t="str">
            <v>BE6215122415</v>
          </cell>
          <cell r="B197" t="str">
            <v>KBC Equity Fund North American Continent Classic Shares Cap</v>
          </cell>
          <cell r="C197" t="str">
            <v>EUR-KAP-RETAIL</v>
          </cell>
          <cell r="D197">
            <v>20230302</v>
          </cell>
          <cell r="E197">
            <v>555.86</v>
          </cell>
        </row>
        <row r="198">
          <cell r="A198" t="str">
            <v>BE6215123421</v>
          </cell>
          <cell r="B198" t="str">
            <v>KBC Equity Fund North American Continent Classic Shares Dis</v>
          </cell>
          <cell r="C198" t="str">
            <v>EUR-DIV-RETAIL</v>
          </cell>
          <cell r="D198">
            <v>20230302</v>
          </cell>
          <cell r="E198">
            <v>474.87</v>
          </cell>
        </row>
        <row r="199">
          <cell r="A199" t="str">
            <v>BE6216639060</v>
          </cell>
          <cell r="B199" t="str">
            <v>KBC Master Fund CSOB Portf, Pro Kveten 90 Cap</v>
          </cell>
          <cell r="C199" t="str">
            <v>CZK-KAP-RETAIL</v>
          </cell>
          <cell r="D199">
            <v>20230302</v>
          </cell>
          <cell r="E199">
            <v>1180.94</v>
          </cell>
        </row>
        <row r="200">
          <cell r="A200" t="str">
            <v>BE6216839124</v>
          </cell>
          <cell r="B200" t="str">
            <v>KBC Comfort4Life Dyn, Cap</v>
          </cell>
          <cell r="C200" t="str">
            <v>KAP</v>
          </cell>
          <cell r="D200">
            <v>20230301</v>
          </cell>
          <cell r="E200">
            <v>1167.4000000000001</v>
          </cell>
        </row>
        <row r="201">
          <cell r="A201" t="str">
            <v>BE6221180852</v>
          </cell>
          <cell r="B201" t="str">
            <v>KBC Inst, Fund World Equity Resp, Invest, Inst, Shares Cap</v>
          </cell>
          <cell r="C201" t="str">
            <v>EUR-KAP-INSTITUTIONEEL</v>
          </cell>
          <cell r="D201">
            <v>20230302</v>
          </cell>
          <cell r="E201">
            <v>13768.33</v>
          </cell>
        </row>
        <row r="202">
          <cell r="A202" t="str">
            <v>BE6222626762</v>
          </cell>
          <cell r="B202" t="str">
            <v>Vladubel Zorgverzekering Shareclass B Cap</v>
          </cell>
          <cell r="C202" t="str">
            <v>EUR-KAP-INSTITUTIONEEL</v>
          </cell>
          <cell r="D202">
            <v>20230302</v>
          </cell>
          <cell r="E202">
            <v>3399.74</v>
          </cell>
        </row>
        <row r="203">
          <cell r="A203" t="str">
            <v>BE6222648014</v>
          </cell>
          <cell r="B203" t="str">
            <v>KBC Participation Corp,Bonds Resp, Invest, Discretionary Shares Cap</v>
          </cell>
          <cell r="C203" t="str">
            <v>EUR-KAP-DISCR,SHARES</v>
          </cell>
          <cell r="D203">
            <v>20230302</v>
          </cell>
          <cell r="E203">
            <v>1170.31</v>
          </cell>
        </row>
        <row r="204">
          <cell r="A204" t="str">
            <v>BE6222649020</v>
          </cell>
          <cell r="B204" t="str">
            <v>KBC Participation Corp,Bonds Resp, Invest, Inst, B Shares Cap</v>
          </cell>
          <cell r="C204" t="str">
            <v>EUR-KAP-INSTIT,B</v>
          </cell>
          <cell r="D204">
            <v>20230302</v>
          </cell>
          <cell r="E204">
            <v>1167.46</v>
          </cell>
        </row>
        <row r="205">
          <cell r="A205" t="str">
            <v>BE6222650036</v>
          </cell>
          <cell r="B205" t="str">
            <v>KBC Participation Corp,Bonds Resp, Invest, Discretionary Shares Dis</v>
          </cell>
          <cell r="C205" t="str">
            <v>EUR-DIV-DISCR,SHARES</v>
          </cell>
          <cell r="D205">
            <v>20230302</v>
          </cell>
          <cell r="E205">
            <v>996.4</v>
          </cell>
        </row>
        <row r="206">
          <cell r="A206" t="str">
            <v>BE6222652057</v>
          </cell>
          <cell r="B206" t="str">
            <v>KBC Multi Interest Cash 3 Month Duration Resp, Invest, Classic Shares Cap (empty)</v>
          </cell>
          <cell r="C206" t="str">
            <v>EUR-KAP-RETAIL</v>
          </cell>
          <cell r="D206">
            <v>20210303</v>
          </cell>
          <cell r="E206">
            <v>966.53</v>
          </cell>
        </row>
        <row r="207">
          <cell r="A207" t="str">
            <v>BE6222654079</v>
          </cell>
          <cell r="B207" t="str">
            <v>KBC Multi Interest Cash 5 Month Duration Classic Shares Cap</v>
          </cell>
          <cell r="C207" t="str">
            <v>EUR-KAP-RETAIL</v>
          </cell>
          <cell r="D207">
            <v>20230302</v>
          </cell>
          <cell r="E207">
            <v>951.86400000000003</v>
          </cell>
        </row>
        <row r="208">
          <cell r="A208" t="str">
            <v>BE6225959145</v>
          </cell>
          <cell r="B208" t="str">
            <v>KBC Inst, Fund Euro Bonds Short Inst, Shares Dis (empty)</v>
          </cell>
          <cell r="C208" t="str">
            <v>EUR-DIV-INSTITUTIONEEL</v>
          </cell>
          <cell r="D208">
            <v>20180206</v>
          </cell>
          <cell r="E208">
            <v>2532.2399999999998</v>
          </cell>
        </row>
        <row r="209">
          <cell r="A209" t="str">
            <v>BE6225960150</v>
          </cell>
          <cell r="B209" t="str">
            <v>KBC Inst, Fund Euro Bonds Short Inst, Shares Cap</v>
          </cell>
          <cell r="C209" t="str">
            <v>EUR-KAP-INSTITUTIONEEL</v>
          </cell>
          <cell r="D209">
            <v>20230302</v>
          </cell>
          <cell r="E209">
            <v>4811.59</v>
          </cell>
        </row>
        <row r="210">
          <cell r="A210" t="str">
            <v>BE6225961166</v>
          </cell>
          <cell r="B210" t="str">
            <v>KBC Inst, Fund Euro Corp,Bonds Inst, Shares Dis</v>
          </cell>
          <cell r="C210" t="str">
            <v>EUR-DIV-INSTITUTIONEEL</v>
          </cell>
          <cell r="D210">
            <v>20230302</v>
          </cell>
          <cell r="E210">
            <v>6038.86</v>
          </cell>
        </row>
        <row r="211">
          <cell r="A211" t="str">
            <v>BE6225962172</v>
          </cell>
          <cell r="B211" t="str">
            <v>KBC Inst, Fund Euro Corp,Bonds Inst, Shares Cap</v>
          </cell>
          <cell r="C211" t="str">
            <v>EUR-KAP-INSTITUTIONEEL</v>
          </cell>
          <cell r="D211">
            <v>20230302</v>
          </cell>
          <cell r="E211">
            <v>9627.06</v>
          </cell>
        </row>
        <row r="212">
          <cell r="A212" t="str">
            <v>BE6225963188</v>
          </cell>
          <cell r="B212" t="str">
            <v>KBC Inst, Fund Global Resp, Invest, Inst, Shares Cap</v>
          </cell>
          <cell r="C212" t="str">
            <v>EUR-KAP-INSTITUTIONEEL</v>
          </cell>
          <cell r="D212">
            <v>20230302</v>
          </cell>
          <cell r="E212">
            <v>4980.33</v>
          </cell>
        </row>
        <row r="213">
          <cell r="A213" t="str">
            <v>BE6225965209</v>
          </cell>
          <cell r="B213" t="str">
            <v>KBC Inst, Fund Global Def, 1 Resp, Invest, Inst, Shares Cap</v>
          </cell>
          <cell r="C213" t="str">
            <v>EUR-KAP-INSTITUTIONEEL</v>
          </cell>
          <cell r="D213">
            <v>20230302</v>
          </cell>
          <cell r="E213">
            <v>1872.44</v>
          </cell>
        </row>
        <row r="214">
          <cell r="A214" t="str">
            <v>BE6225967221</v>
          </cell>
          <cell r="B214" t="str">
            <v>KBC Inst, Fund Euro Bonds Resp, Invest, Inst, Shares Dis</v>
          </cell>
          <cell r="C214" t="str">
            <v>EUR-DIV-INSTITUTIONEEL</v>
          </cell>
          <cell r="D214">
            <v>20230302</v>
          </cell>
          <cell r="E214">
            <v>952.08</v>
          </cell>
        </row>
        <row r="215">
          <cell r="A215" t="str">
            <v>BE6225968237</v>
          </cell>
          <cell r="B215" t="str">
            <v>KBC Inst, Fund Euro Bonds Resp, Invest, Inst, Shares Cap</v>
          </cell>
          <cell r="C215" t="str">
            <v>EUR-KAP-INSTITUTIONEEL</v>
          </cell>
          <cell r="D215">
            <v>20230302</v>
          </cell>
          <cell r="E215">
            <v>819.28</v>
          </cell>
        </row>
        <row r="216">
          <cell r="A216" t="str">
            <v>BE6225969243</v>
          </cell>
          <cell r="B216" t="str">
            <v>KBC Inst, Fund Euro Equities Resp, Invest, Inst, Shares Cap</v>
          </cell>
          <cell r="C216" t="str">
            <v>EUR-KAP-INSTITUTIONEEL</v>
          </cell>
          <cell r="D216">
            <v>20230302</v>
          </cell>
          <cell r="E216">
            <v>3851.58</v>
          </cell>
        </row>
        <row r="217">
          <cell r="A217" t="str">
            <v>BE6225970258</v>
          </cell>
          <cell r="B217" t="str">
            <v>KBC Inst, Fund Upper Grade Euro Corp,Bonds Inst, Shares Dis (empty)</v>
          </cell>
          <cell r="C217" t="str">
            <v>EUR-DIV-INSTITUTIONEEL</v>
          </cell>
          <cell r="D217">
            <v>20110906</v>
          </cell>
          <cell r="E217">
            <v>2849.09</v>
          </cell>
        </row>
        <row r="218">
          <cell r="A218" t="str">
            <v>BE6225971264</v>
          </cell>
          <cell r="B218" t="str">
            <v>KBC Inst, Fund Upper Grade Euro Corp,Bonds Inst, Shares Cap</v>
          </cell>
          <cell r="C218" t="str">
            <v>EUR-KAP-INSTITUTIONEEL</v>
          </cell>
          <cell r="D218">
            <v>20230302</v>
          </cell>
          <cell r="E218">
            <v>4055.04</v>
          </cell>
        </row>
        <row r="219">
          <cell r="A219" t="str">
            <v>BE6227978937</v>
          </cell>
          <cell r="B219" t="str">
            <v>Horizon Private Banking Active Stock Selection Cap</v>
          </cell>
          <cell r="C219" t="str">
            <v>EUR-KAP-RETAIL</v>
          </cell>
          <cell r="D219">
            <v>20230302</v>
          </cell>
          <cell r="E219">
            <v>1832.95</v>
          </cell>
        </row>
        <row r="220">
          <cell r="A220" t="str">
            <v>BE6227979943</v>
          </cell>
          <cell r="B220" t="str">
            <v>Horizon Private Banking Active Stock Selection Dis</v>
          </cell>
          <cell r="C220" t="str">
            <v>EUR-DIV-RETAIL</v>
          </cell>
          <cell r="D220">
            <v>20230302</v>
          </cell>
          <cell r="E220">
            <v>1544.39</v>
          </cell>
        </row>
        <row r="221">
          <cell r="A221" t="str">
            <v>BE6228533665</v>
          </cell>
          <cell r="B221" t="str">
            <v>Horizon Access Fund China Inst, B Shares Cap</v>
          </cell>
          <cell r="C221" t="str">
            <v>USD-KAP-INSTIT,B</v>
          </cell>
          <cell r="D221">
            <v>20230302</v>
          </cell>
          <cell r="E221">
            <v>1204.25</v>
          </cell>
        </row>
        <row r="222">
          <cell r="A222" t="str">
            <v>BE6228534671</v>
          </cell>
          <cell r="B222" t="str">
            <v>Horizon Access India Fund Inst, B Shares Cap (empty)</v>
          </cell>
          <cell r="C222" t="str">
            <v>USD-KAP-INSTIT,B</v>
          </cell>
          <cell r="D222">
            <v>20210518</v>
          </cell>
          <cell r="E222">
            <v>1852.68</v>
          </cell>
        </row>
        <row r="223">
          <cell r="A223" t="str">
            <v>BE6228535686</v>
          </cell>
          <cell r="B223" t="str">
            <v>KBC Equity Fund North America Inst, B Shares Cap</v>
          </cell>
          <cell r="C223" t="str">
            <v>USD-KAP-INSTIT,B</v>
          </cell>
          <cell r="D223">
            <v>20230302</v>
          </cell>
          <cell r="E223">
            <v>3887.56</v>
          </cell>
        </row>
        <row r="224">
          <cell r="A224" t="str">
            <v>BE6228536692</v>
          </cell>
          <cell r="B224" t="str">
            <v>KBC Equity Fund Buyback America Inst, B Shares Cap</v>
          </cell>
          <cell r="C224" t="str">
            <v>USD-KAP-INSTIT,B</v>
          </cell>
          <cell r="D224">
            <v>20230302</v>
          </cell>
          <cell r="E224">
            <v>3041.57</v>
          </cell>
        </row>
        <row r="225">
          <cell r="A225" t="str">
            <v>BE6228537708</v>
          </cell>
          <cell r="B225" t="str">
            <v>KBC Equity Fund Buyback Europe Inst, B Shares Cap (empty)</v>
          </cell>
          <cell r="C225" t="str">
            <v>EUR-KAP-INSTIT,B</v>
          </cell>
          <cell r="D225">
            <v>20220607</v>
          </cell>
          <cell r="E225">
            <v>1338.43</v>
          </cell>
        </row>
        <row r="226">
          <cell r="A226" t="str">
            <v>BE6228539720</v>
          </cell>
          <cell r="B226" t="str">
            <v>KBC Equity Fund We Like Resp, Invest, Inst, B Shares Cap</v>
          </cell>
          <cell r="C226" t="str">
            <v>EUR-KAP-INSTIT,B</v>
          </cell>
          <cell r="D226">
            <v>20230302</v>
          </cell>
          <cell r="E226">
            <v>909.05</v>
          </cell>
        </row>
        <row r="227">
          <cell r="A227" t="str">
            <v>BE6228541742</v>
          </cell>
          <cell r="B227" t="str">
            <v>KBC Equity Fund USA &amp; Canada Inst, B Shares Cap</v>
          </cell>
          <cell r="C227" t="str">
            <v>EUR-KAP-INSTIT,B</v>
          </cell>
          <cell r="D227">
            <v>20230302</v>
          </cell>
          <cell r="E227">
            <v>1183.9100000000001</v>
          </cell>
        </row>
        <row r="228">
          <cell r="A228" t="str">
            <v>BE6228543763</v>
          </cell>
          <cell r="B228" t="str">
            <v>KBC Equity Fund Eurozone Inst, B Shares Cap</v>
          </cell>
          <cell r="C228" t="str">
            <v>EUR-KAP-INSTIT,B</v>
          </cell>
          <cell r="D228">
            <v>20230302</v>
          </cell>
          <cell r="E228">
            <v>691.03</v>
          </cell>
        </row>
        <row r="229">
          <cell r="A229" t="str">
            <v>BE6228544779</v>
          </cell>
          <cell r="B229" t="str">
            <v>KBC Equity Fund We Shape Resp, Invest, Inst, B Shares Cap</v>
          </cell>
          <cell r="C229" t="str">
            <v>EUR-KAP-INSTIT,B</v>
          </cell>
          <cell r="D229">
            <v>20230302</v>
          </cell>
          <cell r="E229">
            <v>852.08</v>
          </cell>
        </row>
        <row r="230">
          <cell r="A230" t="str">
            <v>BE6228545784</v>
          </cell>
          <cell r="B230" t="str">
            <v>KBC Equity Fund We Live Resp, Invest, Inst, B Shares Cap</v>
          </cell>
          <cell r="C230" t="str">
            <v>EUR-KAP-INSTIT,B</v>
          </cell>
          <cell r="D230">
            <v>20230302</v>
          </cell>
          <cell r="E230">
            <v>2488.88</v>
          </cell>
        </row>
        <row r="231">
          <cell r="A231" t="str">
            <v>BE6228548812</v>
          </cell>
          <cell r="B231" t="str">
            <v>KBC Equity Fund High Dividend North America Inst, B Shares Cap (empty)</v>
          </cell>
          <cell r="C231" t="str">
            <v>USD-KAP-INSTIT,B</v>
          </cell>
          <cell r="D231">
            <v>20220602</v>
          </cell>
          <cell r="E231">
            <v>1653.82</v>
          </cell>
        </row>
        <row r="232">
          <cell r="A232" t="str">
            <v>BE6228551840</v>
          </cell>
          <cell r="B232" t="str">
            <v>KBC Equity Fund Medical Technologies Inst, B Shares Cap</v>
          </cell>
          <cell r="C232" t="str">
            <v>USD-KAP-INSTIT,B</v>
          </cell>
          <cell r="D232">
            <v>20230302</v>
          </cell>
          <cell r="E232">
            <v>5567.59</v>
          </cell>
        </row>
        <row r="233">
          <cell r="A233" t="str">
            <v>BE6228552855</v>
          </cell>
          <cell r="B233" t="str">
            <v>KBC Equity Fund New Asia Inst, B Shares Cap</v>
          </cell>
          <cell r="C233" t="str">
            <v>EUR-KAP-INSTIT,B</v>
          </cell>
          <cell r="D233">
            <v>20230302</v>
          </cell>
          <cell r="E233">
            <v>949.35</v>
          </cell>
        </row>
        <row r="234">
          <cell r="A234" t="str">
            <v>BE6228564975</v>
          </cell>
          <cell r="B234" t="str">
            <v>KBC Equity Fund Asia Pacific Inst, B Shares Cap</v>
          </cell>
          <cell r="C234" t="str">
            <v>JPY-KAP-INSTIT,B</v>
          </cell>
          <cell r="D234">
            <v>20230302</v>
          </cell>
          <cell r="E234">
            <v>85415</v>
          </cell>
        </row>
        <row r="235">
          <cell r="A235" t="str">
            <v>BE6228663025</v>
          </cell>
          <cell r="B235" t="str">
            <v>KBC Equity Fund Emerging Markets Inst, B Shares Cap</v>
          </cell>
          <cell r="C235" t="str">
            <v>EUR-KAP-INSTIT,B</v>
          </cell>
          <cell r="D235">
            <v>20230302</v>
          </cell>
          <cell r="E235">
            <v>2000.16</v>
          </cell>
        </row>
        <row r="236">
          <cell r="A236" t="str">
            <v>BE6228903488</v>
          </cell>
          <cell r="B236" t="str">
            <v>KBC Equity Fund We Care Resp, Invest, Inst, B Shares Cap</v>
          </cell>
          <cell r="C236" t="str">
            <v>EUR-KAP-INSTIT,B</v>
          </cell>
          <cell r="D236">
            <v>20230302</v>
          </cell>
          <cell r="E236">
            <v>2511.4299999999998</v>
          </cell>
        </row>
        <row r="237">
          <cell r="A237" t="str">
            <v>BE6228907521</v>
          </cell>
          <cell r="B237" t="str">
            <v>KBC Equity Fund We Digitize Resp, Invest, Inst, B Shares Cap</v>
          </cell>
          <cell r="C237" t="str">
            <v>USD-KAP-INSTIT,B</v>
          </cell>
          <cell r="D237">
            <v>20230302</v>
          </cell>
          <cell r="E237">
            <v>568.62</v>
          </cell>
        </row>
        <row r="238">
          <cell r="A238" t="str">
            <v>BE6228908537</v>
          </cell>
          <cell r="B238" t="str">
            <v>KBC Equity Fund Communication Services Inst, B Shares Cap</v>
          </cell>
          <cell r="C238" t="str">
            <v>EUR-KAP-INSTIT,B</v>
          </cell>
          <cell r="D238">
            <v>20230302</v>
          </cell>
          <cell r="E238">
            <v>496.07</v>
          </cell>
        </row>
        <row r="239">
          <cell r="A239" t="str">
            <v>BE6228910558</v>
          </cell>
          <cell r="B239" t="str">
            <v>KBC Equity Fund US Small Caps Inst, B Shares Cap</v>
          </cell>
          <cell r="C239" t="str">
            <v>USD-KAP-INSTIT,B</v>
          </cell>
          <cell r="D239">
            <v>20230302</v>
          </cell>
          <cell r="E239">
            <v>2559.88</v>
          </cell>
        </row>
        <row r="240">
          <cell r="A240" t="str">
            <v>BE6228912570</v>
          </cell>
          <cell r="B240" t="str">
            <v>KBC Eco Fund Water Resp, Invest, Inst, B Shares Cap</v>
          </cell>
          <cell r="C240" t="str">
            <v>EUR-KAP-INSTIT,B</v>
          </cell>
          <cell r="D240">
            <v>20230302</v>
          </cell>
          <cell r="E240">
            <v>2186.7600000000002</v>
          </cell>
        </row>
        <row r="241">
          <cell r="A241" t="str">
            <v>BE6228914592</v>
          </cell>
          <cell r="B241" t="str">
            <v>KBC Equity Fund High Dividend Inst, B Shares Cap (empty)</v>
          </cell>
          <cell r="C241" t="str">
            <v>EUR-KAP-INSTIT,B</v>
          </cell>
          <cell r="D241">
            <v>20220602</v>
          </cell>
          <cell r="E241">
            <v>2087.34</v>
          </cell>
        </row>
        <row r="242">
          <cell r="A242" t="str">
            <v>BE6228916613</v>
          </cell>
          <cell r="B242" t="str">
            <v>KBC Equity Fund High Dividend Eurozone Inst, B Shares Cap (empty)</v>
          </cell>
          <cell r="C242" t="str">
            <v>EUR-KAP-INSTIT,B</v>
          </cell>
          <cell r="D242">
            <v>20220608</v>
          </cell>
          <cell r="E242">
            <v>619.66999999999996</v>
          </cell>
        </row>
        <row r="243">
          <cell r="A243" t="str">
            <v>BE6228918635</v>
          </cell>
          <cell r="B243" t="str">
            <v>KBC Inst, Fund Euro Bonds Resp, Invest, Inst, B Shares Cap</v>
          </cell>
          <cell r="C243" t="str">
            <v>EUR-KAP-INSTIT,B</v>
          </cell>
          <cell r="D243">
            <v>20230302</v>
          </cell>
          <cell r="E243">
            <v>825.1</v>
          </cell>
        </row>
        <row r="244">
          <cell r="A244" t="str">
            <v>BE6228919641</v>
          </cell>
          <cell r="B244" t="str">
            <v>KBC Master Fund Minimum Variance Global Inst, B Shares Cap (empty)</v>
          </cell>
          <cell r="C244" t="str">
            <v>EUR-KAP-INSTIT,B</v>
          </cell>
          <cell r="D244">
            <v>20220517</v>
          </cell>
          <cell r="E244">
            <v>2161.9499999999998</v>
          </cell>
        </row>
        <row r="245">
          <cell r="A245" t="str">
            <v>BE6228923684</v>
          </cell>
          <cell r="B245" t="str">
            <v>KBC Eco Fund Climate Change Resp, Invest,  Inst, B Shares Cap</v>
          </cell>
          <cell r="C245" t="str">
            <v>EUR-KAP-INSTIT,B</v>
          </cell>
          <cell r="D245">
            <v>20230302</v>
          </cell>
          <cell r="E245">
            <v>818.76</v>
          </cell>
        </row>
        <row r="246">
          <cell r="A246" t="str">
            <v>BE6228924690</v>
          </cell>
          <cell r="B246" t="str">
            <v>KBC Eco Fund Alternative Energy Resp, Invest,  Inst, B Shares Cap</v>
          </cell>
          <cell r="C246" t="str">
            <v>EUR-KAP-INSTIT,B</v>
          </cell>
          <cell r="D246">
            <v>20230302</v>
          </cell>
          <cell r="E246">
            <v>680.33</v>
          </cell>
        </row>
        <row r="247">
          <cell r="A247" t="str">
            <v>BE6228925705</v>
          </cell>
          <cell r="B247" t="str">
            <v>KBC Equity Fund Emerging Europe Inst, B Shares Cap (In Liquidation)</v>
          </cell>
          <cell r="C247" t="str">
            <v>EUR-KAP-INSTIT,B</v>
          </cell>
          <cell r="D247">
            <v>20211123</v>
          </cell>
          <cell r="E247">
            <v>1917.27</v>
          </cell>
        </row>
        <row r="248">
          <cell r="A248" t="str">
            <v>BE6228927727</v>
          </cell>
          <cell r="B248" t="str">
            <v>KBC Equity Fund Trends Inst, B Shares Cap</v>
          </cell>
          <cell r="C248" t="str">
            <v>EUR-KAP-INSTIT,B</v>
          </cell>
          <cell r="D248">
            <v>20230302</v>
          </cell>
          <cell r="E248">
            <v>211.93</v>
          </cell>
        </row>
        <row r="249">
          <cell r="A249" t="str">
            <v>BE6228928733</v>
          </cell>
          <cell r="B249" t="str">
            <v>KBC Equity Fund North American Continent Inst, B Shares Cap</v>
          </cell>
          <cell r="C249" t="str">
            <v>EUR-KAP-INSTIT,B</v>
          </cell>
          <cell r="D249">
            <v>20230302</v>
          </cell>
          <cell r="E249">
            <v>584.82000000000005</v>
          </cell>
        </row>
        <row r="250">
          <cell r="A250" t="str">
            <v>BE6228929749</v>
          </cell>
          <cell r="B250" t="str">
            <v>KBC Equity Fund Strategic Comm, Serv, &amp; Tech, Inst, B Shares Cap (empty)</v>
          </cell>
          <cell r="C250" t="str">
            <v>EUR-KAP-INSTIT,B</v>
          </cell>
          <cell r="D250">
            <v>20220517</v>
          </cell>
          <cell r="E250">
            <v>383.17</v>
          </cell>
        </row>
        <row r="251">
          <cell r="A251" t="str">
            <v>BE6228930754</v>
          </cell>
          <cell r="B251" t="str">
            <v>KBC Participation Europe Financial Bond Opportunities Inst, B Shares Cap</v>
          </cell>
          <cell r="C251" t="str">
            <v>EUR-KAP-INSTIT,B</v>
          </cell>
          <cell r="D251">
            <v>20230302</v>
          </cell>
          <cell r="E251">
            <v>1076.25</v>
          </cell>
        </row>
        <row r="252">
          <cell r="A252" t="str">
            <v>BE6228991392</v>
          </cell>
          <cell r="B252" t="str">
            <v>KBC Multi Interest Cash 3 Month Duration Resp, Invest, Inst, B Shares Cap</v>
          </cell>
          <cell r="C252" t="str">
            <v>EUR-KAP-INSTIT,B</v>
          </cell>
          <cell r="D252">
            <v>20230302</v>
          </cell>
          <cell r="E252">
            <v>948.81700000000001</v>
          </cell>
        </row>
        <row r="253">
          <cell r="A253" t="str">
            <v>BE6228992408</v>
          </cell>
          <cell r="B253" t="str">
            <v>KBC Multi Interest Cash 5 Month Duration Inst, B Shares Cap</v>
          </cell>
          <cell r="C253" t="str">
            <v>EUR-KAP-INSTIT,B</v>
          </cell>
          <cell r="D253">
            <v>20230302</v>
          </cell>
          <cell r="E253">
            <v>951.44200000000001</v>
          </cell>
        </row>
        <row r="254">
          <cell r="A254" t="str">
            <v>BE6229029770</v>
          </cell>
          <cell r="B254" t="str">
            <v>KBC Inst, Investors Mixed Def, 1 Cap</v>
          </cell>
          <cell r="C254" t="str">
            <v>EUR-KAP-RETAIL</v>
          </cell>
          <cell r="D254">
            <v>20230302</v>
          </cell>
          <cell r="E254">
            <v>1465.38</v>
          </cell>
        </row>
        <row r="255">
          <cell r="A255" t="str">
            <v>BE6229030786</v>
          </cell>
          <cell r="B255" t="str">
            <v>KBC Inst, Investors Short Term 1 Cap</v>
          </cell>
          <cell r="C255" t="str">
            <v>EUR-KAP-RETAIL</v>
          </cell>
          <cell r="D255">
            <v>20230302</v>
          </cell>
          <cell r="E255">
            <v>1084.73</v>
          </cell>
        </row>
        <row r="256">
          <cell r="A256" t="str">
            <v>BE6229415755</v>
          </cell>
          <cell r="B256" t="str">
            <v>KBC Inst, Fund Euro Corp,Bonds ex Financials Classic Shares Cap</v>
          </cell>
          <cell r="C256" t="str">
            <v>EUR-KAP-RETAIL</v>
          </cell>
          <cell r="D256">
            <v>20230302</v>
          </cell>
          <cell r="E256">
            <v>1152.1300000000001</v>
          </cell>
        </row>
        <row r="257">
          <cell r="A257" t="str">
            <v>BE6229416761</v>
          </cell>
          <cell r="B257" t="str">
            <v>KBC Inst, Fund Euro Corp,Bonds ex Financials Classic Shares Dis</v>
          </cell>
          <cell r="C257" t="str">
            <v>EUR-DIV-RETAIL</v>
          </cell>
          <cell r="D257">
            <v>20230302</v>
          </cell>
          <cell r="E257">
            <v>970.98</v>
          </cell>
        </row>
        <row r="258">
          <cell r="A258" t="str">
            <v>BE6229417777</v>
          </cell>
          <cell r="B258" t="str">
            <v>KBC Inst, Fund Euro Corp,Bonds ex Financials Inst, Shares Cap (empty)</v>
          </cell>
          <cell r="C258" t="str">
            <v>EUR-KAP-INSTITUTIONEEL</v>
          </cell>
          <cell r="D258">
            <v>20230118</v>
          </cell>
          <cell r="E258">
            <v>1202.23</v>
          </cell>
        </row>
        <row r="259">
          <cell r="A259" t="str">
            <v>BE6229418783</v>
          </cell>
          <cell r="B259" t="str">
            <v>KBC Inst, Fund Euro Corp,Bonds ex Financials Inst, Shares Dis (empty)</v>
          </cell>
          <cell r="C259" t="str">
            <v>EUR-DIV-INSTITUTIONEEL</v>
          </cell>
          <cell r="D259">
            <v>20111129</v>
          </cell>
          <cell r="E259" t="str">
            <v>1000</v>
          </cell>
        </row>
        <row r="260">
          <cell r="A260" t="str">
            <v>BE6229419799</v>
          </cell>
          <cell r="B260" t="str">
            <v>KBC Inst, Fund Euro Corp,Bonds ex Financials Inst, B Shares Cap</v>
          </cell>
          <cell r="C260" t="str">
            <v>EUR-KAP-INSTIT,B</v>
          </cell>
          <cell r="D260">
            <v>20230302</v>
          </cell>
          <cell r="E260">
            <v>1154.57</v>
          </cell>
        </row>
        <row r="261">
          <cell r="A261" t="str">
            <v>BE6229561277</v>
          </cell>
          <cell r="B261" t="str">
            <v>KBC Inst, Investors LDI Solutions 3 Cap</v>
          </cell>
          <cell r="C261" t="str">
            <v>EUR-KAP-RETAIL</v>
          </cell>
          <cell r="D261">
            <v>20230228</v>
          </cell>
          <cell r="E261">
            <v>29159.58</v>
          </cell>
        </row>
        <row r="262">
          <cell r="A262" t="str">
            <v>BE6229565310</v>
          </cell>
          <cell r="B262" t="str">
            <v>KBC Inst, Investors LDI Solutions 1 Cap</v>
          </cell>
          <cell r="C262" t="str">
            <v>EUR-KAP-RETAIL</v>
          </cell>
          <cell r="D262">
            <v>20230228</v>
          </cell>
          <cell r="E262">
            <v>88833.19</v>
          </cell>
        </row>
        <row r="263">
          <cell r="A263" t="str">
            <v>BE6229566326</v>
          </cell>
          <cell r="B263" t="str">
            <v>KBC Inst, Investors LDI Solutions 2 Cap</v>
          </cell>
          <cell r="C263" t="str">
            <v>EUR-KAP-RETAIL</v>
          </cell>
          <cell r="D263">
            <v>20230228</v>
          </cell>
          <cell r="E263">
            <v>256188.79</v>
          </cell>
        </row>
        <row r="264">
          <cell r="A264" t="str">
            <v>BE6239644220</v>
          </cell>
          <cell r="B264" t="str">
            <v>KBC Equity Fund CSOB Akciovy fond dividendovych firem Cap</v>
          </cell>
          <cell r="C264" t="str">
            <v>CZK-KAP-RETAIL</v>
          </cell>
          <cell r="D264">
            <v>20230302</v>
          </cell>
          <cell r="E264">
            <v>1944.08</v>
          </cell>
        </row>
        <row r="265">
          <cell r="A265" t="str">
            <v>BE6239645235</v>
          </cell>
          <cell r="B265" t="str">
            <v>KBC Equity Fund CSOB Akciovy fond dividendovych firem Dis</v>
          </cell>
          <cell r="C265" t="str">
            <v>CZK-DIV-RETAIL</v>
          </cell>
          <cell r="D265">
            <v>20230302</v>
          </cell>
          <cell r="E265">
            <v>1600.07</v>
          </cell>
        </row>
        <row r="266">
          <cell r="A266" t="str">
            <v>BE6241648862</v>
          </cell>
          <cell r="B266" t="str">
            <v>Optimum Fund ČSOB Opatrný Classic Shares CSOB Private Banking Cap</v>
          </cell>
          <cell r="C266" t="str">
            <v>CZK-KAP-CSOB PRIV,BANKING</v>
          </cell>
          <cell r="D266">
            <v>20230302</v>
          </cell>
          <cell r="E266">
            <v>1238.52</v>
          </cell>
        </row>
        <row r="267">
          <cell r="A267" t="str">
            <v>BE6242540084</v>
          </cell>
          <cell r="B267" t="str">
            <v>Optimum Fund ČSOB Velmi opatrný  Classic Shares CSOB Private Banking Cap</v>
          </cell>
          <cell r="C267" t="str">
            <v>CZK-KAP-CSOB PRIV,BANKING</v>
          </cell>
          <cell r="D267">
            <v>20230302</v>
          </cell>
          <cell r="E267">
            <v>1068.01</v>
          </cell>
        </row>
        <row r="268">
          <cell r="A268" t="str">
            <v>BE6242915922</v>
          </cell>
          <cell r="B268" t="str">
            <v>Plato Inst, Index Fund North American Equity Discretionary Shares EUR Cap</v>
          </cell>
          <cell r="C268" t="str">
            <v>EUR-KAP-RETAIL</v>
          </cell>
          <cell r="D268">
            <v>20230302</v>
          </cell>
          <cell r="E268">
            <v>13773.97</v>
          </cell>
        </row>
        <row r="269">
          <cell r="A269" t="str">
            <v>BE6242917944</v>
          </cell>
          <cell r="B269" t="str">
            <v>Plato Inst, Index Fund North American Equity Inst, Shares EUR Cap</v>
          </cell>
          <cell r="C269" t="str">
            <v>EUR-KAP-INST,EUR</v>
          </cell>
          <cell r="D269">
            <v>20230302</v>
          </cell>
          <cell r="E269">
            <v>13955.75</v>
          </cell>
        </row>
        <row r="270">
          <cell r="A270" t="str">
            <v>BE6242921011</v>
          </cell>
          <cell r="B270" t="str">
            <v>Plato Inst, Index Fund Pacific Equity Discretionary Shares EUR Cap</v>
          </cell>
          <cell r="C270" t="str">
            <v>EUR-KAP-RETAIL</v>
          </cell>
          <cell r="D270">
            <v>20230302</v>
          </cell>
          <cell r="E270">
            <v>8400.31</v>
          </cell>
        </row>
        <row r="271">
          <cell r="A271" t="str">
            <v>BE6242923033</v>
          </cell>
          <cell r="B271" t="str">
            <v>Plato Inst, Index Fund Pacific Equity Inst, Shares EUR Cap</v>
          </cell>
          <cell r="C271" t="str">
            <v>EUR-KAP-INST,EUR</v>
          </cell>
          <cell r="D271">
            <v>20230302</v>
          </cell>
          <cell r="E271">
            <v>8481.4500000000007</v>
          </cell>
        </row>
        <row r="272">
          <cell r="A272" t="str">
            <v>BE6243135215</v>
          </cell>
          <cell r="B272" t="str">
            <v>KBC Participation Private Banking Active Bond Selection Classic Shares Cap</v>
          </cell>
          <cell r="C272" t="str">
            <v>EUR-KAP-RETAIL</v>
          </cell>
          <cell r="D272">
            <v>20230302</v>
          </cell>
          <cell r="E272">
            <v>1155.7</v>
          </cell>
        </row>
        <row r="273">
          <cell r="A273" t="str">
            <v>BE6243137237</v>
          </cell>
          <cell r="B273" t="str">
            <v>KBC Participation Private Banking Active Bond Selection Classic Shares Dis</v>
          </cell>
          <cell r="C273" t="str">
            <v>EUR-DIV-RETAIL</v>
          </cell>
          <cell r="D273">
            <v>20230302</v>
          </cell>
          <cell r="E273">
            <v>960.85</v>
          </cell>
        </row>
        <row r="274">
          <cell r="A274" t="str">
            <v>BE6243361530</v>
          </cell>
          <cell r="B274" t="str">
            <v>KBC IP ExpertEase Def, Conservative Resp, Invest, Cap</v>
          </cell>
          <cell r="C274" t="str">
            <v>KAP2</v>
          </cell>
          <cell r="D274">
            <v>20230301</v>
          </cell>
          <cell r="E274">
            <v>989.77</v>
          </cell>
        </row>
        <row r="275">
          <cell r="A275" t="str">
            <v>BE6246548398</v>
          </cell>
          <cell r="B275" t="str">
            <v>KBC Participation Commodities Classic Shares Cap</v>
          </cell>
          <cell r="C275" t="str">
            <v>EUR-KAP-RETAIL</v>
          </cell>
          <cell r="D275">
            <v>20230302</v>
          </cell>
          <cell r="E275">
            <v>907.56</v>
          </cell>
        </row>
        <row r="276">
          <cell r="A276" t="str">
            <v>BE6246621153</v>
          </cell>
          <cell r="B276" t="str">
            <v>KBC Participation Commodities Inst, B Shares Cap</v>
          </cell>
          <cell r="C276" t="str">
            <v>EUR-KAP-INSTIT,B</v>
          </cell>
          <cell r="D276">
            <v>20230302</v>
          </cell>
          <cell r="E276">
            <v>929.44</v>
          </cell>
        </row>
        <row r="277">
          <cell r="A277" t="str">
            <v>BE6248515668</v>
          </cell>
          <cell r="B277" t="str">
            <v>KBC Participation Local Emerging Market Bonds Classic Shares Cap</v>
          </cell>
          <cell r="C277" t="str">
            <v>EUR-KAP-RETAIL</v>
          </cell>
          <cell r="D277">
            <v>20230302</v>
          </cell>
          <cell r="E277">
            <v>996.2</v>
          </cell>
        </row>
        <row r="278">
          <cell r="A278" t="str">
            <v>BE6248518696</v>
          </cell>
          <cell r="B278" t="str">
            <v>KBC Participation Local Emerging Market Bonds Classic Shares Dis</v>
          </cell>
          <cell r="C278" t="str">
            <v>EUR-DIV-RETAIL</v>
          </cell>
          <cell r="D278">
            <v>20230302</v>
          </cell>
          <cell r="E278">
            <v>600.85</v>
          </cell>
        </row>
        <row r="279">
          <cell r="A279" t="str">
            <v>BE6248519702</v>
          </cell>
          <cell r="B279" t="str">
            <v>KBC Participation Local Emerging Market Bonds Inst, Shares Cap</v>
          </cell>
          <cell r="C279" t="str">
            <v>EUR-KAP-INSTITUTIONEEL</v>
          </cell>
          <cell r="D279">
            <v>20230302</v>
          </cell>
          <cell r="E279">
            <v>1073.26</v>
          </cell>
        </row>
        <row r="280">
          <cell r="A280" t="str">
            <v>BE6248520718</v>
          </cell>
          <cell r="B280" t="str">
            <v>KBC Participation Local Emerging Market Bonds Inst, Shares Dis</v>
          </cell>
          <cell r="C280" t="str">
            <v>EUR-DIV-INSTITUTIONEEL</v>
          </cell>
          <cell r="D280">
            <v>20230302</v>
          </cell>
          <cell r="E280">
            <v>641.77</v>
          </cell>
        </row>
        <row r="281">
          <cell r="A281" t="str">
            <v>BE6248521724</v>
          </cell>
          <cell r="B281" t="str">
            <v>KBC Participation Local Emerging Market Bonds Inst, B Shares Cap</v>
          </cell>
          <cell r="C281" t="str">
            <v>EUR-KAP-INSTIT,B</v>
          </cell>
          <cell r="D281">
            <v>20230302</v>
          </cell>
          <cell r="E281">
            <v>1032.92</v>
          </cell>
        </row>
        <row r="282">
          <cell r="A282" t="str">
            <v>BE6252265333</v>
          </cell>
          <cell r="B282" t="str">
            <v>KBC Equity Fund North America Classic Shares CSOB CZK Cap</v>
          </cell>
          <cell r="C282" t="str">
            <v>CZK-KAP-RET,CSOB</v>
          </cell>
          <cell r="D282">
            <v>20230302</v>
          </cell>
          <cell r="E282">
            <v>2358.71</v>
          </cell>
        </row>
        <row r="283">
          <cell r="A283" t="str">
            <v>BE6252470446</v>
          </cell>
          <cell r="B283" t="str">
            <v>Optimum Fund ČSOB Odvážný Classic Shares CSOB Private Banking Cap</v>
          </cell>
          <cell r="C283" t="str">
            <v>CZK-KAP-CSOB PRIV,BANKING</v>
          </cell>
          <cell r="D283">
            <v>20230302</v>
          </cell>
          <cell r="E283">
            <v>1289.78</v>
          </cell>
        </row>
        <row r="284">
          <cell r="A284" t="str">
            <v>BE6254090150</v>
          </cell>
          <cell r="B284" t="str">
            <v>Generation Plan 90 August Dis</v>
          </cell>
          <cell r="C284" t="str">
            <v>EUR-DIV-RETAIL</v>
          </cell>
          <cell r="D284">
            <v>20230302</v>
          </cell>
          <cell r="E284">
            <v>225.33</v>
          </cell>
        </row>
        <row r="285">
          <cell r="A285" t="str">
            <v>BE6257807469</v>
          </cell>
          <cell r="B285" t="str">
            <v>KBC Equity Fund EMU Small &amp; Medium Caps Classic Shares Cap</v>
          </cell>
          <cell r="C285" t="str">
            <v>EUR-KAP-RETAIL</v>
          </cell>
          <cell r="D285">
            <v>20230302</v>
          </cell>
          <cell r="E285">
            <v>2386.02</v>
          </cell>
        </row>
        <row r="286">
          <cell r="A286" t="str">
            <v>BE6257808475</v>
          </cell>
          <cell r="B286" t="str">
            <v>KBC Equity Fund EMU Small &amp; Medium Caps Classic Shares Dis</v>
          </cell>
          <cell r="C286" t="str">
            <v>EUR-DIV-RETAIL</v>
          </cell>
          <cell r="D286">
            <v>20230302</v>
          </cell>
          <cell r="E286">
            <v>2113.73</v>
          </cell>
        </row>
        <row r="287">
          <cell r="A287" t="str">
            <v>BE6257809481</v>
          </cell>
          <cell r="B287" t="str">
            <v>KBC Equity Fund EMU Small &amp; Medium Caps Inst, B Shares Cap</v>
          </cell>
          <cell r="C287" t="str">
            <v>EUR-KAP-INSTIT,B</v>
          </cell>
          <cell r="D287">
            <v>20230302</v>
          </cell>
          <cell r="E287">
            <v>2538.3200000000002</v>
          </cell>
        </row>
        <row r="288">
          <cell r="A288" t="str">
            <v>BE6257810497</v>
          </cell>
          <cell r="B288" t="str">
            <v>KBC Eco Fund World Resp, Invest,  Inst, Shares Cap</v>
          </cell>
          <cell r="C288" t="str">
            <v>EUR-KAP-INSTITUTIONEEL</v>
          </cell>
          <cell r="D288">
            <v>20230302</v>
          </cell>
          <cell r="E288">
            <v>1336.13</v>
          </cell>
        </row>
        <row r="289">
          <cell r="A289" t="str">
            <v>BE6258069176</v>
          </cell>
          <cell r="B289" t="str">
            <v>KBC Equity Fund Strategic Satellites Inst, B Shares Cap (empty)</v>
          </cell>
          <cell r="C289" t="str">
            <v>EUR-KAP-INSTIT,B</v>
          </cell>
          <cell r="D289">
            <v>20200612</v>
          </cell>
          <cell r="E289">
            <v>845.3</v>
          </cell>
        </row>
        <row r="290">
          <cell r="A290" t="str">
            <v>BE6258074226</v>
          </cell>
          <cell r="B290" t="str">
            <v>KBC Participation Cash Plus Resp, Invest, Inst, B Shares Cap</v>
          </cell>
          <cell r="C290" t="str">
            <v>EUR-KAP-INSTIT,B</v>
          </cell>
          <cell r="D290">
            <v>20230302</v>
          </cell>
          <cell r="E290">
            <v>1006.753</v>
          </cell>
        </row>
        <row r="291">
          <cell r="A291" t="str">
            <v>BE6258422797</v>
          </cell>
          <cell r="B291" t="str">
            <v>KBC Equity Fund Europe Inst, B Shares Cap</v>
          </cell>
          <cell r="C291" t="str">
            <v>EUR-KAP-INSTIT,B</v>
          </cell>
          <cell r="D291">
            <v>20230302</v>
          </cell>
          <cell r="E291">
            <v>2087.7600000000002</v>
          </cell>
        </row>
        <row r="292">
          <cell r="A292" t="str">
            <v>BE6258734035</v>
          </cell>
          <cell r="B292" t="str">
            <v>Horizon Comfort Def, Classic Shares Cap</v>
          </cell>
          <cell r="C292" t="str">
            <v>EUR-KAP-RETAIL</v>
          </cell>
          <cell r="D292">
            <v>20230302</v>
          </cell>
          <cell r="E292">
            <v>1105.8900000000001</v>
          </cell>
        </row>
        <row r="293">
          <cell r="A293" t="str">
            <v>BE6258735040</v>
          </cell>
          <cell r="B293" t="str">
            <v>Horizon Comfort Def, Classic Shares Dis</v>
          </cell>
          <cell r="C293" t="str">
            <v>EUR-DIV-RETAIL</v>
          </cell>
          <cell r="D293">
            <v>20230302</v>
          </cell>
          <cell r="E293">
            <v>909.17</v>
          </cell>
        </row>
        <row r="294">
          <cell r="A294" t="str">
            <v>BE6258738077</v>
          </cell>
          <cell r="B294" t="str">
            <v>Horizon Comfort Dyn, Classic Shares Cap</v>
          </cell>
          <cell r="C294" t="str">
            <v>EUR-KAP-RETAIL</v>
          </cell>
          <cell r="D294">
            <v>20230302</v>
          </cell>
          <cell r="E294">
            <v>1327.98</v>
          </cell>
        </row>
        <row r="295">
          <cell r="A295" t="str">
            <v>BE6258739083</v>
          </cell>
          <cell r="B295" t="str">
            <v>Horizon Comfort Dyn, Classic Shares Dis</v>
          </cell>
          <cell r="C295" t="str">
            <v>EUR-DIV-RETAIL</v>
          </cell>
          <cell r="D295">
            <v>20230302</v>
          </cell>
          <cell r="E295">
            <v>1062.79</v>
          </cell>
        </row>
        <row r="296">
          <cell r="A296" t="str">
            <v>BE6260699283</v>
          </cell>
          <cell r="B296" t="str">
            <v>KBC Equity Fund Emerging Markets Resp, Invest, Classic Shares Cap</v>
          </cell>
          <cell r="C296" t="str">
            <v>EUR-KAP-RETAIL</v>
          </cell>
          <cell r="D296">
            <v>20230302</v>
          </cell>
          <cell r="E296">
            <v>427.76</v>
          </cell>
        </row>
        <row r="297">
          <cell r="A297" t="str">
            <v>BE6260700297</v>
          </cell>
          <cell r="B297" t="str">
            <v>KBC Equity Fund Emerging Markets Resp, Invest, Classic Shares Dis</v>
          </cell>
          <cell r="C297" t="str">
            <v>EUR-DIV-RETAIL</v>
          </cell>
          <cell r="D297">
            <v>20230302</v>
          </cell>
          <cell r="E297">
            <v>352.64</v>
          </cell>
        </row>
        <row r="298">
          <cell r="A298" t="str">
            <v>BE6260701303</v>
          </cell>
          <cell r="B298" t="str">
            <v>KBC Equity Fund Emerging Markets Resp, Invest, Corp,Shares Cap</v>
          </cell>
          <cell r="C298" t="str">
            <v>EUR-KAP-CORP,SHARES</v>
          </cell>
          <cell r="D298">
            <v>20230302</v>
          </cell>
          <cell r="E298">
            <v>1407.01</v>
          </cell>
        </row>
        <row r="299">
          <cell r="A299" t="str">
            <v>BE6260702319</v>
          </cell>
          <cell r="B299" t="str">
            <v>KBC Equity Fund Emerging Markets Resp, Invest, Inst, Shares Cap</v>
          </cell>
          <cell r="C299" t="str">
            <v>EUR-KAP-INSTITUTIONEEL</v>
          </cell>
          <cell r="D299">
            <v>20230302</v>
          </cell>
          <cell r="E299">
            <v>1432.93</v>
          </cell>
        </row>
        <row r="300">
          <cell r="A300" t="str">
            <v>BE6261276230</v>
          </cell>
          <cell r="B300" t="str">
            <v>Generation Plan 90 February Dis</v>
          </cell>
          <cell r="C300" t="str">
            <v>EUR-DIV-RETAIL</v>
          </cell>
          <cell r="D300">
            <v>20230302</v>
          </cell>
          <cell r="E300">
            <v>222.99</v>
          </cell>
        </row>
        <row r="301">
          <cell r="A301" t="str">
            <v>BE6261308553</v>
          </cell>
          <cell r="B301" t="str">
            <v>Horizon Flexible Plan Cap</v>
          </cell>
          <cell r="C301" t="str">
            <v>EUR-KAP-RETAIL</v>
          </cell>
          <cell r="D301">
            <v>20230302</v>
          </cell>
          <cell r="E301">
            <v>52.98</v>
          </cell>
        </row>
        <row r="302">
          <cell r="A302" t="str">
            <v>BE6264342823</v>
          </cell>
          <cell r="B302" t="str">
            <v>KBC- Life Residential Real Estate Cap</v>
          </cell>
          <cell r="C302" t="str">
            <v>KAP</v>
          </cell>
          <cell r="D302">
            <v>20221230</v>
          </cell>
          <cell r="E302">
            <v>1369.21</v>
          </cell>
        </row>
        <row r="303">
          <cell r="A303" t="str">
            <v>BE6264650027</v>
          </cell>
          <cell r="B303" t="str">
            <v>KBC Equity Fund Europe Classic Shares CSOB CZK Cap</v>
          </cell>
          <cell r="C303" t="str">
            <v>CZK-KAP-RET,CSOB</v>
          </cell>
          <cell r="D303">
            <v>20230302</v>
          </cell>
          <cell r="E303">
            <v>1146.21</v>
          </cell>
        </row>
        <row r="304">
          <cell r="A304" t="str">
            <v>BE6266330339</v>
          </cell>
          <cell r="B304" t="str">
            <v>Horizon Comfort Pro August 90 Cap</v>
          </cell>
          <cell r="C304" t="str">
            <v>EUR-KAP-RETAIL</v>
          </cell>
          <cell r="D304">
            <v>20230302</v>
          </cell>
          <cell r="E304">
            <v>1059.6600000000001</v>
          </cell>
        </row>
        <row r="305">
          <cell r="A305" t="str">
            <v>BE6266852704</v>
          </cell>
          <cell r="B305" t="str">
            <v>KBC Equity Fund Family Enterprises Classic Shares Cap</v>
          </cell>
          <cell r="C305" t="str">
            <v>EUR-KAP-RETAIL</v>
          </cell>
          <cell r="D305">
            <v>20230302</v>
          </cell>
          <cell r="E305">
            <v>1537.82</v>
          </cell>
        </row>
        <row r="306">
          <cell r="A306" t="str">
            <v>BE6266853710</v>
          </cell>
          <cell r="B306" t="str">
            <v>KBC Equity Fund Family Enterprises Classic Shares Dis</v>
          </cell>
          <cell r="C306" t="str">
            <v>EUR-DIV-RETAIL</v>
          </cell>
          <cell r="D306">
            <v>20230302</v>
          </cell>
          <cell r="E306">
            <v>1373.34</v>
          </cell>
        </row>
        <row r="307">
          <cell r="A307" t="str">
            <v>BE6266959806</v>
          </cell>
          <cell r="B307" t="str">
            <v>KBC B-Assured KBC B-Assured ExpertEase Def, Conservative Resp, Invest, Cap</v>
          </cell>
          <cell r="C307" t="str">
            <v>LUX-KAP3-EUR</v>
          </cell>
          <cell r="D307">
            <v>20230301</v>
          </cell>
          <cell r="E307">
            <v>911.93</v>
          </cell>
        </row>
        <row r="308">
          <cell r="A308" t="str">
            <v>BE6266960812</v>
          </cell>
          <cell r="B308" t="str">
            <v>KBC B-Assured KBC B-Assured Dyn, Cap</v>
          </cell>
          <cell r="C308" t="str">
            <v>LUX-KAP3-EUR</v>
          </cell>
          <cell r="D308">
            <v>20230301</v>
          </cell>
          <cell r="E308">
            <v>1026.0999999999999</v>
          </cell>
        </row>
        <row r="309">
          <cell r="A309" t="str">
            <v>BE6267431672</v>
          </cell>
          <cell r="B309" t="str">
            <v>KBC Index Fund Euroland Inst, B Shares Cap</v>
          </cell>
          <cell r="C309" t="str">
            <v>EUR-KAP-INSTIT,B</v>
          </cell>
          <cell r="D309">
            <v>20230302</v>
          </cell>
          <cell r="E309">
            <v>833.56</v>
          </cell>
        </row>
        <row r="310">
          <cell r="A310" t="str">
            <v>BE6269458574</v>
          </cell>
          <cell r="B310" t="str">
            <v>KBC Equity Fund Family Enterprises Inst, B Shares Cap (empty)</v>
          </cell>
          <cell r="C310" t="str">
            <v>EUR-KAP-INSTIT,B</v>
          </cell>
          <cell r="D310">
            <v>20201106</v>
          </cell>
          <cell r="E310">
            <v>1404.67</v>
          </cell>
        </row>
        <row r="311">
          <cell r="A311" t="str">
            <v>BE6270085051</v>
          </cell>
          <cell r="B311" t="str">
            <v>Optimum Fund ČSOB Velmi odvážný Classic Shares CSOB Private Banking Cap</v>
          </cell>
          <cell r="C311" t="str">
            <v>CZK-KAP-CSOB PRIV,BANKING</v>
          </cell>
          <cell r="D311">
            <v>20230302</v>
          </cell>
          <cell r="E311">
            <v>1339.96</v>
          </cell>
        </row>
        <row r="312">
          <cell r="A312" t="str">
            <v>BE6270119397</v>
          </cell>
          <cell r="B312" t="str">
            <v>KBC Select Immo Europe Plus Classic Shares Dis</v>
          </cell>
          <cell r="C312" t="str">
            <v>EUR-DIV-RETAIL</v>
          </cell>
          <cell r="D312">
            <v>20230302</v>
          </cell>
          <cell r="E312">
            <v>879.56</v>
          </cell>
        </row>
        <row r="313">
          <cell r="A313" t="str">
            <v>BE6271852269</v>
          </cell>
          <cell r="B313" t="str">
            <v>KBC Multi Track Germany Classic Shares CSOB CZK Cap</v>
          </cell>
          <cell r="C313" t="str">
            <v>CZK-KAP-RET,PRIVBK CSOB</v>
          </cell>
          <cell r="D313">
            <v>20230302</v>
          </cell>
          <cell r="E313">
            <v>1070.29</v>
          </cell>
        </row>
        <row r="314">
          <cell r="A314" t="str">
            <v>BE6271861351</v>
          </cell>
          <cell r="B314" t="str">
            <v>IN,focus Private Banking Active Income Selection Dis</v>
          </cell>
          <cell r="C314" t="str">
            <v>EUR-DIV-RETAIL</v>
          </cell>
          <cell r="D314">
            <v>20230302</v>
          </cell>
          <cell r="E314">
            <v>883.32</v>
          </cell>
        </row>
        <row r="315">
          <cell r="A315" t="str">
            <v>BE6272658566</v>
          </cell>
          <cell r="B315" t="str">
            <v>KBC Multi Interest CSOB CZK Medium Inst, B Shares Cap</v>
          </cell>
          <cell r="C315" t="str">
            <v>CZK-KAP-INSTIT,B</v>
          </cell>
          <cell r="D315">
            <v>20230302</v>
          </cell>
          <cell r="E315">
            <v>1049.114</v>
          </cell>
        </row>
        <row r="316">
          <cell r="A316" t="str">
            <v>BE6274078219</v>
          </cell>
          <cell r="B316" t="str">
            <v>KBC Inst, Fund Euro Bonds Def, Inst, B Shares Cap</v>
          </cell>
          <cell r="C316" t="str">
            <v>EUR-KAP-INSTIT,B</v>
          </cell>
          <cell r="D316">
            <v>20230302</v>
          </cell>
          <cell r="E316">
            <v>485.78</v>
          </cell>
        </row>
        <row r="317">
          <cell r="A317" t="str">
            <v>BE6274083268</v>
          </cell>
          <cell r="B317" t="str">
            <v>KBC Inst, Fund Euro Bonds Inst, B Shares Cap</v>
          </cell>
          <cell r="C317" t="str">
            <v>EUR-KAP-INSTIT,B</v>
          </cell>
          <cell r="D317">
            <v>20230302</v>
          </cell>
          <cell r="E317">
            <v>952.24</v>
          </cell>
        </row>
        <row r="318">
          <cell r="A318" t="str">
            <v>BE6274086295</v>
          </cell>
          <cell r="B318" t="str">
            <v>KBC Inst, Fund Euro Corp,Bonds Inst, B Shares Cap</v>
          </cell>
          <cell r="C318" t="str">
            <v>EUR-KAP-INSTIT,B</v>
          </cell>
          <cell r="D318">
            <v>20230302</v>
          </cell>
          <cell r="E318">
            <v>965.51</v>
          </cell>
        </row>
        <row r="319">
          <cell r="A319" t="str">
            <v>BE6275295747</v>
          </cell>
          <cell r="B319" t="str">
            <v>KBC Master Fund Business Comfort Def, Dis</v>
          </cell>
          <cell r="C319" t="str">
            <v>EUR-DIV-RETAIL</v>
          </cell>
          <cell r="D319">
            <v>20230302</v>
          </cell>
          <cell r="E319">
            <v>846.08</v>
          </cell>
        </row>
        <row r="320">
          <cell r="A320" t="str">
            <v>BE6275298774</v>
          </cell>
          <cell r="B320" t="str">
            <v>KBC Master Fund Business Comfort Dyn, Dis</v>
          </cell>
          <cell r="C320" t="str">
            <v>EUR-DIV-RETAIL</v>
          </cell>
          <cell r="D320">
            <v>20230302</v>
          </cell>
          <cell r="E320">
            <v>953.16</v>
          </cell>
        </row>
        <row r="321">
          <cell r="A321" t="str">
            <v>BE6275358404</v>
          </cell>
          <cell r="B321" t="str">
            <v>KBC Participation Corp,Bonds Resp, Invest, Inst, Shares Cap</v>
          </cell>
          <cell r="C321" t="str">
            <v>EUR-KAP-INSTITUTIONEEL</v>
          </cell>
          <cell r="D321">
            <v>20230302</v>
          </cell>
          <cell r="E321">
            <v>946.12</v>
          </cell>
        </row>
        <row r="322">
          <cell r="A322" t="str">
            <v>BE6275363453</v>
          </cell>
          <cell r="B322" t="str">
            <v>Horizon USD Low Cap</v>
          </cell>
          <cell r="C322" t="str">
            <v>USD-KAP-RETAIL</v>
          </cell>
          <cell r="D322">
            <v>20230302</v>
          </cell>
          <cell r="E322">
            <v>114.16</v>
          </cell>
        </row>
        <row r="323">
          <cell r="A323" t="str">
            <v>BE6276291034</v>
          </cell>
          <cell r="B323" t="str">
            <v>Horizon Global Flexible Allocation Wealth January Cap</v>
          </cell>
          <cell r="C323" t="str">
            <v>EUR-KAP-RETAIL</v>
          </cell>
          <cell r="D323">
            <v>20230302</v>
          </cell>
          <cell r="E323">
            <v>961.62</v>
          </cell>
        </row>
        <row r="324">
          <cell r="A324" t="str">
            <v>BE6277014476</v>
          </cell>
          <cell r="B324" t="str">
            <v>Vladubel Zorgverzekering Shareclass C Dis</v>
          </cell>
          <cell r="C324" t="str">
            <v>EUR-DIV-RETAIL</v>
          </cell>
          <cell r="D324">
            <v>20230302</v>
          </cell>
          <cell r="E324">
            <v>2290.39</v>
          </cell>
        </row>
        <row r="325">
          <cell r="A325" t="str">
            <v>BE6277099352</v>
          </cell>
          <cell r="B325" t="str">
            <v>KBC Inst, Fund Global Def, Dis</v>
          </cell>
          <cell r="C325" t="str">
            <v>EUR-DIV-RETAIL</v>
          </cell>
          <cell r="D325">
            <v>20230302</v>
          </cell>
          <cell r="E325">
            <v>916.85</v>
          </cell>
        </row>
        <row r="326">
          <cell r="A326" t="str">
            <v>BE6277441869</v>
          </cell>
          <cell r="B326" t="str">
            <v>Optimum Fund ČSOB Flexibilní plán Cap</v>
          </cell>
          <cell r="C326" t="str">
            <v>CZK-KAP-RETAIL</v>
          </cell>
          <cell r="D326">
            <v>20230302</v>
          </cell>
          <cell r="E326">
            <v>966</v>
          </cell>
        </row>
        <row r="327">
          <cell r="A327" t="str">
            <v>BE6277443881</v>
          </cell>
          <cell r="B327" t="str">
            <v>Optimum Fund ČSOB Flexibilní portfolio Cap</v>
          </cell>
          <cell r="C327" t="str">
            <v>CZK-KAP-RETAIL</v>
          </cell>
          <cell r="D327">
            <v>20230302</v>
          </cell>
          <cell r="E327">
            <v>907.43</v>
          </cell>
        </row>
        <row r="328">
          <cell r="A328" t="str">
            <v>BE6277711659</v>
          </cell>
          <cell r="B328" t="str">
            <v>Horizon Comfort Pro February 90 Cap</v>
          </cell>
          <cell r="C328" t="str">
            <v>EUR-KAP-RETAIL</v>
          </cell>
          <cell r="D328">
            <v>20230302</v>
          </cell>
          <cell r="E328">
            <v>923.88</v>
          </cell>
        </row>
        <row r="329">
          <cell r="A329" t="str">
            <v>BE6278667512</v>
          </cell>
          <cell r="B329" t="str">
            <v>Horizon Flexible Portf, July Cap</v>
          </cell>
          <cell r="C329" t="str">
            <v>EUR-KAP-RETAIL</v>
          </cell>
          <cell r="D329">
            <v>20230302</v>
          </cell>
          <cell r="E329">
            <v>944.81</v>
          </cell>
        </row>
        <row r="330">
          <cell r="A330" t="str">
            <v>BE6278669534</v>
          </cell>
          <cell r="B330" t="str">
            <v>Horizon Flexible Portf, July Dis</v>
          </cell>
          <cell r="C330" t="str">
            <v>EUR-DIV-RETAIL</v>
          </cell>
          <cell r="D330">
            <v>20230302</v>
          </cell>
          <cell r="E330">
            <v>850.86</v>
          </cell>
        </row>
        <row r="331">
          <cell r="A331" t="str">
            <v>BE6279061574</v>
          </cell>
          <cell r="B331" t="str">
            <v>Horizon 2040 Cap</v>
          </cell>
          <cell r="C331" t="str">
            <v>EUR-KAP-RETAIL</v>
          </cell>
          <cell r="D331">
            <v>20230302</v>
          </cell>
          <cell r="E331">
            <v>106.05</v>
          </cell>
        </row>
        <row r="332">
          <cell r="A332" t="str">
            <v>BE6279062580</v>
          </cell>
          <cell r="B332" t="str">
            <v>Horizon 2035 Cap</v>
          </cell>
          <cell r="C332" t="str">
            <v>EUR-KAP-RETAIL</v>
          </cell>
          <cell r="D332">
            <v>20230302</v>
          </cell>
          <cell r="E332">
            <v>103.71</v>
          </cell>
        </row>
        <row r="333">
          <cell r="A333" t="str">
            <v>BE6279064602</v>
          </cell>
          <cell r="B333" t="str">
            <v>Horizon 2030 Cap</v>
          </cell>
          <cell r="C333" t="str">
            <v>EUR-KAP-RETAIL</v>
          </cell>
          <cell r="D333">
            <v>20230302</v>
          </cell>
          <cell r="E333">
            <v>101.77</v>
          </cell>
        </row>
        <row r="334">
          <cell r="A334" t="str">
            <v>BE6280424621</v>
          </cell>
          <cell r="B334" t="str">
            <v>KBC Multi Interest CSOB Kratkodoby Inst, B Shares Cap</v>
          </cell>
          <cell r="C334" t="str">
            <v>CZK-KAP-INSTIT,B</v>
          </cell>
          <cell r="D334">
            <v>20230302</v>
          </cell>
          <cell r="E334">
            <v>1061.18</v>
          </cell>
        </row>
        <row r="335">
          <cell r="A335" t="str">
            <v>BE6280425636</v>
          </cell>
          <cell r="B335" t="str">
            <v>Optimum Fund ČSOB Kratkodobych dluhopisu Inst, B Shares Cap</v>
          </cell>
          <cell r="C335" t="str">
            <v>CZK-KAP-INSTIT,B</v>
          </cell>
          <cell r="D335">
            <v>20230302</v>
          </cell>
          <cell r="E335">
            <v>1062.3499999999999</v>
          </cell>
        </row>
        <row r="336">
          <cell r="A336" t="str">
            <v>BE6280653971</v>
          </cell>
          <cell r="B336" t="str">
            <v>Horizon Global Flexible Allocation Wealth July Cap</v>
          </cell>
          <cell r="C336" t="str">
            <v>EUR-KAP-RETAIL</v>
          </cell>
          <cell r="D336">
            <v>20230302</v>
          </cell>
          <cell r="E336">
            <v>1042.6300000000001</v>
          </cell>
        </row>
        <row r="337">
          <cell r="A337" t="str">
            <v>BE6282172640</v>
          </cell>
          <cell r="B337" t="str">
            <v>Horizon Comfort Pro November 90 Cap</v>
          </cell>
          <cell r="C337" t="str">
            <v>EUR-KAP-RETAIL</v>
          </cell>
          <cell r="D337">
            <v>20230302</v>
          </cell>
          <cell r="E337">
            <v>1047.21</v>
          </cell>
        </row>
        <row r="338">
          <cell r="A338" t="str">
            <v>BE6282470713</v>
          </cell>
          <cell r="B338" t="str">
            <v>Optimum Fund ČSOB Opatrný Classic Shares CSOB Private Banking Dis</v>
          </cell>
          <cell r="C338" t="str">
            <v>CZK-DIV-CSOB PRIV,BANKING</v>
          </cell>
          <cell r="D338">
            <v>20230302</v>
          </cell>
          <cell r="E338">
            <v>986.75</v>
          </cell>
        </row>
        <row r="339">
          <cell r="A339" t="str">
            <v>BE6282515194</v>
          </cell>
          <cell r="B339" t="str">
            <v>Optimum Fund ČSOB Velmi opatrný  Classic Shares CSOB Private Banking Dis</v>
          </cell>
          <cell r="C339" t="str">
            <v>CZK-DIV-CSOB PRIV,BANKING</v>
          </cell>
          <cell r="D339">
            <v>20230215</v>
          </cell>
          <cell r="E339">
            <v>953.06</v>
          </cell>
        </row>
        <row r="340">
          <cell r="A340" t="str">
            <v>BE6282715257</v>
          </cell>
          <cell r="B340" t="str">
            <v>Horizon Global Flexible Allocation Cap</v>
          </cell>
          <cell r="C340" t="str">
            <v>EUR-KAP-RETAIL</v>
          </cell>
          <cell r="D340">
            <v>20230302</v>
          </cell>
          <cell r="E340">
            <v>1072.19</v>
          </cell>
        </row>
        <row r="341">
          <cell r="A341" t="str">
            <v>BE6282762721</v>
          </cell>
          <cell r="B341" t="str">
            <v>KBC-Life Flexible Portf, January Cap</v>
          </cell>
          <cell r="C341" t="str">
            <v>EUR-KAP-INSTITUTIONEEL</v>
          </cell>
          <cell r="D341">
            <v>20230301</v>
          </cell>
          <cell r="E341">
            <v>1089.01</v>
          </cell>
        </row>
        <row r="342">
          <cell r="A342" t="str">
            <v>BE6283257820</v>
          </cell>
          <cell r="B342" t="str">
            <v>KBC Equity Fund We Like Resp, Invest, Classic Shares CSOB CZK Cap</v>
          </cell>
          <cell r="C342" t="str">
            <v>CZK-KAP-CSOB PRIV,BANKING</v>
          </cell>
          <cell r="D342">
            <v>20230302</v>
          </cell>
          <cell r="E342">
            <v>1421.69</v>
          </cell>
        </row>
        <row r="343">
          <cell r="A343" t="str">
            <v>BE6284729025</v>
          </cell>
          <cell r="B343" t="str">
            <v>IN,focus Income Portf, Dis</v>
          </cell>
          <cell r="C343" t="str">
            <v>EUR-DIV-RETAIL</v>
          </cell>
          <cell r="D343">
            <v>20230302</v>
          </cell>
          <cell r="E343">
            <v>831.12</v>
          </cell>
        </row>
        <row r="344">
          <cell r="A344" t="str">
            <v>BE6285342331</v>
          </cell>
          <cell r="B344" t="str">
            <v>Horizon Comfort Pro May 90 Cap</v>
          </cell>
          <cell r="C344" t="str">
            <v>EUR-KAP-RETAIL</v>
          </cell>
          <cell r="D344">
            <v>20230302</v>
          </cell>
          <cell r="E344">
            <v>1079.98</v>
          </cell>
        </row>
        <row r="345">
          <cell r="A345" t="str">
            <v>BE6285869754</v>
          </cell>
          <cell r="B345" t="str">
            <v>Optimum Fund ČSOB Odvážný Classic Shares CSOB Premium Cap</v>
          </cell>
          <cell r="C345" t="str">
            <v>CZK-KAP-CSOB PREM,BANKING</v>
          </cell>
          <cell r="D345">
            <v>20230302</v>
          </cell>
          <cell r="E345">
            <v>1178.02</v>
          </cell>
        </row>
        <row r="346">
          <cell r="A346" t="str">
            <v>BE6285921308</v>
          </cell>
          <cell r="B346" t="str">
            <v>Optimum Fund ČSOB Velmi odvážný Classic Shares CSOB Premium Cap</v>
          </cell>
          <cell r="C346" t="str">
            <v>CZK-KAP-CSOB PREM,BANKING</v>
          </cell>
          <cell r="D346">
            <v>20230302</v>
          </cell>
          <cell r="E346">
            <v>1332.92</v>
          </cell>
        </row>
        <row r="347">
          <cell r="A347" t="str">
            <v>BE6285922314</v>
          </cell>
          <cell r="B347" t="str">
            <v>Optimum Fund ČSOB Velmi opatrný  Classic Shares CSOB Premium Cap</v>
          </cell>
          <cell r="C347" t="str">
            <v>CZK-KAP-CSOB PREM,BANKING</v>
          </cell>
          <cell r="D347">
            <v>20230302</v>
          </cell>
          <cell r="E347">
            <v>1018.63</v>
          </cell>
        </row>
        <row r="348">
          <cell r="A348" t="str">
            <v>BE6285923320</v>
          </cell>
          <cell r="B348" t="str">
            <v>Optimum Fund ČSOB Opatrný Classic Shares CSOB Premium Cap</v>
          </cell>
          <cell r="C348" t="str">
            <v>CZK-KAP-CSOB PREM,BANKING</v>
          </cell>
          <cell r="D348">
            <v>20230302</v>
          </cell>
          <cell r="E348">
            <v>1111.07</v>
          </cell>
        </row>
        <row r="349">
          <cell r="A349" t="str">
            <v>BE6286992340</v>
          </cell>
          <cell r="B349" t="str">
            <v>KBC Equity Fund Trends Classic Shares CSOB CZK Cap</v>
          </cell>
          <cell r="C349" t="str">
            <v>CZK-KAP-RET,CSOB</v>
          </cell>
          <cell r="D349">
            <v>20230302</v>
          </cell>
          <cell r="E349">
            <v>1612.76</v>
          </cell>
        </row>
        <row r="350">
          <cell r="A350" t="str">
            <v>BE6286993355</v>
          </cell>
          <cell r="B350" t="str">
            <v>KBC Multi Interest Cash 4 Month Duration Resp, Invest, Classic Shares Cap (empty)</v>
          </cell>
          <cell r="C350" t="str">
            <v>EUR-KAP-RETAIL</v>
          </cell>
          <cell r="D350">
            <v>20210303</v>
          </cell>
          <cell r="E350">
            <v>970.67</v>
          </cell>
        </row>
        <row r="351">
          <cell r="A351" t="str">
            <v>BE6286994361</v>
          </cell>
          <cell r="B351" t="str">
            <v>KBC Multi Interest Cash 4 Month Duration Resp, Invest, Inst, B Shares Cap</v>
          </cell>
          <cell r="C351" t="str">
            <v>EUR-KAP-INSTIT,B</v>
          </cell>
          <cell r="D351">
            <v>20230302</v>
          </cell>
          <cell r="E351">
            <v>953.14300000000003</v>
          </cell>
        </row>
        <row r="352">
          <cell r="A352" t="str">
            <v>BE6287172207</v>
          </cell>
          <cell r="B352" t="str">
            <v>KBC-Life Flexible Portf, July Cap</v>
          </cell>
          <cell r="C352" t="str">
            <v>EUR-KAP-INSTITUTIONEEL</v>
          </cell>
          <cell r="D352">
            <v>20230301</v>
          </cell>
          <cell r="E352">
            <v>997.98</v>
          </cell>
        </row>
        <row r="353">
          <cell r="A353" t="str">
            <v>BE6289843722</v>
          </cell>
          <cell r="B353" t="str">
            <v>KBC-Life S Cash Cap</v>
          </cell>
          <cell r="C353" t="str">
            <v>DIV</v>
          </cell>
          <cell r="D353">
            <v>20230301</v>
          </cell>
          <cell r="E353">
            <v>306.86</v>
          </cell>
        </row>
        <row r="354">
          <cell r="A354" t="str">
            <v>BE6289844738</v>
          </cell>
          <cell r="B354" t="str">
            <v>KBC-Life S Def, Cap</v>
          </cell>
          <cell r="C354" t="str">
            <v>DIV</v>
          </cell>
          <cell r="D354">
            <v>20230301</v>
          </cell>
          <cell r="E354">
            <v>353.96</v>
          </cell>
        </row>
        <row r="355">
          <cell r="A355" t="str">
            <v>BE6289845743</v>
          </cell>
          <cell r="B355" t="str">
            <v>KBC-Life S Neutral Cap</v>
          </cell>
          <cell r="C355" t="str">
            <v>DIV</v>
          </cell>
          <cell r="D355">
            <v>20230301</v>
          </cell>
          <cell r="E355">
            <v>409.34</v>
          </cell>
        </row>
        <row r="356">
          <cell r="A356" t="str">
            <v>BE6289847764</v>
          </cell>
          <cell r="B356" t="str">
            <v>KBC-Life S Dyn, Cap</v>
          </cell>
          <cell r="C356" t="str">
            <v>DIV</v>
          </cell>
          <cell r="D356">
            <v>20230301</v>
          </cell>
          <cell r="E356">
            <v>440.66</v>
          </cell>
        </row>
        <row r="357">
          <cell r="A357" t="str">
            <v>BE6289852814</v>
          </cell>
          <cell r="B357" t="str">
            <v>KBC-Life S Comfort4Life Dyn, Cap</v>
          </cell>
          <cell r="C357" t="str">
            <v>KAP</v>
          </cell>
          <cell r="D357">
            <v>20230301</v>
          </cell>
          <cell r="E357">
            <v>1167.4000000000001</v>
          </cell>
        </row>
        <row r="358">
          <cell r="A358" t="str">
            <v>BE6289854836</v>
          </cell>
          <cell r="B358" t="str">
            <v>KBC-Life S Flexible Portf, January Cap</v>
          </cell>
          <cell r="C358" t="str">
            <v>KAP</v>
          </cell>
          <cell r="D358">
            <v>20230301</v>
          </cell>
          <cell r="E358">
            <v>1089.01</v>
          </cell>
        </row>
        <row r="359">
          <cell r="A359" t="str">
            <v>BE6289855841</v>
          </cell>
          <cell r="B359" t="str">
            <v>KBC-Life S Flexible Portf, July Cap</v>
          </cell>
          <cell r="C359" t="str">
            <v>KAP</v>
          </cell>
          <cell r="D359">
            <v>20230301</v>
          </cell>
          <cell r="E359">
            <v>997.98</v>
          </cell>
        </row>
        <row r="360">
          <cell r="A360" t="str">
            <v>BE6289994293</v>
          </cell>
          <cell r="B360" t="str">
            <v>Perspective Universal Selection 90 Timing Optimizer USD 7 Cap (Matured)</v>
          </cell>
          <cell r="C360" t="str">
            <v>USD-KAP-RETAIL</v>
          </cell>
          <cell r="D360">
            <v>20221230</v>
          </cell>
          <cell r="E360">
            <v>1246.5</v>
          </cell>
        </row>
        <row r="361">
          <cell r="A361" t="str">
            <v>BE6289997320</v>
          </cell>
          <cell r="B361" t="str">
            <v>Perspective Universal Selection 100 USD 4 Cap (Matured)</v>
          </cell>
          <cell r="C361" t="str">
            <v>USD-KAP-RETAIL</v>
          </cell>
          <cell r="D361">
            <v>20221230</v>
          </cell>
          <cell r="E361">
            <v>1146.5</v>
          </cell>
        </row>
        <row r="362">
          <cell r="A362" t="str">
            <v>BE6290199403</v>
          </cell>
          <cell r="B362" t="str">
            <v>Optimum Fund ČSOB Sampioni sportu s dobrym startem 1 Cap (Matured)</v>
          </cell>
          <cell r="C362" t="str">
            <v>CZK-KAP-RETAIL</v>
          </cell>
          <cell r="D362">
            <v>20230131</v>
          </cell>
          <cell r="E362">
            <v>10.199999999999999</v>
          </cell>
        </row>
        <row r="363">
          <cell r="A363" t="str">
            <v>BE6290488384</v>
          </cell>
          <cell r="B363" t="str">
            <v>Horizon KBC ExpertEase Business Def, Balanced Dis</v>
          </cell>
          <cell r="C363" t="str">
            <v>EUR-DIV-RETAIL</v>
          </cell>
          <cell r="D363">
            <v>20230302</v>
          </cell>
          <cell r="E363">
            <v>875.03</v>
          </cell>
        </row>
        <row r="364">
          <cell r="A364" t="str">
            <v>BE6290489390</v>
          </cell>
          <cell r="B364" t="str">
            <v>Horizon KBC ExpertEase Business Dyn, Balanced Dis</v>
          </cell>
          <cell r="C364" t="str">
            <v>EUR-DIV-RETAIL</v>
          </cell>
          <cell r="D364">
            <v>20230302</v>
          </cell>
          <cell r="E364">
            <v>927.85</v>
          </cell>
        </row>
        <row r="365">
          <cell r="A365" t="str">
            <v>BE6290490406</v>
          </cell>
          <cell r="B365" t="str">
            <v>Horizon KBC ExpertEase Def, Balanced Resp, Invest, Classic Shares Cap</v>
          </cell>
          <cell r="C365" t="str">
            <v>EUR-KAP-RETAIL</v>
          </cell>
          <cell r="D365">
            <v>20230302</v>
          </cell>
          <cell r="E365">
            <v>909.31</v>
          </cell>
        </row>
        <row r="366">
          <cell r="A366" t="str">
            <v>BE6290491412</v>
          </cell>
          <cell r="B366" t="str">
            <v>Horizon KBC ExpertEase Def, Balanced Resp, Invest, Classic Shares Dis</v>
          </cell>
          <cell r="C366" t="str">
            <v>EUR-DIV-RETAIL</v>
          </cell>
          <cell r="D366">
            <v>20230302</v>
          </cell>
          <cell r="E366">
            <v>862.35</v>
          </cell>
        </row>
        <row r="367">
          <cell r="A367" t="str">
            <v>BE6290493434</v>
          </cell>
          <cell r="B367" t="str">
            <v>Horizon KBC ExpertEase Dyn, Resp, Invest, Classic Shares Cap</v>
          </cell>
          <cell r="C367" t="str">
            <v>EUR-KAP-RETAIL</v>
          </cell>
          <cell r="D367">
            <v>20230302</v>
          </cell>
          <cell r="E367">
            <v>1052.43</v>
          </cell>
        </row>
        <row r="368">
          <cell r="A368" t="str">
            <v>BE6290494440</v>
          </cell>
          <cell r="B368" t="str">
            <v>Horizon KBC ExpertEase Dyn, Resp, Invest, Classic Shares Dis</v>
          </cell>
          <cell r="C368" t="str">
            <v>EUR-DIV-RETAIL</v>
          </cell>
          <cell r="D368">
            <v>20230302</v>
          </cell>
          <cell r="E368">
            <v>980.87</v>
          </cell>
        </row>
        <row r="369">
          <cell r="A369" t="str">
            <v>BE6290496460</v>
          </cell>
          <cell r="B369" t="str">
            <v>Horizon KBC ExpertEase Dyn, Balanced Resp, Invest, Classic Shares Cap</v>
          </cell>
          <cell r="C369" t="str">
            <v>EUR-KAP-RETAIL</v>
          </cell>
          <cell r="D369">
            <v>20230302</v>
          </cell>
          <cell r="E369">
            <v>975.61</v>
          </cell>
        </row>
        <row r="370">
          <cell r="A370" t="str">
            <v>BE6290497476</v>
          </cell>
          <cell r="B370" t="str">
            <v>Horizon KBC ExpertEase Dyn, Balanced Resp, Invest, Classic Shares Dis</v>
          </cell>
          <cell r="C370" t="str">
            <v>EUR-DIV-RETAIL</v>
          </cell>
          <cell r="D370">
            <v>20230302</v>
          </cell>
          <cell r="E370">
            <v>914.1</v>
          </cell>
        </row>
        <row r="371">
          <cell r="A371" t="str">
            <v>BE6290498482</v>
          </cell>
          <cell r="B371" t="str">
            <v>Horizon KBC ExpertEase Def, Balanced Classic Shares Cap</v>
          </cell>
          <cell r="C371" t="str">
            <v>EUR-KAP-RETAIL</v>
          </cell>
          <cell r="D371">
            <v>20230302</v>
          </cell>
          <cell r="E371">
            <v>921.66</v>
          </cell>
        </row>
        <row r="372">
          <cell r="A372" t="str">
            <v>BE6290499498</v>
          </cell>
          <cell r="B372" t="str">
            <v>Horizon KBC ExpertEase Def, Balanced Classic Shares Dis</v>
          </cell>
          <cell r="C372" t="str">
            <v>EUR-DIV-RETAIL</v>
          </cell>
          <cell r="D372">
            <v>20230302</v>
          </cell>
          <cell r="E372">
            <v>876.28</v>
          </cell>
        </row>
        <row r="373">
          <cell r="A373" t="str">
            <v>BE6290507571</v>
          </cell>
          <cell r="B373" t="str">
            <v>Horizon KBC ExpertEase Dyn, Cap</v>
          </cell>
          <cell r="C373" t="str">
            <v>EUR-KAP-RETAIL</v>
          </cell>
          <cell r="D373">
            <v>20230302</v>
          </cell>
          <cell r="E373">
            <v>1059.07</v>
          </cell>
        </row>
        <row r="374">
          <cell r="A374" t="str">
            <v>BE6290508587</v>
          </cell>
          <cell r="B374" t="str">
            <v>Horizon KBC ExpertEase Dyn, Dis</v>
          </cell>
          <cell r="C374" t="str">
            <v>EUR-DIV-RETAIL</v>
          </cell>
          <cell r="D374">
            <v>20230302</v>
          </cell>
          <cell r="E374">
            <v>994.74</v>
          </cell>
        </row>
        <row r="375">
          <cell r="A375" t="str">
            <v>BE6290509593</v>
          </cell>
          <cell r="B375" t="str">
            <v>Horizon KBC ExpertEase Dyn, Balanced Classic Shares Cap</v>
          </cell>
          <cell r="C375" t="str">
            <v>EUR-KAP-RETAIL</v>
          </cell>
          <cell r="D375">
            <v>20230302</v>
          </cell>
          <cell r="E375">
            <v>990.07</v>
          </cell>
        </row>
        <row r="376">
          <cell r="A376" t="str">
            <v>BE6290510609</v>
          </cell>
          <cell r="B376" t="str">
            <v>Horizon KBC ExpertEase Dyn, Balanced Classic Shares Dis</v>
          </cell>
          <cell r="C376" t="str">
            <v>EUR-DIV-RETAIL</v>
          </cell>
          <cell r="D376">
            <v>20230302</v>
          </cell>
          <cell r="E376">
            <v>928.79</v>
          </cell>
        </row>
        <row r="377">
          <cell r="A377" t="str">
            <v>BE6290722782</v>
          </cell>
          <cell r="B377" t="str">
            <v>KBC Inst, Investors Balanced 1 Cap</v>
          </cell>
          <cell r="C377" t="str">
            <v>EUR-KAP-INSTITUTIONEEL</v>
          </cell>
          <cell r="D377">
            <v>20230302</v>
          </cell>
          <cell r="E377">
            <v>1085.29</v>
          </cell>
        </row>
        <row r="378">
          <cell r="A378" t="str">
            <v>BE6290742012</v>
          </cell>
          <cell r="B378" t="str">
            <v>Perspective Universal Selection 90 Timing Optimizer USD 8 Cap (Matured)</v>
          </cell>
          <cell r="C378" t="str">
            <v>USD-KAP-RETAIL</v>
          </cell>
          <cell r="D378">
            <v>20230131</v>
          </cell>
          <cell r="E378">
            <v>1224.8</v>
          </cell>
        </row>
        <row r="379">
          <cell r="A379" t="str">
            <v>BE6290749082</v>
          </cell>
          <cell r="B379" t="str">
            <v>Perspective Universal Selection 100 USD 5 Cap (Matured)</v>
          </cell>
          <cell r="C379" t="str">
            <v>USD-KAP-RETAIL</v>
          </cell>
          <cell r="D379">
            <v>20230131</v>
          </cell>
          <cell r="E379">
            <v>1124.8</v>
          </cell>
        </row>
        <row r="380">
          <cell r="A380" t="str">
            <v>BE6290876380</v>
          </cell>
          <cell r="B380" t="str">
            <v>KBC-Life ExpertEase Def, Balanced Resp, Invest, Cap</v>
          </cell>
          <cell r="C380" t="str">
            <v>EUR-KAP-INSTITUTIONEEL</v>
          </cell>
          <cell r="D380">
            <v>20230301</v>
          </cell>
          <cell r="E380">
            <v>908.13</v>
          </cell>
        </row>
        <row r="381">
          <cell r="A381" t="str">
            <v>BE6290890522</v>
          </cell>
          <cell r="B381" t="str">
            <v>KBC-Life ExpertEase Dyn, Balanced Resp, Invest, Cap</v>
          </cell>
          <cell r="C381" t="str">
            <v>EUR-KAP-INSTITUTIONEEL</v>
          </cell>
          <cell r="D381">
            <v>20230301</v>
          </cell>
          <cell r="E381">
            <v>967.52</v>
          </cell>
        </row>
        <row r="382">
          <cell r="A382" t="str">
            <v>BE6290891538</v>
          </cell>
          <cell r="B382" t="str">
            <v>KBC-Life ExpertEase Neutral Resp, Invest, Cap</v>
          </cell>
          <cell r="C382" t="str">
            <v>EUR-KAP-INSTITUTIONEEL</v>
          </cell>
          <cell r="D382">
            <v>20230301</v>
          </cell>
          <cell r="E382">
            <v>1040.98</v>
          </cell>
        </row>
        <row r="383">
          <cell r="A383" t="str">
            <v>BE6290954195</v>
          </cell>
          <cell r="B383" t="str">
            <v>KBC-Life ExpertEase Def, Balanced Cap</v>
          </cell>
          <cell r="C383" t="str">
            <v>EUR-KAP-INSTITUTIONEEL</v>
          </cell>
          <cell r="D383">
            <v>20230301</v>
          </cell>
          <cell r="E383">
            <v>922.16</v>
          </cell>
        </row>
        <row r="384">
          <cell r="A384" t="str">
            <v>BE6290956216</v>
          </cell>
          <cell r="B384" t="str">
            <v>KBC-Life ExpertEase Dyn, Balanced Cap</v>
          </cell>
          <cell r="C384" t="str">
            <v>EUR-KAP-INSTITUTIONEEL</v>
          </cell>
          <cell r="D384">
            <v>20230301</v>
          </cell>
          <cell r="E384">
            <v>988.13</v>
          </cell>
        </row>
        <row r="385">
          <cell r="A385" t="str">
            <v>BE6290969342</v>
          </cell>
          <cell r="B385" t="str">
            <v>KBC-Life ExpertEase Neutral Cap</v>
          </cell>
          <cell r="C385" t="str">
            <v>LUX-KAP3-EUR</v>
          </cell>
          <cell r="D385">
            <v>20230301</v>
          </cell>
          <cell r="E385">
            <v>1059.0899999999999</v>
          </cell>
        </row>
        <row r="386">
          <cell r="A386" t="str">
            <v>BE6291514949</v>
          </cell>
          <cell r="B386" t="str">
            <v>KBC Participation Short Term Bond Selection Corp,Shares Dis</v>
          </cell>
          <cell r="C386" t="str">
            <v>EUR-DIV-CORP,SHARES</v>
          </cell>
          <cell r="D386">
            <v>20230302</v>
          </cell>
          <cell r="E386">
            <v>859.3</v>
          </cell>
        </row>
        <row r="387">
          <cell r="A387" t="str">
            <v>BE6291515953</v>
          </cell>
          <cell r="B387" t="str">
            <v>KBC Participation Short Term Bond Selection Inst, Shares Dis</v>
          </cell>
          <cell r="C387" t="str">
            <v>EUR-DIV-INSTITUTIONEEL</v>
          </cell>
          <cell r="D387">
            <v>20230302</v>
          </cell>
          <cell r="E387">
            <v>866.09</v>
          </cell>
        </row>
        <row r="388">
          <cell r="A388" t="str">
            <v>BE6291635215</v>
          </cell>
          <cell r="B388" t="str">
            <v>Perspective Global Select 90 Timing Optimizer USD 1 Cap</v>
          </cell>
          <cell r="C388" t="str">
            <v>USD-KAP-RETAIL</v>
          </cell>
          <cell r="D388">
            <v>20230228</v>
          </cell>
          <cell r="E388">
            <v>1226.5</v>
          </cell>
        </row>
        <row r="389">
          <cell r="A389" t="str">
            <v>BE6292064621</v>
          </cell>
          <cell r="B389" t="str">
            <v>Perspective Exclusive Stock Selection Double Timing 1 Cap</v>
          </cell>
          <cell r="C389" t="str">
            <v>EUR-KAP-RETAIL</v>
          </cell>
          <cell r="D389">
            <v>20230228</v>
          </cell>
          <cell r="E389">
            <v>1155.2</v>
          </cell>
        </row>
        <row r="390">
          <cell r="A390" t="str">
            <v>BE6292429394</v>
          </cell>
          <cell r="B390" t="str">
            <v>KBC-Life MI+ Universal Selection 90-5 Cap (Matured)</v>
          </cell>
          <cell r="C390" t="str">
            <v>EUR-NOTE-RETAIL</v>
          </cell>
          <cell r="D390">
            <v>20221230</v>
          </cell>
          <cell r="E390">
            <v>1089.3</v>
          </cell>
        </row>
        <row r="391">
          <cell r="A391" t="str">
            <v>BE6292463732</v>
          </cell>
          <cell r="B391" t="str">
            <v>Perspective Global Select 100 USD 2 Cap</v>
          </cell>
          <cell r="C391" t="str">
            <v>USD-KAP-RETAIL</v>
          </cell>
          <cell r="D391">
            <v>20230228</v>
          </cell>
          <cell r="E391">
            <v>1091</v>
          </cell>
        </row>
        <row r="392">
          <cell r="A392"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"D392">
            <v>20230302</v>
          </cell>
          <cell r="E392">
            <v>1173.3699999999999</v>
          </cell>
        </row>
        <row r="393">
          <cell r="A393" t="str">
            <v>BE6292611272</v>
          </cell>
          <cell r="B393" t="str">
            <v>Horizon Comfort Dyn, High Classic Shares Dis</v>
          </cell>
          <cell r="C393" t="str">
            <v>EUR-DIV-RETAIL</v>
          </cell>
          <cell r="D393">
            <v>20230302</v>
          </cell>
          <cell r="E393">
            <v>1100.6199999999999</v>
          </cell>
        </row>
        <row r="394">
          <cell r="A394" t="str">
            <v>BE6292868906</v>
          </cell>
          <cell r="B394" t="str">
            <v>Horizon Comfort Dyn, Resp, Invest, Cap</v>
          </cell>
          <cell r="C394" t="str">
            <v>EUR-KAP-RETAIL</v>
          </cell>
          <cell r="D394">
            <v>20230302</v>
          </cell>
          <cell r="E394">
            <v>1029.3399999999999</v>
          </cell>
        </row>
        <row r="395">
          <cell r="A395" t="str">
            <v>BE6292869912</v>
          </cell>
          <cell r="B395" t="str">
            <v>Horizon Comfort Dyn, Resp, Invest, Dis</v>
          </cell>
          <cell r="C395" t="str">
            <v>EUR-DIV-RETAIL</v>
          </cell>
          <cell r="D395">
            <v>20230302</v>
          </cell>
          <cell r="E395">
            <v>982.44</v>
          </cell>
        </row>
        <row r="396">
          <cell r="A396" t="str">
            <v>BE6292936612</v>
          </cell>
          <cell r="B396" t="str">
            <v>Horizon Comfort Def, Resp, Invest, Cap</v>
          </cell>
          <cell r="C396" t="str">
            <v>EUR-KAP-RETAIL</v>
          </cell>
          <cell r="D396">
            <v>20230302</v>
          </cell>
          <cell r="E396">
            <v>909.45</v>
          </cell>
        </row>
        <row r="397">
          <cell r="A397" t="str">
            <v>BE6292937628</v>
          </cell>
          <cell r="B397" t="str">
            <v>Horizon Comfort Def, Resp, Invest, Dis</v>
          </cell>
          <cell r="C397" t="str">
            <v>EUR-DIV-RETAIL</v>
          </cell>
          <cell r="D397">
            <v>20230302</v>
          </cell>
          <cell r="E397">
            <v>877.53</v>
          </cell>
        </row>
        <row r="398">
          <cell r="A398" t="str">
            <v>BE6293118491</v>
          </cell>
          <cell r="B398" t="str">
            <v>KBC-Life MI+ Universal Selection 90-6 Cap (Matured)</v>
          </cell>
          <cell r="C398" t="str">
            <v>EUR-NOTE-RETAIL</v>
          </cell>
          <cell r="D398">
            <v>20230131</v>
          </cell>
          <cell r="E398">
            <v>1079.2</v>
          </cell>
        </row>
        <row r="399">
          <cell r="A399" t="str">
            <v>BE6293169031</v>
          </cell>
          <cell r="B399" t="str">
            <v>Optimum Fund ČSOB Banky a pojist'ovny 1 Cap</v>
          </cell>
          <cell r="C399" t="str">
            <v>CZK-KAP-RETAIL</v>
          </cell>
          <cell r="D399">
            <v>20230228</v>
          </cell>
          <cell r="E399">
            <v>11.27</v>
          </cell>
        </row>
        <row r="400">
          <cell r="A400" t="str">
            <v>BE6293208425</v>
          </cell>
          <cell r="B400" t="str">
            <v>KBC-Life Comfort Def, Cap</v>
          </cell>
          <cell r="C400" t="str">
            <v>EUR-KAP-INSTITUTIONEEL</v>
          </cell>
          <cell r="D400">
            <v>20230301</v>
          </cell>
          <cell r="E400">
            <v>926.9</v>
          </cell>
        </row>
        <row r="401">
          <cell r="A401" t="str">
            <v>BE6293212468</v>
          </cell>
          <cell r="B401" t="str">
            <v>KBC-Life Comfort Dyn, Cap</v>
          </cell>
          <cell r="C401" t="str">
            <v>EUR-KAP-INSTITUTIONEEL</v>
          </cell>
          <cell r="D401">
            <v>20230301</v>
          </cell>
          <cell r="E401">
            <v>1039.07</v>
          </cell>
        </row>
        <row r="402">
          <cell r="A402" t="str">
            <v>BE6293217517</v>
          </cell>
          <cell r="B402" t="str">
            <v>KBC-Life Comfort Def, Resp, Invest, Cap</v>
          </cell>
          <cell r="C402" t="str">
            <v>EUR-KAP-INSTITUTIONEEL</v>
          </cell>
          <cell r="D402">
            <v>20230301</v>
          </cell>
          <cell r="E402">
            <v>909.01</v>
          </cell>
        </row>
        <row r="403">
          <cell r="A403" t="str">
            <v>BE6293218523</v>
          </cell>
          <cell r="B403" t="str">
            <v>KBC-Life Comfort Dyn, Resp, Invest, Cap</v>
          </cell>
          <cell r="C403" t="str">
            <v>EUR-KAP-INSTITUTIONEEL</v>
          </cell>
          <cell r="D403">
            <v>20230301</v>
          </cell>
          <cell r="E403">
            <v>1028.05</v>
          </cell>
        </row>
        <row r="404">
          <cell r="A404" t="str">
            <v>BE6293724736</v>
          </cell>
          <cell r="B404" t="str">
            <v>KBC-Life S Privil, Portf, Protected 90 May Cap</v>
          </cell>
          <cell r="C404" t="str">
            <v>EUR-KAP-RETAIL</v>
          </cell>
          <cell r="D404">
            <v>20230302</v>
          </cell>
          <cell r="E404">
            <v>395.13</v>
          </cell>
        </row>
        <row r="405">
          <cell r="A405" t="str">
            <v>BE6293734834</v>
          </cell>
          <cell r="B405" t="str">
            <v>KBC-Life S Privil, Portf, Protected 90 November Cap</v>
          </cell>
          <cell r="C405" t="str">
            <v>EUR-KAP-RETAIL</v>
          </cell>
          <cell r="D405">
            <v>20230302</v>
          </cell>
          <cell r="E405">
            <v>378.97</v>
          </cell>
        </row>
        <row r="406">
          <cell r="A406" t="str">
            <v>BE6293741904</v>
          </cell>
          <cell r="B406" t="str">
            <v>KBC-Life S Privil, Portf, Protected 90 February Cap</v>
          </cell>
          <cell r="C406" t="str">
            <v>EUR-KAP-RETAIL</v>
          </cell>
          <cell r="D406">
            <v>20230302</v>
          </cell>
          <cell r="E406">
            <v>365.54</v>
          </cell>
        </row>
        <row r="407">
          <cell r="A407" t="str">
            <v>BE6293744932</v>
          </cell>
          <cell r="B407" t="str">
            <v>KBC-Life S Privil, Portf, Protected 90 August Cap</v>
          </cell>
          <cell r="C407" t="str">
            <v>EUR-KAP-RETAIL</v>
          </cell>
          <cell r="D407">
            <v>20230302</v>
          </cell>
          <cell r="E407">
            <v>316.56</v>
          </cell>
        </row>
        <row r="408">
          <cell r="A408" t="str">
            <v>BE6294031891</v>
          </cell>
          <cell r="B408" t="str">
            <v>KBC Equity Fund Emerging Markets Classic Shares CSOB CZK Cap</v>
          </cell>
          <cell r="C408" t="str">
            <v>CZK-KAP-RET,CSOB</v>
          </cell>
          <cell r="D408">
            <v>20230302</v>
          </cell>
          <cell r="E408">
            <v>799.85</v>
          </cell>
        </row>
        <row r="409">
          <cell r="A409" t="str">
            <v>BE6294066277</v>
          </cell>
          <cell r="B409" t="str">
            <v>KBC-Life MI+ Universal Selection 90-7 Cap</v>
          </cell>
          <cell r="C409" t="str">
            <v>EUR-NOTE-RETAIL</v>
          </cell>
          <cell r="D409">
            <v>20230228</v>
          </cell>
          <cell r="E409">
            <v>1052.7</v>
          </cell>
        </row>
        <row r="410">
          <cell r="A410" t="str">
            <v>BE6294673528</v>
          </cell>
          <cell r="B410" t="str">
            <v>KBC-Life MI+ Universal Selection 90-8 Cap</v>
          </cell>
          <cell r="C410" t="str">
            <v>EUR-NOTE-RETAIL</v>
          </cell>
          <cell r="D410">
            <v>20230228</v>
          </cell>
          <cell r="E410">
            <v>1064.04</v>
          </cell>
        </row>
        <row r="411">
          <cell r="A411" t="str">
            <v>BE6294720022</v>
          </cell>
          <cell r="B411" t="str">
            <v>Perspective Universal Selection 100 Head Start USD 1 Cap</v>
          </cell>
          <cell r="C411" t="str">
            <v>USD-KAP-RETAIL</v>
          </cell>
          <cell r="D411">
            <v>20230228</v>
          </cell>
          <cell r="E411">
            <v>1120.27</v>
          </cell>
        </row>
        <row r="412">
          <cell r="A412" t="str">
            <v>BE6294785678</v>
          </cell>
          <cell r="B412" t="str">
            <v>KBC Multi Track Germany Inst, B Shares Cap (empty)</v>
          </cell>
          <cell r="C412" t="str">
            <v>EUR-KAP-INSTIT,B</v>
          </cell>
          <cell r="D412">
            <v>20220602</v>
          </cell>
          <cell r="E412">
            <v>348.7</v>
          </cell>
        </row>
        <row r="413">
          <cell r="A413" t="str">
            <v>BE6294793755</v>
          </cell>
          <cell r="B413" t="str">
            <v>Plato Inst, Index Fund Emerging Markets Equities Inst, B Shares Cap</v>
          </cell>
          <cell r="C413" t="str">
            <v>EUR-KAP-INSTIT,B</v>
          </cell>
          <cell r="D413">
            <v>20230302</v>
          </cell>
          <cell r="E413">
            <v>1017.65</v>
          </cell>
        </row>
        <row r="414">
          <cell r="A414" t="str">
            <v>BE6294795776</v>
          </cell>
          <cell r="B414" t="str">
            <v>Plato Inst, Index Fund Euro Equity Inst, B Shares Cap</v>
          </cell>
          <cell r="C414" t="str">
            <v>EUR-KAP-INSTIT,B</v>
          </cell>
          <cell r="D414">
            <v>20230302</v>
          </cell>
          <cell r="E414">
            <v>6746.15</v>
          </cell>
        </row>
        <row r="415">
          <cell r="A415" t="str">
            <v>BE6294796782</v>
          </cell>
          <cell r="B415" t="str">
            <v>Plato Inst, Index Fund European Equity Inst, B Shares Cap (empty)</v>
          </cell>
          <cell r="C415" t="str">
            <v>EUR-KAP-INSTIT,B</v>
          </cell>
          <cell r="D415">
            <v>20220622</v>
          </cell>
          <cell r="E415">
            <v>6903.46</v>
          </cell>
        </row>
        <row r="416">
          <cell r="A416" t="str">
            <v>BE6294799810</v>
          </cell>
          <cell r="B416" t="str">
            <v>Plato Inst, Index Fund North American Equity Inst, B Shares EUR Cap</v>
          </cell>
          <cell r="C416" t="str">
            <v>EUR-KAP-INST,B EUR</v>
          </cell>
          <cell r="D416">
            <v>20230302</v>
          </cell>
          <cell r="E416">
            <v>13664.11</v>
          </cell>
        </row>
        <row r="417">
          <cell r="A417" t="str">
            <v>BE6294803851</v>
          </cell>
          <cell r="B417" t="str">
            <v>Plato Inst, Index Fund Pacific Equity Inst, B Shares EUR Cap</v>
          </cell>
          <cell r="C417" t="str">
            <v>EUR-KAP-INST,B EUR</v>
          </cell>
          <cell r="D417">
            <v>20230302</v>
          </cell>
          <cell r="E417">
            <v>8402.58</v>
          </cell>
        </row>
        <row r="418">
          <cell r="A418" t="str">
            <v>BE6294805872</v>
          </cell>
          <cell r="B418" t="str">
            <v>Horizon Comfort Def, Classic Shares CSOB Private Banking Dis</v>
          </cell>
          <cell r="C418" t="str">
            <v>EUR-DIV-CSOB,PB</v>
          </cell>
          <cell r="D418">
            <v>20230302</v>
          </cell>
          <cell r="E418">
            <v>873.85</v>
          </cell>
        </row>
        <row r="419">
          <cell r="A419" t="str">
            <v>BE6294806888</v>
          </cell>
          <cell r="B419" t="str">
            <v>Horizon Comfort Def, Classic Shares CSOB Private Banking Cap</v>
          </cell>
          <cell r="C419" t="str">
            <v>EUR-KAP-CSOB PB</v>
          </cell>
          <cell r="D419">
            <v>20230302</v>
          </cell>
          <cell r="E419">
            <v>938.25</v>
          </cell>
        </row>
        <row r="420">
          <cell r="A420" t="str">
            <v>BE6294808900</v>
          </cell>
          <cell r="B420" t="str">
            <v>Horizon Comfort Dyn, Classic Shares CSOB Private Banking Dis</v>
          </cell>
          <cell r="C420" t="str">
            <v>EUR-DIV-CSOB,PB</v>
          </cell>
          <cell r="D420">
            <v>20230302</v>
          </cell>
          <cell r="E420">
            <v>989.99</v>
          </cell>
        </row>
        <row r="421">
          <cell r="A421" t="str">
            <v>BE6294809916</v>
          </cell>
          <cell r="B421" t="str">
            <v>Horizon Comfort Dyn, Classic Shares CSOB Private Banking Cap</v>
          </cell>
          <cell r="C421" t="str">
            <v>EUR-KAP-CSOB PB</v>
          </cell>
          <cell r="D421">
            <v>20230302</v>
          </cell>
          <cell r="E421">
            <v>1059.04</v>
          </cell>
        </row>
        <row r="422">
          <cell r="A422" t="str">
            <v>BE6294964521</v>
          </cell>
          <cell r="B422" t="str">
            <v>KBC Multi Interest Cash USD Inst, B Shares Cap</v>
          </cell>
          <cell r="C422" t="str">
            <v>USD-KAP-INSTIT,B</v>
          </cell>
          <cell r="D422">
            <v>20230302</v>
          </cell>
          <cell r="E422">
            <v>5843.4309999999996</v>
          </cell>
        </row>
        <row r="423">
          <cell r="A423" t="str">
            <v>BE6294967557</v>
          </cell>
          <cell r="B423" t="str">
            <v>KBC Equity Fund Emerging Markets Resp, Invest, Inst, B Shares Cap</v>
          </cell>
          <cell r="C423" t="str">
            <v>EUR-KAP-INSTIT,B</v>
          </cell>
          <cell r="D423">
            <v>20230302</v>
          </cell>
          <cell r="E423">
            <v>1417.61</v>
          </cell>
        </row>
        <row r="424">
          <cell r="A424" t="str">
            <v>BE6294992803</v>
          </cell>
          <cell r="B424" t="str">
            <v>KBC Participation Private Banking Active Bond Selection Inst, B Shares Cap</v>
          </cell>
          <cell r="C424" t="str">
            <v>EUR-KAP-INSTIT,B</v>
          </cell>
          <cell r="D424">
            <v>20230302</v>
          </cell>
          <cell r="E424">
            <v>1181.6500000000001</v>
          </cell>
        </row>
        <row r="425">
          <cell r="A425" t="str">
            <v>BE6294993819</v>
          </cell>
          <cell r="B425" t="str">
            <v>KBC Select Immo World Plus Inst, B Shares Cap</v>
          </cell>
          <cell r="C425" t="str">
            <v>EUR-KAP-INSTIT,B</v>
          </cell>
          <cell r="D425">
            <v>20230302</v>
          </cell>
          <cell r="E425">
            <v>1833.3</v>
          </cell>
        </row>
        <row r="426">
          <cell r="A426" t="str">
            <v>BE6294997851</v>
          </cell>
          <cell r="B426" t="str">
            <v>KBC Select Immo Europe Plus Inst, B Shares Cap</v>
          </cell>
          <cell r="C426" t="str">
            <v>EUR-KAP-INSTIT,B</v>
          </cell>
          <cell r="D426">
            <v>20230302</v>
          </cell>
          <cell r="E426">
            <v>1151.1600000000001</v>
          </cell>
        </row>
        <row r="427">
          <cell r="A427" t="str">
            <v>BE6295237349</v>
          </cell>
          <cell r="B427" t="str">
            <v>KBC Inst, Fund World Equity Resp, Invest, Inst, B Shares Cap</v>
          </cell>
          <cell r="C427" t="str">
            <v>EUR-KAP-INSTIT,B</v>
          </cell>
          <cell r="D427">
            <v>20230302</v>
          </cell>
          <cell r="E427">
            <v>13793.19</v>
          </cell>
        </row>
        <row r="428">
          <cell r="A428" t="str">
            <v>BE6295238354</v>
          </cell>
          <cell r="B428" t="str">
            <v>KBC Inst, Fund Upper Grade Euro Corp,Bonds Inst, B Shares Cap (empty)</v>
          </cell>
          <cell r="C428" t="str">
            <v>EUR-KAP-INSTIT,B</v>
          </cell>
          <cell r="D428">
            <v>20171221</v>
          </cell>
          <cell r="E428">
            <v>4564.0600000000004</v>
          </cell>
        </row>
        <row r="429">
          <cell r="A429" t="str">
            <v>BE6295240376</v>
          </cell>
          <cell r="B429" t="str">
            <v>KBC Inst, Fund Euro Equities Resp, Invest, Inst, B Shares Cap</v>
          </cell>
          <cell r="C429" t="str">
            <v>EUR-KAP-INSTIT,B</v>
          </cell>
          <cell r="D429">
            <v>20230302</v>
          </cell>
          <cell r="E429">
            <v>3858.7</v>
          </cell>
        </row>
        <row r="430">
          <cell r="A430" t="str">
            <v>BE6295242398</v>
          </cell>
          <cell r="B430" t="str">
            <v>KBC Inst, Fund Euro Satellite Equity Inst, B Shares Cap</v>
          </cell>
          <cell r="C430" t="str">
            <v>EUR-KAP-INSTIT,B</v>
          </cell>
          <cell r="D430">
            <v>20230302</v>
          </cell>
          <cell r="E430">
            <v>10537.13</v>
          </cell>
        </row>
        <row r="431">
          <cell r="A431" t="str">
            <v>BE6295243404</v>
          </cell>
          <cell r="B431" t="str">
            <v>KBC Inst, Fund Euro Equity Inst, B Shares Cap</v>
          </cell>
          <cell r="C431" t="str">
            <v>EUR-KAP-INSTIT,B</v>
          </cell>
          <cell r="D431">
            <v>20230302</v>
          </cell>
          <cell r="E431">
            <v>12164.6</v>
          </cell>
        </row>
        <row r="432">
          <cell r="A432" t="str">
            <v>BE6295244410</v>
          </cell>
          <cell r="B432" t="str">
            <v>KBC Inst, Fund Euro Bonds Short Inst, B Shares Cap</v>
          </cell>
          <cell r="C432" t="str">
            <v>EUR-KAP-INSTIT,B</v>
          </cell>
          <cell r="D432">
            <v>20230302</v>
          </cell>
          <cell r="E432">
            <v>4788.28</v>
          </cell>
        </row>
        <row r="433">
          <cell r="A433" t="str">
            <v>BE6295341414</v>
          </cell>
          <cell r="B433" t="str">
            <v>Perspective Universal Selection 100 Head Start USD 2 Cap</v>
          </cell>
          <cell r="C433" t="str">
            <v>USD-KAP-RETAIL</v>
          </cell>
          <cell r="D433">
            <v>20230228</v>
          </cell>
          <cell r="E433">
            <v>1120.97</v>
          </cell>
        </row>
        <row r="434">
          <cell r="A434" t="str">
            <v>BE6295392920</v>
          </cell>
          <cell r="B434" t="str">
            <v>KBC Equity Fund Minimum Variance Resp, Invest, Classic Shares Cap</v>
          </cell>
          <cell r="C434" t="str">
            <v>EUR-KAP-RETAIL</v>
          </cell>
          <cell r="D434">
            <v>20230302</v>
          </cell>
          <cell r="E434">
            <v>1335.55</v>
          </cell>
        </row>
        <row r="435">
          <cell r="A435" t="str">
            <v>BE6295394942</v>
          </cell>
          <cell r="B435" t="str">
            <v>KBC Equity Fund Minimum Variance Resp, Invest, Discretionary Shares Cap</v>
          </cell>
          <cell r="C435" t="str">
            <v>EUR-KAP-DISCR,SHARES</v>
          </cell>
          <cell r="D435">
            <v>20230302</v>
          </cell>
          <cell r="E435">
            <v>1407.14</v>
          </cell>
        </row>
        <row r="436">
          <cell r="A436" t="str">
            <v>BE6295396962</v>
          </cell>
          <cell r="B436" t="str">
            <v>KBC Equity Fund Minimum Variance Resp, Invest, Discretionary Shares Dis (empty)</v>
          </cell>
          <cell r="C436" t="str">
            <v>EUR-DIV-DISCR,SHARES</v>
          </cell>
          <cell r="D436">
            <v>20170627</v>
          </cell>
          <cell r="E436" t="str">
            <v>1000</v>
          </cell>
        </row>
        <row r="437">
          <cell r="A437" t="str">
            <v>BE6295397978</v>
          </cell>
          <cell r="B437" t="str">
            <v>KBC Equity Fund Minimum Variance Resp, Invest, Inst, Shares Cap</v>
          </cell>
          <cell r="C437" t="str">
            <v>EUR-KAP-INSTITUTIONEEL</v>
          </cell>
          <cell r="D437">
            <v>20230302</v>
          </cell>
          <cell r="E437">
            <v>1413.77</v>
          </cell>
        </row>
        <row r="438">
          <cell r="A438" t="str">
            <v>BE6295398018</v>
          </cell>
          <cell r="B438" t="str">
            <v>KBC Equity Fund Minimum Variance Resp, Invest, Inst, Shares Dis (empty)</v>
          </cell>
          <cell r="C438" t="str">
            <v>EUR-DIV-INSTITUTIONEEL</v>
          </cell>
          <cell r="D438">
            <v>20170627</v>
          </cell>
          <cell r="E438" t="str">
            <v>1000</v>
          </cell>
        </row>
        <row r="439">
          <cell r="A439" t="str">
            <v>BE6295400038</v>
          </cell>
          <cell r="B439" t="str">
            <v>KBC Equity Fund Minimum Variance Resp, Invest, Corp,Shares Cap (empty)</v>
          </cell>
          <cell r="C439" t="str">
            <v>EUR-KAP-CORP,SHARES</v>
          </cell>
          <cell r="D439">
            <v>20220113</v>
          </cell>
          <cell r="E439">
            <v>1414.65</v>
          </cell>
        </row>
        <row r="440">
          <cell r="A440" t="str">
            <v>BE6295401044</v>
          </cell>
          <cell r="B440" t="str">
            <v>KBC Equity Fund Minimum Variance Resp, Invest, Corp,Shares Dis (empty)</v>
          </cell>
          <cell r="C440" t="str">
            <v>EUR-DIV-CORP,SHARES</v>
          </cell>
          <cell r="D440">
            <v>20170627</v>
          </cell>
          <cell r="E440" t="str">
            <v>1000</v>
          </cell>
        </row>
        <row r="441">
          <cell r="A441" t="str">
            <v>BE6295537433</v>
          </cell>
          <cell r="B441" t="str">
            <v>KBC-Life MI+ Universal Selection 90-9 Cap</v>
          </cell>
          <cell r="C441" t="str">
            <v>EUR-NOTE-RETAIL</v>
          </cell>
          <cell r="D441">
            <v>20230228</v>
          </cell>
          <cell r="E441">
            <v>1051.07</v>
          </cell>
        </row>
        <row r="442">
          <cell r="A442" t="str">
            <v>BE6295853681</v>
          </cell>
          <cell r="B442" t="str">
            <v>Optimum Fund ČSOB Airbag Jumper EUR 11 Cap</v>
          </cell>
          <cell r="C442" t="str">
            <v>EUR-KAP-RETAIL</v>
          </cell>
          <cell r="D442">
            <v>20230228</v>
          </cell>
          <cell r="E442">
            <v>12.14</v>
          </cell>
        </row>
        <row r="443">
          <cell r="A443" t="str">
            <v>BE6295941593</v>
          </cell>
          <cell r="B443" t="str">
            <v>Plato Inst, Index Fund North American Equity Classic Shares Dis</v>
          </cell>
          <cell r="C443" t="str">
            <v>USD-DIV-RET,B</v>
          </cell>
          <cell r="D443">
            <v>20230302</v>
          </cell>
          <cell r="E443">
            <v>235.81</v>
          </cell>
        </row>
        <row r="444">
          <cell r="A444" t="str">
            <v>BE6295943615</v>
          </cell>
          <cell r="B444" t="str">
            <v>Plato Inst, Index Fund North American Equity Inst, B Shares Cap</v>
          </cell>
          <cell r="C444" t="str">
            <v>USD-KAP-INSTIT,B</v>
          </cell>
          <cell r="D444">
            <v>20230302</v>
          </cell>
          <cell r="E444">
            <v>339.16</v>
          </cell>
        </row>
        <row r="445">
          <cell r="A445" t="str">
            <v>BE6295944621</v>
          </cell>
          <cell r="B445" t="str">
            <v>Plato Inst, Index Fund North American Equity Classic Shares Cap</v>
          </cell>
          <cell r="C445" t="str">
            <v>USD-KAP-RET,B,</v>
          </cell>
          <cell r="D445">
            <v>20230302</v>
          </cell>
          <cell r="E445">
            <v>244.88</v>
          </cell>
        </row>
        <row r="446">
          <cell r="A446" t="str">
            <v>BE6295945636</v>
          </cell>
          <cell r="B446" t="str">
            <v>Plato Inst, Index Fund European Equity Classic Shares Cap</v>
          </cell>
          <cell r="C446" t="str">
            <v>EUR-KAP-RET,B</v>
          </cell>
          <cell r="D446">
            <v>20230302</v>
          </cell>
          <cell r="E446">
            <v>199.06</v>
          </cell>
        </row>
        <row r="447">
          <cell r="A447" t="str">
            <v>BE6295947657</v>
          </cell>
          <cell r="B447" t="str">
            <v>Plato Inst, Index Fund European Equity Classic Shares Dis</v>
          </cell>
          <cell r="C447" t="str">
            <v>EUR-DIV-RET,B</v>
          </cell>
          <cell r="D447">
            <v>20230302</v>
          </cell>
          <cell r="E447">
            <v>174.62</v>
          </cell>
        </row>
        <row r="448">
          <cell r="A448" t="str">
            <v>BE6295948663</v>
          </cell>
          <cell r="B448" t="str">
            <v>Plato Inst, Index Fund Pacific Equity Classic Shares Cap</v>
          </cell>
          <cell r="C448" t="str">
            <v>JPY-KAP-RET,B</v>
          </cell>
          <cell r="D448">
            <v>20230302</v>
          </cell>
          <cell r="E448">
            <v>28225</v>
          </cell>
        </row>
        <row r="449">
          <cell r="A449" t="str">
            <v>BE6295949679</v>
          </cell>
          <cell r="B449" t="str">
            <v>Plato Inst, Index Fund Pacific Equity Classic Shares Dis</v>
          </cell>
          <cell r="C449" t="str">
            <v>JPY-DIV-RET,B</v>
          </cell>
          <cell r="D449">
            <v>20230302</v>
          </cell>
          <cell r="E449">
            <v>24889</v>
          </cell>
        </row>
        <row r="450">
          <cell r="A450" t="str">
            <v>BE6295950685</v>
          </cell>
          <cell r="B450" t="str">
            <v>Plato Inst, Index Fund World Classic Shares Cap</v>
          </cell>
          <cell r="C450" t="str">
            <v>EUR-KAP-RET,B</v>
          </cell>
          <cell r="D450">
            <v>20230302</v>
          </cell>
          <cell r="E450">
            <v>491.16</v>
          </cell>
        </row>
        <row r="451">
          <cell r="A451" t="str">
            <v>BE6295951691</v>
          </cell>
          <cell r="B451" t="str">
            <v>Plato Inst, Index Fund World Classic Shares Dis</v>
          </cell>
          <cell r="C451" t="str">
            <v>EUR-DIV-RET,B</v>
          </cell>
          <cell r="D451">
            <v>20230302</v>
          </cell>
          <cell r="E451">
            <v>445.71</v>
          </cell>
        </row>
        <row r="452">
          <cell r="A452" t="str">
            <v>BE6295952707</v>
          </cell>
          <cell r="B452" t="str">
            <v>Plato Inst, Index Fund World Discretionary Shares Cap</v>
          </cell>
          <cell r="C452" t="str">
            <v>EUR-KAP-DISCR,SHARES</v>
          </cell>
          <cell r="D452">
            <v>20230302</v>
          </cell>
          <cell r="E452">
            <v>829.2</v>
          </cell>
        </row>
        <row r="453">
          <cell r="A453" t="str">
            <v>BE6295956740</v>
          </cell>
          <cell r="B453" t="str">
            <v>Plato Inst, Index Fund World Inst, Shares Cap</v>
          </cell>
          <cell r="C453" t="str">
            <v>EUR-KAP-INSTITUTIONEEL</v>
          </cell>
          <cell r="D453">
            <v>20230302</v>
          </cell>
          <cell r="E453">
            <v>833.66</v>
          </cell>
        </row>
        <row r="454">
          <cell r="A454" t="str">
            <v>BE6295957755</v>
          </cell>
          <cell r="B454" t="str">
            <v>Plato Inst, Index Fund World Inst, B Shares Cap</v>
          </cell>
          <cell r="C454" t="str">
            <v>EUR-KAP-INSTIT,B</v>
          </cell>
          <cell r="D454">
            <v>20230302</v>
          </cell>
          <cell r="E454">
            <v>995.28</v>
          </cell>
        </row>
        <row r="455">
          <cell r="A455" t="str">
            <v>BE6295977951</v>
          </cell>
          <cell r="B455" t="str">
            <v>Perspective Universal Selection 100 Head Start USD 3 Cap</v>
          </cell>
          <cell r="C455" t="str">
            <v>USD-KAP-RETAIL</v>
          </cell>
          <cell r="D455">
            <v>20230228</v>
          </cell>
          <cell r="E455">
            <v>1141.23</v>
          </cell>
        </row>
        <row r="456">
          <cell r="A456" t="str">
            <v>BE6296034554</v>
          </cell>
          <cell r="B456" t="str">
            <v>Plato Inst, Index Fund Emerging Markets Equities Classic Shares Cap</v>
          </cell>
          <cell r="C456" t="str">
            <v>EUR-KAP-RET,B</v>
          </cell>
          <cell r="D456">
            <v>20230302</v>
          </cell>
          <cell r="E456">
            <v>565.99</v>
          </cell>
        </row>
        <row r="457">
          <cell r="A457" t="str">
            <v>BE6296035569</v>
          </cell>
          <cell r="B457" t="str">
            <v>Plato Inst, Index Fund Emerging Markets Equities Classic Shares Dis</v>
          </cell>
          <cell r="C457" t="str">
            <v>EUR-DIV-RET,B</v>
          </cell>
          <cell r="D457">
            <v>20230302</v>
          </cell>
          <cell r="E457">
            <v>510.51</v>
          </cell>
        </row>
        <row r="458">
          <cell r="A458" t="str">
            <v>BE6296045667</v>
          </cell>
          <cell r="B458" t="str">
            <v>KBC-Life MI+ Universal Selection 90-10 Cap</v>
          </cell>
          <cell r="C458" t="str">
            <v>EUR-NOTE-RETAIL</v>
          </cell>
          <cell r="D458">
            <v>20230228</v>
          </cell>
          <cell r="E458">
            <v>1077.33</v>
          </cell>
        </row>
        <row r="459">
          <cell r="A459" t="str">
            <v>BE6296789348</v>
          </cell>
          <cell r="B459" t="str">
            <v>KBC-Life MI+ World Selection 90-1 Cap</v>
          </cell>
          <cell r="C459" t="str">
            <v>EUR-NOTE-RETAIL</v>
          </cell>
          <cell r="D459">
            <v>20230228</v>
          </cell>
          <cell r="E459">
            <v>935.15</v>
          </cell>
        </row>
        <row r="460">
          <cell r="A460" t="str">
            <v>BE6296812579</v>
          </cell>
          <cell r="B460" t="str">
            <v>Perspective World Selection 100 Head Start USD 1 Cap</v>
          </cell>
          <cell r="C460" t="str">
            <v>USD-KAP-RETAIL</v>
          </cell>
          <cell r="D460">
            <v>20230228</v>
          </cell>
          <cell r="E460">
            <v>1006.29</v>
          </cell>
        </row>
        <row r="461">
          <cell r="A461" t="str">
            <v>BE6296829748</v>
          </cell>
          <cell r="B461" t="str">
            <v>KBC Inst, Investors SFUZ 1 Cap</v>
          </cell>
          <cell r="C461" t="str">
            <v>EUR-KAP-INSTITUTIONEEL</v>
          </cell>
          <cell r="D461">
            <v>20230302</v>
          </cell>
          <cell r="E461">
            <v>1029.5</v>
          </cell>
        </row>
        <row r="462">
          <cell r="A462" t="str">
            <v>BE6297577460</v>
          </cell>
          <cell r="B462" t="str">
            <v>Perspective World Selection 100 Absolute Performance USD 1 Cap</v>
          </cell>
          <cell r="C462" t="str">
            <v>USD-KAP-RETAIL</v>
          </cell>
          <cell r="D462">
            <v>20230228</v>
          </cell>
          <cell r="E462">
            <v>962.2</v>
          </cell>
        </row>
        <row r="463">
          <cell r="A463" t="str">
            <v>BE6297596650</v>
          </cell>
          <cell r="B463" t="str">
            <v>KBC-Life MI+ World Selection 90-2 Cap</v>
          </cell>
          <cell r="C463" t="str">
            <v>EUR-NOTE-RETAIL</v>
          </cell>
          <cell r="D463">
            <v>20230228</v>
          </cell>
          <cell r="E463">
            <v>903.36</v>
          </cell>
        </row>
        <row r="464">
          <cell r="A464" t="str">
            <v>BE6297712844</v>
          </cell>
          <cell r="B464" t="str">
            <v>KBC Equity Fund High Dividend Inst, Shares Cap</v>
          </cell>
          <cell r="C464" t="str">
            <v>EUR-KAP-INSTITUTIONEEL</v>
          </cell>
          <cell r="D464">
            <v>20230302</v>
          </cell>
          <cell r="E464">
            <v>1422.89</v>
          </cell>
        </row>
        <row r="465">
          <cell r="A465" t="str">
            <v>BE6297957381</v>
          </cell>
          <cell r="B465" t="str">
            <v>KBC Master Fund Business Comfort Def, Resp, Invest, Classic Shares Dis</v>
          </cell>
          <cell r="C465" t="str">
            <v>EUR-DIV-RETAIL</v>
          </cell>
          <cell r="D465">
            <v>20230302</v>
          </cell>
          <cell r="E465">
            <v>865.42</v>
          </cell>
        </row>
        <row r="466">
          <cell r="A466" t="str">
            <v>BE6297961425</v>
          </cell>
          <cell r="B466" t="str">
            <v>KBC Master Fund Business Comfort Dyn, Resp, Invest, Classic Shares Dis</v>
          </cell>
          <cell r="C466" t="str">
            <v>EUR-DIV-RETAIL</v>
          </cell>
          <cell r="D466">
            <v>20230302</v>
          </cell>
          <cell r="E466">
            <v>957.38</v>
          </cell>
        </row>
        <row r="467">
          <cell r="A467" t="str">
            <v>BE6298148352</v>
          </cell>
          <cell r="B467" t="str">
            <v>KBC-Life MI+ World Selection 90-3 Cap</v>
          </cell>
          <cell r="C467" t="str">
            <v>EUR-NOTE-RETAIL</v>
          </cell>
          <cell r="D467">
            <v>20230228</v>
          </cell>
          <cell r="E467">
            <v>950.32</v>
          </cell>
        </row>
        <row r="468">
          <cell r="A468" t="str">
            <v>BE6298150374</v>
          </cell>
          <cell r="B468" t="str">
            <v>Perspective World Selection 100 Absolute Performance USD 2 Cap</v>
          </cell>
          <cell r="C468" t="str">
            <v>USD-KAP-RETAIL</v>
          </cell>
          <cell r="D468">
            <v>20230228</v>
          </cell>
          <cell r="E468">
            <v>985.72</v>
          </cell>
        </row>
        <row r="469">
          <cell r="A469" t="str">
            <v>BE6298615178</v>
          </cell>
          <cell r="B469" t="str">
            <v>KBC Inst, Investors Balanced 2 Cap</v>
          </cell>
          <cell r="C469" t="str">
            <v>EUR-KAP-INSTITUTIONEEL</v>
          </cell>
          <cell r="D469">
            <v>20230302</v>
          </cell>
          <cell r="E469">
            <v>1098.58</v>
          </cell>
        </row>
        <row r="470">
          <cell r="A470" t="str">
            <v>BE6298772771</v>
          </cell>
          <cell r="B470" t="str">
            <v>Perspective World Selection 100 Absolute Performance USD 3 Cap</v>
          </cell>
          <cell r="C470" t="str">
            <v>USD-KAP-RETAIL</v>
          </cell>
          <cell r="D470">
            <v>20230228</v>
          </cell>
          <cell r="E470">
            <v>979.08</v>
          </cell>
        </row>
        <row r="471">
          <cell r="A471" t="str">
            <v>BE6298803113</v>
          </cell>
          <cell r="B471" t="str">
            <v>KBC-Life MI+ World Selection 90-4 Cap</v>
          </cell>
          <cell r="C471" t="str">
            <v>EUR-NOTE-RETAIL</v>
          </cell>
          <cell r="D471">
            <v>20230228</v>
          </cell>
          <cell r="E471">
            <v>947.57</v>
          </cell>
        </row>
        <row r="472">
          <cell r="A472" t="str">
            <v>BE6298900117</v>
          </cell>
          <cell r="B472" t="str">
            <v>Optimum Fund ČSOB Airbag Jumper EUR 12 Cap</v>
          </cell>
          <cell r="C472" t="str">
            <v>EUR-KAP-RETAIL,PRIVBK</v>
          </cell>
          <cell r="D472">
            <v>20230228</v>
          </cell>
          <cell r="E472">
            <v>10.119999999999999</v>
          </cell>
        </row>
        <row r="473">
          <cell r="A473" t="str">
            <v>BE6299576080</v>
          </cell>
          <cell r="B473" t="str">
            <v>KBC Equity Fund Eurozone DBI-RDT Classic Shares Dis</v>
          </cell>
          <cell r="C473" t="str">
            <v>EUR-DIV-RETAIL</v>
          </cell>
          <cell r="D473">
            <v>20230302</v>
          </cell>
          <cell r="E473">
            <v>533.32000000000005</v>
          </cell>
        </row>
        <row r="474">
          <cell r="A474" t="str">
            <v>BE6299618502</v>
          </cell>
          <cell r="B474" t="str">
            <v>KBC-Life S World Equities Cap</v>
          </cell>
          <cell r="C474" t="str">
            <v>EUR-KAP-RETAIL</v>
          </cell>
          <cell r="D474">
            <v>20230301</v>
          </cell>
          <cell r="E474">
            <v>317.29000000000002</v>
          </cell>
        </row>
        <row r="475">
          <cell r="A475" t="str">
            <v>BE6299619518</v>
          </cell>
          <cell r="B475" t="str">
            <v>KBC-Life S Trends Cap</v>
          </cell>
          <cell r="C475" t="str">
            <v>EUR-KAP-RETAIL</v>
          </cell>
          <cell r="D475">
            <v>20230301</v>
          </cell>
          <cell r="E475">
            <v>487.33</v>
          </cell>
        </row>
        <row r="476">
          <cell r="A476" t="str">
            <v>BE6299789279</v>
          </cell>
          <cell r="B476" t="str">
            <v>KBC-Life MI+ World Selection 90-5 Cap</v>
          </cell>
          <cell r="C476" t="str">
            <v>EUR-NOTE-RETAIL</v>
          </cell>
          <cell r="D476">
            <v>20230228</v>
          </cell>
          <cell r="E476">
            <v>941.82</v>
          </cell>
        </row>
        <row r="477">
          <cell r="A477" t="str">
            <v>BE6299842805</v>
          </cell>
          <cell r="B477" t="str">
            <v>Perspective World Selection 100 Absolute Performance USD 4 Cap</v>
          </cell>
          <cell r="C477" t="str">
            <v>USD-KAP-RETAIL</v>
          </cell>
          <cell r="D477">
            <v>20230228</v>
          </cell>
          <cell r="E477">
            <v>972.96</v>
          </cell>
        </row>
        <row r="478">
          <cell r="A478" t="str">
            <v>BE6299843811</v>
          </cell>
          <cell r="B478" t="str">
            <v>KBC Equity Fund Eurozone DBI-RDT Inst, Shares Dis</v>
          </cell>
          <cell r="C478" t="str">
            <v>EUR-DIV-INSTITUTIONEEL</v>
          </cell>
          <cell r="D478">
            <v>20230302</v>
          </cell>
          <cell r="E478">
            <v>549.04999999999995</v>
          </cell>
        </row>
        <row r="479">
          <cell r="A479" t="str">
            <v>BE6299844827</v>
          </cell>
          <cell r="B479" t="str">
            <v>KBC Equity Fund Eurozone DBI-RDT Corp,Shares Dis</v>
          </cell>
          <cell r="C479" t="str">
            <v>EUR-DIV-CORP,SHARES</v>
          </cell>
          <cell r="D479">
            <v>20230302</v>
          </cell>
          <cell r="E479">
            <v>539.58000000000004</v>
          </cell>
        </row>
        <row r="480">
          <cell r="A480" t="str">
            <v>BE6299995397</v>
          </cell>
          <cell r="B480" t="str">
            <v>KBC Equity Fund Eurozone DBI-RDT Corp,Wealth shares Dis</v>
          </cell>
          <cell r="C480" t="str">
            <v>EUR-DIV-CORP,WEALTH</v>
          </cell>
          <cell r="D480">
            <v>20230302</v>
          </cell>
          <cell r="E480">
            <v>542.28</v>
          </cell>
        </row>
        <row r="481">
          <cell r="A481" t="str">
            <v>BE6300347034</v>
          </cell>
          <cell r="B481" t="str">
            <v>KBC Inst, Investors Global Flexible Allocation July Resp, Invest, Cap</v>
          </cell>
          <cell r="C481" t="str">
            <v>EUR-KAP-INSTITUTIONEEL</v>
          </cell>
          <cell r="D481">
            <v>20230302</v>
          </cell>
          <cell r="E481">
            <v>922.99</v>
          </cell>
        </row>
        <row r="482">
          <cell r="A482" t="str">
            <v>BE6300563259</v>
          </cell>
          <cell r="B482" t="str">
            <v>Perspective Premium World Selection Airbag 1 Cap</v>
          </cell>
          <cell r="C482" t="str">
            <v>EUR-KAP-RETAIL</v>
          </cell>
          <cell r="D482">
            <v>20230228</v>
          </cell>
          <cell r="E482">
            <v>994.1</v>
          </cell>
        </row>
        <row r="483">
          <cell r="A483" t="str">
            <v>BE6300566286</v>
          </cell>
          <cell r="B483" t="str">
            <v>Perspective World Selection 100 Absolute Performance USD 5 Cap</v>
          </cell>
          <cell r="C483" t="str">
            <v>USD-KAP-RETAIL</v>
          </cell>
          <cell r="D483">
            <v>20230228</v>
          </cell>
          <cell r="E483">
            <v>1000.58</v>
          </cell>
        </row>
        <row r="484">
          <cell r="A484" t="str">
            <v>BE6300815832</v>
          </cell>
          <cell r="B484" t="str">
            <v>KBC-Life MI+ World Selection 90-6 Cap</v>
          </cell>
          <cell r="C484" t="str">
            <v>EUR-NOTE-RETAIL</v>
          </cell>
          <cell r="D484">
            <v>20230228</v>
          </cell>
          <cell r="E484">
            <v>977.22</v>
          </cell>
        </row>
        <row r="485">
          <cell r="A485" t="str">
            <v>BE6300846175</v>
          </cell>
          <cell r="B485" t="str">
            <v>KBC Equity Fund Eurozone DBI-RDT Discretionary Shares Dis</v>
          </cell>
          <cell r="C485" t="str">
            <v>EUR-DIV-DISCR,SHARES</v>
          </cell>
          <cell r="D485">
            <v>20230302</v>
          </cell>
          <cell r="E485">
            <v>544.17999999999995</v>
          </cell>
        </row>
        <row r="486">
          <cell r="A486" t="str">
            <v>BE6300931050</v>
          </cell>
          <cell r="B486" t="str">
            <v>KBC Participation Corp,Bonds Resp, Invest, Classic Shares Cap</v>
          </cell>
          <cell r="C486" t="str">
            <v>EUR-KAP-RET,B</v>
          </cell>
          <cell r="D486">
            <v>20230302</v>
          </cell>
          <cell r="E486">
            <v>880.94</v>
          </cell>
        </row>
        <row r="487">
          <cell r="A487" t="str">
            <v>BE6300933072</v>
          </cell>
          <cell r="B487" t="str">
            <v>KBC Participation Corp,Bonds Resp, Invest, Classic Shares Dis</v>
          </cell>
          <cell r="C487" t="str">
            <v>EUR-DIV-RET,B</v>
          </cell>
          <cell r="D487">
            <v>20230302</v>
          </cell>
          <cell r="E487">
            <v>823.46</v>
          </cell>
        </row>
        <row r="488">
          <cell r="A488" t="str">
            <v>BE6300983572</v>
          </cell>
          <cell r="B488" t="str">
            <v>Plato Inst, Index Fund Emerging Markets Equities Discretionary Shares Dis</v>
          </cell>
          <cell r="C488" t="str">
            <v>EUR-DIV-DISCR,SHARES</v>
          </cell>
          <cell r="D488">
            <v>20230302</v>
          </cell>
          <cell r="E488">
            <v>922.32</v>
          </cell>
        </row>
        <row r="489">
          <cell r="A489" t="str">
            <v>BE6300991658</v>
          </cell>
          <cell r="B489" t="str">
            <v>Plato Inst, Index Fund European Equity Discretionary Shares Dis</v>
          </cell>
          <cell r="C489" t="str">
            <v>EUR-DIV-DISCR,SHARES</v>
          </cell>
          <cell r="D489">
            <v>20230302</v>
          </cell>
          <cell r="E489">
            <v>2984.35</v>
          </cell>
        </row>
        <row r="490">
          <cell r="A490" t="str">
            <v>BE6300995691</v>
          </cell>
          <cell r="B490" t="str">
            <v>Plato Inst, Index Fund North American Equity Discretionary Shares Dis</v>
          </cell>
          <cell r="C490" t="str">
            <v>USD-DIV-DISCR,SHARES</v>
          </cell>
          <cell r="D490">
            <v>20230302</v>
          </cell>
          <cell r="E490">
            <v>3576.14</v>
          </cell>
        </row>
        <row r="491">
          <cell r="A491" t="str">
            <v>BE6300996707</v>
          </cell>
          <cell r="B491" t="str">
            <v>Plato Inst, Index Fund Pacific Equity Discretionary Shares Dis</v>
          </cell>
          <cell r="C491" t="str">
            <v>JPY-DIV-DISCR,SHARES</v>
          </cell>
          <cell r="D491">
            <v>20230302</v>
          </cell>
          <cell r="E491">
            <v>356213</v>
          </cell>
        </row>
        <row r="492">
          <cell r="A492" t="str">
            <v>BE6301358444</v>
          </cell>
          <cell r="B492" t="str">
            <v>KBC-Life MI+ World Selection 90-7 Cap</v>
          </cell>
          <cell r="C492" t="str">
            <v>EUR-NOTE-RETAIL</v>
          </cell>
          <cell r="D492">
            <v>20230228</v>
          </cell>
          <cell r="E492">
            <v>983.67</v>
          </cell>
        </row>
        <row r="493">
          <cell r="A493" t="str">
            <v>BE6301360465</v>
          </cell>
          <cell r="B493" t="str">
            <v>Perspective Premium World Selection Airbag 2 Cap</v>
          </cell>
          <cell r="C493" t="str">
            <v>EUR-KAP-RETAIL</v>
          </cell>
          <cell r="D493">
            <v>20230228</v>
          </cell>
          <cell r="E493">
            <v>993.95</v>
          </cell>
        </row>
        <row r="494">
          <cell r="A494" t="str">
            <v>BE6301365514</v>
          </cell>
          <cell r="B494" t="str">
            <v>Perspective World Selection 100 Absolute Performance USD 6 Cap</v>
          </cell>
          <cell r="C494" t="str">
            <v>USD-KAP-RETAIL</v>
          </cell>
          <cell r="D494">
            <v>20230228</v>
          </cell>
          <cell r="E494">
            <v>985</v>
          </cell>
        </row>
        <row r="495">
          <cell r="A495" t="str">
            <v>BE6302064710</v>
          </cell>
          <cell r="B495" t="str">
            <v>Perspective European Quality Airbag 1 Cap</v>
          </cell>
          <cell r="C495" t="str">
            <v>EUR-KAP-RETAIL</v>
          </cell>
          <cell r="D495">
            <v>20230228</v>
          </cell>
          <cell r="E495">
            <v>999.03</v>
          </cell>
        </row>
        <row r="496">
          <cell r="A496" t="str">
            <v>BE6302066731</v>
          </cell>
          <cell r="B496" t="str">
            <v>Perspective European Quality 100 Absolute Performance USD 1 Cap</v>
          </cell>
          <cell r="C496" t="str">
            <v>USD-KAP-RETAIL</v>
          </cell>
          <cell r="D496">
            <v>20230228</v>
          </cell>
          <cell r="E496">
            <v>989</v>
          </cell>
        </row>
        <row r="497">
          <cell r="A497" t="str">
            <v>BE6302079866</v>
          </cell>
          <cell r="B497" t="str">
            <v>Pricos SRI Cap</v>
          </cell>
          <cell r="C497" t="str">
            <v>EUR-KAP-RETAIL</v>
          </cell>
          <cell r="D497">
            <v>20230302</v>
          </cell>
          <cell r="E497">
            <v>106.7</v>
          </cell>
        </row>
        <row r="498">
          <cell r="A498" t="str">
            <v>BE6302091010</v>
          </cell>
          <cell r="B498" t="str">
            <v>KBC-Life MI+ European Quality 90-1 Cap</v>
          </cell>
          <cell r="C498" t="str">
            <v>EUR-NOTE-RETAIL</v>
          </cell>
          <cell r="D498">
            <v>20230228</v>
          </cell>
          <cell r="E498">
            <v>971.21</v>
          </cell>
        </row>
        <row r="499">
          <cell r="A499" t="str">
            <v>BE6302305212</v>
          </cell>
          <cell r="B499" t="str">
            <v>Optimum Fund ČSOB Airbag Jumper EUR 13 Cap</v>
          </cell>
          <cell r="C499" t="str">
            <v>EUR-KAP-RETAIL,PRIVBK</v>
          </cell>
          <cell r="D499">
            <v>20230228</v>
          </cell>
          <cell r="E499">
            <v>11.17</v>
          </cell>
        </row>
        <row r="500">
          <cell r="A500" t="str">
            <v>BE6302967045</v>
          </cell>
          <cell r="B500" t="str">
            <v>Perspective Europe 100 Timing USD 1 Cap</v>
          </cell>
          <cell r="C500" t="str">
            <v>USD-KAP-RETAIL</v>
          </cell>
          <cell r="D500">
            <v>20230228</v>
          </cell>
          <cell r="E500">
            <v>992.69</v>
          </cell>
        </row>
        <row r="501">
          <cell r="A501" t="str">
            <v>BE6302979164</v>
          </cell>
          <cell r="B501" t="str">
            <v>Perspective Europe Airbag 1 Cap</v>
          </cell>
          <cell r="C501" t="str">
            <v>EUR-KAP-RETAIL</v>
          </cell>
          <cell r="D501">
            <v>20230228</v>
          </cell>
          <cell r="E501">
            <v>989.68</v>
          </cell>
        </row>
        <row r="502">
          <cell r="A502" t="str">
            <v>BE6302981186</v>
          </cell>
          <cell r="B502" t="str">
            <v>Horizon Comfort Dyn, High Classic Shares CSOB Private Banking Cap</v>
          </cell>
          <cell r="C502" t="str">
            <v>EUR-KAP-CSOB PB</v>
          </cell>
          <cell r="D502">
            <v>20230302</v>
          </cell>
          <cell r="E502">
            <v>1172.94</v>
          </cell>
        </row>
        <row r="503">
          <cell r="A503" t="str">
            <v>BE6302982192</v>
          </cell>
          <cell r="B503" t="str">
            <v>Horizon Comfort Dyn, High Classic Shares CSOB Private Banking Dis</v>
          </cell>
          <cell r="C503" t="str">
            <v>EUR-DIV-CSOB,PB</v>
          </cell>
          <cell r="D503">
            <v>20230302</v>
          </cell>
          <cell r="E503">
            <v>1089.53</v>
          </cell>
        </row>
        <row r="504">
          <cell r="A504" t="str">
            <v>BE6302984214</v>
          </cell>
          <cell r="B504" t="str">
            <v>KBC-Life MI+ Europe 90-1 Cap</v>
          </cell>
          <cell r="C504" t="str">
            <v>EUR-NOTE-RETAIL</v>
          </cell>
          <cell r="D504">
            <v>20230228</v>
          </cell>
          <cell r="E504">
            <v>972.56</v>
          </cell>
        </row>
        <row r="505">
          <cell r="A505" t="str">
            <v>BE6303976433</v>
          </cell>
          <cell r="B505" t="str">
            <v>Perspective Europe 100 Timing USD 2 Cap</v>
          </cell>
          <cell r="C505" t="str">
            <v>USD-KAP-RETAIL</v>
          </cell>
          <cell r="D505">
            <v>20230228</v>
          </cell>
          <cell r="E505">
            <v>1023.53</v>
          </cell>
        </row>
        <row r="506">
          <cell r="A506" t="str">
            <v>BE6303981482</v>
          </cell>
          <cell r="B506" t="str">
            <v>KBC-Life MI+ Europe 90-2 Cap</v>
          </cell>
          <cell r="C506" t="str">
            <v>EUR-NOTE-RETAIL</v>
          </cell>
          <cell r="D506">
            <v>20230228</v>
          </cell>
          <cell r="E506">
            <v>1029.32</v>
          </cell>
        </row>
        <row r="507">
          <cell r="A507" t="str">
            <v>BE6304579640</v>
          </cell>
          <cell r="B507" t="str">
            <v>Horizon ČSOB Globálny Rast 2 Cap</v>
          </cell>
          <cell r="C507" t="str">
            <v>EUR-KAP-RETAIL</v>
          </cell>
          <cell r="D507">
            <v>20230228</v>
          </cell>
          <cell r="E507">
            <v>9.67</v>
          </cell>
        </row>
        <row r="508">
          <cell r="A508" t="str">
            <v>BE6304722133</v>
          </cell>
          <cell r="B508" t="str">
            <v>KBC-Life MI+ Europe 90-3 Cap</v>
          </cell>
          <cell r="C508" t="str">
            <v>EUR-NOTE-RETAIL</v>
          </cell>
          <cell r="D508">
            <v>20230228</v>
          </cell>
          <cell r="E508">
            <v>1008.73</v>
          </cell>
        </row>
        <row r="509">
          <cell r="A509" t="str">
            <v>BE6304723149</v>
          </cell>
          <cell r="B509" t="str">
            <v>Perspective Europe 100 Timing USD 3 Cap</v>
          </cell>
          <cell r="C509" t="str">
            <v>USD-KAP-RETAIL</v>
          </cell>
          <cell r="D509">
            <v>20230228</v>
          </cell>
          <cell r="E509">
            <v>1027.74</v>
          </cell>
        </row>
        <row r="510">
          <cell r="A510" t="str">
            <v>BE6304872664</v>
          </cell>
          <cell r="B510" t="str">
            <v>Optimum Fund ČSOB Sponzoři sportu 1 Cap</v>
          </cell>
          <cell r="C510" t="str">
            <v>CZK-KAP-RETAIL</v>
          </cell>
          <cell r="D510">
            <v>20230228</v>
          </cell>
          <cell r="E510">
            <v>10.220000000000001</v>
          </cell>
        </row>
        <row r="511">
          <cell r="A511" t="str">
            <v>BE6304957549</v>
          </cell>
          <cell r="B511" t="str">
            <v>Optimum Fund ČSOB Zpetného odkupu 2 Cap</v>
          </cell>
          <cell r="C511" t="str">
            <v>CZK-KAP-RETAIL,PRIVBK</v>
          </cell>
          <cell r="D511">
            <v>20230228</v>
          </cell>
          <cell r="E511">
            <v>11.1</v>
          </cell>
        </row>
        <row r="512">
          <cell r="A512" t="str">
            <v>BE6305314237</v>
          </cell>
          <cell r="B512" t="str">
            <v>KBC-Life MI+ Europe 90-4 Cap</v>
          </cell>
          <cell r="C512" t="str">
            <v>EUR-NOTE-RETAIL</v>
          </cell>
          <cell r="D512">
            <v>20230228</v>
          </cell>
          <cell r="E512">
            <v>995.41</v>
          </cell>
        </row>
        <row r="513">
          <cell r="A513" t="str">
            <v>BE6305318279</v>
          </cell>
          <cell r="B513" t="str">
            <v>Perspective Europe 100 Timing USD 4 Cap</v>
          </cell>
          <cell r="C513" t="str">
            <v>USD-KAP-RETAIL</v>
          </cell>
          <cell r="D513">
            <v>20230228</v>
          </cell>
          <cell r="E513">
            <v>1044.5999999999999</v>
          </cell>
        </row>
        <row r="514">
          <cell r="A514" t="str">
            <v>BE6305608265</v>
          </cell>
          <cell r="B514" t="str">
            <v>Horizon ČSOB Europsky Rast 1 Cap</v>
          </cell>
          <cell r="C514" t="str">
            <v>EUR-KAP-RETAIL</v>
          </cell>
          <cell r="D514">
            <v>20230228</v>
          </cell>
          <cell r="E514">
            <v>10.6</v>
          </cell>
        </row>
        <row r="515">
          <cell r="A515" t="str">
            <v>BE6305947747</v>
          </cell>
          <cell r="B515" t="str">
            <v>Perspective Continental Europe 100 Timing USD 1 Cap</v>
          </cell>
          <cell r="C515" t="str">
            <v>USD-KAP-RETAIL</v>
          </cell>
          <cell r="D515">
            <v>20230228</v>
          </cell>
          <cell r="E515">
            <v>1122.6300000000001</v>
          </cell>
        </row>
        <row r="516">
          <cell r="A516" t="str">
            <v>BE6306030600</v>
          </cell>
          <cell r="B516" t="str">
            <v>KBC-Life MI+ Continental Europe 90-1 Cap</v>
          </cell>
          <cell r="C516" t="str">
            <v>EUR-NOTE-RETAIL</v>
          </cell>
          <cell r="D516">
            <v>20230228</v>
          </cell>
          <cell r="E516">
            <v>1091.1400000000001</v>
          </cell>
        </row>
        <row r="517">
          <cell r="A517" t="str">
            <v>BE6306356955</v>
          </cell>
          <cell r="B517" t="str">
            <v>Optimum Fund ČSOB Světové trhy 2 Cap</v>
          </cell>
          <cell r="C517" t="str">
            <v>CZK-KAP-PRIV,BK</v>
          </cell>
          <cell r="D517">
            <v>20230228</v>
          </cell>
          <cell r="E517">
            <v>10.99</v>
          </cell>
        </row>
        <row r="518">
          <cell r="A518" t="str">
            <v>BE6306633817</v>
          </cell>
          <cell r="B518" t="str">
            <v>KBC Equity Fund EMU Small &amp; Medium Caps Corp,Wealth Office shares Cap</v>
          </cell>
          <cell r="C518" t="str">
            <v>EUR-KAP-CORP W&amp;I</v>
          </cell>
          <cell r="D518">
            <v>20230302</v>
          </cell>
          <cell r="E518">
            <v>1387.5</v>
          </cell>
        </row>
        <row r="519">
          <cell r="A519" t="str">
            <v>BE6306634823</v>
          </cell>
          <cell r="B519" t="str">
            <v>KBC Equity Fund EMU Small &amp; Medium Caps Corp,Wealth Office shares Dis</v>
          </cell>
          <cell r="C519" t="str">
            <v>EUR-DIV-CORP W&amp;I</v>
          </cell>
          <cell r="D519">
            <v>20230302</v>
          </cell>
          <cell r="E519">
            <v>1341.78</v>
          </cell>
        </row>
        <row r="520">
          <cell r="A520" t="str">
            <v>BE6306637859</v>
          </cell>
          <cell r="B520" t="str">
            <v>KBC Equity Fund We Live Resp, Invest, Corp,Wealth Office shares Cap</v>
          </cell>
          <cell r="C520" t="str">
            <v>EUR-KAP-CORP W&amp;I</v>
          </cell>
          <cell r="D520">
            <v>20230302</v>
          </cell>
          <cell r="E520">
            <v>1270.6199999999999</v>
          </cell>
        </row>
        <row r="521">
          <cell r="A521" t="str">
            <v>BE6306638865</v>
          </cell>
          <cell r="B521" t="str">
            <v>KBC Equity Fund We Live Resp, Invest, Corp,Wealth Office shares Dis (empty)</v>
          </cell>
          <cell r="C521" t="str">
            <v>EUR-DIV-CORP W&amp;I</v>
          </cell>
          <cell r="D521">
            <v>20221028</v>
          </cell>
          <cell r="E521">
            <v>1196</v>
          </cell>
        </row>
        <row r="522">
          <cell r="A522" t="str">
            <v>BE6306639871</v>
          </cell>
          <cell r="B522" t="str">
            <v>KBC Equity Fund Quant Global 1 Corp,Wealth Office shares Cap</v>
          </cell>
          <cell r="C522" t="str">
            <v>EUR-KAP-CORP W&amp;I</v>
          </cell>
          <cell r="D522">
            <v>20230302</v>
          </cell>
          <cell r="E522">
            <v>1361.37</v>
          </cell>
        </row>
        <row r="523">
          <cell r="A523" t="str">
            <v>BE6306640887</v>
          </cell>
          <cell r="B523" t="str">
            <v>KBC Equity Fund Quant Global 1 Corp,Wealth Office shares Dis</v>
          </cell>
          <cell r="C523" t="str">
            <v>EUR-DIV-CORP W&amp;I</v>
          </cell>
          <cell r="D523">
            <v>20230302</v>
          </cell>
          <cell r="E523">
            <v>1296.45</v>
          </cell>
        </row>
        <row r="524">
          <cell r="A524" t="str">
            <v>BE6306641893</v>
          </cell>
          <cell r="B524" t="str">
            <v>KBC Equity Fund Family Enterprises Corp,Wealth Office shares Cap</v>
          </cell>
          <cell r="C524" t="str">
            <v>EUR-KAP-CORP W&amp;I</v>
          </cell>
          <cell r="D524">
            <v>20230302</v>
          </cell>
          <cell r="E524">
            <v>1172.93</v>
          </cell>
        </row>
        <row r="525">
          <cell r="A525" t="str">
            <v>BE6306642909</v>
          </cell>
          <cell r="B525" t="str">
            <v>KBC Equity Fund Family Enterprises Corp,Wealth Office shares Dis</v>
          </cell>
          <cell r="C525" t="str">
            <v>EUR-DIV-CORP W&amp;I</v>
          </cell>
          <cell r="D525">
            <v>20230302</v>
          </cell>
          <cell r="E525">
            <v>1124.83</v>
          </cell>
        </row>
        <row r="526">
          <cell r="A526" t="str">
            <v>BE6307099620</v>
          </cell>
          <cell r="B526" t="str">
            <v>KBC-Life MI+ Continental Europe 90-2 Cap</v>
          </cell>
          <cell r="C526" t="str">
            <v>EUR-NOTE-RETAIL</v>
          </cell>
          <cell r="D526">
            <v>20230228</v>
          </cell>
          <cell r="E526">
            <v>1062.8499999999999</v>
          </cell>
        </row>
        <row r="527">
          <cell r="A527" t="str">
            <v>BE6307113769</v>
          </cell>
          <cell r="B527" t="str">
            <v>Perspective America 100 Timing USD 1 Cap</v>
          </cell>
          <cell r="C527" t="str">
            <v>USD-KAP-RETAIL</v>
          </cell>
          <cell r="D527">
            <v>20230228</v>
          </cell>
          <cell r="E527">
            <v>1138.06</v>
          </cell>
        </row>
        <row r="528">
          <cell r="A528" t="str">
            <v>BE6307322915</v>
          </cell>
          <cell r="B528" t="str">
            <v>Horizon KBC ExpertEase Def, Tolerant Classic Shares Cap</v>
          </cell>
          <cell r="C528" t="str">
            <v>EUR-KAP-RETAIL</v>
          </cell>
          <cell r="D528">
            <v>20230302</v>
          </cell>
          <cell r="E528">
            <v>973.7</v>
          </cell>
        </row>
        <row r="529">
          <cell r="A529" t="str">
            <v>BE6307323921</v>
          </cell>
          <cell r="B529" t="str">
            <v>Horizon KBC ExpertEase Def, Tolerant Classic Shares Dis</v>
          </cell>
          <cell r="C529" t="str">
            <v>EUR-DIV-RETAIL</v>
          </cell>
          <cell r="D529">
            <v>20230302</v>
          </cell>
          <cell r="E529">
            <v>942.75</v>
          </cell>
        </row>
        <row r="530">
          <cell r="A530" t="str">
            <v>BE6307324937</v>
          </cell>
          <cell r="B530" t="str">
            <v>Horizon KBC ExpertEase Dyn, Tolerant Classic Shares Cap</v>
          </cell>
          <cell r="C530" t="str">
            <v>EUR-KAP-RETAIL</v>
          </cell>
          <cell r="D530">
            <v>20230302</v>
          </cell>
          <cell r="E530">
            <v>1011.64</v>
          </cell>
        </row>
        <row r="531">
          <cell r="A531" t="str">
            <v>BE6307325942</v>
          </cell>
          <cell r="B531" t="str">
            <v>Horizon KBC ExpertEase Dyn, Tolerant Classic Shares Dis</v>
          </cell>
          <cell r="C531" t="str">
            <v>EUR-DIV-RETAIL</v>
          </cell>
          <cell r="D531">
            <v>20230302</v>
          </cell>
          <cell r="E531">
            <v>972.17</v>
          </cell>
        </row>
        <row r="532">
          <cell r="A532" t="str">
            <v>BE6307326957</v>
          </cell>
          <cell r="B532" t="str">
            <v>Horizon KBC ExpertEase Highly Dyn, Tolerant Classic Shares Cap</v>
          </cell>
          <cell r="C532" t="str">
            <v>EUR-KAP-RETAIL</v>
          </cell>
          <cell r="D532">
            <v>20230302</v>
          </cell>
          <cell r="E532">
            <v>1042.31</v>
          </cell>
        </row>
        <row r="533">
          <cell r="A533" t="str">
            <v>BE6307327963</v>
          </cell>
          <cell r="B533" t="str">
            <v>Horizon KBC ExpertEase Highly Dyn, Tolerant Classic Shares Dis</v>
          </cell>
          <cell r="C533" t="str">
            <v>EUR-DIV-RETAIL</v>
          </cell>
          <cell r="D533">
            <v>20230302</v>
          </cell>
          <cell r="E533">
            <v>997.3</v>
          </cell>
        </row>
        <row r="534">
          <cell r="A534" t="str">
            <v>BE6307330025</v>
          </cell>
          <cell r="B534" t="str">
            <v>Horizon KBC ExpertEase Def, Tolerant Resp, Invest, Classic Shares Cap</v>
          </cell>
          <cell r="C534" t="str">
            <v>EUR-KAP-RETAIL</v>
          </cell>
          <cell r="D534">
            <v>20230302</v>
          </cell>
          <cell r="E534">
            <v>947.7</v>
          </cell>
        </row>
        <row r="535">
          <cell r="A535" t="str">
            <v>BE6307331031</v>
          </cell>
          <cell r="B535" t="str">
            <v>Horizon KBC ExpertEase Def, Tolerant Resp, Invest, Classic Shares Dis</v>
          </cell>
          <cell r="C535" t="str">
            <v>EUR-DIV-RETAIL</v>
          </cell>
          <cell r="D535">
            <v>20230302</v>
          </cell>
          <cell r="E535">
            <v>924.29</v>
          </cell>
        </row>
        <row r="536">
          <cell r="A536" t="str">
            <v>BE6307334068</v>
          </cell>
          <cell r="B536" t="str">
            <v>Horizon KBC ExpertEase Dyn, Tolerant Resp, Invest, Classic Shares Cap</v>
          </cell>
          <cell r="C536" t="str">
            <v>EUR-KAP-RETAIL</v>
          </cell>
          <cell r="D536">
            <v>20230302</v>
          </cell>
          <cell r="E536">
            <v>986.71</v>
          </cell>
        </row>
        <row r="537">
          <cell r="A537" t="str">
            <v>BE6307335073</v>
          </cell>
          <cell r="B537" t="str">
            <v>Horizon KBC ExpertEase Dyn, Tolerant Resp, Invest, Classic Shares Dis</v>
          </cell>
          <cell r="C537" t="str">
            <v>EUR-DIV-RETAIL</v>
          </cell>
          <cell r="D537">
            <v>20230302</v>
          </cell>
          <cell r="E537">
            <v>954.92</v>
          </cell>
        </row>
        <row r="538">
          <cell r="A538" t="str">
            <v>BE6307336089</v>
          </cell>
          <cell r="B538" t="str">
            <v>Horizon KBC Expertease Highly Dyn, Tolerant Resp, Invest, Classic Shares Cap</v>
          </cell>
          <cell r="C538" t="str">
            <v>EUR-KAP-RETAIL</v>
          </cell>
          <cell r="D538">
            <v>20230302</v>
          </cell>
          <cell r="E538">
            <v>1017.9</v>
          </cell>
        </row>
        <row r="539">
          <cell r="A539" t="str">
            <v>BE6307337095</v>
          </cell>
          <cell r="B539" t="str">
            <v>Horizon KBC Expertease Highly Dyn, Tolerant Resp, Invest, Classic Shares Dis</v>
          </cell>
          <cell r="C539" t="str">
            <v>EUR-DIV-RETAIL</v>
          </cell>
          <cell r="D539">
            <v>20230302</v>
          </cell>
          <cell r="E539">
            <v>980.54</v>
          </cell>
        </row>
        <row r="540">
          <cell r="A540" t="str">
            <v>BE6307376481</v>
          </cell>
          <cell r="B540" t="str">
            <v>Sivek Global Low Resp, Invest, Classic Shares Cap</v>
          </cell>
          <cell r="C540" t="str">
            <v>EUR-KAP-RETAIL</v>
          </cell>
          <cell r="D540">
            <v>20230302</v>
          </cell>
          <cell r="E540">
            <v>914.69</v>
          </cell>
        </row>
        <row r="541">
          <cell r="A541" t="str">
            <v>BE6307377497</v>
          </cell>
          <cell r="B541" t="str">
            <v>Sivek Global Low Resp, Invest, Classic Shares Dis</v>
          </cell>
          <cell r="C541" t="str">
            <v>EUR-DIV-RETAIL</v>
          </cell>
          <cell r="D541">
            <v>20230302</v>
          </cell>
          <cell r="E541">
            <v>890.35</v>
          </cell>
        </row>
        <row r="542">
          <cell r="A542" t="str">
            <v>BE6307378503</v>
          </cell>
          <cell r="B542" t="str">
            <v>Sivek Global Medium Resp, Invest, Classic Shares Cap</v>
          </cell>
          <cell r="C542" t="str">
            <v>EUR-KAP-RETAIL</v>
          </cell>
          <cell r="D542">
            <v>20230302</v>
          </cell>
          <cell r="E542">
            <v>1017.23</v>
          </cell>
        </row>
        <row r="543">
          <cell r="A543" t="str">
            <v>BE6307379519</v>
          </cell>
          <cell r="B543" t="str">
            <v>Sivek Global Medium Resp, Invest, Classic Shares Dis</v>
          </cell>
          <cell r="C543" t="str">
            <v>EUR-DIV-RETAIL</v>
          </cell>
          <cell r="D543">
            <v>20230302</v>
          </cell>
          <cell r="E543">
            <v>978.39</v>
          </cell>
        </row>
        <row r="544">
          <cell r="A544" t="str">
            <v>BE6307616944</v>
          </cell>
          <cell r="B544" t="str">
            <v>Perspective America 100 Timing USD 2 Cap</v>
          </cell>
          <cell r="C544" t="str">
            <v>USD-KAP-RETAIL</v>
          </cell>
          <cell r="D544">
            <v>20230228</v>
          </cell>
          <cell r="E544">
            <v>1131</v>
          </cell>
        </row>
        <row r="545">
          <cell r="A545" t="str">
            <v>BE6307728129</v>
          </cell>
          <cell r="B545" t="str">
            <v>KBC Equity Fund World Resp, Invest, Classic Shares Cap</v>
          </cell>
          <cell r="C545" t="str">
            <v>EUR-KAP-RETAIL</v>
          </cell>
          <cell r="D545">
            <v>20230302</v>
          </cell>
          <cell r="E545">
            <v>1296.58</v>
          </cell>
        </row>
        <row r="546">
          <cell r="A546" t="str">
            <v>BE6307729135</v>
          </cell>
          <cell r="B546" t="str">
            <v>KBC Equity Fund World Resp, Invest, Inst, B Shares Cap</v>
          </cell>
          <cell r="C546" t="str">
            <v>EUR-KAP-INSTIT,B</v>
          </cell>
          <cell r="D546">
            <v>20230302</v>
          </cell>
          <cell r="E546">
            <v>1339.17</v>
          </cell>
        </row>
        <row r="547">
          <cell r="A547" t="str">
            <v>BE6307731156</v>
          </cell>
          <cell r="B547" t="str">
            <v>KBC Equity Fund Eurozone Resp, Invest, Classic Shares Cap</v>
          </cell>
          <cell r="C547" t="str">
            <v>EUR-KAP-RETAIL</v>
          </cell>
          <cell r="D547">
            <v>20230302</v>
          </cell>
          <cell r="E547">
            <v>1176.6199999999999</v>
          </cell>
        </row>
        <row r="548">
          <cell r="A548" t="str">
            <v>BE6307732162</v>
          </cell>
          <cell r="B548" t="str">
            <v>KBC Equity Fund Eurozone Resp, Invest, Inst, B Shares Cap</v>
          </cell>
          <cell r="C548" t="str">
            <v>EUR-KAP-INSTIT,B</v>
          </cell>
          <cell r="D548">
            <v>20230302</v>
          </cell>
          <cell r="E548">
            <v>1206.19</v>
          </cell>
        </row>
        <row r="549">
          <cell r="A549" t="str">
            <v>BE6307763472</v>
          </cell>
          <cell r="B549" t="str">
            <v>KBC Equity Fund USA &amp; Canada Resp, Invest, Classic Shares Cap (empty)</v>
          </cell>
          <cell r="C549" t="str">
            <v>EUR-KAP-RETAIL</v>
          </cell>
          <cell r="D549">
            <v>20181105</v>
          </cell>
          <cell r="E549" t="str">
            <v>1000</v>
          </cell>
        </row>
        <row r="550">
          <cell r="A550" t="str">
            <v>BE6307764488</v>
          </cell>
          <cell r="B550" t="str">
            <v>KBC Equity Fund USA &amp; Canada Resp, Invest, Inst, B Shares Cap</v>
          </cell>
          <cell r="C550" t="str">
            <v>EUR-KAP-INSTIT,B</v>
          </cell>
          <cell r="D550">
            <v>20230302</v>
          </cell>
          <cell r="E550">
            <v>1449.24</v>
          </cell>
        </row>
        <row r="551">
          <cell r="A551" t="str">
            <v>BE6307772564</v>
          </cell>
          <cell r="B551" t="str">
            <v>KBC Equity Fund Asia Pacific Resp, Invest, Classic Shares Cap</v>
          </cell>
          <cell r="C551" t="str">
            <v>JPY-KAP-RETAIL</v>
          </cell>
          <cell r="D551">
            <v>20230302</v>
          </cell>
          <cell r="E551">
            <v>144422</v>
          </cell>
        </row>
        <row r="552">
          <cell r="A552" t="str">
            <v>BE6307773570</v>
          </cell>
          <cell r="B552" t="str">
            <v>KBC Equity Fund Asia Pacific Resp, Invest, Inst, B Shares Cap</v>
          </cell>
          <cell r="C552" t="str">
            <v>EUR-KAP-INSTIT,B</v>
          </cell>
          <cell r="D552">
            <v>20230302</v>
          </cell>
          <cell r="E552">
            <v>1134.19</v>
          </cell>
        </row>
        <row r="553">
          <cell r="A553" t="str">
            <v>BE6307776607</v>
          </cell>
          <cell r="B553" t="str">
            <v>KBC Equity Fund North America Resp, Invest, Classic Shares Cap</v>
          </cell>
          <cell r="C553" t="str">
            <v>USD-KAP-RETAIL</v>
          </cell>
          <cell r="D553">
            <v>20230302</v>
          </cell>
          <cell r="E553">
            <v>1299.26</v>
          </cell>
        </row>
        <row r="554">
          <cell r="A554" t="str">
            <v>BE6307777613</v>
          </cell>
          <cell r="B554" t="str">
            <v>KBC Equity Fund North America Resp, Invest, Inst, B Shares Cap</v>
          </cell>
          <cell r="C554" t="str">
            <v>EUR-KAP-INSTIT,B</v>
          </cell>
          <cell r="D554">
            <v>20230302</v>
          </cell>
          <cell r="E554">
            <v>1499.57</v>
          </cell>
        </row>
        <row r="555">
          <cell r="A555" t="str">
            <v>BE6307779635</v>
          </cell>
          <cell r="B555" t="str">
            <v>KBC Equity Fund Rest of Europe Resp, Invest, Classic Shares Cap</v>
          </cell>
          <cell r="C555" t="str">
            <v>EUR-KAP-RETAIL</v>
          </cell>
          <cell r="D555">
            <v>20230302</v>
          </cell>
          <cell r="E555">
            <v>1313.84</v>
          </cell>
        </row>
        <row r="556">
          <cell r="A556" t="str">
            <v>BE6307780641</v>
          </cell>
          <cell r="B556" t="str">
            <v>KBC Equity Fund Rest of Europe Resp, Invest, Inst, B Shares Cap</v>
          </cell>
          <cell r="C556" t="str">
            <v>EUR-KAP-INSTIT,B</v>
          </cell>
          <cell r="D556">
            <v>20230302</v>
          </cell>
          <cell r="E556">
            <v>1339.77</v>
          </cell>
        </row>
        <row r="557">
          <cell r="A557" t="str">
            <v>BE6307798825</v>
          </cell>
          <cell r="B557" t="str">
            <v>KBC-Life ExpertEase Def, Conservative Cap</v>
          </cell>
          <cell r="C557" t="str">
            <v>EUR-KAP-INSTITUTIONEEL</v>
          </cell>
          <cell r="D557">
            <v>20230301</v>
          </cell>
          <cell r="E557">
            <v>966.6</v>
          </cell>
        </row>
        <row r="558">
          <cell r="A558" t="str">
            <v>BE6307804888</v>
          </cell>
          <cell r="B558" t="str">
            <v>KBC-Life ExpertEase Def, Tolerant Cap</v>
          </cell>
          <cell r="C558" t="str">
            <v>EUR-KAP-INSTITUTIONEEL</v>
          </cell>
          <cell r="D558">
            <v>20230301</v>
          </cell>
          <cell r="E558">
            <v>970.97</v>
          </cell>
        </row>
        <row r="559">
          <cell r="A559" t="str">
            <v>BE6307811958</v>
          </cell>
          <cell r="B559" t="str">
            <v>KBC-Life ExpertEase Dyn, Tolerant Cap</v>
          </cell>
          <cell r="C559" t="str">
            <v>EUR-KAP-INSTITUTIONEEL</v>
          </cell>
          <cell r="D559">
            <v>20230301</v>
          </cell>
          <cell r="E559">
            <v>1008.6</v>
          </cell>
        </row>
        <row r="560">
          <cell r="A560" t="str">
            <v>BE6307815025</v>
          </cell>
          <cell r="B560" t="str">
            <v>KBC-Life ExpertEase Def, Conservative Resp, Invest, Cap</v>
          </cell>
          <cell r="C560" t="str">
            <v>EUR-KAP-INSTITUTIONEEL</v>
          </cell>
          <cell r="D560">
            <v>20230301</v>
          </cell>
          <cell r="E560">
            <v>954.21</v>
          </cell>
        </row>
        <row r="561">
          <cell r="A561" t="str">
            <v>BE6307816031</v>
          </cell>
          <cell r="B561" t="str">
            <v>KBC-Life ExpertEase Def, Tolerant Resp, Invest, Cap</v>
          </cell>
          <cell r="C561" t="str">
            <v>EUR-KAP-INSTITUTIONEEL</v>
          </cell>
          <cell r="D561">
            <v>20230301</v>
          </cell>
          <cell r="E561">
            <v>947.16</v>
          </cell>
        </row>
        <row r="562">
          <cell r="A562" t="str">
            <v>BE6307818052</v>
          </cell>
          <cell r="B562" t="str">
            <v>KBC-Life ExpertEase Dyn, Tolerant Resp, Invest, Cap</v>
          </cell>
          <cell r="C562" t="str">
            <v>EUR-KAP-INSTITUTIONEEL</v>
          </cell>
          <cell r="D562">
            <v>20230301</v>
          </cell>
          <cell r="E562">
            <v>983.53</v>
          </cell>
        </row>
        <row r="563">
          <cell r="A563" t="str">
            <v>BE6307937274</v>
          </cell>
          <cell r="B563" t="str">
            <v>Perspective Best In Class Leaders 90 1 Cap</v>
          </cell>
          <cell r="C563" t="str">
            <v>EUR-KAP-RETAIL</v>
          </cell>
          <cell r="D563">
            <v>20230228</v>
          </cell>
          <cell r="E563">
            <v>1053.76</v>
          </cell>
        </row>
        <row r="564">
          <cell r="A564" t="str">
            <v>BE6307940302</v>
          </cell>
          <cell r="B564" t="str">
            <v>KBC-Life MI+ Best In Class Leaders 90-1 Cap</v>
          </cell>
          <cell r="C564" t="str">
            <v>EUR-NOTE-RETAIL</v>
          </cell>
          <cell r="D564">
            <v>20230228</v>
          </cell>
          <cell r="E564">
            <v>1040.1199999999999</v>
          </cell>
        </row>
        <row r="565">
          <cell r="A565" t="str">
            <v>BE6308641529</v>
          </cell>
          <cell r="B565" t="str">
            <v>Perspective Best In Class Leaders 90 2 Cap</v>
          </cell>
          <cell r="C565" t="str">
            <v>EUR-KAP-RETAIL</v>
          </cell>
          <cell r="D565">
            <v>20230228</v>
          </cell>
          <cell r="E565">
            <v>1081.17</v>
          </cell>
        </row>
        <row r="566">
          <cell r="A566" t="str">
            <v>BE6308654654</v>
          </cell>
          <cell r="B566" t="str">
            <v>KBC-Life MI+ Best In Class Leaders 90-2 Cap</v>
          </cell>
          <cell r="C566" t="str">
            <v>EUR-NOTE-RETAIL</v>
          </cell>
          <cell r="D566">
            <v>20230228</v>
          </cell>
          <cell r="E566">
            <v>1062.1199999999999</v>
          </cell>
        </row>
        <row r="567">
          <cell r="A567" t="str">
            <v>BE6308657681</v>
          </cell>
          <cell r="B567" t="str">
            <v>Perspective America 100 Timing USD 3 Cap</v>
          </cell>
          <cell r="C567" t="str">
            <v>USD-KAP-RETAIL</v>
          </cell>
          <cell r="D567">
            <v>20230228</v>
          </cell>
          <cell r="E567">
            <v>1147.93</v>
          </cell>
        </row>
        <row r="568">
          <cell r="A568" t="str">
            <v>BE6308810272</v>
          </cell>
          <cell r="B568" t="str">
            <v>Optimum Fund ČSOB Zboží dlouhodobé spotřeby 1 Cap</v>
          </cell>
          <cell r="C568" t="str">
            <v>CZK-KAP-RETAIL,PRIVBK</v>
          </cell>
          <cell r="D568">
            <v>20230228</v>
          </cell>
          <cell r="E568">
            <v>10.31</v>
          </cell>
        </row>
        <row r="569">
          <cell r="A569" t="str">
            <v>BE6308824414</v>
          </cell>
          <cell r="B569" t="str">
            <v>Optimum Fund ČSOB Private Banking Family Enterprises 1 Cap</v>
          </cell>
          <cell r="C569" t="str">
            <v>CZK-KAP-PRIV,BK</v>
          </cell>
          <cell r="D569">
            <v>20230228</v>
          </cell>
          <cell r="E569">
            <v>10.93</v>
          </cell>
        </row>
        <row r="570">
          <cell r="A570" t="str">
            <v>BE6309410452</v>
          </cell>
          <cell r="B570" t="str">
            <v>KBC Inst, Investors Structural Growth DBI Dis</v>
          </cell>
          <cell r="C570" t="str">
            <v>EUR-DIV-INSTITUTIONEEL</v>
          </cell>
          <cell r="D570">
            <v>20230302</v>
          </cell>
          <cell r="E570">
            <v>974.95</v>
          </cell>
        </row>
        <row r="571">
          <cell r="A571" t="str">
            <v>BE6309478160</v>
          </cell>
          <cell r="B571" t="str">
            <v>KBC-Life MI+ Value Selection 90-1 Cap</v>
          </cell>
          <cell r="C571" t="str">
            <v>EUR-NOTE-RETAIL</v>
          </cell>
          <cell r="D571">
            <v>20230228</v>
          </cell>
          <cell r="E571">
            <v>1074.51</v>
          </cell>
        </row>
        <row r="572">
          <cell r="A572" t="str">
            <v>BE6309481198</v>
          </cell>
          <cell r="B572" t="str">
            <v>Perspective America 100 Timing USD 4 Cap</v>
          </cell>
          <cell r="C572" t="str">
            <v>USD-KAP-RETAIL</v>
          </cell>
          <cell r="D572">
            <v>20230228</v>
          </cell>
          <cell r="E572">
            <v>1100.5899999999999</v>
          </cell>
        </row>
        <row r="573">
          <cell r="A573" t="str">
            <v>BE6309482204</v>
          </cell>
          <cell r="B573" t="str">
            <v>Perspective World 90 1 Cap</v>
          </cell>
          <cell r="C573" t="str">
            <v>EUR-KAP-RETAIL</v>
          </cell>
          <cell r="D573">
            <v>20230228</v>
          </cell>
          <cell r="E573">
            <v>1128.5999999999999</v>
          </cell>
        </row>
        <row r="574">
          <cell r="A574" t="str">
            <v>BE6309645867</v>
          </cell>
          <cell r="B574" t="str">
            <v>KBC Multi Interest Cash Standard Duration Resp, Invest, Inst, B Shares Cap</v>
          </cell>
          <cell r="C574" t="str">
            <v>EUR-KAP-INSTIT,B</v>
          </cell>
          <cell r="D574">
            <v>20230302</v>
          </cell>
          <cell r="E574">
            <v>969.65</v>
          </cell>
        </row>
        <row r="575">
          <cell r="A575" t="str">
            <v>BE6309646873</v>
          </cell>
          <cell r="B575" t="str">
            <v>KBC Multi Interest Cash Standard Duration Resp, Invest, Classic Shares Cap (empty)</v>
          </cell>
          <cell r="C575" t="str">
            <v>EUR-KAP-RETAIL</v>
          </cell>
          <cell r="D575">
            <v>20190325</v>
          </cell>
          <cell r="E575">
            <v>998.66600000000005</v>
          </cell>
        </row>
        <row r="576">
          <cell r="A576" t="str">
            <v>BE6309647889</v>
          </cell>
          <cell r="B576" t="str">
            <v>Horizon Flexible Portf, January Resp, Invest, Cap</v>
          </cell>
          <cell r="C576" t="str">
            <v>EUR-KAP-RETAIL</v>
          </cell>
          <cell r="D576">
            <v>20230302</v>
          </cell>
          <cell r="E576">
            <v>1011.08</v>
          </cell>
        </row>
        <row r="577">
          <cell r="A577" t="str">
            <v>BE6309650917</v>
          </cell>
          <cell r="B577" t="str">
            <v>Horizon Flexible Portf, January Resp, Invest, Dis</v>
          </cell>
          <cell r="C577" t="str">
            <v>EUR-DIV-RETAIL</v>
          </cell>
          <cell r="D577">
            <v>20230302</v>
          </cell>
          <cell r="E577">
            <v>971.05</v>
          </cell>
        </row>
        <row r="578">
          <cell r="A578" t="str">
            <v>BE6310082381</v>
          </cell>
          <cell r="B578" t="str">
            <v>KBC-Life MI+ Value Selection 90-2 Cap</v>
          </cell>
          <cell r="C578" t="str">
            <v>EUR-NOTE-RETAIL</v>
          </cell>
          <cell r="D578">
            <v>20230228</v>
          </cell>
          <cell r="E578">
            <v>1018.88</v>
          </cell>
        </row>
        <row r="579">
          <cell r="A579" t="str">
            <v>BE6310083397</v>
          </cell>
          <cell r="B579" t="str">
            <v>Perspective World 90 2 Cap</v>
          </cell>
          <cell r="C579" t="str">
            <v>EUR-KAP-RETAIL</v>
          </cell>
          <cell r="D579">
            <v>20230228</v>
          </cell>
          <cell r="E579">
            <v>1084.95</v>
          </cell>
        </row>
        <row r="580">
          <cell r="A580" t="str">
            <v>BE6310162217</v>
          </cell>
          <cell r="B580" t="str">
            <v>KBC-Life Flexible Portf, January Resp, Invest, Cap</v>
          </cell>
          <cell r="C580" t="str">
            <v>EUR-KAP-INSTITUTIONEEL</v>
          </cell>
          <cell r="D580">
            <v>20230301</v>
          </cell>
          <cell r="E580">
            <v>999.59</v>
          </cell>
        </row>
        <row r="581">
          <cell r="A581" t="str">
            <v>BE6310163223</v>
          </cell>
          <cell r="B581" t="str">
            <v>KBC-Life Def, Resp, Invest, Cap</v>
          </cell>
          <cell r="C581" t="str">
            <v>EUR-KAP-INSTITUTIONEEL</v>
          </cell>
          <cell r="D581">
            <v>20230301</v>
          </cell>
          <cell r="E581">
            <v>919.12</v>
          </cell>
        </row>
        <row r="582">
          <cell r="A582" t="str">
            <v>BE6310164239</v>
          </cell>
          <cell r="B582" t="str">
            <v>KBC-Life Neutral Resp, Invest, Cap</v>
          </cell>
          <cell r="C582" t="str">
            <v>EUR-KAP-INSTITUTIONEEL</v>
          </cell>
          <cell r="D582">
            <v>20230301</v>
          </cell>
          <cell r="E582">
            <v>1022.56</v>
          </cell>
        </row>
        <row r="583">
          <cell r="A583" t="str">
            <v>BE6310188477</v>
          </cell>
          <cell r="B583" t="str">
            <v>Perspective America 100 Timing USD 5 Cap</v>
          </cell>
          <cell r="C583" t="str">
            <v>USD-KAP-RETAIL</v>
          </cell>
          <cell r="D583">
            <v>20230228</v>
          </cell>
          <cell r="E583">
            <v>1046.7</v>
          </cell>
        </row>
        <row r="584">
          <cell r="A584" t="str">
            <v>BE6310265275</v>
          </cell>
          <cell r="B584" t="str">
            <v>Optimum Fund ČSOB Světových firem s lookbackem 1 Cap</v>
          </cell>
          <cell r="C584" t="str">
            <v>CZK-KAP-PRIV,BK</v>
          </cell>
          <cell r="D584">
            <v>20230228</v>
          </cell>
          <cell r="E584">
            <v>10.02</v>
          </cell>
        </row>
        <row r="585">
          <cell r="A585" t="str">
            <v>BE6310966492</v>
          </cell>
          <cell r="B585" t="str">
            <v>Perspective Global 90 1 Cap</v>
          </cell>
          <cell r="C585" t="str">
            <v>EUR-KAP-RETAIL</v>
          </cell>
          <cell r="D585">
            <v>20230228</v>
          </cell>
          <cell r="E585">
            <v>1081.31</v>
          </cell>
        </row>
        <row r="586">
          <cell r="A586" t="str">
            <v>BE6311001844</v>
          </cell>
          <cell r="B586" t="str">
            <v>Perspective America 100 Timing USD 6 Cap</v>
          </cell>
          <cell r="C586" t="str">
            <v>USD-KAP-RETAIL</v>
          </cell>
          <cell r="D586">
            <v>20230228</v>
          </cell>
          <cell r="E586">
            <v>1054.94</v>
          </cell>
        </row>
        <row r="587">
          <cell r="A587" t="str">
            <v>BE6311002859</v>
          </cell>
          <cell r="B587" t="str">
            <v>KBC-Life MI+ Value Selection 90-3 Cap</v>
          </cell>
          <cell r="C587" t="str">
            <v>EUR-NOTE-RETAIL</v>
          </cell>
          <cell r="D587">
            <v>20230228</v>
          </cell>
          <cell r="E587">
            <v>993.58</v>
          </cell>
        </row>
        <row r="588">
          <cell r="A588" t="str">
            <v>BE6311160491</v>
          </cell>
          <cell r="B588" t="str">
            <v>Horizon ČSOB Financie 1 Cap</v>
          </cell>
          <cell r="C588" t="str">
            <v>EUR-KAP-RETAIL</v>
          </cell>
          <cell r="D588">
            <v>20230228</v>
          </cell>
          <cell r="E588">
            <v>10.87</v>
          </cell>
        </row>
        <row r="589">
          <cell r="A589" t="str">
            <v>BE6311809196</v>
          </cell>
          <cell r="B589" t="str">
            <v>KBC Equity Fund EMU Small &amp; Medium Caps Resp, Invest, Classic Shares Cap</v>
          </cell>
          <cell r="C589" t="str">
            <v>EUR-KAP-RETAIL</v>
          </cell>
          <cell r="D589">
            <v>20230302</v>
          </cell>
          <cell r="E589">
            <v>1283.9000000000001</v>
          </cell>
        </row>
        <row r="590">
          <cell r="A590" t="str">
            <v>BE6311811218</v>
          </cell>
          <cell r="B590" t="str">
            <v>KBC Equity Fund EMU Small &amp; Medium Caps Resp, Invest, Classic Shares Dis</v>
          </cell>
          <cell r="C590" t="str">
            <v>EUR-DIV-RETAIL</v>
          </cell>
          <cell r="D590">
            <v>20230302</v>
          </cell>
          <cell r="E590">
            <v>1253.8699999999999</v>
          </cell>
        </row>
        <row r="591">
          <cell r="A591" t="str">
            <v>BE6311812224</v>
          </cell>
          <cell r="B591" t="str">
            <v>KBC Equity Fund EMU Small &amp; Medium Caps Resp, Invest, Inst, Shares Cap</v>
          </cell>
          <cell r="C591" t="str">
            <v>EUR-KAP-INSTITUTIONEEL</v>
          </cell>
          <cell r="D591">
            <v>20230302</v>
          </cell>
          <cell r="E591">
            <v>1348.89</v>
          </cell>
        </row>
        <row r="592">
          <cell r="A592" t="str">
            <v>BE6311815250</v>
          </cell>
          <cell r="B592" t="str">
            <v>KBC Equity Fund EMU Small &amp; Medium Caps Resp, Invest, Inst, Shares Dis</v>
          </cell>
          <cell r="C592" t="str">
            <v>EUR-DIV-INSTITUTIONEEL</v>
          </cell>
          <cell r="D592">
            <v>20230302</v>
          </cell>
          <cell r="E592">
            <v>1292.1300000000001</v>
          </cell>
        </row>
        <row r="593">
          <cell r="A593" t="str">
            <v>BE6311834442</v>
          </cell>
          <cell r="B593" t="str">
            <v>Horizon KBC ExpertEase Def, Tolerant Comfort Portf, Shares Cap</v>
          </cell>
          <cell r="C593" t="str">
            <v>EUR-KAP-COMF,PTF</v>
          </cell>
          <cell r="D593">
            <v>20230302</v>
          </cell>
          <cell r="E593">
            <v>975.8</v>
          </cell>
        </row>
        <row r="594">
          <cell r="A594" t="str">
            <v>BE6311835456</v>
          </cell>
          <cell r="B594" t="str">
            <v>Horizon KBC ExpertEase Def, Tolerant Comfort Portf, Shares Dis</v>
          </cell>
          <cell r="C594" t="str">
            <v>EUR-DIV-COMF,PTF</v>
          </cell>
          <cell r="D594">
            <v>20230302</v>
          </cell>
          <cell r="E594">
            <v>944.73</v>
          </cell>
        </row>
        <row r="595">
          <cell r="A595" t="str">
            <v>BE6311836462</v>
          </cell>
          <cell r="B595" t="str">
            <v>Horizon KBC ExpertEase Dyn, Tolerant Comfort Portf, Shares Cap</v>
          </cell>
          <cell r="C595" t="str">
            <v>EUR-KAP-COMF,PTF</v>
          </cell>
          <cell r="D595">
            <v>20230302</v>
          </cell>
          <cell r="E595">
            <v>1015</v>
          </cell>
        </row>
        <row r="596">
          <cell r="A596" t="str">
            <v>BE6311837478</v>
          </cell>
          <cell r="B596" t="str">
            <v>Horizon KBC ExpertEase Dyn, Tolerant Comfort Portf, Shares Dis</v>
          </cell>
          <cell r="C596" t="str">
            <v>EUR-DIV-COMF,PTF</v>
          </cell>
          <cell r="D596">
            <v>20230302</v>
          </cell>
          <cell r="E596">
            <v>973.15</v>
          </cell>
        </row>
        <row r="597">
          <cell r="A597" t="str">
            <v>BE6311838484</v>
          </cell>
          <cell r="B597" t="str">
            <v>Horizon KBC ExpertEase Def, Balanced Resp, Invest, Comfort Portf, Shares Cap</v>
          </cell>
          <cell r="C597" t="str">
            <v>EUR-KAP-COMF,PTF</v>
          </cell>
          <cell r="D597">
            <v>20230302</v>
          </cell>
          <cell r="E597">
            <v>942.45</v>
          </cell>
        </row>
        <row r="598">
          <cell r="A598" t="str">
            <v>BE6311839490</v>
          </cell>
          <cell r="B598" t="str">
            <v>Horizon KBC ExpertEase Def, Balanced Resp, Invest, Comfort Portf, Shares Dis</v>
          </cell>
          <cell r="C598" t="str">
            <v>EUR-DIV-COMF,PTF</v>
          </cell>
          <cell r="D598">
            <v>20230302</v>
          </cell>
          <cell r="E598">
            <v>924.28</v>
          </cell>
        </row>
        <row r="599">
          <cell r="A599" t="str">
            <v>BE6311840506</v>
          </cell>
          <cell r="B599" t="str">
            <v>Horizon KBC ExpertEase Def, Tolerant Resp, Invest, Comfort Portf, Shares Cap</v>
          </cell>
          <cell r="C599" t="str">
            <v>EUR-KAP-COMF,PTF</v>
          </cell>
          <cell r="D599">
            <v>20230302</v>
          </cell>
          <cell r="E599">
            <v>951.63</v>
          </cell>
        </row>
        <row r="600">
          <cell r="A600" t="str">
            <v>BE6311841512</v>
          </cell>
          <cell r="B600" t="str">
            <v>Horizon KBC ExpertEase Def, Tolerant Resp, Invest, Comfort Portf, Shares Dis</v>
          </cell>
          <cell r="C600" t="str">
            <v>EUR-DIV-COMF,PTF</v>
          </cell>
          <cell r="D600">
            <v>20230302</v>
          </cell>
          <cell r="E600">
            <v>930.31</v>
          </cell>
        </row>
        <row r="601">
          <cell r="A601" t="str">
            <v>BE6311842528</v>
          </cell>
          <cell r="B601" t="str">
            <v>Horizon KBC ExpertEase Dyn, Balanced Resp, Invest, Comfort Portf, Shares Cap</v>
          </cell>
          <cell r="C601" t="str">
            <v>EUR-KAP-COMF,PTF</v>
          </cell>
          <cell r="D601">
            <v>20230302</v>
          </cell>
          <cell r="E601">
            <v>1002.14</v>
          </cell>
        </row>
        <row r="602">
          <cell r="A602" t="str">
            <v>BE6311843534</v>
          </cell>
          <cell r="B602" t="str">
            <v>Horizon KBC ExpertEase Dyn, Balanced Resp, Invest, Comfort Portf, Shares Dis</v>
          </cell>
          <cell r="C602" t="str">
            <v>EUR-DIV-COMF,PTF</v>
          </cell>
          <cell r="D602">
            <v>20230302</v>
          </cell>
          <cell r="E602">
            <v>976.55</v>
          </cell>
        </row>
        <row r="603">
          <cell r="A603" t="str">
            <v>BE6311844540</v>
          </cell>
          <cell r="B603" t="str">
            <v>Horizon KBC ExpertEase Dyn, Tolerant Resp, Invest, Comfort Portf, Shares Cap</v>
          </cell>
          <cell r="C603" t="str">
            <v>EUR-KAP-COMF,PTF</v>
          </cell>
          <cell r="D603">
            <v>20230302</v>
          </cell>
          <cell r="E603">
            <v>991.29</v>
          </cell>
        </row>
        <row r="604">
          <cell r="A604" t="str">
            <v>BE6311845554</v>
          </cell>
          <cell r="B604" t="str">
            <v>Horizon KBC ExpertEase Dyn, Tolerant Resp, Invest, Comfort Portf, Shares Dis</v>
          </cell>
          <cell r="C604" t="str">
            <v>EUR-DIV-COMF,PTF</v>
          </cell>
          <cell r="D604">
            <v>20230302</v>
          </cell>
          <cell r="E604">
            <v>964.21</v>
          </cell>
        </row>
        <row r="605">
          <cell r="A605" t="str">
            <v>BE6311859696</v>
          </cell>
          <cell r="B605" t="str">
            <v>Horizon KBC ExpertEase Highly Dyn, Tolerant Comfort Portf, Shares Cap</v>
          </cell>
          <cell r="C605" t="str">
            <v>EUR-KAP-COMF,PTF</v>
          </cell>
          <cell r="D605">
            <v>20230302</v>
          </cell>
          <cell r="E605">
            <v>1047.55</v>
          </cell>
        </row>
        <row r="606">
          <cell r="A606" t="str">
            <v>BE6311860702</v>
          </cell>
          <cell r="B606" t="str">
            <v>Horizon KBC ExpertEase Highly Dyn, Tolerant Comfort Portf, Shares Dis</v>
          </cell>
          <cell r="C606" t="str">
            <v>EUR-DIV-COMF,PTF</v>
          </cell>
          <cell r="D606">
            <v>20230302</v>
          </cell>
          <cell r="E606">
            <v>1046.1600000000001</v>
          </cell>
        </row>
        <row r="607">
          <cell r="A607" t="str">
            <v>BE6311861718</v>
          </cell>
          <cell r="B607" t="str">
            <v>Horizon KBC Expertease Highly Dyn, Tolerant Resp, Invest, Comfort Portf, Shares Cap</v>
          </cell>
          <cell r="C607" t="str">
            <v>EUR-KAP-COMF,PTF</v>
          </cell>
          <cell r="D607">
            <v>20230302</v>
          </cell>
          <cell r="E607">
            <v>1023.48</v>
          </cell>
        </row>
        <row r="608">
          <cell r="A608" t="str">
            <v>BE6311862724</v>
          </cell>
          <cell r="B608" t="str">
            <v>Horizon KBC Expertease Highly Dyn, Tolerant Resp, Invest, Comfort Portf, Shares Dis</v>
          </cell>
          <cell r="C608" t="str">
            <v>EUR-DIV-COMF,PTF</v>
          </cell>
          <cell r="D608">
            <v>20230302</v>
          </cell>
          <cell r="E608">
            <v>990.76</v>
          </cell>
        </row>
        <row r="609">
          <cell r="A609" t="str">
            <v>BE6311868788</v>
          </cell>
          <cell r="B609" t="str">
            <v>Horizon KBC ExpertEase Def, Balanced Comfort Portf, Shares Cap</v>
          </cell>
          <cell r="C609" t="str">
            <v>EUR-KAP-COMF,PTF</v>
          </cell>
          <cell r="D609">
            <v>20230302</v>
          </cell>
          <cell r="E609">
            <v>956.57</v>
          </cell>
        </row>
        <row r="610">
          <cell r="A610" t="str">
            <v>BE6311870800</v>
          </cell>
          <cell r="B610" t="str">
            <v>Horizon KBC ExpertEase Def, Balanced Comfort Portf, Shares Dis</v>
          </cell>
          <cell r="C610" t="str">
            <v>EUR-DIV-COMF,PTF</v>
          </cell>
          <cell r="D610">
            <v>20230302</v>
          </cell>
          <cell r="E610">
            <v>927.09</v>
          </cell>
        </row>
        <row r="611">
          <cell r="A611" t="str">
            <v>BE6311871816</v>
          </cell>
          <cell r="B611" t="str">
            <v>Horizon KBC ExpertEase Dyn, Balanced Comfort Portf, Shares Cap</v>
          </cell>
          <cell r="C611" t="str">
            <v>EUR-KAP-COMF,PTF</v>
          </cell>
          <cell r="D611">
            <v>20230302</v>
          </cell>
          <cell r="E611">
            <v>1019.92</v>
          </cell>
        </row>
        <row r="612">
          <cell r="A612" t="str">
            <v>BE6311872822</v>
          </cell>
          <cell r="B612" t="str">
            <v>Horizon KBC ExpertEase Dyn, Balanced Comfort Portf, Shares Dis</v>
          </cell>
          <cell r="C612" t="str">
            <v>EUR-DIV-COMF,PTF</v>
          </cell>
          <cell r="D612">
            <v>20230302</v>
          </cell>
          <cell r="E612">
            <v>988.17</v>
          </cell>
        </row>
        <row r="613">
          <cell r="A613" t="str">
            <v>BE6311873838</v>
          </cell>
          <cell r="B613" t="str">
            <v>Perspective Global 90 2 Cap</v>
          </cell>
          <cell r="C613" t="str">
            <v>EUR-KAP-RETAIL</v>
          </cell>
          <cell r="D613">
            <v>20230228</v>
          </cell>
          <cell r="E613">
            <v>1034.78</v>
          </cell>
        </row>
        <row r="614">
          <cell r="A614" t="str">
            <v>BE6311874844</v>
          </cell>
          <cell r="B614" t="str">
            <v>Perspective North America 100 Timing USD 1 Cap</v>
          </cell>
          <cell r="C614" t="str">
            <v>USD-KAP-RETAIL</v>
          </cell>
          <cell r="D614">
            <v>20230228</v>
          </cell>
          <cell r="E614">
            <v>1091.46</v>
          </cell>
        </row>
        <row r="615">
          <cell r="A615" t="str">
            <v>BE6311880908</v>
          </cell>
          <cell r="B615" t="str">
            <v>KBC-Life MI+ Value Selection 90-4 Cap</v>
          </cell>
          <cell r="C615" t="str">
            <v>EUR-NOTE-RETAIL</v>
          </cell>
          <cell r="D615">
            <v>20230228</v>
          </cell>
          <cell r="E615">
            <v>1069.71</v>
          </cell>
        </row>
        <row r="616">
          <cell r="A616" t="str">
            <v>BE6311894073</v>
          </cell>
          <cell r="B616" t="str">
            <v>KBC-Life ExpertEase Def, Conservative Comfort Portf, Cap</v>
          </cell>
          <cell r="C616" t="str">
            <v>EUR-KAP-COMF,PTF</v>
          </cell>
          <cell r="D616">
            <v>20230301</v>
          </cell>
          <cell r="E616">
            <v>949.01</v>
          </cell>
        </row>
        <row r="617">
          <cell r="A617" t="str">
            <v>BE6311895088</v>
          </cell>
          <cell r="B617" t="str">
            <v>KBC-Life ExpertEase Def, Balanced Comfort Portf, Cap</v>
          </cell>
          <cell r="C617" t="str">
            <v>EUR-KAP-COMF,PTF</v>
          </cell>
          <cell r="D617">
            <v>20230301</v>
          </cell>
          <cell r="E617">
            <v>952.22</v>
          </cell>
        </row>
        <row r="618">
          <cell r="A618" t="str">
            <v>BE6311896094</v>
          </cell>
          <cell r="B618" t="str">
            <v>KBC-Life ExpertEase Def, Tolerant Comfort Portf, Cap</v>
          </cell>
          <cell r="C618" t="str">
            <v>EUR-KAP-COMF,PTF</v>
          </cell>
          <cell r="D618">
            <v>20230301</v>
          </cell>
          <cell r="E618">
            <v>973.53</v>
          </cell>
        </row>
        <row r="619">
          <cell r="A619" t="str">
            <v>BE6311897100</v>
          </cell>
          <cell r="B619" t="str">
            <v>KBC-Life ExpertEase Dyn, Balanced Comfort Portf, Cap</v>
          </cell>
          <cell r="C619" t="str">
            <v>EUR-KAP-COMF,PTF</v>
          </cell>
          <cell r="D619">
            <v>20230301</v>
          </cell>
          <cell r="E619">
            <v>1015.72</v>
          </cell>
        </row>
        <row r="620">
          <cell r="A620" t="str">
            <v>BE6311898116</v>
          </cell>
          <cell r="B620" t="str">
            <v>KBC-Life ExpertEase Dyn, Tolerant Comfort Portf, Cap</v>
          </cell>
          <cell r="C620" t="str">
            <v>EUR-KAP-COMF,PTF</v>
          </cell>
          <cell r="D620">
            <v>20230301</v>
          </cell>
          <cell r="E620">
            <v>1011.7</v>
          </cell>
        </row>
        <row r="621">
          <cell r="A621" t="str">
            <v>BE6311901142</v>
          </cell>
          <cell r="B621" t="str">
            <v>KBC-Life ExpertEase Def, Conservative Resp, Invest, Comfort Portf, Cap</v>
          </cell>
          <cell r="C621" t="str">
            <v>EUR-KAP-COMF,PTF</v>
          </cell>
          <cell r="D621">
            <v>20230301</v>
          </cell>
          <cell r="E621">
            <v>949.42</v>
          </cell>
        </row>
        <row r="622">
          <cell r="A622" t="str">
            <v>BE6311902157</v>
          </cell>
          <cell r="B622" t="str">
            <v>KBC-Life ExpertEase Def, Balanced Resp, Invest, Comfort Portf, Cap</v>
          </cell>
          <cell r="C622" t="str">
            <v>EUR-KAP-COMF,PTF</v>
          </cell>
          <cell r="D622">
            <v>20230301</v>
          </cell>
          <cell r="E622">
            <v>942.84</v>
          </cell>
        </row>
        <row r="623">
          <cell r="A623" t="str">
            <v>BE6311903163</v>
          </cell>
          <cell r="B623" t="str">
            <v>KBC-Life ExpertEase Def, Tolerant Resp, Invest, Comfort Portf, Cap</v>
          </cell>
          <cell r="C623" t="str">
            <v>EUR-KAP-COMF,PTF</v>
          </cell>
          <cell r="D623">
            <v>20230301</v>
          </cell>
          <cell r="E623">
            <v>951.16</v>
          </cell>
        </row>
        <row r="624">
          <cell r="A624" t="str">
            <v>BE6311904179</v>
          </cell>
          <cell r="B624" t="str">
            <v>KBC-Life ExpertEase Dyn, Balanced Resp, Invest, Comfort Portf, Cap</v>
          </cell>
          <cell r="C624" t="str">
            <v>EUR-KAP-COMF,PTF</v>
          </cell>
          <cell r="D624">
            <v>20230301</v>
          </cell>
          <cell r="E624">
            <v>1000.01</v>
          </cell>
        </row>
        <row r="625">
          <cell r="A625" t="str">
            <v>BE6311905184</v>
          </cell>
          <cell r="B625" t="str">
            <v>KBC-Life ExpertEase Dyn, Tolerant Resp, Invest, Comfort Portf, Cap</v>
          </cell>
          <cell r="C625" t="str">
            <v>EUR-KAP-COMF,PTF</v>
          </cell>
          <cell r="D625">
            <v>20230301</v>
          </cell>
          <cell r="E625">
            <v>988.32</v>
          </cell>
        </row>
        <row r="626">
          <cell r="A626" t="str">
            <v>BE6312053695</v>
          </cell>
          <cell r="B626" t="str">
            <v>Optimum Fund ČSOB Airbag Jumper EUR 15 Cap</v>
          </cell>
          <cell r="C626" t="str">
            <v>EUR-KAP-RETAIL,PRIVBK</v>
          </cell>
          <cell r="D626">
            <v>20230228</v>
          </cell>
          <cell r="E626">
            <v>9.17</v>
          </cell>
        </row>
        <row r="627">
          <cell r="A627" t="str">
            <v>BE6312404328</v>
          </cell>
          <cell r="B627" t="str">
            <v>Perspective Global 90 3 Cap</v>
          </cell>
          <cell r="C627" t="str">
            <v>EUR-KAP-RETAIL</v>
          </cell>
          <cell r="D627">
            <v>20230228</v>
          </cell>
          <cell r="E627">
            <v>994.92</v>
          </cell>
        </row>
        <row r="628">
          <cell r="A628" t="str">
            <v>BE6312424524</v>
          </cell>
          <cell r="B628" t="str">
            <v>KBC-Life MI+ Value Selection 90-5 Cap</v>
          </cell>
          <cell r="C628" t="str">
            <v>EUR-NOTE-RETAIL</v>
          </cell>
          <cell r="D628">
            <v>20230228</v>
          </cell>
          <cell r="E628">
            <v>1083.74</v>
          </cell>
        </row>
        <row r="629">
          <cell r="A629" t="str">
            <v>BE6312425539</v>
          </cell>
          <cell r="B629" t="str">
            <v>Perspective North America 100 Timing USD 2 Cap</v>
          </cell>
          <cell r="C629" t="str">
            <v>USD-KAP-RETAIL</v>
          </cell>
          <cell r="D629">
            <v>20230228</v>
          </cell>
          <cell r="E629">
            <v>1087.21</v>
          </cell>
        </row>
        <row r="630">
          <cell r="A630" t="str">
            <v>BE6312530619</v>
          </cell>
          <cell r="B630" t="str">
            <v>Optimum Fund ČSOB Světových firem s lookbackem 2 Cap</v>
          </cell>
          <cell r="C630" t="str">
            <v>CZK-KAP-RETAIL,PRIVBK</v>
          </cell>
          <cell r="D630">
            <v>20230228</v>
          </cell>
          <cell r="E630">
            <v>9.36</v>
          </cell>
        </row>
        <row r="631">
          <cell r="A631" t="str">
            <v>BE6313122713</v>
          </cell>
          <cell r="B631" t="str">
            <v>KBC-Life MI+ Global 90 Long Term-1 Cap</v>
          </cell>
          <cell r="C631" t="str">
            <v>EUR-NOTE-RETAIL</v>
          </cell>
          <cell r="D631">
            <v>20230228</v>
          </cell>
          <cell r="E631">
            <v>971.97</v>
          </cell>
        </row>
        <row r="632">
          <cell r="A632" t="str">
            <v>BE6313123729</v>
          </cell>
          <cell r="B632" t="str">
            <v>Perspective North America 100 Timing USD 3 Cap</v>
          </cell>
          <cell r="C632" t="str">
            <v>USD-KAP-RETAIL</v>
          </cell>
          <cell r="D632">
            <v>20230228</v>
          </cell>
          <cell r="E632">
            <v>965.68</v>
          </cell>
        </row>
        <row r="633">
          <cell r="A633" t="str">
            <v>BE6313144931</v>
          </cell>
          <cell r="B633" t="str">
            <v>Perspective Global 90 Long Term 1 Cap</v>
          </cell>
          <cell r="C633" t="str">
            <v>EUR-KAP-RETAIL</v>
          </cell>
          <cell r="D633">
            <v>20230228</v>
          </cell>
          <cell r="E633">
            <v>991.91</v>
          </cell>
        </row>
        <row r="634">
          <cell r="A634" t="str">
            <v>BE6313149013</v>
          </cell>
          <cell r="B634" t="str">
            <v>KBC-Life MI+ Global 90 Short Term-1 Cap (Matured)</v>
          </cell>
          <cell r="C634" t="str">
            <v>EUR-NOTE-RETAIL</v>
          </cell>
          <cell r="D634">
            <v>20230131</v>
          </cell>
          <cell r="E634">
            <v>957.4</v>
          </cell>
        </row>
        <row r="635">
          <cell r="A635" t="str">
            <v>BE6313419770</v>
          </cell>
          <cell r="B635" t="str">
            <v>KBC Equity Fund World DBI-RDT Classic Shares Dis</v>
          </cell>
          <cell r="C635" t="str">
            <v>EUR-DIV-RETAIL</v>
          </cell>
          <cell r="D635">
            <v>20230302</v>
          </cell>
          <cell r="E635">
            <v>556.76</v>
          </cell>
        </row>
        <row r="636">
          <cell r="A636" t="str">
            <v>BE6313620849</v>
          </cell>
          <cell r="B636" t="str">
            <v>KBC Equity Fund World DBI-RDT Corp,Shares Dis</v>
          </cell>
          <cell r="C636" t="str">
            <v>EUR-DIV-CORP,SHARES</v>
          </cell>
          <cell r="D636">
            <v>20230302</v>
          </cell>
          <cell r="E636">
            <v>562.78</v>
          </cell>
        </row>
        <row r="637">
          <cell r="A637" t="str">
            <v>BE6313621854</v>
          </cell>
          <cell r="B637" t="str">
            <v>KBC Equity Fund World DBI-RDT Corp,Wealth shares Dis</v>
          </cell>
          <cell r="C637" t="str">
            <v>EUR-DIV-CORP,WEALTH</v>
          </cell>
          <cell r="D637">
            <v>20230302</v>
          </cell>
          <cell r="E637">
            <v>565.85</v>
          </cell>
        </row>
        <row r="638">
          <cell r="A638" t="str">
            <v>BE6313622860</v>
          </cell>
          <cell r="B638" t="str">
            <v>KBC Equity Fund World DBI-RDT Discretionary Shares Dis</v>
          </cell>
          <cell r="C638" t="str">
            <v>EUR-DIV-DISCR,SHARES</v>
          </cell>
          <cell r="D638">
            <v>20230302</v>
          </cell>
          <cell r="E638">
            <v>566.87</v>
          </cell>
        </row>
        <row r="639">
          <cell r="A639" t="str">
            <v>BE6313623876</v>
          </cell>
          <cell r="B639" t="str">
            <v>KBC Equity Fund World DBI-RDT Inst, Shares Dis</v>
          </cell>
          <cell r="C639" t="str">
            <v>EUR-DIV-INSTITUTIONEEL</v>
          </cell>
          <cell r="D639">
            <v>20230302</v>
          </cell>
          <cell r="E639">
            <v>573.27</v>
          </cell>
        </row>
        <row r="640">
          <cell r="A640" t="str">
            <v>BE6313626903</v>
          </cell>
          <cell r="B640" t="str">
            <v>KBC Equity Fund EMU Small &amp; Medium Caps Resp, Invest, Inst, B Shares Cap</v>
          </cell>
          <cell r="C640" t="str">
            <v>EUR-KAP-INSTIT,B</v>
          </cell>
          <cell r="D640">
            <v>20230302</v>
          </cell>
          <cell r="E640">
            <v>1354.8</v>
          </cell>
        </row>
        <row r="641">
          <cell r="A641" t="str">
            <v>BE6313834077</v>
          </cell>
          <cell r="B641" t="str">
            <v>Perspective Global 90 Long Term 2 Cap</v>
          </cell>
          <cell r="C641" t="str">
            <v>EUR-KAP-RETAIL</v>
          </cell>
          <cell r="D641">
            <v>20230228</v>
          </cell>
          <cell r="E641">
            <v>968.52</v>
          </cell>
        </row>
        <row r="642">
          <cell r="A642" t="str">
            <v>BE6313867408</v>
          </cell>
          <cell r="B642" t="str">
            <v>Perspective North America 100 Timing USD 4 Cap</v>
          </cell>
          <cell r="C642" t="str">
            <v>USD-KAP-RETAIL</v>
          </cell>
          <cell r="D642">
            <v>20230228</v>
          </cell>
          <cell r="E642">
            <v>1135.3499999999999</v>
          </cell>
        </row>
        <row r="643">
          <cell r="A643" t="str">
            <v>BE6313868414</v>
          </cell>
          <cell r="B643" t="str">
            <v>KBC-Life MI+ Global 90 Long Term-2 Cap</v>
          </cell>
          <cell r="C643" t="str">
            <v>EUR-NOTE-RETAIL</v>
          </cell>
          <cell r="D643">
            <v>20230228</v>
          </cell>
          <cell r="E643">
            <v>963.94</v>
          </cell>
        </row>
        <row r="644">
          <cell r="A644" t="str">
            <v>BE6313876490</v>
          </cell>
          <cell r="B644" t="str">
            <v>KBC-Life MI+ Global 90 Short Term-2 Cap (Matured)</v>
          </cell>
          <cell r="C644" t="str">
            <v>EUR-NOTE-RETAIL</v>
          </cell>
          <cell r="D644">
            <v>20230131</v>
          </cell>
          <cell r="E644">
            <v>969.2</v>
          </cell>
        </row>
        <row r="645">
          <cell r="A645" t="str">
            <v>BE6314390780</v>
          </cell>
          <cell r="B645" t="str">
            <v>Perspective North America 100 Timing USD 5 Cap</v>
          </cell>
          <cell r="C645" t="str">
            <v>USD-KAP-RETAIL</v>
          </cell>
          <cell r="D645">
            <v>20230228</v>
          </cell>
          <cell r="E645">
            <v>1149.43</v>
          </cell>
        </row>
        <row r="646">
          <cell r="A646" t="str">
            <v>BE6314394824</v>
          </cell>
          <cell r="B646" t="str">
            <v>Perspective Global 90 Long Term 3 Cap</v>
          </cell>
          <cell r="C646" t="str">
            <v>EUR-KAP-RETAIL</v>
          </cell>
          <cell r="D646">
            <v>20230228</v>
          </cell>
          <cell r="E646">
            <v>987.51</v>
          </cell>
        </row>
        <row r="647">
          <cell r="A647" t="str">
            <v>BE6314405935</v>
          </cell>
          <cell r="B647" t="str">
            <v>KBC-Life MI+ Global 90 Long Term-3 Cap</v>
          </cell>
          <cell r="C647" t="str">
            <v>EUR-NOTE-RETAIL</v>
          </cell>
          <cell r="D647">
            <v>20230228</v>
          </cell>
          <cell r="E647">
            <v>974.19</v>
          </cell>
        </row>
        <row r="648">
          <cell r="A648" t="str">
            <v>BE6314406941</v>
          </cell>
          <cell r="B648" t="str">
            <v>KBC-Life MI+ Global 90 Short Term-3 Cap</v>
          </cell>
          <cell r="C648" t="str">
            <v>EUR-NOTE-RETAIL</v>
          </cell>
          <cell r="D648">
            <v>20230216</v>
          </cell>
          <cell r="E648">
            <v>982.5</v>
          </cell>
        </row>
        <row r="649">
          <cell r="A649" t="str">
            <v>BE6314415066</v>
          </cell>
          <cell r="B649" t="str">
            <v>Optimum Fund Exclusive Step In World 1 Cap</v>
          </cell>
          <cell r="C649" t="str">
            <v>EUR-KAP-RETAIL</v>
          </cell>
          <cell r="D649">
            <v>20230228</v>
          </cell>
          <cell r="E649">
            <v>949.46</v>
          </cell>
        </row>
        <row r="650">
          <cell r="A650" t="str">
            <v>BE6314454453</v>
          </cell>
          <cell r="B650" t="str">
            <v>KBC Inst, Investors Global Growth DBI Dis</v>
          </cell>
          <cell r="C650" t="str">
            <v>EUR-DIV-INSTITUTIONEEL</v>
          </cell>
          <cell r="D650">
            <v>20230302</v>
          </cell>
          <cell r="E650">
            <v>1267.04</v>
          </cell>
        </row>
        <row r="651">
          <cell r="A651" t="str">
            <v>BE6314469600</v>
          </cell>
          <cell r="B651" t="str">
            <v>KBC Participation Short Term Bond Selection Classic Shares Dis</v>
          </cell>
          <cell r="C651" t="str">
            <v>EUR-DIV-RETAIL</v>
          </cell>
          <cell r="D651">
            <v>20230302</v>
          </cell>
          <cell r="E651">
            <v>858.72</v>
          </cell>
        </row>
        <row r="652">
          <cell r="A652" t="str">
            <v>BE6314556505</v>
          </cell>
          <cell r="B652" t="str">
            <v>Horizon Investicna Prilezitost Cap</v>
          </cell>
          <cell r="C652" t="str">
            <v>EUR-KAP-RETAIL</v>
          </cell>
          <cell r="D652">
            <v>20230228</v>
          </cell>
          <cell r="E652">
            <v>9.43</v>
          </cell>
        </row>
        <row r="653">
          <cell r="A653" t="str">
            <v>BE6314827302</v>
          </cell>
          <cell r="B653" t="str">
            <v>Optimum Fund Exclusive Step In World 2 Cap</v>
          </cell>
          <cell r="C653" t="str">
            <v>EUR-KAP-RETAIL</v>
          </cell>
          <cell r="D653">
            <v>20230228</v>
          </cell>
          <cell r="E653">
            <v>966.13</v>
          </cell>
        </row>
        <row r="654">
          <cell r="A654" t="str">
            <v>BE6315025344</v>
          </cell>
          <cell r="B654" t="str">
            <v>Perspective Global 90 Long Term 4 Cap</v>
          </cell>
          <cell r="C654" t="str">
            <v>EUR-KAP-RETAIL</v>
          </cell>
          <cell r="D654">
            <v>20230228</v>
          </cell>
          <cell r="E654">
            <v>959.21</v>
          </cell>
        </row>
        <row r="655">
          <cell r="A655" t="str">
            <v>BE6315027365</v>
          </cell>
          <cell r="B655" t="str">
            <v>Perspective North America 100 Timing USD 6 Cap</v>
          </cell>
          <cell r="C655" t="str">
            <v>USD-KAP-RETAIL</v>
          </cell>
          <cell r="D655">
            <v>20230228</v>
          </cell>
          <cell r="E655">
            <v>1144.19</v>
          </cell>
        </row>
        <row r="656">
          <cell r="A656" t="str">
            <v>BE6315033421</v>
          </cell>
          <cell r="B656" t="str">
            <v>KBC-Life MI+ Global 90 Long Term-4 Cap</v>
          </cell>
          <cell r="C656" t="str">
            <v>EUR-NOTE-RETAIL</v>
          </cell>
          <cell r="D656">
            <v>20230228</v>
          </cell>
          <cell r="E656">
            <v>935.09</v>
          </cell>
        </row>
        <row r="657">
          <cell r="A657" t="str">
            <v>BE6315035442</v>
          </cell>
          <cell r="B657" t="str">
            <v>KBC-Life MI+ Global 90 Short Term-4 Cap</v>
          </cell>
          <cell r="C657" t="str">
            <v>EUR-NOTE-RETAIL</v>
          </cell>
          <cell r="D657">
            <v>20230228</v>
          </cell>
          <cell r="E657">
            <v>948.87</v>
          </cell>
        </row>
        <row r="658">
          <cell r="A658" t="str">
            <v>BE6315512366</v>
          </cell>
          <cell r="B658" t="str">
            <v>Perspective Global 100 Timing NOK 1 Cap</v>
          </cell>
          <cell r="C658" t="str">
            <v>NOK-KAP-RETAIL</v>
          </cell>
          <cell r="D658">
            <v>20230228</v>
          </cell>
          <cell r="E658">
            <v>1196.69</v>
          </cell>
        </row>
        <row r="659">
          <cell r="A659" t="str">
            <v>BE6315514388</v>
          </cell>
          <cell r="B659" t="str">
            <v>Perspective USA &amp; Canada 100 Timing USD 1 Cap</v>
          </cell>
          <cell r="C659" t="str">
            <v>USD-KAP-RETAIL</v>
          </cell>
          <cell r="D659">
            <v>20230228</v>
          </cell>
          <cell r="E659">
            <v>1133.71</v>
          </cell>
        </row>
        <row r="660">
          <cell r="A660" t="str">
            <v>BE6315515393</v>
          </cell>
          <cell r="B660" t="str">
            <v>Perspective Global 90 Long Term 5 Cap</v>
          </cell>
          <cell r="C660" t="str">
            <v>EUR-KAP-RETAIL</v>
          </cell>
          <cell r="D660">
            <v>20230228</v>
          </cell>
          <cell r="E660">
            <v>958.12</v>
          </cell>
        </row>
        <row r="661">
          <cell r="A661" t="str">
            <v>BE6315516409</v>
          </cell>
          <cell r="B661" t="str">
            <v>KBC-Life MI+ Global 90 Short Term-5 Cap</v>
          </cell>
          <cell r="C661" t="str">
            <v>EUR-NOTE-RETAIL</v>
          </cell>
          <cell r="D661">
            <v>20230228</v>
          </cell>
          <cell r="E661">
            <v>946.39</v>
          </cell>
        </row>
        <row r="662">
          <cell r="A662" t="str">
            <v>BE6315517415</v>
          </cell>
          <cell r="B662" t="str">
            <v>KBC-Life MI+ Global 90 Long Term-5 Cap</v>
          </cell>
          <cell r="C662" t="str">
            <v>EUR-NOTE-RETAIL</v>
          </cell>
          <cell r="D662">
            <v>20230228</v>
          </cell>
          <cell r="E662">
            <v>945.54</v>
          </cell>
        </row>
        <row r="663">
          <cell r="A663" t="str">
            <v>BE6315653806</v>
          </cell>
          <cell r="B663" t="str">
            <v>KBC Eco Fund Impact Resp, Invest, K&amp;H Classic Shares HUF Cap</v>
          </cell>
          <cell r="C663" t="str">
            <v>HUF-KAP-RETAIL</v>
          </cell>
          <cell r="D663">
            <v>20230302</v>
          </cell>
          <cell r="E663">
            <v>1253.28</v>
          </cell>
        </row>
        <row r="664">
          <cell r="A664" t="str">
            <v>BE6315792257</v>
          </cell>
          <cell r="B664" t="str">
            <v>Optimum Fund Step In World 1 Cap</v>
          </cell>
          <cell r="C664" t="str">
            <v>EUR-KAP-RET,PVBK,WEALTH</v>
          </cell>
          <cell r="D664">
            <v>20230228</v>
          </cell>
          <cell r="E664">
            <v>912.65</v>
          </cell>
        </row>
        <row r="665">
          <cell r="A665" t="str">
            <v>BE6315895316</v>
          </cell>
          <cell r="B665" t="str">
            <v>KBC-Life MI+ Global 90 Long Term-6 Cap</v>
          </cell>
          <cell r="C665" t="str">
            <v>EUR-NOTE-RETAIL</v>
          </cell>
          <cell r="D665">
            <v>20230228</v>
          </cell>
          <cell r="E665">
            <v>939.28</v>
          </cell>
        </row>
        <row r="666">
          <cell r="A666" t="str">
            <v>BE6315897338</v>
          </cell>
          <cell r="B666" t="str">
            <v>KBC-Life MI+ Global 90 Short Term-6 Cap</v>
          </cell>
          <cell r="C666" t="str">
            <v>EUR-NOTE-RETAIL</v>
          </cell>
          <cell r="D666">
            <v>20230228</v>
          </cell>
          <cell r="E666">
            <v>931.86</v>
          </cell>
        </row>
        <row r="667">
          <cell r="A667" t="str">
            <v>BE6315899359</v>
          </cell>
          <cell r="B667" t="str">
            <v>Perspective Global 90 Long Term 6 Cap</v>
          </cell>
          <cell r="C667" t="str">
            <v>EUR-KAP-RETAIL</v>
          </cell>
          <cell r="D667">
            <v>20230228</v>
          </cell>
          <cell r="E667">
            <v>946.57</v>
          </cell>
        </row>
        <row r="668">
          <cell r="A668" t="str">
            <v>BE6315902385</v>
          </cell>
          <cell r="B668" t="str">
            <v>Perspective Global 100 Timing NOK 2 Cap</v>
          </cell>
          <cell r="C668" t="str">
            <v>NOK-KAP-RETAIL</v>
          </cell>
          <cell r="D668">
            <v>20230228</v>
          </cell>
          <cell r="E668">
            <v>1162.81</v>
          </cell>
        </row>
        <row r="669">
          <cell r="A669" t="str">
            <v>BE6315903391</v>
          </cell>
          <cell r="B669" t="str">
            <v>Perspective USA &amp; Canada 100 Timing USD 2 Cap</v>
          </cell>
          <cell r="C669" t="str">
            <v>USD-KAP-RETAIL</v>
          </cell>
          <cell r="D669">
            <v>20230228</v>
          </cell>
          <cell r="E669">
            <v>1104.1199999999999</v>
          </cell>
        </row>
        <row r="670">
          <cell r="A670" t="str">
            <v>BE6316179249</v>
          </cell>
          <cell r="B670" t="str">
            <v>Optimum Fund Enhanced Intelligence Cap</v>
          </cell>
          <cell r="C670" t="str">
            <v>EUR-KAP-RETAIL</v>
          </cell>
          <cell r="D670">
            <v>20230302</v>
          </cell>
          <cell r="E670">
            <v>979.91</v>
          </cell>
        </row>
        <row r="671">
          <cell r="A671" t="str">
            <v>BE6316180254</v>
          </cell>
          <cell r="B671" t="str">
            <v>Optimum Fund Enhanced Intelligence Dis</v>
          </cell>
          <cell r="C671" t="str">
            <v>EUR-DIV-RETAIL</v>
          </cell>
          <cell r="D671">
            <v>20230302</v>
          </cell>
          <cell r="E671">
            <v>958.1</v>
          </cell>
        </row>
        <row r="672">
          <cell r="A672" t="str">
            <v>BE6316202470</v>
          </cell>
          <cell r="B672" t="str">
            <v>Optimum Fund Step In World 2 Cap</v>
          </cell>
          <cell r="C672" t="str">
            <v>EUR-KAP-RETAIL</v>
          </cell>
          <cell r="D672">
            <v>20230228</v>
          </cell>
          <cell r="E672">
            <v>897.58</v>
          </cell>
        </row>
        <row r="673">
          <cell r="A673" t="str">
            <v>BE6316203486</v>
          </cell>
          <cell r="B673" t="str">
            <v>KBC Inst, Fund North America Resp, Invest, Inst, Shares EUR Cap</v>
          </cell>
          <cell r="C673" t="str">
            <v>EUR-KAP-INST,EUR</v>
          </cell>
          <cell r="D673">
            <v>20230302</v>
          </cell>
          <cell r="E673">
            <v>1421.09</v>
          </cell>
        </row>
        <row r="674">
          <cell r="A674" t="str">
            <v>BE6316733938</v>
          </cell>
          <cell r="B674" t="str">
            <v>Perspective Global 90 Long Term 7 Cap</v>
          </cell>
          <cell r="C674" t="str">
            <v>EUR-KAP-RETAIL</v>
          </cell>
          <cell r="D674">
            <v>20230228</v>
          </cell>
          <cell r="E674">
            <v>952.49</v>
          </cell>
        </row>
        <row r="675">
          <cell r="A675" t="str">
            <v>BE6316734944</v>
          </cell>
          <cell r="B675" t="str">
            <v>KBC-Life MI+ Global 90 Long Term-7 Cap</v>
          </cell>
          <cell r="C675" t="str">
            <v>EUR-NOTE-RETAIL</v>
          </cell>
          <cell r="D675">
            <v>20230228</v>
          </cell>
          <cell r="E675">
            <v>946.07</v>
          </cell>
        </row>
        <row r="676">
          <cell r="A676" t="str">
            <v>BE6316756194</v>
          </cell>
          <cell r="B676" t="str">
            <v>Perspective Buyback 100 Timing USD 1 Cap</v>
          </cell>
          <cell r="C676" t="str">
            <v>USD-KAP-RETAIL</v>
          </cell>
          <cell r="D676">
            <v>20230228</v>
          </cell>
          <cell r="E676">
            <v>1048.55</v>
          </cell>
        </row>
        <row r="677">
          <cell r="A677" t="str">
            <v>BE6316757200</v>
          </cell>
          <cell r="B677" t="str">
            <v>KBC-Life MI+ Global 90 Short Term-7 Cap</v>
          </cell>
          <cell r="C677" t="str">
            <v>EUR-NOTE-RETAIL</v>
          </cell>
          <cell r="D677">
            <v>20230228</v>
          </cell>
          <cell r="E677">
            <v>929.52</v>
          </cell>
        </row>
        <row r="678">
          <cell r="A678" t="str">
            <v>BE6316995644</v>
          </cell>
          <cell r="B678" t="str">
            <v>Optimum Fund Step In World 4 Cap</v>
          </cell>
          <cell r="C678" t="str">
            <v>EUR-KAP-RETAIL</v>
          </cell>
          <cell r="D678">
            <v>20230228</v>
          </cell>
          <cell r="E678">
            <v>938.62</v>
          </cell>
        </row>
        <row r="679">
          <cell r="A679" t="str">
            <v>BE6317200754</v>
          </cell>
          <cell r="B679" t="str">
            <v>Perspective Buyback 100 Timing USD 2 Cap</v>
          </cell>
          <cell r="C679" t="str">
            <v>USD-KAP-RETAIL</v>
          </cell>
          <cell r="D679">
            <v>20230228</v>
          </cell>
          <cell r="E679">
            <v>1171.08</v>
          </cell>
        </row>
        <row r="680">
          <cell r="A680" t="str">
            <v>BE6317210852</v>
          </cell>
          <cell r="B680" t="str">
            <v>Perspective Global 100 Timing NOK 3 Cap</v>
          </cell>
          <cell r="C680" t="str">
            <v>NOK-KAP-RETAIL</v>
          </cell>
          <cell r="D680">
            <v>20230228</v>
          </cell>
          <cell r="E680">
            <v>1165.06</v>
          </cell>
        </row>
        <row r="681">
          <cell r="A681" t="str">
            <v>BE6317216917</v>
          </cell>
          <cell r="B681" t="str">
            <v>KBC-Life MI+ Global 90 Long Term-8 Cap</v>
          </cell>
          <cell r="C681" t="str">
            <v>EUR-NOTE-RETAIL</v>
          </cell>
          <cell r="D681">
            <v>20230228</v>
          </cell>
          <cell r="E681">
            <v>939.56</v>
          </cell>
        </row>
        <row r="682">
          <cell r="A682" t="str">
            <v>BE6317285631</v>
          </cell>
          <cell r="B682" t="str">
            <v>Perspective Global 90 Long Term 8 Cap</v>
          </cell>
          <cell r="C682" t="str">
            <v>EUR-KAP-RETAIL</v>
          </cell>
          <cell r="D682">
            <v>20230228</v>
          </cell>
          <cell r="E682">
            <v>947.37</v>
          </cell>
        </row>
        <row r="683">
          <cell r="A683" t="str">
            <v>BE6317298766</v>
          </cell>
          <cell r="B683" t="str">
            <v>KBC-Life MI+ Global 90 Short Term-8 Cap</v>
          </cell>
          <cell r="C683" t="str">
            <v>EUR-NOTE-RETAIL</v>
          </cell>
          <cell r="D683">
            <v>20230228</v>
          </cell>
          <cell r="E683">
            <v>926.94</v>
          </cell>
        </row>
        <row r="684">
          <cell r="A684" t="str">
            <v>BE6317569562</v>
          </cell>
          <cell r="B684" t="str">
            <v>Perspective Buyback 100 Timing USD 3 Cap</v>
          </cell>
          <cell r="C684" t="str">
            <v>USD-KAP-RETAIL</v>
          </cell>
          <cell r="D684">
            <v>20230228</v>
          </cell>
          <cell r="E684">
            <v>1164.9000000000001</v>
          </cell>
        </row>
        <row r="685">
          <cell r="A685" t="str">
            <v>BE6317571584</v>
          </cell>
          <cell r="B685" t="str">
            <v>Perspective Global 100 Timing NOK 4 Cap</v>
          </cell>
          <cell r="C685" t="str">
            <v>NOK-KAP-RETAIL</v>
          </cell>
          <cell r="D685">
            <v>20230228</v>
          </cell>
          <cell r="E685">
            <v>1151.27</v>
          </cell>
        </row>
        <row r="686">
          <cell r="A686" t="str">
            <v>BE6317574612</v>
          </cell>
          <cell r="B686" t="str">
            <v>KBC-Life MI+ World Selection 90 Short Term-1 Cap</v>
          </cell>
          <cell r="C686" t="str">
            <v>EUR-NOTE-RETAIL</v>
          </cell>
          <cell r="D686">
            <v>20230228</v>
          </cell>
          <cell r="E686">
            <v>979.15</v>
          </cell>
        </row>
        <row r="687">
          <cell r="A687" t="str">
            <v>BE6317612024</v>
          </cell>
          <cell r="B687" t="str">
            <v>KBC-Life MI+ Global 90 Booster-1 Cap</v>
          </cell>
          <cell r="C687" t="str">
            <v>EUR-NOTE-RETAIL</v>
          </cell>
          <cell r="D687">
            <v>20230228</v>
          </cell>
          <cell r="E687">
            <v>951.04</v>
          </cell>
        </row>
        <row r="688">
          <cell r="A688" t="str">
            <v>BE6318058607</v>
          </cell>
          <cell r="B688" t="str">
            <v>Optimum Fund ČSOB Světové trhy 3 Cap</v>
          </cell>
          <cell r="C688" t="str">
            <v>CZK-KAP-RETAIL</v>
          </cell>
          <cell r="D688">
            <v>20230228</v>
          </cell>
          <cell r="E688">
            <v>11.53</v>
          </cell>
        </row>
        <row r="689">
          <cell r="A689" t="str">
            <v>BE6318121264</v>
          </cell>
          <cell r="B689" t="str">
            <v>KBC Equity Fund North American Continent Resp, Invest, Classic Shares Cap (empty)</v>
          </cell>
          <cell r="C689" t="str">
            <v>USD-KAP-RETAIL</v>
          </cell>
          <cell r="D689">
            <v>20200415</v>
          </cell>
          <cell r="E689" t="str">
            <v>1000</v>
          </cell>
        </row>
        <row r="690">
          <cell r="A690" t="str">
            <v>BE6318122270</v>
          </cell>
          <cell r="B690" t="str">
            <v>KBC Equity Fund North American Continent Resp, Invest, Inst, B Shares EUR Cap</v>
          </cell>
          <cell r="C690" t="str">
            <v>EUR-KAP-INST,B EUR</v>
          </cell>
          <cell r="D690">
            <v>20230302</v>
          </cell>
          <cell r="E690">
            <v>1395.15</v>
          </cell>
        </row>
        <row r="691">
          <cell r="A691" t="str">
            <v>BE6318382932</v>
          </cell>
          <cell r="B691" t="str">
            <v>Perspective Buyback 100 Timing USD 4 Cap</v>
          </cell>
          <cell r="C691" t="str">
            <v>USD-KAP-RETAIL</v>
          </cell>
          <cell r="D691">
            <v>20230228</v>
          </cell>
          <cell r="E691">
            <v>1303.01</v>
          </cell>
        </row>
        <row r="692">
          <cell r="A692" t="str">
            <v>BE6318385968</v>
          </cell>
          <cell r="B692" t="str">
            <v>Perspective Global 90 Long Term 9 Cap</v>
          </cell>
          <cell r="C692" t="str">
            <v>EUR-KAP-RETAIL</v>
          </cell>
          <cell r="D692">
            <v>20230228</v>
          </cell>
          <cell r="E692">
            <v>1169.55</v>
          </cell>
        </row>
        <row r="693">
          <cell r="A693" t="str">
            <v>BE6318392063</v>
          </cell>
          <cell r="B693" t="str">
            <v>KBC-Life MI+ World Selection 90 Short Term-2 Cap</v>
          </cell>
          <cell r="C693" t="str">
            <v>EUR-NOTE-RETAIL</v>
          </cell>
          <cell r="D693">
            <v>20230228</v>
          </cell>
          <cell r="E693">
            <v>1232.03</v>
          </cell>
        </row>
        <row r="694">
          <cell r="A694" t="str">
            <v>BE6318393079</v>
          </cell>
          <cell r="B694" t="str">
            <v>KBC-Life MI+ Global 90 Booster-2 Cap</v>
          </cell>
          <cell r="C694" t="str">
            <v>EUR-NOTE-RETAIL</v>
          </cell>
          <cell r="D694">
            <v>20230228</v>
          </cell>
          <cell r="E694">
            <v>1390.72</v>
          </cell>
        </row>
        <row r="695">
          <cell r="A695" t="str">
            <v>BE6319051833</v>
          </cell>
          <cell r="B695" t="str">
            <v>Perspective Buyback 100 Timing USD 5 Cap</v>
          </cell>
          <cell r="C695" t="str">
            <v>USD-KAP-RETAIL</v>
          </cell>
          <cell r="D695">
            <v>20230228</v>
          </cell>
          <cell r="E695">
            <v>1262.99</v>
          </cell>
        </row>
        <row r="696">
          <cell r="A696" t="str">
            <v>BE6319055875</v>
          </cell>
          <cell r="B696" t="str">
            <v>KBC-Life MI+ World Selection 90 Short Term-3 Cap</v>
          </cell>
          <cell r="C696" t="str">
            <v>EUR-NOTE-RETAIL</v>
          </cell>
          <cell r="D696">
            <v>20230228</v>
          </cell>
          <cell r="E696">
            <v>1221.71</v>
          </cell>
        </row>
        <row r="697">
          <cell r="A697" t="str">
            <v>BE6319058903</v>
          </cell>
          <cell r="B697" t="str">
            <v>KBC-Life MI+ Global 90 Booster-3 Cap</v>
          </cell>
          <cell r="C697" t="str">
            <v>EUR-NOTE-RETAIL</v>
          </cell>
          <cell r="D697">
            <v>20230228</v>
          </cell>
          <cell r="E697">
            <v>1231.76</v>
          </cell>
        </row>
        <row r="698">
          <cell r="A698" t="str">
            <v>BE6319267082</v>
          </cell>
          <cell r="B698" t="str">
            <v>Horizon Comfort Dyn, High Resp, Invest, Comfort Portf, Shares Cap</v>
          </cell>
          <cell r="C698" t="str">
            <v>EUR-KAP-COMF,PTF</v>
          </cell>
          <cell r="D698">
            <v>20230302</v>
          </cell>
          <cell r="E698">
            <v>1141.02</v>
          </cell>
        </row>
        <row r="699">
          <cell r="A699" t="str">
            <v>BE6319268098</v>
          </cell>
          <cell r="B699" t="str">
            <v>Horizon Comfort Dyn, High Resp, Invest, Comfort Portf, Shares Dis</v>
          </cell>
          <cell r="C699" t="str">
            <v>EUR-DIV-COMF,PTF</v>
          </cell>
          <cell r="D699">
            <v>20230302</v>
          </cell>
          <cell r="E699">
            <v>1123.24</v>
          </cell>
        </row>
        <row r="700">
          <cell r="A700" t="str">
            <v>BE6319634844</v>
          </cell>
          <cell r="B700" t="str">
            <v>KBC-Life MI+ Global 90 Booster-4 Cap</v>
          </cell>
          <cell r="C700" t="str">
            <v>EUR-NOTE-RETAIL</v>
          </cell>
          <cell r="D700">
            <v>20230228</v>
          </cell>
          <cell r="E700">
            <v>1117</v>
          </cell>
        </row>
        <row r="701">
          <cell r="A701" t="str">
            <v>BE6320721077</v>
          </cell>
          <cell r="B701" t="str">
            <v>Perspective Global Timing USD 1 Cap</v>
          </cell>
          <cell r="C701" t="str">
            <v>USD-KAP-RETAIL</v>
          </cell>
          <cell r="D701">
            <v>20230228</v>
          </cell>
          <cell r="E701">
            <v>1111.07</v>
          </cell>
        </row>
        <row r="702">
          <cell r="A702" t="str">
            <v>BE6320804907</v>
          </cell>
          <cell r="B702" t="str">
            <v>KBC Lifestyle (PRSA) MyAutoinvest Equities Cap</v>
          </cell>
          <cell r="C702" t="str">
            <v>EUR-KAP-INSTITUTIONEEL</v>
          </cell>
          <cell r="D702">
            <v>20230301</v>
          </cell>
          <cell r="E702">
            <v>1316.14</v>
          </cell>
        </row>
        <row r="703">
          <cell r="A703" t="str">
            <v>BE6320805912</v>
          </cell>
          <cell r="B703" t="str">
            <v>KBC Lifestyle (PRSA) MyAutoinvest Bonds Cap</v>
          </cell>
          <cell r="C703" t="str">
            <v>EUR-KAP-INSTITUTIONEEL</v>
          </cell>
          <cell r="D703">
            <v>20230301</v>
          </cell>
          <cell r="E703">
            <v>824.78</v>
          </cell>
        </row>
        <row r="704">
          <cell r="A704" t="str">
            <v>BE6320806928</v>
          </cell>
          <cell r="B704" t="str">
            <v>KBC Lifestyle (PRSA) MyAutoinvest Cash Cap</v>
          </cell>
          <cell r="C704" t="str">
            <v>EUR-KAP-INSTITUTIONEEL</v>
          </cell>
          <cell r="D704">
            <v>20230301</v>
          </cell>
          <cell r="E704">
            <v>983.25</v>
          </cell>
        </row>
        <row r="705">
          <cell r="A705" t="str">
            <v>BE6321399063</v>
          </cell>
          <cell r="B705" t="str">
            <v>Perspective Global Timing USD 2 Cap</v>
          </cell>
          <cell r="C705" t="str">
            <v>USD-KAP-RETAIL</v>
          </cell>
          <cell r="D705">
            <v>20230228</v>
          </cell>
          <cell r="E705">
            <v>990.17</v>
          </cell>
        </row>
        <row r="706">
          <cell r="A706" t="str">
            <v>BE6321510206</v>
          </cell>
          <cell r="B706" t="str">
            <v>KBC-Life MI+ Global 100-1 Cap</v>
          </cell>
          <cell r="C706" t="str">
            <v>EUR-NOTE-RETAIL</v>
          </cell>
          <cell r="D706">
            <v>20230228</v>
          </cell>
          <cell r="E706">
            <v>888.34</v>
          </cell>
        </row>
        <row r="707">
          <cell r="A707" t="str">
            <v>BE6321618314</v>
          </cell>
          <cell r="B707" t="str">
            <v>Horizon KBC ExpertEase Highly Dyn, Tolerant Inst, F Shares LU Cap</v>
          </cell>
          <cell r="C707" t="str">
            <v>EUR-KAP-INST,FLU</v>
          </cell>
          <cell r="D707">
            <v>20230302</v>
          </cell>
          <cell r="E707">
            <v>1077.08</v>
          </cell>
        </row>
        <row r="708">
          <cell r="A708" t="str">
            <v>BE6321625384</v>
          </cell>
          <cell r="B708" t="str">
            <v>Optimum Fund ČSOB Airbag 1 Cap</v>
          </cell>
          <cell r="C708" t="str">
            <v>CZK-KAP-RETAIL,PRIVBK</v>
          </cell>
          <cell r="D708">
            <v>20230228</v>
          </cell>
          <cell r="E708">
            <v>10.51</v>
          </cell>
        </row>
        <row r="709">
          <cell r="A709" t="str">
            <v>BE6321630434</v>
          </cell>
          <cell r="B709" t="str">
            <v>KBC Equity Fund World DBI-RDT Resp, Invest, Classic Shares Dis</v>
          </cell>
          <cell r="C709" t="str">
            <v>EUR-DIV-RETAIL</v>
          </cell>
          <cell r="D709">
            <v>20230302</v>
          </cell>
          <cell r="E709">
            <v>552.04999999999995</v>
          </cell>
        </row>
        <row r="710">
          <cell r="A710" t="str">
            <v>BE6321631440</v>
          </cell>
          <cell r="B710" t="str">
            <v>KBC Equity Fund World DBI-RDT Resp, Invest, Corp,Shares Dis</v>
          </cell>
          <cell r="C710" t="str">
            <v>EUR-DIV-CORP,SHARES</v>
          </cell>
          <cell r="D710">
            <v>20230302</v>
          </cell>
          <cell r="E710">
            <v>554.57000000000005</v>
          </cell>
        </row>
        <row r="711">
          <cell r="A711" t="str">
            <v>BE6321632455</v>
          </cell>
          <cell r="B711" t="str">
            <v>KBC Equity Fund World DBI-RDT Resp, Invest, Corp,Wealth shares Dis</v>
          </cell>
          <cell r="C711" t="str">
            <v>EUR-DIV-CORP,WEALTH</v>
          </cell>
          <cell r="D711">
            <v>20230302</v>
          </cell>
          <cell r="E711">
            <v>557.63</v>
          </cell>
        </row>
        <row r="712">
          <cell r="A712" t="str">
            <v>BE6321635482</v>
          </cell>
          <cell r="B712" t="str">
            <v>KBC Equity Fund World DBI-RDT Resp, Invest, Discretionary Shares Dis</v>
          </cell>
          <cell r="C712" t="str">
            <v>EUR-DIV-DISCR,SHARES</v>
          </cell>
          <cell r="D712">
            <v>20230302</v>
          </cell>
          <cell r="E712">
            <v>438.62</v>
          </cell>
        </row>
        <row r="713">
          <cell r="A713" t="str">
            <v>BE6321636498</v>
          </cell>
          <cell r="B713" t="str">
            <v>KBC Equity Fund World DBI-RDT Resp, Invest, Inst, Shares Dis</v>
          </cell>
          <cell r="C713" t="str">
            <v>EUR-DIV-INSTITUTIONEEL</v>
          </cell>
          <cell r="D713">
            <v>20230302</v>
          </cell>
          <cell r="E713">
            <v>560.64</v>
          </cell>
        </row>
        <row r="714">
          <cell r="A714" t="str">
            <v>BE6321689059</v>
          </cell>
          <cell r="B714" t="str">
            <v>KBC-Life MI+ Global 100-2 Cap</v>
          </cell>
          <cell r="C714" t="str">
            <v>EUR-NOTE-RETAIL</v>
          </cell>
          <cell r="D714">
            <v>20230228</v>
          </cell>
          <cell r="E714">
            <v>880.54</v>
          </cell>
        </row>
        <row r="715">
          <cell r="A715" t="str">
            <v>BE6321790097</v>
          </cell>
          <cell r="B715" t="str">
            <v>KBC-Life MI+ Global 90-4 Cap</v>
          </cell>
          <cell r="C715" t="str">
            <v>EUR-NOTE-RETAIL</v>
          </cell>
          <cell r="D715">
            <v>20230228</v>
          </cell>
          <cell r="E715">
            <v>1111.23</v>
          </cell>
        </row>
        <row r="716">
          <cell r="A716" t="str">
            <v>BE6321850693</v>
          </cell>
          <cell r="B716" t="str">
            <v>Perspective Global Timing USD 3 Cap</v>
          </cell>
          <cell r="C716" t="str">
            <v>USD-KAP-RETAIL</v>
          </cell>
          <cell r="D716">
            <v>20230228</v>
          </cell>
          <cell r="E716">
            <v>992.36</v>
          </cell>
        </row>
        <row r="717">
          <cell r="A717" t="str">
            <v>BE6321852715</v>
          </cell>
          <cell r="B717" t="str">
            <v>KBC-Life MI+ Global 90-5 Cap</v>
          </cell>
          <cell r="C717" t="str">
            <v>EUR-NOTE-RETAIL</v>
          </cell>
          <cell r="D717">
            <v>20230228</v>
          </cell>
          <cell r="E717">
            <v>1101.52</v>
          </cell>
        </row>
        <row r="718">
          <cell r="A718" t="str">
            <v>BE6321859785</v>
          </cell>
          <cell r="B718" t="str">
            <v>KBC Equity Fund Rest of Europe Inst, B Shares Cap</v>
          </cell>
          <cell r="C718" t="str">
            <v>EUR-KAP-INSTIT,B</v>
          </cell>
          <cell r="D718">
            <v>20230302</v>
          </cell>
          <cell r="E718">
            <v>1407.93</v>
          </cell>
        </row>
        <row r="719">
          <cell r="A719" t="str">
            <v>BE6321861807</v>
          </cell>
          <cell r="B719" t="str">
            <v>KBC Equity Fund World Inst, B Shares Cap</v>
          </cell>
          <cell r="C719" t="str">
            <v>EUR-KAP-INSTIT,B</v>
          </cell>
          <cell r="D719">
            <v>20230302</v>
          </cell>
          <cell r="E719">
            <v>1329.63</v>
          </cell>
        </row>
        <row r="720">
          <cell r="A720" t="str">
            <v>BE6321882043</v>
          </cell>
          <cell r="B720" t="str">
            <v>KBC Equity Fund Rest of Europe Classic Shares Cap</v>
          </cell>
          <cell r="C720" t="str">
            <v>EUR-KAP-RETAIL</v>
          </cell>
          <cell r="D720">
            <v>20230302</v>
          </cell>
          <cell r="E720">
            <v>1382.75</v>
          </cell>
        </row>
        <row r="721">
          <cell r="A721" t="str">
            <v>BE6321883058</v>
          </cell>
          <cell r="B721" t="str">
            <v>KBC Equity Fund Rest of Europe Classic Shares Dis</v>
          </cell>
          <cell r="C721" t="str">
            <v>EUR-DIV-RETAIL</v>
          </cell>
          <cell r="D721">
            <v>20230302</v>
          </cell>
          <cell r="E721">
            <v>1040.03</v>
          </cell>
        </row>
        <row r="722">
          <cell r="A722" t="str">
            <v>BE6321920421</v>
          </cell>
          <cell r="B722" t="str">
            <v>KBC Lifestyle ExpertEase Careful Defence Cap</v>
          </cell>
          <cell r="C722" t="str">
            <v>EUR-KAP-PRSA</v>
          </cell>
          <cell r="D722">
            <v>20230301</v>
          </cell>
          <cell r="E722">
            <v>985.18</v>
          </cell>
        </row>
        <row r="723">
          <cell r="A723" t="str">
            <v>BE6321921437</v>
          </cell>
          <cell r="B723" t="str">
            <v>KBC Lifestyle ExpertEase Balanced Defence Cap</v>
          </cell>
          <cell r="C723" t="str">
            <v>EUR-KAP-PRSA</v>
          </cell>
          <cell r="D723">
            <v>20230301</v>
          </cell>
          <cell r="E723">
            <v>983.37</v>
          </cell>
        </row>
        <row r="724">
          <cell r="A724" t="str">
            <v>BE6321922443</v>
          </cell>
          <cell r="B724" t="str">
            <v>KBC Lifestyle ExpertEase Progressive Defence Cap</v>
          </cell>
          <cell r="C724" t="str">
            <v>EUR-KAP-PRSA</v>
          </cell>
          <cell r="D724">
            <v>20230301</v>
          </cell>
          <cell r="E724">
            <v>977.32</v>
          </cell>
        </row>
        <row r="725">
          <cell r="A725" t="str">
            <v>BE6321923458</v>
          </cell>
          <cell r="B725" t="str">
            <v>KBC Lifestyle ExpertEase Balanced Approach Cap</v>
          </cell>
          <cell r="C725" t="str">
            <v>EUR-KAP-PRSA</v>
          </cell>
          <cell r="D725">
            <v>20230301</v>
          </cell>
          <cell r="E725">
            <v>1040.58</v>
          </cell>
        </row>
        <row r="726">
          <cell r="A726" t="str">
            <v>BE6321924464</v>
          </cell>
          <cell r="B726" t="str">
            <v>KBC Lifestyle ExpertEase Progressive Approach Cap</v>
          </cell>
          <cell r="C726" t="str">
            <v>EUR-KAP-PRSA</v>
          </cell>
          <cell r="D726">
            <v>20230301</v>
          </cell>
          <cell r="E726">
            <v>1028.71</v>
          </cell>
        </row>
        <row r="727">
          <cell r="A727" t="str">
            <v>BE6321926485</v>
          </cell>
          <cell r="B727" t="str">
            <v>KBC Lifestyle ExpertEase Progressive Opportunity Cap</v>
          </cell>
          <cell r="C727" t="str">
            <v>EUR-KAP-PRSA</v>
          </cell>
          <cell r="D727">
            <v>20230301</v>
          </cell>
          <cell r="E727">
            <v>1064.5</v>
          </cell>
        </row>
        <row r="728">
          <cell r="A728" t="str">
            <v>BE6322323575</v>
          </cell>
          <cell r="B728" t="str">
            <v>KBC Equity Fund Fundamental Opportunities Classic Shares Cap</v>
          </cell>
          <cell r="C728" t="str">
            <v>EUR-KAP-RETAIL</v>
          </cell>
          <cell r="D728">
            <v>20230302</v>
          </cell>
          <cell r="E728">
            <v>1056.67</v>
          </cell>
        </row>
        <row r="729">
          <cell r="A729" t="str">
            <v>BE6322325596</v>
          </cell>
          <cell r="B729" t="str">
            <v>KBC Equity Fund Fundamental Opportunities Classic Shares Dis</v>
          </cell>
          <cell r="C729" t="str">
            <v>EUR-DIV-RETAIL</v>
          </cell>
          <cell r="D729">
            <v>20230302</v>
          </cell>
          <cell r="E729">
            <v>1109.08</v>
          </cell>
        </row>
        <row r="730">
          <cell r="A730" t="str">
            <v>BE6322326602</v>
          </cell>
          <cell r="B730" t="str">
            <v>KBC Equity Fund Fundamental Opportunities Corp,Wealth &amp; Inst, Office shares Cap</v>
          </cell>
          <cell r="C730" t="str">
            <v>EUR-KAP-CORP W&amp;I</v>
          </cell>
          <cell r="D730">
            <v>20230302</v>
          </cell>
          <cell r="E730">
            <v>1067.03</v>
          </cell>
        </row>
        <row r="731">
          <cell r="A731" t="str">
            <v>BE6322328624</v>
          </cell>
          <cell r="B731" t="str">
            <v>KBC Equity Fund Fundamental Opportunities Corp,Wealth &amp; Inst, Office shares Dis</v>
          </cell>
          <cell r="C731" t="str">
            <v>EUR-DIV-CORP W&amp;I</v>
          </cell>
          <cell r="D731">
            <v>20230302</v>
          </cell>
          <cell r="E731">
            <v>1065.44</v>
          </cell>
        </row>
        <row r="732">
          <cell r="A732" t="str">
            <v>BE6322497379</v>
          </cell>
          <cell r="B732" t="str">
            <v>Perspective Global Timing USD 4 Cap</v>
          </cell>
          <cell r="C732" t="str">
            <v>USD-KAP-RETAIL</v>
          </cell>
          <cell r="D732">
            <v>20230228</v>
          </cell>
          <cell r="E732">
            <v>977.77</v>
          </cell>
        </row>
        <row r="733">
          <cell r="A733" t="str">
            <v>BE6322568112</v>
          </cell>
          <cell r="B733" t="str">
            <v>KBC-Life MI Global 90 Long Term-9 Cap</v>
          </cell>
          <cell r="C733" t="str">
            <v>EUR-KAP-RETAIL</v>
          </cell>
          <cell r="D733">
            <v>20230216</v>
          </cell>
          <cell r="E733">
            <v>949.86</v>
          </cell>
        </row>
        <row r="734">
          <cell r="A734" t="str">
            <v>BE6322583269</v>
          </cell>
          <cell r="B734" t="str">
            <v>Optimum Fund ČSOB Airbag Amerika 1 Cap</v>
          </cell>
          <cell r="C734" t="str">
            <v>CZK-KAP-RETAIL,PRIVBK</v>
          </cell>
          <cell r="D734">
            <v>20230228</v>
          </cell>
          <cell r="E734">
            <v>10.220000000000001</v>
          </cell>
        </row>
        <row r="735">
          <cell r="A735" t="str">
            <v>BE6323000552</v>
          </cell>
          <cell r="B735" t="str">
            <v>KBC Lifestyle Cash Cap</v>
          </cell>
          <cell r="C735" t="str">
            <v>EUR-KAP-PRSA</v>
          </cell>
          <cell r="D735">
            <v>20230301</v>
          </cell>
          <cell r="E735">
            <v>980.63</v>
          </cell>
        </row>
        <row r="736">
          <cell r="A736" t="str">
            <v>BE6323026813</v>
          </cell>
          <cell r="B736" t="str">
            <v>Perspective Euro Stocks Timing 1 Cap</v>
          </cell>
          <cell r="C736" t="str">
            <v>EUR-KAP-RETAIL</v>
          </cell>
          <cell r="D736">
            <v>20230228</v>
          </cell>
          <cell r="E736">
            <v>1188.3900000000001</v>
          </cell>
        </row>
        <row r="737">
          <cell r="A737" t="str">
            <v>BE6323118768</v>
          </cell>
          <cell r="B737" t="str">
            <v>KBC-Life MI Global 90 Long Term-10 Cap</v>
          </cell>
          <cell r="C737" t="str">
            <v>EUR-KAP-RETAIL</v>
          </cell>
          <cell r="D737">
            <v>20230216</v>
          </cell>
          <cell r="E737">
            <v>959.85</v>
          </cell>
        </row>
        <row r="738">
          <cell r="A738" t="str">
            <v>BE6323119774</v>
          </cell>
          <cell r="B738" t="str">
            <v>Perspective Global Timing USD 5 Cap</v>
          </cell>
          <cell r="C738" t="str">
            <v>USD-KAP-RETAIL</v>
          </cell>
          <cell r="D738">
            <v>20230228</v>
          </cell>
          <cell r="E738">
            <v>965.15</v>
          </cell>
        </row>
        <row r="739">
          <cell r="A739" t="str">
            <v>BE6323166270</v>
          </cell>
          <cell r="B739" t="str">
            <v>Horizon KBC ExpertEase Def, Tolerant Resp, Invest, Inst, F Shares IE Cap (empty)</v>
          </cell>
          <cell r="C739" t="str">
            <v>EUR-KAP-INST,FIE</v>
          </cell>
          <cell r="D739">
            <v>20230113</v>
          </cell>
          <cell r="E739">
            <v>902.67</v>
          </cell>
        </row>
        <row r="740">
          <cell r="A740" t="str">
            <v>BE6323168292</v>
          </cell>
          <cell r="B740" t="str">
            <v>Horizon KBC ExpertEase Def, Balanced Resp, Invest, Inst, F Shares IE Cap (empty)</v>
          </cell>
          <cell r="C740" t="str">
            <v>EUR-KAP-INST,FIE</v>
          </cell>
          <cell r="D740">
            <v>20230116</v>
          </cell>
          <cell r="E740">
            <v>924.65</v>
          </cell>
        </row>
        <row r="741">
          <cell r="A741" t="str">
            <v>BE6323169308</v>
          </cell>
          <cell r="B741" t="str">
            <v>Horizon KBC ExpertEase Dyn, Balanced Resp, Invest, Inst, F Shares IE Cap (empty)</v>
          </cell>
          <cell r="C741" t="str">
            <v>EUR-KAP-INST,FIE</v>
          </cell>
          <cell r="D741">
            <v>20230113</v>
          </cell>
          <cell r="E741">
            <v>919.63</v>
          </cell>
        </row>
        <row r="742">
          <cell r="A742" t="str">
            <v>BE6323171320</v>
          </cell>
          <cell r="B742" t="str">
            <v>Horizon KBC ExpertEase Dyn, Tolerant Resp, Invest, Inst, F Shares IE Cap (empty)</v>
          </cell>
          <cell r="C742" t="str">
            <v>EUR-KAP-INST,FIE</v>
          </cell>
          <cell r="D742">
            <v>20230113</v>
          </cell>
          <cell r="E742">
            <v>912.76</v>
          </cell>
        </row>
        <row r="743">
          <cell r="A743" t="str">
            <v>BE6323175362</v>
          </cell>
          <cell r="B743" t="str">
            <v>Horizon KBC Expertease Highly Dyn, Tolerant Resp, Invest, Inst, F Shares IE Cap (empty)</v>
          </cell>
          <cell r="C743" t="str">
            <v>EUR-KAP-INST,FIE</v>
          </cell>
          <cell r="D743">
            <v>20230113</v>
          </cell>
          <cell r="E743">
            <v>917.17</v>
          </cell>
        </row>
        <row r="744">
          <cell r="A744" t="str">
            <v>BE6323176378</v>
          </cell>
          <cell r="B744" t="str">
            <v>Sivek Global Medium Resp, Invest, Inst, F Shares IE Cap (empty)</v>
          </cell>
          <cell r="C744" t="str">
            <v>EUR-KAP-INST,FIE</v>
          </cell>
          <cell r="D744">
            <v>20230113</v>
          </cell>
          <cell r="E744">
            <v>925.49</v>
          </cell>
        </row>
        <row r="745">
          <cell r="A745" t="str">
            <v>BE6323306702</v>
          </cell>
          <cell r="B745" t="str">
            <v>Optimum Fund ČSOB Lookback 1 Cap</v>
          </cell>
          <cell r="C745" t="str">
            <v>CZK-KAP-RETAIL,PRIVBK</v>
          </cell>
          <cell r="D745">
            <v>20230228</v>
          </cell>
          <cell r="E745">
            <v>9.8699999999999992</v>
          </cell>
        </row>
        <row r="746">
          <cell r="A746" t="str">
            <v>BE6323515856</v>
          </cell>
          <cell r="B746" t="str">
            <v>Perspective Global Timing USD 6 Cap</v>
          </cell>
          <cell r="C746" t="str">
            <v>USD-KAP-RETAIL</v>
          </cell>
          <cell r="D746">
            <v>20230228</v>
          </cell>
          <cell r="E746">
            <v>971.02</v>
          </cell>
        </row>
        <row r="747">
          <cell r="A747" t="str">
            <v>BE6323644201</v>
          </cell>
          <cell r="B747" t="str">
            <v>KBC Equity Fund We Care Resp, Invest, K&amp;H Classic Shares HUF Cap</v>
          </cell>
          <cell r="C747" t="str">
            <v>HUF-KAP-K&amp;H RET</v>
          </cell>
          <cell r="D747">
            <v>20230302</v>
          </cell>
          <cell r="E747">
            <v>1339.17</v>
          </cell>
        </row>
        <row r="748">
          <cell r="A748" t="str">
            <v>BE6323645216</v>
          </cell>
          <cell r="B748" t="str">
            <v>KBC Equity Fund We Digitize Resp, Invest, K&amp;H Classic Shares HUF Cap</v>
          </cell>
          <cell r="C748" t="str">
            <v>HUF-KAP-K&amp;H RET</v>
          </cell>
          <cell r="D748">
            <v>20230302</v>
          </cell>
          <cell r="E748">
            <v>1181.8800000000001</v>
          </cell>
        </row>
        <row r="749">
          <cell r="A749" t="str">
            <v>BE6324083714</v>
          </cell>
          <cell r="B749" t="str">
            <v>Horizon KBC ExpertEase Def, Balanced Inst, F shares BG EUR Cap</v>
          </cell>
          <cell r="C749" t="str">
            <v>EUR-KAP-INST,FBG</v>
          </cell>
          <cell r="D749">
            <v>20230302</v>
          </cell>
          <cell r="E749">
            <v>930.25</v>
          </cell>
        </row>
        <row r="750">
          <cell r="A750" t="str">
            <v>BE6324084720</v>
          </cell>
          <cell r="B750" t="str">
            <v>Horizon KBC ExpertEase Def, Balanced Inst, F shares BG BGN Cap</v>
          </cell>
          <cell r="C750" t="str">
            <v>BGN-KAP-INST,FBG</v>
          </cell>
          <cell r="D750">
            <v>20230302</v>
          </cell>
          <cell r="E750">
            <v>927.26</v>
          </cell>
        </row>
        <row r="751">
          <cell r="A751" t="str">
            <v>BE6324086741</v>
          </cell>
          <cell r="B751" t="str">
            <v>Horizon KBC ExpertEase Def, Tolerant Inst, F shares BG BGN Cap</v>
          </cell>
          <cell r="C751" t="str">
            <v>BGN-KAP-INST,FBG</v>
          </cell>
          <cell r="D751">
            <v>20230302</v>
          </cell>
          <cell r="E751">
            <v>910.83</v>
          </cell>
        </row>
        <row r="752">
          <cell r="A752" t="str">
            <v>BE6324087756</v>
          </cell>
          <cell r="B752" t="str">
            <v>Horizon KBC ExpertEase Def, Tolerant Inst, F shares BG EUR Cap</v>
          </cell>
          <cell r="C752" t="str">
            <v>EUR-KAP-INST,FBG</v>
          </cell>
          <cell r="D752">
            <v>20230302</v>
          </cell>
          <cell r="E752">
            <v>913.71</v>
          </cell>
        </row>
        <row r="753">
          <cell r="A753" t="str">
            <v>BE6324088762</v>
          </cell>
          <cell r="B753" t="str">
            <v>Horizon KBC ExpertEase Dyn, Balanced Inst, F shares BG BGN Cap</v>
          </cell>
          <cell r="C753" t="str">
            <v>BGN-KAP-INST,FBG</v>
          </cell>
          <cell r="D753">
            <v>20230302</v>
          </cell>
          <cell r="E753">
            <v>939.75</v>
          </cell>
        </row>
        <row r="754">
          <cell r="A754" t="str">
            <v>BE6324090784</v>
          </cell>
          <cell r="B754" t="str">
            <v>Horizon KBC ExpertEase Dyn, Balanced Inst, F shares BG EUR Cap</v>
          </cell>
          <cell r="C754" t="str">
            <v>EUR-KAP-INST,FBG</v>
          </cell>
          <cell r="D754">
            <v>20230302</v>
          </cell>
          <cell r="E754">
            <v>933.58</v>
          </cell>
        </row>
        <row r="755">
          <cell r="A755" t="str">
            <v>BE6324091790</v>
          </cell>
          <cell r="B755" t="str">
            <v>Horizon KBC ExpertEase Dyn, Tolerant Inst, F shares BG BGN Cap</v>
          </cell>
          <cell r="C755" t="str">
            <v>BGN-KAP-INST,FBG</v>
          </cell>
          <cell r="D755">
            <v>20230302</v>
          </cell>
          <cell r="E755">
            <v>926.9</v>
          </cell>
        </row>
        <row r="756">
          <cell r="A756" t="str">
            <v>BE6324092806</v>
          </cell>
          <cell r="B756" t="str">
            <v>Horizon KBC ExpertEase Dyn, Tolerant Inst, F shares BG EUR Cap</v>
          </cell>
          <cell r="C756" t="str">
            <v>EUR-KAP-INST,FBG</v>
          </cell>
          <cell r="D756">
            <v>20230302</v>
          </cell>
          <cell r="E756">
            <v>929.92</v>
          </cell>
        </row>
        <row r="757">
          <cell r="A757" t="str">
            <v>BE6324093812</v>
          </cell>
          <cell r="B757" t="str">
            <v>Horizon KBC ExpertEase Highly Dyn, Tolerant Inst, F shares BG BGN Cap</v>
          </cell>
          <cell r="C757" t="str">
            <v>BGN-KAP-INST,FBG</v>
          </cell>
          <cell r="D757">
            <v>20230302</v>
          </cell>
          <cell r="E757">
            <v>940.02</v>
          </cell>
        </row>
        <row r="758">
          <cell r="A758" t="str">
            <v>BE6324094828</v>
          </cell>
          <cell r="B758" t="str">
            <v>Horizon KBC ExpertEase Highly Dyn, Tolerant Inst, F shares BG EUR Cap</v>
          </cell>
          <cell r="C758" t="str">
            <v>EUR-KAP-INST,FBG</v>
          </cell>
          <cell r="D758">
            <v>20230302</v>
          </cell>
          <cell r="E758">
            <v>940.62</v>
          </cell>
        </row>
        <row r="759">
          <cell r="A759" t="str">
            <v>BE6324234283</v>
          </cell>
          <cell r="B759" t="str">
            <v>Perspective Global Timing USD 7 Cap</v>
          </cell>
          <cell r="C759" t="str">
            <v>USD-KAP-RETAIL</v>
          </cell>
          <cell r="D759">
            <v>20230228</v>
          </cell>
          <cell r="E759">
            <v>943.29</v>
          </cell>
        </row>
        <row r="760">
          <cell r="A760" t="str">
            <v>BE6324294881</v>
          </cell>
          <cell r="B760" t="str">
            <v>Optimum Fund ČSOB Globálních firem 5 Cap</v>
          </cell>
          <cell r="C760" t="str">
            <v>CZK-KAP-RETAIL</v>
          </cell>
          <cell r="D760">
            <v>20230228</v>
          </cell>
          <cell r="E760">
            <v>9.14</v>
          </cell>
        </row>
        <row r="761">
          <cell r="A761" t="str">
            <v>BE6324661675</v>
          </cell>
          <cell r="B761" t="str">
            <v>Perspective Global Timing USD 8 Cap</v>
          </cell>
          <cell r="C761" t="str">
            <v>USD-KAP-RETAIL</v>
          </cell>
          <cell r="D761">
            <v>20230228</v>
          </cell>
          <cell r="E761">
            <v>938.02</v>
          </cell>
        </row>
        <row r="762">
          <cell r="A762" t="str">
            <v>BE6324692019</v>
          </cell>
          <cell r="B762" t="str">
            <v>KBC-Life S European Telecom Timing-1 Cap</v>
          </cell>
          <cell r="C762" t="str">
            <v>EUR-KAP-RETAIL</v>
          </cell>
          <cell r="D762">
            <v>20230216</v>
          </cell>
          <cell r="E762">
            <v>877</v>
          </cell>
        </row>
        <row r="763">
          <cell r="A763" t="str">
            <v>BE6325116372</v>
          </cell>
          <cell r="B763" t="str">
            <v>KBC Inst, Fund Asia Pacific Resp, Invest, Classic Shares Cap (empty)</v>
          </cell>
          <cell r="C763" t="str">
            <v>EUR-KAP-RETAIL</v>
          </cell>
          <cell r="D763">
            <v>20201216</v>
          </cell>
          <cell r="E763" t="str">
            <v>1000</v>
          </cell>
        </row>
        <row r="764">
          <cell r="A764" t="str">
            <v>BE6325117388</v>
          </cell>
          <cell r="B764" t="str">
            <v>KBC Inst, Fund Asia Pacific Resp, Invest, Classic Shares Dis</v>
          </cell>
          <cell r="C764" t="str">
            <v>EUR-DIV-RETAIL</v>
          </cell>
          <cell r="D764">
            <v>20230302</v>
          </cell>
          <cell r="E764">
            <v>1050.4100000000001</v>
          </cell>
        </row>
        <row r="765">
          <cell r="A765" t="str">
            <v>BE6325118394</v>
          </cell>
          <cell r="B765" t="str">
            <v>KBC Inst, Fund Asia Pacific Resp, Invest, Inst, Shares Cap</v>
          </cell>
          <cell r="C765" t="str">
            <v>EUR-KAP-INSTITUTIONEEL</v>
          </cell>
          <cell r="D765">
            <v>20230302</v>
          </cell>
          <cell r="E765">
            <v>1051.6400000000001</v>
          </cell>
        </row>
        <row r="766">
          <cell r="A766" t="str">
            <v>BE6325119400</v>
          </cell>
          <cell r="B766" t="str">
            <v>KBC Inst, Fund Asia Pacific Resp, Invest, Inst, Shares Dis (empty)</v>
          </cell>
          <cell r="C766" t="str">
            <v>EUR-DIV-INSTITUTIONEEL</v>
          </cell>
          <cell r="D766">
            <v>20201216</v>
          </cell>
          <cell r="E766" t="str">
            <v>1000</v>
          </cell>
        </row>
        <row r="767">
          <cell r="A767" t="str">
            <v>BE6325120416</v>
          </cell>
          <cell r="B767" t="str">
            <v>KBC Inst, Fund Rest Of Europe Resp, Invest, Classic Shares Cap (empty)</v>
          </cell>
          <cell r="C767" t="str">
            <v>EUR-KAP-RETAIL</v>
          </cell>
          <cell r="D767">
            <v>20201216</v>
          </cell>
          <cell r="E767" t="str">
            <v>1000</v>
          </cell>
        </row>
        <row r="768">
          <cell r="A768" t="str">
            <v>BE6325121422</v>
          </cell>
          <cell r="B768" t="str">
            <v>KBC Inst, Fund Rest Of Europe Resp, Invest, Classic Shares Dis</v>
          </cell>
          <cell r="C768" t="str">
            <v>EUR-DIV-RETAIL</v>
          </cell>
          <cell r="D768">
            <v>20230302</v>
          </cell>
          <cell r="E768">
            <v>949.17</v>
          </cell>
        </row>
        <row r="769">
          <cell r="A769" t="str">
            <v>BE6325122438</v>
          </cell>
          <cell r="B769" t="str">
            <v>KBC Inst, Fund Rest Of Europe Resp, Invest, Inst, Shares Cap</v>
          </cell>
          <cell r="C769" t="str">
            <v>EUR-KAP-INSTITUTIONEEL</v>
          </cell>
          <cell r="D769">
            <v>20230302</v>
          </cell>
          <cell r="E769">
            <v>1192.25</v>
          </cell>
        </row>
        <row r="770">
          <cell r="A770" t="str">
            <v>BE6325123444</v>
          </cell>
          <cell r="B770" t="str">
            <v>KBC Inst, Fund Rest Of Europe Resp, Invest, Inst, Shares Dis (empty)</v>
          </cell>
          <cell r="C770" t="str">
            <v>EUR-DIV-INSTITUTIONEEL</v>
          </cell>
          <cell r="D770">
            <v>20201216</v>
          </cell>
          <cell r="E770" t="str">
            <v>1000</v>
          </cell>
        </row>
        <row r="771">
          <cell r="A771" t="str">
            <v>BE6325124459</v>
          </cell>
          <cell r="B771" t="str">
            <v>KBC Inst, Investors Euro Bonds Ex-Pharma Resp, Invest, Cap</v>
          </cell>
          <cell r="C771" t="str">
            <v>EUR-KAP-INSTITUTIONEEL</v>
          </cell>
          <cell r="D771">
            <v>20230302</v>
          </cell>
          <cell r="E771">
            <v>828.41</v>
          </cell>
        </row>
        <row r="772">
          <cell r="A772" t="str">
            <v>BE6325125464</v>
          </cell>
          <cell r="B772" t="str">
            <v>KBC Inst, Investors World Equities Ex-Pharma Resp, Invest, Cap</v>
          </cell>
          <cell r="C772" t="str">
            <v>EUR-KAP-INSTITUTIONEEL</v>
          </cell>
          <cell r="D772">
            <v>20230302</v>
          </cell>
          <cell r="E772">
            <v>1146.1500000000001</v>
          </cell>
        </row>
        <row r="773">
          <cell r="A773" t="str">
            <v>BE6325131520</v>
          </cell>
          <cell r="B773" t="str">
            <v>Perspective Global Timing USD 9 Cap</v>
          </cell>
          <cell r="C773" t="str">
            <v>USD-KAP-RETAIL</v>
          </cell>
          <cell r="D773">
            <v>20230228</v>
          </cell>
          <cell r="E773">
            <v>918.16</v>
          </cell>
        </row>
        <row r="774">
          <cell r="A774" t="str">
            <v>BE6325626628</v>
          </cell>
          <cell r="B774" t="str">
            <v>Perspective Global 90 Smart Start USD 1 Cap</v>
          </cell>
          <cell r="C774" t="str">
            <v>USD-KAP-RETAIL</v>
          </cell>
          <cell r="D774">
            <v>20230228</v>
          </cell>
          <cell r="E774">
            <v>890.77</v>
          </cell>
        </row>
        <row r="775">
          <cell r="A775" t="str">
            <v>BE6325884292</v>
          </cell>
          <cell r="B775" t="str">
            <v>KBC Inst, Fund Euro Bonds Classic Shares Dis</v>
          </cell>
          <cell r="C775" t="str">
            <v>EUR-DIV-RETAIL</v>
          </cell>
          <cell r="D775">
            <v>20230302</v>
          </cell>
          <cell r="E775">
            <v>798.45</v>
          </cell>
        </row>
        <row r="776">
          <cell r="A776" t="str">
            <v>BE6325886313</v>
          </cell>
          <cell r="B776" t="str">
            <v>KBC Inst, Fund Euro Bonds Inst, Shares Dis (empty)</v>
          </cell>
          <cell r="C776" t="str">
            <v>EUR-DIV-INSTITUTIONEEL</v>
          </cell>
          <cell r="D776">
            <v>20210119</v>
          </cell>
          <cell r="E776" t="str">
            <v>1000</v>
          </cell>
        </row>
        <row r="777">
          <cell r="A777" t="str">
            <v>BE6326215694</v>
          </cell>
          <cell r="B777" t="str">
            <v>Perspective Global 90 Smart Start USD 2 Cap</v>
          </cell>
          <cell r="C777" t="str">
            <v>USD-KAP-RETAIL</v>
          </cell>
          <cell r="D777">
            <v>20230228</v>
          </cell>
          <cell r="E777">
            <v>865.12</v>
          </cell>
        </row>
        <row r="778">
          <cell r="A778" t="str">
            <v>BE6326280375</v>
          </cell>
          <cell r="B778" t="str">
            <v>KBC Equity Fund Fundamental Opportunities DBI-RDT Classic Shares Dis</v>
          </cell>
          <cell r="C778" t="str">
            <v>EUR-DIV-RETAIL</v>
          </cell>
          <cell r="D778">
            <v>20230302</v>
          </cell>
          <cell r="E778">
            <v>997.5</v>
          </cell>
        </row>
        <row r="779">
          <cell r="A779" t="str">
            <v>BE6326281381</v>
          </cell>
          <cell r="B779" t="str">
            <v>KBC Equity Fund Fundamental Opportunities DBI-RDT Corp,Shares Dis</v>
          </cell>
          <cell r="C779" t="str">
            <v>EUR-DIV-CORP,SHARES</v>
          </cell>
          <cell r="D779">
            <v>20230302</v>
          </cell>
          <cell r="E779">
            <v>1004.9</v>
          </cell>
        </row>
        <row r="780">
          <cell r="A780" t="str">
            <v>BE6326282397</v>
          </cell>
          <cell r="B780" t="str">
            <v>KBC Equity Fund Fundamental Opportunities Inst, F Shares LU Cap</v>
          </cell>
          <cell r="C780" t="str">
            <v>EUR-KAP-INST,FLU</v>
          </cell>
          <cell r="D780">
            <v>20230302</v>
          </cell>
          <cell r="E780">
            <v>1058.26</v>
          </cell>
        </row>
        <row r="781">
          <cell r="A781" t="str">
            <v>BE6326785571</v>
          </cell>
          <cell r="B781" t="str">
            <v>KBC-Life Fundamental Opportunities Cap</v>
          </cell>
          <cell r="C781" t="str">
            <v>EUR-KAP-INSTITUTIONEEL</v>
          </cell>
          <cell r="D781">
            <v>20230301</v>
          </cell>
          <cell r="E781">
            <v>987.28</v>
          </cell>
        </row>
        <row r="782">
          <cell r="A782" t="str">
            <v>BE6326804760</v>
          </cell>
          <cell r="B782" t="str">
            <v>Perspective Global 90 Smart Start USD 3 Cap</v>
          </cell>
          <cell r="C782" t="str">
            <v>USD-KAP-RETAIL</v>
          </cell>
          <cell r="D782">
            <v>20230228</v>
          </cell>
          <cell r="E782">
            <v>874.85</v>
          </cell>
        </row>
        <row r="783">
          <cell r="A783" t="str">
            <v>BE6327053342</v>
          </cell>
          <cell r="B783" t="str">
            <v>Optimum Fund ČSOB Velmi odvážný Classic Shares Cap</v>
          </cell>
          <cell r="C783" t="str">
            <v>CZK-KAP-RETAIL</v>
          </cell>
          <cell r="D783">
            <v>20230302</v>
          </cell>
          <cell r="E783">
            <v>945.29</v>
          </cell>
        </row>
        <row r="784">
          <cell r="A784" t="str">
            <v>BE6327054357</v>
          </cell>
          <cell r="B784" t="str">
            <v>Optimum Fund ČSOB Odvážný Classic Shares Cap</v>
          </cell>
          <cell r="C784" t="str">
            <v>CZK-KAP-RETAIL</v>
          </cell>
          <cell r="D784">
            <v>20230302</v>
          </cell>
          <cell r="E784">
            <v>955.37</v>
          </cell>
        </row>
        <row r="785">
          <cell r="A785" t="str">
            <v>BE6327055362</v>
          </cell>
          <cell r="B785" t="str">
            <v>Optimum Fund ČSOB Velmi opatrný  Classic Shares Cap</v>
          </cell>
          <cell r="C785" t="str">
            <v>CZK-KAP-RETAIL</v>
          </cell>
          <cell r="D785">
            <v>20230302</v>
          </cell>
          <cell r="E785">
            <v>964.85</v>
          </cell>
        </row>
        <row r="786">
          <cell r="A786" t="str">
            <v>BE6327056378</v>
          </cell>
          <cell r="B786" t="str">
            <v>Optimum Fund ČSOB Opatrný Classic Shares Cap</v>
          </cell>
          <cell r="C786" t="str">
            <v>CZK-KAP-RETAIL</v>
          </cell>
          <cell r="D786">
            <v>20230302</v>
          </cell>
          <cell r="E786">
            <v>957.18</v>
          </cell>
        </row>
        <row r="787">
          <cell r="A787" t="str">
            <v>BE6327153373</v>
          </cell>
          <cell r="B787" t="str">
            <v>KBC Eco Fund Impact Resp, Invest, Inst, F Shares LU Cap</v>
          </cell>
          <cell r="C787" t="str">
            <v>EUR-KAP-INST,FLU</v>
          </cell>
          <cell r="D787">
            <v>20230302</v>
          </cell>
          <cell r="E787">
            <v>887.37</v>
          </cell>
        </row>
        <row r="788">
          <cell r="A788" t="str">
            <v>BE6327336267</v>
          </cell>
          <cell r="B788" t="str">
            <v>Sivek Global Low Resp, Invest, Inst, F Shares SK Cap</v>
          </cell>
          <cell r="C788" t="str">
            <v>EUR-KAP-INST,FSK</v>
          </cell>
          <cell r="D788">
            <v>20230302</v>
          </cell>
          <cell r="E788">
            <v>850.95</v>
          </cell>
        </row>
        <row r="789">
          <cell r="A789" t="str">
            <v>BE6327337273</v>
          </cell>
          <cell r="B789" t="str">
            <v>Sivek Global Medium Resp, Invest, Inst, F Shares SK Cap</v>
          </cell>
          <cell r="C789" t="str">
            <v>EUR-KAP-INST,FSK</v>
          </cell>
          <cell r="D789">
            <v>20230302</v>
          </cell>
          <cell r="E789">
            <v>860.22</v>
          </cell>
        </row>
        <row r="790">
          <cell r="A790" t="str">
            <v>BE6327442354</v>
          </cell>
          <cell r="B790" t="str">
            <v>Perspective Global Timing USD 10 Cap</v>
          </cell>
          <cell r="C790" t="str">
            <v>USD-KAP-RETAIL</v>
          </cell>
          <cell r="D790">
            <v>20230228</v>
          </cell>
          <cell r="E790">
            <v>892.02</v>
          </cell>
        </row>
        <row r="791">
          <cell r="A791" t="str">
            <v>BE6327605042</v>
          </cell>
          <cell r="B791" t="str">
            <v>KBC-Life Impact Resp, Invest, Cap</v>
          </cell>
          <cell r="C791" t="str">
            <v>EUR-KAP-INSTITUTIONEEL</v>
          </cell>
          <cell r="D791">
            <v>20230301</v>
          </cell>
          <cell r="E791">
            <v>882.53</v>
          </cell>
        </row>
        <row r="792">
          <cell r="A792" t="str">
            <v>BE6327837421</v>
          </cell>
          <cell r="B792" t="str">
            <v>Perspective Global 95 USD 1 Cap</v>
          </cell>
          <cell r="C792" t="str">
            <v>USD-KAP-RETAIL</v>
          </cell>
          <cell r="D792">
            <v>20230228</v>
          </cell>
          <cell r="E792">
            <v>903.38</v>
          </cell>
        </row>
        <row r="793">
          <cell r="A793" t="str">
            <v>BE6327901094</v>
          </cell>
          <cell r="B793" t="str">
            <v>Horizon Comfort Dyn, High Resp, Invest, Inst, F Shares LU Cap</v>
          </cell>
          <cell r="C793" t="str">
            <v>EUR-KAP-INST,FLU</v>
          </cell>
          <cell r="D793">
            <v>20230302</v>
          </cell>
          <cell r="E793">
            <v>897.1</v>
          </cell>
        </row>
        <row r="794">
          <cell r="A794" t="str">
            <v>BE6328051626</v>
          </cell>
          <cell r="B794" t="str">
            <v>Horizon Platinum Portf, Classic Shares Cap (empty)</v>
          </cell>
          <cell r="C794" t="str">
            <v>BGN-KAP-RETAIL</v>
          </cell>
          <cell r="D794">
            <v>20211118</v>
          </cell>
          <cell r="E794" t="str">
            <v>1000</v>
          </cell>
        </row>
        <row r="795">
          <cell r="A795" t="str">
            <v>BE6328052632</v>
          </cell>
          <cell r="B795" t="str">
            <v>Horizon Platinum Portf, Inst, F shares BG Cap</v>
          </cell>
          <cell r="C795" t="str">
            <v>BGN-KAP-INST,FBG</v>
          </cell>
          <cell r="D795">
            <v>20230302</v>
          </cell>
          <cell r="E795">
            <v>887.3</v>
          </cell>
        </row>
        <row r="796">
          <cell r="A796" t="str">
            <v>BE6328115298</v>
          </cell>
          <cell r="B796" t="str">
            <v>KBC Private Partners Life Sciences Dis</v>
          </cell>
          <cell r="C796" t="str">
            <v/>
          </cell>
          <cell r="E796" t="str">
            <v/>
          </cell>
        </row>
        <row r="797">
          <cell r="A797" t="str">
            <v>BE6328116304</v>
          </cell>
          <cell r="B797" t="str">
            <v>KBC Private Partners Life Sciences Privak Dis</v>
          </cell>
          <cell r="C797" t="str">
            <v/>
          </cell>
          <cell r="E797" t="str">
            <v/>
          </cell>
        </row>
        <row r="798">
          <cell r="A798" t="str">
            <v>BE6328278955</v>
          </cell>
          <cell r="B798" t="str">
            <v>Perspective Global 95 USD 2 Cap</v>
          </cell>
          <cell r="C798" t="str">
            <v>USD-KAP-RETAIL</v>
          </cell>
          <cell r="D798">
            <v>20230228</v>
          </cell>
          <cell r="E798">
            <v>921.51</v>
          </cell>
        </row>
        <row r="799">
          <cell r="A799" t="str">
            <v>BE6328346661</v>
          </cell>
          <cell r="B799" t="str">
            <v>KBC-Life Comfort Dyn, High Resp, Invest, Cap</v>
          </cell>
          <cell r="C799" t="str">
            <v>EUR-KAP-INSTITUTIONEEL</v>
          </cell>
          <cell r="D799">
            <v>20230301</v>
          </cell>
          <cell r="E799">
            <v>892.3</v>
          </cell>
        </row>
        <row r="800">
          <cell r="A800" t="str">
            <v>BE6328398217</v>
          </cell>
          <cell r="B800" t="str">
            <v>KBC-Life Expert Trends Dyn, Cap</v>
          </cell>
          <cell r="C800" t="str">
            <v>EUR-KAP-INSTITUTIONEEL</v>
          </cell>
          <cell r="D800">
            <v>20230301</v>
          </cell>
          <cell r="E800">
            <v>858.71</v>
          </cell>
        </row>
        <row r="801">
          <cell r="A801" t="str">
            <v>BE6328577067</v>
          </cell>
          <cell r="B801" t="str">
            <v>KBC Equity Fund Emerging Europe Classic Shares CSOB CZK Cap (In Liquidation)</v>
          </cell>
          <cell r="C801" t="str">
            <v>CZK-KAP-RET,CSOB</v>
          </cell>
          <cell r="D801">
            <v>20230220</v>
          </cell>
          <cell r="E801">
            <v>886.33</v>
          </cell>
        </row>
        <row r="802">
          <cell r="A802" t="str">
            <v>BE6328677099</v>
          </cell>
          <cell r="B802" t="str">
            <v>KBC-Life Long-Term Fund Plan KBC-Life LT ExpertEase Neutral Resp, Invest, Cap</v>
          </cell>
          <cell r="C802" t="str">
            <v>EUR-KAP-INST,EUR</v>
          </cell>
          <cell r="D802">
            <v>20230301</v>
          </cell>
          <cell r="E802">
            <v>855.83</v>
          </cell>
        </row>
        <row r="803">
          <cell r="A803" t="str">
            <v>BE6328875131</v>
          </cell>
          <cell r="B803" t="str">
            <v>Perspective Global 95 USD 3 Cap</v>
          </cell>
          <cell r="C803" t="str">
            <v>USD-KAP-RETAIL</v>
          </cell>
          <cell r="D803">
            <v>20230228</v>
          </cell>
          <cell r="E803">
            <v>871.53</v>
          </cell>
        </row>
        <row r="804">
          <cell r="A804" t="str">
            <v>BE6329232795</v>
          </cell>
          <cell r="B804" t="str">
            <v>Optimum Fund ČSOB Globálních firem 7 Cap</v>
          </cell>
          <cell r="C804" t="str">
            <v>CZK-KAP-RETAIL,PRIVBK</v>
          </cell>
          <cell r="D804">
            <v>20230228</v>
          </cell>
          <cell r="E804">
            <v>8.67</v>
          </cell>
        </row>
        <row r="805">
          <cell r="A805" t="str">
            <v>BE6329543027</v>
          </cell>
          <cell r="B805" t="str">
            <v>Perspective Global 95 USD 4 Cap</v>
          </cell>
          <cell r="C805" t="str">
            <v>USD-KAP-RETAIL</v>
          </cell>
          <cell r="D805">
            <v>20230228</v>
          </cell>
          <cell r="E805">
            <v>876.82</v>
          </cell>
        </row>
        <row r="806">
          <cell r="A806" t="str">
            <v>BE6329809741</v>
          </cell>
          <cell r="B806" t="str">
            <v>KBC Inst, Fund Euro Bonds Def, Inst, Shares Cap</v>
          </cell>
          <cell r="C806" t="str">
            <v>EUR-KAP-INSTITUTIONEEL</v>
          </cell>
          <cell r="D806">
            <v>20230302</v>
          </cell>
          <cell r="E806">
            <v>812.31</v>
          </cell>
        </row>
        <row r="807">
          <cell r="A807" t="str">
            <v>BE6330357409</v>
          </cell>
          <cell r="B807" t="str">
            <v>Horizon KBC ExpertEase Def, Conservative Resp, Invest, Classic Shares Dis</v>
          </cell>
          <cell r="C807" t="str">
            <v>EUR-DIV-RETAIL</v>
          </cell>
          <cell r="D807">
            <v>20230302</v>
          </cell>
          <cell r="E807">
            <v>228.64</v>
          </cell>
        </row>
        <row r="808">
          <cell r="A808" t="str">
            <v>BE6330705979</v>
          </cell>
          <cell r="B808" t="str">
            <v>KBC Equity Fund World Inst, Shares Cap (empty)</v>
          </cell>
          <cell r="C808" t="str">
            <v>EUR-KAP-INSTITUTIONEEL</v>
          </cell>
          <cell r="D808">
            <v>20211019</v>
          </cell>
          <cell r="E808" t="str">
            <v>1000</v>
          </cell>
        </row>
        <row r="809">
          <cell r="A809" t="str">
            <v>BE6330927284</v>
          </cell>
          <cell r="B809" t="str">
            <v>Plato Inst, Index Fund World DBI-RDT Classic Shares Dis</v>
          </cell>
          <cell r="C809" t="str">
            <v>EUR-DIV-RETAIL</v>
          </cell>
          <cell r="D809">
            <v>20230302</v>
          </cell>
          <cell r="E809">
            <v>916.55</v>
          </cell>
        </row>
        <row r="810">
          <cell r="A810" t="str">
            <v>BE6330928290</v>
          </cell>
          <cell r="B810" t="str">
            <v>Plato Inst, Index Fund World DBI-RDT Corp,Shares Dis (empty)</v>
          </cell>
          <cell r="C810" t="str">
            <v>EUR-DIV-CORP,SHARES</v>
          </cell>
          <cell r="D810">
            <v>20211108</v>
          </cell>
          <cell r="E810" t="str">
            <v>1000</v>
          </cell>
        </row>
        <row r="811">
          <cell r="A811" t="str">
            <v>BE6330929306</v>
          </cell>
          <cell r="B811" t="str">
            <v>Plato Inst, Index Fund World DBI-RDT Discretionary Shares Dis</v>
          </cell>
          <cell r="C811" t="str">
            <v>EUR-DIV-DISCR,SHARES</v>
          </cell>
          <cell r="D811">
            <v>20230302</v>
          </cell>
          <cell r="E811">
            <v>920.77</v>
          </cell>
        </row>
        <row r="812">
          <cell r="A812" t="str">
            <v>BE6330930312</v>
          </cell>
          <cell r="B812" t="str">
            <v>Plato Inst, Index Fund World DBI-RDT Inst, Shares Dis</v>
          </cell>
          <cell r="C812" t="str">
            <v>EUR-DIV-INSTITUTIONEEL</v>
          </cell>
          <cell r="D812">
            <v>20230302</v>
          </cell>
          <cell r="E812">
            <v>922.32</v>
          </cell>
        </row>
        <row r="813">
          <cell r="A813" t="str">
            <v>BE6331241511</v>
          </cell>
          <cell r="B813" t="str">
            <v>KBC-Life PP ExpertEase Def, Conservative Resp, Invest, Cap</v>
          </cell>
          <cell r="C813" t="str">
            <v>EUR-KAP-INST,LIFEPP</v>
          </cell>
          <cell r="D813">
            <v>20230301</v>
          </cell>
          <cell r="E813">
            <v>954.21</v>
          </cell>
        </row>
        <row r="814">
          <cell r="A814" t="str">
            <v>BE6331242527</v>
          </cell>
          <cell r="B814" t="str">
            <v>KBC-Life MI ExpertEase Def, Conservative Resp, Invest, Cap</v>
          </cell>
          <cell r="C814" t="str">
            <v>EUR-KAP-INST,LIFEMI</v>
          </cell>
          <cell r="D814">
            <v>20230228</v>
          </cell>
          <cell r="E814">
            <v>956.67</v>
          </cell>
        </row>
        <row r="815">
          <cell r="A815" t="str">
            <v>BE6331651735</v>
          </cell>
          <cell r="B815" t="str">
            <v>KBC Master Fund Bonds Discretionary Shares Cap (empty)</v>
          </cell>
          <cell r="C815" t="str">
            <v>EUR-KAP-DISCR,SHARES</v>
          </cell>
          <cell r="D815">
            <v>20211119</v>
          </cell>
          <cell r="E815" t="str">
            <v>1000</v>
          </cell>
        </row>
        <row r="816">
          <cell r="A816" t="str">
            <v>BE6331652741</v>
          </cell>
          <cell r="B816" t="str">
            <v>KBC Master Fund Bonds Discretionary Shares Dis</v>
          </cell>
          <cell r="C816" t="str">
            <v>EUR-DIV-DISCR,SHARES</v>
          </cell>
          <cell r="D816">
            <v>20230302</v>
          </cell>
          <cell r="E816">
            <v>979.78</v>
          </cell>
        </row>
        <row r="817">
          <cell r="A817" t="str">
            <v>BE6331692176</v>
          </cell>
          <cell r="B817" t="str">
            <v>Horizon KBC ExpertEase Def, Conservative Resp, Invest, Inst, F shares BG Cap</v>
          </cell>
          <cell r="C817" t="str">
            <v>EUR-KAP-INST,FBG</v>
          </cell>
          <cell r="D817">
            <v>20230302</v>
          </cell>
          <cell r="E817">
            <v>978.13</v>
          </cell>
        </row>
        <row r="818">
          <cell r="A818" t="str">
            <v>BE6331693182</v>
          </cell>
          <cell r="B818" t="str">
            <v>Horizon KBC ExpertEase Def, Balanced Resp, Invest, Inst, F shares BG Cap</v>
          </cell>
          <cell r="C818" t="str">
            <v>EUR-KAP-INST,FBG</v>
          </cell>
          <cell r="D818">
            <v>20230302</v>
          </cell>
          <cell r="E818">
            <v>974.33</v>
          </cell>
        </row>
        <row r="819">
          <cell r="A819" t="str">
            <v>BE6331694198</v>
          </cell>
          <cell r="B819" t="str">
            <v>Horizon KBC ExpertEase Dyn, Balanced Resp, Invest, Inst, F shares BG Cap</v>
          </cell>
          <cell r="C819" t="str">
            <v>EUR-KAP-INST,FBG</v>
          </cell>
          <cell r="D819">
            <v>20230302</v>
          </cell>
          <cell r="E819">
            <v>965.82</v>
          </cell>
        </row>
        <row r="820">
          <cell r="A820" t="str">
            <v>BE6331695203</v>
          </cell>
          <cell r="B820" t="str">
            <v>Horizon KBC ExpertEase Def, Tolerant Resp, Invest, Inst, F shares BG Cap</v>
          </cell>
          <cell r="C820" t="str">
            <v>EUR-KAP-INST,FBG</v>
          </cell>
          <cell r="D820">
            <v>20230302</v>
          </cell>
          <cell r="E820">
            <v>973.47</v>
          </cell>
        </row>
        <row r="821">
          <cell r="A821" t="str">
            <v>BE6331696219</v>
          </cell>
          <cell r="B821" t="str">
            <v>Horizon KBC ExpertEase Dyn, Tolerant Resp, Invest, Inst, F shares BG Cap</v>
          </cell>
          <cell r="C821" t="str">
            <v>EUR-KAP-INST,FBG</v>
          </cell>
          <cell r="D821">
            <v>20230302</v>
          </cell>
          <cell r="E821">
            <v>968.33</v>
          </cell>
        </row>
        <row r="822">
          <cell r="A822" t="str">
            <v>BE6331698231</v>
          </cell>
          <cell r="B822" t="str">
            <v>Horizon KBC Expertease Highly Dyn, Tolerant Resp, Invest, Inst, F shares BG Cap</v>
          </cell>
          <cell r="C822" t="str">
            <v>EUR-KAP-INST,FBG</v>
          </cell>
          <cell r="D822">
            <v>20230302</v>
          </cell>
          <cell r="E822">
            <v>972.84</v>
          </cell>
        </row>
        <row r="823">
          <cell r="A823" t="str">
            <v>BE6332392388</v>
          </cell>
          <cell r="B823" t="str">
            <v>KBC Inst, Fund Rest Of Europe Resp, Invest, Inst, B Shares Cap</v>
          </cell>
          <cell r="C823" t="str">
            <v>EUR-KAP-INSTIT,B</v>
          </cell>
          <cell r="D823">
            <v>20230302</v>
          </cell>
          <cell r="E823">
            <v>951.11</v>
          </cell>
        </row>
        <row r="824">
          <cell r="A824" t="str">
            <v>BE6332393394</v>
          </cell>
          <cell r="B824" t="str">
            <v>KBC Inst, Fund North America Resp, Invest, Inst, B Shares EUR Cap</v>
          </cell>
          <cell r="C824" t="str">
            <v>EUR-KAP-INST,B EUR</v>
          </cell>
          <cell r="D824">
            <v>20230302</v>
          </cell>
          <cell r="E824">
            <v>926.9</v>
          </cell>
        </row>
        <row r="825">
          <cell r="A825" t="str">
            <v>BE6332394400</v>
          </cell>
          <cell r="B825" t="str">
            <v>KBC Inst, Fund Asia Pacific Resp, Invest, Inst, B Shares Cap</v>
          </cell>
          <cell r="C825" t="str">
            <v>EUR-KAP-INSTIT,B</v>
          </cell>
          <cell r="D825">
            <v>20230302</v>
          </cell>
          <cell r="E825">
            <v>972.44</v>
          </cell>
        </row>
        <row r="826">
          <cell r="A826" t="str">
            <v>BE6332922838</v>
          </cell>
          <cell r="B826" t="str">
            <v>Optimum Fund ČSOB Lookback 2 Cap</v>
          </cell>
          <cell r="C826" t="str">
            <v>CZK-KAP-RETAIL,PRIVBK</v>
          </cell>
          <cell r="D826">
            <v>20230228</v>
          </cell>
          <cell r="E826">
            <v>9.8000000000000007</v>
          </cell>
        </row>
        <row r="827">
          <cell r="A827" t="str">
            <v>BE6333207775</v>
          </cell>
          <cell r="B827" t="str">
            <v>KBC-Life S4 ExpertEase Neutral Resp, Invest, Cap</v>
          </cell>
          <cell r="C827" t="str">
            <v>EUR-KAP-INST,LIFESOL4</v>
          </cell>
          <cell r="D827">
            <v>20230301</v>
          </cell>
          <cell r="E827">
            <v>1040.98</v>
          </cell>
        </row>
        <row r="828">
          <cell r="A828" t="str">
            <v>BE6333465449</v>
          </cell>
          <cell r="B828" t="str">
            <v>KBC Equity Fund Trends Inst, F Shares LU Cap</v>
          </cell>
          <cell r="C828" t="str">
            <v>EUR-KAP-INST,FLU</v>
          </cell>
          <cell r="D828">
            <v>20230302</v>
          </cell>
          <cell r="E828">
            <v>1019.76</v>
          </cell>
        </row>
        <row r="829">
          <cell r="A829" t="str">
            <v>BE6333570529</v>
          </cell>
          <cell r="B829" t="str">
            <v>Horizon Business Dyn, DBI-RDT Resp, Invest, Classic Shares Dis</v>
          </cell>
          <cell r="C829" t="str">
            <v>EUR-DIV-CLASSIC</v>
          </cell>
          <cell r="D829">
            <v>20230302</v>
          </cell>
          <cell r="E829">
            <v>962.03</v>
          </cell>
        </row>
        <row r="830">
          <cell r="A830" t="str">
            <v>BE6333571535</v>
          </cell>
          <cell r="B830" t="str">
            <v>Horizon Business Dyn, DBI-RDT Resp, Invest, Comfort Portf, Shares Dis</v>
          </cell>
          <cell r="C830" t="str">
            <v>EUR-DIV-COMF,PTF</v>
          </cell>
          <cell r="D830">
            <v>20230302</v>
          </cell>
          <cell r="E830">
            <v>964.63</v>
          </cell>
        </row>
        <row r="831">
          <cell r="A831" t="str">
            <v>BE6333605879</v>
          </cell>
          <cell r="B831" t="str">
            <v>KBC Inst, Fund Euro Equity Small &amp; Medium Caps Classic Shares Cap (empty)</v>
          </cell>
          <cell r="C831" t="str">
            <v>EUR-KAP-RETAIL</v>
          </cell>
          <cell r="D831">
            <v>20220426</v>
          </cell>
          <cell r="E831" t="str">
            <v>1000</v>
          </cell>
        </row>
        <row r="832">
          <cell r="A832" t="str">
            <v>BE6333607891</v>
          </cell>
          <cell r="B832" t="str">
            <v>KBC Select Immo World Plus Inst, Shares Cap</v>
          </cell>
          <cell r="C832" t="str">
            <v>EUR-KAP-INSTITUTIONEEL</v>
          </cell>
          <cell r="D832">
            <v>20230302</v>
          </cell>
          <cell r="E832">
            <v>790.35</v>
          </cell>
        </row>
        <row r="833">
          <cell r="A833" t="str">
            <v>BE6333929238</v>
          </cell>
          <cell r="B833" t="str">
            <v>KBC-Life PP Highly Dyn, Resp, Invest, Cap</v>
          </cell>
          <cell r="C833" t="str">
            <v>EUR-KAP-INST,LIFEPP</v>
          </cell>
          <cell r="D833">
            <v>20230301</v>
          </cell>
          <cell r="E833">
            <v>891.72</v>
          </cell>
        </row>
        <row r="834">
          <cell r="A834" t="str">
            <v>BE6333932265</v>
          </cell>
          <cell r="B834" t="str">
            <v>KBC-Life S Highly Dyn, Resp, Invest, Cap</v>
          </cell>
          <cell r="C834" t="str">
            <v>EUR-KAP-INST,LIFESOL</v>
          </cell>
          <cell r="D834">
            <v>20230301</v>
          </cell>
          <cell r="E834">
            <v>891.72</v>
          </cell>
        </row>
        <row r="835">
          <cell r="A835" t="str">
            <v>BE6334473822</v>
          </cell>
          <cell r="B835" t="str">
            <v>Horizon Comfort Dyn, High Resp, Invest, Inst, Shares Cap</v>
          </cell>
          <cell r="C835" t="str">
            <v>EUR-KAP-INSTIT,F</v>
          </cell>
          <cell r="D835">
            <v>20230302</v>
          </cell>
          <cell r="E835">
            <v>1011.46</v>
          </cell>
        </row>
        <row r="836">
          <cell r="A836" t="str">
            <v>BE6334547591</v>
          </cell>
          <cell r="B836" t="str">
            <v>KBC-Life S4 Def, Resp, Invest, Cap</v>
          </cell>
          <cell r="C836" t="str">
            <v>EUR-KAP-INST,LIFESOL4</v>
          </cell>
          <cell r="D836">
            <v>20230301</v>
          </cell>
          <cell r="E836">
            <v>919.12</v>
          </cell>
        </row>
        <row r="837">
          <cell r="A837" t="str">
            <v>BE6334947718</v>
          </cell>
          <cell r="B837" t="str">
            <v>KBC-Life MI Step In World 100-1 Cap</v>
          </cell>
          <cell r="C837" t="str">
            <v>EUR-KAP-RETAIL</v>
          </cell>
          <cell r="D837">
            <v>20230216</v>
          </cell>
          <cell r="E837">
            <v>946.99</v>
          </cell>
        </row>
        <row r="838">
          <cell r="A838" t="str">
            <v>BE6335527691</v>
          </cell>
          <cell r="B838" t="str">
            <v>Horizon Comfort Dyn, High Resp, Invest, Classic Shares Cap</v>
          </cell>
          <cell r="C838" t="str">
            <v>EUR-KAP-CLASSIC</v>
          </cell>
          <cell r="D838">
            <v>20230302</v>
          </cell>
          <cell r="E838">
            <v>187.11</v>
          </cell>
        </row>
        <row r="839">
          <cell r="A839" t="str">
            <v>BE6335528707</v>
          </cell>
          <cell r="B839" t="str">
            <v>Horizon Comfort Dyn, High Resp, Invest, Classic Shares Dis</v>
          </cell>
          <cell r="C839" t="str">
            <v>EUR-DIV-CLASSIC</v>
          </cell>
          <cell r="D839">
            <v>20230302</v>
          </cell>
          <cell r="E839">
            <v>186.76</v>
          </cell>
        </row>
        <row r="840">
          <cell r="A840" t="str">
            <v>BE6336587629</v>
          </cell>
          <cell r="B840" t="str">
            <v>KBC Equity Fund We Digitize Resp, Invest, Classic Shares EUR Cap</v>
          </cell>
          <cell r="C840" t="str">
            <v>EUR-KAP-CS,EUR</v>
          </cell>
          <cell r="D840">
            <v>20230302</v>
          </cell>
          <cell r="E840">
            <v>96.95</v>
          </cell>
        </row>
        <row r="841">
          <cell r="A841" t="str">
            <v>BE6336588635</v>
          </cell>
          <cell r="B841" t="str">
            <v>KBC Equity Fund We Digitize Resp, Invest, Classic Shares EUR Dis</v>
          </cell>
          <cell r="C841" t="str">
            <v>EUR-DIV-CS,EUR</v>
          </cell>
          <cell r="D841">
            <v>20230302</v>
          </cell>
          <cell r="E841">
            <v>96.92</v>
          </cell>
        </row>
        <row r="842">
          <cell r="A842" t="str">
            <v>BE6336589641</v>
          </cell>
          <cell r="B842" t="str">
            <v>Horizon Start 100 Cap</v>
          </cell>
          <cell r="C842" t="str">
            <v>EUR-KAP-CS,EUR</v>
          </cell>
          <cell r="D842">
            <v>20230228</v>
          </cell>
          <cell r="E842">
            <v>10.15</v>
          </cell>
        </row>
        <row r="843">
          <cell r="A843" t="str">
            <v>BE6337106965</v>
          </cell>
          <cell r="B843" t="str">
            <v>KBC-Life S4 Comfort Def, Resp, Invest, Cap</v>
          </cell>
          <cell r="C843" t="str">
            <v>EUR-KAP-PRIV,LIFESOL4</v>
          </cell>
          <cell r="D843">
            <v>20230301</v>
          </cell>
          <cell r="E843">
            <v>909.01</v>
          </cell>
        </row>
        <row r="844">
          <cell r="A844" t="str">
            <v>BE6337107971</v>
          </cell>
          <cell r="B844" t="str">
            <v>KBC-Life S4 Comfort Dyn, Resp, Invest, Cap</v>
          </cell>
          <cell r="C844" t="str">
            <v>EUR-KAP-PRIV,LIFESOL4</v>
          </cell>
          <cell r="D844">
            <v>20230301</v>
          </cell>
          <cell r="E844">
            <v>1028.05</v>
          </cell>
        </row>
        <row r="845">
          <cell r="A845" t="str">
            <v>BE6337110033</v>
          </cell>
          <cell r="B845" t="str">
            <v>KBC-Life S4 Comfort Dyn, High Resp, Invest, Cap</v>
          </cell>
          <cell r="C845" t="str">
            <v>EUR-KAP-PRIV,LIFESOL4</v>
          </cell>
          <cell r="D845">
            <v>20230301</v>
          </cell>
          <cell r="E845">
            <v>892.3</v>
          </cell>
        </row>
        <row r="846">
          <cell r="A846" t="str">
            <v>BE6337111049</v>
          </cell>
          <cell r="B846" t="str">
            <v>KBC-Life S4 Expert Trends Dyn, Cap</v>
          </cell>
          <cell r="C846" t="str">
            <v>EUR-KAP-RET,LIFESOL4</v>
          </cell>
          <cell r="D846">
            <v>20230301</v>
          </cell>
          <cell r="E846">
            <v>858.71</v>
          </cell>
        </row>
        <row r="847">
          <cell r="A847" t="str">
            <v>BE6337112054</v>
          </cell>
          <cell r="B847" t="str">
            <v>KBC-Life S4 Impact Resp, Invest, Cap</v>
          </cell>
          <cell r="C847" t="str">
            <v>EUR-KAP-RET,LIFESOL4</v>
          </cell>
          <cell r="D847">
            <v>20230301</v>
          </cell>
          <cell r="E847">
            <v>882.53</v>
          </cell>
        </row>
        <row r="848">
          <cell r="A848" t="str">
            <v>BE6337218141</v>
          </cell>
          <cell r="B848" t="str">
            <v>KBC-Life MI Global Selection 100-1 Cap</v>
          </cell>
          <cell r="C848" t="str">
            <v>EUR-KAP-RETAIL</v>
          </cell>
          <cell r="D848">
            <v>20230216</v>
          </cell>
          <cell r="E848">
            <v>1023.07</v>
          </cell>
        </row>
        <row r="849">
          <cell r="A849" t="str">
            <v>BE6337352510</v>
          </cell>
          <cell r="B849" t="str">
            <v>Horizon Strategisch Obligatiedepot Resp, Invest, Discretionary Shares Dis</v>
          </cell>
          <cell r="C849" t="str">
            <v>EUR-DIV-DISCR,SHARES</v>
          </cell>
          <cell r="D849">
            <v>20230302</v>
          </cell>
          <cell r="E849">
            <v>969.77</v>
          </cell>
        </row>
        <row r="850">
          <cell r="A850" t="str">
            <v>BE6337356552</v>
          </cell>
          <cell r="B850" t="str">
            <v>Optimum Fund K&amp;H fix+ egészség Cap</v>
          </cell>
          <cell r="C850" t="str">
            <v>HUF-KAP-RETAIL</v>
          </cell>
          <cell r="D850">
            <v>20230228</v>
          </cell>
          <cell r="E850">
            <v>10949.92</v>
          </cell>
        </row>
        <row r="851">
          <cell r="A851" t="str">
            <v>BE6337442444</v>
          </cell>
          <cell r="B851" t="str">
            <v>Plato Inst, Index Fund World Resp, Invest, Classic Shares Cap</v>
          </cell>
          <cell r="C851" t="str">
            <v>EUR-KAP-CS,EUR</v>
          </cell>
          <cell r="D851">
            <v>20230302</v>
          </cell>
          <cell r="E851">
            <v>979.18</v>
          </cell>
        </row>
        <row r="852">
          <cell r="A852" t="str">
            <v>BE6337444465</v>
          </cell>
          <cell r="B852" t="str">
            <v>Plato Inst, Index Fund World Resp, Invest, Classic Shares Dis</v>
          </cell>
          <cell r="C852" t="str">
            <v>EUR-DIV-CS,EUR</v>
          </cell>
          <cell r="D852">
            <v>20230302</v>
          </cell>
          <cell r="E852">
            <v>979.18</v>
          </cell>
        </row>
        <row r="853">
          <cell r="A853" t="str">
            <v>BE6337447492</v>
          </cell>
          <cell r="B853" t="str">
            <v>Plato Inst, Index Fund World Resp, Invest, Discretionary Shares Cap</v>
          </cell>
          <cell r="C853" t="str">
            <v>EUR-KAP-DISCR,SHARES</v>
          </cell>
          <cell r="D853">
            <v>20230302</v>
          </cell>
          <cell r="E853">
            <v>979.22</v>
          </cell>
        </row>
        <row r="854">
          <cell r="A854" t="str">
            <v>BE6337475774</v>
          </cell>
          <cell r="B854" t="str">
            <v>KBC Equity Fund We Care Resp, Invest, Classic Shares CSOB CZK Cap</v>
          </cell>
          <cell r="C854" t="str">
            <v>CZK-KAP-RET,CSOB</v>
          </cell>
          <cell r="D854">
            <v>20230302</v>
          </cell>
          <cell r="E854">
            <v>888.83</v>
          </cell>
        </row>
        <row r="855">
          <cell r="A855" t="str">
            <v>BE6337481830</v>
          </cell>
          <cell r="B855" t="str">
            <v>KBC Equity Fund We Live Resp, Invest, Classic Shares CSOB CZK Cap</v>
          </cell>
          <cell r="C855" t="str">
            <v>CZK-KAP-RET,CSOB</v>
          </cell>
          <cell r="D855">
            <v>20230302</v>
          </cell>
          <cell r="E855">
            <v>932.93</v>
          </cell>
        </row>
        <row r="856">
          <cell r="A856" t="str">
            <v>BE6338220468</v>
          </cell>
          <cell r="B856" t="str">
            <v>Perspective Global Selection Timing 100-1 Cap</v>
          </cell>
          <cell r="C856" t="str">
            <v>EUR-KAP-CLASSIC</v>
          </cell>
          <cell r="D856">
            <v>20230228</v>
          </cell>
          <cell r="E856">
            <v>979.84</v>
          </cell>
        </row>
        <row r="857">
          <cell r="A857" t="str">
            <v>BE6338505405</v>
          </cell>
          <cell r="B857" t="str">
            <v>KBC Equity Fund Global Value Resp, Invest, Classic Shares Cap</v>
          </cell>
          <cell r="C857" t="str">
            <v>EUR-KAP-CS,EUR</v>
          </cell>
          <cell r="D857">
            <v>20230302</v>
          </cell>
          <cell r="E857">
            <v>98.51</v>
          </cell>
        </row>
        <row r="858">
          <cell r="A858" t="str">
            <v>BE6338506411</v>
          </cell>
          <cell r="B858" t="str">
            <v>KBC Equity Fund Global Value Resp, Invest, Classic Shares Dis</v>
          </cell>
          <cell r="C858" t="str">
            <v>EUR-DIV-CS,EUR</v>
          </cell>
          <cell r="D858">
            <v>20230302</v>
          </cell>
          <cell r="E858">
            <v>98.51</v>
          </cell>
        </row>
        <row r="859">
          <cell r="A859" t="str">
            <v>BE6338507427</v>
          </cell>
          <cell r="B859" t="str">
            <v>KBC Equity Fund Global Value Resp, Invest, Discretionary Shares Cap</v>
          </cell>
          <cell r="C859" t="str">
            <v>EUR-KAP-DISCR,SHARES</v>
          </cell>
          <cell r="D859">
            <v>20230217</v>
          </cell>
          <cell r="E859">
            <v>100</v>
          </cell>
        </row>
        <row r="860">
          <cell r="A860" t="str">
            <v>BE6338508433</v>
          </cell>
          <cell r="B860" t="str">
            <v>KBC Equity Fund Global Value Resp, Invest, Discretionary Shares Dis</v>
          </cell>
          <cell r="C860" t="str">
            <v>EUR-DIV-DISCR,SHARES</v>
          </cell>
          <cell r="D860">
            <v>20230302</v>
          </cell>
          <cell r="E860">
            <v>98.53</v>
          </cell>
        </row>
        <row r="861">
          <cell r="A861" t="str">
            <v>BE6338509449</v>
          </cell>
          <cell r="B861" t="str">
            <v>KBC Equity Fund Global Value Resp, Invest, Corp,Shares Cap</v>
          </cell>
          <cell r="C861" t="str">
            <v>EUR-KAP-CORP,SHARES</v>
          </cell>
          <cell r="D861">
            <v>20230302</v>
          </cell>
          <cell r="E861">
            <v>100.27</v>
          </cell>
        </row>
        <row r="862">
          <cell r="A862" t="str">
            <v>BE6338510454</v>
          </cell>
          <cell r="B862" t="str">
            <v>KBC Equity Fund Global Value Resp, Invest, Corp,Shares Dis</v>
          </cell>
          <cell r="C862" t="str">
            <v>EUR-DIV-CORP,SHARES</v>
          </cell>
          <cell r="D862">
            <v>20230217</v>
          </cell>
          <cell r="E862">
            <v>100</v>
          </cell>
        </row>
        <row r="863">
          <cell r="A863" t="str">
            <v>BE6338512476</v>
          </cell>
          <cell r="B863" t="str">
            <v>KBC Equity Fund Global Value Resp, Invest, Inst, Shares Cap</v>
          </cell>
          <cell r="C863" t="str">
            <v>EUR-KAP-INSTITUTIONEEL</v>
          </cell>
          <cell r="D863">
            <v>20230217</v>
          </cell>
          <cell r="E863">
            <v>100</v>
          </cell>
        </row>
        <row r="864">
          <cell r="A864" t="str">
            <v>BE6338513482</v>
          </cell>
          <cell r="B864" t="str">
            <v>KBC Equity Fund Global Value Resp, Invest, Classic Shares USD Cap</v>
          </cell>
          <cell r="C864" t="str">
            <v>USD-KAP-CS,USD</v>
          </cell>
          <cell r="D864">
            <v>20230302</v>
          </cell>
          <cell r="E864">
            <v>98.02</v>
          </cell>
        </row>
        <row r="865">
          <cell r="A865" t="str">
            <v>BE6338514498</v>
          </cell>
          <cell r="B865" t="str">
            <v>KBC Equity Fund Global Value Resp, Invest, Classic Shares USD Dis</v>
          </cell>
          <cell r="C865" t="str">
            <v>USD-KAP-CS,USD</v>
          </cell>
          <cell r="D865">
            <v>20230302</v>
          </cell>
          <cell r="E865">
            <v>97.89</v>
          </cell>
        </row>
        <row r="866">
          <cell r="A866" t="str">
            <v>BE6338523580</v>
          </cell>
          <cell r="B866" t="str">
            <v>KBC-Keyman Highly Dyn, Resp, Invest, Cap</v>
          </cell>
          <cell r="C866" t="str">
            <v>EUR-KAP-RET,INST</v>
          </cell>
          <cell r="D866">
            <v>20230301</v>
          </cell>
          <cell r="E866">
            <v>1015.92</v>
          </cell>
        </row>
        <row r="867">
          <cell r="A867" t="str">
            <v>BE6338635731</v>
          </cell>
          <cell r="B867" t="str">
            <v>KBC-Life MI Global Selection 100-2 Cap</v>
          </cell>
          <cell r="C867" t="str">
            <v>EUR-KAP-RETAIL</v>
          </cell>
          <cell r="D867">
            <v>20230216</v>
          </cell>
          <cell r="E867">
            <v>1002.17</v>
          </cell>
        </row>
        <row r="868">
          <cell r="A868" t="str">
            <v>BE6338720616</v>
          </cell>
          <cell r="B868" t="str">
            <v>KBC Inst, Investors Family Enterprises DBI-RDT Dis</v>
          </cell>
          <cell r="C868" t="str">
            <v>EUR-DIV-INST,W</v>
          </cell>
          <cell r="D868">
            <v>20230302</v>
          </cell>
          <cell r="E868">
            <v>1074.9000000000001</v>
          </cell>
        </row>
        <row r="869">
          <cell r="A869" t="str">
            <v>BE6338755968</v>
          </cell>
          <cell r="B869" t="str">
            <v>KBC Equity Fund World Resp, Invest, Discretionary Shares Cap (empty)</v>
          </cell>
          <cell r="C869" t="str">
            <v>EUR-KAP-DISCR,SHARES</v>
          </cell>
          <cell r="D869">
            <v>20230110</v>
          </cell>
          <cell r="E869">
            <v>1000</v>
          </cell>
        </row>
        <row r="870">
          <cell r="A870" t="str">
            <v>BE6338756974</v>
          </cell>
          <cell r="B870" t="str">
            <v>KBC Equity Fund World Resp, Invest, Discretionary Shares Dis</v>
          </cell>
          <cell r="C870" t="str">
            <v>EUR-DIV-DISCR,SHARES</v>
          </cell>
          <cell r="D870">
            <v>20230302</v>
          </cell>
          <cell r="E870">
            <v>981.85</v>
          </cell>
        </row>
        <row r="871">
          <cell r="A871" t="str">
            <v>BE6338757014</v>
          </cell>
          <cell r="B871" t="str">
            <v>KBC Eco Fund World Resp, Invest,  Discretionary Shares Cap (empty)</v>
          </cell>
          <cell r="C871" t="str">
            <v>EUR-KAP-DISCR,SHARES</v>
          </cell>
          <cell r="D871">
            <v>20230110</v>
          </cell>
          <cell r="E871">
            <v>1000</v>
          </cell>
        </row>
        <row r="872">
          <cell r="A872" t="str">
            <v>BE6338758020</v>
          </cell>
          <cell r="B872" t="str">
            <v>KBC Eco Fund World Resp, Invest,  Discretionary Shares Dis (empty)</v>
          </cell>
          <cell r="C872" t="str">
            <v>EUR-DIV-DISCR,SHARES</v>
          </cell>
          <cell r="D872">
            <v>20230110</v>
          </cell>
          <cell r="E872">
            <v>1000</v>
          </cell>
        </row>
        <row r="873">
          <cell r="A873" t="str">
            <v>BE6338759036</v>
          </cell>
          <cell r="B873" t="str">
            <v>KBC Eco Fund Impact Resp, Invest, Discretionary Shares Cap (empty)</v>
          </cell>
          <cell r="C873" t="str">
            <v>EUR-KAP-DISCR,SHARES</v>
          </cell>
          <cell r="D873">
            <v>20230110</v>
          </cell>
          <cell r="E873">
            <v>1000</v>
          </cell>
        </row>
        <row r="874">
          <cell r="A874" t="str">
            <v>BE6338760042</v>
          </cell>
          <cell r="B874" t="str">
            <v>KBC Eco Fund Impact Resp, Invest, Discretionary Shares Dis (empty)</v>
          </cell>
          <cell r="C874" t="str">
            <v>EUR-DIV-DISCR,SHARES</v>
          </cell>
          <cell r="D874">
            <v>20230110</v>
          </cell>
          <cell r="E874">
            <v>1000</v>
          </cell>
        </row>
        <row r="875">
          <cell r="A875" t="str">
            <v>BE6339115683</v>
          </cell>
          <cell r="B875" t="str">
            <v>Perspective World Timing 100-1 Cap</v>
          </cell>
          <cell r="C875" t="str">
            <v>EUR-KAP-CLASSIC</v>
          </cell>
          <cell r="D875">
            <v>20230220</v>
          </cell>
          <cell r="E875">
            <v>1000</v>
          </cell>
        </row>
        <row r="876">
          <cell r="A876" t="str">
            <v>BE6339511766</v>
          </cell>
          <cell r="B876" t="str">
            <v>Optimum Fund K&amp;H fix+ élelmiszeripari Cap</v>
          </cell>
          <cell r="C876" t="str">
            <v>HUF-KAP-RETAIL</v>
          </cell>
          <cell r="D876">
            <v>20230221</v>
          </cell>
          <cell r="E876">
            <v>10000</v>
          </cell>
        </row>
        <row r="877">
          <cell r="A877" t="str">
            <v>IE00BM99PM85</v>
          </cell>
          <cell r="B877" t="str">
            <v>KBC Ireland Fund ICAV ExpertEase SRI Balanced Defence Cap</v>
          </cell>
          <cell r="C877" t="str">
            <v>EUR-KAP-RETAIL</v>
          </cell>
          <cell r="D877">
            <v>20230116</v>
          </cell>
          <cell r="E877">
            <v>919.45839999999998</v>
          </cell>
        </row>
        <row r="878">
          <cell r="A878" t="str">
            <v>IE00BM99PN92</v>
          </cell>
          <cell r="B878" t="str">
            <v>KBC Ireland Fund ICAV ExpertEase SRI Progressive Defence Cap</v>
          </cell>
          <cell r="C878" t="str">
            <v>EUR-KAP-RETAIL</v>
          </cell>
          <cell r="D878">
            <v>20230116</v>
          </cell>
          <cell r="E878">
            <v>898.81449999999995</v>
          </cell>
        </row>
        <row r="879">
          <cell r="A879" t="str">
            <v>IE00BM99PP17</v>
          </cell>
          <cell r="B879" t="str">
            <v>KBC Ireland Fund ICAV ExpertEase SRI Balanced Approach Cap</v>
          </cell>
          <cell r="C879" t="str">
            <v>EUR-KAP-RETAIL</v>
          </cell>
          <cell r="D879">
            <v>20230116</v>
          </cell>
          <cell r="E879">
            <v>915.81539999999995</v>
          </cell>
        </row>
        <row r="880">
          <cell r="A880" t="str">
            <v>IE00BM99PQ24</v>
          </cell>
          <cell r="B880" t="str">
            <v>KBC Ireland Fund ICAV ExpertEase SRI Progressive Approach Cap</v>
          </cell>
          <cell r="C880" t="str">
            <v>EUR-KAP-RETAIL</v>
          </cell>
          <cell r="D880">
            <v>20230116</v>
          </cell>
          <cell r="E880">
            <v>905.58540000000005</v>
          </cell>
        </row>
        <row r="881">
          <cell r="A881" t="str">
            <v>IE00BM99PR31</v>
          </cell>
          <cell r="B881" t="str">
            <v>KBC Ireland Fund ICAV ExpertEase SRI Progressive Opportunity Cap</v>
          </cell>
          <cell r="C881" t="str">
            <v>EUR-KAP-RETAIL</v>
          </cell>
          <cell r="D881">
            <v>20230116</v>
          </cell>
          <cell r="E881">
            <v>909.8854</v>
          </cell>
        </row>
        <row r="882">
          <cell r="A882" t="str">
            <v>IE00BM99PS48</v>
          </cell>
          <cell r="B882" t="str">
            <v>KBC Ireland Fund ICAV SIVEK SRI Global Medium Cap</v>
          </cell>
          <cell r="C882" t="str">
            <v>EUR-KAP-RETAIL</v>
          </cell>
          <cell r="D882">
            <v>20230116</v>
          </cell>
          <cell r="E882">
            <v>922.38300000000004</v>
          </cell>
        </row>
        <row r="883">
          <cell r="A883" t="str">
            <v>IE00BN4N0X82</v>
          </cell>
          <cell r="B883" t="str">
            <v>KBC Ireland Fund ICAV SIVEK SRI Global Medium Cap</v>
          </cell>
          <cell r="C883" t="str">
            <v>EUR-KAP-RET,B</v>
          </cell>
          <cell r="D883">
            <v>20230116</v>
          </cell>
          <cell r="E883">
            <v>912.39340000000004</v>
          </cell>
        </row>
        <row r="884">
          <cell r="A884" t="str">
            <v>LU0052030318</v>
          </cell>
          <cell r="B884" t="str">
            <v>KBC Bonds Income Fund Dis</v>
          </cell>
          <cell r="C884" t="str">
            <v>DIV</v>
          </cell>
          <cell r="D884">
            <v>20230302</v>
          </cell>
          <cell r="E884">
            <v>288.88</v>
          </cell>
        </row>
        <row r="885">
          <cell r="A885" t="str">
            <v>LU0052032520</v>
          </cell>
          <cell r="B885" t="str">
            <v>KBC Bonds Capital Fund Cap</v>
          </cell>
          <cell r="C885" t="str">
            <v>KAP</v>
          </cell>
          <cell r="D885">
            <v>20230302</v>
          </cell>
          <cell r="E885">
            <v>870.79</v>
          </cell>
        </row>
        <row r="886">
          <cell r="A886" t="str">
            <v>LU0052032793</v>
          </cell>
          <cell r="B886" t="str">
            <v>KBC Bonds Capital Fund Dis</v>
          </cell>
          <cell r="C886" t="str">
            <v>DIV</v>
          </cell>
          <cell r="D886">
            <v>20230302</v>
          </cell>
          <cell r="E886">
            <v>433.26</v>
          </cell>
        </row>
        <row r="887">
          <cell r="A887" t="str">
            <v>LU0052033098</v>
          </cell>
          <cell r="B887" t="str">
            <v>KBC Bonds High Interest Cap</v>
          </cell>
          <cell r="C887" t="str">
            <v>KAP</v>
          </cell>
          <cell r="D887">
            <v>20230302</v>
          </cell>
          <cell r="E887">
            <v>1835.93</v>
          </cell>
        </row>
        <row r="888">
          <cell r="A888" t="str">
            <v>LU0052033254</v>
          </cell>
          <cell r="B888" t="str">
            <v>KBC Bonds High Interest Dis</v>
          </cell>
          <cell r="C888" t="str">
            <v>DIV</v>
          </cell>
          <cell r="D888">
            <v>20230302</v>
          </cell>
          <cell r="E888">
            <v>269.2</v>
          </cell>
        </row>
        <row r="889">
          <cell r="A889" t="str">
            <v>LU0054025225</v>
          </cell>
          <cell r="B889" t="str">
            <v>KBC Renta Canarenta Dis</v>
          </cell>
          <cell r="C889" t="str">
            <v>DIV</v>
          </cell>
          <cell r="D889">
            <v>20230302</v>
          </cell>
          <cell r="E889">
            <v>934.14</v>
          </cell>
        </row>
        <row r="890">
          <cell r="A890" t="str">
            <v>LU0054025654</v>
          </cell>
          <cell r="B890" t="str">
            <v>KBC Renta Canarenta Cap</v>
          </cell>
          <cell r="C890" t="str">
            <v>KAP</v>
          </cell>
          <cell r="D890">
            <v>20230302</v>
          </cell>
          <cell r="E890">
            <v>2390.5500000000002</v>
          </cell>
        </row>
        <row r="891">
          <cell r="A891" t="str">
            <v>LU0058246306</v>
          </cell>
          <cell r="B891" t="str">
            <v>KBC Renta Eurorenta Cap</v>
          </cell>
          <cell r="C891" t="str">
            <v>KAP</v>
          </cell>
          <cell r="D891">
            <v>20230302</v>
          </cell>
          <cell r="E891">
            <v>2586.0700000000002</v>
          </cell>
        </row>
        <row r="892">
          <cell r="A892" t="str">
            <v>LU0058246728</v>
          </cell>
          <cell r="B892" t="str">
            <v>KBC Renta Eurorenta Dis</v>
          </cell>
          <cell r="C892" t="str">
            <v>DIV</v>
          </cell>
          <cell r="D892">
            <v>20230302</v>
          </cell>
          <cell r="E892">
            <v>528.91999999999996</v>
          </cell>
        </row>
        <row r="893">
          <cell r="A893" t="str">
            <v>LU0063915911</v>
          </cell>
          <cell r="B893" t="str">
            <v>KBC Renta Dollarenta Dis</v>
          </cell>
          <cell r="C893" t="str">
            <v>DIV</v>
          </cell>
          <cell r="D893">
            <v>20230302</v>
          </cell>
          <cell r="E893">
            <v>424.1</v>
          </cell>
        </row>
        <row r="894">
          <cell r="A894" t="str">
            <v>LU0063916489</v>
          </cell>
          <cell r="B894" t="str">
            <v>KBC Renta Dollarenta Cap</v>
          </cell>
          <cell r="C894" t="str">
            <v>KAP</v>
          </cell>
          <cell r="D894">
            <v>20230302</v>
          </cell>
          <cell r="E894">
            <v>1069.68</v>
          </cell>
        </row>
        <row r="895">
          <cell r="A895" t="str">
            <v>LU0082283374</v>
          </cell>
          <cell r="B895" t="str">
            <v>KBC Bonds Emerging Markets Cap</v>
          </cell>
          <cell r="C895" t="str">
            <v>KAP</v>
          </cell>
          <cell r="D895">
            <v>20230302</v>
          </cell>
          <cell r="E895">
            <v>2213.84</v>
          </cell>
        </row>
        <row r="896">
          <cell r="A896" t="str">
            <v>LU0082283614</v>
          </cell>
          <cell r="B896" t="str">
            <v>KBC Bonds Emerging Markets Dis</v>
          </cell>
          <cell r="C896" t="str">
            <v>DIV</v>
          </cell>
          <cell r="D896">
            <v>20230302</v>
          </cell>
          <cell r="E896">
            <v>438.96</v>
          </cell>
        </row>
        <row r="897">
          <cell r="A897" t="str">
            <v>LU0093925211</v>
          </cell>
          <cell r="B897" t="str">
            <v>KBC Inst, Interest Fund Cash Euro Inst, Shares Cap</v>
          </cell>
          <cell r="C897" t="str">
            <v>KAP</v>
          </cell>
          <cell r="D897">
            <v>20230302</v>
          </cell>
          <cell r="E897">
            <v>4741.79</v>
          </cell>
        </row>
        <row r="898">
          <cell r="A898" t="str">
            <v>LU0094437620</v>
          </cell>
          <cell r="B898" t="str">
            <v>KBC Bonds Corporates Euro Cap</v>
          </cell>
          <cell r="C898" t="str">
            <v>KAP</v>
          </cell>
          <cell r="D898">
            <v>20230302</v>
          </cell>
          <cell r="E898">
            <v>802.35</v>
          </cell>
        </row>
        <row r="899">
          <cell r="A899" t="str">
            <v>LU0094437893</v>
          </cell>
          <cell r="B899" t="str">
            <v>KBC Bonds Corporates Euro Dis</v>
          </cell>
          <cell r="C899" t="str">
            <v>DIV</v>
          </cell>
          <cell r="D899">
            <v>20230302</v>
          </cell>
          <cell r="E899">
            <v>361.2</v>
          </cell>
        </row>
        <row r="900">
          <cell r="A900" t="str">
            <v>LU0095278775</v>
          </cell>
          <cell r="B900" t="str">
            <v>KBC Renta Czechrenta Dis</v>
          </cell>
          <cell r="C900" t="str">
            <v>DIV</v>
          </cell>
          <cell r="D900">
            <v>20230302</v>
          </cell>
          <cell r="E900">
            <v>17028.060000000001</v>
          </cell>
        </row>
        <row r="901">
          <cell r="A901" t="str">
            <v>LU0095279401</v>
          </cell>
          <cell r="B901" t="str">
            <v>KBC Renta Czechrenta Cap</v>
          </cell>
          <cell r="C901" t="str">
            <v>KAP</v>
          </cell>
          <cell r="D901">
            <v>20230302</v>
          </cell>
          <cell r="E901">
            <v>34974.46</v>
          </cell>
        </row>
        <row r="902">
          <cell r="A902" t="str">
            <v>LU0098296873</v>
          </cell>
          <cell r="B902" t="str">
            <v>KBC Bonds Convertibles Cap</v>
          </cell>
          <cell r="C902" t="str">
            <v>KAP</v>
          </cell>
          <cell r="D902">
            <v>20230302</v>
          </cell>
          <cell r="E902">
            <v>879.62</v>
          </cell>
        </row>
        <row r="903">
          <cell r="A903" t="str">
            <v>LU0098298069</v>
          </cell>
          <cell r="B903" t="str">
            <v>KBC Bonds Convertibles Dis</v>
          </cell>
          <cell r="C903" t="str">
            <v>DIV</v>
          </cell>
          <cell r="D903">
            <v>20230302</v>
          </cell>
          <cell r="E903">
            <v>650.6</v>
          </cell>
        </row>
        <row r="904">
          <cell r="A904" t="str">
            <v>LU0103555248</v>
          </cell>
          <cell r="B904" t="str">
            <v>KBC Bonds Inflation-Linked Bonds Cap</v>
          </cell>
          <cell r="C904" t="str">
            <v>KAP</v>
          </cell>
          <cell r="D904">
            <v>20230302</v>
          </cell>
          <cell r="E904">
            <v>1055.77</v>
          </cell>
        </row>
        <row r="905">
          <cell r="A905" t="str">
            <v>LU0103555594</v>
          </cell>
          <cell r="B905" t="str">
            <v>KBC Bonds Inflation-Linked Bonds Dis</v>
          </cell>
          <cell r="C905" t="str">
            <v>DIV</v>
          </cell>
          <cell r="D905">
            <v>20230302</v>
          </cell>
          <cell r="E905">
            <v>769.56</v>
          </cell>
        </row>
        <row r="906">
          <cell r="A906" t="str">
            <v>LU0106101842</v>
          </cell>
          <cell r="B906" t="str">
            <v>KBC Bonds Corporates USD Cap</v>
          </cell>
          <cell r="C906" t="str">
            <v>KAP</v>
          </cell>
          <cell r="D906">
            <v>20230302</v>
          </cell>
          <cell r="E906">
            <v>1162.8599999999999</v>
          </cell>
        </row>
        <row r="907">
          <cell r="A907" t="str">
            <v>LU0106102063</v>
          </cell>
          <cell r="B907" t="str">
            <v>KBC Bonds Corporates USD Dis</v>
          </cell>
          <cell r="C907" t="str">
            <v>DIV</v>
          </cell>
          <cell r="D907">
            <v>20230302</v>
          </cell>
          <cell r="E907">
            <v>447.23</v>
          </cell>
        </row>
        <row r="908">
          <cell r="A908" t="str">
            <v>LU0145227863</v>
          </cell>
          <cell r="B908" t="str">
            <v>KBC Bonds Emerging Europe Cap</v>
          </cell>
          <cell r="C908" t="str">
            <v>KAP</v>
          </cell>
          <cell r="D908">
            <v>20230302</v>
          </cell>
          <cell r="E908">
            <v>596.33000000000004</v>
          </cell>
        </row>
        <row r="909">
          <cell r="A909" t="str">
            <v>LU0145228085</v>
          </cell>
          <cell r="B909" t="str">
            <v>KBC Bonds Emerging Europe Dis</v>
          </cell>
          <cell r="C909" t="str">
            <v>DIV</v>
          </cell>
          <cell r="D909">
            <v>20230302</v>
          </cell>
          <cell r="E909">
            <v>208.51</v>
          </cell>
        </row>
        <row r="910">
          <cell r="A910" t="str">
            <v>LU0154896004</v>
          </cell>
          <cell r="B910" t="str">
            <v>KBC Life Inst, Fund One Cap</v>
          </cell>
          <cell r="C910" t="str">
            <v>KAP</v>
          </cell>
          <cell r="D910">
            <v>20230228</v>
          </cell>
          <cell r="E910">
            <v>560.36</v>
          </cell>
        </row>
        <row r="911">
          <cell r="A911" t="str">
            <v>LU0159038560</v>
          </cell>
          <cell r="B911" t="str">
            <v>KBC Inst, Interest Fund Cash Upper Grade Euro Inst, Shares Cap</v>
          </cell>
          <cell r="C911" t="str">
            <v>KAP</v>
          </cell>
          <cell r="D911">
            <v>20230302</v>
          </cell>
          <cell r="E911">
            <v>2950.19</v>
          </cell>
        </row>
        <row r="912">
          <cell r="A912" t="str">
            <v>LU0159040624</v>
          </cell>
          <cell r="B912" t="str">
            <v>KBC Inst, Interest Fund Cash Upper Grade Euro Corp,Shares Cap</v>
          </cell>
          <cell r="C912" t="str">
            <v>KAP2</v>
          </cell>
          <cell r="D912">
            <v>20230302</v>
          </cell>
          <cell r="E912">
            <v>2991.17</v>
          </cell>
        </row>
        <row r="913">
          <cell r="A913" t="str">
            <v>LU0166236959</v>
          </cell>
          <cell r="B913" t="str">
            <v>KBC Renta Nokrenta Dis</v>
          </cell>
          <cell r="C913" t="str">
            <v>DIV</v>
          </cell>
          <cell r="D913">
            <v>20230302</v>
          </cell>
          <cell r="E913">
            <v>3698.59</v>
          </cell>
        </row>
        <row r="914">
          <cell r="A914" t="str">
            <v>LU0166237098</v>
          </cell>
          <cell r="B914" t="str">
            <v>KBC Renta Nokrenta Cap</v>
          </cell>
          <cell r="C914" t="str">
            <v>KAP</v>
          </cell>
          <cell r="D914">
            <v>20230302</v>
          </cell>
          <cell r="E914">
            <v>6112.89</v>
          </cell>
        </row>
        <row r="915">
          <cell r="A915" t="str">
            <v>LU0181125310</v>
          </cell>
          <cell r="B915" t="str">
            <v>KBC Life Invest Platform Def, Cap</v>
          </cell>
          <cell r="C915" t="str">
            <v>KAP2</v>
          </cell>
          <cell r="D915">
            <v>20230301</v>
          </cell>
          <cell r="E915">
            <v>332.77</v>
          </cell>
        </row>
        <row r="916">
          <cell r="A916" t="str">
            <v>LU0203907273</v>
          </cell>
          <cell r="B916" t="str">
            <v>KBC Bonds Corporates Euro Inst, Shares Dis (empty)</v>
          </cell>
          <cell r="C916" t="str">
            <v/>
          </cell>
          <cell r="E916" t="str">
            <v/>
          </cell>
        </row>
        <row r="917">
          <cell r="A917" t="str">
            <v>LU0203907869</v>
          </cell>
          <cell r="B917" t="str">
            <v>KBC Bonds Inflation-Linked Bonds Inst, Shares Cap</v>
          </cell>
          <cell r="C917" t="str">
            <v>KAP2</v>
          </cell>
          <cell r="D917">
            <v>20230302</v>
          </cell>
          <cell r="E917">
            <v>158.46</v>
          </cell>
        </row>
        <row r="918">
          <cell r="A918" t="str">
            <v>LU0234318078</v>
          </cell>
          <cell r="B918" t="str">
            <v>KBC Life Inst, Fund Two Cap</v>
          </cell>
          <cell r="C918" t="str">
            <v>KAP</v>
          </cell>
          <cell r="D918">
            <v>20230131</v>
          </cell>
          <cell r="E918">
            <v>4805.1998999999996</v>
          </cell>
        </row>
        <row r="919">
          <cell r="A919" t="str">
            <v>LU0239505299</v>
          </cell>
          <cell r="B919" t="str">
            <v>KBC Inst, Interest Fund Cash Euro Inst, Shares Dis (empty)</v>
          </cell>
          <cell r="C919" t="str">
            <v>DIV</v>
          </cell>
          <cell r="D919">
            <v>20180607</v>
          </cell>
          <cell r="E919">
            <v>4234.5276670000003</v>
          </cell>
        </row>
        <row r="920">
          <cell r="A920" t="str">
            <v>LU0239505612</v>
          </cell>
          <cell r="B920" t="str">
            <v>KBC Inst, Interest Fund Cash Upper Grade Euro Corp,Shares Dis</v>
          </cell>
          <cell r="C920" t="str">
            <v>DIV2</v>
          </cell>
          <cell r="D920">
            <v>20230302</v>
          </cell>
          <cell r="E920">
            <v>2682.48</v>
          </cell>
        </row>
        <row r="921">
          <cell r="A921" t="str">
            <v>LU0239505703</v>
          </cell>
          <cell r="B921" t="str">
            <v>KBC Inst, Interest Fund Cash Upper Grade Euro Inst, Shares Dis</v>
          </cell>
          <cell r="C921" t="str">
            <v>DIV</v>
          </cell>
          <cell r="D921">
            <v>20230302</v>
          </cell>
          <cell r="E921">
            <v>2661.64</v>
          </cell>
        </row>
        <row r="922">
          <cell r="A922" t="str">
            <v>LU0259719655</v>
          </cell>
          <cell r="B922" t="str">
            <v>KBC Bonds High Interest Inst, Shares Cap</v>
          </cell>
          <cell r="C922" t="str">
            <v>KAP2</v>
          </cell>
          <cell r="D922">
            <v>20230302</v>
          </cell>
          <cell r="E922">
            <v>694.56</v>
          </cell>
        </row>
        <row r="923">
          <cell r="A923" t="str">
            <v>LU0276281929</v>
          </cell>
          <cell r="B923" t="str">
            <v>KBC Bonds Convertibles Euro Hedged Cap</v>
          </cell>
          <cell r="C923" t="str">
            <v>KAP2</v>
          </cell>
          <cell r="D923">
            <v>20230302</v>
          </cell>
          <cell r="E923">
            <v>656.07</v>
          </cell>
        </row>
        <row r="924">
          <cell r="A924" t="str">
            <v>LU0276282141</v>
          </cell>
          <cell r="B924" t="str">
            <v>KBC Bonds Convertibles Euro Hedged Dis</v>
          </cell>
          <cell r="C924" t="str">
            <v>DIV2</v>
          </cell>
          <cell r="D924">
            <v>20230302</v>
          </cell>
          <cell r="E924">
            <v>489.71</v>
          </cell>
        </row>
        <row r="925">
          <cell r="A925" t="str">
            <v>LU0308311447</v>
          </cell>
          <cell r="B925" t="str">
            <v>KBC Select Investors KBC Global Flexible Allocation Cap</v>
          </cell>
          <cell r="C925" t="str">
            <v>KAP</v>
          </cell>
          <cell r="D925">
            <v>20230302</v>
          </cell>
          <cell r="E925">
            <v>151.51</v>
          </cell>
        </row>
        <row r="926">
          <cell r="A926" t="str">
            <v>LU0321028671</v>
          </cell>
          <cell r="B926" t="str">
            <v>KBC Interest Fund CZK Omega Dis (empty)</v>
          </cell>
          <cell r="C926" t="str">
            <v>DIV</v>
          </cell>
          <cell r="D926">
            <v>20221221</v>
          </cell>
          <cell r="E926">
            <v>9988.0948000000008</v>
          </cell>
        </row>
        <row r="927">
          <cell r="A927" t="str">
            <v>LU0321028754</v>
          </cell>
          <cell r="B927" t="str">
            <v>KBC Interest Fund CZK Omega Cap (empty)</v>
          </cell>
          <cell r="C927" t="str">
            <v>KAP</v>
          </cell>
          <cell r="D927">
            <v>20220614</v>
          </cell>
          <cell r="E927">
            <v>11181.469300000001</v>
          </cell>
        </row>
        <row r="928">
          <cell r="A928" t="str">
            <v>LU0332256873</v>
          </cell>
          <cell r="B928" t="str">
            <v>KBC Select Investors Passive Euro Govt,Bonds Inst, Shares Cap</v>
          </cell>
          <cell r="C928" t="str">
            <v>KAP2</v>
          </cell>
          <cell r="D928">
            <v>20230302</v>
          </cell>
          <cell r="E928">
            <v>124.18</v>
          </cell>
        </row>
        <row r="929">
          <cell r="A929" t="str">
            <v>LU0332257095</v>
          </cell>
          <cell r="B929" t="str">
            <v>KBC Select Investors Passive Euro Govt,Bonds Corp,Shares Cap</v>
          </cell>
          <cell r="C929" t="str">
            <v>KAP</v>
          </cell>
          <cell r="D929">
            <v>20230302</v>
          </cell>
          <cell r="E929">
            <v>128.16999999999999</v>
          </cell>
        </row>
        <row r="930">
          <cell r="A930" t="str">
            <v>LU0332257178</v>
          </cell>
          <cell r="B930" t="str">
            <v>KBC Select Investors Passive Euro Govt,Bonds Inst, Shares Dis (empty)</v>
          </cell>
          <cell r="C930" t="str">
            <v>DIV2</v>
          </cell>
          <cell r="D930">
            <v>20160306</v>
          </cell>
          <cell r="E930">
            <v>122.85</v>
          </cell>
        </row>
        <row r="931">
          <cell r="A931" t="str">
            <v>LU0332257251</v>
          </cell>
          <cell r="B931" t="str">
            <v>KBC Select Investors Passive Euro Govt,Bonds Corp,Shares Dis (empty)</v>
          </cell>
          <cell r="C931" t="str">
            <v>DIV</v>
          </cell>
          <cell r="D931">
            <v>20171019</v>
          </cell>
          <cell r="E931">
            <v>125.24</v>
          </cell>
        </row>
        <row r="932">
          <cell r="A932" t="str">
            <v>LU0333715604</v>
          </cell>
          <cell r="B932" t="str">
            <v>KBC Inst, Interest Fund Cash Euro Corp,Shares Dis</v>
          </cell>
          <cell r="C932" t="str">
            <v>DIV2</v>
          </cell>
          <cell r="D932">
            <v>20230302</v>
          </cell>
          <cell r="E932">
            <v>4358.29</v>
          </cell>
        </row>
        <row r="933">
          <cell r="A933" t="str">
            <v>LU0333716834</v>
          </cell>
          <cell r="B933" t="str">
            <v>KBC Inst, Interest Fund Cash Euro Corp,Shares Cap</v>
          </cell>
          <cell r="C933" t="str">
            <v>KAP2</v>
          </cell>
          <cell r="D933">
            <v>20230302</v>
          </cell>
          <cell r="E933">
            <v>4836.4799999999996</v>
          </cell>
        </row>
        <row r="934">
          <cell r="A934" t="str">
            <v>LU0337260151</v>
          </cell>
          <cell r="B934" t="str">
            <v>KBC Bonds Emerging Europe USD Frequent Dividend Dis</v>
          </cell>
          <cell r="C934" t="str">
            <v>DIV2</v>
          </cell>
          <cell r="D934">
            <v>20230302</v>
          </cell>
          <cell r="E934">
            <v>212.56</v>
          </cell>
        </row>
        <row r="935">
          <cell r="A935" t="str">
            <v>LU0337262108</v>
          </cell>
          <cell r="B935" t="str">
            <v>KBC Bonds High Interest USD Frequent Dividend Dis</v>
          </cell>
          <cell r="C935" t="str">
            <v>DIV2</v>
          </cell>
          <cell r="D935">
            <v>20230302</v>
          </cell>
          <cell r="E935">
            <v>273.3</v>
          </cell>
        </row>
        <row r="936">
          <cell r="A936" t="str">
            <v>LU0513505700</v>
          </cell>
          <cell r="B936" t="str">
            <v>KBC Select Investors SRI Def, Flexible Allocation Cap</v>
          </cell>
          <cell r="C936" t="str">
            <v>KAP</v>
          </cell>
          <cell r="D936">
            <v>20230302</v>
          </cell>
          <cell r="E936">
            <v>128.65</v>
          </cell>
        </row>
        <row r="937">
          <cell r="A937" t="str">
            <v>LU0550926132</v>
          </cell>
          <cell r="B937" t="str">
            <v>KBC Select Investors Passive Inflation Linked Euro Govt,Bonds Inst, Shares Cap</v>
          </cell>
          <cell r="C937" t="str">
            <v>KAP</v>
          </cell>
          <cell r="D937">
            <v>20230302</v>
          </cell>
          <cell r="E937">
            <v>128.1</v>
          </cell>
        </row>
        <row r="938">
          <cell r="A938" t="str">
            <v>LU0550926215</v>
          </cell>
          <cell r="B938" t="str">
            <v>KBC Select Investors Pass, Infl, Linked Euro Govt,Bonds Inst, Shares Dis (empty)</v>
          </cell>
          <cell r="C938" t="str">
            <v/>
          </cell>
          <cell r="E938" t="str">
            <v/>
          </cell>
        </row>
        <row r="939">
          <cell r="A939" t="str">
            <v>LU0550926488</v>
          </cell>
          <cell r="B939" t="str">
            <v>KBC Select Investors Passive Inflation Linked Euro Govt,Bonds Corp,Shares Cap</v>
          </cell>
          <cell r="C939" t="str">
            <v>KAP2</v>
          </cell>
          <cell r="D939">
            <v>20230302</v>
          </cell>
          <cell r="E939">
            <v>132.38999999999999</v>
          </cell>
        </row>
        <row r="940">
          <cell r="A940" t="str">
            <v>LU0550926561</v>
          </cell>
          <cell r="B940" t="str">
            <v>KBC Select Investors Passive Inflation Linked Euro Govt,Bonds Corp,Shares Dis</v>
          </cell>
          <cell r="C940" t="str">
            <v>DIV2</v>
          </cell>
          <cell r="D940">
            <v>20230302</v>
          </cell>
          <cell r="E940">
            <v>129.47</v>
          </cell>
        </row>
        <row r="941">
          <cell r="A941" t="str">
            <v>LU0702681247</v>
          </cell>
          <cell r="B941" t="str">
            <v>KBC Bonds Emerging Markets Inst, B Shares Cap</v>
          </cell>
          <cell r="C941" t="str">
            <v>USD-KAP-INSTIT,B</v>
          </cell>
          <cell r="D941">
            <v>20230302</v>
          </cell>
          <cell r="E941">
            <v>2322.42</v>
          </cell>
        </row>
        <row r="942">
          <cell r="A942" t="str">
            <v>LU0702681320</v>
          </cell>
          <cell r="B942" t="str">
            <v>KBC Bonds Corporates USD Inst, B Shares Cap</v>
          </cell>
          <cell r="C942" t="str">
            <v>USD-KAP-INSTIT,B</v>
          </cell>
          <cell r="D942">
            <v>20230302</v>
          </cell>
          <cell r="E942">
            <v>1197.0899999999999</v>
          </cell>
        </row>
        <row r="943">
          <cell r="A943" t="str">
            <v>LU0702681676</v>
          </cell>
          <cell r="B943" t="str">
            <v>KBC Bonds Inflation-Linked Bonds Inst, B Shares Cap</v>
          </cell>
          <cell r="C943" t="str">
            <v>EUR-KAP-INSTIT,B</v>
          </cell>
          <cell r="D943">
            <v>20230302</v>
          </cell>
          <cell r="E943">
            <v>1055.23</v>
          </cell>
        </row>
        <row r="944">
          <cell r="A944" t="str">
            <v>LU0702681833</v>
          </cell>
          <cell r="B944" t="str">
            <v>KBC Bonds Convertibles Inst, B Shares Cap (empty)</v>
          </cell>
          <cell r="C944" t="str">
            <v>EUR-KAP-INSTIT,B</v>
          </cell>
          <cell r="D944">
            <v>20190220</v>
          </cell>
          <cell r="E944">
            <v>849.876983</v>
          </cell>
        </row>
        <row r="945">
          <cell r="A945" t="str">
            <v>LU0702682054</v>
          </cell>
          <cell r="B945" t="str">
            <v>KBC Bonds Corporates Euro Inst, B Shares Cap</v>
          </cell>
          <cell r="C945" t="str">
            <v>EUR-KAP-INSTIT,B</v>
          </cell>
          <cell r="D945">
            <v>20230302</v>
          </cell>
          <cell r="E945">
            <v>825.35</v>
          </cell>
        </row>
        <row r="946">
          <cell r="A946" t="str">
            <v>LU0702682302</v>
          </cell>
          <cell r="B946" t="str">
            <v>KBC Bonds High Interest Inst, B Shares Cap</v>
          </cell>
          <cell r="C946" t="str">
            <v>EUR-KAP-INSTIT,B</v>
          </cell>
          <cell r="D946">
            <v>20230302</v>
          </cell>
          <cell r="E946">
            <v>1913.31</v>
          </cell>
        </row>
        <row r="947">
          <cell r="A947" t="str">
            <v>LU0702682567</v>
          </cell>
          <cell r="B947" t="str">
            <v>KBC Bonds Emerging Europe Inst, B Shares Cap</v>
          </cell>
          <cell r="C947" t="str">
            <v>EUR-KAP-INSTIT,B</v>
          </cell>
          <cell r="D947">
            <v>20230302</v>
          </cell>
          <cell r="E947">
            <v>740.65</v>
          </cell>
        </row>
        <row r="948">
          <cell r="A948" t="str">
            <v>LU0705564648</v>
          </cell>
          <cell r="B948" t="str">
            <v>KBC Bonds Strategic Broad 70 30 Inst, B Shares Cap</v>
          </cell>
          <cell r="C948" t="str">
            <v>EUR-KAP-INSTIT,B</v>
          </cell>
          <cell r="D948">
            <v>20230302</v>
          </cell>
          <cell r="E948">
            <v>1024.4000000000001</v>
          </cell>
        </row>
        <row r="949">
          <cell r="A949" t="str">
            <v>LU0707509708</v>
          </cell>
          <cell r="B949" t="str">
            <v>KBC Renta Eurorenta Inst, B Shares Cap</v>
          </cell>
          <cell r="C949" t="str">
            <v>EUR-KAP-INSTIT,B</v>
          </cell>
          <cell r="D949">
            <v>20230302</v>
          </cell>
          <cell r="E949">
            <v>2648.4</v>
          </cell>
        </row>
        <row r="950">
          <cell r="A950" t="str">
            <v>LU0707509963</v>
          </cell>
          <cell r="B950" t="str">
            <v>KBC Renta Dollarenta Inst, B Shares Cap</v>
          </cell>
          <cell r="C950" t="str">
            <v>USD-KAP-INSTIT,B</v>
          </cell>
          <cell r="D950">
            <v>20230302</v>
          </cell>
          <cell r="E950">
            <v>1094.29</v>
          </cell>
        </row>
        <row r="951">
          <cell r="A951" t="str">
            <v>LU0707510201</v>
          </cell>
          <cell r="B951" t="str">
            <v>KBC Renta Canarenta Inst, B Shares Cap (empty)</v>
          </cell>
          <cell r="C951" t="str">
            <v/>
          </cell>
          <cell r="E951" t="str">
            <v/>
          </cell>
        </row>
        <row r="952">
          <cell r="A952" t="str">
            <v>LU0707510896</v>
          </cell>
          <cell r="B952" t="str">
            <v>KBC Renta Czechrenta Inst, B Shares Cap</v>
          </cell>
          <cell r="C952" t="str">
            <v>CZK-KAP-INSTIT,B</v>
          </cell>
          <cell r="D952">
            <v>20230302</v>
          </cell>
          <cell r="E952">
            <v>36127.21</v>
          </cell>
        </row>
        <row r="953">
          <cell r="A953" t="str">
            <v>LU0707532510</v>
          </cell>
          <cell r="B953" t="str">
            <v>KBC Renta Nokrenta Inst, B Shares Cap (empty)</v>
          </cell>
          <cell r="C953" t="str">
            <v>NOK-KAP-INSTIT,B</v>
          </cell>
          <cell r="D953">
            <v>20190221</v>
          </cell>
          <cell r="E953">
            <v>6486.764846</v>
          </cell>
        </row>
        <row r="954">
          <cell r="A954" t="str">
            <v>LU0868511139</v>
          </cell>
          <cell r="B954" t="str">
            <v>KBC Renta Strategic Accents 1 Inst, B Shares Cap</v>
          </cell>
          <cell r="C954" t="str">
            <v>EUR-KAP-INSTIT,B</v>
          </cell>
          <cell r="D954">
            <v>20230302</v>
          </cell>
          <cell r="E954">
            <v>913.93</v>
          </cell>
        </row>
        <row r="955">
          <cell r="A955" t="str">
            <v>LU0909309238</v>
          </cell>
          <cell r="B955" t="str">
            <v>KBC Bonds Corporates Euro PLN (empty)</v>
          </cell>
          <cell r="C955" t="str">
            <v/>
          </cell>
          <cell r="E955" t="str">
            <v/>
          </cell>
        </row>
        <row r="956">
          <cell r="A956" t="str">
            <v>LU0909309311</v>
          </cell>
          <cell r="B956" t="str">
            <v>KBC Bonds Corporates USD PLN (empty)</v>
          </cell>
          <cell r="C956" t="str">
            <v/>
          </cell>
          <cell r="E956" t="str">
            <v/>
          </cell>
        </row>
        <row r="957">
          <cell r="A957" t="str">
            <v>LU0984228972</v>
          </cell>
          <cell r="B957" t="str">
            <v>Global Partners ČSOB Portf, Pro unor 90 Cap</v>
          </cell>
          <cell r="C957" t="str">
            <v>KAP</v>
          </cell>
          <cell r="D957">
            <v>20230302</v>
          </cell>
          <cell r="E957">
            <v>889.61</v>
          </cell>
        </row>
        <row r="958">
          <cell r="A958" t="str">
            <v>LU1110429690</v>
          </cell>
          <cell r="B958" t="str">
            <v>KBC Select Investors K&amp;H Trio Call 1 Dis</v>
          </cell>
          <cell r="C958" t="str">
            <v>DIV</v>
          </cell>
          <cell r="D958">
            <v>20230228</v>
          </cell>
          <cell r="E958">
            <v>3262.89</v>
          </cell>
        </row>
        <row r="959">
          <cell r="A959" t="str">
            <v>LU1124088433</v>
          </cell>
          <cell r="B959" t="str">
            <v>KBC Bonds SRI High Interest Dis</v>
          </cell>
          <cell r="C959" t="str">
            <v>EUR-DIV-RETAIL</v>
          </cell>
          <cell r="D959">
            <v>20230302</v>
          </cell>
          <cell r="E959">
            <v>337.17</v>
          </cell>
        </row>
        <row r="960">
          <cell r="A960" t="str">
            <v>LU1124088607</v>
          </cell>
          <cell r="B960" t="str">
            <v>KBC Bonds SRI High Interest Cap</v>
          </cell>
          <cell r="C960" t="str">
            <v>EUR-KAP-RETAIL</v>
          </cell>
          <cell r="D960">
            <v>20230302</v>
          </cell>
          <cell r="E960">
            <v>417.21</v>
          </cell>
        </row>
        <row r="961">
          <cell r="A961" t="str">
            <v>LU1124095214</v>
          </cell>
          <cell r="B961" t="str">
            <v>KBC Bonds SRI High Interest Inst, Shares Dis</v>
          </cell>
          <cell r="C961" t="str">
            <v>EUR-DIV-INSTITUTIONEEL</v>
          </cell>
          <cell r="D961">
            <v>20230302</v>
          </cell>
          <cell r="E961">
            <v>488.98</v>
          </cell>
        </row>
        <row r="962">
          <cell r="A962" t="str">
            <v>LU1124096618</v>
          </cell>
          <cell r="B962" t="str">
            <v>KBC Bonds SRI High Interest Inst, Shares Cap</v>
          </cell>
          <cell r="C962" t="str">
            <v>EUR-KAP-INSTITUTIONEEL</v>
          </cell>
          <cell r="D962">
            <v>20230302</v>
          </cell>
          <cell r="E962">
            <v>440.1</v>
          </cell>
        </row>
        <row r="963">
          <cell r="A963" t="str">
            <v>LU1126206991</v>
          </cell>
          <cell r="B963" t="str">
            <v>KBC Renta Strategic Accents 1 Dis</v>
          </cell>
          <cell r="C963" t="str">
            <v>EUR-DIV-RETAIL</v>
          </cell>
          <cell r="D963">
            <v>20230302</v>
          </cell>
          <cell r="E963">
            <v>679.47</v>
          </cell>
        </row>
        <row r="964">
          <cell r="A964" t="str">
            <v>LU1132136554</v>
          </cell>
          <cell r="B964" t="str">
            <v>KBC Select Investors K&amp;H Pharma &amp; Food 1 Cap</v>
          </cell>
          <cell r="C964" t="str">
            <v>KAP</v>
          </cell>
          <cell r="D964">
            <v>20230228</v>
          </cell>
          <cell r="E964">
            <v>10068.17</v>
          </cell>
        </row>
        <row r="965">
          <cell r="A965" t="str">
            <v>LU1147753807</v>
          </cell>
          <cell r="B965" t="str">
            <v>KBC Select Investors K&amp;H Trio Call 2 Dis</v>
          </cell>
          <cell r="C965" t="str">
            <v>DIV</v>
          </cell>
          <cell r="D965">
            <v>20230228</v>
          </cell>
          <cell r="E965">
            <v>3011.78</v>
          </cell>
        </row>
        <row r="966">
          <cell r="A966" t="str">
            <v>LU1184963962</v>
          </cell>
          <cell r="B966" t="str">
            <v>KBC Select Investors K&amp;H Strong America 1 Cap</v>
          </cell>
          <cell r="C966" t="str">
            <v>KAP</v>
          </cell>
          <cell r="D966">
            <v>20230228</v>
          </cell>
          <cell r="E966">
            <v>10593.51</v>
          </cell>
        </row>
        <row r="967">
          <cell r="A967" t="str">
            <v>LU1203051310</v>
          </cell>
          <cell r="B967" t="str">
            <v>KBC Select Investors K&amp;H Kids 1 Cap</v>
          </cell>
          <cell r="C967" t="str">
            <v>KAP</v>
          </cell>
          <cell r="D967">
            <v>20230228</v>
          </cell>
          <cell r="E967">
            <v>9524.73</v>
          </cell>
        </row>
        <row r="968">
          <cell r="A968" t="str">
            <v>LU1211048498</v>
          </cell>
          <cell r="B968" t="str">
            <v>KBC Select Investors Global Flexible Allocation Wealth Dis</v>
          </cell>
          <cell r="C968" t="str">
            <v>DIV</v>
          </cell>
          <cell r="D968">
            <v>20230302</v>
          </cell>
          <cell r="E968">
            <v>820.86</v>
          </cell>
        </row>
        <row r="969">
          <cell r="A969" t="str">
            <v>LU1230545805</v>
          </cell>
          <cell r="B969" t="str">
            <v>KBC Select Investors K&amp;H Recovery Europe 1 Cap</v>
          </cell>
          <cell r="C969" t="str">
            <v>KAP</v>
          </cell>
          <cell r="D969">
            <v>20230228</v>
          </cell>
          <cell r="E969">
            <v>8275.14</v>
          </cell>
        </row>
        <row r="970">
          <cell r="A970" t="str">
            <v>LU1256046175</v>
          </cell>
          <cell r="B970" t="str">
            <v>KBC Select Investors K&amp;H Energy 1 Cap</v>
          </cell>
          <cell r="C970" t="str">
            <v>KAP</v>
          </cell>
          <cell r="D970">
            <v>20230228</v>
          </cell>
          <cell r="E970">
            <v>9140.44</v>
          </cell>
        </row>
        <row r="971">
          <cell r="A971" t="str">
            <v>LU1275396775</v>
          </cell>
          <cell r="B971" t="str">
            <v>KBC Bonds Strategic Broad 60 40 Inst, B Shares Cap</v>
          </cell>
          <cell r="C971" t="str">
            <v>EUR-KAP-INSTIT,B</v>
          </cell>
          <cell r="D971">
            <v>20230302</v>
          </cell>
          <cell r="E971">
            <v>935.61</v>
          </cell>
        </row>
        <row r="972">
          <cell r="A972" t="str">
            <v>LU1275396932</v>
          </cell>
          <cell r="B972" t="str">
            <v>KBC Bonds Strategic Emerging Opportunities Inst, B Shares Cap</v>
          </cell>
          <cell r="C972" t="str">
            <v>EUR-KAP-INSTIT,B</v>
          </cell>
          <cell r="D972">
            <v>20211008</v>
          </cell>
          <cell r="E972">
            <v>1045.4431</v>
          </cell>
        </row>
        <row r="973">
          <cell r="A973" t="str">
            <v>LU1275397153</v>
          </cell>
          <cell r="B973" t="str">
            <v>KBC Bonds Strategic Broad 50 50 Inst, B Shares Cap</v>
          </cell>
          <cell r="C973" t="str">
            <v>EUR-KAP-INSTIT,B</v>
          </cell>
          <cell r="D973">
            <v>20230302</v>
          </cell>
          <cell r="E973">
            <v>932.76</v>
          </cell>
        </row>
        <row r="974">
          <cell r="A974" t="str">
            <v>LU1275397401</v>
          </cell>
          <cell r="B974" t="str">
            <v>KBC Bonds Strategic Accents Inst, B Shares Cap</v>
          </cell>
          <cell r="C974" t="str">
            <v>EUR-KAP-INSTIT,B</v>
          </cell>
          <cell r="D974">
            <v>20230302</v>
          </cell>
          <cell r="E974">
            <v>753.41</v>
          </cell>
        </row>
        <row r="975">
          <cell r="A975" t="str">
            <v>LU1298087138</v>
          </cell>
          <cell r="B975" t="str">
            <v>KBC Select Investors K&amp;H E-commerce 1 Cap</v>
          </cell>
          <cell r="C975" t="str">
            <v>KAP</v>
          </cell>
          <cell r="D975">
            <v>20230228</v>
          </cell>
          <cell r="E975">
            <v>9140.4</v>
          </cell>
        </row>
        <row r="976">
          <cell r="A976" t="str">
            <v>LU1317710454</v>
          </cell>
          <cell r="B976" t="str">
            <v>KBC Select Investors K&amp;H Global Leaders 1 Cap</v>
          </cell>
          <cell r="C976" t="str">
            <v>KAP</v>
          </cell>
          <cell r="D976">
            <v>20230228</v>
          </cell>
          <cell r="E976">
            <v>8715.82</v>
          </cell>
        </row>
        <row r="977">
          <cell r="A977" t="str">
            <v>LU1330825735</v>
          </cell>
          <cell r="B977" t="str">
            <v>KBC Select Investors K&amp;H European Exporters 1 Cap</v>
          </cell>
          <cell r="C977" t="str">
            <v>KAP</v>
          </cell>
          <cell r="D977">
            <v>20230228</v>
          </cell>
          <cell r="E977">
            <v>9825</v>
          </cell>
        </row>
        <row r="978">
          <cell r="A978" t="str">
            <v>LU1365148813</v>
          </cell>
          <cell r="B978" t="str">
            <v>KBC Select Investors K&amp;H Household Goods 1 Cap</v>
          </cell>
          <cell r="C978" t="str">
            <v>KAP</v>
          </cell>
          <cell r="D978">
            <v>20230228</v>
          </cell>
          <cell r="E978">
            <v>8376.59</v>
          </cell>
        </row>
        <row r="979">
          <cell r="A979" t="str">
            <v>LU1495571215</v>
          </cell>
          <cell r="B979" t="str">
            <v>Contribute Partners CSOB Firmy s tradici 1 Cap</v>
          </cell>
          <cell r="C979" t="str">
            <v>KAP</v>
          </cell>
          <cell r="D979">
            <v>20230228</v>
          </cell>
          <cell r="E979">
            <v>11.51</v>
          </cell>
        </row>
        <row r="980">
          <cell r="A980" t="str">
            <v>LU1512742427</v>
          </cell>
          <cell r="B980" t="str">
            <v>Contribute Partners CSOB Svetovy expres 6 Cap</v>
          </cell>
          <cell r="C980" t="str">
            <v>KAP</v>
          </cell>
          <cell r="D980">
            <v>20230228</v>
          </cell>
          <cell r="E980">
            <v>10.73</v>
          </cell>
        </row>
        <row r="981">
          <cell r="A981" t="str">
            <v>LU1528129817</v>
          </cell>
          <cell r="B981" t="str">
            <v>Contribute Partners CSOB Informacni technologie 1 Cap</v>
          </cell>
          <cell r="C981" t="str">
            <v>KAP</v>
          </cell>
          <cell r="D981">
            <v>20230228</v>
          </cell>
          <cell r="E981">
            <v>13.7</v>
          </cell>
        </row>
        <row r="982">
          <cell r="A982" t="str">
            <v>LU1550265612</v>
          </cell>
          <cell r="B982" t="str">
            <v>Contribute Partners CSOB Svetovi hraci 3 Cap</v>
          </cell>
          <cell r="C982" t="str">
            <v>KAP</v>
          </cell>
          <cell r="D982">
            <v>20230228</v>
          </cell>
          <cell r="E982">
            <v>10.37</v>
          </cell>
        </row>
        <row r="983">
          <cell r="A983" t="str">
            <v>LU1551442467</v>
          </cell>
          <cell r="B983" t="str">
            <v>KBC Bonds SRI High Interest Inst, B Shares Cap</v>
          </cell>
          <cell r="C983" t="str">
            <v>EUR-KAP-INSTIT,B</v>
          </cell>
          <cell r="D983">
            <v>20230302</v>
          </cell>
          <cell r="E983">
            <v>880.74</v>
          </cell>
        </row>
        <row r="984">
          <cell r="A984" t="str">
            <v>LU1551683235</v>
          </cell>
          <cell r="B984" t="str">
            <v>Contribute Partners CSOB Banks Conditional Coupon 1 Dis</v>
          </cell>
          <cell r="C984" t="str">
            <v>DIV</v>
          </cell>
          <cell r="D984">
            <v>20230228</v>
          </cell>
          <cell r="E984">
            <v>9.9700000000000006</v>
          </cell>
        </row>
        <row r="985">
          <cell r="A985" t="str">
            <v>LU1555154068</v>
          </cell>
          <cell r="B985" t="str">
            <v>Contribute Partners CSOB Stribrna ekonomika 1 Cap</v>
          </cell>
          <cell r="C985" t="str">
            <v>KAP</v>
          </cell>
          <cell r="D985">
            <v>20230228</v>
          </cell>
          <cell r="E985">
            <v>11.03</v>
          </cell>
        </row>
        <row r="986">
          <cell r="A986" t="str">
            <v>LU1567980450</v>
          </cell>
          <cell r="B986" t="str">
            <v>KBC Select Investors Active Asset Allocation Cap</v>
          </cell>
          <cell r="C986" t="str">
            <v>KAP</v>
          </cell>
          <cell r="D986">
            <v>20230228</v>
          </cell>
          <cell r="E986">
            <v>1075.45</v>
          </cell>
        </row>
        <row r="987">
          <cell r="A987" t="str">
            <v>LU1571157749</v>
          </cell>
          <cell r="B987" t="str">
            <v>KBC Select Investors CSOB Vyber Svetovych Akcii 4 Cap</v>
          </cell>
          <cell r="C987" t="str">
            <v>KAP</v>
          </cell>
          <cell r="D987">
            <v>20230228</v>
          </cell>
          <cell r="E987">
            <v>10.67</v>
          </cell>
        </row>
        <row r="988">
          <cell r="A988" t="str">
            <v>LU1574033467</v>
          </cell>
          <cell r="B988" t="str">
            <v>Contribute Partners CSOB Firmy s tradici 2 Cap</v>
          </cell>
          <cell r="C988" t="str">
            <v>KAP</v>
          </cell>
          <cell r="D988">
            <v>20230228</v>
          </cell>
          <cell r="E988">
            <v>9.77</v>
          </cell>
        </row>
        <row r="989">
          <cell r="A989" t="str">
            <v>LU1580882071</v>
          </cell>
          <cell r="B989" t="str">
            <v>Contribute Partners CSOB Svetovy expres 7 Cap</v>
          </cell>
          <cell r="C989" t="str">
            <v>KAP</v>
          </cell>
          <cell r="D989">
            <v>20230228</v>
          </cell>
          <cell r="E989">
            <v>9.7899999999999991</v>
          </cell>
        </row>
        <row r="990">
          <cell r="A990" t="str">
            <v>LU1612329638</v>
          </cell>
          <cell r="B990" t="str">
            <v>KBC Interest Fund CZK Omega Inst, B Shares</v>
          </cell>
          <cell r="C990" t="str">
            <v>CZK-KAP-INSTIT,B</v>
          </cell>
          <cell r="D990">
            <v>20230302</v>
          </cell>
          <cell r="E990">
            <v>10658.92</v>
          </cell>
        </row>
        <row r="991">
          <cell r="A991" t="str">
            <v>LU1623845978</v>
          </cell>
          <cell r="B991" t="str">
            <v>Contribute Partners CSOB Potraviny a svet 1 Cap</v>
          </cell>
          <cell r="C991" t="str">
            <v>KAP</v>
          </cell>
          <cell r="D991">
            <v>20230228</v>
          </cell>
          <cell r="E991">
            <v>10.43</v>
          </cell>
        </row>
        <row r="992">
          <cell r="A992" t="str">
            <v>LU1626168204</v>
          </cell>
          <cell r="B992" t="str">
            <v>KBC Select Investors SRI Global Flexible Allocation Cap</v>
          </cell>
          <cell r="C992" t="str">
            <v>KAP</v>
          </cell>
          <cell r="D992">
            <v>20230302</v>
          </cell>
          <cell r="E992">
            <v>942.55</v>
          </cell>
        </row>
        <row r="993">
          <cell r="A993" t="str">
            <v>LU1632915762</v>
          </cell>
          <cell r="B993" t="str">
            <v>KBC Select Investors K&amp;H Pharma 4 Cap</v>
          </cell>
          <cell r="C993" t="str">
            <v>KAP</v>
          </cell>
          <cell r="D993">
            <v>20230228</v>
          </cell>
          <cell r="E993">
            <v>9514.69</v>
          </cell>
        </row>
        <row r="994">
          <cell r="A994" t="str">
            <v>LU1651849801</v>
          </cell>
          <cell r="B994" t="str">
            <v>Contribute Partners CSOB Zdravotnictvi 1 Cap</v>
          </cell>
          <cell r="C994" t="str">
            <v>KAP</v>
          </cell>
          <cell r="D994">
            <v>20230228</v>
          </cell>
          <cell r="E994">
            <v>12.57</v>
          </cell>
        </row>
        <row r="995">
          <cell r="A995" t="str">
            <v>LU1675757493</v>
          </cell>
          <cell r="B995" t="str">
            <v>KBC Select Investors KBC Global Flexible Allocation Inst, CSOB Shares (empty)</v>
          </cell>
          <cell r="C995" t="str">
            <v>KAP2</v>
          </cell>
          <cell r="D995">
            <v>20200429</v>
          </cell>
          <cell r="E995">
            <v>256.54122799999999</v>
          </cell>
        </row>
        <row r="996">
          <cell r="A996" t="str">
            <v>LU1684805630</v>
          </cell>
          <cell r="B996" t="str">
            <v>Global Partners ČSOB Expertiza vyvazena Cap</v>
          </cell>
          <cell r="C996" t="str">
            <v>KAP</v>
          </cell>
          <cell r="D996">
            <v>20230302</v>
          </cell>
          <cell r="E996">
            <v>964.52</v>
          </cell>
        </row>
        <row r="997">
          <cell r="A997" t="str">
            <v>LU1687404845</v>
          </cell>
          <cell r="B997" t="str">
            <v>KBC Bonds Capital Fund Inst, F Shares</v>
          </cell>
          <cell r="C997" t="str">
            <v>EUR-KAP-INSTIT,F</v>
          </cell>
          <cell r="D997">
            <v>20230302</v>
          </cell>
          <cell r="E997">
            <v>924.45</v>
          </cell>
        </row>
        <row r="998">
          <cell r="A998" t="str">
            <v>LU1687408838</v>
          </cell>
          <cell r="B998" t="str">
            <v>KBC Bonds High Interest Inst, F Shares</v>
          </cell>
          <cell r="C998" t="str">
            <v>EUR-KAP-INSTIT,F</v>
          </cell>
          <cell r="D998">
            <v>20230302</v>
          </cell>
          <cell r="E998">
            <v>903.65</v>
          </cell>
        </row>
        <row r="999">
          <cell r="A999" t="str">
            <v>LU1687444809</v>
          </cell>
          <cell r="B999" t="str">
            <v>KBC Renta Dollarenta Inst, F Shares</v>
          </cell>
          <cell r="C999" t="str">
            <v>USD-KAP-INSTIT,F</v>
          </cell>
          <cell r="D999">
            <v>20230302</v>
          </cell>
          <cell r="E999">
            <v>960.98</v>
          </cell>
        </row>
        <row r="1000">
          <cell r="A1000" t="str">
            <v>LU1690131013</v>
          </cell>
          <cell r="B1000" t="str">
            <v>Contribute Partners CSOB Sampioni sportu 4 Cap</v>
          </cell>
          <cell r="C1000" t="str">
            <v>KAP</v>
          </cell>
          <cell r="D1000">
            <v>20230228</v>
          </cell>
          <cell r="E1000">
            <v>10.16</v>
          </cell>
        </row>
        <row r="1001">
          <cell r="A1001" t="str">
            <v>LU1694795425</v>
          </cell>
          <cell r="B1001" t="str">
            <v>KBC Bonds Emerging Markets Inst, Shares Cap</v>
          </cell>
          <cell r="C1001" t="str">
            <v>USD-KAP-INSTITUTIONEEL</v>
          </cell>
          <cell r="D1001">
            <v>20230302</v>
          </cell>
          <cell r="E1001">
            <v>939.33</v>
          </cell>
        </row>
        <row r="1002">
          <cell r="A1002" t="str">
            <v>LU1694798015</v>
          </cell>
          <cell r="B1002" t="str">
            <v>KBC Select Investors CSOB Potraviny a svet 2 Cap</v>
          </cell>
          <cell r="C1002" t="str">
            <v>KAP</v>
          </cell>
          <cell r="D1002">
            <v>20230228</v>
          </cell>
          <cell r="E1002">
            <v>10.3</v>
          </cell>
        </row>
        <row r="1003">
          <cell r="A1003" t="str">
            <v>LU1730011696</v>
          </cell>
          <cell r="B1003" t="str">
            <v>KBC Select Investors CSOB Svetovy vyber 4 Cap</v>
          </cell>
          <cell r="C1003" t="str">
            <v>KAP</v>
          </cell>
          <cell r="D1003">
            <v>20230228</v>
          </cell>
          <cell r="E1003">
            <v>9.49</v>
          </cell>
        </row>
        <row r="1004">
          <cell r="A1004" t="str">
            <v>LU1730012405</v>
          </cell>
          <cell r="B1004" t="str">
            <v>Contribute Partners CSOB Informacni technologie 2 Cap</v>
          </cell>
          <cell r="C1004" t="str">
            <v>KAP</v>
          </cell>
          <cell r="D1004">
            <v>20230228</v>
          </cell>
          <cell r="E1004">
            <v>12.59</v>
          </cell>
        </row>
        <row r="1005">
          <cell r="A1005" t="str">
            <v>LU1758982984</v>
          </cell>
          <cell r="B1005" t="str">
            <v>KBC Select Investors CSOB Globalnich firem 1 Cap</v>
          </cell>
          <cell r="C1005" t="str">
            <v>KAP</v>
          </cell>
          <cell r="D1005">
            <v>20230228</v>
          </cell>
          <cell r="E1005">
            <v>9.4</v>
          </cell>
        </row>
        <row r="1006">
          <cell r="A1006" t="str">
            <v>LU1783244624</v>
          </cell>
          <cell r="B1006" t="str">
            <v>Contribute Partners CSOB Banks Conditional Coupon 2 Dis</v>
          </cell>
          <cell r="C1006" t="str">
            <v>DIV</v>
          </cell>
          <cell r="D1006">
            <v>20230228</v>
          </cell>
          <cell r="E1006">
            <v>9.84</v>
          </cell>
        </row>
        <row r="1007">
          <cell r="A1007" t="str">
            <v>LU1796246137</v>
          </cell>
          <cell r="B1007" t="str">
            <v>Global Partners ČSOB Svet s bonusem nápoju 1 Cap</v>
          </cell>
          <cell r="C1007" t="str">
            <v>KAP</v>
          </cell>
          <cell r="D1007">
            <v>20230228</v>
          </cell>
          <cell r="E1007">
            <v>9.4499999999999993</v>
          </cell>
        </row>
        <row r="1008">
          <cell r="A1008" t="str">
            <v>LU1799163479</v>
          </cell>
          <cell r="B1008" t="str">
            <v>KBC Select Investors CSOB Globalnich firem 2 Cap</v>
          </cell>
          <cell r="C1008" t="str">
            <v>KAP</v>
          </cell>
          <cell r="D1008">
            <v>20230228</v>
          </cell>
          <cell r="E1008">
            <v>9.42</v>
          </cell>
        </row>
        <row r="1009">
          <cell r="A1009" t="str">
            <v>LU1811813622</v>
          </cell>
          <cell r="B1009" t="str">
            <v>KBC Bonds Strategic Broad 70 30 Corp,Shares Cap (empty)</v>
          </cell>
          <cell r="C1009" t="str">
            <v>KAP2</v>
          </cell>
          <cell r="D1009">
            <v>20180523</v>
          </cell>
          <cell r="E1009" t="str">
            <v>1000</v>
          </cell>
        </row>
        <row r="1010">
          <cell r="A1010" t="str">
            <v>LU1811813978</v>
          </cell>
          <cell r="B1010" t="str">
            <v>KBC Bonds Strategic Broad 60 40 Corp,Shares Cap (empty)</v>
          </cell>
          <cell r="C1010" t="str">
            <v>KAP2</v>
          </cell>
          <cell r="D1010">
            <v>20180523</v>
          </cell>
          <cell r="E1010" t="str">
            <v>1000</v>
          </cell>
        </row>
        <row r="1011">
          <cell r="A1011" t="str">
            <v>LU1811814190</v>
          </cell>
          <cell r="B1011" t="str">
            <v>KBC Bonds Strategic Accents Corp,Shares Cap (empty)</v>
          </cell>
          <cell r="C1011" t="str">
            <v>KAP2</v>
          </cell>
          <cell r="D1011">
            <v>20180523</v>
          </cell>
          <cell r="E1011" t="str">
            <v>1000</v>
          </cell>
        </row>
        <row r="1012">
          <cell r="A1012" t="str">
            <v>LU1811814273</v>
          </cell>
          <cell r="B1012" t="str">
            <v>KBC Bonds Strategic Emerging Opportunities Corp,Shares Cap</v>
          </cell>
          <cell r="C1012" t="str">
            <v>KAP2</v>
          </cell>
          <cell r="D1012">
            <v>20180524</v>
          </cell>
          <cell r="E1012" t="str">
            <v>1000</v>
          </cell>
        </row>
        <row r="1013">
          <cell r="A1013" t="str">
            <v>LU1811814356</v>
          </cell>
          <cell r="B1013" t="str">
            <v>KBC Bonds Strategic Broad 50 50 Corp,Shares Cap (empty)</v>
          </cell>
          <cell r="C1013" t="str">
            <v>KAP2</v>
          </cell>
          <cell r="D1013">
            <v>20180523</v>
          </cell>
          <cell r="E1013" t="str">
            <v>1000</v>
          </cell>
        </row>
        <row r="1014">
          <cell r="A1014" t="str">
            <v>LU1821889307</v>
          </cell>
          <cell r="B1014" t="str">
            <v>KBC Select Investors K&amp;H Pharma 5 Cap</v>
          </cell>
          <cell r="C1014" t="str">
            <v>KAP</v>
          </cell>
          <cell r="D1014">
            <v>20230228</v>
          </cell>
          <cell r="E1014">
            <v>8598.26</v>
          </cell>
        </row>
        <row r="1015">
          <cell r="A1015" t="str">
            <v>LU1825124941</v>
          </cell>
          <cell r="B1015" t="str">
            <v>KBC Select Investors CSOB Evropských firem 1 Cap</v>
          </cell>
          <cell r="C1015" t="str">
            <v>KAP</v>
          </cell>
          <cell r="D1015">
            <v>20230228</v>
          </cell>
          <cell r="E1015">
            <v>9.51</v>
          </cell>
        </row>
        <row r="1016">
          <cell r="A1016" t="str">
            <v>LU1826207778</v>
          </cell>
          <cell r="B1016" t="str">
            <v>Global Partners ČSOB Fixovaný Click USD 7 Cap</v>
          </cell>
          <cell r="C1016" t="str">
            <v>KAP</v>
          </cell>
          <cell r="D1016">
            <v>20230228</v>
          </cell>
          <cell r="E1016">
            <v>10.33</v>
          </cell>
        </row>
        <row r="1017">
          <cell r="A1017" t="str">
            <v>LU1861487897</v>
          </cell>
          <cell r="B1017" t="str">
            <v>KBC Select Investors Selective Wealth Jumper 11 Cap</v>
          </cell>
          <cell r="C1017" t="str">
            <v>KAP</v>
          </cell>
          <cell r="D1017">
            <v>20230228</v>
          </cell>
          <cell r="E1017">
            <v>1327.89</v>
          </cell>
        </row>
        <row r="1018">
          <cell r="A1018" t="str">
            <v>LU1874716480</v>
          </cell>
          <cell r="B1018" t="str">
            <v>KBC Select Investors ČSOB Evropských firem 2 Cap</v>
          </cell>
          <cell r="C1018" t="str">
            <v>KAP</v>
          </cell>
          <cell r="D1018">
            <v>20230228</v>
          </cell>
          <cell r="E1018">
            <v>10.55</v>
          </cell>
        </row>
        <row r="1019">
          <cell r="A1019" t="str">
            <v>LU1881534702</v>
          </cell>
          <cell r="B1019" t="str">
            <v>KBC Select Investors K&amp;H Financials 1 Cap</v>
          </cell>
          <cell r="C1019" t="str">
            <v>KAP</v>
          </cell>
          <cell r="D1019">
            <v>20230228</v>
          </cell>
          <cell r="E1019">
            <v>10580.77</v>
          </cell>
        </row>
        <row r="1020">
          <cell r="A1020" t="str">
            <v>LU1884573988</v>
          </cell>
          <cell r="B1020" t="str">
            <v>Global Partners ČSOB Zdravotnictví a farmacie 2 Cap</v>
          </cell>
          <cell r="C1020" t="str">
            <v>KAP</v>
          </cell>
          <cell r="D1020">
            <v>20230228</v>
          </cell>
          <cell r="E1020">
            <v>11.28</v>
          </cell>
        </row>
        <row r="1021">
          <cell r="A1021" t="str">
            <v>LU1885682465</v>
          </cell>
          <cell r="B1021" t="str">
            <v>KBC Select Investors SRI Def, Flexible Allocation Corp,Shares Cap</v>
          </cell>
          <cell r="C1021" t="str">
            <v>EUR-KAP-CORPORATE</v>
          </cell>
          <cell r="D1021">
            <v>20230302</v>
          </cell>
          <cell r="E1021">
            <v>97.65</v>
          </cell>
        </row>
        <row r="1022">
          <cell r="A1022" t="str">
            <v>LU1885682549</v>
          </cell>
          <cell r="B1022" t="str">
            <v>KBC Select Investors SRI Global Flexible Allocation Corp,Shares Cap</v>
          </cell>
          <cell r="C1022" t="str">
            <v>EUR-KAP-CORPORATE</v>
          </cell>
          <cell r="D1022">
            <v>20230302</v>
          </cell>
          <cell r="E1022">
            <v>973.37</v>
          </cell>
        </row>
        <row r="1023">
          <cell r="A1023" t="str">
            <v>LU1892257681</v>
          </cell>
          <cell r="B1023" t="str">
            <v>KBC Bonds SRI Strategic Accents Corp,Shares Cap (empty)</v>
          </cell>
          <cell r="C1023" t="str">
            <v>KAP2</v>
          </cell>
          <cell r="D1023">
            <v>20181128</v>
          </cell>
          <cell r="E1023" t="str">
            <v>1000</v>
          </cell>
        </row>
        <row r="1024">
          <cell r="A1024" t="str">
            <v>LU1892257764</v>
          </cell>
          <cell r="B1024" t="str">
            <v>KBC Bonds SRI Strategic Accents Inst, B Shares Cap</v>
          </cell>
          <cell r="C1024" t="str">
            <v>EUR-KAP-INSTIT,B</v>
          </cell>
          <cell r="D1024">
            <v>20230302</v>
          </cell>
          <cell r="E1024">
            <v>783.71</v>
          </cell>
        </row>
        <row r="1025">
          <cell r="A1025" t="str">
            <v>LU1892257848</v>
          </cell>
          <cell r="B1025" t="str">
            <v>KBC Bonds Strategic Broad 40 60 Corp,Shares Cap (empty)</v>
          </cell>
          <cell r="C1025" t="str">
            <v>KAP2</v>
          </cell>
          <cell r="D1025">
            <v>20181128</v>
          </cell>
          <cell r="E1025" t="str">
            <v>1000</v>
          </cell>
        </row>
        <row r="1026">
          <cell r="A1026" t="str">
            <v>LU1892258069</v>
          </cell>
          <cell r="B1026" t="str">
            <v>KBC Bonds Strategic Broad 40 60 Inst, B Shares Cap</v>
          </cell>
          <cell r="C1026" t="str">
            <v>EUR-KAP-INSTIT,B</v>
          </cell>
          <cell r="D1026">
            <v>20230302</v>
          </cell>
          <cell r="E1026">
            <v>904.69</v>
          </cell>
        </row>
        <row r="1027">
          <cell r="A1027" t="str">
            <v>LU1892258499</v>
          </cell>
          <cell r="B1027" t="str">
            <v>KBC Bonds SRI Strategic Broad 75 25 Corp,Shares Cap (empty)</v>
          </cell>
          <cell r="C1027" t="str">
            <v>KAP2</v>
          </cell>
          <cell r="D1027">
            <v>20181128</v>
          </cell>
          <cell r="E1027" t="str">
            <v>1000</v>
          </cell>
        </row>
        <row r="1028">
          <cell r="A1028" t="str">
            <v>LU1892258572</v>
          </cell>
          <cell r="B1028" t="str">
            <v>KBC Bonds SRI Strategic Broad 75 25 Inst, B Shares Cap</v>
          </cell>
          <cell r="C1028" t="str">
            <v>EUR-KAP-INSTIT,B</v>
          </cell>
          <cell r="D1028">
            <v>20230302</v>
          </cell>
          <cell r="E1028">
            <v>843.17</v>
          </cell>
        </row>
        <row r="1029">
          <cell r="A1029" t="str">
            <v>LU1892258655</v>
          </cell>
          <cell r="B1029" t="str">
            <v>KBC Bonds SRI Strategic Broad 50 50 Corp,Shares Cap (empty)</v>
          </cell>
          <cell r="C1029" t="str">
            <v>KAP2</v>
          </cell>
          <cell r="D1029">
            <v>20220203</v>
          </cell>
          <cell r="E1029">
            <v>960.46759999999995</v>
          </cell>
        </row>
        <row r="1030">
          <cell r="A1030" t="str">
            <v>LU1892258739</v>
          </cell>
          <cell r="B1030" t="str">
            <v>KBC Bonds SRI Strategic Broad 50 50 Inst, B Shares Cap</v>
          </cell>
          <cell r="C1030" t="str">
            <v>EUR-KAP-INSTIT,B</v>
          </cell>
          <cell r="D1030">
            <v>20230302</v>
          </cell>
          <cell r="E1030">
            <v>856.58</v>
          </cell>
        </row>
        <row r="1031">
          <cell r="A1031" t="str">
            <v>LU1892258812</v>
          </cell>
          <cell r="B1031" t="str">
            <v>KBC Bonds SRI Strategic Broad 25 75 Corp,Shares Cap (empty)</v>
          </cell>
          <cell r="C1031" t="str">
            <v>KAP2</v>
          </cell>
          <cell r="D1031">
            <v>20181128</v>
          </cell>
          <cell r="E1031" t="str">
            <v>1000</v>
          </cell>
        </row>
        <row r="1032">
          <cell r="A1032" t="str">
            <v>LU1892258903</v>
          </cell>
          <cell r="B1032" t="str">
            <v>KBC Bonds SRI Strategic Broad 25 75 Inst, B Shares Cap</v>
          </cell>
          <cell r="C1032" t="str">
            <v>EUR-KAP-INSTIT,B</v>
          </cell>
          <cell r="D1032">
            <v>20230302</v>
          </cell>
          <cell r="E1032">
            <v>862.6</v>
          </cell>
        </row>
        <row r="1033">
          <cell r="A1033" t="str">
            <v>LU1892259034</v>
          </cell>
          <cell r="B1033" t="str">
            <v>KBC Bonds Strategic Broad 30 70 Corp,Shares Cap (empty)</v>
          </cell>
          <cell r="C1033" t="str">
            <v>KAP2</v>
          </cell>
          <cell r="D1033">
            <v>20181128</v>
          </cell>
          <cell r="E1033" t="str">
            <v>1000</v>
          </cell>
        </row>
        <row r="1034">
          <cell r="A1034" t="str">
            <v>LU1892259117</v>
          </cell>
          <cell r="B1034" t="str">
            <v>KBC Bonds Strategic Broad 30 70 Inst, B Shares Cap</v>
          </cell>
          <cell r="C1034" t="str">
            <v>EUR-KAP-INSTIT,B</v>
          </cell>
          <cell r="D1034">
            <v>20230302</v>
          </cell>
          <cell r="E1034">
            <v>908.11</v>
          </cell>
        </row>
        <row r="1035">
          <cell r="A1035" t="str">
            <v>LU1911614912</v>
          </cell>
          <cell r="B1035" t="str">
            <v>KBC Bonds Capital Fund Inst, B Shares Cap (empty)</v>
          </cell>
          <cell r="C1035" t="str">
            <v>EUR-KAP-INSTIT,B</v>
          </cell>
          <cell r="D1035">
            <v>20200923</v>
          </cell>
          <cell r="E1035">
            <v>1117.55</v>
          </cell>
        </row>
        <row r="1036">
          <cell r="A1036" t="str">
            <v>LU1911615307</v>
          </cell>
          <cell r="B1036" t="str">
            <v>KBC Select Investors ČSOB Výběrový click 1 Cap</v>
          </cell>
          <cell r="C1036" t="str">
            <v>CZK-KAP-RETAIL</v>
          </cell>
          <cell r="D1036">
            <v>20230228</v>
          </cell>
          <cell r="E1036">
            <v>9.57</v>
          </cell>
        </row>
        <row r="1037">
          <cell r="A1037" t="str">
            <v>LU1923690298</v>
          </cell>
          <cell r="B1037" t="str">
            <v>Global Partners ČSOB Fixovaný Click USD 8 Cap</v>
          </cell>
          <cell r="C1037" t="str">
            <v>KAP</v>
          </cell>
          <cell r="D1037">
            <v>20230228</v>
          </cell>
          <cell r="E1037">
            <v>9.98</v>
          </cell>
        </row>
        <row r="1038">
          <cell r="A1038" t="str">
            <v>LU1934508141</v>
          </cell>
          <cell r="B1038" t="str">
            <v>KBC Select Investors K&amp;H Pharma and Healthcare 1 Cap</v>
          </cell>
          <cell r="C1038" t="str">
            <v>KAP</v>
          </cell>
          <cell r="D1038">
            <v>20230228</v>
          </cell>
          <cell r="E1038">
            <v>8548.43</v>
          </cell>
        </row>
        <row r="1039">
          <cell r="A1039" t="str">
            <v>LU1940135822</v>
          </cell>
          <cell r="B1039" t="str">
            <v>Global Partners ČSOB Finance 1 Cap</v>
          </cell>
          <cell r="C1039" t="str">
            <v>KAP</v>
          </cell>
          <cell r="D1039">
            <v>20230228</v>
          </cell>
          <cell r="E1039">
            <v>10.09</v>
          </cell>
        </row>
        <row r="1040">
          <cell r="A1040" t="str">
            <v>LU1951936811</v>
          </cell>
          <cell r="B1040" t="str">
            <v>Contribute Partners CSOB Buffer Jumper EUR 8 Cap</v>
          </cell>
          <cell r="C1040" t="str">
            <v>KAP</v>
          </cell>
          <cell r="D1040">
            <v>20230228</v>
          </cell>
          <cell r="E1040">
            <v>10.27</v>
          </cell>
        </row>
        <row r="1041">
          <cell r="A1041" t="str">
            <v>LU1959373546</v>
          </cell>
          <cell r="B1041" t="str">
            <v>KBC Select Investors ČSOB Světových příležitostí plus 1 Cap</v>
          </cell>
          <cell r="C1041" t="str">
            <v>CZK-KAP-RETAIL</v>
          </cell>
          <cell r="D1041">
            <v>20230228</v>
          </cell>
          <cell r="E1041">
            <v>9.7899999999999991</v>
          </cell>
        </row>
        <row r="1042">
          <cell r="A1042" t="str">
            <v>LU1987795470</v>
          </cell>
          <cell r="B1042" t="str">
            <v>KBC Select Investors ČSOB Světových Příležitostí Plus 2 Cap</v>
          </cell>
          <cell r="C1042" t="str">
            <v>CZK-KAP-RETAIL</v>
          </cell>
          <cell r="D1042">
            <v>20230228</v>
          </cell>
          <cell r="E1042">
            <v>9.82</v>
          </cell>
        </row>
        <row r="1043">
          <cell r="A1043" t="str">
            <v>LU2003424020</v>
          </cell>
          <cell r="B1043" t="str">
            <v>Global Partners ČSOB Globálního růstu 1 Cap</v>
          </cell>
          <cell r="C1043" t="str">
            <v>CZK-KAP-RETAIL</v>
          </cell>
          <cell r="D1043">
            <v>20230228</v>
          </cell>
          <cell r="E1043">
            <v>8.9600000000000009</v>
          </cell>
        </row>
        <row r="1044">
          <cell r="A1044" t="str">
            <v>LU2010650112</v>
          </cell>
          <cell r="B1044" t="str">
            <v>Contribute Partners ČSOB Evropský jumper 10 Cap (Called)</v>
          </cell>
          <cell r="C1044" t="str">
            <v>CZK-KAP-RETAIL</v>
          </cell>
          <cell r="D1044">
            <v>20230131</v>
          </cell>
          <cell r="E1044">
            <v>11.8</v>
          </cell>
        </row>
        <row r="1045">
          <cell r="A1045" t="str">
            <v>LU2016138682</v>
          </cell>
          <cell r="B1045" t="str">
            <v>Global Partners ČSOB Přírodního bohatství 1 Cap</v>
          </cell>
          <cell r="C1045" t="str">
            <v>CZK-KAP-RETAIL</v>
          </cell>
          <cell r="D1045">
            <v>20230228</v>
          </cell>
          <cell r="E1045">
            <v>9.3699999999999992</v>
          </cell>
        </row>
        <row r="1046">
          <cell r="A1046" t="str">
            <v>LU2016775210</v>
          </cell>
          <cell r="B1046" t="str">
            <v>KBC Select Investors ČSOB Výběrový click 2 Cap</v>
          </cell>
          <cell r="C1046" t="str">
            <v>CZK-KAP-RETAIL</v>
          </cell>
          <cell r="D1046">
            <v>20230228</v>
          </cell>
          <cell r="E1046">
            <v>9.09</v>
          </cell>
        </row>
        <row r="1047">
          <cell r="A1047" t="str">
            <v>LU2027387450</v>
          </cell>
          <cell r="B1047" t="str">
            <v>Global Partners ČSOB Globálního růstu 2 Cap</v>
          </cell>
          <cell r="C1047" t="str">
            <v>CZK-KAP-RETAIL</v>
          </cell>
          <cell r="D1047">
            <v>20230228</v>
          </cell>
          <cell r="E1047">
            <v>8.94</v>
          </cell>
        </row>
        <row r="1048">
          <cell r="A1048" t="str">
            <v>LU2033386512</v>
          </cell>
          <cell r="B1048" t="str">
            <v>Contribute Partners CSOB Telecommunications Conditional Coupon 1 Dis</v>
          </cell>
          <cell r="C1048" t="str">
            <v>DIV</v>
          </cell>
          <cell r="D1048">
            <v>20230228</v>
          </cell>
          <cell r="E1048">
            <v>8.84</v>
          </cell>
        </row>
        <row r="1049">
          <cell r="A1049" t="str">
            <v>LU2045769390</v>
          </cell>
          <cell r="B1049" t="str">
            <v>KBC Select Investors ČSOB Světových příležitostí s lookbackem 1 Cap</v>
          </cell>
          <cell r="C1049" t="str">
            <v>CZK-KAP-RETAIL</v>
          </cell>
          <cell r="D1049">
            <v>20230228</v>
          </cell>
          <cell r="E1049">
            <v>10.220000000000001</v>
          </cell>
        </row>
        <row r="1050">
          <cell r="A1050" t="str">
            <v>LU2053061532</v>
          </cell>
          <cell r="B1050" t="str">
            <v>Contribute Partners ČSOB Evropský jumper 11 Cap</v>
          </cell>
          <cell r="C1050" t="str">
            <v>CZK-KAP-RETAIL</v>
          </cell>
          <cell r="D1050">
            <v>20230228</v>
          </cell>
          <cell r="E1050">
            <v>11.88</v>
          </cell>
        </row>
        <row r="1051">
          <cell r="A1051" t="str">
            <v>LU2065731049</v>
          </cell>
          <cell r="B1051" t="str">
            <v>KBC Select Investors CSOB Globalnich firem 3 Cap</v>
          </cell>
          <cell r="C1051" t="str">
            <v>CZK-KAP-RETAIL</v>
          </cell>
          <cell r="D1051">
            <v>20230228</v>
          </cell>
          <cell r="E1051">
            <v>8.98</v>
          </cell>
        </row>
        <row r="1052">
          <cell r="A1052" t="str">
            <v>LU2068166789</v>
          </cell>
          <cell r="B1052" t="str">
            <v>Global Partners ČSOB Přírodního bohatství 2 Cap</v>
          </cell>
          <cell r="C1052" t="str">
            <v>CZK-KAP-RETAIL</v>
          </cell>
          <cell r="D1052">
            <v>20230228</v>
          </cell>
          <cell r="E1052">
            <v>8.74</v>
          </cell>
        </row>
        <row r="1053">
          <cell r="A1053" t="str">
            <v>LU2093634454</v>
          </cell>
          <cell r="B1053" t="str">
            <v>KBC Select Investors CSOB Globalnich firem 4 Cap</v>
          </cell>
          <cell r="C1053" t="str">
            <v>CZK-KAP-RETAIL</v>
          </cell>
          <cell r="D1053">
            <v>20230228</v>
          </cell>
          <cell r="E1053">
            <v>11.68</v>
          </cell>
        </row>
        <row r="1054">
          <cell r="A1054" t="str">
            <v>LU2117582952</v>
          </cell>
          <cell r="B1054" t="str">
            <v>Contribute Partners ČSOB Sprinter 1 Cap</v>
          </cell>
          <cell r="C1054" t="str">
            <v>CZK-KAP-RETAIL</v>
          </cell>
          <cell r="D1054">
            <v>20230228</v>
          </cell>
          <cell r="E1054">
            <v>13.72</v>
          </cell>
        </row>
        <row r="1055">
          <cell r="A1055" t="str">
            <v>LU2147076249</v>
          </cell>
          <cell r="B1055" t="str">
            <v>Contribute Partners ČSOB Evropský jumper 12 Cap</v>
          </cell>
          <cell r="C1055" t="str">
            <v>CZK-KAP-RETAIL</v>
          </cell>
          <cell r="D1055">
            <v>20230228</v>
          </cell>
          <cell r="E1055">
            <v>10.57</v>
          </cell>
        </row>
        <row r="1056">
          <cell r="A1056" t="str">
            <v>LU2170374842</v>
          </cell>
          <cell r="B1056" t="str">
            <v>KBC Select Investors SRI Global Flexible Allocation July Corp,Shares</v>
          </cell>
          <cell r="C1056" t="str">
            <v>EUR-KAP-CORPORATE</v>
          </cell>
          <cell r="D1056">
            <v>20230302</v>
          </cell>
          <cell r="E1056">
            <v>990.15</v>
          </cell>
        </row>
        <row r="1057">
          <cell r="A1057" t="str">
            <v>LU2175969638</v>
          </cell>
          <cell r="B1057" t="str">
            <v>KBC Select Investors Global Flexible Allocation July Cap</v>
          </cell>
          <cell r="C1057" t="str">
            <v>EUR-KAP-RETAIL</v>
          </cell>
          <cell r="D1057">
            <v>20230302</v>
          </cell>
          <cell r="E1057">
            <v>982.33</v>
          </cell>
        </row>
        <row r="1058">
          <cell r="A1058" t="str">
            <v>LU2177678062</v>
          </cell>
          <cell r="B1058" t="str">
            <v>KBC Select Investors SRI Global Flexible Allocation July Cap</v>
          </cell>
          <cell r="C1058" t="str">
            <v>EUR-KAP-RETAIL</v>
          </cell>
          <cell r="D1058">
            <v>20230302</v>
          </cell>
          <cell r="E1058">
            <v>984.87</v>
          </cell>
        </row>
        <row r="1059">
          <cell r="A1059" t="str">
            <v>LU2182979943</v>
          </cell>
          <cell r="B1059" t="str">
            <v>Contribute Partners ČSOB Evropský jumper 13 Cap</v>
          </cell>
          <cell r="C1059" t="str">
            <v>CZK-KAP-RETAIL</v>
          </cell>
          <cell r="D1059">
            <v>20230228</v>
          </cell>
          <cell r="E1059">
            <v>10.44</v>
          </cell>
        </row>
        <row r="1060">
          <cell r="A1060" t="str">
            <v>LU2198234366</v>
          </cell>
          <cell r="B1060" t="str">
            <v>Contribute Partners ČSOB Globální investice 1 Cap</v>
          </cell>
          <cell r="C1060" t="str">
            <v>CZK-KAP-RETAIL</v>
          </cell>
          <cell r="D1060">
            <v>20230228</v>
          </cell>
          <cell r="E1060">
            <v>10</v>
          </cell>
        </row>
        <row r="1061">
          <cell r="A1061" t="str">
            <v>LU2210950817</v>
          </cell>
          <cell r="B1061" t="str">
            <v>Contribute Partners ČSOB Evropský jumper 14 Cap</v>
          </cell>
          <cell r="C1061" t="str">
            <v>CZK-KAP-RETAIL</v>
          </cell>
          <cell r="D1061">
            <v>20230228</v>
          </cell>
          <cell r="E1061">
            <v>10.029999999999999</v>
          </cell>
        </row>
        <row r="1062">
          <cell r="A1062" t="str">
            <v>LU2212172840</v>
          </cell>
          <cell r="B1062" t="str">
            <v>Contribute Partners ČSOB Farmacie a svět 1 Cap</v>
          </cell>
          <cell r="C1062" t="str">
            <v>CZK-KAP-RETAIL</v>
          </cell>
          <cell r="D1062">
            <v>20230228</v>
          </cell>
          <cell r="E1062">
            <v>10.15</v>
          </cell>
        </row>
        <row r="1063">
          <cell r="A1063" t="str">
            <v>LU2242471501</v>
          </cell>
          <cell r="B1063" t="str">
            <v>Contribute Partners ČSOB Světový expres 8 Cap</v>
          </cell>
          <cell r="C1063" t="str">
            <v>CZK-KAP-RETAIL</v>
          </cell>
          <cell r="D1063">
            <v>20230228</v>
          </cell>
          <cell r="E1063">
            <v>10.67</v>
          </cell>
        </row>
        <row r="1064">
          <cell r="A1064" t="str">
            <v>LU2254263762</v>
          </cell>
          <cell r="B1064" t="str">
            <v>KBC Bonds Emerging Markets Inst, Shares EUR Cap</v>
          </cell>
          <cell r="C1064" t="str">
            <v>EUR-KAP-INST,EUR</v>
          </cell>
          <cell r="D1064">
            <v>20230302</v>
          </cell>
          <cell r="E1064">
            <v>940.98</v>
          </cell>
        </row>
        <row r="1065">
          <cell r="A1065" t="str">
            <v>LU2271213519</v>
          </cell>
          <cell r="B1065" t="str">
            <v>Contribute Partners ČSOB Farmacie a svět 2 Cap</v>
          </cell>
          <cell r="C1065" t="str">
            <v>CZK-KAP-RETAIL</v>
          </cell>
          <cell r="D1065">
            <v>20230228</v>
          </cell>
          <cell r="E1065">
            <v>9.6199999999999992</v>
          </cell>
        </row>
        <row r="1066">
          <cell r="A1066" t="str">
            <v>LU2308617658</v>
          </cell>
          <cell r="B1066" t="str">
            <v>Contribute Partners CSOB Buffer Jumper EUR 11 Cap</v>
          </cell>
          <cell r="C1066" t="str">
            <v>EUR-KAP-RETAIL</v>
          </cell>
          <cell r="D1066">
            <v>20230228</v>
          </cell>
          <cell r="E1066">
            <v>9.8699999999999992</v>
          </cell>
        </row>
        <row r="1067">
          <cell r="A1067" t="str">
            <v>LU2332954424</v>
          </cell>
          <cell r="B1067" t="str">
            <v>Contribute Partners CSOB Buffer Jumper EUR 12 Cap</v>
          </cell>
          <cell r="C1067" t="str">
            <v>EUR-KAP-RETAIL</v>
          </cell>
          <cell r="D1067">
            <v>20230228</v>
          </cell>
          <cell r="E1067">
            <v>9.7799999999999994</v>
          </cell>
        </row>
        <row r="1068">
          <cell r="A1068" t="str">
            <v>LU2351211581</v>
          </cell>
          <cell r="B1068" t="str">
            <v>Contribute Partners ČSOB Sprinter 2 Cap</v>
          </cell>
          <cell r="C1068" t="str">
            <v>CZK-KAP-RETAIL,PRIVBK</v>
          </cell>
          <cell r="D1068">
            <v>20230228</v>
          </cell>
          <cell r="E1068">
            <v>9.75</v>
          </cell>
        </row>
        <row r="1069">
          <cell r="A1069" t="str">
            <v>LU2392988429</v>
          </cell>
          <cell r="B1069" t="str">
            <v>Contribute Partners ČSOB Evropský Jumper 15 Cap</v>
          </cell>
          <cell r="C1069" t="str">
            <v>CZK-KAP-RET,PVBK,PMBK</v>
          </cell>
          <cell r="D1069">
            <v>20230228</v>
          </cell>
          <cell r="E1069">
            <v>10.28</v>
          </cell>
        </row>
        <row r="1070">
          <cell r="A1070" t="str">
            <v>LU2449218416</v>
          </cell>
          <cell r="B1070" t="str">
            <v>Contribute Partners ČSOB Evropský Jumper 16 Cap</v>
          </cell>
          <cell r="C1070" t="str">
            <v>CZK-KAP-RET,PVBK,PMBK</v>
          </cell>
          <cell r="D1070">
            <v>20230228</v>
          </cell>
          <cell r="E1070">
            <v>10.51</v>
          </cell>
        </row>
        <row r="1071">
          <cell r="A1071" t="str">
            <v>LU2478272698</v>
          </cell>
          <cell r="B1071" t="str">
            <v>Contribute Partners ČSOB Evropský Jumper 17 Cap</v>
          </cell>
          <cell r="C1071" t="str">
            <v>CZK-KAP-RET,PVBK,PMBK</v>
          </cell>
          <cell r="D1071">
            <v>20230228</v>
          </cell>
          <cell r="E1071">
            <v>10.41</v>
          </cell>
        </row>
        <row r="1072">
          <cell r="A1072" t="str">
            <v>LU2514452817</v>
          </cell>
          <cell r="B1072" t="str">
            <v>KBC Select Investors Infrastructure Access 1 Cap</v>
          </cell>
          <cell r="C1072" t="str">
            <v>EUR-KAP-INST,W</v>
          </cell>
          <cell r="D1072">
            <v>20221130</v>
          </cell>
          <cell r="E1072">
            <v>100</v>
          </cell>
        </row>
        <row r="1073">
          <cell r="A1073" t="str">
            <v>LU2547252267</v>
          </cell>
          <cell r="B1073" t="str">
            <v>Contribute Partners ČSOB Evropský Jumper 18 Cap</v>
          </cell>
          <cell r="C1073" t="str">
            <v>CZK-KAP-RETAIL</v>
          </cell>
          <cell r="D1073">
            <v>20230301</v>
          </cell>
          <cell r="E1073">
            <v>10</v>
          </cell>
        </row>
        <row r="1074">
          <cell r="A1074" t="str">
            <v>LU2554089339</v>
          </cell>
          <cell r="B1074" t="str">
            <v>Contribute Partners CSOB Buffer Jumper EUR 14 Cap</v>
          </cell>
          <cell r="C1074" t="str">
            <v>EUR-KAP-RETAIL</v>
          </cell>
          <cell r="D1074">
            <v>20230228</v>
          </cell>
          <cell r="E1074">
            <v>10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40408111714"/>
    </sheetNames>
    <sheetDataSet>
      <sheetData sheetId="0">
        <row r="2">
          <cell r="A2" t="str">
            <v>LU2308617658</v>
          </cell>
          <cell r="B2" t="str">
            <v>Contribute Partners CSOB Buffer Jumper EUR 11 Cap</v>
          </cell>
          <cell r="C2" t="str">
            <v>EUR-KAP-RETAIL</v>
          </cell>
          <cell r="D2">
            <v>20240328</v>
          </cell>
          <cell r="E2">
            <v>11</v>
          </cell>
        </row>
        <row r="3">
          <cell r="A3" t="str">
            <v>LU2332954424</v>
          </cell>
          <cell r="B3" t="str">
            <v>Contribute Partners CSOB Buffer Jumper EUR 12 Cap</v>
          </cell>
          <cell r="C3" t="str">
            <v>EUR-KAP-RETAIL</v>
          </cell>
          <cell r="D3">
            <v>20240328</v>
          </cell>
          <cell r="E3">
            <v>10.91</v>
          </cell>
        </row>
        <row r="4">
          <cell r="A4" t="str">
            <v>LU2743085834</v>
          </cell>
          <cell r="B4" t="str">
            <v>Contribute Partners CSOB Buffer Jumper EUR 16 Cap</v>
          </cell>
          <cell r="C4" t="str">
            <v>EUR-KAP-RETAIL</v>
          </cell>
          <cell r="D4">
            <v>20240328</v>
          </cell>
          <cell r="E4">
            <v>9.8699999999999992</v>
          </cell>
        </row>
        <row r="5">
          <cell r="A5" t="str">
            <v>LU1951936811</v>
          </cell>
          <cell r="B5" t="str">
            <v>Contribute Partners CSOB Buffer Jumper EUR 8 Cap</v>
          </cell>
          <cell r="C5" t="str">
            <v>KAP</v>
          </cell>
          <cell r="D5">
            <v>20240328</v>
          </cell>
          <cell r="E5">
            <v>9.75</v>
          </cell>
        </row>
        <row r="6">
          <cell r="A6" t="str">
            <v>LU1730012405</v>
          </cell>
          <cell r="B6" t="str">
            <v>Contribute Partners CSOB Informacni technologie 2 Cap (Matured)</v>
          </cell>
          <cell r="C6" t="str">
            <v>KAP</v>
          </cell>
          <cell r="D6">
            <v>20240228</v>
          </cell>
          <cell r="E6">
            <v>15.67</v>
          </cell>
        </row>
        <row r="7">
          <cell r="A7" t="str">
            <v>LU2033386512</v>
          </cell>
          <cell r="B7" t="str">
            <v>Contribute Partners CSOB Telecommunications Conditional Coupon 1 Dis</v>
          </cell>
          <cell r="C7" t="str">
            <v>DIV</v>
          </cell>
          <cell r="D7">
            <v>20240328</v>
          </cell>
          <cell r="E7">
            <v>9.27</v>
          </cell>
        </row>
        <row r="8">
          <cell r="A8" t="str">
            <v>LU2210950817</v>
          </cell>
          <cell r="B8" t="str">
            <v>Contribute Partners ČSOB Evropský jumper 14 Cap (Called)</v>
          </cell>
          <cell r="C8" t="str">
            <v>CZK-KAP-RETAIL</v>
          </cell>
          <cell r="D8">
            <v>20240229</v>
          </cell>
          <cell r="E8">
            <v>11.35</v>
          </cell>
        </row>
        <row r="9">
          <cell r="A9" t="str">
            <v>LU2392988429</v>
          </cell>
          <cell r="B9" t="str">
            <v>Contribute Partners ČSOB Evropský Jumper 15 Cap</v>
          </cell>
          <cell r="C9" t="str">
            <v>CZK-KAP-RET.PVBK.PMBK</v>
          </cell>
          <cell r="D9">
            <v>20240328</v>
          </cell>
          <cell r="E9">
            <v>11.47</v>
          </cell>
        </row>
        <row r="10">
          <cell r="A10" t="str">
            <v>LU2449218416</v>
          </cell>
          <cell r="B10" t="str">
            <v>Contribute Partners ČSOB Evropský Jumper 16 Cap</v>
          </cell>
          <cell r="C10" t="str">
            <v>CZK-KAP-RET.PVBK.PMBK</v>
          </cell>
          <cell r="D10">
            <v>20240328</v>
          </cell>
          <cell r="E10">
            <v>11.84</v>
          </cell>
        </row>
        <row r="11">
          <cell r="A11" t="str">
            <v>LU2478272698</v>
          </cell>
          <cell r="B11" t="str">
            <v>Contribute Partners ČSOB Evropský Jumper 17 Cap</v>
          </cell>
          <cell r="C11" t="str">
            <v>CZK-KAP-RET.PVBK.PMBK</v>
          </cell>
          <cell r="D11">
            <v>20240328</v>
          </cell>
          <cell r="E11">
            <v>11.85</v>
          </cell>
        </row>
        <row r="12">
          <cell r="A12" t="str">
            <v>LU2547252267</v>
          </cell>
          <cell r="B12" t="str">
            <v>Contribute Partners ČSOB Evropský Jumper 18 Cap</v>
          </cell>
          <cell r="C12" t="str">
            <v>CZK-KAP-RETAIL</v>
          </cell>
          <cell r="D12">
            <v>20240328</v>
          </cell>
          <cell r="E12">
            <v>11.82</v>
          </cell>
        </row>
        <row r="13">
          <cell r="A13" t="str">
            <v>LU2568296730</v>
          </cell>
          <cell r="B13" t="str">
            <v>Contribute Partners ČSOB Evropský jumper 19 Cap</v>
          </cell>
          <cell r="C13" t="str">
            <v>CZK-KAP-RETAIL</v>
          </cell>
          <cell r="D13">
            <v>20240328</v>
          </cell>
          <cell r="E13">
            <v>11.22</v>
          </cell>
        </row>
        <row r="14">
          <cell r="A14" t="str">
            <v>LU2628356854</v>
          </cell>
          <cell r="B14" t="str">
            <v>Contribute Partners ČSOB Evropský jumper 20 Cap</v>
          </cell>
          <cell r="C14" t="str">
            <v>CZK-KAP-RETAIL</v>
          </cell>
          <cell r="D14">
            <v>20240328</v>
          </cell>
          <cell r="E14">
            <v>10.66</v>
          </cell>
        </row>
        <row r="15">
          <cell r="A15" t="str">
            <v>LU2716757120</v>
          </cell>
          <cell r="B15" t="str">
            <v>Contribute Partners ČSOB Evropský jumper 21 Cap</v>
          </cell>
          <cell r="C15" t="str">
            <v>CZK-KAP-RETAIL</v>
          </cell>
          <cell r="D15">
            <v>20240402</v>
          </cell>
          <cell r="E15">
            <v>10</v>
          </cell>
        </row>
        <row r="16">
          <cell r="A16" t="str">
            <v>LU2212172840</v>
          </cell>
          <cell r="B16" t="str">
            <v>Contribute Partners ČSOB Farmacie a svět 1 Cap</v>
          </cell>
          <cell r="C16" t="str">
            <v>CZK-KAP-RETAIL</v>
          </cell>
          <cell r="D16">
            <v>20240328</v>
          </cell>
          <cell r="E16">
            <v>12.22</v>
          </cell>
        </row>
        <row r="17">
          <cell r="A17" t="str">
            <v>LU2271213519</v>
          </cell>
          <cell r="B17" t="str">
            <v>Contribute Partners ČSOB Farmacie a svět 2 Cap</v>
          </cell>
          <cell r="C17" t="str">
            <v>CZK-KAP-RETAIL</v>
          </cell>
          <cell r="D17">
            <v>20240328</v>
          </cell>
          <cell r="E17">
            <v>11.17</v>
          </cell>
        </row>
        <row r="18">
          <cell r="A18" t="str">
            <v>LU2198234366</v>
          </cell>
          <cell r="B18" t="str">
            <v>Contribute Partners ČSOB Globální investice 1 Cap</v>
          </cell>
          <cell r="C18" t="str">
            <v>CZK-KAP-RETAIL</v>
          </cell>
          <cell r="D18">
            <v>20240328</v>
          </cell>
          <cell r="E18">
            <v>10.95</v>
          </cell>
        </row>
        <row r="19">
          <cell r="A19" t="str">
            <v>LU2628345659</v>
          </cell>
          <cell r="B19" t="str">
            <v>Contribute Partners ČSOB Potraviny a zboží základní potřeby 1 Cap</v>
          </cell>
          <cell r="C19" t="str">
            <v>CZK-KAP-RETAIL</v>
          </cell>
          <cell r="D19">
            <v>20240328</v>
          </cell>
          <cell r="E19">
            <v>10.32</v>
          </cell>
        </row>
        <row r="20">
          <cell r="A20" t="str">
            <v>LU2117582952</v>
          </cell>
          <cell r="B20" t="str">
            <v>Contribute Partners ČSOB Sprinter 1 Cap</v>
          </cell>
          <cell r="C20" t="str">
            <v>CZK-KAP-RETAIL</v>
          </cell>
          <cell r="D20">
            <v>20240328</v>
          </cell>
          <cell r="E20">
            <v>15.05</v>
          </cell>
        </row>
        <row r="21">
          <cell r="A21" t="str">
            <v>LU2351211581</v>
          </cell>
          <cell r="B21" t="str">
            <v>Contribute Partners ČSOB Sprinter 2 Cap</v>
          </cell>
          <cell r="C21" t="str">
            <v>CZK-KAP-RETAIL.PRIVBK</v>
          </cell>
          <cell r="D21">
            <v>20240328</v>
          </cell>
          <cell r="E21">
            <v>12.43</v>
          </cell>
        </row>
        <row r="22">
          <cell r="A22" t="str">
            <v>LU2242471501</v>
          </cell>
          <cell r="B22" t="str">
            <v>Contribute Partners ČSOB Světový expres 8 Cap</v>
          </cell>
          <cell r="C22" t="str">
            <v>CZK-KAP-RETAIL</v>
          </cell>
          <cell r="D22">
            <v>20240328</v>
          </cell>
          <cell r="E22">
            <v>13.64</v>
          </cell>
        </row>
        <row r="23">
          <cell r="A23" t="str">
            <v>BE0171768782</v>
          </cell>
          <cell r="B23" t="str">
            <v>Fivest Euroland Cap</v>
          </cell>
          <cell r="C23" t="str">
            <v>EUR-KAP-RETAIL</v>
          </cell>
          <cell r="D23">
            <v>20240404</v>
          </cell>
          <cell r="E23">
            <v>1111.51</v>
          </cell>
        </row>
        <row r="24">
          <cell r="A24" t="str">
            <v>BE0171767776</v>
          </cell>
          <cell r="B24" t="str">
            <v>Fivest Euroland Dis</v>
          </cell>
          <cell r="C24" t="str">
            <v>EUR-DIV-RETAIL</v>
          </cell>
          <cell r="D24">
            <v>20240404</v>
          </cell>
          <cell r="E24">
            <v>631.82000000000005</v>
          </cell>
        </row>
        <row r="25">
          <cell r="A25" t="str">
            <v>LU1684805630</v>
          </cell>
          <cell r="B25" t="str">
            <v>Global Partners ČSOB Expertiza vyvazena Cap (NAV Suspension)</v>
          </cell>
          <cell r="C25" t="str">
            <v>KAP</v>
          </cell>
          <cell r="D25">
            <v>20240313</v>
          </cell>
          <cell r="E25">
            <v>1098.0899999999999</v>
          </cell>
        </row>
        <row r="26">
          <cell r="A26" t="str">
            <v>LU1940135822</v>
          </cell>
          <cell r="B26" t="str">
            <v>Global Partners ČSOB Finance 1 Cap</v>
          </cell>
          <cell r="C26" t="str">
            <v>KAP</v>
          </cell>
          <cell r="D26">
            <v>20240328</v>
          </cell>
          <cell r="E26">
            <v>11.01</v>
          </cell>
        </row>
        <row r="27">
          <cell r="A27" t="str">
            <v>LU1826207778</v>
          </cell>
          <cell r="B27" t="str">
            <v>Global Partners ČSOB Fixovaný Click USD 7 Cap (Matured)</v>
          </cell>
          <cell r="C27" t="str">
            <v>KAP</v>
          </cell>
          <cell r="D27">
            <v>20240228</v>
          </cell>
          <cell r="E27">
            <v>10.79</v>
          </cell>
        </row>
        <row r="28">
          <cell r="A28" t="str">
            <v>LU1923690298</v>
          </cell>
          <cell r="B28" t="str">
            <v>Global Partners ČSOB Fixovaný Click USD 8 Cap</v>
          </cell>
          <cell r="C28" t="str">
            <v>KAP</v>
          </cell>
          <cell r="D28">
            <v>20240328</v>
          </cell>
          <cell r="E28">
            <v>10.34</v>
          </cell>
        </row>
        <row r="29">
          <cell r="A29" t="str">
            <v>LU2003424020</v>
          </cell>
          <cell r="B29" t="str">
            <v>Global Partners ČSOB Globálního růstu 1 Cap</v>
          </cell>
          <cell r="C29" t="str">
            <v>CZK-KAP-RETAIL</v>
          </cell>
          <cell r="D29">
            <v>20240328</v>
          </cell>
          <cell r="E29">
            <v>9.36</v>
          </cell>
        </row>
        <row r="30">
          <cell r="A30" t="str">
            <v>LU2027387450</v>
          </cell>
          <cell r="B30" t="str">
            <v>Global Partners ČSOB Globálního růstu 2 Cap</v>
          </cell>
          <cell r="C30" t="str">
            <v>CZK-KAP-RETAIL</v>
          </cell>
          <cell r="D30">
            <v>20240328</v>
          </cell>
          <cell r="E30">
            <v>9.4499999999999993</v>
          </cell>
        </row>
        <row r="31">
          <cell r="A31" t="str">
            <v>LU0984228972</v>
          </cell>
          <cell r="B31" t="str">
            <v>Global Partners ČSOB Portf. Pro unor 90 Cap (NAV Suspension)</v>
          </cell>
          <cell r="C31" t="str">
            <v>KAP</v>
          </cell>
          <cell r="D31">
            <v>20240313</v>
          </cell>
          <cell r="E31">
            <v>1031.79</v>
          </cell>
        </row>
        <row r="32">
          <cell r="A32" t="str">
            <v>LU2016138682</v>
          </cell>
          <cell r="B32" t="str">
            <v>Global Partners ČSOB Přírodního bohatství 1 Cap</v>
          </cell>
          <cell r="C32" t="str">
            <v>CZK-KAP-RETAIL</v>
          </cell>
          <cell r="D32">
            <v>20240328</v>
          </cell>
          <cell r="E32">
            <v>9.76</v>
          </cell>
        </row>
        <row r="33">
          <cell r="A33" t="str">
            <v>LU2068166789</v>
          </cell>
          <cell r="B33" t="str">
            <v>Global Partners ČSOB Přírodního bohatství 2 Cap</v>
          </cell>
          <cell r="C33" t="str">
            <v>CZK-KAP-RETAIL</v>
          </cell>
          <cell r="D33">
            <v>20240328</v>
          </cell>
          <cell r="E33">
            <v>9.2200000000000006</v>
          </cell>
        </row>
        <row r="34">
          <cell r="A34" t="str">
            <v>LU1796246137</v>
          </cell>
          <cell r="B34" t="str">
            <v>Global Partners ČSOB Svet s bonusem nápoju 1 Cap</v>
          </cell>
          <cell r="C34" t="str">
            <v>KAP</v>
          </cell>
          <cell r="D34">
            <v>20240328</v>
          </cell>
          <cell r="E34">
            <v>9.83</v>
          </cell>
        </row>
        <row r="35">
          <cell r="A35" t="str">
            <v>LU1884573988</v>
          </cell>
          <cell r="B35" t="str">
            <v>Global Partners ČSOB Zdravotnictví a farmacie 2 Cap</v>
          </cell>
          <cell r="C35" t="str">
            <v>KAP</v>
          </cell>
          <cell r="D35">
            <v>20240328</v>
          </cell>
          <cell r="E35">
            <v>12.44</v>
          </cell>
        </row>
        <row r="36">
          <cell r="A36" t="str">
            <v>BE6279064602</v>
          </cell>
          <cell r="B36" t="str">
            <v>Horizon 2030 Cap</v>
          </cell>
          <cell r="C36" t="str">
            <v>EUR-KAP-RETAIL</v>
          </cell>
          <cell r="D36">
            <v>20240404</v>
          </cell>
          <cell r="E36">
            <v>114.03</v>
          </cell>
        </row>
        <row r="37">
          <cell r="A37" t="str">
            <v>BE6279062580</v>
          </cell>
          <cell r="B37" t="str">
            <v>Horizon 2035 Cap</v>
          </cell>
          <cell r="C37" t="str">
            <v>EUR-KAP-RETAIL</v>
          </cell>
          <cell r="D37">
            <v>20240404</v>
          </cell>
          <cell r="E37">
            <v>117.17</v>
          </cell>
        </row>
        <row r="38">
          <cell r="A38" t="str">
            <v>BE6279061574</v>
          </cell>
          <cell r="B38" t="str">
            <v>Horizon 2040 Cap</v>
          </cell>
          <cell r="C38" t="str">
            <v>EUR-KAP-RETAIL</v>
          </cell>
          <cell r="D38">
            <v>20240404</v>
          </cell>
          <cell r="E38">
            <v>120.75</v>
          </cell>
        </row>
        <row r="39">
          <cell r="A39" t="str">
            <v>BE0948467015</v>
          </cell>
          <cell r="B39" t="str">
            <v>Horizon Access Fund China Classic Shares Cap</v>
          </cell>
          <cell r="C39" t="str">
            <v>USD-KAP-RETAIL</v>
          </cell>
          <cell r="D39">
            <v>20240403</v>
          </cell>
          <cell r="E39">
            <v>969.41</v>
          </cell>
        </row>
        <row r="40">
          <cell r="A40" t="str">
            <v>BE0948466975</v>
          </cell>
          <cell r="B40" t="str">
            <v>Horizon Access Fund China Classic Shares Dis</v>
          </cell>
          <cell r="C40" t="str">
            <v>USD-DIV-RETAIL</v>
          </cell>
          <cell r="D40">
            <v>20240403</v>
          </cell>
          <cell r="E40">
            <v>786.77</v>
          </cell>
        </row>
        <row r="41">
          <cell r="A41" t="str">
            <v>BE6228533665</v>
          </cell>
          <cell r="B41" t="str">
            <v>Horizon Access Fund China Inst. B Shares Cap</v>
          </cell>
          <cell r="C41" t="str">
            <v>USD-KAP-INSTIT.B</v>
          </cell>
          <cell r="D41">
            <v>20240403</v>
          </cell>
          <cell r="E41">
            <v>1013.55</v>
          </cell>
        </row>
        <row r="42">
          <cell r="A42" t="str">
            <v>BE6348029586</v>
          </cell>
          <cell r="B42" t="str">
            <v>Horizon Access Fund China Inst. Discr. Shares Cap (empty)</v>
          </cell>
          <cell r="C42" t="str">
            <v>EUR-KAP-INST.DISCR</v>
          </cell>
          <cell r="D42">
            <v>20240215</v>
          </cell>
          <cell r="E42">
            <v>100</v>
          </cell>
        </row>
        <row r="43">
          <cell r="A43" t="str">
            <v>BE0944666800</v>
          </cell>
          <cell r="B43" t="str">
            <v>Horizon Access India Fund Classic Shares Cap</v>
          </cell>
          <cell r="C43" t="str">
            <v>USD-KAP-RETAIL</v>
          </cell>
          <cell r="D43">
            <v>20240404</v>
          </cell>
          <cell r="E43">
            <v>2401.62</v>
          </cell>
        </row>
        <row r="44">
          <cell r="A44" t="str">
            <v>BE0944665794</v>
          </cell>
          <cell r="B44" t="str">
            <v>Horizon Access India Fund Classic Shares Dis</v>
          </cell>
          <cell r="C44" t="str">
            <v>USD-DIV-RETAIL</v>
          </cell>
          <cell r="D44">
            <v>20240404</v>
          </cell>
          <cell r="E44">
            <v>1947.26</v>
          </cell>
        </row>
        <row r="45">
          <cell r="A45" t="str">
            <v>BE6348030592</v>
          </cell>
          <cell r="B45" t="str">
            <v>Horizon Access India Fund Inst. Discr. Shares Cap (empty)</v>
          </cell>
          <cell r="C45" t="str">
            <v>EUR-KAP-INST.DISCR</v>
          </cell>
          <cell r="D45">
            <v>20240215</v>
          </cell>
          <cell r="E45">
            <v>100</v>
          </cell>
        </row>
        <row r="46">
          <cell r="A46" t="str">
            <v>BE6333570529</v>
          </cell>
          <cell r="B46" t="str">
            <v>Horizon Business Dyn. DBI-RDT Resp. Invest. Classic Shares Dis</v>
          </cell>
          <cell r="C46" t="str">
            <v>EUR-DIV-CLASSIC</v>
          </cell>
          <cell r="D46">
            <v>20240404</v>
          </cell>
          <cell r="E46">
            <v>1087.75</v>
          </cell>
        </row>
        <row r="47">
          <cell r="A47" t="str">
            <v>BE6333571535</v>
          </cell>
          <cell r="B47" t="str">
            <v>Horizon Business Dyn. DBI-RDT Resp. Invest. Comf. Portf. Shares Dis</v>
          </cell>
          <cell r="C47" t="str">
            <v>EUR-DIV-COMF.PTF</v>
          </cell>
          <cell r="D47">
            <v>20240404</v>
          </cell>
          <cell r="E47">
            <v>1087.57</v>
          </cell>
        </row>
        <row r="48">
          <cell r="A48" t="str">
            <v>BE6266330339</v>
          </cell>
          <cell r="B48" t="str">
            <v>Horizon Comf. Pro August 90 Cap</v>
          </cell>
          <cell r="C48" t="str">
            <v>EUR-KAP-RETAIL</v>
          </cell>
          <cell r="D48">
            <v>20240404</v>
          </cell>
          <cell r="E48">
            <v>1176.8900000000001</v>
          </cell>
        </row>
        <row r="49">
          <cell r="A49" t="str">
            <v>BE6277711659</v>
          </cell>
          <cell r="B49" t="str">
            <v>Horizon Comf. Pro February 90 Cap</v>
          </cell>
          <cell r="C49" t="str">
            <v>EUR-KAP-RETAIL</v>
          </cell>
          <cell r="D49">
            <v>20240404</v>
          </cell>
          <cell r="E49">
            <v>1036.0999999999999</v>
          </cell>
        </row>
        <row r="50">
          <cell r="A50" t="str">
            <v>BE6285342331</v>
          </cell>
          <cell r="B50" t="str">
            <v>Horizon Comf. Pro May 90 Cap</v>
          </cell>
          <cell r="C50" t="str">
            <v>EUR-KAP-RETAIL</v>
          </cell>
          <cell r="D50">
            <v>20240404</v>
          </cell>
          <cell r="E50">
            <v>1234.1400000000001</v>
          </cell>
        </row>
        <row r="51">
          <cell r="A51" t="str">
            <v>BE6282172640</v>
          </cell>
          <cell r="B51" t="str">
            <v>Horizon Comf. Pro November 90 Cap</v>
          </cell>
          <cell r="C51" t="str">
            <v>EUR-KAP-RETAIL</v>
          </cell>
          <cell r="D51">
            <v>20240404</v>
          </cell>
          <cell r="E51">
            <v>1195.29</v>
          </cell>
        </row>
        <row r="52">
          <cell r="A52" t="str">
            <v>BE6305608265</v>
          </cell>
          <cell r="B52" t="str">
            <v>Horizon ČSOB Europsky Rast 1 Cap</v>
          </cell>
          <cell r="C52" t="str">
            <v>EUR-KAP-RETAIL</v>
          </cell>
          <cell r="D52">
            <v>20240328</v>
          </cell>
          <cell r="E52">
            <v>11.24</v>
          </cell>
        </row>
        <row r="53">
          <cell r="A53" t="str">
            <v>BE6311160491</v>
          </cell>
          <cell r="B53" t="str">
            <v>Horizon ČSOB Financie 1 Cap</v>
          </cell>
          <cell r="C53" t="str">
            <v>EUR-KAP-RETAIL</v>
          </cell>
          <cell r="D53">
            <v>20240328</v>
          </cell>
          <cell r="E53">
            <v>11.12</v>
          </cell>
        </row>
        <row r="54">
          <cell r="A54" t="str">
            <v>BE6304579640</v>
          </cell>
          <cell r="B54" t="str">
            <v>Horizon ČSOB Globálny Rast 2 Cap</v>
          </cell>
          <cell r="C54" t="str">
            <v>EUR-KAP-RETAIL</v>
          </cell>
          <cell r="D54">
            <v>20240328</v>
          </cell>
          <cell r="E54">
            <v>9.75</v>
          </cell>
        </row>
        <row r="55">
          <cell r="A55" t="str">
            <v>BE0943443219</v>
          </cell>
          <cell r="B55" t="str">
            <v>Horizon Dollar Obligatiedepot Dis</v>
          </cell>
          <cell r="C55" t="str">
            <v>USD-DIV-RETAIL</v>
          </cell>
          <cell r="D55">
            <v>20240404</v>
          </cell>
          <cell r="E55">
            <v>432.82</v>
          </cell>
        </row>
        <row r="56">
          <cell r="A56" t="str">
            <v>BE0941634553</v>
          </cell>
          <cell r="B56" t="str">
            <v>Horizon Europees Obligatiedepot Dis</v>
          </cell>
          <cell r="C56" t="str">
            <v>EUR-DIV-RETAIL</v>
          </cell>
          <cell r="D56">
            <v>20240404</v>
          </cell>
          <cell r="E56">
            <v>471.91</v>
          </cell>
        </row>
        <row r="57">
          <cell r="A57" t="str">
            <v>BE6261308553</v>
          </cell>
          <cell r="B57" t="str">
            <v>Horizon Flexible Plan Cap</v>
          </cell>
          <cell r="C57" t="str">
            <v>EUR-KAP-RETAIL</v>
          </cell>
          <cell r="D57">
            <v>20240404</v>
          </cell>
          <cell r="E57">
            <v>58.83</v>
          </cell>
        </row>
        <row r="58">
          <cell r="A58" t="str">
            <v>BE6309647889</v>
          </cell>
          <cell r="B58" t="str">
            <v>Horizon Flexible Portf. January Resp. Invest. Cap</v>
          </cell>
          <cell r="C58" t="str">
            <v>EUR-KAP-RETAIL</v>
          </cell>
          <cell r="D58">
            <v>20240404</v>
          </cell>
          <cell r="E58">
            <v>1136.1099999999999</v>
          </cell>
        </row>
        <row r="59">
          <cell r="A59" t="str">
            <v>BE6309650917</v>
          </cell>
          <cell r="B59" t="str">
            <v>Horizon Flexible Portf. January Resp. Invest. Dis</v>
          </cell>
          <cell r="C59" t="str">
            <v>EUR-DIV-RETAIL</v>
          </cell>
          <cell r="D59">
            <v>20240404</v>
          </cell>
          <cell r="E59">
            <v>1052.18</v>
          </cell>
        </row>
        <row r="60">
          <cell r="A60" t="str">
            <v>BE6278667512</v>
          </cell>
          <cell r="B60" t="str">
            <v>Horizon Flexible Portf. July Cap</v>
          </cell>
          <cell r="C60" t="str">
            <v>EUR-KAP-RETAIL</v>
          </cell>
          <cell r="D60">
            <v>20240404</v>
          </cell>
          <cell r="E60">
            <v>1080.75</v>
          </cell>
        </row>
        <row r="61">
          <cell r="A61" t="str">
            <v>BE6278669534</v>
          </cell>
          <cell r="B61" t="str">
            <v>Horizon Flexible Portf. July Dis</v>
          </cell>
          <cell r="C61" t="str">
            <v>EUR-DIV-RETAIL</v>
          </cell>
          <cell r="D61">
            <v>20240404</v>
          </cell>
          <cell r="E61">
            <v>934.15</v>
          </cell>
        </row>
        <row r="62">
          <cell r="A62" t="str">
            <v>BE6282715257</v>
          </cell>
          <cell r="B62" t="str">
            <v>Horizon Global Flexible Allocation Cap</v>
          </cell>
          <cell r="C62" t="str">
            <v>EUR-KAP-RETAIL</v>
          </cell>
          <cell r="D62">
            <v>20240404</v>
          </cell>
          <cell r="E62">
            <v>1198.06</v>
          </cell>
        </row>
        <row r="63">
          <cell r="A63" t="str">
            <v>BE6276291034</v>
          </cell>
          <cell r="B63" t="str">
            <v>Horizon Global Flexible Allocation Wealth January Cap</v>
          </cell>
          <cell r="C63" t="str">
            <v>EUR-KAP-RETAIL</v>
          </cell>
          <cell r="D63">
            <v>20240404</v>
          </cell>
          <cell r="E63">
            <v>1085.26</v>
          </cell>
        </row>
        <row r="64">
          <cell r="A64" t="str">
            <v>BE6280653971</v>
          </cell>
          <cell r="B64" t="str">
            <v>Horizon Global Flexible Allocation Wealth July Cap</v>
          </cell>
          <cell r="C64" t="str">
            <v>EUR-KAP-RETAIL</v>
          </cell>
          <cell r="D64">
            <v>20240404</v>
          </cell>
          <cell r="E64">
            <v>1175.3</v>
          </cell>
        </row>
        <row r="65">
          <cell r="A65" t="str">
            <v>BE0945431691</v>
          </cell>
          <cell r="B65" t="str">
            <v>Horizon High Interest Obligatiedepot Dis</v>
          </cell>
          <cell r="C65" t="str">
            <v>EUR-DIV-RETAIL</v>
          </cell>
          <cell r="D65">
            <v>20240404</v>
          </cell>
          <cell r="E65">
            <v>348.55</v>
          </cell>
        </row>
        <row r="66">
          <cell r="A66" t="str">
            <v>BE6314556505</v>
          </cell>
          <cell r="B66" t="str">
            <v>Horizon Investicna Prilezitost Cap</v>
          </cell>
          <cell r="C66" t="str">
            <v>EUR-KAP-RETAIL</v>
          </cell>
          <cell r="D66">
            <v>20240328</v>
          </cell>
          <cell r="E66">
            <v>9.89</v>
          </cell>
        </row>
        <row r="67">
          <cell r="A67" t="str">
            <v>BE6290498482</v>
          </cell>
          <cell r="B67" t="str">
            <v>Horizon KBC Def. Balanced Classic Shares Cap</v>
          </cell>
          <cell r="C67" t="str">
            <v>EUR-KAP-RETAIL</v>
          </cell>
          <cell r="D67">
            <v>20240404</v>
          </cell>
          <cell r="E67">
            <v>1005.19</v>
          </cell>
        </row>
        <row r="68">
          <cell r="A68" t="str">
            <v>BE6290499498</v>
          </cell>
          <cell r="B68" t="str">
            <v>Horizon KBC Def. Balanced Classic Shares Dis</v>
          </cell>
          <cell r="C68" t="str">
            <v>EUR-DIV-RETAIL</v>
          </cell>
          <cell r="D68">
            <v>20240404</v>
          </cell>
          <cell r="E68">
            <v>928.75</v>
          </cell>
        </row>
        <row r="69">
          <cell r="A69" t="str">
            <v>BE6343663579</v>
          </cell>
          <cell r="B69" t="str">
            <v>Horizon KBC Def. Balanced Comf. Plus Shares Cap (empty)</v>
          </cell>
          <cell r="C69" t="str">
            <v>EUR-KAP-COMFORT.PLUS</v>
          </cell>
          <cell r="D69">
            <v>20230626</v>
          </cell>
          <cell r="E69">
            <v>100</v>
          </cell>
        </row>
        <row r="70">
          <cell r="A70" t="str">
            <v>BE6343658520</v>
          </cell>
          <cell r="B70" t="str">
            <v>Horizon KBC Def. Balanced Comf. Plus Shares Dis (empty)</v>
          </cell>
          <cell r="C70" t="str">
            <v>EUR-DIV-COMFORT.PLUS</v>
          </cell>
          <cell r="D70">
            <v>20230626</v>
          </cell>
          <cell r="E70">
            <v>100</v>
          </cell>
        </row>
        <row r="71">
          <cell r="A71" t="str">
            <v>BE6311868788</v>
          </cell>
          <cell r="B71" t="str">
            <v>Horizon KBC Def. Balanced Comf. Portf. Shares Cap</v>
          </cell>
          <cell r="C71" t="str">
            <v>EUR-KAP-COMF.PTF</v>
          </cell>
          <cell r="D71">
            <v>20240404</v>
          </cell>
          <cell r="E71">
            <v>1046.1099999999999</v>
          </cell>
        </row>
        <row r="72">
          <cell r="A72" t="str">
            <v>BE6311870800</v>
          </cell>
          <cell r="B72" t="str">
            <v>Horizon KBC Def. Balanced Comf. Portf. Shares Dis</v>
          </cell>
          <cell r="C72" t="str">
            <v>EUR-DIV-COMF.PTF</v>
          </cell>
          <cell r="D72">
            <v>20240404</v>
          </cell>
          <cell r="E72">
            <v>990.61</v>
          </cell>
        </row>
        <row r="73">
          <cell r="A73" t="str">
            <v>BE6343668628</v>
          </cell>
          <cell r="B73" t="str">
            <v>Horizon KBC Def. Balanced Comf. Prime Shares Cap (empty)</v>
          </cell>
          <cell r="C73" t="str">
            <v>EUR-KAP-COMFORT.PRIME</v>
          </cell>
          <cell r="D73">
            <v>20230626</v>
          </cell>
          <cell r="E73">
            <v>100</v>
          </cell>
        </row>
        <row r="74">
          <cell r="A74" t="str">
            <v>BE6343666606</v>
          </cell>
          <cell r="B74" t="str">
            <v>Horizon KBC Def. Balanced Comf. Prime Shares Dis (empty)</v>
          </cell>
          <cell r="C74" t="str">
            <v>EUR-DIV-COMFORT.PRIME</v>
          </cell>
          <cell r="D74">
            <v>20230626</v>
          </cell>
          <cell r="E74">
            <v>100</v>
          </cell>
        </row>
        <row r="75">
          <cell r="A75" t="str">
            <v>BE6341932729</v>
          </cell>
          <cell r="B75" t="str">
            <v>Horizon KBC Def. Balanced Comf. Shares Cap (empty)</v>
          </cell>
          <cell r="C75" t="str">
            <v>EUR-KAP-COMFORT</v>
          </cell>
          <cell r="D75">
            <v>20230411</v>
          </cell>
          <cell r="E75">
            <v>100</v>
          </cell>
        </row>
        <row r="76">
          <cell r="A76" t="str">
            <v>BE6341933735</v>
          </cell>
          <cell r="B76" t="str">
            <v>Horizon KBC Def. Balanced Comf. Shares Dis (empty)</v>
          </cell>
          <cell r="C76" t="str">
            <v>EUR-DIV-COMFORT</v>
          </cell>
          <cell r="D76">
            <v>20230411</v>
          </cell>
          <cell r="E76">
            <v>100</v>
          </cell>
        </row>
        <row r="77">
          <cell r="A77" t="str">
            <v>BE6324084720</v>
          </cell>
          <cell r="B77" t="str">
            <v>Horizon KBC Def. Balanced Inst. F shares BG BGN Cap</v>
          </cell>
          <cell r="C77" t="str">
            <v>BGN-KAP-INST.FBG</v>
          </cell>
          <cell r="D77">
            <v>20240404</v>
          </cell>
          <cell r="E77">
            <v>1011.2</v>
          </cell>
        </row>
        <row r="78">
          <cell r="A78" t="str">
            <v>BE6324083714</v>
          </cell>
          <cell r="B78" t="str">
            <v>Horizon KBC Def. Balanced Inst. F shares BG EUR Cap</v>
          </cell>
          <cell r="C78" t="str">
            <v>EUR-KAP-INST.FBG</v>
          </cell>
          <cell r="D78">
            <v>20240404</v>
          </cell>
          <cell r="E78">
            <v>1014.31</v>
          </cell>
        </row>
        <row r="79">
          <cell r="A79" t="str">
            <v>BE6290490406</v>
          </cell>
          <cell r="B79" t="str">
            <v>Horizon KBC Def. Balanced Resp. Invest. Classic Shares Cap</v>
          </cell>
          <cell r="C79" t="str">
            <v>EUR-KAP-RETAIL</v>
          </cell>
          <cell r="D79">
            <v>20240404</v>
          </cell>
          <cell r="E79">
            <v>991.6</v>
          </cell>
        </row>
        <row r="80">
          <cell r="A80" t="str">
            <v>BE6290491412</v>
          </cell>
          <cell r="B80" t="str">
            <v>Horizon KBC Def. Balanced Resp. Invest. Classic Shares Dis</v>
          </cell>
          <cell r="C80" t="str">
            <v>EUR-DIV-RETAIL</v>
          </cell>
          <cell r="D80">
            <v>20240404</v>
          </cell>
          <cell r="E80">
            <v>914.09</v>
          </cell>
        </row>
        <row r="81">
          <cell r="A81" t="str">
            <v>BE6343757546</v>
          </cell>
          <cell r="B81" t="str">
            <v>Horizon KBC Def. Balanced Resp. Invest. Comf. Plus Shares Cap (empty)</v>
          </cell>
          <cell r="C81" t="str">
            <v>EUR-KAP-COMFORT.PLUS</v>
          </cell>
          <cell r="D81">
            <v>20230626</v>
          </cell>
          <cell r="E81">
            <v>100</v>
          </cell>
        </row>
        <row r="82">
          <cell r="A82" t="str">
            <v>BE6343756530</v>
          </cell>
          <cell r="B82" t="str">
            <v>Horizon KBC Def. Balanced Resp. Invest. Comf. Plus Shares Dis (empty)</v>
          </cell>
          <cell r="C82" t="str">
            <v>EUR-DIV-COMFORT.PLUS</v>
          </cell>
          <cell r="D82">
            <v>20230626</v>
          </cell>
          <cell r="E82">
            <v>100</v>
          </cell>
        </row>
        <row r="83">
          <cell r="A83" t="str">
            <v>BE6311838484</v>
          </cell>
          <cell r="B83" t="str">
            <v>Horizon KBC Def. Balanced Resp. Invest. Comf. Portf. Shares Cap</v>
          </cell>
          <cell r="C83" t="str">
            <v>EUR-KAP-COMF.PTF</v>
          </cell>
          <cell r="D83">
            <v>20240404</v>
          </cell>
          <cell r="E83">
            <v>1030.54</v>
          </cell>
        </row>
        <row r="84">
          <cell r="A84" t="str">
            <v>BE6311839490</v>
          </cell>
          <cell r="B84" t="str">
            <v>Horizon KBC Def. Balanced Resp. Invest. Comf. Portf. Shares Dis</v>
          </cell>
          <cell r="C84" t="str">
            <v>EUR-DIV-COMF.PTF</v>
          </cell>
          <cell r="D84">
            <v>20240404</v>
          </cell>
          <cell r="E84">
            <v>982.71</v>
          </cell>
        </row>
        <row r="85">
          <cell r="A85" t="str">
            <v>BE6343759567</v>
          </cell>
          <cell r="B85" t="str">
            <v>Horizon KBC Def. Balanced Resp. Invest. Comf. Prime Shares Cap (empty)</v>
          </cell>
          <cell r="C85" t="str">
            <v>EUR-KAP-COMFORT.PRIME</v>
          </cell>
          <cell r="D85">
            <v>20230626</v>
          </cell>
          <cell r="E85">
            <v>100</v>
          </cell>
        </row>
        <row r="86">
          <cell r="A86" t="str">
            <v>BE6343758551</v>
          </cell>
          <cell r="B86" t="str">
            <v>Horizon KBC Def. Balanced Resp. Invest. Comf. Prime Shares Dis (empty)</v>
          </cell>
          <cell r="C86" t="str">
            <v>EUR-DIV-COMFORT.PRIME</v>
          </cell>
          <cell r="D86">
            <v>20230626</v>
          </cell>
          <cell r="E86">
            <v>100</v>
          </cell>
        </row>
        <row r="87">
          <cell r="A87" t="str">
            <v>BE6342075213</v>
          </cell>
          <cell r="B87" t="str">
            <v>Horizon KBC Def. Balanced Resp. Invest. Comf. Shares Cap (empty)</v>
          </cell>
          <cell r="C87" t="str">
            <v>EUR-KAP-COMFORT</v>
          </cell>
          <cell r="D87">
            <v>20230411</v>
          </cell>
          <cell r="E87">
            <v>100</v>
          </cell>
        </row>
        <row r="88">
          <cell r="A88" t="str">
            <v>BE6342078241</v>
          </cell>
          <cell r="B88" t="str">
            <v>Horizon KBC Def. Balanced Resp. Invest. Comf. Shares Dis (empty)</v>
          </cell>
          <cell r="C88" t="str">
            <v>EUR-DIV-COMFORT</v>
          </cell>
          <cell r="D88">
            <v>20230411</v>
          </cell>
          <cell r="E88">
            <v>100</v>
          </cell>
        </row>
        <row r="89">
          <cell r="A89" t="str">
            <v>BE6331693182</v>
          </cell>
          <cell r="B89" t="str">
            <v>Horizon KBC Def. Balanced Resp. Invest. Inst. F shares BG Cap</v>
          </cell>
          <cell r="C89" t="str">
            <v>EUR-KAP-INST.FBG</v>
          </cell>
          <cell r="D89">
            <v>20240404</v>
          </cell>
          <cell r="E89">
            <v>1073.83</v>
          </cell>
        </row>
        <row r="90">
          <cell r="A90" t="str">
            <v>BE6341876165</v>
          </cell>
          <cell r="B90" t="str">
            <v>Horizon KBC Def. Classic Shares Cap</v>
          </cell>
          <cell r="C90" t="str">
            <v>EUR-KAP-CLASSIC</v>
          </cell>
          <cell r="D90">
            <v>20240404</v>
          </cell>
          <cell r="E90">
            <v>108.31</v>
          </cell>
        </row>
        <row r="91">
          <cell r="A91" t="str">
            <v>BE6294806888</v>
          </cell>
          <cell r="B91" t="str">
            <v>Horizon KBC Def. Classic Shares CSOB Private Banking Cap</v>
          </cell>
          <cell r="C91" t="str">
            <v>EUR-KAP-CSOB PB</v>
          </cell>
          <cell r="D91">
            <v>20240404</v>
          </cell>
          <cell r="E91">
            <v>1035.3800000000001</v>
          </cell>
        </row>
        <row r="92">
          <cell r="A92" t="str">
            <v>BE6294805872</v>
          </cell>
          <cell r="B92" t="str">
            <v>Horizon KBC Def. Classic Shares CSOB Private Banking Dis</v>
          </cell>
          <cell r="C92" t="str">
            <v>EUR-DIV-CSOB.PB</v>
          </cell>
          <cell r="D92">
            <v>20240404</v>
          </cell>
          <cell r="E92">
            <v>945.22</v>
          </cell>
        </row>
        <row r="93">
          <cell r="A93" t="str">
            <v>BE6341877171</v>
          </cell>
          <cell r="B93" t="str">
            <v>Horizon KBC Def. Classic Shares Dis</v>
          </cell>
          <cell r="C93" t="str">
            <v>EUR-DIV-CLASSIC</v>
          </cell>
          <cell r="D93">
            <v>20240404</v>
          </cell>
          <cell r="E93">
            <v>106.19</v>
          </cell>
        </row>
        <row r="94">
          <cell r="A94" t="str">
            <v>BE6343672661</v>
          </cell>
          <cell r="B94" t="str">
            <v>Horizon KBC Def. Comf. Plus Shares Cap (empty)</v>
          </cell>
          <cell r="C94" t="str">
            <v>EUR-KAP-COMFORT.PLUS</v>
          </cell>
          <cell r="D94">
            <v>20230626</v>
          </cell>
          <cell r="E94">
            <v>100</v>
          </cell>
        </row>
        <row r="95">
          <cell r="A95" t="str">
            <v>BE6343670640</v>
          </cell>
          <cell r="B95" t="str">
            <v>Horizon KBC Def. Comf. Plus Shares Dis (empty)</v>
          </cell>
          <cell r="C95" t="str">
            <v>EUR-DIV-COMFORT.PLUS</v>
          </cell>
          <cell r="D95">
            <v>20230626</v>
          </cell>
          <cell r="E95">
            <v>100</v>
          </cell>
        </row>
        <row r="96">
          <cell r="A96" t="str">
            <v>BE6258734035</v>
          </cell>
          <cell r="B96" t="str">
            <v>Horizon KBC Def. Comf. Portf. Shares Cap</v>
          </cell>
          <cell r="C96" t="str">
            <v>EUR-KAP-COMF.PTF</v>
          </cell>
          <cell r="D96">
            <v>20240404</v>
          </cell>
          <cell r="E96">
            <v>1220.3599999999999</v>
          </cell>
        </row>
        <row r="97">
          <cell r="A97" t="str">
            <v>BE6258735040</v>
          </cell>
          <cell r="B97" t="str">
            <v>Horizon KBC Def. Comf. Portf. Shares Dis</v>
          </cell>
          <cell r="C97" t="str">
            <v>EUR-DIV-COMF.PTF</v>
          </cell>
          <cell r="D97">
            <v>20240404</v>
          </cell>
          <cell r="E97">
            <v>973.31</v>
          </cell>
        </row>
        <row r="98">
          <cell r="A98" t="str">
            <v>BE6343675698</v>
          </cell>
          <cell r="B98" t="str">
            <v>Horizon KBC Def. Comf. Prime Shares Cap (empty)</v>
          </cell>
          <cell r="C98" t="str">
            <v>EUR-KAP-COMFORT.PRIME</v>
          </cell>
          <cell r="D98">
            <v>20230626</v>
          </cell>
          <cell r="E98">
            <v>100</v>
          </cell>
        </row>
        <row r="99">
          <cell r="A99" t="str">
            <v>BE6343674683</v>
          </cell>
          <cell r="B99" t="str">
            <v>Horizon KBC Def. Comf. Prime Shares Dis (empty)</v>
          </cell>
          <cell r="C99" t="str">
            <v>EUR-DIV-COMFORT.PRIME</v>
          </cell>
          <cell r="D99">
            <v>20230626</v>
          </cell>
          <cell r="E99">
            <v>100</v>
          </cell>
        </row>
        <row r="100">
          <cell r="A100" t="str">
            <v>BE6341878187</v>
          </cell>
          <cell r="B100" t="str">
            <v>Horizon KBC Def. Comf. Shares Cap</v>
          </cell>
          <cell r="C100" t="str">
            <v>EUR-KAP-COMFORT</v>
          </cell>
          <cell r="D100">
            <v>20240404</v>
          </cell>
          <cell r="E100">
            <v>102.38</v>
          </cell>
        </row>
        <row r="101">
          <cell r="A101" t="str">
            <v>BE6341879193</v>
          </cell>
          <cell r="B101" t="str">
            <v>Horizon KBC Def. Comf. Shares Dis</v>
          </cell>
          <cell r="C101" t="str">
            <v>EUR-DIV-COMFORT</v>
          </cell>
          <cell r="D101">
            <v>20240404</v>
          </cell>
          <cell r="E101">
            <v>107.18</v>
          </cell>
        </row>
        <row r="102">
          <cell r="A102" t="str">
            <v>BE0946105641</v>
          </cell>
          <cell r="B102" t="str">
            <v>Horizon KBC Def. Conservative Resp. Invest. Classic Shares Cap</v>
          </cell>
          <cell r="C102" t="str">
            <v>EUR-KAP-RETAIL</v>
          </cell>
          <cell r="D102">
            <v>20240404</v>
          </cell>
          <cell r="E102">
            <v>331.65</v>
          </cell>
        </row>
        <row r="103">
          <cell r="A103" t="str">
            <v>BE6330357409</v>
          </cell>
          <cell r="B103" t="str">
            <v>Horizon KBC Def. Conservative Resp. Invest. Classic Shares Dis</v>
          </cell>
          <cell r="C103" t="str">
            <v>EUR-DIV-RETAIL</v>
          </cell>
          <cell r="D103">
            <v>20240404</v>
          </cell>
          <cell r="E103">
            <v>241.42</v>
          </cell>
        </row>
        <row r="104">
          <cell r="A104" t="str">
            <v>BE6343761589</v>
          </cell>
          <cell r="B104" t="str">
            <v>Horizon KBC Def. Conservative Resp. Invest. Comf. Plus Shares Cap (empty)</v>
          </cell>
          <cell r="C104" t="str">
            <v>EUR-KAP-COMFORT.PLUS</v>
          </cell>
          <cell r="D104">
            <v>20230626</v>
          </cell>
          <cell r="E104">
            <v>100</v>
          </cell>
        </row>
        <row r="105">
          <cell r="A105" t="str">
            <v>BE6343760573</v>
          </cell>
          <cell r="B105" t="str">
            <v>Horizon KBC Def. Conservative Resp. Invest. Comf. Plus Shares Dis (empty)</v>
          </cell>
          <cell r="C105" t="str">
            <v>EUR-DIV-COMFORT.PLUS</v>
          </cell>
          <cell r="D105">
            <v>20230626</v>
          </cell>
          <cell r="E105">
            <v>100</v>
          </cell>
        </row>
        <row r="106">
          <cell r="A106" t="str">
            <v>BE6343763601</v>
          </cell>
          <cell r="B106" t="str">
            <v>Horizon KBC Def. Conservative Resp. Invest. Comf. Prime Shares Cap (empty)</v>
          </cell>
          <cell r="C106" t="str">
            <v>EUR-KAP-COMFORT.PRIME</v>
          </cell>
          <cell r="D106">
            <v>20230626</v>
          </cell>
          <cell r="E106">
            <v>100</v>
          </cell>
        </row>
        <row r="107">
          <cell r="A107" t="str">
            <v>BE6343762595</v>
          </cell>
          <cell r="B107" t="str">
            <v>Horizon KBC Def. Conservative Resp. Invest. Comf. Prime Shares Dis (empty)</v>
          </cell>
          <cell r="C107" t="str">
            <v>EUR-DIV-COMFORT.PRIME</v>
          </cell>
          <cell r="D107">
            <v>20230626</v>
          </cell>
          <cell r="E107">
            <v>100</v>
          </cell>
        </row>
        <row r="108">
          <cell r="A108" t="str">
            <v>BE6341962056</v>
          </cell>
          <cell r="B108" t="str">
            <v>Horizon KBC Def. Conservative Resp. Invest. Comf. Shares Cap (empty)</v>
          </cell>
          <cell r="C108" t="str">
            <v>EUR-KAP-COMFORT</v>
          </cell>
          <cell r="D108">
            <v>20230411</v>
          </cell>
          <cell r="E108">
            <v>100</v>
          </cell>
        </row>
        <row r="109">
          <cell r="A109" t="str">
            <v>BE6341963062</v>
          </cell>
          <cell r="B109" t="str">
            <v>Horizon KBC Def. Conservative Resp. Invest. Comf. Shares Dis (empty)</v>
          </cell>
          <cell r="C109" t="str">
            <v>EUR-DIV-COMFORT</v>
          </cell>
          <cell r="D109">
            <v>20230411</v>
          </cell>
          <cell r="E109">
            <v>100</v>
          </cell>
        </row>
        <row r="110">
          <cell r="A110" t="str">
            <v>BE6331692176</v>
          </cell>
          <cell r="B110" t="str">
            <v>Horizon KBC Def. Conservative Resp. Invest. Inst. F shares BG Cap</v>
          </cell>
          <cell r="C110" t="str">
            <v>EUR-KAP-INST.FBG</v>
          </cell>
          <cell r="D110">
            <v>20240404</v>
          </cell>
          <cell r="E110">
            <v>1075.98</v>
          </cell>
        </row>
        <row r="111">
          <cell r="A111" t="str">
            <v>BE6341926663</v>
          </cell>
          <cell r="B111" t="str">
            <v>Horizon KBC Def. Resp. Invest. Classic Shares Cap</v>
          </cell>
          <cell r="C111" t="str">
            <v>EUR-KAP-CLASSIC</v>
          </cell>
          <cell r="D111">
            <v>20240404</v>
          </cell>
          <cell r="E111">
            <v>108.15</v>
          </cell>
        </row>
        <row r="112">
          <cell r="A112" t="str">
            <v>BE6341928685</v>
          </cell>
          <cell r="B112" t="str">
            <v>Horizon KBC Def. Resp. Invest. Classic Shares Dis</v>
          </cell>
          <cell r="C112" t="str">
            <v>EUR-DIV-CLASSIC</v>
          </cell>
          <cell r="D112">
            <v>20240404</v>
          </cell>
          <cell r="E112">
            <v>107.58</v>
          </cell>
        </row>
        <row r="113">
          <cell r="A113" t="str">
            <v>BE6343765622</v>
          </cell>
          <cell r="B113" t="str">
            <v>Horizon KBC Def. Resp. Invest. Comf. Plus Shares Cap</v>
          </cell>
          <cell r="C113" t="str">
            <v>EUR-KAP-COMFORT.PLUS</v>
          </cell>
          <cell r="D113">
            <v>20240404</v>
          </cell>
          <cell r="E113">
            <v>101.31</v>
          </cell>
        </row>
        <row r="114">
          <cell r="A114" t="str">
            <v>BE6343764617</v>
          </cell>
          <cell r="B114" t="str">
            <v>Horizon KBC Def. Resp. Invest. Comf. Plus Shares Dis</v>
          </cell>
          <cell r="C114" t="str">
            <v>EUR-DIV-COMFORT.PLUS</v>
          </cell>
          <cell r="D114">
            <v>20240404</v>
          </cell>
          <cell r="E114">
            <v>99.31</v>
          </cell>
        </row>
        <row r="115">
          <cell r="A115" t="str">
            <v>BE6292936612</v>
          </cell>
          <cell r="B115" t="str">
            <v>Horizon KBC Def. Resp. Invest. Comf. Portf. Shares Cap</v>
          </cell>
          <cell r="C115" t="str">
            <v>EUR-KAP-COMF.PTF</v>
          </cell>
          <cell r="D115">
            <v>20240404</v>
          </cell>
          <cell r="E115">
            <v>1002.64</v>
          </cell>
        </row>
        <row r="116">
          <cell r="A116" t="str">
            <v>BE6292937628</v>
          </cell>
          <cell r="B116" t="str">
            <v>Horizon KBC Def. Resp. Invest. Comf. Portf. Shares Dis</v>
          </cell>
          <cell r="C116" t="str">
            <v>EUR-DIV-COMF.PTF</v>
          </cell>
          <cell r="D116">
            <v>20240404</v>
          </cell>
          <cell r="E116">
            <v>937.24</v>
          </cell>
        </row>
        <row r="117">
          <cell r="A117" t="str">
            <v>BE6343767644</v>
          </cell>
          <cell r="B117" t="str">
            <v>Horizon KBC Def. Resp. Invest. Comf. Prime Shares Cap (empty)</v>
          </cell>
          <cell r="C117" t="str">
            <v>EUR-KAP-COMFORT.PRIME</v>
          </cell>
          <cell r="D117">
            <v>20230626</v>
          </cell>
          <cell r="E117">
            <v>100</v>
          </cell>
        </row>
        <row r="118">
          <cell r="A118" t="str">
            <v>BE6343766638</v>
          </cell>
          <cell r="B118" t="str">
            <v>Horizon KBC Def. Resp. Invest. Comf. Prime Shares Dis (empty)</v>
          </cell>
          <cell r="C118" t="str">
            <v>EUR-DIV-COMFORT.PRIME</v>
          </cell>
          <cell r="D118">
            <v>20230626</v>
          </cell>
          <cell r="E118">
            <v>100</v>
          </cell>
        </row>
        <row r="119">
          <cell r="A119" t="str">
            <v>BE6341930707</v>
          </cell>
          <cell r="B119" t="str">
            <v>Horizon KBC Def. Resp. Invest. Comf. Shares Cap</v>
          </cell>
          <cell r="C119" t="str">
            <v>EUR-KAP-COMFORT</v>
          </cell>
          <cell r="D119">
            <v>20240404</v>
          </cell>
          <cell r="E119">
            <v>108</v>
          </cell>
        </row>
        <row r="120">
          <cell r="A120" t="str">
            <v>BE6341931713</v>
          </cell>
          <cell r="B120" t="str">
            <v>Horizon KBC Def. Resp. Invest. Comf. Shares Dis</v>
          </cell>
          <cell r="C120" t="str">
            <v>EUR-DIV-COMFORT</v>
          </cell>
          <cell r="D120">
            <v>20240404</v>
          </cell>
          <cell r="E120">
            <v>106.75</v>
          </cell>
        </row>
        <row r="121">
          <cell r="A121" t="str">
            <v>BE6346363417</v>
          </cell>
          <cell r="B121" t="str">
            <v>Horizon KBC Def. Resp. Invest. Inst. F Shares SK Cap (empty)</v>
          </cell>
          <cell r="C121" t="str">
            <v>EUR-KAP-INST.FSK</v>
          </cell>
          <cell r="D121">
            <v>20231010</v>
          </cell>
          <cell r="E121">
            <v>500</v>
          </cell>
        </row>
        <row r="122">
          <cell r="A122" t="str">
            <v>BE6307322915</v>
          </cell>
          <cell r="B122" t="str">
            <v>Horizon KBC Def. Tol. Classic Shares Cap</v>
          </cell>
          <cell r="C122" t="str">
            <v>EUR-KAP-RETAIL</v>
          </cell>
          <cell r="D122">
            <v>20240404</v>
          </cell>
          <cell r="E122">
            <v>1068.6199999999999</v>
          </cell>
        </row>
        <row r="123">
          <cell r="A123" t="str">
            <v>BE6307323921</v>
          </cell>
          <cell r="B123" t="str">
            <v>Horizon KBC Def. Tol. Classic Shares Dis</v>
          </cell>
          <cell r="C123" t="str">
            <v>EUR-DIV-RETAIL</v>
          </cell>
          <cell r="D123">
            <v>20240404</v>
          </cell>
          <cell r="E123">
            <v>1003.99</v>
          </cell>
        </row>
        <row r="124">
          <cell r="A124" t="str">
            <v>BE6343680748</v>
          </cell>
          <cell r="B124" t="str">
            <v>Horizon KBC Def. Tol. Comf. Plus Shares Cap (empty)</v>
          </cell>
          <cell r="C124" t="str">
            <v>EUR-KAP-COMFORT.PLUS</v>
          </cell>
          <cell r="D124">
            <v>20230626</v>
          </cell>
          <cell r="E124">
            <v>100</v>
          </cell>
        </row>
        <row r="125">
          <cell r="A125" t="str">
            <v>BE6343677710</v>
          </cell>
          <cell r="B125" t="str">
            <v>Horizon KBC Def. Tol. Comf. Plus Shares Dis (empty)</v>
          </cell>
          <cell r="C125" t="str">
            <v>EUR-DIV-COMFORT.PLUS</v>
          </cell>
          <cell r="D125">
            <v>20230626</v>
          </cell>
          <cell r="E125">
            <v>100</v>
          </cell>
        </row>
        <row r="126">
          <cell r="A126" t="str">
            <v>BE6311834442</v>
          </cell>
          <cell r="B126" t="str">
            <v>Horizon KBC Def. Tol. Comf. Portf. Shares Cap</v>
          </cell>
          <cell r="C126" t="str">
            <v>EUR-KAP-COMF.PTF</v>
          </cell>
          <cell r="D126">
            <v>20240404</v>
          </cell>
          <cell r="E126">
            <v>1073.8499999999999</v>
          </cell>
        </row>
        <row r="127">
          <cell r="A127" t="str">
            <v>BE6311835456</v>
          </cell>
          <cell r="B127" t="str">
            <v>Horizon KBC Def. Tol. Comf. Portf. Shares Dis</v>
          </cell>
          <cell r="C127" t="str">
            <v>EUR-DIV-COMF.PTF</v>
          </cell>
          <cell r="D127">
            <v>20240404</v>
          </cell>
          <cell r="E127">
            <v>1007.74</v>
          </cell>
        </row>
        <row r="128">
          <cell r="A128" t="str">
            <v>BE6343682769</v>
          </cell>
          <cell r="B128" t="str">
            <v>Horizon KBC Def. Tol. Comf. Prime Shares Cap (empty)</v>
          </cell>
          <cell r="C128" t="str">
            <v>EUR-KAP-COMFORT.PRIME</v>
          </cell>
          <cell r="D128">
            <v>20230626</v>
          </cell>
          <cell r="E128">
            <v>100</v>
          </cell>
        </row>
        <row r="129">
          <cell r="A129" t="str">
            <v>BE6343681753</v>
          </cell>
          <cell r="B129" t="str">
            <v>Horizon KBC Def. Tol. Comf. Prime Shares Dis (empty)</v>
          </cell>
          <cell r="C129" t="str">
            <v>EUR-DIV-COMFORT.PRIME</v>
          </cell>
          <cell r="D129">
            <v>20230626</v>
          </cell>
          <cell r="E129">
            <v>100</v>
          </cell>
        </row>
        <row r="130">
          <cell r="A130" t="str">
            <v>BE6341937777</v>
          </cell>
          <cell r="B130" t="str">
            <v>Horizon KBC Def. Tol. Comf. Shares Cap (empty)</v>
          </cell>
          <cell r="C130" t="str">
            <v>EUR-KAP-COMFORT</v>
          </cell>
          <cell r="D130">
            <v>20230411</v>
          </cell>
          <cell r="E130">
            <v>100</v>
          </cell>
        </row>
        <row r="131">
          <cell r="A131" t="str">
            <v>BE6341939799</v>
          </cell>
          <cell r="B131" t="str">
            <v>Horizon KBC Def. Tol. Comf. Shares Dis (empty)</v>
          </cell>
          <cell r="C131" t="str">
            <v>EUR-DIV-COMFORT</v>
          </cell>
          <cell r="D131">
            <v>20230411</v>
          </cell>
          <cell r="E131">
            <v>100</v>
          </cell>
        </row>
        <row r="132">
          <cell r="A132" t="str">
            <v>BE6324086741</v>
          </cell>
          <cell r="B132" t="str">
            <v>Horizon KBC Def. Tol. Inst. F shares BG BGN Cap</v>
          </cell>
          <cell r="C132" t="str">
            <v>BGN-KAP-INST.FBG</v>
          </cell>
          <cell r="D132">
            <v>20240404</v>
          </cell>
          <cell r="E132">
            <v>999.59</v>
          </cell>
        </row>
        <row r="133">
          <cell r="A133" t="str">
            <v>BE6324087756</v>
          </cell>
          <cell r="B133" t="str">
            <v>Horizon KBC Def. Tol. Inst. F shares BG EUR Cap</v>
          </cell>
          <cell r="C133" t="str">
            <v>EUR-KAP-INST.FBG</v>
          </cell>
          <cell r="D133">
            <v>20240404</v>
          </cell>
          <cell r="E133">
            <v>1002.74</v>
          </cell>
        </row>
        <row r="134">
          <cell r="A134" t="str">
            <v>BE6307330025</v>
          </cell>
          <cell r="B134" t="str">
            <v>Horizon KBC Def. Tol. Resp. Invest. Classic Shares Cap</v>
          </cell>
          <cell r="C134" t="str">
            <v>EUR-KAP-RETAIL</v>
          </cell>
          <cell r="D134">
            <v>20240404</v>
          </cell>
          <cell r="E134">
            <v>1040.92</v>
          </cell>
        </row>
        <row r="135">
          <cell r="A135" t="str">
            <v>BE6307331031</v>
          </cell>
          <cell r="B135" t="str">
            <v>Horizon KBC Def. Tol. Resp. Invest. Classic Shares Dis</v>
          </cell>
          <cell r="C135" t="str">
            <v>EUR-DIV-RETAIL</v>
          </cell>
          <cell r="D135">
            <v>20240404</v>
          </cell>
          <cell r="E135">
            <v>988.21</v>
          </cell>
        </row>
        <row r="136">
          <cell r="A136" t="str">
            <v>BE6343771687</v>
          </cell>
          <cell r="B136" t="str">
            <v>Horizon KBC Def. Tol. Resp. Invest. Comf. Plus Shares Cap (empty)</v>
          </cell>
          <cell r="C136" t="str">
            <v>EUR-KAP-COMFORT.PLUS</v>
          </cell>
          <cell r="D136">
            <v>20230626</v>
          </cell>
          <cell r="E136">
            <v>100</v>
          </cell>
        </row>
        <row r="137">
          <cell r="A137" t="str">
            <v>BE6343768659</v>
          </cell>
          <cell r="B137" t="str">
            <v>Horizon KBC Def. Tol. Resp. Invest. Comf. Plus Shares Dis (empty)</v>
          </cell>
          <cell r="C137" t="str">
            <v>EUR-DIV-COMFORT.PLUS</v>
          </cell>
          <cell r="D137">
            <v>20230626</v>
          </cell>
          <cell r="E137">
            <v>100</v>
          </cell>
        </row>
        <row r="138">
          <cell r="A138" t="str">
            <v>BE6311840506</v>
          </cell>
          <cell r="B138" t="str">
            <v>Horizon KBC Def. Tol. Resp. Invest. Comf. Portf. Shares Cap</v>
          </cell>
          <cell r="C138" t="str">
            <v>EUR-KAP-COMF.PTF</v>
          </cell>
          <cell r="D138">
            <v>20240404</v>
          </cell>
          <cell r="E138">
            <v>1048.04</v>
          </cell>
        </row>
        <row r="139">
          <cell r="A139" t="str">
            <v>BE6311841512</v>
          </cell>
          <cell r="B139" t="str">
            <v>Horizon KBC Def. Tol. Resp. Invest. Comf. Portf. Shares Dis</v>
          </cell>
          <cell r="C139" t="str">
            <v>EUR-DIV-COMF.PTF</v>
          </cell>
          <cell r="D139">
            <v>20240404</v>
          </cell>
          <cell r="E139">
            <v>996.66</v>
          </cell>
        </row>
        <row r="140">
          <cell r="A140" t="str">
            <v>BE6343777742</v>
          </cell>
          <cell r="B140" t="str">
            <v>Horizon KBC Def. Tol. Resp. Invest. Comf. Prime Shares Cap (empty)</v>
          </cell>
          <cell r="C140" t="str">
            <v>EUR-KAP-COMFORT.PRIME</v>
          </cell>
          <cell r="D140">
            <v>20230626</v>
          </cell>
          <cell r="E140">
            <v>100</v>
          </cell>
        </row>
        <row r="141">
          <cell r="A141" t="str">
            <v>BE6343776736</v>
          </cell>
          <cell r="B141" t="str">
            <v>Horizon KBC Def. Tol. Resp. Invest. Comf. Prime Shares Dis (empty)</v>
          </cell>
          <cell r="C141" t="str">
            <v>EUR-DIV-COMFORT.PRIME</v>
          </cell>
          <cell r="D141">
            <v>20230626</v>
          </cell>
          <cell r="E141">
            <v>100</v>
          </cell>
        </row>
        <row r="142">
          <cell r="A142" t="str">
            <v>BE6342084306</v>
          </cell>
          <cell r="B142" t="str">
            <v>Horizon KBC Def. Tol. Resp. Invest. Comf. Shares Cap (empty)</v>
          </cell>
          <cell r="C142" t="str">
            <v>EUR-KAP-COMFORT</v>
          </cell>
          <cell r="D142">
            <v>20230411</v>
          </cell>
          <cell r="E142">
            <v>100</v>
          </cell>
        </row>
        <row r="143">
          <cell r="A143" t="str">
            <v>BE6342085311</v>
          </cell>
          <cell r="B143" t="str">
            <v>Horizon KBC Def. Tol. Resp. Invest. Comf. Shares Dis (empty)</v>
          </cell>
          <cell r="C143" t="str">
            <v>EUR-DIV-COMFORT</v>
          </cell>
          <cell r="D143">
            <v>20230411</v>
          </cell>
          <cell r="E143">
            <v>100</v>
          </cell>
        </row>
        <row r="144">
          <cell r="A144" t="str">
            <v>BE6331695203</v>
          </cell>
          <cell r="B144" t="str">
            <v>Horizon KBC Def. Tol. Resp. Invest. Inst. F shares BG Cap</v>
          </cell>
          <cell r="C144" t="str">
            <v>EUR-KAP-INST.FBG</v>
          </cell>
          <cell r="D144">
            <v>20240404</v>
          </cell>
          <cell r="E144">
            <v>1081.78</v>
          </cell>
        </row>
        <row r="145">
          <cell r="A145" t="str">
            <v>BE6290509593</v>
          </cell>
          <cell r="B145" t="str">
            <v>Horizon KBC Dyn. Balanced Classic Shares Cap</v>
          </cell>
          <cell r="C145" t="str">
            <v>EUR-KAP-RETAIL</v>
          </cell>
          <cell r="D145">
            <v>20240404</v>
          </cell>
          <cell r="E145">
            <v>1118.74</v>
          </cell>
        </row>
        <row r="146">
          <cell r="A146" t="str">
            <v>BE6290510609</v>
          </cell>
          <cell r="B146" t="str">
            <v>Horizon KBC Dyn. Balanced Classic Shares Dis</v>
          </cell>
          <cell r="C146" t="str">
            <v>EUR-DIV-RETAIL</v>
          </cell>
          <cell r="D146">
            <v>20240404</v>
          </cell>
          <cell r="E146">
            <v>1017.99</v>
          </cell>
        </row>
        <row r="147">
          <cell r="A147" t="str">
            <v>BE6343721187</v>
          </cell>
          <cell r="B147" t="str">
            <v>Horizon KBC Dyn. Balanced Comf. Plus Shares Cap (empty)</v>
          </cell>
          <cell r="C147" t="str">
            <v>EUR-KAP-COMFORT.PLUS</v>
          </cell>
          <cell r="D147">
            <v>20230626</v>
          </cell>
          <cell r="E147">
            <v>100</v>
          </cell>
        </row>
        <row r="148">
          <cell r="A148" t="str">
            <v>BE6343718159</v>
          </cell>
          <cell r="B148" t="str">
            <v>Horizon KBC Dyn. Balanced Comf. Plus Shares Dis (empty)</v>
          </cell>
          <cell r="C148" t="str">
            <v>EUR-DIV-COMFORT.PLUS</v>
          </cell>
          <cell r="D148">
            <v>20230626</v>
          </cell>
          <cell r="E148">
            <v>100</v>
          </cell>
        </row>
        <row r="149">
          <cell r="A149" t="str">
            <v>BE6311871816</v>
          </cell>
          <cell r="B149" t="str">
            <v>Horizon KBC Dyn. Balanced Comf. Portf. Shares Cap</v>
          </cell>
          <cell r="C149" t="str">
            <v>EUR-KAP-COMF.PTF</v>
          </cell>
          <cell r="D149">
            <v>20240404</v>
          </cell>
          <cell r="E149">
            <v>1155.6300000000001</v>
          </cell>
        </row>
        <row r="150">
          <cell r="A150" t="str">
            <v>BE6311872822</v>
          </cell>
          <cell r="B150" t="str">
            <v>Horizon KBC Dyn. Balanced Comf. Portf. Shares Dis</v>
          </cell>
          <cell r="C150" t="str">
            <v>EUR-DIV-COMF.PTF</v>
          </cell>
          <cell r="D150">
            <v>20240404</v>
          </cell>
          <cell r="E150">
            <v>1083.71</v>
          </cell>
        </row>
        <row r="151">
          <cell r="A151" t="str">
            <v>BE6343723209</v>
          </cell>
          <cell r="B151" t="str">
            <v>Horizon KBC Dyn. Balanced Comf. Prime Shares Cap (empty)</v>
          </cell>
          <cell r="C151" t="str">
            <v>EUR-KAP-COMFORT.PRIME</v>
          </cell>
          <cell r="D151">
            <v>20230626</v>
          </cell>
          <cell r="E151">
            <v>100</v>
          </cell>
        </row>
        <row r="152">
          <cell r="A152" t="str">
            <v>BE6343722193</v>
          </cell>
          <cell r="B152" t="str">
            <v>Horizon KBC Dyn. Balanced Comf. Prime Shares Dis (empty)</v>
          </cell>
          <cell r="C152" t="str">
            <v>EUR-DIV-COMFORT.PRIME</v>
          </cell>
          <cell r="D152">
            <v>20230626</v>
          </cell>
          <cell r="E152">
            <v>100</v>
          </cell>
        </row>
        <row r="153">
          <cell r="A153" t="str">
            <v>BE6341946869</v>
          </cell>
          <cell r="B153" t="str">
            <v>Horizon KBC Dyn. Balanced Comf. Shares Cap (empty)</v>
          </cell>
          <cell r="C153" t="str">
            <v>EUR-KAP-COMFORT</v>
          </cell>
          <cell r="D153">
            <v>20230411</v>
          </cell>
          <cell r="E153">
            <v>100</v>
          </cell>
        </row>
        <row r="154">
          <cell r="A154" t="str">
            <v>BE6341949897</v>
          </cell>
          <cell r="B154" t="str">
            <v>Horizon KBC Dyn. Balanced Comf. Shares Dis (empty)</v>
          </cell>
          <cell r="C154" t="str">
            <v>EUR-DIV-COMFORT</v>
          </cell>
          <cell r="D154">
            <v>20230411</v>
          </cell>
          <cell r="E154">
            <v>100</v>
          </cell>
        </row>
        <row r="155">
          <cell r="A155" t="str">
            <v>BE6324088762</v>
          </cell>
          <cell r="B155" t="str">
            <v>Horizon KBC Dyn. Balanced Inst. F shares BG BGN Cap</v>
          </cell>
          <cell r="C155" t="str">
            <v>BGN-KAP-INST.FBG</v>
          </cell>
          <cell r="D155">
            <v>20240404</v>
          </cell>
          <cell r="E155">
            <v>1066.3499999999999</v>
          </cell>
        </row>
        <row r="156">
          <cell r="A156" t="str">
            <v>BE6324090784</v>
          </cell>
          <cell r="B156" t="str">
            <v>Horizon KBC Dyn. Balanced Inst. F shares BG EUR Cap</v>
          </cell>
          <cell r="C156" t="str">
            <v>EUR-KAP-INST.FBG</v>
          </cell>
          <cell r="D156">
            <v>20240404</v>
          </cell>
          <cell r="E156">
            <v>1054.8499999999999</v>
          </cell>
        </row>
        <row r="157">
          <cell r="A157" t="str">
            <v>BE6290496460</v>
          </cell>
          <cell r="B157" t="str">
            <v>Horizon KBC Dyn. Balanced Resp. Invest. Classic Shares Cap</v>
          </cell>
          <cell r="C157" t="str">
            <v>EUR-KAP-RETAIL</v>
          </cell>
          <cell r="D157">
            <v>20240404</v>
          </cell>
          <cell r="E157">
            <v>1102.55</v>
          </cell>
        </row>
        <row r="158">
          <cell r="A158" t="str">
            <v>BE6290497476</v>
          </cell>
          <cell r="B158" t="str">
            <v>Horizon KBC Dyn. Balanced Resp. Invest. Classic Shares Dis</v>
          </cell>
          <cell r="C158" t="str">
            <v>EUR-DIV-RETAIL</v>
          </cell>
          <cell r="D158">
            <v>20240404</v>
          </cell>
          <cell r="E158">
            <v>1002.8</v>
          </cell>
        </row>
        <row r="159">
          <cell r="A159" t="str">
            <v>BE6343785828</v>
          </cell>
          <cell r="B159" t="str">
            <v>Horizon KBC Dyn. Balanced Resp. Invest. Comf. Plus Shares Cap (empty)</v>
          </cell>
          <cell r="C159" t="str">
            <v>EUR-KAP-COMFORT.PLUS</v>
          </cell>
          <cell r="D159">
            <v>20230626</v>
          </cell>
          <cell r="E159">
            <v>100</v>
          </cell>
        </row>
        <row r="160">
          <cell r="A160" t="str">
            <v>BE6343784813</v>
          </cell>
          <cell r="B160" t="str">
            <v>Horizon KBC Dyn. Balanced Resp. Invest. Comf. Plus Shares Dis (empty)</v>
          </cell>
          <cell r="C160" t="str">
            <v>EUR-DIV-COMFORT.PLUS</v>
          </cell>
          <cell r="D160">
            <v>20230626</v>
          </cell>
          <cell r="E160">
            <v>100</v>
          </cell>
        </row>
        <row r="161">
          <cell r="A161" t="str">
            <v>BE6311842528</v>
          </cell>
          <cell r="B161" t="str">
            <v>Horizon KBC Dyn. Balanced Resp. Invest. Comf. Portf. Shares Cap</v>
          </cell>
          <cell r="C161" t="str">
            <v>EUR-KAP-COMF.PTF</v>
          </cell>
          <cell r="D161">
            <v>20240404</v>
          </cell>
          <cell r="E161">
            <v>1135.5999999999999</v>
          </cell>
        </row>
        <row r="162">
          <cell r="A162" t="str">
            <v>BE6311843534</v>
          </cell>
          <cell r="B162" t="str">
            <v>Horizon KBC Dyn. Balanced Resp. Invest. Comf. Portf. Shares Dis</v>
          </cell>
          <cell r="C162" t="str">
            <v>EUR-DIV-COMF.PTF</v>
          </cell>
          <cell r="D162">
            <v>20240404</v>
          </cell>
          <cell r="E162">
            <v>1072.6500000000001</v>
          </cell>
        </row>
        <row r="163">
          <cell r="A163" t="str">
            <v>BE6343787840</v>
          </cell>
          <cell r="B163" t="str">
            <v>Horizon KBC Dyn. Balanced Resp. Invest. Comf. Prime Shares Cap (empty)</v>
          </cell>
          <cell r="C163" t="str">
            <v>EUR-KAP-COMFORT.PRIME</v>
          </cell>
          <cell r="D163">
            <v>20230626</v>
          </cell>
          <cell r="E163">
            <v>100</v>
          </cell>
        </row>
        <row r="164">
          <cell r="A164" t="str">
            <v>BE6343786834</v>
          </cell>
          <cell r="B164" t="str">
            <v>Horizon KBC Dyn. Balanced Resp. Invest. Comf. Prime Shares Dis (empty)</v>
          </cell>
          <cell r="C164" t="str">
            <v>EUR-DIV-COMFORT.PRIME</v>
          </cell>
          <cell r="D164">
            <v>20230626</v>
          </cell>
          <cell r="E164">
            <v>100</v>
          </cell>
        </row>
        <row r="165">
          <cell r="A165" t="str">
            <v>BE6342080262</v>
          </cell>
          <cell r="B165" t="str">
            <v>Horizon KBC Dyn. Balanced Resp. Invest. Comf. Shares Cap (empty)</v>
          </cell>
          <cell r="C165" t="str">
            <v>EUR-KAP-COMFORT</v>
          </cell>
          <cell r="D165">
            <v>20230411</v>
          </cell>
          <cell r="E165">
            <v>100</v>
          </cell>
        </row>
        <row r="166">
          <cell r="A166" t="str">
            <v>BE6342081278</v>
          </cell>
          <cell r="B166" t="str">
            <v>Horizon KBC Dyn. Balanced Resp. Invest. Comf. Shares Dis</v>
          </cell>
          <cell r="C166" t="str">
            <v>EUR-DIV-COMFORT</v>
          </cell>
          <cell r="D166">
            <v>20240404</v>
          </cell>
          <cell r="E166">
            <v>99.05</v>
          </cell>
        </row>
        <row r="167">
          <cell r="A167" t="str">
            <v>BE6331694198</v>
          </cell>
          <cell r="B167" t="str">
            <v>Horizon KBC Dyn. Balanced Resp. Invest. Inst. F shares BG Cap</v>
          </cell>
          <cell r="C167" t="str">
            <v>EUR-KAP-INST.FBG</v>
          </cell>
          <cell r="D167">
            <v>20240404</v>
          </cell>
          <cell r="E167">
            <v>1100.95</v>
          </cell>
        </row>
        <row r="168">
          <cell r="A168" t="str">
            <v>BE6341880209</v>
          </cell>
          <cell r="B168" t="str">
            <v>Horizon KBC Dyn. Classic Shares Cap</v>
          </cell>
          <cell r="C168" t="str">
            <v>EUR-KAP-CLASSIC</v>
          </cell>
          <cell r="D168">
            <v>20240404</v>
          </cell>
          <cell r="E168">
            <v>112.24</v>
          </cell>
        </row>
        <row r="169">
          <cell r="A169" t="str">
            <v>BE6294809916</v>
          </cell>
          <cell r="B169" t="str">
            <v>Horizon KBC Dyn. Classic Shares CSOB Private Banking Cap</v>
          </cell>
          <cell r="C169" t="str">
            <v>EUR-KAP-CSOB PB</v>
          </cell>
          <cell r="D169">
            <v>20240404</v>
          </cell>
          <cell r="E169">
            <v>1204.07</v>
          </cell>
        </row>
        <row r="170">
          <cell r="A170" t="str">
            <v>BE6294808900</v>
          </cell>
          <cell r="B170" t="str">
            <v>Horizon KBC Dyn. Classic Shares CSOB Private Banking Dis</v>
          </cell>
          <cell r="C170" t="str">
            <v>EUR-DIV-CSOB.PB</v>
          </cell>
          <cell r="D170">
            <v>20240404</v>
          </cell>
          <cell r="E170">
            <v>1090.05</v>
          </cell>
        </row>
        <row r="171">
          <cell r="A171" t="str">
            <v>BE6341881215</v>
          </cell>
          <cell r="B171" t="str">
            <v>Horizon KBC Dyn. Classic Shares Dis</v>
          </cell>
          <cell r="C171" t="str">
            <v>EUR-DIV-CLASSIC</v>
          </cell>
          <cell r="D171">
            <v>20240404</v>
          </cell>
          <cell r="E171">
            <v>111.74</v>
          </cell>
        </row>
        <row r="172">
          <cell r="A172" t="str">
            <v>BE6343725220</v>
          </cell>
          <cell r="B172" t="str">
            <v>Horizon KBC Dyn. Comf. Plus Shares Cap</v>
          </cell>
          <cell r="C172" t="str">
            <v>EUR-KAP-COMFORT.PLUS</v>
          </cell>
          <cell r="D172">
            <v>20240404</v>
          </cell>
          <cell r="E172">
            <v>110.04</v>
          </cell>
        </row>
        <row r="173">
          <cell r="A173" t="str">
            <v>BE6343724215</v>
          </cell>
          <cell r="B173" t="str">
            <v>Horizon KBC Dyn. Comf. Plus Shares Dis</v>
          </cell>
          <cell r="C173" t="str">
            <v>EUR-DIV-COMFORT.PLUS</v>
          </cell>
          <cell r="D173">
            <v>20240404</v>
          </cell>
          <cell r="E173">
            <v>106.95</v>
          </cell>
        </row>
        <row r="174">
          <cell r="A174" t="str">
            <v>BE6258738077</v>
          </cell>
          <cell r="B174" t="str">
            <v>Horizon KBC Dyn. Comf. Portf. Shares Cap</v>
          </cell>
          <cell r="C174" t="str">
            <v>EUR-KAP-COMF.PTF</v>
          </cell>
          <cell r="D174">
            <v>20240404</v>
          </cell>
          <cell r="E174">
            <v>1509.83</v>
          </cell>
        </row>
        <row r="175">
          <cell r="A175" t="str">
            <v>BE6258739083</v>
          </cell>
          <cell r="B175" t="str">
            <v>Horizon KBC Dyn. Comf. Portf. Shares Dis</v>
          </cell>
          <cell r="C175" t="str">
            <v>EUR-DIV-COMF.PTF</v>
          </cell>
          <cell r="D175">
            <v>20240404</v>
          </cell>
          <cell r="E175">
            <v>1169.98</v>
          </cell>
        </row>
        <row r="176">
          <cell r="A176" t="str">
            <v>BE6343727242</v>
          </cell>
          <cell r="B176" t="str">
            <v>Horizon KBC Dyn. Comf. Prime Shares Cap (empty)</v>
          </cell>
          <cell r="C176" t="str">
            <v>EUR-KAP-COMFORT.PRIME</v>
          </cell>
          <cell r="D176">
            <v>20230626</v>
          </cell>
          <cell r="E176">
            <v>100</v>
          </cell>
        </row>
        <row r="177">
          <cell r="A177" t="str">
            <v>BE6343726236</v>
          </cell>
          <cell r="B177" t="str">
            <v>Horizon KBC Dyn. Comf. Prime Shares Dis (empty)</v>
          </cell>
          <cell r="C177" t="str">
            <v>EUR-DIV-COMFORT.PRIME</v>
          </cell>
          <cell r="D177">
            <v>20230626</v>
          </cell>
          <cell r="E177">
            <v>100</v>
          </cell>
        </row>
        <row r="178">
          <cell r="A178" t="str">
            <v>BE6341882221</v>
          </cell>
          <cell r="B178" t="str">
            <v>Horizon KBC Dyn. Comf. Shares Cap</v>
          </cell>
          <cell r="C178" t="str">
            <v>EUR-KAP-COMFORT</v>
          </cell>
          <cell r="D178">
            <v>20240404</v>
          </cell>
          <cell r="E178">
            <v>112.69</v>
          </cell>
        </row>
        <row r="179">
          <cell r="A179" t="str">
            <v>BE6341883237</v>
          </cell>
          <cell r="B179" t="str">
            <v>Horizon KBC Dyn. Comf. Shares Dis</v>
          </cell>
          <cell r="C179" t="str">
            <v>EUR-DIV-COMFORT</v>
          </cell>
          <cell r="D179">
            <v>20240404</v>
          </cell>
          <cell r="E179">
            <v>102.78</v>
          </cell>
        </row>
        <row r="180">
          <cell r="A180" t="str">
            <v>BE6341934741</v>
          </cell>
          <cell r="B180" t="str">
            <v>Horizon KBC Dyn. Resp. Invest. Classic Shares Cap</v>
          </cell>
          <cell r="C180" t="str">
            <v>EUR-KAP-CLASSIC</v>
          </cell>
          <cell r="D180">
            <v>20240404</v>
          </cell>
          <cell r="E180">
            <v>111.83</v>
          </cell>
        </row>
        <row r="181">
          <cell r="A181" t="str">
            <v>BE6341935755</v>
          </cell>
          <cell r="B181" t="str">
            <v>Horizon KBC Dyn. Resp. Invest. Classic Shares Dis</v>
          </cell>
          <cell r="C181" t="str">
            <v>EUR-DIV-CLASSIC</v>
          </cell>
          <cell r="D181">
            <v>20240404</v>
          </cell>
          <cell r="E181">
            <v>111</v>
          </cell>
        </row>
        <row r="182">
          <cell r="A182" t="str">
            <v>BE6342876461</v>
          </cell>
          <cell r="B182" t="str">
            <v>Horizon KBC Dyn. Resp. Invest. Classic Shares K&amp;H USD Cap</v>
          </cell>
          <cell r="C182" t="str">
            <v>USD-KAP-CS.K&amp;H USD</v>
          </cell>
          <cell r="D182">
            <v>20240404</v>
          </cell>
          <cell r="E182">
            <v>109.33</v>
          </cell>
        </row>
        <row r="183">
          <cell r="A183" t="str">
            <v>BE6343789861</v>
          </cell>
          <cell r="B183" t="str">
            <v>Horizon KBC Dyn. Resp. Invest. Comf. Plus Shares Cap</v>
          </cell>
          <cell r="C183" t="str">
            <v>EUR-KAP-COMFORT.PLUS</v>
          </cell>
          <cell r="D183">
            <v>20240404</v>
          </cell>
          <cell r="E183">
            <v>108.71</v>
          </cell>
        </row>
        <row r="184">
          <cell r="A184" t="str">
            <v>BE6343788855</v>
          </cell>
          <cell r="B184" t="str">
            <v>Horizon KBC Dyn. Resp. Invest. Comf. Plus Shares Dis</v>
          </cell>
          <cell r="C184" t="str">
            <v>EUR-DIV-COMFORT.PLUS</v>
          </cell>
          <cell r="D184">
            <v>20240404</v>
          </cell>
          <cell r="E184">
            <v>107.87</v>
          </cell>
        </row>
        <row r="185">
          <cell r="A185" t="str">
            <v>BE6292868906</v>
          </cell>
          <cell r="B185" t="str">
            <v>Horizon KBC Dyn. Resp. Invest. Comf. Portf. Shares Cap</v>
          </cell>
          <cell r="C185" t="str">
            <v>EUR-KAP-COMF.PTF</v>
          </cell>
          <cell r="D185">
            <v>20240404</v>
          </cell>
          <cell r="E185">
            <v>1169.8399999999999</v>
          </cell>
        </row>
        <row r="186">
          <cell r="A186" t="str">
            <v>BE6292869912</v>
          </cell>
          <cell r="B186" t="str">
            <v>Horizon KBC Dyn. Resp. Invest. Comf. Portf. Shares Dis</v>
          </cell>
          <cell r="C186" t="str">
            <v>EUR-DIV-COMF.PTF</v>
          </cell>
          <cell r="D186">
            <v>20240404</v>
          </cell>
          <cell r="E186">
            <v>1082.95</v>
          </cell>
        </row>
        <row r="187">
          <cell r="A187" t="str">
            <v>BE6343793905</v>
          </cell>
          <cell r="B187" t="str">
            <v>Horizon KBC Dyn. Resp. Invest. Comf. Prime Shares Cap</v>
          </cell>
          <cell r="C187" t="str">
            <v>EUR-KAP-COMFORT.PRIME</v>
          </cell>
          <cell r="D187">
            <v>20240404</v>
          </cell>
          <cell r="E187">
            <v>105.84</v>
          </cell>
        </row>
        <row r="188">
          <cell r="A188" t="str">
            <v>BE6343791883</v>
          </cell>
          <cell r="B188" t="str">
            <v>Horizon KBC Dyn. Resp. Invest. Comf. Prime Shares Dis</v>
          </cell>
          <cell r="C188" t="str">
            <v>EUR-DIV-COMFORT.PRIME</v>
          </cell>
          <cell r="D188">
            <v>20240404</v>
          </cell>
          <cell r="E188">
            <v>112.07</v>
          </cell>
        </row>
        <row r="189">
          <cell r="A189" t="str">
            <v>BE6341936761</v>
          </cell>
          <cell r="B189" t="str">
            <v>Horizon KBC Dyn. Resp. Invest. Comf. Shares Cap</v>
          </cell>
          <cell r="C189" t="str">
            <v>EUR-KAP-COMFORT</v>
          </cell>
          <cell r="D189">
            <v>20240404</v>
          </cell>
          <cell r="E189">
            <v>111.68</v>
          </cell>
        </row>
        <row r="190">
          <cell r="A190" t="str">
            <v>BE6341938783</v>
          </cell>
          <cell r="B190" t="str">
            <v>Horizon KBC Dyn. Resp. Invest. Comf. Shares Dis</v>
          </cell>
          <cell r="C190" t="str">
            <v>EUR-DIV-COMFORT</v>
          </cell>
          <cell r="D190">
            <v>20240404</v>
          </cell>
          <cell r="E190">
            <v>110.95</v>
          </cell>
        </row>
        <row r="191">
          <cell r="A191" t="str">
            <v>BE6346364423</v>
          </cell>
          <cell r="B191" t="str">
            <v>Horizon KBC Dyn. Resp. Invest. Inst. F Shares SK Cap (empty)</v>
          </cell>
          <cell r="C191" t="str">
            <v>EUR-KAP-INST.FSK</v>
          </cell>
          <cell r="D191">
            <v>20231010</v>
          </cell>
          <cell r="E191">
            <v>500</v>
          </cell>
        </row>
        <row r="192">
          <cell r="A192" t="str">
            <v>BE6307324937</v>
          </cell>
          <cell r="B192" t="str">
            <v>Horizon KBC Dyn. Tol. Classic Shares Cap</v>
          </cell>
          <cell r="C192" t="str">
            <v>EUR-KAP-RETAIL</v>
          </cell>
          <cell r="D192">
            <v>20240404</v>
          </cell>
          <cell r="E192">
            <v>1142.21</v>
          </cell>
        </row>
        <row r="193">
          <cell r="A193" t="str">
            <v>BE6307325942</v>
          </cell>
          <cell r="B193" t="str">
            <v>Horizon KBC Dyn. Tol. Classic Shares Dis</v>
          </cell>
          <cell r="C193" t="str">
            <v>EUR-DIV-RETAIL</v>
          </cell>
          <cell r="D193">
            <v>20240404</v>
          </cell>
          <cell r="E193">
            <v>1063.24</v>
          </cell>
        </row>
        <row r="194">
          <cell r="A194" t="str">
            <v>BE6343730279</v>
          </cell>
          <cell r="B194" t="str">
            <v>Horizon KBC Dyn. Tol. Comf. Plus Shares Cap (empty)</v>
          </cell>
          <cell r="C194" t="str">
            <v>EUR-KAP-COMFORT.PLUS</v>
          </cell>
          <cell r="D194">
            <v>20230626</v>
          </cell>
          <cell r="E194">
            <v>100</v>
          </cell>
        </row>
        <row r="195">
          <cell r="A195" t="str">
            <v>BE6343729263</v>
          </cell>
          <cell r="B195" t="str">
            <v>Horizon KBC Dyn. Tol. Comf. Plus Shares Dis (empty)</v>
          </cell>
          <cell r="C195" t="str">
            <v>EUR-DIV-COMFORT.PLUS</v>
          </cell>
          <cell r="D195">
            <v>20230626</v>
          </cell>
          <cell r="E195">
            <v>100</v>
          </cell>
        </row>
        <row r="196">
          <cell r="A196" t="str">
            <v>BE6311836462</v>
          </cell>
          <cell r="B196" t="str">
            <v>Horizon KBC Dyn. Tol. Comf. Portf. Shares Cap</v>
          </cell>
          <cell r="C196" t="str">
            <v>EUR-KAP-COMF.PTF</v>
          </cell>
          <cell r="D196">
            <v>20240404</v>
          </cell>
          <cell r="E196">
            <v>1149.1500000000001</v>
          </cell>
        </row>
        <row r="197">
          <cell r="A197" t="str">
            <v>BE6311837478</v>
          </cell>
          <cell r="B197" t="str">
            <v>Horizon KBC Dyn. Tol. Comf. Portf. Shares Dis</v>
          </cell>
          <cell r="C197" t="str">
            <v>EUR-DIV-COMF.PTF</v>
          </cell>
          <cell r="D197">
            <v>20240404</v>
          </cell>
          <cell r="E197">
            <v>1064.79</v>
          </cell>
        </row>
        <row r="198">
          <cell r="A198" t="str">
            <v>BE6343733307</v>
          </cell>
          <cell r="B198" t="str">
            <v>Horizon KBC Dyn. Tol. Comf. Prime Shares Cap (empty)</v>
          </cell>
          <cell r="C198" t="str">
            <v>EUR-KAP-COMFORT.PRIME</v>
          </cell>
          <cell r="D198">
            <v>20230626</v>
          </cell>
          <cell r="E198">
            <v>100</v>
          </cell>
        </row>
        <row r="199">
          <cell r="A199" t="str">
            <v>BE6343732291</v>
          </cell>
          <cell r="B199" t="str">
            <v>Horizon KBC Dyn. Tol. Comf. Prime Shares Dis (empty)</v>
          </cell>
          <cell r="C199" t="str">
            <v>EUR-DIV-COMFORT.PRIME</v>
          </cell>
          <cell r="D199">
            <v>20230626</v>
          </cell>
          <cell r="E199">
            <v>100</v>
          </cell>
        </row>
        <row r="200">
          <cell r="A200" t="str">
            <v>BE6341954947</v>
          </cell>
          <cell r="B200" t="str">
            <v>Horizon KBC Dyn. Tol. Comf. Shares Cap (empty)</v>
          </cell>
          <cell r="C200" t="str">
            <v>EUR-KAP-COMFORT</v>
          </cell>
          <cell r="D200">
            <v>20230411</v>
          </cell>
          <cell r="E200">
            <v>100</v>
          </cell>
        </row>
        <row r="201">
          <cell r="A201" t="str">
            <v>BE6341955951</v>
          </cell>
          <cell r="B201" t="str">
            <v>Horizon KBC Dyn. Tol. Comf. Shares Dis (empty)</v>
          </cell>
          <cell r="C201" t="str">
            <v>EUR-DIV-COMFORT</v>
          </cell>
          <cell r="D201">
            <v>20230411</v>
          </cell>
          <cell r="E201">
            <v>100</v>
          </cell>
        </row>
        <row r="202">
          <cell r="A202" t="str">
            <v>BE6324091790</v>
          </cell>
          <cell r="B202" t="str">
            <v>Horizon KBC Dyn. Tol. Inst. F shares BG BGN Cap</v>
          </cell>
          <cell r="C202" t="str">
            <v>BGN-KAP-INST.FBG</v>
          </cell>
          <cell r="D202">
            <v>20240404</v>
          </cell>
          <cell r="E202">
            <v>1046.54</v>
          </cell>
        </row>
        <row r="203">
          <cell r="A203" t="str">
            <v>BE6324092806</v>
          </cell>
          <cell r="B203" t="str">
            <v>Horizon KBC Dyn. Tol. Inst. F shares BG EUR Cap</v>
          </cell>
          <cell r="C203" t="str">
            <v>EUR-KAP-INST.FBG</v>
          </cell>
          <cell r="D203">
            <v>20240404</v>
          </cell>
          <cell r="E203">
            <v>1049.94</v>
          </cell>
        </row>
        <row r="204">
          <cell r="A204" t="str">
            <v>BE6307334068</v>
          </cell>
          <cell r="B204" t="str">
            <v>Horizon KBC Dyn. Tol. Resp. Invest. Classic Shares Cap</v>
          </cell>
          <cell r="C204" t="str">
            <v>EUR-KAP-RETAIL</v>
          </cell>
          <cell r="D204">
            <v>20240404</v>
          </cell>
          <cell r="E204">
            <v>1114.92</v>
          </cell>
        </row>
        <row r="205">
          <cell r="A205" t="str">
            <v>BE6307335073</v>
          </cell>
          <cell r="B205" t="str">
            <v>Horizon KBC Dyn. Tol. Resp. Invest. Classic Shares Dis</v>
          </cell>
          <cell r="C205" t="str">
            <v>EUR-DIV-RETAIL</v>
          </cell>
          <cell r="D205">
            <v>20240404</v>
          </cell>
          <cell r="E205">
            <v>1046.93</v>
          </cell>
        </row>
        <row r="206">
          <cell r="A206" t="str">
            <v>BE6343798953</v>
          </cell>
          <cell r="B206" t="str">
            <v>Horizon KBC Dyn. Tol. Resp. Invest. Comf. Plus Shares Cap (empty)</v>
          </cell>
          <cell r="C206" t="str">
            <v>EUR-KAP-COMFORT.PLUS</v>
          </cell>
          <cell r="D206">
            <v>20230626</v>
          </cell>
          <cell r="E206">
            <v>100</v>
          </cell>
        </row>
        <row r="207">
          <cell r="A207" t="str">
            <v>BE6343796932</v>
          </cell>
          <cell r="B207" t="str">
            <v>Horizon KBC Dyn. Tol. Resp. Invest. Comf. Plus Shares Dis (empty)</v>
          </cell>
          <cell r="C207" t="str">
            <v>EUR-DIV-COMFORT.PLUS</v>
          </cell>
          <cell r="D207">
            <v>20230626</v>
          </cell>
          <cell r="E207">
            <v>100</v>
          </cell>
        </row>
        <row r="208">
          <cell r="A208" t="str">
            <v>BE6311844540</v>
          </cell>
          <cell r="B208" t="str">
            <v>Horizon KBC Dyn. Tol. Resp. Invest. Comf. Portf. Shares Cap</v>
          </cell>
          <cell r="C208" t="str">
            <v>EUR-KAP-COMF.PTF</v>
          </cell>
          <cell r="D208">
            <v>20240404</v>
          </cell>
          <cell r="E208">
            <v>1123.0899999999999</v>
          </cell>
        </row>
        <row r="209">
          <cell r="A209" t="str">
            <v>BE6311845554</v>
          </cell>
          <cell r="B209" t="str">
            <v>Horizon KBC Dyn. Tol. Resp. Invest. Comf. Portf. Shares Dis</v>
          </cell>
          <cell r="C209" t="str">
            <v>EUR-DIV-COMF.PTF</v>
          </cell>
          <cell r="D209">
            <v>20240404</v>
          </cell>
          <cell r="E209">
            <v>1060.75</v>
          </cell>
        </row>
        <row r="210">
          <cell r="A210" t="str">
            <v>BE6343800973</v>
          </cell>
          <cell r="B210" t="str">
            <v>Horizon KBC Dyn. Tol. Resp. Invest. Comf. Prime Shares Cap (empty)</v>
          </cell>
          <cell r="C210" t="str">
            <v>EUR-KAP-COMFORT.PRIME</v>
          </cell>
          <cell r="D210">
            <v>20230626</v>
          </cell>
          <cell r="E210">
            <v>100</v>
          </cell>
        </row>
        <row r="211">
          <cell r="A211" t="str">
            <v>BE6343799969</v>
          </cell>
          <cell r="B211" t="str">
            <v>Horizon KBC Dyn. Tol. Resp. Invest. Comf. Prime Shares Dis (empty)</v>
          </cell>
          <cell r="C211" t="str">
            <v>EUR-DIV-COMFORT.PRIME</v>
          </cell>
          <cell r="D211">
            <v>20230626</v>
          </cell>
          <cell r="E211">
            <v>100</v>
          </cell>
        </row>
        <row r="212">
          <cell r="A212" t="str">
            <v>BE6342088349</v>
          </cell>
          <cell r="B212" t="str">
            <v>Horizon KBC Dyn. Tol. Resp. Invest. Comf. Shares Cap (empty)</v>
          </cell>
          <cell r="C212" t="str">
            <v>EUR-KAP-COMFORT</v>
          </cell>
          <cell r="D212">
            <v>20230411</v>
          </cell>
          <cell r="E212">
            <v>100</v>
          </cell>
        </row>
        <row r="213">
          <cell r="A213" t="str">
            <v>BE6342089354</v>
          </cell>
          <cell r="B213" t="str">
            <v>Horizon KBC Dyn. Tol. Resp. Invest. Comf. Shares Dis (empty)</v>
          </cell>
          <cell r="C213" t="str">
            <v>EUR-DIV-COMFORT</v>
          </cell>
          <cell r="D213">
            <v>20230411</v>
          </cell>
          <cell r="E213">
            <v>100</v>
          </cell>
        </row>
        <row r="214">
          <cell r="A214" t="str">
            <v>BE6331696219</v>
          </cell>
          <cell r="B214" t="str">
            <v>Horizon KBC Dyn. Tol. Resp. Invest. Inst. F shares BG Cap</v>
          </cell>
          <cell r="C214" t="str">
            <v>EUR-KAP-INST.FBG</v>
          </cell>
          <cell r="D214">
            <v>20240404</v>
          </cell>
          <cell r="E214">
            <v>1104.67</v>
          </cell>
        </row>
        <row r="215">
          <cell r="A215" t="str">
            <v>BE6290507571</v>
          </cell>
          <cell r="B215" t="str">
            <v>Horizon KBC ExpertEase Dyn. Cap</v>
          </cell>
          <cell r="C215" t="str">
            <v>EUR-KAP-RETAIL</v>
          </cell>
          <cell r="D215">
            <v>20240404</v>
          </cell>
          <cell r="E215">
            <v>1200.97</v>
          </cell>
        </row>
        <row r="216">
          <cell r="A216" t="str">
            <v>BE6290508587</v>
          </cell>
          <cell r="B216" t="str">
            <v>Horizon KBC ExpertEase Dyn. Dis</v>
          </cell>
          <cell r="C216" t="str">
            <v>EUR-DIV-RETAIL</v>
          </cell>
          <cell r="D216">
            <v>20240404</v>
          </cell>
          <cell r="E216">
            <v>1092.1600000000001</v>
          </cell>
        </row>
        <row r="217">
          <cell r="A217" t="str">
            <v>BE6290493434</v>
          </cell>
          <cell r="B217" t="str">
            <v>Horizon KBC ExpertEase Dyn. Resp. Invest. Classic Shares Cap</v>
          </cell>
          <cell r="C217" t="str">
            <v>EUR-KAP-RETAIL</v>
          </cell>
          <cell r="D217">
            <v>20240404</v>
          </cell>
          <cell r="E217">
            <v>1193.1600000000001</v>
          </cell>
        </row>
        <row r="218">
          <cell r="A218" t="str">
            <v>BE6290494440</v>
          </cell>
          <cell r="B218" t="str">
            <v>Horizon KBC ExpertEase Dyn. Resp. Invest. Classic Shares Dis</v>
          </cell>
          <cell r="C218" t="str">
            <v>EUR-DIV-RETAIL</v>
          </cell>
          <cell r="D218">
            <v>20240404</v>
          </cell>
          <cell r="E218">
            <v>1078.72</v>
          </cell>
        </row>
        <row r="219">
          <cell r="A219" t="str">
            <v>BE6341894341</v>
          </cell>
          <cell r="B219" t="str">
            <v>Horizon KBC Highly Dyn. Classic Shares Cap</v>
          </cell>
          <cell r="C219" t="str">
            <v>EUR-KAP-CLASSIC</v>
          </cell>
          <cell r="D219">
            <v>20240404</v>
          </cell>
          <cell r="E219">
            <v>115.42</v>
          </cell>
        </row>
        <row r="220">
          <cell r="A220" t="str">
            <v>BE6302981186</v>
          </cell>
          <cell r="B220" t="str">
            <v>Horizon KBC Highly Dyn. Classic Shares CSOB Private Banking Cap</v>
          </cell>
          <cell r="C220" t="str">
            <v>EUR-KAP-CSOB PB</v>
          </cell>
          <cell r="D220">
            <v>20240404</v>
          </cell>
          <cell r="E220">
            <v>1365.46</v>
          </cell>
        </row>
        <row r="221">
          <cell r="A221" t="str">
            <v>BE6302982192</v>
          </cell>
          <cell r="B221" t="str">
            <v>Horizon KBC Highly Dyn. Classic Shares CSOB Private Banking Dis</v>
          </cell>
          <cell r="C221" t="str">
            <v>EUR-DIV-CSOB.PB</v>
          </cell>
          <cell r="D221">
            <v>20240404</v>
          </cell>
          <cell r="E221">
            <v>1233.8699999999999</v>
          </cell>
        </row>
        <row r="222">
          <cell r="A222" t="str">
            <v>BE6341895355</v>
          </cell>
          <cell r="B222" t="str">
            <v>Horizon KBC Highly Dyn. Classic Shares Dis</v>
          </cell>
          <cell r="C222" t="str">
            <v>EUR-DIV-CLASSIC</v>
          </cell>
          <cell r="D222">
            <v>20240404</v>
          </cell>
          <cell r="E222">
            <v>115.24</v>
          </cell>
        </row>
        <row r="223">
          <cell r="A223" t="str">
            <v>BE6343740377</v>
          </cell>
          <cell r="B223" t="str">
            <v>Horizon KBC Highly Dyn. Comf. Plus Shares Cap</v>
          </cell>
          <cell r="C223" t="str">
            <v>EUR-KAP-COMFORT.PLUS</v>
          </cell>
          <cell r="D223">
            <v>20240404</v>
          </cell>
          <cell r="E223">
            <v>112.98</v>
          </cell>
        </row>
        <row r="224">
          <cell r="A224" t="str">
            <v>BE6343739361</v>
          </cell>
          <cell r="B224" t="str">
            <v>Horizon KBC Highly Dyn. Comf. Plus Shares Dis</v>
          </cell>
          <cell r="C224" t="str">
            <v>EUR-DIV-COMFORT.PLUS</v>
          </cell>
          <cell r="D224">
            <v>20240404</v>
          </cell>
          <cell r="E224">
            <v>103.65</v>
          </cell>
        </row>
        <row r="225">
          <cell r="A225" t="str">
            <v>BE6292610266</v>
          </cell>
          <cell r="B225" t="str">
            <v>Horizon KBC Highly Dyn. Comf. Portf. Shares Cap</v>
          </cell>
          <cell r="C225" t="str">
            <v>EUR-KAP-COMF.PTF</v>
          </cell>
          <cell r="D225">
            <v>20240404</v>
          </cell>
          <cell r="E225">
            <v>1365.83</v>
          </cell>
        </row>
        <row r="226">
          <cell r="A226" t="str">
            <v>BE6292611272</v>
          </cell>
          <cell r="B226" t="str">
            <v>Horizon KBC Highly Dyn. Comf. Portf. Shares Dis</v>
          </cell>
          <cell r="C226" t="str">
            <v>EUR-DIV-COMF.PTF</v>
          </cell>
          <cell r="D226">
            <v>20240404</v>
          </cell>
          <cell r="E226">
            <v>1245.23</v>
          </cell>
        </row>
        <row r="227">
          <cell r="A227" t="str">
            <v>BE6343742399</v>
          </cell>
          <cell r="B227" t="str">
            <v>Horizon KBC Highly Dyn. Comf. Prime Shares Cap (empty)</v>
          </cell>
          <cell r="C227" t="str">
            <v>EUR-KAP-COMFORT.PRIME</v>
          </cell>
          <cell r="D227">
            <v>20230626</v>
          </cell>
          <cell r="E227">
            <v>100</v>
          </cell>
        </row>
        <row r="228">
          <cell r="A228" t="str">
            <v>BE6343741383</v>
          </cell>
          <cell r="B228" t="str">
            <v>Horizon KBC Highly Dyn. Comf. Prime Shares Dis (empty)</v>
          </cell>
          <cell r="C228" t="str">
            <v>EUR-DIV-COMFORT.PRIME</v>
          </cell>
          <cell r="D228">
            <v>20230626</v>
          </cell>
          <cell r="E228">
            <v>100</v>
          </cell>
        </row>
        <row r="229">
          <cell r="A229" t="str">
            <v>BE6341896361</v>
          </cell>
          <cell r="B229" t="str">
            <v>Horizon KBC Highly Dyn. Comf. Shares Cap</v>
          </cell>
          <cell r="C229" t="str">
            <v>EUR-KAP-COMFORT</v>
          </cell>
          <cell r="D229">
            <v>20240404</v>
          </cell>
          <cell r="E229">
            <v>115.06</v>
          </cell>
        </row>
        <row r="230">
          <cell r="A230" t="str">
            <v>BE6341897377</v>
          </cell>
          <cell r="B230" t="str">
            <v>Horizon KBC Highly Dyn. Comf. Shares Dis</v>
          </cell>
          <cell r="C230" t="str">
            <v>EUR-DIV-COMFORT</v>
          </cell>
          <cell r="D230">
            <v>20240404</v>
          </cell>
          <cell r="E230">
            <v>111.48</v>
          </cell>
        </row>
        <row r="231">
          <cell r="A231" t="str">
            <v>BE6335527691</v>
          </cell>
          <cell r="B231" t="str">
            <v>Horizon KBC Highly Dyn. Resp. Invest. Classic Shares Cap</v>
          </cell>
          <cell r="C231" t="str">
            <v>EUR-KAP-CLASSIC</v>
          </cell>
          <cell r="D231">
            <v>20240404</v>
          </cell>
          <cell r="E231">
            <v>217.05</v>
          </cell>
        </row>
        <row r="232">
          <cell r="A232" t="str">
            <v>BE6335528707</v>
          </cell>
          <cell r="B232" t="str">
            <v>Horizon KBC Highly Dyn. Resp. Invest. Classic Shares Dis</v>
          </cell>
          <cell r="C232" t="str">
            <v>EUR-DIV-CLASSIC</v>
          </cell>
          <cell r="D232">
            <v>20240404</v>
          </cell>
          <cell r="E232">
            <v>214.53</v>
          </cell>
        </row>
        <row r="233">
          <cell r="A233" t="str">
            <v>BE6343804041</v>
          </cell>
          <cell r="B233" t="str">
            <v>Horizon KBC Highly Dyn. Resp. Invest. Comf. Plus Shares Cap</v>
          </cell>
          <cell r="C233" t="str">
            <v>EUR-KAP-COMFORT.PLUS</v>
          </cell>
          <cell r="D233">
            <v>20240404</v>
          </cell>
          <cell r="E233">
            <v>112.72</v>
          </cell>
        </row>
        <row r="234">
          <cell r="A234" t="str">
            <v>BE6343802029</v>
          </cell>
          <cell r="B234" t="str">
            <v>Horizon KBC Highly Dyn. Resp. Invest. Comf. Plus Shares Dis</v>
          </cell>
          <cell r="C234" t="str">
            <v>EUR-DIV-COMFORT.PLUS</v>
          </cell>
          <cell r="D234">
            <v>20240404</v>
          </cell>
          <cell r="E234">
            <v>110.44</v>
          </cell>
        </row>
        <row r="235">
          <cell r="A235" t="str">
            <v>BE6319267082</v>
          </cell>
          <cell r="B235" t="str">
            <v>Horizon KBC Highly Dyn. Resp. Invest. Comf. Portf. Shares Cap</v>
          </cell>
          <cell r="C235" t="str">
            <v>EUR-KAP-COMF.PTF</v>
          </cell>
          <cell r="D235">
            <v>20240404</v>
          </cell>
          <cell r="E235">
            <v>1327.6</v>
          </cell>
        </row>
        <row r="236">
          <cell r="A236" t="str">
            <v>BE6319268098</v>
          </cell>
          <cell r="B236" t="str">
            <v>Horizon KBC Highly Dyn. Resp. Invest. Comf. Portf. Shares Dis</v>
          </cell>
          <cell r="C236" t="str">
            <v>EUR-DIV-COMF.PTF</v>
          </cell>
          <cell r="D236">
            <v>20240404</v>
          </cell>
          <cell r="E236">
            <v>1274.3399999999999</v>
          </cell>
        </row>
        <row r="237">
          <cell r="A237" t="str">
            <v>BE6343806061</v>
          </cell>
          <cell r="B237" t="str">
            <v>Horizon KBC Highly Dyn. Resp. Invest. Comf. Prime Shares Cap (empty)</v>
          </cell>
          <cell r="C237" t="str">
            <v>EUR-KAP-COMFORT.PRIME</v>
          </cell>
          <cell r="D237">
            <v>20230626</v>
          </cell>
          <cell r="E237">
            <v>100</v>
          </cell>
        </row>
        <row r="238">
          <cell r="A238" t="str">
            <v>BE6343805055</v>
          </cell>
          <cell r="B238" t="str">
            <v>Horizon KBC Highly Dyn. Resp. Invest. Comf. Prime Shares Dis (empty)</v>
          </cell>
          <cell r="C238" t="str">
            <v>EUR-DIV-COMFORT.PRIME</v>
          </cell>
          <cell r="D238">
            <v>20230626</v>
          </cell>
          <cell r="E238">
            <v>100</v>
          </cell>
        </row>
        <row r="239">
          <cell r="A239" t="str">
            <v>BE6342086327</v>
          </cell>
          <cell r="B239" t="str">
            <v>Horizon KBC Highly Dyn. Resp. Invest. Comf. Shares Cap</v>
          </cell>
          <cell r="C239" t="str">
            <v>EUR-KAP-COMFORT</v>
          </cell>
          <cell r="D239">
            <v>20240404</v>
          </cell>
          <cell r="E239">
            <v>114.42</v>
          </cell>
        </row>
        <row r="240">
          <cell r="A240" t="str">
            <v>BE6342087333</v>
          </cell>
          <cell r="B240" t="str">
            <v>Horizon KBC Highly Dyn. Resp. Invest. Comf. Shares Dis</v>
          </cell>
          <cell r="C240" t="str">
            <v>EUR-DIV-COMFORT</v>
          </cell>
          <cell r="D240">
            <v>20240404</v>
          </cell>
          <cell r="E240">
            <v>114.17</v>
          </cell>
        </row>
        <row r="241">
          <cell r="A241" t="str">
            <v>BE6334473822</v>
          </cell>
          <cell r="B241" t="str">
            <v>Horizon KBC Highly Dyn. Resp. Invest. Inst. Shares Cap</v>
          </cell>
          <cell r="C241" t="str">
            <v>EUR-KAP-INSTIT.F</v>
          </cell>
          <cell r="D241">
            <v>20240404</v>
          </cell>
          <cell r="E241">
            <v>1173.25</v>
          </cell>
        </row>
        <row r="242">
          <cell r="A242" t="str">
            <v>BE6307326957</v>
          </cell>
          <cell r="B242" t="str">
            <v>Horizon KBC Highly Dyn. Tol. Classic Shares Cap</v>
          </cell>
          <cell r="C242" t="str">
            <v>EUR-KAP-RETAIL</v>
          </cell>
          <cell r="D242">
            <v>20240404</v>
          </cell>
          <cell r="E242">
            <v>1191.43</v>
          </cell>
        </row>
        <row r="243">
          <cell r="A243" t="str">
            <v>BE6307327963</v>
          </cell>
          <cell r="B243" t="str">
            <v>Horizon KBC Highly Dyn. Tol. Classic Shares Dis</v>
          </cell>
          <cell r="C243" t="str">
            <v>EUR-DIV-RETAIL</v>
          </cell>
          <cell r="D243">
            <v>20240404</v>
          </cell>
          <cell r="E243">
            <v>1101.92</v>
          </cell>
        </row>
        <row r="244">
          <cell r="A244" t="str">
            <v>BE6343752497</v>
          </cell>
          <cell r="B244" t="str">
            <v>Horizon KBC Highly Dyn. Tol. Comf. Plus Shares Cap (empty)</v>
          </cell>
          <cell r="C244" t="str">
            <v>EUR-KAP-COMFORT.PLUS</v>
          </cell>
          <cell r="D244">
            <v>20230626</v>
          </cell>
          <cell r="E244">
            <v>100</v>
          </cell>
        </row>
        <row r="245">
          <cell r="A245" t="str">
            <v>BE6343743405</v>
          </cell>
          <cell r="B245" t="str">
            <v>Horizon KBC Highly Dyn. Tol. Comf. Plus Shares Dis (empty)</v>
          </cell>
          <cell r="C245" t="str">
            <v>EUR-DIV-COMFORT.PLUS</v>
          </cell>
          <cell r="D245">
            <v>20230626</v>
          </cell>
          <cell r="E245">
            <v>100</v>
          </cell>
        </row>
        <row r="246">
          <cell r="A246" t="str">
            <v>BE6311859696</v>
          </cell>
          <cell r="B246" t="str">
            <v>Horizon KBC Highly Dyn. Tol. Comf. Portf. Shares Cap</v>
          </cell>
          <cell r="C246" t="str">
            <v>EUR-KAP-COMF.PTF</v>
          </cell>
          <cell r="D246">
            <v>20240404</v>
          </cell>
          <cell r="E246">
            <v>1200.5999999999999</v>
          </cell>
        </row>
        <row r="247">
          <cell r="A247" t="str">
            <v>BE6311860702</v>
          </cell>
          <cell r="B247" t="str">
            <v>Horizon KBC Highly Dyn. Tol. Comf. Portf. Shares Dis</v>
          </cell>
          <cell r="C247" t="str">
            <v>EUR-DIV-COMF.PTF</v>
          </cell>
          <cell r="D247">
            <v>20240404</v>
          </cell>
          <cell r="E247">
            <v>1161.42</v>
          </cell>
        </row>
        <row r="248">
          <cell r="A248" t="str">
            <v>BE6343754519</v>
          </cell>
          <cell r="B248" t="str">
            <v>Horizon KBC Highly Dyn. Tol. Comf. Prime Shares Cap (empty)</v>
          </cell>
          <cell r="C248" t="str">
            <v>EUR-KAP-COMFORT.PRIME</v>
          </cell>
          <cell r="D248">
            <v>20230626</v>
          </cell>
          <cell r="E248">
            <v>100</v>
          </cell>
        </row>
        <row r="249">
          <cell r="A249" t="str">
            <v>BE6343753503</v>
          </cell>
          <cell r="B249" t="str">
            <v>Horizon KBC Highly Dyn. Tol. Comf. Prime Shares Dis (empty)</v>
          </cell>
          <cell r="C249" t="str">
            <v>EUR-DIV-COMFORT.PRIME</v>
          </cell>
          <cell r="D249">
            <v>20230626</v>
          </cell>
          <cell r="E249">
            <v>100</v>
          </cell>
        </row>
        <row r="250">
          <cell r="A250" t="str">
            <v>BE6341957973</v>
          </cell>
          <cell r="B250" t="str">
            <v>Horizon KBC Highly Dyn. Tol. Comf. Shares Cap (empty)</v>
          </cell>
          <cell r="C250" t="str">
            <v>EUR-KAP-COMFORT</v>
          </cell>
          <cell r="D250">
            <v>20230411</v>
          </cell>
          <cell r="E250">
            <v>100</v>
          </cell>
        </row>
        <row r="251">
          <cell r="A251" t="str">
            <v>BE6341958013</v>
          </cell>
          <cell r="B251" t="str">
            <v>Horizon KBC Highly Dyn. Tol. Comf. Shares Dis (empty)</v>
          </cell>
          <cell r="C251" t="str">
            <v>EUR-DIV-COMFORT</v>
          </cell>
          <cell r="D251">
            <v>20230411</v>
          </cell>
          <cell r="E251">
            <v>100</v>
          </cell>
        </row>
        <row r="252">
          <cell r="A252" t="str">
            <v>BE6324093812</v>
          </cell>
          <cell r="B252" t="str">
            <v>Horizon KBC Highly Dyn. Tol. Inst. F shares BG BGN Cap</v>
          </cell>
          <cell r="C252" t="str">
            <v>BGN-KAP-INST.FBG</v>
          </cell>
          <cell r="D252">
            <v>20240404</v>
          </cell>
          <cell r="E252">
            <v>1076.97</v>
          </cell>
        </row>
        <row r="253">
          <cell r="A253" t="str">
            <v>BE6324094828</v>
          </cell>
          <cell r="B253" t="str">
            <v>Horizon KBC Highly Dyn. Tol. Inst. F shares BG EUR Cap</v>
          </cell>
          <cell r="C253" t="str">
            <v>EUR-KAP-INST.FBG</v>
          </cell>
          <cell r="D253">
            <v>20240404</v>
          </cell>
          <cell r="E253">
            <v>1076.33</v>
          </cell>
        </row>
        <row r="254">
          <cell r="A254" t="str">
            <v>BE6307336089</v>
          </cell>
          <cell r="B254" t="str">
            <v>Horizon KBC Highly Dyn. Tol. Resp. Invest. Classic Shares Cap</v>
          </cell>
          <cell r="C254" t="str">
            <v>EUR-KAP-RETAIL</v>
          </cell>
          <cell r="D254">
            <v>20240404</v>
          </cell>
          <cell r="E254">
            <v>1165.1199999999999</v>
          </cell>
        </row>
        <row r="255">
          <cell r="A255" t="str">
            <v>BE6307337095</v>
          </cell>
          <cell r="B255" t="str">
            <v>Horizon KBC Highly Dyn. Tol. Resp. Invest. Classic Shares Dis</v>
          </cell>
          <cell r="C255" t="str">
            <v>EUR-DIV-RETAIL</v>
          </cell>
          <cell r="D255">
            <v>20240404</v>
          </cell>
          <cell r="E255">
            <v>1090.27</v>
          </cell>
        </row>
        <row r="256">
          <cell r="A256" t="str">
            <v>BE6343808083</v>
          </cell>
          <cell r="B256" t="str">
            <v>Horizon KBC Highly Dyn. Tol. Resp. Invest. Comf. Plus Shares Cap (empty)</v>
          </cell>
          <cell r="C256" t="str">
            <v>EUR-KAP-COMFORT.PLUS</v>
          </cell>
          <cell r="D256">
            <v>20230626</v>
          </cell>
          <cell r="E256">
            <v>100</v>
          </cell>
        </row>
        <row r="257">
          <cell r="A257" t="str">
            <v>BE6343807077</v>
          </cell>
          <cell r="B257" t="str">
            <v>Horizon KBC Highly Dyn. Tol. Resp. Invest. Comf. Plus Shares Dis (empty)</v>
          </cell>
          <cell r="C257" t="str">
            <v>EUR-DIV-COMFORT.PLUS</v>
          </cell>
          <cell r="D257">
            <v>20230626</v>
          </cell>
          <cell r="E257">
            <v>100</v>
          </cell>
        </row>
        <row r="258">
          <cell r="A258" t="str">
            <v>BE6311861718</v>
          </cell>
          <cell r="B258" t="str">
            <v>Horizon KBC Highly Dyn. Tol. Resp. Invest. Comf. Portf. Shares Cap</v>
          </cell>
          <cell r="C258" t="str">
            <v>EUR-KAP-COMF.PTF</v>
          </cell>
          <cell r="D258">
            <v>20240404</v>
          </cell>
          <cell r="E258">
            <v>1174.71</v>
          </cell>
        </row>
        <row r="259">
          <cell r="A259" t="str">
            <v>BE6311862724</v>
          </cell>
          <cell r="B259" t="str">
            <v>Horizon KBC Highly Dyn. Tol. Resp. Invest. Comf. Portf. Shares Dis</v>
          </cell>
          <cell r="C259" t="str">
            <v>EUR-DIV-COMF.PTF</v>
          </cell>
          <cell r="D259">
            <v>20240404</v>
          </cell>
          <cell r="E259">
            <v>1101.28</v>
          </cell>
        </row>
        <row r="260">
          <cell r="A260" t="str">
            <v>BE6343810105</v>
          </cell>
          <cell r="B260" t="str">
            <v>Horizon KBC Highly Dyn. Tol. Resp. Invest. Comf. Prime Shares Cap (empty)</v>
          </cell>
          <cell r="C260" t="str">
            <v>EUR-KAP-COMFORT.PRIME</v>
          </cell>
          <cell r="D260">
            <v>20230626</v>
          </cell>
          <cell r="E260">
            <v>100</v>
          </cell>
        </row>
        <row r="261">
          <cell r="A261" t="str">
            <v>BE6343809099</v>
          </cell>
          <cell r="B261" t="str">
            <v>Horizon KBC Highly Dyn. Tol. Resp. Invest. Comf. Prime Shares Dis (empty)</v>
          </cell>
          <cell r="C261" t="str">
            <v>EUR-DIV-COMFORT.PRIME</v>
          </cell>
          <cell r="D261">
            <v>20230626</v>
          </cell>
          <cell r="E261">
            <v>100</v>
          </cell>
        </row>
        <row r="262">
          <cell r="A262" t="str">
            <v>BE6342090360</v>
          </cell>
          <cell r="B262" t="str">
            <v>Horizon KBC Highly Dyn. Tol. Resp. Invest. Comf. Shares Cap</v>
          </cell>
          <cell r="C262" t="str">
            <v>EUR-KAP-COMFORT</v>
          </cell>
          <cell r="D262">
            <v>20240404</v>
          </cell>
          <cell r="E262">
            <v>112.35</v>
          </cell>
        </row>
        <row r="263">
          <cell r="A263" t="str">
            <v>BE6342091376</v>
          </cell>
          <cell r="B263" t="str">
            <v>Horizon KBC Highly Dyn. Tol. Resp. Invest. Comf. Shares Dis (empty)</v>
          </cell>
          <cell r="C263" t="str">
            <v>EUR-DIV-COMFORT</v>
          </cell>
          <cell r="D263">
            <v>20230411</v>
          </cell>
          <cell r="E263">
            <v>100</v>
          </cell>
        </row>
        <row r="264">
          <cell r="A264" t="str">
            <v>BE6331698231</v>
          </cell>
          <cell r="B264" t="str">
            <v>Horizon KBC Highly Dyn. Tol. Resp. Invest. Inst. F shares BG Cap</v>
          </cell>
          <cell r="C264" t="str">
            <v>EUR-KAP-INST.FBG</v>
          </cell>
          <cell r="D264">
            <v>20240404</v>
          </cell>
          <cell r="E264">
            <v>1129.02</v>
          </cell>
        </row>
        <row r="265">
          <cell r="A265" t="str">
            <v>BE6328051626</v>
          </cell>
          <cell r="B265" t="str">
            <v>Horizon Platinum Portf. Classic Shares Cap (empty)</v>
          </cell>
          <cell r="C265" t="str">
            <v>BGN-KAP-RETAIL</v>
          </cell>
          <cell r="D265">
            <v>20211118</v>
          </cell>
          <cell r="E265">
            <v>1000</v>
          </cell>
        </row>
        <row r="266">
          <cell r="A266" t="str">
            <v>BE6328052632</v>
          </cell>
          <cell r="B266" t="str">
            <v>Horizon Platinum Portf. Inst. F shares BG Cap</v>
          </cell>
          <cell r="C266" t="str">
            <v>BGN-KAP-INST.FBG</v>
          </cell>
          <cell r="D266">
            <v>20240404</v>
          </cell>
          <cell r="E266">
            <v>976.1</v>
          </cell>
        </row>
        <row r="267">
          <cell r="A267" t="str">
            <v>BE6227978937</v>
          </cell>
          <cell r="B267" t="str">
            <v>Horizon Private Banking Active Stock Sel. Cap</v>
          </cell>
          <cell r="C267" t="str">
            <v>EUR-KAP-RETAIL</v>
          </cell>
          <cell r="D267">
            <v>20240404</v>
          </cell>
          <cell r="E267">
            <v>2237.5500000000002</v>
          </cell>
        </row>
        <row r="268">
          <cell r="A268" t="str">
            <v>BE6227979943</v>
          </cell>
          <cell r="B268" t="str">
            <v>Horizon Private Banking Active Stock Sel. Dis</v>
          </cell>
          <cell r="C268" t="str">
            <v>EUR-DIV-RETAIL</v>
          </cell>
          <cell r="D268">
            <v>20240404</v>
          </cell>
          <cell r="E268">
            <v>1838.5</v>
          </cell>
        </row>
        <row r="269">
          <cell r="A269" t="str">
            <v>BE0945926799</v>
          </cell>
          <cell r="B269" t="str">
            <v>Horizon Privil. Portf. Def. Cap</v>
          </cell>
          <cell r="C269" t="str">
            <v>EUR-KAP-RETAIL</v>
          </cell>
          <cell r="D269">
            <v>20240404</v>
          </cell>
          <cell r="E269">
            <v>343.84</v>
          </cell>
        </row>
        <row r="270">
          <cell r="A270" t="str">
            <v>BE0945925783</v>
          </cell>
          <cell r="B270" t="str">
            <v>Horizon Privil. Portf. Dyn. Cap</v>
          </cell>
          <cell r="C270" t="str">
            <v>EUR-KAP-RETAIL</v>
          </cell>
          <cell r="D270">
            <v>20240404</v>
          </cell>
          <cell r="E270">
            <v>405.68</v>
          </cell>
        </row>
        <row r="271">
          <cell r="A271" t="str">
            <v>BE0945923762</v>
          </cell>
          <cell r="B271" t="str">
            <v>Horizon Privil. Portf. Dyn. High Cap</v>
          </cell>
          <cell r="C271" t="str">
            <v>EUR-KAP-RETAIL</v>
          </cell>
          <cell r="D271">
            <v>20240404</v>
          </cell>
          <cell r="E271">
            <v>451.75</v>
          </cell>
        </row>
        <row r="272">
          <cell r="A272" t="str">
            <v>BE0946343119</v>
          </cell>
          <cell r="B272" t="str">
            <v>Horizon Privil. Portf. Pro 90 August Cap</v>
          </cell>
          <cell r="C272" t="str">
            <v>EUR-KAP-RETAIL</v>
          </cell>
          <cell r="D272">
            <v>20240404</v>
          </cell>
          <cell r="E272">
            <v>334.57</v>
          </cell>
        </row>
        <row r="273">
          <cell r="A273" t="str">
            <v>BE0945921741</v>
          </cell>
          <cell r="B273" t="str">
            <v>Horizon Privil. Portf. Pro 90 February Cap</v>
          </cell>
          <cell r="C273" t="str">
            <v>EUR-KAP-RETAIL</v>
          </cell>
          <cell r="D273">
            <v>20240404</v>
          </cell>
          <cell r="E273">
            <v>365.8</v>
          </cell>
        </row>
        <row r="274">
          <cell r="A274" t="str">
            <v>BE0946104636</v>
          </cell>
          <cell r="B274" t="str">
            <v>Horizon Privil. Portf. Pro 90 May Cap</v>
          </cell>
          <cell r="C274" t="str">
            <v>EUR-KAP-RETAIL</v>
          </cell>
          <cell r="D274">
            <v>20240404</v>
          </cell>
          <cell r="E274">
            <v>380.91</v>
          </cell>
        </row>
        <row r="275">
          <cell r="A275" t="str">
            <v>BE0946433043</v>
          </cell>
          <cell r="B275" t="str">
            <v>Horizon Privil. Portf. Pro 90 November Cap</v>
          </cell>
          <cell r="C275" t="str">
            <v>EUR-KAP-RETAIL</v>
          </cell>
          <cell r="D275">
            <v>20240404</v>
          </cell>
          <cell r="E275">
            <v>366.37</v>
          </cell>
        </row>
        <row r="276">
          <cell r="A276" t="str">
            <v>BE6336589641</v>
          </cell>
          <cell r="B276" t="str">
            <v>Horizon Start 100 Cap</v>
          </cell>
          <cell r="C276" t="str">
            <v>EUR-KAP-CS.EUR</v>
          </cell>
          <cell r="D276">
            <v>20240328</v>
          </cell>
          <cell r="E276">
            <v>11.04</v>
          </cell>
        </row>
        <row r="277">
          <cell r="A277" t="str">
            <v>BE6342443015</v>
          </cell>
          <cell r="B277" t="str">
            <v>Horizon Start 100 Plus Cap</v>
          </cell>
          <cell r="C277" t="str">
            <v>EUR-KAP-RETAIL</v>
          </cell>
          <cell r="D277">
            <v>20240328</v>
          </cell>
          <cell r="E277">
            <v>10.94</v>
          </cell>
        </row>
        <row r="278">
          <cell r="A278" t="str">
            <v>BE0946766467</v>
          </cell>
          <cell r="B278" t="str">
            <v>Horizon Strategisch Obligatiedepot Resp. Invest. Classic Shares Dis</v>
          </cell>
          <cell r="C278" t="str">
            <v>EUR-DIV-RETAIL</v>
          </cell>
          <cell r="D278">
            <v>20240404</v>
          </cell>
          <cell r="E278">
            <v>469.18</v>
          </cell>
        </row>
        <row r="279">
          <cell r="A279" t="str">
            <v>BE6337352510</v>
          </cell>
          <cell r="B279" t="str">
            <v>Horizon Strategisch Obligatiedepot Resp. Invest. Discr. Shares Dis</v>
          </cell>
          <cell r="C279" t="str">
            <v>EUR-DIV-DISCR.SHARES</v>
          </cell>
          <cell r="D279">
            <v>20240404</v>
          </cell>
          <cell r="E279">
            <v>1025.73</v>
          </cell>
        </row>
        <row r="280">
          <cell r="A280" t="str">
            <v>BE6275363453</v>
          </cell>
          <cell r="B280" t="str">
            <v>Horizon USD Low Cap</v>
          </cell>
          <cell r="C280" t="str">
            <v>USD-KAP-RETAIL</v>
          </cell>
          <cell r="D280">
            <v>20240404</v>
          </cell>
          <cell r="E280">
            <v>127.49</v>
          </cell>
        </row>
        <row r="281">
          <cell r="A281" t="str">
            <v>BE0175210286</v>
          </cell>
          <cell r="B281" t="str">
            <v>IN.flanders Employment Fund IN.flanders Employment Fund Resp. Invest. Cap</v>
          </cell>
          <cell r="C281" t="str">
            <v>EUR-KAP-RETAIL</v>
          </cell>
          <cell r="D281">
            <v>20240404</v>
          </cell>
          <cell r="E281">
            <v>216.73</v>
          </cell>
        </row>
        <row r="282">
          <cell r="A282" t="str">
            <v>BE0175209270</v>
          </cell>
          <cell r="B282" t="str">
            <v>IN.flanders Employment Fund IN.flanders Employment Fund Resp. Invest. Dis</v>
          </cell>
          <cell r="C282" t="str">
            <v>EUR-DIV-RETAIL</v>
          </cell>
          <cell r="D282">
            <v>20240404</v>
          </cell>
          <cell r="E282">
            <v>122.78</v>
          </cell>
        </row>
        <row r="283">
          <cell r="A283" t="str">
            <v>BE6284729025</v>
          </cell>
          <cell r="B283" t="str">
            <v>IN.focus Income Portf. Dis</v>
          </cell>
          <cell r="C283" t="str">
            <v>EUR-DIV-RETAIL</v>
          </cell>
          <cell r="D283">
            <v>20240404</v>
          </cell>
          <cell r="E283">
            <v>859.08</v>
          </cell>
        </row>
        <row r="284">
          <cell r="A284" t="str">
            <v>BE6271861351</v>
          </cell>
          <cell r="B284" t="str">
            <v>IN.focus Private Banking Active Income Sel. Dis</v>
          </cell>
          <cell r="C284" t="str">
            <v>EUR-DIV-RETAIL</v>
          </cell>
          <cell r="D284">
            <v>20240404</v>
          </cell>
          <cell r="E284">
            <v>917.28</v>
          </cell>
        </row>
        <row r="285">
          <cell r="A285" t="str">
            <v>BE6266959806</v>
          </cell>
          <cell r="B285" t="str">
            <v>KBC B-Assured KBC B-Assured Def. Conservative Resp. Invest. Cap</v>
          </cell>
          <cell r="C285" t="str">
            <v>LUX-KAP3-EUR</v>
          </cell>
          <cell r="D285">
            <v>20240403</v>
          </cell>
          <cell r="E285">
            <v>999.87</v>
          </cell>
        </row>
        <row r="286">
          <cell r="A286" t="str">
            <v>BE6266960812</v>
          </cell>
          <cell r="B286" t="str">
            <v>KBC B-Assured KBC B-Assured Dyn. Cap</v>
          </cell>
          <cell r="C286" t="str">
            <v>LUX-KAP3-EUR</v>
          </cell>
          <cell r="D286">
            <v>20240403</v>
          </cell>
          <cell r="E286">
            <v>1161.48</v>
          </cell>
        </row>
        <row r="287">
          <cell r="A287" t="str">
            <v>LU0052032520</v>
          </cell>
          <cell r="B287" t="str">
            <v>KBC Bonds Capital Fund Cap</v>
          </cell>
          <cell r="C287" t="str">
            <v>KAP</v>
          </cell>
          <cell r="D287">
            <v>20240404</v>
          </cell>
          <cell r="E287">
            <v>874.91</v>
          </cell>
        </row>
        <row r="288">
          <cell r="A288" t="str">
            <v>LU0052032793</v>
          </cell>
          <cell r="B288" t="str">
            <v>KBC Bonds Capital Fund Dis</v>
          </cell>
          <cell r="C288" t="str">
            <v>DIV</v>
          </cell>
          <cell r="D288">
            <v>20240404</v>
          </cell>
          <cell r="E288">
            <v>435.42</v>
          </cell>
        </row>
        <row r="289">
          <cell r="A289" t="str">
            <v>LU1911614912</v>
          </cell>
          <cell r="B289" t="str">
            <v>KBC Bonds Capital Fund Inst. B Shares Cap (empty)</v>
          </cell>
          <cell r="C289" t="str">
            <v>EUR-KAP-INSTIT.B</v>
          </cell>
          <cell r="D289">
            <v>20200923</v>
          </cell>
          <cell r="E289">
            <v>1117.55</v>
          </cell>
        </row>
        <row r="290">
          <cell r="A290" t="str">
            <v>LU1687404845</v>
          </cell>
          <cell r="B290" t="str">
            <v>KBC Bonds Capital Fund Inst. F Shares</v>
          </cell>
          <cell r="C290" t="str">
            <v>EUR-KAP-INSTIT.F</v>
          </cell>
          <cell r="D290">
            <v>20230515</v>
          </cell>
          <cell r="E290">
            <v>940.53510000000006</v>
          </cell>
        </row>
        <row r="291">
          <cell r="A291" t="str">
            <v>LU0098296873</v>
          </cell>
          <cell r="B291" t="str">
            <v>KBC Bonds Convertibles Cap</v>
          </cell>
          <cell r="C291" t="str">
            <v>KAP</v>
          </cell>
          <cell r="D291">
            <v>20240404</v>
          </cell>
          <cell r="E291">
            <v>885.06</v>
          </cell>
        </row>
        <row r="292">
          <cell r="A292" t="str">
            <v>LU0098298069</v>
          </cell>
          <cell r="B292" t="str">
            <v>KBC Bonds Convertibles Dis</v>
          </cell>
          <cell r="C292" t="str">
            <v>DIV</v>
          </cell>
          <cell r="D292">
            <v>20240404</v>
          </cell>
          <cell r="E292">
            <v>654.51</v>
          </cell>
        </row>
        <row r="293">
          <cell r="A293" t="str">
            <v>LU0276281929</v>
          </cell>
          <cell r="B293" t="str">
            <v>KBC Bonds Convertibles Euro Hedged Cap</v>
          </cell>
          <cell r="C293" t="str">
            <v>KAP2</v>
          </cell>
          <cell r="D293">
            <v>20240404</v>
          </cell>
          <cell r="E293">
            <v>669.33</v>
          </cell>
        </row>
        <row r="294">
          <cell r="A294" t="str">
            <v>LU0276282141</v>
          </cell>
          <cell r="B294" t="str">
            <v>KBC Bonds Convertibles Euro Hedged Dis</v>
          </cell>
          <cell r="C294" t="str">
            <v>DIV2</v>
          </cell>
          <cell r="D294">
            <v>20240404</v>
          </cell>
          <cell r="E294">
            <v>499.32</v>
          </cell>
        </row>
        <row r="295">
          <cell r="A295" t="str">
            <v>LU2743101979</v>
          </cell>
          <cell r="B295" t="str">
            <v>KBC Bonds Convertibles Euro Hedged Inst. Discr. Shares Cap (empty)</v>
          </cell>
          <cell r="C295" t="str">
            <v>EUR-KAP-EURHEDGINSTDISCR</v>
          </cell>
          <cell r="D295">
            <v>20240222</v>
          </cell>
          <cell r="E295">
            <v>100</v>
          </cell>
        </row>
        <row r="296">
          <cell r="A296" t="str">
            <v>LU2743101896</v>
          </cell>
          <cell r="B296" t="str">
            <v>KBC Bonds Convertibles Euro Hedged Inst. Discr. Shares Dis (empty)</v>
          </cell>
          <cell r="C296" t="str">
            <v>EUR-DIV-EURHEGHINSTDICR</v>
          </cell>
          <cell r="D296">
            <v>20240222</v>
          </cell>
          <cell r="E296">
            <v>100</v>
          </cell>
        </row>
        <row r="297">
          <cell r="A297" t="str">
            <v>LU0702681833</v>
          </cell>
          <cell r="B297" t="str">
            <v>KBC Bonds Convertibles Inst. B Shares Cap (empty)</v>
          </cell>
          <cell r="C297" t="str">
            <v>EUR-KAP-INSTIT.B</v>
          </cell>
          <cell r="D297">
            <v>20190220</v>
          </cell>
          <cell r="E297">
            <v>849.876983</v>
          </cell>
        </row>
        <row r="298">
          <cell r="A298" t="str">
            <v>LU2743100229</v>
          </cell>
          <cell r="B298" t="str">
            <v>KBC Bonds Convertibles Inst. Discr. Shares Cap (empty)</v>
          </cell>
          <cell r="C298" t="str">
            <v>EUR-KAP-INST.DISCR</v>
          </cell>
          <cell r="D298">
            <v>20240222</v>
          </cell>
          <cell r="E298">
            <v>100</v>
          </cell>
        </row>
        <row r="299">
          <cell r="A299" t="str">
            <v>LU2743102191</v>
          </cell>
          <cell r="B299" t="str">
            <v>KBC Bonds Convertibles Inst. Discr. Shares Dis (empty)</v>
          </cell>
          <cell r="C299" t="str">
            <v>EUR-DIV-INST.DISCR</v>
          </cell>
          <cell r="D299">
            <v>20240222</v>
          </cell>
          <cell r="E299">
            <v>100</v>
          </cell>
        </row>
        <row r="300">
          <cell r="A300" t="str">
            <v>LU0094437620</v>
          </cell>
          <cell r="B300" t="str">
            <v>KBC Bonds Corporates Euro Cap</v>
          </cell>
          <cell r="C300" t="str">
            <v>KAP</v>
          </cell>
          <cell r="D300">
            <v>20240404</v>
          </cell>
          <cell r="E300">
            <v>863.88</v>
          </cell>
        </row>
        <row r="301">
          <cell r="A301" t="str">
            <v>LU0094437893</v>
          </cell>
          <cell r="B301" t="str">
            <v>KBC Bonds Corporates Euro Dis</v>
          </cell>
          <cell r="C301" t="str">
            <v>DIV</v>
          </cell>
          <cell r="D301">
            <v>20240404</v>
          </cell>
          <cell r="E301">
            <v>372.09</v>
          </cell>
        </row>
        <row r="302">
          <cell r="A302" t="str">
            <v>LU0702682054</v>
          </cell>
          <cell r="B302" t="str">
            <v>KBC Bonds Corporates Euro Inst. B Shares Cap</v>
          </cell>
          <cell r="C302" t="str">
            <v>EUR-KAP-INSTIT.B</v>
          </cell>
          <cell r="D302">
            <v>20240404</v>
          </cell>
          <cell r="E302">
            <v>894.02</v>
          </cell>
        </row>
        <row r="303">
          <cell r="A303" t="str">
            <v>LU0203907273</v>
          </cell>
          <cell r="B303" t="str">
            <v>KBC Bonds Corporates Euro Inst. Shares Dis (empty)</v>
          </cell>
        </row>
        <row r="304">
          <cell r="A304" t="str">
            <v>LU0909309238</v>
          </cell>
          <cell r="B304" t="str">
            <v>KBC Bonds Corporates Euro PLN (empty)</v>
          </cell>
        </row>
        <row r="305">
          <cell r="A305" t="str">
            <v>LU0106101842</v>
          </cell>
          <cell r="B305" t="str">
            <v>KBC Bonds Corporates USD Cap</v>
          </cell>
          <cell r="C305" t="str">
            <v>KAP</v>
          </cell>
          <cell r="D305">
            <v>20240404</v>
          </cell>
          <cell r="E305">
            <v>1245.01</v>
          </cell>
        </row>
        <row r="306">
          <cell r="A306" t="str">
            <v>LU0106102063</v>
          </cell>
          <cell r="B306" t="str">
            <v>KBC Bonds Corporates USD Dis</v>
          </cell>
          <cell r="C306" t="str">
            <v>DIV</v>
          </cell>
          <cell r="D306">
            <v>20240404</v>
          </cell>
          <cell r="E306">
            <v>451.21</v>
          </cell>
        </row>
        <row r="307">
          <cell r="A307" t="str">
            <v>LU0702681320</v>
          </cell>
          <cell r="B307" t="str">
            <v>KBC Bonds Corporates USD Inst. B Shares Cap</v>
          </cell>
          <cell r="C307" t="str">
            <v>USD-KAP-INSTIT.B</v>
          </cell>
          <cell r="D307">
            <v>20240404</v>
          </cell>
          <cell r="E307">
            <v>1290.33</v>
          </cell>
        </row>
        <row r="308">
          <cell r="A308" t="str">
            <v>LU2743101623</v>
          </cell>
          <cell r="B308" t="str">
            <v>KBC Bonds Corporates USD Inst. Discr. Shares Cap (empty)</v>
          </cell>
          <cell r="C308" t="str">
            <v>EUR-KAP-INST.DISCR</v>
          </cell>
          <cell r="D308">
            <v>20240222</v>
          </cell>
          <cell r="E308">
            <v>100</v>
          </cell>
        </row>
        <row r="309">
          <cell r="A309" t="str">
            <v>LU2743101540</v>
          </cell>
          <cell r="B309" t="str">
            <v>KBC Bonds Corporates USD Inst. Discr. Shares Dis (empty)</v>
          </cell>
          <cell r="C309" t="str">
            <v>EUR-DIV-INST.DISCR</v>
          </cell>
          <cell r="D309">
            <v>20240222</v>
          </cell>
          <cell r="E309">
            <v>100</v>
          </cell>
        </row>
        <row r="310">
          <cell r="A310" t="str">
            <v>LU0909309311</v>
          </cell>
          <cell r="B310" t="str">
            <v>KBC Bonds Corporates USD PLN (empty)</v>
          </cell>
        </row>
        <row r="311">
          <cell r="A311" t="str">
            <v>LU0145227863</v>
          </cell>
          <cell r="B311" t="str">
            <v>KBC Bonds Emerging Europe Cap</v>
          </cell>
          <cell r="C311" t="str">
            <v>KAP</v>
          </cell>
          <cell r="D311">
            <v>20240404</v>
          </cell>
          <cell r="E311">
            <v>657.85</v>
          </cell>
        </row>
        <row r="312">
          <cell r="A312" t="str">
            <v>LU0145228085</v>
          </cell>
          <cell r="B312" t="str">
            <v>KBC Bonds Emerging Europe Dis</v>
          </cell>
          <cell r="C312" t="str">
            <v>DIV</v>
          </cell>
          <cell r="D312">
            <v>20240404</v>
          </cell>
          <cell r="E312">
            <v>214.4</v>
          </cell>
        </row>
        <row r="313">
          <cell r="A313" t="str">
            <v>LU0702682567</v>
          </cell>
          <cell r="B313" t="str">
            <v>KBC Bonds Emerging Europe Inst. B Shares Cap</v>
          </cell>
          <cell r="C313" t="str">
            <v>EUR-KAP-INSTIT.B</v>
          </cell>
          <cell r="D313">
            <v>20240404</v>
          </cell>
          <cell r="E313">
            <v>825.07</v>
          </cell>
        </row>
        <row r="314">
          <cell r="A314" t="str">
            <v>LU0337260151</v>
          </cell>
          <cell r="B314" t="str">
            <v>KBC Bonds Emerging Europe USD Frequent Dividend Dis</v>
          </cell>
          <cell r="C314" t="str">
            <v>DIV2</v>
          </cell>
          <cell r="D314">
            <v>20240404</v>
          </cell>
          <cell r="E314">
            <v>225.44</v>
          </cell>
        </row>
        <row r="315">
          <cell r="A315" t="str">
            <v>LU0082283374</v>
          </cell>
          <cell r="B315" t="str">
            <v>KBC Bonds Emerging Markets Cap</v>
          </cell>
          <cell r="C315" t="str">
            <v>KAP</v>
          </cell>
          <cell r="D315">
            <v>20240404</v>
          </cell>
          <cell r="E315">
            <v>2467.37</v>
          </cell>
        </row>
        <row r="316">
          <cell r="A316" t="str">
            <v>LU0082283614</v>
          </cell>
          <cell r="B316" t="str">
            <v>KBC Bonds Emerging Markets Dis</v>
          </cell>
          <cell r="C316" t="str">
            <v>DIV</v>
          </cell>
          <cell r="D316">
            <v>20240404</v>
          </cell>
          <cell r="E316">
            <v>458.07</v>
          </cell>
        </row>
        <row r="317">
          <cell r="A317" t="str">
            <v>LU0702681247</v>
          </cell>
          <cell r="B317" t="str">
            <v>KBC Bonds Emerging Markets Inst. B Shares Cap</v>
          </cell>
          <cell r="C317" t="str">
            <v>USD-KAP-INSTIT.B</v>
          </cell>
          <cell r="D317">
            <v>20240404</v>
          </cell>
          <cell r="E317">
            <v>2617.73</v>
          </cell>
        </row>
        <row r="318">
          <cell r="A318" t="str">
            <v>LU2743101466</v>
          </cell>
          <cell r="B318" t="str">
            <v>KBC Bonds Emerging Markets Inst. Discr. Shares Cap (empty)</v>
          </cell>
          <cell r="C318" t="str">
            <v>EUR-KAP-INST.DISCR</v>
          </cell>
          <cell r="D318">
            <v>20240222</v>
          </cell>
          <cell r="E318">
            <v>100</v>
          </cell>
        </row>
        <row r="319">
          <cell r="A319" t="str">
            <v>LU2743101383</v>
          </cell>
          <cell r="B319" t="str">
            <v>KBC Bonds Emerging Markets Inst. Discr. Shares Dis (empty)</v>
          </cell>
          <cell r="C319" t="str">
            <v>EUR-DIV-INST.DISCR</v>
          </cell>
          <cell r="D319">
            <v>20240222</v>
          </cell>
          <cell r="E319">
            <v>100</v>
          </cell>
        </row>
        <row r="320">
          <cell r="A320" t="str">
            <v>LU1694795425</v>
          </cell>
          <cell r="B320" t="str">
            <v>KBC Bonds Emerging Markets Inst. Shares Cap</v>
          </cell>
          <cell r="C320" t="str">
            <v>USD-KAP-INSTITUTIONEEL</v>
          </cell>
          <cell r="D320">
            <v>20240404</v>
          </cell>
          <cell r="E320">
            <v>1056.44</v>
          </cell>
        </row>
        <row r="321">
          <cell r="A321" t="str">
            <v>LU2254263762</v>
          </cell>
          <cell r="B321" t="str">
            <v>KBC Bonds Emerging Markets Inst. Shares EUR Cap</v>
          </cell>
          <cell r="C321" t="str">
            <v>EUR-KAP-INST.EUR</v>
          </cell>
          <cell r="D321">
            <v>20240404</v>
          </cell>
          <cell r="E321">
            <v>1033.24</v>
          </cell>
        </row>
        <row r="322">
          <cell r="A322" t="str">
            <v>LU2672746653</v>
          </cell>
          <cell r="B322" t="str">
            <v>KBC Bonds Green Social Sustain. Bonds Resp. Invest. Cap</v>
          </cell>
          <cell r="C322" t="str">
            <v>EUR-KAP-CLASSIC</v>
          </cell>
          <cell r="D322">
            <v>20240404</v>
          </cell>
          <cell r="E322">
            <v>99.49</v>
          </cell>
        </row>
        <row r="323">
          <cell r="A323" t="str">
            <v>LU2672746810</v>
          </cell>
          <cell r="B323" t="str">
            <v>KBC Bonds Green Social Sustain. Bonds Resp. Invest. Dis</v>
          </cell>
          <cell r="C323" t="str">
            <v>EUR-DIV-CLASSIC</v>
          </cell>
          <cell r="D323">
            <v>20240404</v>
          </cell>
          <cell r="E323">
            <v>99.68</v>
          </cell>
        </row>
        <row r="324">
          <cell r="A324" t="str">
            <v>LU2672746497</v>
          </cell>
          <cell r="B324" t="str">
            <v>KBC Bonds Green Social Sustain. Bonds Resp. Invest. Discr. Shares Cap (empty)</v>
          </cell>
          <cell r="C324" t="str">
            <v>EUR-KAP-DISCR.SHARES</v>
          </cell>
          <cell r="D324">
            <v>20231026</v>
          </cell>
          <cell r="E324">
            <v>100</v>
          </cell>
        </row>
        <row r="325">
          <cell r="A325" t="str">
            <v>LU2672746737</v>
          </cell>
          <cell r="B325" t="str">
            <v>KBC Bonds Green Social Sustain. Bonds Resp. Invest. Discr. Shares Dis</v>
          </cell>
          <cell r="C325" t="str">
            <v>EUR-DIV-DISCR.SHARES</v>
          </cell>
          <cell r="D325">
            <v>20240404</v>
          </cell>
          <cell r="E325">
            <v>100.73</v>
          </cell>
        </row>
        <row r="326">
          <cell r="A326" t="str">
            <v>LU2672746570</v>
          </cell>
          <cell r="B326" t="str">
            <v>KBC Bonds Green Social Sustain. Bonds Resp. Invest. Inst. B Shares Cap</v>
          </cell>
          <cell r="C326" t="str">
            <v>EUR-KAP-INSTIT.B</v>
          </cell>
          <cell r="D326">
            <v>20240404</v>
          </cell>
          <cell r="E326">
            <v>107.46</v>
          </cell>
        </row>
        <row r="327">
          <cell r="A327" t="str">
            <v>LU2743101201</v>
          </cell>
          <cell r="B327" t="str">
            <v>KBC Bonds Green Social Sustain. Bonds Resp. Invest. Inst. Discr. Shares Cap (empty)</v>
          </cell>
          <cell r="C327" t="str">
            <v>EUR-KAP-INST.DISCR</v>
          </cell>
          <cell r="D327">
            <v>20240222</v>
          </cell>
          <cell r="E327">
            <v>100</v>
          </cell>
        </row>
        <row r="328">
          <cell r="A328" t="str">
            <v>LU2743101037</v>
          </cell>
          <cell r="B328" t="str">
            <v>KBC Bonds Green Social Sustain. Bonds Resp. Invest. Inst. Discr. Shares Dis (empty)</v>
          </cell>
          <cell r="C328" t="str">
            <v>EUR-DIV-INST.DISCR</v>
          </cell>
          <cell r="D328">
            <v>20240222</v>
          </cell>
          <cell r="E328">
            <v>100</v>
          </cell>
        </row>
        <row r="329">
          <cell r="A329" t="str">
            <v>LU0052033098</v>
          </cell>
          <cell r="B329" t="str">
            <v>KBC Bonds High Interest Cap</v>
          </cell>
          <cell r="C329" t="str">
            <v>KAP</v>
          </cell>
          <cell r="D329">
            <v>20240404</v>
          </cell>
          <cell r="E329">
            <v>1854.98</v>
          </cell>
        </row>
        <row r="330">
          <cell r="A330" t="str">
            <v>LU0052033254</v>
          </cell>
          <cell r="B330" t="str">
            <v>KBC Bonds High Interest Dis</v>
          </cell>
          <cell r="C330" t="str">
            <v>DIV</v>
          </cell>
          <cell r="D330">
            <v>20240404</v>
          </cell>
          <cell r="E330">
            <v>261.20999999999998</v>
          </cell>
        </row>
        <row r="331">
          <cell r="A331" t="str">
            <v>LU0702682302</v>
          </cell>
          <cell r="B331" t="str">
            <v>KBC Bonds High Interest Inst. B Shares Cap</v>
          </cell>
          <cell r="C331" t="str">
            <v>EUR-KAP-INSTIT.B</v>
          </cell>
          <cell r="D331">
            <v>20240404</v>
          </cell>
          <cell r="E331">
            <v>1951.87</v>
          </cell>
        </row>
        <row r="332">
          <cell r="A332" t="str">
            <v>LU2743100732</v>
          </cell>
          <cell r="B332" t="str">
            <v>KBC Bonds High Interest Inst. Discr. Shares Cap</v>
          </cell>
          <cell r="C332" t="str">
            <v>EUR-KAP-INST.DISCR</v>
          </cell>
          <cell r="D332">
            <v>20240222</v>
          </cell>
          <cell r="E332">
            <v>100</v>
          </cell>
        </row>
        <row r="333">
          <cell r="A333" t="str">
            <v>LU2743100658</v>
          </cell>
          <cell r="B333" t="str">
            <v>KBC Bonds High Interest Inst. Discr. Shares Dis</v>
          </cell>
          <cell r="C333" t="str">
            <v>EUR-DIV-INST.DISCR</v>
          </cell>
          <cell r="D333">
            <v>20240222</v>
          </cell>
          <cell r="E333">
            <v>100</v>
          </cell>
        </row>
        <row r="334">
          <cell r="A334" t="str">
            <v>LU1687408838</v>
          </cell>
          <cell r="B334" t="str">
            <v>KBC Bonds High Interest Inst. F Shares</v>
          </cell>
          <cell r="C334" t="str">
            <v>EUR-KAP-INSTIT.F</v>
          </cell>
          <cell r="D334">
            <v>20240404</v>
          </cell>
          <cell r="E334">
            <v>913.78</v>
          </cell>
        </row>
        <row r="335">
          <cell r="A335" t="str">
            <v>LU0259719655</v>
          </cell>
          <cell r="B335" t="str">
            <v>KBC Bonds High Interest Inst. Shares Cap</v>
          </cell>
          <cell r="C335" t="str">
            <v>KAP2</v>
          </cell>
          <cell r="D335">
            <v>20240404</v>
          </cell>
          <cell r="E335">
            <v>706.97</v>
          </cell>
        </row>
        <row r="336">
          <cell r="A336" t="str">
            <v>LU1124088607</v>
          </cell>
          <cell r="B336" t="str">
            <v>KBC Bonds High Interest Resp. Invest. Cap</v>
          </cell>
          <cell r="C336" t="str">
            <v>EUR-KAP-RETAIL</v>
          </cell>
          <cell r="D336">
            <v>20240404</v>
          </cell>
          <cell r="E336">
            <v>424.62</v>
          </cell>
        </row>
        <row r="337">
          <cell r="A337" t="str">
            <v>LU1124088433</v>
          </cell>
          <cell r="B337" t="str">
            <v>KBC Bonds High Interest Resp. Invest. Dis</v>
          </cell>
          <cell r="C337" t="str">
            <v>EUR-DIV-RETAIL</v>
          </cell>
          <cell r="D337">
            <v>20240404</v>
          </cell>
          <cell r="E337">
            <v>329.6</v>
          </cell>
        </row>
        <row r="338">
          <cell r="A338" t="str">
            <v>LU1551442467</v>
          </cell>
          <cell r="B338" t="str">
            <v>KBC Bonds High Interest Resp. Invest. Inst. B Shares Cap</v>
          </cell>
          <cell r="C338" t="str">
            <v>EUR-KAP-INSTIT.B</v>
          </cell>
          <cell r="D338">
            <v>20240404</v>
          </cell>
          <cell r="E338">
            <v>905.36</v>
          </cell>
        </row>
        <row r="339">
          <cell r="A339" t="str">
            <v>LU2743100906</v>
          </cell>
          <cell r="B339" t="str">
            <v>KBC Bonds High Interest Resp. Invest. Inst. Discr. Shares Cap (empty)</v>
          </cell>
          <cell r="C339" t="str">
            <v>EUR-KAP-INST.DISCR</v>
          </cell>
          <cell r="D339">
            <v>20240222</v>
          </cell>
          <cell r="E339">
            <v>100</v>
          </cell>
        </row>
        <row r="340">
          <cell r="A340" t="str">
            <v>LU2743100815</v>
          </cell>
          <cell r="B340" t="str">
            <v>KBC Bonds High Interest Resp. Invest. Inst. Discr. Shares Dis (empty)</v>
          </cell>
          <cell r="C340" t="str">
            <v>EUR-DIV-INST.DISCR</v>
          </cell>
          <cell r="D340">
            <v>20240222</v>
          </cell>
          <cell r="E340">
            <v>100</v>
          </cell>
        </row>
        <row r="341">
          <cell r="A341" t="str">
            <v>LU1124096618</v>
          </cell>
          <cell r="B341" t="str">
            <v>KBC Bonds High Interest Resp. Invest. Inst. Shares Cap</v>
          </cell>
          <cell r="C341" t="str">
            <v>EUR-KAP-INSTITUTIONEEL</v>
          </cell>
          <cell r="D341">
            <v>20240404</v>
          </cell>
          <cell r="E341">
            <v>450.91</v>
          </cell>
        </row>
        <row r="342">
          <cell r="A342" t="str">
            <v>LU1124095214</v>
          </cell>
          <cell r="B342" t="str">
            <v>KBC Bonds High Interest Resp. Invest. Inst. Shares Dis</v>
          </cell>
          <cell r="C342" t="str">
            <v>EUR-DIV-INSTITUTIONEEL</v>
          </cell>
          <cell r="D342">
            <v>20240404</v>
          </cell>
          <cell r="E342">
            <v>481.21</v>
          </cell>
        </row>
        <row r="343">
          <cell r="A343" t="str">
            <v>LU0337262108</v>
          </cell>
          <cell r="B343" t="str">
            <v>KBC Bonds High Interest USD Frequent Dividend Dis</v>
          </cell>
          <cell r="C343" t="str">
            <v>DIV2</v>
          </cell>
          <cell r="D343">
            <v>20240404</v>
          </cell>
          <cell r="E343">
            <v>272.16000000000003</v>
          </cell>
        </row>
        <row r="344">
          <cell r="A344" t="str">
            <v>LU2556672546</v>
          </cell>
          <cell r="B344" t="str">
            <v>KBC Bonds High Yield Resp. Invest. Cap (empty)</v>
          </cell>
          <cell r="C344" t="str">
            <v>EUR-KAP-CS.EUR</v>
          </cell>
          <cell r="D344">
            <v>20231004</v>
          </cell>
          <cell r="E344">
            <v>1000</v>
          </cell>
        </row>
        <row r="345">
          <cell r="A345" t="str">
            <v>LU2556672116</v>
          </cell>
          <cell r="B345" t="str">
            <v>KBC Bonds High Yield Resp. Invest. Dis (empty)</v>
          </cell>
          <cell r="C345" t="str">
            <v>EUR-DIV-CS.EUR</v>
          </cell>
          <cell r="D345">
            <v>20231004</v>
          </cell>
          <cell r="E345">
            <v>1000</v>
          </cell>
        </row>
        <row r="346">
          <cell r="A346" t="str">
            <v>LU2556672462</v>
          </cell>
          <cell r="B346" t="str">
            <v>KBC Bonds High Yield Resp. Invest. Discr. Shares Cap (empty)</v>
          </cell>
          <cell r="C346" t="str">
            <v>EUR-KAP-DISCR.SHARES</v>
          </cell>
          <cell r="D346">
            <v>20231004</v>
          </cell>
          <cell r="E346">
            <v>1000</v>
          </cell>
        </row>
        <row r="347">
          <cell r="A347" t="str">
            <v>LU2556672207</v>
          </cell>
          <cell r="B347" t="str">
            <v>KBC Bonds High Yield Resp. Invest. Discr. Shares Dis (empty)</v>
          </cell>
          <cell r="C347" t="str">
            <v>EUR-DIV-DISCR.SHARES</v>
          </cell>
          <cell r="D347">
            <v>20231004</v>
          </cell>
          <cell r="E347">
            <v>1000</v>
          </cell>
        </row>
        <row r="348">
          <cell r="A348" t="str">
            <v>LU2556672389</v>
          </cell>
          <cell r="B348" t="str">
            <v>KBC Bonds High Yield Resp. Invest. Inst. B Shares</v>
          </cell>
          <cell r="C348" t="str">
            <v>EUR-KAP-INSTIT.B</v>
          </cell>
          <cell r="D348">
            <v>20240404</v>
          </cell>
          <cell r="E348">
            <v>1089.3399999999999</v>
          </cell>
        </row>
        <row r="349">
          <cell r="A349" t="str">
            <v>LU2743100575</v>
          </cell>
          <cell r="B349" t="str">
            <v>KBC Bonds High Yield Resp. Invest. Inst. Discr. Shares Cap (empty)</v>
          </cell>
          <cell r="C349" t="str">
            <v>EUR-KAP-INST.DISCR</v>
          </cell>
          <cell r="D349">
            <v>20240222</v>
          </cell>
          <cell r="E349">
            <v>100</v>
          </cell>
        </row>
        <row r="350">
          <cell r="A350" t="str">
            <v>LU2743100492</v>
          </cell>
          <cell r="B350" t="str">
            <v>KBC Bonds High Yield Resp. Invest. Inst. Discr. Shares Dis (empty)</v>
          </cell>
          <cell r="C350" t="str">
            <v>EUR-DIV-INST.DISCR</v>
          </cell>
          <cell r="D350">
            <v>20240222</v>
          </cell>
          <cell r="E350">
            <v>100</v>
          </cell>
        </row>
        <row r="351">
          <cell r="A351" t="str">
            <v>LU2610894672</v>
          </cell>
          <cell r="B351" t="str">
            <v>KBC Bonds High Yield Resp. Invest. Inst. Shares Cap (empty)</v>
          </cell>
          <cell r="C351" t="str">
            <v>EUR-KAP-INSTITUTIONEEL</v>
          </cell>
          <cell r="D351">
            <v>20231004</v>
          </cell>
          <cell r="E351">
            <v>1000</v>
          </cell>
        </row>
        <row r="352">
          <cell r="A352" t="str">
            <v>LU2610894755</v>
          </cell>
          <cell r="B352" t="str">
            <v>KBC Bonds High Yield Resp. Invest. Inst. Shares Dis (empty)</v>
          </cell>
          <cell r="C352" t="str">
            <v>EUR-DIV-INSTITUTIONEEL</v>
          </cell>
          <cell r="D352">
            <v>20231004</v>
          </cell>
          <cell r="E352">
            <v>1000</v>
          </cell>
        </row>
        <row r="353">
          <cell r="A353" t="str">
            <v>LU0052030318</v>
          </cell>
          <cell r="B353" t="str">
            <v>KBC Bonds Income Fund Dis</v>
          </cell>
          <cell r="C353" t="str">
            <v>DIV</v>
          </cell>
          <cell r="D353">
            <v>20240404</v>
          </cell>
          <cell r="E353">
            <v>282</v>
          </cell>
        </row>
        <row r="354">
          <cell r="A354" t="str">
            <v>LU0103555248</v>
          </cell>
          <cell r="B354" t="str">
            <v>KBC Bonds Inflation-Linked Bonds Cap</v>
          </cell>
          <cell r="C354" t="str">
            <v>KAP</v>
          </cell>
          <cell r="D354">
            <v>20240404</v>
          </cell>
          <cell r="E354">
            <v>1078.71</v>
          </cell>
        </row>
        <row r="355">
          <cell r="A355" t="str">
            <v>LU0103555594</v>
          </cell>
          <cell r="B355" t="str">
            <v>KBC Bonds Inflation-Linked Bonds Dis</v>
          </cell>
          <cell r="C355" t="str">
            <v>DIV</v>
          </cell>
          <cell r="D355">
            <v>20240404</v>
          </cell>
          <cell r="E355">
            <v>781.8</v>
          </cell>
        </row>
        <row r="356">
          <cell r="A356" t="str">
            <v>LU0702681676</v>
          </cell>
          <cell r="B356" t="str">
            <v>KBC Bonds Inflation-Linked Bonds Inst. B Shares Cap</v>
          </cell>
          <cell r="C356" t="str">
            <v>EUR-KAP-INSTIT.B</v>
          </cell>
          <cell r="D356">
            <v>20240404</v>
          </cell>
          <cell r="E356">
            <v>1083.9100000000001</v>
          </cell>
        </row>
        <row r="357">
          <cell r="A357" t="str">
            <v>LU2743102274</v>
          </cell>
          <cell r="B357" t="str">
            <v>KBC Bonds Inflation-Linked Bonds Inst. Discr. Shares Cap (empty)</v>
          </cell>
          <cell r="C357" t="str">
            <v>EUR-KAP-INST.DISCR</v>
          </cell>
          <cell r="D357">
            <v>20240404</v>
          </cell>
          <cell r="E357">
            <v>100.42</v>
          </cell>
        </row>
        <row r="358">
          <cell r="A358" t="str">
            <v>LU2743102431</v>
          </cell>
          <cell r="B358" t="str">
            <v>KBC Bonds Inflation-Linked Bonds Inst. Discr. Shares Dis (empty)</v>
          </cell>
          <cell r="C358" t="str">
            <v>EUR-DIV-INST.DISCR</v>
          </cell>
          <cell r="D358">
            <v>20240222</v>
          </cell>
          <cell r="E358">
            <v>100</v>
          </cell>
        </row>
        <row r="359">
          <cell r="A359" t="str">
            <v>LU0203907869</v>
          </cell>
          <cell r="B359" t="str">
            <v>KBC Bonds Inflation-Linked Bonds Inst. Shares Cap</v>
          </cell>
          <cell r="C359" t="str">
            <v>KAP2</v>
          </cell>
          <cell r="D359">
            <v>20240404</v>
          </cell>
          <cell r="E359">
            <v>162.38999999999999</v>
          </cell>
        </row>
        <row r="360">
          <cell r="A360" t="str">
            <v>LU1811814190</v>
          </cell>
          <cell r="B360" t="str">
            <v>KBC Bonds Strategic Accents Corp.Shares Cap (empty)</v>
          </cell>
          <cell r="C360" t="str">
            <v>KAP2</v>
          </cell>
          <cell r="D360">
            <v>20180523</v>
          </cell>
          <cell r="E360">
            <v>1000</v>
          </cell>
        </row>
        <row r="361">
          <cell r="A361" t="str">
            <v>LU1275397401</v>
          </cell>
          <cell r="B361" t="str">
            <v>KBC Bonds Strategic Accents Inst. B Shares Cap</v>
          </cell>
          <cell r="C361" t="str">
            <v>EUR-KAP-INSTIT.B</v>
          </cell>
          <cell r="D361">
            <v>20240404</v>
          </cell>
          <cell r="E361">
            <v>795.83</v>
          </cell>
        </row>
        <row r="362">
          <cell r="A362" t="str">
            <v>LU1892257681</v>
          </cell>
          <cell r="B362" t="str">
            <v>KBC Bonds Strategic Accents Resp. Invest. Corp.Shares Cap (empty)</v>
          </cell>
          <cell r="C362" t="str">
            <v>KAP2</v>
          </cell>
          <cell r="D362">
            <v>20181128</v>
          </cell>
          <cell r="E362">
            <v>1000</v>
          </cell>
        </row>
        <row r="363">
          <cell r="A363" t="str">
            <v>LU1892257764</v>
          </cell>
          <cell r="B363" t="str">
            <v>KBC Bonds Strategic Accents Resp. Invest. Inst. B Shares Cap</v>
          </cell>
          <cell r="C363" t="str">
            <v>EUR-KAP-INSTIT.B</v>
          </cell>
          <cell r="D363">
            <v>20240404</v>
          </cell>
          <cell r="E363">
            <v>826.87</v>
          </cell>
        </row>
        <row r="364">
          <cell r="A364" t="str">
            <v>LU1892258812</v>
          </cell>
          <cell r="B364" t="str">
            <v>KBC Bonds Strategic Broad 25 75 Resp. Invest. Corp.Shares Cap (empty)</v>
          </cell>
          <cell r="C364" t="str">
            <v>KAP2</v>
          </cell>
          <cell r="D364">
            <v>20181128</v>
          </cell>
          <cell r="E364">
            <v>1000</v>
          </cell>
        </row>
        <row r="365">
          <cell r="A365" t="str">
            <v>LU1892258903</v>
          </cell>
          <cell r="B365" t="str">
            <v>KBC Bonds Strategic Broad 25 75 Resp. Invest. Inst. B Shares Cap</v>
          </cell>
          <cell r="C365" t="str">
            <v>EUR-KAP-INSTIT.B</v>
          </cell>
          <cell r="D365">
            <v>20240404</v>
          </cell>
          <cell r="E365">
            <v>932.86</v>
          </cell>
        </row>
        <row r="366">
          <cell r="A366" t="str">
            <v>LU1892259034</v>
          </cell>
          <cell r="B366" t="str">
            <v>KBC Bonds Strategic Broad 30 70 Corp.Shares Cap (empty)</v>
          </cell>
          <cell r="C366" t="str">
            <v>KAP2</v>
          </cell>
          <cell r="D366">
            <v>20181128</v>
          </cell>
          <cell r="E366">
            <v>1000</v>
          </cell>
        </row>
        <row r="367">
          <cell r="A367" t="str">
            <v>LU1892259117</v>
          </cell>
          <cell r="B367" t="str">
            <v>KBC Bonds Strategic Broad 30 70 Inst. B Shares Cap</v>
          </cell>
          <cell r="C367" t="str">
            <v>EUR-KAP-INSTIT.B</v>
          </cell>
          <cell r="D367">
            <v>20240404</v>
          </cell>
          <cell r="E367">
            <v>977.99</v>
          </cell>
        </row>
        <row r="368">
          <cell r="A368" t="str">
            <v>LU1892257848</v>
          </cell>
          <cell r="B368" t="str">
            <v>KBC Bonds Strategic Broad 40 60 Corp.Shares Cap (empty)</v>
          </cell>
          <cell r="C368" t="str">
            <v>KAP2</v>
          </cell>
          <cell r="D368">
            <v>20181128</v>
          </cell>
          <cell r="E368">
            <v>1000</v>
          </cell>
        </row>
        <row r="369">
          <cell r="A369" t="str">
            <v>LU1892258069</v>
          </cell>
          <cell r="B369" t="str">
            <v>KBC Bonds Strategic Broad 40 60 Inst. B Shares Cap</v>
          </cell>
          <cell r="C369" t="str">
            <v>EUR-KAP-INSTIT.B</v>
          </cell>
          <cell r="D369">
            <v>20240404</v>
          </cell>
          <cell r="E369">
            <v>973.4</v>
          </cell>
        </row>
        <row r="370">
          <cell r="A370" t="str">
            <v>LU1811814356</v>
          </cell>
          <cell r="B370" t="str">
            <v>KBC Bonds Strategic Broad 50 50 Corp.Shares Cap (empty)</v>
          </cell>
          <cell r="C370" t="str">
            <v>KAP2</v>
          </cell>
          <cell r="D370">
            <v>20180523</v>
          </cell>
          <cell r="E370">
            <v>1000</v>
          </cell>
        </row>
        <row r="371">
          <cell r="A371" t="str">
            <v>LU1275397153</v>
          </cell>
          <cell r="B371" t="str">
            <v>KBC Bonds Strategic Broad 50 50 Inst. B Shares Cap</v>
          </cell>
          <cell r="C371" t="str">
            <v>EUR-KAP-INSTIT.B</v>
          </cell>
          <cell r="D371">
            <v>20240404</v>
          </cell>
          <cell r="E371">
            <v>1002.8</v>
          </cell>
        </row>
        <row r="372">
          <cell r="A372" t="str">
            <v>LU1892258655</v>
          </cell>
          <cell r="B372" t="str">
            <v>KBC Bonds Strategic Broad 50 50 Resp. Invest. Corp.Shares Cap (empty)</v>
          </cell>
          <cell r="C372" t="str">
            <v>KAP2</v>
          </cell>
          <cell r="D372">
            <v>20220203</v>
          </cell>
          <cell r="E372">
            <v>960.46759999999995</v>
          </cell>
        </row>
        <row r="373">
          <cell r="A373" t="str">
            <v>LU1892258739</v>
          </cell>
          <cell r="B373" t="str">
            <v>KBC Bonds Strategic Broad 50 50 Resp. Invest. Inst. B Shares Cap</v>
          </cell>
          <cell r="C373" t="str">
            <v>EUR-KAP-INSTIT.B</v>
          </cell>
          <cell r="D373">
            <v>20240404</v>
          </cell>
          <cell r="E373">
            <v>923.21</v>
          </cell>
        </row>
        <row r="374">
          <cell r="A374" t="str">
            <v>LU1811813978</v>
          </cell>
          <cell r="B374" t="str">
            <v>KBC Bonds Strategic Broad 60 40 Corp.Shares Cap (empty)</v>
          </cell>
          <cell r="C374" t="str">
            <v>KAP2</v>
          </cell>
          <cell r="D374">
            <v>20180523</v>
          </cell>
          <cell r="E374">
            <v>1000</v>
          </cell>
        </row>
        <row r="375">
          <cell r="A375" t="str">
            <v>LU1275396775</v>
          </cell>
          <cell r="B375" t="str">
            <v>KBC Bonds Strategic Broad 60 40 Inst. B Shares Cap</v>
          </cell>
          <cell r="C375" t="str">
            <v>EUR-KAP-INSTIT.B</v>
          </cell>
          <cell r="D375">
            <v>20240404</v>
          </cell>
          <cell r="E375">
            <v>1004.05</v>
          </cell>
        </row>
        <row r="376">
          <cell r="A376" t="str">
            <v>LU1811813622</v>
          </cell>
          <cell r="B376" t="str">
            <v>KBC Bonds Strategic Broad 70 30 Corp.Shares Cap (empty)</v>
          </cell>
          <cell r="C376" t="str">
            <v>KAP2</v>
          </cell>
          <cell r="D376">
            <v>20180523</v>
          </cell>
          <cell r="E376">
            <v>1000</v>
          </cell>
        </row>
        <row r="377">
          <cell r="A377" t="str">
            <v>LU0705564648</v>
          </cell>
          <cell r="B377" t="str">
            <v>KBC Bonds Strategic Broad 70 30 Inst. B Shares Cap</v>
          </cell>
          <cell r="C377" t="str">
            <v>EUR-KAP-INSTIT.B</v>
          </cell>
          <cell r="D377">
            <v>20240404</v>
          </cell>
          <cell r="E377">
            <v>1095.67</v>
          </cell>
        </row>
        <row r="378">
          <cell r="A378" t="str">
            <v>LU1892258499</v>
          </cell>
          <cell r="B378" t="str">
            <v>KBC Bonds Strategic Broad 75 25 Resp. Invest. Corp.Shares Cap (empty)</v>
          </cell>
          <cell r="C378" t="str">
            <v>KAP2</v>
          </cell>
          <cell r="D378">
            <v>20181128</v>
          </cell>
          <cell r="E378">
            <v>1000</v>
          </cell>
        </row>
        <row r="379">
          <cell r="A379" t="str">
            <v>LU1892258572</v>
          </cell>
          <cell r="B379" t="str">
            <v>KBC Bonds Strategic Broad 75 25 Resp. Invest. Inst. B Shares Cap</v>
          </cell>
          <cell r="C379" t="str">
            <v>EUR-KAP-INSTIT.B</v>
          </cell>
          <cell r="D379">
            <v>20240404</v>
          </cell>
          <cell r="E379">
            <v>903.71</v>
          </cell>
        </row>
        <row r="380">
          <cell r="A380" t="str">
            <v>BE6216839124</v>
          </cell>
          <cell r="B380" t="str">
            <v>KBC Comf.4Life Dyn. Cap</v>
          </cell>
          <cell r="C380" t="str">
            <v>KAP</v>
          </cell>
          <cell r="D380">
            <v>20240403</v>
          </cell>
          <cell r="E380">
            <v>1321.42</v>
          </cell>
        </row>
        <row r="381">
          <cell r="A381" t="str">
            <v>BE0175280016</v>
          </cell>
          <cell r="B381" t="str">
            <v>KBC Eco Fund Alternative Energy Resp. Invest.  Classic Shares Cap</v>
          </cell>
          <cell r="C381" t="str">
            <v>EUR-KAP-RETAIL</v>
          </cell>
          <cell r="D381">
            <v>20240404</v>
          </cell>
          <cell r="E381">
            <v>502.27</v>
          </cell>
        </row>
        <row r="382">
          <cell r="A382" t="str">
            <v>BE0175279976</v>
          </cell>
          <cell r="B382" t="str">
            <v>KBC Eco Fund Alternative Energy Resp. Invest.  Classic Shares Dis</v>
          </cell>
          <cell r="C382" t="str">
            <v>EUR-DIV-RETAIL</v>
          </cell>
          <cell r="D382">
            <v>20240404</v>
          </cell>
          <cell r="E382">
            <v>372.88</v>
          </cell>
        </row>
        <row r="383">
          <cell r="A383" t="str">
            <v>BE6345468191</v>
          </cell>
          <cell r="B383" t="str">
            <v>KBC Eco Fund Alternative Energy Resp. Invest.  Discr. Shares Cap (empty)</v>
          </cell>
          <cell r="C383" t="str">
            <v>EUR-KAP-DISCR.SHARES</v>
          </cell>
          <cell r="D383">
            <v>20230908</v>
          </cell>
          <cell r="E383">
            <v>100</v>
          </cell>
        </row>
        <row r="384">
          <cell r="A384" t="str">
            <v>BE6345469207</v>
          </cell>
          <cell r="B384" t="str">
            <v>KBC Eco Fund Alternative Energy Resp. Invest.  Discr. Shares Dis (empty)</v>
          </cell>
          <cell r="C384" t="str">
            <v>EUR-DIV-DISCR.SHARES</v>
          </cell>
          <cell r="D384">
            <v>20240315</v>
          </cell>
          <cell r="E384">
            <v>88.63</v>
          </cell>
        </row>
        <row r="385">
          <cell r="A385" t="str">
            <v>BE6228924690</v>
          </cell>
          <cell r="B385" t="str">
            <v>KBC Eco Fund Alternative Energy Resp. Invest.  Inst. B Shares Cap</v>
          </cell>
          <cell r="C385" t="str">
            <v>EUR-KAP-INSTIT.B</v>
          </cell>
          <cell r="D385">
            <v>20240404</v>
          </cell>
          <cell r="E385">
            <v>538.45000000000005</v>
          </cell>
        </row>
        <row r="386">
          <cell r="A386" t="str">
            <v>BE6348036656</v>
          </cell>
          <cell r="B386" t="str">
            <v>KBC Eco Fund Alternative Energy Resp. Invest.  Inst. Discr. Shares Cap (empty)</v>
          </cell>
          <cell r="C386" t="str">
            <v>EUR-KAP-INST.DISCR</v>
          </cell>
          <cell r="D386">
            <v>20240215</v>
          </cell>
          <cell r="E386">
            <v>100</v>
          </cell>
        </row>
        <row r="387">
          <cell r="A387" t="str">
            <v>BE0946844272</v>
          </cell>
          <cell r="B387" t="str">
            <v>KBC Eco Fund Climate Change Resp. Invest.  Classic Shares Cap</v>
          </cell>
          <cell r="C387" t="str">
            <v>EUR-KAP-RETAIL</v>
          </cell>
          <cell r="D387">
            <v>20240404</v>
          </cell>
          <cell r="E387">
            <v>727.19</v>
          </cell>
        </row>
        <row r="388">
          <cell r="A388" t="str">
            <v>BE0946843266</v>
          </cell>
          <cell r="B388" t="str">
            <v>KBC Eco Fund Climate Change Resp. Invest.  Classic Shares Dis</v>
          </cell>
          <cell r="C388" t="str">
            <v>EUR-DIV-RETAIL</v>
          </cell>
          <cell r="D388">
            <v>20240404</v>
          </cell>
          <cell r="E388">
            <v>584.24</v>
          </cell>
        </row>
        <row r="389">
          <cell r="A389" t="str">
            <v>BE6345471229</v>
          </cell>
          <cell r="B389" t="str">
            <v>KBC Eco Fund Climate Change Resp. Invest.  Discr. Shares Cap (empty)</v>
          </cell>
          <cell r="C389" t="str">
            <v>EUR-KAP-DISCR.SHARES</v>
          </cell>
          <cell r="D389">
            <v>20230908</v>
          </cell>
          <cell r="E389">
            <v>100</v>
          </cell>
        </row>
        <row r="390">
          <cell r="A390" t="str">
            <v>BE6345472235</v>
          </cell>
          <cell r="B390" t="str">
            <v>KBC Eco Fund Climate Change Resp. Invest.  Discr. Shares Dis (empty)</v>
          </cell>
          <cell r="C390" t="str">
            <v>EUR-DIV-DISCR.SHARES</v>
          </cell>
          <cell r="D390">
            <v>20230908</v>
          </cell>
          <cell r="E390">
            <v>100</v>
          </cell>
        </row>
        <row r="391">
          <cell r="A391" t="str">
            <v>BE6228923684</v>
          </cell>
          <cell r="B391" t="str">
            <v>KBC Eco Fund Climate Change Resp. Invest.  Inst. B Shares Cap</v>
          </cell>
          <cell r="C391" t="str">
            <v>EUR-KAP-INSTIT.B</v>
          </cell>
          <cell r="D391">
            <v>20240404</v>
          </cell>
          <cell r="E391">
            <v>779.82</v>
          </cell>
        </row>
        <row r="392">
          <cell r="A392" t="str">
            <v>BE6348037662</v>
          </cell>
          <cell r="B392" t="str">
            <v>KBC Eco Fund Climate Change Resp. Invest.  Inst. Discr. Shares Cap (empty)</v>
          </cell>
          <cell r="C392" t="str">
            <v>EUR-KAP-INST.DISCR</v>
          </cell>
          <cell r="D392">
            <v>20240215</v>
          </cell>
          <cell r="E392">
            <v>100</v>
          </cell>
        </row>
        <row r="393">
          <cell r="A393" t="str">
            <v>BE0947250453</v>
          </cell>
          <cell r="B393" t="str">
            <v>KBC Eco Fund CSOB Water Resp. Invest. Cap</v>
          </cell>
          <cell r="C393" t="str">
            <v>CZK-KAP-RETAIL</v>
          </cell>
          <cell r="D393">
            <v>20240404</v>
          </cell>
          <cell r="E393">
            <v>2201.4699999999998</v>
          </cell>
        </row>
        <row r="394">
          <cell r="A394" t="str">
            <v>BE0947249448</v>
          </cell>
          <cell r="B394" t="str">
            <v>KBC Eco Fund CSOB Water Resp. Invest. Dis (empty)</v>
          </cell>
          <cell r="C394" t="str">
            <v>CZK-DIV-RETAIL</v>
          </cell>
          <cell r="D394">
            <v>20100520</v>
          </cell>
          <cell r="E394">
            <v>626.28</v>
          </cell>
        </row>
        <row r="395">
          <cell r="A395" t="str">
            <v>BE0175718510</v>
          </cell>
          <cell r="B395" t="str">
            <v>KBC Eco Fund Impact Resp. Invest. Classic Shares Cap</v>
          </cell>
          <cell r="C395" t="str">
            <v>EUR-KAP-RETAIL</v>
          </cell>
          <cell r="D395">
            <v>20240404</v>
          </cell>
          <cell r="E395">
            <v>766.69</v>
          </cell>
        </row>
        <row r="396">
          <cell r="A396" t="str">
            <v>BE0175717504</v>
          </cell>
          <cell r="B396" t="str">
            <v>KBC Eco Fund Impact Resp. Invest. Classic Shares Dis</v>
          </cell>
          <cell r="C396" t="str">
            <v>EUR-DIV-RETAIL</v>
          </cell>
          <cell r="D396">
            <v>20240404</v>
          </cell>
          <cell r="E396">
            <v>537.05999999999995</v>
          </cell>
        </row>
        <row r="397">
          <cell r="A397" t="str">
            <v>BE6338759036</v>
          </cell>
          <cell r="B397" t="str">
            <v>KBC Eco Fund Impact Resp. Invest. Discr. Shares Cap (empty)</v>
          </cell>
          <cell r="C397" t="str">
            <v>EUR-KAP-DISCR.SHARES</v>
          </cell>
          <cell r="D397">
            <v>20230110</v>
          </cell>
          <cell r="E397">
            <v>1000</v>
          </cell>
        </row>
        <row r="398">
          <cell r="A398" t="str">
            <v>BE6338760042</v>
          </cell>
          <cell r="B398" t="str">
            <v>KBC Eco Fund Impact Resp. Invest. Discr. Shares Dis (empty)</v>
          </cell>
          <cell r="C398" t="str">
            <v>EUR-DIV-DISCR.SHARES</v>
          </cell>
          <cell r="D398">
            <v>20230110</v>
          </cell>
          <cell r="E398">
            <v>1000</v>
          </cell>
        </row>
        <row r="399">
          <cell r="A399" t="str">
            <v>BE6348039684</v>
          </cell>
          <cell r="B399" t="str">
            <v>KBC Eco Fund Impact Resp. Invest. Inst. Discr. Shares Cap (empty)</v>
          </cell>
          <cell r="C399" t="str">
            <v>EUR-KAP-INST.DISCR</v>
          </cell>
          <cell r="D399">
            <v>20240215</v>
          </cell>
          <cell r="E399">
            <v>100</v>
          </cell>
        </row>
        <row r="400">
          <cell r="A400" t="str">
            <v>BE6327153373</v>
          </cell>
          <cell r="B400" t="str">
            <v>KBC Eco Fund Impact Resp. Invest. Inst. F Shares LU Cap</v>
          </cell>
          <cell r="C400" t="str">
            <v>EUR-KAP-INST.FLU</v>
          </cell>
          <cell r="D400">
            <v>20240404</v>
          </cell>
          <cell r="E400">
            <v>921.95</v>
          </cell>
        </row>
        <row r="401">
          <cell r="A401" t="str">
            <v>BE6315653806</v>
          </cell>
          <cell r="B401" t="str">
            <v>KBC Eco Fund Impact Resp. Invest. K&amp;H Classic Shares HUF Cap</v>
          </cell>
          <cell r="C401" t="str">
            <v>HUF-KAP-RETAIL</v>
          </cell>
          <cell r="D401">
            <v>20240404</v>
          </cell>
          <cell r="E401">
            <v>1348.08</v>
          </cell>
        </row>
        <row r="402">
          <cell r="A402" t="str">
            <v>BE0175479063</v>
          </cell>
          <cell r="B402" t="str">
            <v>KBC Eco Fund Water Resp. Invest. Classic Shares Cap</v>
          </cell>
          <cell r="C402" t="str">
            <v>EUR-KAP-RETAIL</v>
          </cell>
          <cell r="D402">
            <v>20240404</v>
          </cell>
          <cell r="E402">
            <v>2343.31</v>
          </cell>
        </row>
        <row r="403">
          <cell r="A403" t="str">
            <v>BE0175478057</v>
          </cell>
          <cell r="B403" t="str">
            <v>KBC Eco Fund Water Resp. Invest. Classic Shares Dis</v>
          </cell>
          <cell r="C403" t="str">
            <v>EUR-DIV-RETAIL</v>
          </cell>
          <cell r="D403">
            <v>20240404</v>
          </cell>
          <cell r="E403">
            <v>1617.38</v>
          </cell>
        </row>
        <row r="404">
          <cell r="A404" t="str">
            <v>BE6345473241</v>
          </cell>
          <cell r="B404" t="str">
            <v>KBC Eco Fund Water Resp. Invest. Discr. Shares Cap (empty)</v>
          </cell>
          <cell r="C404" t="str">
            <v>EUR-KAP-DISCR.SHARES</v>
          </cell>
          <cell r="D404">
            <v>20230908</v>
          </cell>
          <cell r="E404">
            <v>100</v>
          </cell>
        </row>
        <row r="405">
          <cell r="A405" t="str">
            <v>BE6345474256</v>
          </cell>
          <cell r="B405" t="str">
            <v>KBC Eco Fund Water Resp. Invest. Discr. Shares Dis (empty)</v>
          </cell>
          <cell r="C405" t="str">
            <v>EUR-DIV-DISCR.SHARES</v>
          </cell>
          <cell r="D405">
            <v>20230908</v>
          </cell>
          <cell r="E405">
            <v>100</v>
          </cell>
        </row>
        <row r="406">
          <cell r="A406" t="str">
            <v>BE6228912570</v>
          </cell>
          <cell r="B406" t="str">
            <v>KBC Eco Fund Water Resp. Invest. Inst. B Shares Cap</v>
          </cell>
          <cell r="C406" t="str">
            <v>EUR-KAP-INSTIT.B</v>
          </cell>
          <cell r="D406">
            <v>20240404</v>
          </cell>
          <cell r="E406">
            <v>2524.81</v>
          </cell>
        </row>
        <row r="407">
          <cell r="A407" t="str">
            <v>BE6348041706</v>
          </cell>
          <cell r="B407" t="str">
            <v>KBC Eco Fund Water Resp. Invest. Inst. Discr. Shares Cap (empty)</v>
          </cell>
          <cell r="C407" t="str">
            <v>EUR-KAP-INST.DISCR</v>
          </cell>
          <cell r="D407">
            <v>20240215</v>
          </cell>
          <cell r="E407">
            <v>100</v>
          </cell>
        </row>
        <row r="408">
          <cell r="A408" t="str">
            <v>BE0133741752</v>
          </cell>
          <cell r="B408" t="str">
            <v>KBC Eco Fund World Resp. Invest.  Classic Shares Cap</v>
          </cell>
          <cell r="C408" t="str">
            <v>EUR-KAP-RETAIL</v>
          </cell>
          <cell r="D408">
            <v>20240404</v>
          </cell>
          <cell r="E408">
            <v>1604.9</v>
          </cell>
        </row>
        <row r="409">
          <cell r="A409" t="str">
            <v>BE0177657500</v>
          </cell>
          <cell r="B409" t="str">
            <v>KBC Eco Fund World Resp. Invest.  Classic Shares Dis</v>
          </cell>
          <cell r="C409" t="str">
            <v>EUR-DIV-RETAIL</v>
          </cell>
          <cell r="D409">
            <v>20240404</v>
          </cell>
          <cell r="E409">
            <v>1101.98</v>
          </cell>
        </row>
        <row r="410">
          <cell r="A410" t="str">
            <v>BE6338757014</v>
          </cell>
          <cell r="B410" t="str">
            <v>KBC Eco Fund World Resp. Invest.  Discr. Shares Cap (empty)</v>
          </cell>
          <cell r="C410" t="str">
            <v>EUR-KAP-DISCR.SHARES</v>
          </cell>
          <cell r="D410">
            <v>20230110</v>
          </cell>
          <cell r="E410">
            <v>1000</v>
          </cell>
        </row>
        <row r="411">
          <cell r="A411" t="str">
            <v>BE6338758020</v>
          </cell>
          <cell r="B411" t="str">
            <v>KBC Eco Fund World Resp. Invest.  Discr. Shares Dis (empty)</v>
          </cell>
          <cell r="C411" t="str">
            <v>EUR-DIV-DISCR.SHARES</v>
          </cell>
          <cell r="D411">
            <v>20230110</v>
          </cell>
          <cell r="E411">
            <v>1000</v>
          </cell>
        </row>
        <row r="412">
          <cell r="A412" t="str">
            <v>BE6348040690</v>
          </cell>
          <cell r="B412" t="str">
            <v>KBC Eco Fund World Resp. Invest.  Inst. Discr. Shares Cap (empty)</v>
          </cell>
          <cell r="C412" t="str">
            <v>EUR-KAP-INST.DISCR</v>
          </cell>
          <cell r="D412">
            <v>20240215</v>
          </cell>
          <cell r="E412">
            <v>100</v>
          </cell>
        </row>
        <row r="413">
          <cell r="A413" t="str">
            <v>BE6257810497</v>
          </cell>
          <cell r="B413" t="str">
            <v>KBC Eco Fund World Resp. Invest.  Inst. Shares Cap</v>
          </cell>
          <cell r="C413" t="str">
            <v>EUR-KAP-INSTITUTIONEEL</v>
          </cell>
          <cell r="D413">
            <v>20240404</v>
          </cell>
          <cell r="E413">
            <v>1637.03</v>
          </cell>
        </row>
        <row r="414">
          <cell r="A414" t="str">
            <v>BE0126163634</v>
          </cell>
          <cell r="B414" t="str">
            <v>KBC Equity Fund Asia Pacific Classic Shares Cap</v>
          </cell>
          <cell r="C414" t="str">
            <v>JPY-KAP-RETAIL</v>
          </cell>
          <cell r="D414">
            <v>20240404</v>
          </cell>
          <cell r="E414">
            <v>99867</v>
          </cell>
        </row>
        <row r="415">
          <cell r="A415" t="str">
            <v>BE0152250578</v>
          </cell>
          <cell r="B415" t="str">
            <v>KBC Equity Fund Asia Pacific Classic Shares Dis</v>
          </cell>
          <cell r="C415" t="str">
            <v>JPY-DIV-RETAIL</v>
          </cell>
          <cell r="D415">
            <v>20240404</v>
          </cell>
          <cell r="E415">
            <v>68796</v>
          </cell>
        </row>
        <row r="416">
          <cell r="A416" t="str">
            <v>BE6228564975</v>
          </cell>
          <cell r="B416" t="str">
            <v>KBC Equity Fund Asia Pacific Inst. B Shares Cap</v>
          </cell>
          <cell r="C416" t="str">
            <v>JPY-KAP-INSTIT.B</v>
          </cell>
          <cell r="D416">
            <v>20240404</v>
          </cell>
          <cell r="E416">
            <v>112905</v>
          </cell>
        </row>
        <row r="417">
          <cell r="A417" t="str">
            <v>BE6307772564</v>
          </cell>
          <cell r="B417" t="str">
            <v>KBC Equity Fund Asia Pacific Resp. Invest. Classic Shares Cap</v>
          </cell>
          <cell r="C417" t="str">
            <v>JPY-KAP-RETAIL</v>
          </cell>
          <cell r="D417">
            <v>20240404</v>
          </cell>
          <cell r="E417">
            <v>179270</v>
          </cell>
        </row>
        <row r="418">
          <cell r="A418" t="str">
            <v>BE6307773570</v>
          </cell>
          <cell r="B418" t="str">
            <v>KBC Equity Fund Asia Pacific Resp. Invest. Inst. B Shares Cap</v>
          </cell>
          <cell r="C418" t="str">
            <v>EUR-KAP-INSTIT.B</v>
          </cell>
          <cell r="D418">
            <v>20240404</v>
          </cell>
          <cell r="E418">
            <v>1257.68</v>
          </cell>
        </row>
        <row r="419">
          <cell r="A419" t="str">
            <v>BE6348112440</v>
          </cell>
          <cell r="B419" t="str">
            <v>KBC Equity Fund Asia Pacific Resp. Invest. Inst. Discr. Shares Cap (empty)</v>
          </cell>
          <cell r="C419" t="str">
            <v>EUR-KAP-INST.DISCR</v>
          </cell>
          <cell r="D419">
            <v>20240215</v>
          </cell>
          <cell r="E419">
            <v>100</v>
          </cell>
        </row>
        <row r="420">
          <cell r="A420" t="str">
            <v>BE0129009966</v>
          </cell>
          <cell r="B420" t="str">
            <v>KBC Equity Fund Belgium Cap</v>
          </cell>
          <cell r="C420" t="str">
            <v>EUR-KAP-RETAIL</v>
          </cell>
          <cell r="D420">
            <v>20240404</v>
          </cell>
          <cell r="E420">
            <v>176.98</v>
          </cell>
        </row>
        <row r="421">
          <cell r="A421" t="str">
            <v>BE0129141348</v>
          </cell>
          <cell r="B421" t="str">
            <v>KBC Equity Fund Belgium Dis</v>
          </cell>
          <cell r="C421" t="str">
            <v>EUR-DIV-RETAIL</v>
          </cell>
          <cell r="D421">
            <v>20240404</v>
          </cell>
          <cell r="E421">
            <v>81.37</v>
          </cell>
        </row>
        <row r="422">
          <cell r="A422" t="str">
            <v>BE6239644220</v>
          </cell>
          <cell r="B422" t="str">
            <v>KBC Equity Fund CSOB Akciovy fond dividendovych firem Cap</v>
          </cell>
          <cell r="C422" t="str">
            <v>CZK-KAP-RETAIL</v>
          </cell>
          <cell r="D422">
            <v>20240404</v>
          </cell>
          <cell r="E422">
            <v>2365.15</v>
          </cell>
        </row>
        <row r="423">
          <cell r="A423" t="str">
            <v>BE6239645235</v>
          </cell>
          <cell r="B423" t="str">
            <v>KBC Equity Fund CSOB Akciovy fond dividendovych firem Dis</v>
          </cell>
          <cell r="C423" t="str">
            <v>CZK-DIV-RETAIL</v>
          </cell>
          <cell r="D423">
            <v>20240404</v>
          </cell>
          <cell r="E423">
            <v>1838.76</v>
          </cell>
        </row>
        <row r="424">
          <cell r="A424" t="str">
            <v>BE0156153802</v>
          </cell>
          <cell r="B424" t="str">
            <v>KBC Equity Fund Emerging Europe Classic Shares Cap (In Liquidation)</v>
          </cell>
          <cell r="C424" t="str">
            <v>EUR-KAP-RETAIL</v>
          </cell>
          <cell r="D424">
            <v>20230220</v>
          </cell>
          <cell r="E424">
            <v>978.04</v>
          </cell>
        </row>
        <row r="425">
          <cell r="A425" t="str">
            <v>BE6328577067</v>
          </cell>
          <cell r="B425" t="str">
            <v>KBC Equity Fund Emerging Europe Classic Shares CSOB CZK Cap (In Liquidation)</v>
          </cell>
          <cell r="C425" t="str">
            <v>CZK-KAP-RET.CSOB</v>
          </cell>
          <cell r="D425">
            <v>20230220</v>
          </cell>
          <cell r="E425">
            <v>886.33</v>
          </cell>
        </row>
        <row r="426">
          <cell r="A426" t="str">
            <v>BE0156154818</v>
          </cell>
          <cell r="B426" t="str">
            <v>KBC Equity Fund Emerging Europe Classic Shares Dis (In Liquidation)</v>
          </cell>
          <cell r="C426" t="str">
            <v>EUR-DIV-RETAIL</v>
          </cell>
          <cell r="D426">
            <v>20230220</v>
          </cell>
          <cell r="E426">
            <v>560.82000000000005</v>
          </cell>
        </row>
        <row r="427">
          <cell r="A427" t="str">
            <v>BE6228925705</v>
          </cell>
          <cell r="B427" t="str">
            <v>KBC Equity Fund Emerging Europe Inst. B Shares Cap (In Liquidation)</v>
          </cell>
          <cell r="C427" t="str">
            <v>EUR-KAP-INSTIT.B</v>
          </cell>
          <cell r="D427">
            <v>20211123</v>
          </cell>
          <cell r="E427">
            <v>1917.27</v>
          </cell>
        </row>
        <row r="428">
          <cell r="A428" t="str">
            <v>BE0126164640</v>
          </cell>
          <cell r="B428" t="str">
            <v>KBC Equity Fund Emerging Markets Classic Shares Cap</v>
          </cell>
          <cell r="C428" t="str">
            <v>EUR-KAP-RETAIL</v>
          </cell>
          <cell r="D428">
            <v>20240403</v>
          </cell>
          <cell r="E428">
            <v>2028.9</v>
          </cell>
        </row>
        <row r="429">
          <cell r="A429" t="str">
            <v>BE6294031891</v>
          </cell>
          <cell r="B429" t="str">
            <v>KBC Equity Fund Emerging Markets Classic Shares CSOB CZK Cap</v>
          </cell>
          <cell r="C429" t="str">
            <v>CZK-KAP-RET.CSOB</v>
          </cell>
          <cell r="D429">
            <v>20240403</v>
          </cell>
          <cell r="E429">
            <v>931.94</v>
          </cell>
        </row>
        <row r="430">
          <cell r="A430" t="str">
            <v>BE0152251584</v>
          </cell>
          <cell r="B430" t="str">
            <v>KBC Equity Fund Emerging Markets Classic Shares Dis</v>
          </cell>
          <cell r="C430" t="str">
            <v>EUR-DIV-RETAIL</v>
          </cell>
          <cell r="D430">
            <v>20240403</v>
          </cell>
          <cell r="E430">
            <v>1153.2</v>
          </cell>
        </row>
        <row r="431">
          <cell r="A431" t="str">
            <v>BE6228663025</v>
          </cell>
          <cell r="B431" t="str">
            <v>KBC Equity Fund Emerging Markets Inst. B Shares Cap</v>
          </cell>
          <cell r="C431" t="str">
            <v>EUR-KAP-INSTIT.B</v>
          </cell>
          <cell r="D431">
            <v>20240403</v>
          </cell>
          <cell r="E431">
            <v>2186.35</v>
          </cell>
        </row>
        <row r="432">
          <cell r="A432" t="str">
            <v>BE6260699283</v>
          </cell>
          <cell r="B432" t="str">
            <v>KBC Equity Fund Emerging Markets Resp. Invest. Classic Shares Cap</v>
          </cell>
          <cell r="C432" t="str">
            <v>EUR-KAP-RETAIL</v>
          </cell>
          <cell r="D432">
            <v>20240403</v>
          </cell>
          <cell r="E432">
            <v>455.01</v>
          </cell>
        </row>
        <row r="433">
          <cell r="A433" t="str">
            <v>BE6260700297</v>
          </cell>
          <cell r="B433" t="str">
            <v>KBC Equity Fund Emerging Markets Resp. Invest. Classic Shares Dis</v>
          </cell>
          <cell r="C433" t="str">
            <v>EUR-DIV-RETAIL</v>
          </cell>
          <cell r="D433">
            <v>20240403</v>
          </cell>
          <cell r="E433">
            <v>333.73</v>
          </cell>
        </row>
        <row r="434">
          <cell r="A434" t="str">
            <v>BE6260701303</v>
          </cell>
          <cell r="B434" t="str">
            <v>KBC Equity Fund Emerging Markets Resp. Invest. Corp.Shares Cap</v>
          </cell>
          <cell r="C434" t="str">
            <v>EUR-KAP-CORP.SHARES</v>
          </cell>
          <cell r="D434">
            <v>20240403</v>
          </cell>
          <cell r="E434">
            <v>1510.51</v>
          </cell>
        </row>
        <row r="435">
          <cell r="A435" t="str">
            <v>BE6294967557</v>
          </cell>
          <cell r="B435" t="str">
            <v>KBC Equity Fund Emerging Markets Resp. Invest. Inst. B Shares Cap</v>
          </cell>
          <cell r="C435" t="str">
            <v>EUR-KAP-INSTIT.B</v>
          </cell>
          <cell r="D435">
            <v>20240403</v>
          </cell>
          <cell r="E435">
            <v>1526.92</v>
          </cell>
        </row>
        <row r="436">
          <cell r="A436" t="str">
            <v>BE6348118504</v>
          </cell>
          <cell r="B436" t="str">
            <v>KBC Equity Fund Emerging Markets Resp. Invest. Inst. Discr. Shares Cap (empty)</v>
          </cell>
          <cell r="C436" t="str">
            <v>EUR-KAP-INST.DISCR</v>
          </cell>
          <cell r="D436">
            <v>20240215</v>
          </cell>
          <cell r="E436">
            <v>100</v>
          </cell>
        </row>
        <row r="437">
          <cell r="A437" t="str">
            <v>BE6260702319</v>
          </cell>
          <cell r="B437" t="str">
            <v>KBC Equity Fund Emerging Markets Resp. Invest. Inst. Shares Cap</v>
          </cell>
          <cell r="C437" t="str">
            <v>EUR-KAP-INSTITUTIONEEL</v>
          </cell>
          <cell r="D437">
            <v>20240403</v>
          </cell>
          <cell r="E437">
            <v>1540.1</v>
          </cell>
        </row>
        <row r="438">
          <cell r="A438" t="str">
            <v>BE6257807469</v>
          </cell>
          <cell r="B438" t="str">
            <v>KBC Equity Fund EMU Small &amp; Medium Caps Classic Shares Cap</v>
          </cell>
          <cell r="C438" t="str">
            <v>EUR-KAP-RETAIL</v>
          </cell>
          <cell r="D438">
            <v>20240404</v>
          </cell>
          <cell r="E438">
            <v>2455.02</v>
          </cell>
        </row>
        <row r="439">
          <cell r="A439" t="str">
            <v>BE6257808475</v>
          </cell>
          <cell r="B439" t="str">
            <v>KBC Equity Fund EMU Small &amp; Medium Caps Classic Shares Dis</v>
          </cell>
          <cell r="C439" t="str">
            <v>EUR-DIV-RETAIL</v>
          </cell>
          <cell r="D439">
            <v>20240404</v>
          </cell>
          <cell r="E439">
            <v>2070</v>
          </cell>
        </row>
        <row r="440">
          <cell r="A440" t="str">
            <v>BE6306633817</v>
          </cell>
          <cell r="B440" t="str">
            <v>KBC Equity Fund EMU Small &amp; Medium Caps Corp.Wealth Office shares Cap</v>
          </cell>
          <cell r="C440" t="str">
            <v>EUR-KAP-CORP W&amp;I</v>
          </cell>
          <cell r="D440">
            <v>20240404</v>
          </cell>
          <cell r="E440">
            <v>1436.33</v>
          </cell>
        </row>
        <row r="441">
          <cell r="A441" t="str">
            <v>BE6306634823</v>
          </cell>
          <cell r="B441" t="str">
            <v>KBC Equity Fund EMU Small &amp; Medium Caps Corp.Wealth Office shares Dis</v>
          </cell>
          <cell r="C441" t="str">
            <v>EUR-DIV-CORP W&amp;I</v>
          </cell>
          <cell r="D441">
            <v>20240404</v>
          </cell>
          <cell r="E441">
            <v>1322.27</v>
          </cell>
        </row>
        <row r="442">
          <cell r="A442" t="str">
            <v>BE6257809481</v>
          </cell>
          <cell r="B442" t="str">
            <v>KBC Equity Fund EMU Small &amp; Medium Caps Inst. B Shares Cap</v>
          </cell>
          <cell r="C442" t="str">
            <v>EUR-KAP-INSTIT.B</v>
          </cell>
          <cell r="D442">
            <v>20240404</v>
          </cell>
          <cell r="E442">
            <v>2651.28</v>
          </cell>
        </row>
        <row r="443">
          <cell r="A443" t="str">
            <v>BE6311809196</v>
          </cell>
          <cell r="B443" t="str">
            <v>KBC Equity Fund EMU Small &amp; Medium Caps Resp. Invest. Classic Shares Cap</v>
          </cell>
          <cell r="C443" t="str">
            <v>EUR-KAP-RETAIL</v>
          </cell>
          <cell r="D443">
            <v>20240404</v>
          </cell>
          <cell r="E443">
            <v>1265.51</v>
          </cell>
        </row>
        <row r="444">
          <cell r="A444" t="str">
            <v>BE6311811218</v>
          </cell>
          <cell r="B444" t="str">
            <v>KBC Equity Fund EMU Small &amp; Medium Caps Resp. Invest. Classic Shares Dis</v>
          </cell>
          <cell r="C444" t="str">
            <v>EUR-DIV-RETAIL</v>
          </cell>
          <cell r="D444">
            <v>20240404</v>
          </cell>
          <cell r="E444">
            <v>1181.8699999999999</v>
          </cell>
        </row>
        <row r="445">
          <cell r="A445" t="str">
            <v>BE6313626903</v>
          </cell>
          <cell r="B445" t="str">
            <v>KBC Equity Fund EMU Small &amp; Medium Caps Resp. Invest. Inst. B Shares Cap</v>
          </cell>
          <cell r="C445" t="str">
            <v>EUR-KAP-INSTIT.B</v>
          </cell>
          <cell r="D445">
            <v>20240404</v>
          </cell>
          <cell r="E445">
            <v>1355.42</v>
          </cell>
        </row>
        <row r="446">
          <cell r="A446" t="str">
            <v>BE6348121532</v>
          </cell>
          <cell r="B446" t="str">
            <v>KBC Equity Fund EMU Small &amp; Medium Caps Resp. Invest. Inst. Discr. Shares Cap (empty)</v>
          </cell>
          <cell r="C446" t="str">
            <v>EUR-KAP-INST.DISCR</v>
          </cell>
          <cell r="D446">
            <v>20240215</v>
          </cell>
          <cell r="E446">
            <v>100</v>
          </cell>
        </row>
        <row r="447">
          <cell r="A447" t="str">
            <v>BE6311812224</v>
          </cell>
          <cell r="B447" t="str">
            <v>KBC Equity Fund EMU Small &amp; Medium Caps Resp. Invest. Inst. Shares Cap</v>
          </cell>
          <cell r="C447" t="str">
            <v>EUR-KAP-INSTITUTIONEEL</v>
          </cell>
          <cell r="D447">
            <v>20240404</v>
          </cell>
          <cell r="E447">
            <v>1346.65</v>
          </cell>
        </row>
        <row r="448">
          <cell r="A448" t="str">
            <v>BE6311815250</v>
          </cell>
          <cell r="B448" t="str">
            <v>KBC Equity Fund EMU Small &amp; Medium Caps Resp. Invest. Inst. Shares Dis</v>
          </cell>
          <cell r="C448" t="str">
            <v>EUR-DIV-INSTITUTIONEEL</v>
          </cell>
          <cell r="D448">
            <v>20240404</v>
          </cell>
          <cell r="E448">
            <v>1234.32</v>
          </cell>
        </row>
        <row r="449">
          <cell r="A449" t="str">
            <v>BE0057593726</v>
          </cell>
          <cell r="B449" t="str">
            <v>KBC Equity Fund Enhanced Intelligence Stock Sel. Classic Shares Cap</v>
          </cell>
          <cell r="C449" t="str">
            <v>EUR-KAP-RETAIL</v>
          </cell>
          <cell r="D449">
            <v>20240404</v>
          </cell>
          <cell r="E449">
            <v>10854.43</v>
          </cell>
        </row>
        <row r="450">
          <cell r="A450" t="str">
            <v>BE0057592710</v>
          </cell>
          <cell r="B450" t="str">
            <v>KBC Equity Fund Enhanced Intelligence Stock Sel. Classic Shares Dis</v>
          </cell>
          <cell r="C450" t="str">
            <v>EUR-DIV-RETAIL</v>
          </cell>
          <cell r="D450">
            <v>20240404</v>
          </cell>
          <cell r="E450">
            <v>7737.28</v>
          </cell>
        </row>
        <row r="451">
          <cell r="A451" t="str">
            <v>BE6306639871</v>
          </cell>
          <cell r="B451" t="str">
            <v>KBC Equity Fund Enhanced Intelligence Stock Sel. Corp.Wealth Office shares Cap</v>
          </cell>
          <cell r="C451" t="str">
            <v>EUR-KAP-CORP W&amp;I</v>
          </cell>
          <cell r="D451">
            <v>20240404</v>
          </cell>
          <cell r="E451">
            <v>1631.71</v>
          </cell>
        </row>
        <row r="452">
          <cell r="A452" t="str">
            <v>BE6306640887</v>
          </cell>
          <cell r="B452" t="str">
            <v>KBC Equity Fund Enhanced Intelligence Stock Sel. Corp.Wealth Office shares Dis</v>
          </cell>
          <cell r="C452" t="str">
            <v>EUR-DIV-CORP W&amp;I</v>
          </cell>
          <cell r="D452">
            <v>20240404</v>
          </cell>
          <cell r="E452">
            <v>1502.7</v>
          </cell>
        </row>
        <row r="453">
          <cell r="A453" t="str">
            <v>BE6348157890</v>
          </cell>
          <cell r="B453" t="str">
            <v>KBC Equity Fund Enhanced Intelligence Stock Sel. Inst. Discr. Shares Cap (empty)</v>
          </cell>
          <cell r="C453" t="str">
            <v>EUR-KAP-INST.DISCR</v>
          </cell>
          <cell r="D453">
            <v>20240215</v>
          </cell>
          <cell r="E453">
            <v>100</v>
          </cell>
        </row>
        <row r="454">
          <cell r="A454" t="str">
            <v>BE0126161612</v>
          </cell>
          <cell r="B454" t="str">
            <v>KBC Equity Fund Europe Classic Shares Cap</v>
          </cell>
          <cell r="C454" t="str">
            <v>EUR-KAP-RETAIL</v>
          </cell>
          <cell r="D454">
            <v>20240404</v>
          </cell>
          <cell r="E454">
            <v>2239.65</v>
          </cell>
        </row>
        <row r="455">
          <cell r="A455" t="str">
            <v>BE6264650027</v>
          </cell>
          <cell r="B455" t="str">
            <v>KBC Equity Fund Europe Classic Shares CSOB CZK Cap</v>
          </cell>
          <cell r="C455" t="str">
            <v>CZK-KAP-RET.CSOB</v>
          </cell>
          <cell r="D455">
            <v>20240404</v>
          </cell>
          <cell r="E455">
            <v>1398.23</v>
          </cell>
        </row>
        <row r="456">
          <cell r="A456" t="str">
            <v>BE0152247541</v>
          </cell>
          <cell r="B456" t="str">
            <v>KBC Equity Fund Europe Classic Shares Dis</v>
          </cell>
          <cell r="C456" t="str">
            <v>EUR-DIV-RETAIL</v>
          </cell>
          <cell r="D456">
            <v>20240404</v>
          </cell>
          <cell r="E456">
            <v>1237.51</v>
          </cell>
        </row>
        <row r="457">
          <cell r="A457" t="str">
            <v>BE6258422797</v>
          </cell>
          <cell r="B457" t="str">
            <v>KBC Equity Fund Europe Inst. B Shares Cap</v>
          </cell>
          <cell r="C457" t="str">
            <v>EUR-KAP-INSTIT.B</v>
          </cell>
          <cell r="D457">
            <v>20240404</v>
          </cell>
          <cell r="E457">
            <v>2392.9299999999998</v>
          </cell>
        </row>
        <row r="458">
          <cell r="A458" t="str">
            <v>BE0175979211</v>
          </cell>
          <cell r="B458" t="str">
            <v>KBC Equity Fund Eurozone Classic Shares Cap</v>
          </cell>
          <cell r="C458" t="str">
            <v>EUR-KAP-RETAIL</v>
          </cell>
          <cell r="D458">
            <v>20240404</v>
          </cell>
          <cell r="E458">
            <v>748.65</v>
          </cell>
        </row>
        <row r="459">
          <cell r="A459" t="str">
            <v>BE0175978205</v>
          </cell>
          <cell r="B459" t="str">
            <v>KBC Equity Fund Eurozone Classic Shares Dis</v>
          </cell>
          <cell r="C459" t="str">
            <v>EUR-DIV-RETAIL</v>
          </cell>
          <cell r="D459">
            <v>20240404</v>
          </cell>
          <cell r="E459">
            <v>454.03</v>
          </cell>
        </row>
        <row r="460">
          <cell r="A460" t="str">
            <v>BE6299576080</v>
          </cell>
          <cell r="B460" t="str">
            <v>KBC Equity Fund Eurozone DBI-RDT Classic Shares Dis</v>
          </cell>
          <cell r="C460" t="str">
            <v>EUR-DIV-RETAIL</v>
          </cell>
          <cell r="D460">
            <v>20240404</v>
          </cell>
          <cell r="E460">
            <v>562.66999999999996</v>
          </cell>
        </row>
        <row r="461">
          <cell r="A461" t="str">
            <v>BE6299844827</v>
          </cell>
          <cell r="B461" t="str">
            <v>KBC Equity Fund Eurozone DBI-RDT Corp.Shares Dis</v>
          </cell>
          <cell r="C461" t="str">
            <v>EUR-DIV-CORP.SHARES</v>
          </cell>
          <cell r="D461">
            <v>20240404</v>
          </cell>
          <cell r="E461">
            <v>567.71</v>
          </cell>
        </row>
        <row r="462">
          <cell r="A462" t="str">
            <v>BE6299995397</v>
          </cell>
          <cell r="B462" t="str">
            <v>KBC Equity Fund Eurozone DBI-RDT Corp.Wealth shares Dis</v>
          </cell>
          <cell r="C462" t="str">
            <v>EUR-DIV-CORP.WEALTH</v>
          </cell>
          <cell r="D462">
            <v>20240404</v>
          </cell>
          <cell r="E462">
            <v>569.54</v>
          </cell>
        </row>
        <row r="463">
          <cell r="A463" t="str">
            <v>BE6300846175</v>
          </cell>
          <cell r="B463" t="str">
            <v>KBC Equity Fund Eurozone DBI-RDT Discr. Shares Dis</v>
          </cell>
          <cell r="C463" t="str">
            <v>EUR-DIV-DISCR.SHARES</v>
          </cell>
          <cell r="D463">
            <v>20240404</v>
          </cell>
          <cell r="E463">
            <v>570.37</v>
          </cell>
        </row>
        <row r="464">
          <cell r="A464" t="str">
            <v>BE6348123553</v>
          </cell>
          <cell r="B464" t="str">
            <v>KBC Equity Fund Eurozone DBI-RDT Inst. Discr. Shares Dis (empty)</v>
          </cell>
          <cell r="C464" t="str">
            <v>EUR-DIV-INST.DISCR</v>
          </cell>
          <cell r="D464">
            <v>20240215</v>
          </cell>
          <cell r="E464">
            <v>100</v>
          </cell>
        </row>
        <row r="465">
          <cell r="A465" t="str">
            <v>BE6299843811</v>
          </cell>
          <cell r="B465" t="str">
            <v>KBC Equity Fund Eurozone DBI-RDT Inst. Shares Dis</v>
          </cell>
          <cell r="C465" t="str">
            <v>EUR-DIV-INSTITUTIONEEL</v>
          </cell>
          <cell r="D465">
            <v>20240404</v>
          </cell>
          <cell r="E465">
            <v>597.9</v>
          </cell>
        </row>
        <row r="466">
          <cell r="A466" t="str">
            <v>BE6228543763</v>
          </cell>
          <cell r="B466" t="str">
            <v>KBC Equity Fund Eurozone Inst. B Shares Cap</v>
          </cell>
          <cell r="C466" t="str">
            <v>EUR-KAP-INSTIT.B</v>
          </cell>
          <cell r="D466">
            <v>20240404</v>
          </cell>
          <cell r="E466">
            <v>801.54</v>
          </cell>
        </row>
        <row r="467">
          <cell r="A467" t="str">
            <v>BE6307731156</v>
          </cell>
          <cell r="B467" t="str">
            <v>KBC Equity Fund Eurozone Resp. Invest. Classic Shares Cap</v>
          </cell>
          <cell r="C467" t="str">
            <v>EUR-KAP-RETAIL</v>
          </cell>
          <cell r="D467">
            <v>20240404</v>
          </cell>
          <cell r="E467">
            <v>1382.74</v>
          </cell>
        </row>
        <row r="468">
          <cell r="A468" t="str">
            <v>BE6307732162</v>
          </cell>
          <cell r="B468" t="str">
            <v>KBC Equity Fund Eurozone Resp. Invest. Inst. B Shares Cap</v>
          </cell>
          <cell r="C468" t="str">
            <v>EUR-KAP-INSTIT.B</v>
          </cell>
          <cell r="D468">
            <v>20240404</v>
          </cell>
          <cell r="E468">
            <v>1437</v>
          </cell>
        </row>
        <row r="469">
          <cell r="A469" t="str">
            <v>BE6348125574</v>
          </cell>
          <cell r="B469" t="str">
            <v>KBC Equity Fund Eurozone Resp. Invest. Inst. Discr. Shares Cap (empty)</v>
          </cell>
          <cell r="C469" t="str">
            <v>EUR-KAP-INST.DISCR</v>
          </cell>
          <cell r="D469">
            <v>20240215</v>
          </cell>
          <cell r="E469">
            <v>100</v>
          </cell>
        </row>
        <row r="470">
          <cell r="A470" t="str">
            <v>BE6266852704</v>
          </cell>
          <cell r="B470" t="str">
            <v>KBC Equity Fund Family Enterprises Classic Shares Cap</v>
          </cell>
          <cell r="C470" t="str">
            <v>EUR-KAP-RETAIL</v>
          </cell>
          <cell r="D470">
            <v>20240404</v>
          </cell>
          <cell r="E470">
            <v>1683.27</v>
          </cell>
        </row>
        <row r="471">
          <cell r="A471" t="str">
            <v>BE6266853710</v>
          </cell>
          <cell r="B471" t="str">
            <v>KBC Equity Fund Family Enterprises Classic Shares Dis</v>
          </cell>
          <cell r="C471" t="str">
            <v>EUR-DIV-RETAIL</v>
          </cell>
          <cell r="D471">
            <v>20240404</v>
          </cell>
          <cell r="E471">
            <v>1449.8</v>
          </cell>
        </row>
        <row r="472">
          <cell r="A472" t="str">
            <v>BE6306641893</v>
          </cell>
          <cell r="B472" t="str">
            <v>KBC Equity Fund Family Enterprises Corp.Wealth Office shares Cap</v>
          </cell>
          <cell r="C472" t="str">
            <v>EUR-KAP-CORP W&amp;I</v>
          </cell>
          <cell r="D472">
            <v>20240404</v>
          </cell>
          <cell r="E472">
            <v>1291.6199999999999</v>
          </cell>
        </row>
        <row r="473">
          <cell r="A473" t="str">
            <v>BE6306642909</v>
          </cell>
          <cell r="B473" t="str">
            <v>KBC Equity Fund Family Enterprises Corp.Wealth Office shares Dis</v>
          </cell>
          <cell r="C473" t="str">
            <v>EUR-DIV-CORP W&amp;I</v>
          </cell>
          <cell r="D473">
            <v>20240404</v>
          </cell>
          <cell r="E473">
            <v>1194.08</v>
          </cell>
        </row>
        <row r="474">
          <cell r="A474" t="str">
            <v>BE6348009380</v>
          </cell>
          <cell r="B474" t="str">
            <v>KBC Equity Fund Family Enterprises Discr. Wealth Shares Cap (empty)</v>
          </cell>
          <cell r="C474" t="str">
            <v>EUR-KAP-DISCR.SHARES</v>
          </cell>
          <cell r="D474">
            <v>20240123</v>
          </cell>
          <cell r="E474">
            <v>100</v>
          </cell>
        </row>
        <row r="475">
          <cell r="A475" t="str">
            <v>BE6348127596</v>
          </cell>
          <cell r="B475" t="str">
            <v>KBC Equity Fund Family Enterprises Inst. Discr. Shares Cap (empty)</v>
          </cell>
          <cell r="C475" t="str">
            <v>EUR-KAP-INST.DISCR</v>
          </cell>
          <cell r="D475">
            <v>20240215</v>
          </cell>
          <cell r="E475">
            <v>100</v>
          </cell>
        </row>
        <row r="476">
          <cell r="A476" t="str">
            <v>BE0164243223</v>
          </cell>
          <cell r="B476" t="str">
            <v>KBC Equity Fund Flanders Classic Shares Cap</v>
          </cell>
          <cell r="C476" t="str">
            <v>EUR-KAP-RETAIL</v>
          </cell>
          <cell r="D476">
            <v>20240404</v>
          </cell>
          <cell r="E476">
            <v>4104.7</v>
          </cell>
        </row>
        <row r="477">
          <cell r="A477" t="str">
            <v>BE0164244239</v>
          </cell>
          <cell r="B477" t="str">
            <v>KBC Equity Fund Flanders Classic Shares Dis</v>
          </cell>
          <cell r="C477" t="str">
            <v>EUR-DIV-RETAIL</v>
          </cell>
          <cell r="D477">
            <v>20240404</v>
          </cell>
          <cell r="E477">
            <v>2455.6799999999998</v>
          </cell>
        </row>
        <row r="478">
          <cell r="A478" t="str">
            <v>BE6348129618</v>
          </cell>
          <cell r="B478" t="str">
            <v>KBC Equity Fund Flanders Inst. Discr. Shares Cap (empty)</v>
          </cell>
          <cell r="C478" t="str">
            <v>EUR-KAP-INST.DISCR</v>
          </cell>
          <cell r="D478">
            <v>20240215</v>
          </cell>
          <cell r="E478">
            <v>100</v>
          </cell>
        </row>
        <row r="479">
          <cell r="A479" t="str">
            <v>BE6322323575</v>
          </cell>
          <cell r="B479" t="str">
            <v>KBC Equity Fund Fundamental Opportunities Classic Shares Cap</v>
          </cell>
          <cell r="C479" t="str">
            <v>EUR-KAP-RETAIL</v>
          </cell>
          <cell r="D479">
            <v>20240404</v>
          </cell>
          <cell r="E479">
            <v>1261.31</v>
          </cell>
        </row>
        <row r="480">
          <cell r="A480" t="str">
            <v>BE6322325596</v>
          </cell>
          <cell r="B480" t="str">
            <v>KBC Equity Fund Fundamental Opportunities Classic Shares Dis</v>
          </cell>
          <cell r="C480" t="str">
            <v>EUR-DIV-RETAIL</v>
          </cell>
          <cell r="D480">
            <v>20240404</v>
          </cell>
          <cell r="E480">
            <v>1303.9100000000001</v>
          </cell>
        </row>
        <row r="481">
          <cell r="A481" t="str">
            <v>BE6322326602</v>
          </cell>
          <cell r="B481" t="str">
            <v>KBC Equity Fund Fundamental Opportunities Corp.Wealth &amp; Inst. Office shares Cap</v>
          </cell>
          <cell r="C481" t="str">
            <v>EUR-KAP-CORP W&amp;I</v>
          </cell>
          <cell r="D481">
            <v>20240404</v>
          </cell>
          <cell r="E481">
            <v>1279.8800000000001</v>
          </cell>
        </row>
        <row r="482">
          <cell r="A482" t="str">
            <v>BE6322328624</v>
          </cell>
          <cell r="B482" t="str">
            <v>KBC Equity Fund Fundamental Opportunities Corp.Wealth &amp; Inst. Office shares Dis</v>
          </cell>
          <cell r="C482" t="str">
            <v>EUR-DIV-CORP W&amp;I</v>
          </cell>
          <cell r="D482">
            <v>20240404</v>
          </cell>
          <cell r="E482">
            <v>1258.79</v>
          </cell>
        </row>
        <row r="483">
          <cell r="A483" t="str">
            <v>BE6326280375</v>
          </cell>
          <cell r="B483" t="str">
            <v>KBC Equity Fund Fundamental Opportunities DBI-RDT Classic Shares Dis</v>
          </cell>
          <cell r="C483" t="str">
            <v>EUR-DIV-RETAIL</v>
          </cell>
          <cell r="D483">
            <v>20240404</v>
          </cell>
          <cell r="E483">
            <v>1188.1600000000001</v>
          </cell>
        </row>
        <row r="484">
          <cell r="A484" t="str">
            <v>BE6326281381</v>
          </cell>
          <cell r="B484" t="str">
            <v>KBC Equity Fund Fundamental Opportunities DBI-RDT Corp.Shares Dis</v>
          </cell>
          <cell r="C484" t="str">
            <v>EUR-DIV-CORP.SHARES</v>
          </cell>
          <cell r="D484">
            <v>20240404</v>
          </cell>
          <cell r="E484">
            <v>1201.67</v>
          </cell>
        </row>
        <row r="485">
          <cell r="A485" t="str">
            <v>BE6348144765</v>
          </cell>
          <cell r="B485" t="str">
            <v>KBC Equity Fund Fundamental Opportunities DBI-RDT Inst. Discr. Shares Dis (empty)</v>
          </cell>
          <cell r="C485" t="str">
            <v>EUR-DIV-INST.DISCR</v>
          </cell>
          <cell r="D485">
            <v>20240215</v>
          </cell>
          <cell r="E485">
            <v>100</v>
          </cell>
        </row>
        <row r="486">
          <cell r="A486" t="str">
            <v>BE6348010396</v>
          </cell>
          <cell r="B486" t="str">
            <v>KBC Equity Fund Fundamental Opportunities Discr. Wealth Shares Cap</v>
          </cell>
          <cell r="C486" t="str">
            <v>EUR-KAP-DISCR.SHARES</v>
          </cell>
          <cell r="D486">
            <v>20240404</v>
          </cell>
          <cell r="E486">
            <v>101.26</v>
          </cell>
        </row>
        <row r="487">
          <cell r="A487" t="str">
            <v>BE6348143759</v>
          </cell>
          <cell r="B487" t="str">
            <v>KBC Equity Fund Fundamental Opportunities Inst. Discr. Shares Cap (empty)</v>
          </cell>
          <cell r="C487" t="str">
            <v>EUR-KAP-INST.DISCR</v>
          </cell>
          <cell r="D487">
            <v>20240215</v>
          </cell>
          <cell r="E487">
            <v>100</v>
          </cell>
        </row>
        <row r="488">
          <cell r="A488" t="str">
            <v>BE6326282397</v>
          </cell>
          <cell r="B488" t="str">
            <v>KBC Equity Fund Fundamental Opportunities Inst. F Shares LU Cap</v>
          </cell>
          <cell r="C488" t="str">
            <v>EUR-KAP-INST.FLU</v>
          </cell>
          <cell r="D488">
            <v>20240404</v>
          </cell>
          <cell r="E488">
            <v>1265.68</v>
          </cell>
        </row>
        <row r="489">
          <cell r="A489" t="str">
            <v>BE6338505405</v>
          </cell>
          <cell r="B489" t="str">
            <v>KBC Equity Fund Global Value Resp. Invest. Classic Shares Cap</v>
          </cell>
          <cell r="C489" t="str">
            <v>EUR-KAP-CS.EUR</v>
          </cell>
          <cell r="D489">
            <v>20240404</v>
          </cell>
          <cell r="E489">
            <v>109.78</v>
          </cell>
        </row>
        <row r="490">
          <cell r="A490" t="str">
            <v>BE6338506411</v>
          </cell>
          <cell r="B490" t="str">
            <v>KBC Equity Fund Global Value Resp. Invest. Classic Shares Dis</v>
          </cell>
          <cell r="C490" t="str">
            <v>EUR-DIV-CS.EUR</v>
          </cell>
          <cell r="D490">
            <v>20240404</v>
          </cell>
          <cell r="E490">
            <v>107.07</v>
          </cell>
        </row>
        <row r="491">
          <cell r="A491" t="str">
            <v>BE6338513482</v>
          </cell>
          <cell r="B491" t="str">
            <v>KBC Equity Fund Global Value Resp. Invest. Classic Shares USD Cap</v>
          </cell>
          <cell r="C491" t="str">
            <v>USD-KAP-CS.USD</v>
          </cell>
          <cell r="D491">
            <v>20240404</v>
          </cell>
          <cell r="E491">
            <v>113.23</v>
          </cell>
        </row>
        <row r="492">
          <cell r="A492" t="str">
            <v>BE6338514498</v>
          </cell>
          <cell r="B492" t="str">
            <v>KBC Equity Fund Global Value Resp. Invest. Classic Shares USD Dis</v>
          </cell>
          <cell r="C492" t="str">
            <v>USD-DIV-CS.USD</v>
          </cell>
          <cell r="D492">
            <v>20240404</v>
          </cell>
          <cell r="E492">
            <v>111.57</v>
          </cell>
        </row>
        <row r="493">
          <cell r="A493" t="str">
            <v>BE6338509449</v>
          </cell>
          <cell r="B493" t="str">
            <v>KBC Equity Fund Global Value Resp. Invest. Corp.Shares Cap</v>
          </cell>
          <cell r="C493" t="str">
            <v>EUR-KAP-CORP.SHARES</v>
          </cell>
          <cell r="D493">
            <v>20240404</v>
          </cell>
          <cell r="E493">
            <v>113.3</v>
          </cell>
        </row>
        <row r="494">
          <cell r="A494" t="str">
            <v>BE6338510454</v>
          </cell>
          <cell r="B494" t="str">
            <v>KBC Equity Fund Global Value Resp. Invest. Corp.Shares Dis (empty)</v>
          </cell>
          <cell r="C494" t="str">
            <v>EUR-DIV-CORP.SHARES</v>
          </cell>
          <cell r="D494">
            <v>20230217</v>
          </cell>
          <cell r="E494">
            <v>100</v>
          </cell>
        </row>
        <row r="495">
          <cell r="A495" t="str">
            <v>BE6338507427</v>
          </cell>
          <cell r="B495" t="str">
            <v>KBC Equity Fund Global Value Resp. Invest. Discr. Shares Cap</v>
          </cell>
          <cell r="C495" t="str">
            <v>EUR-KAP-DISCR.SHARES</v>
          </cell>
          <cell r="D495">
            <v>20240404</v>
          </cell>
          <cell r="E495">
            <v>117.9</v>
          </cell>
        </row>
        <row r="496">
          <cell r="A496" t="str">
            <v>BE6338508433</v>
          </cell>
          <cell r="B496" t="str">
            <v>KBC Equity Fund Global Value Resp. Invest. Discr. Shares Dis</v>
          </cell>
          <cell r="C496" t="str">
            <v>EUR-DIV-DISCR.SHARES</v>
          </cell>
          <cell r="D496">
            <v>20240404</v>
          </cell>
          <cell r="E496">
            <v>109.1</v>
          </cell>
        </row>
        <row r="497">
          <cell r="A497" t="str">
            <v>BE6348013424</v>
          </cell>
          <cell r="B497" t="str">
            <v>KBC Equity Fund Global Value Resp. Invest. Discr. Wealth Shares Cap (empty)</v>
          </cell>
          <cell r="C497" t="str">
            <v>EUR-KAP-DISCR.SHARES</v>
          </cell>
          <cell r="D497">
            <v>20240123</v>
          </cell>
          <cell r="E497">
            <v>100</v>
          </cell>
        </row>
        <row r="498">
          <cell r="A498" t="str">
            <v>BE6348145770</v>
          </cell>
          <cell r="B498" t="str">
            <v>KBC Equity Fund Global Value Resp. Invest. Inst. Discr. Shares Cap (empty)</v>
          </cell>
          <cell r="C498" t="str">
            <v>EUR-KAP-INST.DISCR</v>
          </cell>
          <cell r="D498">
            <v>20240215</v>
          </cell>
          <cell r="E498">
            <v>100</v>
          </cell>
        </row>
        <row r="499">
          <cell r="A499" t="str">
            <v>BE6338512476</v>
          </cell>
          <cell r="B499" t="str">
            <v>KBC Equity Fund Global Value Resp. Invest. Inst. Shares Cap</v>
          </cell>
          <cell r="C499" t="str">
            <v>EUR-KAP-INSTITUTIONEEL</v>
          </cell>
          <cell r="D499">
            <v>20240404</v>
          </cell>
          <cell r="E499">
            <v>1695.94</v>
          </cell>
        </row>
        <row r="500">
          <cell r="A500" t="str">
            <v>BE0170813936</v>
          </cell>
          <cell r="B500" t="str">
            <v>KBC Equity Fund Medical Technologies Classic Shares Cap</v>
          </cell>
          <cell r="C500" t="str">
            <v>USD-KAP-RETAIL</v>
          </cell>
          <cell r="D500">
            <v>20240404</v>
          </cell>
          <cell r="E500">
            <v>6273.31</v>
          </cell>
        </row>
        <row r="501">
          <cell r="A501" t="str">
            <v>BE0170812920</v>
          </cell>
          <cell r="B501" t="str">
            <v>KBC Equity Fund Medical Technologies Classic Shares Dis</v>
          </cell>
          <cell r="C501" t="str">
            <v>USD-DIV-RETAIL</v>
          </cell>
          <cell r="D501">
            <v>20240404</v>
          </cell>
          <cell r="E501">
            <v>5412.4</v>
          </cell>
        </row>
        <row r="502">
          <cell r="A502" t="str">
            <v>BE6228551840</v>
          </cell>
          <cell r="B502" t="str">
            <v>KBC Equity Fund Medical Technologies Inst. B Shares Cap</v>
          </cell>
          <cell r="C502" t="str">
            <v>USD-KAP-INSTIT.B</v>
          </cell>
          <cell r="D502">
            <v>20240404</v>
          </cell>
          <cell r="E502">
            <v>6777.3</v>
          </cell>
        </row>
        <row r="503">
          <cell r="A503" t="str">
            <v>BE6295392920</v>
          </cell>
          <cell r="B503" t="str">
            <v>KBC Equity Fund Minimum Variance Resp. Invest. Classic Shares Cap (empty)</v>
          </cell>
          <cell r="C503" t="str">
            <v>EUR-KAP-RETAIL</v>
          </cell>
          <cell r="D503">
            <v>20240404</v>
          </cell>
          <cell r="E503">
            <v>1479.99</v>
          </cell>
        </row>
        <row r="504">
          <cell r="A504" t="str">
            <v>BE6295394942</v>
          </cell>
          <cell r="B504" t="str">
            <v>KBC Equity Fund Minimum Variance Resp. Invest. Discr. Shares Cap</v>
          </cell>
          <cell r="C504" t="str">
            <v>EUR-KAP-DISCR.SHARES</v>
          </cell>
          <cell r="D504">
            <v>20240404</v>
          </cell>
          <cell r="E504">
            <v>1577.47</v>
          </cell>
        </row>
        <row r="505">
          <cell r="A505" t="str">
            <v>BE6295396962</v>
          </cell>
          <cell r="B505" t="str">
            <v>KBC Equity Fund Minimum Variance Resp. Invest. Discr. Shares Dis (empty)</v>
          </cell>
          <cell r="C505" t="str">
            <v>EUR-DIV-DISCR.SHARES</v>
          </cell>
          <cell r="D505">
            <v>20170627</v>
          </cell>
          <cell r="E505">
            <v>1000</v>
          </cell>
        </row>
        <row r="506">
          <cell r="A506" t="str">
            <v>BE6348154863</v>
          </cell>
          <cell r="B506" t="str">
            <v>KBC Equity Fund Minimum Variance Resp. Invest. Inst. Discr. Shares Cap (empty)</v>
          </cell>
          <cell r="C506" t="str">
            <v>EUR-KAP-INST.DISCR</v>
          </cell>
          <cell r="D506">
            <v>20240215</v>
          </cell>
          <cell r="E506">
            <v>100</v>
          </cell>
        </row>
        <row r="507">
          <cell r="A507" t="str">
            <v>BE6295397978</v>
          </cell>
          <cell r="B507" t="str">
            <v>KBC Equity Fund Minimum Variance Resp. Invest. Inst. Shares Cap</v>
          </cell>
          <cell r="C507" t="str">
            <v>EUR-KAP-INSTITUTIONEEL</v>
          </cell>
          <cell r="D507">
            <v>20240404</v>
          </cell>
          <cell r="E507">
            <v>1585.6</v>
          </cell>
        </row>
        <row r="508">
          <cell r="A508" t="str">
            <v>BE6295398018</v>
          </cell>
          <cell r="B508" t="str">
            <v>KBC Equity Fund Minimum Variance Resp. Invest. Inst. Shares Dis (empty)</v>
          </cell>
          <cell r="C508" t="str">
            <v>EUR-DIV-INSTITUTIONEEL</v>
          </cell>
          <cell r="D508">
            <v>20170627</v>
          </cell>
          <cell r="E508">
            <v>1000</v>
          </cell>
        </row>
        <row r="509">
          <cell r="A509" t="str">
            <v>BE0146025409</v>
          </cell>
          <cell r="B509" t="str">
            <v>KBC Equity Fund New Asia Classic Shares Cap</v>
          </cell>
          <cell r="C509" t="str">
            <v>EUR-KAP-RETAIL</v>
          </cell>
          <cell r="D509">
            <v>20240403</v>
          </cell>
          <cell r="E509">
            <v>963.52</v>
          </cell>
        </row>
        <row r="510">
          <cell r="A510" t="str">
            <v>BE0152245529</v>
          </cell>
          <cell r="B510" t="str">
            <v>KBC Equity Fund New Asia Classic Shares Dis</v>
          </cell>
          <cell r="C510" t="str">
            <v>EUR-DIV-RETAIL</v>
          </cell>
          <cell r="D510">
            <v>20240403</v>
          </cell>
          <cell r="E510">
            <v>576.30999999999995</v>
          </cell>
        </row>
        <row r="511">
          <cell r="A511" t="str">
            <v>BE6228552855</v>
          </cell>
          <cell r="B511" t="str">
            <v>KBC Equity Fund New Asia Inst. B Shares Cap</v>
          </cell>
          <cell r="C511" t="str">
            <v>EUR-KAP-INSTIT.B</v>
          </cell>
          <cell r="D511">
            <v>20240403</v>
          </cell>
          <cell r="E511">
            <v>1038.4100000000001</v>
          </cell>
        </row>
        <row r="512">
          <cell r="A512" t="str">
            <v>BE6348155878</v>
          </cell>
          <cell r="B512" t="str">
            <v>KBC Equity Fund New Asia Inst. Discr. Shares Cap (empty)</v>
          </cell>
          <cell r="C512" t="str">
            <v>EUR-KAP-INST.DISCR</v>
          </cell>
          <cell r="D512">
            <v>20240215</v>
          </cell>
          <cell r="E512">
            <v>100</v>
          </cell>
        </row>
        <row r="513">
          <cell r="A513" t="str">
            <v>BE0170533070</v>
          </cell>
          <cell r="B513" t="str">
            <v>KBC Equity Fund New Shares Cap</v>
          </cell>
          <cell r="C513" t="str">
            <v>EUR-KAP-RETAIL</v>
          </cell>
          <cell r="D513">
            <v>20240404</v>
          </cell>
          <cell r="E513">
            <v>1761.11</v>
          </cell>
        </row>
        <row r="514">
          <cell r="A514" t="str">
            <v>BE0170532064</v>
          </cell>
          <cell r="B514" t="str">
            <v>KBC Equity Fund New Shares Dis</v>
          </cell>
          <cell r="C514" t="str">
            <v>EUR-DIV-RETAIL</v>
          </cell>
          <cell r="D514">
            <v>20240404</v>
          </cell>
          <cell r="E514">
            <v>1224.99</v>
          </cell>
        </row>
        <row r="515">
          <cell r="A515" t="str">
            <v>BE0126162628</v>
          </cell>
          <cell r="B515" t="str">
            <v>KBC Equity Fund North America Classic Shares Cap</v>
          </cell>
          <cell r="C515" t="str">
            <v>USD-KAP-RETAIL</v>
          </cell>
          <cell r="D515">
            <v>20240404</v>
          </cell>
          <cell r="E515">
            <v>4773.2700000000004</v>
          </cell>
        </row>
        <row r="516">
          <cell r="A516" t="str">
            <v>BE6252265333</v>
          </cell>
          <cell r="B516" t="str">
            <v>KBC Equity Fund North America Classic Shares CSOB CZK Cap</v>
          </cell>
          <cell r="C516" t="str">
            <v>CZK-KAP-RET.CSOB</v>
          </cell>
          <cell r="D516">
            <v>20240404</v>
          </cell>
          <cell r="E516">
            <v>3223.1</v>
          </cell>
        </row>
        <row r="517">
          <cell r="A517" t="str">
            <v>BE0152249562</v>
          </cell>
          <cell r="B517" t="str">
            <v>KBC Equity Fund North America Classic Shares Dis</v>
          </cell>
          <cell r="C517" t="str">
            <v>USD-DIV-RETAIL</v>
          </cell>
          <cell r="D517">
            <v>20240404</v>
          </cell>
          <cell r="E517">
            <v>3226.09</v>
          </cell>
        </row>
        <row r="518">
          <cell r="A518" t="str">
            <v>BE6228535686</v>
          </cell>
          <cell r="B518" t="str">
            <v>KBC Equity Fund North America Inst. B Shares Cap</v>
          </cell>
          <cell r="C518" t="str">
            <v>USD-KAP-INSTIT.B</v>
          </cell>
          <cell r="D518">
            <v>20240404</v>
          </cell>
          <cell r="E518">
            <v>5111.78</v>
          </cell>
        </row>
        <row r="519">
          <cell r="A519" t="str">
            <v>BE6307776607</v>
          </cell>
          <cell r="B519" t="str">
            <v>KBC Equity Fund North America Resp. Invest. Classic Shares Cap</v>
          </cell>
          <cell r="C519" t="str">
            <v>USD-KAP-RETAIL</v>
          </cell>
          <cell r="D519">
            <v>20240404</v>
          </cell>
          <cell r="E519">
            <v>1687.51</v>
          </cell>
        </row>
        <row r="520">
          <cell r="A520" t="str">
            <v>BE6307777613</v>
          </cell>
          <cell r="B520" t="str">
            <v>KBC Equity Fund North America Resp. Invest. Inst. B Shares Cap</v>
          </cell>
          <cell r="C520" t="str">
            <v>EUR-KAP-INSTIT.B</v>
          </cell>
          <cell r="D520">
            <v>20240404</v>
          </cell>
          <cell r="E520">
            <v>1928.21</v>
          </cell>
        </row>
        <row r="521">
          <cell r="A521" t="str">
            <v>BE6348156884</v>
          </cell>
          <cell r="B521" t="str">
            <v>KBC Equity Fund North America Resp. Invest. Inst. Discr. Shares Cap (empty)</v>
          </cell>
          <cell r="C521" t="str">
            <v>EUR-KAP-INST.DISCR</v>
          </cell>
          <cell r="D521">
            <v>20240215</v>
          </cell>
          <cell r="E521">
            <v>100</v>
          </cell>
        </row>
        <row r="522">
          <cell r="A522" t="str">
            <v>BE6215122415</v>
          </cell>
          <cell r="B522" t="str">
            <v>KBC Equity Fund North American Continent Classic Shares Cap</v>
          </cell>
          <cell r="C522" t="str">
            <v>EUR-KAP-RETAIL</v>
          </cell>
          <cell r="D522">
            <v>20240404</v>
          </cell>
          <cell r="E522">
            <v>703.52</v>
          </cell>
        </row>
        <row r="523">
          <cell r="A523" t="str">
            <v>BE6215123421</v>
          </cell>
          <cell r="B523" t="str">
            <v>KBC Equity Fund North American Continent Classic Shares Dis</v>
          </cell>
          <cell r="C523" t="str">
            <v>EUR-DIV-RETAIL</v>
          </cell>
          <cell r="D523">
            <v>20240404</v>
          </cell>
          <cell r="E523">
            <v>585.88</v>
          </cell>
        </row>
        <row r="524">
          <cell r="A524" t="str">
            <v>BE6228928733</v>
          </cell>
          <cell r="B524" t="str">
            <v>KBC Equity Fund North American Continent Inst. B Shares Cap</v>
          </cell>
          <cell r="C524" t="str">
            <v>EUR-KAP-INSTIT.B</v>
          </cell>
          <cell r="D524">
            <v>20240404</v>
          </cell>
          <cell r="E524">
            <v>750.22</v>
          </cell>
        </row>
        <row r="525">
          <cell r="A525" t="str">
            <v>BE6318121264</v>
          </cell>
          <cell r="B525" t="str">
            <v>KBC Equity Fund North American Continent Resp. Invest. Classic Shares Cap (empty)</v>
          </cell>
          <cell r="C525" t="str">
            <v>USD-KAP-RETAIL</v>
          </cell>
          <cell r="D525">
            <v>20200415</v>
          </cell>
          <cell r="E525">
            <v>1000</v>
          </cell>
        </row>
        <row r="526">
          <cell r="A526" t="str">
            <v>BE6318122270</v>
          </cell>
          <cell r="B526" t="str">
            <v>KBC Equity Fund North American Continent Resp. Invest. Inst. B Shares EUR Cap</v>
          </cell>
          <cell r="C526" t="str">
            <v>EUR-KAP-INST.B EUR</v>
          </cell>
          <cell r="D526">
            <v>20240404</v>
          </cell>
          <cell r="E526">
            <v>1793.46</v>
          </cell>
        </row>
        <row r="527">
          <cell r="A527" t="str">
            <v>BE6321882043</v>
          </cell>
          <cell r="B527" t="str">
            <v>KBC Equity Fund Rest of Europe Classic Shares Cap</v>
          </cell>
          <cell r="C527" t="str">
            <v>EUR-KAP-RETAIL</v>
          </cell>
          <cell r="D527">
            <v>20240404</v>
          </cell>
          <cell r="E527">
            <v>1494.76</v>
          </cell>
        </row>
        <row r="528">
          <cell r="A528" t="str">
            <v>BE6321883058</v>
          </cell>
          <cell r="B528" t="str">
            <v>KBC Equity Fund Rest of Europe Classic Shares Dis</v>
          </cell>
          <cell r="C528" t="str">
            <v>EUR-DIV-RETAIL</v>
          </cell>
          <cell r="D528">
            <v>20240404</v>
          </cell>
          <cell r="E528">
            <v>1091.8399999999999</v>
          </cell>
        </row>
        <row r="529">
          <cell r="A529" t="str">
            <v>BE6321859785</v>
          </cell>
          <cell r="B529" t="str">
            <v>KBC Equity Fund Rest of Europe Inst. B Shares Cap</v>
          </cell>
          <cell r="C529" t="str">
            <v>EUR-KAP-INSTIT.B</v>
          </cell>
          <cell r="D529">
            <v>20240404</v>
          </cell>
          <cell r="E529">
            <v>1543.87</v>
          </cell>
        </row>
        <row r="530">
          <cell r="A530" t="str">
            <v>BE6307779635</v>
          </cell>
          <cell r="B530" t="str">
            <v>KBC Equity Fund Rest of Europe Resp. Invest. Classic Shares Cap</v>
          </cell>
          <cell r="C530" t="str">
            <v>EUR-KAP-RETAIL</v>
          </cell>
          <cell r="D530">
            <v>20240404</v>
          </cell>
          <cell r="E530">
            <v>1440.19</v>
          </cell>
        </row>
        <row r="531">
          <cell r="A531" t="str">
            <v>BE6307780641</v>
          </cell>
          <cell r="B531" t="str">
            <v>KBC Equity Fund Rest of Europe Resp. Invest. Inst. B Shares Cap</v>
          </cell>
          <cell r="C531" t="str">
            <v>EUR-KAP-INSTIT.B</v>
          </cell>
          <cell r="D531">
            <v>20240404</v>
          </cell>
          <cell r="E531">
            <v>1489.39</v>
          </cell>
        </row>
        <row r="532">
          <cell r="A532" t="str">
            <v>BE6348159912</v>
          </cell>
          <cell r="B532" t="str">
            <v>KBC Equity Fund Rest of Europe Resp. Invest. Inst. Discr. Shares Cap (empty)</v>
          </cell>
          <cell r="C532" t="str">
            <v>EUR-KAP-INST.DISCR</v>
          </cell>
          <cell r="D532">
            <v>20240215</v>
          </cell>
          <cell r="E532">
            <v>100</v>
          </cell>
        </row>
        <row r="533">
          <cell r="A533" t="str">
            <v>BE0170815956</v>
          </cell>
          <cell r="B533" t="str">
            <v>KBC Equity Fund Strategic Satellites Classic Shares Cap</v>
          </cell>
          <cell r="C533" t="str">
            <v>EUR-KAP-RETAIL</v>
          </cell>
          <cell r="D533">
            <v>20240404</v>
          </cell>
          <cell r="E533">
            <v>1486.37</v>
          </cell>
        </row>
        <row r="534">
          <cell r="A534" t="str">
            <v>BE0170814942</v>
          </cell>
          <cell r="B534" t="str">
            <v>KBC Equity Fund Strategic Satellites Classic Shares Dis</v>
          </cell>
          <cell r="C534" t="str">
            <v>EUR-DIV-RETAIL</v>
          </cell>
          <cell r="D534">
            <v>20240404</v>
          </cell>
          <cell r="E534">
            <v>964.14</v>
          </cell>
        </row>
        <row r="535">
          <cell r="A535" t="str">
            <v>BE6258069176</v>
          </cell>
          <cell r="B535" t="str">
            <v>KBC Equity Fund Strategic Satellites Inst. B Shares Cap (empty)</v>
          </cell>
          <cell r="C535" t="str">
            <v>EUR-KAP-INSTIT.B</v>
          </cell>
          <cell r="D535">
            <v>20200612</v>
          </cell>
          <cell r="E535">
            <v>845.3</v>
          </cell>
        </row>
        <row r="536">
          <cell r="A536" t="str">
            <v>BE0167243154</v>
          </cell>
          <cell r="B536" t="str">
            <v>KBC Equity Fund Trends Classic Shares Cap</v>
          </cell>
          <cell r="C536" t="str">
            <v>EUR-KAP-RETAIL</v>
          </cell>
          <cell r="D536">
            <v>20240404</v>
          </cell>
          <cell r="E536">
            <v>224.33</v>
          </cell>
        </row>
        <row r="537">
          <cell r="A537" t="str">
            <v>BE6286992340</v>
          </cell>
          <cell r="B537" t="str">
            <v>KBC Equity Fund Trends Classic Shares CSOB CZK Cap</v>
          </cell>
          <cell r="C537" t="str">
            <v>CZK-KAP-RET.CSOB</v>
          </cell>
          <cell r="D537">
            <v>20240404</v>
          </cell>
          <cell r="E537">
            <v>1904.96</v>
          </cell>
        </row>
        <row r="538">
          <cell r="A538" t="str">
            <v>BE0167244160</v>
          </cell>
          <cell r="B538" t="str">
            <v>KBC Equity Fund Trends Classic Shares Dis</v>
          </cell>
          <cell r="C538" t="str">
            <v>EUR-DIV-RETAIL</v>
          </cell>
          <cell r="D538">
            <v>20240404</v>
          </cell>
          <cell r="E538">
            <v>168.09</v>
          </cell>
        </row>
        <row r="539">
          <cell r="A539" t="str">
            <v>BE6228927727</v>
          </cell>
          <cell r="B539" t="str">
            <v>KBC Equity Fund Trends Inst. B Shares Cap</v>
          </cell>
          <cell r="C539" t="str">
            <v>EUR-KAP-INSTIT.B</v>
          </cell>
          <cell r="D539">
            <v>20240404</v>
          </cell>
          <cell r="E539">
            <v>235.21</v>
          </cell>
        </row>
        <row r="540">
          <cell r="A540" t="str">
            <v>BE6333465449</v>
          </cell>
          <cell r="B540" t="str">
            <v>KBC Equity Fund Trends Inst. F Shares LU Cap</v>
          </cell>
          <cell r="C540" t="str">
            <v>EUR-KAP-INST.FLU</v>
          </cell>
          <cell r="D540">
            <v>20240404</v>
          </cell>
          <cell r="E540">
            <v>1117.07</v>
          </cell>
        </row>
        <row r="541">
          <cell r="A541" t="str">
            <v>BE0168342476</v>
          </cell>
          <cell r="B541" t="str">
            <v>KBC Equity Fund US Small Caps Classic Shares Cap</v>
          </cell>
          <cell r="C541" t="str">
            <v>USD-KAP-RETAIL</v>
          </cell>
          <cell r="D541">
            <v>20240404</v>
          </cell>
          <cell r="E541">
            <v>2613.7800000000002</v>
          </cell>
        </row>
        <row r="542">
          <cell r="A542" t="str">
            <v>BE0168341460</v>
          </cell>
          <cell r="B542" t="str">
            <v>KBC Equity Fund US Small Caps Classic Shares Dis</v>
          </cell>
          <cell r="C542" t="str">
            <v>USD-DIV-RETAIL</v>
          </cell>
          <cell r="D542">
            <v>20240404</v>
          </cell>
          <cell r="E542">
            <v>2119.02</v>
          </cell>
        </row>
        <row r="543">
          <cell r="A543" t="str">
            <v>BE6228910558</v>
          </cell>
          <cell r="B543" t="str">
            <v>KBC Equity Fund US Small Caps Inst. B Shares Cap</v>
          </cell>
          <cell r="C543" t="str">
            <v>USD-KAP-INSTIT.B</v>
          </cell>
          <cell r="D543">
            <v>20240404</v>
          </cell>
          <cell r="E543">
            <v>2738.44</v>
          </cell>
        </row>
        <row r="544">
          <cell r="A544" t="str">
            <v>BE6348158906</v>
          </cell>
          <cell r="B544" t="str">
            <v>KBC Equity Fund US Small Caps Inst. Discr. Shares Cap (empty)</v>
          </cell>
          <cell r="C544" t="str">
            <v>EUR-KAP-INST.DISCR</v>
          </cell>
          <cell r="D544">
            <v>20240215</v>
          </cell>
          <cell r="E544">
            <v>100</v>
          </cell>
        </row>
        <row r="545">
          <cell r="A545" t="str">
            <v>BE0172711518</v>
          </cell>
          <cell r="B545" t="str">
            <v>KBC Equity Fund USA &amp; Canada Classic Shares Cap</v>
          </cell>
          <cell r="C545" t="str">
            <v>EUR-KAP-RETAIL</v>
          </cell>
          <cell r="D545">
            <v>20240404</v>
          </cell>
          <cell r="E545">
            <v>1424.51</v>
          </cell>
        </row>
        <row r="546">
          <cell r="A546" t="str">
            <v>BE0172710502</v>
          </cell>
          <cell r="B546" t="str">
            <v>KBC Equity Fund USA &amp; Canada Classic Shares Dis</v>
          </cell>
          <cell r="C546" t="str">
            <v>EUR-DIV-RETAIL</v>
          </cell>
          <cell r="D546">
            <v>20240404</v>
          </cell>
          <cell r="E546">
            <v>888.84</v>
          </cell>
        </row>
        <row r="547">
          <cell r="A547" t="str">
            <v>BE6228541742</v>
          </cell>
          <cell r="B547" t="str">
            <v>KBC Equity Fund USA &amp; Canada Inst. B Shares Cap</v>
          </cell>
          <cell r="C547" t="str">
            <v>EUR-KAP-INSTIT.B</v>
          </cell>
          <cell r="D547">
            <v>20240404</v>
          </cell>
          <cell r="E547">
            <v>1518.79</v>
          </cell>
        </row>
        <row r="548">
          <cell r="A548" t="str">
            <v>BE6307763472</v>
          </cell>
          <cell r="B548" t="str">
            <v>KBC Equity Fund USA &amp; Canada Resp. Invest. Classic Shares Cap (empty)</v>
          </cell>
          <cell r="C548" t="str">
            <v>EUR-KAP-RETAIL</v>
          </cell>
          <cell r="D548">
            <v>20181105</v>
          </cell>
          <cell r="E548">
            <v>1000</v>
          </cell>
        </row>
        <row r="549">
          <cell r="A549" t="str">
            <v>BE6307764488</v>
          </cell>
          <cell r="B549" t="str">
            <v>KBC Equity Fund USA &amp; Canada Resp. Invest. Inst. B Shares Cap</v>
          </cell>
          <cell r="C549" t="str">
            <v>EUR-KAP-INSTIT.B</v>
          </cell>
          <cell r="D549">
            <v>20240404</v>
          </cell>
          <cell r="E549">
            <v>1863.49</v>
          </cell>
        </row>
        <row r="550">
          <cell r="A550" t="str">
            <v>BE0166584350</v>
          </cell>
          <cell r="B550" t="str">
            <v>KBC Equity Fund We Care Resp. Invest. Classic Shares Cap</v>
          </cell>
          <cell r="C550" t="str">
            <v>EUR-KAP-RETAIL</v>
          </cell>
          <cell r="D550">
            <v>20240404</v>
          </cell>
          <cell r="E550">
            <v>2672.89</v>
          </cell>
        </row>
        <row r="551">
          <cell r="A551" t="str">
            <v>BE6337475774</v>
          </cell>
          <cell r="B551" t="str">
            <v>KBC Equity Fund We Care Resp. Invest. Classic Shares CSOB CZK Cap</v>
          </cell>
          <cell r="C551" t="str">
            <v>CZK-KAP-RET.CSOB</v>
          </cell>
          <cell r="D551">
            <v>20240404</v>
          </cell>
          <cell r="E551">
            <v>1079.42</v>
          </cell>
        </row>
        <row r="552">
          <cell r="A552" t="str">
            <v>BE0166585365</v>
          </cell>
          <cell r="B552" t="str">
            <v>KBC Equity Fund We Care Resp. Invest. Classic Shares Dis</v>
          </cell>
          <cell r="C552" t="str">
            <v>EUR-DIV-RETAIL</v>
          </cell>
          <cell r="D552">
            <v>20240404</v>
          </cell>
          <cell r="E552">
            <v>1967.94</v>
          </cell>
        </row>
        <row r="553">
          <cell r="A553" t="str">
            <v>BE6228903488</v>
          </cell>
          <cell r="B553" t="str">
            <v>KBC Equity Fund We Care Resp. Invest. Inst. B Shares Cap</v>
          </cell>
          <cell r="C553" t="str">
            <v>EUR-KAP-INSTIT.B</v>
          </cell>
          <cell r="D553">
            <v>20240404</v>
          </cell>
          <cell r="E553">
            <v>2870.3</v>
          </cell>
        </row>
        <row r="554">
          <cell r="A554" t="str">
            <v>BE6323644201</v>
          </cell>
          <cell r="B554" t="str">
            <v>KBC Equity Fund We Care Resp. Invest. K&amp;H Classic Shares HUF Cap</v>
          </cell>
          <cell r="C554" t="str">
            <v>HUF-KAP-K&amp;H RET</v>
          </cell>
          <cell r="D554">
            <v>20240404</v>
          </cell>
          <cell r="E554">
            <v>1562.06</v>
          </cell>
        </row>
        <row r="555">
          <cell r="A555" t="str">
            <v>BE6213773508</v>
          </cell>
          <cell r="B555" t="str">
            <v>KBC Equity Fund We Digitize Resp. Invest. Classic Shares Cap</v>
          </cell>
          <cell r="C555" t="str">
            <v>USD-KAP-RETAIL</v>
          </cell>
          <cell r="D555">
            <v>20240404</v>
          </cell>
          <cell r="E555">
            <v>854.72</v>
          </cell>
        </row>
        <row r="556">
          <cell r="A556" t="str">
            <v>BE6339813873</v>
          </cell>
          <cell r="B556" t="str">
            <v>KBC Equity Fund We Digitize Resp. Invest. Classic Shares CSOB CZK Cap</v>
          </cell>
          <cell r="C556" t="str">
            <v>CZK-KAP-RET.CSOB</v>
          </cell>
          <cell r="D556">
            <v>20240404</v>
          </cell>
          <cell r="E556">
            <v>1606.62</v>
          </cell>
        </row>
        <row r="557">
          <cell r="A557" t="str">
            <v>BE6213774514</v>
          </cell>
          <cell r="B557" t="str">
            <v>KBC Equity Fund We Digitize Resp. Invest. Classic Shares Dis</v>
          </cell>
          <cell r="C557" t="str">
            <v>USD-DIV-RETAIL</v>
          </cell>
          <cell r="D557">
            <v>20240404</v>
          </cell>
          <cell r="E557">
            <v>728.5</v>
          </cell>
        </row>
        <row r="558">
          <cell r="A558" t="str">
            <v>BE6336587629</v>
          </cell>
          <cell r="B558" t="str">
            <v>KBC Equity Fund We Digitize Resp. Invest. Classic Shares EUR Cap</v>
          </cell>
          <cell r="C558" t="str">
            <v>EUR-KAP-CS.EUR</v>
          </cell>
          <cell r="D558">
            <v>20240404</v>
          </cell>
          <cell r="E558">
            <v>149.28</v>
          </cell>
        </row>
        <row r="559">
          <cell r="A559" t="str">
            <v>BE6336588635</v>
          </cell>
          <cell r="B559" t="str">
            <v>KBC Equity Fund We Digitize Resp. Invest. Classic Shares EUR Dis</v>
          </cell>
          <cell r="C559" t="str">
            <v>EUR-DIV-CS.EUR</v>
          </cell>
          <cell r="D559">
            <v>20240404</v>
          </cell>
          <cell r="E559">
            <v>148.55000000000001</v>
          </cell>
        </row>
        <row r="560">
          <cell r="A560" t="str">
            <v>BE6228907521</v>
          </cell>
          <cell r="B560" t="str">
            <v>KBC Equity Fund We Digitize Resp. Invest. Inst. B Shares Cap</v>
          </cell>
          <cell r="C560" t="str">
            <v>USD-KAP-INSTIT.B</v>
          </cell>
          <cell r="D560">
            <v>20240404</v>
          </cell>
          <cell r="E560">
            <v>916.44</v>
          </cell>
        </row>
        <row r="561">
          <cell r="A561" t="str">
            <v>BE6323645216</v>
          </cell>
          <cell r="B561" t="str">
            <v>KBC Equity Fund We Digitize Resp. Invest. K&amp;H Classic Shares HUF Cap</v>
          </cell>
          <cell r="C561" t="str">
            <v>HUF-KAP-K&amp;H RET</v>
          </cell>
          <cell r="D561">
            <v>20240404</v>
          </cell>
          <cell r="E561">
            <v>1900.93</v>
          </cell>
        </row>
        <row r="562">
          <cell r="A562" t="str">
            <v>BE0171890065</v>
          </cell>
          <cell r="B562" t="str">
            <v>KBC Equity Fund We Like Resp. Invest. Classic Shares Cap</v>
          </cell>
          <cell r="C562" t="str">
            <v>EUR-KAP-RETAIL</v>
          </cell>
          <cell r="D562">
            <v>20240404</v>
          </cell>
          <cell r="E562">
            <v>165.09</v>
          </cell>
        </row>
        <row r="563">
          <cell r="A563" t="str">
            <v>BE6283257820</v>
          </cell>
          <cell r="B563" t="str">
            <v>KBC Equity Fund We Like Resp. Invest. Classic Shares CSOB CZK Cap</v>
          </cell>
          <cell r="C563" t="str">
            <v>CZK-KAP-CSOB PRIV.BANKING</v>
          </cell>
          <cell r="D563">
            <v>20240404</v>
          </cell>
          <cell r="E563">
            <v>1769.44</v>
          </cell>
        </row>
        <row r="564">
          <cell r="A564" t="str">
            <v>BE0171889059</v>
          </cell>
          <cell r="B564" t="str">
            <v>KBC Equity Fund We Like Resp. Invest. Classic Shares Dis</v>
          </cell>
          <cell r="C564" t="str">
            <v>EUR-DIV-RETAIL</v>
          </cell>
          <cell r="D564">
            <v>20240404</v>
          </cell>
          <cell r="E564">
            <v>119.61</v>
          </cell>
        </row>
        <row r="565">
          <cell r="A565" t="str">
            <v>BE6228539720</v>
          </cell>
          <cell r="B565" t="str">
            <v>KBC Equity Fund We Like Resp. Invest. Inst. B Shares Cap</v>
          </cell>
          <cell r="C565" t="str">
            <v>EUR-KAP-INSTIT.B</v>
          </cell>
          <cell r="D565">
            <v>20240404</v>
          </cell>
          <cell r="E565">
            <v>1063.3</v>
          </cell>
        </row>
        <row r="566">
          <cell r="A566" t="str">
            <v>BE0170241062</v>
          </cell>
          <cell r="B566" t="str">
            <v>KBC Equity Fund We Live Resp. Invest. Classic Shares Cap</v>
          </cell>
          <cell r="C566" t="str">
            <v>EUR-KAP-RETAIL</v>
          </cell>
          <cell r="D566">
            <v>20240404</v>
          </cell>
          <cell r="E566">
            <v>2647.84</v>
          </cell>
        </row>
        <row r="567">
          <cell r="A567" t="str">
            <v>BE6337481830</v>
          </cell>
          <cell r="B567" t="str">
            <v>KBC Equity Fund We Live Resp. Invest. Classic Shares CSOB CZK Cap</v>
          </cell>
          <cell r="C567" t="str">
            <v>CZK-KAP-RET.CSOB</v>
          </cell>
          <cell r="D567">
            <v>20240404</v>
          </cell>
          <cell r="E567">
            <v>1131.3599999999999</v>
          </cell>
        </row>
        <row r="568">
          <cell r="A568" t="str">
            <v>BE0170242078</v>
          </cell>
          <cell r="B568" t="str">
            <v>KBC Equity Fund We Live Resp. Invest. Classic Shares Dis</v>
          </cell>
          <cell r="C568" t="str">
            <v>EUR-DIV-RETAIL</v>
          </cell>
          <cell r="D568">
            <v>20240404</v>
          </cell>
          <cell r="E568">
            <v>1695.55</v>
          </cell>
        </row>
        <row r="569">
          <cell r="A569" t="str">
            <v>BE6306637859</v>
          </cell>
          <cell r="B569" t="str">
            <v>KBC Equity Fund We Live Resp. Invest. Corp.Wealth Office shares Cap (empty)</v>
          </cell>
          <cell r="C569" t="str">
            <v>EUR-KAP-CORP W&amp;I</v>
          </cell>
          <cell r="D569">
            <v>20230629</v>
          </cell>
          <cell r="E569">
            <v>1318.52</v>
          </cell>
        </row>
        <row r="570">
          <cell r="A570" t="str">
            <v>BE6306638865</v>
          </cell>
          <cell r="B570" t="str">
            <v>KBC Equity Fund We Live Resp. Invest. Corp.Wealth Office shares Dis (empty)</v>
          </cell>
          <cell r="C570" t="str">
            <v>EUR-DIV-CORP W&amp;I</v>
          </cell>
          <cell r="D570">
            <v>20221028</v>
          </cell>
          <cell r="E570">
            <v>1196</v>
          </cell>
        </row>
        <row r="571">
          <cell r="A571" t="str">
            <v>BE6228545784</v>
          </cell>
          <cell r="B571" t="str">
            <v>KBC Equity Fund We Live Resp. Invest. Inst. B Shares Cap</v>
          </cell>
          <cell r="C571" t="str">
            <v>EUR-KAP-INSTIT.B</v>
          </cell>
          <cell r="D571">
            <v>20240404</v>
          </cell>
          <cell r="E571">
            <v>2840.98</v>
          </cell>
        </row>
        <row r="572">
          <cell r="A572" t="str">
            <v>BE0166985482</v>
          </cell>
          <cell r="B572" t="str">
            <v>KBC Equity Fund We Shape Resp. Invest. Classic Shares Cap</v>
          </cell>
          <cell r="C572" t="str">
            <v>EUR-KAP-RETAIL</v>
          </cell>
          <cell r="D572">
            <v>20240404</v>
          </cell>
          <cell r="E572">
            <v>880.57</v>
          </cell>
        </row>
        <row r="573">
          <cell r="A573" t="str">
            <v>BE6339814889</v>
          </cell>
          <cell r="B573" t="str">
            <v>KBC Equity Fund We Shape Resp. Invest. Classic Shares CSOB CZK Cap</v>
          </cell>
          <cell r="C573" t="str">
            <v>CZK-KAP-RET.CSOB</v>
          </cell>
          <cell r="D573">
            <v>20240404</v>
          </cell>
          <cell r="E573">
            <v>1248.8499999999999</v>
          </cell>
        </row>
        <row r="574">
          <cell r="A574" t="str">
            <v>BE0166984477</v>
          </cell>
          <cell r="B574" t="str">
            <v>KBC Equity Fund We Shape Resp. Invest. Classic Shares Dis</v>
          </cell>
          <cell r="C574" t="str">
            <v>EUR-DIV-RETAIL</v>
          </cell>
          <cell r="D574">
            <v>20240404</v>
          </cell>
          <cell r="E574">
            <v>498.89</v>
          </cell>
        </row>
        <row r="575">
          <cell r="A575" t="str">
            <v>BE6228544779</v>
          </cell>
          <cell r="B575" t="str">
            <v>KBC Equity Fund We Shape Resp. Invest. Inst. B Shares Cap</v>
          </cell>
          <cell r="C575" t="str">
            <v>EUR-KAP-INSTIT.B</v>
          </cell>
          <cell r="D575">
            <v>20240404</v>
          </cell>
          <cell r="E575">
            <v>947.17</v>
          </cell>
        </row>
        <row r="576">
          <cell r="A576" t="str">
            <v>BE6213775529</v>
          </cell>
          <cell r="B576" t="str">
            <v>KBC Equity Fund World Classic Shares Cap</v>
          </cell>
          <cell r="C576" t="str">
            <v>EUR-KAP-RETAIL</v>
          </cell>
          <cell r="D576">
            <v>20240404</v>
          </cell>
          <cell r="E576">
            <v>707.28</v>
          </cell>
        </row>
        <row r="577">
          <cell r="A577" t="str">
            <v>BE6213776535</v>
          </cell>
          <cell r="B577" t="str">
            <v>KBC Equity Fund World Classic Shares Dis</v>
          </cell>
          <cell r="C577" t="str">
            <v>EUR-DIV-RETAIL</v>
          </cell>
          <cell r="D577">
            <v>20240404</v>
          </cell>
          <cell r="E577">
            <v>467.94</v>
          </cell>
        </row>
        <row r="578">
          <cell r="A578" t="str">
            <v>BE6313419770</v>
          </cell>
          <cell r="B578" t="str">
            <v>KBC Equity Fund World DBI-RDT Classic Shares Dis</v>
          </cell>
          <cell r="C578" t="str">
            <v>EUR-DIV-RETAIL</v>
          </cell>
          <cell r="D578">
            <v>20240404</v>
          </cell>
          <cell r="E578">
            <v>640.92999999999995</v>
          </cell>
        </row>
        <row r="579">
          <cell r="A579" t="str">
            <v>BE6313620849</v>
          </cell>
          <cell r="B579" t="str">
            <v>KBC Equity Fund World DBI-RDT Corp.Shares Dis</v>
          </cell>
          <cell r="C579" t="str">
            <v>EUR-DIV-CORP.SHARES</v>
          </cell>
          <cell r="D579">
            <v>20240404</v>
          </cell>
          <cell r="E579">
            <v>645.99</v>
          </cell>
        </row>
        <row r="580">
          <cell r="A580" t="str">
            <v>BE6313621854</v>
          </cell>
          <cell r="B580" t="str">
            <v>KBC Equity Fund World DBI-RDT Corp.Wealth shares Dis</v>
          </cell>
          <cell r="C580" t="str">
            <v>EUR-DIV-CORP.WEALTH</v>
          </cell>
          <cell r="D580">
            <v>20240404</v>
          </cell>
          <cell r="E580">
            <v>648.22</v>
          </cell>
        </row>
        <row r="581">
          <cell r="A581" t="str">
            <v>BE6313622860</v>
          </cell>
          <cell r="B581" t="str">
            <v>KBC Equity Fund World DBI-RDT Discr. Shares Dis</v>
          </cell>
          <cell r="C581" t="str">
            <v>EUR-DIV-DISCR.SHARES</v>
          </cell>
          <cell r="D581">
            <v>20240404</v>
          </cell>
          <cell r="E581">
            <v>648.59</v>
          </cell>
        </row>
        <row r="582">
          <cell r="A582" t="str">
            <v>BE6348160928</v>
          </cell>
          <cell r="B582" t="str">
            <v>KBC Equity Fund World DBI-RDT Inst. Discr. Shares Dis (empty)</v>
          </cell>
          <cell r="C582" t="str">
            <v>EUR-DIV-INST.DISCR</v>
          </cell>
          <cell r="D582">
            <v>20240215</v>
          </cell>
          <cell r="E582">
            <v>100</v>
          </cell>
        </row>
        <row r="583">
          <cell r="A583" t="str">
            <v>BE6313623876</v>
          </cell>
          <cell r="B583" t="str">
            <v>KBC Equity Fund World DBI-RDT Inst. Shares Dis</v>
          </cell>
          <cell r="C583" t="str">
            <v>EUR-DIV-INSTITUTIONEEL</v>
          </cell>
          <cell r="D583">
            <v>20240404</v>
          </cell>
          <cell r="E583">
            <v>653.41999999999996</v>
          </cell>
        </row>
        <row r="584">
          <cell r="A584" t="str">
            <v>BE6321630434</v>
          </cell>
          <cell r="B584" t="str">
            <v>KBC Equity Fund World DBI-RDT Resp. Invest. Classic Shares Dis</v>
          </cell>
          <cell r="C584" t="str">
            <v>EUR-DIV-RETAIL</v>
          </cell>
          <cell r="D584">
            <v>20240404</v>
          </cell>
          <cell r="E584">
            <v>668.5</v>
          </cell>
        </row>
        <row r="585">
          <cell r="A585" t="str">
            <v>BE6321631440</v>
          </cell>
          <cell r="B585" t="str">
            <v>KBC Equity Fund World DBI-RDT Resp. Invest. Corp.Shares Dis</v>
          </cell>
          <cell r="C585" t="str">
            <v>EUR-DIV-CORP.SHARES</v>
          </cell>
          <cell r="D585">
            <v>20240404</v>
          </cell>
          <cell r="E585">
            <v>674.17</v>
          </cell>
        </row>
        <row r="586">
          <cell r="A586" t="str">
            <v>BE6321632455</v>
          </cell>
          <cell r="B586" t="str">
            <v>KBC Equity Fund World DBI-RDT Resp. Invest. Corp.Wealth shares Dis</v>
          </cell>
          <cell r="C586" t="str">
            <v>EUR-DIV-CORP.WEALTH</v>
          </cell>
          <cell r="D586">
            <v>20240404</v>
          </cell>
          <cell r="E586">
            <v>679.78</v>
          </cell>
        </row>
        <row r="587">
          <cell r="A587" t="str">
            <v>BE6321635482</v>
          </cell>
          <cell r="B587" t="str">
            <v>KBC Equity Fund World DBI-RDT Resp. Invest. Discr. Shares Dis</v>
          </cell>
          <cell r="C587" t="str">
            <v>EUR-DIV-DISCR.SHARES</v>
          </cell>
          <cell r="D587">
            <v>20240404</v>
          </cell>
          <cell r="E587">
            <v>534.88</v>
          </cell>
        </row>
        <row r="588">
          <cell r="A588" t="str">
            <v>BE6348161934</v>
          </cell>
          <cell r="B588" t="str">
            <v>KBC Equity Fund World DBI-RDT Resp. Invest. Inst. Discr. Shares Dis (empty)</v>
          </cell>
          <cell r="C588" t="str">
            <v>EUR-DIV-INST.DISCR</v>
          </cell>
          <cell r="D588">
            <v>20240215</v>
          </cell>
          <cell r="E588">
            <v>100</v>
          </cell>
        </row>
        <row r="589">
          <cell r="A589" t="str">
            <v>BE6321636498</v>
          </cell>
          <cell r="B589" t="str">
            <v>KBC Equity Fund World DBI-RDT Resp. Invest. Inst. Shares Dis</v>
          </cell>
          <cell r="C589" t="str">
            <v>EUR-DIV-INSTITUTIONEEL</v>
          </cell>
          <cell r="D589">
            <v>20240404</v>
          </cell>
          <cell r="E589">
            <v>684.43</v>
          </cell>
        </row>
        <row r="590">
          <cell r="A590" t="str">
            <v>BE6321861807</v>
          </cell>
          <cell r="B590" t="str">
            <v>KBC Equity Fund World Inst. B Shares Cap</v>
          </cell>
          <cell r="C590" t="str">
            <v>EUR-KAP-INSTIT.B</v>
          </cell>
          <cell r="D590">
            <v>20240404</v>
          </cell>
          <cell r="E590">
            <v>1623.12</v>
          </cell>
        </row>
        <row r="591">
          <cell r="A591" t="str">
            <v>BE6307728129</v>
          </cell>
          <cell r="B591" t="str">
            <v>KBC Equity Fund World Resp. Invest. Classic Shares Cap</v>
          </cell>
          <cell r="C591" t="str">
            <v>EUR-KAP-RETAIL</v>
          </cell>
          <cell r="D591">
            <v>20240404</v>
          </cell>
          <cell r="E591">
            <v>1561.49</v>
          </cell>
        </row>
        <row r="592">
          <cell r="A592" t="str">
            <v>BE6338755968</v>
          </cell>
          <cell r="B592" t="str">
            <v>KBC Equity Fund World Resp. Invest. Discr. Shares Cap (empty)</v>
          </cell>
          <cell r="C592" t="str">
            <v>EUR-KAP-DISCR.SHARES</v>
          </cell>
          <cell r="D592">
            <v>20230110</v>
          </cell>
          <cell r="E592">
            <v>1000</v>
          </cell>
        </row>
        <row r="593">
          <cell r="A593" t="str">
            <v>BE6338756974</v>
          </cell>
          <cell r="B593" t="str">
            <v>KBC Equity Fund World Resp. Invest. Discr. Shares Dis</v>
          </cell>
          <cell r="C593" t="str">
            <v>EUR-DIV-DISCR.SHARES</v>
          </cell>
          <cell r="D593">
            <v>20240404</v>
          </cell>
          <cell r="E593">
            <v>1164.5999999999999</v>
          </cell>
        </row>
        <row r="594">
          <cell r="A594" t="str">
            <v>BE6307729135</v>
          </cell>
          <cell r="B594" t="str">
            <v>KBC Equity Fund World Resp. Invest. Inst. B Shares Cap</v>
          </cell>
          <cell r="C594" t="str">
            <v>EUR-KAP-INSTIT.B</v>
          </cell>
          <cell r="D594">
            <v>20240404</v>
          </cell>
          <cell r="E594">
            <v>1635.14</v>
          </cell>
        </row>
        <row r="595">
          <cell r="A595" t="str">
            <v>BE6348162940</v>
          </cell>
          <cell r="B595" t="str">
            <v>KBC Equity Fund World Resp. Invest. Inst. Discr. Shares Cap (empty)</v>
          </cell>
          <cell r="C595" t="str">
            <v>EUR-KAP-INST.DISCR</v>
          </cell>
          <cell r="D595">
            <v>20240215</v>
          </cell>
          <cell r="E595">
            <v>100</v>
          </cell>
        </row>
        <row r="596">
          <cell r="A596" t="str">
            <v>BE0171536403</v>
          </cell>
          <cell r="B596" t="str">
            <v>KBC Index Fund Euroland Classic Shares Cap</v>
          </cell>
          <cell r="C596" t="str">
            <v>EUR-KAP-RETAIL</v>
          </cell>
          <cell r="D596">
            <v>20240404</v>
          </cell>
          <cell r="E596">
            <v>1222.2</v>
          </cell>
        </row>
        <row r="597">
          <cell r="A597" t="str">
            <v>BE0171535397</v>
          </cell>
          <cell r="B597" t="str">
            <v>KBC Index Fund Euroland Classic Shares Dis</v>
          </cell>
          <cell r="C597" t="str">
            <v>EUR-DIV-RETAIL</v>
          </cell>
          <cell r="D597">
            <v>20240404</v>
          </cell>
          <cell r="E597">
            <v>622.48</v>
          </cell>
        </row>
        <row r="598">
          <cell r="A598" t="str">
            <v>BE6267431672</v>
          </cell>
          <cell r="B598" t="str">
            <v>KBC Index Fund Euroland Inst. B Shares Cap (empty)</v>
          </cell>
          <cell r="C598" t="str">
            <v>EUR-KAP-INSTIT.B</v>
          </cell>
          <cell r="D598">
            <v>20230502</v>
          </cell>
          <cell r="E598">
            <v>851.45</v>
          </cell>
        </row>
        <row r="599">
          <cell r="A599" t="str">
            <v>BE6325116372</v>
          </cell>
          <cell r="B599" t="str">
            <v>KBC Inst. Fund Asia Pacific Resp. Invest. Classic Shares Cap (empty)</v>
          </cell>
          <cell r="C599" t="str">
            <v>EUR-KAP-RETAIL</v>
          </cell>
          <cell r="D599">
            <v>20201216</v>
          </cell>
          <cell r="E599">
            <v>1000</v>
          </cell>
        </row>
        <row r="600">
          <cell r="A600" t="str">
            <v>BE6325117388</v>
          </cell>
          <cell r="B600" t="str">
            <v>KBC Inst. Fund Asia Pacific Resp. Invest. Classic Shares Dis</v>
          </cell>
          <cell r="C600" t="str">
            <v>EUR-DIV-RETAIL</v>
          </cell>
          <cell r="D600">
            <v>20240404</v>
          </cell>
          <cell r="E600">
            <v>1116.27</v>
          </cell>
        </row>
        <row r="601">
          <cell r="A601" t="str">
            <v>BE6332394400</v>
          </cell>
          <cell r="B601" t="str">
            <v>KBC Inst. Fund Asia Pacific Resp. Invest. Inst. B Shares Cap</v>
          </cell>
          <cell r="C601" t="str">
            <v>EUR-KAP-INSTIT.B</v>
          </cell>
          <cell r="D601">
            <v>20240404</v>
          </cell>
          <cell r="E601">
            <v>1091.93</v>
          </cell>
        </row>
        <row r="602">
          <cell r="A602" t="str">
            <v>BE6325118394</v>
          </cell>
          <cell r="B602" t="str">
            <v>KBC Inst. Fund Asia Pacific Resp. Invest. Inst. Shares Cap</v>
          </cell>
          <cell r="C602" t="str">
            <v>EUR-KAP-INSTITUTIONEEL</v>
          </cell>
          <cell r="D602">
            <v>20240404</v>
          </cell>
          <cell r="E602">
            <v>1178.74</v>
          </cell>
        </row>
        <row r="603">
          <cell r="A603" t="str">
            <v>BE6325119400</v>
          </cell>
          <cell r="B603" t="str">
            <v>KBC Inst. Fund Asia Pacific Resp. Invest. Inst. Shares Dis (empty)</v>
          </cell>
          <cell r="C603" t="str">
            <v>EUR-DIV-INSTITUTIONEEL</v>
          </cell>
          <cell r="D603">
            <v>20201216</v>
          </cell>
          <cell r="E603">
            <v>1000</v>
          </cell>
        </row>
        <row r="604">
          <cell r="A604" t="str">
            <v>BE6348113455</v>
          </cell>
          <cell r="B604" t="str">
            <v>KBC Inst. Fund Asia Pacific Resp. Invest. Institutional Discr. Shares Cap (empty)</v>
          </cell>
          <cell r="C604" t="str">
            <v>EUR-KAP-INST.DISCR</v>
          </cell>
          <cell r="D604">
            <v>20240215</v>
          </cell>
          <cell r="E604">
            <v>100</v>
          </cell>
        </row>
        <row r="605">
          <cell r="A605" t="str">
            <v>BE0162584123</v>
          </cell>
          <cell r="B605" t="str">
            <v>KBC Inst. Fund Euro Bonds Classic Shares Cap</v>
          </cell>
          <cell r="C605" t="str">
            <v>EUR-KAP-RETAIL</v>
          </cell>
          <cell r="D605">
            <v>20240404</v>
          </cell>
          <cell r="E605">
            <v>6121.9</v>
          </cell>
        </row>
        <row r="606">
          <cell r="A606" t="str">
            <v>BE6325884292</v>
          </cell>
          <cell r="B606" t="str">
            <v>KBC Inst. Fund Euro Bonds Classic Shares Dis</v>
          </cell>
          <cell r="C606" t="str">
            <v>EUR-DIV-RETAIL</v>
          </cell>
          <cell r="D606">
            <v>20240404</v>
          </cell>
          <cell r="E606">
            <v>824.92</v>
          </cell>
        </row>
        <row r="607">
          <cell r="A607" t="str">
            <v>BE0177543338</v>
          </cell>
          <cell r="B607" t="str">
            <v>KBC Inst. Fund Euro Bonds Def. Resp. Invest. Classic Shares Cap</v>
          </cell>
          <cell r="C607" t="str">
            <v>EUR-KAP-RETAIL</v>
          </cell>
          <cell r="D607">
            <v>20240404</v>
          </cell>
          <cell r="E607">
            <v>8361.17</v>
          </cell>
        </row>
        <row r="608">
          <cell r="A608" t="str">
            <v>BE0177541316</v>
          </cell>
          <cell r="B608" t="str">
            <v>KBC Inst. Fund Euro Bonds Def. Resp. Invest. Classic Shares Dis (empty)</v>
          </cell>
          <cell r="C608" t="str">
            <v>EUR-DIV-RETAIL</v>
          </cell>
          <cell r="D608">
            <v>20171109</v>
          </cell>
          <cell r="E608">
            <v>7751.27</v>
          </cell>
        </row>
        <row r="609">
          <cell r="A609" t="str">
            <v>BE6274078219</v>
          </cell>
          <cell r="B609" t="str">
            <v>KBC Inst. Fund Euro Bonds Def. Resp. Invest. Inst. B Shares Cap</v>
          </cell>
          <cell r="C609" t="str">
            <v>EUR-KAP-INSTIT.B</v>
          </cell>
          <cell r="D609">
            <v>20240404</v>
          </cell>
          <cell r="E609">
            <v>517.89</v>
          </cell>
        </row>
        <row r="610">
          <cell r="A610" t="str">
            <v>BE6329809741</v>
          </cell>
          <cell r="B610" t="str">
            <v>KBC Inst. Fund Euro Bonds Def. Resp. Invest. Inst. Shares Cap</v>
          </cell>
          <cell r="C610" t="str">
            <v>EUR-KAP-INSTITUTIONEEL</v>
          </cell>
          <cell r="D610">
            <v>20240404</v>
          </cell>
          <cell r="E610">
            <v>866.77</v>
          </cell>
        </row>
        <row r="611">
          <cell r="A611" t="str">
            <v>BE6348116482</v>
          </cell>
          <cell r="B611" t="str">
            <v>KBC Inst. Fund Euro Bonds Def. Resp. Invest. Institutional Discr. Shares Cap (empty)</v>
          </cell>
          <cell r="C611" t="str">
            <v>EUR-KAP-INST.DISCR</v>
          </cell>
          <cell r="D611">
            <v>20240215</v>
          </cell>
          <cell r="E611">
            <v>100</v>
          </cell>
        </row>
        <row r="612">
          <cell r="A612" t="str">
            <v>BE6274083268</v>
          </cell>
          <cell r="B612" t="str">
            <v>KBC Inst. Fund Euro Bonds Inst. B Shares Cap</v>
          </cell>
          <cell r="C612" t="str">
            <v>EUR-KAP-INSTIT.B</v>
          </cell>
          <cell r="D612">
            <v>20240404</v>
          </cell>
          <cell r="E612">
            <v>1015.93</v>
          </cell>
        </row>
        <row r="613">
          <cell r="A613" t="str">
            <v>BE0947881943</v>
          </cell>
          <cell r="B613" t="str">
            <v>KBC Inst. Fund Euro Bonds Inst. Shares Cap</v>
          </cell>
          <cell r="C613" t="str">
            <v>EUR-KAP-INSTITUTIONEEL</v>
          </cell>
          <cell r="D613">
            <v>20240404</v>
          </cell>
          <cell r="E613">
            <v>6196.32</v>
          </cell>
        </row>
        <row r="614">
          <cell r="A614" t="str">
            <v>BE6325886313</v>
          </cell>
          <cell r="B614" t="str">
            <v>KBC Inst. Fund Euro Bonds Inst. Shares Dis</v>
          </cell>
          <cell r="C614" t="str">
            <v>EUR-DIV-INSTITUTIONEEL</v>
          </cell>
          <cell r="D614">
            <v>20240404</v>
          </cell>
          <cell r="E614">
            <v>1034.68</v>
          </cell>
        </row>
        <row r="615">
          <cell r="A615" t="str">
            <v>BE6348115476</v>
          </cell>
          <cell r="B615" t="str">
            <v>KBC Inst. Fund Euro Bonds Institutional Discr. Shares Cap</v>
          </cell>
          <cell r="C615" t="str">
            <v>EUR-KAP-INST.DISCR</v>
          </cell>
          <cell r="D615">
            <v>20240404</v>
          </cell>
          <cell r="E615">
            <v>100.42</v>
          </cell>
        </row>
        <row r="616">
          <cell r="A616" t="str">
            <v>BE0058979031</v>
          </cell>
          <cell r="B616" t="str">
            <v>KBC Inst. Fund Euro Bonds Resp. Invest. Classic Shares Cap</v>
          </cell>
          <cell r="C616" t="str">
            <v>EUR-KAP-RETAIL</v>
          </cell>
          <cell r="D616">
            <v>20240404</v>
          </cell>
          <cell r="E616">
            <v>878.16</v>
          </cell>
        </row>
        <row r="617">
          <cell r="A617" t="str">
            <v>BE0058977019</v>
          </cell>
          <cell r="B617" t="str">
            <v>KBC Inst. Fund Euro Bonds Resp. Invest. Classic Shares Dis</v>
          </cell>
          <cell r="C617" t="str">
            <v>EUR-DIV-RETAIL</v>
          </cell>
          <cell r="D617">
            <v>20240404</v>
          </cell>
          <cell r="E617">
            <v>515.35</v>
          </cell>
        </row>
        <row r="618">
          <cell r="A618" t="str">
            <v>BE6228918635</v>
          </cell>
          <cell r="B618" t="str">
            <v>KBC Inst. Fund Euro Bonds Resp. Invest. Inst. B Shares Cap</v>
          </cell>
          <cell r="C618" t="str">
            <v>EUR-KAP-INSTIT.B</v>
          </cell>
          <cell r="D618">
            <v>20240404</v>
          </cell>
          <cell r="E618">
            <v>886.58</v>
          </cell>
        </row>
        <row r="619">
          <cell r="A619" t="str">
            <v>BE6225968237</v>
          </cell>
          <cell r="B619" t="str">
            <v>KBC Inst. Fund Euro Bonds Resp. Invest. Inst. Shares Cap</v>
          </cell>
          <cell r="C619" t="str">
            <v>EUR-KAP-INSTITUTIONEEL</v>
          </cell>
          <cell r="D619">
            <v>20240404</v>
          </cell>
          <cell r="E619">
            <v>880.98</v>
          </cell>
        </row>
        <row r="620">
          <cell r="A620" t="str">
            <v>BE6225967221</v>
          </cell>
          <cell r="B620" t="str">
            <v>KBC Inst. Fund Euro Bonds Resp. Invest. Inst. Shares Dis</v>
          </cell>
          <cell r="C620" t="str">
            <v>EUR-DIV-INSTITUTIONEEL</v>
          </cell>
          <cell r="D620">
            <v>20240404</v>
          </cell>
          <cell r="E620">
            <v>1002.61</v>
          </cell>
        </row>
        <row r="621">
          <cell r="A621" t="str">
            <v>BE6348117498</v>
          </cell>
          <cell r="B621" t="str">
            <v>KBC Inst. Fund Euro Bonds Resp. Invest. Institutional Discr. Shares Cap (empty)</v>
          </cell>
          <cell r="C621" t="str">
            <v>EUR-KAP-INST.DISCR</v>
          </cell>
          <cell r="D621">
            <v>20240215</v>
          </cell>
          <cell r="E621">
            <v>100</v>
          </cell>
        </row>
        <row r="622">
          <cell r="A622" t="str">
            <v>BE0156939903</v>
          </cell>
          <cell r="B622" t="str">
            <v>KBC Inst. Fund Euro Bonds Short Resp. Invest. Classic Shares Cap</v>
          </cell>
          <cell r="C622" t="str">
            <v>EUR-KAP-RETAIL</v>
          </cell>
          <cell r="D622">
            <v>20240404</v>
          </cell>
          <cell r="E622">
            <v>4998.26</v>
          </cell>
        </row>
        <row r="623">
          <cell r="A623" t="str">
            <v>BE0156938897</v>
          </cell>
          <cell r="B623" t="str">
            <v>KBC Inst. Fund Euro Bonds Short Resp. Invest. Classic Shares Dis</v>
          </cell>
          <cell r="C623" t="str">
            <v>EUR-DIV-RETAIL</v>
          </cell>
          <cell r="D623">
            <v>20240404</v>
          </cell>
          <cell r="E623">
            <v>2284.4499999999998</v>
          </cell>
        </row>
        <row r="624">
          <cell r="A624" t="str">
            <v>BE6295244410</v>
          </cell>
          <cell r="B624" t="str">
            <v>KBC Inst. Fund Euro Bonds Short Resp. Invest. Inst. B Shares Cap</v>
          </cell>
          <cell r="C624" t="str">
            <v>EUR-KAP-INSTIT.B</v>
          </cell>
          <cell r="D624">
            <v>20240404</v>
          </cell>
          <cell r="E624">
            <v>5005.95</v>
          </cell>
        </row>
        <row r="625">
          <cell r="A625" t="str">
            <v>BE6225960150</v>
          </cell>
          <cell r="B625" t="str">
            <v>KBC Inst. Fund Euro Bonds Short Resp. Invest. Inst. Shares Cap</v>
          </cell>
          <cell r="C625" t="str">
            <v>EUR-KAP-INSTITUTIONEEL</v>
          </cell>
          <cell r="D625">
            <v>20240404</v>
          </cell>
          <cell r="E625">
            <v>5035.04</v>
          </cell>
        </row>
        <row r="626">
          <cell r="A626" t="str">
            <v>BE6225959145</v>
          </cell>
          <cell r="B626" t="str">
            <v>KBC Inst. Fund Euro Bonds Short Resp. Invest. Inst. Shares Dis (empty)</v>
          </cell>
          <cell r="C626" t="str">
            <v>EUR-DIV-INSTITUTIONEEL</v>
          </cell>
          <cell r="D626">
            <v>20180206</v>
          </cell>
          <cell r="E626">
            <v>2532.2399999999998</v>
          </cell>
        </row>
        <row r="627">
          <cell r="A627" t="str">
            <v>BE6348120526</v>
          </cell>
          <cell r="B627" t="str">
            <v>KBC Inst. Fund Euro Bonds Short Resp. Invest. Institutional Discr. Shares Cap (empty)</v>
          </cell>
          <cell r="C627" t="str">
            <v>EUR-KAP-INST.DISCR</v>
          </cell>
          <cell r="D627">
            <v>20240215</v>
          </cell>
          <cell r="E627">
            <v>100</v>
          </cell>
        </row>
        <row r="628">
          <cell r="A628" t="str">
            <v>BE0168961846</v>
          </cell>
          <cell r="B628" t="str">
            <v>KBC Inst. Fund Euro Corp.Bonds Classic Shares Cap</v>
          </cell>
          <cell r="C628" t="str">
            <v>EUR-KAP-RETAIL</v>
          </cell>
          <cell r="D628">
            <v>20240404</v>
          </cell>
          <cell r="E628">
            <v>10339.58</v>
          </cell>
        </row>
        <row r="629">
          <cell r="A629" t="str">
            <v>BE0945990464</v>
          </cell>
          <cell r="B629" t="str">
            <v>KBC Inst. Fund Euro Corp.Bonds Classic Shares Dis</v>
          </cell>
          <cell r="C629" t="str">
            <v>EUR-DIV-RETAIL</v>
          </cell>
          <cell r="D629">
            <v>20240404</v>
          </cell>
          <cell r="E629">
            <v>6241.77</v>
          </cell>
        </row>
        <row r="630">
          <cell r="A630" t="str">
            <v>BE6229415755</v>
          </cell>
          <cell r="B630" t="str">
            <v>KBC Inst. Fund Euro Corp.Bonds ex Financials Classic Shares Cap</v>
          </cell>
          <cell r="C630" t="str">
            <v>EUR-KAP-RETAIL</v>
          </cell>
          <cell r="D630">
            <v>20240404</v>
          </cell>
          <cell r="E630">
            <v>1242.02</v>
          </cell>
        </row>
        <row r="631">
          <cell r="A631" t="str">
            <v>BE6229416761</v>
          </cell>
          <cell r="B631" t="str">
            <v>KBC Inst. Fund Euro Corp.Bonds ex Financials Classic Shares Dis</v>
          </cell>
          <cell r="C631" t="str">
            <v>EUR-DIV-RETAIL</v>
          </cell>
          <cell r="D631">
            <v>20240404</v>
          </cell>
          <cell r="E631">
            <v>1009.13</v>
          </cell>
        </row>
        <row r="632">
          <cell r="A632" t="str">
            <v>BE6229419799</v>
          </cell>
          <cell r="B632" t="str">
            <v>KBC Inst. Fund Euro Corp.Bonds ex Financials Inst. B Shares Cap</v>
          </cell>
          <cell r="C632" t="str">
            <v>EUR-KAP-INSTIT.B</v>
          </cell>
          <cell r="D632">
            <v>20240404</v>
          </cell>
          <cell r="E632">
            <v>1245.3599999999999</v>
          </cell>
        </row>
        <row r="633">
          <cell r="A633" t="str">
            <v>BE6229417777</v>
          </cell>
          <cell r="B633" t="str">
            <v>KBC Inst. Fund Euro Corp.Bonds ex Financials Inst. Shares Cap (empty)</v>
          </cell>
          <cell r="C633" t="str">
            <v>EUR-KAP-INSTITUTIONEEL</v>
          </cell>
          <cell r="D633">
            <v>20230118</v>
          </cell>
          <cell r="E633">
            <v>1202.23</v>
          </cell>
        </row>
        <row r="634">
          <cell r="A634" t="str">
            <v>BE6229418783</v>
          </cell>
          <cell r="B634" t="str">
            <v>KBC Inst. Fund Euro Corp.Bonds ex Financials Inst. Shares Dis (empty)</v>
          </cell>
          <cell r="C634" t="str">
            <v>EUR-DIV-INSTITUTIONEEL</v>
          </cell>
          <cell r="D634">
            <v>20111129</v>
          </cell>
          <cell r="E634">
            <v>1000</v>
          </cell>
        </row>
        <row r="635">
          <cell r="A635" t="str">
            <v>BE6348124569</v>
          </cell>
          <cell r="B635" t="str">
            <v>KBC Inst. Fund Euro Corp.Bonds ex Financials Institutional Discr. Shares Cap (empty)</v>
          </cell>
          <cell r="C635" t="str">
            <v>EUR-KAP-INST.DISCR</v>
          </cell>
          <cell r="D635">
            <v>20240215</v>
          </cell>
          <cell r="E635">
            <v>100</v>
          </cell>
        </row>
        <row r="636">
          <cell r="A636" t="str">
            <v>BE6274086295</v>
          </cell>
          <cell r="B636" t="str">
            <v>KBC Inst. Fund Euro Corp.Bonds Inst. B Shares Cap</v>
          </cell>
          <cell r="C636" t="str">
            <v>EUR-KAP-INSTIT.B</v>
          </cell>
          <cell r="D636">
            <v>20240404</v>
          </cell>
          <cell r="E636">
            <v>1046.21</v>
          </cell>
        </row>
        <row r="637">
          <cell r="A637" t="str">
            <v>BE6225962172</v>
          </cell>
          <cell r="B637" t="str">
            <v>KBC Inst. Fund Euro Corp.Bonds Inst. Shares Cap</v>
          </cell>
          <cell r="C637" t="str">
            <v>EUR-KAP-INSTITUTIONEEL</v>
          </cell>
          <cell r="D637">
            <v>20240404</v>
          </cell>
          <cell r="E637">
            <v>10432.950000000001</v>
          </cell>
        </row>
        <row r="638">
          <cell r="A638" t="str">
            <v>BE6225961166</v>
          </cell>
          <cell r="B638" t="str">
            <v>KBC Inst. Fund Euro Corp.Bonds Inst. Shares Dis</v>
          </cell>
          <cell r="C638" t="str">
            <v>EUR-DIV-INSTITUTIONEEL</v>
          </cell>
          <cell r="D638">
            <v>20240404</v>
          </cell>
          <cell r="E638">
            <v>6307.23</v>
          </cell>
        </row>
        <row r="639">
          <cell r="A639" t="str">
            <v>BE6348122548</v>
          </cell>
          <cell r="B639" t="str">
            <v>KBC Inst. Fund Euro Corp.Bonds Institutional Discr. Shares Cap</v>
          </cell>
          <cell r="C639" t="str">
            <v>EUR-KAP-INST.DISCR</v>
          </cell>
          <cell r="D639">
            <v>20240404</v>
          </cell>
          <cell r="E639">
            <v>100.25</v>
          </cell>
        </row>
        <row r="640">
          <cell r="A640" t="str">
            <v>BE0175761940</v>
          </cell>
          <cell r="B640" t="str">
            <v>KBC Inst. Fund Euro Equities Resp. Invest. Classic Shares Cap</v>
          </cell>
          <cell r="C640" t="str">
            <v>EUR-KAP-RETAIL</v>
          </cell>
          <cell r="D640">
            <v>20240404</v>
          </cell>
          <cell r="E640">
            <v>4436.88</v>
          </cell>
        </row>
        <row r="641">
          <cell r="A641" t="str">
            <v>BE6295240376</v>
          </cell>
          <cell r="B641" t="str">
            <v>KBC Inst. Fund Euro Equities Resp. Invest. Inst. B Shares Cap</v>
          </cell>
          <cell r="C641" t="str">
            <v>EUR-KAP-INSTIT.B</v>
          </cell>
          <cell r="D641">
            <v>20240404</v>
          </cell>
          <cell r="E641">
            <v>4500.18</v>
          </cell>
        </row>
        <row r="642">
          <cell r="A642" t="str">
            <v>BE6225969243</v>
          </cell>
          <cell r="B642" t="str">
            <v>KBC Inst. Fund Euro Equities Resp. Invest. Inst. Shares Cap</v>
          </cell>
          <cell r="C642" t="str">
            <v>EUR-KAP-INSTITUTIONEEL</v>
          </cell>
          <cell r="D642">
            <v>20240404</v>
          </cell>
          <cell r="E642">
            <v>4484.95</v>
          </cell>
        </row>
        <row r="643">
          <cell r="A643" t="str">
            <v>BE6348126580</v>
          </cell>
          <cell r="B643" t="str">
            <v>KBC Inst. Fund Euro Equities Resp. Invest. Institutional Discr. Shares Cap (empty)</v>
          </cell>
          <cell r="C643" t="str">
            <v>EUR-KAP-INST.DISCR</v>
          </cell>
          <cell r="D643">
            <v>20240215</v>
          </cell>
          <cell r="E643">
            <v>100</v>
          </cell>
        </row>
        <row r="644">
          <cell r="A644" t="str">
            <v>BE0166981440</v>
          </cell>
          <cell r="B644" t="str">
            <v>KBC Inst. Fund Euro Equity Classic Shares Cap</v>
          </cell>
          <cell r="C644" t="str">
            <v>EUR-KAP-RETAIL</v>
          </cell>
          <cell r="D644">
            <v>20240404</v>
          </cell>
          <cell r="E644">
            <v>13945.25</v>
          </cell>
        </row>
        <row r="645">
          <cell r="A645" t="str">
            <v>BE6295243404</v>
          </cell>
          <cell r="B645" t="str">
            <v>KBC Inst. Fund Euro Equity Inst. B Shares Cap</v>
          </cell>
          <cell r="C645" t="str">
            <v>EUR-KAP-INSTIT.B</v>
          </cell>
          <cell r="D645">
            <v>20240404</v>
          </cell>
          <cell r="E645">
            <v>14101.52</v>
          </cell>
        </row>
        <row r="646">
          <cell r="A646" t="str">
            <v>BE0947887031</v>
          </cell>
          <cell r="B646" t="str">
            <v>KBC Inst. Fund Euro Equity Inst. Shares Cap</v>
          </cell>
          <cell r="C646" t="str">
            <v>EUR-KAP-INSTITUTIONEEL</v>
          </cell>
          <cell r="D646">
            <v>20240404</v>
          </cell>
          <cell r="E646">
            <v>14112.17</v>
          </cell>
        </row>
        <row r="647">
          <cell r="A647" t="str">
            <v>BE6348128602</v>
          </cell>
          <cell r="B647" t="str">
            <v>KBC Inst. Fund Euro Equity Institutional Discr. Shares Cap (empty)</v>
          </cell>
          <cell r="C647" t="str">
            <v>EUR-KAP-INST.DISCR</v>
          </cell>
          <cell r="D647">
            <v>20240215</v>
          </cell>
          <cell r="E647">
            <v>100</v>
          </cell>
        </row>
        <row r="648">
          <cell r="A648" t="str">
            <v>BE6333605879</v>
          </cell>
          <cell r="B648" t="str">
            <v>KBC Inst. Fund Euro Equity Small &amp; Medium Caps Classic Shares Cap (empty)</v>
          </cell>
          <cell r="C648" t="str">
            <v>EUR-KAP-RETAIL</v>
          </cell>
          <cell r="D648">
            <v>20220426</v>
          </cell>
          <cell r="E648">
            <v>1000</v>
          </cell>
        </row>
        <row r="649">
          <cell r="A649" t="str">
            <v>BE0945052786</v>
          </cell>
          <cell r="B649" t="str">
            <v>KBC Inst. Fund Euro Equity Small &amp; Medium Caps Discr. Shares Cap</v>
          </cell>
          <cell r="C649" t="str">
            <v>EUR-KAP-DISCR.</v>
          </cell>
          <cell r="D649">
            <v>20240404</v>
          </cell>
          <cell r="E649">
            <v>11514.93</v>
          </cell>
        </row>
        <row r="650">
          <cell r="A650" t="str">
            <v>BE0947888047</v>
          </cell>
          <cell r="B650" t="str">
            <v>KBC Inst. Fund Euro Equity Small &amp; Medium Caps Inst. Shares Cap</v>
          </cell>
          <cell r="C650" t="str">
            <v>EUR-KAP-INSTITUTIONEEL</v>
          </cell>
          <cell r="D650">
            <v>20240404</v>
          </cell>
          <cell r="E650">
            <v>11643.73</v>
          </cell>
        </row>
        <row r="651">
          <cell r="A651" t="str">
            <v>BE6348130624</v>
          </cell>
          <cell r="B651" t="str">
            <v>KBC Inst. Fund Euro Equity Small &amp; Medium Caps Institutional Discr. Shares Cap (empty)</v>
          </cell>
          <cell r="C651" t="str">
            <v>EUR-KAP-INST.DISCR</v>
          </cell>
          <cell r="D651">
            <v>20240215</v>
          </cell>
          <cell r="E651">
            <v>100</v>
          </cell>
        </row>
        <row r="652">
          <cell r="A652" t="str">
            <v>BE0166983461</v>
          </cell>
          <cell r="B652" t="str">
            <v>KBC Inst. Fund Euro Satellite Equity Classic Shares Cap</v>
          </cell>
          <cell r="C652" t="str">
            <v>EUR-KAP-RETAIL</v>
          </cell>
          <cell r="D652">
            <v>20240404</v>
          </cell>
          <cell r="E652">
            <v>11573.72</v>
          </cell>
        </row>
        <row r="653">
          <cell r="A653" t="str">
            <v>BE6295242398</v>
          </cell>
          <cell r="B653" t="str">
            <v>KBC Inst. Fund Euro Satellite Equity Inst. B Shares Cap</v>
          </cell>
          <cell r="C653" t="str">
            <v>EUR-KAP-INSTIT.B</v>
          </cell>
          <cell r="D653">
            <v>20240404</v>
          </cell>
          <cell r="E653">
            <v>11707.19</v>
          </cell>
        </row>
        <row r="654">
          <cell r="A654" t="str">
            <v>BE0947889052</v>
          </cell>
          <cell r="B654" t="str">
            <v>KBC Inst. Fund Euro Satellite Equity Inst. Shares Cap</v>
          </cell>
          <cell r="C654" t="str">
            <v>EUR-KAP-INSTITUTIONEEL</v>
          </cell>
          <cell r="D654">
            <v>20240404</v>
          </cell>
          <cell r="E654">
            <v>11700.54</v>
          </cell>
        </row>
        <row r="655">
          <cell r="A655" t="str">
            <v>BE6348131630</v>
          </cell>
          <cell r="B655" t="str">
            <v>KBC Inst. Fund Euro Satellite Equity Institutional Discr. Shares Cap (empty)</v>
          </cell>
          <cell r="C655" t="str">
            <v>EUR-KAP-INST.DISCR</v>
          </cell>
          <cell r="D655">
            <v>20240215</v>
          </cell>
          <cell r="E655">
            <v>100</v>
          </cell>
        </row>
        <row r="656">
          <cell r="A656" t="str">
            <v>BE0168584952</v>
          </cell>
          <cell r="B656" t="str">
            <v>KBC Inst. Fund European Real Estate Resp. Invest. Classic Shares Cap</v>
          </cell>
          <cell r="C656" t="str">
            <v>EUR-KAP-RETAIL</v>
          </cell>
          <cell r="D656">
            <v>20240404</v>
          </cell>
          <cell r="E656">
            <v>13317.9</v>
          </cell>
        </row>
        <row r="657">
          <cell r="A657" t="str">
            <v>BE0947127198</v>
          </cell>
          <cell r="B657" t="str">
            <v>KBC Inst. Fund European Real Estate Resp. Invest. Classic Shares Dis</v>
          </cell>
          <cell r="C657" t="str">
            <v>EUR-DIV-RETAIL</v>
          </cell>
          <cell r="D657">
            <v>20240404</v>
          </cell>
          <cell r="E657">
            <v>8253.43</v>
          </cell>
        </row>
        <row r="658">
          <cell r="A658" t="str">
            <v>BE6213915950</v>
          </cell>
          <cell r="B658" t="str">
            <v>KBC Inst. Fund European Real Estate Resp. Invest. Inst. Shares Cap</v>
          </cell>
          <cell r="C658" t="str">
            <v>EUR-KAP-INSTITUTIONEEL</v>
          </cell>
          <cell r="D658">
            <v>20240404</v>
          </cell>
          <cell r="E658">
            <v>1646.86</v>
          </cell>
        </row>
        <row r="659">
          <cell r="A659" t="str">
            <v>BE6348133651</v>
          </cell>
          <cell r="B659" t="str">
            <v>KBC Inst. Fund European Real Estate Resp. Invest. Institutional Discr. Shares Cap</v>
          </cell>
          <cell r="C659" t="str">
            <v>EUR-KAP-INST.DISCR</v>
          </cell>
          <cell r="D659">
            <v>20240404</v>
          </cell>
          <cell r="E659">
            <v>99.86</v>
          </cell>
        </row>
        <row r="660">
          <cell r="A660" t="str">
            <v>BE0057773583</v>
          </cell>
          <cell r="B660" t="str">
            <v>KBC Inst. Fund Global Def. 1 Resp. Invest. Classic Shares Cap</v>
          </cell>
          <cell r="C660" t="str">
            <v>EUR-KAP-RETAIL</v>
          </cell>
          <cell r="D660">
            <v>20240404</v>
          </cell>
          <cell r="E660">
            <v>2040.75</v>
          </cell>
        </row>
        <row r="661">
          <cell r="A661" t="str">
            <v>BE0057771561</v>
          </cell>
          <cell r="B661" t="str">
            <v>KBC Inst. Fund Global Def. 1 Resp. Invest. Classic Shares Dis</v>
          </cell>
          <cell r="C661" t="str">
            <v>EUR-DIV-RETAIL</v>
          </cell>
          <cell r="D661">
            <v>20240404</v>
          </cell>
          <cell r="E661">
            <v>1193.82</v>
          </cell>
        </row>
        <row r="662">
          <cell r="A662" t="str">
            <v>BE6225965209</v>
          </cell>
          <cell r="B662" t="str">
            <v>KBC Inst. Fund Global Def. 1 Resp. Invest. Inst. Shares Cap</v>
          </cell>
          <cell r="C662" t="str">
            <v>EUR-KAP-INSTITUTIONEEL</v>
          </cell>
          <cell r="D662">
            <v>20240404</v>
          </cell>
          <cell r="E662">
            <v>2048.6799999999998</v>
          </cell>
        </row>
        <row r="663">
          <cell r="A663" t="str">
            <v>BE0945892454</v>
          </cell>
          <cell r="B663" t="str">
            <v>KBC Inst. Fund Global Def. Cap</v>
          </cell>
          <cell r="C663" t="str">
            <v>EUR-KAP-RETAIL</v>
          </cell>
          <cell r="D663">
            <v>20240404</v>
          </cell>
          <cell r="E663">
            <v>1755.01</v>
          </cell>
        </row>
        <row r="664">
          <cell r="A664" t="str">
            <v>BE6277099352</v>
          </cell>
          <cell r="B664" t="str">
            <v>KBC Inst. Fund Global Def. Dis</v>
          </cell>
          <cell r="C664" t="str">
            <v>EUR-DIV-RETAIL</v>
          </cell>
          <cell r="D664">
            <v>20240404</v>
          </cell>
          <cell r="E664">
            <v>967.69</v>
          </cell>
        </row>
        <row r="665">
          <cell r="A665" t="str">
            <v>BE0174966755</v>
          </cell>
          <cell r="B665" t="str">
            <v>KBC Inst. Fund Global Resp. Invest. Classic Shares Cap</v>
          </cell>
          <cell r="C665" t="str">
            <v>EUR-KAP-RETAIL</v>
          </cell>
          <cell r="D665">
            <v>20240404</v>
          </cell>
          <cell r="E665">
            <v>5472.9</v>
          </cell>
        </row>
        <row r="666">
          <cell r="A666" t="str">
            <v>BE0945776269</v>
          </cell>
          <cell r="B666" t="str">
            <v>KBC Inst. Fund Global Resp. Invest. Classic Shares Dis</v>
          </cell>
          <cell r="C666" t="str">
            <v>EUR-DIV-RETAIL</v>
          </cell>
          <cell r="D666">
            <v>20240404</v>
          </cell>
          <cell r="E666">
            <v>3722.72</v>
          </cell>
        </row>
        <row r="667">
          <cell r="A667" t="str">
            <v>BE6225963188</v>
          </cell>
          <cell r="B667" t="str">
            <v>KBC Inst. Fund Global Resp. Invest. Inst. Shares Cap</v>
          </cell>
          <cell r="C667" t="str">
            <v>EUR-KAP-INSTITUTIONEEL</v>
          </cell>
          <cell r="D667">
            <v>20240404</v>
          </cell>
          <cell r="E667">
            <v>5490.07</v>
          </cell>
        </row>
        <row r="668">
          <cell r="A668" t="str">
            <v>BE0058442485</v>
          </cell>
          <cell r="B668" t="str">
            <v>KBC Inst. Fund North America Resp. Invest. Classic Shares Cap</v>
          </cell>
          <cell r="C668" t="str">
            <v>USD-KAP-RETAIL</v>
          </cell>
          <cell r="D668">
            <v>20240404</v>
          </cell>
          <cell r="E668">
            <v>26758.28</v>
          </cell>
        </row>
        <row r="669">
          <cell r="A669" t="str">
            <v>BE0058441479</v>
          </cell>
          <cell r="B669" t="str">
            <v>KBC Inst. Fund North America Resp. Invest. Classic Shares Dis</v>
          </cell>
          <cell r="C669" t="str">
            <v>USD-DIV-RETAIL</v>
          </cell>
          <cell r="D669">
            <v>20240404</v>
          </cell>
          <cell r="E669">
            <v>20678.349999999999</v>
          </cell>
        </row>
        <row r="670">
          <cell r="A670" t="str">
            <v>BE6332393394</v>
          </cell>
          <cell r="B670" t="str">
            <v>KBC Inst. Fund North America Resp. Invest. Inst. B Shares EUR Cap</v>
          </cell>
          <cell r="C670" t="str">
            <v>EUR-KAP-INST.B EUR</v>
          </cell>
          <cell r="D670">
            <v>20240404</v>
          </cell>
          <cell r="E670">
            <v>1146.55</v>
          </cell>
        </row>
        <row r="671">
          <cell r="A671" t="str">
            <v>BE6316203486</v>
          </cell>
          <cell r="B671" t="str">
            <v>KBC Inst. Fund North America Resp. Invest. Inst. Shares EUR Cap</v>
          </cell>
          <cell r="C671" t="str">
            <v>EUR-KAP-INST.EUR</v>
          </cell>
          <cell r="D671">
            <v>20240404</v>
          </cell>
          <cell r="E671">
            <v>1755.27</v>
          </cell>
        </row>
        <row r="672">
          <cell r="A672" t="str">
            <v>BE6348134667</v>
          </cell>
          <cell r="B672" t="str">
            <v>KBC Inst. Fund North America Resp. Invest. Institutional Discr. Shares Cap (empty)</v>
          </cell>
          <cell r="C672" t="str">
            <v>EUR-KAP-INST.DISCR</v>
          </cell>
          <cell r="D672">
            <v>20240215</v>
          </cell>
          <cell r="E672">
            <v>100</v>
          </cell>
        </row>
        <row r="673">
          <cell r="A673" t="str">
            <v>BE6325120416</v>
          </cell>
          <cell r="B673" t="str">
            <v>KBC Inst. Fund Rest Of Europe Resp. Invest. Classic Shares Cap (empty)</v>
          </cell>
          <cell r="C673" t="str">
            <v>EUR-KAP-RETAIL</v>
          </cell>
          <cell r="D673">
            <v>20201216</v>
          </cell>
          <cell r="E673">
            <v>1000</v>
          </cell>
        </row>
        <row r="674">
          <cell r="A674" t="str">
            <v>BE6325121422</v>
          </cell>
          <cell r="B674" t="str">
            <v>KBC Inst. Fund Rest Of Europe Resp. Invest. Classic Shares Dis</v>
          </cell>
          <cell r="C674" t="str">
            <v>EUR-DIV-RETAIL</v>
          </cell>
          <cell r="D674">
            <v>20240404</v>
          </cell>
          <cell r="E674">
            <v>994.03</v>
          </cell>
        </row>
        <row r="675">
          <cell r="A675" t="str">
            <v>BE6332392388</v>
          </cell>
          <cell r="B675" t="str">
            <v>KBC Inst. Fund Rest Of Europe Resp. Invest. Inst. B Shares Cap</v>
          </cell>
          <cell r="C675" t="str">
            <v>EUR-KAP-INSTIT.B</v>
          </cell>
          <cell r="D675">
            <v>20240404</v>
          </cell>
          <cell r="E675">
            <v>1054.8599999999999</v>
          </cell>
        </row>
        <row r="676">
          <cell r="A676" t="str">
            <v>BE6325122438</v>
          </cell>
          <cell r="B676" t="str">
            <v>KBC Inst. Fund Rest Of Europe Resp. Invest. Inst. Shares Cap</v>
          </cell>
          <cell r="C676" t="str">
            <v>EUR-KAP-INSTITUTIONEEL</v>
          </cell>
          <cell r="D676">
            <v>20240404</v>
          </cell>
          <cell r="E676">
            <v>1320.04</v>
          </cell>
        </row>
        <row r="677">
          <cell r="A677" t="str">
            <v>BE6325123444</v>
          </cell>
          <cell r="B677" t="str">
            <v>KBC Inst. Fund Rest Of Europe Resp. Invest. Inst. Shares Dis (empty)</v>
          </cell>
          <cell r="C677" t="str">
            <v>EUR-DIV-INSTITUTIONEEL</v>
          </cell>
          <cell r="D677">
            <v>20201216</v>
          </cell>
          <cell r="E677">
            <v>1000</v>
          </cell>
        </row>
        <row r="678">
          <cell r="A678" t="str">
            <v>BE6348135672</v>
          </cell>
          <cell r="B678" t="str">
            <v>KBC Inst. Fund Rest Of Europe Resp. Invest. Institutional Discr. Shares Cap (empty)</v>
          </cell>
          <cell r="C678" t="str">
            <v>EUR-KAP-INST.DISCR</v>
          </cell>
          <cell r="D678">
            <v>20240215</v>
          </cell>
          <cell r="E678">
            <v>100</v>
          </cell>
        </row>
        <row r="679">
          <cell r="A679" t="str">
            <v>BE0057042062</v>
          </cell>
          <cell r="B679" t="str">
            <v>KBC Inst. Fund Upper Grade Euro Corp.Bonds Classic Shares Cap (NAV Suspension)</v>
          </cell>
          <cell r="C679" t="str">
            <v>EUR-KAP-RETAIL</v>
          </cell>
          <cell r="D679">
            <v>20240312</v>
          </cell>
          <cell r="E679">
            <v>4316.8100000000004</v>
          </cell>
        </row>
        <row r="680">
          <cell r="A680" t="str">
            <v>BE0945986421</v>
          </cell>
          <cell r="B680" t="str">
            <v>KBC Inst. Fund Upper Grade Euro Corp.Bonds Classic Shares Dis (NAV Suspension)</v>
          </cell>
          <cell r="C680" t="str">
            <v>EUR-DIV-RETAIL</v>
          </cell>
          <cell r="D680">
            <v>20240312</v>
          </cell>
          <cell r="E680">
            <v>2638.1</v>
          </cell>
        </row>
        <row r="681">
          <cell r="A681" t="str">
            <v>BE6295238354</v>
          </cell>
          <cell r="B681" t="str">
            <v>KBC Inst. Fund Upper Grade Euro Corp.Bonds Inst. B Shares Cap (NAV Suspension)</v>
          </cell>
          <cell r="C681" t="str">
            <v>EUR-KAP-INSTIT.B</v>
          </cell>
          <cell r="D681">
            <v>20171221</v>
          </cell>
          <cell r="E681">
            <v>4564.0600000000004</v>
          </cell>
        </row>
        <row r="682">
          <cell r="A682" t="str">
            <v>BE6225971264</v>
          </cell>
          <cell r="B682" t="str">
            <v>KBC Inst. Fund Upper Grade Euro Corp.Bonds Inst. Shares Cap (NAV Suspension)</v>
          </cell>
          <cell r="C682" t="str">
            <v>EUR-KAP-INSTITUTIONEEL</v>
          </cell>
          <cell r="D682">
            <v>20240104</v>
          </cell>
          <cell r="E682">
            <v>4321.95</v>
          </cell>
        </row>
        <row r="683">
          <cell r="A683" t="str">
            <v>BE6225970258</v>
          </cell>
          <cell r="B683" t="str">
            <v>KBC Inst. Fund Upper Grade Euro Corp.Bonds Inst. Shares Dis (NAV Suspension)</v>
          </cell>
          <cell r="C683" t="str">
            <v>EUR-DIV-INSTITUTIONEEL</v>
          </cell>
          <cell r="D683">
            <v>20110906</v>
          </cell>
          <cell r="E683">
            <v>2849.09</v>
          </cell>
        </row>
        <row r="684">
          <cell r="A684" t="str">
            <v>BE0168344498</v>
          </cell>
          <cell r="B684" t="str">
            <v>KBC Inst. Fund World Equity Resp. Invest. Classic Shares Cap</v>
          </cell>
          <cell r="C684" t="str">
            <v>EUR-KAP-RETAIL</v>
          </cell>
          <cell r="D684">
            <v>20240404</v>
          </cell>
          <cell r="E684">
            <v>16387.150000000001</v>
          </cell>
        </row>
        <row r="685">
          <cell r="A685" t="str">
            <v>BE0168343482</v>
          </cell>
          <cell r="B685" t="str">
            <v>KBC Inst. Fund World Equity Resp. Invest. Classic Shares Dis</v>
          </cell>
          <cell r="C685" t="str">
            <v>EUR-DIV-RETAIL</v>
          </cell>
          <cell r="D685">
            <v>20240404</v>
          </cell>
          <cell r="E685">
            <v>12235.36</v>
          </cell>
        </row>
        <row r="686">
          <cell r="A686" t="str">
            <v>BE6295237349</v>
          </cell>
          <cell r="B686" t="str">
            <v>KBC Inst. Fund World Equity Resp. Invest. Inst. B Shares Cap</v>
          </cell>
          <cell r="C686" t="str">
            <v>EUR-KAP-INSTIT.B</v>
          </cell>
          <cell r="D686">
            <v>20240404</v>
          </cell>
          <cell r="E686">
            <v>16634.66</v>
          </cell>
        </row>
        <row r="687">
          <cell r="A687" t="str">
            <v>BE6221180852</v>
          </cell>
          <cell r="B687" t="str">
            <v>KBC Inst. Fund World Equity Resp. Invest. Inst. Shares Cap</v>
          </cell>
          <cell r="C687" t="str">
            <v>EUR-KAP-INSTITUTIONEEL</v>
          </cell>
          <cell r="D687">
            <v>20240404</v>
          </cell>
          <cell r="E687">
            <v>16581.52</v>
          </cell>
        </row>
        <row r="688">
          <cell r="A688" t="str">
            <v>BE6348137694</v>
          </cell>
          <cell r="B688" t="str">
            <v>KBC Inst. Fund World Equity Resp. Invest. Institutional Discr. Shares Cap (empty)</v>
          </cell>
          <cell r="C688" t="str">
            <v>EUR-KAP-INST.DISCR</v>
          </cell>
          <cell r="D688">
            <v>20240215</v>
          </cell>
          <cell r="E688">
            <v>100</v>
          </cell>
        </row>
        <row r="689">
          <cell r="A689" t="str">
            <v>LU0333716834</v>
          </cell>
          <cell r="B689" t="str">
            <v>KBC Inst. Interest Fund Cash Euro Corp.Shares Cap</v>
          </cell>
          <cell r="C689" t="str">
            <v>KAP2</v>
          </cell>
          <cell r="D689">
            <v>20240404</v>
          </cell>
          <cell r="E689">
            <v>5029.1099999999997</v>
          </cell>
        </row>
        <row r="690">
          <cell r="A690" t="str">
            <v>LU0333715604</v>
          </cell>
          <cell r="B690" t="str">
            <v>KBC Inst. Interest Fund Cash Euro Corp.Shares Dis</v>
          </cell>
          <cell r="C690" t="str">
            <v>DIV2</v>
          </cell>
          <cell r="D690">
            <v>20240404</v>
          </cell>
          <cell r="E690">
            <v>4300.0600000000004</v>
          </cell>
        </row>
        <row r="691">
          <cell r="A691" t="str">
            <v>LU0093925211</v>
          </cell>
          <cell r="B691" t="str">
            <v>KBC Inst. Interest Fund Cash Euro Inst. Shares Cap</v>
          </cell>
          <cell r="C691" t="str">
            <v>KAP</v>
          </cell>
          <cell r="D691">
            <v>20240404</v>
          </cell>
          <cell r="E691">
            <v>4930.54</v>
          </cell>
        </row>
        <row r="692">
          <cell r="A692" t="str">
            <v>LU0239505299</v>
          </cell>
          <cell r="B692" t="str">
            <v>KBC Inst. Interest Fund Cash Euro Inst. Shares Dis (empty)</v>
          </cell>
          <cell r="C692" t="str">
            <v>DIV</v>
          </cell>
          <cell r="D692">
            <v>20180607</v>
          </cell>
          <cell r="E692">
            <v>4234.5276670000003</v>
          </cell>
        </row>
        <row r="693">
          <cell r="A693" t="str">
            <v>LU2743116068</v>
          </cell>
          <cell r="B693" t="str">
            <v>KBC Inst. Interest Fund Cash Euro Institutional Discr. Shares Cap (empty)</v>
          </cell>
          <cell r="C693" t="str">
            <v>EUR-KAP-INST.DISCR</v>
          </cell>
          <cell r="D693">
            <v>20240404</v>
          </cell>
          <cell r="E693">
            <v>100.35</v>
          </cell>
        </row>
        <row r="694">
          <cell r="A694" t="str">
            <v>LU0159040624</v>
          </cell>
          <cell r="B694" t="str">
            <v>KBC Inst. Interest Fund Cash Upper Grade Euro Corp.Shares Cap</v>
          </cell>
          <cell r="C694" t="str">
            <v>KAP2</v>
          </cell>
          <cell r="D694">
            <v>20240404</v>
          </cell>
          <cell r="E694">
            <v>3109.71</v>
          </cell>
        </row>
        <row r="695">
          <cell r="A695" t="str">
            <v>LU0239505612</v>
          </cell>
          <cell r="B695" t="str">
            <v>KBC Inst. Interest Fund Cash Upper Grade Euro Corp.Shares Dis</v>
          </cell>
          <cell r="C695" t="str">
            <v>DIV2</v>
          </cell>
          <cell r="D695">
            <v>20240404</v>
          </cell>
          <cell r="E695">
            <v>2661.18</v>
          </cell>
        </row>
        <row r="696">
          <cell r="A696" t="str">
            <v>LU0159038560</v>
          </cell>
          <cell r="B696" t="str">
            <v>KBC Inst. Interest Fund Cash Upper Grade Euro Inst. Shares Cap</v>
          </cell>
          <cell r="C696" t="str">
            <v>KAP</v>
          </cell>
          <cell r="D696">
            <v>20240404</v>
          </cell>
          <cell r="E696">
            <v>3063.86</v>
          </cell>
        </row>
        <row r="697">
          <cell r="A697" t="str">
            <v>LU0239505703</v>
          </cell>
          <cell r="B697" t="str">
            <v>KBC Inst. Interest Fund Cash Upper Grade Euro Inst. Shares Dis</v>
          </cell>
          <cell r="C697" t="str">
            <v>DIV</v>
          </cell>
          <cell r="D697">
            <v>20240404</v>
          </cell>
          <cell r="E697">
            <v>2636.02</v>
          </cell>
        </row>
        <row r="698">
          <cell r="A698" t="str">
            <v>LU2743116142</v>
          </cell>
          <cell r="B698" t="str">
            <v>KBC Inst. Interest Fund Cash Upper Grade Euro Institutional Discr. Shares Cap (empty)</v>
          </cell>
          <cell r="C698" t="str">
            <v>EUR-KAP-INST.DISCR</v>
          </cell>
          <cell r="D698">
            <v>20240222</v>
          </cell>
          <cell r="E698">
            <v>100</v>
          </cell>
        </row>
        <row r="699">
          <cell r="A699" t="str">
            <v>BE0948906525</v>
          </cell>
          <cell r="B699" t="str">
            <v>KBC Inst. Investors AB Inbev Cap</v>
          </cell>
          <cell r="C699" t="str">
            <v>EUR-KAP-RETAIL</v>
          </cell>
          <cell r="D699">
            <v>20240404</v>
          </cell>
          <cell r="E699">
            <v>1622.23</v>
          </cell>
        </row>
        <row r="700">
          <cell r="A700" t="str">
            <v>BE6298615178</v>
          </cell>
          <cell r="B700" t="str">
            <v>KBC Inst. Investors Balanced 2 Cap</v>
          </cell>
          <cell r="C700" t="str">
            <v>EUR-KAP-INSTITUTIONEEL</v>
          </cell>
          <cell r="D700">
            <v>20240404</v>
          </cell>
          <cell r="E700">
            <v>1187.98</v>
          </cell>
        </row>
        <row r="701">
          <cell r="A701" t="str">
            <v>BE0948241667</v>
          </cell>
          <cell r="B701" t="str">
            <v>KBC Inst. Investors Balanced 3 Resp. Invest. Cap</v>
          </cell>
          <cell r="C701" t="str">
            <v>EUR-KAP-RETAIL</v>
          </cell>
          <cell r="D701">
            <v>20240404</v>
          </cell>
          <cell r="E701">
            <v>1610.57</v>
          </cell>
        </row>
        <row r="702">
          <cell r="A702" t="str">
            <v>BE6348270081</v>
          </cell>
          <cell r="B702" t="str">
            <v>KBC Inst. Investors Corp.Bonds 01 2027 Cap</v>
          </cell>
          <cell r="C702" t="str">
            <v>EUR-KAP-INSTITUTIONEEL</v>
          </cell>
          <cell r="D702">
            <v>20240404</v>
          </cell>
          <cell r="E702">
            <v>1008.95</v>
          </cell>
        </row>
        <row r="703">
          <cell r="A703" t="str">
            <v>BE6325124459</v>
          </cell>
          <cell r="B703" t="str">
            <v>KBC Inst. Investors Euro Bonds Ex-Pharma Resp. Invest. Cap</v>
          </cell>
          <cell r="C703" t="str">
            <v>EUR-KAP-INSTITUTIONEEL</v>
          </cell>
          <cell r="D703">
            <v>20240404</v>
          </cell>
          <cell r="E703">
            <v>890.15</v>
          </cell>
        </row>
        <row r="704">
          <cell r="A704" t="str">
            <v>BE6338720616</v>
          </cell>
          <cell r="B704" t="str">
            <v>KBC Inst. Investors Family Enterprises DBI-RDT Dis</v>
          </cell>
          <cell r="C704" t="str">
            <v>EUR-DIV-INST.W</v>
          </cell>
          <cell r="D704">
            <v>20240404</v>
          </cell>
          <cell r="E704">
            <v>1200.1400000000001</v>
          </cell>
        </row>
        <row r="705">
          <cell r="A705" t="str">
            <v>BE6300347034</v>
          </cell>
          <cell r="B705" t="str">
            <v>KBC Inst. Investors Global Flexible Allocation July Resp. Invest. Cap (Liquidated)</v>
          </cell>
          <cell r="C705" t="str">
            <v>EUR-KAP-INSTITUTIONEEL</v>
          </cell>
          <cell r="D705">
            <v>20240216</v>
          </cell>
          <cell r="E705">
            <v>957.49</v>
          </cell>
        </row>
        <row r="706">
          <cell r="A706" t="str">
            <v>BE6314454453</v>
          </cell>
          <cell r="B706" t="str">
            <v>KBC Inst. Investors Global Growth DBI Dis</v>
          </cell>
          <cell r="C706" t="str">
            <v>EUR-DIV-INSTITUTIONEEL</v>
          </cell>
          <cell r="D706">
            <v>20240404</v>
          </cell>
          <cell r="E706">
            <v>1510.65</v>
          </cell>
        </row>
        <row r="707">
          <cell r="A707" t="str">
            <v>BE6229565310</v>
          </cell>
          <cell r="B707" t="str">
            <v>KBC Inst. Investors LDI Solutions 1 Resp. Invest. Cap</v>
          </cell>
          <cell r="C707" t="str">
            <v>EUR-KAP-RETAIL</v>
          </cell>
          <cell r="D707">
            <v>20240328</v>
          </cell>
          <cell r="E707">
            <v>98960.07</v>
          </cell>
        </row>
        <row r="708">
          <cell r="A708" t="str">
            <v>BE6229566326</v>
          </cell>
          <cell r="B708" t="str">
            <v>KBC Inst. Investors LDI Solutions 2 Resp. Invest. Cap</v>
          </cell>
          <cell r="C708" t="str">
            <v>EUR-KAP-RETAIL</v>
          </cell>
          <cell r="D708">
            <v>20240328</v>
          </cell>
          <cell r="E708">
            <v>272006.69</v>
          </cell>
        </row>
        <row r="709">
          <cell r="A709" t="str">
            <v>BE6229561277</v>
          </cell>
          <cell r="B709" t="str">
            <v>KBC Inst. Investors LDI Solutions 3 Resp. Invest. Cap</v>
          </cell>
          <cell r="C709" t="str">
            <v>EUR-KAP-RETAIL</v>
          </cell>
          <cell r="D709">
            <v>20240328</v>
          </cell>
          <cell r="E709">
            <v>30355.86</v>
          </cell>
        </row>
        <row r="710">
          <cell r="A710" t="str">
            <v>BE6229029770</v>
          </cell>
          <cell r="B710" t="str">
            <v>KBC Inst. Investors Mixed Def. 1 Resp. Invest. Cap</v>
          </cell>
          <cell r="C710" t="str">
            <v>EUR-KAP-RETAIL</v>
          </cell>
          <cell r="D710">
            <v>20240404</v>
          </cell>
          <cell r="E710">
            <v>1610.84</v>
          </cell>
        </row>
        <row r="711">
          <cell r="A711" t="str">
            <v>BE6296829748</v>
          </cell>
          <cell r="B711" t="str">
            <v>KBC Inst. Investors SFUZ 1 Cap</v>
          </cell>
          <cell r="C711" t="str">
            <v>EUR-KAP-INSTITUTIONEEL</v>
          </cell>
          <cell r="D711">
            <v>20240404</v>
          </cell>
          <cell r="E711">
            <v>1093.07</v>
          </cell>
        </row>
        <row r="712">
          <cell r="A712" t="str">
            <v>BE6229030786</v>
          </cell>
          <cell r="B712" t="str">
            <v>KBC Inst. Investors Short Term 1 Cap</v>
          </cell>
          <cell r="C712" t="str">
            <v>EUR-KAP-RETAIL</v>
          </cell>
          <cell r="D712">
            <v>20240404</v>
          </cell>
          <cell r="E712">
            <v>1139.79</v>
          </cell>
        </row>
        <row r="713">
          <cell r="A713" t="str">
            <v>BE6309410452</v>
          </cell>
          <cell r="B713" t="str">
            <v>KBC Inst. Investors Structural Growth DBI Dis</v>
          </cell>
          <cell r="C713" t="str">
            <v>EUR-DIV-INSTITUTIONEEL</v>
          </cell>
          <cell r="D713">
            <v>20240404</v>
          </cell>
          <cell r="E713">
            <v>1173.79</v>
          </cell>
        </row>
        <row r="714">
          <cell r="A714" t="str">
            <v>BE6325125464</v>
          </cell>
          <cell r="B714" t="str">
            <v>KBC Inst. Investors World Equities Ex-Pharma Resp. Invest. Cap</v>
          </cell>
          <cell r="C714" t="str">
            <v>EUR-KAP-INSTITUTIONEEL</v>
          </cell>
          <cell r="D714">
            <v>20240404</v>
          </cell>
          <cell r="E714">
            <v>1377.88</v>
          </cell>
        </row>
        <row r="715">
          <cell r="A715" t="str">
            <v>LU0321028754</v>
          </cell>
          <cell r="B715" t="str">
            <v>KBC Interest Fund CZK Omega Cap (empty)</v>
          </cell>
          <cell r="C715" t="str">
            <v>KAP</v>
          </cell>
          <cell r="D715">
            <v>20220614</v>
          </cell>
          <cell r="E715">
            <v>11181.469300000001</v>
          </cell>
        </row>
        <row r="716">
          <cell r="A716" t="str">
            <v>LU0321028671</v>
          </cell>
          <cell r="B716" t="str">
            <v>KBC Interest Fund CZK Omega Dis (empty)</v>
          </cell>
          <cell r="C716" t="str">
            <v>DIV</v>
          </cell>
          <cell r="D716">
            <v>20221221</v>
          </cell>
          <cell r="E716">
            <v>9988.0948000000008</v>
          </cell>
        </row>
        <row r="717">
          <cell r="A717" t="str">
            <v>LU1612329638</v>
          </cell>
          <cell r="B717" t="str">
            <v>KBC Interest Fund CZK Omega Inst. B Shares</v>
          </cell>
          <cell r="C717" t="str">
            <v>CZK-KAP-INSTIT.B</v>
          </cell>
          <cell r="D717">
            <v>20240404</v>
          </cell>
          <cell r="E717">
            <v>11171.85</v>
          </cell>
        </row>
        <row r="718">
          <cell r="A718" t="str">
            <v>BE6243361530</v>
          </cell>
          <cell r="B718" t="str">
            <v>KBC IP Def. Conservative Resp. Invest. Cap</v>
          </cell>
          <cell r="C718" t="str">
            <v>KAP2</v>
          </cell>
          <cell r="D718">
            <v>20240403</v>
          </cell>
          <cell r="E718">
            <v>1085.21</v>
          </cell>
        </row>
        <row r="719">
          <cell r="A719" t="str">
            <v>IE00BM99PP17</v>
          </cell>
          <cell r="B719" t="str">
            <v>KBC Ireland Fund ICAV ExpertEase SRI Balanced Approach Cap (In Liquidation)</v>
          </cell>
          <cell r="C719" t="str">
            <v>EUR-KAP-RETAIL</v>
          </cell>
          <cell r="D719">
            <v>20230116</v>
          </cell>
          <cell r="E719">
            <v>915.81539999999995</v>
          </cell>
        </row>
        <row r="720">
          <cell r="A720" t="str">
            <v>IE00BM99PM85</v>
          </cell>
          <cell r="B720" t="str">
            <v>KBC Ireland Fund ICAV ExpertEase SRI Balanced Defence Cap (In Liquidation)</v>
          </cell>
          <cell r="C720" t="str">
            <v>EUR-KAP-RETAIL</v>
          </cell>
          <cell r="D720">
            <v>20230116</v>
          </cell>
          <cell r="E720">
            <v>919.45839999999998</v>
          </cell>
        </row>
        <row r="721">
          <cell r="A721" t="str">
            <v>IE00BM99PQ24</v>
          </cell>
          <cell r="B721" t="str">
            <v>KBC Ireland Fund ICAV ExpertEase SRI Progressive Approach Cap (In Liquidation)</v>
          </cell>
          <cell r="C721" t="str">
            <v>EUR-KAP-RETAIL</v>
          </cell>
          <cell r="D721">
            <v>20230116</v>
          </cell>
          <cell r="E721">
            <v>905.58540000000005</v>
          </cell>
        </row>
        <row r="722">
          <cell r="A722" t="str">
            <v>IE00BM99PN92</v>
          </cell>
          <cell r="B722" t="str">
            <v>KBC Ireland Fund ICAV ExpertEase SRI Progressive Defence Cap (In Liquidation)</v>
          </cell>
          <cell r="C722" t="str">
            <v>EUR-KAP-RETAIL</v>
          </cell>
          <cell r="D722">
            <v>20230116</v>
          </cell>
          <cell r="E722">
            <v>898.81449999999995</v>
          </cell>
        </row>
        <row r="723">
          <cell r="A723" t="str">
            <v>IE00BM99PR31</v>
          </cell>
          <cell r="B723" t="str">
            <v>KBC Ireland Fund ICAV ExpertEase SRI Progressive Opportunity Cap (In Liquidation)</v>
          </cell>
          <cell r="C723" t="str">
            <v>EUR-KAP-RETAIL</v>
          </cell>
          <cell r="D723">
            <v>20230116</v>
          </cell>
          <cell r="E723">
            <v>909.8854</v>
          </cell>
        </row>
        <row r="724">
          <cell r="A724" t="str">
            <v>IE00BM99PS48</v>
          </cell>
          <cell r="B724" t="str">
            <v>KBC Ireland Fund ICAV SIVEK SRI Global Medium Cap (In Liquidation)</v>
          </cell>
          <cell r="C724" t="str">
            <v>EUR-KAP-RETAIL</v>
          </cell>
          <cell r="D724">
            <v>20230116</v>
          </cell>
          <cell r="E724">
            <v>922.38300000000004</v>
          </cell>
        </row>
        <row r="725">
          <cell r="A725" t="str">
            <v>IE00BN4N0X82</v>
          </cell>
          <cell r="B725" t="str">
            <v>KBC Ireland Fund ICAV SIVEK SRI Global Medium Cap (In Liquidation)</v>
          </cell>
          <cell r="C725" t="str">
            <v>EUR-KAP-RET.B</v>
          </cell>
          <cell r="D725">
            <v>20230116</v>
          </cell>
          <cell r="E725">
            <v>912.39340000000004</v>
          </cell>
        </row>
        <row r="726">
          <cell r="A726" t="str">
            <v>LU0154896004</v>
          </cell>
          <cell r="B726" t="str">
            <v>KBC Life Inst. Fund One Cap</v>
          </cell>
          <cell r="C726" t="str">
            <v>KAP</v>
          </cell>
          <cell r="D726">
            <v>20240328</v>
          </cell>
          <cell r="E726">
            <v>613.70000000000005</v>
          </cell>
        </row>
        <row r="727">
          <cell r="A727" t="str">
            <v>LU0181125310</v>
          </cell>
          <cell r="B727" t="str">
            <v>KBC Life Invest Platform Def. Cap</v>
          </cell>
          <cell r="C727" t="str">
            <v>KAP2</v>
          </cell>
          <cell r="D727">
            <v>20240403</v>
          </cell>
          <cell r="E727">
            <v>367.1</v>
          </cell>
        </row>
        <row r="728">
          <cell r="A728" t="str">
            <v>BE6264342823</v>
          </cell>
          <cell r="B728" t="str">
            <v>KBC- Life Residential Real Estate Cap</v>
          </cell>
          <cell r="C728" t="str">
            <v>KAP</v>
          </cell>
          <cell r="D728">
            <v>20240328</v>
          </cell>
          <cell r="E728">
            <v>1435.06</v>
          </cell>
        </row>
        <row r="729">
          <cell r="A729" t="str">
            <v>BE0058976979</v>
          </cell>
          <cell r="B729" t="str">
            <v>KBC Master Fund Bonds Classic Shares Cap</v>
          </cell>
          <cell r="C729" t="str">
            <v>EUR-KAP-RETAIL</v>
          </cell>
          <cell r="D729">
            <v>20240404</v>
          </cell>
          <cell r="E729">
            <v>732.78</v>
          </cell>
        </row>
        <row r="730">
          <cell r="A730" t="str">
            <v>BE0943544255</v>
          </cell>
          <cell r="B730" t="str">
            <v>KBC Master Fund Bonds Classic Shares Dis</v>
          </cell>
          <cell r="C730" t="str">
            <v>EUR-DIV-RETAIL</v>
          </cell>
          <cell r="D730">
            <v>20240404</v>
          </cell>
          <cell r="E730">
            <v>564.61</v>
          </cell>
        </row>
        <row r="731">
          <cell r="A731" t="str">
            <v>BE6331651735</v>
          </cell>
          <cell r="B731" t="str">
            <v>KBC Master Fund Bonds Discr. Shares Cap</v>
          </cell>
          <cell r="C731" t="str">
            <v>EUR-KAP-DISCR.SHARES</v>
          </cell>
          <cell r="D731">
            <v>20240404</v>
          </cell>
          <cell r="E731">
            <v>1006.46</v>
          </cell>
        </row>
        <row r="732">
          <cell r="A732" t="str">
            <v>BE6331652741</v>
          </cell>
          <cell r="B732" t="str">
            <v>KBC Master Fund Bonds Discr. Shares Dis</v>
          </cell>
          <cell r="C732" t="str">
            <v>EUR-DIV-DISCR.SHARES</v>
          </cell>
          <cell r="D732">
            <v>20240404</v>
          </cell>
          <cell r="E732">
            <v>1046.79</v>
          </cell>
        </row>
        <row r="733">
          <cell r="A733" t="str">
            <v>BE6275295747</v>
          </cell>
          <cell r="B733" t="str">
            <v>KBC Master Fund Business Comf. Def. Dis</v>
          </cell>
          <cell r="C733" t="str">
            <v>EUR-DIV-RETAIL</v>
          </cell>
          <cell r="D733">
            <v>20240404</v>
          </cell>
          <cell r="E733">
            <v>925.07</v>
          </cell>
        </row>
        <row r="734">
          <cell r="A734" t="str">
            <v>BE6297957381</v>
          </cell>
          <cell r="B734" t="str">
            <v>KBC Master Fund Business Comf. Def. Resp. Invest. Classic Shares Dis</v>
          </cell>
          <cell r="C734" t="str">
            <v>EUR-DIV-RETAIL</v>
          </cell>
          <cell r="D734">
            <v>20240404</v>
          </cell>
          <cell r="E734">
            <v>947.11</v>
          </cell>
        </row>
        <row r="735">
          <cell r="A735" t="str">
            <v>BE6275298774</v>
          </cell>
          <cell r="B735" t="str">
            <v>KBC Master Fund Business Comf. Dyn. Dis</v>
          </cell>
          <cell r="C735" t="str">
            <v>EUR-DIV-RETAIL</v>
          </cell>
          <cell r="D735">
            <v>20240404</v>
          </cell>
          <cell r="E735">
            <v>1067.28</v>
          </cell>
        </row>
        <row r="736">
          <cell r="A736" t="str">
            <v>BE6297961425</v>
          </cell>
          <cell r="B736" t="str">
            <v>KBC Master Fund Business Comf. Dyn. Resp. Invest. Classic Shares Dis</v>
          </cell>
          <cell r="C736" t="str">
            <v>EUR-DIV-RETAIL</v>
          </cell>
          <cell r="D736">
            <v>20240404</v>
          </cell>
          <cell r="E736">
            <v>1073.81</v>
          </cell>
        </row>
        <row r="737">
          <cell r="A737" t="str">
            <v>BE6216639060</v>
          </cell>
          <cell r="B737" t="str">
            <v>KBC Master Fund CSOB Portf. Pro Kveten 90 Cap</v>
          </cell>
          <cell r="C737" t="str">
            <v>CZK-KAP-RETAIL</v>
          </cell>
          <cell r="D737">
            <v>20240404</v>
          </cell>
          <cell r="E737">
            <v>1400.56</v>
          </cell>
        </row>
        <row r="738">
          <cell r="A738" t="str">
            <v>BE6201770755</v>
          </cell>
          <cell r="B738" t="str">
            <v>KBC Master Fund CSOB Portf. Pro Listopad 90 Cap</v>
          </cell>
          <cell r="C738" t="str">
            <v>CZK-KAP-RETAIL</v>
          </cell>
          <cell r="D738">
            <v>20240404</v>
          </cell>
          <cell r="E738">
            <v>1469.17</v>
          </cell>
        </row>
        <row r="739">
          <cell r="A739" t="str">
            <v>BE0947168606</v>
          </cell>
          <cell r="B739" t="str">
            <v>KBC Master Fund CSOB Portf. Pro Srpen 90 Cap</v>
          </cell>
          <cell r="C739" t="str">
            <v>CZK-KAP-RETAIL</v>
          </cell>
          <cell r="D739">
            <v>20240404</v>
          </cell>
          <cell r="E739">
            <v>1234.21</v>
          </cell>
        </row>
        <row r="740">
          <cell r="A740" t="str">
            <v>BE0149028368</v>
          </cell>
          <cell r="B740" t="str">
            <v>KBC Master Fund High Cap</v>
          </cell>
          <cell r="C740" t="str">
            <v>EUR-KAP-RETAIL</v>
          </cell>
          <cell r="D740">
            <v>20240404</v>
          </cell>
          <cell r="E740">
            <v>1851.43</v>
          </cell>
        </row>
        <row r="741">
          <cell r="A741" t="str">
            <v>BE0149027352</v>
          </cell>
          <cell r="B741" t="str">
            <v>KBC Master Fund Low Cap</v>
          </cell>
          <cell r="C741" t="str">
            <v>EUR-KAP-RETAIL</v>
          </cell>
          <cell r="D741">
            <v>20240404</v>
          </cell>
          <cell r="E741">
            <v>1217.02</v>
          </cell>
        </row>
        <row r="742">
          <cell r="A742" t="str">
            <v>BE0145346400</v>
          </cell>
          <cell r="B742" t="str">
            <v>KBC Master Fund Medium Cap</v>
          </cell>
          <cell r="C742" t="str">
            <v>EUR-KAP-RETAIL</v>
          </cell>
          <cell r="D742">
            <v>20240404</v>
          </cell>
          <cell r="E742">
            <v>1618.85</v>
          </cell>
        </row>
        <row r="743">
          <cell r="A743" t="str">
            <v>BE6210255244</v>
          </cell>
          <cell r="B743" t="str">
            <v>KBC Master Fund Minimum Variance Global Classic Shares Cap</v>
          </cell>
          <cell r="C743" t="str">
            <v>EUR-KAP-RETAIL</v>
          </cell>
          <cell r="D743">
            <v>20240404</v>
          </cell>
          <cell r="E743">
            <v>2151.11</v>
          </cell>
        </row>
        <row r="744">
          <cell r="A744" t="str">
            <v>BE6210257265</v>
          </cell>
          <cell r="B744" t="str">
            <v>KBC Master Fund Minimum Variance Global Classic Shares Dis</v>
          </cell>
          <cell r="C744" t="str">
            <v>EUR-DIV-RETAIL</v>
          </cell>
          <cell r="D744">
            <v>20240404</v>
          </cell>
          <cell r="E744">
            <v>1605.08</v>
          </cell>
        </row>
        <row r="745">
          <cell r="A745" t="str">
            <v>BE6228919641</v>
          </cell>
          <cell r="B745" t="str">
            <v>KBC Master Fund Minimum Variance Global Inst. B Shares Cap (empty)</v>
          </cell>
          <cell r="C745" t="str">
            <v>EUR-KAP-INSTIT.B</v>
          </cell>
          <cell r="D745">
            <v>20220517</v>
          </cell>
          <cell r="E745">
            <v>2161.9499999999998</v>
          </cell>
        </row>
        <row r="746">
          <cell r="A746" t="str">
            <v>BE6348031608</v>
          </cell>
          <cell r="B746" t="str">
            <v>KBC Master Fund Minimum Variance Global Inst. Discr. Shares Cap</v>
          </cell>
          <cell r="C746" t="str">
            <v>EUR-KAP-INST.DISCR</v>
          </cell>
          <cell r="D746">
            <v>20240404</v>
          </cell>
          <cell r="E746">
            <v>98.39</v>
          </cell>
        </row>
        <row r="747">
          <cell r="A747" t="str">
            <v>BE6210258271</v>
          </cell>
          <cell r="B747" t="str">
            <v>KBC Master Fund Minimum Variance Global Inst. Shares Cap</v>
          </cell>
          <cell r="C747" t="str">
            <v>EUR-KAP-INSTITUTIONEEL</v>
          </cell>
          <cell r="D747">
            <v>20240404</v>
          </cell>
          <cell r="E747">
            <v>2515.5</v>
          </cell>
        </row>
        <row r="748">
          <cell r="A748" t="str">
            <v>BE6222652057</v>
          </cell>
          <cell r="B748" t="str">
            <v>KBC Multi Interest Cash 3 Month Duration Resp. Invest. Classic Shares Cap</v>
          </cell>
          <cell r="C748" t="str">
            <v>EUR-KAP-RETAIL</v>
          </cell>
          <cell r="D748">
            <v>20240404</v>
          </cell>
          <cell r="E748">
            <v>987.60199999999998</v>
          </cell>
        </row>
        <row r="749">
          <cell r="A749" t="str">
            <v>BE6228991392</v>
          </cell>
          <cell r="B749" t="str">
            <v>KBC Multi Interest Cash 3 Month Duration Resp. Invest. Inst. B Shares Cap</v>
          </cell>
          <cell r="C749" t="str">
            <v>EUR-KAP-INSTIT.B</v>
          </cell>
          <cell r="D749">
            <v>20240404</v>
          </cell>
          <cell r="E749">
            <v>983.41499999999996</v>
          </cell>
        </row>
        <row r="750">
          <cell r="A750" t="str">
            <v>BE6286993355</v>
          </cell>
          <cell r="B750" t="str">
            <v>KBC Multi Interest Cash 4 Month Duration Resp. Invest. Classic Shares Cap (empty)</v>
          </cell>
          <cell r="C750" t="str">
            <v>EUR-KAP-RETAIL</v>
          </cell>
          <cell r="D750">
            <v>20240328</v>
          </cell>
          <cell r="E750">
            <v>992.06100000000004</v>
          </cell>
        </row>
        <row r="751">
          <cell r="A751" t="str">
            <v>BE6286994361</v>
          </cell>
          <cell r="B751" t="str">
            <v>KBC Multi Interest Cash 4 Month Duration Resp. Invest. Inst. B Shares Cap</v>
          </cell>
          <cell r="C751" t="str">
            <v>EUR-KAP-INSTIT.B</v>
          </cell>
          <cell r="D751">
            <v>20240404</v>
          </cell>
          <cell r="E751">
            <v>988.322</v>
          </cell>
        </row>
        <row r="752">
          <cell r="A752" t="str">
            <v>BE6222654079</v>
          </cell>
          <cell r="B752" t="str">
            <v>KBC Multi Interest Cash 5 Month Duration Classic Shares Cap</v>
          </cell>
          <cell r="C752" t="str">
            <v>EUR-KAP-RETAIL</v>
          </cell>
          <cell r="D752">
            <v>20240404</v>
          </cell>
          <cell r="E752">
            <v>984.10799999999995</v>
          </cell>
        </row>
        <row r="753">
          <cell r="A753" t="str">
            <v>BE6228992408</v>
          </cell>
          <cell r="B753" t="str">
            <v>KBC Multi Interest Cash 5 Month Duration Inst. B Shares Cap</v>
          </cell>
          <cell r="C753" t="str">
            <v>EUR-KAP-INSTIT.B</v>
          </cell>
          <cell r="D753">
            <v>20240404</v>
          </cell>
          <cell r="E753">
            <v>985.84299999999996</v>
          </cell>
        </row>
        <row r="754">
          <cell r="A754" t="str">
            <v>BE6309646873</v>
          </cell>
          <cell r="B754" t="str">
            <v>KBC Multi Interest Cash Standard Duration Resp. Invest. Classic Shares Cap (empty)</v>
          </cell>
          <cell r="C754" t="str">
            <v>EUR-KAP-RETAIL</v>
          </cell>
          <cell r="D754">
            <v>20240311</v>
          </cell>
          <cell r="E754">
            <v>1002.629</v>
          </cell>
        </row>
        <row r="755">
          <cell r="A755" t="str">
            <v>BE6309645867</v>
          </cell>
          <cell r="B755" t="str">
            <v>KBC Multi Interest Cash Standard Duration Resp. Invest. Inst. B Shares Cap</v>
          </cell>
          <cell r="C755" t="str">
            <v>EUR-KAP-INSTIT.B</v>
          </cell>
          <cell r="D755">
            <v>20240404</v>
          </cell>
          <cell r="E755">
            <v>1004.57</v>
          </cell>
        </row>
        <row r="756">
          <cell r="A756" t="str">
            <v>BE0137788486</v>
          </cell>
          <cell r="B756" t="str">
            <v>KBC Multi Interest Cash USD Classic Shares Cap</v>
          </cell>
          <cell r="C756" t="str">
            <v>USD-KAP-RETAIL</v>
          </cell>
          <cell r="D756">
            <v>20240404</v>
          </cell>
          <cell r="E756">
            <v>6165.2049999999999</v>
          </cell>
        </row>
        <row r="757">
          <cell r="A757" t="str">
            <v>BE0154367404</v>
          </cell>
          <cell r="B757" t="str">
            <v>KBC Multi Interest Cash USD Classic Shares Dis</v>
          </cell>
          <cell r="C757" t="str">
            <v>USD-DIV-RETAIL</v>
          </cell>
          <cell r="D757">
            <v>20240404</v>
          </cell>
          <cell r="E757">
            <v>3128.558</v>
          </cell>
        </row>
        <row r="758">
          <cell r="A758" t="str">
            <v>BE6294964521</v>
          </cell>
          <cell r="B758" t="str">
            <v>KBC Multi Interest Cash USD Inst. B Shares Cap</v>
          </cell>
          <cell r="C758" t="str">
            <v>USD-KAP-INSTIT.B</v>
          </cell>
          <cell r="D758">
            <v>20240404</v>
          </cell>
          <cell r="E758">
            <v>6171.9459999999999</v>
          </cell>
        </row>
        <row r="759">
          <cell r="A759" t="str">
            <v>BE6348032614</v>
          </cell>
          <cell r="B759" t="str">
            <v>KBC Multi Interest Cash USD Inst. Discr. Shares Cap (empty)</v>
          </cell>
          <cell r="C759" t="str">
            <v>EUR-KAP-INST.DISCR</v>
          </cell>
          <cell r="D759">
            <v>20240215</v>
          </cell>
          <cell r="E759">
            <v>100</v>
          </cell>
        </row>
        <row r="760">
          <cell r="A760" t="str">
            <v>BE6348033620</v>
          </cell>
          <cell r="B760" t="str">
            <v>KBC Multi Interest Cash USD Inst. Discr. Shares Dis (empty)</v>
          </cell>
          <cell r="C760" t="str">
            <v>EUR-DIV-INST.DISCR</v>
          </cell>
          <cell r="D760">
            <v>20240215</v>
          </cell>
          <cell r="E760">
            <v>100</v>
          </cell>
        </row>
        <row r="761">
          <cell r="A761" t="str">
            <v>BE0940482673</v>
          </cell>
          <cell r="B761" t="str">
            <v>KBC Multi Interest CSOB CZK Medium Classic Shares Cap</v>
          </cell>
          <cell r="C761" t="str">
            <v>CZK-KAP-RETAIL</v>
          </cell>
          <cell r="D761">
            <v>20240404</v>
          </cell>
          <cell r="E761">
            <v>141.57300000000001</v>
          </cell>
        </row>
        <row r="762">
          <cell r="A762" t="str">
            <v>BE6272658566</v>
          </cell>
          <cell r="B762" t="str">
            <v>KBC Multi Interest CSOB CZK Medium Inst. B Shares Cap</v>
          </cell>
          <cell r="C762" t="str">
            <v>CZK-KAP-INSTIT.B</v>
          </cell>
          <cell r="D762">
            <v>20240404</v>
          </cell>
          <cell r="E762">
            <v>1114.1959999999999</v>
          </cell>
        </row>
        <row r="763">
          <cell r="A763" t="str">
            <v>BE0173476400</v>
          </cell>
          <cell r="B763" t="str">
            <v>KBC Multi Interest CSOB Kratkodoby Classic Shares Cap</v>
          </cell>
          <cell r="C763" t="str">
            <v>CZK-KAP-RETAIL</v>
          </cell>
          <cell r="D763">
            <v>20240404</v>
          </cell>
          <cell r="E763">
            <v>142.52199999999999</v>
          </cell>
        </row>
        <row r="764">
          <cell r="A764" t="str">
            <v>BE6280424621</v>
          </cell>
          <cell r="B764" t="str">
            <v>KBC Multi Interest CSOB Kratkodoby Inst. B Shares Cap</v>
          </cell>
          <cell r="C764" t="str">
            <v>CZK-KAP-INSTIT.B</v>
          </cell>
          <cell r="D764">
            <v>20240404</v>
          </cell>
          <cell r="E764">
            <v>1121.825</v>
          </cell>
        </row>
        <row r="765">
          <cell r="A765" t="str">
            <v>BE0948240651</v>
          </cell>
          <cell r="B765" t="str">
            <v>KBC Participation Cash Plus Resp. Invest. Classic Shares Cap</v>
          </cell>
          <cell r="C765" t="str">
            <v>EUR-KAP-RETAIL</v>
          </cell>
          <cell r="D765">
            <v>20240404</v>
          </cell>
          <cell r="E765">
            <v>1042.364</v>
          </cell>
        </row>
        <row r="766">
          <cell r="A766" t="str">
            <v>BE0948239646</v>
          </cell>
          <cell r="B766" t="str">
            <v>KBC Participation Cash Plus Resp. Invest. Classic Shares Dis</v>
          </cell>
          <cell r="C766" t="str">
            <v>EUR-DIV-RETAIL</v>
          </cell>
          <cell r="D766">
            <v>20240404</v>
          </cell>
          <cell r="E766">
            <v>919.07600000000002</v>
          </cell>
        </row>
        <row r="767">
          <cell r="A767" t="str">
            <v>BE6258074226</v>
          </cell>
          <cell r="B767" t="str">
            <v>KBC Participation Cash Plus Resp. Invest. Inst. B Shares Cap</v>
          </cell>
          <cell r="C767" t="str">
            <v>EUR-KAP-INSTIT.B</v>
          </cell>
          <cell r="D767">
            <v>20240404</v>
          </cell>
          <cell r="E767">
            <v>1042.643</v>
          </cell>
        </row>
        <row r="768">
          <cell r="A768" t="str">
            <v>BE6348047760</v>
          </cell>
          <cell r="B768" t="str">
            <v>KBC Participation Cash Plus Resp. Invest. Inst. Discr. Shares Cap (empty)</v>
          </cell>
          <cell r="C768" t="str">
            <v>EUR-KAP-INST.DISCR</v>
          </cell>
          <cell r="D768">
            <v>20240215</v>
          </cell>
          <cell r="E768">
            <v>100</v>
          </cell>
        </row>
        <row r="769">
          <cell r="A769" t="str">
            <v>BE6348048776</v>
          </cell>
          <cell r="B769" t="str">
            <v>KBC Participation Cash Plus Resp. Invest. Inst. Discr. Shares Dis (empty)</v>
          </cell>
          <cell r="C769" t="str">
            <v>EUR-DIV-INST.DISCR</v>
          </cell>
          <cell r="D769">
            <v>20240215</v>
          </cell>
          <cell r="E769">
            <v>100</v>
          </cell>
        </row>
        <row r="770">
          <cell r="A770" t="str">
            <v>BE6246548398</v>
          </cell>
          <cell r="B770" t="str">
            <v>KBC Participation Commodities Classic Shares Cap</v>
          </cell>
          <cell r="C770" t="str">
            <v>EUR-KAP-RETAIL</v>
          </cell>
          <cell r="D770">
            <v>20240404</v>
          </cell>
          <cell r="E770">
            <v>884.45</v>
          </cell>
        </row>
        <row r="771">
          <cell r="A771" t="str">
            <v>BE6246621153</v>
          </cell>
          <cell r="B771" t="str">
            <v>KBC Participation Commodities Inst. B Shares Cap</v>
          </cell>
          <cell r="C771" t="str">
            <v>EUR-KAP-INSTIT.B</v>
          </cell>
          <cell r="D771">
            <v>20240404</v>
          </cell>
          <cell r="E771">
            <v>914.19</v>
          </cell>
        </row>
        <row r="772">
          <cell r="A772" t="str">
            <v>BE6348049782</v>
          </cell>
          <cell r="B772" t="str">
            <v>KBC Participation Commodities Inst. Discr. Shares Cap (empty)</v>
          </cell>
          <cell r="C772" t="str">
            <v>EUR-KAP-INST.DISCR</v>
          </cell>
          <cell r="D772">
            <v>20240215</v>
          </cell>
          <cell r="E772">
            <v>100</v>
          </cell>
        </row>
        <row r="773">
          <cell r="A773" t="str">
            <v>BE6347683037</v>
          </cell>
          <cell r="B773" t="str">
            <v>KBC Participation Corp.Bonds 02.2026 Classic Shares Cap</v>
          </cell>
          <cell r="C773" t="str">
            <v>EUR-KAP-CLASSIC</v>
          </cell>
          <cell r="D773">
            <v>20240404</v>
          </cell>
          <cell r="E773">
            <v>100.43</v>
          </cell>
        </row>
        <row r="774">
          <cell r="A774" t="str">
            <v>BE6347684043</v>
          </cell>
          <cell r="B774" t="str">
            <v>KBC Participation Corp.Bonds 02.2026 Classic Shares Dis</v>
          </cell>
          <cell r="C774" t="str">
            <v>EUR-DIV-CLASSIC</v>
          </cell>
          <cell r="D774">
            <v>20240404</v>
          </cell>
          <cell r="E774">
            <v>100.43</v>
          </cell>
        </row>
        <row r="775">
          <cell r="A775" t="str">
            <v>BE6347685057</v>
          </cell>
          <cell r="B775" t="str">
            <v>KBC Participation Corp.Bonds 02.2026 Corporate Shares Cap</v>
          </cell>
          <cell r="C775" t="str">
            <v>EUR-KAP-CORPORATE</v>
          </cell>
          <cell r="D775">
            <v>20240404</v>
          </cell>
          <cell r="E775">
            <v>100.48</v>
          </cell>
        </row>
        <row r="776">
          <cell r="A776" t="str">
            <v>BE6347686063</v>
          </cell>
          <cell r="B776" t="str">
            <v>KBC Participation Corp.Bonds 02.2026 Corporate Shares Dis</v>
          </cell>
          <cell r="C776" t="str">
            <v>EUR-DIV-CORPORATE</v>
          </cell>
          <cell r="D776">
            <v>20240404</v>
          </cell>
          <cell r="E776">
            <v>100.48</v>
          </cell>
        </row>
        <row r="777">
          <cell r="A777" t="str">
            <v>BE6347687079</v>
          </cell>
          <cell r="B777" t="str">
            <v>KBC Participation Corp.Bonds 02.2026 Corporate Wealth Office shares Cap</v>
          </cell>
          <cell r="C777" t="str">
            <v>EUR-KAP-CORPWEALTH</v>
          </cell>
          <cell r="D777">
            <v>20240404</v>
          </cell>
          <cell r="E777">
            <v>100.49</v>
          </cell>
        </row>
        <row r="778">
          <cell r="A778" t="str">
            <v>BE6347688085</v>
          </cell>
          <cell r="B778" t="str">
            <v>KBC Participation Corp.Bonds 02.2026 Corporate Wealth Office shares Dis</v>
          </cell>
          <cell r="C778" t="str">
            <v>EUR-DIV-CORPWEALTH</v>
          </cell>
          <cell r="D778">
            <v>20240404</v>
          </cell>
          <cell r="E778">
            <v>100.49</v>
          </cell>
        </row>
        <row r="779">
          <cell r="A779" t="str">
            <v>BE6347702225</v>
          </cell>
          <cell r="B779" t="str">
            <v>KBC Participation Corp.Bonds 02.2026 Discr. Shares Cap (empty)</v>
          </cell>
          <cell r="C779" t="str">
            <v>EUR-KAP-DISCR.SHARES</v>
          </cell>
          <cell r="D779">
            <v>20240209</v>
          </cell>
          <cell r="E779">
            <v>100</v>
          </cell>
        </row>
        <row r="780">
          <cell r="A780" t="str">
            <v>BE6347703231</v>
          </cell>
          <cell r="B780" t="str">
            <v>KBC Participation Corp.Bonds 02.2026 Inst. Shares Cap</v>
          </cell>
          <cell r="C780" t="str">
            <v>EUR-KAP-INSTITUTIONEEL</v>
          </cell>
          <cell r="D780">
            <v>20240404</v>
          </cell>
          <cell r="E780">
            <v>100.52</v>
          </cell>
        </row>
        <row r="781">
          <cell r="A781" t="str">
            <v>BE6347705251</v>
          </cell>
          <cell r="B781" t="str">
            <v>KBC Participation Corp.Bonds 02.2029 Classic Shares Cap</v>
          </cell>
          <cell r="C781" t="str">
            <v>EUR-KAP-CLASSIC</v>
          </cell>
          <cell r="D781">
            <v>20240404</v>
          </cell>
          <cell r="E781">
            <v>101.4</v>
          </cell>
        </row>
        <row r="782">
          <cell r="A782" t="str">
            <v>BE6347707273</v>
          </cell>
          <cell r="B782" t="str">
            <v>KBC Participation Corp.Bonds 02.2029 Classic Shares Dis</v>
          </cell>
          <cell r="C782" t="str">
            <v>EUR-DIV-CLASSIC</v>
          </cell>
          <cell r="D782">
            <v>20240404</v>
          </cell>
          <cell r="E782">
            <v>101.4</v>
          </cell>
        </row>
        <row r="783">
          <cell r="A783" t="str">
            <v>BE6347708289</v>
          </cell>
          <cell r="B783" t="str">
            <v>KBC Participation Corp.Bonds 02.2029 Corporate Shares Cap</v>
          </cell>
          <cell r="C783" t="str">
            <v>EUR-KAP-CORP.SHARES</v>
          </cell>
          <cell r="D783">
            <v>20240404</v>
          </cell>
          <cell r="E783">
            <v>101.45</v>
          </cell>
        </row>
        <row r="784">
          <cell r="A784" t="str">
            <v>BE6347709295</v>
          </cell>
          <cell r="B784" t="str">
            <v>KBC Participation Corp.Bonds 02.2029 Corporate Shares Dis</v>
          </cell>
          <cell r="C784" t="str">
            <v>EUR-DIV-CORP.SHARES</v>
          </cell>
          <cell r="D784">
            <v>20240404</v>
          </cell>
          <cell r="E784">
            <v>101.44</v>
          </cell>
        </row>
        <row r="785">
          <cell r="A785" t="str">
            <v>BE6347710301</v>
          </cell>
          <cell r="B785" t="str">
            <v>KBC Participation Corp.Bonds 02.2029 Corporate Wealth Office shares Cap</v>
          </cell>
          <cell r="C785" t="str">
            <v>EUR-KAP-CORPWEALTH</v>
          </cell>
          <cell r="D785">
            <v>20240404</v>
          </cell>
          <cell r="E785">
            <v>101.46</v>
          </cell>
        </row>
        <row r="786">
          <cell r="A786" t="str">
            <v>BE6347711317</v>
          </cell>
          <cell r="B786" t="str">
            <v>KBC Participation Corp.Bonds 02.2029 Corporate Wealth Office shares Dis</v>
          </cell>
          <cell r="C786" t="str">
            <v>EUR-DIV-CORPWEALTH</v>
          </cell>
          <cell r="D786">
            <v>20240404</v>
          </cell>
          <cell r="E786">
            <v>101.46</v>
          </cell>
        </row>
        <row r="787">
          <cell r="A787" t="str">
            <v>BE6347712323</v>
          </cell>
          <cell r="B787" t="str">
            <v>KBC Participation Corp.Bonds 02.2029 Discr. Shares Cap (empty)</v>
          </cell>
          <cell r="C787" t="str">
            <v>EUR-KAP-DISCR.SHARES</v>
          </cell>
          <cell r="D787">
            <v>20240209</v>
          </cell>
          <cell r="E787">
            <v>100</v>
          </cell>
        </row>
        <row r="788">
          <cell r="A788" t="str">
            <v>BE6347713339</v>
          </cell>
          <cell r="B788" t="str">
            <v>KBC Participation Corp.Bonds 02.2029 Inst. Shares Cap</v>
          </cell>
          <cell r="C788" t="str">
            <v>EUR-KAP-INSTITUTIONEEL</v>
          </cell>
          <cell r="D788">
            <v>20240404</v>
          </cell>
          <cell r="E788">
            <v>101.49</v>
          </cell>
        </row>
        <row r="789">
          <cell r="A789" t="str">
            <v>BE6300931050</v>
          </cell>
          <cell r="B789" t="str">
            <v>KBC Participation Corp.Bonds Resp. Invest. Classic Shares Cap</v>
          </cell>
          <cell r="C789" t="str">
            <v>EUR-KAP-RET.B</v>
          </cell>
          <cell r="D789">
            <v>20240404</v>
          </cell>
          <cell r="E789">
            <v>947.2</v>
          </cell>
        </row>
        <row r="790">
          <cell r="A790" t="str">
            <v>BE6300933072</v>
          </cell>
          <cell r="B790" t="str">
            <v>KBC Participation Corp.Bonds Resp. Invest. Classic Shares Dis</v>
          </cell>
          <cell r="C790" t="str">
            <v>EUR-DIV-RET.B</v>
          </cell>
          <cell r="D790">
            <v>20240404</v>
          </cell>
          <cell r="E790">
            <v>873.9</v>
          </cell>
        </row>
        <row r="791">
          <cell r="A791" t="str">
            <v>BE6222648014</v>
          </cell>
          <cell r="B791" t="str">
            <v>KBC Participation Corp.Bonds Resp. Invest. Discr. Shares Cap</v>
          </cell>
          <cell r="C791" t="str">
            <v>EUR-KAP-DISCR.SHARES</v>
          </cell>
          <cell r="D791">
            <v>20240404</v>
          </cell>
          <cell r="E791">
            <v>1265.5899999999999</v>
          </cell>
        </row>
        <row r="792">
          <cell r="A792" t="str">
            <v>BE6222650036</v>
          </cell>
          <cell r="B792" t="str">
            <v>KBC Participation Corp.Bonds Resp. Invest. Discr. Shares Dis</v>
          </cell>
          <cell r="C792" t="str">
            <v>EUR-DIV-DISCR.SHARES</v>
          </cell>
          <cell r="D792">
            <v>20240404</v>
          </cell>
          <cell r="E792">
            <v>1059.67</v>
          </cell>
        </row>
        <row r="793">
          <cell r="A793" t="str">
            <v>BE6222649020</v>
          </cell>
          <cell r="B793" t="str">
            <v>KBC Participation Corp.Bonds Resp. Invest. Inst. B Shares Cap</v>
          </cell>
          <cell r="C793" t="str">
            <v>EUR-KAP-INSTIT.B</v>
          </cell>
          <cell r="D793">
            <v>20240404</v>
          </cell>
          <cell r="E793">
            <v>1264.33</v>
          </cell>
        </row>
        <row r="794">
          <cell r="A794" t="str">
            <v>BE6348050798</v>
          </cell>
          <cell r="B794" t="str">
            <v>KBC Participation Corp.Bonds Resp. Invest. Inst. Discr. Shares Cap (empty)</v>
          </cell>
          <cell r="C794" t="str">
            <v>EUR-KAP-INST.DISCR</v>
          </cell>
          <cell r="D794">
            <v>20240215</v>
          </cell>
          <cell r="E794">
            <v>100</v>
          </cell>
        </row>
        <row r="795">
          <cell r="A795" t="str">
            <v>BE6275358404</v>
          </cell>
          <cell r="B795" t="str">
            <v>KBC Participation Corp.Bonds Resp. Invest. Inst. Shares Cap</v>
          </cell>
          <cell r="C795" t="str">
            <v>EUR-KAP-INSTITUTIONEEL</v>
          </cell>
          <cell r="D795">
            <v>20240404</v>
          </cell>
          <cell r="E795">
            <v>1023.98</v>
          </cell>
        </row>
        <row r="796">
          <cell r="A796" t="str">
            <v>BE0948394250</v>
          </cell>
          <cell r="B796" t="str">
            <v>KBC Participation Europe Financial Bond Opportunities Classic Shares Cap</v>
          </cell>
          <cell r="C796" t="str">
            <v>EUR-KAP-RETAIL</v>
          </cell>
          <cell r="D796">
            <v>20240404</v>
          </cell>
          <cell r="E796">
            <v>1159.28</v>
          </cell>
        </row>
        <row r="797">
          <cell r="A797" t="str">
            <v>BE0948393245</v>
          </cell>
          <cell r="B797" t="str">
            <v>KBC Participation Europe Financial Bond Opportunities Classic Shares Dis</v>
          </cell>
          <cell r="C797" t="str">
            <v>EUR-DIV-RETAIL</v>
          </cell>
          <cell r="D797">
            <v>20240404</v>
          </cell>
          <cell r="E797">
            <v>625.23</v>
          </cell>
        </row>
        <row r="798">
          <cell r="A798" t="str">
            <v>BE6228930754</v>
          </cell>
          <cell r="B798" t="str">
            <v>KBC Participation Europe Financial Bond Opportunities Inst. B Shares Cap</v>
          </cell>
          <cell r="C798" t="str">
            <v>EUR-KAP-INSTIT.B</v>
          </cell>
          <cell r="D798">
            <v>20240404</v>
          </cell>
          <cell r="E798">
            <v>1208.8399999999999</v>
          </cell>
        </row>
        <row r="799">
          <cell r="A799" t="str">
            <v>BE6348053826</v>
          </cell>
          <cell r="B799" t="str">
            <v>KBC Participation Europe Financial Bond Opportunities Inst. Discr. Shares Cap (empty)</v>
          </cell>
          <cell r="C799" t="str">
            <v>EUR-KAP-INST.DISCR</v>
          </cell>
          <cell r="D799">
            <v>20240215</v>
          </cell>
          <cell r="E799">
            <v>100</v>
          </cell>
        </row>
        <row r="800">
          <cell r="A800" t="str">
            <v>BE6213172313</v>
          </cell>
          <cell r="B800" t="str">
            <v>KBC Participation Flexible Portf. Cap</v>
          </cell>
          <cell r="C800" t="str">
            <v>EUR-KAP-RETAIL</v>
          </cell>
          <cell r="D800">
            <v>20240404</v>
          </cell>
          <cell r="E800">
            <v>1442.46</v>
          </cell>
        </row>
        <row r="801">
          <cell r="A801" t="str">
            <v>BE6213173329</v>
          </cell>
          <cell r="B801" t="str">
            <v>KBC Participation Flexible Portf. Dis</v>
          </cell>
          <cell r="C801" t="str">
            <v>EUR-DIV-RETAIL</v>
          </cell>
          <cell r="D801">
            <v>20240404</v>
          </cell>
          <cell r="E801">
            <v>1218.8</v>
          </cell>
        </row>
        <row r="802">
          <cell r="A802" t="str">
            <v>BE6248515668</v>
          </cell>
          <cell r="B802" t="str">
            <v>KBC Participation Local Emerging Market Bonds Classic Shares Cap</v>
          </cell>
          <cell r="C802" t="str">
            <v>EUR-KAP-RETAIL</v>
          </cell>
          <cell r="D802">
            <v>20240404</v>
          </cell>
          <cell r="E802">
            <v>1053.4000000000001</v>
          </cell>
        </row>
        <row r="803">
          <cell r="A803" t="str">
            <v>BE6248518696</v>
          </cell>
          <cell r="B803" t="str">
            <v>KBC Participation Local Emerging Market Bonds Classic Shares Dis</v>
          </cell>
          <cell r="C803" t="str">
            <v>EUR-DIV-RETAIL</v>
          </cell>
          <cell r="D803">
            <v>20240404</v>
          </cell>
          <cell r="E803">
            <v>606.66999999999996</v>
          </cell>
        </row>
        <row r="804">
          <cell r="A804" t="str">
            <v>BE6248521724</v>
          </cell>
          <cell r="B804" t="str">
            <v>KBC Participation Local Emerging Market Bonds Inst. B Shares Cap</v>
          </cell>
          <cell r="C804" t="str">
            <v>EUR-KAP-INSTIT.B</v>
          </cell>
          <cell r="D804">
            <v>20240404</v>
          </cell>
          <cell r="E804">
            <v>1103.8399999999999</v>
          </cell>
        </row>
        <row r="805">
          <cell r="A805" t="str">
            <v>BE6348055847</v>
          </cell>
          <cell r="B805" t="str">
            <v>KBC Participation Local Emerging Market Bonds Inst. Discr. Shares Cap</v>
          </cell>
          <cell r="C805" t="str">
            <v>EUR-KAP-INST.DISCR</v>
          </cell>
          <cell r="D805">
            <v>20240404</v>
          </cell>
          <cell r="E805">
            <v>99.85</v>
          </cell>
        </row>
        <row r="806">
          <cell r="A806" t="str">
            <v>BE6248519702</v>
          </cell>
          <cell r="B806" t="str">
            <v>KBC Participation Local Emerging Market Bonds Inst. Shares Cap</v>
          </cell>
          <cell r="C806" t="str">
            <v>EUR-KAP-INSTITUTIONEEL</v>
          </cell>
          <cell r="D806">
            <v>20240404</v>
          </cell>
          <cell r="E806">
            <v>1144.31</v>
          </cell>
        </row>
        <row r="807">
          <cell r="A807" t="str">
            <v>BE6248520718</v>
          </cell>
          <cell r="B807" t="str">
            <v>KBC Participation Local Emerging Market Bonds Inst. Shares Dis (empty)</v>
          </cell>
          <cell r="C807" t="str">
            <v>EUR-DIV-INSTITUTIONEEL</v>
          </cell>
          <cell r="D807">
            <v>20230911</v>
          </cell>
          <cell r="E807">
            <v>657.24</v>
          </cell>
        </row>
        <row r="808">
          <cell r="A808" t="str">
            <v>BE6243135215</v>
          </cell>
          <cell r="B808" t="str">
            <v>KBC Participation Private Banking Active Bond Sel. Classic Shares Cap</v>
          </cell>
          <cell r="C808" t="str">
            <v>EUR-KAP-RETAIL</v>
          </cell>
          <cell r="D808">
            <v>20240404</v>
          </cell>
          <cell r="E808">
            <v>1206.72</v>
          </cell>
        </row>
        <row r="809">
          <cell r="A809" t="str">
            <v>BE6243137237</v>
          </cell>
          <cell r="B809" t="str">
            <v>KBC Participation Private Banking Active Bond Sel. Classic Shares Dis</v>
          </cell>
          <cell r="C809" t="str">
            <v>EUR-DIV-RETAIL</v>
          </cell>
          <cell r="D809">
            <v>20240404</v>
          </cell>
          <cell r="E809">
            <v>975.36</v>
          </cell>
        </row>
        <row r="810">
          <cell r="A810" t="str">
            <v>BE6294992803</v>
          </cell>
          <cell r="B810" t="str">
            <v>KBC Participation Private Banking Active Bond Sel. Inst. B Shares Cap</v>
          </cell>
          <cell r="C810" t="str">
            <v>EUR-KAP-INSTIT.B</v>
          </cell>
          <cell r="D810">
            <v>20240404</v>
          </cell>
          <cell r="E810">
            <v>1241.54</v>
          </cell>
        </row>
        <row r="811">
          <cell r="A811" t="str">
            <v>BE6348063924</v>
          </cell>
          <cell r="B811" t="str">
            <v>KBC Participation Private Banking Active Bond Sel. Inst. Discr. Shares Cap</v>
          </cell>
          <cell r="C811" t="str">
            <v>EUR-KAP-INST.DISCR</v>
          </cell>
          <cell r="D811">
            <v>20240404</v>
          </cell>
          <cell r="E811">
            <v>99.95</v>
          </cell>
        </row>
        <row r="812">
          <cell r="A812" t="str">
            <v>BE6314469600</v>
          </cell>
          <cell r="B812" t="str">
            <v>KBC Participation Short Term Bond Sel. Classic Shares Dis</v>
          </cell>
          <cell r="C812" t="str">
            <v>EUR-DIV-RETAIL</v>
          </cell>
          <cell r="D812">
            <v>20240404</v>
          </cell>
          <cell r="E812">
            <v>909.28</v>
          </cell>
        </row>
        <row r="813">
          <cell r="A813" t="str">
            <v>BE6291514949</v>
          </cell>
          <cell r="B813" t="str">
            <v>KBC Participation Short Term Bond Sel. Corp.Shares Dis</v>
          </cell>
          <cell r="C813" t="str">
            <v>EUR-DIV-CORP.SHARES</v>
          </cell>
          <cell r="D813">
            <v>20240404</v>
          </cell>
          <cell r="E813">
            <v>902.22</v>
          </cell>
        </row>
        <row r="814">
          <cell r="A814" t="str">
            <v>BE6348064930</v>
          </cell>
          <cell r="B814" t="str">
            <v>KBC Participation Short Term Bond Sel. Inst. Discr. Shares Cap (empty)</v>
          </cell>
          <cell r="C814" t="str">
            <v>EUR-KAP-INST.DISCR</v>
          </cell>
          <cell r="D814">
            <v>20240215</v>
          </cell>
          <cell r="E814">
            <v>100</v>
          </cell>
        </row>
        <row r="815">
          <cell r="A815" t="str">
            <v>BE6291515953</v>
          </cell>
          <cell r="B815" t="str">
            <v>KBC Participation Short Term Bond Sel. Inst. Shares Dis</v>
          </cell>
          <cell r="C815" t="str">
            <v>EUR-DIV-INSTITUTIONEEL</v>
          </cell>
          <cell r="D815">
            <v>20240404</v>
          </cell>
          <cell r="E815">
            <v>903.35</v>
          </cell>
        </row>
        <row r="816">
          <cell r="A816" t="str">
            <v>BE6348528728</v>
          </cell>
          <cell r="B816" t="str">
            <v>KBC Private Partners Climate Technologies Resp. Invest. Privak Dis</v>
          </cell>
        </row>
        <row r="817">
          <cell r="A817" t="str">
            <v>BE6328115298</v>
          </cell>
          <cell r="B817" t="str">
            <v>KBC Private Partners Life Sciences Dis</v>
          </cell>
        </row>
        <row r="818">
          <cell r="A818" t="str">
            <v>BE6328116304</v>
          </cell>
          <cell r="B818" t="str">
            <v>KBC Private Partners Life Sciences Privak Dis</v>
          </cell>
        </row>
        <row r="819">
          <cell r="A819" t="str">
            <v>LU0095279401</v>
          </cell>
          <cell r="B819" t="str">
            <v>KBC Renta Czechrenta Resp. Invest. Cap</v>
          </cell>
          <cell r="C819" t="str">
            <v>KAP</v>
          </cell>
          <cell r="D819">
            <v>20240404</v>
          </cell>
          <cell r="E819">
            <v>38965.74</v>
          </cell>
        </row>
        <row r="820">
          <cell r="A820" t="str">
            <v>LU0095278775</v>
          </cell>
          <cell r="B820" t="str">
            <v>KBC Renta Czechrenta Resp. Invest. Dis</v>
          </cell>
          <cell r="C820" t="str">
            <v>DIV</v>
          </cell>
          <cell r="D820">
            <v>20240404</v>
          </cell>
          <cell r="E820">
            <v>18022.54</v>
          </cell>
        </row>
        <row r="821">
          <cell r="A821" t="str">
            <v>LU0707510896</v>
          </cell>
          <cell r="B821" t="str">
            <v>KBC Renta Czechrenta Resp. Invest. Inst. B Shares Cap</v>
          </cell>
          <cell r="C821" t="str">
            <v>CZK-KAP-INSTIT.B</v>
          </cell>
          <cell r="D821">
            <v>20240404</v>
          </cell>
          <cell r="E821">
            <v>40451.230000000003</v>
          </cell>
        </row>
        <row r="822">
          <cell r="A822" t="str">
            <v>LU0063916489</v>
          </cell>
          <cell r="B822" t="str">
            <v>KBC Renta Dollarenta Cap</v>
          </cell>
          <cell r="C822" t="str">
            <v>KAP</v>
          </cell>
          <cell r="D822">
            <v>20240404</v>
          </cell>
          <cell r="E822">
            <v>1088.6500000000001</v>
          </cell>
        </row>
        <row r="823">
          <cell r="A823" t="str">
            <v>LU0063915911</v>
          </cell>
          <cell r="B823" t="str">
            <v>KBC Renta Dollarenta Dis</v>
          </cell>
          <cell r="C823" t="str">
            <v>DIV</v>
          </cell>
          <cell r="D823">
            <v>20240404</v>
          </cell>
          <cell r="E823">
            <v>412.97</v>
          </cell>
        </row>
        <row r="824">
          <cell r="A824" t="str">
            <v>LU0707509963</v>
          </cell>
          <cell r="B824" t="str">
            <v>KBC Renta Dollarenta Inst. B Shares Cap</v>
          </cell>
          <cell r="C824" t="str">
            <v>USD-KAP-INSTIT.B</v>
          </cell>
          <cell r="D824">
            <v>20240404</v>
          </cell>
          <cell r="E824">
            <v>1116.8399999999999</v>
          </cell>
        </row>
        <row r="825">
          <cell r="A825" t="str">
            <v>LU2749545823</v>
          </cell>
          <cell r="B825" t="str">
            <v>KBC Renta Dollarenta Inst. Discr. Shares Cap (empty)</v>
          </cell>
          <cell r="C825" t="str">
            <v>EUR-KAP-INST.DISCR</v>
          </cell>
          <cell r="D825">
            <v>20240222</v>
          </cell>
          <cell r="E825">
            <v>100</v>
          </cell>
        </row>
        <row r="826">
          <cell r="A826" t="str">
            <v>LU2749546045</v>
          </cell>
          <cell r="B826" t="str">
            <v>KBC Renta Dollarenta Inst. Discr. Shares Dis (empty)</v>
          </cell>
          <cell r="C826" t="str">
            <v>EUR-DIV-INST.DISCR</v>
          </cell>
          <cell r="D826">
            <v>20240222</v>
          </cell>
          <cell r="E826">
            <v>100</v>
          </cell>
        </row>
        <row r="827">
          <cell r="A827" t="str">
            <v>LU1687444809</v>
          </cell>
          <cell r="B827" t="str">
            <v>KBC Renta Dollarenta Inst. F Shares</v>
          </cell>
          <cell r="C827" t="str">
            <v>USD-KAP-INSTIT.F</v>
          </cell>
          <cell r="D827">
            <v>20240404</v>
          </cell>
          <cell r="E827">
            <v>976.52</v>
          </cell>
        </row>
        <row r="828">
          <cell r="A828" t="str">
            <v>LU0058246306</v>
          </cell>
          <cell r="B828" t="str">
            <v>KBC Renta Eurorenta Resp. Invest. Cap</v>
          </cell>
          <cell r="C828" t="str">
            <v>KAP</v>
          </cell>
          <cell r="D828">
            <v>20240404</v>
          </cell>
          <cell r="E828">
            <v>2756.91</v>
          </cell>
        </row>
        <row r="829">
          <cell r="A829" t="str">
            <v>LU0058246728</v>
          </cell>
          <cell r="B829" t="str">
            <v>KBC Renta Eurorenta Resp. Invest. Dis</v>
          </cell>
          <cell r="C829" t="str">
            <v>DIV</v>
          </cell>
          <cell r="D829">
            <v>20240404</v>
          </cell>
          <cell r="E829">
            <v>545.82000000000005</v>
          </cell>
        </row>
        <row r="830">
          <cell r="A830" t="str">
            <v>LU0707509708</v>
          </cell>
          <cell r="B830" t="str">
            <v>KBC Renta Eurorenta Resp. Invest. Inst. B Shares Cap</v>
          </cell>
          <cell r="C830" t="str">
            <v>EUR-KAP-INSTIT.B</v>
          </cell>
          <cell r="D830">
            <v>20240404</v>
          </cell>
          <cell r="E830">
            <v>2836.91</v>
          </cell>
        </row>
        <row r="831">
          <cell r="A831" t="str">
            <v>LU0166237098</v>
          </cell>
          <cell r="B831" t="str">
            <v>KBC Renta Nokrenta Resp. Invest. Cap</v>
          </cell>
          <cell r="C831" t="str">
            <v>KAP</v>
          </cell>
          <cell r="D831">
            <v>20240404</v>
          </cell>
          <cell r="E831">
            <v>6179</v>
          </cell>
        </row>
        <row r="832">
          <cell r="A832" t="str">
            <v>LU0166236959</v>
          </cell>
          <cell r="B832" t="str">
            <v>KBC Renta Nokrenta Resp. Invest. Dis</v>
          </cell>
          <cell r="C832" t="str">
            <v>DIV</v>
          </cell>
          <cell r="D832">
            <v>20240404</v>
          </cell>
          <cell r="E832">
            <v>3611.41</v>
          </cell>
        </row>
        <row r="833">
          <cell r="A833" t="str">
            <v>LU0707532510</v>
          </cell>
          <cell r="B833" t="str">
            <v>KBC Renta Nokrenta Resp. Invest. Inst. B Shares Cap (empty)</v>
          </cell>
          <cell r="C833" t="str">
            <v>NOK-KAP-INSTIT.B</v>
          </cell>
          <cell r="D833">
            <v>20190221</v>
          </cell>
          <cell r="E833">
            <v>6486.764846</v>
          </cell>
        </row>
        <row r="834">
          <cell r="A834" t="str">
            <v>LU1126206991</v>
          </cell>
          <cell r="B834" t="str">
            <v>KBC Renta Strategic Accents 1 Dis</v>
          </cell>
          <cell r="C834" t="str">
            <v>EUR-DIV-RETAIL</v>
          </cell>
          <cell r="D834">
            <v>20240404</v>
          </cell>
          <cell r="E834">
            <v>695.48</v>
          </cell>
        </row>
        <row r="835">
          <cell r="A835" t="str">
            <v>LU0868511139</v>
          </cell>
          <cell r="B835" t="str">
            <v>KBC Renta Strategic Accents 1 Inst. B Shares Cap</v>
          </cell>
          <cell r="C835" t="str">
            <v>EUR-KAP-INSTIT.B</v>
          </cell>
          <cell r="D835">
            <v>20240404</v>
          </cell>
          <cell r="E835">
            <v>970.27</v>
          </cell>
        </row>
        <row r="836">
          <cell r="A836" t="str">
            <v>BE6208726479</v>
          </cell>
          <cell r="B836" t="str">
            <v>KBC Safe4Life KBC Safe4Life Def. Conservative Resp. Invest. Cap</v>
          </cell>
          <cell r="C836" t="str">
            <v>KAP</v>
          </cell>
          <cell r="D836">
            <v>20240403</v>
          </cell>
          <cell r="E836">
            <v>1128.94</v>
          </cell>
        </row>
        <row r="837">
          <cell r="A837" t="str">
            <v>BE0153263034</v>
          </cell>
          <cell r="B837" t="str">
            <v>KBC Select Immo Belgium Plus Classic Shares Cap</v>
          </cell>
          <cell r="C837" t="str">
            <v>EUR-KAP-RETAIL</v>
          </cell>
          <cell r="D837">
            <v>20240404</v>
          </cell>
          <cell r="E837">
            <v>2395.4499999999998</v>
          </cell>
        </row>
        <row r="838">
          <cell r="A838" t="str">
            <v>BE6348034636</v>
          </cell>
          <cell r="B838" t="str">
            <v>KBC Select Immo Belgium Plus Inst. Discr. Shares Cap (empty)</v>
          </cell>
          <cell r="C838" t="str">
            <v>EUR-KAP-INST.DISCR</v>
          </cell>
          <cell r="D838">
            <v>20240215</v>
          </cell>
          <cell r="E838">
            <v>100</v>
          </cell>
        </row>
        <row r="839">
          <cell r="A839" t="str">
            <v>BE0166979428</v>
          </cell>
          <cell r="B839" t="str">
            <v>KBC Select Immo We House Resp. Invest. Classic Shares Cap</v>
          </cell>
          <cell r="C839" t="str">
            <v>EUR-KAP-RETAIL</v>
          </cell>
          <cell r="D839">
            <v>20240404</v>
          </cell>
          <cell r="E839">
            <v>871.11</v>
          </cell>
        </row>
        <row r="840">
          <cell r="A840" t="str">
            <v>BE0940483689</v>
          </cell>
          <cell r="B840" t="str">
            <v>KBC Select Immo We House Resp. Invest. Classic Shares Dis</v>
          </cell>
          <cell r="C840" t="str">
            <v>EUR-DIV-RETAIL</v>
          </cell>
          <cell r="D840">
            <v>20240404</v>
          </cell>
          <cell r="E840">
            <v>468.3</v>
          </cell>
        </row>
        <row r="841">
          <cell r="A841" t="str">
            <v>BE6294993819</v>
          </cell>
          <cell r="B841" t="str">
            <v>KBC Select Immo We House Resp. Invest. Inst. B Shares Cap</v>
          </cell>
          <cell r="C841" t="str">
            <v>EUR-KAP-INSTIT.B</v>
          </cell>
          <cell r="D841">
            <v>20240404</v>
          </cell>
          <cell r="E841">
            <v>1845.76</v>
          </cell>
        </row>
        <row r="842">
          <cell r="A842" t="str">
            <v>BE6348035641</v>
          </cell>
          <cell r="B842" t="str">
            <v>KBC Select Immo We House Resp. Invest. Inst. Discr. Shares Cap (empty)</v>
          </cell>
          <cell r="C842" t="str">
            <v>EUR-KAP-INST.DISCR</v>
          </cell>
          <cell r="D842">
            <v>20240215</v>
          </cell>
          <cell r="E842">
            <v>100</v>
          </cell>
        </row>
        <row r="843">
          <cell r="A843" t="str">
            <v>BE6333607891</v>
          </cell>
          <cell r="B843" t="str">
            <v>KBC Select Immo We House Resp. Invest. Inst. Shares Cap</v>
          </cell>
          <cell r="C843" t="str">
            <v>EUR-KAP-INSTITUTIONEEL</v>
          </cell>
          <cell r="D843">
            <v>20240404</v>
          </cell>
          <cell r="E843">
            <v>793.85</v>
          </cell>
        </row>
        <row r="844">
          <cell r="A844" t="str">
            <v>LU1567980450</v>
          </cell>
          <cell r="B844" t="str">
            <v>KBC Select Investors Active Asset Allocation Cap</v>
          </cell>
          <cell r="C844" t="str">
            <v>KAP</v>
          </cell>
          <cell r="D844">
            <v>20240328</v>
          </cell>
          <cell r="E844">
            <v>1223.8599999999999</v>
          </cell>
        </row>
        <row r="845">
          <cell r="A845" t="str">
            <v>LU1825124941</v>
          </cell>
          <cell r="B845" t="str">
            <v>KBC Select Investors CSOB Evropských firem 1 Cap</v>
          </cell>
          <cell r="C845" t="str">
            <v>KAP</v>
          </cell>
          <cell r="D845">
            <v>20240328</v>
          </cell>
          <cell r="E845">
            <v>9.94</v>
          </cell>
        </row>
        <row r="846">
          <cell r="A846" t="str">
            <v>LU1758982984</v>
          </cell>
          <cell r="B846" t="str">
            <v>KBC Select Investors CSOB Globalnich firem 1 Cap</v>
          </cell>
          <cell r="C846" t="str">
            <v>KAP</v>
          </cell>
          <cell r="D846">
            <v>20240328</v>
          </cell>
          <cell r="E846">
            <v>10</v>
          </cell>
        </row>
        <row r="847">
          <cell r="A847" t="str">
            <v>LU1799163479</v>
          </cell>
          <cell r="B847" t="str">
            <v>KBC Select Investors CSOB Globalnich firem 2 Cap</v>
          </cell>
          <cell r="C847" t="str">
            <v>KAP</v>
          </cell>
          <cell r="D847">
            <v>20240328</v>
          </cell>
          <cell r="E847">
            <v>9.83</v>
          </cell>
        </row>
        <row r="848">
          <cell r="A848" t="str">
            <v>LU2065731049</v>
          </cell>
          <cell r="B848" t="str">
            <v>KBC Select Investors CSOB Globalnich firem 3 Cap</v>
          </cell>
          <cell r="C848" t="str">
            <v>CZK-KAP-RETAIL</v>
          </cell>
          <cell r="D848">
            <v>20240328</v>
          </cell>
          <cell r="E848">
            <v>9.57</v>
          </cell>
        </row>
        <row r="849">
          <cell r="A849" t="str">
            <v>LU2093634454</v>
          </cell>
          <cell r="B849" t="str">
            <v>KBC Select Investors CSOB Globalnich firem 4 Cap</v>
          </cell>
          <cell r="C849" t="str">
            <v>CZK-KAP-RETAIL</v>
          </cell>
          <cell r="D849">
            <v>20240328</v>
          </cell>
          <cell r="E849">
            <v>12.76</v>
          </cell>
        </row>
        <row r="850">
          <cell r="A850" t="str">
            <v>LU1874716480</v>
          </cell>
          <cell r="B850" t="str">
            <v>KBC Select Investors ČSOB Evropských firem 2 Cap</v>
          </cell>
          <cell r="C850" t="str">
            <v>KAP</v>
          </cell>
          <cell r="D850">
            <v>20240328</v>
          </cell>
          <cell r="E850">
            <v>11.46</v>
          </cell>
        </row>
        <row r="851">
          <cell r="A851" t="str">
            <v>LU1959373546</v>
          </cell>
          <cell r="B851" t="str">
            <v>KBC Select Investors ČSOB Světových příležitostí plus 1 Cap</v>
          </cell>
          <cell r="C851" t="str">
            <v>CZK-KAP-RETAIL</v>
          </cell>
          <cell r="D851">
            <v>20240328</v>
          </cell>
          <cell r="E851">
            <v>10.81</v>
          </cell>
        </row>
        <row r="852">
          <cell r="A852" t="str">
            <v>LU1987795470</v>
          </cell>
          <cell r="B852" t="str">
            <v>KBC Select Investors ČSOB Světových Příležitostí Plus 2 Cap</v>
          </cell>
          <cell r="C852" t="str">
            <v>CZK-KAP-RETAIL</v>
          </cell>
          <cell r="D852">
            <v>20240328</v>
          </cell>
          <cell r="E852">
            <v>10.6</v>
          </cell>
        </row>
        <row r="853">
          <cell r="A853" t="str">
            <v>LU2045769390</v>
          </cell>
          <cell r="B853" t="str">
            <v>KBC Select Investors ČSOB Světových příležitostí s lookbackem 1 Cap</v>
          </cell>
          <cell r="C853" t="str">
            <v>CZK-KAP-RETAIL</v>
          </cell>
          <cell r="D853">
            <v>20240328</v>
          </cell>
          <cell r="E853">
            <v>11.01</v>
          </cell>
        </row>
        <row r="854">
          <cell r="A854" t="str">
            <v>LU1911615307</v>
          </cell>
          <cell r="B854" t="str">
            <v>KBC Select Investors ČSOB Výběrový click 1 Cap</v>
          </cell>
          <cell r="C854" t="str">
            <v>CZK-KAP-RETAIL</v>
          </cell>
          <cell r="D854">
            <v>20240328</v>
          </cell>
          <cell r="E854">
            <v>10.15</v>
          </cell>
        </row>
        <row r="855">
          <cell r="A855" t="str">
            <v>LU2016775210</v>
          </cell>
          <cell r="B855" t="str">
            <v>KBC Select Investors ČSOB Výběrový click 2 Cap</v>
          </cell>
          <cell r="C855" t="str">
            <v>CZK-KAP-RETAIL</v>
          </cell>
          <cell r="D855">
            <v>20240328</v>
          </cell>
          <cell r="E855">
            <v>9.68</v>
          </cell>
        </row>
        <row r="856">
          <cell r="A856" t="str">
            <v>LU2175969638</v>
          </cell>
          <cell r="B856" t="str">
            <v>KBC Select Investors Global Flexible Allocation July Cap</v>
          </cell>
          <cell r="C856" t="str">
            <v>EUR-KAP-RETAIL</v>
          </cell>
          <cell r="D856">
            <v>20240404</v>
          </cell>
          <cell r="E856">
            <v>1080.3900000000001</v>
          </cell>
        </row>
        <row r="857">
          <cell r="A857" t="str">
            <v>LU2177678062</v>
          </cell>
          <cell r="B857" t="str">
            <v>KBC Select Investors Global Flexible Allocation July Resp. Invest. Cap</v>
          </cell>
          <cell r="C857" t="str">
            <v>EUR-KAP-RETAIL</v>
          </cell>
          <cell r="D857">
            <v>20240404</v>
          </cell>
          <cell r="E857">
            <v>1080.08</v>
          </cell>
        </row>
        <row r="858">
          <cell r="A858" t="str">
            <v>LU2170374842</v>
          </cell>
          <cell r="B858" t="str">
            <v>KBC Select Investors Global Flexible Allocation July Resp. Invest. Corp.Shares</v>
          </cell>
          <cell r="C858" t="str">
            <v>EUR-KAP-CORPORATE</v>
          </cell>
          <cell r="D858">
            <v>20240404</v>
          </cell>
          <cell r="E858">
            <v>1088.23</v>
          </cell>
        </row>
        <row r="859">
          <cell r="A859" t="str">
            <v>LU1626168204</v>
          </cell>
          <cell r="B859" t="str">
            <v>KBC Select Investors Global Flexible Allocation Resp. Invest. Cap</v>
          </cell>
          <cell r="C859" t="str">
            <v>KAP</v>
          </cell>
          <cell r="D859">
            <v>20240404</v>
          </cell>
          <cell r="E859">
            <v>1032.72</v>
          </cell>
        </row>
        <row r="860">
          <cell r="A860" t="str">
            <v>LU1885682549</v>
          </cell>
          <cell r="B860" t="str">
            <v>KBC Select Investors Global Flexible Allocation Resp. Invest. Corp.Shares Cap</v>
          </cell>
          <cell r="C860" t="str">
            <v>EUR-KAP-CORPORATE</v>
          </cell>
          <cell r="D860">
            <v>20240404</v>
          </cell>
          <cell r="E860">
            <v>1068.78</v>
          </cell>
        </row>
        <row r="861">
          <cell r="A861" t="str">
            <v>LU1211048498</v>
          </cell>
          <cell r="B861" t="str">
            <v>KBC Select Investors Global Flexible Allocation Wealth Dis</v>
          </cell>
          <cell r="C861" t="str">
            <v>DIV</v>
          </cell>
          <cell r="D861">
            <v>20240404</v>
          </cell>
          <cell r="E861">
            <v>898.35</v>
          </cell>
        </row>
        <row r="862">
          <cell r="A862" t="str">
            <v>LU2514452817</v>
          </cell>
          <cell r="B862" t="str">
            <v>KBC Select Investors Infrastructure Access 1 Cap</v>
          </cell>
          <cell r="C862" t="str">
            <v>EUR-KAP-INST.W</v>
          </cell>
          <cell r="D862">
            <v>20231229</v>
          </cell>
          <cell r="E862">
            <v>102.04</v>
          </cell>
        </row>
        <row r="863">
          <cell r="A863" t="str">
            <v>LU2735895034</v>
          </cell>
          <cell r="B863" t="str">
            <v>KBC Select Investors Infrastructure Access 1 Cap</v>
          </cell>
          <cell r="C863" t="str">
            <v>EUR-KAP-INST.DISCR</v>
          </cell>
          <cell r="D863">
            <v>20240222</v>
          </cell>
          <cell r="E863">
            <v>100</v>
          </cell>
        </row>
        <row r="864">
          <cell r="A864" t="str">
            <v>LU1298087138</v>
          </cell>
          <cell r="B864" t="str">
            <v>KBC Select Investors K&amp;H E-commerce 1 Cap</v>
          </cell>
          <cell r="C864" t="str">
            <v>KAP</v>
          </cell>
          <cell r="D864">
            <v>20240328</v>
          </cell>
          <cell r="E864">
            <v>10943.45</v>
          </cell>
        </row>
        <row r="865">
          <cell r="A865" t="str">
            <v>LU1256046175</v>
          </cell>
          <cell r="B865" t="str">
            <v>KBC Select Investors K&amp;H Energy 1 Cap</v>
          </cell>
          <cell r="C865" t="str">
            <v>KAP</v>
          </cell>
          <cell r="D865">
            <v>20240328</v>
          </cell>
          <cell r="E865">
            <v>10711.77</v>
          </cell>
        </row>
        <row r="866">
          <cell r="A866" t="str">
            <v>LU1330825735</v>
          </cell>
          <cell r="B866" t="str">
            <v>KBC Select Investors K&amp;H European Exporters 1 Cap</v>
          </cell>
          <cell r="C866" t="str">
            <v>KAP</v>
          </cell>
          <cell r="D866">
            <v>20240328</v>
          </cell>
          <cell r="E866">
            <v>11560.15</v>
          </cell>
        </row>
        <row r="867">
          <cell r="A867" t="str">
            <v>LU1881534702</v>
          </cell>
          <cell r="B867" t="str">
            <v>KBC Select Investors K&amp;H Financials 1 Cap</v>
          </cell>
          <cell r="C867" t="str">
            <v>KAP</v>
          </cell>
          <cell r="D867">
            <v>20240328</v>
          </cell>
          <cell r="E867">
            <v>12489.08</v>
          </cell>
        </row>
        <row r="868">
          <cell r="A868" t="str">
            <v>LU1317710454</v>
          </cell>
          <cell r="B868" t="str">
            <v>KBC Select Investors K&amp;H Global Leaders 1 Cap</v>
          </cell>
          <cell r="C868" t="str">
            <v>KAP</v>
          </cell>
          <cell r="D868">
            <v>20240328</v>
          </cell>
          <cell r="E868">
            <v>10777.56</v>
          </cell>
        </row>
        <row r="869">
          <cell r="A869" t="str">
            <v>LU2571492771</v>
          </cell>
          <cell r="B869" t="str">
            <v>KBC Select Investors K&amp;H Health Care 1 Cap</v>
          </cell>
          <cell r="C869" t="str">
            <v>HUF-KAP-RETAIL</v>
          </cell>
          <cell r="D869">
            <v>20240328</v>
          </cell>
          <cell r="E869">
            <v>11250.65</v>
          </cell>
        </row>
        <row r="870">
          <cell r="A870" t="str">
            <v>LU1365148813</v>
          </cell>
          <cell r="B870" t="str">
            <v>KBC Select Investors K&amp;H Household Goods 1 Cap</v>
          </cell>
          <cell r="C870" t="str">
            <v>KAP</v>
          </cell>
          <cell r="D870">
            <v>20240328</v>
          </cell>
          <cell r="E870">
            <v>9781.4500000000007</v>
          </cell>
        </row>
        <row r="871">
          <cell r="A871" t="str">
            <v>LU1203051310</v>
          </cell>
          <cell r="B871" t="str">
            <v>KBC Select Investors K&amp;H Kids 1 Cap</v>
          </cell>
          <cell r="C871" t="str">
            <v>KAP</v>
          </cell>
          <cell r="D871">
            <v>20240328</v>
          </cell>
          <cell r="E871">
            <v>11293.77</v>
          </cell>
        </row>
        <row r="872">
          <cell r="A872" t="str">
            <v>LU1632915762</v>
          </cell>
          <cell r="B872" t="str">
            <v>KBC Select Investors K&amp;H Pharma 4 Cap</v>
          </cell>
          <cell r="C872" t="str">
            <v>KAP</v>
          </cell>
          <cell r="D872">
            <v>20240328</v>
          </cell>
          <cell r="E872">
            <v>11539.85</v>
          </cell>
        </row>
        <row r="873">
          <cell r="A873" t="str">
            <v>LU1821889307</v>
          </cell>
          <cell r="B873" t="str">
            <v>KBC Select Investors K&amp;H Pharma 5 Cap</v>
          </cell>
          <cell r="C873" t="str">
            <v>KAP</v>
          </cell>
          <cell r="D873">
            <v>20240328</v>
          </cell>
          <cell r="E873">
            <v>10876</v>
          </cell>
        </row>
        <row r="874">
          <cell r="A874" t="str">
            <v>LU1934508141</v>
          </cell>
          <cell r="B874" t="str">
            <v>KBC Select Investors K&amp;H Pharma and Healthcare 1 Cap</v>
          </cell>
          <cell r="C874" t="str">
            <v>KAP</v>
          </cell>
          <cell r="D874">
            <v>20240328</v>
          </cell>
          <cell r="E874">
            <v>10572.12</v>
          </cell>
        </row>
        <row r="875">
          <cell r="A875" t="str">
            <v>LU1230545805</v>
          </cell>
          <cell r="B875" t="str">
            <v>KBC Select Investors K&amp;H Recovery Europe 1 Cap</v>
          </cell>
          <cell r="C875" t="str">
            <v>KAP</v>
          </cell>
          <cell r="D875">
            <v>20240328</v>
          </cell>
          <cell r="E875">
            <v>9555.69</v>
          </cell>
        </row>
        <row r="876">
          <cell r="A876" t="str">
            <v>LU1184963962</v>
          </cell>
          <cell r="B876" t="str">
            <v>KBC Select Investors K&amp;H Strong America 1 Cap (Matured)</v>
          </cell>
          <cell r="C876" t="str">
            <v>KAP</v>
          </cell>
          <cell r="D876">
            <v>20240227</v>
          </cell>
          <cell r="E876">
            <v>12492</v>
          </cell>
        </row>
        <row r="877">
          <cell r="A877" t="str">
            <v>LU1147753807</v>
          </cell>
          <cell r="B877" t="str">
            <v>KBC Select Investors K&amp;H Trio Call 2 Dis (Matured)</v>
          </cell>
          <cell r="C877" t="str">
            <v>DIV</v>
          </cell>
          <cell r="D877">
            <v>20240226</v>
          </cell>
          <cell r="E877">
            <v>3357.34</v>
          </cell>
        </row>
        <row r="878">
          <cell r="A878" t="str">
            <v>LU0308311447</v>
          </cell>
          <cell r="B878" t="str">
            <v>KBC Select Investors KBC Global Flexible Allocation Cap</v>
          </cell>
          <cell r="C878" t="str">
            <v>KAP</v>
          </cell>
          <cell r="D878">
            <v>20240404</v>
          </cell>
          <cell r="E878">
            <v>168.32</v>
          </cell>
        </row>
        <row r="879">
          <cell r="A879" t="str">
            <v>LU1675757493</v>
          </cell>
          <cell r="B879" t="str">
            <v>KBC Select Investors KBC Global Flexible Allocation Inst. CSOB Shares (empty)</v>
          </cell>
          <cell r="C879" t="str">
            <v>KAP2</v>
          </cell>
          <cell r="D879">
            <v>20200429</v>
          </cell>
          <cell r="E879">
            <v>256.54122799999999</v>
          </cell>
        </row>
        <row r="880">
          <cell r="A880" t="str">
            <v>LU0550926488</v>
          </cell>
          <cell r="B880" t="str">
            <v>KBC Select Investors Pass. Infl. Linked Euro Govt.Bonds Corp.Shares Cap</v>
          </cell>
          <cell r="C880" t="str">
            <v>KAP2</v>
          </cell>
          <cell r="D880">
            <v>20240404</v>
          </cell>
          <cell r="E880">
            <v>136.09</v>
          </cell>
        </row>
        <row r="881">
          <cell r="A881" t="str">
            <v>LU0550926561</v>
          </cell>
          <cell r="B881" t="str">
            <v>KBC Select Investors Pass. Infl. Linked Euro Govt.Bonds Corp.Shares Dis</v>
          </cell>
          <cell r="C881" t="str">
            <v>DIV2</v>
          </cell>
          <cell r="D881">
            <v>20240404</v>
          </cell>
          <cell r="E881">
            <v>133.09</v>
          </cell>
        </row>
        <row r="882">
          <cell r="A882" t="str">
            <v>LU2735895463</v>
          </cell>
          <cell r="B882" t="str">
            <v>KBC Select Investors Pass. Infl. Linked Euro Govt.Bonds Inst. Discr. Shares Cap (empty)</v>
          </cell>
          <cell r="C882" t="str">
            <v>EUR-KAP-INST.DISCR</v>
          </cell>
          <cell r="D882">
            <v>20240222</v>
          </cell>
          <cell r="E882">
            <v>100</v>
          </cell>
        </row>
        <row r="883">
          <cell r="A883" t="str">
            <v>LU2735895547</v>
          </cell>
          <cell r="B883" t="str">
            <v>KBC Select Investors Pass. Infl. Linked Euro Govt.Bonds Inst. Discr. Shares Dis (empty)</v>
          </cell>
          <cell r="C883" t="str">
            <v>EUR-DIV-INST.DISCR</v>
          </cell>
          <cell r="D883">
            <v>20240222</v>
          </cell>
          <cell r="E883">
            <v>100</v>
          </cell>
        </row>
        <row r="884">
          <cell r="A884" t="str">
            <v>LU0550926132</v>
          </cell>
          <cell r="B884" t="str">
            <v>KBC Select Investors Pass. Infl. Linked Euro Govt.Bonds Inst. Shares Cap</v>
          </cell>
          <cell r="C884" t="str">
            <v>KAP</v>
          </cell>
          <cell r="D884">
            <v>20240404</v>
          </cell>
          <cell r="E884">
            <v>131.68</v>
          </cell>
        </row>
        <row r="885">
          <cell r="A885" t="str">
            <v>LU0550926215</v>
          </cell>
          <cell r="B885" t="str">
            <v>KBC Select Investors Pass. Infl. Linked Euro Govt.Bonds Inst. Shares Dis (empty)</v>
          </cell>
        </row>
        <row r="886">
          <cell r="A886" t="str">
            <v>LU0332257095</v>
          </cell>
          <cell r="B886" t="str">
            <v>KBC Select Investors Passive Euro Govt.Bonds Corp.Shares Cap</v>
          </cell>
          <cell r="C886" t="str">
            <v>KAP</v>
          </cell>
          <cell r="D886">
            <v>20240404</v>
          </cell>
          <cell r="E886">
            <v>136.47</v>
          </cell>
        </row>
        <row r="887">
          <cell r="A887" t="str">
            <v>LU0332257251</v>
          </cell>
          <cell r="B887" t="str">
            <v>KBC Select Investors Passive Euro Govt.Bonds Corp.Shares Dis (empty)</v>
          </cell>
          <cell r="C887" t="str">
            <v>DIV</v>
          </cell>
          <cell r="D887">
            <v>20171019</v>
          </cell>
          <cell r="E887">
            <v>125.24</v>
          </cell>
        </row>
        <row r="888">
          <cell r="A888" t="str">
            <v>LU2735895117</v>
          </cell>
          <cell r="B888" t="str">
            <v>KBC Select Investors Passive Euro Govt.Bonds Inst. Discr. Shares Cap (empty)</v>
          </cell>
          <cell r="C888" t="str">
            <v>EUR-KAP-INST.DISCR</v>
          </cell>
          <cell r="D888">
            <v>20240222</v>
          </cell>
          <cell r="E888">
            <v>100</v>
          </cell>
        </row>
        <row r="889">
          <cell r="A889" t="str">
            <v>LU2735895208</v>
          </cell>
          <cell r="B889" t="str">
            <v>KBC Select Investors Passive Euro Govt.Bonds Inst. Discr. Shares Dis (empty)</v>
          </cell>
          <cell r="C889" t="str">
            <v>EUR-DIV-INST.DISCR</v>
          </cell>
          <cell r="D889">
            <v>20240222</v>
          </cell>
          <cell r="E889">
            <v>100</v>
          </cell>
        </row>
        <row r="890">
          <cell r="A890" t="str">
            <v>LU0332256873</v>
          </cell>
          <cell r="B890" t="str">
            <v>KBC Select Investors Passive Euro Govt.Bonds Inst. Shares Cap</v>
          </cell>
          <cell r="C890" t="str">
            <v>KAP2</v>
          </cell>
          <cell r="D890">
            <v>20240404</v>
          </cell>
          <cell r="E890">
            <v>132.22</v>
          </cell>
        </row>
        <row r="891">
          <cell r="A891" t="str">
            <v>LU0332257178</v>
          </cell>
          <cell r="B891" t="str">
            <v>KBC Select Investors Passive Euro Govt.Bonds Inst. Shares Dis (empty)</v>
          </cell>
          <cell r="C891" t="str">
            <v>DIV2</v>
          </cell>
          <cell r="D891">
            <v>20160306</v>
          </cell>
          <cell r="E891">
            <v>122.85</v>
          </cell>
        </row>
        <row r="892">
          <cell r="A892" t="str">
            <v>LU2572418585</v>
          </cell>
          <cell r="B892" t="str">
            <v>KBC Select Investors Private Equity Access 1 Cap</v>
          </cell>
          <cell r="C892" t="str">
            <v>USD-KAP-INST.W</v>
          </cell>
          <cell r="D892">
            <v>20240328</v>
          </cell>
          <cell r="E892">
            <v>103.68</v>
          </cell>
        </row>
        <row r="893">
          <cell r="A893" t="str">
            <v>LU0513505700</v>
          </cell>
          <cell r="B893" t="str">
            <v>KBC Select Investors SRI Def. Flexible Allocation Cap (Liquidated)</v>
          </cell>
          <cell r="C893" t="str">
            <v>KAP</v>
          </cell>
          <cell r="D893">
            <v>20240311</v>
          </cell>
          <cell r="E893">
            <v>134.114</v>
          </cell>
        </row>
        <row r="894">
          <cell r="A894" t="str">
            <v>LU1885682465</v>
          </cell>
          <cell r="B894" t="str">
            <v>KBC Select Investors SRI Def. Flexible Allocation Corp.Shares Cap (Liquidated)</v>
          </cell>
          <cell r="C894" t="str">
            <v>EUR-KAP-CORPORATE</v>
          </cell>
          <cell r="D894">
            <v>20240311</v>
          </cell>
          <cell r="E894">
            <v>102.009</v>
          </cell>
        </row>
        <row r="895">
          <cell r="A895" t="str">
            <v>BE6338523580</v>
          </cell>
          <cell r="B895" t="str">
            <v>KBC-Keyman Highly Dyn. Resp. Invest. Cap</v>
          </cell>
          <cell r="C895" t="str">
            <v>EUR-KAP-RET.INST</v>
          </cell>
          <cell r="D895">
            <v>20240403</v>
          </cell>
          <cell r="E895">
            <v>1192.4000000000001</v>
          </cell>
        </row>
        <row r="896">
          <cell r="A896" t="str">
            <v>BE6290969342</v>
          </cell>
          <cell r="B896" t="str">
            <v>KBC-Life ExpertEase Neutral Cap</v>
          </cell>
          <cell r="C896" t="str">
            <v>LUX-KAP3-EUR</v>
          </cell>
          <cell r="D896">
            <v>20240403</v>
          </cell>
          <cell r="E896">
            <v>1210.48</v>
          </cell>
        </row>
        <row r="897">
          <cell r="A897" t="str">
            <v>BE0948292207</v>
          </cell>
          <cell r="B897" t="str">
            <v>KBC-Life Flexible KBC-Life Flexible Cash Cap</v>
          </cell>
          <cell r="C897" t="str">
            <v>DIV</v>
          </cell>
          <cell r="D897">
            <v>20240403</v>
          </cell>
          <cell r="E897">
            <v>317.76</v>
          </cell>
        </row>
        <row r="898">
          <cell r="A898" t="str">
            <v>BE6282762721</v>
          </cell>
          <cell r="B898" t="str">
            <v>KBC-Life Flexible Portf. January Cap</v>
          </cell>
          <cell r="C898" t="str">
            <v>EUR-KAP-INSTITUTIONEEL</v>
          </cell>
          <cell r="D898">
            <v>20240403</v>
          </cell>
          <cell r="E898">
            <v>1246.53</v>
          </cell>
        </row>
        <row r="899">
          <cell r="A899" t="str">
            <v>BE6310162217</v>
          </cell>
          <cell r="B899" t="str">
            <v>KBC-Life Flexible Portf. January Resp. Invest. Cap</v>
          </cell>
          <cell r="C899" t="str">
            <v>EUR-KAP-INSTITUTIONEEL</v>
          </cell>
          <cell r="D899">
            <v>20240403</v>
          </cell>
          <cell r="E899">
            <v>1141.17</v>
          </cell>
        </row>
        <row r="900">
          <cell r="A900" t="str">
            <v>BE6287172207</v>
          </cell>
          <cell r="B900" t="str">
            <v>KBC-Life Flexible Portf. July Cap</v>
          </cell>
          <cell r="C900" t="str">
            <v>EUR-KAP-INSTITUTIONEEL</v>
          </cell>
          <cell r="D900">
            <v>20240403</v>
          </cell>
          <cell r="E900">
            <v>1163.3</v>
          </cell>
        </row>
        <row r="901">
          <cell r="A901" t="str">
            <v>BE0389429714</v>
          </cell>
          <cell r="B901" t="str">
            <v>KBC-Life IP Cash Cap</v>
          </cell>
          <cell r="C901" t="str">
            <v>KAP</v>
          </cell>
          <cell r="D901">
            <v>20240403</v>
          </cell>
          <cell r="E901">
            <v>317.76</v>
          </cell>
        </row>
        <row r="902">
          <cell r="A902" t="str">
            <v>BE0389434763</v>
          </cell>
          <cell r="B902" t="str">
            <v>KBC-Life IP Def. Cap</v>
          </cell>
          <cell r="C902" t="str">
            <v>KAP</v>
          </cell>
          <cell r="D902">
            <v>20240403</v>
          </cell>
          <cell r="E902">
            <v>390.48</v>
          </cell>
        </row>
        <row r="903">
          <cell r="A903" t="str">
            <v>BE0389433757</v>
          </cell>
          <cell r="B903" t="str">
            <v>KBC-Life IP Dyn. Cap</v>
          </cell>
          <cell r="C903" t="str">
            <v>KAP</v>
          </cell>
          <cell r="D903">
            <v>20240403</v>
          </cell>
          <cell r="E903">
            <v>467.85</v>
          </cell>
        </row>
        <row r="904">
          <cell r="A904" t="str">
            <v>BE0389432742</v>
          </cell>
          <cell r="B904" t="str">
            <v>KBC-Life IP Highly Dyn. Cap</v>
          </cell>
          <cell r="C904" t="str">
            <v>KAP</v>
          </cell>
          <cell r="D904">
            <v>20240403</v>
          </cell>
          <cell r="E904">
            <v>517.91999999999996</v>
          </cell>
        </row>
        <row r="905">
          <cell r="A905" t="str">
            <v>BE0389431736</v>
          </cell>
          <cell r="B905" t="str">
            <v>KBC-Life IP Trends Cap</v>
          </cell>
          <cell r="C905" t="str">
            <v>KAP</v>
          </cell>
          <cell r="D905">
            <v>20240403</v>
          </cell>
          <cell r="E905">
            <v>544.44000000000005</v>
          </cell>
        </row>
        <row r="906">
          <cell r="A906" t="str">
            <v>BE0389166027</v>
          </cell>
          <cell r="B906" t="str">
            <v>KBC-Life IP World Equities Cap</v>
          </cell>
          <cell r="C906" t="str">
            <v>KAP</v>
          </cell>
          <cell r="D906">
            <v>20240403</v>
          </cell>
          <cell r="E906">
            <v>389.03</v>
          </cell>
        </row>
        <row r="907">
          <cell r="A907" t="str">
            <v>BE6328677099</v>
          </cell>
          <cell r="B907" t="str">
            <v>KBC-Life Long-Term Fund Plan KBC-Life LT Dyn. Resp. Invest. Cap</v>
          </cell>
          <cell r="C907" t="str">
            <v>EUR-KAP-INST.EUR</v>
          </cell>
          <cell r="D907">
            <v>20240403</v>
          </cell>
          <cell r="E907">
            <v>976.81</v>
          </cell>
        </row>
        <row r="908">
          <cell r="A908" t="str">
            <v>BE6331242527</v>
          </cell>
          <cell r="B908" t="str">
            <v>KBC-Life MI Def. Conservative Resp. Invest. Cap</v>
          </cell>
          <cell r="C908" t="str">
            <v>EUR-KAP-INST.LIFEMI</v>
          </cell>
          <cell r="D908">
            <v>20240328</v>
          </cell>
          <cell r="E908">
            <v>1053.73</v>
          </cell>
        </row>
        <row r="909">
          <cell r="A909" t="str">
            <v>BE6323118768</v>
          </cell>
          <cell r="B909" t="str">
            <v>KBC-Life MI Global 90 Long Term-10 Cap</v>
          </cell>
          <cell r="C909" t="str">
            <v>EUR-KAP-RETAIL</v>
          </cell>
          <cell r="D909">
            <v>20240328</v>
          </cell>
          <cell r="E909">
            <v>1017.82</v>
          </cell>
        </row>
        <row r="910">
          <cell r="A910" t="str">
            <v>BE6322568112</v>
          </cell>
          <cell r="B910" t="str">
            <v>KBC-Life MI Global 90 Long Term-9 Cap</v>
          </cell>
          <cell r="C910" t="str">
            <v>EUR-KAP-RETAIL</v>
          </cell>
          <cell r="D910">
            <v>20240328</v>
          </cell>
          <cell r="E910">
            <v>1007.67</v>
          </cell>
        </row>
        <row r="911">
          <cell r="A911" t="str">
            <v>BE6342188370</v>
          </cell>
          <cell r="B911" t="str">
            <v>KBC-Life MI Global BestOf 100-1 Cap</v>
          </cell>
          <cell r="C911" t="str">
            <v>EUR-KAP-RETAIL</v>
          </cell>
          <cell r="D911">
            <v>20240328</v>
          </cell>
          <cell r="E911">
            <v>1060.3</v>
          </cell>
        </row>
        <row r="912">
          <cell r="A912" t="str">
            <v>BE6347837609</v>
          </cell>
          <cell r="B912" t="str">
            <v>KBC-Life MI Global BestOf 100-2 Cap</v>
          </cell>
          <cell r="C912" t="str">
            <v>EUR-KAP-CLASSIC</v>
          </cell>
          <cell r="D912">
            <v>20240314</v>
          </cell>
          <cell r="E912">
            <v>1000</v>
          </cell>
        </row>
        <row r="913">
          <cell r="A913" t="str">
            <v>BE6337218141</v>
          </cell>
          <cell r="B913" t="str">
            <v>KBC-Life MI Global Sel. 100-1 Cap</v>
          </cell>
          <cell r="C913" t="str">
            <v>EUR-KAP-RETAIL</v>
          </cell>
          <cell r="D913">
            <v>20240328</v>
          </cell>
          <cell r="E913">
            <v>1092.96</v>
          </cell>
        </row>
        <row r="914">
          <cell r="A914" t="str">
            <v>BE6338635731</v>
          </cell>
          <cell r="B914" t="str">
            <v>KBC-Life MI Global Sel. 100-2 Cap</v>
          </cell>
          <cell r="C914" t="str">
            <v>EUR-KAP-RETAIL</v>
          </cell>
          <cell r="D914">
            <v>20240328</v>
          </cell>
          <cell r="E914">
            <v>1074.51</v>
          </cell>
        </row>
        <row r="915">
          <cell r="A915" t="str">
            <v>BE6334947718</v>
          </cell>
          <cell r="B915" t="str">
            <v>KBC-Life MI Step In World 100-1 Cap</v>
          </cell>
          <cell r="C915" t="str">
            <v>EUR-KAP-RETAIL</v>
          </cell>
          <cell r="D915">
            <v>20240328</v>
          </cell>
          <cell r="E915">
            <v>1021.1</v>
          </cell>
        </row>
        <row r="916">
          <cell r="A916" t="str">
            <v>BE6346441221</v>
          </cell>
          <cell r="B916" t="str">
            <v>KBC-Life MI World BestOf 100-1 Resp. Invest. Cap</v>
          </cell>
          <cell r="C916" t="str">
            <v>EUR-KAP-CLASSIC</v>
          </cell>
          <cell r="D916">
            <v>20240328</v>
          </cell>
          <cell r="E916">
            <v>1044.69</v>
          </cell>
        </row>
        <row r="917">
          <cell r="A917" t="str">
            <v>BE6344767940</v>
          </cell>
          <cell r="B917" t="str">
            <v>KBC-Life MI World Timing 100-1 Resp. Invest. Cap</v>
          </cell>
          <cell r="C917" t="str">
            <v>EUR-KAP-CLASSIC</v>
          </cell>
          <cell r="D917">
            <v>20240328</v>
          </cell>
          <cell r="E917">
            <v>1033.08</v>
          </cell>
        </row>
        <row r="918">
          <cell r="A918" t="str">
            <v>BE6307940302</v>
          </cell>
          <cell r="B918" t="str">
            <v>KBC-Life MI+ Best In Class Leaders 90-1 Cap</v>
          </cell>
          <cell r="C918" t="str">
            <v>EUR-NOTE-RETAIL</v>
          </cell>
          <cell r="D918">
            <v>20240328</v>
          </cell>
          <cell r="E918">
            <v>1084.72</v>
          </cell>
        </row>
        <row r="919">
          <cell r="A919" t="str">
            <v>BE6308654654</v>
          </cell>
          <cell r="B919" t="str">
            <v>KBC-Life MI+ Best In Class Leaders 90-2 Cap</v>
          </cell>
          <cell r="C919" t="str">
            <v>EUR-NOTE-RETAIL</v>
          </cell>
          <cell r="D919">
            <v>20240328</v>
          </cell>
          <cell r="E919">
            <v>1127.01</v>
          </cell>
        </row>
        <row r="920">
          <cell r="A920" t="str">
            <v>BE6306030600</v>
          </cell>
          <cell r="B920" t="str">
            <v>KBC-Life MI+ Continental Europe 90-1 Cap</v>
          </cell>
          <cell r="C920" t="str">
            <v>EUR-NOTE-RETAIL</v>
          </cell>
          <cell r="D920">
            <v>20240328</v>
          </cell>
          <cell r="E920">
            <v>1138.19</v>
          </cell>
        </row>
        <row r="921">
          <cell r="A921" t="str">
            <v>BE6307099620</v>
          </cell>
          <cell r="B921" t="str">
            <v>KBC-Life MI+ Continental Europe 90-2 Cap</v>
          </cell>
          <cell r="C921" t="str">
            <v>EUR-NOTE-RETAIL</v>
          </cell>
          <cell r="D921">
            <v>20240328</v>
          </cell>
          <cell r="E921">
            <v>1124.25</v>
          </cell>
        </row>
        <row r="922">
          <cell r="A922" t="str">
            <v>BE6302984214</v>
          </cell>
          <cell r="B922" t="str">
            <v>KBC-Life MI+ Europe 90-1 Cap (Matured)</v>
          </cell>
          <cell r="C922" t="str">
            <v>EUR-NOTE-RETAIL</v>
          </cell>
          <cell r="D922">
            <v>20240228</v>
          </cell>
          <cell r="E922">
            <v>1005.5</v>
          </cell>
        </row>
        <row r="923">
          <cell r="A923" t="str">
            <v>BE6303981482</v>
          </cell>
          <cell r="B923" t="str">
            <v>KBC-Life MI+ Europe 90-2 Cap</v>
          </cell>
          <cell r="C923" t="str">
            <v>EUR-NOTE-RETAIL</v>
          </cell>
          <cell r="D923">
            <v>20240328</v>
          </cell>
          <cell r="E923">
            <v>1052.2</v>
          </cell>
        </row>
        <row r="924">
          <cell r="A924" t="str">
            <v>BE6304722133</v>
          </cell>
          <cell r="B924" t="str">
            <v>KBC-Life MI+ Europe 90-3 Cap</v>
          </cell>
          <cell r="C924" t="str">
            <v>EUR-NOTE-RETAIL</v>
          </cell>
          <cell r="D924">
            <v>20240328</v>
          </cell>
          <cell r="E924">
            <v>1027.6400000000001</v>
          </cell>
        </row>
        <row r="925">
          <cell r="A925" t="str">
            <v>BE6305314237</v>
          </cell>
          <cell r="B925" t="str">
            <v>KBC-Life MI+ Europe 90-4 Cap</v>
          </cell>
          <cell r="C925" t="str">
            <v>EUR-NOTE-RETAIL</v>
          </cell>
          <cell r="D925">
            <v>20240328</v>
          </cell>
          <cell r="E925">
            <v>1026.0899999999999</v>
          </cell>
        </row>
        <row r="926">
          <cell r="A926" t="str">
            <v>BE6321510206</v>
          </cell>
          <cell r="B926" t="str">
            <v>KBC-Life MI+ Global 100-1 Cap</v>
          </cell>
          <cell r="C926" t="str">
            <v>EUR-NOTE-RETAIL</v>
          </cell>
          <cell r="D926">
            <v>20240328</v>
          </cell>
          <cell r="E926">
            <v>971.24</v>
          </cell>
        </row>
        <row r="927">
          <cell r="A927" t="str">
            <v>BE6321689059</v>
          </cell>
          <cell r="B927" t="str">
            <v>KBC-Life MI+ Global 100-2 Cap</v>
          </cell>
          <cell r="C927" t="str">
            <v>EUR-NOTE-RETAIL</v>
          </cell>
          <cell r="D927">
            <v>20240328</v>
          </cell>
          <cell r="E927">
            <v>951.14</v>
          </cell>
        </row>
        <row r="928">
          <cell r="A928" t="str">
            <v>BE6317612024</v>
          </cell>
          <cell r="B928" t="str">
            <v>KBC-Life MI+ Global 90 Booster-1 Cap</v>
          </cell>
          <cell r="C928" t="str">
            <v>EUR-NOTE-RETAIL</v>
          </cell>
          <cell r="D928">
            <v>20240328</v>
          </cell>
          <cell r="E928">
            <v>976.17</v>
          </cell>
        </row>
        <row r="929">
          <cell r="A929" t="str">
            <v>BE6318393079</v>
          </cell>
          <cell r="B929" t="str">
            <v>KBC-Life MI+ Global 90 Booster-2 Cap</v>
          </cell>
          <cell r="C929" t="str">
            <v>EUR-NOTE-RETAIL</v>
          </cell>
          <cell r="D929">
            <v>20240328</v>
          </cell>
          <cell r="E929">
            <v>1499.75</v>
          </cell>
        </row>
        <row r="930">
          <cell r="A930" t="str">
            <v>BE6319058903</v>
          </cell>
          <cell r="B930" t="str">
            <v>KBC-Life MI+ Global 90 Booster-3 Cap</v>
          </cell>
          <cell r="C930" t="str">
            <v>EUR-NOTE-RETAIL</v>
          </cell>
          <cell r="D930">
            <v>20240328</v>
          </cell>
          <cell r="E930">
            <v>1386.82</v>
          </cell>
        </row>
        <row r="931">
          <cell r="A931" t="str">
            <v>BE6319634844</v>
          </cell>
          <cell r="B931" t="str">
            <v>KBC-Life MI+ Global 90 Booster-4 Cap</v>
          </cell>
          <cell r="C931" t="str">
            <v>EUR-NOTE-RETAIL</v>
          </cell>
          <cell r="D931">
            <v>20240328</v>
          </cell>
          <cell r="E931">
            <v>1230.18</v>
          </cell>
        </row>
        <row r="932">
          <cell r="A932" t="str">
            <v>BE6313122713</v>
          </cell>
          <cell r="B932" t="str">
            <v>KBC-Life MI+ Global 90 Long Term-1 Cap</v>
          </cell>
          <cell r="C932" t="str">
            <v>EUR-NOTE-RETAIL</v>
          </cell>
          <cell r="D932">
            <v>20240328</v>
          </cell>
          <cell r="E932">
            <v>1027.73</v>
          </cell>
        </row>
        <row r="933">
          <cell r="A933" t="str">
            <v>BE6313868414</v>
          </cell>
          <cell r="B933" t="str">
            <v>KBC-Life MI+ Global 90 Long Term-2 Cap</v>
          </cell>
          <cell r="C933" t="str">
            <v>EUR-NOTE-RETAIL</v>
          </cell>
          <cell r="D933">
            <v>20240328</v>
          </cell>
          <cell r="E933">
            <v>998.01</v>
          </cell>
        </row>
        <row r="934">
          <cell r="A934" t="str">
            <v>BE6314405935</v>
          </cell>
          <cell r="B934" t="str">
            <v>KBC-Life MI+ Global 90 Long Term-3 Cap</v>
          </cell>
          <cell r="C934" t="str">
            <v>EUR-NOTE-RETAIL</v>
          </cell>
          <cell r="D934">
            <v>20240328</v>
          </cell>
          <cell r="E934">
            <v>1017.61</v>
          </cell>
        </row>
        <row r="935">
          <cell r="A935" t="str">
            <v>BE6315033421</v>
          </cell>
          <cell r="B935" t="str">
            <v>KBC-Life MI+ Global 90 Long Term-4 Cap</v>
          </cell>
          <cell r="C935" t="str">
            <v>EUR-NOTE-RETAIL</v>
          </cell>
          <cell r="D935">
            <v>20240328</v>
          </cell>
          <cell r="E935">
            <v>998.48</v>
          </cell>
        </row>
        <row r="936">
          <cell r="A936" t="str">
            <v>BE6315517415</v>
          </cell>
          <cell r="B936" t="str">
            <v>KBC-Life MI+ Global 90 Long Term-5 Cap</v>
          </cell>
          <cell r="C936" t="str">
            <v>EUR-NOTE-RETAIL</v>
          </cell>
          <cell r="D936">
            <v>20240328</v>
          </cell>
          <cell r="E936">
            <v>987.25</v>
          </cell>
        </row>
        <row r="937">
          <cell r="A937" t="str">
            <v>BE6315895316</v>
          </cell>
          <cell r="B937" t="str">
            <v>KBC-Life MI+ Global 90 Long Term-6 Cap</v>
          </cell>
          <cell r="C937" t="str">
            <v>EUR-NOTE-RETAIL</v>
          </cell>
          <cell r="D937">
            <v>20240328</v>
          </cell>
          <cell r="E937">
            <v>986.27</v>
          </cell>
        </row>
        <row r="938">
          <cell r="A938" t="str">
            <v>BE6316734944</v>
          </cell>
          <cell r="B938" t="str">
            <v>KBC-Life MI+ Global 90 Long Term-7 Cap</v>
          </cell>
          <cell r="C938" t="str">
            <v>EUR-NOTE-RETAIL</v>
          </cell>
          <cell r="D938">
            <v>20240328</v>
          </cell>
          <cell r="E938">
            <v>1001.52</v>
          </cell>
        </row>
        <row r="939">
          <cell r="A939" t="str">
            <v>BE6317216917</v>
          </cell>
          <cell r="B939" t="str">
            <v>KBC-Life MI+ Global 90 Long Term-8 Cap</v>
          </cell>
          <cell r="C939" t="str">
            <v>EUR-NOTE-RETAIL</v>
          </cell>
          <cell r="D939">
            <v>20240328</v>
          </cell>
          <cell r="E939">
            <v>971.25</v>
          </cell>
        </row>
        <row r="940">
          <cell r="A940" t="str">
            <v>BE6321852715</v>
          </cell>
          <cell r="B940" t="str">
            <v>KBC-Life MI+ Global 90-5 Cap (Matured)</v>
          </cell>
          <cell r="C940" t="str">
            <v>EUR-NOTE-RETAIL</v>
          </cell>
          <cell r="D940">
            <v>20240229</v>
          </cell>
          <cell r="E940">
            <v>1200</v>
          </cell>
        </row>
        <row r="941">
          <cell r="A941" t="str">
            <v>BE6309478160</v>
          </cell>
          <cell r="B941" t="str">
            <v>KBC-Life MI+ Value Sel. 90-1 Cap</v>
          </cell>
          <cell r="C941" t="str">
            <v>EUR-NOTE-RETAIL</v>
          </cell>
          <cell r="D941">
            <v>20240328</v>
          </cell>
          <cell r="E941">
            <v>1311.63</v>
          </cell>
        </row>
        <row r="942">
          <cell r="A942" t="str">
            <v>BE6310082381</v>
          </cell>
          <cell r="B942" t="str">
            <v>KBC-Life MI+ Value Sel. 90-2 Cap</v>
          </cell>
          <cell r="C942" t="str">
            <v>EUR-NOTE-RETAIL</v>
          </cell>
          <cell r="D942">
            <v>20240328</v>
          </cell>
          <cell r="E942">
            <v>1237.4000000000001</v>
          </cell>
        </row>
        <row r="943">
          <cell r="A943" t="str">
            <v>BE6311002859</v>
          </cell>
          <cell r="B943" t="str">
            <v>KBC-Life MI+ Value Sel. 90-3 Cap</v>
          </cell>
          <cell r="C943" t="str">
            <v>EUR-NOTE-RETAIL</v>
          </cell>
          <cell r="D943">
            <v>20240328</v>
          </cell>
          <cell r="E943">
            <v>1158.96</v>
          </cell>
        </row>
        <row r="944">
          <cell r="A944" t="str">
            <v>BE6311880908</v>
          </cell>
          <cell r="B944" t="str">
            <v>KBC-Life MI+ Value Sel. 90-4 Cap</v>
          </cell>
          <cell r="C944" t="str">
            <v>EUR-NOTE-RETAIL</v>
          </cell>
          <cell r="D944">
            <v>20240328</v>
          </cell>
          <cell r="E944">
            <v>1284.68</v>
          </cell>
        </row>
        <row r="945">
          <cell r="A945" t="str">
            <v>BE6312424524</v>
          </cell>
          <cell r="B945" t="str">
            <v>KBC-Life MI+ Value Sel. 90-5 Cap</v>
          </cell>
          <cell r="C945" t="str">
            <v>EUR-NOTE-RETAIL</v>
          </cell>
          <cell r="D945">
            <v>20240328</v>
          </cell>
          <cell r="E945">
            <v>1303.03</v>
          </cell>
        </row>
        <row r="946">
          <cell r="A946" t="str">
            <v>BE0944386912</v>
          </cell>
          <cell r="B946" t="str">
            <v>KBC-Life Multinvest Cash Cap</v>
          </cell>
          <cell r="C946" t="str">
            <v>KAP</v>
          </cell>
          <cell r="D946">
            <v>20240403</v>
          </cell>
          <cell r="E946">
            <v>317.76</v>
          </cell>
        </row>
        <row r="947">
          <cell r="A947" t="str">
            <v>BE6310164239</v>
          </cell>
          <cell r="B947" t="str">
            <v>KBC-Life Neutral Resp. Invest. Cap</v>
          </cell>
          <cell r="C947" t="str">
            <v>EUR-KAP-INSTITUTIONEEL</v>
          </cell>
          <cell r="D947">
            <v>20240403</v>
          </cell>
          <cell r="E947">
            <v>1168.43</v>
          </cell>
        </row>
        <row r="948">
          <cell r="A948" t="str">
            <v>BE6331241511</v>
          </cell>
          <cell r="B948" t="str">
            <v>KBC-Life PP Def. Conservative Resp. Invest. Cap</v>
          </cell>
          <cell r="C948" t="str">
            <v>EUR-KAP-INST.LIFEPP</v>
          </cell>
          <cell r="D948">
            <v>20240403</v>
          </cell>
          <cell r="E948">
            <v>1046.73</v>
          </cell>
        </row>
        <row r="949">
          <cell r="A949" t="str">
            <v>BE6333929238</v>
          </cell>
          <cell r="B949" t="str">
            <v>KBC-Life PP Highly Dyn. Resp. Invest. Cap</v>
          </cell>
          <cell r="C949" t="str">
            <v>EUR-KAP-INST.LIFEPP</v>
          </cell>
          <cell r="D949">
            <v>20240403</v>
          </cell>
          <cell r="E949">
            <v>1046.53</v>
          </cell>
        </row>
        <row r="950">
          <cell r="A950" t="str">
            <v>BE0389225617</v>
          </cell>
          <cell r="B950" t="str">
            <v>KBC-Life Privil. Portf. Def. Cap</v>
          </cell>
          <cell r="C950" t="str">
            <v>KAP</v>
          </cell>
          <cell r="D950">
            <v>20240403</v>
          </cell>
          <cell r="E950">
            <v>344.48</v>
          </cell>
        </row>
        <row r="951">
          <cell r="A951" t="str">
            <v>BE0389226623</v>
          </cell>
          <cell r="B951" t="str">
            <v>KBC-Life Privil. Portf. Dyn. Cap</v>
          </cell>
          <cell r="C951" t="str">
            <v>KAP</v>
          </cell>
          <cell r="D951">
            <v>20240403</v>
          </cell>
          <cell r="E951">
            <v>386.39</v>
          </cell>
        </row>
        <row r="952">
          <cell r="A952" t="str">
            <v>BE0389227639</v>
          </cell>
          <cell r="B952" t="str">
            <v>KBC-Life Privil. Portf. Highly Dyn. Cap</v>
          </cell>
          <cell r="C952" t="str">
            <v>KAP</v>
          </cell>
          <cell r="D952">
            <v>20240403</v>
          </cell>
          <cell r="E952">
            <v>387.91</v>
          </cell>
        </row>
        <row r="953">
          <cell r="A953" t="str">
            <v>BE0945115443</v>
          </cell>
          <cell r="B953" t="str">
            <v>KBC-Life Privil. Portf. Protected 90 August Cap</v>
          </cell>
          <cell r="C953" t="str">
            <v>KAP</v>
          </cell>
          <cell r="D953">
            <v>20240404</v>
          </cell>
          <cell r="E953">
            <v>349.51</v>
          </cell>
        </row>
        <row r="954">
          <cell r="A954" t="str">
            <v>BE0944242446</v>
          </cell>
          <cell r="B954" t="str">
            <v>KBC-Life Privil. Portf. Protected 90 February Cap</v>
          </cell>
          <cell r="C954" t="str">
            <v>KAP</v>
          </cell>
          <cell r="D954">
            <v>20240404</v>
          </cell>
          <cell r="E954">
            <v>409.61</v>
          </cell>
        </row>
        <row r="955">
          <cell r="A955" t="str">
            <v>BE0942713679</v>
          </cell>
          <cell r="B955" t="str">
            <v>KBC-Life Privil. Portf. Protected 90 May Cap</v>
          </cell>
          <cell r="C955" t="str">
            <v>KAP</v>
          </cell>
          <cell r="D955">
            <v>20240404</v>
          </cell>
          <cell r="E955">
            <v>447.57</v>
          </cell>
        </row>
        <row r="956">
          <cell r="A956" t="str">
            <v>BE0943820101</v>
          </cell>
          <cell r="B956" t="str">
            <v>KBC-Life Privil. Portf. Protected 90 November Cap</v>
          </cell>
          <cell r="C956" t="str">
            <v>KAP</v>
          </cell>
          <cell r="D956">
            <v>20240404</v>
          </cell>
          <cell r="E956">
            <v>430.5</v>
          </cell>
        </row>
        <row r="957">
          <cell r="A957" t="str">
            <v>BE6289843722</v>
          </cell>
          <cell r="B957" t="str">
            <v>KBC-Life S Cash Cap</v>
          </cell>
          <cell r="C957" t="str">
            <v>DIV</v>
          </cell>
          <cell r="D957">
            <v>20240403</v>
          </cell>
          <cell r="E957">
            <v>317.76</v>
          </cell>
        </row>
        <row r="958">
          <cell r="A958" t="str">
            <v>BE6289852814</v>
          </cell>
          <cell r="B958" t="str">
            <v>KBC-Life S Comf.4Life Dyn. Cap</v>
          </cell>
          <cell r="C958" t="str">
            <v>KAP</v>
          </cell>
          <cell r="D958">
            <v>20240403</v>
          </cell>
          <cell r="E958">
            <v>1321.42</v>
          </cell>
        </row>
        <row r="959">
          <cell r="A959" t="str">
            <v>BE6290954195</v>
          </cell>
          <cell r="B959" t="str">
            <v>KBC-Life S Def. Balanced Cap</v>
          </cell>
          <cell r="C959" t="str">
            <v>EUR-KAP-INSTITUTIONEEL</v>
          </cell>
          <cell r="D959">
            <v>20240403</v>
          </cell>
          <cell r="E959">
            <v>1009.13</v>
          </cell>
        </row>
        <row r="960">
          <cell r="A960" t="str">
            <v>BE6311895088</v>
          </cell>
          <cell r="B960" t="str">
            <v>KBC-Life S Def. Balanced Comf. Portf. Cap</v>
          </cell>
          <cell r="C960" t="str">
            <v>EUR-KAP-COMF.PTF</v>
          </cell>
          <cell r="D960">
            <v>20240403</v>
          </cell>
          <cell r="E960">
            <v>1044.8699999999999</v>
          </cell>
        </row>
        <row r="961">
          <cell r="A961" t="str">
            <v>BE6290876380</v>
          </cell>
          <cell r="B961" t="str">
            <v>KBC-Life S Def. Balanced Resp. Invest. Cap</v>
          </cell>
          <cell r="C961" t="str">
            <v>EUR-KAP-INSTITUTIONEEL</v>
          </cell>
          <cell r="D961">
            <v>20240403</v>
          </cell>
          <cell r="E961">
            <v>994.33</v>
          </cell>
        </row>
        <row r="962">
          <cell r="A962" t="str">
            <v>BE6342336888</v>
          </cell>
          <cell r="B962" t="str">
            <v>KBC-Life S Def. Balanced Resp. Invest. Comf. Cap</v>
          </cell>
          <cell r="C962" t="str">
            <v>EUR-KAP-COMFORT</v>
          </cell>
          <cell r="D962">
            <v>20240403</v>
          </cell>
          <cell r="E962">
            <v>108.06</v>
          </cell>
        </row>
        <row r="963">
          <cell r="A963" t="str">
            <v>BE6311902157</v>
          </cell>
          <cell r="B963" t="str">
            <v>KBC-Life S Def. Balanced Resp. Invest. Comf. Portf. Cap</v>
          </cell>
          <cell r="C963" t="str">
            <v>EUR-KAP-COMF.PTF</v>
          </cell>
          <cell r="D963">
            <v>20240403</v>
          </cell>
          <cell r="E963">
            <v>1035.1600000000001</v>
          </cell>
        </row>
        <row r="964">
          <cell r="A964" t="str">
            <v>BE6289844738</v>
          </cell>
          <cell r="B964" t="str">
            <v>KBC-Life S Def. Cap</v>
          </cell>
          <cell r="C964" t="str">
            <v>DIV</v>
          </cell>
          <cell r="D964">
            <v>20240403</v>
          </cell>
          <cell r="E964">
            <v>390.48</v>
          </cell>
        </row>
        <row r="965">
          <cell r="A965" t="str">
            <v>BE6293208425</v>
          </cell>
          <cell r="B965" t="str">
            <v>KBC-Life S Def. Comf. Portf. Cap</v>
          </cell>
          <cell r="C965" t="str">
            <v>EUR-KAP-INSTITUTIONEEL</v>
          </cell>
          <cell r="D965">
            <v>20240403</v>
          </cell>
          <cell r="E965">
            <v>1025.3800000000001</v>
          </cell>
        </row>
        <row r="966">
          <cell r="A966" t="str">
            <v>BE6307798825</v>
          </cell>
          <cell r="B966" t="str">
            <v>KBC-Life S Def. Conservative Cap</v>
          </cell>
          <cell r="C966" t="str">
            <v>EUR-KAP-INSTITUTIONEEL</v>
          </cell>
          <cell r="D966">
            <v>20240403</v>
          </cell>
          <cell r="E966">
            <v>1059.42</v>
          </cell>
        </row>
        <row r="967">
          <cell r="A967" t="str">
            <v>BE6311894073</v>
          </cell>
          <cell r="B967" t="str">
            <v>KBC-Life S Def. Conservative Comf. Portf. Cap</v>
          </cell>
          <cell r="C967" t="str">
            <v>EUR-KAP-COMF.PTF</v>
          </cell>
          <cell r="D967">
            <v>20240403</v>
          </cell>
          <cell r="E967">
            <v>1040.1300000000001</v>
          </cell>
        </row>
        <row r="968">
          <cell r="A968" t="str">
            <v>BE6307815025</v>
          </cell>
          <cell r="B968" t="str">
            <v>KBC-Life S Def. Conservative Resp. Invest. Cap</v>
          </cell>
          <cell r="C968" t="str">
            <v>EUR-KAP-INSTITUTIONEEL</v>
          </cell>
          <cell r="D968">
            <v>20240403</v>
          </cell>
          <cell r="E968">
            <v>1046.73</v>
          </cell>
        </row>
        <row r="969">
          <cell r="A969" t="str">
            <v>BE6342335872</v>
          </cell>
          <cell r="B969" t="str">
            <v>KBC-Life S Def. Conservative Resp. Invest. Comf. Cap</v>
          </cell>
          <cell r="C969" t="str">
            <v>EUR-KAP-COMFORT</v>
          </cell>
          <cell r="D969">
            <v>20240403</v>
          </cell>
          <cell r="E969">
            <v>106.52</v>
          </cell>
        </row>
        <row r="970">
          <cell r="A970" t="str">
            <v>BE6311901142</v>
          </cell>
          <cell r="B970" t="str">
            <v>KBC-Life S Def. Conservative Resp. Invest. Comf. Portf. Cap</v>
          </cell>
          <cell r="C970" t="str">
            <v>EUR-KAP-COMF.PTF</v>
          </cell>
          <cell r="D970">
            <v>20240403</v>
          </cell>
          <cell r="E970">
            <v>1041.49</v>
          </cell>
        </row>
        <row r="971">
          <cell r="A971" t="str">
            <v>BE6310163223</v>
          </cell>
          <cell r="B971" t="str">
            <v>KBC-Life S Def. Resp. Invest. Cap</v>
          </cell>
          <cell r="C971" t="str">
            <v>EUR-KAP-INSTITUTIONEEL</v>
          </cell>
          <cell r="D971">
            <v>20240403</v>
          </cell>
          <cell r="E971">
            <v>1012.19</v>
          </cell>
        </row>
        <row r="972">
          <cell r="A972" t="str">
            <v>BE6342340922</v>
          </cell>
          <cell r="B972" t="str">
            <v>KBC-Life S Def. Resp. Invest. Comf. Cap</v>
          </cell>
          <cell r="C972" t="str">
            <v>EUR-KAP-COMFORT</v>
          </cell>
          <cell r="D972">
            <v>20240403</v>
          </cell>
          <cell r="E972">
            <v>108.88</v>
          </cell>
        </row>
        <row r="973">
          <cell r="A973" t="str">
            <v>BE6342341938</v>
          </cell>
          <cell r="B973" t="str">
            <v>KBC-Life S Def. Resp. Invest. Comf. Plus Cap</v>
          </cell>
          <cell r="C973" t="str">
            <v>EUR-KAP-COMFORT.PLUS</v>
          </cell>
          <cell r="D973">
            <v>20240403</v>
          </cell>
          <cell r="E973">
            <v>109.04</v>
          </cell>
        </row>
        <row r="974">
          <cell r="A974" t="str">
            <v>BE6293217517</v>
          </cell>
          <cell r="B974" t="str">
            <v>KBC-Life S Def. Resp. Invest. Comf. Portf. Cap</v>
          </cell>
          <cell r="C974" t="str">
            <v>EUR-KAP-INSTITUTIONEEL</v>
          </cell>
          <cell r="D974">
            <v>20240403</v>
          </cell>
          <cell r="E974">
            <v>1005.05</v>
          </cell>
        </row>
        <row r="975">
          <cell r="A975" t="str">
            <v>BE6307804888</v>
          </cell>
          <cell r="B975" t="str">
            <v>KBC-Life S Def. Tol. Cap</v>
          </cell>
          <cell r="C975" t="str">
            <v>EUR-KAP-INSTITUTIONEEL</v>
          </cell>
          <cell r="D975">
            <v>20240403</v>
          </cell>
          <cell r="E975">
            <v>1070.8900000000001</v>
          </cell>
        </row>
        <row r="976">
          <cell r="A976" t="str">
            <v>BE6311896094</v>
          </cell>
          <cell r="B976" t="str">
            <v>KBC-Life S Def. Tol. Comf. Portf. Cap</v>
          </cell>
          <cell r="C976" t="str">
            <v>EUR-KAP-COMF.PTF</v>
          </cell>
          <cell r="D976">
            <v>20240403</v>
          </cell>
          <cell r="E976">
            <v>1076.6400000000001</v>
          </cell>
        </row>
        <row r="977">
          <cell r="A977" t="str">
            <v>BE6307816031</v>
          </cell>
          <cell r="B977" t="str">
            <v>KBC-Life S Def. Tol. Resp. Invest. Cap</v>
          </cell>
          <cell r="C977" t="str">
            <v>EUR-KAP-INSTITUTIONEEL</v>
          </cell>
          <cell r="D977">
            <v>20240403</v>
          </cell>
          <cell r="E977">
            <v>1045.8900000000001</v>
          </cell>
        </row>
        <row r="978">
          <cell r="A978" t="str">
            <v>BE6342337894</v>
          </cell>
          <cell r="B978" t="str">
            <v>KBC-Life S Def. Tol. Resp. Invest. Comf. Cap</v>
          </cell>
          <cell r="C978" t="str">
            <v>EUR-KAP-COMFORT</v>
          </cell>
          <cell r="D978">
            <v>20240403</v>
          </cell>
          <cell r="E978">
            <v>109.91</v>
          </cell>
        </row>
        <row r="979">
          <cell r="A979" t="str">
            <v>BE6311903163</v>
          </cell>
          <cell r="B979" t="str">
            <v>KBC-Life S Def. Tol. Resp. Invest. Comf. Portf. Cap</v>
          </cell>
          <cell r="C979" t="str">
            <v>EUR-KAP-COMF.PTF</v>
          </cell>
          <cell r="D979">
            <v>20240403</v>
          </cell>
          <cell r="E979">
            <v>1053.18</v>
          </cell>
        </row>
        <row r="980">
          <cell r="A980" t="str">
            <v>BE6290956216</v>
          </cell>
          <cell r="B980" t="str">
            <v>KBC-Life S Dyn. Balanced Cap</v>
          </cell>
          <cell r="C980" t="str">
            <v>EUR-KAP-INSTITUTIONEEL</v>
          </cell>
          <cell r="D980">
            <v>20240403</v>
          </cell>
          <cell r="E980">
            <v>1128.4100000000001</v>
          </cell>
        </row>
        <row r="981">
          <cell r="A981" t="str">
            <v>BE6311897100</v>
          </cell>
          <cell r="B981" t="str">
            <v>KBC-Life S Dyn. Balanced Comf. Portf. Cap</v>
          </cell>
          <cell r="C981" t="str">
            <v>EUR-KAP-COMF.PTF</v>
          </cell>
          <cell r="D981">
            <v>20240403</v>
          </cell>
          <cell r="E981">
            <v>1163.07</v>
          </cell>
        </row>
        <row r="982">
          <cell r="A982" t="str">
            <v>BE6290890522</v>
          </cell>
          <cell r="B982" t="str">
            <v>KBC-Life S Dyn. Balanced Resp. Invest. Cap</v>
          </cell>
          <cell r="C982" t="str">
            <v>EUR-KAP-INSTITUTIONEEL</v>
          </cell>
          <cell r="D982">
            <v>20240403</v>
          </cell>
          <cell r="E982">
            <v>1104.71</v>
          </cell>
        </row>
        <row r="983">
          <cell r="A983" t="str">
            <v>BE6342338900</v>
          </cell>
          <cell r="B983" t="str">
            <v>KBC-Life S Dyn. Balanced Resp. Invest. Comf. Cap</v>
          </cell>
          <cell r="C983" t="str">
            <v>EUR-KAP-COMFORT</v>
          </cell>
          <cell r="D983">
            <v>20240403</v>
          </cell>
          <cell r="E983">
            <v>113.79</v>
          </cell>
        </row>
        <row r="984">
          <cell r="A984" t="str">
            <v>BE6311904179</v>
          </cell>
          <cell r="B984" t="str">
            <v>KBC-Life S Dyn. Balanced Resp. Invest. Comf. Portf. Cap</v>
          </cell>
          <cell r="C984" t="str">
            <v>EUR-KAP-COMF.PTF</v>
          </cell>
          <cell r="D984">
            <v>20240403</v>
          </cell>
          <cell r="E984">
            <v>1144.94</v>
          </cell>
        </row>
        <row r="985">
          <cell r="A985" t="str">
            <v>BE6289845743</v>
          </cell>
          <cell r="B985" t="str">
            <v>KBC-Life S Dyn. Cap</v>
          </cell>
          <cell r="C985" t="str">
            <v>DIV</v>
          </cell>
          <cell r="D985">
            <v>20240403</v>
          </cell>
          <cell r="E985">
            <v>467.85</v>
          </cell>
        </row>
        <row r="986">
          <cell r="A986" t="str">
            <v>BE6293212468</v>
          </cell>
          <cell r="B986" t="str">
            <v>KBC-Life S Dyn. Comf. Portf. Cap</v>
          </cell>
          <cell r="C986" t="str">
            <v>EUR-KAP-INSTITUTIONEEL</v>
          </cell>
          <cell r="D986">
            <v>20240403</v>
          </cell>
          <cell r="E986">
            <v>1190.67</v>
          </cell>
        </row>
        <row r="987">
          <cell r="A987" t="str">
            <v>BE6290891538</v>
          </cell>
          <cell r="B987" t="str">
            <v>KBC-Life S Dyn. Resp. Invest. Cap</v>
          </cell>
          <cell r="C987" t="str">
            <v>EUR-KAP-INSTITUTIONEEL</v>
          </cell>
          <cell r="D987">
            <v>20240403</v>
          </cell>
          <cell r="E987">
            <v>1188.1500000000001</v>
          </cell>
        </row>
        <row r="988">
          <cell r="A988" t="str">
            <v>BE6342343959</v>
          </cell>
          <cell r="B988" t="str">
            <v>KBC-Life S Dyn. Resp. Invest. Comf. Cap</v>
          </cell>
          <cell r="C988" t="str">
            <v>EUR-KAP-COMFORT</v>
          </cell>
          <cell r="D988">
            <v>20240403</v>
          </cell>
          <cell r="E988">
            <v>112.38</v>
          </cell>
        </row>
        <row r="989">
          <cell r="A989" t="str">
            <v>BE6342344965</v>
          </cell>
          <cell r="B989" t="str">
            <v>KBC-Life S Dyn. Resp. Invest. Comf. Plus Cap</v>
          </cell>
          <cell r="C989" t="str">
            <v>EUR-KAP-COMFORT.PLUS</v>
          </cell>
          <cell r="D989">
            <v>20240403</v>
          </cell>
          <cell r="E989">
            <v>112.61</v>
          </cell>
        </row>
        <row r="990">
          <cell r="A990" t="str">
            <v>BE6293218523</v>
          </cell>
          <cell r="B990" t="str">
            <v>KBC-Life S Dyn. Resp. Invest. Comf. Portf. Cap</v>
          </cell>
          <cell r="C990" t="str">
            <v>EUR-KAP-INSTITUTIONEEL</v>
          </cell>
          <cell r="D990">
            <v>20240403</v>
          </cell>
          <cell r="E990">
            <v>1177.93</v>
          </cell>
        </row>
        <row r="991">
          <cell r="A991" t="str">
            <v>BE6307811958</v>
          </cell>
          <cell r="B991" t="str">
            <v>KBC-Life S Dyn. Tol. Cap</v>
          </cell>
          <cell r="C991" t="str">
            <v>EUR-KAP-INSTITUTIONEEL</v>
          </cell>
          <cell r="D991">
            <v>20240403</v>
          </cell>
          <cell r="E991">
            <v>1151.1300000000001</v>
          </cell>
        </row>
        <row r="992">
          <cell r="A992" t="str">
            <v>BE6311898116</v>
          </cell>
          <cell r="B992" t="str">
            <v>KBC-Life S Dyn. Tol. Comf. Portf. Cap</v>
          </cell>
          <cell r="C992" t="str">
            <v>EUR-KAP-COMF.PTF</v>
          </cell>
          <cell r="D992">
            <v>20240403</v>
          </cell>
          <cell r="E992">
            <v>1157.8499999999999</v>
          </cell>
        </row>
        <row r="993">
          <cell r="A993" t="str">
            <v>BE6307818052</v>
          </cell>
          <cell r="B993" t="str">
            <v>KBC-Life S Dyn. Tol. Resp. Invest. Cap</v>
          </cell>
          <cell r="C993" t="str">
            <v>EUR-KAP-INSTITUTIONEEL</v>
          </cell>
          <cell r="D993">
            <v>20240403</v>
          </cell>
          <cell r="E993">
            <v>1123.77</v>
          </cell>
        </row>
        <row r="994">
          <cell r="A994" t="str">
            <v>BE6342339916</v>
          </cell>
          <cell r="B994" t="str">
            <v>KBC-Life S Dyn. Tol. Resp. Invest. Comf. Cap</v>
          </cell>
          <cell r="C994" t="str">
            <v>EUR-KAP-COMFORT</v>
          </cell>
          <cell r="D994">
            <v>20240403</v>
          </cell>
          <cell r="E994">
            <v>110.14</v>
          </cell>
        </row>
        <row r="995">
          <cell r="A995" t="str">
            <v>BE6311905184</v>
          </cell>
          <cell r="B995" t="str">
            <v>KBC-Life S Dyn. Tol. Resp. Invest. Comf. Portf. Cap</v>
          </cell>
          <cell r="C995" t="str">
            <v>EUR-KAP-COMF.PTF</v>
          </cell>
          <cell r="D995">
            <v>20240403</v>
          </cell>
          <cell r="E995">
            <v>1132.26</v>
          </cell>
        </row>
        <row r="996">
          <cell r="A996" t="str">
            <v>BE6324692019</v>
          </cell>
          <cell r="B996" t="str">
            <v>KBC-Life S European Telecom Timing-1 Cap</v>
          </cell>
          <cell r="C996" t="str">
            <v>EUR-KAP-RETAIL</v>
          </cell>
          <cell r="D996">
            <v>20240328</v>
          </cell>
          <cell r="E996">
            <v>849.35</v>
          </cell>
        </row>
        <row r="997">
          <cell r="A997" t="str">
            <v>BE6328398217</v>
          </cell>
          <cell r="B997" t="str">
            <v>KBC-Life S Expert Trends Dyn. Cap</v>
          </cell>
          <cell r="C997" t="str">
            <v>EUR-KAP-INSTITUTIONEEL</v>
          </cell>
          <cell r="D997">
            <v>20240403</v>
          </cell>
          <cell r="E997">
            <v>945.25</v>
          </cell>
        </row>
        <row r="998">
          <cell r="A998" t="str">
            <v>BE6289854836</v>
          </cell>
          <cell r="B998" t="str">
            <v>KBC-Life S Flexible Portf. January Cap</v>
          </cell>
          <cell r="C998" t="str">
            <v>KAP</v>
          </cell>
          <cell r="D998">
            <v>20240403</v>
          </cell>
          <cell r="E998">
            <v>1246.53</v>
          </cell>
        </row>
        <row r="999">
          <cell r="A999" t="str">
            <v>BE6289855841</v>
          </cell>
          <cell r="B999" t="str">
            <v>KBC-Life S Flexible Portf. July Cap</v>
          </cell>
          <cell r="C999" t="str">
            <v>KAP</v>
          </cell>
          <cell r="D999">
            <v>20240403</v>
          </cell>
          <cell r="E999">
            <v>1163.3</v>
          </cell>
        </row>
        <row r="1000">
          <cell r="A1000" t="str">
            <v>BE6326785571</v>
          </cell>
          <cell r="B1000" t="str">
            <v>KBC-Life S Fundamental Opportunities Cap</v>
          </cell>
          <cell r="C1000" t="str">
            <v>EUR-KAP-INSTITUTIONEEL</v>
          </cell>
          <cell r="D1000">
            <v>20240403</v>
          </cell>
          <cell r="E1000">
            <v>1215.78</v>
          </cell>
        </row>
        <row r="1001">
          <cell r="A1001" t="str">
            <v>BE6346198706</v>
          </cell>
          <cell r="B1001" t="str">
            <v>KBC-Life S Green Social Sustain. Bonds Resp. Invest. Cap</v>
          </cell>
          <cell r="C1001" t="str">
            <v>EUR-KAP-RETAIL</v>
          </cell>
          <cell r="D1001">
            <v>20240404</v>
          </cell>
          <cell r="E1001">
            <v>1072.26</v>
          </cell>
        </row>
        <row r="1002">
          <cell r="A1002" t="str">
            <v>BE6289847764</v>
          </cell>
          <cell r="B1002" t="str">
            <v>KBC-Life S Highly Dyn. Cap</v>
          </cell>
          <cell r="C1002" t="str">
            <v>DIV</v>
          </cell>
          <cell r="D1002">
            <v>20240403</v>
          </cell>
          <cell r="E1002">
            <v>517.91999999999996</v>
          </cell>
        </row>
        <row r="1003">
          <cell r="A1003" t="str">
            <v>BE6333932265</v>
          </cell>
          <cell r="B1003" t="str">
            <v>KBC-Life S Highly Dyn. Resp. Invest. Cap</v>
          </cell>
          <cell r="C1003" t="str">
            <v>EUR-KAP-INST.LIFESOL</v>
          </cell>
          <cell r="D1003">
            <v>20240403</v>
          </cell>
          <cell r="E1003">
            <v>1046.53</v>
          </cell>
        </row>
        <row r="1004">
          <cell r="A1004" t="str">
            <v>BE6342346010</v>
          </cell>
          <cell r="B1004" t="str">
            <v>KBC-Life S Highly Dyn. Resp. Invest. Comf. Cap</v>
          </cell>
          <cell r="C1004" t="str">
            <v>EUR-KAP-COMFORT</v>
          </cell>
          <cell r="D1004">
            <v>20240403</v>
          </cell>
          <cell r="E1004">
            <v>1049.77</v>
          </cell>
        </row>
        <row r="1005">
          <cell r="A1005" t="str">
            <v>BE6342347026</v>
          </cell>
          <cell r="B1005" t="str">
            <v>KBC-Life S Highly Dyn. Resp. Invest. Comf. Plus Cap</v>
          </cell>
          <cell r="C1005" t="str">
            <v>EUR-KAP-COMFORT.PLUS</v>
          </cell>
          <cell r="D1005">
            <v>20240403</v>
          </cell>
          <cell r="E1005">
            <v>1050.3</v>
          </cell>
        </row>
        <row r="1006">
          <cell r="A1006" t="str">
            <v>BE6328346661</v>
          </cell>
          <cell r="B1006" t="str">
            <v>KBC-Life S Highly Dyn. Resp. Invest. Comf. Portf. Cap</v>
          </cell>
          <cell r="C1006" t="str">
            <v>EUR-KAP-INSTITUTIONEEL</v>
          </cell>
          <cell r="D1006">
            <v>20240403</v>
          </cell>
          <cell r="E1006">
            <v>1050.18</v>
          </cell>
        </row>
        <row r="1007">
          <cell r="A1007" t="str">
            <v>BE6327605042</v>
          </cell>
          <cell r="B1007" t="str">
            <v>KBC-Life S Impact Resp. Invest. Cap</v>
          </cell>
          <cell r="C1007" t="str">
            <v>EUR-KAP-INSTITUTIONEEL</v>
          </cell>
          <cell r="D1007">
            <v>20240403</v>
          </cell>
          <cell r="E1007">
            <v>923.22</v>
          </cell>
        </row>
        <row r="1008">
          <cell r="A1008" t="str">
            <v>BE6293744932</v>
          </cell>
          <cell r="B1008" t="str">
            <v>KBC-Life S Privil. Portf. Protected 90 August Cap</v>
          </cell>
          <cell r="C1008" t="str">
            <v>EUR-KAP-RETAIL</v>
          </cell>
          <cell r="D1008">
            <v>20240404</v>
          </cell>
          <cell r="E1008">
            <v>349.51</v>
          </cell>
        </row>
        <row r="1009">
          <cell r="A1009" t="str">
            <v>BE6293741904</v>
          </cell>
          <cell r="B1009" t="str">
            <v>KBC-Life S Privil. Portf. Protected 90 February Cap</v>
          </cell>
          <cell r="C1009" t="str">
            <v>EUR-KAP-RETAIL</v>
          </cell>
          <cell r="D1009">
            <v>20240404</v>
          </cell>
          <cell r="E1009">
            <v>409.61</v>
          </cell>
        </row>
        <row r="1010">
          <cell r="A1010" t="str">
            <v>BE6293724736</v>
          </cell>
          <cell r="B1010" t="str">
            <v>KBC-Life S Privil. Portf. Protected 90 May Cap</v>
          </cell>
          <cell r="C1010" t="str">
            <v>EUR-KAP-RETAIL</v>
          </cell>
          <cell r="D1010">
            <v>20240404</v>
          </cell>
          <cell r="E1010">
            <v>447.57</v>
          </cell>
        </row>
        <row r="1011">
          <cell r="A1011" t="str">
            <v>BE6293734834</v>
          </cell>
          <cell r="B1011" t="str">
            <v>KBC-Life S Privil. Portf. Protected 90 November Cap</v>
          </cell>
          <cell r="C1011" t="str">
            <v>EUR-KAP-RETAIL</v>
          </cell>
          <cell r="D1011">
            <v>20240404</v>
          </cell>
          <cell r="E1011">
            <v>430.5</v>
          </cell>
        </row>
        <row r="1012">
          <cell r="A1012" t="str">
            <v>BE6299619518</v>
          </cell>
          <cell r="B1012" t="str">
            <v>KBC-Life S Trends Cap</v>
          </cell>
          <cell r="C1012" t="str">
            <v>EUR-KAP-RETAIL</v>
          </cell>
          <cell r="D1012">
            <v>20240403</v>
          </cell>
          <cell r="E1012">
            <v>544.44000000000005</v>
          </cell>
        </row>
        <row r="1013">
          <cell r="A1013" t="str">
            <v>BE6299618502</v>
          </cell>
          <cell r="B1013" t="str">
            <v>KBC-Life S World Equities Cap</v>
          </cell>
          <cell r="C1013" t="str">
            <v>EUR-KAP-RETAIL</v>
          </cell>
          <cell r="D1013">
            <v>20240403</v>
          </cell>
          <cell r="E1013">
            <v>389.03</v>
          </cell>
        </row>
        <row r="1014">
          <cell r="A1014" t="str">
            <v>BE6337106965</v>
          </cell>
          <cell r="B1014" t="str">
            <v>KBC-Life S4 Comf. Def. Resp. Invest. Cap</v>
          </cell>
          <cell r="C1014" t="str">
            <v>EUR-KAP-PRIV.LIFESOL4</v>
          </cell>
          <cell r="D1014">
            <v>20240403</v>
          </cell>
          <cell r="E1014">
            <v>1005.05</v>
          </cell>
        </row>
        <row r="1015">
          <cell r="A1015" t="str">
            <v>BE6337110033</v>
          </cell>
          <cell r="B1015" t="str">
            <v>KBC-Life S4 Comf. Dyn. High Resp. Invest. Cap</v>
          </cell>
          <cell r="C1015" t="str">
            <v>EUR-KAP-PRIV.LIFESOL4</v>
          </cell>
          <cell r="D1015">
            <v>20240403</v>
          </cell>
          <cell r="E1015">
            <v>1050.18</v>
          </cell>
        </row>
        <row r="1016">
          <cell r="A1016" t="str">
            <v>BE6337107971</v>
          </cell>
          <cell r="B1016" t="str">
            <v>KBC-Life S4 Comf. Dyn. Resp. Invest. Cap</v>
          </cell>
          <cell r="C1016" t="str">
            <v>EUR-KAP-PRIV.LIFESOL4</v>
          </cell>
          <cell r="D1016">
            <v>20240403</v>
          </cell>
          <cell r="E1016">
            <v>1177.93</v>
          </cell>
        </row>
        <row r="1017">
          <cell r="A1017" t="str">
            <v>BE6334547591</v>
          </cell>
          <cell r="B1017" t="str">
            <v>KBC-Life S4 Def. Resp. Invest. Cap</v>
          </cell>
          <cell r="C1017" t="str">
            <v>EUR-KAP-INST.LIFESOL4</v>
          </cell>
          <cell r="D1017">
            <v>20240403</v>
          </cell>
          <cell r="E1017">
            <v>1012.19</v>
          </cell>
        </row>
        <row r="1018">
          <cell r="A1018" t="str">
            <v>BE6333207775</v>
          </cell>
          <cell r="B1018" t="str">
            <v>KBC-Life S4 Dyn. Resp. Invest. Cap</v>
          </cell>
          <cell r="C1018" t="str">
            <v>EUR-KAP-INST.LIFESOL4</v>
          </cell>
          <cell r="D1018">
            <v>20240403</v>
          </cell>
          <cell r="E1018">
            <v>1188.1500000000001</v>
          </cell>
        </row>
        <row r="1019">
          <cell r="A1019" t="str">
            <v>BE6337111049</v>
          </cell>
          <cell r="B1019" t="str">
            <v>KBC-Life S4 Expert Trends Dyn. Cap</v>
          </cell>
          <cell r="C1019" t="str">
            <v>EUR-KAP-RET.LIFESOL4</v>
          </cell>
          <cell r="D1019">
            <v>20240403</v>
          </cell>
          <cell r="E1019">
            <v>945.25</v>
          </cell>
        </row>
        <row r="1020">
          <cell r="A1020" t="str">
            <v>BE6337112054</v>
          </cell>
          <cell r="B1020" t="str">
            <v>KBC-Life S4 Impact Resp. Invest. Cap</v>
          </cell>
          <cell r="C1020" t="str">
            <v>EUR-KAP-RET.LIFESOL4</v>
          </cell>
          <cell r="D1020">
            <v>20240403</v>
          </cell>
          <cell r="E1020">
            <v>923.22</v>
          </cell>
        </row>
        <row r="1021">
          <cell r="A1021" t="str">
            <v>BE6321625384</v>
          </cell>
          <cell r="B1021" t="str">
            <v>Optimum Fund ČSOB Airbag 1 Cap</v>
          </cell>
          <cell r="C1021" t="str">
            <v>CZK-KAP-RETAIL.PRIVBK</v>
          </cell>
          <cell r="D1021">
            <v>20240328</v>
          </cell>
          <cell r="E1021">
            <v>11.78</v>
          </cell>
        </row>
        <row r="1022">
          <cell r="A1022" t="str">
            <v>BE6322583269</v>
          </cell>
          <cell r="B1022" t="str">
            <v>Optimum Fund ČSOB Airbag Amerika 1 Cap</v>
          </cell>
          <cell r="C1022" t="str">
            <v>CZK-KAP-RETAIL.PRIVBK</v>
          </cell>
          <cell r="D1022">
            <v>20240328</v>
          </cell>
          <cell r="E1022">
            <v>10.74</v>
          </cell>
        </row>
        <row r="1023">
          <cell r="A1023" t="str">
            <v>BE6298900117</v>
          </cell>
          <cell r="B1023" t="str">
            <v>Optimum Fund ČSOB Airbag Jumper EUR 12 Cap</v>
          </cell>
          <cell r="C1023" t="str">
            <v>EUR-KAP-RETAIL.PRIVBK</v>
          </cell>
          <cell r="D1023">
            <v>20240328</v>
          </cell>
          <cell r="E1023">
            <v>10.44</v>
          </cell>
        </row>
        <row r="1024">
          <cell r="A1024" t="str">
            <v>BE6302305212</v>
          </cell>
          <cell r="B1024" t="str">
            <v>Optimum Fund ČSOB Airbag Jumper EUR 13 Cap</v>
          </cell>
          <cell r="C1024" t="str">
            <v>EUR-KAP-RETAIL.PRIVBK</v>
          </cell>
          <cell r="D1024">
            <v>20240328</v>
          </cell>
          <cell r="E1024">
            <v>11.86</v>
          </cell>
        </row>
        <row r="1025">
          <cell r="A1025" t="str">
            <v>BE6312053695</v>
          </cell>
          <cell r="B1025" t="str">
            <v>Optimum Fund ČSOB Airbag Jumper EUR 15 Cap</v>
          </cell>
          <cell r="C1025" t="str">
            <v>EUR-KAP-RETAIL.PRIVBK</v>
          </cell>
          <cell r="D1025">
            <v>20240328</v>
          </cell>
          <cell r="E1025">
            <v>9.3000000000000007</v>
          </cell>
        </row>
        <row r="1026">
          <cell r="A1026" t="str">
            <v>BE6348266048</v>
          </cell>
          <cell r="B1026" t="str">
            <v>Optimum Fund ČSOB Digitalizace 1 Cap</v>
          </cell>
        </row>
        <row r="1027">
          <cell r="A1027" t="str">
            <v>BE6277441869</v>
          </cell>
          <cell r="B1027" t="str">
            <v>Optimum Fund ČSOB Flexibilní plán Cap</v>
          </cell>
          <cell r="C1027" t="str">
            <v>CZK-KAP-RETAIL</v>
          </cell>
          <cell r="D1027">
            <v>20240404</v>
          </cell>
          <cell r="E1027">
            <v>1118.5</v>
          </cell>
        </row>
        <row r="1028">
          <cell r="A1028" t="str">
            <v>BE6277443881</v>
          </cell>
          <cell r="B1028" t="str">
            <v>Optimum Fund ČSOB Flexibilní portfolio Cap</v>
          </cell>
          <cell r="C1028" t="str">
            <v>CZK-KAP-RETAIL</v>
          </cell>
          <cell r="D1028">
            <v>20240404</v>
          </cell>
          <cell r="E1028">
            <v>1088.21</v>
          </cell>
        </row>
        <row r="1029">
          <cell r="A1029" t="str">
            <v>BE6324294881</v>
          </cell>
          <cell r="B1029" t="str">
            <v>Optimum Fund ČSOB Globálních firem 5 Cap</v>
          </cell>
          <cell r="C1029" t="str">
            <v>CZK-KAP-RETAIL</v>
          </cell>
          <cell r="D1029">
            <v>20240328</v>
          </cell>
          <cell r="E1029">
            <v>11.14</v>
          </cell>
        </row>
        <row r="1030">
          <cell r="A1030" t="str">
            <v>BE6329232795</v>
          </cell>
          <cell r="B1030" t="str">
            <v>Optimum Fund ČSOB Globálních firem 7 Cap</v>
          </cell>
          <cell r="C1030" t="str">
            <v>CZK-KAP-RETAIL.PRIVBK</v>
          </cell>
          <cell r="D1030">
            <v>20240328</v>
          </cell>
          <cell r="E1030">
            <v>9.42</v>
          </cell>
        </row>
        <row r="1031">
          <cell r="A1031" t="str">
            <v>BE6347180828</v>
          </cell>
          <cell r="B1031" t="str">
            <v>Optimum Fund ČSOB Krátkodobý 1 Cap</v>
          </cell>
          <cell r="C1031" t="str">
            <v>CZK-KAP-RETAIL</v>
          </cell>
          <cell r="D1031">
            <v>20240328</v>
          </cell>
          <cell r="E1031">
            <v>10.02</v>
          </cell>
        </row>
        <row r="1032">
          <cell r="A1032" t="str">
            <v>BE0948725651</v>
          </cell>
          <cell r="B1032" t="str">
            <v>Optimum Fund ČSOB Kratkodobych dluhopisu Classic Shares Cap</v>
          </cell>
          <cell r="C1032" t="str">
            <v>CZK-KAP-RETAIL</v>
          </cell>
          <cell r="D1032">
            <v>20240404</v>
          </cell>
          <cell r="E1032">
            <v>114.53</v>
          </cell>
        </row>
        <row r="1033">
          <cell r="A1033" t="str">
            <v>BE0948724647</v>
          </cell>
          <cell r="B1033" t="str">
            <v>Optimum Fund ČSOB Kratkodobych dluhopisu Classic Shares Dis (empty)</v>
          </cell>
          <cell r="C1033" t="str">
            <v>CZK-DIV-RETAIL</v>
          </cell>
          <cell r="D1033">
            <v>20100520</v>
          </cell>
          <cell r="E1033">
            <v>101.9</v>
          </cell>
        </row>
        <row r="1034">
          <cell r="A1034" t="str">
            <v>BE6280425636</v>
          </cell>
          <cell r="B1034" t="str">
            <v>Optimum Fund ČSOB Kratkodobych dluhopisu Inst. B Shares Cap</v>
          </cell>
          <cell r="C1034" t="str">
            <v>CZK-KAP-INSTIT.B</v>
          </cell>
          <cell r="D1034">
            <v>20240404</v>
          </cell>
          <cell r="E1034">
            <v>1117.82</v>
          </cell>
        </row>
        <row r="1035">
          <cell r="A1035" t="str">
            <v>BE6323306702</v>
          </cell>
          <cell r="B1035" t="str">
            <v>Optimum Fund ČSOB Lookback 1 Cap</v>
          </cell>
          <cell r="C1035" t="str">
            <v>CZK-KAP-RETAIL.PRIVBK</v>
          </cell>
          <cell r="D1035">
            <v>20240328</v>
          </cell>
          <cell r="E1035">
            <v>11.7</v>
          </cell>
        </row>
        <row r="1036">
          <cell r="A1036" t="str">
            <v>BE6332922838</v>
          </cell>
          <cell r="B1036" t="str">
            <v>Optimum Fund ČSOB Lookback 2 Cap</v>
          </cell>
          <cell r="C1036" t="str">
            <v>CZK-KAP-RETAIL.PRIVBK</v>
          </cell>
          <cell r="D1036">
            <v>20240328</v>
          </cell>
          <cell r="E1036">
            <v>10.95</v>
          </cell>
        </row>
        <row r="1037">
          <cell r="A1037" t="str">
            <v>BE6343430185</v>
          </cell>
          <cell r="B1037" t="str">
            <v>Optimum Fund ČSOB Lookback 3 Cap</v>
          </cell>
          <cell r="C1037" t="str">
            <v>CZK-KAP-RETAIL</v>
          </cell>
          <cell r="D1037">
            <v>20240328</v>
          </cell>
          <cell r="E1037">
            <v>10.71</v>
          </cell>
        </row>
        <row r="1038">
          <cell r="A1038" t="str">
            <v>BE6346377557</v>
          </cell>
          <cell r="B1038" t="str">
            <v>Optimum Fund ČSOB Lookback farmacie a zdravotnictví 1 Cap</v>
          </cell>
          <cell r="C1038" t="str">
            <v>CZK-KAP-RETAIL</v>
          </cell>
          <cell r="D1038">
            <v>20240328</v>
          </cell>
          <cell r="E1038">
            <v>10.1</v>
          </cell>
        </row>
        <row r="1039">
          <cell r="A1039" t="str">
            <v>BE6327054357</v>
          </cell>
          <cell r="B1039" t="str">
            <v>Optimum Fund ČSOB Odvážný Classic Shares Cap</v>
          </cell>
          <cell r="C1039" t="str">
            <v>CZK-KAP-RETAIL</v>
          </cell>
          <cell r="D1039">
            <v>20240404</v>
          </cell>
          <cell r="E1039">
            <v>1108.3399999999999</v>
          </cell>
        </row>
        <row r="1040">
          <cell r="A1040" t="str">
            <v>BE6285869754</v>
          </cell>
          <cell r="B1040" t="str">
            <v>Optimum Fund ČSOB Odvážný Classic Shares CSOB Premium Cap</v>
          </cell>
          <cell r="C1040" t="str">
            <v>CZK-KAP-CSOB PREM.BANKING</v>
          </cell>
          <cell r="D1040">
            <v>20240404</v>
          </cell>
          <cell r="E1040">
            <v>1368.14</v>
          </cell>
        </row>
        <row r="1041">
          <cell r="A1041" t="str">
            <v>BE6252470446</v>
          </cell>
          <cell r="B1041" t="str">
            <v>Optimum Fund ČSOB Odvážný Classic Shares CSOB Private Banking Cap</v>
          </cell>
          <cell r="C1041" t="str">
            <v>CZK-KAP-CSOB PRIV.BANKING</v>
          </cell>
          <cell r="D1041">
            <v>20240404</v>
          </cell>
          <cell r="E1041">
            <v>1499.6</v>
          </cell>
        </row>
        <row r="1042">
          <cell r="A1042" t="str">
            <v>BE6327056378</v>
          </cell>
          <cell r="B1042" t="str">
            <v>Optimum Fund ČSOB Opatrný Classic Shares Cap</v>
          </cell>
          <cell r="C1042" t="str">
            <v>CZK-KAP-RETAIL</v>
          </cell>
          <cell r="D1042">
            <v>20240404</v>
          </cell>
          <cell r="E1042">
            <v>1083.82</v>
          </cell>
        </row>
        <row r="1043">
          <cell r="A1043" t="str">
            <v>BE6285923320</v>
          </cell>
          <cell r="B1043" t="str">
            <v>Optimum Fund ČSOB Opatrný Classic Shares CSOB Premium Cap</v>
          </cell>
          <cell r="C1043" t="str">
            <v>CZK-KAP-CSOB PREM.BANKING</v>
          </cell>
          <cell r="D1043">
            <v>20240404</v>
          </cell>
          <cell r="E1043">
            <v>1260.81</v>
          </cell>
        </row>
        <row r="1044">
          <cell r="A1044" t="str">
            <v>BE6241648862</v>
          </cell>
          <cell r="B1044" t="str">
            <v>Optimum Fund ČSOB Opatrný Classic Shares CSOB Private Banking Cap</v>
          </cell>
          <cell r="C1044" t="str">
            <v>CZK-KAP-CSOB PRIV.BANKING</v>
          </cell>
          <cell r="D1044">
            <v>20240404</v>
          </cell>
          <cell r="E1044">
            <v>1407.01</v>
          </cell>
        </row>
        <row r="1045">
          <cell r="A1045" t="str">
            <v>BE6282470713</v>
          </cell>
          <cell r="B1045" t="str">
            <v>Optimum Fund ČSOB Opatrný Classic Shares CSOB Private Banking Dis</v>
          </cell>
          <cell r="C1045" t="str">
            <v>CZK-DIV-CSOB PRIV.BANKING</v>
          </cell>
          <cell r="D1045">
            <v>20240404</v>
          </cell>
          <cell r="E1045">
            <v>1079.07</v>
          </cell>
        </row>
        <row r="1046">
          <cell r="A1046" t="str">
            <v>BE6308824414</v>
          </cell>
          <cell r="B1046" t="str">
            <v>Optimum Fund ČSOB Private Banking Family Enterprises 1 Cap</v>
          </cell>
          <cell r="C1046" t="str">
            <v>CZK-KAP-PRIV.BK</v>
          </cell>
          <cell r="D1046">
            <v>20240328</v>
          </cell>
          <cell r="E1046">
            <v>11.85</v>
          </cell>
        </row>
        <row r="1047">
          <cell r="A1047" t="str">
            <v>BE6304872664</v>
          </cell>
          <cell r="B1047" t="str">
            <v>Optimum Fund ČSOB Sponzoři sportu 1 Cap</v>
          </cell>
          <cell r="C1047" t="str">
            <v>CZK-KAP-RETAIL</v>
          </cell>
          <cell r="D1047">
            <v>20240328</v>
          </cell>
          <cell r="E1047">
            <v>11.27</v>
          </cell>
        </row>
        <row r="1048">
          <cell r="A1048" t="str">
            <v>BE6306356955</v>
          </cell>
          <cell r="B1048" t="str">
            <v>Optimum Fund ČSOB Světové trhy 2 Cap</v>
          </cell>
          <cell r="C1048" t="str">
            <v>CZK-KAP-PRIV.BK</v>
          </cell>
          <cell r="D1048">
            <v>20240328</v>
          </cell>
          <cell r="E1048">
            <v>11.7</v>
          </cell>
        </row>
        <row r="1049">
          <cell r="A1049" t="str">
            <v>BE6318058607</v>
          </cell>
          <cell r="B1049" t="str">
            <v>Optimum Fund ČSOB Světové trhy 3 Cap</v>
          </cell>
          <cell r="C1049" t="str">
            <v>CZK-KAP-RETAIL</v>
          </cell>
          <cell r="D1049">
            <v>20240328</v>
          </cell>
          <cell r="E1049">
            <v>12.75</v>
          </cell>
        </row>
        <row r="1050">
          <cell r="A1050" t="str">
            <v>BE6310265275</v>
          </cell>
          <cell r="B1050" t="str">
            <v>Optimum Fund ČSOB Světových firem s lookbackem 1 Cap</v>
          </cell>
          <cell r="C1050" t="str">
            <v>CZK-KAP-PRIV.BK</v>
          </cell>
          <cell r="D1050">
            <v>20240328</v>
          </cell>
          <cell r="E1050">
            <v>10.84</v>
          </cell>
        </row>
        <row r="1051">
          <cell r="A1051" t="str">
            <v>BE6312530619</v>
          </cell>
          <cell r="B1051" t="str">
            <v>Optimum Fund ČSOB Světových firem s lookbackem 2 Cap</v>
          </cell>
          <cell r="C1051" t="str">
            <v>CZK-KAP-RETAIL.PRIVBK</v>
          </cell>
          <cell r="D1051">
            <v>20240328</v>
          </cell>
          <cell r="E1051">
            <v>9.9700000000000006</v>
          </cell>
        </row>
        <row r="1052">
          <cell r="A1052" t="str">
            <v>BE6327053342</v>
          </cell>
          <cell r="B1052" t="str">
            <v>Optimum Fund ČSOB Velmi odvážný Classic Shares Cap</v>
          </cell>
          <cell r="C1052" t="str">
            <v>CZK-KAP-RETAIL</v>
          </cell>
          <cell r="D1052">
            <v>20240404</v>
          </cell>
          <cell r="E1052">
            <v>1132.02</v>
          </cell>
        </row>
        <row r="1053">
          <cell r="A1053" t="str">
            <v>BE6285921308</v>
          </cell>
          <cell r="B1053" t="str">
            <v>Optimum Fund ČSOB Velmi odvážný Classic Shares CSOB Premium Cap</v>
          </cell>
          <cell r="C1053" t="str">
            <v>CZK-KAP-CSOB PREM.BANKING</v>
          </cell>
          <cell r="D1053">
            <v>20240404</v>
          </cell>
          <cell r="E1053">
            <v>1599.66</v>
          </cell>
        </row>
        <row r="1054">
          <cell r="A1054" t="str">
            <v>BE6270085051</v>
          </cell>
          <cell r="B1054" t="str">
            <v>Optimum Fund ČSOB Velmi odvážný Classic Shares CSOB Private Banking Cap</v>
          </cell>
          <cell r="C1054" t="str">
            <v>CZK-KAP-CSOB PRIV.BANKING</v>
          </cell>
          <cell r="D1054">
            <v>20240404</v>
          </cell>
          <cell r="E1054">
            <v>1609.94</v>
          </cell>
        </row>
        <row r="1055">
          <cell r="A1055" t="str">
            <v>BE6327055362</v>
          </cell>
          <cell r="B1055" t="str">
            <v>Optimum Fund ČSOB Velmi opatrný  Classic Shares Cap</v>
          </cell>
          <cell r="C1055" t="str">
            <v>CZK-KAP-RETAIL</v>
          </cell>
          <cell r="D1055">
            <v>20240404</v>
          </cell>
          <cell r="E1055">
            <v>1058.73</v>
          </cell>
        </row>
        <row r="1056">
          <cell r="A1056" t="str">
            <v>BE6285922314</v>
          </cell>
          <cell r="B1056" t="str">
            <v>Optimum Fund ČSOB Velmi opatrný  Classic Shares CSOB Premium Cap</v>
          </cell>
          <cell r="C1056" t="str">
            <v>CZK-KAP-CSOB PREM.BANKING</v>
          </cell>
          <cell r="D1056">
            <v>20240404</v>
          </cell>
          <cell r="E1056">
            <v>1120.68</v>
          </cell>
        </row>
        <row r="1057">
          <cell r="A1057" t="str">
            <v>BE6242540084</v>
          </cell>
          <cell r="B1057" t="str">
            <v>Optimum Fund ČSOB Velmi opatrný  Classic Shares CSOB Private Banking Cap</v>
          </cell>
          <cell r="C1057" t="str">
            <v>CZK-KAP-CSOB PRIV.BANKING</v>
          </cell>
          <cell r="D1057">
            <v>20240404</v>
          </cell>
          <cell r="E1057">
            <v>1177.1400000000001</v>
          </cell>
        </row>
        <row r="1058">
          <cell r="A1058" t="str">
            <v>BE6308810272</v>
          </cell>
          <cell r="B1058" t="str">
            <v>Optimum Fund ČSOB Zboží dlouhodobé spotřeby 1 Cap</v>
          </cell>
          <cell r="C1058" t="str">
            <v>CZK-KAP-RETAIL.PRIVBK</v>
          </cell>
          <cell r="D1058">
            <v>20240328</v>
          </cell>
          <cell r="E1058">
            <v>11.93</v>
          </cell>
        </row>
        <row r="1059">
          <cell r="A1059" t="str">
            <v>BE6341263828</v>
          </cell>
          <cell r="B1059" t="str">
            <v>Optimum Fund ČSOB Zdravotnictví a farmacie 4 Cap</v>
          </cell>
          <cell r="C1059" t="str">
            <v>CZK-KAP-RETAIL</v>
          </cell>
          <cell r="D1059">
            <v>20240328</v>
          </cell>
          <cell r="E1059">
            <v>10.87</v>
          </cell>
        </row>
        <row r="1060">
          <cell r="A1060" t="str">
            <v>BE6304957549</v>
          </cell>
          <cell r="B1060" t="str">
            <v>Optimum Fund ČSOB Zpetného odkupu 2 Cap</v>
          </cell>
          <cell r="C1060" t="str">
            <v>CZK-KAP-RETAIL.PRIVBK</v>
          </cell>
          <cell r="D1060">
            <v>20240328</v>
          </cell>
          <cell r="E1060">
            <v>12.04</v>
          </cell>
        </row>
        <row r="1061">
          <cell r="A1061" t="str">
            <v>BE6316179249</v>
          </cell>
          <cell r="B1061" t="str">
            <v>Optimum Fund Enhanced Intelligence Cap</v>
          </cell>
          <cell r="C1061" t="str">
            <v>EUR-KAP-RETAIL</v>
          </cell>
          <cell r="D1061">
            <v>20240404</v>
          </cell>
          <cell r="E1061">
            <v>1113.69</v>
          </cell>
        </row>
        <row r="1062">
          <cell r="A1062" t="str">
            <v>BE6316180254</v>
          </cell>
          <cell r="B1062" t="str">
            <v>Optimum Fund Enhanced Intelligence Dis</v>
          </cell>
          <cell r="C1062" t="str">
            <v>EUR-DIV-RETAIL</v>
          </cell>
          <cell r="D1062">
            <v>20240404</v>
          </cell>
          <cell r="E1062">
            <v>1072.51</v>
          </cell>
        </row>
        <row r="1063">
          <cell r="A1063" t="str">
            <v>BE6314415066</v>
          </cell>
          <cell r="B1063" t="str">
            <v>Optimum Fund Exclusive Step In World 1 Cap</v>
          </cell>
          <cell r="C1063" t="str">
            <v>EUR-KAP-RETAIL</v>
          </cell>
          <cell r="D1063">
            <v>20240328</v>
          </cell>
          <cell r="E1063">
            <v>998.74</v>
          </cell>
        </row>
        <row r="1064">
          <cell r="A1064" t="str">
            <v>BE6314827302</v>
          </cell>
          <cell r="B1064" t="str">
            <v>Optimum Fund Exclusive Step In World 2 Cap</v>
          </cell>
          <cell r="C1064" t="str">
            <v>EUR-KAP-RETAIL</v>
          </cell>
          <cell r="D1064">
            <v>20240328</v>
          </cell>
          <cell r="E1064">
            <v>1032.9000000000001</v>
          </cell>
        </row>
        <row r="1065">
          <cell r="A1065" t="str">
            <v>BE6345958241</v>
          </cell>
          <cell r="B1065" t="str">
            <v>Optimum Fund K&amp;H fix egészség 1 Cap</v>
          </cell>
          <cell r="C1065" t="str">
            <v>HUF-KAP-RETAIL</v>
          </cell>
          <cell r="D1065">
            <v>20240328</v>
          </cell>
          <cell r="E1065">
            <v>10359.280000000001</v>
          </cell>
        </row>
        <row r="1066">
          <cell r="A1066" t="str">
            <v>BE6347801241</v>
          </cell>
          <cell r="B1066" t="str">
            <v>Optimum Fund K&amp;H fix egészség 2 Cap</v>
          </cell>
          <cell r="C1066" t="str">
            <v>HUF-KAP-RETAIL</v>
          </cell>
          <cell r="D1066">
            <v>20240328</v>
          </cell>
          <cell r="E1066">
            <v>9489.1299999999992</v>
          </cell>
        </row>
        <row r="1067">
          <cell r="A1067" t="str">
            <v>BE6345959256</v>
          </cell>
          <cell r="B1067" t="str">
            <v>Optimum Fund K&amp;H fix világcégek euró Cap</v>
          </cell>
          <cell r="C1067" t="str">
            <v>EUR-KAP-RETAIL</v>
          </cell>
          <cell r="D1067">
            <v>20240328</v>
          </cell>
          <cell r="E1067">
            <v>10.66</v>
          </cell>
        </row>
        <row r="1068">
          <cell r="A1068" t="str">
            <v>BE6341875159</v>
          </cell>
          <cell r="B1068" t="str">
            <v>Optimum Fund K&amp;H fix+ egészség 2 Cap</v>
          </cell>
          <cell r="C1068" t="str">
            <v>HUF-KAP-RETAIL</v>
          </cell>
          <cell r="D1068">
            <v>20240328</v>
          </cell>
          <cell r="E1068">
            <v>11565.1</v>
          </cell>
        </row>
        <row r="1069">
          <cell r="A1069" t="str">
            <v>BE6337356552</v>
          </cell>
          <cell r="B1069" t="str">
            <v>Optimum Fund K&amp;H fix+ egészség Cap</v>
          </cell>
          <cell r="C1069" t="str">
            <v>HUF-KAP-RETAIL</v>
          </cell>
          <cell r="D1069">
            <v>20240328</v>
          </cell>
          <cell r="E1069">
            <v>13420.14</v>
          </cell>
        </row>
        <row r="1070">
          <cell r="A1070" t="str">
            <v>BE6339511766</v>
          </cell>
          <cell r="B1070" t="str">
            <v>Optimum Fund K&amp;H fix+ élelmiszeripari Cap</v>
          </cell>
          <cell r="C1070" t="str">
            <v>HUF-KAP-RETAIL</v>
          </cell>
          <cell r="D1070">
            <v>20240328</v>
          </cell>
          <cell r="E1070">
            <v>10553.65</v>
          </cell>
        </row>
        <row r="1071">
          <cell r="A1071" t="str">
            <v>BE6315792257</v>
          </cell>
          <cell r="B1071" t="str">
            <v>Optimum Fund Step In World 1 Cap</v>
          </cell>
          <cell r="C1071" t="str">
            <v>EUR-KAP-RET.PVBK.WEALTH</v>
          </cell>
          <cell r="D1071">
            <v>20240328</v>
          </cell>
          <cell r="E1071">
            <v>956.41</v>
          </cell>
        </row>
        <row r="1072">
          <cell r="A1072" t="str">
            <v>BE6316202470</v>
          </cell>
          <cell r="B1072" t="str">
            <v>Optimum Fund Step In World 2 Cap</v>
          </cell>
          <cell r="C1072" t="str">
            <v>EUR-KAP-RETAIL</v>
          </cell>
          <cell r="D1072">
            <v>20240328</v>
          </cell>
          <cell r="E1072">
            <v>930.12</v>
          </cell>
        </row>
        <row r="1073">
          <cell r="A1073" t="str">
            <v>BE6316995644</v>
          </cell>
          <cell r="B1073" t="str">
            <v>Optimum Fund Step In World 4 Cap</v>
          </cell>
          <cell r="C1073" t="str">
            <v>EUR-KAP-RETAIL</v>
          </cell>
          <cell r="D1073">
            <v>20240328</v>
          </cell>
          <cell r="E1073">
            <v>1020.02</v>
          </cell>
        </row>
        <row r="1074">
          <cell r="A1074" t="str">
            <v>BE6340030137</v>
          </cell>
          <cell r="B1074" t="str">
            <v>Optimum Fund World Fix 100-1 Cap</v>
          </cell>
          <cell r="C1074" t="str">
            <v>EUR-KAP-RETAIL</v>
          </cell>
          <cell r="D1074">
            <v>20240328</v>
          </cell>
          <cell r="E1074">
            <v>1080.31</v>
          </cell>
        </row>
        <row r="1075">
          <cell r="A1075" t="str">
            <v>BE6343954572</v>
          </cell>
          <cell r="B1075" t="str">
            <v>Optimum Fund World Fix 100-2 Cap</v>
          </cell>
          <cell r="C1075" t="str">
            <v>EUR-KAP-RETAIL</v>
          </cell>
          <cell r="D1075">
            <v>20240328</v>
          </cell>
          <cell r="E1075">
            <v>1060.71</v>
          </cell>
        </row>
        <row r="1076">
          <cell r="A1076" t="str">
            <v>BE6346439209</v>
          </cell>
          <cell r="B1076" t="str">
            <v>Optimum Fund World Fix 100-3 Cap</v>
          </cell>
          <cell r="C1076" t="str">
            <v>EUR-KAP-RETAIL</v>
          </cell>
          <cell r="D1076">
            <v>20240328</v>
          </cell>
          <cell r="E1076">
            <v>1026.1300000000001</v>
          </cell>
        </row>
        <row r="1077">
          <cell r="A1077" t="str">
            <v>BE6348365063</v>
          </cell>
          <cell r="B1077" t="str">
            <v>Optimum Fund World Fix 100-4 Cap</v>
          </cell>
        </row>
        <row r="1078">
          <cell r="A1078" t="str">
            <v>BE6307113769</v>
          </cell>
          <cell r="B1078" t="str">
            <v>Perspective America 100 Timing USD 1 Cap</v>
          </cell>
          <cell r="C1078" t="str">
            <v>USD-KAP-RETAIL</v>
          </cell>
          <cell r="D1078">
            <v>20240328</v>
          </cell>
          <cell r="E1078">
            <v>1143.31</v>
          </cell>
        </row>
        <row r="1079">
          <cell r="A1079" t="str">
            <v>BE6307616944</v>
          </cell>
          <cell r="B1079" t="str">
            <v>Perspective America 100 Timing USD 2 Cap</v>
          </cell>
          <cell r="C1079" t="str">
            <v>USD-KAP-RETAIL</v>
          </cell>
          <cell r="D1079">
            <v>20240328</v>
          </cell>
          <cell r="E1079">
            <v>1134.7</v>
          </cell>
        </row>
        <row r="1080">
          <cell r="A1080" t="str">
            <v>BE6308657681</v>
          </cell>
          <cell r="B1080" t="str">
            <v>Perspective America 100 Timing USD 3 Cap</v>
          </cell>
          <cell r="C1080" t="str">
            <v>USD-KAP-RETAIL</v>
          </cell>
          <cell r="D1080">
            <v>20240328</v>
          </cell>
          <cell r="E1080">
            <v>1149.44</v>
          </cell>
        </row>
        <row r="1081">
          <cell r="A1081" t="str">
            <v>BE6309481198</v>
          </cell>
          <cell r="B1081" t="str">
            <v>Perspective America 100 Timing USD 4 Cap</v>
          </cell>
          <cell r="C1081" t="str">
            <v>USD-KAP-RETAIL</v>
          </cell>
          <cell r="D1081">
            <v>20240328</v>
          </cell>
          <cell r="E1081">
            <v>1094.3499999999999</v>
          </cell>
        </row>
        <row r="1082">
          <cell r="A1082" t="str">
            <v>BE6310188477</v>
          </cell>
          <cell r="B1082" t="str">
            <v>Perspective America 100 Timing USD 5 Cap</v>
          </cell>
          <cell r="C1082" t="str">
            <v>USD-KAP-RETAIL</v>
          </cell>
          <cell r="D1082">
            <v>20240328</v>
          </cell>
          <cell r="E1082">
            <v>1038.06</v>
          </cell>
        </row>
        <row r="1083">
          <cell r="A1083" t="str">
            <v>BE6311001844</v>
          </cell>
          <cell r="B1083" t="str">
            <v>Perspective America 100 Timing USD 6 Cap</v>
          </cell>
          <cell r="C1083" t="str">
            <v>USD-KAP-RETAIL</v>
          </cell>
          <cell r="D1083">
            <v>20240328</v>
          </cell>
          <cell r="E1083">
            <v>1052.7</v>
          </cell>
        </row>
        <row r="1084">
          <cell r="A1084" t="str">
            <v>BE6308641529</v>
          </cell>
          <cell r="B1084" t="str">
            <v>Perspective Best In Class Leaders 90 2 Cap (Matured)</v>
          </cell>
          <cell r="C1084" t="str">
            <v>EUR-KAP-RETAIL</v>
          </cell>
          <cell r="D1084">
            <v>20240229</v>
          </cell>
          <cell r="E1084">
            <v>1085.3</v>
          </cell>
        </row>
        <row r="1085">
          <cell r="A1085" t="str">
            <v>BE6316756194</v>
          </cell>
          <cell r="B1085" t="str">
            <v>Perspective Buyback 100 Timing USD 1 Cap</v>
          </cell>
          <cell r="C1085" t="str">
            <v>USD-KAP-RETAIL</v>
          </cell>
          <cell r="D1085">
            <v>20240328</v>
          </cell>
          <cell r="E1085">
            <v>1136.48</v>
          </cell>
        </row>
        <row r="1086">
          <cell r="A1086" t="str">
            <v>BE6317200754</v>
          </cell>
          <cell r="B1086" t="str">
            <v>Perspective Buyback 100 Timing USD 2 Cap</v>
          </cell>
          <cell r="C1086" t="str">
            <v>USD-KAP-RETAIL</v>
          </cell>
          <cell r="D1086">
            <v>20240328</v>
          </cell>
          <cell r="E1086">
            <v>1268.8699999999999</v>
          </cell>
        </row>
        <row r="1087">
          <cell r="A1087" t="str">
            <v>BE6317569562</v>
          </cell>
          <cell r="B1087" t="str">
            <v>Perspective Buyback 100 Timing USD 3 Cap</v>
          </cell>
          <cell r="C1087" t="str">
            <v>USD-KAP-RETAIL</v>
          </cell>
          <cell r="D1087">
            <v>20240328</v>
          </cell>
          <cell r="E1087">
            <v>1275.2</v>
          </cell>
        </row>
        <row r="1088">
          <cell r="A1088" t="str">
            <v>BE6318382932</v>
          </cell>
          <cell r="B1088" t="str">
            <v>Perspective Buyback 100 Timing USD 4 Cap</v>
          </cell>
          <cell r="C1088" t="str">
            <v>USD-KAP-RETAIL</v>
          </cell>
          <cell r="D1088">
            <v>20240328</v>
          </cell>
          <cell r="E1088">
            <v>1459.64</v>
          </cell>
        </row>
        <row r="1089">
          <cell r="A1089" t="str">
            <v>BE6319051833</v>
          </cell>
          <cell r="B1089" t="str">
            <v>Perspective Buyback 100 Timing USD 5 Cap</v>
          </cell>
          <cell r="C1089" t="str">
            <v>USD-KAP-RETAIL</v>
          </cell>
          <cell r="D1089">
            <v>20240328</v>
          </cell>
          <cell r="E1089">
            <v>1380.37</v>
          </cell>
        </row>
        <row r="1090">
          <cell r="A1090" t="str">
            <v>BE6344850803</v>
          </cell>
          <cell r="B1090" t="str">
            <v>Perspective CSOB Svet Smart Start 1 Cap</v>
          </cell>
          <cell r="C1090" t="str">
            <v>EUR-KAP-RETAIL</v>
          </cell>
          <cell r="D1090">
            <v>20240328</v>
          </cell>
          <cell r="E1090">
            <v>10.59</v>
          </cell>
        </row>
        <row r="1091">
          <cell r="A1091" t="str">
            <v>BE6323026813</v>
          </cell>
          <cell r="B1091" t="str">
            <v>Perspective Euro Stocks Timing 1 Cap</v>
          </cell>
          <cell r="C1091" t="str">
            <v>EUR-KAP-RETAIL</v>
          </cell>
          <cell r="D1091">
            <v>20240328</v>
          </cell>
          <cell r="E1091">
            <v>1426.02</v>
          </cell>
        </row>
        <row r="1092">
          <cell r="A1092" t="str">
            <v>BE6302066731</v>
          </cell>
          <cell r="B1092" t="str">
            <v>Perspective European Quality 100 Absolute Performance USD 1 Cap</v>
          </cell>
          <cell r="C1092" t="str">
            <v>USD-KAP-RETAIL</v>
          </cell>
          <cell r="D1092">
            <v>20240328</v>
          </cell>
          <cell r="E1092">
            <v>983.15</v>
          </cell>
        </row>
        <row r="1093">
          <cell r="A1093" t="str">
            <v>BE6315512366</v>
          </cell>
          <cell r="B1093" t="str">
            <v>Perspective Global 100 Timing NOK 1 Cap</v>
          </cell>
          <cell r="C1093" t="str">
            <v>NOK-KAP-RETAIL</v>
          </cell>
          <cell r="D1093">
            <v>20240328</v>
          </cell>
          <cell r="E1093">
            <v>1225.22</v>
          </cell>
        </row>
        <row r="1094">
          <cell r="A1094" t="str">
            <v>BE6315902385</v>
          </cell>
          <cell r="B1094" t="str">
            <v>Perspective Global 100 Timing NOK 2 Cap</v>
          </cell>
          <cell r="C1094" t="str">
            <v>NOK-KAP-RETAIL</v>
          </cell>
          <cell r="D1094">
            <v>20240328</v>
          </cell>
          <cell r="E1094">
            <v>1187.82</v>
          </cell>
        </row>
        <row r="1095">
          <cell r="A1095" t="str">
            <v>BE6317210852</v>
          </cell>
          <cell r="B1095" t="str">
            <v>Perspective Global 100 Timing NOK 3 Cap</v>
          </cell>
          <cell r="C1095" t="str">
            <v>NOK-KAP-RETAIL</v>
          </cell>
          <cell r="D1095">
            <v>20240328</v>
          </cell>
          <cell r="E1095">
            <v>1174.5</v>
          </cell>
        </row>
        <row r="1096">
          <cell r="A1096" t="str">
            <v>BE6317571584</v>
          </cell>
          <cell r="B1096" t="str">
            <v>Perspective Global 100 Timing NOK 4 Cap</v>
          </cell>
          <cell r="C1096" t="str">
            <v>NOK-KAP-RETAIL</v>
          </cell>
          <cell r="D1096">
            <v>20240328</v>
          </cell>
          <cell r="E1096">
            <v>1151.1600000000001</v>
          </cell>
        </row>
        <row r="1097">
          <cell r="A1097" t="str">
            <v>BE6310966492</v>
          </cell>
          <cell r="B1097" t="str">
            <v>Perspective Global 90 1 Cap</v>
          </cell>
          <cell r="C1097" t="str">
            <v>EUR-KAP-RETAIL</v>
          </cell>
          <cell r="D1097">
            <v>20240328</v>
          </cell>
          <cell r="E1097">
            <v>1186.94</v>
          </cell>
        </row>
        <row r="1098">
          <cell r="A1098" t="str">
            <v>BE6311873838</v>
          </cell>
          <cell r="B1098" t="str">
            <v>Perspective Global 90 2 Cap</v>
          </cell>
          <cell r="C1098" t="str">
            <v>EUR-KAP-RETAIL</v>
          </cell>
          <cell r="D1098">
            <v>20240328</v>
          </cell>
          <cell r="E1098">
            <v>1117.21</v>
          </cell>
        </row>
        <row r="1099">
          <cell r="A1099" t="str">
            <v>BE6312404328</v>
          </cell>
          <cell r="B1099" t="str">
            <v>Perspective Global 90 3 Cap</v>
          </cell>
          <cell r="C1099" t="str">
            <v>EUR-KAP-RETAIL</v>
          </cell>
          <cell r="D1099">
            <v>20240328</v>
          </cell>
          <cell r="E1099">
            <v>1041.8499999999999</v>
          </cell>
        </row>
        <row r="1100">
          <cell r="A1100" t="str">
            <v>BE6313144931</v>
          </cell>
          <cell r="B1100" t="str">
            <v>Perspective Global 90 Long Term 1 Cap</v>
          </cell>
          <cell r="C1100" t="str">
            <v>EUR-KAP-RETAIL</v>
          </cell>
          <cell r="D1100">
            <v>20240328</v>
          </cell>
          <cell r="E1100">
            <v>1031.1099999999999</v>
          </cell>
        </row>
        <row r="1101">
          <cell r="A1101" t="str">
            <v>BE6313834077</v>
          </cell>
          <cell r="B1101" t="str">
            <v>Perspective Global 90 Long Term 2 Cap</v>
          </cell>
          <cell r="C1101" t="str">
            <v>EUR-KAP-RETAIL</v>
          </cell>
          <cell r="D1101">
            <v>20240328</v>
          </cell>
          <cell r="E1101">
            <v>991.83</v>
          </cell>
        </row>
        <row r="1102">
          <cell r="A1102" t="str">
            <v>BE6314394824</v>
          </cell>
          <cell r="B1102" t="str">
            <v>Perspective Global 90 Long Term 3 Cap</v>
          </cell>
          <cell r="C1102" t="str">
            <v>EUR-KAP-RETAIL</v>
          </cell>
          <cell r="D1102">
            <v>20240328</v>
          </cell>
          <cell r="E1102">
            <v>1021.82</v>
          </cell>
        </row>
        <row r="1103">
          <cell r="A1103" t="str">
            <v>BE6315025344</v>
          </cell>
          <cell r="B1103" t="str">
            <v>Perspective Global 90 Long Term 4 Cap</v>
          </cell>
          <cell r="C1103" t="str">
            <v>EUR-KAP-RETAIL</v>
          </cell>
          <cell r="D1103">
            <v>20240328</v>
          </cell>
          <cell r="E1103">
            <v>1006.25</v>
          </cell>
        </row>
        <row r="1104">
          <cell r="A1104" t="str">
            <v>BE6315515393</v>
          </cell>
          <cell r="B1104" t="str">
            <v>Perspective Global 90 Long Term 5 Cap</v>
          </cell>
          <cell r="C1104" t="str">
            <v>EUR-KAP-RETAIL</v>
          </cell>
          <cell r="D1104">
            <v>20240328</v>
          </cell>
          <cell r="E1104">
            <v>993.69</v>
          </cell>
        </row>
        <row r="1105">
          <cell r="A1105" t="str">
            <v>BE6315899359</v>
          </cell>
          <cell r="B1105" t="str">
            <v>Perspective Global 90 Long Term 6 Cap</v>
          </cell>
          <cell r="C1105" t="str">
            <v>EUR-KAP-RETAIL</v>
          </cell>
          <cell r="D1105">
            <v>20240328</v>
          </cell>
          <cell r="E1105">
            <v>982.35</v>
          </cell>
        </row>
        <row r="1106">
          <cell r="A1106" t="str">
            <v>BE6316733938</v>
          </cell>
          <cell r="B1106" t="str">
            <v>Perspective Global 90 Long Term 7 Cap</v>
          </cell>
          <cell r="C1106" t="str">
            <v>EUR-KAP-RETAIL</v>
          </cell>
          <cell r="D1106">
            <v>20240328</v>
          </cell>
          <cell r="E1106">
            <v>1004.47</v>
          </cell>
        </row>
        <row r="1107">
          <cell r="A1107" t="str">
            <v>BE6317285631</v>
          </cell>
          <cell r="B1107" t="str">
            <v>Perspective Global 90 Long Term 8 Cap</v>
          </cell>
          <cell r="C1107" t="str">
            <v>EUR-KAP-RETAIL</v>
          </cell>
          <cell r="D1107">
            <v>20240328</v>
          </cell>
          <cell r="E1107">
            <v>969.05</v>
          </cell>
        </row>
        <row r="1108">
          <cell r="A1108" t="str">
            <v>BE6318385968</v>
          </cell>
          <cell r="B1108" t="str">
            <v>Perspective Global 90 Long Term 9 Cap</v>
          </cell>
          <cell r="C1108" t="str">
            <v>EUR-KAP-RETAIL</v>
          </cell>
          <cell r="D1108">
            <v>20240328</v>
          </cell>
          <cell r="E1108">
            <v>1268.94</v>
          </cell>
        </row>
        <row r="1109">
          <cell r="A1109" t="str">
            <v>BE6325626628</v>
          </cell>
          <cell r="B1109" t="str">
            <v>Perspective Global 90 Smart Start USD 1 Cap</v>
          </cell>
          <cell r="C1109" t="str">
            <v>USD-KAP-RETAIL</v>
          </cell>
          <cell r="D1109">
            <v>20240328</v>
          </cell>
          <cell r="E1109">
            <v>951.98</v>
          </cell>
        </row>
        <row r="1110">
          <cell r="A1110" t="str">
            <v>BE6326215694</v>
          </cell>
          <cell r="B1110" t="str">
            <v>Perspective Global 90 Smart Start USD 2 Cap</v>
          </cell>
          <cell r="C1110" t="str">
            <v>USD-KAP-RETAIL</v>
          </cell>
          <cell r="D1110">
            <v>20240328</v>
          </cell>
          <cell r="E1110">
            <v>920.62</v>
          </cell>
        </row>
        <row r="1111">
          <cell r="A1111" t="str">
            <v>BE6326804760</v>
          </cell>
          <cell r="B1111" t="str">
            <v>Perspective Global 90 Smart Start USD 3 Cap</v>
          </cell>
          <cell r="C1111" t="str">
            <v>USD-KAP-RETAIL</v>
          </cell>
          <cell r="D1111">
            <v>20240328</v>
          </cell>
          <cell r="E1111">
            <v>921.47</v>
          </cell>
        </row>
        <row r="1112">
          <cell r="A1112" t="str">
            <v>BE6327837421</v>
          </cell>
          <cell r="B1112" t="str">
            <v>Perspective Global 95 USD 1 Cap</v>
          </cell>
          <cell r="C1112" t="str">
            <v>USD-KAP-RETAIL</v>
          </cell>
          <cell r="D1112">
            <v>20240328</v>
          </cell>
          <cell r="E1112">
            <v>950.79</v>
          </cell>
        </row>
        <row r="1113">
          <cell r="A1113" t="str">
            <v>BE6328278955</v>
          </cell>
          <cell r="B1113" t="str">
            <v>Perspective Global 95 USD 2 Cap</v>
          </cell>
          <cell r="C1113" t="str">
            <v>USD-KAP-RETAIL</v>
          </cell>
          <cell r="D1113">
            <v>20240328</v>
          </cell>
          <cell r="E1113">
            <v>1040.52</v>
          </cell>
        </row>
        <row r="1114">
          <cell r="A1114" t="str">
            <v>BE6328875131</v>
          </cell>
          <cell r="B1114" t="str">
            <v>Perspective Global 95 USD 3 Cap</v>
          </cell>
          <cell r="C1114" t="str">
            <v>USD-KAP-RETAIL</v>
          </cell>
          <cell r="D1114">
            <v>20240328</v>
          </cell>
          <cell r="E1114">
            <v>890.51</v>
          </cell>
        </row>
        <row r="1115">
          <cell r="A1115" t="str">
            <v>BE6329543027</v>
          </cell>
          <cell r="B1115" t="str">
            <v>Perspective Global 95 USD 4 Cap</v>
          </cell>
          <cell r="C1115" t="str">
            <v>USD-KAP-RETAIL</v>
          </cell>
          <cell r="D1115">
            <v>20240328</v>
          </cell>
          <cell r="E1115">
            <v>894.66</v>
          </cell>
        </row>
        <row r="1116">
          <cell r="A1116" t="str">
            <v>BE6345681389</v>
          </cell>
          <cell r="B1116" t="str">
            <v>Perspective Global Double Timing USD 100-1 Cap</v>
          </cell>
          <cell r="C1116" t="str">
            <v>USD-KAP-CLASSIC</v>
          </cell>
          <cell r="D1116">
            <v>20240328</v>
          </cell>
          <cell r="E1116">
            <v>1040.19</v>
          </cell>
        </row>
        <row r="1117">
          <cell r="A1117" t="str">
            <v>BE6338220468</v>
          </cell>
          <cell r="B1117" t="str">
            <v>Perspective Global Sel. Timing 100-1 Cap</v>
          </cell>
          <cell r="C1117" t="str">
            <v>EUR-KAP-CLASSIC</v>
          </cell>
          <cell r="D1117">
            <v>20240328</v>
          </cell>
          <cell r="E1117">
            <v>1053.54</v>
          </cell>
        </row>
        <row r="1118">
          <cell r="A1118" t="str">
            <v>BE6320721077</v>
          </cell>
          <cell r="B1118" t="str">
            <v>Perspective Global Timing USD 1 Cap</v>
          </cell>
          <cell r="C1118" t="str">
            <v>USD-KAP-RETAIL</v>
          </cell>
          <cell r="D1118">
            <v>20240328</v>
          </cell>
          <cell r="E1118">
            <v>1206.8699999999999</v>
          </cell>
        </row>
        <row r="1119">
          <cell r="A1119" t="str">
            <v>BE6327442354</v>
          </cell>
          <cell r="B1119" t="str">
            <v>Perspective Global Timing USD 10 Cap</v>
          </cell>
          <cell r="C1119" t="str">
            <v>USD-KAP-RETAIL</v>
          </cell>
          <cell r="D1119">
            <v>20240328</v>
          </cell>
          <cell r="E1119">
            <v>934.96</v>
          </cell>
        </row>
        <row r="1120">
          <cell r="A1120" t="str">
            <v>BE6321399063</v>
          </cell>
          <cell r="B1120" t="str">
            <v>Perspective Global Timing USD 2 Cap</v>
          </cell>
          <cell r="C1120" t="str">
            <v>USD-KAP-RETAIL</v>
          </cell>
          <cell r="D1120">
            <v>20240328</v>
          </cell>
          <cell r="E1120">
            <v>1067.28</v>
          </cell>
        </row>
        <row r="1121">
          <cell r="A1121" t="str">
            <v>BE6321850693</v>
          </cell>
          <cell r="B1121" t="str">
            <v>Perspective Global Timing USD 3 Cap</v>
          </cell>
          <cell r="C1121" t="str">
            <v>USD-KAP-RETAIL</v>
          </cell>
          <cell r="D1121">
            <v>20240328</v>
          </cell>
          <cell r="E1121">
            <v>1066.93</v>
          </cell>
        </row>
        <row r="1122">
          <cell r="A1122" t="str">
            <v>BE6322497379</v>
          </cell>
          <cell r="B1122" t="str">
            <v>Perspective Global Timing USD 4 Cap</v>
          </cell>
          <cell r="C1122" t="str">
            <v>USD-KAP-RETAIL</v>
          </cell>
          <cell r="D1122">
            <v>20240328</v>
          </cell>
          <cell r="E1122">
            <v>1056.71</v>
          </cell>
        </row>
        <row r="1123">
          <cell r="A1123" t="str">
            <v>BE6323119774</v>
          </cell>
          <cell r="B1123" t="str">
            <v>Perspective Global Timing USD 5 Cap</v>
          </cell>
          <cell r="C1123" t="str">
            <v>USD-KAP-RETAIL</v>
          </cell>
          <cell r="D1123">
            <v>20240328</v>
          </cell>
          <cell r="E1123">
            <v>1071.98</v>
          </cell>
        </row>
        <row r="1124">
          <cell r="A1124" t="str">
            <v>BE6323515856</v>
          </cell>
          <cell r="B1124" t="str">
            <v>Perspective Global Timing USD 6 Cap</v>
          </cell>
          <cell r="C1124" t="str">
            <v>USD-KAP-RETAIL</v>
          </cell>
          <cell r="D1124">
            <v>20240328</v>
          </cell>
          <cell r="E1124">
            <v>1079.1099999999999</v>
          </cell>
        </row>
        <row r="1125">
          <cell r="A1125" t="str">
            <v>BE6324234283</v>
          </cell>
          <cell r="B1125" t="str">
            <v>Perspective Global Timing USD 7 Cap</v>
          </cell>
          <cell r="C1125" t="str">
            <v>USD-KAP-RETAIL</v>
          </cell>
          <cell r="D1125">
            <v>20240328</v>
          </cell>
          <cell r="E1125">
            <v>1088.1199999999999</v>
          </cell>
        </row>
        <row r="1126">
          <cell r="A1126" t="str">
            <v>BE6324661675</v>
          </cell>
          <cell r="B1126" t="str">
            <v>Perspective Global Timing USD 8 Cap</v>
          </cell>
          <cell r="C1126" t="str">
            <v>USD-KAP-RETAIL</v>
          </cell>
          <cell r="D1126">
            <v>20240328</v>
          </cell>
          <cell r="E1126">
            <v>1080.8</v>
          </cell>
        </row>
        <row r="1127">
          <cell r="A1127" t="str">
            <v>BE6325131520</v>
          </cell>
          <cell r="B1127" t="str">
            <v>Perspective Global Timing USD 9 Cap</v>
          </cell>
          <cell r="C1127" t="str">
            <v>USD-KAP-RETAIL</v>
          </cell>
          <cell r="D1127">
            <v>20240328</v>
          </cell>
          <cell r="E1127">
            <v>1040</v>
          </cell>
        </row>
        <row r="1128">
          <cell r="A1128" t="str">
            <v>BE6311874844</v>
          </cell>
          <cell r="B1128" t="str">
            <v>Perspective North America 100 Timing USD 1 Cap</v>
          </cell>
          <cell r="C1128" t="str">
            <v>USD-KAP-RETAIL</v>
          </cell>
          <cell r="D1128">
            <v>20240328</v>
          </cell>
          <cell r="E1128">
            <v>1157.6500000000001</v>
          </cell>
        </row>
        <row r="1129">
          <cell r="A1129" t="str">
            <v>BE6312425539</v>
          </cell>
          <cell r="B1129" t="str">
            <v>Perspective North America 100 Timing USD 2 Cap</v>
          </cell>
          <cell r="C1129" t="str">
            <v>USD-KAP-RETAIL</v>
          </cell>
          <cell r="D1129">
            <v>20240328</v>
          </cell>
          <cell r="E1129">
            <v>1163.67</v>
          </cell>
        </row>
        <row r="1130">
          <cell r="A1130" t="str">
            <v>BE6313123729</v>
          </cell>
          <cell r="B1130" t="str">
            <v>Perspective North America 100 Timing USD 3 Cap</v>
          </cell>
          <cell r="C1130" t="str">
            <v>USD-KAP-RETAIL</v>
          </cell>
          <cell r="D1130">
            <v>20240328</v>
          </cell>
          <cell r="E1130">
            <v>958.12</v>
          </cell>
        </row>
        <row r="1131">
          <cell r="A1131" t="str">
            <v>BE6313867408</v>
          </cell>
          <cell r="B1131" t="str">
            <v>Perspective North America 100 Timing USD 4 Cap</v>
          </cell>
          <cell r="C1131" t="str">
            <v>USD-KAP-RETAIL</v>
          </cell>
          <cell r="D1131">
            <v>20240328</v>
          </cell>
          <cell r="E1131">
            <v>1163.93</v>
          </cell>
        </row>
        <row r="1132">
          <cell r="A1132" t="str">
            <v>BE6314390780</v>
          </cell>
          <cell r="B1132" t="str">
            <v>Perspective North America 100 Timing USD 5 Cap</v>
          </cell>
          <cell r="C1132" t="str">
            <v>USD-KAP-RETAIL</v>
          </cell>
          <cell r="D1132">
            <v>20240328</v>
          </cell>
          <cell r="E1132">
            <v>1180.18</v>
          </cell>
        </row>
        <row r="1133">
          <cell r="A1133" t="str">
            <v>BE6315027365</v>
          </cell>
          <cell r="B1133" t="str">
            <v>Perspective North America 100 Timing USD 6 Cap</v>
          </cell>
          <cell r="C1133" t="str">
            <v>USD-KAP-RETAIL</v>
          </cell>
          <cell r="D1133">
            <v>20240328</v>
          </cell>
          <cell r="E1133">
            <v>1158.5899999999999</v>
          </cell>
        </row>
        <row r="1134">
          <cell r="A1134" t="str">
            <v>BE6315514388</v>
          </cell>
          <cell r="B1134" t="str">
            <v>Perspective USA &amp; Canada 100 Timing USD 1 Cap</v>
          </cell>
          <cell r="C1134" t="str">
            <v>USD-KAP-RETAIL</v>
          </cell>
          <cell r="D1134">
            <v>20240328</v>
          </cell>
          <cell r="E1134">
            <v>1159.96</v>
          </cell>
        </row>
        <row r="1135">
          <cell r="A1135" t="str">
            <v>BE6315903391</v>
          </cell>
          <cell r="B1135" t="str">
            <v>Perspective USA &amp; Canada 100 Timing USD 2 Cap</v>
          </cell>
          <cell r="C1135" t="str">
            <v>USD-KAP-RETAIL</v>
          </cell>
          <cell r="D1135">
            <v>20240328</v>
          </cell>
          <cell r="E1135">
            <v>1142.5899999999999</v>
          </cell>
        </row>
        <row r="1136">
          <cell r="A1136" t="str">
            <v>BE6309482204</v>
          </cell>
          <cell r="B1136" t="str">
            <v>Perspective World 90 1 Cap</v>
          </cell>
          <cell r="C1136" t="str">
            <v>EUR-KAP-RETAIL</v>
          </cell>
          <cell r="D1136">
            <v>20240328</v>
          </cell>
          <cell r="E1136">
            <v>1149.9000000000001</v>
          </cell>
        </row>
        <row r="1137">
          <cell r="A1137" t="str">
            <v>BE6310083397</v>
          </cell>
          <cell r="B1137" t="str">
            <v>Perspective World 90 2 Cap</v>
          </cell>
          <cell r="C1137" t="str">
            <v>EUR-KAP-RETAIL</v>
          </cell>
          <cell r="D1137">
            <v>20240328</v>
          </cell>
          <cell r="E1137">
            <v>1110.8499999999999</v>
          </cell>
        </row>
        <row r="1138">
          <cell r="A1138" t="str">
            <v>BE6297577460</v>
          </cell>
          <cell r="B1138" t="str">
            <v>Perspective World Sel. 100 Absolute Performance USD 1 Cap</v>
          </cell>
          <cell r="C1138" t="str">
            <v>USD-KAP-RETAIL</v>
          </cell>
          <cell r="D1138">
            <v>20240328</v>
          </cell>
          <cell r="E1138">
            <v>965.15</v>
          </cell>
        </row>
        <row r="1139">
          <cell r="A1139" t="str">
            <v>BE6298150374</v>
          </cell>
          <cell r="B1139" t="str">
            <v>Perspective World Sel. 100 Absolute Performance USD 2 Cap</v>
          </cell>
          <cell r="C1139" t="str">
            <v>USD-KAP-RETAIL</v>
          </cell>
          <cell r="D1139">
            <v>20240328</v>
          </cell>
          <cell r="E1139">
            <v>975.88</v>
          </cell>
        </row>
        <row r="1140">
          <cell r="A1140" t="str">
            <v>BE6298772771</v>
          </cell>
          <cell r="B1140" t="str">
            <v>Perspective World Sel. 100 Absolute Performance USD 3 Cap</v>
          </cell>
          <cell r="C1140" t="str">
            <v>USD-KAP-RETAIL</v>
          </cell>
          <cell r="D1140">
            <v>20240328</v>
          </cell>
          <cell r="E1140">
            <v>978.33</v>
          </cell>
        </row>
        <row r="1141">
          <cell r="A1141" t="str">
            <v>BE6299842805</v>
          </cell>
          <cell r="B1141" t="str">
            <v>Perspective World Sel. 100 Absolute Performance USD 4 Cap</v>
          </cell>
          <cell r="C1141" t="str">
            <v>USD-KAP-RETAIL</v>
          </cell>
          <cell r="D1141">
            <v>20240328</v>
          </cell>
          <cell r="E1141">
            <v>970.38</v>
          </cell>
        </row>
        <row r="1142">
          <cell r="A1142" t="str">
            <v>BE6300566286</v>
          </cell>
          <cell r="B1142" t="str">
            <v>Perspective World Sel. 100 Absolute Performance USD 5 Cap</v>
          </cell>
          <cell r="C1142" t="str">
            <v>USD-KAP-RETAIL</v>
          </cell>
          <cell r="D1142">
            <v>20240328</v>
          </cell>
          <cell r="E1142">
            <v>1001.77</v>
          </cell>
        </row>
        <row r="1143">
          <cell r="A1143" t="str">
            <v>BE6301365514</v>
          </cell>
          <cell r="B1143" t="str">
            <v>Perspective World Sel. 100 Absolute Performance USD 6 Cap</v>
          </cell>
          <cell r="C1143" t="str">
            <v>USD-KAP-RETAIL</v>
          </cell>
          <cell r="D1143">
            <v>20240328</v>
          </cell>
          <cell r="E1143">
            <v>982.95</v>
          </cell>
        </row>
        <row r="1144">
          <cell r="A1144" t="str">
            <v>BE6339115683</v>
          </cell>
          <cell r="B1144" t="str">
            <v>Perspective World Timing 100-1 Cap</v>
          </cell>
          <cell r="C1144" t="str">
            <v>EUR-KAP-CLASSIC</v>
          </cell>
          <cell r="D1144">
            <v>20240328</v>
          </cell>
          <cell r="E1144">
            <v>1020.63</v>
          </cell>
        </row>
        <row r="1145">
          <cell r="A1145" t="str">
            <v>BE6348847037</v>
          </cell>
          <cell r="B1145" t="str">
            <v>Perspective World Timing 100-3 Cap</v>
          </cell>
          <cell r="C1145" t="str">
            <v>EUR-KAP-CLASSIC</v>
          </cell>
          <cell r="D1145">
            <v>20240318</v>
          </cell>
          <cell r="E1145">
            <v>1000</v>
          </cell>
        </row>
        <row r="1146">
          <cell r="A1146" t="str">
            <v>BE6296034554</v>
          </cell>
          <cell r="B1146" t="str">
            <v>Plato Inst. Index Fund Emerging Markets Equities Classic Shares Cap</v>
          </cell>
          <cell r="C1146" t="str">
            <v>EUR-KAP-RET.B</v>
          </cell>
          <cell r="D1146">
            <v>20240403</v>
          </cell>
          <cell r="E1146">
            <v>608.4</v>
          </cell>
        </row>
        <row r="1147">
          <cell r="A1147" t="str">
            <v>BE6296035569</v>
          </cell>
          <cell r="B1147" t="str">
            <v>Plato Inst. Index Fund Emerging Markets Equities Classic Shares Dis</v>
          </cell>
          <cell r="C1147" t="str">
            <v>EUR-DIV-RET.B</v>
          </cell>
          <cell r="D1147">
            <v>20240403</v>
          </cell>
          <cell r="E1147">
            <v>517.23</v>
          </cell>
        </row>
        <row r="1148">
          <cell r="A1148" t="str">
            <v>BE0948800439</v>
          </cell>
          <cell r="B1148" t="str">
            <v>Plato Inst. Index Fund Emerging Markets Equities Discr. Shares Cap</v>
          </cell>
          <cell r="C1148" t="str">
            <v>EUR-KAP-DISCR.SHARES</v>
          </cell>
          <cell r="D1148">
            <v>20240403</v>
          </cell>
          <cell r="E1148">
            <v>1030.17</v>
          </cell>
        </row>
        <row r="1149">
          <cell r="A1149" t="str">
            <v>BE6300983572</v>
          </cell>
          <cell r="B1149" t="str">
            <v>Plato Inst. Index Fund Emerging Markets Equities Discr. Shares Dis</v>
          </cell>
          <cell r="C1149" t="str">
            <v>EUR-DIV-DISCR.SHARES</v>
          </cell>
          <cell r="D1149">
            <v>20240403</v>
          </cell>
          <cell r="E1149">
            <v>934.49</v>
          </cell>
        </row>
        <row r="1150">
          <cell r="A1150" t="str">
            <v>BE6294793755</v>
          </cell>
          <cell r="B1150" t="str">
            <v>Plato Inst. Index Fund Emerging Markets Equities Inst. B Shares Cap</v>
          </cell>
          <cell r="C1150" t="str">
            <v>EUR-KAP-INSTIT.B</v>
          </cell>
          <cell r="D1150">
            <v>20240403</v>
          </cell>
          <cell r="E1150">
            <v>1100.32</v>
          </cell>
        </row>
        <row r="1151">
          <cell r="A1151" t="str">
            <v>BE0948801445</v>
          </cell>
          <cell r="B1151" t="str">
            <v>Plato Inst. Index Fund Emerging Markets Equities Inst. Shares Cap</v>
          </cell>
          <cell r="C1151" t="str">
            <v>EUR-KAP-INSTITUTIONEEL</v>
          </cell>
          <cell r="D1151">
            <v>20240403</v>
          </cell>
          <cell r="E1151">
            <v>1103.72</v>
          </cell>
        </row>
        <row r="1152">
          <cell r="A1152" t="str">
            <v>BE6348052810</v>
          </cell>
          <cell r="B1152" t="str">
            <v>Plato Inst. Index Fund Emerging Markets Equities Institutional Discr. Shares Cap</v>
          </cell>
          <cell r="C1152" t="str">
            <v>EUR-KAP-INST.DISCR</v>
          </cell>
          <cell r="D1152">
            <v>20240403</v>
          </cell>
          <cell r="E1152">
            <v>98.76</v>
          </cell>
        </row>
        <row r="1153">
          <cell r="A1153" t="str">
            <v>BE0059874256</v>
          </cell>
          <cell r="B1153" t="str">
            <v>Plato Inst. Index Fund Euro Equity Classic Shares Cap</v>
          </cell>
          <cell r="C1153" t="str">
            <v>EUR-KAP-RETAIL</v>
          </cell>
          <cell r="D1153">
            <v>20240404</v>
          </cell>
          <cell r="E1153">
            <v>7903.92</v>
          </cell>
        </row>
        <row r="1154">
          <cell r="A1154" t="str">
            <v>BE6294795776</v>
          </cell>
          <cell r="B1154" t="str">
            <v>Plato Inst. Index Fund Euro Equity Inst. B Shares Cap</v>
          </cell>
          <cell r="C1154" t="str">
            <v>EUR-KAP-INSTIT.B</v>
          </cell>
          <cell r="D1154">
            <v>20240404</v>
          </cell>
          <cell r="E1154">
            <v>7905.6</v>
          </cell>
        </row>
        <row r="1155">
          <cell r="A1155" t="str">
            <v>BE0947890068</v>
          </cell>
          <cell r="B1155" t="str">
            <v>Plato Inst. Index Fund Euro Equity Inst. Shares Cap</v>
          </cell>
          <cell r="C1155" t="str">
            <v>EUR-KAP-INSTITUTIONEEL</v>
          </cell>
          <cell r="D1155">
            <v>20240404</v>
          </cell>
          <cell r="E1155">
            <v>7990.75</v>
          </cell>
        </row>
        <row r="1156">
          <cell r="A1156" t="str">
            <v>BE6348054832</v>
          </cell>
          <cell r="B1156" t="str">
            <v>Plato Inst. Index Fund Euro Equity Institutional Discr. Shares Cap (empty)</v>
          </cell>
          <cell r="C1156" t="str">
            <v>EUR-KAP-INST.DISCR</v>
          </cell>
          <cell r="D1156">
            <v>20240215</v>
          </cell>
          <cell r="E1156">
            <v>100</v>
          </cell>
        </row>
        <row r="1157">
          <cell r="A1157" t="str">
            <v>BE6295945636</v>
          </cell>
          <cell r="B1157" t="str">
            <v>Plato Inst. Index Fund European Equity Classic Shares Cap</v>
          </cell>
          <cell r="C1157" t="str">
            <v>EUR-KAP-RET.B</v>
          </cell>
          <cell r="D1157">
            <v>20240404</v>
          </cell>
          <cell r="E1157">
            <v>226.71</v>
          </cell>
        </row>
        <row r="1158">
          <cell r="A1158" t="str">
            <v>BE6343403885</v>
          </cell>
          <cell r="B1158" t="str">
            <v>Plato Inst. Index Fund European Equity Classic Shares CSOB CZK Cap</v>
          </cell>
          <cell r="C1158" t="str">
            <v>CZK-KAP-RET.CSOB</v>
          </cell>
          <cell r="D1158">
            <v>20240404</v>
          </cell>
          <cell r="E1158">
            <v>1291.94</v>
          </cell>
        </row>
        <row r="1159">
          <cell r="A1159" t="str">
            <v>BE6295947657</v>
          </cell>
          <cell r="B1159" t="str">
            <v>Plato Inst. Index Fund European Equity Classic Shares Dis</v>
          </cell>
          <cell r="C1159" t="str">
            <v>EUR-DIV-RET.B</v>
          </cell>
          <cell r="D1159">
            <v>20240404</v>
          </cell>
          <cell r="E1159">
            <v>187.93</v>
          </cell>
        </row>
        <row r="1160">
          <cell r="A1160" t="str">
            <v>BE0059883349</v>
          </cell>
          <cell r="B1160" t="str">
            <v>Plato Inst. Index Fund European Equity Discr. Shares Cap</v>
          </cell>
          <cell r="C1160" t="str">
            <v>EUR-KAP-DISCR.SHARES</v>
          </cell>
          <cell r="D1160">
            <v>20240404</v>
          </cell>
          <cell r="E1160">
            <v>8996.4599999999991</v>
          </cell>
        </row>
        <row r="1161">
          <cell r="A1161" t="str">
            <v>BE6300991658</v>
          </cell>
          <cell r="B1161" t="str">
            <v>Plato Inst. Index Fund European Equity Discr. Shares Dis</v>
          </cell>
          <cell r="C1161" t="str">
            <v>EUR-DIV-DISCR.SHARES</v>
          </cell>
          <cell r="D1161">
            <v>20240404</v>
          </cell>
          <cell r="E1161">
            <v>3226.6</v>
          </cell>
        </row>
        <row r="1162">
          <cell r="A1162" t="str">
            <v>BE6294796782</v>
          </cell>
          <cell r="B1162" t="str">
            <v>Plato Inst. Index Fund European Equity Inst. B Shares Cap (empty)</v>
          </cell>
          <cell r="C1162" t="str">
            <v>EUR-KAP-INSTIT.B</v>
          </cell>
          <cell r="D1162">
            <v>20220622</v>
          </cell>
          <cell r="E1162">
            <v>6903.46</v>
          </cell>
        </row>
        <row r="1163">
          <cell r="A1163" t="str">
            <v>BE0947891074</v>
          </cell>
          <cell r="B1163" t="str">
            <v>Plato Inst. Index Fund European Equity Inst. Shares Cap</v>
          </cell>
          <cell r="C1163" t="str">
            <v>EUR-KAP-INSTITUTIONEEL</v>
          </cell>
          <cell r="D1163">
            <v>20240404</v>
          </cell>
          <cell r="E1163">
            <v>9128.9699999999993</v>
          </cell>
        </row>
        <row r="1164">
          <cell r="A1164" t="str">
            <v>BE6348056852</v>
          </cell>
          <cell r="B1164" t="str">
            <v>Plato Inst. Index Fund European Equity Institutional Discr. Shares Cap</v>
          </cell>
          <cell r="C1164" t="str">
            <v>EUR-KAP-INST.DISCR</v>
          </cell>
          <cell r="D1164">
            <v>20240404</v>
          </cell>
          <cell r="E1164">
            <v>100.37</v>
          </cell>
        </row>
        <row r="1165">
          <cell r="A1165" t="str">
            <v>BE6295944621</v>
          </cell>
          <cell r="B1165" t="str">
            <v>Plato Inst. Index Fund North American Equity Classic Shares Cap</v>
          </cell>
          <cell r="C1165" t="str">
            <v>USD-KAP-RET.B.</v>
          </cell>
          <cell r="D1165">
            <v>20240404</v>
          </cell>
          <cell r="E1165">
            <v>317.73</v>
          </cell>
        </row>
        <row r="1166">
          <cell r="A1166" t="str">
            <v>BE6295941593</v>
          </cell>
          <cell r="B1166" t="str">
            <v>Plato Inst. Index Fund North American Equity Classic Shares Dis</v>
          </cell>
          <cell r="C1166" t="str">
            <v>USD-DIV-RET.B</v>
          </cell>
          <cell r="D1166">
            <v>20240404</v>
          </cell>
          <cell r="E1166">
            <v>297.82</v>
          </cell>
        </row>
        <row r="1167">
          <cell r="A1167" t="str">
            <v>BE0940715098</v>
          </cell>
          <cell r="B1167" t="str">
            <v>Plato Inst. Index Fund North American Equity Discr. Shares Cap</v>
          </cell>
          <cell r="C1167" t="str">
            <v>USD-KAP-DISCR.SHARES</v>
          </cell>
          <cell r="D1167">
            <v>20240404</v>
          </cell>
          <cell r="E1167">
            <v>19032.32</v>
          </cell>
        </row>
        <row r="1168">
          <cell r="A1168" t="str">
            <v>BE6300995691</v>
          </cell>
          <cell r="B1168" t="str">
            <v>Plato Inst. Index Fund North American Equity Discr. Shares Dis</v>
          </cell>
          <cell r="C1168" t="str">
            <v>USD-DIV-DISCR.SHARES</v>
          </cell>
          <cell r="D1168">
            <v>20240404</v>
          </cell>
          <cell r="E1168">
            <v>4533.3599999999997</v>
          </cell>
        </row>
        <row r="1169">
          <cell r="A1169" t="str">
            <v>BE6242915922</v>
          </cell>
          <cell r="B1169" t="str">
            <v>Plato Inst. Index Fund North American Equity Discr. Shares EUR Cap</v>
          </cell>
          <cell r="C1169" t="str">
            <v>EUR-KAP-RETAIL</v>
          </cell>
          <cell r="D1169">
            <v>20240404</v>
          </cell>
          <cell r="E1169">
            <v>17504.25</v>
          </cell>
        </row>
        <row r="1170">
          <cell r="A1170" t="str">
            <v>BE6295943615</v>
          </cell>
          <cell r="B1170" t="str">
            <v>Plato Inst. Index Fund North American Equity Inst. B Shares Cap</v>
          </cell>
          <cell r="C1170" t="str">
            <v>USD-KAP-INSTIT.B</v>
          </cell>
          <cell r="D1170">
            <v>20240404</v>
          </cell>
          <cell r="E1170">
            <v>441.35</v>
          </cell>
        </row>
        <row r="1171">
          <cell r="A1171" t="str">
            <v>BE6294799810</v>
          </cell>
          <cell r="B1171" t="str">
            <v>Plato Inst. Index Fund North American Equity Inst. B Shares EUR Cap</v>
          </cell>
          <cell r="C1171" t="str">
            <v>EUR-KAP-INST.B EUR</v>
          </cell>
          <cell r="D1171">
            <v>20240404</v>
          </cell>
          <cell r="E1171">
            <v>17288.509999999998</v>
          </cell>
        </row>
        <row r="1172">
          <cell r="A1172" t="str">
            <v>BE0947892080</v>
          </cell>
          <cell r="B1172" t="str">
            <v>Plato Inst. Index Fund North American Equity Inst. Shares Cap</v>
          </cell>
          <cell r="C1172" t="str">
            <v>USD-KAP-INSTITUTIONEEL</v>
          </cell>
          <cell r="D1172">
            <v>20240404</v>
          </cell>
          <cell r="E1172">
            <v>19327.580000000002</v>
          </cell>
        </row>
        <row r="1173">
          <cell r="A1173" t="str">
            <v>BE6242917944</v>
          </cell>
          <cell r="B1173" t="str">
            <v>Plato Inst. Index Fund North American Equity Inst. Shares EUR Cap</v>
          </cell>
          <cell r="C1173" t="str">
            <v>EUR-KAP-INST.EUR</v>
          </cell>
          <cell r="D1173">
            <v>20240404</v>
          </cell>
          <cell r="E1173">
            <v>17752.37</v>
          </cell>
        </row>
        <row r="1174">
          <cell r="A1174" t="str">
            <v>BE6348058874</v>
          </cell>
          <cell r="B1174" t="str">
            <v>Plato Inst. Index Fund North American Equity Institutional Discr. Shares Cap</v>
          </cell>
          <cell r="C1174" t="str">
            <v>EUR-KAP-INST.DISCR</v>
          </cell>
          <cell r="D1174">
            <v>20240404</v>
          </cell>
          <cell r="E1174">
            <v>97.98</v>
          </cell>
        </row>
        <row r="1175">
          <cell r="A1175" t="str">
            <v>BE6295948663</v>
          </cell>
          <cell r="B1175" t="str">
            <v>Plato Inst. Index Fund Pacific Equity Classic Shares Cap</v>
          </cell>
          <cell r="C1175" t="str">
            <v>JPY-KAP-RET.B</v>
          </cell>
          <cell r="D1175">
            <v>20240404</v>
          </cell>
          <cell r="E1175">
            <v>37203</v>
          </cell>
        </row>
        <row r="1176">
          <cell r="A1176" t="str">
            <v>BE6295949679</v>
          </cell>
          <cell r="B1176" t="str">
            <v>Plato Inst. Index Fund Pacific Equity Classic Shares Dis</v>
          </cell>
          <cell r="C1176" t="str">
            <v>JPY-DIV-RET.B</v>
          </cell>
          <cell r="D1176">
            <v>20240404</v>
          </cell>
          <cell r="E1176">
            <v>31077</v>
          </cell>
        </row>
        <row r="1177">
          <cell r="A1177" t="str">
            <v>BE0940717110</v>
          </cell>
          <cell r="B1177" t="str">
            <v>Plato Inst. Index Fund Pacific Equity Discr. Shares Cap</v>
          </cell>
          <cell r="C1177" t="str">
            <v>JPY-KAP-DISCR.SHARES</v>
          </cell>
          <cell r="D1177">
            <v>20240404</v>
          </cell>
          <cell r="E1177">
            <v>1608844</v>
          </cell>
        </row>
        <row r="1178">
          <cell r="A1178" t="str">
            <v>BE6300996707</v>
          </cell>
          <cell r="B1178" t="str">
            <v>Plato Inst. Index Fund Pacific Equity Discr. Shares Dis</v>
          </cell>
          <cell r="C1178" t="str">
            <v>JPY-DIV-DISCR.SHARES</v>
          </cell>
          <cell r="D1178">
            <v>20240404</v>
          </cell>
          <cell r="E1178">
            <v>446477</v>
          </cell>
        </row>
        <row r="1179">
          <cell r="A1179" t="str">
            <v>BE6242921011</v>
          </cell>
          <cell r="B1179" t="str">
            <v>Plato Inst. Index Fund Pacific Equity Discr. Shares EUR Cap</v>
          </cell>
          <cell r="C1179" t="str">
            <v>EUR-KAP-RETAIL</v>
          </cell>
          <cell r="D1179">
            <v>20240404</v>
          </cell>
          <cell r="E1179">
            <v>9774.24</v>
          </cell>
        </row>
        <row r="1180">
          <cell r="A1180" t="str">
            <v>BE6294803851</v>
          </cell>
          <cell r="B1180" t="str">
            <v>Plato Inst. Index Fund Pacific Equity Inst. B Shares EUR Cap</v>
          </cell>
          <cell r="C1180" t="str">
            <v>EUR-KAP-INST.B EUR</v>
          </cell>
          <cell r="D1180">
            <v>20240404</v>
          </cell>
          <cell r="E1180">
            <v>9779.74</v>
          </cell>
        </row>
        <row r="1181">
          <cell r="A1181" t="str">
            <v>BE0947893096</v>
          </cell>
          <cell r="B1181" t="str">
            <v>Plato Inst. Index Fund Pacific Equity Inst. Shares Cap (empty)</v>
          </cell>
          <cell r="C1181" t="str">
            <v>JPY-KAP-INSTITUTIONEEL</v>
          </cell>
          <cell r="D1181">
            <v>20210629</v>
          </cell>
          <cell r="E1181">
            <v>1148253</v>
          </cell>
        </row>
        <row r="1182">
          <cell r="A1182" t="str">
            <v>BE6242923033</v>
          </cell>
          <cell r="B1182" t="str">
            <v>Plato Inst. Index Fund Pacific Equity Inst. Shares EUR Cap</v>
          </cell>
          <cell r="C1182" t="str">
            <v>EUR-KAP-INST.EUR</v>
          </cell>
          <cell r="D1182">
            <v>20240404</v>
          </cell>
          <cell r="E1182">
            <v>9878.57</v>
          </cell>
        </row>
        <row r="1183">
          <cell r="A1183" t="str">
            <v>BE6348068972</v>
          </cell>
          <cell r="B1183" t="str">
            <v>Plato Inst. Index Fund Pacific Equity Institutional Discr. Shares Cap</v>
          </cell>
          <cell r="C1183" t="str">
            <v>EUR-KAP-INST.DISCR</v>
          </cell>
          <cell r="D1183">
            <v>20240404</v>
          </cell>
          <cell r="E1183">
            <v>99.4</v>
          </cell>
        </row>
        <row r="1184">
          <cell r="A1184" t="str">
            <v>BE6295950685</v>
          </cell>
          <cell r="B1184" t="str">
            <v>Plato Inst. Index Fund World Classic Shares Cap</v>
          </cell>
          <cell r="C1184" t="str">
            <v>EUR-KAP-RET.B</v>
          </cell>
          <cell r="D1184">
            <v>20240404</v>
          </cell>
          <cell r="E1184">
            <v>605.48</v>
          </cell>
        </row>
        <row r="1185">
          <cell r="A1185" t="str">
            <v>BE6295951691</v>
          </cell>
          <cell r="B1185" t="str">
            <v>Plato Inst. Index Fund World Classic Shares Dis</v>
          </cell>
          <cell r="C1185" t="str">
            <v>EUR-DIV-RET.B</v>
          </cell>
          <cell r="D1185">
            <v>20240404</v>
          </cell>
          <cell r="E1185">
            <v>530.34</v>
          </cell>
        </row>
        <row r="1186">
          <cell r="A1186" t="str">
            <v>BE6330927284</v>
          </cell>
          <cell r="B1186" t="str">
            <v>Plato Inst. Index Fund World DBI-RDT Classic Shares Dis</v>
          </cell>
          <cell r="C1186" t="str">
            <v>EUR-DIV-RETAIL</v>
          </cell>
          <cell r="D1186">
            <v>20240404</v>
          </cell>
          <cell r="E1186">
            <v>1117.06</v>
          </cell>
        </row>
        <row r="1187">
          <cell r="A1187" t="str">
            <v>BE6330928290</v>
          </cell>
          <cell r="B1187" t="str">
            <v>Plato Inst. Index Fund World DBI-RDT Corp.Shares Dis (empty)</v>
          </cell>
          <cell r="C1187" t="str">
            <v>EUR-DIV-CORP.SHARES</v>
          </cell>
          <cell r="D1187">
            <v>20211108</v>
          </cell>
          <cell r="E1187">
            <v>1000</v>
          </cell>
        </row>
        <row r="1188">
          <cell r="A1188" t="str">
            <v>BE6330929306</v>
          </cell>
          <cell r="B1188" t="str">
            <v>Plato Inst. Index Fund World DBI-RDT Discr. Shares Dis</v>
          </cell>
          <cell r="C1188" t="str">
            <v>EUR-DIV-DISCR.SHARES</v>
          </cell>
          <cell r="D1188">
            <v>20240404</v>
          </cell>
          <cell r="E1188">
            <v>1115.6199999999999</v>
          </cell>
        </row>
        <row r="1189">
          <cell r="A1189" t="str">
            <v>BE6330930312</v>
          </cell>
          <cell r="B1189" t="str">
            <v>Plato Inst. Index Fund World DBI-RDT Inst. Shares Dis</v>
          </cell>
          <cell r="C1189" t="str">
            <v>EUR-DIV-INSTITUTIONEEL</v>
          </cell>
          <cell r="D1189">
            <v>20240404</v>
          </cell>
          <cell r="E1189">
            <v>1116.82</v>
          </cell>
        </row>
        <row r="1190">
          <cell r="A1190" t="str">
            <v>BE6348070028</v>
          </cell>
          <cell r="B1190" t="str">
            <v>Plato Inst. Index Fund World DBI-RDT Institutional Discr. Shares Dis (empty)</v>
          </cell>
          <cell r="C1190" t="str">
            <v>EUR-DIV-INST.DISCR</v>
          </cell>
          <cell r="D1190">
            <v>20240215</v>
          </cell>
          <cell r="E1190">
            <v>100</v>
          </cell>
        </row>
        <row r="1191">
          <cell r="A1191" t="str">
            <v>BE6295952707</v>
          </cell>
          <cell r="B1191" t="str">
            <v>Plato Inst. Index Fund World Discr. Shares Cap</v>
          </cell>
          <cell r="C1191" t="str">
            <v>EUR-KAP-DISCR.SHARES</v>
          </cell>
          <cell r="D1191">
            <v>20240404</v>
          </cell>
          <cell r="E1191">
            <v>1025.1500000000001</v>
          </cell>
        </row>
        <row r="1192">
          <cell r="A1192" t="str">
            <v>BE6295957755</v>
          </cell>
          <cell r="B1192" t="str">
            <v>Plato Inst. Index Fund World Inst. B Shares Cap</v>
          </cell>
          <cell r="C1192" t="str">
            <v>EUR-KAP-INSTIT.B</v>
          </cell>
          <cell r="D1192">
            <v>20240404</v>
          </cell>
          <cell r="E1192">
            <v>1231.0899999999999</v>
          </cell>
        </row>
        <row r="1193">
          <cell r="A1193" t="str">
            <v>BE6295956740</v>
          </cell>
          <cell r="B1193" t="str">
            <v>Plato Inst. Index Fund World Inst. Shares Cap</v>
          </cell>
          <cell r="C1193" t="str">
            <v>EUR-KAP-INSTITUTIONEEL</v>
          </cell>
          <cell r="D1193">
            <v>20240404</v>
          </cell>
          <cell r="E1193">
            <v>1032.3699999999999</v>
          </cell>
        </row>
        <row r="1194">
          <cell r="A1194" t="str">
            <v>BE6348069012</v>
          </cell>
          <cell r="B1194" t="str">
            <v>Plato Inst. Index Fund World Institutional Discr. Shares Cap (empty)</v>
          </cell>
          <cell r="C1194" t="str">
            <v>EUR-KAP-INST.DISCR</v>
          </cell>
          <cell r="D1194">
            <v>20240215</v>
          </cell>
          <cell r="E1194">
            <v>100</v>
          </cell>
        </row>
        <row r="1195">
          <cell r="A1195" t="str">
            <v>BE6337442444</v>
          </cell>
          <cell r="B1195" t="str">
            <v>Plato Inst. Index Fund World Resp. Invest. Classic Shares Cap</v>
          </cell>
          <cell r="C1195" t="str">
            <v>EUR-KAP-CS.EUR</v>
          </cell>
          <cell r="D1195">
            <v>20240404</v>
          </cell>
          <cell r="E1195">
            <v>1191.93</v>
          </cell>
        </row>
        <row r="1196">
          <cell r="A1196" t="str">
            <v>BE6337444465</v>
          </cell>
          <cell r="B1196" t="str">
            <v>Plato Inst. Index Fund World Resp. Invest. Classic Shares Dis</v>
          </cell>
          <cell r="C1196" t="str">
            <v>EUR-DIV-CS.EUR</v>
          </cell>
          <cell r="D1196">
            <v>20240404</v>
          </cell>
          <cell r="E1196">
            <v>1176.4000000000001</v>
          </cell>
        </row>
        <row r="1197">
          <cell r="A1197" t="str">
            <v>BE6337447492</v>
          </cell>
          <cell r="B1197" t="str">
            <v>Plato Inst. Index Fund World Resp. Invest. Discr. Shares Cap</v>
          </cell>
          <cell r="C1197" t="str">
            <v>EUR-KAP-DISCR.SHARES</v>
          </cell>
          <cell r="D1197">
            <v>20240404</v>
          </cell>
          <cell r="E1197">
            <v>1199.8800000000001</v>
          </cell>
        </row>
        <row r="1198">
          <cell r="A1198" t="str">
            <v>BE6348071034</v>
          </cell>
          <cell r="B1198" t="str">
            <v>Plato Inst. Index Fund World Resp. Invest. Institutional Discr. Shares Cap (empty)</v>
          </cell>
          <cell r="C1198" t="str">
            <v>EUR-KAP-INST.DISCR</v>
          </cell>
          <cell r="D1198">
            <v>20240215</v>
          </cell>
          <cell r="E1198">
            <v>100</v>
          </cell>
        </row>
        <row r="1199">
          <cell r="A1199" t="str">
            <v>BE0942006397</v>
          </cell>
          <cell r="B1199" t="str">
            <v>Pricos Def. Resp. Invest. Cap</v>
          </cell>
          <cell r="C1199" t="str">
            <v>EUR-KAP-RETAIL</v>
          </cell>
          <cell r="D1199">
            <v>20240404</v>
          </cell>
          <cell r="E1199">
            <v>96.26</v>
          </cell>
        </row>
        <row r="1200">
          <cell r="A1200" t="str">
            <v>BE0026535543</v>
          </cell>
          <cell r="B1200" t="str">
            <v>Pricos Resp. Invest. Cap</v>
          </cell>
          <cell r="C1200" t="str">
            <v>EUR-KAP-RETAIL</v>
          </cell>
          <cell r="D1200">
            <v>20240404</v>
          </cell>
          <cell r="E1200">
            <v>526.75</v>
          </cell>
        </row>
        <row r="1201">
          <cell r="A1201" t="str">
            <v>BE6302079866</v>
          </cell>
          <cell r="B1201" t="str">
            <v>Pricos SRI Cap</v>
          </cell>
          <cell r="C1201" t="str">
            <v>EUR-KAP-RETAIL</v>
          </cell>
          <cell r="D1201">
            <v>20240404</v>
          </cell>
          <cell r="E1201">
            <v>116.98</v>
          </cell>
        </row>
        <row r="1202">
          <cell r="A1202" t="str">
            <v>BE0146657904</v>
          </cell>
          <cell r="B1202" t="str">
            <v>Sivek Global High Cap</v>
          </cell>
          <cell r="C1202" t="str">
            <v>EUR-KAP-RETAIL</v>
          </cell>
          <cell r="D1202">
            <v>20240404</v>
          </cell>
          <cell r="E1202">
            <v>534.14</v>
          </cell>
        </row>
        <row r="1203">
          <cell r="A1203" t="str">
            <v>BE0146658910</v>
          </cell>
          <cell r="B1203" t="str">
            <v>Sivek Global High Dis</v>
          </cell>
          <cell r="C1203" t="str">
            <v>EUR-DIV-RETAIL</v>
          </cell>
          <cell r="D1203">
            <v>20240404</v>
          </cell>
          <cell r="E1203">
            <v>326.41000000000003</v>
          </cell>
        </row>
        <row r="1204">
          <cell r="A1204" t="str">
            <v>BE0146661948</v>
          </cell>
          <cell r="B1204" t="str">
            <v>Sivek Global Low Cap</v>
          </cell>
          <cell r="C1204" t="str">
            <v>EUR-KAP-RETAIL</v>
          </cell>
          <cell r="D1204">
            <v>20240404</v>
          </cell>
          <cell r="E1204">
            <v>367.65</v>
          </cell>
        </row>
        <row r="1205">
          <cell r="A1205" t="str">
            <v>BE0146662953</v>
          </cell>
          <cell r="B1205" t="str">
            <v>Sivek Global Low Dis</v>
          </cell>
          <cell r="C1205" t="str">
            <v>EUR-DIV-RETAIL</v>
          </cell>
          <cell r="D1205">
            <v>20240404</v>
          </cell>
          <cell r="E1205">
            <v>153.56</v>
          </cell>
        </row>
        <row r="1206">
          <cell r="A1206" t="str">
            <v>BE6307376481</v>
          </cell>
          <cell r="B1206" t="str">
            <v>Sivek Global Low Resp. Invest. Classic Shares Cap</v>
          </cell>
          <cell r="C1206" t="str">
            <v>EUR-KAP-RETAIL</v>
          </cell>
          <cell r="D1206">
            <v>20240404</v>
          </cell>
          <cell r="E1206">
            <v>1005.87</v>
          </cell>
        </row>
        <row r="1207">
          <cell r="A1207" t="str">
            <v>BE6307377497</v>
          </cell>
          <cell r="B1207" t="str">
            <v>Sivek Global Low Resp. Invest. Classic Shares Dis</v>
          </cell>
          <cell r="C1207" t="str">
            <v>EUR-DIV-RETAIL</v>
          </cell>
          <cell r="D1207">
            <v>20240404</v>
          </cell>
          <cell r="E1207">
            <v>948.88</v>
          </cell>
        </row>
        <row r="1208">
          <cell r="A1208" t="str">
            <v>BE6327336267</v>
          </cell>
          <cell r="B1208" t="str">
            <v>Sivek Global Low Resp. Invest. Inst. F Shares SK Cap</v>
          </cell>
          <cell r="C1208" t="str">
            <v>EUR-KAP-INST.FSK</v>
          </cell>
          <cell r="D1208">
            <v>20240404</v>
          </cell>
          <cell r="E1208">
            <v>936.21</v>
          </cell>
        </row>
        <row r="1209">
          <cell r="A1209" t="str">
            <v>BE0146659926</v>
          </cell>
          <cell r="B1209" t="str">
            <v>Sivek Global Medium Cap</v>
          </cell>
          <cell r="C1209" t="str">
            <v>EUR-KAP-RETAIL</v>
          </cell>
          <cell r="D1209">
            <v>20240404</v>
          </cell>
          <cell r="E1209">
            <v>456.41</v>
          </cell>
        </row>
        <row r="1210">
          <cell r="A1210" t="str">
            <v>BE0146660932</v>
          </cell>
          <cell r="B1210" t="str">
            <v>Sivek Global Medium Dis</v>
          </cell>
          <cell r="C1210" t="str">
            <v>EUR-DIV-RETAIL</v>
          </cell>
          <cell r="D1210">
            <v>20240404</v>
          </cell>
          <cell r="E1210">
            <v>244.4</v>
          </cell>
        </row>
        <row r="1211">
          <cell r="A1211" t="str">
            <v>BE6307378503</v>
          </cell>
          <cell r="B1211" t="str">
            <v>Sivek Global Medium Resp. Invest. Classic Shares Cap</v>
          </cell>
          <cell r="C1211" t="str">
            <v>EUR-KAP-RETAIL</v>
          </cell>
          <cell r="D1211">
            <v>20240404</v>
          </cell>
          <cell r="E1211">
            <v>1153.6400000000001</v>
          </cell>
        </row>
        <row r="1212">
          <cell r="A1212" t="str">
            <v>BE6307379519</v>
          </cell>
          <cell r="B1212" t="str">
            <v>Sivek Global Medium Resp. Invest. Classic Shares Dis</v>
          </cell>
          <cell r="C1212" t="str">
            <v>EUR-DIV-RETAIL</v>
          </cell>
          <cell r="D1212">
            <v>20240404</v>
          </cell>
          <cell r="E1212">
            <v>1075.8699999999999</v>
          </cell>
        </row>
        <row r="1213">
          <cell r="A1213" t="str">
            <v>BE6327337273</v>
          </cell>
          <cell r="B1213" t="str">
            <v>Sivek Global Medium Resp. Invest. Inst. F Shares SK Cap</v>
          </cell>
          <cell r="C1213" t="str">
            <v>EUR-KAP-INST.FSK</v>
          </cell>
          <cell r="D1213">
            <v>20240404</v>
          </cell>
          <cell r="E1213">
            <v>975.69</v>
          </cell>
        </row>
        <row r="1214">
          <cell r="A1214" t="str">
            <v>BE0948426573</v>
          </cell>
          <cell r="B1214" t="str">
            <v>Vladubel Zorgverzekering Shareclass A Cap (empty)</v>
          </cell>
          <cell r="C1214" t="str">
            <v>EUR-KAP-RETAIL</v>
          </cell>
          <cell r="D1214">
            <v>20150316</v>
          </cell>
          <cell r="E1214">
            <v>2250.65</v>
          </cell>
        </row>
        <row r="1215">
          <cell r="A1215" t="str">
            <v>BE6222626762</v>
          </cell>
          <cell r="B1215" t="str">
            <v>Vladubel Zorgverzekering Shareclass B Cap (empty)</v>
          </cell>
          <cell r="C1215" t="str">
            <v>EUR-KAP-INSTITUTIONEEL</v>
          </cell>
          <cell r="D1215">
            <v>20240205</v>
          </cell>
          <cell r="E1215">
            <v>3640.24</v>
          </cell>
        </row>
        <row r="1216">
          <cell r="A1216" t="str">
            <v>BE6277014476</v>
          </cell>
          <cell r="B1216" t="str">
            <v>Vladubel Zorgverzekering Shareclass C Dis</v>
          </cell>
          <cell r="C1216" t="str">
            <v>EUR-DIV-RETAIL</v>
          </cell>
          <cell r="D1216">
            <v>20240404</v>
          </cell>
          <cell r="E1216">
            <v>2496.19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G IM Equity</v>
          </cell>
          <cell r="C10">
            <v>0.27207182699999999</v>
          </cell>
        </row>
        <row r="11">
          <cell r="B11" t="str">
            <v>CS FP Equity</v>
          </cell>
          <cell r="C11">
            <v>9.5283468299999993E-2</v>
          </cell>
        </row>
        <row r="12">
          <cell r="B12" t="str">
            <v>BCE CT Equity</v>
          </cell>
          <cell r="C12">
            <v>3.6148062500000001E-2</v>
          </cell>
        </row>
        <row r="13">
          <cell r="B13" t="str">
            <v>BP/ LN Equity</v>
          </cell>
          <cell r="C13">
            <v>0.3534880433</v>
          </cell>
        </row>
        <row r="14">
          <cell r="B14" t="str">
            <v>BT/A LN Equity</v>
          </cell>
          <cell r="C14">
            <v>0.89261804870000006</v>
          </cell>
        </row>
        <row r="15">
          <cell r="B15" t="str">
            <v>CBA AT Equity</v>
          </cell>
          <cell r="C15">
            <v>2.6629031000000001E-2</v>
          </cell>
        </row>
        <row r="16">
          <cell r="B16" t="str">
            <v>DTE GY Equity</v>
          </cell>
          <cell r="C16">
            <v>0.1447911388</v>
          </cell>
        </row>
        <row r="17">
          <cell r="B17" t="str">
            <v>DLG LN Equity</v>
          </cell>
          <cell r="C17">
            <v>0.60917703860000005</v>
          </cell>
        </row>
        <row r="18">
          <cell r="B18" t="str">
            <v>ENG SQ Equity</v>
          </cell>
          <cell r="C18">
            <v>0.33654452899999998</v>
          </cell>
        </row>
        <row r="19">
          <cell r="B19" t="str">
            <v>FORTUM FH Equity</v>
          </cell>
          <cell r="C19">
            <v>0.23245002319999999</v>
          </cell>
        </row>
        <row r="20">
          <cell r="B20" t="str">
            <v>IAG LN Equity</v>
          </cell>
          <cell r="C20">
            <v>0.47270198409999997</v>
          </cell>
        </row>
        <row r="21">
          <cell r="B21" t="str">
            <v>LGEN LN Equity</v>
          </cell>
          <cell r="C21">
            <v>1.5041552288</v>
          </cell>
        </row>
        <row r="22">
          <cell r="B22" t="str">
            <v>MOWI NO Equity</v>
          </cell>
          <cell r="C22">
            <v>1.1843707E-2</v>
          </cell>
        </row>
        <row r="23">
          <cell r="B23" t="str">
            <v>MBG GY Equity</v>
          </cell>
          <cell r="C23">
            <v>4.1072383400000002E-2</v>
          </cell>
        </row>
        <row r="24">
          <cell r="B24" t="str">
            <v>NXT LN Equity</v>
          </cell>
          <cell r="C24">
            <v>3.4538179000000002E-2</v>
          </cell>
        </row>
        <row r="25">
          <cell r="B25" t="str">
            <v>NN NA Equity</v>
          </cell>
          <cell r="C25">
            <v>8.15394651E-2</v>
          </cell>
        </row>
        <row r="26">
          <cell r="B26" t="str">
            <v>NDA SS Equity</v>
          </cell>
          <cell r="C26">
            <v>2.1884711300000002E-2</v>
          </cell>
        </row>
        <row r="27">
          <cell r="B27" t="str">
            <v>PSM GY Equity</v>
          </cell>
          <cell r="C27">
            <v>0.26635887419999998</v>
          </cell>
        </row>
        <row r="28">
          <cell r="B28" t="str">
            <v>SAMPO FH Equity</v>
          </cell>
          <cell r="C28">
            <v>0.1101956868</v>
          </cell>
        </row>
        <row r="29">
          <cell r="B29" t="str">
            <v>SEBA SS Equity</v>
          </cell>
          <cell r="C29">
            <v>2.2027183400000001E-2</v>
          </cell>
        </row>
        <row r="30">
          <cell r="B30" t="str">
            <v>SRG IM Equity</v>
          </cell>
          <cell r="C30">
            <v>1.3640703860000001</v>
          </cell>
        </row>
        <row r="31">
          <cell r="B31" t="str">
            <v>SSE LN Equity</v>
          </cell>
          <cell r="C31">
            <v>0.22563176900000001</v>
          </cell>
        </row>
        <row r="32">
          <cell r="B32" t="str">
            <v>SREN SE Equity</v>
          </cell>
          <cell r="C32">
            <v>6.7318912100000003E-2</v>
          </cell>
        </row>
        <row r="33">
          <cell r="B33" t="str">
            <v>TEL NO Equity</v>
          </cell>
          <cell r="C33">
            <v>1.29728113E-2</v>
          </cell>
        </row>
        <row r="34">
          <cell r="B34" t="str">
            <v>TELIA SS Equity</v>
          </cell>
          <cell r="C34">
            <v>0.172350117</v>
          </cell>
        </row>
        <row r="35">
          <cell r="B35" t="str">
            <v>TLS AT Equity</v>
          </cell>
          <cell r="C35">
            <v>0.77853726219999997</v>
          </cell>
        </row>
        <row r="36">
          <cell r="B36" t="str">
            <v>TTE FP Equity</v>
          </cell>
          <cell r="C36">
            <v>7.6267492800000003E-2</v>
          </cell>
        </row>
        <row r="37">
          <cell r="B37" t="str">
            <v>VZ UN Equity</v>
          </cell>
          <cell r="C37">
            <v>3.9002320600000001E-2</v>
          </cell>
        </row>
        <row r="38">
          <cell r="B38" t="str">
            <v>WBC AT Equity</v>
          </cell>
          <cell r="C38">
            <v>6.7746087699999999E-2</v>
          </cell>
        </row>
        <row r="39">
          <cell r="B39" t="str">
            <v>ZURN SE Equity</v>
          </cell>
          <cell r="C39">
            <v>2.33512359E-2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ABT UN Equity</v>
          </cell>
          <cell r="C10">
            <v>2.8825504799999999E-2</v>
          </cell>
        </row>
        <row r="11">
          <cell r="B11" t="str">
            <v>ABBV UN Equity</v>
          </cell>
          <cell r="C11">
            <v>2.23468681E-2</v>
          </cell>
        </row>
        <row r="12">
          <cell r="B12" t="str">
            <v>AMGN UW Equity</v>
          </cell>
          <cell r="C12">
            <v>1.02365671E-2</v>
          </cell>
        </row>
        <row r="13">
          <cell r="B13" t="str">
            <v>4503 JT Equity</v>
          </cell>
          <cell r="C13">
            <v>3.3796343E-3</v>
          </cell>
        </row>
        <row r="14">
          <cell r="B14" t="str">
            <v>AZN LN Equity</v>
          </cell>
          <cell r="C14">
            <v>5.0688519100000003E-2</v>
          </cell>
        </row>
        <row r="15">
          <cell r="B15" t="str">
            <v>BAYN GY Equity</v>
          </cell>
          <cell r="C15">
            <v>6.3207129799999998E-2</v>
          </cell>
        </row>
        <row r="16">
          <cell r="B16" t="str">
            <v>BMY UN Equity</v>
          </cell>
          <cell r="C16">
            <v>4.0893941599999997E-2</v>
          </cell>
        </row>
        <row r="17">
          <cell r="B17" t="str">
            <v>CSL AT Equity</v>
          </cell>
          <cell r="C17">
            <v>1.05915935E-2</v>
          </cell>
        </row>
        <row r="18">
          <cell r="B18" t="str">
            <v>4568 JT Equity</v>
          </cell>
          <cell r="C18">
            <v>1.6741538999999999E-3</v>
          </cell>
        </row>
        <row r="19">
          <cell r="B19" t="str">
            <v>EL FP Equity</v>
          </cell>
          <cell r="C19">
            <v>1.80872711E-2</v>
          </cell>
        </row>
        <row r="20">
          <cell r="B20" t="str">
            <v>FME GY Equity</v>
          </cell>
          <cell r="C20">
            <v>3.4384348199999998E-2</v>
          </cell>
        </row>
        <row r="21">
          <cell r="B21" t="str">
            <v>FRE GY Equity</v>
          </cell>
          <cell r="C21">
            <v>4.6486762899999999E-2</v>
          </cell>
        </row>
        <row r="22">
          <cell r="B22" t="str">
            <v>GILD UW Equity</v>
          </cell>
          <cell r="C22">
            <v>3.0444180599999999E-2</v>
          </cell>
        </row>
        <row r="23">
          <cell r="B23" t="str">
            <v>GSK LN Equity</v>
          </cell>
          <cell r="C23">
            <v>0.51765927099999998</v>
          </cell>
        </row>
        <row r="24">
          <cell r="B24" t="str">
            <v>7741 JT Equity</v>
          </cell>
          <cell r="C24">
            <v>3.0986129999999997E-4</v>
          </cell>
        </row>
        <row r="25">
          <cell r="B25" t="str">
            <v>JNJ UN Equity</v>
          </cell>
          <cell r="C25">
            <v>1.5617191399999999E-2</v>
          </cell>
        </row>
        <row r="26">
          <cell r="B26" t="str">
            <v>LONN SE Equity</v>
          </cell>
          <cell r="C26">
            <v>7.4735623000000001E-3</v>
          </cell>
        </row>
        <row r="27">
          <cell r="B27" t="str">
            <v>MDT UN Equity</v>
          </cell>
          <cell r="C27">
            <v>2.3094954899999999E-2</v>
          </cell>
        </row>
        <row r="28">
          <cell r="B28" t="str">
            <v>MRK UN Equity</v>
          </cell>
          <cell r="C28">
            <v>2.7804369299999999E-2</v>
          </cell>
        </row>
        <row r="29">
          <cell r="B29" t="str">
            <v>MRK GY Equity</v>
          </cell>
          <cell r="C29">
            <v>2.2615633699999999E-2</v>
          </cell>
        </row>
        <row r="30">
          <cell r="B30" t="str">
            <v>NOVN SE Equity</v>
          </cell>
          <cell r="C30">
            <v>0.1134711296</v>
          </cell>
        </row>
        <row r="31">
          <cell r="B31" t="str">
            <v>NOVOB DC Equity</v>
          </cell>
          <cell r="C31">
            <v>2.5883685199999999E-2</v>
          </cell>
        </row>
        <row r="32">
          <cell r="B32" t="str">
            <v>4528 JT Equity</v>
          </cell>
          <cell r="C32">
            <v>1.3081585E-3</v>
          </cell>
        </row>
        <row r="33">
          <cell r="B33" t="str">
            <v>PFE UN Equity</v>
          </cell>
          <cell r="C33">
            <v>4.9139248199999999E-2</v>
          </cell>
        </row>
        <row r="34">
          <cell r="B34" t="str">
            <v>ROG SE Equity</v>
          </cell>
          <cell r="C34">
            <v>3.2017289300000001E-2</v>
          </cell>
        </row>
        <row r="35">
          <cell r="B35" t="str">
            <v>SAN FP Equity</v>
          </cell>
          <cell r="C35">
            <v>9.4324761899999998E-2</v>
          </cell>
        </row>
        <row r="36">
          <cell r="B36" t="str">
            <v>4507 JT Equity</v>
          </cell>
          <cell r="C36">
            <v>7.8448600000000004E-4</v>
          </cell>
        </row>
        <row r="37">
          <cell r="B37" t="str">
            <v>SN/ LN Equity</v>
          </cell>
          <cell r="C37">
            <v>0.27976919039999998</v>
          </cell>
        </row>
        <row r="38">
          <cell r="B38" t="str">
            <v>4502 JT Equity</v>
          </cell>
          <cell r="C38">
            <v>1.2256103999999999E-3</v>
          </cell>
        </row>
        <row r="39">
          <cell r="B39" t="str">
            <v>4543 JT Equity</v>
          </cell>
          <cell r="C39">
            <v>6.5707340000000002E-4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ABN NA Equity</v>
          </cell>
          <cell r="C10">
            <v>0.14187080299999999</v>
          </cell>
        </row>
        <row r="11">
          <cell r="B11" t="str">
            <v>ADEN SE Equity</v>
          </cell>
          <cell r="C11">
            <v>4.2124773599999998E-2</v>
          </cell>
        </row>
        <row r="12">
          <cell r="B12" t="str">
            <v>AENA SQ Equity</v>
          </cell>
          <cell r="C12">
            <v>2.89299534E-2</v>
          </cell>
        </row>
        <row r="13">
          <cell r="B13" t="str">
            <v>G IM Equity</v>
          </cell>
          <cell r="C13">
            <v>0.20379742540000001</v>
          </cell>
        </row>
        <row r="14">
          <cell r="B14" t="str">
            <v>ATL IM CASH</v>
          </cell>
          <cell r="C14">
            <v>0.1059714937</v>
          </cell>
        </row>
        <row r="15">
          <cell r="B15" t="str">
            <v>CS FP Equity</v>
          </cell>
          <cell r="C15">
            <v>0.104650676</v>
          </cell>
        </row>
        <row r="16">
          <cell r="B16" t="str">
            <v>BNP FP Equity</v>
          </cell>
          <cell r="C16">
            <v>4.9694996999999998E-2</v>
          </cell>
        </row>
        <row r="17">
          <cell r="B17" t="str">
            <v>DHL GY Equity</v>
          </cell>
          <cell r="C17">
            <v>8.1429909199999997E-2</v>
          </cell>
        </row>
        <row r="18">
          <cell r="B18" t="str">
            <v>ENEL IM Equity</v>
          </cell>
          <cell r="C18">
            <v>0.3881686204</v>
          </cell>
        </row>
        <row r="19">
          <cell r="B19" t="str">
            <v>ENI IM Equity</v>
          </cell>
          <cell r="C19">
            <v>0.14200914540000001</v>
          </cell>
        </row>
        <row r="20">
          <cell r="B20" t="str">
            <v>FORTUM FH Equity</v>
          </cell>
          <cell r="C20">
            <v>0.21073705279999999</v>
          </cell>
        </row>
        <row r="21">
          <cell r="B21" t="str">
            <v>LI FP Equity</v>
          </cell>
          <cell r="C21">
            <v>0.21975607080000001</v>
          </cell>
        </row>
        <row r="22">
          <cell r="B22" t="str">
            <v>MBG GY Equity</v>
          </cell>
          <cell r="C22">
            <v>5.0648863699999998E-2</v>
          </cell>
        </row>
        <row r="23">
          <cell r="B23" t="str">
            <v>MUV2 GY Equity</v>
          </cell>
          <cell r="C23">
            <v>1.0566077599999999E-2</v>
          </cell>
        </row>
        <row r="24">
          <cell r="B24" t="str">
            <v>NDA SS Equity</v>
          </cell>
          <cell r="C24">
            <v>3.8353362299999999E-2</v>
          </cell>
        </row>
        <row r="25">
          <cell r="B25" t="str">
            <v>ORA FP Equity</v>
          </cell>
          <cell r="C25">
            <v>0.14589538029999999</v>
          </cell>
        </row>
        <row r="26">
          <cell r="B26" t="str">
            <v>PSM GY Equity</v>
          </cell>
          <cell r="C26">
            <v>0.13033136749999999</v>
          </cell>
        </row>
        <row r="27">
          <cell r="B27" t="str">
            <v>REP SQ Equity</v>
          </cell>
          <cell r="C27">
            <v>0.27678787669999999</v>
          </cell>
        </row>
        <row r="28">
          <cell r="B28" t="str">
            <v>SAMPO FH Equity</v>
          </cell>
          <cell r="C28">
            <v>0.21320920530000001</v>
          </cell>
        </row>
        <row r="29">
          <cell r="B29" t="str">
            <v>SEBA SS Equity</v>
          </cell>
          <cell r="C29">
            <v>4.5557138499999997E-2</v>
          </cell>
        </row>
        <row r="30">
          <cell r="B30" t="str">
            <v>SRG IM Equity</v>
          </cell>
          <cell r="C30">
            <v>0.49732686809999999</v>
          </cell>
        </row>
        <row r="31">
          <cell r="B31" t="str">
            <v>GLE FP Equity</v>
          </cell>
          <cell r="C31">
            <v>7.0916956200000006E-2</v>
          </cell>
        </row>
        <row r="32">
          <cell r="B32" t="str">
            <v>SHBA SS Equity</v>
          </cell>
          <cell r="C32">
            <v>2.15686418E-2</v>
          </cell>
        </row>
        <row r="33">
          <cell r="B33" t="str">
            <v>SWEDA SS Equity</v>
          </cell>
          <cell r="C33">
            <v>9.9398951000000003E-3</v>
          </cell>
        </row>
        <row r="34">
          <cell r="B34" t="str">
            <v>SLHN SE Equity</v>
          </cell>
          <cell r="C34">
            <v>5.1110373000000002E-3</v>
          </cell>
        </row>
        <row r="35">
          <cell r="B35" t="str">
            <v>SREN SE Equity</v>
          </cell>
          <cell r="C35">
            <v>8.6935732799999998E-2</v>
          </cell>
        </row>
        <row r="36">
          <cell r="B36" t="str">
            <v>SCMN SE Equity</v>
          </cell>
          <cell r="C36">
            <v>1.6708786699999999E-2</v>
          </cell>
        </row>
        <row r="37">
          <cell r="B37" t="str">
            <v>TELIA SS Equity</v>
          </cell>
          <cell r="C37">
            <v>0.1173571177</v>
          </cell>
        </row>
        <row r="38">
          <cell r="B38" t="str">
            <v>TTE FP Equity</v>
          </cell>
          <cell r="C38">
            <v>4.33544862E-2</v>
          </cell>
        </row>
        <row r="39">
          <cell r="B39" t="str">
            <v>ZURN SE Equity</v>
          </cell>
          <cell r="C39">
            <v>2.3404326499999999E-2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HZ8259"/>
  <sheetViews>
    <sheetView tabSelected="1" zoomScale="70" zoomScaleNormal="70" workbookViewId="0">
      <pane xSplit="3" ySplit="2" topLeftCell="K557" activePane="bottomRight" state="frozen"/>
      <selection activeCell="A10824" sqref="A10824:D10824"/>
      <selection pane="topRight" activeCell="A10824" sqref="A10824:D10824"/>
      <selection pane="bottomLeft" activeCell="A10824" sqref="A10824:D10824"/>
      <selection pane="bottomRight" activeCell="B572" sqref="B572"/>
    </sheetView>
  </sheetViews>
  <sheetFormatPr defaultRowHeight="13.2" outlineLevelCol="1" x14ac:dyDescent="0.25"/>
  <cols>
    <col min="1" max="1" width="72" hidden="1" customWidth="1" outlineLevel="1"/>
    <col min="2" max="2" width="50.33203125" bestFit="1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style="1774" customWidth="1"/>
    <col min="15" max="15" width="19.6640625" customWidth="1"/>
    <col min="16" max="16" width="14.6640625" bestFit="1" customWidth="1"/>
    <col min="17" max="17" width="13.5546875" bestFit="1" customWidth="1"/>
    <col min="18" max="18" width="11.109375" style="459" customWidth="1"/>
    <col min="19" max="19" width="11.109375" customWidth="1"/>
    <col min="20" max="20" width="12.44140625" style="459" hidden="1" customWidth="1" outlineLevel="1"/>
    <col min="21" max="29" width="12.44140625" hidden="1" customWidth="1" outlineLevel="1"/>
    <col min="30" max="31" width="10.44140625" hidden="1" customWidth="1" outlineLevel="1"/>
    <col min="32" max="32" width="10.6640625" customWidth="1" collapsed="1"/>
    <col min="33" max="33" width="11.6640625" style="459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5.33203125" style="462" customWidth="1"/>
    <col min="42" max="42" width="15.6640625" style="1373" customWidth="1"/>
    <col min="43" max="43" width="13.44140625" style="1634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12" style="3435" customWidth="1"/>
    <col min="57" max="57" width="18.77734375" style="3743" bestFit="1" customWidth="1"/>
    <col min="58" max="58" width="10.109375" style="3743" bestFit="1" customWidth="1"/>
    <col min="59" max="59" width="11.21875" style="3744" bestFit="1" customWidth="1"/>
    <col min="60" max="60" width="9.109375" style="3761" customWidth="1"/>
    <col min="61" max="61" width="8.88671875" style="3761"/>
    <col min="62" max="70" width="8.88671875" style="1638"/>
  </cols>
  <sheetData>
    <row r="1" spans="1:234" ht="64.5" customHeight="1" x14ac:dyDescent="0.25">
      <c r="A1" s="3784" t="s">
        <v>914</v>
      </c>
      <c r="B1" s="3786" t="s">
        <v>8977</v>
      </c>
      <c r="C1" s="3786" t="s">
        <v>2827</v>
      </c>
      <c r="D1" s="3786" t="s">
        <v>4277</v>
      </c>
      <c r="E1" s="3786" t="s">
        <v>2828</v>
      </c>
      <c r="F1" s="3786" t="s">
        <v>111</v>
      </c>
      <c r="G1" s="3786" t="s">
        <v>1603</v>
      </c>
      <c r="H1" s="3786"/>
      <c r="I1" s="3786" t="s">
        <v>1604</v>
      </c>
      <c r="J1" s="3786" t="s">
        <v>2459</v>
      </c>
      <c r="K1" s="3786" t="s">
        <v>1605</v>
      </c>
      <c r="L1" s="3786"/>
      <c r="M1" s="3786" t="s">
        <v>1606</v>
      </c>
      <c r="N1" s="3788" t="s">
        <v>264</v>
      </c>
      <c r="O1" s="3786" t="s">
        <v>908</v>
      </c>
      <c r="P1" s="3786" t="s">
        <v>9891</v>
      </c>
      <c r="Q1" s="3792" t="s">
        <v>9195</v>
      </c>
      <c r="R1" s="3786" t="s">
        <v>8579</v>
      </c>
      <c r="S1" s="3790" t="s">
        <v>2069</v>
      </c>
      <c r="T1" s="3786" t="s">
        <v>3402</v>
      </c>
      <c r="U1" s="3786"/>
      <c r="V1" s="3786"/>
      <c r="W1" s="3786"/>
      <c r="X1" s="3786"/>
      <c r="Y1" s="3786"/>
      <c r="Z1" s="3786"/>
      <c r="AA1" s="3786"/>
      <c r="AB1" s="3786"/>
      <c r="AC1" s="3786"/>
      <c r="AD1" s="3786"/>
      <c r="AE1" s="3786"/>
      <c r="AF1" s="3792" t="s">
        <v>2074</v>
      </c>
      <c r="AG1" s="3786" t="s">
        <v>4216</v>
      </c>
      <c r="AH1" s="3786" t="s">
        <v>1607</v>
      </c>
      <c r="AI1" s="3786"/>
      <c r="AJ1" s="3786"/>
      <c r="AK1" s="3786"/>
      <c r="AL1" s="3786"/>
      <c r="AM1" s="3786"/>
      <c r="AN1" s="3792" t="s">
        <v>89</v>
      </c>
      <c r="AO1" s="467" t="s">
        <v>5678</v>
      </c>
      <c r="AP1" s="3797" t="s">
        <v>2255</v>
      </c>
      <c r="AQ1" s="3795" t="s">
        <v>90</v>
      </c>
      <c r="AR1" s="3786" t="s">
        <v>3657</v>
      </c>
      <c r="AS1" s="3786"/>
      <c r="AT1" s="3786"/>
      <c r="AU1" s="3786"/>
      <c r="AV1" s="3786" t="s">
        <v>3661</v>
      </c>
      <c r="AW1" s="3786"/>
      <c r="AX1" s="3786"/>
      <c r="AY1" s="3786"/>
      <c r="AZ1" s="3793" t="s">
        <v>1833</v>
      </c>
      <c r="BA1" s="3786" t="s">
        <v>758</v>
      </c>
      <c r="BB1" s="3786" t="s">
        <v>312</v>
      </c>
      <c r="BC1" s="3786" t="s">
        <v>313</v>
      </c>
    </row>
    <row r="2" spans="1:234" ht="51.75" customHeight="1" x14ac:dyDescent="0.25">
      <c r="A2" s="3785"/>
      <c r="B2" s="3786"/>
      <c r="C2" s="3786"/>
      <c r="D2" s="3786"/>
      <c r="E2" s="3786"/>
      <c r="F2" s="3786"/>
      <c r="G2" s="35" t="s">
        <v>1608</v>
      </c>
      <c r="H2" s="35" t="s">
        <v>1609</v>
      </c>
      <c r="I2" s="3786"/>
      <c r="J2" s="3786"/>
      <c r="K2" s="35" t="s">
        <v>824</v>
      </c>
      <c r="L2" s="35" t="s">
        <v>825</v>
      </c>
      <c r="M2" s="3786"/>
      <c r="N2" s="3788"/>
      <c r="O2" s="3786"/>
      <c r="P2" s="3786"/>
      <c r="Q2" s="3792"/>
      <c r="R2" s="3786"/>
      <c r="S2" s="3791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3423</v>
      </c>
      <c r="Y2" s="35" t="s">
        <v>2520</v>
      </c>
      <c r="Z2" s="35" t="s">
        <v>2521</v>
      </c>
      <c r="AA2" s="35" t="s">
        <v>2457</v>
      </c>
      <c r="AB2" s="35" t="s">
        <v>3464</v>
      </c>
      <c r="AC2" s="35" t="s">
        <v>3465</v>
      </c>
      <c r="AD2" s="35" t="s">
        <v>3466</v>
      </c>
      <c r="AE2" s="35" t="s">
        <v>4389</v>
      </c>
      <c r="AF2" s="3792"/>
      <c r="AG2" s="3786"/>
      <c r="AH2" s="204" t="s">
        <v>8334</v>
      </c>
      <c r="AI2" s="35" t="s">
        <v>760</v>
      </c>
      <c r="AJ2" s="35" t="s">
        <v>761</v>
      </c>
      <c r="AK2" s="35" t="s">
        <v>3226</v>
      </c>
      <c r="AL2" s="35" t="s">
        <v>904</v>
      </c>
      <c r="AM2" s="35" t="s">
        <v>5145</v>
      </c>
      <c r="AN2" s="3792"/>
      <c r="AO2" s="468">
        <f>+indexy!B1</f>
        <v>45379</v>
      </c>
      <c r="AP2" s="3798"/>
      <c r="AQ2" s="3796"/>
      <c r="AR2" s="35" t="s">
        <v>215</v>
      </c>
      <c r="AS2" s="35" t="s">
        <v>216</v>
      </c>
      <c r="AT2" s="35" t="s">
        <v>2733</v>
      </c>
      <c r="AU2" s="35" t="s">
        <v>2732</v>
      </c>
      <c r="AV2" s="35" t="s">
        <v>3463</v>
      </c>
      <c r="AW2" s="35" t="s">
        <v>216</v>
      </c>
      <c r="AX2" s="35" t="s">
        <v>2733</v>
      </c>
      <c r="AY2" s="35" t="s">
        <v>2732</v>
      </c>
      <c r="AZ2" s="3794"/>
      <c r="BA2" s="3786"/>
      <c r="BB2" s="3786"/>
      <c r="BC2" s="3786"/>
      <c r="BD2" s="3435" t="s">
        <v>6671</v>
      </c>
    </row>
    <row r="3" spans="1:234" s="205" customFormat="1" ht="15.9" hidden="1" customHeight="1" x14ac:dyDescent="0.25">
      <c r="A3" s="522" t="s">
        <v>2783</v>
      </c>
      <c r="B3" s="523" t="s">
        <v>3832</v>
      </c>
      <c r="C3" s="524" t="s">
        <v>3227</v>
      </c>
      <c r="D3" s="530" t="s">
        <v>781</v>
      </c>
      <c r="E3" s="524" t="s">
        <v>3228</v>
      </c>
      <c r="F3" s="543">
        <v>36616</v>
      </c>
      <c r="G3" s="544">
        <v>36578</v>
      </c>
      <c r="H3" s="545">
        <v>36616</v>
      </c>
      <c r="I3" s="546">
        <v>38198</v>
      </c>
      <c r="J3" s="547">
        <v>10000</v>
      </c>
      <c r="K3" s="548">
        <v>0</v>
      </c>
      <c r="L3" s="549">
        <v>0.1225</v>
      </c>
      <c r="M3" s="550">
        <v>0</v>
      </c>
      <c r="N3" s="560" t="s">
        <v>3229</v>
      </c>
      <c r="O3" s="552" t="s">
        <v>3229</v>
      </c>
      <c r="P3" s="552" t="s">
        <v>3229</v>
      </c>
      <c r="Q3" s="552" t="s">
        <v>3229</v>
      </c>
      <c r="R3" s="552" t="s">
        <v>3229</v>
      </c>
      <c r="S3" s="553"/>
      <c r="T3" s="554">
        <v>36982</v>
      </c>
      <c r="U3" s="555">
        <v>37347</v>
      </c>
      <c r="V3" s="555">
        <v>37712</v>
      </c>
      <c r="W3" s="555">
        <v>38169</v>
      </c>
      <c r="X3" s="555" t="s">
        <v>3229</v>
      </c>
      <c r="Y3" s="555" t="s">
        <v>3229</v>
      </c>
      <c r="Z3" s="555" t="s">
        <v>3229</v>
      </c>
      <c r="AA3" s="555" t="s">
        <v>3229</v>
      </c>
      <c r="AB3" s="555" t="s">
        <v>3229</v>
      </c>
      <c r="AC3" s="555" t="s">
        <v>3229</v>
      </c>
      <c r="AD3" s="555" t="s">
        <v>3229</v>
      </c>
      <c r="AE3" s="556" t="s">
        <v>3229</v>
      </c>
      <c r="AF3" s="3782" t="s">
        <v>781</v>
      </c>
      <c r="AG3" s="3783"/>
      <c r="AH3" s="622">
        <v>0.6</v>
      </c>
      <c r="AI3" s="622">
        <v>0.4</v>
      </c>
      <c r="AJ3" s="622" t="s">
        <v>3229</v>
      </c>
      <c r="AK3" s="528" t="s">
        <v>3229</v>
      </c>
      <c r="AL3" s="528" t="s">
        <v>3229</v>
      </c>
      <c r="AM3" s="623" t="s">
        <v>3229</v>
      </c>
      <c r="AN3" s="624">
        <v>0.1225</v>
      </c>
      <c r="AO3" s="625">
        <v>11241.76</v>
      </c>
      <c r="AP3" s="1365"/>
      <c r="AQ3" s="560">
        <v>-0.37256861603278002</v>
      </c>
      <c r="AR3" s="626">
        <f t="shared" ref="AR3:AR15" si="0">AO3/J3-1</f>
        <v>0.12417600000000006</v>
      </c>
      <c r="AS3" s="627">
        <f t="shared" ref="AS3:AS9" si="1">POWER(1+AR3,1/(I3-F3)*365)-1</f>
        <v>2.7373886356090615E-2</v>
      </c>
      <c r="AT3" s="628" t="s">
        <v>3229</v>
      </c>
      <c r="AU3" s="629" t="s">
        <v>3229</v>
      </c>
      <c r="AV3" s="558">
        <f t="shared" ref="AV3:AV14" si="2">AO3/J3-1</f>
        <v>0.12417600000000006</v>
      </c>
      <c r="AW3" s="558">
        <f t="shared" ref="AW3:AW9" si="3">POWER(1+AV3,1/(I3-F3)*365)-1</f>
        <v>2.7373886356090615E-2</v>
      </c>
      <c r="AX3" s="553" t="s">
        <v>3229</v>
      </c>
      <c r="AY3" s="552" t="s">
        <v>3229</v>
      </c>
      <c r="AZ3" s="552"/>
      <c r="BA3" s="630" t="s">
        <v>2867</v>
      </c>
      <c r="BB3" s="630"/>
      <c r="BC3" s="631"/>
      <c r="BD3" s="3691"/>
      <c r="BE3" s="3743"/>
      <c r="BF3" s="3743"/>
      <c r="BG3" s="3708"/>
      <c r="BH3" s="3762"/>
      <c r="BI3" s="3762"/>
      <c r="BJ3" s="39"/>
      <c r="BK3" s="39"/>
      <c r="BL3" s="39"/>
      <c r="BM3" s="39"/>
      <c r="BN3" s="39"/>
      <c r="BO3" s="39"/>
      <c r="BP3" s="39"/>
      <c r="BQ3" s="39"/>
      <c r="BR3" s="39"/>
      <c r="BS3" s="506"/>
      <c r="BT3" s="506"/>
      <c r="BU3" s="506"/>
      <c r="BV3" s="506"/>
      <c r="BW3" s="506"/>
      <c r="BX3" s="506"/>
      <c r="BY3" s="506"/>
      <c r="BZ3" s="506"/>
      <c r="CA3" s="506"/>
      <c r="CB3" s="506"/>
      <c r="CC3" s="506"/>
      <c r="CD3" s="506"/>
      <c r="CE3" s="506"/>
      <c r="CF3" s="506"/>
      <c r="CG3" s="506"/>
      <c r="CH3" s="506"/>
      <c r="CI3" s="506"/>
      <c r="CJ3" s="506"/>
      <c r="CK3" s="506"/>
      <c r="CL3" s="506"/>
      <c r="CM3" s="506"/>
      <c r="CN3" s="506"/>
      <c r="CO3" s="506"/>
      <c r="CP3" s="506"/>
      <c r="CQ3" s="506"/>
      <c r="CR3" s="506"/>
      <c r="CS3" s="506"/>
      <c r="CT3" s="506"/>
      <c r="CU3" s="506"/>
      <c r="CV3" s="506"/>
      <c r="CW3" s="506"/>
      <c r="CX3" s="506"/>
      <c r="CY3" s="506"/>
      <c r="CZ3" s="506"/>
      <c r="DA3" s="506"/>
      <c r="DB3" s="506"/>
      <c r="DC3" s="506"/>
      <c r="DD3" s="506"/>
      <c r="DE3" s="506"/>
      <c r="DF3" s="506"/>
      <c r="DG3" s="506"/>
      <c r="DH3" s="506"/>
      <c r="DI3" s="506"/>
      <c r="DJ3" s="506"/>
      <c r="DK3" s="506"/>
      <c r="DL3" s="506"/>
      <c r="DM3" s="506"/>
      <c r="DN3" s="506"/>
      <c r="DO3" s="506"/>
      <c r="DP3" s="506"/>
      <c r="DQ3" s="506"/>
      <c r="DR3" s="506"/>
      <c r="DS3" s="506"/>
      <c r="DT3" s="506"/>
      <c r="DU3" s="506"/>
      <c r="DV3" s="506"/>
      <c r="DW3" s="506"/>
      <c r="DX3" s="506"/>
      <c r="DY3" s="506"/>
      <c r="DZ3" s="506"/>
      <c r="EA3" s="506"/>
      <c r="EB3" s="506"/>
      <c r="EC3" s="506"/>
      <c r="ED3" s="506"/>
      <c r="EE3" s="506"/>
      <c r="EF3" s="506"/>
      <c r="EG3" s="506"/>
      <c r="EH3" s="506"/>
      <c r="EI3" s="506"/>
      <c r="EJ3" s="506"/>
      <c r="EK3" s="506"/>
      <c r="EL3" s="506"/>
      <c r="EM3" s="506"/>
      <c r="EN3" s="506"/>
      <c r="EO3" s="506"/>
      <c r="EP3" s="506"/>
      <c r="EQ3" s="506"/>
      <c r="ER3" s="506"/>
      <c r="ES3" s="506"/>
      <c r="ET3" s="506"/>
      <c r="EU3" s="506"/>
      <c r="EV3" s="506"/>
      <c r="EW3" s="506"/>
      <c r="EX3" s="506"/>
      <c r="EY3" s="506"/>
      <c r="EZ3" s="506"/>
      <c r="FA3" s="506"/>
      <c r="FB3" s="506"/>
      <c r="FC3" s="506"/>
      <c r="FD3" s="506"/>
      <c r="FE3" s="506"/>
      <c r="FF3" s="506"/>
      <c r="FG3" s="506"/>
      <c r="FH3" s="506"/>
      <c r="FI3" s="506"/>
      <c r="FJ3" s="506"/>
      <c r="FK3" s="506"/>
      <c r="FL3" s="506"/>
      <c r="FM3" s="506"/>
      <c r="FN3" s="506"/>
      <c r="FO3" s="506"/>
      <c r="FP3" s="506"/>
      <c r="FQ3" s="506"/>
      <c r="FR3" s="506"/>
      <c r="FS3" s="506"/>
      <c r="FT3" s="506"/>
      <c r="FU3" s="506"/>
      <c r="FV3" s="506"/>
      <c r="FW3" s="506"/>
      <c r="FX3" s="506"/>
      <c r="FY3" s="506"/>
      <c r="FZ3" s="506"/>
      <c r="GA3" s="506"/>
      <c r="GB3" s="506"/>
      <c r="GC3" s="506"/>
      <c r="GD3" s="506"/>
      <c r="GE3" s="506"/>
      <c r="GF3" s="506"/>
      <c r="GG3" s="506"/>
      <c r="GH3" s="506"/>
      <c r="GI3" s="506"/>
      <c r="GJ3" s="506"/>
      <c r="GK3" s="506"/>
      <c r="GL3" s="506"/>
      <c r="GM3" s="506"/>
      <c r="GN3" s="506"/>
      <c r="GO3" s="506"/>
      <c r="GP3" s="506"/>
      <c r="GQ3" s="506"/>
      <c r="GR3" s="506"/>
      <c r="GS3" s="506"/>
      <c r="GT3" s="506"/>
      <c r="GU3" s="506"/>
      <c r="GV3" s="506"/>
      <c r="GW3" s="506"/>
      <c r="GX3" s="506"/>
      <c r="GY3" s="506"/>
      <c r="GZ3" s="506"/>
      <c r="HA3" s="506"/>
      <c r="HB3" s="506"/>
      <c r="HC3" s="506"/>
      <c r="HD3" s="506"/>
      <c r="HE3" s="506"/>
      <c r="HF3" s="506"/>
      <c r="HG3" s="506"/>
      <c r="HH3" s="506"/>
      <c r="HI3" s="506"/>
      <c r="HJ3" s="506"/>
      <c r="HK3" s="506"/>
      <c r="HL3" s="506"/>
      <c r="HM3" s="506"/>
      <c r="HN3" s="506"/>
      <c r="HO3" s="506"/>
      <c r="HP3" s="506"/>
      <c r="HQ3" s="506"/>
      <c r="HR3" s="506"/>
      <c r="HS3" s="506"/>
      <c r="HT3" s="506"/>
      <c r="HU3" s="506"/>
      <c r="HV3" s="506"/>
      <c r="HW3" s="506"/>
      <c r="HX3" s="506"/>
      <c r="HY3" s="506"/>
      <c r="HZ3" s="506"/>
    </row>
    <row r="4" spans="1:234" s="205" customFormat="1" ht="15.9" hidden="1" customHeight="1" x14ac:dyDescent="0.25">
      <c r="A4" s="522" t="s">
        <v>468</v>
      </c>
      <c r="B4" s="523" t="s">
        <v>1095</v>
      </c>
      <c r="C4" s="524" t="s">
        <v>3230</v>
      </c>
      <c r="D4" s="530" t="s">
        <v>781</v>
      </c>
      <c r="E4" s="524" t="s">
        <v>3228</v>
      </c>
      <c r="F4" s="543">
        <v>36707</v>
      </c>
      <c r="G4" s="544">
        <v>36675</v>
      </c>
      <c r="H4" s="557">
        <v>36707</v>
      </c>
      <c r="I4" s="546">
        <v>38289</v>
      </c>
      <c r="J4" s="547">
        <v>10000</v>
      </c>
      <c r="K4" s="548">
        <v>-0.03</v>
      </c>
      <c r="L4" s="549">
        <v>0.13500000000000001</v>
      </c>
      <c r="M4" s="550">
        <v>0</v>
      </c>
      <c r="N4" s="560" t="s">
        <v>3229</v>
      </c>
      <c r="O4" s="552" t="s">
        <v>3229</v>
      </c>
      <c r="P4" s="552" t="s">
        <v>3229</v>
      </c>
      <c r="Q4" s="552" t="s">
        <v>3229</v>
      </c>
      <c r="R4" s="552" t="s">
        <v>3229</v>
      </c>
      <c r="S4" s="553"/>
      <c r="T4" s="554">
        <v>37073</v>
      </c>
      <c r="U4" s="555">
        <v>37438</v>
      </c>
      <c r="V4" s="555">
        <v>37803</v>
      </c>
      <c r="W4" s="555">
        <v>38261</v>
      </c>
      <c r="X4" s="555" t="s">
        <v>3229</v>
      </c>
      <c r="Y4" s="555" t="s">
        <v>3229</v>
      </c>
      <c r="Z4" s="555" t="s">
        <v>3229</v>
      </c>
      <c r="AA4" s="555" t="s">
        <v>3229</v>
      </c>
      <c r="AB4" s="555" t="s">
        <v>3229</v>
      </c>
      <c r="AC4" s="555" t="s">
        <v>3229</v>
      </c>
      <c r="AD4" s="555" t="s">
        <v>3229</v>
      </c>
      <c r="AE4" s="556" t="s">
        <v>3229</v>
      </c>
      <c r="AF4" s="3782" t="s">
        <v>781</v>
      </c>
      <c r="AG4" s="3783"/>
      <c r="AH4" s="622">
        <v>0.9</v>
      </c>
      <c r="AI4" s="622" t="s">
        <v>3229</v>
      </c>
      <c r="AJ4" s="622" t="s">
        <v>3229</v>
      </c>
      <c r="AK4" s="622">
        <v>0.1</v>
      </c>
      <c r="AL4" s="528" t="s">
        <v>3229</v>
      </c>
      <c r="AM4" s="623" t="s">
        <v>3229</v>
      </c>
      <c r="AN4" s="576">
        <v>4.4999999999999998E-2</v>
      </c>
      <c r="AO4" s="625">
        <v>10462.4</v>
      </c>
      <c r="AP4" s="1366"/>
      <c r="AQ4" s="549">
        <v>-0.44826162334807573</v>
      </c>
      <c r="AR4" s="632">
        <f t="shared" si="0"/>
        <v>4.6240000000000059E-2</v>
      </c>
      <c r="AS4" s="558">
        <f t="shared" si="1"/>
        <v>1.0483787753837071E-2</v>
      </c>
      <c r="AT4" s="633" t="s">
        <v>3229</v>
      </c>
      <c r="AU4" s="552" t="s">
        <v>3229</v>
      </c>
      <c r="AV4" s="558">
        <f t="shared" si="2"/>
        <v>4.6240000000000059E-2</v>
      </c>
      <c r="AW4" s="558">
        <f t="shared" si="3"/>
        <v>1.0483787753837071E-2</v>
      </c>
      <c r="AX4" s="553" t="s">
        <v>3229</v>
      </c>
      <c r="AY4" s="552" t="s">
        <v>3229</v>
      </c>
      <c r="AZ4" s="552"/>
      <c r="BA4" s="634" t="s">
        <v>467</v>
      </c>
      <c r="BB4" s="634"/>
      <c r="BC4" s="547"/>
      <c r="BD4" s="3691"/>
      <c r="BE4" s="3743"/>
      <c r="BF4" s="3743"/>
      <c r="BG4" s="3708"/>
      <c r="BH4" s="3762"/>
      <c r="BI4" s="3762"/>
      <c r="BJ4" s="39"/>
      <c r="BK4" s="39"/>
      <c r="BL4" s="39"/>
      <c r="BM4" s="39"/>
      <c r="BN4" s="39"/>
      <c r="BO4" s="39"/>
      <c r="BP4" s="39"/>
      <c r="BQ4" s="39"/>
      <c r="BR4" s="39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  <c r="CR4" s="506"/>
      <c r="CS4" s="506"/>
      <c r="CT4" s="506"/>
      <c r="CU4" s="506"/>
      <c r="CV4" s="506"/>
      <c r="CW4" s="506"/>
      <c r="CX4" s="506"/>
      <c r="CY4" s="506"/>
      <c r="CZ4" s="506"/>
      <c r="DA4" s="506"/>
      <c r="DB4" s="506"/>
      <c r="DC4" s="506"/>
      <c r="DD4" s="506"/>
      <c r="DE4" s="506"/>
      <c r="DF4" s="506"/>
      <c r="DG4" s="506"/>
      <c r="DH4" s="506"/>
      <c r="DI4" s="506"/>
      <c r="DJ4" s="506"/>
      <c r="DK4" s="506"/>
      <c r="DL4" s="506"/>
      <c r="DM4" s="506"/>
      <c r="DN4" s="506"/>
      <c r="DO4" s="506"/>
      <c r="DP4" s="506"/>
      <c r="DQ4" s="506"/>
      <c r="DR4" s="506"/>
      <c r="DS4" s="506"/>
      <c r="DT4" s="506"/>
      <c r="DU4" s="506"/>
      <c r="DV4" s="506"/>
      <c r="DW4" s="506"/>
      <c r="DX4" s="506"/>
      <c r="DY4" s="506"/>
      <c r="DZ4" s="506"/>
      <c r="EA4" s="506"/>
      <c r="EB4" s="506"/>
      <c r="EC4" s="506"/>
      <c r="ED4" s="506"/>
      <c r="EE4" s="506"/>
      <c r="EF4" s="506"/>
      <c r="EG4" s="506"/>
      <c r="EH4" s="506"/>
      <c r="EI4" s="506"/>
      <c r="EJ4" s="506"/>
      <c r="EK4" s="506"/>
      <c r="EL4" s="506"/>
      <c r="EM4" s="506"/>
      <c r="EN4" s="506"/>
      <c r="EO4" s="506"/>
      <c r="EP4" s="506"/>
      <c r="EQ4" s="506"/>
      <c r="ER4" s="506"/>
      <c r="ES4" s="506"/>
      <c r="ET4" s="506"/>
      <c r="EU4" s="506"/>
      <c r="EV4" s="506"/>
      <c r="EW4" s="506"/>
      <c r="EX4" s="506"/>
      <c r="EY4" s="506"/>
      <c r="EZ4" s="506"/>
      <c r="FA4" s="506"/>
      <c r="FB4" s="506"/>
      <c r="FC4" s="506"/>
      <c r="FD4" s="506"/>
      <c r="FE4" s="506"/>
      <c r="FF4" s="506"/>
      <c r="FG4" s="506"/>
      <c r="FH4" s="506"/>
      <c r="FI4" s="506"/>
      <c r="FJ4" s="506"/>
      <c r="FK4" s="506"/>
      <c r="FL4" s="506"/>
      <c r="FM4" s="506"/>
      <c r="FN4" s="506"/>
      <c r="FO4" s="506"/>
      <c r="FP4" s="506"/>
      <c r="FQ4" s="506"/>
      <c r="FR4" s="506"/>
      <c r="FS4" s="506"/>
      <c r="FT4" s="506"/>
      <c r="FU4" s="506"/>
      <c r="FV4" s="506"/>
      <c r="FW4" s="506"/>
      <c r="FX4" s="506"/>
      <c r="FY4" s="506"/>
      <c r="FZ4" s="506"/>
      <c r="GA4" s="506"/>
      <c r="GB4" s="506"/>
      <c r="GC4" s="506"/>
      <c r="GD4" s="506"/>
      <c r="GE4" s="506"/>
      <c r="GF4" s="506"/>
      <c r="GG4" s="506"/>
      <c r="GH4" s="506"/>
      <c r="GI4" s="506"/>
      <c r="GJ4" s="506"/>
      <c r="GK4" s="506"/>
      <c r="GL4" s="506"/>
      <c r="GM4" s="506"/>
      <c r="GN4" s="506"/>
      <c r="GO4" s="506"/>
      <c r="GP4" s="506"/>
      <c r="GQ4" s="506"/>
      <c r="GR4" s="506"/>
      <c r="GS4" s="506"/>
      <c r="GT4" s="506"/>
      <c r="GU4" s="506"/>
      <c r="GV4" s="506"/>
      <c r="GW4" s="506"/>
      <c r="GX4" s="506"/>
      <c r="GY4" s="506"/>
      <c r="GZ4" s="506"/>
      <c r="HA4" s="506"/>
      <c r="HB4" s="506"/>
      <c r="HC4" s="506"/>
      <c r="HD4" s="506"/>
      <c r="HE4" s="506"/>
      <c r="HF4" s="506"/>
      <c r="HG4" s="506"/>
      <c r="HH4" s="506"/>
      <c r="HI4" s="506"/>
      <c r="HJ4" s="506"/>
      <c r="HK4" s="506"/>
      <c r="HL4" s="506"/>
      <c r="HM4" s="506"/>
      <c r="HN4" s="506"/>
      <c r="HO4" s="506"/>
      <c r="HP4" s="506"/>
      <c r="HQ4" s="506"/>
      <c r="HR4" s="506"/>
      <c r="HS4" s="506"/>
      <c r="HT4" s="506"/>
      <c r="HU4" s="506"/>
      <c r="HV4" s="506"/>
      <c r="HW4" s="506"/>
      <c r="HX4" s="506"/>
      <c r="HY4" s="506"/>
      <c r="HZ4" s="506"/>
    </row>
    <row r="5" spans="1:234" s="205" customFormat="1" ht="15.9" hidden="1" customHeight="1" x14ac:dyDescent="0.25">
      <c r="A5" s="522" t="s">
        <v>2784</v>
      </c>
      <c r="B5" s="523" t="s">
        <v>1096</v>
      </c>
      <c r="C5" s="524" t="s">
        <v>1980</v>
      </c>
      <c r="D5" s="530" t="s">
        <v>781</v>
      </c>
      <c r="E5" s="524" t="s">
        <v>3228</v>
      </c>
      <c r="F5" s="543">
        <v>37015</v>
      </c>
      <c r="G5" s="544">
        <v>36983</v>
      </c>
      <c r="H5" s="557">
        <v>37015</v>
      </c>
      <c r="I5" s="546">
        <v>38260</v>
      </c>
      <c r="J5" s="547">
        <v>10000</v>
      </c>
      <c r="K5" s="548">
        <v>-0.03</v>
      </c>
      <c r="L5" s="549">
        <v>0.12</v>
      </c>
      <c r="M5" s="550">
        <v>0.06</v>
      </c>
      <c r="N5" s="560" t="s">
        <v>3229</v>
      </c>
      <c r="O5" s="552" t="s">
        <v>3229</v>
      </c>
      <c r="P5" s="552" t="s">
        <v>3229</v>
      </c>
      <c r="Q5" s="552" t="s">
        <v>3229</v>
      </c>
      <c r="R5" s="552" t="s">
        <v>3229</v>
      </c>
      <c r="S5" s="553"/>
      <c r="T5" s="554">
        <v>37377</v>
      </c>
      <c r="U5" s="555">
        <v>37742</v>
      </c>
      <c r="V5" s="555">
        <v>38231</v>
      </c>
      <c r="W5" s="555" t="s">
        <v>3229</v>
      </c>
      <c r="X5" s="555" t="s">
        <v>3229</v>
      </c>
      <c r="Y5" s="555" t="s">
        <v>3229</v>
      </c>
      <c r="Z5" s="555" t="s">
        <v>3229</v>
      </c>
      <c r="AA5" s="555" t="s">
        <v>3229</v>
      </c>
      <c r="AB5" s="555" t="s">
        <v>3229</v>
      </c>
      <c r="AC5" s="555" t="s">
        <v>3229</v>
      </c>
      <c r="AD5" s="555" t="s">
        <v>3229</v>
      </c>
      <c r="AE5" s="556" t="s">
        <v>3229</v>
      </c>
      <c r="AF5" s="3782" t="s">
        <v>781</v>
      </c>
      <c r="AG5" s="3783"/>
      <c r="AH5" s="622">
        <v>1</v>
      </c>
      <c r="AI5" s="622" t="s">
        <v>3229</v>
      </c>
      <c r="AJ5" s="622" t="s">
        <v>3229</v>
      </c>
      <c r="AK5" s="528" t="s">
        <v>3229</v>
      </c>
      <c r="AL5" s="528" t="s">
        <v>3229</v>
      </c>
      <c r="AM5" s="623" t="s">
        <v>3229</v>
      </c>
      <c r="AN5" s="576">
        <v>0.06</v>
      </c>
      <c r="AO5" s="625">
        <v>10604.15</v>
      </c>
      <c r="AP5" s="1367"/>
      <c r="AQ5" s="549">
        <v>-0.38310368459443267</v>
      </c>
      <c r="AR5" s="632">
        <f>AO5/J5-1</f>
        <v>6.0414999999999885E-2</v>
      </c>
      <c r="AS5" s="558">
        <f t="shared" si="1"/>
        <v>1.7346340267109683E-2</v>
      </c>
      <c r="AT5" s="633" t="s">
        <v>3229</v>
      </c>
      <c r="AU5" s="552" t="s">
        <v>3229</v>
      </c>
      <c r="AV5" s="558">
        <f t="shared" si="2"/>
        <v>6.0414999999999885E-2</v>
      </c>
      <c r="AW5" s="558">
        <f t="shared" si="3"/>
        <v>1.7346340267109683E-2</v>
      </c>
      <c r="AX5" s="553" t="s">
        <v>3229</v>
      </c>
      <c r="AY5" s="552" t="s">
        <v>3229</v>
      </c>
      <c r="AZ5" s="552"/>
      <c r="BA5" s="634" t="s">
        <v>3189</v>
      </c>
      <c r="BB5" s="634"/>
      <c r="BC5" s="547"/>
      <c r="BD5" s="3708"/>
      <c r="BE5" s="3743"/>
      <c r="BF5" s="3743"/>
      <c r="BG5" s="3708"/>
      <c r="BH5" s="3762"/>
      <c r="BI5" s="3762"/>
      <c r="BJ5" s="39"/>
      <c r="BK5" s="39"/>
      <c r="BL5" s="39"/>
      <c r="BM5" s="39"/>
      <c r="BN5" s="39"/>
      <c r="BO5" s="39"/>
      <c r="BP5" s="39"/>
      <c r="BQ5" s="39"/>
      <c r="BR5" s="39"/>
      <c r="BS5" s="506"/>
      <c r="BT5" s="506"/>
      <c r="BU5" s="506"/>
      <c r="BV5" s="506"/>
      <c r="BW5" s="506"/>
      <c r="BX5" s="506"/>
      <c r="BY5" s="506"/>
      <c r="BZ5" s="506"/>
      <c r="CA5" s="506"/>
      <c r="CB5" s="506"/>
      <c r="CC5" s="506"/>
      <c r="CD5" s="506"/>
      <c r="CE5" s="506"/>
      <c r="CF5" s="506"/>
      <c r="CG5" s="506"/>
      <c r="CH5" s="506"/>
      <c r="CI5" s="506"/>
      <c r="CJ5" s="506"/>
      <c r="CK5" s="506"/>
      <c r="CL5" s="506"/>
      <c r="CM5" s="506"/>
      <c r="CN5" s="506"/>
      <c r="CO5" s="506"/>
      <c r="CP5" s="506"/>
      <c r="CQ5" s="506"/>
      <c r="CR5" s="506"/>
      <c r="CS5" s="506"/>
      <c r="CT5" s="506"/>
      <c r="CU5" s="506"/>
      <c r="CV5" s="506"/>
      <c r="CW5" s="506"/>
      <c r="CX5" s="506"/>
      <c r="CY5" s="506"/>
      <c r="CZ5" s="506"/>
      <c r="DA5" s="506"/>
      <c r="DB5" s="506"/>
      <c r="DC5" s="506"/>
      <c r="DD5" s="506"/>
      <c r="DE5" s="506"/>
      <c r="DF5" s="506"/>
      <c r="DG5" s="506"/>
      <c r="DH5" s="506"/>
      <c r="DI5" s="506"/>
      <c r="DJ5" s="506"/>
      <c r="DK5" s="506"/>
      <c r="DL5" s="506"/>
      <c r="DM5" s="506"/>
      <c r="DN5" s="506"/>
      <c r="DO5" s="506"/>
      <c r="DP5" s="506"/>
      <c r="DQ5" s="506"/>
      <c r="DR5" s="506"/>
      <c r="DS5" s="506"/>
      <c r="DT5" s="506"/>
      <c r="DU5" s="506"/>
      <c r="DV5" s="506"/>
      <c r="DW5" s="506"/>
      <c r="DX5" s="506"/>
      <c r="DY5" s="506"/>
      <c r="DZ5" s="506"/>
      <c r="EA5" s="506"/>
      <c r="EB5" s="506"/>
      <c r="EC5" s="506"/>
      <c r="ED5" s="506"/>
      <c r="EE5" s="506"/>
      <c r="EF5" s="506"/>
      <c r="EG5" s="506"/>
      <c r="EH5" s="506"/>
      <c r="EI5" s="506"/>
      <c r="EJ5" s="506"/>
      <c r="EK5" s="506"/>
      <c r="EL5" s="506"/>
      <c r="EM5" s="506"/>
      <c r="EN5" s="506"/>
      <c r="EO5" s="506"/>
      <c r="EP5" s="506"/>
      <c r="EQ5" s="506"/>
      <c r="ER5" s="506"/>
      <c r="ES5" s="506"/>
      <c r="ET5" s="506"/>
      <c r="EU5" s="506"/>
      <c r="EV5" s="506"/>
      <c r="EW5" s="506"/>
      <c r="EX5" s="506"/>
      <c r="EY5" s="506"/>
      <c r="EZ5" s="506"/>
      <c r="FA5" s="506"/>
      <c r="FB5" s="506"/>
      <c r="FC5" s="506"/>
      <c r="FD5" s="506"/>
      <c r="FE5" s="506"/>
      <c r="FF5" s="506"/>
      <c r="FG5" s="506"/>
      <c r="FH5" s="506"/>
      <c r="FI5" s="506"/>
      <c r="FJ5" s="506"/>
      <c r="FK5" s="506"/>
      <c r="FL5" s="506"/>
      <c r="FM5" s="506"/>
      <c r="FN5" s="506"/>
      <c r="FO5" s="506"/>
      <c r="FP5" s="506"/>
      <c r="FQ5" s="506"/>
      <c r="FR5" s="506"/>
      <c r="FS5" s="506"/>
      <c r="FT5" s="506"/>
      <c r="FU5" s="506"/>
      <c r="FV5" s="506"/>
      <c r="FW5" s="506"/>
      <c r="FX5" s="506"/>
      <c r="FY5" s="506"/>
      <c r="FZ5" s="506"/>
      <c r="GA5" s="506"/>
      <c r="GB5" s="506"/>
      <c r="GC5" s="506"/>
      <c r="GD5" s="506"/>
      <c r="GE5" s="506"/>
      <c r="GF5" s="506"/>
      <c r="GG5" s="506"/>
      <c r="GH5" s="506"/>
      <c r="GI5" s="506"/>
      <c r="GJ5" s="506"/>
      <c r="GK5" s="506"/>
      <c r="GL5" s="506"/>
      <c r="GM5" s="506"/>
      <c r="GN5" s="506"/>
      <c r="GO5" s="506"/>
      <c r="GP5" s="506"/>
      <c r="GQ5" s="506"/>
      <c r="GR5" s="506"/>
      <c r="GS5" s="506"/>
      <c r="GT5" s="506"/>
      <c r="GU5" s="506"/>
      <c r="GV5" s="506"/>
      <c r="GW5" s="506"/>
      <c r="GX5" s="506"/>
      <c r="GY5" s="506"/>
      <c r="GZ5" s="506"/>
      <c r="HA5" s="506"/>
      <c r="HB5" s="506"/>
      <c r="HC5" s="506"/>
      <c r="HD5" s="506"/>
      <c r="HE5" s="506"/>
      <c r="HF5" s="506"/>
      <c r="HG5" s="506"/>
      <c r="HH5" s="506"/>
      <c r="HI5" s="506"/>
      <c r="HJ5" s="506"/>
      <c r="HK5" s="506"/>
      <c r="HL5" s="506"/>
      <c r="HM5" s="506"/>
      <c r="HN5" s="506"/>
      <c r="HO5" s="506"/>
      <c r="HP5" s="506"/>
      <c r="HQ5" s="506"/>
      <c r="HR5" s="506"/>
      <c r="HS5" s="506"/>
      <c r="HT5" s="506"/>
      <c r="HU5" s="506"/>
      <c r="HV5" s="506"/>
      <c r="HW5" s="506"/>
      <c r="HX5" s="506"/>
      <c r="HY5" s="506"/>
      <c r="HZ5" s="506"/>
    </row>
    <row r="6" spans="1:234" s="205" customFormat="1" ht="15.9" hidden="1" customHeight="1" x14ac:dyDescent="0.25">
      <c r="A6" s="522" t="s">
        <v>2785</v>
      </c>
      <c r="B6" s="523" t="s">
        <v>1097</v>
      </c>
      <c r="C6" s="524" t="s">
        <v>3659</v>
      </c>
      <c r="D6" s="530" t="s">
        <v>781</v>
      </c>
      <c r="E6" s="524" t="s">
        <v>3228</v>
      </c>
      <c r="F6" s="543">
        <v>37057</v>
      </c>
      <c r="G6" s="544">
        <v>37025</v>
      </c>
      <c r="H6" s="557">
        <v>37057</v>
      </c>
      <c r="I6" s="546">
        <v>37925</v>
      </c>
      <c r="J6" s="547">
        <v>10000</v>
      </c>
      <c r="K6" s="553" t="s">
        <v>3229</v>
      </c>
      <c r="L6" s="552" t="s">
        <v>3229</v>
      </c>
      <c r="M6" s="550">
        <v>0</v>
      </c>
      <c r="N6" s="560">
        <v>0.7</v>
      </c>
      <c r="O6" s="552" t="s">
        <v>3229</v>
      </c>
      <c r="P6" s="552" t="s">
        <v>3229</v>
      </c>
      <c r="Q6" s="552" t="s">
        <v>3229</v>
      </c>
      <c r="R6" s="552" t="s">
        <v>3229</v>
      </c>
      <c r="S6" s="553"/>
      <c r="T6" s="554" t="s">
        <v>3229</v>
      </c>
      <c r="U6" s="555" t="s">
        <v>3229</v>
      </c>
      <c r="V6" s="555" t="s">
        <v>3229</v>
      </c>
      <c r="W6" s="555" t="s">
        <v>3229</v>
      </c>
      <c r="X6" s="555" t="s">
        <v>3229</v>
      </c>
      <c r="Y6" s="555" t="s">
        <v>3229</v>
      </c>
      <c r="Z6" s="555" t="s">
        <v>3229</v>
      </c>
      <c r="AA6" s="555" t="s">
        <v>3229</v>
      </c>
      <c r="AB6" s="555" t="s">
        <v>3229</v>
      </c>
      <c r="AC6" s="555" t="s">
        <v>3229</v>
      </c>
      <c r="AD6" s="555" t="s">
        <v>3229</v>
      </c>
      <c r="AE6" s="556" t="s">
        <v>3229</v>
      </c>
      <c r="AF6" s="3782" t="s">
        <v>781</v>
      </c>
      <c r="AG6" s="3783"/>
      <c r="AH6" s="622">
        <v>0.4</v>
      </c>
      <c r="AI6" s="622">
        <v>0.3</v>
      </c>
      <c r="AJ6" s="622">
        <v>0.3</v>
      </c>
      <c r="AK6" s="528" t="s">
        <v>3229</v>
      </c>
      <c r="AL6" s="528" t="s">
        <v>3229</v>
      </c>
      <c r="AM6" s="623" t="s">
        <v>3229</v>
      </c>
      <c r="AN6" s="575" t="s">
        <v>3229</v>
      </c>
      <c r="AO6" s="625">
        <v>10003.469999999999</v>
      </c>
      <c r="AP6" s="1367"/>
      <c r="AQ6" s="549">
        <v>-0.29374001602954114</v>
      </c>
      <c r="AR6" s="632">
        <f t="shared" si="0"/>
        <v>3.4699999999987519E-4</v>
      </c>
      <c r="AS6" s="558">
        <f t="shared" si="1"/>
        <v>1.4590123061353211E-4</v>
      </c>
      <c r="AT6" s="633" t="s">
        <v>3229</v>
      </c>
      <c r="AU6" s="552" t="s">
        <v>3229</v>
      </c>
      <c r="AV6" s="558">
        <f t="shared" si="2"/>
        <v>3.4699999999987519E-4</v>
      </c>
      <c r="AW6" s="558">
        <f t="shared" si="3"/>
        <v>1.4590123061353211E-4</v>
      </c>
      <c r="AX6" s="553" t="s">
        <v>3229</v>
      </c>
      <c r="AY6" s="552" t="s">
        <v>3229</v>
      </c>
      <c r="AZ6" s="552"/>
      <c r="BA6" s="634" t="s">
        <v>3190</v>
      </c>
      <c r="BB6" s="634"/>
      <c r="BC6" s="547"/>
      <c r="BD6" s="3708"/>
      <c r="BE6" s="3743"/>
      <c r="BF6" s="3743"/>
      <c r="BG6" s="3708"/>
      <c r="BH6" s="3762"/>
      <c r="BI6" s="3762"/>
      <c r="BJ6" s="39"/>
      <c r="BK6" s="39"/>
      <c r="BL6" s="39"/>
      <c r="BM6" s="39"/>
      <c r="BN6" s="39"/>
      <c r="BO6" s="39"/>
      <c r="BP6" s="39"/>
      <c r="BQ6" s="39"/>
      <c r="BR6" s="39"/>
      <c r="BS6" s="506"/>
      <c r="BT6" s="506"/>
      <c r="BU6" s="506"/>
      <c r="BV6" s="506"/>
      <c r="BW6" s="506"/>
      <c r="BX6" s="506"/>
      <c r="BY6" s="506"/>
      <c r="BZ6" s="506"/>
      <c r="CA6" s="506"/>
      <c r="CB6" s="506"/>
      <c r="CC6" s="506"/>
      <c r="CD6" s="506"/>
      <c r="CE6" s="506"/>
      <c r="CF6" s="506"/>
      <c r="CG6" s="506"/>
      <c r="CH6" s="506"/>
      <c r="CI6" s="506"/>
      <c r="CJ6" s="506"/>
      <c r="CK6" s="506"/>
      <c r="CL6" s="506"/>
      <c r="CM6" s="506"/>
      <c r="CN6" s="506"/>
      <c r="CO6" s="506"/>
      <c r="CP6" s="506"/>
      <c r="CQ6" s="506"/>
      <c r="CR6" s="506"/>
      <c r="CS6" s="506"/>
      <c r="CT6" s="506"/>
      <c r="CU6" s="506"/>
      <c r="CV6" s="506"/>
      <c r="CW6" s="506"/>
      <c r="CX6" s="506"/>
      <c r="CY6" s="506"/>
      <c r="CZ6" s="506"/>
      <c r="DA6" s="506"/>
      <c r="DB6" s="506"/>
      <c r="DC6" s="506"/>
      <c r="DD6" s="506"/>
      <c r="DE6" s="506"/>
      <c r="DF6" s="506"/>
      <c r="DG6" s="506"/>
      <c r="DH6" s="506"/>
      <c r="DI6" s="506"/>
      <c r="DJ6" s="506"/>
      <c r="DK6" s="506"/>
      <c r="DL6" s="506"/>
      <c r="DM6" s="506"/>
      <c r="DN6" s="506"/>
      <c r="DO6" s="506"/>
      <c r="DP6" s="506"/>
      <c r="DQ6" s="506"/>
      <c r="DR6" s="506"/>
      <c r="DS6" s="506"/>
      <c r="DT6" s="506"/>
      <c r="DU6" s="506"/>
      <c r="DV6" s="506"/>
      <c r="DW6" s="506"/>
      <c r="DX6" s="506"/>
      <c r="DY6" s="506"/>
      <c r="DZ6" s="506"/>
      <c r="EA6" s="506"/>
      <c r="EB6" s="506"/>
      <c r="EC6" s="506"/>
      <c r="ED6" s="506"/>
      <c r="EE6" s="506"/>
      <c r="EF6" s="506"/>
      <c r="EG6" s="506"/>
      <c r="EH6" s="506"/>
      <c r="EI6" s="506"/>
      <c r="EJ6" s="506"/>
      <c r="EK6" s="506"/>
      <c r="EL6" s="506"/>
      <c r="EM6" s="506"/>
      <c r="EN6" s="506"/>
      <c r="EO6" s="506"/>
      <c r="EP6" s="506"/>
      <c r="EQ6" s="506"/>
      <c r="ER6" s="506"/>
      <c r="ES6" s="506"/>
      <c r="ET6" s="506"/>
      <c r="EU6" s="506"/>
      <c r="EV6" s="506"/>
      <c r="EW6" s="506"/>
      <c r="EX6" s="506"/>
      <c r="EY6" s="506"/>
      <c r="EZ6" s="506"/>
      <c r="FA6" s="506"/>
      <c r="FB6" s="506"/>
      <c r="FC6" s="506"/>
      <c r="FD6" s="506"/>
      <c r="FE6" s="506"/>
      <c r="FF6" s="506"/>
      <c r="FG6" s="506"/>
      <c r="FH6" s="506"/>
      <c r="FI6" s="506"/>
      <c r="FJ6" s="506"/>
      <c r="FK6" s="506"/>
      <c r="FL6" s="506"/>
      <c r="FM6" s="506"/>
      <c r="FN6" s="506"/>
      <c r="FO6" s="506"/>
      <c r="FP6" s="506"/>
      <c r="FQ6" s="506"/>
      <c r="FR6" s="506"/>
      <c r="FS6" s="506"/>
      <c r="FT6" s="506"/>
      <c r="FU6" s="506"/>
      <c r="FV6" s="506"/>
      <c r="FW6" s="506"/>
      <c r="FX6" s="506"/>
      <c r="FY6" s="506"/>
      <c r="FZ6" s="506"/>
      <c r="GA6" s="506"/>
      <c r="GB6" s="506"/>
      <c r="GC6" s="506"/>
      <c r="GD6" s="506"/>
      <c r="GE6" s="506"/>
      <c r="GF6" s="506"/>
      <c r="GG6" s="506"/>
      <c r="GH6" s="506"/>
      <c r="GI6" s="506"/>
      <c r="GJ6" s="506"/>
      <c r="GK6" s="506"/>
      <c r="GL6" s="506"/>
      <c r="GM6" s="506"/>
      <c r="GN6" s="506"/>
      <c r="GO6" s="506"/>
      <c r="GP6" s="506"/>
      <c r="GQ6" s="506"/>
      <c r="GR6" s="506"/>
      <c r="GS6" s="506"/>
      <c r="GT6" s="506"/>
      <c r="GU6" s="506"/>
      <c r="GV6" s="506"/>
      <c r="GW6" s="506"/>
      <c r="GX6" s="506"/>
      <c r="GY6" s="506"/>
      <c r="GZ6" s="506"/>
      <c r="HA6" s="506"/>
      <c r="HB6" s="506"/>
      <c r="HC6" s="506"/>
      <c r="HD6" s="506"/>
      <c r="HE6" s="506"/>
      <c r="HF6" s="506"/>
      <c r="HG6" s="506"/>
      <c r="HH6" s="506"/>
      <c r="HI6" s="506"/>
      <c r="HJ6" s="506"/>
      <c r="HK6" s="506"/>
      <c r="HL6" s="506"/>
      <c r="HM6" s="506"/>
      <c r="HN6" s="506"/>
      <c r="HO6" s="506"/>
      <c r="HP6" s="506"/>
      <c r="HQ6" s="506"/>
      <c r="HR6" s="506"/>
      <c r="HS6" s="506"/>
      <c r="HT6" s="506"/>
      <c r="HU6" s="506"/>
      <c r="HV6" s="506"/>
      <c r="HW6" s="506"/>
      <c r="HX6" s="506"/>
      <c r="HY6" s="506"/>
      <c r="HZ6" s="506"/>
    </row>
    <row r="7" spans="1:234" s="232" customFormat="1" ht="15.9" hidden="1" customHeight="1" x14ac:dyDescent="0.25">
      <c r="A7" s="522" t="s">
        <v>2211</v>
      </c>
      <c r="B7" s="523" t="s">
        <v>1098</v>
      </c>
      <c r="C7" s="524" t="s">
        <v>987</v>
      </c>
      <c r="D7" s="530" t="s">
        <v>781</v>
      </c>
      <c r="E7" s="524" t="s">
        <v>3228</v>
      </c>
      <c r="F7" s="543">
        <v>36868</v>
      </c>
      <c r="G7" s="544">
        <v>36832</v>
      </c>
      <c r="H7" s="557">
        <v>36868</v>
      </c>
      <c r="I7" s="546">
        <v>38776</v>
      </c>
      <c r="J7" s="547">
        <v>10000</v>
      </c>
      <c r="K7" s="558">
        <v>0</v>
      </c>
      <c r="L7" s="559">
        <v>0.15</v>
      </c>
      <c r="M7" s="550">
        <v>0</v>
      </c>
      <c r="N7" s="560" t="s">
        <v>3229</v>
      </c>
      <c r="O7" s="552" t="s">
        <v>3229</v>
      </c>
      <c r="P7" s="552" t="s">
        <v>3229</v>
      </c>
      <c r="Q7" s="552" t="s">
        <v>3229</v>
      </c>
      <c r="R7" s="552" t="s">
        <v>3229</v>
      </c>
      <c r="S7" s="553"/>
      <c r="T7" s="554">
        <v>37288</v>
      </c>
      <c r="U7" s="555">
        <v>37653</v>
      </c>
      <c r="V7" s="555">
        <v>38018</v>
      </c>
      <c r="W7" s="555">
        <v>38384</v>
      </c>
      <c r="X7" s="555">
        <v>38749</v>
      </c>
      <c r="Y7" s="555" t="s">
        <v>3229</v>
      </c>
      <c r="Z7" s="555" t="s">
        <v>3229</v>
      </c>
      <c r="AA7" s="555" t="s">
        <v>3229</v>
      </c>
      <c r="AB7" s="555" t="s">
        <v>3229</v>
      </c>
      <c r="AC7" s="555" t="s">
        <v>3229</v>
      </c>
      <c r="AD7" s="555" t="s">
        <v>3229</v>
      </c>
      <c r="AE7" s="556" t="s">
        <v>3229</v>
      </c>
      <c r="AF7" s="3782" t="s">
        <v>781</v>
      </c>
      <c r="AG7" s="3783"/>
      <c r="AH7" s="622">
        <v>0.4</v>
      </c>
      <c r="AI7" s="622">
        <v>0.3</v>
      </c>
      <c r="AJ7" s="622">
        <v>0.3</v>
      </c>
      <c r="AK7" s="622" t="s">
        <v>3229</v>
      </c>
      <c r="AL7" s="622" t="s">
        <v>3229</v>
      </c>
      <c r="AM7" s="623" t="s">
        <v>3229</v>
      </c>
      <c r="AN7" s="576">
        <v>0.36809999999999998</v>
      </c>
      <c r="AO7" s="625">
        <v>13686.07</v>
      </c>
      <c r="AP7" s="1367"/>
      <c r="AQ7" s="549">
        <v>-5.5587214941385854E-2</v>
      </c>
      <c r="AR7" s="632">
        <f t="shared" si="0"/>
        <v>0.36860699999999991</v>
      </c>
      <c r="AS7" s="558">
        <f t="shared" si="1"/>
        <v>6.1866934815046237E-2</v>
      </c>
      <c r="AT7" s="633" t="s">
        <v>3229</v>
      </c>
      <c r="AU7" s="552" t="s">
        <v>3229</v>
      </c>
      <c r="AV7" s="558">
        <f t="shared" si="2"/>
        <v>0.36860699999999991</v>
      </c>
      <c r="AW7" s="558">
        <f t="shared" si="3"/>
        <v>6.1866934815046237E-2</v>
      </c>
      <c r="AX7" s="553" t="s">
        <v>3229</v>
      </c>
      <c r="AY7" s="552" t="s">
        <v>3229</v>
      </c>
      <c r="AZ7" s="552"/>
      <c r="BA7" s="634" t="s">
        <v>2867</v>
      </c>
      <c r="BB7" s="581"/>
      <c r="BC7" s="547"/>
      <c r="BD7" s="3708"/>
      <c r="BE7" s="3743"/>
      <c r="BF7" s="3743"/>
      <c r="BG7" s="3708"/>
      <c r="BH7" s="3762"/>
      <c r="BI7" s="3762"/>
      <c r="BJ7" s="39"/>
      <c r="BK7" s="39"/>
      <c r="BL7" s="39"/>
      <c r="BM7" s="39"/>
      <c r="BN7" s="39"/>
      <c r="BO7" s="39"/>
      <c r="BP7" s="39"/>
      <c r="BQ7" s="39"/>
      <c r="BR7" s="39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507"/>
      <c r="CQ7" s="507"/>
      <c r="CR7" s="507"/>
      <c r="CS7" s="507"/>
      <c r="CT7" s="507"/>
      <c r="CU7" s="507"/>
      <c r="CV7" s="507"/>
      <c r="CW7" s="507"/>
      <c r="CX7" s="507"/>
      <c r="CY7" s="507"/>
      <c r="CZ7" s="507"/>
      <c r="DA7" s="507"/>
      <c r="DB7" s="507"/>
      <c r="DC7" s="507"/>
      <c r="DD7" s="507"/>
      <c r="DE7" s="507"/>
      <c r="DF7" s="507"/>
      <c r="DG7" s="507"/>
      <c r="DH7" s="507"/>
      <c r="DI7" s="507"/>
      <c r="DJ7" s="507"/>
      <c r="DK7" s="507"/>
      <c r="DL7" s="507"/>
      <c r="DM7" s="507"/>
      <c r="DN7" s="507"/>
      <c r="DO7" s="507"/>
      <c r="DP7" s="507"/>
      <c r="DQ7" s="507"/>
      <c r="DR7" s="507"/>
      <c r="DS7" s="507"/>
      <c r="DT7" s="507"/>
      <c r="DU7" s="507"/>
      <c r="DV7" s="507"/>
      <c r="DW7" s="507"/>
      <c r="DX7" s="507"/>
      <c r="DY7" s="507"/>
      <c r="DZ7" s="507"/>
      <c r="EA7" s="507"/>
      <c r="EB7" s="507"/>
      <c r="EC7" s="507"/>
      <c r="ED7" s="507"/>
      <c r="EE7" s="507"/>
      <c r="EF7" s="507"/>
      <c r="EG7" s="507"/>
      <c r="EH7" s="507"/>
      <c r="EI7" s="507"/>
      <c r="EJ7" s="507"/>
      <c r="EK7" s="507"/>
      <c r="EL7" s="507"/>
      <c r="EM7" s="507"/>
      <c r="EN7" s="507"/>
      <c r="EO7" s="507"/>
      <c r="EP7" s="507"/>
      <c r="EQ7" s="507"/>
      <c r="ER7" s="507"/>
      <c r="ES7" s="507"/>
      <c r="ET7" s="507"/>
      <c r="EU7" s="507"/>
      <c r="EV7" s="507"/>
      <c r="EW7" s="507"/>
      <c r="EX7" s="507"/>
      <c r="EY7" s="507"/>
      <c r="EZ7" s="507"/>
      <c r="FA7" s="507"/>
      <c r="FB7" s="507"/>
      <c r="FC7" s="507"/>
      <c r="FD7" s="507"/>
      <c r="FE7" s="507"/>
      <c r="FF7" s="507"/>
      <c r="FG7" s="507"/>
      <c r="FH7" s="507"/>
      <c r="FI7" s="507"/>
      <c r="FJ7" s="507"/>
      <c r="FK7" s="507"/>
      <c r="FL7" s="507"/>
      <c r="FM7" s="507"/>
      <c r="FN7" s="507"/>
      <c r="FO7" s="507"/>
      <c r="FP7" s="507"/>
      <c r="FQ7" s="507"/>
      <c r="FR7" s="507"/>
      <c r="FS7" s="507"/>
      <c r="FT7" s="507"/>
      <c r="FU7" s="507"/>
      <c r="FV7" s="507"/>
      <c r="FW7" s="507"/>
      <c r="FX7" s="507"/>
      <c r="FY7" s="507"/>
      <c r="FZ7" s="507"/>
      <c r="GA7" s="507"/>
      <c r="GB7" s="507"/>
      <c r="GC7" s="507"/>
      <c r="GD7" s="507"/>
      <c r="GE7" s="507"/>
      <c r="GF7" s="507"/>
      <c r="GG7" s="507"/>
      <c r="GH7" s="507"/>
      <c r="GI7" s="507"/>
      <c r="GJ7" s="507"/>
      <c r="GK7" s="507"/>
      <c r="GL7" s="507"/>
      <c r="GM7" s="507"/>
      <c r="GN7" s="507"/>
      <c r="GO7" s="507"/>
      <c r="GP7" s="507"/>
      <c r="GQ7" s="507"/>
      <c r="GR7" s="507"/>
      <c r="GS7" s="507"/>
      <c r="GT7" s="507"/>
      <c r="GU7" s="507"/>
      <c r="GV7" s="507"/>
      <c r="GW7" s="507"/>
      <c r="GX7" s="507"/>
      <c r="GY7" s="507"/>
      <c r="GZ7" s="507"/>
      <c r="HA7" s="507"/>
      <c r="HB7" s="507"/>
      <c r="HC7" s="507"/>
      <c r="HD7" s="507"/>
      <c r="HE7" s="507"/>
      <c r="HF7" s="507"/>
      <c r="HG7" s="507"/>
      <c r="HH7" s="507"/>
      <c r="HI7" s="507"/>
      <c r="HJ7" s="507"/>
      <c r="HK7" s="507"/>
      <c r="HL7" s="507"/>
      <c r="HM7" s="507"/>
      <c r="HN7" s="507"/>
      <c r="HO7" s="507"/>
      <c r="HP7" s="507"/>
      <c r="HQ7" s="507"/>
      <c r="HR7" s="507"/>
      <c r="HS7" s="507"/>
      <c r="HT7" s="507"/>
      <c r="HU7" s="507"/>
      <c r="HV7" s="507"/>
      <c r="HW7" s="507"/>
      <c r="HX7" s="507"/>
      <c r="HY7" s="507"/>
      <c r="HZ7" s="507"/>
    </row>
    <row r="8" spans="1:234" s="232" customFormat="1" ht="15.9" hidden="1" customHeight="1" x14ac:dyDescent="0.25">
      <c r="A8" s="522" t="s">
        <v>1996</v>
      </c>
      <c r="B8" s="523" t="s">
        <v>3750</v>
      </c>
      <c r="C8" s="524" t="s">
        <v>3658</v>
      </c>
      <c r="D8" s="530" t="s">
        <v>781</v>
      </c>
      <c r="E8" s="524" t="s">
        <v>3228</v>
      </c>
      <c r="F8" s="543">
        <v>36868</v>
      </c>
      <c r="G8" s="544">
        <v>36832</v>
      </c>
      <c r="H8" s="557">
        <v>36868</v>
      </c>
      <c r="I8" s="546">
        <v>38776</v>
      </c>
      <c r="J8" s="547">
        <v>10000</v>
      </c>
      <c r="K8" s="553" t="s">
        <v>3229</v>
      </c>
      <c r="L8" s="552" t="s">
        <v>3229</v>
      </c>
      <c r="M8" s="560">
        <v>0</v>
      </c>
      <c r="N8" s="560">
        <v>1.05</v>
      </c>
      <c r="O8" s="552" t="s">
        <v>3229</v>
      </c>
      <c r="P8" s="552" t="s">
        <v>3229</v>
      </c>
      <c r="Q8" s="552" t="s">
        <v>3229</v>
      </c>
      <c r="R8" s="552" t="s">
        <v>3229</v>
      </c>
      <c r="S8" s="553"/>
      <c r="T8" s="561" t="s">
        <v>3229</v>
      </c>
      <c r="U8" s="553" t="s">
        <v>3229</v>
      </c>
      <c r="V8" s="553" t="s">
        <v>3229</v>
      </c>
      <c r="W8" s="553" t="s">
        <v>3229</v>
      </c>
      <c r="X8" s="553" t="s">
        <v>3229</v>
      </c>
      <c r="Y8" s="553" t="s">
        <v>3229</v>
      </c>
      <c r="Z8" s="553" t="s">
        <v>3229</v>
      </c>
      <c r="AA8" s="553" t="s">
        <v>3229</v>
      </c>
      <c r="AB8" s="555" t="s">
        <v>3229</v>
      </c>
      <c r="AC8" s="555" t="s">
        <v>3229</v>
      </c>
      <c r="AD8" s="555" t="s">
        <v>3229</v>
      </c>
      <c r="AE8" s="556" t="s">
        <v>3229</v>
      </c>
      <c r="AF8" s="3782" t="s">
        <v>781</v>
      </c>
      <c r="AG8" s="3783"/>
      <c r="AH8" s="622">
        <v>0.4</v>
      </c>
      <c r="AI8" s="622">
        <v>0.3</v>
      </c>
      <c r="AJ8" s="622">
        <v>0.3</v>
      </c>
      <c r="AK8" s="622" t="s">
        <v>3229</v>
      </c>
      <c r="AL8" s="622" t="s">
        <v>3229</v>
      </c>
      <c r="AM8" s="623" t="s">
        <v>3229</v>
      </c>
      <c r="AN8" s="576">
        <v>0</v>
      </c>
      <c r="AO8" s="625">
        <v>10006.790000000001</v>
      </c>
      <c r="AP8" s="1367"/>
      <c r="AQ8" s="549">
        <v>-0.12241985325604698</v>
      </c>
      <c r="AR8" s="632">
        <f t="shared" si="0"/>
        <v>6.7900000000009619E-4</v>
      </c>
      <c r="AS8" s="558">
        <f t="shared" si="1"/>
        <v>1.2985690975919617E-4</v>
      </c>
      <c r="AT8" s="633" t="s">
        <v>3229</v>
      </c>
      <c r="AU8" s="552" t="s">
        <v>3229</v>
      </c>
      <c r="AV8" s="558">
        <f t="shared" si="2"/>
        <v>6.7900000000009619E-4</v>
      </c>
      <c r="AW8" s="558">
        <f t="shared" si="3"/>
        <v>1.2985690975919617E-4</v>
      </c>
      <c r="AX8" s="553" t="s">
        <v>3229</v>
      </c>
      <c r="AY8" s="552" t="s">
        <v>3229</v>
      </c>
      <c r="AZ8" s="552"/>
      <c r="BA8" s="634" t="s">
        <v>3190</v>
      </c>
      <c r="BB8" s="581"/>
      <c r="BC8" s="547"/>
      <c r="BD8" s="3708"/>
      <c r="BE8" s="3743"/>
      <c r="BF8" s="3743"/>
      <c r="BG8" s="3708"/>
      <c r="BH8" s="3762"/>
      <c r="BI8" s="3762"/>
      <c r="BJ8" s="39"/>
      <c r="BK8" s="39"/>
      <c r="BL8" s="39"/>
      <c r="BM8" s="39"/>
      <c r="BN8" s="39"/>
      <c r="BO8" s="39"/>
      <c r="BP8" s="39"/>
      <c r="BQ8" s="39"/>
      <c r="BR8" s="39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507"/>
      <c r="CQ8" s="507"/>
      <c r="CR8" s="507"/>
      <c r="CS8" s="507"/>
      <c r="CT8" s="507"/>
      <c r="CU8" s="507"/>
      <c r="CV8" s="507"/>
      <c r="CW8" s="507"/>
      <c r="CX8" s="507"/>
      <c r="CY8" s="507"/>
      <c r="CZ8" s="507"/>
      <c r="DA8" s="507"/>
      <c r="DB8" s="507"/>
      <c r="DC8" s="507"/>
      <c r="DD8" s="507"/>
      <c r="DE8" s="507"/>
      <c r="DF8" s="507"/>
      <c r="DG8" s="507"/>
      <c r="DH8" s="507"/>
      <c r="DI8" s="507"/>
      <c r="DJ8" s="507"/>
      <c r="DK8" s="507"/>
      <c r="DL8" s="507"/>
      <c r="DM8" s="507"/>
      <c r="DN8" s="507"/>
      <c r="DO8" s="507"/>
      <c r="DP8" s="507"/>
      <c r="DQ8" s="507"/>
      <c r="DR8" s="507"/>
      <c r="DS8" s="507"/>
      <c r="DT8" s="507"/>
      <c r="DU8" s="507"/>
      <c r="DV8" s="507"/>
      <c r="DW8" s="507"/>
      <c r="DX8" s="507"/>
      <c r="DY8" s="507"/>
      <c r="DZ8" s="507"/>
      <c r="EA8" s="507"/>
      <c r="EB8" s="507"/>
      <c r="EC8" s="507"/>
      <c r="ED8" s="507"/>
      <c r="EE8" s="507"/>
      <c r="EF8" s="507"/>
      <c r="EG8" s="507"/>
      <c r="EH8" s="507"/>
      <c r="EI8" s="507"/>
      <c r="EJ8" s="507"/>
      <c r="EK8" s="507"/>
      <c r="EL8" s="507"/>
      <c r="EM8" s="507"/>
      <c r="EN8" s="507"/>
      <c r="EO8" s="507"/>
      <c r="EP8" s="507"/>
      <c r="EQ8" s="507"/>
      <c r="ER8" s="507"/>
      <c r="ES8" s="507"/>
      <c r="ET8" s="507"/>
      <c r="EU8" s="507"/>
      <c r="EV8" s="507"/>
      <c r="EW8" s="507"/>
      <c r="EX8" s="507"/>
      <c r="EY8" s="507"/>
      <c r="EZ8" s="507"/>
      <c r="FA8" s="507"/>
      <c r="FB8" s="507"/>
      <c r="FC8" s="507"/>
      <c r="FD8" s="507"/>
      <c r="FE8" s="507"/>
      <c r="FF8" s="507"/>
      <c r="FG8" s="507"/>
      <c r="FH8" s="507"/>
      <c r="FI8" s="507"/>
      <c r="FJ8" s="507"/>
      <c r="FK8" s="507"/>
      <c r="FL8" s="507"/>
      <c r="FM8" s="507"/>
      <c r="FN8" s="507"/>
      <c r="FO8" s="507"/>
      <c r="FP8" s="507"/>
      <c r="FQ8" s="507"/>
      <c r="FR8" s="507"/>
      <c r="FS8" s="507"/>
      <c r="FT8" s="507"/>
      <c r="FU8" s="507"/>
      <c r="FV8" s="507"/>
      <c r="FW8" s="507"/>
      <c r="FX8" s="507"/>
      <c r="FY8" s="507"/>
      <c r="FZ8" s="507"/>
      <c r="GA8" s="507"/>
      <c r="GB8" s="507"/>
      <c r="GC8" s="507"/>
      <c r="GD8" s="507"/>
      <c r="GE8" s="507"/>
      <c r="GF8" s="507"/>
      <c r="GG8" s="507"/>
      <c r="GH8" s="507"/>
      <c r="GI8" s="507"/>
      <c r="GJ8" s="507"/>
      <c r="GK8" s="507"/>
      <c r="GL8" s="507"/>
      <c r="GM8" s="507"/>
      <c r="GN8" s="507"/>
      <c r="GO8" s="507"/>
      <c r="GP8" s="507"/>
      <c r="GQ8" s="507"/>
      <c r="GR8" s="507"/>
      <c r="GS8" s="507"/>
      <c r="GT8" s="507"/>
      <c r="GU8" s="507"/>
      <c r="GV8" s="507"/>
      <c r="GW8" s="507"/>
      <c r="GX8" s="507"/>
      <c r="GY8" s="507"/>
      <c r="GZ8" s="507"/>
      <c r="HA8" s="507"/>
      <c r="HB8" s="507"/>
      <c r="HC8" s="507"/>
      <c r="HD8" s="507"/>
      <c r="HE8" s="507"/>
      <c r="HF8" s="507"/>
      <c r="HG8" s="507"/>
      <c r="HH8" s="507"/>
      <c r="HI8" s="507"/>
      <c r="HJ8" s="507"/>
      <c r="HK8" s="507"/>
      <c r="HL8" s="507"/>
      <c r="HM8" s="507"/>
      <c r="HN8" s="507"/>
      <c r="HO8" s="507"/>
      <c r="HP8" s="507"/>
      <c r="HQ8" s="507"/>
      <c r="HR8" s="507"/>
      <c r="HS8" s="507"/>
      <c r="HT8" s="507"/>
      <c r="HU8" s="507"/>
      <c r="HV8" s="507"/>
      <c r="HW8" s="507"/>
      <c r="HX8" s="507"/>
      <c r="HY8" s="507"/>
      <c r="HZ8" s="507"/>
    </row>
    <row r="9" spans="1:234" s="232" customFormat="1" ht="15.9" hidden="1" customHeight="1" x14ac:dyDescent="0.25">
      <c r="A9" s="522" t="s">
        <v>2226</v>
      </c>
      <c r="B9" s="523" t="s">
        <v>2390</v>
      </c>
      <c r="C9" s="524" t="s">
        <v>1156</v>
      </c>
      <c r="D9" s="530" t="s">
        <v>781</v>
      </c>
      <c r="E9" s="524" t="s">
        <v>3228</v>
      </c>
      <c r="F9" s="543">
        <v>37449</v>
      </c>
      <c r="G9" s="544">
        <v>37424</v>
      </c>
      <c r="H9" s="557">
        <v>37449</v>
      </c>
      <c r="I9" s="546">
        <v>39080</v>
      </c>
      <c r="J9" s="547">
        <v>10000</v>
      </c>
      <c r="K9" s="558">
        <v>0</v>
      </c>
      <c r="L9" s="559">
        <v>9.2499999999999999E-2</v>
      </c>
      <c r="M9" s="550">
        <v>0</v>
      </c>
      <c r="N9" s="560" t="s">
        <v>3229</v>
      </c>
      <c r="O9" s="552" t="s">
        <v>3229</v>
      </c>
      <c r="P9" s="552" t="s">
        <v>3229</v>
      </c>
      <c r="Q9" s="552" t="s">
        <v>3229</v>
      </c>
      <c r="R9" s="552" t="s">
        <v>3229</v>
      </c>
      <c r="S9" s="553"/>
      <c r="T9" s="554">
        <v>37803</v>
      </c>
      <c r="U9" s="555">
        <v>38169</v>
      </c>
      <c r="V9" s="555">
        <v>38534</v>
      </c>
      <c r="W9" s="555">
        <v>39052</v>
      </c>
      <c r="X9" s="555" t="s">
        <v>3229</v>
      </c>
      <c r="Y9" s="555" t="s">
        <v>3229</v>
      </c>
      <c r="Z9" s="555" t="s">
        <v>3229</v>
      </c>
      <c r="AA9" s="555" t="s">
        <v>3229</v>
      </c>
      <c r="AB9" s="555" t="s">
        <v>3229</v>
      </c>
      <c r="AC9" s="555" t="s">
        <v>3229</v>
      </c>
      <c r="AD9" s="555" t="s">
        <v>3229</v>
      </c>
      <c r="AE9" s="556" t="s">
        <v>3229</v>
      </c>
      <c r="AF9" s="3782" t="s">
        <v>781</v>
      </c>
      <c r="AG9" s="3783"/>
      <c r="AH9" s="622">
        <v>0.5</v>
      </c>
      <c r="AI9" s="622">
        <v>0.5</v>
      </c>
      <c r="AJ9" s="622" t="s">
        <v>3229</v>
      </c>
      <c r="AK9" s="622" t="s">
        <v>3229</v>
      </c>
      <c r="AL9" s="622" t="s">
        <v>3229</v>
      </c>
      <c r="AM9" s="623" t="s">
        <v>3229</v>
      </c>
      <c r="AN9" s="576">
        <v>0.32379999999999998</v>
      </c>
      <c r="AO9" s="625">
        <v>13238</v>
      </c>
      <c r="AP9" s="1368"/>
      <c r="AQ9" s="658">
        <v>0.58743821593669532</v>
      </c>
      <c r="AR9" s="632">
        <f t="shared" si="0"/>
        <v>0.32380000000000009</v>
      </c>
      <c r="AS9" s="558">
        <f t="shared" si="1"/>
        <v>6.4786456226674449E-2</v>
      </c>
      <c r="AT9" s="633" t="s">
        <v>3229</v>
      </c>
      <c r="AU9" s="635" t="s">
        <v>3229</v>
      </c>
      <c r="AV9" s="558">
        <f t="shared" si="2"/>
        <v>0.32380000000000009</v>
      </c>
      <c r="AW9" s="558">
        <f t="shared" si="3"/>
        <v>6.4786456226674449E-2</v>
      </c>
      <c r="AX9" s="553" t="s">
        <v>3229</v>
      </c>
      <c r="AY9" s="552" t="s">
        <v>3229</v>
      </c>
      <c r="AZ9" s="552"/>
      <c r="BA9" s="634" t="s">
        <v>2867</v>
      </c>
      <c r="BB9" s="581"/>
      <c r="BC9" s="636"/>
      <c r="BD9" s="3708"/>
      <c r="BE9" s="3743"/>
      <c r="BF9" s="3743"/>
      <c r="BG9" s="3708"/>
      <c r="BH9" s="3762"/>
      <c r="BI9" s="3762"/>
      <c r="BJ9" s="39"/>
      <c r="BK9" s="39"/>
      <c r="BL9" s="39"/>
      <c r="BM9" s="39"/>
      <c r="BN9" s="39"/>
      <c r="BO9" s="39"/>
      <c r="BP9" s="39"/>
      <c r="BQ9" s="39"/>
      <c r="BR9" s="39"/>
      <c r="BS9" s="507"/>
      <c r="BT9" s="507"/>
      <c r="BU9" s="507"/>
      <c r="BV9" s="507"/>
      <c r="BW9" s="507"/>
      <c r="BX9" s="507"/>
      <c r="BY9" s="507"/>
      <c r="BZ9" s="507"/>
      <c r="CA9" s="507"/>
      <c r="CB9" s="507"/>
      <c r="CC9" s="507"/>
      <c r="CD9" s="507"/>
      <c r="CE9" s="507"/>
      <c r="CF9" s="507"/>
      <c r="CG9" s="507"/>
      <c r="CH9" s="507"/>
      <c r="CI9" s="507"/>
      <c r="CJ9" s="507"/>
      <c r="CK9" s="507"/>
      <c r="CL9" s="507"/>
      <c r="CM9" s="507"/>
      <c r="CN9" s="507"/>
      <c r="CO9" s="507"/>
      <c r="CP9" s="507"/>
      <c r="CQ9" s="507"/>
      <c r="CR9" s="507"/>
      <c r="CS9" s="507"/>
      <c r="CT9" s="507"/>
      <c r="CU9" s="507"/>
      <c r="CV9" s="507"/>
      <c r="CW9" s="507"/>
      <c r="CX9" s="507"/>
      <c r="CY9" s="507"/>
      <c r="CZ9" s="507"/>
      <c r="DA9" s="507"/>
      <c r="DB9" s="507"/>
      <c r="DC9" s="507"/>
      <c r="DD9" s="507"/>
      <c r="DE9" s="507"/>
      <c r="DF9" s="507"/>
      <c r="DG9" s="507"/>
      <c r="DH9" s="507"/>
      <c r="DI9" s="507"/>
      <c r="DJ9" s="507"/>
      <c r="DK9" s="507"/>
      <c r="DL9" s="507"/>
      <c r="DM9" s="507"/>
      <c r="DN9" s="507"/>
      <c r="DO9" s="507"/>
      <c r="DP9" s="507"/>
      <c r="DQ9" s="507"/>
      <c r="DR9" s="507"/>
      <c r="DS9" s="507"/>
      <c r="DT9" s="507"/>
      <c r="DU9" s="507"/>
      <c r="DV9" s="507"/>
      <c r="DW9" s="507"/>
      <c r="DX9" s="507"/>
      <c r="DY9" s="507"/>
      <c r="DZ9" s="507"/>
      <c r="EA9" s="507"/>
      <c r="EB9" s="507"/>
      <c r="EC9" s="507"/>
      <c r="ED9" s="507"/>
      <c r="EE9" s="507"/>
      <c r="EF9" s="507"/>
      <c r="EG9" s="507"/>
      <c r="EH9" s="507"/>
      <c r="EI9" s="507"/>
      <c r="EJ9" s="507"/>
      <c r="EK9" s="507"/>
      <c r="EL9" s="507"/>
      <c r="EM9" s="507"/>
      <c r="EN9" s="507"/>
      <c r="EO9" s="507"/>
      <c r="EP9" s="507"/>
      <c r="EQ9" s="507"/>
      <c r="ER9" s="507"/>
      <c r="ES9" s="507"/>
      <c r="ET9" s="507"/>
      <c r="EU9" s="507"/>
      <c r="EV9" s="507"/>
      <c r="EW9" s="507"/>
      <c r="EX9" s="507"/>
      <c r="EY9" s="507"/>
      <c r="EZ9" s="507"/>
      <c r="FA9" s="507"/>
      <c r="FB9" s="507"/>
      <c r="FC9" s="507"/>
      <c r="FD9" s="507"/>
      <c r="FE9" s="507"/>
      <c r="FF9" s="507"/>
      <c r="FG9" s="507"/>
      <c r="FH9" s="507"/>
      <c r="FI9" s="507"/>
      <c r="FJ9" s="507"/>
      <c r="FK9" s="507"/>
      <c r="FL9" s="507"/>
      <c r="FM9" s="507"/>
      <c r="FN9" s="507"/>
      <c r="FO9" s="507"/>
      <c r="FP9" s="507"/>
      <c r="FQ9" s="507"/>
      <c r="FR9" s="507"/>
      <c r="FS9" s="507"/>
      <c r="FT9" s="507"/>
      <c r="FU9" s="507"/>
      <c r="FV9" s="507"/>
      <c r="FW9" s="507"/>
      <c r="FX9" s="507"/>
      <c r="FY9" s="507"/>
      <c r="FZ9" s="507"/>
      <c r="GA9" s="507"/>
      <c r="GB9" s="507"/>
      <c r="GC9" s="507"/>
      <c r="GD9" s="507"/>
      <c r="GE9" s="507"/>
      <c r="GF9" s="507"/>
      <c r="GG9" s="507"/>
      <c r="GH9" s="507"/>
      <c r="GI9" s="507"/>
      <c r="GJ9" s="507"/>
      <c r="GK9" s="507"/>
      <c r="GL9" s="507"/>
      <c r="GM9" s="507"/>
      <c r="GN9" s="507"/>
      <c r="GO9" s="507"/>
      <c r="GP9" s="507"/>
      <c r="GQ9" s="507"/>
      <c r="GR9" s="507"/>
      <c r="GS9" s="507"/>
      <c r="GT9" s="507"/>
      <c r="GU9" s="507"/>
      <c r="GV9" s="507"/>
      <c r="GW9" s="507"/>
      <c r="GX9" s="507"/>
      <c r="GY9" s="507"/>
      <c r="GZ9" s="507"/>
      <c r="HA9" s="507"/>
      <c r="HB9" s="507"/>
      <c r="HC9" s="507"/>
      <c r="HD9" s="507"/>
      <c r="HE9" s="507"/>
      <c r="HF9" s="507"/>
      <c r="HG9" s="507"/>
      <c r="HH9" s="507"/>
      <c r="HI9" s="507"/>
      <c r="HJ9" s="507"/>
      <c r="HK9" s="507"/>
      <c r="HL9" s="507"/>
      <c r="HM9" s="507"/>
      <c r="HN9" s="507"/>
      <c r="HO9" s="507"/>
      <c r="HP9" s="507"/>
      <c r="HQ9" s="507"/>
      <c r="HR9" s="507"/>
      <c r="HS9" s="507"/>
      <c r="HT9" s="507"/>
      <c r="HU9" s="507"/>
      <c r="HV9" s="507"/>
      <c r="HW9" s="507"/>
      <c r="HX9" s="507"/>
      <c r="HY9" s="507"/>
      <c r="HZ9" s="507"/>
    </row>
    <row r="10" spans="1:234" s="232" customFormat="1" ht="15.9" hidden="1" customHeight="1" x14ac:dyDescent="0.25">
      <c r="A10" s="522" t="s">
        <v>4157</v>
      </c>
      <c r="B10" s="523" t="s">
        <v>2391</v>
      </c>
      <c r="C10" s="524" t="s">
        <v>1029</v>
      </c>
      <c r="D10" s="530" t="s">
        <v>781</v>
      </c>
      <c r="E10" s="524" t="s">
        <v>3228</v>
      </c>
      <c r="F10" s="543">
        <v>37560</v>
      </c>
      <c r="G10" s="544">
        <v>37529</v>
      </c>
      <c r="H10" s="562">
        <v>37560</v>
      </c>
      <c r="I10" s="546">
        <v>39507</v>
      </c>
      <c r="J10" s="547">
        <v>10000</v>
      </c>
      <c r="K10" s="558">
        <v>-0.03</v>
      </c>
      <c r="L10" s="559">
        <v>0.09</v>
      </c>
      <c r="M10" s="550">
        <v>0</v>
      </c>
      <c r="N10" s="560" t="s">
        <v>3229</v>
      </c>
      <c r="O10" s="552" t="s">
        <v>3229</v>
      </c>
      <c r="P10" s="552" t="s">
        <v>3229</v>
      </c>
      <c r="Q10" s="552" t="s">
        <v>3229</v>
      </c>
      <c r="R10" s="552" t="s">
        <v>3229</v>
      </c>
      <c r="S10" s="553"/>
      <c r="T10" s="554">
        <v>37926</v>
      </c>
      <c r="U10" s="555">
        <v>38292</v>
      </c>
      <c r="V10" s="555">
        <v>38657</v>
      </c>
      <c r="W10" s="555">
        <v>39022</v>
      </c>
      <c r="X10" s="555">
        <v>39479</v>
      </c>
      <c r="Y10" s="555" t="s">
        <v>3229</v>
      </c>
      <c r="Z10" s="555" t="s">
        <v>3229</v>
      </c>
      <c r="AA10" s="555" t="s">
        <v>3229</v>
      </c>
      <c r="AB10" s="555" t="s">
        <v>3229</v>
      </c>
      <c r="AC10" s="555" t="s">
        <v>3229</v>
      </c>
      <c r="AD10" s="555" t="s">
        <v>3229</v>
      </c>
      <c r="AE10" s="556" t="s">
        <v>3229</v>
      </c>
      <c r="AF10" s="3782" t="s">
        <v>781</v>
      </c>
      <c r="AG10" s="3765"/>
      <c r="AH10" s="622">
        <v>0.45</v>
      </c>
      <c r="AI10" s="622">
        <v>0.45</v>
      </c>
      <c r="AJ10" s="622">
        <v>0.1</v>
      </c>
      <c r="AK10" s="622" t="s">
        <v>3229</v>
      </c>
      <c r="AL10" s="622" t="s">
        <v>3229</v>
      </c>
      <c r="AM10" s="623" t="s">
        <v>3229</v>
      </c>
      <c r="AN10" s="576">
        <v>0.32999999999999996</v>
      </c>
      <c r="AO10" s="625">
        <v>13300</v>
      </c>
      <c r="AP10" s="1368"/>
      <c r="AQ10" s="658" t="s">
        <v>3229</v>
      </c>
      <c r="AR10" s="632">
        <f t="shared" si="0"/>
        <v>0.33000000000000007</v>
      </c>
      <c r="AS10" s="558">
        <f>POWER(1+AR10,1/((I10-F10)/365))-1</f>
        <v>5.4916795754361702E-2</v>
      </c>
      <c r="AT10" s="598" t="s">
        <v>3229</v>
      </c>
      <c r="AU10" s="552" t="s">
        <v>3229</v>
      </c>
      <c r="AV10" s="558">
        <f t="shared" si="2"/>
        <v>0.33000000000000007</v>
      </c>
      <c r="AW10" s="558">
        <f>POWER(1+AV10,1/((I10-F10)/365))-1</f>
        <v>5.4916795754361702E-2</v>
      </c>
      <c r="AX10" s="553" t="s">
        <v>3229</v>
      </c>
      <c r="AY10" s="552" t="s">
        <v>3229</v>
      </c>
      <c r="AZ10" s="559"/>
      <c r="BA10" s="634" t="s">
        <v>467</v>
      </c>
      <c r="BB10" s="581"/>
      <c r="BC10" s="637"/>
      <c r="BD10" s="3708"/>
      <c r="BE10" s="3743"/>
      <c r="BF10" s="3743"/>
      <c r="BG10" s="3708"/>
      <c r="BH10" s="3762"/>
      <c r="BI10" s="3762"/>
      <c r="BJ10" s="39"/>
      <c r="BK10" s="39"/>
      <c r="BL10" s="39"/>
      <c r="BM10" s="39"/>
      <c r="BN10" s="39"/>
      <c r="BO10" s="39"/>
      <c r="BP10" s="39"/>
      <c r="BQ10" s="39"/>
      <c r="BR10" s="39"/>
      <c r="BS10" s="507"/>
      <c r="BT10" s="507"/>
      <c r="BU10" s="507"/>
      <c r="BV10" s="507"/>
      <c r="BW10" s="507"/>
      <c r="BX10" s="507"/>
      <c r="BY10" s="507"/>
      <c r="BZ10" s="507"/>
      <c r="CA10" s="507"/>
      <c r="CB10" s="507"/>
      <c r="CC10" s="507"/>
      <c r="CD10" s="507"/>
      <c r="CE10" s="507"/>
      <c r="CF10" s="507"/>
      <c r="CG10" s="507"/>
      <c r="CH10" s="507"/>
      <c r="CI10" s="507"/>
      <c r="CJ10" s="507"/>
      <c r="CK10" s="507"/>
      <c r="CL10" s="507"/>
      <c r="CM10" s="507"/>
      <c r="CN10" s="507"/>
      <c r="CO10" s="507"/>
      <c r="CP10" s="507"/>
      <c r="CQ10" s="507"/>
      <c r="CR10" s="507"/>
      <c r="CS10" s="507"/>
      <c r="CT10" s="507"/>
      <c r="CU10" s="507"/>
      <c r="CV10" s="507"/>
      <c r="CW10" s="507"/>
      <c r="CX10" s="507"/>
      <c r="CY10" s="507"/>
      <c r="CZ10" s="507"/>
      <c r="DA10" s="507"/>
      <c r="DB10" s="507"/>
      <c r="DC10" s="507"/>
      <c r="DD10" s="507"/>
      <c r="DE10" s="507"/>
      <c r="DF10" s="507"/>
      <c r="DG10" s="507"/>
      <c r="DH10" s="507"/>
      <c r="DI10" s="507"/>
      <c r="DJ10" s="507"/>
      <c r="DK10" s="507"/>
      <c r="DL10" s="507"/>
      <c r="DM10" s="507"/>
      <c r="DN10" s="507"/>
      <c r="DO10" s="507"/>
      <c r="DP10" s="507"/>
      <c r="DQ10" s="507"/>
      <c r="DR10" s="507"/>
      <c r="DS10" s="507"/>
      <c r="DT10" s="507"/>
      <c r="DU10" s="507"/>
      <c r="DV10" s="507"/>
      <c r="DW10" s="507"/>
      <c r="DX10" s="507"/>
      <c r="DY10" s="507"/>
      <c r="DZ10" s="507"/>
      <c r="EA10" s="507"/>
      <c r="EB10" s="507"/>
      <c r="EC10" s="507"/>
      <c r="ED10" s="507"/>
      <c r="EE10" s="507"/>
      <c r="EF10" s="507"/>
      <c r="EG10" s="507"/>
      <c r="EH10" s="507"/>
      <c r="EI10" s="507"/>
      <c r="EJ10" s="507"/>
      <c r="EK10" s="507"/>
      <c r="EL10" s="507"/>
      <c r="EM10" s="507"/>
      <c r="EN10" s="507"/>
      <c r="EO10" s="507"/>
      <c r="EP10" s="507"/>
      <c r="EQ10" s="507"/>
      <c r="ER10" s="507"/>
      <c r="ES10" s="507"/>
      <c r="ET10" s="507"/>
      <c r="EU10" s="507"/>
      <c r="EV10" s="507"/>
      <c r="EW10" s="507"/>
      <c r="EX10" s="507"/>
      <c r="EY10" s="507"/>
      <c r="EZ10" s="507"/>
      <c r="FA10" s="507"/>
      <c r="FB10" s="507"/>
      <c r="FC10" s="507"/>
      <c r="FD10" s="507"/>
      <c r="FE10" s="507"/>
      <c r="FF10" s="507"/>
      <c r="FG10" s="507"/>
      <c r="FH10" s="507"/>
      <c r="FI10" s="507"/>
      <c r="FJ10" s="507"/>
      <c r="FK10" s="507"/>
      <c r="FL10" s="507"/>
      <c r="FM10" s="507"/>
      <c r="FN10" s="507"/>
      <c r="FO10" s="507"/>
      <c r="FP10" s="507"/>
      <c r="FQ10" s="507"/>
      <c r="FR10" s="507"/>
      <c r="FS10" s="507"/>
      <c r="FT10" s="507"/>
      <c r="FU10" s="507"/>
      <c r="FV10" s="507"/>
      <c r="FW10" s="507"/>
      <c r="FX10" s="507"/>
      <c r="FY10" s="507"/>
      <c r="FZ10" s="507"/>
      <c r="GA10" s="507"/>
      <c r="GB10" s="507"/>
      <c r="GC10" s="507"/>
      <c r="GD10" s="507"/>
      <c r="GE10" s="507"/>
      <c r="GF10" s="507"/>
      <c r="GG10" s="507"/>
      <c r="GH10" s="507"/>
      <c r="GI10" s="507"/>
      <c r="GJ10" s="507"/>
      <c r="GK10" s="507"/>
      <c r="GL10" s="507"/>
      <c r="GM10" s="507"/>
      <c r="GN10" s="507"/>
      <c r="GO10" s="507"/>
      <c r="GP10" s="507"/>
      <c r="GQ10" s="507"/>
      <c r="GR10" s="507"/>
      <c r="GS10" s="507"/>
      <c r="GT10" s="507"/>
      <c r="GU10" s="507"/>
      <c r="GV10" s="507"/>
      <c r="GW10" s="507"/>
      <c r="GX10" s="507"/>
      <c r="GY10" s="507"/>
      <c r="GZ10" s="507"/>
      <c r="HA10" s="507"/>
      <c r="HB10" s="507"/>
      <c r="HC10" s="507"/>
      <c r="HD10" s="507"/>
      <c r="HE10" s="507"/>
      <c r="HF10" s="507"/>
      <c r="HG10" s="507"/>
      <c r="HH10" s="507"/>
      <c r="HI10" s="507"/>
      <c r="HJ10" s="507"/>
      <c r="HK10" s="507"/>
      <c r="HL10" s="507"/>
      <c r="HM10" s="507"/>
      <c r="HN10" s="507"/>
      <c r="HO10" s="507"/>
      <c r="HP10" s="507"/>
      <c r="HQ10" s="507"/>
      <c r="HR10" s="507"/>
      <c r="HS10" s="507"/>
      <c r="HT10" s="507"/>
      <c r="HU10" s="507"/>
      <c r="HV10" s="507"/>
      <c r="HW10" s="507"/>
      <c r="HX10" s="507"/>
      <c r="HY10" s="507"/>
      <c r="HZ10" s="507"/>
    </row>
    <row r="11" spans="1:234" s="232" customFormat="1" ht="15.9" hidden="1" customHeight="1" x14ac:dyDescent="0.25">
      <c r="A11" s="522" t="s">
        <v>1388</v>
      </c>
      <c r="B11" s="523" t="s">
        <v>3085</v>
      </c>
      <c r="C11" s="524" t="s">
        <v>1030</v>
      </c>
      <c r="D11" s="530" t="s">
        <v>781</v>
      </c>
      <c r="E11" s="524" t="s">
        <v>3228</v>
      </c>
      <c r="F11" s="543">
        <v>37638</v>
      </c>
      <c r="G11" s="544">
        <v>37585</v>
      </c>
      <c r="H11" s="557">
        <v>37638</v>
      </c>
      <c r="I11" s="546">
        <v>39294</v>
      </c>
      <c r="J11" s="547">
        <v>10000</v>
      </c>
      <c r="K11" s="558">
        <v>-0.03</v>
      </c>
      <c r="L11" s="559">
        <v>7.1499999999999994E-2</v>
      </c>
      <c r="M11" s="550">
        <v>0.06</v>
      </c>
      <c r="N11" s="560" t="s">
        <v>3229</v>
      </c>
      <c r="O11" s="552" t="s">
        <v>3229</v>
      </c>
      <c r="P11" s="552" t="s">
        <v>3229</v>
      </c>
      <c r="Q11" s="552" t="s">
        <v>3229</v>
      </c>
      <c r="R11" s="552" t="s">
        <v>3229</v>
      </c>
      <c r="S11" s="553"/>
      <c r="T11" s="554">
        <v>38018</v>
      </c>
      <c r="U11" s="555">
        <v>38384</v>
      </c>
      <c r="V11" s="555">
        <v>38749</v>
      </c>
      <c r="W11" s="555">
        <v>39264</v>
      </c>
      <c r="X11" s="555" t="s">
        <v>3229</v>
      </c>
      <c r="Y11" s="555" t="s">
        <v>3229</v>
      </c>
      <c r="Z11" s="555" t="s">
        <v>3229</v>
      </c>
      <c r="AA11" s="555" t="s">
        <v>3229</v>
      </c>
      <c r="AB11" s="555" t="s">
        <v>3229</v>
      </c>
      <c r="AC11" s="555" t="s">
        <v>3229</v>
      </c>
      <c r="AD11" s="555" t="s">
        <v>3229</v>
      </c>
      <c r="AE11" s="556" t="s">
        <v>3229</v>
      </c>
      <c r="AF11" s="3782" t="s">
        <v>781</v>
      </c>
      <c r="AG11" s="3783"/>
      <c r="AH11" s="622">
        <v>0.5</v>
      </c>
      <c r="AI11" s="622">
        <v>0.5</v>
      </c>
      <c r="AJ11" s="622" t="s">
        <v>3229</v>
      </c>
      <c r="AK11" s="622" t="s">
        <v>3229</v>
      </c>
      <c r="AL11" s="622" t="s">
        <v>3229</v>
      </c>
      <c r="AM11" s="623" t="s">
        <v>3229</v>
      </c>
      <c r="AN11" s="576">
        <v>0.27200000000000002</v>
      </c>
      <c r="AO11" s="625">
        <v>12837.31</v>
      </c>
      <c r="AP11" s="1368"/>
      <c r="AQ11" s="658">
        <v>0.8920644196302896</v>
      </c>
      <c r="AR11" s="632">
        <f t="shared" si="0"/>
        <v>0.28373099999999996</v>
      </c>
      <c r="AS11" s="558">
        <f>POWER(1+AR11,1/(I11-F11)*365)-1</f>
        <v>5.6595675429382597E-2</v>
      </c>
      <c r="AT11" s="633" t="s">
        <v>3229</v>
      </c>
      <c r="AU11" s="635" t="s">
        <v>3229</v>
      </c>
      <c r="AV11" s="558">
        <f t="shared" si="2"/>
        <v>0.28373099999999996</v>
      </c>
      <c r="AW11" s="558">
        <f>POWER(1+AV11,1/(I11-F11)*365)-1</f>
        <v>5.6595675429382597E-2</v>
      </c>
      <c r="AX11" s="553" t="s">
        <v>3229</v>
      </c>
      <c r="AY11" s="552" t="s">
        <v>3229</v>
      </c>
      <c r="AZ11" s="552"/>
      <c r="BA11" s="634" t="s">
        <v>3189</v>
      </c>
      <c r="BB11" s="581"/>
      <c r="BC11" s="636"/>
      <c r="BD11" s="3708"/>
      <c r="BE11" s="3743"/>
      <c r="BF11" s="3743"/>
      <c r="BG11" s="3708"/>
      <c r="BH11" s="3762"/>
      <c r="BI11" s="3762"/>
      <c r="BJ11" s="39"/>
      <c r="BK11" s="39"/>
      <c r="BL11" s="39"/>
      <c r="BM11" s="39"/>
      <c r="BN11" s="39"/>
      <c r="BO11" s="39"/>
      <c r="BP11" s="39"/>
      <c r="BQ11" s="39"/>
      <c r="BR11" s="39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507"/>
      <c r="DH11" s="507"/>
      <c r="DI11" s="507"/>
      <c r="DJ11" s="507"/>
      <c r="DK11" s="507"/>
      <c r="DL11" s="507"/>
      <c r="DM11" s="507"/>
      <c r="DN11" s="507"/>
      <c r="DO11" s="507"/>
      <c r="DP11" s="507"/>
      <c r="DQ11" s="507"/>
      <c r="DR11" s="507"/>
      <c r="DS11" s="507"/>
      <c r="DT11" s="507"/>
      <c r="DU11" s="507"/>
      <c r="DV11" s="507"/>
      <c r="DW11" s="507"/>
      <c r="DX11" s="507"/>
      <c r="DY11" s="507"/>
      <c r="DZ11" s="507"/>
      <c r="EA11" s="507"/>
      <c r="EB11" s="507"/>
      <c r="EC11" s="507"/>
      <c r="ED11" s="507"/>
      <c r="EE11" s="507"/>
      <c r="EF11" s="507"/>
      <c r="EG11" s="507"/>
      <c r="EH11" s="507"/>
      <c r="EI11" s="507"/>
      <c r="EJ11" s="507"/>
      <c r="EK11" s="507"/>
      <c r="EL11" s="507"/>
      <c r="EM11" s="507"/>
      <c r="EN11" s="507"/>
      <c r="EO11" s="507"/>
      <c r="EP11" s="507"/>
      <c r="EQ11" s="507"/>
      <c r="ER11" s="507"/>
      <c r="ES11" s="507"/>
      <c r="ET11" s="507"/>
      <c r="EU11" s="507"/>
      <c r="EV11" s="507"/>
      <c r="EW11" s="507"/>
      <c r="EX11" s="507"/>
      <c r="EY11" s="507"/>
      <c r="EZ11" s="507"/>
      <c r="FA11" s="507"/>
      <c r="FB11" s="507"/>
      <c r="FC11" s="507"/>
      <c r="FD11" s="507"/>
      <c r="FE11" s="507"/>
      <c r="FF11" s="507"/>
      <c r="FG11" s="507"/>
      <c r="FH11" s="507"/>
      <c r="FI11" s="507"/>
      <c r="FJ11" s="507"/>
      <c r="FK11" s="507"/>
      <c r="FL11" s="507"/>
      <c r="FM11" s="507"/>
      <c r="FN11" s="507"/>
      <c r="FO11" s="507"/>
      <c r="FP11" s="507"/>
      <c r="FQ11" s="507"/>
      <c r="FR11" s="507"/>
      <c r="FS11" s="507"/>
      <c r="FT11" s="507"/>
      <c r="FU11" s="507"/>
      <c r="FV11" s="507"/>
      <c r="FW11" s="507"/>
      <c r="FX11" s="507"/>
      <c r="FY11" s="507"/>
      <c r="FZ11" s="507"/>
      <c r="GA11" s="507"/>
      <c r="GB11" s="507"/>
      <c r="GC11" s="507"/>
      <c r="GD11" s="507"/>
      <c r="GE11" s="507"/>
      <c r="GF11" s="507"/>
      <c r="GG11" s="507"/>
      <c r="GH11" s="507"/>
      <c r="GI11" s="507"/>
      <c r="GJ11" s="507"/>
      <c r="GK11" s="507"/>
      <c r="GL11" s="507"/>
      <c r="GM11" s="507"/>
      <c r="GN11" s="507"/>
      <c r="GO11" s="507"/>
      <c r="GP11" s="507"/>
      <c r="GQ11" s="507"/>
      <c r="GR11" s="507"/>
      <c r="GS11" s="507"/>
      <c r="GT11" s="507"/>
      <c r="GU11" s="507"/>
      <c r="GV11" s="507"/>
      <c r="GW11" s="507"/>
      <c r="GX11" s="507"/>
      <c r="GY11" s="507"/>
      <c r="GZ11" s="507"/>
      <c r="HA11" s="507"/>
      <c r="HB11" s="507"/>
      <c r="HC11" s="507"/>
      <c r="HD11" s="507"/>
      <c r="HE11" s="507"/>
      <c r="HF11" s="507"/>
      <c r="HG11" s="507"/>
      <c r="HH11" s="507"/>
      <c r="HI11" s="507"/>
      <c r="HJ11" s="507"/>
      <c r="HK11" s="507"/>
      <c r="HL11" s="507"/>
      <c r="HM11" s="507"/>
      <c r="HN11" s="507"/>
      <c r="HO11" s="507"/>
      <c r="HP11" s="507"/>
      <c r="HQ11" s="507"/>
      <c r="HR11" s="507"/>
      <c r="HS11" s="507"/>
      <c r="HT11" s="507"/>
      <c r="HU11" s="507"/>
      <c r="HV11" s="507"/>
      <c r="HW11" s="507"/>
      <c r="HX11" s="507"/>
      <c r="HY11" s="507"/>
      <c r="HZ11" s="507"/>
    </row>
    <row r="12" spans="1:234" s="232" customFormat="1" ht="15.9" hidden="1" customHeight="1" x14ac:dyDescent="0.25">
      <c r="A12" s="522" t="s">
        <v>4493</v>
      </c>
      <c r="B12" s="523" t="s">
        <v>1419</v>
      </c>
      <c r="C12" s="524" t="s">
        <v>2849</v>
      </c>
      <c r="D12" s="530" t="s">
        <v>781</v>
      </c>
      <c r="E12" s="524" t="s">
        <v>3228</v>
      </c>
      <c r="F12" s="543">
        <v>37694</v>
      </c>
      <c r="G12" s="544">
        <v>37655</v>
      </c>
      <c r="H12" s="557">
        <v>37694</v>
      </c>
      <c r="I12" s="546">
        <v>38835</v>
      </c>
      <c r="J12" s="547">
        <v>10000</v>
      </c>
      <c r="K12" s="558">
        <v>0</v>
      </c>
      <c r="L12" s="559">
        <v>0.01</v>
      </c>
      <c r="M12" s="550">
        <v>0</v>
      </c>
      <c r="N12" s="560" t="s">
        <v>3229</v>
      </c>
      <c r="O12" s="552" t="s">
        <v>3229</v>
      </c>
      <c r="P12" s="552" t="s">
        <v>3229</v>
      </c>
      <c r="Q12" s="552" t="s">
        <v>3229</v>
      </c>
      <c r="R12" s="552" t="s">
        <v>3229</v>
      </c>
      <c r="S12" s="553"/>
      <c r="T12" s="3776" t="s">
        <v>1832</v>
      </c>
      <c r="U12" s="3777"/>
      <c r="V12" s="3777"/>
      <c r="W12" s="3777"/>
      <c r="X12" s="3777"/>
      <c r="Y12" s="3777"/>
      <c r="Z12" s="3777"/>
      <c r="AA12" s="3777"/>
      <c r="AB12" s="3777"/>
      <c r="AC12" s="3777"/>
      <c r="AD12" s="3777"/>
      <c r="AE12" s="3778"/>
      <c r="AF12" s="3782" t="s">
        <v>781</v>
      </c>
      <c r="AG12" s="3783"/>
      <c r="AH12" s="622">
        <v>0.5</v>
      </c>
      <c r="AI12" s="622">
        <v>0.5</v>
      </c>
      <c r="AJ12" s="622" t="s">
        <v>3229</v>
      </c>
      <c r="AK12" s="622" t="s">
        <v>3229</v>
      </c>
      <c r="AL12" s="622" t="s">
        <v>3229</v>
      </c>
      <c r="AM12" s="623" t="s">
        <v>3229</v>
      </c>
      <c r="AN12" s="576">
        <v>0.10999999999999999</v>
      </c>
      <c r="AO12" s="625">
        <v>11100</v>
      </c>
      <c r="AP12" s="688"/>
      <c r="AQ12" s="549">
        <v>0.63301635956842639</v>
      </c>
      <c r="AR12" s="632">
        <f t="shared" si="0"/>
        <v>0.1100000000000001</v>
      </c>
      <c r="AS12" s="558">
        <f t="shared" ref="AS12:AS66" si="4">POWER(1+AR12,1/((I12-F12)/365))-1</f>
        <v>3.3947735909541032E-2</v>
      </c>
      <c r="AT12" s="633" t="s">
        <v>3229</v>
      </c>
      <c r="AU12" s="552" t="s">
        <v>3229</v>
      </c>
      <c r="AV12" s="558">
        <f t="shared" si="2"/>
        <v>0.1100000000000001</v>
      </c>
      <c r="AW12" s="558">
        <f>POWER(1+AV12,1/(I12-F12)*365)-1</f>
        <v>3.3947735909541032E-2</v>
      </c>
      <c r="AX12" s="553" t="s">
        <v>3229</v>
      </c>
      <c r="AY12" s="552" t="s">
        <v>3229</v>
      </c>
      <c r="AZ12" s="552"/>
      <c r="BA12" s="634" t="s">
        <v>2867</v>
      </c>
      <c r="BB12" s="581"/>
      <c r="BC12" s="637"/>
      <c r="BD12" s="3708"/>
      <c r="BE12" s="3743"/>
      <c r="BF12" s="3743"/>
      <c r="BG12" s="3708"/>
      <c r="BH12" s="3762"/>
      <c r="BI12" s="3762"/>
      <c r="BJ12" s="39"/>
      <c r="BK12" s="39"/>
      <c r="BL12" s="39"/>
      <c r="BM12" s="39"/>
      <c r="BN12" s="39"/>
      <c r="BO12" s="39"/>
      <c r="BP12" s="39"/>
      <c r="BQ12" s="39"/>
      <c r="BR12" s="39"/>
      <c r="BS12" s="507"/>
      <c r="BT12" s="507"/>
      <c r="BU12" s="507"/>
      <c r="BV12" s="507"/>
      <c r="BW12" s="507"/>
      <c r="BX12" s="507"/>
      <c r="BY12" s="507"/>
      <c r="BZ12" s="507"/>
      <c r="CA12" s="507"/>
      <c r="CB12" s="507"/>
      <c r="CC12" s="507"/>
      <c r="CD12" s="507"/>
      <c r="CE12" s="507"/>
      <c r="CF12" s="507"/>
      <c r="CG12" s="507"/>
      <c r="CH12" s="507"/>
      <c r="CI12" s="507"/>
      <c r="CJ12" s="507"/>
      <c r="CK12" s="507"/>
      <c r="CL12" s="507"/>
      <c r="CM12" s="507"/>
      <c r="CN12" s="507"/>
      <c r="CO12" s="507"/>
      <c r="CP12" s="507"/>
      <c r="CQ12" s="507"/>
      <c r="CR12" s="507"/>
      <c r="CS12" s="507"/>
      <c r="CT12" s="507"/>
      <c r="CU12" s="507"/>
      <c r="CV12" s="507"/>
      <c r="CW12" s="507"/>
      <c r="CX12" s="507"/>
      <c r="CY12" s="507"/>
      <c r="CZ12" s="507"/>
      <c r="DA12" s="507"/>
      <c r="DB12" s="507"/>
      <c r="DC12" s="507"/>
      <c r="DD12" s="507"/>
      <c r="DE12" s="507"/>
      <c r="DF12" s="507"/>
      <c r="DG12" s="507"/>
      <c r="DH12" s="507"/>
      <c r="DI12" s="507"/>
      <c r="DJ12" s="507"/>
      <c r="DK12" s="507"/>
      <c r="DL12" s="507"/>
      <c r="DM12" s="507"/>
      <c r="DN12" s="507"/>
      <c r="DO12" s="507"/>
      <c r="DP12" s="507"/>
      <c r="DQ12" s="507"/>
      <c r="DR12" s="507"/>
      <c r="DS12" s="507"/>
      <c r="DT12" s="507"/>
      <c r="DU12" s="507"/>
      <c r="DV12" s="507"/>
      <c r="DW12" s="507"/>
      <c r="DX12" s="507"/>
      <c r="DY12" s="507"/>
      <c r="DZ12" s="507"/>
      <c r="EA12" s="507"/>
      <c r="EB12" s="507"/>
      <c r="EC12" s="507"/>
      <c r="ED12" s="507"/>
      <c r="EE12" s="507"/>
      <c r="EF12" s="507"/>
      <c r="EG12" s="507"/>
      <c r="EH12" s="507"/>
      <c r="EI12" s="507"/>
      <c r="EJ12" s="507"/>
      <c r="EK12" s="507"/>
      <c r="EL12" s="507"/>
      <c r="EM12" s="507"/>
      <c r="EN12" s="507"/>
      <c r="EO12" s="507"/>
      <c r="EP12" s="507"/>
      <c r="EQ12" s="507"/>
      <c r="ER12" s="507"/>
      <c r="ES12" s="507"/>
      <c r="ET12" s="507"/>
      <c r="EU12" s="507"/>
      <c r="EV12" s="507"/>
      <c r="EW12" s="507"/>
      <c r="EX12" s="507"/>
      <c r="EY12" s="507"/>
      <c r="EZ12" s="507"/>
      <c r="FA12" s="507"/>
      <c r="FB12" s="507"/>
      <c r="FC12" s="507"/>
      <c r="FD12" s="507"/>
      <c r="FE12" s="507"/>
      <c r="FF12" s="507"/>
      <c r="FG12" s="507"/>
      <c r="FH12" s="507"/>
      <c r="FI12" s="507"/>
      <c r="FJ12" s="507"/>
      <c r="FK12" s="507"/>
      <c r="FL12" s="507"/>
      <c r="FM12" s="507"/>
      <c r="FN12" s="507"/>
      <c r="FO12" s="507"/>
      <c r="FP12" s="507"/>
      <c r="FQ12" s="507"/>
      <c r="FR12" s="507"/>
      <c r="FS12" s="507"/>
      <c r="FT12" s="507"/>
      <c r="FU12" s="507"/>
      <c r="FV12" s="507"/>
      <c r="FW12" s="507"/>
      <c r="FX12" s="507"/>
      <c r="FY12" s="507"/>
      <c r="FZ12" s="507"/>
      <c r="GA12" s="507"/>
      <c r="GB12" s="507"/>
      <c r="GC12" s="507"/>
      <c r="GD12" s="507"/>
      <c r="GE12" s="507"/>
      <c r="GF12" s="507"/>
      <c r="GG12" s="507"/>
      <c r="GH12" s="507"/>
      <c r="GI12" s="507"/>
      <c r="GJ12" s="507"/>
      <c r="GK12" s="507"/>
      <c r="GL12" s="507"/>
      <c r="GM12" s="507"/>
      <c r="GN12" s="507"/>
      <c r="GO12" s="507"/>
      <c r="GP12" s="507"/>
      <c r="GQ12" s="507"/>
      <c r="GR12" s="507"/>
      <c r="GS12" s="507"/>
      <c r="GT12" s="507"/>
      <c r="GU12" s="507"/>
      <c r="GV12" s="507"/>
      <c r="GW12" s="507"/>
      <c r="GX12" s="507"/>
      <c r="GY12" s="507"/>
      <c r="GZ12" s="507"/>
      <c r="HA12" s="507"/>
      <c r="HB12" s="507"/>
      <c r="HC12" s="507"/>
      <c r="HD12" s="507"/>
      <c r="HE12" s="507"/>
      <c r="HF12" s="507"/>
      <c r="HG12" s="507"/>
      <c r="HH12" s="507"/>
      <c r="HI12" s="507"/>
      <c r="HJ12" s="507"/>
      <c r="HK12" s="507"/>
      <c r="HL12" s="507"/>
      <c r="HM12" s="507"/>
      <c r="HN12" s="507"/>
      <c r="HO12" s="507"/>
      <c r="HP12" s="507"/>
      <c r="HQ12" s="507"/>
      <c r="HR12" s="507"/>
      <c r="HS12" s="507"/>
      <c r="HT12" s="507"/>
      <c r="HU12" s="507"/>
      <c r="HV12" s="507"/>
      <c r="HW12" s="507"/>
      <c r="HX12" s="507"/>
      <c r="HY12" s="507"/>
      <c r="HZ12" s="507"/>
    </row>
    <row r="13" spans="1:234" s="205" customFormat="1" ht="15.9" hidden="1" customHeight="1" x14ac:dyDescent="0.25">
      <c r="A13" s="522" t="s">
        <v>4106</v>
      </c>
      <c r="B13" s="525" t="s">
        <v>1420</v>
      </c>
      <c r="C13" s="524" t="s">
        <v>3171</v>
      </c>
      <c r="D13" s="564" t="s">
        <v>781</v>
      </c>
      <c r="E13" s="524" t="s">
        <v>3228</v>
      </c>
      <c r="F13" s="543">
        <v>37764</v>
      </c>
      <c r="G13" s="544">
        <v>37712</v>
      </c>
      <c r="H13" s="565">
        <v>37757</v>
      </c>
      <c r="I13" s="546">
        <v>39353</v>
      </c>
      <c r="J13" s="547">
        <v>10000</v>
      </c>
      <c r="K13" s="558">
        <v>-0.03</v>
      </c>
      <c r="L13" s="559">
        <v>7.0000000000000007E-2</v>
      </c>
      <c r="M13" s="550">
        <v>0.04</v>
      </c>
      <c r="N13" s="560" t="s">
        <v>3229</v>
      </c>
      <c r="O13" s="552" t="s">
        <v>3229</v>
      </c>
      <c r="P13" s="552" t="s">
        <v>3229</v>
      </c>
      <c r="Q13" s="552" t="s">
        <v>3229</v>
      </c>
      <c r="R13" s="552" t="s">
        <v>3229</v>
      </c>
      <c r="S13" s="553"/>
      <c r="T13" s="554">
        <v>38139</v>
      </c>
      <c r="U13" s="555">
        <v>38504</v>
      </c>
      <c r="V13" s="555">
        <v>38869</v>
      </c>
      <c r="W13" s="555">
        <v>39326</v>
      </c>
      <c r="X13" s="555" t="s">
        <v>3229</v>
      </c>
      <c r="Y13" s="555" t="s">
        <v>3229</v>
      </c>
      <c r="Z13" s="555" t="s">
        <v>3229</v>
      </c>
      <c r="AA13" s="555" t="s">
        <v>3229</v>
      </c>
      <c r="AB13" s="555" t="s">
        <v>3229</v>
      </c>
      <c r="AC13" s="555" t="s">
        <v>3229</v>
      </c>
      <c r="AD13" s="555" t="s">
        <v>3229</v>
      </c>
      <c r="AE13" s="556" t="s">
        <v>3229</v>
      </c>
      <c r="AF13" s="3782" t="s">
        <v>781</v>
      </c>
      <c r="AG13" s="3765"/>
      <c r="AH13" s="622">
        <v>0.5</v>
      </c>
      <c r="AI13" s="622">
        <v>0.5</v>
      </c>
      <c r="AJ13" s="622" t="s">
        <v>3229</v>
      </c>
      <c r="AK13" s="622" t="s">
        <v>3229</v>
      </c>
      <c r="AL13" s="622" t="s">
        <v>3229</v>
      </c>
      <c r="AM13" s="639" t="s">
        <v>3229</v>
      </c>
      <c r="AN13" s="640">
        <v>0.28000000000000003</v>
      </c>
      <c r="AO13" s="625">
        <v>12864.26</v>
      </c>
      <c r="AP13" s="1369"/>
      <c r="AQ13" s="549">
        <v>0.70498701559605204</v>
      </c>
      <c r="AR13" s="632">
        <f t="shared" si="0"/>
        <v>0.28642600000000007</v>
      </c>
      <c r="AS13" s="558">
        <f t="shared" si="4"/>
        <v>5.9561456998117102E-2</v>
      </c>
      <c r="AT13" s="633" t="s">
        <v>3229</v>
      </c>
      <c r="AU13" s="552" t="s">
        <v>3229</v>
      </c>
      <c r="AV13" s="558">
        <f t="shared" si="2"/>
        <v>0.28642600000000007</v>
      </c>
      <c r="AW13" s="558">
        <f>POWER(1+AV13,1/((I13-F13)/365))-1</f>
        <v>5.9561456998117102E-2</v>
      </c>
      <c r="AX13" s="553" t="s">
        <v>3229</v>
      </c>
      <c r="AY13" s="552" t="s">
        <v>3229</v>
      </c>
      <c r="AZ13" s="552"/>
      <c r="BA13" s="634" t="s">
        <v>3189</v>
      </c>
      <c r="BB13" s="634"/>
      <c r="BC13" s="641"/>
      <c r="BD13" s="3708"/>
      <c r="BE13" s="3743"/>
      <c r="BF13" s="3743"/>
      <c r="BG13" s="3708"/>
      <c r="BH13" s="3762"/>
      <c r="BI13" s="3762"/>
      <c r="BJ13" s="39"/>
      <c r="BK13" s="39"/>
      <c r="BL13" s="39"/>
      <c r="BM13" s="39"/>
      <c r="BN13" s="39"/>
      <c r="BO13" s="39"/>
      <c r="BP13" s="39"/>
      <c r="BQ13" s="39"/>
      <c r="BR13" s="39"/>
      <c r="BS13" s="506"/>
      <c r="BT13" s="506"/>
      <c r="BU13" s="506"/>
      <c r="BV13" s="506"/>
      <c r="BW13" s="506"/>
      <c r="BX13" s="506"/>
      <c r="BY13" s="506"/>
      <c r="BZ13" s="506"/>
      <c r="CA13" s="506"/>
      <c r="CB13" s="506"/>
      <c r="CC13" s="506"/>
      <c r="CD13" s="506"/>
      <c r="CE13" s="506"/>
      <c r="CF13" s="506"/>
      <c r="CG13" s="506"/>
      <c r="CH13" s="506"/>
      <c r="CI13" s="506"/>
      <c r="CJ13" s="506"/>
      <c r="CK13" s="506"/>
      <c r="CL13" s="506"/>
      <c r="CM13" s="506"/>
      <c r="CN13" s="506"/>
      <c r="CO13" s="506"/>
      <c r="CP13" s="506"/>
      <c r="CQ13" s="506"/>
      <c r="CR13" s="506"/>
      <c r="CS13" s="506"/>
      <c r="CT13" s="506"/>
      <c r="CU13" s="506"/>
      <c r="CV13" s="506"/>
      <c r="CW13" s="506"/>
      <c r="CX13" s="506"/>
      <c r="CY13" s="506"/>
      <c r="CZ13" s="506"/>
      <c r="DA13" s="506"/>
      <c r="DB13" s="506"/>
      <c r="DC13" s="506"/>
      <c r="DD13" s="506"/>
      <c r="DE13" s="506"/>
      <c r="DF13" s="506"/>
      <c r="DG13" s="506"/>
      <c r="DH13" s="506"/>
      <c r="DI13" s="506"/>
      <c r="DJ13" s="506"/>
      <c r="DK13" s="506"/>
      <c r="DL13" s="506"/>
      <c r="DM13" s="506"/>
      <c r="DN13" s="506"/>
      <c r="DO13" s="506"/>
      <c r="DP13" s="506"/>
      <c r="DQ13" s="506"/>
      <c r="DR13" s="506"/>
      <c r="DS13" s="506"/>
      <c r="DT13" s="506"/>
      <c r="DU13" s="506"/>
      <c r="DV13" s="506"/>
      <c r="DW13" s="506"/>
      <c r="DX13" s="506"/>
      <c r="DY13" s="506"/>
      <c r="DZ13" s="506"/>
      <c r="EA13" s="506"/>
      <c r="EB13" s="506"/>
      <c r="EC13" s="506"/>
      <c r="ED13" s="506"/>
      <c r="EE13" s="506"/>
      <c r="EF13" s="506"/>
      <c r="EG13" s="506"/>
      <c r="EH13" s="506"/>
      <c r="EI13" s="506"/>
      <c r="EJ13" s="506"/>
      <c r="EK13" s="506"/>
      <c r="EL13" s="506"/>
      <c r="EM13" s="506"/>
      <c r="EN13" s="506"/>
      <c r="EO13" s="506"/>
      <c r="EP13" s="506"/>
      <c r="EQ13" s="506"/>
      <c r="ER13" s="506"/>
      <c r="ES13" s="506"/>
      <c r="ET13" s="506"/>
      <c r="EU13" s="506"/>
      <c r="EV13" s="506"/>
      <c r="EW13" s="506"/>
      <c r="EX13" s="506"/>
      <c r="EY13" s="506"/>
      <c r="EZ13" s="506"/>
      <c r="FA13" s="506"/>
      <c r="FB13" s="506"/>
      <c r="FC13" s="506"/>
      <c r="FD13" s="506"/>
      <c r="FE13" s="506"/>
      <c r="FF13" s="506"/>
      <c r="FG13" s="506"/>
      <c r="FH13" s="506"/>
      <c r="FI13" s="506"/>
      <c r="FJ13" s="506"/>
      <c r="FK13" s="506"/>
      <c r="FL13" s="506"/>
      <c r="FM13" s="506"/>
      <c r="FN13" s="506"/>
      <c r="FO13" s="506"/>
      <c r="FP13" s="506"/>
      <c r="FQ13" s="506"/>
      <c r="FR13" s="506"/>
      <c r="FS13" s="506"/>
      <c r="FT13" s="506"/>
      <c r="FU13" s="506"/>
      <c r="FV13" s="506"/>
      <c r="FW13" s="506"/>
      <c r="FX13" s="506"/>
      <c r="FY13" s="506"/>
      <c r="FZ13" s="506"/>
      <c r="GA13" s="506"/>
      <c r="GB13" s="506"/>
      <c r="GC13" s="506"/>
      <c r="GD13" s="506"/>
      <c r="GE13" s="506"/>
      <c r="GF13" s="506"/>
      <c r="GG13" s="506"/>
      <c r="GH13" s="506"/>
      <c r="GI13" s="506"/>
      <c r="GJ13" s="506"/>
      <c r="GK13" s="506"/>
      <c r="GL13" s="506"/>
      <c r="GM13" s="506"/>
      <c r="GN13" s="506"/>
      <c r="GO13" s="506"/>
      <c r="GP13" s="506"/>
      <c r="GQ13" s="506"/>
      <c r="GR13" s="506"/>
      <c r="GS13" s="506"/>
      <c r="GT13" s="506"/>
      <c r="GU13" s="506"/>
      <c r="GV13" s="506"/>
      <c r="GW13" s="506"/>
      <c r="GX13" s="506"/>
      <c r="GY13" s="506"/>
      <c r="GZ13" s="506"/>
      <c r="HA13" s="506"/>
      <c r="HB13" s="506"/>
      <c r="HC13" s="506"/>
      <c r="HD13" s="506"/>
      <c r="HE13" s="506"/>
      <c r="HF13" s="506"/>
      <c r="HG13" s="506"/>
      <c r="HH13" s="506"/>
      <c r="HI13" s="506"/>
      <c r="HJ13" s="506"/>
      <c r="HK13" s="506"/>
      <c r="HL13" s="506"/>
      <c r="HM13" s="506"/>
      <c r="HN13" s="506"/>
      <c r="HO13" s="506"/>
      <c r="HP13" s="506"/>
      <c r="HQ13" s="506"/>
      <c r="HR13" s="506"/>
      <c r="HS13" s="506"/>
      <c r="HT13" s="506"/>
      <c r="HU13" s="506"/>
      <c r="HV13" s="506"/>
      <c r="HW13" s="506"/>
      <c r="HX13" s="506"/>
      <c r="HY13" s="506"/>
      <c r="HZ13" s="506"/>
    </row>
    <row r="14" spans="1:234" s="232" customFormat="1" ht="15.9" hidden="1" customHeight="1" x14ac:dyDescent="0.25">
      <c r="A14" s="522" t="s">
        <v>3410</v>
      </c>
      <c r="B14" s="523" t="s">
        <v>1121</v>
      </c>
      <c r="C14" s="524" t="s">
        <v>777</v>
      </c>
      <c r="D14" s="564" t="s">
        <v>189</v>
      </c>
      <c r="E14" s="524" t="s">
        <v>3228</v>
      </c>
      <c r="F14" s="543">
        <v>37820</v>
      </c>
      <c r="G14" s="544">
        <v>37774</v>
      </c>
      <c r="H14" s="565">
        <v>37813</v>
      </c>
      <c r="I14" s="546">
        <v>39780</v>
      </c>
      <c r="J14" s="547">
        <v>10000</v>
      </c>
      <c r="K14" s="558">
        <v>-0.03</v>
      </c>
      <c r="L14" s="559">
        <v>0.06</v>
      </c>
      <c r="M14" s="550">
        <v>0.08</v>
      </c>
      <c r="N14" s="560" t="s">
        <v>3229</v>
      </c>
      <c r="O14" s="552" t="s">
        <v>3229</v>
      </c>
      <c r="P14" s="552" t="s">
        <v>3229</v>
      </c>
      <c r="Q14" s="552" t="s">
        <v>3229</v>
      </c>
      <c r="R14" s="552" t="s">
        <v>3229</v>
      </c>
      <c r="S14" s="566">
        <v>5</v>
      </c>
      <c r="T14" s="554">
        <v>38169</v>
      </c>
      <c r="U14" s="555">
        <v>38534</v>
      </c>
      <c r="V14" s="555">
        <v>38899</v>
      </c>
      <c r="W14" s="555">
        <v>39264</v>
      </c>
      <c r="X14" s="555">
        <v>39753</v>
      </c>
      <c r="Y14" s="555" t="s">
        <v>3229</v>
      </c>
      <c r="Z14" s="555" t="s">
        <v>3229</v>
      </c>
      <c r="AA14" s="555" t="s">
        <v>3229</v>
      </c>
      <c r="AB14" s="555" t="s">
        <v>3229</v>
      </c>
      <c r="AC14" s="555" t="s">
        <v>3229</v>
      </c>
      <c r="AD14" s="555" t="s">
        <v>3229</v>
      </c>
      <c r="AE14" s="556" t="s">
        <v>3229</v>
      </c>
      <c r="AF14" s="3782" t="s">
        <v>781</v>
      </c>
      <c r="AG14" s="3765"/>
      <c r="AH14" s="622">
        <v>0.5</v>
      </c>
      <c r="AI14" s="622">
        <v>0.5</v>
      </c>
      <c r="AJ14" s="622" t="s">
        <v>3229</v>
      </c>
      <c r="AK14" s="622" t="s">
        <v>3229</v>
      </c>
      <c r="AL14" s="622" t="s">
        <v>3229</v>
      </c>
      <c r="AM14" s="639" t="s">
        <v>3229</v>
      </c>
      <c r="AN14" s="640">
        <v>0.21</v>
      </c>
      <c r="AO14" s="625">
        <v>12100</v>
      </c>
      <c r="AP14" s="1369"/>
      <c r="AQ14" s="658" t="s">
        <v>3229</v>
      </c>
      <c r="AR14" s="632">
        <f t="shared" si="0"/>
        <v>0.20999999999999996</v>
      </c>
      <c r="AS14" s="558">
        <f t="shared" si="4"/>
        <v>3.6135761543651723E-2</v>
      </c>
      <c r="AT14" s="633" t="s">
        <v>3229</v>
      </c>
      <c r="AU14" s="552" t="s">
        <v>3229</v>
      </c>
      <c r="AV14" s="558">
        <f t="shared" si="2"/>
        <v>0.20999999999999996</v>
      </c>
      <c r="AW14" s="558">
        <f>POWER(1+AV14,1/((I14-F14)/365))-1</f>
        <v>3.6135761543651723E-2</v>
      </c>
      <c r="AX14" s="553" t="s">
        <v>3229</v>
      </c>
      <c r="AY14" s="552" t="s">
        <v>3229</v>
      </c>
      <c r="AZ14" s="642"/>
      <c r="BA14" s="643" t="s">
        <v>3189</v>
      </c>
      <c r="BB14" s="568"/>
      <c r="BC14" s="641"/>
      <c r="BD14" s="3708"/>
      <c r="BE14" s="3743"/>
      <c r="BF14" s="3743"/>
      <c r="BG14" s="3708"/>
      <c r="BH14" s="3762"/>
      <c r="BI14" s="3762"/>
      <c r="BJ14" s="39"/>
      <c r="BK14" s="39"/>
      <c r="BL14" s="39"/>
      <c r="BM14" s="39"/>
      <c r="BN14" s="39"/>
      <c r="BO14" s="39"/>
      <c r="BP14" s="39"/>
      <c r="BQ14" s="39"/>
      <c r="BR14" s="39"/>
      <c r="BS14" s="507"/>
      <c r="BT14" s="507"/>
      <c r="BU14" s="507"/>
      <c r="BV14" s="507"/>
      <c r="BW14" s="507"/>
      <c r="BX14" s="507"/>
      <c r="BY14" s="507"/>
      <c r="BZ14" s="507"/>
      <c r="CA14" s="507"/>
      <c r="CB14" s="507"/>
      <c r="CC14" s="507"/>
      <c r="CD14" s="507"/>
      <c r="CE14" s="507"/>
      <c r="CF14" s="507"/>
      <c r="CG14" s="507"/>
      <c r="CH14" s="507"/>
      <c r="CI14" s="507"/>
      <c r="CJ14" s="507"/>
      <c r="CK14" s="507"/>
      <c r="CL14" s="507"/>
      <c r="CM14" s="507"/>
      <c r="CN14" s="507"/>
      <c r="CO14" s="507"/>
      <c r="CP14" s="507"/>
      <c r="CQ14" s="507"/>
      <c r="CR14" s="507"/>
      <c r="CS14" s="507"/>
      <c r="CT14" s="507"/>
      <c r="CU14" s="507"/>
      <c r="CV14" s="507"/>
      <c r="CW14" s="507"/>
      <c r="CX14" s="507"/>
      <c r="CY14" s="507"/>
      <c r="CZ14" s="507"/>
      <c r="DA14" s="507"/>
      <c r="DB14" s="507"/>
      <c r="DC14" s="507"/>
      <c r="DD14" s="507"/>
      <c r="DE14" s="507"/>
      <c r="DF14" s="507"/>
      <c r="DG14" s="507"/>
      <c r="DH14" s="507"/>
      <c r="DI14" s="507"/>
      <c r="DJ14" s="507"/>
      <c r="DK14" s="507"/>
      <c r="DL14" s="507"/>
      <c r="DM14" s="507"/>
      <c r="DN14" s="507"/>
      <c r="DO14" s="507"/>
      <c r="DP14" s="507"/>
      <c r="DQ14" s="507"/>
      <c r="DR14" s="507"/>
      <c r="DS14" s="507"/>
      <c r="DT14" s="507"/>
      <c r="DU14" s="507"/>
      <c r="DV14" s="507"/>
      <c r="DW14" s="507"/>
      <c r="DX14" s="507"/>
      <c r="DY14" s="507"/>
      <c r="DZ14" s="507"/>
      <c r="EA14" s="507"/>
      <c r="EB14" s="507"/>
      <c r="EC14" s="507"/>
      <c r="ED14" s="507"/>
      <c r="EE14" s="507"/>
      <c r="EF14" s="507"/>
      <c r="EG14" s="507"/>
      <c r="EH14" s="507"/>
      <c r="EI14" s="507"/>
      <c r="EJ14" s="507"/>
      <c r="EK14" s="507"/>
      <c r="EL14" s="507"/>
      <c r="EM14" s="507"/>
      <c r="EN14" s="507"/>
      <c r="EO14" s="507"/>
      <c r="EP14" s="507"/>
      <c r="EQ14" s="507"/>
      <c r="ER14" s="507"/>
      <c r="ES14" s="507"/>
      <c r="ET14" s="507"/>
      <c r="EU14" s="507"/>
      <c r="EV14" s="507"/>
      <c r="EW14" s="507"/>
      <c r="EX14" s="507"/>
      <c r="EY14" s="507"/>
      <c r="EZ14" s="507"/>
      <c r="FA14" s="507"/>
      <c r="FB14" s="507"/>
      <c r="FC14" s="507"/>
      <c r="FD14" s="507"/>
      <c r="FE14" s="507"/>
      <c r="FF14" s="507"/>
      <c r="FG14" s="507"/>
      <c r="FH14" s="507"/>
      <c r="FI14" s="507"/>
      <c r="FJ14" s="507"/>
      <c r="FK14" s="507"/>
      <c r="FL14" s="507"/>
      <c r="FM14" s="507"/>
      <c r="FN14" s="507"/>
      <c r="FO14" s="507"/>
      <c r="FP14" s="507"/>
      <c r="FQ14" s="507"/>
      <c r="FR14" s="507"/>
      <c r="FS14" s="507"/>
      <c r="FT14" s="507"/>
      <c r="FU14" s="507"/>
      <c r="FV14" s="507"/>
      <c r="FW14" s="507"/>
      <c r="FX14" s="507"/>
      <c r="FY14" s="507"/>
      <c r="FZ14" s="507"/>
      <c r="GA14" s="507"/>
      <c r="GB14" s="507"/>
      <c r="GC14" s="507"/>
      <c r="GD14" s="507"/>
      <c r="GE14" s="507"/>
      <c r="GF14" s="507"/>
      <c r="GG14" s="507"/>
      <c r="GH14" s="507"/>
      <c r="GI14" s="507"/>
      <c r="GJ14" s="507"/>
      <c r="GK14" s="507"/>
      <c r="GL14" s="507"/>
      <c r="GM14" s="507"/>
      <c r="GN14" s="507"/>
      <c r="GO14" s="507"/>
      <c r="GP14" s="507"/>
      <c r="GQ14" s="507"/>
      <c r="GR14" s="507"/>
      <c r="GS14" s="507"/>
      <c r="GT14" s="507"/>
      <c r="GU14" s="507"/>
      <c r="GV14" s="507"/>
      <c r="GW14" s="507"/>
      <c r="GX14" s="507"/>
      <c r="GY14" s="507"/>
      <c r="GZ14" s="507"/>
      <c r="HA14" s="507"/>
      <c r="HB14" s="507"/>
      <c r="HC14" s="507"/>
      <c r="HD14" s="507"/>
      <c r="HE14" s="507"/>
      <c r="HF14" s="507"/>
      <c r="HG14" s="507"/>
      <c r="HH14" s="507"/>
      <c r="HI14" s="507"/>
      <c r="HJ14" s="507"/>
      <c r="HK14" s="507"/>
      <c r="HL14" s="507"/>
      <c r="HM14" s="507"/>
      <c r="HN14" s="507"/>
      <c r="HO14" s="507"/>
      <c r="HP14" s="507"/>
      <c r="HQ14" s="507"/>
      <c r="HR14" s="507"/>
      <c r="HS14" s="507"/>
      <c r="HT14" s="507"/>
      <c r="HU14" s="507"/>
      <c r="HV14" s="507"/>
      <c r="HW14" s="507"/>
      <c r="HX14" s="507"/>
      <c r="HY14" s="507"/>
      <c r="HZ14" s="507"/>
    </row>
    <row r="15" spans="1:234" s="232" customFormat="1" ht="15.9" hidden="1" customHeight="1" x14ac:dyDescent="0.25">
      <c r="A15" s="522" t="s">
        <v>3070</v>
      </c>
      <c r="B15" s="523" t="s">
        <v>1122</v>
      </c>
      <c r="C15" s="524" t="s">
        <v>778</v>
      </c>
      <c r="D15" s="564" t="s">
        <v>189</v>
      </c>
      <c r="E15" s="524" t="s">
        <v>3228</v>
      </c>
      <c r="F15" s="543">
        <v>37883</v>
      </c>
      <c r="G15" s="544">
        <v>37823</v>
      </c>
      <c r="H15" s="565">
        <v>37876</v>
      </c>
      <c r="I15" s="546">
        <v>39843</v>
      </c>
      <c r="J15" s="547">
        <v>10000</v>
      </c>
      <c r="K15" s="558">
        <v>-0.03</v>
      </c>
      <c r="L15" s="559">
        <v>7.1999999999999995E-2</v>
      </c>
      <c r="M15" s="550">
        <v>0.04</v>
      </c>
      <c r="N15" s="560" t="s">
        <v>3229</v>
      </c>
      <c r="O15" s="552" t="s">
        <v>3229</v>
      </c>
      <c r="P15" s="552" t="s">
        <v>3229</v>
      </c>
      <c r="Q15" s="552" t="s">
        <v>3229</v>
      </c>
      <c r="R15" s="552" t="s">
        <v>3229</v>
      </c>
      <c r="S15" s="566">
        <v>5</v>
      </c>
      <c r="T15" s="554">
        <v>38231</v>
      </c>
      <c r="U15" s="555">
        <v>38596</v>
      </c>
      <c r="V15" s="555">
        <v>38961</v>
      </c>
      <c r="W15" s="555">
        <v>39326</v>
      </c>
      <c r="X15" s="555">
        <v>39814</v>
      </c>
      <c r="Y15" s="555" t="s">
        <v>3229</v>
      </c>
      <c r="Z15" s="555" t="s">
        <v>3229</v>
      </c>
      <c r="AA15" s="555" t="s">
        <v>3229</v>
      </c>
      <c r="AB15" s="555" t="s">
        <v>3229</v>
      </c>
      <c r="AC15" s="555" t="s">
        <v>3229</v>
      </c>
      <c r="AD15" s="555" t="s">
        <v>3229</v>
      </c>
      <c r="AE15" s="556" t="s">
        <v>3229</v>
      </c>
      <c r="AF15" s="3782" t="s">
        <v>781</v>
      </c>
      <c r="AG15" s="3765"/>
      <c r="AH15" s="622">
        <v>0.5</v>
      </c>
      <c r="AI15" s="622">
        <v>0.5</v>
      </c>
      <c r="AJ15" s="622" t="s">
        <v>3229</v>
      </c>
      <c r="AK15" s="622" t="s">
        <v>3229</v>
      </c>
      <c r="AL15" s="622" t="s">
        <v>3229</v>
      </c>
      <c r="AM15" s="639" t="s">
        <v>3229</v>
      </c>
      <c r="AN15" s="640">
        <v>0.25802999999999998</v>
      </c>
      <c r="AO15" s="625">
        <v>12212.91</v>
      </c>
      <c r="AP15" s="1369"/>
      <c r="AQ15" s="658" t="s">
        <v>3229</v>
      </c>
      <c r="AR15" s="632">
        <f t="shared" si="0"/>
        <v>0.2212909999999999</v>
      </c>
      <c r="AS15" s="558">
        <f t="shared" si="4"/>
        <v>3.7929494090154448E-2</v>
      </c>
      <c r="AT15" s="633" t="s">
        <v>3229</v>
      </c>
      <c r="AU15" s="552" t="s">
        <v>3229</v>
      </c>
      <c r="AV15" s="558">
        <f>AO15/J15-1</f>
        <v>0.2212909999999999</v>
      </c>
      <c r="AW15" s="558">
        <f>POWER(1+AV15,1/((I15-F15)/365))-1</f>
        <v>3.7929494090154448E-2</v>
      </c>
      <c r="AX15" s="553" t="s">
        <v>3229</v>
      </c>
      <c r="AY15" s="552" t="s">
        <v>3229</v>
      </c>
      <c r="AZ15" s="642"/>
      <c r="BA15" s="643" t="s">
        <v>3189</v>
      </c>
      <c r="BB15" s="568" t="s">
        <v>2025</v>
      </c>
      <c r="BC15" s="641" t="s">
        <v>2895</v>
      </c>
      <c r="BD15" s="3708"/>
      <c r="BE15" s="3743"/>
      <c r="BF15" s="3743"/>
      <c r="BG15" s="3708"/>
      <c r="BH15" s="3762"/>
      <c r="BI15" s="3762"/>
      <c r="BJ15" s="39"/>
      <c r="BK15" s="39"/>
      <c r="BL15" s="39"/>
      <c r="BM15" s="39"/>
      <c r="BN15" s="39"/>
      <c r="BO15" s="39"/>
      <c r="BP15" s="39"/>
      <c r="BQ15" s="39"/>
      <c r="BR15" s="39"/>
      <c r="BS15" s="507"/>
      <c r="BT15" s="507"/>
      <c r="BU15" s="507"/>
      <c r="BV15" s="507"/>
      <c r="BW15" s="507"/>
      <c r="BX15" s="507"/>
      <c r="BY15" s="507"/>
      <c r="BZ15" s="507"/>
      <c r="CA15" s="507"/>
      <c r="CB15" s="507"/>
      <c r="CC15" s="507"/>
      <c r="CD15" s="507"/>
      <c r="CE15" s="507"/>
      <c r="CF15" s="507"/>
      <c r="CG15" s="507"/>
      <c r="CH15" s="507"/>
      <c r="CI15" s="507"/>
      <c r="CJ15" s="507"/>
      <c r="CK15" s="507"/>
      <c r="CL15" s="507"/>
      <c r="CM15" s="507"/>
      <c r="CN15" s="507"/>
      <c r="CO15" s="507"/>
      <c r="CP15" s="507"/>
      <c r="CQ15" s="507"/>
      <c r="CR15" s="507"/>
      <c r="CS15" s="507"/>
      <c r="CT15" s="507"/>
      <c r="CU15" s="507"/>
      <c r="CV15" s="507"/>
      <c r="CW15" s="507"/>
      <c r="CX15" s="507"/>
      <c r="CY15" s="507"/>
      <c r="CZ15" s="507"/>
      <c r="DA15" s="507"/>
      <c r="DB15" s="507"/>
      <c r="DC15" s="507"/>
      <c r="DD15" s="507"/>
      <c r="DE15" s="507"/>
      <c r="DF15" s="507"/>
      <c r="DG15" s="507"/>
      <c r="DH15" s="507"/>
      <c r="DI15" s="507"/>
      <c r="DJ15" s="507"/>
      <c r="DK15" s="507"/>
      <c r="DL15" s="507"/>
      <c r="DM15" s="507"/>
      <c r="DN15" s="507"/>
      <c r="DO15" s="507"/>
      <c r="DP15" s="507"/>
      <c r="DQ15" s="507"/>
      <c r="DR15" s="507"/>
      <c r="DS15" s="507"/>
      <c r="DT15" s="507"/>
      <c r="DU15" s="507"/>
      <c r="DV15" s="507"/>
      <c r="DW15" s="507"/>
      <c r="DX15" s="507"/>
      <c r="DY15" s="507"/>
      <c r="DZ15" s="507"/>
      <c r="EA15" s="507"/>
      <c r="EB15" s="507"/>
      <c r="EC15" s="507"/>
      <c r="ED15" s="507"/>
      <c r="EE15" s="507"/>
      <c r="EF15" s="507"/>
      <c r="EG15" s="507"/>
      <c r="EH15" s="507"/>
      <c r="EI15" s="507"/>
      <c r="EJ15" s="507"/>
      <c r="EK15" s="507"/>
      <c r="EL15" s="507"/>
      <c r="EM15" s="507"/>
      <c r="EN15" s="507"/>
      <c r="EO15" s="507"/>
      <c r="EP15" s="507"/>
      <c r="EQ15" s="507"/>
      <c r="ER15" s="507"/>
      <c r="ES15" s="507"/>
      <c r="ET15" s="507"/>
      <c r="EU15" s="507"/>
      <c r="EV15" s="507"/>
      <c r="EW15" s="507"/>
      <c r="EX15" s="507"/>
      <c r="EY15" s="507"/>
      <c r="EZ15" s="507"/>
      <c r="FA15" s="507"/>
      <c r="FB15" s="507"/>
      <c r="FC15" s="507"/>
      <c r="FD15" s="507"/>
      <c r="FE15" s="507"/>
      <c r="FF15" s="507"/>
      <c r="FG15" s="507"/>
      <c r="FH15" s="507"/>
      <c r="FI15" s="507"/>
      <c r="FJ15" s="507"/>
      <c r="FK15" s="507"/>
      <c r="FL15" s="507"/>
      <c r="FM15" s="507"/>
      <c r="FN15" s="507"/>
      <c r="FO15" s="507"/>
      <c r="FP15" s="507"/>
      <c r="FQ15" s="507"/>
      <c r="FR15" s="507"/>
      <c r="FS15" s="507"/>
      <c r="FT15" s="507"/>
      <c r="FU15" s="507"/>
      <c r="FV15" s="507"/>
      <c r="FW15" s="507"/>
      <c r="FX15" s="507"/>
      <c r="FY15" s="507"/>
      <c r="FZ15" s="507"/>
      <c r="GA15" s="507"/>
      <c r="GB15" s="507"/>
      <c r="GC15" s="507"/>
      <c r="GD15" s="507"/>
      <c r="GE15" s="507"/>
      <c r="GF15" s="507"/>
      <c r="GG15" s="507"/>
      <c r="GH15" s="507"/>
      <c r="GI15" s="507"/>
      <c r="GJ15" s="507"/>
      <c r="GK15" s="507"/>
      <c r="GL15" s="507"/>
      <c r="GM15" s="507"/>
      <c r="GN15" s="507"/>
      <c r="GO15" s="507"/>
      <c r="GP15" s="507"/>
      <c r="GQ15" s="507"/>
      <c r="GR15" s="507"/>
      <c r="GS15" s="507"/>
      <c r="GT15" s="507"/>
      <c r="GU15" s="507"/>
      <c r="GV15" s="507"/>
      <c r="GW15" s="507"/>
      <c r="GX15" s="507"/>
      <c r="GY15" s="507"/>
      <c r="GZ15" s="507"/>
      <c r="HA15" s="507"/>
      <c r="HB15" s="507"/>
      <c r="HC15" s="507"/>
      <c r="HD15" s="507"/>
      <c r="HE15" s="507"/>
      <c r="HF15" s="507"/>
      <c r="HG15" s="507"/>
      <c r="HH15" s="507"/>
      <c r="HI15" s="507"/>
      <c r="HJ15" s="507"/>
      <c r="HK15" s="507"/>
      <c r="HL15" s="507"/>
      <c r="HM15" s="507"/>
      <c r="HN15" s="507"/>
      <c r="HO15" s="507"/>
      <c r="HP15" s="507"/>
      <c r="HQ15" s="507"/>
      <c r="HR15" s="507"/>
      <c r="HS15" s="507"/>
      <c r="HT15" s="507"/>
      <c r="HU15" s="507"/>
      <c r="HV15" s="507"/>
      <c r="HW15" s="507"/>
      <c r="HX15" s="507"/>
      <c r="HY15" s="507"/>
      <c r="HZ15" s="507"/>
    </row>
    <row r="16" spans="1:234" s="299" customFormat="1" ht="15.9" hidden="1" customHeight="1" x14ac:dyDescent="0.25">
      <c r="A16" s="522" t="s">
        <v>3071</v>
      </c>
      <c r="B16" s="523" t="s">
        <v>1123</v>
      </c>
      <c r="C16" s="524" t="s">
        <v>779</v>
      </c>
      <c r="D16" s="530" t="s">
        <v>189</v>
      </c>
      <c r="E16" s="524" t="s">
        <v>3228</v>
      </c>
      <c r="F16" s="543">
        <v>37932</v>
      </c>
      <c r="G16" s="544">
        <v>37879</v>
      </c>
      <c r="H16" s="562">
        <v>37925</v>
      </c>
      <c r="I16" s="546">
        <v>39903</v>
      </c>
      <c r="J16" s="547">
        <v>10000</v>
      </c>
      <c r="K16" s="558">
        <v>-0.03</v>
      </c>
      <c r="L16" s="559">
        <v>7.0999999999999994E-2</v>
      </c>
      <c r="M16" s="550">
        <v>0.08</v>
      </c>
      <c r="N16" s="560" t="s">
        <v>3229</v>
      </c>
      <c r="O16" s="552" t="s">
        <v>3229</v>
      </c>
      <c r="P16" s="552" t="s">
        <v>3229</v>
      </c>
      <c r="Q16" s="552" t="s">
        <v>3229</v>
      </c>
      <c r="R16" s="552" t="s">
        <v>3229</v>
      </c>
      <c r="S16" s="566">
        <v>5</v>
      </c>
      <c r="T16" s="554">
        <v>38292</v>
      </c>
      <c r="U16" s="555">
        <v>38657</v>
      </c>
      <c r="V16" s="555">
        <v>39022</v>
      </c>
      <c r="W16" s="555">
        <v>39387</v>
      </c>
      <c r="X16" s="555">
        <v>39873</v>
      </c>
      <c r="Y16" s="555" t="s">
        <v>3229</v>
      </c>
      <c r="Z16" s="555" t="s">
        <v>3229</v>
      </c>
      <c r="AA16" s="555" t="s">
        <v>3229</v>
      </c>
      <c r="AB16" s="555" t="s">
        <v>3229</v>
      </c>
      <c r="AC16" s="555" t="s">
        <v>3229</v>
      </c>
      <c r="AD16" s="555" t="s">
        <v>3229</v>
      </c>
      <c r="AE16" s="556" t="s">
        <v>3229</v>
      </c>
      <c r="AF16" s="3782" t="s">
        <v>781</v>
      </c>
      <c r="AG16" s="3765"/>
      <c r="AH16" s="622">
        <v>0.5</v>
      </c>
      <c r="AI16" s="622">
        <v>0.5</v>
      </c>
      <c r="AJ16" s="622" t="s">
        <v>3229</v>
      </c>
      <c r="AK16" s="622" t="s">
        <v>3229</v>
      </c>
      <c r="AL16" s="622" t="s">
        <v>3229</v>
      </c>
      <c r="AM16" s="623" t="s">
        <v>3229</v>
      </c>
      <c r="AN16" s="576">
        <v>0.254</v>
      </c>
      <c r="AO16" s="625">
        <v>12245.71</v>
      </c>
      <c r="AP16" s="688"/>
      <c r="AQ16" s="658" t="s">
        <v>3229</v>
      </c>
      <c r="AR16" s="632">
        <f>AN16</f>
        <v>0.254</v>
      </c>
      <c r="AS16" s="558">
        <f t="shared" si="4"/>
        <v>4.2805342547243219E-2</v>
      </c>
      <c r="AT16" s="598" t="s">
        <v>3229</v>
      </c>
      <c r="AU16" s="599" t="s">
        <v>3229</v>
      </c>
      <c r="AV16" s="558">
        <f>AN16</f>
        <v>0.254</v>
      </c>
      <c r="AW16" s="558">
        <f>POWER(1+AV16,1/((I16-F16)/365))-1</f>
        <v>4.2805342547243219E-2</v>
      </c>
      <c r="AX16" s="558"/>
      <c r="AY16" s="559"/>
      <c r="AZ16" s="642">
        <f>J16*(1+AV16)</f>
        <v>12540</v>
      </c>
      <c r="BA16" s="644" t="s">
        <v>3189</v>
      </c>
      <c r="BB16" s="570" t="s">
        <v>2025</v>
      </c>
      <c r="BC16" s="637" t="s">
        <v>2895</v>
      </c>
      <c r="BD16" s="3708"/>
      <c r="BE16" s="3743"/>
      <c r="BF16" s="3743"/>
      <c r="BG16" s="3708"/>
      <c r="BH16" s="3762"/>
      <c r="BI16" s="3762"/>
      <c r="BJ16" s="39"/>
      <c r="BK16" s="39"/>
      <c r="BL16" s="39"/>
      <c r="BM16" s="39"/>
      <c r="BN16" s="39"/>
      <c r="BO16" s="39"/>
      <c r="BP16" s="39"/>
      <c r="BQ16" s="39"/>
      <c r="BR16" s="39"/>
      <c r="BS16" s="507"/>
      <c r="BT16" s="507"/>
      <c r="BU16" s="507"/>
      <c r="BV16" s="507"/>
      <c r="BW16" s="507"/>
      <c r="BX16" s="507"/>
      <c r="BY16" s="507"/>
      <c r="BZ16" s="507"/>
      <c r="CA16" s="507"/>
      <c r="CB16" s="507"/>
      <c r="CC16" s="507"/>
      <c r="CD16" s="507"/>
      <c r="CE16" s="507"/>
      <c r="CF16" s="507"/>
      <c r="CG16" s="507"/>
      <c r="CH16" s="507"/>
      <c r="CI16" s="507"/>
      <c r="CJ16" s="507"/>
      <c r="CK16" s="507"/>
      <c r="CL16" s="507"/>
      <c r="CM16" s="507"/>
      <c r="CN16" s="507"/>
      <c r="CO16" s="507"/>
      <c r="CP16" s="507"/>
      <c r="CQ16" s="507"/>
      <c r="CR16" s="507"/>
      <c r="CS16" s="507"/>
      <c r="CT16" s="507"/>
      <c r="CU16" s="507"/>
      <c r="CV16" s="507"/>
      <c r="CW16" s="507"/>
      <c r="CX16" s="507"/>
      <c r="CY16" s="507"/>
      <c r="CZ16" s="507"/>
      <c r="DA16" s="507"/>
      <c r="DB16" s="507"/>
      <c r="DC16" s="507"/>
      <c r="DD16" s="507"/>
      <c r="DE16" s="507"/>
      <c r="DF16" s="507"/>
      <c r="DG16" s="507"/>
      <c r="DH16" s="507"/>
      <c r="DI16" s="507"/>
      <c r="DJ16" s="507"/>
      <c r="DK16" s="507"/>
      <c r="DL16" s="507"/>
      <c r="DM16" s="507"/>
      <c r="DN16" s="507"/>
      <c r="DO16" s="507"/>
      <c r="DP16" s="507"/>
      <c r="DQ16" s="507"/>
      <c r="DR16" s="507"/>
      <c r="DS16" s="507"/>
      <c r="DT16" s="507"/>
      <c r="DU16" s="507"/>
      <c r="DV16" s="507"/>
      <c r="DW16" s="507"/>
      <c r="DX16" s="507"/>
      <c r="DY16" s="507"/>
      <c r="DZ16" s="507"/>
      <c r="EA16" s="507"/>
      <c r="EB16" s="507"/>
      <c r="EC16" s="507"/>
      <c r="ED16" s="507"/>
      <c r="EE16" s="507"/>
      <c r="EF16" s="507"/>
      <c r="EG16" s="507"/>
      <c r="EH16" s="507"/>
      <c r="EI16" s="507"/>
      <c r="EJ16" s="507"/>
      <c r="EK16" s="507"/>
      <c r="EL16" s="507"/>
      <c r="EM16" s="507"/>
      <c r="EN16" s="507"/>
      <c r="EO16" s="507"/>
      <c r="EP16" s="507"/>
      <c r="EQ16" s="507"/>
      <c r="ER16" s="507"/>
      <c r="ES16" s="507"/>
      <c r="ET16" s="507"/>
      <c r="EU16" s="507"/>
      <c r="EV16" s="507"/>
      <c r="EW16" s="507"/>
      <c r="EX16" s="507"/>
      <c r="EY16" s="507"/>
      <c r="EZ16" s="507"/>
      <c r="FA16" s="507"/>
      <c r="FB16" s="507"/>
      <c r="FC16" s="507"/>
      <c r="FD16" s="507"/>
      <c r="FE16" s="507"/>
      <c r="FF16" s="507"/>
      <c r="FG16" s="507"/>
      <c r="FH16" s="507"/>
      <c r="FI16" s="507"/>
      <c r="FJ16" s="507"/>
      <c r="FK16" s="507"/>
      <c r="FL16" s="507"/>
      <c r="FM16" s="507"/>
      <c r="FN16" s="507"/>
      <c r="FO16" s="507"/>
      <c r="FP16" s="507"/>
      <c r="FQ16" s="507"/>
      <c r="FR16" s="507"/>
      <c r="FS16" s="507"/>
      <c r="FT16" s="507"/>
      <c r="FU16" s="507"/>
      <c r="FV16" s="507"/>
      <c r="FW16" s="507"/>
      <c r="FX16" s="507"/>
      <c r="FY16" s="507"/>
      <c r="FZ16" s="507"/>
      <c r="GA16" s="507"/>
      <c r="GB16" s="507"/>
      <c r="GC16" s="507"/>
      <c r="GD16" s="507"/>
      <c r="GE16" s="507"/>
      <c r="GF16" s="507"/>
      <c r="GG16" s="507"/>
      <c r="GH16" s="507"/>
      <c r="GI16" s="507"/>
      <c r="GJ16" s="507"/>
      <c r="GK16" s="507"/>
      <c r="GL16" s="507"/>
      <c r="GM16" s="507"/>
      <c r="GN16" s="507"/>
      <c r="GO16" s="507"/>
      <c r="GP16" s="507"/>
      <c r="GQ16" s="507"/>
      <c r="GR16" s="507"/>
      <c r="GS16" s="507"/>
      <c r="GT16" s="507"/>
      <c r="GU16" s="507"/>
      <c r="GV16" s="507"/>
      <c r="GW16" s="507"/>
      <c r="GX16" s="507"/>
      <c r="GY16" s="507"/>
      <c r="GZ16" s="507"/>
      <c r="HA16" s="507"/>
      <c r="HB16" s="507"/>
      <c r="HC16" s="507"/>
      <c r="HD16" s="507"/>
      <c r="HE16" s="507"/>
      <c r="HF16" s="507"/>
      <c r="HG16" s="507"/>
      <c r="HH16" s="507"/>
      <c r="HI16" s="507"/>
      <c r="HJ16" s="507"/>
      <c r="HK16" s="507"/>
      <c r="HL16" s="507"/>
      <c r="HM16" s="507"/>
      <c r="HN16" s="507"/>
      <c r="HO16" s="507"/>
      <c r="HP16" s="507"/>
      <c r="HQ16" s="507"/>
      <c r="HR16" s="507"/>
      <c r="HS16" s="507"/>
      <c r="HT16" s="507"/>
      <c r="HU16" s="507"/>
      <c r="HV16" s="507"/>
      <c r="HW16" s="507"/>
      <c r="HX16" s="507"/>
      <c r="HY16" s="507"/>
      <c r="HZ16" s="507"/>
    </row>
    <row r="17" spans="1:234" s="232" customFormat="1" ht="15.9" hidden="1" customHeight="1" x14ac:dyDescent="0.25">
      <c r="A17" s="522" t="s">
        <v>3072</v>
      </c>
      <c r="B17" s="523" t="s">
        <v>2093</v>
      </c>
      <c r="C17" s="524" t="s">
        <v>780</v>
      </c>
      <c r="D17" s="530" t="s">
        <v>781</v>
      </c>
      <c r="E17" s="524" t="s">
        <v>3228</v>
      </c>
      <c r="F17" s="543">
        <v>37932</v>
      </c>
      <c r="G17" s="544">
        <v>37879</v>
      </c>
      <c r="H17" s="557">
        <v>37925</v>
      </c>
      <c r="I17" s="546">
        <v>38868</v>
      </c>
      <c r="J17" s="547">
        <v>10000</v>
      </c>
      <c r="K17" s="553" t="s">
        <v>3229</v>
      </c>
      <c r="L17" s="552" t="s">
        <v>3229</v>
      </c>
      <c r="M17" s="550">
        <v>0</v>
      </c>
      <c r="N17" s="560" t="s">
        <v>3229</v>
      </c>
      <c r="O17" s="552" t="s">
        <v>3229</v>
      </c>
      <c r="P17" s="549">
        <v>0.5</v>
      </c>
      <c r="Q17" s="552" t="s">
        <v>3229</v>
      </c>
      <c r="R17" s="552" t="s">
        <v>3229</v>
      </c>
      <c r="S17" s="566"/>
      <c r="T17" s="3776" t="s">
        <v>250</v>
      </c>
      <c r="U17" s="3777"/>
      <c r="V17" s="3777"/>
      <c r="W17" s="3777"/>
      <c r="X17" s="3777"/>
      <c r="Y17" s="3777"/>
      <c r="Z17" s="3777"/>
      <c r="AA17" s="3777"/>
      <c r="AB17" s="3777"/>
      <c r="AC17" s="3777"/>
      <c r="AD17" s="3777"/>
      <c r="AE17" s="3778"/>
      <c r="AF17" s="3782" t="s">
        <v>781</v>
      </c>
      <c r="AG17" s="3783"/>
      <c r="AH17" s="622">
        <v>1</v>
      </c>
      <c r="AI17" s="622" t="s">
        <v>3229</v>
      </c>
      <c r="AJ17" s="622" t="s">
        <v>3229</v>
      </c>
      <c r="AK17" s="622" t="s">
        <v>3229</v>
      </c>
      <c r="AL17" s="622" t="s">
        <v>3229</v>
      </c>
      <c r="AM17" s="623" t="s">
        <v>3229</v>
      </c>
      <c r="AN17" s="576">
        <v>0.31798450931171918</v>
      </c>
      <c r="AO17" s="625">
        <v>13224.76</v>
      </c>
      <c r="AP17" s="688"/>
      <c r="AQ17" s="549">
        <v>0.45861990632559091</v>
      </c>
      <c r="AR17" s="632">
        <f>AO17/J17-1</f>
        <v>0.32247599999999998</v>
      </c>
      <c r="AS17" s="558">
        <f t="shared" si="4"/>
        <v>0.11515710105495902</v>
      </c>
      <c r="AT17" s="598" t="s">
        <v>3229</v>
      </c>
      <c r="AU17" s="552" t="s">
        <v>3229</v>
      </c>
      <c r="AV17" s="558">
        <f>AO17/J17-1</f>
        <v>0.32247599999999998</v>
      </c>
      <c r="AW17" s="558">
        <f>POWER(1+AV17,1/(I17-F17)*365)-1</f>
        <v>0.11515710105495902</v>
      </c>
      <c r="AX17" s="553" t="s">
        <v>3229</v>
      </c>
      <c r="AY17" s="552" t="s">
        <v>3229</v>
      </c>
      <c r="AZ17" s="645"/>
      <c r="BA17" s="646" t="s">
        <v>3191</v>
      </c>
      <c r="BB17" s="570"/>
      <c r="BC17" s="637"/>
      <c r="BD17" s="3708"/>
      <c r="BE17" s="3743"/>
      <c r="BF17" s="3743"/>
      <c r="BG17" s="3708"/>
      <c r="BH17" s="3762"/>
      <c r="BI17" s="3762"/>
      <c r="BJ17" s="39"/>
      <c r="BK17" s="39"/>
      <c r="BL17" s="39"/>
      <c r="BM17" s="39"/>
      <c r="BN17" s="39"/>
      <c r="BO17" s="39"/>
      <c r="BP17" s="39"/>
      <c r="BQ17" s="39"/>
      <c r="BR17" s="39"/>
      <c r="BS17" s="507"/>
      <c r="BT17" s="507"/>
      <c r="BU17" s="507"/>
      <c r="BV17" s="507"/>
      <c r="BW17" s="507"/>
      <c r="BX17" s="507"/>
      <c r="BY17" s="507"/>
      <c r="BZ17" s="507"/>
      <c r="CA17" s="507"/>
      <c r="CB17" s="507"/>
      <c r="CC17" s="507"/>
      <c r="CD17" s="507"/>
      <c r="CE17" s="507"/>
      <c r="CF17" s="507"/>
      <c r="CG17" s="507"/>
      <c r="CH17" s="507"/>
      <c r="CI17" s="507"/>
      <c r="CJ17" s="507"/>
      <c r="CK17" s="507"/>
      <c r="CL17" s="507"/>
      <c r="CM17" s="507"/>
      <c r="CN17" s="507"/>
      <c r="CO17" s="507"/>
      <c r="CP17" s="507"/>
      <c r="CQ17" s="507"/>
      <c r="CR17" s="507"/>
      <c r="CS17" s="507"/>
      <c r="CT17" s="507"/>
      <c r="CU17" s="507"/>
      <c r="CV17" s="507"/>
      <c r="CW17" s="507"/>
      <c r="CX17" s="507"/>
      <c r="CY17" s="507"/>
      <c r="CZ17" s="507"/>
      <c r="DA17" s="507"/>
      <c r="DB17" s="507"/>
      <c r="DC17" s="507"/>
      <c r="DD17" s="507"/>
      <c r="DE17" s="507"/>
      <c r="DF17" s="507"/>
      <c r="DG17" s="507"/>
      <c r="DH17" s="507"/>
      <c r="DI17" s="507"/>
      <c r="DJ17" s="507"/>
      <c r="DK17" s="507"/>
      <c r="DL17" s="507"/>
      <c r="DM17" s="507"/>
      <c r="DN17" s="507"/>
      <c r="DO17" s="507"/>
      <c r="DP17" s="507"/>
      <c r="DQ17" s="507"/>
      <c r="DR17" s="507"/>
      <c r="DS17" s="507"/>
      <c r="DT17" s="507"/>
      <c r="DU17" s="507"/>
      <c r="DV17" s="507"/>
      <c r="DW17" s="507"/>
      <c r="DX17" s="507"/>
      <c r="DY17" s="507"/>
      <c r="DZ17" s="507"/>
      <c r="EA17" s="507"/>
      <c r="EB17" s="507"/>
      <c r="EC17" s="507"/>
      <c r="ED17" s="507"/>
      <c r="EE17" s="507"/>
      <c r="EF17" s="507"/>
      <c r="EG17" s="507"/>
      <c r="EH17" s="507"/>
      <c r="EI17" s="507"/>
      <c r="EJ17" s="507"/>
      <c r="EK17" s="507"/>
      <c r="EL17" s="507"/>
      <c r="EM17" s="507"/>
      <c r="EN17" s="507"/>
      <c r="EO17" s="507"/>
      <c r="EP17" s="507"/>
      <c r="EQ17" s="507"/>
      <c r="ER17" s="507"/>
      <c r="ES17" s="507"/>
      <c r="ET17" s="507"/>
      <c r="EU17" s="507"/>
      <c r="EV17" s="507"/>
      <c r="EW17" s="507"/>
      <c r="EX17" s="507"/>
      <c r="EY17" s="507"/>
      <c r="EZ17" s="507"/>
      <c r="FA17" s="507"/>
      <c r="FB17" s="507"/>
      <c r="FC17" s="507"/>
      <c r="FD17" s="507"/>
      <c r="FE17" s="507"/>
      <c r="FF17" s="507"/>
      <c r="FG17" s="507"/>
      <c r="FH17" s="507"/>
      <c r="FI17" s="507"/>
      <c r="FJ17" s="507"/>
      <c r="FK17" s="507"/>
      <c r="FL17" s="507"/>
      <c r="FM17" s="507"/>
      <c r="FN17" s="507"/>
      <c r="FO17" s="507"/>
      <c r="FP17" s="507"/>
      <c r="FQ17" s="507"/>
      <c r="FR17" s="507"/>
      <c r="FS17" s="507"/>
      <c r="FT17" s="507"/>
      <c r="FU17" s="507"/>
      <c r="FV17" s="507"/>
      <c r="FW17" s="507"/>
      <c r="FX17" s="507"/>
      <c r="FY17" s="507"/>
      <c r="FZ17" s="507"/>
      <c r="GA17" s="507"/>
      <c r="GB17" s="507"/>
      <c r="GC17" s="507"/>
      <c r="GD17" s="507"/>
      <c r="GE17" s="507"/>
      <c r="GF17" s="507"/>
      <c r="GG17" s="507"/>
      <c r="GH17" s="507"/>
      <c r="GI17" s="507"/>
      <c r="GJ17" s="507"/>
      <c r="GK17" s="507"/>
      <c r="GL17" s="507"/>
      <c r="GM17" s="507"/>
      <c r="GN17" s="507"/>
      <c r="GO17" s="507"/>
      <c r="GP17" s="507"/>
      <c r="GQ17" s="507"/>
      <c r="GR17" s="507"/>
      <c r="GS17" s="507"/>
      <c r="GT17" s="507"/>
      <c r="GU17" s="507"/>
      <c r="GV17" s="507"/>
      <c r="GW17" s="507"/>
      <c r="GX17" s="507"/>
      <c r="GY17" s="507"/>
      <c r="GZ17" s="507"/>
      <c r="HA17" s="507"/>
      <c r="HB17" s="507"/>
      <c r="HC17" s="507"/>
      <c r="HD17" s="507"/>
      <c r="HE17" s="507"/>
      <c r="HF17" s="507"/>
      <c r="HG17" s="507"/>
      <c r="HH17" s="507"/>
      <c r="HI17" s="507"/>
      <c r="HJ17" s="507"/>
      <c r="HK17" s="507"/>
      <c r="HL17" s="507"/>
      <c r="HM17" s="507"/>
      <c r="HN17" s="507"/>
      <c r="HO17" s="507"/>
      <c r="HP17" s="507"/>
      <c r="HQ17" s="507"/>
      <c r="HR17" s="507"/>
      <c r="HS17" s="507"/>
      <c r="HT17" s="507"/>
      <c r="HU17" s="507"/>
      <c r="HV17" s="507"/>
      <c r="HW17" s="507"/>
      <c r="HX17" s="507"/>
      <c r="HY17" s="507"/>
      <c r="HZ17" s="507"/>
    </row>
    <row r="18" spans="1:234" s="232" customFormat="1" ht="15.9" hidden="1" customHeight="1" x14ac:dyDescent="0.25">
      <c r="A18" s="522" t="s">
        <v>3073</v>
      </c>
      <c r="B18" s="523" t="s">
        <v>2094</v>
      </c>
      <c r="C18" s="524" t="s">
        <v>251</v>
      </c>
      <c r="D18" s="530" t="s">
        <v>781</v>
      </c>
      <c r="E18" s="524" t="s">
        <v>3228</v>
      </c>
      <c r="F18" s="543">
        <v>37985</v>
      </c>
      <c r="G18" s="544">
        <v>37928</v>
      </c>
      <c r="H18" s="562">
        <v>37974</v>
      </c>
      <c r="I18" s="546">
        <v>39598</v>
      </c>
      <c r="J18" s="547">
        <v>10000</v>
      </c>
      <c r="K18" s="558">
        <v>-0.03</v>
      </c>
      <c r="L18" s="559">
        <v>5.7000000000000002E-2</v>
      </c>
      <c r="M18" s="550">
        <v>0.08</v>
      </c>
      <c r="N18" s="560" t="s">
        <v>3229</v>
      </c>
      <c r="O18" s="552" t="s">
        <v>3229</v>
      </c>
      <c r="P18" s="552" t="s">
        <v>3229</v>
      </c>
      <c r="Q18" s="552" t="s">
        <v>3229</v>
      </c>
      <c r="R18" s="552" t="s">
        <v>3229</v>
      </c>
      <c r="S18" s="566">
        <v>4</v>
      </c>
      <c r="T18" s="554">
        <v>38353</v>
      </c>
      <c r="U18" s="555">
        <v>38718</v>
      </c>
      <c r="V18" s="555">
        <v>39083</v>
      </c>
      <c r="W18" s="555">
        <v>39569</v>
      </c>
      <c r="X18" s="555" t="s">
        <v>3229</v>
      </c>
      <c r="Y18" s="555" t="s">
        <v>3229</v>
      </c>
      <c r="Z18" s="555" t="s">
        <v>3229</v>
      </c>
      <c r="AA18" s="555" t="s">
        <v>3229</v>
      </c>
      <c r="AB18" s="555" t="s">
        <v>3229</v>
      </c>
      <c r="AC18" s="555" t="s">
        <v>3229</v>
      </c>
      <c r="AD18" s="555" t="s">
        <v>3229</v>
      </c>
      <c r="AE18" s="556" t="s">
        <v>3229</v>
      </c>
      <c r="AF18" s="3782" t="s">
        <v>781</v>
      </c>
      <c r="AG18" s="3783"/>
      <c r="AH18" s="622">
        <v>0.5</v>
      </c>
      <c r="AI18" s="622">
        <v>0.5</v>
      </c>
      <c r="AJ18" s="622" t="s">
        <v>3229</v>
      </c>
      <c r="AK18" s="622" t="s">
        <v>3229</v>
      </c>
      <c r="AL18" s="622" t="s">
        <v>3229</v>
      </c>
      <c r="AM18" s="623" t="s">
        <v>3229</v>
      </c>
      <c r="AN18" s="576">
        <v>0.14100000000000001</v>
      </c>
      <c r="AO18" s="625">
        <v>11435</v>
      </c>
      <c r="AP18" s="1368"/>
      <c r="AQ18" s="658" t="s">
        <v>3229</v>
      </c>
      <c r="AR18" s="632">
        <f>AO18/J18-1</f>
        <v>0.14349999999999996</v>
      </c>
      <c r="AS18" s="558">
        <f t="shared" si="4"/>
        <v>3.0808650202117871E-2</v>
      </c>
      <c r="AT18" s="598" t="s">
        <v>3229</v>
      </c>
      <c r="AU18" s="552" t="s">
        <v>3229</v>
      </c>
      <c r="AV18" s="558">
        <f>AO18/J18-1</f>
        <v>0.14349999999999996</v>
      </c>
      <c r="AW18" s="558">
        <f>POWER(1+AV18,1/(I18-F18)*365)-1</f>
        <v>3.0808650202117871E-2</v>
      </c>
      <c r="AX18" s="553" t="s">
        <v>3229</v>
      </c>
      <c r="AY18" s="552" t="s">
        <v>3229</v>
      </c>
      <c r="AZ18" s="645"/>
      <c r="BA18" s="644" t="s">
        <v>3189</v>
      </c>
      <c r="BB18" s="570"/>
      <c r="BC18" s="637"/>
      <c r="BD18" s="3708"/>
      <c r="BE18" s="3743"/>
      <c r="BF18" s="3743"/>
      <c r="BG18" s="3708"/>
      <c r="BH18" s="3762"/>
      <c r="BI18" s="3762"/>
      <c r="BJ18" s="39"/>
      <c r="BK18" s="39"/>
      <c r="BL18" s="39"/>
      <c r="BM18" s="39"/>
      <c r="BN18" s="39"/>
      <c r="BO18" s="39"/>
      <c r="BP18" s="39"/>
      <c r="BQ18" s="39"/>
      <c r="BR18" s="39"/>
      <c r="BS18" s="507"/>
      <c r="BT18" s="507"/>
      <c r="BU18" s="507"/>
      <c r="BV18" s="507"/>
      <c r="BW18" s="507"/>
      <c r="BX18" s="507"/>
      <c r="BY18" s="507"/>
      <c r="BZ18" s="507"/>
      <c r="CA18" s="507"/>
      <c r="CB18" s="507"/>
      <c r="CC18" s="507"/>
      <c r="CD18" s="507"/>
      <c r="CE18" s="507"/>
      <c r="CF18" s="507"/>
      <c r="CG18" s="507"/>
      <c r="CH18" s="507"/>
      <c r="CI18" s="507"/>
      <c r="CJ18" s="507"/>
      <c r="CK18" s="507"/>
      <c r="CL18" s="507"/>
      <c r="CM18" s="507"/>
      <c r="CN18" s="507"/>
      <c r="CO18" s="507"/>
      <c r="CP18" s="507"/>
      <c r="CQ18" s="507"/>
      <c r="CR18" s="507"/>
      <c r="CS18" s="507"/>
      <c r="CT18" s="507"/>
      <c r="CU18" s="507"/>
      <c r="CV18" s="507"/>
      <c r="CW18" s="507"/>
      <c r="CX18" s="507"/>
      <c r="CY18" s="507"/>
      <c r="CZ18" s="507"/>
      <c r="DA18" s="507"/>
      <c r="DB18" s="507"/>
      <c r="DC18" s="507"/>
      <c r="DD18" s="507"/>
      <c r="DE18" s="507"/>
      <c r="DF18" s="507"/>
      <c r="DG18" s="507"/>
      <c r="DH18" s="507"/>
      <c r="DI18" s="507"/>
      <c r="DJ18" s="507"/>
      <c r="DK18" s="507"/>
      <c r="DL18" s="507"/>
      <c r="DM18" s="507"/>
      <c r="DN18" s="507"/>
      <c r="DO18" s="507"/>
      <c r="DP18" s="507"/>
      <c r="DQ18" s="507"/>
      <c r="DR18" s="507"/>
      <c r="DS18" s="507"/>
      <c r="DT18" s="507"/>
      <c r="DU18" s="507"/>
      <c r="DV18" s="507"/>
      <c r="DW18" s="507"/>
      <c r="DX18" s="507"/>
      <c r="DY18" s="507"/>
      <c r="DZ18" s="507"/>
      <c r="EA18" s="507"/>
      <c r="EB18" s="507"/>
      <c r="EC18" s="507"/>
      <c r="ED18" s="507"/>
      <c r="EE18" s="507"/>
      <c r="EF18" s="507"/>
      <c r="EG18" s="507"/>
      <c r="EH18" s="507"/>
      <c r="EI18" s="507"/>
      <c r="EJ18" s="507"/>
      <c r="EK18" s="507"/>
      <c r="EL18" s="507"/>
      <c r="EM18" s="507"/>
      <c r="EN18" s="507"/>
      <c r="EO18" s="507"/>
      <c r="EP18" s="507"/>
      <c r="EQ18" s="507"/>
      <c r="ER18" s="507"/>
      <c r="ES18" s="507"/>
      <c r="ET18" s="507"/>
      <c r="EU18" s="507"/>
      <c r="EV18" s="507"/>
      <c r="EW18" s="507"/>
      <c r="EX18" s="507"/>
      <c r="EY18" s="507"/>
      <c r="EZ18" s="507"/>
      <c r="FA18" s="507"/>
      <c r="FB18" s="507"/>
      <c r="FC18" s="507"/>
      <c r="FD18" s="507"/>
      <c r="FE18" s="507"/>
      <c r="FF18" s="507"/>
      <c r="FG18" s="507"/>
      <c r="FH18" s="507"/>
      <c r="FI18" s="507"/>
      <c r="FJ18" s="507"/>
      <c r="FK18" s="507"/>
      <c r="FL18" s="507"/>
      <c r="FM18" s="507"/>
      <c r="FN18" s="507"/>
      <c r="FO18" s="507"/>
      <c r="FP18" s="507"/>
      <c r="FQ18" s="507"/>
      <c r="FR18" s="507"/>
      <c r="FS18" s="507"/>
      <c r="FT18" s="507"/>
      <c r="FU18" s="507"/>
      <c r="FV18" s="507"/>
      <c r="FW18" s="507"/>
      <c r="FX18" s="507"/>
      <c r="FY18" s="507"/>
      <c r="FZ18" s="507"/>
      <c r="GA18" s="507"/>
      <c r="GB18" s="507"/>
      <c r="GC18" s="507"/>
      <c r="GD18" s="507"/>
      <c r="GE18" s="507"/>
      <c r="GF18" s="507"/>
      <c r="GG18" s="507"/>
      <c r="GH18" s="507"/>
      <c r="GI18" s="507"/>
      <c r="GJ18" s="507"/>
      <c r="GK18" s="507"/>
      <c r="GL18" s="507"/>
      <c r="GM18" s="507"/>
      <c r="GN18" s="507"/>
      <c r="GO18" s="507"/>
      <c r="GP18" s="507"/>
      <c r="GQ18" s="507"/>
      <c r="GR18" s="507"/>
      <c r="GS18" s="507"/>
      <c r="GT18" s="507"/>
      <c r="GU18" s="507"/>
      <c r="GV18" s="507"/>
      <c r="GW18" s="507"/>
      <c r="GX18" s="507"/>
      <c r="GY18" s="507"/>
      <c r="GZ18" s="507"/>
      <c r="HA18" s="507"/>
      <c r="HB18" s="507"/>
      <c r="HC18" s="507"/>
      <c r="HD18" s="507"/>
      <c r="HE18" s="507"/>
      <c r="HF18" s="507"/>
      <c r="HG18" s="507"/>
      <c r="HH18" s="507"/>
      <c r="HI18" s="507"/>
      <c r="HJ18" s="507"/>
      <c r="HK18" s="507"/>
      <c r="HL18" s="507"/>
      <c r="HM18" s="507"/>
      <c r="HN18" s="507"/>
      <c r="HO18" s="507"/>
      <c r="HP18" s="507"/>
      <c r="HQ18" s="507"/>
      <c r="HR18" s="507"/>
      <c r="HS18" s="507"/>
      <c r="HT18" s="507"/>
      <c r="HU18" s="507"/>
      <c r="HV18" s="507"/>
      <c r="HW18" s="507"/>
      <c r="HX18" s="507"/>
      <c r="HY18" s="507"/>
      <c r="HZ18" s="507"/>
    </row>
    <row r="19" spans="1:234" s="299" customFormat="1" ht="15.9" hidden="1" customHeight="1" x14ac:dyDescent="0.25">
      <c r="A19" s="522" t="s">
        <v>3710</v>
      </c>
      <c r="B19" s="479" t="s">
        <v>2095</v>
      </c>
      <c r="C19" s="524" t="s">
        <v>2458</v>
      </c>
      <c r="D19" s="530" t="s">
        <v>189</v>
      </c>
      <c r="E19" s="524" t="s">
        <v>3228</v>
      </c>
      <c r="F19" s="543">
        <v>37985</v>
      </c>
      <c r="G19" s="544">
        <v>37928</v>
      </c>
      <c r="H19" s="562">
        <v>37974</v>
      </c>
      <c r="I19" s="546">
        <v>39843</v>
      </c>
      <c r="J19" s="547">
        <v>10000</v>
      </c>
      <c r="K19" s="553" t="s">
        <v>3229</v>
      </c>
      <c r="L19" s="552" t="s">
        <v>3229</v>
      </c>
      <c r="M19" s="560">
        <v>0</v>
      </c>
      <c r="N19" s="560">
        <v>0.7</v>
      </c>
      <c r="O19" s="552" t="s">
        <v>3229</v>
      </c>
      <c r="P19" s="552" t="s">
        <v>3229</v>
      </c>
      <c r="Q19" s="552" t="s">
        <v>3229</v>
      </c>
      <c r="R19" s="552" t="s">
        <v>3229</v>
      </c>
      <c r="S19" s="566">
        <v>12</v>
      </c>
      <c r="T19" s="554">
        <v>39448</v>
      </c>
      <c r="U19" s="555">
        <v>39479</v>
      </c>
      <c r="V19" s="555">
        <v>39508</v>
      </c>
      <c r="W19" s="555">
        <v>39539</v>
      </c>
      <c r="X19" s="555">
        <v>39569</v>
      </c>
      <c r="Y19" s="555">
        <v>39600</v>
      </c>
      <c r="Z19" s="555">
        <v>39630</v>
      </c>
      <c r="AA19" s="555">
        <v>39661</v>
      </c>
      <c r="AB19" s="555">
        <v>39692</v>
      </c>
      <c r="AC19" s="555">
        <v>39722</v>
      </c>
      <c r="AD19" s="555">
        <v>39753</v>
      </c>
      <c r="AE19" s="555">
        <v>39783</v>
      </c>
      <c r="AF19" s="3782" t="s">
        <v>781</v>
      </c>
      <c r="AG19" s="3765"/>
      <c r="AH19" s="622" t="s">
        <v>3229</v>
      </c>
      <c r="AI19" s="622" t="s">
        <v>3229</v>
      </c>
      <c r="AJ19" s="622" t="s">
        <v>3229</v>
      </c>
      <c r="AK19" s="622" t="s">
        <v>3229</v>
      </c>
      <c r="AL19" s="622" t="s">
        <v>3229</v>
      </c>
      <c r="AM19" s="639">
        <v>1</v>
      </c>
      <c r="AN19" s="640">
        <v>0.26743844166666664</v>
      </c>
      <c r="AO19" s="625">
        <v>12674</v>
      </c>
      <c r="AP19" s="1369"/>
      <c r="AQ19" s="549">
        <v>0.1341613555916629</v>
      </c>
      <c r="AR19" s="632">
        <f>AO19/J19-1</f>
        <v>0.26740000000000008</v>
      </c>
      <c r="AS19" s="558">
        <f t="shared" si="4"/>
        <v>4.7652297695711443E-2</v>
      </c>
      <c r="AT19" s="598" t="s">
        <v>3229</v>
      </c>
      <c r="AU19" s="552" t="s">
        <v>3229</v>
      </c>
      <c r="AV19" s="558">
        <v>0.26740000000000003</v>
      </c>
      <c r="AW19" s="558">
        <f t="shared" ref="AW19:AW29" si="5">POWER(1+AV19,1/((I19-F19)/365))-1</f>
        <v>4.7652297695711443E-2</v>
      </c>
      <c r="AX19" s="553" t="s">
        <v>3229</v>
      </c>
      <c r="AY19" s="552" t="s">
        <v>3229</v>
      </c>
      <c r="AZ19" s="642">
        <f>J19*(1+AV19)</f>
        <v>12674</v>
      </c>
      <c r="BA19" s="643" t="s">
        <v>3190</v>
      </c>
      <c r="BB19" s="568"/>
      <c r="BC19" s="641"/>
      <c r="BD19" s="3708"/>
      <c r="BE19" s="3743"/>
      <c r="BF19" s="3743"/>
      <c r="BG19" s="3708"/>
      <c r="BH19" s="3762"/>
      <c r="BI19" s="3762"/>
      <c r="BJ19" s="39"/>
      <c r="BK19" s="39"/>
      <c r="BL19" s="39"/>
      <c r="BM19" s="39"/>
      <c r="BN19" s="39"/>
      <c r="BO19" s="39"/>
      <c r="BP19" s="39"/>
      <c r="BQ19" s="39"/>
      <c r="BR19" s="39"/>
      <c r="BS19" s="507"/>
      <c r="BT19" s="507"/>
      <c r="BU19" s="507"/>
      <c r="BV19" s="507"/>
      <c r="BW19" s="507"/>
      <c r="BX19" s="507"/>
      <c r="BY19" s="507"/>
      <c r="BZ19" s="507"/>
      <c r="CA19" s="507"/>
      <c r="CB19" s="507"/>
      <c r="CC19" s="507"/>
      <c r="CD19" s="507"/>
      <c r="CE19" s="507"/>
      <c r="CF19" s="507"/>
      <c r="CG19" s="507"/>
      <c r="CH19" s="507"/>
      <c r="CI19" s="507"/>
      <c r="CJ19" s="507"/>
      <c r="CK19" s="507"/>
      <c r="CL19" s="507"/>
      <c r="CM19" s="507"/>
      <c r="CN19" s="507"/>
      <c r="CO19" s="507"/>
      <c r="CP19" s="507"/>
      <c r="CQ19" s="507"/>
      <c r="CR19" s="507"/>
      <c r="CS19" s="507"/>
      <c r="CT19" s="507"/>
      <c r="CU19" s="507"/>
      <c r="CV19" s="507"/>
      <c r="CW19" s="507"/>
      <c r="CX19" s="507"/>
      <c r="CY19" s="507"/>
      <c r="CZ19" s="507"/>
      <c r="DA19" s="507"/>
      <c r="DB19" s="507"/>
      <c r="DC19" s="507"/>
      <c r="DD19" s="507"/>
      <c r="DE19" s="507"/>
      <c r="DF19" s="507"/>
      <c r="DG19" s="507"/>
      <c r="DH19" s="507"/>
      <c r="DI19" s="507"/>
      <c r="DJ19" s="507"/>
      <c r="DK19" s="507"/>
      <c r="DL19" s="507"/>
      <c r="DM19" s="507"/>
      <c r="DN19" s="507"/>
      <c r="DO19" s="507"/>
      <c r="DP19" s="507"/>
      <c r="DQ19" s="507"/>
      <c r="DR19" s="507"/>
      <c r="DS19" s="507"/>
      <c r="DT19" s="507"/>
      <c r="DU19" s="507"/>
      <c r="DV19" s="507"/>
      <c r="DW19" s="507"/>
      <c r="DX19" s="507"/>
      <c r="DY19" s="507"/>
      <c r="DZ19" s="507"/>
      <c r="EA19" s="507"/>
      <c r="EB19" s="507"/>
      <c r="EC19" s="507"/>
      <c r="ED19" s="507"/>
      <c r="EE19" s="507"/>
      <c r="EF19" s="507"/>
      <c r="EG19" s="507"/>
      <c r="EH19" s="507"/>
      <c r="EI19" s="507"/>
      <c r="EJ19" s="507"/>
      <c r="EK19" s="507"/>
      <c r="EL19" s="507"/>
      <c r="EM19" s="507"/>
      <c r="EN19" s="507"/>
      <c r="EO19" s="507"/>
      <c r="EP19" s="507"/>
      <c r="EQ19" s="507"/>
      <c r="ER19" s="507"/>
      <c r="ES19" s="507"/>
      <c r="ET19" s="507"/>
      <c r="EU19" s="507"/>
      <c r="EV19" s="507"/>
      <c r="EW19" s="507"/>
      <c r="EX19" s="507"/>
      <c r="EY19" s="507"/>
      <c r="EZ19" s="507"/>
      <c r="FA19" s="507"/>
      <c r="FB19" s="507"/>
      <c r="FC19" s="507"/>
      <c r="FD19" s="507"/>
      <c r="FE19" s="507"/>
      <c r="FF19" s="507"/>
      <c r="FG19" s="507"/>
      <c r="FH19" s="507"/>
      <c r="FI19" s="507"/>
      <c r="FJ19" s="507"/>
      <c r="FK19" s="507"/>
      <c r="FL19" s="507"/>
      <c r="FM19" s="507"/>
      <c r="FN19" s="507"/>
      <c r="FO19" s="507"/>
      <c r="FP19" s="507"/>
      <c r="FQ19" s="507"/>
      <c r="FR19" s="507"/>
      <c r="FS19" s="507"/>
      <c r="FT19" s="507"/>
      <c r="FU19" s="507"/>
      <c r="FV19" s="507"/>
      <c r="FW19" s="507"/>
      <c r="FX19" s="507"/>
      <c r="FY19" s="507"/>
      <c r="FZ19" s="507"/>
      <c r="GA19" s="507"/>
      <c r="GB19" s="507"/>
      <c r="GC19" s="507"/>
      <c r="GD19" s="507"/>
      <c r="GE19" s="507"/>
      <c r="GF19" s="507"/>
      <c r="GG19" s="507"/>
      <c r="GH19" s="507"/>
      <c r="GI19" s="507"/>
      <c r="GJ19" s="507"/>
      <c r="GK19" s="507"/>
      <c r="GL19" s="507"/>
      <c r="GM19" s="507"/>
      <c r="GN19" s="507"/>
      <c r="GO19" s="507"/>
      <c r="GP19" s="507"/>
      <c r="GQ19" s="507"/>
      <c r="GR19" s="507"/>
      <c r="GS19" s="507"/>
      <c r="GT19" s="507"/>
      <c r="GU19" s="507"/>
      <c r="GV19" s="507"/>
      <c r="GW19" s="507"/>
      <c r="GX19" s="507"/>
      <c r="GY19" s="507"/>
      <c r="GZ19" s="507"/>
      <c r="HA19" s="507"/>
      <c r="HB19" s="507"/>
      <c r="HC19" s="507"/>
      <c r="HD19" s="507"/>
      <c r="HE19" s="507"/>
      <c r="HF19" s="507"/>
      <c r="HG19" s="507"/>
      <c r="HH19" s="507"/>
      <c r="HI19" s="507"/>
      <c r="HJ19" s="507"/>
      <c r="HK19" s="507"/>
      <c r="HL19" s="507"/>
      <c r="HM19" s="507"/>
      <c r="HN19" s="507"/>
      <c r="HO19" s="507"/>
      <c r="HP19" s="507"/>
      <c r="HQ19" s="507"/>
      <c r="HR19" s="507"/>
      <c r="HS19" s="507"/>
      <c r="HT19" s="507"/>
      <c r="HU19" s="507"/>
      <c r="HV19" s="507"/>
      <c r="HW19" s="507"/>
      <c r="HX19" s="507"/>
      <c r="HY19" s="507"/>
      <c r="HZ19" s="507"/>
    </row>
    <row r="20" spans="1:234" s="232" customFormat="1" ht="15.9" hidden="1" customHeight="1" x14ac:dyDescent="0.25">
      <c r="A20" s="522" t="s">
        <v>3711</v>
      </c>
      <c r="B20" s="523" t="s">
        <v>3864</v>
      </c>
      <c r="C20" s="524" t="s">
        <v>173</v>
      </c>
      <c r="D20" s="564" t="s">
        <v>781</v>
      </c>
      <c r="E20" s="524" t="s">
        <v>1743</v>
      </c>
      <c r="F20" s="543">
        <v>38023</v>
      </c>
      <c r="G20" s="544">
        <v>37963</v>
      </c>
      <c r="H20" s="565">
        <v>38016</v>
      </c>
      <c r="I20" s="546">
        <v>39629</v>
      </c>
      <c r="J20" s="547">
        <v>1000</v>
      </c>
      <c r="K20" s="558">
        <v>-0.03</v>
      </c>
      <c r="L20" s="559">
        <v>0.06</v>
      </c>
      <c r="M20" s="550">
        <v>0.08</v>
      </c>
      <c r="N20" s="560" t="s">
        <v>3229</v>
      </c>
      <c r="O20" s="552" t="s">
        <v>3229</v>
      </c>
      <c r="P20" s="552" t="s">
        <v>3229</v>
      </c>
      <c r="Q20" s="552" t="s">
        <v>3229</v>
      </c>
      <c r="R20" s="552" t="s">
        <v>3229</v>
      </c>
      <c r="S20" s="567">
        <v>4</v>
      </c>
      <c r="T20" s="555">
        <v>38384</v>
      </c>
      <c r="U20" s="555">
        <v>38749</v>
      </c>
      <c r="V20" s="555">
        <v>39114</v>
      </c>
      <c r="W20" s="555">
        <v>39600</v>
      </c>
      <c r="X20" s="555" t="s">
        <v>3229</v>
      </c>
      <c r="Y20" s="555" t="s">
        <v>3229</v>
      </c>
      <c r="Z20" s="555" t="s">
        <v>3229</v>
      </c>
      <c r="AA20" s="555" t="s">
        <v>3229</v>
      </c>
      <c r="AB20" s="555" t="s">
        <v>3229</v>
      </c>
      <c r="AC20" s="555" t="s">
        <v>3229</v>
      </c>
      <c r="AD20" s="555" t="s">
        <v>3229</v>
      </c>
      <c r="AE20" s="556" t="s">
        <v>3229</v>
      </c>
      <c r="AF20" s="3782" t="s">
        <v>781</v>
      </c>
      <c r="AG20" s="3783"/>
      <c r="AH20" s="622">
        <v>0.5</v>
      </c>
      <c r="AI20" s="622">
        <v>0.5</v>
      </c>
      <c r="AJ20" s="622" t="s">
        <v>3229</v>
      </c>
      <c r="AK20" s="622" t="s">
        <v>3229</v>
      </c>
      <c r="AL20" s="622" t="s">
        <v>3229</v>
      </c>
      <c r="AM20" s="639" t="s">
        <v>3229</v>
      </c>
      <c r="AN20" s="576">
        <v>0.1462</v>
      </c>
      <c r="AO20" s="625">
        <v>1146.2</v>
      </c>
      <c r="AP20" s="1368"/>
      <c r="AQ20" s="658" t="s">
        <v>3229</v>
      </c>
      <c r="AR20" s="632">
        <f>AO20/J20-1</f>
        <v>0.14620000000000011</v>
      </c>
      <c r="AS20" s="558">
        <f t="shared" si="4"/>
        <v>3.1497723108599329E-2</v>
      </c>
      <c r="AT20" s="598" t="s">
        <v>3229</v>
      </c>
      <c r="AU20" s="552" t="s">
        <v>3229</v>
      </c>
      <c r="AV20" s="558">
        <f>AO20/J20-1</f>
        <v>0.14620000000000011</v>
      </c>
      <c r="AW20" s="558">
        <f t="shared" si="5"/>
        <v>3.1497723108599329E-2</v>
      </c>
      <c r="AX20" s="553" t="s">
        <v>3229</v>
      </c>
      <c r="AY20" s="552" t="s">
        <v>3229</v>
      </c>
      <c r="AZ20" s="642"/>
      <c r="BA20" s="644" t="s">
        <v>3189</v>
      </c>
      <c r="BB20" s="570"/>
      <c r="BC20" s="637"/>
      <c r="BD20" s="3708"/>
      <c r="BE20" s="3743"/>
      <c r="BF20" s="3743"/>
      <c r="BG20" s="3708"/>
      <c r="BH20" s="3762"/>
      <c r="BI20" s="3762"/>
      <c r="BJ20" s="39"/>
      <c r="BK20" s="39"/>
      <c r="BL20" s="39"/>
      <c r="BM20" s="39"/>
      <c r="BN20" s="39"/>
      <c r="BO20" s="39"/>
      <c r="BP20" s="39"/>
      <c r="BQ20" s="39"/>
      <c r="BR20" s="39"/>
      <c r="BS20" s="507"/>
      <c r="BT20" s="507"/>
      <c r="BU20" s="507"/>
      <c r="BV20" s="507"/>
      <c r="BW20" s="507"/>
      <c r="BX20" s="507"/>
      <c r="BY20" s="507"/>
      <c r="BZ20" s="507"/>
      <c r="CA20" s="507"/>
      <c r="CB20" s="507"/>
      <c r="CC20" s="507"/>
      <c r="CD20" s="507"/>
      <c r="CE20" s="507"/>
      <c r="CF20" s="507"/>
      <c r="CG20" s="507"/>
      <c r="CH20" s="507"/>
      <c r="CI20" s="507"/>
      <c r="CJ20" s="507"/>
      <c r="CK20" s="507"/>
      <c r="CL20" s="507"/>
      <c r="CM20" s="507"/>
      <c r="CN20" s="507"/>
      <c r="CO20" s="507"/>
      <c r="CP20" s="507"/>
      <c r="CQ20" s="507"/>
      <c r="CR20" s="507"/>
      <c r="CS20" s="507"/>
      <c r="CT20" s="507"/>
      <c r="CU20" s="507"/>
      <c r="CV20" s="507"/>
      <c r="CW20" s="507"/>
      <c r="CX20" s="507"/>
      <c r="CY20" s="507"/>
      <c r="CZ20" s="507"/>
      <c r="DA20" s="507"/>
      <c r="DB20" s="507"/>
      <c r="DC20" s="507"/>
      <c r="DD20" s="507"/>
      <c r="DE20" s="507"/>
      <c r="DF20" s="507"/>
      <c r="DG20" s="507"/>
      <c r="DH20" s="507"/>
      <c r="DI20" s="507"/>
      <c r="DJ20" s="507"/>
      <c r="DK20" s="507"/>
      <c r="DL20" s="507"/>
      <c r="DM20" s="507"/>
      <c r="DN20" s="507"/>
      <c r="DO20" s="507"/>
      <c r="DP20" s="507"/>
      <c r="DQ20" s="507"/>
      <c r="DR20" s="507"/>
      <c r="DS20" s="507"/>
      <c r="DT20" s="507"/>
      <c r="DU20" s="507"/>
      <c r="DV20" s="507"/>
      <c r="DW20" s="507"/>
      <c r="DX20" s="507"/>
      <c r="DY20" s="507"/>
      <c r="DZ20" s="507"/>
      <c r="EA20" s="507"/>
      <c r="EB20" s="507"/>
      <c r="EC20" s="507"/>
      <c r="ED20" s="507"/>
      <c r="EE20" s="507"/>
      <c r="EF20" s="507"/>
      <c r="EG20" s="507"/>
      <c r="EH20" s="507"/>
      <c r="EI20" s="507"/>
      <c r="EJ20" s="507"/>
      <c r="EK20" s="507"/>
      <c r="EL20" s="507"/>
      <c r="EM20" s="507"/>
      <c r="EN20" s="507"/>
      <c r="EO20" s="507"/>
      <c r="EP20" s="507"/>
      <c r="EQ20" s="507"/>
      <c r="ER20" s="507"/>
      <c r="ES20" s="507"/>
      <c r="ET20" s="507"/>
      <c r="EU20" s="507"/>
      <c r="EV20" s="507"/>
      <c r="EW20" s="507"/>
      <c r="EX20" s="507"/>
      <c r="EY20" s="507"/>
      <c r="EZ20" s="507"/>
      <c r="FA20" s="507"/>
      <c r="FB20" s="507"/>
      <c r="FC20" s="507"/>
      <c r="FD20" s="507"/>
      <c r="FE20" s="507"/>
      <c r="FF20" s="507"/>
      <c r="FG20" s="507"/>
      <c r="FH20" s="507"/>
      <c r="FI20" s="507"/>
      <c r="FJ20" s="507"/>
      <c r="FK20" s="507"/>
      <c r="FL20" s="507"/>
      <c r="FM20" s="507"/>
      <c r="FN20" s="507"/>
      <c r="FO20" s="507"/>
      <c r="FP20" s="507"/>
      <c r="FQ20" s="507"/>
      <c r="FR20" s="507"/>
      <c r="FS20" s="507"/>
      <c r="FT20" s="507"/>
      <c r="FU20" s="507"/>
      <c r="FV20" s="507"/>
      <c r="FW20" s="507"/>
      <c r="FX20" s="507"/>
      <c r="FY20" s="507"/>
      <c r="FZ20" s="507"/>
      <c r="GA20" s="507"/>
      <c r="GB20" s="507"/>
      <c r="GC20" s="507"/>
      <c r="GD20" s="507"/>
      <c r="GE20" s="507"/>
      <c r="GF20" s="507"/>
      <c r="GG20" s="507"/>
      <c r="GH20" s="507"/>
      <c r="GI20" s="507"/>
      <c r="GJ20" s="507"/>
      <c r="GK20" s="507"/>
      <c r="GL20" s="507"/>
      <c r="GM20" s="507"/>
      <c r="GN20" s="507"/>
      <c r="GO20" s="507"/>
      <c r="GP20" s="507"/>
      <c r="GQ20" s="507"/>
      <c r="GR20" s="507"/>
      <c r="GS20" s="507"/>
      <c r="GT20" s="507"/>
      <c r="GU20" s="507"/>
      <c r="GV20" s="507"/>
      <c r="GW20" s="507"/>
      <c r="GX20" s="507"/>
      <c r="GY20" s="507"/>
      <c r="GZ20" s="507"/>
      <c r="HA20" s="507"/>
      <c r="HB20" s="507"/>
      <c r="HC20" s="507"/>
      <c r="HD20" s="507"/>
      <c r="HE20" s="507"/>
      <c r="HF20" s="507"/>
      <c r="HG20" s="507"/>
      <c r="HH20" s="507"/>
      <c r="HI20" s="507"/>
      <c r="HJ20" s="507"/>
      <c r="HK20" s="507"/>
      <c r="HL20" s="507"/>
      <c r="HM20" s="507"/>
      <c r="HN20" s="507"/>
      <c r="HO20" s="507"/>
      <c r="HP20" s="507"/>
      <c r="HQ20" s="507"/>
      <c r="HR20" s="507"/>
      <c r="HS20" s="507"/>
      <c r="HT20" s="507"/>
      <c r="HU20" s="507"/>
      <c r="HV20" s="507"/>
      <c r="HW20" s="507"/>
      <c r="HX20" s="507"/>
      <c r="HY20" s="507"/>
      <c r="HZ20" s="507"/>
    </row>
    <row r="21" spans="1:234" s="232" customFormat="1" ht="15.9" hidden="1" customHeight="1" x14ac:dyDescent="0.25">
      <c r="A21" s="522" t="s">
        <v>3712</v>
      </c>
      <c r="B21" s="523" t="s">
        <v>3132</v>
      </c>
      <c r="C21" s="524" t="s">
        <v>3969</v>
      </c>
      <c r="D21" s="568" t="s">
        <v>781</v>
      </c>
      <c r="E21" s="569" t="s">
        <v>3228</v>
      </c>
      <c r="F21" s="543">
        <v>38051</v>
      </c>
      <c r="G21" s="544">
        <v>37998</v>
      </c>
      <c r="H21" s="565">
        <v>38044</v>
      </c>
      <c r="I21" s="546">
        <v>39660</v>
      </c>
      <c r="J21" s="547">
        <v>10000</v>
      </c>
      <c r="K21" s="558">
        <v>-0.03</v>
      </c>
      <c r="L21" s="559">
        <v>0.06</v>
      </c>
      <c r="M21" s="550">
        <v>0.08</v>
      </c>
      <c r="N21" s="560" t="s">
        <v>3229</v>
      </c>
      <c r="O21" s="552" t="s">
        <v>3229</v>
      </c>
      <c r="P21" s="552" t="s">
        <v>3229</v>
      </c>
      <c r="Q21" s="552" t="s">
        <v>3229</v>
      </c>
      <c r="R21" s="552" t="s">
        <v>3229</v>
      </c>
      <c r="S21" s="567">
        <v>4</v>
      </c>
      <c r="T21" s="555">
        <v>38412</v>
      </c>
      <c r="U21" s="555">
        <v>38777</v>
      </c>
      <c r="V21" s="555">
        <v>39142</v>
      </c>
      <c r="W21" s="555">
        <v>39630</v>
      </c>
      <c r="X21" s="555" t="s">
        <v>3229</v>
      </c>
      <c r="Y21" s="555" t="s">
        <v>3229</v>
      </c>
      <c r="Z21" s="555" t="s">
        <v>3229</v>
      </c>
      <c r="AA21" s="555" t="s">
        <v>3229</v>
      </c>
      <c r="AB21" s="555" t="s">
        <v>3229</v>
      </c>
      <c r="AC21" s="555" t="s">
        <v>3229</v>
      </c>
      <c r="AD21" s="555" t="s">
        <v>3229</v>
      </c>
      <c r="AE21" s="556" t="s">
        <v>3229</v>
      </c>
      <c r="AF21" s="3782" t="s">
        <v>781</v>
      </c>
      <c r="AG21" s="3783"/>
      <c r="AH21" s="622">
        <v>0.5</v>
      </c>
      <c r="AI21" s="622">
        <v>0.5</v>
      </c>
      <c r="AJ21" s="622" t="s">
        <v>3229</v>
      </c>
      <c r="AK21" s="622" t="s">
        <v>3229</v>
      </c>
      <c r="AL21" s="622" t="s">
        <v>3229</v>
      </c>
      <c r="AM21" s="639" t="s">
        <v>3229</v>
      </c>
      <c r="AN21" s="576">
        <v>0.15</v>
      </c>
      <c r="AO21" s="625">
        <v>11505.5</v>
      </c>
      <c r="AP21" s="1368"/>
      <c r="AQ21" s="658" t="s">
        <v>3229</v>
      </c>
      <c r="AR21" s="632">
        <f>AO21/J21-1</f>
        <v>0.15054999999999996</v>
      </c>
      <c r="AS21" s="558">
        <f t="shared" si="4"/>
        <v>3.2324773295557163E-2</v>
      </c>
      <c r="AT21" s="598" t="s">
        <v>3229</v>
      </c>
      <c r="AU21" s="552" t="s">
        <v>3229</v>
      </c>
      <c r="AV21" s="558">
        <f>AO21/J21-1</f>
        <v>0.15054999999999996</v>
      </c>
      <c r="AW21" s="558">
        <f t="shared" si="5"/>
        <v>3.2324773295557163E-2</v>
      </c>
      <c r="AX21" s="553" t="s">
        <v>3229</v>
      </c>
      <c r="AY21" s="552" t="s">
        <v>3229</v>
      </c>
      <c r="AZ21" s="642"/>
      <c r="BA21" s="644" t="s">
        <v>3189</v>
      </c>
      <c r="BB21" s="570"/>
      <c r="BC21" s="637"/>
      <c r="BD21" s="3708"/>
      <c r="BE21" s="3743"/>
      <c r="BF21" s="3743"/>
      <c r="BG21" s="3708"/>
      <c r="BH21" s="3762"/>
      <c r="BI21" s="3762"/>
      <c r="BJ21" s="39"/>
      <c r="BK21" s="39"/>
      <c r="BL21" s="39"/>
      <c r="BM21" s="39"/>
      <c r="BN21" s="39"/>
      <c r="BO21" s="39"/>
      <c r="BP21" s="39"/>
      <c r="BQ21" s="39"/>
      <c r="BR21" s="39"/>
      <c r="BS21" s="507"/>
      <c r="BT21" s="507"/>
      <c r="BU21" s="507"/>
      <c r="BV21" s="507"/>
      <c r="BW21" s="507"/>
      <c r="BX21" s="507"/>
      <c r="BY21" s="507"/>
      <c r="BZ21" s="507"/>
      <c r="CA21" s="507"/>
      <c r="CB21" s="507"/>
      <c r="CC21" s="507"/>
      <c r="CD21" s="507"/>
      <c r="CE21" s="507"/>
      <c r="CF21" s="507"/>
      <c r="CG21" s="507"/>
      <c r="CH21" s="507"/>
      <c r="CI21" s="507"/>
      <c r="CJ21" s="507"/>
      <c r="CK21" s="507"/>
      <c r="CL21" s="507"/>
      <c r="CM21" s="507"/>
      <c r="CN21" s="507"/>
      <c r="CO21" s="507"/>
      <c r="CP21" s="507"/>
      <c r="CQ21" s="507"/>
      <c r="CR21" s="507"/>
      <c r="CS21" s="507"/>
      <c r="CT21" s="507"/>
      <c r="CU21" s="507"/>
      <c r="CV21" s="507"/>
      <c r="CW21" s="507"/>
      <c r="CX21" s="507"/>
      <c r="CY21" s="507"/>
      <c r="CZ21" s="507"/>
      <c r="DA21" s="507"/>
      <c r="DB21" s="507"/>
      <c r="DC21" s="507"/>
      <c r="DD21" s="507"/>
      <c r="DE21" s="507"/>
      <c r="DF21" s="507"/>
      <c r="DG21" s="507"/>
      <c r="DH21" s="507"/>
      <c r="DI21" s="507"/>
      <c r="DJ21" s="507"/>
      <c r="DK21" s="507"/>
      <c r="DL21" s="507"/>
      <c r="DM21" s="507"/>
      <c r="DN21" s="507"/>
      <c r="DO21" s="507"/>
      <c r="DP21" s="507"/>
      <c r="DQ21" s="507"/>
      <c r="DR21" s="507"/>
      <c r="DS21" s="507"/>
      <c r="DT21" s="507"/>
      <c r="DU21" s="507"/>
      <c r="DV21" s="507"/>
      <c r="DW21" s="507"/>
      <c r="DX21" s="507"/>
      <c r="DY21" s="507"/>
      <c r="DZ21" s="507"/>
      <c r="EA21" s="507"/>
      <c r="EB21" s="507"/>
      <c r="EC21" s="507"/>
      <c r="ED21" s="507"/>
      <c r="EE21" s="507"/>
      <c r="EF21" s="507"/>
      <c r="EG21" s="507"/>
      <c r="EH21" s="507"/>
      <c r="EI21" s="507"/>
      <c r="EJ21" s="507"/>
      <c r="EK21" s="507"/>
      <c r="EL21" s="507"/>
      <c r="EM21" s="507"/>
      <c r="EN21" s="507"/>
      <c r="EO21" s="507"/>
      <c r="EP21" s="507"/>
      <c r="EQ21" s="507"/>
      <c r="ER21" s="507"/>
      <c r="ES21" s="507"/>
      <c r="ET21" s="507"/>
      <c r="EU21" s="507"/>
      <c r="EV21" s="507"/>
      <c r="EW21" s="507"/>
      <c r="EX21" s="507"/>
      <c r="EY21" s="507"/>
      <c r="EZ21" s="507"/>
      <c r="FA21" s="507"/>
      <c r="FB21" s="507"/>
      <c r="FC21" s="507"/>
      <c r="FD21" s="507"/>
      <c r="FE21" s="507"/>
      <c r="FF21" s="507"/>
      <c r="FG21" s="507"/>
      <c r="FH21" s="507"/>
      <c r="FI21" s="507"/>
      <c r="FJ21" s="507"/>
      <c r="FK21" s="507"/>
      <c r="FL21" s="507"/>
      <c r="FM21" s="507"/>
      <c r="FN21" s="507"/>
      <c r="FO21" s="507"/>
      <c r="FP21" s="507"/>
      <c r="FQ21" s="507"/>
      <c r="FR21" s="507"/>
      <c r="FS21" s="507"/>
      <c r="FT21" s="507"/>
      <c r="FU21" s="507"/>
      <c r="FV21" s="507"/>
      <c r="FW21" s="507"/>
      <c r="FX21" s="507"/>
      <c r="FY21" s="507"/>
      <c r="FZ21" s="507"/>
      <c r="GA21" s="507"/>
      <c r="GB21" s="507"/>
      <c r="GC21" s="507"/>
      <c r="GD21" s="507"/>
      <c r="GE21" s="507"/>
      <c r="GF21" s="507"/>
      <c r="GG21" s="507"/>
      <c r="GH21" s="507"/>
      <c r="GI21" s="507"/>
      <c r="GJ21" s="507"/>
      <c r="GK21" s="507"/>
      <c r="GL21" s="507"/>
      <c r="GM21" s="507"/>
      <c r="GN21" s="507"/>
      <c r="GO21" s="507"/>
      <c r="GP21" s="507"/>
      <c r="GQ21" s="507"/>
      <c r="GR21" s="507"/>
      <c r="GS21" s="507"/>
      <c r="GT21" s="507"/>
      <c r="GU21" s="507"/>
      <c r="GV21" s="507"/>
      <c r="GW21" s="507"/>
      <c r="GX21" s="507"/>
      <c r="GY21" s="507"/>
      <c r="GZ21" s="507"/>
      <c r="HA21" s="507"/>
      <c r="HB21" s="507"/>
      <c r="HC21" s="507"/>
      <c r="HD21" s="507"/>
      <c r="HE21" s="507"/>
      <c r="HF21" s="507"/>
      <c r="HG21" s="507"/>
      <c r="HH21" s="507"/>
      <c r="HI21" s="507"/>
      <c r="HJ21" s="507"/>
      <c r="HK21" s="507"/>
      <c r="HL21" s="507"/>
      <c r="HM21" s="507"/>
      <c r="HN21" s="507"/>
      <c r="HO21" s="507"/>
      <c r="HP21" s="507"/>
      <c r="HQ21" s="507"/>
      <c r="HR21" s="507"/>
      <c r="HS21" s="507"/>
      <c r="HT21" s="507"/>
      <c r="HU21" s="507"/>
      <c r="HV21" s="507"/>
      <c r="HW21" s="507"/>
      <c r="HX21" s="507"/>
      <c r="HY21" s="507"/>
      <c r="HZ21" s="507"/>
    </row>
    <row r="22" spans="1:234" s="299" customFormat="1" ht="15.9" hidden="1" customHeight="1" x14ac:dyDescent="0.25">
      <c r="A22" s="522" t="s">
        <v>3713</v>
      </c>
      <c r="B22" s="523" t="s">
        <v>3133</v>
      </c>
      <c r="C22" s="524" t="s">
        <v>1126</v>
      </c>
      <c r="D22" s="570" t="s">
        <v>189</v>
      </c>
      <c r="E22" s="569" t="s">
        <v>3228</v>
      </c>
      <c r="F22" s="543">
        <v>38051</v>
      </c>
      <c r="G22" s="544">
        <v>37998</v>
      </c>
      <c r="H22" s="562">
        <v>38044</v>
      </c>
      <c r="I22" s="546">
        <v>39903</v>
      </c>
      <c r="J22" s="547">
        <v>10000</v>
      </c>
      <c r="K22" s="553" t="s">
        <v>3229</v>
      </c>
      <c r="L22" s="552" t="s">
        <v>3229</v>
      </c>
      <c r="M22" s="560">
        <v>0.10150000000000001</v>
      </c>
      <c r="N22" s="560" t="s">
        <v>3229</v>
      </c>
      <c r="O22" s="552" t="s">
        <v>3229</v>
      </c>
      <c r="P22" s="552" t="s">
        <v>3229</v>
      </c>
      <c r="Q22" s="549">
        <v>3.9E-2</v>
      </c>
      <c r="R22" s="571">
        <v>1.5</v>
      </c>
      <c r="S22" s="567">
        <v>5</v>
      </c>
      <c r="T22" s="555">
        <v>38384</v>
      </c>
      <c r="U22" s="555">
        <v>38749</v>
      </c>
      <c r="V22" s="555">
        <v>39114</v>
      </c>
      <c r="W22" s="555">
        <v>39479</v>
      </c>
      <c r="X22" s="555">
        <v>39845</v>
      </c>
      <c r="Y22" s="555" t="s">
        <v>3229</v>
      </c>
      <c r="Z22" s="555" t="s">
        <v>3229</v>
      </c>
      <c r="AA22" s="555" t="s">
        <v>3229</v>
      </c>
      <c r="AB22" s="555" t="s">
        <v>3229</v>
      </c>
      <c r="AC22" s="555" t="s">
        <v>3229</v>
      </c>
      <c r="AD22" s="555" t="s">
        <v>3229</v>
      </c>
      <c r="AE22" s="556" t="s">
        <v>3229</v>
      </c>
      <c r="AF22" s="3782" t="s">
        <v>781</v>
      </c>
      <c r="AG22" s="3765"/>
      <c r="AH22" s="622" t="s">
        <v>3229</v>
      </c>
      <c r="AI22" s="622" t="s">
        <v>3229</v>
      </c>
      <c r="AJ22" s="622" t="s">
        <v>3229</v>
      </c>
      <c r="AK22" s="622" t="s">
        <v>3229</v>
      </c>
      <c r="AL22" s="622" t="s">
        <v>3229</v>
      </c>
      <c r="AM22" s="623">
        <v>1</v>
      </c>
      <c r="AN22" s="576">
        <v>0.1015925925925926</v>
      </c>
      <c r="AO22" s="625">
        <v>11015</v>
      </c>
      <c r="AP22" s="688"/>
      <c r="AQ22" s="658" t="s">
        <v>3229</v>
      </c>
      <c r="AR22" s="632">
        <f>SUM('klikací hodnoty'!F320:F324)</f>
        <v>0.1015925925925926</v>
      </c>
      <c r="AS22" s="558">
        <f t="shared" si="4"/>
        <v>1.9252247897118213E-2</v>
      </c>
      <c r="AT22" s="598" t="s">
        <v>3229</v>
      </c>
      <c r="AU22" s="599" t="s">
        <v>3229</v>
      </c>
      <c r="AV22" s="558">
        <f>AR22</f>
        <v>0.1015925925925926</v>
      </c>
      <c r="AW22" s="558">
        <f t="shared" si="5"/>
        <v>1.9252247897118213E-2</v>
      </c>
      <c r="AX22" s="558"/>
      <c r="AY22" s="559"/>
      <c r="AZ22" s="642">
        <f>J22*(1+AV22)</f>
        <v>11015.925925925927</v>
      </c>
      <c r="BA22" s="644" t="s">
        <v>274</v>
      </c>
      <c r="BB22" s="570" t="s">
        <v>2496</v>
      </c>
      <c r="BC22" s="637" t="s">
        <v>2895</v>
      </c>
      <c r="BD22" s="3709"/>
      <c r="BE22" s="3743"/>
      <c r="BF22" s="3743"/>
      <c r="BG22" s="3708"/>
      <c r="BH22" s="3762"/>
      <c r="BI22" s="3762"/>
      <c r="BJ22" s="39"/>
      <c r="BK22" s="39"/>
      <c r="BL22" s="39"/>
      <c r="BM22" s="39"/>
      <c r="BN22" s="39"/>
      <c r="BO22" s="39"/>
      <c r="BP22" s="39"/>
      <c r="BQ22" s="39"/>
      <c r="BR22" s="39"/>
      <c r="BS22" s="507"/>
      <c r="BT22" s="507"/>
      <c r="BU22" s="507"/>
      <c r="BV22" s="507"/>
      <c r="BW22" s="507"/>
      <c r="BX22" s="507"/>
      <c r="BY22" s="507"/>
      <c r="BZ22" s="507"/>
      <c r="CA22" s="507"/>
      <c r="CB22" s="507"/>
      <c r="CC22" s="507"/>
      <c r="CD22" s="507"/>
      <c r="CE22" s="507"/>
      <c r="CF22" s="507"/>
      <c r="CG22" s="507"/>
      <c r="CH22" s="507"/>
      <c r="CI22" s="507"/>
      <c r="CJ22" s="507"/>
      <c r="CK22" s="507"/>
      <c r="CL22" s="507"/>
      <c r="CM22" s="507"/>
      <c r="CN22" s="507"/>
      <c r="CO22" s="507"/>
      <c r="CP22" s="507"/>
      <c r="CQ22" s="507"/>
      <c r="CR22" s="507"/>
      <c r="CS22" s="507"/>
      <c r="CT22" s="507"/>
      <c r="CU22" s="507"/>
      <c r="CV22" s="507"/>
      <c r="CW22" s="507"/>
      <c r="CX22" s="507"/>
      <c r="CY22" s="507"/>
      <c r="CZ22" s="507"/>
      <c r="DA22" s="507"/>
      <c r="DB22" s="507"/>
      <c r="DC22" s="507"/>
      <c r="DD22" s="507"/>
      <c r="DE22" s="507"/>
      <c r="DF22" s="507"/>
      <c r="DG22" s="507"/>
      <c r="DH22" s="507"/>
      <c r="DI22" s="507"/>
      <c r="DJ22" s="507"/>
      <c r="DK22" s="507"/>
      <c r="DL22" s="507"/>
      <c r="DM22" s="507"/>
      <c r="DN22" s="507"/>
      <c r="DO22" s="507"/>
      <c r="DP22" s="507"/>
      <c r="DQ22" s="507"/>
      <c r="DR22" s="507"/>
      <c r="DS22" s="507"/>
      <c r="DT22" s="507"/>
      <c r="DU22" s="507"/>
      <c r="DV22" s="507"/>
      <c r="DW22" s="507"/>
      <c r="DX22" s="507"/>
      <c r="DY22" s="507"/>
      <c r="DZ22" s="507"/>
      <c r="EA22" s="507"/>
      <c r="EB22" s="507"/>
      <c r="EC22" s="507"/>
      <c r="ED22" s="507"/>
      <c r="EE22" s="507"/>
      <c r="EF22" s="507"/>
      <c r="EG22" s="507"/>
      <c r="EH22" s="507"/>
      <c r="EI22" s="507"/>
      <c r="EJ22" s="507"/>
      <c r="EK22" s="507"/>
      <c r="EL22" s="507"/>
      <c r="EM22" s="507"/>
      <c r="EN22" s="507"/>
      <c r="EO22" s="507"/>
      <c r="EP22" s="507"/>
      <c r="EQ22" s="507"/>
      <c r="ER22" s="507"/>
      <c r="ES22" s="507"/>
      <c r="ET22" s="507"/>
      <c r="EU22" s="507"/>
      <c r="EV22" s="507"/>
      <c r="EW22" s="507"/>
      <c r="EX22" s="507"/>
      <c r="EY22" s="507"/>
      <c r="EZ22" s="507"/>
      <c r="FA22" s="507"/>
      <c r="FB22" s="507"/>
      <c r="FC22" s="507"/>
      <c r="FD22" s="507"/>
      <c r="FE22" s="507"/>
      <c r="FF22" s="507"/>
      <c r="FG22" s="507"/>
      <c r="FH22" s="507"/>
      <c r="FI22" s="507"/>
      <c r="FJ22" s="507"/>
      <c r="FK22" s="507"/>
      <c r="FL22" s="507"/>
      <c r="FM22" s="507"/>
      <c r="FN22" s="507"/>
      <c r="FO22" s="507"/>
      <c r="FP22" s="507"/>
      <c r="FQ22" s="507"/>
      <c r="FR22" s="507"/>
      <c r="FS22" s="507"/>
      <c r="FT22" s="507"/>
      <c r="FU22" s="507"/>
      <c r="FV22" s="507"/>
      <c r="FW22" s="507"/>
      <c r="FX22" s="507"/>
      <c r="FY22" s="507"/>
      <c r="FZ22" s="507"/>
      <c r="GA22" s="507"/>
      <c r="GB22" s="507"/>
      <c r="GC22" s="507"/>
      <c r="GD22" s="507"/>
      <c r="GE22" s="507"/>
      <c r="GF22" s="507"/>
      <c r="GG22" s="507"/>
      <c r="GH22" s="507"/>
      <c r="GI22" s="507"/>
      <c r="GJ22" s="507"/>
      <c r="GK22" s="507"/>
      <c r="GL22" s="507"/>
      <c r="GM22" s="507"/>
      <c r="GN22" s="507"/>
      <c r="GO22" s="507"/>
      <c r="GP22" s="507"/>
      <c r="GQ22" s="507"/>
      <c r="GR22" s="507"/>
      <c r="GS22" s="507"/>
      <c r="GT22" s="507"/>
      <c r="GU22" s="507"/>
      <c r="GV22" s="507"/>
      <c r="GW22" s="507"/>
      <c r="GX22" s="507"/>
      <c r="GY22" s="507"/>
      <c r="GZ22" s="507"/>
      <c r="HA22" s="507"/>
      <c r="HB22" s="507"/>
      <c r="HC22" s="507"/>
      <c r="HD22" s="507"/>
      <c r="HE22" s="507"/>
      <c r="HF22" s="507"/>
      <c r="HG22" s="507"/>
      <c r="HH22" s="507"/>
      <c r="HI22" s="507"/>
      <c r="HJ22" s="507"/>
      <c r="HK22" s="507"/>
      <c r="HL22" s="507"/>
      <c r="HM22" s="507"/>
      <c r="HN22" s="507"/>
      <c r="HO22" s="507"/>
      <c r="HP22" s="507"/>
      <c r="HQ22" s="507"/>
      <c r="HR22" s="507"/>
      <c r="HS22" s="507"/>
      <c r="HT22" s="507"/>
      <c r="HU22" s="507"/>
      <c r="HV22" s="507"/>
      <c r="HW22" s="507"/>
      <c r="HX22" s="507"/>
      <c r="HY22" s="507"/>
      <c r="HZ22" s="507"/>
    </row>
    <row r="23" spans="1:234" s="232" customFormat="1" ht="15.9" hidden="1" customHeight="1" x14ac:dyDescent="0.25">
      <c r="A23" s="522" t="s">
        <v>1705</v>
      </c>
      <c r="B23" s="523" t="s">
        <v>3134</v>
      </c>
      <c r="C23" s="524" t="s">
        <v>3753</v>
      </c>
      <c r="D23" s="570" t="s">
        <v>781</v>
      </c>
      <c r="E23" s="569" t="s">
        <v>3228</v>
      </c>
      <c r="F23" s="543">
        <v>38100</v>
      </c>
      <c r="G23" s="544">
        <v>38047</v>
      </c>
      <c r="H23" s="562">
        <v>38093</v>
      </c>
      <c r="I23" s="546">
        <v>39721</v>
      </c>
      <c r="J23" s="547">
        <v>10000</v>
      </c>
      <c r="K23" s="558">
        <v>-0.03</v>
      </c>
      <c r="L23" s="559">
        <v>6.25E-2</v>
      </c>
      <c r="M23" s="550">
        <v>0.08</v>
      </c>
      <c r="N23" s="560" t="s">
        <v>3229</v>
      </c>
      <c r="O23" s="552" t="s">
        <v>3229</v>
      </c>
      <c r="P23" s="552" t="s">
        <v>3229</v>
      </c>
      <c r="Q23" s="552" t="s">
        <v>3229</v>
      </c>
      <c r="R23" s="552" t="s">
        <v>3229</v>
      </c>
      <c r="S23" s="567">
        <v>4</v>
      </c>
      <c r="T23" s="555">
        <v>38473</v>
      </c>
      <c r="U23" s="555">
        <v>38838</v>
      </c>
      <c r="V23" s="555">
        <v>39203</v>
      </c>
      <c r="W23" s="555">
        <v>39692</v>
      </c>
      <c r="X23" s="555" t="s">
        <v>3229</v>
      </c>
      <c r="Y23" s="555" t="s">
        <v>3229</v>
      </c>
      <c r="Z23" s="555" t="s">
        <v>3229</v>
      </c>
      <c r="AA23" s="555" t="s">
        <v>3229</v>
      </c>
      <c r="AB23" s="555" t="s">
        <v>3229</v>
      </c>
      <c r="AC23" s="555" t="s">
        <v>3229</v>
      </c>
      <c r="AD23" s="555" t="s">
        <v>3229</v>
      </c>
      <c r="AE23" s="556" t="s">
        <v>3229</v>
      </c>
      <c r="AF23" s="3782" t="s">
        <v>781</v>
      </c>
      <c r="AG23" s="3783"/>
      <c r="AH23" s="622">
        <v>0.5</v>
      </c>
      <c r="AI23" s="622">
        <v>0.5</v>
      </c>
      <c r="AJ23" s="622" t="s">
        <v>3229</v>
      </c>
      <c r="AK23" s="622" t="s">
        <v>3229</v>
      </c>
      <c r="AL23" s="622" t="s">
        <v>3229</v>
      </c>
      <c r="AM23" s="623" t="s">
        <v>3229</v>
      </c>
      <c r="AN23" s="576">
        <v>0.1371</v>
      </c>
      <c r="AO23" s="625">
        <v>11371</v>
      </c>
      <c r="AP23" s="688"/>
      <c r="AQ23" s="658" t="s">
        <v>3229</v>
      </c>
      <c r="AR23" s="632">
        <f>AO23/J23-1</f>
        <v>0.1371</v>
      </c>
      <c r="AS23" s="558">
        <f t="shared" si="4"/>
        <v>2.9352596967658018E-2</v>
      </c>
      <c r="AT23" s="598" t="s">
        <v>3229</v>
      </c>
      <c r="AU23" s="552" t="s">
        <v>3229</v>
      </c>
      <c r="AV23" s="558">
        <f>AO23/J23-1</f>
        <v>0.1371</v>
      </c>
      <c r="AW23" s="558">
        <f t="shared" si="5"/>
        <v>2.9352596967658018E-2</v>
      </c>
      <c r="AX23" s="553" t="s">
        <v>3229</v>
      </c>
      <c r="AY23" s="552" t="s">
        <v>3229</v>
      </c>
      <c r="AZ23" s="642"/>
      <c r="BA23" s="644" t="s">
        <v>3189</v>
      </c>
      <c r="BB23" s="570"/>
      <c r="BC23" s="637"/>
      <c r="BD23" s="3708"/>
      <c r="BE23" s="3743"/>
      <c r="BF23" s="3743"/>
      <c r="BG23" s="3708"/>
      <c r="BH23" s="3762"/>
      <c r="BI23" s="3762"/>
      <c r="BJ23" s="39"/>
      <c r="BK23" s="39"/>
      <c r="BL23" s="39"/>
      <c r="BM23" s="39"/>
      <c r="BN23" s="39"/>
      <c r="BO23" s="39"/>
      <c r="BP23" s="39"/>
      <c r="BQ23" s="39"/>
      <c r="BR23" s="39"/>
      <c r="BS23" s="507"/>
      <c r="BT23" s="507"/>
      <c r="BU23" s="507"/>
      <c r="BV23" s="507"/>
      <c r="BW23" s="507"/>
      <c r="BX23" s="507"/>
      <c r="BY23" s="507"/>
      <c r="BZ23" s="507"/>
      <c r="CA23" s="507"/>
      <c r="CB23" s="507"/>
      <c r="CC23" s="507"/>
      <c r="CD23" s="507"/>
      <c r="CE23" s="507"/>
      <c r="CF23" s="507"/>
      <c r="CG23" s="507"/>
      <c r="CH23" s="507"/>
      <c r="CI23" s="507"/>
      <c r="CJ23" s="507"/>
      <c r="CK23" s="507"/>
      <c r="CL23" s="507"/>
      <c r="CM23" s="507"/>
      <c r="CN23" s="507"/>
      <c r="CO23" s="507"/>
      <c r="CP23" s="507"/>
      <c r="CQ23" s="507"/>
      <c r="CR23" s="507"/>
      <c r="CS23" s="507"/>
      <c r="CT23" s="507"/>
      <c r="CU23" s="507"/>
      <c r="CV23" s="507"/>
      <c r="CW23" s="507"/>
      <c r="CX23" s="507"/>
      <c r="CY23" s="507"/>
      <c r="CZ23" s="507"/>
      <c r="DA23" s="507"/>
      <c r="DB23" s="507"/>
      <c r="DC23" s="507"/>
      <c r="DD23" s="507"/>
      <c r="DE23" s="507"/>
      <c r="DF23" s="507"/>
      <c r="DG23" s="507"/>
      <c r="DH23" s="507"/>
      <c r="DI23" s="507"/>
      <c r="DJ23" s="507"/>
      <c r="DK23" s="507"/>
      <c r="DL23" s="507"/>
      <c r="DM23" s="507"/>
      <c r="DN23" s="507"/>
      <c r="DO23" s="507"/>
      <c r="DP23" s="507"/>
      <c r="DQ23" s="507"/>
      <c r="DR23" s="507"/>
      <c r="DS23" s="507"/>
      <c r="DT23" s="507"/>
      <c r="DU23" s="507"/>
      <c r="DV23" s="507"/>
      <c r="DW23" s="507"/>
      <c r="DX23" s="507"/>
      <c r="DY23" s="507"/>
      <c r="DZ23" s="507"/>
      <c r="EA23" s="507"/>
      <c r="EB23" s="507"/>
      <c r="EC23" s="507"/>
      <c r="ED23" s="507"/>
      <c r="EE23" s="507"/>
      <c r="EF23" s="507"/>
      <c r="EG23" s="507"/>
      <c r="EH23" s="507"/>
      <c r="EI23" s="507"/>
      <c r="EJ23" s="507"/>
      <c r="EK23" s="507"/>
      <c r="EL23" s="507"/>
      <c r="EM23" s="507"/>
      <c r="EN23" s="507"/>
      <c r="EO23" s="507"/>
      <c r="EP23" s="507"/>
      <c r="EQ23" s="507"/>
      <c r="ER23" s="507"/>
      <c r="ES23" s="507"/>
      <c r="ET23" s="507"/>
      <c r="EU23" s="507"/>
      <c r="EV23" s="507"/>
      <c r="EW23" s="507"/>
      <c r="EX23" s="507"/>
      <c r="EY23" s="507"/>
      <c r="EZ23" s="507"/>
      <c r="FA23" s="507"/>
      <c r="FB23" s="507"/>
      <c r="FC23" s="507"/>
      <c r="FD23" s="507"/>
      <c r="FE23" s="507"/>
      <c r="FF23" s="507"/>
      <c r="FG23" s="507"/>
      <c r="FH23" s="507"/>
      <c r="FI23" s="507"/>
      <c r="FJ23" s="507"/>
      <c r="FK23" s="507"/>
      <c r="FL23" s="507"/>
      <c r="FM23" s="507"/>
      <c r="FN23" s="507"/>
      <c r="FO23" s="507"/>
      <c r="FP23" s="507"/>
      <c r="FQ23" s="507"/>
      <c r="FR23" s="507"/>
      <c r="FS23" s="507"/>
      <c r="FT23" s="507"/>
      <c r="FU23" s="507"/>
      <c r="FV23" s="507"/>
      <c r="FW23" s="507"/>
      <c r="FX23" s="507"/>
      <c r="FY23" s="507"/>
      <c r="FZ23" s="507"/>
      <c r="GA23" s="507"/>
      <c r="GB23" s="507"/>
      <c r="GC23" s="507"/>
      <c r="GD23" s="507"/>
      <c r="GE23" s="507"/>
      <c r="GF23" s="507"/>
      <c r="GG23" s="507"/>
      <c r="GH23" s="507"/>
      <c r="GI23" s="507"/>
      <c r="GJ23" s="507"/>
      <c r="GK23" s="507"/>
      <c r="GL23" s="507"/>
      <c r="GM23" s="507"/>
      <c r="GN23" s="507"/>
      <c r="GO23" s="507"/>
      <c r="GP23" s="507"/>
      <c r="GQ23" s="507"/>
      <c r="GR23" s="507"/>
      <c r="GS23" s="507"/>
      <c r="GT23" s="507"/>
      <c r="GU23" s="507"/>
      <c r="GV23" s="507"/>
      <c r="GW23" s="507"/>
      <c r="GX23" s="507"/>
      <c r="GY23" s="507"/>
      <c r="GZ23" s="507"/>
      <c r="HA23" s="507"/>
      <c r="HB23" s="507"/>
      <c r="HC23" s="507"/>
      <c r="HD23" s="507"/>
      <c r="HE23" s="507"/>
      <c r="HF23" s="507"/>
      <c r="HG23" s="507"/>
      <c r="HH23" s="507"/>
      <c r="HI23" s="507"/>
      <c r="HJ23" s="507"/>
      <c r="HK23" s="507"/>
      <c r="HL23" s="507"/>
      <c r="HM23" s="507"/>
      <c r="HN23" s="507"/>
      <c r="HO23" s="507"/>
      <c r="HP23" s="507"/>
      <c r="HQ23" s="507"/>
      <c r="HR23" s="507"/>
      <c r="HS23" s="507"/>
      <c r="HT23" s="507"/>
      <c r="HU23" s="507"/>
      <c r="HV23" s="507"/>
      <c r="HW23" s="507"/>
      <c r="HX23" s="507"/>
      <c r="HY23" s="507"/>
      <c r="HZ23" s="507"/>
    </row>
    <row r="24" spans="1:234" s="39" customFormat="1" ht="15.9" hidden="1" customHeight="1" x14ac:dyDescent="0.25">
      <c r="A24" s="522" t="s">
        <v>1706</v>
      </c>
      <c r="B24" s="523" t="s">
        <v>3262</v>
      </c>
      <c r="C24" s="524" t="s">
        <v>3698</v>
      </c>
      <c r="D24" s="570" t="s">
        <v>189</v>
      </c>
      <c r="E24" s="569" t="s">
        <v>3228</v>
      </c>
      <c r="F24" s="543">
        <v>38100</v>
      </c>
      <c r="G24" s="544">
        <v>38047</v>
      </c>
      <c r="H24" s="562">
        <v>38093</v>
      </c>
      <c r="I24" s="546">
        <v>40329</v>
      </c>
      <c r="J24" s="547">
        <v>10000</v>
      </c>
      <c r="K24" s="553" t="s">
        <v>3229</v>
      </c>
      <c r="L24" s="552" t="s">
        <v>3229</v>
      </c>
      <c r="M24" s="560">
        <v>0</v>
      </c>
      <c r="N24" s="560">
        <v>1</v>
      </c>
      <c r="O24" s="552" t="s">
        <v>3229</v>
      </c>
      <c r="P24" s="552" t="s">
        <v>3229</v>
      </c>
      <c r="Q24" s="552" t="s">
        <v>3229</v>
      </c>
      <c r="R24" s="552" t="s">
        <v>3229</v>
      </c>
      <c r="S24" s="567"/>
      <c r="T24" s="553" t="s">
        <v>3229</v>
      </c>
      <c r="U24" s="553" t="s">
        <v>3229</v>
      </c>
      <c r="V24" s="553" t="s">
        <v>3229</v>
      </c>
      <c r="W24" s="553" t="s">
        <v>3229</v>
      </c>
      <c r="X24" s="553" t="s">
        <v>3229</v>
      </c>
      <c r="Y24" s="553" t="s">
        <v>3229</v>
      </c>
      <c r="Z24" s="553" t="s">
        <v>3229</v>
      </c>
      <c r="AA24" s="553" t="s">
        <v>3229</v>
      </c>
      <c r="AB24" s="555" t="s">
        <v>3229</v>
      </c>
      <c r="AC24" s="555" t="s">
        <v>3229</v>
      </c>
      <c r="AD24" s="555" t="s">
        <v>3229</v>
      </c>
      <c r="AE24" s="556" t="s">
        <v>3229</v>
      </c>
      <c r="AF24" s="3764" t="s">
        <v>781</v>
      </c>
      <c r="AG24" s="3765"/>
      <c r="AH24" s="622" t="s">
        <v>3229</v>
      </c>
      <c r="AI24" s="622" t="s">
        <v>3229</v>
      </c>
      <c r="AJ24" s="622" t="s">
        <v>3229</v>
      </c>
      <c r="AK24" s="622" t="s">
        <v>3229</v>
      </c>
      <c r="AL24" s="622" t="s">
        <v>3229</v>
      </c>
      <c r="AM24" s="623">
        <v>1</v>
      </c>
      <c r="AN24" s="576">
        <v>0.19388166666666665</v>
      </c>
      <c r="AO24" s="625">
        <v>11939</v>
      </c>
      <c r="AP24" s="1368">
        <v>0.19388166666666665</v>
      </c>
      <c r="AQ24" s="549">
        <v>0.23124979319146863</v>
      </c>
      <c r="AR24" s="558">
        <v>0.19389999999999999</v>
      </c>
      <c r="AS24" s="558">
        <f t="shared" si="4"/>
        <v>2.9445940441079399E-2</v>
      </c>
      <c r="AT24" s="558" t="s">
        <v>3229</v>
      </c>
      <c r="AU24" s="559" t="s">
        <v>3229</v>
      </c>
      <c r="AV24" s="558">
        <v>0.19389999999999999</v>
      </c>
      <c r="AW24" s="558">
        <f t="shared" si="5"/>
        <v>2.9445940441079399E-2</v>
      </c>
      <c r="AX24" s="558" t="s">
        <v>3229</v>
      </c>
      <c r="AY24" s="559" t="s">
        <v>3229</v>
      </c>
      <c r="AZ24" s="642">
        <f t="shared" ref="AZ24:AZ29" si="6">J24*(1+AV24)</f>
        <v>11939</v>
      </c>
      <c r="BA24" s="644" t="s">
        <v>3190</v>
      </c>
      <c r="BB24" s="570"/>
      <c r="BC24" s="637"/>
      <c r="BD24" s="3708"/>
      <c r="BE24" s="3743"/>
      <c r="BF24" s="3743"/>
      <c r="BG24" s="3708"/>
      <c r="BH24" s="3762"/>
      <c r="BI24" s="3762"/>
      <c r="BS24" s="507"/>
      <c r="BT24" s="507"/>
      <c r="BU24" s="507"/>
      <c r="BV24" s="507"/>
      <c r="BW24" s="507"/>
      <c r="BX24" s="507"/>
      <c r="BY24" s="507"/>
      <c r="BZ24" s="507"/>
      <c r="CA24" s="507"/>
      <c r="CB24" s="507"/>
      <c r="CC24" s="507"/>
      <c r="CD24" s="507"/>
      <c r="CE24" s="507"/>
      <c r="CF24" s="507"/>
      <c r="CG24" s="507"/>
      <c r="CH24" s="507"/>
      <c r="CI24" s="507"/>
      <c r="CJ24" s="507"/>
      <c r="CK24" s="507"/>
      <c r="CL24" s="507"/>
      <c r="CM24" s="507"/>
      <c r="CN24" s="507"/>
      <c r="CO24" s="507"/>
      <c r="CP24" s="507"/>
      <c r="CQ24" s="507"/>
      <c r="CR24" s="507"/>
      <c r="CS24" s="507"/>
      <c r="CT24" s="507"/>
      <c r="CU24" s="507"/>
      <c r="CV24" s="507"/>
      <c r="CW24" s="507"/>
      <c r="CX24" s="507"/>
      <c r="CY24" s="507"/>
      <c r="CZ24" s="507"/>
      <c r="DA24" s="507"/>
      <c r="DB24" s="507"/>
      <c r="DC24" s="507"/>
      <c r="DD24" s="507"/>
      <c r="DE24" s="507"/>
      <c r="DF24" s="507"/>
      <c r="DG24" s="507"/>
      <c r="DH24" s="507"/>
      <c r="DI24" s="507"/>
      <c r="DJ24" s="507"/>
      <c r="DK24" s="507"/>
      <c r="DL24" s="507"/>
      <c r="DM24" s="507"/>
      <c r="DN24" s="507"/>
      <c r="DO24" s="507"/>
      <c r="DP24" s="507"/>
      <c r="DQ24" s="507"/>
      <c r="DR24" s="507"/>
      <c r="DS24" s="507"/>
      <c r="DT24" s="507"/>
      <c r="DU24" s="507"/>
      <c r="DV24" s="507"/>
      <c r="DW24" s="507"/>
      <c r="DX24" s="507"/>
      <c r="DY24" s="507"/>
      <c r="DZ24" s="507"/>
      <c r="EA24" s="507"/>
      <c r="EB24" s="507"/>
      <c r="EC24" s="507"/>
      <c r="ED24" s="507"/>
      <c r="EE24" s="507"/>
      <c r="EF24" s="507"/>
      <c r="EG24" s="507"/>
      <c r="EH24" s="507"/>
      <c r="EI24" s="507"/>
      <c r="EJ24" s="507"/>
      <c r="EK24" s="507"/>
      <c r="EL24" s="507"/>
      <c r="EM24" s="507"/>
      <c r="EN24" s="507"/>
      <c r="EO24" s="507"/>
      <c r="EP24" s="507"/>
      <c r="EQ24" s="507"/>
      <c r="ER24" s="507"/>
      <c r="ES24" s="507"/>
      <c r="ET24" s="507"/>
      <c r="EU24" s="507"/>
      <c r="EV24" s="507"/>
      <c r="EW24" s="507"/>
      <c r="EX24" s="507"/>
      <c r="EY24" s="507"/>
      <c r="EZ24" s="507"/>
      <c r="FA24" s="507"/>
      <c r="FB24" s="507"/>
      <c r="FC24" s="507"/>
      <c r="FD24" s="507"/>
      <c r="FE24" s="507"/>
      <c r="FF24" s="507"/>
      <c r="FG24" s="507"/>
      <c r="FH24" s="507"/>
      <c r="FI24" s="507"/>
      <c r="FJ24" s="507"/>
      <c r="FK24" s="507"/>
      <c r="FL24" s="507"/>
      <c r="FM24" s="507"/>
      <c r="FN24" s="507"/>
      <c r="FO24" s="507"/>
      <c r="FP24" s="507"/>
      <c r="FQ24" s="507"/>
      <c r="FR24" s="507"/>
      <c r="FS24" s="507"/>
      <c r="FT24" s="507"/>
      <c r="FU24" s="507"/>
      <c r="FV24" s="507"/>
      <c r="FW24" s="507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</row>
    <row r="25" spans="1:234" s="39" customFormat="1" ht="15.9" hidden="1" customHeight="1" x14ac:dyDescent="0.25">
      <c r="A25" s="522" t="s">
        <v>73</v>
      </c>
      <c r="B25" s="523" t="s">
        <v>3263</v>
      </c>
      <c r="C25" s="524" t="s">
        <v>2400</v>
      </c>
      <c r="D25" s="570" t="s">
        <v>827</v>
      </c>
      <c r="E25" s="569" t="s">
        <v>3228</v>
      </c>
      <c r="F25" s="543">
        <v>38128</v>
      </c>
      <c r="G25" s="544">
        <v>38033</v>
      </c>
      <c r="H25" s="562">
        <v>38121</v>
      </c>
      <c r="I25" s="546">
        <v>41089</v>
      </c>
      <c r="J25" s="547">
        <v>10000</v>
      </c>
      <c r="K25" s="553">
        <v>0</v>
      </c>
      <c r="L25" s="552">
        <v>0.06</v>
      </c>
      <c r="M25" s="560">
        <v>0.25</v>
      </c>
      <c r="N25" s="560" t="s">
        <v>3229</v>
      </c>
      <c r="O25" s="552" t="s">
        <v>3229</v>
      </c>
      <c r="P25" s="552" t="s">
        <v>3229</v>
      </c>
      <c r="Q25" s="552" t="s">
        <v>3229</v>
      </c>
      <c r="R25" s="552" t="s">
        <v>3229</v>
      </c>
      <c r="S25" s="567">
        <v>8</v>
      </c>
      <c r="T25" s="554">
        <v>38504</v>
      </c>
      <c r="U25" s="555">
        <v>38869</v>
      </c>
      <c r="V25" s="555">
        <v>39234</v>
      </c>
      <c r="W25" s="555">
        <v>39600</v>
      </c>
      <c r="X25" s="555">
        <v>39965</v>
      </c>
      <c r="Y25" s="555">
        <v>40330</v>
      </c>
      <c r="Z25" s="555">
        <v>40695</v>
      </c>
      <c r="AA25" s="555">
        <v>41061</v>
      </c>
      <c r="AB25" s="555" t="s">
        <v>3229</v>
      </c>
      <c r="AC25" s="555" t="s">
        <v>3229</v>
      </c>
      <c r="AD25" s="555" t="s">
        <v>3229</v>
      </c>
      <c r="AE25" s="556" t="s">
        <v>3229</v>
      </c>
      <c r="AF25" s="3764" t="s">
        <v>781</v>
      </c>
      <c r="AG25" s="3765"/>
      <c r="AH25" s="622">
        <v>0.5</v>
      </c>
      <c r="AI25" s="622">
        <v>0.5</v>
      </c>
      <c r="AJ25" s="622" t="s">
        <v>3229</v>
      </c>
      <c r="AK25" s="622" t="s">
        <v>3229</v>
      </c>
      <c r="AL25" s="622" t="s">
        <v>3229</v>
      </c>
      <c r="AM25" s="623" t="s">
        <v>3229</v>
      </c>
      <c r="AN25" s="576">
        <v>0.3</v>
      </c>
      <c r="AO25" s="625">
        <v>12990.88</v>
      </c>
      <c r="AP25" s="658" t="s">
        <v>3229</v>
      </c>
      <c r="AQ25" s="658" t="s">
        <v>3229</v>
      </c>
      <c r="AR25" s="558" t="e">
        <f>MAX(0,AF25*L25+SUM('klikací hodnoty'!F376:F391))</f>
        <v>#VALUE!</v>
      </c>
      <c r="AS25" s="558" t="e">
        <f t="shared" si="4"/>
        <v>#VALUE!</v>
      </c>
      <c r="AT25" s="558" t="e">
        <f>J25*(1+AR25)/AO25-1</f>
        <v>#VALUE!</v>
      </c>
      <c r="AU25" s="559" t="e">
        <f>POWER(1+AT25,1/AG25)-1</f>
        <v>#VALUE!</v>
      </c>
      <c r="AV25" s="558" t="e">
        <f>MAX(M25,AN25+AF25*K25)</f>
        <v>#VALUE!</v>
      </c>
      <c r="AW25" s="558" t="e">
        <f t="shared" si="5"/>
        <v>#VALUE!</v>
      </c>
      <c r="AX25" s="558" t="e">
        <f>J25*(1+AV25)/AO25-1</f>
        <v>#VALUE!</v>
      </c>
      <c r="AY25" s="559" t="e">
        <f>POWER(1+AX25,1/AG25)-1</f>
        <v>#VALUE!</v>
      </c>
      <c r="AZ25" s="642" t="e">
        <f t="shared" si="6"/>
        <v>#VALUE!</v>
      </c>
      <c r="BA25" s="644" t="s">
        <v>3151</v>
      </c>
      <c r="BB25" s="570" t="s">
        <v>2025</v>
      </c>
      <c r="BC25" s="637" t="s">
        <v>2895</v>
      </c>
      <c r="BD25" s="3708"/>
      <c r="BE25" s="3743"/>
      <c r="BF25" s="3743"/>
      <c r="BG25" s="3708"/>
      <c r="BH25" s="3762"/>
      <c r="BI25" s="3762"/>
      <c r="BS25" s="507"/>
      <c r="BT25" s="507"/>
      <c r="BU25" s="507"/>
      <c r="BV25" s="507"/>
      <c r="BW25" s="507"/>
      <c r="BX25" s="507"/>
      <c r="BY25" s="507"/>
      <c r="BZ25" s="507"/>
      <c r="CA25" s="507"/>
      <c r="CB25" s="507"/>
      <c r="CC25" s="507"/>
      <c r="CD25" s="507"/>
      <c r="CE25" s="507"/>
      <c r="CF25" s="507"/>
      <c r="CG25" s="507"/>
      <c r="CH25" s="507"/>
      <c r="CI25" s="507"/>
      <c r="CJ25" s="507"/>
      <c r="CK25" s="507"/>
      <c r="CL25" s="507"/>
      <c r="CM25" s="507"/>
      <c r="CN25" s="507"/>
      <c r="CO25" s="507"/>
      <c r="CP25" s="507"/>
      <c r="CQ25" s="507"/>
      <c r="CR25" s="507"/>
      <c r="CS25" s="507"/>
      <c r="CT25" s="507"/>
      <c r="CU25" s="507"/>
      <c r="CV25" s="507"/>
      <c r="CW25" s="507"/>
      <c r="CX25" s="507"/>
      <c r="CY25" s="507"/>
      <c r="CZ25" s="507"/>
      <c r="DA25" s="507"/>
      <c r="DB25" s="507"/>
      <c r="DC25" s="507"/>
      <c r="DD25" s="507"/>
      <c r="DE25" s="507"/>
      <c r="DF25" s="507"/>
      <c r="DG25" s="507"/>
      <c r="DH25" s="507"/>
      <c r="DI25" s="507"/>
      <c r="DJ25" s="507"/>
      <c r="DK25" s="507"/>
      <c r="DL25" s="507"/>
      <c r="DM25" s="507"/>
      <c r="DN25" s="507"/>
      <c r="DO25" s="507"/>
      <c r="DP25" s="507"/>
      <c r="DQ25" s="507"/>
      <c r="DR25" s="507"/>
      <c r="DS25" s="507"/>
      <c r="DT25" s="507"/>
      <c r="DU25" s="507"/>
      <c r="DV25" s="507"/>
      <c r="DW25" s="507"/>
      <c r="DX25" s="507"/>
      <c r="DY25" s="507"/>
      <c r="DZ25" s="507"/>
      <c r="EA25" s="507"/>
      <c r="EB25" s="507"/>
      <c r="EC25" s="507"/>
      <c r="ED25" s="507"/>
      <c r="EE25" s="507"/>
      <c r="EF25" s="507"/>
      <c r="EG25" s="507"/>
      <c r="EH25" s="507"/>
      <c r="EI25" s="507"/>
      <c r="EJ25" s="507"/>
      <c r="EK25" s="507"/>
      <c r="EL25" s="507"/>
      <c r="EM25" s="507"/>
      <c r="EN25" s="507"/>
      <c r="EO25" s="507"/>
      <c r="EP25" s="507"/>
      <c r="EQ25" s="507"/>
      <c r="ER25" s="507"/>
      <c r="ES25" s="507"/>
      <c r="ET25" s="507"/>
      <c r="EU25" s="507"/>
      <c r="EV25" s="507"/>
      <c r="EW25" s="507"/>
      <c r="EX25" s="507"/>
      <c r="EY25" s="507"/>
      <c r="EZ25" s="507"/>
      <c r="FA25" s="507"/>
      <c r="FB25" s="507"/>
      <c r="FC25" s="507"/>
      <c r="FD25" s="507"/>
      <c r="FE25" s="507"/>
      <c r="FF25" s="507"/>
      <c r="FG25" s="507"/>
      <c r="FH25" s="507"/>
      <c r="FI25" s="507"/>
      <c r="FJ25" s="507"/>
      <c r="FK25" s="507"/>
      <c r="FL25" s="507"/>
      <c r="FM25" s="507"/>
      <c r="FN25" s="507"/>
      <c r="FO25" s="507"/>
      <c r="FP25" s="507"/>
      <c r="FQ25" s="507"/>
      <c r="FR25" s="507"/>
      <c r="FS25" s="507"/>
      <c r="FT25" s="507"/>
      <c r="FU25" s="507"/>
      <c r="FV25" s="507"/>
      <c r="FW25" s="507"/>
      <c r="FX25" s="507"/>
      <c r="FY25" s="507"/>
      <c r="FZ25" s="507"/>
      <c r="GA25" s="507"/>
      <c r="GB25" s="507"/>
      <c r="GC25" s="507"/>
      <c r="GD25" s="507"/>
      <c r="GE25" s="507"/>
      <c r="GF25" s="507"/>
      <c r="GG25" s="507"/>
      <c r="GH25" s="507"/>
      <c r="GI25" s="507"/>
      <c r="GJ25" s="507"/>
      <c r="GK25" s="507"/>
      <c r="GL25" s="507"/>
      <c r="GM25" s="507"/>
      <c r="GN25" s="507"/>
      <c r="GO25" s="507"/>
      <c r="GP25" s="507"/>
      <c r="GQ25" s="507"/>
      <c r="GR25" s="507"/>
      <c r="GS25" s="507"/>
      <c r="GT25" s="507"/>
      <c r="GU25" s="507"/>
      <c r="GV25" s="507"/>
      <c r="GW25" s="507"/>
      <c r="GX25" s="507"/>
      <c r="GY25" s="507"/>
      <c r="GZ25" s="507"/>
      <c r="HA25" s="507"/>
      <c r="HB25" s="507"/>
      <c r="HC25" s="507"/>
      <c r="HD25" s="507"/>
      <c r="HE25" s="507"/>
      <c r="HF25" s="507"/>
      <c r="HG25" s="507"/>
      <c r="HH25" s="507"/>
      <c r="HI25" s="507"/>
      <c r="HJ25" s="507"/>
      <c r="HK25" s="507"/>
      <c r="HL25" s="507"/>
      <c r="HM25" s="507"/>
      <c r="HN25" s="507"/>
      <c r="HO25" s="507"/>
      <c r="HP25" s="507"/>
      <c r="HQ25" s="507"/>
      <c r="HR25" s="507"/>
      <c r="HS25" s="507"/>
      <c r="HT25" s="507"/>
      <c r="HU25" s="507"/>
      <c r="HV25" s="507"/>
      <c r="HW25" s="507"/>
      <c r="HX25" s="507"/>
      <c r="HY25" s="507"/>
      <c r="HZ25" s="507"/>
    </row>
    <row r="26" spans="1:234" s="232" customFormat="1" ht="15.9" hidden="1" customHeight="1" x14ac:dyDescent="0.25">
      <c r="A26" s="522" t="s">
        <v>1707</v>
      </c>
      <c r="B26" s="523" t="s">
        <v>453</v>
      </c>
      <c r="C26" s="524" t="s">
        <v>3699</v>
      </c>
      <c r="D26" s="570" t="s">
        <v>189</v>
      </c>
      <c r="E26" s="569" t="s">
        <v>3228</v>
      </c>
      <c r="F26" s="543">
        <v>38142</v>
      </c>
      <c r="G26" s="544">
        <v>38096</v>
      </c>
      <c r="H26" s="562">
        <v>38135</v>
      </c>
      <c r="I26" s="546">
        <v>40116</v>
      </c>
      <c r="J26" s="547">
        <v>10000</v>
      </c>
      <c r="K26" s="558">
        <v>-0.03</v>
      </c>
      <c r="L26" s="559">
        <v>7.0000000000000007E-2</v>
      </c>
      <c r="M26" s="550">
        <v>0.08</v>
      </c>
      <c r="N26" s="560" t="s">
        <v>3229</v>
      </c>
      <c r="O26" s="552" t="s">
        <v>3229</v>
      </c>
      <c r="P26" s="552" t="s">
        <v>3229</v>
      </c>
      <c r="Q26" s="552" t="s">
        <v>3229</v>
      </c>
      <c r="R26" s="552" t="s">
        <v>3229</v>
      </c>
      <c r="S26" s="567">
        <v>5</v>
      </c>
      <c r="T26" s="555">
        <v>38504</v>
      </c>
      <c r="U26" s="555">
        <v>38869</v>
      </c>
      <c r="V26" s="555">
        <v>39234</v>
      </c>
      <c r="W26" s="555">
        <v>39600</v>
      </c>
      <c r="X26" s="555">
        <v>40087</v>
      </c>
      <c r="Y26" s="555" t="s">
        <v>3229</v>
      </c>
      <c r="Z26" s="555" t="s">
        <v>3229</v>
      </c>
      <c r="AA26" s="555" t="s">
        <v>3229</v>
      </c>
      <c r="AB26" s="555" t="s">
        <v>3229</v>
      </c>
      <c r="AC26" s="555" t="s">
        <v>3229</v>
      </c>
      <c r="AD26" s="555" t="s">
        <v>3229</v>
      </c>
      <c r="AE26" s="556" t="s">
        <v>3229</v>
      </c>
      <c r="AF26" s="3782" t="s">
        <v>781</v>
      </c>
      <c r="AG26" s="3783"/>
      <c r="AH26" s="622">
        <v>0.4</v>
      </c>
      <c r="AI26" s="622">
        <v>0.4</v>
      </c>
      <c r="AJ26" s="622">
        <v>0.2</v>
      </c>
      <c r="AK26" s="622" t="s">
        <v>3229</v>
      </c>
      <c r="AL26" s="622" t="s">
        <v>3229</v>
      </c>
      <c r="AM26" s="623" t="s">
        <v>3229</v>
      </c>
      <c r="AN26" s="576">
        <v>0.15000000000000002</v>
      </c>
      <c r="AO26" s="625">
        <v>11623.11</v>
      </c>
      <c r="AP26" s="1368"/>
      <c r="AQ26" s="658" t="s">
        <v>3229</v>
      </c>
      <c r="AR26" s="558">
        <f>AO26/10000-1</f>
        <v>0.16231100000000009</v>
      </c>
      <c r="AS26" s="558">
        <f t="shared" si="4"/>
        <v>2.8201769673903199E-2</v>
      </c>
      <c r="AT26" s="633" t="s">
        <v>3229</v>
      </c>
      <c r="AU26" s="552" t="s">
        <v>3229</v>
      </c>
      <c r="AV26" s="558">
        <f>AN26</f>
        <v>0.15000000000000002</v>
      </c>
      <c r="AW26" s="558">
        <f t="shared" si="5"/>
        <v>2.6179319763901976E-2</v>
      </c>
      <c r="AX26" s="553" t="s">
        <v>3229</v>
      </c>
      <c r="AY26" s="552" t="s">
        <v>3229</v>
      </c>
      <c r="AZ26" s="642">
        <f t="shared" si="6"/>
        <v>11500</v>
      </c>
      <c r="BA26" s="644" t="s">
        <v>3189</v>
      </c>
      <c r="BB26" s="570" t="s">
        <v>2025</v>
      </c>
      <c r="BC26" s="637" t="s">
        <v>2895</v>
      </c>
      <c r="BD26" s="3708"/>
      <c r="BE26" s="3743"/>
      <c r="BF26" s="3743"/>
      <c r="BG26" s="3708"/>
      <c r="BH26" s="3762"/>
      <c r="BI26" s="3762"/>
      <c r="BJ26" s="39"/>
      <c r="BK26" s="39"/>
      <c r="BL26" s="39"/>
      <c r="BM26" s="39"/>
      <c r="BN26" s="39"/>
      <c r="BO26" s="39"/>
      <c r="BP26" s="39"/>
      <c r="BQ26" s="39"/>
      <c r="BR26" s="39"/>
      <c r="BS26" s="507"/>
      <c r="BT26" s="507"/>
      <c r="BU26" s="507"/>
      <c r="BV26" s="507"/>
      <c r="BW26" s="507"/>
      <c r="BX26" s="507"/>
      <c r="BY26" s="507"/>
      <c r="BZ26" s="507"/>
      <c r="CA26" s="507"/>
      <c r="CB26" s="507"/>
      <c r="CC26" s="507"/>
      <c r="CD26" s="507"/>
      <c r="CE26" s="507"/>
      <c r="CF26" s="507"/>
      <c r="CG26" s="507"/>
      <c r="CH26" s="507"/>
      <c r="CI26" s="507"/>
      <c r="CJ26" s="507"/>
      <c r="CK26" s="507"/>
      <c r="CL26" s="507"/>
      <c r="CM26" s="507"/>
      <c r="CN26" s="507"/>
      <c r="CO26" s="507"/>
      <c r="CP26" s="507"/>
      <c r="CQ26" s="507"/>
      <c r="CR26" s="507"/>
      <c r="CS26" s="507"/>
      <c r="CT26" s="507"/>
      <c r="CU26" s="507"/>
      <c r="CV26" s="507"/>
      <c r="CW26" s="507"/>
      <c r="CX26" s="507"/>
      <c r="CY26" s="507"/>
      <c r="CZ26" s="507"/>
      <c r="DA26" s="507"/>
      <c r="DB26" s="507"/>
      <c r="DC26" s="507"/>
      <c r="DD26" s="507"/>
      <c r="DE26" s="507"/>
      <c r="DF26" s="507"/>
      <c r="DG26" s="507"/>
      <c r="DH26" s="507"/>
      <c r="DI26" s="507"/>
      <c r="DJ26" s="507"/>
      <c r="DK26" s="507"/>
      <c r="DL26" s="507"/>
      <c r="DM26" s="507"/>
      <c r="DN26" s="507"/>
      <c r="DO26" s="507"/>
      <c r="DP26" s="507"/>
      <c r="DQ26" s="507"/>
      <c r="DR26" s="507"/>
      <c r="DS26" s="507"/>
      <c r="DT26" s="507"/>
      <c r="DU26" s="507"/>
      <c r="DV26" s="507"/>
      <c r="DW26" s="507"/>
      <c r="DX26" s="507"/>
      <c r="DY26" s="507"/>
      <c r="DZ26" s="507"/>
      <c r="EA26" s="507"/>
      <c r="EB26" s="507"/>
      <c r="EC26" s="507"/>
      <c r="ED26" s="507"/>
      <c r="EE26" s="507"/>
      <c r="EF26" s="507"/>
      <c r="EG26" s="507"/>
      <c r="EH26" s="507"/>
      <c r="EI26" s="507"/>
      <c r="EJ26" s="507"/>
      <c r="EK26" s="507"/>
      <c r="EL26" s="507"/>
      <c r="EM26" s="507"/>
      <c r="EN26" s="507"/>
      <c r="EO26" s="507"/>
      <c r="EP26" s="507"/>
      <c r="EQ26" s="507"/>
      <c r="ER26" s="507"/>
      <c r="ES26" s="507"/>
      <c r="ET26" s="507"/>
      <c r="EU26" s="507"/>
      <c r="EV26" s="507"/>
      <c r="EW26" s="507"/>
      <c r="EX26" s="507"/>
      <c r="EY26" s="507"/>
      <c r="EZ26" s="507"/>
      <c r="FA26" s="507"/>
      <c r="FB26" s="507"/>
      <c r="FC26" s="507"/>
      <c r="FD26" s="507"/>
      <c r="FE26" s="507"/>
      <c r="FF26" s="507"/>
      <c r="FG26" s="507"/>
      <c r="FH26" s="507"/>
      <c r="FI26" s="507"/>
      <c r="FJ26" s="507"/>
      <c r="FK26" s="507"/>
      <c r="FL26" s="507"/>
      <c r="FM26" s="507"/>
      <c r="FN26" s="507"/>
      <c r="FO26" s="507"/>
      <c r="FP26" s="507"/>
      <c r="FQ26" s="507"/>
      <c r="FR26" s="507"/>
      <c r="FS26" s="507"/>
      <c r="FT26" s="507"/>
      <c r="FU26" s="507"/>
      <c r="FV26" s="507"/>
      <c r="FW26" s="507"/>
      <c r="FX26" s="507"/>
      <c r="FY26" s="507"/>
      <c r="FZ26" s="507"/>
      <c r="GA26" s="507"/>
      <c r="GB26" s="507"/>
      <c r="GC26" s="507"/>
      <c r="GD26" s="507"/>
      <c r="GE26" s="507"/>
      <c r="GF26" s="507"/>
      <c r="GG26" s="507"/>
      <c r="GH26" s="507"/>
      <c r="GI26" s="507"/>
      <c r="GJ26" s="507"/>
      <c r="GK26" s="507"/>
      <c r="GL26" s="507"/>
      <c r="GM26" s="507"/>
      <c r="GN26" s="507"/>
      <c r="GO26" s="507"/>
      <c r="GP26" s="507"/>
      <c r="GQ26" s="507"/>
      <c r="GR26" s="507"/>
      <c r="GS26" s="507"/>
      <c r="GT26" s="507"/>
      <c r="GU26" s="507"/>
      <c r="GV26" s="507"/>
      <c r="GW26" s="507"/>
      <c r="GX26" s="507"/>
      <c r="GY26" s="507"/>
      <c r="GZ26" s="507"/>
      <c r="HA26" s="507"/>
      <c r="HB26" s="507"/>
      <c r="HC26" s="507"/>
      <c r="HD26" s="507"/>
      <c r="HE26" s="507"/>
      <c r="HF26" s="507"/>
      <c r="HG26" s="507"/>
      <c r="HH26" s="507"/>
      <c r="HI26" s="507"/>
      <c r="HJ26" s="507"/>
      <c r="HK26" s="507"/>
      <c r="HL26" s="507"/>
      <c r="HM26" s="507"/>
      <c r="HN26" s="507"/>
      <c r="HO26" s="507"/>
      <c r="HP26" s="507"/>
      <c r="HQ26" s="507"/>
      <c r="HR26" s="507"/>
      <c r="HS26" s="507"/>
      <c r="HT26" s="507"/>
      <c r="HU26" s="507"/>
      <c r="HV26" s="507"/>
      <c r="HW26" s="507"/>
      <c r="HX26" s="507"/>
      <c r="HY26" s="507"/>
      <c r="HZ26" s="507"/>
    </row>
    <row r="27" spans="1:234" s="232" customFormat="1" ht="15.9" hidden="1" customHeight="1" x14ac:dyDescent="0.25">
      <c r="A27" s="522" t="s">
        <v>3480</v>
      </c>
      <c r="B27" s="523" t="s">
        <v>454</v>
      </c>
      <c r="C27" s="524" t="s">
        <v>3701</v>
      </c>
      <c r="D27" s="570" t="s">
        <v>189</v>
      </c>
      <c r="E27" s="569" t="s">
        <v>1743</v>
      </c>
      <c r="F27" s="543">
        <v>38142</v>
      </c>
      <c r="G27" s="544">
        <v>38096</v>
      </c>
      <c r="H27" s="562">
        <v>38135</v>
      </c>
      <c r="I27" s="546">
        <v>40116</v>
      </c>
      <c r="J27" s="547">
        <v>1000</v>
      </c>
      <c r="K27" s="558">
        <v>-0.03</v>
      </c>
      <c r="L27" s="559">
        <v>7.0000000000000007E-2</v>
      </c>
      <c r="M27" s="550">
        <v>0.08</v>
      </c>
      <c r="N27" s="560" t="s">
        <v>3229</v>
      </c>
      <c r="O27" s="552" t="s">
        <v>3229</v>
      </c>
      <c r="P27" s="552" t="s">
        <v>3229</v>
      </c>
      <c r="Q27" s="552" t="s">
        <v>3229</v>
      </c>
      <c r="R27" s="552" t="s">
        <v>3229</v>
      </c>
      <c r="S27" s="567">
        <v>5</v>
      </c>
      <c r="T27" s="555">
        <v>38504</v>
      </c>
      <c r="U27" s="555">
        <v>38869</v>
      </c>
      <c r="V27" s="555">
        <v>39234</v>
      </c>
      <c r="W27" s="555">
        <v>39600</v>
      </c>
      <c r="X27" s="555">
        <v>40087</v>
      </c>
      <c r="Y27" s="555" t="s">
        <v>3229</v>
      </c>
      <c r="Z27" s="555" t="s">
        <v>3229</v>
      </c>
      <c r="AA27" s="555" t="s">
        <v>3229</v>
      </c>
      <c r="AB27" s="555" t="s">
        <v>3229</v>
      </c>
      <c r="AC27" s="555" t="s">
        <v>3229</v>
      </c>
      <c r="AD27" s="555" t="s">
        <v>3229</v>
      </c>
      <c r="AE27" s="556" t="s">
        <v>3229</v>
      </c>
      <c r="AF27" s="3782" t="s">
        <v>781</v>
      </c>
      <c r="AG27" s="3783"/>
      <c r="AH27" s="622">
        <v>0.5</v>
      </c>
      <c r="AI27" s="622">
        <v>0.5</v>
      </c>
      <c r="AJ27" s="622" t="s">
        <v>3229</v>
      </c>
      <c r="AK27" s="622" t="s">
        <v>3229</v>
      </c>
      <c r="AL27" s="622" t="s">
        <v>3229</v>
      </c>
      <c r="AM27" s="623" t="s">
        <v>3229</v>
      </c>
      <c r="AN27" s="576">
        <v>0.15000000000000002</v>
      </c>
      <c r="AO27" s="625">
        <v>1178.23</v>
      </c>
      <c r="AP27" s="1368"/>
      <c r="AQ27" s="658" t="s">
        <v>3229</v>
      </c>
      <c r="AR27" s="558">
        <f>AO27/1000-1</f>
        <v>0.17823000000000011</v>
      </c>
      <c r="AS27" s="558">
        <f t="shared" si="4"/>
        <v>3.0791214013528245E-2</v>
      </c>
      <c r="AT27" s="633" t="s">
        <v>3229</v>
      </c>
      <c r="AU27" s="552" t="s">
        <v>3229</v>
      </c>
      <c r="AV27" s="558">
        <f>AN27</f>
        <v>0.15000000000000002</v>
      </c>
      <c r="AW27" s="558">
        <f t="shared" si="5"/>
        <v>2.6179319763901976E-2</v>
      </c>
      <c r="AX27" s="553" t="s">
        <v>3229</v>
      </c>
      <c r="AY27" s="552" t="s">
        <v>3229</v>
      </c>
      <c r="AZ27" s="642">
        <f t="shared" si="6"/>
        <v>1150</v>
      </c>
      <c r="BA27" s="644" t="s">
        <v>3189</v>
      </c>
      <c r="BB27" s="570" t="s">
        <v>2025</v>
      </c>
      <c r="BC27" s="637" t="s">
        <v>2895</v>
      </c>
      <c r="BD27" s="3708"/>
      <c r="BE27" s="3743"/>
      <c r="BF27" s="3743"/>
      <c r="BG27" s="3708"/>
      <c r="BH27" s="3762"/>
      <c r="BI27" s="3762"/>
      <c r="BJ27" s="39"/>
      <c r="BK27" s="39"/>
      <c r="BL27" s="39"/>
      <c r="BM27" s="39"/>
      <c r="BN27" s="39"/>
      <c r="BO27" s="39"/>
      <c r="BP27" s="39"/>
      <c r="BQ27" s="39"/>
      <c r="BR27" s="39"/>
      <c r="BS27" s="507"/>
      <c r="BT27" s="507"/>
      <c r="BU27" s="507"/>
      <c r="BV27" s="507"/>
      <c r="BW27" s="507"/>
      <c r="BX27" s="507"/>
      <c r="BY27" s="507"/>
      <c r="BZ27" s="507"/>
      <c r="CA27" s="507"/>
      <c r="CB27" s="507"/>
      <c r="CC27" s="507"/>
      <c r="CD27" s="507"/>
      <c r="CE27" s="507"/>
      <c r="CF27" s="507"/>
      <c r="CG27" s="507"/>
      <c r="CH27" s="507"/>
      <c r="CI27" s="507"/>
      <c r="CJ27" s="507"/>
      <c r="CK27" s="507"/>
      <c r="CL27" s="507"/>
      <c r="CM27" s="507"/>
      <c r="CN27" s="507"/>
      <c r="CO27" s="507"/>
      <c r="CP27" s="507"/>
      <c r="CQ27" s="507"/>
      <c r="CR27" s="507"/>
      <c r="CS27" s="507"/>
      <c r="CT27" s="507"/>
      <c r="CU27" s="507"/>
      <c r="CV27" s="507"/>
      <c r="CW27" s="507"/>
      <c r="CX27" s="507"/>
      <c r="CY27" s="507"/>
      <c r="CZ27" s="507"/>
      <c r="DA27" s="507"/>
      <c r="DB27" s="507"/>
      <c r="DC27" s="507"/>
      <c r="DD27" s="507"/>
      <c r="DE27" s="507"/>
      <c r="DF27" s="507"/>
      <c r="DG27" s="507"/>
      <c r="DH27" s="507"/>
      <c r="DI27" s="507"/>
      <c r="DJ27" s="507"/>
      <c r="DK27" s="507"/>
      <c r="DL27" s="507"/>
      <c r="DM27" s="507"/>
      <c r="DN27" s="507"/>
      <c r="DO27" s="507"/>
      <c r="DP27" s="507"/>
      <c r="DQ27" s="507"/>
      <c r="DR27" s="507"/>
      <c r="DS27" s="507"/>
      <c r="DT27" s="507"/>
      <c r="DU27" s="507"/>
      <c r="DV27" s="507"/>
      <c r="DW27" s="507"/>
      <c r="DX27" s="507"/>
      <c r="DY27" s="507"/>
      <c r="DZ27" s="507"/>
      <c r="EA27" s="507"/>
      <c r="EB27" s="507"/>
      <c r="EC27" s="507"/>
      <c r="ED27" s="507"/>
      <c r="EE27" s="507"/>
      <c r="EF27" s="507"/>
      <c r="EG27" s="507"/>
      <c r="EH27" s="507"/>
      <c r="EI27" s="507"/>
      <c r="EJ27" s="507"/>
      <c r="EK27" s="507"/>
      <c r="EL27" s="507"/>
      <c r="EM27" s="507"/>
      <c r="EN27" s="507"/>
      <c r="EO27" s="507"/>
      <c r="EP27" s="507"/>
      <c r="EQ27" s="507"/>
      <c r="ER27" s="507"/>
      <c r="ES27" s="507"/>
      <c r="ET27" s="507"/>
      <c r="EU27" s="507"/>
      <c r="EV27" s="507"/>
      <c r="EW27" s="507"/>
      <c r="EX27" s="507"/>
      <c r="EY27" s="507"/>
      <c r="EZ27" s="507"/>
      <c r="FA27" s="507"/>
      <c r="FB27" s="507"/>
      <c r="FC27" s="507"/>
      <c r="FD27" s="507"/>
      <c r="FE27" s="507"/>
      <c r="FF27" s="507"/>
      <c r="FG27" s="507"/>
      <c r="FH27" s="507"/>
      <c r="FI27" s="507"/>
      <c r="FJ27" s="507"/>
      <c r="FK27" s="507"/>
      <c r="FL27" s="507"/>
      <c r="FM27" s="507"/>
      <c r="FN27" s="507"/>
      <c r="FO27" s="507"/>
      <c r="FP27" s="507"/>
      <c r="FQ27" s="507"/>
      <c r="FR27" s="507"/>
      <c r="FS27" s="507"/>
      <c r="FT27" s="507"/>
      <c r="FU27" s="507"/>
      <c r="FV27" s="507"/>
      <c r="FW27" s="507"/>
      <c r="FX27" s="507"/>
      <c r="FY27" s="507"/>
      <c r="FZ27" s="507"/>
      <c r="GA27" s="507"/>
      <c r="GB27" s="507"/>
      <c r="GC27" s="507"/>
      <c r="GD27" s="507"/>
      <c r="GE27" s="507"/>
      <c r="GF27" s="507"/>
      <c r="GG27" s="507"/>
      <c r="GH27" s="507"/>
      <c r="GI27" s="507"/>
      <c r="GJ27" s="507"/>
      <c r="GK27" s="507"/>
      <c r="GL27" s="507"/>
      <c r="GM27" s="507"/>
      <c r="GN27" s="507"/>
      <c r="GO27" s="507"/>
      <c r="GP27" s="507"/>
      <c r="GQ27" s="507"/>
      <c r="GR27" s="507"/>
      <c r="GS27" s="507"/>
      <c r="GT27" s="507"/>
      <c r="GU27" s="507"/>
      <c r="GV27" s="507"/>
      <c r="GW27" s="507"/>
      <c r="GX27" s="507"/>
      <c r="GY27" s="507"/>
      <c r="GZ27" s="507"/>
      <c r="HA27" s="507"/>
      <c r="HB27" s="507"/>
      <c r="HC27" s="507"/>
      <c r="HD27" s="507"/>
      <c r="HE27" s="507"/>
      <c r="HF27" s="507"/>
      <c r="HG27" s="507"/>
      <c r="HH27" s="507"/>
      <c r="HI27" s="507"/>
      <c r="HJ27" s="507"/>
      <c r="HK27" s="507"/>
      <c r="HL27" s="507"/>
      <c r="HM27" s="507"/>
      <c r="HN27" s="507"/>
      <c r="HO27" s="507"/>
      <c r="HP27" s="507"/>
      <c r="HQ27" s="507"/>
      <c r="HR27" s="507"/>
      <c r="HS27" s="507"/>
      <c r="HT27" s="507"/>
      <c r="HU27" s="507"/>
      <c r="HV27" s="507"/>
      <c r="HW27" s="507"/>
      <c r="HX27" s="507"/>
      <c r="HY27" s="507"/>
      <c r="HZ27" s="507"/>
    </row>
    <row r="28" spans="1:234" s="232" customFormat="1" ht="15.9" hidden="1" customHeight="1" x14ac:dyDescent="0.25">
      <c r="A28" s="522" t="s">
        <v>1115</v>
      </c>
      <c r="B28" s="523" t="s">
        <v>455</v>
      </c>
      <c r="C28" s="524" t="s">
        <v>3700</v>
      </c>
      <c r="D28" s="570" t="s">
        <v>189</v>
      </c>
      <c r="E28" s="569" t="s">
        <v>905</v>
      </c>
      <c r="F28" s="543">
        <v>38142</v>
      </c>
      <c r="G28" s="544">
        <v>38096</v>
      </c>
      <c r="H28" s="562">
        <v>38135</v>
      </c>
      <c r="I28" s="546">
        <v>40116</v>
      </c>
      <c r="J28" s="547">
        <v>1000</v>
      </c>
      <c r="K28" s="558">
        <v>-0.03</v>
      </c>
      <c r="L28" s="559">
        <v>0.06</v>
      </c>
      <c r="M28" s="550">
        <v>0.08</v>
      </c>
      <c r="N28" s="560" t="s">
        <v>3229</v>
      </c>
      <c r="O28" s="552" t="s">
        <v>3229</v>
      </c>
      <c r="P28" s="552" t="s">
        <v>3229</v>
      </c>
      <c r="Q28" s="552" t="s">
        <v>3229</v>
      </c>
      <c r="R28" s="552" t="s">
        <v>3229</v>
      </c>
      <c r="S28" s="567">
        <v>5</v>
      </c>
      <c r="T28" s="555">
        <v>38504</v>
      </c>
      <c r="U28" s="555">
        <v>38869</v>
      </c>
      <c r="V28" s="555">
        <v>39234</v>
      </c>
      <c r="W28" s="555">
        <v>39600</v>
      </c>
      <c r="X28" s="555">
        <v>40087</v>
      </c>
      <c r="Y28" s="555" t="s">
        <v>3229</v>
      </c>
      <c r="Z28" s="555" t="s">
        <v>3229</v>
      </c>
      <c r="AA28" s="555" t="s">
        <v>3229</v>
      </c>
      <c r="AB28" s="555" t="s">
        <v>3229</v>
      </c>
      <c r="AC28" s="555" t="s">
        <v>3229</v>
      </c>
      <c r="AD28" s="555" t="s">
        <v>3229</v>
      </c>
      <c r="AE28" s="556" t="s">
        <v>3229</v>
      </c>
      <c r="AF28" s="3782" t="s">
        <v>781</v>
      </c>
      <c r="AG28" s="3783"/>
      <c r="AH28" s="622">
        <v>0.5</v>
      </c>
      <c r="AI28" s="622">
        <v>0.5</v>
      </c>
      <c r="AJ28" s="622" t="s">
        <v>3229</v>
      </c>
      <c r="AK28" s="622" t="s">
        <v>3229</v>
      </c>
      <c r="AL28" s="622" t="s">
        <v>3229</v>
      </c>
      <c r="AM28" s="623" t="s">
        <v>3229</v>
      </c>
      <c r="AN28" s="576">
        <v>0.12</v>
      </c>
      <c r="AO28" s="625">
        <v>1150.25</v>
      </c>
      <c r="AP28" s="1368"/>
      <c r="AQ28" s="658" t="s">
        <v>3229</v>
      </c>
      <c r="AR28" s="558">
        <f>AO28/1000-1</f>
        <v>0.15024999999999999</v>
      </c>
      <c r="AS28" s="558">
        <f t="shared" si="4"/>
        <v>2.622056489312885E-2</v>
      </c>
      <c r="AT28" s="633" t="s">
        <v>3229</v>
      </c>
      <c r="AU28" s="552" t="s">
        <v>3229</v>
      </c>
      <c r="AV28" s="558">
        <f>AN28</f>
        <v>0.12</v>
      </c>
      <c r="AW28" s="558">
        <f t="shared" si="5"/>
        <v>2.1175994287459199E-2</v>
      </c>
      <c r="AX28" s="553" t="s">
        <v>3229</v>
      </c>
      <c r="AY28" s="552" t="s">
        <v>3229</v>
      </c>
      <c r="AZ28" s="642">
        <f t="shared" si="6"/>
        <v>1120</v>
      </c>
      <c r="BA28" s="644" t="s">
        <v>3189</v>
      </c>
      <c r="BB28" s="570" t="s">
        <v>2025</v>
      </c>
      <c r="BC28" s="637" t="s">
        <v>2895</v>
      </c>
      <c r="BD28" s="3708"/>
      <c r="BE28" s="3743"/>
      <c r="BF28" s="3743"/>
      <c r="BG28" s="3708"/>
      <c r="BH28" s="3762"/>
      <c r="BI28" s="3762"/>
      <c r="BJ28" s="39"/>
      <c r="BK28" s="39"/>
      <c r="BL28" s="39"/>
      <c r="BM28" s="39"/>
      <c r="BN28" s="39"/>
      <c r="BO28" s="39"/>
      <c r="BP28" s="39"/>
      <c r="BQ28" s="39"/>
      <c r="BR28" s="39"/>
      <c r="BS28" s="507"/>
      <c r="BT28" s="507"/>
      <c r="BU28" s="507"/>
      <c r="BV28" s="507"/>
      <c r="BW28" s="507"/>
      <c r="BX28" s="507"/>
      <c r="BY28" s="507"/>
      <c r="BZ28" s="507"/>
      <c r="CA28" s="507"/>
      <c r="CB28" s="507"/>
      <c r="CC28" s="507"/>
      <c r="CD28" s="507"/>
      <c r="CE28" s="507"/>
      <c r="CF28" s="507"/>
      <c r="CG28" s="507"/>
      <c r="CH28" s="507"/>
      <c r="CI28" s="507"/>
      <c r="CJ28" s="507"/>
      <c r="CK28" s="507"/>
      <c r="CL28" s="507"/>
      <c r="CM28" s="507"/>
      <c r="CN28" s="507"/>
      <c r="CO28" s="507"/>
      <c r="CP28" s="507"/>
      <c r="CQ28" s="507"/>
      <c r="CR28" s="507"/>
      <c r="CS28" s="507"/>
      <c r="CT28" s="507"/>
      <c r="CU28" s="507"/>
      <c r="CV28" s="507"/>
      <c r="CW28" s="507"/>
      <c r="CX28" s="507"/>
      <c r="CY28" s="507"/>
      <c r="CZ28" s="507"/>
      <c r="DA28" s="507"/>
      <c r="DB28" s="507"/>
      <c r="DC28" s="507"/>
      <c r="DD28" s="507"/>
      <c r="DE28" s="507"/>
      <c r="DF28" s="507"/>
      <c r="DG28" s="507"/>
      <c r="DH28" s="507"/>
      <c r="DI28" s="507"/>
      <c r="DJ28" s="507"/>
      <c r="DK28" s="507"/>
      <c r="DL28" s="507"/>
      <c r="DM28" s="507"/>
      <c r="DN28" s="507"/>
      <c r="DO28" s="507"/>
      <c r="DP28" s="507"/>
      <c r="DQ28" s="507"/>
      <c r="DR28" s="507"/>
      <c r="DS28" s="507"/>
      <c r="DT28" s="507"/>
      <c r="DU28" s="507"/>
      <c r="DV28" s="507"/>
      <c r="DW28" s="507"/>
      <c r="DX28" s="507"/>
      <c r="DY28" s="507"/>
      <c r="DZ28" s="507"/>
      <c r="EA28" s="507"/>
      <c r="EB28" s="507"/>
      <c r="EC28" s="507"/>
      <c r="ED28" s="507"/>
      <c r="EE28" s="507"/>
      <c r="EF28" s="507"/>
      <c r="EG28" s="507"/>
      <c r="EH28" s="507"/>
      <c r="EI28" s="507"/>
      <c r="EJ28" s="507"/>
      <c r="EK28" s="507"/>
      <c r="EL28" s="507"/>
      <c r="EM28" s="507"/>
      <c r="EN28" s="507"/>
      <c r="EO28" s="507"/>
      <c r="EP28" s="507"/>
      <c r="EQ28" s="507"/>
      <c r="ER28" s="507"/>
      <c r="ES28" s="507"/>
      <c r="ET28" s="507"/>
      <c r="EU28" s="507"/>
      <c r="EV28" s="507"/>
      <c r="EW28" s="507"/>
      <c r="EX28" s="507"/>
      <c r="EY28" s="507"/>
      <c r="EZ28" s="507"/>
      <c r="FA28" s="507"/>
      <c r="FB28" s="507"/>
      <c r="FC28" s="507"/>
      <c r="FD28" s="507"/>
      <c r="FE28" s="507"/>
      <c r="FF28" s="507"/>
      <c r="FG28" s="507"/>
      <c r="FH28" s="507"/>
      <c r="FI28" s="507"/>
      <c r="FJ28" s="507"/>
      <c r="FK28" s="507"/>
      <c r="FL28" s="507"/>
      <c r="FM28" s="507"/>
      <c r="FN28" s="507"/>
      <c r="FO28" s="507"/>
      <c r="FP28" s="507"/>
      <c r="FQ28" s="507"/>
      <c r="FR28" s="507"/>
      <c r="FS28" s="507"/>
      <c r="FT28" s="507"/>
      <c r="FU28" s="507"/>
      <c r="FV28" s="507"/>
      <c r="FW28" s="507"/>
      <c r="FX28" s="507"/>
      <c r="FY28" s="507"/>
      <c r="FZ28" s="507"/>
      <c r="GA28" s="507"/>
      <c r="GB28" s="507"/>
      <c r="GC28" s="507"/>
      <c r="GD28" s="507"/>
      <c r="GE28" s="507"/>
      <c r="GF28" s="507"/>
      <c r="GG28" s="507"/>
      <c r="GH28" s="507"/>
      <c r="GI28" s="507"/>
      <c r="GJ28" s="507"/>
      <c r="GK28" s="507"/>
      <c r="GL28" s="507"/>
      <c r="GM28" s="507"/>
      <c r="GN28" s="507"/>
      <c r="GO28" s="507"/>
      <c r="GP28" s="507"/>
      <c r="GQ28" s="507"/>
      <c r="GR28" s="507"/>
      <c r="GS28" s="507"/>
      <c r="GT28" s="507"/>
      <c r="GU28" s="507"/>
      <c r="GV28" s="507"/>
      <c r="GW28" s="507"/>
      <c r="GX28" s="507"/>
      <c r="GY28" s="507"/>
      <c r="GZ28" s="507"/>
      <c r="HA28" s="507"/>
      <c r="HB28" s="507"/>
      <c r="HC28" s="507"/>
      <c r="HD28" s="507"/>
      <c r="HE28" s="507"/>
      <c r="HF28" s="507"/>
      <c r="HG28" s="507"/>
      <c r="HH28" s="507"/>
      <c r="HI28" s="507"/>
      <c r="HJ28" s="507"/>
      <c r="HK28" s="507"/>
      <c r="HL28" s="507"/>
      <c r="HM28" s="507"/>
      <c r="HN28" s="507"/>
      <c r="HO28" s="507"/>
      <c r="HP28" s="507"/>
      <c r="HQ28" s="507"/>
      <c r="HR28" s="507"/>
      <c r="HS28" s="507"/>
      <c r="HT28" s="507"/>
      <c r="HU28" s="507"/>
      <c r="HV28" s="507"/>
      <c r="HW28" s="507"/>
      <c r="HX28" s="507"/>
      <c r="HY28" s="507"/>
      <c r="HZ28" s="507"/>
    </row>
    <row r="29" spans="1:234" s="232" customFormat="1" ht="15.9" hidden="1" customHeight="1" x14ac:dyDescent="0.25">
      <c r="A29" s="522" t="s">
        <v>4492</v>
      </c>
      <c r="B29" s="523" t="s">
        <v>456</v>
      </c>
      <c r="C29" s="524" t="s">
        <v>902</v>
      </c>
      <c r="D29" s="570" t="s">
        <v>189</v>
      </c>
      <c r="E29" s="569" t="s">
        <v>3228</v>
      </c>
      <c r="F29" s="543">
        <v>38191</v>
      </c>
      <c r="G29" s="544">
        <v>38138</v>
      </c>
      <c r="H29" s="562">
        <v>38184</v>
      </c>
      <c r="I29" s="546">
        <v>40177</v>
      </c>
      <c r="J29" s="547">
        <v>10000</v>
      </c>
      <c r="K29" s="558">
        <v>-0.03</v>
      </c>
      <c r="L29" s="559">
        <v>0.08</v>
      </c>
      <c r="M29" s="550">
        <v>0.08</v>
      </c>
      <c r="N29" s="560" t="s">
        <v>3229</v>
      </c>
      <c r="O29" s="552" t="s">
        <v>3229</v>
      </c>
      <c r="P29" s="552" t="s">
        <v>3229</v>
      </c>
      <c r="Q29" s="552" t="s">
        <v>3229</v>
      </c>
      <c r="R29" s="552" t="s">
        <v>3229</v>
      </c>
      <c r="S29" s="567">
        <v>5</v>
      </c>
      <c r="T29" s="555">
        <v>38565</v>
      </c>
      <c r="U29" s="555">
        <v>38930</v>
      </c>
      <c r="V29" s="555">
        <v>39295</v>
      </c>
      <c r="W29" s="555">
        <v>39661</v>
      </c>
      <c r="X29" s="555">
        <v>40148</v>
      </c>
      <c r="Y29" s="555" t="s">
        <v>3229</v>
      </c>
      <c r="Z29" s="555" t="s">
        <v>3229</v>
      </c>
      <c r="AA29" s="555" t="s">
        <v>3229</v>
      </c>
      <c r="AB29" s="555" t="s">
        <v>3229</v>
      </c>
      <c r="AC29" s="555" t="s">
        <v>3229</v>
      </c>
      <c r="AD29" s="555" t="s">
        <v>3229</v>
      </c>
      <c r="AE29" s="556" t="s">
        <v>3229</v>
      </c>
      <c r="AF29" s="3782" t="s">
        <v>781</v>
      </c>
      <c r="AG29" s="3783"/>
      <c r="AH29" s="622">
        <v>0.25</v>
      </c>
      <c r="AI29" s="622">
        <v>0.25</v>
      </c>
      <c r="AJ29" s="622">
        <v>0.25</v>
      </c>
      <c r="AK29" s="622" t="s">
        <v>3229</v>
      </c>
      <c r="AL29" s="622">
        <v>0.25</v>
      </c>
      <c r="AM29" s="623" t="s">
        <v>3229</v>
      </c>
      <c r="AN29" s="576">
        <v>0.18</v>
      </c>
      <c r="AO29" s="625">
        <v>11906.68</v>
      </c>
      <c r="AP29" s="1368" t="s">
        <v>3229</v>
      </c>
      <c r="AQ29" s="658" t="s">
        <v>3229</v>
      </c>
      <c r="AR29" s="558">
        <f>AO29/J29-1</f>
        <v>0.19066800000000006</v>
      </c>
      <c r="AS29" s="558">
        <f t="shared" si="4"/>
        <v>3.2593304215076557E-2</v>
      </c>
      <c r="AT29" s="589" t="s">
        <v>3229</v>
      </c>
      <c r="AU29" s="559" t="s">
        <v>3229</v>
      </c>
      <c r="AV29" s="558">
        <f>AO29/J29-1</f>
        <v>0.19066800000000006</v>
      </c>
      <c r="AW29" s="558">
        <f t="shared" si="5"/>
        <v>3.2593304215076557E-2</v>
      </c>
      <c r="AX29" s="648" t="s">
        <v>3229</v>
      </c>
      <c r="AY29" s="559" t="s">
        <v>3229</v>
      </c>
      <c r="AZ29" s="642">
        <f t="shared" si="6"/>
        <v>11906.68</v>
      </c>
      <c r="BA29" s="644" t="s">
        <v>3189</v>
      </c>
      <c r="BB29" s="570" t="s">
        <v>2025</v>
      </c>
      <c r="BC29" s="637" t="s">
        <v>2895</v>
      </c>
      <c r="BD29" s="3708"/>
      <c r="BE29" s="3743"/>
      <c r="BF29" s="3743"/>
      <c r="BG29" s="3708"/>
      <c r="BH29" s="3762"/>
      <c r="BI29" s="3762"/>
      <c r="BJ29" s="39"/>
      <c r="BK29" s="39"/>
      <c r="BL29" s="39"/>
      <c r="BM29" s="39"/>
      <c r="BN29" s="39"/>
      <c r="BO29" s="39"/>
      <c r="BP29" s="39"/>
      <c r="BQ29" s="39"/>
      <c r="BR29" s="39"/>
      <c r="BS29" s="507"/>
      <c r="BT29" s="507"/>
      <c r="BU29" s="507"/>
      <c r="BV29" s="507"/>
      <c r="BW29" s="507"/>
      <c r="BX29" s="507"/>
      <c r="BY29" s="507"/>
      <c r="BZ29" s="507"/>
      <c r="CA29" s="507"/>
      <c r="CB29" s="507"/>
      <c r="CC29" s="507"/>
      <c r="CD29" s="507"/>
      <c r="CE29" s="507"/>
      <c r="CF29" s="507"/>
      <c r="CG29" s="507"/>
      <c r="CH29" s="507"/>
      <c r="CI29" s="507"/>
      <c r="CJ29" s="507"/>
      <c r="CK29" s="507"/>
      <c r="CL29" s="507"/>
      <c r="CM29" s="507"/>
      <c r="CN29" s="507"/>
      <c r="CO29" s="507"/>
      <c r="CP29" s="507"/>
      <c r="CQ29" s="507"/>
      <c r="CR29" s="507"/>
      <c r="CS29" s="507"/>
      <c r="CT29" s="507"/>
      <c r="CU29" s="507"/>
      <c r="CV29" s="507"/>
      <c r="CW29" s="507"/>
      <c r="CX29" s="507"/>
      <c r="CY29" s="507"/>
      <c r="CZ29" s="507"/>
      <c r="DA29" s="507"/>
      <c r="DB29" s="507"/>
      <c r="DC29" s="507"/>
      <c r="DD29" s="507"/>
      <c r="DE29" s="507"/>
      <c r="DF29" s="507"/>
      <c r="DG29" s="507"/>
      <c r="DH29" s="507"/>
      <c r="DI29" s="507"/>
      <c r="DJ29" s="507"/>
      <c r="DK29" s="507"/>
      <c r="DL29" s="507"/>
      <c r="DM29" s="507"/>
      <c r="DN29" s="507"/>
      <c r="DO29" s="507"/>
      <c r="DP29" s="507"/>
      <c r="DQ29" s="507"/>
      <c r="DR29" s="507"/>
      <c r="DS29" s="507"/>
      <c r="DT29" s="507"/>
      <c r="DU29" s="507"/>
      <c r="DV29" s="507"/>
      <c r="DW29" s="507"/>
      <c r="DX29" s="507"/>
      <c r="DY29" s="507"/>
      <c r="DZ29" s="507"/>
      <c r="EA29" s="507"/>
      <c r="EB29" s="507"/>
      <c r="EC29" s="507"/>
      <c r="ED29" s="507"/>
      <c r="EE29" s="507"/>
      <c r="EF29" s="507"/>
      <c r="EG29" s="507"/>
      <c r="EH29" s="507"/>
      <c r="EI29" s="507"/>
      <c r="EJ29" s="507"/>
      <c r="EK29" s="507"/>
      <c r="EL29" s="507"/>
      <c r="EM29" s="507"/>
      <c r="EN29" s="507"/>
      <c r="EO29" s="507"/>
      <c r="EP29" s="507"/>
      <c r="EQ29" s="507"/>
      <c r="ER29" s="507"/>
      <c r="ES29" s="507"/>
      <c r="ET29" s="507"/>
      <c r="EU29" s="507"/>
      <c r="EV29" s="507"/>
      <c r="EW29" s="507"/>
      <c r="EX29" s="507"/>
      <c r="EY29" s="507"/>
      <c r="EZ29" s="507"/>
      <c r="FA29" s="507"/>
      <c r="FB29" s="507"/>
      <c r="FC29" s="507"/>
      <c r="FD29" s="507"/>
      <c r="FE29" s="507"/>
      <c r="FF29" s="507"/>
      <c r="FG29" s="507"/>
      <c r="FH29" s="507"/>
      <c r="FI29" s="507"/>
      <c r="FJ29" s="507"/>
      <c r="FK29" s="507"/>
      <c r="FL29" s="507"/>
      <c r="FM29" s="507"/>
      <c r="FN29" s="507"/>
      <c r="FO29" s="507"/>
      <c r="FP29" s="507"/>
      <c r="FQ29" s="507"/>
      <c r="FR29" s="507"/>
      <c r="FS29" s="507"/>
      <c r="FT29" s="507"/>
      <c r="FU29" s="507"/>
      <c r="FV29" s="507"/>
      <c r="FW29" s="507"/>
      <c r="FX29" s="507"/>
      <c r="FY29" s="507"/>
      <c r="FZ29" s="507"/>
      <c r="GA29" s="507"/>
      <c r="GB29" s="507"/>
      <c r="GC29" s="507"/>
      <c r="GD29" s="507"/>
      <c r="GE29" s="507"/>
      <c r="GF29" s="507"/>
      <c r="GG29" s="507"/>
      <c r="GH29" s="507"/>
      <c r="GI29" s="507"/>
      <c r="GJ29" s="507"/>
      <c r="GK29" s="507"/>
      <c r="GL29" s="507"/>
      <c r="GM29" s="507"/>
      <c r="GN29" s="507"/>
      <c r="GO29" s="507"/>
      <c r="GP29" s="507"/>
      <c r="GQ29" s="507"/>
      <c r="GR29" s="507"/>
      <c r="GS29" s="507"/>
      <c r="GT29" s="507"/>
      <c r="GU29" s="507"/>
      <c r="GV29" s="507"/>
      <c r="GW29" s="507"/>
      <c r="GX29" s="507"/>
      <c r="GY29" s="507"/>
      <c r="GZ29" s="507"/>
      <c r="HA29" s="507"/>
      <c r="HB29" s="507"/>
      <c r="HC29" s="507"/>
      <c r="HD29" s="507"/>
      <c r="HE29" s="507"/>
      <c r="HF29" s="507"/>
      <c r="HG29" s="507"/>
      <c r="HH29" s="507"/>
      <c r="HI29" s="507"/>
      <c r="HJ29" s="507"/>
      <c r="HK29" s="507"/>
      <c r="HL29" s="507"/>
      <c r="HM29" s="507"/>
      <c r="HN29" s="507"/>
      <c r="HO29" s="507"/>
      <c r="HP29" s="507"/>
      <c r="HQ29" s="507"/>
      <c r="HR29" s="507"/>
      <c r="HS29" s="507"/>
      <c r="HT29" s="507"/>
      <c r="HU29" s="507"/>
      <c r="HV29" s="507"/>
      <c r="HW29" s="507"/>
      <c r="HX29" s="507"/>
      <c r="HY29" s="507"/>
      <c r="HZ29" s="507"/>
    </row>
    <row r="30" spans="1:234" s="205" customFormat="1" ht="15.9" hidden="1" customHeight="1" x14ac:dyDescent="0.25">
      <c r="A30" s="522" t="s">
        <v>675</v>
      </c>
      <c r="B30" s="523" t="s">
        <v>457</v>
      </c>
      <c r="C30" s="524" t="s">
        <v>903</v>
      </c>
      <c r="D30" s="564" t="s">
        <v>781</v>
      </c>
      <c r="E30" s="524" t="s">
        <v>3228</v>
      </c>
      <c r="F30" s="543">
        <v>38191</v>
      </c>
      <c r="G30" s="544">
        <v>38138</v>
      </c>
      <c r="H30" s="565">
        <v>38184</v>
      </c>
      <c r="I30" s="546">
        <v>39325</v>
      </c>
      <c r="J30" s="547">
        <v>10000</v>
      </c>
      <c r="K30" s="553" t="s">
        <v>3229</v>
      </c>
      <c r="L30" s="552" t="s">
        <v>3229</v>
      </c>
      <c r="M30" s="560">
        <v>0</v>
      </c>
      <c r="N30" s="560" t="s">
        <v>3229</v>
      </c>
      <c r="O30" s="552" t="s">
        <v>3229</v>
      </c>
      <c r="P30" s="549">
        <v>0.55000000000000004</v>
      </c>
      <c r="Q30" s="552" t="s">
        <v>3229</v>
      </c>
      <c r="R30" s="552" t="s">
        <v>3229</v>
      </c>
      <c r="S30" s="567"/>
      <c r="T30" s="3777" t="s">
        <v>250</v>
      </c>
      <c r="U30" s="3777"/>
      <c r="V30" s="3777"/>
      <c r="W30" s="3777"/>
      <c r="X30" s="3777"/>
      <c r="Y30" s="3777"/>
      <c r="Z30" s="3777"/>
      <c r="AA30" s="3777"/>
      <c r="AB30" s="3777"/>
      <c r="AC30" s="3777"/>
      <c r="AD30" s="3777"/>
      <c r="AE30" s="3778"/>
      <c r="AF30" s="3782" t="s">
        <v>781</v>
      </c>
      <c r="AG30" s="3783"/>
      <c r="AH30" s="622">
        <v>1</v>
      </c>
      <c r="AI30" s="622" t="s">
        <v>3229</v>
      </c>
      <c r="AJ30" s="622" t="s">
        <v>3229</v>
      </c>
      <c r="AK30" s="622" t="s">
        <v>3229</v>
      </c>
      <c r="AL30" s="622" t="s">
        <v>3229</v>
      </c>
      <c r="AM30" s="639" t="s">
        <v>3229</v>
      </c>
      <c r="AN30" s="640">
        <v>0.25725925417838175</v>
      </c>
      <c r="AO30" s="625">
        <v>12603.57</v>
      </c>
      <c r="AP30" s="1369"/>
      <c r="AQ30" s="549">
        <v>0.57931447221199983</v>
      </c>
      <c r="AR30" s="558">
        <f>AO30/J30-1</f>
        <v>0.26035699999999995</v>
      </c>
      <c r="AS30" s="558">
        <f t="shared" si="4"/>
        <v>7.7322713969333545E-2</v>
      </c>
      <c r="AT30" s="649" t="s">
        <v>3229</v>
      </c>
      <c r="AU30" s="552" t="s">
        <v>3229</v>
      </c>
      <c r="AV30" s="558">
        <f>AO30/J30-1</f>
        <v>0.26035699999999995</v>
      </c>
      <c r="AW30" s="558">
        <f>POWER(1+AV30,1/(I30-F30)*365)-1</f>
        <v>7.7322713969333545E-2</v>
      </c>
      <c r="AX30" s="648" t="s">
        <v>3229</v>
      </c>
      <c r="AY30" s="559" t="s">
        <v>3229</v>
      </c>
      <c r="AZ30" s="645"/>
      <c r="BA30" s="643" t="s">
        <v>3191</v>
      </c>
      <c r="BB30" s="568"/>
      <c r="BC30" s="641"/>
      <c r="BD30" s="3708"/>
      <c r="BE30" s="3743"/>
      <c r="BF30" s="3743"/>
      <c r="BG30" s="3708"/>
      <c r="BH30" s="3762"/>
      <c r="BI30" s="3762"/>
      <c r="BJ30" s="39"/>
      <c r="BK30" s="39"/>
      <c r="BL30" s="39"/>
      <c r="BM30" s="39"/>
      <c r="BN30" s="39"/>
      <c r="BO30" s="39"/>
      <c r="BP30" s="39"/>
      <c r="BQ30" s="39"/>
      <c r="BR30" s="39"/>
      <c r="BS30" s="506"/>
      <c r="BT30" s="506"/>
      <c r="BU30" s="506"/>
      <c r="BV30" s="506"/>
      <c r="BW30" s="506"/>
      <c r="BX30" s="506"/>
      <c r="BY30" s="506"/>
      <c r="BZ30" s="506"/>
      <c r="CA30" s="506"/>
      <c r="CB30" s="506"/>
      <c r="CC30" s="506"/>
      <c r="CD30" s="506"/>
      <c r="CE30" s="506"/>
      <c r="CF30" s="506"/>
      <c r="CG30" s="506"/>
      <c r="CH30" s="506"/>
      <c r="CI30" s="506"/>
      <c r="CJ30" s="506"/>
      <c r="CK30" s="506"/>
      <c r="CL30" s="506"/>
      <c r="CM30" s="506"/>
      <c r="CN30" s="506"/>
      <c r="CO30" s="506"/>
      <c r="CP30" s="506"/>
      <c r="CQ30" s="506"/>
      <c r="CR30" s="506"/>
      <c r="CS30" s="506"/>
      <c r="CT30" s="506"/>
      <c r="CU30" s="506"/>
      <c r="CV30" s="506"/>
      <c r="CW30" s="506"/>
      <c r="CX30" s="506"/>
      <c r="CY30" s="506"/>
      <c r="CZ30" s="506"/>
      <c r="DA30" s="506"/>
      <c r="DB30" s="506"/>
      <c r="DC30" s="506"/>
      <c r="DD30" s="506"/>
      <c r="DE30" s="506"/>
      <c r="DF30" s="506"/>
      <c r="DG30" s="506"/>
      <c r="DH30" s="506"/>
      <c r="DI30" s="506"/>
      <c r="DJ30" s="506"/>
      <c r="DK30" s="506"/>
      <c r="DL30" s="506"/>
      <c r="DM30" s="506"/>
      <c r="DN30" s="506"/>
      <c r="DO30" s="506"/>
      <c r="DP30" s="506"/>
      <c r="DQ30" s="506"/>
      <c r="DR30" s="506"/>
      <c r="DS30" s="506"/>
      <c r="DT30" s="506"/>
      <c r="DU30" s="506"/>
      <c r="DV30" s="506"/>
      <c r="DW30" s="506"/>
      <c r="DX30" s="506"/>
      <c r="DY30" s="506"/>
      <c r="DZ30" s="506"/>
      <c r="EA30" s="506"/>
      <c r="EB30" s="506"/>
      <c r="EC30" s="506"/>
      <c r="ED30" s="506"/>
      <c r="EE30" s="506"/>
      <c r="EF30" s="506"/>
      <c r="EG30" s="506"/>
      <c r="EH30" s="506"/>
      <c r="EI30" s="506"/>
      <c r="EJ30" s="506"/>
      <c r="EK30" s="506"/>
      <c r="EL30" s="506"/>
      <c r="EM30" s="506"/>
      <c r="EN30" s="506"/>
      <c r="EO30" s="506"/>
      <c r="EP30" s="506"/>
      <c r="EQ30" s="506"/>
      <c r="ER30" s="506"/>
      <c r="ES30" s="506"/>
      <c r="ET30" s="506"/>
      <c r="EU30" s="506"/>
      <c r="EV30" s="506"/>
      <c r="EW30" s="506"/>
      <c r="EX30" s="506"/>
      <c r="EY30" s="506"/>
      <c r="EZ30" s="506"/>
      <c r="FA30" s="506"/>
      <c r="FB30" s="506"/>
      <c r="FC30" s="506"/>
      <c r="FD30" s="506"/>
      <c r="FE30" s="506"/>
      <c r="FF30" s="506"/>
      <c r="FG30" s="506"/>
      <c r="FH30" s="506"/>
      <c r="FI30" s="506"/>
      <c r="FJ30" s="506"/>
      <c r="FK30" s="506"/>
      <c r="FL30" s="506"/>
      <c r="FM30" s="506"/>
      <c r="FN30" s="506"/>
      <c r="FO30" s="506"/>
      <c r="FP30" s="506"/>
      <c r="FQ30" s="506"/>
      <c r="FR30" s="506"/>
      <c r="FS30" s="506"/>
      <c r="FT30" s="506"/>
      <c r="FU30" s="506"/>
      <c r="FV30" s="506"/>
      <c r="FW30" s="506"/>
      <c r="FX30" s="506"/>
      <c r="FY30" s="506"/>
      <c r="FZ30" s="506"/>
      <c r="GA30" s="506"/>
      <c r="GB30" s="506"/>
      <c r="GC30" s="506"/>
      <c r="GD30" s="506"/>
      <c r="GE30" s="506"/>
      <c r="GF30" s="506"/>
      <c r="GG30" s="506"/>
      <c r="GH30" s="506"/>
      <c r="GI30" s="506"/>
      <c r="GJ30" s="506"/>
      <c r="GK30" s="506"/>
      <c r="GL30" s="506"/>
      <c r="GM30" s="506"/>
      <c r="GN30" s="506"/>
      <c r="GO30" s="506"/>
      <c r="GP30" s="506"/>
      <c r="GQ30" s="506"/>
      <c r="GR30" s="506"/>
      <c r="GS30" s="506"/>
      <c r="GT30" s="506"/>
      <c r="GU30" s="506"/>
      <c r="GV30" s="506"/>
      <c r="GW30" s="506"/>
      <c r="GX30" s="506"/>
      <c r="GY30" s="506"/>
      <c r="GZ30" s="506"/>
      <c r="HA30" s="506"/>
      <c r="HB30" s="506"/>
      <c r="HC30" s="506"/>
      <c r="HD30" s="506"/>
      <c r="HE30" s="506"/>
      <c r="HF30" s="506"/>
      <c r="HG30" s="506"/>
      <c r="HH30" s="506"/>
      <c r="HI30" s="506"/>
      <c r="HJ30" s="506"/>
      <c r="HK30" s="506"/>
      <c r="HL30" s="506"/>
      <c r="HM30" s="506"/>
      <c r="HN30" s="506"/>
      <c r="HO30" s="506"/>
      <c r="HP30" s="506"/>
      <c r="HQ30" s="506"/>
      <c r="HR30" s="506"/>
      <c r="HS30" s="506"/>
      <c r="HT30" s="506"/>
      <c r="HU30" s="506"/>
      <c r="HV30" s="506"/>
      <c r="HW30" s="506"/>
      <c r="HX30" s="506"/>
      <c r="HY30" s="506"/>
      <c r="HZ30" s="506"/>
    </row>
    <row r="31" spans="1:234" s="232" customFormat="1" ht="15.9" hidden="1" customHeight="1" x14ac:dyDescent="0.25">
      <c r="A31" s="522" t="s">
        <v>1708</v>
      </c>
      <c r="B31" s="523" t="s">
        <v>3738</v>
      </c>
      <c r="C31" s="524" t="s">
        <v>900</v>
      </c>
      <c r="D31" s="570" t="s">
        <v>828</v>
      </c>
      <c r="E31" s="569" t="s">
        <v>3228</v>
      </c>
      <c r="F31" s="543">
        <v>38205</v>
      </c>
      <c r="G31" s="544">
        <v>38110</v>
      </c>
      <c r="H31" s="562">
        <v>38198</v>
      </c>
      <c r="I31" s="546">
        <v>40177</v>
      </c>
      <c r="J31" s="547">
        <v>10</v>
      </c>
      <c r="K31" s="548">
        <v>0</v>
      </c>
      <c r="L31" s="549">
        <v>0.05</v>
      </c>
      <c r="M31" s="550">
        <v>0.05</v>
      </c>
      <c r="N31" s="560" t="s">
        <v>3229</v>
      </c>
      <c r="O31" s="552" t="s">
        <v>3229</v>
      </c>
      <c r="P31" s="552" t="s">
        <v>3229</v>
      </c>
      <c r="Q31" s="552" t="s">
        <v>3229</v>
      </c>
      <c r="R31" s="552" t="s">
        <v>3229</v>
      </c>
      <c r="S31" s="567">
        <v>5</v>
      </c>
      <c r="T31" s="555">
        <v>38565</v>
      </c>
      <c r="U31" s="555">
        <v>38930</v>
      </c>
      <c r="V31" s="555">
        <v>39295</v>
      </c>
      <c r="W31" s="555">
        <v>39661</v>
      </c>
      <c r="X31" s="555">
        <v>40148</v>
      </c>
      <c r="Y31" s="555" t="s">
        <v>3229</v>
      </c>
      <c r="Z31" s="555" t="s">
        <v>3229</v>
      </c>
      <c r="AA31" s="555" t="s">
        <v>3229</v>
      </c>
      <c r="AB31" s="555" t="s">
        <v>3229</v>
      </c>
      <c r="AC31" s="555" t="s">
        <v>3229</v>
      </c>
      <c r="AD31" s="555" t="s">
        <v>3229</v>
      </c>
      <c r="AE31" s="556" t="s">
        <v>3229</v>
      </c>
      <c r="AF31" s="3782" t="s">
        <v>781</v>
      </c>
      <c r="AG31" s="3783"/>
      <c r="AH31" s="622">
        <v>0.5</v>
      </c>
      <c r="AI31" s="622">
        <v>0.5</v>
      </c>
      <c r="AJ31" s="622" t="s">
        <v>3229</v>
      </c>
      <c r="AK31" s="622" t="s">
        <v>3229</v>
      </c>
      <c r="AL31" s="622" t="s">
        <v>3229</v>
      </c>
      <c r="AM31" s="623" t="s">
        <v>3229</v>
      </c>
      <c r="AN31" s="576">
        <v>0.15000000000000002</v>
      </c>
      <c r="AO31" s="625">
        <v>11.52</v>
      </c>
      <c r="AP31" s="1368" t="s">
        <v>3229</v>
      </c>
      <c r="AQ31" s="658" t="s">
        <v>3229</v>
      </c>
      <c r="AR31" s="558">
        <f>AO31/J31-1</f>
        <v>0.15199999999999991</v>
      </c>
      <c r="AS31" s="558">
        <f t="shared" si="4"/>
        <v>2.6536315466819005E-2</v>
      </c>
      <c r="AT31" s="589" t="s">
        <v>3229</v>
      </c>
      <c r="AU31" s="559" t="s">
        <v>3229</v>
      </c>
      <c r="AV31" s="558">
        <f>AO31/J31-1</f>
        <v>0.15199999999999991</v>
      </c>
      <c r="AW31" s="558">
        <f t="shared" ref="AW31:AW47" si="7">POWER(1+AV31,1/((I31-F31)/365))-1</f>
        <v>2.6536315466819005E-2</v>
      </c>
      <c r="AX31" s="648" t="s">
        <v>3229</v>
      </c>
      <c r="AY31" s="559" t="s">
        <v>3229</v>
      </c>
      <c r="AZ31" s="642">
        <f t="shared" ref="AZ31:AZ41" si="8">J31*(1+AV31)</f>
        <v>11.52</v>
      </c>
      <c r="BA31" s="644" t="s">
        <v>3151</v>
      </c>
      <c r="BB31" s="570" t="s">
        <v>2025</v>
      </c>
      <c r="BC31" s="637" t="s">
        <v>2895</v>
      </c>
      <c r="BD31" s="3708"/>
      <c r="BE31" s="3743"/>
      <c r="BF31" s="3743"/>
      <c r="BG31" s="3708"/>
      <c r="BH31" s="3762"/>
      <c r="BI31" s="3762"/>
      <c r="BJ31" s="39"/>
      <c r="BK31" s="39"/>
      <c r="BL31" s="39"/>
      <c r="BM31" s="39"/>
      <c r="BN31" s="39"/>
      <c r="BO31" s="39"/>
      <c r="BP31" s="39"/>
      <c r="BQ31" s="39"/>
      <c r="BR31" s="39"/>
      <c r="BS31" s="507"/>
      <c r="BT31" s="507"/>
      <c r="BU31" s="507"/>
      <c r="BV31" s="507"/>
      <c r="BW31" s="507"/>
      <c r="BX31" s="507"/>
      <c r="BY31" s="507"/>
      <c r="BZ31" s="507"/>
      <c r="CA31" s="507"/>
      <c r="CB31" s="507"/>
      <c r="CC31" s="507"/>
      <c r="CD31" s="507"/>
      <c r="CE31" s="507"/>
      <c r="CF31" s="507"/>
      <c r="CG31" s="507"/>
      <c r="CH31" s="507"/>
      <c r="CI31" s="507"/>
      <c r="CJ31" s="507"/>
      <c r="CK31" s="507"/>
      <c r="CL31" s="507"/>
      <c r="CM31" s="507"/>
      <c r="CN31" s="507"/>
      <c r="CO31" s="507"/>
      <c r="CP31" s="507"/>
      <c r="CQ31" s="507"/>
      <c r="CR31" s="507"/>
      <c r="CS31" s="507"/>
      <c r="CT31" s="507"/>
      <c r="CU31" s="507"/>
      <c r="CV31" s="507"/>
      <c r="CW31" s="507"/>
      <c r="CX31" s="507"/>
      <c r="CY31" s="507"/>
      <c r="CZ31" s="507"/>
      <c r="DA31" s="507"/>
      <c r="DB31" s="507"/>
      <c r="DC31" s="507"/>
      <c r="DD31" s="507"/>
      <c r="DE31" s="507"/>
      <c r="DF31" s="507"/>
      <c r="DG31" s="507"/>
      <c r="DH31" s="507"/>
      <c r="DI31" s="507"/>
      <c r="DJ31" s="507"/>
      <c r="DK31" s="507"/>
      <c r="DL31" s="507"/>
      <c r="DM31" s="507"/>
      <c r="DN31" s="507"/>
      <c r="DO31" s="507"/>
      <c r="DP31" s="507"/>
      <c r="DQ31" s="507"/>
      <c r="DR31" s="507"/>
      <c r="DS31" s="507"/>
      <c r="DT31" s="507"/>
      <c r="DU31" s="507"/>
      <c r="DV31" s="507"/>
      <c r="DW31" s="507"/>
      <c r="DX31" s="507"/>
      <c r="DY31" s="507"/>
      <c r="DZ31" s="507"/>
      <c r="EA31" s="507"/>
      <c r="EB31" s="507"/>
      <c r="EC31" s="507"/>
      <c r="ED31" s="507"/>
      <c r="EE31" s="507"/>
      <c r="EF31" s="507"/>
      <c r="EG31" s="507"/>
      <c r="EH31" s="507"/>
      <c r="EI31" s="507"/>
      <c r="EJ31" s="507"/>
      <c r="EK31" s="507"/>
      <c r="EL31" s="507"/>
      <c r="EM31" s="507"/>
      <c r="EN31" s="507"/>
      <c r="EO31" s="507"/>
      <c r="EP31" s="507"/>
      <c r="EQ31" s="507"/>
      <c r="ER31" s="507"/>
      <c r="ES31" s="507"/>
      <c r="ET31" s="507"/>
      <c r="EU31" s="507"/>
      <c r="EV31" s="507"/>
      <c r="EW31" s="507"/>
      <c r="EX31" s="507"/>
      <c r="EY31" s="507"/>
      <c r="EZ31" s="507"/>
      <c r="FA31" s="507"/>
      <c r="FB31" s="507"/>
      <c r="FC31" s="507"/>
      <c r="FD31" s="507"/>
      <c r="FE31" s="507"/>
      <c r="FF31" s="507"/>
      <c r="FG31" s="507"/>
      <c r="FH31" s="507"/>
      <c r="FI31" s="507"/>
      <c r="FJ31" s="507"/>
      <c r="FK31" s="507"/>
      <c r="FL31" s="507"/>
      <c r="FM31" s="507"/>
      <c r="FN31" s="507"/>
      <c r="FO31" s="507"/>
      <c r="FP31" s="507"/>
      <c r="FQ31" s="507"/>
      <c r="FR31" s="507"/>
      <c r="FS31" s="507"/>
      <c r="FT31" s="507"/>
      <c r="FU31" s="507"/>
      <c r="FV31" s="507"/>
      <c r="FW31" s="507"/>
      <c r="FX31" s="507"/>
      <c r="FY31" s="507"/>
      <c r="FZ31" s="507"/>
      <c r="GA31" s="507"/>
      <c r="GB31" s="507"/>
      <c r="GC31" s="507"/>
      <c r="GD31" s="507"/>
      <c r="GE31" s="507"/>
      <c r="GF31" s="507"/>
      <c r="GG31" s="507"/>
      <c r="GH31" s="507"/>
      <c r="GI31" s="507"/>
      <c r="GJ31" s="507"/>
      <c r="GK31" s="507"/>
      <c r="GL31" s="507"/>
      <c r="GM31" s="507"/>
      <c r="GN31" s="507"/>
      <c r="GO31" s="507"/>
      <c r="GP31" s="507"/>
      <c r="GQ31" s="507"/>
      <c r="GR31" s="507"/>
      <c r="GS31" s="507"/>
      <c r="GT31" s="507"/>
      <c r="GU31" s="507"/>
      <c r="GV31" s="507"/>
      <c r="GW31" s="507"/>
      <c r="GX31" s="507"/>
      <c r="GY31" s="507"/>
      <c r="GZ31" s="507"/>
      <c r="HA31" s="507"/>
      <c r="HB31" s="507"/>
      <c r="HC31" s="507"/>
      <c r="HD31" s="507"/>
      <c r="HE31" s="507"/>
      <c r="HF31" s="507"/>
      <c r="HG31" s="507"/>
      <c r="HH31" s="507"/>
      <c r="HI31" s="507"/>
      <c r="HJ31" s="507"/>
      <c r="HK31" s="507"/>
      <c r="HL31" s="507"/>
      <c r="HM31" s="507"/>
      <c r="HN31" s="507"/>
      <c r="HO31" s="507"/>
      <c r="HP31" s="507"/>
      <c r="HQ31" s="507"/>
      <c r="HR31" s="507"/>
      <c r="HS31" s="507"/>
      <c r="HT31" s="507"/>
      <c r="HU31" s="507"/>
      <c r="HV31" s="507"/>
      <c r="HW31" s="507"/>
      <c r="HX31" s="507"/>
      <c r="HY31" s="507"/>
      <c r="HZ31" s="507"/>
    </row>
    <row r="32" spans="1:234" s="232" customFormat="1" ht="15.9" hidden="1" customHeight="1" x14ac:dyDescent="0.25">
      <c r="A32" s="522" t="s">
        <v>3064</v>
      </c>
      <c r="B32" s="523" t="s">
        <v>3739</v>
      </c>
      <c r="C32" s="524" t="s">
        <v>906</v>
      </c>
      <c r="D32" s="570" t="s">
        <v>189</v>
      </c>
      <c r="E32" s="569" t="s">
        <v>3228</v>
      </c>
      <c r="F32" s="543">
        <v>38254</v>
      </c>
      <c r="G32" s="544">
        <v>38187</v>
      </c>
      <c r="H32" s="562">
        <v>38247</v>
      </c>
      <c r="I32" s="546">
        <v>40116</v>
      </c>
      <c r="J32" s="547">
        <v>10000</v>
      </c>
      <c r="K32" s="558">
        <v>0</v>
      </c>
      <c r="L32" s="559">
        <v>0.05</v>
      </c>
      <c r="M32" s="550">
        <v>0.08</v>
      </c>
      <c r="N32" s="560" t="s">
        <v>3229</v>
      </c>
      <c r="O32" s="552" t="s">
        <v>3229</v>
      </c>
      <c r="P32" s="552" t="s">
        <v>3229</v>
      </c>
      <c r="Q32" s="552" t="s">
        <v>3229</v>
      </c>
      <c r="R32" s="552" t="s">
        <v>3229</v>
      </c>
      <c r="S32" s="567">
        <v>5</v>
      </c>
      <c r="T32" s="555">
        <v>38626</v>
      </c>
      <c r="U32" s="555">
        <v>38991</v>
      </c>
      <c r="V32" s="555">
        <v>39356</v>
      </c>
      <c r="W32" s="555">
        <v>39722</v>
      </c>
      <c r="X32" s="555">
        <v>40087</v>
      </c>
      <c r="Y32" s="555" t="s">
        <v>3229</v>
      </c>
      <c r="Z32" s="555" t="s">
        <v>3229</v>
      </c>
      <c r="AA32" s="555" t="s">
        <v>3229</v>
      </c>
      <c r="AB32" s="555" t="s">
        <v>3229</v>
      </c>
      <c r="AC32" s="555" t="s">
        <v>3229</v>
      </c>
      <c r="AD32" s="555" t="s">
        <v>3229</v>
      </c>
      <c r="AE32" s="556" t="s">
        <v>3229</v>
      </c>
      <c r="AF32" s="3782" t="s">
        <v>781</v>
      </c>
      <c r="AG32" s="3783"/>
      <c r="AH32" s="622">
        <v>0.5</v>
      </c>
      <c r="AI32" s="622">
        <v>0.5</v>
      </c>
      <c r="AJ32" s="622" t="s">
        <v>3229</v>
      </c>
      <c r="AK32" s="622" t="s">
        <v>3229</v>
      </c>
      <c r="AL32" s="622" t="s">
        <v>3229</v>
      </c>
      <c r="AM32" s="590" t="s">
        <v>3229</v>
      </c>
      <c r="AN32" s="576">
        <v>0.2</v>
      </c>
      <c r="AO32" s="625">
        <v>12056.81</v>
      </c>
      <c r="AP32" s="1368"/>
      <c r="AQ32" s="658" t="s">
        <v>3229</v>
      </c>
      <c r="AR32" s="558">
        <f>AO32/10000-1</f>
        <v>0.205681</v>
      </c>
      <c r="AS32" s="558">
        <f t="shared" si="4"/>
        <v>3.7346026657957498E-2</v>
      </c>
      <c r="AT32" s="598" t="s">
        <v>3229</v>
      </c>
      <c r="AU32" s="552" t="s">
        <v>3229</v>
      </c>
      <c r="AV32" s="558">
        <f>AN32</f>
        <v>0.2</v>
      </c>
      <c r="AW32" s="558">
        <f t="shared" si="7"/>
        <v>3.6386066156292474E-2</v>
      </c>
      <c r="AX32" s="598" t="s">
        <v>3229</v>
      </c>
      <c r="AY32" s="552" t="s">
        <v>3229</v>
      </c>
      <c r="AZ32" s="642">
        <f t="shared" si="8"/>
        <v>12000</v>
      </c>
      <c r="BA32" s="644" t="s">
        <v>2855</v>
      </c>
      <c r="BB32" s="570" t="s">
        <v>2025</v>
      </c>
      <c r="BC32" s="637" t="s">
        <v>2895</v>
      </c>
      <c r="BD32" s="3708"/>
      <c r="BE32" s="3743"/>
      <c r="BF32" s="3743"/>
      <c r="BG32" s="3708"/>
      <c r="BH32" s="3762"/>
      <c r="BI32" s="3762"/>
      <c r="BJ32" s="39"/>
      <c r="BK32" s="39"/>
      <c r="BL32" s="39"/>
      <c r="BM32" s="39"/>
      <c r="BN32" s="39"/>
      <c r="BO32" s="39"/>
      <c r="BP32" s="39"/>
      <c r="BQ32" s="39"/>
      <c r="BR32" s="39"/>
      <c r="BS32" s="507"/>
      <c r="BT32" s="507"/>
      <c r="BU32" s="507"/>
      <c r="BV32" s="507"/>
      <c r="BW32" s="507"/>
      <c r="BX32" s="507"/>
      <c r="BY32" s="507"/>
      <c r="BZ32" s="507"/>
      <c r="CA32" s="507"/>
      <c r="CB32" s="507"/>
      <c r="CC32" s="507"/>
      <c r="CD32" s="507"/>
      <c r="CE32" s="507"/>
      <c r="CF32" s="507"/>
      <c r="CG32" s="507"/>
      <c r="CH32" s="507"/>
      <c r="CI32" s="507"/>
      <c r="CJ32" s="507"/>
      <c r="CK32" s="507"/>
      <c r="CL32" s="507"/>
      <c r="CM32" s="507"/>
      <c r="CN32" s="507"/>
      <c r="CO32" s="507"/>
      <c r="CP32" s="507"/>
      <c r="CQ32" s="507"/>
      <c r="CR32" s="507"/>
      <c r="CS32" s="507"/>
      <c r="CT32" s="507"/>
      <c r="CU32" s="507"/>
      <c r="CV32" s="507"/>
      <c r="CW32" s="507"/>
      <c r="CX32" s="507"/>
      <c r="CY32" s="507"/>
      <c r="CZ32" s="507"/>
      <c r="DA32" s="507"/>
      <c r="DB32" s="507"/>
      <c r="DC32" s="507"/>
      <c r="DD32" s="507"/>
      <c r="DE32" s="507"/>
      <c r="DF32" s="507"/>
      <c r="DG32" s="507"/>
      <c r="DH32" s="507"/>
      <c r="DI32" s="507"/>
      <c r="DJ32" s="507"/>
      <c r="DK32" s="507"/>
      <c r="DL32" s="507"/>
      <c r="DM32" s="507"/>
      <c r="DN32" s="507"/>
      <c r="DO32" s="507"/>
      <c r="DP32" s="507"/>
      <c r="DQ32" s="507"/>
      <c r="DR32" s="507"/>
      <c r="DS32" s="507"/>
      <c r="DT32" s="507"/>
      <c r="DU32" s="507"/>
      <c r="DV32" s="507"/>
      <c r="DW32" s="507"/>
      <c r="DX32" s="507"/>
      <c r="DY32" s="507"/>
      <c r="DZ32" s="507"/>
      <c r="EA32" s="507"/>
      <c r="EB32" s="507"/>
      <c r="EC32" s="507"/>
      <c r="ED32" s="507"/>
      <c r="EE32" s="507"/>
      <c r="EF32" s="507"/>
      <c r="EG32" s="507"/>
      <c r="EH32" s="507"/>
      <c r="EI32" s="507"/>
      <c r="EJ32" s="507"/>
      <c r="EK32" s="507"/>
      <c r="EL32" s="507"/>
      <c r="EM32" s="507"/>
      <c r="EN32" s="507"/>
      <c r="EO32" s="507"/>
      <c r="EP32" s="507"/>
      <c r="EQ32" s="507"/>
      <c r="ER32" s="507"/>
      <c r="ES32" s="507"/>
      <c r="ET32" s="507"/>
      <c r="EU32" s="507"/>
      <c r="EV32" s="507"/>
      <c r="EW32" s="507"/>
      <c r="EX32" s="507"/>
      <c r="EY32" s="507"/>
      <c r="EZ32" s="507"/>
      <c r="FA32" s="507"/>
      <c r="FB32" s="507"/>
      <c r="FC32" s="507"/>
      <c r="FD32" s="507"/>
      <c r="FE32" s="507"/>
      <c r="FF32" s="507"/>
      <c r="FG32" s="507"/>
      <c r="FH32" s="507"/>
      <c r="FI32" s="507"/>
      <c r="FJ32" s="507"/>
      <c r="FK32" s="507"/>
      <c r="FL32" s="507"/>
      <c r="FM32" s="507"/>
      <c r="FN32" s="507"/>
      <c r="FO32" s="507"/>
      <c r="FP32" s="507"/>
      <c r="FQ32" s="507"/>
      <c r="FR32" s="507"/>
      <c r="FS32" s="507"/>
      <c r="FT32" s="507"/>
      <c r="FU32" s="507"/>
      <c r="FV32" s="507"/>
      <c r="FW32" s="507"/>
      <c r="FX32" s="507"/>
      <c r="FY32" s="507"/>
      <c r="FZ32" s="507"/>
      <c r="GA32" s="507"/>
      <c r="GB32" s="507"/>
      <c r="GC32" s="507"/>
      <c r="GD32" s="507"/>
      <c r="GE32" s="507"/>
      <c r="GF32" s="507"/>
      <c r="GG32" s="507"/>
      <c r="GH32" s="507"/>
      <c r="GI32" s="507"/>
      <c r="GJ32" s="507"/>
      <c r="GK32" s="507"/>
      <c r="GL32" s="507"/>
      <c r="GM32" s="507"/>
      <c r="GN32" s="507"/>
      <c r="GO32" s="507"/>
      <c r="GP32" s="507"/>
      <c r="GQ32" s="507"/>
      <c r="GR32" s="507"/>
      <c r="GS32" s="507"/>
      <c r="GT32" s="507"/>
      <c r="GU32" s="507"/>
      <c r="GV32" s="507"/>
      <c r="GW32" s="507"/>
      <c r="GX32" s="507"/>
      <c r="GY32" s="507"/>
      <c r="GZ32" s="507"/>
      <c r="HA32" s="507"/>
      <c r="HB32" s="507"/>
      <c r="HC32" s="507"/>
      <c r="HD32" s="507"/>
      <c r="HE32" s="507"/>
      <c r="HF32" s="507"/>
      <c r="HG32" s="507"/>
      <c r="HH32" s="507"/>
      <c r="HI32" s="507"/>
      <c r="HJ32" s="507"/>
      <c r="HK32" s="507"/>
      <c r="HL32" s="507"/>
      <c r="HM32" s="507"/>
      <c r="HN32" s="507"/>
      <c r="HO32" s="507"/>
      <c r="HP32" s="507"/>
      <c r="HQ32" s="507"/>
      <c r="HR32" s="507"/>
      <c r="HS32" s="507"/>
      <c r="HT32" s="507"/>
      <c r="HU32" s="507"/>
      <c r="HV32" s="507"/>
      <c r="HW32" s="507"/>
      <c r="HX32" s="507"/>
      <c r="HY32" s="507"/>
      <c r="HZ32" s="507"/>
    </row>
    <row r="33" spans="1:234" s="232" customFormat="1" ht="15.9" hidden="1" customHeight="1" x14ac:dyDescent="0.25">
      <c r="A33" s="522" t="s">
        <v>676</v>
      </c>
      <c r="B33" s="523" t="s">
        <v>3740</v>
      </c>
      <c r="C33" s="524" t="s">
        <v>907</v>
      </c>
      <c r="D33" s="570" t="s">
        <v>189</v>
      </c>
      <c r="E33" s="569" t="s">
        <v>3228</v>
      </c>
      <c r="F33" s="543">
        <v>38254</v>
      </c>
      <c r="G33" s="544">
        <v>38187</v>
      </c>
      <c r="H33" s="562">
        <v>38247</v>
      </c>
      <c r="I33" s="546">
        <v>40480</v>
      </c>
      <c r="J33" s="547">
        <v>10000</v>
      </c>
      <c r="K33" s="553" t="s">
        <v>3229</v>
      </c>
      <c r="L33" s="552" t="s">
        <v>3229</v>
      </c>
      <c r="M33" s="550">
        <v>0.14000000000000001</v>
      </c>
      <c r="N33" s="560">
        <v>0.5</v>
      </c>
      <c r="O33" s="559">
        <v>0.65</v>
      </c>
      <c r="P33" s="552" t="s">
        <v>3229</v>
      </c>
      <c r="Q33" s="552" t="s">
        <v>3229</v>
      </c>
      <c r="R33" s="552" t="s">
        <v>3229</v>
      </c>
      <c r="S33" s="567"/>
      <c r="T33" s="555" t="s">
        <v>3229</v>
      </c>
      <c r="U33" s="555" t="s">
        <v>3229</v>
      </c>
      <c r="V33" s="555" t="s">
        <v>3229</v>
      </c>
      <c r="W33" s="555" t="s">
        <v>3229</v>
      </c>
      <c r="X33" s="555" t="s">
        <v>3229</v>
      </c>
      <c r="Y33" s="555" t="s">
        <v>3229</v>
      </c>
      <c r="Z33" s="555" t="s">
        <v>3229</v>
      </c>
      <c r="AA33" s="555" t="s">
        <v>3229</v>
      </c>
      <c r="AB33" s="555" t="s">
        <v>3229</v>
      </c>
      <c r="AC33" s="555" t="s">
        <v>3229</v>
      </c>
      <c r="AD33" s="555" t="s">
        <v>3229</v>
      </c>
      <c r="AE33" s="556" t="s">
        <v>3229</v>
      </c>
      <c r="AF33" s="3782" t="s">
        <v>781</v>
      </c>
      <c r="AG33" s="3765"/>
      <c r="AH33" s="622">
        <v>0.5</v>
      </c>
      <c r="AI33" s="622">
        <v>0.5</v>
      </c>
      <c r="AJ33" s="622" t="s">
        <v>3229</v>
      </c>
      <c r="AK33" s="622" t="s">
        <v>3229</v>
      </c>
      <c r="AL33" s="622" t="s">
        <v>3229</v>
      </c>
      <c r="AM33" s="590" t="s">
        <v>3229</v>
      </c>
      <c r="AN33" s="576">
        <v>0.14000000000000001</v>
      </c>
      <c r="AO33" s="625">
        <v>11400</v>
      </c>
      <c r="AP33" s="1368">
        <v>-8.441999999999986E-3</v>
      </c>
      <c r="AQ33" s="658" t="s">
        <v>3229</v>
      </c>
      <c r="AR33" s="558">
        <v>0.14000000000000001</v>
      </c>
      <c r="AS33" s="558">
        <f t="shared" si="4"/>
        <v>2.1717329414922659E-2</v>
      </c>
      <c r="AT33" s="589" t="s">
        <v>3229</v>
      </c>
      <c r="AU33" s="559" t="s">
        <v>3229</v>
      </c>
      <c r="AV33" s="558">
        <f>M33</f>
        <v>0.14000000000000001</v>
      </c>
      <c r="AW33" s="558">
        <f t="shared" si="7"/>
        <v>2.1717329414922659E-2</v>
      </c>
      <c r="AX33" s="558" t="s">
        <v>3229</v>
      </c>
      <c r="AY33" s="559" t="s">
        <v>3229</v>
      </c>
      <c r="AZ33" s="642">
        <f t="shared" si="8"/>
        <v>11400.000000000002</v>
      </c>
      <c r="BA33" s="644" t="s">
        <v>275</v>
      </c>
      <c r="BB33" s="570"/>
      <c r="BC33" s="637"/>
      <c r="BD33" s="3708"/>
      <c r="BE33" s="3743"/>
      <c r="BF33" s="3743"/>
      <c r="BG33" s="3708"/>
      <c r="BH33" s="3762"/>
      <c r="BI33" s="3762"/>
      <c r="BJ33" s="39"/>
      <c r="BK33" s="39"/>
      <c r="BL33" s="39"/>
      <c r="BM33" s="39"/>
      <c r="BN33" s="39"/>
      <c r="BO33" s="39"/>
      <c r="BP33" s="39"/>
      <c r="BQ33" s="39"/>
      <c r="BR33" s="39"/>
      <c r="BS33" s="507"/>
      <c r="BT33" s="507"/>
      <c r="BU33" s="507"/>
      <c r="BV33" s="507"/>
      <c r="BW33" s="507"/>
      <c r="BX33" s="507"/>
      <c r="BY33" s="507"/>
      <c r="BZ33" s="507"/>
      <c r="CA33" s="507"/>
      <c r="CB33" s="507"/>
      <c r="CC33" s="507"/>
      <c r="CD33" s="507"/>
      <c r="CE33" s="507"/>
      <c r="CF33" s="507"/>
      <c r="CG33" s="507"/>
      <c r="CH33" s="507"/>
      <c r="CI33" s="507"/>
      <c r="CJ33" s="507"/>
      <c r="CK33" s="507"/>
      <c r="CL33" s="507"/>
      <c r="CM33" s="507"/>
      <c r="CN33" s="507"/>
      <c r="CO33" s="507"/>
      <c r="CP33" s="507"/>
      <c r="CQ33" s="507"/>
      <c r="CR33" s="507"/>
      <c r="CS33" s="507"/>
      <c r="CT33" s="507"/>
      <c r="CU33" s="507"/>
      <c r="CV33" s="507"/>
      <c r="CW33" s="507"/>
      <c r="CX33" s="507"/>
      <c r="CY33" s="507"/>
      <c r="CZ33" s="507"/>
      <c r="DA33" s="507"/>
      <c r="DB33" s="507"/>
      <c r="DC33" s="507"/>
      <c r="DD33" s="507"/>
      <c r="DE33" s="507"/>
      <c r="DF33" s="507"/>
      <c r="DG33" s="507"/>
      <c r="DH33" s="507"/>
      <c r="DI33" s="507"/>
      <c r="DJ33" s="507"/>
      <c r="DK33" s="507"/>
      <c r="DL33" s="507"/>
      <c r="DM33" s="507"/>
      <c r="DN33" s="507"/>
      <c r="DO33" s="507"/>
      <c r="DP33" s="507"/>
      <c r="DQ33" s="507"/>
      <c r="DR33" s="507"/>
      <c r="DS33" s="507"/>
      <c r="DT33" s="507"/>
      <c r="DU33" s="507"/>
      <c r="DV33" s="507"/>
      <c r="DW33" s="507"/>
      <c r="DX33" s="507"/>
      <c r="DY33" s="507"/>
      <c r="DZ33" s="507"/>
      <c r="EA33" s="507"/>
      <c r="EB33" s="507"/>
      <c r="EC33" s="507"/>
      <c r="ED33" s="507"/>
      <c r="EE33" s="507"/>
      <c r="EF33" s="507"/>
      <c r="EG33" s="507"/>
      <c r="EH33" s="507"/>
      <c r="EI33" s="507"/>
      <c r="EJ33" s="507"/>
      <c r="EK33" s="507"/>
      <c r="EL33" s="507"/>
      <c r="EM33" s="507"/>
      <c r="EN33" s="507"/>
      <c r="EO33" s="507"/>
      <c r="EP33" s="507"/>
      <c r="EQ33" s="507"/>
      <c r="ER33" s="507"/>
      <c r="ES33" s="507"/>
      <c r="ET33" s="507"/>
      <c r="EU33" s="507"/>
      <c r="EV33" s="507"/>
      <c r="EW33" s="507"/>
      <c r="EX33" s="507"/>
      <c r="EY33" s="507"/>
      <c r="EZ33" s="507"/>
      <c r="FA33" s="507"/>
      <c r="FB33" s="507"/>
      <c r="FC33" s="507"/>
      <c r="FD33" s="507"/>
      <c r="FE33" s="507"/>
      <c r="FF33" s="507"/>
      <c r="FG33" s="507"/>
      <c r="FH33" s="507"/>
      <c r="FI33" s="507"/>
      <c r="FJ33" s="507"/>
      <c r="FK33" s="507"/>
      <c r="FL33" s="507"/>
      <c r="FM33" s="507"/>
      <c r="FN33" s="507"/>
      <c r="FO33" s="507"/>
      <c r="FP33" s="507"/>
      <c r="FQ33" s="507"/>
      <c r="FR33" s="507"/>
      <c r="FS33" s="507"/>
      <c r="FT33" s="507"/>
      <c r="FU33" s="507"/>
      <c r="FV33" s="507"/>
      <c r="FW33" s="507"/>
      <c r="FX33" s="507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</row>
    <row r="34" spans="1:234" s="206" customFormat="1" ht="15.9" hidden="1" customHeight="1" x14ac:dyDescent="0.25">
      <c r="A34" s="522" t="s">
        <v>1102</v>
      </c>
      <c r="B34" s="523" t="s">
        <v>1409</v>
      </c>
      <c r="C34" s="524" t="s">
        <v>2026</v>
      </c>
      <c r="D34" s="570" t="s">
        <v>189</v>
      </c>
      <c r="E34" s="569" t="s">
        <v>3228</v>
      </c>
      <c r="F34" s="543">
        <v>38296</v>
      </c>
      <c r="G34" s="544">
        <v>38250</v>
      </c>
      <c r="H34" s="562">
        <v>38289</v>
      </c>
      <c r="I34" s="546">
        <v>40268</v>
      </c>
      <c r="J34" s="547">
        <v>10000</v>
      </c>
      <c r="K34" s="558">
        <v>-0.03</v>
      </c>
      <c r="L34" s="559">
        <v>0.08</v>
      </c>
      <c r="M34" s="550">
        <v>0.1</v>
      </c>
      <c r="N34" s="560" t="s">
        <v>3229</v>
      </c>
      <c r="O34" s="552" t="s">
        <v>3229</v>
      </c>
      <c r="P34" s="552" t="s">
        <v>3229</v>
      </c>
      <c r="Q34" s="552" t="s">
        <v>3229</v>
      </c>
      <c r="R34" s="552" t="s">
        <v>3229</v>
      </c>
      <c r="S34" s="567">
        <v>5</v>
      </c>
      <c r="T34" s="555">
        <v>38657</v>
      </c>
      <c r="U34" s="555">
        <v>39022</v>
      </c>
      <c r="V34" s="555">
        <v>39387</v>
      </c>
      <c r="W34" s="555">
        <v>39753</v>
      </c>
      <c r="X34" s="555">
        <v>40210</v>
      </c>
      <c r="Y34" s="555" t="s">
        <v>3229</v>
      </c>
      <c r="Z34" s="555" t="s">
        <v>3229</v>
      </c>
      <c r="AA34" s="555" t="s">
        <v>3229</v>
      </c>
      <c r="AB34" s="555" t="s">
        <v>3229</v>
      </c>
      <c r="AC34" s="555" t="s">
        <v>3229</v>
      </c>
      <c r="AD34" s="555" t="s">
        <v>3229</v>
      </c>
      <c r="AE34" s="556" t="s">
        <v>3229</v>
      </c>
      <c r="AF34" s="3782" t="s">
        <v>781</v>
      </c>
      <c r="AG34" s="3765"/>
      <c r="AH34" s="622">
        <v>0.4</v>
      </c>
      <c r="AI34" s="622">
        <v>0.4</v>
      </c>
      <c r="AJ34" s="622">
        <v>0.2</v>
      </c>
      <c r="AK34" s="622" t="s">
        <v>3229</v>
      </c>
      <c r="AL34" s="622" t="s">
        <v>3229</v>
      </c>
      <c r="AM34" s="590" t="s">
        <v>3229</v>
      </c>
      <c r="AN34" s="576">
        <v>0.26550000000000001</v>
      </c>
      <c r="AO34" s="625">
        <v>12665</v>
      </c>
      <c r="AP34" s="1368" t="s">
        <v>3229</v>
      </c>
      <c r="AQ34" s="658" t="s">
        <v>3229</v>
      </c>
      <c r="AR34" s="558">
        <f>AO34/10000-1</f>
        <v>0.26649999999999996</v>
      </c>
      <c r="AS34" s="558">
        <f t="shared" si="4"/>
        <v>4.4699354826546189E-2</v>
      </c>
      <c r="AT34" s="589"/>
      <c r="AU34" s="559"/>
      <c r="AV34" s="558">
        <f>AR34</f>
        <v>0.26649999999999996</v>
      </c>
      <c r="AW34" s="558">
        <f t="shared" si="7"/>
        <v>4.4699354826546189E-2</v>
      </c>
      <c r="AX34" s="558"/>
      <c r="AY34" s="559"/>
      <c r="AZ34" s="642">
        <f t="shared" si="8"/>
        <v>12665</v>
      </c>
      <c r="BA34" s="644" t="s">
        <v>3189</v>
      </c>
      <c r="BB34" s="570" t="s">
        <v>2025</v>
      </c>
      <c r="BC34" s="637" t="s">
        <v>2895</v>
      </c>
      <c r="BD34" s="3708"/>
      <c r="BE34" s="3743"/>
      <c r="BF34" s="3743"/>
      <c r="BG34" s="3708"/>
      <c r="BH34" s="3762"/>
      <c r="BI34" s="3762"/>
      <c r="BJ34" s="39"/>
      <c r="BK34" s="39"/>
      <c r="BL34" s="39"/>
      <c r="BM34" s="39"/>
      <c r="BN34" s="39"/>
      <c r="BO34" s="39"/>
      <c r="BP34" s="39"/>
      <c r="BQ34" s="39"/>
      <c r="BR34" s="39"/>
      <c r="BS34" s="507"/>
      <c r="BT34" s="507"/>
      <c r="BU34" s="507"/>
      <c r="BV34" s="507"/>
      <c r="BW34" s="507"/>
      <c r="BX34" s="507"/>
      <c r="BY34" s="507"/>
      <c r="BZ34" s="507"/>
      <c r="CA34" s="507"/>
      <c r="CB34" s="507"/>
      <c r="CC34" s="507"/>
      <c r="CD34" s="507"/>
      <c r="CE34" s="507"/>
      <c r="CF34" s="507"/>
      <c r="CG34" s="507"/>
      <c r="CH34" s="507"/>
      <c r="CI34" s="507"/>
      <c r="CJ34" s="507"/>
      <c r="CK34" s="507"/>
      <c r="CL34" s="507"/>
      <c r="CM34" s="507"/>
      <c r="CN34" s="507"/>
      <c r="CO34" s="507"/>
      <c r="CP34" s="507"/>
      <c r="CQ34" s="507"/>
      <c r="CR34" s="507"/>
      <c r="CS34" s="507"/>
      <c r="CT34" s="507"/>
      <c r="CU34" s="507"/>
      <c r="CV34" s="507"/>
      <c r="CW34" s="507"/>
      <c r="CX34" s="507"/>
      <c r="CY34" s="507"/>
      <c r="CZ34" s="507"/>
      <c r="DA34" s="507"/>
      <c r="DB34" s="507"/>
      <c r="DC34" s="507"/>
      <c r="DD34" s="507"/>
      <c r="DE34" s="507"/>
      <c r="DF34" s="507"/>
      <c r="DG34" s="507"/>
      <c r="DH34" s="507"/>
      <c r="DI34" s="507"/>
      <c r="DJ34" s="507"/>
      <c r="DK34" s="507"/>
      <c r="DL34" s="507"/>
      <c r="DM34" s="507"/>
      <c r="DN34" s="507"/>
      <c r="DO34" s="507"/>
      <c r="DP34" s="507"/>
      <c r="DQ34" s="507"/>
      <c r="DR34" s="507"/>
      <c r="DS34" s="507"/>
      <c r="DT34" s="507"/>
      <c r="DU34" s="507"/>
      <c r="DV34" s="507"/>
      <c r="DW34" s="507"/>
      <c r="DX34" s="507"/>
      <c r="DY34" s="507"/>
      <c r="DZ34" s="507"/>
      <c r="EA34" s="507"/>
      <c r="EB34" s="507"/>
      <c r="EC34" s="507"/>
      <c r="ED34" s="507"/>
      <c r="EE34" s="507"/>
      <c r="EF34" s="507"/>
      <c r="EG34" s="507"/>
      <c r="EH34" s="507"/>
      <c r="EI34" s="507"/>
      <c r="EJ34" s="507"/>
      <c r="EK34" s="507"/>
      <c r="EL34" s="507"/>
      <c r="EM34" s="507"/>
      <c r="EN34" s="507"/>
      <c r="EO34" s="507"/>
      <c r="EP34" s="507"/>
      <c r="EQ34" s="507"/>
      <c r="ER34" s="507"/>
      <c r="ES34" s="507"/>
      <c r="ET34" s="507"/>
      <c r="EU34" s="507"/>
      <c r="EV34" s="507"/>
      <c r="EW34" s="507"/>
      <c r="EX34" s="507"/>
      <c r="EY34" s="507"/>
      <c r="EZ34" s="507"/>
      <c r="FA34" s="507"/>
      <c r="FB34" s="507"/>
      <c r="FC34" s="507"/>
      <c r="FD34" s="507"/>
      <c r="FE34" s="507"/>
      <c r="FF34" s="507"/>
      <c r="FG34" s="507"/>
      <c r="FH34" s="507"/>
      <c r="FI34" s="507"/>
      <c r="FJ34" s="507"/>
      <c r="FK34" s="507"/>
      <c r="FL34" s="507"/>
      <c r="FM34" s="507"/>
      <c r="FN34" s="507"/>
      <c r="FO34" s="507"/>
      <c r="FP34" s="507"/>
      <c r="FQ34" s="507"/>
      <c r="FR34" s="507"/>
      <c r="FS34" s="507"/>
      <c r="FT34" s="507"/>
      <c r="FU34" s="507"/>
      <c r="FV34" s="507"/>
      <c r="FW34" s="507"/>
      <c r="FX34" s="507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</row>
    <row r="35" spans="1:234" s="206" customFormat="1" ht="15.9" hidden="1" customHeight="1" x14ac:dyDescent="0.25">
      <c r="A35" s="522" t="s">
        <v>3513</v>
      </c>
      <c r="B35" s="523" t="s">
        <v>1236</v>
      </c>
      <c r="C35" s="524" t="s">
        <v>2029</v>
      </c>
      <c r="D35" s="570" t="s">
        <v>189</v>
      </c>
      <c r="E35" s="569" t="s">
        <v>905</v>
      </c>
      <c r="F35" s="543">
        <v>38296</v>
      </c>
      <c r="G35" s="544">
        <v>38250</v>
      </c>
      <c r="H35" s="562">
        <v>38289</v>
      </c>
      <c r="I35" s="546">
        <v>40268</v>
      </c>
      <c r="J35" s="547">
        <v>1000</v>
      </c>
      <c r="K35" s="558">
        <v>-0.03</v>
      </c>
      <c r="L35" s="559">
        <v>5.5E-2</v>
      </c>
      <c r="M35" s="550">
        <v>0.08</v>
      </c>
      <c r="N35" s="560" t="s">
        <v>3229</v>
      </c>
      <c r="O35" s="552" t="s">
        <v>3229</v>
      </c>
      <c r="P35" s="552" t="s">
        <v>3229</v>
      </c>
      <c r="Q35" s="552" t="s">
        <v>3229</v>
      </c>
      <c r="R35" s="552" t="s">
        <v>3229</v>
      </c>
      <c r="S35" s="567">
        <v>5</v>
      </c>
      <c r="T35" s="555">
        <v>38657</v>
      </c>
      <c r="U35" s="555">
        <v>39022</v>
      </c>
      <c r="V35" s="555">
        <v>39387</v>
      </c>
      <c r="W35" s="555">
        <v>39753</v>
      </c>
      <c r="X35" s="555">
        <v>40210</v>
      </c>
      <c r="Y35" s="555" t="s">
        <v>3229</v>
      </c>
      <c r="Z35" s="555" t="s">
        <v>3229</v>
      </c>
      <c r="AA35" s="555" t="s">
        <v>3229</v>
      </c>
      <c r="AB35" s="555" t="s">
        <v>3229</v>
      </c>
      <c r="AC35" s="555" t="s">
        <v>3229</v>
      </c>
      <c r="AD35" s="555" t="s">
        <v>3229</v>
      </c>
      <c r="AE35" s="556" t="s">
        <v>3229</v>
      </c>
      <c r="AF35" s="3782" t="s">
        <v>781</v>
      </c>
      <c r="AG35" s="3765"/>
      <c r="AH35" s="622">
        <v>0.5</v>
      </c>
      <c r="AI35" s="622">
        <v>0.5</v>
      </c>
      <c r="AJ35" s="622" t="s">
        <v>3229</v>
      </c>
      <c r="AK35" s="622" t="s">
        <v>3229</v>
      </c>
      <c r="AL35" s="622" t="s">
        <v>3229</v>
      </c>
      <c r="AM35" s="590" t="s">
        <v>3229</v>
      </c>
      <c r="AN35" s="576">
        <v>0.19</v>
      </c>
      <c r="AO35" s="625">
        <v>1190</v>
      </c>
      <c r="AP35" s="1368" t="s">
        <v>3229</v>
      </c>
      <c r="AQ35" s="658" t="s">
        <v>3229</v>
      </c>
      <c r="AR35" s="558">
        <f>AO35/1000-1</f>
        <v>0.18999999999999995</v>
      </c>
      <c r="AS35" s="558">
        <f t="shared" si="4"/>
        <v>3.2721179049282512E-2</v>
      </c>
      <c r="AT35" s="589"/>
      <c r="AU35" s="559"/>
      <c r="AV35" s="558">
        <f>AR35</f>
        <v>0.18999999999999995</v>
      </c>
      <c r="AW35" s="558">
        <f t="shared" si="7"/>
        <v>3.2721179049282512E-2</v>
      </c>
      <c r="AX35" s="558"/>
      <c r="AY35" s="559"/>
      <c r="AZ35" s="642">
        <f t="shared" si="8"/>
        <v>1190</v>
      </c>
      <c r="BA35" s="644" t="s">
        <v>3189</v>
      </c>
      <c r="BB35" s="570" t="s">
        <v>2025</v>
      </c>
      <c r="BC35" s="637" t="s">
        <v>2895</v>
      </c>
      <c r="BD35" s="3708"/>
      <c r="BE35" s="3743"/>
      <c r="BF35" s="3743"/>
      <c r="BG35" s="3708"/>
      <c r="BH35" s="3762"/>
      <c r="BI35" s="3762"/>
      <c r="BJ35" s="39"/>
      <c r="BK35" s="39"/>
      <c r="BL35" s="39"/>
      <c r="BM35" s="39"/>
      <c r="BN35" s="39"/>
      <c r="BO35" s="39"/>
      <c r="BP35" s="39"/>
      <c r="BQ35" s="39"/>
      <c r="BR35" s="39"/>
      <c r="BS35" s="507"/>
      <c r="BT35" s="507"/>
      <c r="BU35" s="507"/>
      <c r="BV35" s="507"/>
      <c r="BW35" s="507"/>
      <c r="BX35" s="507"/>
      <c r="BY35" s="507"/>
      <c r="BZ35" s="507"/>
      <c r="CA35" s="507"/>
      <c r="CB35" s="507"/>
      <c r="CC35" s="507"/>
      <c r="CD35" s="507"/>
      <c r="CE35" s="507"/>
      <c r="CF35" s="507"/>
      <c r="CG35" s="507"/>
      <c r="CH35" s="507"/>
      <c r="CI35" s="507"/>
      <c r="CJ35" s="507"/>
      <c r="CK35" s="507"/>
      <c r="CL35" s="507"/>
      <c r="CM35" s="507"/>
      <c r="CN35" s="507"/>
      <c r="CO35" s="507"/>
      <c r="CP35" s="507"/>
      <c r="CQ35" s="507"/>
      <c r="CR35" s="507"/>
      <c r="CS35" s="507"/>
      <c r="CT35" s="507"/>
      <c r="CU35" s="507"/>
      <c r="CV35" s="507"/>
      <c r="CW35" s="507"/>
      <c r="CX35" s="507"/>
      <c r="CY35" s="507"/>
      <c r="CZ35" s="507"/>
      <c r="DA35" s="507"/>
      <c r="DB35" s="507"/>
      <c r="DC35" s="507"/>
      <c r="DD35" s="507"/>
      <c r="DE35" s="507"/>
      <c r="DF35" s="507"/>
      <c r="DG35" s="507"/>
      <c r="DH35" s="507"/>
      <c r="DI35" s="507"/>
      <c r="DJ35" s="507"/>
      <c r="DK35" s="507"/>
      <c r="DL35" s="507"/>
      <c r="DM35" s="507"/>
      <c r="DN35" s="507"/>
      <c r="DO35" s="507"/>
      <c r="DP35" s="507"/>
      <c r="DQ35" s="507"/>
      <c r="DR35" s="507"/>
      <c r="DS35" s="507"/>
      <c r="DT35" s="507"/>
      <c r="DU35" s="507"/>
      <c r="DV35" s="507"/>
      <c r="DW35" s="507"/>
      <c r="DX35" s="507"/>
      <c r="DY35" s="507"/>
      <c r="DZ35" s="507"/>
      <c r="EA35" s="507"/>
      <c r="EB35" s="507"/>
      <c r="EC35" s="507"/>
      <c r="ED35" s="507"/>
      <c r="EE35" s="507"/>
      <c r="EF35" s="507"/>
      <c r="EG35" s="507"/>
      <c r="EH35" s="507"/>
      <c r="EI35" s="507"/>
      <c r="EJ35" s="507"/>
      <c r="EK35" s="507"/>
      <c r="EL35" s="507"/>
      <c r="EM35" s="507"/>
      <c r="EN35" s="507"/>
      <c r="EO35" s="507"/>
      <c r="EP35" s="507"/>
      <c r="EQ35" s="507"/>
      <c r="ER35" s="507"/>
      <c r="ES35" s="507"/>
      <c r="ET35" s="507"/>
      <c r="EU35" s="507"/>
      <c r="EV35" s="507"/>
      <c r="EW35" s="507"/>
      <c r="EX35" s="507"/>
      <c r="EY35" s="507"/>
      <c r="EZ35" s="507"/>
      <c r="FA35" s="507"/>
      <c r="FB35" s="507"/>
      <c r="FC35" s="507"/>
      <c r="FD35" s="507"/>
      <c r="FE35" s="507"/>
      <c r="FF35" s="507"/>
      <c r="FG35" s="507"/>
      <c r="FH35" s="507"/>
      <c r="FI35" s="507"/>
      <c r="FJ35" s="507"/>
      <c r="FK35" s="507"/>
      <c r="FL35" s="507"/>
      <c r="FM35" s="507"/>
      <c r="FN35" s="507"/>
      <c r="FO35" s="507"/>
      <c r="FP35" s="507"/>
      <c r="FQ35" s="507"/>
      <c r="FR35" s="507"/>
      <c r="FS35" s="507"/>
      <c r="FT35" s="507"/>
      <c r="FU35" s="507"/>
      <c r="FV35" s="507"/>
      <c r="FW35" s="507"/>
      <c r="FX35" s="507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</row>
    <row r="36" spans="1:234" s="206" customFormat="1" ht="15.9" hidden="1" customHeight="1" x14ac:dyDescent="0.25">
      <c r="A36" s="522" t="s">
        <v>838</v>
      </c>
      <c r="B36" s="523" t="s">
        <v>1398</v>
      </c>
      <c r="C36" s="524" t="s">
        <v>2027</v>
      </c>
      <c r="D36" s="570" t="s">
        <v>189</v>
      </c>
      <c r="E36" s="569" t="s">
        <v>1743</v>
      </c>
      <c r="F36" s="543">
        <v>38296</v>
      </c>
      <c r="G36" s="544">
        <v>38250</v>
      </c>
      <c r="H36" s="562">
        <v>38289</v>
      </c>
      <c r="I36" s="546">
        <v>40268</v>
      </c>
      <c r="J36" s="547">
        <v>1000</v>
      </c>
      <c r="K36" s="558">
        <v>-0.03</v>
      </c>
      <c r="L36" s="559">
        <v>7.0000000000000007E-2</v>
      </c>
      <c r="M36" s="550">
        <v>0.08</v>
      </c>
      <c r="N36" s="560" t="s">
        <v>3229</v>
      </c>
      <c r="O36" s="552" t="s">
        <v>3229</v>
      </c>
      <c r="P36" s="552" t="s">
        <v>3229</v>
      </c>
      <c r="Q36" s="552" t="s">
        <v>3229</v>
      </c>
      <c r="R36" s="552" t="s">
        <v>3229</v>
      </c>
      <c r="S36" s="567">
        <v>5</v>
      </c>
      <c r="T36" s="555">
        <v>38657</v>
      </c>
      <c r="U36" s="555">
        <v>39022</v>
      </c>
      <c r="V36" s="555">
        <v>39387</v>
      </c>
      <c r="W36" s="555">
        <v>39753</v>
      </c>
      <c r="X36" s="555">
        <v>40210</v>
      </c>
      <c r="Y36" s="555" t="s">
        <v>3229</v>
      </c>
      <c r="Z36" s="555" t="s">
        <v>3229</v>
      </c>
      <c r="AA36" s="555" t="s">
        <v>3229</v>
      </c>
      <c r="AB36" s="555" t="s">
        <v>3229</v>
      </c>
      <c r="AC36" s="555" t="s">
        <v>3229</v>
      </c>
      <c r="AD36" s="555" t="s">
        <v>3229</v>
      </c>
      <c r="AE36" s="556" t="s">
        <v>3229</v>
      </c>
      <c r="AF36" s="3782" t="s">
        <v>781</v>
      </c>
      <c r="AG36" s="3765"/>
      <c r="AH36" s="622">
        <v>0.5</v>
      </c>
      <c r="AI36" s="622">
        <v>0.5</v>
      </c>
      <c r="AJ36" s="622" t="s">
        <v>3229</v>
      </c>
      <c r="AK36" s="622" t="s">
        <v>3229</v>
      </c>
      <c r="AL36" s="622" t="s">
        <v>3229</v>
      </c>
      <c r="AM36" s="590" t="s">
        <v>3229</v>
      </c>
      <c r="AN36" s="576">
        <v>0.25</v>
      </c>
      <c r="AO36" s="625">
        <v>1252.1600000000001</v>
      </c>
      <c r="AP36" s="1368" t="s">
        <v>3229</v>
      </c>
      <c r="AQ36" s="658" t="s">
        <v>3229</v>
      </c>
      <c r="AR36" s="558">
        <f>AO36/1000-1</f>
        <v>0.25216000000000016</v>
      </c>
      <c r="AS36" s="558">
        <f t="shared" si="4"/>
        <v>4.2499804094746185E-2</v>
      </c>
      <c r="AT36" s="589"/>
      <c r="AU36" s="559"/>
      <c r="AV36" s="558">
        <f>AR36</f>
        <v>0.25216000000000016</v>
      </c>
      <c r="AW36" s="558">
        <f t="shared" si="7"/>
        <v>4.2499804094746185E-2</v>
      </c>
      <c r="AX36" s="558"/>
      <c r="AY36" s="559"/>
      <c r="AZ36" s="642">
        <f t="shared" si="8"/>
        <v>1252.1600000000001</v>
      </c>
      <c r="BA36" s="644" t="s">
        <v>3189</v>
      </c>
      <c r="BB36" s="570" t="s">
        <v>2025</v>
      </c>
      <c r="BC36" s="637" t="s">
        <v>2895</v>
      </c>
      <c r="BD36" s="3708"/>
      <c r="BE36" s="3743"/>
      <c r="BF36" s="3743"/>
      <c r="BG36" s="3708"/>
      <c r="BH36" s="3762"/>
      <c r="BI36" s="3762"/>
      <c r="BJ36" s="39"/>
      <c r="BK36" s="39"/>
      <c r="BL36" s="39"/>
      <c r="BM36" s="39"/>
      <c r="BN36" s="39"/>
      <c r="BO36" s="39"/>
      <c r="BP36" s="39"/>
      <c r="BQ36" s="39"/>
      <c r="BR36" s="39"/>
      <c r="BS36" s="507"/>
      <c r="BT36" s="507"/>
      <c r="BU36" s="507"/>
      <c r="BV36" s="507"/>
      <c r="BW36" s="507"/>
      <c r="BX36" s="507"/>
      <c r="BY36" s="507"/>
      <c r="BZ36" s="507"/>
      <c r="CA36" s="507"/>
      <c r="CB36" s="507"/>
      <c r="CC36" s="507"/>
      <c r="CD36" s="507"/>
      <c r="CE36" s="507"/>
      <c r="CF36" s="507"/>
      <c r="CG36" s="507"/>
      <c r="CH36" s="507"/>
      <c r="CI36" s="507"/>
      <c r="CJ36" s="507"/>
      <c r="CK36" s="507"/>
      <c r="CL36" s="507"/>
      <c r="CM36" s="507"/>
      <c r="CN36" s="507"/>
      <c r="CO36" s="507"/>
      <c r="CP36" s="507"/>
      <c r="CQ36" s="507"/>
      <c r="CR36" s="507"/>
      <c r="CS36" s="507"/>
      <c r="CT36" s="507"/>
      <c r="CU36" s="507"/>
      <c r="CV36" s="507"/>
      <c r="CW36" s="507"/>
      <c r="CX36" s="507"/>
      <c r="CY36" s="507"/>
      <c r="CZ36" s="507"/>
      <c r="DA36" s="507"/>
      <c r="DB36" s="507"/>
      <c r="DC36" s="507"/>
      <c r="DD36" s="507"/>
      <c r="DE36" s="507"/>
      <c r="DF36" s="507"/>
      <c r="DG36" s="507"/>
      <c r="DH36" s="507"/>
      <c r="DI36" s="507"/>
      <c r="DJ36" s="507"/>
      <c r="DK36" s="507"/>
      <c r="DL36" s="507"/>
      <c r="DM36" s="507"/>
      <c r="DN36" s="507"/>
      <c r="DO36" s="507"/>
      <c r="DP36" s="507"/>
      <c r="DQ36" s="507"/>
      <c r="DR36" s="507"/>
      <c r="DS36" s="507"/>
      <c r="DT36" s="507"/>
      <c r="DU36" s="507"/>
      <c r="DV36" s="507"/>
      <c r="DW36" s="507"/>
      <c r="DX36" s="507"/>
      <c r="DY36" s="507"/>
      <c r="DZ36" s="507"/>
      <c r="EA36" s="507"/>
      <c r="EB36" s="507"/>
      <c r="EC36" s="507"/>
      <c r="ED36" s="507"/>
      <c r="EE36" s="507"/>
      <c r="EF36" s="507"/>
      <c r="EG36" s="507"/>
      <c r="EH36" s="507"/>
      <c r="EI36" s="507"/>
      <c r="EJ36" s="507"/>
      <c r="EK36" s="507"/>
      <c r="EL36" s="507"/>
      <c r="EM36" s="507"/>
      <c r="EN36" s="507"/>
      <c r="EO36" s="507"/>
      <c r="EP36" s="507"/>
      <c r="EQ36" s="507"/>
      <c r="ER36" s="507"/>
      <c r="ES36" s="507"/>
      <c r="ET36" s="507"/>
      <c r="EU36" s="507"/>
      <c r="EV36" s="507"/>
      <c r="EW36" s="507"/>
      <c r="EX36" s="507"/>
      <c r="EY36" s="507"/>
      <c r="EZ36" s="507"/>
      <c r="FA36" s="507"/>
      <c r="FB36" s="507"/>
      <c r="FC36" s="507"/>
      <c r="FD36" s="507"/>
      <c r="FE36" s="507"/>
      <c r="FF36" s="507"/>
      <c r="FG36" s="507"/>
      <c r="FH36" s="507"/>
      <c r="FI36" s="507"/>
      <c r="FJ36" s="507"/>
      <c r="FK36" s="507"/>
      <c r="FL36" s="507"/>
      <c r="FM36" s="507"/>
      <c r="FN36" s="507"/>
      <c r="FO36" s="507"/>
      <c r="FP36" s="507"/>
      <c r="FQ36" s="507"/>
      <c r="FR36" s="507"/>
      <c r="FS36" s="507"/>
      <c r="FT36" s="507"/>
      <c r="FU36" s="507"/>
      <c r="FV36" s="507"/>
      <c r="FW36" s="507"/>
      <c r="FX36" s="507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</row>
    <row r="37" spans="1:234" s="298" customFormat="1" ht="15.9" hidden="1" customHeight="1" x14ac:dyDescent="0.25">
      <c r="A37" s="522" t="s">
        <v>1533</v>
      </c>
      <c r="B37" s="523" t="s">
        <v>1399</v>
      </c>
      <c r="C37" s="524" t="s">
        <v>452</v>
      </c>
      <c r="D37" s="570" t="s">
        <v>828</v>
      </c>
      <c r="E37" s="569" t="s">
        <v>3228</v>
      </c>
      <c r="F37" s="543">
        <v>38310</v>
      </c>
      <c r="G37" s="544">
        <v>38201</v>
      </c>
      <c r="H37" s="562">
        <v>38303</v>
      </c>
      <c r="I37" s="546">
        <v>39903</v>
      </c>
      <c r="J37" s="547">
        <v>10</v>
      </c>
      <c r="K37" s="548">
        <v>-0.03</v>
      </c>
      <c r="L37" s="549">
        <v>7.0000000000000007E-2</v>
      </c>
      <c r="M37" s="550">
        <v>0.06</v>
      </c>
      <c r="N37" s="560" t="s">
        <v>3229</v>
      </c>
      <c r="O37" s="552" t="s">
        <v>3229</v>
      </c>
      <c r="P37" s="552" t="s">
        <v>3229</v>
      </c>
      <c r="Q37" s="552" t="s">
        <v>3229</v>
      </c>
      <c r="R37" s="552" t="s">
        <v>3229</v>
      </c>
      <c r="S37" s="567">
        <v>4</v>
      </c>
      <c r="T37" s="555">
        <v>38657</v>
      </c>
      <c r="U37" s="555">
        <v>39022</v>
      </c>
      <c r="V37" s="555">
        <v>39387</v>
      </c>
      <c r="W37" s="555">
        <v>39873</v>
      </c>
      <c r="X37" s="555" t="s">
        <v>3229</v>
      </c>
      <c r="Y37" s="555" t="s">
        <v>3229</v>
      </c>
      <c r="Z37" s="555" t="s">
        <v>3229</v>
      </c>
      <c r="AA37" s="555" t="s">
        <v>3229</v>
      </c>
      <c r="AB37" s="555" t="s">
        <v>3229</v>
      </c>
      <c r="AC37" s="555" t="s">
        <v>3229</v>
      </c>
      <c r="AD37" s="555" t="s">
        <v>3229</v>
      </c>
      <c r="AE37" s="556" t="s">
        <v>3229</v>
      </c>
      <c r="AF37" s="3782" t="s">
        <v>781</v>
      </c>
      <c r="AG37" s="3765"/>
      <c r="AH37" s="622">
        <v>0.5</v>
      </c>
      <c r="AI37" s="622">
        <v>0.5</v>
      </c>
      <c r="AJ37" s="622" t="s">
        <v>3229</v>
      </c>
      <c r="AK37" s="622" t="s">
        <v>3229</v>
      </c>
      <c r="AL37" s="622" t="s">
        <v>3229</v>
      </c>
      <c r="AM37" s="590" t="s">
        <v>3229</v>
      </c>
      <c r="AN37" s="576">
        <v>0.18000000000000002</v>
      </c>
      <c r="AO37" s="625">
        <v>11.8</v>
      </c>
      <c r="AP37" s="688"/>
      <c r="AQ37" s="658" t="s">
        <v>3229</v>
      </c>
      <c r="AR37" s="558">
        <f>AN37</f>
        <v>0.18000000000000002</v>
      </c>
      <c r="AS37" s="558">
        <f t="shared" si="4"/>
        <v>3.8652186707820668E-2</v>
      </c>
      <c r="AT37" s="598" t="s">
        <v>3229</v>
      </c>
      <c r="AU37" s="599" t="s">
        <v>3229</v>
      </c>
      <c r="AV37" s="558">
        <f>AN37</f>
        <v>0.18000000000000002</v>
      </c>
      <c r="AW37" s="558">
        <f t="shared" si="7"/>
        <v>3.8652186707820668E-2</v>
      </c>
      <c r="AX37" s="558"/>
      <c r="AY37" s="559"/>
      <c r="AZ37" s="642">
        <f t="shared" si="8"/>
        <v>11.799999999999999</v>
      </c>
      <c r="BA37" s="644" t="s">
        <v>3189</v>
      </c>
      <c r="BB37" s="570" t="s">
        <v>2025</v>
      </c>
      <c r="BC37" s="637" t="s">
        <v>2895</v>
      </c>
      <c r="BD37" s="3708"/>
      <c r="BE37" s="3743"/>
      <c r="BF37" s="3743"/>
      <c r="BG37" s="3708"/>
      <c r="BH37" s="3762"/>
      <c r="BI37" s="3762"/>
      <c r="BJ37" s="39"/>
      <c r="BK37" s="39"/>
      <c r="BL37" s="39"/>
      <c r="BM37" s="39"/>
      <c r="BN37" s="39"/>
      <c r="BO37" s="39"/>
      <c r="BP37" s="39"/>
      <c r="BQ37" s="39"/>
      <c r="BR37" s="39"/>
      <c r="BS37" s="507"/>
      <c r="BT37" s="507"/>
      <c r="BU37" s="507"/>
      <c r="BV37" s="507"/>
      <c r="BW37" s="507"/>
      <c r="BX37" s="507"/>
      <c r="BY37" s="507"/>
      <c r="BZ37" s="507"/>
      <c r="CA37" s="507"/>
      <c r="CB37" s="507"/>
      <c r="CC37" s="507"/>
      <c r="CD37" s="507"/>
      <c r="CE37" s="507"/>
      <c r="CF37" s="507"/>
      <c r="CG37" s="507"/>
      <c r="CH37" s="507"/>
      <c r="CI37" s="507"/>
      <c r="CJ37" s="507"/>
      <c r="CK37" s="507"/>
      <c r="CL37" s="507"/>
      <c r="CM37" s="507"/>
      <c r="CN37" s="507"/>
      <c r="CO37" s="507"/>
      <c r="CP37" s="507"/>
      <c r="CQ37" s="507"/>
      <c r="CR37" s="507"/>
      <c r="CS37" s="507"/>
      <c r="CT37" s="507"/>
      <c r="CU37" s="507"/>
      <c r="CV37" s="507"/>
      <c r="CW37" s="507"/>
      <c r="CX37" s="507"/>
      <c r="CY37" s="507"/>
      <c r="CZ37" s="507"/>
      <c r="DA37" s="507"/>
      <c r="DB37" s="507"/>
      <c r="DC37" s="507"/>
      <c r="DD37" s="507"/>
      <c r="DE37" s="507"/>
      <c r="DF37" s="507"/>
      <c r="DG37" s="507"/>
      <c r="DH37" s="507"/>
      <c r="DI37" s="507"/>
      <c r="DJ37" s="507"/>
      <c r="DK37" s="507"/>
      <c r="DL37" s="507"/>
      <c r="DM37" s="507"/>
      <c r="DN37" s="507"/>
      <c r="DO37" s="507"/>
      <c r="DP37" s="507"/>
      <c r="DQ37" s="507"/>
      <c r="DR37" s="507"/>
      <c r="DS37" s="507"/>
      <c r="DT37" s="507"/>
      <c r="DU37" s="507"/>
      <c r="DV37" s="507"/>
      <c r="DW37" s="507"/>
      <c r="DX37" s="507"/>
      <c r="DY37" s="507"/>
      <c r="DZ37" s="507"/>
      <c r="EA37" s="507"/>
      <c r="EB37" s="507"/>
      <c r="EC37" s="507"/>
      <c r="ED37" s="507"/>
      <c r="EE37" s="507"/>
      <c r="EF37" s="507"/>
      <c r="EG37" s="507"/>
      <c r="EH37" s="507"/>
      <c r="EI37" s="507"/>
      <c r="EJ37" s="507"/>
      <c r="EK37" s="507"/>
      <c r="EL37" s="507"/>
      <c r="EM37" s="507"/>
      <c r="EN37" s="507"/>
      <c r="EO37" s="507"/>
      <c r="EP37" s="507"/>
      <c r="EQ37" s="507"/>
      <c r="ER37" s="507"/>
      <c r="ES37" s="507"/>
      <c r="ET37" s="507"/>
      <c r="EU37" s="507"/>
      <c r="EV37" s="507"/>
      <c r="EW37" s="507"/>
      <c r="EX37" s="507"/>
      <c r="EY37" s="507"/>
      <c r="EZ37" s="507"/>
      <c r="FA37" s="507"/>
      <c r="FB37" s="507"/>
      <c r="FC37" s="507"/>
      <c r="FD37" s="507"/>
      <c r="FE37" s="507"/>
      <c r="FF37" s="507"/>
      <c r="FG37" s="507"/>
      <c r="FH37" s="507"/>
      <c r="FI37" s="507"/>
      <c r="FJ37" s="507"/>
      <c r="FK37" s="507"/>
      <c r="FL37" s="507"/>
      <c r="FM37" s="507"/>
      <c r="FN37" s="507"/>
      <c r="FO37" s="507"/>
      <c r="FP37" s="507"/>
      <c r="FQ37" s="507"/>
      <c r="FR37" s="507"/>
      <c r="FS37" s="507"/>
      <c r="FT37" s="507"/>
      <c r="FU37" s="507"/>
      <c r="FV37" s="507"/>
      <c r="FW37" s="507"/>
      <c r="FX37" s="507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</row>
    <row r="38" spans="1:234" s="298" customFormat="1" ht="15.9" hidden="1" customHeight="1" x14ac:dyDescent="0.25">
      <c r="A38" s="522" t="s">
        <v>836</v>
      </c>
      <c r="B38" s="523" t="s">
        <v>4133</v>
      </c>
      <c r="C38" s="524" t="s">
        <v>2028</v>
      </c>
      <c r="D38" s="570" t="s">
        <v>2237</v>
      </c>
      <c r="E38" s="569" t="s">
        <v>3228</v>
      </c>
      <c r="F38" s="543">
        <v>38322</v>
      </c>
      <c r="G38" s="544">
        <v>38257</v>
      </c>
      <c r="H38" s="562">
        <v>38315</v>
      </c>
      <c r="I38" s="546">
        <v>40724</v>
      </c>
      <c r="J38" s="547">
        <v>10000</v>
      </c>
      <c r="K38" s="548">
        <v>0</v>
      </c>
      <c r="L38" s="549">
        <v>0.06</v>
      </c>
      <c r="M38" s="550">
        <v>0.15</v>
      </c>
      <c r="N38" s="560" t="s">
        <v>3229</v>
      </c>
      <c r="O38" s="552" t="s">
        <v>3229</v>
      </c>
      <c r="P38" s="552" t="s">
        <v>3229</v>
      </c>
      <c r="Q38" s="552" t="s">
        <v>3229</v>
      </c>
      <c r="R38" s="552" t="s">
        <v>3229</v>
      </c>
      <c r="S38" s="567">
        <v>6</v>
      </c>
      <c r="T38" s="555">
        <v>38687</v>
      </c>
      <c r="U38" s="555">
        <v>39052</v>
      </c>
      <c r="V38" s="555">
        <v>39417</v>
      </c>
      <c r="W38" s="555">
        <v>39783</v>
      </c>
      <c r="X38" s="555">
        <v>40148</v>
      </c>
      <c r="Y38" s="555">
        <v>40695</v>
      </c>
      <c r="Z38" s="555" t="s">
        <v>3229</v>
      </c>
      <c r="AA38" s="555" t="s">
        <v>3229</v>
      </c>
      <c r="AB38" s="555" t="s">
        <v>3229</v>
      </c>
      <c r="AC38" s="555" t="s">
        <v>3229</v>
      </c>
      <c r="AD38" s="555" t="s">
        <v>3229</v>
      </c>
      <c r="AE38" s="556" t="s">
        <v>3229</v>
      </c>
      <c r="AF38" s="3764" t="s">
        <v>781</v>
      </c>
      <c r="AG38" s="3765"/>
      <c r="AH38" s="622">
        <v>0.5</v>
      </c>
      <c r="AI38" s="622">
        <v>0.5</v>
      </c>
      <c r="AJ38" s="622" t="s">
        <v>3229</v>
      </c>
      <c r="AK38" s="622" t="s">
        <v>3229</v>
      </c>
      <c r="AL38" s="622" t="s">
        <v>3229</v>
      </c>
      <c r="AM38" s="590" t="s">
        <v>3229</v>
      </c>
      <c r="AN38" s="576">
        <v>0.3</v>
      </c>
      <c r="AO38" s="625">
        <v>13028</v>
      </c>
      <c r="AP38" s="688" t="s">
        <v>3229</v>
      </c>
      <c r="AQ38" s="658" t="s">
        <v>3229</v>
      </c>
      <c r="AR38" s="558" t="e">
        <f>MAX(0,AF38*L38+SUM('klikací hodnoty'!F587:F598))</f>
        <v>#VALUE!</v>
      </c>
      <c r="AS38" s="558" t="e">
        <f t="shared" si="4"/>
        <v>#VALUE!</v>
      </c>
      <c r="AT38" s="598" t="e">
        <f>J38*(1+AR38)/AO38-1</f>
        <v>#VALUE!</v>
      </c>
      <c r="AU38" s="599" t="e">
        <f>POWER(1+AT38,1/AG38)-1</f>
        <v>#VALUE!</v>
      </c>
      <c r="AV38" s="558" t="e">
        <f>MAX(M38,AN38+AF38*K38)</f>
        <v>#VALUE!</v>
      </c>
      <c r="AW38" s="558" t="e">
        <f t="shared" si="7"/>
        <v>#VALUE!</v>
      </c>
      <c r="AX38" s="558" t="e">
        <f>J38*(1+AV38)/AO38-1</f>
        <v>#VALUE!</v>
      </c>
      <c r="AY38" s="559" t="e">
        <f>POWER(1+AX38,1/AG38)-1</f>
        <v>#VALUE!</v>
      </c>
      <c r="AZ38" s="642" t="e">
        <f t="shared" si="8"/>
        <v>#VALUE!</v>
      </c>
      <c r="BA38" s="644" t="s">
        <v>3151</v>
      </c>
      <c r="BB38" s="570" t="s">
        <v>2025</v>
      </c>
      <c r="BC38" s="637" t="s">
        <v>2895</v>
      </c>
      <c r="BD38" s="3708"/>
      <c r="BE38" s="3743"/>
      <c r="BF38" s="3743"/>
      <c r="BG38" s="3708"/>
      <c r="BH38" s="3762"/>
      <c r="BI38" s="3762"/>
      <c r="BJ38" s="39"/>
      <c r="BK38" s="39"/>
      <c r="BL38" s="39"/>
      <c r="BM38" s="39"/>
      <c r="BN38" s="39"/>
      <c r="BO38" s="39"/>
      <c r="BP38" s="39"/>
      <c r="BQ38" s="39"/>
      <c r="BR38" s="39"/>
      <c r="BS38" s="507"/>
      <c r="BT38" s="507"/>
      <c r="BU38" s="507"/>
      <c r="BV38" s="507"/>
      <c r="BW38" s="507"/>
      <c r="BX38" s="507"/>
      <c r="BY38" s="507"/>
      <c r="BZ38" s="507"/>
      <c r="CA38" s="507"/>
      <c r="CB38" s="507"/>
      <c r="CC38" s="507"/>
      <c r="CD38" s="507"/>
      <c r="CE38" s="507"/>
      <c r="CF38" s="507"/>
      <c r="CG38" s="507"/>
      <c r="CH38" s="507"/>
      <c r="CI38" s="507"/>
      <c r="CJ38" s="507"/>
      <c r="CK38" s="507"/>
      <c r="CL38" s="507"/>
      <c r="CM38" s="507"/>
      <c r="CN38" s="507"/>
      <c r="CO38" s="507"/>
      <c r="CP38" s="507"/>
      <c r="CQ38" s="507"/>
      <c r="CR38" s="507"/>
      <c r="CS38" s="507"/>
      <c r="CT38" s="507"/>
      <c r="CU38" s="507"/>
      <c r="CV38" s="507"/>
      <c r="CW38" s="507"/>
      <c r="CX38" s="507"/>
      <c r="CY38" s="507"/>
      <c r="CZ38" s="507"/>
      <c r="DA38" s="507"/>
      <c r="DB38" s="507"/>
      <c r="DC38" s="507"/>
      <c r="DD38" s="507"/>
      <c r="DE38" s="507"/>
      <c r="DF38" s="507"/>
      <c r="DG38" s="507"/>
      <c r="DH38" s="507"/>
      <c r="DI38" s="507"/>
      <c r="DJ38" s="507"/>
      <c r="DK38" s="507"/>
      <c r="DL38" s="507"/>
      <c r="DM38" s="507"/>
      <c r="DN38" s="507"/>
      <c r="DO38" s="507"/>
      <c r="DP38" s="507"/>
      <c r="DQ38" s="507"/>
      <c r="DR38" s="507"/>
      <c r="DS38" s="507"/>
      <c r="DT38" s="507"/>
      <c r="DU38" s="507"/>
      <c r="DV38" s="507"/>
      <c r="DW38" s="507"/>
      <c r="DX38" s="507"/>
      <c r="DY38" s="507"/>
      <c r="DZ38" s="507"/>
      <c r="EA38" s="507"/>
      <c r="EB38" s="507"/>
      <c r="EC38" s="507"/>
      <c r="ED38" s="507"/>
      <c r="EE38" s="507"/>
      <c r="EF38" s="507"/>
      <c r="EG38" s="507"/>
      <c r="EH38" s="507"/>
      <c r="EI38" s="507"/>
      <c r="EJ38" s="507"/>
      <c r="EK38" s="507"/>
      <c r="EL38" s="507"/>
      <c r="EM38" s="507"/>
      <c r="EN38" s="507"/>
      <c r="EO38" s="507"/>
      <c r="EP38" s="507"/>
      <c r="EQ38" s="507"/>
      <c r="ER38" s="507"/>
      <c r="ES38" s="507"/>
      <c r="ET38" s="507"/>
      <c r="EU38" s="507"/>
      <c r="EV38" s="507"/>
      <c r="EW38" s="507"/>
      <c r="EX38" s="507"/>
      <c r="EY38" s="507"/>
      <c r="EZ38" s="507"/>
      <c r="FA38" s="507"/>
      <c r="FB38" s="507"/>
      <c r="FC38" s="507"/>
      <c r="FD38" s="507"/>
      <c r="FE38" s="507"/>
      <c r="FF38" s="507"/>
      <c r="FG38" s="507"/>
      <c r="FH38" s="507"/>
      <c r="FI38" s="507"/>
      <c r="FJ38" s="507"/>
      <c r="FK38" s="507"/>
      <c r="FL38" s="507"/>
      <c r="FM38" s="507"/>
      <c r="FN38" s="507"/>
      <c r="FO38" s="507"/>
      <c r="FP38" s="507"/>
      <c r="FQ38" s="507"/>
      <c r="FR38" s="507"/>
      <c r="FS38" s="507"/>
      <c r="FT38" s="507"/>
      <c r="FU38" s="507"/>
      <c r="FV38" s="507"/>
      <c r="FW38" s="507"/>
      <c r="FX38" s="507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</row>
    <row r="39" spans="1:234" s="232" customFormat="1" ht="15.9" hidden="1" customHeight="1" x14ac:dyDescent="0.25">
      <c r="A39" s="522" t="s">
        <v>2522</v>
      </c>
      <c r="B39" s="523" t="s">
        <v>4134</v>
      </c>
      <c r="C39" s="524" t="s">
        <v>2030</v>
      </c>
      <c r="D39" s="570" t="s">
        <v>189</v>
      </c>
      <c r="E39" s="569" t="s">
        <v>3228</v>
      </c>
      <c r="F39" s="543">
        <v>38328</v>
      </c>
      <c r="G39" s="544">
        <v>38272</v>
      </c>
      <c r="H39" s="562">
        <v>38321</v>
      </c>
      <c r="I39" s="546">
        <v>39812</v>
      </c>
      <c r="J39" s="547">
        <v>10000</v>
      </c>
      <c r="K39" s="553" t="s">
        <v>3229</v>
      </c>
      <c r="L39" s="552" t="s">
        <v>3229</v>
      </c>
      <c r="M39" s="560">
        <f>Q39+Q39/R39+Q39/R39/R39+Q39/R39/R39/R39</f>
        <v>9.1481481481481469E-2</v>
      </c>
      <c r="N39" s="560" t="s">
        <v>3229</v>
      </c>
      <c r="O39" s="552" t="s">
        <v>3229</v>
      </c>
      <c r="P39" s="552" t="s">
        <v>3229</v>
      </c>
      <c r="Q39" s="549">
        <v>3.7999999999999999E-2</v>
      </c>
      <c r="R39" s="571">
        <v>1.5</v>
      </c>
      <c r="S39" s="567">
        <v>4</v>
      </c>
      <c r="T39" s="555">
        <v>38657</v>
      </c>
      <c r="U39" s="555">
        <v>39022</v>
      </c>
      <c r="V39" s="555">
        <v>39387</v>
      </c>
      <c r="W39" s="555">
        <v>39753</v>
      </c>
      <c r="X39" s="555" t="s">
        <v>3229</v>
      </c>
      <c r="Y39" s="555" t="s">
        <v>3229</v>
      </c>
      <c r="Z39" s="555" t="s">
        <v>3229</v>
      </c>
      <c r="AA39" s="555" t="s">
        <v>3229</v>
      </c>
      <c r="AB39" s="555" t="s">
        <v>3229</v>
      </c>
      <c r="AC39" s="555" t="s">
        <v>3229</v>
      </c>
      <c r="AD39" s="555" t="s">
        <v>3229</v>
      </c>
      <c r="AE39" s="556" t="s">
        <v>3229</v>
      </c>
      <c r="AF39" s="3782" t="s">
        <v>781</v>
      </c>
      <c r="AG39" s="3783"/>
      <c r="AH39" s="622" t="s">
        <v>3229</v>
      </c>
      <c r="AI39" s="622" t="s">
        <v>3229</v>
      </c>
      <c r="AJ39" s="622" t="s">
        <v>3229</v>
      </c>
      <c r="AK39" s="622" t="s">
        <v>3229</v>
      </c>
      <c r="AL39" s="622" t="s">
        <v>3229</v>
      </c>
      <c r="AM39" s="590">
        <v>1</v>
      </c>
      <c r="AN39" s="576">
        <v>9.1481481481481469E-2</v>
      </c>
      <c r="AO39" s="625">
        <v>10915</v>
      </c>
      <c r="AP39" s="688"/>
      <c r="AQ39" s="658" t="s">
        <v>3229</v>
      </c>
      <c r="AR39" s="558">
        <f>AO39/10000-1</f>
        <v>9.1499999999999915E-2</v>
      </c>
      <c r="AS39" s="558">
        <f t="shared" si="4"/>
        <v>2.1767771795108359E-2</v>
      </c>
      <c r="AT39" s="650" t="s">
        <v>3229</v>
      </c>
      <c r="AU39" s="599" t="s">
        <v>3229</v>
      </c>
      <c r="AV39" s="558">
        <f>Q39+Q39/R39+Q39/R39/R39+Q39/R39/R39/R39</f>
        <v>9.1481481481481469E-2</v>
      </c>
      <c r="AW39" s="558">
        <f t="shared" si="7"/>
        <v>2.1763507998872056E-2</v>
      </c>
      <c r="AX39" s="558"/>
      <c r="AY39" s="559"/>
      <c r="AZ39" s="642">
        <f t="shared" si="8"/>
        <v>10914.814814814816</v>
      </c>
      <c r="BA39" s="644" t="s">
        <v>274</v>
      </c>
      <c r="BB39" s="570" t="s">
        <v>2496</v>
      </c>
      <c r="BC39" s="637" t="s">
        <v>2895</v>
      </c>
      <c r="BD39" s="3709">
        <f>'klikací hodnoty'!H630</f>
        <v>9.1481481481481469E-2</v>
      </c>
      <c r="BE39" s="3743"/>
      <c r="BF39" s="3743"/>
      <c r="BG39" s="3708"/>
      <c r="BH39" s="3762"/>
      <c r="BI39" s="3762"/>
      <c r="BJ39" s="39"/>
      <c r="BK39" s="39"/>
      <c r="BL39" s="39"/>
      <c r="BM39" s="39"/>
      <c r="BN39" s="39"/>
      <c r="BO39" s="39"/>
      <c r="BP39" s="39"/>
      <c r="BQ39" s="39"/>
      <c r="BR39" s="39"/>
      <c r="BS39" s="507"/>
      <c r="BT39" s="507"/>
      <c r="BU39" s="507"/>
      <c r="BV39" s="507"/>
      <c r="BW39" s="507"/>
      <c r="BX39" s="507"/>
      <c r="BY39" s="507"/>
      <c r="BZ39" s="507"/>
      <c r="CA39" s="507"/>
      <c r="CB39" s="507"/>
      <c r="CC39" s="507"/>
      <c r="CD39" s="507"/>
      <c r="CE39" s="507"/>
      <c r="CF39" s="507"/>
      <c r="CG39" s="507"/>
      <c r="CH39" s="507"/>
      <c r="CI39" s="507"/>
      <c r="CJ39" s="507"/>
      <c r="CK39" s="507"/>
      <c r="CL39" s="507"/>
      <c r="CM39" s="507"/>
      <c r="CN39" s="507"/>
      <c r="CO39" s="507"/>
      <c r="CP39" s="507"/>
      <c r="CQ39" s="507"/>
      <c r="CR39" s="507"/>
      <c r="CS39" s="507"/>
      <c r="CT39" s="507"/>
      <c r="CU39" s="507"/>
      <c r="CV39" s="507"/>
      <c r="CW39" s="507"/>
      <c r="CX39" s="507"/>
      <c r="CY39" s="507"/>
      <c r="CZ39" s="507"/>
      <c r="DA39" s="507"/>
      <c r="DB39" s="507"/>
      <c r="DC39" s="507"/>
      <c r="DD39" s="507"/>
      <c r="DE39" s="507"/>
      <c r="DF39" s="507"/>
      <c r="DG39" s="507"/>
      <c r="DH39" s="507"/>
      <c r="DI39" s="507"/>
      <c r="DJ39" s="507"/>
      <c r="DK39" s="507"/>
      <c r="DL39" s="507"/>
      <c r="DM39" s="507"/>
      <c r="DN39" s="507"/>
      <c r="DO39" s="507"/>
      <c r="DP39" s="507"/>
      <c r="DQ39" s="507"/>
      <c r="DR39" s="507"/>
      <c r="DS39" s="507"/>
      <c r="DT39" s="507"/>
      <c r="DU39" s="507"/>
      <c r="DV39" s="507"/>
      <c r="DW39" s="507"/>
      <c r="DX39" s="507"/>
      <c r="DY39" s="507"/>
      <c r="DZ39" s="507"/>
      <c r="EA39" s="507"/>
      <c r="EB39" s="507"/>
      <c r="EC39" s="507"/>
      <c r="ED39" s="507"/>
      <c r="EE39" s="507"/>
      <c r="EF39" s="507"/>
      <c r="EG39" s="507"/>
      <c r="EH39" s="507"/>
      <c r="EI39" s="507"/>
      <c r="EJ39" s="507"/>
      <c r="EK39" s="507"/>
      <c r="EL39" s="507"/>
      <c r="EM39" s="507"/>
      <c r="EN39" s="507"/>
      <c r="EO39" s="507"/>
      <c r="EP39" s="507"/>
      <c r="EQ39" s="507"/>
      <c r="ER39" s="507"/>
      <c r="ES39" s="507"/>
      <c r="ET39" s="507"/>
      <c r="EU39" s="507"/>
      <c r="EV39" s="507"/>
      <c r="EW39" s="507"/>
      <c r="EX39" s="507"/>
      <c r="EY39" s="507"/>
      <c r="EZ39" s="507"/>
      <c r="FA39" s="507"/>
      <c r="FB39" s="507"/>
      <c r="FC39" s="507"/>
      <c r="FD39" s="507"/>
      <c r="FE39" s="507"/>
      <c r="FF39" s="507"/>
      <c r="FG39" s="507"/>
      <c r="FH39" s="507"/>
      <c r="FI39" s="507"/>
      <c r="FJ39" s="507"/>
      <c r="FK39" s="507"/>
      <c r="FL39" s="507"/>
      <c r="FM39" s="507"/>
      <c r="FN39" s="507"/>
      <c r="FO39" s="507"/>
      <c r="FP39" s="507"/>
      <c r="FQ39" s="507"/>
      <c r="FR39" s="507"/>
      <c r="FS39" s="507"/>
      <c r="FT39" s="507"/>
      <c r="FU39" s="507"/>
      <c r="FV39" s="507"/>
      <c r="FW39" s="507"/>
      <c r="FX39" s="507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</row>
    <row r="40" spans="1:234" s="298" customFormat="1" ht="15.9" hidden="1" customHeight="1" x14ac:dyDescent="0.25">
      <c r="A40" s="522" t="s">
        <v>1101</v>
      </c>
      <c r="B40" s="523" t="s">
        <v>1624</v>
      </c>
      <c r="C40" s="524" t="s">
        <v>2032</v>
      </c>
      <c r="D40" s="570" t="s">
        <v>4383</v>
      </c>
      <c r="E40" s="569" t="s">
        <v>3228</v>
      </c>
      <c r="F40" s="543">
        <v>38359</v>
      </c>
      <c r="G40" s="544">
        <v>38264</v>
      </c>
      <c r="H40" s="562">
        <v>38352</v>
      </c>
      <c r="I40" s="546">
        <v>39843</v>
      </c>
      <c r="J40" s="547">
        <v>10</v>
      </c>
      <c r="K40" s="553" t="s">
        <v>3229</v>
      </c>
      <c r="L40" s="552" t="s">
        <v>3229</v>
      </c>
      <c r="M40" s="550">
        <v>0.02</v>
      </c>
      <c r="N40" s="560">
        <v>0.68</v>
      </c>
      <c r="O40" s="552" t="s">
        <v>3229</v>
      </c>
      <c r="P40" s="552" t="s">
        <v>3229</v>
      </c>
      <c r="Q40" s="552" t="s">
        <v>3229</v>
      </c>
      <c r="R40" s="552" t="s">
        <v>3229</v>
      </c>
      <c r="S40" s="567"/>
      <c r="T40" s="555">
        <v>39448</v>
      </c>
      <c r="U40" s="555">
        <v>39479</v>
      </c>
      <c r="V40" s="555">
        <v>39508</v>
      </c>
      <c r="W40" s="555">
        <v>39539</v>
      </c>
      <c r="X40" s="555">
        <v>39569</v>
      </c>
      <c r="Y40" s="555">
        <v>39600</v>
      </c>
      <c r="Z40" s="555">
        <v>39630</v>
      </c>
      <c r="AA40" s="555">
        <v>39661</v>
      </c>
      <c r="AB40" s="555">
        <v>39692</v>
      </c>
      <c r="AC40" s="555">
        <v>39722</v>
      </c>
      <c r="AD40" s="555">
        <v>39753</v>
      </c>
      <c r="AE40" s="555">
        <v>39783</v>
      </c>
      <c r="AF40" s="3782" t="s">
        <v>781</v>
      </c>
      <c r="AG40" s="3765"/>
      <c r="AH40" s="622" t="s">
        <v>3229</v>
      </c>
      <c r="AI40" s="622" t="s">
        <v>3229</v>
      </c>
      <c r="AJ40" s="622" t="s">
        <v>3229</v>
      </c>
      <c r="AK40" s="622" t="s">
        <v>3229</v>
      </c>
      <c r="AL40" s="622" t="s">
        <v>3229</v>
      </c>
      <c r="AM40" s="651">
        <v>1</v>
      </c>
      <c r="AN40" s="640">
        <v>0.14651574666666664</v>
      </c>
      <c r="AO40" s="625">
        <v>11.47</v>
      </c>
      <c r="AP40" s="1369"/>
      <c r="AQ40" s="549">
        <v>-1.1902631784438648E-2</v>
      </c>
      <c r="AR40" s="558">
        <f>AO40/10-1</f>
        <v>0.14700000000000002</v>
      </c>
      <c r="AS40" s="558">
        <f t="shared" si="4"/>
        <v>3.4308353004102177E-2</v>
      </c>
      <c r="AT40" s="650" t="s">
        <v>3229</v>
      </c>
      <c r="AU40" s="599" t="s">
        <v>3229</v>
      </c>
      <c r="AV40" s="558">
        <v>0.14649999999999999</v>
      </c>
      <c r="AW40" s="558">
        <f t="shared" si="7"/>
        <v>3.4197438850064321E-2</v>
      </c>
      <c r="AX40" s="553" t="s">
        <v>3229</v>
      </c>
      <c r="AY40" s="552" t="s">
        <v>3229</v>
      </c>
      <c r="AZ40" s="642">
        <f t="shared" si="8"/>
        <v>11.465</v>
      </c>
      <c r="BA40" s="643" t="s">
        <v>275</v>
      </c>
      <c r="BB40" s="568"/>
      <c r="BC40" s="641"/>
      <c r="BD40" s="3708"/>
      <c r="BE40" s="3743"/>
      <c r="BF40" s="3743"/>
      <c r="BG40" s="3708"/>
      <c r="BH40" s="3762"/>
      <c r="BI40" s="3762"/>
      <c r="BJ40" s="39"/>
      <c r="BK40" s="39"/>
      <c r="BL40" s="39"/>
      <c r="BM40" s="39"/>
      <c r="BN40" s="39"/>
      <c r="BO40" s="39"/>
      <c r="BP40" s="39"/>
      <c r="BQ40" s="39"/>
      <c r="BR40" s="39"/>
      <c r="BS40" s="507"/>
      <c r="BT40" s="507"/>
      <c r="BU40" s="507"/>
      <c r="BV40" s="507"/>
      <c r="BW40" s="507"/>
      <c r="BX40" s="507"/>
      <c r="BY40" s="507"/>
      <c r="BZ40" s="507"/>
      <c r="CA40" s="507"/>
      <c r="CB40" s="507"/>
      <c r="CC40" s="507"/>
      <c r="CD40" s="507"/>
      <c r="CE40" s="507"/>
      <c r="CF40" s="507"/>
      <c r="CG40" s="507"/>
      <c r="CH40" s="507"/>
      <c r="CI40" s="507"/>
      <c r="CJ40" s="507"/>
      <c r="CK40" s="507"/>
      <c r="CL40" s="507"/>
      <c r="CM40" s="507"/>
      <c r="CN40" s="507"/>
      <c r="CO40" s="507"/>
      <c r="CP40" s="507"/>
      <c r="CQ40" s="507"/>
      <c r="CR40" s="507"/>
      <c r="CS40" s="507"/>
      <c r="CT40" s="507"/>
      <c r="CU40" s="507"/>
      <c r="CV40" s="507"/>
      <c r="CW40" s="507"/>
      <c r="CX40" s="507"/>
      <c r="CY40" s="507"/>
      <c r="CZ40" s="507"/>
      <c r="DA40" s="507"/>
      <c r="DB40" s="507"/>
      <c r="DC40" s="507"/>
      <c r="DD40" s="507"/>
      <c r="DE40" s="507"/>
      <c r="DF40" s="507"/>
      <c r="DG40" s="507"/>
      <c r="DH40" s="507"/>
      <c r="DI40" s="507"/>
      <c r="DJ40" s="507"/>
      <c r="DK40" s="507"/>
      <c r="DL40" s="507"/>
      <c r="DM40" s="507"/>
      <c r="DN40" s="507"/>
      <c r="DO40" s="507"/>
      <c r="DP40" s="507"/>
      <c r="DQ40" s="507"/>
      <c r="DR40" s="507"/>
      <c r="DS40" s="507"/>
      <c r="DT40" s="507"/>
      <c r="DU40" s="507"/>
      <c r="DV40" s="507"/>
      <c r="DW40" s="507"/>
      <c r="DX40" s="507"/>
      <c r="DY40" s="507"/>
      <c r="DZ40" s="507"/>
      <c r="EA40" s="507"/>
      <c r="EB40" s="507"/>
      <c r="EC40" s="507"/>
      <c r="ED40" s="507"/>
      <c r="EE40" s="507"/>
      <c r="EF40" s="507"/>
      <c r="EG40" s="507"/>
      <c r="EH40" s="507"/>
      <c r="EI40" s="507"/>
      <c r="EJ40" s="507"/>
      <c r="EK40" s="507"/>
      <c r="EL40" s="507"/>
      <c r="EM40" s="507"/>
      <c r="EN40" s="507"/>
      <c r="EO40" s="507"/>
      <c r="EP40" s="507"/>
      <c r="EQ40" s="507"/>
      <c r="ER40" s="507"/>
      <c r="ES40" s="507"/>
      <c r="ET40" s="507"/>
      <c r="EU40" s="507"/>
      <c r="EV40" s="507"/>
      <c r="EW40" s="507"/>
      <c r="EX40" s="507"/>
      <c r="EY40" s="507"/>
      <c r="EZ40" s="507"/>
      <c r="FA40" s="507"/>
      <c r="FB40" s="507"/>
      <c r="FC40" s="507"/>
      <c r="FD40" s="507"/>
      <c r="FE40" s="507"/>
      <c r="FF40" s="507"/>
      <c r="FG40" s="507"/>
      <c r="FH40" s="507"/>
      <c r="FI40" s="507"/>
      <c r="FJ40" s="507"/>
      <c r="FK40" s="507"/>
      <c r="FL40" s="507"/>
      <c r="FM40" s="507"/>
      <c r="FN40" s="507"/>
      <c r="FO40" s="507"/>
      <c r="FP40" s="507"/>
      <c r="FQ40" s="507"/>
      <c r="FR40" s="507"/>
      <c r="FS40" s="507"/>
      <c r="FT40" s="507"/>
      <c r="FU40" s="507"/>
      <c r="FV40" s="507"/>
      <c r="FW40" s="507"/>
      <c r="FX40" s="507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</row>
    <row r="41" spans="1:234" s="206" customFormat="1" ht="15.9" hidden="1" customHeight="1" x14ac:dyDescent="0.25">
      <c r="A41" s="522" t="s">
        <v>1741</v>
      </c>
      <c r="B41" s="523" t="s">
        <v>1612</v>
      </c>
      <c r="C41" s="524" t="s">
        <v>2031</v>
      </c>
      <c r="D41" s="570" t="s">
        <v>4383</v>
      </c>
      <c r="E41" s="569" t="s">
        <v>3228</v>
      </c>
      <c r="F41" s="543">
        <v>38359</v>
      </c>
      <c r="G41" s="544">
        <v>38272</v>
      </c>
      <c r="H41" s="562">
        <v>38352</v>
      </c>
      <c r="I41" s="546">
        <v>40574</v>
      </c>
      <c r="J41" s="547">
        <v>10</v>
      </c>
      <c r="K41" s="553" t="s">
        <v>3229</v>
      </c>
      <c r="L41" s="552" t="s">
        <v>3229</v>
      </c>
      <c r="M41" s="560">
        <v>0.12609999999999999</v>
      </c>
      <c r="N41" s="560" t="s">
        <v>3229</v>
      </c>
      <c r="O41" s="552" t="s">
        <v>3229</v>
      </c>
      <c r="P41" s="552" t="s">
        <v>3229</v>
      </c>
      <c r="Q41" s="549">
        <v>4.5999999999999999E-2</v>
      </c>
      <c r="R41" s="572">
        <v>1.5</v>
      </c>
      <c r="S41" s="567">
        <v>6</v>
      </c>
      <c r="T41" s="555">
        <v>38687</v>
      </c>
      <c r="U41" s="555">
        <v>39052</v>
      </c>
      <c r="V41" s="555">
        <v>39417</v>
      </c>
      <c r="W41" s="555">
        <v>39783</v>
      </c>
      <c r="X41" s="555">
        <v>40148</v>
      </c>
      <c r="Y41" s="555">
        <v>40513</v>
      </c>
      <c r="Z41" s="555" t="s">
        <v>3229</v>
      </c>
      <c r="AA41" s="555" t="s">
        <v>3229</v>
      </c>
      <c r="AB41" s="555" t="s">
        <v>3229</v>
      </c>
      <c r="AC41" s="555" t="s">
        <v>3229</v>
      </c>
      <c r="AD41" s="555" t="s">
        <v>3229</v>
      </c>
      <c r="AE41" s="556" t="s">
        <v>3229</v>
      </c>
      <c r="AF41" s="3782" t="s">
        <v>781</v>
      </c>
      <c r="AG41" s="3765"/>
      <c r="AH41" s="622" t="s">
        <v>3229</v>
      </c>
      <c r="AI41" s="622" t="s">
        <v>3229</v>
      </c>
      <c r="AJ41" s="622" t="s">
        <v>3229</v>
      </c>
      <c r="AK41" s="622" t="s">
        <v>3229</v>
      </c>
      <c r="AL41" s="622" t="s">
        <v>3229</v>
      </c>
      <c r="AM41" s="590">
        <v>1</v>
      </c>
      <c r="AN41" s="576">
        <v>0.12588477366255144</v>
      </c>
      <c r="AO41" s="625">
        <v>11.35</v>
      </c>
      <c r="AP41" s="1368" t="s">
        <v>3229</v>
      </c>
      <c r="AQ41" s="658" t="s">
        <v>3229</v>
      </c>
      <c r="AR41" s="558">
        <f>AO41/10-1</f>
        <v>0.13500000000000001</v>
      </c>
      <c r="AS41" s="558">
        <f t="shared" si="4"/>
        <v>2.1086474434133029E-2</v>
      </c>
      <c r="AT41" s="589"/>
      <c r="AU41" s="559"/>
      <c r="AV41" s="558">
        <f>AO41/10-1</f>
        <v>0.13500000000000001</v>
      </c>
      <c r="AW41" s="558">
        <f t="shared" si="7"/>
        <v>2.1086474434133029E-2</v>
      </c>
      <c r="AX41" s="558"/>
      <c r="AY41" s="559"/>
      <c r="AZ41" s="642">
        <f t="shared" si="8"/>
        <v>11.35</v>
      </c>
      <c r="BA41" s="644" t="s">
        <v>274</v>
      </c>
      <c r="BB41" s="570" t="s">
        <v>2496</v>
      </c>
      <c r="BC41" s="637" t="s">
        <v>2895</v>
      </c>
      <c r="BD41" s="3709">
        <f>'klikací hodnoty'!H714</f>
        <v>0.12588477366255144</v>
      </c>
      <c r="BE41" s="3743"/>
      <c r="BF41" s="3743"/>
      <c r="BG41" s="3708"/>
      <c r="BH41" s="3762"/>
      <c r="BI41" s="3762"/>
      <c r="BJ41" s="39"/>
      <c r="BK41" s="39"/>
      <c r="BL41" s="39"/>
      <c r="BM41" s="39"/>
      <c r="BN41" s="39"/>
      <c r="BO41" s="39"/>
      <c r="BP41" s="39"/>
      <c r="BQ41" s="39"/>
      <c r="BR41" s="39"/>
      <c r="BS41" s="507"/>
      <c r="BT41" s="507"/>
      <c r="BU41" s="507"/>
      <c r="BV41" s="507"/>
      <c r="BW41" s="507"/>
      <c r="BX41" s="507"/>
      <c r="BY41" s="507"/>
      <c r="BZ41" s="507"/>
      <c r="CA41" s="507"/>
      <c r="CB41" s="507"/>
      <c r="CC41" s="507"/>
      <c r="CD41" s="507"/>
      <c r="CE41" s="507"/>
      <c r="CF41" s="507"/>
      <c r="CG41" s="507"/>
      <c r="CH41" s="507"/>
      <c r="CI41" s="507"/>
      <c r="CJ41" s="507"/>
      <c r="CK41" s="507"/>
      <c r="CL41" s="507"/>
      <c r="CM41" s="507"/>
      <c r="CN41" s="507"/>
      <c r="CO41" s="507"/>
      <c r="CP41" s="507"/>
      <c r="CQ41" s="507"/>
      <c r="CR41" s="507"/>
      <c r="CS41" s="507"/>
      <c r="CT41" s="507"/>
      <c r="CU41" s="507"/>
      <c r="CV41" s="507"/>
      <c r="CW41" s="507"/>
      <c r="CX41" s="507"/>
      <c r="CY41" s="507"/>
      <c r="CZ41" s="507"/>
      <c r="DA41" s="507"/>
      <c r="DB41" s="507"/>
      <c r="DC41" s="507"/>
      <c r="DD41" s="507"/>
      <c r="DE41" s="507"/>
      <c r="DF41" s="507"/>
      <c r="DG41" s="507"/>
      <c r="DH41" s="507"/>
      <c r="DI41" s="507"/>
      <c r="DJ41" s="507"/>
      <c r="DK41" s="507"/>
      <c r="DL41" s="507"/>
      <c r="DM41" s="507"/>
      <c r="DN41" s="507"/>
      <c r="DO41" s="507"/>
      <c r="DP41" s="507"/>
      <c r="DQ41" s="507"/>
      <c r="DR41" s="507"/>
      <c r="DS41" s="507"/>
      <c r="DT41" s="507"/>
      <c r="DU41" s="507"/>
      <c r="DV41" s="507"/>
      <c r="DW41" s="507"/>
      <c r="DX41" s="507"/>
      <c r="DY41" s="507"/>
      <c r="DZ41" s="507"/>
      <c r="EA41" s="507"/>
      <c r="EB41" s="507"/>
      <c r="EC41" s="507"/>
      <c r="ED41" s="507"/>
      <c r="EE41" s="507"/>
      <c r="EF41" s="507"/>
      <c r="EG41" s="507"/>
      <c r="EH41" s="507"/>
      <c r="EI41" s="507"/>
      <c r="EJ41" s="507"/>
      <c r="EK41" s="507"/>
      <c r="EL41" s="507"/>
      <c r="EM41" s="507"/>
      <c r="EN41" s="507"/>
      <c r="EO41" s="507"/>
      <c r="EP41" s="507"/>
      <c r="EQ41" s="507"/>
      <c r="ER41" s="507"/>
      <c r="ES41" s="507"/>
      <c r="ET41" s="507"/>
      <c r="EU41" s="507"/>
      <c r="EV41" s="507"/>
      <c r="EW41" s="507"/>
      <c r="EX41" s="507"/>
      <c r="EY41" s="507"/>
      <c r="EZ41" s="507"/>
      <c r="FA41" s="507"/>
      <c r="FB41" s="507"/>
      <c r="FC41" s="507"/>
      <c r="FD41" s="507"/>
      <c r="FE41" s="507"/>
      <c r="FF41" s="507"/>
      <c r="FG41" s="507"/>
      <c r="FH41" s="507"/>
      <c r="FI41" s="507"/>
      <c r="FJ41" s="507"/>
      <c r="FK41" s="507"/>
      <c r="FL41" s="507"/>
      <c r="FM41" s="507"/>
      <c r="FN41" s="507"/>
      <c r="FO41" s="507"/>
      <c r="FP41" s="507"/>
      <c r="FQ41" s="507"/>
      <c r="FR41" s="507"/>
      <c r="FS41" s="507"/>
      <c r="FT41" s="507"/>
      <c r="FU41" s="507"/>
      <c r="FV41" s="507"/>
      <c r="FW41" s="507"/>
      <c r="FX41" s="507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</row>
    <row r="42" spans="1:234" s="232" customFormat="1" ht="15.9" hidden="1" customHeight="1" x14ac:dyDescent="0.25">
      <c r="A42" s="522" t="s">
        <v>1000</v>
      </c>
      <c r="B42" s="479" t="s">
        <v>1613</v>
      </c>
      <c r="C42" s="524" t="s">
        <v>2035</v>
      </c>
      <c r="D42" s="570" t="s">
        <v>781</v>
      </c>
      <c r="E42" s="569" t="s">
        <v>3228</v>
      </c>
      <c r="F42" s="543">
        <v>38373</v>
      </c>
      <c r="G42" s="544">
        <v>38313</v>
      </c>
      <c r="H42" s="562">
        <v>38366</v>
      </c>
      <c r="I42" s="546">
        <v>39507</v>
      </c>
      <c r="J42" s="547">
        <v>10000</v>
      </c>
      <c r="K42" s="553" t="s">
        <v>3229</v>
      </c>
      <c r="L42" s="552" t="s">
        <v>3229</v>
      </c>
      <c r="M42" s="560">
        <v>0</v>
      </c>
      <c r="N42" s="560" t="s">
        <v>3229</v>
      </c>
      <c r="O42" s="552" t="s">
        <v>3229</v>
      </c>
      <c r="P42" s="549">
        <v>0.49</v>
      </c>
      <c r="Q42" s="552" t="s">
        <v>3229</v>
      </c>
      <c r="R42" s="552" t="s">
        <v>3229</v>
      </c>
      <c r="S42" s="567"/>
      <c r="T42" s="3777" t="s">
        <v>250</v>
      </c>
      <c r="U42" s="3777"/>
      <c r="V42" s="3777"/>
      <c r="W42" s="3777"/>
      <c r="X42" s="3777"/>
      <c r="Y42" s="3777"/>
      <c r="Z42" s="3777"/>
      <c r="AA42" s="3777"/>
      <c r="AB42" s="3777"/>
      <c r="AC42" s="3777"/>
      <c r="AD42" s="3777"/>
      <c r="AE42" s="3778"/>
      <c r="AF42" s="3782" t="s">
        <v>781</v>
      </c>
      <c r="AG42" s="3765"/>
      <c r="AH42" s="622">
        <v>1</v>
      </c>
      <c r="AI42" s="622" t="s">
        <v>3229</v>
      </c>
      <c r="AJ42" s="622" t="s">
        <v>3229</v>
      </c>
      <c r="AK42" s="622" t="s">
        <v>3229</v>
      </c>
      <c r="AL42" s="622" t="s">
        <v>3229</v>
      </c>
      <c r="AM42" s="590" t="s">
        <v>3229</v>
      </c>
      <c r="AN42" s="576">
        <v>1.4433744031050456E-2</v>
      </c>
      <c r="AO42" s="625">
        <v>10144</v>
      </c>
      <c r="AP42" s="1368"/>
      <c r="AQ42" s="658" t="s">
        <v>3229</v>
      </c>
      <c r="AR42" s="558">
        <f>AO42/10000-1</f>
        <v>1.4399999999999968E-2</v>
      </c>
      <c r="AS42" s="558">
        <f t="shared" si="4"/>
        <v>4.6124709986601342E-3</v>
      </c>
      <c r="AT42" s="650" t="s">
        <v>3229</v>
      </c>
      <c r="AU42" s="552" t="s">
        <v>3229</v>
      </c>
      <c r="AV42" s="558">
        <f>AN42</f>
        <v>1.4433744031050456E-2</v>
      </c>
      <c r="AW42" s="558">
        <f t="shared" si="7"/>
        <v>4.6232272563488941E-3</v>
      </c>
      <c r="AX42" s="553" t="s">
        <v>3229</v>
      </c>
      <c r="AY42" s="552" t="s">
        <v>3229</v>
      </c>
      <c r="AZ42" s="642"/>
      <c r="BA42" s="644" t="s">
        <v>3191</v>
      </c>
      <c r="BB42" s="570"/>
      <c r="BC42" s="637"/>
      <c r="BD42" s="3708"/>
      <c r="BE42" s="3743"/>
      <c r="BF42" s="3743"/>
      <c r="BG42" s="3708"/>
      <c r="BH42" s="3762"/>
      <c r="BI42" s="3762"/>
      <c r="BJ42" s="39"/>
      <c r="BK42" s="39"/>
      <c r="BL42" s="39"/>
      <c r="BM42" s="39"/>
      <c r="BN42" s="39"/>
      <c r="BO42" s="39"/>
      <c r="BP42" s="39"/>
      <c r="BQ42" s="39"/>
      <c r="BR42" s="39"/>
      <c r="BS42" s="507"/>
      <c r="BT42" s="507"/>
      <c r="BU42" s="507"/>
      <c r="BV42" s="507"/>
      <c r="BW42" s="507"/>
      <c r="BX42" s="507"/>
      <c r="BY42" s="507"/>
      <c r="BZ42" s="507"/>
      <c r="CA42" s="507"/>
      <c r="CB42" s="507"/>
      <c r="CC42" s="507"/>
      <c r="CD42" s="507"/>
      <c r="CE42" s="507"/>
      <c r="CF42" s="507"/>
      <c r="CG42" s="507"/>
      <c r="CH42" s="507"/>
      <c r="CI42" s="507"/>
      <c r="CJ42" s="507"/>
      <c r="CK42" s="507"/>
      <c r="CL42" s="507"/>
      <c r="CM42" s="507"/>
      <c r="CN42" s="507"/>
      <c r="CO42" s="507"/>
      <c r="CP42" s="507"/>
      <c r="CQ42" s="507"/>
      <c r="CR42" s="507"/>
      <c r="CS42" s="507"/>
      <c r="CT42" s="507"/>
      <c r="CU42" s="507"/>
      <c r="CV42" s="507"/>
      <c r="CW42" s="507"/>
      <c r="CX42" s="507"/>
      <c r="CY42" s="507"/>
      <c r="CZ42" s="507"/>
      <c r="DA42" s="507"/>
      <c r="DB42" s="507"/>
      <c r="DC42" s="507"/>
      <c r="DD42" s="507"/>
      <c r="DE42" s="507"/>
      <c r="DF42" s="507"/>
      <c r="DG42" s="507"/>
      <c r="DH42" s="507"/>
      <c r="DI42" s="507"/>
      <c r="DJ42" s="507"/>
      <c r="DK42" s="507"/>
      <c r="DL42" s="507"/>
      <c r="DM42" s="507"/>
      <c r="DN42" s="507"/>
      <c r="DO42" s="507"/>
      <c r="DP42" s="507"/>
      <c r="DQ42" s="507"/>
      <c r="DR42" s="507"/>
      <c r="DS42" s="507"/>
      <c r="DT42" s="507"/>
      <c r="DU42" s="507"/>
      <c r="DV42" s="507"/>
      <c r="DW42" s="507"/>
      <c r="DX42" s="507"/>
      <c r="DY42" s="507"/>
      <c r="DZ42" s="507"/>
      <c r="EA42" s="507"/>
      <c r="EB42" s="507"/>
      <c r="EC42" s="507"/>
      <c r="ED42" s="507"/>
      <c r="EE42" s="507"/>
      <c r="EF42" s="507"/>
      <c r="EG42" s="507"/>
      <c r="EH42" s="507"/>
      <c r="EI42" s="507"/>
      <c r="EJ42" s="507"/>
      <c r="EK42" s="507"/>
      <c r="EL42" s="507"/>
      <c r="EM42" s="507"/>
      <c r="EN42" s="507"/>
      <c r="EO42" s="507"/>
      <c r="EP42" s="507"/>
      <c r="EQ42" s="507"/>
      <c r="ER42" s="507"/>
      <c r="ES42" s="507"/>
      <c r="ET42" s="507"/>
      <c r="EU42" s="507"/>
      <c r="EV42" s="507"/>
      <c r="EW42" s="507"/>
      <c r="EX42" s="507"/>
      <c r="EY42" s="507"/>
      <c r="EZ42" s="507"/>
      <c r="FA42" s="507"/>
      <c r="FB42" s="507"/>
      <c r="FC42" s="507"/>
      <c r="FD42" s="507"/>
      <c r="FE42" s="507"/>
      <c r="FF42" s="507"/>
      <c r="FG42" s="507"/>
      <c r="FH42" s="507"/>
      <c r="FI42" s="507"/>
      <c r="FJ42" s="507"/>
      <c r="FK42" s="507"/>
      <c r="FL42" s="507"/>
      <c r="FM42" s="507"/>
      <c r="FN42" s="507"/>
      <c r="FO42" s="507"/>
      <c r="FP42" s="507"/>
      <c r="FQ42" s="507"/>
      <c r="FR42" s="507"/>
      <c r="FS42" s="507"/>
      <c r="FT42" s="507"/>
      <c r="FU42" s="507"/>
      <c r="FV42" s="507"/>
      <c r="FW42" s="507"/>
      <c r="FX42" s="507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</row>
    <row r="43" spans="1:234" s="206" customFormat="1" ht="15.9" hidden="1" customHeight="1" x14ac:dyDescent="0.25">
      <c r="A43" s="522" t="s">
        <v>290</v>
      </c>
      <c r="B43" s="523" t="s">
        <v>1614</v>
      </c>
      <c r="C43" s="524" t="s">
        <v>2034</v>
      </c>
      <c r="D43" s="570" t="s">
        <v>189</v>
      </c>
      <c r="E43" s="569" t="s">
        <v>3228</v>
      </c>
      <c r="F43" s="543">
        <v>38373</v>
      </c>
      <c r="G43" s="544">
        <v>38313</v>
      </c>
      <c r="H43" s="562">
        <v>38366</v>
      </c>
      <c r="I43" s="546">
        <v>40359</v>
      </c>
      <c r="J43" s="547">
        <v>10000</v>
      </c>
      <c r="K43" s="558">
        <v>-0.03</v>
      </c>
      <c r="L43" s="559">
        <v>6.2E-2</v>
      </c>
      <c r="M43" s="550">
        <v>0.1</v>
      </c>
      <c r="N43" s="560" t="s">
        <v>3229</v>
      </c>
      <c r="O43" s="552" t="s">
        <v>3229</v>
      </c>
      <c r="P43" s="552" t="s">
        <v>3229</v>
      </c>
      <c r="Q43" s="552" t="s">
        <v>3229</v>
      </c>
      <c r="R43" s="552" t="s">
        <v>3229</v>
      </c>
      <c r="S43" s="567">
        <v>5</v>
      </c>
      <c r="T43" s="555">
        <v>38749</v>
      </c>
      <c r="U43" s="555">
        <v>39114</v>
      </c>
      <c r="V43" s="555">
        <v>39479</v>
      </c>
      <c r="W43" s="555">
        <v>39845</v>
      </c>
      <c r="X43" s="555">
        <v>40330</v>
      </c>
      <c r="Y43" s="555" t="s">
        <v>3229</v>
      </c>
      <c r="Z43" s="555" t="s">
        <v>3229</v>
      </c>
      <c r="AA43" s="555" t="s">
        <v>3229</v>
      </c>
      <c r="AB43" s="555" t="s">
        <v>3229</v>
      </c>
      <c r="AC43" s="555" t="s">
        <v>3229</v>
      </c>
      <c r="AD43" s="555" t="s">
        <v>3229</v>
      </c>
      <c r="AE43" s="556" t="s">
        <v>3229</v>
      </c>
      <c r="AF43" s="3782" t="s">
        <v>781</v>
      </c>
      <c r="AG43" s="3765"/>
      <c r="AH43" s="622">
        <v>0.5</v>
      </c>
      <c r="AI43" s="622">
        <v>0.5</v>
      </c>
      <c r="AJ43" s="622" t="s">
        <v>3229</v>
      </c>
      <c r="AK43" s="622" t="s">
        <v>3229</v>
      </c>
      <c r="AL43" s="622" t="s">
        <v>3229</v>
      </c>
      <c r="AM43" s="590" t="s">
        <v>3229</v>
      </c>
      <c r="AN43" s="576">
        <v>0.126</v>
      </c>
      <c r="AO43" s="625">
        <v>11260</v>
      </c>
      <c r="AP43" s="1368" t="s">
        <v>3229</v>
      </c>
      <c r="AQ43" s="658" t="s">
        <v>3229</v>
      </c>
      <c r="AR43" s="558">
        <f>AN43</f>
        <v>0.126</v>
      </c>
      <c r="AS43" s="558">
        <f t="shared" si="4"/>
        <v>2.2049807333240024E-2</v>
      </c>
      <c r="AT43" s="589" t="s">
        <v>3229</v>
      </c>
      <c r="AU43" s="587" t="s">
        <v>3229</v>
      </c>
      <c r="AV43" s="558">
        <f>AN43</f>
        <v>0.126</v>
      </c>
      <c r="AW43" s="558">
        <f t="shared" si="7"/>
        <v>2.2049807333240024E-2</v>
      </c>
      <c r="AX43" s="648" t="s">
        <v>3229</v>
      </c>
      <c r="AY43" s="587" t="s">
        <v>3229</v>
      </c>
      <c r="AZ43" s="642">
        <f t="shared" ref="AZ43:AZ57" si="9">J43*(1+AV43)</f>
        <v>11259.999999999998</v>
      </c>
      <c r="BA43" s="644" t="s">
        <v>3189</v>
      </c>
      <c r="BB43" s="570" t="s">
        <v>2025</v>
      </c>
      <c r="BC43" s="637" t="s">
        <v>2895</v>
      </c>
      <c r="BD43" s="3708"/>
      <c r="BE43" s="3743"/>
      <c r="BF43" s="3743"/>
      <c r="BG43" s="3708"/>
      <c r="BH43" s="3762"/>
      <c r="BI43" s="3762"/>
      <c r="BJ43" s="39"/>
      <c r="BK43" s="39"/>
      <c r="BL43" s="39"/>
      <c r="BM43" s="39"/>
      <c r="BN43" s="39"/>
      <c r="BO43" s="39"/>
      <c r="BP43" s="39"/>
      <c r="BQ43" s="39"/>
      <c r="BR43" s="39"/>
      <c r="BS43" s="507"/>
      <c r="BT43" s="507"/>
      <c r="BU43" s="507"/>
      <c r="BV43" s="507"/>
      <c r="BW43" s="507"/>
      <c r="BX43" s="507"/>
      <c r="BY43" s="507"/>
      <c r="BZ43" s="507"/>
      <c r="CA43" s="507"/>
      <c r="CB43" s="507"/>
      <c r="CC43" s="507"/>
      <c r="CD43" s="507"/>
      <c r="CE43" s="507"/>
      <c r="CF43" s="507"/>
      <c r="CG43" s="507"/>
      <c r="CH43" s="507"/>
      <c r="CI43" s="507"/>
      <c r="CJ43" s="507"/>
      <c r="CK43" s="507"/>
      <c r="CL43" s="507"/>
      <c r="CM43" s="507"/>
      <c r="CN43" s="507"/>
      <c r="CO43" s="507"/>
      <c r="CP43" s="507"/>
      <c r="CQ43" s="507"/>
      <c r="CR43" s="507"/>
      <c r="CS43" s="507"/>
      <c r="CT43" s="507"/>
      <c r="CU43" s="507"/>
      <c r="CV43" s="507"/>
      <c r="CW43" s="507"/>
      <c r="CX43" s="507"/>
      <c r="CY43" s="507"/>
      <c r="CZ43" s="507"/>
      <c r="DA43" s="507"/>
      <c r="DB43" s="507"/>
      <c r="DC43" s="507"/>
      <c r="DD43" s="507"/>
      <c r="DE43" s="507"/>
      <c r="DF43" s="507"/>
      <c r="DG43" s="507"/>
      <c r="DH43" s="507"/>
      <c r="DI43" s="507"/>
      <c r="DJ43" s="507"/>
      <c r="DK43" s="507"/>
      <c r="DL43" s="507"/>
      <c r="DM43" s="507"/>
      <c r="DN43" s="507"/>
      <c r="DO43" s="507"/>
      <c r="DP43" s="507"/>
      <c r="DQ43" s="507"/>
      <c r="DR43" s="507"/>
      <c r="DS43" s="507"/>
      <c r="DT43" s="507"/>
      <c r="DU43" s="507"/>
      <c r="DV43" s="507"/>
      <c r="DW43" s="507"/>
      <c r="DX43" s="507"/>
      <c r="DY43" s="507"/>
      <c r="DZ43" s="507"/>
      <c r="EA43" s="507"/>
      <c r="EB43" s="507"/>
      <c r="EC43" s="507"/>
      <c r="ED43" s="507"/>
      <c r="EE43" s="507"/>
      <c r="EF43" s="507"/>
      <c r="EG43" s="507"/>
      <c r="EH43" s="507"/>
      <c r="EI43" s="507"/>
      <c r="EJ43" s="507"/>
      <c r="EK43" s="507"/>
      <c r="EL43" s="507"/>
      <c r="EM43" s="507"/>
      <c r="EN43" s="507"/>
      <c r="EO43" s="507"/>
      <c r="EP43" s="507"/>
      <c r="EQ43" s="507"/>
      <c r="ER43" s="507"/>
      <c r="ES43" s="507"/>
      <c r="ET43" s="507"/>
      <c r="EU43" s="507"/>
      <c r="EV43" s="507"/>
      <c r="EW43" s="507"/>
      <c r="EX43" s="507"/>
      <c r="EY43" s="507"/>
      <c r="EZ43" s="507"/>
      <c r="FA43" s="507"/>
      <c r="FB43" s="507"/>
      <c r="FC43" s="507"/>
      <c r="FD43" s="507"/>
      <c r="FE43" s="507"/>
      <c r="FF43" s="507"/>
      <c r="FG43" s="507"/>
      <c r="FH43" s="507"/>
      <c r="FI43" s="507"/>
      <c r="FJ43" s="507"/>
      <c r="FK43" s="507"/>
      <c r="FL43" s="507"/>
      <c r="FM43" s="507"/>
      <c r="FN43" s="507"/>
      <c r="FO43" s="507"/>
      <c r="FP43" s="507"/>
      <c r="FQ43" s="507"/>
      <c r="FR43" s="507"/>
      <c r="FS43" s="507"/>
      <c r="FT43" s="507"/>
      <c r="FU43" s="507"/>
      <c r="FV43" s="507"/>
      <c r="FW43" s="507"/>
      <c r="FX43" s="507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</row>
    <row r="44" spans="1:234" s="39" customFormat="1" ht="15.9" hidden="1" customHeight="1" x14ac:dyDescent="0.25">
      <c r="A44" s="522" t="s">
        <v>2931</v>
      </c>
      <c r="B44" s="523" t="s">
        <v>1615</v>
      </c>
      <c r="C44" s="524" t="s">
        <v>1412</v>
      </c>
      <c r="D44" s="570" t="s">
        <v>189</v>
      </c>
      <c r="E44" s="569" t="s">
        <v>1743</v>
      </c>
      <c r="F44" s="543">
        <v>38418</v>
      </c>
      <c r="G44" s="544">
        <v>38369</v>
      </c>
      <c r="H44" s="562">
        <v>38411</v>
      </c>
      <c r="I44" s="546">
        <v>40235</v>
      </c>
      <c r="J44" s="547">
        <v>1000</v>
      </c>
      <c r="K44" s="558">
        <v>-0.03</v>
      </c>
      <c r="L44" s="559">
        <v>6.5000000000000002E-2</v>
      </c>
      <c r="M44" s="550">
        <v>0.1</v>
      </c>
      <c r="N44" s="560" t="s">
        <v>3229</v>
      </c>
      <c r="O44" s="552" t="s">
        <v>3229</v>
      </c>
      <c r="P44" s="552" t="s">
        <v>3229</v>
      </c>
      <c r="Q44" s="552" t="s">
        <v>3229</v>
      </c>
      <c r="R44" s="552" t="s">
        <v>3229</v>
      </c>
      <c r="S44" s="567">
        <v>4</v>
      </c>
      <c r="T44" s="555">
        <v>38777</v>
      </c>
      <c r="U44" s="555">
        <v>39142</v>
      </c>
      <c r="V44" s="555">
        <v>39508</v>
      </c>
      <c r="W44" s="555">
        <v>39873</v>
      </c>
      <c r="X44" s="555">
        <v>40210</v>
      </c>
      <c r="Y44" s="555" t="s">
        <v>3229</v>
      </c>
      <c r="Z44" s="555" t="s">
        <v>3229</v>
      </c>
      <c r="AA44" s="555" t="s">
        <v>3229</v>
      </c>
      <c r="AB44" s="555" t="s">
        <v>3229</v>
      </c>
      <c r="AC44" s="555" t="s">
        <v>3229</v>
      </c>
      <c r="AD44" s="555" t="s">
        <v>3229</v>
      </c>
      <c r="AE44" s="556" t="s">
        <v>3229</v>
      </c>
      <c r="AF44" s="3782" t="s">
        <v>781</v>
      </c>
      <c r="AG44" s="3765"/>
      <c r="AH44" s="622">
        <v>0.5</v>
      </c>
      <c r="AI44" s="622">
        <v>0.5</v>
      </c>
      <c r="AJ44" s="622" t="s">
        <v>3229</v>
      </c>
      <c r="AK44" s="622" t="s">
        <v>3229</v>
      </c>
      <c r="AL44" s="622" t="s">
        <v>3229</v>
      </c>
      <c r="AM44" s="590" t="s">
        <v>3229</v>
      </c>
      <c r="AN44" s="576">
        <v>0.13500000000000001</v>
      </c>
      <c r="AO44" s="625">
        <v>1138.8900000000001</v>
      </c>
      <c r="AP44" s="1368" t="s">
        <v>3229</v>
      </c>
      <c r="AQ44" s="658" t="s">
        <v>3229</v>
      </c>
      <c r="AR44" s="558">
        <v>0.13500000000000001</v>
      </c>
      <c r="AS44" s="558">
        <f t="shared" si="4"/>
        <v>2.5764347327466686E-2</v>
      </c>
      <c r="AT44" s="589" t="s">
        <v>3229</v>
      </c>
      <c r="AU44" s="559" t="s">
        <v>3229</v>
      </c>
      <c r="AV44" s="558">
        <v>0.13500000000000001</v>
      </c>
      <c r="AW44" s="558">
        <f t="shared" si="7"/>
        <v>2.5764347327466686E-2</v>
      </c>
      <c r="AX44" s="558" t="s">
        <v>3229</v>
      </c>
      <c r="AY44" s="559" t="s">
        <v>3229</v>
      </c>
      <c r="AZ44" s="642">
        <f t="shared" si="9"/>
        <v>1135</v>
      </c>
      <c r="BA44" s="644" t="s">
        <v>3189</v>
      </c>
      <c r="BB44" s="570" t="s">
        <v>2025</v>
      </c>
      <c r="BC44" s="637" t="s">
        <v>2895</v>
      </c>
      <c r="BD44" s="3708"/>
      <c r="BE44" s="3743"/>
      <c r="BF44" s="3743"/>
      <c r="BG44" s="3708"/>
      <c r="BH44" s="3762"/>
      <c r="BI44" s="3762"/>
      <c r="BS44" s="507"/>
      <c r="BT44" s="507"/>
      <c r="BU44" s="507"/>
      <c r="BV44" s="507"/>
      <c r="BW44" s="507"/>
      <c r="BX44" s="507"/>
      <c r="BY44" s="507"/>
      <c r="BZ44" s="507"/>
      <c r="CA44" s="507"/>
      <c r="CB44" s="507"/>
      <c r="CC44" s="507"/>
      <c r="CD44" s="507"/>
      <c r="CE44" s="507"/>
      <c r="CF44" s="507"/>
      <c r="CG44" s="507"/>
      <c r="CH44" s="507"/>
      <c r="CI44" s="507"/>
      <c r="CJ44" s="507"/>
      <c r="CK44" s="507"/>
      <c r="CL44" s="507"/>
      <c r="CM44" s="507"/>
      <c r="CN44" s="507"/>
      <c r="CO44" s="507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7"/>
      <c r="DA44" s="507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7"/>
      <c r="DM44" s="507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7"/>
      <c r="DY44" s="507"/>
      <c r="DZ44" s="507"/>
      <c r="EA44" s="507"/>
      <c r="EB44" s="507"/>
      <c r="EC44" s="507"/>
      <c r="ED44" s="507"/>
      <c r="EE44" s="507"/>
      <c r="EF44" s="507"/>
      <c r="EG44" s="507"/>
      <c r="EH44" s="507"/>
      <c r="EI44" s="507"/>
      <c r="EJ44" s="507"/>
      <c r="EK44" s="507"/>
      <c r="EL44" s="507"/>
      <c r="EM44" s="507"/>
      <c r="EN44" s="507"/>
      <c r="EO44" s="507"/>
      <c r="EP44" s="507"/>
      <c r="EQ44" s="507"/>
      <c r="ER44" s="507"/>
      <c r="ES44" s="507"/>
      <c r="ET44" s="507"/>
      <c r="EU44" s="507"/>
      <c r="EV44" s="507"/>
      <c r="EW44" s="507"/>
      <c r="EX44" s="507"/>
      <c r="EY44" s="507"/>
      <c r="EZ44" s="507"/>
      <c r="FA44" s="507"/>
      <c r="FB44" s="507"/>
      <c r="FC44" s="507"/>
      <c r="FD44" s="507"/>
      <c r="FE44" s="507"/>
      <c r="FF44" s="507"/>
      <c r="FG44" s="507"/>
      <c r="FH44" s="507"/>
      <c r="FI44" s="507"/>
      <c r="FJ44" s="507"/>
      <c r="FK44" s="507"/>
      <c r="FL44" s="507"/>
      <c r="FM44" s="507"/>
      <c r="FN44" s="507"/>
      <c r="FO44" s="507"/>
      <c r="FP44" s="507"/>
      <c r="FQ44" s="507"/>
      <c r="FR44" s="507"/>
      <c r="FS44" s="507"/>
      <c r="FT44" s="507"/>
      <c r="FU44" s="507"/>
      <c r="FV44" s="507"/>
      <c r="FW44" s="507"/>
      <c r="FX44" s="507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</row>
    <row r="45" spans="1:234" s="232" customFormat="1" ht="15.9" hidden="1" customHeight="1" x14ac:dyDescent="0.25">
      <c r="A45" s="522" t="s">
        <v>3687</v>
      </c>
      <c r="B45" s="523" t="s">
        <v>1616</v>
      </c>
      <c r="C45" s="524" t="s">
        <v>1411</v>
      </c>
      <c r="D45" s="570" t="s">
        <v>189</v>
      </c>
      <c r="E45" s="569" t="s">
        <v>3228</v>
      </c>
      <c r="F45" s="543">
        <v>38418</v>
      </c>
      <c r="G45" s="544">
        <v>38369</v>
      </c>
      <c r="H45" s="562">
        <v>38411</v>
      </c>
      <c r="I45" s="546">
        <v>40025</v>
      </c>
      <c r="J45" s="547">
        <v>10000</v>
      </c>
      <c r="K45" s="558">
        <v>-0.03</v>
      </c>
      <c r="L45" s="559">
        <v>0.06</v>
      </c>
      <c r="M45" s="550">
        <v>0.04</v>
      </c>
      <c r="N45" s="560" t="s">
        <v>3229</v>
      </c>
      <c r="O45" s="552" t="s">
        <v>3229</v>
      </c>
      <c r="P45" s="552" t="s">
        <v>3229</v>
      </c>
      <c r="Q45" s="552" t="s">
        <v>3229</v>
      </c>
      <c r="R45" s="552" t="s">
        <v>3229</v>
      </c>
      <c r="S45" s="567">
        <v>4</v>
      </c>
      <c r="T45" s="555">
        <v>38777</v>
      </c>
      <c r="U45" s="555">
        <v>39142</v>
      </c>
      <c r="V45" s="555">
        <v>39508</v>
      </c>
      <c r="W45" s="555">
        <v>39995</v>
      </c>
      <c r="X45" s="555" t="s">
        <v>3229</v>
      </c>
      <c r="Y45" s="555" t="s">
        <v>3229</v>
      </c>
      <c r="Z45" s="555" t="s">
        <v>3229</v>
      </c>
      <c r="AA45" s="555" t="s">
        <v>3229</v>
      </c>
      <c r="AB45" s="555" t="s">
        <v>3229</v>
      </c>
      <c r="AC45" s="555" t="s">
        <v>3229</v>
      </c>
      <c r="AD45" s="555" t="s">
        <v>3229</v>
      </c>
      <c r="AE45" s="556" t="s">
        <v>3229</v>
      </c>
      <c r="AF45" s="3782" t="s">
        <v>781</v>
      </c>
      <c r="AG45" s="3765"/>
      <c r="AH45" s="622">
        <v>0.5</v>
      </c>
      <c r="AI45" s="622">
        <v>0.5</v>
      </c>
      <c r="AJ45" s="622" t="s">
        <v>3229</v>
      </c>
      <c r="AK45" s="622" t="s">
        <v>3229</v>
      </c>
      <c r="AL45" s="622" t="s">
        <v>3229</v>
      </c>
      <c r="AM45" s="590" t="s">
        <v>3229</v>
      </c>
      <c r="AN45" s="576">
        <v>0.06</v>
      </c>
      <c r="AO45" s="625">
        <v>10600</v>
      </c>
      <c r="AP45" s="1368"/>
      <c r="AQ45" s="658" t="s">
        <v>3229</v>
      </c>
      <c r="AR45" s="558">
        <f>AO45/10000-1</f>
        <v>6.0000000000000053E-2</v>
      </c>
      <c r="AS45" s="558">
        <f t="shared" si="4"/>
        <v>1.3322659072404708E-2</v>
      </c>
      <c r="AT45" s="589"/>
      <c r="AU45" s="559"/>
      <c r="AV45" s="558">
        <v>0.06</v>
      </c>
      <c r="AW45" s="558">
        <f t="shared" si="7"/>
        <v>1.3322659072404708E-2</v>
      </c>
      <c r="AX45" s="558"/>
      <c r="AY45" s="559"/>
      <c r="AZ45" s="642">
        <f t="shared" si="9"/>
        <v>10600</v>
      </c>
      <c r="BA45" s="644" t="s">
        <v>3189</v>
      </c>
      <c r="BB45" s="570" t="s">
        <v>2025</v>
      </c>
      <c r="BC45" s="637" t="s">
        <v>2895</v>
      </c>
      <c r="BD45" s="3708"/>
      <c r="BE45" s="3743"/>
      <c r="BF45" s="3743"/>
      <c r="BG45" s="3708"/>
      <c r="BH45" s="3762"/>
      <c r="BI45" s="3762"/>
      <c r="BJ45" s="39"/>
      <c r="BK45" s="39"/>
      <c r="BL45" s="39"/>
      <c r="BM45" s="39"/>
      <c r="BN45" s="39"/>
      <c r="BO45" s="39"/>
      <c r="BP45" s="39"/>
      <c r="BQ45" s="39"/>
      <c r="BR45" s="39"/>
      <c r="BS45" s="507"/>
      <c r="BT45" s="507"/>
      <c r="BU45" s="507"/>
      <c r="BV45" s="507"/>
      <c r="BW45" s="507"/>
      <c r="BX45" s="507"/>
      <c r="BY45" s="507"/>
      <c r="BZ45" s="507"/>
      <c r="CA45" s="507"/>
      <c r="CB45" s="507"/>
      <c r="CC45" s="507"/>
      <c r="CD45" s="507"/>
      <c r="CE45" s="507"/>
      <c r="CF45" s="507"/>
      <c r="CG45" s="507"/>
      <c r="CH45" s="507"/>
      <c r="CI45" s="507"/>
      <c r="CJ45" s="507"/>
      <c r="CK45" s="507"/>
      <c r="CL45" s="507"/>
      <c r="CM45" s="507"/>
      <c r="CN45" s="507"/>
      <c r="CO45" s="507"/>
      <c r="CP45" s="507"/>
      <c r="CQ45" s="507"/>
      <c r="CR45" s="507"/>
      <c r="CS45" s="507"/>
      <c r="CT45" s="507"/>
      <c r="CU45" s="507"/>
      <c r="CV45" s="507"/>
      <c r="CW45" s="507"/>
      <c r="CX45" s="507"/>
      <c r="CY45" s="507"/>
      <c r="CZ45" s="507"/>
      <c r="DA45" s="507"/>
      <c r="DB45" s="507"/>
      <c r="DC45" s="507"/>
      <c r="DD45" s="507"/>
      <c r="DE45" s="507"/>
      <c r="DF45" s="507"/>
      <c r="DG45" s="507"/>
      <c r="DH45" s="507"/>
      <c r="DI45" s="507"/>
      <c r="DJ45" s="507"/>
      <c r="DK45" s="507"/>
      <c r="DL45" s="507"/>
      <c r="DM45" s="507"/>
      <c r="DN45" s="507"/>
      <c r="DO45" s="507"/>
      <c r="DP45" s="507"/>
      <c r="DQ45" s="507"/>
      <c r="DR45" s="507"/>
      <c r="DS45" s="507"/>
      <c r="DT45" s="507"/>
      <c r="DU45" s="507"/>
      <c r="DV45" s="507"/>
      <c r="DW45" s="507"/>
      <c r="DX45" s="507"/>
      <c r="DY45" s="507"/>
      <c r="DZ45" s="507"/>
      <c r="EA45" s="507"/>
      <c r="EB45" s="507"/>
      <c r="EC45" s="507"/>
      <c r="ED45" s="507"/>
      <c r="EE45" s="507"/>
      <c r="EF45" s="507"/>
      <c r="EG45" s="507"/>
      <c r="EH45" s="507"/>
      <c r="EI45" s="507"/>
      <c r="EJ45" s="507"/>
      <c r="EK45" s="507"/>
      <c r="EL45" s="507"/>
      <c r="EM45" s="507"/>
      <c r="EN45" s="507"/>
      <c r="EO45" s="507"/>
      <c r="EP45" s="507"/>
      <c r="EQ45" s="507"/>
      <c r="ER45" s="507"/>
      <c r="ES45" s="507"/>
      <c r="ET45" s="507"/>
      <c r="EU45" s="507"/>
      <c r="EV45" s="507"/>
      <c r="EW45" s="507"/>
      <c r="EX45" s="507"/>
      <c r="EY45" s="507"/>
      <c r="EZ45" s="507"/>
      <c r="FA45" s="507"/>
      <c r="FB45" s="507"/>
      <c r="FC45" s="507"/>
      <c r="FD45" s="507"/>
      <c r="FE45" s="507"/>
      <c r="FF45" s="507"/>
      <c r="FG45" s="507"/>
      <c r="FH45" s="507"/>
      <c r="FI45" s="507"/>
      <c r="FJ45" s="507"/>
      <c r="FK45" s="507"/>
      <c r="FL45" s="507"/>
      <c r="FM45" s="507"/>
      <c r="FN45" s="507"/>
      <c r="FO45" s="507"/>
      <c r="FP45" s="507"/>
      <c r="FQ45" s="507"/>
      <c r="FR45" s="507"/>
      <c r="FS45" s="507"/>
      <c r="FT45" s="507"/>
      <c r="FU45" s="507"/>
      <c r="FV45" s="507"/>
      <c r="FW45" s="507"/>
      <c r="FX45" s="507"/>
      <c r="FY45" s="507"/>
      <c r="FZ45" s="507"/>
      <c r="GA45" s="507"/>
      <c r="GB45" s="507"/>
      <c r="GC45" s="507"/>
      <c r="GD45" s="507"/>
      <c r="GE45" s="507"/>
      <c r="GF45" s="507"/>
      <c r="GG45" s="507"/>
      <c r="GH45" s="507"/>
      <c r="GI45" s="507"/>
      <c r="GJ45" s="507"/>
      <c r="GK45" s="507"/>
      <c r="GL45" s="507"/>
      <c r="GM45" s="507"/>
      <c r="GN45" s="507"/>
      <c r="GO45" s="507"/>
      <c r="GP45" s="507"/>
      <c r="GQ45" s="507"/>
      <c r="GR45" s="507"/>
      <c r="GS45" s="507"/>
      <c r="GT45" s="507"/>
      <c r="GU45" s="507"/>
      <c r="GV45" s="507"/>
      <c r="GW45" s="507"/>
      <c r="GX45" s="507"/>
      <c r="GY45" s="507"/>
      <c r="GZ45" s="507"/>
      <c r="HA45" s="507"/>
      <c r="HB45" s="507"/>
      <c r="HC45" s="507"/>
      <c r="HD45" s="507"/>
      <c r="HE45" s="507"/>
      <c r="HF45" s="507"/>
      <c r="HG45" s="507"/>
      <c r="HH45" s="507"/>
      <c r="HI45" s="507"/>
      <c r="HJ45" s="507"/>
      <c r="HK45" s="507"/>
      <c r="HL45" s="507"/>
      <c r="HM45" s="507"/>
      <c r="HN45" s="507"/>
      <c r="HO45" s="507"/>
      <c r="HP45" s="507"/>
      <c r="HQ45" s="507"/>
      <c r="HR45" s="507"/>
      <c r="HS45" s="507"/>
      <c r="HT45" s="507"/>
      <c r="HU45" s="507"/>
      <c r="HV45" s="507"/>
      <c r="HW45" s="507"/>
      <c r="HX45" s="507"/>
      <c r="HY45" s="507"/>
      <c r="HZ45" s="507"/>
    </row>
    <row r="46" spans="1:234" s="232" customFormat="1" ht="15.9" hidden="1" customHeight="1" x14ac:dyDescent="0.25">
      <c r="A46" s="522" t="s">
        <v>1137</v>
      </c>
      <c r="B46" s="523" t="s">
        <v>3833</v>
      </c>
      <c r="C46" s="524" t="s">
        <v>2033</v>
      </c>
      <c r="D46" s="570" t="s">
        <v>828</v>
      </c>
      <c r="E46" s="569" t="s">
        <v>3228</v>
      </c>
      <c r="F46" s="543">
        <v>38418</v>
      </c>
      <c r="G46" s="544">
        <v>38322</v>
      </c>
      <c r="H46" s="562">
        <v>38411</v>
      </c>
      <c r="I46" s="546">
        <v>40025</v>
      </c>
      <c r="J46" s="547">
        <v>10</v>
      </c>
      <c r="K46" s="548">
        <v>-0.03</v>
      </c>
      <c r="L46" s="549">
        <v>5.5E-2</v>
      </c>
      <c r="M46" s="550">
        <v>0.08</v>
      </c>
      <c r="N46" s="560" t="s">
        <v>3229</v>
      </c>
      <c r="O46" s="552" t="s">
        <v>3229</v>
      </c>
      <c r="P46" s="552" t="s">
        <v>3229</v>
      </c>
      <c r="Q46" s="552" t="s">
        <v>3229</v>
      </c>
      <c r="R46" s="552" t="s">
        <v>3229</v>
      </c>
      <c r="S46" s="567">
        <v>4</v>
      </c>
      <c r="T46" s="555">
        <v>38777</v>
      </c>
      <c r="U46" s="555">
        <v>39142</v>
      </c>
      <c r="V46" s="555">
        <v>39508</v>
      </c>
      <c r="W46" s="555">
        <v>39995</v>
      </c>
      <c r="X46" s="555" t="s">
        <v>3229</v>
      </c>
      <c r="Y46" s="555" t="s">
        <v>3229</v>
      </c>
      <c r="Z46" s="555" t="s">
        <v>3229</v>
      </c>
      <c r="AA46" s="555" t="s">
        <v>3229</v>
      </c>
      <c r="AB46" s="555" t="s">
        <v>3229</v>
      </c>
      <c r="AC46" s="555" t="s">
        <v>3229</v>
      </c>
      <c r="AD46" s="555" t="s">
        <v>3229</v>
      </c>
      <c r="AE46" s="556" t="s">
        <v>3229</v>
      </c>
      <c r="AF46" s="3782" t="s">
        <v>781</v>
      </c>
      <c r="AG46" s="3765"/>
      <c r="AH46" s="622">
        <v>0.5</v>
      </c>
      <c r="AI46" s="622">
        <v>0.5</v>
      </c>
      <c r="AJ46" s="622" t="s">
        <v>3229</v>
      </c>
      <c r="AK46" s="622" t="s">
        <v>3229</v>
      </c>
      <c r="AL46" s="622" t="s">
        <v>3229</v>
      </c>
      <c r="AM46" s="590" t="s">
        <v>3229</v>
      </c>
      <c r="AN46" s="576">
        <v>0.08</v>
      </c>
      <c r="AO46" s="625">
        <v>10.8</v>
      </c>
      <c r="AP46" s="1368"/>
      <c r="AQ46" s="658" t="s">
        <v>3229</v>
      </c>
      <c r="AR46" s="558">
        <f>AO46/10-1</f>
        <v>8.0000000000000071E-2</v>
      </c>
      <c r="AS46" s="558">
        <f t="shared" si="4"/>
        <v>1.7633935248423827E-2</v>
      </c>
      <c r="AT46" s="589"/>
      <c r="AU46" s="559"/>
      <c r="AV46" s="558">
        <f>AN46</f>
        <v>0.08</v>
      </c>
      <c r="AW46" s="558">
        <f t="shared" si="7"/>
        <v>1.7633935248423827E-2</v>
      </c>
      <c r="AX46" s="558"/>
      <c r="AY46" s="559"/>
      <c r="AZ46" s="642">
        <f t="shared" si="9"/>
        <v>10.8</v>
      </c>
      <c r="BA46" s="644" t="s">
        <v>3189</v>
      </c>
      <c r="BB46" s="570" t="s">
        <v>2025</v>
      </c>
      <c r="BC46" s="637" t="s">
        <v>2895</v>
      </c>
      <c r="BD46" s="3708"/>
      <c r="BE46" s="3743"/>
      <c r="BF46" s="3743"/>
      <c r="BG46" s="3708"/>
      <c r="BH46" s="3762"/>
      <c r="BI46" s="3762"/>
      <c r="BJ46" s="39"/>
      <c r="BK46" s="39"/>
      <c r="BL46" s="39"/>
      <c r="BM46" s="39"/>
      <c r="BN46" s="39"/>
      <c r="BO46" s="39"/>
      <c r="BP46" s="39"/>
      <c r="BQ46" s="39"/>
      <c r="BR46" s="39"/>
      <c r="BS46" s="507"/>
      <c r="BT46" s="507"/>
      <c r="BU46" s="507"/>
      <c r="BV46" s="507"/>
      <c r="BW46" s="507"/>
      <c r="BX46" s="507"/>
      <c r="BY46" s="507"/>
      <c r="BZ46" s="507"/>
      <c r="CA46" s="507"/>
      <c r="CB46" s="507"/>
      <c r="CC46" s="507"/>
      <c r="CD46" s="507"/>
      <c r="CE46" s="507"/>
      <c r="CF46" s="507"/>
      <c r="CG46" s="507"/>
      <c r="CH46" s="507"/>
      <c r="CI46" s="507"/>
      <c r="CJ46" s="507"/>
      <c r="CK46" s="507"/>
      <c r="CL46" s="507"/>
      <c r="CM46" s="507"/>
      <c r="CN46" s="507"/>
      <c r="CO46" s="507"/>
      <c r="CP46" s="507"/>
      <c r="CQ46" s="507"/>
      <c r="CR46" s="507"/>
      <c r="CS46" s="507"/>
      <c r="CT46" s="507"/>
      <c r="CU46" s="507"/>
      <c r="CV46" s="507"/>
      <c r="CW46" s="507"/>
      <c r="CX46" s="507"/>
      <c r="CY46" s="507"/>
      <c r="CZ46" s="507"/>
      <c r="DA46" s="507"/>
      <c r="DB46" s="507"/>
      <c r="DC46" s="507"/>
      <c r="DD46" s="507"/>
      <c r="DE46" s="507"/>
      <c r="DF46" s="507"/>
      <c r="DG46" s="507"/>
      <c r="DH46" s="507"/>
      <c r="DI46" s="507"/>
      <c r="DJ46" s="507"/>
      <c r="DK46" s="507"/>
      <c r="DL46" s="507"/>
      <c r="DM46" s="507"/>
      <c r="DN46" s="507"/>
      <c r="DO46" s="507"/>
      <c r="DP46" s="507"/>
      <c r="DQ46" s="507"/>
      <c r="DR46" s="507"/>
      <c r="DS46" s="507"/>
      <c r="DT46" s="507"/>
      <c r="DU46" s="507"/>
      <c r="DV46" s="507"/>
      <c r="DW46" s="507"/>
      <c r="DX46" s="507"/>
      <c r="DY46" s="507"/>
      <c r="DZ46" s="507"/>
      <c r="EA46" s="507"/>
      <c r="EB46" s="507"/>
      <c r="EC46" s="507"/>
      <c r="ED46" s="507"/>
      <c r="EE46" s="507"/>
      <c r="EF46" s="507"/>
      <c r="EG46" s="507"/>
      <c r="EH46" s="507"/>
      <c r="EI46" s="507"/>
      <c r="EJ46" s="507"/>
      <c r="EK46" s="507"/>
      <c r="EL46" s="507"/>
      <c r="EM46" s="507"/>
      <c r="EN46" s="507"/>
      <c r="EO46" s="507"/>
      <c r="EP46" s="507"/>
      <c r="EQ46" s="507"/>
      <c r="ER46" s="507"/>
      <c r="ES46" s="507"/>
      <c r="ET46" s="507"/>
      <c r="EU46" s="507"/>
      <c r="EV46" s="507"/>
      <c r="EW46" s="507"/>
      <c r="EX46" s="507"/>
      <c r="EY46" s="507"/>
      <c r="EZ46" s="507"/>
      <c r="FA46" s="507"/>
      <c r="FB46" s="507"/>
      <c r="FC46" s="507"/>
      <c r="FD46" s="507"/>
      <c r="FE46" s="507"/>
      <c r="FF46" s="507"/>
      <c r="FG46" s="507"/>
      <c r="FH46" s="507"/>
      <c r="FI46" s="507"/>
      <c r="FJ46" s="507"/>
      <c r="FK46" s="507"/>
      <c r="FL46" s="507"/>
      <c r="FM46" s="507"/>
      <c r="FN46" s="507"/>
      <c r="FO46" s="507"/>
      <c r="FP46" s="507"/>
      <c r="FQ46" s="507"/>
      <c r="FR46" s="507"/>
      <c r="FS46" s="507"/>
      <c r="FT46" s="507"/>
      <c r="FU46" s="507"/>
      <c r="FV46" s="507"/>
      <c r="FW46" s="507"/>
      <c r="FX46" s="507"/>
      <c r="FY46" s="507"/>
      <c r="FZ46" s="507"/>
      <c r="GA46" s="507"/>
      <c r="GB46" s="507"/>
      <c r="GC46" s="507"/>
      <c r="GD46" s="507"/>
      <c r="GE46" s="507"/>
      <c r="GF46" s="507"/>
      <c r="GG46" s="507"/>
      <c r="GH46" s="507"/>
      <c r="GI46" s="507"/>
      <c r="GJ46" s="507"/>
      <c r="GK46" s="507"/>
      <c r="GL46" s="507"/>
      <c r="GM46" s="507"/>
      <c r="GN46" s="507"/>
      <c r="GO46" s="507"/>
      <c r="GP46" s="507"/>
      <c r="GQ46" s="507"/>
      <c r="GR46" s="507"/>
      <c r="GS46" s="507"/>
      <c r="GT46" s="507"/>
      <c r="GU46" s="507"/>
      <c r="GV46" s="507"/>
      <c r="GW46" s="507"/>
      <c r="GX46" s="507"/>
      <c r="GY46" s="507"/>
      <c r="GZ46" s="507"/>
      <c r="HA46" s="507"/>
      <c r="HB46" s="507"/>
      <c r="HC46" s="507"/>
      <c r="HD46" s="507"/>
      <c r="HE46" s="507"/>
      <c r="HF46" s="507"/>
      <c r="HG46" s="507"/>
      <c r="HH46" s="507"/>
      <c r="HI46" s="507"/>
      <c r="HJ46" s="507"/>
      <c r="HK46" s="507"/>
      <c r="HL46" s="507"/>
      <c r="HM46" s="507"/>
      <c r="HN46" s="507"/>
      <c r="HO46" s="507"/>
      <c r="HP46" s="507"/>
      <c r="HQ46" s="507"/>
      <c r="HR46" s="507"/>
      <c r="HS46" s="507"/>
      <c r="HT46" s="507"/>
      <c r="HU46" s="507"/>
      <c r="HV46" s="507"/>
      <c r="HW46" s="507"/>
      <c r="HX46" s="507"/>
      <c r="HY46" s="507"/>
      <c r="HZ46" s="507"/>
    </row>
    <row r="47" spans="1:234" s="232" customFormat="1" ht="15.9" hidden="1" customHeight="1" x14ac:dyDescent="0.25">
      <c r="A47" s="522" t="s">
        <v>539</v>
      </c>
      <c r="B47" s="523" t="s">
        <v>3108</v>
      </c>
      <c r="C47" s="524" t="s">
        <v>1413</v>
      </c>
      <c r="D47" s="570" t="s">
        <v>4462</v>
      </c>
      <c r="E47" s="569" t="s">
        <v>3228</v>
      </c>
      <c r="F47" s="543">
        <v>38418</v>
      </c>
      <c r="G47" s="544">
        <v>38369</v>
      </c>
      <c r="H47" s="562">
        <v>38411</v>
      </c>
      <c r="I47" s="546">
        <v>40816</v>
      </c>
      <c r="J47" s="547">
        <v>10000</v>
      </c>
      <c r="K47" s="548">
        <v>-0.03</v>
      </c>
      <c r="L47" s="549">
        <v>5.1999999999999998E-2</v>
      </c>
      <c r="M47" s="550">
        <v>0.13</v>
      </c>
      <c r="N47" s="560" t="s">
        <v>3229</v>
      </c>
      <c r="O47" s="552" t="s">
        <v>3229</v>
      </c>
      <c r="P47" s="552" t="s">
        <v>3229</v>
      </c>
      <c r="Q47" s="552" t="s">
        <v>3229</v>
      </c>
      <c r="R47" s="552" t="s">
        <v>3229</v>
      </c>
      <c r="S47" s="567">
        <v>6</v>
      </c>
      <c r="T47" s="555">
        <v>38777</v>
      </c>
      <c r="U47" s="555">
        <v>39142</v>
      </c>
      <c r="V47" s="555">
        <v>39508</v>
      </c>
      <c r="W47" s="555">
        <v>39873</v>
      </c>
      <c r="X47" s="555">
        <v>40238</v>
      </c>
      <c r="Y47" s="555">
        <v>40787</v>
      </c>
      <c r="Z47" s="555" t="s">
        <v>3229</v>
      </c>
      <c r="AA47" s="555" t="s">
        <v>3229</v>
      </c>
      <c r="AB47" s="555" t="s">
        <v>3229</v>
      </c>
      <c r="AC47" s="555" t="s">
        <v>3229</v>
      </c>
      <c r="AD47" s="555" t="s">
        <v>3229</v>
      </c>
      <c r="AE47" s="556" t="s">
        <v>3229</v>
      </c>
      <c r="AF47" s="3764" t="s">
        <v>781</v>
      </c>
      <c r="AG47" s="3765"/>
      <c r="AH47" s="622">
        <v>0.5</v>
      </c>
      <c r="AI47" s="622">
        <v>0.5</v>
      </c>
      <c r="AJ47" s="622" t="s">
        <v>3229</v>
      </c>
      <c r="AK47" s="622" t="s">
        <v>3229</v>
      </c>
      <c r="AL47" s="622" t="s">
        <v>3229</v>
      </c>
      <c r="AM47" s="590" t="s">
        <v>3229</v>
      </c>
      <c r="AN47" s="576">
        <v>0.13</v>
      </c>
      <c r="AO47" s="625">
        <v>11300</v>
      </c>
      <c r="AP47" s="1368" t="s">
        <v>3229</v>
      </c>
      <c r="AQ47" s="658" t="s">
        <v>3229</v>
      </c>
      <c r="AR47" s="558" t="e">
        <f>MAX(0,AF47*L47+SUM('klikací hodnoty'!F804:F815))</f>
        <v>#VALUE!</v>
      </c>
      <c r="AS47" s="558" t="e">
        <f t="shared" si="4"/>
        <v>#VALUE!</v>
      </c>
      <c r="AT47" s="589" t="e">
        <f>J47*(1+AR47)/AO47-1</f>
        <v>#VALUE!</v>
      </c>
      <c r="AU47" s="559" t="e">
        <f>POWER(1+AT47,1/AG47)-1</f>
        <v>#VALUE!</v>
      </c>
      <c r="AV47" s="558" t="e">
        <f>MAX(M47,AN47+AF47*K47)</f>
        <v>#VALUE!</v>
      </c>
      <c r="AW47" s="558" t="e">
        <f t="shared" si="7"/>
        <v>#VALUE!</v>
      </c>
      <c r="AX47" s="558" t="e">
        <f>J47*(1+AV47)/AO47-1</f>
        <v>#VALUE!</v>
      </c>
      <c r="AY47" s="559" t="e">
        <f>POWER(1+AX47,1/AG47)-1</f>
        <v>#VALUE!</v>
      </c>
      <c r="AZ47" s="642" t="e">
        <f t="shared" si="9"/>
        <v>#VALUE!</v>
      </c>
      <c r="BA47" s="644" t="s">
        <v>3189</v>
      </c>
      <c r="BB47" s="570" t="s">
        <v>2025</v>
      </c>
      <c r="BC47" s="637" t="s">
        <v>2895</v>
      </c>
      <c r="BD47" s="3708"/>
      <c r="BE47" s="3743"/>
      <c r="BF47" s="3743"/>
      <c r="BG47" s="3708"/>
      <c r="BH47" s="3762"/>
      <c r="BI47" s="3762"/>
      <c r="BJ47" s="39"/>
      <c r="BK47" s="39"/>
      <c r="BL47" s="39"/>
      <c r="BM47" s="39"/>
      <c r="BN47" s="39"/>
      <c r="BO47" s="39"/>
      <c r="BP47" s="39"/>
      <c r="BQ47" s="39"/>
      <c r="BR47" s="39"/>
      <c r="BS47" s="507"/>
      <c r="BT47" s="507"/>
      <c r="BU47" s="507"/>
      <c r="BV47" s="507"/>
      <c r="BW47" s="507"/>
      <c r="BX47" s="507"/>
      <c r="BY47" s="507"/>
      <c r="BZ47" s="507"/>
      <c r="CA47" s="507"/>
      <c r="CB47" s="507"/>
      <c r="CC47" s="507"/>
      <c r="CD47" s="507"/>
      <c r="CE47" s="507"/>
      <c r="CF47" s="507"/>
      <c r="CG47" s="507"/>
      <c r="CH47" s="507"/>
      <c r="CI47" s="507"/>
      <c r="CJ47" s="507"/>
      <c r="CK47" s="507"/>
      <c r="CL47" s="507"/>
      <c r="CM47" s="507"/>
      <c r="CN47" s="507"/>
      <c r="CO47" s="507"/>
      <c r="CP47" s="507"/>
      <c r="CQ47" s="507"/>
      <c r="CR47" s="507"/>
      <c r="CS47" s="507"/>
      <c r="CT47" s="507"/>
      <c r="CU47" s="507"/>
      <c r="CV47" s="507"/>
      <c r="CW47" s="507"/>
      <c r="CX47" s="507"/>
      <c r="CY47" s="507"/>
      <c r="CZ47" s="507"/>
      <c r="DA47" s="507"/>
      <c r="DB47" s="507"/>
      <c r="DC47" s="507"/>
      <c r="DD47" s="507"/>
      <c r="DE47" s="507"/>
      <c r="DF47" s="507"/>
      <c r="DG47" s="507"/>
      <c r="DH47" s="507"/>
      <c r="DI47" s="507"/>
      <c r="DJ47" s="507"/>
      <c r="DK47" s="507"/>
      <c r="DL47" s="507"/>
      <c r="DM47" s="507"/>
      <c r="DN47" s="507"/>
      <c r="DO47" s="507"/>
      <c r="DP47" s="507"/>
      <c r="DQ47" s="507"/>
      <c r="DR47" s="507"/>
      <c r="DS47" s="507"/>
      <c r="DT47" s="507"/>
      <c r="DU47" s="507"/>
      <c r="DV47" s="507"/>
      <c r="DW47" s="507"/>
      <c r="DX47" s="507"/>
      <c r="DY47" s="507"/>
      <c r="DZ47" s="507"/>
      <c r="EA47" s="507"/>
      <c r="EB47" s="507"/>
      <c r="EC47" s="507"/>
      <c r="ED47" s="507"/>
      <c r="EE47" s="507"/>
      <c r="EF47" s="507"/>
      <c r="EG47" s="507"/>
      <c r="EH47" s="507"/>
      <c r="EI47" s="507"/>
      <c r="EJ47" s="507"/>
      <c r="EK47" s="507"/>
      <c r="EL47" s="507"/>
      <c r="EM47" s="507"/>
      <c r="EN47" s="507"/>
      <c r="EO47" s="507"/>
      <c r="EP47" s="507"/>
      <c r="EQ47" s="507"/>
      <c r="ER47" s="507"/>
      <c r="ES47" s="507"/>
      <c r="ET47" s="507"/>
      <c r="EU47" s="507"/>
      <c r="EV47" s="507"/>
      <c r="EW47" s="507"/>
      <c r="EX47" s="507"/>
      <c r="EY47" s="507"/>
      <c r="EZ47" s="507"/>
      <c r="FA47" s="507"/>
      <c r="FB47" s="507"/>
      <c r="FC47" s="507"/>
      <c r="FD47" s="507"/>
      <c r="FE47" s="507"/>
      <c r="FF47" s="507"/>
      <c r="FG47" s="507"/>
      <c r="FH47" s="507"/>
      <c r="FI47" s="507"/>
      <c r="FJ47" s="507"/>
      <c r="FK47" s="507"/>
      <c r="FL47" s="507"/>
      <c r="FM47" s="507"/>
      <c r="FN47" s="507"/>
      <c r="FO47" s="507"/>
      <c r="FP47" s="507"/>
      <c r="FQ47" s="507"/>
      <c r="FR47" s="507"/>
      <c r="FS47" s="507"/>
      <c r="FT47" s="507"/>
      <c r="FU47" s="507"/>
      <c r="FV47" s="507"/>
      <c r="FW47" s="507"/>
      <c r="FX47" s="507"/>
      <c r="FY47" s="507"/>
      <c r="FZ47" s="507"/>
      <c r="GA47" s="507"/>
      <c r="GB47" s="507"/>
      <c r="GC47" s="507"/>
      <c r="GD47" s="507"/>
      <c r="GE47" s="507"/>
      <c r="GF47" s="507"/>
      <c r="GG47" s="507"/>
      <c r="GH47" s="507"/>
      <c r="GI47" s="507"/>
      <c r="GJ47" s="507"/>
      <c r="GK47" s="507"/>
      <c r="GL47" s="507"/>
      <c r="GM47" s="507"/>
      <c r="GN47" s="507"/>
      <c r="GO47" s="507"/>
      <c r="GP47" s="507"/>
      <c r="GQ47" s="507"/>
      <c r="GR47" s="507"/>
      <c r="GS47" s="507"/>
      <c r="GT47" s="507"/>
      <c r="GU47" s="507"/>
      <c r="GV47" s="507"/>
      <c r="GW47" s="507"/>
      <c r="GX47" s="507"/>
      <c r="GY47" s="507"/>
      <c r="GZ47" s="507"/>
      <c r="HA47" s="507"/>
      <c r="HB47" s="507"/>
      <c r="HC47" s="507"/>
      <c r="HD47" s="507"/>
      <c r="HE47" s="507"/>
      <c r="HF47" s="507"/>
      <c r="HG47" s="507"/>
      <c r="HH47" s="507"/>
      <c r="HI47" s="507"/>
      <c r="HJ47" s="507"/>
      <c r="HK47" s="507"/>
      <c r="HL47" s="507"/>
      <c r="HM47" s="507"/>
      <c r="HN47" s="507"/>
      <c r="HO47" s="507"/>
      <c r="HP47" s="507"/>
      <c r="HQ47" s="507"/>
      <c r="HR47" s="507"/>
      <c r="HS47" s="507"/>
      <c r="HT47" s="507"/>
      <c r="HU47" s="507"/>
      <c r="HV47" s="507"/>
      <c r="HW47" s="507"/>
      <c r="HX47" s="507"/>
      <c r="HY47" s="507"/>
      <c r="HZ47" s="507"/>
    </row>
    <row r="48" spans="1:234" s="206" customFormat="1" ht="15.9" hidden="1" customHeight="1" x14ac:dyDescent="0.25">
      <c r="A48" s="522" t="s">
        <v>999</v>
      </c>
      <c r="B48" s="523" t="s">
        <v>1617</v>
      </c>
      <c r="C48" s="526" t="s">
        <v>2037</v>
      </c>
      <c r="D48" s="570" t="s">
        <v>4383</v>
      </c>
      <c r="E48" s="569" t="s">
        <v>3228</v>
      </c>
      <c r="F48" s="543">
        <v>38449</v>
      </c>
      <c r="G48" s="544">
        <v>38355</v>
      </c>
      <c r="H48" s="562">
        <v>38442</v>
      </c>
      <c r="I48" s="546">
        <v>40662</v>
      </c>
      <c r="J48" s="547">
        <v>10</v>
      </c>
      <c r="K48" s="553" t="s">
        <v>3229</v>
      </c>
      <c r="L48" s="552" t="s">
        <v>3229</v>
      </c>
      <c r="M48" s="560">
        <v>0.1014</v>
      </c>
      <c r="N48" s="560" t="s">
        <v>3229</v>
      </c>
      <c r="O48" s="552" t="s">
        <v>3229</v>
      </c>
      <c r="P48" s="552" t="s">
        <v>3229</v>
      </c>
      <c r="Q48" s="549">
        <v>3.6999999999999998E-2</v>
      </c>
      <c r="R48" s="571">
        <v>1.5</v>
      </c>
      <c r="S48" s="567">
        <v>6</v>
      </c>
      <c r="T48" s="555">
        <v>38777</v>
      </c>
      <c r="U48" s="555">
        <v>39142</v>
      </c>
      <c r="V48" s="555">
        <v>39508</v>
      </c>
      <c r="W48" s="555">
        <v>39873</v>
      </c>
      <c r="X48" s="555">
        <v>40238</v>
      </c>
      <c r="Y48" s="555">
        <v>40603</v>
      </c>
      <c r="Z48" s="555" t="s">
        <v>3229</v>
      </c>
      <c r="AA48" s="555" t="s">
        <v>3229</v>
      </c>
      <c r="AB48" s="555" t="s">
        <v>3229</v>
      </c>
      <c r="AC48" s="555" t="s">
        <v>3229</v>
      </c>
      <c r="AD48" s="555" t="s">
        <v>3229</v>
      </c>
      <c r="AE48" s="556" t="s">
        <v>3229</v>
      </c>
      <c r="AF48" s="3789" t="s">
        <v>781</v>
      </c>
      <c r="AG48" s="3765"/>
      <c r="AH48" s="622" t="s">
        <v>3229</v>
      </c>
      <c r="AI48" s="622" t="s">
        <v>3229</v>
      </c>
      <c r="AJ48" s="622" t="s">
        <v>3229</v>
      </c>
      <c r="AK48" s="622" t="s">
        <v>3229</v>
      </c>
      <c r="AL48" s="622" t="s">
        <v>3229</v>
      </c>
      <c r="AM48" s="590">
        <v>1</v>
      </c>
      <c r="AN48" s="576">
        <v>0.10125514403292181</v>
      </c>
      <c r="AO48" s="652">
        <v>11.02</v>
      </c>
      <c r="AP48" s="1368" t="s">
        <v>3229</v>
      </c>
      <c r="AQ48" s="658" t="s">
        <v>3229</v>
      </c>
      <c r="AR48" s="558">
        <f>AO48/10-1</f>
        <v>0.10199999999999987</v>
      </c>
      <c r="AS48" s="558">
        <f t="shared" si="4"/>
        <v>1.6148544150960564E-2</v>
      </c>
      <c r="AT48" s="589"/>
      <c r="AU48" s="559"/>
      <c r="AV48" s="558">
        <v>0.10199999999999987</v>
      </c>
      <c r="AW48" s="558">
        <v>1.6148544150960564E-2</v>
      </c>
      <c r="AX48" s="648"/>
      <c r="AY48" s="559"/>
      <c r="AZ48" s="642">
        <f t="shared" si="9"/>
        <v>11.02</v>
      </c>
      <c r="BA48" s="644" t="s">
        <v>274</v>
      </c>
      <c r="BB48" s="570" t="s">
        <v>2496</v>
      </c>
      <c r="BC48" s="637" t="s">
        <v>2895</v>
      </c>
      <c r="BD48" s="3709">
        <f>'klikací hodnoty'!H849</f>
        <v>0.10125514403292181</v>
      </c>
      <c r="BE48" s="3743"/>
      <c r="BF48" s="3743"/>
      <c r="BG48" s="3708"/>
      <c r="BH48" s="3762"/>
      <c r="BI48" s="3762"/>
      <c r="BJ48" s="39"/>
      <c r="BK48" s="39"/>
      <c r="BL48" s="39"/>
      <c r="BM48" s="39"/>
      <c r="BN48" s="39"/>
      <c r="BO48" s="39"/>
      <c r="BP48" s="39"/>
      <c r="BQ48" s="39"/>
      <c r="BR48" s="39"/>
      <c r="BS48" s="507"/>
      <c r="BT48" s="507"/>
      <c r="BU48" s="507"/>
      <c r="BV48" s="507"/>
      <c r="BW48" s="507"/>
      <c r="BX48" s="507"/>
      <c r="BY48" s="507"/>
      <c r="BZ48" s="507"/>
      <c r="CA48" s="507"/>
      <c r="CB48" s="507"/>
      <c r="CC48" s="507"/>
      <c r="CD48" s="507"/>
      <c r="CE48" s="507"/>
      <c r="CF48" s="507"/>
      <c r="CG48" s="507"/>
      <c r="CH48" s="507"/>
      <c r="CI48" s="507"/>
      <c r="CJ48" s="507"/>
      <c r="CK48" s="507"/>
      <c r="CL48" s="507"/>
      <c r="CM48" s="507"/>
      <c r="CN48" s="507"/>
      <c r="CO48" s="507"/>
      <c r="CP48" s="507"/>
      <c r="CQ48" s="507"/>
      <c r="CR48" s="507"/>
      <c r="CS48" s="507"/>
      <c r="CT48" s="507"/>
      <c r="CU48" s="507"/>
      <c r="CV48" s="507"/>
      <c r="CW48" s="507"/>
      <c r="CX48" s="507"/>
      <c r="CY48" s="507"/>
      <c r="CZ48" s="507"/>
      <c r="DA48" s="507"/>
      <c r="DB48" s="507"/>
      <c r="DC48" s="507"/>
      <c r="DD48" s="507"/>
      <c r="DE48" s="507"/>
      <c r="DF48" s="507"/>
      <c r="DG48" s="507"/>
      <c r="DH48" s="507"/>
      <c r="DI48" s="507"/>
      <c r="DJ48" s="507"/>
      <c r="DK48" s="507"/>
      <c r="DL48" s="507"/>
      <c r="DM48" s="507"/>
      <c r="DN48" s="507"/>
      <c r="DO48" s="507"/>
      <c r="DP48" s="507"/>
      <c r="DQ48" s="507"/>
      <c r="DR48" s="507"/>
      <c r="DS48" s="507"/>
      <c r="DT48" s="507"/>
      <c r="DU48" s="507"/>
      <c r="DV48" s="507"/>
      <c r="DW48" s="507"/>
      <c r="DX48" s="507"/>
      <c r="DY48" s="507"/>
      <c r="DZ48" s="507"/>
      <c r="EA48" s="507"/>
      <c r="EB48" s="507"/>
      <c r="EC48" s="507"/>
      <c r="ED48" s="507"/>
      <c r="EE48" s="507"/>
      <c r="EF48" s="507"/>
      <c r="EG48" s="507"/>
      <c r="EH48" s="507"/>
      <c r="EI48" s="507"/>
      <c r="EJ48" s="507"/>
      <c r="EK48" s="507"/>
      <c r="EL48" s="507"/>
      <c r="EM48" s="507"/>
      <c r="EN48" s="507"/>
      <c r="EO48" s="507"/>
      <c r="EP48" s="507"/>
      <c r="EQ48" s="507"/>
      <c r="ER48" s="507"/>
      <c r="ES48" s="507"/>
      <c r="ET48" s="507"/>
      <c r="EU48" s="507"/>
      <c r="EV48" s="507"/>
      <c r="EW48" s="507"/>
      <c r="EX48" s="507"/>
      <c r="EY48" s="507"/>
      <c r="EZ48" s="507"/>
      <c r="FA48" s="507"/>
      <c r="FB48" s="507"/>
      <c r="FC48" s="507"/>
      <c r="FD48" s="507"/>
      <c r="FE48" s="507"/>
      <c r="FF48" s="507"/>
      <c r="FG48" s="507"/>
      <c r="FH48" s="507"/>
      <c r="FI48" s="507"/>
      <c r="FJ48" s="507"/>
      <c r="FK48" s="507"/>
      <c r="FL48" s="507"/>
      <c r="FM48" s="507"/>
      <c r="FN48" s="507"/>
      <c r="FO48" s="507"/>
      <c r="FP48" s="507"/>
      <c r="FQ48" s="507"/>
      <c r="FR48" s="507"/>
      <c r="FS48" s="507"/>
      <c r="FT48" s="507"/>
      <c r="FU48" s="507"/>
      <c r="FV48" s="507"/>
      <c r="FW48" s="507"/>
      <c r="FX48" s="507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</row>
    <row r="49" spans="1:234" s="298" customFormat="1" ht="15.9" hidden="1" customHeight="1" x14ac:dyDescent="0.25">
      <c r="A49" s="522" t="s">
        <v>4479</v>
      </c>
      <c r="B49" s="523" t="s">
        <v>3109</v>
      </c>
      <c r="C49" s="526" t="s">
        <v>2038</v>
      </c>
      <c r="D49" s="570" t="s">
        <v>826</v>
      </c>
      <c r="E49" s="569" t="s">
        <v>3228</v>
      </c>
      <c r="F49" s="543">
        <v>38449</v>
      </c>
      <c r="G49" s="544">
        <v>38355</v>
      </c>
      <c r="H49" s="562">
        <v>38442</v>
      </c>
      <c r="I49" s="546">
        <v>39933</v>
      </c>
      <c r="J49" s="547">
        <v>10</v>
      </c>
      <c r="K49" s="553" t="s">
        <v>3229</v>
      </c>
      <c r="L49" s="552" t="s">
        <v>3229</v>
      </c>
      <c r="M49" s="560">
        <v>0</v>
      </c>
      <c r="N49" s="560">
        <v>0.55000000000000004</v>
      </c>
      <c r="O49" s="552" t="s">
        <v>3229</v>
      </c>
      <c r="P49" s="552" t="s">
        <v>3229</v>
      </c>
      <c r="Q49" s="552" t="s">
        <v>3229</v>
      </c>
      <c r="R49" s="552" t="s">
        <v>3229</v>
      </c>
      <c r="S49" s="567"/>
      <c r="T49" s="555" t="s">
        <v>3229</v>
      </c>
      <c r="U49" s="555" t="s">
        <v>3229</v>
      </c>
      <c r="V49" s="555" t="s">
        <v>3229</v>
      </c>
      <c r="W49" s="555" t="s">
        <v>3229</v>
      </c>
      <c r="X49" s="555" t="s">
        <v>3229</v>
      </c>
      <c r="Y49" s="555" t="s">
        <v>3229</v>
      </c>
      <c r="Z49" s="555" t="s">
        <v>3229</v>
      </c>
      <c r="AA49" s="555" t="s">
        <v>3229</v>
      </c>
      <c r="AB49" s="555" t="s">
        <v>3229</v>
      </c>
      <c r="AC49" s="555" t="s">
        <v>3229</v>
      </c>
      <c r="AD49" s="555" t="s">
        <v>3229</v>
      </c>
      <c r="AE49" s="556" t="s">
        <v>3229</v>
      </c>
      <c r="AF49" s="3789" t="s">
        <v>781</v>
      </c>
      <c r="AG49" s="3765"/>
      <c r="AH49" s="622">
        <v>0.5</v>
      </c>
      <c r="AI49" s="622">
        <v>0.5</v>
      </c>
      <c r="AJ49" s="622" t="s">
        <v>3229</v>
      </c>
      <c r="AK49" s="622" t="s">
        <v>3229</v>
      </c>
      <c r="AL49" s="622" t="s">
        <v>3229</v>
      </c>
      <c r="AM49" s="590" t="s">
        <v>3229</v>
      </c>
      <c r="AN49" s="576">
        <v>0</v>
      </c>
      <c r="AO49" s="652">
        <v>10</v>
      </c>
      <c r="AP49" s="688"/>
      <c r="AQ49" s="658" t="s">
        <v>3229</v>
      </c>
      <c r="AR49" s="558">
        <f>AO49/10-1</f>
        <v>0</v>
      </c>
      <c r="AS49" s="558">
        <f t="shared" si="4"/>
        <v>0</v>
      </c>
      <c r="AT49" s="589"/>
      <c r="AU49" s="559"/>
      <c r="AV49" s="558">
        <v>6.0999999999999943E-2</v>
      </c>
      <c r="AW49" s="558">
        <v>1.1611948689032259E-2</v>
      </c>
      <c r="AX49" s="648"/>
      <c r="AY49" s="559"/>
      <c r="AZ49" s="642">
        <f t="shared" si="9"/>
        <v>10.61</v>
      </c>
      <c r="BA49" s="644" t="s">
        <v>3190</v>
      </c>
      <c r="BB49" s="570"/>
      <c r="BC49" s="637"/>
      <c r="BD49" s="3708"/>
      <c r="BE49" s="3743"/>
      <c r="BF49" s="3743"/>
      <c r="BG49" s="3708"/>
      <c r="BH49" s="3762"/>
      <c r="BI49" s="3762"/>
      <c r="BJ49" s="39"/>
      <c r="BK49" s="39"/>
      <c r="BL49" s="39"/>
      <c r="BM49" s="39"/>
      <c r="BN49" s="39"/>
      <c r="BO49" s="39"/>
      <c r="BP49" s="39"/>
      <c r="BQ49" s="39"/>
      <c r="BR49" s="39"/>
      <c r="BS49" s="507"/>
      <c r="BT49" s="507"/>
      <c r="BU49" s="507"/>
      <c r="BV49" s="507"/>
      <c r="BW49" s="507"/>
      <c r="BX49" s="507"/>
      <c r="BY49" s="507"/>
      <c r="BZ49" s="507"/>
      <c r="CA49" s="507"/>
      <c r="CB49" s="507"/>
      <c r="CC49" s="507"/>
      <c r="CD49" s="507"/>
      <c r="CE49" s="507"/>
      <c r="CF49" s="507"/>
      <c r="CG49" s="507"/>
      <c r="CH49" s="507"/>
      <c r="CI49" s="507"/>
      <c r="CJ49" s="507"/>
      <c r="CK49" s="507"/>
      <c r="CL49" s="507"/>
      <c r="CM49" s="507"/>
      <c r="CN49" s="507"/>
      <c r="CO49" s="507"/>
      <c r="CP49" s="507"/>
      <c r="CQ49" s="507"/>
      <c r="CR49" s="507"/>
      <c r="CS49" s="507"/>
      <c r="CT49" s="507"/>
      <c r="CU49" s="507"/>
      <c r="CV49" s="507"/>
      <c r="CW49" s="507"/>
      <c r="CX49" s="507"/>
      <c r="CY49" s="507"/>
      <c r="CZ49" s="507"/>
      <c r="DA49" s="507"/>
      <c r="DB49" s="507"/>
      <c r="DC49" s="507"/>
      <c r="DD49" s="507"/>
      <c r="DE49" s="507"/>
      <c r="DF49" s="507"/>
      <c r="DG49" s="507"/>
      <c r="DH49" s="507"/>
      <c r="DI49" s="507"/>
      <c r="DJ49" s="507"/>
      <c r="DK49" s="507"/>
      <c r="DL49" s="507"/>
      <c r="DM49" s="507"/>
      <c r="DN49" s="507"/>
      <c r="DO49" s="507"/>
      <c r="DP49" s="507"/>
      <c r="DQ49" s="507"/>
      <c r="DR49" s="507"/>
      <c r="DS49" s="507"/>
      <c r="DT49" s="507"/>
      <c r="DU49" s="507"/>
      <c r="DV49" s="507"/>
      <c r="DW49" s="507"/>
      <c r="DX49" s="507"/>
      <c r="DY49" s="507"/>
      <c r="DZ49" s="507"/>
      <c r="EA49" s="507"/>
      <c r="EB49" s="507"/>
      <c r="EC49" s="507"/>
      <c r="ED49" s="507"/>
      <c r="EE49" s="507"/>
      <c r="EF49" s="507"/>
      <c r="EG49" s="507"/>
      <c r="EH49" s="507"/>
      <c r="EI49" s="507"/>
      <c r="EJ49" s="507"/>
      <c r="EK49" s="507"/>
      <c r="EL49" s="507"/>
      <c r="EM49" s="507"/>
      <c r="EN49" s="507"/>
      <c r="EO49" s="507"/>
      <c r="EP49" s="507"/>
      <c r="EQ49" s="507"/>
      <c r="ER49" s="507"/>
      <c r="ES49" s="507"/>
      <c r="ET49" s="507"/>
      <c r="EU49" s="507"/>
      <c r="EV49" s="507"/>
      <c r="EW49" s="507"/>
      <c r="EX49" s="507"/>
      <c r="EY49" s="507"/>
      <c r="EZ49" s="507"/>
      <c r="FA49" s="507"/>
      <c r="FB49" s="507"/>
      <c r="FC49" s="507"/>
      <c r="FD49" s="507"/>
      <c r="FE49" s="507"/>
      <c r="FF49" s="507"/>
      <c r="FG49" s="507"/>
      <c r="FH49" s="507"/>
      <c r="FI49" s="507"/>
      <c r="FJ49" s="507"/>
      <c r="FK49" s="507"/>
      <c r="FL49" s="507"/>
      <c r="FM49" s="507"/>
      <c r="FN49" s="507"/>
      <c r="FO49" s="507"/>
      <c r="FP49" s="507"/>
      <c r="FQ49" s="507"/>
      <c r="FR49" s="507"/>
      <c r="FS49" s="507"/>
      <c r="FT49" s="507"/>
      <c r="FU49" s="507"/>
      <c r="FV49" s="507"/>
      <c r="FW49" s="507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</row>
    <row r="50" spans="1:234" s="232" customFormat="1" ht="15.9" hidden="1" customHeight="1" x14ac:dyDescent="0.25">
      <c r="A50" s="522" t="s">
        <v>2908</v>
      </c>
      <c r="B50" s="523" t="s">
        <v>1618</v>
      </c>
      <c r="C50" s="526" t="s">
        <v>1189</v>
      </c>
      <c r="D50" s="570" t="s">
        <v>2158</v>
      </c>
      <c r="E50" s="569" t="s">
        <v>3228</v>
      </c>
      <c r="F50" s="543">
        <v>38464</v>
      </c>
      <c r="G50" s="544">
        <v>38412</v>
      </c>
      <c r="H50" s="562">
        <v>38457</v>
      </c>
      <c r="I50" s="546">
        <v>40421</v>
      </c>
      <c r="J50" s="547">
        <v>10</v>
      </c>
      <c r="K50" s="558">
        <v>-0.03</v>
      </c>
      <c r="L50" s="559">
        <v>4.7E-2</v>
      </c>
      <c r="M50" s="550">
        <v>0.08</v>
      </c>
      <c r="N50" s="560" t="s">
        <v>3229</v>
      </c>
      <c r="O50" s="552" t="s">
        <v>3229</v>
      </c>
      <c r="P50" s="552" t="s">
        <v>3229</v>
      </c>
      <c r="Q50" s="552" t="s">
        <v>3229</v>
      </c>
      <c r="R50" s="552" t="s">
        <v>3229</v>
      </c>
      <c r="S50" s="567">
        <v>5</v>
      </c>
      <c r="T50" s="555">
        <v>38808</v>
      </c>
      <c r="U50" s="555">
        <v>39173</v>
      </c>
      <c r="V50" s="555">
        <v>39539</v>
      </c>
      <c r="W50" s="555">
        <v>39904</v>
      </c>
      <c r="X50" s="555">
        <v>40391</v>
      </c>
      <c r="Y50" s="555" t="s">
        <v>3229</v>
      </c>
      <c r="Z50" s="555" t="s">
        <v>3229</v>
      </c>
      <c r="AA50" s="555" t="s">
        <v>3229</v>
      </c>
      <c r="AB50" s="555" t="s">
        <v>3229</v>
      </c>
      <c r="AC50" s="555" t="s">
        <v>3229</v>
      </c>
      <c r="AD50" s="555" t="s">
        <v>3229</v>
      </c>
      <c r="AE50" s="556" t="s">
        <v>3229</v>
      </c>
      <c r="AF50" s="3782" t="s">
        <v>781</v>
      </c>
      <c r="AG50" s="3765"/>
      <c r="AH50" s="622">
        <v>0.5</v>
      </c>
      <c r="AI50" s="622">
        <v>0.5</v>
      </c>
      <c r="AJ50" s="622" t="s">
        <v>3229</v>
      </c>
      <c r="AK50" s="622" t="s">
        <v>3229</v>
      </c>
      <c r="AL50" s="622" t="s">
        <v>3229</v>
      </c>
      <c r="AM50" s="590" t="s">
        <v>3229</v>
      </c>
      <c r="AN50" s="576">
        <v>8.1000000000000003E-2</v>
      </c>
      <c r="AO50" s="652">
        <v>10.81</v>
      </c>
      <c r="AP50" s="1368" t="s">
        <v>3229</v>
      </c>
      <c r="AQ50" s="658" t="s">
        <v>3229</v>
      </c>
      <c r="AR50" s="558">
        <f>AO50/10-1</f>
        <v>8.0999999999999961E-2</v>
      </c>
      <c r="AS50" s="558">
        <f t="shared" si="4"/>
        <v>1.4632639586619423E-2</v>
      </c>
      <c r="AT50" s="650" t="s">
        <v>3229</v>
      </c>
      <c r="AU50" s="552" t="s">
        <v>3229</v>
      </c>
      <c r="AV50" s="558">
        <v>0.02</v>
      </c>
      <c r="AW50" s="558">
        <v>4.8824729085541474E-3</v>
      </c>
      <c r="AX50" s="653"/>
      <c r="AY50" s="654"/>
      <c r="AZ50" s="642">
        <f t="shared" si="9"/>
        <v>10.199999999999999</v>
      </c>
      <c r="BA50" s="644" t="s">
        <v>3189</v>
      </c>
      <c r="BB50" s="570" t="s">
        <v>2025</v>
      </c>
      <c r="BC50" s="637" t="s">
        <v>2895</v>
      </c>
      <c r="BD50" s="3708"/>
      <c r="BE50" s="3743"/>
      <c r="BF50" s="3743"/>
      <c r="BG50" s="3708"/>
      <c r="BH50" s="3762"/>
      <c r="BI50" s="3762"/>
      <c r="BJ50" s="39"/>
      <c r="BK50" s="39"/>
      <c r="BL50" s="39"/>
      <c r="BM50" s="39"/>
      <c r="BN50" s="39"/>
      <c r="BO50" s="39"/>
      <c r="BP50" s="39"/>
      <c r="BQ50" s="39"/>
      <c r="BR50" s="39"/>
      <c r="BS50" s="507"/>
      <c r="BT50" s="507"/>
      <c r="BU50" s="507"/>
      <c r="BV50" s="507"/>
      <c r="BW50" s="507"/>
      <c r="BX50" s="507"/>
      <c r="BY50" s="507"/>
      <c r="BZ50" s="507"/>
      <c r="CA50" s="507"/>
      <c r="CB50" s="507"/>
      <c r="CC50" s="507"/>
      <c r="CD50" s="507"/>
      <c r="CE50" s="507"/>
      <c r="CF50" s="507"/>
      <c r="CG50" s="507"/>
      <c r="CH50" s="507"/>
      <c r="CI50" s="507"/>
      <c r="CJ50" s="507"/>
      <c r="CK50" s="507"/>
      <c r="CL50" s="507"/>
      <c r="CM50" s="507"/>
      <c r="CN50" s="507"/>
      <c r="CO50" s="507"/>
      <c r="CP50" s="507"/>
      <c r="CQ50" s="507"/>
      <c r="CR50" s="507"/>
      <c r="CS50" s="507"/>
      <c r="CT50" s="507"/>
      <c r="CU50" s="507"/>
      <c r="CV50" s="507"/>
      <c r="CW50" s="507"/>
      <c r="CX50" s="507"/>
      <c r="CY50" s="507"/>
      <c r="CZ50" s="507"/>
      <c r="DA50" s="507"/>
      <c r="DB50" s="507"/>
      <c r="DC50" s="507"/>
      <c r="DD50" s="507"/>
      <c r="DE50" s="507"/>
      <c r="DF50" s="507"/>
      <c r="DG50" s="507"/>
      <c r="DH50" s="507"/>
      <c r="DI50" s="507"/>
      <c r="DJ50" s="507"/>
      <c r="DK50" s="507"/>
      <c r="DL50" s="507"/>
      <c r="DM50" s="507"/>
      <c r="DN50" s="507"/>
      <c r="DO50" s="507"/>
      <c r="DP50" s="507"/>
      <c r="DQ50" s="507"/>
      <c r="DR50" s="507"/>
      <c r="DS50" s="507"/>
      <c r="DT50" s="507"/>
      <c r="DU50" s="507"/>
      <c r="DV50" s="507"/>
      <c r="DW50" s="507"/>
      <c r="DX50" s="507"/>
      <c r="DY50" s="507"/>
      <c r="DZ50" s="507"/>
      <c r="EA50" s="507"/>
      <c r="EB50" s="507"/>
      <c r="EC50" s="507"/>
      <c r="ED50" s="507"/>
      <c r="EE50" s="507"/>
      <c r="EF50" s="507"/>
      <c r="EG50" s="507"/>
      <c r="EH50" s="507"/>
      <c r="EI50" s="507"/>
      <c r="EJ50" s="507"/>
      <c r="EK50" s="507"/>
      <c r="EL50" s="507"/>
      <c r="EM50" s="507"/>
      <c r="EN50" s="507"/>
      <c r="EO50" s="507"/>
      <c r="EP50" s="507"/>
      <c r="EQ50" s="507"/>
      <c r="ER50" s="507"/>
      <c r="ES50" s="507"/>
      <c r="ET50" s="507"/>
      <c r="EU50" s="507"/>
      <c r="EV50" s="507"/>
      <c r="EW50" s="507"/>
      <c r="EX50" s="507"/>
      <c r="EY50" s="507"/>
      <c r="EZ50" s="507"/>
      <c r="FA50" s="507"/>
      <c r="FB50" s="507"/>
      <c r="FC50" s="507"/>
      <c r="FD50" s="507"/>
      <c r="FE50" s="507"/>
      <c r="FF50" s="507"/>
      <c r="FG50" s="507"/>
      <c r="FH50" s="507"/>
      <c r="FI50" s="507"/>
      <c r="FJ50" s="507"/>
      <c r="FK50" s="507"/>
      <c r="FL50" s="507"/>
      <c r="FM50" s="507"/>
      <c r="FN50" s="507"/>
      <c r="FO50" s="507"/>
      <c r="FP50" s="507"/>
      <c r="FQ50" s="507"/>
      <c r="FR50" s="507"/>
      <c r="FS50" s="507"/>
      <c r="FT50" s="507"/>
      <c r="FU50" s="507"/>
      <c r="FV50" s="507"/>
      <c r="FW50" s="507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</row>
    <row r="51" spans="1:234" s="232" customFormat="1" ht="15.9" hidden="1" customHeight="1" x14ac:dyDescent="0.25">
      <c r="A51" s="522" t="s">
        <v>837</v>
      </c>
      <c r="B51" s="523" t="s">
        <v>1619</v>
      </c>
      <c r="C51" s="526" t="s">
        <v>3584</v>
      </c>
      <c r="D51" s="570" t="s">
        <v>189</v>
      </c>
      <c r="E51" s="569" t="s">
        <v>905</v>
      </c>
      <c r="F51" s="543">
        <v>38510</v>
      </c>
      <c r="G51" s="544">
        <v>38443</v>
      </c>
      <c r="H51" s="562">
        <v>38503</v>
      </c>
      <c r="I51" s="546">
        <v>40116</v>
      </c>
      <c r="J51" s="547">
        <v>1000</v>
      </c>
      <c r="K51" s="558">
        <v>-0.03</v>
      </c>
      <c r="L51" s="559">
        <v>4.4999999999999998E-2</v>
      </c>
      <c r="M51" s="550">
        <v>0.06</v>
      </c>
      <c r="N51" s="560" t="s">
        <v>3229</v>
      </c>
      <c r="O51" s="552" t="s">
        <v>3229</v>
      </c>
      <c r="P51" s="552" t="s">
        <v>3229</v>
      </c>
      <c r="Q51" s="552" t="s">
        <v>3229</v>
      </c>
      <c r="R51" s="552" t="s">
        <v>3229</v>
      </c>
      <c r="S51" s="567">
        <v>4</v>
      </c>
      <c r="T51" s="555">
        <v>38869</v>
      </c>
      <c r="U51" s="555">
        <v>39234</v>
      </c>
      <c r="V51" s="555">
        <v>39600</v>
      </c>
      <c r="W51" s="555">
        <v>40087</v>
      </c>
      <c r="X51" s="555" t="s">
        <v>3229</v>
      </c>
      <c r="Y51" s="555" t="s">
        <v>3229</v>
      </c>
      <c r="Z51" s="555" t="s">
        <v>3229</v>
      </c>
      <c r="AA51" s="555" t="s">
        <v>3229</v>
      </c>
      <c r="AB51" s="555" t="s">
        <v>3229</v>
      </c>
      <c r="AC51" s="555" t="s">
        <v>3229</v>
      </c>
      <c r="AD51" s="555" t="s">
        <v>3229</v>
      </c>
      <c r="AE51" s="556" t="s">
        <v>3229</v>
      </c>
      <c r="AF51" s="3782" t="s">
        <v>781</v>
      </c>
      <c r="AG51" s="3765"/>
      <c r="AH51" s="622">
        <v>0.5</v>
      </c>
      <c r="AI51" s="622">
        <v>0.5</v>
      </c>
      <c r="AJ51" s="622" t="s">
        <v>3229</v>
      </c>
      <c r="AK51" s="622" t="s">
        <v>3229</v>
      </c>
      <c r="AL51" s="622" t="s">
        <v>3229</v>
      </c>
      <c r="AM51" s="590" t="s">
        <v>3229</v>
      </c>
      <c r="AN51" s="576">
        <v>0.06</v>
      </c>
      <c r="AO51" s="652">
        <v>1086.93</v>
      </c>
      <c r="AP51" s="1368" t="s">
        <v>3229</v>
      </c>
      <c r="AQ51" s="658" t="s">
        <v>3229</v>
      </c>
      <c r="AR51" s="558">
        <f>AO51/J51-1</f>
        <v>8.6930000000000174E-2</v>
      </c>
      <c r="AS51" s="558">
        <f t="shared" si="4"/>
        <v>1.9125411874180376E-2</v>
      </c>
      <c r="AT51" s="589"/>
      <c r="AU51" s="559"/>
      <c r="AV51" s="558">
        <v>2.0000000000000018E-3</v>
      </c>
      <c r="AW51" s="558">
        <v>5.602728480540442E-4</v>
      </c>
      <c r="AX51" s="653"/>
      <c r="AY51" s="654"/>
      <c r="AZ51" s="642">
        <f t="shared" si="9"/>
        <v>1002</v>
      </c>
      <c r="BA51" s="644" t="s">
        <v>3189</v>
      </c>
      <c r="BB51" s="570" t="s">
        <v>2025</v>
      </c>
      <c r="BC51" s="637" t="s">
        <v>2895</v>
      </c>
      <c r="BD51" s="3708"/>
      <c r="BE51" s="3743"/>
      <c r="BF51" s="3743"/>
      <c r="BG51" s="3708"/>
      <c r="BH51" s="3762"/>
      <c r="BI51" s="3762"/>
      <c r="BJ51" s="39"/>
      <c r="BK51" s="39"/>
      <c r="BL51" s="39"/>
      <c r="BM51" s="39"/>
      <c r="BN51" s="39"/>
      <c r="BO51" s="39"/>
      <c r="BP51" s="39"/>
      <c r="BQ51" s="39"/>
      <c r="BR51" s="39"/>
      <c r="BS51" s="507"/>
      <c r="BT51" s="507"/>
      <c r="BU51" s="507"/>
      <c r="BV51" s="507"/>
      <c r="BW51" s="507"/>
      <c r="BX51" s="507"/>
      <c r="BY51" s="507"/>
      <c r="BZ51" s="507"/>
      <c r="CA51" s="507"/>
      <c r="CB51" s="507"/>
      <c r="CC51" s="507"/>
      <c r="CD51" s="507"/>
      <c r="CE51" s="507"/>
      <c r="CF51" s="507"/>
      <c r="CG51" s="507"/>
      <c r="CH51" s="507"/>
      <c r="CI51" s="507"/>
      <c r="CJ51" s="507"/>
      <c r="CK51" s="507"/>
      <c r="CL51" s="507"/>
      <c r="CM51" s="507"/>
      <c r="CN51" s="507"/>
      <c r="CO51" s="507"/>
      <c r="CP51" s="507"/>
      <c r="CQ51" s="507"/>
      <c r="CR51" s="507"/>
      <c r="CS51" s="507"/>
      <c r="CT51" s="507"/>
      <c r="CU51" s="507"/>
      <c r="CV51" s="507"/>
      <c r="CW51" s="507"/>
      <c r="CX51" s="507"/>
      <c r="CY51" s="507"/>
      <c r="CZ51" s="507"/>
      <c r="DA51" s="507"/>
      <c r="DB51" s="507"/>
      <c r="DC51" s="507"/>
      <c r="DD51" s="507"/>
      <c r="DE51" s="507"/>
      <c r="DF51" s="507"/>
      <c r="DG51" s="507"/>
      <c r="DH51" s="507"/>
      <c r="DI51" s="507"/>
      <c r="DJ51" s="507"/>
      <c r="DK51" s="507"/>
      <c r="DL51" s="507"/>
      <c r="DM51" s="507"/>
      <c r="DN51" s="507"/>
      <c r="DO51" s="507"/>
      <c r="DP51" s="507"/>
      <c r="DQ51" s="507"/>
      <c r="DR51" s="507"/>
      <c r="DS51" s="507"/>
      <c r="DT51" s="507"/>
      <c r="DU51" s="507"/>
      <c r="DV51" s="507"/>
      <c r="DW51" s="507"/>
      <c r="DX51" s="507"/>
      <c r="DY51" s="507"/>
      <c r="DZ51" s="507"/>
      <c r="EA51" s="507"/>
      <c r="EB51" s="507"/>
      <c r="EC51" s="507"/>
      <c r="ED51" s="507"/>
      <c r="EE51" s="507"/>
      <c r="EF51" s="507"/>
      <c r="EG51" s="507"/>
      <c r="EH51" s="507"/>
      <c r="EI51" s="507"/>
      <c r="EJ51" s="507"/>
      <c r="EK51" s="507"/>
      <c r="EL51" s="507"/>
      <c r="EM51" s="507"/>
      <c r="EN51" s="507"/>
      <c r="EO51" s="507"/>
      <c r="EP51" s="507"/>
      <c r="EQ51" s="507"/>
      <c r="ER51" s="507"/>
      <c r="ES51" s="507"/>
      <c r="ET51" s="507"/>
      <c r="EU51" s="507"/>
      <c r="EV51" s="507"/>
      <c r="EW51" s="507"/>
      <c r="EX51" s="507"/>
      <c r="EY51" s="507"/>
      <c r="EZ51" s="507"/>
      <c r="FA51" s="507"/>
      <c r="FB51" s="507"/>
      <c r="FC51" s="507"/>
      <c r="FD51" s="507"/>
      <c r="FE51" s="507"/>
      <c r="FF51" s="507"/>
      <c r="FG51" s="507"/>
      <c r="FH51" s="507"/>
      <c r="FI51" s="507"/>
      <c r="FJ51" s="507"/>
      <c r="FK51" s="507"/>
      <c r="FL51" s="507"/>
      <c r="FM51" s="507"/>
      <c r="FN51" s="507"/>
      <c r="FO51" s="507"/>
      <c r="FP51" s="507"/>
      <c r="FQ51" s="507"/>
      <c r="FR51" s="507"/>
      <c r="FS51" s="507"/>
      <c r="FT51" s="507"/>
      <c r="FU51" s="507"/>
      <c r="FV51" s="507"/>
      <c r="FW51" s="507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</row>
    <row r="52" spans="1:234" s="206" customFormat="1" ht="15.9" hidden="1" customHeight="1" x14ac:dyDescent="0.25">
      <c r="A52" s="522" t="s">
        <v>2518</v>
      </c>
      <c r="B52" s="523" t="s">
        <v>1242</v>
      </c>
      <c r="C52" s="526" t="s">
        <v>3467</v>
      </c>
      <c r="D52" s="570" t="s">
        <v>2158</v>
      </c>
      <c r="E52" s="569" t="s">
        <v>3228</v>
      </c>
      <c r="F52" s="543">
        <v>38510</v>
      </c>
      <c r="G52" s="544">
        <v>38460</v>
      </c>
      <c r="H52" s="562">
        <v>38503</v>
      </c>
      <c r="I52" s="546">
        <v>40543</v>
      </c>
      <c r="J52" s="547">
        <v>10</v>
      </c>
      <c r="K52" s="558">
        <v>-0.03</v>
      </c>
      <c r="L52" s="559">
        <v>3.5000000000000003E-2</v>
      </c>
      <c r="M52" s="550">
        <v>0.08</v>
      </c>
      <c r="N52" s="560" t="s">
        <v>3229</v>
      </c>
      <c r="O52" s="552" t="s">
        <v>3229</v>
      </c>
      <c r="P52" s="552" t="s">
        <v>3229</v>
      </c>
      <c r="Q52" s="552" t="s">
        <v>3229</v>
      </c>
      <c r="R52" s="552" t="s">
        <v>3229</v>
      </c>
      <c r="S52" s="567">
        <v>11</v>
      </c>
      <c r="T52" s="555">
        <v>38687</v>
      </c>
      <c r="U52" s="555">
        <v>38869</v>
      </c>
      <c r="V52" s="555">
        <v>39052</v>
      </c>
      <c r="W52" s="555">
        <v>39234</v>
      </c>
      <c r="X52" s="555">
        <v>39417</v>
      </c>
      <c r="Y52" s="555">
        <v>39600</v>
      </c>
      <c r="Z52" s="555">
        <v>39783</v>
      </c>
      <c r="AA52" s="555">
        <v>39965</v>
      </c>
      <c r="AB52" s="555">
        <v>40148</v>
      </c>
      <c r="AC52" s="555">
        <v>40330</v>
      </c>
      <c r="AD52" s="555">
        <v>40513</v>
      </c>
      <c r="AE52" s="556" t="s">
        <v>3229</v>
      </c>
      <c r="AF52" s="3782" t="s">
        <v>781</v>
      </c>
      <c r="AG52" s="3765"/>
      <c r="AH52" s="622">
        <v>0.5</v>
      </c>
      <c r="AI52" s="622">
        <v>0.5</v>
      </c>
      <c r="AJ52" s="622" t="s">
        <v>3229</v>
      </c>
      <c r="AK52" s="655" t="s">
        <v>3229</v>
      </c>
      <c r="AL52" s="655" t="s">
        <v>3229</v>
      </c>
      <c r="AM52" s="590" t="s">
        <v>3229</v>
      </c>
      <c r="AN52" s="576">
        <v>0.10610000000000003</v>
      </c>
      <c r="AO52" s="652">
        <v>11.06</v>
      </c>
      <c r="AP52" s="1368" t="s">
        <v>3229</v>
      </c>
      <c r="AQ52" s="658" t="s">
        <v>3229</v>
      </c>
      <c r="AR52" s="558" t="e">
        <f>MAX(0,AF52*L52+SUM('klikací hodnoty'!F893:F914))</f>
        <v>#VALUE!</v>
      </c>
      <c r="AS52" s="558" t="e">
        <f t="shared" si="4"/>
        <v>#VALUE!</v>
      </c>
      <c r="AT52" s="650" t="s">
        <v>3229</v>
      </c>
      <c r="AU52" s="552" t="s">
        <v>3229</v>
      </c>
      <c r="AV52" s="558">
        <v>0.14399999999999991</v>
      </c>
      <c r="AW52" s="558">
        <v>5.3980169998326E-2</v>
      </c>
      <c r="AX52" s="653"/>
      <c r="AY52" s="654"/>
      <c r="AZ52" s="642">
        <f t="shared" si="9"/>
        <v>11.44</v>
      </c>
      <c r="BA52" s="644" t="s">
        <v>3189</v>
      </c>
      <c r="BB52" s="570" t="s">
        <v>2025</v>
      </c>
      <c r="BC52" s="637" t="s">
        <v>2895</v>
      </c>
      <c r="BD52" s="3708"/>
      <c r="BE52" s="3743"/>
      <c r="BF52" s="3743"/>
      <c r="BG52" s="3708"/>
      <c r="BH52" s="3762"/>
      <c r="BI52" s="3762"/>
      <c r="BJ52" s="39"/>
      <c r="BK52" s="39"/>
      <c r="BL52" s="39"/>
      <c r="BM52" s="39"/>
      <c r="BN52" s="39"/>
      <c r="BO52" s="39"/>
      <c r="BP52" s="39"/>
      <c r="BQ52" s="39"/>
      <c r="BR52" s="39"/>
      <c r="BS52" s="507"/>
      <c r="BT52" s="507"/>
      <c r="BU52" s="507"/>
      <c r="BV52" s="507"/>
      <c r="BW52" s="507"/>
      <c r="BX52" s="507"/>
      <c r="BY52" s="507"/>
      <c r="BZ52" s="507"/>
      <c r="CA52" s="507"/>
      <c r="CB52" s="507"/>
      <c r="CC52" s="507"/>
      <c r="CD52" s="507"/>
      <c r="CE52" s="507"/>
      <c r="CF52" s="507"/>
      <c r="CG52" s="507"/>
      <c r="CH52" s="507"/>
      <c r="CI52" s="507"/>
      <c r="CJ52" s="507"/>
      <c r="CK52" s="507"/>
      <c r="CL52" s="507"/>
      <c r="CM52" s="507"/>
      <c r="CN52" s="507"/>
      <c r="CO52" s="507"/>
      <c r="CP52" s="507"/>
      <c r="CQ52" s="507"/>
      <c r="CR52" s="507"/>
      <c r="CS52" s="507"/>
      <c r="CT52" s="507"/>
      <c r="CU52" s="507"/>
      <c r="CV52" s="507"/>
      <c r="CW52" s="507"/>
      <c r="CX52" s="507"/>
      <c r="CY52" s="507"/>
      <c r="CZ52" s="507"/>
      <c r="DA52" s="507"/>
      <c r="DB52" s="507"/>
      <c r="DC52" s="507"/>
      <c r="DD52" s="507"/>
      <c r="DE52" s="507"/>
      <c r="DF52" s="507"/>
      <c r="DG52" s="507"/>
      <c r="DH52" s="507"/>
      <c r="DI52" s="507"/>
      <c r="DJ52" s="507"/>
      <c r="DK52" s="507"/>
      <c r="DL52" s="507"/>
      <c r="DM52" s="507"/>
      <c r="DN52" s="507"/>
      <c r="DO52" s="507"/>
      <c r="DP52" s="507"/>
      <c r="DQ52" s="507"/>
      <c r="DR52" s="507"/>
      <c r="DS52" s="507"/>
      <c r="DT52" s="507"/>
      <c r="DU52" s="507"/>
      <c r="DV52" s="507"/>
      <c r="DW52" s="507"/>
      <c r="DX52" s="507"/>
      <c r="DY52" s="507"/>
      <c r="DZ52" s="507"/>
      <c r="EA52" s="507"/>
      <c r="EB52" s="507"/>
      <c r="EC52" s="507"/>
      <c r="ED52" s="507"/>
      <c r="EE52" s="507"/>
      <c r="EF52" s="507"/>
      <c r="EG52" s="507"/>
      <c r="EH52" s="507"/>
      <c r="EI52" s="507"/>
      <c r="EJ52" s="507"/>
      <c r="EK52" s="507"/>
      <c r="EL52" s="507"/>
      <c r="EM52" s="507"/>
      <c r="EN52" s="507"/>
      <c r="EO52" s="507"/>
      <c r="EP52" s="507"/>
      <c r="EQ52" s="507"/>
      <c r="ER52" s="507"/>
      <c r="ES52" s="507"/>
      <c r="ET52" s="507"/>
      <c r="EU52" s="507"/>
      <c r="EV52" s="507"/>
      <c r="EW52" s="507"/>
      <c r="EX52" s="507"/>
      <c r="EY52" s="507"/>
      <c r="EZ52" s="507"/>
      <c r="FA52" s="507"/>
      <c r="FB52" s="507"/>
      <c r="FC52" s="507"/>
      <c r="FD52" s="507"/>
      <c r="FE52" s="507"/>
      <c r="FF52" s="507"/>
      <c r="FG52" s="507"/>
      <c r="FH52" s="507"/>
      <c r="FI52" s="507"/>
      <c r="FJ52" s="507"/>
      <c r="FK52" s="507"/>
      <c r="FL52" s="507"/>
      <c r="FM52" s="507"/>
      <c r="FN52" s="507"/>
      <c r="FO52" s="507"/>
      <c r="FP52" s="507"/>
      <c r="FQ52" s="507"/>
      <c r="FR52" s="507"/>
      <c r="FS52" s="507"/>
      <c r="FT52" s="507"/>
      <c r="FU52" s="507"/>
      <c r="FV52" s="507"/>
      <c r="FW52" s="507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</row>
    <row r="53" spans="1:234" s="232" customFormat="1" ht="15.9" hidden="1" customHeight="1" x14ac:dyDescent="0.25">
      <c r="A53" s="522" t="s">
        <v>3860</v>
      </c>
      <c r="B53" s="523" t="s">
        <v>3110</v>
      </c>
      <c r="C53" s="526" t="s">
        <v>3585</v>
      </c>
      <c r="D53" s="570" t="s">
        <v>189</v>
      </c>
      <c r="E53" s="569" t="s">
        <v>3228</v>
      </c>
      <c r="F53" s="543">
        <v>38510</v>
      </c>
      <c r="G53" s="544">
        <v>38460</v>
      </c>
      <c r="H53" s="562">
        <v>38503</v>
      </c>
      <c r="I53" s="546">
        <v>40177</v>
      </c>
      <c r="J53" s="547">
        <v>10</v>
      </c>
      <c r="K53" s="553" t="s">
        <v>3229</v>
      </c>
      <c r="L53" s="573" t="s">
        <v>3229</v>
      </c>
      <c r="M53" s="560">
        <v>0</v>
      </c>
      <c r="N53" s="560" t="s">
        <v>3229</v>
      </c>
      <c r="O53" s="549">
        <v>0.25</v>
      </c>
      <c r="P53" s="552" t="s">
        <v>3229</v>
      </c>
      <c r="Q53" s="552" t="s">
        <v>3229</v>
      </c>
      <c r="R53" s="552" t="s">
        <v>3229</v>
      </c>
      <c r="S53" s="567"/>
      <c r="T53" s="553" t="s">
        <v>3229</v>
      </c>
      <c r="U53" s="553" t="s">
        <v>3229</v>
      </c>
      <c r="V53" s="553" t="s">
        <v>3229</v>
      </c>
      <c r="W53" s="553" t="s">
        <v>3229</v>
      </c>
      <c r="X53" s="553" t="s">
        <v>3229</v>
      </c>
      <c r="Y53" s="553" t="s">
        <v>3229</v>
      </c>
      <c r="Z53" s="553" t="s">
        <v>3229</v>
      </c>
      <c r="AA53" s="553" t="s">
        <v>3229</v>
      </c>
      <c r="AB53" s="553" t="s">
        <v>3229</v>
      </c>
      <c r="AC53" s="553" t="s">
        <v>3229</v>
      </c>
      <c r="AD53" s="553" t="s">
        <v>3229</v>
      </c>
      <c r="AE53" s="556" t="s">
        <v>3229</v>
      </c>
      <c r="AF53" s="3782" t="s">
        <v>781</v>
      </c>
      <c r="AG53" s="3783"/>
      <c r="AH53" s="553" t="s">
        <v>3229</v>
      </c>
      <c r="AI53" s="553" t="s">
        <v>3229</v>
      </c>
      <c r="AJ53" s="622" t="s">
        <v>3229</v>
      </c>
      <c r="AK53" s="656" t="s">
        <v>3229</v>
      </c>
      <c r="AL53" s="655" t="s">
        <v>3229</v>
      </c>
      <c r="AM53" s="590">
        <v>1</v>
      </c>
      <c r="AN53" s="576">
        <v>0</v>
      </c>
      <c r="AO53" s="652">
        <v>10.27</v>
      </c>
      <c r="AP53" s="1368">
        <v>-0.14163237187961111</v>
      </c>
      <c r="AQ53" s="658">
        <v>-0.14163237187961111</v>
      </c>
      <c r="AR53" s="558">
        <f>AO53/J53-1</f>
        <v>2.6999999999999913E-2</v>
      </c>
      <c r="AS53" s="558">
        <f t="shared" si="4"/>
        <v>5.8504636985499126E-3</v>
      </c>
      <c r="AT53" s="589" t="s">
        <v>3229</v>
      </c>
      <c r="AU53" s="559" t="s">
        <v>3229</v>
      </c>
      <c r="AV53" s="558">
        <f>AO53/J53-1</f>
        <v>2.6999999999999913E-2</v>
      </c>
      <c r="AW53" s="558">
        <f t="shared" ref="AW53:AW74" si="10">POWER(1+AV53,1/((I53-F53)/365))-1</f>
        <v>5.8504636985499126E-3</v>
      </c>
      <c r="AX53" s="648" t="s">
        <v>3229</v>
      </c>
      <c r="AY53" s="559" t="s">
        <v>3229</v>
      </c>
      <c r="AZ53" s="642">
        <f t="shared" si="9"/>
        <v>10.27</v>
      </c>
      <c r="BA53" s="644" t="s">
        <v>3609</v>
      </c>
      <c r="BB53" s="570"/>
      <c r="BC53" s="637"/>
      <c r="BD53" s="3708"/>
      <c r="BE53" s="3743"/>
      <c r="BF53" s="3743"/>
      <c r="BG53" s="3708"/>
      <c r="BH53" s="3762"/>
      <c r="BI53" s="3762"/>
      <c r="BJ53" s="39"/>
      <c r="BK53" s="39"/>
      <c r="BL53" s="39"/>
      <c r="BM53" s="39"/>
      <c r="BN53" s="39"/>
      <c r="BO53" s="39"/>
      <c r="BP53" s="39"/>
      <c r="BQ53" s="39"/>
      <c r="BR53" s="39"/>
      <c r="BS53" s="507"/>
      <c r="BT53" s="507"/>
      <c r="BU53" s="507"/>
      <c r="BV53" s="507"/>
      <c r="BW53" s="507"/>
      <c r="BX53" s="507"/>
      <c r="BY53" s="507"/>
      <c r="BZ53" s="507"/>
      <c r="CA53" s="507"/>
      <c r="CB53" s="507"/>
      <c r="CC53" s="507"/>
      <c r="CD53" s="507"/>
      <c r="CE53" s="507"/>
      <c r="CF53" s="507"/>
      <c r="CG53" s="507"/>
      <c r="CH53" s="507"/>
      <c r="CI53" s="507"/>
      <c r="CJ53" s="507"/>
      <c r="CK53" s="507"/>
      <c r="CL53" s="507"/>
      <c r="CM53" s="507"/>
      <c r="CN53" s="507"/>
      <c r="CO53" s="507"/>
      <c r="CP53" s="507"/>
      <c r="CQ53" s="507"/>
      <c r="CR53" s="507"/>
      <c r="CS53" s="507"/>
      <c r="CT53" s="507"/>
      <c r="CU53" s="507"/>
      <c r="CV53" s="507"/>
      <c r="CW53" s="507"/>
      <c r="CX53" s="507"/>
      <c r="CY53" s="507"/>
      <c r="CZ53" s="507"/>
      <c r="DA53" s="507"/>
      <c r="DB53" s="507"/>
      <c r="DC53" s="507"/>
      <c r="DD53" s="507"/>
      <c r="DE53" s="507"/>
      <c r="DF53" s="507"/>
      <c r="DG53" s="507"/>
      <c r="DH53" s="507"/>
      <c r="DI53" s="507"/>
      <c r="DJ53" s="507"/>
      <c r="DK53" s="507"/>
      <c r="DL53" s="507"/>
      <c r="DM53" s="507"/>
      <c r="DN53" s="507"/>
      <c r="DO53" s="507"/>
      <c r="DP53" s="507"/>
      <c r="DQ53" s="507"/>
      <c r="DR53" s="507"/>
      <c r="DS53" s="507"/>
      <c r="DT53" s="507"/>
      <c r="DU53" s="507"/>
      <c r="DV53" s="507"/>
      <c r="DW53" s="507"/>
      <c r="DX53" s="507"/>
      <c r="DY53" s="507"/>
      <c r="DZ53" s="507"/>
      <c r="EA53" s="507"/>
      <c r="EB53" s="507"/>
      <c r="EC53" s="507"/>
      <c r="ED53" s="507"/>
      <c r="EE53" s="507"/>
      <c r="EF53" s="507"/>
      <c r="EG53" s="507"/>
      <c r="EH53" s="507"/>
      <c r="EI53" s="507"/>
      <c r="EJ53" s="507"/>
      <c r="EK53" s="507"/>
      <c r="EL53" s="507"/>
      <c r="EM53" s="507"/>
      <c r="EN53" s="507"/>
      <c r="EO53" s="507"/>
      <c r="EP53" s="507"/>
      <c r="EQ53" s="507"/>
      <c r="ER53" s="507"/>
      <c r="ES53" s="507"/>
      <c r="ET53" s="507"/>
      <c r="EU53" s="507"/>
      <c r="EV53" s="507"/>
      <c r="EW53" s="507"/>
      <c r="EX53" s="507"/>
      <c r="EY53" s="507"/>
      <c r="EZ53" s="507"/>
      <c r="FA53" s="507"/>
      <c r="FB53" s="507"/>
      <c r="FC53" s="507"/>
      <c r="FD53" s="507"/>
      <c r="FE53" s="507"/>
      <c r="FF53" s="507"/>
      <c r="FG53" s="507"/>
      <c r="FH53" s="507"/>
      <c r="FI53" s="507"/>
      <c r="FJ53" s="507"/>
      <c r="FK53" s="507"/>
      <c r="FL53" s="507"/>
      <c r="FM53" s="507"/>
      <c r="FN53" s="507"/>
      <c r="FO53" s="507"/>
      <c r="FP53" s="507"/>
      <c r="FQ53" s="507"/>
      <c r="FR53" s="507"/>
      <c r="FS53" s="507"/>
      <c r="FT53" s="507"/>
      <c r="FU53" s="507"/>
      <c r="FV53" s="507"/>
      <c r="FW53" s="507"/>
      <c r="FX53" s="507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</row>
    <row r="54" spans="1:234" s="232" customFormat="1" ht="15.9" hidden="1" customHeight="1" x14ac:dyDescent="0.25">
      <c r="A54" s="522" t="s">
        <v>2775</v>
      </c>
      <c r="B54" s="523" t="s">
        <v>1243</v>
      </c>
      <c r="C54" s="526" t="s">
        <v>1192</v>
      </c>
      <c r="D54" s="570" t="s">
        <v>2758</v>
      </c>
      <c r="E54" s="569" t="s">
        <v>3228</v>
      </c>
      <c r="F54" s="543">
        <v>38510</v>
      </c>
      <c r="G54" s="544">
        <v>38460</v>
      </c>
      <c r="H54" s="562">
        <v>38503</v>
      </c>
      <c r="I54" s="546">
        <v>41089</v>
      </c>
      <c r="J54" s="547">
        <v>10000</v>
      </c>
      <c r="K54" s="553" t="s">
        <v>3229</v>
      </c>
      <c r="L54" s="573" t="s">
        <v>3229</v>
      </c>
      <c r="M54" s="560">
        <v>9.3200000000000005E-2</v>
      </c>
      <c r="N54" s="560" t="s">
        <v>3229</v>
      </c>
      <c r="O54" s="549" t="s">
        <v>3229</v>
      </c>
      <c r="P54" s="552" t="s">
        <v>3229</v>
      </c>
      <c r="Q54" s="552">
        <v>3.3000000000000002E-2</v>
      </c>
      <c r="R54" s="552">
        <v>1.5</v>
      </c>
      <c r="S54" s="567">
        <v>7</v>
      </c>
      <c r="T54" s="555">
        <v>38838</v>
      </c>
      <c r="U54" s="555">
        <v>39203</v>
      </c>
      <c r="V54" s="555">
        <v>39569</v>
      </c>
      <c r="W54" s="555">
        <v>39934</v>
      </c>
      <c r="X54" s="555">
        <v>40299</v>
      </c>
      <c r="Y54" s="555">
        <v>40664</v>
      </c>
      <c r="Z54" s="555">
        <v>41030</v>
      </c>
      <c r="AA54" s="553" t="s">
        <v>3229</v>
      </c>
      <c r="AB54" s="553" t="s">
        <v>3229</v>
      </c>
      <c r="AC54" s="553" t="s">
        <v>3229</v>
      </c>
      <c r="AD54" s="553" t="s">
        <v>3229</v>
      </c>
      <c r="AE54" s="556" t="s">
        <v>3229</v>
      </c>
      <c r="AF54" s="3764" t="s">
        <v>781</v>
      </c>
      <c r="AG54" s="3765"/>
      <c r="AH54" s="553" t="s">
        <v>3229</v>
      </c>
      <c r="AI54" s="553" t="s">
        <v>3229</v>
      </c>
      <c r="AJ54" s="622" t="s">
        <v>3229</v>
      </c>
      <c r="AK54" s="656" t="s">
        <v>3229</v>
      </c>
      <c r="AL54" s="655" t="s">
        <v>3229</v>
      </c>
      <c r="AM54" s="590">
        <v>1</v>
      </c>
      <c r="AN54" s="576">
        <v>9.3200000000000005E-2</v>
      </c>
      <c r="AO54" s="652">
        <v>10912.56</v>
      </c>
      <c r="AP54" s="1368" t="s">
        <v>3229</v>
      </c>
      <c r="AQ54" s="658" t="s">
        <v>3229</v>
      </c>
      <c r="AR54" s="558">
        <v>9.3200000000000005E-2</v>
      </c>
      <c r="AS54" s="558">
        <f t="shared" si="4"/>
        <v>1.269127802974257E-2</v>
      </c>
      <c r="AT54" s="589"/>
      <c r="AU54" s="559"/>
      <c r="AV54" s="558">
        <f>M54</f>
        <v>9.3200000000000005E-2</v>
      </c>
      <c r="AW54" s="558">
        <f t="shared" si="10"/>
        <v>1.269127802974257E-2</v>
      </c>
      <c r="AX54" s="648" t="s">
        <v>3229</v>
      </c>
      <c r="AY54" s="559" t="s">
        <v>3229</v>
      </c>
      <c r="AZ54" s="642">
        <f t="shared" si="9"/>
        <v>10932</v>
      </c>
      <c r="BA54" s="644" t="s">
        <v>274</v>
      </c>
      <c r="BB54" s="570"/>
      <c r="BC54" s="637"/>
      <c r="BD54" s="3709">
        <f>'klikací hodnoty'!F986</f>
        <v>9.3200000000000005E-2</v>
      </c>
      <c r="BE54" s="3743"/>
      <c r="BF54" s="3743"/>
      <c r="BG54" s="3708"/>
      <c r="BH54" s="3762"/>
      <c r="BI54" s="3762"/>
      <c r="BJ54" s="39"/>
      <c r="BK54" s="39"/>
      <c r="BL54" s="39"/>
      <c r="BM54" s="39"/>
      <c r="BN54" s="39"/>
      <c r="BO54" s="39"/>
      <c r="BP54" s="39"/>
      <c r="BQ54" s="39"/>
      <c r="BR54" s="39"/>
      <c r="BS54" s="507"/>
      <c r="BT54" s="507"/>
      <c r="BU54" s="507"/>
      <c r="BV54" s="507"/>
      <c r="BW54" s="507"/>
      <c r="BX54" s="507"/>
      <c r="BY54" s="507"/>
      <c r="BZ54" s="507"/>
      <c r="CA54" s="507"/>
      <c r="CB54" s="507"/>
      <c r="CC54" s="507"/>
      <c r="CD54" s="507"/>
      <c r="CE54" s="507"/>
      <c r="CF54" s="507"/>
      <c r="CG54" s="507"/>
      <c r="CH54" s="507"/>
      <c r="CI54" s="507"/>
      <c r="CJ54" s="507"/>
      <c r="CK54" s="507"/>
      <c r="CL54" s="507"/>
      <c r="CM54" s="507"/>
      <c r="CN54" s="507"/>
      <c r="CO54" s="507"/>
      <c r="CP54" s="507"/>
      <c r="CQ54" s="507"/>
      <c r="CR54" s="507"/>
      <c r="CS54" s="507"/>
      <c r="CT54" s="507"/>
      <c r="CU54" s="507"/>
      <c r="CV54" s="507"/>
      <c r="CW54" s="507"/>
      <c r="CX54" s="507"/>
      <c r="CY54" s="507"/>
      <c r="CZ54" s="507"/>
      <c r="DA54" s="507"/>
      <c r="DB54" s="507"/>
      <c r="DC54" s="507"/>
      <c r="DD54" s="507"/>
      <c r="DE54" s="507"/>
      <c r="DF54" s="507"/>
      <c r="DG54" s="507"/>
      <c r="DH54" s="507"/>
      <c r="DI54" s="507"/>
      <c r="DJ54" s="507"/>
      <c r="DK54" s="507"/>
      <c r="DL54" s="507"/>
      <c r="DM54" s="507"/>
      <c r="DN54" s="507"/>
      <c r="DO54" s="507"/>
      <c r="DP54" s="507"/>
      <c r="DQ54" s="507"/>
      <c r="DR54" s="507"/>
      <c r="DS54" s="507"/>
      <c r="DT54" s="507"/>
      <c r="DU54" s="507"/>
      <c r="DV54" s="507"/>
      <c r="DW54" s="507"/>
      <c r="DX54" s="507"/>
      <c r="DY54" s="507"/>
      <c r="DZ54" s="507"/>
      <c r="EA54" s="507"/>
      <c r="EB54" s="507"/>
      <c r="EC54" s="507"/>
      <c r="ED54" s="507"/>
      <c r="EE54" s="507"/>
      <c r="EF54" s="507"/>
      <c r="EG54" s="507"/>
      <c r="EH54" s="507"/>
      <c r="EI54" s="507"/>
      <c r="EJ54" s="507"/>
      <c r="EK54" s="507"/>
      <c r="EL54" s="507"/>
      <c r="EM54" s="507"/>
      <c r="EN54" s="507"/>
      <c r="EO54" s="507"/>
      <c r="EP54" s="507"/>
      <c r="EQ54" s="507"/>
      <c r="ER54" s="507"/>
      <c r="ES54" s="507"/>
      <c r="ET54" s="507"/>
      <c r="EU54" s="507"/>
      <c r="EV54" s="507"/>
      <c r="EW54" s="507"/>
      <c r="EX54" s="507"/>
      <c r="EY54" s="507"/>
      <c r="EZ54" s="507"/>
      <c r="FA54" s="507"/>
      <c r="FB54" s="507"/>
      <c r="FC54" s="507"/>
      <c r="FD54" s="507"/>
      <c r="FE54" s="507"/>
      <c r="FF54" s="507"/>
      <c r="FG54" s="507"/>
      <c r="FH54" s="507"/>
      <c r="FI54" s="507"/>
      <c r="FJ54" s="507"/>
      <c r="FK54" s="507"/>
      <c r="FL54" s="507"/>
      <c r="FM54" s="507"/>
      <c r="FN54" s="507"/>
      <c r="FO54" s="507"/>
      <c r="FP54" s="507"/>
      <c r="FQ54" s="507"/>
      <c r="FR54" s="507"/>
      <c r="FS54" s="507"/>
      <c r="FT54" s="507"/>
      <c r="FU54" s="507"/>
      <c r="FV54" s="507"/>
      <c r="FW54" s="507"/>
      <c r="FX54" s="507"/>
      <c r="FY54" s="507"/>
      <c r="FZ54" s="507"/>
      <c r="GA54" s="507"/>
      <c r="GB54" s="507"/>
      <c r="GC54" s="507"/>
      <c r="GD54" s="507"/>
      <c r="GE54" s="507"/>
      <c r="GF54" s="507"/>
      <c r="GG54" s="507"/>
      <c r="GH54" s="507"/>
      <c r="GI54" s="507"/>
      <c r="GJ54" s="507"/>
      <c r="GK54" s="507"/>
      <c r="GL54" s="507"/>
      <c r="GM54" s="507"/>
      <c r="GN54" s="507"/>
      <c r="GO54" s="507"/>
      <c r="GP54" s="507"/>
      <c r="GQ54" s="507"/>
      <c r="GR54" s="507"/>
      <c r="GS54" s="507"/>
      <c r="GT54" s="507"/>
      <c r="GU54" s="507"/>
      <c r="GV54" s="507"/>
      <c r="GW54" s="507"/>
      <c r="GX54" s="507"/>
      <c r="GY54" s="507"/>
      <c r="GZ54" s="507"/>
      <c r="HA54" s="507"/>
      <c r="HB54" s="507"/>
      <c r="HC54" s="507"/>
      <c r="HD54" s="507"/>
      <c r="HE54" s="507"/>
      <c r="HF54" s="507"/>
      <c r="HG54" s="507"/>
      <c r="HH54" s="507"/>
      <c r="HI54" s="507"/>
      <c r="HJ54" s="507"/>
      <c r="HK54" s="507"/>
      <c r="HL54" s="507"/>
      <c r="HM54" s="507"/>
      <c r="HN54" s="507"/>
      <c r="HO54" s="507"/>
      <c r="HP54" s="507"/>
      <c r="HQ54" s="507"/>
      <c r="HR54" s="507"/>
      <c r="HS54" s="507"/>
      <c r="HT54" s="507"/>
      <c r="HU54" s="507"/>
      <c r="HV54" s="507"/>
      <c r="HW54" s="507"/>
      <c r="HX54" s="507"/>
      <c r="HY54" s="507"/>
      <c r="HZ54" s="507"/>
    </row>
    <row r="55" spans="1:234" s="232" customFormat="1" ht="15.9" hidden="1" customHeight="1" x14ac:dyDescent="0.25">
      <c r="A55" s="522" t="s">
        <v>2320</v>
      </c>
      <c r="B55" s="523" t="s">
        <v>1244</v>
      </c>
      <c r="C55" s="526" t="s">
        <v>1191</v>
      </c>
      <c r="D55" s="570" t="s">
        <v>4383</v>
      </c>
      <c r="E55" s="569" t="s">
        <v>3228</v>
      </c>
      <c r="F55" s="543">
        <v>38540</v>
      </c>
      <c r="G55" s="544">
        <v>38450</v>
      </c>
      <c r="H55" s="562">
        <v>38533</v>
      </c>
      <c r="I55" s="546">
        <v>40025</v>
      </c>
      <c r="J55" s="547">
        <v>10</v>
      </c>
      <c r="K55" s="553" t="s">
        <v>3229</v>
      </c>
      <c r="L55" s="552" t="s">
        <v>3229</v>
      </c>
      <c r="M55" s="550">
        <v>0</v>
      </c>
      <c r="N55" s="560">
        <v>0.45</v>
      </c>
      <c r="O55" s="549">
        <v>0.4</v>
      </c>
      <c r="P55" s="552" t="s">
        <v>3229</v>
      </c>
      <c r="Q55" s="552" t="s">
        <v>3229</v>
      </c>
      <c r="R55" s="552" t="s">
        <v>3229</v>
      </c>
      <c r="S55" s="567"/>
      <c r="T55" s="555" t="s">
        <v>3229</v>
      </c>
      <c r="U55" s="555" t="s">
        <v>3229</v>
      </c>
      <c r="V55" s="555" t="s">
        <v>3229</v>
      </c>
      <c r="W55" s="555" t="s">
        <v>3229</v>
      </c>
      <c r="X55" s="555" t="s">
        <v>3229</v>
      </c>
      <c r="Y55" s="555" t="s">
        <v>3229</v>
      </c>
      <c r="Z55" s="555" t="s">
        <v>3229</v>
      </c>
      <c r="AA55" s="555" t="s">
        <v>3229</v>
      </c>
      <c r="AB55" s="555" t="s">
        <v>3229</v>
      </c>
      <c r="AC55" s="555" t="s">
        <v>3229</v>
      </c>
      <c r="AD55" s="555" t="s">
        <v>3229</v>
      </c>
      <c r="AE55" s="556" t="s">
        <v>3229</v>
      </c>
      <c r="AF55" s="3764" t="s">
        <v>781</v>
      </c>
      <c r="AG55" s="3765"/>
      <c r="AH55" s="622">
        <v>0.5</v>
      </c>
      <c r="AI55" s="622">
        <v>0.5</v>
      </c>
      <c r="AJ55" s="622" t="s">
        <v>3229</v>
      </c>
      <c r="AK55" s="566" t="s">
        <v>3229</v>
      </c>
      <c r="AL55" s="622" t="s">
        <v>3229</v>
      </c>
      <c r="AM55" s="590" t="s">
        <v>3229</v>
      </c>
      <c r="AN55" s="576">
        <v>0</v>
      </c>
      <c r="AO55" s="652">
        <v>10</v>
      </c>
      <c r="AP55" s="1368"/>
      <c r="AQ55" s="658">
        <v>0.98480815296995594</v>
      </c>
      <c r="AR55" s="558">
        <v>0</v>
      </c>
      <c r="AS55" s="558">
        <f t="shared" si="4"/>
        <v>0</v>
      </c>
      <c r="AT55" s="589"/>
      <c r="AU55" s="559"/>
      <c r="AV55" s="558">
        <f>M55</f>
        <v>0</v>
      </c>
      <c r="AW55" s="558">
        <f t="shared" si="10"/>
        <v>0</v>
      </c>
      <c r="AX55" s="648" t="s">
        <v>3229</v>
      </c>
      <c r="AY55" s="559" t="s">
        <v>3229</v>
      </c>
      <c r="AZ55" s="642">
        <f t="shared" si="9"/>
        <v>10</v>
      </c>
      <c r="BA55" s="644" t="s">
        <v>3190</v>
      </c>
      <c r="BB55" s="570"/>
      <c r="BC55" s="637"/>
      <c r="BD55" s="3708"/>
      <c r="BE55" s="3743"/>
      <c r="BF55" s="3743"/>
      <c r="BG55" s="3708"/>
      <c r="BH55" s="3762"/>
      <c r="BI55" s="3762"/>
      <c r="BJ55" s="39"/>
      <c r="BK55" s="39"/>
      <c r="BL55" s="39"/>
      <c r="BM55" s="39"/>
      <c r="BN55" s="39"/>
      <c r="BO55" s="39"/>
      <c r="BP55" s="39"/>
      <c r="BQ55" s="39"/>
      <c r="BR55" s="39"/>
      <c r="BS55" s="507"/>
      <c r="BT55" s="507"/>
      <c r="BU55" s="507"/>
      <c r="BV55" s="507"/>
      <c r="BW55" s="507"/>
      <c r="BX55" s="507"/>
      <c r="BY55" s="507"/>
      <c r="BZ55" s="507"/>
      <c r="CA55" s="507"/>
      <c r="CB55" s="507"/>
      <c r="CC55" s="507"/>
      <c r="CD55" s="507"/>
      <c r="CE55" s="507"/>
      <c r="CF55" s="507"/>
      <c r="CG55" s="507"/>
      <c r="CH55" s="507"/>
      <c r="CI55" s="507"/>
      <c r="CJ55" s="507"/>
      <c r="CK55" s="507"/>
      <c r="CL55" s="507"/>
      <c r="CM55" s="507"/>
      <c r="CN55" s="507"/>
      <c r="CO55" s="507"/>
      <c r="CP55" s="507"/>
      <c r="CQ55" s="507"/>
      <c r="CR55" s="507"/>
      <c r="CS55" s="507"/>
      <c r="CT55" s="507"/>
      <c r="CU55" s="507"/>
      <c r="CV55" s="507"/>
      <c r="CW55" s="507"/>
      <c r="CX55" s="507"/>
      <c r="CY55" s="507"/>
      <c r="CZ55" s="507"/>
      <c r="DA55" s="507"/>
      <c r="DB55" s="507"/>
      <c r="DC55" s="507"/>
      <c r="DD55" s="507"/>
      <c r="DE55" s="507"/>
      <c r="DF55" s="507"/>
      <c r="DG55" s="507"/>
      <c r="DH55" s="507"/>
      <c r="DI55" s="507"/>
      <c r="DJ55" s="507"/>
      <c r="DK55" s="507"/>
      <c r="DL55" s="507"/>
      <c r="DM55" s="507"/>
      <c r="DN55" s="507"/>
      <c r="DO55" s="507"/>
      <c r="DP55" s="507"/>
      <c r="DQ55" s="507"/>
      <c r="DR55" s="507"/>
      <c r="DS55" s="507"/>
      <c r="DT55" s="507"/>
      <c r="DU55" s="507"/>
      <c r="DV55" s="507"/>
      <c r="DW55" s="507"/>
      <c r="DX55" s="507"/>
      <c r="DY55" s="507"/>
      <c r="DZ55" s="507"/>
      <c r="EA55" s="507"/>
      <c r="EB55" s="507"/>
      <c r="EC55" s="507"/>
      <c r="ED55" s="507"/>
      <c r="EE55" s="507"/>
      <c r="EF55" s="507"/>
      <c r="EG55" s="507"/>
      <c r="EH55" s="507"/>
      <c r="EI55" s="507"/>
      <c r="EJ55" s="507"/>
      <c r="EK55" s="507"/>
      <c r="EL55" s="507"/>
      <c r="EM55" s="507"/>
      <c r="EN55" s="507"/>
      <c r="EO55" s="507"/>
      <c r="EP55" s="507"/>
      <c r="EQ55" s="507"/>
      <c r="ER55" s="507"/>
      <c r="ES55" s="507"/>
      <c r="ET55" s="507"/>
      <c r="EU55" s="507"/>
      <c r="EV55" s="507"/>
      <c r="EW55" s="507"/>
      <c r="EX55" s="507"/>
      <c r="EY55" s="507"/>
      <c r="EZ55" s="507"/>
      <c r="FA55" s="507"/>
      <c r="FB55" s="507"/>
      <c r="FC55" s="507"/>
      <c r="FD55" s="507"/>
      <c r="FE55" s="507"/>
      <c r="FF55" s="507"/>
      <c r="FG55" s="507"/>
      <c r="FH55" s="507"/>
      <c r="FI55" s="507"/>
      <c r="FJ55" s="507"/>
      <c r="FK55" s="507"/>
      <c r="FL55" s="507"/>
      <c r="FM55" s="507"/>
      <c r="FN55" s="507"/>
      <c r="FO55" s="507"/>
      <c r="FP55" s="507"/>
      <c r="FQ55" s="507"/>
      <c r="FR55" s="507"/>
      <c r="FS55" s="507"/>
      <c r="FT55" s="507"/>
      <c r="FU55" s="507"/>
      <c r="FV55" s="507"/>
      <c r="FW55" s="507"/>
      <c r="FX55" s="507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</row>
    <row r="56" spans="1:234" s="232" customFormat="1" ht="15.9" hidden="1" customHeight="1" x14ac:dyDescent="0.25">
      <c r="A56" s="522" t="s">
        <v>1136</v>
      </c>
      <c r="B56" s="523" t="s">
        <v>3111</v>
      </c>
      <c r="C56" s="526" t="s">
        <v>4385</v>
      </c>
      <c r="D56" s="570" t="s">
        <v>4384</v>
      </c>
      <c r="E56" s="569" t="s">
        <v>3228</v>
      </c>
      <c r="F56" s="543">
        <v>38544</v>
      </c>
      <c r="G56" s="544">
        <v>38516</v>
      </c>
      <c r="H56" s="562">
        <v>38533</v>
      </c>
      <c r="I56" s="546">
        <v>40451</v>
      </c>
      <c r="J56" s="547">
        <v>10</v>
      </c>
      <c r="K56" s="548">
        <v>-0.03</v>
      </c>
      <c r="L56" s="549">
        <v>5.2499999999999998E-2</v>
      </c>
      <c r="M56" s="550">
        <v>0.04</v>
      </c>
      <c r="N56" s="560" t="s">
        <v>3229</v>
      </c>
      <c r="O56" s="552" t="s">
        <v>3229</v>
      </c>
      <c r="P56" s="552" t="s">
        <v>3229</v>
      </c>
      <c r="Q56" s="552" t="s">
        <v>3229</v>
      </c>
      <c r="R56" s="552" t="s">
        <v>3229</v>
      </c>
      <c r="S56" s="567">
        <v>5</v>
      </c>
      <c r="T56" s="555">
        <v>38899</v>
      </c>
      <c r="U56" s="555">
        <v>39264</v>
      </c>
      <c r="V56" s="555">
        <v>39630</v>
      </c>
      <c r="W56" s="555">
        <v>39995</v>
      </c>
      <c r="X56" s="555">
        <v>40422</v>
      </c>
      <c r="Y56" s="555" t="s">
        <v>3229</v>
      </c>
      <c r="Z56" s="555" t="s">
        <v>3229</v>
      </c>
      <c r="AA56" s="555" t="s">
        <v>3229</v>
      </c>
      <c r="AB56" s="555" t="s">
        <v>3229</v>
      </c>
      <c r="AC56" s="555" t="s">
        <v>3229</v>
      </c>
      <c r="AD56" s="555" t="s">
        <v>3229</v>
      </c>
      <c r="AE56" s="556" t="s">
        <v>3229</v>
      </c>
      <c r="AF56" s="3764" t="s">
        <v>781</v>
      </c>
      <c r="AG56" s="3765"/>
      <c r="AH56" s="622">
        <v>0.5</v>
      </c>
      <c r="AI56" s="622">
        <v>0.5</v>
      </c>
      <c r="AJ56" s="622" t="s">
        <v>3229</v>
      </c>
      <c r="AK56" s="566" t="s">
        <v>3229</v>
      </c>
      <c r="AL56" s="622" t="s">
        <v>3229</v>
      </c>
      <c r="AM56" s="590" t="s">
        <v>3229</v>
      </c>
      <c r="AN56" s="576">
        <v>9.7500000000000003E-2</v>
      </c>
      <c r="AO56" s="652">
        <v>10.98</v>
      </c>
      <c r="AP56" s="1368" t="s">
        <v>3229</v>
      </c>
      <c r="AQ56" s="658" t="s">
        <v>3229</v>
      </c>
      <c r="AR56" s="558">
        <f>AO56/10-1</f>
        <v>9.8000000000000087E-2</v>
      </c>
      <c r="AS56" s="558">
        <f t="shared" si="4"/>
        <v>1.8055119415895993E-2</v>
      </c>
      <c r="AT56" s="589" t="s">
        <v>3229</v>
      </c>
      <c r="AU56" s="559" t="s">
        <v>3229</v>
      </c>
      <c r="AV56" s="558">
        <f>AO56/10-1</f>
        <v>9.8000000000000087E-2</v>
      </c>
      <c r="AW56" s="558">
        <f t="shared" si="10"/>
        <v>1.8055119415895993E-2</v>
      </c>
      <c r="AX56" s="648" t="s">
        <v>3229</v>
      </c>
      <c r="AY56" s="559" t="s">
        <v>3229</v>
      </c>
      <c r="AZ56" s="642">
        <f t="shared" si="9"/>
        <v>10.98</v>
      </c>
      <c r="BA56" s="644" t="s">
        <v>3189</v>
      </c>
      <c r="BB56" s="570" t="s">
        <v>2025</v>
      </c>
      <c r="BC56" s="637" t="s">
        <v>2895</v>
      </c>
      <c r="BD56" s="3708"/>
      <c r="BE56" s="3743"/>
      <c r="BF56" s="3743"/>
      <c r="BG56" s="3708"/>
      <c r="BH56" s="3762"/>
      <c r="BI56" s="3762"/>
      <c r="BJ56" s="39"/>
      <c r="BK56" s="39"/>
      <c r="BL56" s="39"/>
      <c r="BM56" s="39"/>
      <c r="BN56" s="39"/>
      <c r="BO56" s="39"/>
      <c r="BP56" s="39"/>
      <c r="BQ56" s="39"/>
      <c r="BR56" s="39"/>
      <c r="BS56" s="507"/>
      <c r="BT56" s="507"/>
      <c r="BU56" s="507"/>
      <c r="BV56" s="507"/>
      <c r="BW56" s="507"/>
      <c r="BX56" s="507"/>
      <c r="BY56" s="507"/>
      <c r="BZ56" s="507"/>
      <c r="CA56" s="507"/>
      <c r="CB56" s="507"/>
      <c r="CC56" s="507"/>
      <c r="CD56" s="507"/>
      <c r="CE56" s="507"/>
      <c r="CF56" s="507"/>
      <c r="CG56" s="507"/>
      <c r="CH56" s="507"/>
      <c r="CI56" s="507"/>
      <c r="CJ56" s="507"/>
      <c r="CK56" s="507"/>
      <c r="CL56" s="507"/>
      <c r="CM56" s="507"/>
      <c r="CN56" s="507"/>
      <c r="CO56" s="507"/>
      <c r="CP56" s="507"/>
      <c r="CQ56" s="507"/>
      <c r="CR56" s="507"/>
      <c r="CS56" s="507"/>
      <c r="CT56" s="507"/>
      <c r="CU56" s="507"/>
      <c r="CV56" s="507"/>
      <c r="CW56" s="507"/>
      <c r="CX56" s="507"/>
      <c r="CY56" s="507"/>
      <c r="CZ56" s="507"/>
      <c r="DA56" s="507"/>
      <c r="DB56" s="507"/>
      <c r="DC56" s="507"/>
      <c r="DD56" s="507"/>
      <c r="DE56" s="507"/>
      <c r="DF56" s="507"/>
      <c r="DG56" s="507"/>
      <c r="DH56" s="507"/>
      <c r="DI56" s="507"/>
      <c r="DJ56" s="507"/>
      <c r="DK56" s="507"/>
      <c r="DL56" s="507"/>
      <c r="DM56" s="507"/>
      <c r="DN56" s="507"/>
      <c r="DO56" s="507"/>
      <c r="DP56" s="507"/>
      <c r="DQ56" s="507"/>
      <c r="DR56" s="507"/>
      <c r="DS56" s="507"/>
      <c r="DT56" s="507"/>
      <c r="DU56" s="507"/>
      <c r="DV56" s="507"/>
      <c r="DW56" s="507"/>
      <c r="DX56" s="507"/>
      <c r="DY56" s="507"/>
      <c r="DZ56" s="507"/>
      <c r="EA56" s="507"/>
      <c r="EB56" s="507"/>
      <c r="EC56" s="507"/>
      <c r="ED56" s="507"/>
      <c r="EE56" s="507"/>
      <c r="EF56" s="507"/>
      <c r="EG56" s="507"/>
      <c r="EH56" s="507"/>
      <c r="EI56" s="507"/>
      <c r="EJ56" s="507"/>
      <c r="EK56" s="507"/>
      <c r="EL56" s="507"/>
      <c r="EM56" s="507"/>
      <c r="EN56" s="507"/>
      <c r="EO56" s="507"/>
      <c r="EP56" s="507"/>
      <c r="EQ56" s="507"/>
      <c r="ER56" s="507"/>
      <c r="ES56" s="507"/>
      <c r="ET56" s="507"/>
      <c r="EU56" s="507"/>
      <c r="EV56" s="507"/>
      <c r="EW56" s="507"/>
      <c r="EX56" s="507"/>
      <c r="EY56" s="507"/>
      <c r="EZ56" s="507"/>
      <c r="FA56" s="507"/>
      <c r="FB56" s="507"/>
      <c r="FC56" s="507"/>
      <c r="FD56" s="507"/>
      <c r="FE56" s="507"/>
      <c r="FF56" s="507"/>
      <c r="FG56" s="507"/>
      <c r="FH56" s="507"/>
      <c r="FI56" s="507"/>
      <c r="FJ56" s="507"/>
      <c r="FK56" s="507"/>
      <c r="FL56" s="507"/>
      <c r="FM56" s="507"/>
      <c r="FN56" s="507"/>
      <c r="FO56" s="507"/>
      <c r="FP56" s="507"/>
      <c r="FQ56" s="507"/>
      <c r="FR56" s="507"/>
      <c r="FS56" s="507"/>
      <c r="FT56" s="507"/>
      <c r="FU56" s="507"/>
      <c r="FV56" s="507"/>
      <c r="FW56" s="507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</row>
    <row r="57" spans="1:234" s="206" customFormat="1" ht="15.9" hidden="1" customHeight="1" x14ac:dyDescent="0.25">
      <c r="A57" s="522" t="s">
        <v>1951</v>
      </c>
      <c r="B57" s="523" t="s">
        <v>1245</v>
      </c>
      <c r="C57" s="526" t="s">
        <v>3586</v>
      </c>
      <c r="D57" s="570" t="s">
        <v>2158</v>
      </c>
      <c r="E57" s="569" t="s">
        <v>3228</v>
      </c>
      <c r="F57" s="543">
        <v>38562</v>
      </c>
      <c r="G57" s="544">
        <v>38504</v>
      </c>
      <c r="H57" s="562">
        <v>38555</v>
      </c>
      <c r="I57" s="546">
        <v>40602</v>
      </c>
      <c r="J57" s="547">
        <v>10</v>
      </c>
      <c r="K57" s="558">
        <v>-0.03</v>
      </c>
      <c r="L57" s="559">
        <v>0.03</v>
      </c>
      <c r="M57" s="550">
        <v>0.08</v>
      </c>
      <c r="N57" s="560" t="s">
        <v>3229</v>
      </c>
      <c r="O57" s="552" t="s">
        <v>3229</v>
      </c>
      <c r="P57" s="552" t="s">
        <v>3229</v>
      </c>
      <c r="Q57" s="552" t="s">
        <v>3229</v>
      </c>
      <c r="R57" s="552" t="s">
        <v>3229</v>
      </c>
      <c r="S57" s="567">
        <v>11</v>
      </c>
      <c r="T57" s="555">
        <v>38749</v>
      </c>
      <c r="U57" s="555">
        <v>38930</v>
      </c>
      <c r="V57" s="555">
        <v>39114</v>
      </c>
      <c r="W57" s="555">
        <v>39295</v>
      </c>
      <c r="X57" s="555">
        <v>39479</v>
      </c>
      <c r="Y57" s="555">
        <v>39661</v>
      </c>
      <c r="Z57" s="555">
        <v>39845</v>
      </c>
      <c r="AA57" s="555">
        <v>40026</v>
      </c>
      <c r="AB57" s="555">
        <v>40210</v>
      </c>
      <c r="AC57" s="555">
        <v>40391</v>
      </c>
      <c r="AD57" s="555">
        <v>40575</v>
      </c>
      <c r="AE57" s="556" t="s">
        <v>3229</v>
      </c>
      <c r="AF57" s="3764" t="s">
        <v>781</v>
      </c>
      <c r="AG57" s="3765"/>
      <c r="AH57" s="622">
        <v>0.5</v>
      </c>
      <c r="AI57" s="622">
        <v>0.5</v>
      </c>
      <c r="AJ57" s="622" t="s">
        <v>3229</v>
      </c>
      <c r="AK57" s="656" t="s">
        <v>3229</v>
      </c>
      <c r="AL57" s="655" t="s">
        <v>3229</v>
      </c>
      <c r="AM57" s="590" t="s">
        <v>3229</v>
      </c>
      <c r="AN57" s="576">
        <v>9.5399999999999985E-2</v>
      </c>
      <c r="AO57" s="652">
        <v>10.96</v>
      </c>
      <c r="AP57" s="1368" t="s">
        <v>3229</v>
      </c>
      <c r="AQ57" s="658" t="s">
        <v>3229</v>
      </c>
      <c r="AR57" s="558">
        <f>AO57/10-1</f>
        <v>9.6000000000000085E-2</v>
      </c>
      <c r="AS57" s="558">
        <f t="shared" si="4"/>
        <v>1.6536475801633754E-2</v>
      </c>
      <c r="AT57" s="589"/>
      <c r="AU57" s="559"/>
      <c r="AV57" s="558">
        <f>AR57</f>
        <v>9.6000000000000085E-2</v>
      </c>
      <c r="AW57" s="558">
        <f t="shared" si="10"/>
        <v>1.6536475801633754E-2</v>
      </c>
      <c r="AX57" s="558"/>
      <c r="AY57" s="559"/>
      <c r="AZ57" s="642">
        <f t="shared" si="9"/>
        <v>10.96</v>
      </c>
      <c r="BA57" s="644" t="s">
        <v>3189</v>
      </c>
      <c r="BB57" s="570" t="s">
        <v>2025</v>
      </c>
      <c r="BC57" s="637" t="s">
        <v>2895</v>
      </c>
      <c r="BD57" s="3708"/>
      <c r="BE57" s="3743"/>
      <c r="BF57" s="3743"/>
      <c r="BG57" s="3708"/>
      <c r="BH57" s="3762"/>
      <c r="BI57" s="3762"/>
      <c r="BJ57" s="39"/>
      <c r="BK57" s="39"/>
      <c r="BL57" s="39"/>
      <c r="BM57" s="39"/>
      <c r="BN57" s="39"/>
      <c r="BO57" s="39"/>
      <c r="BP57" s="39"/>
      <c r="BQ57" s="39"/>
      <c r="BR57" s="39"/>
      <c r="BS57" s="507"/>
      <c r="BT57" s="507"/>
      <c r="BU57" s="507"/>
      <c r="BV57" s="507"/>
      <c r="BW57" s="507"/>
      <c r="BX57" s="507"/>
      <c r="BY57" s="507"/>
      <c r="BZ57" s="507"/>
      <c r="CA57" s="507"/>
      <c r="CB57" s="507"/>
      <c r="CC57" s="507"/>
      <c r="CD57" s="507"/>
      <c r="CE57" s="507"/>
      <c r="CF57" s="507"/>
      <c r="CG57" s="507"/>
      <c r="CH57" s="507"/>
      <c r="CI57" s="507"/>
      <c r="CJ57" s="507"/>
      <c r="CK57" s="507"/>
      <c r="CL57" s="507"/>
      <c r="CM57" s="507"/>
      <c r="CN57" s="507"/>
      <c r="CO57" s="507"/>
      <c r="CP57" s="507"/>
      <c r="CQ57" s="507"/>
      <c r="CR57" s="507"/>
      <c r="CS57" s="507"/>
      <c r="CT57" s="507"/>
      <c r="CU57" s="507"/>
      <c r="CV57" s="507"/>
      <c r="CW57" s="507"/>
      <c r="CX57" s="507"/>
      <c r="CY57" s="507"/>
      <c r="CZ57" s="507"/>
      <c r="DA57" s="507"/>
      <c r="DB57" s="507"/>
      <c r="DC57" s="507"/>
      <c r="DD57" s="507"/>
      <c r="DE57" s="507"/>
      <c r="DF57" s="507"/>
      <c r="DG57" s="507"/>
      <c r="DH57" s="507"/>
      <c r="DI57" s="507"/>
      <c r="DJ57" s="507"/>
      <c r="DK57" s="507"/>
      <c r="DL57" s="507"/>
      <c r="DM57" s="507"/>
      <c r="DN57" s="507"/>
      <c r="DO57" s="507"/>
      <c r="DP57" s="507"/>
      <c r="DQ57" s="507"/>
      <c r="DR57" s="507"/>
      <c r="DS57" s="507"/>
      <c r="DT57" s="507"/>
      <c r="DU57" s="507"/>
      <c r="DV57" s="507"/>
      <c r="DW57" s="507"/>
      <c r="DX57" s="507"/>
      <c r="DY57" s="507"/>
      <c r="DZ57" s="507"/>
      <c r="EA57" s="507"/>
      <c r="EB57" s="507"/>
      <c r="EC57" s="507"/>
      <c r="ED57" s="507"/>
      <c r="EE57" s="507"/>
      <c r="EF57" s="507"/>
      <c r="EG57" s="507"/>
      <c r="EH57" s="507"/>
      <c r="EI57" s="507"/>
      <c r="EJ57" s="507"/>
      <c r="EK57" s="507"/>
      <c r="EL57" s="507"/>
      <c r="EM57" s="507"/>
      <c r="EN57" s="507"/>
      <c r="EO57" s="507"/>
      <c r="EP57" s="507"/>
      <c r="EQ57" s="507"/>
      <c r="ER57" s="507"/>
      <c r="ES57" s="507"/>
      <c r="ET57" s="507"/>
      <c r="EU57" s="507"/>
      <c r="EV57" s="507"/>
      <c r="EW57" s="507"/>
      <c r="EX57" s="507"/>
      <c r="EY57" s="507"/>
      <c r="EZ57" s="507"/>
      <c r="FA57" s="507"/>
      <c r="FB57" s="507"/>
      <c r="FC57" s="507"/>
      <c r="FD57" s="507"/>
      <c r="FE57" s="507"/>
      <c r="FF57" s="507"/>
      <c r="FG57" s="507"/>
      <c r="FH57" s="507"/>
      <c r="FI57" s="507"/>
      <c r="FJ57" s="507"/>
      <c r="FK57" s="507"/>
      <c r="FL57" s="507"/>
      <c r="FM57" s="507"/>
      <c r="FN57" s="507"/>
      <c r="FO57" s="507"/>
      <c r="FP57" s="507"/>
      <c r="FQ57" s="507"/>
      <c r="FR57" s="507"/>
      <c r="FS57" s="507"/>
      <c r="FT57" s="507"/>
      <c r="FU57" s="507"/>
      <c r="FV57" s="507"/>
      <c r="FW57" s="507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</row>
    <row r="58" spans="1:234" s="206" customFormat="1" ht="15.9" hidden="1" customHeight="1" x14ac:dyDescent="0.25">
      <c r="A58" s="522" t="s">
        <v>2776</v>
      </c>
      <c r="B58" s="523" t="s">
        <v>1246</v>
      </c>
      <c r="C58" s="526" t="s">
        <v>3587</v>
      </c>
      <c r="D58" s="570" t="s">
        <v>2759</v>
      </c>
      <c r="E58" s="569" t="s">
        <v>3228</v>
      </c>
      <c r="F58" s="543">
        <v>38562</v>
      </c>
      <c r="G58" s="544">
        <v>38504</v>
      </c>
      <c r="H58" s="562">
        <v>38555</v>
      </c>
      <c r="I58" s="546">
        <v>41516</v>
      </c>
      <c r="J58" s="547">
        <v>10</v>
      </c>
      <c r="K58" s="558" t="s">
        <v>3229</v>
      </c>
      <c r="L58" s="559" t="s">
        <v>3229</v>
      </c>
      <c r="M58" s="550">
        <v>0.1036</v>
      </c>
      <c r="N58" s="560" t="s">
        <v>3229</v>
      </c>
      <c r="O58" s="552" t="s">
        <v>3229</v>
      </c>
      <c r="P58" s="552" t="s">
        <v>3229</v>
      </c>
      <c r="Q58" s="552">
        <v>3.5999999999999997E-2</v>
      </c>
      <c r="R58" s="552">
        <v>1.5</v>
      </c>
      <c r="S58" s="567">
        <v>8</v>
      </c>
      <c r="T58" s="555">
        <v>38899</v>
      </c>
      <c r="U58" s="555">
        <v>39264</v>
      </c>
      <c r="V58" s="555">
        <v>39630</v>
      </c>
      <c r="W58" s="555">
        <v>39995</v>
      </c>
      <c r="X58" s="555">
        <v>40360</v>
      </c>
      <c r="Y58" s="555">
        <v>40725</v>
      </c>
      <c r="Z58" s="555">
        <v>41091</v>
      </c>
      <c r="AA58" s="555">
        <v>41456</v>
      </c>
      <c r="AB58" s="555" t="s">
        <v>3229</v>
      </c>
      <c r="AC58" s="555" t="s">
        <v>3229</v>
      </c>
      <c r="AD58" s="555" t="s">
        <v>3229</v>
      </c>
      <c r="AE58" s="556" t="s">
        <v>3229</v>
      </c>
      <c r="AF58" s="3764" t="s">
        <v>781</v>
      </c>
      <c r="AG58" s="3765"/>
      <c r="AH58" s="622" t="s">
        <v>3229</v>
      </c>
      <c r="AI58" s="622" t="s">
        <v>3229</v>
      </c>
      <c r="AJ58" s="622" t="s">
        <v>3229</v>
      </c>
      <c r="AK58" s="656" t="s">
        <v>3229</v>
      </c>
      <c r="AL58" s="655" t="s">
        <v>3229</v>
      </c>
      <c r="AM58" s="590">
        <v>1</v>
      </c>
      <c r="AN58" s="576">
        <v>0.1036</v>
      </c>
      <c r="AO58" s="652">
        <v>11.07</v>
      </c>
      <c r="AP58" s="1368">
        <v>-2.0950226273373975E-2</v>
      </c>
      <c r="AQ58" s="658">
        <v>-2.0950226273373975E-2</v>
      </c>
      <c r="AR58" s="558">
        <f>'klikací hodnoty'!F1064+'klikací hodnoty'!F1058*R58+'klikací hodnoty'!F1058*R58*R58+'klikací hodnoty'!F1058*R58*R58*R58+'klikací hodnoty'!F1058*R58*R58*R58*R58+'klikací hodnoty'!F1058*R58*R58*R58*R58*R58</f>
        <v>0.42009999999999992</v>
      </c>
      <c r="AS58" s="558">
        <f t="shared" si="4"/>
        <v>4.428904125538069E-2</v>
      </c>
      <c r="AT58" s="589">
        <f>J58*(1+AR58)/AO58-1</f>
        <v>0.2828364950316169</v>
      </c>
      <c r="AU58" s="559" t="e">
        <f>POWER(1+AT58,1/AG58)-1</f>
        <v>#DIV/0!</v>
      </c>
      <c r="AV58" s="558">
        <f>M58</f>
        <v>0.1036</v>
      </c>
      <c r="AW58" s="558">
        <f t="shared" si="10"/>
        <v>1.2254852002464789E-2</v>
      </c>
      <c r="AX58" s="558">
        <f>J58*(1+AV58)/AO58-1</f>
        <v>-3.0713640469738346E-3</v>
      </c>
      <c r="AY58" s="559" t="e">
        <f>POWER(1+AX58,1/AG58)-1</f>
        <v>#DIV/0!</v>
      </c>
      <c r="AZ58" s="642">
        <f>TRUNC(J58*(1+AV58),2)</f>
        <v>11.03</v>
      </c>
      <c r="BA58" s="644" t="s">
        <v>274</v>
      </c>
      <c r="BB58" s="570"/>
      <c r="BC58" s="637"/>
      <c r="BD58" s="3709">
        <f>'klikací hodnoty'!F1064</f>
        <v>0.1036</v>
      </c>
      <c r="BE58" s="3743"/>
      <c r="BF58" s="3743"/>
      <c r="BG58" s="3708"/>
      <c r="BH58" s="3762"/>
      <c r="BI58" s="3762"/>
      <c r="BJ58" s="39"/>
      <c r="BK58" s="39"/>
      <c r="BL58" s="39"/>
      <c r="BM58" s="39"/>
      <c r="BN58" s="39"/>
      <c r="BO58" s="39"/>
      <c r="BP58" s="39"/>
      <c r="BQ58" s="39"/>
      <c r="BR58" s="39"/>
      <c r="BS58" s="507"/>
      <c r="BT58" s="507"/>
      <c r="BU58" s="507"/>
      <c r="BV58" s="507"/>
      <c r="BW58" s="507"/>
      <c r="BX58" s="507"/>
      <c r="BY58" s="507"/>
      <c r="BZ58" s="507"/>
      <c r="CA58" s="507"/>
      <c r="CB58" s="507"/>
      <c r="CC58" s="507"/>
      <c r="CD58" s="507"/>
      <c r="CE58" s="507"/>
      <c r="CF58" s="507"/>
      <c r="CG58" s="507"/>
      <c r="CH58" s="507"/>
      <c r="CI58" s="507"/>
      <c r="CJ58" s="507"/>
      <c r="CK58" s="507"/>
      <c r="CL58" s="507"/>
      <c r="CM58" s="507"/>
      <c r="CN58" s="507"/>
      <c r="CO58" s="507"/>
      <c r="CP58" s="507"/>
      <c r="CQ58" s="507"/>
      <c r="CR58" s="507"/>
      <c r="CS58" s="507"/>
      <c r="CT58" s="507"/>
      <c r="CU58" s="507"/>
      <c r="CV58" s="507"/>
      <c r="CW58" s="507"/>
      <c r="CX58" s="507"/>
      <c r="CY58" s="507"/>
      <c r="CZ58" s="507"/>
      <c r="DA58" s="507"/>
      <c r="DB58" s="507"/>
      <c r="DC58" s="507"/>
      <c r="DD58" s="507"/>
      <c r="DE58" s="507"/>
      <c r="DF58" s="507"/>
      <c r="DG58" s="507"/>
      <c r="DH58" s="507"/>
      <c r="DI58" s="507"/>
      <c r="DJ58" s="507"/>
      <c r="DK58" s="507"/>
      <c r="DL58" s="507"/>
      <c r="DM58" s="507"/>
      <c r="DN58" s="507"/>
      <c r="DO58" s="507"/>
      <c r="DP58" s="507"/>
      <c r="DQ58" s="507"/>
      <c r="DR58" s="507"/>
      <c r="DS58" s="507"/>
      <c r="DT58" s="507"/>
      <c r="DU58" s="507"/>
      <c r="DV58" s="507"/>
      <c r="DW58" s="507"/>
      <c r="DX58" s="507"/>
      <c r="DY58" s="507"/>
      <c r="DZ58" s="507"/>
      <c r="EA58" s="507"/>
      <c r="EB58" s="507"/>
      <c r="EC58" s="507"/>
      <c r="ED58" s="507"/>
      <c r="EE58" s="507"/>
      <c r="EF58" s="507"/>
      <c r="EG58" s="507"/>
      <c r="EH58" s="507"/>
      <c r="EI58" s="507"/>
      <c r="EJ58" s="507"/>
      <c r="EK58" s="507"/>
      <c r="EL58" s="507"/>
      <c r="EM58" s="507"/>
      <c r="EN58" s="507"/>
      <c r="EO58" s="507"/>
      <c r="EP58" s="507"/>
      <c r="EQ58" s="507"/>
      <c r="ER58" s="507"/>
      <c r="ES58" s="507"/>
      <c r="ET58" s="507"/>
      <c r="EU58" s="507"/>
      <c r="EV58" s="507"/>
      <c r="EW58" s="507"/>
      <c r="EX58" s="507"/>
      <c r="EY58" s="507"/>
      <c r="EZ58" s="507"/>
      <c r="FA58" s="507"/>
      <c r="FB58" s="507"/>
      <c r="FC58" s="507"/>
      <c r="FD58" s="507"/>
      <c r="FE58" s="507"/>
      <c r="FF58" s="507"/>
      <c r="FG58" s="507"/>
      <c r="FH58" s="507"/>
      <c r="FI58" s="507"/>
      <c r="FJ58" s="507"/>
      <c r="FK58" s="507"/>
      <c r="FL58" s="507"/>
      <c r="FM58" s="507"/>
      <c r="FN58" s="507"/>
      <c r="FO58" s="507"/>
      <c r="FP58" s="507"/>
      <c r="FQ58" s="507"/>
      <c r="FR58" s="507"/>
      <c r="FS58" s="507"/>
      <c r="FT58" s="507"/>
      <c r="FU58" s="507"/>
      <c r="FV58" s="507"/>
      <c r="FW58" s="507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</row>
    <row r="59" spans="1:234" s="39" customFormat="1" ht="15.9" hidden="1" customHeight="1" x14ac:dyDescent="0.25">
      <c r="A59" s="522" t="s">
        <v>2755</v>
      </c>
      <c r="B59" s="523" t="s">
        <v>3532</v>
      </c>
      <c r="C59" s="526" t="s">
        <v>4388</v>
      </c>
      <c r="D59" s="570" t="s">
        <v>2158</v>
      </c>
      <c r="E59" s="569" t="s">
        <v>3228</v>
      </c>
      <c r="F59" s="543">
        <v>38618</v>
      </c>
      <c r="G59" s="544">
        <v>38558</v>
      </c>
      <c r="H59" s="562">
        <v>38611</v>
      </c>
      <c r="I59" s="546">
        <v>40847</v>
      </c>
      <c r="J59" s="547">
        <v>10</v>
      </c>
      <c r="K59" s="558">
        <v>-0.03</v>
      </c>
      <c r="L59" s="559">
        <v>0.03</v>
      </c>
      <c r="M59" s="550">
        <v>7.0000000000000007E-2</v>
      </c>
      <c r="N59" s="560" t="s">
        <v>3229</v>
      </c>
      <c r="O59" s="552" t="s">
        <v>3229</v>
      </c>
      <c r="P59" s="552" t="s">
        <v>3229</v>
      </c>
      <c r="Q59" s="552" t="s">
        <v>3229</v>
      </c>
      <c r="R59" s="552" t="s">
        <v>3229</v>
      </c>
      <c r="S59" s="567">
        <v>12</v>
      </c>
      <c r="T59" s="563">
        <v>38808</v>
      </c>
      <c r="U59" s="563">
        <v>38991</v>
      </c>
      <c r="V59" s="563">
        <v>39173</v>
      </c>
      <c r="W59" s="563">
        <v>39356</v>
      </c>
      <c r="X59" s="563">
        <v>39539</v>
      </c>
      <c r="Y59" s="563">
        <v>39722</v>
      </c>
      <c r="Z59" s="563">
        <v>39904</v>
      </c>
      <c r="AA59" s="563">
        <v>40087</v>
      </c>
      <c r="AB59" s="563">
        <v>40269</v>
      </c>
      <c r="AC59" s="563">
        <v>40452</v>
      </c>
      <c r="AD59" s="563">
        <v>40634</v>
      </c>
      <c r="AE59" s="563">
        <v>40817</v>
      </c>
      <c r="AF59" s="3764" t="s">
        <v>781</v>
      </c>
      <c r="AG59" s="3765"/>
      <c r="AH59" s="622">
        <v>0.5</v>
      </c>
      <c r="AI59" s="622">
        <v>0.5</v>
      </c>
      <c r="AJ59" s="622" t="s">
        <v>3229</v>
      </c>
      <c r="AK59" s="656" t="s">
        <v>3229</v>
      </c>
      <c r="AL59" s="655" t="s">
        <v>3229</v>
      </c>
      <c r="AM59" s="590" t="s">
        <v>3229</v>
      </c>
      <c r="AN59" s="576">
        <v>7.0000000000000007E-2</v>
      </c>
      <c r="AO59" s="652">
        <v>10.56</v>
      </c>
      <c r="AP59" s="1368" t="s">
        <v>3229</v>
      </c>
      <c r="AQ59" s="658" t="s">
        <v>3229</v>
      </c>
      <c r="AR59" s="558" t="e">
        <f>MAX(0,AF59*L59+SUM('klikací hodnoty'!F1067:F1090))</f>
        <v>#VALUE!</v>
      </c>
      <c r="AS59" s="558" t="e">
        <f t="shared" si="4"/>
        <v>#VALUE!</v>
      </c>
      <c r="AT59" s="589" t="e">
        <f>J59*(1+AR59)/AO59-1</f>
        <v>#VALUE!</v>
      </c>
      <c r="AU59" s="559" t="e">
        <f>POWER(1+AT59,1/AG59)-1</f>
        <v>#VALUE!</v>
      </c>
      <c r="AV59" s="558" t="e">
        <f>MAX(M59,AN59+AF59*K59)</f>
        <v>#VALUE!</v>
      </c>
      <c r="AW59" s="558" t="e">
        <f t="shared" si="10"/>
        <v>#VALUE!</v>
      </c>
      <c r="AX59" s="558" t="e">
        <f>J59*(1+AV59)/AO59-1</f>
        <v>#VALUE!</v>
      </c>
      <c r="AY59" s="559" t="e">
        <f>POWER(1+AX59,1/AG59)-1</f>
        <v>#VALUE!</v>
      </c>
      <c r="AZ59" s="642" t="e">
        <f>J59*(1+AV59)</f>
        <v>#VALUE!</v>
      </c>
      <c r="BA59" s="644" t="s">
        <v>3189</v>
      </c>
      <c r="BB59" s="570" t="s">
        <v>2025</v>
      </c>
      <c r="BC59" s="637" t="s">
        <v>2895</v>
      </c>
      <c r="BD59" s="3708"/>
      <c r="BE59" s="3743"/>
      <c r="BF59" s="3743"/>
      <c r="BG59" s="3708"/>
      <c r="BH59" s="3762"/>
      <c r="BI59" s="3762"/>
      <c r="BS59" s="507"/>
      <c r="BT59" s="507"/>
      <c r="BU59" s="507"/>
      <c r="BV59" s="507"/>
      <c r="BW59" s="507"/>
      <c r="BX59" s="507"/>
      <c r="BY59" s="507"/>
      <c r="BZ59" s="507"/>
      <c r="CA59" s="507"/>
      <c r="CB59" s="507"/>
      <c r="CC59" s="507"/>
      <c r="CD59" s="507"/>
      <c r="CE59" s="507"/>
      <c r="CF59" s="507"/>
      <c r="CG59" s="507"/>
      <c r="CH59" s="507"/>
      <c r="CI59" s="507"/>
      <c r="CJ59" s="507"/>
      <c r="CK59" s="507"/>
      <c r="CL59" s="507"/>
      <c r="CM59" s="507"/>
      <c r="CN59" s="507"/>
      <c r="CO59" s="507"/>
      <c r="CP59" s="507"/>
      <c r="CQ59" s="507"/>
      <c r="CR59" s="507"/>
      <c r="CS59" s="507"/>
      <c r="CT59" s="507"/>
      <c r="CU59" s="507"/>
      <c r="CV59" s="507"/>
      <c r="CW59" s="507"/>
      <c r="CX59" s="507"/>
      <c r="CY59" s="507"/>
      <c r="CZ59" s="507"/>
      <c r="DA59" s="507"/>
      <c r="DB59" s="507"/>
      <c r="DC59" s="507"/>
      <c r="DD59" s="507"/>
      <c r="DE59" s="507"/>
      <c r="DF59" s="507"/>
      <c r="DG59" s="507"/>
      <c r="DH59" s="507"/>
      <c r="DI59" s="507"/>
      <c r="DJ59" s="507"/>
      <c r="DK59" s="507"/>
      <c r="DL59" s="507"/>
      <c r="DM59" s="507"/>
      <c r="DN59" s="507"/>
      <c r="DO59" s="507"/>
      <c r="DP59" s="507"/>
      <c r="DQ59" s="507"/>
      <c r="DR59" s="507"/>
      <c r="DS59" s="507"/>
      <c r="DT59" s="507"/>
      <c r="DU59" s="507"/>
      <c r="DV59" s="507"/>
      <c r="DW59" s="507"/>
      <c r="DX59" s="507"/>
      <c r="DY59" s="507"/>
      <c r="DZ59" s="507"/>
      <c r="EA59" s="507"/>
      <c r="EB59" s="507"/>
      <c r="EC59" s="507"/>
      <c r="ED59" s="507"/>
      <c r="EE59" s="507"/>
      <c r="EF59" s="507"/>
      <c r="EG59" s="507"/>
      <c r="EH59" s="507"/>
      <c r="EI59" s="507"/>
      <c r="EJ59" s="507"/>
      <c r="EK59" s="507"/>
      <c r="EL59" s="507"/>
      <c r="EM59" s="507"/>
      <c r="EN59" s="507"/>
      <c r="EO59" s="507"/>
      <c r="EP59" s="507"/>
      <c r="EQ59" s="507"/>
      <c r="ER59" s="507"/>
      <c r="ES59" s="507"/>
      <c r="ET59" s="507"/>
      <c r="EU59" s="507"/>
      <c r="EV59" s="507"/>
      <c r="EW59" s="507"/>
      <c r="EX59" s="507"/>
      <c r="EY59" s="507"/>
      <c r="EZ59" s="507"/>
      <c r="FA59" s="507"/>
      <c r="FB59" s="507"/>
      <c r="FC59" s="507"/>
      <c r="FD59" s="507"/>
      <c r="FE59" s="507"/>
      <c r="FF59" s="507"/>
      <c r="FG59" s="507"/>
      <c r="FH59" s="507"/>
      <c r="FI59" s="507"/>
      <c r="FJ59" s="507"/>
      <c r="FK59" s="507"/>
      <c r="FL59" s="507"/>
      <c r="FM59" s="507"/>
      <c r="FN59" s="507"/>
      <c r="FO59" s="507"/>
      <c r="FP59" s="507"/>
      <c r="FQ59" s="507"/>
      <c r="FR59" s="507"/>
      <c r="FS59" s="507"/>
      <c r="FT59" s="507"/>
      <c r="FU59" s="507"/>
      <c r="FV59" s="507"/>
      <c r="FW59" s="507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</row>
    <row r="60" spans="1:234" s="232" customFormat="1" ht="15.9" hidden="1" customHeight="1" x14ac:dyDescent="0.25">
      <c r="A60" s="522" t="s">
        <v>2799</v>
      </c>
      <c r="B60" s="523" t="s">
        <v>1589</v>
      </c>
      <c r="C60" s="526" t="s">
        <v>4386</v>
      </c>
      <c r="D60" s="570" t="s">
        <v>826</v>
      </c>
      <c r="E60" s="569" t="s">
        <v>3228</v>
      </c>
      <c r="F60" s="543">
        <v>38618</v>
      </c>
      <c r="G60" s="544">
        <v>38523</v>
      </c>
      <c r="H60" s="562">
        <v>38611</v>
      </c>
      <c r="I60" s="546">
        <v>40116</v>
      </c>
      <c r="J60" s="547">
        <v>10</v>
      </c>
      <c r="K60" s="553" t="s">
        <v>3229</v>
      </c>
      <c r="L60" s="552" t="s">
        <v>3229</v>
      </c>
      <c r="M60" s="550">
        <v>0</v>
      </c>
      <c r="N60" s="560">
        <v>0.5</v>
      </c>
      <c r="O60" s="552" t="s">
        <v>3229</v>
      </c>
      <c r="P60" s="552" t="s">
        <v>3229</v>
      </c>
      <c r="Q60" s="552" t="s">
        <v>3229</v>
      </c>
      <c r="R60" s="552" t="s">
        <v>3229</v>
      </c>
      <c r="S60" s="567"/>
      <c r="T60" s="555" t="s">
        <v>3229</v>
      </c>
      <c r="U60" s="555" t="s">
        <v>3229</v>
      </c>
      <c r="V60" s="555" t="s">
        <v>3229</v>
      </c>
      <c r="W60" s="555" t="s">
        <v>3229</v>
      </c>
      <c r="X60" s="555" t="s">
        <v>3229</v>
      </c>
      <c r="Y60" s="555" t="s">
        <v>3229</v>
      </c>
      <c r="Z60" s="555" t="s">
        <v>3229</v>
      </c>
      <c r="AA60" s="555" t="s">
        <v>3229</v>
      </c>
      <c r="AB60" s="555" t="s">
        <v>3229</v>
      </c>
      <c r="AC60" s="555" t="s">
        <v>3229</v>
      </c>
      <c r="AD60" s="555" t="s">
        <v>3229</v>
      </c>
      <c r="AE60" s="556" t="s">
        <v>3229</v>
      </c>
      <c r="AF60" s="3764" t="s">
        <v>781</v>
      </c>
      <c r="AG60" s="3765"/>
      <c r="AH60" s="622" t="s">
        <v>3229</v>
      </c>
      <c r="AI60" s="622" t="s">
        <v>3229</v>
      </c>
      <c r="AJ60" s="622" t="s">
        <v>3229</v>
      </c>
      <c r="AK60" s="656" t="s">
        <v>3229</v>
      </c>
      <c r="AL60" s="655" t="s">
        <v>3229</v>
      </c>
      <c r="AM60" s="590">
        <v>1</v>
      </c>
      <c r="AN60" s="576">
        <v>0</v>
      </c>
      <c r="AO60" s="652">
        <v>10.24</v>
      </c>
      <c r="AP60" s="1368">
        <v>-0.20852525</v>
      </c>
      <c r="AQ60" s="658">
        <v>7.6812957864153625E-2</v>
      </c>
      <c r="AR60" s="558">
        <f>AO60/10-1</f>
        <v>2.4000000000000021E-2</v>
      </c>
      <c r="AS60" s="558">
        <f t="shared" si="4"/>
        <v>5.7954554938142167E-3</v>
      </c>
      <c r="AT60" s="589"/>
      <c r="AU60" s="559"/>
      <c r="AV60" s="558">
        <f>AO60/10-1</f>
        <v>2.4000000000000021E-2</v>
      </c>
      <c r="AW60" s="558">
        <f t="shared" si="10"/>
        <v>5.7954554938142167E-3</v>
      </c>
      <c r="AX60" s="558"/>
      <c r="AY60" s="559"/>
      <c r="AZ60" s="642">
        <f>J60*(1+AV60)</f>
        <v>10.24</v>
      </c>
      <c r="BA60" s="644" t="s">
        <v>3190</v>
      </c>
      <c r="BB60" s="570"/>
      <c r="BC60" s="637"/>
      <c r="BD60" s="3708"/>
      <c r="BE60" s="3743"/>
      <c r="BF60" s="3743"/>
      <c r="BG60" s="3708"/>
      <c r="BH60" s="3762"/>
      <c r="BI60" s="3762"/>
      <c r="BJ60" s="39"/>
      <c r="BK60" s="39"/>
      <c r="BL60" s="39"/>
      <c r="BM60" s="39"/>
      <c r="BN60" s="39"/>
      <c r="BO60" s="39"/>
      <c r="BP60" s="39"/>
      <c r="BQ60" s="39"/>
      <c r="BR60" s="39"/>
      <c r="BS60" s="507"/>
      <c r="BT60" s="507"/>
      <c r="BU60" s="507"/>
      <c r="BV60" s="507"/>
      <c r="BW60" s="507"/>
      <c r="BX60" s="507"/>
      <c r="BY60" s="507"/>
      <c r="BZ60" s="507"/>
      <c r="CA60" s="507"/>
      <c r="CB60" s="507"/>
      <c r="CC60" s="507"/>
      <c r="CD60" s="507"/>
      <c r="CE60" s="507"/>
      <c r="CF60" s="507"/>
      <c r="CG60" s="507"/>
      <c r="CH60" s="507"/>
      <c r="CI60" s="507"/>
      <c r="CJ60" s="507"/>
      <c r="CK60" s="507"/>
      <c r="CL60" s="507"/>
      <c r="CM60" s="507"/>
      <c r="CN60" s="507"/>
      <c r="CO60" s="507"/>
      <c r="CP60" s="507"/>
      <c r="CQ60" s="507"/>
      <c r="CR60" s="507"/>
      <c r="CS60" s="507"/>
      <c r="CT60" s="507"/>
      <c r="CU60" s="507"/>
      <c r="CV60" s="507"/>
      <c r="CW60" s="507"/>
      <c r="CX60" s="507"/>
      <c r="CY60" s="507"/>
      <c r="CZ60" s="507"/>
      <c r="DA60" s="507"/>
      <c r="DB60" s="507"/>
      <c r="DC60" s="507"/>
      <c r="DD60" s="507"/>
      <c r="DE60" s="507"/>
      <c r="DF60" s="507"/>
      <c r="DG60" s="507"/>
      <c r="DH60" s="507"/>
      <c r="DI60" s="507"/>
      <c r="DJ60" s="507"/>
      <c r="DK60" s="507"/>
      <c r="DL60" s="507"/>
      <c r="DM60" s="507"/>
      <c r="DN60" s="507"/>
      <c r="DO60" s="507"/>
      <c r="DP60" s="507"/>
      <c r="DQ60" s="507"/>
      <c r="DR60" s="507"/>
      <c r="DS60" s="507"/>
      <c r="DT60" s="507"/>
      <c r="DU60" s="507"/>
      <c r="DV60" s="507"/>
      <c r="DW60" s="507"/>
      <c r="DX60" s="507"/>
      <c r="DY60" s="507"/>
      <c r="DZ60" s="507"/>
      <c r="EA60" s="507"/>
      <c r="EB60" s="507"/>
      <c r="EC60" s="507"/>
      <c r="ED60" s="507"/>
      <c r="EE60" s="507"/>
      <c r="EF60" s="507"/>
      <c r="EG60" s="507"/>
      <c r="EH60" s="507"/>
      <c r="EI60" s="507"/>
      <c r="EJ60" s="507"/>
      <c r="EK60" s="507"/>
      <c r="EL60" s="507"/>
      <c r="EM60" s="507"/>
      <c r="EN60" s="507"/>
      <c r="EO60" s="507"/>
      <c r="EP60" s="507"/>
      <c r="EQ60" s="507"/>
      <c r="ER60" s="507"/>
      <c r="ES60" s="507"/>
      <c r="ET60" s="507"/>
      <c r="EU60" s="507"/>
      <c r="EV60" s="507"/>
      <c r="EW60" s="507"/>
      <c r="EX60" s="507"/>
      <c r="EY60" s="507"/>
      <c r="EZ60" s="507"/>
      <c r="FA60" s="507"/>
      <c r="FB60" s="507"/>
      <c r="FC60" s="507"/>
      <c r="FD60" s="507"/>
      <c r="FE60" s="507"/>
      <c r="FF60" s="507"/>
      <c r="FG60" s="507"/>
      <c r="FH60" s="507"/>
      <c r="FI60" s="507"/>
      <c r="FJ60" s="507"/>
      <c r="FK60" s="507"/>
      <c r="FL60" s="507"/>
      <c r="FM60" s="507"/>
      <c r="FN60" s="507"/>
      <c r="FO60" s="507"/>
      <c r="FP60" s="507"/>
      <c r="FQ60" s="507"/>
      <c r="FR60" s="507"/>
      <c r="FS60" s="507"/>
      <c r="FT60" s="507"/>
      <c r="FU60" s="507"/>
      <c r="FV60" s="507"/>
      <c r="FW60" s="507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</row>
    <row r="61" spans="1:234" s="232" customFormat="1" ht="15.9" hidden="1" customHeight="1" x14ac:dyDescent="0.25">
      <c r="A61" s="522" t="s">
        <v>3859</v>
      </c>
      <c r="B61" s="523" t="s">
        <v>4352</v>
      </c>
      <c r="C61" s="526" t="s">
        <v>1139</v>
      </c>
      <c r="D61" s="570" t="s">
        <v>2760</v>
      </c>
      <c r="E61" s="569" t="s">
        <v>3228</v>
      </c>
      <c r="F61" s="543">
        <v>38622</v>
      </c>
      <c r="G61" s="544">
        <v>38558</v>
      </c>
      <c r="H61" s="562">
        <v>38615</v>
      </c>
      <c r="I61" s="546">
        <v>41578</v>
      </c>
      <c r="J61" s="547">
        <v>10</v>
      </c>
      <c r="K61" s="553" t="s">
        <v>3229</v>
      </c>
      <c r="L61" s="573" t="s">
        <v>3229</v>
      </c>
      <c r="M61" s="560">
        <v>8.6300000000000002E-2</v>
      </c>
      <c r="N61" s="560" t="s">
        <v>3229</v>
      </c>
      <c r="O61" s="549" t="s">
        <v>3229</v>
      </c>
      <c r="P61" s="552" t="s">
        <v>3229</v>
      </c>
      <c r="Q61" s="552">
        <v>0.03</v>
      </c>
      <c r="R61" s="552">
        <v>1.5</v>
      </c>
      <c r="S61" s="567">
        <v>8</v>
      </c>
      <c r="T61" s="555">
        <v>38961</v>
      </c>
      <c r="U61" s="555">
        <v>39326</v>
      </c>
      <c r="V61" s="555">
        <v>39692</v>
      </c>
      <c r="W61" s="555">
        <v>40057</v>
      </c>
      <c r="X61" s="555">
        <v>40422</v>
      </c>
      <c r="Y61" s="555">
        <v>40787</v>
      </c>
      <c r="Z61" s="555">
        <v>41153</v>
      </c>
      <c r="AA61" s="553">
        <v>41518</v>
      </c>
      <c r="AB61" s="553" t="s">
        <v>3229</v>
      </c>
      <c r="AC61" s="553" t="s">
        <v>3229</v>
      </c>
      <c r="AD61" s="553" t="s">
        <v>3229</v>
      </c>
      <c r="AE61" s="556" t="s">
        <v>3229</v>
      </c>
      <c r="AF61" s="3764" t="s">
        <v>781</v>
      </c>
      <c r="AG61" s="3765"/>
      <c r="AH61" s="553" t="s">
        <v>3229</v>
      </c>
      <c r="AI61" s="553" t="s">
        <v>3229</v>
      </c>
      <c r="AJ61" s="622" t="s">
        <v>3229</v>
      </c>
      <c r="AK61" s="656" t="s">
        <v>3229</v>
      </c>
      <c r="AL61" s="655" t="s">
        <v>3229</v>
      </c>
      <c r="AM61" s="590">
        <v>1</v>
      </c>
      <c r="AN61" s="576">
        <v>8.634814814814816E-2</v>
      </c>
      <c r="AO61" s="652">
        <v>10.88</v>
      </c>
      <c r="AP61" s="1368">
        <v>0.11495536652352766</v>
      </c>
      <c r="AQ61" s="658">
        <v>0.11495536652352766</v>
      </c>
      <c r="AR61" s="558">
        <f>'klikací hodnoty'!F1163+'klikací hodnoty'!F1157*R61+'klikací hodnoty'!F1157*R61*R61+'klikací hodnoty'!F1157*R61*R61*R61+'klikací hodnoty'!F1157*R61*R61*R61*R61+'klikací hodnoty'!F1157*R61*R61*R61*R61*R61</f>
        <v>0.35009814814814816</v>
      </c>
      <c r="AS61" s="558">
        <f t="shared" si="4"/>
        <v>3.7760673758712393E-2</v>
      </c>
      <c r="AT61" s="589">
        <f>J61*(1+AR61)/AO61-1</f>
        <v>0.24089903322440076</v>
      </c>
      <c r="AU61" s="559" t="e">
        <f>POWER(1+AT61,1/AG61)-1</f>
        <v>#DIV/0!</v>
      </c>
      <c r="AV61" s="558">
        <f>M61</f>
        <v>8.6300000000000002E-2</v>
      </c>
      <c r="AW61" s="558">
        <f t="shared" si="10"/>
        <v>1.0273578480293644E-2</v>
      </c>
      <c r="AX61" s="648">
        <f>J61*(1+AV61)/AO61-1</f>
        <v>-1.5625000000001332E-3</v>
      </c>
      <c r="AY61" s="559" t="e">
        <f>POWER(1+AX61,1/AG61)-1</f>
        <v>#DIV/0!</v>
      </c>
      <c r="AZ61" s="642">
        <f>TRUNC(J61*(1+AV61),2)</f>
        <v>10.86</v>
      </c>
      <c r="BA61" s="644" t="s">
        <v>274</v>
      </c>
      <c r="BB61" s="570"/>
      <c r="BC61" s="637"/>
      <c r="BD61" s="3709">
        <f>'klikací hodnoty'!F1163</f>
        <v>8.634814814814816E-2</v>
      </c>
      <c r="BE61" s="3743"/>
      <c r="BF61" s="3743"/>
      <c r="BG61" s="3708"/>
      <c r="BH61" s="3762"/>
      <c r="BI61" s="3762"/>
      <c r="BJ61" s="39"/>
      <c r="BK61" s="39"/>
      <c r="BL61" s="39"/>
      <c r="BM61" s="39"/>
      <c r="BN61" s="39"/>
      <c r="BO61" s="39"/>
      <c r="BP61" s="39"/>
      <c r="BQ61" s="39"/>
      <c r="BR61" s="39"/>
      <c r="BS61" s="507"/>
      <c r="BT61" s="507"/>
      <c r="BU61" s="507"/>
      <c r="BV61" s="507"/>
      <c r="BW61" s="507"/>
      <c r="BX61" s="507"/>
      <c r="BY61" s="507"/>
      <c r="BZ61" s="507"/>
      <c r="CA61" s="507"/>
      <c r="CB61" s="507"/>
      <c r="CC61" s="507"/>
      <c r="CD61" s="507"/>
      <c r="CE61" s="507"/>
      <c r="CF61" s="507"/>
      <c r="CG61" s="507"/>
      <c r="CH61" s="507"/>
      <c r="CI61" s="507"/>
      <c r="CJ61" s="507"/>
      <c r="CK61" s="507"/>
      <c r="CL61" s="507"/>
      <c r="CM61" s="507"/>
      <c r="CN61" s="507"/>
      <c r="CO61" s="507"/>
      <c r="CP61" s="507"/>
      <c r="CQ61" s="507"/>
      <c r="CR61" s="507"/>
      <c r="CS61" s="507"/>
      <c r="CT61" s="507"/>
      <c r="CU61" s="507"/>
      <c r="CV61" s="507"/>
      <c r="CW61" s="507"/>
      <c r="CX61" s="507"/>
      <c r="CY61" s="507"/>
      <c r="CZ61" s="507"/>
      <c r="DA61" s="507"/>
      <c r="DB61" s="507"/>
      <c r="DC61" s="507"/>
      <c r="DD61" s="507"/>
      <c r="DE61" s="507"/>
      <c r="DF61" s="507"/>
      <c r="DG61" s="507"/>
      <c r="DH61" s="507"/>
      <c r="DI61" s="507"/>
      <c r="DJ61" s="507"/>
      <c r="DK61" s="507"/>
      <c r="DL61" s="507"/>
      <c r="DM61" s="507"/>
      <c r="DN61" s="507"/>
      <c r="DO61" s="507"/>
      <c r="DP61" s="507"/>
      <c r="DQ61" s="507"/>
      <c r="DR61" s="507"/>
      <c r="DS61" s="507"/>
      <c r="DT61" s="507"/>
      <c r="DU61" s="507"/>
      <c r="DV61" s="507"/>
      <c r="DW61" s="507"/>
      <c r="DX61" s="507"/>
      <c r="DY61" s="507"/>
      <c r="DZ61" s="507"/>
      <c r="EA61" s="507"/>
      <c r="EB61" s="507"/>
      <c r="EC61" s="507"/>
      <c r="ED61" s="507"/>
      <c r="EE61" s="507"/>
      <c r="EF61" s="507"/>
      <c r="EG61" s="507"/>
      <c r="EH61" s="507"/>
      <c r="EI61" s="507"/>
      <c r="EJ61" s="507"/>
      <c r="EK61" s="507"/>
      <c r="EL61" s="507"/>
      <c r="EM61" s="507"/>
      <c r="EN61" s="507"/>
      <c r="EO61" s="507"/>
      <c r="EP61" s="507"/>
      <c r="EQ61" s="507"/>
      <c r="ER61" s="507"/>
      <c r="ES61" s="507"/>
      <c r="ET61" s="507"/>
      <c r="EU61" s="507"/>
      <c r="EV61" s="507"/>
      <c r="EW61" s="507"/>
      <c r="EX61" s="507"/>
      <c r="EY61" s="507"/>
      <c r="EZ61" s="507"/>
      <c r="FA61" s="507"/>
      <c r="FB61" s="507"/>
      <c r="FC61" s="507"/>
      <c r="FD61" s="507"/>
      <c r="FE61" s="507"/>
      <c r="FF61" s="507"/>
      <c r="FG61" s="507"/>
      <c r="FH61" s="507"/>
      <c r="FI61" s="507"/>
      <c r="FJ61" s="507"/>
      <c r="FK61" s="507"/>
      <c r="FL61" s="507"/>
      <c r="FM61" s="507"/>
      <c r="FN61" s="507"/>
      <c r="FO61" s="507"/>
      <c r="FP61" s="507"/>
      <c r="FQ61" s="507"/>
      <c r="FR61" s="507"/>
      <c r="FS61" s="507"/>
      <c r="FT61" s="507"/>
      <c r="FU61" s="507"/>
      <c r="FV61" s="507"/>
      <c r="FW61" s="507"/>
      <c r="FX61" s="507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</row>
    <row r="62" spans="1:234" s="232" customFormat="1" ht="15.9" hidden="1" customHeight="1" x14ac:dyDescent="0.25">
      <c r="A62" s="522" t="s">
        <v>1836</v>
      </c>
      <c r="B62" s="523" t="s">
        <v>4107</v>
      </c>
      <c r="C62" s="526" t="s">
        <v>3403</v>
      </c>
      <c r="D62" s="570" t="s">
        <v>4384</v>
      </c>
      <c r="E62" s="569" t="s">
        <v>3228</v>
      </c>
      <c r="F62" s="543">
        <v>38625</v>
      </c>
      <c r="G62" s="544">
        <v>38603</v>
      </c>
      <c r="H62" s="562">
        <v>38618</v>
      </c>
      <c r="I62" s="546">
        <v>42307</v>
      </c>
      <c r="J62" s="547">
        <v>10000</v>
      </c>
      <c r="K62" s="553">
        <v>0</v>
      </c>
      <c r="L62" s="573">
        <v>0.25</v>
      </c>
      <c r="M62" s="560">
        <v>0.05</v>
      </c>
      <c r="N62" s="560" t="s">
        <v>3229</v>
      </c>
      <c r="O62" s="549" t="s">
        <v>3229</v>
      </c>
      <c r="P62" s="552" t="s">
        <v>3229</v>
      </c>
      <c r="Q62" s="552">
        <v>0.05</v>
      </c>
      <c r="R62" s="552">
        <v>4</v>
      </c>
      <c r="S62" s="567">
        <v>10</v>
      </c>
      <c r="T62" s="555">
        <v>38961</v>
      </c>
      <c r="U62" s="555">
        <v>39326</v>
      </c>
      <c r="V62" s="555">
        <v>39692</v>
      </c>
      <c r="W62" s="555">
        <v>40057</v>
      </c>
      <c r="X62" s="555">
        <v>40422</v>
      </c>
      <c r="Y62" s="555">
        <v>40787</v>
      </c>
      <c r="Z62" s="555">
        <v>41153</v>
      </c>
      <c r="AA62" s="553">
        <v>41518</v>
      </c>
      <c r="AB62" s="553">
        <v>41883</v>
      </c>
      <c r="AC62" s="553">
        <v>42248</v>
      </c>
      <c r="AD62" s="553" t="s">
        <v>3229</v>
      </c>
      <c r="AE62" s="556" t="s">
        <v>3229</v>
      </c>
      <c r="AF62" s="3764" t="s">
        <v>781</v>
      </c>
      <c r="AG62" s="3765"/>
      <c r="AH62" s="553" t="s">
        <v>3229</v>
      </c>
      <c r="AI62" s="553" t="s">
        <v>3229</v>
      </c>
      <c r="AJ62" s="622" t="s">
        <v>3229</v>
      </c>
      <c r="AK62" s="656" t="s">
        <v>3229</v>
      </c>
      <c r="AL62" s="655" t="s">
        <v>3229</v>
      </c>
      <c r="AM62" s="590" t="s">
        <v>3229</v>
      </c>
      <c r="AN62" s="576">
        <v>0.34348000000000001</v>
      </c>
      <c r="AO62" s="652">
        <v>13290.33</v>
      </c>
      <c r="AP62" s="1368" t="s">
        <v>3229</v>
      </c>
      <c r="AQ62" s="658" t="s">
        <v>3229</v>
      </c>
      <c r="AR62" s="558">
        <f>AO62/10000-1</f>
        <v>0.32903299999999991</v>
      </c>
      <c r="AS62" s="558">
        <f t="shared" si="4"/>
        <v>2.8599271528556125E-2</v>
      </c>
      <c r="AT62" s="589">
        <f>J62*(1+AR62)/AO62-1</f>
        <v>0</v>
      </c>
      <c r="AU62" s="559" t="e">
        <f>POWER(1+AT62,1/AG62)-1</f>
        <v>#DIV/0!</v>
      </c>
      <c r="AV62" s="558">
        <f>M62</f>
        <v>0.05</v>
      </c>
      <c r="AW62" s="558">
        <f t="shared" si="10"/>
        <v>4.8483285260527698E-3</v>
      </c>
      <c r="AX62" s="648">
        <f>J62*(1+AV62)/AO62-1</f>
        <v>-0.20995189735695052</v>
      </c>
      <c r="AY62" s="559" t="e">
        <f>POWER(1+AX62,1/AG62)-1</f>
        <v>#DIV/0!</v>
      </c>
      <c r="AZ62" s="642">
        <f>J62*(1+AV62)</f>
        <v>10500</v>
      </c>
      <c r="BA62" s="644" t="s">
        <v>3610</v>
      </c>
      <c r="BB62" s="570"/>
      <c r="BC62" s="637"/>
      <c r="BD62" s="3709"/>
      <c r="BE62" s="3743"/>
      <c r="BF62" s="3743"/>
      <c r="BG62" s="3708"/>
      <c r="BH62" s="3762"/>
      <c r="BI62" s="3762"/>
      <c r="BJ62" s="39"/>
      <c r="BK62" s="39"/>
      <c r="BL62" s="39"/>
      <c r="BM62" s="39"/>
      <c r="BN62" s="39"/>
      <c r="BO62" s="39"/>
      <c r="BP62" s="39"/>
      <c r="BQ62" s="39"/>
      <c r="BR62" s="39"/>
      <c r="BS62" s="507"/>
      <c r="BT62" s="507"/>
      <c r="BU62" s="507"/>
      <c r="BV62" s="507"/>
      <c r="BW62" s="507"/>
      <c r="BX62" s="507"/>
      <c r="BY62" s="507"/>
      <c r="BZ62" s="507"/>
      <c r="CA62" s="507"/>
      <c r="CB62" s="507"/>
      <c r="CC62" s="507"/>
      <c r="CD62" s="507"/>
      <c r="CE62" s="507"/>
      <c r="CF62" s="507"/>
      <c r="CG62" s="507"/>
      <c r="CH62" s="507"/>
      <c r="CI62" s="507"/>
      <c r="CJ62" s="507"/>
      <c r="CK62" s="507"/>
      <c r="CL62" s="507"/>
      <c r="CM62" s="507"/>
      <c r="CN62" s="507"/>
      <c r="CO62" s="507"/>
      <c r="CP62" s="507"/>
      <c r="CQ62" s="507"/>
      <c r="CR62" s="507"/>
      <c r="CS62" s="507"/>
      <c r="CT62" s="507"/>
      <c r="CU62" s="507"/>
      <c r="CV62" s="507"/>
      <c r="CW62" s="507"/>
      <c r="CX62" s="507"/>
      <c r="CY62" s="507"/>
      <c r="CZ62" s="507"/>
      <c r="DA62" s="507"/>
      <c r="DB62" s="507"/>
      <c r="DC62" s="507"/>
      <c r="DD62" s="507"/>
      <c r="DE62" s="507"/>
      <c r="DF62" s="507"/>
      <c r="DG62" s="507"/>
      <c r="DH62" s="507"/>
      <c r="DI62" s="507"/>
      <c r="DJ62" s="507"/>
      <c r="DK62" s="507"/>
      <c r="DL62" s="507"/>
      <c r="DM62" s="507"/>
      <c r="DN62" s="507"/>
      <c r="DO62" s="507"/>
      <c r="DP62" s="507"/>
      <c r="DQ62" s="507"/>
      <c r="DR62" s="507"/>
      <c r="DS62" s="507"/>
      <c r="DT62" s="507"/>
      <c r="DU62" s="507"/>
      <c r="DV62" s="507"/>
      <c r="DW62" s="507"/>
      <c r="DX62" s="507"/>
      <c r="DY62" s="507"/>
      <c r="DZ62" s="507"/>
      <c r="EA62" s="507"/>
      <c r="EB62" s="507"/>
      <c r="EC62" s="507"/>
      <c r="ED62" s="507"/>
      <c r="EE62" s="507"/>
      <c r="EF62" s="507"/>
      <c r="EG62" s="507"/>
      <c r="EH62" s="507"/>
      <c r="EI62" s="507"/>
      <c r="EJ62" s="507"/>
      <c r="EK62" s="507"/>
      <c r="EL62" s="507"/>
      <c r="EM62" s="507"/>
      <c r="EN62" s="507"/>
      <c r="EO62" s="507"/>
      <c r="EP62" s="507"/>
      <c r="EQ62" s="507"/>
      <c r="ER62" s="507"/>
      <c r="ES62" s="507"/>
      <c r="ET62" s="507"/>
      <c r="EU62" s="507"/>
      <c r="EV62" s="507"/>
      <c r="EW62" s="507"/>
      <c r="EX62" s="507"/>
      <c r="EY62" s="507"/>
      <c r="EZ62" s="507"/>
      <c r="FA62" s="507"/>
      <c r="FB62" s="507"/>
      <c r="FC62" s="507"/>
      <c r="FD62" s="507"/>
      <c r="FE62" s="507"/>
      <c r="FF62" s="507"/>
      <c r="FG62" s="507"/>
      <c r="FH62" s="507"/>
      <c r="FI62" s="507"/>
      <c r="FJ62" s="507"/>
      <c r="FK62" s="507"/>
      <c r="FL62" s="507"/>
      <c r="FM62" s="507"/>
      <c r="FN62" s="507"/>
      <c r="FO62" s="507"/>
      <c r="FP62" s="507"/>
      <c r="FQ62" s="507"/>
      <c r="FR62" s="507"/>
      <c r="FS62" s="507"/>
      <c r="FT62" s="507"/>
      <c r="FU62" s="507"/>
      <c r="FV62" s="507"/>
      <c r="FW62" s="507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</row>
    <row r="63" spans="1:234" s="232" customFormat="1" ht="15.9" hidden="1" customHeight="1" x14ac:dyDescent="0.25">
      <c r="A63" s="522" t="s">
        <v>2774</v>
      </c>
      <c r="B63" s="523" t="s">
        <v>4353</v>
      </c>
      <c r="C63" s="526" t="s">
        <v>183</v>
      </c>
      <c r="D63" s="570" t="s">
        <v>189</v>
      </c>
      <c r="E63" s="569" t="s">
        <v>1743</v>
      </c>
      <c r="F63" s="543">
        <v>38663</v>
      </c>
      <c r="G63" s="544">
        <v>38596</v>
      </c>
      <c r="H63" s="562">
        <v>38656</v>
      </c>
      <c r="I63" s="546">
        <v>40512</v>
      </c>
      <c r="J63" s="547">
        <v>1000</v>
      </c>
      <c r="K63" s="553" t="s">
        <v>3229</v>
      </c>
      <c r="L63" s="552" t="s">
        <v>3229</v>
      </c>
      <c r="M63" s="560">
        <v>0.13289999999999999</v>
      </c>
      <c r="N63" s="560" t="s">
        <v>3229</v>
      </c>
      <c r="O63" s="552" t="s">
        <v>3229</v>
      </c>
      <c r="P63" s="552" t="s">
        <v>3229</v>
      </c>
      <c r="Q63" s="549">
        <v>5.0999999999999997E-2</v>
      </c>
      <c r="R63" s="571">
        <v>1.5</v>
      </c>
      <c r="S63" s="567">
        <v>5</v>
      </c>
      <c r="T63" s="555">
        <v>38991</v>
      </c>
      <c r="U63" s="555">
        <v>39356</v>
      </c>
      <c r="V63" s="555">
        <v>39722</v>
      </c>
      <c r="W63" s="555">
        <v>40087</v>
      </c>
      <c r="X63" s="555">
        <v>40452</v>
      </c>
      <c r="Y63" s="555" t="s">
        <v>3229</v>
      </c>
      <c r="Z63" s="555" t="s">
        <v>3229</v>
      </c>
      <c r="AA63" s="555" t="s">
        <v>3229</v>
      </c>
      <c r="AB63" s="555" t="s">
        <v>3229</v>
      </c>
      <c r="AC63" s="555" t="s">
        <v>3229</v>
      </c>
      <c r="AD63" s="555" t="s">
        <v>3229</v>
      </c>
      <c r="AE63" s="556" t="s">
        <v>3229</v>
      </c>
      <c r="AF63" s="3764" t="s">
        <v>781</v>
      </c>
      <c r="AG63" s="3765"/>
      <c r="AH63" s="622" t="s">
        <v>3229</v>
      </c>
      <c r="AI63" s="622" t="s">
        <v>3229</v>
      </c>
      <c r="AJ63" s="622" t="s">
        <v>3229</v>
      </c>
      <c r="AK63" s="566" t="s">
        <v>3229</v>
      </c>
      <c r="AL63" s="622" t="s">
        <v>3229</v>
      </c>
      <c r="AM63" s="590">
        <v>1</v>
      </c>
      <c r="AN63" s="576">
        <v>0.13285185185185183</v>
      </c>
      <c r="AO63" s="652">
        <v>1132.9000000000001</v>
      </c>
      <c r="AP63" s="1368" t="s">
        <v>3229</v>
      </c>
      <c r="AQ63" s="658">
        <v>5.1347277492093502E-2</v>
      </c>
      <c r="AR63" s="558">
        <f>AO63/1000-1</f>
        <v>0.13290000000000002</v>
      </c>
      <c r="AS63" s="558">
        <f t="shared" si="4"/>
        <v>2.4938092195540218E-2</v>
      </c>
      <c r="AT63" s="589" t="s">
        <v>3229</v>
      </c>
      <c r="AU63" s="559" t="s">
        <v>3229</v>
      </c>
      <c r="AV63" s="558">
        <f>M63</f>
        <v>0.13289999999999999</v>
      </c>
      <c r="AW63" s="558">
        <f t="shared" si="10"/>
        <v>2.4938092195540218E-2</v>
      </c>
      <c r="AX63" s="589" t="s">
        <v>3229</v>
      </c>
      <c r="AY63" s="587" t="s">
        <v>3229</v>
      </c>
      <c r="AZ63" s="642">
        <f>TRUNC(J63*(1+AV63),2)</f>
        <v>1132.9000000000001</v>
      </c>
      <c r="BA63" s="644" t="s">
        <v>274</v>
      </c>
      <c r="BB63" s="570" t="s">
        <v>2496</v>
      </c>
      <c r="BC63" s="637" t="s">
        <v>2895</v>
      </c>
      <c r="BD63" s="3709">
        <f>'klikací hodnoty'!F1208</f>
        <v>0.13285185185185183</v>
      </c>
      <c r="BE63" s="3743"/>
      <c r="BF63" s="3743"/>
      <c r="BG63" s="3708"/>
      <c r="BH63" s="3762"/>
      <c r="BI63" s="3762"/>
      <c r="BJ63" s="39"/>
      <c r="BK63" s="39"/>
      <c r="BL63" s="39"/>
      <c r="BM63" s="39"/>
      <c r="BN63" s="39"/>
      <c r="BO63" s="39"/>
      <c r="BP63" s="39"/>
      <c r="BQ63" s="39"/>
      <c r="BR63" s="39"/>
      <c r="BS63" s="507"/>
      <c r="BT63" s="507"/>
      <c r="BU63" s="507"/>
      <c r="BV63" s="507"/>
      <c r="BW63" s="507"/>
      <c r="BX63" s="507"/>
      <c r="BY63" s="507"/>
      <c r="BZ63" s="507"/>
      <c r="CA63" s="507"/>
      <c r="CB63" s="507"/>
      <c r="CC63" s="507"/>
      <c r="CD63" s="507"/>
      <c r="CE63" s="507"/>
      <c r="CF63" s="507"/>
      <c r="CG63" s="507"/>
      <c r="CH63" s="507"/>
      <c r="CI63" s="507"/>
      <c r="CJ63" s="507"/>
      <c r="CK63" s="507"/>
      <c r="CL63" s="507"/>
      <c r="CM63" s="507"/>
      <c r="CN63" s="507"/>
      <c r="CO63" s="507"/>
      <c r="CP63" s="507"/>
      <c r="CQ63" s="507"/>
      <c r="CR63" s="507"/>
      <c r="CS63" s="507"/>
      <c r="CT63" s="507"/>
      <c r="CU63" s="507"/>
      <c r="CV63" s="507"/>
      <c r="CW63" s="507"/>
      <c r="CX63" s="507"/>
      <c r="CY63" s="507"/>
      <c r="CZ63" s="507"/>
      <c r="DA63" s="507"/>
      <c r="DB63" s="507"/>
      <c r="DC63" s="507"/>
      <c r="DD63" s="507"/>
      <c r="DE63" s="507"/>
      <c r="DF63" s="507"/>
      <c r="DG63" s="507"/>
      <c r="DH63" s="507"/>
      <c r="DI63" s="507"/>
      <c r="DJ63" s="507"/>
      <c r="DK63" s="507"/>
      <c r="DL63" s="507"/>
      <c r="DM63" s="507"/>
      <c r="DN63" s="507"/>
      <c r="DO63" s="507"/>
      <c r="DP63" s="507"/>
      <c r="DQ63" s="507"/>
      <c r="DR63" s="507"/>
      <c r="DS63" s="507"/>
      <c r="DT63" s="507"/>
      <c r="DU63" s="507"/>
      <c r="DV63" s="507"/>
      <c r="DW63" s="507"/>
      <c r="DX63" s="507"/>
      <c r="DY63" s="507"/>
      <c r="DZ63" s="507"/>
      <c r="EA63" s="507"/>
      <c r="EB63" s="507"/>
      <c r="EC63" s="507"/>
      <c r="ED63" s="507"/>
      <c r="EE63" s="507"/>
      <c r="EF63" s="507"/>
      <c r="EG63" s="507"/>
      <c r="EH63" s="507"/>
      <c r="EI63" s="507"/>
      <c r="EJ63" s="507"/>
      <c r="EK63" s="507"/>
      <c r="EL63" s="507"/>
      <c r="EM63" s="507"/>
      <c r="EN63" s="507"/>
      <c r="EO63" s="507"/>
      <c r="EP63" s="507"/>
      <c r="EQ63" s="507"/>
      <c r="ER63" s="507"/>
      <c r="ES63" s="507"/>
      <c r="ET63" s="507"/>
      <c r="EU63" s="507"/>
      <c r="EV63" s="507"/>
      <c r="EW63" s="507"/>
      <c r="EX63" s="507"/>
      <c r="EY63" s="507"/>
      <c r="EZ63" s="507"/>
      <c r="FA63" s="507"/>
      <c r="FB63" s="507"/>
      <c r="FC63" s="507"/>
      <c r="FD63" s="507"/>
      <c r="FE63" s="507"/>
      <c r="FF63" s="507"/>
      <c r="FG63" s="507"/>
      <c r="FH63" s="507"/>
      <c r="FI63" s="507"/>
      <c r="FJ63" s="507"/>
      <c r="FK63" s="507"/>
      <c r="FL63" s="507"/>
      <c r="FM63" s="507"/>
      <c r="FN63" s="507"/>
      <c r="FO63" s="507"/>
      <c r="FP63" s="507"/>
      <c r="FQ63" s="507"/>
      <c r="FR63" s="507"/>
      <c r="FS63" s="507"/>
      <c r="FT63" s="507"/>
      <c r="FU63" s="507"/>
      <c r="FV63" s="507"/>
      <c r="FW63" s="507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</row>
    <row r="64" spans="1:234" s="232" customFormat="1" ht="15.9" hidden="1" customHeight="1" x14ac:dyDescent="0.25">
      <c r="A64" s="522" t="s">
        <v>2319</v>
      </c>
      <c r="B64" s="523" t="s">
        <v>2638</v>
      </c>
      <c r="C64" s="526" t="s">
        <v>184</v>
      </c>
      <c r="D64" s="570" t="s">
        <v>189</v>
      </c>
      <c r="E64" s="569" t="s">
        <v>3228</v>
      </c>
      <c r="F64" s="543">
        <v>38663</v>
      </c>
      <c r="G64" s="544">
        <v>38614</v>
      </c>
      <c r="H64" s="562">
        <v>38656</v>
      </c>
      <c r="I64" s="546">
        <v>39962</v>
      </c>
      <c r="J64" s="547">
        <v>10</v>
      </c>
      <c r="K64" s="553" t="s">
        <v>3229</v>
      </c>
      <c r="L64" s="552" t="s">
        <v>3229</v>
      </c>
      <c r="M64" s="560">
        <v>0</v>
      </c>
      <c r="N64" s="560" t="s">
        <v>3229</v>
      </c>
      <c r="O64" s="552" t="s">
        <v>3229</v>
      </c>
      <c r="P64" s="549">
        <v>0.5</v>
      </c>
      <c r="Q64" s="552" t="s">
        <v>3229</v>
      </c>
      <c r="R64" s="552" t="s">
        <v>3229</v>
      </c>
      <c r="S64" s="567">
        <v>42</v>
      </c>
      <c r="T64" s="3777" t="s">
        <v>250</v>
      </c>
      <c r="U64" s="3777"/>
      <c r="V64" s="3777"/>
      <c r="W64" s="3777"/>
      <c r="X64" s="3777"/>
      <c r="Y64" s="3777"/>
      <c r="Z64" s="3777"/>
      <c r="AA64" s="3777"/>
      <c r="AB64" s="3777"/>
      <c r="AC64" s="3777"/>
      <c r="AD64" s="3777"/>
      <c r="AE64" s="3778"/>
      <c r="AF64" s="3764" t="s">
        <v>781</v>
      </c>
      <c r="AG64" s="3765"/>
      <c r="AH64" s="622">
        <v>1</v>
      </c>
      <c r="AI64" s="622" t="s">
        <v>3229</v>
      </c>
      <c r="AJ64" s="622" t="s">
        <v>3229</v>
      </c>
      <c r="AK64" s="566" t="s">
        <v>3229</v>
      </c>
      <c r="AL64" s="622" t="s">
        <v>3229</v>
      </c>
      <c r="AM64" s="590" t="s">
        <v>3229</v>
      </c>
      <c r="AN64" s="576">
        <v>0</v>
      </c>
      <c r="AO64" s="652">
        <v>10</v>
      </c>
      <c r="AP64" s="1368"/>
      <c r="AQ64" s="658" t="s">
        <v>3229</v>
      </c>
      <c r="AR64" s="632">
        <f>AN64</f>
        <v>0</v>
      </c>
      <c r="AS64" s="558">
        <f t="shared" si="4"/>
        <v>0</v>
      </c>
      <c r="AT64" s="648"/>
      <c r="AU64" s="559"/>
      <c r="AV64" s="558">
        <f>M64</f>
        <v>0</v>
      </c>
      <c r="AW64" s="558">
        <f t="shared" si="10"/>
        <v>0</v>
      </c>
      <c r="AX64" s="558"/>
      <c r="AY64" s="559"/>
      <c r="AZ64" s="642">
        <f>J64*(1+AV64)</f>
        <v>10</v>
      </c>
      <c r="BA64" s="644" t="s">
        <v>3191</v>
      </c>
      <c r="BB64" s="570"/>
      <c r="BC64" s="637"/>
      <c r="BD64" s="3708"/>
      <c r="BE64" s="3743"/>
      <c r="BF64" s="3743"/>
      <c r="BG64" s="3708"/>
      <c r="BH64" s="3762"/>
      <c r="BI64" s="3762"/>
      <c r="BJ64" s="39"/>
      <c r="BK64" s="39"/>
      <c r="BL64" s="39"/>
      <c r="BM64" s="39"/>
      <c r="BN64" s="39"/>
      <c r="BO64" s="39"/>
      <c r="BP64" s="39"/>
      <c r="BQ64" s="39"/>
      <c r="BR64" s="39"/>
      <c r="BS64" s="507"/>
      <c r="BT64" s="507"/>
      <c r="BU64" s="507"/>
      <c r="BV64" s="507"/>
      <c r="BW64" s="507"/>
      <c r="BX64" s="507"/>
      <c r="BY64" s="507"/>
      <c r="BZ64" s="507"/>
      <c r="CA64" s="507"/>
      <c r="CB64" s="507"/>
      <c r="CC64" s="507"/>
      <c r="CD64" s="507"/>
      <c r="CE64" s="507"/>
      <c r="CF64" s="507"/>
      <c r="CG64" s="507"/>
      <c r="CH64" s="507"/>
      <c r="CI64" s="507"/>
      <c r="CJ64" s="507"/>
      <c r="CK64" s="507"/>
      <c r="CL64" s="507"/>
      <c r="CM64" s="507"/>
      <c r="CN64" s="507"/>
      <c r="CO64" s="507"/>
      <c r="CP64" s="507"/>
      <c r="CQ64" s="507"/>
      <c r="CR64" s="507"/>
      <c r="CS64" s="507"/>
      <c r="CT64" s="507"/>
      <c r="CU64" s="507"/>
      <c r="CV64" s="507"/>
      <c r="CW64" s="507"/>
      <c r="CX64" s="507"/>
      <c r="CY64" s="507"/>
      <c r="CZ64" s="507"/>
      <c r="DA64" s="507"/>
      <c r="DB64" s="507"/>
      <c r="DC64" s="507"/>
      <c r="DD64" s="507"/>
      <c r="DE64" s="507"/>
      <c r="DF64" s="507"/>
      <c r="DG64" s="507"/>
      <c r="DH64" s="507"/>
      <c r="DI64" s="507"/>
      <c r="DJ64" s="507"/>
      <c r="DK64" s="507"/>
      <c r="DL64" s="507"/>
      <c r="DM64" s="507"/>
      <c r="DN64" s="507"/>
      <c r="DO64" s="507"/>
      <c r="DP64" s="507"/>
      <c r="DQ64" s="507"/>
      <c r="DR64" s="507"/>
      <c r="DS64" s="507"/>
      <c r="DT64" s="507"/>
      <c r="DU64" s="507"/>
      <c r="DV64" s="507"/>
      <c r="DW64" s="507"/>
      <c r="DX64" s="507"/>
      <c r="DY64" s="507"/>
      <c r="DZ64" s="507"/>
      <c r="EA64" s="507"/>
      <c r="EB64" s="507"/>
      <c r="EC64" s="507"/>
      <c r="ED64" s="507"/>
      <c r="EE64" s="507"/>
      <c r="EF64" s="507"/>
      <c r="EG64" s="507"/>
      <c r="EH64" s="507"/>
      <c r="EI64" s="507"/>
      <c r="EJ64" s="507"/>
      <c r="EK64" s="507"/>
      <c r="EL64" s="507"/>
      <c r="EM64" s="507"/>
      <c r="EN64" s="507"/>
      <c r="EO64" s="507"/>
      <c r="EP64" s="507"/>
      <c r="EQ64" s="507"/>
      <c r="ER64" s="507"/>
      <c r="ES64" s="507"/>
      <c r="ET64" s="507"/>
      <c r="EU64" s="507"/>
      <c r="EV64" s="507"/>
      <c r="EW64" s="507"/>
      <c r="EX64" s="507"/>
      <c r="EY64" s="507"/>
      <c r="EZ64" s="507"/>
      <c r="FA64" s="507"/>
      <c r="FB64" s="507"/>
      <c r="FC64" s="507"/>
      <c r="FD64" s="507"/>
      <c r="FE64" s="507"/>
      <c r="FF64" s="507"/>
      <c r="FG64" s="507"/>
      <c r="FH64" s="507"/>
      <c r="FI64" s="507"/>
      <c r="FJ64" s="507"/>
      <c r="FK64" s="507"/>
      <c r="FL64" s="507"/>
      <c r="FM64" s="507"/>
      <c r="FN64" s="507"/>
      <c r="FO64" s="507"/>
      <c r="FP64" s="507"/>
      <c r="FQ64" s="507"/>
      <c r="FR64" s="507"/>
      <c r="FS64" s="507"/>
      <c r="FT64" s="507"/>
      <c r="FU64" s="507"/>
      <c r="FV64" s="507"/>
      <c r="FW64" s="507"/>
      <c r="FX64" s="507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</row>
    <row r="65" spans="1:234" s="232" customFormat="1" ht="15.9" hidden="1" customHeight="1" x14ac:dyDescent="0.25">
      <c r="A65" s="522" t="s">
        <v>1621</v>
      </c>
      <c r="B65" s="523" t="s">
        <v>2639</v>
      </c>
      <c r="C65" s="526" t="s">
        <v>212</v>
      </c>
      <c r="D65" s="570" t="s">
        <v>2159</v>
      </c>
      <c r="E65" s="569" t="s">
        <v>3228</v>
      </c>
      <c r="F65" s="543">
        <v>38663</v>
      </c>
      <c r="G65" s="544">
        <v>38614</v>
      </c>
      <c r="H65" s="562">
        <v>38656</v>
      </c>
      <c r="I65" s="546">
        <v>40147</v>
      </c>
      <c r="J65" s="547">
        <v>10</v>
      </c>
      <c r="K65" s="553" t="s">
        <v>3229</v>
      </c>
      <c r="L65" s="552" t="s">
        <v>3229</v>
      </c>
      <c r="M65" s="550">
        <v>0</v>
      </c>
      <c r="N65" s="560">
        <v>0.5</v>
      </c>
      <c r="O65" s="552" t="s">
        <v>3229</v>
      </c>
      <c r="P65" s="552" t="s">
        <v>3229</v>
      </c>
      <c r="Q65" s="552" t="s">
        <v>3229</v>
      </c>
      <c r="R65" s="552" t="s">
        <v>3229</v>
      </c>
      <c r="S65" s="567"/>
      <c r="T65" s="555" t="s">
        <v>3229</v>
      </c>
      <c r="U65" s="555" t="s">
        <v>3229</v>
      </c>
      <c r="V65" s="555" t="s">
        <v>3229</v>
      </c>
      <c r="W65" s="555" t="s">
        <v>3229</v>
      </c>
      <c r="X65" s="555" t="s">
        <v>3229</v>
      </c>
      <c r="Y65" s="555" t="s">
        <v>3229</v>
      </c>
      <c r="Z65" s="555" t="s">
        <v>3229</v>
      </c>
      <c r="AA65" s="555" t="s">
        <v>3229</v>
      </c>
      <c r="AB65" s="555" t="s">
        <v>3229</v>
      </c>
      <c r="AC65" s="555" t="s">
        <v>3229</v>
      </c>
      <c r="AD65" s="555" t="s">
        <v>3229</v>
      </c>
      <c r="AE65" s="556" t="s">
        <v>3229</v>
      </c>
      <c r="AF65" s="3764" t="s">
        <v>781</v>
      </c>
      <c r="AG65" s="3765"/>
      <c r="AH65" s="622" t="s">
        <v>3229</v>
      </c>
      <c r="AI65" s="622" t="s">
        <v>3229</v>
      </c>
      <c r="AJ65" s="622" t="s">
        <v>3229</v>
      </c>
      <c r="AK65" s="566" t="s">
        <v>3229</v>
      </c>
      <c r="AL65" s="622" t="s">
        <v>3229</v>
      </c>
      <c r="AM65" s="590">
        <v>1</v>
      </c>
      <c r="AN65" s="576">
        <v>0</v>
      </c>
      <c r="AO65" s="652">
        <v>10.26</v>
      </c>
      <c r="AP65" s="1368">
        <v>-0.21910108333333334</v>
      </c>
      <c r="AQ65" s="658">
        <v>-0.1154</v>
      </c>
      <c r="AR65" s="632">
        <f>AO65/10-1</f>
        <v>2.6000000000000023E-2</v>
      </c>
      <c r="AS65" s="558">
        <f t="shared" si="4"/>
        <v>6.3331287243915124E-3</v>
      </c>
      <c r="AT65" s="648"/>
      <c r="AU65" s="559"/>
      <c r="AV65" s="558">
        <f>AO65/10-1</f>
        <v>2.6000000000000023E-2</v>
      </c>
      <c r="AW65" s="558">
        <f t="shared" si="10"/>
        <v>6.3331287243915124E-3</v>
      </c>
      <c r="AX65" s="558"/>
      <c r="AY65" s="559"/>
      <c r="AZ65" s="642">
        <f>J65*(1+AV65)</f>
        <v>10.26</v>
      </c>
      <c r="BA65" s="644" t="s">
        <v>3190</v>
      </c>
      <c r="BB65" s="570"/>
      <c r="BC65" s="637"/>
      <c r="BD65" s="3708"/>
      <c r="BE65" s="3743"/>
      <c r="BF65" s="3743"/>
      <c r="BG65" s="3708"/>
      <c r="BH65" s="3762"/>
      <c r="BI65" s="3762"/>
      <c r="BJ65" s="39"/>
      <c r="BK65" s="39"/>
      <c r="BL65" s="39"/>
      <c r="BM65" s="39"/>
      <c r="BN65" s="39"/>
      <c r="BO65" s="39"/>
      <c r="BP65" s="39"/>
      <c r="BQ65" s="39"/>
      <c r="BR65" s="39"/>
      <c r="BS65" s="507"/>
      <c r="BT65" s="507"/>
      <c r="BU65" s="507"/>
      <c r="BV65" s="507"/>
      <c r="BW65" s="507"/>
      <c r="BX65" s="507"/>
      <c r="BY65" s="507"/>
      <c r="BZ65" s="507"/>
      <c r="CA65" s="507"/>
      <c r="CB65" s="507"/>
      <c r="CC65" s="507"/>
      <c r="CD65" s="507"/>
      <c r="CE65" s="507"/>
      <c r="CF65" s="507"/>
      <c r="CG65" s="507"/>
      <c r="CH65" s="507"/>
      <c r="CI65" s="507"/>
      <c r="CJ65" s="507"/>
      <c r="CK65" s="507"/>
      <c r="CL65" s="507"/>
      <c r="CM65" s="507"/>
      <c r="CN65" s="507"/>
      <c r="CO65" s="507"/>
      <c r="CP65" s="507"/>
      <c r="CQ65" s="507"/>
      <c r="CR65" s="507"/>
      <c r="CS65" s="507"/>
      <c r="CT65" s="507"/>
      <c r="CU65" s="507"/>
      <c r="CV65" s="507"/>
      <c r="CW65" s="507"/>
      <c r="CX65" s="507"/>
      <c r="CY65" s="507"/>
      <c r="CZ65" s="507"/>
      <c r="DA65" s="507"/>
      <c r="DB65" s="507"/>
      <c r="DC65" s="507"/>
      <c r="DD65" s="507"/>
      <c r="DE65" s="507"/>
      <c r="DF65" s="507"/>
      <c r="DG65" s="507"/>
      <c r="DH65" s="507"/>
      <c r="DI65" s="507"/>
      <c r="DJ65" s="507"/>
      <c r="DK65" s="507"/>
      <c r="DL65" s="507"/>
      <c r="DM65" s="507"/>
      <c r="DN65" s="507"/>
      <c r="DO65" s="507"/>
      <c r="DP65" s="507"/>
      <c r="DQ65" s="507"/>
      <c r="DR65" s="507"/>
      <c r="DS65" s="507"/>
      <c r="DT65" s="507"/>
      <c r="DU65" s="507"/>
      <c r="DV65" s="507"/>
      <c r="DW65" s="507"/>
      <c r="DX65" s="507"/>
      <c r="DY65" s="507"/>
      <c r="DZ65" s="507"/>
      <c r="EA65" s="507"/>
      <c r="EB65" s="507"/>
      <c r="EC65" s="507"/>
      <c r="ED65" s="507"/>
      <c r="EE65" s="507"/>
      <c r="EF65" s="507"/>
      <c r="EG65" s="507"/>
      <c r="EH65" s="507"/>
      <c r="EI65" s="507"/>
      <c r="EJ65" s="507"/>
      <c r="EK65" s="507"/>
      <c r="EL65" s="507"/>
      <c r="EM65" s="507"/>
      <c r="EN65" s="507"/>
      <c r="EO65" s="507"/>
      <c r="EP65" s="507"/>
      <c r="EQ65" s="507"/>
      <c r="ER65" s="507"/>
      <c r="ES65" s="507"/>
      <c r="ET65" s="507"/>
      <c r="EU65" s="507"/>
      <c r="EV65" s="507"/>
      <c r="EW65" s="507"/>
      <c r="EX65" s="507"/>
      <c r="EY65" s="507"/>
      <c r="EZ65" s="507"/>
      <c r="FA65" s="507"/>
      <c r="FB65" s="507"/>
      <c r="FC65" s="507"/>
      <c r="FD65" s="507"/>
      <c r="FE65" s="507"/>
      <c r="FF65" s="507"/>
      <c r="FG65" s="507"/>
      <c r="FH65" s="507"/>
      <c r="FI65" s="507"/>
      <c r="FJ65" s="507"/>
      <c r="FK65" s="507"/>
      <c r="FL65" s="507"/>
      <c r="FM65" s="507"/>
      <c r="FN65" s="507"/>
      <c r="FO65" s="507"/>
      <c r="FP65" s="507"/>
      <c r="FQ65" s="507"/>
      <c r="FR65" s="507"/>
      <c r="FS65" s="507"/>
      <c r="FT65" s="507"/>
      <c r="FU65" s="507"/>
      <c r="FV65" s="507"/>
      <c r="FW65" s="507"/>
      <c r="FX65" s="507"/>
      <c r="FY65" s="507"/>
      <c r="FZ65" s="507"/>
      <c r="GA65" s="507"/>
      <c r="GB65" s="507"/>
      <c r="GC65" s="507"/>
      <c r="GD65" s="507"/>
      <c r="GE65" s="507"/>
      <c r="GF65" s="507"/>
      <c r="GG65" s="507"/>
      <c r="GH65" s="507"/>
      <c r="GI65" s="507"/>
      <c r="GJ65" s="507"/>
      <c r="GK65" s="507"/>
      <c r="GL65" s="507"/>
      <c r="GM65" s="507"/>
      <c r="GN65" s="507"/>
      <c r="GO65" s="507"/>
      <c r="GP65" s="507"/>
      <c r="GQ65" s="507"/>
      <c r="GR65" s="507"/>
      <c r="GS65" s="507"/>
      <c r="GT65" s="507"/>
      <c r="GU65" s="507"/>
      <c r="GV65" s="507"/>
      <c r="GW65" s="507"/>
      <c r="GX65" s="507"/>
      <c r="GY65" s="507"/>
      <c r="GZ65" s="507"/>
      <c r="HA65" s="507"/>
      <c r="HB65" s="507"/>
      <c r="HC65" s="507"/>
      <c r="HD65" s="507"/>
      <c r="HE65" s="507"/>
      <c r="HF65" s="507"/>
      <c r="HG65" s="507"/>
      <c r="HH65" s="507"/>
      <c r="HI65" s="507"/>
      <c r="HJ65" s="507"/>
      <c r="HK65" s="507"/>
      <c r="HL65" s="507"/>
      <c r="HM65" s="507"/>
      <c r="HN65" s="507"/>
      <c r="HO65" s="507"/>
      <c r="HP65" s="507"/>
      <c r="HQ65" s="507"/>
      <c r="HR65" s="507"/>
      <c r="HS65" s="507"/>
      <c r="HT65" s="507"/>
      <c r="HU65" s="507"/>
      <c r="HV65" s="507"/>
      <c r="HW65" s="507"/>
      <c r="HX65" s="507"/>
      <c r="HY65" s="507"/>
      <c r="HZ65" s="507"/>
    </row>
    <row r="66" spans="1:234" s="232" customFormat="1" ht="15.9" hidden="1" customHeight="1" x14ac:dyDescent="0.25">
      <c r="A66" s="522" t="s">
        <v>46</v>
      </c>
      <c r="B66" s="523" t="s">
        <v>4222</v>
      </c>
      <c r="C66" s="526" t="s">
        <v>4476</v>
      </c>
      <c r="D66" s="570" t="s">
        <v>1216</v>
      </c>
      <c r="E66" s="569" t="s">
        <v>3228</v>
      </c>
      <c r="F66" s="543">
        <v>38663</v>
      </c>
      <c r="G66" s="544">
        <v>38614</v>
      </c>
      <c r="H66" s="562">
        <v>38656</v>
      </c>
      <c r="I66" s="546">
        <v>41607</v>
      </c>
      <c r="J66" s="547">
        <v>10</v>
      </c>
      <c r="K66" s="553" t="s">
        <v>3229</v>
      </c>
      <c r="L66" s="552" t="s">
        <v>3229</v>
      </c>
      <c r="M66" s="550">
        <v>9.8100000000000007E-2</v>
      </c>
      <c r="N66" s="560" t="s">
        <v>3229</v>
      </c>
      <c r="O66" s="552" t="s">
        <v>3229</v>
      </c>
      <c r="P66" s="552" t="s">
        <v>3229</v>
      </c>
      <c r="Q66" s="552">
        <v>3.4000000000000002E-2</v>
      </c>
      <c r="R66" s="552">
        <v>1.5</v>
      </c>
      <c r="S66" s="567">
        <v>8</v>
      </c>
      <c r="T66" s="555">
        <v>38991</v>
      </c>
      <c r="U66" s="555">
        <v>39356</v>
      </c>
      <c r="V66" s="555">
        <v>39722</v>
      </c>
      <c r="W66" s="555">
        <v>40087</v>
      </c>
      <c r="X66" s="555">
        <v>40452</v>
      </c>
      <c r="Y66" s="555">
        <v>40817</v>
      </c>
      <c r="Z66" s="555">
        <v>41183</v>
      </c>
      <c r="AA66" s="555">
        <v>41548</v>
      </c>
      <c r="AB66" s="555" t="s">
        <v>3229</v>
      </c>
      <c r="AC66" s="555" t="s">
        <v>3229</v>
      </c>
      <c r="AD66" s="555" t="s">
        <v>3229</v>
      </c>
      <c r="AE66" s="556" t="s">
        <v>3229</v>
      </c>
      <c r="AF66" s="3764" t="s">
        <v>781</v>
      </c>
      <c r="AG66" s="3765"/>
      <c r="AH66" s="622" t="s">
        <v>3229</v>
      </c>
      <c r="AI66" s="622" t="s">
        <v>3229</v>
      </c>
      <c r="AJ66" s="622" t="s">
        <v>3229</v>
      </c>
      <c r="AK66" s="566" t="s">
        <v>3229</v>
      </c>
      <c r="AL66" s="622" t="s">
        <v>3229</v>
      </c>
      <c r="AM66" s="590">
        <v>1</v>
      </c>
      <c r="AN66" s="576">
        <v>9.8051851851851862E-2</v>
      </c>
      <c r="AO66" s="652">
        <v>10.98</v>
      </c>
      <c r="AP66" s="1368">
        <v>0.16496904036560267</v>
      </c>
      <c r="AQ66" s="658">
        <v>0.16496904036560267</v>
      </c>
      <c r="AR66" s="632">
        <f>'klikací hodnoty'!F1325+'klikací hodnoty'!F1322*R66+'klikací hodnoty'!F1322*R66*R66</f>
        <v>0.11492685185185186</v>
      </c>
      <c r="AS66" s="558">
        <f t="shared" si="4"/>
        <v>1.3579111646392805E-2</v>
      </c>
      <c r="AT66" s="648">
        <f>J66*(1+AR66)/AO66-1</f>
        <v>1.5416076367806619E-2</v>
      </c>
      <c r="AU66" s="559" t="e">
        <f>POWER(1+AT66,1/AG66)-1</f>
        <v>#DIV/0!</v>
      </c>
      <c r="AV66" s="558">
        <v>9.8100000000000007E-2</v>
      </c>
      <c r="AW66" s="558">
        <f t="shared" si="10"/>
        <v>1.1669883128845981E-2</v>
      </c>
      <c r="AX66" s="558">
        <f>J66*(1+AV66)/AO66-1</f>
        <v>9.1074681238811905E-5</v>
      </c>
      <c r="AY66" s="559" t="e">
        <f>POWER(1+AX66,1/AG66)-1</f>
        <v>#DIV/0!</v>
      </c>
      <c r="AZ66" s="642">
        <f>TRUNC(J66*(1+AV66),2)</f>
        <v>10.98</v>
      </c>
      <c r="BA66" s="644" t="s">
        <v>274</v>
      </c>
      <c r="BB66" s="570"/>
      <c r="BC66" s="637"/>
      <c r="BD66" s="3709">
        <f>'klikací hodnoty'!F1325</f>
        <v>9.8051851851851862E-2</v>
      </c>
      <c r="BE66" s="3743"/>
      <c r="BF66" s="3743"/>
      <c r="BG66" s="3708"/>
      <c r="BH66" s="3762"/>
      <c r="BI66" s="3762"/>
      <c r="BJ66" s="39"/>
      <c r="BK66" s="39"/>
      <c r="BL66" s="39"/>
      <c r="BM66" s="39"/>
      <c r="BN66" s="39"/>
      <c r="BO66" s="39"/>
      <c r="BP66" s="39"/>
      <c r="BQ66" s="39"/>
      <c r="BR66" s="39"/>
      <c r="BS66" s="507"/>
      <c r="BT66" s="507"/>
      <c r="BU66" s="507"/>
      <c r="BV66" s="507"/>
      <c r="BW66" s="507"/>
      <c r="BX66" s="507"/>
      <c r="BY66" s="507"/>
      <c r="BZ66" s="507"/>
      <c r="CA66" s="507"/>
      <c r="CB66" s="507"/>
      <c r="CC66" s="507"/>
      <c r="CD66" s="507"/>
      <c r="CE66" s="507"/>
      <c r="CF66" s="507"/>
      <c r="CG66" s="507"/>
      <c r="CH66" s="507"/>
      <c r="CI66" s="507"/>
      <c r="CJ66" s="507"/>
      <c r="CK66" s="507"/>
      <c r="CL66" s="507"/>
      <c r="CM66" s="507"/>
      <c r="CN66" s="507"/>
      <c r="CO66" s="507"/>
      <c r="CP66" s="507"/>
      <c r="CQ66" s="507"/>
      <c r="CR66" s="507"/>
      <c r="CS66" s="507"/>
      <c r="CT66" s="507"/>
      <c r="CU66" s="507"/>
      <c r="CV66" s="507"/>
      <c r="CW66" s="507"/>
      <c r="CX66" s="507"/>
      <c r="CY66" s="507"/>
      <c r="CZ66" s="507"/>
      <c r="DA66" s="507"/>
      <c r="DB66" s="507"/>
      <c r="DC66" s="507"/>
      <c r="DD66" s="507"/>
      <c r="DE66" s="507"/>
      <c r="DF66" s="507"/>
      <c r="DG66" s="507"/>
      <c r="DH66" s="507"/>
      <c r="DI66" s="507"/>
      <c r="DJ66" s="507"/>
      <c r="DK66" s="507"/>
      <c r="DL66" s="507"/>
      <c r="DM66" s="507"/>
      <c r="DN66" s="507"/>
      <c r="DO66" s="507"/>
      <c r="DP66" s="507"/>
      <c r="DQ66" s="507"/>
      <c r="DR66" s="507"/>
      <c r="DS66" s="507"/>
      <c r="DT66" s="507"/>
      <c r="DU66" s="507"/>
      <c r="DV66" s="507"/>
      <c r="DW66" s="507"/>
      <c r="DX66" s="507"/>
      <c r="DY66" s="507"/>
      <c r="DZ66" s="507"/>
      <c r="EA66" s="507"/>
      <c r="EB66" s="507"/>
      <c r="EC66" s="507"/>
      <c r="ED66" s="507"/>
      <c r="EE66" s="507"/>
      <c r="EF66" s="507"/>
      <c r="EG66" s="507"/>
      <c r="EH66" s="507"/>
      <c r="EI66" s="507"/>
      <c r="EJ66" s="507"/>
      <c r="EK66" s="507"/>
      <c r="EL66" s="507"/>
      <c r="EM66" s="507"/>
      <c r="EN66" s="507"/>
      <c r="EO66" s="507"/>
      <c r="EP66" s="507"/>
      <c r="EQ66" s="507"/>
      <c r="ER66" s="507"/>
      <c r="ES66" s="507"/>
      <c r="ET66" s="507"/>
      <c r="EU66" s="507"/>
      <c r="EV66" s="507"/>
      <c r="EW66" s="507"/>
      <c r="EX66" s="507"/>
      <c r="EY66" s="507"/>
      <c r="EZ66" s="507"/>
      <c r="FA66" s="507"/>
      <c r="FB66" s="507"/>
      <c r="FC66" s="507"/>
      <c r="FD66" s="507"/>
      <c r="FE66" s="507"/>
      <c r="FF66" s="507"/>
      <c r="FG66" s="507"/>
      <c r="FH66" s="507"/>
      <c r="FI66" s="507"/>
      <c r="FJ66" s="507"/>
      <c r="FK66" s="507"/>
      <c r="FL66" s="507"/>
      <c r="FM66" s="507"/>
      <c r="FN66" s="507"/>
      <c r="FO66" s="507"/>
      <c r="FP66" s="507"/>
      <c r="FQ66" s="507"/>
      <c r="FR66" s="507"/>
      <c r="FS66" s="507"/>
      <c r="FT66" s="507"/>
      <c r="FU66" s="507"/>
      <c r="FV66" s="507"/>
      <c r="FW66" s="507"/>
      <c r="FX66" s="507"/>
      <c r="FY66" s="507"/>
      <c r="FZ66" s="507"/>
      <c r="GA66" s="507"/>
      <c r="GB66" s="507"/>
      <c r="GC66" s="507"/>
      <c r="GD66" s="507"/>
      <c r="GE66" s="507"/>
      <c r="GF66" s="507"/>
      <c r="GG66" s="507"/>
      <c r="GH66" s="507"/>
      <c r="GI66" s="507"/>
      <c r="GJ66" s="507"/>
      <c r="GK66" s="507"/>
      <c r="GL66" s="507"/>
      <c r="GM66" s="507"/>
      <c r="GN66" s="507"/>
      <c r="GO66" s="507"/>
      <c r="GP66" s="507"/>
      <c r="GQ66" s="507"/>
      <c r="GR66" s="507"/>
      <c r="GS66" s="507"/>
      <c r="GT66" s="507"/>
      <c r="GU66" s="507"/>
      <c r="GV66" s="507"/>
      <c r="GW66" s="507"/>
      <c r="GX66" s="507"/>
      <c r="GY66" s="507"/>
      <c r="GZ66" s="507"/>
      <c r="HA66" s="507"/>
      <c r="HB66" s="507"/>
      <c r="HC66" s="507"/>
      <c r="HD66" s="507"/>
      <c r="HE66" s="507"/>
      <c r="HF66" s="507"/>
      <c r="HG66" s="507"/>
      <c r="HH66" s="507"/>
      <c r="HI66" s="507"/>
      <c r="HJ66" s="507"/>
      <c r="HK66" s="507"/>
      <c r="HL66" s="507"/>
      <c r="HM66" s="507"/>
      <c r="HN66" s="507"/>
      <c r="HO66" s="507"/>
      <c r="HP66" s="507"/>
      <c r="HQ66" s="507"/>
      <c r="HR66" s="507"/>
      <c r="HS66" s="507"/>
      <c r="HT66" s="507"/>
      <c r="HU66" s="507"/>
      <c r="HV66" s="507"/>
      <c r="HW66" s="507"/>
      <c r="HX66" s="507"/>
      <c r="HY66" s="507"/>
      <c r="HZ66" s="507"/>
    </row>
    <row r="67" spans="1:234" s="206" customFormat="1" ht="15.9" hidden="1" customHeight="1" x14ac:dyDescent="0.25">
      <c r="A67" s="522" t="s">
        <v>227</v>
      </c>
      <c r="B67" s="523" t="s">
        <v>4223</v>
      </c>
      <c r="C67" s="526" t="s">
        <v>214</v>
      </c>
      <c r="D67" s="570" t="s">
        <v>1217</v>
      </c>
      <c r="E67" s="569" t="s">
        <v>3228</v>
      </c>
      <c r="F67" s="543">
        <v>38698</v>
      </c>
      <c r="G67" s="544">
        <v>38642</v>
      </c>
      <c r="H67" s="562">
        <v>38688</v>
      </c>
      <c r="I67" s="546">
        <v>40542</v>
      </c>
      <c r="J67" s="547">
        <v>10</v>
      </c>
      <c r="K67" s="553" t="s">
        <v>3229</v>
      </c>
      <c r="L67" s="552" t="s">
        <v>3229</v>
      </c>
      <c r="M67" s="550">
        <v>0.04</v>
      </c>
      <c r="N67" s="560">
        <v>0.55000000000000004</v>
      </c>
      <c r="O67" s="552" t="s">
        <v>3229</v>
      </c>
      <c r="P67" s="552" t="s">
        <v>3229</v>
      </c>
      <c r="Q67" s="552" t="s">
        <v>3229</v>
      </c>
      <c r="R67" s="552" t="s">
        <v>3229</v>
      </c>
      <c r="S67" s="567"/>
      <c r="T67" s="555" t="s">
        <v>3229</v>
      </c>
      <c r="U67" s="555" t="s">
        <v>3229</v>
      </c>
      <c r="V67" s="555" t="s">
        <v>3229</v>
      </c>
      <c r="W67" s="555" t="s">
        <v>3229</v>
      </c>
      <c r="X67" s="555" t="s">
        <v>3229</v>
      </c>
      <c r="Y67" s="555" t="s">
        <v>3229</v>
      </c>
      <c r="Z67" s="555" t="s">
        <v>3229</v>
      </c>
      <c r="AA67" s="555" t="s">
        <v>3229</v>
      </c>
      <c r="AB67" s="555" t="s">
        <v>3229</v>
      </c>
      <c r="AC67" s="555" t="s">
        <v>3229</v>
      </c>
      <c r="AD67" s="555" t="s">
        <v>3229</v>
      </c>
      <c r="AE67" s="556" t="s">
        <v>3229</v>
      </c>
      <c r="AF67" s="3764" t="s">
        <v>781</v>
      </c>
      <c r="AG67" s="3765"/>
      <c r="AH67" s="622" t="s">
        <v>3229</v>
      </c>
      <c r="AI67" s="622" t="s">
        <v>3229</v>
      </c>
      <c r="AJ67" s="622" t="s">
        <v>3229</v>
      </c>
      <c r="AK67" s="566" t="s">
        <v>3229</v>
      </c>
      <c r="AL67" s="622" t="s">
        <v>3229</v>
      </c>
      <c r="AM67" s="590">
        <v>1</v>
      </c>
      <c r="AN67" s="576">
        <v>0.04</v>
      </c>
      <c r="AO67" s="652">
        <v>10.4</v>
      </c>
      <c r="AP67" s="1368">
        <v>-5.6723166666666651E-2</v>
      </c>
      <c r="AQ67" s="658">
        <v>-7.0188658478666718E-2</v>
      </c>
      <c r="AR67" s="632">
        <v>0.04</v>
      </c>
      <c r="AS67" s="558">
        <v>7.7935317294306472E-3</v>
      </c>
      <c r="AT67" s="598" t="s">
        <v>3229</v>
      </c>
      <c r="AU67" s="599" t="s">
        <v>3229</v>
      </c>
      <c r="AV67" s="558">
        <f>M67</f>
        <v>0.04</v>
      </c>
      <c r="AW67" s="558">
        <f t="shared" si="10"/>
        <v>7.7935317294306472E-3</v>
      </c>
      <c r="AX67" s="598" t="s">
        <v>3229</v>
      </c>
      <c r="AY67" s="599" t="s">
        <v>3229</v>
      </c>
      <c r="AZ67" s="642">
        <f>J67*(1+AV67)</f>
        <v>10.4</v>
      </c>
      <c r="BA67" s="644" t="s">
        <v>275</v>
      </c>
      <c r="BB67" s="570"/>
      <c r="BC67" s="637"/>
      <c r="BD67" s="3708"/>
      <c r="BE67" s="3743"/>
      <c r="BF67" s="3743"/>
      <c r="BG67" s="3708"/>
      <c r="BH67" s="3762"/>
      <c r="BI67" s="3762"/>
      <c r="BJ67" s="39"/>
      <c r="BK67" s="39"/>
      <c r="BL67" s="39"/>
      <c r="BM67" s="39"/>
      <c r="BN67" s="39"/>
      <c r="BO67" s="39"/>
      <c r="BP67" s="39"/>
      <c r="BQ67" s="39"/>
      <c r="BR67" s="39"/>
      <c r="BS67" s="507"/>
      <c r="BT67" s="507"/>
      <c r="BU67" s="507"/>
      <c r="BV67" s="507"/>
      <c r="BW67" s="507"/>
      <c r="BX67" s="507"/>
      <c r="BY67" s="507"/>
      <c r="BZ67" s="507"/>
      <c r="CA67" s="507"/>
      <c r="CB67" s="507"/>
      <c r="CC67" s="507"/>
      <c r="CD67" s="507"/>
      <c r="CE67" s="507"/>
      <c r="CF67" s="507"/>
      <c r="CG67" s="507"/>
      <c r="CH67" s="507"/>
      <c r="CI67" s="507"/>
      <c r="CJ67" s="507"/>
      <c r="CK67" s="507"/>
      <c r="CL67" s="507"/>
      <c r="CM67" s="507"/>
      <c r="CN67" s="507"/>
      <c r="CO67" s="507"/>
      <c r="CP67" s="507"/>
      <c r="CQ67" s="507"/>
      <c r="CR67" s="507"/>
      <c r="CS67" s="507"/>
      <c r="CT67" s="507"/>
      <c r="CU67" s="507"/>
      <c r="CV67" s="507"/>
      <c r="CW67" s="507"/>
      <c r="CX67" s="507"/>
      <c r="CY67" s="507"/>
      <c r="CZ67" s="507"/>
      <c r="DA67" s="507"/>
      <c r="DB67" s="507"/>
      <c r="DC67" s="507"/>
      <c r="DD67" s="507"/>
      <c r="DE67" s="507"/>
      <c r="DF67" s="507"/>
      <c r="DG67" s="507"/>
      <c r="DH67" s="507"/>
      <c r="DI67" s="507"/>
      <c r="DJ67" s="507"/>
      <c r="DK67" s="507"/>
      <c r="DL67" s="507"/>
      <c r="DM67" s="507"/>
      <c r="DN67" s="507"/>
      <c r="DO67" s="507"/>
      <c r="DP67" s="507"/>
      <c r="DQ67" s="507"/>
      <c r="DR67" s="507"/>
      <c r="DS67" s="507"/>
      <c r="DT67" s="507"/>
      <c r="DU67" s="507"/>
      <c r="DV67" s="507"/>
      <c r="DW67" s="507"/>
      <c r="DX67" s="507"/>
      <c r="DY67" s="507"/>
      <c r="DZ67" s="507"/>
      <c r="EA67" s="507"/>
      <c r="EB67" s="507"/>
      <c r="EC67" s="507"/>
      <c r="ED67" s="507"/>
      <c r="EE67" s="507"/>
      <c r="EF67" s="507"/>
      <c r="EG67" s="507"/>
      <c r="EH67" s="507"/>
      <c r="EI67" s="507"/>
      <c r="EJ67" s="507"/>
      <c r="EK67" s="507"/>
      <c r="EL67" s="507"/>
      <c r="EM67" s="507"/>
      <c r="EN67" s="507"/>
      <c r="EO67" s="507"/>
      <c r="EP67" s="507"/>
      <c r="EQ67" s="507"/>
      <c r="ER67" s="507"/>
      <c r="ES67" s="507"/>
      <c r="ET67" s="507"/>
      <c r="EU67" s="507"/>
      <c r="EV67" s="507"/>
      <c r="EW67" s="507"/>
      <c r="EX67" s="507"/>
      <c r="EY67" s="507"/>
      <c r="EZ67" s="507"/>
      <c r="FA67" s="507"/>
      <c r="FB67" s="507"/>
      <c r="FC67" s="507"/>
      <c r="FD67" s="507"/>
      <c r="FE67" s="507"/>
      <c r="FF67" s="507"/>
      <c r="FG67" s="507"/>
      <c r="FH67" s="507"/>
      <c r="FI67" s="507"/>
      <c r="FJ67" s="507"/>
      <c r="FK67" s="507"/>
      <c r="FL67" s="507"/>
      <c r="FM67" s="507"/>
      <c r="FN67" s="507"/>
      <c r="FO67" s="507"/>
      <c r="FP67" s="507"/>
      <c r="FQ67" s="507"/>
      <c r="FR67" s="507"/>
      <c r="FS67" s="507"/>
      <c r="FT67" s="507"/>
      <c r="FU67" s="507"/>
      <c r="FV67" s="507"/>
      <c r="FW67" s="507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</row>
    <row r="68" spans="1:234" s="232" customFormat="1" ht="15.9" hidden="1" customHeight="1" x14ac:dyDescent="0.25">
      <c r="A68" s="522" t="s">
        <v>1835</v>
      </c>
      <c r="B68" s="523" t="s">
        <v>4108</v>
      </c>
      <c r="C68" s="526" t="s">
        <v>213</v>
      </c>
      <c r="D68" s="570" t="s">
        <v>4384</v>
      </c>
      <c r="E68" s="569" t="s">
        <v>3228</v>
      </c>
      <c r="F68" s="543">
        <v>38674</v>
      </c>
      <c r="G68" s="544">
        <v>38644</v>
      </c>
      <c r="H68" s="562">
        <v>38666</v>
      </c>
      <c r="I68" s="546">
        <v>40512</v>
      </c>
      <c r="J68" s="547">
        <v>10000</v>
      </c>
      <c r="K68" s="553" t="s">
        <v>3229</v>
      </c>
      <c r="L68" s="552" t="s">
        <v>3229</v>
      </c>
      <c r="M68" s="550">
        <v>0</v>
      </c>
      <c r="N68" s="560">
        <v>0.72</v>
      </c>
      <c r="O68" s="552" t="s">
        <v>3229</v>
      </c>
      <c r="P68" s="552" t="s">
        <v>3229</v>
      </c>
      <c r="Q68" s="552" t="s">
        <v>3229</v>
      </c>
      <c r="R68" s="552" t="s">
        <v>3229</v>
      </c>
      <c r="S68" s="567"/>
      <c r="T68" s="555" t="s">
        <v>3229</v>
      </c>
      <c r="U68" s="555" t="s">
        <v>3229</v>
      </c>
      <c r="V68" s="555" t="s">
        <v>3229</v>
      </c>
      <c r="W68" s="555" t="s">
        <v>3229</v>
      </c>
      <c r="X68" s="555" t="s">
        <v>3229</v>
      </c>
      <c r="Y68" s="555" t="s">
        <v>3229</v>
      </c>
      <c r="Z68" s="555" t="s">
        <v>3229</v>
      </c>
      <c r="AA68" s="555" t="s">
        <v>3229</v>
      </c>
      <c r="AB68" s="555" t="s">
        <v>3229</v>
      </c>
      <c r="AC68" s="555" t="s">
        <v>3229</v>
      </c>
      <c r="AD68" s="555" t="s">
        <v>3229</v>
      </c>
      <c r="AE68" s="556" t="s">
        <v>3229</v>
      </c>
      <c r="AF68" s="3764" t="s">
        <v>781</v>
      </c>
      <c r="AG68" s="3765"/>
      <c r="AH68" s="622" t="s">
        <v>3229</v>
      </c>
      <c r="AI68" s="622" t="s">
        <v>3229</v>
      </c>
      <c r="AJ68" s="622" t="s">
        <v>3229</v>
      </c>
      <c r="AK68" s="566" t="s">
        <v>3229</v>
      </c>
      <c r="AL68" s="622" t="s">
        <v>3229</v>
      </c>
      <c r="AM68" s="590">
        <v>1</v>
      </c>
      <c r="AN68" s="576">
        <v>0</v>
      </c>
      <c r="AO68" s="652">
        <v>10000</v>
      </c>
      <c r="AP68" s="1368">
        <v>-8.0344666666666689E-2</v>
      </c>
      <c r="AQ68" s="658">
        <v>-7.1033821825352464E-2</v>
      </c>
      <c r="AR68" s="632">
        <v>0.04</v>
      </c>
      <c r="AS68" s="558">
        <v>9.6540612733417852E-3</v>
      </c>
      <c r="AT68" s="648"/>
      <c r="AU68" s="587"/>
      <c r="AV68" s="558">
        <f>M68</f>
        <v>0</v>
      </c>
      <c r="AW68" s="558">
        <f t="shared" si="10"/>
        <v>0</v>
      </c>
      <c r="AX68" s="589" t="s">
        <v>3229</v>
      </c>
      <c r="AY68" s="587" t="s">
        <v>3229</v>
      </c>
      <c r="AZ68" s="642">
        <f>J68*(1+AV68)</f>
        <v>10000</v>
      </c>
      <c r="BA68" s="644" t="s">
        <v>3190</v>
      </c>
      <c r="BB68" s="570"/>
      <c r="BC68" s="637"/>
      <c r="BD68" s="3708"/>
      <c r="BE68" s="3743"/>
      <c r="BF68" s="3743"/>
      <c r="BG68" s="3708"/>
      <c r="BH68" s="3762"/>
      <c r="BI68" s="3762"/>
      <c r="BJ68" s="39"/>
      <c r="BK68" s="39"/>
      <c r="BL68" s="39"/>
      <c r="BM68" s="39"/>
      <c r="BN68" s="39"/>
      <c r="BO68" s="39"/>
      <c r="BP68" s="39"/>
      <c r="BQ68" s="39"/>
      <c r="BR68" s="39"/>
      <c r="BS68" s="507"/>
      <c r="BT68" s="507"/>
      <c r="BU68" s="507"/>
      <c r="BV68" s="507"/>
      <c r="BW68" s="507"/>
      <c r="BX68" s="507"/>
      <c r="BY68" s="507"/>
      <c r="BZ68" s="507"/>
      <c r="CA68" s="507"/>
      <c r="CB68" s="507"/>
      <c r="CC68" s="507"/>
      <c r="CD68" s="507"/>
      <c r="CE68" s="507"/>
      <c r="CF68" s="507"/>
      <c r="CG68" s="507"/>
      <c r="CH68" s="507"/>
      <c r="CI68" s="507"/>
      <c r="CJ68" s="507"/>
      <c r="CK68" s="507"/>
      <c r="CL68" s="507"/>
      <c r="CM68" s="507"/>
      <c r="CN68" s="507"/>
      <c r="CO68" s="507"/>
      <c r="CP68" s="507"/>
      <c r="CQ68" s="507"/>
      <c r="CR68" s="507"/>
      <c r="CS68" s="507"/>
      <c r="CT68" s="507"/>
      <c r="CU68" s="507"/>
      <c r="CV68" s="507"/>
      <c r="CW68" s="507"/>
      <c r="CX68" s="507"/>
      <c r="CY68" s="507"/>
      <c r="CZ68" s="507"/>
      <c r="DA68" s="507"/>
      <c r="DB68" s="507"/>
      <c r="DC68" s="507"/>
      <c r="DD68" s="507"/>
      <c r="DE68" s="507"/>
      <c r="DF68" s="507"/>
      <c r="DG68" s="507"/>
      <c r="DH68" s="507"/>
      <c r="DI68" s="507"/>
      <c r="DJ68" s="507"/>
      <c r="DK68" s="507"/>
      <c r="DL68" s="507"/>
      <c r="DM68" s="507"/>
      <c r="DN68" s="507"/>
      <c r="DO68" s="507"/>
      <c r="DP68" s="507"/>
      <c r="DQ68" s="507"/>
      <c r="DR68" s="507"/>
      <c r="DS68" s="507"/>
      <c r="DT68" s="507"/>
      <c r="DU68" s="507"/>
      <c r="DV68" s="507"/>
      <c r="DW68" s="507"/>
      <c r="DX68" s="507"/>
      <c r="DY68" s="507"/>
      <c r="DZ68" s="507"/>
      <c r="EA68" s="507"/>
      <c r="EB68" s="507"/>
      <c r="EC68" s="507"/>
      <c r="ED68" s="507"/>
      <c r="EE68" s="507"/>
      <c r="EF68" s="507"/>
      <c r="EG68" s="507"/>
      <c r="EH68" s="507"/>
      <c r="EI68" s="507"/>
      <c r="EJ68" s="507"/>
      <c r="EK68" s="507"/>
      <c r="EL68" s="507"/>
      <c r="EM68" s="507"/>
      <c r="EN68" s="507"/>
      <c r="EO68" s="507"/>
      <c r="EP68" s="507"/>
      <c r="EQ68" s="507"/>
      <c r="ER68" s="507"/>
      <c r="ES68" s="507"/>
      <c r="ET68" s="507"/>
      <c r="EU68" s="507"/>
      <c r="EV68" s="507"/>
      <c r="EW68" s="507"/>
      <c r="EX68" s="507"/>
      <c r="EY68" s="507"/>
      <c r="EZ68" s="507"/>
      <c r="FA68" s="507"/>
      <c r="FB68" s="507"/>
      <c r="FC68" s="507"/>
      <c r="FD68" s="507"/>
      <c r="FE68" s="507"/>
      <c r="FF68" s="507"/>
      <c r="FG68" s="507"/>
      <c r="FH68" s="507"/>
      <c r="FI68" s="507"/>
      <c r="FJ68" s="507"/>
      <c r="FK68" s="507"/>
      <c r="FL68" s="507"/>
      <c r="FM68" s="507"/>
      <c r="FN68" s="507"/>
      <c r="FO68" s="507"/>
      <c r="FP68" s="507"/>
      <c r="FQ68" s="507"/>
      <c r="FR68" s="507"/>
      <c r="FS68" s="507"/>
      <c r="FT68" s="507"/>
      <c r="FU68" s="507"/>
      <c r="FV68" s="507"/>
      <c r="FW68" s="507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</row>
    <row r="69" spans="1:234" s="232" customFormat="1" ht="15.9" hidden="1" customHeight="1" x14ac:dyDescent="0.25">
      <c r="A69" s="522" t="s">
        <v>143</v>
      </c>
      <c r="B69" s="523" t="s">
        <v>4602</v>
      </c>
      <c r="C69" s="526" t="s">
        <v>3352</v>
      </c>
      <c r="D69" s="570" t="s">
        <v>189</v>
      </c>
      <c r="E69" s="569" t="s">
        <v>3228</v>
      </c>
      <c r="F69" s="543">
        <v>38723</v>
      </c>
      <c r="G69" s="544">
        <v>38657</v>
      </c>
      <c r="H69" s="562">
        <v>38716</v>
      </c>
      <c r="I69" s="546">
        <v>40025</v>
      </c>
      <c r="J69" s="547">
        <v>10</v>
      </c>
      <c r="K69" s="553" t="s">
        <v>3229</v>
      </c>
      <c r="L69" s="552" t="s">
        <v>3229</v>
      </c>
      <c r="M69" s="560">
        <v>0</v>
      </c>
      <c r="N69" s="560" t="s">
        <v>3229</v>
      </c>
      <c r="O69" s="552" t="s">
        <v>3229</v>
      </c>
      <c r="P69" s="549">
        <v>0.59</v>
      </c>
      <c r="Q69" s="552" t="s">
        <v>3229</v>
      </c>
      <c r="R69" s="552" t="s">
        <v>3229</v>
      </c>
      <c r="S69" s="567">
        <v>42</v>
      </c>
      <c r="T69" s="3777" t="s">
        <v>250</v>
      </c>
      <c r="U69" s="3777"/>
      <c r="V69" s="3777"/>
      <c r="W69" s="3777"/>
      <c r="X69" s="3777"/>
      <c r="Y69" s="3777"/>
      <c r="Z69" s="3777"/>
      <c r="AA69" s="3777"/>
      <c r="AB69" s="3777"/>
      <c r="AC69" s="3777"/>
      <c r="AD69" s="3777"/>
      <c r="AE69" s="3778"/>
      <c r="AF69" s="3764" t="s">
        <v>781</v>
      </c>
      <c r="AG69" s="3765"/>
      <c r="AH69" s="622">
        <v>1</v>
      </c>
      <c r="AI69" s="622" t="s">
        <v>3229</v>
      </c>
      <c r="AJ69" s="622" t="s">
        <v>3229</v>
      </c>
      <c r="AK69" s="566" t="s">
        <v>3229</v>
      </c>
      <c r="AL69" s="622" t="s">
        <v>3229</v>
      </c>
      <c r="AM69" s="590" t="s">
        <v>3229</v>
      </c>
      <c r="AN69" s="576">
        <v>0</v>
      </c>
      <c r="AO69" s="652">
        <v>10</v>
      </c>
      <c r="AP69" s="1368"/>
      <c r="AQ69" s="658" t="s">
        <v>3229</v>
      </c>
      <c r="AR69" s="632">
        <f>AN69</f>
        <v>0</v>
      </c>
      <c r="AS69" s="558">
        <f>POWER(1+AR69,1/((I69-F69)/365))-1</f>
        <v>0</v>
      </c>
      <c r="AT69" s="648"/>
      <c r="AU69" s="559"/>
      <c r="AV69" s="558">
        <f>M69</f>
        <v>0</v>
      </c>
      <c r="AW69" s="558">
        <f t="shared" si="10"/>
        <v>0</v>
      </c>
      <c r="AX69" s="558"/>
      <c r="AY69" s="559"/>
      <c r="AZ69" s="642">
        <f>J69*(1+AV69)</f>
        <v>10</v>
      </c>
      <c r="BA69" s="644" t="s">
        <v>3191</v>
      </c>
      <c r="BB69" s="570"/>
      <c r="BC69" s="637"/>
      <c r="BD69" s="3708"/>
      <c r="BE69" s="3743"/>
      <c r="BF69" s="3743"/>
      <c r="BG69" s="3708"/>
      <c r="BH69" s="3762"/>
      <c r="BI69" s="3762"/>
      <c r="BJ69" s="39"/>
      <c r="BK69" s="39"/>
      <c r="BL69" s="39"/>
      <c r="BM69" s="39"/>
      <c r="BN69" s="39"/>
      <c r="BO69" s="39"/>
      <c r="BP69" s="39"/>
      <c r="BQ69" s="39"/>
      <c r="BR69" s="39"/>
      <c r="BS69" s="507"/>
      <c r="BT69" s="507"/>
      <c r="BU69" s="507"/>
      <c r="BV69" s="507"/>
      <c r="BW69" s="507"/>
      <c r="BX69" s="507"/>
      <c r="BY69" s="507"/>
      <c r="BZ69" s="507"/>
      <c r="CA69" s="507"/>
      <c r="CB69" s="507"/>
      <c r="CC69" s="507"/>
      <c r="CD69" s="507"/>
      <c r="CE69" s="507"/>
      <c r="CF69" s="507"/>
      <c r="CG69" s="507"/>
      <c r="CH69" s="507"/>
      <c r="CI69" s="507"/>
      <c r="CJ69" s="507"/>
      <c r="CK69" s="507"/>
      <c r="CL69" s="507"/>
      <c r="CM69" s="507"/>
      <c r="CN69" s="507"/>
      <c r="CO69" s="507"/>
      <c r="CP69" s="507"/>
      <c r="CQ69" s="507"/>
      <c r="CR69" s="507"/>
      <c r="CS69" s="507"/>
      <c r="CT69" s="507"/>
      <c r="CU69" s="507"/>
      <c r="CV69" s="507"/>
      <c r="CW69" s="507"/>
      <c r="CX69" s="507"/>
      <c r="CY69" s="507"/>
      <c r="CZ69" s="507"/>
      <c r="DA69" s="507"/>
      <c r="DB69" s="507"/>
      <c r="DC69" s="507"/>
      <c r="DD69" s="507"/>
      <c r="DE69" s="507"/>
      <c r="DF69" s="507"/>
      <c r="DG69" s="507"/>
      <c r="DH69" s="507"/>
      <c r="DI69" s="507"/>
      <c r="DJ69" s="507"/>
      <c r="DK69" s="507"/>
      <c r="DL69" s="507"/>
      <c r="DM69" s="507"/>
      <c r="DN69" s="507"/>
      <c r="DO69" s="507"/>
      <c r="DP69" s="507"/>
      <c r="DQ69" s="507"/>
      <c r="DR69" s="507"/>
      <c r="DS69" s="507"/>
      <c r="DT69" s="507"/>
      <c r="DU69" s="507"/>
      <c r="DV69" s="507"/>
      <c r="DW69" s="507"/>
      <c r="DX69" s="507"/>
      <c r="DY69" s="507"/>
      <c r="DZ69" s="507"/>
      <c r="EA69" s="507"/>
      <c r="EB69" s="507"/>
      <c r="EC69" s="507"/>
      <c r="ED69" s="507"/>
      <c r="EE69" s="507"/>
      <c r="EF69" s="507"/>
      <c r="EG69" s="507"/>
      <c r="EH69" s="507"/>
      <c r="EI69" s="507"/>
      <c r="EJ69" s="507"/>
      <c r="EK69" s="507"/>
      <c r="EL69" s="507"/>
      <c r="EM69" s="507"/>
      <c r="EN69" s="507"/>
      <c r="EO69" s="507"/>
      <c r="EP69" s="507"/>
      <c r="EQ69" s="507"/>
      <c r="ER69" s="507"/>
      <c r="ES69" s="507"/>
      <c r="ET69" s="507"/>
      <c r="EU69" s="507"/>
      <c r="EV69" s="507"/>
      <c r="EW69" s="507"/>
      <c r="EX69" s="507"/>
      <c r="EY69" s="507"/>
      <c r="EZ69" s="507"/>
      <c r="FA69" s="507"/>
      <c r="FB69" s="507"/>
      <c r="FC69" s="507"/>
      <c r="FD69" s="507"/>
      <c r="FE69" s="507"/>
      <c r="FF69" s="507"/>
      <c r="FG69" s="507"/>
      <c r="FH69" s="507"/>
      <c r="FI69" s="507"/>
      <c r="FJ69" s="507"/>
      <c r="FK69" s="507"/>
      <c r="FL69" s="507"/>
      <c r="FM69" s="507"/>
      <c r="FN69" s="507"/>
      <c r="FO69" s="507"/>
      <c r="FP69" s="507"/>
      <c r="FQ69" s="507"/>
      <c r="FR69" s="507"/>
      <c r="FS69" s="507"/>
      <c r="FT69" s="507"/>
      <c r="FU69" s="507"/>
      <c r="FV69" s="507"/>
      <c r="FW69" s="507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</row>
    <row r="70" spans="1:234" s="206" customFormat="1" ht="15.9" hidden="1" customHeight="1" x14ac:dyDescent="0.25">
      <c r="A70" s="522" t="s">
        <v>1933</v>
      </c>
      <c r="B70" s="523" t="s">
        <v>171</v>
      </c>
      <c r="C70" s="526" t="s">
        <v>1114</v>
      </c>
      <c r="D70" s="570" t="s">
        <v>189</v>
      </c>
      <c r="E70" s="569" t="s">
        <v>905</v>
      </c>
      <c r="F70" s="543">
        <v>38723</v>
      </c>
      <c r="G70" s="544">
        <v>38657</v>
      </c>
      <c r="H70" s="562">
        <v>38716</v>
      </c>
      <c r="I70" s="546">
        <v>40574</v>
      </c>
      <c r="J70" s="547">
        <v>1000</v>
      </c>
      <c r="K70" s="558">
        <v>-0.03</v>
      </c>
      <c r="L70" s="559">
        <v>3.5000000000000003E-2</v>
      </c>
      <c r="M70" s="550">
        <v>0.04</v>
      </c>
      <c r="N70" s="560" t="s">
        <v>3229</v>
      </c>
      <c r="O70" s="552" t="s">
        <v>3229</v>
      </c>
      <c r="P70" s="552" t="s">
        <v>3229</v>
      </c>
      <c r="Q70" s="552" t="s">
        <v>3229</v>
      </c>
      <c r="R70" s="552" t="s">
        <v>3229</v>
      </c>
      <c r="S70" s="567">
        <v>10</v>
      </c>
      <c r="T70" s="555">
        <v>38899</v>
      </c>
      <c r="U70" s="555">
        <v>39083</v>
      </c>
      <c r="V70" s="555">
        <v>39264</v>
      </c>
      <c r="W70" s="555">
        <v>39448</v>
      </c>
      <c r="X70" s="555">
        <v>39630</v>
      </c>
      <c r="Y70" s="555">
        <v>39814</v>
      </c>
      <c r="Z70" s="555">
        <v>39995</v>
      </c>
      <c r="AA70" s="555">
        <v>40179</v>
      </c>
      <c r="AB70" s="555">
        <v>40360</v>
      </c>
      <c r="AC70" s="555">
        <v>40544</v>
      </c>
      <c r="AD70" s="555" t="s">
        <v>3229</v>
      </c>
      <c r="AE70" s="556" t="s">
        <v>3229</v>
      </c>
      <c r="AF70" s="3764" t="s">
        <v>781</v>
      </c>
      <c r="AG70" s="3765"/>
      <c r="AH70" s="622">
        <v>0.5</v>
      </c>
      <c r="AI70" s="622">
        <v>0.5</v>
      </c>
      <c r="AJ70" s="622" t="s">
        <v>3229</v>
      </c>
      <c r="AK70" s="566" t="s">
        <v>3229</v>
      </c>
      <c r="AL70" s="622" t="s">
        <v>3229</v>
      </c>
      <c r="AM70" s="590" t="s">
        <v>3229</v>
      </c>
      <c r="AN70" s="576">
        <v>0.04</v>
      </c>
      <c r="AO70" s="652">
        <v>1040</v>
      </c>
      <c r="AP70" s="1368" t="s">
        <v>3229</v>
      </c>
      <c r="AQ70" s="658" t="s">
        <v>3229</v>
      </c>
      <c r="AR70" s="632">
        <f>AO70/1000-1</f>
        <v>4.0000000000000036E-2</v>
      </c>
      <c r="AS70" s="558">
        <f>POWER(1+AR70,1/((I70-F70)/365))-1</f>
        <v>7.7639445035946331E-3</v>
      </c>
      <c r="AT70" s="648"/>
      <c r="AU70" s="559"/>
      <c r="AV70" s="558">
        <f>AO70/1000-1</f>
        <v>4.0000000000000036E-2</v>
      </c>
      <c r="AW70" s="558">
        <f t="shared" si="10"/>
        <v>7.7639445035946331E-3</v>
      </c>
      <c r="AX70" s="558"/>
      <c r="AY70" s="559"/>
      <c r="AZ70" s="642">
        <f>J70*(1+AV70)</f>
        <v>1040</v>
      </c>
      <c r="BA70" s="644" t="s">
        <v>3189</v>
      </c>
      <c r="BB70" s="570" t="s">
        <v>2025</v>
      </c>
      <c r="BC70" s="637" t="s">
        <v>2895</v>
      </c>
      <c r="BD70" s="3708"/>
      <c r="BE70" s="3743"/>
      <c r="BF70" s="3743"/>
      <c r="BG70" s="3708"/>
      <c r="BH70" s="3762"/>
      <c r="BI70" s="3762"/>
      <c r="BJ70" s="39"/>
      <c r="BK70" s="39"/>
      <c r="BL70" s="39"/>
      <c r="BM70" s="39"/>
      <c r="BN70" s="39"/>
      <c r="BO70" s="39"/>
      <c r="BP70" s="39"/>
      <c r="BQ70" s="39"/>
      <c r="BR70" s="39"/>
      <c r="BS70" s="507"/>
      <c r="BT70" s="507"/>
      <c r="BU70" s="507"/>
      <c r="BV70" s="507"/>
      <c r="BW70" s="507"/>
      <c r="BX70" s="507"/>
      <c r="BY70" s="507"/>
      <c r="BZ70" s="507"/>
      <c r="CA70" s="507"/>
      <c r="CB70" s="507"/>
      <c r="CC70" s="507"/>
      <c r="CD70" s="507"/>
      <c r="CE70" s="507"/>
      <c r="CF70" s="507"/>
      <c r="CG70" s="507"/>
      <c r="CH70" s="507"/>
      <c r="CI70" s="507"/>
      <c r="CJ70" s="507"/>
      <c r="CK70" s="507"/>
      <c r="CL70" s="507"/>
      <c r="CM70" s="507"/>
      <c r="CN70" s="507"/>
      <c r="CO70" s="507"/>
      <c r="CP70" s="507"/>
      <c r="CQ70" s="507"/>
      <c r="CR70" s="507"/>
      <c r="CS70" s="507"/>
      <c r="CT70" s="507"/>
      <c r="CU70" s="507"/>
      <c r="CV70" s="507"/>
      <c r="CW70" s="507"/>
      <c r="CX70" s="507"/>
      <c r="CY70" s="507"/>
      <c r="CZ70" s="507"/>
      <c r="DA70" s="507"/>
      <c r="DB70" s="507"/>
      <c r="DC70" s="507"/>
      <c r="DD70" s="507"/>
      <c r="DE70" s="507"/>
      <c r="DF70" s="507"/>
      <c r="DG70" s="507"/>
      <c r="DH70" s="507"/>
      <c r="DI70" s="507"/>
      <c r="DJ70" s="507"/>
      <c r="DK70" s="507"/>
      <c r="DL70" s="507"/>
      <c r="DM70" s="507"/>
      <c r="DN70" s="507"/>
      <c r="DO70" s="507"/>
      <c r="DP70" s="507"/>
      <c r="DQ70" s="507"/>
      <c r="DR70" s="507"/>
      <c r="DS70" s="507"/>
      <c r="DT70" s="507"/>
      <c r="DU70" s="507"/>
      <c r="DV70" s="507"/>
      <c r="DW70" s="507"/>
      <c r="DX70" s="507"/>
      <c r="DY70" s="507"/>
      <c r="DZ70" s="507"/>
      <c r="EA70" s="507"/>
      <c r="EB70" s="507"/>
      <c r="EC70" s="507"/>
      <c r="ED70" s="507"/>
      <c r="EE70" s="507"/>
      <c r="EF70" s="507"/>
      <c r="EG70" s="507"/>
      <c r="EH70" s="507"/>
      <c r="EI70" s="507"/>
      <c r="EJ70" s="507"/>
      <c r="EK70" s="507"/>
      <c r="EL70" s="507"/>
      <c r="EM70" s="507"/>
      <c r="EN70" s="507"/>
      <c r="EO70" s="507"/>
      <c r="EP70" s="507"/>
      <c r="EQ70" s="507"/>
      <c r="ER70" s="507"/>
      <c r="ES70" s="507"/>
      <c r="ET70" s="507"/>
      <c r="EU70" s="507"/>
      <c r="EV70" s="507"/>
      <c r="EW70" s="507"/>
      <c r="EX70" s="507"/>
      <c r="EY70" s="507"/>
      <c r="EZ70" s="507"/>
      <c r="FA70" s="507"/>
      <c r="FB70" s="507"/>
      <c r="FC70" s="507"/>
      <c r="FD70" s="507"/>
      <c r="FE70" s="507"/>
      <c r="FF70" s="507"/>
      <c r="FG70" s="507"/>
      <c r="FH70" s="507"/>
      <c r="FI70" s="507"/>
      <c r="FJ70" s="507"/>
      <c r="FK70" s="507"/>
      <c r="FL70" s="507"/>
      <c r="FM70" s="507"/>
      <c r="FN70" s="507"/>
      <c r="FO70" s="507"/>
      <c r="FP70" s="507"/>
      <c r="FQ70" s="507"/>
      <c r="FR70" s="507"/>
      <c r="FS70" s="507"/>
      <c r="FT70" s="507"/>
      <c r="FU70" s="507"/>
      <c r="FV70" s="507"/>
      <c r="FW70" s="507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</row>
    <row r="71" spans="1:234" ht="15.9" hidden="1" customHeight="1" x14ac:dyDescent="0.25">
      <c r="A71" s="522" t="s">
        <v>48</v>
      </c>
      <c r="B71" s="523" t="s">
        <v>172</v>
      </c>
      <c r="C71" s="526" t="s">
        <v>2546</v>
      </c>
      <c r="D71" s="570" t="s">
        <v>2159</v>
      </c>
      <c r="E71" s="569" t="s">
        <v>3228</v>
      </c>
      <c r="F71" s="543">
        <v>38723</v>
      </c>
      <c r="G71" s="544">
        <v>38657</v>
      </c>
      <c r="H71" s="562">
        <v>38716</v>
      </c>
      <c r="I71" s="546">
        <v>40207</v>
      </c>
      <c r="J71" s="547">
        <v>10</v>
      </c>
      <c r="K71" s="553" t="s">
        <v>3229</v>
      </c>
      <c r="L71" s="552" t="s">
        <v>3229</v>
      </c>
      <c r="M71" s="550">
        <v>0</v>
      </c>
      <c r="N71" s="560">
        <v>0.5</v>
      </c>
      <c r="O71" s="552" t="s">
        <v>3229</v>
      </c>
      <c r="P71" s="552" t="s">
        <v>3229</v>
      </c>
      <c r="Q71" s="552" t="s">
        <v>3229</v>
      </c>
      <c r="R71" s="552" t="s">
        <v>3229</v>
      </c>
      <c r="S71" s="567"/>
      <c r="T71" s="555" t="s">
        <v>3229</v>
      </c>
      <c r="U71" s="555" t="s">
        <v>3229</v>
      </c>
      <c r="V71" s="555" t="s">
        <v>3229</v>
      </c>
      <c r="W71" s="555" t="s">
        <v>3229</v>
      </c>
      <c r="X71" s="555" t="s">
        <v>3229</v>
      </c>
      <c r="Y71" s="555" t="s">
        <v>3229</v>
      </c>
      <c r="Z71" s="555" t="s">
        <v>3229</v>
      </c>
      <c r="AA71" s="555" t="s">
        <v>3229</v>
      </c>
      <c r="AB71" s="555" t="s">
        <v>3229</v>
      </c>
      <c r="AC71" s="555" t="s">
        <v>3229</v>
      </c>
      <c r="AD71" s="555" t="s">
        <v>3229</v>
      </c>
      <c r="AE71" s="556" t="s">
        <v>3229</v>
      </c>
      <c r="AF71" s="3764" t="s">
        <v>781</v>
      </c>
      <c r="AG71" s="3765"/>
      <c r="AH71" s="622">
        <v>0.5</v>
      </c>
      <c r="AI71" s="622">
        <v>0.5</v>
      </c>
      <c r="AJ71" s="622" t="s">
        <v>3229</v>
      </c>
      <c r="AK71" s="566" t="s">
        <v>3229</v>
      </c>
      <c r="AL71" s="622" t="s">
        <v>3229</v>
      </c>
      <c r="AM71" s="590" t="s">
        <v>3229</v>
      </c>
      <c r="AN71" s="576">
        <v>0</v>
      </c>
      <c r="AO71" s="652">
        <v>10</v>
      </c>
      <c r="AP71" s="1368">
        <v>-0.18131308602081783</v>
      </c>
      <c r="AQ71" s="658">
        <v>-0.15974347892332474</v>
      </c>
      <c r="AR71" s="3773" t="s">
        <v>3660</v>
      </c>
      <c r="AS71" s="3774"/>
      <c r="AT71" s="3774"/>
      <c r="AU71" s="3775"/>
      <c r="AV71" s="558">
        <f>M71</f>
        <v>0</v>
      </c>
      <c r="AW71" s="558">
        <f t="shared" si="10"/>
        <v>0</v>
      </c>
      <c r="AX71" s="558" t="s">
        <v>3229</v>
      </c>
      <c r="AY71" s="559" t="s">
        <v>3229</v>
      </c>
      <c r="AZ71" s="642">
        <f>J71*(1+AV71)</f>
        <v>10</v>
      </c>
      <c r="BA71" s="644" t="s">
        <v>3190</v>
      </c>
      <c r="BB71" s="570"/>
      <c r="BC71" s="637"/>
      <c r="BD71" s="3708"/>
      <c r="BH71" s="3763"/>
      <c r="BI71" s="3763"/>
      <c r="BJ71" s="1639"/>
      <c r="BK71" s="1639"/>
      <c r="BL71" s="1639"/>
      <c r="BM71" s="1639"/>
      <c r="BN71" s="1639"/>
      <c r="BO71" s="1639"/>
      <c r="BP71" s="1639"/>
      <c r="BQ71" s="1639"/>
      <c r="BR71" s="1639"/>
      <c r="BS71" s="509"/>
      <c r="BT71" s="509"/>
      <c r="BU71" s="509"/>
      <c r="BV71" s="509"/>
      <c r="BW71" s="509"/>
      <c r="BX71" s="509"/>
      <c r="BY71" s="509"/>
      <c r="BZ71" s="509"/>
      <c r="CA71" s="509"/>
      <c r="CB71" s="509"/>
      <c r="CC71" s="509"/>
      <c r="CD71" s="509"/>
      <c r="CE71" s="509"/>
      <c r="CF71" s="509"/>
      <c r="CG71" s="509"/>
      <c r="CH71" s="509"/>
      <c r="CI71" s="509"/>
      <c r="CJ71" s="509"/>
      <c r="CK71" s="509"/>
      <c r="CL71" s="509"/>
      <c r="CM71" s="509"/>
      <c r="CN71" s="509"/>
      <c r="CO71" s="509"/>
      <c r="CP71" s="509"/>
      <c r="CQ71" s="509"/>
      <c r="CR71" s="509"/>
      <c r="CS71" s="509"/>
      <c r="CT71" s="509"/>
      <c r="CU71" s="509"/>
      <c r="CV71" s="509"/>
      <c r="CW71" s="509"/>
      <c r="CX71" s="509"/>
      <c r="CY71" s="509"/>
      <c r="CZ71" s="509"/>
      <c r="DA71" s="509"/>
      <c r="DB71" s="509"/>
      <c r="DC71" s="509"/>
      <c r="DD71" s="509"/>
      <c r="DE71" s="509"/>
      <c r="DF71" s="509"/>
      <c r="DG71" s="509"/>
      <c r="DH71" s="509"/>
      <c r="DI71" s="509"/>
      <c r="DJ71" s="509"/>
      <c r="DK71" s="509"/>
      <c r="DL71" s="509"/>
      <c r="DM71" s="509"/>
      <c r="DN71" s="509"/>
      <c r="DO71" s="509"/>
      <c r="DP71" s="509"/>
      <c r="DQ71" s="509"/>
      <c r="DR71" s="509"/>
      <c r="DS71" s="509"/>
      <c r="DT71" s="509"/>
      <c r="DU71" s="509"/>
      <c r="DV71" s="509"/>
      <c r="DW71" s="509"/>
      <c r="DX71" s="509"/>
      <c r="DY71" s="509"/>
      <c r="DZ71" s="509"/>
      <c r="EA71" s="509"/>
      <c r="EB71" s="509"/>
      <c r="EC71" s="509"/>
      <c r="ED71" s="509"/>
      <c r="EE71" s="509"/>
      <c r="EF71" s="509"/>
      <c r="EG71" s="509"/>
      <c r="EH71" s="509"/>
      <c r="EI71" s="509"/>
      <c r="EJ71" s="509"/>
      <c r="EK71" s="509"/>
      <c r="EL71" s="509"/>
      <c r="EM71" s="509"/>
      <c r="EN71" s="509"/>
      <c r="EO71" s="509"/>
      <c r="EP71" s="509"/>
      <c r="EQ71" s="509"/>
      <c r="ER71" s="509"/>
      <c r="ES71" s="509"/>
      <c r="ET71" s="509"/>
      <c r="EU71" s="509"/>
      <c r="EV71" s="509"/>
      <c r="EW71" s="509"/>
      <c r="EX71" s="509"/>
      <c r="EY71" s="509"/>
      <c r="EZ71" s="509"/>
      <c r="FA71" s="509"/>
      <c r="FB71" s="509"/>
      <c r="FC71" s="509"/>
      <c r="FD71" s="509"/>
      <c r="FE71" s="509"/>
      <c r="FF71" s="509"/>
      <c r="FG71" s="509"/>
      <c r="FH71" s="509"/>
      <c r="FI71" s="509"/>
      <c r="FJ71" s="509"/>
      <c r="FK71" s="509"/>
      <c r="FL71" s="509"/>
      <c r="FM71" s="509"/>
      <c r="FN71" s="509"/>
      <c r="FO71" s="509"/>
      <c r="FP71" s="509"/>
      <c r="FQ71" s="509"/>
      <c r="FR71" s="509"/>
      <c r="FS71" s="509"/>
      <c r="FT71" s="509"/>
      <c r="FU71" s="509"/>
      <c r="FV71" s="509"/>
      <c r="FW71" s="509"/>
      <c r="FX71" s="509"/>
      <c r="FY71" s="509"/>
      <c r="FZ71" s="509"/>
      <c r="GA71" s="509"/>
      <c r="GB71" s="509"/>
      <c r="GC71" s="509"/>
      <c r="GD71" s="509"/>
      <c r="GE71" s="509"/>
      <c r="GF71" s="509"/>
      <c r="GG71" s="509"/>
      <c r="GH71" s="509"/>
      <c r="GI71" s="509"/>
      <c r="GJ71" s="509"/>
      <c r="GK71" s="509"/>
      <c r="GL71" s="509"/>
      <c r="GM71" s="509"/>
      <c r="GN71" s="509"/>
      <c r="GO71" s="509"/>
      <c r="GP71" s="509"/>
      <c r="GQ71" s="509"/>
      <c r="GR71" s="509"/>
      <c r="GS71" s="509"/>
      <c r="GT71" s="509"/>
      <c r="GU71" s="509"/>
      <c r="GV71" s="509"/>
      <c r="GW71" s="509"/>
      <c r="GX71" s="509"/>
      <c r="GY71" s="509"/>
      <c r="GZ71" s="509"/>
      <c r="HA71" s="509"/>
      <c r="HB71" s="509"/>
      <c r="HC71" s="509"/>
      <c r="HD71" s="509"/>
      <c r="HE71" s="509"/>
      <c r="HF71" s="509"/>
      <c r="HG71" s="509"/>
      <c r="HH71" s="509"/>
      <c r="HI71" s="509"/>
      <c r="HJ71" s="509"/>
      <c r="HK71" s="509"/>
      <c r="HL71" s="509"/>
      <c r="HM71" s="509"/>
      <c r="HN71" s="509"/>
      <c r="HO71" s="509"/>
      <c r="HP71" s="509"/>
      <c r="HQ71" s="509"/>
      <c r="HR71" s="509"/>
      <c r="HS71" s="509"/>
      <c r="HT71" s="509"/>
      <c r="HU71" s="509"/>
      <c r="HV71" s="509"/>
      <c r="HW71" s="509"/>
      <c r="HX71" s="509"/>
      <c r="HY71" s="509"/>
      <c r="HZ71" s="509"/>
    </row>
    <row r="72" spans="1:234" ht="15.9" hidden="1" customHeight="1" x14ac:dyDescent="0.25">
      <c r="A72" s="522" t="s">
        <v>47</v>
      </c>
      <c r="B72" s="523" t="s">
        <v>1678</v>
      </c>
      <c r="C72" s="526" t="s">
        <v>2549</v>
      </c>
      <c r="D72" s="570" t="s">
        <v>2550</v>
      </c>
      <c r="E72" s="569" t="s">
        <v>3228</v>
      </c>
      <c r="F72" s="543">
        <v>38723</v>
      </c>
      <c r="G72" s="544">
        <v>38687</v>
      </c>
      <c r="H72" s="562">
        <v>38716</v>
      </c>
      <c r="I72" s="546">
        <v>41305</v>
      </c>
      <c r="J72" s="547">
        <v>10</v>
      </c>
      <c r="K72" s="553" t="s">
        <v>3229</v>
      </c>
      <c r="L72" s="552" t="s">
        <v>3229</v>
      </c>
      <c r="M72" s="550">
        <v>0.1016</v>
      </c>
      <c r="N72" s="560" t="s">
        <v>3229</v>
      </c>
      <c r="O72" s="552" t="s">
        <v>3229</v>
      </c>
      <c r="P72" s="552" t="s">
        <v>3229</v>
      </c>
      <c r="Q72" s="552">
        <v>3.5999999999999997E-2</v>
      </c>
      <c r="R72" s="552">
        <v>1.5</v>
      </c>
      <c r="S72" s="567">
        <v>7</v>
      </c>
      <c r="T72" s="555">
        <v>39052</v>
      </c>
      <c r="U72" s="555">
        <v>39417</v>
      </c>
      <c r="V72" s="555">
        <v>39783</v>
      </c>
      <c r="W72" s="555">
        <v>40148</v>
      </c>
      <c r="X72" s="555">
        <v>40513</v>
      </c>
      <c r="Y72" s="555">
        <v>40878</v>
      </c>
      <c r="Z72" s="555">
        <v>41244</v>
      </c>
      <c r="AA72" s="555" t="s">
        <v>3229</v>
      </c>
      <c r="AB72" s="555" t="s">
        <v>3229</v>
      </c>
      <c r="AC72" s="555" t="s">
        <v>3229</v>
      </c>
      <c r="AD72" s="555" t="s">
        <v>3229</v>
      </c>
      <c r="AE72" s="556" t="s">
        <v>3229</v>
      </c>
      <c r="AF72" s="3764" t="s">
        <v>781</v>
      </c>
      <c r="AG72" s="3765"/>
      <c r="AH72" s="622" t="s">
        <v>3229</v>
      </c>
      <c r="AI72" s="622" t="s">
        <v>3229</v>
      </c>
      <c r="AJ72" s="622" t="s">
        <v>3229</v>
      </c>
      <c r="AK72" s="566" t="s">
        <v>3229</v>
      </c>
      <c r="AL72" s="622" t="s">
        <v>3229</v>
      </c>
      <c r="AM72" s="590">
        <v>1</v>
      </c>
      <c r="AN72" s="576">
        <v>0.1016</v>
      </c>
      <c r="AO72" s="652">
        <v>11.07</v>
      </c>
      <c r="AP72" s="1368" t="s">
        <v>3229</v>
      </c>
      <c r="AQ72" s="658" t="s">
        <v>3229</v>
      </c>
      <c r="AR72" s="3773">
        <v>0.11224999999999999</v>
      </c>
      <c r="AS72" s="3774">
        <v>1.5152585445634692E-2</v>
      </c>
      <c r="AT72" s="3774">
        <v>4.7425474254740863E-3</v>
      </c>
      <c r="AU72" s="3775">
        <v>5.7288569125802713E-2</v>
      </c>
      <c r="AV72" s="558">
        <v>0.1016</v>
      </c>
      <c r="AW72" s="558">
        <v>1.3772813200772616E-2</v>
      </c>
      <c r="AX72" s="558">
        <v>-4.8780487804880313E-3</v>
      </c>
      <c r="AY72" s="559">
        <v>-5.5949513969881348E-2</v>
      </c>
      <c r="AZ72" s="642">
        <v>11.01</v>
      </c>
      <c r="BA72" s="644" t="s">
        <v>274</v>
      </c>
      <c r="BB72" s="570"/>
      <c r="BC72" s="637"/>
      <c r="BD72" s="3709">
        <f>'klikací hodnoty'!F1532</f>
        <v>0.1016</v>
      </c>
      <c r="BH72" s="3763"/>
      <c r="BI72" s="3763"/>
      <c r="BJ72" s="1639"/>
      <c r="BK72" s="1639"/>
      <c r="BL72" s="1639"/>
      <c r="BM72" s="1639"/>
      <c r="BN72" s="1639"/>
      <c r="BO72" s="1639"/>
      <c r="BP72" s="1639"/>
      <c r="BQ72" s="1639"/>
      <c r="BR72" s="1639"/>
      <c r="BS72" s="509"/>
      <c r="BT72" s="509"/>
      <c r="BU72" s="509"/>
      <c r="BV72" s="509"/>
      <c r="BW72" s="509"/>
      <c r="BX72" s="509"/>
      <c r="BY72" s="509"/>
      <c r="BZ72" s="509"/>
      <c r="CA72" s="509"/>
      <c r="CB72" s="509"/>
      <c r="CC72" s="509"/>
      <c r="CD72" s="509"/>
      <c r="CE72" s="509"/>
      <c r="CF72" s="509"/>
      <c r="CG72" s="509"/>
      <c r="CH72" s="509"/>
      <c r="CI72" s="509"/>
      <c r="CJ72" s="509"/>
      <c r="CK72" s="509"/>
      <c r="CL72" s="509"/>
      <c r="CM72" s="509"/>
      <c r="CN72" s="509"/>
      <c r="CO72" s="509"/>
      <c r="CP72" s="509"/>
      <c r="CQ72" s="509"/>
      <c r="CR72" s="509"/>
      <c r="CS72" s="509"/>
      <c r="CT72" s="509"/>
      <c r="CU72" s="509"/>
      <c r="CV72" s="509"/>
      <c r="CW72" s="509"/>
      <c r="CX72" s="509"/>
      <c r="CY72" s="509"/>
      <c r="CZ72" s="509"/>
      <c r="DA72" s="509"/>
      <c r="DB72" s="509"/>
      <c r="DC72" s="509"/>
      <c r="DD72" s="509"/>
      <c r="DE72" s="509"/>
      <c r="DF72" s="509"/>
      <c r="DG72" s="509"/>
      <c r="DH72" s="509"/>
      <c r="DI72" s="509"/>
      <c r="DJ72" s="509"/>
      <c r="DK72" s="509"/>
      <c r="DL72" s="509"/>
      <c r="DM72" s="509"/>
      <c r="DN72" s="509"/>
      <c r="DO72" s="509"/>
      <c r="DP72" s="509"/>
      <c r="DQ72" s="509"/>
      <c r="DR72" s="509"/>
      <c r="DS72" s="509"/>
      <c r="DT72" s="509"/>
      <c r="DU72" s="509"/>
      <c r="DV72" s="509"/>
      <c r="DW72" s="509"/>
      <c r="DX72" s="509"/>
      <c r="DY72" s="509"/>
      <c r="DZ72" s="509"/>
      <c r="EA72" s="509"/>
      <c r="EB72" s="509"/>
      <c r="EC72" s="509"/>
      <c r="ED72" s="509"/>
      <c r="EE72" s="509"/>
      <c r="EF72" s="509"/>
      <c r="EG72" s="509"/>
      <c r="EH72" s="509"/>
      <c r="EI72" s="509"/>
      <c r="EJ72" s="509"/>
      <c r="EK72" s="509"/>
      <c r="EL72" s="509"/>
      <c r="EM72" s="509"/>
      <c r="EN72" s="509"/>
      <c r="EO72" s="509"/>
      <c r="EP72" s="509"/>
      <c r="EQ72" s="509"/>
      <c r="ER72" s="509"/>
      <c r="ES72" s="509"/>
      <c r="ET72" s="509"/>
      <c r="EU72" s="509"/>
      <c r="EV72" s="509"/>
      <c r="EW72" s="509"/>
      <c r="EX72" s="509"/>
      <c r="EY72" s="509"/>
      <c r="EZ72" s="509"/>
      <c r="FA72" s="509"/>
      <c r="FB72" s="509"/>
      <c r="FC72" s="509"/>
      <c r="FD72" s="509"/>
      <c r="FE72" s="509"/>
      <c r="FF72" s="509"/>
      <c r="FG72" s="509"/>
      <c r="FH72" s="509"/>
      <c r="FI72" s="509"/>
      <c r="FJ72" s="509"/>
      <c r="FK72" s="509"/>
      <c r="FL72" s="509"/>
      <c r="FM72" s="509"/>
      <c r="FN72" s="509"/>
      <c r="FO72" s="509"/>
      <c r="FP72" s="509"/>
      <c r="FQ72" s="509"/>
      <c r="FR72" s="509"/>
      <c r="FS72" s="509"/>
      <c r="FT72" s="509"/>
      <c r="FU72" s="509"/>
      <c r="FV72" s="509"/>
      <c r="FW72" s="509"/>
      <c r="FX72" s="509"/>
      <c r="FY72" s="509"/>
      <c r="FZ72" s="509"/>
      <c r="GA72" s="509"/>
      <c r="GB72" s="509"/>
      <c r="GC72" s="509"/>
      <c r="GD72" s="509"/>
      <c r="GE72" s="509"/>
      <c r="GF72" s="509"/>
      <c r="GG72" s="509"/>
      <c r="GH72" s="509"/>
      <c r="GI72" s="509"/>
      <c r="GJ72" s="509"/>
      <c r="GK72" s="509"/>
      <c r="GL72" s="509"/>
      <c r="GM72" s="509"/>
      <c r="GN72" s="509"/>
      <c r="GO72" s="509"/>
      <c r="GP72" s="509"/>
      <c r="GQ72" s="509"/>
      <c r="GR72" s="509"/>
      <c r="GS72" s="509"/>
      <c r="GT72" s="509"/>
      <c r="GU72" s="509"/>
      <c r="GV72" s="509"/>
      <c r="GW72" s="509"/>
      <c r="GX72" s="509"/>
      <c r="GY72" s="509"/>
      <c r="GZ72" s="509"/>
      <c r="HA72" s="509"/>
      <c r="HB72" s="509"/>
      <c r="HC72" s="509"/>
      <c r="HD72" s="509"/>
      <c r="HE72" s="509"/>
      <c r="HF72" s="509"/>
      <c r="HG72" s="509"/>
      <c r="HH72" s="509"/>
      <c r="HI72" s="509"/>
      <c r="HJ72" s="509"/>
      <c r="HK72" s="509"/>
      <c r="HL72" s="509"/>
      <c r="HM72" s="509"/>
      <c r="HN72" s="509"/>
      <c r="HO72" s="509"/>
      <c r="HP72" s="509"/>
      <c r="HQ72" s="509"/>
      <c r="HR72" s="509"/>
      <c r="HS72" s="509"/>
      <c r="HT72" s="509"/>
      <c r="HU72" s="509"/>
      <c r="HV72" s="509"/>
      <c r="HW72" s="509"/>
      <c r="HX72" s="509"/>
      <c r="HY72" s="509"/>
      <c r="HZ72" s="509"/>
    </row>
    <row r="73" spans="1:234" s="232" customFormat="1" ht="15.9" hidden="1" customHeight="1" x14ac:dyDescent="0.25">
      <c r="A73" s="522" t="s">
        <v>3769</v>
      </c>
      <c r="B73" s="523" t="s">
        <v>4109</v>
      </c>
      <c r="C73" s="526" t="s">
        <v>2547</v>
      </c>
      <c r="D73" s="570" t="s">
        <v>4384</v>
      </c>
      <c r="E73" s="569" t="s">
        <v>3228</v>
      </c>
      <c r="F73" s="543">
        <v>38695</v>
      </c>
      <c r="G73" s="544">
        <v>38670</v>
      </c>
      <c r="H73" s="562">
        <v>38688</v>
      </c>
      <c r="I73" s="546">
        <v>39812</v>
      </c>
      <c r="J73" s="547">
        <v>10000</v>
      </c>
      <c r="K73" s="553" t="s">
        <v>3229</v>
      </c>
      <c r="L73" s="552" t="s">
        <v>3229</v>
      </c>
      <c r="M73" s="550">
        <f>95.5%-100%</f>
        <v>-4.500000000000004E-2</v>
      </c>
      <c r="N73" s="560">
        <v>1</v>
      </c>
      <c r="O73" s="552" t="s">
        <v>3229</v>
      </c>
      <c r="P73" s="552" t="s">
        <v>3229</v>
      </c>
      <c r="Q73" s="552" t="s">
        <v>3229</v>
      </c>
      <c r="R73" s="552" t="s">
        <v>3229</v>
      </c>
      <c r="S73" s="567"/>
      <c r="T73" s="555" t="s">
        <v>3229</v>
      </c>
      <c r="U73" s="555" t="s">
        <v>3229</v>
      </c>
      <c r="V73" s="555" t="s">
        <v>3229</v>
      </c>
      <c r="W73" s="555" t="s">
        <v>3229</v>
      </c>
      <c r="X73" s="555" t="s">
        <v>3229</v>
      </c>
      <c r="Y73" s="555" t="s">
        <v>3229</v>
      </c>
      <c r="Z73" s="555" t="s">
        <v>3229</v>
      </c>
      <c r="AA73" s="555" t="s">
        <v>3229</v>
      </c>
      <c r="AB73" s="555" t="s">
        <v>3229</v>
      </c>
      <c r="AC73" s="555" t="s">
        <v>3229</v>
      </c>
      <c r="AD73" s="555" t="s">
        <v>3229</v>
      </c>
      <c r="AE73" s="556" t="s">
        <v>3229</v>
      </c>
      <c r="AF73" s="3764" t="s">
        <v>781</v>
      </c>
      <c r="AG73" s="3765"/>
      <c r="AH73" s="622" t="s">
        <v>3229</v>
      </c>
      <c r="AI73" s="622" t="s">
        <v>3229</v>
      </c>
      <c r="AJ73" s="622" t="s">
        <v>3229</v>
      </c>
      <c r="AK73" s="566" t="s">
        <v>3229</v>
      </c>
      <c r="AL73" s="622" t="s">
        <v>3229</v>
      </c>
      <c r="AM73" s="590">
        <v>1</v>
      </c>
      <c r="AN73" s="576">
        <v>-4.4999999999999998E-2</v>
      </c>
      <c r="AO73" s="652">
        <v>9550</v>
      </c>
      <c r="AP73" s="688"/>
      <c r="AQ73" s="658">
        <v>-9.402058805736202E-2</v>
      </c>
      <c r="AR73" s="632">
        <f>AO73/10000-1</f>
        <v>-4.500000000000004E-2</v>
      </c>
      <c r="AS73" s="558">
        <f t="shared" ref="AS73:AS80" si="11">POWER(1+AR73,1/((I73-F73)/365))-1</f>
        <v>-1.4933070740915877E-2</v>
      </c>
      <c r="AT73" s="648"/>
      <c r="AU73" s="559"/>
      <c r="AV73" s="558">
        <f>M73</f>
        <v>-4.500000000000004E-2</v>
      </c>
      <c r="AW73" s="558">
        <f t="shared" si="10"/>
        <v>-1.4933070740915877E-2</v>
      </c>
      <c r="AX73" s="558"/>
      <c r="AY73" s="559"/>
      <c r="AZ73" s="642">
        <f>J73*(1+AV73)</f>
        <v>9550</v>
      </c>
      <c r="BA73" s="644" t="s">
        <v>3344</v>
      </c>
      <c r="BB73" s="570"/>
      <c r="BC73" s="637"/>
      <c r="BD73" s="3708"/>
      <c r="BE73" s="3743"/>
      <c r="BF73" s="3743"/>
      <c r="BG73" s="3708"/>
      <c r="BH73" s="3762"/>
      <c r="BI73" s="3762"/>
      <c r="BJ73" s="39"/>
      <c r="BK73" s="39"/>
      <c r="BL73" s="39"/>
      <c r="BM73" s="39"/>
      <c r="BN73" s="39"/>
      <c r="BO73" s="39"/>
      <c r="BP73" s="39"/>
      <c r="BQ73" s="39"/>
      <c r="BR73" s="39"/>
      <c r="BS73" s="507"/>
      <c r="BT73" s="507"/>
      <c r="BU73" s="507"/>
      <c r="BV73" s="507"/>
      <c r="BW73" s="507"/>
      <c r="BX73" s="507"/>
      <c r="BY73" s="507"/>
      <c r="BZ73" s="507"/>
      <c r="CA73" s="507"/>
      <c r="CB73" s="507"/>
      <c r="CC73" s="507"/>
      <c r="CD73" s="507"/>
      <c r="CE73" s="507"/>
      <c r="CF73" s="507"/>
      <c r="CG73" s="507"/>
      <c r="CH73" s="507"/>
      <c r="CI73" s="507"/>
      <c r="CJ73" s="507"/>
      <c r="CK73" s="507"/>
      <c r="CL73" s="507"/>
      <c r="CM73" s="507"/>
      <c r="CN73" s="507"/>
      <c r="CO73" s="507"/>
      <c r="CP73" s="507"/>
      <c r="CQ73" s="507"/>
      <c r="CR73" s="507"/>
      <c r="CS73" s="507"/>
      <c r="CT73" s="507"/>
      <c r="CU73" s="507"/>
      <c r="CV73" s="507"/>
      <c r="CW73" s="507"/>
      <c r="CX73" s="507"/>
      <c r="CY73" s="507"/>
      <c r="CZ73" s="507"/>
      <c r="DA73" s="507"/>
      <c r="DB73" s="507"/>
      <c r="DC73" s="507"/>
      <c r="DD73" s="507"/>
      <c r="DE73" s="507"/>
      <c r="DF73" s="507"/>
      <c r="DG73" s="507"/>
      <c r="DH73" s="507"/>
      <c r="DI73" s="507"/>
      <c r="DJ73" s="507"/>
      <c r="DK73" s="507"/>
      <c r="DL73" s="507"/>
      <c r="DM73" s="507"/>
      <c r="DN73" s="507"/>
      <c r="DO73" s="507"/>
      <c r="DP73" s="507"/>
      <c r="DQ73" s="507"/>
      <c r="DR73" s="507"/>
      <c r="DS73" s="507"/>
      <c r="DT73" s="507"/>
      <c r="DU73" s="507"/>
      <c r="DV73" s="507"/>
      <c r="DW73" s="507"/>
      <c r="DX73" s="507"/>
      <c r="DY73" s="507"/>
      <c r="DZ73" s="507"/>
      <c r="EA73" s="507"/>
      <c r="EB73" s="507"/>
      <c r="EC73" s="507"/>
      <c r="ED73" s="507"/>
      <c r="EE73" s="507"/>
      <c r="EF73" s="507"/>
      <c r="EG73" s="507"/>
      <c r="EH73" s="507"/>
      <c r="EI73" s="507"/>
      <c r="EJ73" s="507"/>
      <c r="EK73" s="507"/>
      <c r="EL73" s="507"/>
      <c r="EM73" s="507"/>
      <c r="EN73" s="507"/>
      <c r="EO73" s="507"/>
      <c r="EP73" s="507"/>
      <c r="EQ73" s="507"/>
      <c r="ER73" s="507"/>
      <c r="ES73" s="507"/>
      <c r="ET73" s="507"/>
      <c r="EU73" s="507"/>
      <c r="EV73" s="507"/>
      <c r="EW73" s="507"/>
      <c r="EX73" s="507"/>
      <c r="EY73" s="507"/>
      <c r="EZ73" s="507"/>
      <c r="FA73" s="507"/>
      <c r="FB73" s="507"/>
      <c r="FC73" s="507"/>
      <c r="FD73" s="507"/>
      <c r="FE73" s="507"/>
      <c r="FF73" s="507"/>
      <c r="FG73" s="507"/>
      <c r="FH73" s="507"/>
      <c r="FI73" s="507"/>
      <c r="FJ73" s="507"/>
      <c r="FK73" s="507"/>
      <c r="FL73" s="507"/>
      <c r="FM73" s="507"/>
      <c r="FN73" s="507"/>
      <c r="FO73" s="507"/>
      <c r="FP73" s="507"/>
      <c r="FQ73" s="507"/>
      <c r="FR73" s="507"/>
      <c r="FS73" s="507"/>
      <c r="FT73" s="507"/>
      <c r="FU73" s="507"/>
      <c r="FV73" s="507"/>
      <c r="FW73" s="507"/>
      <c r="FX73" s="507"/>
      <c r="FY73" s="507"/>
      <c r="FZ73" s="507"/>
      <c r="GA73" s="507"/>
      <c r="GB73" s="507"/>
      <c r="GC73" s="507"/>
      <c r="GD73" s="507"/>
      <c r="GE73" s="507"/>
      <c r="GF73" s="507"/>
      <c r="GG73" s="507"/>
      <c r="GH73" s="507"/>
      <c r="GI73" s="507"/>
      <c r="GJ73" s="507"/>
      <c r="GK73" s="507"/>
      <c r="GL73" s="507"/>
      <c r="GM73" s="507"/>
      <c r="GN73" s="507"/>
      <c r="GO73" s="507"/>
      <c r="GP73" s="507"/>
      <c r="GQ73" s="507"/>
      <c r="GR73" s="507"/>
      <c r="GS73" s="507"/>
      <c r="GT73" s="507"/>
      <c r="GU73" s="507"/>
      <c r="GV73" s="507"/>
      <c r="GW73" s="507"/>
      <c r="GX73" s="507"/>
      <c r="GY73" s="507"/>
      <c r="GZ73" s="507"/>
      <c r="HA73" s="507"/>
      <c r="HB73" s="507"/>
      <c r="HC73" s="507"/>
      <c r="HD73" s="507"/>
      <c r="HE73" s="507"/>
      <c r="HF73" s="507"/>
      <c r="HG73" s="507"/>
      <c r="HH73" s="507"/>
      <c r="HI73" s="507"/>
      <c r="HJ73" s="507"/>
      <c r="HK73" s="507"/>
      <c r="HL73" s="507"/>
      <c r="HM73" s="507"/>
      <c r="HN73" s="507"/>
      <c r="HO73" s="507"/>
      <c r="HP73" s="507"/>
      <c r="HQ73" s="507"/>
      <c r="HR73" s="507"/>
      <c r="HS73" s="507"/>
      <c r="HT73" s="507"/>
      <c r="HU73" s="507"/>
      <c r="HV73" s="507"/>
      <c r="HW73" s="507"/>
      <c r="HX73" s="507"/>
      <c r="HY73" s="507"/>
      <c r="HZ73" s="507"/>
    </row>
    <row r="74" spans="1:234" s="298" customFormat="1" ht="15.9" hidden="1" customHeight="1" x14ac:dyDescent="0.25">
      <c r="A74" s="522" t="s">
        <v>3193</v>
      </c>
      <c r="B74" s="523" t="s">
        <v>3776</v>
      </c>
      <c r="C74" s="526" t="s">
        <v>2548</v>
      </c>
      <c r="D74" s="570" t="s">
        <v>4384</v>
      </c>
      <c r="E74" s="569" t="s">
        <v>3228</v>
      </c>
      <c r="F74" s="543">
        <v>38716</v>
      </c>
      <c r="G74" s="544">
        <v>38693</v>
      </c>
      <c r="H74" s="562">
        <v>38709</v>
      </c>
      <c r="I74" s="546">
        <v>39843</v>
      </c>
      <c r="J74" s="547">
        <v>10000</v>
      </c>
      <c r="K74" s="553" t="s">
        <v>3229</v>
      </c>
      <c r="L74" s="552" t="s">
        <v>3229</v>
      </c>
      <c r="M74" s="550">
        <f>95.5%-100%</f>
        <v>-4.500000000000004E-2</v>
      </c>
      <c r="N74" s="560">
        <v>1</v>
      </c>
      <c r="O74" s="552" t="s">
        <v>3229</v>
      </c>
      <c r="P74" s="552" t="s">
        <v>3229</v>
      </c>
      <c r="Q74" s="552" t="s">
        <v>3229</v>
      </c>
      <c r="R74" s="552" t="s">
        <v>3229</v>
      </c>
      <c r="S74" s="567"/>
      <c r="T74" s="555" t="s">
        <v>3229</v>
      </c>
      <c r="U74" s="555" t="s">
        <v>3229</v>
      </c>
      <c r="V74" s="555" t="s">
        <v>3229</v>
      </c>
      <c r="W74" s="555" t="s">
        <v>3229</v>
      </c>
      <c r="X74" s="555" t="s">
        <v>3229</v>
      </c>
      <c r="Y74" s="555" t="s">
        <v>3229</v>
      </c>
      <c r="Z74" s="555" t="s">
        <v>3229</v>
      </c>
      <c r="AA74" s="555" t="s">
        <v>3229</v>
      </c>
      <c r="AB74" s="555" t="s">
        <v>3229</v>
      </c>
      <c r="AC74" s="555" t="s">
        <v>3229</v>
      </c>
      <c r="AD74" s="555" t="s">
        <v>3229</v>
      </c>
      <c r="AE74" s="556" t="s">
        <v>3229</v>
      </c>
      <c r="AF74" s="3764" t="s">
        <v>781</v>
      </c>
      <c r="AG74" s="3765"/>
      <c r="AH74" s="622" t="s">
        <v>3229</v>
      </c>
      <c r="AI74" s="622" t="s">
        <v>3229</v>
      </c>
      <c r="AJ74" s="622" t="s">
        <v>3229</v>
      </c>
      <c r="AK74" s="566" t="s">
        <v>3229</v>
      </c>
      <c r="AL74" s="622" t="s">
        <v>3229</v>
      </c>
      <c r="AM74" s="651">
        <v>1</v>
      </c>
      <c r="AN74" s="640">
        <v>-4.4999999999999998E-2</v>
      </c>
      <c r="AO74" s="652">
        <v>9550</v>
      </c>
      <c r="AP74" s="1369"/>
      <c r="AQ74" s="549">
        <v>-0.15554452002127903</v>
      </c>
      <c r="AR74" s="632">
        <f>AO74/10000-1</f>
        <v>-4.500000000000004E-2</v>
      </c>
      <c r="AS74" s="558">
        <f t="shared" si="11"/>
        <v>-1.4801553415120683E-2</v>
      </c>
      <c r="AT74" s="648"/>
      <c r="AU74" s="559"/>
      <c r="AV74" s="558">
        <f>M74</f>
        <v>-4.500000000000004E-2</v>
      </c>
      <c r="AW74" s="558">
        <f t="shared" si="10"/>
        <v>-1.4801553415120683E-2</v>
      </c>
      <c r="AX74" s="553" t="s">
        <v>3229</v>
      </c>
      <c r="AY74" s="552" t="s">
        <v>3229</v>
      </c>
      <c r="AZ74" s="642">
        <f>J74*(1+AV74)</f>
        <v>9550</v>
      </c>
      <c r="BA74" s="643" t="s">
        <v>3344</v>
      </c>
      <c r="BB74" s="568"/>
      <c r="BC74" s="641"/>
      <c r="BD74" s="3708"/>
      <c r="BE74" s="3743"/>
      <c r="BF74" s="3743"/>
      <c r="BG74" s="3708"/>
      <c r="BH74" s="3762"/>
      <c r="BI74" s="3762"/>
      <c r="BJ74" s="39"/>
      <c r="BK74" s="39"/>
      <c r="BL74" s="39"/>
      <c r="BM74" s="39"/>
      <c r="BN74" s="39"/>
      <c r="BO74" s="39"/>
      <c r="BP74" s="39"/>
      <c r="BQ74" s="39"/>
      <c r="BR74" s="39"/>
      <c r="BS74" s="507"/>
      <c r="BT74" s="507"/>
      <c r="BU74" s="507"/>
      <c r="BV74" s="507"/>
      <c r="BW74" s="507"/>
      <c r="BX74" s="507"/>
      <c r="BY74" s="507"/>
      <c r="BZ74" s="507"/>
      <c r="CA74" s="507"/>
      <c r="CB74" s="507"/>
      <c r="CC74" s="507"/>
      <c r="CD74" s="507"/>
      <c r="CE74" s="507"/>
      <c r="CF74" s="507"/>
      <c r="CG74" s="507"/>
      <c r="CH74" s="507"/>
      <c r="CI74" s="507"/>
      <c r="CJ74" s="507"/>
      <c r="CK74" s="507"/>
      <c r="CL74" s="507"/>
      <c r="CM74" s="507"/>
      <c r="CN74" s="507"/>
      <c r="CO74" s="507"/>
      <c r="CP74" s="507"/>
      <c r="CQ74" s="507"/>
      <c r="CR74" s="507"/>
      <c r="CS74" s="507"/>
      <c r="CT74" s="507"/>
      <c r="CU74" s="507"/>
      <c r="CV74" s="507"/>
      <c r="CW74" s="507"/>
      <c r="CX74" s="507"/>
      <c r="CY74" s="507"/>
      <c r="CZ74" s="507"/>
      <c r="DA74" s="507"/>
      <c r="DB74" s="507"/>
      <c r="DC74" s="507"/>
      <c r="DD74" s="507"/>
      <c r="DE74" s="507"/>
      <c r="DF74" s="507"/>
      <c r="DG74" s="507"/>
      <c r="DH74" s="507"/>
      <c r="DI74" s="507"/>
      <c r="DJ74" s="507"/>
      <c r="DK74" s="507"/>
      <c r="DL74" s="507"/>
      <c r="DM74" s="507"/>
      <c r="DN74" s="507"/>
      <c r="DO74" s="507"/>
      <c r="DP74" s="507"/>
      <c r="DQ74" s="507"/>
      <c r="DR74" s="507"/>
      <c r="DS74" s="507"/>
      <c r="DT74" s="507"/>
      <c r="DU74" s="507"/>
      <c r="DV74" s="507"/>
      <c r="DW74" s="507"/>
      <c r="DX74" s="507"/>
      <c r="DY74" s="507"/>
      <c r="DZ74" s="507"/>
      <c r="EA74" s="507"/>
      <c r="EB74" s="507"/>
      <c r="EC74" s="507"/>
      <c r="ED74" s="507"/>
      <c r="EE74" s="507"/>
      <c r="EF74" s="507"/>
      <c r="EG74" s="507"/>
      <c r="EH74" s="507"/>
      <c r="EI74" s="507"/>
      <c r="EJ74" s="507"/>
      <c r="EK74" s="507"/>
      <c r="EL74" s="507"/>
      <c r="EM74" s="507"/>
      <c r="EN74" s="507"/>
      <c r="EO74" s="507"/>
      <c r="EP74" s="507"/>
      <c r="EQ74" s="507"/>
      <c r="ER74" s="507"/>
      <c r="ES74" s="507"/>
      <c r="ET74" s="507"/>
      <c r="EU74" s="507"/>
      <c r="EV74" s="507"/>
      <c r="EW74" s="507"/>
      <c r="EX74" s="507"/>
      <c r="EY74" s="507"/>
      <c r="EZ74" s="507"/>
      <c r="FA74" s="507"/>
      <c r="FB74" s="507"/>
      <c r="FC74" s="507"/>
      <c r="FD74" s="507"/>
      <c r="FE74" s="507"/>
      <c r="FF74" s="507"/>
      <c r="FG74" s="507"/>
      <c r="FH74" s="507"/>
      <c r="FI74" s="507"/>
      <c r="FJ74" s="507"/>
      <c r="FK74" s="507"/>
      <c r="FL74" s="507"/>
      <c r="FM74" s="507"/>
      <c r="FN74" s="507"/>
      <c r="FO74" s="507"/>
      <c r="FP74" s="507"/>
      <c r="FQ74" s="507"/>
      <c r="FR74" s="507"/>
      <c r="FS74" s="507"/>
      <c r="FT74" s="507"/>
      <c r="FU74" s="507"/>
      <c r="FV74" s="507"/>
      <c r="FW74" s="507"/>
      <c r="FX74" s="507"/>
      <c r="FY74" s="507"/>
      <c r="FZ74" s="507"/>
      <c r="GA74" s="507"/>
      <c r="GB74" s="507"/>
      <c r="GC74" s="507"/>
      <c r="GD74" s="507"/>
      <c r="GE74" s="507"/>
      <c r="GF74" s="507"/>
      <c r="GG74" s="507"/>
      <c r="GH74" s="507"/>
      <c r="GI74" s="507"/>
      <c r="GJ74" s="507"/>
      <c r="GK74" s="507"/>
      <c r="GL74" s="507"/>
      <c r="GM74" s="507"/>
      <c r="GN74" s="507"/>
      <c r="GO74" s="507"/>
      <c r="GP74" s="507"/>
      <c r="GQ74" s="507"/>
      <c r="GR74" s="507"/>
      <c r="GS74" s="507"/>
      <c r="GT74" s="507"/>
      <c r="GU74" s="507"/>
      <c r="GV74" s="507"/>
      <c r="GW74" s="507"/>
      <c r="GX74" s="507"/>
      <c r="GY74" s="507"/>
      <c r="GZ74" s="507"/>
      <c r="HA74" s="507"/>
      <c r="HB74" s="507"/>
      <c r="HC74" s="507"/>
      <c r="HD74" s="507"/>
      <c r="HE74" s="507"/>
      <c r="HF74" s="507"/>
      <c r="HG74" s="507"/>
      <c r="HH74" s="507"/>
      <c r="HI74" s="507"/>
      <c r="HJ74" s="507"/>
      <c r="HK74" s="507"/>
      <c r="HL74" s="507"/>
      <c r="HM74" s="507"/>
      <c r="HN74" s="507"/>
      <c r="HO74" s="507"/>
      <c r="HP74" s="507"/>
      <c r="HQ74" s="507"/>
      <c r="HR74" s="507"/>
      <c r="HS74" s="507"/>
      <c r="HT74" s="507"/>
      <c r="HU74" s="507"/>
      <c r="HV74" s="507"/>
      <c r="HW74" s="507"/>
      <c r="HX74" s="507"/>
      <c r="HY74" s="507"/>
      <c r="HZ74" s="507"/>
    </row>
    <row r="75" spans="1:234" s="206" customFormat="1" ht="15.9" hidden="1" customHeight="1" x14ac:dyDescent="0.25">
      <c r="A75" s="522" t="s">
        <v>1138</v>
      </c>
      <c r="B75" s="523" t="s">
        <v>751</v>
      </c>
      <c r="C75" s="526" t="s">
        <v>3282</v>
      </c>
      <c r="D75" s="570" t="s">
        <v>828</v>
      </c>
      <c r="E75" s="569" t="s">
        <v>3228</v>
      </c>
      <c r="F75" s="543">
        <v>38790</v>
      </c>
      <c r="G75" s="544">
        <v>38719</v>
      </c>
      <c r="H75" s="562">
        <v>38783</v>
      </c>
      <c r="I75" s="546">
        <v>40662</v>
      </c>
      <c r="J75" s="547">
        <v>10</v>
      </c>
      <c r="K75" s="548">
        <v>-0.03</v>
      </c>
      <c r="L75" s="549">
        <v>3.3000000000000002E-2</v>
      </c>
      <c r="M75" s="550">
        <v>0.06</v>
      </c>
      <c r="N75" s="560" t="s">
        <v>3229</v>
      </c>
      <c r="O75" s="552" t="s">
        <v>3229</v>
      </c>
      <c r="P75" s="552" t="s">
        <v>3229</v>
      </c>
      <c r="Q75" s="552" t="s">
        <v>3229</v>
      </c>
      <c r="R75" s="552" t="s">
        <v>3229</v>
      </c>
      <c r="S75" s="567">
        <v>10</v>
      </c>
      <c r="T75" s="555">
        <v>38961</v>
      </c>
      <c r="U75" s="555">
        <v>39142</v>
      </c>
      <c r="V75" s="555">
        <v>39326</v>
      </c>
      <c r="W75" s="555">
        <v>39508</v>
      </c>
      <c r="X75" s="555">
        <v>39692</v>
      </c>
      <c r="Y75" s="555">
        <v>39873</v>
      </c>
      <c r="Z75" s="555">
        <v>40057</v>
      </c>
      <c r="AA75" s="555">
        <v>40238</v>
      </c>
      <c r="AB75" s="555">
        <v>40422</v>
      </c>
      <c r="AC75" s="555">
        <v>40603</v>
      </c>
      <c r="AD75" s="555" t="s">
        <v>3229</v>
      </c>
      <c r="AE75" s="556" t="s">
        <v>3229</v>
      </c>
      <c r="AF75" s="3764" t="s">
        <v>781</v>
      </c>
      <c r="AG75" s="3765"/>
      <c r="AH75" s="622">
        <v>0.5</v>
      </c>
      <c r="AI75" s="622">
        <v>0.5</v>
      </c>
      <c r="AJ75" s="622" t="s">
        <v>3229</v>
      </c>
      <c r="AK75" s="566" t="s">
        <v>3229</v>
      </c>
      <c r="AL75" s="622" t="s">
        <v>3229</v>
      </c>
      <c r="AM75" s="590" t="s">
        <v>3229</v>
      </c>
      <c r="AN75" s="576">
        <v>0.06</v>
      </c>
      <c r="AO75" s="652">
        <v>10.61</v>
      </c>
      <c r="AP75" s="1368" t="s">
        <v>3229</v>
      </c>
      <c r="AQ75" s="658" t="s">
        <v>3229</v>
      </c>
      <c r="AR75" s="632">
        <f>AO75/10-1</f>
        <v>6.0999999999999943E-2</v>
      </c>
      <c r="AS75" s="558">
        <f t="shared" si="11"/>
        <v>1.1611948689032259E-2</v>
      </c>
      <c r="AT75" s="648"/>
      <c r="AU75" s="559"/>
      <c r="AV75" s="558">
        <v>6.0999999999999943E-2</v>
      </c>
      <c r="AW75" s="558">
        <v>1.1611948689032259E-2</v>
      </c>
      <c r="AX75" s="589"/>
      <c r="AY75" s="559"/>
      <c r="AZ75" s="642">
        <f>J75*(1+AV75)</f>
        <v>10.61</v>
      </c>
      <c r="BA75" s="644" t="s">
        <v>3189</v>
      </c>
      <c r="BB75" s="570" t="s">
        <v>2025</v>
      </c>
      <c r="BC75" s="637" t="s">
        <v>2895</v>
      </c>
      <c r="BD75" s="3708"/>
      <c r="BE75" s="3743"/>
      <c r="BF75" s="3743"/>
      <c r="BG75" s="3708"/>
      <c r="BH75" s="3762"/>
      <c r="BI75" s="3762"/>
      <c r="BJ75" s="39"/>
      <c r="BK75" s="39"/>
      <c r="BL75" s="39"/>
      <c r="BM75" s="39"/>
      <c r="BN75" s="39"/>
      <c r="BO75" s="39"/>
      <c r="BP75" s="39"/>
      <c r="BQ75" s="39"/>
      <c r="BR75" s="39"/>
      <c r="BS75" s="507"/>
      <c r="BT75" s="507"/>
      <c r="BU75" s="507"/>
      <c r="BV75" s="507"/>
      <c r="BW75" s="507"/>
      <c r="BX75" s="507"/>
      <c r="BY75" s="507"/>
      <c r="BZ75" s="507"/>
      <c r="CA75" s="507"/>
      <c r="CB75" s="507"/>
      <c r="CC75" s="507"/>
      <c r="CD75" s="507"/>
      <c r="CE75" s="507"/>
      <c r="CF75" s="507"/>
      <c r="CG75" s="507"/>
      <c r="CH75" s="507"/>
      <c r="CI75" s="507"/>
      <c r="CJ75" s="507"/>
      <c r="CK75" s="507"/>
      <c r="CL75" s="507"/>
      <c r="CM75" s="507"/>
      <c r="CN75" s="507"/>
      <c r="CO75" s="507"/>
      <c r="CP75" s="507"/>
      <c r="CQ75" s="507"/>
      <c r="CR75" s="507"/>
      <c r="CS75" s="507"/>
      <c r="CT75" s="507"/>
      <c r="CU75" s="507"/>
      <c r="CV75" s="507"/>
      <c r="CW75" s="507"/>
      <c r="CX75" s="507"/>
      <c r="CY75" s="507"/>
      <c r="CZ75" s="507"/>
      <c r="DA75" s="507"/>
      <c r="DB75" s="507"/>
      <c r="DC75" s="507"/>
      <c r="DD75" s="507"/>
      <c r="DE75" s="507"/>
      <c r="DF75" s="507"/>
      <c r="DG75" s="507"/>
      <c r="DH75" s="507"/>
      <c r="DI75" s="507"/>
      <c r="DJ75" s="507"/>
      <c r="DK75" s="507"/>
      <c r="DL75" s="507"/>
      <c r="DM75" s="507"/>
      <c r="DN75" s="507"/>
      <c r="DO75" s="507"/>
      <c r="DP75" s="507"/>
      <c r="DQ75" s="507"/>
      <c r="DR75" s="507"/>
      <c r="DS75" s="507"/>
      <c r="DT75" s="507"/>
      <c r="DU75" s="507"/>
      <c r="DV75" s="507"/>
      <c r="DW75" s="507"/>
      <c r="DX75" s="507"/>
      <c r="DY75" s="507"/>
      <c r="DZ75" s="507"/>
      <c r="EA75" s="507"/>
      <c r="EB75" s="507"/>
      <c r="EC75" s="507"/>
      <c r="ED75" s="507"/>
      <c r="EE75" s="507"/>
      <c r="EF75" s="507"/>
      <c r="EG75" s="507"/>
      <c r="EH75" s="507"/>
      <c r="EI75" s="507"/>
      <c r="EJ75" s="507"/>
      <c r="EK75" s="507"/>
      <c r="EL75" s="507"/>
      <c r="EM75" s="507"/>
      <c r="EN75" s="507"/>
      <c r="EO75" s="507"/>
      <c r="EP75" s="507"/>
      <c r="EQ75" s="507"/>
      <c r="ER75" s="507"/>
      <c r="ES75" s="507"/>
      <c r="ET75" s="507"/>
      <c r="EU75" s="507"/>
      <c r="EV75" s="507"/>
      <c r="EW75" s="507"/>
      <c r="EX75" s="507"/>
      <c r="EY75" s="507"/>
      <c r="EZ75" s="507"/>
      <c r="FA75" s="507"/>
      <c r="FB75" s="507"/>
      <c r="FC75" s="507"/>
      <c r="FD75" s="507"/>
      <c r="FE75" s="507"/>
      <c r="FF75" s="507"/>
      <c r="FG75" s="507"/>
      <c r="FH75" s="507"/>
      <c r="FI75" s="507"/>
      <c r="FJ75" s="507"/>
      <c r="FK75" s="507"/>
      <c r="FL75" s="507"/>
      <c r="FM75" s="507"/>
      <c r="FN75" s="507"/>
      <c r="FO75" s="507"/>
      <c r="FP75" s="507"/>
      <c r="FQ75" s="507"/>
      <c r="FR75" s="507"/>
      <c r="FS75" s="507"/>
      <c r="FT75" s="507"/>
      <c r="FU75" s="507"/>
      <c r="FV75" s="507"/>
      <c r="FW75" s="507"/>
      <c r="FX75" s="507"/>
      <c r="FY75" s="507"/>
      <c r="FZ75" s="507"/>
      <c r="GA75" s="507"/>
      <c r="GB75" s="507"/>
      <c r="GC75" s="507"/>
      <c r="GD75" s="507"/>
      <c r="GE75" s="507"/>
      <c r="GF75" s="507"/>
      <c r="GG75" s="507"/>
      <c r="GH75" s="507"/>
      <c r="GI75" s="507"/>
      <c r="GJ75" s="507"/>
      <c r="GK75" s="507"/>
      <c r="GL75" s="507"/>
      <c r="GM75" s="507"/>
      <c r="GN75" s="507"/>
      <c r="GO75" s="507"/>
      <c r="GP75" s="507"/>
      <c r="GQ75" s="507"/>
      <c r="GR75" s="507"/>
      <c r="GS75" s="507"/>
      <c r="GT75" s="507"/>
      <c r="GU75" s="507"/>
      <c r="GV75" s="507"/>
      <c r="GW75" s="507"/>
      <c r="GX75" s="507"/>
      <c r="GY75" s="507"/>
      <c r="GZ75" s="507"/>
      <c r="HA75" s="507"/>
      <c r="HB75" s="507"/>
      <c r="HC75" s="507"/>
      <c r="HD75" s="507"/>
      <c r="HE75" s="507"/>
      <c r="HF75" s="507"/>
      <c r="HG75" s="507"/>
      <c r="HH75" s="507"/>
      <c r="HI75" s="507"/>
      <c r="HJ75" s="507"/>
      <c r="HK75" s="507"/>
      <c r="HL75" s="507"/>
      <c r="HM75" s="507"/>
      <c r="HN75" s="507"/>
      <c r="HO75" s="507"/>
      <c r="HP75" s="507"/>
      <c r="HQ75" s="507"/>
      <c r="HR75" s="507"/>
      <c r="HS75" s="507"/>
      <c r="HT75" s="507"/>
      <c r="HU75" s="507"/>
      <c r="HV75" s="507"/>
      <c r="HW75" s="507"/>
      <c r="HX75" s="507"/>
      <c r="HY75" s="507"/>
      <c r="HZ75" s="507"/>
    </row>
    <row r="76" spans="1:234" s="232" customFormat="1" ht="15.9" hidden="1" customHeight="1" x14ac:dyDescent="0.25">
      <c r="A76" s="522" t="s">
        <v>393</v>
      </c>
      <c r="B76" s="523" t="s">
        <v>1679</v>
      </c>
      <c r="C76" s="527" t="s">
        <v>3284</v>
      </c>
      <c r="D76" s="570" t="s">
        <v>3283</v>
      </c>
      <c r="E76" s="569" t="s">
        <v>3228</v>
      </c>
      <c r="F76" s="543">
        <v>38776</v>
      </c>
      <c r="G76" s="544">
        <v>38719</v>
      </c>
      <c r="H76" s="557">
        <v>38769</v>
      </c>
      <c r="I76" s="546">
        <v>40998</v>
      </c>
      <c r="J76" s="547">
        <v>10</v>
      </c>
      <c r="K76" s="553" t="s">
        <v>3229</v>
      </c>
      <c r="L76" s="552" t="s">
        <v>3229</v>
      </c>
      <c r="M76" s="549">
        <v>9.8500000000000004E-2</v>
      </c>
      <c r="N76" s="606" t="s">
        <v>3229</v>
      </c>
      <c r="O76" s="551" t="s">
        <v>3229</v>
      </c>
      <c r="P76" s="576" t="s">
        <v>3229</v>
      </c>
      <c r="Q76" s="570">
        <v>3.5999999999999997E-2</v>
      </c>
      <c r="R76" s="570">
        <v>1.5</v>
      </c>
      <c r="S76" s="577">
        <v>6</v>
      </c>
      <c r="T76" s="555">
        <v>39114</v>
      </c>
      <c r="U76" s="555">
        <v>39479</v>
      </c>
      <c r="V76" s="555">
        <v>39845</v>
      </c>
      <c r="W76" s="555">
        <v>40210</v>
      </c>
      <c r="X76" s="555">
        <v>40575</v>
      </c>
      <c r="Y76" s="555">
        <v>40940</v>
      </c>
      <c r="Z76" s="555" t="s">
        <v>3229</v>
      </c>
      <c r="AA76" s="553" t="s">
        <v>3229</v>
      </c>
      <c r="AB76" s="553" t="s">
        <v>3229</v>
      </c>
      <c r="AC76" s="553" t="s">
        <v>3229</v>
      </c>
      <c r="AD76" s="553" t="s">
        <v>3229</v>
      </c>
      <c r="AE76" s="553" t="s">
        <v>3229</v>
      </c>
      <c r="AF76" s="3764" t="s">
        <v>781</v>
      </c>
      <c r="AG76" s="3765"/>
      <c r="AH76" s="553" t="s">
        <v>3229</v>
      </c>
      <c r="AI76" s="553" t="s">
        <v>3229</v>
      </c>
      <c r="AJ76" s="553" t="s">
        <v>3229</v>
      </c>
      <c r="AK76" s="566" t="s">
        <v>3229</v>
      </c>
      <c r="AL76" s="553" t="s">
        <v>3229</v>
      </c>
      <c r="AM76" s="659">
        <v>1</v>
      </c>
      <c r="AN76" s="606">
        <v>9.849999999999999E-2</v>
      </c>
      <c r="AO76" s="660">
        <v>10.94</v>
      </c>
      <c r="AP76" s="1368" t="s">
        <v>3229</v>
      </c>
      <c r="AQ76" s="1632" t="s">
        <v>3229</v>
      </c>
      <c r="AR76" s="558">
        <f>'klikací hodnoty'!F1662+'klikací hodnoty'!F1660*R76</f>
        <v>0.10915</v>
      </c>
      <c r="AS76" s="558">
        <f t="shared" si="11"/>
        <v>1.7162623105717367E-2</v>
      </c>
      <c r="AT76" s="650"/>
      <c r="AU76" s="552"/>
      <c r="AV76" s="558">
        <f>M76</f>
        <v>9.8500000000000004E-2</v>
      </c>
      <c r="AW76" s="558">
        <f>POWER(1+AV76,1/((I76-F76)/365))-1</f>
        <v>1.5551800028466234E-2</v>
      </c>
      <c r="AX76" s="553"/>
      <c r="AY76" s="552"/>
      <c r="AZ76" s="642">
        <f>TRUNC(J76*(1+AV76),2)</f>
        <v>10.98</v>
      </c>
      <c r="BA76" s="644" t="s">
        <v>274</v>
      </c>
      <c r="BB76" s="570"/>
      <c r="BC76" s="637"/>
      <c r="BD76" s="3709">
        <f>'klikací hodnoty'!F1662</f>
        <v>9.849999999999999E-2</v>
      </c>
      <c r="BE76" s="3743"/>
      <c r="BF76" s="3743"/>
      <c r="BG76" s="3708"/>
      <c r="BH76" s="3762"/>
      <c r="BI76" s="3762"/>
      <c r="BJ76" s="39"/>
      <c r="BK76" s="39"/>
      <c r="BL76" s="39"/>
      <c r="BM76" s="39"/>
      <c r="BN76" s="39"/>
      <c r="BO76" s="39"/>
      <c r="BP76" s="39"/>
      <c r="BQ76" s="39"/>
      <c r="BR76" s="39"/>
      <c r="BS76" s="507"/>
      <c r="BT76" s="507"/>
      <c r="BU76" s="507"/>
      <c r="BV76" s="507"/>
      <c r="BW76" s="507"/>
      <c r="BX76" s="507"/>
      <c r="BY76" s="507"/>
      <c r="BZ76" s="507"/>
      <c r="CA76" s="507"/>
      <c r="CB76" s="507"/>
      <c r="CC76" s="507"/>
      <c r="CD76" s="507"/>
      <c r="CE76" s="507"/>
      <c r="CF76" s="507"/>
      <c r="CG76" s="507"/>
      <c r="CH76" s="507"/>
      <c r="CI76" s="507"/>
      <c r="CJ76" s="507"/>
      <c r="CK76" s="507"/>
      <c r="CL76" s="507"/>
      <c r="CM76" s="507"/>
      <c r="CN76" s="507"/>
      <c r="CO76" s="507"/>
      <c r="CP76" s="507"/>
      <c r="CQ76" s="507"/>
      <c r="CR76" s="507"/>
      <c r="CS76" s="507"/>
      <c r="CT76" s="507"/>
      <c r="CU76" s="507"/>
      <c r="CV76" s="507"/>
      <c r="CW76" s="507"/>
      <c r="CX76" s="507"/>
      <c r="CY76" s="507"/>
      <c r="CZ76" s="507"/>
      <c r="DA76" s="507"/>
      <c r="DB76" s="507"/>
      <c r="DC76" s="507"/>
      <c r="DD76" s="507"/>
      <c r="DE76" s="507"/>
      <c r="DF76" s="507"/>
      <c r="DG76" s="507"/>
      <c r="DH76" s="507"/>
      <c r="DI76" s="507"/>
      <c r="DJ76" s="507"/>
      <c r="DK76" s="507"/>
      <c r="DL76" s="507"/>
      <c r="DM76" s="507"/>
      <c r="DN76" s="507"/>
      <c r="DO76" s="507"/>
      <c r="DP76" s="507"/>
      <c r="DQ76" s="507"/>
      <c r="DR76" s="507"/>
      <c r="DS76" s="507"/>
      <c r="DT76" s="507"/>
      <c r="DU76" s="507"/>
      <c r="DV76" s="507"/>
      <c r="DW76" s="507"/>
      <c r="DX76" s="507"/>
      <c r="DY76" s="507"/>
      <c r="DZ76" s="507"/>
      <c r="EA76" s="507"/>
      <c r="EB76" s="507"/>
      <c r="EC76" s="507"/>
      <c r="ED76" s="507"/>
      <c r="EE76" s="507"/>
      <c r="EF76" s="507"/>
      <c r="EG76" s="507"/>
      <c r="EH76" s="507"/>
      <c r="EI76" s="507"/>
      <c r="EJ76" s="507"/>
      <c r="EK76" s="507"/>
      <c r="EL76" s="507"/>
      <c r="EM76" s="507"/>
      <c r="EN76" s="507"/>
      <c r="EO76" s="507"/>
      <c r="EP76" s="507"/>
      <c r="EQ76" s="507"/>
      <c r="ER76" s="507"/>
      <c r="ES76" s="507"/>
      <c r="ET76" s="507"/>
      <c r="EU76" s="507"/>
      <c r="EV76" s="507"/>
      <c r="EW76" s="507"/>
      <c r="EX76" s="507"/>
      <c r="EY76" s="507"/>
      <c r="EZ76" s="507"/>
      <c r="FA76" s="507"/>
      <c r="FB76" s="507"/>
      <c r="FC76" s="507"/>
      <c r="FD76" s="507"/>
      <c r="FE76" s="507"/>
      <c r="FF76" s="507"/>
      <c r="FG76" s="507"/>
      <c r="FH76" s="507"/>
      <c r="FI76" s="507"/>
      <c r="FJ76" s="507"/>
      <c r="FK76" s="507"/>
      <c r="FL76" s="507"/>
      <c r="FM76" s="507"/>
      <c r="FN76" s="507"/>
      <c r="FO76" s="507"/>
      <c r="FP76" s="507"/>
      <c r="FQ76" s="507"/>
      <c r="FR76" s="507"/>
      <c r="FS76" s="507"/>
      <c r="FT76" s="507"/>
      <c r="FU76" s="507"/>
      <c r="FV76" s="507"/>
      <c r="FW76" s="507"/>
      <c r="FX76" s="507"/>
      <c r="FY76" s="507"/>
      <c r="FZ76" s="507"/>
      <c r="GA76" s="507"/>
      <c r="GB76" s="507"/>
      <c r="GC76" s="507"/>
      <c r="GD76" s="507"/>
      <c r="GE76" s="507"/>
      <c r="GF76" s="507"/>
      <c r="GG76" s="507"/>
      <c r="GH76" s="507"/>
      <c r="GI76" s="507"/>
      <c r="GJ76" s="507"/>
      <c r="GK76" s="507"/>
      <c r="GL76" s="507"/>
      <c r="GM76" s="507"/>
      <c r="GN76" s="507"/>
      <c r="GO76" s="507"/>
      <c r="GP76" s="507"/>
      <c r="GQ76" s="507"/>
      <c r="GR76" s="507"/>
      <c r="GS76" s="507"/>
      <c r="GT76" s="507"/>
      <c r="GU76" s="507"/>
      <c r="GV76" s="507"/>
      <c r="GW76" s="507"/>
      <c r="GX76" s="507"/>
      <c r="GY76" s="507"/>
      <c r="GZ76" s="507"/>
      <c r="HA76" s="507"/>
      <c r="HB76" s="507"/>
      <c r="HC76" s="507"/>
      <c r="HD76" s="507"/>
      <c r="HE76" s="507"/>
      <c r="HF76" s="507"/>
      <c r="HG76" s="507"/>
      <c r="HH76" s="507"/>
      <c r="HI76" s="507"/>
      <c r="HJ76" s="507"/>
      <c r="HK76" s="507"/>
      <c r="HL76" s="507"/>
      <c r="HM76" s="507"/>
      <c r="HN76" s="507"/>
      <c r="HO76" s="507"/>
      <c r="HP76" s="507"/>
      <c r="HQ76" s="507"/>
      <c r="HR76" s="507"/>
      <c r="HS76" s="507"/>
      <c r="HT76" s="507"/>
      <c r="HU76" s="507"/>
      <c r="HV76" s="507"/>
      <c r="HW76" s="507"/>
      <c r="HX76" s="507"/>
      <c r="HY76" s="507"/>
      <c r="HZ76" s="507"/>
    </row>
    <row r="77" spans="1:234" s="206" customFormat="1" ht="15.9" hidden="1" customHeight="1" x14ac:dyDescent="0.25">
      <c r="A77" s="522" t="s">
        <v>2934</v>
      </c>
      <c r="B77" s="523" t="s">
        <v>1680</v>
      </c>
      <c r="C77" s="528" t="s">
        <v>3285</v>
      </c>
      <c r="D77" s="570" t="s">
        <v>189</v>
      </c>
      <c r="E77" s="569" t="s">
        <v>1743</v>
      </c>
      <c r="F77" s="543">
        <v>38783</v>
      </c>
      <c r="G77" s="544">
        <v>38719</v>
      </c>
      <c r="H77" s="562">
        <v>38776</v>
      </c>
      <c r="I77" s="546">
        <v>40389</v>
      </c>
      <c r="J77" s="547">
        <v>1000</v>
      </c>
      <c r="K77" s="558">
        <v>-0.03</v>
      </c>
      <c r="L77" s="559">
        <v>9.2999999999999999E-2</v>
      </c>
      <c r="M77" s="550">
        <v>0.1</v>
      </c>
      <c r="N77" s="560" t="s">
        <v>3229</v>
      </c>
      <c r="O77" s="552" t="s">
        <v>3229</v>
      </c>
      <c r="P77" s="552" t="s">
        <v>3229</v>
      </c>
      <c r="Q77" s="552" t="s">
        <v>3229</v>
      </c>
      <c r="R77" s="552" t="s">
        <v>3229</v>
      </c>
      <c r="S77" s="567">
        <v>4</v>
      </c>
      <c r="T77" s="555">
        <v>39142</v>
      </c>
      <c r="U77" s="555">
        <v>39508</v>
      </c>
      <c r="V77" s="555">
        <v>39873</v>
      </c>
      <c r="W77" s="555">
        <v>40360</v>
      </c>
      <c r="X77" s="555" t="s">
        <v>3229</v>
      </c>
      <c r="Y77" s="555" t="s">
        <v>3229</v>
      </c>
      <c r="Z77" s="555" t="s">
        <v>3229</v>
      </c>
      <c r="AA77" s="555" t="s">
        <v>3229</v>
      </c>
      <c r="AB77" s="555" t="s">
        <v>3229</v>
      </c>
      <c r="AC77" s="555" t="s">
        <v>3229</v>
      </c>
      <c r="AD77" s="555" t="s">
        <v>3229</v>
      </c>
      <c r="AE77" s="556" t="s">
        <v>3229</v>
      </c>
      <c r="AF77" s="3764" t="s">
        <v>781</v>
      </c>
      <c r="AG77" s="3765"/>
      <c r="AH77" s="622">
        <v>0.5</v>
      </c>
      <c r="AI77" s="622">
        <v>0.5</v>
      </c>
      <c r="AJ77" s="622" t="s">
        <v>3229</v>
      </c>
      <c r="AK77" s="566" t="s">
        <v>3229</v>
      </c>
      <c r="AL77" s="622" t="s">
        <v>3229</v>
      </c>
      <c r="AM77" s="590" t="s">
        <v>3229</v>
      </c>
      <c r="AN77" s="576">
        <v>0.1</v>
      </c>
      <c r="AO77" s="661">
        <v>1100</v>
      </c>
      <c r="AP77" s="1368" t="s">
        <v>3229</v>
      </c>
      <c r="AQ77" s="658" t="s">
        <v>3229</v>
      </c>
      <c r="AR77" s="558">
        <v>0.1</v>
      </c>
      <c r="AS77" s="558">
        <f t="shared" si="11"/>
        <v>2.1897715918051786E-2</v>
      </c>
      <c r="AT77" s="589" t="s">
        <v>3229</v>
      </c>
      <c r="AU77" s="559" t="s">
        <v>3229</v>
      </c>
      <c r="AV77" s="558">
        <v>0.1</v>
      </c>
      <c r="AW77" s="558">
        <f>POWER(1+AV77,1/((I77-F77)/365))-1</f>
        <v>2.1897715918051786E-2</v>
      </c>
      <c r="AX77" s="558" t="s">
        <v>3229</v>
      </c>
      <c r="AY77" s="559" t="s">
        <v>3229</v>
      </c>
      <c r="AZ77" s="642">
        <f t="shared" ref="AZ77:AZ85" si="12">J77*(1+AV77)</f>
        <v>1100</v>
      </c>
      <c r="BA77" s="644" t="s">
        <v>3189</v>
      </c>
      <c r="BB77" s="570" t="s">
        <v>2025</v>
      </c>
      <c r="BC77" s="637" t="s">
        <v>2895</v>
      </c>
      <c r="BD77" s="3708"/>
      <c r="BE77" s="3743"/>
      <c r="BF77" s="3743"/>
      <c r="BG77" s="3708"/>
      <c r="BH77" s="3762"/>
      <c r="BI77" s="3762"/>
      <c r="BJ77" s="39"/>
      <c r="BK77" s="39"/>
      <c r="BL77" s="39"/>
      <c r="BM77" s="39"/>
      <c r="BN77" s="39"/>
      <c r="BO77" s="39"/>
      <c r="BP77" s="39"/>
      <c r="BQ77" s="39"/>
      <c r="BR77" s="39"/>
      <c r="BS77" s="507"/>
      <c r="BT77" s="507"/>
      <c r="BU77" s="507"/>
      <c r="BV77" s="507"/>
      <c r="BW77" s="507"/>
      <c r="BX77" s="507"/>
      <c r="BY77" s="507"/>
      <c r="BZ77" s="507"/>
      <c r="CA77" s="507"/>
      <c r="CB77" s="507"/>
      <c r="CC77" s="507"/>
      <c r="CD77" s="507"/>
      <c r="CE77" s="507"/>
      <c r="CF77" s="507"/>
      <c r="CG77" s="507"/>
      <c r="CH77" s="507"/>
      <c r="CI77" s="507"/>
      <c r="CJ77" s="507"/>
      <c r="CK77" s="507"/>
      <c r="CL77" s="507"/>
      <c r="CM77" s="507"/>
      <c r="CN77" s="507"/>
      <c r="CO77" s="507"/>
      <c r="CP77" s="507"/>
      <c r="CQ77" s="507"/>
      <c r="CR77" s="507"/>
      <c r="CS77" s="507"/>
      <c r="CT77" s="507"/>
      <c r="CU77" s="507"/>
      <c r="CV77" s="507"/>
      <c r="CW77" s="507"/>
      <c r="CX77" s="507"/>
      <c r="CY77" s="507"/>
      <c r="CZ77" s="507"/>
      <c r="DA77" s="507"/>
      <c r="DB77" s="507"/>
      <c r="DC77" s="507"/>
      <c r="DD77" s="507"/>
      <c r="DE77" s="507"/>
      <c r="DF77" s="507"/>
      <c r="DG77" s="507"/>
      <c r="DH77" s="507"/>
      <c r="DI77" s="507"/>
      <c r="DJ77" s="507"/>
      <c r="DK77" s="507"/>
      <c r="DL77" s="507"/>
      <c r="DM77" s="507"/>
      <c r="DN77" s="507"/>
      <c r="DO77" s="507"/>
      <c r="DP77" s="507"/>
      <c r="DQ77" s="507"/>
      <c r="DR77" s="507"/>
      <c r="DS77" s="507"/>
      <c r="DT77" s="507"/>
      <c r="DU77" s="507"/>
      <c r="DV77" s="507"/>
      <c r="DW77" s="507"/>
      <c r="DX77" s="507"/>
      <c r="DY77" s="507"/>
      <c r="DZ77" s="507"/>
      <c r="EA77" s="507"/>
      <c r="EB77" s="507"/>
      <c r="EC77" s="507"/>
      <c r="ED77" s="507"/>
      <c r="EE77" s="507"/>
      <c r="EF77" s="507"/>
      <c r="EG77" s="507"/>
      <c r="EH77" s="507"/>
      <c r="EI77" s="507"/>
      <c r="EJ77" s="507"/>
      <c r="EK77" s="507"/>
      <c r="EL77" s="507"/>
      <c r="EM77" s="507"/>
      <c r="EN77" s="507"/>
      <c r="EO77" s="507"/>
      <c r="EP77" s="507"/>
      <c r="EQ77" s="507"/>
      <c r="ER77" s="507"/>
      <c r="ES77" s="507"/>
      <c r="ET77" s="507"/>
      <c r="EU77" s="507"/>
      <c r="EV77" s="507"/>
      <c r="EW77" s="507"/>
      <c r="EX77" s="507"/>
      <c r="EY77" s="507"/>
      <c r="EZ77" s="507"/>
      <c r="FA77" s="507"/>
      <c r="FB77" s="507"/>
      <c r="FC77" s="507"/>
      <c r="FD77" s="507"/>
      <c r="FE77" s="507"/>
      <c r="FF77" s="507"/>
      <c r="FG77" s="507"/>
      <c r="FH77" s="507"/>
      <c r="FI77" s="507"/>
      <c r="FJ77" s="507"/>
      <c r="FK77" s="507"/>
      <c r="FL77" s="507"/>
      <c r="FM77" s="507"/>
      <c r="FN77" s="507"/>
      <c r="FO77" s="507"/>
      <c r="FP77" s="507"/>
      <c r="FQ77" s="507"/>
      <c r="FR77" s="507"/>
      <c r="FS77" s="507"/>
      <c r="FT77" s="507"/>
      <c r="FU77" s="507"/>
      <c r="FV77" s="507"/>
      <c r="FW77" s="507"/>
      <c r="FX77" s="507"/>
      <c r="FY77" s="507"/>
      <c r="FZ77" s="507"/>
      <c r="GA77" s="507"/>
      <c r="GB77" s="507"/>
      <c r="GC77" s="507"/>
      <c r="GD77" s="507"/>
      <c r="GE77" s="507"/>
      <c r="GF77" s="507"/>
      <c r="GG77" s="507"/>
      <c r="GH77" s="507"/>
      <c r="GI77" s="507"/>
      <c r="GJ77" s="507"/>
      <c r="GK77" s="507"/>
      <c r="GL77" s="507"/>
      <c r="GM77" s="507"/>
      <c r="GN77" s="507"/>
      <c r="GO77" s="507"/>
      <c r="GP77" s="507"/>
      <c r="GQ77" s="507"/>
      <c r="GR77" s="507"/>
      <c r="GS77" s="507"/>
      <c r="GT77" s="507"/>
      <c r="GU77" s="507"/>
      <c r="GV77" s="507"/>
      <c r="GW77" s="507"/>
      <c r="GX77" s="507"/>
      <c r="GY77" s="507"/>
      <c r="GZ77" s="507"/>
      <c r="HA77" s="507"/>
      <c r="HB77" s="507"/>
      <c r="HC77" s="507"/>
      <c r="HD77" s="507"/>
      <c r="HE77" s="507"/>
      <c r="HF77" s="507"/>
      <c r="HG77" s="507"/>
      <c r="HH77" s="507"/>
      <c r="HI77" s="507"/>
      <c r="HJ77" s="507"/>
      <c r="HK77" s="507"/>
      <c r="HL77" s="507"/>
      <c r="HM77" s="507"/>
      <c r="HN77" s="507"/>
      <c r="HO77" s="507"/>
      <c r="HP77" s="507"/>
      <c r="HQ77" s="507"/>
      <c r="HR77" s="507"/>
      <c r="HS77" s="507"/>
      <c r="HT77" s="507"/>
      <c r="HU77" s="507"/>
      <c r="HV77" s="507"/>
      <c r="HW77" s="507"/>
      <c r="HX77" s="507"/>
      <c r="HY77" s="507"/>
      <c r="HZ77" s="507"/>
    </row>
    <row r="78" spans="1:234" s="206" customFormat="1" ht="15.9" hidden="1" customHeight="1" x14ac:dyDescent="0.25">
      <c r="A78" s="522" t="s">
        <v>1305</v>
      </c>
      <c r="B78" s="523" t="s">
        <v>153</v>
      </c>
      <c r="C78" s="528" t="s">
        <v>4304</v>
      </c>
      <c r="D78" s="570" t="s">
        <v>826</v>
      </c>
      <c r="E78" s="569" t="s">
        <v>3228</v>
      </c>
      <c r="F78" s="543">
        <v>38772</v>
      </c>
      <c r="G78" s="544">
        <v>38719</v>
      </c>
      <c r="H78" s="562">
        <v>38765</v>
      </c>
      <c r="I78" s="546">
        <v>40268</v>
      </c>
      <c r="J78" s="547">
        <v>10</v>
      </c>
      <c r="K78" s="553" t="s">
        <v>3229</v>
      </c>
      <c r="L78" s="552" t="s">
        <v>3229</v>
      </c>
      <c r="M78" s="550">
        <v>0</v>
      </c>
      <c r="N78" s="560">
        <v>0.65</v>
      </c>
      <c r="O78" s="552" t="s">
        <v>3229</v>
      </c>
      <c r="P78" s="552" t="s">
        <v>3229</v>
      </c>
      <c r="Q78" s="552" t="s">
        <v>3229</v>
      </c>
      <c r="R78" s="552" t="s">
        <v>3229</v>
      </c>
      <c r="S78" s="567"/>
      <c r="T78" s="555" t="s">
        <v>3229</v>
      </c>
      <c r="U78" s="555" t="s">
        <v>3229</v>
      </c>
      <c r="V78" s="555" t="s">
        <v>3229</v>
      </c>
      <c r="W78" s="555" t="s">
        <v>3229</v>
      </c>
      <c r="X78" s="555" t="s">
        <v>3229</v>
      </c>
      <c r="Y78" s="555" t="s">
        <v>3229</v>
      </c>
      <c r="Z78" s="555" t="s">
        <v>3229</v>
      </c>
      <c r="AA78" s="555" t="s">
        <v>3229</v>
      </c>
      <c r="AB78" s="555" t="s">
        <v>3229</v>
      </c>
      <c r="AC78" s="555" t="s">
        <v>3229</v>
      </c>
      <c r="AD78" s="555" t="s">
        <v>3229</v>
      </c>
      <c r="AE78" s="556" t="s">
        <v>3229</v>
      </c>
      <c r="AF78" s="3764" t="s">
        <v>781</v>
      </c>
      <c r="AG78" s="3765"/>
      <c r="AH78" s="622" t="s">
        <v>3229</v>
      </c>
      <c r="AI78" s="622" t="s">
        <v>3229</v>
      </c>
      <c r="AJ78" s="622" t="s">
        <v>3229</v>
      </c>
      <c r="AK78" s="566" t="s">
        <v>3229</v>
      </c>
      <c r="AL78" s="622" t="s">
        <v>3229</v>
      </c>
      <c r="AM78" s="590">
        <v>1</v>
      </c>
      <c r="AN78" s="576">
        <v>0</v>
      </c>
      <c r="AO78" s="661">
        <v>10</v>
      </c>
      <c r="AP78" s="1368">
        <v>-0.24837716666666668</v>
      </c>
      <c r="AQ78" s="658">
        <v>7.8280708728673543E-2</v>
      </c>
      <c r="AR78" s="558">
        <f>AN78</f>
        <v>0</v>
      </c>
      <c r="AS78" s="558">
        <f t="shared" si="11"/>
        <v>0</v>
      </c>
      <c r="AT78" s="653"/>
      <c r="AU78" s="654"/>
      <c r="AV78" s="558">
        <f>M78</f>
        <v>0</v>
      </c>
      <c r="AW78" s="558">
        <f>POWER(1+AV78,1/((I78-F78)/365))-1</f>
        <v>0</v>
      </c>
      <c r="AX78" s="558"/>
      <c r="AY78" s="559"/>
      <c r="AZ78" s="642">
        <f t="shared" si="12"/>
        <v>10</v>
      </c>
      <c r="BA78" s="644" t="s">
        <v>3190</v>
      </c>
      <c r="BB78" s="570"/>
      <c r="BC78" s="637"/>
      <c r="BD78" s="3708"/>
      <c r="BE78" s="3743"/>
      <c r="BF78" s="3743"/>
      <c r="BG78" s="3708"/>
      <c r="BH78" s="3762"/>
      <c r="BI78" s="3762"/>
      <c r="BJ78" s="39"/>
      <c r="BK78" s="39"/>
      <c r="BL78" s="39"/>
      <c r="BM78" s="39"/>
      <c r="BN78" s="39"/>
      <c r="BO78" s="39"/>
      <c r="BP78" s="39"/>
      <c r="BQ78" s="39"/>
      <c r="BR78" s="39"/>
      <c r="BS78" s="507"/>
      <c r="BT78" s="507"/>
      <c r="BU78" s="507"/>
      <c r="BV78" s="507"/>
      <c r="BW78" s="507"/>
      <c r="BX78" s="507"/>
      <c r="BY78" s="507"/>
      <c r="BZ78" s="507"/>
      <c r="CA78" s="507"/>
      <c r="CB78" s="507"/>
      <c r="CC78" s="507"/>
      <c r="CD78" s="507"/>
      <c r="CE78" s="507"/>
      <c r="CF78" s="507"/>
      <c r="CG78" s="507"/>
      <c r="CH78" s="507"/>
      <c r="CI78" s="507"/>
      <c r="CJ78" s="507"/>
      <c r="CK78" s="507"/>
      <c r="CL78" s="507"/>
      <c r="CM78" s="507"/>
      <c r="CN78" s="507"/>
      <c r="CO78" s="507"/>
      <c r="CP78" s="507"/>
      <c r="CQ78" s="507"/>
      <c r="CR78" s="507"/>
      <c r="CS78" s="507"/>
      <c r="CT78" s="507"/>
      <c r="CU78" s="507"/>
      <c r="CV78" s="507"/>
      <c r="CW78" s="507"/>
      <c r="CX78" s="507"/>
      <c r="CY78" s="507"/>
      <c r="CZ78" s="507"/>
      <c r="DA78" s="507"/>
      <c r="DB78" s="507"/>
      <c r="DC78" s="507"/>
      <c r="DD78" s="507"/>
      <c r="DE78" s="507"/>
      <c r="DF78" s="507"/>
      <c r="DG78" s="507"/>
      <c r="DH78" s="507"/>
      <c r="DI78" s="507"/>
      <c r="DJ78" s="507"/>
      <c r="DK78" s="507"/>
      <c r="DL78" s="507"/>
      <c r="DM78" s="507"/>
      <c r="DN78" s="507"/>
      <c r="DO78" s="507"/>
      <c r="DP78" s="507"/>
      <c r="DQ78" s="507"/>
      <c r="DR78" s="507"/>
      <c r="DS78" s="507"/>
      <c r="DT78" s="507"/>
      <c r="DU78" s="507"/>
      <c r="DV78" s="507"/>
      <c r="DW78" s="507"/>
      <c r="DX78" s="507"/>
      <c r="DY78" s="507"/>
      <c r="DZ78" s="507"/>
      <c r="EA78" s="507"/>
      <c r="EB78" s="507"/>
      <c r="EC78" s="507"/>
      <c r="ED78" s="507"/>
      <c r="EE78" s="507"/>
      <c r="EF78" s="507"/>
      <c r="EG78" s="507"/>
      <c r="EH78" s="507"/>
      <c r="EI78" s="507"/>
      <c r="EJ78" s="507"/>
      <c r="EK78" s="507"/>
      <c r="EL78" s="507"/>
      <c r="EM78" s="507"/>
      <c r="EN78" s="507"/>
      <c r="EO78" s="507"/>
      <c r="EP78" s="507"/>
      <c r="EQ78" s="507"/>
      <c r="ER78" s="507"/>
      <c r="ES78" s="507"/>
      <c r="ET78" s="507"/>
      <c r="EU78" s="507"/>
      <c r="EV78" s="507"/>
      <c r="EW78" s="507"/>
      <c r="EX78" s="507"/>
      <c r="EY78" s="507"/>
      <c r="EZ78" s="507"/>
      <c r="FA78" s="507"/>
      <c r="FB78" s="507"/>
      <c r="FC78" s="507"/>
      <c r="FD78" s="507"/>
      <c r="FE78" s="507"/>
      <c r="FF78" s="507"/>
      <c r="FG78" s="507"/>
      <c r="FH78" s="507"/>
      <c r="FI78" s="507"/>
      <c r="FJ78" s="507"/>
      <c r="FK78" s="507"/>
      <c r="FL78" s="507"/>
      <c r="FM78" s="507"/>
      <c r="FN78" s="507"/>
      <c r="FO78" s="507"/>
      <c r="FP78" s="507"/>
      <c r="FQ78" s="507"/>
      <c r="FR78" s="507"/>
      <c r="FS78" s="507"/>
      <c r="FT78" s="507"/>
      <c r="FU78" s="507"/>
      <c r="FV78" s="507"/>
      <c r="FW78" s="507"/>
      <c r="FX78" s="507"/>
      <c r="FY78" s="507"/>
      <c r="FZ78" s="507"/>
      <c r="GA78" s="507"/>
      <c r="GB78" s="507"/>
      <c r="GC78" s="507"/>
      <c r="GD78" s="507"/>
      <c r="GE78" s="507"/>
      <c r="GF78" s="507"/>
      <c r="GG78" s="507"/>
      <c r="GH78" s="507"/>
      <c r="GI78" s="507"/>
      <c r="GJ78" s="507"/>
      <c r="GK78" s="507"/>
      <c r="GL78" s="507"/>
      <c r="GM78" s="507"/>
      <c r="GN78" s="507"/>
      <c r="GO78" s="507"/>
      <c r="GP78" s="507"/>
      <c r="GQ78" s="507"/>
      <c r="GR78" s="507"/>
      <c r="GS78" s="507"/>
      <c r="GT78" s="507"/>
      <c r="GU78" s="507"/>
      <c r="GV78" s="507"/>
      <c r="GW78" s="507"/>
      <c r="GX78" s="507"/>
      <c r="GY78" s="507"/>
      <c r="GZ78" s="507"/>
      <c r="HA78" s="507"/>
      <c r="HB78" s="507"/>
      <c r="HC78" s="507"/>
      <c r="HD78" s="507"/>
      <c r="HE78" s="507"/>
      <c r="HF78" s="507"/>
      <c r="HG78" s="507"/>
      <c r="HH78" s="507"/>
      <c r="HI78" s="507"/>
      <c r="HJ78" s="507"/>
      <c r="HK78" s="507"/>
      <c r="HL78" s="507"/>
      <c r="HM78" s="507"/>
      <c r="HN78" s="507"/>
      <c r="HO78" s="507"/>
      <c r="HP78" s="507"/>
      <c r="HQ78" s="507"/>
      <c r="HR78" s="507"/>
      <c r="HS78" s="507"/>
      <c r="HT78" s="507"/>
      <c r="HU78" s="507"/>
      <c r="HV78" s="507"/>
      <c r="HW78" s="507"/>
      <c r="HX78" s="507"/>
      <c r="HY78" s="507"/>
      <c r="HZ78" s="507"/>
    </row>
    <row r="79" spans="1:234" s="206" customFormat="1" ht="15.9" hidden="1" customHeight="1" x14ac:dyDescent="0.25">
      <c r="A79" s="522" t="s">
        <v>1304</v>
      </c>
      <c r="B79" s="523" t="s">
        <v>154</v>
      </c>
      <c r="C79" s="528" t="s">
        <v>4305</v>
      </c>
      <c r="D79" s="570" t="s">
        <v>189</v>
      </c>
      <c r="E79" s="569" t="s">
        <v>3228</v>
      </c>
      <c r="F79" s="543">
        <v>38772</v>
      </c>
      <c r="G79" s="544">
        <v>38719</v>
      </c>
      <c r="H79" s="562">
        <v>38765</v>
      </c>
      <c r="I79" s="546">
        <v>40633</v>
      </c>
      <c r="J79" s="547">
        <v>10</v>
      </c>
      <c r="K79" s="553" t="s">
        <v>3229</v>
      </c>
      <c r="L79" s="552" t="s">
        <v>3229</v>
      </c>
      <c r="M79" s="550">
        <v>0</v>
      </c>
      <c r="N79" s="560">
        <v>0.62</v>
      </c>
      <c r="O79" s="552" t="s">
        <v>3229</v>
      </c>
      <c r="P79" s="552" t="s">
        <v>3229</v>
      </c>
      <c r="Q79" s="552" t="s">
        <v>3229</v>
      </c>
      <c r="R79" s="552" t="s">
        <v>3229</v>
      </c>
      <c r="S79" s="567"/>
      <c r="T79" s="555" t="s">
        <v>3229</v>
      </c>
      <c r="U79" s="555" t="s">
        <v>3229</v>
      </c>
      <c r="V79" s="555" t="s">
        <v>3229</v>
      </c>
      <c r="W79" s="555" t="s">
        <v>3229</v>
      </c>
      <c r="X79" s="555" t="s">
        <v>3229</v>
      </c>
      <c r="Y79" s="555" t="s">
        <v>3229</v>
      </c>
      <c r="Z79" s="555" t="s">
        <v>3229</v>
      </c>
      <c r="AA79" s="555" t="s">
        <v>3229</v>
      </c>
      <c r="AB79" s="555" t="s">
        <v>3229</v>
      </c>
      <c r="AC79" s="555" t="s">
        <v>3229</v>
      </c>
      <c r="AD79" s="555" t="s">
        <v>3229</v>
      </c>
      <c r="AE79" s="556" t="s">
        <v>3229</v>
      </c>
      <c r="AF79" s="3764" t="s">
        <v>781</v>
      </c>
      <c r="AG79" s="3765"/>
      <c r="AH79" s="622" t="s">
        <v>3229</v>
      </c>
      <c r="AI79" s="622" t="s">
        <v>3229</v>
      </c>
      <c r="AJ79" s="622" t="s">
        <v>3229</v>
      </c>
      <c r="AK79" s="566" t="s">
        <v>3229</v>
      </c>
      <c r="AL79" s="622" t="s">
        <v>3229</v>
      </c>
      <c r="AM79" s="590">
        <v>1</v>
      </c>
      <c r="AN79" s="576">
        <v>0.10882374333333332</v>
      </c>
      <c r="AO79" s="661">
        <v>11.11</v>
      </c>
      <c r="AP79" s="1368">
        <v>0.17552216666666665</v>
      </c>
      <c r="AQ79" s="658">
        <v>0.4693697708043123</v>
      </c>
      <c r="AR79" s="632">
        <f>AO79/10-1</f>
        <v>0.11099999999999999</v>
      </c>
      <c r="AS79" s="558">
        <f t="shared" si="11"/>
        <v>2.0859440289707765E-2</v>
      </c>
      <c r="AT79" s="653"/>
      <c r="AU79" s="654"/>
      <c r="AV79" s="558">
        <v>0.1140000000000001</v>
      </c>
      <c r="AW79" s="558">
        <v>2.1399508720280735E-2</v>
      </c>
      <c r="AX79" s="558"/>
      <c r="AY79" s="559"/>
      <c r="AZ79" s="642">
        <f t="shared" si="12"/>
        <v>11.14</v>
      </c>
      <c r="BA79" s="644" t="s">
        <v>3190</v>
      </c>
      <c r="BB79" s="570"/>
      <c r="BC79" s="637"/>
      <c r="BD79" s="3708"/>
      <c r="BE79" s="3743"/>
      <c r="BF79" s="3743"/>
      <c r="BG79" s="3708"/>
      <c r="BH79" s="3762"/>
      <c r="BI79" s="3762"/>
      <c r="BJ79" s="39"/>
      <c r="BK79" s="39"/>
      <c r="BL79" s="39"/>
      <c r="BM79" s="39"/>
      <c r="BN79" s="39"/>
      <c r="BO79" s="39"/>
      <c r="BP79" s="39"/>
      <c r="BQ79" s="39"/>
      <c r="BR79" s="39"/>
      <c r="BS79" s="507"/>
      <c r="BT79" s="507"/>
      <c r="BU79" s="507"/>
      <c r="BV79" s="507"/>
      <c r="BW79" s="507"/>
      <c r="BX79" s="507"/>
      <c r="BY79" s="507"/>
      <c r="BZ79" s="507"/>
      <c r="CA79" s="507"/>
      <c r="CB79" s="507"/>
      <c r="CC79" s="507"/>
      <c r="CD79" s="507"/>
      <c r="CE79" s="507"/>
      <c r="CF79" s="507"/>
      <c r="CG79" s="507"/>
      <c r="CH79" s="507"/>
      <c r="CI79" s="507"/>
      <c r="CJ79" s="507"/>
      <c r="CK79" s="507"/>
      <c r="CL79" s="507"/>
      <c r="CM79" s="507"/>
      <c r="CN79" s="507"/>
      <c r="CO79" s="507"/>
      <c r="CP79" s="507"/>
      <c r="CQ79" s="507"/>
      <c r="CR79" s="507"/>
      <c r="CS79" s="507"/>
      <c r="CT79" s="507"/>
      <c r="CU79" s="507"/>
      <c r="CV79" s="507"/>
      <c r="CW79" s="507"/>
      <c r="CX79" s="507"/>
      <c r="CY79" s="507"/>
      <c r="CZ79" s="507"/>
      <c r="DA79" s="507"/>
      <c r="DB79" s="507"/>
      <c r="DC79" s="507"/>
      <c r="DD79" s="507"/>
      <c r="DE79" s="507"/>
      <c r="DF79" s="507"/>
      <c r="DG79" s="507"/>
      <c r="DH79" s="507"/>
      <c r="DI79" s="507"/>
      <c r="DJ79" s="507"/>
      <c r="DK79" s="507"/>
      <c r="DL79" s="507"/>
      <c r="DM79" s="507"/>
      <c r="DN79" s="507"/>
      <c r="DO79" s="507"/>
      <c r="DP79" s="507"/>
      <c r="DQ79" s="507"/>
      <c r="DR79" s="507"/>
      <c r="DS79" s="507"/>
      <c r="DT79" s="507"/>
      <c r="DU79" s="507"/>
      <c r="DV79" s="507"/>
      <c r="DW79" s="507"/>
      <c r="DX79" s="507"/>
      <c r="DY79" s="507"/>
      <c r="DZ79" s="507"/>
      <c r="EA79" s="507"/>
      <c r="EB79" s="507"/>
      <c r="EC79" s="507"/>
      <c r="ED79" s="507"/>
      <c r="EE79" s="507"/>
      <c r="EF79" s="507"/>
      <c r="EG79" s="507"/>
      <c r="EH79" s="507"/>
      <c r="EI79" s="507"/>
      <c r="EJ79" s="507"/>
      <c r="EK79" s="507"/>
      <c r="EL79" s="507"/>
      <c r="EM79" s="507"/>
      <c r="EN79" s="507"/>
      <c r="EO79" s="507"/>
      <c r="EP79" s="507"/>
      <c r="EQ79" s="507"/>
      <c r="ER79" s="507"/>
      <c r="ES79" s="507"/>
      <c r="ET79" s="507"/>
      <c r="EU79" s="507"/>
      <c r="EV79" s="507"/>
      <c r="EW79" s="507"/>
      <c r="EX79" s="507"/>
      <c r="EY79" s="507"/>
      <c r="EZ79" s="507"/>
      <c r="FA79" s="507"/>
      <c r="FB79" s="507"/>
      <c r="FC79" s="507"/>
      <c r="FD79" s="507"/>
      <c r="FE79" s="507"/>
      <c r="FF79" s="507"/>
      <c r="FG79" s="507"/>
      <c r="FH79" s="507"/>
      <c r="FI79" s="507"/>
      <c r="FJ79" s="507"/>
      <c r="FK79" s="507"/>
      <c r="FL79" s="507"/>
      <c r="FM79" s="507"/>
      <c r="FN79" s="507"/>
      <c r="FO79" s="507"/>
      <c r="FP79" s="507"/>
      <c r="FQ79" s="507"/>
      <c r="FR79" s="507"/>
      <c r="FS79" s="507"/>
      <c r="FT79" s="507"/>
      <c r="FU79" s="507"/>
      <c r="FV79" s="507"/>
      <c r="FW79" s="507"/>
      <c r="FX79" s="507"/>
      <c r="FY79" s="507"/>
      <c r="FZ79" s="507"/>
      <c r="GA79" s="507"/>
      <c r="GB79" s="507"/>
      <c r="GC79" s="507"/>
      <c r="GD79" s="507"/>
      <c r="GE79" s="507"/>
      <c r="GF79" s="507"/>
      <c r="GG79" s="507"/>
      <c r="GH79" s="507"/>
      <c r="GI79" s="507"/>
      <c r="GJ79" s="507"/>
      <c r="GK79" s="507"/>
      <c r="GL79" s="507"/>
      <c r="GM79" s="507"/>
      <c r="GN79" s="507"/>
      <c r="GO79" s="507"/>
      <c r="GP79" s="507"/>
      <c r="GQ79" s="507"/>
      <c r="GR79" s="507"/>
      <c r="GS79" s="507"/>
      <c r="GT79" s="507"/>
      <c r="GU79" s="507"/>
      <c r="GV79" s="507"/>
      <c r="GW79" s="507"/>
      <c r="GX79" s="507"/>
      <c r="GY79" s="507"/>
      <c r="GZ79" s="507"/>
      <c r="HA79" s="507"/>
      <c r="HB79" s="507"/>
      <c r="HC79" s="507"/>
      <c r="HD79" s="507"/>
      <c r="HE79" s="507"/>
      <c r="HF79" s="507"/>
      <c r="HG79" s="507"/>
      <c r="HH79" s="507"/>
      <c r="HI79" s="507"/>
      <c r="HJ79" s="507"/>
      <c r="HK79" s="507"/>
      <c r="HL79" s="507"/>
      <c r="HM79" s="507"/>
      <c r="HN79" s="507"/>
      <c r="HO79" s="507"/>
      <c r="HP79" s="507"/>
      <c r="HQ79" s="507"/>
      <c r="HR79" s="507"/>
      <c r="HS79" s="507"/>
      <c r="HT79" s="507"/>
      <c r="HU79" s="507"/>
      <c r="HV79" s="507"/>
      <c r="HW79" s="507"/>
      <c r="HX79" s="507"/>
      <c r="HY79" s="507"/>
      <c r="HZ79" s="507"/>
    </row>
    <row r="80" spans="1:234" s="206" customFormat="1" ht="15.9" hidden="1" customHeight="1" x14ac:dyDescent="0.25">
      <c r="A80" s="522" t="s">
        <v>3857</v>
      </c>
      <c r="B80" s="523" t="s">
        <v>155</v>
      </c>
      <c r="C80" s="528" t="s">
        <v>4306</v>
      </c>
      <c r="D80" s="570" t="s">
        <v>4384</v>
      </c>
      <c r="E80" s="569" t="s">
        <v>3228</v>
      </c>
      <c r="F80" s="543">
        <v>38755</v>
      </c>
      <c r="G80" s="544">
        <v>38719</v>
      </c>
      <c r="H80" s="562">
        <v>38748</v>
      </c>
      <c r="I80" s="546">
        <v>40694</v>
      </c>
      <c r="J80" s="547">
        <v>10</v>
      </c>
      <c r="K80" s="553">
        <v>-0.03</v>
      </c>
      <c r="L80" s="552">
        <v>5.6000000000000001E-2</v>
      </c>
      <c r="M80" s="550">
        <v>0.08</v>
      </c>
      <c r="N80" s="560" t="s">
        <v>3229</v>
      </c>
      <c r="O80" s="552" t="s">
        <v>3229</v>
      </c>
      <c r="P80" s="552" t="s">
        <v>3229</v>
      </c>
      <c r="Q80" s="552" t="s">
        <v>3229</v>
      </c>
      <c r="R80" s="552" t="s">
        <v>3229</v>
      </c>
      <c r="S80" s="567">
        <v>5</v>
      </c>
      <c r="T80" s="555">
        <v>39114</v>
      </c>
      <c r="U80" s="555">
        <v>39479</v>
      </c>
      <c r="V80" s="555">
        <v>39845</v>
      </c>
      <c r="W80" s="555">
        <v>40210</v>
      </c>
      <c r="X80" s="555">
        <v>40664</v>
      </c>
      <c r="Y80" s="555" t="s">
        <v>3229</v>
      </c>
      <c r="Z80" s="555" t="s">
        <v>3229</v>
      </c>
      <c r="AA80" s="555" t="s">
        <v>3229</v>
      </c>
      <c r="AB80" s="555" t="s">
        <v>3229</v>
      </c>
      <c r="AC80" s="555" t="s">
        <v>3229</v>
      </c>
      <c r="AD80" s="555" t="s">
        <v>3229</v>
      </c>
      <c r="AE80" s="556" t="s">
        <v>3229</v>
      </c>
      <c r="AF80" s="3764" t="s">
        <v>781</v>
      </c>
      <c r="AG80" s="3765"/>
      <c r="AH80" s="622">
        <v>0.5</v>
      </c>
      <c r="AI80" s="622">
        <v>0.3</v>
      </c>
      <c r="AJ80" s="622">
        <v>0.2</v>
      </c>
      <c r="AK80" s="566" t="s">
        <v>3229</v>
      </c>
      <c r="AL80" s="622" t="s">
        <v>3229</v>
      </c>
      <c r="AM80" s="590" t="s">
        <v>3229</v>
      </c>
      <c r="AN80" s="576">
        <v>0.10800000000000001</v>
      </c>
      <c r="AO80" s="661">
        <v>11.1</v>
      </c>
      <c r="AP80" s="1368" t="s">
        <v>3229</v>
      </c>
      <c r="AQ80" s="658" t="s">
        <v>3229</v>
      </c>
      <c r="AR80" s="632" t="e">
        <f>MAX(8%,AF80*L80+SUM('klikací hodnoty'!F1721:F1735))</f>
        <v>#VALUE!</v>
      </c>
      <c r="AS80" s="558" t="e">
        <f t="shared" si="11"/>
        <v>#VALUE!</v>
      </c>
      <c r="AT80" s="653" t="e">
        <f>J80*(1+AR80)/AO80-1</f>
        <v>#VALUE!</v>
      </c>
      <c r="AU80" s="654" t="e">
        <f>POWER(1+AT80,1/AG80)-1</f>
        <v>#VALUE!</v>
      </c>
      <c r="AV80" s="558" t="e">
        <f>MAX(M80,AN80+AF80*K80)</f>
        <v>#VALUE!</v>
      </c>
      <c r="AW80" s="558" t="e">
        <f t="shared" ref="AW80:AW92" si="13">POWER(1+AV80,1/((I80-F80)/365))-1</f>
        <v>#VALUE!</v>
      </c>
      <c r="AX80" s="558" t="e">
        <f>J80*(1+AV80)/AO80-1</f>
        <v>#VALUE!</v>
      </c>
      <c r="AY80" s="559" t="e">
        <f>POWER(1+AX80,1/AG80)-1</f>
        <v>#VALUE!</v>
      </c>
      <c r="AZ80" s="642" t="e">
        <f t="shared" si="12"/>
        <v>#VALUE!</v>
      </c>
      <c r="BA80" s="644" t="s">
        <v>3189</v>
      </c>
      <c r="BB80" s="570" t="s">
        <v>2025</v>
      </c>
      <c r="BC80" s="637" t="s">
        <v>2895</v>
      </c>
      <c r="BD80" s="3708"/>
      <c r="BE80" s="3743"/>
      <c r="BF80" s="3743"/>
      <c r="BG80" s="3708"/>
      <c r="BH80" s="3762"/>
      <c r="BI80" s="3762"/>
      <c r="BJ80" s="39"/>
      <c r="BK80" s="39"/>
      <c r="BL80" s="39"/>
      <c r="BM80" s="39"/>
      <c r="BN80" s="39"/>
      <c r="BO80" s="39"/>
      <c r="BP80" s="39"/>
      <c r="BQ80" s="39"/>
      <c r="BR80" s="39"/>
      <c r="BS80" s="507"/>
      <c r="BT80" s="507"/>
      <c r="BU80" s="507"/>
      <c r="BV80" s="507"/>
      <c r="BW80" s="507"/>
      <c r="BX80" s="507"/>
      <c r="BY80" s="507"/>
      <c r="BZ80" s="507"/>
      <c r="CA80" s="507"/>
      <c r="CB80" s="507"/>
      <c r="CC80" s="507"/>
      <c r="CD80" s="507"/>
      <c r="CE80" s="507"/>
      <c r="CF80" s="507"/>
      <c r="CG80" s="507"/>
      <c r="CH80" s="507"/>
      <c r="CI80" s="507"/>
      <c r="CJ80" s="507"/>
      <c r="CK80" s="507"/>
      <c r="CL80" s="507"/>
      <c r="CM80" s="507"/>
      <c r="CN80" s="507"/>
      <c r="CO80" s="507"/>
      <c r="CP80" s="507"/>
      <c r="CQ80" s="507"/>
      <c r="CR80" s="507"/>
      <c r="CS80" s="507"/>
      <c r="CT80" s="507"/>
      <c r="CU80" s="507"/>
      <c r="CV80" s="507"/>
      <c r="CW80" s="507"/>
      <c r="CX80" s="507"/>
      <c r="CY80" s="507"/>
      <c r="CZ80" s="507"/>
      <c r="DA80" s="507"/>
      <c r="DB80" s="507"/>
      <c r="DC80" s="507"/>
      <c r="DD80" s="507"/>
      <c r="DE80" s="507"/>
      <c r="DF80" s="507"/>
      <c r="DG80" s="507"/>
      <c r="DH80" s="507"/>
      <c r="DI80" s="507"/>
      <c r="DJ80" s="507"/>
      <c r="DK80" s="507"/>
      <c r="DL80" s="507"/>
      <c r="DM80" s="507"/>
      <c r="DN80" s="507"/>
      <c r="DO80" s="507"/>
      <c r="DP80" s="507"/>
      <c r="DQ80" s="507"/>
      <c r="DR80" s="507"/>
      <c r="DS80" s="507"/>
      <c r="DT80" s="507"/>
      <c r="DU80" s="507"/>
      <c r="DV80" s="507"/>
      <c r="DW80" s="507"/>
      <c r="DX80" s="507"/>
      <c r="DY80" s="507"/>
      <c r="DZ80" s="507"/>
      <c r="EA80" s="507"/>
      <c r="EB80" s="507"/>
      <c r="EC80" s="507"/>
      <c r="ED80" s="507"/>
      <c r="EE80" s="507"/>
      <c r="EF80" s="507"/>
      <c r="EG80" s="507"/>
      <c r="EH80" s="507"/>
      <c r="EI80" s="507"/>
      <c r="EJ80" s="507"/>
      <c r="EK80" s="507"/>
      <c r="EL80" s="507"/>
      <c r="EM80" s="507"/>
      <c r="EN80" s="507"/>
      <c r="EO80" s="507"/>
      <c r="EP80" s="507"/>
      <c r="EQ80" s="507"/>
      <c r="ER80" s="507"/>
      <c r="ES80" s="507"/>
      <c r="ET80" s="507"/>
      <c r="EU80" s="507"/>
      <c r="EV80" s="507"/>
      <c r="EW80" s="507"/>
      <c r="EX80" s="507"/>
      <c r="EY80" s="507"/>
      <c r="EZ80" s="507"/>
      <c r="FA80" s="507"/>
      <c r="FB80" s="507"/>
      <c r="FC80" s="507"/>
      <c r="FD80" s="507"/>
      <c r="FE80" s="507"/>
      <c r="FF80" s="507"/>
      <c r="FG80" s="507"/>
      <c r="FH80" s="507"/>
      <c r="FI80" s="507"/>
      <c r="FJ80" s="507"/>
      <c r="FK80" s="507"/>
      <c r="FL80" s="507"/>
      <c r="FM80" s="507"/>
      <c r="FN80" s="507"/>
      <c r="FO80" s="507"/>
      <c r="FP80" s="507"/>
      <c r="FQ80" s="507"/>
      <c r="FR80" s="507"/>
      <c r="FS80" s="507"/>
      <c r="FT80" s="507"/>
      <c r="FU80" s="507"/>
      <c r="FV80" s="507"/>
      <c r="FW80" s="507"/>
      <c r="FX80" s="507"/>
      <c r="FY80" s="507"/>
      <c r="FZ80" s="507"/>
      <c r="GA80" s="507"/>
      <c r="GB80" s="507"/>
      <c r="GC80" s="507"/>
      <c r="GD80" s="507"/>
      <c r="GE80" s="507"/>
      <c r="GF80" s="507"/>
      <c r="GG80" s="507"/>
      <c r="GH80" s="507"/>
      <c r="GI80" s="507"/>
      <c r="GJ80" s="507"/>
      <c r="GK80" s="507"/>
      <c r="GL80" s="507"/>
      <c r="GM80" s="507"/>
      <c r="GN80" s="507"/>
      <c r="GO80" s="507"/>
      <c r="GP80" s="507"/>
      <c r="GQ80" s="507"/>
      <c r="GR80" s="507"/>
      <c r="GS80" s="507"/>
      <c r="GT80" s="507"/>
      <c r="GU80" s="507"/>
      <c r="GV80" s="507"/>
      <c r="GW80" s="507"/>
      <c r="GX80" s="507"/>
      <c r="GY80" s="507"/>
      <c r="GZ80" s="507"/>
      <c r="HA80" s="507"/>
      <c r="HB80" s="507"/>
      <c r="HC80" s="507"/>
      <c r="HD80" s="507"/>
      <c r="HE80" s="507"/>
      <c r="HF80" s="507"/>
      <c r="HG80" s="507"/>
      <c r="HH80" s="507"/>
      <c r="HI80" s="507"/>
      <c r="HJ80" s="507"/>
      <c r="HK80" s="507"/>
      <c r="HL80" s="507"/>
      <c r="HM80" s="507"/>
      <c r="HN80" s="507"/>
      <c r="HO80" s="507"/>
      <c r="HP80" s="507"/>
      <c r="HQ80" s="507"/>
      <c r="HR80" s="507"/>
      <c r="HS80" s="507"/>
      <c r="HT80" s="507"/>
      <c r="HU80" s="507"/>
      <c r="HV80" s="507"/>
      <c r="HW80" s="507"/>
      <c r="HX80" s="507"/>
      <c r="HY80" s="507"/>
      <c r="HZ80" s="507"/>
    </row>
    <row r="81" spans="1:234" s="298" customFormat="1" ht="15.9" hidden="1" customHeight="1" x14ac:dyDescent="0.25">
      <c r="A81" s="522" t="s">
        <v>894</v>
      </c>
      <c r="B81" s="523" t="s">
        <v>752</v>
      </c>
      <c r="C81" s="526" t="s">
        <v>4307</v>
      </c>
      <c r="D81" s="570" t="s">
        <v>4384</v>
      </c>
      <c r="E81" s="569" t="s">
        <v>3228</v>
      </c>
      <c r="F81" s="543">
        <v>38793</v>
      </c>
      <c r="G81" s="544">
        <v>38754</v>
      </c>
      <c r="H81" s="562">
        <v>38786</v>
      </c>
      <c r="I81" s="546">
        <v>40847</v>
      </c>
      <c r="J81" s="547">
        <v>10</v>
      </c>
      <c r="K81" s="553" t="s">
        <v>3229</v>
      </c>
      <c r="L81" s="552" t="s">
        <v>3229</v>
      </c>
      <c r="M81" s="550">
        <v>0</v>
      </c>
      <c r="N81" s="560">
        <v>0.5</v>
      </c>
      <c r="O81" s="552" t="s">
        <v>3229</v>
      </c>
      <c r="P81" s="552" t="s">
        <v>3229</v>
      </c>
      <c r="Q81" s="552" t="s">
        <v>3229</v>
      </c>
      <c r="R81" s="552" t="s">
        <v>3229</v>
      </c>
      <c r="S81" s="567"/>
      <c r="T81" s="555" t="s">
        <v>3229</v>
      </c>
      <c r="U81" s="555" t="s">
        <v>3229</v>
      </c>
      <c r="V81" s="555" t="s">
        <v>3229</v>
      </c>
      <c r="W81" s="555" t="s">
        <v>3229</v>
      </c>
      <c r="X81" s="555" t="s">
        <v>3229</v>
      </c>
      <c r="Y81" s="555" t="s">
        <v>3229</v>
      </c>
      <c r="Z81" s="555" t="s">
        <v>3229</v>
      </c>
      <c r="AA81" s="555" t="s">
        <v>3229</v>
      </c>
      <c r="AB81" s="555" t="s">
        <v>3229</v>
      </c>
      <c r="AC81" s="555" t="s">
        <v>3229</v>
      </c>
      <c r="AD81" s="555" t="s">
        <v>3229</v>
      </c>
      <c r="AE81" s="556" t="s">
        <v>3229</v>
      </c>
      <c r="AF81" s="3764" t="s">
        <v>781</v>
      </c>
      <c r="AG81" s="3765"/>
      <c r="AH81" s="622" t="s">
        <v>3229</v>
      </c>
      <c r="AI81" s="622" t="s">
        <v>3229</v>
      </c>
      <c r="AJ81" s="622" t="s">
        <v>3229</v>
      </c>
      <c r="AK81" s="566" t="s">
        <v>3229</v>
      </c>
      <c r="AL81" s="622" t="s">
        <v>3229</v>
      </c>
      <c r="AM81" s="651">
        <v>1</v>
      </c>
      <c r="AN81" s="640">
        <v>1.4526249999999897E-3</v>
      </c>
      <c r="AO81" s="652">
        <v>9.9</v>
      </c>
      <c r="AP81" s="1369">
        <v>2.9052499999999795E-3</v>
      </c>
      <c r="AQ81" s="549">
        <v>-0.11278800854248834</v>
      </c>
      <c r="AR81" s="558" t="s">
        <v>3660</v>
      </c>
      <c r="AS81" s="558"/>
      <c r="AT81" s="589"/>
      <c r="AU81" s="559"/>
      <c r="AV81" s="558">
        <f>M81</f>
        <v>0</v>
      </c>
      <c r="AW81" s="558">
        <f t="shared" si="13"/>
        <v>0</v>
      </c>
      <c r="AX81" s="553">
        <f>J81*(1+AV81)/AO81-1</f>
        <v>1.0101010101010166E-2</v>
      </c>
      <c r="AY81" s="552" t="e">
        <f>POWER(1+AX81,1/AG81)-1</f>
        <v>#DIV/0!</v>
      </c>
      <c r="AZ81" s="642">
        <f t="shared" si="12"/>
        <v>10</v>
      </c>
      <c r="BA81" s="643" t="s">
        <v>3847</v>
      </c>
      <c r="BB81" s="568"/>
      <c r="BC81" s="641"/>
      <c r="BD81" s="3708"/>
      <c r="BE81" s="3743"/>
      <c r="BF81" s="3743"/>
      <c r="BG81" s="3708"/>
      <c r="BH81" s="3762"/>
      <c r="BI81" s="3762"/>
      <c r="BJ81" s="39"/>
      <c r="BK81" s="39"/>
      <c r="BL81" s="39"/>
      <c r="BM81" s="39"/>
      <c r="BN81" s="39"/>
      <c r="BO81" s="39"/>
      <c r="BP81" s="39"/>
      <c r="BQ81" s="39"/>
      <c r="BR81" s="39"/>
      <c r="BS81" s="507"/>
      <c r="BT81" s="507"/>
      <c r="BU81" s="507"/>
      <c r="BV81" s="507"/>
      <c r="BW81" s="507"/>
      <c r="BX81" s="507"/>
      <c r="BY81" s="507"/>
      <c r="BZ81" s="507"/>
      <c r="CA81" s="507"/>
      <c r="CB81" s="507"/>
      <c r="CC81" s="507"/>
      <c r="CD81" s="507"/>
      <c r="CE81" s="507"/>
      <c r="CF81" s="507"/>
      <c r="CG81" s="507"/>
      <c r="CH81" s="507"/>
      <c r="CI81" s="507"/>
      <c r="CJ81" s="507"/>
      <c r="CK81" s="507"/>
      <c r="CL81" s="507"/>
      <c r="CM81" s="507"/>
      <c r="CN81" s="507"/>
      <c r="CO81" s="507"/>
      <c r="CP81" s="507"/>
      <c r="CQ81" s="507"/>
      <c r="CR81" s="507"/>
      <c r="CS81" s="507"/>
      <c r="CT81" s="507"/>
      <c r="CU81" s="507"/>
      <c r="CV81" s="507"/>
      <c r="CW81" s="507"/>
      <c r="CX81" s="507"/>
      <c r="CY81" s="507"/>
      <c r="CZ81" s="507"/>
      <c r="DA81" s="507"/>
      <c r="DB81" s="507"/>
      <c r="DC81" s="507"/>
      <c r="DD81" s="507"/>
      <c r="DE81" s="507"/>
      <c r="DF81" s="507"/>
      <c r="DG81" s="507"/>
      <c r="DH81" s="507"/>
      <c r="DI81" s="507"/>
      <c r="DJ81" s="507"/>
      <c r="DK81" s="507"/>
      <c r="DL81" s="507"/>
      <c r="DM81" s="507"/>
      <c r="DN81" s="507"/>
      <c r="DO81" s="507"/>
      <c r="DP81" s="507"/>
      <c r="DQ81" s="507"/>
      <c r="DR81" s="507"/>
      <c r="DS81" s="507"/>
      <c r="DT81" s="507"/>
      <c r="DU81" s="507"/>
      <c r="DV81" s="507"/>
      <c r="DW81" s="507"/>
      <c r="DX81" s="507"/>
      <c r="DY81" s="507"/>
      <c r="DZ81" s="507"/>
      <c r="EA81" s="507"/>
      <c r="EB81" s="507"/>
      <c r="EC81" s="507"/>
      <c r="ED81" s="507"/>
      <c r="EE81" s="507"/>
      <c r="EF81" s="507"/>
      <c r="EG81" s="507"/>
      <c r="EH81" s="507"/>
      <c r="EI81" s="507"/>
      <c r="EJ81" s="507"/>
      <c r="EK81" s="507"/>
      <c r="EL81" s="507"/>
      <c r="EM81" s="507"/>
      <c r="EN81" s="507"/>
      <c r="EO81" s="507"/>
      <c r="EP81" s="507"/>
      <c r="EQ81" s="507"/>
      <c r="ER81" s="507"/>
      <c r="ES81" s="507"/>
      <c r="ET81" s="507"/>
      <c r="EU81" s="507"/>
      <c r="EV81" s="507"/>
      <c r="EW81" s="507"/>
      <c r="EX81" s="507"/>
      <c r="EY81" s="507"/>
      <c r="EZ81" s="507"/>
      <c r="FA81" s="507"/>
      <c r="FB81" s="507"/>
      <c r="FC81" s="507"/>
      <c r="FD81" s="507"/>
      <c r="FE81" s="507"/>
      <c r="FF81" s="507"/>
      <c r="FG81" s="507"/>
      <c r="FH81" s="507"/>
      <c r="FI81" s="507"/>
      <c r="FJ81" s="507"/>
      <c r="FK81" s="507"/>
      <c r="FL81" s="507"/>
      <c r="FM81" s="507"/>
      <c r="FN81" s="507"/>
      <c r="FO81" s="507"/>
      <c r="FP81" s="507"/>
      <c r="FQ81" s="507"/>
      <c r="FR81" s="507"/>
      <c r="FS81" s="507"/>
      <c r="FT81" s="507"/>
      <c r="FU81" s="507"/>
      <c r="FV81" s="507"/>
      <c r="FW81" s="507"/>
      <c r="FX81" s="507"/>
      <c r="FY81" s="507"/>
      <c r="FZ81" s="507"/>
      <c r="GA81" s="507"/>
      <c r="GB81" s="507"/>
      <c r="GC81" s="507"/>
      <c r="GD81" s="507"/>
      <c r="GE81" s="507"/>
      <c r="GF81" s="507"/>
      <c r="GG81" s="507"/>
      <c r="GH81" s="507"/>
      <c r="GI81" s="507"/>
      <c r="GJ81" s="507"/>
      <c r="GK81" s="507"/>
      <c r="GL81" s="507"/>
      <c r="GM81" s="507"/>
      <c r="GN81" s="507"/>
      <c r="GO81" s="507"/>
      <c r="GP81" s="507"/>
      <c r="GQ81" s="507"/>
      <c r="GR81" s="507"/>
      <c r="GS81" s="507"/>
      <c r="GT81" s="507"/>
      <c r="GU81" s="507"/>
      <c r="GV81" s="507"/>
      <c r="GW81" s="507"/>
      <c r="GX81" s="507"/>
      <c r="GY81" s="507"/>
      <c r="GZ81" s="507"/>
      <c r="HA81" s="507"/>
      <c r="HB81" s="507"/>
      <c r="HC81" s="507"/>
      <c r="HD81" s="507"/>
      <c r="HE81" s="507"/>
      <c r="HF81" s="507"/>
      <c r="HG81" s="507"/>
      <c r="HH81" s="507"/>
      <c r="HI81" s="507"/>
      <c r="HJ81" s="507"/>
      <c r="HK81" s="507"/>
      <c r="HL81" s="507"/>
      <c r="HM81" s="507"/>
      <c r="HN81" s="507"/>
      <c r="HO81" s="507"/>
      <c r="HP81" s="507"/>
      <c r="HQ81" s="507"/>
      <c r="HR81" s="507"/>
      <c r="HS81" s="507"/>
      <c r="HT81" s="507"/>
      <c r="HU81" s="507"/>
      <c r="HV81" s="507"/>
      <c r="HW81" s="507"/>
      <c r="HX81" s="507"/>
      <c r="HY81" s="507"/>
      <c r="HZ81" s="507"/>
    </row>
    <row r="82" spans="1:234" ht="15.9" hidden="1" customHeight="1" x14ac:dyDescent="0.25">
      <c r="A82" s="522" t="s">
        <v>1337</v>
      </c>
      <c r="B82" s="523" t="s">
        <v>3773</v>
      </c>
      <c r="C82" s="528" t="s">
        <v>4309</v>
      </c>
      <c r="D82" s="570" t="s">
        <v>4308</v>
      </c>
      <c r="E82" s="569" t="s">
        <v>3228</v>
      </c>
      <c r="F82" s="543">
        <v>38826</v>
      </c>
      <c r="G82" s="544">
        <v>38765</v>
      </c>
      <c r="H82" s="562">
        <v>38819</v>
      </c>
      <c r="I82" s="546">
        <v>41180</v>
      </c>
      <c r="J82" s="547">
        <v>10</v>
      </c>
      <c r="K82" s="553" t="s">
        <v>3229</v>
      </c>
      <c r="L82" s="552" t="s">
        <v>3229</v>
      </c>
      <c r="M82" s="550">
        <v>0.04</v>
      </c>
      <c r="N82" s="560">
        <v>0.8</v>
      </c>
      <c r="O82" s="552" t="s">
        <v>3229</v>
      </c>
      <c r="P82" s="552" t="s">
        <v>3229</v>
      </c>
      <c r="Q82" s="552" t="s">
        <v>3229</v>
      </c>
      <c r="R82" s="552" t="s">
        <v>3229</v>
      </c>
      <c r="S82" s="567"/>
      <c r="T82" s="563" t="s">
        <v>3229</v>
      </c>
      <c r="U82" s="563" t="s">
        <v>3229</v>
      </c>
      <c r="V82" s="563" t="s">
        <v>3229</v>
      </c>
      <c r="W82" s="563" t="s">
        <v>3229</v>
      </c>
      <c r="X82" s="563" t="s">
        <v>3229</v>
      </c>
      <c r="Y82" s="563" t="s">
        <v>3229</v>
      </c>
      <c r="Z82" s="563" t="s">
        <v>3229</v>
      </c>
      <c r="AA82" s="563" t="s">
        <v>3229</v>
      </c>
      <c r="AB82" s="563" t="s">
        <v>3229</v>
      </c>
      <c r="AC82" s="563" t="s">
        <v>3229</v>
      </c>
      <c r="AD82" s="563" t="s">
        <v>3229</v>
      </c>
      <c r="AE82" s="563" t="s">
        <v>3229</v>
      </c>
      <c r="AF82" s="3764" t="s">
        <v>781</v>
      </c>
      <c r="AG82" s="3765"/>
      <c r="AH82" s="622" t="s">
        <v>3229</v>
      </c>
      <c r="AI82" s="622" t="s">
        <v>3229</v>
      </c>
      <c r="AJ82" s="622" t="s">
        <v>3229</v>
      </c>
      <c r="AK82" s="566" t="s">
        <v>3229</v>
      </c>
      <c r="AL82" s="622" t="s">
        <v>3229</v>
      </c>
      <c r="AM82" s="590">
        <v>1</v>
      </c>
      <c r="AN82" s="576">
        <v>0.04</v>
      </c>
      <c r="AO82" s="661">
        <v>10.41</v>
      </c>
      <c r="AP82" s="1368">
        <v>-0.23693151111111113</v>
      </c>
      <c r="AQ82" s="658">
        <v>0.10548244961620747</v>
      </c>
      <c r="AR82" s="3773" t="s">
        <v>3660</v>
      </c>
      <c r="AS82" s="3774"/>
      <c r="AT82" s="3774"/>
      <c r="AU82" s="3775"/>
      <c r="AV82" s="558">
        <f>M82</f>
        <v>0.04</v>
      </c>
      <c r="AW82" s="558">
        <f t="shared" si="13"/>
        <v>6.0999056203854263E-3</v>
      </c>
      <c r="AX82" s="558">
        <f>J82*(1+AV82)/AO82-1</f>
        <v>-9.6061479346776224E-4</v>
      </c>
      <c r="AY82" s="559" t="e">
        <f>POWER(1+AX82,1/AG82)-1</f>
        <v>#DIV/0!</v>
      </c>
      <c r="AZ82" s="642">
        <f t="shared" si="12"/>
        <v>10.4</v>
      </c>
      <c r="BA82" s="644" t="s">
        <v>275</v>
      </c>
      <c r="BB82" s="570"/>
      <c r="BC82" s="637"/>
      <c r="BD82" s="3708"/>
      <c r="BH82" s="3763"/>
      <c r="BI82" s="3763"/>
      <c r="BJ82" s="1639"/>
      <c r="BK82" s="1639"/>
      <c r="BL82" s="1639"/>
      <c r="BM82" s="1639"/>
      <c r="BN82" s="1639"/>
      <c r="BO82" s="1639"/>
      <c r="BP82" s="1639"/>
      <c r="BQ82" s="1639"/>
      <c r="BR82" s="1639"/>
      <c r="BS82" s="509"/>
      <c r="BT82" s="509"/>
      <c r="BU82" s="509"/>
      <c r="BV82" s="509"/>
      <c r="BW82" s="509"/>
      <c r="BX82" s="509"/>
      <c r="BY82" s="509"/>
      <c r="BZ82" s="509"/>
      <c r="CA82" s="509"/>
      <c r="CB82" s="509"/>
      <c r="CC82" s="509"/>
      <c r="CD82" s="509"/>
      <c r="CE82" s="509"/>
      <c r="CF82" s="509"/>
      <c r="CG82" s="509"/>
      <c r="CH82" s="509"/>
      <c r="CI82" s="509"/>
      <c r="CJ82" s="509"/>
      <c r="CK82" s="509"/>
      <c r="CL82" s="509"/>
      <c r="CM82" s="509"/>
      <c r="CN82" s="509"/>
      <c r="CO82" s="509"/>
      <c r="CP82" s="509"/>
      <c r="CQ82" s="509"/>
      <c r="CR82" s="509"/>
      <c r="CS82" s="509"/>
      <c r="CT82" s="509"/>
      <c r="CU82" s="509"/>
      <c r="CV82" s="509"/>
      <c r="CW82" s="509"/>
      <c r="CX82" s="509"/>
      <c r="CY82" s="509"/>
      <c r="CZ82" s="509"/>
      <c r="DA82" s="509"/>
      <c r="DB82" s="509"/>
      <c r="DC82" s="509"/>
      <c r="DD82" s="509"/>
      <c r="DE82" s="509"/>
      <c r="DF82" s="509"/>
      <c r="DG82" s="509"/>
      <c r="DH82" s="509"/>
      <c r="DI82" s="509"/>
      <c r="DJ82" s="509"/>
      <c r="DK82" s="509"/>
      <c r="DL82" s="509"/>
      <c r="DM82" s="509"/>
      <c r="DN82" s="509"/>
      <c r="DO82" s="509"/>
      <c r="DP82" s="509"/>
      <c r="DQ82" s="509"/>
      <c r="DR82" s="509"/>
      <c r="DS82" s="509"/>
      <c r="DT82" s="509"/>
      <c r="DU82" s="509"/>
      <c r="DV82" s="509"/>
      <c r="DW82" s="509"/>
      <c r="DX82" s="509"/>
      <c r="DY82" s="509"/>
      <c r="DZ82" s="509"/>
      <c r="EA82" s="509"/>
      <c r="EB82" s="509"/>
      <c r="EC82" s="509"/>
      <c r="ED82" s="509"/>
      <c r="EE82" s="509"/>
      <c r="EF82" s="509"/>
      <c r="EG82" s="509"/>
      <c r="EH82" s="509"/>
      <c r="EI82" s="509"/>
      <c r="EJ82" s="509"/>
      <c r="EK82" s="509"/>
      <c r="EL82" s="509"/>
      <c r="EM82" s="509"/>
      <c r="EN82" s="509"/>
      <c r="EO82" s="509"/>
      <c r="EP82" s="509"/>
      <c r="EQ82" s="509"/>
      <c r="ER82" s="509"/>
      <c r="ES82" s="509"/>
      <c r="ET82" s="509"/>
      <c r="EU82" s="509"/>
      <c r="EV82" s="509"/>
      <c r="EW82" s="509"/>
      <c r="EX82" s="509"/>
      <c r="EY82" s="509"/>
      <c r="EZ82" s="509"/>
      <c r="FA82" s="509"/>
      <c r="FB82" s="509"/>
      <c r="FC82" s="509"/>
      <c r="FD82" s="509"/>
      <c r="FE82" s="509"/>
      <c r="FF82" s="509"/>
      <c r="FG82" s="509"/>
      <c r="FH82" s="509"/>
      <c r="FI82" s="509"/>
      <c r="FJ82" s="509"/>
      <c r="FK82" s="509"/>
      <c r="FL82" s="509"/>
      <c r="FM82" s="509"/>
      <c r="FN82" s="509"/>
      <c r="FO82" s="509"/>
      <c r="FP82" s="509"/>
      <c r="FQ82" s="509"/>
      <c r="FR82" s="509"/>
      <c r="FS82" s="509"/>
      <c r="FT82" s="509"/>
      <c r="FU82" s="509"/>
      <c r="FV82" s="509"/>
      <c r="FW82" s="509"/>
      <c r="FX82" s="509"/>
      <c r="FY82" s="509"/>
      <c r="FZ82" s="509"/>
      <c r="GA82" s="509"/>
      <c r="GB82" s="509"/>
      <c r="GC82" s="509"/>
      <c r="GD82" s="509"/>
      <c r="GE82" s="509"/>
      <c r="GF82" s="509"/>
      <c r="GG82" s="509"/>
      <c r="GH82" s="509"/>
      <c r="GI82" s="509"/>
      <c r="GJ82" s="509"/>
      <c r="GK82" s="509"/>
      <c r="GL82" s="509"/>
      <c r="GM82" s="509"/>
      <c r="GN82" s="509"/>
      <c r="GO82" s="509"/>
      <c r="GP82" s="509"/>
      <c r="GQ82" s="509"/>
      <c r="GR82" s="509"/>
      <c r="GS82" s="509"/>
      <c r="GT82" s="509"/>
      <c r="GU82" s="509"/>
      <c r="GV82" s="509"/>
      <c r="GW82" s="509"/>
      <c r="GX82" s="509"/>
      <c r="GY82" s="509"/>
      <c r="GZ82" s="509"/>
      <c r="HA82" s="509"/>
      <c r="HB82" s="509"/>
      <c r="HC82" s="509"/>
      <c r="HD82" s="509"/>
      <c r="HE82" s="509"/>
      <c r="HF82" s="509"/>
      <c r="HG82" s="509"/>
      <c r="HH82" s="509"/>
      <c r="HI82" s="509"/>
      <c r="HJ82" s="509"/>
      <c r="HK82" s="509"/>
      <c r="HL82" s="509"/>
      <c r="HM82" s="509"/>
      <c r="HN82" s="509"/>
      <c r="HO82" s="509"/>
      <c r="HP82" s="509"/>
      <c r="HQ82" s="509"/>
      <c r="HR82" s="509"/>
      <c r="HS82" s="509"/>
      <c r="HT82" s="509"/>
      <c r="HU82" s="509"/>
      <c r="HV82" s="509"/>
      <c r="HW82" s="509"/>
      <c r="HX82" s="509"/>
      <c r="HY82" s="509"/>
      <c r="HZ82" s="509"/>
    </row>
    <row r="83" spans="1:234" s="232" customFormat="1" ht="15.9" hidden="1" customHeight="1" x14ac:dyDescent="0.25">
      <c r="A83" s="522" t="s">
        <v>3360</v>
      </c>
      <c r="B83" s="523" t="s">
        <v>1455</v>
      </c>
      <c r="C83" s="528" t="s">
        <v>4310</v>
      </c>
      <c r="D83" s="570" t="s">
        <v>189</v>
      </c>
      <c r="E83" s="569" t="s">
        <v>3228</v>
      </c>
      <c r="F83" s="543">
        <v>38821</v>
      </c>
      <c r="G83" s="544">
        <v>38768</v>
      </c>
      <c r="H83" s="562">
        <v>38814</v>
      </c>
      <c r="I83" s="546">
        <v>40147</v>
      </c>
      <c r="J83" s="547">
        <v>10</v>
      </c>
      <c r="K83" s="553" t="s">
        <v>3229</v>
      </c>
      <c r="L83" s="552" t="s">
        <v>3229</v>
      </c>
      <c r="M83" s="550">
        <v>0</v>
      </c>
      <c r="N83" s="560">
        <v>1</v>
      </c>
      <c r="O83" s="552" t="s">
        <v>3229</v>
      </c>
      <c r="P83" s="552" t="s">
        <v>3229</v>
      </c>
      <c r="Q83" s="552" t="s">
        <v>3229</v>
      </c>
      <c r="R83" s="552" t="s">
        <v>3229</v>
      </c>
      <c r="S83" s="567"/>
      <c r="T83" s="555" t="s">
        <v>3229</v>
      </c>
      <c r="U83" s="555" t="s">
        <v>3229</v>
      </c>
      <c r="V83" s="555" t="s">
        <v>3229</v>
      </c>
      <c r="W83" s="555" t="s">
        <v>3229</v>
      </c>
      <c r="X83" s="555" t="s">
        <v>3229</v>
      </c>
      <c r="Y83" s="555" t="s">
        <v>3229</v>
      </c>
      <c r="Z83" s="555" t="s">
        <v>3229</v>
      </c>
      <c r="AA83" s="555" t="s">
        <v>3229</v>
      </c>
      <c r="AB83" s="555" t="s">
        <v>3229</v>
      </c>
      <c r="AC83" s="555" t="s">
        <v>3229</v>
      </c>
      <c r="AD83" s="555" t="s">
        <v>3229</v>
      </c>
      <c r="AE83" s="556" t="s">
        <v>3229</v>
      </c>
      <c r="AF83" s="3764" t="s">
        <v>781</v>
      </c>
      <c r="AG83" s="3765"/>
      <c r="AH83" s="622" t="s">
        <v>3229</v>
      </c>
      <c r="AI83" s="622" t="s">
        <v>3229</v>
      </c>
      <c r="AJ83" s="622" t="s">
        <v>3229</v>
      </c>
      <c r="AK83" s="566" t="s">
        <v>3229</v>
      </c>
      <c r="AL83" s="622" t="s">
        <v>3229</v>
      </c>
      <c r="AM83" s="590">
        <v>1</v>
      </c>
      <c r="AN83" s="576">
        <v>0</v>
      </c>
      <c r="AO83" s="661">
        <v>10.23</v>
      </c>
      <c r="AP83" s="1368">
        <v>-7.3497500000000021E-2</v>
      </c>
      <c r="AQ83" s="658">
        <v>0.15824555200052867</v>
      </c>
      <c r="AR83" s="632">
        <f>AO83/10-1</f>
        <v>2.3000000000000131E-2</v>
      </c>
      <c r="AS83" s="558">
        <f>POWER(1+AR83,1/((I83-F83)/365))-1</f>
        <v>6.2789917812262619E-3</v>
      </c>
      <c r="AT83" s="648"/>
      <c r="AU83" s="559"/>
      <c r="AV83" s="558">
        <f>AO83/10-1</f>
        <v>2.3000000000000131E-2</v>
      </c>
      <c r="AW83" s="558">
        <f t="shared" si="13"/>
        <v>6.2789917812262619E-3</v>
      </c>
      <c r="AX83" s="558"/>
      <c r="AY83" s="559"/>
      <c r="AZ83" s="642">
        <f t="shared" si="12"/>
        <v>10.23</v>
      </c>
      <c r="BA83" s="644" t="s">
        <v>574</v>
      </c>
      <c r="BB83" s="570"/>
      <c r="BC83" s="637"/>
      <c r="BD83" s="3708"/>
      <c r="BE83" s="3743"/>
      <c r="BF83" s="3743"/>
      <c r="BG83" s="3708"/>
      <c r="BH83" s="3762"/>
      <c r="BI83" s="3762"/>
      <c r="BJ83" s="39"/>
      <c r="BK83" s="39"/>
      <c r="BL83" s="39"/>
      <c r="BM83" s="39"/>
      <c r="BN83" s="39"/>
      <c r="BO83" s="39"/>
      <c r="BP83" s="39"/>
      <c r="BQ83" s="39"/>
      <c r="BR83" s="39"/>
      <c r="BS83" s="507"/>
      <c r="BT83" s="507"/>
      <c r="BU83" s="507"/>
      <c r="BV83" s="507"/>
      <c r="BW83" s="507"/>
      <c r="BX83" s="507"/>
      <c r="BY83" s="507"/>
      <c r="BZ83" s="507"/>
      <c r="CA83" s="507"/>
      <c r="CB83" s="507"/>
      <c r="CC83" s="507"/>
      <c r="CD83" s="507"/>
      <c r="CE83" s="507"/>
      <c r="CF83" s="507"/>
      <c r="CG83" s="507"/>
      <c r="CH83" s="507"/>
      <c r="CI83" s="507"/>
      <c r="CJ83" s="507"/>
      <c r="CK83" s="507"/>
      <c r="CL83" s="507"/>
      <c r="CM83" s="507"/>
      <c r="CN83" s="507"/>
      <c r="CO83" s="507"/>
      <c r="CP83" s="507"/>
      <c r="CQ83" s="507"/>
      <c r="CR83" s="507"/>
      <c r="CS83" s="507"/>
      <c r="CT83" s="507"/>
      <c r="CU83" s="507"/>
      <c r="CV83" s="507"/>
      <c r="CW83" s="507"/>
      <c r="CX83" s="507"/>
      <c r="CY83" s="507"/>
      <c r="CZ83" s="507"/>
      <c r="DA83" s="507"/>
      <c r="DB83" s="507"/>
      <c r="DC83" s="507"/>
      <c r="DD83" s="507"/>
      <c r="DE83" s="507"/>
      <c r="DF83" s="507"/>
      <c r="DG83" s="507"/>
      <c r="DH83" s="507"/>
      <c r="DI83" s="507"/>
      <c r="DJ83" s="507"/>
      <c r="DK83" s="507"/>
      <c r="DL83" s="507"/>
      <c r="DM83" s="507"/>
      <c r="DN83" s="507"/>
      <c r="DO83" s="507"/>
      <c r="DP83" s="507"/>
      <c r="DQ83" s="507"/>
      <c r="DR83" s="507"/>
      <c r="DS83" s="507"/>
      <c r="DT83" s="507"/>
      <c r="DU83" s="507"/>
      <c r="DV83" s="507"/>
      <c r="DW83" s="507"/>
      <c r="DX83" s="507"/>
      <c r="DY83" s="507"/>
      <c r="DZ83" s="507"/>
      <c r="EA83" s="507"/>
      <c r="EB83" s="507"/>
      <c r="EC83" s="507"/>
      <c r="ED83" s="507"/>
      <c r="EE83" s="507"/>
      <c r="EF83" s="507"/>
      <c r="EG83" s="507"/>
      <c r="EH83" s="507"/>
      <c r="EI83" s="507"/>
      <c r="EJ83" s="507"/>
      <c r="EK83" s="507"/>
      <c r="EL83" s="507"/>
      <c r="EM83" s="507"/>
      <c r="EN83" s="507"/>
      <c r="EO83" s="507"/>
      <c r="EP83" s="507"/>
      <c r="EQ83" s="507"/>
      <c r="ER83" s="507"/>
      <c r="ES83" s="507"/>
      <c r="ET83" s="507"/>
      <c r="EU83" s="507"/>
      <c r="EV83" s="507"/>
      <c r="EW83" s="507"/>
      <c r="EX83" s="507"/>
      <c r="EY83" s="507"/>
      <c r="EZ83" s="507"/>
      <c r="FA83" s="507"/>
      <c r="FB83" s="507"/>
      <c r="FC83" s="507"/>
      <c r="FD83" s="507"/>
      <c r="FE83" s="507"/>
      <c r="FF83" s="507"/>
      <c r="FG83" s="507"/>
      <c r="FH83" s="507"/>
      <c r="FI83" s="507"/>
      <c r="FJ83" s="507"/>
      <c r="FK83" s="507"/>
      <c r="FL83" s="507"/>
      <c r="FM83" s="507"/>
      <c r="FN83" s="507"/>
      <c r="FO83" s="507"/>
      <c r="FP83" s="507"/>
      <c r="FQ83" s="507"/>
      <c r="FR83" s="507"/>
      <c r="FS83" s="507"/>
      <c r="FT83" s="507"/>
      <c r="FU83" s="507"/>
      <c r="FV83" s="507"/>
      <c r="FW83" s="507"/>
      <c r="FX83" s="507"/>
      <c r="FY83" s="507"/>
      <c r="FZ83" s="507"/>
      <c r="GA83" s="507"/>
      <c r="GB83" s="507"/>
      <c r="GC83" s="507"/>
      <c r="GD83" s="507"/>
      <c r="GE83" s="507"/>
      <c r="GF83" s="507"/>
      <c r="GG83" s="507"/>
      <c r="GH83" s="507"/>
      <c r="GI83" s="507"/>
      <c r="GJ83" s="507"/>
      <c r="GK83" s="507"/>
      <c r="GL83" s="507"/>
      <c r="GM83" s="507"/>
      <c r="GN83" s="507"/>
      <c r="GO83" s="507"/>
      <c r="GP83" s="507"/>
      <c r="GQ83" s="507"/>
      <c r="GR83" s="507"/>
      <c r="GS83" s="507"/>
      <c r="GT83" s="507"/>
      <c r="GU83" s="507"/>
      <c r="GV83" s="507"/>
      <c r="GW83" s="507"/>
      <c r="GX83" s="507"/>
      <c r="GY83" s="507"/>
      <c r="GZ83" s="507"/>
      <c r="HA83" s="507"/>
      <c r="HB83" s="507"/>
      <c r="HC83" s="507"/>
      <c r="HD83" s="507"/>
      <c r="HE83" s="507"/>
      <c r="HF83" s="507"/>
      <c r="HG83" s="507"/>
      <c r="HH83" s="507"/>
      <c r="HI83" s="507"/>
      <c r="HJ83" s="507"/>
      <c r="HK83" s="507"/>
      <c r="HL83" s="507"/>
      <c r="HM83" s="507"/>
      <c r="HN83" s="507"/>
      <c r="HO83" s="507"/>
      <c r="HP83" s="507"/>
      <c r="HQ83" s="507"/>
      <c r="HR83" s="507"/>
      <c r="HS83" s="507"/>
      <c r="HT83" s="507"/>
      <c r="HU83" s="507"/>
      <c r="HV83" s="507"/>
      <c r="HW83" s="507"/>
      <c r="HX83" s="507"/>
      <c r="HY83" s="507"/>
      <c r="HZ83" s="507"/>
    </row>
    <row r="84" spans="1:234" s="232" customFormat="1" ht="15.9" hidden="1" customHeight="1" x14ac:dyDescent="0.25">
      <c r="A84" s="522" t="s">
        <v>3858</v>
      </c>
      <c r="B84" s="523" t="s">
        <v>1456</v>
      </c>
      <c r="C84" s="528" t="s">
        <v>2718</v>
      </c>
      <c r="D84" s="570" t="s">
        <v>2158</v>
      </c>
      <c r="E84" s="569" t="s">
        <v>3228</v>
      </c>
      <c r="F84" s="543">
        <v>38821</v>
      </c>
      <c r="G84" s="544">
        <v>38768</v>
      </c>
      <c r="H84" s="562">
        <v>38814</v>
      </c>
      <c r="I84" s="546">
        <v>40847</v>
      </c>
      <c r="J84" s="547">
        <v>10</v>
      </c>
      <c r="K84" s="553">
        <v>-0.03</v>
      </c>
      <c r="L84" s="552">
        <v>3.5000000000000003E-2</v>
      </c>
      <c r="M84" s="550">
        <v>0.06</v>
      </c>
      <c r="N84" s="560" t="s">
        <v>3229</v>
      </c>
      <c r="O84" s="552" t="s">
        <v>3229</v>
      </c>
      <c r="P84" s="552" t="s">
        <v>3229</v>
      </c>
      <c r="Q84" s="552" t="s">
        <v>3229</v>
      </c>
      <c r="R84" s="552" t="s">
        <v>3229</v>
      </c>
      <c r="S84" s="567">
        <v>11</v>
      </c>
      <c r="T84" s="555">
        <v>38991</v>
      </c>
      <c r="U84" s="555">
        <v>39173</v>
      </c>
      <c r="V84" s="555">
        <v>39356</v>
      </c>
      <c r="W84" s="555">
        <v>39539</v>
      </c>
      <c r="X84" s="555">
        <v>39722</v>
      </c>
      <c r="Y84" s="555">
        <v>39904</v>
      </c>
      <c r="Z84" s="555">
        <v>40087</v>
      </c>
      <c r="AA84" s="555">
        <v>40269</v>
      </c>
      <c r="AB84" s="555">
        <v>40452</v>
      </c>
      <c r="AC84" s="555">
        <v>40634</v>
      </c>
      <c r="AD84" s="555">
        <v>40817</v>
      </c>
      <c r="AE84" s="556" t="s">
        <v>3229</v>
      </c>
      <c r="AF84" s="3764" t="s">
        <v>781</v>
      </c>
      <c r="AG84" s="3765"/>
      <c r="AH84" s="622">
        <v>0.5</v>
      </c>
      <c r="AI84" s="622">
        <v>0.3</v>
      </c>
      <c r="AJ84" s="622">
        <v>0.2</v>
      </c>
      <c r="AK84" s="566" t="s">
        <v>3229</v>
      </c>
      <c r="AL84" s="622" t="s">
        <v>3229</v>
      </c>
      <c r="AM84" s="590" t="s">
        <v>3229</v>
      </c>
      <c r="AN84" s="576">
        <v>0.06</v>
      </c>
      <c r="AO84" s="661">
        <v>10.38</v>
      </c>
      <c r="AP84" s="1368" t="s">
        <v>3229</v>
      </c>
      <c r="AQ84" s="658" t="s">
        <v>3229</v>
      </c>
      <c r="AR84" s="632">
        <v>4.1700000000000001E-2</v>
      </c>
      <c r="AS84" s="558">
        <v>7.4000000000000003E-3</v>
      </c>
      <c r="AT84" s="648"/>
      <c r="AU84" s="559"/>
      <c r="AV84" s="558">
        <v>0.06</v>
      </c>
      <c r="AW84" s="558">
        <f t="shared" si="13"/>
        <v>1.0552900031050916E-2</v>
      </c>
      <c r="AX84" s="558"/>
      <c r="AY84" s="559"/>
      <c r="AZ84" s="642">
        <f t="shared" si="12"/>
        <v>10.600000000000001</v>
      </c>
      <c r="BA84" s="644" t="s">
        <v>467</v>
      </c>
      <c r="BB84" s="570" t="s">
        <v>2025</v>
      </c>
      <c r="BC84" s="637" t="s">
        <v>2895</v>
      </c>
      <c r="BD84" s="3708"/>
      <c r="BE84" s="3743"/>
      <c r="BF84" s="3743"/>
      <c r="BG84" s="3708"/>
      <c r="BH84" s="3762"/>
      <c r="BI84" s="3762"/>
      <c r="BJ84" s="39"/>
      <c r="BK84" s="39"/>
      <c r="BL84" s="39"/>
      <c r="BM84" s="39"/>
      <c r="BN84" s="39"/>
      <c r="BO84" s="39"/>
      <c r="BP84" s="39"/>
      <c r="BQ84" s="39"/>
      <c r="BR84" s="39"/>
      <c r="BS84" s="507"/>
      <c r="BT84" s="507"/>
      <c r="BU84" s="507"/>
      <c r="BV84" s="507"/>
      <c r="BW84" s="507"/>
      <c r="BX84" s="507"/>
      <c r="BY84" s="507"/>
      <c r="BZ84" s="507"/>
      <c r="CA84" s="507"/>
      <c r="CB84" s="507"/>
      <c r="CC84" s="507"/>
      <c r="CD84" s="507"/>
      <c r="CE84" s="507"/>
      <c r="CF84" s="507"/>
      <c r="CG84" s="507"/>
      <c r="CH84" s="507"/>
      <c r="CI84" s="507"/>
      <c r="CJ84" s="507"/>
      <c r="CK84" s="507"/>
      <c r="CL84" s="507"/>
      <c r="CM84" s="507"/>
      <c r="CN84" s="507"/>
      <c r="CO84" s="507"/>
      <c r="CP84" s="507"/>
      <c r="CQ84" s="507"/>
      <c r="CR84" s="507"/>
      <c r="CS84" s="507"/>
      <c r="CT84" s="507"/>
      <c r="CU84" s="507"/>
      <c r="CV84" s="507"/>
      <c r="CW84" s="507"/>
      <c r="CX84" s="507"/>
      <c r="CY84" s="507"/>
      <c r="CZ84" s="507"/>
      <c r="DA84" s="507"/>
      <c r="DB84" s="507"/>
      <c r="DC84" s="507"/>
      <c r="DD84" s="507"/>
      <c r="DE84" s="507"/>
      <c r="DF84" s="507"/>
      <c r="DG84" s="507"/>
      <c r="DH84" s="507"/>
      <c r="DI84" s="507"/>
      <c r="DJ84" s="507"/>
      <c r="DK84" s="507"/>
      <c r="DL84" s="507"/>
      <c r="DM84" s="507"/>
      <c r="DN84" s="507"/>
      <c r="DO84" s="507"/>
      <c r="DP84" s="507"/>
      <c r="DQ84" s="507"/>
      <c r="DR84" s="507"/>
      <c r="DS84" s="507"/>
      <c r="DT84" s="507"/>
      <c r="DU84" s="507"/>
      <c r="DV84" s="507"/>
      <c r="DW84" s="507"/>
      <c r="DX84" s="507"/>
      <c r="DY84" s="507"/>
      <c r="DZ84" s="507"/>
      <c r="EA84" s="507"/>
      <c r="EB84" s="507"/>
      <c r="EC84" s="507"/>
      <c r="ED84" s="507"/>
      <c r="EE84" s="507"/>
      <c r="EF84" s="507"/>
      <c r="EG84" s="507"/>
      <c r="EH84" s="507"/>
      <c r="EI84" s="507"/>
      <c r="EJ84" s="507"/>
      <c r="EK84" s="507"/>
      <c r="EL84" s="507"/>
      <c r="EM84" s="507"/>
      <c r="EN84" s="507"/>
      <c r="EO84" s="507"/>
      <c r="EP84" s="507"/>
      <c r="EQ84" s="507"/>
      <c r="ER84" s="507"/>
      <c r="ES84" s="507"/>
      <c r="ET84" s="507"/>
      <c r="EU84" s="507"/>
      <c r="EV84" s="507"/>
      <c r="EW84" s="507"/>
      <c r="EX84" s="507"/>
      <c r="EY84" s="507"/>
      <c r="EZ84" s="507"/>
      <c r="FA84" s="507"/>
      <c r="FB84" s="507"/>
      <c r="FC84" s="507"/>
      <c r="FD84" s="507"/>
      <c r="FE84" s="507"/>
      <c r="FF84" s="507"/>
      <c r="FG84" s="507"/>
      <c r="FH84" s="507"/>
      <c r="FI84" s="507"/>
      <c r="FJ84" s="507"/>
      <c r="FK84" s="507"/>
      <c r="FL84" s="507"/>
      <c r="FM84" s="507"/>
      <c r="FN84" s="507"/>
      <c r="FO84" s="507"/>
      <c r="FP84" s="507"/>
      <c r="FQ84" s="507"/>
      <c r="FR84" s="507"/>
      <c r="FS84" s="507"/>
      <c r="FT84" s="507"/>
      <c r="FU84" s="507"/>
      <c r="FV84" s="507"/>
      <c r="FW84" s="507"/>
      <c r="FX84" s="507"/>
      <c r="FY84" s="507"/>
      <c r="FZ84" s="507"/>
      <c r="GA84" s="507"/>
      <c r="GB84" s="507"/>
      <c r="GC84" s="507"/>
      <c r="GD84" s="507"/>
      <c r="GE84" s="507"/>
      <c r="GF84" s="507"/>
      <c r="GG84" s="507"/>
      <c r="GH84" s="507"/>
      <c r="GI84" s="507"/>
      <c r="GJ84" s="507"/>
      <c r="GK84" s="507"/>
      <c r="GL84" s="507"/>
      <c r="GM84" s="507"/>
      <c r="GN84" s="507"/>
      <c r="GO84" s="507"/>
      <c r="GP84" s="507"/>
      <c r="GQ84" s="507"/>
      <c r="GR84" s="507"/>
      <c r="GS84" s="507"/>
      <c r="GT84" s="507"/>
      <c r="GU84" s="507"/>
      <c r="GV84" s="507"/>
      <c r="GW84" s="507"/>
      <c r="GX84" s="507"/>
      <c r="GY84" s="507"/>
      <c r="GZ84" s="507"/>
      <c r="HA84" s="507"/>
      <c r="HB84" s="507"/>
      <c r="HC84" s="507"/>
      <c r="HD84" s="507"/>
      <c r="HE84" s="507"/>
      <c r="HF84" s="507"/>
      <c r="HG84" s="507"/>
      <c r="HH84" s="507"/>
      <c r="HI84" s="507"/>
      <c r="HJ84" s="507"/>
      <c r="HK84" s="507"/>
      <c r="HL84" s="507"/>
      <c r="HM84" s="507"/>
      <c r="HN84" s="507"/>
      <c r="HO84" s="507"/>
      <c r="HP84" s="507"/>
      <c r="HQ84" s="507"/>
      <c r="HR84" s="507"/>
      <c r="HS84" s="507"/>
      <c r="HT84" s="507"/>
      <c r="HU84" s="507"/>
      <c r="HV84" s="507"/>
      <c r="HW84" s="507"/>
      <c r="HX84" s="507"/>
      <c r="HY84" s="507"/>
      <c r="HZ84" s="507"/>
    </row>
    <row r="85" spans="1:234" ht="15.9" hidden="1" customHeight="1" x14ac:dyDescent="0.25">
      <c r="A85" s="522" t="s">
        <v>4494</v>
      </c>
      <c r="B85" s="523" t="s">
        <v>3114</v>
      </c>
      <c r="C85" s="528" t="s">
        <v>2719</v>
      </c>
      <c r="D85" s="570" t="s">
        <v>4383</v>
      </c>
      <c r="E85" s="569" t="s">
        <v>3228</v>
      </c>
      <c r="F85" s="543">
        <v>38814</v>
      </c>
      <c r="G85" s="544">
        <v>38768</v>
      </c>
      <c r="H85" s="562">
        <v>38807</v>
      </c>
      <c r="I85" s="546">
        <v>40298</v>
      </c>
      <c r="J85" s="547">
        <v>10</v>
      </c>
      <c r="K85" s="553" t="s">
        <v>3229</v>
      </c>
      <c r="L85" s="552" t="s">
        <v>3229</v>
      </c>
      <c r="M85" s="550">
        <v>0</v>
      </c>
      <c r="N85" s="560">
        <v>0.65</v>
      </c>
      <c r="O85" s="552" t="s">
        <v>3229</v>
      </c>
      <c r="P85" s="552" t="s">
        <v>3229</v>
      </c>
      <c r="Q85" s="552" t="s">
        <v>3229</v>
      </c>
      <c r="R85" s="552" t="s">
        <v>3229</v>
      </c>
      <c r="S85" s="567"/>
      <c r="T85" s="555" t="s">
        <v>3229</v>
      </c>
      <c r="U85" s="555" t="s">
        <v>3229</v>
      </c>
      <c r="V85" s="555" t="s">
        <v>3229</v>
      </c>
      <c r="W85" s="555" t="s">
        <v>3229</v>
      </c>
      <c r="X85" s="555" t="s">
        <v>3229</v>
      </c>
      <c r="Y85" s="555" t="s">
        <v>3229</v>
      </c>
      <c r="Z85" s="555" t="s">
        <v>3229</v>
      </c>
      <c r="AA85" s="555" t="s">
        <v>3229</v>
      </c>
      <c r="AB85" s="555" t="s">
        <v>3229</v>
      </c>
      <c r="AC85" s="555" t="s">
        <v>3229</v>
      </c>
      <c r="AD85" s="555" t="s">
        <v>3229</v>
      </c>
      <c r="AE85" s="556" t="s">
        <v>3229</v>
      </c>
      <c r="AF85" s="3764" t="s">
        <v>781</v>
      </c>
      <c r="AG85" s="3765"/>
      <c r="AH85" s="622" t="s">
        <v>3229</v>
      </c>
      <c r="AI85" s="622" t="s">
        <v>3229</v>
      </c>
      <c r="AJ85" s="622" t="s">
        <v>3229</v>
      </c>
      <c r="AK85" s="566" t="s">
        <v>3229</v>
      </c>
      <c r="AL85" s="622" t="s">
        <v>3229</v>
      </c>
      <c r="AM85" s="590">
        <v>1</v>
      </c>
      <c r="AN85" s="576">
        <v>0</v>
      </c>
      <c r="AO85" s="661">
        <v>10</v>
      </c>
      <c r="AP85" s="1368">
        <v>-0.2074728333333333</v>
      </c>
      <c r="AQ85" s="658">
        <v>0.22891680316170884</v>
      </c>
      <c r="AR85" s="3773" t="s">
        <v>3660</v>
      </c>
      <c r="AS85" s="3774"/>
      <c r="AT85" s="3774"/>
      <c r="AU85" s="3775"/>
      <c r="AV85" s="558">
        <f>M85</f>
        <v>0</v>
      </c>
      <c r="AW85" s="558">
        <f t="shared" si="13"/>
        <v>0</v>
      </c>
      <c r="AX85" s="558"/>
      <c r="AY85" s="559"/>
      <c r="AZ85" s="642">
        <f t="shared" si="12"/>
        <v>10</v>
      </c>
      <c r="BA85" s="644" t="s">
        <v>3190</v>
      </c>
      <c r="BB85" s="570"/>
      <c r="BC85" s="637"/>
      <c r="BD85" s="3708"/>
      <c r="BH85" s="3763"/>
      <c r="BI85" s="3763"/>
      <c r="BJ85" s="1639"/>
      <c r="BK85" s="1639"/>
      <c r="BL85" s="1639"/>
      <c r="BM85" s="1639"/>
      <c r="BN85" s="1639"/>
      <c r="BO85" s="1639"/>
      <c r="BP85" s="1639"/>
      <c r="BQ85" s="1639"/>
      <c r="BR85" s="1639"/>
      <c r="BS85" s="509"/>
      <c r="BT85" s="509"/>
      <c r="BU85" s="509"/>
      <c r="BV85" s="509"/>
      <c r="BW85" s="509"/>
      <c r="BX85" s="509"/>
      <c r="BY85" s="509"/>
      <c r="BZ85" s="509"/>
      <c r="CA85" s="509"/>
      <c r="CB85" s="509"/>
      <c r="CC85" s="509"/>
      <c r="CD85" s="509"/>
      <c r="CE85" s="509"/>
      <c r="CF85" s="509"/>
      <c r="CG85" s="509"/>
      <c r="CH85" s="509"/>
      <c r="CI85" s="509"/>
      <c r="CJ85" s="509"/>
      <c r="CK85" s="509"/>
      <c r="CL85" s="509"/>
      <c r="CM85" s="509"/>
      <c r="CN85" s="509"/>
      <c r="CO85" s="509"/>
      <c r="CP85" s="509"/>
      <c r="CQ85" s="509"/>
      <c r="CR85" s="509"/>
      <c r="CS85" s="509"/>
      <c r="CT85" s="509"/>
      <c r="CU85" s="509"/>
      <c r="CV85" s="509"/>
      <c r="CW85" s="509"/>
      <c r="CX85" s="509"/>
      <c r="CY85" s="509"/>
      <c r="CZ85" s="509"/>
      <c r="DA85" s="509"/>
      <c r="DB85" s="509"/>
      <c r="DC85" s="509"/>
      <c r="DD85" s="509"/>
      <c r="DE85" s="509"/>
      <c r="DF85" s="509"/>
      <c r="DG85" s="509"/>
      <c r="DH85" s="509"/>
      <c r="DI85" s="509"/>
      <c r="DJ85" s="509"/>
      <c r="DK85" s="509"/>
      <c r="DL85" s="509"/>
      <c r="DM85" s="509"/>
      <c r="DN85" s="509"/>
      <c r="DO85" s="509"/>
      <c r="DP85" s="509"/>
      <c r="DQ85" s="509"/>
      <c r="DR85" s="509"/>
      <c r="DS85" s="509"/>
      <c r="DT85" s="509"/>
      <c r="DU85" s="509"/>
      <c r="DV85" s="509"/>
      <c r="DW85" s="509"/>
      <c r="DX85" s="509"/>
      <c r="DY85" s="509"/>
      <c r="DZ85" s="509"/>
      <c r="EA85" s="509"/>
      <c r="EB85" s="509"/>
      <c r="EC85" s="509"/>
      <c r="ED85" s="509"/>
      <c r="EE85" s="509"/>
      <c r="EF85" s="509"/>
      <c r="EG85" s="509"/>
      <c r="EH85" s="509"/>
      <c r="EI85" s="509"/>
      <c r="EJ85" s="509"/>
      <c r="EK85" s="509"/>
      <c r="EL85" s="509"/>
      <c r="EM85" s="509"/>
      <c r="EN85" s="509"/>
      <c r="EO85" s="509"/>
      <c r="EP85" s="509"/>
      <c r="EQ85" s="509"/>
      <c r="ER85" s="509"/>
      <c r="ES85" s="509"/>
      <c r="ET85" s="509"/>
      <c r="EU85" s="509"/>
      <c r="EV85" s="509"/>
      <c r="EW85" s="509"/>
      <c r="EX85" s="509"/>
      <c r="EY85" s="509"/>
      <c r="EZ85" s="509"/>
      <c r="FA85" s="509"/>
      <c r="FB85" s="509"/>
      <c r="FC85" s="509"/>
      <c r="FD85" s="509"/>
      <c r="FE85" s="509"/>
      <c r="FF85" s="509"/>
      <c r="FG85" s="509"/>
      <c r="FH85" s="509"/>
      <c r="FI85" s="509"/>
      <c r="FJ85" s="509"/>
      <c r="FK85" s="509"/>
      <c r="FL85" s="509"/>
      <c r="FM85" s="509"/>
      <c r="FN85" s="509"/>
      <c r="FO85" s="509"/>
      <c r="FP85" s="509"/>
      <c r="FQ85" s="509"/>
      <c r="FR85" s="509"/>
      <c r="FS85" s="509"/>
      <c r="FT85" s="509"/>
      <c r="FU85" s="509"/>
      <c r="FV85" s="509"/>
      <c r="FW85" s="509"/>
      <c r="FX85" s="509"/>
      <c r="FY85" s="509"/>
      <c r="FZ85" s="509"/>
      <c r="GA85" s="509"/>
      <c r="GB85" s="509"/>
      <c r="GC85" s="509"/>
      <c r="GD85" s="509"/>
      <c r="GE85" s="509"/>
      <c r="GF85" s="509"/>
      <c r="GG85" s="509"/>
      <c r="GH85" s="509"/>
      <c r="GI85" s="509"/>
      <c r="GJ85" s="509"/>
      <c r="GK85" s="509"/>
      <c r="GL85" s="509"/>
      <c r="GM85" s="509"/>
      <c r="GN85" s="509"/>
      <c r="GO85" s="509"/>
      <c r="GP85" s="509"/>
      <c r="GQ85" s="509"/>
      <c r="GR85" s="509"/>
      <c r="GS85" s="509"/>
      <c r="GT85" s="509"/>
      <c r="GU85" s="509"/>
      <c r="GV85" s="509"/>
      <c r="GW85" s="509"/>
      <c r="GX85" s="509"/>
      <c r="GY85" s="509"/>
      <c r="GZ85" s="509"/>
      <c r="HA85" s="509"/>
      <c r="HB85" s="509"/>
      <c r="HC85" s="509"/>
      <c r="HD85" s="509"/>
      <c r="HE85" s="509"/>
      <c r="HF85" s="509"/>
      <c r="HG85" s="509"/>
      <c r="HH85" s="509"/>
      <c r="HI85" s="509"/>
      <c r="HJ85" s="509"/>
      <c r="HK85" s="509"/>
      <c r="HL85" s="509"/>
      <c r="HM85" s="509"/>
      <c r="HN85" s="509"/>
      <c r="HO85" s="509"/>
      <c r="HP85" s="509"/>
      <c r="HQ85" s="509"/>
      <c r="HR85" s="509"/>
      <c r="HS85" s="509"/>
      <c r="HT85" s="509"/>
      <c r="HU85" s="509"/>
      <c r="HV85" s="509"/>
      <c r="HW85" s="509"/>
      <c r="HX85" s="509"/>
      <c r="HY85" s="509"/>
      <c r="HZ85" s="509"/>
    </row>
    <row r="86" spans="1:234" s="232" customFormat="1" ht="15.9" hidden="1" customHeight="1" x14ac:dyDescent="0.25">
      <c r="A86" s="522" t="s">
        <v>392</v>
      </c>
      <c r="B86" s="523" t="s">
        <v>3115</v>
      </c>
      <c r="C86" s="527" t="s">
        <v>1517</v>
      </c>
      <c r="D86" s="570" t="s">
        <v>189</v>
      </c>
      <c r="E86" s="569" t="s">
        <v>905</v>
      </c>
      <c r="F86" s="543">
        <v>38842</v>
      </c>
      <c r="G86" s="544">
        <v>38777</v>
      </c>
      <c r="H86" s="557">
        <v>38835</v>
      </c>
      <c r="I86" s="546">
        <v>41060</v>
      </c>
      <c r="J86" s="547">
        <v>1000</v>
      </c>
      <c r="K86" s="553" t="s">
        <v>3229</v>
      </c>
      <c r="L86" s="552" t="s">
        <v>3229</v>
      </c>
      <c r="M86" s="549">
        <v>0.1096</v>
      </c>
      <c r="N86" s="606" t="s">
        <v>3229</v>
      </c>
      <c r="O86" s="551" t="s">
        <v>3229</v>
      </c>
      <c r="P86" s="576" t="s">
        <v>3229</v>
      </c>
      <c r="Q86" s="570">
        <v>0.04</v>
      </c>
      <c r="R86" s="570">
        <v>1.5</v>
      </c>
      <c r="S86" s="577">
        <v>6</v>
      </c>
      <c r="T86" s="555">
        <v>39173</v>
      </c>
      <c r="U86" s="555">
        <v>39539</v>
      </c>
      <c r="V86" s="555">
        <v>39904</v>
      </c>
      <c r="W86" s="555">
        <v>40269</v>
      </c>
      <c r="X86" s="555">
        <v>40634</v>
      </c>
      <c r="Y86" s="555">
        <v>41000</v>
      </c>
      <c r="Z86" s="553" t="s">
        <v>3229</v>
      </c>
      <c r="AA86" s="553" t="s">
        <v>3229</v>
      </c>
      <c r="AB86" s="553" t="s">
        <v>3229</v>
      </c>
      <c r="AC86" s="553" t="s">
        <v>3229</v>
      </c>
      <c r="AD86" s="553" t="s">
        <v>3229</v>
      </c>
      <c r="AE86" s="553" t="s">
        <v>3229</v>
      </c>
      <c r="AF86" s="3764" t="s">
        <v>781</v>
      </c>
      <c r="AG86" s="3765"/>
      <c r="AH86" s="553" t="s">
        <v>3229</v>
      </c>
      <c r="AI86" s="553" t="s">
        <v>3229</v>
      </c>
      <c r="AJ86" s="553" t="s">
        <v>3229</v>
      </c>
      <c r="AK86" s="566" t="s">
        <v>3229</v>
      </c>
      <c r="AL86" s="553" t="s">
        <v>3229</v>
      </c>
      <c r="AM86" s="659">
        <v>1</v>
      </c>
      <c r="AN86" s="606">
        <v>0.10960000000000002</v>
      </c>
      <c r="AO86" s="660">
        <v>1115.2</v>
      </c>
      <c r="AP86" s="1368" t="s">
        <v>3229</v>
      </c>
      <c r="AQ86" s="1632" t="s">
        <v>3229</v>
      </c>
      <c r="AR86" s="558">
        <f>SUM('klikací hodnoty'!F1947:F1950)+'klikací hodnoty'!F1950*R86+'klikací hodnoty'!F1950*R86*R86</f>
        <v>0.14102500000000001</v>
      </c>
      <c r="AS86" s="558">
        <f>POWER(1+AR86,1/((I86-F86)/365))-1</f>
        <v>2.1947638532255009E-2</v>
      </c>
      <c r="AT86" s="650">
        <f>J86*(1+AR86)/AO86-1</f>
        <v>2.3157281205164804E-2</v>
      </c>
      <c r="AU86" s="552" t="e">
        <f>POWER(1+AT86,1/AG86)-1</f>
        <v>#DIV/0!</v>
      </c>
      <c r="AV86" s="558">
        <v>0.1096</v>
      </c>
      <c r="AW86" s="558">
        <f t="shared" si="13"/>
        <v>1.7261741387082141E-2</v>
      </c>
      <c r="AX86" s="553"/>
      <c r="AY86" s="552"/>
      <c r="AZ86" s="642">
        <f>TRUNC(J86*(1+AV86),2)</f>
        <v>1109.5999999999999</v>
      </c>
      <c r="BA86" s="644" t="s">
        <v>274</v>
      </c>
      <c r="BB86" s="570" t="s">
        <v>2496</v>
      </c>
      <c r="BC86" s="637" t="s">
        <v>2895</v>
      </c>
      <c r="BD86" s="3709">
        <f>'klikací hodnoty'!F1953</f>
        <v>0.10960000000000002</v>
      </c>
      <c r="BE86" s="3743"/>
      <c r="BF86" s="3743"/>
      <c r="BG86" s="3708"/>
      <c r="BH86" s="3762"/>
      <c r="BI86" s="3762"/>
      <c r="BJ86" s="39"/>
      <c r="BK86" s="39"/>
      <c r="BL86" s="39"/>
      <c r="BM86" s="39"/>
      <c r="BN86" s="39"/>
      <c r="BO86" s="39"/>
      <c r="BP86" s="39"/>
      <c r="BQ86" s="39"/>
      <c r="BR86" s="39"/>
      <c r="BS86" s="507"/>
      <c r="BT86" s="507"/>
      <c r="BU86" s="507"/>
      <c r="BV86" s="507"/>
      <c r="BW86" s="507"/>
      <c r="BX86" s="507"/>
      <c r="BY86" s="507"/>
      <c r="BZ86" s="507"/>
      <c r="CA86" s="507"/>
      <c r="CB86" s="507"/>
      <c r="CC86" s="507"/>
      <c r="CD86" s="507"/>
      <c r="CE86" s="507"/>
      <c r="CF86" s="507"/>
      <c r="CG86" s="507"/>
      <c r="CH86" s="507"/>
      <c r="CI86" s="507"/>
      <c r="CJ86" s="507"/>
      <c r="CK86" s="507"/>
      <c r="CL86" s="507"/>
      <c r="CM86" s="507"/>
      <c r="CN86" s="507"/>
      <c r="CO86" s="507"/>
      <c r="CP86" s="507"/>
      <c r="CQ86" s="507"/>
      <c r="CR86" s="507"/>
      <c r="CS86" s="507"/>
      <c r="CT86" s="507"/>
      <c r="CU86" s="507"/>
      <c r="CV86" s="507"/>
      <c r="CW86" s="507"/>
      <c r="CX86" s="507"/>
      <c r="CY86" s="507"/>
      <c r="CZ86" s="507"/>
      <c r="DA86" s="507"/>
      <c r="DB86" s="507"/>
      <c r="DC86" s="507"/>
      <c r="DD86" s="507"/>
      <c r="DE86" s="507"/>
      <c r="DF86" s="507"/>
      <c r="DG86" s="507"/>
      <c r="DH86" s="507"/>
      <c r="DI86" s="507"/>
      <c r="DJ86" s="507"/>
      <c r="DK86" s="507"/>
      <c r="DL86" s="507"/>
      <c r="DM86" s="507"/>
      <c r="DN86" s="507"/>
      <c r="DO86" s="507"/>
      <c r="DP86" s="507"/>
      <c r="DQ86" s="507"/>
      <c r="DR86" s="507"/>
      <c r="DS86" s="507"/>
      <c r="DT86" s="507"/>
      <c r="DU86" s="507"/>
      <c r="DV86" s="507"/>
      <c r="DW86" s="507"/>
      <c r="DX86" s="507"/>
      <c r="DY86" s="507"/>
      <c r="DZ86" s="507"/>
      <c r="EA86" s="507"/>
      <c r="EB86" s="507"/>
      <c r="EC86" s="507"/>
      <c r="ED86" s="507"/>
      <c r="EE86" s="507"/>
      <c r="EF86" s="507"/>
      <c r="EG86" s="507"/>
      <c r="EH86" s="507"/>
      <c r="EI86" s="507"/>
      <c r="EJ86" s="507"/>
      <c r="EK86" s="507"/>
      <c r="EL86" s="507"/>
      <c r="EM86" s="507"/>
      <c r="EN86" s="507"/>
      <c r="EO86" s="507"/>
      <c r="EP86" s="507"/>
      <c r="EQ86" s="507"/>
      <c r="ER86" s="507"/>
      <c r="ES86" s="507"/>
      <c r="ET86" s="507"/>
      <c r="EU86" s="507"/>
      <c r="EV86" s="507"/>
      <c r="EW86" s="507"/>
      <c r="EX86" s="507"/>
      <c r="EY86" s="507"/>
      <c r="EZ86" s="507"/>
      <c r="FA86" s="507"/>
      <c r="FB86" s="507"/>
      <c r="FC86" s="507"/>
      <c r="FD86" s="507"/>
      <c r="FE86" s="507"/>
      <c r="FF86" s="507"/>
      <c r="FG86" s="507"/>
      <c r="FH86" s="507"/>
      <c r="FI86" s="507"/>
      <c r="FJ86" s="507"/>
      <c r="FK86" s="507"/>
      <c r="FL86" s="507"/>
      <c r="FM86" s="507"/>
      <c r="FN86" s="507"/>
      <c r="FO86" s="507"/>
      <c r="FP86" s="507"/>
      <c r="FQ86" s="507"/>
      <c r="FR86" s="507"/>
      <c r="FS86" s="507"/>
      <c r="FT86" s="507"/>
      <c r="FU86" s="507"/>
      <c r="FV86" s="507"/>
      <c r="FW86" s="507"/>
      <c r="FX86" s="507"/>
      <c r="FY86" s="507"/>
      <c r="FZ86" s="507"/>
      <c r="GA86" s="507"/>
      <c r="GB86" s="507"/>
      <c r="GC86" s="507"/>
      <c r="GD86" s="507"/>
      <c r="GE86" s="507"/>
      <c r="GF86" s="507"/>
      <c r="GG86" s="507"/>
      <c r="GH86" s="507"/>
      <c r="GI86" s="507"/>
      <c r="GJ86" s="507"/>
      <c r="GK86" s="507"/>
      <c r="GL86" s="507"/>
      <c r="GM86" s="507"/>
      <c r="GN86" s="507"/>
      <c r="GO86" s="507"/>
      <c r="GP86" s="507"/>
      <c r="GQ86" s="507"/>
      <c r="GR86" s="507"/>
      <c r="GS86" s="507"/>
      <c r="GT86" s="507"/>
      <c r="GU86" s="507"/>
      <c r="GV86" s="507"/>
      <c r="GW86" s="507"/>
      <c r="GX86" s="507"/>
      <c r="GY86" s="507"/>
      <c r="GZ86" s="507"/>
      <c r="HA86" s="507"/>
      <c r="HB86" s="507"/>
      <c r="HC86" s="507"/>
      <c r="HD86" s="507"/>
      <c r="HE86" s="507"/>
      <c r="HF86" s="507"/>
      <c r="HG86" s="507"/>
      <c r="HH86" s="507"/>
      <c r="HI86" s="507"/>
      <c r="HJ86" s="507"/>
      <c r="HK86" s="507"/>
      <c r="HL86" s="507"/>
      <c r="HM86" s="507"/>
      <c r="HN86" s="507"/>
      <c r="HO86" s="507"/>
      <c r="HP86" s="507"/>
      <c r="HQ86" s="507"/>
      <c r="HR86" s="507"/>
      <c r="HS86" s="507"/>
      <c r="HT86" s="507"/>
      <c r="HU86" s="507"/>
      <c r="HV86" s="507"/>
      <c r="HW86" s="507"/>
      <c r="HX86" s="507"/>
      <c r="HY86" s="507"/>
      <c r="HZ86" s="507"/>
    </row>
    <row r="87" spans="1:234" ht="15.9" hidden="1" customHeight="1" x14ac:dyDescent="0.25">
      <c r="A87" s="522" t="s">
        <v>3522</v>
      </c>
      <c r="B87" s="523" t="s">
        <v>753</v>
      </c>
      <c r="C87" s="526" t="s">
        <v>1518</v>
      </c>
      <c r="D87" s="570" t="s">
        <v>4384</v>
      </c>
      <c r="E87" s="569" t="s">
        <v>3228</v>
      </c>
      <c r="F87" s="543">
        <v>38828</v>
      </c>
      <c r="G87" s="544">
        <v>38777</v>
      </c>
      <c r="H87" s="562">
        <v>38821</v>
      </c>
      <c r="I87" s="546">
        <v>40329</v>
      </c>
      <c r="J87" s="547">
        <v>10</v>
      </c>
      <c r="K87" s="553" t="s">
        <v>3229</v>
      </c>
      <c r="L87" s="552" t="s">
        <v>3229</v>
      </c>
      <c r="M87" s="550">
        <v>-1</v>
      </c>
      <c r="N87" s="560">
        <v>1.45</v>
      </c>
      <c r="O87" s="552" t="s">
        <v>3229</v>
      </c>
      <c r="P87" s="552" t="s">
        <v>3229</v>
      </c>
      <c r="Q87" s="552" t="s">
        <v>3229</v>
      </c>
      <c r="R87" s="552" t="s">
        <v>3229</v>
      </c>
      <c r="S87" s="567"/>
      <c r="T87" s="555" t="s">
        <v>3229</v>
      </c>
      <c r="U87" s="555" t="s">
        <v>3229</v>
      </c>
      <c r="V87" s="555" t="s">
        <v>3229</v>
      </c>
      <c r="W87" s="555" t="s">
        <v>3229</v>
      </c>
      <c r="X87" s="555" t="s">
        <v>3229</v>
      </c>
      <c r="Y87" s="555" t="s">
        <v>3229</v>
      </c>
      <c r="Z87" s="555" t="s">
        <v>3229</v>
      </c>
      <c r="AA87" s="555" t="s">
        <v>3229</v>
      </c>
      <c r="AB87" s="555" t="s">
        <v>3229</v>
      </c>
      <c r="AC87" s="555" t="s">
        <v>3229</v>
      </c>
      <c r="AD87" s="555" t="s">
        <v>3229</v>
      </c>
      <c r="AE87" s="556" t="s">
        <v>3229</v>
      </c>
      <c r="AF87" s="3764" t="s">
        <v>781</v>
      </c>
      <c r="AG87" s="3765"/>
      <c r="AH87" s="622">
        <v>1</v>
      </c>
      <c r="AI87" s="622" t="s">
        <v>3229</v>
      </c>
      <c r="AJ87" s="622" t="s">
        <v>3229</v>
      </c>
      <c r="AK87" s="566" t="s">
        <v>3229</v>
      </c>
      <c r="AL87" s="622" t="s">
        <v>3229</v>
      </c>
      <c r="AM87" s="590" t="s">
        <v>3229</v>
      </c>
      <c r="AN87" s="576">
        <v>-4.4570940764580014E-3</v>
      </c>
      <c r="AO87" s="652">
        <v>7.36</v>
      </c>
      <c r="AP87" s="1368">
        <v>-3.0738579837641389E-3</v>
      </c>
      <c r="AQ87" s="658">
        <v>-3.0738579837641389E-3</v>
      </c>
      <c r="AR87" s="652">
        <v>-43.45</v>
      </c>
      <c r="AS87" s="548">
        <v>-0.12943994547397131</v>
      </c>
      <c r="AT87" s="558" t="s">
        <v>3229</v>
      </c>
      <c r="AU87" s="559" t="s">
        <v>3229</v>
      </c>
      <c r="AV87" s="558">
        <v>-0.4345</v>
      </c>
      <c r="AW87" s="558">
        <f t="shared" si="13"/>
        <v>-0.12943994547397131</v>
      </c>
      <c r="AX87" s="558" t="s">
        <v>3229</v>
      </c>
      <c r="AY87" s="559" t="s">
        <v>3229</v>
      </c>
      <c r="AZ87" s="642">
        <v>0</v>
      </c>
      <c r="BA87" s="644" t="s">
        <v>575</v>
      </c>
      <c r="BB87" s="570"/>
      <c r="BC87" s="637"/>
      <c r="BD87" s="3708"/>
      <c r="BH87" s="3763"/>
      <c r="BI87" s="3763"/>
      <c r="BJ87" s="1639"/>
      <c r="BK87" s="1639"/>
      <c r="BL87" s="1639"/>
      <c r="BM87" s="1639"/>
      <c r="BN87" s="1639"/>
      <c r="BO87" s="1639"/>
      <c r="BP87" s="1639"/>
      <c r="BQ87" s="1639"/>
      <c r="BR87" s="1639"/>
      <c r="BS87" s="509"/>
      <c r="BT87" s="509"/>
      <c r="BU87" s="509"/>
      <c r="BV87" s="509"/>
      <c r="BW87" s="509"/>
      <c r="BX87" s="509"/>
      <c r="BY87" s="509"/>
      <c r="BZ87" s="509"/>
      <c r="CA87" s="509"/>
      <c r="CB87" s="509"/>
      <c r="CC87" s="509"/>
      <c r="CD87" s="509"/>
      <c r="CE87" s="509"/>
      <c r="CF87" s="509"/>
      <c r="CG87" s="509"/>
      <c r="CH87" s="509"/>
      <c r="CI87" s="509"/>
      <c r="CJ87" s="509"/>
      <c r="CK87" s="509"/>
      <c r="CL87" s="509"/>
      <c r="CM87" s="509"/>
      <c r="CN87" s="509"/>
      <c r="CO87" s="509"/>
      <c r="CP87" s="509"/>
      <c r="CQ87" s="509"/>
      <c r="CR87" s="509"/>
      <c r="CS87" s="509"/>
      <c r="CT87" s="509"/>
      <c r="CU87" s="509"/>
      <c r="CV87" s="509"/>
      <c r="CW87" s="509"/>
      <c r="CX87" s="509"/>
      <c r="CY87" s="509"/>
      <c r="CZ87" s="509"/>
      <c r="DA87" s="509"/>
      <c r="DB87" s="509"/>
      <c r="DC87" s="509"/>
      <c r="DD87" s="509"/>
      <c r="DE87" s="509"/>
      <c r="DF87" s="509"/>
      <c r="DG87" s="509"/>
      <c r="DH87" s="509"/>
      <c r="DI87" s="509"/>
      <c r="DJ87" s="509"/>
      <c r="DK87" s="509"/>
      <c r="DL87" s="509"/>
      <c r="DM87" s="509"/>
      <c r="DN87" s="509"/>
      <c r="DO87" s="509"/>
      <c r="DP87" s="509"/>
      <c r="DQ87" s="509"/>
      <c r="DR87" s="509"/>
      <c r="DS87" s="509"/>
      <c r="DT87" s="509"/>
      <c r="DU87" s="509"/>
      <c r="DV87" s="509"/>
      <c r="DW87" s="509"/>
      <c r="DX87" s="509"/>
      <c r="DY87" s="509"/>
      <c r="DZ87" s="509"/>
      <c r="EA87" s="509"/>
      <c r="EB87" s="509"/>
      <c r="EC87" s="509"/>
      <c r="ED87" s="509"/>
      <c r="EE87" s="509"/>
      <c r="EF87" s="509"/>
      <c r="EG87" s="509"/>
      <c r="EH87" s="509"/>
      <c r="EI87" s="509"/>
      <c r="EJ87" s="509"/>
      <c r="EK87" s="509"/>
      <c r="EL87" s="509"/>
      <c r="EM87" s="509"/>
      <c r="EN87" s="509"/>
      <c r="EO87" s="509"/>
      <c r="EP87" s="509"/>
      <c r="EQ87" s="509"/>
      <c r="ER87" s="509"/>
      <c r="ES87" s="509"/>
      <c r="ET87" s="509"/>
      <c r="EU87" s="509"/>
      <c r="EV87" s="509"/>
      <c r="EW87" s="509"/>
      <c r="EX87" s="509"/>
      <c r="EY87" s="509"/>
      <c r="EZ87" s="509"/>
      <c r="FA87" s="509"/>
      <c r="FB87" s="509"/>
      <c r="FC87" s="509"/>
      <c r="FD87" s="509"/>
      <c r="FE87" s="509"/>
      <c r="FF87" s="509"/>
      <c r="FG87" s="509"/>
      <c r="FH87" s="509"/>
      <c r="FI87" s="509"/>
      <c r="FJ87" s="509"/>
      <c r="FK87" s="509"/>
      <c r="FL87" s="509"/>
      <c r="FM87" s="509"/>
      <c r="FN87" s="509"/>
      <c r="FO87" s="509"/>
      <c r="FP87" s="509"/>
      <c r="FQ87" s="509"/>
      <c r="FR87" s="509"/>
      <c r="FS87" s="509"/>
      <c r="FT87" s="509"/>
      <c r="FU87" s="509"/>
      <c r="FV87" s="509"/>
      <c r="FW87" s="509"/>
      <c r="FX87" s="509"/>
      <c r="FY87" s="509"/>
      <c r="FZ87" s="509"/>
      <c r="GA87" s="509"/>
      <c r="GB87" s="509"/>
      <c r="GC87" s="509"/>
      <c r="GD87" s="509"/>
      <c r="GE87" s="509"/>
      <c r="GF87" s="509"/>
      <c r="GG87" s="509"/>
      <c r="GH87" s="509"/>
      <c r="GI87" s="509"/>
      <c r="GJ87" s="509"/>
      <c r="GK87" s="509"/>
      <c r="GL87" s="509"/>
      <c r="GM87" s="509"/>
      <c r="GN87" s="509"/>
      <c r="GO87" s="509"/>
      <c r="GP87" s="509"/>
      <c r="GQ87" s="509"/>
      <c r="GR87" s="509"/>
      <c r="GS87" s="509"/>
      <c r="GT87" s="509"/>
      <c r="GU87" s="509"/>
      <c r="GV87" s="509"/>
      <c r="GW87" s="509"/>
      <c r="GX87" s="509"/>
      <c r="GY87" s="509"/>
      <c r="GZ87" s="509"/>
      <c r="HA87" s="509"/>
      <c r="HB87" s="509"/>
      <c r="HC87" s="509"/>
      <c r="HD87" s="509"/>
      <c r="HE87" s="509"/>
      <c r="HF87" s="509"/>
      <c r="HG87" s="509"/>
      <c r="HH87" s="509"/>
      <c r="HI87" s="509"/>
      <c r="HJ87" s="509"/>
      <c r="HK87" s="509"/>
      <c r="HL87" s="509"/>
      <c r="HM87" s="509"/>
      <c r="HN87" s="509"/>
      <c r="HO87" s="509"/>
      <c r="HP87" s="509"/>
      <c r="HQ87" s="509"/>
      <c r="HR87" s="509"/>
      <c r="HS87" s="509"/>
      <c r="HT87" s="509"/>
      <c r="HU87" s="509"/>
      <c r="HV87" s="509"/>
      <c r="HW87" s="509"/>
      <c r="HX87" s="509"/>
      <c r="HY87" s="509"/>
      <c r="HZ87" s="509"/>
    </row>
    <row r="88" spans="1:234" s="206" customFormat="1" ht="15.9" hidden="1" customHeight="1" x14ac:dyDescent="0.25">
      <c r="A88" s="522" t="s">
        <v>1950</v>
      </c>
      <c r="B88" s="523" t="s">
        <v>3458</v>
      </c>
      <c r="C88" s="526" t="s">
        <v>492</v>
      </c>
      <c r="D88" s="570" t="s">
        <v>757</v>
      </c>
      <c r="E88" s="569" t="s">
        <v>3228</v>
      </c>
      <c r="F88" s="543">
        <v>38863</v>
      </c>
      <c r="G88" s="544">
        <v>38810</v>
      </c>
      <c r="H88" s="562">
        <v>38856</v>
      </c>
      <c r="I88" s="546">
        <v>40359</v>
      </c>
      <c r="J88" s="547">
        <v>10</v>
      </c>
      <c r="K88" s="553" t="s">
        <v>3229</v>
      </c>
      <c r="L88" s="552" t="s">
        <v>3229</v>
      </c>
      <c r="M88" s="550">
        <v>0</v>
      </c>
      <c r="N88" s="606">
        <v>0.65</v>
      </c>
      <c r="O88" s="552" t="s">
        <v>3229</v>
      </c>
      <c r="P88" s="552" t="s">
        <v>3229</v>
      </c>
      <c r="Q88" s="552" t="s">
        <v>3229</v>
      </c>
      <c r="R88" s="552" t="s">
        <v>3229</v>
      </c>
      <c r="S88" s="567"/>
      <c r="T88" s="555" t="s">
        <v>3229</v>
      </c>
      <c r="U88" s="555" t="s">
        <v>3229</v>
      </c>
      <c r="V88" s="553" t="s">
        <v>3229</v>
      </c>
      <c r="W88" s="553" t="s">
        <v>3229</v>
      </c>
      <c r="X88" s="553" t="s">
        <v>3229</v>
      </c>
      <c r="Y88" s="553" t="s">
        <v>3229</v>
      </c>
      <c r="Z88" s="553" t="s">
        <v>3229</v>
      </c>
      <c r="AA88" s="553" t="s">
        <v>3229</v>
      </c>
      <c r="AB88" s="553" t="s">
        <v>3229</v>
      </c>
      <c r="AC88" s="553" t="s">
        <v>3229</v>
      </c>
      <c r="AD88" s="553" t="s">
        <v>3229</v>
      </c>
      <c r="AE88" s="552" t="s">
        <v>3229</v>
      </c>
      <c r="AF88" s="3764" t="s">
        <v>781</v>
      </c>
      <c r="AG88" s="3765"/>
      <c r="AH88" s="622" t="s">
        <v>3229</v>
      </c>
      <c r="AI88" s="622" t="s">
        <v>3229</v>
      </c>
      <c r="AJ88" s="622" t="s">
        <v>3229</v>
      </c>
      <c r="AK88" s="566" t="s">
        <v>3229</v>
      </c>
      <c r="AL88" s="622" t="s">
        <v>3229</v>
      </c>
      <c r="AM88" s="590">
        <v>1</v>
      </c>
      <c r="AN88" s="576">
        <v>0</v>
      </c>
      <c r="AO88" s="652">
        <v>10</v>
      </c>
      <c r="AP88" s="1368">
        <v>-0.30222691666666673</v>
      </c>
      <c r="AQ88" s="658">
        <v>-0.32728841773987122</v>
      </c>
      <c r="AR88" s="632">
        <v>0</v>
      </c>
      <c r="AS88" s="558">
        <v>0</v>
      </c>
      <c r="AT88" s="648" t="s">
        <v>3229</v>
      </c>
      <c r="AU88" s="587" t="s">
        <v>3229</v>
      </c>
      <c r="AV88" s="558">
        <f t="shared" ref="AV88:AV95" si="14">M88</f>
        <v>0</v>
      </c>
      <c r="AW88" s="558">
        <f t="shared" si="13"/>
        <v>0</v>
      </c>
      <c r="AX88" s="589" t="s">
        <v>3229</v>
      </c>
      <c r="AY88" s="587" t="s">
        <v>3229</v>
      </c>
      <c r="AZ88" s="642">
        <f>J88*(1+AV88)</f>
        <v>10</v>
      </c>
      <c r="BA88" s="644" t="s">
        <v>3190</v>
      </c>
      <c r="BB88" s="570"/>
      <c r="BC88" s="637"/>
      <c r="BD88" s="3708"/>
      <c r="BE88" s="3743"/>
      <c r="BF88" s="3743"/>
      <c r="BG88" s="3708"/>
      <c r="BH88" s="3762"/>
      <c r="BI88" s="3762"/>
      <c r="BJ88" s="39"/>
      <c r="BK88" s="39"/>
      <c r="BL88" s="39"/>
      <c r="BM88" s="39"/>
      <c r="BN88" s="39"/>
      <c r="BO88" s="39"/>
      <c r="BP88" s="39"/>
      <c r="BQ88" s="39"/>
      <c r="BR88" s="39"/>
      <c r="BS88" s="507"/>
      <c r="BT88" s="507"/>
      <c r="BU88" s="507"/>
      <c r="BV88" s="507"/>
      <c r="BW88" s="507"/>
      <c r="BX88" s="507"/>
      <c r="BY88" s="507"/>
      <c r="BZ88" s="507"/>
      <c r="CA88" s="507"/>
      <c r="CB88" s="507"/>
      <c r="CC88" s="507"/>
      <c r="CD88" s="507"/>
      <c r="CE88" s="507"/>
      <c r="CF88" s="507"/>
      <c r="CG88" s="507"/>
      <c r="CH88" s="507"/>
      <c r="CI88" s="507"/>
      <c r="CJ88" s="507"/>
      <c r="CK88" s="507"/>
      <c r="CL88" s="507"/>
      <c r="CM88" s="507"/>
      <c r="CN88" s="507"/>
      <c r="CO88" s="507"/>
      <c r="CP88" s="507"/>
      <c r="CQ88" s="507"/>
      <c r="CR88" s="507"/>
      <c r="CS88" s="507"/>
      <c r="CT88" s="507"/>
      <c r="CU88" s="507"/>
      <c r="CV88" s="507"/>
      <c r="CW88" s="507"/>
      <c r="CX88" s="507"/>
      <c r="CY88" s="507"/>
      <c r="CZ88" s="507"/>
      <c r="DA88" s="507"/>
      <c r="DB88" s="507"/>
      <c r="DC88" s="507"/>
      <c r="DD88" s="507"/>
      <c r="DE88" s="507"/>
      <c r="DF88" s="507"/>
      <c r="DG88" s="507"/>
      <c r="DH88" s="507"/>
      <c r="DI88" s="507"/>
      <c r="DJ88" s="507"/>
      <c r="DK88" s="507"/>
      <c r="DL88" s="507"/>
      <c r="DM88" s="507"/>
      <c r="DN88" s="507"/>
      <c r="DO88" s="507"/>
      <c r="DP88" s="507"/>
      <c r="DQ88" s="507"/>
      <c r="DR88" s="507"/>
      <c r="DS88" s="507"/>
      <c r="DT88" s="507"/>
      <c r="DU88" s="507"/>
      <c r="DV88" s="507"/>
      <c r="DW88" s="507"/>
      <c r="DX88" s="507"/>
      <c r="DY88" s="507"/>
      <c r="DZ88" s="507"/>
      <c r="EA88" s="507"/>
      <c r="EB88" s="507"/>
      <c r="EC88" s="507"/>
      <c r="ED88" s="507"/>
      <c r="EE88" s="507"/>
      <c r="EF88" s="507"/>
      <c r="EG88" s="507"/>
      <c r="EH88" s="507"/>
      <c r="EI88" s="507"/>
      <c r="EJ88" s="507"/>
      <c r="EK88" s="507"/>
      <c r="EL88" s="507"/>
      <c r="EM88" s="507"/>
      <c r="EN88" s="507"/>
      <c r="EO88" s="507"/>
      <c r="EP88" s="507"/>
      <c r="EQ88" s="507"/>
      <c r="ER88" s="507"/>
      <c r="ES88" s="507"/>
      <c r="ET88" s="507"/>
      <c r="EU88" s="507"/>
      <c r="EV88" s="507"/>
      <c r="EW88" s="507"/>
      <c r="EX88" s="507"/>
      <c r="EY88" s="507"/>
      <c r="EZ88" s="507"/>
      <c r="FA88" s="507"/>
      <c r="FB88" s="507"/>
      <c r="FC88" s="507"/>
      <c r="FD88" s="507"/>
      <c r="FE88" s="507"/>
      <c r="FF88" s="507"/>
      <c r="FG88" s="507"/>
      <c r="FH88" s="507"/>
      <c r="FI88" s="507"/>
      <c r="FJ88" s="507"/>
      <c r="FK88" s="507"/>
      <c r="FL88" s="507"/>
      <c r="FM88" s="507"/>
      <c r="FN88" s="507"/>
      <c r="FO88" s="507"/>
      <c r="FP88" s="507"/>
      <c r="FQ88" s="507"/>
      <c r="FR88" s="507"/>
      <c r="FS88" s="507"/>
      <c r="FT88" s="507"/>
      <c r="FU88" s="507"/>
      <c r="FV88" s="507"/>
      <c r="FW88" s="507"/>
      <c r="FX88" s="507"/>
      <c r="FY88" s="507"/>
      <c r="FZ88" s="507"/>
      <c r="GA88" s="507"/>
      <c r="GB88" s="507"/>
      <c r="GC88" s="507"/>
      <c r="GD88" s="507"/>
      <c r="GE88" s="507"/>
      <c r="GF88" s="507"/>
      <c r="GG88" s="507"/>
      <c r="GH88" s="507"/>
      <c r="GI88" s="507"/>
      <c r="GJ88" s="507"/>
      <c r="GK88" s="507"/>
      <c r="GL88" s="507"/>
      <c r="GM88" s="507"/>
      <c r="GN88" s="507"/>
      <c r="GO88" s="507"/>
      <c r="GP88" s="507"/>
      <c r="GQ88" s="507"/>
      <c r="GR88" s="507"/>
      <c r="GS88" s="507"/>
      <c r="GT88" s="507"/>
      <c r="GU88" s="507"/>
      <c r="GV88" s="507"/>
      <c r="GW88" s="507"/>
      <c r="GX88" s="507"/>
      <c r="GY88" s="507"/>
      <c r="GZ88" s="507"/>
      <c r="HA88" s="507"/>
      <c r="HB88" s="507"/>
      <c r="HC88" s="507"/>
      <c r="HD88" s="507"/>
      <c r="HE88" s="507"/>
      <c r="HF88" s="507"/>
      <c r="HG88" s="507"/>
      <c r="HH88" s="507"/>
      <c r="HI88" s="507"/>
      <c r="HJ88" s="507"/>
      <c r="HK88" s="507"/>
      <c r="HL88" s="507"/>
      <c r="HM88" s="507"/>
      <c r="HN88" s="507"/>
      <c r="HO88" s="507"/>
      <c r="HP88" s="507"/>
      <c r="HQ88" s="507"/>
      <c r="HR88" s="507"/>
      <c r="HS88" s="507"/>
      <c r="HT88" s="507"/>
      <c r="HU88" s="507"/>
      <c r="HV88" s="507"/>
      <c r="HW88" s="507"/>
      <c r="HX88" s="507"/>
      <c r="HY88" s="507"/>
      <c r="HZ88" s="507"/>
    </row>
    <row r="89" spans="1:234" s="206" customFormat="1" ht="15.9" hidden="1" customHeight="1" x14ac:dyDescent="0.25">
      <c r="A89" s="522" t="s">
        <v>487</v>
      </c>
      <c r="B89" s="523" t="s">
        <v>736</v>
      </c>
      <c r="C89" s="526" t="s">
        <v>755</v>
      </c>
      <c r="D89" s="570" t="s">
        <v>491</v>
      </c>
      <c r="E89" s="569" t="s">
        <v>3228</v>
      </c>
      <c r="F89" s="543">
        <v>38868</v>
      </c>
      <c r="G89" s="544">
        <v>38810</v>
      </c>
      <c r="H89" s="562">
        <v>38861</v>
      </c>
      <c r="I89" s="546">
        <v>40724</v>
      </c>
      <c r="J89" s="547">
        <v>10</v>
      </c>
      <c r="K89" s="553" t="s">
        <v>3229</v>
      </c>
      <c r="L89" s="552" t="s">
        <v>3229</v>
      </c>
      <c r="M89" s="550">
        <v>0.06</v>
      </c>
      <c r="N89" s="606">
        <v>0.6</v>
      </c>
      <c r="O89" s="552"/>
      <c r="P89" s="552"/>
      <c r="Q89" s="552"/>
      <c r="R89" s="552"/>
      <c r="S89" s="567"/>
      <c r="T89" s="555" t="s">
        <v>3229</v>
      </c>
      <c r="U89" s="555" t="s">
        <v>3229</v>
      </c>
      <c r="V89" s="553" t="s">
        <v>3229</v>
      </c>
      <c r="W89" s="553" t="s">
        <v>3229</v>
      </c>
      <c r="X89" s="553" t="s">
        <v>3229</v>
      </c>
      <c r="Y89" s="553" t="s">
        <v>3229</v>
      </c>
      <c r="Z89" s="553" t="s">
        <v>3229</v>
      </c>
      <c r="AA89" s="553" t="s">
        <v>3229</v>
      </c>
      <c r="AB89" s="553" t="s">
        <v>3229</v>
      </c>
      <c r="AC89" s="553" t="s">
        <v>3229</v>
      </c>
      <c r="AD89" s="553" t="s">
        <v>3229</v>
      </c>
      <c r="AE89" s="552" t="s">
        <v>3229</v>
      </c>
      <c r="AF89" s="3764" t="s">
        <v>781</v>
      </c>
      <c r="AG89" s="3765"/>
      <c r="AH89" s="622" t="s">
        <v>3229</v>
      </c>
      <c r="AI89" s="622" t="s">
        <v>3229</v>
      </c>
      <c r="AJ89" s="622" t="s">
        <v>3229</v>
      </c>
      <c r="AK89" s="566" t="s">
        <v>3229</v>
      </c>
      <c r="AL89" s="622" t="s">
        <v>3229</v>
      </c>
      <c r="AM89" s="590">
        <v>1</v>
      </c>
      <c r="AN89" s="576">
        <v>0.06</v>
      </c>
      <c r="AO89" s="652">
        <v>10.6</v>
      </c>
      <c r="AP89" s="1368">
        <v>-0.28915375000000004</v>
      </c>
      <c r="AQ89" s="658">
        <v>-0.24851861134371583</v>
      </c>
      <c r="AR89" s="632" t="s">
        <v>3660</v>
      </c>
      <c r="AS89" s="558"/>
      <c r="AT89" s="648"/>
      <c r="AU89" s="587"/>
      <c r="AV89" s="558">
        <f t="shared" si="14"/>
        <v>0.06</v>
      </c>
      <c r="AW89" s="558">
        <f t="shared" si="13"/>
        <v>1.1525040707485834E-2</v>
      </c>
      <c r="AX89" s="589">
        <f>J89*(1+AV89)/AO89-1</f>
        <v>0</v>
      </c>
      <c r="AY89" s="587" t="e">
        <f>POWER(1+AX89,1/AG89)-1</f>
        <v>#DIV/0!</v>
      </c>
      <c r="AZ89" s="642">
        <f>J89*(1+AV89)</f>
        <v>10.600000000000001</v>
      </c>
      <c r="BA89" s="644" t="s">
        <v>275</v>
      </c>
      <c r="BB89" s="570"/>
      <c r="BC89" s="637"/>
      <c r="BD89" s="3708"/>
      <c r="BE89" s="3743"/>
      <c r="BF89" s="3743"/>
      <c r="BG89" s="3708"/>
      <c r="BH89" s="3762"/>
      <c r="BI89" s="3762"/>
      <c r="BJ89" s="39"/>
      <c r="BK89" s="39"/>
      <c r="BL89" s="39"/>
      <c r="BM89" s="39"/>
      <c r="BN89" s="39"/>
      <c r="BO89" s="39"/>
      <c r="BP89" s="39"/>
      <c r="BQ89" s="39"/>
      <c r="BR89" s="39"/>
      <c r="BS89" s="507"/>
      <c r="BT89" s="507"/>
      <c r="BU89" s="507"/>
      <c r="BV89" s="507"/>
      <c r="BW89" s="507"/>
      <c r="BX89" s="507"/>
      <c r="BY89" s="507"/>
      <c r="BZ89" s="507"/>
      <c r="CA89" s="507"/>
      <c r="CB89" s="507"/>
      <c r="CC89" s="507"/>
      <c r="CD89" s="507"/>
      <c r="CE89" s="507"/>
      <c r="CF89" s="507"/>
      <c r="CG89" s="507"/>
      <c r="CH89" s="507"/>
      <c r="CI89" s="507"/>
      <c r="CJ89" s="507"/>
      <c r="CK89" s="507"/>
      <c r="CL89" s="507"/>
      <c r="CM89" s="507"/>
      <c r="CN89" s="507"/>
      <c r="CO89" s="507"/>
      <c r="CP89" s="507"/>
      <c r="CQ89" s="507"/>
      <c r="CR89" s="507"/>
      <c r="CS89" s="507"/>
      <c r="CT89" s="507"/>
      <c r="CU89" s="507"/>
      <c r="CV89" s="507"/>
      <c r="CW89" s="507"/>
      <c r="CX89" s="507"/>
      <c r="CY89" s="507"/>
      <c r="CZ89" s="507"/>
      <c r="DA89" s="507"/>
      <c r="DB89" s="507"/>
      <c r="DC89" s="507"/>
      <c r="DD89" s="507"/>
      <c r="DE89" s="507"/>
      <c r="DF89" s="507"/>
      <c r="DG89" s="507"/>
      <c r="DH89" s="507"/>
      <c r="DI89" s="507"/>
      <c r="DJ89" s="507"/>
      <c r="DK89" s="507"/>
      <c r="DL89" s="507"/>
      <c r="DM89" s="507"/>
      <c r="DN89" s="507"/>
      <c r="DO89" s="507"/>
      <c r="DP89" s="507"/>
      <c r="DQ89" s="507"/>
      <c r="DR89" s="507"/>
      <c r="DS89" s="507"/>
      <c r="DT89" s="507"/>
      <c r="DU89" s="507"/>
      <c r="DV89" s="507"/>
      <c r="DW89" s="507"/>
      <c r="DX89" s="507"/>
      <c r="DY89" s="507"/>
      <c r="DZ89" s="507"/>
      <c r="EA89" s="507"/>
      <c r="EB89" s="507"/>
      <c r="EC89" s="507"/>
      <c r="ED89" s="507"/>
      <c r="EE89" s="507"/>
      <c r="EF89" s="507"/>
      <c r="EG89" s="507"/>
      <c r="EH89" s="507"/>
      <c r="EI89" s="507"/>
      <c r="EJ89" s="507"/>
      <c r="EK89" s="507"/>
      <c r="EL89" s="507"/>
      <c r="EM89" s="507"/>
      <c r="EN89" s="507"/>
      <c r="EO89" s="507"/>
      <c r="EP89" s="507"/>
      <c r="EQ89" s="507"/>
      <c r="ER89" s="507"/>
      <c r="ES89" s="507"/>
      <c r="ET89" s="507"/>
      <c r="EU89" s="507"/>
      <c r="EV89" s="507"/>
      <c r="EW89" s="507"/>
      <c r="EX89" s="507"/>
      <c r="EY89" s="507"/>
      <c r="EZ89" s="507"/>
      <c r="FA89" s="507"/>
      <c r="FB89" s="507"/>
      <c r="FC89" s="507"/>
      <c r="FD89" s="507"/>
      <c r="FE89" s="507"/>
      <c r="FF89" s="507"/>
      <c r="FG89" s="507"/>
      <c r="FH89" s="507"/>
      <c r="FI89" s="507"/>
      <c r="FJ89" s="507"/>
      <c r="FK89" s="507"/>
      <c r="FL89" s="507"/>
      <c r="FM89" s="507"/>
      <c r="FN89" s="507"/>
      <c r="FO89" s="507"/>
      <c r="FP89" s="507"/>
      <c r="FQ89" s="507"/>
      <c r="FR89" s="507"/>
      <c r="FS89" s="507"/>
      <c r="FT89" s="507"/>
      <c r="FU89" s="507"/>
      <c r="FV89" s="507"/>
      <c r="FW89" s="507"/>
      <c r="FX89" s="507"/>
      <c r="FY89" s="507"/>
      <c r="FZ89" s="507"/>
      <c r="GA89" s="507"/>
      <c r="GB89" s="507"/>
      <c r="GC89" s="507"/>
      <c r="GD89" s="507"/>
      <c r="GE89" s="507"/>
      <c r="GF89" s="507"/>
      <c r="GG89" s="507"/>
      <c r="GH89" s="507"/>
      <c r="GI89" s="507"/>
      <c r="GJ89" s="507"/>
      <c r="GK89" s="507"/>
      <c r="GL89" s="507"/>
      <c r="GM89" s="507"/>
      <c r="GN89" s="507"/>
      <c r="GO89" s="507"/>
      <c r="GP89" s="507"/>
      <c r="GQ89" s="507"/>
      <c r="GR89" s="507"/>
      <c r="GS89" s="507"/>
      <c r="GT89" s="507"/>
      <c r="GU89" s="507"/>
      <c r="GV89" s="507"/>
      <c r="GW89" s="507"/>
      <c r="GX89" s="507"/>
      <c r="GY89" s="507"/>
      <c r="GZ89" s="507"/>
      <c r="HA89" s="507"/>
      <c r="HB89" s="507"/>
      <c r="HC89" s="507"/>
      <c r="HD89" s="507"/>
      <c r="HE89" s="507"/>
      <c r="HF89" s="507"/>
      <c r="HG89" s="507"/>
      <c r="HH89" s="507"/>
      <c r="HI89" s="507"/>
      <c r="HJ89" s="507"/>
      <c r="HK89" s="507"/>
      <c r="HL89" s="507"/>
      <c r="HM89" s="507"/>
      <c r="HN89" s="507"/>
      <c r="HO89" s="507"/>
      <c r="HP89" s="507"/>
      <c r="HQ89" s="507"/>
      <c r="HR89" s="507"/>
      <c r="HS89" s="507"/>
      <c r="HT89" s="507"/>
      <c r="HU89" s="507"/>
      <c r="HV89" s="507"/>
      <c r="HW89" s="507"/>
      <c r="HX89" s="507"/>
      <c r="HY89" s="507"/>
      <c r="HZ89" s="507"/>
    </row>
    <row r="90" spans="1:234" s="232" customFormat="1" ht="15.9" hidden="1" customHeight="1" x14ac:dyDescent="0.25">
      <c r="A90" s="522" t="s">
        <v>228</v>
      </c>
      <c r="B90" s="523" t="s">
        <v>913</v>
      </c>
      <c r="C90" s="527" t="s">
        <v>286</v>
      </c>
      <c r="D90" s="570" t="s">
        <v>189</v>
      </c>
      <c r="E90" s="569" t="s">
        <v>3228</v>
      </c>
      <c r="F90" s="543">
        <v>38863</v>
      </c>
      <c r="G90" s="544">
        <v>38817</v>
      </c>
      <c r="H90" s="557">
        <v>38856</v>
      </c>
      <c r="I90" s="546">
        <v>41089</v>
      </c>
      <c r="J90" s="547">
        <v>10</v>
      </c>
      <c r="K90" s="553"/>
      <c r="L90" s="552"/>
      <c r="M90" s="549">
        <v>0</v>
      </c>
      <c r="N90" s="606">
        <v>0.68</v>
      </c>
      <c r="O90" s="551"/>
      <c r="P90" s="576"/>
      <c r="Q90" s="570"/>
      <c r="R90" s="570"/>
      <c r="S90" s="577"/>
      <c r="T90" s="553" t="s">
        <v>3229</v>
      </c>
      <c r="U90" s="553" t="s">
        <v>3229</v>
      </c>
      <c r="V90" s="553" t="s">
        <v>3229</v>
      </c>
      <c r="W90" s="553" t="s">
        <v>3229</v>
      </c>
      <c r="X90" s="553" t="s">
        <v>3229</v>
      </c>
      <c r="Y90" s="553" t="s">
        <v>3229</v>
      </c>
      <c r="Z90" s="553" t="s">
        <v>3229</v>
      </c>
      <c r="AA90" s="553" t="s">
        <v>3229</v>
      </c>
      <c r="AB90" s="553" t="s">
        <v>3229</v>
      </c>
      <c r="AC90" s="553" t="s">
        <v>3229</v>
      </c>
      <c r="AD90" s="553" t="s">
        <v>3229</v>
      </c>
      <c r="AE90" s="553" t="s">
        <v>3229</v>
      </c>
      <c r="AF90" s="3764" t="s">
        <v>781</v>
      </c>
      <c r="AG90" s="3765"/>
      <c r="AH90" s="553" t="s">
        <v>3229</v>
      </c>
      <c r="AI90" s="553" t="s">
        <v>3229</v>
      </c>
      <c r="AJ90" s="553" t="s">
        <v>3229</v>
      </c>
      <c r="AK90" s="566" t="s">
        <v>3229</v>
      </c>
      <c r="AL90" s="553" t="s">
        <v>3229</v>
      </c>
      <c r="AM90" s="659" t="s">
        <v>3229</v>
      </c>
      <c r="AN90" s="606">
        <v>0</v>
      </c>
      <c r="AO90" s="660">
        <v>9.92</v>
      </c>
      <c r="AP90" s="1368">
        <v>-0.42065424443880972</v>
      </c>
      <c r="AQ90" s="1632">
        <v>-0.43109713397080107</v>
      </c>
      <c r="AR90" s="558" t="s">
        <v>3660</v>
      </c>
      <c r="AS90" s="558"/>
      <c r="AT90" s="650"/>
      <c r="AU90" s="552"/>
      <c r="AV90" s="558">
        <f t="shared" si="14"/>
        <v>0</v>
      </c>
      <c r="AW90" s="558">
        <f t="shared" si="13"/>
        <v>0</v>
      </c>
      <c r="AX90" s="553"/>
      <c r="AY90" s="552"/>
      <c r="AZ90" s="642">
        <f>J90*(1+AV90)</f>
        <v>10</v>
      </c>
      <c r="BA90" s="644" t="s">
        <v>3190</v>
      </c>
      <c r="BB90" s="570"/>
      <c r="BC90" s="637"/>
      <c r="BD90" s="3708"/>
      <c r="BE90" s="3743"/>
      <c r="BF90" s="3743"/>
      <c r="BG90" s="3708"/>
      <c r="BH90" s="3762"/>
      <c r="BI90" s="3762"/>
      <c r="BJ90" s="39"/>
      <c r="BK90" s="39"/>
      <c r="BL90" s="39"/>
      <c r="BM90" s="39"/>
      <c r="BN90" s="39"/>
      <c r="BO90" s="39"/>
      <c r="BP90" s="39"/>
      <c r="BQ90" s="39"/>
      <c r="BR90" s="39"/>
      <c r="BS90" s="507"/>
      <c r="BT90" s="507"/>
      <c r="BU90" s="507"/>
      <c r="BV90" s="507"/>
      <c r="BW90" s="507"/>
      <c r="BX90" s="507"/>
      <c r="BY90" s="507"/>
      <c r="BZ90" s="507"/>
      <c r="CA90" s="507"/>
      <c r="CB90" s="507"/>
      <c r="CC90" s="507"/>
      <c r="CD90" s="507"/>
      <c r="CE90" s="507"/>
      <c r="CF90" s="507"/>
      <c r="CG90" s="507"/>
      <c r="CH90" s="507"/>
      <c r="CI90" s="507"/>
      <c r="CJ90" s="507"/>
      <c r="CK90" s="507"/>
      <c r="CL90" s="507"/>
      <c r="CM90" s="507"/>
      <c r="CN90" s="507"/>
      <c r="CO90" s="507"/>
      <c r="CP90" s="507"/>
      <c r="CQ90" s="507"/>
      <c r="CR90" s="507"/>
      <c r="CS90" s="507"/>
      <c r="CT90" s="507"/>
      <c r="CU90" s="507"/>
      <c r="CV90" s="507"/>
      <c r="CW90" s="507"/>
      <c r="CX90" s="507"/>
      <c r="CY90" s="507"/>
      <c r="CZ90" s="507"/>
      <c r="DA90" s="507"/>
      <c r="DB90" s="507"/>
      <c r="DC90" s="507"/>
      <c r="DD90" s="507"/>
      <c r="DE90" s="507"/>
      <c r="DF90" s="507"/>
      <c r="DG90" s="507"/>
      <c r="DH90" s="507"/>
      <c r="DI90" s="507"/>
      <c r="DJ90" s="507"/>
      <c r="DK90" s="507"/>
      <c r="DL90" s="507"/>
      <c r="DM90" s="507"/>
      <c r="DN90" s="507"/>
      <c r="DO90" s="507"/>
      <c r="DP90" s="507"/>
      <c r="DQ90" s="507"/>
      <c r="DR90" s="507"/>
      <c r="DS90" s="507"/>
      <c r="DT90" s="507"/>
      <c r="DU90" s="507"/>
      <c r="DV90" s="507"/>
      <c r="DW90" s="507"/>
      <c r="DX90" s="507"/>
      <c r="DY90" s="507"/>
      <c r="DZ90" s="507"/>
      <c r="EA90" s="507"/>
      <c r="EB90" s="507"/>
      <c r="EC90" s="507"/>
      <c r="ED90" s="507"/>
      <c r="EE90" s="507"/>
      <c r="EF90" s="507"/>
      <c r="EG90" s="507"/>
      <c r="EH90" s="507"/>
      <c r="EI90" s="507"/>
      <c r="EJ90" s="507"/>
      <c r="EK90" s="507"/>
      <c r="EL90" s="507"/>
      <c r="EM90" s="507"/>
      <c r="EN90" s="507"/>
      <c r="EO90" s="507"/>
      <c r="EP90" s="507"/>
      <c r="EQ90" s="507"/>
      <c r="ER90" s="507"/>
      <c r="ES90" s="507"/>
      <c r="ET90" s="507"/>
      <c r="EU90" s="507"/>
      <c r="EV90" s="507"/>
      <c r="EW90" s="507"/>
      <c r="EX90" s="507"/>
      <c r="EY90" s="507"/>
      <c r="EZ90" s="507"/>
      <c r="FA90" s="507"/>
      <c r="FB90" s="507"/>
      <c r="FC90" s="507"/>
      <c r="FD90" s="507"/>
      <c r="FE90" s="507"/>
      <c r="FF90" s="507"/>
      <c r="FG90" s="507"/>
      <c r="FH90" s="507"/>
      <c r="FI90" s="507"/>
      <c r="FJ90" s="507"/>
      <c r="FK90" s="507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7"/>
      <c r="GM90" s="507"/>
      <c r="GN90" s="507"/>
      <c r="GO90" s="507"/>
      <c r="GP90" s="507"/>
      <c r="GQ90" s="507"/>
      <c r="GR90" s="507"/>
      <c r="GS90" s="507"/>
      <c r="GT90" s="507"/>
      <c r="GU90" s="507"/>
      <c r="GV90" s="507"/>
      <c r="GW90" s="507"/>
      <c r="GX90" s="507"/>
      <c r="GY90" s="507"/>
      <c r="GZ90" s="507"/>
      <c r="HA90" s="507"/>
      <c r="HB90" s="507"/>
      <c r="HC90" s="507"/>
      <c r="HD90" s="507"/>
      <c r="HE90" s="507"/>
      <c r="HF90" s="507"/>
      <c r="HG90" s="507"/>
      <c r="HH90" s="507"/>
      <c r="HI90" s="507"/>
      <c r="HJ90" s="507"/>
      <c r="HK90" s="507"/>
      <c r="HL90" s="507"/>
      <c r="HM90" s="507"/>
      <c r="HN90" s="507"/>
      <c r="HO90" s="507"/>
      <c r="HP90" s="507"/>
      <c r="HQ90" s="507"/>
      <c r="HR90" s="507"/>
      <c r="HS90" s="507"/>
      <c r="HT90" s="507"/>
      <c r="HU90" s="507"/>
      <c r="HV90" s="507"/>
      <c r="HW90" s="507"/>
      <c r="HX90" s="507"/>
      <c r="HY90" s="507"/>
      <c r="HZ90" s="507"/>
    </row>
    <row r="91" spans="1:234" s="232" customFormat="1" ht="15.9" hidden="1" customHeight="1" x14ac:dyDescent="0.25">
      <c r="A91" s="522" t="s">
        <v>1961</v>
      </c>
      <c r="B91" s="523" t="s">
        <v>246</v>
      </c>
      <c r="C91" s="529" t="s">
        <v>1116</v>
      </c>
      <c r="D91" s="570" t="s">
        <v>189</v>
      </c>
      <c r="E91" s="569" t="s">
        <v>3228</v>
      </c>
      <c r="F91" s="557">
        <v>38863</v>
      </c>
      <c r="G91" s="544">
        <v>38817</v>
      </c>
      <c r="H91" s="562">
        <v>38856</v>
      </c>
      <c r="I91" s="546">
        <v>39994</v>
      </c>
      <c r="J91" s="547">
        <v>10</v>
      </c>
      <c r="K91" s="553" t="s">
        <v>3229</v>
      </c>
      <c r="L91" s="552" t="s">
        <v>3229</v>
      </c>
      <c r="M91" s="560">
        <v>0</v>
      </c>
      <c r="N91" s="606" t="s">
        <v>3229</v>
      </c>
      <c r="O91" s="551" t="s">
        <v>3229</v>
      </c>
      <c r="P91" s="576">
        <v>0.5</v>
      </c>
      <c r="Q91" s="570" t="s">
        <v>3229</v>
      </c>
      <c r="R91" s="570" t="s">
        <v>3229</v>
      </c>
      <c r="S91" s="577">
        <v>36</v>
      </c>
      <c r="T91" s="3777" t="s">
        <v>250</v>
      </c>
      <c r="U91" s="3777"/>
      <c r="V91" s="3777"/>
      <c r="W91" s="3777"/>
      <c r="X91" s="3777"/>
      <c r="Y91" s="3777"/>
      <c r="Z91" s="3777"/>
      <c r="AA91" s="3777"/>
      <c r="AB91" s="3777"/>
      <c r="AC91" s="3777"/>
      <c r="AD91" s="3777"/>
      <c r="AE91" s="3778"/>
      <c r="AF91" s="3764" t="s">
        <v>781</v>
      </c>
      <c r="AG91" s="3765"/>
      <c r="AH91" s="623">
        <v>1</v>
      </c>
      <c r="AI91" s="622" t="s">
        <v>3229</v>
      </c>
      <c r="AJ91" s="622" t="s">
        <v>3229</v>
      </c>
      <c r="AK91" s="566" t="s">
        <v>3229</v>
      </c>
      <c r="AL91" s="622" t="s">
        <v>3229</v>
      </c>
      <c r="AM91" s="590" t="s">
        <v>3229</v>
      </c>
      <c r="AN91" s="576">
        <v>0</v>
      </c>
      <c r="AO91" s="662">
        <v>10</v>
      </c>
      <c r="AP91" s="1368"/>
      <c r="AQ91" s="658" t="s">
        <v>3229</v>
      </c>
      <c r="AR91" s="558">
        <f>AN91</f>
        <v>0</v>
      </c>
      <c r="AS91" s="558">
        <f>POWER(1+AR91,1/((I91-F91)/365))-1</f>
        <v>0</v>
      </c>
      <c r="AT91" s="589"/>
      <c r="AU91" s="559"/>
      <c r="AV91" s="558">
        <f t="shared" si="14"/>
        <v>0</v>
      </c>
      <c r="AW91" s="558">
        <f t="shared" si="13"/>
        <v>0</v>
      </c>
      <c r="AX91" s="558"/>
      <c r="AY91" s="559"/>
      <c r="AZ91" s="642">
        <f>J91*(1+AV91)</f>
        <v>10</v>
      </c>
      <c r="BA91" s="644" t="s">
        <v>3191</v>
      </c>
      <c r="BB91" s="570"/>
      <c r="BC91" s="637"/>
      <c r="BD91" s="3708"/>
      <c r="BE91" s="3743"/>
      <c r="BF91" s="3743"/>
      <c r="BG91" s="3708"/>
      <c r="BH91" s="3762"/>
      <c r="BI91" s="3762"/>
      <c r="BJ91" s="39"/>
      <c r="BK91" s="39"/>
      <c r="BL91" s="39"/>
      <c r="BM91" s="39"/>
      <c r="BN91" s="39"/>
      <c r="BO91" s="39"/>
      <c r="BP91" s="39"/>
      <c r="BQ91" s="39"/>
      <c r="BR91" s="39"/>
      <c r="BS91" s="507"/>
      <c r="BT91" s="507"/>
      <c r="BU91" s="507"/>
      <c r="BV91" s="507"/>
      <c r="BW91" s="507"/>
      <c r="BX91" s="507"/>
      <c r="BY91" s="507"/>
      <c r="BZ91" s="507"/>
      <c r="CA91" s="507"/>
      <c r="CB91" s="507"/>
      <c r="CC91" s="507"/>
      <c r="CD91" s="507"/>
      <c r="CE91" s="507"/>
      <c r="CF91" s="507"/>
      <c r="CG91" s="507"/>
      <c r="CH91" s="507"/>
      <c r="CI91" s="507"/>
      <c r="CJ91" s="507"/>
      <c r="CK91" s="507"/>
      <c r="CL91" s="507"/>
      <c r="CM91" s="507"/>
      <c r="CN91" s="507"/>
      <c r="CO91" s="507"/>
      <c r="CP91" s="507"/>
      <c r="CQ91" s="507"/>
      <c r="CR91" s="507"/>
      <c r="CS91" s="507"/>
      <c r="CT91" s="507"/>
      <c r="CU91" s="507"/>
      <c r="CV91" s="507"/>
      <c r="CW91" s="507"/>
      <c r="CX91" s="507"/>
      <c r="CY91" s="507"/>
      <c r="CZ91" s="507"/>
      <c r="DA91" s="507"/>
      <c r="DB91" s="507"/>
      <c r="DC91" s="507"/>
      <c r="DD91" s="507"/>
      <c r="DE91" s="507"/>
      <c r="DF91" s="507"/>
      <c r="DG91" s="507"/>
      <c r="DH91" s="507"/>
      <c r="DI91" s="507"/>
      <c r="DJ91" s="507"/>
      <c r="DK91" s="507"/>
      <c r="DL91" s="507"/>
      <c r="DM91" s="507"/>
      <c r="DN91" s="507"/>
      <c r="DO91" s="507"/>
      <c r="DP91" s="507"/>
      <c r="DQ91" s="507"/>
      <c r="DR91" s="507"/>
      <c r="DS91" s="507"/>
      <c r="DT91" s="507"/>
      <c r="DU91" s="507"/>
      <c r="DV91" s="507"/>
      <c r="DW91" s="507"/>
      <c r="DX91" s="507"/>
      <c r="DY91" s="507"/>
      <c r="DZ91" s="507"/>
      <c r="EA91" s="507"/>
      <c r="EB91" s="507"/>
      <c r="EC91" s="507"/>
      <c r="ED91" s="507"/>
      <c r="EE91" s="507"/>
      <c r="EF91" s="507"/>
      <c r="EG91" s="507"/>
      <c r="EH91" s="507"/>
      <c r="EI91" s="507"/>
      <c r="EJ91" s="507"/>
      <c r="EK91" s="507"/>
      <c r="EL91" s="507"/>
      <c r="EM91" s="507"/>
      <c r="EN91" s="507"/>
      <c r="EO91" s="507"/>
      <c r="EP91" s="507"/>
      <c r="EQ91" s="507"/>
      <c r="ER91" s="507"/>
      <c r="ES91" s="507"/>
      <c r="ET91" s="507"/>
      <c r="EU91" s="507"/>
      <c r="EV91" s="507"/>
      <c r="EW91" s="507"/>
      <c r="EX91" s="507"/>
      <c r="EY91" s="507"/>
      <c r="EZ91" s="507"/>
      <c r="FA91" s="507"/>
      <c r="FB91" s="507"/>
      <c r="FC91" s="507"/>
      <c r="FD91" s="507"/>
      <c r="FE91" s="507"/>
      <c r="FF91" s="507"/>
      <c r="FG91" s="507"/>
      <c r="FH91" s="507"/>
      <c r="FI91" s="507"/>
      <c r="FJ91" s="507"/>
      <c r="FK91" s="507"/>
      <c r="FL91" s="507"/>
      <c r="FM91" s="507"/>
      <c r="FN91" s="507"/>
      <c r="FO91" s="507"/>
      <c r="FP91" s="507"/>
      <c r="FQ91" s="507"/>
      <c r="FR91" s="507"/>
      <c r="FS91" s="507"/>
      <c r="FT91" s="507"/>
      <c r="FU91" s="507"/>
      <c r="FV91" s="507"/>
      <c r="FW91" s="507"/>
      <c r="FX91" s="507"/>
      <c r="FY91" s="507"/>
      <c r="FZ91" s="507"/>
      <c r="GA91" s="507"/>
      <c r="GB91" s="507"/>
      <c r="GC91" s="507"/>
      <c r="GD91" s="507"/>
      <c r="GE91" s="507"/>
      <c r="GF91" s="507"/>
      <c r="GG91" s="507"/>
      <c r="GH91" s="507"/>
      <c r="GI91" s="507"/>
      <c r="GJ91" s="507"/>
      <c r="GK91" s="507"/>
      <c r="GL91" s="507"/>
      <c r="GM91" s="507"/>
      <c r="GN91" s="507"/>
      <c r="GO91" s="507"/>
      <c r="GP91" s="507"/>
      <c r="GQ91" s="507"/>
      <c r="GR91" s="507"/>
      <c r="GS91" s="507"/>
      <c r="GT91" s="507"/>
      <c r="GU91" s="507"/>
      <c r="GV91" s="507"/>
      <c r="GW91" s="507"/>
      <c r="GX91" s="507"/>
      <c r="GY91" s="507"/>
      <c r="GZ91" s="507"/>
      <c r="HA91" s="507"/>
      <c r="HB91" s="507"/>
      <c r="HC91" s="507"/>
      <c r="HD91" s="507"/>
      <c r="HE91" s="507"/>
      <c r="HF91" s="507"/>
      <c r="HG91" s="507"/>
      <c r="HH91" s="507"/>
      <c r="HI91" s="507"/>
      <c r="HJ91" s="507"/>
      <c r="HK91" s="507"/>
      <c r="HL91" s="507"/>
      <c r="HM91" s="507"/>
      <c r="HN91" s="507"/>
      <c r="HO91" s="507"/>
      <c r="HP91" s="507"/>
      <c r="HQ91" s="507"/>
      <c r="HR91" s="507"/>
      <c r="HS91" s="507"/>
      <c r="HT91" s="507"/>
      <c r="HU91" s="507"/>
      <c r="HV91" s="507"/>
      <c r="HW91" s="507"/>
      <c r="HX91" s="507"/>
      <c r="HY91" s="507"/>
      <c r="HZ91" s="507"/>
    </row>
    <row r="92" spans="1:234" s="232" customFormat="1" ht="15.9" hidden="1" customHeight="1" x14ac:dyDescent="0.25">
      <c r="A92" s="522" t="s">
        <v>2274</v>
      </c>
      <c r="B92" s="523" t="s">
        <v>754</v>
      </c>
      <c r="C92" s="527" t="s">
        <v>1117</v>
      </c>
      <c r="D92" s="570" t="s">
        <v>4384</v>
      </c>
      <c r="E92" s="569" t="s">
        <v>3228</v>
      </c>
      <c r="F92" s="543">
        <v>38856</v>
      </c>
      <c r="G92" s="544">
        <v>38840</v>
      </c>
      <c r="H92" s="557">
        <v>38849</v>
      </c>
      <c r="I92" s="546">
        <v>41059</v>
      </c>
      <c r="J92" s="547">
        <v>10</v>
      </c>
      <c r="K92" s="553"/>
      <c r="L92" s="552"/>
      <c r="M92" s="549">
        <v>-0.05</v>
      </c>
      <c r="N92" s="606">
        <v>0.75</v>
      </c>
      <c r="O92" s="551"/>
      <c r="P92" s="576"/>
      <c r="Q92" s="570"/>
      <c r="R92" s="570"/>
      <c r="S92" s="577"/>
      <c r="T92" s="553"/>
      <c r="U92" s="553"/>
      <c r="V92" s="553"/>
      <c r="W92" s="553"/>
      <c r="X92" s="553"/>
      <c r="Y92" s="553"/>
      <c r="Z92" s="553"/>
      <c r="AA92" s="553"/>
      <c r="AB92" s="553"/>
      <c r="AC92" s="553"/>
      <c r="AD92" s="553"/>
      <c r="AE92" s="553"/>
      <c r="AF92" s="3764" t="s">
        <v>781</v>
      </c>
      <c r="AG92" s="3765"/>
      <c r="AH92" s="553" t="s">
        <v>3229</v>
      </c>
      <c r="AI92" s="553" t="s">
        <v>3229</v>
      </c>
      <c r="AJ92" s="553" t="s">
        <v>3229</v>
      </c>
      <c r="AK92" s="566" t="s">
        <v>3229</v>
      </c>
      <c r="AL92" s="553" t="s">
        <v>3229</v>
      </c>
      <c r="AM92" s="659">
        <v>1</v>
      </c>
      <c r="AN92" s="606">
        <v>0.30470449999999999</v>
      </c>
      <c r="AO92" s="660">
        <v>13.05</v>
      </c>
      <c r="AP92" s="1368">
        <v>0.47293933333333332</v>
      </c>
      <c r="AQ92" s="1632">
        <v>0.47290734026210224</v>
      </c>
      <c r="AR92" s="558" t="s">
        <v>3660</v>
      </c>
      <c r="AS92" s="558"/>
      <c r="AT92" s="650"/>
      <c r="AU92" s="552"/>
      <c r="AV92" s="558">
        <f t="shared" si="14"/>
        <v>-0.05</v>
      </c>
      <c r="AW92" s="558">
        <f t="shared" si="13"/>
        <v>-8.4624254478609107E-3</v>
      </c>
      <c r="AX92" s="553"/>
      <c r="AY92" s="552"/>
      <c r="AZ92" s="642">
        <f>J92*(1+AV92)</f>
        <v>9.5</v>
      </c>
      <c r="BA92" s="644" t="s">
        <v>3190</v>
      </c>
      <c r="BB92" s="570"/>
      <c r="BC92" s="637"/>
      <c r="BD92" s="3708"/>
      <c r="BE92" s="3743"/>
      <c r="BF92" s="3743"/>
      <c r="BG92" s="3708"/>
      <c r="BH92" s="3762"/>
      <c r="BI92" s="3762"/>
      <c r="BJ92" s="39"/>
      <c r="BK92" s="39"/>
      <c r="BL92" s="39"/>
      <c r="BM92" s="39"/>
      <c r="BN92" s="39"/>
      <c r="BO92" s="39"/>
      <c r="BP92" s="39"/>
      <c r="BQ92" s="39"/>
      <c r="BR92" s="39"/>
      <c r="BS92" s="507"/>
      <c r="BT92" s="507"/>
      <c r="BU92" s="507"/>
      <c r="BV92" s="507"/>
      <c r="BW92" s="507"/>
      <c r="BX92" s="507"/>
      <c r="BY92" s="507"/>
      <c r="BZ92" s="507"/>
      <c r="CA92" s="507"/>
      <c r="CB92" s="507"/>
      <c r="CC92" s="507"/>
      <c r="CD92" s="507"/>
      <c r="CE92" s="507"/>
      <c r="CF92" s="507"/>
      <c r="CG92" s="507"/>
      <c r="CH92" s="507"/>
      <c r="CI92" s="507"/>
      <c r="CJ92" s="507"/>
      <c r="CK92" s="507"/>
      <c r="CL92" s="507"/>
      <c r="CM92" s="507"/>
      <c r="CN92" s="507"/>
      <c r="CO92" s="507"/>
      <c r="CP92" s="507"/>
      <c r="CQ92" s="507"/>
      <c r="CR92" s="507"/>
      <c r="CS92" s="507"/>
      <c r="CT92" s="507"/>
      <c r="CU92" s="507"/>
      <c r="CV92" s="507"/>
      <c r="CW92" s="507"/>
      <c r="CX92" s="507"/>
      <c r="CY92" s="507"/>
      <c r="CZ92" s="507"/>
      <c r="DA92" s="507"/>
      <c r="DB92" s="507"/>
      <c r="DC92" s="507"/>
      <c r="DD92" s="507"/>
      <c r="DE92" s="507"/>
      <c r="DF92" s="507"/>
      <c r="DG92" s="507"/>
      <c r="DH92" s="507"/>
      <c r="DI92" s="507"/>
      <c r="DJ92" s="507"/>
      <c r="DK92" s="507"/>
      <c r="DL92" s="507"/>
      <c r="DM92" s="507"/>
      <c r="DN92" s="507"/>
      <c r="DO92" s="507"/>
      <c r="DP92" s="507"/>
      <c r="DQ92" s="507"/>
      <c r="DR92" s="507"/>
      <c r="DS92" s="507"/>
      <c r="DT92" s="507"/>
      <c r="DU92" s="507"/>
      <c r="DV92" s="507"/>
      <c r="DW92" s="507"/>
      <c r="DX92" s="507"/>
      <c r="DY92" s="507"/>
      <c r="DZ92" s="507"/>
      <c r="EA92" s="507"/>
      <c r="EB92" s="507"/>
      <c r="EC92" s="507"/>
      <c r="ED92" s="507"/>
      <c r="EE92" s="507"/>
      <c r="EF92" s="507"/>
      <c r="EG92" s="507"/>
      <c r="EH92" s="507"/>
      <c r="EI92" s="507"/>
      <c r="EJ92" s="507"/>
      <c r="EK92" s="507"/>
      <c r="EL92" s="507"/>
      <c r="EM92" s="507"/>
      <c r="EN92" s="507"/>
      <c r="EO92" s="507"/>
      <c r="EP92" s="507"/>
      <c r="EQ92" s="507"/>
      <c r="ER92" s="507"/>
      <c r="ES92" s="507"/>
      <c r="ET92" s="507"/>
      <c r="EU92" s="507"/>
      <c r="EV92" s="507"/>
      <c r="EW92" s="507"/>
      <c r="EX92" s="507"/>
      <c r="EY92" s="507"/>
      <c r="EZ92" s="507"/>
      <c r="FA92" s="507"/>
      <c r="FB92" s="507"/>
      <c r="FC92" s="507"/>
      <c r="FD92" s="507"/>
      <c r="FE92" s="507"/>
      <c r="FF92" s="507"/>
      <c r="FG92" s="507"/>
      <c r="FH92" s="507"/>
      <c r="FI92" s="507"/>
      <c r="FJ92" s="507"/>
      <c r="FK92" s="507"/>
      <c r="FL92" s="507"/>
      <c r="FM92" s="507"/>
      <c r="FN92" s="507"/>
      <c r="FO92" s="507"/>
      <c r="FP92" s="507"/>
      <c r="FQ92" s="507"/>
      <c r="FR92" s="507"/>
      <c r="FS92" s="507"/>
      <c r="FT92" s="507"/>
      <c r="FU92" s="507"/>
      <c r="FV92" s="507"/>
      <c r="FW92" s="507"/>
      <c r="FX92" s="507"/>
      <c r="FY92" s="507"/>
      <c r="FZ92" s="507"/>
      <c r="GA92" s="507"/>
      <c r="GB92" s="507"/>
      <c r="GC92" s="507"/>
      <c r="GD92" s="507"/>
      <c r="GE92" s="507"/>
      <c r="GF92" s="507"/>
      <c r="GG92" s="507"/>
      <c r="GH92" s="507"/>
      <c r="GI92" s="507"/>
      <c r="GJ92" s="507"/>
      <c r="GK92" s="507"/>
      <c r="GL92" s="507"/>
      <c r="GM92" s="507"/>
      <c r="GN92" s="507"/>
      <c r="GO92" s="507"/>
      <c r="GP92" s="507"/>
      <c r="GQ92" s="507"/>
      <c r="GR92" s="507"/>
      <c r="GS92" s="507"/>
      <c r="GT92" s="507"/>
      <c r="GU92" s="507"/>
      <c r="GV92" s="507"/>
      <c r="GW92" s="507"/>
      <c r="GX92" s="507"/>
      <c r="GY92" s="507"/>
      <c r="GZ92" s="507"/>
      <c r="HA92" s="507"/>
      <c r="HB92" s="507"/>
      <c r="HC92" s="507"/>
      <c r="HD92" s="507"/>
      <c r="HE92" s="507"/>
      <c r="HF92" s="507"/>
      <c r="HG92" s="507"/>
      <c r="HH92" s="507"/>
      <c r="HI92" s="507"/>
      <c r="HJ92" s="507"/>
      <c r="HK92" s="507"/>
      <c r="HL92" s="507"/>
      <c r="HM92" s="507"/>
      <c r="HN92" s="507"/>
      <c r="HO92" s="507"/>
      <c r="HP92" s="507"/>
      <c r="HQ92" s="507"/>
      <c r="HR92" s="507"/>
      <c r="HS92" s="507"/>
      <c r="HT92" s="507"/>
      <c r="HU92" s="507"/>
      <c r="HV92" s="507"/>
      <c r="HW92" s="507"/>
      <c r="HX92" s="507"/>
      <c r="HY92" s="507"/>
      <c r="HZ92" s="507"/>
    </row>
    <row r="93" spans="1:234" ht="15.9" hidden="1" customHeight="1" x14ac:dyDescent="0.25">
      <c r="A93" s="522" t="s">
        <v>394</v>
      </c>
      <c r="B93" s="523" t="s">
        <v>1226</v>
      </c>
      <c r="C93" s="529" t="s">
        <v>2509</v>
      </c>
      <c r="D93" s="570" t="s">
        <v>2158</v>
      </c>
      <c r="E93" s="569" t="s">
        <v>3228</v>
      </c>
      <c r="F93" s="557">
        <v>38905</v>
      </c>
      <c r="G93" s="544">
        <v>38859</v>
      </c>
      <c r="H93" s="562">
        <v>38898</v>
      </c>
      <c r="I93" s="546">
        <v>41121</v>
      </c>
      <c r="J93" s="547">
        <v>10</v>
      </c>
      <c r="K93" s="553" t="s">
        <v>3229</v>
      </c>
      <c r="L93" s="552" t="s">
        <v>3229</v>
      </c>
      <c r="M93" s="560">
        <v>0.1203</v>
      </c>
      <c r="N93" s="560" t="s">
        <v>3229</v>
      </c>
      <c r="O93" s="551" t="s">
        <v>3229</v>
      </c>
      <c r="P93" s="551" t="s">
        <v>3229</v>
      </c>
      <c r="Q93" s="552">
        <v>4.3999999999999997E-2</v>
      </c>
      <c r="R93" s="570">
        <v>1.5</v>
      </c>
      <c r="S93" s="577">
        <v>6</v>
      </c>
      <c r="T93" s="563">
        <v>39234</v>
      </c>
      <c r="U93" s="563">
        <v>39600</v>
      </c>
      <c r="V93" s="563">
        <v>39965</v>
      </c>
      <c r="W93" s="563">
        <v>40330</v>
      </c>
      <c r="X93" s="563">
        <v>40695</v>
      </c>
      <c r="Y93" s="563">
        <v>41061</v>
      </c>
      <c r="Z93" s="563" t="s">
        <v>3229</v>
      </c>
      <c r="AA93" s="563" t="s">
        <v>3229</v>
      </c>
      <c r="AB93" s="563" t="s">
        <v>3229</v>
      </c>
      <c r="AC93" s="563" t="s">
        <v>3229</v>
      </c>
      <c r="AD93" s="563" t="s">
        <v>3229</v>
      </c>
      <c r="AE93" s="563" t="s">
        <v>3229</v>
      </c>
      <c r="AF93" s="3764" t="s">
        <v>781</v>
      </c>
      <c r="AG93" s="3765"/>
      <c r="AH93" s="622" t="s">
        <v>3229</v>
      </c>
      <c r="AI93" s="622" t="s">
        <v>3229</v>
      </c>
      <c r="AJ93" s="622" t="s">
        <v>3229</v>
      </c>
      <c r="AK93" s="566" t="s">
        <v>3229</v>
      </c>
      <c r="AL93" s="622" t="s">
        <v>3229</v>
      </c>
      <c r="AM93" s="590">
        <v>1</v>
      </c>
      <c r="AN93" s="576">
        <v>0.12033333333333333</v>
      </c>
      <c r="AO93" s="662">
        <v>11.16</v>
      </c>
      <c r="AP93" s="1368" t="s">
        <v>3229</v>
      </c>
      <c r="AQ93" s="675" t="s">
        <v>3229</v>
      </c>
      <c r="AR93" s="558">
        <v>0.16908333333333334</v>
      </c>
      <c r="AS93" s="558">
        <v>2.6065081196061879E-2</v>
      </c>
      <c r="AT93" s="589"/>
      <c r="AU93" s="559"/>
      <c r="AV93" s="558">
        <v>0.1203</v>
      </c>
      <c r="AW93" s="558">
        <v>1.8886756355284806E-2</v>
      </c>
      <c r="AX93" s="558"/>
      <c r="AY93" s="559"/>
      <c r="AZ93" s="642">
        <v>11.2</v>
      </c>
      <c r="BA93" s="644" t="s">
        <v>274</v>
      </c>
      <c r="BB93" s="570" t="s">
        <v>2496</v>
      </c>
      <c r="BC93" s="637" t="s">
        <v>2895</v>
      </c>
      <c r="BD93" s="3709">
        <f>'klikací hodnoty'!F2115</f>
        <v>0.12033333333333333</v>
      </c>
      <c r="BH93" s="3763"/>
      <c r="BI93" s="3763"/>
      <c r="BJ93" s="1639"/>
      <c r="BK93" s="1639"/>
      <c r="BL93" s="1639"/>
      <c r="BM93" s="1639"/>
      <c r="BN93" s="1639"/>
      <c r="BO93" s="1639"/>
      <c r="BP93" s="1639"/>
      <c r="BQ93" s="1639"/>
      <c r="BR93" s="1639"/>
      <c r="BS93" s="509"/>
      <c r="BT93" s="509"/>
      <c r="BU93" s="509"/>
      <c r="BV93" s="509"/>
      <c r="BW93" s="509"/>
      <c r="BX93" s="509"/>
      <c r="BY93" s="509"/>
      <c r="BZ93" s="509"/>
      <c r="CA93" s="509"/>
      <c r="CB93" s="509"/>
      <c r="CC93" s="509"/>
      <c r="CD93" s="509"/>
      <c r="CE93" s="509"/>
      <c r="CF93" s="509"/>
      <c r="CG93" s="509"/>
      <c r="CH93" s="509"/>
      <c r="CI93" s="509"/>
      <c r="CJ93" s="509"/>
      <c r="CK93" s="509"/>
      <c r="CL93" s="509"/>
      <c r="CM93" s="509"/>
      <c r="CN93" s="509"/>
      <c r="CO93" s="509"/>
      <c r="CP93" s="509"/>
      <c r="CQ93" s="509"/>
      <c r="CR93" s="509"/>
      <c r="CS93" s="509"/>
      <c r="CT93" s="509"/>
      <c r="CU93" s="509"/>
      <c r="CV93" s="509"/>
      <c r="CW93" s="509"/>
      <c r="CX93" s="509"/>
      <c r="CY93" s="509"/>
      <c r="CZ93" s="509"/>
      <c r="DA93" s="509"/>
      <c r="DB93" s="509"/>
      <c r="DC93" s="509"/>
      <c r="DD93" s="509"/>
      <c r="DE93" s="509"/>
      <c r="DF93" s="509"/>
      <c r="DG93" s="509"/>
      <c r="DH93" s="509"/>
      <c r="DI93" s="509"/>
      <c r="DJ93" s="509"/>
      <c r="DK93" s="509"/>
      <c r="DL93" s="509"/>
      <c r="DM93" s="509"/>
      <c r="DN93" s="509"/>
      <c r="DO93" s="509"/>
      <c r="DP93" s="509"/>
      <c r="DQ93" s="509"/>
      <c r="DR93" s="509"/>
      <c r="DS93" s="509"/>
      <c r="DT93" s="509"/>
      <c r="DU93" s="509"/>
      <c r="DV93" s="509"/>
      <c r="DW93" s="509"/>
      <c r="DX93" s="509"/>
      <c r="DY93" s="509"/>
      <c r="DZ93" s="509"/>
      <c r="EA93" s="509"/>
      <c r="EB93" s="509"/>
      <c r="EC93" s="509"/>
      <c r="ED93" s="509"/>
      <c r="EE93" s="509"/>
      <c r="EF93" s="509"/>
      <c r="EG93" s="509"/>
      <c r="EH93" s="509"/>
      <c r="EI93" s="509"/>
      <c r="EJ93" s="509"/>
      <c r="EK93" s="509"/>
      <c r="EL93" s="509"/>
      <c r="EM93" s="509"/>
      <c r="EN93" s="509"/>
      <c r="EO93" s="509"/>
      <c r="EP93" s="509"/>
      <c r="EQ93" s="509"/>
      <c r="ER93" s="509"/>
      <c r="ES93" s="509"/>
      <c r="ET93" s="509"/>
      <c r="EU93" s="509"/>
      <c r="EV93" s="509"/>
      <c r="EW93" s="509"/>
      <c r="EX93" s="509"/>
      <c r="EY93" s="509"/>
      <c r="EZ93" s="509"/>
      <c r="FA93" s="509"/>
      <c r="FB93" s="509"/>
      <c r="FC93" s="509"/>
      <c r="FD93" s="509"/>
      <c r="FE93" s="509"/>
      <c r="FF93" s="509"/>
      <c r="FG93" s="509"/>
      <c r="FH93" s="509"/>
      <c r="FI93" s="509"/>
      <c r="FJ93" s="509"/>
      <c r="FK93" s="509"/>
      <c r="FL93" s="509"/>
      <c r="FM93" s="509"/>
      <c r="FN93" s="509"/>
      <c r="FO93" s="509"/>
      <c r="FP93" s="509"/>
      <c r="FQ93" s="509"/>
      <c r="FR93" s="509"/>
      <c r="FS93" s="509"/>
      <c r="FT93" s="509"/>
      <c r="FU93" s="509"/>
      <c r="FV93" s="509"/>
      <c r="FW93" s="509"/>
      <c r="FX93" s="509"/>
      <c r="FY93" s="509"/>
      <c r="FZ93" s="509"/>
      <c r="GA93" s="509"/>
      <c r="GB93" s="509"/>
      <c r="GC93" s="509"/>
      <c r="GD93" s="509"/>
      <c r="GE93" s="509"/>
      <c r="GF93" s="509"/>
      <c r="GG93" s="509"/>
      <c r="GH93" s="509"/>
      <c r="GI93" s="509"/>
      <c r="GJ93" s="509"/>
      <c r="GK93" s="509"/>
      <c r="GL93" s="509"/>
      <c r="GM93" s="509"/>
      <c r="GN93" s="509"/>
      <c r="GO93" s="509"/>
      <c r="GP93" s="509"/>
      <c r="GQ93" s="509"/>
      <c r="GR93" s="509"/>
      <c r="GS93" s="509"/>
      <c r="GT93" s="509"/>
      <c r="GU93" s="509"/>
      <c r="GV93" s="509"/>
      <c r="GW93" s="509"/>
      <c r="GX93" s="509"/>
      <c r="GY93" s="509"/>
      <c r="GZ93" s="509"/>
      <c r="HA93" s="509"/>
      <c r="HB93" s="509"/>
      <c r="HC93" s="509"/>
      <c r="HD93" s="509"/>
      <c r="HE93" s="509"/>
      <c r="HF93" s="509"/>
      <c r="HG93" s="509"/>
      <c r="HH93" s="509"/>
      <c r="HI93" s="509"/>
      <c r="HJ93" s="509"/>
      <c r="HK93" s="509"/>
      <c r="HL93" s="509"/>
      <c r="HM93" s="509"/>
      <c r="HN93" s="509"/>
      <c r="HO93" s="509"/>
      <c r="HP93" s="509"/>
      <c r="HQ93" s="509"/>
      <c r="HR93" s="509"/>
      <c r="HS93" s="509"/>
      <c r="HT93" s="509"/>
      <c r="HU93" s="509"/>
      <c r="HV93" s="509"/>
      <c r="HW93" s="509"/>
      <c r="HX93" s="509"/>
      <c r="HY93" s="509"/>
      <c r="HZ93" s="509"/>
    </row>
    <row r="94" spans="1:234" s="232" customFormat="1" ht="15.9" hidden="1" customHeight="1" x14ac:dyDescent="0.25">
      <c r="A94" s="522" t="s">
        <v>371</v>
      </c>
      <c r="B94" s="523" t="s">
        <v>1227</v>
      </c>
      <c r="C94" s="530" t="s">
        <v>2487</v>
      </c>
      <c r="D94" s="570" t="s">
        <v>2510</v>
      </c>
      <c r="E94" s="569" t="s">
        <v>3228</v>
      </c>
      <c r="F94" s="557">
        <v>38910</v>
      </c>
      <c r="G94" s="544">
        <v>38859</v>
      </c>
      <c r="H94" s="562">
        <v>38903</v>
      </c>
      <c r="I94" s="546">
        <v>40786</v>
      </c>
      <c r="J94" s="547">
        <v>10</v>
      </c>
      <c r="K94" s="553" t="s">
        <v>3229</v>
      </c>
      <c r="L94" s="552" t="s">
        <v>3229</v>
      </c>
      <c r="M94" s="576">
        <v>0.04</v>
      </c>
      <c r="N94" s="606">
        <v>0.55000000000000004</v>
      </c>
      <c r="O94" s="551" t="s">
        <v>3229</v>
      </c>
      <c r="P94" s="551" t="s">
        <v>3229</v>
      </c>
      <c r="Q94" s="551" t="s">
        <v>3229</v>
      </c>
      <c r="R94" s="551" t="s">
        <v>3229</v>
      </c>
      <c r="S94" s="567"/>
      <c r="T94" s="553" t="s">
        <v>3229</v>
      </c>
      <c r="U94" s="553" t="s">
        <v>3229</v>
      </c>
      <c r="V94" s="553" t="s">
        <v>3229</v>
      </c>
      <c r="W94" s="553" t="s">
        <v>3229</v>
      </c>
      <c r="X94" s="553" t="s">
        <v>3229</v>
      </c>
      <c r="Y94" s="553" t="s">
        <v>3229</v>
      </c>
      <c r="Z94" s="553" t="s">
        <v>3229</v>
      </c>
      <c r="AA94" s="553" t="s">
        <v>3229</v>
      </c>
      <c r="AB94" s="553" t="s">
        <v>3229</v>
      </c>
      <c r="AC94" s="553" t="s">
        <v>3229</v>
      </c>
      <c r="AD94" s="553" t="s">
        <v>3229</v>
      </c>
      <c r="AE94" s="552" t="s">
        <v>3229</v>
      </c>
      <c r="AF94" s="3764" t="s">
        <v>781</v>
      </c>
      <c r="AG94" s="3765"/>
      <c r="AH94" s="553" t="s">
        <v>3229</v>
      </c>
      <c r="AI94" s="553" t="s">
        <v>3229</v>
      </c>
      <c r="AJ94" s="553" t="s">
        <v>3229</v>
      </c>
      <c r="AK94" s="566" t="s">
        <v>3229</v>
      </c>
      <c r="AL94" s="553" t="s">
        <v>3229</v>
      </c>
      <c r="AM94" s="590">
        <v>1</v>
      </c>
      <c r="AN94" s="576">
        <v>0.04</v>
      </c>
      <c r="AO94" s="663">
        <v>10.39</v>
      </c>
      <c r="AP94" s="1368">
        <v>6.0294916666666677E-2</v>
      </c>
      <c r="AQ94" s="658">
        <v>7.0999999999999994E-2</v>
      </c>
      <c r="AR94" s="3773" t="s">
        <v>3660</v>
      </c>
      <c r="AS94" s="3774"/>
      <c r="AT94" s="3774"/>
      <c r="AU94" s="3775"/>
      <c r="AV94" s="558">
        <f t="shared" si="14"/>
        <v>0.04</v>
      </c>
      <c r="AW94" s="558">
        <f t="shared" ref="AW94:AW100" si="15">POWER(1+AV94,1/((I94-F94)/365))-1</f>
        <v>7.6600851673342962E-3</v>
      </c>
      <c r="AX94" s="558">
        <f>J94*(1+AV94)/AO94-1</f>
        <v>9.6246390760335032E-4</v>
      </c>
      <c r="AY94" s="559" t="e">
        <f>POWER(1+AX94,1/AG94)-1</f>
        <v>#DIV/0!</v>
      </c>
      <c r="AZ94" s="642">
        <f t="shared" ref="AZ94:AZ100" si="16">J94*(1+AV94)</f>
        <v>10.4</v>
      </c>
      <c r="BA94" s="644" t="s">
        <v>275</v>
      </c>
      <c r="BB94" s="570"/>
      <c r="BC94" s="637"/>
      <c r="BD94" s="3708"/>
      <c r="BE94" s="3743"/>
      <c r="BF94" s="3743"/>
      <c r="BG94" s="3708"/>
      <c r="BH94" s="3762"/>
      <c r="BI94" s="3762"/>
      <c r="BJ94" s="39"/>
      <c r="BK94" s="39"/>
      <c r="BL94" s="39"/>
      <c r="BM94" s="39"/>
      <c r="BN94" s="39"/>
      <c r="BO94" s="39"/>
      <c r="BP94" s="39"/>
      <c r="BQ94" s="39"/>
      <c r="BR94" s="39"/>
      <c r="BS94" s="507"/>
      <c r="BT94" s="507"/>
      <c r="BU94" s="507"/>
      <c r="BV94" s="507"/>
      <c r="BW94" s="507"/>
      <c r="BX94" s="507"/>
      <c r="BY94" s="507"/>
      <c r="BZ94" s="507"/>
      <c r="CA94" s="507"/>
      <c r="CB94" s="507"/>
      <c r="CC94" s="507"/>
      <c r="CD94" s="507"/>
      <c r="CE94" s="507"/>
      <c r="CF94" s="507"/>
      <c r="CG94" s="507"/>
      <c r="CH94" s="507"/>
      <c r="CI94" s="507"/>
      <c r="CJ94" s="507"/>
      <c r="CK94" s="507"/>
      <c r="CL94" s="507"/>
      <c r="CM94" s="507"/>
      <c r="CN94" s="507"/>
      <c r="CO94" s="507"/>
      <c r="CP94" s="507"/>
      <c r="CQ94" s="507"/>
      <c r="CR94" s="507"/>
      <c r="CS94" s="507"/>
      <c r="CT94" s="507"/>
      <c r="CU94" s="507"/>
      <c r="CV94" s="507"/>
      <c r="CW94" s="507"/>
      <c r="CX94" s="507"/>
      <c r="CY94" s="507"/>
      <c r="CZ94" s="507"/>
      <c r="DA94" s="507"/>
      <c r="DB94" s="507"/>
      <c r="DC94" s="507"/>
      <c r="DD94" s="507"/>
      <c r="DE94" s="507"/>
      <c r="DF94" s="507"/>
      <c r="DG94" s="507"/>
      <c r="DH94" s="507"/>
      <c r="DI94" s="507"/>
      <c r="DJ94" s="507"/>
      <c r="DK94" s="507"/>
      <c r="DL94" s="507"/>
      <c r="DM94" s="507"/>
      <c r="DN94" s="507"/>
      <c r="DO94" s="507"/>
      <c r="DP94" s="507"/>
      <c r="DQ94" s="507"/>
      <c r="DR94" s="507"/>
      <c r="DS94" s="507"/>
      <c r="DT94" s="507"/>
      <c r="DU94" s="507"/>
      <c r="DV94" s="507"/>
      <c r="DW94" s="507"/>
      <c r="DX94" s="507"/>
      <c r="DY94" s="507"/>
      <c r="DZ94" s="507"/>
      <c r="EA94" s="507"/>
      <c r="EB94" s="507"/>
      <c r="EC94" s="507"/>
      <c r="ED94" s="507"/>
      <c r="EE94" s="507"/>
      <c r="EF94" s="507"/>
      <c r="EG94" s="507"/>
      <c r="EH94" s="507"/>
      <c r="EI94" s="507"/>
      <c r="EJ94" s="507"/>
      <c r="EK94" s="507"/>
      <c r="EL94" s="507"/>
      <c r="EM94" s="507"/>
      <c r="EN94" s="507"/>
      <c r="EO94" s="507"/>
      <c r="EP94" s="507"/>
      <c r="EQ94" s="507"/>
      <c r="ER94" s="507"/>
      <c r="ES94" s="507"/>
      <c r="ET94" s="507"/>
      <c r="EU94" s="507"/>
      <c r="EV94" s="507"/>
      <c r="EW94" s="507"/>
      <c r="EX94" s="507"/>
      <c r="EY94" s="507"/>
      <c r="EZ94" s="507"/>
      <c r="FA94" s="507"/>
      <c r="FB94" s="507"/>
      <c r="FC94" s="507"/>
      <c r="FD94" s="507"/>
      <c r="FE94" s="507"/>
      <c r="FF94" s="507"/>
      <c r="FG94" s="507"/>
      <c r="FH94" s="507"/>
      <c r="FI94" s="507"/>
      <c r="FJ94" s="507"/>
      <c r="FK94" s="507"/>
      <c r="FL94" s="507"/>
      <c r="FM94" s="507"/>
      <c r="FN94" s="507"/>
      <c r="FO94" s="507"/>
      <c r="FP94" s="507"/>
      <c r="FQ94" s="507"/>
      <c r="FR94" s="507"/>
      <c r="FS94" s="507"/>
      <c r="FT94" s="507"/>
      <c r="FU94" s="507"/>
      <c r="FV94" s="507"/>
      <c r="FW94" s="507"/>
      <c r="FX94" s="507"/>
      <c r="FY94" s="507"/>
      <c r="FZ94" s="507"/>
      <c r="GA94" s="507"/>
      <c r="GB94" s="507"/>
      <c r="GC94" s="507"/>
      <c r="GD94" s="507"/>
      <c r="GE94" s="507"/>
      <c r="GF94" s="507"/>
      <c r="GG94" s="507"/>
      <c r="GH94" s="507"/>
      <c r="GI94" s="507"/>
      <c r="GJ94" s="507"/>
      <c r="GK94" s="507"/>
      <c r="GL94" s="507"/>
      <c r="GM94" s="507"/>
      <c r="GN94" s="507"/>
      <c r="GO94" s="507"/>
      <c r="GP94" s="507"/>
      <c r="GQ94" s="507"/>
      <c r="GR94" s="507"/>
      <c r="GS94" s="507"/>
      <c r="GT94" s="507"/>
      <c r="GU94" s="507"/>
      <c r="GV94" s="507"/>
      <c r="GW94" s="507"/>
      <c r="GX94" s="507"/>
      <c r="GY94" s="507"/>
      <c r="GZ94" s="507"/>
      <c r="HA94" s="507"/>
      <c r="HB94" s="507"/>
      <c r="HC94" s="507"/>
      <c r="HD94" s="507"/>
      <c r="HE94" s="507"/>
      <c r="HF94" s="507"/>
      <c r="HG94" s="507"/>
      <c r="HH94" s="507"/>
      <c r="HI94" s="507"/>
      <c r="HJ94" s="507"/>
      <c r="HK94" s="507"/>
      <c r="HL94" s="507"/>
      <c r="HM94" s="507"/>
      <c r="HN94" s="507"/>
      <c r="HO94" s="507"/>
      <c r="HP94" s="507"/>
      <c r="HQ94" s="507"/>
      <c r="HR94" s="507"/>
      <c r="HS94" s="507"/>
      <c r="HT94" s="507"/>
      <c r="HU94" s="507"/>
      <c r="HV94" s="507"/>
      <c r="HW94" s="507"/>
      <c r="HX94" s="507"/>
      <c r="HY94" s="507"/>
      <c r="HZ94" s="507"/>
    </row>
    <row r="95" spans="1:234" s="232" customFormat="1" ht="15.9" hidden="1" customHeight="1" x14ac:dyDescent="0.25">
      <c r="A95" s="522" t="s">
        <v>2256</v>
      </c>
      <c r="B95" s="523" t="s">
        <v>3538</v>
      </c>
      <c r="C95" s="529" t="s">
        <v>2488</v>
      </c>
      <c r="D95" s="570" t="s">
        <v>826</v>
      </c>
      <c r="E95" s="569" t="s">
        <v>3228</v>
      </c>
      <c r="F95" s="557">
        <v>38905</v>
      </c>
      <c r="G95" s="544">
        <v>38859</v>
      </c>
      <c r="H95" s="562">
        <v>38898</v>
      </c>
      <c r="I95" s="546">
        <v>40389</v>
      </c>
      <c r="J95" s="547">
        <v>10</v>
      </c>
      <c r="K95" s="553" t="s">
        <v>3229</v>
      </c>
      <c r="L95" s="552" t="s">
        <v>3229</v>
      </c>
      <c r="M95" s="576">
        <v>0.04</v>
      </c>
      <c r="N95" s="606">
        <v>1</v>
      </c>
      <c r="O95" s="551" t="s">
        <v>3229</v>
      </c>
      <c r="P95" s="551" t="s">
        <v>3229</v>
      </c>
      <c r="Q95" s="551" t="s">
        <v>3229</v>
      </c>
      <c r="R95" s="551" t="s">
        <v>3229</v>
      </c>
      <c r="S95" s="567"/>
      <c r="T95" s="553" t="s">
        <v>3229</v>
      </c>
      <c r="U95" s="553" t="s">
        <v>3229</v>
      </c>
      <c r="V95" s="553" t="s">
        <v>3229</v>
      </c>
      <c r="W95" s="553" t="s">
        <v>3229</v>
      </c>
      <c r="X95" s="553" t="s">
        <v>3229</v>
      </c>
      <c r="Y95" s="553" t="s">
        <v>3229</v>
      </c>
      <c r="Z95" s="553" t="s">
        <v>3229</v>
      </c>
      <c r="AA95" s="553" t="s">
        <v>3229</v>
      </c>
      <c r="AB95" s="553" t="s">
        <v>3229</v>
      </c>
      <c r="AC95" s="553" t="s">
        <v>3229</v>
      </c>
      <c r="AD95" s="553" t="s">
        <v>3229</v>
      </c>
      <c r="AE95" s="552" t="s">
        <v>3229</v>
      </c>
      <c r="AF95" s="3764" t="s">
        <v>781</v>
      </c>
      <c r="AG95" s="3765"/>
      <c r="AH95" s="553" t="s">
        <v>3229</v>
      </c>
      <c r="AI95" s="553" t="s">
        <v>3229</v>
      </c>
      <c r="AJ95" s="553" t="s">
        <v>3229</v>
      </c>
      <c r="AK95" s="566" t="s">
        <v>3229</v>
      </c>
      <c r="AL95" s="553" t="s">
        <v>3229</v>
      </c>
      <c r="AM95" s="590">
        <v>1</v>
      </c>
      <c r="AN95" s="576">
        <v>0.04</v>
      </c>
      <c r="AO95" s="662">
        <v>10.4</v>
      </c>
      <c r="AP95" s="1368">
        <v>-6.2450500000000006E-2</v>
      </c>
      <c r="AQ95" s="675" t="s">
        <v>3229</v>
      </c>
      <c r="AR95" s="558">
        <v>0.04</v>
      </c>
      <c r="AS95" s="558">
        <v>9.7000000000000003E-3</v>
      </c>
      <c r="AT95" s="558" t="s">
        <v>3229</v>
      </c>
      <c r="AU95" s="559" t="s">
        <v>3229</v>
      </c>
      <c r="AV95" s="558">
        <f t="shared" si="14"/>
        <v>0.04</v>
      </c>
      <c r="AW95" s="558">
        <f t="shared" si="15"/>
        <v>9.6932824359856617E-3</v>
      </c>
      <c r="AX95" s="558" t="s">
        <v>3229</v>
      </c>
      <c r="AY95" s="559" t="s">
        <v>3229</v>
      </c>
      <c r="AZ95" s="642">
        <f t="shared" si="16"/>
        <v>10.4</v>
      </c>
      <c r="BA95" s="644" t="s">
        <v>643</v>
      </c>
      <c r="BB95" s="570"/>
      <c r="BC95" s="637"/>
      <c r="BD95" s="3708"/>
      <c r="BE95" s="3743"/>
      <c r="BF95" s="3743"/>
      <c r="BG95" s="3708"/>
      <c r="BH95" s="3762"/>
      <c r="BI95" s="3762"/>
      <c r="BJ95" s="39"/>
      <c r="BK95" s="39"/>
      <c r="BL95" s="39"/>
      <c r="BM95" s="39"/>
      <c r="BN95" s="39"/>
      <c r="BO95" s="39"/>
      <c r="BP95" s="39"/>
      <c r="BQ95" s="39"/>
      <c r="BR95" s="39"/>
      <c r="BS95" s="507"/>
      <c r="BT95" s="507"/>
      <c r="BU95" s="507"/>
      <c r="BV95" s="507"/>
      <c r="BW95" s="507"/>
      <c r="BX95" s="507"/>
      <c r="BY95" s="507"/>
      <c r="BZ95" s="507"/>
      <c r="CA95" s="507"/>
      <c r="CB95" s="507"/>
      <c r="CC95" s="507"/>
      <c r="CD95" s="507"/>
      <c r="CE95" s="507"/>
      <c r="CF95" s="507"/>
      <c r="CG95" s="507"/>
      <c r="CH95" s="507"/>
      <c r="CI95" s="507"/>
      <c r="CJ95" s="507"/>
      <c r="CK95" s="507"/>
      <c r="CL95" s="507"/>
      <c r="CM95" s="507"/>
      <c r="CN95" s="507"/>
      <c r="CO95" s="507"/>
      <c r="CP95" s="507"/>
      <c r="CQ95" s="507"/>
      <c r="CR95" s="507"/>
      <c r="CS95" s="507"/>
      <c r="CT95" s="507"/>
      <c r="CU95" s="507"/>
      <c r="CV95" s="507"/>
      <c r="CW95" s="507"/>
      <c r="CX95" s="507"/>
      <c r="CY95" s="507"/>
      <c r="CZ95" s="507"/>
      <c r="DA95" s="507"/>
      <c r="DB95" s="507"/>
      <c r="DC95" s="507"/>
      <c r="DD95" s="507"/>
      <c r="DE95" s="507"/>
      <c r="DF95" s="507"/>
      <c r="DG95" s="507"/>
      <c r="DH95" s="507"/>
      <c r="DI95" s="507"/>
      <c r="DJ95" s="507"/>
      <c r="DK95" s="507"/>
      <c r="DL95" s="507"/>
      <c r="DM95" s="507"/>
      <c r="DN95" s="507"/>
      <c r="DO95" s="507"/>
      <c r="DP95" s="507"/>
      <c r="DQ95" s="507"/>
      <c r="DR95" s="507"/>
      <c r="DS95" s="507"/>
      <c r="DT95" s="507"/>
      <c r="DU95" s="507"/>
      <c r="DV95" s="507"/>
      <c r="DW95" s="507"/>
      <c r="DX95" s="507"/>
      <c r="DY95" s="507"/>
      <c r="DZ95" s="507"/>
      <c r="EA95" s="507"/>
      <c r="EB95" s="507"/>
      <c r="EC95" s="507"/>
      <c r="ED95" s="507"/>
      <c r="EE95" s="507"/>
      <c r="EF95" s="507"/>
      <c r="EG95" s="507"/>
      <c r="EH95" s="507"/>
      <c r="EI95" s="507"/>
      <c r="EJ95" s="507"/>
      <c r="EK95" s="507"/>
      <c r="EL95" s="507"/>
      <c r="EM95" s="507"/>
      <c r="EN95" s="507"/>
      <c r="EO95" s="507"/>
      <c r="EP95" s="507"/>
      <c r="EQ95" s="507"/>
      <c r="ER95" s="507"/>
      <c r="ES95" s="507"/>
      <c r="ET95" s="507"/>
      <c r="EU95" s="507"/>
      <c r="EV95" s="507"/>
      <c r="EW95" s="507"/>
      <c r="EX95" s="507"/>
      <c r="EY95" s="507"/>
      <c r="EZ95" s="507"/>
      <c r="FA95" s="507"/>
      <c r="FB95" s="507"/>
      <c r="FC95" s="507"/>
      <c r="FD95" s="507"/>
      <c r="FE95" s="507"/>
      <c r="FF95" s="507"/>
      <c r="FG95" s="507"/>
      <c r="FH95" s="507"/>
      <c r="FI95" s="507"/>
      <c r="FJ95" s="507"/>
      <c r="FK95" s="507"/>
      <c r="FL95" s="507"/>
      <c r="FM95" s="507"/>
      <c r="FN95" s="507"/>
      <c r="FO95" s="507"/>
      <c r="FP95" s="507"/>
      <c r="FQ95" s="507"/>
      <c r="FR95" s="507"/>
      <c r="FS95" s="507"/>
      <c r="FT95" s="507"/>
      <c r="FU95" s="507"/>
      <c r="FV95" s="507"/>
      <c r="FW95" s="507"/>
      <c r="FX95" s="507"/>
      <c r="FY95" s="507"/>
      <c r="FZ95" s="507"/>
      <c r="GA95" s="507"/>
      <c r="GB95" s="507"/>
      <c r="GC95" s="507"/>
      <c r="GD95" s="507"/>
      <c r="GE95" s="507"/>
      <c r="GF95" s="507"/>
      <c r="GG95" s="507"/>
      <c r="GH95" s="507"/>
      <c r="GI95" s="507"/>
      <c r="GJ95" s="507"/>
      <c r="GK95" s="507"/>
      <c r="GL95" s="507"/>
      <c r="GM95" s="507"/>
      <c r="GN95" s="507"/>
      <c r="GO95" s="507"/>
      <c r="GP95" s="507"/>
      <c r="GQ95" s="507"/>
      <c r="GR95" s="507"/>
      <c r="GS95" s="507"/>
      <c r="GT95" s="507"/>
      <c r="GU95" s="507"/>
      <c r="GV95" s="507"/>
      <c r="GW95" s="507"/>
      <c r="GX95" s="507"/>
      <c r="GY95" s="507"/>
      <c r="GZ95" s="507"/>
      <c r="HA95" s="507"/>
      <c r="HB95" s="507"/>
      <c r="HC95" s="507"/>
      <c r="HD95" s="507"/>
      <c r="HE95" s="507"/>
      <c r="HF95" s="507"/>
      <c r="HG95" s="507"/>
      <c r="HH95" s="507"/>
      <c r="HI95" s="507"/>
      <c r="HJ95" s="507"/>
      <c r="HK95" s="507"/>
      <c r="HL95" s="507"/>
      <c r="HM95" s="507"/>
      <c r="HN95" s="507"/>
      <c r="HO95" s="507"/>
      <c r="HP95" s="507"/>
      <c r="HQ95" s="507"/>
      <c r="HR95" s="507"/>
      <c r="HS95" s="507"/>
      <c r="HT95" s="507"/>
      <c r="HU95" s="507"/>
      <c r="HV95" s="507"/>
      <c r="HW95" s="507"/>
      <c r="HX95" s="507"/>
      <c r="HY95" s="507"/>
      <c r="HZ95" s="507"/>
    </row>
    <row r="96" spans="1:234" s="298" customFormat="1" ht="15.9" hidden="1" customHeight="1" x14ac:dyDescent="0.25">
      <c r="A96" s="531" t="s">
        <v>4478</v>
      </c>
      <c r="B96" s="532" t="s">
        <v>1658</v>
      </c>
      <c r="C96" s="529" t="s">
        <v>965</v>
      </c>
      <c r="D96" s="570" t="s">
        <v>189</v>
      </c>
      <c r="E96" s="569" t="s">
        <v>3228</v>
      </c>
      <c r="F96" s="557">
        <v>38905</v>
      </c>
      <c r="G96" s="544">
        <v>38859</v>
      </c>
      <c r="H96" s="562">
        <v>38898</v>
      </c>
      <c r="I96" s="546">
        <v>39843</v>
      </c>
      <c r="J96" s="547">
        <v>10</v>
      </c>
      <c r="K96" s="548">
        <v>-3.6999999999999998E-2</v>
      </c>
      <c r="L96" s="549">
        <v>0</v>
      </c>
      <c r="M96" s="576">
        <v>0</v>
      </c>
      <c r="N96" s="606" t="s">
        <v>3229</v>
      </c>
      <c r="O96" s="551" t="s">
        <v>3229</v>
      </c>
      <c r="P96" s="576">
        <v>0.5</v>
      </c>
      <c r="Q96" s="570" t="s">
        <v>3229</v>
      </c>
      <c r="R96" s="570" t="s">
        <v>3229</v>
      </c>
      <c r="S96" s="577"/>
      <c r="T96" s="3777" t="s">
        <v>250</v>
      </c>
      <c r="U96" s="3777"/>
      <c r="V96" s="3777"/>
      <c r="W96" s="3777"/>
      <c r="X96" s="3777"/>
      <c r="Y96" s="3777"/>
      <c r="Z96" s="3777"/>
      <c r="AA96" s="3777"/>
      <c r="AB96" s="3777"/>
      <c r="AC96" s="3777"/>
      <c r="AD96" s="3777"/>
      <c r="AE96" s="3778"/>
      <c r="AF96" s="3764" t="s">
        <v>781</v>
      </c>
      <c r="AG96" s="3765"/>
      <c r="AH96" s="639">
        <v>1</v>
      </c>
      <c r="AI96" s="553" t="s">
        <v>3229</v>
      </c>
      <c r="AJ96" s="553" t="s">
        <v>3229</v>
      </c>
      <c r="AK96" s="566" t="s">
        <v>3229</v>
      </c>
      <c r="AL96" s="553" t="s">
        <v>3229</v>
      </c>
      <c r="AM96" s="651" t="s">
        <v>3229</v>
      </c>
      <c r="AN96" s="664">
        <v>5.6000000000000105E-2</v>
      </c>
      <c r="AO96" s="662">
        <v>10.56</v>
      </c>
      <c r="AP96" s="1369"/>
      <c r="AQ96" s="549">
        <v>0.58789289390675958</v>
      </c>
      <c r="AR96" s="558">
        <f>AO96/10-1</f>
        <v>5.600000000000005E-2</v>
      </c>
      <c r="AS96" s="558">
        <f>POWER(1+AR96,1/((I96-F96)/365))-1</f>
        <v>2.142913425157178E-2</v>
      </c>
      <c r="AT96" s="649" t="s">
        <v>3229</v>
      </c>
      <c r="AU96" s="552" t="s">
        <v>3229</v>
      </c>
      <c r="AV96" s="558">
        <f>('klikací hodnoty'!F2180)</f>
        <v>5.6000000000000105E-2</v>
      </c>
      <c r="AW96" s="558">
        <f t="shared" si="15"/>
        <v>2.142913425157178E-2</v>
      </c>
      <c r="AX96" s="553" t="s">
        <v>3229</v>
      </c>
      <c r="AY96" s="552" t="s">
        <v>3229</v>
      </c>
      <c r="AZ96" s="642">
        <f t="shared" si="16"/>
        <v>10.56</v>
      </c>
      <c r="BA96" s="643" t="s">
        <v>3192</v>
      </c>
      <c r="BB96" s="568"/>
      <c r="BC96" s="641"/>
      <c r="BD96" s="3708"/>
      <c r="BE96" s="3743"/>
      <c r="BF96" s="3743"/>
      <c r="BG96" s="3708"/>
      <c r="BH96" s="3762"/>
      <c r="BI96" s="3762"/>
      <c r="BJ96" s="39"/>
      <c r="BK96" s="39"/>
      <c r="BL96" s="39"/>
      <c r="BM96" s="39"/>
      <c r="BN96" s="39"/>
      <c r="BO96" s="39"/>
      <c r="BP96" s="39"/>
      <c r="BQ96" s="39"/>
      <c r="BR96" s="39"/>
      <c r="BS96" s="507"/>
      <c r="BT96" s="507"/>
      <c r="BU96" s="507"/>
      <c r="BV96" s="507"/>
      <c r="BW96" s="507"/>
      <c r="BX96" s="507"/>
      <c r="BY96" s="507"/>
      <c r="BZ96" s="507"/>
      <c r="CA96" s="507"/>
      <c r="CB96" s="507"/>
      <c r="CC96" s="507"/>
      <c r="CD96" s="507"/>
      <c r="CE96" s="507"/>
      <c r="CF96" s="507"/>
      <c r="CG96" s="507"/>
      <c r="CH96" s="507"/>
      <c r="CI96" s="507"/>
      <c r="CJ96" s="507"/>
      <c r="CK96" s="507"/>
      <c r="CL96" s="507"/>
      <c r="CM96" s="507"/>
      <c r="CN96" s="507"/>
      <c r="CO96" s="507"/>
      <c r="CP96" s="507"/>
      <c r="CQ96" s="507"/>
      <c r="CR96" s="507"/>
      <c r="CS96" s="507"/>
      <c r="CT96" s="507"/>
      <c r="CU96" s="507"/>
      <c r="CV96" s="507"/>
      <c r="CW96" s="507"/>
      <c r="CX96" s="507"/>
      <c r="CY96" s="507"/>
      <c r="CZ96" s="507"/>
      <c r="DA96" s="507"/>
      <c r="DB96" s="507"/>
      <c r="DC96" s="507"/>
      <c r="DD96" s="507"/>
      <c r="DE96" s="507"/>
      <c r="DF96" s="507"/>
      <c r="DG96" s="507"/>
      <c r="DH96" s="507"/>
      <c r="DI96" s="507"/>
      <c r="DJ96" s="507"/>
      <c r="DK96" s="507"/>
      <c r="DL96" s="507"/>
      <c r="DM96" s="507"/>
      <c r="DN96" s="507"/>
      <c r="DO96" s="507"/>
      <c r="DP96" s="507"/>
      <c r="DQ96" s="507"/>
      <c r="DR96" s="507"/>
      <c r="DS96" s="507"/>
      <c r="DT96" s="507"/>
      <c r="DU96" s="507"/>
      <c r="DV96" s="507"/>
      <c r="DW96" s="507"/>
      <c r="DX96" s="507"/>
      <c r="DY96" s="507"/>
      <c r="DZ96" s="507"/>
      <c r="EA96" s="507"/>
      <c r="EB96" s="507"/>
      <c r="EC96" s="507"/>
      <c r="ED96" s="507"/>
      <c r="EE96" s="507"/>
      <c r="EF96" s="507"/>
      <c r="EG96" s="507"/>
      <c r="EH96" s="507"/>
      <c r="EI96" s="507"/>
      <c r="EJ96" s="507"/>
      <c r="EK96" s="507"/>
      <c r="EL96" s="507"/>
      <c r="EM96" s="507"/>
      <c r="EN96" s="507"/>
      <c r="EO96" s="507"/>
      <c r="EP96" s="507"/>
      <c r="EQ96" s="507"/>
      <c r="ER96" s="507"/>
      <c r="ES96" s="507"/>
      <c r="ET96" s="507"/>
      <c r="EU96" s="507"/>
      <c r="EV96" s="507"/>
      <c r="EW96" s="507"/>
      <c r="EX96" s="507"/>
      <c r="EY96" s="507"/>
      <c r="EZ96" s="507"/>
      <c r="FA96" s="507"/>
      <c r="FB96" s="507"/>
      <c r="FC96" s="507"/>
      <c r="FD96" s="507"/>
      <c r="FE96" s="507"/>
      <c r="FF96" s="507"/>
      <c r="FG96" s="507"/>
      <c r="FH96" s="507"/>
      <c r="FI96" s="507"/>
      <c r="FJ96" s="507"/>
      <c r="FK96" s="507"/>
      <c r="FL96" s="507"/>
      <c r="FM96" s="507"/>
      <c r="FN96" s="507"/>
      <c r="FO96" s="507"/>
      <c r="FP96" s="507"/>
      <c r="FQ96" s="507"/>
      <c r="FR96" s="507"/>
      <c r="FS96" s="507"/>
      <c r="FT96" s="507"/>
      <c r="FU96" s="507"/>
      <c r="FV96" s="507"/>
      <c r="FW96" s="507"/>
      <c r="FX96" s="507"/>
      <c r="FY96" s="507"/>
      <c r="FZ96" s="507"/>
      <c r="GA96" s="507"/>
      <c r="GB96" s="507"/>
      <c r="GC96" s="507"/>
      <c r="GD96" s="507"/>
      <c r="GE96" s="507"/>
      <c r="GF96" s="507"/>
      <c r="GG96" s="507"/>
      <c r="GH96" s="507"/>
      <c r="GI96" s="507"/>
      <c r="GJ96" s="507"/>
      <c r="GK96" s="507"/>
      <c r="GL96" s="507"/>
      <c r="GM96" s="507"/>
      <c r="GN96" s="507"/>
      <c r="GO96" s="507"/>
      <c r="GP96" s="507"/>
      <c r="GQ96" s="507"/>
      <c r="GR96" s="507"/>
      <c r="GS96" s="507"/>
      <c r="GT96" s="507"/>
      <c r="GU96" s="507"/>
      <c r="GV96" s="507"/>
      <c r="GW96" s="507"/>
      <c r="GX96" s="507"/>
      <c r="GY96" s="507"/>
      <c r="GZ96" s="507"/>
      <c r="HA96" s="507"/>
      <c r="HB96" s="507"/>
      <c r="HC96" s="507"/>
      <c r="HD96" s="507"/>
      <c r="HE96" s="507"/>
      <c r="HF96" s="507"/>
      <c r="HG96" s="507"/>
      <c r="HH96" s="507"/>
      <c r="HI96" s="507"/>
      <c r="HJ96" s="507"/>
      <c r="HK96" s="507"/>
      <c r="HL96" s="507"/>
      <c r="HM96" s="507"/>
      <c r="HN96" s="507"/>
      <c r="HO96" s="507"/>
      <c r="HP96" s="507"/>
      <c r="HQ96" s="507"/>
      <c r="HR96" s="507"/>
      <c r="HS96" s="507"/>
      <c r="HT96" s="507"/>
      <c r="HU96" s="507"/>
      <c r="HV96" s="507"/>
      <c r="HW96" s="507"/>
      <c r="HX96" s="507"/>
      <c r="HY96" s="507"/>
      <c r="HZ96" s="507"/>
    </row>
    <row r="97" spans="1:234" s="232" customFormat="1" ht="15.9" hidden="1" customHeight="1" x14ac:dyDescent="0.25">
      <c r="A97" s="531" t="s">
        <v>2273</v>
      </c>
      <c r="B97" s="533" t="s">
        <v>4111</v>
      </c>
      <c r="C97" s="529" t="s">
        <v>2214</v>
      </c>
      <c r="D97" s="570" t="s">
        <v>4384</v>
      </c>
      <c r="E97" s="578" t="s">
        <v>3228</v>
      </c>
      <c r="F97" s="543">
        <v>38884</v>
      </c>
      <c r="G97" s="544">
        <v>38852</v>
      </c>
      <c r="H97" s="562">
        <v>38877</v>
      </c>
      <c r="I97" s="546">
        <v>40753</v>
      </c>
      <c r="J97" s="579">
        <v>10</v>
      </c>
      <c r="K97" s="548"/>
      <c r="L97" s="580"/>
      <c r="M97" s="576">
        <v>-0.04</v>
      </c>
      <c r="N97" s="606">
        <v>1</v>
      </c>
      <c r="O97" s="581"/>
      <c r="P97" s="581"/>
      <c r="Q97" s="581"/>
      <c r="R97" s="581"/>
      <c r="S97" s="582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4"/>
      <c r="AF97" s="3764" t="s">
        <v>781</v>
      </c>
      <c r="AG97" s="3765"/>
      <c r="AH97" s="553" t="s">
        <v>3229</v>
      </c>
      <c r="AI97" s="553" t="s">
        <v>3229</v>
      </c>
      <c r="AJ97" s="553" t="s">
        <v>3229</v>
      </c>
      <c r="AK97" s="566" t="s">
        <v>3229</v>
      </c>
      <c r="AL97" s="553" t="s">
        <v>3229</v>
      </c>
      <c r="AM97" s="590">
        <v>1</v>
      </c>
      <c r="AN97" s="576">
        <v>-3.1060000000000115E-3</v>
      </c>
      <c r="AO97" s="662">
        <v>9.9600000000000009</v>
      </c>
      <c r="AP97" s="1368">
        <v>2.6145155395424231E-2</v>
      </c>
      <c r="AQ97" s="675">
        <v>2.6145155395424231E-2</v>
      </c>
      <c r="AR97" s="3773" t="s">
        <v>3660</v>
      </c>
      <c r="AS97" s="3774"/>
      <c r="AT97" s="3774"/>
      <c r="AU97" s="3775"/>
      <c r="AV97" s="558">
        <v>-3.0999999999999999E-3</v>
      </c>
      <c r="AW97" s="558">
        <f t="shared" si="15"/>
        <v>-6.0616048976025461E-4</v>
      </c>
      <c r="AX97" s="558">
        <f>J97*(1+AV97)/AO97-1</f>
        <v>9.036144578311589E-4</v>
      </c>
      <c r="AY97" s="559" t="e">
        <f>POWER(1+AX97,1/AG97)-1</f>
        <v>#DIV/0!</v>
      </c>
      <c r="AZ97" s="642">
        <f t="shared" si="16"/>
        <v>9.9689999999999994</v>
      </c>
      <c r="BA97" s="644" t="s">
        <v>3344</v>
      </c>
      <c r="BB97" s="570"/>
      <c r="BC97" s="637"/>
      <c r="BD97" s="3708"/>
      <c r="BE97" s="3743"/>
      <c r="BF97" s="3743"/>
      <c r="BG97" s="3708"/>
      <c r="BH97" s="3762"/>
      <c r="BI97" s="3762"/>
      <c r="BJ97" s="39"/>
      <c r="BK97" s="39"/>
      <c r="BL97" s="39"/>
      <c r="BM97" s="39"/>
      <c r="BN97" s="39"/>
      <c r="BO97" s="39"/>
      <c r="BP97" s="39"/>
      <c r="BQ97" s="39"/>
      <c r="BR97" s="39"/>
      <c r="BS97" s="507"/>
      <c r="BT97" s="507"/>
      <c r="BU97" s="507"/>
      <c r="BV97" s="507"/>
      <c r="BW97" s="507"/>
      <c r="BX97" s="507"/>
      <c r="BY97" s="507"/>
      <c r="BZ97" s="507"/>
      <c r="CA97" s="507"/>
      <c r="CB97" s="507"/>
      <c r="CC97" s="507"/>
      <c r="CD97" s="507"/>
      <c r="CE97" s="507"/>
      <c r="CF97" s="507"/>
      <c r="CG97" s="507"/>
      <c r="CH97" s="507"/>
      <c r="CI97" s="507"/>
      <c r="CJ97" s="507"/>
      <c r="CK97" s="507"/>
      <c r="CL97" s="507"/>
      <c r="CM97" s="507"/>
      <c r="CN97" s="507"/>
      <c r="CO97" s="507"/>
      <c r="CP97" s="507"/>
      <c r="CQ97" s="507"/>
      <c r="CR97" s="507"/>
      <c r="CS97" s="507"/>
      <c r="CT97" s="507"/>
      <c r="CU97" s="507"/>
      <c r="CV97" s="507"/>
      <c r="CW97" s="507"/>
      <c r="CX97" s="507"/>
      <c r="CY97" s="507"/>
      <c r="CZ97" s="507"/>
      <c r="DA97" s="507"/>
      <c r="DB97" s="507"/>
      <c r="DC97" s="507"/>
      <c r="DD97" s="507"/>
      <c r="DE97" s="507"/>
      <c r="DF97" s="507"/>
      <c r="DG97" s="507"/>
      <c r="DH97" s="507"/>
      <c r="DI97" s="507"/>
      <c r="DJ97" s="507"/>
      <c r="DK97" s="507"/>
      <c r="DL97" s="507"/>
      <c r="DM97" s="507"/>
      <c r="DN97" s="507"/>
      <c r="DO97" s="507"/>
      <c r="DP97" s="507"/>
      <c r="DQ97" s="507"/>
      <c r="DR97" s="507"/>
      <c r="DS97" s="507"/>
      <c r="DT97" s="507"/>
      <c r="DU97" s="507"/>
      <c r="DV97" s="507"/>
      <c r="DW97" s="507"/>
      <c r="DX97" s="507"/>
      <c r="DY97" s="507"/>
      <c r="DZ97" s="507"/>
      <c r="EA97" s="507"/>
      <c r="EB97" s="507"/>
      <c r="EC97" s="507"/>
      <c r="ED97" s="507"/>
      <c r="EE97" s="507"/>
      <c r="EF97" s="507"/>
      <c r="EG97" s="507"/>
      <c r="EH97" s="507"/>
      <c r="EI97" s="507"/>
      <c r="EJ97" s="507"/>
      <c r="EK97" s="507"/>
      <c r="EL97" s="507"/>
      <c r="EM97" s="507"/>
      <c r="EN97" s="507"/>
      <c r="EO97" s="507"/>
      <c r="EP97" s="507"/>
      <c r="EQ97" s="507"/>
      <c r="ER97" s="507"/>
      <c r="ES97" s="507"/>
      <c r="ET97" s="507"/>
      <c r="EU97" s="507"/>
      <c r="EV97" s="507"/>
      <c r="EW97" s="507"/>
      <c r="EX97" s="507"/>
      <c r="EY97" s="507"/>
      <c r="EZ97" s="507"/>
      <c r="FA97" s="507"/>
      <c r="FB97" s="507"/>
      <c r="FC97" s="507"/>
      <c r="FD97" s="507"/>
      <c r="FE97" s="507"/>
      <c r="FF97" s="507"/>
      <c r="FG97" s="507"/>
      <c r="FH97" s="507"/>
      <c r="FI97" s="507"/>
      <c r="FJ97" s="507"/>
      <c r="FK97" s="507"/>
      <c r="FL97" s="507"/>
      <c r="FM97" s="507"/>
      <c r="FN97" s="507"/>
      <c r="FO97" s="507"/>
      <c r="FP97" s="507"/>
      <c r="FQ97" s="507"/>
      <c r="FR97" s="507"/>
      <c r="FS97" s="507"/>
      <c r="FT97" s="507"/>
      <c r="FU97" s="507"/>
      <c r="FV97" s="507"/>
      <c r="FW97" s="507"/>
      <c r="FX97" s="507"/>
      <c r="FY97" s="507"/>
      <c r="FZ97" s="507"/>
      <c r="GA97" s="507"/>
      <c r="GB97" s="507"/>
      <c r="GC97" s="507"/>
      <c r="GD97" s="507"/>
      <c r="GE97" s="507"/>
      <c r="GF97" s="507"/>
      <c r="GG97" s="507"/>
      <c r="GH97" s="507"/>
      <c r="GI97" s="507"/>
      <c r="GJ97" s="507"/>
      <c r="GK97" s="507"/>
      <c r="GL97" s="507"/>
      <c r="GM97" s="507"/>
      <c r="GN97" s="507"/>
      <c r="GO97" s="507"/>
      <c r="GP97" s="507"/>
      <c r="GQ97" s="507"/>
      <c r="GR97" s="507"/>
      <c r="GS97" s="507"/>
      <c r="GT97" s="507"/>
      <c r="GU97" s="507"/>
      <c r="GV97" s="507"/>
      <c r="GW97" s="507"/>
      <c r="GX97" s="507"/>
      <c r="GY97" s="507"/>
      <c r="GZ97" s="507"/>
      <c r="HA97" s="507"/>
      <c r="HB97" s="507"/>
      <c r="HC97" s="507"/>
      <c r="HD97" s="507"/>
      <c r="HE97" s="507"/>
      <c r="HF97" s="507"/>
      <c r="HG97" s="507"/>
      <c r="HH97" s="507"/>
      <c r="HI97" s="507"/>
      <c r="HJ97" s="507"/>
      <c r="HK97" s="507"/>
      <c r="HL97" s="507"/>
      <c r="HM97" s="507"/>
      <c r="HN97" s="507"/>
      <c r="HO97" s="507"/>
      <c r="HP97" s="507"/>
      <c r="HQ97" s="507"/>
      <c r="HR97" s="507"/>
      <c r="HS97" s="507"/>
      <c r="HT97" s="507"/>
      <c r="HU97" s="507"/>
      <c r="HV97" s="507"/>
      <c r="HW97" s="507"/>
      <c r="HX97" s="507"/>
      <c r="HY97" s="507"/>
      <c r="HZ97" s="507"/>
    </row>
    <row r="98" spans="1:234" s="232" customFormat="1" ht="15.9" hidden="1" customHeight="1" x14ac:dyDescent="0.25">
      <c r="A98" s="522" t="s">
        <v>2161</v>
      </c>
      <c r="B98" s="523" t="s">
        <v>248</v>
      </c>
      <c r="C98" s="527" t="s">
        <v>3677</v>
      </c>
      <c r="D98" s="570" t="s">
        <v>4384</v>
      </c>
      <c r="E98" s="569" t="s">
        <v>3228</v>
      </c>
      <c r="F98" s="543">
        <v>38926</v>
      </c>
      <c r="G98" s="544">
        <v>38883</v>
      </c>
      <c r="H98" s="557">
        <v>38919</v>
      </c>
      <c r="I98" s="546">
        <v>40907</v>
      </c>
      <c r="J98" s="547">
        <v>10</v>
      </c>
      <c r="K98" s="553">
        <v>-0.03</v>
      </c>
      <c r="L98" s="552">
        <v>7.1999999999999995E-2</v>
      </c>
      <c r="M98" s="549">
        <v>0.05</v>
      </c>
      <c r="N98" s="606" t="s">
        <v>3229</v>
      </c>
      <c r="O98" s="551" t="s">
        <v>3229</v>
      </c>
      <c r="P98" s="576" t="s">
        <v>3229</v>
      </c>
      <c r="Q98" s="570">
        <v>7.1999999999999995E-2</v>
      </c>
      <c r="R98" s="570" t="s">
        <v>3229</v>
      </c>
      <c r="S98" s="577">
        <v>5</v>
      </c>
      <c r="T98" s="555">
        <v>39295</v>
      </c>
      <c r="U98" s="555">
        <v>39661</v>
      </c>
      <c r="V98" s="555">
        <v>40026</v>
      </c>
      <c r="W98" s="555">
        <v>40391</v>
      </c>
      <c r="X98" s="555">
        <v>40878</v>
      </c>
      <c r="Y98" s="555" t="s">
        <v>3229</v>
      </c>
      <c r="Z98" s="555" t="s">
        <v>3229</v>
      </c>
      <c r="AA98" s="553" t="s">
        <v>3229</v>
      </c>
      <c r="AB98" s="553" t="s">
        <v>3229</v>
      </c>
      <c r="AC98" s="553" t="s">
        <v>3229</v>
      </c>
      <c r="AD98" s="553" t="s">
        <v>3229</v>
      </c>
      <c r="AE98" s="553" t="s">
        <v>3229</v>
      </c>
      <c r="AF98" s="3764" t="s">
        <v>781</v>
      </c>
      <c r="AG98" s="3765"/>
      <c r="AH98" s="553">
        <v>0.5</v>
      </c>
      <c r="AI98" s="553">
        <v>0.3</v>
      </c>
      <c r="AJ98" s="553">
        <v>0.2</v>
      </c>
      <c r="AK98" s="566" t="s">
        <v>3229</v>
      </c>
      <c r="AL98" s="553" t="s">
        <v>3229</v>
      </c>
      <c r="AM98" s="659" t="s">
        <v>3229</v>
      </c>
      <c r="AN98" s="606">
        <v>0.05</v>
      </c>
      <c r="AO98" s="660">
        <v>10.25</v>
      </c>
      <c r="AP98" s="1368" t="s">
        <v>3229</v>
      </c>
      <c r="AQ98" s="658" t="s">
        <v>3229</v>
      </c>
      <c r="AR98" s="558"/>
      <c r="AS98" s="558"/>
      <c r="AT98" s="650"/>
      <c r="AU98" s="552"/>
      <c r="AV98" s="558" t="e">
        <f>MAX(M98,AN98+AF98*K98)</f>
        <v>#VALUE!</v>
      </c>
      <c r="AW98" s="558" t="e">
        <f t="shared" si="15"/>
        <v>#VALUE!</v>
      </c>
      <c r="AX98" s="553"/>
      <c r="AY98" s="552"/>
      <c r="AZ98" s="642" t="e">
        <f t="shared" si="16"/>
        <v>#VALUE!</v>
      </c>
      <c r="BA98" s="644" t="s">
        <v>3189</v>
      </c>
      <c r="BB98" s="570" t="s">
        <v>2025</v>
      </c>
      <c r="BC98" s="637" t="s">
        <v>2895</v>
      </c>
      <c r="BD98" s="3708"/>
      <c r="BE98" s="3743"/>
      <c r="BF98" s="3743"/>
      <c r="BG98" s="3708"/>
      <c r="BH98" s="3762"/>
      <c r="BI98" s="3762"/>
      <c r="BJ98" s="39"/>
      <c r="BK98" s="39"/>
      <c r="BL98" s="39"/>
      <c r="BM98" s="39"/>
      <c r="BN98" s="39"/>
      <c r="BO98" s="39"/>
      <c r="BP98" s="39"/>
      <c r="BQ98" s="39"/>
      <c r="BR98" s="39"/>
      <c r="BS98" s="507"/>
      <c r="BT98" s="507"/>
      <c r="BU98" s="507"/>
      <c r="BV98" s="507"/>
      <c r="BW98" s="507"/>
      <c r="BX98" s="507"/>
      <c r="BY98" s="507"/>
      <c r="BZ98" s="507"/>
      <c r="CA98" s="507"/>
      <c r="CB98" s="507"/>
      <c r="CC98" s="507"/>
      <c r="CD98" s="507"/>
      <c r="CE98" s="507"/>
      <c r="CF98" s="507"/>
      <c r="CG98" s="507"/>
      <c r="CH98" s="507"/>
      <c r="CI98" s="507"/>
      <c r="CJ98" s="507"/>
      <c r="CK98" s="507"/>
      <c r="CL98" s="507"/>
      <c r="CM98" s="507"/>
      <c r="CN98" s="507"/>
      <c r="CO98" s="507"/>
      <c r="CP98" s="507"/>
      <c r="CQ98" s="507"/>
      <c r="CR98" s="507"/>
      <c r="CS98" s="507"/>
      <c r="CT98" s="507"/>
      <c r="CU98" s="507"/>
      <c r="CV98" s="507"/>
      <c r="CW98" s="507"/>
      <c r="CX98" s="507"/>
      <c r="CY98" s="507"/>
      <c r="CZ98" s="507"/>
      <c r="DA98" s="507"/>
      <c r="DB98" s="507"/>
      <c r="DC98" s="507"/>
      <c r="DD98" s="507"/>
      <c r="DE98" s="507"/>
      <c r="DF98" s="507"/>
      <c r="DG98" s="507"/>
      <c r="DH98" s="507"/>
      <c r="DI98" s="507"/>
      <c r="DJ98" s="507"/>
      <c r="DK98" s="507"/>
      <c r="DL98" s="507"/>
      <c r="DM98" s="507"/>
      <c r="DN98" s="507"/>
      <c r="DO98" s="507"/>
      <c r="DP98" s="507"/>
      <c r="DQ98" s="507"/>
      <c r="DR98" s="507"/>
      <c r="DS98" s="507"/>
      <c r="DT98" s="507"/>
      <c r="DU98" s="507"/>
      <c r="DV98" s="507"/>
      <c r="DW98" s="507"/>
      <c r="DX98" s="507"/>
      <c r="DY98" s="507"/>
      <c r="DZ98" s="507"/>
      <c r="EA98" s="507"/>
      <c r="EB98" s="507"/>
      <c r="EC98" s="507"/>
      <c r="ED98" s="507"/>
      <c r="EE98" s="507"/>
      <c r="EF98" s="507"/>
      <c r="EG98" s="507"/>
      <c r="EH98" s="507"/>
      <c r="EI98" s="507"/>
      <c r="EJ98" s="507"/>
      <c r="EK98" s="507"/>
      <c r="EL98" s="507"/>
      <c r="EM98" s="507"/>
      <c r="EN98" s="507"/>
      <c r="EO98" s="507"/>
      <c r="EP98" s="507"/>
      <c r="EQ98" s="507"/>
      <c r="ER98" s="507"/>
      <c r="ES98" s="507"/>
      <c r="ET98" s="507"/>
      <c r="EU98" s="507"/>
      <c r="EV98" s="507"/>
      <c r="EW98" s="507"/>
      <c r="EX98" s="507"/>
      <c r="EY98" s="507"/>
      <c r="EZ98" s="507"/>
      <c r="FA98" s="507"/>
      <c r="FB98" s="507"/>
      <c r="FC98" s="507"/>
      <c r="FD98" s="507"/>
      <c r="FE98" s="507"/>
      <c r="FF98" s="507"/>
      <c r="FG98" s="507"/>
      <c r="FH98" s="507"/>
      <c r="FI98" s="507"/>
      <c r="FJ98" s="507"/>
      <c r="FK98" s="507"/>
      <c r="FL98" s="507"/>
      <c r="FM98" s="507"/>
      <c r="FN98" s="507"/>
      <c r="FO98" s="507"/>
      <c r="FP98" s="507"/>
      <c r="FQ98" s="507"/>
      <c r="FR98" s="507"/>
      <c r="FS98" s="507"/>
      <c r="FT98" s="507"/>
      <c r="FU98" s="507"/>
      <c r="FV98" s="507"/>
      <c r="FW98" s="507"/>
      <c r="FX98" s="507"/>
      <c r="FY98" s="507"/>
      <c r="FZ98" s="507"/>
      <c r="GA98" s="507"/>
      <c r="GB98" s="507"/>
      <c r="GC98" s="507"/>
      <c r="GD98" s="507"/>
      <c r="GE98" s="507"/>
      <c r="GF98" s="507"/>
      <c r="GG98" s="507"/>
      <c r="GH98" s="507"/>
      <c r="GI98" s="507"/>
      <c r="GJ98" s="507"/>
      <c r="GK98" s="507"/>
      <c r="GL98" s="507"/>
      <c r="GM98" s="507"/>
      <c r="GN98" s="507"/>
      <c r="GO98" s="507"/>
      <c r="GP98" s="507"/>
      <c r="GQ98" s="507"/>
      <c r="GR98" s="507"/>
      <c r="GS98" s="507"/>
      <c r="GT98" s="507"/>
      <c r="GU98" s="507"/>
      <c r="GV98" s="507"/>
      <c r="GW98" s="507"/>
      <c r="GX98" s="507"/>
      <c r="GY98" s="507"/>
      <c r="GZ98" s="507"/>
      <c r="HA98" s="507"/>
      <c r="HB98" s="507"/>
      <c r="HC98" s="507"/>
      <c r="HD98" s="507"/>
      <c r="HE98" s="507"/>
      <c r="HF98" s="507"/>
      <c r="HG98" s="507"/>
      <c r="HH98" s="507"/>
      <c r="HI98" s="507"/>
      <c r="HJ98" s="507"/>
      <c r="HK98" s="507"/>
      <c r="HL98" s="507"/>
      <c r="HM98" s="507"/>
      <c r="HN98" s="507"/>
      <c r="HO98" s="507"/>
      <c r="HP98" s="507"/>
      <c r="HQ98" s="507"/>
      <c r="HR98" s="507"/>
      <c r="HS98" s="507"/>
      <c r="HT98" s="507"/>
      <c r="HU98" s="507"/>
      <c r="HV98" s="507"/>
      <c r="HW98" s="507"/>
      <c r="HX98" s="507"/>
      <c r="HY98" s="507"/>
      <c r="HZ98" s="507"/>
    </row>
    <row r="99" spans="1:234" s="232" customFormat="1" ht="15.9" hidden="1" customHeight="1" x14ac:dyDescent="0.25">
      <c r="A99" s="531" t="s">
        <v>1336</v>
      </c>
      <c r="B99" s="533" t="s">
        <v>3539</v>
      </c>
      <c r="C99" s="529" t="s">
        <v>3678</v>
      </c>
      <c r="D99" s="570" t="s">
        <v>826</v>
      </c>
      <c r="E99" s="569" t="s">
        <v>3228</v>
      </c>
      <c r="F99" s="557">
        <v>38954</v>
      </c>
      <c r="G99" s="544">
        <v>38901</v>
      </c>
      <c r="H99" s="562">
        <v>38947</v>
      </c>
      <c r="I99" s="546">
        <v>40451</v>
      </c>
      <c r="J99" s="547">
        <v>10</v>
      </c>
      <c r="K99" s="553" t="s">
        <v>3229</v>
      </c>
      <c r="L99" s="552" t="s">
        <v>3229</v>
      </c>
      <c r="M99" s="576">
        <v>0.04</v>
      </c>
      <c r="N99" s="606">
        <v>1</v>
      </c>
      <c r="O99" s="551" t="s">
        <v>3229</v>
      </c>
      <c r="P99" s="551" t="s">
        <v>3229</v>
      </c>
      <c r="Q99" s="551" t="s">
        <v>3229</v>
      </c>
      <c r="R99" s="551" t="s">
        <v>3229</v>
      </c>
      <c r="S99" s="567"/>
      <c r="T99" s="553" t="s">
        <v>3229</v>
      </c>
      <c r="U99" s="553" t="s">
        <v>3229</v>
      </c>
      <c r="V99" s="553" t="s">
        <v>3229</v>
      </c>
      <c r="W99" s="553" t="s">
        <v>3229</v>
      </c>
      <c r="X99" s="553" t="s">
        <v>3229</v>
      </c>
      <c r="Y99" s="553" t="s">
        <v>3229</v>
      </c>
      <c r="Z99" s="553" t="s">
        <v>3229</v>
      </c>
      <c r="AA99" s="553" t="s">
        <v>3229</v>
      </c>
      <c r="AB99" s="553" t="s">
        <v>3229</v>
      </c>
      <c r="AC99" s="553" t="s">
        <v>3229</v>
      </c>
      <c r="AD99" s="553" t="s">
        <v>3229</v>
      </c>
      <c r="AE99" s="552" t="s">
        <v>3229</v>
      </c>
      <c r="AF99" s="3764" t="s">
        <v>781</v>
      </c>
      <c r="AG99" s="3765"/>
      <c r="AH99" s="553" t="s">
        <v>3229</v>
      </c>
      <c r="AI99" s="553" t="s">
        <v>3229</v>
      </c>
      <c r="AJ99" s="553" t="s">
        <v>3229</v>
      </c>
      <c r="AK99" s="566" t="s">
        <v>3229</v>
      </c>
      <c r="AL99" s="553" t="s">
        <v>3229</v>
      </c>
      <c r="AM99" s="590">
        <v>1</v>
      </c>
      <c r="AN99" s="576">
        <v>0.04</v>
      </c>
      <c r="AO99" s="662">
        <v>10.4</v>
      </c>
      <c r="AP99" s="1368">
        <v>-0.13884987500000001</v>
      </c>
      <c r="AQ99" s="675">
        <v>-0.29729316089627872</v>
      </c>
      <c r="AR99" s="632">
        <v>0.04</v>
      </c>
      <c r="AS99" s="558">
        <f>POWER(1+AR99,1/((I99-F99)/365))-1</f>
        <v>9.6087025144426796E-3</v>
      </c>
      <c r="AT99" s="648" t="s">
        <v>3229</v>
      </c>
      <c r="AU99" s="559" t="s">
        <v>3229</v>
      </c>
      <c r="AV99" s="558">
        <f t="shared" ref="AV99:AV106" si="17">M99</f>
        <v>0.04</v>
      </c>
      <c r="AW99" s="558">
        <f t="shared" si="15"/>
        <v>9.6087025144426796E-3</v>
      </c>
      <c r="AX99" s="589" t="s">
        <v>3229</v>
      </c>
      <c r="AY99" s="559" t="s">
        <v>3229</v>
      </c>
      <c r="AZ99" s="642">
        <f t="shared" si="16"/>
        <v>10.4</v>
      </c>
      <c r="BA99" s="644" t="s">
        <v>643</v>
      </c>
      <c r="BB99" s="570"/>
      <c r="BC99" s="637"/>
      <c r="BD99" s="3708"/>
      <c r="BE99" s="3743"/>
      <c r="BF99" s="3743"/>
      <c r="BG99" s="3708"/>
      <c r="BH99" s="3762"/>
      <c r="BI99" s="3762"/>
      <c r="BJ99" s="39"/>
      <c r="BK99" s="39"/>
      <c r="BL99" s="39"/>
      <c r="BM99" s="39"/>
      <c r="BN99" s="39"/>
      <c r="BO99" s="39"/>
      <c r="BP99" s="39"/>
      <c r="BQ99" s="39"/>
      <c r="BR99" s="39"/>
      <c r="BS99" s="507"/>
      <c r="BT99" s="507"/>
      <c r="BU99" s="507"/>
      <c r="BV99" s="507"/>
      <c r="BW99" s="507"/>
      <c r="BX99" s="507"/>
      <c r="BY99" s="507"/>
      <c r="BZ99" s="507"/>
      <c r="CA99" s="507"/>
      <c r="CB99" s="507"/>
      <c r="CC99" s="507"/>
      <c r="CD99" s="507"/>
      <c r="CE99" s="507"/>
      <c r="CF99" s="507"/>
      <c r="CG99" s="507"/>
      <c r="CH99" s="507"/>
      <c r="CI99" s="507"/>
      <c r="CJ99" s="507"/>
      <c r="CK99" s="507"/>
      <c r="CL99" s="507"/>
      <c r="CM99" s="507"/>
      <c r="CN99" s="507"/>
      <c r="CO99" s="507"/>
      <c r="CP99" s="507"/>
      <c r="CQ99" s="507"/>
      <c r="CR99" s="507"/>
      <c r="CS99" s="507"/>
      <c r="CT99" s="507"/>
      <c r="CU99" s="507"/>
      <c r="CV99" s="507"/>
      <c r="CW99" s="507"/>
      <c r="CX99" s="507"/>
      <c r="CY99" s="507"/>
      <c r="CZ99" s="507"/>
      <c r="DA99" s="507"/>
      <c r="DB99" s="507"/>
      <c r="DC99" s="507"/>
      <c r="DD99" s="507"/>
      <c r="DE99" s="507"/>
      <c r="DF99" s="507"/>
      <c r="DG99" s="507"/>
      <c r="DH99" s="507"/>
      <c r="DI99" s="507"/>
      <c r="DJ99" s="507"/>
      <c r="DK99" s="507"/>
      <c r="DL99" s="507"/>
      <c r="DM99" s="507"/>
      <c r="DN99" s="507"/>
      <c r="DO99" s="507"/>
      <c r="DP99" s="507"/>
      <c r="DQ99" s="507"/>
      <c r="DR99" s="507"/>
      <c r="DS99" s="507"/>
      <c r="DT99" s="507"/>
      <c r="DU99" s="507"/>
      <c r="DV99" s="507"/>
      <c r="DW99" s="507"/>
      <c r="DX99" s="507"/>
      <c r="DY99" s="507"/>
      <c r="DZ99" s="507"/>
      <c r="EA99" s="507"/>
      <c r="EB99" s="507"/>
      <c r="EC99" s="507"/>
      <c r="ED99" s="507"/>
      <c r="EE99" s="507"/>
      <c r="EF99" s="507"/>
      <c r="EG99" s="507"/>
      <c r="EH99" s="507"/>
      <c r="EI99" s="507"/>
      <c r="EJ99" s="507"/>
      <c r="EK99" s="507"/>
      <c r="EL99" s="507"/>
      <c r="EM99" s="507"/>
      <c r="EN99" s="507"/>
      <c r="EO99" s="507"/>
      <c r="EP99" s="507"/>
      <c r="EQ99" s="507"/>
      <c r="ER99" s="507"/>
      <c r="ES99" s="507"/>
      <c r="ET99" s="507"/>
      <c r="EU99" s="507"/>
      <c r="EV99" s="507"/>
      <c r="EW99" s="507"/>
      <c r="EX99" s="507"/>
      <c r="EY99" s="507"/>
      <c r="EZ99" s="507"/>
      <c r="FA99" s="507"/>
      <c r="FB99" s="507"/>
      <c r="FC99" s="507"/>
      <c r="FD99" s="507"/>
      <c r="FE99" s="507"/>
      <c r="FF99" s="507"/>
      <c r="FG99" s="507"/>
      <c r="FH99" s="507"/>
      <c r="FI99" s="507"/>
      <c r="FJ99" s="507"/>
      <c r="FK99" s="507"/>
      <c r="FL99" s="507"/>
      <c r="FM99" s="507"/>
      <c r="FN99" s="507"/>
      <c r="FO99" s="507"/>
      <c r="FP99" s="507"/>
      <c r="FQ99" s="507"/>
      <c r="FR99" s="507"/>
      <c r="FS99" s="507"/>
      <c r="FT99" s="507"/>
      <c r="FU99" s="507"/>
      <c r="FV99" s="507"/>
      <c r="FW99" s="507"/>
      <c r="FX99" s="507"/>
      <c r="FY99" s="507"/>
      <c r="FZ99" s="507"/>
      <c r="GA99" s="507"/>
      <c r="GB99" s="507"/>
      <c r="GC99" s="507"/>
      <c r="GD99" s="507"/>
      <c r="GE99" s="507"/>
      <c r="GF99" s="507"/>
      <c r="GG99" s="507"/>
      <c r="GH99" s="507"/>
      <c r="GI99" s="507"/>
      <c r="GJ99" s="507"/>
      <c r="GK99" s="507"/>
      <c r="GL99" s="507"/>
      <c r="GM99" s="507"/>
      <c r="GN99" s="507"/>
      <c r="GO99" s="507"/>
      <c r="GP99" s="507"/>
      <c r="GQ99" s="507"/>
      <c r="GR99" s="507"/>
      <c r="GS99" s="507"/>
      <c r="GT99" s="507"/>
      <c r="GU99" s="507"/>
      <c r="GV99" s="507"/>
      <c r="GW99" s="507"/>
      <c r="GX99" s="507"/>
      <c r="GY99" s="507"/>
      <c r="GZ99" s="507"/>
      <c r="HA99" s="507"/>
      <c r="HB99" s="507"/>
      <c r="HC99" s="507"/>
      <c r="HD99" s="507"/>
      <c r="HE99" s="507"/>
      <c r="HF99" s="507"/>
      <c r="HG99" s="507"/>
      <c r="HH99" s="507"/>
      <c r="HI99" s="507"/>
      <c r="HJ99" s="507"/>
      <c r="HK99" s="507"/>
      <c r="HL99" s="507"/>
      <c r="HM99" s="507"/>
      <c r="HN99" s="507"/>
      <c r="HO99" s="507"/>
      <c r="HP99" s="507"/>
      <c r="HQ99" s="507"/>
      <c r="HR99" s="507"/>
      <c r="HS99" s="507"/>
      <c r="HT99" s="507"/>
      <c r="HU99" s="507"/>
      <c r="HV99" s="507"/>
      <c r="HW99" s="507"/>
      <c r="HX99" s="507"/>
      <c r="HY99" s="507"/>
      <c r="HZ99" s="507"/>
    </row>
    <row r="100" spans="1:234" s="232" customFormat="1" ht="15.9" hidden="1" customHeight="1" x14ac:dyDescent="0.25">
      <c r="A100" s="531" t="s">
        <v>488</v>
      </c>
      <c r="B100" s="533" t="s">
        <v>249</v>
      </c>
      <c r="C100" s="534" t="s">
        <v>1949</v>
      </c>
      <c r="D100" s="570" t="s">
        <v>4004</v>
      </c>
      <c r="E100" s="569" t="s">
        <v>3228</v>
      </c>
      <c r="F100" s="543">
        <v>38961</v>
      </c>
      <c r="G100" s="544">
        <v>38901</v>
      </c>
      <c r="H100" s="562">
        <v>38954</v>
      </c>
      <c r="I100" s="546">
        <v>40816</v>
      </c>
      <c r="J100" s="547">
        <v>10</v>
      </c>
      <c r="K100" s="580"/>
      <c r="L100" s="580"/>
      <c r="M100" s="576">
        <v>0.05</v>
      </c>
      <c r="N100" s="606">
        <v>0.75</v>
      </c>
      <c r="O100" s="551" t="s">
        <v>3229</v>
      </c>
      <c r="P100" s="551" t="s">
        <v>3229</v>
      </c>
      <c r="Q100" s="551" t="s">
        <v>3229</v>
      </c>
      <c r="R100" s="551" t="s">
        <v>3229</v>
      </c>
      <c r="S100" s="567"/>
      <c r="T100" s="553" t="s">
        <v>3229</v>
      </c>
      <c r="U100" s="553" t="s">
        <v>3229</v>
      </c>
      <c r="V100" s="553" t="s">
        <v>3229</v>
      </c>
      <c r="W100" s="553" t="s">
        <v>3229</v>
      </c>
      <c r="X100" s="553" t="s">
        <v>3229</v>
      </c>
      <c r="Y100" s="553" t="s">
        <v>3229</v>
      </c>
      <c r="Z100" s="553" t="s">
        <v>3229</v>
      </c>
      <c r="AA100" s="553" t="s">
        <v>3229</v>
      </c>
      <c r="AB100" s="553" t="s">
        <v>3229</v>
      </c>
      <c r="AC100" s="553" t="s">
        <v>3229</v>
      </c>
      <c r="AD100" s="553" t="s">
        <v>3229</v>
      </c>
      <c r="AE100" s="553" t="s">
        <v>3229</v>
      </c>
      <c r="AF100" s="3764" t="s">
        <v>781</v>
      </c>
      <c r="AG100" s="3765"/>
      <c r="AH100" s="553" t="s">
        <v>3229</v>
      </c>
      <c r="AI100" s="553" t="s">
        <v>3229</v>
      </c>
      <c r="AJ100" s="553" t="s">
        <v>3229</v>
      </c>
      <c r="AK100" s="566" t="s">
        <v>3229</v>
      </c>
      <c r="AL100" s="553" t="s">
        <v>3229</v>
      </c>
      <c r="AM100" s="590">
        <v>1</v>
      </c>
      <c r="AN100" s="576">
        <v>0.05</v>
      </c>
      <c r="AO100" s="665">
        <v>10.4</v>
      </c>
      <c r="AP100" s="1368">
        <v>-0.23607599999999998</v>
      </c>
      <c r="AQ100" s="658">
        <v>-0.3528</v>
      </c>
      <c r="AR100" s="3773" t="s">
        <v>3660</v>
      </c>
      <c r="AS100" s="3774"/>
      <c r="AT100" s="3774"/>
      <c r="AU100" s="3775"/>
      <c r="AV100" s="558">
        <f t="shared" si="17"/>
        <v>0.05</v>
      </c>
      <c r="AW100" s="558">
        <f t="shared" si="15"/>
        <v>9.6464509243689989E-3</v>
      </c>
      <c r="AX100" s="558">
        <f>J100*(1+AV100)/AO100-1</f>
        <v>9.6153846153845812E-3</v>
      </c>
      <c r="AY100" s="559" t="e">
        <f>POWER(1+AX100,1/AG100)-1</f>
        <v>#DIV/0!</v>
      </c>
      <c r="AZ100" s="642">
        <f t="shared" si="16"/>
        <v>10.5</v>
      </c>
      <c r="BA100" s="644" t="s">
        <v>275</v>
      </c>
      <c r="BB100" s="570"/>
      <c r="BC100" s="637"/>
      <c r="BD100" s="3708"/>
      <c r="BE100" s="3743"/>
      <c r="BF100" s="3743"/>
      <c r="BG100" s="3708"/>
      <c r="BH100" s="3762"/>
      <c r="BI100" s="3762"/>
      <c r="BJ100" s="39"/>
      <c r="BK100" s="39"/>
      <c r="BL100" s="39"/>
      <c r="BM100" s="39"/>
      <c r="BN100" s="39"/>
      <c r="BO100" s="39"/>
      <c r="BP100" s="39"/>
      <c r="BQ100" s="39"/>
      <c r="BR100" s="39"/>
      <c r="BS100" s="507"/>
      <c r="BT100" s="507"/>
      <c r="BU100" s="507"/>
      <c r="BV100" s="507"/>
      <c r="BW100" s="507"/>
      <c r="BX100" s="507"/>
      <c r="BY100" s="507"/>
      <c r="BZ100" s="507"/>
      <c r="CA100" s="507"/>
      <c r="CB100" s="507"/>
      <c r="CC100" s="507"/>
      <c r="CD100" s="507"/>
      <c r="CE100" s="507"/>
      <c r="CF100" s="507"/>
      <c r="CG100" s="507"/>
      <c r="CH100" s="507"/>
      <c r="CI100" s="507"/>
      <c r="CJ100" s="507"/>
      <c r="CK100" s="507"/>
      <c r="CL100" s="507"/>
      <c r="CM100" s="507"/>
      <c r="CN100" s="507"/>
      <c r="CO100" s="507"/>
      <c r="CP100" s="507"/>
      <c r="CQ100" s="507"/>
      <c r="CR100" s="507"/>
      <c r="CS100" s="507"/>
      <c r="CT100" s="507"/>
      <c r="CU100" s="507"/>
      <c r="CV100" s="507"/>
      <c r="CW100" s="507"/>
      <c r="CX100" s="507"/>
      <c r="CY100" s="507"/>
      <c r="CZ100" s="507"/>
      <c r="DA100" s="507"/>
      <c r="DB100" s="507"/>
      <c r="DC100" s="507"/>
      <c r="DD100" s="507"/>
      <c r="DE100" s="507"/>
      <c r="DF100" s="507"/>
      <c r="DG100" s="507"/>
      <c r="DH100" s="507"/>
      <c r="DI100" s="507"/>
      <c r="DJ100" s="507"/>
      <c r="DK100" s="507"/>
      <c r="DL100" s="507"/>
      <c r="DM100" s="507"/>
      <c r="DN100" s="507"/>
      <c r="DO100" s="507"/>
      <c r="DP100" s="507"/>
      <c r="DQ100" s="507"/>
      <c r="DR100" s="507"/>
      <c r="DS100" s="507"/>
      <c r="DT100" s="507"/>
      <c r="DU100" s="507"/>
      <c r="DV100" s="507"/>
      <c r="DW100" s="507"/>
      <c r="DX100" s="507"/>
      <c r="DY100" s="507"/>
      <c r="DZ100" s="507"/>
      <c r="EA100" s="507"/>
      <c r="EB100" s="507"/>
      <c r="EC100" s="507"/>
      <c r="ED100" s="507"/>
      <c r="EE100" s="507"/>
      <c r="EF100" s="507"/>
      <c r="EG100" s="507"/>
      <c r="EH100" s="507"/>
      <c r="EI100" s="507"/>
      <c r="EJ100" s="507"/>
      <c r="EK100" s="507"/>
      <c r="EL100" s="507"/>
      <c r="EM100" s="507"/>
      <c r="EN100" s="507"/>
      <c r="EO100" s="507"/>
      <c r="EP100" s="507"/>
      <c r="EQ100" s="507"/>
      <c r="ER100" s="507"/>
      <c r="ES100" s="507"/>
      <c r="ET100" s="507"/>
      <c r="EU100" s="507"/>
      <c r="EV100" s="507"/>
      <c r="EW100" s="507"/>
      <c r="EX100" s="507"/>
      <c r="EY100" s="507"/>
      <c r="EZ100" s="507"/>
      <c r="FA100" s="507"/>
      <c r="FB100" s="507"/>
      <c r="FC100" s="507"/>
      <c r="FD100" s="507"/>
      <c r="FE100" s="507"/>
      <c r="FF100" s="507"/>
      <c r="FG100" s="507"/>
      <c r="FH100" s="507"/>
      <c r="FI100" s="507"/>
      <c r="FJ100" s="507"/>
      <c r="FK100" s="507"/>
      <c r="FL100" s="507"/>
      <c r="FM100" s="507"/>
      <c r="FN100" s="507"/>
      <c r="FO100" s="507"/>
      <c r="FP100" s="507"/>
      <c r="FQ100" s="507"/>
      <c r="FR100" s="507"/>
      <c r="FS100" s="507"/>
      <c r="FT100" s="507"/>
      <c r="FU100" s="507"/>
      <c r="FV100" s="507"/>
      <c r="FW100" s="507"/>
      <c r="FX100" s="507"/>
      <c r="FY100" s="507"/>
      <c r="FZ100" s="507"/>
      <c r="GA100" s="507"/>
      <c r="GB100" s="507"/>
      <c r="GC100" s="507"/>
      <c r="GD100" s="507"/>
      <c r="GE100" s="507"/>
      <c r="GF100" s="507"/>
      <c r="GG100" s="507"/>
      <c r="GH100" s="507"/>
      <c r="GI100" s="507"/>
      <c r="GJ100" s="507"/>
      <c r="GK100" s="507"/>
      <c r="GL100" s="507"/>
      <c r="GM100" s="507"/>
      <c r="GN100" s="507"/>
      <c r="GO100" s="507"/>
      <c r="GP100" s="507"/>
      <c r="GQ100" s="507"/>
      <c r="GR100" s="507"/>
      <c r="GS100" s="507"/>
      <c r="GT100" s="507"/>
      <c r="GU100" s="507"/>
      <c r="GV100" s="507"/>
      <c r="GW100" s="507"/>
      <c r="GX100" s="507"/>
      <c r="GY100" s="507"/>
      <c r="GZ100" s="507"/>
      <c r="HA100" s="507"/>
      <c r="HB100" s="507"/>
      <c r="HC100" s="507"/>
      <c r="HD100" s="507"/>
      <c r="HE100" s="507"/>
      <c r="HF100" s="507"/>
      <c r="HG100" s="507"/>
      <c r="HH100" s="507"/>
      <c r="HI100" s="507"/>
      <c r="HJ100" s="507"/>
      <c r="HK100" s="507"/>
      <c r="HL100" s="507"/>
      <c r="HM100" s="507"/>
      <c r="HN100" s="507"/>
      <c r="HO100" s="507"/>
      <c r="HP100" s="507"/>
      <c r="HQ100" s="507"/>
      <c r="HR100" s="507"/>
      <c r="HS100" s="507"/>
      <c r="HT100" s="507"/>
      <c r="HU100" s="507"/>
      <c r="HV100" s="507"/>
      <c r="HW100" s="507"/>
      <c r="HX100" s="507"/>
      <c r="HY100" s="507"/>
      <c r="HZ100" s="507"/>
    </row>
    <row r="101" spans="1:234" ht="15.9" hidden="1" customHeight="1" x14ac:dyDescent="0.25">
      <c r="A101" s="531" t="s">
        <v>796</v>
      </c>
      <c r="B101" s="533" t="s">
        <v>2396</v>
      </c>
      <c r="C101" s="529" t="s">
        <v>1118</v>
      </c>
      <c r="D101" s="570" t="s">
        <v>2158</v>
      </c>
      <c r="E101" s="569" t="s">
        <v>3228</v>
      </c>
      <c r="F101" s="543">
        <v>38954</v>
      </c>
      <c r="G101" s="544">
        <v>38901</v>
      </c>
      <c r="H101" s="562">
        <v>38947</v>
      </c>
      <c r="I101" s="546">
        <v>41180</v>
      </c>
      <c r="J101" s="547">
        <v>10</v>
      </c>
      <c r="K101" s="553" t="s">
        <v>3229</v>
      </c>
      <c r="L101" s="552" t="s">
        <v>3229</v>
      </c>
      <c r="M101" s="576">
        <v>0.04</v>
      </c>
      <c r="N101" s="606">
        <v>0.8</v>
      </c>
      <c r="O101" s="551" t="s">
        <v>3229</v>
      </c>
      <c r="P101" s="551" t="s">
        <v>3229</v>
      </c>
      <c r="Q101" s="551" t="s">
        <v>3229</v>
      </c>
      <c r="R101" s="551" t="s">
        <v>3229</v>
      </c>
      <c r="S101" s="567"/>
      <c r="T101" s="563" t="s">
        <v>3229</v>
      </c>
      <c r="U101" s="563" t="s">
        <v>3229</v>
      </c>
      <c r="V101" s="563" t="s">
        <v>3229</v>
      </c>
      <c r="W101" s="563" t="s">
        <v>3229</v>
      </c>
      <c r="X101" s="563" t="s">
        <v>3229</v>
      </c>
      <c r="Y101" s="563" t="s">
        <v>3229</v>
      </c>
      <c r="Z101" s="563" t="s">
        <v>3229</v>
      </c>
      <c r="AA101" s="563" t="s">
        <v>3229</v>
      </c>
      <c r="AB101" s="563" t="s">
        <v>3229</v>
      </c>
      <c r="AC101" s="563" t="s">
        <v>3229</v>
      </c>
      <c r="AD101" s="563" t="s">
        <v>3229</v>
      </c>
      <c r="AE101" s="563" t="s">
        <v>3229</v>
      </c>
      <c r="AF101" s="3764" t="s">
        <v>781</v>
      </c>
      <c r="AG101" s="3765"/>
      <c r="AH101" s="553" t="s">
        <v>3229</v>
      </c>
      <c r="AI101" s="553" t="s">
        <v>3229</v>
      </c>
      <c r="AJ101" s="553" t="s">
        <v>3229</v>
      </c>
      <c r="AK101" s="566" t="s">
        <v>3229</v>
      </c>
      <c r="AL101" s="553" t="s">
        <v>3229</v>
      </c>
      <c r="AM101" s="590">
        <v>1</v>
      </c>
      <c r="AN101" s="576">
        <v>0.04</v>
      </c>
      <c r="AO101" s="662">
        <v>10.4</v>
      </c>
      <c r="AP101" s="1368">
        <v>-8.8541777777777775E-2</v>
      </c>
      <c r="AQ101" s="658">
        <v>-0.10273446967319941</v>
      </c>
      <c r="AR101" s="3773" t="s">
        <v>3660</v>
      </c>
      <c r="AS101" s="3774"/>
      <c r="AT101" s="3774"/>
      <c r="AU101" s="3775"/>
      <c r="AV101" s="558">
        <v>0.04</v>
      </c>
      <c r="AW101" s="558">
        <v>6.4517930452947514E-3</v>
      </c>
      <c r="AX101" s="558"/>
      <c r="AY101" s="559"/>
      <c r="AZ101" s="642">
        <v>10.4</v>
      </c>
      <c r="BA101" s="644" t="s">
        <v>275</v>
      </c>
      <c r="BB101" s="570"/>
      <c r="BC101" s="637"/>
      <c r="BD101" s="3708"/>
      <c r="BH101" s="3763"/>
      <c r="BI101" s="3763"/>
      <c r="BJ101" s="1639"/>
      <c r="BK101" s="1639"/>
      <c r="BL101" s="1639"/>
      <c r="BM101" s="1639"/>
      <c r="BN101" s="1639"/>
      <c r="BO101" s="1639"/>
      <c r="BP101" s="1639"/>
      <c r="BQ101" s="1639"/>
      <c r="BR101" s="1639"/>
      <c r="BS101" s="509"/>
      <c r="BT101" s="509"/>
      <c r="BU101" s="509"/>
      <c r="BV101" s="509"/>
      <c r="BW101" s="509"/>
      <c r="BX101" s="509"/>
      <c r="BY101" s="509"/>
      <c r="BZ101" s="509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09"/>
      <c r="CL101" s="509"/>
      <c r="CM101" s="509"/>
      <c r="CN101" s="509"/>
      <c r="CO101" s="509"/>
      <c r="CP101" s="509"/>
      <c r="CQ101" s="509"/>
      <c r="CR101" s="509"/>
      <c r="CS101" s="509"/>
      <c r="CT101" s="509"/>
      <c r="CU101" s="509"/>
      <c r="CV101" s="509"/>
      <c r="CW101" s="509"/>
      <c r="CX101" s="509"/>
      <c r="CY101" s="509"/>
      <c r="CZ101" s="509"/>
      <c r="DA101" s="509"/>
      <c r="DB101" s="509"/>
      <c r="DC101" s="509"/>
      <c r="DD101" s="509"/>
      <c r="DE101" s="509"/>
      <c r="DF101" s="509"/>
      <c r="DG101" s="509"/>
      <c r="DH101" s="509"/>
      <c r="DI101" s="509"/>
      <c r="DJ101" s="509"/>
      <c r="DK101" s="509"/>
      <c r="DL101" s="509"/>
      <c r="DM101" s="509"/>
      <c r="DN101" s="509"/>
      <c r="DO101" s="509"/>
      <c r="DP101" s="509"/>
      <c r="DQ101" s="509"/>
      <c r="DR101" s="509"/>
      <c r="DS101" s="509"/>
      <c r="DT101" s="509"/>
      <c r="DU101" s="509"/>
      <c r="DV101" s="509"/>
      <c r="DW101" s="509"/>
      <c r="DX101" s="509"/>
      <c r="DY101" s="509"/>
      <c r="DZ101" s="509"/>
      <c r="EA101" s="509"/>
      <c r="EB101" s="509"/>
      <c r="EC101" s="509"/>
      <c r="ED101" s="509"/>
      <c r="EE101" s="509"/>
      <c r="EF101" s="509"/>
      <c r="EG101" s="509"/>
      <c r="EH101" s="509"/>
      <c r="EI101" s="509"/>
      <c r="EJ101" s="509"/>
      <c r="EK101" s="509"/>
      <c r="EL101" s="509"/>
      <c r="EM101" s="509"/>
      <c r="EN101" s="509"/>
      <c r="EO101" s="509"/>
      <c r="EP101" s="509"/>
      <c r="EQ101" s="509"/>
      <c r="ER101" s="509"/>
      <c r="ES101" s="509"/>
      <c r="ET101" s="509"/>
      <c r="EU101" s="509"/>
      <c r="EV101" s="509"/>
      <c r="EW101" s="509"/>
      <c r="EX101" s="509"/>
      <c r="EY101" s="509"/>
      <c r="EZ101" s="509"/>
      <c r="FA101" s="509"/>
      <c r="FB101" s="509"/>
      <c r="FC101" s="509"/>
      <c r="FD101" s="509"/>
      <c r="FE101" s="509"/>
      <c r="FF101" s="509"/>
      <c r="FG101" s="509"/>
      <c r="FH101" s="509"/>
      <c r="FI101" s="509"/>
      <c r="FJ101" s="509"/>
      <c r="FK101" s="509"/>
      <c r="FL101" s="509"/>
      <c r="FM101" s="509"/>
      <c r="FN101" s="509"/>
      <c r="FO101" s="509"/>
      <c r="FP101" s="509"/>
      <c r="FQ101" s="509"/>
      <c r="FR101" s="509"/>
      <c r="FS101" s="509"/>
      <c r="FT101" s="509"/>
      <c r="FU101" s="509"/>
      <c r="FV101" s="509"/>
      <c r="FW101" s="509"/>
      <c r="FX101" s="509"/>
      <c r="FY101" s="509"/>
      <c r="FZ101" s="509"/>
      <c r="GA101" s="509"/>
      <c r="GB101" s="509"/>
      <c r="GC101" s="509"/>
      <c r="GD101" s="509"/>
      <c r="GE101" s="509"/>
      <c r="GF101" s="509"/>
      <c r="GG101" s="509"/>
      <c r="GH101" s="509"/>
      <c r="GI101" s="509"/>
      <c r="GJ101" s="509"/>
      <c r="GK101" s="509"/>
      <c r="GL101" s="509"/>
      <c r="GM101" s="509"/>
      <c r="GN101" s="509"/>
      <c r="GO101" s="509"/>
      <c r="GP101" s="509"/>
      <c r="GQ101" s="509"/>
      <c r="GR101" s="509"/>
      <c r="GS101" s="509"/>
      <c r="GT101" s="509"/>
      <c r="GU101" s="509"/>
      <c r="GV101" s="509"/>
      <c r="GW101" s="509"/>
      <c r="GX101" s="509"/>
      <c r="GY101" s="509"/>
      <c r="GZ101" s="509"/>
      <c r="HA101" s="509"/>
      <c r="HB101" s="509"/>
      <c r="HC101" s="509"/>
      <c r="HD101" s="509"/>
      <c r="HE101" s="509"/>
      <c r="HF101" s="509"/>
      <c r="HG101" s="509"/>
      <c r="HH101" s="509"/>
      <c r="HI101" s="509"/>
      <c r="HJ101" s="509"/>
      <c r="HK101" s="509"/>
      <c r="HL101" s="509"/>
      <c r="HM101" s="509"/>
      <c r="HN101" s="509"/>
      <c r="HO101" s="509"/>
      <c r="HP101" s="509"/>
      <c r="HQ101" s="509"/>
      <c r="HR101" s="509"/>
      <c r="HS101" s="509"/>
      <c r="HT101" s="509"/>
      <c r="HU101" s="509"/>
      <c r="HV101" s="509"/>
      <c r="HW101" s="509"/>
      <c r="HX101" s="509"/>
      <c r="HY101" s="509"/>
      <c r="HZ101" s="509"/>
    </row>
    <row r="102" spans="1:234" s="232" customFormat="1" ht="15.9" hidden="1" customHeight="1" x14ac:dyDescent="0.25">
      <c r="A102" s="522" t="s">
        <v>469</v>
      </c>
      <c r="B102" s="523" t="s">
        <v>4180</v>
      </c>
      <c r="C102" s="527" t="s">
        <v>1119</v>
      </c>
      <c r="D102" s="570" t="s">
        <v>781</v>
      </c>
      <c r="E102" s="569" t="s">
        <v>3228</v>
      </c>
      <c r="F102" s="543">
        <v>38947</v>
      </c>
      <c r="G102" s="544">
        <v>38908</v>
      </c>
      <c r="H102" s="562">
        <v>38940</v>
      </c>
      <c r="I102" s="546">
        <v>39538</v>
      </c>
      <c r="J102" s="547">
        <v>10</v>
      </c>
      <c r="K102" s="553" t="s">
        <v>3229</v>
      </c>
      <c r="L102" s="552" t="s">
        <v>3229</v>
      </c>
      <c r="M102" s="560">
        <v>0</v>
      </c>
      <c r="N102" s="606" t="s">
        <v>3229</v>
      </c>
      <c r="O102" s="551" t="s">
        <v>3229</v>
      </c>
      <c r="P102" s="576">
        <v>0.57999999999999996</v>
      </c>
      <c r="Q102" s="570" t="s">
        <v>3229</v>
      </c>
      <c r="R102" s="570" t="s">
        <v>3229</v>
      </c>
      <c r="S102" s="577"/>
      <c r="T102" s="553" t="s">
        <v>3229</v>
      </c>
      <c r="U102" s="553" t="s">
        <v>3229</v>
      </c>
      <c r="V102" s="553" t="s">
        <v>3229</v>
      </c>
      <c r="W102" s="553" t="s">
        <v>3229</v>
      </c>
      <c r="X102" s="553" t="s">
        <v>3229</v>
      </c>
      <c r="Y102" s="553" t="s">
        <v>3229</v>
      </c>
      <c r="Z102" s="553" t="s">
        <v>3229</v>
      </c>
      <c r="AA102" s="553" t="s">
        <v>3229</v>
      </c>
      <c r="AB102" s="553" t="s">
        <v>3229</v>
      </c>
      <c r="AC102" s="553" t="s">
        <v>3229</v>
      </c>
      <c r="AD102" s="553" t="s">
        <v>3229</v>
      </c>
      <c r="AE102" s="553" t="s">
        <v>3229</v>
      </c>
      <c r="AF102" s="3764" t="s">
        <v>781</v>
      </c>
      <c r="AG102" s="3765"/>
      <c r="AH102" s="553" t="s">
        <v>3229</v>
      </c>
      <c r="AI102" s="553" t="s">
        <v>3229</v>
      </c>
      <c r="AJ102" s="553" t="s">
        <v>3229</v>
      </c>
      <c r="AK102" s="566" t="s">
        <v>3229</v>
      </c>
      <c r="AL102" s="553" t="s">
        <v>3229</v>
      </c>
      <c r="AM102" s="590">
        <v>1</v>
      </c>
      <c r="AN102" s="606">
        <v>0</v>
      </c>
      <c r="AO102" s="660">
        <v>10</v>
      </c>
      <c r="AP102" s="1368"/>
      <c r="AQ102" s="675" t="s">
        <v>3229</v>
      </c>
      <c r="AR102" s="632">
        <f>AN102</f>
        <v>0</v>
      </c>
      <c r="AS102" s="558">
        <f>POWER(1+AR102,1/((I102-F102)/365))-1</f>
        <v>0</v>
      </c>
      <c r="AT102" s="598" t="s">
        <v>3229</v>
      </c>
      <c r="AU102" s="552" t="s">
        <v>3229</v>
      </c>
      <c r="AV102" s="558">
        <f t="shared" si="17"/>
        <v>0</v>
      </c>
      <c r="AW102" s="558">
        <f>POWER(1+AV102,1/((I102-F102)/365))-1</f>
        <v>0</v>
      </c>
      <c r="AX102" s="553" t="s">
        <v>3229</v>
      </c>
      <c r="AY102" s="552" t="s">
        <v>3229</v>
      </c>
      <c r="AZ102" s="642"/>
      <c r="BA102" s="644" t="s">
        <v>3112</v>
      </c>
      <c r="BB102" s="570"/>
      <c r="BC102" s="637"/>
      <c r="BD102" s="3708"/>
      <c r="BE102" s="3743"/>
      <c r="BF102" s="3743"/>
      <c r="BG102" s="3708"/>
      <c r="BH102" s="3762"/>
      <c r="BI102" s="3762"/>
      <c r="BJ102" s="39"/>
      <c r="BK102" s="39"/>
      <c r="BL102" s="39"/>
      <c r="BM102" s="39"/>
      <c r="BN102" s="39"/>
      <c r="BO102" s="39"/>
      <c r="BP102" s="39"/>
      <c r="BQ102" s="39"/>
      <c r="BR102" s="39"/>
      <c r="BS102" s="507"/>
      <c r="BT102" s="507"/>
      <c r="BU102" s="507"/>
      <c r="BV102" s="507"/>
      <c r="BW102" s="507"/>
      <c r="BX102" s="507"/>
      <c r="BY102" s="507"/>
      <c r="BZ102" s="507"/>
      <c r="CA102" s="507"/>
      <c r="CB102" s="507"/>
      <c r="CC102" s="507"/>
      <c r="CD102" s="507"/>
      <c r="CE102" s="507"/>
      <c r="CF102" s="507"/>
      <c r="CG102" s="507"/>
      <c r="CH102" s="507"/>
      <c r="CI102" s="507"/>
      <c r="CJ102" s="507"/>
      <c r="CK102" s="507"/>
      <c r="CL102" s="507"/>
      <c r="CM102" s="507"/>
      <c r="CN102" s="507"/>
      <c r="CO102" s="507"/>
      <c r="CP102" s="507"/>
      <c r="CQ102" s="507"/>
      <c r="CR102" s="507"/>
      <c r="CS102" s="507"/>
      <c r="CT102" s="507"/>
      <c r="CU102" s="507"/>
      <c r="CV102" s="507"/>
      <c r="CW102" s="507"/>
      <c r="CX102" s="507"/>
      <c r="CY102" s="507"/>
      <c r="CZ102" s="507"/>
      <c r="DA102" s="507"/>
      <c r="DB102" s="507"/>
      <c r="DC102" s="507"/>
      <c r="DD102" s="507"/>
      <c r="DE102" s="507"/>
      <c r="DF102" s="507"/>
      <c r="DG102" s="507"/>
      <c r="DH102" s="507"/>
      <c r="DI102" s="507"/>
      <c r="DJ102" s="507"/>
      <c r="DK102" s="507"/>
      <c r="DL102" s="507"/>
      <c r="DM102" s="507"/>
      <c r="DN102" s="507"/>
      <c r="DO102" s="507"/>
      <c r="DP102" s="507"/>
      <c r="DQ102" s="507"/>
      <c r="DR102" s="507"/>
      <c r="DS102" s="507"/>
      <c r="DT102" s="507"/>
      <c r="DU102" s="507"/>
      <c r="DV102" s="507"/>
      <c r="DW102" s="507"/>
      <c r="DX102" s="507"/>
      <c r="DY102" s="507"/>
      <c r="DZ102" s="507"/>
      <c r="EA102" s="507"/>
      <c r="EB102" s="507"/>
      <c r="EC102" s="507"/>
      <c r="ED102" s="507"/>
      <c r="EE102" s="507"/>
      <c r="EF102" s="507"/>
      <c r="EG102" s="507"/>
      <c r="EH102" s="507"/>
      <c r="EI102" s="507"/>
      <c r="EJ102" s="507"/>
      <c r="EK102" s="507"/>
      <c r="EL102" s="507"/>
      <c r="EM102" s="507"/>
      <c r="EN102" s="507"/>
      <c r="EO102" s="507"/>
      <c r="EP102" s="507"/>
      <c r="EQ102" s="507"/>
      <c r="ER102" s="507"/>
      <c r="ES102" s="507"/>
      <c r="ET102" s="507"/>
      <c r="EU102" s="507"/>
      <c r="EV102" s="507"/>
      <c r="EW102" s="507"/>
      <c r="EX102" s="507"/>
      <c r="EY102" s="507"/>
      <c r="EZ102" s="507"/>
      <c r="FA102" s="507"/>
      <c r="FB102" s="507"/>
      <c r="FC102" s="507"/>
      <c r="FD102" s="507"/>
      <c r="FE102" s="507"/>
      <c r="FF102" s="507"/>
      <c r="FG102" s="507"/>
      <c r="FH102" s="507"/>
      <c r="FI102" s="507"/>
      <c r="FJ102" s="507"/>
      <c r="FK102" s="507"/>
      <c r="FL102" s="507"/>
      <c r="FM102" s="507"/>
      <c r="FN102" s="507"/>
      <c r="FO102" s="507"/>
      <c r="FP102" s="507"/>
      <c r="FQ102" s="507"/>
      <c r="FR102" s="507"/>
      <c r="FS102" s="507"/>
      <c r="FT102" s="507"/>
      <c r="FU102" s="507"/>
      <c r="FV102" s="507"/>
      <c r="FW102" s="507"/>
      <c r="FX102" s="507"/>
      <c r="FY102" s="507"/>
      <c r="FZ102" s="507"/>
      <c r="GA102" s="507"/>
      <c r="GB102" s="507"/>
      <c r="GC102" s="507"/>
      <c r="GD102" s="507"/>
      <c r="GE102" s="507"/>
      <c r="GF102" s="507"/>
      <c r="GG102" s="507"/>
      <c r="GH102" s="507"/>
      <c r="GI102" s="507"/>
      <c r="GJ102" s="507"/>
      <c r="GK102" s="507"/>
      <c r="GL102" s="507"/>
      <c r="GM102" s="507"/>
      <c r="GN102" s="507"/>
      <c r="GO102" s="507"/>
      <c r="GP102" s="507"/>
      <c r="GQ102" s="507"/>
      <c r="GR102" s="507"/>
      <c r="GS102" s="507"/>
      <c r="GT102" s="507"/>
      <c r="GU102" s="507"/>
      <c r="GV102" s="507"/>
      <c r="GW102" s="507"/>
      <c r="GX102" s="507"/>
      <c r="GY102" s="507"/>
      <c r="GZ102" s="507"/>
      <c r="HA102" s="507"/>
      <c r="HB102" s="507"/>
      <c r="HC102" s="507"/>
      <c r="HD102" s="507"/>
      <c r="HE102" s="507"/>
      <c r="HF102" s="507"/>
      <c r="HG102" s="507"/>
      <c r="HH102" s="507"/>
      <c r="HI102" s="507"/>
      <c r="HJ102" s="507"/>
      <c r="HK102" s="507"/>
      <c r="HL102" s="507"/>
      <c r="HM102" s="507"/>
      <c r="HN102" s="507"/>
      <c r="HO102" s="507"/>
      <c r="HP102" s="507"/>
      <c r="HQ102" s="507"/>
      <c r="HR102" s="507"/>
      <c r="HS102" s="507"/>
      <c r="HT102" s="507"/>
      <c r="HU102" s="507"/>
      <c r="HV102" s="507"/>
      <c r="HW102" s="507"/>
      <c r="HX102" s="507"/>
      <c r="HY102" s="507"/>
      <c r="HZ102" s="507"/>
    </row>
    <row r="103" spans="1:234" s="232" customFormat="1" ht="15.9" hidden="1" customHeight="1" x14ac:dyDescent="0.25">
      <c r="A103" s="522" t="s">
        <v>501</v>
      </c>
      <c r="B103" s="523" t="s">
        <v>1834</v>
      </c>
      <c r="C103" s="527" t="s">
        <v>2619</v>
      </c>
      <c r="D103" s="570" t="s">
        <v>4383</v>
      </c>
      <c r="E103" s="528" t="s">
        <v>3228</v>
      </c>
      <c r="F103" s="543">
        <v>39010</v>
      </c>
      <c r="G103" s="544">
        <v>38950</v>
      </c>
      <c r="H103" s="562">
        <v>39003</v>
      </c>
      <c r="I103" s="585">
        <v>40512</v>
      </c>
      <c r="J103" s="579">
        <v>10</v>
      </c>
      <c r="K103" s="553" t="s">
        <v>3229</v>
      </c>
      <c r="L103" s="552" t="s">
        <v>3229</v>
      </c>
      <c r="M103" s="576">
        <v>0.04</v>
      </c>
      <c r="N103" s="606">
        <v>1</v>
      </c>
      <c r="O103" s="551" t="s">
        <v>3229</v>
      </c>
      <c r="P103" s="551" t="s">
        <v>3229</v>
      </c>
      <c r="Q103" s="551" t="s">
        <v>3229</v>
      </c>
      <c r="R103" s="551" t="s">
        <v>3229</v>
      </c>
      <c r="S103" s="567"/>
      <c r="T103" s="553" t="s">
        <v>3229</v>
      </c>
      <c r="U103" s="553" t="s">
        <v>3229</v>
      </c>
      <c r="V103" s="553" t="s">
        <v>3229</v>
      </c>
      <c r="W103" s="553" t="s">
        <v>3229</v>
      </c>
      <c r="X103" s="553" t="s">
        <v>3229</v>
      </c>
      <c r="Y103" s="553" t="s">
        <v>3229</v>
      </c>
      <c r="Z103" s="553" t="s">
        <v>3229</v>
      </c>
      <c r="AA103" s="553" t="s">
        <v>3229</v>
      </c>
      <c r="AB103" s="553" t="s">
        <v>3229</v>
      </c>
      <c r="AC103" s="553" t="s">
        <v>3229</v>
      </c>
      <c r="AD103" s="553" t="s">
        <v>3229</v>
      </c>
      <c r="AE103" s="552" t="s">
        <v>3229</v>
      </c>
      <c r="AF103" s="3764" t="s">
        <v>781</v>
      </c>
      <c r="AG103" s="3765"/>
      <c r="AH103" s="553" t="s">
        <v>3229</v>
      </c>
      <c r="AI103" s="553" t="s">
        <v>3229</v>
      </c>
      <c r="AJ103" s="553" t="s">
        <v>3229</v>
      </c>
      <c r="AK103" s="566" t="s">
        <v>3229</v>
      </c>
      <c r="AL103" s="553" t="s">
        <v>3229</v>
      </c>
      <c r="AM103" s="590">
        <v>1</v>
      </c>
      <c r="AN103" s="576">
        <v>0.04</v>
      </c>
      <c r="AO103" s="660">
        <v>10.4</v>
      </c>
      <c r="AP103" s="1368">
        <v>-0.16416731250000002</v>
      </c>
      <c r="AQ103" s="675">
        <v>-0.2558733127092081</v>
      </c>
      <c r="AR103" s="632">
        <v>0.04</v>
      </c>
      <c r="AS103" s="558">
        <f>POWER(1+AR103,1/((I103-F103)/365))-1</f>
        <v>9.5765634822373435E-3</v>
      </c>
      <c r="AT103" s="648" t="s">
        <v>3229</v>
      </c>
      <c r="AU103" s="587" t="s">
        <v>3229</v>
      </c>
      <c r="AV103" s="558">
        <f t="shared" si="17"/>
        <v>0.04</v>
      </c>
      <c r="AW103" s="558">
        <f>POWER(1+AV103,1/((I103-F103)/365))-1</f>
        <v>9.5765634822373435E-3</v>
      </c>
      <c r="AX103" s="589" t="s">
        <v>3229</v>
      </c>
      <c r="AY103" s="587" t="s">
        <v>3229</v>
      </c>
      <c r="AZ103" s="642">
        <f>J103*(1+AV103)</f>
        <v>10.4</v>
      </c>
      <c r="BA103" s="644" t="s">
        <v>643</v>
      </c>
      <c r="BB103" s="570"/>
      <c r="BC103" s="637"/>
      <c r="BD103" s="3708"/>
      <c r="BE103" s="3743"/>
      <c r="BF103" s="3743"/>
      <c r="BG103" s="3708"/>
      <c r="BH103" s="3762"/>
      <c r="BI103" s="3762"/>
      <c r="BJ103" s="39"/>
      <c r="BK103" s="39"/>
      <c r="BL103" s="39"/>
      <c r="BM103" s="39"/>
      <c r="BN103" s="39"/>
      <c r="BO103" s="39"/>
      <c r="BP103" s="39"/>
      <c r="BQ103" s="39"/>
      <c r="BR103" s="39"/>
      <c r="BS103" s="507"/>
      <c r="BT103" s="507"/>
      <c r="BU103" s="507"/>
      <c r="BV103" s="507"/>
      <c r="BW103" s="507"/>
      <c r="BX103" s="507"/>
      <c r="BY103" s="507"/>
      <c r="BZ103" s="507"/>
      <c r="CA103" s="507"/>
      <c r="CB103" s="507"/>
      <c r="CC103" s="507"/>
      <c r="CD103" s="507"/>
      <c r="CE103" s="507"/>
      <c r="CF103" s="507"/>
      <c r="CG103" s="507"/>
      <c r="CH103" s="507"/>
      <c r="CI103" s="507"/>
      <c r="CJ103" s="507"/>
      <c r="CK103" s="507"/>
      <c r="CL103" s="507"/>
      <c r="CM103" s="507"/>
      <c r="CN103" s="507"/>
      <c r="CO103" s="507"/>
      <c r="CP103" s="507"/>
      <c r="CQ103" s="507"/>
      <c r="CR103" s="507"/>
      <c r="CS103" s="507"/>
      <c r="CT103" s="507"/>
      <c r="CU103" s="507"/>
      <c r="CV103" s="507"/>
      <c r="CW103" s="507"/>
      <c r="CX103" s="507"/>
      <c r="CY103" s="507"/>
      <c r="CZ103" s="507"/>
      <c r="DA103" s="507"/>
      <c r="DB103" s="507"/>
      <c r="DC103" s="507"/>
      <c r="DD103" s="507"/>
      <c r="DE103" s="507"/>
      <c r="DF103" s="507"/>
      <c r="DG103" s="507"/>
      <c r="DH103" s="507"/>
      <c r="DI103" s="507"/>
      <c r="DJ103" s="507"/>
      <c r="DK103" s="507"/>
      <c r="DL103" s="507"/>
      <c r="DM103" s="507"/>
      <c r="DN103" s="507"/>
      <c r="DO103" s="507"/>
      <c r="DP103" s="507"/>
      <c r="DQ103" s="507"/>
      <c r="DR103" s="507"/>
      <c r="DS103" s="507"/>
      <c r="DT103" s="507"/>
      <c r="DU103" s="507"/>
      <c r="DV103" s="507"/>
      <c r="DW103" s="507"/>
      <c r="DX103" s="507"/>
      <c r="DY103" s="507"/>
      <c r="DZ103" s="507"/>
      <c r="EA103" s="507"/>
      <c r="EB103" s="507"/>
      <c r="EC103" s="507"/>
      <c r="ED103" s="507"/>
      <c r="EE103" s="507"/>
      <c r="EF103" s="507"/>
      <c r="EG103" s="507"/>
      <c r="EH103" s="507"/>
      <c r="EI103" s="507"/>
      <c r="EJ103" s="507"/>
      <c r="EK103" s="507"/>
      <c r="EL103" s="507"/>
      <c r="EM103" s="507"/>
      <c r="EN103" s="507"/>
      <c r="EO103" s="507"/>
      <c r="EP103" s="507"/>
      <c r="EQ103" s="507"/>
      <c r="ER103" s="507"/>
      <c r="ES103" s="507"/>
      <c r="ET103" s="507"/>
      <c r="EU103" s="507"/>
      <c r="EV103" s="507"/>
      <c r="EW103" s="507"/>
      <c r="EX103" s="507"/>
      <c r="EY103" s="507"/>
      <c r="EZ103" s="507"/>
      <c r="FA103" s="507"/>
      <c r="FB103" s="507"/>
      <c r="FC103" s="507"/>
      <c r="FD103" s="507"/>
      <c r="FE103" s="507"/>
      <c r="FF103" s="507"/>
      <c r="FG103" s="507"/>
      <c r="FH103" s="507"/>
      <c r="FI103" s="507"/>
      <c r="FJ103" s="507"/>
      <c r="FK103" s="507"/>
      <c r="FL103" s="507"/>
      <c r="FM103" s="507"/>
      <c r="FN103" s="507"/>
      <c r="FO103" s="507"/>
      <c r="FP103" s="507"/>
      <c r="FQ103" s="507"/>
      <c r="FR103" s="507"/>
      <c r="FS103" s="507"/>
      <c r="FT103" s="507"/>
      <c r="FU103" s="507"/>
      <c r="FV103" s="507"/>
      <c r="FW103" s="507"/>
      <c r="FX103" s="507"/>
      <c r="FY103" s="507"/>
      <c r="FZ103" s="507"/>
      <c r="GA103" s="507"/>
      <c r="GB103" s="507"/>
      <c r="GC103" s="507"/>
      <c r="GD103" s="507"/>
      <c r="GE103" s="507"/>
      <c r="GF103" s="507"/>
      <c r="GG103" s="507"/>
      <c r="GH103" s="507"/>
      <c r="GI103" s="507"/>
      <c r="GJ103" s="507"/>
      <c r="GK103" s="507"/>
      <c r="GL103" s="507"/>
      <c r="GM103" s="507"/>
      <c r="GN103" s="507"/>
      <c r="GO103" s="507"/>
      <c r="GP103" s="507"/>
      <c r="GQ103" s="507"/>
      <c r="GR103" s="507"/>
      <c r="GS103" s="507"/>
      <c r="GT103" s="507"/>
      <c r="GU103" s="507"/>
      <c r="GV103" s="507"/>
      <c r="GW103" s="507"/>
      <c r="GX103" s="507"/>
      <c r="GY103" s="507"/>
      <c r="GZ103" s="507"/>
      <c r="HA103" s="507"/>
      <c r="HB103" s="507"/>
      <c r="HC103" s="507"/>
      <c r="HD103" s="507"/>
      <c r="HE103" s="507"/>
      <c r="HF103" s="507"/>
      <c r="HG103" s="507"/>
      <c r="HH103" s="507"/>
      <c r="HI103" s="507"/>
      <c r="HJ103" s="507"/>
      <c r="HK103" s="507"/>
      <c r="HL103" s="507"/>
      <c r="HM103" s="507"/>
      <c r="HN103" s="507"/>
      <c r="HO103" s="507"/>
      <c r="HP103" s="507"/>
      <c r="HQ103" s="507"/>
      <c r="HR103" s="507"/>
      <c r="HS103" s="507"/>
      <c r="HT103" s="507"/>
      <c r="HU103" s="507"/>
      <c r="HV103" s="507"/>
      <c r="HW103" s="507"/>
      <c r="HX103" s="507"/>
      <c r="HY103" s="507"/>
      <c r="HZ103" s="507"/>
    </row>
    <row r="104" spans="1:234" s="232" customFormat="1" ht="15.9" hidden="1" customHeight="1" x14ac:dyDescent="0.25">
      <c r="A104" s="522" t="s">
        <v>1387</v>
      </c>
      <c r="B104" s="523" t="s">
        <v>2690</v>
      </c>
      <c r="C104" s="527" t="s">
        <v>511</v>
      </c>
      <c r="D104" s="570" t="s">
        <v>4384</v>
      </c>
      <c r="E104" s="569" t="s">
        <v>3228</v>
      </c>
      <c r="F104" s="543">
        <v>38989</v>
      </c>
      <c r="G104" s="544">
        <v>38943</v>
      </c>
      <c r="H104" s="557">
        <v>38982</v>
      </c>
      <c r="I104" s="546">
        <v>41029</v>
      </c>
      <c r="J104" s="547">
        <v>10</v>
      </c>
      <c r="K104" s="553" t="s">
        <v>3229</v>
      </c>
      <c r="L104" s="552" t="s">
        <v>3229</v>
      </c>
      <c r="M104" s="549">
        <v>0</v>
      </c>
      <c r="N104" s="606">
        <v>1.1000000000000001</v>
      </c>
      <c r="O104" s="551" t="s">
        <v>3229</v>
      </c>
      <c r="P104" s="576" t="s">
        <v>3229</v>
      </c>
      <c r="Q104" s="570" t="s">
        <v>3229</v>
      </c>
      <c r="R104" s="570" t="s">
        <v>3229</v>
      </c>
      <c r="S104" s="577"/>
      <c r="T104" s="553" t="s">
        <v>3229</v>
      </c>
      <c r="U104" s="553" t="s">
        <v>3229</v>
      </c>
      <c r="V104" s="553" t="s">
        <v>3229</v>
      </c>
      <c r="W104" s="553" t="s">
        <v>3229</v>
      </c>
      <c r="X104" s="553" t="s">
        <v>3229</v>
      </c>
      <c r="Y104" s="553" t="s">
        <v>3229</v>
      </c>
      <c r="Z104" s="553" t="s">
        <v>3229</v>
      </c>
      <c r="AA104" s="553" t="s">
        <v>3229</v>
      </c>
      <c r="AB104" s="553" t="s">
        <v>3229</v>
      </c>
      <c r="AC104" s="553" t="s">
        <v>3229</v>
      </c>
      <c r="AD104" s="553" t="s">
        <v>3229</v>
      </c>
      <c r="AE104" s="553" t="s">
        <v>3229</v>
      </c>
      <c r="AF104" s="3764" t="s">
        <v>781</v>
      </c>
      <c r="AG104" s="3765"/>
      <c r="AH104" s="553" t="s">
        <v>3229</v>
      </c>
      <c r="AI104" s="553" t="s">
        <v>3229</v>
      </c>
      <c r="AJ104" s="553" t="s">
        <v>3229</v>
      </c>
      <c r="AK104" s="566" t="s">
        <v>3229</v>
      </c>
      <c r="AL104" s="553" t="s">
        <v>3229</v>
      </c>
      <c r="AM104" s="659">
        <v>1</v>
      </c>
      <c r="AN104" s="606">
        <v>3.7797838746719117E-2</v>
      </c>
      <c r="AO104" s="660">
        <v>10.4</v>
      </c>
      <c r="AP104" s="1368">
        <v>3.4361671587926468E-2</v>
      </c>
      <c r="AQ104" s="1632">
        <v>3.4361671587926468E-2</v>
      </c>
      <c r="AR104" s="558" t="s">
        <v>3660</v>
      </c>
      <c r="AS104" s="558"/>
      <c r="AT104" s="650"/>
      <c r="AU104" s="552"/>
      <c r="AV104" s="558">
        <v>0</v>
      </c>
      <c r="AW104" s="558">
        <v>0</v>
      </c>
      <c r="AX104" s="553"/>
      <c r="AY104" s="552"/>
      <c r="AZ104" s="642">
        <v>10</v>
      </c>
      <c r="BA104" s="644" t="s">
        <v>3190</v>
      </c>
      <c r="BB104" s="570"/>
      <c r="BC104" s="637"/>
      <c r="BD104" s="3708"/>
      <c r="BE104" s="3743"/>
      <c r="BF104" s="3743"/>
      <c r="BG104" s="3708"/>
      <c r="BH104" s="3762"/>
      <c r="BI104" s="3762"/>
      <c r="BJ104" s="39"/>
      <c r="BK104" s="39"/>
      <c r="BL104" s="39"/>
      <c r="BM104" s="39"/>
      <c r="BN104" s="39"/>
      <c r="BO104" s="39"/>
      <c r="BP104" s="39"/>
      <c r="BQ104" s="39"/>
      <c r="BR104" s="39"/>
      <c r="BS104" s="507"/>
      <c r="BT104" s="507"/>
      <c r="BU104" s="507"/>
      <c r="BV104" s="507"/>
      <c r="BW104" s="507"/>
      <c r="BX104" s="507"/>
      <c r="BY104" s="507"/>
      <c r="BZ104" s="507"/>
      <c r="CA104" s="507"/>
      <c r="CB104" s="507"/>
      <c r="CC104" s="507"/>
      <c r="CD104" s="507"/>
      <c r="CE104" s="507"/>
      <c r="CF104" s="507"/>
      <c r="CG104" s="507"/>
      <c r="CH104" s="507"/>
      <c r="CI104" s="507"/>
      <c r="CJ104" s="507"/>
      <c r="CK104" s="507"/>
      <c r="CL104" s="507"/>
      <c r="CM104" s="507"/>
      <c r="CN104" s="507"/>
      <c r="CO104" s="507"/>
      <c r="CP104" s="507"/>
      <c r="CQ104" s="507"/>
      <c r="CR104" s="507"/>
      <c r="CS104" s="507"/>
      <c r="CT104" s="507"/>
      <c r="CU104" s="507"/>
      <c r="CV104" s="507"/>
      <c r="CW104" s="507"/>
      <c r="CX104" s="507"/>
      <c r="CY104" s="507"/>
      <c r="CZ104" s="507"/>
      <c r="DA104" s="507"/>
      <c r="DB104" s="507"/>
      <c r="DC104" s="507"/>
      <c r="DD104" s="507"/>
      <c r="DE104" s="507"/>
      <c r="DF104" s="507"/>
      <c r="DG104" s="507"/>
      <c r="DH104" s="507"/>
      <c r="DI104" s="507"/>
      <c r="DJ104" s="507"/>
      <c r="DK104" s="507"/>
      <c r="DL104" s="507"/>
      <c r="DM104" s="507"/>
      <c r="DN104" s="507"/>
      <c r="DO104" s="507"/>
      <c r="DP104" s="507"/>
      <c r="DQ104" s="507"/>
      <c r="DR104" s="507"/>
      <c r="DS104" s="507"/>
      <c r="DT104" s="507"/>
      <c r="DU104" s="507"/>
      <c r="DV104" s="507"/>
      <c r="DW104" s="507"/>
      <c r="DX104" s="507"/>
      <c r="DY104" s="507"/>
      <c r="DZ104" s="507"/>
      <c r="EA104" s="507"/>
      <c r="EB104" s="507"/>
      <c r="EC104" s="507"/>
      <c r="ED104" s="507"/>
      <c r="EE104" s="507"/>
      <c r="EF104" s="507"/>
      <c r="EG104" s="507"/>
      <c r="EH104" s="507"/>
      <c r="EI104" s="507"/>
      <c r="EJ104" s="507"/>
      <c r="EK104" s="507"/>
      <c r="EL104" s="507"/>
      <c r="EM104" s="507"/>
      <c r="EN104" s="507"/>
      <c r="EO104" s="507"/>
      <c r="EP104" s="507"/>
      <c r="EQ104" s="507"/>
      <c r="ER104" s="507"/>
      <c r="ES104" s="507"/>
      <c r="ET104" s="507"/>
      <c r="EU104" s="507"/>
      <c r="EV104" s="507"/>
      <c r="EW104" s="507"/>
      <c r="EX104" s="507"/>
      <c r="EY104" s="507"/>
      <c r="EZ104" s="507"/>
      <c r="FA104" s="507"/>
      <c r="FB104" s="507"/>
      <c r="FC104" s="507"/>
      <c r="FD104" s="507"/>
      <c r="FE104" s="507"/>
      <c r="FF104" s="507"/>
      <c r="FG104" s="507"/>
      <c r="FH104" s="507"/>
      <c r="FI104" s="507"/>
      <c r="FJ104" s="507"/>
      <c r="FK104" s="507"/>
      <c r="FL104" s="507"/>
      <c r="FM104" s="507"/>
      <c r="FN104" s="507"/>
      <c r="FO104" s="507"/>
      <c r="FP104" s="507"/>
      <c r="FQ104" s="507"/>
      <c r="FR104" s="507"/>
      <c r="FS104" s="507"/>
      <c r="FT104" s="507"/>
      <c r="FU104" s="507"/>
      <c r="FV104" s="507"/>
      <c r="FW104" s="507"/>
      <c r="FX104" s="507"/>
      <c r="FY104" s="507"/>
      <c r="FZ104" s="507"/>
      <c r="GA104" s="507"/>
      <c r="GB104" s="507"/>
      <c r="GC104" s="507"/>
      <c r="GD104" s="507"/>
      <c r="GE104" s="507"/>
      <c r="GF104" s="507"/>
      <c r="GG104" s="507"/>
      <c r="GH104" s="507"/>
      <c r="GI104" s="507"/>
      <c r="GJ104" s="507"/>
      <c r="GK104" s="507"/>
      <c r="GL104" s="507"/>
      <c r="GM104" s="507"/>
      <c r="GN104" s="507"/>
      <c r="GO104" s="507"/>
      <c r="GP104" s="507"/>
      <c r="GQ104" s="507"/>
      <c r="GR104" s="507"/>
      <c r="GS104" s="507"/>
      <c r="GT104" s="507"/>
      <c r="GU104" s="507"/>
      <c r="GV104" s="507"/>
      <c r="GW104" s="507"/>
      <c r="GX104" s="507"/>
      <c r="GY104" s="507"/>
      <c r="GZ104" s="507"/>
      <c r="HA104" s="507"/>
      <c r="HB104" s="507"/>
      <c r="HC104" s="507"/>
      <c r="HD104" s="507"/>
      <c r="HE104" s="507"/>
      <c r="HF104" s="507"/>
      <c r="HG104" s="507"/>
      <c r="HH104" s="507"/>
      <c r="HI104" s="507"/>
      <c r="HJ104" s="507"/>
      <c r="HK104" s="507"/>
      <c r="HL104" s="507"/>
      <c r="HM104" s="507"/>
      <c r="HN104" s="507"/>
      <c r="HO104" s="507"/>
      <c r="HP104" s="507"/>
      <c r="HQ104" s="507"/>
      <c r="HR104" s="507"/>
      <c r="HS104" s="507"/>
      <c r="HT104" s="507"/>
      <c r="HU104" s="507"/>
      <c r="HV104" s="507"/>
      <c r="HW104" s="507"/>
      <c r="HX104" s="507"/>
      <c r="HY104" s="507"/>
      <c r="HZ104" s="507"/>
    </row>
    <row r="105" spans="1:234" ht="15.9" hidden="1" customHeight="1" x14ac:dyDescent="0.25">
      <c r="A105" s="522" t="s">
        <v>797</v>
      </c>
      <c r="B105" s="523" t="s">
        <v>2395</v>
      </c>
      <c r="C105" s="527" t="s">
        <v>512</v>
      </c>
      <c r="D105" s="570" t="s">
        <v>189</v>
      </c>
      <c r="E105" s="569" t="s">
        <v>3228</v>
      </c>
      <c r="F105" s="543">
        <v>38996</v>
      </c>
      <c r="G105" s="586">
        <v>38950</v>
      </c>
      <c r="H105" s="557">
        <v>38989</v>
      </c>
      <c r="I105" s="546">
        <v>40298</v>
      </c>
      <c r="J105" s="579">
        <v>10</v>
      </c>
      <c r="K105" s="580"/>
      <c r="L105" s="584"/>
      <c r="M105" s="587">
        <v>0</v>
      </c>
      <c r="N105" s="2312" t="s">
        <v>3229</v>
      </c>
      <c r="O105" s="576">
        <v>0.27</v>
      </c>
      <c r="P105" s="552" t="s">
        <v>3229</v>
      </c>
      <c r="Q105" s="552" t="s">
        <v>3229</v>
      </c>
      <c r="R105" s="552" t="s">
        <v>3229</v>
      </c>
      <c r="S105" s="567"/>
      <c r="T105" s="553" t="s">
        <v>3229</v>
      </c>
      <c r="U105" s="553" t="s">
        <v>3229</v>
      </c>
      <c r="V105" s="553" t="s">
        <v>3229</v>
      </c>
      <c r="W105" s="553" t="s">
        <v>3229</v>
      </c>
      <c r="X105" s="553" t="s">
        <v>3229</v>
      </c>
      <c r="Y105" s="553" t="s">
        <v>3229</v>
      </c>
      <c r="Z105" s="553" t="s">
        <v>3229</v>
      </c>
      <c r="AA105" s="553" t="s">
        <v>3229</v>
      </c>
      <c r="AB105" s="553" t="s">
        <v>3229</v>
      </c>
      <c r="AC105" s="553" t="s">
        <v>3229</v>
      </c>
      <c r="AD105" s="553" t="s">
        <v>3229</v>
      </c>
      <c r="AE105" s="556" t="s">
        <v>3229</v>
      </c>
      <c r="AF105" s="3764" t="s">
        <v>781</v>
      </c>
      <c r="AG105" s="3765"/>
      <c r="AH105" s="553" t="s">
        <v>3229</v>
      </c>
      <c r="AI105" s="553" t="s">
        <v>3229</v>
      </c>
      <c r="AJ105" s="622" t="s">
        <v>3229</v>
      </c>
      <c r="AK105" s="656" t="s">
        <v>3229</v>
      </c>
      <c r="AL105" s="655" t="s">
        <v>3229</v>
      </c>
      <c r="AM105" s="590">
        <v>1</v>
      </c>
      <c r="AN105" s="576">
        <v>0</v>
      </c>
      <c r="AO105" s="660">
        <v>10</v>
      </c>
      <c r="AP105" s="1368">
        <v>-0.23348550036129059</v>
      </c>
      <c r="AQ105" s="675">
        <v>-0.23348550036129059</v>
      </c>
      <c r="AR105" s="632">
        <v>0</v>
      </c>
      <c r="AS105" s="558">
        <f>POWER(1+AR105,1/((I105-F105)/365))-1</f>
        <v>0</v>
      </c>
      <c r="AT105" s="558"/>
      <c r="AU105" s="559"/>
      <c r="AV105" s="558">
        <f t="shared" si="17"/>
        <v>0</v>
      </c>
      <c r="AW105" s="558">
        <f t="shared" ref="AW105:AW125" si="18">POWER(1+AV105,1/((I105-F105)/365))-1</f>
        <v>0</v>
      </c>
      <c r="AX105" s="558"/>
      <c r="AY105" s="559"/>
      <c r="AZ105" s="642">
        <f>J105*(1+AV105)</f>
        <v>10</v>
      </c>
      <c r="BA105" s="644" t="s">
        <v>3609</v>
      </c>
      <c r="BB105" s="570"/>
      <c r="BC105" s="637"/>
      <c r="BD105" s="3708"/>
      <c r="BH105" s="3763"/>
      <c r="BI105" s="3763"/>
      <c r="BJ105" s="1639"/>
      <c r="BK105" s="1639"/>
      <c r="BL105" s="1639"/>
      <c r="BM105" s="1639"/>
      <c r="BN105" s="1639"/>
      <c r="BO105" s="1639"/>
      <c r="BP105" s="1639"/>
      <c r="BQ105" s="1639"/>
      <c r="BR105" s="1639"/>
      <c r="BS105" s="509"/>
      <c r="BT105" s="509"/>
      <c r="BU105" s="509"/>
      <c r="BV105" s="509"/>
      <c r="BW105" s="509"/>
      <c r="BX105" s="509"/>
      <c r="BY105" s="509"/>
      <c r="BZ105" s="509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09"/>
      <c r="CL105" s="509"/>
      <c r="CM105" s="509"/>
      <c r="CN105" s="509"/>
      <c r="CO105" s="509"/>
      <c r="CP105" s="509"/>
      <c r="CQ105" s="509"/>
      <c r="CR105" s="509"/>
      <c r="CS105" s="509"/>
      <c r="CT105" s="509"/>
      <c r="CU105" s="509"/>
      <c r="CV105" s="509"/>
      <c r="CW105" s="509"/>
      <c r="CX105" s="509"/>
      <c r="CY105" s="509"/>
      <c r="CZ105" s="509"/>
      <c r="DA105" s="509"/>
      <c r="DB105" s="509"/>
      <c r="DC105" s="509"/>
      <c r="DD105" s="509"/>
      <c r="DE105" s="509"/>
      <c r="DF105" s="509"/>
      <c r="DG105" s="509"/>
      <c r="DH105" s="509"/>
      <c r="DI105" s="509"/>
      <c r="DJ105" s="509"/>
      <c r="DK105" s="509"/>
      <c r="DL105" s="509"/>
      <c r="DM105" s="509"/>
      <c r="DN105" s="509"/>
      <c r="DO105" s="509"/>
      <c r="DP105" s="509"/>
      <c r="DQ105" s="509"/>
      <c r="DR105" s="509"/>
      <c r="DS105" s="509"/>
      <c r="DT105" s="509"/>
      <c r="DU105" s="509"/>
      <c r="DV105" s="509"/>
      <c r="DW105" s="509"/>
      <c r="DX105" s="509"/>
      <c r="DY105" s="509"/>
      <c r="DZ105" s="509"/>
      <c r="EA105" s="509"/>
      <c r="EB105" s="509"/>
      <c r="EC105" s="509"/>
      <c r="ED105" s="509"/>
      <c r="EE105" s="509"/>
      <c r="EF105" s="509"/>
      <c r="EG105" s="509"/>
      <c r="EH105" s="509"/>
      <c r="EI105" s="509"/>
      <c r="EJ105" s="509"/>
      <c r="EK105" s="509"/>
      <c r="EL105" s="509"/>
      <c r="EM105" s="509"/>
      <c r="EN105" s="509"/>
      <c r="EO105" s="509"/>
      <c r="EP105" s="509"/>
      <c r="EQ105" s="509"/>
      <c r="ER105" s="509"/>
      <c r="ES105" s="509"/>
      <c r="ET105" s="509"/>
      <c r="EU105" s="509"/>
      <c r="EV105" s="509"/>
      <c r="EW105" s="509"/>
      <c r="EX105" s="509"/>
      <c r="EY105" s="509"/>
      <c r="EZ105" s="509"/>
      <c r="FA105" s="509"/>
      <c r="FB105" s="509"/>
      <c r="FC105" s="509"/>
      <c r="FD105" s="509"/>
      <c r="FE105" s="509"/>
      <c r="FF105" s="509"/>
      <c r="FG105" s="509"/>
      <c r="FH105" s="509"/>
      <c r="FI105" s="509"/>
      <c r="FJ105" s="509"/>
      <c r="FK105" s="509"/>
      <c r="FL105" s="509"/>
      <c r="FM105" s="509"/>
      <c r="FN105" s="509"/>
      <c r="FO105" s="509"/>
      <c r="FP105" s="509"/>
      <c r="FQ105" s="509"/>
      <c r="FR105" s="509"/>
      <c r="FS105" s="509"/>
      <c r="FT105" s="509"/>
      <c r="FU105" s="509"/>
      <c r="FV105" s="509"/>
      <c r="FW105" s="509"/>
      <c r="FX105" s="509"/>
      <c r="FY105" s="509"/>
      <c r="FZ105" s="509"/>
      <c r="GA105" s="509"/>
      <c r="GB105" s="509"/>
      <c r="GC105" s="509"/>
      <c r="GD105" s="509"/>
      <c r="GE105" s="509"/>
      <c r="GF105" s="509"/>
      <c r="GG105" s="509"/>
      <c r="GH105" s="509"/>
      <c r="GI105" s="509"/>
      <c r="GJ105" s="509"/>
      <c r="GK105" s="509"/>
      <c r="GL105" s="509"/>
      <c r="GM105" s="509"/>
      <c r="GN105" s="509"/>
      <c r="GO105" s="509"/>
      <c r="GP105" s="509"/>
      <c r="GQ105" s="509"/>
      <c r="GR105" s="509"/>
      <c r="GS105" s="509"/>
      <c r="GT105" s="509"/>
      <c r="GU105" s="509"/>
      <c r="GV105" s="509"/>
      <c r="GW105" s="509"/>
      <c r="GX105" s="509"/>
      <c r="GY105" s="509"/>
      <c r="GZ105" s="509"/>
      <c r="HA105" s="509"/>
      <c r="HB105" s="509"/>
      <c r="HC105" s="509"/>
      <c r="HD105" s="509"/>
      <c r="HE105" s="509"/>
      <c r="HF105" s="509"/>
      <c r="HG105" s="509"/>
      <c r="HH105" s="509"/>
      <c r="HI105" s="509"/>
      <c r="HJ105" s="509"/>
      <c r="HK105" s="509"/>
      <c r="HL105" s="509"/>
      <c r="HM105" s="509"/>
      <c r="HN105" s="509"/>
      <c r="HO105" s="509"/>
      <c r="HP105" s="509"/>
      <c r="HQ105" s="509"/>
      <c r="HR105" s="509"/>
      <c r="HS105" s="509"/>
      <c r="HT105" s="509"/>
      <c r="HU105" s="509"/>
      <c r="HV105" s="509"/>
      <c r="HW105" s="509"/>
      <c r="HX105" s="509"/>
      <c r="HY105" s="509"/>
      <c r="HZ105" s="509"/>
    </row>
    <row r="106" spans="1:234" ht="15.9" hidden="1" customHeight="1" x14ac:dyDescent="0.25">
      <c r="A106" s="522" t="s">
        <v>3914</v>
      </c>
      <c r="B106" s="523" t="s">
        <v>4024</v>
      </c>
      <c r="C106" s="527" t="s">
        <v>1539</v>
      </c>
      <c r="D106" s="570" t="s">
        <v>2620</v>
      </c>
      <c r="E106" s="569" t="s">
        <v>3228</v>
      </c>
      <c r="F106" s="543">
        <v>39001</v>
      </c>
      <c r="G106" s="586">
        <v>38950</v>
      </c>
      <c r="H106" s="557">
        <v>38994</v>
      </c>
      <c r="I106" s="546">
        <v>40846</v>
      </c>
      <c r="J106" s="579">
        <v>10</v>
      </c>
      <c r="K106" s="580" t="s">
        <v>3229</v>
      </c>
      <c r="L106" s="584" t="s">
        <v>3229</v>
      </c>
      <c r="M106" s="587">
        <v>0.04</v>
      </c>
      <c r="N106" s="2312">
        <v>0.65</v>
      </c>
      <c r="O106" s="576" t="s">
        <v>3229</v>
      </c>
      <c r="P106" s="552" t="s">
        <v>3229</v>
      </c>
      <c r="Q106" s="552" t="s">
        <v>3229</v>
      </c>
      <c r="R106" s="552" t="s">
        <v>3229</v>
      </c>
      <c r="S106" s="567"/>
      <c r="T106" s="553" t="s">
        <v>3229</v>
      </c>
      <c r="U106" s="553" t="s">
        <v>3229</v>
      </c>
      <c r="V106" s="553" t="s">
        <v>3229</v>
      </c>
      <c r="W106" s="553" t="s">
        <v>3229</v>
      </c>
      <c r="X106" s="553" t="s">
        <v>3229</v>
      </c>
      <c r="Y106" s="553" t="s">
        <v>3229</v>
      </c>
      <c r="Z106" s="553" t="s">
        <v>3229</v>
      </c>
      <c r="AA106" s="553" t="s">
        <v>3229</v>
      </c>
      <c r="AB106" s="553" t="s">
        <v>3229</v>
      </c>
      <c r="AC106" s="553" t="s">
        <v>3229</v>
      </c>
      <c r="AD106" s="553" t="s">
        <v>3229</v>
      </c>
      <c r="AE106" s="556" t="s">
        <v>3229</v>
      </c>
      <c r="AF106" s="3764" t="s">
        <v>781</v>
      </c>
      <c r="AG106" s="3765"/>
      <c r="AH106" s="553" t="s">
        <v>3229</v>
      </c>
      <c r="AI106" s="553" t="s">
        <v>3229</v>
      </c>
      <c r="AJ106" s="622" t="s">
        <v>3229</v>
      </c>
      <c r="AK106" s="656" t="s">
        <v>3229</v>
      </c>
      <c r="AL106" s="655" t="s">
        <v>3229</v>
      </c>
      <c r="AM106" s="590">
        <v>1</v>
      </c>
      <c r="AN106" s="576">
        <v>0.04</v>
      </c>
      <c r="AO106" s="660">
        <v>10.27</v>
      </c>
      <c r="AP106" s="1368">
        <v>-0.11433575</v>
      </c>
      <c r="AQ106" s="675">
        <v>-0.23363415536179044</v>
      </c>
      <c r="AR106" s="632" t="s">
        <v>3660</v>
      </c>
      <c r="AS106" s="558"/>
      <c r="AT106" s="558"/>
      <c r="AU106" s="559"/>
      <c r="AV106" s="558">
        <f t="shared" si="17"/>
        <v>0.04</v>
      </c>
      <c r="AW106" s="558">
        <f t="shared" si="18"/>
        <v>7.7892911840387047E-3</v>
      </c>
      <c r="AX106" s="558">
        <f>J106*(1+AV106)/AO106-1</f>
        <v>1.2658227848101333E-2</v>
      </c>
      <c r="AY106" s="559" t="e">
        <f>POWER(1+AX106,1/AG106)-1</f>
        <v>#DIV/0!</v>
      </c>
      <c r="AZ106" s="642">
        <f>J106*(1+AV106)</f>
        <v>10.4</v>
      </c>
      <c r="BA106" s="644" t="s">
        <v>275</v>
      </c>
      <c r="BB106" s="570"/>
      <c r="BC106" s="637"/>
      <c r="BD106" s="3708"/>
      <c r="BH106" s="3763"/>
      <c r="BI106" s="3763"/>
      <c r="BJ106" s="1639"/>
      <c r="BK106" s="1639"/>
      <c r="BL106" s="1639"/>
      <c r="BM106" s="1639"/>
      <c r="BN106" s="1639"/>
      <c r="BO106" s="1639"/>
      <c r="BP106" s="1639"/>
      <c r="BQ106" s="1639"/>
      <c r="BR106" s="1639"/>
      <c r="BS106" s="509"/>
      <c r="BT106" s="509"/>
      <c r="BU106" s="509"/>
      <c r="BV106" s="509"/>
      <c r="BW106" s="509"/>
      <c r="BX106" s="509"/>
      <c r="BY106" s="509"/>
      <c r="BZ106" s="509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509"/>
      <c r="CN106" s="509"/>
      <c r="CO106" s="509"/>
      <c r="CP106" s="509"/>
      <c r="CQ106" s="509"/>
      <c r="CR106" s="509"/>
      <c r="CS106" s="509"/>
      <c r="CT106" s="509"/>
      <c r="CU106" s="509"/>
      <c r="CV106" s="509"/>
      <c r="CW106" s="509"/>
      <c r="CX106" s="509"/>
      <c r="CY106" s="509"/>
      <c r="CZ106" s="509"/>
      <c r="DA106" s="509"/>
      <c r="DB106" s="509"/>
      <c r="DC106" s="509"/>
      <c r="DD106" s="509"/>
      <c r="DE106" s="509"/>
      <c r="DF106" s="509"/>
      <c r="DG106" s="509"/>
      <c r="DH106" s="509"/>
      <c r="DI106" s="509"/>
      <c r="DJ106" s="509"/>
      <c r="DK106" s="509"/>
      <c r="DL106" s="509"/>
      <c r="DM106" s="509"/>
      <c r="DN106" s="509"/>
      <c r="DO106" s="509"/>
      <c r="DP106" s="509"/>
      <c r="DQ106" s="509"/>
      <c r="DR106" s="509"/>
      <c r="DS106" s="509"/>
      <c r="DT106" s="509"/>
      <c r="DU106" s="509"/>
      <c r="DV106" s="509"/>
      <c r="DW106" s="509"/>
      <c r="DX106" s="509"/>
      <c r="DY106" s="509"/>
      <c r="DZ106" s="509"/>
      <c r="EA106" s="509"/>
      <c r="EB106" s="509"/>
      <c r="EC106" s="509"/>
      <c r="ED106" s="509"/>
      <c r="EE106" s="509"/>
      <c r="EF106" s="509"/>
      <c r="EG106" s="509"/>
      <c r="EH106" s="509"/>
      <c r="EI106" s="509"/>
      <c r="EJ106" s="509"/>
      <c r="EK106" s="509"/>
      <c r="EL106" s="509"/>
      <c r="EM106" s="509"/>
      <c r="EN106" s="509"/>
      <c r="EO106" s="509"/>
      <c r="EP106" s="509"/>
      <c r="EQ106" s="509"/>
      <c r="ER106" s="509"/>
      <c r="ES106" s="509"/>
      <c r="ET106" s="509"/>
      <c r="EU106" s="509"/>
      <c r="EV106" s="509"/>
      <c r="EW106" s="509"/>
      <c r="EX106" s="509"/>
      <c r="EY106" s="509"/>
      <c r="EZ106" s="509"/>
      <c r="FA106" s="509"/>
      <c r="FB106" s="509"/>
      <c r="FC106" s="509"/>
      <c r="FD106" s="509"/>
      <c r="FE106" s="509"/>
      <c r="FF106" s="509"/>
      <c r="FG106" s="509"/>
      <c r="FH106" s="509"/>
      <c r="FI106" s="509"/>
      <c r="FJ106" s="509"/>
      <c r="FK106" s="509"/>
      <c r="FL106" s="509"/>
      <c r="FM106" s="509"/>
      <c r="FN106" s="509"/>
      <c r="FO106" s="509"/>
      <c r="FP106" s="509"/>
      <c r="FQ106" s="509"/>
      <c r="FR106" s="509"/>
      <c r="FS106" s="509"/>
      <c r="FT106" s="509"/>
      <c r="FU106" s="509"/>
      <c r="FV106" s="509"/>
      <c r="FW106" s="509"/>
      <c r="FX106" s="509"/>
      <c r="FY106" s="509"/>
      <c r="FZ106" s="509"/>
      <c r="GA106" s="509"/>
      <c r="GB106" s="509"/>
      <c r="GC106" s="509"/>
      <c r="GD106" s="509"/>
      <c r="GE106" s="509"/>
      <c r="GF106" s="509"/>
      <c r="GG106" s="509"/>
      <c r="GH106" s="509"/>
      <c r="GI106" s="509"/>
      <c r="GJ106" s="509"/>
      <c r="GK106" s="509"/>
      <c r="GL106" s="509"/>
      <c r="GM106" s="509"/>
      <c r="GN106" s="509"/>
      <c r="GO106" s="509"/>
      <c r="GP106" s="509"/>
      <c r="GQ106" s="509"/>
      <c r="GR106" s="509"/>
      <c r="GS106" s="509"/>
      <c r="GT106" s="509"/>
      <c r="GU106" s="509"/>
      <c r="GV106" s="509"/>
      <c r="GW106" s="509"/>
      <c r="GX106" s="509"/>
      <c r="GY106" s="509"/>
      <c r="GZ106" s="509"/>
      <c r="HA106" s="509"/>
      <c r="HB106" s="509"/>
      <c r="HC106" s="509"/>
      <c r="HD106" s="509"/>
      <c r="HE106" s="509"/>
      <c r="HF106" s="509"/>
      <c r="HG106" s="509"/>
      <c r="HH106" s="509"/>
      <c r="HI106" s="509"/>
      <c r="HJ106" s="509"/>
      <c r="HK106" s="509"/>
      <c r="HL106" s="509"/>
      <c r="HM106" s="509"/>
      <c r="HN106" s="509"/>
      <c r="HO106" s="509"/>
      <c r="HP106" s="509"/>
      <c r="HQ106" s="509"/>
      <c r="HR106" s="509"/>
      <c r="HS106" s="509"/>
      <c r="HT106" s="509"/>
      <c r="HU106" s="509"/>
      <c r="HV106" s="509"/>
      <c r="HW106" s="509"/>
      <c r="HX106" s="509"/>
      <c r="HY106" s="509"/>
      <c r="HZ106" s="509"/>
    </row>
    <row r="107" spans="1:234" ht="15.9" hidden="1" customHeight="1" x14ac:dyDescent="0.25">
      <c r="A107" s="522" t="s">
        <v>893</v>
      </c>
      <c r="B107" s="523" t="s">
        <v>970</v>
      </c>
      <c r="C107" s="527" t="s">
        <v>2329</v>
      </c>
      <c r="D107" s="570" t="s">
        <v>2158</v>
      </c>
      <c r="E107" s="569" t="s">
        <v>3228</v>
      </c>
      <c r="F107" s="543">
        <v>38996</v>
      </c>
      <c r="G107" s="586">
        <v>38950</v>
      </c>
      <c r="H107" s="557">
        <v>38989</v>
      </c>
      <c r="I107" s="546">
        <v>41305</v>
      </c>
      <c r="J107" s="579">
        <v>10</v>
      </c>
      <c r="K107" s="580">
        <v>-0.03</v>
      </c>
      <c r="L107" s="584">
        <v>6.5000000000000002E-2</v>
      </c>
      <c r="M107" s="587">
        <v>0.1</v>
      </c>
      <c r="N107" s="2312" t="s">
        <v>3229</v>
      </c>
      <c r="O107" s="576" t="s">
        <v>3229</v>
      </c>
      <c r="P107" s="552" t="s">
        <v>3229</v>
      </c>
      <c r="Q107" s="552" t="s">
        <v>3229</v>
      </c>
      <c r="R107" s="552" t="s">
        <v>3229</v>
      </c>
      <c r="S107" s="567">
        <v>6</v>
      </c>
      <c r="T107" s="553">
        <v>39326</v>
      </c>
      <c r="U107" s="553">
        <v>39692</v>
      </c>
      <c r="V107" s="553">
        <v>40057</v>
      </c>
      <c r="W107" s="553">
        <v>40422</v>
      </c>
      <c r="X107" s="553">
        <v>40787</v>
      </c>
      <c r="Y107" s="553">
        <v>41214</v>
      </c>
      <c r="Z107" s="553" t="s">
        <v>3229</v>
      </c>
      <c r="AA107" s="553" t="s">
        <v>3229</v>
      </c>
      <c r="AB107" s="553" t="s">
        <v>3229</v>
      </c>
      <c r="AC107" s="553" t="s">
        <v>3229</v>
      </c>
      <c r="AD107" s="553" t="s">
        <v>3229</v>
      </c>
      <c r="AE107" s="556" t="s">
        <v>3229</v>
      </c>
      <c r="AF107" s="3764" t="s">
        <v>781</v>
      </c>
      <c r="AG107" s="3765"/>
      <c r="AH107" s="553">
        <v>0.5</v>
      </c>
      <c r="AI107" s="553">
        <v>0.3</v>
      </c>
      <c r="AJ107" s="622">
        <v>0.2</v>
      </c>
      <c r="AK107" s="656" t="s">
        <v>3229</v>
      </c>
      <c r="AL107" s="655" t="s">
        <v>3229</v>
      </c>
      <c r="AM107" s="590" t="s">
        <v>3229</v>
      </c>
      <c r="AN107" s="576">
        <v>0.1</v>
      </c>
      <c r="AO107" s="660">
        <v>11.05</v>
      </c>
      <c r="AP107" s="1368" t="s">
        <v>3229</v>
      </c>
      <c r="AQ107" s="658" t="s">
        <v>3229</v>
      </c>
      <c r="AR107" s="632" t="e">
        <f>MAX(0,AF107*L107+SUM('klikací hodnoty'!F2377:F2394))</f>
        <v>#VALUE!</v>
      </c>
      <c r="AS107" s="558" t="e">
        <f>POWER(1+AR107,1/((I107-F107)/365))-1</f>
        <v>#VALUE!</v>
      </c>
      <c r="AT107" s="558" t="e">
        <f>J107*(1+AR107)/AO107-1</f>
        <v>#VALUE!</v>
      </c>
      <c r="AU107" s="559" t="e">
        <f>POWER(1+AT107,1/AG107)-1</f>
        <v>#VALUE!</v>
      </c>
      <c r="AV107" s="558" t="e">
        <f>MAX(M107,AN107+AF107*K107)</f>
        <v>#VALUE!</v>
      </c>
      <c r="AW107" s="558" t="e">
        <f t="shared" si="18"/>
        <v>#VALUE!</v>
      </c>
      <c r="AX107" s="558" t="e">
        <f>J107*(1+AV107)/AO107-1</f>
        <v>#VALUE!</v>
      </c>
      <c r="AY107" s="559" t="e">
        <f>POWER(1+AX107,1/AG107)-1</f>
        <v>#VALUE!</v>
      </c>
      <c r="AZ107" s="642" t="e">
        <f>J107*(1+AV107)</f>
        <v>#VALUE!</v>
      </c>
      <c r="BA107" s="644" t="s">
        <v>3189</v>
      </c>
      <c r="BB107" s="570" t="s">
        <v>2025</v>
      </c>
      <c r="BC107" s="637" t="s">
        <v>2895</v>
      </c>
      <c r="BD107" s="3708"/>
      <c r="BH107" s="3763"/>
      <c r="BI107" s="3763"/>
      <c r="BJ107" s="1639"/>
      <c r="BK107" s="1639"/>
      <c r="BL107" s="1639"/>
      <c r="BM107" s="1639"/>
      <c r="BN107" s="1639"/>
      <c r="BO107" s="1639"/>
      <c r="BP107" s="1639"/>
      <c r="BQ107" s="1639"/>
      <c r="BR107" s="1639"/>
      <c r="BS107" s="509"/>
      <c r="BT107" s="509"/>
      <c r="BU107" s="509"/>
      <c r="BV107" s="509"/>
      <c r="BW107" s="509"/>
      <c r="BX107" s="509"/>
      <c r="BY107" s="509"/>
      <c r="BZ107" s="509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509"/>
      <c r="CN107" s="509"/>
      <c r="CO107" s="509"/>
      <c r="CP107" s="509"/>
      <c r="CQ107" s="509"/>
      <c r="CR107" s="509"/>
      <c r="CS107" s="509"/>
      <c r="CT107" s="509"/>
      <c r="CU107" s="509"/>
      <c r="CV107" s="509"/>
      <c r="CW107" s="509"/>
      <c r="CX107" s="509"/>
      <c r="CY107" s="509"/>
      <c r="CZ107" s="509"/>
      <c r="DA107" s="509"/>
      <c r="DB107" s="509"/>
      <c r="DC107" s="509"/>
      <c r="DD107" s="509"/>
      <c r="DE107" s="509"/>
      <c r="DF107" s="509"/>
      <c r="DG107" s="509"/>
      <c r="DH107" s="509"/>
      <c r="DI107" s="509"/>
      <c r="DJ107" s="509"/>
      <c r="DK107" s="509"/>
      <c r="DL107" s="509"/>
      <c r="DM107" s="509"/>
      <c r="DN107" s="509"/>
      <c r="DO107" s="509"/>
      <c r="DP107" s="509"/>
      <c r="DQ107" s="509"/>
      <c r="DR107" s="509"/>
      <c r="DS107" s="509"/>
      <c r="DT107" s="509"/>
      <c r="DU107" s="509"/>
      <c r="DV107" s="509"/>
      <c r="DW107" s="509"/>
      <c r="DX107" s="509"/>
      <c r="DY107" s="509"/>
      <c r="DZ107" s="509"/>
      <c r="EA107" s="509"/>
      <c r="EB107" s="509"/>
      <c r="EC107" s="509"/>
      <c r="ED107" s="509"/>
      <c r="EE107" s="509"/>
      <c r="EF107" s="509"/>
      <c r="EG107" s="509"/>
      <c r="EH107" s="509"/>
      <c r="EI107" s="509"/>
      <c r="EJ107" s="509"/>
      <c r="EK107" s="509"/>
      <c r="EL107" s="509"/>
      <c r="EM107" s="509"/>
      <c r="EN107" s="509"/>
      <c r="EO107" s="509"/>
      <c r="EP107" s="509"/>
      <c r="EQ107" s="509"/>
      <c r="ER107" s="509"/>
      <c r="ES107" s="509"/>
      <c r="ET107" s="509"/>
      <c r="EU107" s="509"/>
      <c r="EV107" s="509"/>
      <c r="EW107" s="509"/>
      <c r="EX107" s="509"/>
      <c r="EY107" s="509"/>
      <c r="EZ107" s="509"/>
      <c r="FA107" s="509"/>
      <c r="FB107" s="509"/>
      <c r="FC107" s="509"/>
      <c r="FD107" s="509"/>
      <c r="FE107" s="509"/>
      <c r="FF107" s="509"/>
      <c r="FG107" s="509"/>
      <c r="FH107" s="509"/>
      <c r="FI107" s="509"/>
      <c r="FJ107" s="509"/>
      <c r="FK107" s="509"/>
      <c r="FL107" s="509"/>
      <c r="FM107" s="509"/>
      <c r="FN107" s="509"/>
      <c r="FO107" s="509"/>
      <c r="FP107" s="509"/>
      <c r="FQ107" s="509"/>
      <c r="FR107" s="509"/>
      <c r="FS107" s="509"/>
      <c r="FT107" s="509"/>
      <c r="FU107" s="509"/>
      <c r="FV107" s="509"/>
      <c r="FW107" s="509"/>
      <c r="FX107" s="509"/>
      <c r="FY107" s="509"/>
      <c r="FZ107" s="509"/>
      <c r="GA107" s="509"/>
      <c r="GB107" s="509"/>
      <c r="GC107" s="509"/>
      <c r="GD107" s="509"/>
      <c r="GE107" s="509"/>
      <c r="GF107" s="509"/>
      <c r="GG107" s="509"/>
      <c r="GH107" s="509"/>
      <c r="GI107" s="509"/>
      <c r="GJ107" s="509"/>
      <c r="GK107" s="509"/>
      <c r="GL107" s="509"/>
      <c r="GM107" s="509"/>
      <c r="GN107" s="509"/>
      <c r="GO107" s="509"/>
      <c r="GP107" s="509"/>
      <c r="GQ107" s="509"/>
      <c r="GR107" s="509"/>
      <c r="GS107" s="509"/>
      <c r="GT107" s="509"/>
      <c r="GU107" s="509"/>
      <c r="GV107" s="509"/>
      <c r="GW107" s="509"/>
      <c r="GX107" s="509"/>
      <c r="GY107" s="509"/>
      <c r="GZ107" s="509"/>
      <c r="HA107" s="509"/>
      <c r="HB107" s="509"/>
      <c r="HC107" s="509"/>
      <c r="HD107" s="509"/>
      <c r="HE107" s="509"/>
      <c r="HF107" s="509"/>
      <c r="HG107" s="509"/>
      <c r="HH107" s="509"/>
      <c r="HI107" s="509"/>
      <c r="HJ107" s="509"/>
      <c r="HK107" s="509"/>
      <c r="HL107" s="509"/>
      <c r="HM107" s="509"/>
      <c r="HN107" s="509"/>
      <c r="HO107" s="509"/>
      <c r="HP107" s="509"/>
      <c r="HQ107" s="509"/>
      <c r="HR107" s="509"/>
      <c r="HS107" s="509"/>
      <c r="HT107" s="509"/>
      <c r="HU107" s="509"/>
      <c r="HV107" s="509"/>
      <c r="HW107" s="509"/>
      <c r="HX107" s="509"/>
      <c r="HY107" s="509"/>
      <c r="HZ107" s="509"/>
    </row>
    <row r="108" spans="1:234" s="206" customFormat="1" ht="15.9" hidden="1" customHeight="1" x14ac:dyDescent="0.25">
      <c r="A108" s="522" t="s">
        <v>1719</v>
      </c>
      <c r="B108" s="523" t="s">
        <v>971</v>
      </c>
      <c r="C108" s="527" t="s">
        <v>2330</v>
      </c>
      <c r="D108" s="570" t="s">
        <v>189</v>
      </c>
      <c r="E108" s="569" t="s">
        <v>1743</v>
      </c>
      <c r="F108" s="543">
        <v>38996</v>
      </c>
      <c r="G108" s="586">
        <v>38950</v>
      </c>
      <c r="H108" s="557">
        <v>38989</v>
      </c>
      <c r="I108" s="588">
        <v>40602</v>
      </c>
      <c r="J108" s="579">
        <v>1000</v>
      </c>
      <c r="K108" s="589">
        <v>0</v>
      </c>
      <c r="L108" s="587">
        <v>7.4999999999999997E-2</v>
      </c>
      <c r="M108" s="587">
        <v>0.16</v>
      </c>
      <c r="N108" s="2312" t="s">
        <v>3229</v>
      </c>
      <c r="O108" s="552" t="s">
        <v>3229</v>
      </c>
      <c r="P108" s="552" t="s">
        <v>3229</v>
      </c>
      <c r="Q108" s="552" t="s">
        <v>3229</v>
      </c>
      <c r="R108" s="552" t="s">
        <v>3229</v>
      </c>
      <c r="S108" s="567">
        <v>4</v>
      </c>
      <c r="T108" s="555">
        <v>39326</v>
      </c>
      <c r="U108" s="555">
        <v>39692</v>
      </c>
      <c r="V108" s="555">
        <v>40057</v>
      </c>
      <c r="W108" s="555">
        <v>40544</v>
      </c>
      <c r="X108" s="553" t="s">
        <v>3229</v>
      </c>
      <c r="Y108" s="553" t="s">
        <v>3229</v>
      </c>
      <c r="Z108" s="553" t="s">
        <v>3229</v>
      </c>
      <c r="AA108" s="553" t="s">
        <v>3229</v>
      </c>
      <c r="AB108" s="553" t="s">
        <v>3229</v>
      </c>
      <c r="AC108" s="553" t="s">
        <v>3229</v>
      </c>
      <c r="AD108" s="553" t="s">
        <v>3229</v>
      </c>
      <c r="AE108" s="552" t="s">
        <v>3229</v>
      </c>
      <c r="AF108" s="3764" t="s">
        <v>781</v>
      </c>
      <c r="AG108" s="3765"/>
      <c r="AH108" s="590">
        <v>0.5</v>
      </c>
      <c r="AI108" s="590">
        <v>0.3</v>
      </c>
      <c r="AJ108" s="590">
        <v>0.2</v>
      </c>
      <c r="AK108" s="566" t="s">
        <v>3229</v>
      </c>
      <c r="AL108" s="553" t="s">
        <v>3229</v>
      </c>
      <c r="AM108" s="590" t="s">
        <v>3229</v>
      </c>
      <c r="AN108" s="576">
        <v>0.16870000000000002</v>
      </c>
      <c r="AO108" s="660">
        <v>1168.7</v>
      </c>
      <c r="AP108" s="1368" t="s">
        <v>3229</v>
      </c>
      <c r="AQ108" s="658" t="s">
        <v>3229</v>
      </c>
      <c r="AR108" s="558">
        <f>AO108/1000-1</f>
        <v>0.16870000000000007</v>
      </c>
      <c r="AS108" s="558">
        <f>POWER(1+AR108,1/((I108-F108)/365))-1</f>
        <v>3.6065125730429415E-2</v>
      </c>
      <c r="AT108" s="589"/>
      <c r="AU108" s="559"/>
      <c r="AV108" s="558">
        <f>AR108</f>
        <v>0.16870000000000007</v>
      </c>
      <c r="AW108" s="558">
        <f t="shared" si="18"/>
        <v>3.6065125730429415E-2</v>
      </c>
      <c r="AX108" s="558"/>
      <c r="AY108" s="559"/>
      <c r="AZ108" s="642">
        <f>J108*(1+AV108)</f>
        <v>1168.7</v>
      </c>
      <c r="BA108" s="644" t="s">
        <v>3151</v>
      </c>
      <c r="BB108" s="570" t="s">
        <v>2025</v>
      </c>
      <c r="BC108" s="637" t="s">
        <v>2895</v>
      </c>
      <c r="BD108" s="3708"/>
      <c r="BE108" s="3743"/>
      <c r="BF108" s="3743"/>
      <c r="BG108" s="3708"/>
      <c r="BH108" s="3762"/>
      <c r="BI108" s="3762"/>
      <c r="BJ108" s="39"/>
      <c r="BK108" s="39"/>
      <c r="BL108" s="39"/>
      <c r="BM108" s="39"/>
      <c r="BN108" s="39"/>
      <c r="BO108" s="39"/>
      <c r="BP108" s="39"/>
      <c r="BQ108" s="39"/>
      <c r="BR108" s="39"/>
      <c r="BS108" s="507"/>
      <c r="BT108" s="507"/>
      <c r="BU108" s="507"/>
      <c r="BV108" s="507"/>
      <c r="BW108" s="507"/>
      <c r="BX108" s="507"/>
      <c r="BY108" s="507"/>
      <c r="BZ108" s="507"/>
      <c r="CA108" s="507"/>
      <c r="CB108" s="507"/>
      <c r="CC108" s="507"/>
      <c r="CD108" s="507"/>
      <c r="CE108" s="507"/>
      <c r="CF108" s="507"/>
      <c r="CG108" s="507"/>
      <c r="CH108" s="507"/>
      <c r="CI108" s="507"/>
      <c r="CJ108" s="507"/>
      <c r="CK108" s="507"/>
      <c r="CL108" s="507"/>
      <c r="CM108" s="507"/>
      <c r="CN108" s="507"/>
      <c r="CO108" s="507"/>
      <c r="CP108" s="507"/>
      <c r="CQ108" s="507"/>
      <c r="CR108" s="507"/>
      <c r="CS108" s="507"/>
      <c r="CT108" s="507"/>
      <c r="CU108" s="507"/>
      <c r="CV108" s="507"/>
      <c r="CW108" s="507"/>
      <c r="CX108" s="507"/>
      <c r="CY108" s="507"/>
      <c r="CZ108" s="507"/>
      <c r="DA108" s="507"/>
      <c r="DB108" s="507"/>
      <c r="DC108" s="507"/>
      <c r="DD108" s="507"/>
      <c r="DE108" s="507"/>
      <c r="DF108" s="507"/>
      <c r="DG108" s="507"/>
      <c r="DH108" s="507"/>
      <c r="DI108" s="507"/>
      <c r="DJ108" s="507"/>
      <c r="DK108" s="507"/>
      <c r="DL108" s="507"/>
      <c r="DM108" s="507"/>
      <c r="DN108" s="507"/>
      <c r="DO108" s="507"/>
      <c r="DP108" s="507"/>
      <c r="DQ108" s="507"/>
      <c r="DR108" s="507"/>
      <c r="DS108" s="507"/>
      <c r="DT108" s="507"/>
      <c r="DU108" s="507"/>
      <c r="DV108" s="507"/>
      <c r="DW108" s="507"/>
      <c r="DX108" s="507"/>
      <c r="DY108" s="507"/>
      <c r="DZ108" s="507"/>
      <c r="EA108" s="507"/>
      <c r="EB108" s="507"/>
      <c r="EC108" s="507"/>
      <c r="ED108" s="507"/>
      <c r="EE108" s="507"/>
      <c r="EF108" s="507"/>
      <c r="EG108" s="507"/>
      <c r="EH108" s="507"/>
      <c r="EI108" s="507"/>
      <c r="EJ108" s="507"/>
      <c r="EK108" s="507"/>
      <c r="EL108" s="507"/>
      <c r="EM108" s="507"/>
      <c r="EN108" s="507"/>
      <c r="EO108" s="507"/>
      <c r="EP108" s="507"/>
      <c r="EQ108" s="507"/>
      <c r="ER108" s="507"/>
      <c r="ES108" s="507"/>
      <c r="ET108" s="507"/>
      <c r="EU108" s="507"/>
      <c r="EV108" s="507"/>
      <c r="EW108" s="507"/>
      <c r="EX108" s="507"/>
      <c r="EY108" s="507"/>
      <c r="EZ108" s="507"/>
      <c r="FA108" s="507"/>
      <c r="FB108" s="507"/>
      <c r="FC108" s="507"/>
      <c r="FD108" s="507"/>
      <c r="FE108" s="507"/>
      <c r="FF108" s="507"/>
      <c r="FG108" s="507"/>
      <c r="FH108" s="507"/>
      <c r="FI108" s="507"/>
      <c r="FJ108" s="507"/>
      <c r="FK108" s="507"/>
      <c r="FL108" s="507"/>
      <c r="FM108" s="507"/>
      <c r="FN108" s="507"/>
      <c r="FO108" s="507"/>
      <c r="FP108" s="507"/>
      <c r="FQ108" s="507"/>
      <c r="FR108" s="507"/>
      <c r="FS108" s="507"/>
      <c r="FT108" s="507"/>
      <c r="FU108" s="507"/>
      <c r="FV108" s="507"/>
      <c r="FW108" s="507"/>
      <c r="FX108" s="507"/>
      <c r="FY108" s="507"/>
      <c r="FZ108" s="507"/>
      <c r="GA108" s="507"/>
      <c r="GB108" s="507"/>
      <c r="GC108" s="507"/>
      <c r="GD108" s="507"/>
      <c r="GE108" s="507"/>
      <c r="GF108" s="507"/>
      <c r="GG108" s="507"/>
      <c r="GH108" s="507"/>
      <c r="GI108" s="507"/>
      <c r="GJ108" s="507"/>
      <c r="GK108" s="507"/>
      <c r="GL108" s="507"/>
      <c r="GM108" s="507"/>
      <c r="GN108" s="507"/>
      <c r="GO108" s="507"/>
      <c r="GP108" s="507"/>
      <c r="GQ108" s="507"/>
      <c r="GR108" s="507"/>
      <c r="GS108" s="507"/>
      <c r="GT108" s="507"/>
      <c r="GU108" s="507"/>
      <c r="GV108" s="507"/>
      <c r="GW108" s="507"/>
      <c r="GX108" s="507"/>
      <c r="GY108" s="507"/>
      <c r="GZ108" s="507"/>
      <c r="HA108" s="507"/>
      <c r="HB108" s="507"/>
      <c r="HC108" s="507"/>
      <c r="HD108" s="507"/>
      <c r="HE108" s="507"/>
      <c r="HF108" s="507"/>
      <c r="HG108" s="507"/>
      <c r="HH108" s="507"/>
      <c r="HI108" s="507"/>
      <c r="HJ108" s="507"/>
      <c r="HK108" s="507"/>
      <c r="HL108" s="507"/>
      <c r="HM108" s="507"/>
      <c r="HN108" s="507"/>
      <c r="HO108" s="507"/>
      <c r="HP108" s="507"/>
      <c r="HQ108" s="507"/>
      <c r="HR108" s="507"/>
      <c r="HS108" s="507"/>
      <c r="HT108" s="507"/>
      <c r="HU108" s="507"/>
      <c r="HV108" s="507"/>
      <c r="HW108" s="507"/>
      <c r="HX108" s="507"/>
      <c r="HY108" s="507"/>
      <c r="HZ108" s="507"/>
    </row>
    <row r="109" spans="1:234" ht="15.9" hidden="1" customHeight="1" x14ac:dyDescent="0.25">
      <c r="A109" s="522" t="s">
        <v>1942</v>
      </c>
      <c r="B109" s="523" t="s">
        <v>3635</v>
      </c>
      <c r="C109" s="527" t="s">
        <v>3343</v>
      </c>
      <c r="D109" s="570" t="s">
        <v>4384</v>
      </c>
      <c r="E109" s="569" t="s">
        <v>3228</v>
      </c>
      <c r="F109" s="543">
        <v>39003</v>
      </c>
      <c r="G109" s="586">
        <v>38973</v>
      </c>
      <c r="H109" s="557">
        <v>38996</v>
      </c>
      <c r="I109" s="546">
        <v>40847</v>
      </c>
      <c r="J109" s="579">
        <v>10</v>
      </c>
      <c r="K109" s="580" t="s">
        <v>3229</v>
      </c>
      <c r="L109" s="584" t="s">
        <v>3229</v>
      </c>
      <c r="M109" s="587">
        <v>0</v>
      </c>
      <c r="N109" s="2312">
        <v>1</v>
      </c>
      <c r="O109" s="576" t="s">
        <v>3229</v>
      </c>
      <c r="P109" s="552" t="s">
        <v>3229</v>
      </c>
      <c r="Q109" s="552" t="s">
        <v>3229</v>
      </c>
      <c r="R109" s="552" t="s">
        <v>3229</v>
      </c>
      <c r="S109" s="567"/>
      <c r="T109" s="553"/>
      <c r="U109" s="553"/>
      <c r="V109" s="553"/>
      <c r="W109" s="553"/>
      <c r="X109" s="553"/>
      <c r="Y109" s="553"/>
      <c r="Z109" s="553"/>
      <c r="AA109" s="553"/>
      <c r="AB109" s="553"/>
      <c r="AC109" s="553"/>
      <c r="AD109" s="553"/>
      <c r="AE109" s="556"/>
      <c r="AF109" s="3764" t="s">
        <v>781</v>
      </c>
      <c r="AG109" s="3765"/>
      <c r="AH109" s="553" t="s">
        <v>3229</v>
      </c>
      <c r="AI109" s="553" t="s">
        <v>3229</v>
      </c>
      <c r="AJ109" s="622" t="s">
        <v>3229</v>
      </c>
      <c r="AK109" s="656" t="s">
        <v>3229</v>
      </c>
      <c r="AL109" s="655" t="s">
        <v>3229</v>
      </c>
      <c r="AM109" s="590">
        <v>1</v>
      </c>
      <c r="AN109" s="576">
        <v>0</v>
      </c>
      <c r="AO109" s="660">
        <v>9.86</v>
      </c>
      <c r="AP109" s="1368">
        <v>-0.2974160833333333</v>
      </c>
      <c r="AQ109" s="675">
        <v>-0.37091711738669036</v>
      </c>
      <c r="AR109" s="558"/>
      <c r="AS109" s="558"/>
      <c r="AT109" s="558"/>
      <c r="AU109" s="559"/>
      <c r="AV109" s="558">
        <f>M109</f>
        <v>0</v>
      </c>
      <c r="AW109" s="558">
        <f t="shared" si="18"/>
        <v>0</v>
      </c>
      <c r="AX109" s="558">
        <f>J109*(1+AV109)/AO109-1</f>
        <v>1.4198782961460488E-2</v>
      </c>
      <c r="AY109" s="559" t="e">
        <f>POWER(1+AX109,1/AG109)-1</f>
        <v>#DIV/0!</v>
      </c>
      <c r="AZ109" s="642">
        <f>J109*(1+AV109)</f>
        <v>10</v>
      </c>
      <c r="BA109" s="644" t="s">
        <v>3113</v>
      </c>
      <c r="BB109" s="570"/>
      <c r="BC109" s="637"/>
      <c r="BD109" s="3708"/>
      <c r="BH109" s="3763"/>
      <c r="BI109" s="3763"/>
      <c r="BJ109" s="1639"/>
      <c r="BK109" s="1639"/>
      <c r="BL109" s="1639"/>
      <c r="BM109" s="1639"/>
      <c r="BN109" s="1639"/>
      <c r="BO109" s="1639"/>
      <c r="BP109" s="1639"/>
      <c r="BQ109" s="1639"/>
      <c r="BR109" s="1639"/>
      <c r="BS109" s="509"/>
      <c r="BT109" s="509"/>
      <c r="BU109" s="509"/>
      <c r="BV109" s="509"/>
      <c r="BW109" s="509"/>
      <c r="BX109" s="509"/>
      <c r="BY109" s="509"/>
      <c r="BZ109" s="509"/>
      <c r="CA109" s="509"/>
      <c r="CB109" s="509"/>
      <c r="CC109" s="509"/>
      <c r="CD109" s="509"/>
      <c r="CE109" s="509"/>
      <c r="CF109" s="509"/>
      <c r="CG109" s="509"/>
      <c r="CH109" s="509"/>
      <c r="CI109" s="509"/>
      <c r="CJ109" s="509"/>
      <c r="CK109" s="509"/>
      <c r="CL109" s="509"/>
      <c r="CM109" s="509"/>
      <c r="CN109" s="509"/>
      <c r="CO109" s="509"/>
      <c r="CP109" s="509"/>
      <c r="CQ109" s="509"/>
      <c r="CR109" s="509"/>
      <c r="CS109" s="509"/>
      <c r="CT109" s="509"/>
      <c r="CU109" s="509"/>
      <c r="CV109" s="509"/>
      <c r="CW109" s="509"/>
      <c r="CX109" s="509"/>
      <c r="CY109" s="509"/>
      <c r="CZ109" s="509"/>
      <c r="DA109" s="509"/>
      <c r="DB109" s="509"/>
      <c r="DC109" s="509"/>
      <c r="DD109" s="509"/>
      <c r="DE109" s="509"/>
      <c r="DF109" s="509"/>
      <c r="DG109" s="509"/>
      <c r="DH109" s="509"/>
      <c r="DI109" s="509"/>
      <c r="DJ109" s="509"/>
      <c r="DK109" s="509"/>
      <c r="DL109" s="509"/>
      <c r="DM109" s="509"/>
      <c r="DN109" s="509"/>
      <c r="DO109" s="509"/>
      <c r="DP109" s="509"/>
      <c r="DQ109" s="509"/>
      <c r="DR109" s="509"/>
      <c r="DS109" s="509"/>
      <c r="DT109" s="509"/>
      <c r="DU109" s="509"/>
      <c r="DV109" s="509"/>
      <c r="DW109" s="509"/>
      <c r="DX109" s="509"/>
      <c r="DY109" s="509"/>
      <c r="DZ109" s="509"/>
      <c r="EA109" s="509"/>
      <c r="EB109" s="509"/>
      <c r="EC109" s="509"/>
      <c r="ED109" s="509"/>
      <c r="EE109" s="509"/>
      <c r="EF109" s="509"/>
      <c r="EG109" s="509"/>
      <c r="EH109" s="509"/>
      <c r="EI109" s="509"/>
      <c r="EJ109" s="509"/>
      <c r="EK109" s="509"/>
      <c r="EL109" s="509"/>
      <c r="EM109" s="509"/>
      <c r="EN109" s="509"/>
      <c r="EO109" s="509"/>
      <c r="EP109" s="509"/>
      <c r="EQ109" s="509"/>
      <c r="ER109" s="509"/>
      <c r="ES109" s="509"/>
      <c r="ET109" s="509"/>
      <c r="EU109" s="509"/>
      <c r="EV109" s="509"/>
      <c r="EW109" s="509"/>
      <c r="EX109" s="509"/>
      <c r="EY109" s="509"/>
      <c r="EZ109" s="509"/>
      <c r="FA109" s="509"/>
      <c r="FB109" s="509"/>
      <c r="FC109" s="509"/>
      <c r="FD109" s="509"/>
      <c r="FE109" s="509"/>
      <c r="FF109" s="509"/>
      <c r="FG109" s="509"/>
      <c r="FH109" s="509"/>
      <c r="FI109" s="509"/>
      <c r="FJ109" s="509"/>
      <c r="FK109" s="509"/>
      <c r="FL109" s="509"/>
      <c r="FM109" s="509"/>
      <c r="FN109" s="509"/>
      <c r="FO109" s="509"/>
      <c r="FP109" s="509"/>
      <c r="FQ109" s="509"/>
      <c r="FR109" s="509"/>
      <c r="FS109" s="509"/>
      <c r="FT109" s="509"/>
      <c r="FU109" s="509"/>
      <c r="FV109" s="509"/>
      <c r="FW109" s="509"/>
      <c r="FX109" s="509"/>
      <c r="FY109" s="509"/>
      <c r="FZ109" s="509"/>
      <c r="GA109" s="509"/>
      <c r="GB109" s="509"/>
      <c r="GC109" s="509"/>
      <c r="GD109" s="509"/>
      <c r="GE109" s="509"/>
      <c r="GF109" s="509"/>
      <c r="GG109" s="509"/>
      <c r="GH109" s="509"/>
      <c r="GI109" s="509"/>
      <c r="GJ109" s="509"/>
      <c r="GK109" s="509"/>
      <c r="GL109" s="509"/>
      <c r="GM109" s="509"/>
      <c r="GN109" s="509"/>
      <c r="GO109" s="509"/>
      <c r="GP109" s="509"/>
      <c r="GQ109" s="509"/>
      <c r="GR109" s="509"/>
      <c r="GS109" s="509"/>
      <c r="GT109" s="509"/>
      <c r="GU109" s="509"/>
      <c r="GV109" s="509"/>
      <c r="GW109" s="509"/>
      <c r="GX109" s="509"/>
      <c r="GY109" s="509"/>
      <c r="GZ109" s="509"/>
      <c r="HA109" s="509"/>
      <c r="HB109" s="509"/>
      <c r="HC109" s="509"/>
      <c r="HD109" s="509"/>
      <c r="HE109" s="509"/>
      <c r="HF109" s="509"/>
      <c r="HG109" s="509"/>
      <c r="HH109" s="509"/>
      <c r="HI109" s="509"/>
      <c r="HJ109" s="509"/>
      <c r="HK109" s="509"/>
      <c r="HL109" s="509"/>
      <c r="HM109" s="509"/>
      <c r="HN109" s="509"/>
      <c r="HO109" s="509"/>
      <c r="HP109" s="509"/>
      <c r="HQ109" s="509"/>
      <c r="HR109" s="509"/>
      <c r="HS109" s="509"/>
      <c r="HT109" s="509"/>
      <c r="HU109" s="509"/>
      <c r="HV109" s="509"/>
      <c r="HW109" s="509"/>
      <c r="HX109" s="509"/>
      <c r="HY109" s="509"/>
      <c r="HZ109" s="509"/>
    </row>
    <row r="110" spans="1:234" ht="15.9" hidden="1" customHeight="1" x14ac:dyDescent="0.25">
      <c r="A110" s="522" t="s">
        <v>1575</v>
      </c>
      <c r="B110" s="523" t="s">
        <v>1130</v>
      </c>
      <c r="C110" s="527" t="s">
        <v>2331</v>
      </c>
      <c r="D110" s="570" t="s">
        <v>828</v>
      </c>
      <c r="E110" s="569" t="s">
        <v>3228</v>
      </c>
      <c r="F110" s="543">
        <v>39058</v>
      </c>
      <c r="G110" s="586">
        <v>38992</v>
      </c>
      <c r="H110" s="557">
        <v>39051</v>
      </c>
      <c r="I110" s="546">
        <v>40907</v>
      </c>
      <c r="J110" s="579">
        <v>10</v>
      </c>
      <c r="K110" s="580" t="s">
        <v>3229</v>
      </c>
      <c r="L110" s="584" t="s">
        <v>3229</v>
      </c>
      <c r="M110" s="587">
        <v>0.1043</v>
      </c>
      <c r="N110" s="2312" t="s">
        <v>3229</v>
      </c>
      <c r="O110" s="576" t="s">
        <v>3229</v>
      </c>
      <c r="P110" s="552" t="s">
        <v>3229</v>
      </c>
      <c r="Q110" s="552">
        <v>0.04</v>
      </c>
      <c r="R110" s="552">
        <v>1.5</v>
      </c>
      <c r="S110" s="567">
        <v>5</v>
      </c>
      <c r="T110" s="553"/>
      <c r="U110" s="553"/>
      <c r="V110" s="553"/>
      <c r="W110" s="553"/>
      <c r="X110" s="553"/>
      <c r="Y110" s="553" t="s">
        <v>3229</v>
      </c>
      <c r="Z110" s="553" t="s">
        <v>3229</v>
      </c>
      <c r="AA110" s="553" t="s">
        <v>3229</v>
      </c>
      <c r="AB110" s="553" t="s">
        <v>3229</v>
      </c>
      <c r="AC110" s="553" t="s">
        <v>3229</v>
      </c>
      <c r="AD110" s="553" t="s">
        <v>3229</v>
      </c>
      <c r="AE110" s="556" t="s">
        <v>3229</v>
      </c>
      <c r="AF110" s="3764" t="s">
        <v>781</v>
      </c>
      <c r="AG110" s="3765"/>
      <c r="AH110" s="553" t="s">
        <v>3229</v>
      </c>
      <c r="AI110" s="553" t="s">
        <v>3229</v>
      </c>
      <c r="AJ110" s="622" t="s">
        <v>3229</v>
      </c>
      <c r="AK110" s="656" t="s">
        <v>3229</v>
      </c>
      <c r="AL110" s="655" t="s">
        <v>3229</v>
      </c>
      <c r="AM110" s="590">
        <v>1</v>
      </c>
      <c r="AN110" s="576">
        <v>0.10430000000000002</v>
      </c>
      <c r="AO110" s="660">
        <v>10.89</v>
      </c>
      <c r="AP110" s="1368" t="s">
        <v>3229</v>
      </c>
      <c r="AQ110" s="675" t="s">
        <v>3229</v>
      </c>
      <c r="AR110" s="558">
        <v>0.1043</v>
      </c>
      <c r="AS110" s="558">
        <f>POWER(1+AR110,1/((I110-F110)/365))-1</f>
        <v>1.9777816681088023E-2</v>
      </c>
      <c r="AT110" s="558"/>
      <c r="AU110" s="559"/>
      <c r="AV110" s="558">
        <v>0.1043</v>
      </c>
      <c r="AW110" s="558">
        <f t="shared" si="18"/>
        <v>1.9777816681088023E-2</v>
      </c>
      <c r="AX110" s="558"/>
      <c r="AY110" s="559"/>
      <c r="AZ110" s="642">
        <f>TRUNC(J110*(1+AV110),2)</f>
        <v>11.04</v>
      </c>
      <c r="BA110" s="644" t="s">
        <v>274</v>
      </c>
      <c r="BB110" s="570" t="s">
        <v>2496</v>
      </c>
      <c r="BC110" s="637" t="s">
        <v>2895</v>
      </c>
      <c r="BD110" s="3709">
        <f>'klikací hodnoty'!F2723</f>
        <v>0.10430000000000002</v>
      </c>
      <c r="BH110" s="3763"/>
      <c r="BI110" s="3763"/>
      <c r="BJ110" s="1639"/>
      <c r="BK110" s="1639"/>
      <c r="BL110" s="1639"/>
      <c r="BM110" s="1639"/>
      <c r="BN110" s="1639"/>
      <c r="BO110" s="1639"/>
      <c r="BP110" s="1639"/>
      <c r="BQ110" s="1639"/>
      <c r="BR110" s="1639"/>
      <c r="BS110" s="509"/>
      <c r="BT110" s="509"/>
      <c r="BU110" s="509"/>
      <c r="BV110" s="509"/>
      <c r="BW110" s="509"/>
      <c r="BX110" s="509"/>
      <c r="BY110" s="509"/>
      <c r="BZ110" s="509"/>
      <c r="CA110" s="509"/>
      <c r="CB110" s="509"/>
      <c r="CC110" s="509"/>
      <c r="CD110" s="509"/>
      <c r="CE110" s="509"/>
      <c r="CF110" s="509"/>
      <c r="CG110" s="509"/>
      <c r="CH110" s="509"/>
      <c r="CI110" s="509"/>
      <c r="CJ110" s="509"/>
      <c r="CK110" s="509"/>
      <c r="CL110" s="509"/>
      <c r="CM110" s="509"/>
      <c r="CN110" s="509"/>
      <c r="CO110" s="509"/>
      <c r="CP110" s="509"/>
      <c r="CQ110" s="509"/>
      <c r="CR110" s="509"/>
      <c r="CS110" s="509"/>
      <c r="CT110" s="509"/>
      <c r="CU110" s="509"/>
      <c r="CV110" s="509"/>
      <c r="CW110" s="509"/>
      <c r="CX110" s="509"/>
      <c r="CY110" s="509"/>
      <c r="CZ110" s="509"/>
      <c r="DA110" s="509"/>
      <c r="DB110" s="509"/>
      <c r="DC110" s="509"/>
      <c r="DD110" s="509"/>
      <c r="DE110" s="509"/>
      <c r="DF110" s="509"/>
      <c r="DG110" s="509"/>
      <c r="DH110" s="509"/>
      <c r="DI110" s="509"/>
      <c r="DJ110" s="509"/>
      <c r="DK110" s="509"/>
      <c r="DL110" s="509"/>
      <c r="DM110" s="509"/>
      <c r="DN110" s="509"/>
      <c r="DO110" s="509"/>
      <c r="DP110" s="509"/>
      <c r="DQ110" s="509"/>
      <c r="DR110" s="509"/>
      <c r="DS110" s="509"/>
      <c r="DT110" s="509"/>
      <c r="DU110" s="509"/>
      <c r="DV110" s="509"/>
      <c r="DW110" s="509"/>
      <c r="DX110" s="509"/>
      <c r="DY110" s="509"/>
      <c r="DZ110" s="509"/>
      <c r="EA110" s="509"/>
      <c r="EB110" s="509"/>
      <c r="EC110" s="509"/>
      <c r="ED110" s="509"/>
      <c r="EE110" s="509"/>
      <c r="EF110" s="509"/>
      <c r="EG110" s="509"/>
      <c r="EH110" s="509"/>
      <c r="EI110" s="509"/>
      <c r="EJ110" s="509"/>
      <c r="EK110" s="509"/>
      <c r="EL110" s="509"/>
      <c r="EM110" s="509"/>
      <c r="EN110" s="509"/>
      <c r="EO110" s="509"/>
      <c r="EP110" s="509"/>
      <c r="EQ110" s="509"/>
      <c r="ER110" s="509"/>
      <c r="ES110" s="509"/>
      <c r="ET110" s="509"/>
      <c r="EU110" s="509"/>
      <c r="EV110" s="509"/>
      <c r="EW110" s="509"/>
      <c r="EX110" s="509"/>
      <c r="EY110" s="509"/>
      <c r="EZ110" s="509"/>
      <c r="FA110" s="509"/>
      <c r="FB110" s="509"/>
      <c r="FC110" s="509"/>
      <c r="FD110" s="509"/>
      <c r="FE110" s="509"/>
      <c r="FF110" s="509"/>
      <c r="FG110" s="509"/>
      <c r="FH110" s="509"/>
      <c r="FI110" s="509"/>
      <c r="FJ110" s="509"/>
      <c r="FK110" s="509"/>
      <c r="FL110" s="509"/>
      <c r="FM110" s="509"/>
      <c r="FN110" s="509"/>
      <c r="FO110" s="509"/>
      <c r="FP110" s="509"/>
      <c r="FQ110" s="509"/>
      <c r="FR110" s="509"/>
      <c r="FS110" s="509"/>
      <c r="FT110" s="509"/>
      <c r="FU110" s="509"/>
      <c r="FV110" s="509"/>
      <c r="FW110" s="509"/>
      <c r="FX110" s="509"/>
      <c r="FY110" s="509"/>
      <c r="FZ110" s="509"/>
      <c r="GA110" s="509"/>
      <c r="GB110" s="509"/>
      <c r="GC110" s="509"/>
      <c r="GD110" s="509"/>
      <c r="GE110" s="509"/>
      <c r="GF110" s="509"/>
      <c r="GG110" s="509"/>
      <c r="GH110" s="509"/>
      <c r="GI110" s="509"/>
      <c r="GJ110" s="509"/>
      <c r="GK110" s="509"/>
      <c r="GL110" s="509"/>
      <c r="GM110" s="509"/>
      <c r="GN110" s="509"/>
      <c r="GO110" s="509"/>
      <c r="GP110" s="509"/>
      <c r="GQ110" s="509"/>
      <c r="GR110" s="509"/>
      <c r="GS110" s="509"/>
      <c r="GT110" s="509"/>
      <c r="GU110" s="509"/>
      <c r="GV110" s="509"/>
      <c r="GW110" s="509"/>
      <c r="GX110" s="509"/>
      <c r="GY110" s="509"/>
      <c r="GZ110" s="509"/>
      <c r="HA110" s="509"/>
      <c r="HB110" s="509"/>
      <c r="HC110" s="509"/>
      <c r="HD110" s="509"/>
      <c r="HE110" s="509"/>
      <c r="HF110" s="509"/>
      <c r="HG110" s="509"/>
      <c r="HH110" s="509"/>
      <c r="HI110" s="509"/>
      <c r="HJ110" s="509"/>
      <c r="HK110" s="509"/>
      <c r="HL110" s="509"/>
      <c r="HM110" s="509"/>
      <c r="HN110" s="509"/>
      <c r="HO110" s="509"/>
      <c r="HP110" s="509"/>
      <c r="HQ110" s="509"/>
      <c r="HR110" s="509"/>
      <c r="HS110" s="509"/>
      <c r="HT110" s="509"/>
      <c r="HU110" s="509"/>
      <c r="HV110" s="509"/>
      <c r="HW110" s="509"/>
      <c r="HX110" s="509"/>
      <c r="HY110" s="509"/>
      <c r="HZ110" s="509"/>
    </row>
    <row r="111" spans="1:234" s="232" customFormat="1" ht="15.9" hidden="1" customHeight="1" x14ac:dyDescent="0.25">
      <c r="A111" s="522" t="s">
        <v>962</v>
      </c>
      <c r="B111" s="523" t="s">
        <v>1131</v>
      </c>
      <c r="C111" s="527" t="s">
        <v>3324</v>
      </c>
      <c r="D111" s="570" t="s">
        <v>2621</v>
      </c>
      <c r="E111" s="569" t="s">
        <v>3228</v>
      </c>
      <c r="F111" s="543">
        <v>39052</v>
      </c>
      <c r="G111" s="544">
        <v>38992</v>
      </c>
      <c r="H111" s="557">
        <v>39045</v>
      </c>
      <c r="I111" s="546">
        <v>40907</v>
      </c>
      <c r="J111" s="547">
        <v>10</v>
      </c>
      <c r="K111" s="553" t="s">
        <v>3229</v>
      </c>
      <c r="L111" s="552" t="s">
        <v>3229</v>
      </c>
      <c r="M111" s="549">
        <v>0.06</v>
      </c>
      <c r="N111" s="606">
        <v>0.62</v>
      </c>
      <c r="O111" s="551" t="s">
        <v>3229</v>
      </c>
      <c r="P111" s="576" t="s">
        <v>3229</v>
      </c>
      <c r="Q111" s="570" t="s">
        <v>3229</v>
      </c>
      <c r="R111" s="570" t="s">
        <v>3229</v>
      </c>
      <c r="S111" s="577"/>
      <c r="T111" s="553" t="s">
        <v>3229</v>
      </c>
      <c r="U111" s="553" t="s">
        <v>3229</v>
      </c>
      <c r="V111" s="553" t="s">
        <v>3229</v>
      </c>
      <c r="W111" s="553" t="s">
        <v>3229</v>
      </c>
      <c r="X111" s="553" t="s">
        <v>3229</v>
      </c>
      <c r="Y111" s="553" t="s">
        <v>3229</v>
      </c>
      <c r="Z111" s="553" t="s">
        <v>3229</v>
      </c>
      <c r="AA111" s="553" t="s">
        <v>3229</v>
      </c>
      <c r="AB111" s="553" t="s">
        <v>3229</v>
      </c>
      <c r="AC111" s="553" t="s">
        <v>3229</v>
      </c>
      <c r="AD111" s="553" t="s">
        <v>3229</v>
      </c>
      <c r="AE111" s="553" t="s">
        <v>3229</v>
      </c>
      <c r="AF111" s="3764" t="s">
        <v>781</v>
      </c>
      <c r="AG111" s="3765"/>
      <c r="AH111" s="553" t="s">
        <v>3229</v>
      </c>
      <c r="AI111" s="553" t="s">
        <v>3229</v>
      </c>
      <c r="AJ111" s="553" t="s">
        <v>3229</v>
      </c>
      <c r="AK111" s="566" t="s">
        <v>3229</v>
      </c>
      <c r="AL111" s="553" t="s">
        <v>3229</v>
      </c>
      <c r="AM111" s="659">
        <v>1</v>
      </c>
      <c r="AN111" s="606">
        <v>0.06</v>
      </c>
      <c r="AO111" s="660">
        <v>10.41</v>
      </c>
      <c r="AP111" s="1368">
        <v>-0.17145691833333335</v>
      </c>
      <c r="AQ111" s="1632">
        <v>-0.32918447752633728</v>
      </c>
      <c r="AR111" s="558" t="s">
        <v>3660</v>
      </c>
      <c r="AS111" s="558"/>
      <c r="AT111" s="650"/>
      <c r="AU111" s="552"/>
      <c r="AV111" s="558">
        <f t="shared" ref="AV111:AV116" si="19">M111</f>
        <v>0.06</v>
      </c>
      <c r="AW111" s="558">
        <f t="shared" si="18"/>
        <v>1.153128935229053E-2</v>
      </c>
      <c r="AX111" s="553"/>
      <c r="AY111" s="552"/>
      <c r="AZ111" s="642">
        <f t="shared" ref="AZ111:AZ119" si="20">J111*(1+AV111)</f>
        <v>10.600000000000001</v>
      </c>
      <c r="BA111" s="644" t="s">
        <v>275</v>
      </c>
      <c r="BB111" s="570"/>
      <c r="BC111" s="637"/>
      <c r="BD111" s="3708"/>
      <c r="BE111" s="3743"/>
      <c r="BF111" s="3743"/>
      <c r="BG111" s="3708"/>
      <c r="BH111" s="3762"/>
      <c r="BI111" s="3762"/>
      <c r="BJ111" s="39"/>
      <c r="BK111" s="39"/>
      <c r="BL111" s="39"/>
      <c r="BM111" s="39"/>
      <c r="BN111" s="39"/>
      <c r="BO111" s="39"/>
      <c r="BP111" s="39"/>
      <c r="BQ111" s="39"/>
      <c r="BR111" s="39"/>
      <c r="BS111" s="507"/>
      <c r="BT111" s="507"/>
      <c r="BU111" s="507"/>
      <c r="BV111" s="507"/>
      <c r="BW111" s="507"/>
      <c r="BX111" s="507"/>
      <c r="BY111" s="507"/>
      <c r="BZ111" s="507"/>
      <c r="CA111" s="507"/>
      <c r="CB111" s="507"/>
      <c r="CC111" s="507"/>
      <c r="CD111" s="507"/>
      <c r="CE111" s="507"/>
      <c r="CF111" s="507"/>
      <c r="CG111" s="507"/>
      <c r="CH111" s="507"/>
      <c r="CI111" s="507"/>
      <c r="CJ111" s="507"/>
      <c r="CK111" s="507"/>
      <c r="CL111" s="507"/>
      <c r="CM111" s="507"/>
      <c r="CN111" s="507"/>
      <c r="CO111" s="507"/>
      <c r="CP111" s="507"/>
      <c r="CQ111" s="507"/>
      <c r="CR111" s="507"/>
      <c r="CS111" s="507"/>
      <c r="CT111" s="507"/>
      <c r="CU111" s="507"/>
      <c r="CV111" s="507"/>
      <c r="CW111" s="507"/>
      <c r="CX111" s="507"/>
      <c r="CY111" s="507"/>
      <c r="CZ111" s="507"/>
      <c r="DA111" s="507"/>
      <c r="DB111" s="507"/>
      <c r="DC111" s="507"/>
      <c r="DD111" s="507"/>
      <c r="DE111" s="507"/>
      <c r="DF111" s="507"/>
      <c r="DG111" s="507"/>
      <c r="DH111" s="507"/>
      <c r="DI111" s="507"/>
      <c r="DJ111" s="507"/>
      <c r="DK111" s="507"/>
      <c r="DL111" s="507"/>
      <c r="DM111" s="507"/>
      <c r="DN111" s="507"/>
      <c r="DO111" s="507"/>
      <c r="DP111" s="507"/>
      <c r="DQ111" s="507"/>
      <c r="DR111" s="507"/>
      <c r="DS111" s="507"/>
      <c r="DT111" s="507"/>
      <c r="DU111" s="507"/>
      <c r="DV111" s="507"/>
      <c r="DW111" s="507"/>
      <c r="DX111" s="507"/>
      <c r="DY111" s="507"/>
      <c r="DZ111" s="507"/>
      <c r="EA111" s="507"/>
      <c r="EB111" s="507"/>
      <c r="EC111" s="507"/>
      <c r="ED111" s="507"/>
      <c r="EE111" s="507"/>
      <c r="EF111" s="507"/>
      <c r="EG111" s="507"/>
      <c r="EH111" s="507"/>
      <c r="EI111" s="507"/>
      <c r="EJ111" s="507"/>
      <c r="EK111" s="507"/>
      <c r="EL111" s="507"/>
      <c r="EM111" s="507"/>
      <c r="EN111" s="507"/>
      <c r="EO111" s="507"/>
      <c r="EP111" s="507"/>
      <c r="EQ111" s="507"/>
      <c r="ER111" s="507"/>
      <c r="ES111" s="507"/>
      <c r="ET111" s="507"/>
      <c r="EU111" s="507"/>
      <c r="EV111" s="507"/>
      <c r="EW111" s="507"/>
      <c r="EX111" s="507"/>
      <c r="EY111" s="507"/>
      <c r="EZ111" s="507"/>
      <c r="FA111" s="507"/>
      <c r="FB111" s="507"/>
      <c r="FC111" s="507"/>
      <c r="FD111" s="507"/>
      <c r="FE111" s="507"/>
      <c r="FF111" s="507"/>
      <c r="FG111" s="507"/>
      <c r="FH111" s="507"/>
      <c r="FI111" s="507"/>
      <c r="FJ111" s="507"/>
      <c r="FK111" s="507"/>
      <c r="FL111" s="507"/>
      <c r="FM111" s="507"/>
      <c r="FN111" s="507"/>
      <c r="FO111" s="507"/>
      <c r="FP111" s="507"/>
      <c r="FQ111" s="507"/>
      <c r="FR111" s="507"/>
      <c r="FS111" s="507"/>
      <c r="FT111" s="507"/>
      <c r="FU111" s="507"/>
      <c r="FV111" s="507"/>
      <c r="FW111" s="507"/>
      <c r="FX111" s="507"/>
      <c r="FY111" s="507"/>
      <c r="FZ111" s="507"/>
      <c r="GA111" s="507"/>
      <c r="GB111" s="507"/>
      <c r="GC111" s="507"/>
      <c r="GD111" s="507"/>
      <c r="GE111" s="507"/>
      <c r="GF111" s="507"/>
      <c r="GG111" s="507"/>
      <c r="GH111" s="507"/>
      <c r="GI111" s="507"/>
      <c r="GJ111" s="507"/>
      <c r="GK111" s="507"/>
      <c r="GL111" s="507"/>
      <c r="GM111" s="507"/>
      <c r="GN111" s="507"/>
      <c r="GO111" s="507"/>
      <c r="GP111" s="507"/>
      <c r="GQ111" s="507"/>
      <c r="GR111" s="507"/>
      <c r="GS111" s="507"/>
      <c r="GT111" s="507"/>
      <c r="GU111" s="507"/>
      <c r="GV111" s="507"/>
      <c r="GW111" s="507"/>
      <c r="GX111" s="507"/>
      <c r="GY111" s="507"/>
      <c r="GZ111" s="507"/>
      <c r="HA111" s="507"/>
      <c r="HB111" s="507"/>
      <c r="HC111" s="507"/>
      <c r="HD111" s="507"/>
      <c r="HE111" s="507"/>
      <c r="HF111" s="507"/>
      <c r="HG111" s="507"/>
      <c r="HH111" s="507"/>
      <c r="HI111" s="507"/>
      <c r="HJ111" s="507"/>
      <c r="HK111" s="507"/>
      <c r="HL111" s="507"/>
      <c r="HM111" s="507"/>
      <c r="HN111" s="507"/>
      <c r="HO111" s="507"/>
      <c r="HP111" s="507"/>
      <c r="HQ111" s="507"/>
      <c r="HR111" s="507"/>
      <c r="HS111" s="507"/>
      <c r="HT111" s="507"/>
      <c r="HU111" s="507"/>
      <c r="HV111" s="507"/>
      <c r="HW111" s="507"/>
      <c r="HX111" s="507"/>
      <c r="HY111" s="507"/>
      <c r="HZ111" s="507"/>
    </row>
    <row r="112" spans="1:234" s="206" customFormat="1" ht="15.9" hidden="1" customHeight="1" x14ac:dyDescent="0.25">
      <c r="A112" s="522" t="s">
        <v>3896</v>
      </c>
      <c r="B112" s="535" t="s">
        <v>3636</v>
      </c>
      <c r="C112" s="527" t="s">
        <v>1537</v>
      </c>
      <c r="D112" s="570" t="s">
        <v>189</v>
      </c>
      <c r="E112" s="569" t="s">
        <v>3228</v>
      </c>
      <c r="F112" s="543">
        <v>39044</v>
      </c>
      <c r="G112" s="586">
        <v>38992</v>
      </c>
      <c r="H112" s="557">
        <v>39037</v>
      </c>
      <c r="I112" s="588">
        <v>40359</v>
      </c>
      <c r="J112" s="579">
        <v>10</v>
      </c>
      <c r="K112" s="553" t="s">
        <v>3229</v>
      </c>
      <c r="L112" s="552" t="s">
        <v>3229</v>
      </c>
      <c r="M112" s="587">
        <v>0</v>
      </c>
      <c r="N112" s="606">
        <v>1.1000000000000001</v>
      </c>
      <c r="O112" s="552" t="s">
        <v>3229</v>
      </c>
      <c r="P112" s="552" t="s">
        <v>3229</v>
      </c>
      <c r="Q112" s="552" t="s">
        <v>3229</v>
      </c>
      <c r="R112" s="552" t="s">
        <v>3229</v>
      </c>
      <c r="S112" s="567"/>
      <c r="T112" s="553" t="s">
        <v>3229</v>
      </c>
      <c r="U112" s="553" t="s">
        <v>3229</v>
      </c>
      <c r="V112" s="553" t="s">
        <v>3229</v>
      </c>
      <c r="W112" s="553" t="s">
        <v>3229</v>
      </c>
      <c r="X112" s="553" t="s">
        <v>3229</v>
      </c>
      <c r="Y112" s="553" t="s">
        <v>3229</v>
      </c>
      <c r="Z112" s="553" t="s">
        <v>3229</v>
      </c>
      <c r="AA112" s="553" t="s">
        <v>3229</v>
      </c>
      <c r="AB112" s="553" t="s">
        <v>3229</v>
      </c>
      <c r="AC112" s="553" t="s">
        <v>3229</v>
      </c>
      <c r="AD112" s="553" t="s">
        <v>3229</v>
      </c>
      <c r="AE112" s="553" t="s">
        <v>3229</v>
      </c>
      <c r="AF112" s="3764" t="s">
        <v>781</v>
      </c>
      <c r="AG112" s="3765"/>
      <c r="AH112" s="553" t="s">
        <v>3229</v>
      </c>
      <c r="AI112" s="553" t="s">
        <v>3229</v>
      </c>
      <c r="AJ112" s="553" t="s">
        <v>3229</v>
      </c>
      <c r="AK112" s="566" t="s">
        <v>3229</v>
      </c>
      <c r="AL112" s="553" t="s">
        <v>3229</v>
      </c>
      <c r="AM112" s="666">
        <v>1</v>
      </c>
      <c r="AN112" s="576">
        <v>0</v>
      </c>
      <c r="AO112" s="660">
        <v>10</v>
      </c>
      <c r="AP112" s="1368">
        <v>-0.19111942857142858</v>
      </c>
      <c r="AQ112" s="675">
        <v>-0.3077768292826627</v>
      </c>
      <c r="AR112" s="632">
        <v>0</v>
      </c>
      <c r="AS112" s="558">
        <v>0</v>
      </c>
      <c r="AT112" s="648" t="s">
        <v>3229</v>
      </c>
      <c r="AU112" s="587" t="s">
        <v>3229</v>
      </c>
      <c r="AV112" s="558">
        <f t="shared" si="19"/>
        <v>0</v>
      </c>
      <c r="AW112" s="558">
        <f t="shared" si="18"/>
        <v>0</v>
      </c>
      <c r="AX112" s="589" t="s">
        <v>3229</v>
      </c>
      <c r="AY112" s="587" t="s">
        <v>3229</v>
      </c>
      <c r="AZ112" s="642">
        <f t="shared" si="20"/>
        <v>10</v>
      </c>
      <c r="BA112" s="644" t="s">
        <v>574</v>
      </c>
      <c r="BB112" s="570"/>
      <c r="BC112" s="637"/>
      <c r="BD112" s="3708"/>
      <c r="BE112" s="3743"/>
      <c r="BF112" s="3743"/>
      <c r="BG112" s="3708"/>
      <c r="BH112" s="3762"/>
      <c r="BI112" s="3762"/>
      <c r="BJ112" s="39"/>
      <c r="BK112" s="39"/>
      <c r="BL112" s="39"/>
      <c r="BM112" s="39"/>
      <c r="BN112" s="39"/>
      <c r="BO112" s="39"/>
      <c r="BP112" s="39"/>
      <c r="BQ112" s="39"/>
      <c r="BR112" s="39"/>
      <c r="BS112" s="507"/>
      <c r="BT112" s="507"/>
      <c r="BU112" s="507"/>
      <c r="BV112" s="507"/>
      <c r="BW112" s="507"/>
      <c r="BX112" s="507"/>
      <c r="BY112" s="507"/>
      <c r="BZ112" s="507"/>
      <c r="CA112" s="507"/>
      <c r="CB112" s="507"/>
      <c r="CC112" s="507"/>
      <c r="CD112" s="507"/>
      <c r="CE112" s="507"/>
      <c r="CF112" s="507"/>
      <c r="CG112" s="507"/>
      <c r="CH112" s="507"/>
      <c r="CI112" s="507"/>
      <c r="CJ112" s="507"/>
      <c r="CK112" s="507"/>
      <c r="CL112" s="507"/>
      <c r="CM112" s="507"/>
      <c r="CN112" s="507"/>
      <c r="CO112" s="507"/>
      <c r="CP112" s="507"/>
      <c r="CQ112" s="507"/>
      <c r="CR112" s="507"/>
      <c r="CS112" s="507"/>
      <c r="CT112" s="507"/>
      <c r="CU112" s="507"/>
      <c r="CV112" s="507"/>
      <c r="CW112" s="507"/>
      <c r="CX112" s="507"/>
      <c r="CY112" s="507"/>
      <c r="CZ112" s="507"/>
      <c r="DA112" s="507"/>
      <c r="DB112" s="507"/>
      <c r="DC112" s="507"/>
      <c r="DD112" s="507"/>
      <c r="DE112" s="507"/>
      <c r="DF112" s="507"/>
      <c r="DG112" s="507"/>
      <c r="DH112" s="507"/>
      <c r="DI112" s="507"/>
      <c r="DJ112" s="507"/>
      <c r="DK112" s="507"/>
      <c r="DL112" s="507"/>
      <c r="DM112" s="507"/>
      <c r="DN112" s="507"/>
      <c r="DO112" s="507"/>
      <c r="DP112" s="507"/>
      <c r="DQ112" s="507"/>
      <c r="DR112" s="507"/>
      <c r="DS112" s="507"/>
      <c r="DT112" s="507"/>
      <c r="DU112" s="507"/>
      <c r="DV112" s="507"/>
      <c r="DW112" s="507"/>
      <c r="DX112" s="507"/>
      <c r="DY112" s="507"/>
      <c r="DZ112" s="507"/>
      <c r="EA112" s="507"/>
      <c r="EB112" s="507"/>
      <c r="EC112" s="507"/>
      <c r="ED112" s="507"/>
      <c r="EE112" s="507"/>
      <c r="EF112" s="507"/>
      <c r="EG112" s="507"/>
      <c r="EH112" s="507"/>
      <c r="EI112" s="507"/>
      <c r="EJ112" s="507"/>
      <c r="EK112" s="507"/>
      <c r="EL112" s="507"/>
      <c r="EM112" s="507"/>
      <c r="EN112" s="507"/>
      <c r="EO112" s="507"/>
      <c r="EP112" s="507"/>
      <c r="EQ112" s="507"/>
      <c r="ER112" s="507"/>
      <c r="ES112" s="507"/>
      <c r="ET112" s="507"/>
      <c r="EU112" s="507"/>
      <c r="EV112" s="507"/>
      <c r="EW112" s="507"/>
      <c r="EX112" s="507"/>
      <c r="EY112" s="507"/>
      <c r="EZ112" s="507"/>
      <c r="FA112" s="507"/>
      <c r="FB112" s="507"/>
      <c r="FC112" s="507"/>
      <c r="FD112" s="507"/>
      <c r="FE112" s="507"/>
      <c r="FF112" s="507"/>
      <c r="FG112" s="507"/>
      <c r="FH112" s="507"/>
      <c r="FI112" s="507"/>
      <c r="FJ112" s="507"/>
      <c r="FK112" s="507"/>
      <c r="FL112" s="507"/>
      <c r="FM112" s="507"/>
      <c r="FN112" s="507"/>
      <c r="FO112" s="507"/>
      <c r="FP112" s="507"/>
      <c r="FQ112" s="507"/>
      <c r="FR112" s="507"/>
      <c r="FS112" s="507"/>
      <c r="FT112" s="507"/>
      <c r="FU112" s="507"/>
      <c r="FV112" s="507"/>
      <c r="FW112" s="507"/>
      <c r="FX112" s="507"/>
      <c r="FY112" s="507"/>
      <c r="FZ112" s="507"/>
      <c r="GA112" s="507"/>
      <c r="GB112" s="507"/>
      <c r="GC112" s="507"/>
      <c r="GD112" s="507"/>
      <c r="GE112" s="507"/>
      <c r="GF112" s="507"/>
      <c r="GG112" s="507"/>
      <c r="GH112" s="507"/>
      <c r="GI112" s="507"/>
      <c r="GJ112" s="507"/>
      <c r="GK112" s="507"/>
      <c r="GL112" s="507"/>
      <c r="GM112" s="507"/>
      <c r="GN112" s="507"/>
      <c r="GO112" s="507"/>
      <c r="GP112" s="507"/>
      <c r="GQ112" s="507"/>
      <c r="GR112" s="507"/>
      <c r="GS112" s="507"/>
      <c r="GT112" s="507"/>
      <c r="GU112" s="507"/>
      <c r="GV112" s="507"/>
      <c r="GW112" s="507"/>
      <c r="GX112" s="507"/>
      <c r="GY112" s="507"/>
      <c r="GZ112" s="507"/>
      <c r="HA112" s="507"/>
      <c r="HB112" s="507"/>
      <c r="HC112" s="507"/>
      <c r="HD112" s="507"/>
      <c r="HE112" s="507"/>
      <c r="HF112" s="507"/>
      <c r="HG112" s="507"/>
      <c r="HH112" s="507"/>
      <c r="HI112" s="507"/>
      <c r="HJ112" s="507"/>
      <c r="HK112" s="507"/>
      <c r="HL112" s="507"/>
      <c r="HM112" s="507"/>
      <c r="HN112" s="507"/>
      <c r="HO112" s="507"/>
      <c r="HP112" s="507"/>
      <c r="HQ112" s="507"/>
      <c r="HR112" s="507"/>
      <c r="HS112" s="507"/>
      <c r="HT112" s="507"/>
      <c r="HU112" s="507"/>
      <c r="HV112" s="507"/>
      <c r="HW112" s="507"/>
      <c r="HX112" s="507"/>
      <c r="HY112" s="507"/>
      <c r="HZ112" s="507"/>
    </row>
    <row r="113" spans="1:234" s="206" customFormat="1" ht="15.9" hidden="1" customHeight="1" x14ac:dyDescent="0.25">
      <c r="A113" s="522" t="s">
        <v>3264</v>
      </c>
      <c r="B113" s="535" t="s">
        <v>3074</v>
      </c>
      <c r="C113" s="527" t="s">
        <v>3341</v>
      </c>
      <c r="D113" s="570" t="s">
        <v>189</v>
      </c>
      <c r="E113" s="569" t="s">
        <v>3228</v>
      </c>
      <c r="F113" s="543">
        <v>39044</v>
      </c>
      <c r="G113" s="586">
        <v>38992</v>
      </c>
      <c r="H113" s="557">
        <v>39037</v>
      </c>
      <c r="I113" s="588">
        <v>41089</v>
      </c>
      <c r="J113" s="579">
        <v>10</v>
      </c>
      <c r="K113" s="553" t="s">
        <v>3229</v>
      </c>
      <c r="L113" s="552" t="s">
        <v>3229</v>
      </c>
      <c r="M113" s="587">
        <v>0</v>
      </c>
      <c r="N113" s="606">
        <v>0.8</v>
      </c>
      <c r="O113" s="552" t="s">
        <v>3229</v>
      </c>
      <c r="P113" s="552" t="s">
        <v>3229</v>
      </c>
      <c r="Q113" s="552" t="s">
        <v>3229</v>
      </c>
      <c r="R113" s="552" t="s">
        <v>3229</v>
      </c>
      <c r="S113" s="567"/>
      <c r="T113" s="553" t="s">
        <v>3229</v>
      </c>
      <c r="U113" s="553" t="s">
        <v>3229</v>
      </c>
      <c r="V113" s="553" t="s">
        <v>3229</v>
      </c>
      <c r="W113" s="553" t="s">
        <v>3229</v>
      </c>
      <c r="X113" s="553" t="s">
        <v>3229</v>
      </c>
      <c r="Y113" s="553" t="s">
        <v>3229</v>
      </c>
      <c r="Z113" s="553" t="s">
        <v>3229</v>
      </c>
      <c r="AA113" s="553" t="s">
        <v>3229</v>
      </c>
      <c r="AB113" s="553" t="s">
        <v>3229</v>
      </c>
      <c r="AC113" s="553" t="s">
        <v>3229</v>
      </c>
      <c r="AD113" s="553" t="s">
        <v>3229</v>
      </c>
      <c r="AE113" s="553" t="s">
        <v>3229</v>
      </c>
      <c r="AF113" s="3764" t="s">
        <v>781</v>
      </c>
      <c r="AG113" s="3765"/>
      <c r="AH113" s="553" t="s">
        <v>3229</v>
      </c>
      <c r="AI113" s="553" t="s">
        <v>3229</v>
      </c>
      <c r="AJ113" s="553" t="s">
        <v>3229</v>
      </c>
      <c r="AK113" s="566" t="s">
        <v>3229</v>
      </c>
      <c r="AL113" s="553" t="s">
        <v>3229</v>
      </c>
      <c r="AM113" s="666">
        <v>1</v>
      </c>
      <c r="AN113" s="576">
        <v>0</v>
      </c>
      <c r="AO113" s="660">
        <v>9.93</v>
      </c>
      <c r="AP113" s="1368">
        <v>-5.4578250000000002E-2</v>
      </c>
      <c r="AQ113" s="675">
        <v>-0.10918541650212521</v>
      </c>
      <c r="AR113" s="632" t="s">
        <v>3660</v>
      </c>
      <c r="AS113" s="558"/>
      <c r="AT113" s="648"/>
      <c r="AU113" s="587"/>
      <c r="AV113" s="558">
        <f t="shared" si="19"/>
        <v>0</v>
      </c>
      <c r="AW113" s="558">
        <f t="shared" si="18"/>
        <v>0</v>
      </c>
      <c r="AX113" s="589"/>
      <c r="AY113" s="587"/>
      <c r="AZ113" s="642">
        <f t="shared" si="20"/>
        <v>10</v>
      </c>
      <c r="BA113" s="644" t="s">
        <v>3190</v>
      </c>
      <c r="BB113" s="570"/>
      <c r="BC113" s="637"/>
      <c r="BD113" s="3708"/>
      <c r="BE113" s="3743"/>
      <c r="BF113" s="3743"/>
      <c r="BG113" s="3708"/>
      <c r="BH113" s="3762"/>
      <c r="BI113" s="3762"/>
      <c r="BJ113" s="39"/>
      <c r="BK113" s="39"/>
      <c r="BL113" s="39"/>
      <c r="BM113" s="39"/>
      <c r="BN113" s="39"/>
      <c r="BO113" s="39"/>
      <c r="BP113" s="39"/>
      <c r="BQ113" s="39"/>
      <c r="BR113" s="39"/>
      <c r="BS113" s="507"/>
      <c r="BT113" s="507"/>
      <c r="BU113" s="507"/>
      <c r="BV113" s="507"/>
      <c r="BW113" s="507"/>
      <c r="BX113" s="507"/>
      <c r="BY113" s="507"/>
      <c r="BZ113" s="507"/>
      <c r="CA113" s="507"/>
      <c r="CB113" s="507"/>
      <c r="CC113" s="507"/>
      <c r="CD113" s="507"/>
      <c r="CE113" s="507"/>
      <c r="CF113" s="507"/>
      <c r="CG113" s="507"/>
      <c r="CH113" s="507"/>
      <c r="CI113" s="507"/>
      <c r="CJ113" s="507"/>
      <c r="CK113" s="507"/>
      <c r="CL113" s="507"/>
      <c r="CM113" s="507"/>
      <c r="CN113" s="507"/>
      <c r="CO113" s="507"/>
      <c r="CP113" s="507"/>
      <c r="CQ113" s="507"/>
      <c r="CR113" s="507"/>
      <c r="CS113" s="507"/>
      <c r="CT113" s="507"/>
      <c r="CU113" s="507"/>
      <c r="CV113" s="507"/>
      <c r="CW113" s="507"/>
      <c r="CX113" s="507"/>
      <c r="CY113" s="507"/>
      <c r="CZ113" s="507"/>
      <c r="DA113" s="507"/>
      <c r="DB113" s="507"/>
      <c r="DC113" s="507"/>
      <c r="DD113" s="507"/>
      <c r="DE113" s="507"/>
      <c r="DF113" s="507"/>
      <c r="DG113" s="507"/>
      <c r="DH113" s="507"/>
      <c r="DI113" s="507"/>
      <c r="DJ113" s="507"/>
      <c r="DK113" s="507"/>
      <c r="DL113" s="507"/>
      <c r="DM113" s="507"/>
      <c r="DN113" s="507"/>
      <c r="DO113" s="507"/>
      <c r="DP113" s="507"/>
      <c r="DQ113" s="507"/>
      <c r="DR113" s="507"/>
      <c r="DS113" s="507"/>
      <c r="DT113" s="507"/>
      <c r="DU113" s="507"/>
      <c r="DV113" s="507"/>
      <c r="DW113" s="507"/>
      <c r="DX113" s="507"/>
      <c r="DY113" s="507"/>
      <c r="DZ113" s="507"/>
      <c r="EA113" s="507"/>
      <c r="EB113" s="507"/>
      <c r="EC113" s="507"/>
      <c r="ED113" s="507"/>
      <c r="EE113" s="507"/>
      <c r="EF113" s="507"/>
      <c r="EG113" s="507"/>
      <c r="EH113" s="507"/>
      <c r="EI113" s="507"/>
      <c r="EJ113" s="507"/>
      <c r="EK113" s="507"/>
      <c r="EL113" s="507"/>
      <c r="EM113" s="507"/>
      <c r="EN113" s="507"/>
      <c r="EO113" s="507"/>
      <c r="EP113" s="507"/>
      <c r="EQ113" s="507"/>
      <c r="ER113" s="507"/>
      <c r="ES113" s="507"/>
      <c r="ET113" s="507"/>
      <c r="EU113" s="507"/>
      <c r="EV113" s="507"/>
      <c r="EW113" s="507"/>
      <c r="EX113" s="507"/>
      <c r="EY113" s="507"/>
      <c r="EZ113" s="507"/>
      <c r="FA113" s="507"/>
      <c r="FB113" s="507"/>
      <c r="FC113" s="507"/>
      <c r="FD113" s="507"/>
      <c r="FE113" s="507"/>
      <c r="FF113" s="507"/>
      <c r="FG113" s="507"/>
      <c r="FH113" s="507"/>
      <c r="FI113" s="507"/>
      <c r="FJ113" s="507"/>
      <c r="FK113" s="507"/>
      <c r="FL113" s="507"/>
      <c r="FM113" s="507"/>
      <c r="FN113" s="507"/>
      <c r="FO113" s="507"/>
      <c r="FP113" s="507"/>
      <c r="FQ113" s="507"/>
      <c r="FR113" s="507"/>
      <c r="FS113" s="507"/>
      <c r="FT113" s="507"/>
      <c r="FU113" s="507"/>
      <c r="FV113" s="507"/>
      <c r="FW113" s="507"/>
      <c r="FX113" s="507"/>
      <c r="FY113" s="507"/>
      <c r="FZ113" s="507"/>
      <c r="GA113" s="507"/>
      <c r="GB113" s="507"/>
      <c r="GC113" s="507"/>
      <c r="GD113" s="507"/>
      <c r="GE113" s="507"/>
      <c r="GF113" s="507"/>
      <c r="GG113" s="507"/>
      <c r="GH113" s="507"/>
      <c r="GI113" s="507"/>
      <c r="GJ113" s="507"/>
      <c r="GK113" s="507"/>
      <c r="GL113" s="507"/>
      <c r="GM113" s="507"/>
      <c r="GN113" s="507"/>
      <c r="GO113" s="507"/>
      <c r="GP113" s="507"/>
      <c r="GQ113" s="507"/>
      <c r="GR113" s="507"/>
      <c r="GS113" s="507"/>
      <c r="GT113" s="507"/>
      <c r="GU113" s="507"/>
      <c r="GV113" s="507"/>
      <c r="GW113" s="507"/>
      <c r="GX113" s="507"/>
      <c r="GY113" s="507"/>
      <c r="GZ113" s="507"/>
      <c r="HA113" s="507"/>
      <c r="HB113" s="507"/>
      <c r="HC113" s="507"/>
      <c r="HD113" s="507"/>
      <c r="HE113" s="507"/>
      <c r="HF113" s="507"/>
      <c r="HG113" s="507"/>
      <c r="HH113" s="507"/>
      <c r="HI113" s="507"/>
      <c r="HJ113" s="507"/>
      <c r="HK113" s="507"/>
      <c r="HL113" s="507"/>
      <c r="HM113" s="507"/>
      <c r="HN113" s="507"/>
      <c r="HO113" s="507"/>
      <c r="HP113" s="507"/>
      <c r="HQ113" s="507"/>
      <c r="HR113" s="507"/>
      <c r="HS113" s="507"/>
      <c r="HT113" s="507"/>
      <c r="HU113" s="507"/>
      <c r="HV113" s="507"/>
      <c r="HW113" s="507"/>
      <c r="HX113" s="507"/>
      <c r="HY113" s="507"/>
      <c r="HZ113" s="507"/>
    </row>
    <row r="114" spans="1:234" s="232" customFormat="1" ht="15.9" hidden="1" customHeight="1" x14ac:dyDescent="0.25">
      <c r="A114" s="522" t="s">
        <v>1944</v>
      </c>
      <c r="B114" s="523" t="s">
        <v>3075</v>
      </c>
      <c r="C114" s="527" t="s">
        <v>3342</v>
      </c>
      <c r="D114" s="570" t="s">
        <v>781</v>
      </c>
      <c r="E114" s="569" t="s">
        <v>3228</v>
      </c>
      <c r="F114" s="543">
        <v>39044</v>
      </c>
      <c r="G114" s="544">
        <v>38992</v>
      </c>
      <c r="H114" s="557">
        <v>39037</v>
      </c>
      <c r="I114" s="546">
        <v>39629</v>
      </c>
      <c r="J114" s="547">
        <v>10</v>
      </c>
      <c r="K114" s="553" t="s">
        <v>3229</v>
      </c>
      <c r="L114" s="552" t="s">
        <v>3229</v>
      </c>
      <c r="M114" s="549">
        <v>0</v>
      </c>
      <c r="N114" s="606" t="s">
        <v>3229</v>
      </c>
      <c r="O114" s="551" t="s">
        <v>3229</v>
      </c>
      <c r="P114" s="576">
        <v>0.55000000000000004</v>
      </c>
      <c r="Q114" s="570" t="s">
        <v>3229</v>
      </c>
      <c r="R114" s="570" t="s">
        <v>3229</v>
      </c>
      <c r="S114" s="577"/>
      <c r="T114" s="553" t="s">
        <v>3229</v>
      </c>
      <c r="U114" s="553" t="s">
        <v>3229</v>
      </c>
      <c r="V114" s="553" t="s">
        <v>3229</v>
      </c>
      <c r="W114" s="553" t="s">
        <v>3229</v>
      </c>
      <c r="X114" s="553" t="s">
        <v>3229</v>
      </c>
      <c r="Y114" s="553" t="s">
        <v>3229</v>
      </c>
      <c r="Z114" s="553" t="s">
        <v>3229</v>
      </c>
      <c r="AA114" s="553" t="s">
        <v>3229</v>
      </c>
      <c r="AB114" s="553" t="s">
        <v>3229</v>
      </c>
      <c r="AC114" s="553" t="s">
        <v>3229</v>
      </c>
      <c r="AD114" s="553" t="s">
        <v>3229</v>
      </c>
      <c r="AE114" s="553" t="s">
        <v>3229</v>
      </c>
      <c r="AF114" s="3764" t="s">
        <v>781</v>
      </c>
      <c r="AG114" s="3765"/>
      <c r="AH114" s="553" t="s">
        <v>3229</v>
      </c>
      <c r="AI114" s="553" t="s">
        <v>3229</v>
      </c>
      <c r="AJ114" s="553" t="s">
        <v>3229</v>
      </c>
      <c r="AK114" s="566" t="s">
        <v>3229</v>
      </c>
      <c r="AL114" s="553" t="s">
        <v>3229</v>
      </c>
      <c r="AM114" s="659">
        <v>1</v>
      </c>
      <c r="AN114" s="606">
        <v>0</v>
      </c>
      <c r="AO114" s="660">
        <v>10</v>
      </c>
      <c r="AP114" s="1368"/>
      <c r="AQ114" s="675" t="s">
        <v>3229</v>
      </c>
      <c r="AR114" s="632">
        <f>AN114</f>
        <v>0</v>
      </c>
      <c r="AS114" s="558">
        <f>POWER(1+AR114,1/((I114-F114)/365))-1</f>
        <v>0</v>
      </c>
      <c r="AT114" s="598" t="s">
        <v>3229</v>
      </c>
      <c r="AU114" s="552" t="s">
        <v>3229</v>
      </c>
      <c r="AV114" s="558">
        <f t="shared" si="19"/>
        <v>0</v>
      </c>
      <c r="AW114" s="558">
        <f t="shared" si="18"/>
        <v>0</v>
      </c>
      <c r="AX114" s="553" t="s">
        <v>3229</v>
      </c>
      <c r="AY114" s="552" t="s">
        <v>3229</v>
      </c>
      <c r="AZ114" s="642">
        <f t="shared" si="20"/>
        <v>10</v>
      </c>
      <c r="BA114" s="644" t="s">
        <v>3112</v>
      </c>
      <c r="BB114" s="570"/>
      <c r="BC114" s="637"/>
      <c r="BD114" s="3708"/>
      <c r="BE114" s="3743"/>
      <c r="BF114" s="3743"/>
      <c r="BG114" s="3708"/>
      <c r="BH114" s="3762"/>
      <c r="BI114" s="3762"/>
      <c r="BJ114" s="39"/>
      <c r="BK114" s="39"/>
      <c r="BL114" s="39"/>
      <c r="BM114" s="39"/>
      <c r="BN114" s="39"/>
      <c r="BO114" s="39"/>
      <c r="BP114" s="39"/>
      <c r="BQ114" s="39"/>
      <c r="BR114" s="39"/>
      <c r="BS114" s="507"/>
      <c r="BT114" s="507"/>
      <c r="BU114" s="507"/>
      <c r="BV114" s="507"/>
      <c r="BW114" s="507"/>
      <c r="BX114" s="507"/>
      <c r="BY114" s="507"/>
      <c r="BZ114" s="507"/>
      <c r="CA114" s="507"/>
      <c r="CB114" s="507"/>
      <c r="CC114" s="507"/>
      <c r="CD114" s="507"/>
      <c r="CE114" s="507"/>
      <c r="CF114" s="507"/>
      <c r="CG114" s="507"/>
      <c r="CH114" s="507"/>
      <c r="CI114" s="507"/>
      <c r="CJ114" s="507"/>
      <c r="CK114" s="507"/>
      <c r="CL114" s="507"/>
      <c r="CM114" s="507"/>
      <c r="CN114" s="507"/>
      <c r="CO114" s="507"/>
      <c r="CP114" s="507"/>
      <c r="CQ114" s="507"/>
      <c r="CR114" s="507"/>
      <c r="CS114" s="507"/>
      <c r="CT114" s="507"/>
      <c r="CU114" s="507"/>
      <c r="CV114" s="507"/>
      <c r="CW114" s="507"/>
      <c r="CX114" s="507"/>
      <c r="CY114" s="507"/>
      <c r="CZ114" s="507"/>
      <c r="DA114" s="507"/>
      <c r="DB114" s="507"/>
      <c r="DC114" s="507"/>
      <c r="DD114" s="507"/>
      <c r="DE114" s="507"/>
      <c r="DF114" s="507"/>
      <c r="DG114" s="507"/>
      <c r="DH114" s="507"/>
      <c r="DI114" s="507"/>
      <c r="DJ114" s="507"/>
      <c r="DK114" s="507"/>
      <c r="DL114" s="507"/>
      <c r="DM114" s="507"/>
      <c r="DN114" s="507"/>
      <c r="DO114" s="507"/>
      <c r="DP114" s="507"/>
      <c r="DQ114" s="507"/>
      <c r="DR114" s="507"/>
      <c r="DS114" s="507"/>
      <c r="DT114" s="507"/>
      <c r="DU114" s="507"/>
      <c r="DV114" s="507"/>
      <c r="DW114" s="507"/>
      <c r="DX114" s="507"/>
      <c r="DY114" s="507"/>
      <c r="DZ114" s="507"/>
      <c r="EA114" s="507"/>
      <c r="EB114" s="507"/>
      <c r="EC114" s="507"/>
      <c r="ED114" s="507"/>
      <c r="EE114" s="507"/>
      <c r="EF114" s="507"/>
      <c r="EG114" s="507"/>
      <c r="EH114" s="507"/>
      <c r="EI114" s="507"/>
      <c r="EJ114" s="507"/>
      <c r="EK114" s="507"/>
      <c r="EL114" s="507"/>
      <c r="EM114" s="507"/>
      <c r="EN114" s="507"/>
      <c r="EO114" s="507"/>
      <c r="EP114" s="507"/>
      <c r="EQ114" s="507"/>
      <c r="ER114" s="507"/>
      <c r="ES114" s="507"/>
      <c r="ET114" s="507"/>
      <c r="EU114" s="507"/>
      <c r="EV114" s="507"/>
      <c r="EW114" s="507"/>
      <c r="EX114" s="507"/>
      <c r="EY114" s="507"/>
      <c r="EZ114" s="507"/>
      <c r="FA114" s="507"/>
      <c r="FB114" s="507"/>
      <c r="FC114" s="507"/>
      <c r="FD114" s="507"/>
      <c r="FE114" s="507"/>
      <c r="FF114" s="507"/>
      <c r="FG114" s="507"/>
      <c r="FH114" s="507"/>
      <c r="FI114" s="507"/>
      <c r="FJ114" s="507"/>
      <c r="FK114" s="507"/>
      <c r="FL114" s="507"/>
      <c r="FM114" s="507"/>
      <c r="FN114" s="507"/>
      <c r="FO114" s="507"/>
      <c r="FP114" s="507"/>
      <c r="FQ114" s="507"/>
      <c r="FR114" s="507"/>
      <c r="FS114" s="507"/>
      <c r="FT114" s="507"/>
      <c r="FU114" s="507"/>
      <c r="FV114" s="507"/>
      <c r="FW114" s="507"/>
      <c r="FX114" s="507"/>
      <c r="FY114" s="507"/>
      <c r="FZ114" s="507"/>
      <c r="GA114" s="507"/>
      <c r="GB114" s="507"/>
      <c r="GC114" s="507"/>
      <c r="GD114" s="507"/>
      <c r="GE114" s="507"/>
      <c r="GF114" s="507"/>
      <c r="GG114" s="507"/>
      <c r="GH114" s="507"/>
      <c r="GI114" s="507"/>
      <c r="GJ114" s="507"/>
      <c r="GK114" s="507"/>
      <c r="GL114" s="507"/>
      <c r="GM114" s="507"/>
      <c r="GN114" s="507"/>
      <c r="GO114" s="507"/>
      <c r="GP114" s="507"/>
      <c r="GQ114" s="507"/>
      <c r="GR114" s="507"/>
      <c r="GS114" s="507"/>
      <c r="GT114" s="507"/>
      <c r="GU114" s="507"/>
      <c r="GV114" s="507"/>
      <c r="GW114" s="507"/>
      <c r="GX114" s="507"/>
      <c r="GY114" s="507"/>
      <c r="GZ114" s="507"/>
      <c r="HA114" s="507"/>
      <c r="HB114" s="507"/>
      <c r="HC114" s="507"/>
      <c r="HD114" s="507"/>
      <c r="HE114" s="507"/>
      <c r="HF114" s="507"/>
      <c r="HG114" s="507"/>
      <c r="HH114" s="507"/>
      <c r="HI114" s="507"/>
      <c r="HJ114" s="507"/>
      <c r="HK114" s="507"/>
      <c r="HL114" s="507"/>
      <c r="HM114" s="507"/>
      <c r="HN114" s="507"/>
      <c r="HO114" s="507"/>
      <c r="HP114" s="507"/>
      <c r="HQ114" s="507"/>
      <c r="HR114" s="507"/>
      <c r="HS114" s="507"/>
      <c r="HT114" s="507"/>
      <c r="HU114" s="507"/>
      <c r="HV114" s="507"/>
      <c r="HW114" s="507"/>
      <c r="HX114" s="507"/>
      <c r="HY114" s="507"/>
      <c r="HZ114" s="507"/>
    </row>
    <row r="115" spans="1:234" s="206" customFormat="1" ht="15.9" hidden="1" customHeight="1" x14ac:dyDescent="0.25">
      <c r="A115" s="522" t="s">
        <v>3970</v>
      </c>
      <c r="B115" s="535" t="s">
        <v>3806</v>
      </c>
      <c r="C115" s="536" t="s">
        <v>1538</v>
      </c>
      <c r="D115" s="570" t="s">
        <v>4383</v>
      </c>
      <c r="E115" s="569" t="s">
        <v>3228</v>
      </c>
      <c r="F115" s="543">
        <v>39052</v>
      </c>
      <c r="G115" s="586">
        <v>39006</v>
      </c>
      <c r="H115" s="557">
        <v>39045</v>
      </c>
      <c r="I115" s="588">
        <v>40542</v>
      </c>
      <c r="J115" s="579">
        <v>10</v>
      </c>
      <c r="K115" s="553" t="s">
        <v>3229</v>
      </c>
      <c r="L115" s="552" t="s">
        <v>3229</v>
      </c>
      <c r="M115" s="587">
        <v>0.04</v>
      </c>
      <c r="N115" s="606">
        <v>1</v>
      </c>
      <c r="O115" s="552" t="s">
        <v>3229</v>
      </c>
      <c r="P115" s="552" t="s">
        <v>3229</v>
      </c>
      <c r="Q115" s="552" t="s">
        <v>3229</v>
      </c>
      <c r="R115" s="552" t="s">
        <v>3229</v>
      </c>
      <c r="S115" s="567"/>
      <c r="T115" s="553" t="s">
        <v>3229</v>
      </c>
      <c r="U115" s="553" t="s">
        <v>3229</v>
      </c>
      <c r="V115" s="553" t="s">
        <v>3229</v>
      </c>
      <c r="W115" s="553" t="s">
        <v>3229</v>
      </c>
      <c r="X115" s="553" t="s">
        <v>3229</v>
      </c>
      <c r="Y115" s="553" t="s">
        <v>3229</v>
      </c>
      <c r="Z115" s="553" t="s">
        <v>3229</v>
      </c>
      <c r="AA115" s="553" t="s">
        <v>3229</v>
      </c>
      <c r="AB115" s="553" t="s">
        <v>3229</v>
      </c>
      <c r="AC115" s="553" t="s">
        <v>3229</v>
      </c>
      <c r="AD115" s="553" t="s">
        <v>3229</v>
      </c>
      <c r="AE115" s="553" t="s">
        <v>3229</v>
      </c>
      <c r="AF115" s="3764" t="s">
        <v>781</v>
      </c>
      <c r="AG115" s="3765"/>
      <c r="AH115" s="553" t="s">
        <v>3229</v>
      </c>
      <c r="AI115" s="553" t="s">
        <v>3229</v>
      </c>
      <c r="AJ115" s="553" t="s">
        <v>3229</v>
      </c>
      <c r="AK115" s="566" t="s">
        <v>3229</v>
      </c>
      <c r="AL115" s="553" t="s">
        <v>3229</v>
      </c>
      <c r="AM115" s="666">
        <v>1</v>
      </c>
      <c r="AN115" s="576">
        <v>0.04</v>
      </c>
      <c r="AO115" s="667">
        <v>10.4</v>
      </c>
      <c r="AP115" s="1368">
        <v>-0.20252206249999996</v>
      </c>
      <c r="AQ115" s="675">
        <v>-0.30376502148650941</v>
      </c>
      <c r="AR115" s="632">
        <v>0.04</v>
      </c>
      <c r="AS115" s="558">
        <f>POWER(1+AR115,1/((I115-F115)/365))-1</f>
        <v>9.6540612733417852E-3</v>
      </c>
      <c r="AT115" s="598" t="s">
        <v>3229</v>
      </c>
      <c r="AU115" s="599" t="s">
        <v>3229</v>
      </c>
      <c r="AV115" s="558">
        <f t="shared" si="19"/>
        <v>0.04</v>
      </c>
      <c r="AW115" s="558">
        <f t="shared" si="18"/>
        <v>9.6540612733417852E-3</v>
      </c>
      <c r="AX115" s="598" t="s">
        <v>3229</v>
      </c>
      <c r="AY115" s="599" t="s">
        <v>3229</v>
      </c>
      <c r="AZ115" s="642">
        <f t="shared" si="20"/>
        <v>10.4</v>
      </c>
      <c r="BA115" s="644" t="s">
        <v>643</v>
      </c>
      <c r="BB115" s="570"/>
      <c r="BC115" s="637"/>
      <c r="BD115" s="3708"/>
      <c r="BE115" s="3743"/>
      <c r="BF115" s="3743"/>
      <c r="BG115" s="3708"/>
      <c r="BH115" s="3762"/>
      <c r="BI115" s="3762"/>
      <c r="BJ115" s="39"/>
      <c r="BK115" s="39"/>
      <c r="BL115" s="39"/>
      <c r="BM115" s="39"/>
      <c r="BN115" s="39"/>
      <c r="BO115" s="39"/>
      <c r="BP115" s="39"/>
      <c r="BQ115" s="39"/>
      <c r="BR115" s="39"/>
      <c r="BS115" s="507"/>
      <c r="BT115" s="507"/>
      <c r="BU115" s="507"/>
      <c r="BV115" s="507"/>
      <c r="BW115" s="507"/>
      <c r="BX115" s="507"/>
      <c r="BY115" s="507"/>
      <c r="BZ115" s="507"/>
      <c r="CA115" s="507"/>
      <c r="CB115" s="507"/>
      <c r="CC115" s="507"/>
      <c r="CD115" s="507"/>
      <c r="CE115" s="507"/>
      <c r="CF115" s="507"/>
      <c r="CG115" s="507"/>
      <c r="CH115" s="507"/>
      <c r="CI115" s="507"/>
      <c r="CJ115" s="507"/>
      <c r="CK115" s="507"/>
      <c r="CL115" s="507"/>
      <c r="CM115" s="507"/>
      <c r="CN115" s="507"/>
      <c r="CO115" s="507"/>
      <c r="CP115" s="507"/>
      <c r="CQ115" s="507"/>
      <c r="CR115" s="507"/>
      <c r="CS115" s="507"/>
      <c r="CT115" s="507"/>
      <c r="CU115" s="507"/>
      <c r="CV115" s="507"/>
      <c r="CW115" s="507"/>
      <c r="CX115" s="507"/>
      <c r="CY115" s="507"/>
      <c r="CZ115" s="507"/>
      <c r="DA115" s="507"/>
      <c r="DB115" s="507"/>
      <c r="DC115" s="507"/>
      <c r="DD115" s="507"/>
      <c r="DE115" s="507"/>
      <c r="DF115" s="507"/>
      <c r="DG115" s="507"/>
      <c r="DH115" s="507"/>
      <c r="DI115" s="507"/>
      <c r="DJ115" s="507"/>
      <c r="DK115" s="507"/>
      <c r="DL115" s="507"/>
      <c r="DM115" s="507"/>
      <c r="DN115" s="507"/>
      <c r="DO115" s="507"/>
      <c r="DP115" s="507"/>
      <c r="DQ115" s="507"/>
      <c r="DR115" s="507"/>
      <c r="DS115" s="507"/>
      <c r="DT115" s="507"/>
      <c r="DU115" s="507"/>
      <c r="DV115" s="507"/>
      <c r="DW115" s="507"/>
      <c r="DX115" s="507"/>
      <c r="DY115" s="507"/>
      <c r="DZ115" s="507"/>
      <c r="EA115" s="507"/>
      <c r="EB115" s="507"/>
      <c r="EC115" s="507"/>
      <c r="ED115" s="507"/>
      <c r="EE115" s="507"/>
      <c r="EF115" s="507"/>
      <c r="EG115" s="507"/>
      <c r="EH115" s="507"/>
      <c r="EI115" s="507"/>
      <c r="EJ115" s="507"/>
      <c r="EK115" s="507"/>
      <c r="EL115" s="507"/>
      <c r="EM115" s="507"/>
      <c r="EN115" s="507"/>
      <c r="EO115" s="507"/>
      <c r="EP115" s="507"/>
      <c r="EQ115" s="507"/>
      <c r="ER115" s="507"/>
      <c r="ES115" s="507"/>
      <c r="ET115" s="507"/>
      <c r="EU115" s="507"/>
      <c r="EV115" s="507"/>
      <c r="EW115" s="507"/>
      <c r="EX115" s="507"/>
      <c r="EY115" s="507"/>
      <c r="EZ115" s="507"/>
      <c r="FA115" s="507"/>
      <c r="FB115" s="507"/>
      <c r="FC115" s="507"/>
      <c r="FD115" s="507"/>
      <c r="FE115" s="507"/>
      <c r="FF115" s="507"/>
      <c r="FG115" s="507"/>
      <c r="FH115" s="507"/>
      <c r="FI115" s="507"/>
      <c r="FJ115" s="507"/>
      <c r="FK115" s="507"/>
      <c r="FL115" s="507"/>
      <c r="FM115" s="507"/>
      <c r="FN115" s="507"/>
      <c r="FO115" s="507"/>
      <c r="FP115" s="507"/>
      <c r="FQ115" s="507"/>
      <c r="FR115" s="507"/>
      <c r="FS115" s="507"/>
      <c r="FT115" s="507"/>
      <c r="FU115" s="507"/>
      <c r="FV115" s="507"/>
      <c r="FW115" s="507"/>
      <c r="FX115" s="507"/>
      <c r="FY115" s="507"/>
      <c r="FZ115" s="507"/>
      <c r="GA115" s="507"/>
      <c r="GB115" s="507"/>
      <c r="GC115" s="507"/>
      <c r="GD115" s="507"/>
      <c r="GE115" s="507"/>
      <c r="GF115" s="507"/>
      <c r="GG115" s="507"/>
      <c r="GH115" s="507"/>
      <c r="GI115" s="507"/>
      <c r="GJ115" s="507"/>
      <c r="GK115" s="507"/>
      <c r="GL115" s="507"/>
      <c r="GM115" s="507"/>
      <c r="GN115" s="507"/>
      <c r="GO115" s="507"/>
      <c r="GP115" s="507"/>
      <c r="GQ115" s="507"/>
      <c r="GR115" s="507"/>
      <c r="GS115" s="507"/>
      <c r="GT115" s="507"/>
      <c r="GU115" s="507"/>
      <c r="GV115" s="507"/>
      <c r="GW115" s="507"/>
      <c r="GX115" s="507"/>
      <c r="GY115" s="507"/>
      <c r="GZ115" s="507"/>
      <c r="HA115" s="507"/>
      <c r="HB115" s="507"/>
      <c r="HC115" s="507"/>
      <c r="HD115" s="507"/>
      <c r="HE115" s="507"/>
      <c r="HF115" s="507"/>
      <c r="HG115" s="507"/>
      <c r="HH115" s="507"/>
      <c r="HI115" s="507"/>
      <c r="HJ115" s="507"/>
      <c r="HK115" s="507"/>
      <c r="HL115" s="507"/>
      <c r="HM115" s="507"/>
      <c r="HN115" s="507"/>
      <c r="HO115" s="507"/>
      <c r="HP115" s="507"/>
      <c r="HQ115" s="507"/>
      <c r="HR115" s="507"/>
      <c r="HS115" s="507"/>
      <c r="HT115" s="507"/>
      <c r="HU115" s="507"/>
      <c r="HV115" s="507"/>
      <c r="HW115" s="507"/>
      <c r="HX115" s="507"/>
      <c r="HY115" s="507"/>
      <c r="HZ115" s="507"/>
    </row>
    <row r="116" spans="1:234" s="232" customFormat="1" ht="15.9" hidden="1" customHeight="1" x14ac:dyDescent="0.25">
      <c r="A116" s="522" t="s">
        <v>3218</v>
      </c>
      <c r="B116" s="523" t="s">
        <v>3076</v>
      </c>
      <c r="C116" s="527" t="s">
        <v>57</v>
      </c>
      <c r="D116" s="551" t="s">
        <v>4384</v>
      </c>
      <c r="E116" s="569" t="s">
        <v>3228</v>
      </c>
      <c r="F116" s="543">
        <v>39058</v>
      </c>
      <c r="G116" s="586">
        <v>39006</v>
      </c>
      <c r="H116" s="557">
        <v>39051</v>
      </c>
      <c r="I116" s="588">
        <v>39812</v>
      </c>
      <c r="J116" s="579">
        <v>10</v>
      </c>
      <c r="K116" s="590" t="s">
        <v>3229</v>
      </c>
      <c r="L116" s="591" t="s">
        <v>3229</v>
      </c>
      <c r="M116" s="587">
        <f>96%-100%</f>
        <v>-4.0000000000000036E-2</v>
      </c>
      <c r="N116" s="606">
        <v>1</v>
      </c>
      <c r="O116" s="570" t="s">
        <v>3229</v>
      </c>
      <c r="P116" s="552" t="s">
        <v>3229</v>
      </c>
      <c r="Q116" s="552" t="s">
        <v>3229</v>
      </c>
      <c r="R116" s="552" t="s">
        <v>3229</v>
      </c>
      <c r="S116" s="567"/>
      <c r="T116" s="3771" t="s">
        <v>58</v>
      </c>
      <c r="U116" s="3771"/>
      <c r="V116" s="3771"/>
      <c r="W116" s="3771"/>
      <c r="X116" s="3771"/>
      <c r="Y116" s="3771"/>
      <c r="Z116" s="3771"/>
      <c r="AA116" s="3771"/>
      <c r="AB116" s="3771"/>
      <c r="AC116" s="3771"/>
      <c r="AD116" s="3771"/>
      <c r="AE116" s="3771"/>
      <c r="AF116" s="3764" t="s">
        <v>781</v>
      </c>
      <c r="AG116" s="3765"/>
      <c r="AH116" s="553" t="s">
        <v>3229</v>
      </c>
      <c r="AI116" s="553" t="s">
        <v>3229</v>
      </c>
      <c r="AJ116" s="553" t="s">
        <v>3229</v>
      </c>
      <c r="AK116" s="566" t="s">
        <v>3229</v>
      </c>
      <c r="AL116" s="553" t="s">
        <v>3229</v>
      </c>
      <c r="AM116" s="590">
        <v>1</v>
      </c>
      <c r="AN116" s="576">
        <v>-0.4300926039709127</v>
      </c>
      <c r="AO116" s="660">
        <v>9.6</v>
      </c>
      <c r="AP116" s="688"/>
      <c r="AQ116" s="675">
        <v>-0.4300926039709127</v>
      </c>
      <c r="AR116" s="632">
        <f>AO116/10-1</f>
        <v>-4.0000000000000036E-2</v>
      </c>
      <c r="AS116" s="558">
        <f>POWER(1+AR116,1/((I116-F116)/365))-1</f>
        <v>-1.9567335485244253E-2</v>
      </c>
      <c r="AT116" s="598" t="s">
        <v>3229</v>
      </c>
      <c r="AU116" s="552" t="s">
        <v>3229</v>
      </c>
      <c r="AV116" s="558">
        <f t="shared" si="19"/>
        <v>-4.0000000000000036E-2</v>
      </c>
      <c r="AW116" s="558">
        <f t="shared" si="18"/>
        <v>-1.9567335485244253E-2</v>
      </c>
      <c r="AX116" s="558"/>
      <c r="AY116" s="559"/>
      <c r="AZ116" s="642">
        <f t="shared" si="20"/>
        <v>9.6</v>
      </c>
      <c r="BA116" s="644" t="s">
        <v>3344</v>
      </c>
      <c r="BB116" s="570"/>
      <c r="BC116" s="637"/>
      <c r="BD116" s="3708"/>
      <c r="BE116" s="3743"/>
      <c r="BF116" s="3743"/>
      <c r="BG116" s="3708"/>
      <c r="BH116" s="3762"/>
      <c r="BI116" s="3762"/>
      <c r="BJ116" s="39"/>
      <c r="BK116" s="39"/>
      <c r="BL116" s="39"/>
      <c r="BM116" s="39"/>
      <c r="BN116" s="39"/>
      <c r="BO116" s="39"/>
      <c r="BP116" s="39"/>
      <c r="BQ116" s="39"/>
      <c r="BR116" s="39"/>
      <c r="BS116" s="507"/>
      <c r="BT116" s="507"/>
      <c r="BU116" s="507"/>
      <c r="BV116" s="507"/>
      <c r="BW116" s="507"/>
      <c r="BX116" s="507"/>
      <c r="BY116" s="507"/>
      <c r="BZ116" s="507"/>
      <c r="CA116" s="507"/>
      <c r="CB116" s="507"/>
      <c r="CC116" s="507"/>
      <c r="CD116" s="507"/>
      <c r="CE116" s="507"/>
      <c r="CF116" s="507"/>
      <c r="CG116" s="507"/>
      <c r="CH116" s="507"/>
      <c r="CI116" s="507"/>
      <c r="CJ116" s="507"/>
      <c r="CK116" s="507"/>
      <c r="CL116" s="507"/>
      <c r="CM116" s="507"/>
      <c r="CN116" s="507"/>
      <c r="CO116" s="507"/>
      <c r="CP116" s="507"/>
      <c r="CQ116" s="507"/>
      <c r="CR116" s="507"/>
      <c r="CS116" s="507"/>
      <c r="CT116" s="507"/>
      <c r="CU116" s="507"/>
      <c r="CV116" s="507"/>
      <c r="CW116" s="507"/>
      <c r="CX116" s="507"/>
      <c r="CY116" s="507"/>
      <c r="CZ116" s="507"/>
      <c r="DA116" s="507"/>
      <c r="DB116" s="507"/>
      <c r="DC116" s="507"/>
      <c r="DD116" s="507"/>
      <c r="DE116" s="507"/>
      <c r="DF116" s="507"/>
      <c r="DG116" s="507"/>
      <c r="DH116" s="507"/>
      <c r="DI116" s="507"/>
      <c r="DJ116" s="507"/>
      <c r="DK116" s="507"/>
      <c r="DL116" s="507"/>
      <c r="DM116" s="507"/>
      <c r="DN116" s="507"/>
      <c r="DO116" s="507"/>
      <c r="DP116" s="507"/>
      <c r="DQ116" s="507"/>
      <c r="DR116" s="507"/>
      <c r="DS116" s="507"/>
      <c r="DT116" s="507"/>
      <c r="DU116" s="507"/>
      <c r="DV116" s="507"/>
      <c r="DW116" s="507"/>
      <c r="DX116" s="507"/>
      <c r="DY116" s="507"/>
      <c r="DZ116" s="507"/>
      <c r="EA116" s="507"/>
      <c r="EB116" s="507"/>
      <c r="EC116" s="507"/>
      <c r="ED116" s="507"/>
      <c r="EE116" s="507"/>
      <c r="EF116" s="507"/>
      <c r="EG116" s="507"/>
      <c r="EH116" s="507"/>
      <c r="EI116" s="507"/>
      <c r="EJ116" s="507"/>
      <c r="EK116" s="507"/>
      <c r="EL116" s="507"/>
      <c r="EM116" s="507"/>
      <c r="EN116" s="507"/>
      <c r="EO116" s="507"/>
      <c r="EP116" s="507"/>
      <c r="EQ116" s="507"/>
      <c r="ER116" s="507"/>
      <c r="ES116" s="507"/>
      <c r="ET116" s="507"/>
      <c r="EU116" s="507"/>
      <c r="EV116" s="507"/>
      <c r="EW116" s="507"/>
      <c r="EX116" s="507"/>
      <c r="EY116" s="507"/>
      <c r="EZ116" s="507"/>
      <c r="FA116" s="507"/>
      <c r="FB116" s="507"/>
      <c r="FC116" s="507"/>
      <c r="FD116" s="507"/>
      <c r="FE116" s="507"/>
      <c r="FF116" s="507"/>
      <c r="FG116" s="507"/>
      <c r="FH116" s="507"/>
      <c r="FI116" s="507"/>
      <c r="FJ116" s="507"/>
      <c r="FK116" s="507"/>
      <c r="FL116" s="507"/>
      <c r="FM116" s="507"/>
      <c r="FN116" s="507"/>
      <c r="FO116" s="507"/>
      <c r="FP116" s="507"/>
      <c r="FQ116" s="507"/>
      <c r="FR116" s="507"/>
      <c r="FS116" s="507"/>
      <c r="FT116" s="507"/>
      <c r="FU116" s="507"/>
      <c r="FV116" s="507"/>
      <c r="FW116" s="507"/>
      <c r="FX116" s="507"/>
      <c r="FY116" s="507"/>
      <c r="FZ116" s="507"/>
      <c r="GA116" s="507"/>
      <c r="GB116" s="507"/>
      <c r="GC116" s="507"/>
      <c r="GD116" s="507"/>
      <c r="GE116" s="507"/>
      <c r="GF116" s="507"/>
      <c r="GG116" s="507"/>
      <c r="GH116" s="507"/>
      <c r="GI116" s="507"/>
      <c r="GJ116" s="507"/>
      <c r="GK116" s="507"/>
      <c r="GL116" s="507"/>
      <c r="GM116" s="507"/>
      <c r="GN116" s="507"/>
      <c r="GO116" s="507"/>
      <c r="GP116" s="507"/>
      <c r="GQ116" s="507"/>
      <c r="GR116" s="507"/>
      <c r="GS116" s="507"/>
      <c r="GT116" s="507"/>
      <c r="GU116" s="507"/>
      <c r="GV116" s="507"/>
      <c r="GW116" s="507"/>
      <c r="GX116" s="507"/>
      <c r="GY116" s="507"/>
      <c r="GZ116" s="507"/>
      <c r="HA116" s="507"/>
      <c r="HB116" s="507"/>
      <c r="HC116" s="507"/>
      <c r="HD116" s="507"/>
      <c r="HE116" s="507"/>
      <c r="HF116" s="507"/>
      <c r="HG116" s="507"/>
      <c r="HH116" s="507"/>
      <c r="HI116" s="507"/>
      <c r="HJ116" s="507"/>
      <c r="HK116" s="507"/>
      <c r="HL116" s="507"/>
      <c r="HM116" s="507"/>
      <c r="HN116" s="507"/>
      <c r="HO116" s="507"/>
      <c r="HP116" s="507"/>
      <c r="HQ116" s="507"/>
      <c r="HR116" s="507"/>
      <c r="HS116" s="507"/>
      <c r="HT116" s="507"/>
      <c r="HU116" s="507"/>
      <c r="HV116" s="507"/>
      <c r="HW116" s="507"/>
      <c r="HX116" s="507"/>
      <c r="HY116" s="507"/>
      <c r="HZ116" s="507"/>
    </row>
    <row r="117" spans="1:234" s="232" customFormat="1" ht="15.9" hidden="1" customHeight="1" x14ac:dyDescent="0.25">
      <c r="A117" s="522" t="s">
        <v>961</v>
      </c>
      <c r="B117" s="523" t="s">
        <v>1132</v>
      </c>
      <c r="C117" s="527" t="s">
        <v>4231</v>
      </c>
      <c r="D117" s="570" t="s">
        <v>4384</v>
      </c>
      <c r="E117" s="569" t="s">
        <v>3228</v>
      </c>
      <c r="F117" s="543">
        <v>39037</v>
      </c>
      <c r="G117" s="544">
        <v>39001</v>
      </c>
      <c r="H117" s="557">
        <v>39031</v>
      </c>
      <c r="I117" s="546">
        <v>41089</v>
      </c>
      <c r="J117" s="547">
        <v>10</v>
      </c>
      <c r="K117" s="553" t="s">
        <v>3229</v>
      </c>
      <c r="L117" s="552" t="s">
        <v>3229</v>
      </c>
      <c r="M117" s="549">
        <v>0</v>
      </c>
      <c r="N117" s="606">
        <v>1</v>
      </c>
      <c r="O117" s="551" t="s">
        <v>3229</v>
      </c>
      <c r="P117" s="576" t="s">
        <v>3229</v>
      </c>
      <c r="Q117" s="570" t="s">
        <v>3229</v>
      </c>
      <c r="R117" s="570" t="s">
        <v>3229</v>
      </c>
      <c r="S117" s="577"/>
      <c r="T117" s="553" t="s">
        <v>3229</v>
      </c>
      <c r="U117" s="553" t="s">
        <v>3229</v>
      </c>
      <c r="V117" s="553" t="s">
        <v>3229</v>
      </c>
      <c r="W117" s="553" t="s">
        <v>3229</v>
      </c>
      <c r="X117" s="553" t="s">
        <v>3229</v>
      </c>
      <c r="Y117" s="553" t="s">
        <v>3229</v>
      </c>
      <c r="Z117" s="553" t="s">
        <v>3229</v>
      </c>
      <c r="AA117" s="553" t="s">
        <v>3229</v>
      </c>
      <c r="AB117" s="553" t="s">
        <v>3229</v>
      </c>
      <c r="AC117" s="553" t="s">
        <v>3229</v>
      </c>
      <c r="AD117" s="553" t="s">
        <v>3229</v>
      </c>
      <c r="AE117" s="553" t="s">
        <v>3229</v>
      </c>
      <c r="AF117" s="3764" t="s">
        <v>781</v>
      </c>
      <c r="AG117" s="3765"/>
      <c r="AH117" s="553" t="s">
        <v>3229</v>
      </c>
      <c r="AI117" s="553" t="s">
        <v>3229</v>
      </c>
      <c r="AJ117" s="553" t="s">
        <v>3229</v>
      </c>
      <c r="AK117" s="566" t="s">
        <v>3229</v>
      </c>
      <c r="AL117" s="553" t="s">
        <v>3229</v>
      </c>
      <c r="AM117" s="659">
        <v>1</v>
      </c>
      <c r="AN117" s="606">
        <v>6.9800000000000001E-2</v>
      </c>
      <c r="AO117" s="660">
        <v>10.68</v>
      </c>
      <c r="AP117" s="1368">
        <v>-0.35961911222846116</v>
      </c>
      <c r="AQ117" s="675">
        <v>-0.37887600732298615</v>
      </c>
      <c r="AR117" s="632" t="s">
        <v>3660</v>
      </c>
      <c r="AS117" s="558"/>
      <c r="AT117" s="598"/>
      <c r="AU117" s="552"/>
      <c r="AV117" s="558">
        <f>'klikací hodnoty'!E2653</f>
        <v>6.9800000000000001E-2</v>
      </c>
      <c r="AW117" s="558">
        <f t="shared" si="18"/>
        <v>1.2073855318934346E-2</v>
      </c>
      <c r="AX117" s="553">
        <f>J117*(1+AV117)/AO117-1</f>
        <v>1.6853932584270925E-3</v>
      </c>
      <c r="AY117" s="552" t="e">
        <f>POWER(1+AX117,1/AG117)-1</f>
        <v>#DIV/0!</v>
      </c>
      <c r="AZ117" s="642">
        <f t="shared" si="20"/>
        <v>10.698</v>
      </c>
      <c r="BA117" s="644" t="s">
        <v>3301</v>
      </c>
      <c r="BB117" s="570"/>
      <c r="BC117" s="637"/>
      <c r="BD117" s="3708"/>
      <c r="BE117" s="3743"/>
      <c r="BF117" s="3743"/>
      <c r="BG117" s="3708"/>
      <c r="BH117" s="3762"/>
      <c r="BI117" s="3762"/>
      <c r="BJ117" s="39"/>
      <c r="BK117" s="39"/>
      <c r="BL117" s="39"/>
      <c r="BM117" s="39"/>
      <c r="BN117" s="39"/>
      <c r="BO117" s="39"/>
      <c r="BP117" s="39"/>
      <c r="BQ117" s="39"/>
      <c r="BR117" s="39"/>
      <c r="BS117" s="507"/>
      <c r="BT117" s="507"/>
      <c r="BU117" s="507"/>
      <c r="BV117" s="507"/>
      <c r="BW117" s="507"/>
      <c r="BX117" s="507"/>
      <c r="BY117" s="507"/>
      <c r="BZ117" s="507"/>
      <c r="CA117" s="507"/>
      <c r="CB117" s="507"/>
      <c r="CC117" s="507"/>
      <c r="CD117" s="507"/>
      <c r="CE117" s="507"/>
      <c r="CF117" s="507"/>
      <c r="CG117" s="507"/>
      <c r="CH117" s="507"/>
      <c r="CI117" s="507"/>
      <c r="CJ117" s="507"/>
      <c r="CK117" s="507"/>
      <c r="CL117" s="507"/>
      <c r="CM117" s="507"/>
      <c r="CN117" s="507"/>
      <c r="CO117" s="507"/>
      <c r="CP117" s="507"/>
      <c r="CQ117" s="507"/>
      <c r="CR117" s="507"/>
      <c r="CS117" s="507"/>
      <c r="CT117" s="507"/>
      <c r="CU117" s="507"/>
      <c r="CV117" s="507"/>
      <c r="CW117" s="507"/>
      <c r="CX117" s="507"/>
      <c r="CY117" s="507"/>
      <c r="CZ117" s="507"/>
      <c r="DA117" s="507"/>
      <c r="DB117" s="507"/>
      <c r="DC117" s="507"/>
      <c r="DD117" s="507"/>
      <c r="DE117" s="507"/>
      <c r="DF117" s="507"/>
      <c r="DG117" s="507"/>
      <c r="DH117" s="507"/>
      <c r="DI117" s="507"/>
      <c r="DJ117" s="507"/>
      <c r="DK117" s="507"/>
      <c r="DL117" s="507"/>
      <c r="DM117" s="507"/>
      <c r="DN117" s="507"/>
      <c r="DO117" s="507"/>
      <c r="DP117" s="507"/>
      <c r="DQ117" s="507"/>
      <c r="DR117" s="507"/>
      <c r="DS117" s="507"/>
      <c r="DT117" s="507"/>
      <c r="DU117" s="507"/>
      <c r="DV117" s="507"/>
      <c r="DW117" s="507"/>
      <c r="DX117" s="507"/>
      <c r="DY117" s="507"/>
      <c r="DZ117" s="507"/>
      <c r="EA117" s="507"/>
      <c r="EB117" s="507"/>
      <c r="EC117" s="507"/>
      <c r="ED117" s="507"/>
      <c r="EE117" s="507"/>
      <c r="EF117" s="507"/>
      <c r="EG117" s="507"/>
      <c r="EH117" s="507"/>
      <c r="EI117" s="507"/>
      <c r="EJ117" s="507"/>
      <c r="EK117" s="507"/>
      <c r="EL117" s="507"/>
      <c r="EM117" s="507"/>
      <c r="EN117" s="507"/>
      <c r="EO117" s="507"/>
      <c r="EP117" s="507"/>
      <c r="EQ117" s="507"/>
      <c r="ER117" s="507"/>
      <c r="ES117" s="507"/>
      <c r="ET117" s="507"/>
      <c r="EU117" s="507"/>
      <c r="EV117" s="507"/>
      <c r="EW117" s="507"/>
      <c r="EX117" s="507"/>
      <c r="EY117" s="507"/>
      <c r="EZ117" s="507"/>
      <c r="FA117" s="507"/>
      <c r="FB117" s="507"/>
      <c r="FC117" s="507"/>
      <c r="FD117" s="507"/>
      <c r="FE117" s="507"/>
      <c r="FF117" s="507"/>
      <c r="FG117" s="507"/>
      <c r="FH117" s="507"/>
      <c r="FI117" s="507"/>
      <c r="FJ117" s="507"/>
      <c r="FK117" s="507"/>
      <c r="FL117" s="507"/>
      <c r="FM117" s="507"/>
      <c r="FN117" s="507"/>
      <c r="FO117" s="507"/>
      <c r="FP117" s="507"/>
      <c r="FQ117" s="507"/>
      <c r="FR117" s="507"/>
      <c r="FS117" s="507"/>
      <c r="FT117" s="507"/>
      <c r="FU117" s="507"/>
      <c r="FV117" s="507"/>
      <c r="FW117" s="507"/>
      <c r="FX117" s="507"/>
      <c r="FY117" s="507"/>
      <c r="FZ117" s="507"/>
      <c r="GA117" s="507"/>
      <c r="GB117" s="507"/>
      <c r="GC117" s="507"/>
      <c r="GD117" s="507"/>
      <c r="GE117" s="507"/>
      <c r="GF117" s="507"/>
      <c r="GG117" s="507"/>
      <c r="GH117" s="507"/>
      <c r="GI117" s="507"/>
      <c r="GJ117" s="507"/>
      <c r="GK117" s="507"/>
      <c r="GL117" s="507"/>
      <c r="GM117" s="507"/>
      <c r="GN117" s="507"/>
      <c r="GO117" s="507"/>
      <c r="GP117" s="507"/>
      <c r="GQ117" s="507"/>
      <c r="GR117" s="507"/>
      <c r="GS117" s="507"/>
      <c r="GT117" s="507"/>
      <c r="GU117" s="507"/>
      <c r="GV117" s="507"/>
      <c r="GW117" s="507"/>
      <c r="GX117" s="507"/>
      <c r="GY117" s="507"/>
      <c r="GZ117" s="507"/>
      <c r="HA117" s="507"/>
      <c r="HB117" s="507"/>
      <c r="HC117" s="507"/>
      <c r="HD117" s="507"/>
      <c r="HE117" s="507"/>
      <c r="HF117" s="507"/>
      <c r="HG117" s="507"/>
      <c r="HH117" s="507"/>
      <c r="HI117" s="507"/>
      <c r="HJ117" s="507"/>
      <c r="HK117" s="507"/>
      <c r="HL117" s="507"/>
      <c r="HM117" s="507"/>
      <c r="HN117" s="507"/>
      <c r="HO117" s="507"/>
      <c r="HP117" s="507"/>
      <c r="HQ117" s="507"/>
      <c r="HR117" s="507"/>
      <c r="HS117" s="507"/>
      <c r="HT117" s="507"/>
      <c r="HU117" s="507"/>
      <c r="HV117" s="507"/>
      <c r="HW117" s="507"/>
      <c r="HX117" s="507"/>
      <c r="HY117" s="507"/>
      <c r="HZ117" s="507"/>
    </row>
    <row r="118" spans="1:234" s="232" customFormat="1" ht="15.9" hidden="1" customHeight="1" x14ac:dyDescent="0.25">
      <c r="A118" s="522" t="s">
        <v>1758</v>
      </c>
      <c r="B118" s="523" t="s">
        <v>3807</v>
      </c>
      <c r="C118" s="527" t="s">
        <v>196</v>
      </c>
      <c r="D118" s="570" t="s">
        <v>189</v>
      </c>
      <c r="E118" s="569" t="s">
        <v>3228</v>
      </c>
      <c r="F118" s="543">
        <v>39080</v>
      </c>
      <c r="G118" s="544">
        <v>39041</v>
      </c>
      <c r="H118" s="557">
        <v>39071</v>
      </c>
      <c r="I118" s="546">
        <v>40389</v>
      </c>
      <c r="J118" s="547">
        <v>10</v>
      </c>
      <c r="K118" s="553" t="s">
        <v>3229</v>
      </c>
      <c r="L118" s="552" t="s">
        <v>3229</v>
      </c>
      <c r="M118" s="549">
        <v>0</v>
      </c>
      <c r="N118" s="606">
        <v>0.68</v>
      </c>
      <c r="O118" s="551">
        <v>0.8</v>
      </c>
      <c r="P118" s="576" t="s">
        <v>3229</v>
      </c>
      <c r="Q118" s="570" t="s">
        <v>3229</v>
      </c>
      <c r="R118" s="570" t="s">
        <v>3229</v>
      </c>
      <c r="S118" s="577"/>
      <c r="T118" s="553" t="s">
        <v>3229</v>
      </c>
      <c r="U118" s="553" t="s">
        <v>3229</v>
      </c>
      <c r="V118" s="553" t="s">
        <v>3229</v>
      </c>
      <c r="W118" s="553" t="s">
        <v>3229</v>
      </c>
      <c r="X118" s="553" t="s">
        <v>3229</v>
      </c>
      <c r="Y118" s="553" t="s">
        <v>3229</v>
      </c>
      <c r="Z118" s="553" t="s">
        <v>3229</v>
      </c>
      <c r="AA118" s="553" t="s">
        <v>3229</v>
      </c>
      <c r="AB118" s="553" t="s">
        <v>3229</v>
      </c>
      <c r="AC118" s="553" t="s">
        <v>3229</v>
      </c>
      <c r="AD118" s="553" t="s">
        <v>3229</v>
      </c>
      <c r="AE118" s="553" t="s">
        <v>3229</v>
      </c>
      <c r="AF118" s="3764" t="s">
        <v>781</v>
      </c>
      <c r="AG118" s="3765"/>
      <c r="AH118" s="553" t="s">
        <v>3229</v>
      </c>
      <c r="AI118" s="553" t="s">
        <v>3229</v>
      </c>
      <c r="AJ118" s="553" t="s">
        <v>3229</v>
      </c>
      <c r="AK118" s="566" t="s">
        <v>3229</v>
      </c>
      <c r="AL118" s="553" t="s">
        <v>3229</v>
      </c>
      <c r="AM118" s="659">
        <v>1</v>
      </c>
      <c r="AN118" s="606">
        <v>0.22969999999999999</v>
      </c>
      <c r="AO118" s="660">
        <v>10</v>
      </c>
      <c r="AP118" s="1368">
        <v>-0.33779999999999999</v>
      </c>
      <c r="AQ118" s="675">
        <v>-0.33779999999999999</v>
      </c>
      <c r="AR118" s="632">
        <v>0</v>
      </c>
      <c r="AS118" s="558">
        <f>POWER(1+AR118,1/((I118-F118)/365))-1</f>
        <v>0</v>
      </c>
      <c r="AT118" s="598" t="s">
        <v>3229</v>
      </c>
      <c r="AU118" s="552" t="s">
        <v>3229</v>
      </c>
      <c r="AV118" s="558">
        <f t="shared" ref="AV118:AV125" si="21">M118</f>
        <v>0</v>
      </c>
      <c r="AW118" s="558">
        <f t="shared" si="18"/>
        <v>0</v>
      </c>
      <c r="AX118" s="553" t="s">
        <v>3229</v>
      </c>
      <c r="AY118" s="552" t="s">
        <v>3229</v>
      </c>
      <c r="AZ118" s="642">
        <f t="shared" si="20"/>
        <v>10</v>
      </c>
      <c r="BA118" s="644" t="s">
        <v>2972</v>
      </c>
      <c r="BB118" s="570"/>
      <c r="BC118" s="637"/>
      <c r="BD118" s="3708"/>
      <c r="BE118" s="3743"/>
      <c r="BF118" s="3743"/>
      <c r="BG118" s="3708"/>
      <c r="BH118" s="3762"/>
      <c r="BI118" s="3762"/>
      <c r="BJ118" s="39"/>
      <c r="BK118" s="39"/>
      <c r="BL118" s="39"/>
      <c r="BM118" s="39"/>
      <c r="BN118" s="39"/>
      <c r="BO118" s="39"/>
      <c r="BP118" s="39"/>
      <c r="BQ118" s="39"/>
      <c r="BR118" s="39"/>
      <c r="BS118" s="507"/>
      <c r="BT118" s="507"/>
      <c r="BU118" s="507"/>
      <c r="BV118" s="507"/>
      <c r="BW118" s="507"/>
      <c r="BX118" s="507"/>
      <c r="BY118" s="507"/>
      <c r="BZ118" s="507"/>
      <c r="CA118" s="507"/>
      <c r="CB118" s="507"/>
      <c r="CC118" s="507"/>
      <c r="CD118" s="507"/>
      <c r="CE118" s="507"/>
      <c r="CF118" s="507"/>
      <c r="CG118" s="507"/>
      <c r="CH118" s="507"/>
      <c r="CI118" s="507"/>
      <c r="CJ118" s="507"/>
      <c r="CK118" s="507"/>
      <c r="CL118" s="507"/>
      <c r="CM118" s="507"/>
      <c r="CN118" s="507"/>
      <c r="CO118" s="507"/>
      <c r="CP118" s="507"/>
      <c r="CQ118" s="507"/>
      <c r="CR118" s="507"/>
      <c r="CS118" s="507"/>
      <c r="CT118" s="507"/>
      <c r="CU118" s="507"/>
      <c r="CV118" s="507"/>
      <c r="CW118" s="507"/>
      <c r="CX118" s="507"/>
      <c r="CY118" s="507"/>
      <c r="CZ118" s="507"/>
      <c r="DA118" s="507"/>
      <c r="DB118" s="507"/>
      <c r="DC118" s="507"/>
      <c r="DD118" s="507"/>
      <c r="DE118" s="507"/>
      <c r="DF118" s="507"/>
      <c r="DG118" s="507"/>
      <c r="DH118" s="507"/>
      <c r="DI118" s="507"/>
      <c r="DJ118" s="507"/>
      <c r="DK118" s="507"/>
      <c r="DL118" s="507"/>
      <c r="DM118" s="507"/>
      <c r="DN118" s="507"/>
      <c r="DO118" s="507"/>
      <c r="DP118" s="507"/>
      <c r="DQ118" s="507"/>
      <c r="DR118" s="507"/>
      <c r="DS118" s="507"/>
      <c r="DT118" s="507"/>
      <c r="DU118" s="507"/>
      <c r="DV118" s="507"/>
      <c r="DW118" s="507"/>
      <c r="DX118" s="507"/>
      <c r="DY118" s="507"/>
      <c r="DZ118" s="507"/>
      <c r="EA118" s="507"/>
      <c r="EB118" s="507"/>
      <c r="EC118" s="507"/>
      <c r="ED118" s="507"/>
      <c r="EE118" s="507"/>
      <c r="EF118" s="507"/>
      <c r="EG118" s="507"/>
      <c r="EH118" s="507"/>
      <c r="EI118" s="507"/>
      <c r="EJ118" s="507"/>
      <c r="EK118" s="507"/>
      <c r="EL118" s="507"/>
      <c r="EM118" s="507"/>
      <c r="EN118" s="507"/>
      <c r="EO118" s="507"/>
      <c r="EP118" s="507"/>
      <c r="EQ118" s="507"/>
      <c r="ER118" s="507"/>
      <c r="ES118" s="507"/>
      <c r="ET118" s="507"/>
      <c r="EU118" s="507"/>
      <c r="EV118" s="507"/>
      <c r="EW118" s="507"/>
      <c r="EX118" s="507"/>
      <c r="EY118" s="507"/>
      <c r="EZ118" s="507"/>
      <c r="FA118" s="507"/>
      <c r="FB118" s="507"/>
      <c r="FC118" s="507"/>
      <c r="FD118" s="507"/>
      <c r="FE118" s="507"/>
      <c r="FF118" s="507"/>
      <c r="FG118" s="507"/>
      <c r="FH118" s="507"/>
      <c r="FI118" s="507"/>
      <c r="FJ118" s="507"/>
      <c r="FK118" s="507"/>
      <c r="FL118" s="507"/>
      <c r="FM118" s="507"/>
      <c r="FN118" s="507"/>
      <c r="FO118" s="507"/>
      <c r="FP118" s="507"/>
      <c r="FQ118" s="507"/>
      <c r="FR118" s="507"/>
      <c r="FS118" s="507"/>
      <c r="FT118" s="507"/>
      <c r="FU118" s="507"/>
      <c r="FV118" s="507"/>
      <c r="FW118" s="507"/>
      <c r="FX118" s="507"/>
      <c r="FY118" s="507"/>
      <c r="FZ118" s="507"/>
      <c r="GA118" s="507"/>
      <c r="GB118" s="507"/>
      <c r="GC118" s="507"/>
      <c r="GD118" s="507"/>
      <c r="GE118" s="507"/>
      <c r="GF118" s="507"/>
      <c r="GG118" s="507"/>
      <c r="GH118" s="507"/>
      <c r="GI118" s="507"/>
      <c r="GJ118" s="507"/>
      <c r="GK118" s="507"/>
      <c r="GL118" s="507"/>
      <c r="GM118" s="507"/>
      <c r="GN118" s="507"/>
      <c r="GO118" s="507"/>
      <c r="GP118" s="507"/>
      <c r="GQ118" s="507"/>
      <c r="GR118" s="507"/>
      <c r="GS118" s="507"/>
      <c r="GT118" s="507"/>
      <c r="GU118" s="507"/>
      <c r="GV118" s="507"/>
      <c r="GW118" s="507"/>
      <c r="GX118" s="507"/>
      <c r="GY118" s="507"/>
      <c r="GZ118" s="507"/>
      <c r="HA118" s="507"/>
      <c r="HB118" s="507"/>
      <c r="HC118" s="507"/>
      <c r="HD118" s="507"/>
      <c r="HE118" s="507"/>
      <c r="HF118" s="507"/>
      <c r="HG118" s="507"/>
      <c r="HH118" s="507"/>
      <c r="HI118" s="507"/>
      <c r="HJ118" s="507"/>
      <c r="HK118" s="507"/>
      <c r="HL118" s="507"/>
      <c r="HM118" s="507"/>
      <c r="HN118" s="507"/>
      <c r="HO118" s="507"/>
      <c r="HP118" s="507"/>
      <c r="HQ118" s="507"/>
      <c r="HR118" s="507"/>
      <c r="HS118" s="507"/>
      <c r="HT118" s="507"/>
      <c r="HU118" s="507"/>
      <c r="HV118" s="507"/>
      <c r="HW118" s="507"/>
      <c r="HX118" s="507"/>
      <c r="HY118" s="507"/>
      <c r="HZ118" s="507"/>
    </row>
    <row r="119" spans="1:234" s="232" customFormat="1" ht="15.9" hidden="1" customHeight="1" x14ac:dyDescent="0.25">
      <c r="A119" s="522" t="s">
        <v>1943</v>
      </c>
      <c r="B119" s="523" t="s">
        <v>1222</v>
      </c>
      <c r="C119" s="527" t="s">
        <v>197</v>
      </c>
      <c r="D119" s="570" t="s">
        <v>189</v>
      </c>
      <c r="E119" s="569" t="s">
        <v>3228</v>
      </c>
      <c r="F119" s="543">
        <v>39080</v>
      </c>
      <c r="G119" s="544">
        <v>39041</v>
      </c>
      <c r="H119" s="557">
        <v>39071</v>
      </c>
      <c r="I119" s="546">
        <v>41121</v>
      </c>
      <c r="J119" s="547">
        <v>10</v>
      </c>
      <c r="K119" s="553" t="s">
        <v>3229</v>
      </c>
      <c r="L119" s="552" t="s">
        <v>3229</v>
      </c>
      <c r="M119" s="549">
        <v>0</v>
      </c>
      <c r="N119" s="606">
        <v>1</v>
      </c>
      <c r="O119" s="551" t="s">
        <v>3229</v>
      </c>
      <c r="P119" s="576" t="s">
        <v>3229</v>
      </c>
      <c r="Q119" s="570" t="s">
        <v>3229</v>
      </c>
      <c r="R119" s="570" t="s">
        <v>3229</v>
      </c>
      <c r="S119" s="577"/>
      <c r="T119" s="553" t="s">
        <v>3229</v>
      </c>
      <c r="U119" s="553" t="s">
        <v>3229</v>
      </c>
      <c r="V119" s="553" t="s">
        <v>3229</v>
      </c>
      <c r="W119" s="553" t="s">
        <v>3229</v>
      </c>
      <c r="X119" s="553" t="s">
        <v>3229</v>
      </c>
      <c r="Y119" s="553" t="s">
        <v>3229</v>
      </c>
      <c r="Z119" s="553" t="s">
        <v>3229</v>
      </c>
      <c r="AA119" s="553" t="s">
        <v>3229</v>
      </c>
      <c r="AB119" s="553" t="s">
        <v>3229</v>
      </c>
      <c r="AC119" s="553" t="s">
        <v>3229</v>
      </c>
      <c r="AD119" s="553" t="s">
        <v>3229</v>
      </c>
      <c r="AE119" s="553" t="s">
        <v>3229</v>
      </c>
      <c r="AF119" s="3764" t="s">
        <v>781</v>
      </c>
      <c r="AG119" s="3765"/>
      <c r="AH119" s="553" t="s">
        <v>3229</v>
      </c>
      <c r="AI119" s="553" t="s">
        <v>3229</v>
      </c>
      <c r="AJ119" s="553" t="s">
        <v>3229</v>
      </c>
      <c r="AK119" s="566" t="s">
        <v>3229</v>
      </c>
      <c r="AL119" s="553" t="s">
        <v>3229</v>
      </c>
      <c r="AM119" s="659">
        <v>1</v>
      </c>
      <c r="AN119" s="606">
        <v>0</v>
      </c>
      <c r="AO119" s="660">
        <v>9.8800000000000008</v>
      </c>
      <c r="AP119" s="1368">
        <v>-0.33127666666666661</v>
      </c>
      <c r="AQ119" s="675">
        <v>-0.32340000000000002</v>
      </c>
      <c r="AR119" s="632"/>
      <c r="AS119" s="558"/>
      <c r="AT119" s="598"/>
      <c r="AU119" s="552"/>
      <c r="AV119" s="558">
        <f t="shared" si="21"/>
        <v>0</v>
      </c>
      <c r="AW119" s="558">
        <f t="shared" si="18"/>
        <v>0</v>
      </c>
      <c r="AX119" s="553"/>
      <c r="AY119" s="552"/>
      <c r="AZ119" s="642">
        <f t="shared" si="20"/>
        <v>10</v>
      </c>
      <c r="BA119" s="644" t="s">
        <v>2973</v>
      </c>
      <c r="BB119" s="570"/>
      <c r="BC119" s="637"/>
      <c r="BD119" s="3708"/>
      <c r="BE119" s="3743"/>
      <c r="BF119" s="3743"/>
      <c r="BG119" s="3708"/>
      <c r="BH119" s="3762"/>
      <c r="BI119" s="3762"/>
      <c r="BJ119" s="39"/>
      <c r="BK119" s="39"/>
      <c r="BL119" s="39"/>
      <c r="BM119" s="39"/>
      <c r="BN119" s="39"/>
      <c r="BO119" s="39"/>
      <c r="BP119" s="39"/>
      <c r="BQ119" s="39"/>
      <c r="BR119" s="39"/>
      <c r="BS119" s="507"/>
      <c r="BT119" s="507"/>
      <c r="BU119" s="507"/>
      <c r="BV119" s="507"/>
      <c r="BW119" s="507"/>
      <c r="BX119" s="507"/>
      <c r="BY119" s="507"/>
      <c r="BZ119" s="507"/>
      <c r="CA119" s="507"/>
      <c r="CB119" s="507"/>
      <c r="CC119" s="507"/>
      <c r="CD119" s="507"/>
      <c r="CE119" s="507"/>
      <c r="CF119" s="507"/>
      <c r="CG119" s="507"/>
      <c r="CH119" s="507"/>
      <c r="CI119" s="507"/>
      <c r="CJ119" s="507"/>
      <c r="CK119" s="507"/>
      <c r="CL119" s="507"/>
      <c r="CM119" s="507"/>
      <c r="CN119" s="507"/>
      <c r="CO119" s="507"/>
      <c r="CP119" s="507"/>
      <c r="CQ119" s="507"/>
      <c r="CR119" s="507"/>
      <c r="CS119" s="507"/>
      <c r="CT119" s="507"/>
      <c r="CU119" s="507"/>
      <c r="CV119" s="507"/>
      <c r="CW119" s="507"/>
      <c r="CX119" s="507"/>
      <c r="CY119" s="507"/>
      <c r="CZ119" s="507"/>
      <c r="DA119" s="507"/>
      <c r="DB119" s="507"/>
      <c r="DC119" s="507"/>
      <c r="DD119" s="507"/>
      <c r="DE119" s="507"/>
      <c r="DF119" s="507"/>
      <c r="DG119" s="507"/>
      <c r="DH119" s="507"/>
      <c r="DI119" s="507"/>
      <c r="DJ119" s="507"/>
      <c r="DK119" s="507"/>
      <c r="DL119" s="507"/>
      <c r="DM119" s="507"/>
      <c r="DN119" s="507"/>
      <c r="DO119" s="507"/>
      <c r="DP119" s="507"/>
      <c r="DQ119" s="507"/>
      <c r="DR119" s="507"/>
      <c r="DS119" s="507"/>
      <c r="DT119" s="507"/>
      <c r="DU119" s="507"/>
      <c r="DV119" s="507"/>
      <c r="DW119" s="507"/>
      <c r="DX119" s="507"/>
      <c r="DY119" s="507"/>
      <c r="DZ119" s="507"/>
      <c r="EA119" s="507"/>
      <c r="EB119" s="507"/>
      <c r="EC119" s="507"/>
      <c r="ED119" s="507"/>
      <c r="EE119" s="507"/>
      <c r="EF119" s="507"/>
      <c r="EG119" s="507"/>
      <c r="EH119" s="507"/>
      <c r="EI119" s="507"/>
      <c r="EJ119" s="507"/>
      <c r="EK119" s="507"/>
      <c r="EL119" s="507"/>
      <c r="EM119" s="507"/>
      <c r="EN119" s="507"/>
      <c r="EO119" s="507"/>
      <c r="EP119" s="507"/>
      <c r="EQ119" s="507"/>
      <c r="ER119" s="507"/>
      <c r="ES119" s="507"/>
      <c r="ET119" s="507"/>
      <c r="EU119" s="507"/>
      <c r="EV119" s="507"/>
      <c r="EW119" s="507"/>
      <c r="EX119" s="507"/>
      <c r="EY119" s="507"/>
      <c r="EZ119" s="507"/>
      <c r="FA119" s="507"/>
      <c r="FB119" s="507"/>
      <c r="FC119" s="507"/>
      <c r="FD119" s="507"/>
      <c r="FE119" s="507"/>
      <c r="FF119" s="507"/>
      <c r="FG119" s="507"/>
      <c r="FH119" s="507"/>
      <c r="FI119" s="507"/>
      <c r="FJ119" s="507"/>
      <c r="FK119" s="507"/>
      <c r="FL119" s="507"/>
      <c r="FM119" s="507"/>
      <c r="FN119" s="507"/>
      <c r="FO119" s="507"/>
      <c r="FP119" s="507"/>
      <c r="FQ119" s="507"/>
      <c r="FR119" s="507"/>
      <c r="FS119" s="507"/>
      <c r="FT119" s="507"/>
      <c r="FU119" s="507"/>
      <c r="FV119" s="507"/>
      <c r="FW119" s="507"/>
      <c r="FX119" s="507"/>
      <c r="FY119" s="507"/>
      <c r="FZ119" s="507"/>
      <c r="GA119" s="507"/>
      <c r="GB119" s="507"/>
      <c r="GC119" s="507"/>
      <c r="GD119" s="507"/>
      <c r="GE119" s="507"/>
      <c r="GF119" s="507"/>
      <c r="GG119" s="507"/>
      <c r="GH119" s="507"/>
      <c r="GI119" s="507"/>
      <c r="GJ119" s="507"/>
      <c r="GK119" s="507"/>
      <c r="GL119" s="507"/>
      <c r="GM119" s="507"/>
      <c r="GN119" s="507"/>
      <c r="GO119" s="507"/>
      <c r="GP119" s="507"/>
      <c r="GQ119" s="507"/>
      <c r="GR119" s="507"/>
      <c r="GS119" s="507"/>
      <c r="GT119" s="507"/>
      <c r="GU119" s="507"/>
      <c r="GV119" s="507"/>
      <c r="GW119" s="507"/>
      <c r="GX119" s="507"/>
      <c r="GY119" s="507"/>
      <c r="GZ119" s="507"/>
      <c r="HA119" s="507"/>
      <c r="HB119" s="507"/>
      <c r="HC119" s="507"/>
      <c r="HD119" s="507"/>
      <c r="HE119" s="507"/>
      <c r="HF119" s="507"/>
      <c r="HG119" s="507"/>
      <c r="HH119" s="507"/>
      <c r="HI119" s="507"/>
      <c r="HJ119" s="507"/>
      <c r="HK119" s="507"/>
      <c r="HL119" s="507"/>
      <c r="HM119" s="507"/>
      <c r="HN119" s="507"/>
      <c r="HO119" s="507"/>
      <c r="HP119" s="507"/>
      <c r="HQ119" s="507"/>
      <c r="HR119" s="507"/>
      <c r="HS119" s="507"/>
      <c r="HT119" s="507"/>
      <c r="HU119" s="507"/>
      <c r="HV119" s="507"/>
      <c r="HW119" s="507"/>
      <c r="HX119" s="507"/>
      <c r="HY119" s="507"/>
      <c r="HZ119" s="507"/>
    </row>
    <row r="120" spans="1:234" s="232" customFormat="1" ht="15.9" hidden="1" customHeight="1" x14ac:dyDescent="0.25">
      <c r="A120" s="522" t="s">
        <v>762</v>
      </c>
      <c r="B120" s="523" t="s">
        <v>1223</v>
      </c>
      <c r="C120" s="527" t="s">
        <v>200</v>
      </c>
      <c r="D120" s="570" t="s">
        <v>1182</v>
      </c>
      <c r="E120" s="569" t="s">
        <v>3228</v>
      </c>
      <c r="F120" s="543">
        <v>39080</v>
      </c>
      <c r="G120" s="544">
        <v>39041</v>
      </c>
      <c r="H120" s="557">
        <v>39071</v>
      </c>
      <c r="I120" s="546">
        <v>40935</v>
      </c>
      <c r="J120" s="547">
        <v>10</v>
      </c>
      <c r="K120" s="553" t="s">
        <v>3229</v>
      </c>
      <c r="L120" s="552" t="s">
        <v>3229</v>
      </c>
      <c r="M120" s="549">
        <v>0.10150000000000001</v>
      </c>
      <c r="N120" s="606" t="s">
        <v>3229</v>
      </c>
      <c r="O120" s="551" t="s">
        <v>3229</v>
      </c>
      <c r="P120" s="576" t="s">
        <v>3229</v>
      </c>
      <c r="Q120" s="570">
        <v>3.9E-2</v>
      </c>
      <c r="R120" s="570">
        <v>1.5</v>
      </c>
      <c r="S120" s="577">
        <v>5</v>
      </c>
      <c r="T120" s="555">
        <v>39417</v>
      </c>
      <c r="U120" s="555">
        <v>39783</v>
      </c>
      <c r="V120" s="555">
        <v>40148</v>
      </c>
      <c r="W120" s="555">
        <v>40513</v>
      </c>
      <c r="X120" s="555">
        <v>40878</v>
      </c>
      <c r="Y120" s="553" t="s">
        <v>3229</v>
      </c>
      <c r="Z120" s="553" t="s">
        <v>3229</v>
      </c>
      <c r="AA120" s="553" t="s">
        <v>3229</v>
      </c>
      <c r="AB120" s="553" t="s">
        <v>3229</v>
      </c>
      <c r="AC120" s="553" t="s">
        <v>3229</v>
      </c>
      <c r="AD120" s="553" t="s">
        <v>3229</v>
      </c>
      <c r="AE120" s="553" t="s">
        <v>3229</v>
      </c>
      <c r="AF120" s="3764" t="s">
        <v>781</v>
      </c>
      <c r="AG120" s="3765"/>
      <c r="AH120" s="553" t="s">
        <v>3229</v>
      </c>
      <c r="AI120" s="553" t="s">
        <v>3229</v>
      </c>
      <c r="AJ120" s="553" t="s">
        <v>3229</v>
      </c>
      <c r="AK120" s="566" t="s">
        <v>3229</v>
      </c>
      <c r="AL120" s="553" t="s">
        <v>3229</v>
      </c>
      <c r="AM120" s="659">
        <v>1</v>
      </c>
      <c r="AN120" s="606" t="s">
        <v>3229</v>
      </c>
      <c r="AO120" s="660">
        <v>10.81</v>
      </c>
      <c r="AP120" s="1368" t="s">
        <v>3229</v>
      </c>
      <c r="AQ120" s="675" t="s">
        <v>3229</v>
      </c>
      <c r="AR120" s="632">
        <f>'klikací hodnoty'!F2755+'klikací hodnoty'!F2753*R120</f>
        <v>0.11874999999999999</v>
      </c>
      <c r="AS120" s="558">
        <f>POWER(1+AR120,1/((I120-F120)/365))-1</f>
        <v>2.2325003213841121E-2</v>
      </c>
      <c r="AT120" s="598"/>
      <c r="AU120" s="552"/>
      <c r="AV120" s="558">
        <f t="shared" si="21"/>
        <v>0.10150000000000001</v>
      </c>
      <c r="AW120" s="558">
        <f t="shared" si="18"/>
        <v>1.9203957594061238E-2</v>
      </c>
      <c r="AX120" s="553"/>
      <c r="AY120" s="552"/>
      <c r="AZ120" s="642">
        <f>TRUNC(J120*(1+AV120),2)</f>
        <v>11.01</v>
      </c>
      <c r="BA120" s="644" t="s">
        <v>274</v>
      </c>
      <c r="BB120" s="570"/>
      <c r="BC120" s="637"/>
      <c r="BD120" s="3709">
        <f>'klikací hodnoty'!F2755</f>
        <v>0.10149999999999999</v>
      </c>
      <c r="BE120" s="3743"/>
      <c r="BF120" s="3743"/>
      <c r="BG120" s="3708"/>
      <c r="BH120" s="3762"/>
      <c r="BI120" s="3762"/>
      <c r="BJ120" s="39"/>
      <c r="BK120" s="39"/>
      <c r="BL120" s="39"/>
      <c r="BM120" s="39"/>
      <c r="BN120" s="39"/>
      <c r="BO120" s="39"/>
      <c r="BP120" s="39"/>
      <c r="BQ120" s="39"/>
      <c r="BR120" s="39"/>
      <c r="BS120" s="507"/>
      <c r="BT120" s="507"/>
      <c r="BU120" s="507"/>
      <c r="BV120" s="507"/>
      <c r="BW120" s="507"/>
      <c r="BX120" s="507"/>
      <c r="BY120" s="507"/>
      <c r="BZ120" s="507"/>
      <c r="CA120" s="507"/>
      <c r="CB120" s="507"/>
      <c r="CC120" s="507"/>
      <c r="CD120" s="507"/>
      <c r="CE120" s="507"/>
      <c r="CF120" s="507"/>
      <c r="CG120" s="507"/>
      <c r="CH120" s="507"/>
      <c r="CI120" s="507"/>
      <c r="CJ120" s="507"/>
      <c r="CK120" s="507"/>
      <c r="CL120" s="507"/>
      <c r="CM120" s="507"/>
      <c r="CN120" s="507"/>
      <c r="CO120" s="507"/>
      <c r="CP120" s="507"/>
      <c r="CQ120" s="507"/>
      <c r="CR120" s="507"/>
      <c r="CS120" s="507"/>
      <c r="CT120" s="507"/>
      <c r="CU120" s="507"/>
      <c r="CV120" s="507"/>
      <c r="CW120" s="507"/>
      <c r="CX120" s="507"/>
      <c r="CY120" s="507"/>
      <c r="CZ120" s="507"/>
      <c r="DA120" s="507"/>
      <c r="DB120" s="507"/>
      <c r="DC120" s="507"/>
      <c r="DD120" s="507"/>
      <c r="DE120" s="507"/>
      <c r="DF120" s="507"/>
      <c r="DG120" s="507"/>
      <c r="DH120" s="507"/>
      <c r="DI120" s="507"/>
      <c r="DJ120" s="507"/>
      <c r="DK120" s="507"/>
      <c r="DL120" s="507"/>
      <c r="DM120" s="507"/>
      <c r="DN120" s="507"/>
      <c r="DO120" s="507"/>
      <c r="DP120" s="507"/>
      <c r="DQ120" s="507"/>
      <c r="DR120" s="507"/>
      <c r="DS120" s="507"/>
      <c r="DT120" s="507"/>
      <c r="DU120" s="507"/>
      <c r="DV120" s="507"/>
      <c r="DW120" s="507"/>
      <c r="DX120" s="507"/>
      <c r="DY120" s="507"/>
      <c r="DZ120" s="507"/>
      <c r="EA120" s="507"/>
      <c r="EB120" s="507"/>
      <c r="EC120" s="507"/>
      <c r="ED120" s="507"/>
      <c r="EE120" s="507"/>
      <c r="EF120" s="507"/>
      <c r="EG120" s="507"/>
      <c r="EH120" s="507"/>
      <c r="EI120" s="507"/>
      <c r="EJ120" s="507"/>
      <c r="EK120" s="507"/>
      <c r="EL120" s="507"/>
      <c r="EM120" s="507"/>
      <c r="EN120" s="507"/>
      <c r="EO120" s="507"/>
      <c r="EP120" s="507"/>
      <c r="EQ120" s="507"/>
      <c r="ER120" s="507"/>
      <c r="ES120" s="507"/>
      <c r="ET120" s="507"/>
      <c r="EU120" s="507"/>
      <c r="EV120" s="507"/>
      <c r="EW120" s="507"/>
      <c r="EX120" s="507"/>
      <c r="EY120" s="507"/>
      <c r="EZ120" s="507"/>
      <c r="FA120" s="507"/>
      <c r="FB120" s="507"/>
      <c r="FC120" s="507"/>
      <c r="FD120" s="507"/>
      <c r="FE120" s="507"/>
      <c r="FF120" s="507"/>
      <c r="FG120" s="507"/>
      <c r="FH120" s="507"/>
      <c r="FI120" s="507"/>
      <c r="FJ120" s="507"/>
      <c r="FK120" s="507"/>
      <c r="FL120" s="507"/>
      <c r="FM120" s="507"/>
      <c r="FN120" s="507"/>
      <c r="FO120" s="507"/>
      <c r="FP120" s="507"/>
      <c r="FQ120" s="507"/>
      <c r="FR120" s="507"/>
      <c r="FS120" s="507"/>
      <c r="FT120" s="507"/>
      <c r="FU120" s="507"/>
      <c r="FV120" s="507"/>
      <c r="FW120" s="507"/>
      <c r="FX120" s="507"/>
      <c r="FY120" s="507"/>
      <c r="FZ120" s="507"/>
      <c r="GA120" s="507"/>
      <c r="GB120" s="507"/>
      <c r="GC120" s="507"/>
      <c r="GD120" s="507"/>
      <c r="GE120" s="507"/>
      <c r="GF120" s="507"/>
      <c r="GG120" s="507"/>
      <c r="GH120" s="507"/>
      <c r="GI120" s="507"/>
      <c r="GJ120" s="507"/>
      <c r="GK120" s="507"/>
      <c r="GL120" s="507"/>
      <c r="GM120" s="507"/>
      <c r="GN120" s="507"/>
      <c r="GO120" s="507"/>
      <c r="GP120" s="507"/>
      <c r="GQ120" s="507"/>
      <c r="GR120" s="507"/>
      <c r="GS120" s="507"/>
      <c r="GT120" s="507"/>
      <c r="GU120" s="507"/>
      <c r="GV120" s="507"/>
      <c r="GW120" s="507"/>
      <c r="GX120" s="507"/>
      <c r="GY120" s="507"/>
      <c r="GZ120" s="507"/>
      <c r="HA120" s="507"/>
      <c r="HB120" s="507"/>
      <c r="HC120" s="507"/>
      <c r="HD120" s="507"/>
      <c r="HE120" s="507"/>
      <c r="HF120" s="507"/>
      <c r="HG120" s="507"/>
      <c r="HH120" s="507"/>
      <c r="HI120" s="507"/>
      <c r="HJ120" s="507"/>
      <c r="HK120" s="507"/>
      <c r="HL120" s="507"/>
      <c r="HM120" s="507"/>
      <c r="HN120" s="507"/>
      <c r="HO120" s="507"/>
      <c r="HP120" s="507"/>
      <c r="HQ120" s="507"/>
      <c r="HR120" s="507"/>
      <c r="HS120" s="507"/>
      <c r="HT120" s="507"/>
      <c r="HU120" s="507"/>
      <c r="HV120" s="507"/>
      <c r="HW120" s="507"/>
      <c r="HX120" s="507"/>
      <c r="HY120" s="507"/>
      <c r="HZ120" s="507"/>
    </row>
    <row r="121" spans="1:234" s="206" customFormat="1" ht="15.9" hidden="1" customHeight="1" x14ac:dyDescent="0.25">
      <c r="A121" s="522" t="s">
        <v>3971</v>
      </c>
      <c r="B121" s="535" t="s">
        <v>1224</v>
      </c>
      <c r="C121" s="529" t="s">
        <v>198</v>
      </c>
      <c r="D121" s="551" t="s">
        <v>4383</v>
      </c>
      <c r="E121" s="569" t="s">
        <v>3228</v>
      </c>
      <c r="F121" s="543">
        <v>39087</v>
      </c>
      <c r="G121" s="586">
        <v>39048</v>
      </c>
      <c r="H121" s="557">
        <v>39080</v>
      </c>
      <c r="I121" s="592">
        <v>40574</v>
      </c>
      <c r="J121" s="579">
        <v>10</v>
      </c>
      <c r="K121" s="553" t="s">
        <v>3229</v>
      </c>
      <c r="L121" s="552" t="s">
        <v>3229</v>
      </c>
      <c r="M121" s="587">
        <v>0.04</v>
      </c>
      <c r="N121" s="606">
        <v>1</v>
      </c>
      <c r="O121" s="551" t="s">
        <v>3229</v>
      </c>
      <c r="P121" s="551" t="s">
        <v>3229</v>
      </c>
      <c r="Q121" s="551" t="s">
        <v>3229</v>
      </c>
      <c r="R121" s="551" t="s">
        <v>3229</v>
      </c>
      <c r="S121" s="567"/>
      <c r="T121" s="553" t="s">
        <v>3229</v>
      </c>
      <c r="U121" s="553" t="s">
        <v>3229</v>
      </c>
      <c r="V121" s="553" t="s">
        <v>3229</v>
      </c>
      <c r="W121" s="553" t="s">
        <v>3229</v>
      </c>
      <c r="X121" s="553" t="s">
        <v>3229</v>
      </c>
      <c r="Y121" s="553" t="s">
        <v>3229</v>
      </c>
      <c r="Z121" s="553" t="s">
        <v>3229</v>
      </c>
      <c r="AA121" s="553" t="s">
        <v>3229</v>
      </c>
      <c r="AB121" s="553" t="s">
        <v>3229</v>
      </c>
      <c r="AC121" s="553" t="s">
        <v>3229</v>
      </c>
      <c r="AD121" s="553" t="s">
        <v>3229</v>
      </c>
      <c r="AE121" s="553" t="s">
        <v>3229</v>
      </c>
      <c r="AF121" s="3764" t="s">
        <v>781</v>
      </c>
      <c r="AG121" s="3765"/>
      <c r="AH121" s="553" t="s">
        <v>3229</v>
      </c>
      <c r="AI121" s="553" t="s">
        <v>3229</v>
      </c>
      <c r="AJ121" s="553" t="s">
        <v>3229</v>
      </c>
      <c r="AK121" s="566" t="s">
        <v>3229</v>
      </c>
      <c r="AL121" s="553" t="s">
        <v>3229</v>
      </c>
      <c r="AM121" s="666">
        <v>1</v>
      </c>
      <c r="AN121" s="576">
        <v>0.04</v>
      </c>
      <c r="AO121" s="662">
        <v>10.4</v>
      </c>
      <c r="AP121" s="1368">
        <v>-0.26161318750000007</v>
      </c>
      <c r="AQ121" s="675">
        <v>-0.30103138848023886</v>
      </c>
      <c r="AR121" s="558">
        <f>AO121/10-1</f>
        <v>4.0000000000000036E-2</v>
      </c>
      <c r="AS121" s="558">
        <f>POWER(1+AR121,1/((I121-F121)/365))-1</f>
        <v>9.6736321001682501E-3</v>
      </c>
      <c r="AT121" s="653"/>
      <c r="AU121" s="654"/>
      <c r="AV121" s="558">
        <f>AO121/10-1</f>
        <v>4.0000000000000036E-2</v>
      </c>
      <c r="AW121" s="558">
        <f t="shared" si="18"/>
        <v>9.6736321001682501E-3</v>
      </c>
      <c r="AX121" s="558"/>
      <c r="AY121" s="559"/>
      <c r="AZ121" s="642">
        <f t="shared" ref="AZ121:AZ146" si="22">J121*(1+AV121)</f>
        <v>10.4</v>
      </c>
      <c r="BA121" s="644" t="s">
        <v>643</v>
      </c>
      <c r="BB121" s="570"/>
      <c r="BC121" s="637"/>
      <c r="BD121" s="3708"/>
      <c r="BE121" s="3743"/>
      <c r="BF121" s="3743"/>
      <c r="BG121" s="3708"/>
      <c r="BH121" s="3762"/>
      <c r="BI121" s="3762"/>
      <c r="BJ121" s="39"/>
      <c r="BK121" s="39"/>
      <c r="BL121" s="39"/>
      <c r="BM121" s="39"/>
      <c r="BN121" s="39"/>
      <c r="BO121" s="39"/>
      <c r="BP121" s="39"/>
      <c r="BQ121" s="39"/>
      <c r="BR121" s="39"/>
      <c r="BS121" s="507"/>
      <c r="BT121" s="507"/>
      <c r="BU121" s="507"/>
      <c r="BV121" s="507"/>
      <c r="BW121" s="507"/>
      <c r="BX121" s="507"/>
      <c r="BY121" s="507"/>
      <c r="BZ121" s="507"/>
      <c r="CA121" s="507"/>
      <c r="CB121" s="507"/>
      <c r="CC121" s="507"/>
      <c r="CD121" s="507"/>
      <c r="CE121" s="507"/>
      <c r="CF121" s="507"/>
      <c r="CG121" s="507"/>
      <c r="CH121" s="507"/>
      <c r="CI121" s="507"/>
      <c r="CJ121" s="507"/>
      <c r="CK121" s="507"/>
      <c r="CL121" s="507"/>
      <c r="CM121" s="507"/>
      <c r="CN121" s="507"/>
      <c r="CO121" s="507"/>
      <c r="CP121" s="507"/>
      <c r="CQ121" s="507"/>
      <c r="CR121" s="507"/>
      <c r="CS121" s="507"/>
      <c r="CT121" s="507"/>
      <c r="CU121" s="507"/>
      <c r="CV121" s="507"/>
      <c r="CW121" s="507"/>
      <c r="CX121" s="507"/>
      <c r="CY121" s="507"/>
      <c r="CZ121" s="507"/>
      <c r="DA121" s="507"/>
      <c r="DB121" s="507"/>
      <c r="DC121" s="507"/>
      <c r="DD121" s="507"/>
      <c r="DE121" s="507"/>
      <c r="DF121" s="507"/>
      <c r="DG121" s="507"/>
      <c r="DH121" s="507"/>
      <c r="DI121" s="507"/>
      <c r="DJ121" s="507"/>
      <c r="DK121" s="507"/>
      <c r="DL121" s="507"/>
      <c r="DM121" s="507"/>
      <c r="DN121" s="507"/>
      <c r="DO121" s="507"/>
      <c r="DP121" s="507"/>
      <c r="DQ121" s="507"/>
      <c r="DR121" s="507"/>
      <c r="DS121" s="507"/>
      <c r="DT121" s="507"/>
      <c r="DU121" s="507"/>
      <c r="DV121" s="507"/>
      <c r="DW121" s="507"/>
      <c r="DX121" s="507"/>
      <c r="DY121" s="507"/>
      <c r="DZ121" s="507"/>
      <c r="EA121" s="507"/>
      <c r="EB121" s="507"/>
      <c r="EC121" s="507"/>
      <c r="ED121" s="507"/>
      <c r="EE121" s="507"/>
      <c r="EF121" s="507"/>
      <c r="EG121" s="507"/>
      <c r="EH121" s="507"/>
      <c r="EI121" s="507"/>
      <c r="EJ121" s="507"/>
      <c r="EK121" s="507"/>
      <c r="EL121" s="507"/>
      <c r="EM121" s="507"/>
      <c r="EN121" s="507"/>
      <c r="EO121" s="507"/>
      <c r="EP121" s="507"/>
      <c r="EQ121" s="507"/>
      <c r="ER121" s="507"/>
      <c r="ES121" s="507"/>
      <c r="ET121" s="507"/>
      <c r="EU121" s="507"/>
      <c r="EV121" s="507"/>
      <c r="EW121" s="507"/>
      <c r="EX121" s="507"/>
      <c r="EY121" s="507"/>
      <c r="EZ121" s="507"/>
      <c r="FA121" s="507"/>
      <c r="FB121" s="507"/>
      <c r="FC121" s="507"/>
      <c r="FD121" s="507"/>
      <c r="FE121" s="507"/>
      <c r="FF121" s="507"/>
      <c r="FG121" s="507"/>
      <c r="FH121" s="507"/>
      <c r="FI121" s="507"/>
      <c r="FJ121" s="507"/>
      <c r="FK121" s="507"/>
      <c r="FL121" s="507"/>
      <c r="FM121" s="507"/>
      <c r="FN121" s="507"/>
      <c r="FO121" s="507"/>
      <c r="FP121" s="507"/>
      <c r="FQ121" s="507"/>
      <c r="FR121" s="507"/>
      <c r="FS121" s="507"/>
      <c r="FT121" s="507"/>
      <c r="FU121" s="507"/>
      <c r="FV121" s="507"/>
      <c r="FW121" s="507"/>
      <c r="FX121" s="507"/>
      <c r="FY121" s="507"/>
      <c r="FZ121" s="507"/>
      <c r="GA121" s="507"/>
      <c r="GB121" s="507"/>
      <c r="GC121" s="507"/>
      <c r="GD121" s="507"/>
      <c r="GE121" s="507"/>
      <c r="GF121" s="507"/>
      <c r="GG121" s="507"/>
      <c r="GH121" s="507"/>
      <c r="GI121" s="507"/>
      <c r="GJ121" s="507"/>
      <c r="GK121" s="507"/>
      <c r="GL121" s="507"/>
      <c r="GM121" s="507"/>
      <c r="GN121" s="507"/>
      <c r="GO121" s="507"/>
      <c r="GP121" s="507"/>
      <c r="GQ121" s="507"/>
      <c r="GR121" s="507"/>
      <c r="GS121" s="507"/>
      <c r="GT121" s="507"/>
      <c r="GU121" s="507"/>
      <c r="GV121" s="507"/>
      <c r="GW121" s="507"/>
      <c r="GX121" s="507"/>
      <c r="GY121" s="507"/>
      <c r="GZ121" s="507"/>
      <c r="HA121" s="507"/>
      <c r="HB121" s="507"/>
      <c r="HC121" s="507"/>
      <c r="HD121" s="507"/>
      <c r="HE121" s="507"/>
      <c r="HF121" s="507"/>
      <c r="HG121" s="507"/>
      <c r="HH121" s="507"/>
      <c r="HI121" s="507"/>
      <c r="HJ121" s="507"/>
      <c r="HK121" s="507"/>
      <c r="HL121" s="507"/>
      <c r="HM121" s="507"/>
      <c r="HN121" s="507"/>
      <c r="HO121" s="507"/>
      <c r="HP121" s="507"/>
      <c r="HQ121" s="507"/>
      <c r="HR121" s="507"/>
      <c r="HS121" s="507"/>
      <c r="HT121" s="507"/>
      <c r="HU121" s="507"/>
      <c r="HV121" s="507"/>
      <c r="HW121" s="507"/>
      <c r="HX121" s="507"/>
      <c r="HY121" s="507"/>
      <c r="HZ121" s="507"/>
    </row>
    <row r="122" spans="1:234" s="206" customFormat="1" ht="15.9" hidden="1" customHeight="1" x14ac:dyDescent="0.25">
      <c r="A122" s="522" t="s">
        <v>1972</v>
      </c>
      <c r="B122" s="535" t="s">
        <v>1133</v>
      </c>
      <c r="C122" s="537" t="s">
        <v>1938</v>
      </c>
      <c r="D122" s="552" t="s">
        <v>4384</v>
      </c>
      <c r="E122" s="570" t="s">
        <v>3228</v>
      </c>
      <c r="F122" s="543">
        <v>39108</v>
      </c>
      <c r="G122" s="586">
        <v>39048</v>
      </c>
      <c r="H122" s="557">
        <v>39101</v>
      </c>
      <c r="I122" s="546">
        <v>40968</v>
      </c>
      <c r="J122" s="579">
        <v>10</v>
      </c>
      <c r="K122" s="553">
        <v>0</v>
      </c>
      <c r="L122" s="553">
        <v>7.0000000000000007E-2</v>
      </c>
      <c r="M122" s="576">
        <v>0</v>
      </c>
      <c r="N122" s="606" t="s">
        <v>3229</v>
      </c>
      <c r="O122" s="593" t="s">
        <v>3229</v>
      </c>
      <c r="P122" s="570" t="s">
        <v>3229</v>
      </c>
      <c r="Q122" s="570" t="s">
        <v>3229</v>
      </c>
      <c r="R122" s="570" t="s">
        <v>3229</v>
      </c>
      <c r="S122" s="577">
        <v>5</v>
      </c>
      <c r="T122" s="555">
        <v>39479</v>
      </c>
      <c r="U122" s="555">
        <v>39845</v>
      </c>
      <c r="V122" s="555">
        <v>40210</v>
      </c>
      <c r="W122" s="555">
        <v>40575</v>
      </c>
      <c r="X122" s="555">
        <v>40940</v>
      </c>
      <c r="Y122" s="553" t="s">
        <v>3229</v>
      </c>
      <c r="Z122" s="553" t="s">
        <v>3229</v>
      </c>
      <c r="AA122" s="553" t="s">
        <v>3229</v>
      </c>
      <c r="AB122" s="553" t="s">
        <v>3229</v>
      </c>
      <c r="AC122" s="553" t="s">
        <v>3229</v>
      </c>
      <c r="AD122" s="553" t="s">
        <v>3229</v>
      </c>
      <c r="AE122" s="553" t="s">
        <v>3229</v>
      </c>
      <c r="AF122" s="3764" t="s">
        <v>781</v>
      </c>
      <c r="AG122" s="3765"/>
      <c r="AH122" s="553" t="s">
        <v>3229</v>
      </c>
      <c r="AI122" s="553" t="s">
        <v>3229</v>
      </c>
      <c r="AJ122" s="553" t="s">
        <v>3229</v>
      </c>
      <c r="AK122" s="566" t="s">
        <v>3229</v>
      </c>
      <c r="AL122" s="553" t="s">
        <v>3229</v>
      </c>
      <c r="AM122" s="590">
        <v>1</v>
      </c>
      <c r="AN122" s="576">
        <v>0</v>
      </c>
      <c r="AO122" s="668">
        <v>9.9600000000000009</v>
      </c>
      <c r="AP122" s="1368">
        <v>-0.31190000000000001</v>
      </c>
      <c r="AQ122" s="675">
        <v>-0.31190000000000001</v>
      </c>
      <c r="AR122" s="558" t="s">
        <v>3660</v>
      </c>
      <c r="AS122" s="558"/>
      <c r="AT122" s="653"/>
      <c r="AU122" s="654"/>
      <c r="AV122" s="558">
        <f t="shared" si="21"/>
        <v>0</v>
      </c>
      <c r="AW122" s="558">
        <f t="shared" si="18"/>
        <v>0</v>
      </c>
      <c r="AX122" s="558"/>
      <c r="AY122" s="559"/>
      <c r="AZ122" s="642">
        <f t="shared" si="22"/>
        <v>10</v>
      </c>
      <c r="BA122" s="644" t="s">
        <v>3852</v>
      </c>
      <c r="BB122" s="570"/>
      <c r="BC122" s="581"/>
      <c r="BD122" s="3708"/>
      <c r="BE122" s="3743"/>
      <c r="BF122" s="3743"/>
      <c r="BG122" s="3708"/>
      <c r="BH122" s="3762"/>
      <c r="BI122" s="3762"/>
      <c r="BJ122" s="39"/>
      <c r="BK122" s="39"/>
      <c r="BL122" s="39"/>
      <c r="BM122" s="39"/>
      <c r="BN122" s="39"/>
      <c r="BO122" s="39"/>
      <c r="BP122" s="39"/>
      <c r="BQ122" s="39"/>
      <c r="BR122" s="39"/>
      <c r="BS122" s="507"/>
      <c r="BT122" s="507"/>
      <c r="BU122" s="507"/>
      <c r="BV122" s="507"/>
      <c r="BW122" s="507"/>
      <c r="BX122" s="507"/>
      <c r="BY122" s="507"/>
      <c r="BZ122" s="507"/>
      <c r="CA122" s="507"/>
      <c r="CB122" s="507"/>
      <c r="CC122" s="507"/>
      <c r="CD122" s="507"/>
      <c r="CE122" s="507"/>
      <c r="CF122" s="507"/>
      <c r="CG122" s="507"/>
      <c r="CH122" s="507"/>
      <c r="CI122" s="507"/>
      <c r="CJ122" s="507"/>
      <c r="CK122" s="507"/>
      <c r="CL122" s="507"/>
      <c r="CM122" s="507"/>
      <c r="CN122" s="507"/>
      <c r="CO122" s="507"/>
      <c r="CP122" s="507"/>
      <c r="CQ122" s="507"/>
      <c r="CR122" s="507"/>
      <c r="CS122" s="507"/>
      <c r="CT122" s="507"/>
      <c r="CU122" s="507"/>
      <c r="CV122" s="507"/>
      <c r="CW122" s="507"/>
      <c r="CX122" s="507"/>
      <c r="CY122" s="507"/>
      <c r="CZ122" s="507"/>
      <c r="DA122" s="507"/>
      <c r="DB122" s="507"/>
      <c r="DC122" s="507"/>
      <c r="DD122" s="507"/>
      <c r="DE122" s="507"/>
      <c r="DF122" s="507"/>
      <c r="DG122" s="507"/>
      <c r="DH122" s="507"/>
      <c r="DI122" s="507"/>
      <c r="DJ122" s="507"/>
      <c r="DK122" s="507"/>
      <c r="DL122" s="507"/>
      <c r="DM122" s="507"/>
      <c r="DN122" s="507"/>
      <c r="DO122" s="507"/>
      <c r="DP122" s="507"/>
      <c r="DQ122" s="507"/>
      <c r="DR122" s="507"/>
      <c r="DS122" s="507"/>
      <c r="DT122" s="507"/>
      <c r="DU122" s="507"/>
      <c r="DV122" s="507"/>
      <c r="DW122" s="507"/>
      <c r="DX122" s="507"/>
      <c r="DY122" s="507"/>
      <c r="DZ122" s="507"/>
      <c r="EA122" s="507"/>
      <c r="EB122" s="507"/>
      <c r="EC122" s="507"/>
      <c r="ED122" s="507"/>
      <c r="EE122" s="507"/>
      <c r="EF122" s="507"/>
      <c r="EG122" s="507"/>
      <c r="EH122" s="507"/>
      <c r="EI122" s="507"/>
      <c r="EJ122" s="507"/>
      <c r="EK122" s="507"/>
      <c r="EL122" s="507"/>
      <c r="EM122" s="507"/>
      <c r="EN122" s="507"/>
      <c r="EO122" s="507"/>
      <c r="EP122" s="507"/>
      <c r="EQ122" s="507"/>
      <c r="ER122" s="507"/>
      <c r="ES122" s="507"/>
      <c r="ET122" s="507"/>
      <c r="EU122" s="507"/>
      <c r="EV122" s="507"/>
      <c r="EW122" s="507"/>
      <c r="EX122" s="507"/>
      <c r="EY122" s="507"/>
      <c r="EZ122" s="507"/>
      <c r="FA122" s="507"/>
      <c r="FB122" s="507"/>
      <c r="FC122" s="507"/>
      <c r="FD122" s="507"/>
      <c r="FE122" s="507"/>
      <c r="FF122" s="507"/>
      <c r="FG122" s="507"/>
      <c r="FH122" s="507"/>
      <c r="FI122" s="507"/>
      <c r="FJ122" s="507"/>
      <c r="FK122" s="507"/>
      <c r="FL122" s="507"/>
      <c r="FM122" s="507"/>
      <c r="FN122" s="507"/>
      <c r="FO122" s="507"/>
      <c r="FP122" s="507"/>
      <c r="FQ122" s="507"/>
      <c r="FR122" s="507"/>
      <c r="FS122" s="507"/>
      <c r="FT122" s="507"/>
      <c r="FU122" s="507"/>
      <c r="FV122" s="507"/>
      <c r="FW122" s="507"/>
      <c r="FX122" s="507"/>
      <c r="FY122" s="507"/>
      <c r="FZ122" s="507"/>
      <c r="GA122" s="507"/>
      <c r="GB122" s="507"/>
      <c r="GC122" s="507"/>
      <c r="GD122" s="507"/>
      <c r="GE122" s="507"/>
      <c r="GF122" s="507"/>
      <c r="GG122" s="507"/>
      <c r="GH122" s="507"/>
      <c r="GI122" s="507"/>
      <c r="GJ122" s="507"/>
      <c r="GK122" s="507"/>
      <c r="GL122" s="507"/>
      <c r="GM122" s="507"/>
      <c r="GN122" s="507"/>
      <c r="GO122" s="507"/>
      <c r="GP122" s="507"/>
      <c r="GQ122" s="507"/>
      <c r="GR122" s="507"/>
      <c r="GS122" s="507"/>
      <c r="GT122" s="507"/>
      <c r="GU122" s="507"/>
      <c r="GV122" s="507"/>
      <c r="GW122" s="507"/>
      <c r="GX122" s="507"/>
      <c r="GY122" s="507"/>
      <c r="GZ122" s="507"/>
      <c r="HA122" s="507"/>
      <c r="HB122" s="507"/>
      <c r="HC122" s="507"/>
      <c r="HD122" s="507"/>
      <c r="HE122" s="507"/>
      <c r="HF122" s="507"/>
      <c r="HG122" s="507"/>
      <c r="HH122" s="507"/>
      <c r="HI122" s="507"/>
      <c r="HJ122" s="507"/>
      <c r="HK122" s="507"/>
      <c r="HL122" s="507"/>
      <c r="HM122" s="507"/>
      <c r="HN122" s="507"/>
      <c r="HO122" s="507"/>
      <c r="HP122" s="507"/>
      <c r="HQ122" s="507"/>
      <c r="HR122" s="507"/>
      <c r="HS122" s="507"/>
      <c r="HT122" s="507"/>
      <c r="HU122" s="507"/>
      <c r="HV122" s="507"/>
      <c r="HW122" s="507"/>
      <c r="HX122" s="507"/>
      <c r="HY122" s="507"/>
      <c r="HZ122" s="507"/>
    </row>
    <row r="123" spans="1:234" ht="15.9" hidden="1" customHeight="1" x14ac:dyDescent="0.25">
      <c r="A123" s="522" t="s">
        <v>1973</v>
      </c>
      <c r="B123" s="535" t="s">
        <v>1225</v>
      </c>
      <c r="C123" s="528" t="s">
        <v>799</v>
      </c>
      <c r="D123" s="551" t="s">
        <v>194</v>
      </c>
      <c r="E123" s="569" t="s">
        <v>3228</v>
      </c>
      <c r="F123" s="543">
        <v>39125</v>
      </c>
      <c r="G123" s="586">
        <v>39069</v>
      </c>
      <c r="H123" s="557">
        <v>39118</v>
      </c>
      <c r="I123" s="592">
        <v>41132</v>
      </c>
      <c r="J123" s="579">
        <v>10</v>
      </c>
      <c r="K123" s="553" t="s">
        <v>3229</v>
      </c>
      <c r="L123" s="553" t="s">
        <v>3229</v>
      </c>
      <c r="M123" s="576">
        <v>0.04</v>
      </c>
      <c r="N123" s="675">
        <v>0.63</v>
      </c>
      <c r="O123" s="551" t="s">
        <v>3229</v>
      </c>
      <c r="P123" s="551" t="s">
        <v>3229</v>
      </c>
      <c r="Q123" s="551" t="s">
        <v>3229</v>
      </c>
      <c r="R123" s="551" t="s">
        <v>3229</v>
      </c>
      <c r="S123" s="567"/>
      <c r="T123" s="563" t="s">
        <v>3229</v>
      </c>
      <c r="U123" s="563" t="s">
        <v>3229</v>
      </c>
      <c r="V123" s="563" t="s">
        <v>3229</v>
      </c>
      <c r="W123" s="563" t="s">
        <v>3229</v>
      </c>
      <c r="X123" s="563" t="s">
        <v>3229</v>
      </c>
      <c r="Y123" s="563" t="s">
        <v>3229</v>
      </c>
      <c r="Z123" s="563" t="s">
        <v>3229</v>
      </c>
      <c r="AA123" s="563" t="s">
        <v>3229</v>
      </c>
      <c r="AB123" s="563" t="s">
        <v>3229</v>
      </c>
      <c r="AC123" s="563" t="s">
        <v>3229</v>
      </c>
      <c r="AD123" s="563" t="s">
        <v>3229</v>
      </c>
      <c r="AE123" s="563" t="s">
        <v>3229</v>
      </c>
      <c r="AF123" s="3764" t="s">
        <v>781</v>
      </c>
      <c r="AG123" s="3765"/>
      <c r="AH123" s="553" t="s">
        <v>3229</v>
      </c>
      <c r="AI123" s="553" t="s">
        <v>3229</v>
      </c>
      <c r="AJ123" s="553" t="s">
        <v>3229</v>
      </c>
      <c r="AK123" s="566" t="s">
        <v>3229</v>
      </c>
      <c r="AL123" s="553" t="s">
        <v>3229</v>
      </c>
      <c r="AM123" s="669">
        <v>1</v>
      </c>
      <c r="AN123" s="576">
        <v>0.04</v>
      </c>
      <c r="AO123" s="661">
        <v>10.4</v>
      </c>
      <c r="AP123" s="1368">
        <v>-0.12271838888888888</v>
      </c>
      <c r="AQ123" s="675">
        <v>-0.18522267434400619</v>
      </c>
      <c r="AR123" s="3773" t="s">
        <v>3660</v>
      </c>
      <c r="AS123" s="3774"/>
      <c r="AT123" s="3774"/>
      <c r="AU123" s="3775"/>
      <c r="AV123" s="558">
        <f t="shared" si="21"/>
        <v>0.04</v>
      </c>
      <c r="AW123" s="558">
        <f t="shared" si="18"/>
        <v>7.1583144147433497E-3</v>
      </c>
      <c r="AX123" s="558"/>
      <c r="AY123" s="559"/>
      <c r="AZ123" s="642">
        <f t="shared" si="22"/>
        <v>10.4</v>
      </c>
      <c r="BA123" s="644" t="s">
        <v>275</v>
      </c>
      <c r="BB123" s="570"/>
      <c r="BC123" s="637"/>
      <c r="BD123" s="3708"/>
      <c r="BH123" s="3763"/>
      <c r="BI123" s="3763"/>
      <c r="BJ123" s="1639"/>
      <c r="BK123" s="1639"/>
      <c r="BL123" s="1639"/>
      <c r="BM123" s="1639"/>
      <c r="BN123" s="1639"/>
      <c r="BO123" s="1639"/>
      <c r="BP123" s="1639"/>
      <c r="BQ123" s="1639"/>
      <c r="BR123" s="1639"/>
      <c r="BS123" s="509"/>
      <c r="BT123" s="509"/>
      <c r="BU123" s="509"/>
      <c r="BV123" s="509"/>
      <c r="BW123" s="509"/>
      <c r="BX123" s="509"/>
      <c r="BY123" s="509"/>
      <c r="BZ123" s="509"/>
      <c r="CA123" s="509"/>
      <c r="CB123" s="509"/>
      <c r="CC123" s="509"/>
      <c r="CD123" s="509"/>
      <c r="CE123" s="509"/>
      <c r="CF123" s="509"/>
      <c r="CG123" s="509"/>
      <c r="CH123" s="509"/>
      <c r="CI123" s="509"/>
      <c r="CJ123" s="509"/>
      <c r="CK123" s="509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509"/>
      <c r="CW123" s="509"/>
      <c r="CX123" s="509"/>
      <c r="CY123" s="509"/>
      <c r="CZ123" s="509"/>
      <c r="DA123" s="509"/>
      <c r="DB123" s="509"/>
      <c r="DC123" s="509"/>
      <c r="DD123" s="509"/>
      <c r="DE123" s="509"/>
      <c r="DF123" s="509"/>
      <c r="DG123" s="509"/>
      <c r="DH123" s="509"/>
      <c r="DI123" s="509"/>
      <c r="DJ123" s="509"/>
      <c r="DK123" s="509"/>
      <c r="DL123" s="509"/>
      <c r="DM123" s="509"/>
      <c r="DN123" s="509"/>
      <c r="DO123" s="509"/>
      <c r="DP123" s="509"/>
      <c r="DQ123" s="509"/>
      <c r="DR123" s="509"/>
      <c r="DS123" s="509"/>
      <c r="DT123" s="509"/>
      <c r="DU123" s="509"/>
      <c r="DV123" s="509"/>
      <c r="DW123" s="509"/>
      <c r="DX123" s="509"/>
      <c r="DY123" s="509"/>
      <c r="DZ123" s="509"/>
      <c r="EA123" s="509"/>
      <c r="EB123" s="509"/>
      <c r="EC123" s="509"/>
      <c r="ED123" s="509"/>
      <c r="EE123" s="509"/>
      <c r="EF123" s="509"/>
      <c r="EG123" s="509"/>
      <c r="EH123" s="509"/>
      <c r="EI123" s="509"/>
      <c r="EJ123" s="509"/>
      <c r="EK123" s="509"/>
      <c r="EL123" s="509"/>
      <c r="EM123" s="509"/>
      <c r="EN123" s="509"/>
      <c r="EO123" s="509"/>
      <c r="EP123" s="509"/>
      <c r="EQ123" s="509"/>
      <c r="ER123" s="509"/>
      <c r="ES123" s="509"/>
      <c r="ET123" s="509"/>
      <c r="EU123" s="509"/>
      <c r="EV123" s="509"/>
      <c r="EW123" s="509"/>
      <c r="EX123" s="509"/>
      <c r="EY123" s="509"/>
      <c r="EZ123" s="509"/>
      <c r="FA123" s="509"/>
      <c r="FB123" s="509"/>
      <c r="FC123" s="509"/>
      <c r="FD123" s="509"/>
      <c r="FE123" s="509"/>
      <c r="FF123" s="509"/>
      <c r="FG123" s="509"/>
      <c r="FH123" s="509"/>
      <c r="FI123" s="509"/>
      <c r="FJ123" s="509"/>
      <c r="FK123" s="509"/>
      <c r="FL123" s="509"/>
      <c r="FM123" s="509"/>
      <c r="FN123" s="509"/>
      <c r="FO123" s="509"/>
      <c r="FP123" s="509"/>
      <c r="FQ123" s="509"/>
      <c r="FR123" s="509"/>
      <c r="FS123" s="509"/>
      <c r="FT123" s="509"/>
      <c r="FU123" s="509"/>
      <c r="FV123" s="509"/>
      <c r="FW123" s="509"/>
      <c r="FX123" s="509"/>
      <c r="FY123" s="509"/>
      <c r="FZ123" s="509"/>
      <c r="GA123" s="509"/>
      <c r="GB123" s="509"/>
      <c r="GC123" s="509"/>
      <c r="GD123" s="509"/>
      <c r="GE123" s="509"/>
      <c r="GF123" s="509"/>
      <c r="GG123" s="509"/>
      <c r="GH123" s="509"/>
      <c r="GI123" s="509"/>
      <c r="GJ123" s="509"/>
      <c r="GK123" s="509"/>
      <c r="GL123" s="509"/>
      <c r="GM123" s="509"/>
      <c r="GN123" s="509"/>
      <c r="GO123" s="509"/>
      <c r="GP123" s="509"/>
      <c r="GQ123" s="509"/>
      <c r="GR123" s="509"/>
      <c r="GS123" s="509"/>
      <c r="GT123" s="509"/>
      <c r="GU123" s="509"/>
      <c r="GV123" s="509"/>
      <c r="GW123" s="509"/>
      <c r="GX123" s="509"/>
      <c r="GY123" s="509"/>
      <c r="GZ123" s="509"/>
      <c r="HA123" s="509"/>
      <c r="HB123" s="509"/>
      <c r="HC123" s="509"/>
      <c r="HD123" s="509"/>
      <c r="HE123" s="509"/>
      <c r="HF123" s="509"/>
      <c r="HG123" s="509"/>
      <c r="HH123" s="509"/>
      <c r="HI123" s="509"/>
      <c r="HJ123" s="509"/>
      <c r="HK123" s="509"/>
      <c r="HL123" s="509"/>
      <c r="HM123" s="509"/>
      <c r="HN123" s="509"/>
      <c r="HO123" s="509"/>
      <c r="HP123" s="509"/>
      <c r="HQ123" s="509"/>
      <c r="HR123" s="509"/>
      <c r="HS123" s="509"/>
      <c r="HT123" s="509"/>
      <c r="HU123" s="509"/>
      <c r="HV123" s="509"/>
      <c r="HW123" s="509"/>
      <c r="HX123" s="509"/>
      <c r="HY123" s="509"/>
      <c r="HZ123" s="509"/>
    </row>
    <row r="124" spans="1:234" s="232" customFormat="1" ht="15.9" hidden="1" customHeight="1" x14ac:dyDescent="0.25">
      <c r="A124" s="522" t="s">
        <v>1974</v>
      </c>
      <c r="B124" s="535" t="s">
        <v>1639</v>
      </c>
      <c r="C124" s="538" t="s">
        <v>45</v>
      </c>
      <c r="D124" s="551" t="s">
        <v>781</v>
      </c>
      <c r="E124" s="569" t="s">
        <v>3228</v>
      </c>
      <c r="F124" s="543">
        <v>39120</v>
      </c>
      <c r="G124" s="586">
        <v>39072</v>
      </c>
      <c r="H124" s="557">
        <v>39113</v>
      </c>
      <c r="I124" s="592">
        <v>39689</v>
      </c>
      <c r="J124" s="579">
        <v>10</v>
      </c>
      <c r="K124" s="553" t="s">
        <v>3229</v>
      </c>
      <c r="L124" s="553" t="s">
        <v>3229</v>
      </c>
      <c r="M124" s="560">
        <v>0</v>
      </c>
      <c r="N124" s="606" t="s">
        <v>3229</v>
      </c>
      <c r="O124" s="551" t="s">
        <v>3229</v>
      </c>
      <c r="P124" s="576">
        <v>0.53</v>
      </c>
      <c r="Q124" s="570" t="s">
        <v>3229</v>
      </c>
      <c r="R124" s="570" t="s">
        <v>3229</v>
      </c>
      <c r="S124" s="577"/>
      <c r="T124" s="553" t="s">
        <v>3229</v>
      </c>
      <c r="U124" s="553" t="s">
        <v>3229</v>
      </c>
      <c r="V124" s="553" t="s">
        <v>3229</v>
      </c>
      <c r="W124" s="553" t="s">
        <v>3229</v>
      </c>
      <c r="X124" s="553" t="s">
        <v>3229</v>
      </c>
      <c r="Y124" s="553" t="s">
        <v>3229</v>
      </c>
      <c r="Z124" s="553" t="s">
        <v>3229</v>
      </c>
      <c r="AA124" s="553" t="s">
        <v>3229</v>
      </c>
      <c r="AB124" s="553" t="s">
        <v>3229</v>
      </c>
      <c r="AC124" s="553" t="s">
        <v>3229</v>
      </c>
      <c r="AD124" s="553" t="s">
        <v>3229</v>
      </c>
      <c r="AE124" s="553" t="s">
        <v>3229</v>
      </c>
      <c r="AF124" s="3764" t="s">
        <v>781</v>
      </c>
      <c r="AG124" s="3765"/>
      <c r="AH124" s="553" t="s">
        <v>3229</v>
      </c>
      <c r="AI124" s="553" t="s">
        <v>3229</v>
      </c>
      <c r="AJ124" s="553" t="s">
        <v>3229</v>
      </c>
      <c r="AK124" s="566" t="s">
        <v>3229</v>
      </c>
      <c r="AL124" s="553" t="s">
        <v>3229</v>
      </c>
      <c r="AM124" s="669">
        <v>1</v>
      </c>
      <c r="AN124" s="606">
        <v>0</v>
      </c>
      <c r="AO124" s="670">
        <v>10.01</v>
      </c>
      <c r="AP124" s="688"/>
      <c r="AQ124" s="675" t="s">
        <v>3229</v>
      </c>
      <c r="AR124" s="558">
        <f>AO124/10-1</f>
        <v>9.9999999999988987E-4</v>
      </c>
      <c r="AS124" s="558">
        <f>POWER(1+AR124,1/((I124-F124)/365))-1</f>
        <v>6.4136133397574291E-4</v>
      </c>
      <c r="AT124" s="650" t="s">
        <v>3229</v>
      </c>
      <c r="AU124" s="552" t="s">
        <v>3229</v>
      </c>
      <c r="AV124" s="558">
        <f t="shared" si="21"/>
        <v>0</v>
      </c>
      <c r="AW124" s="558">
        <f t="shared" si="18"/>
        <v>0</v>
      </c>
      <c r="AX124" s="553" t="s">
        <v>3229</v>
      </c>
      <c r="AY124" s="552" t="s">
        <v>3229</v>
      </c>
      <c r="AZ124" s="642">
        <f t="shared" si="22"/>
        <v>10</v>
      </c>
      <c r="BA124" s="644" t="s">
        <v>3112</v>
      </c>
      <c r="BB124" s="570"/>
      <c r="BC124" s="637"/>
      <c r="BD124" s="3708"/>
      <c r="BE124" s="3743"/>
      <c r="BF124" s="3743"/>
      <c r="BG124" s="3708"/>
      <c r="BH124" s="3762"/>
      <c r="BI124" s="3762"/>
      <c r="BJ124" s="39"/>
      <c r="BK124" s="39"/>
      <c r="BL124" s="39"/>
      <c r="BM124" s="39"/>
      <c r="BN124" s="39"/>
      <c r="BO124" s="39"/>
      <c r="BP124" s="39"/>
      <c r="BQ124" s="39"/>
      <c r="BR124" s="39"/>
      <c r="BS124" s="507"/>
      <c r="BT124" s="507"/>
      <c r="BU124" s="507"/>
      <c r="BV124" s="507"/>
      <c r="BW124" s="507"/>
      <c r="BX124" s="507"/>
      <c r="BY124" s="507"/>
      <c r="BZ124" s="507"/>
      <c r="CA124" s="507"/>
      <c r="CB124" s="507"/>
      <c r="CC124" s="507"/>
      <c r="CD124" s="507"/>
      <c r="CE124" s="507"/>
      <c r="CF124" s="507"/>
      <c r="CG124" s="507"/>
      <c r="CH124" s="507"/>
      <c r="CI124" s="507"/>
      <c r="CJ124" s="507"/>
      <c r="CK124" s="507"/>
      <c r="CL124" s="507"/>
      <c r="CM124" s="507"/>
      <c r="CN124" s="507"/>
      <c r="CO124" s="507"/>
      <c r="CP124" s="507"/>
      <c r="CQ124" s="507"/>
      <c r="CR124" s="507"/>
      <c r="CS124" s="507"/>
      <c r="CT124" s="507"/>
      <c r="CU124" s="507"/>
      <c r="CV124" s="507"/>
      <c r="CW124" s="507"/>
      <c r="CX124" s="507"/>
      <c r="CY124" s="507"/>
      <c r="CZ124" s="507"/>
      <c r="DA124" s="507"/>
      <c r="DB124" s="507"/>
      <c r="DC124" s="507"/>
      <c r="DD124" s="507"/>
      <c r="DE124" s="507"/>
      <c r="DF124" s="507"/>
      <c r="DG124" s="507"/>
      <c r="DH124" s="507"/>
      <c r="DI124" s="507"/>
      <c r="DJ124" s="507"/>
      <c r="DK124" s="507"/>
      <c r="DL124" s="507"/>
      <c r="DM124" s="507"/>
      <c r="DN124" s="507"/>
      <c r="DO124" s="507"/>
      <c r="DP124" s="507"/>
      <c r="DQ124" s="507"/>
      <c r="DR124" s="507"/>
      <c r="DS124" s="507"/>
      <c r="DT124" s="507"/>
      <c r="DU124" s="507"/>
      <c r="DV124" s="507"/>
      <c r="DW124" s="507"/>
      <c r="DX124" s="507"/>
      <c r="DY124" s="507"/>
      <c r="DZ124" s="507"/>
      <c r="EA124" s="507"/>
      <c r="EB124" s="507"/>
      <c r="EC124" s="507"/>
      <c r="ED124" s="507"/>
      <c r="EE124" s="507"/>
      <c r="EF124" s="507"/>
      <c r="EG124" s="507"/>
      <c r="EH124" s="507"/>
      <c r="EI124" s="507"/>
      <c r="EJ124" s="507"/>
      <c r="EK124" s="507"/>
      <c r="EL124" s="507"/>
      <c r="EM124" s="507"/>
      <c r="EN124" s="507"/>
      <c r="EO124" s="507"/>
      <c r="EP124" s="507"/>
      <c r="EQ124" s="507"/>
      <c r="ER124" s="507"/>
      <c r="ES124" s="507"/>
      <c r="ET124" s="507"/>
      <c r="EU124" s="507"/>
      <c r="EV124" s="507"/>
      <c r="EW124" s="507"/>
      <c r="EX124" s="507"/>
      <c r="EY124" s="507"/>
      <c r="EZ124" s="507"/>
      <c r="FA124" s="507"/>
      <c r="FB124" s="507"/>
      <c r="FC124" s="507"/>
      <c r="FD124" s="507"/>
      <c r="FE124" s="507"/>
      <c r="FF124" s="507"/>
      <c r="FG124" s="507"/>
      <c r="FH124" s="507"/>
      <c r="FI124" s="507"/>
      <c r="FJ124" s="507"/>
      <c r="FK124" s="507"/>
      <c r="FL124" s="507"/>
      <c r="FM124" s="507"/>
      <c r="FN124" s="507"/>
      <c r="FO124" s="507"/>
      <c r="FP124" s="507"/>
      <c r="FQ124" s="507"/>
      <c r="FR124" s="507"/>
      <c r="FS124" s="507"/>
      <c r="FT124" s="507"/>
      <c r="FU124" s="507"/>
      <c r="FV124" s="507"/>
      <c r="FW124" s="507"/>
      <c r="FX124" s="507"/>
      <c r="FY124" s="507"/>
      <c r="FZ124" s="507"/>
      <c r="GA124" s="507"/>
      <c r="GB124" s="507"/>
      <c r="GC124" s="507"/>
      <c r="GD124" s="507"/>
      <c r="GE124" s="507"/>
      <c r="GF124" s="507"/>
      <c r="GG124" s="507"/>
      <c r="GH124" s="507"/>
      <c r="GI124" s="507"/>
      <c r="GJ124" s="507"/>
      <c r="GK124" s="507"/>
      <c r="GL124" s="507"/>
      <c r="GM124" s="507"/>
      <c r="GN124" s="507"/>
      <c r="GO124" s="507"/>
      <c r="GP124" s="507"/>
      <c r="GQ124" s="507"/>
      <c r="GR124" s="507"/>
      <c r="GS124" s="507"/>
      <c r="GT124" s="507"/>
      <c r="GU124" s="507"/>
      <c r="GV124" s="507"/>
      <c r="GW124" s="507"/>
      <c r="GX124" s="507"/>
      <c r="GY124" s="507"/>
      <c r="GZ124" s="507"/>
      <c r="HA124" s="507"/>
      <c r="HB124" s="507"/>
      <c r="HC124" s="507"/>
      <c r="HD124" s="507"/>
      <c r="HE124" s="507"/>
      <c r="HF124" s="507"/>
      <c r="HG124" s="507"/>
      <c r="HH124" s="507"/>
      <c r="HI124" s="507"/>
      <c r="HJ124" s="507"/>
      <c r="HK124" s="507"/>
      <c r="HL124" s="507"/>
      <c r="HM124" s="507"/>
      <c r="HN124" s="507"/>
      <c r="HO124" s="507"/>
      <c r="HP124" s="507"/>
      <c r="HQ124" s="507"/>
      <c r="HR124" s="507"/>
      <c r="HS124" s="507"/>
      <c r="HT124" s="507"/>
      <c r="HU124" s="507"/>
      <c r="HV124" s="507"/>
      <c r="HW124" s="507"/>
      <c r="HX124" s="507"/>
      <c r="HY124" s="507"/>
      <c r="HZ124" s="507"/>
    </row>
    <row r="125" spans="1:234" s="232" customFormat="1" ht="15.9" hidden="1" customHeight="1" x14ac:dyDescent="0.25">
      <c r="A125" s="522" t="s">
        <v>748</v>
      </c>
      <c r="B125" s="523" t="s">
        <v>1757</v>
      </c>
      <c r="C125" s="529" t="s">
        <v>201</v>
      </c>
      <c r="D125" s="551" t="s">
        <v>189</v>
      </c>
      <c r="E125" s="569" t="s">
        <v>3228</v>
      </c>
      <c r="F125" s="543">
        <v>39120</v>
      </c>
      <c r="G125" s="586">
        <v>39072</v>
      </c>
      <c r="H125" s="557">
        <v>39113</v>
      </c>
      <c r="I125" s="592">
        <v>40421</v>
      </c>
      <c r="J125" s="579">
        <v>10</v>
      </c>
      <c r="K125" s="553" t="s">
        <v>3229</v>
      </c>
      <c r="L125" s="553" t="s">
        <v>3229</v>
      </c>
      <c r="M125" s="576">
        <v>0</v>
      </c>
      <c r="N125" s="549" t="s">
        <v>3229</v>
      </c>
      <c r="O125" s="576">
        <v>0.26</v>
      </c>
      <c r="P125" s="551" t="s">
        <v>3229</v>
      </c>
      <c r="Q125" s="551" t="s">
        <v>3229</v>
      </c>
      <c r="R125" s="551" t="s">
        <v>3229</v>
      </c>
      <c r="S125" s="567"/>
      <c r="T125" s="553" t="s">
        <v>3229</v>
      </c>
      <c r="U125" s="553" t="s">
        <v>3229</v>
      </c>
      <c r="V125" s="553" t="s">
        <v>3229</v>
      </c>
      <c r="W125" s="553" t="s">
        <v>3229</v>
      </c>
      <c r="X125" s="553" t="s">
        <v>3229</v>
      </c>
      <c r="Y125" s="553" t="s">
        <v>3229</v>
      </c>
      <c r="Z125" s="553" t="s">
        <v>3229</v>
      </c>
      <c r="AA125" s="553" t="s">
        <v>3229</v>
      </c>
      <c r="AB125" s="553" t="s">
        <v>3229</v>
      </c>
      <c r="AC125" s="553" t="s">
        <v>3229</v>
      </c>
      <c r="AD125" s="553" t="s">
        <v>3229</v>
      </c>
      <c r="AE125" s="552" t="s">
        <v>3229</v>
      </c>
      <c r="AF125" s="3764" t="s">
        <v>781</v>
      </c>
      <c r="AG125" s="3765"/>
      <c r="AH125" s="553" t="s">
        <v>3229</v>
      </c>
      <c r="AI125" s="553" t="s">
        <v>3229</v>
      </c>
      <c r="AJ125" s="553" t="s">
        <v>3229</v>
      </c>
      <c r="AK125" s="566" t="s">
        <v>3229</v>
      </c>
      <c r="AL125" s="553" t="s">
        <v>3229</v>
      </c>
      <c r="AM125" s="669">
        <v>1</v>
      </c>
      <c r="AN125" s="576">
        <v>0</v>
      </c>
      <c r="AO125" s="662">
        <v>10</v>
      </c>
      <c r="AP125" s="1368">
        <v>-0.22024866422550407</v>
      </c>
      <c r="AQ125" s="675">
        <v>-0.22024866422550407</v>
      </c>
      <c r="AR125" s="558">
        <v>0</v>
      </c>
      <c r="AS125" s="558">
        <f>POWER(1+AR125,1/((I125-F125)/365))-1</f>
        <v>0</v>
      </c>
      <c r="AT125" s="553" t="s">
        <v>3229</v>
      </c>
      <c r="AU125" s="552" t="s">
        <v>3229</v>
      </c>
      <c r="AV125" s="558">
        <f t="shared" si="21"/>
        <v>0</v>
      </c>
      <c r="AW125" s="558">
        <f t="shared" si="18"/>
        <v>0</v>
      </c>
      <c r="AX125" s="650" t="s">
        <v>3229</v>
      </c>
      <c r="AY125" s="552" t="s">
        <v>3229</v>
      </c>
      <c r="AZ125" s="642">
        <f t="shared" si="22"/>
        <v>10</v>
      </c>
      <c r="BA125" s="644" t="s">
        <v>3609</v>
      </c>
      <c r="BB125" s="570"/>
      <c r="BC125" s="637"/>
      <c r="BD125" s="3708"/>
      <c r="BE125" s="3743"/>
      <c r="BF125" s="3743"/>
      <c r="BG125" s="3708"/>
      <c r="BH125" s="3762"/>
      <c r="BI125" s="3762"/>
      <c r="BJ125" s="39"/>
      <c r="BK125" s="39"/>
      <c r="BL125" s="39"/>
      <c r="BM125" s="39"/>
      <c r="BN125" s="39"/>
      <c r="BO125" s="39"/>
      <c r="BP125" s="39"/>
      <c r="BQ125" s="39"/>
      <c r="BR125" s="39"/>
      <c r="BS125" s="507"/>
      <c r="BT125" s="507"/>
      <c r="BU125" s="507"/>
      <c r="BV125" s="507"/>
      <c r="BW125" s="507"/>
      <c r="BX125" s="507"/>
      <c r="BY125" s="507"/>
      <c r="BZ125" s="507"/>
      <c r="CA125" s="507"/>
      <c r="CB125" s="507"/>
      <c r="CC125" s="507"/>
      <c r="CD125" s="507"/>
      <c r="CE125" s="507"/>
      <c r="CF125" s="507"/>
      <c r="CG125" s="507"/>
      <c r="CH125" s="507"/>
      <c r="CI125" s="507"/>
      <c r="CJ125" s="507"/>
      <c r="CK125" s="507"/>
      <c r="CL125" s="507"/>
      <c r="CM125" s="507"/>
      <c r="CN125" s="507"/>
      <c r="CO125" s="507"/>
      <c r="CP125" s="507"/>
      <c r="CQ125" s="507"/>
      <c r="CR125" s="507"/>
      <c r="CS125" s="507"/>
      <c r="CT125" s="507"/>
      <c r="CU125" s="507"/>
      <c r="CV125" s="507"/>
      <c r="CW125" s="507"/>
      <c r="CX125" s="507"/>
      <c r="CY125" s="507"/>
      <c r="CZ125" s="507"/>
      <c r="DA125" s="507"/>
      <c r="DB125" s="507"/>
      <c r="DC125" s="507"/>
      <c r="DD125" s="507"/>
      <c r="DE125" s="507"/>
      <c r="DF125" s="507"/>
      <c r="DG125" s="507"/>
      <c r="DH125" s="507"/>
      <c r="DI125" s="507"/>
      <c r="DJ125" s="507"/>
      <c r="DK125" s="507"/>
      <c r="DL125" s="507"/>
      <c r="DM125" s="507"/>
      <c r="DN125" s="507"/>
      <c r="DO125" s="507"/>
      <c r="DP125" s="507"/>
      <c r="DQ125" s="507"/>
      <c r="DR125" s="507"/>
      <c r="DS125" s="507"/>
      <c r="DT125" s="507"/>
      <c r="DU125" s="507"/>
      <c r="DV125" s="507"/>
      <c r="DW125" s="507"/>
      <c r="DX125" s="507"/>
      <c r="DY125" s="507"/>
      <c r="DZ125" s="507"/>
      <c r="EA125" s="507"/>
      <c r="EB125" s="507"/>
      <c r="EC125" s="507"/>
      <c r="ED125" s="507"/>
      <c r="EE125" s="507"/>
      <c r="EF125" s="507"/>
      <c r="EG125" s="507"/>
      <c r="EH125" s="507"/>
      <c r="EI125" s="507"/>
      <c r="EJ125" s="507"/>
      <c r="EK125" s="507"/>
      <c r="EL125" s="507"/>
      <c r="EM125" s="507"/>
      <c r="EN125" s="507"/>
      <c r="EO125" s="507"/>
      <c r="EP125" s="507"/>
      <c r="EQ125" s="507"/>
      <c r="ER125" s="507"/>
      <c r="ES125" s="507"/>
      <c r="ET125" s="507"/>
      <c r="EU125" s="507"/>
      <c r="EV125" s="507"/>
      <c r="EW125" s="507"/>
      <c r="EX125" s="507"/>
      <c r="EY125" s="507"/>
      <c r="EZ125" s="507"/>
      <c r="FA125" s="507"/>
      <c r="FB125" s="507"/>
      <c r="FC125" s="507"/>
      <c r="FD125" s="507"/>
      <c r="FE125" s="507"/>
      <c r="FF125" s="507"/>
      <c r="FG125" s="507"/>
      <c r="FH125" s="507"/>
      <c r="FI125" s="507"/>
      <c r="FJ125" s="507"/>
      <c r="FK125" s="507"/>
      <c r="FL125" s="507"/>
      <c r="FM125" s="507"/>
      <c r="FN125" s="507"/>
      <c r="FO125" s="507"/>
      <c r="FP125" s="507"/>
      <c r="FQ125" s="507"/>
      <c r="FR125" s="507"/>
      <c r="FS125" s="507"/>
      <c r="FT125" s="507"/>
      <c r="FU125" s="507"/>
      <c r="FV125" s="507"/>
      <c r="FW125" s="507"/>
      <c r="FX125" s="507"/>
      <c r="FY125" s="507"/>
      <c r="FZ125" s="507"/>
      <c r="GA125" s="507"/>
      <c r="GB125" s="507"/>
      <c r="GC125" s="507"/>
      <c r="GD125" s="507"/>
      <c r="GE125" s="507"/>
      <c r="GF125" s="507"/>
      <c r="GG125" s="507"/>
      <c r="GH125" s="507"/>
      <c r="GI125" s="507"/>
      <c r="GJ125" s="507"/>
      <c r="GK125" s="507"/>
      <c r="GL125" s="507"/>
      <c r="GM125" s="507"/>
      <c r="GN125" s="507"/>
      <c r="GO125" s="507"/>
      <c r="GP125" s="507"/>
      <c r="GQ125" s="507"/>
      <c r="GR125" s="507"/>
      <c r="GS125" s="507"/>
      <c r="GT125" s="507"/>
      <c r="GU125" s="507"/>
      <c r="GV125" s="507"/>
      <c r="GW125" s="507"/>
      <c r="GX125" s="507"/>
      <c r="GY125" s="507"/>
      <c r="GZ125" s="507"/>
      <c r="HA125" s="507"/>
      <c r="HB125" s="507"/>
      <c r="HC125" s="507"/>
      <c r="HD125" s="507"/>
      <c r="HE125" s="507"/>
      <c r="HF125" s="507"/>
      <c r="HG125" s="507"/>
      <c r="HH125" s="507"/>
      <c r="HI125" s="507"/>
      <c r="HJ125" s="507"/>
      <c r="HK125" s="507"/>
      <c r="HL125" s="507"/>
      <c r="HM125" s="507"/>
      <c r="HN125" s="507"/>
      <c r="HO125" s="507"/>
      <c r="HP125" s="507"/>
      <c r="HQ125" s="507"/>
      <c r="HR125" s="507"/>
      <c r="HS125" s="507"/>
      <c r="HT125" s="507"/>
      <c r="HU125" s="507"/>
      <c r="HV125" s="507"/>
      <c r="HW125" s="507"/>
      <c r="HX125" s="507"/>
      <c r="HY125" s="507"/>
      <c r="HZ125" s="507"/>
    </row>
    <row r="126" spans="1:234" s="232" customFormat="1" ht="15.9" hidden="1" customHeight="1" x14ac:dyDescent="0.25">
      <c r="A126" s="522" t="s">
        <v>1237</v>
      </c>
      <c r="B126" s="523" t="s">
        <v>1640</v>
      </c>
      <c r="C126" s="529" t="s">
        <v>202</v>
      </c>
      <c r="D126" s="551" t="s">
        <v>189</v>
      </c>
      <c r="E126" s="569" t="s">
        <v>3228</v>
      </c>
      <c r="F126" s="543">
        <v>39120</v>
      </c>
      <c r="G126" s="586">
        <v>39072</v>
      </c>
      <c r="H126" s="557">
        <v>39113</v>
      </c>
      <c r="I126" s="592">
        <v>40998</v>
      </c>
      <c r="J126" s="579">
        <v>10</v>
      </c>
      <c r="K126" s="553">
        <v>0</v>
      </c>
      <c r="L126" s="553">
        <v>0.12</v>
      </c>
      <c r="M126" s="576">
        <v>0</v>
      </c>
      <c r="N126" s="549" t="s">
        <v>3229</v>
      </c>
      <c r="O126" s="576" t="s">
        <v>3229</v>
      </c>
      <c r="P126" s="551" t="s">
        <v>3229</v>
      </c>
      <c r="Q126" s="551">
        <v>0.12</v>
      </c>
      <c r="R126" s="551" t="s">
        <v>3229</v>
      </c>
      <c r="S126" s="567">
        <v>5</v>
      </c>
      <c r="T126" s="555">
        <v>39479</v>
      </c>
      <c r="U126" s="555">
        <v>39845</v>
      </c>
      <c r="V126" s="555">
        <v>40210</v>
      </c>
      <c r="W126" s="555">
        <v>40575</v>
      </c>
      <c r="X126" s="555">
        <v>40940</v>
      </c>
      <c r="Y126" s="553" t="s">
        <v>3229</v>
      </c>
      <c r="Z126" s="553" t="s">
        <v>3229</v>
      </c>
      <c r="AA126" s="553" t="s">
        <v>3229</v>
      </c>
      <c r="AB126" s="553" t="s">
        <v>3229</v>
      </c>
      <c r="AC126" s="553" t="s">
        <v>3229</v>
      </c>
      <c r="AD126" s="553" t="s">
        <v>3229</v>
      </c>
      <c r="AE126" s="552" t="s">
        <v>3229</v>
      </c>
      <c r="AF126" s="3764" t="s">
        <v>781</v>
      </c>
      <c r="AG126" s="3765"/>
      <c r="AH126" s="553" t="s">
        <v>3229</v>
      </c>
      <c r="AI126" s="553" t="s">
        <v>3229</v>
      </c>
      <c r="AJ126" s="553" t="s">
        <v>3229</v>
      </c>
      <c r="AK126" s="566" t="s">
        <v>3229</v>
      </c>
      <c r="AL126" s="553" t="s">
        <v>3229</v>
      </c>
      <c r="AM126" s="669">
        <v>1</v>
      </c>
      <c r="AN126" s="576">
        <v>0</v>
      </c>
      <c r="AO126" s="662">
        <v>9.89</v>
      </c>
      <c r="AP126" s="1368" t="s">
        <v>3229</v>
      </c>
      <c r="AQ126" s="675" t="s">
        <v>3229</v>
      </c>
      <c r="AR126" s="558"/>
      <c r="AS126" s="558"/>
      <c r="AT126" s="553"/>
      <c r="AU126" s="552"/>
      <c r="AV126" s="558"/>
      <c r="AW126" s="558"/>
      <c r="AX126" s="650"/>
      <c r="AY126" s="552"/>
      <c r="AZ126" s="642">
        <f t="shared" si="22"/>
        <v>10</v>
      </c>
      <c r="BA126" s="644" t="s">
        <v>3853</v>
      </c>
      <c r="BB126" s="570" t="s">
        <v>2025</v>
      </c>
      <c r="BC126" s="637" t="s">
        <v>2895</v>
      </c>
      <c r="BD126" s="3708"/>
      <c r="BE126" s="3743"/>
      <c r="BF126" s="3743"/>
      <c r="BG126" s="3708"/>
      <c r="BH126" s="3762"/>
      <c r="BI126" s="3762"/>
      <c r="BJ126" s="39"/>
      <c r="BK126" s="39"/>
      <c r="BL126" s="39"/>
      <c r="BM126" s="39"/>
      <c r="BN126" s="39"/>
      <c r="BO126" s="39"/>
      <c r="BP126" s="39"/>
      <c r="BQ126" s="39"/>
      <c r="BR126" s="39"/>
      <c r="BS126" s="507"/>
      <c r="BT126" s="507"/>
      <c r="BU126" s="507"/>
      <c r="BV126" s="507"/>
      <c r="BW126" s="507"/>
      <c r="BX126" s="507"/>
      <c r="BY126" s="507"/>
      <c r="BZ126" s="507"/>
      <c r="CA126" s="507"/>
      <c r="CB126" s="507"/>
      <c r="CC126" s="507"/>
      <c r="CD126" s="507"/>
      <c r="CE126" s="507"/>
      <c r="CF126" s="507"/>
      <c r="CG126" s="507"/>
      <c r="CH126" s="507"/>
      <c r="CI126" s="507"/>
      <c r="CJ126" s="507"/>
      <c r="CK126" s="507"/>
      <c r="CL126" s="507"/>
      <c r="CM126" s="507"/>
      <c r="CN126" s="507"/>
      <c r="CO126" s="507"/>
      <c r="CP126" s="507"/>
      <c r="CQ126" s="507"/>
      <c r="CR126" s="507"/>
      <c r="CS126" s="507"/>
      <c r="CT126" s="507"/>
      <c r="CU126" s="507"/>
      <c r="CV126" s="507"/>
      <c r="CW126" s="507"/>
      <c r="CX126" s="507"/>
      <c r="CY126" s="507"/>
      <c r="CZ126" s="507"/>
      <c r="DA126" s="507"/>
      <c r="DB126" s="507"/>
      <c r="DC126" s="507"/>
      <c r="DD126" s="507"/>
      <c r="DE126" s="507"/>
      <c r="DF126" s="507"/>
      <c r="DG126" s="507"/>
      <c r="DH126" s="507"/>
      <c r="DI126" s="507"/>
      <c r="DJ126" s="507"/>
      <c r="DK126" s="507"/>
      <c r="DL126" s="507"/>
      <c r="DM126" s="507"/>
      <c r="DN126" s="507"/>
      <c r="DO126" s="507"/>
      <c r="DP126" s="507"/>
      <c r="DQ126" s="507"/>
      <c r="DR126" s="507"/>
      <c r="DS126" s="507"/>
      <c r="DT126" s="507"/>
      <c r="DU126" s="507"/>
      <c r="DV126" s="507"/>
      <c r="DW126" s="507"/>
      <c r="DX126" s="507"/>
      <c r="DY126" s="507"/>
      <c r="DZ126" s="507"/>
      <c r="EA126" s="507"/>
      <c r="EB126" s="507"/>
      <c r="EC126" s="507"/>
      <c r="ED126" s="507"/>
      <c r="EE126" s="507"/>
      <c r="EF126" s="507"/>
      <c r="EG126" s="507"/>
      <c r="EH126" s="507"/>
      <c r="EI126" s="507"/>
      <c r="EJ126" s="507"/>
      <c r="EK126" s="507"/>
      <c r="EL126" s="507"/>
      <c r="EM126" s="507"/>
      <c r="EN126" s="507"/>
      <c r="EO126" s="507"/>
      <c r="EP126" s="507"/>
      <c r="EQ126" s="507"/>
      <c r="ER126" s="507"/>
      <c r="ES126" s="507"/>
      <c r="ET126" s="507"/>
      <c r="EU126" s="507"/>
      <c r="EV126" s="507"/>
      <c r="EW126" s="507"/>
      <c r="EX126" s="507"/>
      <c r="EY126" s="507"/>
      <c r="EZ126" s="507"/>
      <c r="FA126" s="507"/>
      <c r="FB126" s="507"/>
      <c r="FC126" s="507"/>
      <c r="FD126" s="507"/>
      <c r="FE126" s="507"/>
      <c r="FF126" s="507"/>
      <c r="FG126" s="507"/>
      <c r="FH126" s="507"/>
      <c r="FI126" s="507"/>
      <c r="FJ126" s="507"/>
      <c r="FK126" s="507"/>
      <c r="FL126" s="507"/>
      <c r="FM126" s="507"/>
      <c r="FN126" s="507"/>
      <c r="FO126" s="507"/>
      <c r="FP126" s="507"/>
      <c r="FQ126" s="507"/>
      <c r="FR126" s="507"/>
      <c r="FS126" s="507"/>
      <c r="FT126" s="507"/>
      <c r="FU126" s="507"/>
      <c r="FV126" s="507"/>
      <c r="FW126" s="507"/>
      <c r="FX126" s="507"/>
      <c r="FY126" s="507"/>
      <c r="FZ126" s="507"/>
      <c r="GA126" s="507"/>
      <c r="GB126" s="507"/>
      <c r="GC126" s="507"/>
      <c r="GD126" s="507"/>
      <c r="GE126" s="507"/>
      <c r="GF126" s="507"/>
      <c r="GG126" s="507"/>
      <c r="GH126" s="507"/>
      <c r="GI126" s="507"/>
      <c r="GJ126" s="507"/>
      <c r="GK126" s="507"/>
      <c r="GL126" s="507"/>
      <c r="GM126" s="507"/>
      <c r="GN126" s="507"/>
      <c r="GO126" s="507"/>
      <c r="GP126" s="507"/>
      <c r="GQ126" s="507"/>
      <c r="GR126" s="507"/>
      <c r="GS126" s="507"/>
      <c r="GT126" s="507"/>
      <c r="GU126" s="507"/>
      <c r="GV126" s="507"/>
      <c r="GW126" s="507"/>
      <c r="GX126" s="507"/>
      <c r="GY126" s="507"/>
      <c r="GZ126" s="507"/>
      <c r="HA126" s="507"/>
      <c r="HB126" s="507"/>
      <c r="HC126" s="507"/>
      <c r="HD126" s="507"/>
      <c r="HE126" s="507"/>
      <c r="HF126" s="507"/>
      <c r="HG126" s="507"/>
      <c r="HH126" s="507"/>
      <c r="HI126" s="507"/>
      <c r="HJ126" s="507"/>
      <c r="HK126" s="507"/>
      <c r="HL126" s="507"/>
      <c r="HM126" s="507"/>
      <c r="HN126" s="507"/>
      <c r="HO126" s="507"/>
      <c r="HP126" s="507"/>
      <c r="HQ126" s="507"/>
      <c r="HR126" s="507"/>
      <c r="HS126" s="507"/>
      <c r="HT126" s="507"/>
      <c r="HU126" s="507"/>
      <c r="HV126" s="507"/>
      <c r="HW126" s="507"/>
      <c r="HX126" s="507"/>
      <c r="HY126" s="507"/>
      <c r="HZ126" s="507"/>
    </row>
    <row r="127" spans="1:234" s="206" customFormat="1" ht="15.9" hidden="1" customHeight="1" x14ac:dyDescent="0.25">
      <c r="A127" s="522" t="s">
        <v>840</v>
      </c>
      <c r="B127" s="535" t="s">
        <v>2461</v>
      </c>
      <c r="C127" s="527" t="s">
        <v>1698</v>
      </c>
      <c r="D127" s="551" t="s">
        <v>195</v>
      </c>
      <c r="E127" s="569" t="s">
        <v>3228</v>
      </c>
      <c r="F127" s="543">
        <v>39150</v>
      </c>
      <c r="G127" s="586">
        <v>39084</v>
      </c>
      <c r="H127" s="544">
        <v>39115</v>
      </c>
      <c r="I127" s="588">
        <v>40766</v>
      </c>
      <c r="J127" s="579">
        <v>10</v>
      </c>
      <c r="K127" s="553">
        <v>0</v>
      </c>
      <c r="L127" s="553">
        <v>4.4999999999999998E-2</v>
      </c>
      <c r="M127" s="576">
        <v>0.05</v>
      </c>
      <c r="N127" s="675" t="s">
        <v>3229</v>
      </c>
      <c r="O127" s="570" t="s">
        <v>3229</v>
      </c>
      <c r="P127" s="570" t="s">
        <v>3229</v>
      </c>
      <c r="Q127" s="570" t="s">
        <v>3229</v>
      </c>
      <c r="R127" s="570" t="s">
        <v>3229</v>
      </c>
      <c r="S127" s="577">
        <v>4</v>
      </c>
      <c r="T127" s="555">
        <v>39508</v>
      </c>
      <c r="U127" s="555">
        <v>39873</v>
      </c>
      <c r="V127" s="555">
        <v>40238</v>
      </c>
      <c r="W127" s="555">
        <v>40695</v>
      </c>
      <c r="X127" s="555" t="s">
        <v>3229</v>
      </c>
      <c r="Y127" s="593" t="s">
        <v>3229</v>
      </c>
      <c r="Z127" s="593" t="s">
        <v>3229</v>
      </c>
      <c r="AA127" s="593" t="s">
        <v>3229</v>
      </c>
      <c r="AB127" s="593" t="s">
        <v>3229</v>
      </c>
      <c r="AC127" s="593" t="s">
        <v>3229</v>
      </c>
      <c r="AD127" s="593" t="s">
        <v>3229</v>
      </c>
      <c r="AE127" s="593" t="s">
        <v>3229</v>
      </c>
      <c r="AF127" s="3764" t="s">
        <v>781</v>
      </c>
      <c r="AG127" s="3765"/>
      <c r="AH127" s="590">
        <v>0.5</v>
      </c>
      <c r="AI127" s="553">
        <v>0.3</v>
      </c>
      <c r="AJ127" s="553">
        <v>0.2</v>
      </c>
      <c r="AK127" s="590" t="s">
        <v>3229</v>
      </c>
      <c r="AL127" s="590" t="s">
        <v>3229</v>
      </c>
      <c r="AM127" s="593" t="s">
        <v>3229</v>
      </c>
      <c r="AN127" s="576">
        <v>8.4499999999999992E-2</v>
      </c>
      <c r="AO127" s="660">
        <v>10.85</v>
      </c>
      <c r="AP127" s="1368" t="s">
        <v>3229</v>
      </c>
      <c r="AQ127" s="675" t="s">
        <v>3229</v>
      </c>
      <c r="AR127" s="632" t="e">
        <f>MAX(0,AF127*L127+SUM('klikací hodnoty'!F3215:F3226))</f>
        <v>#VALUE!</v>
      </c>
      <c r="AS127" s="558" t="e">
        <f>POWER(1+AR127,1/((I127-F127)/365))-1</f>
        <v>#VALUE!</v>
      </c>
      <c r="AT127" s="653" t="e">
        <f>J127*(1+AR127)/AO127-1</f>
        <v>#VALUE!</v>
      </c>
      <c r="AU127" s="654" t="e">
        <f>POWER(1+AT127,1/AG127)-1</f>
        <v>#VALUE!</v>
      </c>
      <c r="AV127" s="558" t="e">
        <f>MAX(M127,AN127+AF127*K127)</f>
        <v>#VALUE!</v>
      </c>
      <c r="AW127" s="558" t="e">
        <f>POWER(1+AV127,1/((I127-F127)/365))-1</f>
        <v>#VALUE!</v>
      </c>
      <c r="AX127" s="558" t="e">
        <f>J127*(1+AV127)/AO127-1</f>
        <v>#VALUE!</v>
      </c>
      <c r="AY127" s="559" t="e">
        <f>POWER(1+AX127,1/AG127)-1</f>
        <v>#VALUE!</v>
      </c>
      <c r="AZ127" s="642" t="e">
        <f t="shared" si="22"/>
        <v>#VALUE!</v>
      </c>
      <c r="BA127" s="644" t="s">
        <v>3189</v>
      </c>
      <c r="BB127" s="570" t="s">
        <v>2025</v>
      </c>
      <c r="BC127" s="581" t="s">
        <v>2895</v>
      </c>
      <c r="BD127" s="3708"/>
      <c r="BE127" s="3743"/>
      <c r="BF127" s="3743"/>
      <c r="BG127" s="3708"/>
      <c r="BH127" s="3762"/>
      <c r="BI127" s="3762"/>
      <c r="BJ127" s="39"/>
      <c r="BK127" s="39"/>
      <c r="BL127" s="39"/>
      <c r="BM127" s="39"/>
      <c r="BN127" s="39"/>
      <c r="BO127" s="39"/>
      <c r="BP127" s="39"/>
      <c r="BQ127" s="39"/>
      <c r="BR127" s="39"/>
      <c r="BS127" s="507"/>
      <c r="BT127" s="507"/>
      <c r="BU127" s="507"/>
      <c r="BV127" s="507"/>
      <c r="BW127" s="507"/>
      <c r="BX127" s="507"/>
      <c r="BY127" s="507"/>
      <c r="BZ127" s="507"/>
      <c r="CA127" s="507"/>
      <c r="CB127" s="507"/>
      <c r="CC127" s="507"/>
      <c r="CD127" s="507"/>
      <c r="CE127" s="507"/>
      <c r="CF127" s="507"/>
      <c r="CG127" s="507"/>
      <c r="CH127" s="507"/>
      <c r="CI127" s="507"/>
      <c r="CJ127" s="507"/>
      <c r="CK127" s="507"/>
      <c r="CL127" s="507"/>
      <c r="CM127" s="507"/>
      <c r="CN127" s="507"/>
      <c r="CO127" s="507"/>
      <c r="CP127" s="507"/>
      <c r="CQ127" s="507"/>
      <c r="CR127" s="507"/>
      <c r="CS127" s="507"/>
      <c r="CT127" s="507"/>
      <c r="CU127" s="507"/>
      <c r="CV127" s="507"/>
      <c r="CW127" s="507"/>
      <c r="CX127" s="507"/>
      <c r="CY127" s="507"/>
      <c r="CZ127" s="507"/>
      <c r="DA127" s="507"/>
      <c r="DB127" s="507"/>
      <c r="DC127" s="507"/>
      <c r="DD127" s="507"/>
      <c r="DE127" s="507"/>
      <c r="DF127" s="507"/>
      <c r="DG127" s="507"/>
      <c r="DH127" s="507"/>
      <c r="DI127" s="507"/>
      <c r="DJ127" s="507"/>
      <c r="DK127" s="507"/>
      <c r="DL127" s="507"/>
      <c r="DM127" s="507"/>
      <c r="DN127" s="507"/>
      <c r="DO127" s="507"/>
      <c r="DP127" s="507"/>
      <c r="DQ127" s="507"/>
      <c r="DR127" s="507"/>
      <c r="DS127" s="507"/>
      <c r="DT127" s="507"/>
      <c r="DU127" s="507"/>
      <c r="DV127" s="507"/>
      <c r="DW127" s="507"/>
      <c r="DX127" s="507"/>
      <c r="DY127" s="507"/>
      <c r="DZ127" s="507"/>
      <c r="EA127" s="507"/>
      <c r="EB127" s="507"/>
      <c r="EC127" s="507"/>
      <c r="ED127" s="507"/>
      <c r="EE127" s="507"/>
      <c r="EF127" s="507"/>
      <c r="EG127" s="507"/>
      <c r="EH127" s="507"/>
      <c r="EI127" s="507"/>
      <c r="EJ127" s="507"/>
      <c r="EK127" s="507"/>
      <c r="EL127" s="507"/>
      <c r="EM127" s="507"/>
      <c r="EN127" s="507"/>
      <c r="EO127" s="507"/>
      <c r="EP127" s="507"/>
      <c r="EQ127" s="507"/>
      <c r="ER127" s="507"/>
      <c r="ES127" s="507"/>
      <c r="ET127" s="507"/>
      <c r="EU127" s="507"/>
      <c r="EV127" s="507"/>
      <c r="EW127" s="507"/>
      <c r="EX127" s="507"/>
      <c r="EY127" s="507"/>
      <c r="EZ127" s="507"/>
      <c r="FA127" s="507"/>
      <c r="FB127" s="507"/>
      <c r="FC127" s="507"/>
      <c r="FD127" s="507"/>
      <c r="FE127" s="507"/>
      <c r="FF127" s="507"/>
      <c r="FG127" s="507"/>
      <c r="FH127" s="507"/>
      <c r="FI127" s="507"/>
      <c r="FJ127" s="507"/>
      <c r="FK127" s="507"/>
      <c r="FL127" s="507"/>
      <c r="FM127" s="507"/>
      <c r="FN127" s="507"/>
      <c r="FO127" s="507"/>
      <c r="FP127" s="507"/>
      <c r="FQ127" s="507"/>
      <c r="FR127" s="507"/>
      <c r="FS127" s="507"/>
      <c r="FT127" s="507"/>
      <c r="FU127" s="507"/>
      <c r="FV127" s="507"/>
      <c r="FW127" s="507"/>
      <c r="FX127" s="507"/>
      <c r="FY127" s="507"/>
      <c r="FZ127" s="507"/>
      <c r="GA127" s="507"/>
      <c r="GB127" s="507"/>
      <c r="GC127" s="507"/>
      <c r="GD127" s="507"/>
      <c r="GE127" s="507"/>
      <c r="GF127" s="507"/>
      <c r="GG127" s="507"/>
      <c r="GH127" s="507"/>
      <c r="GI127" s="507"/>
      <c r="GJ127" s="507"/>
      <c r="GK127" s="507"/>
      <c r="GL127" s="507"/>
      <c r="GM127" s="507"/>
      <c r="GN127" s="507"/>
      <c r="GO127" s="507"/>
      <c r="GP127" s="507"/>
      <c r="GQ127" s="507"/>
      <c r="GR127" s="507"/>
      <c r="GS127" s="507"/>
      <c r="GT127" s="507"/>
      <c r="GU127" s="507"/>
      <c r="GV127" s="507"/>
      <c r="GW127" s="507"/>
      <c r="GX127" s="507"/>
      <c r="GY127" s="507"/>
      <c r="GZ127" s="507"/>
      <c r="HA127" s="507"/>
      <c r="HB127" s="507"/>
      <c r="HC127" s="507"/>
      <c r="HD127" s="507"/>
      <c r="HE127" s="507"/>
      <c r="HF127" s="507"/>
      <c r="HG127" s="507"/>
      <c r="HH127" s="507"/>
      <c r="HI127" s="507"/>
      <c r="HJ127" s="507"/>
      <c r="HK127" s="507"/>
      <c r="HL127" s="507"/>
      <c r="HM127" s="507"/>
      <c r="HN127" s="507"/>
      <c r="HO127" s="507"/>
      <c r="HP127" s="507"/>
      <c r="HQ127" s="507"/>
      <c r="HR127" s="507"/>
      <c r="HS127" s="507"/>
      <c r="HT127" s="507"/>
      <c r="HU127" s="507"/>
      <c r="HV127" s="507"/>
      <c r="HW127" s="507"/>
      <c r="HX127" s="507"/>
      <c r="HY127" s="507"/>
      <c r="HZ127" s="507"/>
    </row>
    <row r="128" spans="1:234" s="206" customFormat="1" ht="15.9" hidden="1" customHeight="1" x14ac:dyDescent="0.25">
      <c r="A128" s="522" t="s">
        <v>1408</v>
      </c>
      <c r="B128" s="535" t="s">
        <v>2462</v>
      </c>
      <c r="C128" s="527" t="s">
        <v>199</v>
      </c>
      <c r="D128" s="551" t="s">
        <v>4383</v>
      </c>
      <c r="E128" s="569" t="s">
        <v>3228</v>
      </c>
      <c r="F128" s="543">
        <v>39136</v>
      </c>
      <c r="G128" s="586">
        <v>39084</v>
      </c>
      <c r="H128" s="544">
        <v>39129</v>
      </c>
      <c r="I128" s="588">
        <v>40633</v>
      </c>
      <c r="J128" s="579">
        <v>10</v>
      </c>
      <c r="K128" s="553" t="s">
        <v>3229</v>
      </c>
      <c r="L128" s="553" t="s">
        <v>3229</v>
      </c>
      <c r="M128" s="576">
        <v>0.02</v>
      </c>
      <c r="N128" s="675">
        <v>0.9</v>
      </c>
      <c r="O128" s="570" t="s">
        <v>3229</v>
      </c>
      <c r="P128" s="570" t="s">
        <v>3229</v>
      </c>
      <c r="Q128" s="570" t="s">
        <v>3229</v>
      </c>
      <c r="R128" s="570" t="s">
        <v>3229</v>
      </c>
      <c r="S128" s="577"/>
      <c r="T128" s="593" t="s">
        <v>3229</v>
      </c>
      <c r="U128" s="593" t="s">
        <v>3229</v>
      </c>
      <c r="V128" s="593" t="s">
        <v>3229</v>
      </c>
      <c r="W128" s="593" t="s">
        <v>3229</v>
      </c>
      <c r="X128" s="593" t="s">
        <v>3229</v>
      </c>
      <c r="Y128" s="593" t="s">
        <v>3229</v>
      </c>
      <c r="Z128" s="593" t="s">
        <v>3229</v>
      </c>
      <c r="AA128" s="593" t="s">
        <v>3229</v>
      </c>
      <c r="AB128" s="593" t="s">
        <v>3229</v>
      </c>
      <c r="AC128" s="593" t="s">
        <v>3229</v>
      </c>
      <c r="AD128" s="593" t="s">
        <v>3229</v>
      </c>
      <c r="AE128" s="593" t="s">
        <v>3229</v>
      </c>
      <c r="AF128" s="3764" t="s">
        <v>781</v>
      </c>
      <c r="AG128" s="3765"/>
      <c r="AH128" s="590">
        <v>0.5</v>
      </c>
      <c r="AI128" s="553" t="s">
        <v>3229</v>
      </c>
      <c r="AJ128" s="553" t="s">
        <v>3229</v>
      </c>
      <c r="AK128" s="590" t="s">
        <v>3229</v>
      </c>
      <c r="AL128" s="590">
        <v>0.25</v>
      </c>
      <c r="AM128" s="593" t="s">
        <v>3229</v>
      </c>
      <c r="AN128" s="576">
        <v>0.02</v>
      </c>
      <c r="AO128" s="660">
        <v>10.199999999999999</v>
      </c>
      <c r="AP128" s="1368">
        <v>-0.2056375</v>
      </c>
      <c r="AQ128" s="675">
        <v>-0.20478953750532591</v>
      </c>
      <c r="AR128" s="632">
        <f>AO128/10-1</f>
        <v>2.0000000000000018E-2</v>
      </c>
      <c r="AS128" s="558">
        <f>POWER(1+AR128,1/((I128-F128)/365))-1</f>
        <v>4.8399709037503236E-3</v>
      </c>
      <c r="AT128" s="653"/>
      <c r="AU128" s="654"/>
      <c r="AV128" s="558">
        <v>2.100000000000013E-2</v>
      </c>
      <c r="AW128" s="558">
        <v>5.0800790388323414E-3</v>
      </c>
      <c r="AX128" s="558"/>
      <c r="AY128" s="559"/>
      <c r="AZ128" s="642">
        <f t="shared" si="22"/>
        <v>10.210000000000001</v>
      </c>
      <c r="BA128" s="644" t="s">
        <v>643</v>
      </c>
      <c r="BB128" s="570"/>
      <c r="BC128" s="581"/>
      <c r="BD128" s="3708"/>
      <c r="BE128" s="3743"/>
      <c r="BF128" s="3743"/>
      <c r="BG128" s="3708"/>
      <c r="BH128" s="3762"/>
      <c r="BI128" s="3762"/>
      <c r="BJ128" s="39"/>
      <c r="BK128" s="39"/>
      <c r="BL128" s="39"/>
      <c r="BM128" s="39"/>
      <c r="BN128" s="39"/>
      <c r="BO128" s="39"/>
      <c r="BP128" s="39"/>
      <c r="BQ128" s="39"/>
      <c r="BR128" s="39"/>
      <c r="BS128" s="507"/>
      <c r="BT128" s="507"/>
      <c r="BU128" s="507"/>
      <c r="BV128" s="507"/>
      <c r="BW128" s="507"/>
      <c r="BX128" s="507"/>
      <c r="BY128" s="507"/>
      <c r="BZ128" s="507"/>
      <c r="CA128" s="507"/>
      <c r="CB128" s="507"/>
      <c r="CC128" s="507"/>
      <c r="CD128" s="507"/>
      <c r="CE128" s="507"/>
      <c r="CF128" s="507"/>
      <c r="CG128" s="507"/>
      <c r="CH128" s="507"/>
      <c r="CI128" s="507"/>
      <c r="CJ128" s="507"/>
      <c r="CK128" s="507"/>
      <c r="CL128" s="507"/>
      <c r="CM128" s="507"/>
      <c r="CN128" s="507"/>
      <c r="CO128" s="507"/>
      <c r="CP128" s="507"/>
      <c r="CQ128" s="507"/>
      <c r="CR128" s="507"/>
      <c r="CS128" s="507"/>
      <c r="CT128" s="507"/>
      <c r="CU128" s="507"/>
      <c r="CV128" s="507"/>
      <c r="CW128" s="507"/>
      <c r="CX128" s="507"/>
      <c r="CY128" s="507"/>
      <c r="CZ128" s="507"/>
      <c r="DA128" s="507"/>
      <c r="DB128" s="507"/>
      <c r="DC128" s="507"/>
      <c r="DD128" s="507"/>
      <c r="DE128" s="507"/>
      <c r="DF128" s="507"/>
      <c r="DG128" s="507"/>
      <c r="DH128" s="507"/>
      <c r="DI128" s="507"/>
      <c r="DJ128" s="507"/>
      <c r="DK128" s="507"/>
      <c r="DL128" s="507"/>
      <c r="DM128" s="507"/>
      <c r="DN128" s="507"/>
      <c r="DO128" s="507"/>
      <c r="DP128" s="507"/>
      <c r="DQ128" s="507"/>
      <c r="DR128" s="507"/>
      <c r="DS128" s="507"/>
      <c r="DT128" s="507"/>
      <c r="DU128" s="507"/>
      <c r="DV128" s="507"/>
      <c r="DW128" s="507"/>
      <c r="DX128" s="507"/>
      <c r="DY128" s="507"/>
      <c r="DZ128" s="507"/>
      <c r="EA128" s="507"/>
      <c r="EB128" s="507"/>
      <c r="EC128" s="507"/>
      <c r="ED128" s="507"/>
      <c r="EE128" s="507"/>
      <c r="EF128" s="507"/>
      <c r="EG128" s="507"/>
      <c r="EH128" s="507"/>
      <c r="EI128" s="507"/>
      <c r="EJ128" s="507"/>
      <c r="EK128" s="507"/>
      <c r="EL128" s="507"/>
      <c r="EM128" s="507"/>
      <c r="EN128" s="507"/>
      <c r="EO128" s="507"/>
      <c r="EP128" s="507"/>
      <c r="EQ128" s="507"/>
      <c r="ER128" s="507"/>
      <c r="ES128" s="507"/>
      <c r="ET128" s="507"/>
      <c r="EU128" s="507"/>
      <c r="EV128" s="507"/>
      <c r="EW128" s="507"/>
      <c r="EX128" s="507"/>
      <c r="EY128" s="507"/>
      <c r="EZ128" s="507"/>
      <c r="FA128" s="507"/>
      <c r="FB128" s="507"/>
      <c r="FC128" s="507"/>
      <c r="FD128" s="507"/>
      <c r="FE128" s="507"/>
      <c r="FF128" s="507"/>
      <c r="FG128" s="507"/>
      <c r="FH128" s="507"/>
      <c r="FI128" s="507"/>
      <c r="FJ128" s="507"/>
      <c r="FK128" s="507"/>
      <c r="FL128" s="507"/>
      <c r="FM128" s="507"/>
      <c r="FN128" s="507"/>
      <c r="FO128" s="507"/>
      <c r="FP128" s="507"/>
      <c r="FQ128" s="507"/>
      <c r="FR128" s="507"/>
      <c r="FS128" s="507"/>
      <c r="FT128" s="507"/>
      <c r="FU128" s="507"/>
      <c r="FV128" s="507"/>
      <c r="FW128" s="507"/>
      <c r="FX128" s="507"/>
      <c r="FY128" s="507"/>
      <c r="FZ128" s="507"/>
      <c r="GA128" s="507"/>
      <c r="GB128" s="507"/>
      <c r="GC128" s="507"/>
      <c r="GD128" s="507"/>
      <c r="GE128" s="507"/>
      <c r="GF128" s="507"/>
      <c r="GG128" s="507"/>
      <c r="GH128" s="507"/>
      <c r="GI128" s="507"/>
      <c r="GJ128" s="507"/>
      <c r="GK128" s="507"/>
      <c r="GL128" s="507"/>
      <c r="GM128" s="507"/>
      <c r="GN128" s="507"/>
      <c r="GO128" s="507"/>
      <c r="GP128" s="507"/>
      <c r="GQ128" s="507"/>
      <c r="GR128" s="507"/>
      <c r="GS128" s="507"/>
      <c r="GT128" s="507"/>
      <c r="GU128" s="507"/>
      <c r="GV128" s="507"/>
      <c r="GW128" s="507"/>
      <c r="GX128" s="507"/>
      <c r="GY128" s="507"/>
      <c r="GZ128" s="507"/>
      <c r="HA128" s="507"/>
      <c r="HB128" s="507"/>
      <c r="HC128" s="507"/>
      <c r="HD128" s="507"/>
      <c r="HE128" s="507"/>
      <c r="HF128" s="507"/>
      <c r="HG128" s="507"/>
      <c r="HH128" s="507"/>
      <c r="HI128" s="507"/>
      <c r="HJ128" s="507"/>
      <c r="HK128" s="507"/>
      <c r="HL128" s="507"/>
      <c r="HM128" s="507"/>
      <c r="HN128" s="507"/>
      <c r="HO128" s="507"/>
      <c r="HP128" s="507"/>
      <c r="HQ128" s="507"/>
      <c r="HR128" s="507"/>
      <c r="HS128" s="507"/>
      <c r="HT128" s="507"/>
      <c r="HU128" s="507"/>
      <c r="HV128" s="507"/>
      <c r="HW128" s="507"/>
      <c r="HX128" s="507"/>
      <c r="HY128" s="507"/>
      <c r="HZ128" s="507"/>
    </row>
    <row r="129" spans="1:234" s="232" customFormat="1" ht="15.9" hidden="1" customHeight="1" x14ac:dyDescent="0.25">
      <c r="A129" s="522" t="s">
        <v>841</v>
      </c>
      <c r="B129" s="523" t="s">
        <v>2935</v>
      </c>
      <c r="C129" s="527" t="s">
        <v>4422</v>
      </c>
      <c r="D129" s="551" t="s">
        <v>4424</v>
      </c>
      <c r="E129" s="578" t="s">
        <v>3228</v>
      </c>
      <c r="F129" s="543">
        <v>39153</v>
      </c>
      <c r="G129" s="586">
        <v>39114</v>
      </c>
      <c r="H129" s="544">
        <v>39146</v>
      </c>
      <c r="I129" s="588">
        <v>40462</v>
      </c>
      <c r="J129" s="579">
        <v>10</v>
      </c>
      <c r="K129" s="553" t="s">
        <v>3229</v>
      </c>
      <c r="L129" s="552" t="s">
        <v>3229</v>
      </c>
      <c r="M129" s="576">
        <v>0.02</v>
      </c>
      <c r="N129" s="675">
        <v>0.9</v>
      </c>
      <c r="O129" s="570" t="s">
        <v>3229</v>
      </c>
      <c r="P129" s="570" t="s">
        <v>3229</v>
      </c>
      <c r="Q129" s="570" t="s">
        <v>3229</v>
      </c>
      <c r="R129" s="570" t="s">
        <v>3229</v>
      </c>
      <c r="S129" s="577"/>
      <c r="T129" s="553" t="s">
        <v>3229</v>
      </c>
      <c r="U129" s="593" t="s">
        <v>3229</v>
      </c>
      <c r="V129" s="593" t="s">
        <v>3229</v>
      </c>
      <c r="W129" s="593" t="s">
        <v>3229</v>
      </c>
      <c r="X129" s="593" t="s">
        <v>3229</v>
      </c>
      <c r="Y129" s="593" t="s">
        <v>3229</v>
      </c>
      <c r="Z129" s="593" t="s">
        <v>3229</v>
      </c>
      <c r="AA129" s="593" t="s">
        <v>3229</v>
      </c>
      <c r="AB129" s="593" t="s">
        <v>3229</v>
      </c>
      <c r="AC129" s="593" t="s">
        <v>3229</v>
      </c>
      <c r="AD129" s="593" t="s">
        <v>3229</v>
      </c>
      <c r="AE129" s="593" t="s">
        <v>3229</v>
      </c>
      <c r="AF129" s="3764" t="s">
        <v>781</v>
      </c>
      <c r="AG129" s="3765"/>
      <c r="AH129" s="553" t="s">
        <v>3229</v>
      </c>
      <c r="AI129" s="553" t="s">
        <v>3229</v>
      </c>
      <c r="AJ129" s="553" t="s">
        <v>3229</v>
      </c>
      <c r="AK129" s="566" t="s">
        <v>3229</v>
      </c>
      <c r="AL129" s="553" t="s">
        <v>3229</v>
      </c>
      <c r="AM129" s="590">
        <v>1</v>
      </c>
      <c r="AN129" s="576">
        <v>0.02</v>
      </c>
      <c r="AO129" s="660">
        <v>10.199999999999999</v>
      </c>
      <c r="AP129" s="1368">
        <v>-0.2548475</v>
      </c>
      <c r="AQ129" s="675">
        <v>-0.32584872363342809</v>
      </c>
      <c r="AR129" s="558">
        <v>0.02</v>
      </c>
      <c r="AS129" s="558">
        <f>POWER(1+AR129,1/((I129-F129)/365))-1</f>
        <v>5.5370139053854128E-3</v>
      </c>
      <c r="AT129" s="558"/>
      <c r="AU129" s="559"/>
      <c r="AV129" s="558">
        <f>M129</f>
        <v>0.02</v>
      </c>
      <c r="AW129" s="558">
        <f>POWER(1+AV129,1/((I129-F129)/365))-1</f>
        <v>5.5370139053854128E-3</v>
      </c>
      <c r="AX129" s="558"/>
      <c r="AY129" s="559"/>
      <c r="AZ129" s="642">
        <f t="shared" si="22"/>
        <v>10.199999999999999</v>
      </c>
      <c r="BA129" s="644" t="s">
        <v>643</v>
      </c>
      <c r="BB129" s="570"/>
      <c r="BC129" s="637"/>
      <c r="BD129" s="3708"/>
      <c r="BE129" s="3743"/>
      <c r="BF129" s="3743"/>
      <c r="BG129" s="3708"/>
      <c r="BH129" s="3762"/>
      <c r="BI129" s="3762"/>
      <c r="BJ129" s="39"/>
      <c r="BK129" s="39"/>
      <c r="BL129" s="39"/>
      <c r="BM129" s="39"/>
      <c r="BN129" s="39"/>
      <c r="BO129" s="39"/>
      <c r="BP129" s="39"/>
      <c r="BQ129" s="39"/>
      <c r="BR129" s="39"/>
      <c r="BS129" s="507"/>
      <c r="BT129" s="507"/>
      <c r="BU129" s="507"/>
      <c r="BV129" s="507"/>
      <c r="BW129" s="507"/>
      <c r="BX129" s="507"/>
      <c r="BY129" s="507"/>
      <c r="BZ129" s="507"/>
      <c r="CA129" s="507"/>
      <c r="CB129" s="507"/>
      <c r="CC129" s="507"/>
      <c r="CD129" s="507"/>
      <c r="CE129" s="507"/>
      <c r="CF129" s="507"/>
      <c r="CG129" s="507"/>
      <c r="CH129" s="507"/>
      <c r="CI129" s="507"/>
      <c r="CJ129" s="507"/>
      <c r="CK129" s="507"/>
      <c r="CL129" s="507"/>
      <c r="CM129" s="507"/>
      <c r="CN129" s="507"/>
      <c r="CO129" s="507"/>
      <c r="CP129" s="507"/>
      <c r="CQ129" s="507"/>
      <c r="CR129" s="507"/>
      <c r="CS129" s="507"/>
      <c r="CT129" s="507"/>
      <c r="CU129" s="507"/>
      <c r="CV129" s="507"/>
      <c r="CW129" s="507"/>
      <c r="CX129" s="507"/>
      <c r="CY129" s="507"/>
      <c r="CZ129" s="507"/>
      <c r="DA129" s="507"/>
      <c r="DB129" s="507"/>
      <c r="DC129" s="507"/>
      <c r="DD129" s="507"/>
      <c r="DE129" s="507"/>
      <c r="DF129" s="507"/>
      <c r="DG129" s="507"/>
      <c r="DH129" s="507"/>
      <c r="DI129" s="507"/>
      <c r="DJ129" s="507"/>
      <c r="DK129" s="507"/>
      <c r="DL129" s="507"/>
      <c r="DM129" s="507"/>
      <c r="DN129" s="507"/>
      <c r="DO129" s="507"/>
      <c r="DP129" s="507"/>
      <c r="DQ129" s="507"/>
      <c r="DR129" s="507"/>
      <c r="DS129" s="507"/>
      <c r="DT129" s="507"/>
      <c r="DU129" s="507"/>
      <c r="DV129" s="507"/>
      <c r="DW129" s="507"/>
      <c r="DX129" s="507"/>
      <c r="DY129" s="507"/>
      <c r="DZ129" s="507"/>
      <c r="EA129" s="507"/>
      <c r="EB129" s="507"/>
      <c r="EC129" s="507"/>
      <c r="ED129" s="507"/>
      <c r="EE129" s="507"/>
      <c r="EF129" s="507"/>
      <c r="EG129" s="507"/>
      <c r="EH129" s="507"/>
      <c r="EI129" s="507"/>
      <c r="EJ129" s="507"/>
      <c r="EK129" s="507"/>
      <c r="EL129" s="507"/>
      <c r="EM129" s="507"/>
      <c r="EN129" s="507"/>
      <c r="EO129" s="507"/>
      <c r="EP129" s="507"/>
      <c r="EQ129" s="507"/>
      <c r="ER129" s="507"/>
      <c r="ES129" s="507"/>
      <c r="ET129" s="507"/>
      <c r="EU129" s="507"/>
      <c r="EV129" s="507"/>
      <c r="EW129" s="507"/>
      <c r="EX129" s="507"/>
      <c r="EY129" s="507"/>
      <c r="EZ129" s="507"/>
      <c r="FA129" s="507"/>
      <c r="FB129" s="507"/>
      <c r="FC129" s="507"/>
      <c r="FD129" s="507"/>
      <c r="FE129" s="507"/>
      <c r="FF129" s="507"/>
      <c r="FG129" s="507"/>
      <c r="FH129" s="507"/>
      <c r="FI129" s="507"/>
      <c r="FJ129" s="507"/>
      <c r="FK129" s="507"/>
      <c r="FL129" s="507"/>
      <c r="FM129" s="507"/>
      <c r="FN129" s="507"/>
      <c r="FO129" s="507"/>
      <c r="FP129" s="507"/>
      <c r="FQ129" s="507"/>
      <c r="FR129" s="507"/>
      <c r="FS129" s="507"/>
      <c r="FT129" s="507"/>
      <c r="FU129" s="507"/>
      <c r="FV129" s="507"/>
      <c r="FW129" s="507"/>
      <c r="FX129" s="507"/>
      <c r="FY129" s="507"/>
      <c r="FZ129" s="507"/>
      <c r="GA129" s="507"/>
      <c r="GB129" s="507"/>
      <c r="GC129" s="507"/>
      <c r="GD129" s="507"/>
      <c r="GE129" s="507"/>
      <c r="GF129" s="507"/>
      <c r="GG129" s="507"/>
      <c r="GH129" s="507"/>
      <c r="GI129" s="507"/>
      <c r="GJ129" s="507"/>
      <c r="GK129" s="507"/>
      <c r="GL129" s="507"/>
      <c r="GM129" s="507"/>
      <c r="GN129" s="507"/>
      <c r="GO129" s="507"/>
      <c r="GP129" s="507"/>
      <c r="GQ129" s="507"/>
      <c r="GR129" s="507"/>
      <c r="GS129" s="507"/>
      <c r="GT129" s="507"/>
      <c r="GU129" s="507"/>
      <c r="GV129" s="507"/>
      <c r="GW129" s="507"/>
      <c r="GX129" s="507"/>
      <c r="GY129" s="507"/>
      <c r="GZ129" s="507"/>
      <c r="HA129" s="507"/>
      <c r="HB129" s="507"/>
      <c r="HC129" s="507"/>
      <c r="HD129" s="507"/>
      <c r="HE129" s="507"/>
      <c r="HF129" s="507"/>
      <c r="HG129" s="507"/>
      <c r="HH129" s="507"/>
      <c r="HI129" s="507"/>
      <c r="HJ129" s="507"/>
      <c r="HK129" s="507"/>
      <c r="HL129" s="507"/>
      <c r="HM129" s="507"/>
      <c r="HN129" s="507"/>
      <c r="HO129" s="507"/>
      <c r="HP129" s="507"/>
      <c r="HQ129" s="507"/>
      <c r="HR129" s="507"/>
      <c r="HS129" s="507"/>
      <c r="HT129" s="507"/>
      <c r="HU129" s="507"/>
      <c r="HV129" s="507"/>
      <c r="HW129" s="507"/>
      <c r="HX129" s="507"/>
      <c r="HY129" s="507"/>
      <c r="HZ129" s="507"/>
    </row>
    <row r="130" spans="1:234" s="232" customFormat="1" ht="15.9" hidden="1" customHeight="1" x14ac:dyDescent="0.25">
      <c r="A130" s="522" t="s">
        <v>2372</v>
      </c>
      <c r="B130" s="523" t="s">
        <v>364</v>
      </c>
      <c r="C130" s="527" t="s">
        <v>3620</v>
      </c>
      <c r="D130" s="570" t="s">
        <v>189</v>
      </c>
      <c r="E130" s="569" t="s">
        <v>3228</v>
      </c>
      <c r="F130" s="543">
        <v>39148</v>
      </c>
      <c r="G130" s="544">
        <v>39114</v>
      </c>
      <c r="H130" s="557">
        <v>39141</v>
      </c>
      <c r="I130" s="546">
        <v>40998</v>
      </c>
      <c r="J130" s="547">
        <v>10</v>
      </c>
      <c r="K130" s="553" t="s">
        <v>3229</v>
      </c>
      <c r="L130" s="552" t="s">
        <v>3229</v>
      </c>
      <c r="M130" s="549">
        <v>0</v>
      </c>
      <c r="N130" s="606">
        <v>0.6</v>
      </c>
      <c r="O130" s="551" t="s">
        <v>3229</v>
      </c>
      <c r="P130" s="576" t="s">
        <v>3229</v>
      </c>
      <c r="Q130" s="570" t="s">
        <v>3229</v>
      </c>
      <c r="R130" s="570" t="s">
        <v>3229</v>
      </c>
      <c r="S130" s="577"/>
      <c r="T130" s="553" t="s">
        <v>3229</v>
      </c>
      <c r="U130" s="553" t="s">
        <v>3229</v>
      </c>
      <c r="V130" s="553" t="s">
        <v>3229</v>
      </c>
      <c r="W130" s="553" t="s">
        <v>3229</v>
      </c>
      <c r="X130" s="553" t="s">
        <v>3229</v>
      </c>
      <c r="Y130" s="553" t="s">
        <v>3229</v>
      </c>
      <c r="Z130" s="553" t="s">
        <v>3229</v>
      </c>
      <c r="AA130" s="553" t="s">
        <v>3229</v>
      </c>
      <c r="AB130" s="553" t="s">
        <v>2734</v>
      </c>
      <c r="AC130" s="553" t="s">
        <v>3229</v>
      </c>
      <c r="AD130" s="553" t="s">
        <v>3229</v>
      </c>
      <c r="AE130" s="553" t="s">
        <v>3229</v>
      </c>
      <c r="AF130" s="3764" t="s">
        <v>781</v>
      </c>
      <c r="AG130" s="3765"/>
      <c r="AH130" s="553" t="s">
        <v>3229</v>
      </c>
      <c r="AI130" s="553" t="s">
        <v>3229</v>
      </c>
      <c r="AJ130" s="553" t="s">
        <v>3229</v>
      </c>
      <c r="AK130" s="566" t="s">
        <v>3229</v>
      </c>
      <c r="AL130" s="553" t="s">
        <v>3229</v>
      </c>
      <c r="AM130" s="659">
        <v>1</v>
      </c>
      <c r="AN130" s="606">
        <v>4.2974700000000012E-2</v>
      </c>
      <c r="AO130" s="660">
        <v>10.41</v>
      </c>
      <c r="AP130" s="1368">
        <v>7.1624500000000021E-2</v>
      </c>
      <c r="AQ130" s="1632">
        <v>0.10035648261522251</v>
      </c>
      <c r="AR130" s="558" t="s">
        <v>3660</v>
      </c>
      <c r="AS130" s="558"/>
      <c r="AT130" s="650"/>
      <c r="AU130" s="552"/>
      <c r="AV130" s="558">
        <f>M130</f>
        <v>0</v>
      </c>
      <c r="AW130" s="558">
        <f>POWER(1+AV130,1/((I130-F130)/365))-1</f>
        <v>0</v>
      </c>
      <c r="AX130" s="553"/>
      <c r="AY130" s="552"/>
      <c r="AZ130" s="642">
        <f t="shared" si="22"/>
        <v>10</v>
      </c>
      <c r="BA130" s="644" t="s">
        <v>3190</v>
      </c>
      <c r="BB130" s="570"/>
      <c r="BC130" s="637"/>
      <c r="BD130" s="3708"/>
      <c r="BE130" s="3743"/>
      <c r="BF130" s="3743"/>
      <c r="BG130" s="3708"/>
      <c r="BH130" s="3762"/>
      <c r="BI130" s="3762"/>
      <c r="BJ130" s="39"/>
      <c r="BK130" s="39"/>
      <c r="BL130" s="39"/>
      <c r="BM130" s="39"/>
      <c r="BN130" s="39"/>
      <c r="BO130" s="39"/>
      <c r="BP130" s="39"/>
      <c r="BQ130" s="39"/>
      <c r="BR130" s="39"/>
      <c r="BS130" s="507"/>
      <c r="BT130" s="507"/>
      <c r="BU130" s="507"/>
      <c r="BV130" s="507"/>
      <c r="BW130" s="507"/>
      <c r="BX130" s="507"/>
      <c r="BY130" s="507"/>
      <c r="BZ130" s="507"/>
      <c r="CA130" s="507"/>
      <c r="CB130" s="507"/>
      <c r="CC130" s="507"/>
      <c r="CD130" s="507"/>
      <c r="CE130" s="507"/>
      <c r="CF130" s="507"/>
      <c r="CG130" s="507"/>
      <c r="CH130" s="507"/>
      <c r="CI130" s="507"/>
      <c r="CJ130" s="507"/>
      <c r="CK130" s="507"/>
      <c r="CL130" s="507"/>
      <c r="CM130" s="507"/>
      <c r="CN130" s="507"/>
      <c r="CO130" s="507"/>
      <c r="CP130" s="507"/>
      <c r="CQ130" s="507"/>
      <c r="CR130" s="507"/>
      <c r="CS130" s="507"/>
      <c r="CT130" s="507"/>
      <c r="CU130" s="507"/>
      <c r="CV130" s="507"/>
      <c r="CW130" s="507"/>
      <c r="CX130" s="507"/>
      <c r="CY130" s="507"/>
      <c r="CZ130" s="507"/>
      <c r="DA130" s="507"/>
      <c r="DB130" s="507"/>
      <c r="DC130" s="507"/>
      <c r="DD130" s="507"/>
      <c r="DE130" s="507"/>
      <c r="DF130" s="507"/>
      <c r="DG130" s="507"/>
      <c r="DH130" s="507"/>
      <c r="DI130" s="507"/>
      <c r="DJ130" s="507"/>
      <c r="DK130" s="507"/>
      <c r="DL130" s="507"/>
      <c r="DM130" s="507"/>
      <c r="DN130" s="507"/>
      <c r="DO130" s="507"/>
      <c r="DP130" s="507"/>
      <c r="DQ130" s="507"/>
      <c r="DR130" s="507"/>
      <c r="DS130" s="507"/>
      <c r="DT130" s="507"/>
      <c r="DU130" s="507"/>
      <c r="DV130" s="507"/>
      <c r="DW130" s="507"/>
      <c r="DX130" s="507"/>
      <c r="DY130" s="507"/>
      <c r="DZ130" s="507"/>
      <c r="EA130" s="507"/>
      <c r="EB130" s="507"/>
      <c r="EC130" s="507"/>
      <c r="ED130" s="507"/>
      <c r="EE130" s="507"/>
      <c r="EF130" s="507"/>
      <c r="EG130" s="507"/>
      <c r="EH130" s="507"/>
      <c r="EI130" s="507"/>
      <c r="EJ130" s="507"/>
      <c r="EK130" s="507"/>
      <c r="EL130" s="507"/>
      <c r="EM130" s="507"/>
      <c r="EN130" s="507"/>
      <c r="EO130" s="507"/>
      <c r="EP130" s="507"/>
      <c r="EQ130" s="507"/>
      <c r="ER130" s="507"/>
      <c r="ES130" s="507"/>
      <c r="ET130" s="507"/>
      <c r="EU130" s="507"/>
      <c r="EV130" s="507"/>
      <c r="EW130" s="507"/>
      <c r="EX130" s="507"/>
      <c r="EY130" s="507"/>
      <c r="EZ130" s="507"/>
      <c r="FA130" s="507"/>
      <c r="FB130" s="507"/>
      <c r="FC130" s="507"/>
      <c r="FD130" s="507"/>
      <c r="FE130" s="507"/>
      <c r="FF130" s="507"/>
      <c r="FG130" s="507"/>
      <c r="FH130" s="507"/>
      <c r="FI130" s="507"/>
      <c r="FJ130" s="507"/>
      <c r="FK130" s="507"/>
      <c r="FL130" s="507"/>
      <c r="FM130" s="507"/>
      <c r="FN130" s="507"/>
      <c r="FO130" s="507"/>
      <c r="FP130" s="507"/>
      <c r="FQ130" s="507"/>
      <c r="FR130" s="507"/>
      <c r="FS130" s="507"/>
      <c r="FT130" s="507"/>
      <c r="FU130" s="507"/>
      <c r="FV130" s="507"/>
      <c r="FW130" s="507"/>
      <c r="FX130" s="507"/>
      <c r="FY130" s="507"/>
      <c r="FZ130" s="507"/>
      <c r="GA130" s="507"/>
      <c r="GB130" s="507"/>
      <c r="GC130" s="507"/>
      <c r="GD130" s="507"/>
      <c r="GE130" s="507"/>
      <c r="GF130" s="507"/>
      <c r="GG130" s="507"/>
      <c r="GH130" s="507"/>
      <c r="GI130" s="507"/>
      <c r="GJ130" s="507"/>
      <c r="GK130" s="507"/>
      <c r="GL130" s="507"/>
      <c r="GM130" s="507"/>
      <c r="GN130" s="507"/>
      <c r="GO130" s="507"/>
      <c r="GP130" s="507"/>
      <c r="GQ130" s="507"/>
      <c r="GR130" s="507"/>
      <c r="GS130" s="507"/>
      <c r="GT130" s="507"/>
      <c r="GU130" s="507"/>
      <c r="GV130" s="507"/>
      <c r="GW130" s="507"/>
      <c r="GX130" s="507"/>
      <c r="GY130" s="507"/>
      <c r="GZ130" s="507"/>
      <c r="HA130" s="507"/>
      <c r="HB130" s="507"/>
      <c r="HC130" s="507"/>
      <c r="HD130" s="507"/>
      <c r="HE130" s="507"/>
      <c r="HF130" s="507"/>
      <c r="HG130" s="507"/>
      <c r="HH130" s="507"/>
      <c r="HI130" s="507"/>
      <c r="HJ130" s="507"/>
      <c r="HK130" s="507"/>
      <c r="HL130" s="507"/>
      <c r="HM130" s="507"/>
      <c r="HN130" s="507"/>
      <c r="HO130" s="507"/>
      <c r="HP130" s="507"/>
      <c r="HQ130" s="507"/>
      <c r="HR130" s="507"/>
      <c r="HS130" s="507"/>
      <c r="HT130" s="507"/>
      <c r="HU130" s="507"/>
      <c r="HV130" s="507"/>
      <c r="HW130" s="507"/>
      <c r="HX130" s="507"/>
      <c r="HY130" s="507"/>
      <c r="HZ130" s="507"/>
    </row>
    <row r="131" spans="1:234" s="206" customFormat="1" ht="15.9" hidden="1" customHeight="1" x14ac:dyDescent="0.25">
      <c r="A131" s="522" t="s">
        <v>842</v>
      </c>
      <c r="B131" s="535" t="s">
        <v>365</v>
      </c>
      <c r="C131" s="527" t="s">
        <v>4423</v>
      </c>
      <c r="D131" s="551" t="s">
        <v>189</v>
      </c>
      <c r="E131" s="578" t="s">
        <v>905</v>
      </c>
      <c r="F131" s="543">
        <v>39182</v>
      </c>
      <c r="G131" s="586">
        <v>39114</v>
      </c>
      <c r="H131" s="557">
        <v>39171</v>
      </c>
      <c r="I131" s="546">
        <v>40574</v>
      </c>
      <c r="J131" s="579">
        <v>10</v>
      </c>
      <c r="K131" s="553" t="s">
        <v>3229</v>
      </c>
      <c r="L131" s="553" t="s">
        <v>3229</v>
      </c>
      <c r="M131" s="576">
        <v>0</v>
      </c>
      <c r="N131" s="606">
        <v>1.4</v>
      </c>
      <c r="O131" s="578" t="s">
        <v>3229</v>
      </c>
      <c r="P131" s="570" t="s">
        <v>3229</v>
      </c>
      <c r="Q131" s="570" t="s">
        <v>3229</v>
      </c>
      <c r="R131" s="570" t="s">
        <v>3229</v>
      </c>
      <c r="S131" s="577"/>
      <c r="T131" s="553" t="s">
        <v>3229</v>
      </c>
      <c r="U131" s="553" t="s">
        <v>3229</v>
      </c>
      <c r="V131" s="553" t="s">
        <v>3229</v>
      </c>
      <c r="W131" s="553" t="s">
        <v>3229</v>
      </c>
      <c r="X131" s="553" t="s">
        <v>3229</v>
      </c>
      <c r="Y131" s="553" t="s">
        <v>3229</v>
      </c>
      <c r="Z131" s="553" t="s">
        <v>3229</v>
      </c>
      <c r="AA131" s="553" t="s">
        <v>3229</v>
      </c>
      <c r="AB131" s="553" t="s">
        <v>3229</v>
      </c>
      <c r="AC131" s="553" t="s">
        <v>3229</v>
      </c>
      <c r="AD131" s="553" t="s">
        <v>3229</v>
      </c>
      <c r="AE131" s="553" t="s">
        <v>3229</v>
      </c>
      <c r="AF131" s="3764" t="s">
        <v>781</v>
      </c>
      <c r="AG131" s="3765"/>
      <c r="AH131" s="553" t="s">
        <v>3229</v>
      </c>
      <c r="AI131" s="553" t="s">
        <v>3229</v>
      </c>
      <c r="AJ131" s="553" t="s">
        <v>3229</v>
      </c>
      <c r="AK131" s="566" t="s">
        <v>3229</v>
      </c>
      <c r="AL131" s="553" t="s">
        <v>3229</v>
      </c>
      <c r="AM131" s="590">
        <v>1</v>
      </c>
      <c r="AN131" s="576">
        <v>0</v>
      </c>
      <c r="AO131" s="660">
        <v>10</v>
      </c>
      <c r="AP131" s="1368">
        <v>-0.29193602666666668</v>
      </c>
      <c r="AQ131" s="675">
        <v>-0.25738961415531286</v>
      </c>
      <c r="AR131" s="558">
        <f>AO131/10-1</f>
        <v>0</v>
      </c>
      <c r="AS131" s="558">
        <f>POWER(1+AR131,1/((I131-F131)/365))-1</f>
        <v>0</v>
      </c>
      <c r="AT131" s="653"/>
      <c r="AU131" s="654"/>
      <c r="AV131" s="558">
        <f>AO131/10-1</f>
        <v>0</v>
      </c>
      <c r="AW131" s="558">
        <f>POWER(1+AV131,1/((I131-F131)/365))-1</f>
        <v>0</v>
      </c>
      <c r="AX131" s="558"/>
      <c r="AY131" s="559"/>
      <c r="AZ131" s="642">
        <f t="shared" si="22"/>
        <v>10</v>
      </c>
      <c r="BA131" s="644" t="s">
        <v>4427</v>
      </c>
      <c r="BB131" s="570"/>
      <c r="BC131" s="637"/>
      <c r="BD131" s="3708"/>
      <c r="BE131" s="3743"/>
      <c r="BF131" s="3743"/>
      <c r="BG131" s="3708"/>
      <c r="BH131" s="3762"/>
      <c r="BI131" s="3762"/>
      <c r="BJ131" s="39"/>
      <c r="BK131" s="39"/>
      <c r="BL131" s="39"/>
      <c r="BM131" s="39"/>
      <c r="BN131" s="39"/>
      <c r="BO131" s="39"/>
      <c r="BP131" s="39"/>
      <c r="BQ131" s="39"/>
      <c r="BR131" s="39"/>
      <c r="BS131" s="507"/>
      <c r="BT131" s="507"/>
      <c r="BU131" s="507"/>
      <c r="BV131" s="507"/>
      <c r="BW131" s="507"/>
      <c r="BX131" s="507"/>
      <c r="BY131" s="507"/>
      <c r="BZ131" s="507"/>
      <c r="CA131" s="507"/>
      <c r="CB131" s="507"/>
      <c r="CC131" s="507"/>
      <c r="CD131" s="507"/>
      <c r="CE131" s="507"/>
      <c r="CF131" s="507"/>
      <c r="CG131" s="507"/>
      <c r="CH131" s="507"/>
      <c r="CI131" s="507"/>
      <c r="CJ131" s="507"/>
      <c r="CK131" s="507"/>
      <c r="CL131" s="507"/>
      <c r="CM131" s="507"/>
      <c r="CN131" s="507"/>
      <c r="CO131" s="507"/>
      <c r="CP131" s="507"/>
      <c r="CQ131" s="507"/>
      <c r="CR131" s="507"/>
      <c r="CS131" s="507"/>
      <c r="CT131" s="507"/>
      <c r="CU131" s="507"/>
      <c r="CV131" s="507"/>
      <c r="CW131" s="507"/>
      <c r="CX131" s="507"/>
      <c r="CY131" s="507"/>
      <c r="CZ131" s="507"/>
      <c r="DA131" s="507"/>
      <c r="DB131" s="507"/>
      <c r="DC131" s="507"/>
      <c r="DD131" s="507"/>
      <c r="DE131" s="507"/>
      <c r="DF131" s="507"/>
      <c r="DG131" s="507"/>
      <c r="DH131" s="507"/>
      <c r="DI131" s="507"/>
      <c r="DJ131" s="507"/>
      <c r="DK131" s="507"/>
      <c r="DL131" s="507"/>
      <c r="DM131" s="507"/>
      <c r="DN131" s="507"/>
      <c r="DO131" s="507"/>
      <c r="DP131" s="507"/>
      <c r="DQ131" s="507"/>
      <c r="DR131" s="507"/>
      <c r="DS131" s="507"/>
      <c r="DT131" s="507"/>
      <c r="DU131" s="507"/>
      <c r="DV131" s="507"/>
      <c r="DW131" s="507"/>
      <c r="DX131" s="507"/>
      <c r="DY131" s="507"/>
      <c r="DZ131" s="507"/>
      <c r="EA131" s="507"/>
      <c r="EB131" s="507"/>
      <c r="EC131" s="507"/>
      <c r="ED131" s="507"/>
      <c r="EE131" s="507"/>
      <c r="EF131" s="507"/>
      <c r="EG131" s="507"/>
      <c r="EH131" s="507"/>
      <c r="EI131" s="507"/>
      <c r="EJ131" s="507"/>
      <c r="EK131" s="507"/>
      <c r="EL131" s="507"/>
      <c r="EM131" s="507"/>
      <c r="EN131" s="507"/>
      <c r="EO131" s="507"/>
      <c r="EP131" s="507"/>
      <c r="EQ131" s="507"/>
      <c r="ER131" s="507"/>
      <c r="ES131" s="507"/>
      <c r="ET131" s="507"/>
      <c r="EU131" s="507"/>
      <c r="EV131" s="507"/>
      <c r="EW131" s="507"/>
      <c r="EX131" s="507"/>
      <c r="EY131" s="507"/>
      <c r="EZ131" s="507"/>
      <c r="FA131" s="507"/>
      <c r="FB131" s="507"/>
      <c r="FC131" s="507"/>
      <c r="FD131" s="507"/>
      <c r="FE131" s="507"/>
      <c r="FF131" s="507"/>
      <c r="FG131" s="507"/>
      <c r="FH131" s="507"/>
      <c r="FI131" s="507"/>
      <c r="FJ131" s="507"/>
      <c r="FK131" s="507"/>
      <c r="FL131" s="507"/>
      <c r="FM131" s="507"/>
      <c r="FN131" s="507"/>
      <c r="FO131" s="507"/>
      <c r="FP131" s="507"/>
      <c r="FQ131" s="507"/>
      <c r="FR131" s="507"/>
      <c r="FS131" s="507"/>
      <c r="FT131" s="507"/>
      <c r="FU131" s="507"/>
      <c r="FV131" s="507"/>
      <c r="FW131" s="507"/>
      <c r="FX131" s="507"/>
      <c r="FY131" s="507"/>
      <c r="FZ131" s="507"/>
      <c r="GA131" s="507"/>
      <c r="GB131" s="507"/>
      <c r="GC131" s="507"/>
      <c r="GD131" s="507"/>
      <c r="GE131" s="507"/>
      <c r="GF131" s="507"/>
      <c r="GG131" s="507"/>
      <c r="GH131" s="507"/>
      <c r="GI131" s="507"/>
      <c r="GJ131" s="507"/>
      <c r="GK131" s="507"/>
      <c r="GL131" s="507"/>
      <c r="GM131" s="507"/>
      <c r="GN131" s="507"/>
      <c r="GO131" s="507"/>
      <c r="GP131" s="507"/>
      <c r="GQ131" s="507"/>
      <c r="GR131" s="507"/>
      <c r="GS131" s="507"/>
      <c r="GT131" s="507"/>
      <c r="GU131" s="507"/>
      <c r="GV131" s="507"/>
      <c r="GW131" s="507"/>
      <c r="GX131" s="507"/>
      <c r="GY131" s="507"/>
      <c r="GZ131" s="507"/>
      <c r="HA131" s="507"/>
      <c r="HB131" s="507"/>
      <c r="HC131" s="507"/>
      <c r="HD131" s="507"/>
      <c r="HE131" s="507"/>
      <c r="HF131" s="507"/>
      <c r="HG131" s="507"/>
      <c r="HH131" s="507"/>
      <c r="HI131" s="507"/>
      <c r="HJ131" s="507"/>
      <c r="HK131" s="507"/>
      <c r="HL131" s="507"/>
      <c r="HM131" s="507"/>
      <c r="HN131" s="507"/>
      <c r="HO131" s="507"/>
      <c r="HP131" s="507"/>
      <c r="HQ131" s="507"/>
      <c r="HR131" s="507"/>
      <c r="HS131" s="507"/>
      <c r="HT131" s="507"/>
      <c r="HU131" s="507"/>
      <c r="HV131" s="507"/>
      <c r="HW131" s="507"/>
      <c r="HX131" s="507"/>
      <c r="HY131" s="507"/>
      <c r="HZ131" s="507"/>
    </row>
    <row r="132" spans="1:234" s="206" customFormat="1" ht="15.9" hidden="1" customHeight="1" x14ac:dyDescent="0.25">
      <c r="A132" s="522" t="s">
        <v>2373</v>
      </c>
      <c r="B132" s="535" t="s">
        <v>3812</v>
      </c>
      <c r="C132" s="527" t="s">
        <v>4421</v>
      </c>
      <c r="D132" s="551" t="s">
        <v>189</v>
      </c>
      <c r="E132" s="578" t="s">
        <v>3228</v>
      </c>
      <c r="F132" s="543">
        <v>39148</v>
      </c>
      <c r="G132" s="586">
        <v>39114</v>
      </c>
      <c r="H132" s="557">
        <v>39141</v>
      </c>
      <c r="I132" s="592">
        <v>40268</v>
      </c>
      <c r="J132" s="579">
        <v>10</v>
      </c>
      <c r="K132" s="553" t="s">
        <v>3229</v>
      </c>
      <c r="L132" s="553" t="s">
        <v>3229</v>
      </c>
      <c r="M132" s="576">
        <v>0</v>
      </c>
      <c r="N132" s="606">
        <v>1.85</v>
      </c>
      <c r="O132" s="578" t="s">
        <v>3229</v>
      </c>
      <c r="P132" s="578" t="s">
        <v>3229</v>
      </c>
      <c r="Q132" s="578" t="s">
        <v>3229</v>
      </c>
      <c r="R132" s="578" t="s">
        <v>3229</v>
      </c>
      <c r="S132" s="577"/>
      <c r="T132" s="553" t="s">
        <v>3229</v>
      </c>
      <c r="U132" s="553" t="s">
        <v>3229</v>
      </c>
      <c r="V132" s="553" t="s">
        <v>3229</v>
      </c>
      <c r="W132" s="553" t="s">
        <v>3229</v>
      </c>
      <c r="X132" s="553" t="s">
        <v>3229</v>
      </c>
      <c r="Y132" s="553" t="s">
        <v>3229</v>
      </c>
      <c r="Z132" s="553" t="s">
        <v>3229</v>
      </c>
      <c r="AA132" s="553" t="s">
        <v>3229</v>
      </c>
      <c r="AB132" s="553" t="s">
        <v>3229</v>
      </c>
      <c r="AC132" s="553" t="s">
        <v>3229</v>
      </c>
      <c r="AD132" s="553" t="s">
        <v>3229</v>
      </c>
      <c r="AE132" s="553" t="s">
        <v>3229</v>
      </c>
      <c r="AF132" s="3764" t="s">
        <v>781</v>
      </c>
      <c r="AG132" s="3765"/>
      <c r="AH132" s="553" t="s">
        <v>3229</v>
      </c>
      <c r="AI132" s="553" t="s">
        <v>3229</v>
      </c>
      <c r="AJ132" s="553" t="s">
        <v>3229</v>
      </c>
      <c r="AK132" s="566" t="s">
        <v>3229</v>
      </c>
      <c r="AL132" s="553" t="s">
        <v>3229</v>
      </c>
      <c r="AM132" s="590">
        <v>1</v>
      </c>
      <c r="AN132" s="576">
        <v>0.14075170000000001</v>
      </c>
      <c r="AO132" s="660">
        <v>11.41</v>
      </c>
      <c r="AP132" s="1368">
        <v>7.6081999999999997E-2</v>
      </c>
      <c r="AQ132" s="675">
        <v>7.6081999999999997E-2</v>
      </c>
      <c r="AR132" s="558">
        <f>AO132/10-1</f>
        <v>0.14100000000000001</v>
      </c>
      <c r="AS132" s="558">
        <f>POWER(1+AR132,1/((I132-F132)/365))-1</f>
        <v>4.3924240671422199E-2</v>
      </c>
      <c r="AT132" s="653"/>
      <c r="AU132" s="654"/>
      <c r="AV132" s="558">
        <f>AR132</f>
        <v>0.14100000000000001</v>
      </c>
      <c r="AW132" s="558">
        <f>POWER(1+AV132,1/((I132-F132)/365))-1</f>
        <v>4.3924240671422199E-2</v>
      </c>
      <c r="AX132" s="558"/>
      <c r="AY132" s="559"/>
      <c r="AZ132" s="642">
        <f t="shared" si="22"/>
        <v>11.41</v>
      </c>
      <c r="BA132" s="644" t="s">
        <v>3190</v>
      </c>
      <c r="BB132" s="570"/>
      <c r="BC132" s="637"/>
      <c r="BD132" s="3708"/>
      <c r="BE132" s="3743"/>
      <c r="BF132" s="3743"/>
      <c r="BG132" s="3708"/>
      <c r="BH132" s="3762"/>
      <c r="BI132" s="3762"/>
      <c r="BJ132" s="39"/>
      <c r="BK132" s="39"/>
      <c r="BL132" s="39"/>
      <c r="BM132" s="39"/>
      <c r="BN132" s="39"/>
      <c r="BO132" s="39"/>
      <c r="BP132" s="39"/>
      <c r="BQ132" s="39"/>
      <c r="BR132" s="39"/>
      <c r="BS132" s="507"/>
      <c r="BT132" s="507"/>
      <c r="BU132" s="507"/>
      <c r="BV132" s="507"/>
      <c r="BW132" s="507"/>
      <c r="BX132" s="507"/>
      <c r="BY132" s="507"/>
      <c r="BZ132" s="507"/>
      <c r="CA132" s="507"/>
      <c r="CB132" s="507"/>
      <c r="CC132" s="507"/>
      <c r="CD132" s="507"/>
      <c r="CE132" s="507"/>
      <c r="CF132" s="507"/>
      <c r="CG132" s="507"/>
      <c r="CH132" s="507"/>
      <c r="CI132" s="507"/>
      <c r="CJ132" s="507"/>
      <c r="CK132" s="507"/>
      <c r="CL132" s="507"/>
      <c r="CM132" s="507"/>
      <c r="CN132" s="507"/>
      <c r="CO132" s="507"/>
      <c r="CP132" s="507"/>
      <c r="CQ132" s="507"/>
      <c r="CR132" s="507"/>
      <c r="CS132" s="507"/>
      <c r="CT132" s="507"/>
      <c r="CU132" s="507"/>
      <c r="CV132" s="507"/>
      <c r="CW132" s="507"/>
      <c r="CX132" s="507"/>
      <c r="CY132" s="507"/>
      <c r="CZ132" s="507"/>
      <c r="DA132" s="507"/>
      <c r="DB132" s="507"/>
      <c r="DC132" s="507"/>
      <c r="DD132" s="507"/>
      <c r="DE132" s="507"/>
      <c r="DF132" s="507"/>
      <c r="DG132" s="507"/>
      <c r="DH132" s="507"/>
      <c r="DI132" s="507"/>
      <c r="DJ132" s="507"/>
      <c r="DK132" s="507"/>
      <c r="DL132" s="507"/>
      <c r="DM132" s="507"/>
      <c r="DN132" s="507"/>
      <c r="DO132" s="507"/>
      <c r="DP132" s="507"/>
      <c r="DQ132" s="507"/>
      <c r="DR132" s="507"/>
      <c r="DS132" s="507"/>
      <c r="DT132" s="507"/>
      <c r="DU132" s="507"/>
      <c r="DV132" s="507"/>
      <c r="DW132" s="507"/>
      <c r="DX132" s="507"/>
      <c r="DY132" s="507"/>
      <c r="DZ132" s="507"/>
      <c r="EA132" s="507"/>
      <c r="EB132" s="507"/>
      <c r="EC132" s="507"/>
      <c r="ED132" s="507"/>
      <c r="EE132" s="507"/>
      <c r="EF132" s="507"/>
      <c r="EG132" s="507"/>
      <c r="EH132" s="507"/>
      <c r="EI132" s="507"/>
      <c r="EJ132" s="507"/>
      <c r="EK132" s="507"/>
      <c r="EL132" s="507"/>
      <c r="EM132" s="507"/>
      <c r="EN132" s="507"/>
      <c r="EO132" s="507"/>
      <c r="EP132" s="507"/>
      <c r="EQ132" s="507"/>
      <c r="ER132" s="507"/>
      <c r="ES132" s="507"/>
      <c r="ET132" s="507"/>
      <c r="EU132" s="507"/>
      <c r="EV132" s="507"/>
      <c r="EW132" s="507"/>
      <c r="EX132" s="507"/>
      <c r="EY132" s="507"/>
      <c r="EZ132" s="507"/>
      <c r="FA132" s="507"/>
      <c r="FB132" s="507"/>
      <c r="FC132" s="507"/>
      <c r="FD132" s="507"/>
      <c r="FE132" s="507"/>
      <c r="FF132" s="507"/>
      <c r="FG132" s="507"/>
      <c r="FH132" s="507"/>
      <c r="FI132" s="507"/>
      <c r="FJ132" s="507"/>
      <c r="FK132" s="507"/>
      <c r="FL132" s="507"/>
      <c r="FM132" s="507"/>
      <c r="FN132" s="507"/>
      <c r="FO132" s="507"/>
      <c r="FP132" s="507"/>
      <c r="FQ132" s="507"/>
      <c r="FR132" s="507"/>
      <c r="FS132" s="507"/>
      <c r="FT132" s="507"/>
      <c r="FU132" s="507"/>
      <c r="FV132" s="507"/>
      <c r="FW132" s="507"/>
      <c r="FX132" s="507"/>
      <c r="FY132" s="507"/>
      <c r="FZ132" s="507"/>
      <c r="GA132" s="507"/>
      <c r="GB132" s="507"/>
      <c r="GC132" s="507"/>
      <c r="GD132" s="507"/>
      <c r="GE132" s="507"/>
      <c r="GF132" s="507"/>
      <c r="GG132" s="507"/>
      <c r="GH132" s="507"/>
      <c r="GI132" s="507"/>
      <c r="GJ132" s="507"/>
      <c r="GK132" s="507"/>
      <c r="GL132" s="507"/>
      <c r="GM132" s="507"/>
      <c r="GN132" s="507"/>
      <c r="GO132" s="507"/>
      <c r="GP132" s="507"/>
      <c r="GQ132" s="507"/>
      <c r="GR132" s="507"/>
      <c r="GS132" s="507"/>
      <c r="GT132" s="507"/>
      <c r="GU132" s="507"/>
      <c r="GV132" s="507"/>
      <c r="GW132" s="507"/>
      <c r="GX132" s="507"/>
      <c r="GY132" s="507"/>
      <c r="GZ132" s="507"/>
      <c r="HA132" s="507"/>
      <c r="HB132" s="507"/>
      <c r="HC132" s="507"/>
      <c r="HD132" s="507"/>
      <c r="HE132" s="507"/>
      <c r="HF132" s="507"/>
      <c r="HG132" s="507"/>
      <c r="HH132" s="507"/>
      <c r="HI132" s="507"/>
      <c r="HJ132" s="507"/>
      <c r="HK132" s="507"/>
      <c r="HL132" s="507"/>
      <c r="HM132" s="507"/>
      <c r="HN132" s="507"/>
      <c r="HO132" s="507"/>
      <c r="HP132" s="507"/>
      <c r="HQ132" s="507"/>
      <c r="HR132" s="507"/>
      <c r="HS132" s="507"/>
      <c r="HT132" s="507"/>
      <c r="HU132" s="507"/>
      <c r="HV132" s="507"/>
      <c r="HW132" s="507"/>
      <c r="HX132" s="507"/>
      <c r="HY132" s="507"/>
      <c r="HZ132" s="507"/>
    </row>
    <row r="133" spans="1:234" s="206" customFormat="1" ht="15.9" hidden="1" customHeight="1" x14ac:dyDescent="0.25">
      <c r="A133" s="522" t="s">
        <v>3872</v>
      </c>
      <c r="B133" s="535" t="s">
        <v>2909</v>
      </c>
      <c r="C133" s="537" t="s">
        <v>4001</v>
      </c>
      <c r="D133" s="552" t="s">
        <v>4383</v>
      </c>
      <c r="E133" s="570" t="s">
        <v>3228</v>
      </c>
      <c r="F133" s="543">
        <v>39178</v>
      </c>
      <c r="G133" s="586">
        <v>39132</v>
      </c>
      <c r="H133" s="557">
        <v>39171</v>
      </c>
      <c r="I133" s="546">
        <v>40662</v>
      </c>
      <c r="J133" s="579">
        <v>10</v>
      </c>
      <c r="K133" s="553" t="s">
        <v>3229</v>
      </c>
      <c r="L133" s="553" t="s">
        <v>3229</v>
      </c>
      <c r="M133" s="576">
        <v>0.02</v>
      </c>
      <c r="N133" s="606">
        <v>1</v>
      </c>
      <c r="O133" s="593" t="s">
        <v>3229</v>
      </c>
      <c r="P133" s="570" t="s">
        <v>3229</v>
      </c>
      <c r="Q133" s="570" t="s">
        <v>3229</v>
      </c>
      <c r="R133" s="570" t="s">
        <v>3229</v>
      </c>
      <c r="S133" s="577"/>
      <c r="T133" s="553" t="s">
        <v>3229</v>
      </c>
      <c r="U133" s="553" t="s">
        <v>3229</v>
      </c>
      <c r="V133" s="553" t="s">
        <v>3229</v>
      </c>
      <c r="W133" s="553" t="s">
        <v>3229</v>
      </c>
      <c r="X133" s="553" t="s">
        <v>3229</v>
      </c>
      <c r="Y133" s="553" t="s">
        <v>3229</v>
      </c>
      <c r="Z133" s="553" t="s">
        <v>3229</v>
      </c>
      <c r="AA133" s="553" t="s">
        <v>3229</v>
      </c>
      <c r="AB133" s="553" t="s">
        <v>3229</v>
      </c>
      <c r="AC133" s="553" t="s">
        <v>3229</v>
      </c>
      <c r="AD133" s="553" t="s">
        <v>3229</v>
      </c>
      <c r="AE133" s="553" t="s">
        <v>3229</v>
      </c>
      <c r="AF133" s="3764" t="s">
        <v>781</v>
      </c>
      <c r="AG133" s="3765"/>
      <c r="AH133" s="553" t="s">
        <v>3229</v>
      </c>
      <c r="AI133" s="553" t="s">
        <v>3229</v>
      </c>
      <c r="AJ133" s="553" t="s">
        <v>3229</v>
      </c>
      <c r="AK133" s="566" t="s">
        <v>3229</v>
      </c>
      <c r="AL133" s="553" t="s">
        <v>3229</v>
      </c>
      <c r="AM133" s="590">
        <v>1</v>
      </c>
      <c r="AN133" s="576">
        <v>0.02</v>
      </c>
      <c r="AO133" s="668">
        <v>10.199999999999999</v>
      </c>
      <c r="AP133" s="1368">
        <v>-0.29982881249999999</v>
      </c>
      <c r="AQ133" s="675">
        <v>-0.3364415940945466</v>
      </c>
      <c r="AR133" s="558">
        <f>AO133/10-1</f>
        <v>2.0000000000000018E-2</v>
      </c>
      <c r="AS133" s="558">
        <f>POWER(1+AR133,1/((I133-F133)/365))-1</f>
        <v>4.8824729085541474E-3</v>
      </c>
      <c r="AT133" s="653"/>
      <c r="AU133" s="654"/>
      <c r="AV133" s="558">
        <v>0.02</v>
      </c>
      <c r="AW133" s="558">
        <v>4.8824729085541474E-3</v>
      </c>
      <c r="AX133" s="558"/>
      <c r="AY133" s="559"/>
      <c r="AZ133" s="642">
        <f t="shared" si="22"/>
        <v>10.199999999999999</v>
      </c>
      <c r="BA133" s="644" t="s">
        <v>643</v>
      </c>
      <c r="BB133" s="570"/>
      <c r="BC133" s="581"/>
      <c r="BD133" s="3708"/>
      <c r="BE133" s="3743"/>
      <c r="BF133" s="3743"/>
      <c r="BG133" s="3708"/>
      <c r="BH133" s="3762"/>
      <c r="BI133" s="3762"/>
      <c r="BJ133" s="39"/>
      <c r="BK133" s="39"/>
      <c r="BL133" s="39"/>
      <c r="BM133" s="39"/>
      <c r="BN133" s="39"/>
      <c r="BO133" s="39"/>
      <c r="BP133" s="39"/>
      <c r="BQ133" s="39"/>
      <c r="BR133" s="39"/>
      <c r="BS133" s="507"/>
      <c r="BT133" s="507"/>
      <c r="BU133" s="507"/>
      <c r="BV133" s="507"/>
      <c r="BW133" s="507"/>
      <c r="BX133" s="507"/>
      <c r="BY133" s="507"/>
      <c r="BZ133" s="507"/>
      <c r="CA133" s="507"/>
      <c r="CB133" s="507"/>
      <c r="CC133" s="507"/>
      <c r="CD133" s="507"/>
      <c r="CE133" s="507"/>
      <c r="CF133" s="507"/>
      <c r="CG133" s="507"/>
      <c r="CH133" s="507"/>
      <c r="CI133" s="507"/>
      <c r="CJ133" s="507"/>
      <c r="CK133" s="507"/>
      <c r="CL133" s="507"/>
      <c r="CM133" s="507"/>
      <c r="CN133" s="507"/>
      <c r="CO133" s="507"/>
      <c r="CP133" s="507"/>
      <c r="CQ133" s="507"/>
      <c r="CR133" s="507"/>
      <c r="CS133" s="507"/>
      <c r="CT133" s="507"/>
      <c r="CU133" s="507"/>
      <c r="CV133" s="507"/>
      <c r="CW133" s="507"/>
      <c r="CX133" s="507"/>
      <c r="CY133" s="507"/>
      <c r="CZ133" s="507"/>
      <c r="DA133" s="507"/>
      <c r="DB133" s="507"/>
      <c r="DC133" s="507"/>
      <c r="DD133" s="507"/>
      <c r="DE133" s="507"/>
      <c r="DF133" s="507"/>
      <c r="DG133" s="507"/>
      <c r="DH133" s="507"/>
      <c r="DI133" s="507"/>
      <c r="DJ133" s="507"/>
      <c r="DK133" s="507"/>
      <c r="DL133" s="507"/>
      <c r="DM133" s="507"/>
      <c r="DN133" s="507"/>
      <c r="DO133" s="507"/>
      <c r="DP133" s="507"/>
      <c r="DQ133" s="507"/>
      <c r="DR133" s="507"/>
      <c r="DS133" s="507"/>
      <c r="DT133" s="507"/>
      <c r="DU133" s="507"/>
      <c r="DV133" s="507"/>
      <c r="DW133" s="507"/>
      <c r="DX133" s="507"/>
      <c r="DY133" s="507"/>
      <c r="DZ133" s="507"/>
      <c r="EA133" s="507"/>
      <c r="EB133" s="507"/>
      <c r="EC133" s="507"/>
      <c r="ED133" s="507"/>
      <c r="EE133" s="507"/>
      <c r="EF133" s="507"/>
      <c r="EG133" s="507"/>
      <c r="EH133" s="507"/>
      <c r="EI133" s="507"/>
      <c r="EJ133" s="507"/>
      <c r="EK133" s="507"/>
      <c r="EL133" s="507"/>
      <c r="EM133" s="507"/>
      <c r="EN133" s="507"/>
      <c r="EO133" s="507"/>
      <c r="EP133" s="507"/>
      <c r="EQ133" s="507"/>
      <c r="ER133" s="507"/>
      <c r="ES133" s="507"/>
      <c r="ET133" s="507"/>
      <c r="EU133" s="507"/>
      <c r="EV133" s="507"/>
      <c r="EW133" s="507"/>
      <c r="EX133" s="507"/>
      <c r="EY133" s="507"/>
      <c r="EZ133" s="507"/>
      <c r="FA133" s="507"/>
      <c r="FB133" s="507"/>
      <c r="FC133" s="507"/>
      <c r="FD133" s="507"/>
      <c r="FE133" s="507"/>
      <c r="FF133" s="507"/>
      <c r="FG133" s="507"/>
      <c r="FH133" s="507"/>
      <c r="FI133" s="507"/>
      <c r="FJ133" s="507"/>
      <c r="FK133" s="507"/>
      <c r="FL133" s="507"/>
      <c r="FM133" s="507"/>
      <c r="FN133" s="507"/>
      <c r="FO133" s="507"/>
      <c r="FP133" s="507"/>
      <c r="FQ133" s="507"/>
      <c r="FR133" s="507"/>
      <c r="FS133" s="507"/>
      <c r="FT133" s="507"/>
      <c r="FU133" s="507"/>
      <c r="FV133" s="507"/>
      <c r="FW133" s="507"/>
      <c r="FX133" s="507"/>
      <c r="FY133" s="507"/>
      <c r="FZ133" s="507"/>
      <c r="GA133" s="507"/>
      <c r="GB133" s="507"/>
      <c r="GC133" s="507"/>
      <c r="GD133" s="507"/>
      <c r="GE133" s="507"/>
      <c r="GF133" s="507"/>
      <c r="GG133" s="507"/>
      <c r="GH133" s="507"/>
      <c r="GI133" s="507"/>
      <c r="GJ133" s="507"/>
      <c r="GK133" s="507"/>
      <c r="GL133" s="507"/>
      <c r="GM133" s="507"/>
      <c r="GN133" s="507"/>
      <c r="GO133" s="507"/>
      <c r="GP133" s="507"/>
      <c r="GQ133" s="507"/>
      <c r="GR133" s="507"/>
      <c r="GS133" s="507"/>
      <c r="GT133" s="507"/>
      <c r="GU133" s="507"/>
      <c r="GV133" s="507"/>
      <c r="GW133" s="507"/>
      <c r="GX133" s="507"/>
      <c r="GY133" s="507"/>
      <c r="GZ133" s="507"/>
      <c r="HA133" s="507"/>
      <c r="HB133" s="507"/>
      <c r="HC133" s="507"/>
      <c r="HD133" s="507"/>
      <c r="HE133" s="507"/>
      <c r="HF133" s="507"/>
      <c r="HG133" s="507"/>
      <c r="HH133" s="507"/>
      <c r="HI133" s="507"/>
      <c r="HJ133" s="507"/>
      <c r="HK133" s="507"/>
      <c r="HL133" s="507"/>
      <c r="HM133" s="507"/>
      <c r="HN133" s="507"/>
      <c r="HO133" s="507"/>
      <c r="HP133" s="507"/>
      <c r="HQ133" s="507"/>
      <c r="HR133" s="507"/>
      <c r="HS133" s="507"/>
      <c r="HT133" s="507"/>
      <c r="HU133" s="507"/>
      <c r="HV133" s="507"/>
      <c r="HW133" s="507"/>
      <c r="HX133" s="507"/>
      <c r="HY133" s="507"/>
      <c r="HZ133" s="507"/>
    </row>
    <row r="134" spans="1:234" s="206" customFormat="1" ht="15.9" hidden="1" customHeight="1" x14ac:dyDescent="0.25">
      <c r="A134" s="522" t="s">
        <v>3873</v>
      </c>
      <c r="B134" s="535" t="s">
        <v>1134</v>
      </c>
      <c r="C134" s="537" t="s">
        <v>4426</v>
      </c>
      <c r="D134" s="552" t="s">
        <v>4384</v>
      </c>
      <c r="E134" s="570" t="s">
        <v>3228</v>
      </c>
      <c r="F134" s="543">
        <v>39164</v>
      </c>
      <c r="G134" s="586">
        <v>39132</v>
      </c>
      <c r="H134" s="557">
        <v>39157</v>
      </c>
      <c r="I134" s="546">
        <v>41089</v>
      </c>
      <c r="J134" s="579">
        <v>10</v>
      </c>
      <c r="K134" s="553">
        <v>-0.03</v>
      </c>
      <c r="L134" s="553">
        <v>7.4999999999999997E-2</v>
      </c>
      <c r="M134" s="576">
        <v>0</v>
      </c>
      <c r="N134" s="606" t="s">
        <v>3229</v>
      </c>
      <c r="O134" s="593" t="s">
        <v>3229</v>
      </c>
      <c r="P134" s="570" t="s">
        <v>3229</v>
      </c>
      <c r="Q134" s="570" t="s">
        <v>3229</v>
      </c>
      <c r="R134" s="570" t="s">
        <v>3229</v>
      </c>
      <c r="S134" s="577">
        <v>5</v>
      </c>
      <c r="T134" s="555">
        <v>39508</v>
      </c>
      <c r="U134" s="555">
        <v>39873</v>
      </c>
      <c r="V134" s="555">
        <v>40238</v>
      </c>
      <c r="W134" s="555">
        <v>40603</v>
      </c>
      <c r="X134" s="555">
        <v>41030</v>
      </c>
      <c r="Y134" s="553" t="s">
        <v>3229</v>
      </c>
      <c r="Z134" s="553" t="s">
        <v>3229</v>
      </c>
      <c r="AA134" s="553" t="s">
        <v>3229</v>
      </c>
      <c r="AB134" s="553" t="s">
        <v>3229</v>
      </c>
      <c r="AC134" s="553" t="s">
        <v>3229</v>
      </c>
      <c r="AD134" s="553" t="s">
        <v>3229</v>
      </c>
      <c r="AE134" s="553" t="s">
        <v>3229</v>
      </c>
      <c r="AF134" s="3764" t="s">
        <v>781</v>
      </c>
      <c r="AG134" s="3765"/>
      <c r="AH134" s="553" t="s">
        <v>3229</v>
      </c>
      <c r="AI134" s="553" t="s">
        <v>3229</v>
      </c>
      <c r="AJ134" s="553" t="s">
        <v>3229</v>
      </c>
      <c r="AK134" s="566" t="s">
        <v>3229</v>
      </c>
      <c r="AL134" s="553" t="s">
        <v>3229</v>
      </c>
      <c r="AM134" s="590">
        <v>1</v>
      </c>
      <c r="AN134" s="576">
        <v>0.12859999999999999</v>
      </c>
      <c r="AO134" s="668">
        <v>11.24</v>
      </c>
      <c r="AP134" s="1368">
        <v>0.43842645930915802</v>
      </c>
      <c r="AQ134" s="675">
        <v>0.43842645930915802</v>
      </c>
      <c r="AR134" s="558">
        <v>0.12859999999999999</v>
      </c>
      <c r="AS134" s="558">
        <f>POWER(1+AR134,1/((I134-F134)/365))-1</f>
        <v>2.3203786364189405E-2</v>
      </c>
      <c r="AT134" s="589"/>
      <c r="AU134" s="559"/>
      <c r="AV134" s="558">
        <f>M134</f>
        <v>0</v>
      </c>
      <c r="AW134" s="558">
        <f t="shared" ref="AW134:AW146" si="23">POWER(1+AV134,1/((I134-F134)/365))-1</f>
        <v>0</v>
      </c>
      <c r="AX134" s="558"/>
      <c r="AY134" s="559"/>
      <c r="AZ134" s="642">
        <f t="shared" si="22"/>
        <v>10</v>
      </c>
      <c r="BA134" s="644" t="s">
        <v>467</v>
      </c>
      <c r="BB134" s="570" t="s">
        <v>2025</v>
      </c>
      <c r="BC134" s="581" t="s">
        <v>2895</v>
      </c>
      <c r="BD134" s="3708"/>
      <c r="BE134" s="3743"/>
      <c r="BF134" s="3743"/>
      <c r="BG134" s="3708"/>
      <c r="BH134" s="3762"/>
      <c r="BI134" s="3762"/>
      <c r="BJ134" s="39"/>
      <c r="BK134" s="39"/>
      <c r="BL134" s="39"/>
      <c r="BM134" s="39"/>
      <c r="BN134" s="39"/>
      <c r="BO134" s="39"/>
      <c r="BP134" s="39"/>
      <c r="BQ134" s="39"/>
      <c r="BR134" s="39"/>
      <c r="BS134" s="507"/>
      <c r="BT134" s="507"/>
      <c r="BU134" s="507"/>
      <c r="BV134" s="507"/>
      <c r="BW134" s="507"/>
      <c r="BX134" s="507"/>
      <c r="BY134" s="507"/>
      <c r="BZ134" s="507"/>
      <c r="CA134" s="507"/>
      <c r="CB134" s="507"/>
      <c r="CC134" s="507"/>
      <c r="CD134" s="507"/>
      <c r="CE134" s="507"/>
      <c r="CF134" s="507"/>
      <c r="CG134" s="507"/>
      <c r="CH134" s="507"/>
      <c r="CI134" s="507"/>
      <c r="CJ134" s="507"/>
      <c r="CK134" s="507"/>
      <c r="CL134" s="507"/>
      <c r="CM134" s="507"/>
      <c r="CN134" s="507"/>
      <c r="CO134" s="507"/>
      <c r="CP134" s="507"/>
      <c r="CQ134" s="507"/>
      <c r="CR134" s="507"/>
      <c r="CS134" s="507"/>
      <c r="CT134" s="507"/>
      <c r="CU134" s="507"/>
      <c r="CV134" s="507"/>
      <c r="CW134" s="507"/>
      <c r="CX134" s="507"/>
      <c r="CY134" s="507"/>
      <c r="CZ134" s="507"/>
      <c r="DA134" s="507"/>
      <c r="DB134" s="507"/>
      <c r="DC134" s="507"/>
      <c r="DD134" s="507"/>
      <c r="DE134" s="507"/>
      <c r="DF134" s="507"/>
      <c r="DG134" s="507"/>
      <c r="DH134" s="507"/>
      <c r="DI134" s="507"/>
      <c r="DJ134" s="507"/>
      <c r="DK134" s="507"/>
      <c r="DL134" s="507"/>
      <c r="DM134" s="507"/>
      <c r="DN134" s="507"/>
      <c r="DO134" s="507"/>
      <c r="DP134" s="507"/>
      <c r="DQ134" s="507"/>
      <c r="DR134" s="507"/>
      <c r="DS134" s="507"/>
      <c r="DT134" s="507"/>
      <c r="DU134" s="507"/>
      <c r="DV134" s="507"/>
      <c r="DW134" s="507"/>
      <c r="DX134" s="507"/>
      <c r="DY134" s="507"/>
      <c r="DZ134" s="507"/>
      <c r="EA134" s="507"/>
      <c r="EB134" s="507"/>
      <c r="EC134" s="507"/>
      <c r="ED134" s="507"/>
      <c r="EE134" s="507"/>
      <c r="EF134" s="507"/>
      <c r="EG134" s="507"/>
      <c r="EH134" s="507"/>
      <c r="EI134" s="507"/>
      <c r="EJ134" s="507"/>
      <c r="EK134" s="507"/>
      <c r="EL134" s="507"/>
      <c r="EM134" s="507"/>
      <c r="EN134" s="507"/>
      <c r="EO134" s="507"/>
      <c r="EP134" s="507"/>
      <c r="EQ134" s="507"/>
      <c r="ER134" s="507"/>
      <c r="ES134" s="507"/>
      <c r="ET134" s="507"/>
      <c r="EU134" s="507"/>
      <c r="EV134" s="507"/>
      <c r="EW134" s="507"/>
      <c r="EX134" s="507"/>
      <c r="EY134" s="507"/>
      <c r="EZ134" s="507"/>
      <c r="FA134" s="507"/>
      <c r="FB134" s="507"/>
      <c r="FC134" s="507"/>
      <c r="FD134" s="507"/>
      <c r="FE134" s="507"/>
      <c r="FF134" s="507"/>
      <c r="FG134" s="507"/>
      <c r="FH134" s="507"/>
      <c r="FI134" s="507"/>
      <c r="FJ134" s="507"/>
      <c r="FK134" s="507"/>
      <c r="FL134" s="507"/>
      <c r="FM134" s="507"/>
      <c r="FN134" s="507"/>
      <c r="FO134" s="507"/>
      <c r="FP134" s="507"/>
      <c r="FQ134" s="507"/>
      <c r="FR134" s="507"/>
      <c r="FS134" s="507"/>
      <c r="FT134" s="507"/>
      <c r="FU134" s="507"/>
      <c r="FV134" s="507"/>
      <c r="FW134" s="507"/>
      <c r="FX134" s="507"/>
      <c r="FY134" s="507"/>
      <c r="FZ134" s="507"/>
      <c r="GA134" s="507"/>
      <c r="GB134" s="507"/>
      <c r="GC134" s="507"/>
      <c r="GD134" s="507"/>
      <c r="GE134" s="507"/>
      <c r="GF134" s="507"/>
      <c r="GG134" s="507"/>
      <c r="GH134" s="507"/>
      <c r="GI134" s="507"/>
      <c r="GJ134" s="507"/>
      <c r="GK134" s="507"/>
      <c r="GL134" s="507"/>
      <c r="GM134" s="507"/>
      <c r="GN134" s="507"/>
      <c r="GO134" s="507"/>
      <c r="GP134" s="507"/>
      <c r="GQ134" s="507"/>
      <c r="GR134" s="507"/>
      <c r="GS134" s="507"/>
      <c r="GT134" s="507"/>
      <c r="GU134" s="507"/>
      <c r="GV134" s="507"/>
      <c r="GW134" s="507"/>
      <c r="GX134" s="507"/>
      <c r="GY134" s="507"/>
      <c r="GZ134" s="507"/>
      <c r="HA134" s="507"/>
      <c r="HB134" s="507"/>
      <c r="HC134" s="507"/>
      <c r="HD134" s="507"/>
      <c r="HE134" s="507"/>
      <c r="HF134" s="507"/>
      <c r="HG134" s="507"/>
      <c r="HH134" s="507"/>
      <c r="HI134" s="507"/>
      <c r="HJ134" s="507"/>
      <c r="HK134" s="507"/>
      <c r="HL134" s="507"/>
      <c r="HM134" s="507"/>
      <c r="HN134" s="507"/>
      <c r="HO134" s="507"/>
      <c r="HP134" s="507"/>
      <c r="HQ134" s="507"/>
      <c r="HR134" s="507"/>
      <c r="HS134" s="507"/>
      <c r="HT134" s="507"/>
      <c r="HU134" s="507"/>
      <c r="HV134" s="507"/>
      <c r="HW134" s="507"/>
      <c r="HX134" s="507"/>
      <c r="HY134" s="507"/>
      <c r="HZ134" s="507"/>
    </row>
    <row r="135" spans="1:234" s="206" customFormat="1" ht="15.9" hidden="1" customHeight="1" x14ac:dyDescent="0.25">
      <c r="A135" s="522" t="s">
        <v>1637</v>
      </c>
      <c r="B135" s="535" t="s">
        <v>2472</v>
      </c>
      <c r="C135" s="537" t="s">
        <v>4429</v>
      </c>
      <c r="D135" s="552" t="s">
        <v>4425</v>
      </c>
      <c r="E135" s="570" t="s">
        <v>3228</v>
      </c>
      <c r="F135" s="543">
        <v>39185</v>
      </c>
      <c r="G135" s="586">
        <v>39142</v>
      </c>
      <c r="H135" s="557">
        <v>39176</v>
      </c>
      <c r="I135" s="546">
        <v>41102</v>
      </c>
      <c r="J135" s="579">
        <v>10</v>
      </c>
      <c r="K135" s="553" t="s">
        <v>3229</v>
      </c>
      <c r="L135" s="553" t="s">
        <v>3229</v>
      </c>
      <c r="M135" s="576">
        <v>0.02</v>
      </c>
      <c r="N135" s="606">
        <v>0.84</v>
      </c>
      <c r="O135" s="593" t="s">
        <v>3229</v>
      </c>
      <c r="P135" s="570" t="s">
        <v>3229</v>
      </c>
      <c r="Q135" s="570" t="s">
        <v>3229</v>
      </c>
      <c r="R135" s="570" t="s">
        <v>3229</v>
      </c>
      <c r="S135" s="577"/>
      <c r="T135" s="553" t="s">
        <v>3229</v>
      </c>
      <c r="U135" s="553" t="s">
        <v>3229</v>
      </c>
      <c r="V135" s="553" t="s">
        <v>3229</v>
      </c>
      <c r="W135" s="553" t="s">
        <v>3229</v>
      </c>
      <c r="X135" s="553" t="s">
        <v>3229</v>
      </c>
      <c r="Y135" s="553" t="s">
        <v>3229</v>
      </c>
      <c r="Z135" s="553" t="s">
        <v>3229</v>
      </c>
      <c r="AA135" s="553" t="s">
        <v>3229</v>
      </c>
      <c r="AB135" s="553" t="s">
        <v>3229</v>
      </c>
      <c r="AC135" s="553" t="s">
        <v>3229</v>
      </c>
      <c r="AD135" s="553" t="s">
        <v>3229</v>
      </c>
      <c r="AE135" s="553" t="s">
        <v>3229</v>
      </c>
      <c r="AF135" s="3764" t="s">
        <v>781</v>
      </c>
      <c r="AG135" s="3765"/>
      <c r="AH135" s="553" t="s">
        <v>3229</v>
      </c>
      <c r="AI135" s="553" t="s">
        <v>3229</v>
      </c>
      <c r="AJ135" s="553" t="s">
        <v>3229</v>
      </c>
      <c r="AK135" s="566" t="s">
        <v>3229</v>
      </c>
      <c r="AL135" s="553" t="s">
        <v>3229</v>
      </c>
      <c r="AM135" s="590">
        <v>1</v>
      </c>
      <c r="AN135" s="576">
        <v>0.02</v>
      </c>
      <c r="AO135" s="668">
        <v>10.09</v>
      </c>
      <c r="AP135" s="1368">
        <v>-0.33352097333333336</v>
      </c>
      <c r="AQ135" s="675">
        <v>-0.47907907551890944</v>
      </c>
      <c r="AR135" s="558" t="s">
        <v>3660</v>
      </c>
      <c r="AS135" s="558"/>
      <c r="AT135" s="653"/>
      <c r="AU135" s="654"/>
      <c r="AV135" s="558">
        <f>M135</f>
        <v>0.02</v>
      </c>
      <c r="AW135" s="558">
        <f t="shared" si="23"/>
        <v>3.7775703943274674E-3</v>
      </c>
      <c r="AX135" s="558"/>
      <c r="AY135" s="559"/>
      <c r="AZ135" s="642">
        <f t="shared" si="22"/>
        <v>10.199999999999999</v>
      </c>
      <c r="BA135" s="644" t="s">
        <v>275</v>
      </c>
      <c r="BB135" s="570"/>
      <c r="BC135" s="581"/>
      <c r="BD135" s="3708"/>
      <c r="BE135" s="3743"/>
      <c r="BF135" s="3743"/>
      <c r="BG135" s="3708"/>
      <c r="BH135" s="3762"/>
      <c r="BI135" s="3762"/>
      <c r="BJ135" s="39"/>
      <c r="BK135" s="39"/>
      <c r="BL135" s="39"/>
      <c r="BM135" s="39"/>
      <c r="BN135" s="39"/>
      <c r="BO135" s="39"/>
      <c r="BP135" s="39"/>
      <c r="BQ135" s="39"/>
      <c r="BR135" s="39"/>
      <c r="BS135" s="507"/>
      <c r="BT135" s="507"/>
      <c r="BU135" s="507"/>
      <c r="BV135" s="507"/>
      <c r="BW135" s="507"/>
      <c r="BX135" s="507"/>
      <c r="BY135" s="507"/>
      <c r="BZ135" s="507"/>
      <c r="CA135" s="507"/>
      <c r="CB135" s="507"/>
      <c r="CC135" s="507"/>
      <c r="CD135" s="507"/>
      <c r="CE135" s="507"/>
      <c r="CF135" s="507"/>
      <c r="CG135" s="507"/>
      <c r="CH135" s="507"/>
      <c r="CI135" s="507"/>
      <c r="CJ135" s="507"/>
      <c r="CK135" s="507"/>
      <c r="CL135" s="507"/>
      <c r="CM135" s="507"/>
      <c r="CN135" s="507"/>
      <c r="CO135" s="507"/>
      <c r="CP135" s="507"/>
      <c r="CQ135" s="507"/>
      <c r="CR135" s="507"/>
      <c r="CS135" s="507"/>
      <c r="CT135" s="507"/>
      <c r="CU135" s="507"/>
      <c r="CV135" s="507"/>
      <c r="CW135" s="507"/>
      <c r="CX135" s="507"/>
      <c r="CY135" s="507"/>
      <c r="CZ135" s="507"/>
      <c r="DA135" s="507"/>
      <c r="DB135" s="507"/>
      <c r="DC135" s="507"/>
      <c r="DD135" s="507"/>
      <c r="DE135" s="507"/>
      <c r="DF135" s="507"/>
      <c r="DG135" s="507"/>
      <c r="DH135" s="507"/>
      <c r="DI135" s="507"/>
      <c r="DJ135" s="507"/>
      <c r="DK135" s="507"/>
      <c r="DL135" s="507"/>
      <c r="DM135" s="507"/>
      <c r="DN135" s="507"/>
      <c r="DO135" s="507"/>
      <c r="DP135" s="507"/>
      <c r="DQ135" s="507"/>
      <c r="DR135" s="507"/>
      <c r="DS135" s="507"/>
      <c r="DT135" s="507"/>
      <c r="DU135" s="507"/>
      <c r="DV135" s="507"/>
      <c r="DW135" s="507"/>
      <c r="DX135" s="507"/>
      <c r="DY135" s="507"/>
      <c r="DZ135" s="507"/>
      <c r="EA135" s="507"/>
      <c r="EB135" s="507"/>
      <c r="EC135" s="507"/>
      <c r="ED135" s="507"/>
      <c r="EE135" s="507"/>
      <c r="EF135" s="507"/>
      <c r="EG135" s="507"/>
      <c r="EH135" s="507"/>
      <c r="EI135" s="507"/>
      <c r="EJ135" s="507"/>
      <c r="EK135" s="507"/>
      <c r="EL135" s="507"/>
      <c r="EM135" s="507"/>
      <c r="EN135" s="507"/>
      <c r="EO135" s="507"/>
      <c r="EP135" s="507"/>
      <c r="EQ135" s="507"/>
      <c r="ER135" s="507"/>
      <c r="ES135" s="507"/>
      <c r="ET135" s="507"/>
      <c r="EU135" s="507"/>
      <c r="EV135" s="507"/>
      <c r="EW135" s="507"/>
      <c r="EX135" s="507"/>
      <c r="EY135" s="507"/>
      <c r="EZ135" s="507"/>
      <c r="FA135" s="507"/>
      <c r="FB135" s="507"/>
      <c r="FC135" s="507"/>
      <c r="FD135" s="507"/>
      <c r="FE135" s="507"/>
      <c r="FF135" s="507"/>
      <c r="FG135" s="507"/>
      <c r="FH135" s="507"/>
      <c r="FI135" s="507"/>
      <c r="FJ135" s="507"/>
      <c r="FK135" s="507"/>
      <c r="FL135" s="507"/>
      <c r="FM135" s="507"/>
      <c r="FN135" s="507"/>
      <c r="FO135" s="507"/>
      <c r="FP135" s="507"/>
      <c r="FQ135" s="507"/>
      <c r="FR135" s="507"/>
      <c r="FS135" s="507"/>
      <c r="FT135" s="507"/>
      <c r="FU135" s="507"/>
      <c r="FV135" s="507"/>
      <c r="FW135" s="507"/>
      <c r="FX135" s="507"/>
      <c r="FY135" s="507"/>
      <c r="FZ135" s="507"/>
      <c r="GA135" s="507"/>
      <c r="GB135" s="507"/>
      <c r="GC135" s="507"/>
      <c r="GD135" s="507"/>
      <c r="GE135" s="507"/>
      <c r="GF135" s="507"/>
      <c r="GG135" s="507"/>
      <c r="GH135" s="507"/>
      <c r="GI135" s="507"/>
      <c r="GJ135" s="507"/>
      <c r="GK135" s="507"/>
      <c r="GL135" s="507"/>
      <c r="GM135" s="507"/>
      <c r="GN135" s="507"/>
      <c r="GO135" s="507"/>
      <c r="GP135" s="507"/>
      <c r="GQ135" s="507"/>
      <c r="GR135" s="507"/>
      <c r="GS135" s="507"/>
      <c r="GT135" s="507"/>
      <c r="GU135" s="507"/>
      <c r="GV135" s="507"/>
      <c r="GW135" s="507"/>
      <c r="GX135" s="507"/>
      <c r="GY135" s="507"/>
      <c r="GZ135" s="507"/>
      <c r="HA135" s="507"/>
      <c r="HB135" s="507"/>
      <c r="HC135" s="507"/>
      <c r="HD135" s="507"/>
      <c r="HE135" s="507"/>
      <c r="HF135" s="507"/>
      <c r="HG135" s="507"/>
      <c r="HH135" s="507"/>
      <c r="HI135" s="507"/>
      <c r="HJ135" s="507"/>
      <c r="HK135" s="507"/>
      <c r="HL135" s="507"/>
      <c r="HM135" s="507"/>
      <c r="HN135" s="507"/>
      <c r="HO135" s="507"/>
      <c r="HP135" s="507"/>
      <c r="HQ135" s="507"/>
      <c r="HR135" s="507"/>
      <c r="HS135" s="507"/>
      <c r="HT135" s="507"/>
      <c r="HU135" s="507"/>
      <c r="HV135" s="507"/>
      <c r="HW135" s="507"/>
      <c r="HX135" s="507"/>
      <c r="HY135" s="507"/>
      <c r="HZ135" s="507"/>
    </row>
    <row r="136" spans="1:234" s="298" customFormat="1" ht="15.9" hidden="1" customHeight="1" x14ac:dyDescent="0.25">
      <c r="A136" s="522" t="s">
        <v>1979</v>
      </c>
      <c r="B136" s="535" t="s">
        <v>298</v>
      </c>
      <c r="C136" s="527" t="s">
        <v>2913</v>
      </c>
      <c r="D136" s="552" t="s">
        <v>189</v>
      </c>
      <c r="E136" s="570" t="s">
        <v>3228</v>
      </c>
      <c r="F136" s="543">
        <v>39182</v>
      </c>
      <c r="G136" s="586">
        <v>39142</v>
      </c>
      <c r="H136" s="544">
        <v>39171</v>
      </c>
      <c r="I136" s="594">
        <v>39933</v>
      </c>
      <c r="J136" s="579">
        <v>10</v>
      </c>
      <c r="K136" s="553" t="s">
        <v>3229</v>
      </c>
      <c r="L136" s="553" t="s">
        <v>3229</v>
      </c>
      <c r="M136" s="576">
        <v>0</v>
      </c>
      <c r="N136" s="606" t="s">
        <v>3229</v>
      </c>
      <c r="O136" s="575" t="s">
        <v>3229</v>
      </c>
      <c r="P136" s="576">
        <v>0.3</v>
      </c>
      <c r="Q136" s="570" t="s">
        <v>3229</v>
      </c>
      <c r="R136" s="536" t="s">
        <v>3229</v>
      </c>
      <c r="S136" s="577"/>
      <c r="T136" s="3777" t="s">
        <v>250</v>
      </c>
      <c r="U136" s="3777"/>
      <c r="V136" s="3777"/>
      <c r="W136" s="3777"/>
      <c r="X136" s="3777"/>
      <c r="Y136" s="3777"/>
      <c r="Z136" s="3777"/>
      <c r="AA136" s="3777"/>
      <c r="AB136" s="3777"/>
      <c r="AC136" s="3777"/>
      <c r="AD136" s="3777"/>
      <c r="AE136" s="3778"/>
      <c r="AF136" s="3764" t="s">
        <v>781</v>
      </c>
      <c r="AG136" s="3765"/>
      <c r="AH136" s="590">
        <v>1</v>
      </c>
      <c r="AI136" s="553" t="s">
        <v>3229</v>
      </c>
      <c r="AJ136" s="553" t="s">
        <v>3229</v>
      </c>
      <c r="AK136" s="566" t="s">
        <v>3229</v>
      </c>
      <c r="AL136" s="553" t="s">
        <v>3229</v>
      </c>
      <c r="AM136" s="553" t="s">
        <v>3229</v>
      </c>
      <c r="AN136" s="638">
        <v>0</v>
      </c>
      <c r="AO136" s="660">
        <v>10</v>
      </c>
      <c r="AP136" s="688"/>
      <c r="AQ136" s="658" t="s">
        <v>3229</v>
      </c>
      <c r="AR136" s="558">
        <f>AN136</f>
        <v>0</v>
      </c>
      <c r="AS136" s="558">
        <f>POWER(1+AR136,1/((I136-F136)/365))-1</f>
        <v>0</v>
      </c>
      <c r="AT136" s="589"/>
      <c r="AU136" s="559"/>
      <c r="AV136" s="558">
        <f>M136</f>
        <v>0</v>
      </c>
      <c r="AW136" s="558">
        <f t="shared" si="23"/>
        <v>0</v>
      </c>
      <c r="AX136" s="558"/>
      <c r="AY136" s="559"/>
      <c r="AZ136" s="642">
        <f t="shared" si="22"/>
        <v>10</v>
      </c>
      <c r="BA136" s="644" t="s">
        <v>3191</v>
      </c>
      <c r="BB136" s="570"/>
      <c r="BC136" s="637"/>
      <c r="BD136" s="3708"/>
      <c r="BE136" s="3743"/>
      <c r="BF136" s="3743"/>
      <c r="BG136" s="3708"/>
      <c r="BH136" s="3762"/>
      <c r="BI136" s="3762"/>
      <c r="BJ136" s="39"/>
      <c r="BK136" s="39"/>
      <c r="BL136" s="39"/>
      <c r="BM136" s="39"/>
      <c r="BN136" s="39"/>
      <c r="BO136" s="39"/>
      <c r="BP136" s="39"/>
      <c r="BQ136" s="39"/>
      <c r="BR136" s="39"/>
      <c r="BS136" s="507"/>
      <c r="BT136" s="507"/>
      <c r="BU136" s="507"/>
      <c r="BV136" s="507"/>
      <c r="BW136" s="507"/>
      <c r="BX136" s="507"/>
      <c r="BY136" s="507"/>
      <c r="BZ136" s="507"/>
      <c r="CA136" s="507"/>
      <c r="CB136" s="507"/>
      <c r="CC136" s="507"/>
      <c r="CD136" s="507"/>
      <c r="CE136" s="507"/>
      <c r="CF136" s="507"/>
      <c r="CG136" s="507"/>
      <c r="CH136" s="507"/>
      <c r="CI136" s="507"/>
      <c r="CJ136" s="507"/>
      <c r="CK136" s="507"/>
      <c r="CL136" s="507"/>
      <c r="CM136" s="507"/>
      <c r="CN136" s="507"/>
      <c r="CO136" s="507"/>
      <c r="CP136" s="507"/>
      <c r="CQ136" s="507"/>
      <c r="CR136" s="507"/>
      <c r="CS136" s="507"/>
      <c r="CT136" s="507"/>
      <c r="CU136" s="507"/>
      <c r="CV136" s="507"/>
      <c r="CW136" s="507"/>
      <c r="CX136" s="507"/>
      <c r="CY136" s="507"/>
      <c r="CZ136" s="507"/>
      <c r="DA136" s="507"/>
      <c r="DB136" s="507"/>
      <c r="DC136" s="507"/>
      <c r="DD136" s="507"/>
      <c r="DE136" s="507"/>
      <c r="DF136" s="507"/>
      <c r="DG136" s="507"/>
      <c r="DH136" s="507"/>
      <c r="DI136" s="507"/>
      <c r="DJ136" s="507"/>
      <c r="DK136" s="507"/>
      <c r="DL136" s="507"/>
      <c r="DM136" s="507"/>
      <c r="DN136" s="507"/>
      <c r="DO136" s="507"/>
      <c r="DP136" s="507"/>
      <c r="DQ136" s="507"/>
      <c r="DR136" s="507"/>
      <c r="DS136" s="507"/>
      <c r="DT136" s="507"/>
      <c r="DU136" s="507"/>
      <c r="DV136" s="507"/>
      <c r="DW136" s="507"/>
      <c r="DX136" s="507"/>
      <c r="DY136" s="507"/>
      <c r="DZ136" s="507"/>
      <c r="EA136" s="507"/>
      <c r="EB136" s="507"/>
      <c r="EC136" s="507"/>
      <c r="ED136" s="507"/>
      <c r="EE136" s="507"/>
      <c r="EF136" s="507"/>
      <c r="EG136" s="507"/>
      <c r="EH136" s="507"/>
      <c r="EI136" s="507"/>
      <c r="EJ136" s="507"/>
      <c r="EK136" s="507"/>
      <c r="EL136" s="507"/>
      <c r="EM136" s="507"/>
      <c r="EN136" s="507"/>
      <c r="EO136" s="507"/>
      <c r="EP136" s="507"/>
      <c r="EQ136" s="507"/>
      <c r="ER136" s="507"/>
      <c r="ES136" s="507"/>
      <c r="ET136" s="507"/>
      <c r="EU136" s="507"/>
      <c r="EV136" s="507"/>
      <c r="EW136" s="507"/>
      <c r="EX136" s="507"/>
      <c r="EY136" s="507"/>
      <c r="EZ136" s="507"/>
      <c r="FA136" s="507"/>
      <c r="FB136" s="507"/>
      <c r="FC136" s="507"/>
      <c r="FD136" s="507"/>
      <c r="FE136" s="507"/>
      <c r="FF136" s="507"/>
      <c r="FG136" s="507"/>
      <c r="FH136" s="507"/>
      <c r="FI136" s="507"/>
      <c r="FJ136" s="507"/>
      <c r="FK136" s="507"/>
      <c r="FL136" s="507"/>
      <c r="FM136" s="507"/>
      <c r="FN136" s="507"/>
      <c r="FO136" s="507"/>
      <c r="FP136" s="507"/>
      <c r="FQ136" s="507"/>
      <c r="FR136" s="507"/>
      <c r="FS136" s="507"/>
      <c r="FT136" s="507"/>
      <c r="FU136" s="507"/>
      <c r="FV136" s="507"/>
      <c r="FW136" s="507"/>
      <c r="FX136" s="507"/>
      <c r="FY136" s="507"/>
      <c r="FZ136" s="507"/>
      <c r="GA136" s="507"/>
      <c r="GB136" s="507"/>
      <c r="GC136" s="507"/>
      <c r="GD136" s="507"/>
      <c r="GE136" s="507"/>
      <c r="GF136" s="507"/>
      <c r="GG136" s="507"/>
      <c r="GH136" s="507"/>
      <c r="GI136" s="507"/>
      <c r="GJ136" s="507"/>
      <c r="GK136" s="507"/>
      <c r="GL136" s="507"/>
      <c r="GM136" s="507"/>
      <c r="GN136" s="507"/>
      <c r="GO136" s="507"/>
      <c r="GP136" s="507"/>
      <c r="GQ136" s="507"/>
      <c r="GR136" s="507"/>
      <c r="GS136" s="507"/>
      <c r="GT136" s="507"/>
      <c r="GU136" s="507"/>
      <c r="GV136" s="507"/>
      <c r="GW136" s="507"/>
      <c r="GX136" s="507"/>
      <c r="GY136" s="507"/>
      <c r="GZ136" s="507"/>
      <c r="HA136" s="507"/>
      <c r="HB136" s="507"/>
      <c r="HC136" s="507"/>
      <c r="HD136" s="507"/>
      <c r="HE136" s="507"/>
      <c r="HF136" s="507"/>
      <c r="HG136" s="507"/>
      <c r="HH136" s="507"/>
      <c r="HI136" s="507"/>
      <c r="HJ136" s="507"/>
      <c r="HK136" s="507"/>
      <c r="HL136" s="507"/>
      <c r="HM136" s="507"/>
      <c r="HN136" s="507"/>
      <c r="HO136" s="507"/>
      <c r="HP136" s="507"/>
      <c r="HQ136" s="507"/>
      <c r="HR136" s="507"/>
      <c r="HS136" s="507"/>
      <c r="HT136" s="507"/>
      <c r="HU136" s="507"/>
      <c r="HV136" s="507"/>
      <c r="HW136" s="507"/>
      <c r="HX136" s="507"/>
      <c r="HY136" s="507"/>
      <c r="HZ136" s="507"/>
    </row>
    <row r="137" spans="1:234" s="298" customFormat="1" ht="15.9" hidden="1" customHeight="1" x14ac:dyDescent="0.25">
      <c r="A137" s="522" t="s">
        <v>315</v>
      </c>
      <c r="B137" s="535" t="s">
        <v>1135</v>
      </c>
      <c r="C137" s="527" t="s">
        <v>2915</v>
      </c>
      <c r="D137" s="552" t="s">
        <v>189</v>
      </c>
      <c r="E137" s="570" t="s">
        <v>3228</v>
      </c>
      <c r="F137" s="543">
        <v>39178</v>
      </c>
      <c r="G137" s="586">
        <v>39142</v>
      </c>
      <c r="H137" s="544">
        <v>39171</v>
      </c>
      <c r="I137" s="594">
        <v>41212</v>
      </c>
      <c r="J137" s="579">
        <v>10</v>
      </c>
      <c r="K137" s="553" t="s">
        <v>3229</v>
      </c>
      <c r="L137" s="553" t="s">
        <v>3229</v>
      </c>
      <c r="M137" s="576">
        <v>0</v>
      </c>
      <c r="N137" s="606">
        <v>0.9</v>
      </c>
      <c r="O137" s="575" t="s">
        <v>3229</v>
      </c>
      <c r="P137" s="576" t="s">
        <v>3229</v>
      </c>
      <c r="Q137" s="570" t="s">
        <v>3229</v>
      </c>
      <c r="R137" s="536" t="s">
        <v>3229</v>
      </c>
      <c r="S137" s="577"/>
      <c r="T137" s="3777" t="s">
        <v>3229</v>
      </c>
      <c r="U137" s="3777" t="s">
        <v>3229</v>
      </c>
      <c r="V137" s="3777" t="s">
        <v>3229</v>
      </c>
      <c r="W137" s="3777" t="s">
        <v>3229</v>
      </c>
      <c r="X137" s="3777" t="s">
        <v>3229</v>
      </c>
      <c r="Y137" s="3777" t="s">
        <v>3229</v>
      </c>
      <c r="Z137" s="3777" t="s">
        <v>3229</v>
      </c>
      <c r="AA137" s="3777" t="s">
        <v>3229</v>
      </c>
      <c r="AB137" s="3777" t="s">
        <v>3229</v>
      </c>
      <c r="AC137" s="3777" t="s">
        <v>3229</v>
      </c>
      <c r="AD137" s="3777" t="s">
        <v>3229</v>
      </c>
      <c r="AE137" s="3778" t="s">
        <v>3229</v>
      </c>
      <c r="AF137" s="3764" t="s">
        <v>781</v>
      </c>
      <c r="AG137" s="3765"/>
      <c r="AH137" s="590" t="s">
        <v>3229</v>
      </c>
      <c r="AI137" s="553" t="s">
        <v>3229</v>
      </c>
      <c r="AJ137" s="553" t="s">
        <v>3229</v>
      </c>
      <c r="AK137" s="566" t="s">
        <v>3229</v>
      </c>
      <c r="AL137" s="553" t="s">
        <v>3229</v>
      </c>
      <c r="AM137" s="553">
        <v>1</v>
      </c>
      <c r="AN137" s="638">
        <v>1.0934861794883101E-2</v>
      </c>
      <c r="AO137" s="660">
        <v>10.19</v>
      </c>
      <c r="AP137" s="688">
        <v>1.2149846438759E-2</v>
      </c>
      <c r="AQ137" s="658">
        <v>-9.9397590361445798E-2</v>
      </c>
      <c r="AR137" s="558" t="s">
        <v>3660</v>
      </c>
      <c r="AS137" s="558"/>
      <c r="AT137" s="589"/>
      <c r="AU137" s="559"/>
      <c r="AV137" s="558">
        <f>M137</f>
        <v>0</v>
      </c>
      <c r="AW137" s="558">
        <f t="shared" si="23"/>
        <v>0</v>
      </c>
      <c r="AX137" s="558"/>
      <c r="AY137" s="559"/>
      <c r="AZ137" s="642">
        <f t="shared" si="22"/>
        <v>10</v>
      </c>
      <c r="BA137" s="644" t="s">
        <v>3190</v>
      </c>
      <c r="BB137" s="570"/>
      <c r="BC137" s="637"/>
      <c r="BD137" s="3708"/>
      <c r="BE137" s="3743"/>
      <c r="BF137" s="3743"/>
      <c r="BG137" s="3708"/>
      <c r="BH137" s="3762"/>
      <c r="BI137" s="3762"/>
      <c r="BJ137" s="39"/>
      <c r="BK137" s="39"/>
      <c r="BL137" s="39"/>
      <c r="BM137" s="39"/>
      <c r="BN137" s="39"/>
      <c r="BO137" s="39"/>
      <c r="BP137" s="39"/>
      <c r="BQ137" s="39"/>
      <c r="BR137" s="39"/>
      <c r="BS137" s="507"/>
      <c r="BT137" s="507"/>
      <c r="BU137" s="507"/>
      <c r="BV137" s="507"/>
      <c r="BW137" s="507"/>
      <c r="BX137" s="507"/>
      <c r="BY137" s="507"/>
      <c r="BZ137" s="507"/>
      <c r="CA137" s="507"/>
      <c r="CB137" s="507"/>
      <c r="CC137" s="507"/>
      <c r="CD137" s="507"/>
      <c r="CE137" s="507"/>
      <c r="CF137" s="507"/>
      <c r="CG137" s="507"/>
      <c r="CH137" s="507"/>
      <c r="CI137" s="507"/>
      <c r="CJ137" s="507"/>
      <c r="CK137" s="507"/>
      <c r="CL137" s="507"/>
      <c r="CM137" s="507"/>
      <c r="CN137" s="507"/>
      <c r="CO137" s="507"/>
      <c r="CP137" s="507"/>
      <c r="CQ137" s="507"/>
      <c r="CR137" s="507"/>
      <c r="CS137" s="507"/>
      <c r="CT137" s="507"/>
      <c r="CU137" s="507"/>
      <c r="CV137" s="507"/>
      <c r="CW137" s="507"/>
      <c r="CX137" s="507"/>
      <c r="CY137" s="507"/>
      <c r="CZ137" s="507"/>
      <c r="DA137" s="507"/>
      <c r="DB137" s="507"/>
      <c r="DC137" s="507"/>
      <c r="DD137" s="507"/>
      <c r="DE137" s="507"/>
      <c r="DF137" s="507"/>
      <c r="DG137" s="507"/>
      <c r="DH137" s="507"/>
      <c r="DI137" s="507"/>
      <c r="DJ137" s="507"/>
      <c r="DK137" s="507"/>
      <c r="DL137" s="507"/>
      <c r="DM137" s="507"/>
      <c r="DN137" s="507"/>
      <c r="DO137" s="507"/>
      <c r="DP137" s="507"/>
      <c r="DQ137" s="507"/>
      <c r="DR137" s="507"/>
      <c r="DS137" s="507"/>
      <c r="DT137" s="507"/>
      <c r="DU137" s="507"/>
      <c r="DV137" s="507"/>
      <c r="DW137" s="507"/>
      <c r="DX137" s="507"/>
      <c r="DY137" s="507"/>
      <c r="DZ137" s="507"/>
      <c r="EA137" s="507"/>
      <c r="EB137" s="507"/>
      <c r="EC137" s="507"/>
      <c r="ED137" s="507"/>
      <c r="EE137" s="507"/>
      <c r="EF137" s="507"/>
      <c r="EG137" s="507"/>
      <c r="EH137" s="507"/>
      <c r="EI137" s="507"/>
      <c r="EJ137" s="507"/>
      <c r="EK137" s="507"/>
      <c r="EL137" s="507"/>
      <c r="EM137" s="507"/>
      <c r="EN137" s="507"/>
      <c r="EO137" s="507"/>
      <c r="EP137" s="507"/>
      <c r="EQ137" s="507"/>
      <c r="ER137" s="507"/>
      <c r="ES137" s="507"/>
      <c r="ET137" s="507"/>
      <c r="EU137" s="507"/>
      <c r="EV137" s="507"/>
      <c r="EW137" s="507"/>
      <c r="EX137" s="507"/>
      <c r="EY137" s="507"/>
      <c r="EZ137" s="507"/>
      <c r="FA137" s="507"/>
      <c r="FB137" s="507"/>
      <c r="FC137" s="507"/>
      <c r="FD137" s="507"/>
      <c r="FE137" s="507"/>
      <c r="FF137" s="507"/>
      <c r="FG137" s="507"/>
      <c r="FH137" s="507"/>
      <c r="FI137" s="507"/>
      <c r="FJ137" s="507"/>
      <c r="FK137" s="507"/>
      <c r="FL137" s="507"/>
      <c r="FM137" s="507"/>
      <c r="FN137" s="507"/>
      <c r="FO137" s="507"/>
      <c r="FP137" s="507"/>
      <c r="FQ137" s="507"/>
      <c r="FR137" s="507"/>
      <c r="FS137" s="507"/>
      <c r="FT137" s="507"/>
      <c r="FU137" s="507"/>
      <c r="FV137" s="507"/>
      <c r="FW137" s="507"/>
      <c r="FX137" s="507"/>
      <c r="FY137" s="507"/>
      <c r="FZ137" s="507"/>
      <c r="GA137" s="507"/>
      <c r="GB137" s="507"/>
      <c r="GC137" s="507"/>
      <c r="GD137" s="507"/>
      <c r="GE137" s="507"/>
      <c r="GF137" s="507"/>
      <c r="GG137" s="507"/>
      <c r="GH137" s="507"/>
      <c r="GI137" s="507"/>
      <c r="GJ137" s="507"/>
      <c r="GK137" s="507"/>
      <c r="GL137" s="507"/>
      <c r="GM137" s="507"/>
      <c r="GN137" s="507"/>
      <c r="GO137" s="507"/>
      <c r="GP137" s="507"/>
      <c r="GQ137" s="507"/>
      <c r="GR137" s="507"/>
      <c r="GS137" s="507"/>
      <c r="GT137" s="507"/>
      <c r="GU137" s="507"/>
      <c r="GV137" s="507"/>
      <c r="GW137" s="507"/>
      <c r="GX137" s="507"/>
      <c r="GY137" s="507"/>
      <c r="GZ137" s="507"/>
      <c r="HA137" s="507"/>
      <c r="HB137" s="507"/>
      <c r="HC137" s="507"/>
      <c r="HD137" s="507"/>
      <c r="HE137" s="507"/>
      <c r="HF137" s="507"/>
      <c r="HG137" s="507"/>
      <c r="HH137" s="507"/>
      <c r="HI137" s="507"/>
      <c r="HJ137" s="507"/>
      <c r="HK137" s="507"/>
      <c r="HL137" s="507"/>
      <c r="HM137" s="507"/>
      <c r="HN137" s="507"/>
      <c r="HO137" s="507"/>
      <c r="HP137" s="507"/>
      <c r="HQ137" s="507"/>
      <c r="HR137" s="507"/>
      <c r="HS137" s="507"/>
      <c r="HT137" s="507"/>
      <c r="HU137" s="507"/>
      <c r="HV137" s="507"/>
      <c r="HW137" s="507"/>
      <c r="HX137" s="507"/>
      <c r="HY137" s="507"/>
      <c r="HZ137" s="507"/>
    </row>
    <row r="138" spans="1:234" s="298" customFormat="1" ht="15.9" hidden="1" customHeight="1" x14ac:dyDescent="0.25">
      <c r="A138" s="522" t="s">
        <v>314</v>
      </c>
      <c r="B138" s="535" t="s">
        <v>61</v>
      </c>
      <c r="C138" s="527" t="s">
        <v>2916</v>
      </c>
      <c r="D138" s="570" t="s">
        <v>189</v>
      </c>
      <c r="E138" s="569" t="s">
        <v>3228</v>
      </c>
      <c r="F138" s="543">
        <v>39178</v>
      </c>
      <c r="G138" s="544">
        <v>39142</v>
      </c>
      <c r="H138" s="557">
        <v>39171</v>
      </c>
      <c r="I138" s="546">
        <v>40847</v>
      </c>
      <c r="J138" s="547">
        <v>10</v>
      </c>
      <c r="K138" s="553" t="s">
        <v>3229</v>
      </c>
      <c r="L138" s="552" t="s">
        <v>3229</v>
      </c>
      <c r="M138" s="549">
        <v>0</v>
      </c>
      <c r="N138" s="606">
        <v>0.9</v>
      </c>
      <c r="O138" s="551" t="s">
        <v>3229</v>
      </c>
      <c r="P138" s="576" t="s">
        <v>3229</v>
      </c>
      <c r="Q138" s="570" t="s">
        <v>3229</v>
      </c>
      <c r="R138" s="570" t="s">
        <v>3229</v>
      </c>
      <c r="S138" s="577"/>
      <c r="T138" s="555" t="s">
        <v>3229</v>
      </c>
      <c r="U138" s="555" t="s">
        <v>3229</v>
      </c>
      <c r="V138" s="555" t="s">
        <v>3229</v>
      </c>
      <c r="W138" s="555" t="s">
        <v>3229</v>
      </c>
      <c r="X138" s="555" t="s">
        <v>3229</v>
      </c>
      <c r="Y138" s="553" t="s">
        <v>3229</v>
      </c>
      <c r="Z138" s="553" t="s">
        <v>3229</v>
      </c>
      <c r="AA138" s="553" t="s">
        <v>3229</v>
      </c>
      <c r="AB138" s="553" t="s">
        <v>3229</v>
      </c>
      <c r="AC138" s="553" t="s">
        <v>3229</v>
      </c>
      <c r="AD138" s="553" t="s">
        <v>3229</v>
      </c>
      <c r="AE138" s="553" t="s">
        <v>3229</v>
      </c>
      <c r="AF138" s="3764" t="s">
        <v>781</v>
      </c>
      <c r="AG138" s="3765"/>
      <c r="AH138" s="553" t="s">
        <v>3229</v>
      </c>
      <c r="AI138" s="553" t="s">
        <v>3229</v>
      </c>
      <c r="AJ138" s="553" t="s">
        <v>3229</v>
      </c>
      <c r="AK138" s="566" t="s">
        <v>3229</v>
      </c>
      <c r="AL138" s="553" t="s">
        <v>3229</v>
      </c>
      <c r="AM138" s="659">
        <v>1</v>
      </c>
      <c r="AN138" s="606">
        <v>0</v>
      </c>
      <c r="AO138" s="660">
        <v>9.86</v>
      </c>
      <c r="AP138" s="1368">
        <v>-0.25938911111111118</v>
      </c>
      <c r="AQ138" s="675">
        <v>-0.3624</v>
      </c>
      <c r="AR138" s="632" t="s">
        <v>3660</v>
      </c>
      <c r="AS138" s="558"/>
      <c r="AT138" s="598"/>
      <c r="AU138" s="552"/>
      <c r="AV138" s="558">
        <f>M138</f>
        <v>0</v>
      </c>
      <c r="AW138" s="558">
        <f t="shared" si="23"/>
        <v>0</v>
      </c>
      <c r="AX138" s="553">
        <f>J138*(1+AV138)/AO138-1</f>
        <v>1.4198782961460488E-2</v>
      </c>
      <c r="AY138" s="552" t="e">
        <f>POWER(1+AX138,1/AG138)-1</f>
        <v>#DIV/0!</v>
      </c>
      <c r="AZ138" s="642">
        <f t="shared" si="22"/>
        <v>10</v>
      </c>
      <c r="BA138" s="644" t="s">
        <v>3190</v>
      </c>
      <c r="BB138" s="570"/>
      <c r="BC138" s="637"/>
      <c r="BD138" s="3708"/>
      <c r="BE138" s="3743"/>
      <c r="BF138" s="3743"/>
      <c r="BG138" s="3708"/>
      <c r="BH138" s="3762"/>
      <c r="BI138" s="3762"/>
      <c r="BJ138" s="39"/>
      <c r="BK138" s="39"/>
      <c r="BL138" s="39"/>
      <c r="BM138" s="39"/>
      <c r="BN138" s="39"/>
      <c r="BO138" s="39"/>
      <c r="BP138" s="39"/>
      <c r="BQ138" s="39"/>
      <c r="BR138" s="39"/>
      <c r="BS138" s="507"/>
      <c r="BT138" s="507"/>
      <c r="BU138" s="507"/>
      <c r="BV138" s="507"/>
      <c r="BW138" s="507"/>
      <c r="BX138" s="507"/>
      <c r="BY138" s="507"/>
      <c r="BZ138" s="507"/>
      <c r="CA138" s="507"/>
      <c r="CB138" s="507"/>
      <c r="CC138" s="507"/>
      <c r="CD138" s="507"/>
      <c r="CE138" s="507"/>
      <c r="CF138" s="507"/>
      <c r="CG138" s="507"/>
      <c r="CH138" s="507"/>
      <c r="CI138" s="507"/>
      <c r="CJ138" s="507"/>
      <c r="CK138" s="507"/>
      <c r="CL138" s="507"/>
      <c r="CM138" s="507"/>
      <c r="CN138" s="507"/>
      <c r="CO138" s="507"/>
      <c r="CP138" s="507"/>
      <c r="CQ138" s="507"/>
      <c r="CR138" s="507"/>
      <c r="CS138" s="507"/>
      <c r="CT138" s="507"/>
      <c r="CU138" s="507"/>
      <c r="CV138" s="507"/>
      <c r="CW138" s="507"/>
      <c r="CX138" s="507"/>
      <c r="CY138" s="507"/>
      <c r="CZ138" s="507"/>
      <c r="DA138" s="507"/>
      <c r="DB138" s="507"/>
      <c r="DC138" s="507"/>
      <c r="DD138" s="507"/>
      <c r="DE138" s="507"/>
      <c r="DF138" s="507"/>
      <c r="DG138" s="507"/>
      <c r="DH138" s="507"/>
      <c r="DI138" s="507"/>
      <c r="DJ138" s="507"/>
      <c r="DK138" s="507"/>
      <c r="DL138" s="507"/>
      <c r="DM138" s="507"/>
      <c r="DN138" s="507"/>
      <c r="DO138" s="507"/>
      <c r="DP138" s="507"/>
      <c r="DQ138" s="507"/>
      <c r="DR138" s="507"/>
      <c r="DS138" s="507"/>
      <c r="DT138" s="507"/>
      <c r="DU138" s="507"/>
      <c r="DV138" s="507"/>
      <c r="DW138" s="507"/>
      <c r="DX138" s="507"/>
      <c r="DY138" s="507"/>
      <c r="DZ138" s="507"/>
      <c r="EA138" s="507"/>
      <c r="EB138" s="507"/>
      <c r="EC138" s="507"/>
      <c r="ED138" s="507"/>
      <c r="EE138" s="507"/>
      <c r="EF138" s="507"/>
      <c r="EG138" s="507"/>
      <c r="EH138" s="507"/>
      <c r="EI138" s="507"/>
      <c r="EJ138" s="507"/>
      <c r="EK138" s="507"/>
      <c r="EL138" s="507"/>
      <c r="EM138" s="507"/>
      <c r="EN138" s="507"/>
      <c r="EO138" s="507"/>
      <c r="EP138" s="507"/>
      <c r="EQ138" s="507"/>
      <c r="ER138" s="507"/>
      <c r="ES138" s="507"/>
      <c r="ET138" s="507"/>
      <c r="EU138" s="507"/>
      <c r="EV138" s="507"/>
      <c r="EW138" s="507"/>
      <c r="EX138" s="507"/>
      <c r="EY138" s="507"/>
      <c r="EZ138" s="507"/>
      <c r="FA138" s="507"/>
      <c r="FB138" s="507"/>
      <c r="FC138" s="507"/>
      <c r="FD138" s="507"/>
      <c r="FE138" s="507"/>
      <c r="FF138" s="507"/>
      <c r="FG138" s="507"/>
      <c r="FH138" s="507"/>
      <c r="FI138" s="507"/>
      <c r="FJ138" s="507"/>
      <c r="FK138" s="507"/>
      <c r="FL138" s="507"/>
      <c r="FM138" s="507"/>
      <c r="FN138" s="507"/>
      <c r="FO138" s="507"/>
      <c r="FP138" s="507"/>
      <c r="FQ138" s="507"/>
      <c r="FR138" s="507"/>
      <c r="FS138" s="507"/>
      <c r="FT138" s="507"/>
      <c r="FU138" s="507"/>
      <c r="FV138" s="507"/>
      <c r="FW138" s="507"/>
      <c r="FX138" s="507"/>
      <c r="FY138" s="507"/>
      <c r="FZ138" s="507"/>
      <c r="GA138" s="507"/>
      <c r="GB138" s="507"/>
      <c r="GC138" s="507"/>
      <c r="GD138" s="507"/>
      <c r="GE138" s="507"/>
      <c r="GF138" s="507"/>
      <c r="GG138" s="507"/>
      <c r="GH138" s="507"/>
      <c r="GI138" s="507"/>
      <c r="GJ138" s="507"/>
      <c r="GK138" s="507"/>
      <c r="GL138" s="507"/>
      <c r="GM138" s="507"/>
      <c r="GN138" s="507"/>
      <c r="GO138" s="507"/>
      <c r="GP138" s="507"/>
      <c r="GQ138" s="507"/>
      <c r="GR138" s="507"/>
      <c r="GS138" s="507"/>
      <c r="GT138" s="507"/>
      <c r="GU138" s="507"/>
      <c r="GV138" s="507"/>
      <c r="GW138" s="507"/>
      <c r="GX138" s="507"/>
      <c r="GY138" s="507"/>
      <c r="GZ138" s="507"/>
      <c r="HA138" s="507"/>
      <c r="HB138" s="507"/>
      <c r="HC138" s="507"/>
      <c r="HD138" s="507"/>
      <c r="HE138" s="507"/>
      <c r="HF138" s="507"/>
      <c r="HG138" s="507"/>
      <c r="HH138" s="507"/>
      <c r="HI138" s="507"/>
      <c r="HJ138" s="507"/>
      <c r="HK138" s="507"/>
      <c r="HL138" s="507"/>
      <c r="HM138" s="507"/>
      <c r="HN138" s="507"/>
      <c r="HO138" s="507"/>
      <c r="HP138" s="507"/>
      <c r="HQ138" s="507"/>
      <c r="HR138" s="507"/>
      <c r="HS138" s="507"/>
      <c r="HT138" s="507"/>
      <c r="HU138" s="507"/>
      <c r="HV138" s="507"/>
      <c r="HW138" s="507"/>
      <c r="HX138" s="507"/>
      <c r="HY138" s="507"/>
      <c r="HZ138" s="507"/>
    </row>
    <row r="139" spans="1:234" s="298" customFormat="1" ht="15.9" hidden="1" customHeight="1" x14ac:dyDescent="0.25">
      <c r="A139" s="522" t="s">
        <v>316</v>
      </c>
      <c r="B139" s="535" t="s">
        <v>62</v>
      </c>
      <c r="C139" s="527" t="s">
        <v>4428</v>
      </c>
      <c r="D139" s="570" t="s">
        <v>195</v>
      </c>
      <c r="E139" s="569" t="s">
        <v>3228</v>
      </c>
      <c r="F139" s="543">
        <v>39211</v>
      </c>
      <c r="G139" s="544">
        <v>39146</v>
      </c>
      <c r="H139" s="557">
        <v>39202</v>
      </c>
      <c r="I139" s="546">
        <v>41089</v>
      </c>
      <c r="J139" s="547">
        <v>10</v>
      </c>
      <c r="K139" s="553">
        <v>-0.03</v>
      </c>
      <c r="L139" s="552">
        <v>6.2E-2</v>
      </c>
      <c r="M139" s="549">
        <v>0.05</v>
      </c>
      <c r="N139" s="606" t="s">
        <v>3229</v>
      </c>
      <c r="O139" s="551" t="s">
        <v>3229</v>
      </c>
      <c r="P139" s="576" t="s">
        <v>3229</v>
      </c>
      <c r="Q139" s="570" t="s">
        <v>3229</v>
      </c>
      <c r="R139" s="570" t="s">
        <v>3229</v>
      </c>
      <c r="S139" s="577">
        <v>5</v>
      </c>
      <c r="T139" s="555">
        <v>39539</v>
      </c>
      <c r="U139" s="555">
        <v>39904</v>
      </c>
      <c r="V139" s="555">
        <v>40269</v>
      </c>
      <c r="W139" s="555">
        <v>40634</v>
      </c>
      <c r="X139" s="555">
        <v>41030</v>
      </c>
      <c r="Y139" s="553" t="s">
        <v>3229</v>
      </c>
      <c r="Z139" s="553" t="s">
        <v>3229</v>
      </c>
      <c r="AA139" s="553" t="s">
        <v>3229</v>
      </c>
      <c r="AB139" s="553" t="s">
        <v>3229</v>
      </c>
      <c r="AC139" s="553" t="s">
        <v>3229</v>
      </c>
      <c r="AD139" s="553" t="s">
        <v>3229</v>
      </c>
      <c r="AE139" s="553" t="s">
        <v>3229</v>
      </c>
      <c r="AF139" s="3764" t="s">
        <v>781</v>
      </c>
      <c r="AG139" s="3765"/>
      <c r="AH139" s="553">
        <v>0.5</v>
      </c>
      <c r="AI139" s="553">
        <v>0.3</v>
      </c>
      <c r="AJ139" s="553">
        <v>0.2</v>
      </c>
      <c r="AK139" s="566" t="s">
        <v>3229</v>
      </c>
      <c r="AL139" s="553" t="s">
        <v>3229</v>
      </c>
      <c r="AM139" s="659" t="s">
        <v>3229</v>
      </c>
      <c r="AN139" s="606">
        <v>0.05</v>
      </c>
      <c r="AO139" s="660">
        <v>10.42</v>
      </c>
      <c r="AP139" s="1368">
        <v>-0.16120000000000001</v>
      </c>
      <c r="AQ139" s="675">
        <v>-0.16120000000000001</v>
      </c>
      <c r="AR139" s="632" t="e">
        <f>MAX(0,AF139*L139+SUM('klikací hodnoty'!F3596:F3610))</f>
        <v>#VALUE!</v>
      </c>
      <c r="AS139" s="558" t="e">
        <f>POWER(1+AR139,1/((I139-F139)/365))-1</f>
        <v>#VALUE!</v>
      </c>
      <c r="AT139" s="598" t="e">
        <f>J139*(1+AR139)/AO139-1</f>
        <v>#VALUE!</v>
      </c>
      <c r="AU139" s="552" t="e">
        <f>POWER(1+AT139,1/AG139)-1</f>
        <v>#VALUE!</v>
      </c>
      <c r="AV139" s="558" t="e">
        <f>MAX(M139,AN139+AF139*K139)</f>
        <v>#VALUE!</v>
      </c>
      <c r="AW139" s="558" t="e">
        <f t="shared" si="23"/>
        <v>#VALUE!</v>
      </c>
      <c r="AX139" s="553" t="e">
        <f>J139*(1+AV139)/AO139-1</f>
        <v>#VALUE!</v>
      </c>
      <c r="AY139" s="552" t="e">
        <f>POWER(1+AX139,1/AG139)-1</f>
        <v>#VALUE!</v>
      </c>
      <c r="AZ139" s="642" t="e">
        <f t="shared" si="22"/>
        <v>#VALUE!</v>
      </c>
      <c r="BA139" s="644" t="s">
        <v>3189</v>
      </c>
      <c r="BB139" s="570" t="s">
        <v>2025</v>
      </c>
      <c r="BC139" s="637" t="s">
        <v>2895</v>
      </c>
      <c r="BD139" s="3708"/>
      <c r="BE139" s="3743"/>
      <c r="BF139" s="3743"/>
      <c r="BG139" s="3708"/>
      <c r="BH139" s="3762"/>
      <c r="BI139" s="3762"/>
      <c r="BJ139" s="39"/>
      <c r="BK139" s="39"/>
      <c r="BL139" s="39"/>
      <c r="BM139" s="39"/>
      <c r="BN139" s="39"/>
      <c r="BO139" s="39"/>
      <c r="BP139" s="39"/>
      <c r="BQ139" s="39"/>
      <c r="BR139" s="39"/>
      <c r="BS139" s="507"/>
      <c r="BT139" s="507"/>
      <c r="BU139" s="507"/>
      <c r="BV139" s="507"/>
      <c r="BW139" s="507"/>
      <c r="BX139" s="507"/>
      <c r="BY139" s="507"/>
      <c r="BZ139" s="507"/>
      <c r="CA139" s="507"/>
      <c r="CB139" s="507"/>
      <c r="CC139" s="507"/>
      <c r="CD139" s="507"/>
      <c r="CE139" s="507"/>
      <c r="CF139" s="507"/>
      <c r="CG139" s="507"/>
      <c r="CH139" s="507"/>
      <c r="CI139" s="507"/>
      <c r="CJ139" s="507"/>
      <c r="CK139" s="507"/>
      <c r="CL139" s="507"/>
      <c r="CM139" s="507"/>
      <c r="CN139" s="507"/>
      <c r="CO139" s="507"/>
      <c r="CP139" s="507"/>
      <c r="CQ139" s="507"/>
      <c r="CR139" s="507"/>
      <c r="CS139" s="507"/>
      <c r="CT139" s="507"/>
      <c r="CU139" s="507"/>
      <c r="CV139" s="507"/>
      <c r="CW139" s="507"/>
      <c r="CX139" s="507"/>
      <c r="CY139" s="507"/>
      <c r="CZ139" s="507"/>
      <c r="DA139" s="507"/>
      <c r="DB139" s="507"/>
      <c r="DC139" s="507"/>
      <c r="DD139" s="507"/>
      <c r="DE139" s="507"/>
      <c r="DF139" s="507"/>
      <c r="DG139" s="507"/>
      <c r="DH139" s="507"/>
      <c r="DI139" s="507"/>
      <c r="DJ139" s="507"/>
      <c r="DK139" s="507"/>
      <c r="DL139" s="507"/>
      <c r="DM139" s="507"/>
      <c r="DN139" s="507"/>
      <c r="DO139" s="507"/>
      <c r="DP139" s="507"/>
      <c r="DQ139" s="507"/>
      <c r="DR139" s="507"/>
      <c r="DS139" s="507"/>
      <c r="DT139" s="507"/>
      <c r="DU139" s="507"/>
      <c r="DV139" s="507"/>
      <c r="DW139" s="507"/>
      <c r="DX139" s="507"/>
      <c r="DY139" s="507"/>
      <c r="DZ139" s="507"/>
      <c r="EA139" s="507"/>
      <c r="EB139" s="507"/>
      <c r="EC139" s="507"/>
      <c r="ED139" s="507"/>
      <c r="EE139" s="507"/>
      <c r="EF139" s="507"/>
      <c r="EG139" s="507"/>
      <c r="EH139" s="507"/>
      <c r="EI139" s="507"/>
      <c r="EJ139" s="507"/>
      <c r="EK139" s="507"/>
      <c r="EL139" s="507"/>
      <c r="EM139" s="507"/>
      <c r="EN139" s="507"/>
      <c r="EO139" s="507"/>
      <c r="EP139" s="507"/>
      <c r="EQ139" s="507"/>
      <c r="ER139" s="507"/>
      <c r="ES139" s="507"/>
      <c r="ET139" s="507"/>
      <c r="EU139" s="507"/>
      <c r="EV139" s="507"/>
      <c r="EW139" s="507"/>
      <c r="EX139" s="507"/>
      <c r="EY139" s="507"/>
      <c r="EZ139" s="507"/>
      <c r="FA139" s="507"/>
      <c r="FB139" s="507"/>
      <c r="FC139" s="507"/>
      <c r="FD139" s="507"/>
      <c r="FE139" s="507"/>
      <c r="FF139" s="507"/>
      <c r="FG139" s="507"/>
      <c r="FH139" s="507"/>
      <c r="FI139" s="507"/>
      <c r="FJ139" s="507"/>
      <c r="FK139" s="507"/>
      <c r="FL139" s="507"/>
      <c r="FM139" s="507"/>
      <c r="FN139" s="507"/>
      <c r="FO139" s="507"/>
      <c r="FP139" s="507"/>
      <c r="FQ139" s="507"/>
      <c r="FR139" s="507"/>
      <c r="FS139" s="507"/>
      <c r="FT139" s="507"/>
      <c r="FU139" s="507"/>
      <c r="FV139" s="507"/>
      <c r="FW139" s="507"/>
      <c r="FX139" s="507"/>
      <c r="FY139" s="507"/>
      <c r="FZ139" s="507"/>
      <c r="GA139" s="507"/>
      <c r="GB139" s="507"/>
      <c r="GC139" s="507"/>
      <c r="GD139" s="507"/>
      <c r="GE139" s="507"/>
      <c r="GF139" s="507"/>
      <c r="GG139" s="507"/>
      <c r="GH139" s="507"/>
      <c r="GI139" s="507"/>
      <c r="GJ139" s="507"/>
      <c r="GK139" s="507"/>
      <c r="GL139" s="507"/>
      <c r="GM139" s="507"/>
      <c r="GN139" s="507"/>
      <c r="GO139" s="507"/>
      <c r="GP139" s="507"/>
      <c r="GQ139" s="507"/>
      <c r="GR139" s="507"/>
      <c r="GS139" s="507"/>
      <c r="GT139" s="507"/>
      <c r="GU139" s="507"/>
      <c r="GV139" s="507"/>
      <c r="GW139" s="507"/>
      <c r="GX139" s="507"/>
      <c r="GY139" s="507"/>
      <c r="GZ139" s="507"/>
      <c r="HA139" s="507"/>
      <c r="HB139" s="507"/>
      <c r="HC139" s="507"/>
      <c r="HD139" s="507"/>
      <c r="HE139" s="507"/>
      <c r="HF139" s="507"/>
      <c r="HG139" s="507"/>
      <c r="HH139" s="507"/>
      <c r="HI139" s="507"/>
      <c r="HJ139" s="507"/>
      <c r="HK139" s="507"/>
      <c r="HL139" s="507"/>
      <c r="HM139" s="507"/>
      <c r="HN139" s="507"/>
      <c r="HO139" s="507"/>
      <c r="HP139" s="507"/>
      <c r="HQ139" s="507"/>
      <c r="HR139" s="507"/>
      <c r="HS139" s="507"/>
      <c r="HT139" s="507"/>
      <c r="HU139" s="507"/>
      <c r="HV139" s="507"/>
      <c r="HW139" s="507"/>
      <c r="HX139" s="507"/>
      <c r="HY139" s="507"/>
      <c r="HZ139" s="507"/>
    </row>
    <row r="140" spans="1:234" s="298" customFormat="1" ht="15.9" hidden="1" customHeight="1" x14ac:dyDescent="0.25">
      <c r="A140" s="522" t="s">
        <v>3490</v>
      </c>
      <c r="B140" s="535" t="s">
        <v>299</v>
      </c>
      <c r="C140" s="527" t="s">
        <v>4513</v>
      </c>
      <c r="D140" s="570" t="s">
        <v>189</v>
      </c>
      <c r="E140" s="569" t="s">
        <v>3228</v>
      </c>
      <c r="F140" s="543">
        <v>39211</v>
      </c>
      <c r="G140" s="544">
        <v>39174</v>
      </c>
      <c r="H140" s="557">
        <v>39202</v>
      </c>
      <c r="I140" s="546">
        <v>40694</v>
      </c>
      <c r="J140" s="547">
        <v>10</v>
      </c>
      <c r="K140" s="553" t="s">
        <v>3229</v>
      </c>
      <c r="L140" s="552" t="s">
        <v>3229</v>
      </c>
      <c r="M140" s="549">
        <v>0</v>
      </c>
      <c r="N140" s="606">
        <v>1</v>
      </c>
      <c r="O140" s="551" t="s">
        <v>3229</v>
      </c>
      <c r="P140" s="576" t="s">
        <v>3229</v>
      </c>
      <c r="Q140" s="570" t="s">
        <v>3229</v>
      </c>
      <c r="R140" s="570" t="s">
        <v>3229</v>
      </c>
      <c r="S140" s="577"/>
      <c r="T140" s="555" t="s">
        <v>3229</v>
      </c>
      <c r="U140" s="555" t="s">
        <v>3229</v>
      </c>
      <c r="V140" s="555" t="s">
        <v>3229</v>
      </c>
      <c r="W140" s="555" t="s">
        <v>3229</v>
      </c>
      <c r="X140" s="555" t="s">
        <v>3229</v>
      </c>
      <c r="Y140" s="553" t="s">
        <v>3229</v>
      </c>
      <c r="Z140" s="553" t="s">
        <v>3229</v>
      </c>
      <c r="AA140" s="553" t="s">
        <v>3229</v>
      </c>
      <c r="AB140" s="553" t="s">
        <v>3229</v>
      </c>
      <c r="AC140" s="553" t="s">
        <v>3229</v>
      </c>
      <c r="AD140" s="553" t="s">
        <v>3229</v>
      </c>
      <c r="AE140" s="553" t="s">
        <v>3229</v>
      </c>
      <c r="AF140" s="3764" t="s">
        <v>781</v>
      </c>
      <c r="AG140" s="3765"/>
      <c r="AH140" s="553" t="s">
        <v>3229</v>
      </c>
      <c r="AI140" s="553" t="s">
        <v>3229</v>
      </c>
      <c r="AJ140" s="553" t="s">
        <v>3229</v>
      </c>
      <c r="AK140" s="566" t="s">
        <v>3229</v>
      </c>
      <c r="AL140" s="553" t="s">
        <v>3229</v>
      </c>
      <c r="AM140" s="659">
        <v>1</v>
      </c>
      <c r="AN140" s="606">
        <v>0</v>
      </c>
      <c r="AO140" s="660">
        <v>9.99</v>
      </c>
      <c r="AP140" s="1368">
        <v>-0.54633418750000007</v>
      </c>
      <c r="AQ140" s="675">
        <v>-0.69653921215260395</v>
      </c>
      <c r="AR140" s="632" t="s">
        <v>3660</v>
      </c>
      <c r="AS140" s="558"/>
      <c r="AT140" s="598"/>
      <c r="AU140" s="552"/>
      <c r="AV140" s="558">
        <f t="shared" ref="AV140:AV146" si="24">M140</f>
        <v>0</v>
      </c>
      <c r="AW140" s="558">
        <f t="shared" si="23"/>
        <v>0</v>
      </c>
      <c r="AX140" s="553">
        <f>J140*(1+AV140)/AO140-1</f>
        <v>1.0010010010010895E-3</v>
      </c>
      <c r="AY140" s="552" t="e">
        <f>POWER(1+AX140,1/AG140)-1</f>
        <v>#DIV/0!</v>
      </c>
      <c r="AZ140" s="642">
        <f t="shared" si="22"/>
        <v>10</v>
      </c>
      <c r="BA140" s="644" t="s">
        <v>4427</v>
      </c>
      <c r="BB140" s="570"/>
      <c r="BC140" s="637"/>
      <c r="BD140" s="3708"/>
      <c r="BE140" s="3743"/>
      <c r="BF140" s="3743"/>
      <c r="BG140" s="3708"/>
      <c r="BH140" s="3762"/>
      <c r="BI140" s="3762"/>
      <c r="BJ140" s="39"/>
      <c r="BK140" s="39"/>
      <c r="BL140" s="39"/>
      <c r="BM140" s="39"/>
      <c r="BN140" s="39"/>
      <c r="BO140" s="39"/>
      <c r="BP140" s="39"/>
      <c r="BQ140" s="39"/>
      <c r="BR140" s="39"/>
      <c r="BS140" s="507"/>
      <c r="BT140" s="507"/>
      <c r="BU140" s="507"/>
      <c r="BV140" s="507"/>
      <c r="BW140" s="507"/>
      <c r="BX140" s="507"/>
      <c r="BY140" s="507"/>
      <c r="BZ140" s="507"/>
      <c r="CA140" s="507"/>
      <c r="CB140" s="507"/>
      <c r="CC140" s="507"/>
      <c r="CD140" s="507"/>
      <c r="CE140" s="507"/>
      <c r="CF140" s="507"/>
      <c r="CG140" s="507"/>
      <c r="CH140" s="507"/>
      <c r="CI140" s="507"/>
      <c r="CJ140" s="507"/>
      <c r="CK140" s="507"/>
      <c r="CL140" s="507"/>
      <c r="CM140" s="507"/>
      <c r="CN140" s="507"/>
      <c r="CO140" s="507"/>
      <c r="CP140" s="507"/>
      <c r="CQ140" s="507"/>
      <c r="CR140" s="507"/>
      <c r="CS140" s="507"/>
      <c r="CT140" s="507"/>
      <c r="CU140" s="507"/>
      <c r="CV140" s="507"/>
      <c r="CW140" s="507"/>
      <c r="CX140" s="507"/>
      <c r="CY140" s="507"/>
      <c r="CZ140" s="507"/>
      <c r="DA140" s="507"/>
      <c r="DB140" s="507"/>
      <c r="DC140" s="507"/>
      <c r="DD140" s="507"/>
      <c r="DE140" s="507"/>
      <c r="DF140" s="507"/>
      <c r="DG140" s="507"/>
      <c r="DH140" s="507"/>
      <c r="DI140" s="507"/>
      <c r="DJ140" s="507"/>
      <c r="DK140" s="507"/>
      <c r="DL140" s="507"/>
      <c r="DM140" s="507"/>
      <c r="DN140" s="507"/>
      <c r="DO140" s="507"/>
      <c r="DP140" s="507"/>
      <c r="DQ140" s="507"/>
      <c r="DR140" s="507"/>
      <c r="DS140" s="507"/>
      <c r="DT140" s="507"/>
      <c r="DU140" s="507"/>
      <c r="DV140" s="507"/>
      <c r="DW140" s="507"/>
      <c r="DX140" s="507"/>
      <c r="DY140" s="507"/>
      <c r="DZ140" s="507"/>
      <c r="EA140" s="507"/>
      <c r="EB140" s="507"/>
      <c r="EC140" s="507"/>
      <c r="ED140" s="507"/>
      <c r="EE140" s="507"/>
      <c r="EF140" s="507"/>
      <c r="EG140" s="507"/>
      <c r="EH140" s="507"/>
      <c r="EI140" s="507"/>
      <c r="EJ140" s="507"/>
      <c r="EK140" s="507"/>
      <c r="EL140" s="507"/>
      <c r="EM140" s="507"/>
      <c r="EN140" s="507"/>
      <c r="EO140" s="507"/>
      <c r="EP140" s="507"/>
      <c r="EQ140" s="507"/>
      <c r="ER140" s="507"/>
      <c r="ES140" s="507"/>
      <c r="ET140" s="507"/>
      <c r="EU140" s="507"/>
      <c r="EV140" s="507"/>
      <c r="EW140" s="507"/>
      <c r="EX140" s="507"/>
      <c r="EY140" s="507"/>
      <c r="EZ140" s="507"/>
      <c r="FA140" s="507"/>
      <c r="FB140" s="507"/>
      <c r="FC140" s="507"/>
      <c r="FD140" s="507"/>
      <c r="FE140" s="507"/>
      <c r="FF140" s="507"/>
      <c r="FG140" s="507"/>
      <c r="FH140" s="507"/>
      <c r="FI140" s="507"/>
      <c r="FJ140" s="507"/>
      <c r="FK140" s="507"/>
      <c r="FL140" s="507"/>
      <c r="FM140" s="507"/>
      <c r="FN140" s="507"/>
      <c r="FO140" s="507"/>
      <c r="FP140" s="507"/>
      <c r="FQ140" s="507"/>
      <c r="FR140" s="507"/>
      <c r="FS140" s="507"/>
      <c r="FT140" s="507"/>
      <c r="FU140" s="507"/>
      <c r="FV140" s="507"/>
      <c r="FW140" s="507"/>
      <c r="FX140" s="507"/>
      <c r="FY140" s="507"/>
      <c r="FZ140" s="507"/>
      <c r="GA140" s="507"/>
      <c r="GB140" s="507"/>
      <c r="GC140" s="507"/>
      <c r="GD140" s="507"/>
      <c r="GE140" s="507"/>
      <c r="GF140" s="507"/>
      <c r="GG140" s="507"/>
      <c r="GH140" s="507"/>
      <c r="GI140" s="507"/>
      <c r="GJ140" s="507"/>
      <c r="GK140" s="507"/>
      <c r="GL140" s="507"/>
      <c r="GM140" s="507"/>
      <c r="GN140" s="507"/>
      <c r="GO140" s="507"/>
      <c r="GP140" s="507"/>
      <c r="GQ140" s="507"/>
      <c r="GR140" s="507"/>
      <c r="GS140" s="507"/>
      <c r="GT140" s="507"/>
      <c r="GU140" s="507"/>
      <c r="GV140" s="507"/>
      <c r="GW140" s="507"/>
      <c r="GX140" s="507"/>
      <c r="GY140" s="507"/>
      <c r="GZ140" s="507"/>
      <c r="HA140" s="507"/>
      <c r="HB140" s="507"/>
      <c r="HC140" s="507"/>
      <c r="HD140" s="507"/>
      <c r="HE140" s="507"/>
      <c r="HF140" s="507"/>
      <c r="HG140" s="507"/>
      <c r="HH140" s="507"/>
      <c r="HI140" s="507"/>
      <c r="HJ140" s="507"/>
      <c r="HK140" s="507"/>
      <c r="HL140" s="507"/>
      <c r="HM140" s="507"/>
      <c r="HN140" s="507"/>
      <c r="HO140" s="507"/>
      <c r="HP140" s="507"/>
      <c r="HQ140" s="507"/>
      <c r="HR140" s="507"/>
      <c r="HS140" s="507"/>
      <c r="HT140" s="507"/>
      <c r="HU140" s="507"/>
      <c r="HV140" s="507"/>
      <c r="HW140" s="507"/>
      <c r="HX140" s="507"/>
      <c r="HY140" s="507"/>
      <c r="HZ140" s="507"/>
    </row>
    <row r="141" spans="1:234" s="298" customFormat="1" ht="15.9" hidden="1" customHeight="1" x14ac:dyDescent="0.25">
      <c r="A141" s="522" t="s">
        <v>4201</v>
      </c>
      <c r="B141" s="535" t="s">
        <v>356</v>
      </c>
      <c r="C141" s="527" t="s">
        <v>20</v>
      </c>
      <c r="D141" s="570" t="s">
        <v>19</v>
      </c>
      <c r="E141" s="569" t="s">
        <v>3228</v>
      </c>
      <c r="F141" s="543">
        <v>39213</v>
      </c>
      <c r="G141" s="544">
        <v>39174</v>
      </c>
      <c r="H141" s="557">
        <v>39206</v>
      </c>
      <c r="I141" s="546">
        <v>41131</v>
      </c>
      <c r="J141" s="547">
        <v>10</v>
      </c>
      <c r="K141" s="553" t="s">
        <v>3229</v>
      </c>
      <c r="L141" s="552" t="s">
        <v>3229</v>
      </c>
      <c r="M141" s="549">
        <v>0.02</v>
      </c>
      <c r="N141" s="606">
        <v>0.5</v>
      </c>
      <c r="O141" s="551" t="s">
        <v>3229</v>
      </c>
      <c r="P141" s="576" t="s">
        <v>3229</v>
      </c>
      <c r="Q141" s="570" t="s">
        <v>3229</v>
      </c>
      <c r="R141" s="570" t="s">
        <v>3229</v>
      </c>
      <c r="S141" s="577"/>
      <c r="T141" s="555" t="s">
        <v>3229</v>
      </c>
      <c r="U141" s="555" t="s">
        <v>3229</v>
      </c>
      <c r="V141" s="555" t="s">
        <v>3229</v>
      </c>
      <c r="W141" s="555" t="s">
        <v>3229</v>
      </c>
      <c r="X141" s="555" t="s">
        <v>3229</v>
      </c>
      <c r="Y141" s="553" t="s">
        <v>3229</v>
      </c>
      <c r="Z141" s="553" t="s">
        <v>3229</v>
      </c>
      <c r="AA141" s="553" t="s">
        <v>3229</v>
      </c>
      <c r="AB141" s="553" t="s">
        <v>3229</v>
      </c>
      <c r="AC141" s="553" t="s">
        <v>3229</v>
      </c>
      <c r="AD141" s="553" t="s">
        <v>3229</v>
      </c>
      <c r="AE141" s="553" t="s">
        <v>3229</v>
      </c>
      <c r="AF141" s="3764" t="s">
        <v>781</v>
      </c>
      <c r="AG141" s="3765"/>
      <c r="AH141" s="553" t="s">
        <v>3229</v>
      </c>
      <c r="AI141" s="553" t="s">
        <v>3229</v>
      </c>
      <c r="AJ141" s="553" t="s">
        <v>3229</v>
      </c>
      <c r="AK141" s="566" t="s">
        <v>3229</v>
      </c>
      <c r="AL141" s="553" t="s">
        <v>3229</v>
      </c>
      <c r="AM141" s="659">
        <v>1</v>
      </c>
      <c r="AN141" s="606">
        <v>0.02</v>
      </c>
      <c r="AO141" s="660">
        <v>10.199999999999999</v>
      </c>
      <c r="AP141" s="1368">
        <v>-4.8090055555555573E-2</v>
      </c>
      <c r="AQ141" s="675">
        <v>-9.4700000000000006E-2</v>
      </c>
      <c r="AR141" s="632" t="s">
        <v>3660</v>
      </c>
      <c r="AS141" s="558"/>
      <c r="AT141" s="598"/>
      <c r="AU141" s="552"/>
      <c r="AV141" s="558">
        <f t="shared" si="24"/>
        <v>0.02</v>
      </c>
      <c r="AW141" s="558">
        <f t="shared" si="23"/>
        <v>3.7755971447310799E-3</v>
      </c>
      <c r="AX141" s="553">
        <f>J141*(1+AV141)/AO141-1</f>
        <v>0</v>
      </c>
      <c r="AY141" s="552" t="e">
        <f>POWER(1+AX141,1/AG141)-1</f>
        <v>#DIV/0!</v>
      </c>
      <c r="AZ141" s="642">
        <f t="shared" si="22"/>
        <v>10.199999999999999</v>
      </c>
      <c r="BA141" s="644" t="s">
        <v>643</v>
      </c>
      <c r="BB141" s="570"/>
      <c r="BC141" s="637"/>
      <c r="BD141" s="3708"/>
      <c r="BE141" s="3743"/>
      <c r="BF141" s="3743"/>
      <c r="BG141" s="3708"/>
      <c r="BH141" s="3762"/>
      <c r="BI141" s="3762"/>
      <c r="BJ141" s="39"/>
      <c r="BK141" s="39"/>
      <c r="BL141" s="39"/>
      <c r="BM141" s="39"/>
      <c r="BN141" s="39"/>
      <c r="BO141" s="39"/>
      <c r="BP141" s="39"/>
      <c r="BQ141" s="39"/>
      <c r="BR141" s="39"/>
      <c r="BS141" s="507"/>
      <c r="BT141" s="507"/>
      <c r="BU141" s="507"/>
      <c r="BV141" s="507"/>
      <c r="BW141" s="507"/>
      <c r="BX141" s="507"/>
      <c r="BY141" s="507"/>
      <c r="BZ141" s="507"/>
      <c r="CA141" s="507"/>
      <c r="CB141" s="507"/>
      <c r="CC141" s="507"/>
      <c r="CD141" s="507"/>
      <c r="CE141" s="507"/>
      <c r="CF141" s="507"/>
      <c r="CG141" s="507"/>
      <c r="CH141" s="507"/>
      <c r="CI141" s="507"/>
      <c r="CJ141" s="507"/>
      <c r="CK141" s="507"/>
      <c r="CL141" s="507"/>
      <c r="CM141" s="507"/>
      <c r="CN141" s="507"/>
      <c r="CO141" s="507"/>
      <c r="CP141" s="507"/>
      <c r="CQ141" s="507"/>
      <c r="CR141" s="507"/>
      <c r="CS141" s="507"/>
      <c r="CT141" s="507"/>
      <c r="CU141" s="507"/>
      <c r="CV141" s="507"/>
      <c r="CW141" s="507"/>
      <c r="CX141" s="507"/>
      <c r="CY141" s="507"/>
      <c r="CZ141" s="507"/>
      <c r="DA141" s="507"/>
      <c r="DB141" s="507"/>
      <c r="DC141" s="507"/>
      <c r="DD141" s="507"/>
      <c r="DE141" s="507"/>
      <c r="DF141" s="507"/>
      <c r="DG141" s="507"/>
      <c r="DH141" s="507"/>
      <c r="DI141" s="507"/>
      <c r="DJ141" s="507"/>
      <c r="DK141" s="507"/>
      <c r="DL141" s="507"/>
      <c r="DM141" s="507"/>
      <c r="DN141" s="507"/>
      <c r="DO141" s="507"/>
      <c r="DP141" s="507"/>
      <c r="DQ141" s="507"/>
      <c r="DR141" s="507"/>
      <c r="DS141" s="507"/>
      <c r="DT141" s="507"/>
      <c r="DU141" s="507"/>
      <c r="DV141" s="507"/>
      <c r="DW141" s="507"/>
      <c r="DX141" s="507"/>
      <c r="DY141" s="507"/>
      <c r="DZ141" s="507"/>
      <c r="EA141" s="507"/>
      <c r="EB141" s="507"/>
      <c r="EC141" s="507"/>
      <c r="ED141" s="507"/>
      <c r="EE141" s="507"/>
      <c r="EF141" s="507"/>
      <c r="EG141" s="507"/>
      <c r="EH141" s="507"/>
      <c r="EI141" s="507"/>
      <c r="EJ141" s="507"/>
      <c r="EK141" s="507"/>
      <c r="EL141" s="507"/>
      <c r="EM141" s="507"/>
      <c r="EN141" s="507"/>
      <c r="EO141" s="507"/>
      <c r="EP141" s="507"/>
      <c r="EQ141" s="507"/>
      <c r="ER141" s="507"/>
      <c r="ES141" s="507"/>
      <c r="ET141" s="507"/>
      <c r="EU141" s="507"/>
      <c r="EV141" s="507"/>
      <c r="EW141" s="507"/>
      <c r="EX141" s="507"/>
      <c r="EY141" s="507"/>
      <c r="EZ141" s="507"/>
      <c r="FA141" s="507"/>
      <c r="FB141" s="507"/>
      <c r="FC141" s="507"/>
      <c r="FD141" s="507"/>
      <c r="FE141" s="507"/>
      <c r="FF141" s="507"/>
      <c r="FG141" s="507"/>
      <c r="FH141" s="507"/>
      <c r="FI141" s="507"/>
      <c r="FJ141" s="507"/>
      <c r="FK141" s="507"/>
      <c r="FL141" s="507"/>
      <c r="FM141" s="507"/>
      <c r="FN141" s="507"/>
      <c r="FO141" s="507"/>
      <c r="FP141" s="507"/>
      <c r="FQ141" s="507"/>
      <c r="FR141" s="507"/>
      <c r="FS141" s="507"/>
      <c r="FT141" s="507"/>
      <c r="FU141" s="507"/>
      <c r="FV141" s="507"/>
      <c r="FW141" s="507"/>
      <c r="FX141" s="507"/>
      <c r="FY141" s="507"/>
      <c r="FZ141" s="507"/>
      <c r="GA141" s="507"/>
      <c r="GB141" s="507"/>
      <c r="GC141" s="507"/>
      <c r="GD141" s="507"/>
      <c r="GE141" s="507"/>
      <c r="GF141" s="507"/>
      <c r="GG141" s="507"/>
      <c r="GH141" s="507"/>
      <c r="GI141" s="507"/>
      <c r="GJ141" s="507"/>
      <c r="GK141" s="507"/>
      <c r="GL141" s="507"/>
      <c r="GM141" s="507"/>
      <c r="GN141" s="507"/>
      <c r="GO141" s="507"/>
      <c r="GP141" s="507"/>
      <c r="GQ141" s="507"/>
      <c r="GR141" s="507"/>
      <c r="GS141" s="507"/>
      <c r="GT141" s="507"/>
      <c r="GU141" s="507"/>
      <c r="GV141" s="507"/>
      <c r="GW141" s="507"/>
      <c r="GX141" s="507"/>
      <c r="GY141" s="507"/>
      <c r="GZ141" s="507"/>
      <c r="HA141" s="507"/>
      <c r="HB141" s="507"/>
      <c r="HC141" s="507"/>
      <c r="HD141" s="507"/>
      <c r="HE141" s="507"/>
      <c r="HF141" s="507"/>
      <c r="HG141" s="507"/>
      <c r="HH141" s="507"/>
      <c r="HI141" s="507"/>
      <c r="HJ141" s="507"/>
      <c r="HK141" s="507"/>
      <c r="HL141" s="507"/>
      <c r="HM141" s="507"/>
      <c r="HN141" s="507"/>
      <c r="HO141" s="507"/>
      <c r="HP141" s="507"/>
      <c r="HQ141" s="507"/>
      <c r="HR141" s="507"/>
      <c r="HS141" s="507"/>
      <c r="HT141" s="507"/>
      <c r="HU141" s="507"/>
      <c r="HV141" s="507"/>
      <c r="HW141" s="507"/>
      <c r="HX141" s="507"/>
      <c r="HY141" s="507"/>
      <c r="HZ141" s="507"/>
    </row>
    <row r="142" spans="1:234" s="298" customFormat="1" ht="15.9" hidden="1" customHeight="1" x14ac:dyDescent="0.25">
      <c r="A142" s="522" t="s">
        <v>4200</v>
      </c>
      <c r="B142" s="535" t="s">
        <v>357</v>
      </c>
      <c r="C142" s="527" t="s">
        <v>3186</v>
      </c>
      <c r="D142" s="570" t="s">
        <v>4383</v>
      </c>
      <c r="E142" s="569" t="s">
        <v>3228</v>
      </c>
      <c r="F142" s="543">
        <v>39224</v>
      </c>
      <c r="G142" s="544">
        <v>39174</v>
      </c>
      <c r="H142" s="557">
        <v>39213</v>
      </c>
      <c r="I142" s="546">
        <v>40694</v>
      </c>
      <c r="J142" s="547">
        <v>10</v>
      </c>
      <c r="K142" s="553" t="s">
        <v>3229</v>
      </c>
      <c r="L142" s="552" t="s">
        <v>3229</v>
      </c>
      <c r="M142" s="549">
        <v>0.02</v>
      </c>
      <c r="N142" s="606">
        <v>0.9</v>
      </c>
      <c r="O142" s="551" t="s">
        <v>3229</v>
      </c>
      <c r="P142" s="576" t="s">
        <v>3229</v>
      </c>
      <c r="Q142" s="570" t="s">
        <v>3229</v>
      </c>
      <c r="R142" s="570" t="s">
        <v>3229</v>
      </c>
      <c r="S142" s="577"/>
      <c r="T142" s="555" t="s">
        <v>3229</v>
      </c>
      <c r="U142" s="555"/>
      <c r="V142" s="555"/>
      <c r="W142" s="555"/>
      <c r="X142" s="555"/>
      <c r="Y142" s="553"/>
      <c r="Z142" s="553"/>
      <c r="AA142" s="553"/>
      <c r="AB142" s="553"/>
      <c r="AC142" s="553"/>
      <c r="AD142" s="553"/>
      <c r="AE142" s="553"/>
      <c r="AF142" s="3764" t="s">
        <v>781</v>
      </c>
      <c r="AG142" s="3765"/>
      <c r="AH142" s="553" t="s">
        <v>3229</v>
      </c>
      <c r="AI142" s="553" t="s">
        <v>3229</v>
      </c>
      <c r="AJ142" s="553" t="s">
        <v>3229</v>
      </c>
      <c r="AK142" s="566" t="s">
        <v>3229</v>
      </c>
      <c r="AL142" s="553" t="s">
        <v>3229</v>
      </c>
      <c r="AM142" s="659">
        <v>1</v>
      </c>
      <c r="AN142" s="606">
        <v>0.02</v>
      </c>
      <c r="AO142" s="660">
        <v>10.199999999999999</v>
      </c>
      <c r="AP142" s="1368">
        <v>-0.33098081249999994</v>
      </c>
      <c r="AQ142" s="675">
        <v>-0.35175425818236467</v>
      </c>
      <c r="AR142" s="632" t="s">
        <v>3660</v>
      </c>
      <c r="AS142" s="558"/>
      <c r="AT142" s="598"/>
      <c r="AU142" s="552"/>
      <c r="AV142" s="558">
        <f t="shared" si="24"/>
        <v>0.02</v>
      </c>
      <c r="AW142" s="558">
        <f t="shared" si="23"/>
        <v>4.9290870642353379E-3</v>
      </c>
      <c r="AX142" s="553">
        <f>J142*(1+AV142)/AO142-1</f>
        <v>0</v>
      </c>
      <c r="AY142" s="552" t="e">
        <f>POWER(1+AX142,1/AG142)-1</f>
        <v>#DIV/0!</v>
      </c>
      <c r="AZ142" s="642">
        <f t="shared" si="22"/>
        <v>10.199999999999999</v>
      </c>
      <c r="BA142" s="644" t="s">
        <v>643</v>
      </c>
      <c r="BB142" s="570"/>
      <c r="BC142" s="637"/>
      <c r="BD142" s="3708"/>
      <c r="BE142" s="3743"/>
      <c r="BF142" s="3743"/>
      <c r="BG142" s="3708"/>
      <c r="BH142" s="3762"/>
      <c r="BI142" s="3762"/>
      <c r="BJ142" s="39"/>
      <c r="BK142" s="39"/>
      <c r="BL142" s="39"/>
      <c r="BM142" s="39"/>
      <c r="BN142" s="39"/>
      <c r="BO142" s="39"/>
      <c r="BP142" s="39"/>
      <c r="BQ142" s="39"/>
      <c r="BR142" s="39"/>
      <c r="BS142" s="507"/>
      <c r="BT142" s="507"/>
      <c r="BU142" s="507"/>
      <c r="BV142" s="507"/>
      <c r="BW142" s="507"/>
      <c r="BX142" s="507"/>
      <c r="BY142" s="507"/>
      <c r="BZ142" s="507"/>
      <c r="CA142" s="507"/>
      <c r="CB142" s="507"/>
      <c r="CC142" s="507"/>
      <c r="CD142" s="507"/>
      <c r="CE142" s="507"/>
      <c r="CF142" s="507"/>
      <c r="CG142" s="507"/>
      <c r="CH142" s="507"/>
      <c r="CI142" s="507"/>
      <c r="CJ142" s="507"/>
      <c r="CK142" s="507"/>
      <c r="CL142" s="507"/>
      <c r="CM142" s="507"/>
      <c r="CN142" s="507"/>
      <c r="CO142" s="507"/>
      <c r="CP142" s="507"/>
      <c r="CQ142" s="507"/>
      <c r="CR142" s="507"/>
      <c r="CS142" s="507"/>
      <c r="CT142" s="507"/>
      <c r="CU142" s="507"/>
      <c r="CV142" s="507"/>
      <c r="CW142" s="507"/>
      <c r="CX142" s="507"/>
      <c r="CY142" s="507"/>
      <c r="CZ142" s="507"/>
      <c r="DA142" s="507"/>
      <c r="DB142" s="507"/>
      <c r="DC142" s="507"/>
      <c r="DD142" s="507"/>
      <c r="DE142" s="507"/>
      <c r="DF142" s="507"/>
      <c r="DG142" s="507"/>
      <c r="DH142" s="507"/>
      <c r="DI142" s="507"/>
      <c r="DJ142" s="507"/>
      <c r="DK142" s="507"/>
      <c r="DL142" s="507"/>
      <c r="DM142" s="507"/>
      <c r="DN142" s="507"/>
      <c r="DO142" s="507"/>
      <c r="DP142" s="507"/>
      <c r="DQ142" s="507"/>
      <c r="DR142" s="507"/>
      <c r="DS142" s="507"/>
      <c r="DT142" s="507"/>
      <c r="DU142" s="507"/>
      <c r="DV142" s="507"/>
      <c r="DW142" s="507"/>
      <c r="DX142" s="507"/>
      <c r="DY142" s="507"/>
      <c r="DZ142" s="507"/>
      <c r="EA142" s="507"/>
      <c r="EB142" s="507"/>
      <c r="EC142" s="507"/>
      <c r="ED142" s="507"/>
      <c r="EE142" s="507"/>
      <c r="EF142" s="507"/>
      <c r="EG142" s="507"/>
      <c r="EH142" s="507"/>
      <c r="EI142" s="507"/>
      <c r="EJ142" s="507"/>
      <c r="EK142" s="507"/>
      <c r="EL142" s="507"/>
      <c r="EM142" s="507"/>
      <c r="EN142" s="507"/>
      <c r="EO142" s="507"/>
      <c r="EP142" s="507"/>
      <c r="EQ142" s="507"/>
      <c r="ER142" s="507"/>
      <c r="ES142" s="507"/>
      <c r="ET142" s="507"/>
      <c r="EU142" s="507"/>
      <c r="EV142" s="507"/>
      <c r="EW142" s="507"/>
      <c r="EX142" s="507"/>
      <c r="EY142" s="507"/>
      <c r="EZ142" s="507"/>
      <c r="FA142" s="507"/>
      <c r="FB142" s="507"/>
      <c r="FC142" s="507"/>
      <c r="FD142" s="507"/>
      <c r="FE142" s="507"/>
      <c r="FF142" s="507"/>
      <c r="FG142" s="507"/>
      <c r="FH142" s="507"/>
      <c r="FI142" s="507"/>
      <c r="FJ142" s="507"/>
      <c r="FK142" s="507"/>
      <c r="FL142" s="507"/>
      <c r="FM142" s="507"/>
      <c r="FN142" s="507"/>
      <c r="FO142" s="507"/>
      <c r="FP142" s="507"/>
      <c r="FQ142" s="507"/>
      <c r="FR142" s="507"/>
      <c r="FS142" s="507"/>
      <c r="FT142" s="507"/>
      <c r="FU142" s="507"/>
      <c r="FV142" s="507"/>
      <c r="FW142" s="507"/>
      <c r="FX142" s="507"/>
      <c r="FY142" s="507"/>
      <c r="FZ142" s="507"/>
      <c r="GA142" s="507"/>
      <c r="GB142" s="507"/>
      <c r="GC142" s="507"/>
      <c r="GD142" s="507"/>
      <c r="GE142" s="507"/>
      <c r="GF142" s="507"/>
      <c r="GG142" s="507"/>
      <c r="GH142" s="507"/>
      <c r="GI142" s="507"/>
      <c r="GJ142" s="507"/>
      <c r="GK142" s="507"/>
      <c r="GL142" s="507"/>
      <c r="GM142" s="507"/>
      <c r="GN142" s="507"/>
      <c r="GO142" s="507"/>
      <c r="GP142" s="507"/>
      <c r="GQ142" s="507"/>
      <c r="GR142" s="507"/>
      <c r="GS142" s="507"/>
      <c r="GT142" s="507"/>
      <c r="GU142" s="507"/>
      <c r="GV142" s="507"/>
      <c r="GW142" s="507"/>
      <c r="GX142" s="507"/>
      <c r="GY142" s="507"/>
      <c r="GZ142" s="507"/>
      <c r="HA142" s="507"/>
      <c r="HB142" s="507"/>
      <c r="HC142" s="507"/>
      <c r="HD142" s="507"/>
      <c r="HE142" s="507"/>
      <c r="HF142" s="507"/>
      <c r="HG142" s="507"/>
      <c r="HH142" s="507"/>
      <c r="HI142" s="507"/>
      <c r="HJ142" s="507"/>
      <c r="HK142" s="507"/>
      <c r="HL142" s="507"/>
      <c r="HM142" s="507"/>
      <c r="HN142" s="507"/>
      <c r="HO142" s="507"/>
      <c r="HP142" s="507"/>
      <c r="HQ142" s="507"/>
      <c r="HR142" s="507"/>
      <c r="HS142" s="507"/>
      <c r="HT142" s="507"/>
      <c r="HU142" s="507"/>
      <c r="HV142" s="507"/>
      <c r="HW142" s="507"/>
      <c r="HX142" s="507"/>
      <c r="HY142" s="507"/>
      <c r="HZ142" s="507"/>
    </row>
    <row r="143" spans="1:234" s="232" customFormat="1" ht="15.9" hidden="1" customHeight="1" x14ac:dyDescent="0.25">
      <c r="A143" s="522" t="s">
        <v>3087</v>
      </c>
      <c r="B143" s="535" t="s">
        <v>1684</v>
      </c>
      <c r="C143" s="527" t="s">
        <v>4514</v>
      </c>
      <c r="D143" s="570" t="s">
        <v>189</v>
      </c>
      <c r="E143" s="569" t="s">
        <v>3228</v>
      </c>
      <c r="F143" s="543">
        <v>39209</v>
      </c>
      <c r="G143" s="544">
        <v>39174</v>
      </c>
      <c r="H143" s="557">
        <v>39202</v>
      </c>
      <c r="I143" s="546">
        <v>39780</v>
      </c>
      <c r="J143" s="547">
        <v>10</v>
      </c>
      <c r="K143" s="553" t="s">
        <v>3229</v>
      </c>
      <c r="L143" s="552" t="s">
        <v>3229</v>
      </c>
      <c r="M143" s="549">
        <v>0</v>
      </c>
      <c r="N143" s="606" t="s">
        <v>3229</v>
      </c>
      <c r="O143" s="551" t="s">
        <v>3229</v>
      </c>
      <c r="P143" s="576">
        <v>0.5</v>
      </c>
      <c r="Q143" s="570" t="s">
        <v>3229</v>
      </c>
      <c r="R143" s="570" t="s">
        <v>3229</v>
      </c>
      <c r="S143" s="577"/>
      <c r="T143" s="555" t="s">
        <v>3229</v>
      </c>
      <c r="U143" s="555" t="s">
        <v>3229</v>
      </c>
      <c r="V143" s="555" t="s">
        <v>3229</v>
      </c>
      <c r="W143" s="555" t="s">
        <v>3229</v>
      </c>
      <c r="X143" s="555" t="s">
        <v>3229</v>
      </c>
      <c r="Y143" s="553" t="s">
        <v>3229</v>
      </c>
      <c r="Z143" s="553" t="s">
        <v>3229</v>
      </c>
      <c r="AA143" s="553" t="s">
        <v>3229</v>
      </c>
      <c r="AB143" s="553" t="s">
        <v>3229</v>
      </c>
      <c r="AC143" s="553" t="s">
        <v>3229</v>
      </c>
      <c r="AD143" s="553" t="s">
        <v>3229</v>
      </c>
      <c r="AE143" s="553" t="s">
        <v>3229</v>
      </c>
      <c r="AF143" s="3764" t="s">
        <v>781</v>
      </c>
      <c r="AG143" s="3765"/>
      <c r="AH143" s="553" t="s">
        <v>3229</v>
      </c>
      <c r="AI143" s="553" t="s">
        <v>3229</v>
      </c>
      <c r="AJ143" s="553" t="s">
        <v>3229</v>
      </c>
      <c r="AK143" s="566" t="s">
        <v>3229</v>
      </c>
      <c r="AL143" s="553" t="s">
        <v>3229</v>
      </c>
      <c r="AM143" s="659">
        <v>1</v>
      </c>
      <c r="AN143" s="606" t="s">
        <v>3229</v>
      </c>
      <c r="AO143" s="660">
        <v>10</v>
      </c>
      <c r="AP143" s="1368"/>
      <c r="AQ143" s="675">
        <v>0</v>
      </c>
      <c r="AR143" s="632">
        <v>0</v>
      </c>
      <c r="AS143" s="558">
        <f>POWER(1+AR143,1/((I143-F143)/365))-1</f>
        <v>0</v>
      </c>
      <c r="AT143" s="598" t="s">
        <v>3229</v>
      </c>
      <c r="AU143" s="552" t="s">
        <v>3229</v>
      </c>
      <c r="AV143" s="558">
        <f t="shared" si="24"/>
        <v>0</v>
      </c>
      <c r="AW143" s="558">
        <f t="shared" si="23"/>
        <v>0</v>
      </c>
      <c r="AX143" s="553" t="s">
        <v>3229</v>
      </c>
      <c r="AY143" s="552" t="s">
        <v>3229</v>
      </c>
      <c r="AZ143" s="642">
        <f t="shared" si="22"/>
        <v>10</v>
      </c>
      <c r="BA143" s="644" t="s">
        <v>3112</v>
      </c>
      <c r="BB143" s="570"/>
      <c r="BC143" s="637"/>
      <c r="BD143" s="3708"/>
      <c r="BE143" s="3743"/>
      <c r="BF143" s="3743"/>
      <c r="BG143" s="3708"/>
      <c r="BH143" s="3762"/>
      <c r="BI143" s="3762"/>
      <c r="BJ143" s="39"/>
      <c r="BK143" s="39"/>
      <c r="BL143" s="39"/>
      <c r="BM143" s="39"/>
      <c r="BN143" s="39"/>
      <c r="BO143" s="39"/>
      <c r="BP143" s="39"/>
      <c r="BQ143" s="39"/>
      <c r="BR143" s="39"/>
      <c r="BS143" s="507"/>
      <c r="BT143" s="507"/>
      <c r="BU143" s="507"/>
      <c r="BV143" s="507"/>
      <c r="BW143" s="507"/>
      <c r="BX143" s="507"/>
      <c r="BY143" s="507"/>
      <c r="BZ143" s="507"/>
      <c r="CA143" s="507"/>
      <c r="CB143" s="507"/>
      <c r="CC143" s="507"/>
      <c r="CD143" s="507"/>
      <c r="CE143" s="507"/>
      <c r="CF143" s="507"/>
      <c r="CG143" s="507"/>
      <c r="CH143" s="507"/>
      <c r="CI143" s="507"/>
      <c r="CJ143" s="507"/>
      <c r="CK143" s="507"/>
      <c r="CL143" s="507"/>
      <c r="CM143" s="507"/>
      <c r="CN143" s="507"/>
      <c r="CO143" s="507"/>
      <c r="CP143" s="507"/>
      <c r="CQ143" s="507"/>
      <c r="CR143" s="507"/>
      <c r="CS143" s="507"/>
      <c r="CT143" s="507"/>
      <c r="CU143" s="507"/>
      <c r="CV143" s="507"/>
      <c r="CW143" s="507"/>
      <c r="CX143" s="507"/>
      <c r="CY143" s="507"/>
      <c r="CZ143" s="507"/>
      <c r="DA143" s="507"/>
      <c r="DB143" s="507"/>
      <c r="DC143" s="507"/>
      <c r="DD143" s="507"/>
      <c r="DE143" s="507"/>
      <c r="DF143" s="507"/>
      <c r="DG143" s="507"/>
      <c r="DH143" s="507"/>
      <c r="DI143" s="507"/>
      <c r="DJ143" s="507"/>
      <c r="DK143" s="507"/>
      <c r="DL143" s="507"/>
      <c r="DM143" s="507"/>
      <c r="DN143" s="507"/>
      <c r="DO143" s="507"/>
      <c r="DP143" s="507"/>
      <c r="DQ143" s="507"/>
      <c r="DR143" s="507"/>
      <c r="DS143" s="507"/>
      <c r="DT143" s="507"/>
      <c r="DU143" s="507"/>
      <c r="DV143" s="507"/>
      <c r="DW143" s="507"/>
      <c r="DX143" s="507"/>
      <c r="DY143" s="507"/>
      <c r="DZ143" s="507"/>
      <c r="EA143" s="507"/>
      <c r="EB143" s="507"/>
      <c r="EC143" s="507"/>
      <c r="ED143" s="507"/>
      <c r="EE143" s="507"/>
      <c r="EF143" s="507"/>
      <c r="EG143" s="507"/>
      <c r="EH143" s="507"/>
      <c r="EI143" s="507"/>
      <c r="EJ143" s="507"/>
      <c r="EK143" s="507"/>
      <c r="EL143" s="507"/>
      <c r="EM143" s="507"/>
      <c r="EN143" s="507"/>
      <c r="EO143" s="507"/>
      <c r="EP143" s="507"/>
      <c r="EQ143" s="507"/>
      <c r="ER143" s="507"/>
      <c r="ES143" s="507"/>
      <c r="ET143" s="507"/>
      <c r="EU143" s="507"/>
      <c r="EV143" s="507"/>
      <c r="EW143" s="507"/>
      <c r="EX143" s="507"/>
      <c r="EY143" s="507"/>
      <c r="EZ143" s="507"/>
      <c r="FA143" s="507"/>
      <c r="FB143" s="507"/>
      <c r="FC143" s="507"/>
      <c r="FD143" s="507"/>
      <c r="FE143" s="507"/>
      <c r="FF143" s="507"/>
      <c r="FG143" s="507"/>
      <c r="FH143" s="507"/>
      <c r="FI143" s="507"/>
      <c r="FJ143" s="507"/>
      <c r="FK143" s="507"/>
      <c r="FL143" s="507"/>
      <c r="FM143" s="507"/>
      <c r="FN143" s="507"/>
      <c r="FO143" s="507"/>
      <c r="FP143" s="507"/>
      <c r="FQ143" s="507"/>
      <c r="FR143" s="507"/>
      <c r="FS143" s="507"/>
      <c r="FT143" s="507"/>
      <c r="FU143" s="507"/>
      <c r="FV143" s="507"/>
      <c r="FW143" s="507"/>
      <c r="FX143" s="507"/>
      <c r="FY143" s="507"/>
      <c r="FZ143" s="507"/>
      <c r="GA143" s="507"/>
      <c r="GB143" s="507"/>
      <c r="GC143" s="507"/>
      <c r="GD143" s="507"/>
      <c r="GE143" s="507"/>
      <c r="GF143" s="507"/>
      <c r="GG143" s="507"/>
      <c r="GH143" s="507"/>
      <c r="GI143" s="507"/>
      <c r="GJ143" s="507"/>
      <c r="GK143" s="507"/>
      <c r="GL143" s="507"/>
      <c r="GM143" s="507"/>
      <c r="GN143" s="507"/>
      <c r="GO143" s="507"/>
      <c r="GP143" s="507"/>
      <c r="GQ143" s="507"/>
      <c r="GR143" s="507"/>
      <c r="GS143" s="507"/>
      <c r="GT143" s="507"/>
      <c r="GU143" s="507"/>
      <c r="GV143" s="507"/>
      <c r="GW143" s="507"/>
      <c r="GX143" s="507"/>
      <c r="GY143" s="507"/>
      <c r="GZ143" s="507"/>
      <c r="HA143" s="507"/>
      <c r="HB143" s="507"/>
      <c r="HC143" s="507"/>
      <c r="HD143" s="507"/>
      <c r="HE143" s="507"/>
      <c r="HF143" s="507"/>
      <c r="HG143" s="507"/>
      <c r="HH143" s="507"/>
      <c r="HI143" s="507"/>
      <c r="HJ143" s="507"/>
      <c r="HK143" s="507"/>
      <c r="HL143" s="507"/>
      <c r="HM143" s="507"/>
      <c r="HN143" s="507"/>
      <c r="HO143" s="507"/>
      <c r="HP143" s="507"/>
      <c r="HQ143" s="507"/>
      <c r="HR143" s="507"/>
      <c r="HS143" s="507"/>
      <c r="HT143" s="507"/>
      <c r="HU143" s="507"/>
      <c r="HV143" s="507"/>
      <c r="HW143" s="507"/>
      <c r="HX143" s="507"/>
      <c r="HY143" s="507"/>
      <c r="HZ143" s="507"/>
    </row>
    <row r="144" spans="1:234" ht="15.9" hidden="1" customHeight="1" x14ac:dyDescent="0.25">
      <c r="A144" s="522" t="s">
        <v>166</v>
      </c>
      <c r="B144" s="535" t="s">
        <v>2829</v>
      </c>
      <c r="C144" s="527" t="s">
        <v>4089</v>
      </c>
      <c r="D144" s="570" t="s">
        <v>4384</v>
      </c>
      <c r="E144" s="569" t="s">
        <v>3228</v>
      </c>
      <c r="F144" s="543">
        <v>39189</v>
      </c>
      <c r="G144" s="544">
        <v>39153</v>
      </c>
      <c r="H144" s="557">
        <v>39182</v>
      </c>
      <c r="I144" s="546">
        <v>40298</v>
      </c>
      <c r="J144" s="547">
        <v>10</v>
      </c>
      <c r="K144" s="553" t="s">
        <v>3229</v>
      </c>
      <c r="L144" s="552" t="s">
        <v>3229</v>
      </c>
      <c r="M144" s="549">
        <v>-0.05</v>
      </c>
      <c r="N144" s="606">
        <v>0.8</v>
      </c>
      <c r="O144" s="551" t="s">
        <v>3229</v>
      </c>
      <c r="P144" s="576" t="s">
        <v>3229</v>
      </c>
      <c r="Q144" s="570" t="s">
        <v>3229</v>
      </c>
      <c r="R144" s="570" t="s">
        <v>3229</v>
      </c>
      <c r="S144" s="577"/>
      <c r="T144" s="555" t="s">
        <v>3229</v>
      </c>
      <c r="U144" s="555" t="s">
        <v>3229</v>
      </c>
      <c r="V144" s="555" t="s">
        <v>3229</v>
      </c>
      <c r="W144" s="555" t="s">
        <v>3229</v>
      </c>
      <c r="X144" s="555" t="s">
        <v>3229</v>
      </c>
      <c r="Y144" s="553" t="s">
        <v>3229</v>
      </c>
      <c r="Z144" s="553" t="s">
        <v>3229</v>
      </c>
      <c r="AA144" s="553" t="s">
        <v>3229</v>
      </c>
      <c r="AB144" s="553" t="s">
        <v>3229</v>
      </c>
      <c r="AC144" s="553" t="s">
        <v>3229</v>
      </c>
      <c r="AD144" s="553" t="s">
        <v>3229</v>
      </c>
      <c r="AE144" s="553" t="s">
        <v>3229</v>
      </c>
      <c r="AF144" s="3764" t="s">
        <v>781</v>
      </c>
      <c r="AG144" s="3765"/>
      <c r="AH144" s="553" t="s">
        <v>3229</v>
      </c>
      <c r="AI144" s="553" t="s">
        <v>3229</v>
      </c>
      <c r="AJ144" s="553" t="s">
        <v>3229</v>
      </c>
      <c r="AK144" s="566" t="s">
        <v>3229</v>
      </c>
      <c r="AL144" s="553" t="s">
        <v>3229</v>
      </c>
      <c r="AM144" s="659">
        <v>1</v>
      </c>
      <c r="AN144" s="606">
        <v>-0.05</v>
      </c>
      <c r="AO144" s="660">
        <v>9.5</v>
      </c>
      <c r="AP144" s="1368">
        <v>-0.41350233333333336</v>
      </c>
      <c r="AQ144" s="675">
        <v>-0.3883089408195764</v>
      </c>
      <c r="AR144" s="632">
        <v>-0.05</v>
      </c>
      <c r="AS144" s="558">
        <f>POWER(1+AR144,1/((I144-F144)/365))-1</f>
        <v>-1.6740221716479708E-2</v>
      </c>
      <c r="AT144" s="598"/>
      <c r="AU144" s="552"/>
      <c r="AV144" s="558">
        <f t="shared" si="24"/>
        <v>-0.05</v>
      </c>
      <c r="AW144" s="558">
        <f t="shared" si="23"/>
        <v>-1.6740221716479708E-2</v>
      </c>
      <c r="AX144" s="553"/>
      <c r="AY144" s="552"/>
      <c r="AZ144" s="642">
        <f t="shared" si="22"/>
        <v>9.5</v>
      </c>
      <c r="BA144" s="644" t="s">
        <v>3344</v>
      </c>
      <c r="BB144" s="570"/>
      <c r="BC144" s="637"/>
      <c r="BD144" s="3708"/>
      <c r="BH144" s="3763"/>
      <c r="BI144" s="3763"/>
      <c r="BJ144" s="1639"/>
      <c r="BK144" s="1639"/>
      <c r="BL144" s="1639"/>
      <c r="BM144" s="1639"/>
      <c r="BN144" s="1639"/>
      <c r="BO144" s="1639"/>
      <c r="BP144" s="1639"/>
      <c r="BQ144" s="1639"/>
      <c r="BR144" s="1639"/>
      <c r="BS144" s="509"/>
      <c r="BT144" s="509"/>
      <c r="BU144" s="509"/>
      <c r="BV144" s="509"/>
      <c r="BW144" s="509"/>
      <c r="BX144" s="509"/>
      <c r="BY144" s="509"/>
      <c r="BZ144" s="509"/>
      <c r="CA144" s="509"/>
      <c r="CB144" s="509"/>
      <c r="CC144" s="509"/>
      <c r="CD144" s="509"/>
      <c r="CE144" s="509"/>
      <c r="CF144" s="509"/>
      <c r="CG144" s="509"/>
      <c r="CH144" s="509"/>
      <c r="CI144" s="509"/>
      <c r="CJ144" s="509"/>
      <c r="CK144" s="509"/>
      <c r="CL144" s="509"/>
      <c r="CM144" s="509"/>
      <c r="CN144" s="509"/>
      <c r="CO144" s="509"/>
      <c r="CP144" s="509"/>
      <c r="CQ144" s="509"/>
      <c r="CR144" s="509"/>
      <c r="CS144" s="509"/>
      <c r="CT144" s="509"/>
      <c r="CU144" s="509"/>
      <c r="CV144" s="509"/>
      <c r="CW144" s="509"/>
      <c r="CX144" s="509"/>
      <c r="CY144" s="509"/>
      <c r="CZ144" s="509"/>
      <c r="DA144" s="509"/>
      <c r="DB144" s="509"/>
      <c r="DC144" s="509"/>
      <c r="DD144" s="509"/>
      <c r="DE144" s="509"/>
      <c r="DF144" s="509"/>
      <c r="DG144" s="509"/>
      <c r="DH144" s="509"/>
      <c r="DI144" s="509"/>
      <c r="DJ144" s="509"/>
      <c r="DK144" s="509"/>
      <c r="DL144" s="509"/>
      <c r="DM144" s="509"/>
      <c r="DN144" s="509"/>
      <c r="DO144" s="509"/>
      <c r="DP144" s="509"/>
      <c r="DQ144" s="509"/>
      <c r="DR144" s="509"/>
      <c r="DS144" s="509"/>
      <c r="DT144" s="509"/>
      <c r="DU144" s="509"/>
      <c r="DV144" s="509"/>
      <c r="DW144" s="509"/>
      <c r="DX144" s="509"/>
      <c r="DY144" s="509"/>
      <c r="DZ144" s="509"/>
      <c r="EA144" s="509"/>
      <c r="EB144" s="509"/>
      <c r="EC144" s="509"/>
      <c r="ED144" s="509"/>
      <c r="EE144" s="509"/>
      <c r="EF144" s="509"/>
      <c r="EG144" s="509"/>
      <c r="EH144" s="509"/>
      <c r="EI144" s="509"/>
      <c r="EJ144" s="509"/>
      <c r="EK144" s="509"/>
      <c r="EL144" s="509"/>
      <c r="EM144" s="509"/>
      <c r="EN144" s="509"/>
      <c r="EO144" s="509"/>
      <c r="EP144" s="509"/>
      <c r="EQ144" s="509"/>
      <c r="ER144" s="509"/>
      <c r="ES144" s="509"/>
      <c r="ET144" s="509"/>
      <c r="EU144" s="509"/>
      <c r="EV144" s="509"/>
      <c r="EW144" s="509"/>
      <c r="EX144" s="509"/>
      <c r="EY144" s="509"/>
      <c r="EZ144" s="509"/>
      <c r="FA144" s="509"/>
      <c r="FB144" s="509"/>
      <c r="FC144" s="509"/>
      <c r="FD144" s="509"/>
      <c r="FE144" s="509"/>
      <c r="FF144" s="509"/>
      <c r="FG144" s="509"/>
      <c r="FH144" s="509"/>
      <c r="FI144" s="509"/>
      <c r="FJ144" s="509"/>
      <c r="FK144" s="509"/>
      <c r="FL144" s="509"/>
      <c r="FM144" s="509"/>
      <c r="FN144" s="509"/>
      <c r="FO144" s="509"/>
      <c r="FP144" s="509"/>
      <c r="FQ144" s="509"/>
      <c r="FR144" s="509"/>
      <c r="FS144" s="509"/>
      <c r="FT144" s="509"/>
      <c r="FU144" s="509"/>
      <c r="FV144" s="509"/>
      <c r="FW144" s="509"/>
      <c r="FX144" s="509"/>
      <c r="FY144" s="509"/>
      <c r="FZ144" s="509"/>
      <c r="GA144" s="509"/>
      <c r="GB144" s="509"/>
      <c r="GC144" s="509"/>
      <c r="GD144" s="509"/>
      <c r="GE144" s="509"/>
      <c r="GF144" s="509"/>
      <c r="GG144" s="509"/>
      <c r="GH144" s="509"/>
      <c r="GI144" s="509"/>
      <c r="GJ144" s="509"/>
      <c r="GK144" s="509"/>
      <c r="GL144" s="509"/>
      <c r="GM144" s="509"/>
      <c r="GN144" s="509"/>
      <c r="GO144" s="509"/>
      <c r="GP144" s="509"/>
      <c r="GQ144" s="509"/>
      <c r="GR144" s="509"/>
      <c r="GS144" s="509"/>
      <c r="GT144" s="509"/>
      <c r="GU144" s="509"/>
      <c r="GV144" s="509"/>
      <c r="GW144" s="509"/>
      <c r="GX144" s="509"/>
      <c r="GY144" s="509"/>
      <c r="GZ144" s="509"/>
      <c r="HA144" s="509"/>
      <c r="HB144" s="509"/>
      <c r="HC144" s="509"/>
      <c r="HD144" s="509"/>
      <c r="HE144" s="509"/>
      <c r="HF144" s="509"/>
      <c r="HG144" s="509"/>
      <c r="HH144" s="509"/>
      <c r="HI144" s="509"/>
      <c r="HJ144" s="509"/>
      <c r="HK144" s="509"/>
      <c r="HL144" s="509"/>
      <c r="HM144" s="509"/>
      <c r="HN144" s="509"/>
      <c r="HO144" s="509"/>
      <c r="HP144" s="509"/>
      <c r="HQ144" s="509"/>
      <c r="HR144" s="509"/>
      <c r="HS144" s="509"/>
      <c r="HT144" s="509"/>
      <c r="HU144" s="509"/>
      <c r="HV144" s="509"/>
      <c r="HW144" s="509"/>
      <c r="HX144" s="509"/>
      <c r="HY144" s="509"/>
      <c r="HZ144" s="509"/>
    </row>
    <row r="145" spans="1:234" s="232" customFormat="1" ht="15.9" hidden="1" customHeight="1" x14ac:dyDescent="0.25">
      <c r="A145" s="522" t="s">
        <v>4283</v>
      </c>
      <c r="B145" s="535" t="s">
        <v>2835</v>
      </c>
      <c r="C145" s="527" t="s">
        <v>4090</v>
      </c>
      <c r="D145" s="570" t="s">
        <v>4384</v>
      </c>
      <c r="E145" s="569" t="s">
        <v>3228</v>
      </c>
      <c r="F145" s="543">
        <v>39224</v>
      </c>
      <c r="G145" s="544">
        <v>39182</v>
      </c>
      <c r="H145" s="557">
        <v>39213</v>
      </c>
      <c r="I145" s="546">
        <v>39994</v>
      </c>
      <c r="J145" s="547">
        <v>10</v>
      </c>
      <c r="K145" s="553" t="s">
        <v>3229</v>
      </c>
      <c r="L145" s="552" t="s">
        <v>3229</v>
      </c>
      <c r="M145" s="549">
        <v>-0.05</v>
      </c>
      <c r="N145" s="606">
        <v>1</v>
      </c>
      <c r="O145" s="551" t="s">
        <v>3229</v>
      </c>
      <c r="P145" s="576" t="s">
        <v>3229</v>
      </c>
      <c r="Q145" s="570" t="s">
        <v>3229</v>
      </c>
      <c r="R145" s="570" t="s">
        <v>3229</v>
      </c>
      <c r="S145" s="577"/>
      <c r="T145" s="555" t="s">
        <v>3229</v>
      </c>
      <c r="U145" s="555" t="s">
        <v>3229</v>
      </c>
      <c r="V145" s="555" t="s">
        <v>3229</v>
      </c>
      <c r="W145" s="555" t="s">
        <v>3229</v>
      </c>
      <c r="X145" s="555" t="s">
        <v>3229</v>
      </c>
      <c r="Y145" s="553" t="s">
        <v>3229</v>
      </c>
      <c r="Z145" s="553" t="s">
        <v>3229</v>
      </c>
      <c r="AA145" s="553" t="s">
        <v>3229</v>
      </c>
      <c r="AB145" s="553" t="s">
        <v>3229</v>
      </c>
      <c r="AC145" s="553" t="s">
        <v>3229</v>
      </c>
      <c r="AD145" s="553" t="s">
        <v>3229</v>
      </c>
      <c r="AE145" s="553" t="s">
        <v>3229</v>
      </c>
      <c r="AF145" s="3764" t="s">
        <v>781</v>
      </c>
      <c r="AG145" s="3765"/>
      <c r="AH145" s="553" t="s">
        <v>3229</v>
      </c>
      <c r="AI145" s="553" t="s">
        <v>3229</v>
      </c>
      <c r="AJ145" s="553" t="s">
        <v>3229</v>
      </c>
      <c r="AK145" s="566" t="s">
        <v>3229</v>
      </c>
      <c r="AL145" s="553" t="s">
        <v>3229</v>
      </c>
      <c r="AM145" s="659">
        <v>1</v>
      </c>
      <c r="AN145" s="606">
        <v>-0.05</v>
      </c>
      <c r="AO145" s="660">
        <v>9.5</v>
      </c>
      <c r="AP145" s="1368"/>
      <c r="AQ145" s="675">
        <v>-0.24516275800853576</v>
      </c>
      <c r="AR145" s="632">
        <f>AO145/10-1</f>
        <v>-5.0000000000000044E-2</v>
      </c>
      <c r="AS145" s="558">
        <f>POWER(1+AR145,1/((I145-F145)/365))-1</f>
        <v>-2.4021141164705773E-2</v>
      </c>
      <c r="AT145" s="598" t="s">
        <v>3229</v>
      </c>
      <c r="AU145" s="552" t="s">
        <v>3229</v>
      </c>
      <c r="AV145" s="558">
        <f t="shared" si="24"/>
        <v>-0.05</v>
      </c>
      <c r="AW145" s="558">
        <f t="shared" si="23"/>
        <v>-2.4021141164705773E-2</v>
      </c>
      <c r="AX145" s="553"/>
      <c r="AY145" s="552"/>
      <c r="AZ145" s="642">
        <f t="shared" si="22"/>
        <v>9.5</v>
      </c>
      <c r="BA145" s="644" t="s">
        <v>3344</v>
      </c>
      <c r="BB145" s="570"/>
      <c r="BC145" s="637"/>
      <c r="BD145" s="3708"/>
      <c r="BE145" s="3743"/>
      <c r="BF145" s="3743"/>
      <c r="BG145" s="3708"/>
      <c r="BH145" s="3762"/>
      <c r="BI145" s="3762"/>
      <c r="BJ145" s="39"/>
      <c r="BK145" s="39"/>
      <c r="BL145" s="39"/>
      <c r="BM145" s="39"/>
      <c r="BN145" s="39"/>
      <c r="BO145" s="39"/>
      <c r="BP145" s="39"/>
      <c r="BQ145" s="39"/>
      <c r="BR145" s="39"/>
      <c r="BS145" s="507"/>
      <c r="BT145" s="507"/>
      <c r="BU145" s="507"/>
      <c r="BV145" s="507"/>
      <c r="BW145" s="507"/>
      <c r="BX145" s="507"/>
      <c r="BY145" s="507"/>
      <c r="BZ145" s="507"/>
      <c r="CA145" s="507"/>
      <c r="CB145" s="507"/>
      <c r="CC145" s="507"/>
      <c r="CD145" s="507"/>
      <c r="CE145" s="507"/>
      <c r="CF145" s="507"/>
      <c r="CG145" s="507"/>
      <c r="CH145" s="507"/>
      <c r="CI145" s="507"/>
      <c r="CJ145" s="507"/>
      <c r="CK145" s="507"/>
      <c r="CL145" s="507"/>
      <c r="CM145" s="507"/>
      <c r="CN145" s="507"/>
      <c r="CO145" s="507"/>
      <c r="CP145" s="507"/>
      <c r="CQ145" s="507"/>
      <c r="CR145" s="507"/>
      <c r="CS145" s="507"/>
      <c r="CT145" s="507"/>
      <c r="CU145" s="507"/>
      <c r="CV145" s="507"/>
      <c r="CW145" s="507"/>
      <c r="CX145" s="507"/>
      <c r="CY145" s="507"/>
      <c r="CZ145" s="507"/>
      <c r="DA145" s="507"/>
      <c r="DB145" s="507"/>
      <c r="DC145" s="507"/>
      <c r="DD145" s="507"/>
      <c r="DE145" s="507"/>
      <c r="DF145" s="507"/>
      <c r="DG145" s="507"/>
      <c r="DH145" s="507"/>
      <c r="DI145" s="507"/>
      <c r="DJ145" s="507"/>
      <c r="DK145" s="507"/>
      <c r="DL145" s="507"/>
      <c r="DM145" s="507"/>
      <c r="DN145" s="507"/>
      <c r="DO145" s="507"/>
      <c r="DP145" s="507"/>
      <c r="DQ145" s="507"/>
      <c r="DR145" s="507"/>
      <c r="DS145" s="507"/>
      <c r="DT145" s="507"/>
      <c r="DU145" s="507"/>
      <c r="DV145" s="507"/>
      <c r="DW145" s="507"/>
      <c r="DX145" s="507"/>
      <c r="DY145" s="507"/>
      <c r="DZ145" s="507"/>
      <c r="EA145" s="507"/>
      <c r="EB145" s="507"/>
      <c r="EC145" s="507"/>
      <c r="ED145" s="507"/>
      <c r="EE145" s="507"/>
      <c r="EF145" s="507"/>
      <c r="EG145" s="507"/>
      <c r="EH145" s="507"/>
      <c r="EI145" s="507"/>
      <c r="EJ145" s="507"/>
      <c r="EK145" s="507"/>
      <c r="EL145" s="507"/>
      <c r="EM145" s="507"/>
      <c r="EN145" s="507"/>
      <c r="EO145" s="507"/>
      <c r="EP145" s="507"/>
      <c r="EQ145" s="507"/>
      <c r="ER145" s="507"/>
      <c r="ES145" s="507"/>
      <c r="ET145" s="507"/>
      <c r="EU145" s="507"/>
      <c r="EV145" s="507"/>
      <c r="EW145" s="507"/>
      <c r="EX145" s="507"/>
      <c r="EY145" s="507"/>
      <c r="EZ145" s="507"/>
      <c r="FA145" s="507"/>
      <c r="FB145" s="507"/>
      <c r="FC145" s="507"/>
      <c r="FD145" s="507"/>
      <c r="FE145" s="507"/>
      <c r="FF145" s="507"/>
      <c r="FG145" s="507"/>
      <c r="FH145" s="507"/>
      <c r="FI145" s="507"/>
      <c r="FJ145" s="507"/>
      <c r="FK145" s="507"/>
      <c r="FL145" s="507"/>
      <c r="FM145" s="507"/>
      <c r="FN145" s="507"/>
      <c r="FO145" s="507"/>
      <c r="FP145" s="507"/>
      <c r="FQ145" s="507"/>
      <c r="FR145" s="507"/>
      <c r="FS145" s="507"/>
      <c r="FT145" s="507"/>
      <c r="FU145" s="507"/>
      <c r="FV145" s="507"/>
      <c r="FW145" s="507"/>
      <c r="FX145" s="507"/>
      <c r="FY145" s="507"/>
      <c r="FZ145" s="507"/>
      <c r="GA145" s="507"/>
      <c r="GB145" s="507"/>
      <c r="GC145" s="507"/>
      <c r="GD145" s="507"/>
      <c r="GE145" s="507"/>
      <c r="GF145" s="507"/>
      <c r="GG145" s="507"/>
      <c r="GH145" s="507"/>
      <c r="GI145" s="507"/>
      <c r="GJ145" s="507"/>
      <c r="GK145" s="507"/>
      <c r="GL145" s="507"/>
      <c r="GM145" s="507"/>
      <c r="GN145" s="507"/>
      <c r="GO145" s="507"/>
      <c r="GP145" s="507"/>
      <c r="GQ145" s="507"/>
      <c r="GR145" s="507"/>
      <c r="GS145" s="507"/>
      <c r="GT145" s="507"/>
      <c r="GU145" s="507"/>
      <c r="GV145" s="507"/>
      <c r="GW145" s="507"/>
      <c r="GX145" s="507"/>
      <c r="GY145" s="507"/>
      <c r="GZ145" s="507"/>
      <c r="HA145" s="507"/>
      <c r="HB145" s="507"/>
      <c r="HC145" s="507"/>
      <c r="HD145" s="507"/>
      <c r="HE145" s="507"/>
      <c r="HF145" s="507"/>
      <c r="HG145" s="507"/>
      <c r="HH145" s="507"/>
      <c r="HI145" s="507"/>
      <c r="HJ145" s="507"/>
      <c r="HK145" s="507"/>
      <c r="HL145" s="507"/>
      <c r="HM145" s="507"/>
      <c r="HN145" s="507"/>
      <c r="HO145" s="507"/>
      <c r="HP145" s="507"/>
      <c r="HQ145" s="507"/>
      <c r="HR145" s="507"/>
      <c r="HS145" s="507"/>
      <c r="HT145" s="507"/>
      <c r="HU145" s="507"/>
      <c r="HV145" s="507"/>
      <c r="HW145" s="507"/>
      <c r="HX145" s="507"/>
      <c r="HY145" s="507"/>
      <c r="HZ145" s="507"/>
    </row>
    <row r="146" spans="1:234" s="232" customFormat="1" ht="15.9" hidden="1" customHeight="1" x14ac:dyDescent="0.25">
      <c r="A146" s="522" t="s">
        <v>4136</v>
      </c>
      <c r="B146" s="535" t="s">
        <v>3809</v>
      </c>
      <c r="C146" s="527" t="s">
        <v>4083</v>
      </c>
      <c r="D146" s="570" t="s">
        <v>189</v>
      </c>
      <c r="E146" s="569" t="s">
        <v>3228</v>
      </c>
      <c r="F146" s="543">
        <v>39240</v>
      </c>
      <c r="G146" s="544">
        <v>39204</v>
      </c>
      <c r="H146" s="557">
        <v>39233</v>
      </c>
      <c r="I146" s="546">
        <v>41089</v>
      </c>
      <c r="J146" s="547">
        <v>10</v>
      </c>
      <c r="K146" s="553" t="s">
        <v>3229</v>
      </c>
      <c r="L146" s="552" t="s">
        <v>3229</v>
      </c>
      <c r="M146" s="549">
        <v>0</v>
      </c>
      <c r="N146" s="606">
        <v>0.6</v>
      </c>
      <c r="O146" s="551" t="s">
        <v>3229</v>
      </c>
      <c r="P146" s="576" t="s">
        <v>3229</v>
      </c>
      <c r="Q146" s="570" t="s">
        <v>3229</v>
      </c>
      <c r="R146" s="570" t="s">
        <v>3229</v>
      </c>
      <c r="S146" s="577"/>
      <c r="T146" s="555" t="s">
        <v>3229</v>
      </c>
      <c r="U146" s="555" t="s">
        <v>3229</v>
      </c>
      <c r="V146" s="555" t="s">
        <v>3229</v>
      </c>
      <c r="W146" s="555" t="s">
        <v>3229</v>
      </c>
      <c r="X146" s="555" t="s">
        <v>3229</v>
      </c>
      <c r="Y146" s="553" t="s">
        <v>3229</v>
      </c>
      <c r="Z146" s="553" t="s">
        <v>3229</v>
      </c>
      <c r="AA146" s="553" t="s">
        <v>3229</v>
      </c>
      <c r="AB146" s="553" t="s">
        <v>3229</v>
      </c>
      <c r="AC146" s="553" t="s">
        <v>3229</v>
      </c>
      <c r="AD146" s="553" t="s">
        <v>3229</v>
      </c>
      <c r="AE146" s="553" t="s">
        <v>3229</v>
      </c>
      <c r="AF146" s="3764" t="s">
        <v>781</v>
      </c>
      <c r="AG146" s="3765"/>
      <c r="AH146" s="553" t="s">
        <v>3229</v>
      </c>
      <c r="AI146" s="553" t="s">
        <v>3229</v>
      </c>
      <c r="AJ146" s="553" t="s">
        <v>3229</v>
      </c>
      <c r="AK146" s="566" t="s">
        <v>3229</v>
      </c>
      <c r="AL146" s="553" t="s">
        <v>3229</v>
      </c>
      <c r="AM146" s="659">
        <v>1</v>
      </c>
      <c r="AN146" s="606">
        <v>0</v>
      </c>
      <c r="AO146" s="660">
        <v>9.98</v>
      </c>
      <c r="AP146" s="1368">
        <v>-8.9546083333333318E-2</v>
      </c>
      <c r="AQ146" s="675">
        <v>-0.10885276294814876</v>
      </c>
      <c r="AR146" s="632">
        <v>0</v>
      </c>
      <c r="AS146" s="558"/>
      <c r="AT146" s="598"/>
      <c r="AU146" s="552"/>
      <c r="AV146" s="558">
        <f t="shared" si="24"/>
        <v>0</v>
      </c>
      <c r="AW146" s="558">
        <f t="shared" si="23"/>
        <v>0</v>
      </c>
      <c r="AX146" s="553" t="s">
        <v>3229</v>
      </c>
      <c r="AY146" s="552" t="s">
        <v>3229</v>
      </c>
      <c r="AZ146" s="642">
        <f t="shared" si="22"/>
        <v>10</v>
      </c>
      <c r="BA146" s="644" t="s">
        <v>3190</v>
      </c>
      <c r="BB146" s="570"/>
      <c r="BC146" s="637"/>
      <c r="BD146" s="3708"/>
      <c r="BE146" s="3743"/>
      <c r="BF146" s="3743"/>
      <c r="BG146" s="3708"/>
      <c r="BH146" s="3762"/>
      <c r="BI146" s="3762"/>
      <c r="BJ146" s="39"/>
      <c r="BK146" s="39"/>
      <c r="BL146" s="39"/>
      <c r="BM146" s="39"/>
      <c r="BN146" s="39"/>
      <c r="BO146" s="39"/>
      <c r="BP146" s="39"/>
      <c r="BQ146" s="39"/>
      <c r="BR146" s="39"/>
      <c r="BS146" s="507"/>
      <c r="BT146" s="507"/>
      <c r="BU146" s="507"/>
      <c r="BV146" s="507"/>
      <c r="BW146" s="507"/>
      <c r="BX146" s="507"/>
      <c r="BY146" s="507"/>
      <c r="BZ146" s="507"/>
      <c r="CA146" s="507"/>
      <c r="CB146" s="507"/>
      <c r="CC146" s="507"/>
      <c r="CD146" s="507"/>
      <c r="CE146" s="507"/>
      <c r="CF146" s="507"/>
      <c r="CG146" s="507"/>
      <c r="CH146" s="507"/>
      <c r="CI146" s="507"/>
      <c r="CJ146" s="507"/>
      <c r="CK146" s="507"/>
      <c r="CL146" s="507"/>
      <c r="CM146" s="507"/>
      <c r="CN146" s="507"/>
      <c r="CO146" s="507"/>
      <c r="CP146" s="507"/>
      <c r="CQ146" s="507"/>
      <c r="CR146" s="507"/>
      <c r="CS146" s="507"/>
      <c r="CT146" s="507"/>
      <c r="CU146" s="507"/>
      <c r="CV146" s="507"/>
      <c r="CW146" s="507"/>
      <c r="CX146" s="507"/>
      <c r="CY146" s="507"/>
      <c r="CZ146" s="507"/>
      <c r="DA146" s="507"/>
      <c r="DB146" s="507"/>
      <c r="DC146" s="507"/>
      <c r="DD146" s="507"/>
      <c r="DE146" s="507"/>
      <c r="DF146" s="507"/>
      <c r="DG146" s="507"/>
      <c r="DH146" s="507"/>
      <c r="DI146" s="507"/>
      <c r="DJ146" s="507"/>
      <c r="DK146" s="507"/>
      <c r="DL146" s="507"/>
      <c r="DM146" s="507"/>
      <c r="DN146" s="507"/>
      <c r="DO146" s="507"/>
      <c r="DP146" s="507"/>
      <c r="DQ146" s="507"/>
      <c r="DR146" s="507"/>
      <c r="DS146" s="507"/>
      <c r="DT146" s="507"/>
      <c r="DU146" s="507"/>
      <c r="DV146" s="507"/>
      <c r="DW146" s="507"/>
      <c r="DX146" s="507"/>
      <c r="DY146" s="507"/>
      <c r="DZ146" s="507"/>
      <c r="EA146" s="507"/>
      <c r="EB146" s="507"/>
      <c r="EC146" s="507"/>
      <c r="ED146" s="507"/>
      <c r="EE146" s="507"/>
      <c r="EF146" s="507"/>
      <c r="EG146" s="507"/>
      <c r="EH146" s="507"/>
      <c r="EI146" s="507"/>
      <c r="EJ146" s="507"/>
      <c r="EK146" s="507"/>
      <c r="EL146" s="507"/>
      <c r="EM146" s="507"/>
      <c r="EN146" s="507"/>
      <c r="EO146" s="507"/>
      <c r="EP146" s="507"/>
      <c r="EQ146" s="507"/>
      <c r="ER146" s="507"/>
      <c r="ES146" s="507"/>
      <c r="ET146" s="507"/>
      <c r="EU146" s="507"/>
      <c r="EV146" s="507"/>
      <c r="EW146" s="507"/>
      <c r="EX146" s="507"/>
      <c r="EY146" s="507"/>
      <c r="EZ146" s="507"/>
      <c r="FA146" s="507"/>
      <c r="FB146" s="507"/>
      <c r="FC146" s="507"/>
      <c r="FD146" s="507"/>
      <c r="FE146" s="507"/>
      <c r="FF146" s="507"/>
      <c r="FG146" s="507"/>
      <c r="FH146" s="507"/>
      <c r="FI146" s="507"/>
      <c r="FJ146" s="507"/>
      <c r="FK146" s="507"/>
      <c r="FL146" s="507"/>
      <c r="FM146" s="507"/>
      <c r="FN146" s="507"/>
      <c r="FO146" s="507"/>
      <c r="FP146" s="507"/>
      <c r="FQ146" s="507"/>
      <c r="FR146" s="507"/>
      <c r="FS146" s="507"/>
      <c r="FT146" s="507"/>
      <c r="FU146" s="507"/>
      <c r="FV146" s="507"/>
      <c r="FW146" s="507"/>
      <c r="FX146" s="507"/>
      <c r="FY146" s="507"/>
      <c r="FZ146" s="507"/>
      <c r="GA146" s="507"/>
      <c r="GB146" s="507"/>
      <c r="GC146" s="507"/>
      <c r="GD146" s="507"/>
      <c r="GE146" s="507"/>
      <c r="GF146" s="507"/>
      <c r="GG146" s="507"/>
      <c r="GH146" s="507"/>
      <c r="GI146" s="507"/>
      <c r="GJ146" s="507"/>
      <c r="GK146" s="507"/>
      <c r="GL146" s="507"/>
      <c r="GM146" s="507"/>
      <c r="GN146" s="507"/>
      <c r="GO146" s="507"/>
      <c r="GP146" s="507"/>
      <c r="GQ146" s="507"/>
      <c r="GR146" s="507"/>
      <c r="GS146" s="507"/>
      <c r="GT146" s="507"/>
      <c r="GU146" s="507"/>
      <c r="GV146" s="507"/>
      <c r="GW146" s="507"/>
      <c r="GX146" s="507"/>
      <c r="GY146" s="507"/>
      <c r="GZ146" s="507"/>
      <c r="HA146" s="507"/>
      <c r="HB146" s="507"/>
      <c r="HC146" s="507"/>
      <c r="HD146" s="507"/>
      <c r="HE146" s="507"/>
      <c r="HF146" s="507"/>
      <c r="HG146" s="507"/>
      <c r="HH146" s="507"/>
      <c r="HI146" s="507"/>
      <c r="HJ146" s="507"/>
      <c r="HK146" s="507"/>
      <c r="HL146" s="507"/>
      <c r="HM146" s="507"/>
      <c r="HN146" s="507"/>
      <c r="HO146" s="507"/>
      <c r="HP146" s="507"/>
      <c r="HQ146" s="507"/>
      <c r="HR146" s="507"/>
      <c r="HS146" s="507"/>
      <c r="HT146" s="507"/>
      <c r="HU146" s="507"/>
      <c r="HV146" s="507"/>
      <c r="HW146" s="507"/>
      <c r="HX146" s="507"/>
      <c r="HY146" s="507"/>
      <c r="HZ146" s="507"/>
    </row>
    <row r="147" spans="1:234" ht="15.9" hidden="1" customHeight="1" x14ac:dyDescent="0.25">
      <c r="A147" s="522" t="s">
        <v>372</v>
      </c>
      <c r="B147" s="535" t="s">
        <v>3810</v>
      </c>
      <c r="C147" s="527" t="s">
        <v>4082</v>
      </c>
      <c r="D147" s="570" t="s">
        <v>4418</v>
      </c>
      <c r="E147" s="569" t="s">
        <v>3228</v>
      </c>
      <c r="F147" s="543">
        <v>39245</v>
      </c>
      <c r="G147" s="544">
        <v>39204</v>
      </c>
      <c r="H147" s="557">
        <v>39238</v>
      </c>
      <c r="I147" s="546">
        <v>41163</v>
      </c>
      <c r="J147" s="547">
        <v>10</v>
      </c>
      <c r="K147" s="553" t="s">
        <v>3229</v>
      </c>
      <c r="L147" s="552" t="s">
        <v>3229</v>
      </c>
      <c r="M147" s="549">
        <v>0.02</v>
      </c>
      <c r="N147" s="606">
        <v>1</v>
      </c>
      <c r="O147" s="551" t="s">
        <v>3229</v>
      </c>
      <c r="P147" s="576" t="s">
        <v>3229</v>
      </c>
      <c r="Q147" s="570" t="s">
        <v>3229</v>
      </c>
      <c r="R147" s="570" t="s">
        <v>3229</v>
      </c>
      <c r="S147" s="577"/>
      <c r="T147" s="555" t="s">
        <v>3229</v>
      </c>
      <c r="U147" s="555" t="s">
        <v>3229</v>
      </c>
      <c r="V147" s="555" t="s">
        <v>3229</v>
      </c>
      <c r="W147" s="555" t="s">
        <v>3229</v>
      </c>
      <c r="X147" s="555" t="s">
        <v>3229</v>
      </c>
      <c r="Y147" s="553" t="s">
        <v>3229</v>
      </c>
      <c r="Z147" s="553" t="s">
        <v>3229</v>
      </c>
      <c r="AA147" s="553" t="s">
        <v>3229</v>
      </c>
      <c r="AB147" s="553" t="s">
        <v>3229</v>
      </c>
      <c r="AC147" s="553" t="s">
        <v>3229</v>
      </c>
      <c r="AD147" s="553" t="s">
        <v>3229</v>
      </c>
      <c r="AE147" s="553" t="s">
        <v>3229</v>
      </c>
      <c r="AF147" s="3764" t="s">
        <v>781</v>
      </c>
      <c r="AG147" s="3765"/>
      <c r="AH147" s="553" t="s">
        <v>3229</v>
      </c>
      <c r="AI147" s="553" t="s">
        <v>3229</v>
      </c>
      <c r="AJ147" s="553" t="s">
        <v>3229</v>
      </c>
      <c r="AK147" s="566" t="s">
        <v>3229</v>
      </c>
      <c r="AL147" s="553" t="s">
        <v>3229</v>
      </c>
      <c r="AM147" s="659">
        <v>1</v>
      </c>
      <c r="AN147" s="606">
        <v>0.02</v>
      </c>
      <c r="AO147" s="660">
        <v>10.199999999999999</v>
      </c>
      <c r="AP147" s="1368">
        <v>-0.3276364761904762</v>
      </c>
      <c r="AQ147" s="675">
        <v>-0.44390969591397134</v>
      </c>
      <c r="AR147" s="632" t="s">
        <v>3660</v>
      </c>
      <c r="AS147" s="558"/>
      <c r="AT147" s="598"/>
      <c r="AU147" s="552"/>
      <c r="AV147" s="558">
        <v>0.02</v>
      </c>
      <c r="AW147" s="558">
        <v>3.7755971447310799E-3</v>
      </c>
      <c r="AX147" s="553"/>
      <c r="AY147" s="552"/>
      <c r="AZ147" s="642">
        <v>10.199999999999999</v>
      </c>
      <c r="BA147" s="644" t="s">
        <v>275</v>
      </c>
      <c r="BB147" s="570"/>
      <c r="BC147" s="637"/>
      <c r="BD147" s="3708"/>
      <c r="BH147" s="3763"/>
      <c r="BI147" s="3763"/>
      <c r="BJ147" s="1639"/>
      <c r="BK147" s="1639"/>
      <c r="BL147" s="1639"/>
      <c r="BM147" s="1639"/>
      <c r="BN147" s="1639"/>
      <c r="BO147" s="1639"/>
      <c r="BP147" s="1639"/>
      <c r="BQ147" s="1639"/>
      <c r="BR147" s="1639"/>
      <c r="BS147" s="509"/>
      <c r="BT147" s="509"/>
      <c r="BU147" s="509"/>
      <c r="BV147" s="509"/>
      <c r="BW147" s="509"/>
      <c r="BX147" s="509"/>
      <c r="BY147" s="509"/>
      <c r="BZ147" s="509"/>
      <c r="CA147" s="509"/>
      <c r="CB147" s="509"/>
      <c r="CC147" s="509"/>
      <c r="CD147" s="509"/>
      <c r="CE147" s="509"/>
      <c r="CF147" s="509"/>
      <c r="CG147" s="509"/>
      <c r="CH147" s="509"/>
      <c r="CI147" s="509"/>
      <c r="CJ147" s="509"/>
      <c r="CK147" s="509"/>
      <c r="CL147" s="509"/>
      <c r="CM147" s="509"/>
      <c r="CN147" s="509"/>
      <c r="CO147" s="509"/>
      <c r="CP147" s="509"/>
      <c r="CQ147" s="509"/>
      <c r="CR147" s="509"/>
      <c r="CS147" s="509"/>
      <c r="CT147" s="509"/>
      <c r="CU147" s="509"/>
      <c r="CV147" s="509"/>
      <c r="CW147" s="509"/>
      <c r="CX147" s="509"/>
      <c r="CY147" s="509"/>
      <c r="CZ147" s="509"/>
      <c r="DA147" s="509"/>
      <c r="DB147" s="509"/>
      <c r="DC147" s="509"/>
      <c r="DD147" s="509"/>
      <c r="DE147" s="509"/>
      <c r="DF147" s="509"/>
      <c r="DG147" s="509"/>
      <c r="DH147" s="509"/>
      <c r="DI147" s="509"/>
      <c r="DJ147" s="509"/>
      <c r="DK147" s="509"/>
      <c r="DL147" s="509"/>
      <c r="DM147" s="509"/>
      <c r="DN147" s="509"/>
      <c r="DO147" s="509"/>
      <c r="DP147" s="509"/>
      <c r="DQ147" s="509"/>
      <c r="DR147" s="509"/>
      <c r="DS147" s="509"/>
      <c r="DT147" s="509"/>
      <c r="DU147" s="509"/>
      <c r="DV147" s="509"/>
      <c r="DW147" s="509"/>
      <c r="DX147" s="509"/>
      <c r="DY147" s="509"/>
      <c r="DZ147" s="509"/>
      <c r="EA147" s="509"/>
      <c r="EB147" s="509"/>
      <c r="EC147" s="509"/>
      <c r="ED147" s="509"/>
      <c r="EE147" s="509"/>
      <c r="EF147" s="509"/>
      <c r="EG147" s="509"/>
      <c r="EH147" s="509"/>
      <c r="EI147" s="509"/>
      <c r="EJ147" s="509"/>
      <c r="EK147" s="509"/>
      <c r="EL147" s="509"/>
      <c r="EM147" s="509"/>
      <c r="EN147" s="509"/>
      <c r="EO147" s="509"/>
      <c r="EP147" s="509"/>
      <c r="EQ147" s="509"/>
      <c r="ER147" s="509"/>
      <c r="ES147" s="509"/>
      <c r="ET147" s="509"/>
      <c r="EU147" s="509"/>
      <c r="EV147" s="509"/>
      <c r="EW147" s="509"/>
      <c r="EX147" s="509"/>
      <c r="EY147" s="509"/>
      <c r="EZ147" s="509"/>
      <c r="FA147" s="509"/>
      <c r="FB147" s="509"/>
      <c r="FC147" s="509"/>
      <c r="FD147" s="509"/>
      <c r="FE147" s="509"/>
      <c r="FF147" s="509"/>
      <c r="FG147" s="509"/>
      <c r="FH147" s="509"/>
      <c r="FI147" s="509"/>
      <c r="FJ147" s="509"/>
      <c r="FK147" s="509"/>
      <c r="FL147" s="509"/>
      <c r="FM147" s="509"/>
      <c r="FN147" s="509"/>
      <c r="FO147" s="509"/>
      <c r="FP147" s="509"/>
      <c r="FQ147" s="509"/>
      <c r="FR147" s="509"/>
      <c r="FS147" s="509"/>
      <c r="FT147" s="509"/>
      <c r="FU147" s="509"/>
      <c r="FV147" s="509"/>
      <c r="FW147" s="509"/>
      <c r="FX147" s="509"/>
      <c r="FY147" s="509"/>
      <c r="FZ147" s="509"/>
      <c r="GA147" s="509"/>
      <c r="GB147" s="509"/>
      <c r="GC147" s="509"/>
      <c r="GD147" s="509"/>
      <c r="GE147" s="509"/>
      <c r="GF147" s="509"/>
      <c r="GG147" s="509"/>
      <c r="GH147" s="509"/>
      <c r="GI147" s="509"/>
      <c r="GJ147" s="509"/>
      <c r="GK147" s="509"/>
      <c r="GL147" s="509"/>
      <c r="GM147" s="509"/>
      <c r="GN147" s="509"/>
      <c r="GO147" s="509"/>
      <c r="GP147" s="509"/>
      <c r="GQ147" s="509"/>
      <c r="GR147" s="509"/>
      <c r="GS147" s="509"/>
      <c r="GT147" s="509"/>
      <c r="GU147" s="509"/>
      <c r="GV147" s="509"/>
      <c r="GW147" s="509"/>
      <c r="GX147" s="509"/>
      <c r="GY147" s="509"/>
      <c r="GZ147" s="509"/>
      <c r="HA147" s="509"/>
      <c r="HB147" s="509"/>
      <c r="HC147" s="509"/>
      <c r="HD147" s="509"/>
      <c r="HE147" s="509"/>
      <c r="HF147" s="509"/>
      <c r="HG147" s="509"/>
      <c r="HH147" s="509"/>
      <c r="HI147" s="509"/>
      <c r="HJ147" s="509"/>
      <c r="HK147" s="509"/>
      <c r="HL147" s="509"/>
      <c r="HM147" s="509"/>
      <c r="HN147" s="509"/>
      <c r="HO147" s="509"/>
      <c r="HP147" s="509"/>
      <c r="HQ147" s="509"/>
      <c r="HR147" s="509"/>
      <c r="HS147" s="509"/>
      <c r="HT147" s="509"/>
      <c r="HU147" s="509"/>
      <c r="HV147" s="509"/>
      <c r="HW147" s="509"/>
      <c r="HX147" s="509"/>
      <c r="HY147" s="509"/>
      <c r="HZ147" s="509"/>
    </row>
    <row r="148" spans="1:234" s="232" customFormat="1" ht="15.9" hidden="1" customHeight="1" x14ac:dyDescent="0.25">
      <c r="A148" s="522" t="s">
        <v>373</v>
      </c>
      <c r="B148" s="535" t="s">
        <v>2836</v>
      </c>
      <c r="C148" s="527" t="s">
        <v>4085</v>
      </c>
      <c r="D148" s="570" t="s">
        <v>189</v>
      </c>
      <c r="E148" s="569" t="s">
        <v>1743</v>
      </c>
      <c r="F148" s="543">
        <v>39269</v>
      </c>
      <c r="G148" s="544">
        <v>39204</v>
      </c>
      <c r="H148" s="557">
        <v>39262</v>
      </c>
      <c r="I148" s="546">
        <v>40574</v>
      </c>
      <c r="J148" s="547">
        <v>10</v>
      </c>
      <c r="K148" s="553" t="s">
        <v>3229</v>
      </c>
      <c r="L148" s="552" t="s">
        <v>3229</v>
      </c>
      <c r="M148" s="549">
        <v>0</v>
      </c>
      <c r="N148" s="606">
        <v>1.2</v>
      </c>
      <c r="O148" s="551" t="s">
        <v>3229</v>
      </c>
      <c r="P148" s="576" t="s">
        <v>3229</v>
      </c>
      <c r="Q148" s="570" t="s">
        <v>3229</v>
      </c>
      <c r="R148" s="570" t="s">
        <v>3229</v>
      </c>
      <c r="S148" s="577"/>
      <c r="T148" s="555" t="s">
        <v>3229</v>
      </c>
      <c r="U148" s="555" t="s">
        <v>3229</v>
      </c>
      <c r="V148" s="555" t="s">
        <v>3229</v>
      </c>
      <c r="W148" s="555" t="s">
        <v>3229</v>
      </c>
      <c r="X148" s="555" t="s">
        <v>3229</v>
      </c>
      <c r="Y148" s="553" t="s">
        <v>3229</v>
      </c>
      <c r="Z148" s="553" t="s">
        <v>3229</v>
      </c>
      <c r="AA148" s="553" t="s">
        <v>3229</v>
      </c>
      <c r="AB148" s="553" t="s">
        <v>3229</v>
      </c>
      <c r="AC148" s="553" t="s">
        <v>3229</v>
      </c>
      <c r="AD148" s="553" t="s">
        <v>3229</v>
      </c>
      <c r="AE148" s="553" t="s">
        <v>3229</v>
      </c>
      <c r="AF148" s="3764" t="s">
        <v>781</v>
      </c>
      <c r="AG148" s="3765"/>
      <c r="AH148" s="553" t="s">
        <v>3229</v>
      </c>
      <c r="AI148" s="553" t="s">
        <v>3229</v>
      </c>
      <c r="AJ148" s="553" t="s">
        <v>3229</v>
      </c>
      <c r="AK148" s="566" t="s">
        <v>3229</v>
      </c>
      <c r="AL148" s="553" t="s">
        <v>3229</v>
      </c>
      <c r="AM148" s="659">
        <v>1</v>
      </c>
      <c r="AN148" s="606">
        <v>0</v>
      </c>
      <c r="AO148" s="660">
        <v>10</v>
      </c>
      <c r="AP148" s="1368">
        <v>-0.2943345</v>
      </c>
      <c r="AQ148" s="675">
        <v>-0.21794990195862629</v>
      </c>
      <c r="AR148" s="632">
        <f>AO148/10-1</f>
        <v>0</v>
      </c>
      <c r="AS148" s="558">
        <f>POWER(1+AR148,1/((I148-F148)/365))-1</f>
        <v>0</v>
      </c>
      <c r="AT148" s="598"/>
      <c r="AU148" s="552"/>
      <c r="AV148" s="558">
        <f>AO148/10-1</f>
        <v>0</v>
      </c>
      <c r="AW148" s="558">
        <f t="shared" ref="AW148:AW163" si="25">POWER(1+AV148,1/((I148-F148)/365))-1</f>
        <v>0</v>
      </c>
      <c r="AX148" s="553"/>
      <c r="AY148" s="552"/>
      <c r="AZ148" s="642">
        <f t="shared" ref="AZ148:AZ163" si="26">J148*(1+AV148)</f>
        <v>10</v>
      </c>
      <c r="BA148" s="644" t="s">
        <v>119</v>
      </c>
      <c r="BB148" s="570"/>
      <c r="BC148" s="637"/>
      <c r="BD148" s="3708"/>
      <c r="BE148" s="3743"/>
      <c r="BF148" s="3743"/>
      <c r="BG148" s="3708"/>
      <c r="BH148" s="3762"/>
      <c r="BI148" s="3762"/>
      <c r="BJ148" s="39"/>
      <c r="BK148" s="39"/>
      <c r="BL148" s="39"/>
      <c r="BM148" s="39"/>
      <c r="BN148" s="39"/>
      <c r="BO148" s="39"/>
      <c r="BP148" s="39"/>
      <c r="BQ148" s="39"/>
      <c r="BR148" s="39"/>
      <c r="BS148" s="507"/>
      <c r="BT148" s="507"/>
      <c r="BU148" s="507"/>
      <c r="BV148" s="507"/>
      <c r="BW148" s="507"/>
      <c r="BX148" s="507"/>
      <c r="BY148" s="507"/>
      <c r="BZ148" s="507"/>
      <c r="CA148" s="507"/>
      <c r="CB148" s="507"/>
      <c r="CC148" s="507"/>
      <c r="CD148" s="507"/>
      <c r="CE148" s="507"/>
      <c r="CF148" s="507"/>
      <c r="CG148" s="507"/>
      <c r="CH148" s="507"/>
      <c r="CI148" s="507"/>
      <c r="CJ148" s="507"/>
      <c r="CK148" s="507"/>
      <c r="CL148" s="507"/>
      <c r="CM148" s="507"/>
      <c r="CN148" s="507"/>
      <c r="CO148" s="507"/>
      <c r="CP148" s="507"/>
      <c r="CQ148" s="507"/>
      <c r="CR148" s="507"/>
      <c r="CS148" s="507"/>
      <c r="CT148" s="507"/>
      <c r="CU148" s="507"/>
      <c r="CV148" s="507"/>
      <c r="CW148" s="507"/>
      <c r="CX148" s="507"/>
      <c r="CY148" s="507"/>
      <c r="CZ148" s="507"/>
      <c r="DA148" s="507"/>
      <c r="DB148" s="507"/>
      <c r="DC148" s="507"/>
      <c r="DD148" s="507"/>
      <c r="DE148" s="507"/>
      <c r="DF148" s="507"/>
      <c r="DG148" s="507"/>
      <c r="DH148" s="507"/>
      <c r="DI148" s="507"/>
      <c r="DJ148" s="507"/>
      <c r="DK148" s="507"/>
      <c r="DL148" s="507"/>
      <c r="DM148" s="507"/>
      <c r="DN148" s="507"/>
      <c r="DO148" s="507"/>
      <c r="DP148" s="507"/>
      <c r="DQ148" s="507"/>
      <c r="DR148" s="507"/>
      <c r="DS148" s="507"/>
      <c r="DT148" s="507"/>
      <c r="DU148" s="507"/>
      <c r="DV148" s="507"/>
      <c r="DW148" s="507"/>
      <c r="DX148" s="507"/>
      <c r="DY148" s="507"/>
      <c r="DZ148" s="507"/>
      <c r="EA148" s="507"/>
      <c r="EB148" s="507"/>
      <c r="EC148" s="507"/>
      <c r="ED148" s="507"/>
      <c r="EE148" s="507"/>
      <c r="EF148" s="507"/>
      <c r="EG148" s="507"/>
      <c r="EH148" s="507"/>
      <c r="EI148" s="507"/>
      <c r="EJ148" s="507"/>
      <c r="EK148" s="507"/>
      <c r="EL148" s="507"/>
      <c r="EM148" s="507"/>
      <c r="EN148" s="507"/>
      <c r="EO148" s="507"/>
      <c r="EP148" s="507"/>
      <c r="EQ148" s="507"/>
      <c r="ER148" s="507"/>
      <c r="ES148" s="507"/>
      <c r="ET148" s="507"/>
      <c r="EU148" s="507"/>
      <c r="EV148" s="507"/>
      <c r="EW148" s="507"/>
      <c r="EX148" s="507"/>
      <c r="EY148" s="507"/>
      <c r="EZ148" s="507"/>
      <c r="FA148" s="507"/>
      <c r="FB148" s="507"/>
      <c r="FC148" s="507"/>
      <c r="FD148" s="507"/>
      <c r="FE148" s="507"/>
      <c r="FF148" s="507"/>
      <c r="FG148" s="507"/>
      <c r="FH148" s="507"/>
      <c r="FI148" s="507"/>
      <c r="FJ148" s="507"/>
      <c r="FK148" s="507"/>
      <c r="FL148" s="507"/>
      <c r="FM148" s="507"/>
      <c r="FN148" s="507"/>
      <c r="FO148" s="507"/>
      <c r="FP148" s="507"/>
      <c r="FQ148" s="507"/>
      <c r="FR148" s="507"/>
      <c r="FS148" s="507"/>
      <c r="FT148" s="507"/>
      <c r="FU148" s="507"/>
      <c r="FV148" s="507"/>
      <c r="FW148" s="507"/>
      <c r="FX148" s="507"/>
      <c r="FY148" s="507"/>
      <c r="FZ148" s="507"/>
      <c r="GA148" s="507"/>
      <c r="GB148" s="507"/>
      <c r="GC148" s="507"/>
      <c r="GD148" s="507"/>
      <c r="GE148" s="507"/>
      <c r="GF148" s="507"/>
      <c r="GG148" s="507"/>
      <c r="GH148" s="507"/>
      <c r="GI148" s="507"/>
      <c r="GJ148" s="507"/>
      <c r="GK148" s="507"/>
      <c r="GL148" s="507"/>
      <c r="GM148" s="507"/>
      <c r="GN148" s="507"/>
      <c r="GO148" s="507"/>
      <c r="GP148" s="507"/>
      <c r="GQ148" s="507"/>
      <c r="GR148" s="507"/>
      <c r="GS148" s="507"/>
      <c r="GT148" s="507"/>
      <c r="GU148" s="507"/>
      <c r="GV148" s="507"/>
      <c r="GW148" s="507"/>
      <c r="GX148" s="507"/>
      <c r="GY148" s="507"/>
      <c r="GZ148" s="507"/>
      <c r="HA148" s="507"/>
      <c r="HB148" s="507"/>
      <c r="HC148" s="507"/>
      <c r="HD148" s="507"/>
      <c r="HE148" s="507"/>
      <c r="HF148" s="507"/>
      <c r="HG148" s="507"/>
      <c r="HH148" s="507"/>
      <c r="HI148" s="507"/>
      <c r="HJ148" s="507"/>
      <c r="HK148" s="507"/>
      <c r="HL148" s="507"/>
      <c r="HM148" s="507"/>
      <c r="HN148" s="507"/>
      <c r="HO148" s="507"/>
      <c r="HP148" s="507"/>
      <c r="HQ148" s="507"/>
      <c r="HR148" s="507"/>
      <c r="HS148" s="507"/>
      <c r="HT148" s="507"/>
      <c r="HU148" s="507"/>
      <c r="HV148" s="507"/>
      <c r="HW148" s="507"/>
      <c r="HX148" s="507"/>
      <c r="HY148" s="507"/>
      <c r="HZ148" s="507"/>
    </row>
    <row r="149" spans="1:234" s="232" customFormat="1" ht="15.9" hidden="1" customHeight="1" x14ac:dyDescent="0.25">
      <c r="A149" s="522" t="s">
        <v>4099</v>
      </c>
      <c r="B149" s="535" t="s">
        <v>3811</v>
      </c>
      <c r="C149" s="527" t="s">
        <v>4086</v>
      </c>
      <c r="D149" s="570" t="s">
        <v>2158</v>
      </c>
      <c r="E149" s="569" t="s">
        <v>3228</v>
      </c>
      <c r="F149" s="543">
        <v>39272</v>
      </c>
      <c r="G149" s="544">
        <v>39204</v>
      </c>
      <c r="H149" s="557">
        <v>39262</v>
      </c>
      <c r="I149" s="546">
        <v>40753</v>
      </c>
      <c r="J149" s="547">
        <v>10</v>
      </c>
      <c r="K149" s="553" t="s">
        <v>3229</v>
      </c>
      <c r="L149" s="552" t="s">
        <v>3229</v>
      </c>
      <c r="M149" s="549">
        <v>0</v>
      </c>
      <c r="N149" s="606">
        <v>1.1000000000000001</v>
      </c>
      <c r="O149" s="551" t="s">
        <v>3229</v>
      </c>
      <c r="P149" s="576" t="s">
        <v>3229</v>
      </c>
      <c r="Q149" s="570" t="s">
        <v>3229</v>
      </c>
      <c r="R149" s="570" t="s">
        <v>3229</v>
      </c>
      <c r="S149" s="577"/>
      <c r="T149" s="555" t="s">
        <v>3229</v>
      </c>
      <c r="U149" s="555" t="s">
        <v>3229</v>
      </c>
      <c r="V149" s="555" t="s">
        <v>3229</v>
      </c>
      <c r="W149" s="555" t="s">
        <v>3229</v>
      </c>
      <c r="X149" s="555" t="s">
        <v>3229</v>
      </c>
      <c r="Y149" s="553" t="s">
        <v>3229</v>
      </c>
      <c r="Z149" s="553" t="s">
        <v>3229</v>
      </c>
      <c r="AA149" s="553" t="s">
        <v>3229</v>
      </c>
      <c r="AB149" s="553" t="s">
        <v>3229</v>
      </c>
      <c r="AC149" s="553" t="s">
        <v>3229</v>
      </c>
      <c r="AD149" s="553" t="s">
        <v>3229</v>
      </c>
      <c r="AE149" s="553" t="s">
        <v>3229</v>
      </c>
      <c r="AF149" s="3764" t="s">
        <v>781</v>
      </c>
      <c r="AG149" s="3765"/>
      <c r="AH149" s="553" t="s">
        <v>3229</v>
      </c>
      <c r="AI149" s="553" t="s">
        <v>3229</v>
      </c>
      <c r="AJ149" s="553" t="s">
        <v>3229</v>
      </c>
      <c r="AK149" s="566" t="s">
        <v>3229</v>
      </c>
      <c r="AL149" s="553" t="s">
        <v>3229</v>
      </c>
      <c r="AM149" s="659">
        <v>1</v>
      </c>
      <c r="AN149" s="606">
        <v>0</v>
      </c>
      <c r="AO149" s="660">
        <v>10.06</v>
      </c>
      <c r="AP149" s="1368">
        <v>-0.32881856249999997</v>
      </c>
      <c r="AQ149" s="675">
        <v>-0.35249999999999998</v>
      </c>
      <c r="AR149" s="632" t="s">
        <v>3660</v>
      </c>
      <c r="AS149" s="558"/>
      <c r="AT149" s="598"/>
      <c r="AU149" s="552"/>
      <c r="AV149" s="558">
        <f t="shared" ref="AV149:AV180" si="27">M149</f>
        <v>0</v>
      </c>
      <c r="AW149" s="558">
        <f t="shared" si="25"/>
        <v>0</v>
      </c>
      <c r="AX149" s="553">
        <f>J149*(1+AV149)/AO149-1</f>
        <v>-5.9642147117296984E-3</v>
      </c>
      <c r="AY149" s="552" t="e">
        <f>POWER(1+AX149,1/AG149)-1</f>
        <v>#DIV/0!</v>
      </c>
      <c r="AZ149" s="642">
        <f t="shared" si="26"/>
        <v>10</v>
      </c>
      <c r="BA149" s="644" t="s">
        <v>574</v>
      </c>
      <c r="BB149" s="570"/>
      <c r="BC149" s="637"/>
      <c r="BD149" s="3708"/>
      <c r="BE149" s="3743"/>
      <c r="BF149" s="3743"/>
      <c r="BG149" s="3708"/>
      <c r="BH149" s="3762"/>
      <c r="BI149" s="3762"/>
      <c r="BJ149" s="39"/>
      <c r="BK149" s="39"/>
      <c r="BL149" s="39"/>
      <c r="BM149" s="39"/>
      <c r="BN149" s="39"/>
      <c r="BO149" s="39"/>
      <c r="BP149" s="39"/>
      <c r="BQ149" s="39"/>
      <c r="BR149" s="39"/>
      <c r="BS149" s="507"/>
      <c r="BT149" s="507"/>
      <c r="BU149" s="507"/>
      <c r="BV149" s="507"/>
      <c r="BW149" s="507"/>
      <c r="BX149" s="507"/>
      <c r="BY149" s="507"/>
      <c r="BZ149" s="507"/>
      <c r="CA149" s="507"/>
      <c r="CB149" s="507"/>
      <c r="CC149" s="507"/>
      <c r="CD149" s="507"/>
      <c r="CE149" s="507"/>
      <c r="CF149" s="507"/>
      <c r="CG149" s="507"/>
      <c r="CH149" s="507"/>
      <c r="CI149" s="507"/>
      <c r="CJ149" s="507"/>
      <c r="CK149" s="507"/>
      <c r="CL149" s="507"/>
      <c r="CM149" s="507"/>
      <c r="CN149" s="507"/>
      <c r="CO149" s="507"/>
      <c r="CP149" s="507"/>
      <c r="CQ149" s="507"/>
      <c r="CR149" s="507"/>
      <c r="CS149" s="507"/>
      <c r="CT149" s="507"/>
      <c r="CU149" s="507"/>
      <c r="CV149" s="507"/>
      <c r="CW149" s="507"/>
      <c r="CX149" s="507"/>
      <c r="CY149" s="507"/>
      <c r="CZ149" s="507"/>
      <c r="DA149" s="507"/>
      <c r="DB149" s="507"/>
      <c r="DC149" s="507"/>
      <c r="DD149" s="507"/>
      <c r="DE149" s="507"/>
      <c r="DF149" s="507"/>
      <c r="DG149" s="507"/>
      <c r="DH149" s="507"/>
      <c r="DI149" s="507"/>
      <c r="DJ149" s="507"/>
      <c r="DK149" s="507"/>
      <c r="DL149" s="507"/>
      <c r="DM149" s="507"/>
      <c r="DN149" s="507"/>
      <c r="DO149" s="507"/>
      <c r="DP149" s="507"/>
      <c r="DQ149" s="507"/>
      <c r="DR149" s="507"/>
      <c r="DS149" s="507"/>
      <c r="DT149" s="507"/>
      <c r="DU149" s="507"/>
      <c r="DV149" s="507"/>
      <c r="DW149" s="507"/>
      <c r="DX149" s="507"/>
      <c r="DY149" s="507"/>
      <c r="DZ149" s="507"/>
      <c r="EA149" s="507"/>
      <c r="EB149" s="507"/>
      <c r="EC149" s="507"/>
      <c r="ED149" s="507"/>
      <c r="EE149" s="507"/>
      <c r="EF149" s="507"/>
      <c r="EG149" s="507"/>
      <c r="EH149" s="507"/>
      <c r="EI149" s="507"/>
      <c r="EJ149" s="507"/>
      <c r="EK149" s="507"/>
      <c r="EL149" s="507"/>
      <c r="EM149" s="507"/>
      <c r="EN149" s="507"/>
      <c r="EO149" s="507"/>
      <c r="EP149" s="507"/>
      <c r="EQ149" s="507"/>
      <c r="ER149" s="507"/>
      <c r="ES149" s="507"/>
      <c r="ET149" s="507"/>
      <c r="EU149" s="507"/>
      <c r="EV149" s="507"/>
      <c r="EW149" s="507"/>
      <c r="EX149" s="507"/>
      <c r="EY149" s="507"/>
      <c r="EZ149" s="507"/>
      <c r="FA149" s="507"/>
      <c r="FB149" s="507"/>
      <c r="FC149" s="507"/>
      <c r="FD149" s="507"/>
      <c r="FE149" s="507"/>
      <c r="FF149" s="507"/>
      <c r="FG149" s="507"/>
      <c r="FH149" s="507"/>
      <c r="FI149" s="507"/>
      <c r="FJ149" s="507"/>
      <c r="FK149" s="507"/>
      <c r="FL149" s="507"/>
      <c r="FM149" s="507"/>
      <c r="FN149" s="507"/>
      <c r="FO149" s="507"/>
      <c r="FP149" s="507"/>
      <c r="FQ149" s="507"/>
      <c r="FR149" s="507"/>
      <c r="FS149" s="507"/>
      <c r="FT149" s="507"/>
      <c r="FU149" s="507"/>
      <c r="FV149" s="507"/>
      <c r="FW149" s="507"/>
      <c r="FX149" s="507"/>
      <c r="FY149" s="507"/>
      <c r="FZ149" s="507"/>
      <c r="GA149" s="507"/>
      <c r="GB149" s="507"/>
      <c r="GC149" s="507"/>
      <c r="GD149" s="507"/>
      <c r="GE149" s="507"/>
      <c r="GF149" s="507"/>
      <c r="GG149" s="507"/>
      <c r="GH149" s="507"/>
      <c r="GI149" s="507"/>
      <c r="GJ149" s="507"/>
      <c r="GK149" s="507"/>
      <c r="GL149" s="507"/>
      <c r="GM149" s="507"/>
      <c r="GN149" s="507"/>
      <c r="GO149" s="507"/>
      <c r="GP149" s="507"/>
      <c r="GQ149" s="507"/>
      <c r="GR149" s="507"/>
      <c r="GS149" s="507"/>
      <c r="GT149" s="507"/>
      <c r="GU149" s="507"/>
      <c r="GV149" s="507"/>
      <c r="GW149" s="507"/>
      <c r="GX149" s="507"/>
      <c r="GY149" s="507"/>
      <c r="GZ149" s="507"/>
      <c r="HA149" s="507"/>
      <c r="HB149" s="507"/>
      <c r="HC149" s="507"/>
      <c r="HD149" s="507"/>
      <c r="HE149" s="507"/>
      <c r="HF149" s="507"/>
      <c r="HG149" s="507"/>
      <c r="HH149" s="507"/>
      <c r="HI149" s="507"/>
      <c r="HJ149" s="507"/>
      <c r="HK149" s="507"/>
      <c r="HL149" s="507"/>
      <c r="HM149" s="507"/>
      <c r="HN149" s="507"/>
      <c r="HO149" s="507"/>
      <c r="HP149" s="507"/>
      <c r="HQ149" s="507"/>
      <c r="HR149" s="507"/>
      <c r="HS149" s="507"/>
      <c r="HT149" s="507"/>
      <c r="HU149" s="507"/>
      <c r="HV149" s="507"/>
      <c r="HW149" s="507"/>
      <c r="HX149" s="507"/>
      <c r="HY149" s="507"/>
      <c r="HZ149" s="507"/>
    </row>
    <row r="150" spans="1:234" s="232" customFormat="1" ht="15.9" hidden="1" customHeight="1" x14ac:dyDescent="0.25">
      <c r="A150" s="522" t="s">
        <v>664</v>
      </c>
      <c r="B150" s="535" t="s">
        <v>2837</v>
      </c>
      <c r="C150" s="527" t="s">
        <v>4084</v>
      </c>
      <c r="D150" s="570" t="s">
        <v>189</v>
      </c>
      <c r="E150" s="569" t="s">
        <v>3228</v>
      </c>
      <c r="F150" s="543">
        <v>39240</v>
      </c>
      <c r="G150" s="544">
        <v>39204</v>
      </c>
      <c r="H150" s="557">
        <v>39233</v>
      </c>
      <c r="I150" s="546">
        <v>39994</v>
      </c>
      <c r="J150" s="547">
        <v>10</v>
      </c>
      <c r="K150" s="553">
        <v>-0.04</v>
      </c>
      <c r="L150" s="552">
        <v>0</v>
      </c>
      <c r="M150" s="549">
        <v>0</v>
      </c>
      <c r="N150" s="606" t="s">
        <v>3229</v>
      </c>
      <c r="O150" s="551" t="s">
        <v>3229</v>
      </c>
      <c r="P150" s="576">
        <v>0.9</v>
      </c>
      <c r="Q150" s="570" t="s">
        <v>3229</v>
      </c>
      <c r="R150" s="570" t="s">
        <v>3229</v>
      </c>
      <c r="S150" s="577"/>
      <c r="T150" s="3779" t="s">
        <v>4079</v>
      </c>
      <c r="U150" s="3780"/>
      <c r="V150" s="3780"/>
      <c r="W150" s="3780"/>
      <c r="X150" s="3780"/>
      <c r="Y150" s="3780"/>
      <c r="Z150" s="3780"/>
      <c r="AA150" s="3780"/>
      <c r="AB150" s="3780"/>
      <c r="AC150" s="3780"/>
      <c r="AD150" s="3780"/>
      <c r="AE150" s="3781"/>
      <c r="AF150" s="3764" t="s">
        <v>781</v>
      </c>
      <c r="AG150" s="3765"/>
      <c r="AH150" s="553" t="s">
        <v>3229</v>
      </c>
      <c r="AI150" s="553" t="s">
        <v>3229</v>
      </c>
      <c r="AJ150" s="553" t="s">
        <v>3229</v>
      </c>
      <c r="AK150" s="566" t="s">
        <v>3229</v>
      </c>
      <c r="AL150" s="553" t="s">
        <v>3229</v>
      </c>
      <c r="AM150" s="659">
        <v>1</v>
      </c>
      <c r="AN150" s="606" t="s">
        <v>3229</v>
      </c>
      <c r="AO150" s="660">
        <v>10</v>
      </c>
      <c r="AP150" s="1368"/>
      <c r="AQ150" s="675" t="s">
        <v>3229</v>
      </c>
      <c r="AR150" s="632">
        <f>AO150/10-1</f>
        <v>0</v>
      </c>
      <c r="AS150" s="558">
        <f>POWER(1+AR150,1/((I150-F150)/365))-1</f>
        <v>0</v>
      </c>
      <c r="AT150" s="598" t="s">
        <v>3229</v>
      </c>
      <c r="AU150" s="552" t="s">
        <v>3229</v>
      </c>
      <c r="AV150" s="558">
        <f t="shared" si="27"/>
        <v>0</v>
      </c>
      <c r="AW150" s="558">
        <f t="shared" si="25"/>
        <v>0</v>
      </c>
      <c r="AX150" s="553"/>
      <c r="AY150" s="552"/>
      <c r="AZ150" s="642">
        <f t="shared" si="26"/>
        <v>10</v>
      </c>
      <c r="BA150" s="644" t="s">
        <v>120</v>
      </c>
      <c r="BB150" s="570"/>
      <c r="BC150" s="637"/>
      <c r="BD150" s="3708"/>
      <c r="BE150" s="3743"/>
      <c r="BF150" s="3743"/>
      <c r="BG150" s="3708"/>
      <c r="BH150" s="3762"/>
      <c r="BI150" s="3762"/>
      <c r="BJ150" s="39"/>
      <c r="BK150" s="39"/>
      <c r="BL150" s="39"/>
      <c r="BM150" s="39"/>
      <c r="BN150" s="39"/>
      <c r="BO150" s="39"/>
      <c r="BP150" s="39"/>
      <c r="BQ150" s="39"/>
      <c r="BR150" s="39"/>
      <c r="BS150" s="507"/>
      <c r="BT150" s="507"/>
      <c r="BU150" s="507"/>
      <c r="BV150" s="507"/>
      <c r="BW150" s="507"/>
      <c r="BX150" s="507"/>
      <c r="BY150" s="507"/>
      <c r="BZ150" s="507"/>
      <c r="CA150" s="507"/>
      <c r="CB150" s="507"/>
      <c r="CC150" s="507"/>
      <c r="CD150" s="507"/>
      <c r="CE150" s="507"/>
      <c r="CF150" s="507"/>
      <c r="CG150" s="507"/>
      <c r="CH150" s="507"/>
      <c r="CI150" s="507"/>
      <c r="CJ150" s="507"/>
      <c r="CK150" s="507"/>
      <c r="CL150" s="507"/>
      <c r="CM150" s="507"/>
      <c r="CN150" s="507"/>
      <c r="CO150" s="507"/>
      <c r="CP150" s="507"/>
      <c r="CQ150" s="507"/>
      <c r="CR150" s="507"/>
      <c r="CS150" s="507"/>
      <c r="CT150" s="507"/>
      <c r="CU150" s="507"/>
      <c r="CV150" s="507"/>
      <c r="CW150" s="507"/>
      <c r="CX150" s="507"/>
      <c r="CY150" s="507"/>
      <c r="CZ150" s="507"/>
      <c r="DA150" s="507"/>
      <c r="DB150" s="507"/>
      <c r="DC150" s="507"/>
      <c r="DD150" s="507"/>
      <c r="DE150" s="507"/>
      <c r="DF150" s="507"/>
      <c r="DG150" s="507"/>
      <c r="DH150" s="507"/>
      <c r="DI150" s="507"/>
      <c r="DJ150" s="507"/>
      <c r="DK150" s="507"/>
      <c r="DL150" s="507"/>
      <c r="DM150" s="507"/>
      <c r="DN150" s="507"/>
      <c r="DO150" s="507"/>
      <c r="DP150" s="507"/>
      <c r="DQ150" s="507"/>
      <c r="DR150" s="507"/>
      <c r="DS150" s="507"/>
      <c r="DT150" s="507"/>
      <c r="DU150" s="507"/>
      <c r="DV150" s="507"/>
      <c r="DW150" s="507"/>
      <c r="DX150" s="507"/>
      <c r="DY150" s="507"/>
      <c r="DZ150" s="507"/>
      <c r="EA150" s="507"/>
      <c r="EB150" s="507"/>
      <c r="EC150" s="507"/>
      <c r="ED150" s="507"/>
      <c r="EE150" s="507"/>
      <c r="EF150" s="507"/>
      <c r="EG150" s="507"/>
      <c r="EH150" s="507"/>
      <c r="EI150" s="507"/>
      <c r="EJ150" s="507"/>
      <c r="EK150" s="507"/>
      <c r="EL150" s="507"/>
      <c r="EM150" s="507"/>
      <c r="EN150" s="507"/>
      <c r="EO150" s="507"/>
      <c r="EP150" s="507"/>
      <c r="EQ150" s="507"/>
      <c r="ER150" s="507"/>
      <c r="ES150" s="507"/>
      <c r="ET150" s="507"/>
      <c r="EU150" s="507"/>
      <c r="EV150" s="507"/>
      <c r="EW150" s="507"/>
      <c r="EX150" s="507"/>
      <c r="EY150" s="507"/>
      <c r="EZ150" s="507"/>
      <c r="FA150" s="507"/>
      <c r="FB150" s="507"/>
      <c r="FC150" s="507"/>
      <c r="FD150" s="507"/>
      <c r="FE150" s="507"/>
      <c r="FF150" s="507"/>
      <c r="FG150" s="507"/>
      <c r="FH150" s="507"/>
      <c r="FI150" s="507"/>
      <c r="FJ150" s="507"/>
      <c r="FK150" s="507"/>
      <c r="FL150" s="507"/>
      <c r="FM150" s="507"/>
      <c r="FN150" s="507"/>
      <c r="FO150" s="507"/>
      <c r="FP150" s="507"/>
      <c r="FQ150" s="507"/>
      <c r="FR150" s="507"/>
      <c r="FS150" s="507"/>
      <c r="FT150" s="507"/>
      <c r="FU150" s="507"/>
      <c r="FV150" s="507"/>
      <c r="FW150" s="507"/>
      <c r="FX150" s="507"/>
      <c r="FY150" s="507"/>
      <c r="FZ150" s="507"/>
      <c r="GA150" s="507"/>
      <c r="GB150" s="507"/>
      <c r="GC150" s="507"/>
      <c r="GD150" s="507"/>
      <c r="GE150" s="507"/>
      <c r="GF150" s="507"/>
      <c r="GG150" s="507"/>
      <c r="GH150" s="507"/>
      <c r="GI150" s="507"/>
      <c r="GJ150" s="507"/>
      <c r="GK150" s="507"/>
      <c r="GL150" s="507"/>
      <c r="GM150" s="507"/>
      <c r="GN150" s="507"/>
      <c r="GO150" s="507"/>
      <c r="GP150" s="507"/>
      <c r="GQ150" s="507"/>
      <c r="GR150" s="507"/>
      <c r="GS150" s="507"/>
      <c r="GT150" s="507"/>
      <c r="GU150" s="507"/>
      <c r="GV150" s="507"/>
      <c r="GW150" s="507"/>
      <c r="GX150" s="507"/>
      <c r="GY150" s="507"/>
      <c r="GZ150" s="507"/>
      <c r="HA150" s="507"/>
      <c r="HB150" s="507"/>
      <c r="HC150" s="507"/>
      <c r="HD150" s="507"/>
      <c r="HE150" s="507"/>
      <c r="HF150" s="507"/>
      <c r="HG150" s="507"/>
      <c r="HH150" s="507"/>
      <c r="HI150" s="507"/>
      <c r="HJ150" s="507"/>
      <c r="HK150" s="507"/>
      <c r="HL150" s="507"/>
      <c r="HM150" s="507"/>
      <c r="HN150" s="507"/>
      <c r="HO150" s="507"/>
      <c r="HP150" s="507"/>
      <c r="HQ150" s="507"/>
      <c r="HR150" s="507"/>
      <c r="HS150" s="507"/>
      <c r="HT150" s="507"/>
      <c r="HU150" s="507"/>
      <c r="HV150" s="507"/>
      <c r="HW150" s="507"/>
      <c r="HX150" s="507"/>
      <c r="HY150" s="507"/>
      <c r="HZ150" s="507"/>
    </row>
    <row r="151" spans="1:234" s="232" customFormat="1" ht="15.9" hidden="1" customHeight="1" x14ac:dyDescent="0.25">
      <c r="A151" s="522" t="s">
        <v>776</v>
      </c>
      <c r="B151" s="535" t="s">
        <v>3835</v>
      </c>
      <c r="C151" s="527" t="s">
        <v>4088</v>
      </c>
      <c r="D151" s="570" t="s">
        <v>826</v>
      </c>
      <c r="E151" s="569" t="s">
        <v>3228</v>
      </c>
      <c r="F151" s="543">
        <v>39272</v>
      </c>
      <c r="G151" s="544">
        <v>39216</v>
      </c>
      <c r="H151" s="557">
        <v>39262</v>
      </c>
      <c r="I151" s="546">
        <v>41486</v>
      </c>
      <c r="J151" s="547">
        <v>10</v>
      </c>
      <c r="K151" s="553" t="s">
        <v>3229</v>
      </c>
      <c r="L151" s="552" t="s">
        <v>3229</v>
      </c>
      <c r="M151" s="549">
        <v>0</v>
      </c>
      <c r="N151" s="606">
        <v>0.65</v>
      </c>
      <c r="O151" s="551" t="s">
        <v>3229</v>
      </c>
      <c r="P151" s="576" t="s">
        <v>3229</v>
      </c>
      <c r="Q151" s="570" t="s">
        <v>3229</v>
      </c>
      <c r="R151" s="570" t="s">
        <v>3229</v>
      </c>
      <c r="S151" s="577"/>
      <c r="T151" s="555" t="s">
        <v>3229</v>
      </c>
      <c r="U151" s="555" t="s">
        <v>3229</v>
      </c>
      <c r="V151" s="555" t="s">
        <v>3229</v>
      </c>
      <c r="W151" s="555" t="s">
        <v>3229</v>
      </c>
      <c r="X151" s="555" t="s">
        <v>3229</v>
      </c>
      <c r="Y151" s="553" t="s">
        <v>3229</v>
      </c>
      <c r="Z151" s="553" t="s">
        <v>3229</v>
      </c>
      <c r="AA151" s="553" t="s">
        <v>3229</v>
      </c>
      <c r="AB151" s="553" t="s">
        <v>3229</v>
      </c>
      <c r="AC151" s="553" t="s">
        <v>3229</v>
      </c>
      <c r="AD151" s="553" t="s">
        <v>3229</v>
      </c>
      <c r="AE151" s="553" t="s">
        <v>3229</v>
      </c>
      <c r="AF151" s="3764" t="s">
        <v>781</v>
      </c>
      <c r="AG151" s="3765"/>
      <c r="AH151" s="553" t="s">
        <v>3229</v>
      </c>
      <c r="AI151" s="553" t="s">
        <v>3229</v>
      </c>
      <c r="AJ151" s="553" t="s">
        <v>3229</v>
      </c>
      <c r="AK151" s="566" t="s">
        <v>3229</v>
      </c>
      <c r="AL151" s="553" t="s">
        <v>3229</v>
      </c>
      <c r="AM151" s="659">
        <v>1</v>
      </c>
      <c r="AN151" s="606">
        <v>0</v>
      </c>
      <c r="AO151" s="660">
        <v>10</v>
      </c>
      <c r="AP151" s="1368">
        <v>-0.46650133489194051</v>
      </c>
      <c r="AQ151" s="675">
        <v>-0.43612187865177909</v>
      </c>
      <c r="AR151" s="632" t="s">
        <v>3660</v>
      </c>
      <c r="AS151" s="558"/>
      <c r="AT151" s="598"/>
      <c r="AU151" s="552"/>
      <c r="AV151" s="558">
        <f t="shared" si="27"/>
        <v>0</v>
      </c>
      <c r="AW151" s="558">
        <f t="shared" si="25"/>
        <v>0</v>
      </c>
      <c r="AX151" s="553">
        <f>J151*(1+AV151)/AO151-1</f>
        <v>0</v>
      </c>
      <c r="AY151" s="552" t="e">
        <f>POWER(1+AX151,1/AG151)-1</f>
        <v>#DIV/0!</v>
      </c>
      <c r="AZ151" s="642">
        <f t="shared" si="26"/>
        <v>10</v>
      </c>
      <c r="BA151" s="644" t="s">
        <v>3190</v>
      </c>
      <c r="BB151" s="570"/>
      <c r="BC151" s="637"/>
      <c r="BD151" s="3708"/>
      <c r="BE151" s="3743"/>
      <c r="BF151" s="3743"/>
      <c r="BG151" s="3708"/>
      <c r="BH151" s="3762"/>
      <c r="BI151" s="3762"/>
      <c r="BJ151" s="39"/>
      <c r="BK151" s="39"/>
      <c r="BL151" s="39"/>
      <c r="BM151" s="39"/>
      <c r="BN151" s="39"/>
      <c r="BO151" s="39"/>
      <c r="BP151" s="39"/>
      <c r="BQ151" s="39"/>
      <c r="BR151" s="39"/>
      <c r="BS151" s="507"/>
      <c r="BT151" s="507"/>
      <c r="BU151" s="507"/>
      <c r="BV151" s="507"/>
      <c r="BW151" s="507"/>
      <c r="BX151" s="507"/>
      <c r="BY151" s="507"/>
      <c r="BZ151" s="507"/>
      <c r="CA151" s="507"/>
      <c r="CB151" s="507"/>
      <c r="CC151" s="507"/>
      <c r="CD151" s="507"/>
      <c r="CE151" s="507"/>
      <c r="CF151" s="507"/>
      <c r="CG151" s="507"/>
      <c r="CH151" s="507"/>
      <c r="CI151" s="507"/>
      <c r="CJ151" s="507"/>
      <c r="CK151" s="507"/>
      <c r="CL151" s="507"/>
      <c r="CM151" s="507"/>
      <c r="CN151" s="507"/>
      <c r="CO151" s="507"/>
      <c r="CP151" s="507"/>
      <c r="CQ151" s="507"/>
      <c r="CR151" s="507"/>
      <c r="CS151" s="507"/>
      <c r="CT151" s="507"/>
      <c r="CU151" s="507"/>
      <c r="CV151" s="507"/>
      <c r="CW151" s="507"/>
      <c r="CX151" s="507"/>
      <c r="CY151" s="507"/>
      <c r="CZ151" s="507"/>
      <c r="DA151" s="507"/>
      <c r="DB151" s="507"/>
      <c r="DC151" s="507"/>
      <c r="DD151" s="507"/>
      <c r="DE151" s="507"/>
      <c r="DF151" s="507"/>
      <c r="DG151" s="507"/>
      <c r="DH151" s="507"/>
      <c r="DI151" s="507"/>
      <c r="DJ151" s="507"/>
      <c r="DK151" s="507"/>
      <c r="DL151" s="507"/>
      <c r="DM151" s="507"/>
      <c r="DN151" s="507"/>
      <c r="DO151" s="507"/>
      <c r="DP151" s="507"/>
      <c r="DQ151" s="507"/>
      <c r="DR151" s="507"/>
      <c r="DS151" s="507"/>
      <c r="DT151" s="507"/>
      <c r="DU151" s="507"/>
      <c r="DV151" s="507"/>
      <c r="DW151" s="507"/>
      <c r="DX151" s="507"/>
      <c r="DY151" s="507"/>
      <c r="DZ151" s="507"/>
      <c r="EA151" s="507"/>
      <c r="EB151" s="507"/>
      <c r="EC151" s="507"/>
      <c r="ED151" s="507"/>
      <c r="EE151" s="507"/>
      <c r="EF151" s="507"/>
      <c r="EG151" s="507"/>
      <c r="EH151" s="507"/>
      <c r="EI151" s="507"/>
      <c r="EJ151" s="507"/>
      <c r="EK151" s="507"/>
      <c r="EL151" s="507"/>
      <c r="EM151" s="507"/>
      <c r="EN151" s="507"/>
      <c r="EO151" s="507"/>
      <c r="EP151" s="507"/>
      <c r="EQ151" s="507"/>
      <c r="ER151" s="507"/>
      <c r="ES151" s="507"/>
      <c r="ET151" s="507"/>
      <c r="EU151" s="507"/>
      <c r="EV151" s="507"/>
      <c r="EW151" s="507"/>
      <c r="EX151" s="507"/>
      <c r="EY151" s="507"/>
      <c r="EZ151" s="507"/>
      <c r="FA151" s="507"/>
      <c r="FB151" s="507"/>
      <c r="FC151" s="507"/>
      <c r="FD151" s="507"/>
      <c r="FE151" s="507"/>
      <c r="FF151" s="507"/>
      <c r="FG151" s="507"/>
      <c r="FH151" s="507"/>
      <c r="FI151" s="507"/>
      <c r="FJ151" s="507"/>
      <c r="FK151" s="507"/>
      <c r="FL151" s="507"/>
      <c r="FM151" s="507"/>
      <c r="FN151" s="507"/>
      <c r="FO151" s="507"/>
      <c r="FP151" s="507"/>
      <c r="FQ151" s="507"/>
      <c r="FR151" s="507"/>
      <c r="FS151" s="507"/>
      <c r="FT151" s="507"/>
      <c r="FU151" s="507"/>
      <c r="FV151" s="507"/>
      <c r="FW151" s="507"/>
      <c r="FX151" s="507"/>
      <c r="FY151" s="507"/>
      <c r="FZ151" s="507"/>
      <c r="GA151" s="507"/>
      <c r="GB151" s="507"/>
      <c r="GC151" s="507"/>
      <c r="GD151" s="507"/>
      <c r="GE151" s="507"/>
      <c r="GF151" s="507"/>
      <c r="GG151" s="507"/>
      <c r="GH151" s="507"/>
      <c r="GI151" s="507"/>
      <c r="GJ151" s="507"/>
      <c r="GK151" s="507"/>
      <c r="GL151" s="507"/>
      <c r="GM151" s="507"/>
      <c r="GN151" s="507"/>
      <c r="GO151" s="507"/>
      <c r="GP151" s="507"/>
      <c r="GQ151" s="507"/>
      <c r="GR151" s="507"/>
      <c r="GS151" s="507"/>
      <c r="GT151" s="507"/>
      <c r="GU151" s="507"/>
      <c r="GV151" s="507"/>
      <c r="GW151" s="507"/>
      <c r="GX151" s="507"/>
      <c r="GY151" s="507"/>
      <c r="GZ151" s="507"/>
      <c r="HA151" s="507"/>
      <c r="HB151" s="507"/>
      <c r="HC151" s="507"/>
      <c r="HD151" s="507"/>
      <c r="HE151" s="507"/>
      <c r="HF151" s="507"/>
      <c r="HG151" s="507"/>
      <c r="HH151" s="507"/>
      <c r="HI151" s="507"/>
      <c r="HJ151" s="507"/>
      <c r="HK151" s="507"/>
      <c r="HL151" s="507"/>
      <c r="HM151" s="507"/>
      <c r="HN151" s="507"/>
      <c r="HO151" s="507"/>
      <c r="HP151" s="507"/>
      <c r="HQ151" s="507"/>
      <c r="HR151" s="507"/>
      <c r="HS151" s="507"/>
      <c r="HT151" s="507"/>
      <c r="HU151" s="507"/>
      <c r="HV151" s="507"/>
      <c r="HW151" s="507"/>
      <c r="HX151" s="507"/>
      <c r="HY151" s="507"/>
      <c r="HZ151" s="507"/>
    </row>
    <row r="152" spans="1:234" s="232" customFormat="1" ht="15.9" hidden="1" customHeight="1" x14ac:dyDescent="0.25">
      <c r="A152" s="522" t="s">
        <v>688</v>
      </c>
      <c r="B152" s="480" t="s">
        <v>3836</v>
      </c>
      <c r="C152" s="527" t="s">
        <v>4087</v>
      </c>
      <c r="D152" s="570" t="s">
        <v>4383</v>
      </c>
      <c r="E152" s="569" t="s">
        <v>3228</v>
      </c>
      <c r="F152" s="543">
        <v>39272</v>
      </c>
      <c r="G152" s="544">
        <v>39216</v>
      </c>
      <c r="H152" s="557">
        <v>39262</v>
      </c>
      <c r="I152" s="546">
        <v>40753</v>
      </c>
      <c r="J152" s="547">
        <v>10</v>
      </c>
      <c r="K152" s="553" t="s">
        <v>3229</v>
      </c>
      <c r="L152" s="552" t="s">
        <v>3229</v>
      </c>
      <c r="M152" s="549">
        <v>0.02</v>
      </c>
      <c r="N152" s="606">
        <v>1</v>
      </c>
      <c r="O152" s="551" t="s">
        <v>3229</v>
      </c>
      <c r="P152" s="576" t="s">
        <v>3229</v>
      </c>
      <c r="Q152" s="570" t="s">
        <v>3229</v>
      </c>
      <c r="R152" s="570" t="s">
        <v>3229</v>
      </c>
      <c r="S152" s="577"/>
      <c r="T152" s="555" t="s">
        <v>3229</v>
      </c>
      <c r="U152" s="555" t="s">
        <v>3229</v>
      </c>
      <c r="V152" s="555" t="s">
        <v>3229</v>
      </c>
      <c r="W152" s="555" t="s">
        <v>3229</v>
      </c>
      <c r="X152" s="555" t="s">
        <v>3229</v>
      </c>
      <c r="Y152" s="553" t="s">
        <v>3229</v>
      </c>
      <c r="Z152" s="553" t="s">
        <v>3229</v>
      </c>
      <c r="AA152" s="553" t="s">
        <v>3229</v>
      </c>
      <c r="AB152" s="553" t="s">
        <v>3229</v>
      </c>
      <c r="AC152" s="553" t="s">
        <v>3229</v>
      </c>
      <c r="AD152" s="553" t="s">
        <v>3229</v>
      </c>
      <c r="AE152" s="553" t="s">
        <v>3229</v>
      </c>
      <c r="AF152" s="3764" t="s">
        <v>781</v>
      </c>
      <c r="AG152" s="3765"/>
      <c r="AH152" s="553" t="s">
        <v>3229</v>
      </c>
      <c r="AI152" s="553" t="s">
        <v>3229</v>
      </c>
      <c r="AJ152" s="553" t="s">
        <v>3229</v>
      </c>
      <c r="AK152" s="566" t="s">
        <v>3229</v>
      </c>
      <c r="AL152" s="553" t="s">
        <v>3229</v>
      </c>
      <c r="AM152" s="659">
        <v>1</v>
      </c>
      <c r="AN152" s="606">
        <v>0.02</v>
      </c>
      <c r="AO152" s="660">
        <v>10.25</v>
      </c>
      <c r="AP152" s="1368">
        <v>-0.32880043749999999</v>
      </c>
      <c r="AQ152" s="675">
        <v>-0.36702095953232605</v>
      </c>
      <c r="AR152" s="632" t="s">
        <v>3660</v>
      </c>
      <c r="AS152" s="558"/>
      <c r="AT152" s="598"/>
      <c r="AU152" s="552"/>
      <c r="AV152" s="558">
        <f t="shared" si="27"/>
        <v>0.02</v>
      </c>
      <c r="AW152" s="558">
        <f t="shared" si="25"/>
        <v>4.8923872845958449E-3</v>
      </c>
      <c r="AX152" s="553">
        <f>J152*(1+AV152)/AO152-1</f>
        <v>-4.8780487804879202E-3</v>
      </c>
      <c r="AY152" s="552" t="e">
        <f>POWER(1+AX152,1/AG152)-1</f>
        <v>#DIV/0!</v>
      </c>
      <c r="AZ152" s="642">
        <f t="shared" si="26"/>
        <v>10.199999999999999</v>
      </c>
      <c r="BA152" s="644" t="s">
        <v>574</v>
      </c>
      <c r="BB152" s="570"/>
      <c r="BC152" s="637"/>
      <c r="BD152" s="3708"/>
      <c r="BE152" s="3743"/>
      <c r="BF152" s="3743"/>
      <c r="BG152" s="3708"/>
      <c r="BH152" s="3762"/>
      <c r="BI152" s="3762"/>
      <c r="BJ152" s="39"/>
      <c r="BK152" s="39"/>
      <c r="BL152" s="39"/>
      <c r="BM152" s="39"/>
      <c r="BN152" s="39"/>
      <c r="BO152" s="39"/>
      <c r="BP152" s="39"/>
      <c r="BQ152" s="39"/>
      <c r="BR152" s="39"/>
      <c r="BS152" s="507"/>
      <c r="BT152" s="507"/>
      <c r="BU152" s="507"/>
      <c r="BV152" s="507"/>
      <c r="BW152" s="507"/>
      <c r="BX152" s="507"/>
      <c r="BY152" s="507"/>
      <c r="BZ152" s="507"/>
      <c r="CA152" s="507"/>
      <c r="CB152" s="507"/>
      <c r="CC152" s="507"/>
      <c r="CD152" s="507"/>
      <c r="CE152" s="507"/>
      <c r="CF152" s="507"/>
      <c r="CG152" s="507"/>
      <c r="CH152" s="507"/>
      <c r="CI152" s="507"/>
      <c r="CJ152" s="507"/>
      <c r="CK152" s="507"/>
      <c r="CL152" s="507"/>
      <c r="CM152" s="507"/>
      <c r="CN152" s="507"/>
      <c r="CO152" s="507"/>
      <c r="CP152" s="507"/>
      <c r="CQ152" s="507"/>
      <c r="CR152" s="507"/>
      <c r="CS152" s="507"/>
      <c r="CT152" s="507"/>
      <c r="CU152" s="507"/>
      <c r="CV152" s="507"/>
      <c r="CW152" s="507"/>
      <c r="CX152" s="507"/>
      <c r="CY152" s="507"/>
      <c r="CZ152" s="507"/>
      <c r="DA152" s="507"/>
      <c r="DB152" s="507"/>
      <c r="DC152" s="507"/>
      <c r="DD152" s="507"/>
      <c r="DE152" s="507"/>
      <c r="DF152" s="507"/>
      <c r="DG152" s="507"/>
      <c r="DH152" s="507"/>
      <c r="DI152" s="507"/>
      <c r="DJ152" s="507"/>
      <c r="DK152" s="507"/>
      <c r="DL152" s="507"/>
      <c r="DM152" s="507"/>
      <c r="DN152" s="507"/>
      <c r="DO152" s="507"/>
      <c r="DP152" s="507"/>
      <c r="DQ152" s="507"/>
      <c r="DR152" s="507"/>
      <c r="DS152" s="507"/>
      <c r="DT152" s="507"/>
      <c r="DU152" s="507"/>
      <c r="DV152" s="507"/>
      <c r="DW152" s="507"/>
      <c r="DX152" s="507"/>
      <c r="DY152" s="507"/>
      <c r="DZ152" s="507"/>
      <c r="EA152" s="507"/>
      <c r="EB152" s="507"/>
      <c r="EC152" s="507"/>
      <c r="ED152" s="507"/>
      <c r="EE152" s="507"/>
      <c r="EF152" s="507"/>
      <c r="EG152" s="507"/>
      <c r="EH152" s="507"/>
      <c r="EI152" s="507"/>
      <c r="EJ152" s="507"/>
      <c r="EK152" s="507"/>
      <c r="EL152" s="507"/>
      <c r="EM152" s="507"/>
      <c r="EN152" s="507"/>
      <c r="EO152" s="507"/>
      <c r="EP152" s="507"/>
      <c r="EQ152" s="507"/>
      <c r="ER152" s="507"/>
      <c r="ES152" s="507"/>
      <c r="ET152" s="507"/>
      <c r="EU152" s="507"/>
      <c r="EV152" s="507"/>
      <c r="EW152" s="507"/>
      <c r="EX152" s="507"/>
      <c r="EY152" s="507"/>
      <c r="EZ152" s="507"/>
      <c r="FA152" s="507"/>
      <c r="FB152" s="507"/>
      <c r="FC152" s="507"/>
      <c r="FD152" s="507"/>
      <c r="FE152" s="507"/>
      <c r="FF152" s="507"/>
      <c r="FG152" s="507"/>
      <c r="FH152" s="507"/>
      <c r="FI152" s="507"/>
      <c r="FJ152" s="507"/>
      <c r="FK152" s="507"/>
      <c r="FL152" s="507"/>
      <c r="FM152" s="507"/>
      <c r="FN152" s="507"/>
      <c r="FO152" s="507"/>
      <c r="FP152" s="507"/>
      <c r="FQ152" s="507"/>
      <c r="FR152" s="507"/>
      <c r="FS152" s="507"/>
      <c r="FT152" s="507"/>
      <c r="FU152" s="507"/>
      <c r="FV152" s="507"/>
      <c r="FW152" s="507"/>
      <c r="FX152" s="507"/>
      <c r="FY152" s="507"/>
      <c r="FZ152" s="507"/>
      <c r="GA152" s="507"/>
      <c r="GB152" s="507"/>
      <c r="GC152" s="507"/>
      <c r="GD152" s="507"/>
      <c r="GE152" s="507"/>
      <c r="GF152" s="507"/>
      <c r="GG152" s="507"/>
      <c r="GH152" s="507"/>
      <c r="GI152" s="507"/>
      <c r="GJ152" s="507"/>
      <c r="GK152" s="507"/>
      <c r="GL152" s="507"/>
      <c r="GM152" s="507"/>
      <c r="GN152" s="507"/>
      <c r="GO152" s="507"/>
      <c r="GP152" s="507"/>
      <c r="GQ152" s="507"/>
      <c r="GR152" s="507"/>
      <c r="GS152" s="507"/>
      <c r="GT152" s="507"/>
      <c r="GU152" s="507"/>
      <c r="GV152" s="507"/>
      <c r="GW152" s="507"/>
      <c r="GX152" s="507"/>
      <c r="GY152" s="507"/>
      <c r="GZ152" s="507"/>
      <c r="HA152" s="507"/>
      <c r="HB152" s="507"/>
      <c r="HC152" s="507"/>
      <c r="HD152" s="507"/>
      <c r="HE152" s="507"/>
      <c r="HF152" s="507"/>
      <c r="HG152" s="507"/>
      <c r="HH152" s="507"/>
      <c r="HI152" s="507"/>
      <c r="HJ152" s="507"/>
      <c r="HK152" s="507"/>
      <c r="HL152" s="507"/>
      <c r="HM152" s="507"/>
      <c r="HN152" s="507"/>
      <c r="HO152" s="507"/>
      <c r="HP152" s="507"/>
      <c r="HQ152" s="507"/>
      <c r="HR152" s="507"/>
      <c r="HS152" s="507"/>
      <c r="HT152" s="507"/>
      <c r="HU152" s="507"/>
      <c r="HV152" s="507"/>
      <c r="HW152" s="507"/>
      <c r="HX152" s="507"/>
      <c r="HY152" s="507"/>
      <c r="HZ152" s="507"/>
    </row>
    <row r="153" spans="1:234" s="232" customFormat="1" ht="15.9" hidden="1" customHeight="1" x14ac:dyDescent="0.25">
      <c r="A153" s="522" t="s">
        <v>687</v>
      </c>
      <c r="B153" s="535" t="s">
        <v>1195</v>
      </c>
      <c r="C153" s="527" t="s">
        <v>4091</v>
      </c>
      <c r="D153" s="570" t="s">
        <v>4384</v>
      </c>
      <c r="E153" s="569" t="s">
        <v>3228</v>
      </c>
      <c r="F153" s="543">
        <v>39241</v>
      </c>
      <c r="G153" s="544">
        <v>39209</v>
      </c>
      <c r="H153" s="557">
        <v>39234</v>
      </c>
      <c r="I153" s="546">
        <v>41089</v>
      </c>
      <c r="J153" s="547">
        <v>10</v>
      </c>
      <c r="K153" s="553" t="s">
        <v>3229</v>
      </c>
      <c r="L153" s="552" t="s">
        <v>3229</v>
      </c>
      <c r="M153" s="549" t="s">
        <v>3229</v>
      </c>
      <c r="N153" s="606">
        <v>0.95</v>
      </c>
      <c r="O153" s="551" t="s">
        <v>3229</v>
      </c>
      <c r="P153" s="576" t="s">
        <v>3229</v>
      </c>
      <c r="Q153" s="570" t="s">
        <v>3229</v>
      </c>
      <c r="R153" s="570" t="s">
        <v>3229</v>
      </c>
      <c r="S153" s="577">
        <v>12</v>
      </c>
      <c r="T153" s="555" t="s">
        <v>3229</v>
      </c>
      <c r="U153" s="555" t="s">
        <v>3229</v>
      </c>
      <c r="V153" s="555" t="s">
        <v>3229</v>
      </c>
      <c r="W153" s="555" t="s">
        <v>3229</v>
      </c>
      <c r="X153" s="555" t="s">
        <v>3229</v>
      </c>
      <c r="Y153" s="553" t="s">
        <v>3229</v>
      </c>
      <c r="Z153" s="553" t="s">
        <v>3229</v>
      </c>
      <c r="AA153" s="553" t="s">
        <v>3229</v>
      </c>
      <c r="AB153" s="553" t="s">
        <v>3229</v>
      </c>
      <c r="AC153" s="553" t="s">
        <v>3229</v>
      </c>
      <c r="AD153" s="553" t="s">
        <v>3229</v>
      </c>
      <c r="AE153" s="553" t="s">
        <v>3229</v>
      </c>
      <c r="AF153" s="3764" t="s">
        <v>781</v>
      </c>
      <c r="AG153" s="3765"/>
      <c r="AH153" s="553">
        <v>1</v>
      </c>
      <c r="AI153" s="553" t="s">
        <v>3229</v>
      </c>
      <c r="AJ153" s="553" t="s">
        <v>3229</v>
      </c>
      <c r="AK153" s="566" t="s">
        <v>3229</v>
      </c>
      <c r="AL153" s="553" t="s">
        <v>3229</v>
      </c>
      <c r="AM153" s="659" t="s">
        <v>3229</v>
      </c>
      <c r="AN153" s="606">
        <v>0.1134</v>
      </c>
      <c r="AO153" s="660">
        <v>11.1</v>
      </c>
      <c r="AP153" s="1368">
        <v>-0.42786381334515422</v>
      </c>
      <c r="AQ153" s="675">
        <v>0.11343552492676665</v>
      </c>
      <c r="AR153" s="632" t="s">
        <v>3660</v>
      </c>
      <c r="AS153" s="558"/>
      <c r="AT153" s="598"/>
      <c r="AU153" s="552"/>
      <c r="AV153" s="558">
        <v>0.1134</v>
      </c>
      <c r="AW153" s="558">
        <f t="shared" si="25"/>
        <v>2.1442961668654226E-2</v>
      </c>
      <c r="AX153" s="553" t="s">
        <v>3229</v>
      </c>
      <c r="AY153" s="552" t="s">
        <v>3229</v>
      </c>
      <c r="AZ153" s="642">
        <f t="shared" si="26"/>
        <v>11.134</v>
      </c>
      <c r="BA153" s="644" t="s">
        <v>3511</v>
      </c>
      <c r="BB153" s="570"/>
      <c r="BC153" s="637"/>
      <c r="BD153" s="3708"/>
      <c r="BE153" s="3743"/>
      <c r="BF153" s="3743"/>
      <c r="BG153" s="3708"/>
      <c r="BH153" s="3762"/>
      <c r="BI153" s="3762"/>
      <c r="BJ153" s="39"/>
      <c r="BK153" s="39"/>
      <c r="BL153" s="39"/>
      <c r="BM153" s="39"/>
      <c r="BN153" s="39"/>
      <c r="BO153" s="39"/>
      <c r="BP153" s="39"/>
      <c r="BQ153" s="39"/>
      <c r="BR153" s="39"/>
      <c r="BS153" s="507"/>
      <c r="BT153" s="507"/>
      <c r="BU153" s="507"/>
      <c r="BV153" s="507"/>
      <c r="BW153" s="507"/>
      <c r="BX153" s="507"/>
      <c r="BY153" s="507"/>
      <c r="BZ153" s="507"/>
      <c r="CA153" s="507"/>
      <c r="CB153" s="507"/>
      <c r="CC153" s="507"/>
      <c r="CD153" s="507"/>
      <c r="CE153" s="507"/>
      <c r="CF153" s="507"/>
      <c r="CG153" s="507"/>
      <c r="CH153" s="507"/>
      <c r="CI153" s="507"/>
      <c r="CJ153" s="507"/>
      <c r="CK153" s="507"/>
      <c r="CL153" s="507"/>
      <c r="CM153" s="507"/>
      <c r="CN153" s="507"/>
      <c r="CO153" s="507"/>
      <c r="CP153" s="507"/>
      <c r="CQ153" s="507"/>
      <c r="CR153" s="507"/>
      <c r="CS153" s="507"/>
      <c r="CT153" s="507"/>
      <c r="CU153" s="507"/>
      <c r="CV153" s="507"/>
      <c r="CW153" s="507"/>
      <c r="CX153" s="507"/>
      <c r="CY153" s="507"/>
      <c r="CZ153" s="507"/>
      <c r="DA153" s="507"/>
      <c r="DB153" s="507"/>
      <c r="DC153" s="507"/>
      <c r="DD153" s="507"/>
      <c r="DE153" s="507"/>
      <c r="DF153" s="507"/>
      <c r="DG153" s="507"/>
      <c r="DH153" s="507"/>
      <c r="DI153" s="507"/>
      <c r="DJ153" s="507"/>
      <c r="DK153" s="507"/>
      <c r="DL153" s="507"/>
      <c r="DM153" s="507"/>
      <c r="DN153" s="507"/>
      <c r="DO153" s="507"/>
      <c r="DP153" s="507"/>
      <c r="DQ153" s="507"/>
      <c r="DR153" s="507"/>
      <c r="DS153" s="507"/>
      <c r="DT153" s="507"/>
      <c r="DU153" s="507"/>
      <c r="DV153" s="507"/>
      <c r="DW153" s="507"/>
      <c r="DX153" s="507"/>
      <c r="DY153" s="507"/>
      <c r="DZ153" s="507"/>
      <c r="EA153" s="507"/>
      <c r="EB153" s="507"/>
      <c r="EC153" s="507"/>
      <c r="ED153" s="507"/>
      <c r="EE153" s="507"/>
      <c r="EF153" s="507"/>
      <c r="EG153" s="507"/>
      <c r="EH153" s="507"/>
      <c r="EI153" s="507"/>
      <c r="EJ153" s="507"/>
      <c r="EK153" s="507"/>
      <c r="EL153" s="507"/>
      <c r="EM153" s="507"/>
      <c r="EN153" s="507"/>
      <c r="EO153" s="507"/>
      <c r="EP153" s="507"/>
      <c r="EQ153" s="507"/>
      <c r="ER153" s="507"/>
      <c r="ES153" s="507"/>
      <c r="ET153" s="507"/>
      <c r="EU153" s="507"/>
      <c r="EV153" s="507"/>
      <c r="EW153" s="507"/>
      <c r="EX153" s="507"/>
      <c r="EY153" s="507"/>
      <c r="EZ153" s="507"/>
      <c r="FA153" s="507"/>
      <c r="FB153" s="507"/>
      <c r="FC153" s="507"/>
      <c r="FD153" s="507"/>
      <c r="FE153" s="507"/>
      <c r="FF153" s="507"/>
      <c r="FG153" s="507"/>
      <c r="FH153" s="507"/>
      <c r="FI153" s="507"/>
      <c r="FJ153" s="507"/>
      <c r="FK153" s="507"/>
      <c r="FL153" s="507"/>
      <c r="FM153" s="507"/>
      <c r="FN153" s="507"/>
      <c r="FO153" s="507"/>
      <c r="FP153" s="507"/>
      <c r="FQ153" s="507"/>
      <c r="FR153" s="507"/>
      <c r="FS153" s="507"/>
      <c r="FT153" s="507"/>
      <c r="FU153" s="507"/>
      <c r="FV153" s="507"/>
      <c r="FW153" s="507"/>
      <c r="FX153" s="507"/>
      <c r="FY153" s="507"/>
      <c r="FZ153" s="507"/>
      <c r="GA153" s="507"/>
      <c r="GB153" s="507"/>
      <c r="GC153" s="507"/>
      <c r="GD153" s="507"/>
      <c r="GE153" s="507"/>
      <c r="GF153" s="507"/>
      <c r="GG153" s="507"/>
      <c r="GH153" s="507"/>
      <c r="GI153" s="507"/>
      <c r="GJ153" s="507"/>
      <c r="GK153" s="507"/>
      <c r="GL153" s="507"/>
      <c r="GM153" s="507"/>
      <c r="GN153" s="507"/>
      <c r="GO153" s="507"/>
      <c r="GP153" s="507"/>
      <c r="GQ153" s="507"/>
      <c r="GR153" s="507"/>
      <c r="GS153" s="507"/>
      <c r="GT153" s="507"/>
      <c r="GU153" s="507"/>
      <c r="GV153" s="507"/>
      <c r="GW153" s="507"/>
      <c r="GX153" s="507"/>
      <c r="GY153" s="507"/>
      <c r="GZ153" s="507"/>
      <c r="HA153" s="507"/>
      <c r="HB153" s="507"/>
      <c r="HC153" s="507"/>
      <c r="HD153" s="507"/>
      <c r="HE153" s="507"/>
      <c r="HF153" s="507"/>
      <c r="HG153" s="507"/>
      <c r="HH153" s="507"/>
      <c r="HI153" s="507"/>
      <c r="HJ153" s="507"/>
      <c r="HK153" s="507"/>
      <c r="HL153" s="507"/>
      <c r="HM153" s="507"/>
      <c r="HN153" s="507"/>
      <c r="HO153" s="507"/>
      <c r="HP153" s="507"/>
      <c r="HQ153" s="507"/>
      <c r="HR153" s="507"/>
      <c r="HS153" s="507"/>
      <c r="HT153" s="507"/>
      <c r="HU153" s="507"/>
      <c r="HV153" s="507"/>
      <c r="HW153" s="507"/>
      <c r="HX153" s="507"/>
      <c r="HY153" s="507"/>
      <c r="HZ153" s="507"/>
    </row>
    <row r="154" spans="1:234" ht="15.9" hidden="1" customHeight="1" x14ac:dyDescent="0.25">
      <c r="A154" s="522" t="s">
        <v>691</v>
      </c>
      <c r="B154" s="535" t="s">
        <v>1196</v>
      </c>
      <c r="C154" s="527" t="s">
        <v>4080</v>
      </c>
      <c r="D154" s="570" t="s">
        <v>4384</v>
      </c>
      <c r="E154" s="569" t="s">
        <v>3228</v>
      </c>
      <c r="F154" s="543">
        <v>39262</v>
      </c>
      <c r="G154" s="544">
        <v>39230</v>
      </c>
      <c r="H154" s="557">
        <v>39255</v>
      </c>
      <c r="I154" s="546">
        <v>41121</v>
      </c>
      <c r="J154" s="547">
        <v>10</v>
      </c>
      <c r="K154" s="553" t="s">
        <v>3229</v>
      </c>
      <c r="L154" s="552" t="s">
        <v>3229</v>
      </c>
      <c r="M154" s="549">
        <v>-0.05</v>
      </c>
      <c r="N154" s="606">
        <v>1.05</v>
      </c>
      <c r="O154" s="551" t="s">
        <v>3229</v>
      </c>
      <c r="P154" s="576">
        <v>0.95</v>
      </c>
      <c r="Q154" s="570" t="s">
        <v>3229</v>
      </c>
      <c r="R154" s="570" t="s">
        <v>3229</v>
      </c>
      <c r="S154" s="577"/>
      <c r="T154" s="555" t="s">
        <v>3229</v>
      </c>
      <c r="U154" s="555" t="s">
        <v>3229</v>
      </c>
      <c r="V154" s="555" t="s">
        <v>3229</v>
      </c>
      <c r="W154" s="555" t="s">
        <v>3229</v>
      </c>
      <c r="X154" s="555" t="s">
        <v>3229</v>
      </c>
      <c r="Y154" s="553" t="s">
        <v>3229</v>
      </c>
      <c r="Z154" s="553" t="s">
        <v>3229</v>
      </c>
      <c r="AA154" s="553" t="s">
        <v>3229</v>
      </c>
      <c r="AB154" s="553" t="s">
        <v>3229</v>
      </c>
      <c r="AC154" s="553" t="s">
        <v>3229</v>
      </c>
      <c r="AD154" s="553" t="s">
        <v>3229</v>
      </c>
      <c r="AE154" s="553" t="s">
        <v>3229</v>
      </c>
      <c r="AF154" s="3764" t="s">
        <v>781</v>
      </c>
      <c r="AG154" s="3765"/>
      <c r="AH154" s="553" t="s">
        <v>3229</v>
      </c>
      <c r="AI154" s="553" t="s">
        <v>3229</v>
      </c>
      <c r="AJ154" s="553" t="s">
        <v>3229</v>
      </c>
      <c r="AK154" s="566" t="s">
        <v>3229</v>
      </c>
      <c r="AL154" s="553" t="s">
        <v>3229</v>
      </c>
      <c r="AM154" s="659">
        <v>1</v>
      </c>
      <c r="AN154" s="606">
        <v>-0.05</v>
      </c>
      <c r="AO154" s="660">
        <v>9.4700000000000006</v>
      </c>
      <c r="AP154" s="1368">
        <v>-0.33257216666666672</v>
      </c>
      <c r="AQ154" s="675">
        <v>-0.3441172327221606</v>
      </c>
      <c r="AR154" s="632" t="s">
        <v>3660</v>
      </c>
      <c r="AS154" s="558"/>
      <c r="AT154" s="598"/>
      <c r="AU154" s="552"/>
      <c r="AV154" s="558">
        <f t="shared" si="27"/>
        <v>-0.05</v>
      </c>
      <c r="AW154" s="558">
        <f t="shared" si="25"/>
        <v>-1.0020491083683969E-2</v>
      </c>
      <c r="AX154" s="553">
        <f>J154*(1+AV154)/AO154-1</f>
        <v>3.1678986272438703E-3</v>
      </c>
      <c r="AY154" s="552" t="e">
        <f>POWER(1+AX154,1/AG154)-1</f>
        <v>#DIV/0!</v>
      </c>
      <c r="AZ154" s="642">
        <f t="shared" si="26"/>
        <v>9.5</v>
      </c>
      <c r="BA154" s="644" t="s">
        <v>3190</v>
      </c>
      <c r="BB154" s="570"/>
      <c r="BC154" s="637"/>
      <c r="BD154" s="3708"/>
      <c r="BH154" s="3763"/>
      <c r="BI154" s="3763"/>
      <c r="BJ154" s="1639"/>
      <c r="BK154" s="1639"/>
      <c r="BL154" s="1639"/>
      <c r="BM154" s="1639"/>
      <c r="BN154" s="1639"/>
      <c r="BO154" s="1639"/>
      <c r="BP154" s="1639"/>
      <c r="BQ154" s="1639"/>
      <c r="BR154" s="1639"/>
      <c r="BS154" s="509"/>
      <c r="BT154" s="509"/>
      <c r="BU154" s="509"/>
      <c r="BV154" s="509"/>
      <c r="BW154" s="509"/>
      <c r="BX154" s="509"/>
      <c r="BY154" s="509"/>
      <c r="BZ154" s="509"/>
      <c r="CA154" s="509"/>
      <c r="CB154" s="509"/>
      <c r="CC154" s="509"/>
      <c r="CD154" s="509"/>
      <c r="CE154" s="509"/>
      <c r="CF154" s="509"/>
      <c r="CG154" s="509"/>
      <c r="CH154" s="509"/>
      <c r="CI154" s="509"/>
      <c r="CJ154" s="509"/>
      <c r="CK154" s="509"/>
      <c r="CL154" s="509"/>
      <c r="CM154" s="509"/>
      <c r="CN154" s="509"/>
      <c r="CO154" s="509"/>
      <c r="CP154" s="509"/>
      <c r="CQ154" s="509"/>
      <c r="CR154" s="509"/>
      <c r="CS154" s="509"/>
      <c r="CT154" s="509"/>
      <c r="CU154" s="509"/>
      <c r="CV154" s="509"/>
      <c r="CW154" s="509"/>
      <c r="CX154" s="509"/>
      <c r="CY154" s="509"/>
      <c r="CZ154" s="509"/>
      <c r="DA154" s="509"/>
      <c r="DB154" s="509"/>
      <c r="DC154" s="509"/>
      <c r="DD154" s="509"/>
      <c r="DE154" s="509"/>
      <c r="DF154" s="509"/>
      <c r="DG154" s="509"/>
      <c r="DH154" s="509"/>
      <c r="DI154" s="509"/>
      <c r="DJ154" s="509"/>
      <c r="DK154" s="509"/>
      <c r="DL154" s="509"/>
      <c r="DM154" s="509"/>
      <c r="DN154" s="509"/>
      <c r="DO154" s="509"/>
      <c r="DP154" s="509"/>
      <c r="DQ154" s="509"/>
      <c r="DR154" s="509"/>
      <c r="DS154" s="509"/>
      <c r="DT154" s="509"/>
      <c r="DU154" s="509"/>
      <c r="DV154" s="509"/>
      <c r="DW154" s="509"/>
      <c r="DX154" s="509"/>
      <c r="DY154" s="509"/>
      <c r="DZ154" s="509"/>
      <c r="EA154" s="509"/>
      <c r="EB154" s="509"/>
      <c r="EC154" s="509"/>
      <c r="ED154" s="509"/>
      <c r="EE154" s="509"/>
      <c r="EF154" s="509"/>
      <c r="EG154" s="509"/>
      <c r="EH154" s="509"/>
      <c r="EI154" s="509"/>
      <c r="EJ154" s="509"/>
      <c r="EK154" s="509"/>
      <c r="EL154" s="509"/>
      <c r="EM154" s="509"/>
      <c r="EN154" s="509"/>
      <c r="EO154" s="509"/>
      <c r="EP154" s="509"/>
      <c r="EQ154" s="509"/>
      <c r="ER154" s="509"/>
      <c r="ES154" s="509"/>
      <c r="ET154" s="509"/>
      <c r="EU154" s="509"/>
      <c r="EV154" s="509"/>
      <c r="EW154" s="509"/>
      <c r="EX154" s="509"/>
      <c r="EY154" s="509"/>
      <c r="EZ154" s="509"/>
      <c r="FA154" s="509"/>
      <c r="FB154" s="509"/>
      <c r="FC154" s="509"/>
      <c r="FD154" s="509"/>
      <c r="FE154" s="509"/>
      <c r="FF154" s="509"/>
      <c r="FG154" s="509"/>
      <c r="FH154" s="509"/>
      <c r="FI154" s="509"/>
      <c r="FJ154" s="509"/>
      <c r="FK154" s="509"/>
      <c r="FL154" s="509"/>
      <c r="FM154" s="509"/>
      <c r="FN154" s="509"/>
      <c r="FO154" s="509"/>
      <c r="FP154" s="509"/>
      <c r="FQ154" s="509"/>
      <c r="FR154" s="509"/>
      <c r="FS154" s="509"/>
      <c r="FT154" s="509"/>
      <c r="FU154" s="509"/>
      <c r="FV154" s="509"/>
      <c r="FW154" s="509"/>
      <c r="FX154" s="509"/>
      <c r="FY154" s="509"/>
      <c r="FZ154" s="509"/>
      <c r="GA154" s="509"/>
      <c r="GB154" s="509"/>
      <c r="GC154" s="509"/>
      <c r="GD154" s="509"/>
      <c r="GE154" s="509"/>
      <c r="GF154" s="509"/>
      <c r="GG154" s="509"/>
      <c r="GH154" s="509"/>
      <c r="GI154" s="509"/>
      <c r="GJ154" s="509"/>
      <c r="GK154" s="509"/>
      <c r="GL154" s="509"/>
      <c r="GM154" s="509"/>
      <c r="GN154" s="509"/>
      <c r="GO154" s="509"/>
      <c r="GP154" s="509"/>
      <c r="GQ154" s="509"/>
      <c r="GR154" s="509"/>
      <c r="GS154" s="509"/>
      <c r="GT154" s="509"/>
      <c r="GU154" s="509"/>
      <c r="GV154" s="509"/>
      <c r="GW154" s="509"/>
      <c r="GX154" s="509"/>
      <c r="GY154" s="509"/>
      <c r="GZ154" s="509"/>
      <c r="HA154" s="509"/>
      <c r="HB154" s="509"/>
      <c r="HC154" s="509"/>
      <c r="HD154" s="509"/>
      <c r="HE154" s="509"/>
      <c r="HF154" s="509"/>
      <c r="HG154" s="509"/>
      <c r="HH154" s="509"/>
      <c r="HI154" s="509"/>
      <c r="HJ154" s="509"/>
      <c r="HK154" s="509"/>
      <c r="HL154" s="509"/>
      <c r="HM154" s="509"/>
      <c r="HN154" s="509"/>
      <c r="HO154" s="509"/>
      <c r="HP154" s="509"/>
      <c r="HQ154" s="509"/>
      <c r="HR154" s="509"/>
      <c r="HS154" s="509"/>
      <c r="HT154" s="509"/>
      <c r="HU154" s="509"/>
      <c r="HV154" s="509"/>
      <c r="HW154" s="509"/>
      <c r="HX154" s="509"/>
      <c r="HY154" s="509"/>
      <c r="HZ154" s="509"/>
    </row>
    <row r="155" spans="1:234" ht="15.9" hidden="1" customHeight="1" x14ac:dyDescent="0.25">
      <c r="A155" s="522" t="s">
        <v>690</v>
      </c>
      <c r="B155" s="535" t="s">
        <v>3912</v>
      </c>
      <c r="C155" s="527" t="s">
        <v>4081</v>
      </c>
      <c r="D155" s="570" t="s">
        <v>877</v>
      </c>
      <c r="E155" s="569" t="s">
        <v>3228</v>
      </c>
      <c r="F155" s="543">
        <v>39280</v>
      </c>
      <c r="G155" s="544">
        <v>39234</v>
      </c>
      <c r="H155" s="557">
        <v>39272</v>
      </c>
      <c r="I155" s="546">
        <v>41137</v>
      </c>
      <c r="J155" s="547">
        <v>10</v>
      </c>
      <c r="K155" s="553" t="s">
        <v>3229</v>
      </c>
      <c r="L155" s="552" t="s">
        <v>3229</v>
      </c>
      <c r="M155" s="549">
        <v>0</v>
      </c>
      <c r="N155" s="606">
        <v>1.1000000000000001</v>
      </c>
      <c r="O155" s="551" t="s">
        <v>3229</v>
      </c>
      <c r="P155" s="576" t="s">
        <v>3229</v>
      </c>
      <c r="Q155" s="570" t="s">
        <v>3229</v>
      </c>
      <c r="R155" s="570" t="s">
        <v>3229</v>
      </c>
      <c r="S155" s="577"/>
      <c r="T155" s="555" t="s">
        <v>3229</v>
      </c>
      <c r="U155" s="555" t="s">
        <v>3229</v>
      </c>
      <c r="V155" s="555" t="s">
        <v>3229</v>
      </c>
      <c r="W155" s="555" t="s">
        <v>3229</v>
      </c>
      <c r="X155" s="555" t="s">
        <v>3229</v>
      </c>
      <c r="Y155" s="553" t="s">
        <v>3229</v>
      </c>
      <c r="Z155" s="553" t="s">
        <v>3229</v>
      </c>
      <c r="AA155" s="553" t="s">
        <v>3229</v>
      </c>
      <c r="AB155" s="553" t="s">
        <v>3229</v>
      </c>
      <c r="AC155" s="553" t="s">
        <v>3229</v>
      </c>
      <c r="AD155" s="553" t="s">
        <v>3229</v>
      </c>
      <c r="AE155" s="553" t="s">
        <v>3229</v>
      </c>
      <c r="AF155" s="3764" t="s">
        <v>781</v>
      </c>
      <c r="AG155" s="3765"/>
      <c r="AH155" s="553" t="s">
        <v>3229</v>
      </c>
      <c r="AI155" s="553" t="s">
        <v>3229</v>
      </c>
      <c r="AJ155" s="553" t="s">
        <v>3229</v>
      </c>
      <c r="AK155" s="566" t="s">
        <v>3229</v>
      </c>
      <c r="AL155" s="553" t="s">
        <v>3229</v>
      </c>
      <c r="AM155" s="659">
        <v>1</v>
      </c>
      <c r="AN155" s="606">
        <v>0</v>
      </c>
      <c r="AO155" s="660">
        <v>10</v>
      </c>
      <c r="AP155" s="1368">
        <v>-6.9097049999999993E-2</v>
      </c>
      <c r="AQ155" s="675">
        <v>5.8881135999976367E-2</v>
      </c>
      <c r="AR155" s="632" t="s">
        <v>3660</v>
      </c>
      <c r="AS155" s="558"/>
      <c r="AT155" s="598"/>
      <c r="AU155" s="552"/>
      <c r="AV155" s="558">
        <f t="shared" si="27"/>
        <v>0</v>
      </c>
      <c r="AW155" s="558">
        <f t="shared" si="25"/>
        <v>0</v>
      </c>
      <c r="AX155" s="553">
        <f>J155*(1+AV155)/AO155-1</f>
        <v>0</v>
      </c>
      <c r="AY155" s="552" t="e">
        <f>POWER(1+AX155,1/AG155)-1</f>
        <v>#DIV/0!</v>
      </c>
      <c r="AZ155" s="642">
        <f t="shared" si="26"/>
        <v>10</v>
      </c>
      <c r="BA155" s="644" t="s">
        <v>4427</v>
      </c>
      <c r="BB155" s="570"/>
      <c r="BC155" s="637"/>
      <c r="BD155" s="3708"/>
      <c r="BH155" s="3763"/>
      <c r="BI155" s="3763"/>
      <c r="BJ155" s="1639"/>
      <c r="BK155" s="1639"/>
      <c r="BL155" s="1639"/>
      <c r="BM155" s="1639"/>
      <c r="BN155" s="1639"/>
      <c r="BO155" s="1639"/>
      <c r="BP155" s="1639"/>
      <c r="BQ155" s="1639"/>
      <c r="BR155" s="1639"/>
      <c r="BS155" s="509"/>
      <c r="BT155" s="509"/>
      <c r="BU155" s="509"/>
      <c r="BV155" s="509"/>
      <c r="BW155" s="509"/>
      <c r="BX155" s="509"/>
      <c r="BY155" s="509"/>
      <c r="BZ155" s="509"/>
      <c r="CA155" s="509"/>
      <c r="CB155" s="509"/>
      <c r="CC155" s="509"/>
      <c r="CD155" s="509"/>
      <c r="CE155" s="509"/>
      <c r="CF155" s="509"/>
      <c r="CG155" s="509"/>
      <c r="CH155" s="509"/>
      <c r="CI155" s="509"/>
      <c r="CJ155" s="509"/>
      <c r="CK155" s="509"/>
      <c r="CL155" s="509"/>
      <c r="CM155" s="509"/>
      <c r="CN155" s="509"/>
      <c r="CO155" s="509"/>
      <c r="CP155" s="509"/>
      <c r="CQ155" s="509"/>
      <c r="CR155" s="509"/>
      <c r="CS155" s="509"/>
      <c r="CT155" s="509"/>
      <c r="CU155" s="509"/>
      <c r="CV155" s="509"/>
      <c r="CW155" s="509"/>
      <c r="CX155" s="509"/>
      <c r="CY155" s="509"/>
      <c r="CZ155" s="509"/>
      <c r="DA155" s="509"/>
      <c r="DB155" s="509"/>
      <c r="DC155" s="509"/>
      <c r="DD155" s="509"/>
      <c r="DE155" s="509"/>
      <c r="DF155" s="509"/>
      <c r="DG155" s="509"/>
      <c r="DH155" s="509"/>
      <c r="DI155" s="509"/>
      <c r="DJ155" s="509"/>
      <c r="DK155" s="509"/>
      <c r="DL155" s="509"/>
      <c r="DM155" s="509"/>
      <c r="DN155" s="509"/>
      <c r="DO155" s="509"/>
      <c r="DP155" s="509"/>
      <c r="DQ155" s="509"/>
      <c r="DR155" s="509"/>
      <c r="DS155" s="509"/>
      <c r="DT155" s="509"/>
      <c r="DU155" s="509"/>
      <c r="DV155" s="509"/>
      <c r="DW155" s="509"/>
      <c r="DX155" s="509"/>
      <c r="DY155" s="509"/>
      <c r="DZ155" s="509"/>
      <c r="EA155" s="509"/>
      <c r="EB155" s="509"/>
      <c r="EC155" s="509"/>
      <c r="ED155" s="509"/>
      <c r="EE155" s="509"/>
      <c r="EF155" s="509"/>
      <c r="EG155" s="509"/>
      <c r="EH155" s="509"/>
      <c r="EI155" s="509"/>
      <c r="EJ155" s="509"/>
      <c r="EK155" s="509"/>
      <c r="EL155" s="509"/>
      <c r="EM155" s="509"/>
      <c r="EN155" s="509"/>
      <c r="EO155" s="509"/>
      <c r="EP155" s="509"/>
      <c r="EQ155" s="509"/>
      <c r="ER155" s="509"/>
      <c r="ES155" s="509"/>
      <c r="ET155" s="509"/>
      <c r="EU155" s="509"/>
      <c r="EV155" s="509"/>
      <c r="EW155" s="509"/>
      <c r="EX155" s="509"/>
      <c r="EY155" s="509"/>
      <c r="EZ155" s="509"/>
      <c r="FA155" s="509"/>
      <c r="FB155" s="509"/>
      <c r="FC155" s="509"/>
      <c r="FD155" s="509"/>
      <c r="FE155" s="509"/>
      <c r="FF155" s="509"/>
      <c r="FG155" s="509"/>
      <c r="FH155" s="509"/>
      <c r="FI155" s="509"/>
      <c r="FJ155" s="509"/>
      <c r="FK155" s="509"/>
      <c r="FL155" s="509"/>
      <c r="FM155" s="509"/>
      <c r="FN155" s="509"/>
      <c r="FO155" s="509"/>
      <c r="FP155" s="509"/>
      <c r="FQ155" s="509"/>
      <c r="FR155" s="509"/>
      <c r="FS155" s="509"/>
      <c r="FT155" s="509"/>
      <c r="FU155" s="509"/>
      <c r="FV155" s="509"/>
      <c r="FW155" s="509"/>
      <c r="FX155" s="509"/>
      <c r="FY155" s="509"/>
      <c r="FZ155" s="509"/>
      <c r="GA155" s="509"/>
      <c r="GB155" s="509"/>
      <c r="GC155" s="509"/>
      <c r="GD155" s="509"/>
      <c r="GE155" s="509"/>
      <c r="GF155" s="509"/>
      <c r="GG155" s="509"/>
      <c r="GH155" s="509"/>
      <c r="GI155" s="509"/>
      <c r="GJ155" s="509"/>
      <c r="GK155" s="509"/>
      <c r="GL155" s="509"/>
      <c r="GM155" s="509"/>
      <c r="GN155" s="509"/>
      <c r="GO155" s="509"/>
      <c r="GP155" s="509"/>
      <c r="GQ155" s="509"/>
      <c r="GR155" s="509"/>
      <c r="GS155" s="509"/>
      <c r="GT155" s="509"/>
      <c r="GU155" s="509"/>
      <c r="GV155" s="509"/>
      <c r="GW155" s="509"/>
      <c r="GX155" s="509"/>
      <c r="GY155" s="509"/>
      <c r="GZ155" s="509"/>
      <c r="HA155" s="509"/>
      <c r="HB155" s="509"/>
      <c r="HC155" s="509"/>
      <c r="HD155" s="509"/>
      <c r="HE155" s="509"/>
      <c r="HF155" s="509"/>
      <c r="HG155" s="509"/>
      <c r="HH155" s="509"/>
      <c r="HI155" s="509"/>
      <c r="HJ155" s="509"/>
      <c r="HK155" s="509"/>
      <c r="HL155" s="509"/>
      <c r="HM155" s="509"/>
      <c r="HN155" s="509"/>
      <c r="HO155" s="509"/>
      <c r="HP155" s="509"/>
      <c r="HQ155" s="509"/>
      <c r="HR155" s="509"/>
      <c r="HS155" s="509"/>
      <c r="HT155" s="509"/>
      <c r="HU155" s="509"/>
      <c r="HV155" s="509"/>
      <c r="HW155" s="509"/>
      <c r="HX155" s="509"/>
      <c r="HY155" s="509"/>
      <c r="HZ155" s="509"/>
    </row>
    <row r="156" spans="1:234" ht="15.9" hidden="1" customHeight="1" x14ac:dyDescent="0.25">
      <c r="A156" s="522" t="s">
        <v>689</v>
      </c>
      <c r="B156" s="523" t="s">
        <v>1197</v>
      </c>
      <c r="C156" s="527" t="s">
        <v>878</v>
      </c>
      <c r="D156" s="570" t="s">
        <v>189</v>
      </c>
      <c r="E156" s="569" t="s">
        <v>3228</v>
      </c>
      <c r="F156" s="543">
        <v>39273</v>
      </c>
      <c r="G156" s="544">
        <v>39234</v>
      </c>
      <c r="H156" s="557">
        <v>39262</v>
      </c>
      <c r="I156" s="546">
        <v>40207</v>
      </c>
      <c r="J156" s="547">
        <v>10</v>
      </c>
      <c r="K156" s="553">
        <v>-0.04</v>
      </c>
      <c r="L156" s="552">
        <v>0</v>
      </c>
      <c r="M156" s="549">
        <v>0</v>
      </c>
      <c r="N156" s="606" t="s">
        <v>3229</v>
      </c>
      <c r="O156" s="551" t="s">
        <v>3229</v>
      </c>
      <c r="P156" s="576">
        <v>0.5</v>
      </c>
      <c r="Q156" s="570" t="s">
        <v>3229</v>
      </c>
      <c r="R156" s="570" t="s">
        <v>3229</v>
      </c>
      <c r="S156" s="577"/>
      <c r="T156" s="3779" t="s">
        <v>250</v>
      </c>
      <c r="U156" s="3780"/>
      <c r="V156" s="3780"/>
      <c r="W156" s="3780"/>
      <c r="X156" s="3780"/>
      <c r="Y156" s="3780"/>
      <c r="Z156" s="3780"/>
      <c r="AA156" s="3780"/>
      <c r="AB156" s="3780"/>
      <c r="AC156" s="3780"/>
      <c r="AD156" s="3780"/>
      <c r="AE156" s="3781"/>
      <c r="AF156" s="3764" t="s">
        <v>781</v>
      </c>
      <c r="AG156" s="3765"/>
      <c r="AH156" s="553">
        <v>1</v>
      </c>
      <c r="AI156" s="553" t="s">
        <v>3229</v>
      </c>
      <c r="AJ156" s="553" t="s">
        <v>3229</v>
      </c>
      <c r="AK156" s="566" t="s">
        <v>3229</v>
      </c>
      <c r="AL156" s="553" t="s">
        <v>3229</v>
      </c>
      <c r="AM156" s="659" t="s">
        <v>3229</v>
      </c>
      <c r="AN156" s="606">
        <v>0</v>
      </c>
      <c r="AO156" s="660">
        <v>10</v>
      </c>
      <c r="AP156" s="1368" t="s">
        <v>3229</v>
      </c>
      <c r="AQ156" s="675" t="s">
        <v>3229</v>
      </c>
      <c r="AR156" s="632" t="s">
        <v>3660</v>
      </c>
      <c r="AS156" s="558"/>
      <c r="AT156" s="598"/>
      <c r="AU156" s="552"/>
      <c r="AV156" s="558">
        <f t="shared" si="27"/>
        <v>0</v>
      </c>
      <c r="AW156" s="558">
        <f t="shared" si="25"/>
        <v>0</v>
      </c>
      <c r="AX156" s="553" t="s">
        <v>3229</v>
      </c>
      <c r="AY156" s="552" t="s">
        <v>3229</v>
      </c>
      <c r="AZ156" s="642">
        <f t="shared" si="26"/>
        <v>10</v>
      </c>
      <c r="BA156" s="644" t="s">
        <v>3192</v>
      </c>
      <c r="BB156" s="570"/>
      <c r="BC156" s="637"/>
      <c r="BD156" s="3708"/>
      <c r="BH156" s="3763"/>
      <c r="BI156" s="3763"/>
      <c r="BJ156" s="1639"/>
      <c r="BK156" s="1639"/>
      <c r="BL156" s="1639"/>
      <c r="BM156" s="1639"/>
      <c r="BN156" s="1639"/>
      <c r="BO156" s="1639"/>
      <c r="BP156" s="1639"/>
      <c r="BQ156" s="1639"/>
      <c r="BR156" s="1639"/>
      <c r="BS156" s="509"/>
      <c r="BT156" s="509"/>
      <c r="BU156" s="509"/>
      <c r="BV156" s="509"/>
      <c r="BW156" s="509"/>
      <c r="BX156" s="509"/>
      <c r="BY156" s="509"/>
      <c r="BZ156" s="509"/>
      <c r="CA156" s="509"/>
      <c r="CB156" s="509"/>
      <c r="CC156" s="509"/>
      <c r="CD156" s="509"/>
      <c r="CE156" s="509"/>
      <c r="CF156" s="509"/>
      <c r="CG156" s="509"/>
      <c r="CH156" s="509"/>
      <c r="CI156" s="509"/>
      <c r="CJ156" s="509"/>
      <c r="CK156" s="509"/>
      <c r="CL156" s="509"/>
      <c r="CM156" s="509"/>
      <c r="CN156" s="509"/>
      <c r="CO156" s="509"/>
      <c r="CP156" s="509"/>
      <c r="CQ156" s="509"/>
      <c r="CR156" s="509"/>
      <c r="CS156" s="509"/>
      <c r="CT156" s="509"/>
      <c r="CU156" s="509"/>
      <c r="CV156" s="509"/>
      <c r="CW156" s="509"/>
      <c r="CX156" s="509"/>
      <c r="CY156" s="509"/>
      <c r="CZ156" s="509"/>
      <c r="DA156" s="509"/>
      <c r="DB156" s="509"/>
      <c r="DC156" s="509"/>
      <c r="DD156" s="509"/>
      <c r="DE156" s="509"/>
      <c r="DF156" s="509"/>
      <c r="DG156" s="509"/>
      <c r="DH156" s="509"/>
      <c r="DI156" s="509"/>
      <c r="DJ156" s="509"/>
      <c r="DK156" s="509"/>
      <c r="DL156" s="509"/>
      <c r="DM156" s="509"/>
      <c r="DN156" s="509"/>
      <c r="DO156" s="509"/>
      <c r="DP156" s="509"/>
      <c r="DQ156" s="509"/>
      <c r="DR156" s="509"/>
      <c r="DS156" s="509"/>
      <c r="DT156" s="509"/>
      <c r="DU156" s="509"/>
      <c r="DV156" s="509"/>
      <c r="DW156" s="509"/>
      <c r="DX156" s="509"/>
      <c r="DY156" s="509"/>
      <c r="DZ156" s="509"/>
      <c r="EA156" s="509"/>
      <c r="EB156" s="509"/>
      <c r="EC156" s="509"/>
      <c r="ED156" s="509"/>
      <c r="EE156" s="509"/>
      <c r="EF156" s="509"/>
      <c r="EG156" s="509"/>
      <c r="EH156" s="509"/>
      <c r="EI156" s="509"/>
      <c r="EJ156" s="509"/>
      <c r="EK156" s="509"/>
      <c r="EL156" s="509"/>
      <c r="EM156" s="509"/>
      <c r="EN156" s="509"/>
      <c r="EO156" s="509"/>
      <c r="EP156" s="509"/>
      <c r="EQ156" s="509"/>
      <c r="ER156" s="509"/>
      <c r="ES156" s="509"/>
      <c r="ET156" s="509"/>
      <c r="EU156" s="509"/>
      <c r="EV156" s="509"/>
      <c r="EW156" s="509"/>
      <c r="EX156" s="509"/>
      <c r="EY156" s="509"/>
      <c r="EZ156" s="509"/>
      <c r="FA156" s="509"/>
      <c r="FB156" s="509"/>
      <c r="FC156" s="509"/>
      <c r="FD156" s="509"/>
      <c r="FE156" s="509"/>
      <c r="FF156" s="509"/>
      <c r="FG156" s="509"/>
      <c r="FH156" s="509"/>
      <c r="FI156" s="509"/>
      <c r="FJ156" s="509"/>
      <c r="FK156" s="509"/>
      <c r="FL156" s="509"/>
      <c r="FM156" s="509"/>
      <c r="FN156" s="509"/>
      <c r="FO156" s="509"/>
      <c r="FP156" s="509"/>
      <c r="FQ156" s="509"/>
      <c r="FR156" s="509"/>
      <c r="FS156" s="509"/>
      <c r="FT156" s="509"/>
      <c r="FU156" s="509"/>
      <c r="FV156" s="509"/>
      <c r="FW156" s="509"/>
      <c r="FX156" s="509"/>
      <c r="FY156" s="509"/>
      <c r="FZ156" s="509"/>
      <c r="GA156" s="509"/>
      <c r="GB156" s="509"/>
      <c r="GC156" s="509"/>
      <c r="GD156" s="509"/>
      <c r="GE156" s="509"/>
      <c r="GF156" s="509"/>
      <c r="GG156" s="509"/>
      <c r="GH156" s="509"/>
      <c r="GI156" s="509"/>
      <c r="GJ156" s="509"/>
      <c r="GK156" s="509"/>
      <c r="GL156" s="509"/>
      <c r="GM156" s="509"/>
      <c r="GN156" s="509"/>
      <c r="GO156" s="509"/>
      <c r="GP156" s="509"/>
      <c r="GQ156" s="509"/>
      <c r="GR156" s="509"/>
      <c r="GS156" s="509"/>
      <c r="GT156" s="509"/>
      <c r="GU156" s="509"/>
      <c r="GV156" s="509"/>
      <c r="GW156" s="509"/>
      <c r="GX156" s="509"/>
      <c r="GY156" s="509"/>
      <c r="GZ156" s="509"/>
      <c r="HA156" s="509"/>
      <c r="HB156" s="509"/>
      <c r="HC156" s="509"/>
      <c r="HD156" s="509"/>
      <c r="HE156" s="509"/>
      <c r="HF156" s="509"/>
      <c r="HG156" s="509"/>
      <c r="HH156" s="509"/>
      <c r="HI156" s="509"/>
      <c r="HJ156" s="509"/>
      <c r="HK156" s="509"/>
      <c r="HL156" s="509"/>
      <c r="HM156" s="509"/>
      <c r="HN156" s="509"/>
      <c r="HO156" s="509"/>
      <c r="HP156" s="509"/>
      <c r="HQ156" s="509"/>
      <c r="HR156" s="509"/>
      <c r="HS156" s="509"/>
      <c r="HT156" s="509"/>
      <c r="HU156" s="509"/>
      <c r="HV156" s="509"/>
      <c r="HW156" s="509"/>
      <c r="HX156" s="509"/>
      <c r="HY156" s="509"/>
      <c r="HZ156" s="509"/>
    </row>
    <row r="157" spans="1:234" s="298" customFormat="1" ht="15.9" hidden="1" customHeight="1" x14ac:dyDescent="0.25">
      <c r="A157" s="522" t="s">
        <v>2515</v>
      </c>
      <c r="B157" s="539" t="s">
        <v>3375</v>
      </c>
      <c r="C157" s="527" t="s">
        <v>2904</v>
      </c>
      <c r="D157" s="570" t="s">
        <v>189</v>
      </c>
      <c r="E157" s="569" t="s">
        <v>3228</v>
      </c>
      <c r="F157" s="543">
        <v>39301</v>
      </c>
      <c r="G157" s="544">
        <v>39265</v>
      </c>
      <c r="H157" s="557">
        <v>39294</v>
      </c>
      <c r="I157" s="546">
        <v>39871</v>
      </c>
      <c r="J157" s="547">
        <v>10</v>
      </c>
      <c r="K157" s="553" t="s">
        <v>3229</v>
      </c>
      <c r="L157" s="552" t="s">
        <v>3229</v>
      </c>
      <c r="M157" s="549">
        <v>0</v>
      </c>
      <c r="N157" s="606" t="s">
        <v>3229</v>
      </c>
      <c r="O157" s="551" t="s">
        <v>3229</v>
      </c>
      <c r="P157" s="576">
        <v>0.55000000000000004</v>
      </c>
      <c r="Q157" s="570" t="s">
        <v>3229</v>
      </c>
      <c r="R157" s="570" t="s">
        <v>3229</v>
      </c>
      <c r="S157" s="577"/>
      <c r="T157" s="555" t="s">
        <v>3229</v>
      </c>
      <c r="U157" s="555" t="s">
        <v>3229</v>
      </c>
      <c r="V157" s="555" t="s">
        <v>3229</v>
      </c>
      <c r="W157" s="555" t="s">
        <v>3229</v>
      </c>
      <c r="X157" s="555" t="s">
        <v>3229</v>
      </c>
      <c r="Y157" s="553" t="s">
        <v>3229</v>
      </c>
      <c r="Z157" s="553" t="s">
        <v>3229</v>
      </c>
      <c r="AA157" s="553" t="s">
        <v>3229</v>
      </c>
      <c r="AB157" s="553" t="s">
        <v>3229</v>
      </c>
      <c r="AC157" s="553" t="s">
        <v>3229</v>
      </c>
      <c r="AD157" s="553" t="s">
        <v>3229</v>
      </c>
      <c r="AE157" s="553" t="s">
        <v>3229</v>
      </c>
      <c r="AF157" s="3764" t="s">
        <v>781</v>
      </c>
      <c r="AG157" s="3765"/>
      <c r="AH157" s="553" t="s">
        <v>3229</v>
      </c>
      <c r="AI157" s="553" t="s">
        <v>3229</v>
      </c>
      <c r="AJ157" s="553" t="s">
        <v>3229</v>
      </c>
      <c r="AK157" s="566" t="s">
        <v>3229</v>
      </c>
      <c r="AL157" s="553" t="s">
        <v>3229</v>
      </c>
      <c r="AM157" s="659">
        <v>1</v>
      </c>
      <c r="AN157" s="606" t="s">
        <v>3229</v>
      </c>
      <c r="AO157" s="660">
        <v>10.61</v>
      </c>
      <c r="AP157" s="1368" t="s">
        <v>3229</v>
      </c>
      <c r="AQ157" s="675" t="s">
        <v>3229</v>
      </c>
      <c r="AR157" s="632">
        <f>AO157/10-1</f>
        <v>6.0999999999999943E-2</v>
      </c>
      <c r="AS157" s="558">
        <f>POWER(1+AR157,1/((I157-F157)/365))-1</f>
        <v>3.8644363528597792E-2</v>
      </c>
      <c r="AT157" s="598" t="s">
        <v>3229</v>
      </c>
      <c r="AU157" s="552" t="s">
        <v>3229</v>
      </c>
      <c r="AV157" s="558">
        <f>AO157/10-1</f>
        <v>6.0999999999999943E-2</v>
      </c>
      <c r="AW157" s="558">
        <f t="shared" si="25"/>
        <v>3.8644363528597792E-2</v>
      </c>
      <c r="AX157" s="553" t="s">
        <v>3229</v>
      </c>
      <c r="AY157" s="552" t="s">
        <v>3229</v>
      </c>
      <c r="AZ157" s="642">
        <f t="shared" si="26"/>
        <v>10.61</v>
      </c>
      <c r="BA157" s="644" t="s">
        <v>3112</v>
      </c>
      <c r="BB157" s="568"/>
      <c r="BC157" s="637"/>
      <c r="BD157" s="3708"/>
      <c r="BE157" s="3743"/>
      <c r="BF157" s="3743"/>
      <c r="BG157" s="3708"/>
      <c r="BH157" s="3762"/>
      <c r="BI157" s="3762"/>
      <c r="BJ157" s="39"/>
      <c r="BK157" s="39"/>
      <c r="BL157" s="39"/>
      <c r="BM157" s="39"/>
      <c r="BN157" s="39"/>
      <c r="BO157" s="39"/>
      <c r="BP157" s="39"/>
      <c r="BQ157" s="39"/>
      <c r="BR157" s="39"/>
      <c r="BS157" s="507"/>
      <c r="BT157" s="507"/>
      <c r="BU157" s="507"/>
      <c r="BV157" s="507"/>
      <c r="BW157" s="507"/>
      <c r="BX157" s="507"/>
      <c r="BY157" s="507"/>
      <c r="BZ157" s="507"/>
      <c r="CA157" s="507"/>
      <c r="CB157" s="507"/>
      <c r="CC157" s="507"/>
      <c r="CD157" s="507"/>
      <c r="CE157" s="507"/>
      <c r="CF157" s="507"/>
      <c r="CG157" s="507"/>
      <c r="CH157" s="507"/>
      <c r="CI157" s="507"/>
      <c r="CJ157" s="507"/>
      <c r="CK157" s="507"/>
      <c r="CL157" s="507"/>
      <c r="CM157" s="507"/>
      <c r="CN157" s="507"/>
      <c r="CO157" s="507"/>
      <c r="CP157" s="507"/>
      <c r="CQ157" s="507"/>
      <c r="CR157" s="507"/>
      <c r="CS157" s="507"/>
      <c r="CT157" s="507"/>
      <c r="CU157" s="507"/>
      <c r="CV157" s="507"/>
      <c r="CW157" s="507"/>
      <c r="CX157" s="507"/>
      <c r="CY157" s="507"/>
      <c r="CZ157" s="507"/>
      <c r="DA157" s="507"/>
      <c r="DB157" s="507"/>
      <c r="DC157" s="507"/>
      <c r="DD157" s="507"/>
      <c r="DE157" s="507"/>
      <c r="DF157" s="507"/>
      <c r="DG157" s="507"/>
      <c r="DH157" s="507"/>
      <c r="DI157" s="507"/>
      <c r="DJ157" s="507"/>
      <c r="DK157" s="507"/>
      <c r="DL157" s="507"/>
      <c r="DM157" s="507"/>
      <c r="DN157" s="507"/>
      <c r="DO157" s="507"/>
      <c r="DP157" s="507"/>
      <c r="DQ157" s="507"/>
      <c r="DR157" s="507"/>
      <c r="DS157" s="507"/>
      <c r="DT157" s="507"/>
      <c r="DU157" s="507"/>
      <c r="DV157" s="507"/>
      <c r="DW157" s="507"/>
      <c r="DX157" s="507"/>
      <c r="DY157" s="507"/>
      <c r="DZ157" s="507"/>
      <c r="EA157" s="507"/>
      <c r="EB157" s="507"/>
      <c r="EC157" s="507"/>
      <c r="ED157" s="507"/>
      <c r="EE157" s="507"/>
      <c r="EF157" s="507"/>
      <c r="EG157" s="507"/>
      <c r="EH157" s="507"/>
      <c r="EI157" s="507"/>
      <c r="EJ157" s="507"/>
      <c r="EK157" s="507"/>
      <c r="EL157" s="507"/>
      <c r="EM157" s="507"/>
      <c r="EN157" s="507"/>
      <c r="EO157" s="507"/>
      <c r="EP157" s="507"/>
      <c r="EQ157" s="507"/>
      <c r="ER157" s="507"/>
      <c r="ES157" s="507"/>
      <c r="ET157" s="507"/>
      <c r="EU157" s="507"/>
      <c r="EV157" s="507"/>
      <c r="EW157" s="507"/>
      <c r="EX157" s="507"/>
      <c r="EY157" s="507"/>
      <c r="EZ157" s="507"/>
      <c r="FA157" s="507"/>
      <c r="FB157" s="507"/>
      <c r="FC157" s="507"/>
      <c r="FD157" s="507"/>
      <c r="FE157" s="507"/>
      <c r="FF157" s="507"/>
      <c r="FG157" s="507"/>
      <c r="FH157" s="507"/>
      <c r="FI157" s="507"/>
      <c r="FJ157" s="507"/>
      <c r="FK157" s="507"/>
      <c r="FL157" s="507"/>
      <c r="FM157" s="507"/>
      <c r="FN157" s="507"/>
      <c r="FO157" s="507"/>
      <c r="FP157" s="507"/>
      <c r="FQ157" s="507"/>
      <c r="FR157" s="507"/>
      <c r="FS157" s="507"/>
      <c r="FT157" s="507"/>
      <c r="FU157" s="507"/>
      <c r="FV157" s="507"/>
      <c r="FW157" s="507"/>
      <c r="FX157" s="507"/>
      <c r="FY157" s="507"/>
      <c r="FZ157" s="507"/>
      <c r="GA157" s="507"/>
      <c r="GB157" s="507"/>
      <c r="GC157" s="507"/>
      <c r="GD157" s="507"/>
      <c r="GE157" s="507"/>
      <c r="GF157" s="507"/>
      <c r="GG157" s="507"/>
      <c r="GH157" s="507"/>
      <c r="GI157" s="507"/>
      <c r="GJ157" s="507"/>
      <c r="GK157" s="507"/>
      <c r="GL157" s="507"/>
      <c r="GM157" s="507"/>
      <c r="GN157" s="507"/>
      <c r="GO157" s="507"/>
      <c r="GP157" s="507"/>
      <c r="GQ157" s="507"/>
      <c r="GR157" s="507"/>
      <c r="GS157" s="507"/>
      <c r="GT157" s="507"/>
      <c r="GU157" s="507"/>
      <c r="GV157" s="507"/>
      <c r="GW157" s="507"/>
      <c r="GX157" s="507"/>
      <c r="GY157" s="507"/>
      <c r="GZ157" s="507"/>
      <c r="HA157" s="507"/>
      <c r="HB157" s="507"/>
      <c r="HC157" s="507"/>
      <c r="HD157" s="507"/>
      <c r="HE157" s="507"/>
      <c r="HF157" s="507"/>
      <c r="HG157" s="507"/>
      <c r="HH157" s="507"/>
      <c r="HI157" s="507"/>
      <c r="HJ157" s="507"/>
      <c r="HK157" s="507"/>
      <c r="HL157" s="507"/>
      <c r="HM157" s="507"/>
      <c r="HN157" s="507"/>
      <c r="HO157" s="507"/>
      <c r="HP157" s="507"/>
      <c r="HQ157" s="507"/>
      <c r="HR157" s="507"/>
      <c r="HS157" s="507"/>
      <c r="HT157" s="507"/>
      <c r="HU157" s="507"/>
      <c r="HV157" s="507"/>
      <c r="HW157" s="507"/>
      <c r="HX157" s="507"/>
      <c r="HY157" s="507"/>
      <c r="HZ157" s="507"/>
    </row>
    <row r="158" spans="1:234" s="298" customFormat="1" ht="15.9" hidden="1" customHeight="1" x14ac:dyDescent="0.25">
      <c r="A158" s="522" t="s">
        <v>692</v>
      </c>
      <c r="B158" s="539" t="s">
        <v>3376</v>
      </c>
      <c r="C158" s="527" t="s">
        <v>2906</v>
      </c>
      <c r="D158" s="570" t="s">
        <v>2158</v>
      </c>
      <c r="E158" s="569" t="s">
        <v>3228</v>
      </c>
      <c r="F158" s="543">
        <v>39301</v>
      </c>
      <c r="G158" s="544">
        <v>39265</v>
      </c>
      <c r="H158" s="557">
        <v>39294</v>
      </c>
      <c r="I158" s="546">
        <v>40968</v>
      </c>
      <c r="J158" s="547">
        <v>10</v>
      </c>
      <c r="K158" s="553" t="s">
        <v>3229</v>
      </c>
      <c r="L158" s="552" t="s">
        <v>3229</v>
      </c>
      <c r="M158" s="549">
        <v>0</v>
      </c>
      <c r="N158" s="606">
        <v>1.1000000000000001</v>
      </c>
      <c r="O158" s="551" t="s">
        <v>3229</v>
      </c>
      <c r="P158" s="576" t="s">
        <v>3229</v>
      </c>
      <c r="Q158" s="570" t="s">
        <v>3229</v>
      </c>
      <c r="R158" s="570" t="s">
        <v>3229</v>
      </c>
      <c r="S158" s="577"/>
      <c r="T158" s="555" t="s">
        <v>3229</v>
      </c>
      <c r="U158" s="555" t="s">
        <v>3229</v>
      </c>
      <c r="V158" s="555" t="s">
        <v>3229</v>
      </c>
      <c r="W158" s="555" t="s">
        <v>3229</v>
      </c>
      <c r="X158" s="555" t="s">
        <v>3229</v>
      </c>
      <c r="Y158" s="553" t="s">
        <v>3229</v>
      </c>
      <c r="Z158" s="553" t="s">
        <v>3229</v>
      </c>
      <c r="AA158" s="553" t="s">
        <v>3229</v>
      </c>
      <c r="AB158" s="553" t="s">
        <v>3229</v>
      </c>
      <c r="AC158" s="553" t="s">
        <v>3229</v>
      </c>
      <c r="AD158" s="553" t="s">
        <v>3229</v>
      </c>
      <c r="AE158" s="553" t="s">
        <v>3229</v>
      </c>
      <c r="AF158" s="3764" t="s">
        <v>781</v>
      </c>
      <c r="AG158" s="3765"/>
      <c r="AH158" s="553" t="s">
        <v>3229</v>
      </c>
      <c r="AI158" s="553" t="s">
        <v>3229</v>
      </c>
      <c r="AJ158" s="553" t="s">
        <v>3229</v>
      </c>
      <c r="AK158" s="566" t="s">
        <v>3229</v>
      </c>
      <c r="AL158" s="553" t="s">
        <v>3229</v>
      </c>
      <c r="AM158" s="659">
        <v>1</v>
      </c>
      <c r="AN158" s="606">
        <v>0</v>
      </c>
      <c r="AO158" s="660">
        <v>9.83</v>
      </c>
      <c r="AP158" s="1368">
        <v>-0.13755477015019102</v>
      </c>
      <c r="AQ158" s="675">
        <v>-0.19134445829809099</v>
      </c>
      <c r="AR158" s="632" t="s">
        <v>3660</v>
      </c>
      <c r="AS158" s="558"/>
      <c r="AT158" s="598"/>
      <c r="AU158" s="552"/>
      <c r="AV158" s="558">
        <f t="shared" si="27"/>
        <v>0</v>
      </c>
      <c r="AW158" s="558">
        <f t="shared" si="25"/>
        <v>0</v>
      </c>
      <c r="AX158" s="553"/>
      <c r="AY158" s="552"/>
      <c r="AZ158" s="642">
        <f t="shared" si="26"/>
        <v>10</v>
      </c>
      <c r="BA158" s="644" t="s">
        <v>574</v>
      </c>
      <c r="BB158" s="568"/>
      <c r="BC158" s="637"/>
      <c r="BD158" s="3708"/>
      <c r="BE158" s="3743"/>
      <c r="BF158" s="3743"/>
      <c r="BG158" s="3708"/>
      <c r="BH158" s="3762"/>
      <c r="BI158" s="3762"/>
      <c r="BJ158" s="39"/>
      <c r="BK158" s="39"/>
      <c r="BL158" s="39"/>
      <c r="BM158" s="39"/>
      <c r="BN158" s="39"/>
      <c r="BO158" s="39"/>
      <c r="BP158" s="39"/>
      <c r="BQ158" s="39"/>
      <c r="BR158" s="39"/>
      <c r="BS158" s="507"/>
      <c r="BT158" s="507"/>
      <c r="BU158" s="507"/>
      <c r="BV158" s="507"/>
      <c r="BW158" s="507"/>
      <c r="BX158" s="507"/>
      <c r="BY158" s="507"/>
      <c r="BZ158" s="507"/>
      <c r="CA158" s="507"/>
      <c r="CB158" s="507"/>
      <c r="CC158" s="507"/>
      <c r="CD158" s="507"/>
      <c r="CE158" s="507"/>
      <c r="CF158" s="507"/>
      <c r="CG158" s="507"/>
      <c r="CH158" s="507"/>
      <c r="CI158" s="507"/>
      <c r="CJ158" s="507"/>
      <c r="CK158" s="507"/>
      <c r="CL158" s="507"/>
      <c r="CM158" s="507"/>
      <c r="CN158" s="507"/>
      <c r="CO158" s="507"/>
      <c r="CP158" s="507"/>
      <c r="CQ158" s="507"/>
      <c r="CR158" s="507"/>
      <c r="CS158" s="507"/>
      <c r="CT158" s="507"/>
      <c r="CU158" s="507"/>
      <c r="CV158" s="507"/>
      <c r="CW158" s="507"/>
      <c r="CX158" s="507"/>
      <c r="CY158" s="507"/>
      <c r="CZ158" s="507"/>
      <c r="DA158" s="507"/>
      <c r="DB158" s="507"/>
      <c r="DC158" s="507"/>
      <c r="DD158" s="507"/>
      <c r="DE158" s="507"/>
      <c r="DF158" s="507"/>
      <c r="DG158" s="507"/>
      <c r="DH158" s="507"/>
      <c r="DI158" s="507"/>
      <c r="DJ158" s="507"/>
      <c r="DK158" s="507"/>
      <c r="DL158" s="507"/>
      <c r="DM158" s="507"/>
      <c r="DN158" s="507"/>
      <c r="DO158" s="507"/>
      <c r="DP158" s="507"/>
      <c r="DQ158" s="507"/>
      <c r="DR158" s="507"/>
      <c r="DS158" s="507"/>
      <c r="DT158" s="507"/>
      <c r="DU158" s="507"/>
      <c r="DV158" s="507"/>
      <c r="DW158" s="507"/>
      <c r="DX158" s="507"/>
      <c r="DY158" s="507"/>
      <c r="DZ158" s="507"/>
      <c r="EA158" s="507"/>
      <c r="EB158" s="507"/>
      <c r="EC158" s="507"/>
      <c r="ED158" s="507"/>
      <c r="EE158" s="507"/>
      <c r="EF158" s="507"/>
      <c r="EG158" s="507"/>
      <c r="EH158" s="507"/>
      <c r="EI158" s="507"/>
      <c r="EJ158" s="507"/>
      <c r="EK158" s="507"/>
      <c r="EL158" s="507"/>
      <c r="EM158" s="507"/>
      <c r="EN158" s="507"/>
      <c r="EO158" s="507"/>
      <c r="EP158" s="507"/>
      <c r="EQ158" s="507"/>
      <c r="ER158" s="507"/>
      <c r="ES158" s="507"/>
      <c r="ET158" s="507"/>
      <c r="EU158" s="507"/>
      <c r="EV158" s="507"/>
      <c r="EW158" s="507"/>
      <c r="EX158" s="507"/>
      <c r="EY158" s="507"/>
      <c r="EZ158" s="507"/>
      <c r="FA158" s="507"/>
      <c r="FB158" s="507"/>
      <c r="FC158" s="507"/>
      <c r="FD158" s="507"/>
      <c r="FE158" s="507"/>
      <c r="FF158" s="507"/>
      <c r="FG158" s="507"/>
      <c r="FH158" s="507"/>
      <c r="FI158" s="507"/>
      <c r="FJ158" s="507"/>
      <c r="FK158" s="507"/>
      <c r="FL158" s="507"/>
      <c r="FM158" s="507"/>
      <c r="FN158" s="507"/>
      <c r="FO158" s="507"/>
      <c r="FP158" s="507"/>
      <c r="FQ158" s="507"/>
      <c r="FR158" s="507"/>
      <c r="FS158" s="507"/>
      <c r="FT158" s="507"/>
      <c r="FU158" s="507"/>
      <c r="FV158" s="507"/>
      <c r="FW158" s="507"/>
      <c r="FX158" s="507"/>
      <c r="FY158" s="507"/>
      <c r="FZ158" s="507"/>
      <c r="GA158" s="507"/>
      <c r="GB158" s="507"/>
      <c r="GC158" s="507"/>
      <c r="GD158" s="507"/>
      <c r="GE158" s="507"/>
      <c r="GF158" s="507"/>
      <c r="GG158" s="507"/>
      <c r="GH158" s="507"/>
      <c r="GI158" s="507"/>
      <c r="GJ158" s="507"/>
      <c r="GK158" s="507"/>
      <c r="GL158" s="507"/>
      <c r="GM158" s="507"/>
      <c r="GN158" s="507"/>
      <c r="GO158" s="507"/>
      <c r="GP158" s="507"/>
      <c r="GQ158" s="507"/>
      <c r="GR158" s="507"/>
      <c r="GS158" s="507"/>
      <c r="GT158" s="507"/>
      <c r="GU158" s="507"/>
      <c r="GV158" s="507"/>
      <c r="GW158" s="507"/>
      <c r="GX158" s="507"/>
      <c r="GY158" s="507"/>
      <c r="GZ158" s="507"/>
      <c r="HA158" s="507"/>
      <c r="HB158" s="507"/>
      <c r="HC158" s="507"/>
      <c r="HD158" s="507"/>
      <c r="HE158" s="507"/>
      <c r="HF158" s="507"/>
      <c r="HG158" s="507"/>
      <c r="HH158" s="507"/>
      <c r="HI158" s="507"/>
      <c r="HJ158" s="507"/>
      <c r="HK158" s="507"/>
      <c r="HL158" s="507"/>
      <c r="HM158" s="507"/>
      <c r="HN158" s="507"/>
      <c r="HO158" s="507"/>
      <c r="HP158" s="507"/>
      <c r="HQ158" s="507"/>
      <c r="HR158" s="507"/>
      <c r="HS158" s="507"/>
      <c r="HT158" s="507"/>
      <c r="HU158" s="507"/>
      <c r="HV158" s="507"/>
      <c r="HW158" s="507"/>
      <c r="HX158" s="507"/>
      <c r="HY158" s="507"/>
      <c r="HZ158" s="507"/>
    </row>
    <row r="159" spans="1:234" ht="15.9" hidden="1" customHeight="1" x14ac:dyDescent="0.25">
      <c r="A159" s="522" t="s">
        <v>2516</v>
      </c>
      <c r="B159" s="535" t="s">
        <v>1198</v>
      </c>
      <c r="C159" s="527" t="s">
        <v>2902</v>
      </c>
      <c r="D159" s="570" t="s">
        <v>2158</v>
      </c>
      <c r="E159" s="569" t="s">
        <v>3228</v>
      </c>
      <c r="F159" s="543">
        <v>39301</v>
      </c>
      <c r="G159" s="544">
        <v>39265</v>
      </c>
      <c r="H159" s="557">
        <v>39294</v>
      </c>
      <c r="I159" s="546">
        <v>41152</v>
      </c>
      <c r="J159" s="547">
        <v>10</v>
      </c>
      <c r="K159" s="553" t="s">
        <v>3229</v>
      </c>
      <c r="L159" s="552" t="s">
        <v>3229</v>
      </c>
      <c r="M159" s="549">
        <v>0</v>
      </c>
      <c r="N159" s="606">
        <v>1.1000000000000001</v>
      </c>
      <c r="O159" s="551" t="s">
        <v>3229</v>
      </c>
      <c r="P159" s="576" t="s">
        <v>3229</v>
      </c>
      <c r="Q159" s="570" t="s">
        <v>3229</v>
      </c>
      <c r="R159" s="570" t="s">
        <v>3229</v>
      </c>
      <c r="S159" s="577"/>
      <c r="T159" s="555" t="s">
        <v>3229</v>
      </c>
      <c r="U159" s="555" t="s">
        <v>3229</v>
      </c>
      <c r="V159" s="555" t="s">
        <v>3229</v>
      </c>
      <c r="W159" s="555" t="s">
        <v>3229</v>
      </c>
      <c r="X159" s="555" t="s">
        <v>3229</v>
      </c>
      <c r="Y159" s="553" t="s">
        <v>3229</v>
      </c>
      <c r="Z159" s="553" t="s">
        <v>3229</v>
      </c>
      <c r="AA159" s="553" t="s">
        <v>3229</v>
      </c>
      <c r="AB159" s="553" t="s">
        <v>3229</v>
      </c>
      <c r="AC159" s="553" t="s">
        <v>3229</v>
      </c>
      <c r="AD159" s="553" t="s">
        <v>3229</v>
      </c>
      <c r="AE159" s="553" t="s">
        <v>3229</v>
      </c>
      <c r="AF159" s="3764" t="s">
        <v>781</v>
      </c>
      <c r="AG159" s="3765"/>
      <c r="AH159" s="553" t="s">
        <v>3229</v>
      </c>
      <c r="AI159" s="553" t="s">
        <v>3229</v>
      </c>
      <c r="AJ159" s="553" t="s">
        <v>3229</v>
      </c>
      <c r="AK159" s="566" t="s">
        <v>3229</v>
      </c>
      <c r="AL159" s="553" t="s">
        <v>3229</v>
      </c>
      <c r="AM159" s="659">
        <v>1</v>
      </c>
      <c r="AN159" s="606">
        <v>0</v>
      </c>
      <c r="AO159" s="660">
        <v>10</v>
      </c>
      <c r="AP159" s="1368">
        <v>-2.7734300000000007E-2</v>
      </c>
      <c r="AQ159" s="675">
        <v>0.13547774272005331</v>
      </c>
      <c r="AR159" s="632" t="s">
        <v>3660</v>
      </c>
      <c r="AS159" s="558"/>
      <c r="AT159" s="598"/>
      <c r="AU159" s="552"/>
      <c r="AV159" s="558">
        <f t="shared" si="27"/>
        <v>0</v>
      </c>
      <c r="AW159" s="558">
        <f t="shared" si="25"/>
        <v>0</v>
      </c>
      <c r="AX159" s="553">
        <f>J159*(1+AV159)/AO159-1</f>
        <v>0</v>
      </c>
      <c r="AY159" s="552" t="e">
        <f>POWER(1+AX159,1/AG159)-1</f>
        <v>#DIV/0!</v>
      </c>
      <c r="AZ159" s="642">
        <f t="shared" si="26"/>
        <v>10</v>
      </c>
      <c r="BA159" s="644" t="s">
        <v>2333</v>
      </c>
      <c r="BB159" s="570"/>
      <c r="BC159" s="637"/>
      <c r="BD159" s="3708"/>
      <c r="BH159" s="3763"/>
      <c r="BI159" s="3763"/>
      <c r="BJ159" s="1639"/>
      <c r="BK159" s="1639"/>
      <c r="BL159" s="1639"/>
      <c r="BM159" s="1639"/>
      <c r="BN159" s="1639"/>
      <c r="BO159" s="1639"/>
      <c r="BP159" s="1639"/>
      <c r="BQ159" s="1639"/>
      <c r="BR159" s="1639"/>
      <c r="BS159" s="509"/>
      <c r="BT159" s="509"/>
      <c r="BU159" s="509"/>
      <c r="BV159" s="509"/>
      <c r="BW159" s="509"/>
      <c r="BX159" s="509"/>
      <c r="BY159" s="509"/>
      <c r="BZ159" s="509"/>
      <c r="CA159" s="509"/>
      <c r="CB159" s="509"/>
      <c r="CC159" s="509"/>
      <c r="CD159" s="509"/>
      <c r="CE159" s="509"/>
      <c r="CF159" s="509"/>
      <c r="CG159" s="509"/>
      <c r="CH159" s="509"/>
      <c r="CI159" s="509"/>
      <c r="CJ159" s="509"/>
      <c r="CK159" s="509"/>
      <c r="CL159" s="509"/>
      <c r="CM159" s="509"/>
      <c r="CN159" s="509"/>
      <c r="CO159" s="509"/>
      <c r="CP159" s="509"/>
      <c r="CQ159" s="509"/>
      <c r="CR159" s="509"/>
      <c r="CS159" s="509"/>
      <c r="CT159" s="509"/>
      <c r="CU159" s="509"/>
      <c r="CV159" s="509"/>
      <c r="CW159" s="509"/>
      <c r="CX159" s="509"/>
      <c r="CY159" s="509"/>
      <c r="CZ159" s="509"/>
      <c r="DA159" s="509"/>
      <c r="DB159" s="509"/>
      <c r="DC159" s="509"/>
      <c r="DD159" s="509"/>
      <c r="DE159" s="509"/>
      <c r="DF159" s="509"/>
      <c r="DG159" s="509"/>
      <c r="DH159" s="509"/>
      <c r="DI159" s="509"/>
      <c r="DJ159" s="509"/>
      <c r="DK159" s="509"/>
      <c r="DL159" s="509"/>
      <c r="DM159" s="509"/>
      <c r="DN159" s="509"/>
      <c r="DO159" s="509"/>
      <c r="DP159" s="509"/>
      <c r="DQ159" s="509"/>
      <c r="DR159" s="509"/>
      <c r="DS159" s="509"/>
      <c r="DT159" s="509"/>
      <c r="DU159" s="509"/>
      <c r="DV159" s="509"/>
      <c r="DW159" s="509"/>
      <c r="DX159" s="509"/>
      <c r="DY159" s="509"/>
      <c r="DZ159" s="509"/>
      <c r="EA159" s="509"/>
      <c r="EB159" s="509"/>
      <c r="EC159" s="509"/>
      <c r="ED159" s="509"/>
      <c r="EE159" s="509"/>
      <c r="EF159" s="509"/>
      <c r="EG159" s="509"/>
      <c r="EH159" s="509"/>
      <c r="EI159" s="509"/>
      <c r="EJ159" s="509"/>
      <c r="EK159" s="509"/>
      <c r="EL159" s="509"/>
      <c r="EM159" s="509"/>
      <c r="EN159" s="509"/>
      <c r="EO159" s="509"/>
      <c r="EP159" s="509"/>
      <c r="EQ159" s="509"/>
      <c r="ER159" s="509"/>
      <c r="ES159" s="509"/>
      <c r="ET159" s="509"/>
      <c r="EU159" s="509"/>
      <c r="EV159" s="509"/>
      <c r="EW159" s="509"/>
      <c r="EX159" s="509"/>
      <c r="EY159" s="509"/>
      <c r="EZ159" s="509"/>
      <c r="FA159" s="509"/>
      <c r="FB159" s="509"/>
      <c r="FC159" s="509"/>
      <c r="FD159" s="509"/>
      <c r="FE159" s="509"/>
      <c r="FF159" s="509"/>
      <c r="FG159" s="509"/>
      <c r="FH159" s="509"/>
      <c r="FI159" s="509"/>
      <c r="FJ159" s="509"/>
      <c r="FK159" s="509"/>
      <c r="FL159" s="509"/>
      <c r="FM159" s="509"/>
      <c r="FN159" s="509"/>
      <c r="FO159" s="509"/>
      <c r="FP159" s="509"/>
      <c r="FQ159" s="509"/>
      <c r="FR159" s="509"/>
      <c r="FS159" s="509"/>
      <c r="FT159" s="509"/>
      <c r="FU159" s="509"/>
      <c r="FV159" s="509"/>
      <c r="FW159" s="509"/>
      <c r="FX159" s="509"/>
      <c r="FY159" s="509"/>
      <c r="FZ159" s="509"/>
      <c r="GA159" s="509"/>
      <c r="GB159" s="509"/>
      <c r="GC159" s="509"/>
      <c r="GD159" s="509"/>
      <c r="GE159" s="509"/>
      <c r="GF159" s="509"/>
      <c r="GG159" s="509"/>
      <c r="GH159" s="509"/>
      <c r="GI159" s="509"/>
      <c r="GJ159" s="509"/>
      <c r="GK159" s="509"/>
      <c r="GL159" s="509"/>
      <c r="GM159" s="509"/>
      <c r="GN159" s="509"/>
      <c r="GO159" s="509"/>
      <c r="GP159" s="509"/>
      <c r="GQ159" s="509"/>
      <c r="GR159" s="509"/>
      <c r="GS159" s="509"/>
      <c r="GT159" s="509"/>
      <c r="GU159" s="509"/>
      <c r="GV159" s="509"/>
      <c r="GW159" s="509"/>
      <c r="GX159" s="509"/>
      <c r="GY159" s="509"/>
      <c r="GZ159" s="509"/>
      <c r="HA159" s="509"/>
      <c r="HB159" s="509"/>
      <c r="HC159" s="509"/>
      <c r="HD159" s="509"/>
      <c r="HE159" s="509"/>
      <c r="HF159" s="509"/>
      <c r="HG159" s="509"/>
      <c r="HH159" s="509"/>
      <c r="HI159" s="509"/>
      <c r="HJ159" s="509"/>
      <c r="HK159" s="509"/>
      <c r="HL159" s="509"/>
      <c r="HM159" s="509"/>
      <c r="HN159" s="509"/>
      <c r="HO159" s="509"/>
      <c r="HP159" s="509"/>
      <c r="HQ159" s="509"/>
      <c r="HR159" s="509"/>
      <c r="HS159" s="509"/>
      <c r="HT159" s="509"/>
      <c r="HU159" s="509"/>
      <c r="HV159" s="509"/>
      <c r="HW159" s="509"/>
      <c r="HX159" s="509"/>
      <c r="HY159" s="509"/>
      <c r="HZ159" s="509"/>
    </row>
    <row r="160" spans="1:234" s="232" customFormat="1" ht="15.9" hidden="1" customHeight="1" x14ac:dyDescent="0.25">
      <c r="A160" s="522" t="s">
        <v>2517</v>
      </c>
      <c r="B160" s="535" t="s">
        <v>1199</v>
      </c>
      <c r="C160" s="527" t="s">
        <v>2907</v>
      </c>
      <c r="D160" s="570" t="s">
        <v>2901</v>
      </c>
      <c r="E160" s="569" t="s">
        <v>3228</v>
      </c>
      <c r="F160" s="543">
        <v>39304</v>
      </c>
      <c r="G160" s="544">
        <v>39265</v>
      </c>
      <c r="H160" s="557">
        <v>39294</v>
      </c>
      <c r="I160" s="546">
        <v>41250</v>
      </c>
      <c r="J160" s="547">
        <v>10</v>
      </c>
      <c r="K160" s="553" t="s">
        <v>3229</v>
      </c>
      <c r="L160" s="552" t="s">
        <v>3229</v>
      </c>
      <c r="M160" s="549">
        <v>0</v>
      </c>
      <c r="N160" s="606">
        <v>1.6</v>
      </c>
      <c r="O160" s="551" t="s">
        <v>3229</v>
      </c>
      <c r="P160" s="576" t="s">
        <v>3229</v>
      </c>
      <c r="Q160" s="570" t="s">
        <v>3229</v>
      </c>
      <c r="R160" s="570" t="s">
        <v>3229</v>
      </c>
      <c r="S160" s="577"/>
      <c r="T160" s="555" t="s">
        <v>3229</v>
      </c>
      <c r="U160" s="555" t="s">
        <v>3229</v>
      </c>
      <c r="V160" s="555" t="s">
        <v>3229</v>
      </c>
      <c r="W160" s="555" t="s">
        <v>3229</v>
      </c>
      <c r="X160" s="555" t="s">
        <v>3229</v>
      </c>
      <c r="Y160" s="553" t="s">
        <v>3229</v>
      </c>
      <c r="Z160" s="553" t="s">
        <v>3229</v>
      </c>
      <c r="AA160" s="553" t="s">
        <v>3229</v>
      </c>
      <c r="AB160" s="553" t="s">
        <v>3229</v>
      </c>
      <c r="AC160" s="553" t="s">
        <v>3229</v>
      </c>
      <c r="AD160" s="553" t="s">
        <v>3229</v>
      </c>
      <c r="AE160" s="553" t="s">
        <v>3229</v>
      </c>
      <c r="AF160" s="3764" t="s">
        <v>781</v>
      </c>
      <c r="AG160" s="3765"/>
      <c r="AH160" s="553" t="s">
        <v>3229</v>
      </c>
      <c r="AI160" s="553" t="s">
        <v>3229</v>
      </c>
      <c r="AJ160" s="553" t="s">
        <v>3229</v>
      </c>
      <c r="AK160" s="566" t="s">
        <v>3229</v>
      </c>
      <c r="AL160" s="553" t="s">
        <v>3229</v>
      </c>
      <c r="AM160" s="659">
        <v>1</v>
      </c>
      <c r="AN160" s="606">
        <v>0</v>
      </c>
      <c r="AO160" s="660">
        <v>10.050000000000001</v>
      </c>
      <c r="AP160" s="1368">
        <v>-0.19492738095238094</v>
      </c>
      <c r="AQ160" s="675">
        <v>-0.17010481537488201</v>
      </c>
      <c r="AR160" s="632" t="s">
        <v>3660</v>
      </c>
      <c r="AS160" s="558"/>
      <c r="AT160" s="598"/>
      <c r="AU160" s="552"/>
      <c r="AV160" s="558">
        <f t="shared" si="27"/>
        <v>0</v>
      </c>
      <c r="AW160" s="558">
        <f t="shared" si="25"/>
        <v>0</v>
      </c>
      <c r="AX160" s="553">
        <f>J160*(1+AV160)/AO160-1</f>
        <v>-4.9751243781095411E-3</v>
      </c>
      <c r="AY160" s="552" t="e">
        <f>POWER(1+AX160,1/AG160)-1</f>
        <v>#DIV/0!</v>
      </c>
      <c r="AZ160" s="642">
        <f t="shared" si="26"/>
        <v>10</v>
      </c>
      <c r="BA160" s="644" t="s">
        <v>4427</v>
      </c>
      <c r="BB160" s="570"/>
      <c r="BC160" s="637"/>
      <c r="BD160" s="3708"/>
      <c r="BE160" s="3743"/>
      <c r="BF160" s="3743"/>
      <c r="BG160" s="3708"/>
      <c r="BH160" s="3762"/>
      <c r="BI160" s="3762"/>
      <c r="BJ160" s="39"/>
      <c r="BK160" s="39"/>
      <c r="BL160" s="39"/>
      <c r="BM160" s="39"/>
      <c r="BN160" s="39"/>
      <c r="BO160" s="39"/>
      <c r="BP160" s="39"/>
      <c r="BQ160" s="39"/>
      <c r="BR160" s="39"/>
      <c r="BS160" s="507"/>
      <c r="BT160" s="507"/>
      <c r="BU160" s="507"/>
      <c r="BV160" s="507"/>
      <c r="BW160" s="507"/>
      <c r="BX160" s="507"/>
      <c r="BY160" s="507"/>
      <c r="BZ160" s="507"/>
      <c r="CA160" s="507"/>
      <c r="CB160" s="507"/>
      <c r="CC160" s="507"/>
      <c r="CD160" s="507"/>
      <c r="CE160" s="507"/>
      <c r="CF160" s="507"/>
      <c r="CG160" s="507"/>
      <c r="CH160" s="507"/>
      <c r="CI160" s="507"/>
      <c r="CJ160" s="507"/>
      <c r="CK160" s="507"/>
      <c r="CL160" s="507"/>
      <c r="CM160" s="507"/>
      <c r="CN160" s="507"/>
      <c r="CO160" s="507"/>
      <c r="CP160" s="507"/>
      <c r="CQ160" s="507"/>
      <c r="CR160" s="507"/>
      <c r="CS160" s="507"/>
      <c r="CT160" s="507"/>
      <c r="CU160" s="507"/>
      <c r="CV160" s="507"/>
      <c r="CW160" s="507"/>
      <c r="CX160" s="507"/>
      <c r="CY160" s="507"/>
      <c r="CZ160" s="507"/>
      <c r="DA160" s="507"/>
      <c r="DB160" s="507"/>
      <c r="DC160" s="507"/>
      <c r="DD160" s="507"/>
      <c r="DE160" s="507"/>
      <c r="DF160" s="507"/>
      <c r="DG160" s="507"/>
      <c r="DH160" s="507"/>
      <c r="DI160" s="507"/>
      <c r="DJ160" s="507"/>
      <c r="DK160" s="507"/>
      <c r="DL160" s="507"/>
      <c r="DM160" s="507"/>
      <c r="DN160" s="507"/>
      <c r="DO160" s="507"/>
      <c r="DP160" s="507"/>
      <c r="DQ160" s="507"/>
      <c r="DR160" s="507"/>
      <c r="DS160" s="507"/>
      <c r="DT160" s="507"/>
      <c r="DU160" s="507"/>
      <c r="DV160" s="507"/>
      <c r="DW160" s="507"/>
      <c r="DX160" s="507"/>
      <c r="DY160" s="507"/>
      <c r="DZ160" s="507"/>
      <c r="EA160" s="507"/>
      <c r="EB160" s="507"/>
      <c r="EC160" s="507"/>
      <c r="ED160" s="507"/>
      <c r="EE160" s="507"/>
      <c r="EF160" s="507"/>
      <c r="EG160" s="507"/>
      <c r="EH160" s="507"/>
      <c r="EI160" s="507"/>
      <c r="EJ160" s="507"/>
      <c r="EK160" s="507"/>
      <c r="EL160" s="507"/>
      <c r="EM160" s="507"/>
      <c r="EN160" s="507"/>
      <c r="EO160" s="507"/>
      <c r="EP160" s="507"/>
      <c r="EQ160" s="507"/>
      <c r="ER160" s="507"/>
      <c r="ES160" s="507"/>
      <c r="ET160" s="507"/>
      <c r="EU160" s="507"/>
      <c r="EV160" s="507"/>
      <c r="EW160" s="507"/>
      <c r="EX160" s="507"/>
      <c r="EY160" s="507"/>
      <c r="EZ160" s="507"/>
      <c r="FA160" s="507"/>
      <c r="FB160" s="507"/>
      <c r="FC160" s="507"/>
      <c r="FD160" s="507"/>
      <c r="FE160" s="507"/>
      <c r="FF160" s="507"/>
      <c r="FG160" s="507"/>
      <c r="FH160" s="507"/>
      <c r="FI160" s="507"/>
      <c r="FJ160" s="507"/>
      <c r="FK160" s="507"/>
      <c r="FL160" s="507"/>
      <c r="FM160" s="507"/>
      <c r="FN160" s="507"/>
      <c r="FO160" s="507"/>
      <c r="FP160" s="507"/>
      <c r="FQ160" s="507"/>
      <c r="FR160" s="507"/>
      <c r="FS160" s="507"/>
      <c r="FT160" s="507"/>
      <c r="FU160" s="507"/>
      <c r="FV160" s="507"/>
      <c r="FW160" s="507"/>
      <c r="FX160" s="507"/>
      <c r="FY160" s="507"/>
      <c r="FZ160" s="507"/>
      <c r="GA160" s="507"/>
      <c r="GB160" s="507"/>
      <c r="GC160" s="507"/>
      <c r="GD160" s="507"/>
      <c r="GE160" s="507"/>
      <c r="GF160" s="507"/>
      <c r="GG160" s="507"/>
      <c r="GH160" s="507"/>
      <c r="GI160" s="507"/>
      <c r="GJ160" s="507"/>
      <c r="GK160" s="507"/>
      <c r="GL160" s="507"/>
      <c r="GM160" s="507"/>
      <c r="GN160" s="507"/>
      <c r="GO160" s="507"/>
      <c r="GP160" s="507"/>
      <c r="GQ160" s="507"/>
      <c r="GR160" s="507"/>
      <c r="GS160" s="507"/>
      <c r="GT160" s="507"/>
      <c r="GU160" s="507"/>
      <c r="GV160" s="507"/>
      <c r="GW160" s="507"/>
      <c r="GX160" s="507"/>
      <c r="GY160" s="507"/>
      <c r="GZ160" s="507"/>
      <c r="HA160" s="507"/>
      <c r="HB160" s="507"/>
      <c r="HC160" s="507"/>
      <c r="HD160" s="507"/>
      <c r="HE160" s="507"/>
      <c r="HF160" s="507"/>
      <c r="HG160" s="507"/>
      <c r="HH160" s="507"/>
      <c r="HI160" s="507"/>
      <c r="HJ160" s="507"/>
      <c r="HK160" s="507"/>
      <c r="HL160" s="507"/>
      <c r="HM160" s="507"/>
      <c r="HN160" s="507"/>
      <c r="HO160" s="507"/>
      <c r="HP160" s="507"/>
      <c r="HQ160" s="507"/>
      <c r="HR160" s="507"/>
      <c r="HS160" s="507"/>
      <c r="HT160" s="507"/>
      <c r="HU160" s="507"/>
      <c r="HV160" s="507"/>
      <c r="HW160" s="507"/>
      <c r="HX160" s="507"/>
      <c r="HY160" s="507"/>
      <c r="HZ160" s="507"/>
    </row>
    <row r="161" spans="1:234" s="232" customFormat="1" ht="15.9" hidden="1" customHeight="1" x14ac:dyDescent="0.25">
      <c r="A161" s="522" t="s">
        <v>2634</v>
      </c>
      <c r="B161" s="535" t="s">
        <v>1200</v>
      </c>
      <c r="C161" s="527" t="s">
        <v>2698</v>
      </c>
      <c r="D161" s="570" t="s">
        <v>4384</v>
      </c>
      <c r="E161" s="569" t="s">
        <v>3228</v>
      </c>
      <c r="F161" s="543">
        <v>39311</v>
      </c>
      <c r="G161" s="544">
        <v>39265</v>
      </c>
      <c r="H161" s="557">
        <v>39304</v>
      </c>
      <c r="I161" s="546">
        <v>40786</v>
      </c>
      <c r="J161" s="547">
        <v>10</v>
      </c>
      <c r="K161" s="553" t="s">
        <v>3229</v>
      </c>
      <c r="L161" s="552" t="s">
        <v>3229</v>
      </c>
      <c r="M161" s="549">
        <v>-0.05</v>
      </c>
      <c r="N161" s="606">
        <v>0.9</v>
      </c>
      <c r="O161" s="551" t="s">
        <v>3229</v>
      </c>
      <c r="P161" s="576" t="s">
        <v>3229</v>
      </c>
      <c r="Q161" s="570" t="s">
        <v>3229</v>
      </c>
      <c r="R161" s="570" t="s">
        <v>3229</v>
      </c>
      <c r="S161" s="577"/>
      <c r="T161" s="555"/>
      <c r="U161" s="555"/>
      <c r="V161" s="555"/>
      <c r="W161" s="555"/>
      <c r="X161" s="555"/>
      <c r="Y161" s="553"/>
      <c r="Z161" s="553"/>
      <c r="AA161" s="553"/>
      <c r="AB161" s="553"/>
      <c r="AC161" s="553"/>
      <c r="AD161" s="553"/>
      <c r="AE161" s="553"/>
      <c r="AF161" s="3764" t="s">
        <v>781</v>
      </c>
      <c r="AG161" s="3765"/>
      <c r="AH161" s="553" t="s">
        <v>3229</v>
      </c>
      <c r="AI161" s="553" t="s">
        <v>3229</v>
      </c>
      <c r="AJ161" s="553" t="s">
        <v>3229</v>
      </c>
      <c r="AK161" s="566" t="s">
        <v>3229</v>
      </c>
      <c r="AL161" s="553" t="s">
        <v>3229</v>
      </c>
      <c r="AM161" s="659">
        <v>1</v>
      </c>
      <c r="AN161" s="606">
        <v>-0.05</v>
      </c>
      <c r="AO161" s="660">
        <v>9.48</v>
      </c>
      <c r="AP161" s="1368">
        <v>-8.6199999999999999E-2</v>
      </c>
      <c r="AQ161" s="675">
        <v>-8.6199999999999999E-2</v>
      </c>
      <c r="AR161" s="632" t="s">
        <v>3660</v>
      </c>
      <c r="AS161" s="558"/>
      <c r="AT161" s="598"/>
      <c r="AU161" s="552"/>
      <c r="AV161" s="558">
        <f t="shared" si="27"/>
        <v>-0.05</v>
      </c>
      <c r="AW161" s="558">
        <f t="shared" si="25"/>
        <v>-1.2612701593809783E-2</v>
      </c>
      <c r="AX161" s="553">
        <f>J161*(1+AV161)/AO161-1</f>
        <v>2.1097046413500742E-3</v>
      </c>
      <c r="AY161" s="552" t="e">
        <f>POWER(1+AX161,1/AG161)-1</f>
        <v>#DIV/0!</v>
      </c>
      <c r="AZ161" s="642">
        <f t="shared" si="26"/>
        <v>9.5</v>
      </c>
      <c r="BA161" s="644" t="s">
        <v>3344</v>
      </c>
      <c r="BB161" s="570"/>
      <c r="BC161" s="637"/>
      <c r="BD161" s="3708"/>
      <c r="BE161" s="3743"/>
      <c r="BF161" s="3743"/>
      <c r="BG161" s="3708"/>
      <c r="BH161" s="3762"/>
      <c r="BI161" s="3762"/>
      <c r="BJ161" s="39"/>
      <c r="BK161" s="39"/>
      <c r="BL161" s="39"/>
      <c r="BM161" s="39"/>
      <c r="BN161" s="39"/>
      <c r="BO161" s="39"/>
      <c r="BP161" s="39"/>
      <c r="BQ161" s="39"/>
      <c r="BR161" s="39"/>
      <c r="BS161" s="507"/>
      <c r="BT161" s="507"/>
      <c r="BU161" s="507"/>
      <c r="BV161" s="507"/>
      <c r="BW161" s="507"/>
      <c r="BX161" s="507"/>
      <c r="BY161" s="507"/>
      <c r="BZ161" s="507"/>
      <c r="CA161" s="507"/>
      <c r="CB161" s="507"/>
      <c r="CC161" s="507"/>
      <c r="CD161" s="507"/>
      <c r="CE161" s="507"/>
      <c r="CF161" s="507"/>
      <c r="CG161" s="507"/>
      <c r="CH161" s="507"/>
      <c r="CI161" s="507"/>
      <c r="CJ161" s="507"/>
      <c r="CK161" s="507"/>
      <c r="CL161" s="507"/>
      <c r="CM161" s="507"/>
      <c r="CN161" s="507"/>
      <c r="CO161" s="507"/>
      <c r="CP161" s="507"/>
      <c r="CQ161" s="507"/>
      <c r="CR161" s="507"/>
      <c r="CS161" s="507"/>
      <c r="CT161" s="507"/>
      <c r="CU161" s="507"/>
      <c r="CV161" s="507"/>
      <c r="CW161" s="507"/>
      <c r="CX161" s="507"/>
      <c r="CY161" s="507"/>
      <c r="CZ161" s="507"/>
      <c r="DA161" s="507"/>
      <c r="DB161" s="507"/>
      <c r="DC161" s="507"/>
      <c r="DD161" s="507"/>
      <c r="DE161" s="507"/>
      <c r="DF161" s="507"/>
      <c r="DG161" s="507"/>
      <c r="DH161" s="507"/>
      <c r="DI161" s="507"/>
      <c r="DJ161" s="507"/>
      <c r="DK161" s="507"/>
      <c r="DL161" s="507"/>
      <c r="DM161" s="507"/>
      <c r="DN161" s="507"/>
      <c r="DO161" s="507"/>
      <c r="DP161" s="507"/>
      <c r="DQ161" s="507"/>
      <c r="DR161" s="507"/>
      <c r="DS161" s="507"/>
      <c r="DT161" s="507"/>
      <c r="DU161" s="507"/>
      <c r="DV161" s="507"/>
      <c r="DW161" s="507"/>
      <c r="DX161" s="507"/>
      <c r="DY161" s="507"/>
      <c r="DZ161" s="507"/>
      <c r="EA161" s="507"/>
      <c r="EB161" s="507"/>
      <c r="EC161" s="507"/>
      <c r="ED161" s="507"/>
      <c r="EE161" s="507"/>
      <c r="EF161" s="507"/>
      <c r="EG161" s="507"/>
      <c r="EH161" s="507"/>
      <c r="EI161" s="507"/>
      <c r="EJ161" s="507"/>
      <c r="EK161" s="507"/>
      <c r="EL161" s="507"/>
      <c r="EM161" s="507"/>
      <c r="EN161" s="507"/>
      <c r="EO161" s="507"/>
      <c r="EP161" s="507"/>
      <c r="EQ161" s="507"/>
      <c r="ER161" s="507"/>
      <c r="ES161" s="507"/>
      <c r="ET161" s="507"/>
      <c r="EU161" s="507"/>
      <c r="EV161" s="507"/>
      <c r="EW161" s="507"/>
      <c r="EX161" s="507"/>
      <c r="EY161" s="507"/>
      <c r="EZ161" s="507"/>
      <c r="FA161" s="507"/>
      <c r="FB161" s="507"/>
      <c r="FC161" s="507"/>
      <c r="FD161" s="507"/>
      <c r="FE161" s="507"/>
      <c r="FF161" s="507"/>
      <c r="FG161" s="507"/>
      <c r="FH161" s="507"/>
      <c r="FI161" s="507"/>
      <c r="FJ161" s="507"/>
      <c r="FK161" s="507"/>
      <c r="FL161" s="507"/>
      <c r="FM161" s="507"/>
      <c r="FN161" s="507"/>
      <c r="FO161" s="507"/>
      <c r="FP161" s="507"/>
      <c r="FQ161" s="507"/>
      <c r="FR161" s="507"/>
      <c r="FS161" s="507"/>
      <c r="FT161" s="507"/>
      <c r="FU161" s="507"/>
      <c r="FV161" s="507"/>
      <c r="FW161" s="507"/>
      <c r="FX161" s="507"/>
      <c r="FY161" s="507"/>
      <c r="FZ161" s="507"/>
      <c r="GA161" s="507"/>
      <c r="GB161" s="507"/>
      <c r="GC161" s="507"/>
      <c r="GD161" s="507"/>
      <c r="GE161" s="507"/>
      <c r="GF161" s="507"/>
      <c r="GG161" s="507"/>
      <c r="GH161" s="507"/>
      <c r="GI161" s="507"/>
      <c r="GJ161" s="507"/>
      <c r="GK161" s="507"/>
      <c r="GL161" s="507"/>
      <c r="GM161" s="507"/>
      <c r="GN161" s="507"/>
      <c r="GO161" s="507"/>
      <c r="GP161" s="507"/>
      <c r="GQ161" s="507"/>
      <c r="GR161" s="507"/>
      <c r="GS161" s="507"/>
      <c r="GT161" s="507"/>
      <c r="GU161" s="507"/>
      <c r="GV161" s="507"/>
      <c r="GW161" s="507"/>
      <c r="GX161" s="507"/>
      <c r="GY161" s="507"/>
      <c r="GZ161" s="507"/>
      <c r="HA161" s="507"/>
      <c r="HB161" s="507"/>
      <c r="HC161" s="507"/>
      <c r="HD161" s="507"/>
      <c r="HE161" s="507"/>
      <c r="HF161" s="507"/>
      <c r="HG161" s="507"/>
      <c r="HH161" s="507"/>
      <c r="HI161" s="507"/>
      <c r="HJ161" s="507"/>
      <c r="HK161" s="507"/>
      <c r="HL161" s="507"/>
      <c r="HM161" s="507"/>
      <c r="HN161" s="507"/>
      <c r="HO161" s="507"/>
      <c r="HP161" s="507"/>
      <c r="HQ161" s="507"/>
      <c r="HR161" s="507"/>
      <c r="HS161" s="507"/>
      <c r="HT161" s="507"/>
      <c r="HU161" s="507"/>
      <c r="HV161" s="507"/>
      <c r="HW161" s="507"/>
      <c r="HX161" s="507"/>
      <c r="HY161" s="507"/>
      <c r="HZ161" s="507"/>
    </row>
    <row r="162" spans="1:234" s="232" customFormat="1" ht="15.9" hidden="1" customHeight="1" x14ac:dyDescent="0.25">
      <c r="A162" s="522" t="s">
        <v>2633</v>
      </c>
      <c r="B162" s="535" t="s">
        <v>1683</v>
      </c>
      <c r="C162" s="527" t="s">
        <v>2903</v>
      </c>
      <c r="D162" s="570" t="s">
        <v>4383</v>
      </c>
      <c r="E162" s="569" t="s">
        <v>3228</v>
      </c>
      <c r="F162" s="543">
        <v>39332</v>
      </c>
      <c r="G162" s="544">
        <v>39265</v>
      </c>
      <c r="H162" s="557">
        <v>39325</v>
      </c>
      <c r="I162" s="546">
        <v>40816</v>
      </c>
      <c r="J162" s="547">
        <v>10</v>
      </c>
      <c r="K162" s="553" t="s">
        <v>3229</v>
      </c>
      <c r="L162" s="552" t="s">
        <v>3229</v>
      </c>
      <c r="M162" s="549">
        <v>0.04</v>
      </c>
      <c r="N162" s="606">
        <v>1</v>
      </c>
      <c r="O162" s="551" t="s">
        <v>3229</v>
      </c>
      <c r="P162" s="576" t="s">
        <v>3229</v>
      </c>
      <c r="Q162" s="570" t="s">
        <v>3229</v>
      </c>
      <c r="R162" s="570" t="s">
        <v>3229</v>
      </c>
      <c r="S162" s="577"/>
      <c r="T162" s="555" t="s">
        <v>3229</v>
      </c>
      <c r="U162" s="555" t="s">
        <v>3229</v>
      </c>
      <c r="V162" s="555" t="s">
        <v>3229</v>
      </c>
      <c r="W162" s="555" t="s">
        <v>3229</v>
      </c>
      <c r="X162" s="555" t="s">
        <v>3229</v>
      </c>
      <c r="Y162" s="553" t="s">
        <v>3229</v>
      </c>
      <c r="Z162" s="553" t="s">
        <v>3229</v>
      </c>
      <c r="AA162" s="553" t="s">
        <v>3229</v>
      </c>
      <c r="AB162" s="553" t="s">
        <v>3229</v>
      </c>
      <c r="AC162" s="553" t="s">
        <v>3229</v>
      </c>
      <c r="AD162" s="553" t="s">
        <v>3229</v>
      </c>
      <c r="AE162" s="553" t="s">
        <v>3229</v>
      </c>
      <c r="AF162" s="3764" t="s">
        <v>781</v>
      </c>
      <c r="AG162" s="3765"/>
      <c r="AH162" s="553" t="s">
        <v>3229</v>
      </c>
      <c r="AI162" s="553" t="s">
        <v>3229</v>
      </c>
      <c r="AJ162" s="553" t="s">
        <v>3229</v>
      </c>
      <c r="AK162" s="566" t="s">
        <v>3229</v>
      </c>
      <c r="AL162" s="553" t="s">
        <v>3229</v>
      </c>
      <c r="AM162" s="659">
        <v>1</v>
      </c>
      <c r="AN162" s="606">
        <v>0.04</v>
      </c>
      <c r="AO162" s="660">
        <v>10.35</v>
      </c>
      <c r="AP162" s="1368">
        <v>-0.34845962500000005</v>
      </c>
      <c r="AQ162" s="675">
        <v>-0.44750000000000001</v>
      </c>
      <c r="AR162" s="632" t="s">
        <v>3660</v>
      </c>
      <c r="AS162" s="558"/>
      <c r="AT162" s="598"/>
      <c r="AU162" s="552"/>
      <c r="AV162" s="558">
        <f t="shared" si="27"/>
        <v>0.04</v>
      </c>
      <c r="AW162" s="558">
        <f t="shared" si="25"/>
        <v>9.6932824359856617E-3</v>
      </c>
      <c r="AX162" s="553">
        <f>J162*(1+AV162)/AO162-1</f>
        <v>4.8309178743961567E-3</v>
      </c>
      <c r="AY162" s="552" t="e">
        <f>POWER(1+AX162,1/AG162)-1</f>
        <v>#DIV/0!</v>
      </c>
      <c r="AZ162" s="642">
        <f t="shared" si="26"/>
        <v>10.4</v>
      </c>
      <c r="BA162" s="644" t="s">
        <v>643</v>
      </c>
      <c r="BB162" s="570"/>
      <c r="BC162" s="637"/>
      <c r="BD162" s="3708"/>
      <c r="BE162" s="3743"/>
      <c r="BF162" s="3743"/>
      <c r="BG162" s="3708"/>
      <c r="BH162" s="3762"/>
      <c r="BI162" s="3762"/>
      <c r="BJ162" s="39"/>
      <c r="BK162" s="39"/>
      <c r="BL162" s="39"/>
      <c r="BM162" s="39"/>
      <c r="BN162" s="39"/>
      <c r="BO162" s="39"/>
      <c r="BP162" s="39"/>
      <c r="BQ162" s="39"/>
      <c r="BR162" s="39"/>
      <c r="BS162" s="507"/>
      <c r="BT162" s="507"/>
      <c r="BU162" s="507"/>
      <c r="BV162" s="507"/>
      <c r="BW162" s="507"/>
      <c r="BX162" s="507"/>
      <c r="BY162" s="507"/>
      <c r="BZ162" s="507"/>
      <c r="CA162" s="507"/>
      <c r="CB162" s="507"/>
      <c r="CC162" s="507"/>
      <c r="CD162" s="507"/>
      <c r="CE162" s="507"/>
      <c r="CF162" s="507"/>
      <c r="CG162" s="507"/>
      <c r="CH162" s="507"/>
      <c r="CI162" s="507"/>
      <c r="CJ162" s="507"/>
      <c r="CK162" s="507"/>
      <c r="CL162" s="507"/>
      <c r="CM162" s="507"/>
      <c r="CN162" s="507"/>
      <c r="CO162" s="507"/>
      <c r="CP162" s="507"/>
      <c r="CQ162" s="507"/>
      <c r="CR162" s="507"/>
      <c r="CS162" s="507"/>
      <c r="CT162" s="507"/>
      <c r="CU162" s="507"/>
      <c r="CV162" s="507"/>
      <c r="CW162" s="507"/>
      <c r="CX162" s="507"/>
      <c r="CY162" s="507"/>
      <c r="CZ162" s="507"/>
      <c r="DA162" s="507"/>
      <c r="DB162" s="507"/>
      <c r="DC162" s="507"/>
      <c r="DD162" s="507"/>
      <c r="DE162" s="507"/>
      <c r="DF162" s="507"/>
      <c r="DG162" s="507"/>
      <c r="DH162" s="507"/>
      <c r="DI162" s="507"/>
      <c r="DJ162" s="507"/>
      <c r="DK162" s="507"/>
      <c r="DL162" s="507"/>
      <c r="DM162" s="507"/>
      <c r="DN162" s="507"/>
      <c r="DO162" s="507"/>
      <c r="DP162" s="507"/>
      <c r="DQ162" s="507"/>
      <c r="DR162" s="507"/>
      <c r="DS162" s="507"/>
      <c r="DT162" s="507"/>
      <c r="DU162" s="507"/>
      <c r="DV162" s="507"/>
      <c r="DW162" s="507"/>
      <c r="DX162" s="507"/>
      <c r="DY162" s="507"/>
      <c r="DZ162" s="507"/>
      <c r="EA162" s="507"/>
      <c r="EB162" s="507"/>
      <c r="EC162" s="507"/>
      <c r="ED162" s="507"/>
      <c r="EE162" s="507"/>
      <c r="EF162" s="507"/>
      <c r="EG162" s="507"/>
      <c r="EH162" s="507"/>
      <c r="EI162" s="507"/>
      <c r="EJ162" s="507"/>
      <c r="EK162" s="507"/>
      <c r="EL162" s="507"/>
      <c r="EM162" s="507"/>
      <c r="EN162" s="507"/>
      <c r="EO162" s="507"/>
      <c r="EP162" s="507"/>
      <c r="EQ162" s="507"/>
      <c r="ER162" s="507"/>
      <c r="ES162" s="507"/>
      <c r="ET162" s="507"/>
      <c r="EU162" s="507"/>
      <c r="EV162" s="507"/>
      <c r="EW162" s="507"/>
      <c r="EX162" s="507"/>
      <c r="EY162" s="507"/>
      <c r="EZ162" s="507"/>
      <c r="FA162" s="507"/>
      <c r="FB162" s="507"/>
      <c r="FC162" s="507"/>
      <c r="FD162" s="507"/>
      <c r="FE162" s="507"/>
      <c r="FF162" s="507"/>
      <c r="FG162" s="507"/>
      <c r="FH162" s="507"/>
      <c r="FI162" s="507"/>
      <c r="FJ162" s="507"/>
      <c r="FK162" s="507"/>
      <c r="FL162" s="507"/>
      <c r="FM162" s="507"/>
      <c r="FN162" s="507"/>
      <c r="FO162" s="507"/>
      <c r="FP162" s="507"/>
      <c r="FQ162" s="507"/>
      <c r="FR162" s="507"/>
      <c r="FS162" s="507"/>
      <c r="FT162" s="507"/>
      <c r="FU162" s="507"/>
      <c r="FV162" s="507"/>
      <c r="FW162" s="507"/>
      <c r="FX162" s="507"/>
      <c r="FY162" s="507"/>
      <c r="FZ162" s="507"/>
      <c r="GA162" s="507"/>
      <c r="GB162" s="507"/>
      <c r="GC162" s="507"/>
      <c r="GD162" s="507"/>
      <c r="GE162" s="507"/>
      <c r="GF162" s="507"/>
      <c r="GG162" s="507"/>
      <c r="GH162" s="507"/>
      <c r="GI162" s="507"/>
      <c r="GJ162" s="507"/>
      <c r="GK162" s="507"/>
      <c r="GL162" s="507"/>
      <c r="GM162" s="507"/>
      <c r="GN162" s="507"/>
      <c r="GO162" s="507"/>
      <c r="GP162" s="507"/>
      <c r="GQ162" s="507"/>
      <c r="GR162" s="507"/>
      <c r="GS162" s="507"/>
      <c r="GT162" s="507"/>
      <c r="GU162" s="507"/>
      <c r="GV162" s="507"/>
      <c r="GW162" s="507"/>
      <c r="GX162" s="507"/>
      <c r="GY162" s="507"/>
      <c r="GZ162" s="507"/>
      <c r="HA162" s="507"/>
      <c r="HB162" s="507"/>
      <c r="HC162" s="507"/>
      <c r="HD162" s="507"/>
      <c r="HE162" s="507"/>
      <c r="HF162" s="507"/>
      <c r="HG162" s="507"/>
      <c r="HH162" s="507"/>
      <c r="HI162" s="507"/>
      <c r="HJ162" s="507"/>
      <c r="HK162" s="507"/>
      <c r="HL162" s="507"/>
      <c r="HM162" s="507"/>
      <c r="HN162" s="507"/>
      <c r="HO162" s="507"/>
      <c r="HP162" s="507"/>
      <c r="HQ162" s="507"/>
      <c r="HR162" s="507"/>
      <c r="HS162" s="507"/>
      <c r="HT162" s="507"/>
      <c r="HU162" s="507"/>
      <c r="HV162" s="507"/>
      <c r="HW162" s="507"/>
      <c r="HX162" s="507"/>
      <c r="HY162" s="507"/>
      <c r="HZ162" s="507"/>
    </row>
    <row r="163" spans="1:234" s="232" customFormat="1" ht="15.9" hidden="1" customHeight="1" x14ac:dyDescent="0.25">
      <c r="A163" s="522" t="s">
        <v>4135</v>
      </c>
      <c r="B163" s="535" t="s">
        <v>994</v>
      </c>
      <c r="C163" s="527" t="s">
        <v>2905</v>
      </c>
      <c r="D163" s="570" t="s">
        <v>826</v>
      </c>
      <c r="E163" s="569" t="s">
        <v>3228</v>
      </c>
      <c r="F163" s="543">
        <v>39332</v>
      </c>
      <c r="G163" s="544">
        <v>39265</v>
      </c>
      <c r="H163" s="557">
        <v>39325</v>
      </c>
      <c r="I163" s="546">
        <v>41547</v>
      </c>
      <c r="J163" s="547">
        <v>10</v>
      </c>
      <c r="K163" s="553" t="s">
        <v>3229</v>
      </c>
      <c r="L163" s="552" t="s">
        <v>3229</v>
      </c>
      <c r="M163" s="549">
        <v>0</v>
      </c>
      <c r="N163" s="606">
        <v>0.7</v>
      </c>
      <c r="O163" s="551" t="s">
        <v>3229</v>
      </c>
      <c r="P163" s="576" t="s">
        <v>3229</v>
      </c>
      <c r="Q163" s="570" t="s">
        <v>3229</v>
      </c>
      <c r="R163" s="570" t="s">
        <v>3229</v>
      </c>
      <c r="S163" s="577"/>
      <c r="T163" s="555" t="s">
        <v>3229</v>
      </c>
      <c r="U163" s="555" t="s">
        <v>3229</v>
      </c>
      <c r="V163" s="555" t="s">
        <v>3229</v>
      </c>
      <c r="W163" s="555" t="s">
        <v>3229</v>
      </c>
      <c r="X163" s="555" t="s">
        <v>3229</v>
      </c>
      <c r="Y163" s="553" t="s">
        <v>3229</v>
      </c>
      <c r="Z163" s="553" t="s">
        <v>3229</v>
      </c>
      <c r="AA163" s="553" t="s">
        <v>3229</v>
      </c>
      <c r="AB163" s="553" t="s">
        <v>3229</v>
      </c>
      <c r="AC163" s="553" t="s">
        <v>3229</v>
      </c>
      <c r="AD163" s="553" t="s">
        <v>3229</v>
      </c>
      <c r="AE163" s="553" t="s">
        <v>3229</v>
      </c>
      <c r="AF163" s="3764" t="s">
        <v>781</v>
      </c>
      <c r="AG163" s="3765"/>
      <c r="AH163" s="553" t="s">
        <v>3229</v>
      </c>
      <c r="AI163" s="553" t="s">
        <v>3229</v>
      </c>
      <c r="AJ163" s="553" t="s">
        <v>3229</v>
      </c>
      <c r="AK163" s="566" t="s">
        <v>3229</v>
      </c>
      <c r="AL163" s="553" t="s">
        <v>3229</v>
      </c>
      <c r="AM163" s="659">
        <v>1</v>
      </c>
      <c r="AN163" s="606">
        <v>0</v>
      </c>
      <c r="AO163" s="660">
        <v>10.09</v>
      </c>
      <c r="AP163" s="1368">
        <v>-0.40574522976263044</v>
      </c>
      <c r="AQ163" s="675">
        <v>-0.37255799827514102</v>
      </c>
      <c r="AR163" s="632" t="s">
        <v>3660</v>
      </c>
      <c r="AS163" s="558"/>
      <c r="AT163" s="598"/>
      <c r="AU163" s="552"/>
      <c r="AV163" s="558">
        <f t="shared" si="27"/>
        <v>0</v>
      </c>
      <c r="AW163" s="558">
        <f t="shared" si="25"/>
        <v>0</v>
      </c>
      <c r="AX163" s="553">
        <f>J163*(1+AV163)/AO163-1</f>
        <v>-8.9197224975222644E-3</v>
      </c>
      <c r="AY163" s="552" t="e">
        <f>POWER(1+AX163,1/AG163)-1</f>
        <v>#DIV/0!</v>
      </c>
      <c r="AZ163" s="642">
        <f t="shared" si="26"/>
        <v>10</v>
      </c>
      <c r="BA163" s="644" t="s">
        <v>3190</v>
      </c>
      <c r="BB163" s="570"/>
      <c r="BC163" s="637"/>
      <c r="BD163" s="3708"/>
      <c r="BE163" s="3743"/>
      <c r="BF163" s="3743"/>
      <c r="BG163" s="3708"/>
      <c r="BH163" s="3762"/>
      <c r="BI163" s="3762"/>
      <c r="BJ163" s="39"/>
      <c r="BK163" s="39"/>
      <c r="BL163" s="39"/>
      <c r="BM163" s="39"/>
      <c r="BN163" s="39"/>
      <c r="BO163" s="39"/>
      <c r="BP163" s="39"/>
      <c r="BQ163" s="39"/>
      <c r="BR163" s="39"/>
      <c r="BS163" s="507"/>
      <c r="BT163" s="507"/>
      <c r="BU163" s="507"/>
      <c r="BV163" s="507"/>
      <c r="BW163" s="507"/>
      <c r="BX163" s="507"/>
      <c r="BY163" s="507"/>
      <c r="BZ163" s="507"/>
      <c r="CA163" s="507"/>
      <c r="CB163" s="507"/>
      <c r="CC163" s="507"/>
      <c r="CD163" s="507"/>
      <c r="CE163" s="507"/>
      <c r="CF163" s="507"/>
      <c r="CG163" s="507"/>
      <c r="CH163" s="507"/>
      <c r="CI163" s="507"/>
      <c r="CJ163" s="507"/>
      <c r="CK163" s="507"/>
      <c r="CL163" s="507"/>
      <c r="CM163" s="507"/>
      <c r="CN163" s="507"/>
      <c r="CO163" s="507"/>
      <c r="CP163" s="507"/>
      <c r="CQ163" s="507"/>
      <c r="CR163" s="507"/>
      <c r="CS163" s="507"/>
      <c r="CT163" s="507"/>
      <c r="CU163" s="507"/>
      <c r="CV163" s="507"/>
      <c r="CW163" s="507"/>
      <c r="CX163" s="507"/>
      <c r="CY163" s="507"/>
      <c r="CZ163" s="507"/>
      <c r="DA163" s="507"/>
      <c r="DB163" s="507"/>
      <c r="DC163" s="507"/>
      <c r="DD163" s="507"/>
      <c r="DE163" s="507"/>
      <c r="DF163" s="507"/>
      <c r="DG163" s="507"/>
      <c r="DH163" s="507"/>
      <c r="DI163" s="507"/>
      <c r="DJ163" s="507"/>
      <c r="DK163" s="507"/>
      <c r="DL163" s="507"/>
      <c r="DM163" s="507"/>
      <c r="DN163" s="507"/>
      <c r="DO163" s="507"/>
      <c r="DP163" s="507"/>
      <c r="DQ163" s="507"/>
      <c r="DR163" s="507"/>
      <c r="DS163" s="507"/>
      <c r="DT163" s="507"/>
      <c r="DU163" s="507"/>
      <c r="DV163" s="507"/>
      <c r="DW163" s="507"/>
      <c r="DX163" s="507"/>
      <c r="DY163" s="507"/>
      <c r="DZ163" s="507"/>
      <c r="EA163" s="507"/>
      <c r="EB163" s="507"/>
      <c r="EC163" s="507"/>
      <c r="ED163" s="507"/>
      <c r="EE163" s="507"/>
      <c r="EF163" s="507"/>
      <c r="EG163" s="507"/>
      <c r="EH163" s="507"/>
      <c r="EI163" s="507"/>
      <c r="EJ163" s="507"/>
      <c r="EK163" s="507"/>
      <c r="EL163" s="507"/>
      <c r="EM163" s="507"/>
      <c r="EN163" s="507"/>
      <c r="EO163" s="507"/>
      <c r="EP163" s="507"/>
      <c r="EQ163" s="507"/>
      <c r="ER163" s="507"/>
      <c r="ES163" s="507"/>
      <c r="ET163" s="507"/>
      <c r="EU163" s="507"/>
      <c r="EV163" s="507"/>
      <c r="EW163" s="507"/>
      <c r="EX163" s="507"/>
      <c r="EY163" s="507"/>
      <c r="EZ163" s="507"/>
      <c r="FA163" s="507"/>
      <c r="FB163" s="507"/>
      <c r="FC163" s="507"/>
      <c r="FD163" s="507"/>
      <c r="FE163" s="507"/>
      <c r="FF163" s="507"/>
      <c r="FG163" s="507"/>
      <c r="FH163" s="507"/>
      <c r="FI163" s="507"/>
      <c r="FJ163" s="507"/>
      <c r="FK163" s="507"/>
      <c r="FL163" s="507"/>
      <c r="FM163" s="507"/>
      <c r="FN163" s="507"/>
      <c r="FO163" s="507"/>
      <c r="FP163" s="507"/>
      <c r="FQ163" s="507"/>
      <c r="FR163" s="507"/>
      <c r="FS163" s="507"/>
      <c r="FT163" s="507"/>
      <c r="FU163" s="507"/>
      <c r="FV163" s="507"/>
      <c r="FW163" s="507"/>
      <c r="FX163" s="507"/>
      <c r="FY163" s="507"/>
      <c r="FZ163" s="507"/>
      <c r="GA163" s="507"/>
      <c r="GB163" s="507"/>
      <c r="GC163" s="507"/>
      <c r="GD163" s="507"/>
      <c r="GE163" s="507"/>
      <c r="GF163" s="507"/>
      <c r="GG163" s="507"/>
      <c r="GH163" s="507"/>
      <c r="GI163" s="507"/>
      <c r="GJ163" s="507"/>
      <c r="GK163" s="507"/>
      <c r="GL163" s="507"/>
      <c r="GM163" s="507"/>
      <c r="GN163" s="507"/>
      <c r="GO163" s="507"/>
      <c r="GP163" s="507"/>
      <c r="GQ163" s="507"/>
      <c r="GR163" s="507"/>
      <c r="GS163" s="507"/>
      <c r="GT163" s="507"/>
      <c r="GU163" s="507"/>
      <c r="GV163" s="507"/>
      <c r="GW163" s="507"/>
      <c r="GX163" s="507"/>
      <c r="GY163" s="507"/>
      <c r="GZ163" s="507"/>
      <c r="HA163" s="507"/>
      <c r="HB163" s="507"/>
      <c r="HC163" s="507"/>
      <c r="HD163" s="507"/>
      <c r="HE163" s="507"/>
      <c r="HF163" s="507"/>
      <c r="HG163" s="507"/>
      <c r="HH163" s="507"/>
      <c r="HI163" s="507"/>
      <c r="HJ163" s="507"/>
      <c r="HK163" s="507"/>
      <c r="HL163" s="507"/>
      <c r="HM163" s="507"/>
      <c r="HN163" s="507"/>
      <c r="HO163" s="507"/>
      <c r="HP163" s="507"/>
      <c r="HQ163" s="507"/>
      <c r="HR163" s="507"/>
      <c r="HS163" s="507"/>
      <c r="HT163" s="507"/>
      <c r="HU163" s="507"/>
      <c r="HV163" s="507"/>
      <c r="HW163" s="507"/>
      <c r="HX163" s="507"/>
      <c r="HY163" s="507"/>
      <c r="HZ163" s="507"/>
    </row>
    <row r="164" spans="1:234" ht="15.9" hidden="1" customHeight="1" x14ac:dyDescent="0.25">
      <c r="A164" s="522" t="s">
        <v>2635</v>
      </c>
      <c r="B164" s="523" t="s">
        <v>995</v>
      </c>
      <c r="C164" s="527" t="s">
        <v>3312</v>
      </c>
      <c r="D164" s="570" t="s">
        <v>2158</v>
      </c>
      <c r="E164" s="569" t="s">
        <v>3228</v>
      </c>
      <c r="F164" s="543">
        <v>39332</v>
      </c>
      <c r="G164" s="544">
        <v>39295</v>
      </c>
      <c r="H164" s="557">
        <v>39325</v>
      </c>
      <c r="I164" s="546">
        <v>41180</v>
      </c>
      <c r="J164" s="547">
        <v>10</v>
      </c>
      <c r="K164" s="553" t="s">
        <v>3229</v>
      </c>
      <c r="L164" s="552" t="s">
        <v>3229</v>
      </c>
      <c r="M164" s="549">
        <v>0</v>
      </c>
      <c r="N164" s="606">
        <v>1.1000000000000001</v>
      </c>
      <c r="O164" s="551" t="s">
        <v>3229</v>
      </c>
      <c r="P164" s="576" t="s">
        <v>3229</v>
      </c>
      <c r="Q164" s="570" t="s">
        <v>3229</v>
      </c>
      <c r="R164" s="570" t="s">
        <v>3229</v>
      </c>
      <c r="S164" s="577"/>
      <c r="T164" s="555" t="s">
        <v>3229</v>
      </c>
      <c r="U164" s="555" t="s">
        <v>3229</v>
      </c>
      <c r="V164" s="555" t="s">
        <v>3229</v>
      </c>
      <c r="W164" s="555" t="s">
        <v>3229</v>
      </c>
      <c r="X164" s="555" t="s">
        <v>3229</v>
      </c>
      <c r="Y164" s="553" t="s">
        <v>3229</v>
      </c>
      <c r="Z164" s="553" t="s">
        <v>3229</v>
      </c>
      <c r="AA164" s="553" t="s">
        <v>3229</v>
      </c>
      <c r="AB164" s="553" t="s">
        <v>3229</v>
      </c>
      <c r="AC164" s="553" t="s">
        <v>3229</v>
      </c>
      <c r="AD164" s="553" t="s">
        <v>3229</v>
      </c>
      <c r="AE164" s="553" t="s">
        <v>3229</v>
      </c>
      <c r="AF164" s="3764" t="s">
        <v>781</v>
      </c>
      <c r="AG164" s="3765"/>
      <c r="AH164" s="553" t="s">
        <v>3229</v>
      </c>
      <c r="AI164" s="553" t="s">
        <v>3229</v>
      </c>
      <c r="AJ164" s="553" t="s">
        <v>3229</v>
      </c>
      <c r="AK164" s="566" t="s">
        <v>3229</v>
      </c>
      <c r="AL164" s="553" t="s">
        <v>3229</v>
      </c>
      <c r="AM164" s="659">
        <v>1</v>
      </c>
      <c r="AN164" s="606">
        <v>0</v>
      </c>
      <c r="AO164" s="660">
        <v>10.01</v>
      </c>
      <c r="AP164" s="1368">
        <v>-0.13681019000000003</v>
      </c>
      <c r="AQ164" s="675">
        <v>-3.7000484936492391E-2</v>
      </c>
      <c r="AR164" s="632" t="s">
        <v>3660</v>
      </c>
      <c r="AS164" s="558"/>
      <c r="AT164" s="598"/>
      <c r="AU164" s="552"/>
      <c r="AV164" s="558">
        <v>0</v>
      </c>
      <c r="AW164" s="558">
        <v>0</v>
      </c>
      <c r="AX164" s="553"/>
      <c r="AY164" s="552"/>
      <c r="AZ164" s="642">
        <v>10</v>
      </c>
      <c r="BA164" s="644" t="s">
        <v>4427</v>
      </c>
      <c r="BB164" s="570"/>
      <c r="BC164" s="637"/>
      <c r="BD164" s="3708"/>
      <c r="BH164" s="3763"/>
      <c r="BI164" s="3763"/>
      <c r="BJ164" s="1639"/>
      <c r="BK164" s="1639"/>
      <c r="BL164" s="1639"/>
      <c r="BM164" s="1639"/>
      <c r="BN164" s="1639"/>
      <c r="BO164" s="1639"/>
      <c r="BP164" s="1639"/>
      <c r="BQ164" s="1639"/>
      <c r="BR164" s="1639"/>
      <c r="BS164" s="509"/>
      <c r="BT164" s="509"/>
      <c r="BU164" s="509"/>
      <c r="BV164" s="509"/>
      <c r="BW164" s="509"/>
      <c r="BX164" s="509"/>
      <c r="BY164" s="509"/>
      <c r="BZ164" s="509"/>
      <c r="CA164" s="509"/>
      <c r="CB164" s="509"/>
      <c r="CC164" s="509"/>
      <c r="CD164" s="509"/>
      <c r="CE164" s="509"/>
      <c r="CF164" s="509"/>
      <c r="CG164" s="509"/>
      <c r="CH164" s="509"/>
      <c r="CI164" s="509"/>
      <c r="CJ164" s="509"/>
      <c r="CK164" s="509"/>
      <c r="CL164" s="509"/>
      <c r="CM164" s="509"/>
      <c r="CN164" s="509"/>
      <c r="CO164" s="509"/>
      <c r="CP164" s="509"/>
      <c r="CQ164" s="509"/>
      <c r="CR164" s="509"/>
      <c r="CS164" s="509"/>
      <c r="CT164" s="509"/>
      <c r="CU164" s="509"/>
      <c r="CV164" s="509"/>
      <c r="CW164" s="509"/>
      <c r="CX164" s="509"/>
      <c r="CY164" s="509"/>
      <c r="CZ164" s="509"/>
      <c r="DA164" s="509"/>
      <c r="DB164" s="509"/>
      <c r="DC164" s="509"/>
      <c r="DD164" s="509"/>
      <c r="DE164" s="509"/>
      <c r="DF164" s="509"/>
      <c r="DG164" s="509"/>
      <c r="DH164" s="509"/>
      <c r="DI164" s="509"/>
      <c r="DJ164" s="509"/>
      <c r="DK164" s="509"/>
      <c r="DL164" s="509"/>
      <c r="DM164" s="509"/>
      <c r="DN164" s="509"/>
      <c r="DO164" s="509"/>
      <c r="DP164" s="509"/>
      <c r="DQ164" s="509"/>
      <c r="DR164" s="509"/>
      <c r="DS164" s="509"/>
      <c r="DT164" s="509"/>
      <c r="DU164" s="509"/>
      <c r="DV164" s="509"/>
      <c r="DW164" s="509"/>
      <c r="DX164" s="509"/>
      <c r="DY164" s="509"/>
      <c r="DZ164" s="509"/>
      <c r="EA164" s="509"/>
      <c r="EB164" s="509"/>
      <c r="EC164" s="509"/>
      <c r="ED164" s="509"/>
      <c r="EE164" s="509"/>
      <c r="EF164" s="509"/>
      <c r="EG164" s="509"/>
      <c r="EH164" s="509"/>
      <c r="EI164" s="509"/>
      <c r="EJ164" s="509"/>
      <c r="EK164" s="509"/>
      <c r="EL164" s="509"/>
      <c r="EM164" s="509"/>
      <c r="EN164" s="509"/>
      <c r="EO164" s="509"/>
      <c r="EP164" s="509"/>
      <c r="EQ164" s="509"/>
      <c r="ER164" s="509"/>
      <c r="ES164" s="509"/>
      <c r="ET164" s="509"/>
      <c r="EU164" s="509"/>
      <c r="EV164" s="509"/>
      <c r="EW164" s="509"/>
      <c r="EX164" s="509"/>
      <c r="EY164" s="509"/>
      <c r="EZ164" s="509"/>
      <c r="FA164" s="509"/>
      <c r="FB164" s="509"/>
      <c r="FC164" s="509"/>
      <c r="FD164" s="509"/>
      <c r="FE164" s="509"/>
      <c r="FF164" s="509"/>
      <c r="FG164" s="509"/>
      <c r="FH164" s="509"/>
      <c r="FI164" s="509"/>
      <c r="FJ164" s="509"/>
      <c r="FK164" s="509"/>
      <c r="FL164" s="509"/>
      <c r="FM164" s="509"/>
      <c r="FN164" s="509"/>
      <c r="FO164" s="509"/>
      <c r="FP164" s="509"/>
      <c r="FQ164" s="509"/>
      <c r="FR164" s="509"/>
      <c r="FS164" s="509"/>
      <c r="FT164" s="509"/>
      <c r="FU164" s="509"/>
      <c r="FV164" s="509"/>
      <c r="FW164" s="509"/>
      <c r="FX164" s="509"/>
      <c r="FY164" s="509"/>
      <c r="FZ164" s="509"/>
      <c r="GA164" s="509"/>
      <c r="GB164" s="509"/>
      <c r="GC164" s="509"/>
      <c r="GD164" s="509"/>
      <c r="GE164" s="509"/>
      <c r="GF164" s="509"/>
      <c r="GG164" s="509"/>
      <c r="GH164" s="509"/>
      <c r="GI164" s="509"/>
      <c r="GJ164" s="509"/>
      <c r="GK164" s="509"/>
      <c r="GL164" s="509"/>
      <c r="GM164" s="509"/>
      <c r="GN164" s="509"/>
      <c r="GO164" s="509"/>
      <c r="GP164" s="509"/>
      <c r="GQ164" s="509"/>
      <c r="GR164" s="509"/>
      <c r="GS164" s="509"/>
      <c r="GT164" s="509"/>
      <c r="GU164" s="509"/>
      <c r="GV164" s="509"/>
      <c r="GW164" s="509"/>
      <c r="GX164" s="509"/>
      <c r="GY164" s="509"/>
      <c r="GZ164" s="509"/>
      <c r="HA164" s="509"/>
      <c r="HB164" s="509"/>
      <c r="HC164" s="509"/>
      <c r="HD164" s="509"/>
      <c r="HE164" s="509"/>
      <c r="HF164" s="509"/>
      <c r="HG164" s="509"/>
      <c r="HH164" s="509"/>
      <c r="HI164" s="509"/>
      <c r="HJ164" s="509"/>
      <c r="HK164" s="509"/>
      <c r="HL164" s="509"/>
      <c r="HM164" s="509"/>
      <c r="HN164" s="509"/>
      <c r="HO164" s="509"/>
      <c r="HP164" s="509"/>
      <c r="HQ164" s="509"/>
      <c r="HR164" s="509"/>
      <c r="HS164" s="509"/>
      <c r="HT164" s="509"/>
      <c r="HU164" s="509"/>
      <c r="HV164" s="509"/>
      <c r="HW164" s="509"/>
      <c r="HX164" s="509"/>
      <c r="HY164" s="509"/>
      <c r="HZ164" s="509"/>
    </row>
    <row r="165" spans="1:234" s="232" customFormat="1" ht="15.9" hidden="1" customHeight="1" x14ac:dyDescent="0.25">
      <c r="A165" s="522" t="s">
        <v>4612</v>
      </c>
      <c r="B165" s="535" t="s">
        <v>1201</v>
      </c>
      <c r="C165" s="527" t="s">
        <v>2971</v>
      </c>
      <c r="D165" s="570" t="s">
        <v>4384</v>
      </c>
      <c r="E165" s="569" t="s">
        <v>3228</v>
      </c>
      <c r="F165" s="543">
        <v>39346</v>
      </c>
      <c r="G165" s="544">
        <v>39295</v>
      </c>
      <c r="H165" s="557">
        <v>39339</v>
      </c>
      <c r="I165" s="546">
        <v>41362</v>
      </c>
      <c r="J165" s="547">
        <v>10</v>
      </c>
      <c r="K165" s="553" t="s">
        <v>3229</v>
      </c>
      <c r="L165" s="552" t="s">
        <v>3229</v>
      </c>
      <c r="M165" s="549">
        <v>-0.05</v>
      </c>
      <c r="N165" s="606">
        <v>1.1000000000000001</v>
      </c>
      <c r="O165" s="551" t="s">
        <v>3229</v>
      </c>
      <c r="P165" s="576" t="s">
        <v>3229</v>
      </c>
      <c r="Q165" s="570" t="s">
        <v>3229</v>
      </c>
      <c r="R165" s="570" t="s">
        <v>3229</v>
      </c>
      <c r="S165" s="577"/>
      <c r="T165" s="555" t="s">
        <v>3229</v>
      </c>
      <c r="U165" s="555" t="s">
        <v>3229</v>
      </c>
      <c r="V165" s="555" t="s">
        <v>3229</v>
      </c>
      <c r="W165" s="555" t="s">
        <v>3229</v>
      </c>
      <c r="X165" s="555" t="s">
        <v>3229</v>
      </c>
      <c r="Y165" s="553" t="s">
        <v>3229</v>
      </c>
      <c r="Z165" s="553" t="s">
        <v>3229</v>
      </c>
      <c r="AA165" s="553" t="s">
        <v>3229</v>
      </c>
      <c r="AB165" s="553" t="s">
        <v>3229</v>
      </c>
      <c r="AC165" s="553" t="s">
        <v>3229</v>
      </c>
      <c r="AD165" s="553" t="s">
        <v>3229</v>
      </c>
      <c r="AE165" s="553" t="s">
        <v>3229</v>
      </c>
      <c r="AF165" s="3764" t="s">
        <v>781</v>
      </c>
      <c r="AG165" s="3765"/>
      <c r="AH165" s="553" t="s">
        <v>3229</v>
      </c>
      <c r="AI165" s="553" t="s">
        <v>3229</v>
      </c>
      <c r="AJ165" s="553" t="s">
        <v>3229</v>
      </c>
      <c r="AK165" s="566" t="s">
        <v>3229</v>
      </c>
      <c r="AL165" s="553" t="s">
        <v>3229</v>
      </c>
      <c r="AM165" s="659">
        <v>1</v>
      </c>
      <c r="AN165" s="606">
        <v>0</v>
      </c>
      <c r="AO165" s="660">
        <v>9.5299999999999994</v>
      </c>
      <c r="AP165" s="1368">
        <v>-9.4708388888888884E-2</v>
      </c>
      <c r="AQ165" s="675">
        <v>-0.24803147059503561</v>
      </c>
      <c r="AR165" s="632" t="s">
        <v>3660</v>
      </c>
      <c r="AS165" s="558"/>
      <c r="AT165" s="598"/>
      <c r="AU165" s="552"/>
      <c r="AV165" s="558">
        <v>-0.05</v>
      </c>
      <c r="AW165" s="558">
        <v>-9.2437438449880505E-3</v>
      </c>
      <c r="AX165" s="553"/>
      <c r="AY165" s="552"/>
      <c r="AZ165" s="642">
        <v>9.5</v>
      </c>
      <c r="BA165" s="644" t="s">
        <v>3190</v>
      </c>
      <c r="BB165" s="570"/>
      <c r="BC165" s="637"/>
      <c r="BD165" s="3708"/>
      <c r="BE165" s="3743"/>
      <c r="BF165" s="3743"/>
      <c r="BG165" s="3708"/>
      <c r="BH165" s="3762"/>
      <c r="BI165" s="3762"/>
      <c r="BJ165" s="39"/>
      <c r="BK165" s="39"/>
      <c r="BL165" s="39"/>
      <c r="BM165" s="39"/>
      <c r="BN165" s="39"/>
      <c r="BO165" s="39"/>
      <c r="BP165" s="39"/>
      <c r="BQ165" s="39"/>
      <c r="BR165" s="39"/>
      <c r="BS165" s="507"/>
      <c r="BT165" s="507"/>
      <c r="BU165" s="507"/>
      <c r="BV165" s="507"/>
      <c r="BW165" s="507"/>
      <c r="BX165" s="507"/>
      <c r="BY165" s="507"/>
      <c r="BZ165" s="507"/>
      <c r="CA165" s="507"/>
      <c r="CB165" s="507"/>
      <c r="CC165" s="507"/>
      <c r="CD165" s="507"/>
      <c r="CE165" s="507"/>
      <c r="CF165" s="507"/>
      <c r="CG165" s="507"/>
      <c r="CH165" s="507"/>
      <c r="CI165" s="507"/>
      <c r="CJ165" s="507"/>
      <c r="CK165" s="507"/>
      <c r="CL165" s="507"/>
      <c r="CM165" s="507"/>
      <c r="CN165" s="507"/>
      <c r="CO165" s="507"/>
      <c r="CP165" s="507"/>
      <c r="CQ165" s="507"/>
      <c r="CR165" s="507"/>
      <c r="CS165" s="507"/>
      <c r="CT165" s="507"/>
      <c r="CU165" s="507"/>
      <c r="CV165" s="507"/>
      <c r="CW165" s="507"/>
      <c r="CX165" s="507"/>
      <c r="CY165" s="507"/>
      <c r="CZ165" s="507"/>
      <c r="DA165" s="507"/>
      <c r="DB165" s="507"/>
      <c r="DC165" s="507"/>
      <c r="DD165" s="507"/>
      <c r="DE165" s="507"/>
      <c r="DF165" s="507"/>
      <c r="DG165" s="507"/>
      <c r="DH165" s="507"/>
      <c r="DI165" s="507"/>
      <c r="DJ165" s="507"/>
      <c r="DK165" s="507"/>
      <c r="DL165" s="507"/>
      <c r="DM165" s="507"/>
      <c r="DN165" s="507"/>
      <c r="DO165" s="507"/>
      <c r="DP165" s="507"/>
      <c r="DQ165" s="507"/>
      <c r="DR165" s="507"/>
      <c r="DS165" s="507"/>
      <c r="DT165" s="507"/>
      <c r="DU165" s="507"/>
      <c r="DV165" s="507"/>
      <c r="DW165" s="507"/>
      <c r="DX165" s="507"/>
      <c r="DY165" s="507"/>
      <c r="DZ165" s="507"/>
      <c r="EA165" s="507"/>
      <c r="EB165" s="507"/>
      <c r="EC165" s="507"/>
      <c r="ED165" s="507"/>
      <c r="EE165" s="507"/>
      <c r="EF165" s="507"/>
      <c r="EG165" s="507"/>
      <c r="EH165" s="507"/>
      <c r="EI165" s="507"/>
      <c r="EJ165" s="507"/>
      <c r="EK165" s="507"/>
      <c r="EL165" s="507"/>
      <c r="EM165" s="507"/>
      <c r="EN165" s="507"/>
      <c r="EO165" s="507"/>
      <c r="EP165" s="507"/>
      <c r="EQ165" s="507"/>
      <c r="ER165" s="507"/>
      <c r="ES165" s="507"/>
      <c r="ET165" s="507"/>
      <c r="EU165" s="507"/>
      <c r="EV165" s="507"/>
      <c r="EW165" s="507"/>
      <c r="EX165" s="507"/>
      <c r="EY165" s="507"/>
      <c r="EZ165" s="507"/>
      <c r="FA165" s="507"/>
      <c r="FB165" s="507"/>
      <c r="FC165" s="507"/>
      <c r="FD165" s="507"/>
      <c r="FE165" s="507"/>
      <c r="FF165" s="507"/>
      <c r="FG165" s="507"/>
      <c r="FH165" s="507"/>
      <c r="FI165" s="507"/>
      <c r="FJ165" s="507"/>
      <c r="FK165" s="507"/>
      <c r="FL165" s="507"/>
      <c r="FM165" s="507"/>
      <c r="FN165" s="507"/>
      <c r="FO165" s="507"/>
      <c r="FP165" s="507"/>
      <c r="FQ165" s="507"/>
      <c r="FR165" s="507"/>
      <c r="FS165" s="507"/>
      <c r="FT165" s="507"/>
      <c r="FU165" s="507"/>
      <c r="FV165" s="507"/>
      <c r="FW165" s="507"/>
      <c r="FX165" s="507"/>
      <c r="FY165" s="507"/>
      <c r="FZ165" s="507"/>
      <c r="GA165" s="507"/>
      <c r="GB165" s="507"/>
      <c r="GC165" s="507"/>
      <c r="GD165" s="507"/>
      <c r="GE165" s="507"/>
      <c r="GF165" s="507"/>
      <c r="GG165" s="507"/>
      <c r="GH165" s="507"/>
      <c r="GI165" s="507"/>
      <c r="GJ165" s="507"/>
      <c r="GK165" s="507"/>
      <c r="GL165" s="507"/>
      <c r="GM165" s="507"/>
      <c r="GN165" s="507"/>
      <c r="GO165" s="507"/>
      <c r="GP165" s="507"/>
      <c r="GQ165" s="507"/>
      <c r="GR165" s="507"/>
      <c r="GS165" s="507"/>
      <c r="GT165" s="507"/>
      <c r="GU165" s="507"/>
      <c r="GV165" s="507"/>
      <c r="GW165" s="507"/>
      <c r="GX165" s="507"/>
      <c r="GY165" s="507"/>
      <c r="GZ165" s="507"/>
      <c r="HA165" s="507"/>
      <c r="HB165" s="507"/>
      <c r="HC165" s="507"/>
      <c r="HD165" s="507"/>
      <c r="HE165" s="507"/>
      <c r="HF165" s="507"/>
      <c r="HG165" s="507"/>
      <c r="HH165" s="507"/>
      <c r="HI165" s="507"/>
      <c r="HJ165" s="507"/>
      <c r="HK165" s="507"/>
      <c r="HL165" s="507"/>
      <c r="HM165" s="507"/>
      <c r="HN165" s="507"/>
      <c r="HO165" s="507"/>
      <c r="HP165" s="507"/>
      <c r="HQ165" s="507"/>
      <c r="HR165" s="507"/>
      <c r="HS165" s="507"/>
      <c r="HT165" s="507"/>
      <c r="HU165" s="507"/>
      <c r="HV165" s="507"/>
      <c r="HW165" s="507"/>
      <c r="HX165" s="507"/>
      <c r="HY165" s="507"/>
      <c r="HZ165" s="507"/>
    </row>
    <row r="166" spans="1:234" s="232" customFormat="1" ht="15.9" hidden="1" customHeight="1" x14ac:dyDescent="0.25">
      <c r="A166" s="522" t="s">
        <v>1339</v>
      </c>
      <c r="B166" s="523" t="s">
        <v>996</v>
      </c>
      <c r="C166" s="527" t="s">
        <v>2969</v>
      </c>
      <c r="D166" s="570" t="s">
        <v>2158</v>
      </c>
      <c r="E166" s="569" t="s">
        <v>3228</v>
      </c>
      <c r="F166" s="543">
        <v>39332</v>
      </c>
      <c r="G166" s="544">
        <v>39295</v>
      </c>
      <c r="H166" s="557">
        <v>39325</v>
      </c>
      <c r="I166" s="546">
        <v>40451</v>
      </c>
      <c r="J166" s="547">
        <v>10</v>
      </c>
      <c r="K166" s="553" t="s">
        <v>3229</v>
      </c>
      <c r="L166" s="552" t="s">
        <v>3229</v>
      </c>
      <c r="M166" s="549">
        <v>0</v>
      </c>
      <c r="N166" s="606">
        <v>2.8</v>
      </c>
      <c r="O166" s="551" t="s">
        <v>3229</v>
      </c>
      <c r="P166" s="576" t="s">
        <v>3229</v>
      </c>
      <c r="Q166" s="570" t="s">
        <v>3229</v>
      </c>
      <c r="R166" s="570" t="s">
        <v>3229</v>
      </c>
      <c r="S166" s="577"/>
      <c r="T166" s="555" t="s">
        <v>3229</v>
      </c>
      <c r="U166" s="555" t="s">
        <v>3229</v>
      </c>
      <c r="V166" s="555" t="s">
        <v>3229</v>
      </c>
      <c r="W166" s="555" t="s">
        <v>3229</v>
      </c>
      <c r="X166" s="555" t="s">
        <v>3229</v>
      </c>
      <c r="Y166" s="553" t="s">
        <v>3229</v>
      </c>
      <c r="Z166" s="553" t="s">
        <v>3229</v>
      </c>
      <c r="AA166" s="553" t="s">
        <v>3229</v>
      </c>
      <c r="AB166" s="553" t="s">
        <v>3229</v>
      </c>
      <c r="AC166" s="553" t="s">
        <v>3229</v>
      </c>
      <c r="AD166" s="553" t="s">
        <v>3229</v>
      </c>
      <c r="AE166" s="553" t="s">
        <v>3229</v>
      </c>
      <c r="AF166" s="3764" t="s">
        <v>781</v>
      </c>
      <c r="AG166" s="3765"/>
      <c r="AH166" s="553" t="s">
        <v>3229</v>
      </c>
      <c r="AI166" s="553" t="s">
        <v>3229</v>
      </c>
      <c r="AJ166" s="553" t="s">
        <v>3229</v>
      </c>
      <c r="AK166" s="566" t="s">
        <v>3229</v>
      </c>
      <c r="AL166" s="553" t="s">
        <v>3229</v>
      </c>
      <c r="AM166" s="659">
        <v>1</v>
      </c>
      <c r="AN166" s="606">
        <v>0</v>
      </c>
      <c r="AO166" s="660">
        <v>10</v>
      </c>
      <c r="AP166" s="1368">
        <v>-0.10918022633526547</v>
      </c>
      <c r="AQ166" s="675">
        <v>-0.10918022633526547</v>
      </c>
      <c r="AR166" s="632">
        <v>0</v>
      </c>
      <c r="AS166" s="558">
        <v>0</v>
      </c>
      <c r="AT166" s="598" t="s">
        <v>3229</v>
      </c>
      <c r="AU166" s="552" t="s">
        <v>3229</v>
      </c>
      <c r="AV166" s="558">
        <f t="shared" si="27"/>
        <v>0</v>
      </c>
      <c r="AW166" s="558">
        <f>POWER(1+AV166,1/((I166-F166)/365))-1</f>
        <v>0</v>
      </c>
      <c r="AX166" s="553" t="s">
        <v>3229</v>
      </c>
      <c r="AY166" s="552" t="s">
        <v>3229</v>
      </c>
      <c r="AZ166" s="642">
        <f>J166*(1+AV166)</f>
        <v>10</v>
      </c>
      <c r="BA166" s="644" t="s">
        <v>3190</v>
      </c>
      <c r="BB166" s="570"/>
      <c r="BC166" s="637"/>
      <c r="BD166" s="3708"/>
      <c r="BE166" s="3743"/>
      <c r="BF166" s="3743"/>
      <c r="BG166" s="3708"/>
      <c r="BH166" s="3762"/>
      <c r="BI166" s="3762"/>
      <c r="BJ166" s="39"/>
      <c r="BK166" s="39"/>
      <c r="BL166" s="39"/>
      <c r="BM166" s="39"/>
      <c r="BN166" s="39"/>
      <c r="BO166" s="39"/>
      <c r="BP166" s="39"/>
      <c r="BQ166" s="39"/>
      <c r="BR166" s="39"/>
      <c r="BS166" s="507"/>
      <c r="BT166" s="507"/>
      <c r="BU166" s="507"/>
      <c r="BV166" s="507"/>
      <c r="BW166" s="507"/>
      <c r="BX166" s="507"/>
      <c r="BY166" s="507"/>
      <c r="BZ166" s="507"/>
      <c r="CA166" s="507"/>
      <c r="CB166" s="507"/>
      <c r="CC166" s="507"/>
      <c r="CD166" s="507"/>
      <c r="CE166" s="507"/>
      <c r="CF166" s="507"/>
      <c r="CG166" s="507"/>
      <c r="CH166" s="507"/>
      <c r="CI166" s="507"/>
      <c r="CJ166" s="507"/>
      <c r="CK166" s="507"/>
      <c r="CL166" s="507"/>
      <c r="CM166" s="507"/>
      <c r="CN166" s="507"/>
      <c r="CO166" s="507"/>
      <c r="CP166" s="507"/>
      <c r="CQ166" s="507"/>
      <c r="CR166" s="507"/>
      <c r="CS166" s="507"/>
      <c r="CT166" s="507"/>
      <c r="CU166" s="507"/>
      <c r="CV166" s="507"/>
      <c r="CW166" s="507"/>
      <c r="CX166" s="507"/>
      <c r="CY166" s="507"/>
      <c r="CZ166" s="507"/>
      <c r="DA166" s="507"/>
      <c r="DB166" s="507"/>
      <c r="DC166" s="507"/>
      <c r="DD166" s="507"/>
      <c r="DE166" s="507"/>
      <c r="DF166" s="507"/>
      <c r="DG166" s="507"/>
      <c r="DH166" s="507"/>
      <c r="DI166" s="507"/>
      <c r="DJ166" s="507"/>
      <c r="DK166" s="507"/>
      <c r="DL166" s="507"/>
      <c r="DM166" s="507"/>
      <c r="DN166" s="507"/>
      <c r="DO166" s="507"/>
      <c r="DP166" s="507"/>
      <c r="DQ166" s="507"/>
      <c r="DR166" s="507"/>
      <c r="DS166" s="507"/>
      <c r="DT166" s="507"/>
      <c r="DU166" s="507"/>
      <c r="DV166" s="507"/>
      <c r="DW166" s="507"/>
      <c r="DX166" s="507"/>
      <c r="DY166" s="507"/>
      <c r="DZ166" s="507"/>
      <c r="EA166" s="507"/>
      <c r="EB166" s="507"/>
      <c r="EC166" s="507"/>
      <c r="ED166" s="507"/>
      <c r="EE166" s="507"/>
      <c r="EF166" s="507"/>
      <c r="EG166" s="507"/>
      <c r="EH166" s="507"/>
      <c r="EI166" s="507"/>
      <c r="EJ166" s="507"/>
      <c r="EK166" s="507"/>
      <c r="EL166" s="507"/>
      <c r="EM166" s="507"/>
      <c r="EN166" s="507"/>
      <c r="EO166" s="507"/>
      <c r="EP166" s="507"/>
      <c r="EQ166" s="507"/>
      <c r="ER166" s="507"/>
      <c r="ES166" s="507"/>
      <c r="ET166" s="507"/>
      <c r="EU166" s="507"/>
      <c r="EV166" s="507"/>
      <c r="EW166" s="507"/>
      <c r="EX166" s="507"/>
      <c r="EY166" s="507"/>
      <c r="EZ166" s="507"/>
      <c r="FA166" s="507"/>
      <c r="FB166" s="507"/>
      <c r="FC166" s="507"/>
      <c r="FD166" s="507"/>
      <c r="FE166" s="507"/>
      <c r="FF166" s="507"/>
      <c r="FG166" s="507"/>
      <c r="FH166" s="507"/>
      <c r="FI166" s="507"/>
      <c r="FJ166" s="507"/>
      <c r="FK166" s="507"/>
      <c r="FL166" s="507"/>
      <c r="FM166" s="507"/>
      <c r="FN166" s="507"/>
      <c r="FO166" s="507"/>
      <c r="FP166" s="507"/>
      <c r="FQ166" s="507"/>
      <c r="FR166" s="507"/>
      <c r="FS166" s="507"/>
      <c r="FT166" s="507"/>
      <c r="FU166" s="507"/>
      <c r="FV166" s="507"/>
      <c r="FW166" s="507"/>
      <c r="FX166" s="507"/>
      <c r="FY166" s="507"/>
      <c r="FZ166" s="507"/>
      <c r="GA166" s="507"/>
      <c r="GB166" s="507"/>
      <c r="GC166" s="507"/>
      <c r="GD166" s="507"/>
      <c r="GE166" s="507"/>
      <c r="GF166" s="507"/>
      <c r="GG166" s="507"/>
      <c r="GH166" s="507"/>
      <c r="GI166" s="507"/>
      <c r="GJ166" s="507"/>
      <c r="GK166" s="507"/>
      <c r="GL166" s="507"/>
      <c r="GM166" s="507"/>
      <c r="GN166" s="507"/>
      <c r="GO166" s="507"/>
      <c r="GP166" s="507"/>
      <c r="GQ166" s="507"/>
      <c r="GR166" s="507"/>
      <c r="GS166" s="507"/>
      <c r="GT166" s="507"/>
      <c r="GU166" s="507"/>
      <c r="GV166" s="507"/>
      <c r="GW166" s="507"/>
      <c r="GX166" s="507"/>
      <c r="GY166" s="507"/>
      <c r="GZ166" s="507"/>
      <c r="HA166" s="507"/>
      <c r="HB166" s="507"/>
      <c r="HC166" s="507"/>
      <c r="HD166" s="507"/>
      <c r="HE166" s="507"/>
      <c r="HF166" s="507"/>
      <c r="HG166" s="507"/>
      <c r="HH166" s="507"/>
      <c r="HI166" s="507"/>
      <c r="HJ166" s="507"/>
      <c r="HK166" s="507"/>
      <c r="HL166" s="507"/>
      <c r="HM166" s="507"/>
      <c r="HN166" s="507"/>
      <c r="HO166" s="507"/>
      <c r="HP166" s="507"/>
      <c r="HQ166" s="507"/>
      <c r="HR166" s="507"/>
      <c r="HS166" s="507"/>
      <c r="HT166" s="507"/>
      <c r="HU166" s="507"/>
      <c r="HV166" s="507"/>
      <c r="HW166" s="507"/>
      <c r="HX166" s="507"/>
      <c r="HY166" s="507"/>
      <c r="HZ166" s="507"/>
    </row>
    <row r="167" spans="1:234" s="232" customFormat="1" ht="15.9" hidden="1" customHeight="1" x14ac:dyDescent="0.25">
      <c r="A167" s="522" t="s">
        <v>1340</v>
      </c>
      <c r="B167" s="523" t="s">
        <v>997</v>
      </c>
      <c r="C167" s="527" t="s">
        <v>2970</v>
      </c>
      <c r="D167" s="570" t="s">
        <v>3310</v>
      </c>
      <c r="E167" s="569" t="s">
        <v>3228</v>
      </c>
      <c r="F167" s="543">
        <v>39337</v>
      </c>
      <c r="G167" s="544">
        <v>39295</v>
      </c>
      <c r="H167" s="557">
        <v>39330</v>
      </c>
      <c r="I167" s="546">
        <v>41010</v>
      </c>
      <c r="J167" s="547">
        <v>10</v>
      </c>
      <c r="K167" s="553" t="s">
        <v>3229</v>
      </c>
      <c r="L167" s="552" t="s">
        <v>3229</v>
      </c>
      <c r="M167" s="549">
        <v>0</v>
      </c>
      <c r="N167" s="606">
        <v>1.5</v>
      </c>
      <c r="O167" s="551" t="s">
        <v>3229</v>
      </c>
      <c r="P167" s="576" t="s">
        <v>3229</v>
      </c>
      <c r="Q167" s="570" t="s">
        <v>3229</v>
      </c>
      <c r="R167" s="570" t="s">
        <v>3229</v>
      </c>
      <c r="S167" s="577"/>
      <c r="T167" s="555" t="s">
        <v>3229</v>
      </c>
      <c r="U167" s="555" t="s">
        <v>3229</v>
      </c>
      <c r="V167" s="555" t="s">
        <v>3229</v>
      </c>
      <c r="W167" s="555" t="s">
        <v>3229</v>
      </c>
      <c r="X167" s="555" t="s">
        <v>3229</v>
      </c>
      <c r="Y167" s="553" t="s">
        <v>3229</v>
      </c>
      <c r="Z167" s="553" t="s">
        <v>3229</v>
      </c>
      <c r="AA167" s="553" t="s">
        <v>3229</v>
      </c>
      <c r="AB167" s="553" t="s">
        <v>3229</v>
      </c>
      <c r="AC167" s="553" t="s">
        <v>3229</v>
      </c>
      <c r="AD167" s="553" t="s">
        <v>3229</v>
      </c>
      <c r="AE167" s="553" t="s">
        <v>3229</v>
      </c>
      <c r="AF167" s="3764" t="s">
        <v>781</v>
      </c>
      <c r="AG167" s="3765"/>
      <c r="AH167" s="553" t="s">
        <v>3229</v>
      </c>
      <c r="AI167" s="553" t="s">
        <v>3229</v>
      </c>
      <c r="AJ167" s="553" t="s">
        <v>3229</v>
      </c>
      <c r="AK167" s="566" t="s">
        <v>3229</v>
      </c>
      <c r="AL167" s="553" t="s">
        <v>3229</v>
      </c>
      <c r="AM167" s="659">
        <v>1</v>
      </c>
      <c r="AN167" s="606">
        <v>0</v>
      </c>
      <c r="AO167" s="660">
        <v>10</v>
      </c>
      <c r="AP167" s="1368">
        <v>-0.28564844444444448</v>
      </c>
      <c r="AQ167" s="675">
        <v>-0.31271194502505595</v>
      </c>
      <c r="AR167" s="632" t="s">
        <v>3660</v>
      </c>
      <c r="AS167" s="558"/>
      <c r="AT167" s="598"/>
      <c r="AU167" s="552"/>
      <c r="AV167" s="558">
        <f t="shared" si="27"/>
        <v>0</v>
      </c>
      <c r="AW167" s="558">
        <f>POWER(1+AV167,1/((I167-F167)/365))-1</f>
        <v>0</v>
      </c>
      <c r="AX167" s="553"/>
      <c r="AY167" s="552"/>
      <c r="AZ167" s="642">
        <f>J167*(1+AV167)</f>
        <v>10</v>
      </c>
      <c r="BA167" s="644" t="s">
        <v>4427</v>
      </c>
      <c r="BB167" s="570"/>
      <c r="BC167" s="637"/>
      <c r="BD167" s="3708"/>
      <c r="BE167" s="3743"/>
      <c r="BF167" s="3743"/>
      <c r="BG167" s="3708"/>
      <c r="BH167" s="3762"/>
      <c r="BI167" s="3762"/>
      <c r="BJ167" s="39"/>
      <c r="BK167" s="39"/>
      <c r="BL167" s="39"/>
      <c r="BM167" s="39"/>
      <c r="BN167" s="39"/>
      <c r="BO167" s="39"/>
      <c r="BP167" s="39"/>
      <c r="BQ167" s="39"/>
      <c r="BR167" s="39"/>
      <c r="BS167" s="507"/>
      <c r="BT167" s="507"/>
      <c r="BU167" s="507"/>
      <c r="BV167" s="507"/>
      <c r="BW167" s="507"/>
      <c r="BX167" s="507"/>
      <c r="BY167" s="507"/>
      <c r="BZ167" s="507"/>
      <c r="CA167" s="507"/>
      <c r="CB167" s="507"/>
      <c r="CC167" s="507"/>
      <c r="CD167" s="507"/>
      <c r="CE167" s="507"/>
      <c r="CF167" s="507"/>
      <c r="CG167" s="507"/>
      <c r="CH167" s="507"/>
      <c r="CI167" s="507"/>
      <c r="CJ167" s="507"/>
      <c r="CK167" s="507"/>
      <c r="CL167" s="507"/>
      <c r="CM167" s="507"/>
      <c r="CN167" s="507"/>
      <c r="CO167" s="507"/>
      <c r="CP167" s="507"/>
      <c r="CQ167" s="507"/>
      <c r="CR167" s="507"/>
      <c r="CS167" s="507"/>
      <c r="CT167" s="507"/>
      <c r="CU167" s="507"/>
      <c r="CV167" s="507"/>
      <c r="CW167" s="507"/>
      <c r="CX167" s="507"/>
      <c r="CY167" s="507"/>
      <c r="CZ167" s="507"/>
      <c r="DA167" s="507"/>
      <c r="DB167" s="507"/>
      <c r="DC167" s="507"/>
      <c r="DD167" s="507"/>
      <c r="DE167" s="507"/>
      <c r="DF167" s="507"/>
      <c r="DG167" s="507"/>
      <c r="DH167" s="507"/>
      <c r="DI167" s="507"/>
      <c r="DJ167" s="507"/>
      <c r="DK167" s="507"/>
      <c r="DL167" s="507"/>
      <c r="DM167" s="507"/>
      <c r="DN167" s="507"/>
      <c r="DO167" s="507"/>
      <c r="DP167" s="507"/>
      <c r="DQ167" s="507"/>
      <c r="DR167" s="507"/>
      <c r="DS167" s="507"/>
      <c r="DT167" s="507"/>
      <c r="DU167" s="507"/>
      <c r="DV167" s="507"/>
      <c r="DW167" s="507"/>
      <c r="DX167" s="507"/>
      <c r="DY167" s="507"/>
      <c r="DZ167" s="507"/>
      <c r="EA167" s="507"/>
      <c r="EB167" s="507"/>
      <c r="EC167" s="507"/>
      <c r="ED167" s="507"/>
      <c r="EE167" s="507"/>
      <c r="EF167" s="507"/>
      <c r="EG167" s="507"/>
      <c r="EH167" s="507"/>
      <c r="EI167" s="507"/>
      <c r="EJ167" s="507"/>
      <c r="EK167" s="507"/>
      <c r="EL167" s="507"/>
      <c r="EM167" s="507"/>
      <c r="EN167" s="507"/>
      <c r="EO167" s="507"/>
      <c r="EP167" s="507"/>
      <c r="EQ167" s="507"/>
      <c r="ER167" s="507"/>
      <c r="ES167" s="507"/>
      <c r="ET167" s="507"/>
      <c r="EU167" s="507"/>
      <c r="EV167" s="507"/>
      <c r="EW167" s="507"/>
      <c r="EX167" s="507"/>
      <c r="EY167" s="507"/>
      <c r="EZ167" s="507"/>
      <c r="FA167" s="507"/>
      <c r="FB167" s="507"/>
      <c r="FC167" s="507"/>
      <c r="FD167" s="507"/>
      <c r="FE167" s="507"/>
      <c r="FF167" s="507"/>
      <c r="FG167" s="507"/>
      <c r="FH167" s="507"/>
      <c r="FI167" s="507"/>
      <c r="FJ167" s="507"/>
      <c r="FK167" s="507"/>
      <c r="FL167" s="507"/>
      <c r="FM167" s="507"/>
      <c r="FN167" s="507"/>
      <c r="FO167" s="507"/>
      <c r="FP167" s="507"/>
      <c r="FQ167" s="507"/>
      <c r="FR167" s="507"/>
      <c r="FS167" s="507"/>
      <c r="FT167" s="507"/>
      <c r="FU167" s="507"/>
      <c r="FV167" s="507"/>
      <c r="FW167" s="507"/>
      <c r="FX167" s="507"/>
      <c r="FY167" s="507"/>
      <c r="FZ167" s="507"/>
      <c r="GA167" s="507"/>
      <c r="GB167" s="507"/>
      <c r="GC167" s="507"/>
      <c r="GD167" s="507"/>
      <c r="GE167" s="507"/>
      <c r="GF167" s="507"/>
      <c r="GG167" s="507"/>
      <c r="GH167" s="507"/>
      <c r="GI167" s="507"/>
      <c r="GJ167" s="507"/>
      <c r="GK167" s="507"/>
      <c r="GL167" s="507"/>
      <c r="GM167" s="507"/>
      <c r="GN167" s="507"/>
      <c r="GO167" s="507"/>
      <c r="GP167" s="507"/>
      <c r="GQ167" s="507"/>
      <c r="GR167" s="507"/>
      <c r="GS167" s="507"/>
      <c r="GT167" s="507"/>
      <c r="GU167" s="507"/>
      <c r="GV167" s="507"/>
      <c r="GW167" s="507"/>
      <c r="GX167" s="507"/>
      <c r="GY167" s="507"/>
      <c r="GZ167" s="507"/>
      <c r="HA167" s="507"/>
      <c r="HB167" s="507"/>
      <c r="HC167" s="507"/>
      <c r="HD167" s="507"/>
      <c r="HE167" s="507"/>
      <c r="HF167" s="507"/>
      <c r="HG167" s="507"/>
      <c r="HH167" s="507"/>
      <c r="HI167" s="507"/>
      <c r="HJ167" s="507"/>
      <c r="HK167" s="507"/>
      <c r="HL167" s="507"/>
      <c r="HM167" s="507"/>
      <c r="HN167" s="507"/>
      <c r="HO167" s="507"/>
      <c r="HP167" s="507"/>
      <c r="HQ167" s="507"/>
      <c r="HR167" s="507"/>
      <c r="HS167" s="507"/>
      <c r="HT167" s="507"/>
      <c r="HU167" s="507"/>
      <c r="HV167" s="507"/>
      <c r="HW167" s="507"/>
      <c r="HX167" s="507"/>
      <c r="HY167" s="507"/>
      <c r="HZ167" s="507"/>
    </row>
    <row r="168" spans="1:234" s="232" customFormat="1" ht="15.9" hidden="1" customHeight="1" x14ac:dyDescent="0.25">
      <c r="A168" s="522" t="s">
        <v>1342</v>
      </c>
      <c r="B168" s="523" t="s">
        <v>1202</v>
      </c>
      <c r="C168" s="527" t="s">
        <v>4480</v>
      </c>
      <c r="D168" s="570" t="s">
        <v>2158</v>
      </c>
      <c r="E168" s="569" t="s">
        <v>3228</v>
      </c>
      <c r="F168" s="543">
        <v>39372</v>
      </c>
      <c r="G168" s="544">
        <v>39328</v>
      </c>
      <c r="H168" s="557">
        <v>39352</v>
      </c>
      <c r="I168" s="546">
        <v>41029</v>
      </c>
      <c r="J168" s="547">
        <v>10</v>
      </c>
      <c r="K168" s="553" t="s">
        <v>3229</v>
      </c>
      <c r="L168" s="552" t="s">
        <v>3229</v>
      </c>
      <c r="M168" s="549">
        <v>0</v>
      </c>
      <c r="N168" s="606">
        <v>1.2</v>
      </c>
      <c r="O168" s="551"/>
      <c r="P168" s="576"/>
      <c r="Q168" s="570" t="s">
        <v>3229</v>
      </c>
      <c r="R168" s="570" t="s">
        <v>3229</v>
      </c>
      <c r="S168" s="577"/>
      <c r="T168" s="555" t="s">
        <v>3229</v>
      </c>
      <c r="U168" s="555" t="s">
        <v>3229</v>
      </c>
      <c r="V168" s="555" t="s">
        <v>3229</v>
      </c>
      <c r="W168" s="555" t="s">
        <v>3229</v>
      </c>
      <c r="X168" s="555" t="s">
        <v>3229</v>
      </c>
      <c r="Y168" s="553" t="s">
        <v>3229</v>
      </c>
      <c r="Z168" s="553" t="s">
        <v>3229</v>
      </c>
      <c r="AA168" s="553" t="s">
        <v>3229</v>
      </c>
      <c r="AB168" s="553" t="s">
        <v>3229</v>
      </c>
      <c r="AC168" s="553" t="s">
        <v>3229</v>
      </c>
      <c r="AD168" s="553" t="s">
        <v>3229</v>
      </c>
      <c r="AE168" s="553" t="s">
        <v>3229</v>
      </c>
      <c r="AF168" s="3764" t="s">
        <v>781</v>
      </c>
      <c r="AG168" s="3765"/>
      <c r="AH168" s="553" t="s">
        <v>3229</v>
      </c>
      <c r="AI168" s="553" t="s">
        <v>3229</v>
      </c>
      <c r="AJ168" s="553" t="s">
        <v>3229</v>
      </c>
      <c r="AK168" s="566" t="s">
        <v>3229</v>
      </c>
      <c r="AL168" s="553" t="s">
        <v>3229</v>
      </c>
      <c r="AM168" s="659">
        <v>1</v>
      </c>
      <c r="AN168" s="606">
        <v>0</v>
      </c>
      <c r="AO168" s="660">
        <v>10.02</v>
      </c>
      <c r="AP168" s="1368">
        <v>-0.10470500000000005</v>
      </c>
      <c r="AQ168" s="675">
        <v>-0.10470500000000005</v>
      </c>
      <c r="AR168" s="632" t="s">
        <v>3660</v>
      </c>
      <c r="AS168" s="558"/>
      <c r="AT168" s="598"/>
      <c r="AU168" s="552"/>
      <c r="AV168" s="558">
        <v>0</v>
      </c>
      <c r="AW168" s="558">
        <v>0</v>
      </c>
      <c r="AX168" s="553"/>
      <c r="AY168" s="552"/>
      <c r="AZ168" s="642">
        <v>10</v>
      </c>
      <c r="BA168" s="644" t="s">
        <v>3190</v>
      </c>
      <c r="BB168" s="570"/>
      <c r="BC168" s="637"/>
      <c r="BD168" s="3708"/>
      <c r="BE168" s="3743"/>
      <c r="BF168" s="3743"/>
      <c r="BG168" s="3708"/>
      <c r="BH168" s="3762"/>
      <c r="BI168" s="3762"/>
      <c r="BJ168" s="39"/>
      <c r="BK168" s="39"/>
      <c r="BL168" s="39"/>
      <c r="BM168" s="39"/>
      <c r="BN168" s="39"/>
      <c r="BO168" s="39"/>
      <c r="BP168" s="39"/>
      <c r="BQ168" s="39"/>
      <c r="BR168" s="39"/>
      <c r="BS168" s="507"/>
      <c r="BT168" s="507"/>
      <c r="BU168" s="507"/>
      <c r="BV168" s="507"/>
      <c r="BW168" s="507"/>
      <c r="BX168" s="507"/>
      <c r="BY168" s="507"/>
      <c r="BZ168" s="507"/>
      <c r="CA168" s="507"/>
      <c r="CB168" s="507"/>
      <c r="CC168" s="507"/>
      <c r="CD168" s="507"/>
      <c r="CE168" s="507"/>
      <c r="CF168" s="507"/>
      <c r="CG168" s="507"/>
      <c r="CH168" s="507"/>
      <c r="CI168" s="507"/>
      <c r="CJ168" s="507"/>
      <c r="CK168" s="507"/>
      <c r="CL168" s="507"/>
      <c r="CM168" s="507"/>
      <c r="CN168" s="507"/>
      <c r="CO168" s="507"/>
      <c r="CP168" s="507"/>
      <c r="CQ168" s="507"/>
      <c r="CR168" s="507"/>
      <c r="CS168" s="507"/>
      <c r="CT168" s="507"/>
      <c r="CU168" s="507"/>
      <c r="CV168" s="507"/>
      <c r="CW168" s="507"/>
      <c r="CX168" s="507"/>
      <c r="CY168" s="507"/>
      <c r="CZ168" s="507"/>
      <c r="DA168" s="507"/>
      <c r="DB168" s="507"/>
      <c r="DC168" s="507"/>
      <c r="DD168" s="507"/>
      <c r="DE168" s="507"/>
      <c r="DF168" s="507"/>
      <c r="DG168" s="507"/>
      <c r="DH168" s="507"/>
      <c r="DI168" s="507"/>
      <c r="DJ168" s="507"/>
      <c r="DK168" s="507"/>
      <c r="DL168" s="507"/>
      <c r="DM168" s="507"/>
      <c r="DN168" s="507"/>
      <c r="DO168" s="507"/>
      <c r="DP168" s="507"/>
      <c r="DQ168" s="507"/>
      <c r="DR168" s="507"/>
      <c r="DS168" s="507"/>
      <c r="DT168" s="507"/>
      <c r="DU168" s="507"/>
      <c r="DV168" s="507"/>
      <c r="DW168" s="507"/>
      <c r="DX168" s="507"/>
      <c r="DY168" s="507"/>
      <c r="DZ168" s="507"/>
      <c r="EA168" s="507"/>
      <c r="EB168" s="507"/>
      <c r="EC168" s="507"/>
      <c r="ED168" s="507"/>
      <c r="EE168" s="507"/>
      <c r="EF168" s="507"/>
      <c r="EG168" s="507"/>
      <c r="EH168" s="507"/>
      <c r="EI168" s="507"/>
      <c r="EJ168" s="507"/>
      <c r="EK168" s="507"/>
      <c r="EL168" s="507"/>
      <c r="EM168" s="507"/>
      <c r="EN168" s="507"/>
      <c r="EO168" s="507"/>
      <c r="EP168" s="507"/>
      <c r="EQ168" s="507"/>
      <c r="ER168" s="507"/>
      <c r="ES168" s="507"/>
      <c r="ET168" s="507"/>
      <c r="EU168" s="507"/>
      <c r="EV168" s="507"/>
      <c r="EW168" s="507"/>
      <c r="EX168" s="507"/>
      <c r="EY168" s="507"/>
      <c r="EZ168" s="507"/>
      <c r="FA168" s="507"/>
      <c r="FB168" s="507"/>
      <c r="FC168" s="507"/>
      <c r="FD168" s="507"/>
      <c r="FE168" s="507"/>
      <c r="FF168" s="507"/>
      <c r="FG168" s="507"/>
      <c r="FH168" s="507"/>
      <c r="FI168" s="507"/>
      <c r="FJ168" s="507"/>
      <c r="FK168" s="507"/>
      <c r="FL168" s="507"/>
      <c r="FM168" s="507"/>
      <c r="FN168" s="507"/>
      <c r="FO168" s="507"/>
      <c r="FP168" s="507"/>
      <c r="FQ168" s="507"/>
      <c r="FR168" s="507"/>
      <c r="FS168" s="507"/>
      <c r="FT168" s="507"/>
      <c r="FU168" s="507"/>
      <c r="FV168" s="507"/>
      <c r="FW168" s="507"/>
      <c r="FX168" s="507"/>
      <c r="FY168" s="507"/>
      <c r="FZ168" s="507"/>
      <c r="GA168" s="507"/>
      <c r="GB168" s="507"/>
      <c r="GC168" s="507"/>
      <c r="GD168" s="507"/>
      <c r="GE168" s="507"/>
      <c r="GF168" s="507"/>
      <c r="GG168" s="507"/>
      <c r="GH168" s="507"/>
      <c r="GI168" s="507"/>
      <c r="GJ168" s="507"/>
      <c r="GK168" s="507"/>
      <c r="GL168" s="507"/>
      <c r="GM168" s="507"/>
      <c r="GN168" s="507"/>
      <c r="GO168" s="507"/>
      <c r="GP168" s="507"/>
      <c r="GQ168" s="507"/>
      <c r="GR168" s="507"/>
      <c r="GS168" s="507"/>
      <c r="GT168" s="507"/>
      <c r="GU168" s="507"/>
      <c r="GV168" s="507"/>
      <c r="GW168" s="507"/>
      <c r="GX168" s="507"/>
      <c r="GY168" s="507"/>
      <c r="GZ168" s="507"/>
      <c r="HA168" s="507"/>
      <c r="HB168" s="507"/>
      <c r="HC168" s="507"/>
      <c r="HD168" s="507"/>
      <c r="HE168" s="507"/>
      <c r="HF168" s="507"/>
      <c r="HG168" s="507"/>
      <c r="HH168" s="507"/>
      <c r="HI168" s="507"/>
      <c r="HJ168" s="507"/>
      <c r="HK168" s="507"/>
      <c r="HL168" s="507"/>
      <c r="HM168" s="507"/>
      <c r="HN168" s="507"/>
      <c r="HO168" s="507"/>
      <c r="HP168" s="507"/>
      <c r="HQ168" s="507"/>
      <c r="HR168" s="507"/>
      <c r="HS168" s="507"/>
      <c r="HT168" s="507"/>
      <c r="HU168" s="507"/>
      <c r="HV168" s="507"/>
      <c r="HW168" s="507"/>
      <c r="HX168" s="507"/>
      <c r="HY168" s="507"/>
      <c r="HZ168" s="507"/>
    </row>
    <row r="169" spans="1:234" s="206" customFormat="1" ht="15.9" hidden="1" customHeight="1" x14ac:dyDescent="0.25">
      <c r="A169" s="522" t="s">
        <v>1344</v>
      </c>
      <c r="B169" s="523" t="s">
        <v>998</v>
      </c>
      <c r="C169" s="527" t="s">
        <v>4188</v>
      </c>
      <c r="D169" s="570" t="s">
        <v>2158</v>
      </c>
      <c r="E169" s="569" t="s">
        <v>3228</v>
      </c>
      <c r="F169" s="543">
        <v>39360</v>
      </c>
      <c r="G169" s="544">
        <v>39328</v>
      </c>
      <c r="H169" s="557">
        <v>39352</v>
      </c>
      <c r="I169" s="546">
        <v>40268</v>
      </c>
      <c r="J169" s="547">
        <v>10</v>
      </c>
      <c r="K169" s="553" t="s">
        <v>3229</v>
      </c>
      <c r="L169" s="552" t="s">
        <v>3229</v>
      </c>
      <c r="M169" s="549">
        <v>0</v>
      </c>
      <c r="N169" s="606" t="s">
        <v>3229</v>
      </c>
      <c r="O169" s="551" t="s">
        <v>3229</v>
      </c>
      <c r="P169" s="576">
        <v>0.5</v>
      </c>
      <c r="Q169" s="570" t="s">
        <v>3229</v>
      </c>
      <c r="R169" s="570" t="s">
        <v>3229</v>
      </c>
      <c r="S169" s="577"/>
      <c r="T169" s="3779" t="s">
        <v>250</v>
      </c>
      <c r="U169" s="3780"/>
      <c r="V169" s="3780"/>
      <c r="W169" s="3780"/>
      <c r="X169" s="3780"/>
      <c r="Y169" s="3780"/>
      <c r="Z169" s="3780"/>
      <c r="AA169" s="3780"/>
      <c r="AB169" s="3780"/>
      <c r="AC169" s="3780"/>
      <c r="AD169" s="3780"/>
      <c r="AE169" s="3781"/>
      <c r="AF169" s="3764" t="s">
        <v>781</v>
      </c>
      <c r="AG169" s="3765"/>
      <c r="AH169" s="553">
        <v>1</v>
      </c>
      <c r="AI169" s="553" t="s">
        <v>3229</v>
      </c>
      <c r="AJ169" s="553" t="s">
        <v>3229</v>
      </c>
      <c r="AK169" s="566" t="s">
        <v>3229</v>
      </c>
      <c r="AL169" s="553" t="s">
        <v>3229</v>
      </c>
      <c r="AM169" s="659" t="s">
        <v>3229</v>
      </c>
      <c r="AN169" s="606">
        <v>0</v>
      </c>
      <c r="AO169" s="660">
        <v>10</v>
      </c>
      <c r="AP169" s="1368" t="s">
        <v>3229</v>
      </c>
      <c r="AQ169" s="675" t="s">
        <v>3229</v>
      </c>
      <c r="AR169" s="632">
        <f>AN169</f>
        <v>0</v>
      </c>
      <c r="AS169" s="558">
        <f>POWER(1+AR169,1/((I169-F169)/365))-1</f>
        <v>0</v>
      </c>
      <c r="AT169" s="598"/>
      <c r="AU169" s="552"/>
      <c r="AV169" s="558">
        <f t="shared" si="27"/>
        <v>0</v>
      </c>
      <c r="AW169" s="558">
        <f>POWER(1+AV169,1/((I169-F169)/365))-1</f>
        <v>0</v>
      </c>
      <c r="AX169" s="553"/>
      <c r="AY169" s="552"/>
      <c r="AZ169" s="642">
        <f t="shared" ref="AZ169:AZ185" si="28">J169*(1+AV169)</f>
        <v>10</v>
      </c>
      <c r="BA169" s="644" t="s">
        <v>3191</v>
      </c>
      <c r="BB169" s="570"/>
      <c r="BC169" s="637"/>
      <c r="BD169" s="3708"/>
      <c r="BE169" s="3743"/>
      <c r="BF169" s="3743"/>
      <c r="BG169" s="3708"/>
      <c r="BH169" s="3762"/>
      <c r="BI169" s="3762"/>
      <c r="BJ169" s="39"/>
      <c r="BK169" s="39"/>
      <c r="BL169" s="39"/>
      <c r="BM169" s="39"/>
      <c r="BN169" s="39"/>
      <c r="BO169" s="39"/>
      <c r="BP169" s="39"/>
      <c r="BQ169" s="39"/>
      <c r="BR169" s="39"/>
      <c r="BS169" s="507"/>
      <c r="BT169" s="507"/>
      <c r="BU169" s="507"/>
      <c r="BV169" s="507"/>
      <c r="BW169" s="507"/>
      <c r="BX169" s="507"/>
      <c r="BY169" s="507"/>
      <c r="BZ169" s="507"/>
      <c r="CA169" s="507"/>
      <c r="CB169" s="507"/>
      <c r="CC169" s="507"/>
      <c r="CD169" s="507"/>
      <c r="CE169" s="507"/>
      <c r="CF169" s="507"/>
      <c r="CG169" s="507"/>
      <c r="CH169" s="507"/>
      <c r="CI169" s="507"/>
      <c r="CJ169" s="507"/>
      <c r="CK169" s="507"/>
      <c r="CL169" s="507"/>
      <c r="CM169" s="507"/>
      <c r="CN169" s="507"/>
      <c r="CO169" s="507"/>
      <c r="CP169" s="507"/>
      <c r="CQ169" s="507"/>
      <c r="CR169" s="507"/>
      <c r="CS169" s="507"/>
      <c r="CT169" s="507"/>
      <c r="CU169" s="507"/>
      <c r="CV169" s="507"/>
      <c r="CW169" s="507"/>
      <c r="CX169" s="507"/>
      <c r="CY169" s="507"/>
      <c r="CZ169" s="507"/>
      <c r="DA169" s="507"/>
      <c r="DB169" s="507"/>
      <c r="DC169" s="507"/>
      <c r="DD169" s="507"/>
      <c r="DE169" s="507"/>
      <c r="DF169" s="507"/>
      <c r="DG169" s="507"/>
      <c r="DH169" s="507"/>
      <c r="DI169" s="507"/>
      <c r="DJ169" s="507"/>
      <c r="DK169" s="507"/>
      <c r="DL169" s="507"/>
      <c r="DM169" s="507"/>
      <c r="DN169" s="507"/>
      <c r="DO169" s="507"/>
      <c r="DP169" s="507"/>
      <c r="DQ169" s="507"/>
      <c r="DR169" s="507"/>
      <c r="DS169" s="507"/>
      <c r="DT169" s="507"/>
      <c r="DU169" s="507"/>
      <c r="DV169" s="507"/>
      <c r="DW169" s="507"/>
      <c r="DX169" s="507"/>
      <c r="DY169" s="507"/>
      <c r="DZ169" s="507"/>
      <c r="EA169" s="507"/>
      <c r="EB169" s="507"/>
      <c r="EC169" s="507"/>
      <c r="ED169" s="507"/>
      <c r="EE169" s="507"/>
      <c r="EF169" s="507"/>
      <c r="EG169" s="507"/>
      <c r="EH169" s="507"/>
      <c r="EI169" s="507"/>
      <c r="EJ169" s="507"/>
      <c r="EK169" s="507"/>
      <c r="EL169" s="507"/>
      <c r="EM169" s="507"/>
      <c r="EN169" s="507"/>
      <c r="EO169" s="507"/>
      <c r="EP169" s="507"/>
      <c r="EQ169" s="507"/>
      <c r="ER169" s="507"/>
      <c r="ES169" s="507"/>
      <c r="ET169" s="507"/>
      <c r="EU169" s="507"/>
      <c r="EV169" s="507"/>
      <c r="EW169" s="507"/>
      <c r="EX169" s="507"/>
      <c r="EY169" s="507"/>
      <c r="EZ169" s="507"/>
      <c r="FA169" s="507"/>
      <c r="FB169" s="507"/>
      <c r="FC169" s="507"/>
      <c r="FD169" s="507"/>
      <c r="FE169" s="507"/>
      <c r="FF169" s="507"/>
      <c r="FG169" s="507"/>
      <c r="FH169" s="507"/>
      <c r="FI169" s="507"/>
      <c r="FJ169" s="507"/>
      <c r="FK169" s="507"/>
      <c r="FL169" s="507"/>
      <c r="FM169" s="507"/>
      <c r="FN169" s="507"/>
      <c r="FO169" s="507"/>
      <c r="FP169" s="507"/>
      <c r="FQ169" s="507"/>
      <c r="FR169" s="507"/>
      <c r="FS169" s="507"/>
      <c r="FT169" s="507"/>
      <c r="FU169" s="507"/>
      <c r="FV169" s="507"/>
      <c r="FW169" s="507"/>
      <c r="FX169" s="507"/>
      <c r="FY169" s="507"/>
      <c r="FZ169" s="507"/>
      <c r="GA169" s="507"/>
      <c r="GB169" s="507"/>
      <c r="GC169" s="507"/>
      <c r="GD169" s="507"/>
      <c r="GE169" s="507"/>
      <c r="GF169" s="507"/>
      <c r="GG169" s="507"/>
      <c r="GH169" s="507"/>
      <c r="GI169" s="507"/>
      <c r="GJ169" s="507"/>
      <c r="GK169" s="507"/>
      <c r="GL169" s="507"/>
      <c r="GM169" s="507"/>
      <c r="GN169" s="507"/>
      <c r="GO169" s="507"/>
      <c r="GP169" s="507"/>
      <c r="GQ169" s="507"/>
      <c r="GR169" s="507"/>
      <c r="GS169" s="507"/>
      <c r="GT169" s="507"/>
      <c r="GU169" s="507"/>
      <c r="GV169" s="507"/>
      <c r="GW169" s="507"/>
      <c r="GX169" s="507"/>
      <c r="GY169" s="507"/>
      <c r="GZ169" s="507"/>
      <c r="HA169" s="507"/>
      <c r="HB169" s="507"/>
      <c r="HC169" s="507"/>
      <c r="HD169" s="507"/>
      <c r="HE169" s="507"/>
      <c r="HF169" s="507"/>
      <c r="HG169" s="507"/>
      <c r="HH169" s="507"/>
      <c r="HI169" s="507"/>
      <c r="HJ169" s="507"/>
      <c r="HK169" s="507"/>
      <c r="HL169" s="507"/>
      <c r="HM169" s="507"/>
      <c r="HN169" s="507"/>
      <c r="HO169" s="507"/>
      <c r="HP169" s="507"/>
      <c r="HQ169" s="507"/>
      <c r="HR169" s="507"/>
      <c r="HS169" s="507"/>
      <c r="HT169" s="507"/>
      <c r="HU169" s="507"/>
      <c r="HV169" s="507"/>
      <c r="HW169" s="507"/>
      <c r="HX169" s="507"/>
      <c r="HY169" s="507"/>
      <c r="HZ169" s="507"/>
    </row>
    <row r="170" spans="1:234" s="206" customFormat="1" ht="15.9" hidden="1" customHeight="1" x14ac:dyDescent="0.25">
      <c r="A170" s="522" t="s">
        <v>2788</v>
      </c>
      <c r="B170" s="523" t="s">
        <v>3906</v>
      </c>
      <c r="C170" s="527" t="s">
        <v>4189</v>
      </c>
      <c r="D170" s="570" t="s">
        <v>2158</v>
      </c>
      <c r="E170" s="569" t="s">
        <v>3228</v>
      </c>
      <c r="F170" s="543">
        <v>39360</v>
      </c>
      <c r="G170" s="544">
        <v>39328</v>
      </c>
      <c r="H170" s="557">
        <v>39352</v>
      </c>
      <c r="I170" s="546">
        <v>40662</v>
      </c>
      <c r="J170" s="547">
        <v>10</v>
      </c>
      <c r="K170" s="553" t="s">
        <v>3229</v>
      </c>
      <c r="L170" s="552" t="s">
        <v>3229</v>
      </c>
      <c r="M170" s="549">
        <v>0</v>
      </c>
      <c r="N170" s="606">
        <v>1.1000000000000001</v>
      </c>
      <c r="O170" s="551" t="s">
        <v>3229</v>
      </c>
      <c r="P170" s="576" t="s">
        <v>3229</v>
      </c>
      <c r="Q170" s="570" t="s">
        <v>3229</v>
      </c>
      <c r="R170" s="570" t="s">
        <v>3229</v>
      </c>
      <c r="S170" s="577"/>
      <c r="T170" s="555" t="s">
        <v>3229</v>
      </c>
      <c r="U170" s="555" t="s">
        <v>3229</v>
      </c>
      <c r="V170" s="555" t="s">
        <v>3229</v>
      </c>
      <c r="W170" s="555" t="s">
        <v>3229</v>
      </c>
      <c r="X170" s="555" t="s">
        <v>3229</v>
      </c>
      <c r="Y170" s="553" t="s">
        <v>3229</v>
      </c>
      <c r="Z170" s="553" t="s">
        <v>3229</v>
      </c>
      <c r="AA170" s="553" t="s">
        <v>3229</v>
      </c>
      <c r="AB170" s="553" t="s">
        <v>3229</v>
      </c>
      <c r="AC170" s="553" t="s">
        <v>3229</v>
      </c>
      <c r="AD170" s="553" t="s">
        <v>3229</v>
      </c>
      <c r="AE170" s="553" t="s">
        <v>3229</v>
      </c>
      <c r="AF170" s="3764" t="s">
        <v>781</v>
      </c>
      <c r="AG170" s="3765"/>
      <c r="AH170" s="553" t="s">
        <v>3229</v>
      </c>
      <c r="AI170" s="553" t="s">
        <v>3229</v>
      </c>
      <c r="AJ170" s="553" t="s">
        <v>3229</v>
      </c>
      <c r="AK170" s="566" t="s">
        <v>3229</v>
      </c>
      <c r="AL170" s="553" t="s">
        <v>3229</v>
      </c>
      <c r="AM170" s="659">
        <v>1</v>
      </c>
      <c r="AN170" s="606">
        <v>0</v>
      </c>
      <c r="AO170" s="660">
        <v>10.02</v>
      </c>
      <c r="AP170" s="1368">
        <v>-0.37195257142857141</v>
      </c>
      <c r="AQ170" s="675">
        <v>-0.35878858910370892</v>
      </c>
      <c r="AR170" s="632">
        <f>AO170/10-1</f>
        <v>2.0000000000000018E-3</v>
      </c>
      <c r="AS170" s="558">
        <f>POWER(1+AR170,1/((I170-F170)/365))-1</f>
        <v>5.602728480540442E-4</v>
      </c>
      <c r="AT170" s="598"/>
      <c r="AU170" s="552"/>
      <c r="AV170" s="558">
        <v>2.0000000000000018E-3</v>
      </c>
      <c r="AW170" s="558">
        <v>5.602728480540442E-4</v>
      </c>
      <c r="AX170" s="553"/>
      <c r="AY170" s="552"/>
      <c r="AZ170" s="642">
        <f t="shared" si="28"/>
        <v>10.02</v>
      </c>
      <c r="BA170" s="644" t="s">
        <v>3190</v>
      </c>
      <c r="BB170" s="570"/>
      <c r="BC170" s="637"/>
      <c r="BD170" s="3708"/>
      <c r="BE170" s="3743"/>
      <c r="BF170" s="3743"/>
      <c r="BG170" s="3708"/>
      <c r="BH170" s="3762"/>
      <c r="BI170" s="3762"/>
      <c r="BJ170" s="39"/>
      <c r="BK170" s="39"/>
      <c r="BL170" s="39"/>
      <c r="BM170" s="39"/>
      <c r="BN170" s="39"/>
      <c r="BO170" s="39"/>
      <c r="BP170" s="39"/>
      <c r="BQ170" s="39"/>
      <c r="BR170" s="39"/>
      <c r="BS170" s="507"/>
      <c r="BT170" s="507"/>
      <c r="BU170" s="507"/>
      <c r="BV170" s="507"/>
      <c r="BW170" s="507"/>
      <c r="BX170" s="507"/>
      <c r="BY170" s="507"/>
      <c r="BZ170" s="507"/>
      <c r="CA170" s="507"/>
      <c r="CB170" s="507"/>
      <c r="CC170" s="507"/>
      <c r="CD170" s="507"/>
      <c r="CE170" s="507"/>
      <c r="CF170" s="507"/>
      <c r="CG170" s="507"/>
      <c r="CH170" s="507"/>
      <c r="CI170" s="507"/>
      <c r="CJ170" s="507"/>
      <c r="CK170" s="507"/>
      <c r="CL170" s="507"/>
      <c r="CM170" s="507"/>
      <c r="CN170" s="507"/>
      <c r="CO170" s="507"/>
      <c r="CP170" s="507"/>
      <c r="CQ170" s="507"/>
      <c r="CR170" s="507"/>
      <c r="CS170" s="507"/>
      <c r="CT170" s="507"/>
      <c r="CU170" s="507"/>
      <c r="CV170" s="507"/>
      <c r="CW170" s="507"/>
      <c r="CX170" s="507"/>
      <c r="CY170" s="507"/>
      <c r="CZ170" s="507"/>
      <c r="DA170" s="507"/>
      <c r="DB170" s="507"/>
      <c r="DC170" s="507"/>
      <c r="DD170" s="507"/>
      <c r="DE170" s="507"/>
      <c r="DF170" s="507"/>
      <c r="DG170" s="507"/>
      <c r="DH170" s="507"/>
      <c r="DI170" s="507"/>
      <c r="DJ170" s="507"/>
      <c r="DK170" s="507"/>
      <c r="DL170" s="507"/>
      <c r="DM170" s="507"/>
      <c r="DN170" s="507"/>
      <c r="DO170" s="507"/>
      <c r="DP170" s="507"/>
      <c r="DQ170" s="507"/>
      <c r="DR170" s="507"/>
      <c r="DS170" s="507"/>
      <c r="DT170" s="507"/>
      <c r="DU170" s="507"/>
      <c r="DV170" s="507"/>
      <c r="DW170" s="507"/>
      <c r="DX170" s="507"/>
      <c r="DY170" s="507"/>
      <c r="DZ170" s="507"/>
      <c r="EA170" s="507"/>
      <c r="EB170" s="507"/>
      <c r="EC170" s="507"/>
      <c r="ED170" s="507"/>
      <c r="EE170" s="507"/>
      <c r="EF170" s="507"/>
      <c r="EG170" s="507"/>
      <c r="EH170" s="507"/>
      <c r="EI170" s="507"/>
      <c r="EJ170" s="507"/>
      <c r="EK170" s="507"/>
      <c r="EL170" s="507"/>
      <c r="EM170" s="507"/>
      <c r="EN170" s="507"/>
      <c r="EO170" s="507"/>
      <c r="EP170" s="507"/>
      <c r="EQ170" s="507"/>
      <c r="ER170" s="507"/>
      <c r="ES170" s="507"/>
      <c r="ET170" s="507"/>
      <c r="EU170" s="507"/>
      <c r="EV170" s="507"/>
      <c r="EW170" s="507"/>
      <c r="EX170" s="507"/>
      <c r="EY170" s="507"/>
      <c r="EZ170" s="507"/>
      <c r="FA170" s="507"/>
      <c r="FB170" s="507"/>
      <c r="FC170" s="507"/>
      <c r="FD170" s="507"/>
      <c r="FE170" s="507"/>
      <c r="FF170" s="507"/>
      <c r="FG170" s="507"/>
      <c r="FH170" s="507"/>
      <c r="FI170" s="507"/>
      <c r="FJ170" s="507"/>
      <c r="FK170" s="507"/>
      <c r="FL170" s="507"/>
      <c r="FM170" s="507"/>
      <c r="FN170" s="507"/>
      <c r="FO170" s="507"/>
      <c r="FP170" s="507"/>
      <c r="FQ170" s="507"/>
      <c r="FR170" s="507"/>
      <c r="FS170" s="507"/>
      <c r="FT170" s="507"/>
      <c r="FU170" s="507"/>
      <c r="FV170" s="507"/>
      <c r="FW170" s="507"/>
      <c r="FX170" s="507"/>
      <c r="FY170" s="507"/>
      <c r="FZ170" s="507"/>
      <c r="GA170" s="507"/>
      <c r="GB170" s="507"/>
      <c r="GC170" s="507"/>
      <c r="GD170" s="507"/>
      <c r="GE170" s="507"/>
      <c r="GF170" s="507"/>
      <c r="GG170" s="507"/>
      <c r="GH170" s="507"/>
      <c r="GI170" s="507"/>
      <c r="GJ170" s="507"/>
      <c r="GK170" s="507"/>
      <c r="GL170" s="507"/>
      <c r="GM170" s="507"/>
      <c r="GN170" s="507"/>
      <c r="GO170" s="507"/>
      <c r="GP170" s="507"/>
      <c r="GQ170" s="507"/>
      <c r="GR170" s="507"/>
      <c r="GS170" s="507"/>
      <c r="GT170" s="507"/>
      <c r="GU170" s="507"/>
      <c r="GV170" s="507"/>
      <c r="GW170" s="507"/>
      <c r="GX170" s="507"/>
      <c r="GY170" s="507"/>
      <c r="GZ170" s="507"/>
      <c r="HA170" s="507"/>
      <c r="HB170" s="507"/>
      <c r="HC170" s="507"/>
      <c r="HD170" s="507"/>
      <c r="HE170" s="507"/>
      <c r="HF170" s="507"/>
      <c r="HG170" s="507"/>
      <c r="HH170" s="507"/>
      <c r="HI170" s="507"/>
      <c r="HJ170" s="507"/>
      <c r="HK170" s="507"/>
      <c r="HL170" s="507"/>
      <c r="HM170" s="507"/>
      <c r="HN170" s="507"/>
      <c r="HO170" s="507"/>
      <c r="HP170" s="507"/>
      <c r="HQ170" s="507"/>
      <c r="HR170" s="507"/>
      <c r="HS170" s="507"/>
      <c r="HT170" s="507"/>
      <c r="HU170" s="507"/>
      <c r="HV170" s="507"/>
      <c r="HW170" s="507"/>
      <c r="HX170" s="507"/>
      <c r="HY170" s="507"/>
      <c r="HZ170" s="507"/>
    </row>
    <row r="171" spans="1:234" ht="15.9" hidden="1" customHeight="1" x14ac:dyDescent="0.25">
      <c r="A171" s="522" t="s">
        <v>2789</v>
      </c>
      <c r="B171" s="523" t="s">
        <v>3907</v>
      </c>
      <c r="C171" s="527" t="s">
        <v>1791</v>
      </c>
      <c r="D171" s="570" t="s">
        <v>3456</v>
      </c>
      <c r="E171" s="569" t="s">
        <v>3228</v>
      </c>
      <c r="F171" s="543">
        <v>39365</v>
      </c>
      <c r="G171" s="544">
        <v>39328</v>
      </c>
      <c r="H171" s="557">
        <v>39358</v>
      </c>
      <c r="I171" s="546">
        <v>41222</v>
      </c>
      <c r="J171" s="547">
        <v>10</v>
      </c>
      <c r="K171" s="553"/>
      <c r="L171" s="552"/>
      <c r="M171" s="549">
        <v>0</v>
      </c>
      <c r="N171" s="606">
        <v>0.7</v>
      </c>
      <c r="O171" s="551" t="s">
        <v>3229</v>
      </c>
      <c r="P171" s="576" t="s">
        <v>3229</v>
      </c>
      <c r="Q171" s="570" t="s">
        <v>3229</v>
      </c>
      <c r="R171" s="570" t="s">
        <v>3229</v>
      </c>
      <c r="S171" s="577"/>
      <c r="T171" s="555" t="s">
        <v>3229</v>
      </c>
      <c r="U171" s="555" t="s">
        <v>3229</v>
      </c>
      <c r="V171" s="555" t="s">
        <v>3229</v>
      </c>
      <c r="W171" s="555" t="s">
        <v>3229</v>
      </c>
      <c r="X171" s="555" t="s">
        <v>3229</v>
      </c>
      <c r="Y171" s="553" t="s">
        <v>3229</v>
      </c>
      <c r="Z171" s="553" t="s">
        <v>3229</v>
      </c>
      <c r="AA171" s="553" t="s">
        <v>3229</v>
      </c>
      <c r="AB171" s="553" t="s">
        <v>3229</v>
      </c>
      <c r="AC171" s="553" t="s">
        <v>3229</v>
      </c>
      <c r="AD171" s="553" t="s">
        <v>3229</v>
      </c>
      <c r="AE171" s="553" t="s">
        <v>3229</v>
      </c>
      <c r="AF171" s="3764" t="s">
        <v>781</v>
      </c>
      <c r="AG171" s="3765"/>
      <c r="AH171" s="553" t="s">
        <v>3229</v>
      </c>
      <c r="AI171" s="553" t="s">
        <v>3229</v>
      </c>
      <c r="AJ171" s="553" t="s">
        <v>3229</v>
      </c>
      <c r="AK171" s="566" t="s">
        <v>3229</v>
      </c>
      <c r="AL171" s="553" t="s">
        <v>3229</v>
      </c>
      <c r="AM171" s="659">
        <v>1</v>
      </c>
      <c r="AN171" s="606">
        <v>0</v>
      </c>
      <c r="AO171" s="660">
        <v>10.029999999999999</v>
      </c>
      <c r="AP171" s="1368">
        <v>-8.9490916666666684E-2</v>
      </c>
      <c r="AQ171" s="675">
        <v>-8.1353798768394964E-2</v>
      </c>
      <c r="AR171" s="632" t="s">
        <v>3660</v>
      </c>
      <c r="AS171" s="558"/>
      <c r="AT171" s="598"/>
      <c r="AU171" s="552"/>
      <c r="AV171" s="558">
        <f t="shared" si="27"/>
        <v>0</v>
      </c>
      <c r="AW171" s="558">
        <f>POWER(1+AV171,1/((I171-F171)/365))-1</f>
        <v>0</v>
      </c>
      <c r="AX171" s="553"/>
      <c r="AY171" s="552"/>
      <c r="AZ171" s="642">
        <f t="shared" si="28"/>
        <v>10</v>
      </c>
      <c r="BA171" s="644" t="s">
        <v>574</v>
      </c>
      <c r="BB171" s="671"/>
      <c r="BC171" s="672"/>
      <c r="BD171" s="3708"/>
      <c r="BH171" s="3763"/>
      <c r="BI171" s="3763"/>
      <c r="BJ171" s="1639"/>
      <c r="BK171" s="1639"/>
      <c r="BL171" s="1639"/>
      <c r="BM171" s="1639"/>
      <c r="BN171" s="1639"/>
      <c r="BO171" s="1639"/>
      <c r="BP171" s="1639"/>
      <c r="BQ171" s="1639"/>
      <c r="BR171" s="1639"/>
      <c r="BS171" s="509"/>
      <c r="BT171" s="509"/>
      <c r="BU171" s="509"/>
      <c r="BV171" s="509"/>
      <c r="BW171" s="509"/>
      <c r="BX171" s="509"/>
      <c r="BY171" s="509"/>
      <c r="BZ171" s="509"/>
      <c r="CA171" s="509"/>
      <c r="CB171" s="509"/>
      <c r="CC171" s="509"/>
      <c r="CD171" s="509"/>
      <c r="CE171" s="509"/>
      <c r="CF171" s="509"/>
      <c r="CG171" s="509"/>
      <c r="CH171" s="509"/>
      <c r="CI171" s="509"/>
      <c r="CJ171" s="509"/>
      <c r="CK171" s="509"/>
      <c r="CL171" s="509"/>
      <c r="CM171" s="509"/>
      <c r="CN171" s="509"/>
      <c r="CO171" s="509"/>
      <c r="CP171" s="509"/>
      <c r="CQ171" s="509"/>
      <c r="CR171" s="509"/>
      <c r="CS171" s="509"/>
      <c r="CT171" s="509"/>
      <c r="CU171" s="509"/>
      <c r="CV171" s="509"/>
      <c r="CW171" s="509"/>
      <c r="CX171" s="509"/>
      <c r="CY171" s="509"/>
      <c r="CZ171" s="509"/>
      <c r="DA171" s="509"/>
      <c r="DB171" s="509"/>
      <c r="DC171" s="509"/>
      <c r="DD171" s="509"/>
      <c r="DE171" s="509"/>
      <c r="DF171" s="509"/>
      <c r="DG171" s="509"/>
      <c r="DH171" s="509"/>
      <c r="DI171" s="509"/>
      <c r="DJ171" s="509"/>
      <c r="DK171" s="509"/>
      <c r="DL171" s="509"/>
      <c r="DM171" s="509"/>
      <c r="DN171" s="509"/>
      <c r="DO171" s="509"/>
      <c r="DP171" s="509"/>
      <c r="DQ171" s="509"/>
      <c r="DR171" s="509"/>
      <c r="DS171" s="509"/>
      <c r="DT171" s="509"/>
      <c r="DU171" s="509"/>
      <c r="DV171" s="509"/>
      <c r="DW171" s="509"/>
      <c r="DX171" s="509"/>
      <c r="DY171" s="509"/>
      <c r="DZ171" s="509"/>
      <c r="EA171" s="509"/>
      <c r="EB171" s="509"/>
      <c r="EC171" s="509"/>
      <c r="ED171" s="509"/>
      <c r="EE171" s="509"/>
      <c r="EF171" s="509"/>
      <c r="EG171" s="509"/>
      <c r="EH171" s="509"/>
      <c r="EI171" s="509"/>
      <c r="EJ171" s="509"/>
      <c r="EK171" s="509"/>
      <c r="EL171" s="509"/>
      <c r="EM171" s="509"/>
      <c r="EN171" s="509"/>
      <c r="EO171" s="509"/>
      <c r="EP171" s="509"/>
      <c r="EQ171" s="509"/>
      <c r="ER171" s="509"/>
      <c r="ES171" s="509"/>
      <c r="ET171" s="509"/>
      <c r="EU171" s="509"/>
      <c r="EV171" s="509"/>
      <c r="EW171" s="509"/>
      <c r="EX171" s="509"/>
      <c r="EY171" s="509"/>
      <c r="EZ171" s="509"/>
      <c r="FA171" s="509"/>
      <c r="FB171" s="509"/>
      <c r="FC171" s="509"/>
      <c r="FD171" s="509"/>
      <c r="FE171" s="509"/>
      <c r="FF171" s="509"/>
      <c r="FG171" s="509"/>
      <c r="FH171" s="509"/>
      <c r="FI171" s="509"/>
      <c r="FJ171" s="509"/>
      <c r="FK171" s="509"/>
      <c r="FL171" s="509"/>
      <c r="FM171" s="509"/>
      <c r="FN171" s="509"/>
      <c r="FO171" s="509"/>
      <c r="FP171" s="509"/>
      <c r="FQ171" s="509"/>
      <c r="FR171" s="509"/>
      <c r="FS171" s="509"/>
      <c r="FT171" s="509"/>
      <c r="FU171" s="509"/>
      <c r="FV171" s="509"/>
      <c r="FW171" s="509"/>
      <c r="FX171" s="509"/>
      <c r="FY171" s="509"/>
      <c r="FZ171" s="509"/>
      <c r="GA171" s="509"/>
      <c r="GB171" s="509"/>
      <c r="GC171" s="509"/>
      <c r="GD171" s="509"/>
      <c r="GE171" s="509"/>
      <c r="GF171" s="509"/>
      <c r="GG171" s="509"/>
      <c r="GH171" s="509"/>
      <c r="GI171" s="509"/>
      <c r="GJ171" s="509"/>
      <c r="GK171" s="509"/>
      <c r="GL171" s="509"/>
      <c r="GM171" s="509"/>
      <c r="GN171" s="509"/>
      <c r="GO171" s="509"/>
      <c r="GP171" s="509"/>
      <c r="GQ171" s="509"/>
      <c r="GR171" s="509"/>
      <c r="GS171" s="509"/>
      <c r="GT171" s="509"/>
      <c r="GU171" s="509"/>
      <c r="GV171" s="509"/>
      <c r="GW171" s="509"/>
      <c r="GX171" s="509"/>
      <c r="GY171" s="509"/>
      <c r="GZ171" s="509"/>
      <c r="HA171" s="509"/>
      <c r="HB171" s="509"/>
      <c r="HC171" s="509"/>
      <c r="HD171" s="509"/>
      <c r="HE171" s="509"/>
      <c r="HF171" s="509"/>
      <c r="HG171" s="509"/>
      <c r="HH171" s="509"/>
      <c r="HI171" s="509"/>
      <c r="HJ171" s="509"/>
      <c r="HK171" s="509"/>
      <c r="HL171" s="509"/>
      <c r="HM171" s="509"/>
      <c r="HN171" s="509"/>
      <c r="HO171" s="509"/>
      <c r="HP171" s="509"/>
      <c r="HQ171" s="509"/>
      <c r="HR171" s="509"/>
      <c r="HS171" s="509"/>
      <c r="HT171" s="509"/>
      <c r="HU171" s="509"/>
      <c r="HV171" s="509"/>
      <c r="HW171" s="509"/>
      <c r="HX171" s="509"/>
      <c r="HY171" s="509"/>
      <c r="HZ171" s="509"/>
    </row>
    <row r="172" spans="1:234" s="206" customFormat="1" ht="15.9" hidden="1" customHeight="1" x14ac:dyDescent="0.25">
      <c r="A172" s="522" t="s">
        <v>1430</v>
      </c>
      <c r="B172" s="523" t="s">
        <v>3908</v>
      </c>
      <c r="C172" s="524" t="s">
        <v>3781</v>
      </c>
      <c r="D172" s="553" t="s">
        <v>4383</v>
      </c>
      <c r="E172" s="524" t="s">
        <v>3228</v>
      </c>
      <c r="F172" s="544">
        <v>39394</v>
      </c>
      <c r="G172" s="586">
        <v>39328</v>
      </c>
      <c r="H172" s="544">
        <v>39386</v>
      </c>
      <c r="I172" s="588">
        <v>40877</v>
      </c>
      <c r="J172" s="595">
        <v>10</v>
      </c>
      <c r="K172" s="561" t="s">
        <v>3229</v>
      </c>
      <c r="L172" s="552" t="s">
        <v>3229</v>
      </c>
      <c r="M172" s="560">
        <v>0</v>
      </c>
      <c r="N172" s="606">
        <v>1.3</v>
      </c>
      <c r="O172" s="575" t="s">
        <v>3229</v>
      </c>
      <c r="P172" s="575" t="s">
        <v>3229</v>
      </c>
      <c r="Q172" s="575" t="s">
        <v>3229</v>
      </c>
      <c r="R172" s="596" t="s">
        <v>3229</v>
      </c>
      <c r="S172" s="597"/>
      <c r="T172" s="3777" t="s">
        <v>3229</v>
      </c>
      <c r="U172" s="3777" t="s">
        <v>3229</v>
      </c>
      <c r="V172" s="3777" t="s">
        <v>3229</v>
      </c>
      <c r="W172" s="3777" t="s">
        <v>3229</v>
      </c>
      <c r="X172" s="3777" t="s">
        <v>3229</v>
      </c>
      <c r="Y172" s="3777" t="s">
        <v>3229</v>
      </c>
      <c r="Z172" s="3777" t="s">
        <v>3229</v>
      </c>
      <c r="AA172" s="3777" t="s">
        <v>3229</v>
      </c>
      <c r="AB172" s="3777" t="s">
        <v>3229</v>
      </c>
      <c r="AC172" s="3777" t="s">
        <v>3229</v>
      </c>
      <c r="AD172" s="3777" t="s">
        <v>3229</v>
      </c>
      <c r="AE172" s="3777" t="s">
        <v>3229</v>
      </c>
      <c r="AF172" s="3764" t="s">
        <v>781</v>
      </c>
      <c r="AG172" s="3765"/>
      <c r="AH172" s="590" t="s">
        <v>3229</v>
      </c>
      <c r="AI172" s="590" t="s">
        <v>3229</v>
      </c>
      <c r="AJ172" s="590" t="s">
        <v>3229</v>
      </c>
      <c r="AK172" s="673" t="s">
        <v>3229</v>
      </c>
      <c r="AL172" s="590" t="s">
        <v>3229</v>
      </c>
      <c r="AM172" s="590">
        <v>1</v>
      </c>
      <c r="AN172" s="638">
        <v>0</v>
      </c>
      <c r="AO172" s="625">
        <v>9.84</v>
      </c>
      <c r="AP172" s="1370">
        <v>-0.2757</v>
      </c>
      <c r="AQ172" s="606">
        <v>-0.31809999999999999</v>
      </c>
      <c r="AR172" s="632" t="s">
        <v>3660</v>
      </c>
      <c r="AS172" s="558"/>
      <c r="AT172" s="653"/>
      <c r="AU172" s="654"/>
      <c r="AV172" s="558">
        <v>0</v>
      </c>
      <c r="AW172" s="558">
        <v>0</v>
      </c>
      <c r="AX172" s="589"/>
      <c r="AY172" s="587"/>
      <c r="AZ172" s="642">
        <f t="shared" si="28"/>
        <v>10</v>
      </c>
      <c r="BA172" s="644" t="s">
        <v>574</v>
      </c>
      <c r="BB172" s="570"/>
      <c r="BC172" s="637"/>
      <c r="BD172" s="3708"/>
      <c r="BE172" s="3743"/>
      <c r="BF172" s="3743"/>
      <c r="BG172" s="3708"/>
      <c r="BH172" s="3762"/>
      <c r="BI172" s="3762"/>
      <c r="BJ172" s="39"/>
      <c r="BK172" s="39"/>
      <c r="BL172" s="39"/>
      <c r="BM172" s="39"/>
      <c r="BN172" s="39"/>
      <c r="BO172" s="39"/>
      <c r="BP172" s="39"/>
      <c r="BQ172" s="39"/>
      <c r="BR172" s="39"/>
      <c r="BS172" s="507"/>
      <c r="BT172" s="507"/>
      <c r="BU172" s="507"/>
      <c r="BV172" s="507"/>
      <c r="BW172" s="507"/>
      <c r="BX172" s="507"/>
      <c r="BY172" s="507"/>
      <c r="BZ172" s="507"/>
      <c r="CA172" s="507"/>
      <c r="CB172" s="507"/>
      <c r="CC172" s="507"/>
      <c r="CD172" s="507"/>
      <c r="CE172" s="507"/>
      <c r="CF172" s="507"/>
      <c r="CG172" s="507"/>
      <c r="CH172" s="507"/>
      <c r="CI172" s="507"/>
      <c r="CJ172" s="507"/>
      <c r="CK172" s="507"/>
      <c r="CL172" s="507"/>
      <c r="CM172" s="507"/>
      <c r="CN172" s="507"/>
      <c r="CO172" s="507"/>
      <c r="CP172" s="507"/>
      <c r="CQ172" s="507"/>
      <c r="CR172" s="507"/>
      <c r="CS172" s="507"/>
      <c r="CT172" s="507"/>
      <c r="CU172" s="507"/>
      <c r="CV172" s="507"/>
      <c r="CW172" s="507"/>
      <c r="CX172" s="507"/>
      <c r="CY172" s="507"/>
      <c r="CZ172" s="507"/>
      <c r="DA172" s="507"/>
      <c r="DB172" s="507"/>
      <c r="DC172" s="507"/>
      <c r="DD172" s="507"/>
      <c r="DE172" s="507"/>
      <c r="DF172" s="507"/>
      <c r="DG172" s="507"/>
      <c r="DH172" s="507"/>
      <c r="DI172" s="507"/>
      <c r="DJ172" s="507"/>
      <c r="DK172" s="507"/>
      <c r="DL172" s="507"/>
      <c r="DM172" s="507"/>
      <c r="DN172" s="507"/>
      <c r="DO172" s="507"/>
      <c r="DP172" s="507"/>
      <c r="DQ172" s="507"/>
      <c r="DR172" s="507"/>
      <c r="DS172" s="507"/>
      <c r="DT172" s="507"/>
      <c r="DU172" s="507"/>
      <c r="DV172" s="507"/>
      <c r="DW172" s="507"/>
      <c r="DX172" s="507"/>
      <c r="DY172" s="507"/>
      <c r="DZ172" s="507"/>
      <c r="EA172" s="507"/>
      <c r="EB172" s="507"/>
      <c r="EC172" s="507"/>
      <c r="ED172" s="507"/>
      <c r="EE172" s="507"/>
      <c r="EF172" s="507"/>
      <c r="EG172" s="507"/>
      <c r="EH172" s="507"/>
      <c r="EI172" s="507"/>
      <c r="EJ172" s="507"/>
      <c r="EK172" s="507"/>
      <c r="EL172" s="507"/>
      <c r="EM172" s="507"/>
      <c r="EN172" s="507"/>
      <c r="EO172" s="507"/>
      <c r="EP172" s="507"/>
      <c r="EQ172" s="507"/>
      <c r="ER172" s="507"/>
      <c r="ES172" s="507"/>
      <c r="ET172" s="507"/>
      <c r="EU172" s="507"/>
      <c r="EV172" s="507"/>
      <c r="EW172" s="507"/>
      <c r="EX172" s="507"/>
      <c r="EY172" s="507"/>
      <c r="EZ172" s="507"/>
      <c r="FA172" s="507"/>
      <c r="FB172" s="507"/>
      <c r="FC172" s="507"/>
      <c r="FD172" s="507"/>
      <c r="FE172" s="507"/>
      <c r="FF172" s="507"/>
      <c r="FG172" s="507"/>
      <c r="FH172" s="507"/>
      <c r="FI172" s="507"/>
      <c r="FJ172" s="507"/>
      <c r="FK172" s="507"/>
      <c r="FL172" s="507"/>
      <c r="FM172" s="507"/>
      <c r="FN172" s="507"/>
      <c r="FO172" s="507"/>
      <c r="FP172" s="507"/>
      <c r="FQ172" s="507"/>
      <c r="FR172" s="507"/>
      <c r="FS172" s="507"/>
      <c r="FT172" s="507"/>
      <c r="FU172" s="507"/>
      <c r="FV172" s="507"/>
      <c r="FW172" s="507"/>
      <c r="FX172" s="507"/>
      <c r="FY172" s="507"/>
      <c r="FZ172" s="507"/>
      <c r="GA172" s="507"/>
      <c r="GB172" s="507"/>
      <c r="GC172" s="507"/>
      <c r="GD172" s="507"/>
      <c r="GE172" s="507"/>
      <c r="GF172" s="507"/>
      <c r="GG172" s="507"/>
      <c r="GH172" s="507"/>
      <c r="GI172" s="507"/>
      <c r="GJ172" s="507"/>
      <c r="GK172" s="507"/>
      <c r="GL172" s="507"/>
      <c r="GM172" s="507"/>
      <c r="GN172" s="507"/>
      <c r="GO172" s="507"/>
      <c r="GP172" s="507"/>
      <c r="GQ172" s="507"/>
      <c r="GR172" s="507"/>
      <c r="GS172" s="507"/>
      <c r="GT172" s="507"/>
      <c r="GU172" s="507"/>
      <c r="GV172" s="507"/>
      <c r="GW172" s="507"/>
      <c r="GX172" s="507"/>
      <c r="GY172" s="507"/>
      <c r="GZ172" s="507"/>
      <c r="HA172" s="507"/>
      <c r="HB172" s="507"/>
      <c r="HC172" s="507"/>
      <c r="HD172" s="507"/>
      <c r="HE172" s="507"/>
      <c r="HF172" s="507"/>
      <c r="HG172" s="507"/>
      <c r="HH172" s="507"/>
      <c r="HI172" s="507"/>
      <c r="HJ172" s="507"/>
      <c r="HK172" s="507"/>
      <c r="HL172" s="507"/>
      <c r="HM172" s="507"/>
      <c r="HN172" s="507"/>
      <c r="HO172" s="507"/>
      <c r="HP172" s="507"/>
      <c r="HQ172" s="507"/>
      <c r="HR172" s="507"/>
      <c r="HS172" s="507"/>
      <c r="HT172" s="507"/>
      <c r="HU172" s="507"/>
      <c r="HV172" s="507"/>
      <c r="HW172" s="507"/>
      <c r="HX172" s="507"/>
      <c r="HY172" s="507"/>
      <c r="HZ172" s="507"/>
    </row>
    <row r="173" spans="1:234" s="232" customFormat="1" ht="15.9" hidden="1" customHeight="1" x14ac:dyDescent="0.25">
      <c r="A173" s="522" t="s">
        <v>1100</v>
      </c>
      <c r="B173" s="523" t="s">
        <v>3909</v>
      </c>
      <c r="C173" s="526" t="s">
        <v>1790</v>
      </c>
      <c r="D173" s="570" t="s">
        <v>4383</v>
      </c>
      <c r="E173" s="569" t="s">
        <v>3228</v>
      </c>
      <c r="F173" s="543">
        <v>39394</v>
      </c>
      <c r="G173" s="544">
        <v>39328</v>
      </c>
      <c r="H173" s="562">
        <v>39386</v>
      </c>
      <c r="I173" s="546">
        <v>41607</v>
      </c>
      <c r="J173" s="547">
        <v>10</v>
      </c>
      <c r="K173" s="553" t="s">
        <v>3229</v>
      </c>
      <c r="L173" s="552" t="s">
        <v>3229</v>
      </c>
      <c r="M173" s="550">
        <v>0</v>
      </c>
      <c r="N173" s="560">
        <v>0.65</v>
      </c>
      <c r="O173" s="552" t="s">
        <v>3229</v>
      </c>
      <c r="P173" s="552" t="s">
        <v>3229</v>
      </c>
      <c r="Q173" s="552" t="s">
        <v>3229</v>
      </c>
      <c r="R173" s="552" t="s">
        <v>3229</v>
      </c>
      <c r="S173" s="567"/>
      <c r="T173" s="555" t="s">
        <v>3229</v>
      </c>
      <c r="U173" s="555" t="s">
        <v>3229</v>
      </c>
      <c r="V173" s="555" t="s">
        <v>3229</v>
      </c>
      <c r="W173" s="555" t="s">
        <v>3229</v>
      </c>
      <c r="X173" s="555" t="s">
        <v>3229</v>
      </c>
      <c r="Y173" s="555" t="s">
        <v>3229</v>
      </c>
      <c r="Z173" s="555" t="s">
        <v>3229</v>
      </c>
      <c r="AA173" s="555" t="s">
        <v>3229</v>
      </c>
      <c r="AB173" s="555" t="s">
        <v>3229</v>
      </c>
      <c r="AC173" s="555" t="s">
        <v>3229</v>
      </c>
      <c r="AD173" s="555" t="s">
        <v>3229</v>
      </c>
      <c r="AE173" s="556" t="s">
        <v>3229</v>
      </c>
      <c r="AF173" s="3764" t="s">
        <v>781</v>
      </c>
      <c r="AG173" s="3765"/>
      <c r="AH173" s="622" t="s">
        <v>3229</v>
      </c>
      <c r="AI173" s="622" t="s">
        <v>3229</v>
      </c>
      <c r="AJ173" s="622" t="s">
        <v>3229</v>
      </c>
      <c r="AK173" s="566" t="s">
        <v>3229</v>
      </c>
      <c r="AL173" s="622" t="s">
        <v>3229</v>
      </c>
      <c r="AM173" s="590">
        <v>1</v>
      </c>
      <c r="AN173" s="576">
        <v>0</v>
      </c>
      <c r="AO173" s="652">
        <v>10</v>
      </c>
      <c r="AP173" s="1368">
        <v>-0.13693598469774942</v>
      </c>
      <c r="AQ173" s="658">
        <v>-0.21067074568884525</v>
      </c>
      <c r="AR173" s="632" t="s">
        <v>3660</v>
      </c>
      <c r="AS173" s="558"/>
      <c r="AT173" s="648"/>
      <c r="AU173" s="559"/>
      <c r="AV173" s="558">
        <f t="shared" si="27"/>
        <v>0</v>
      </c>
      <c r="AW173" s="558">
        <f t="shared" ref="AW173:AW183" si="29">POWER(1+AV173,1/((I173-F173)/365))-1</f>
        <v>0</v>
      </c>
      <c r="AX173" s="558">
        <f>J173*(1+AV173)/AO173-1</f>
        <v>0</v>
      </c>
      <c r="AY173" s="559" t="e">
        <f>POWER(1+AX173,1/AG173)-1</f>
        <v>#DIV/0!</v>
      </c>
      <c r="AZ173" s="642">
        <f t="shared" si="28"/>
        <v>10</v>
      </c>
      <c r="BA173" s="644" t="s">
        <v>3190</v>
      </c>
      <c r="BB173" s="570"/>
      <c r="BC173" s="637"/>
      <c r="BD173" s="3708"/>
      <c r="BE173" s="3743"/>
      <c r="BF173" s="3743"/>
      <c r="BG173" s="3708"/>
      <c r="BH173" s="3762"/>
      <c r="BI173" s="3762"/>
      <c r="BJ173" s="39"/>
      <c r="BK173" s="39"/>
      <c r="BL173" s="39"/>
      <c r="BM173" s="39"/>
      <c r="BN173" s="39"/>
      <c r="BO173" s="39"/>
      <c r="BP173" s="39"/>
      <c r="BQ173" s="39"/>
      <c r="BR173" s="39"/>
      <c r="BS173" s="507"/>
      <c r="BT173" s="507"/>
      <c r="BU173" s="507"/>
      <c r="BV173" s="507"/>
      <c r="BW173" s="507"/>
      <c r="BX173" s="507"/>
      <c r="BY173" s="507"/>
      <c r="BZ173" s="507"/>
      <c r="CA173" s="507"/>
      <c r="CB173" s="507"/>
      <c r="CC173" s="507"/>
      <c r="CD173" s="507"/>
      <c r="CE173" s="507"/>
      <c r="CF173" s="507"/>
      <c r="CG173" s="507"/>
      <c r="CH173" s="507"/>
      <c r="CI173" s="507"/>
      <c r="CJ173" s="507"/>
      <c r="CK173" s="507"/>
      <c r="CL173" s="507"/>
      <c r="CM173" s="507"/>
      <c r="CN173" s="507"/>
      <c r="CO173" s="507"/>
      <c r="CP173" s="507"/>
      <c r="CQ173" s="507"/>
      <c r="CR173" s="507"/>
      <c r="CS173" s="507"/>
      <c r="CT173" s="507"/>
      <c r="CU173" s="507"/>
      <c r="CV173" s="507"/>
      <c r="CW173" s="507"/>
      <c r="CX173" s="507"/>
      <c r="CY173" s="507"/>
      <c r="CZ173" s="507"/>
      <c r="DA173" s="507"/>
      <c r="DB173" s="507"/>
      <c r="DC173" s="507"/>
      <c r="DD173" s="507"/>
      <c r="DE173" s="507"/>
      <c r="DF173" s="507"/>
      <c r="DG173" s="507"/>
      <c r="DH173" s="507"/>
      <c r="DI173" s="507"/>
      <c r="DJ173" s="507"/>
      <c r="DK173" s="507"/>
      <c r="DL173" s="507"/>
      <c r="DM173" s="507"/>
      <c r="DN173" s="507"/>
      <c r="DO173" s="507"/>
      <c r="DP173" s="507"/>
      <c r="DQ173" s="507"/>
      <c r="DR173" s="507"/>
      <c r="DS173" s="507"/>
      <c r="DT173" s="507"/>
      <c r="DU173" s="507"/>
      <c r="DV173" s="507"/>
      <c r="DW173" s="507"/>
      <c r="DX173" s="507"/>
      <c r="DY173" s="507"/>
      <c r="DZ173" s="507"/>
      <c r="EA173" s="507"/>
      <c r="EB173" s="507"/>
      <c r="EC173" s="507"/>
      <c r="ED173" s="507"/>
      <c r="EE173" s="507"/>
      <c r="EF173" s="507"/>
      <c r="EG173" s="507"/>
      <c r="EH173" s="507"/>
      <c r="EI173" s="507"/>
      <c r="EJ173" s="507"/>
      <c r="EK173" s="507"/>
      <c r="EL173" s="507"/>
      <c r="EM173" s="507"/>
      <c r="EN173" s="507"/>
      <c r="EO173" s="507"/>
      <c r="EP173" s="507"/>
      <c r="EQ173" s="507"/>
      <c r="ER173" s="507"/>
      <c r="ES173" s="507"/>
      <c r="ET173" s="507"/>
      <c r="EU173" s="507"/>
      <c r="EV173" s="507"/>
      <c r="EW173" s="507"/>
      <c r="EX173" s="507"/>
      <c r="EY173" s="507"/>
      <c r="EZ173" s="507"/>
      <c r="FA173" s="507"/>
      <c r="FB173" s="507"/>
      <c r="FC173" s="507"/>
      <c r="FD173" s="507"/>
      <c r="FE173" s="507"/>
      <c r="FF173" s="507"/>
      <c r="FG173" s="507"/>
      <c r="FH173" s="507"/>
      <c r="FI173" s="507"/>
      <c r="FJ173" s="507"/>
      <c r="FK173" s="507"/>
      <c r="FL173" s="507"/>
      <c r="FM173" s="507"/>
      <c r="FN173" s="507"/>
      <c r="FO173" s="507"/>
      <c r="FP173" s="507"/>
      <c r="FQ173" s="507"/>
      <c r="FR173" s="507"/>
      <c r="FS173" s="507"/>
      <c r="FT173" s="507"/>
      <c r="FU173" s="507"/>
      <c r="FV173" s="507"/>
      <c r="FW173" s="507"/>
      <c r="FX173" s="507"/>
      <c r="FY173" s="507"/>
      <c r="FZ173" s="507"/>
      <c r="GA173" s="507"/>
      <c r="GB173" s="507"/>
      <c r="GC173" s="507"/>
      <c r="GD173" s="507"/>
      <c r="GE173" s="507"/>
      <c r="GF173" s="507"/>
      <c r="GG173" s="507"/>
      <c r="GH173" s="507"/>
      <c r="GI173" s="507"/>
      <c r="GJ173" s="507"/>
      <c r="GK173" s="507"/>
      <c r="GL173" s="507"/>
      <c r="GM173" s="507"/>
      <c r="GN173" s="507"/>
      <c r="GO173" s="507"/>
      <c r="GP173" s="507"/>
      <c r="GQ173" s="507"/>
      <c r="GR173" s="507"/>
      <c r="GS173" s="507"/>
      <c r="GT173" s="507"/>
      <c r="GU173" s="507"/>
      <c r="GV173" s="507"/>
      <c r="GW173" s="507"/>
      <c r="GX173" s="507"/>
      <c r="GY173" s="507"/>
      <c r="GZ173" s="507"/>
      <c r="HA173" s="507"/>
      <c r="HB173" s="507"/>
      <c r="HC173" s="507"/>
      <c r="HD173" s="507"/>
      <c r="HE173" s="507"/>
      <c r="HF173" s="507"/>
      <c r="HG173" s="507"/>
      <c r="HH173" s="507"/>
      <c r="HI173" s="507"/>
      <c r="HJ173" s="507"/>
      <c r="HK173" s="507"/>
      <c r="HL173" s="507"/>
      <c r="HM173" s="507"/>
      <c r="HN173" s="507"/>
      <c r="HO173" s="507"/>
      <c r="HP173" s="507"/>
      <c r="HQ173" s="507"/>
      <c r="HR173" s="507"/>
      <c r="HS173" s="507"/>
      <c r="HT173" s="507"/>
      <c r="HU173" s="507"/>
      <c r="HV173" s="507"/>
      <c r="HW173" s="507"/>
      <c r="HX173" s="507"/>
      <c r="HY173" s="507"/>
      <c r="HZ173" s="507"/>
    </row>
    <row r="174" spans="1:234" s="232" customFormat="1" ht="15.9" hidden="1" customHeight="1" x14ac:dyDescent="0.25">
      <c r="A174" s="522" t="s">
        <v>1792</v>
      </c>
      <c r="B174" s="523" t="s">
        <v>1701</v>
      </c>
      <c r="C174" s="527" t="s">
        <v>458</v>
      </c>
      <c r="D174" s="570" t="s">
        <v>4384</v>
      </c>
      <c r="E174" s="569" t="s">
        <v>3228</v>
      </c>
      <c r="F174" s="543">
        <v>39367</v>
      </c>
      <c r="G174" s="544">
        <v>39328</v>
      </c>
      <c r="H174" s="557">
        <v>39360</v>
      </c>
      <c r="I174" s="546">
        <v>41578</v>
      </c>
      <c r="J174" s="547">
        <v>10</v>
      </c>
      <c r="K174" s="553" t="s">
        <v>3229</v>
      </c>
      <c r="L174" s="552" t="s">
        <v>3229</v>
      </c>
      <c r="M174" s="549">
        <v>0</v>
      </c>
      <c r="N174" s="606">
        <v>0.8</v>
      </c>
      <c r="O174" s="551" t="s">
        <v>3229</v>
      </c>
      <c r="P174" s="576" t="s">
        <v>3229</v>
      </c>
      <c r="Q174" s="570" t="s">
        <v>3229</v>
      </c>
      <c r="R174" s="570" t="s">
        <v>3229</v>
      </c>
      <c r="S174" s="577"/>
      <c r="T174" s="555" t="s">
        <v>3229</v>
      </c>
      <c r="U174" s="555" t="s">
        <v>3229</v>
      </c>
      <c r="V174" s="555" t="s">
        <v>3229</v>
      </c>
      <c r="W174" s="555" t="s">
        <v>3229</v>
      </c>
      <c r="X174" s="555" t="s">
        <v>3229</v>
      </c>
      <c r="Y174" s="553" t="s">
        <v>3229</v>
      </c>
      <c r="Z174" s="553" t="s">
        <v>3229</v>
      </c>
      <c r="AA174" s="553" t="s">
        <v>3229</v>
      </c>
      <c r="AB174" s="553" t="s">
        <v>3229</v>
      </c>
      <c r="AC174" s="553" t="s">
        <v>3229</v>
      </c>
      <c r="AD174" s="553" t="s">
        <v>3229</v>
      </c>
      <c r="AE174" s="553" t="s">
        <v>3229</v>
      </c>
      <c r="AF174" s="3764" t="s">
        <v>781</v>
      </c>
      <c r="AG174" s="3765"/>
      <c r="AH174" s="553" t="s">
        <v>3229</v>
      </c>
      <c r="AI174" s="553" t="s">
        <v>3229</v>
      </c>
      <c r="AJ174" s="553" t="s">
        <v>3229</v>
      </c>
      <c r="AK174" s="566" t="s">
        <v>3229</v>
      </c>
      <c r="AL174" s="553" t="s">
        <v>3229</v>
      </c>
      <c r="AM174" s="659">
        <v>1</v>
      </c>
      <c r="AN174" s="606">
        <v>0</v>
      </c>
      <c r="AO174" s="660">
        <v>10</v>
      </c>
      <c r="AP174" s="1368">
        <v>-0.15089853333333333</v>
      </c>
      <c r="AQ174" s="675">
        <v>-0.12442146931921561</v>
      </c>
      <c r="AR174" s="632" t="s">
        <v>3660</v>
      </c>
      <c r="AS174" s="558"/>
      <c r="AT174" s="598"/>
      <c r="AU174" s="552"/>
      <c r="AV174" s="558">
        <f t="shared" si="27"/>
        <v>0</v>
      </c>
      <c r="AW174" s="558">
        <f t="shared" si="29"/>
        <v>0</v>
      </c>
      <c r="AX174" s="553">
        <f>J174*(1+AV174)/AO174-1</f>
        <v>0</v>
      </c>
      <c r="AY174" s="552" t="e">
        <f>POWER(1+AX174,1/AG174)-1</f>
        <v>#DIV/0!</v>
      </c>
      <c r="AZ174" s="642">
        <f t="shared" si="28"/>
        <v>10</v>
      </c>
      <c r="BA174" s="644" t="s">
        <v>3777</v>
      </c>
      <c r="BB174" s="570"/>
      <c r="BC174" s="637"/>
      <c r="BD174" s="3708"/>
      <c r="BE174" s="3743"/>
      <c r="BF174" s="3743"/>
      <c r="BG174" s="3708"/>
      <c r="BH174" s="3762"/>
      <c r="BI174" s="3762"/>
      <c r="BJ174" s="39"/>
      <c r="BK174" s="39"/>
      <c r="BL174" s="39"/>
      <c r="BM174" s="39"/>
      <c r="BN174" s="39"/>
      <c r="BO174" s="39"/>
      <c r="BP174" s="39"/>
      <c r="BQ174" s="39"/>
      <c r="BR174" s="39"/>
      <c r="BS174" s="507"/>
      <c r="BT174" s="507"/>
      <c r="BU174" s="507"/>
      <c r="BV174" s="507"/>
      <c r="BW174" s="507"/>
      <c r="BX174" s="507"/>
      <c r="BY174" s="507"/>
      <c r="BZ174" s="507"/>
      <c r="CA174" s="507"/>
      <c r="CB174" s="507"/>
      <c r="CC174" s="507"/>
      <c r="CD174" s="507"/>
      <c r="CE174" s="507"/>
      <c r="CF174" s="507"/>
      <c r="CG174" s="507"/>
      <c r="CH174" s="507"/>
      <c r="CI174" s="507"/>
      <c r="CJ174" s="507"/>
      <c r="CK174" s="507"/>
      <c r="CL174" s="507"/>
      <c r="CM174" s="507"/>
      <c r="CN174" s="507"/>
      <c r="CO174" s="507"/>
      <c r="CP174" s="507"/>
      <c r="CQ174" s="507"/>
      <c r="CR174" s="507"/>
      <c r="CS174" s="507"/>
      <c r="CT174" s="507"/>
      <c r="CU174" s="507"/>
      <c r="CV174" s="507"/>
      <c r="CW174" s="507"/>
      <c r="CX174" s="507"/>
      <c r="CY174" s="507"/>
      <c r="CZ174" s="507"/>
      <c r="DA174" s="507"/>
      <c r="DB174" s="507"/>
      <c r="DC174" s="507"/>
      <c r="DD174" s="507"/>
      <c r="DE174" s="507"/>
      <c r="DF174" s="507"/>
      <c r="DG174" s="507"/>
      <c r="DH174" s="507"/>
      <c r="DI174" s="507"/>
      <c r="DJ174" s="507"/>
      <c r="DK174" s="507"/>
      <c r="DL174" s="507"/>
      <c r="DM174" s="507"/>
      <c r="DN174" s="507"/>
      <c r="DO174" s="507"/>
      <c r="DP174" s="507"/>
      <c r="DQ174" s="507"/>
      <c r="DR174" s="507"/>
      <c r="DS174" s="507"/>
      <c r="DT174" s="507"/>
      <c r="DU174" s="507"/>
      <c r="DV174" s="507"/>
      <c r="DW174" s="507"/>
      <c r="DX174" s="507"/>
      <c r="DY174" s="507"/>
      <c r="DZ174" s="507"/>
      <c r="EA174" s="507"/>
      <c r="EB174" s="507"/>
      <c r="EC174" s="507"/>
      <c r="ED174" s="507"/>
      <c r="EE174" s="507"/>
      <c r="EF174" s="507"/>
      <c r="EG174" s="507"/>
      <c r="EH174" s="507"/>
      <c r="EI174" s="507"/>
      <c r="EJ174" s="507"/>
      <c r="EK174" s="507"/>
      <c r="EL174" s="507"/>
      <c r="EM174" s="507"/>
      <c r="EN174" s="507"/>
      <c r="EO174" s="507"/>
      <c r="EP174" s="507"/>
      <c r="EQ174" s="507"/>
      <c r="ER174" s="507"/>
      <c r="ES174" s="507"/>
      <c r="ET174" s="507"/>
      <c r="EU174" s="507"/>
      <c r="EV174" s="507"/>
      <c r="EW174" s="507"/>
      <c r="EX174" s="507"/>
      <c r="EY174" s="507"/>
      <c r="EZ174" s="507"/>
      <c r="FA174" s="507"/>
      <c r="FB174" s="507"/>
      <c r="FC174" s="507"/>
      <c r="FD174" s="507"/>
      <c r="FE174" s="507"/>
      <c r="FF174" s="507"/>
      <c r="FG174" s="507"/>
      <c r="FH174" s="507"/>
      <c r="FI174" s="507"/>
      <c r="FJ174" s="507"/>
      <c r="FK174" s="507"/>
      <c r="FL174" s="507"/>
      <c r="FM174" s="507"/>
      <c r="FN174" s="507"/>
      <c r="FO174" s="507"/>
      <c r="FP174" s="507"/>
      <c r="FQ174" s="507"/>
      <c r="FR174" s="507"/>
      <c r="FS174" s="507"/>
      <c r="FT174" s="507"/>
      <c r="FU174" s="507"/>
      <c r="FV174" s="507"/>
      <c r="FW174" s="507"/>
      <c r="FX174" s="507"/>
      <c r="FY174" s="507"/>
      <c r="FZ174" s="507"/>
      <c r="GA174" s="507"/>
      <c r="GB174" s="507"/>
      <c r="GC174" s="507"/>
      <c r="GD174" s="507"/>
      <c r="GE174" s="507"/>
      <c r="GF174" s="507"/>
      <c r="GG174" s="507"/>
      <c r="GH174" s="507"/>
      <c r="GI174" s="507"/>
      <c r="GJ174" s="507"/>
      <c r="GK174" s="507"/>
      <c r="GL174" s="507"/>
      <c r="GM174" s="507"/>
      <c r="GN174" s="507"/>
      <c r="GO174" s="507"/>
      <c r="GP174" s="507"/>
      <c r="GQ174" s="507"/>
      <c r="GR174" s="507"/>
      <c r="GS174" s="507"/>
      <c r="GT174" s="507"/>
      <c r="GU174" s="507"/>
      <c r="GV174" s="507"/>
      <c r="GW174" s="507"/>
      <c r="GX174" s="507"/>
      <c r="GY174" s="507"/>
      <c r="GZ174" s="507"/>
      <c r="HA174" s="507"/>
      <c r="HB174" s="510"/>
      <c r="HC174" s="511"/>
      <c r="HD174" s="124"/>
      <c r="HE174" s="508"/>
      <c r="HF174" s="51"/>
      <c r="HG174" s="53"/>
      <c r="HH174" s="245"/>
      <c r="HI174" s="47"/>
      <c r="HJ174" s="46"/>
      <c r="HK174" s="50"/>
      <c r="HL174" s="54"/>
      <c r="HM174" s="54"/>
      <c r="HN174" s="50"/>
      <c r="HO174" s="50"/>
      <c r="HP174" s="50"/>
      <c r="HQ174" s="50"/>
      <c r="HR174" s="223"/>
      <c r="HS174" s="3769"/>
      <c r="HT174" s="3770"/>
      <c r="HU174" s="512"/>
      <c r="HV174" s="460"/>
      <c r="HW174" s="513"/>
      <c r="HX174" s="514"/>
      <c r="HY174" s="507"/>
      <c r="HZ174" s="507"/>
    </row>
    <row r="175" spans="1:234" s="232" customFormat="1" ht="15.9" hidden="1" customHeight="1" x14ac:dyDescent="0.25">
      <c r="A175" s="522" t="s">
        <v>74</v>
      </c>
      <c r="B175" s="523" t="s">
        <v>3865</v>
      </c>
      <c r="C175" s="527" t="s">
        <v>75</v>
      </c>
      <c r="D175" s="570" t="s">
        <v>4384</v>
      </c>
      <c r="E175" s="569" t="s">
        <v>3228</v>
      </c>
      <c r="F175" s="543">
        <v>39381</v>
      </c>
      <c r="G175" s="544">
        <v>39335</v>
      </c>
      <c r="H175" s="557">
        <v>39374</v>
      </c>
      <c r="I175" s="546">
        <v>41578</v>
      </c>
      <c r="J175" s="547">
        <v>10</v>
      </c>
      <c r="K175" s="553" t="s">
        <v>3229</v>
      </c>
      <c r="L175" s="552" t="s">
        <v>3229</v>
      </c>
      <c r="M175" s="549">
        <v>-0.05</v>
      </c>
      <c r="N175" s="606">
        <v>0.8</v>
      </c>
      <c r="O175" s="551" t="s">
        <v>3229</v>
      </c>
      <c r="P175" s="576" t="s">
        <v>3229</v>
      </c>
      <c r="Q175" s="570" t="s">
        <v>3229</v>
      </c>
      <c r="R175" s="570" t="s">
        <v>3229</v>
      </c>
      <c r="S175" s="577"/>
      <c r="T175" s="555" t="s">
        <v>3229</v>
      </c>
      <c r="U175" s="555" t="s">
        <v>3229</v>
      </c>
      <c r="V175" s="555" t="s">
        <v>3229</v>
      </c>
      <c r="W175" s="555" t="s">
        <v>3229</v>
      </c>
      <c r="X175" s="555" t="s">
        <v>3229</v>
      </c>
      <c r="Y175" s="553" t="s">
        <v>3229</v>
      </c>
      <c r="Z175" s="553" t="s">
        <v>3229</v>
      </c>
      <c r="AA175" s="553" t="s">
        <v>3229</v>
      </c>
      <c r="AB175" s="553" t="s">
        <v>3229</v>
      </c>
      <c r="AC175" s="553" t="s">
        <v>3229</v>
      </c>
      <c r="AD175" s="553" t="s">
        <v>3229</v>
      </c>
      <c r="AE175" s="553" t="s">
        <v>3229</v>
      </c>
      <c r="AF175" s="3764" t="s">
        <v>781</v>
      </c>
      <c r="AG175" s="3765"/>
      <c r="AH175" s="553" t="s">
        <v>3229</v>
      </c>
      <c r="AI175" s="553" t="s">
        <v>3229</v>
      </c>
      <c r="AJ175" s="553" t="s">
        <v>3229</v>
      </c>
      <c r="AK175" s="566" t="s">
        <v>3229</v>
      </c>
      <c r="AL175" s="553" t="s">
        <v>3229</v>
      </c>
      <c r="AM175" s="659">
        <v>1</v>
      </c>
      <c r="AN175" s="606">
        <v>-0.05</v>
      </c>
      <c r="AO175" s="660">
        <v>9.5</v>
      </c>
      <c r="AP175" s="1368">
        <v>-0.15035370833333336</v>
      </c>
      <c r="AQ175" s="675">
        <v>-0.10757126577277831</v>
      </c>
      <c r="AR175" s="632" t="s">
        <v>3660</v>
      </c>
      <c r="AS175" s="558"/>
      <c r="AT175" s="598"/>
      <c r="AU175" s="552"/>
      <c r="AV175" s="558">
        <f t="shared" si="27"/>
        <v>-0.05</v>
      </c>
      <c r="AW175" s="558">
        <f t="shared" si="29"/>
        <v>-8.4854379737808738E-3</v>
      </c>
      <c r="AX175" s="553">
        <f>J175*(1+AV175)/AO175-1</f>
        <v>0</v>
      </c>
      <c r="AY175" s="552" t="e">
        <f>POWER(1+AX175,1/AG175)-1</f>
        <v>#DIV/0!</v>
      </c>
      <c r="AZ175" s="642">
        <f t="shared" si="28"/>
        <v>9.5</v>
      </c>
      <c r="BA175" s="644" t="s">
        <v>3190</v>
      </c>
      <c r="BB175" s="570"/>
      <c r="BC175" s="637"/>
      <c r="BD175" s="3708"/>
      <c r="BE175" s="3743"/>
      <c r="BF175" s="3743"/>
      <c r="BG175" s="3708"/>
      <c r="BH175" s="3762"/>
      <c r="BI175" s="3762"/>
      <c r="BJ175" s="39"/>
      <c r="BK175" s="39"/>
      <c r="BL175" s="39"/>
      <c r="BM175" s="39"/>
      <c r="BN175" s="39"/>
      <c r="BO175" s="39"/>
      <c r="BP175" s="39"/>
      <c r="BQ175" s="39"/>
      <c r="BR175" s="39"/>
      <c r="BS175" s="507"/>
      <c r="BT175" s="507"/>
      <c r="BU175" s="507"/>
      <c r="BV175" s="507"/>
      <c r="BW175" s="507"/>
      <c r="BX175" s="507"/>
      <c r="BY175" s="507"/>
      <c r="BZ175" s="507"/>
      <c r="CA175" s="507"/>
      <c r="CB175" s="507"/>
      <c r="CC175" s="507"/>
      <c r="CD175" s="507"/>
      <c r="CE175" s="507"/>
      <c r="CF175" s="507"/>
      <c r="CG175" s="507"/>
      <c r="CH175" s="507"/>
      <c r="CI175" s="507"/>
      <c r="CJ175" s="507"/>
      <c r="CK175" s="507"/>
      <c r="CL175" s="507"/>
      <c r="CM175" s="507"/>
      <c r="CN175" s="507"/>
      <c r="CO175" s="507"/>
      <c r="CP175" s="507"/>
      <c r="CQ175" s="507"/>
      <c r="CR175" s="507"/>
      <c r="CS175" s="507"/>
      <c r="CT175" s="507"/>
      <c r="CU175" s="507"/>
      <c r="CV175" s="507"/>
      <c r="CW175" s="507"/>
      <c r="CX175" s="507"/>
      <c r="CY175" s="507"/>
      <c r="CZ175" s="507"/>
      <c r="DA175" s="507"/>
      <c r="DB175" s="507"/>
      <c r="DC175" s="507"/>
      <c r="DD175" s="507"/>
      <c r="DE175" s="507"/>
      <c r="DF175" s="507"/>
      <c r="DG175" s="507"/>
      <c r="DH175" s="507"/>
      <c r="DI175" s="507"/>
      <c r="DJ175" s="507"/>
      <c r="DK175" s="507"/>
      <c r="DL175" s="507"/>
      <c r="DM175" s="507"/>
      <c r="DN175" s="507"/>
      <c r="DO175" s="507"/>
      <c r="DP175" s="507"/>
      <c r="DQ175" s="507"/>
      <c r="DR175" s="507"/>
      <c r="DS175" s="507"/>
      <c r="DT175" s="507"/>
      <c r="DU175" s="507"/>
      <c r="DV175" s="507"/>
      <c r="DW175" s="507"/>
      <c r="DX175" s="507"/>
      <c r="DY175" s="507"/>
      <c r="DZ175" s="507"/>
      <c r="EA175" s="507"/>
      <c r="EB175" s="507"/>
      <c r="EC175" s="507"/>
      <c r="ED175" s="507"/>
      <c r="EE175" s="507"/>
      <c r="EF175" s="507"/>
      <c r="EG175" s="507"/>
      <c r="EH175" s="507"/>
      <c r="EI175" s="507"/>
      <c r="EJ175" s="507"/>
      <c r="EK175" s="507"/>
      <c r="EL175" s="507"/>
      <c r="EM175" s="507"/>
      <c r="EN175" s="507"/>
      <c r="EO175" s="507"/>
      <c r="EP175" s="507"/>
      <c r="EQ175" s="507"/>
      <c r="ER175" s="507"/>
      <c r="ES175" s="507"/>
      <c r="ET175" s="507"/>
      <c r="EU175" s="507"/>
      <c r="EV175" s="507"/>
      <c r="EW175" s="507"/>
      <c r="EX175" s="507"/>
      <c r="EY175" s="507"/>
      <c r="EZ175" s="507"/>
      <c r="FA175" s="507"/>
      <c r="FB175" s="507"/>
      <c r="FC175" s="507"/>
      <c r="FD175" s="507"/>
      <c r="FE175" s="507"/>
      <c r="FF175" s="507"/>
      <c r="FG175" s="507"/>
      <c r="FH175" s="507"/>
      <c r="FI175" s="507"/>
      <c r="FJ175" s="507"/>
      <c r="FK175" s="507"/>
      <c r="FL175" s="507"/>
      <c r="FM175" s="507"/>
      <c r="FN175" s="507"/>
      <c r="FO175" s="507"/>
      <c r="FP175" s="507"/>
      <c r="FQ175" s="507"/>
      <c r="FR175" s="507"/>
      <c r="FS175" s="507"/>
      <c r="FT175" s="507"/>
      <c r="FU175" s="507"/>
      <c r="FV175" s="507"/>
      <c r="FW175" s="507"/>
      <c r="FX175" s="507"/>
      <c r="FY175" s="507"/>
      <c r="FZ175" s="507"/>
      <c r="GA175" s="507"/>
      <c r="GB175" s="507"/>
      <c r="GC175" s="507"/>
      <c r="GD175" s="507"/>
      <c r="GE175" s="507"/>
      <c r="GF175" s="507"/>
      <c r="GG175" s="507"/>
      <c r="GH175" s="507"/>
      <c r="GI175" s="507"/>
      <c r="GJ175" s="507"/>
      <c r="GK175" s="507"/>
      <c r="GL175" s="507"/>
      <c r="GM175" s="507"/>
      <c r="GN175" s="507"/>
      <c r="GO175" s="507"/>
      <c r="GP175" s="507"/>
      <c r="GQ175" s="507"/>
      <c r="GR175" s="507"/>
      <c r="GS175" s="507"/>
      <c r="GT175" s="507"/>
      <c r="GU175" s="507"/>
      <c r="GV175" s="507"/>
      <c r="GW175" s="507"/>
      <c r="GX175" s="507"/>
      <c r="GY175" s="507"/>
      <c r="GZ175" s="507"/>
      <c r="HA175" s="507"/>
      <c r="HB175" s="507"/>
      <c r="HC175" s="507"/>
      <c r="HD175" s="507"/>
      <c r="HE175" s="507"/>
      <c r="HF175" s="507"/>
      <c r="HG175" s="507"/>
      <c r="HH175" s="507"/>
      <c r="HI175" s="507"/>
      <c r="HJ175" s="507"/>
      <c r="HK175" s="507"/>
      <c r="HL175" s="507"/>
      <c r="HM175" s="507"/>
      <c r="HN175" s="507"/>
      <c r="HO175" s="507"/>
      <c r="HP175" s="507"/>
      <c r="HQ175" s="507"/>
      <c r="HR175" s="507"/>
      <c r="HS175" s="507"/>
      <c r="HT175" s="507"/>
      <c r="HU175" s="507"/>
      <c r="HV175" s="507"/>
      <c r="HW175" s="507"/>
      <c r="HX175" s="507"/>
      <c r="HY175" s="507"/>
      <c r="HZ175" s="507"/>
    </row>
    <row r="176" spans="1:234" s="232" customFormat="1" ht="15.9" hidden="1" customHeight="1" x14ac:dyDescent="0.25">
      <c r="A176" s="522" t="s">
        <v>1929</v>
      </c>
      <c r="B176" s="479" t="s">
        <v>3866</v>
      </c>
      <c r="C176" s="527" t="s">
        <v>188</v>
      </c>
      <c r="D176" s="570" t="s">
        <v>189</v>
      </c>
      <c r="E176" s="569" t="s">
        <v>3228</v>
      </c>
      <c r="F176" s="543">
        <v>39393</v>
      </c>
      <c r="G176" s="544">
        <v>39356</v>
      </c>
      <c r="H176" s="557">
        <v>39386</v>
      </c>
      <c r="I176" s="546">
        <v>41607</v>
      </c>
      <c r="J176" s="547">
        <v>10</v>
      </c>
      <c r="K176" s="553" t="s">
        <v>3229</v>
      </c>
      <c r="L176" s="552" t="s">
        <v>3229</v>
      </c>
      <c r="M176" s="549">
        <v>0</v>
      </c>
      <c r="N176" s="606" t="s">
        <v>3229</v>
      </c>
      <c r="O176" s="551">
        <v>0.48</v>
      </c>
      <c r="P176" s="576"/>
      <c r="Q176" s="570"/>
      <c r="R176" s="570"/>
      <c r="S176" s="577">
        <v>4</v>
      </c>
      <c r="T176" s="555">
        <v>40118</v>
      </c>
      <c r="U176" s="555">
        <v>40483</v>
      </c>
      <c r="V176" s="555">
        <v>40848</v>
      </c>
      <c r="W176" s="555">
        <v>41214</v>
      </c>
      <c r="X176" s="555" t="s">
        <v>3229</v>
      </c>
      <c r="Y176" s="553" t="s">
        <v>3229</v>
      </c>
      <c r="Z176" s="553" t="s">
        <v>3229</v>
      </c>
      <c r="AA176" s="553" t="s">
        <v>3229</v>
      </c>
      <c r="AB176" s="553" t="s">
        <v>3229</v>
      </c>
      <c r="AC176" s="553" t="s">
        <v>3229</v>
      </c>
      <c r="AD176" s="553" t="s">
        <v>3229</v>
      </c>
      <c r="AE176" s="553" t="s">
        <v>3229</v>
      </c>
      <c r="AF176" s="3764" t="s">
        <v>781</v>
      </c>
      <c r="AG176" s="3765"/>
      <c r="AH176" s="553" t="s">
        <v>3229</v>
      </c>
      <c r="AI176" s="553" t="s">
        <v>3229</v>
      </c>
      <c r="AJ176" s="553" t="s">
        <v>3229</v>
      </c>
      <c r="AK176" s="566" t="s">
        <v>3229</v>
      </c>
      <c r="AL176" s="553" t="s">
        <v>3229</v>
      </c>
      <c r="AM176" s="659">
        <v>1</v>
      </c>
      <c r="AN176" s="606">
        <v>0</v>
      </c>
      <c r="AO176" s="660">
        <v>10.18</v>
      </c>
      <c r="AP176" s="1368">
        <v>-4.7894764175673746E-2</v>
      </c>
      <c r="AQ176" s="675">
        <v>-4.7894764175673746E-2</v>
      </c>
      <c r="AR176" s="632">
        <f>O176</f>
        <v>0.48</v>
      </c>
      <c r="AS176" s="558">
        <f>POWER(1+AR176,1/((I176-F176)/365))-1</f>
        <v>6.6766437060609141E-2</v>
      </c>
      <c r="AT176" s="598">
        <f>J176*(1+AR176)/AO176-1</f>
        <v>0.4538310412573674</v>
      </c>
      <c r="AU176" s="552" t="e">
        <f>POWER(1+AT176,1/AG176)-1</f>
        <v>#DIV/0!</v>
      </c>
      <c r="AV176" s="558">
        <f t="shared" si="27"/>
        <v>0</v>
      </c>
      <c r="AW176" s="558">
        <f t="shared" si="29"/>
        <v>0</v>
      </c>
      <c r="AX176" s="553">
        <f>J176*(1+AV176)/AO176-1</f>
        <v>-1.7681728880157177E-2</v>
      </c>
      <c r="AY176" s="552" t="e">
        <f>POWER(1+AX176,1/AG176)-1</f>
        <v>#DIV/0!</v>
      </c>
      <c r="AZ176" s="642">
        <f t="shared" si="28"/>
        <v>10</v>
      </c>
      <c r="BA176" s="644" t="s">
        <v>3852</v>
      </c>
      <c r="BB176" s="570"/>
      <c r="BC176" s="637"/>
      <c r="BD176" s="3708"/>
      <c r="BE176" s="3743"/>
      <c r="BF176" s="3743"/>
      <c r="BG176" s="3708"/>
      <c r="BH176" s="3762"/>
      <c r="BI176" s="3762"/>
      <c r="BJ176" s="39"/>
      <c r="BK176" s="39"/>
      <c r="BL176" s="39"/>
      <c r="BM176" s="39"/>
      <c r="BN176" s="39"/>
      <c r="BO176" s="39"/>
      <c r="BP176" s="39"/>
      <c r="BQ176" s="39"/>
      <c r="BR176" s="39"/>
      <c r="BS176" s="507"/>
      <c r="BT176" s="507"/>
      <c r="BU176" s="507"/>
      <c r="BV176" s="507"/>
      <c r="BW176" s="507"/>
      <c r="BX176" s="507"/>
      <c r="BY176" s="507"/>
      <c r="BZ176" s="507"/>
      <c r="CA176" s="507"/>
      <c r="CB176" s="507"/>
      <c r="CC176" s="507"/>
      <c r="CD176" s="507"/>
      <c r="CE176" s="507"/>
      <c r="CF176" s="507"/>
      <c r="CG176" s="507"/>
      <c r="CH176" s="507"/>
      <c r="CI176" s="507"/>
      <c r="CJ176" s="507"/>
      <c r="CK176" s="507"/>
      <c r="CL176" s="507"/>
      <c r="CM176" s="507"/>
      <c r="CN176" s="507"/>
      <c r="CO176" s="507"/>
      <c r="CP176" s="507"/>
      <c r="CQ176" s="507"/>
      <c r="CR176" s="507"/>
      <c r="CS176" s="507"/>
      <c r="CT176" s="507"/>
      <c r="CU176" s="507"/>
      <c r="CV176" s="507"/>
      <c r="CW176" s="507"/>
      <c r="CX176" s="507"/>
      <c r="CY176" s="507"/>
      <c r="CZ176" s="507"/>
      <c r="DA176" s="507"/>
      <c r="DB176" s="507"/>
      <c r="DC176" s="507"/>
      <c r="DD176" s="507"/>
      <c r="DE176" s="507"/>
      <c r="DF176" s="507"/>
      <c r="DG176" s="507"/>
      <c r="DH176" s="507"/>
      <c r="DI176" s="507"/>
      <c r="DJ176" s="507"/>
      <c r="DK176" s="507"/>
      <c r="DL176" s="507"/>
      <c r="DM176" s="507"/>
      <c r="DN176" s="507"/>
      <c r="DO176" s="507"/>
      <c r="DP176" s="507"/>
      <c r="DQ176" s="507"/>
      <c r="DR176" s="507"/>
      <c r="DS176" s="507"/>
      <c r="DT176" s="507"/>
      <c r="DU176" s="507"/>
      <c r="DV176" s="507"/>
      <c r="DW176" s="507"/>
      <c r="DX176" s="507"/>
      <c r="DY176" s="507"/>
      <c r="DZ176" s="507"/>
      <c r="EA176" s="507"/>
      <c r="EB176" s="507"/>
      <c r="EC176" s="507"/>
      <c r="ED176" s="507"/>
      <c r="EE176" s="507"/>
      <c r="EF176" s="507"/>
      <c r="EG176" s="507"/>
      <c r="EH176" s="507"/>
      <c r="EI176" s="507"/>
      <c r="EJ176" s="507"/>
      <c r="EK176" s="507"/>
      <c r="EL176" s="507"/>
      <c r="EM176" s="507"/>
      <c r="EN176" s="507"/>
      <c r="EO176" s="507"/>
      <c r="EP176" s="507"/>
      <c r="EQ176" s="507"/>
      <c r="ER176" s="507"/>
      <c r="ES176" s="507"/>
      <c r="ET176" s="507"/>
      <c r="EU176" s="507"/>
      <c r="EV176" s="507"/>
      <c r="EW176" s="507"/>
      <c r="EX176" s="507"/>
      <c r="EY176" s="507"/>
      <c r="EZ176" s="507"/>
      <c r="FA176" s="507"/>
      <c r="FB176" s="507"/>
      <c r="FC176" s="507"/>
      <c r="FD176" s="507"/>
      <c r="FE176" s="507"/>
      <c r="FF176" s="507"/>
      <c r="FG176" s="507"/>
      <c r="FH176" s="507"/>
      <c r="FI176" s="507"/>
      <c r="FJ176" s="507"/>
      <c r="FK176" s="507"/>
      <c r="FL176" s="507"/>
      <c r="FM176" s="507"/>
      <c r="FN176" s="507"/>
      <c r="FO176" s="507"/>
      <c r="FP176" s="507"/>
      <c r="FQ176" s="507"/>
      <c r="FR176" s="507"/>
      <c r="FS176" s="507"/>
      <c r="FT176" s="507"/>
      <c r="FU176" s="507"/>
      <c r="FV176" s="507"/>
      <c r="FW176" s="507"/>
      <c r="FX176" s="507"/>
      <c r="FY176" s="507"/>
      <c r="FZ176" s="507"/>
      <c r="GA176" s="507"/>
      <c r="GB176" s="507"/>
      <c r="GC176" s="507"/>
      <c r="GD176" s="507"/>
      <c r="GE176" s="507"/>
      <c r="GF176" s="507"/>
      <c r="GG176" s="507"/>
      <c r="GH176" s="507"/>
      <c r="GI176" s="507"/>
      <c r="GJ176" s="507"/>
      <c r="GK176" s="507"/>
      <c r="GL176" s="507"/>
      <c r="GM176" s="507"/>
      <c r="GN176" s="507"/>
      <c r="GO176" s="507"/>
      <c r="GP176" s="507"/>
      <c r="GQ176" s="507"/>
      <c r="GR176" s="507"/>
      <c r="GS176" s="507"/>
      <c r="GT176" s="507"/>
      <c r="GU176" s="507"/>
      <c r="GV176" s="507"/>
      <c r="GW176" s="507"/>
      <c r="GX176" s="507"/>
      <c r="GY176" s="507"/>
      <c r="GZ176" s="507"/>
      <c r="HA176" s="507"/>
      <c r="HB176" s="507"/>
      <c r="HC176" s="507"/>
      <c r="HD176" s="507"/>
      <c r="HE176" s="507"/>
      <c r="HF176" s="507"/>
      <c r="HG176" s="507"/>
      <c r="HH176" s="507"/>
      <c r="HI176" s="507"/>
      <c r="HJ176" s="507"/>
      <c r="HK176" s="507"/>
      <c r="HL176" s="507"/>
      <c r="HM176" s="507"/>
      <c r="HN176" s="507"/>
      <c r="HO176" s="507"/>
      <c r="HP176" s="507"/>
      <c r="HQ176" s="507"/>
      <c r="HR176" s="507"/>
      <c r="HS176" s="507"/>
      <c r="HT176" s="507"/>
      <c r="HU176" s="507"/>
      <c r="HV176" s="507"/>
      <c r="HW176" s="507"/>
      <c r="HX176" s="507"/>
      <c r="HY176" s="507"/>
      <c r="HZ176" s="507"/>
    </row>
    <row r="177" spans="1:234" s="232" customFormat="1" ht="15.9" hidden="1" customHeight="1" x14ac:dyDescent="0.25">
      <c r="A177" s="522" t="s">
        <v>1432</v>
      </c>
      <c r="B177" s="479" t="s">
        <v>3867</v>
      </c>
      <c r="C177" s="524" t="s">
        <v>1165</v>
      </c>
      <c r="D177" s="553" t="s">
        <v>2158</v>
      </c>
      <c r="E177" s="524" t="s">
        <v>3228</v>
      </c>
      <c r="F177" s="544">
        <v>39393</v>
      </c>
      <c r="G177" s="586">
        <v>39356</v>
      </c>
      <c r="H177" s="544">
        <v>39386</v>
      </c>
      <c r="I177" s="588">
        <v>40147</v>
      </c>
      <c r="J177" s="595">
        <v>10</v>
      </c>
      <c r="K177" s="561">
        <v>-0.04</v>
      </c>
      <c r="L177" s="552">
        <v>0</v>
      </c>
      <c r="M177" s="560">
        <v>0</v>
      </c>
      <c r="N177" s="606" t="s">
        <v>3229</v>
      </c>
      <c r="O177" s="575"/>
      <c r="P177" s="575">
        <v>1</v>
      </c>
      <c r="Q177" s="575" t="s">
        <v>3229</v>
      </c>
      <c r="R177" s="596" t="s">
        <v>3229</v>
      </c>
      <c r="S177" s="597"/>
      <c r="T177" s="598" t="s">
        <v>3229</v>
      </c>
      <c r="U177" s="598" t="s">
        <v>3229</v>
      </c>
      <c r="V177" s="598" t="s">
        <v>3229</v>
      </c>
      <c r="W177" s="598" t="s">
        <v>3229</v>
      </c>
      <c r="X177" s="598" t="s">
        <v>3229</v>
      </c>
      <c r="Y177" s="598" t="s">
        <v>3229</v>
      </c>
      <c r="Z177" s="598" t="s">
        <v>3229</v>
      </c>
      <c r="AA177" s="598" t="s">
        <v>3229</v>
      </c>
      <c r="AB177" s="598" t="s">
        <v>3229</v>
      </c>
      <c r="AC177" s="598" t="s">
        <v>3229</v>
      </c>
      <c r="AD177" s="598" t="s">
        <v>3229</v>
      </c>
      <c r="AE177" s="599" t="s">
        <v>3229</v>
      </c>
      <c r="AF177" s="3764" t="s">
        <v>781</v>
      </c>
      <c r="AG177" s="3765"/>
      <c r="AH177" s="590" t="s">
        <v>3229</v>
      </c>
      <c r="AI177" s="590" t="s">
        <v>3229</v>
      </c>
      <c r="AJ177" s="590" t="s">
        <v>3229</v>
      </c>
      <c r="AK177" s="673" t="s">
        <v>3229</v>
      </c>
      <c r="AL177" s="590" t="s">
        <v>3229</v>
      </c>
      <c r="AM177" s="590">
        <v>1</v>
      </c>
      <c r="AN177" s="570" t="s">
        <v>3229</v>
      </c>
      <c r="AO177" s="625">
        <v>10</v>
      </c>
      <c r="AP177" s="1368" t="s">
        <v>3229</v>
      </c>
      <c r="AQ177" s="675" t="s">
        <v>3229</v>
      </c>
      <c r="AR177" s="558">
        <f>AO177/10-1</f>
        <v>0</v>
      </c>
      <c r="AS177" s="558">
        <f>POWER(1+AR177,1/((I177-F177)/365))-1</f>
        <v>0</v>
      </c>
      <c r="AT177" s="650" t="s">
        <v>3229</v>
      </c>
      <c r="AU177" s="647" t="s">
        <v>3229</v>
      </c>
      <c r="AV177" s="558">
        <f t="shared" si="27"/>
        <v>0</v>
      </c>
      <c r="AW177" s="558">
        <f t="shared" si="29"/>
        <v>0</v>
      </c>
      <c r="AX177" s="589"/>
      <c r="AY177" s="587"/>
      <c r="AZ177" s="642">
        <f t="shared" si="28"/>
        <v>10</v>
      </c>
      <c r="BA177" s="644" t="s">
        <v>120</v>
      </c>
      <c r="BB177" s="570"/>
      <c r="BC177" s="637"/>
      <c r="BD177" s="3708"/>
      <c r="BE177" s="3743"/>
      <c r="BF177" s="3743"/>
      <c r="BG177" s="3708"/>
      <c r="BH177" s="3762"/>
      <c r="BI177" s="3762"/>
      <c r="BJ177" s="39"/>
      <c r="BK177" s="39"/>
      <c r="BL177" s="39"/>
      <c r="BM177" s="39"/>
      <c r="BN177" s="39"/>
      <c r="BO177" s="39"/>
      <c r="BP177" s="39"/>
      <c r="BQ177" s="39"/>
      <c r="BR177" s="39"/>
      <c r="BS177" s="507"/>
      <c r="BT177" s="507"/>
      <c r="BU177" s="507"/>
      <c r="BV177" s="507"/>
      <c r="BW177" s="507"/>
      <c r="BX177" s="507"/>
      <c r="BY177" s="507"/>
      <c r="BZ177" s="507"/>
      <c r="CA177" s="507"/>
      <c r="CB177" s="507"/>
      <c r="CC177" s="507"/>
      <c r="CD177" s="507"/>
      <c r="CE177" s="507"/>
      <c r="CF177" s="507"/>
      <c r="CG177" s="507"/>
      <c r="CH177" s="507"/>
      <c r="CI177" s="507"/>
      <c r="CJ177" s="507"/>
      <c r="CK177" s="507"/>
      <c r="CL177" s="507"/>
      <c r="CM177" s="507"/>
      <c r="CN177" s="507"/>
      <c r="CO177" s="507"/>
      <c r="CP177" s="507"/>
      <c r="CQ177" s="507"/>
      <c r="CR177" s="507"/>
      <c r="CS177" s="507"/>
      <c r="CT177" s="507"/>
      <c r="CU177" s="507"/>
      <c r="CV177" s="507"/>
      <c r="CW177" s="507"/>
      <c r="CX177" s="507"/>
      <c r="CY177" s="507"/>
      <c r="CZ177" s="507"/>
      <c r="DA177" s="507"/>
      <c r="DB177" s="507"/>
      <c r="DC177" s="507"/>
      <c r="DD177" s="507"/>
      <c r="DE177" s="507"/>
      <c r="DF177" s="507"/>
      <c r="DG177" s="507"/>
      <c r="DH177" s="507"/>
      <c r="DI177" s="507"/>
      <c r="DJ177" s="507"/>
      <c r="DK177" s="507"/>
      <c r="DL177" s="507"/>
      <c r="DM177" s="507"/>
      <c r="DN177" s="507"/>
      <c r="DO177" s="507"/>
      <c r="DP177" s="507"/>
      <c r="DQ177" s="507"/>
      <c r="DR177" s="507"/>
      <c r="DS177" s="507"/>
      <c r="DT177" s="507"/>
      <c r="DU177" s="507"/>
      <c r="DV177" s="507"/>
      <c r="DW177" s="507"/>
      <c r="DX177" s="507"/>
      <c r="DY177" s="507"/>
      <c r="DZ177" s="507"/>
      <c r="EA177" s="507"/>
      <c r="EB177" s="507"/>
      <c r="EC177" s="507"/>
      <c r="ED177" s="507"/>
      <c r="EE177" s="507"/>
      <c r="EF177" s="507"/>
      <c r="EG177" s="507"/>
      <c r="EH177" s="507"/>
      <c r="EI177" s="507"/>
      <c r="EJ177" s="507"/>
      <c r="EK177" s="507"/>
      <c r="EL177" s="507"/>
      <c r="EM177" s="507"/>
      <c r="EN177" s="507"/>
      <c r="EO177" s="507"/>
      <c r="EP177" s="507"/>
      <c r="EQ177" s="507"/>
      <c r="ER177" s="507"/>
      <c r="ES177" s="507"/>
      <c r="ET177" s="507"/>
      <c r="EU177" s="507"/>
      <c r="EV177" s="507"/>
      <c r="EW177" s="507"/>
      <c r="EX177" s="507"/>
      <c r="EY177" s="507"/>
      <c r="EZ177" s="507"/>
      <c r="FA177" s="507"/>
      <c r="FB177" s="507"/>
      <c r="FC177" s="507"/>
      <c r="FD177" s="507"/>
      <c r="FE177" s="507"/>
      <c r="FF177" s="507"/>
      <c r="FG177" s="507"/>
      <c r="FH177" s="507"/>
      <c r="FI177" s="507"/>
      <c r="FJ177" s="507"/>
      <c r="FK177" s="507"/>
      <c r="FL177" s="507"/>
      <c r="FM177" s="507"/>
      <c r="FN177" s="507"/>
      <c r="FO177" s="507"/>
      <c r="FP177" s="507"/>
      <c r="FQ177" s="507"/>
      <c r="FR177" s="507"/>
      <c r="FS177" s="507"/>
      <c r="FT177" s="507"/>
      <c r="FU177" s="507"/>
      <c r="FV177" s="507"/>
      <c r="FW177" s="507"/>
      <c r="FX177" s="507"/>
      <c r="FY177" s="507"/>
      <c r="FZ177" s="507"/>
      <c r="GA177" s="507"/>
      <c r="GB177" s="507"/>
      <c r="GC177" s="507"/>
      <c r="GD177" s="507"/>
      <c r="GE177" s="507"/>
      <c r="GF177" s="507"/>
      <c r="GG177" s="507"/>
      <c r="GH177" s="507"/>
      <c r="GI177" s="507"/>
      <c r="GJ177" s="507"/>
      <c r="GK177" s="507"/>
      <c r="GL177" s="507"/>
      <c r="GM177" s="507"/>
      <c r="GN177" s="507"/>
      <c r="GO177" s="507"/>
      <c r="GP177" s="507"/>
      <c r="GQ177" s="507"/>
      <c r="GR177" s="507"/>
      <c r="GS177" s="507"/>
      <c r="GT177" s="507"/>
      <c r="GU177" s="507"/>
      <c r="GV177" s="507"/>
      <c r="GW177" s="507"/>
      <c r="GX177" s="507"/>
      <c r="GY177" s="507"/>
      <c r="GZ177" s="507"/>
      <c r="HA177" s="507"/>
      <c r="HB177" s="507"/>
      <c r="HC177" s="507"/>
      <c r="HD177" s="507"/>
      <c r="HE177" s="507"/>
      <c r="HF177" s="507"/>
      <c r="HG177" s="507"/>
      <c r="HH177" s="507"/>
      <c r="HI177" s="507"/>
      <c r="HJ177" s="507"/>
      <c r="HK177" s="507"/>
      <c r="HL177" s="507"/>
      <c r="HM177" s="507"/>
      <c r="HN177" s="507"/>
      <c r="HO177" s="507"/>
      <c r="HP177" s="507"/>
      <c r="HQ177" s="507"/>
      <c r="HR177" s="507"/>
      <c r="HS177" s="507"/>
      <c r="HT177" s="507"/>
      <c r="HU177" s="507"/>
      <c r="HV177" s="507"/>
      <c r="HW177" s="507"/>
      <c r="HX177" s="507"/>
      <c r="HY177" s="507"/>
      <c r="HZ177" s="507"/>
    </row>
    <row r="178" spans="1:234" s="232" customFormat="1" ht="15.9" hidden="1" customHeight="1" x14ac:dyDescent="0.25">
      <c r="A178" s="522" t="s">
        <v>1433</v>
      </c>
      <c r="B178" s="479" t="s">
        <v>1681</v>
      </c>
      <c r="C178" s="524" t="s">
        <v>1166</v>
      </c>
      <c r="D178" s="553" t="s">
        <v>2158</v>
      </c>
      <c r="E178" s="524" t="s">
        <v>3228</v>
      </c>
      <c r="F178" s="544">
        <v>39393</v>
      </c>
      <c r="G178" s="586">
        <v>39356</v>
      </c>
      <c r="H178" s="544">
        <v>39386</v>
      </c>
      <c r="I178" s="588">
        <v>40877</v>
      </c>
      <c r="J178" s="595">
        <v>10</v>
      </c>
      <c r="K178" s="561" t="s">
        <v>3229</v>
      </c>
      <c r="L178" s="552" t="s">
        <v>3229</v>
      </c>
      <c r="M178" s="560">
        <v>0</v>
      </c>
      <c r="N178" s="606">
        <v>1.1000000000000001</v>
      </c>
      <c r="O178" s="575" t="s">
        <v>3229</v>
      </c>
      <c r="P178" s="575" t="s">
        <v>3229</v>
      </c>
      <c r="Q178" s="575" t="s">
        <v>3229</v>
      </c>
      <c r="R178" s="596" t="s">
        <v>3229</v>
      </c>
      <c r="S178" s="597"/>
      <c r="T178" s="598" t="s">
        <v>3229</v>
      </c>
      <c r="U178" s="598" t="s">
        <v>3229</v>
      </c>
      <c r="V178" s="598" t="s">
        <v>3229</v>
      </c>
      <c r="W178" s="598" t="s">
        <v>3229</v>
      </c>
      <c r="X178" s="598" t="s">
        <v>3229</v>
      </c>
      <c r="Y178" s="598" t="s">
        <v>3229</v>
      </c>
      <c r="Z178" s="598" t="s">
        <v>3229</v>
      </c>
      <c r="AA178" s="598" t="s">
        <v>3229</v>
      </c>
      <c r="AB178" s="598" t="s">
        <v>3229</v>
      </c>
      <c r="AC178" s="598" t="s">
        <v>3229</v>
      </c>
      <c r="AD178" s="598" t="s">
        <v>3229</v>
      </c>
      <c r="AE178" s="599" t="s">
        <v>3229</v>
      </c>
      <c r="AF178" s="3764" t="s">
        <v>781</v>
      </c>
      <c r="AG178" s="3765"/>
      <c r="AH178" s="590" t="s">
        <v>3229</v>
      </c>
      <c r="AI178" s="590" t="s">
        <v>3229</v>
      </c>
      <c r="AJ178" s="590" t="s">
        <v>3229</v>
      </c>
      <c r="AK178" s="673" t="s">
        <v>3229</v>
      </c>
      <c r="AL178" s="590" t="s">
        <v>3229</v>
      </c>
      <c r="AM178" s="590">
        <v>1</v>
      </c>
      <c r="AN178" s="638">
        <v>0</v>
      </c>
      <c r="AO178" s="625">
        <v>9.86</v>
      </c>
      <c r="AP178" s="1368">
        <v>-0.46193118749999984</v>
      </c>
      <c r="AQ178" s="675">
        <v>-0.63296350444977134</v>
      </c>
      <c r="AR178" s="558" t="s">
        <v>3660</v>
      </c>
      <c r="AS178" s="558"/>
      <c r="AT178" s="650"/>
      <c r="AU178" s="647"/>
      <c r="AV178" s="558">
        <f t="shared" si="27"/>
        <v>0</v>
      </c>
      <c r="AW178" s="558">
        <f t="shared" si="29"/>
        <v>0</v>
      </c>
      <c r="AX178" s="589"/>
      <c r="AY178" s="587"/>
      <c r="AZ178" s="642">
        <f t="shared" si="28"/>
        <v>10</v>
      </c>
      <c r="BA178" s="644" t="s">
        <v>574</v>
      </c>
      <c r="BB178" s="570"/>
      <c r="BC178" s="637"/>
      <c r="BD178" s="3708"/>
      <c r="BE178" s="3743"/>
      <c r="BF178" s="3743"/>
      <c r="BG178" s="3708"/>
      <c r="BH178" s="3762"/>
      <c r="BI178" s="3762"/>
      <c r="BJ178" s="39"/>
      <c r="BK178" s="39"/>
      <c r="BL178" s="39"/>
      <c r="BM178" s="39"/>
      <c r="BN178" s="39"/>
      <c r="BO178" s="39"/>
      <c r="BP178" s="39"/>
      <c r="BQ178" s="39"/>
      <c r="BR178" s="39"/>
      <c r="BS178" s="507"/>
      <c r="BT178" s="507"/>
      <c r="BU178" s="507"/>
      <c r="BV178" s="507"/>
      <c r="BW178" s="507"/>
      <c r="BX178" s="507"/>
      <c r="BY178" s="507"/>
      <c r="BZ178" s="507"/>
      <c r="CA178" s="507"/>
      <c r="CB178" s="507"/>
      <c r="CC178" s="507"/>
      <c r="CD178" s="507"/>
      <c r="CE178" s="507"/>
      <c r="CF178" s="507"/>
      <c r="CG178" s="507"/>
      <c r="CH178" s="507"/>
      <c r="CI178" s="507"/>
      <c r="CJ178" s="507"/>
      <c r="CK178" s="507"/>
      <c r="CL178" s="507"/>
      <c r="CM178" s="507"/>
      <c r="CN178" s="507"/>
      <c r="CO178" s="507"/>
      <c r="CP178" s="507"/>
      <c r="CQ178" s="507"/>
      <c r="CR178" s="507"/>
      <c r="CS178" s="507"/>
      <c r="CT178" s="507"/>
      <c r="CU178" s="507"/>
      <c r="CV178" s="507"/>
      <c r="CW178" s="507"/>
      <c r="CX178" s="507"/>
      <c r="CY178" s="507"/>
      <c r="CZ178" s="507"/>
      <c r="DA178" s="507"/>
      <c r="DB178" s="507"/>
      <c r="DC178" s="507"/>
      <c r="DD178" s="507"/>
      <c r="DE178" s="507"/>
      <c r="DF178" s="507"/>
      <c r="DG178" s="507"/>
      <c r="DH178" s="507"/>
      <c r="DI178" s="507"/>
      <c r="DJ178" s="507"/>
      <c r="DK178" s="507"/>
      <c r="DL178" s="507"/>
      <c r="DM178" s="507"/>
      <c r="DN178" s="507"/>
      <c r="DO178" s="507"/>
      <c r="DP178" s="507"/>
      <c r="DQ178" s="507"/>
      <c r="DR178" s="507"/>
      <c r="DS178" s="507"/>
      <c r="DT178" s="507"/>
      <c r="DU178" s="507"/>
      <c r="DV178" s="507"/>
      <c r="DW178" s="507"/>
      <c r="DX178" s="507"/>
      <c r="DY178" s="507"/>
      <c r="DZ178" s="507"/>
      <c r="EA178" s="507"/>
      <c r="EB178" s="507"/>
      <c r="EC178" s="507"/>
      <c r="ED178" s="507"/>
      <c r="EE178" s="507"/>
      <c r="EF178" s="507"/>
      <c r="EG178" s="507"/>
      <c r="EH178" s="507"/>
      <c r="EI178" s="507"/>
      <c r="EJ178" s="507"/>
      <c r="EK178" s="507"/>
      <c r="EL178" s="507"/>
      <c r="EM178" s="507"/>
      <c r="EN178" s="507"/>
      <c r="EO178" s="507"/>
      <c r="EP178" s="507"/>
      <c r="EQ178" s="507"/>
      <c r="ER178" s="507"/>
      <c r="ES178" s="507"/>
      <c r="ET178" s="507"/>
      <c r="EU178" s="507"/>
      <c r="EV178" s="507"/>
      <c r="EW178" s="507"/>
      <c r="EX178" s="507"/>
      <c r="EY178" s="507"/>
      <c r="EZ178" s="507"/>
      <c r="FA178" s="507"/>
      <c r="FB178" s="507"/>
      <c r="FC178" s="507"/>
      <c r="FD178" s="507"/>
      <c r="FE178" s="507"/>
      <c r="FF178" s="507"/>
      <c r="FG178" s="507"/>
      <c r="FH178" s="507"/>
      <c r="FI178" s="507"/>
      <c r="FJ178" s="507"/>
      <c r="FK178" s="507"/>
      <c r="FL178" s="507"/>
      <c r="FM178" s="507"/>
      <c r="FN178" s="507"/>
      <c r="FO178" s="507"/>
      <c r="FP178" s="507"/>
      <c r="FQ178" s="507"/>
      <c r="FR178" s="507"/>
      <c r="FS178" s="507"/>
      <c r="FT178" s="507"/>
      <c r="FU178" s="507"/>
      <c r="FV178" s="507"/>
      <c r="FW178" s="507"/>
      <c r="FX178" s="507"/>
      <c r="FY178" s="507"/>
      <c r="FZ178" s="507"/>
      <c r="GA178" s="507"/>
      <c r="GB178" s="507"/>
      <c r="GC178" s="507"/>
      <c r="GD178" s="507"/>
      <c r="GE178" s="507"/>
      <c r="GF178" s="507"/>
      <c r="GG178" s="507"/>
      <c r="GH178" s="507"/>
      <c r="GI178" s="507"/>
      <c r="GJ178" s="507"/>
      <c r="GK178" s="507"/>
      <c r="GL178" s="507"/>
      <c r="GM178" s="507"/>
      <c r="GN178" s="507"/>
      <c r="GO178" s="507"/>
      <c r="GP178" s="507"/>
      <c r="GQ178" s="507"/>
      <c r="GR178" s="507"/>
      <c r="GS178" s="507"/>
      <c r="GT178" s="507"/>
      <c r="GU178" s="507"/>
      <c r="GV178" s="507"/>
      <c r="GW178" s="507"/>
      <c r="GX178" s="507"/>
      <c r="GY178" s="507"/>
      <c r="GZ178" s="507"/>
      <c r="HA178" s="507"/>
      <c r="HB178" s="507"/>
      <c r="HC178" s="507"/>
      <c r="HD178" s="507"/>
      <c r="HE178" s="507"/>
      <c r="HF178" s="507"/>
      <c r="HG178" s="507"/>
      <c r="HH178" s="507"/>
      <c r="HI178" s="507"/>
      <c r="HJ178" s="507"/>
      <c r="HK178" s="507"/>
      <c r="HL178" s="507"/>
      <c r="HM178" s="507"/>
      <c r="HN178" s="507"/>
      <c r="HO178" s="507"/>
      <c r="HP178" s="507"/>
      <c r="HQ178" s="507"/>
      <c r="HR178" s="507"/>
      <c r="HS178" s="507"/>
      <c r="HT178" s="507"/>
      <c r="HU178" s="507"/>
      <c r="HV178" s="507"/>
      <c r="HW178" s="507"/>
      <c r="HX178" s="507"/>
      <c r="HY178" s="507"/>
      <c r="HZ178" s="507"/>
    </row>
    <row r="179" spans="1:234" s="232" customFormat="1" ht="15.9" hidden="1" customHeight="1" x14ac:dyDescent="0.25">
      <c r="A179" s="522" t="s">
        <v>1478</v>
      </c>
      <c r="B179" s="535" t="s">
        <v>1682</v>
      </c>
      <c r="C179" s="527" t="s">
        <v>3780</v>
      </c>
      <c r="D179" s="570" t="s">
        <v>1167</v>
      </c>
      <c r="E179" s="569" t="s">
        <v>3228</v>
      </c>
      <c r="F179" s="543">
        <v>39398</v>
      </c>
      <c r="G179" s="544">
        <v>39356</v>
      </c>
      <c r="H179" s="557">
        <v>39391</v>
      </c>
      <c r="I179" s="546">
        <v>41254</v>
      </c>
      <c r="J179" s="547">
        <v>10</v>
      </c>
      <c r="K179" s="553" t="s">
        <v>3229</v>
      </c>
      <c r="L179" s="552" t="s">
        <v>3229</v>
      </c>
      <c r="M179" s="549">
        <v>0</v>
      </c>
      <c r="N179" s="606">
        <v>1.2</v>
      </c>
      <c r="O179" s="551" t="s">
        <v>3229</v>
      </c>
      <c r="P179" s="576" t="s">
        <v>3229</v>
      </c>
      <c r="Q179" s="570" t="s">
        <v>3229</v>
      </c>
      <c r="R179" s="570" t="s">
        <v>3229</v>
      </c>
      <c r="S179" s="577"/>
      <c r="T179" s="555" t="s">
        <v>3229</v>
      </c>
      <c r="U179" s="555" t="s">
        <v>3229</v>
      </c>
      <c r="V179" s="555" t="s">
        <v>3229</v>
      </c>
      <c r="W179" s="555" t="s">
        <v>3229</v>
      </c>
      <c r="X179" s="555" t="s">
        <v>3229</v>
      </c>
      <c r="Y179" s="553" t="s">
        <v>3229</v>
      </c>
      <c r="Z179" s="553" t="s">
        <v>3229</v>
      </c>
      <c r="AA179" s="553" t="s">
        <v>3229</v>
      </c>
      <c r="AB179" s="553" t="s">
        <v>3229</v>
      </c>
      <c r="AC179" s="553" t="s">
        <v>3229</v>
      </c>
      <c r="AD179" s="553" t="s">
        <v>3229</v>
      </c>
      <c r="AE179" s="553" t="s">
        <v>3229</v>
      </c>
      <c r="AF179" s="3764" t="s">
        <v>781</v>
      </c>
      <c r="AG179" s="3765"/>
      <c r="AH179" s="553" t="s">
        <v>3229</v>
      </c>
      <c r="AI179" s="553" t="s">
        <v>3229</v>
      </c>
      <c r="AJ179" s="553" t="s">
        <v>3229</v>
      </c>
      <c r="AK179" s="566" t="s">
        <v>3229</v>
      </c>
      <c r="AL179" s="553" t="s">
        <v>3229</v>
      </c>
      <c r="AM179" s="659">
        <v>1</v>
      </c>
      <c r="AN179" s="606">
        <v>0</v>
      </c>
      <c r="AO179" s="660">
        <v>10.02</v>
      </c>
      <c r="AP179" s="1368">
        <v>-0.31557879999999999</v>
      </c>
      <c r="AQ179" s="675">
        <v>-0.44119656405844965</v>
      </c>
      <c r="AR179" s="632" t="s">
        <v>3660</v>
      </c>
      <c r="AS179" s="558"/>
      <c r="AT179" s="598"/>
      <c r="AU179" s="552"/>
      <c r="AV179" s="558">
        <f t="shared" si="27"/>
        <v>0</v>
      </c>
      <c r="AW179" s="558">
        <f t="shared" si="29"/>
        <v>0</v>
      </c>
      <c r="AX179" s="553">
        <f>J179*(1+AV179)/AO179-1</f>
        <v>-1.9960079840318778E-3</v>
      </c>
      <c r="AY179" s="552" t="e">
        <f>POWER(1+AX179,1/AG179)-1</f>
        <v>#DIV/0!</v>
      </c>
      <c r="AZ179" s="642">
        <f t="shared" si="28"/>
        <v>10</v>
      </c>
      <c r="BA179" s="644" t="s">
        <v>574</v>
      </c>
      <c r="BB179" s="570"/>
      <c r="BC179" s="637"/>
      <c r="BD179" s="3708"/>
      <c r="BE179" s="3743"/>
      <c r="BF179" s="3743"/>
      <c r="BG179" s="3708"/>
      <c r="BH179" s="3762"/>
      <c r="BI179" s="3762"/>
      <c r="BJ179" s="39"/>
      <c r="BK179" s="39"/>
      <c r="BL179" s="39"/>
      <c r="BM179" s="39"/>
      <c r="BN179" s="39"/>
      <c r="BO179" s="39"/>
      <c r="BP179" s="39"/>
      <c r="BQ179" s="39"/>
      <c r="BR179" s="39"/>
      <c r="BS179" s="507"/>
      <c r="BT179" s="507"/>
      <c r="BU179" s="507"/>
      <c r="BV179" s="507"/>
      <c r="BW179" s="507"/>
      <c r="BX179" s="507"/>
      <c r="BY179" s="507"/>
      <c r="BZ179" s="507"/>
      <c r="CA179" s="507"/>
      <c r="CB179" s="507"/>
      <c r="CC179" s="507"/>
      <c r="CD179" s="507"/>
      <c r="CE179" s="507"/>
      <c r="CF179" s="507"/>
      <c r="CG179" s="507"/>
      <c r="CH179" s="507"/>
      <c r="CI179" s="507"/>
      <c r="CJ179" s="507"/>
      <c r="CK179" s="507"/>
      <c r="CL179" s="507"/>
      <c r="CM179" s="507"/>
      <c r="CN179" s="507"/>
      <c r="CO179" s="507"/>
      <c r="CP179" s="507"/>
      <c r="CQ179" s="507"/>
      <c r="CR179" s="507"/>
      <c r="CS179" s="507"/>
      <c r="CT179" s="507"/>
      <c r="CU179" s="507"/>
      <c r="CV179" s="507"/>
      <c r="CW179" s="507"/>
      <c r="CX179" s="507"/>
      <c r="CY179" s="507"/>
      <c r="CZ179" s="507"/>
      <c r="DA179" s="507"/>
      <c r="DB179" s="507"/>
      <c r="DC179" s="507"/>
      <c r="DD179" s="507"/>
      <c r="DE179" s="507"/>
      <c r="DF179" s="507"/>
      <c r="DG179" s="507"/>
      <c r="DH179" s="507"/>
      <c r="DI179" s="507"/>
      <c r="DJ179" s="507"/>
      <c r="DK179" s="507"/>
      <c r="DL179" s="507"/>
      <c r="DM179" s="507"/>
      <c r="DN179" s="507"/>
      <c r="DO179" s="507"/>
      <c r="DP179" s="507"/>
      <c r="DQ179" s="507"/>
      <c r="DR179" s="507"/>
      <c r="DS179" s="507"/>
      <c r="DT179" s="507"/>
      <c r="DU179" s="507"/>
      <c r="DV179" s="507"/>
      <c r="DW179" s="507"/>
      <c r="DX179" s="507"/>
      <c r="DY179" s="507"/>
      <c r="DZ179" s="507"/>
      <c r="EA179" s="507"/>
      <c r="EB179" s="507"/>
      <c r="EC179" s="507"/>
      <c r="ED179" s="507"/>
      <c r="EE179" s="507"/>
      <c r="EF179" s="507"/>
      <c r="EG179" s="507"/>
      <c r="EH179" s="507"/>
      <c r="EI179" s="507"/>
      <c r="EJ179" s="507"/>
      <c r="EK179" s="507"/>
      <c r="EL179" s="507"/>
      <c r="EM179" s="507"/>
      <c r="EN179" s="507"/>
      <c r="EO179" s="507"/>
      <c r="EP179" s="507"/>
      <c r="EQ179" s="507"/>
      <c r="ER179" s="507"/>
      <c r="ES179" s="507"/>
      <c r="ET179" s="507"/>
      <c r="EU179" s="507"/>
      <c r="EV179" s="507"/>
      <c r="EW179" s="507"/>
      <c r="EX179" s="507"/>
      <c r="EY179" s="507"/>
      <c r="EZ179" s="507"/>
      <c r="FA179" s="507"/>
      <c r="FB179" s="507"/>
      <c r="FC179" s="507"/>
      <c r="FD179" s="507"/>
      <c r="FE179" s="507"/>
      <c r="FF179" s="507"/>
      <c r="FG179" s="507"/>
      <c r="FH179" s="507"/>
      <c r="FI179" s="507"/>
      <c r="FJ179" s="507"/>
      <c r="FK179" s="507"/>
      <c r="FL179" s="507"/>
      <c r="FM179" s="507"/>
      <c r="FN179" s="507"/>
      <c r="FO179" s="507"/>
      <c r="FP179" s="507"/>
      <c r="FQ179" s="507"/>
      <c r="FR179" s="507"/>
      <c r="FS179" s="507"/>
      <c r="FT179" s="507"/>
      <c r="FU179" s="507"/>
      <c r="FV179" s="507"/>
      <c r="FW179" s="507"/>
      <c r="FX179" s="507"/>
      <c r="FY179" s="507"/>
      <c r="FZ179" s="507"/>
      <c r="GA179" s="507"/>
      <c r="GB179" s="507"/>
      <c r="GC179" s="507"/>
      <c r="GD179" s="507"/>
      <c r="GE179" s="507"/>
      <c r="GF179" s="507"/>
      <c r="GG179" s="507"/>
      <c r="GH179" s="507"/>
      <c r="GI179" s="507"/>
      <c r="GJ179" s="507"/>
      <c r="GK179" s="507"/>
      <c r="GL179" s="507"/>
      <c r="GM179" s="507"/>
      <c r="GN179" s="507"/>
      <c r="GO179" s="507"/>
      <c r="GP179" s="507"/>
      <c r="GQ179" s="507"/>
      <c r="GR179" s="507"/>
      <c r="GS179" s="507"/>
      <c r="GT179" s="507"/>
      <c r="GU179" s="507"/>
      <c r="GV179" s="507"/>
      <c r="GW179" s="507"/>
      <c r="GX179" s="507"/>
      <c r="GY179" s="507"/>
      <c r="GZ179" s="507"/>
      <c r="HA179" s="507"/>
      <c r="HB179" s="507"/>
      <c r="HC179" s="507"/>
      <c r="HD179" s="507"/>
      <c r="HE179" s="507"/>
      <c r="HF179" s="507"/>
      <c r="HG179" s="507"/>
      <c r="HH179" s="507"/>
      <c r="HI179" s="507"/>
      <c r="HJ179" s="507"/>
      <c r="HK179" s="507"/>
      <c r="HL179" s="507"/>
      <c r="HM179" s="507"/>
      <c r="HN179" s="507"/>
      <c r="HO179" s="507"/>
      <c r="HP179" s="507"/>
      <c r="HQ179" s="507"/>
      <c r="HR179" s="507"/>
      <c r="HS179" s="507"/>
      <c r="HT179" s="507"/>
      <c r="HU179" s="507"/>
      <c r="HV179" s="507"/>
      <c r="HW179" s="507"/>
      <c r="HX179" s="507"/>
      <c r="HY179" s="507"/>
      <c r="HZ179" s="507"/>
    </row>
    <row r="180" spans="1:234" ht="15.9" hidden="1" customHeight="1" x14ac:dyDescent="0.25">
      <c r="A180" s="540" t="s">
        <v>654</v>
      </c>
      <c r="B180" s="523" t="s">
        <v>655</v>
      </c>
      <c r="C180" s="527" t="s">
        <v>653</v>
      </c>
      <c r="D180" s="553" t="s">
        <v>2158</v>
      </c>
      <c r="E180" s="524" t="s">
        <v>3228</v>
      </c>
      <c r="F180" s="544">
        <v>39423</v>
      </c>
      <c r="G180" s="586">
        <v>39387</v>
      </c>
      <c r="H180" s="544">
        <v>39416</v>
      </c>
      <c r="I180" s="594">
        <v>41089</v>
      </c>
      <c r="J180" s="595">
        <v>10</v>
      </c>
      <c r="K180" s="561" t="s">
        <v>3229</v>
      </c>
      <c r="L180" s="553" t="s">
        <v>3229</v>
      </c>
      <c r="M180" s="600">
        <v>0</v>
      </c>
      <c r="N180" s="601">
        <v>1.4</v>
      </c>
      <c r="O180" s="596" t="s">
        <v>3229</v>
      </c>
      <c r="P180" s="596" t="s">
        <v>3229</v>
      </c>
      <c r="Q180" s="575" t="s">
        <v>3229</v>
      </c>
      <c r="R180" s="596" t="s">
        <v>3229</v>
      </c>
      <c r="S180" s="597"/>
      <c r="T180" s="563" t="s">
        <v>3229</v>
      </c>
      <c r="U180" s="563" t="s">
        <v>3229</v>
      </c>
      <c r="V180" s="563" t="s">
        <v>3229</v>
      </c>
      <c r="W180" s="563" t="s">
        <v>3229</v>
      </c>
      <c r="X180" s="563" t="s">
        <v>3229</v>
      </c>
      <c r="Y180" s="563" t="s">
        <v>3229</v>
      </c>
      <c r="Z180" s="563" t="s">
        <v>3229</v>
      </c>
      <c r="AA180" s="563" t="s">
        <v>3229</v>
      </c>
      <c r="AB180" s="563" t="s">
        <v>3229</v>
      </c>
      <c r="AC180" s="563" t="s">
        <v>3229</v>
      </c>
      <c r="AD180" s="563" t="s">
        <v>3229</v>
      </c>
      <c r="AE180" s="563" t="s">
        <v>3229</v>
      </c>
      <c r="AF180" s="3764" t="s">
        <v>781</v>
      </c>
      <c r="AG180" s="3765"/>
      <c r="AH180" s="673" t="s">
        <v>3229</v>
      </c>
      <c r="AI180" s="673" t="s">
        <v>3229</v>
      </c>
      <c r="AJ180" s="673" t="s">
        <v>3229</v>
      </c>
      <c r="AK180" s="673" t="s">
        <v>3229</v>
      </c>
      <c r="AL180" s="673" t="s">
        <v>3229</v>
      </c>
      <c r="AM180" s="590">
        <v>1</v>
      </c>
      <c r="AN180" s="638">
        <v>0</v>
      </c>
      <c r="AO180" s="660">
        <v>9.98</v>
      </c>
      <c r="AP180" s="1368">
        <v>-0.27659427777777773</v>
      </c>
      <c r="AQ180" s="606">
        <v>-0.27660000000000001</v>
      </c>
      <c r="AR180" s="3773">
        <v>0</v>
      </c>
      <c r="AS180" s="3774"/>
      <c r="AT180" s="3774"/>
      <c r="AU180" s="3775"/>
      <c r="AV180" s="558">
        <f t="shared" si="27"/>
        <v>0</v>
      </c>
      <c r="AW180" s="558">
        <f t="shared" si="29"/>
        <v>0</v>
      </c>
      <c r="AX180" s="674" t="s">
        <v>3229</v>
      </c>
      <c r="AY180" s="675" t="s">
        <v>3229</v>
      </c>
      <c r="AZ180" s="642">
        <f t="shared" si="28"/>
        <v>10</v>
      </c>
      <c r="BA180" s="644" t="s">
        <v>574</v>
      </c>
      <c r="BB180" s="570"/>
      <c r="BC180" s="637"/>
      <c r="BH180" s="3763"/>
      <c r="BI180" s="3763"/>
      <c r="BJ180" s="1639"/>
      <c r="BK180" s="1639"/>
      <c r="BL180" s="1639"/>
      <c r="BM180" s="1639"/>
      <c r="BN180" s="1639"/>
      <c r="BO180" s="1639"/>
      <c r="BP180" s="1639"/>
      <c r="BQ180" s="1639"/>
      <c r="BR180" s="1639"/>
      <c r="BS180" s="509"/>
      <c r="BT180" s="509"/>
      <c r="BU180" s="509"/>
      <c r="BV180" s="509"/>
      <c r="BW180" s="509"/>
      <c r="BX180" s="509"/>
      <c r="BY180" s="509"/>
      <c r="BZ180" s="509"/>
      <c r="CA180" s="509"/>
      <c r="CB180" s="509"/>
      <c r="CC180" s="509"/>
      <c r="CD180" s="509"/>
      <c r="CE180" s="509"/>
      <c r="CF180" s="509"/>
      <c r="CG180" s="509"/>
      <c r="CH180" s="509"/>
      <c r="CI180" s="509"/>
      <c r="CJ180" s="509"/>
      <c r="CK180" s="509"/>
      <c r="CL180" s="509"/>
      <c r="CM180" s="509"/>
      <c r="CN180" s="509"/>
      <c r="CO180" s="509"/>
      <c r="CP180" s="509"/>
      <c r="CQ180" s="509"/>
      <c r="CR180" s="509"/>
      <c r="CS180" s="509"/>
      <c r="CT180" s="509"/>
      <c r="CU180" s="509"/>
      <c r="CV180" s="509"/>
      <c r="CW180" s="509"/>
      <c r="CX180" s="509"/>
      <c r="CY180" s="509"/>
      <c r="CZ180" s="509"/>
      <c r="DA180" s="509"/>
      <c r="DB180" s="509"/>
      <c r="DC180" s="509"/>
      <c r="DD180" s="509"/>
      <c r="DE180" s="509"/>
      <c r="DF180" s="509"/>
      <c r="DG180" s="509"/>
      <c r="DH180" s="509"/>
      <c r="DI180" s="509"/>
      <c r="DJ180" s="509"/>
      <c r="DK180" s="509"/>
      <c r="DL180" s="509"/>
      <c r="DM180" s="509"/>
      <c r="DN180" s="509"/>
      <c r="DO180" s="509"/>
      <c r="DP180" s="509"/>
      <c r="DQ180" s="509"/>
      <c r="DR180" s="509"/>
      <c r="DS180" s="509"/>
      <c r="DT180" s="509"/>
      <c r="DU180" s="509"/>
      <c r="DV180" s="509"/>
      <c r="DW180" s="509"/>
      <c r="DX180" s="509"/>
      <c r="DY180" s="509"/>
      <c r="DZ180" s="509"/>
      <c r="EA180" s="509"/>
      <c r="EB180" s="509"/>
      <c r="EC180" s="509"/>
      <c r="ED180" s="509"/>
      <c r="EE180" s="509"/>
      <c r="EF180" s="509"/>
      <c r="EG180" s="509"/>
      <c r="EH180" s="509"/>
      <c r="EI180" s="509"/>
      <c r="EJ180" s="509"/>
      <c r="EK180" s="509"/>
      <c r="EL180" s="509"/>
      <c r="EM180" s="509"/>
      <c r="EN180" s="509"/>
      <c r="EO180" s="509"/>
      <c r="EP180" s="509"/>
      <c r="EQ180" s="509"/>
      <c r="ER180" s="509"/>
      <c r="ES180" s="509"/>
      <c r="ET180" s="509"/>
      <c r="EU180" s="509"/>
      <c r="EV180" s="509"/>
      <c r="EW180" s="509"/>
      <c r="EX180" s="509"/>
      <c r="EY180" s="509"/>
      <c r="EZ180" s="509"/>
      <c r="FA180" s="509"/>
      <c r="FB180" s="509"/>
      <c r="FC180" s="509"/>
      <c r="FD180" s="509"/>
      <c r="FE180" s="509"/>
      <c r="FF180" s="509"/>
      <c r="FG180" s="509"/>
      <c r="FH180" s="509"/>
      <c r="FI180" s="509"/>
      <c r="FJ180" s="509"/>
      <c r="FK180" s="509"/>
      <c r="FL180" s="509"/>
      <c r="FM180" s="509"/>
      <c r="FN180" s="509"/>
      <c r="FO180" s="509"/>
      <c r="FP180" s="509"/>
      <c r="FQ180" s="509"/>
      <c r="FR180" s="509"/>
      <c r="FS180" s="509"/>
      <c r="FT180" s="509"/>
      <c r="FU180" s="509"/>
      <c r="FV180" s="509"/>
      <c r="FW180" s="509"/>
      <c r="FX180" s="509"/>
      <c r="FY180" s="509"/>
      <c r="FZ180" s="509"/>
      <c r="GA180" s="509"/>
      <c r="GB180" s="509"/>
      <c r="GC180" s="509"/>
      <c r="GD180" s="509"/>
      <c r="GE180" s="509"/>
      <c r="GF180" s="509"/>
      <c r="GG180" s="509"/>
      <c r="GH180" s="509"/>
      <c r="GI180" s="509"/>
      <c r="GJ180" s="509"/>
      <c r="GK180" s="509"/>
      <c r="GL180" s="509"/>
      <c r="GM180" s="509"/>
      <c r="GN180" s="509"/>
      <c r="GO180" s="509"/>
      <c r="GP180" s="509"/>
      <c r="GQ180" s="509"/>
      <c r="GR180" s="509"/>
      <c r="GS180" s="509"/>
      <c r="GT180" s="509"/>
      <c r="GU180" s="509"/>
      <c r="GV180" s="509"/>
      <c r="GW180" s="509"/>
      <c r="GX180" s="509"/>
      <c r="GY180" s="509"/>
      <c r="GZ180" s="509"/>
      <c r="HA180" s="509"/>
      <c r="HB180" s="509"/>
      <c r="HC180" s="509"/>
      <c r="HD180" s="509"/>
      <c r="HE180" s="509"/>
      <c r="HF180" s="509"/>
      <c r="HG180" s="509"/>
      <c r="HH180" s="509"/>
      <c r="HI180" s="509"/>
      <c r="HJ180" s="509"/>
      <c r="HK180" s="509"/>
      <c r="HL180" s="509"/>
      <c r="HM180" s="509"/>
      <c r="HN180" s="509"/>
      <c r="HO180" s="509"/>
      <c r="HP180" s="509"/>
      <c r="HQ180" s="509"/>
      <c r="HR180" s="509"/>
      <c r="HS180" s="509"/>
      <c r="HT180" s="509"/>
      <c r="HU180" s="509"/>
      <c r="HV180" s="509"/>
      <c r="HW180" s="509"/>
      <c r="HX180" s="509"/>
      <c r="HY180" s="509"/>
      <c r="HZ180" s="509"/>
    </row>
    <row r="181" spans="1:234" ht="15.9" hidden="1" customHeight="1" x14ac:dyDescent="0.25">
      <c r="A181" s="540" t="s">
        <v>759</v>
      </c>
      <c r="B181" s="523" t="s">
        <v>3910</v>
      </c>
      <c r="C181" s="527" t="s">
        <v>2830</v>
      </c>
      <c r="D181" s="553" t="s">
        <v>189</v>
      </c>
      <c r="E181" s="524" t="s">
        <v>3228</v>
      </c>
      <c r="F181" s="544">
        <v>39423</v>
      </c>
      <c r="G181" s="586">
        <v>39387</v>
      </c>
      <c r="H181" s="544">
        <v>39416</v>
      </c>
      <c r="I181" s="594">
        <v>41729</v>
      </c>
      <c r="J181" s="595">
        <v>10</v>
      </c>
      <c r="K181" s="561">
        <v>-0.03</v>
      </c>
      <c r="L181" s="553">
        <v>0.08</v>
      </c>
      <c r="M181" s="600">
        <v>0.12</v>
      </c>
      <c r="N181" s="601" t="s">
        <v>3229</v>
      </c>
      <c r="O181" s="596">
        <v>0.48</v>
      </c>
      <c r="P181" s="596" t="s">
        <v>3229</v>
      </c>
      <c r="Q181" s="575" t="s">
        <v>3229</v>
      </c>
      <c r="R181" s="596" t="s">
        <v>3229</v>
      </c>
      <c r="S181" s="597">
        <v>6</v>
      </c>
      <c r="T181" s="563">
        <v>39753</v>
      </c>
      <c r="U181" s="563">
        <v>40118</v>
      </c>
      <c r="V181" s="563">
        <v>40483</v>
      </c>
      <c r="W181" s="563">
        <v>40848</v>
      </c>
      <c r="X181" s="563">
        <v>41214</v>
      </c>
      <c r="Y181" s="563">
        <v>41275</v>
      </c>
      <c r="Z181" s="563" t="s">
        <v>3229</v>
      </c>
      <c r="AA181" s="563" t="s">
        <v>3229</v>
      </c>
      <c r="AB181" s="563" t="s">
        <v>3229</v>
      </c>
      <c r="AC181" s="563" t="s">
        <v>3229</v>
      </c>
      <c r="AD181" s="563" t="s">
        <v>3229</v>
      </c>
      <c r="AE181" s="563" t="s">
        <v>3229</v>
      </c>
      <c r="AF181" s="3764" t="s">
        <v>781</v>
      </c>
      <c r="AG181" s="3765"/>
      <c r="AH181" s="673">
        <v>0.4</v>
      </c>
      <c r="AI181" s="673">
        <v>0.4</v>
      </c>
      <c r="AJ181" s="673">
        <v>0.2</v>
      </c>
      <c r="AK181" s="673" t="s">
        <v>3229</v>
      </c>
      <c r="AL181" s="673" t="s">
        <v>3229</v>
      </c>
      <c r="AM181" s="590" t="s">
        <v>3229</v>
      </c>
      <c r="AN181" s="638">
        <v>0.36520000000000002</v>
      </c>
      <c r="AO181" s="660">
        <v>12.84</v>
      </c>
      <c r="AP181" s="1368" t="s">
        <v>3229</v>
      </c>
      <c r="AQ181" s="675" t="s">
        <v>3229</v>
      </c>
      <c r="AR181" s="3773">
        <v>0.4</v>
      </c>
      <c r="AS181" s="3774">
        <f>POWER(1+AR181,1/((I181-F181)/365))-1</f>
        <v>5.4701457041132828E-2</v>
      </c>
      <c r="AT181" s="3774">
        <f>J181*(1+AR181)/AO181-1</f>
        <v>9.0342679127725978E-2</v>
      </c>
      <c r="AU181" s="3775" t="e">
        <f>POWER(1+AT181,1/AG181)-1</f>
        <v>#DIV/0!</v>
      </c>
      <c r="AV181" s="558" t="e">
        <f>MAX(M181,AN181+AF181*K181)</f>
        <v>#VALUE!</v>
      </c>
      <c r="AW181" s="558" t="e">
        <f t="shared" si="29"/>
        <v>#VALUE!</v>
      </c>
      <c r="AX181" s="674" t="e">
        <f>J181*(1+AV181)/AO181-1</f>
        <v>#VALUE!</v>
      </c>
      <c r="AY181" s="675" t="e">
        <f>POWER(1+AX181,1/AG181)-1</f>
        <v>#VALUE!</v>
      </c>
      <c r="AZ181" s="642" t="e">
        <f t="shared" si="28"/>
        <v>#VALUE!</v>
      </c>
      <c r="BA181" s="644" t="s">
        <v>3189</v>
      </c>
      <c r="BB181" s="570" t="s">
        <v>2025</v>
      </c>
      <c r="BC181" s="637" t="s">
        <v>2895</v>
      </c>
      <c r="BH181" s="3763"/>
      <c r="BI181" s="3763"/>
      <c r="BJ181" s="1639"/>
      <c r="BK181" s="1639"/>
      <c r="BL181" s="1639"/>
      <c r="BM181" s="1639"/>
      <c r="BN181" s="1639"/>
      <c r="BO181" s="1639"/>
      <c r="BP181" s="1639"/>
      <c r="BQ181" s="1639"/>
      <c r="BR181" s="1639"/>
      <c r="BS181" s="509"/>
      <c r="BT181" s="509"/>
      <c r="BU181" s="509"/>
      <c r="BV181" s="509"/>
      <c r="BW181" s="509"/>
      <c r="BX181" s="509"/>
      <c r="BY181" s="509"/>
      <c r="BZ181" s="509"/>
      <c r="CA181" s="509"/>
      <c r="CB181" s="509"/>
      <c r="CC181" s="509"/>
      <c r="CD181" s="509"/>
      <c r="CE181" s="509"/>
      <c r="CF181" s="509"/>
      <c r="CG181" s="509"/>
      <c r="CH181" s="509"/>
      <c r="CI181" s="509"/>
      <c r="CJ181" s="509"/>
      <c r="CK181" s="509"/>
      <c r="CL181" s="509"/>
      <c r="CM181" s="509"/>
      <c r="CN181" s="509"/>
      <c r="CO181" s="509"/>
      <c r="CP181" s="509"/>
      <c r="CQ181" s="509"/>
      <c r="CR181" s="509"/>
      <c r="CS181" s="509"/>
      <c r="CT181" s="509"/>
      <c r="CU181" s="509"/>
      <c r="CV181" s="509"/>
      <c r="CW181" s="509"/>
      <c r="CX181" s="509"/>
      <c r="CY181" s="509"/>
      <c r="CZ181" s="509"/>
      <c r="DA181" s="509"/>
      <c r="DB181" s="509"/>
      <c r="DC181" s="509"/>
      <c r="DD181" s="509"/>
      <c r="DE181" s="509"/>
      <c r="DF181" s="509"/>
      <c r="DG181" s="509"/>
      <c r="DH181" s="509"/>
      <c r="DI181" s="509"/>
      <c r="DJ181" s="509"/>
      <c r="DK181" s="509"/>
      <c r="DL181" s="509"/>
      <c r="DM181" s="509"/>
      <c r="DN181" s="509"/>
      <c r="DO181" s="509"/>
      <c r="DP181" s="509"/>
      <c r="DQ181" s="509"/>
      <c r="DR181" s="509"/>
      <c r="DS181" s="509"/>
      <c r="DT181" s="509"/>
      <c r="DU181" s="509"/>
      <c r="DV181" s="509"/>
      <c r="DW181" s="509"/>
      <c r="DX181" s="509"/>
      <c r="DY181" s="509"/>
      <c r="DZ181" s="509"/>
      <c r="EA181" s="509"/>
      <c r="EB181" s="509"/>
      <c r="EC181" s="509"/>
      <c r="ED181" s="509"/>
      <c r="EE181" s="509"/>
      <c r="EF181" s="509"/>
      <c r="EG181" s="509"/>
      <c r="EH181" s="509"/>
      <c r="EI181" s="509"/>
      <c r="EJ181" s="509"/>
      <c r="EK181" s="509"/>
      <c r="EL181" s="509"/>
      <c r="EM181" s="509"/>
      <c r="EN181" s="509"/>
      <c r="EO181" s="509"/>
      <c r="EP181" s="509"/>
      <c r="EQ181" s="509"/>
      <c r="ER181" s="509"/>
      <c r="ES181" s="509"/>
      <c r="ET181" s="509"/>
      <c r="EU181" s="509"/>
      <c r="EV181" s="509"/>
      <c r="EW181" s="509"/>
      <c r="EX181" s="509"/>
      <c r="EY181" s="509"/>
      <c r="EZ181" s="509"/>
      <c r="FA181" s="509"/>
      <c r="FB181" s="509"/>
      <c r="FC181" s="509"/>
      <c r="FD181" s="509"/>
      <c r="FE181" s="509"/>
      <c r="FF181" s="509"/>
      <c r="FG181" s="509"/>
      <c r="FH181" s="509"/>
      <c r="FI181" s="509"/>
      <c r="FJ181" s="509"/>
      <c r="FK181" s="509"/>
      <c r="FL181" s="509"/>
      <c r="FM181" s="509"/>
      <c r="FN181" s="509"/>
      <c r="FO181" s="509"/>
      <c r="FP181" s="509"/>
      <c r="FQ181" s="509"/>
      <c r="FR181" s="509"/>
      <c r="FS181" s="509"/>
      <c r="FT181" s="509"/>
      <c r="FU181" s="509"/>
      <c r="FV181" s="509"/>
      <c r="FW181" s="509"/>
      <c r="FX181" s="509"/>
      <c r="FY181" s="509"/>
      <c r="FZ181" s="509"/>
      <c r="GA181" s="509"/>
      <c r="GB181" s="509"/>
      <c r="GC181" s="509"/>
      <c r="GD181" s="509"/>
      <c r="GE181" s="509"/>
      <c r="GF181" s="509"/>
      <c r="GG181" s="509"/>
      <c r="GH181" s="509"/>
      <c r="GI181" s="509"/>
      <c r="GJ181" s="509"/>
      <c r="GK181" s="509"/>
      <c r="GL181" s="509"/>
      <c r="GM181" s="509"/>
      <c r="GN181" s="509"/>
      <c r="GO181" s="509"/>
      <c r="GP181" s="509"/>
      <c r="GQ181" s="509"/>
      <c r="GR181" s="509"/>
      <c r="GS181" s="509"/>
      <c r="GT181" s="509"/>
      <c r="GU181" s="509"/>
      <c r="GV181" s="509"/>
      <c r="GW181" s="509"/>
      <c r="GX181" s="509"/>
      <c r="GY181" s="509"/>
      <c r="GZ181" s="509"/>
      <c r="HA181" s="509"/>
      <c r="HB181" s="509"/>
      <c r="HC181" s="509"/>
      <c r="HD181" s="509"/>
      <c r="HE181" s="509"/>
      <c r="HF181" s="509"/>
      <c r="HG181" s="509"/>
      <c r="HH181" s="509"/>
      <c r="HI181" s="509"/>
      <c r="HJ181" s="509"/>
      <c r="HK181" s="509"/>
      <c r="HL181" s="509"/>
      <c r="HM181" s="509"/>
      <c r="HN181" s="509"/>
      <c r="HO181" s="509"/>
      <c r="HP181" s="509"/>
      <c r="HQ181" s="509"/>
      <c r="HR181" s="509"/>
      <c r="HS181" s="509"/>
      <c r="HT181" s="509"/>
      <c r="HU181" s="509"/>
      <c r="HV181" s="509"/>
      <c r="HW181" s="509"/>
      <c r="HX181" s="509"/>
      <c r="HY181" s="509"/>
      <c r="HZ181" s="509"/>
    </row>
    <row r="182" spans="1:234" s="232" customFormat="1" ht="15.9" hidden="1" customHeight="1" x14ac:dyDescent="0.25">
      <c r="A182" s="540" t="s">
        <v>835</v>
      </c>
      <c r="B182" s="479" t="s">
        <v>652</v>
      </c>
      <c r="C182" s="527" t="s">
        <v>206</v>
      </c>
      <c r="D182" s="553" t="s">
        <v>2158</v>
      </c>
      <c r="E182" s="524" t="s">
        <v>3228</v>
      </c>
      <c r="F182" s="544">
        <v>39423</v>
      </c>
      <c r="G182" s="586">
        <v>39387</v>
      </c>
      <c r="H182" s="544">
        <v>39416</v>
      </c>
      <c r="I182" s="588">
        <v>40451</v>
      </c>
      <c r="J182" s="595">
        <v>10</v>
      </c>
      <c r="K182" s="561" t="s">
        <v>3229</v>
      </c>
      <c r="L182" s="553" t="s">
        <v>3229</v>
      </c>
      <c r="M182" s="600">
        <v>0</v>
      </c>
      <c r="N182" s="601">
        <v>0.8</v>
      </c>
      <c r="O182" s="596">
        <v>0.33</v>
      </c>
      <c r="P182" s="596" t="s">
        <v>3229</v>
      </c>
      <c r="Q182" s="575" t="s">
        <v>3229</v>
      </c>
      <c r="R182" s="596" t="s">
        <v>3229</v>
      </c>
      <c r="S182" s="597"/>
      <c r="T182" s="598" t="s">
        <v>3229</v>
      </c>
      <c r="U182" s="598" t="s">
        <v>3229</v>
      </c>
      <c r="V182" s="598" t="s">
        <v>3229</v>
      </c>
      <c r="W182" s="598" t="s">
        <v>3229</v>
      </c>
      <c r="X182" s="598" t="s">
        <v>3229</v>
      </c>
      <c r="Y182" s="598" t="s">
        <v>3229</v>
      </c>
      <c r="Z182" s="598" t="s">
        <v>3229</v>
      </c>
      <c r="AA182" s="598" t="s">
        <v>3229</v>
      </c>
      <c r="AB182" s="598" t="s">
        <v>3229</v>
      </c>
      <c r="AC182" s="598" t="s">
        <v>3229</v>
      </c>
      <c r="AD182" s="598" t="s">
        <v>3229</v>
      </c>
      <c r="AE182" s="599" t="s">
        <v>3229</v>
      </c>
      <c r="AF182" s="3764" t="s">
        <v>781</v>
      </c>
      <c r="AG182" s="3765"/>
      <c r="AH182" s="590" t="s">
        <v>3229</v>
      </c>
      <c r="AI182" s="590" t="s">
        <v>3229</v>
      </c>
      <c r="AJ182" s="590" t="s">
        <v>3229</v>
      </c>
      <c r="AK182" s="673" t="s">
        <v>3229</v>
      </c>
      <c r="AL182" s="590" t="s">
        <v>3229</v>
      </c>
      <c r="AM182" s="590">
        <v>1</v>
      </c>
      <c r="AN182" s="638">
        <v>0</v>
      </c>
      <c r="AO182" s="660">
        <v>10</v>
      </c>
      <c r="AP182" s="1368">
        <v>-0.25829311908359343</v>
      </c>
      <c r="AQ182" s="606">
        <v>-0.25829311908359343</v>
      </c>
      <c r="AR182" s="632">
        <f>O182</f>
        <v>0.33</v>
      </c>
      <c r="AS182" s="558">
        <f>POWER(1+AR182,1/((I182-F182)/365))-1</f>
        <v>0.1065589654836927</v>
      </c>
      <c r="AT182" s="648" t="s">
        <v>3229</v>
      </c>
      <c r="AU182" s="559" t="s">
        <v>3229</v>
      </c>
      <c r="AV182" s="632">
        <f>M182</f>
        <v>0</v>
      </c>
      <c r="AW182" s="558">
        <f t="shared" si="29"/>
        <v>0</v>
      </c>
      <c r="AX182" s="589" t="s">
        <v>3229</v>
      </c>
      <c r="AY182" s="559" t="s">
        <v>3229</v>
      </c>
      <c r="AZ182" s="676">
        <f t="shared" si="28"/>
        <v>10</v>
      </c>
      <c r="BA182" s="644" t="s">
        <v>119</v>
      </c>
      <c r="BB182" s="570"/>
      <c r="BC182" s="637"/>
      <c r="BD182" s="3691"/>
      <c r="BE182" s="3743"/>
      <c r="BF182" s="3743"/>
      <c r="BG182" s="3708"/>
      <c r="BH182" s="3762"/>
      <c r="BI182" s="3762"/>
      <c r="BJ182" s="39"/>
      <c r="BK182" s="39"/>
      <c r="BL182" s="39"/>
      <c r="BM182" s="39"/>
      <c r="BN182" s="39"/>
      <c r="BO182" s="39"/>
      <c r="BP182" s="39"/>
      <c r="BQ182" s="39"/>
      <c r="BR182" s="39"/>
      <c r="BS182" s="507"/>
      <c r="BT182" s="507"/>
      <c r="BU182" s="507"/>
      <c r="BV182" s="507"/>
      <c r="BW182" s="507"/>
      <c r="BX182" s="507"/>
      <c r="BY182" s="507"/>
      <c r="BZ182" s="507"/>
      <c r="CA182" s="507"/>
      <c r="CB182" s="507"/>
      <c r="CC182" s="507"/>
      <c r="CD182" s="507"/>
      <c r="CE182" s="507"/>
      <c r="CF182" s="507"/>
      <c r="CG182" s="507"/>
      <c r="CH182" s="507"/>
      <c r="CI182" s="507"/>
      <c r="CJ182" s="507"/>
      <c r="CK182" s="507"/>
      <c r="CL182" s="507"/>
      <c r="CM182" s="507"/>
      <c r="CN182" s="507"/>
      <c r="CO182" s="507"/>
      <c r="CP182" s="507"/>
      <c r="CQ182" s="507"/>
      <c r="CR182" s="507"/>
      <c r="CS182" s="507"/>
      <c r="CT182" s="507"/>
      <c r="CU182" s="507"/>
      <c r="CV182" s="507"/>
      <c r="CW182" s="507"/>
      <c r="CX182" s="507"/>
      <c r="CY182" s="507"/>
      <c r="CZ182" s="507"/>
      <c r="DA182" s="507"/>
      <c r="DB182" s="507"/>
      <c r="DC182" s="507"/>
      <c r="DD182" s="507"/>
      <c r="DE182" s="507"/>
      <c r="DF182" s="507"/>
      <c r="DG182" s="507"/>
      <c r="DH182" s="507"/>
      <c r="DI182" s="507"/>
      <c r="DJ182" s="507"/>
      <c r="DK182" s="507"/>
      <c r="DL182" s="507"/>
      <c r="DM182" s="507"/>
      <c r="DN182" s="507"/>
      <c r="DO182" s="507"/>
      <c r="DP182" s="507"/>
      <c r="DQ182" s="507"/>
      <c r="DR182" s="507"/>
      <c r="DS182" s="507"/>
      <c r="DT182" s="507"/>
      <c r="DU182" s="507"/>
      <c r="DV182" s="507"/>
      <c r="DW182" s="507"/>
      <c r="DX182" s="507"/>
      <c r="DY182" s="507"/>
      <c r="DZ182" s="507"/>
      <c r="EA182" s="507"/>
      <c r="EB182" s="507"/>
      <c r="EC182" s="507"/>
      <c r="ED182" s="507"/>
      <c r="EE182" s="507"/>
      <c r="EF182" s="507"/>
      <c r="EG182" s="507"/>
      <c r="EH182" s="507"/>
      <c r="EI182" s="507"/>
      <c r="EJ182" s="507"/>
      <c r="EK182" s="507"/>
      <c r="EL182" s="507"/>
      <c r="EM182" s="507"/>
      <c r="EN182" s="507"/>
      <c r="EO182" s="507"/>
      <c r="EP182" s="507"/>
      <c r="EQ182" s="507"/>
      <c r="ER182" s="507"/>
      <c r="ES182" s="507"/>
      <c r="ET182" s="507"/>
      <c r="EU182" s="507"/>
      <c r="EV182" s="507"/>
      <c r="EW182" s="507"/>
      <c r="EX182" s="507"/>
      <c r="EY182" s="507"/>
      <c r="EZ182" s="507"/>
      <c r="FA182" s="507"/>
      <c r="FB182" s="507"/>
      <c r="FC182" s="507"/>
      <c r="FD182" s="507"/>
      <c r="FE182" s="507"/>
      <c r="FF182" s="507"/>
      <c r="FG182" s="507"/>
      <c r="FH182" s="507"/>
      <c r="FI182" s="507"/>
      <c r="FJ182" s="507"/>
      <c r="FK182" s="507"/>
      <c r="FL182" s="507"/>
      <c r="FM182" s="507"/>
      <c r="FN182" s="507"/>
      <c r="FO182" s="507"/>
      <c r="FP182" s="507"/>
      <c r="FQ182" s="507"/>
      <c r="FR182" s="507"/>
      <c r="FS182" s="507"/>
      <c r="FT182" s="507"/>
      <c r="FU182" s="507"/>
      <c r="FV182" s="507"/>
      <c r="FW182" s="507"/>
      <c r="FX182" s="507"/>
      <c r="FY182" s="507"/>
      <c r="FZ182" s="507"/>
      <c r="GA182" s="507"/>
      <c r="GB182" s="507"/>
      <c r="GC182" s="507"/>
      <c r="GD182" s="507"/>
      <c r="GE182" s="507"/>
      <c r="GF182" s="507"/>
      <c r="GG182" s="507"/>
      <c r="GH182" s="507"/>
      <c r="GI182" s="507"/>
      <c r="GJ182" s="507"/>
      <c r="GK182" s="507"/>
      <c r="GL182" s="507"/>
      <c r="GM182" s="507"/>
      <c r="GN182" s="507"/>
      <c r="GO182" s="507"/>
      <c r="GP182" s="507"/>
      <c r="GQ182" s="507"/>
      <c r="GR182" s="507"/>
      <c r="GS182" s="507"/>
      <c r="GT182" s="507"/>
      <c r="GU182" s="507"/>
      <c r="GV182" s="507"/>
      <c r="GW182" s="507"/>
      <c r="GX182" s="507"/>
      <c r="GY182" s="507"/>
      <c r="GZ182" s="507"/>
      <c r="HA182" s="507"/>
      <c r="HB182" s="507"/>
      <c r="HC182" s="507"/>
      <c r="HD182" s="507"/>
      <c r="HE182" s="507"/>
      <c r="HF182" s="507"/>
      <c r="HG182" s="507"/>
      <c r="HH182" s="507"/>
      <c r="HI182" s="507"/>
      <c r="HJ182" s="507"/>
      <c r="HK182" s="507"/>
      <c r="HL182" s="507"/>
      <c r="HM182" s="507"/>
      <c r="HN182" s="507"/>
      <c r="HO182" s="507"/>
      <c r="HP182" s="507"/>
      <c r="HQ182" s="507"/>
      <c r="HR182" s="507"/>
      <c r="HS182" s="507"/>
      <c r="HT182" s="507"/>
      <c r="HU182" s="507"/>
      <c r="HV182" s="507"/>
      <c r="HW182" s="507"/>
      <c r="HX182" s="507"/>
      <c r="HY182" s="507"/>
      <c r="HZ182" s="507"/>
    </row>
    <row r="183" spans="1:234" s="232" customFormat="1" ht="15.9" hidden="1" customHeight="1" x14ac:dyDescent="0.25">
      <c r="A183" s="540" t="s">
        <v>4374</v>
      </c>
      <c r="B183" s="479" t="s">
        <v>660</v>
      </c>
      <c r="C183" s="527" t="s">
        <v>4373</v>
      </c>
      <c r="D183" s="553" t="s">
        <v>189</v>
      </c>
      <c r="E183" s="524" t="s">
        <v>905</v>
      </c>
      <c r="F183" s="544">
        <v>39455</v>
      </c>
      <c r="G183" s="586">
        <v>39387</v>
      </c>
      <c r="H183" s="544">
        <v>39447</v>
      </c>
      <c r="I183" s="588">
        <v>40512</v>
      </c>
      <c r="J183" s="595">
        <v>10</v>
      </c>
      <c r="K183" s="561" t="s">
        <v>3229</v>
      </c>
      <c r="L183" s="553" t="s">
        <v>3229</v>
      </c>
      <c r="M183" s="600">
        <v>0</v>
      </c>
      <c r="N183" s="601">
        <v>0.8</v>
      </c>
      <c r="O183" s="596" t="s">
        <v>3229</v>
      </c>
      <c r="P183" s="596" t="s">
        <v>3229</v>
      </c>
      <c r="Q183" s="575" t="s">
        <v>3229</v>
      </c>
      <c r="R183" s="596" t="s">
        <v>3229</v>
      </c>
      <c r="S183" s="597"/>
      <c r="T183" s="598" t="s">
        <v>3229</v>
      </c>
      <c r="U183" s="598" t="s">
        <v>3229</v>
      </c>
      <c r="V183" s="598" t="s">
        <v>3229</v>
      </c>
      <c r="W183" s="598" t="s">
        <v>3229</v>
      </c>
      <c r="X183" s="598" t="s">
        <v>3229</v>
      </c>
      <c r="Y183" s="598" t="s">
        <v>3229</v>
      </c>
      <c r="Z183" s="598" t="s">
        <v>3229</v>
      </c>
      <c r="AA183" s="598" t="s">
        <v>3229</v>
      </c>
      <c r="AB183" s="598" t="s">
        <v>3229</v>
      </c>
      <c r="AC183" s="598" t="s">
        <v>3229</v>
      </c>
      <c r="AD183" s="598" t="s">
        <v>3229</v>
      </c>
      <c r="AE183" s="599" t="s">
        <v>3229</v>
      </c>
      <c r="AF183" s="3764" t="s">
        <v>781</v>
      </c>
      <c r="AG183" s="3765"/>
      <c r="AH183" s="590" t="s">
        <v>3229</v>
      </c>
      <c r="AI183" s="590" t="s">
        <v>3229</v>
      </c>
      <c r="AJ183" s="590" t="s">
        <v>3229</v>
      </c>
      <c r="AK183" s="673" t="s">
        <v>3229</v>
      </c>
      <c r="AL183" s="590" t="s">
        <v>3229</v>
      </c>
      <c r="AM183" s="590">
        <v>1</v>
      </c>
      <c r="AN183" s="638">
        <v>0</v>
      </c>
      <c r="AO183" s="660">
        <v>10</v>
      </c>
      <c r="AP183" s="1368">
        <v>-0.2948258333333334</v>
      </c>
      <c r="AQ183" s="606">
        <v>-0.2524182015607091</v>
      </c>
      <c r="AR183" s="632">
        <v>0</v>
      </c>
      <c r="AS183" s="558">
        <f>POWER(1+AR183,1/((I183-F183)/365))-1</f>
        <v>0</v>
      </c>
      <c r="AT183" s="648" t="s">
        <v>3229</v>
      </c>
      <c r="AU183" s="587" t="s">
        <v>3229</v>
      </c>
      <c r="AV183" s="632">
        <f>M183</f>
        <v>0</v>
      </c>
      <c r="AW183" s="558">
        <f t="shared" si="29"/>
        <v>0</v>
      </c>
      <c r="AX183" s="589" t="s">
        <v>3229</v>
      </c>
      <c r="AY183" s="589" t="s">
        <v>3229</v>
      </c>
      <c r="AZ183" s="676">
        <f t="shared" si="28"/>
        <v>10</v>
      </c>
      <c r="BA183" s="644" t="s">
        <v>3190</v>
      </c>
      <c r="BB183" s="570"/>
      <c r="BC183" s="637"/>
      <c r="BD183" s="3691"/>
      <c r="BE183" s="3743"/>
      <c r="BF183" s="3743"/>
      <c r="BG183" s="3708"/>
      <c r="BH183" s="3762"/>
      <c r="BI183" s="3762"/>
      <c r="BJ183" s="39"/>
      <c r="BK183" s="39"/>
      <c r="BL183" s="39"/>
      <c r="BM183" s="39"/>
      <c r="BN183" s="39"/>
      <c r="BO183" s="39"/>
      <c r="BP183" s="39"/>
      <c r="BQ183" s="39"/>
      <c r="BR183" s="39"/>
      <c r="BS183" s="507"/>
      <c r="BT183" s="507"/>
      <c r="BU183" s="507"/>
      <c r="BV183" s="507"/>
      <c r="BW183" s="507"/>
      <c r="BX183" s="507"/>
      <c r="BY183" s="507"/>
      <c r="BZ183" s="507"/>
      <c r="CA183" s="507"/>
      <c r="CB183" s="507"/>
      <c r="CC183" s="507"/>
      <c r="CD183" s="507"/>
      <c r="CE183" s="507"/>
      <c r="CF183" s="507"/>
      <c r="CG183" s="507"/>
      <c r="CH183" s="507"/>
      <c r="CI183" s="507"/>
      <c r="CJ183" s="507"/>
      <c r="CK183" s="507"/>
      <c r="CL183" s="507"/>
      <c r="CM183" s="507"/>
      <c r="CN183" s="507"/>
      <c r="CO183" s="507"/>
      <c r="CP183" s="507"/>
      <c r="CQ183" s="507"/>
      <c r="CR183" s="507"/>
      <c r="CS183" s="507"/>
      <c r="CT183" s="507"/>
      <c r="CU183" s="507"/>
      <c r="CV183" s="507"/>
      <c r="CW183" s="507"/>
      <c r="CX183" s="507"/>
      <c r="CY183" s="507"/>
      <c r="CZ183" s="507"/>
      <c r="DA183" s="507"/>
      <c r="DB183" s="507"/>
      <c r="DC183" s="507"/>
      <c r="DD183" s="507"/>
      <c r="DE183" s="507"/>
      <c r="DF183" s="507"/>
      <c r="DG183" s="507"/>
      <c r="DH183" s="507"/>
      <c r="DI183" s="507"/>
      <c r="DJ183" s="507"/>
      <c r="DK183" s="507"/>
      <c r="DL183" s="507"/>
      <c r="DM183" s="507"/>
      <c r="DN183" s="507"/>
      <c r="DO183" s="507"/>
      <c r="DP183" s="507"/>
      <c r="DQ183" s="507"/>
      <c r="DR183" s="507"/>
      <c r="DS183" s="507"/>
      <c r="DT183" s="507"/>
      <c r="DU183" s="507"/>
      <c r="DV183" s="507"/>
      <c r="DW183" s="507"/>
      <c r="DX183" s="507"/>
      <c r="DY183" s="507"/>
      <c r="DZ183" s="507"/>
      <c r="EA183" s="507"/>
      <c r="EB183" s="507"/>
      <c r="EC183" s="507"/>
      <c r="ED183" s="507"/>
      <c r="EE183" s="507"/>
      <c r="EF183" s="507"/>
      <c r="EG183" s="507"/>
      <c r="EH183" s="507"/>
      <c r="EI183" s="507"/>
      <c r="EJ183" s="507"/>
      <c r="EK183" s="507"/>
      <c r="EL183" s="507"/>
      <c r="EM183" s="507"/>
      <c r="EN183" s="507"/>
      <c r="EO183" s="507"/>
      <c r="EP183" s="507"/>
      <c r="EQ183" s="507"/>
      <c r="ER183" s="507"/>
      <c r="ES183" s="507"/>
      <c r="ET183" s="507"/>
      <c r="EU183" s="507"/>
      <c r="EV183" s="507"/>
      <c r="EW183" s="507"/>
      <c r="EX183" s="507"/>
      <c r="EY183" s="507"/>
      <c r="EZ183" s="507"/>
      <c r="FA183" s="507"/>
      <c r="FB183" s="507"/>
      <c r="FC183" s="507"/>
      <c r="FD183" s="507"/>
      <c r="FE183" s="507"/>
      <c r="FF183" s="507"/>
      <c r="FG183" s="507"/>
      <c r="FH183" s="507"/>
      <c r="FI183" s="507"/>
      <c r="FJ183" s="507"/>
      <c r="FK183" s="507"/>
      <c r="FL183" s="507"/>
      <c r="FM183" s="507"/>
      <c r="FN183" s="507"/>
      <c r="FO183" s="507"/>
      <c r="FP183" s="507"/>
      <c r="FQ183" s="507"/>
      <c r="FR183" s="507"/>
      <c r="FS183" s="507"/>
      <c r="FT183" s="507"/>
      <c r="FU183" s="507"/>
      <c r="FV183" s="507"/>
      <c r="FW183" s="507"/>
      <c r="FX183" s="507"/>
      <c r="FY183" s="507"/>
      <c r="FZ183" s="507"/>
      <c r="GA183" s="507"/>
      <c r="GB183" s="507"/>
      <c r="GC183" s="507"/>
      <c r="GD183" s="507"/>
      <c r="GE183" s="507"/>
      <c r="GF183" s="507"/>
      <c r="GG183" s="507"/>
      <c r="GH183" s="507"/>
      <c r="GI183" s="507"/>
      <c r="GJ183" s="507"/>
      <c r="GK183" s="507"/>
      <c r="GL183" s="507"/>
      <c r="GM183" s="507"/>
      <c r="GN183" s="507"/>
      <c r="GO183" s="507"/>
      <c r="GP183" s="507"/>
      <c r="GQ183" s="507"/>
      <c r="GR183" s="507"/>
      <c r="GS183" s="507"/>
      <c r="GT183" s="507"/>
      <c r="GU183" s="507"/>
      <c r="GV183" s="507"/>
      <c r="GW183" s="507"/>
      <c r="GX183" s="507"/>
      <c r="GY183" s="507"/>
      <c r="GZ183" s="507"/>
      <c r="HA183" s="507"/>
      <c r="HB183" s="507"/>
      <c r="HC183" s="507"/>
      <c r="HD183" s="507"/>
      <c r="HE183" s="507"/>
      <c r="HF183" s="507"/>
      <c r="HG183" s="507"/>
      <c r="HH183" s="507"/>
      <c r="HI183" s="507"/>
      <c r="HJ183" s="507"/>
      <c r="HK183" s="507"/>
      <c r="HL183" s="507"/>
      <c r="HM183" s="507"/>
      <c r="HN183" s="507"/>
      <c r="HO183" s="507"/>
      <c r="HP183" s="507"/>
      <c r="HQ183" s="507"/>
      <c r="HR183" s="507"/>
      <c r="HS183" s="507"/>
      <c r="HT183" s="507"/>
      <c r="HU183" s="507"/>
      <c r="HV183" s="507"/>
      <c r="HW183" s="507"/>
      <c r="HX183" s="507"/>
      <c r="HY183" s="507"/>
      <c r="HZ183" s="507"/>
    </row>
    <row r="184" spans="1:234" s="232" customFormat="1" ht="15.9" hidden="1" customHeight="1" x14ac:dyDescent="0.25">
      <c r="A184" s="540" t="s">
        <v>3510</v>
      </c>
      <c r="B184" s="523" t="s">
        <v>1855</v>
      </c>
      <c r="C184" s="527" t="s">
        <v>4190</v>
      </c>
      <c r="D184" s="553" t="s">
        <v>4384</v>
      </c>
      <c r="E184" s="524" t="s">
        <v>3228</v>
      </c>
      <c r="F184" s="544">
        <v>39409</v>
      </c>
      <c r="G184" s="586">
        <v>39370</v>
      </c>
      <c r="H184" s="544">
        <v>39402</v>
      </c>
      <c r="I184" s="588">
        <v>41425</v>
      </c>
      <c r="J184" s="595">
        <v>10</v>
      </c>
      <c r="K184" s="561" t="s">
        <v>3229</v>
      </c>
      <c r="L184" s="553" t="s">
        <v>3229</v>
      </c>
      <c r="M184" s="600">
        <v>-0.05</v>
      </c>
      <c r="N184" s="601">
        <v>1</v>
      </c>
      <c r="O184" s="596" t="s">
        <v>3229</v>
      </c>
      <c r="P184" s="596" t="s">
        <v>3229</v>
      </c>
      <c r="Q184" s="575" t="s">
        <v>3229</v>
      </c>
      <c r="R184" s="596" t="s">
        <v>3229</v>
      </c>
      <c r="S184" s="597"/>
      <c r="T184" s="598" t="s">
        <v>3229</v>
      </c>
      <c r="U184" s="598" t="s">
        <v>3229</v>
      </c>
      <c r="V184" s="598" t="s">
        <v>3229</v>
      </c>
      <c r="W184" s="598" t="s">
        <v>3229</v>
      </c>
      <c r="X184" s="598" t="s">
        <v>3229</v>
      </c>
      <c r="Y184" s="598" t="s">
        <v>3229</v>
      </c>
      <c r="Z184" s="598" t="s">
        <v>3229</v>
      </c>
      <c r="AA184" s="598" t="s">
        <v>3229</v>
      </c>
      <c r="AB184" s="598" t="s">
        <v>3229</v>
      </c>
      <c r="AC184" s="598" t="s">
        <v>3229</v>
      </c>
      <c r="AD184" s="598" t="s">
        <v>3229</v>
      </c>
      <c r="AE184" s="599" t="s">
        <v>3229</v>
      </c>
      <c r="AF184" s="3764" t="s">
        <v>781</v>
      </c>
      <c r="AG184" s="3765"/>
      <c r="AH184" s="590" t="s">
        <v>3229</v>
      </c>
      <c r="AI184" s="590" t="s">
        <v>3229</v>
      </c>
      <c r="AJ184" s="590" t="s">
        <v>3229</v>
      </c>
      <c r="AK184" s="673" t="s">
        <v>3229</v>
      </c>
      <c r="AL184" s="590" t="s">
        <v>3229</v>
      </c>
      <c r="AM184" s="590">
        <v>1</v>
      </c>
      <c r="AN184" s="638">
        <v>5.7852111111111118E-2</v>
      </c>
      <c r="AO184" s="660">
        <v>10.59</v>
      </c>
      <c r="AP184" s="1368">
        <v>0.10785211111111112</v>
      </c>
      <c r="AQ184" s="606">
        <v>0.28498884388525531</v>
      </c>
      <c r="AR184" s="632" t="s">
        <v>3660</v>
      </c>
      <c r="AS184" s="558"/>
      <c r="AT184" s="648"/>
      <c r="AU184" s="587"/>
      <c r="AV184" s="632">
        <f>M184</f>
        <v>-0.05</v>
      </c>
      <c r="AW184" s="558">
        <v>0</v>
      </c>
      <c r="AX184" s="589"/>
      <c r="AY184" s="589"/>
      <c r="AZ184" s="676">
        <f t="shared" si="28"/>
        <v>9.5</v>
      </c>
      <c r="BA184" s="644" t="s">
        <v>3190</v>
      </c>
      <c r="BB184" s="570"/>
      <c r="BC184" s="637"/>
      <c r="BD184" s="3691"/>
      <c r="BE184" s="3743"/>
      <c r="BF184" s="3743"/>
      <c r="BG184" s="3708"/>
      <c r="BH184" s="3762"/>
      <c r="BI184" s="3762"/>
      <c r="BJ184" s="39"/>
      <c r="BK184" s="39"/>
      <c r="BL184" s="39"/>
      <c r="BM184" s="39"/>
      <c r="BN184" s="39"/>
      <c r="BO184" s="39"/>
      <c r="BP184" s="39"/>
      <c r="BQ184" s="39"/>
      <c r="BR184" s="39"/>
      <c r="BS184" s="507"/>
      <c r="BT184" s="507"/>
      <c r="BU184" s="507"/>
      <c r="BV184" s="507"/>
      <c r="BW184" s="507"/>
      <c r="BX184" s="507"/>
      <c r="BY184" s="507"/>
      <c r="BZ184" s="507"/>
      <c r="CA184" s="507"/>
      <c r="CB184" s="507"/>
      <c r="CC184" s="507"/>
      <c r="CD184" s="507"/>
      <c r="CE184" s="507"/>
      <c r="CF184" s="507"/>
      <c r="CG184" s="507"/>
      <c r="CH184" s="507"/>
      <c r="CI184" s="507"/>
      <c r="CJ184" s="507"/>
      <c r="CK184" s="507"/>
      <c r="CL184" s="507"/>
      <c r="CM184" s="507"/>
      <c r="CN184" s="507"/>
      <c r="CO184" s="507"/>
      <c r="CP184" s="507"/>
      <c r="CQ184" s="507"/>
      <c r="CR184" s="507"/>
      <c r="CS184" s="507"/>
      <c r="CT184" s="507"/>
      <c r="CU184" s="507"/>
      <c r="CV184" s="507"/>
      <c r="CW184" s="507"/>
      <c r="CX184" s="507"/>
      <c r="CY184" s="507"/>
      <c r="CZ184" s="507"/>
      <c r="DA184" s="507"/>
      <c r="DB184" s="507"/>
      <c r="DC184" s="507"/>
      <c r="DD184" s="507"/>
      <c r="DE184" s="507"/>
      <c r="DF184" s="507"/>
      <c r="DG184" s="507"/>
      <c r="DH184" s="507"/>
      <c r="DI184" s="507"/>
      <c r="DJ184" s="507"/>
      <c r="DK184" s="507"/>
      <c r="DL184" s="507"/>
      <c r="DM184" s="507"/>
      <c r="DN184" s="507"/>
      <c r="DO184" s="507"/>
      <c r="DP184" s="507"/>
      <c r="DQ184" s="507"/>
      <c r="DR184" s="507"/>
      <c r="DS184" s="507"/>
      <c r="DT184" s="507"/>
      <c r="DU184" s="507"/>
      <c r="DV184" s="507"/>
      <c r="DW184" s="507"/>
      <c r="DX184" s="507"/>
      <c r="DY184" s="507"/>
      <c r="DZ184" s="507"/>
      <c r="EA184" s="507"/>
      <c r="EB184" s="507"/>
      <c r="EC184" s="507"/>
      <c r="ED184" s="507"/>
      <c r="EE184" s="507"/>
      <c r="EF184" s="507"/>
      <c r="EG184" s="507"/>
      <c r="EH184" s="507"/>
      <c r="EI184" s="507"/>
      <c r="EJ184" s="507"/>
      <c r="EK184" s="507"/>
      <c r="EL184" s="507"/>
      <c r="EM184" s="507"/>
      <c r="EN184" s="507"/>
      <c r="EO184" s="507"/>
      <c r="EP184" s="507"/>
      <c r="EQ184" s="507"/>
      <c r="ER184" s="507"/>
      <c r="ES184" s="507"/>
      <c r="ET184" s="507"/>
      <c r="EU184" s="507"/>
      <c r="EV184" s="507"/>
      <c r="EW184" s="507"/>
      <c r="EX184" s="507"/>
      <c r="EY184" s="507"/>
      <c r="EZ184" s="507"/>
      <c r="FA184" s="507"/>
      <c r="FB184" s="507"/>
      <c r="FC184" s="507"/>
      <c r="FD184" s="507"/>
      <c r="FE184" s="507"/>
      <c r="FF184" s="507"/>
      <c r="FG184" s="507"/>
      <c r="FH184" s="507"/>
      <c r="FI184" s="507"/>
      <c r="FJ184" s="507"/>
      <c r="FK184" s="507"/>
      <c r="FL184" s="507"/>
      <c r="FM184" s="507"/>
      <c r="FN184" s="507"/>
      <c r="FO184" s="507"/>
      <c r="FP184" s="507"/>
      <c r="FQ184" s="507"/>
      <c r="FR184" s="507"/>
      <c r="FS184" s="507"/>
      <c r="FT184" s="507"/>
      <c r="FU184" s="507"/>
      <c r="FV184" s="507"/>
      <c r="FW184" s="507"/>
      <c r="FX184" s="507"/>
      <c r="FY184" s="507"/>
      <c r="FZ184" s="507"/>
      <c r="GA184" s="507"/>
      <c r="GB184" s="507"/>
      <c r="GC184" s="507"/>
      <c r="GD184" s="507"/>
      <c r="GE184" s="507"/>
      <c r="GF184" s="507"/>
      <c r="GG184" s="507"/>
      <c r="GH184" s="507"/>
      <c r="GI184" s="507"/>
      <c r="GJ184" s="507"/>
      <c r="GK184" s="507"/>
      <c r="GL184" s="507"/>
      <c r="GM184" s="507"/>
      <c r="GN184" s="507"/>
      <c r="GO184" s="507"/>
      <c r="GP184" s="507"/>
      <c r="GQ184" s="507"/>
      <c r="GR184" s="507"/>
      <c r="GS184" s="507"/>
      <c r="GT184" s="507"/>
      <c r="GU184" s="507"/>
      <c r="GV184" s="507"/>
      <c r="GW184" s="507"/>
      <c r="GX184" s="507"/>
      <c r="GY184" s="507"/>
      <c r="GZ184" s="507"/>
      <c r="HA184" s="507"/>
      <c r="HB184" s="507"/>
      <c r="HC184" s="507"/>
      <c r="HD184" s="507"/>
      <c r="HE184" s="507"/>
      <c r="HF184" s="507"/>
      <c r="HG184" s="507"/>
      <c r="HH184" s="507"/>
      <c r="HI184" s="507"/>
      <c r="HJ184" s="507"/>
      <c r="HK184" s="507"/>
      <c r="HL184" s="507"/>
      <c r="HM184" s="507"/>
      <c r="HN184" s="507"/>
      <c r="HO184" s="507"/>
      <c r="HP184" s="507"/>
      <c r="HQ184" s="507"/>
      <c r="HR184" s="507"/>
      <c r="HS184" s="507"/>
      <c r="HT184" s="507"/>
      <c r="HU184" s="507"/>
      <c r="HV184" s="507"/>
      <c r="HW184" s="507"/>
      <c r="HX184" s="507"/>
      <c r="HY184" s="507"/>
      <c r="HZ184" s="507"/>
    </row>
    <row r="185" spans="1:234" ht="15.9" hidden="1" customHeight="1" x14ac:dyDescent="0.25">
      <c r="A185" s="540" t="s">
        <v>5342</v>
      </c>
      <c r="B185" s="523" t="s">
        <v>716</v>
      </c>
      <c r="C185" s="527" t="s">
        <v>717</v>
      </c>
      <c r="D185" s="553" t="s">
        <v>4384</v>
      </c>
      <c r="E185" s="524" t="s">
        <v>3228</v>
      </c>
      <c r="F185" s="544">
        <v>39455</v>
      </c>
      <c r="G185" s="586">
        <v>39398</v>
      </c>
      <c r="H185" s="544">
        <v>39437</v>
      </c>
      <c r="I185" s="594">
        <v>41670</v>
      </c>
      <c r="J185" s="595">
        <v>10</v>
      </c>
      <c r="K185" s="561" t="s">
        <v>3229</v>
      </c>
      <c r="L185" s="553" t="s">
        <v>3229</v>
      </c>
      <c r="M185" s="600">
        <v>0</v>
      </c>
      <c r="N185" s="601">
        <v>0.7</v>
      </c>
      <c r="O185" s="596" t="s">
        <v>3229</v>
      </c>
      <c r="P185" s="596" t="s">
        <v>3229</v>
      </c>
      <c r="Q185" s="575" t="s">
        <v>3229</v>
      </c>
      <c r="R185" s="596" t="s">
        <v>3229</v>
      </c>
      <c r="S185" s="597"/>
      <c r="T185" s="563" t="s">
        <v>3229</v>
      </c>
      <c r="U185" s="563" t="s">
        <v>3229</v>
      </c>
      <c r="V185" s="563" t="s">
        <v>3229</v>
      </c>
      <c r="W185" s="563" t="s">
        <v>3229</v>
      </c>
      <c r="X185" s="563" t="s">
        <v>3229</v>
      </c>
      <c r="Y185" s="563" t="s">
        <v>3229</v>
      </c>
      <c r="Z185" s="563" t="s">
        <v>3229</v>
      </c>
      <c r="AA185" s="563" t="s">
        <v>3229</v>
      </c>
      <c r="AB185" s="563" t="s">
        <v>3229</v>
      </c>
      <c r="AC185" s="563" t="s">
        <v>3229</v>
      </c>
      <c r="AD185" s="563" t="s">
        <v>3229</v>
      </c>
      <c r="AE185" s="563" t="s">
        <v>3229</v>
      </c>
      <c r="AF185" s="3764" t="s">
        <v>781</v>
      </c>
      <c r="AG185" s="3765"/>
      <c r="AH185" s="673" t="s">
        <v>3229</v>
      </c>
      <c r="AI185" s="673" t="s">
        <v>3229</v>
      </c>
      <c r="AJ185" s="673" t="s">
        <v>3229</v>
      </c>
      <c r="AK185" s="673" t="s">
        <v>3229</v>
      </c>
      <c r="AL185" s="673" t="s">
        <v>3229</v>
      </c>
      <c r="AM185" s="590">
        <v>1</v>
      </c>
      <c r="AN185" s="638">
        <v>0</v>
      </c>
      <c r="AO185" s="660">
        <v>10</v>
      </c>
      <c r="AP185" s="1368">
        <v>-3.9034708333333341E-2</v>
      </c>
      <c r="AQ185" s="606">
        <v>4.3699175779899679E-2</v>
      </c>
      <c r="AR185" s="3773" t="s">
        <v>3660</v>
      </c>
      <c r="AS185" s="3774"/>
      <c r="AT185" s="3774"/>
      <c r="AU185" s="3775"/>
      <c r="AV185" s="558">
        <v>0</v>
      </c>
      <c r="AW185" s="558">
        <v>0</v>
      </c>
      <c r="AX185" s="674">
        <f>J185*(1+AV185)/AO185-1</f>
        <v>0</v>
      </c>
      <c r="AY185" s="675" t="e">
        <f>POWER(1+AX185,1/AG185)-1</f>
        <v>#DIV/0!</v>
      </c>
      <c r="AZ185" s="642">
        <f t="shared" si="28"/>
        <v>10</v>
      </c>
      <c r="BA185" s="644" t="s">
        <v>3777</v>
      </c>
      <c r="BB185" s="570"/>
      <c r="BC185" s="637"/>
      <c r="BH185" s="3763"/>
      <c r="BI185" s="3763"/>
      <c r="BJ185" s="1639"/>
      <c r="BK185" s="1639"/>
      <c r="BL185" s="1639"/>
      <c r="BM185" s="1639"/>
      <c r="BN185" s="1639"/>
      <c r="BO185" s="1639"/>
      <c r="BP185" s="1639"/>
      <c r="BQ185" s="1639"/>
      <c r="BR185" s="1639"/>
      <c r="BS185" s="509"/>
      <c r="BT185" s="509"/>
      <c r="BU185" s="509"/>
      <c r="BV185" s="509"/>
      <c r="BW185" s="509"/>
      <c r="BX185" s="509"/>
      <c r="BY185" s="509"/>
      <c r="BZ185" s="509"/>
      <c r="CA185" s="509"/>
      <c r="CB185" s="509"/>
      <c r="CC185" s="509"/>
      <c r="CD185" s="509"/>
      <c r="CE185" s="509"/>
      <c r="CF185" s="509"/>
      <c r="CG185" s="509"/>
      <c r="CH185" s="509"/>
      <c r="CI185" s="509"/>
      <c r="CJ185" s="509"/>
      <c r="CK185" s="509"/>
      <c r="CL185" s="509"/>
      <c r="CM185" s="509"/>
      <c r="CN185" s="509"/>
      <c r="CO185" s="509"/>
      <c r="CP185" s="509"/>
      <c r="CQ185" s="509"/>
      <c r="CR185" s="509"/>
      <c r="CS185" s="509"/>
      <c r="CT185" s="509"/>
      <c r="CU185" s="509"/>
      <c r="CV185" s="509"/>
      <c r="CW185" s="509"/>
      <c r="CX185" s="509"/>
      <c r="CY185" s="509"/>
      <c r="CZ185" s="509"/>
      <c r="DA185" s="509"/>
      <c r="DB185" s="509"/>
      <c r="DC185" s="509"/>
      <c r="DD185" s="509"/>
      <c r="DE185" s="509"/>
      <c r="DF185" s="509"/>
      <c r="DG185" s="509"/>
      <c r="DH185" s="509"/>
      <c r="DI185" s="509"/>
      <c r="DJ185" s="509"/>
      <c r="DK185" s="509"/>
      <c r="DL185" s="509"/>
      <c r="DM185" s="509"/>
      <c r="DN185" s="509"/>
      <c r="DO185" s="509"/>
      <c r="DP185" s="509"/>
      <c r="DQ185" s="509"/>
      <c r="DR185" s="509"/>
      <c r="DS185" s="509"/>
      <c r="DT185" s="509"/>
      <c r="DU185" s="509"/>
      <c r="DV185" s="509"/>
      <c r="DW185" s="509"/>
      <c r="DX185" s="509"/>
      <c r="DY185" s="509"/>
      <c r="DZ185" s="509"/>
      <c r="EA185" s="509"/>
      <c r="EB185" s="509"/>
      <c r="EC185" s="509"/>
      <c r="ED185" s="509"/>
      <c r="EE185" s="509"/>
      <c r="EF185" s="509"/>
      <c r="EG185" s="509"/>
      <c r="EH185" s="509"/>
      <c r="EI185" s="509"/>
      <c r="EJ185" s="509"/>
      <c r="EK185" s="509"/>
      <c r="EL185" s="509"/>
      <c r="EM185" s="509"/>
      <c r="EN185" s="509"/>
      <c r="EO185" s="509"/>
      <c r="EP185" s="509"/>
      <c r="EQ185" s="509"/>
      <c r="ER185" s="509"/>
      <c r="ES185" s="509"/>
      <c r="ET185" s="509"/>
      <c r="EU185" s="509"/>
      <c r="EV185" s="509"/>
      <c r="EW185" s="509"/>
      <c r="EX185" s="509"/>
      <c r="EY185" s="509"/>
      <c r="EZ185" s="509"/>
      <c r="FA185" s="509"/>
      <c r="FB185" s="509"/>
      <c r="FC185" s="509"/>
      <c r="FD185" s="509"/>
      <c r="FE185" s="509"/>
      <c r="FF185" s="509"/>
      <c r="FG185" s="509"/>
      <c r="FH185" s="509"/>
      <c r="FI185" s="509"/>
      <c r="FJ185" s="509"/>
      <c r="FK185" s="509"/>
      <c r="FL185" s="509"/>
      <c r="FM185" s="509"/>
      <c r="FN185" s="509"/>
      <c r="FO185" s="509"/>
      <c r="FP185" s="509"/>
      <c r="FQ185" s="509"/>
      <c r="FR185" s="509"/>
      <c r="FS185" s="509"/>
      <c r="FT185" s="509"/>
      <c r="FU185" s="509"/>
      <c r="FV185" s="509"/>
      <c r="FW185" s="509"/>
      <c r="FX185" s="509"/>
      <c r="FY185" s="509"/>
      <c r="FZ185" s="509"/>
      <c r="GA185" s="509"/>
      <c r="GB185" s="509"/>
      <c r="GC185" s="509"/>
      <c r="GD185" s="509"/>
      <c r="GE185" s="509"/>
      <c r="GF185" s="509"/>
      <c r="GG185" s="509"/>
      <c r="GH185" s="509"/>
      <c r="GI185" s="509"/>
      <c r="GJ185" s="509"/>
      <c r="GK185" s="509"/>
      <c r="GL185" s="509"/>
      <c r="GM185" s="509"/>
      <c r="GN185" s="509"/>
      <c r="GO185" s="509"/>
      <c r="GP185" s="509"/>
      <c r="GQ185" s="509"/>
      <c r="GR185" s="509"/>
      <c r="GS185" s="509"/>
      <c r="GT185" s="509"/>
      <c r="GU185" s="509"/>
      <c r="GV185" s="509"/>
      <c r="GW185" s="509"/>
      <c r="GX185" s="509"/>
      <c r="GY185" s="509"/>
      <c r="GZ185" s="509"/>
      <c r="HA185" s="509"/>
      <c r="HB185" s="509"/>
      <c r="HC185" s="509"/>
      <c r="HD185" s="509"/>
      <c r="HE185" s="509"/>
      <c r="HF185" s="509"/>
      <c r="HG185" s="509"/>
      <c r="HH185" s="509"/>
      <c r="HI185" s="509"/>
      <c r="HJ185" s="509"/>
      <c r="HK185" s="509"/>
      <c r="HL185" s="509"/>
      <c r="HM185" s="509"/>
      <c r="HN185" s="509"/>
      <c r="HO185" s="509"/>
      <c r="HP185" s="509"/>
      <c r="HQ185" s="509"/>
      <c r="HR185" s="509"/>
      <c r="HS185" s="509"/>
      <c r="HT185" s="509"/>
      <c r="HU185" s="509"/>
      <c r="HV185" s="509"/>
      <c r="HW185" s="509"/>
      <c r="HX185" s="509"/>
      <c r="HY185" s="509"/>
      <c r="HZ185" s="509"/>
    </row>
    <row r="186" spans="1:234" ht="15.9" hidden="1" customHeight="1" x14ac:dyDescent="0.25">
      <c r="A186" s="540" t="s">
        <v>1479</v>
      </c>
      <c r="B186" s="523" t="s">
        <v>3911</v>
      </c>
      <c r="C186" s="524" t="s">
        <v>718</v>
      </c>
      <c r="D186" s="553" t="s">
        <v>661</v>
      </c>
      <c r="E186" s="524" t="s">
        <v>3228</v>
      </c>
      <c r="F186" s="544">
        <v>39447</v>
      </c>
      <c r="G186" s="586" t="s">
        <v>4498</v>
      </c>
      <c r="H186" s="544">
        <v>39433</v>
      </c>
      <c r="I186" s="588">
        <v>41304</v>
      </c>
      <c r="J186" s="595">
        <v>10</v>
      </c>
      <c r="K186" s="561" t="s">
        <v>3229</v>
      </c>
      <c r="L186" s="553" t="s">
        <v>3229</v>
      </c>
      <c r="M186" s="600">
        <v>0</v>
      </c>
      <c r="N186" s="601">
        <v>1.4</v>
      </c>
      <c r="O186" s="596" t="s">
        <v>3229</v>
      </c>
      <c r="P186" s="596" t="s">
        <v>3229</v>
      </c>
      <c r="Q186" s="575" t="s">
        <v>3229</v>
      </c>
      <c r="R186" s="596" t="s">
        <v>3229</v>
      </c>
      <c r="S186" s="597"/>
      <c r="T186" s="563" t="s">
        <v>3229</v>
      </c>
      <c r="U186" s="563" t="s">
        <v>3229</v>
      </c>
      <c r="V186" s="563" t="s">
        <v>3229</v>
      </c>
      <c r="W186" s="563" t="s">
        <v>3229</v>
      </c>
      <c r="X186" s="563" t="s">
        <v>3229</v>
      </c>
      <c r="Y186" s="563" t="s">
        <v>3229</v>
      </c>
      <c r="Z186" s="563" t="s">
        <v>3229</v>
      </c>
      <c r="AA186" s="563" t="s">
        <v>3229</v>
      </c>
      <c r="AB186" s="563" t="s">
        <v>3229</v>
      </c>
      <c r="AC186" s="563" t="s">
        <v>3229</v>
      </c>
      <c r="AD186" s="563" t="s">
        <v>3229</v>
      </c>
      <c r="AE186" s="563" t="s">
        <v>3229</v>
      </c>
      <c r="AF186" s="3764" t="s">
        <v>781</v>
      </c>
      <c r="AG186" s="3765"/>
      <c r="AH186" s="673" t="s">
        <v>3229</v>
      </c>
      <c r="AI186" s="673" t="s">
        <v>3229</v>
      </c>
      <c r="AJ186" s="673" t="s">
        <v>3229</v>
      </c>
      <c r="AK186" s="673" t="s">
        <v>3229</v>
      </c>
      <c r="AL186" s="673" t="s">
        <v>3229</v>
      </c>
      <c r="AM186" s="590">
        <v>1</v>
      </c>
      <c r="AN186" s="638">
        <v>0</v>
      </c>
      <c r="AO186" s="625">
        <v>10.07</v>
      </c>
      <c r="AP186" s="1368">
        <v>-0.40538614999999989</v>
      </c>
      <c r="AQ186" s="606">
        <v>-0.40584736688213363</v>
      </c>
      <c r="AR186" s="632" t="s">
        <v>3660</v>
      </c>
      <c r="AS186" s="558"/>
      <c r="AT186" s="648"/>
      <c r="AU186" s="559"/>
      <c r="AV186" s="558">
        <v>0</v>
      </c>
      <c r="AW186" s="558">
        <v>0</v>
      </c>
      <c r="AX186" s="558">
        <v>-8.9197224975222644E-3</v>
      </c>
      <c r="AY186" s="559">
        <v>-0.10327871716664438</v>
      </c>
      <c r="AZ186" s="642">
        <v>10</v>
      </c>
      <c r="BA186" s="644" t="s">
        <v>574</v>
      </c>
      <c r="BB186" s="570"/>
      <c r="BC186" s="637"/>
      <c r="BH186" s="3763"/>
      <c r="BI186" s="3763"/>
      <c r="BJ186" s="1639"/>
      <c r="BK186" s="1639"/>
      <c r="BL186" s="1639"/>
      <c r="BM186" s="1639"/>
      <c r="BN186" s="1639"/>
      <c r="BO186" s="1639"/>
      <c r="BP186" s="1639"/>
      <c r="BQ186" s="1639"/>
      <c r="BR186" s="1639"/>
      <c r="BS186" s="509"/>
      <c r="BT186" s="509"/>
      <c r="BU186" s="509"/>
      <c r="BV186" s="509"/>
      <c r="BW186" s="509"/>
      <c r="BX186" s="509"/>
      <c r="BY186" s="509"/>
      <c r="BZ186" s="509"/>
      <c r="CA186" s="509"/>
      <c r="CB186" s="509"/>
      <c r="CC186" s="509"/>
      <c r="CD186" s="509"/>
      <c r="CE186" s="509"/>
      <c r="CF186" s="509"/>
      <c r="CG186" s="509"/>
      <c r="CH186" s="509"/>
      <c r="CI186" s="509"/>
      <c r="CJ186" s="509"/>
      <c r="CK186" s="509"/>
      <c r="CL186" s="509"/>
      <c r="CM186" s="509"/>
      <c r="CN186" s="509"/>
      <c r="CO186" s="509"/>
      <c r="CP186" s="509"/>
      <c r="CQ186" s="509"/>
      <c r="CR186" s="509"/>
      <c r="CS186" s="509"/>
      <c r="CT186" s="509"/>
      <c r="CU186" s="509"/>
      <c r="CV186" s="509"/>
      <c r="CW186" s="509"/>
      <c r="CX186" s="509"/>
      <c r="CY186" s="509"/>
      <c r="CZ186" s="509"/>
      <c r="DA186" s="509"/>
      <c r="DB186" s="509"/>
      <c r="DC186" s="509"/>
      <c r="DD186" s="509"/>
      <c r="DE186" s="509"/>
      <c r="DF186" s="509"/>
      <c r="DG186" s="509"/>
      <c r="DH186" s="509"/>
      <c r="DI186" s="509"/>
      <c r="DJ186" s="509"/>
      <c r="DK186" s="509"/>
      <c r="DL186" s="509"/>
      <c r="DM186" s="509"/>
      <c r="DN186" s="509"/>
      <c r="DO186" s="509"/>
      <c r="DP186" s="509"/>
      <c r="DQ186" s="509"/>
      <c r="DR186" s="509"/>
      <c r="DS186" s="509"/>
      <c r="DT186" s="509"/>
      <c r="DU186" s="509"/>
      <c r="DV186" s="509"/>
      <c r="DW186" s="509"/>
      <c r="DX186" s="509"/>
      <c r="DY186" s="509"/>
      <c r="DZ186" s="509"/>
      <c r="EA186" s="509"/>
      <c r="EB186" s="509"/>
      <c r="EC186" s="509"/>
      <c r="ED186" s="509"/>
      <c r="EE186" s="509"/>
      <c r="EF186" s="509"/>
      <c r="EG186" s="509"/>
      <c r="EH186" s="509"/>
      <c r="EI186" s="509"/>
      <c r="EJ186" s="509"/>
      <c r="EK186" s="509"/>
      <c r="EL186" s="509"/>
      <c r="EM186" s="509"/>
      <c r="EN186" s="509"/>
      <c r="EO186" s="509"/>
      <c r="EP186" s="509"/>
      <c r="EQ186" s="509"/>
      <c r="ER186" s="509"/>
      <c r="ES186" s="509"/>
      <c r="ET186" s="509"/>
      <c r="EU186" s="509"/>
      <c r="EV186" s="509"/>
      <c r="EW186" s="509"/>
      <c r="EX186" s="509"/>
      <c r="EY186" s="509"/>
      <c r="EZ186" s="509"/>
      <c r="FA186" s="509"/>
      <c r="FB186" s="509"/>
      <c r="FC186" s="509"/>
      <c r="FD186" s="509"/>
      <c r="FE186" s="509"/>
      <c r="FF186" s="509"/>
      <c r="FG186" s="509"/>
      <c r="FH186" s="509"/>
      <c r="FI186" s="509"/>
      <c r="FJ186" s="509"/>
      <c r="FK186" s="509"/>
      <c r="FL186" s="509"/>
      <c r="FM186" s="509"/>
      <c r="FN186" s="509"/>
      <c r="FO186" s="509"/>
      <c r="FP186" s="509"/>
      <c r="FQ186" s="509"/>
      <c r="FR186" s="509"/>
      <c r="FS186" s="509"/>
      <c r="FT186" s="509"/>
      <c r="FU186" s="509"/>
      <c r="FV186" s="509"/>
      <c r="FW186" s="509"/>
      <c r="FX186" s="509"/>
      <c r="FY186" s="509"/>
      <c r="FZ186" s="509"/>
      <c r="GA186" s="509"/>
      <c r="GB186" s="509"/>
      <c r="GC186" s="509"/>
      <c r="GD186" s="509"/>
      <c r="GE186" s="509"/>
      <c r="GF186" s="509"/>
      <c r="GG186" s="509"/>
      <c r="GH186" s="509"/>
      <c r="GI186" s="509"/>
      <c r="GJ186" s="509"/>
      <c r="GK186" s="509"/>
      <c r="GL186" s="509"/>
      <c r="GM186" s="509"/>
      <c r="GN186" s="509"/>
      <c r="GO186" s="509"/>
      <c r="GP186" s="509"/>
      <c r="GQ186" s="509"/>
      <c r="GR186" s="509"/>
      <c r="GS186" s="509"/>
      <c r="GT186" s="509"/>
      <c r="GU186" s="509"/>
      <c r="GV186" s="509"/>
      <c r="GW186" s="509"/>
      <c r="GX186" s="509"/>
      <c r="GY186" s="509"/>
      <c r="GZ186" s="509"/>
      <c r="HA186" s="509"/>
      <c r="HB186" s="509"/>
      <c r="HC186" s="509"/>
      <c r="HD186" s="509"/>
      <c r="HE186" s="509"/>
      <c r="HF186" s="509"/>
      <c r="HG186" s="509"/>
      <c r="HH186" s="509"/>
      <c r="HI186" s="509"/>
      <c r="HJ186" s="509"/>
      <c r="HK186" s="509"/>
      <c r="HL186" s="509"/>
      <c r="HM186" s="509"/>
      <c r="HN186" s="509"/>
      <c r="HO186" s="509"/>
      <c r="HP186" s="509"/>
      <c r="HQ186" s="509"/>
      <c r="HR186" s="509"/>
      <c r="HS186" s="509"/>
      <c r="HT186" s="509"/>
      <c r="HU186" s="509"/>
      <c r="HV186" s="509"/>
      <c r="HW186" s="509"/>
      <c r="HX186" s="509"/>
      <c r="HY186" s="509"/>
      <c r="HZ186" s="509"/>
    </row>
    <row r="187" spans="1:234" ht="15.9" hidden="1" customHeight="1" x14ac:dyDescent="0.25">
      <c r="A187" s="540" t="s">
        <v>1431</v>
      </c>
      <c r="B187" s="479" t="s">
        <v>2932</v>
      </c>
      <c r="C187" s="524" t="s">
        <v>4499</v>
      </c>
      <c r="D187" s="553" t="s">
        <v>828</v>
      </c>
      <c r="E187" s="524" t="s">
        <v>3228</v>
      </c>
      <c r="F187" s="544">
        <v>39430</v>
      </c>
      <c r="G187" s="586">
        <v>39356</v>
      </c>
      <c r="H187" s="544">
        <v>39416</v>
      </c>
      <c r="I187" s="588">
        <v>40724</v>
      </c>
      <c r="J187" s="595">
        <v>10</v>
      </c>
      <c r="K187" s="561">
        <v>0.01</v>
      </c>
      <c r="L187" s="553">
        <v>0.1</v>
      </c>
      <c r="M187" s="600">
        <v>0.06</v>
      </c>
      <c r="N187" s="601" t="s">
        <v>3229</v>
      </c>
      <c r="O187" s="596">
        <v>0.24</v>
      </c>
      <c r="P187" s="596">
        <v>1</v>
      </c>
      <c r="Q187" s="575">
        <v>0.04</v>
      </c>
      <c r="R187" s="596" t="s">
        <v>3229</v>
      </c>
      <c r="S187" s="597">
        <v>3</v>
      </c>
      <c r="T187" s="563">
        <v>39783</v>
      </c>
      <c r="U187" s="563">
        <v>40148</v>
      </c>
      <c r="V187" s="563">
        <v>40695</v>
      </c>
      <c r="W187" s="563" t="s">
        <v>3229</v>
      </c>
      <c r="X187" s="563" t="s">
        <v>3229</v>
      </c>
      <c r="Y187" s="563" t="s">
        <v>3229</v>
      </c>
      <c r="Z187" s="563" t="s">
        <v>3229</v>
      </c>
      <c r="AA187" s="563" t="s">
        <v>3229</v>
      </c>
      <c r="AB187" s="563" t="s">
        <v>3229</v>
      </c>
      <c r="AC187" s="563" t="s">
        <v>3229</v>
      </c>
      <c r="AD187" s="563" t="s">
        <v>3229</v>
      </c>
      <c r="AE187" s="563" t="s">
        <v>3229</v>
      </c>
      <c r="AF187" s="3764" t="s">
        <v>781</v>
      </c>
      <c r="AG187" s="3765"/>
      <c r="AH187" s="673" t="s">
        <v>3229</v>
      </c>
      <c r="AI187" s="673" t="s">
        <v>3229</v>
      </c>
      <c r="AJ187" s="673" t="s">
        <v>3229</v>
      </c>
      <c r="AK187" s="673" t="s">
        <v>3229</v>
      </c>
      <c r="AL187" s="673" t="s">
        <v>3229</v>
      </c>
      <c r="AM187" s="590">
        <v>1</v>
      </c>
      <c r="AN187" s="638">
        <v>6.0000000000000005E-2</v>
      </c>
      <c r="AO187" s="625">
        <v>10</v>
      </c>
      <c r="AP187" s="1368">
        <v>-0.29653751430023317</v>
      </c>
      <c r="AQ187" s="606">
        <v>-0.29653751430023317</v>
      </c>
      <c r="AR187" s="632" t="e">
        <f>MAX(0,AF187*L187+SUM('klikací hodnoty'!F5188:F5190))</f>
        <v>#VALUE!</v>
      </c>
      <c r="AS187" s="558" t="e">
        <f>POWER(1+AR187,1/((I187-F187)/365))-1</f>
        <v>#VALUE!</v>
      </c>
      <c r="AT187" s="648" t="e">
        <f>J187*(1+AR187)/AO187-1</f>
        <v>#VALUE!</v>
      </c>
      <c r="AU187" s="559" t="e">
        <f>POWER(1+AT187,1/AG187)-1</f>
        <v>#VALUE!</v>
      </c>
      <c r="AV187" s="558" t="e">
        <f>MAX(M187,AN187+AF187*K187)</f>
        <v>#VALUE!</v>
      </c>
      <c r="AW187" s="558" t="e">
        <f t="shared" ref="AW187:AW193" si="30">POWER(1+AV187,1/((I187-F187)/365))-1</f>
        <v>#VALUE!</v>
      </c>
      <c r="AX187" s="558" t="e">
        <f>J187*(1+AV187)/AO187-1</f>
        <v>#VALUE!</v>
      </c>
      <c r="AY187" s="559" t="e">
        <f>POWER(1+AX187,1/AG187)-1</f>
        <v>#VALUE!</v>
      </c>
      <c r="AZ187" s="642">
        <f>J187</f>
        <v>10</v>
      </c>
      <c r="BA187" s="644" t="s">
        <v>3813</v>
      </c>
      <c r="BB187" s="570" t="s">
        <v>2025</v>
      </c>
      <c r="BC187" s="637" t="s">
        <v>2895</v>
      </c>
      <c r="BH187" s="3763"/>
      <c r="BI187" s="3763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509"/>
      <c r="BT187" s="509"/>
      <c r="BU187" s="509"/>
      <c r="BV187" s="509"/>
      <c r="BW187" s="509"/>
      <c r="BX187" s="509"/>
      <c r="BY187" s="509"/>
      <c r="BZ187" s="509"/>
      <c r="CA187" s="509"/>
      <c r="CB187" s="509"/>
      <c r="CC187" s="509"/>
      <c r="CD187" s="509"/>
      <c r="CE187" s="509"/>
      <c r="CF187" s="509"/>
      <c r="CG187" s="509"/>
      <c r="CH187" s="509"/>
      <c r="CI187" s="509"/>
      <c r="CJ187" s="509"/>
      <c r="CK187" s="509"/>
      <c r="CL187" s="509"/>
      <c r="CM187" s="509"/>
      <c r="CN187" s="509"/>
      <c r="CO187" s="509"/>
      <c r="CP187" s="509"/>
      <c r="CQ187" s="509"/>
      <c r="CR187" s="509"/>
      <c r="CS187" s="509"/>
      <c r="CT187" s="509"/>
      <c r="CU187" s="509"/>
      <c r="CV187" s="509"/>
      <c r="CW187" s="509"/>
      <c r="CX187" s="509"/>
      <c r="CY187" s="509"/>
      <c r="CZ187" s="509"/>
      <c r="DA187" s="509"/>
      <c r="DB187" s="509"/>
      <c r="DC187" s="509"/>
      <c r="DD187" s="509"/>
      <c r="DE187" s="509"/>
      <c r="DF187" s="509"/>
      <c r="DG187" s="509"/>
      <c r="DH187" s="509"/>
      <c r="DI187" s="509"/>
      <c r="DJ187" s="509"/>
      <c r="DK187" s="509"/>
      <c r="DL187" s="509"/>
      <c r="DM187" s="509"/>
      <c r="DN187" s="509"/>
      <c r="DO187" s="509"/>
      <c r="DP187" s="509"/>
      <c r="DQ187" s="509"/>
      <c r="DR187" s="509"/>
      <c r="DS187" s="509"/>
      <c r="DT187" s="509"/>
      <c r="DU187" s="509"/>
      <c r="DV187" s="509"/>
      <c r="DW187" s="509"/>
      <c r="DX187" s="509"/>
      <c r="DY187" s="509"/>
      <c r="DZ187" s="509"/>
      <c r="EA187" s="509"/>
      <c r="EB187" s="509"/>
      <c r="EC187" s="509"/>
      <c r="ED187" s="509"/>
      <c r="EE187" s="509"/>
      <c r="EF187" s="509"/>
      <c r="EG187" s="509"/>
      <c r="EH187" s="509"/>
      <c r="EI187" s="509"/>
      <c r="EJ187" s="509"/>
      <c r="EK187" s="509"/>
      <c r="EL187" s="509"/>
      <c r="EM187" s="509"/>
      <c r="EN187" s="509"/>
      <c r="EO187" s="509"/>
      <c r="EP187" s="509"/>
      <c r="EQ187" s="509"/>
      <c r="ER187" s="509"/>
      <c r="ES187" s="509"/>
      <c r="ET187" s="509"/>
      <c r="EU187" s="509"/>
      <c r="EV187" s="509"/>
      <c r="EW187" s="509"/>
      <c r="EX187" s="509"/>
      <c r="EY187" s="509"/>
      <c r="EZ187" s="509"/>
      <c r="FA187" s="509"/>
      <c r="FB187" s="509"/>
      <c r="FC187" s="509"/>
      <c r="FD187" s="509"/>
      <c r="FE187" s="509"/>
      <c r="FF187" s="509"/>
      <c r="FG187" s="509"/>
      <c r="FH187" s="509"/>
      <c r="FI187" s="509"/>
      <c r="FJ187" s="509"/>
      <c r="FK187" s="509"/>
      <c r="FL187" s="509"/>
      <c r="FM187" s="509"/>
      <c r="FN187" s="509"/>
      <c r="FO187" s="509"/>
      <c r="FP187" s="509"/>
      <c r="FQ187" s="509"/>
      <c r="FR187" s="509"/>
      <c r="FS187" s="509"/>
      <c r="FT187" s="509"/>
      <c r="FU187" s="509"/>
      <c r="FV187" s="509"/>
      <c r="FW187" s="509"/>
      <c r="FX187" s="509"/>
      <c r="FY187" s="509"/>
      <c r="FZ187" s="509"/>
      <c r="GA187" s="509"/>
      <c r="GB187" s="509"/>
      <c r="GC187" s="509"/>
      <c r="GD187" s="509"/>
      <c r="GE187" s="509"/>
      <c r="GF187" s="509"/>
      <c r="GG187" s="509"/>
      <c r="GH187" s="509"/>
      <c r="GI187" s="509"/>
      <c r="GJ187" s="509"/>
      <c r="GK187" s="509"/>
      <c r="GL187" s="509"/>
      <c r="GM187" s="509"/>
      <c r="GN187" s="509"/>
      <c r="GO187" s="509"/>
      <c r="GP187" s="509"/>
      <c r="GQ187" s="509"/>
      <c r="GR187" s="509"/>
      <c r="GS187" s="509"/>
      <c r="GT187" s="509"/>
      <c r="GU187" s="509"/>
      <c r="GV187" s="509"/>
      <c r="GW187" s="509"/>
      <c r="GX187" s="509"/>
      <c r="GY187" s="509"/>
      <c r="GZ187" s="509"/>
      <c r="HA187" s="509"/>
      <c r="HB187" s="509"/>
      <c r="HC187" s="509"/>
      <c r="HD187" s="509"/>
      <c r="HE187" s="509"/>
      <c r="HF187" s="509"/>
      <c r="HG187" s="509"/>
      <c r="HH187" s="509"/>
      <c r="HI187" s="509"/>
      <c r="HJ187" s="509"/>
      <c r="HK187" s="509"/>
      <c r="HL187" s="509"/>
      <c r="HM187" s="509"/>
      <c r="HN187" s="509"/>
      <c r="HO187" s="509"/>
      <c r="HP187" s="509"/>
      <c r="HQ187" s="509"/>
      <c r="HR187" s="509"/>
      <c r="HS187" s="509"/>
      <c r="HT187" s="509"/>
      <c r="HU187" s="509"/>
      <c r="HV187" s="509"/>
      <c r="HW187" s="509"/>
      <c r="HX187" s="509"/>
      <c r="HY187" s="509"/>
      <c r="HZ187" s="509"/>
    </row>
    <row r="188" spans="1:234" s="232" customFormat="1" ht="15.9" hidden="1" customHeight="1" x14ac:dyDescent="0.25">
      <c r="A188" s="540" t="s">
        <v>1480</v>
      </c>
      <c r="B188" s="523" t="s">
        <v>662</v>
      </c>
      <c r="C188" s="524" t="s">
        <v>1014</v>
      </c>
      <c r="D188" s="553" t="s">
        <v>2158</v>
      </c>
      <c r="E188" s="524" t="s">
        <v>3228</v>
      </c>
      <c r="F188" s="544">
        <v>39455</v>
      </c>
      <c r="G188" s="586">
        <v>39419</v>
      </c>
      <c r="H188" s="544">
        <v>39447</v>
      </c>
      <c r="I188" s="588">
        <v>40753</v>
      </c>
      <c r="J188" s="595">
        <v>10</v>
      </c>
      <c r="K188" s="561" t="s">
        <v>3229</v>
      </c>
      <c r="L188" s="553" t="s">
        <v>3229</v>
      </c>
      <c r="M188" s="600">
        <v>0</v>
      </c>
      <c r="N188" s="601" t="s">
        <v>3229</v>
      </c>
      <c r="O188" s="596">
        <v>0.4</v>
      </c>
      <c r="P188" s="596">
        <v>1</v>
      </c>
      <c r="Q188" s="575" t="s">
        <v>3229</v>
      </c>
      <c r="R188" s="596" t="s">
        <v>3229</v>
      </c>
      <c r="S188" s="597"/>
      <c r="T188" s="598" t="s">
        <v>3229</v>
      </c>
      <c r="U188" s="598" t="s">
        <v>3229</v>
      </c>
      <c r="V188" s="598" t="s">
        <v>3229</v>
      </c>
      <c r="W188" s="598" t="s">
        <v>3229</v>
      </c>
      <c r="X188" s="598" t="s">
        <v>3229</v>
      </c>
      <c r="Y188" s="598" t="s">
        <v>3229</v>
      </c>
      <c r="Z188" s="598" t="s">
        <v>3229</v>
      </c>
      <c r="AA188" s="598" t="s">
        <v>3229</v>
      </c>
      <c r="AB188" s="598" t="s">
        <v>3229</v>
      </c>
      <c r="AC188" s="598" t="s">
        <v>3229</v>
      </c>
      <c r="AD188" s="598" t="s">
        <v>3229</v>
      </c>
      <c r="AE188" s="599" t="s">
        <v>3229</v>
      </c>
      <c r="AF188" s="3764" t="s">
        <v>781</v>
      </c>
      <c r="AG188" s="3765"/>
      <c r="AH188" s="677" t="s">
        <v>3229</v>
      </c>
      <c r="AI188" s="590" t="s">
        <v>3229</v>
      </c>
      <c r="AJ188" s="590" t="s">
        <v>3229</v>
      </c>
      <c r="AK188" s="673" t="s">
        <v>3229</v>
      </c>
      <c r="AL188" s="590" t="s">
        <v>3229</v>
      </c>
      <c r="AM188" s="590">
        <v>1</v>
      </c>
      <c r="AN188" s="570" t="s">
        <v>3229</v>
      </c>
      <c r="AO188" s="625">
        <v>10.01</v>
      </c>
      <c r="AP188" s="678">
        <v>-0.27147785220740717</v>
      </c>
      <c r="AQ188" s="606">
        <v>-0.27147785220740717</v>
      </c>
      <c r="AR188" s="632">
        <f>O188</f>
        <v>0.4</v>
      </c>
      <c r="AS188" s="558">
        <f>POWER(1+AR188,1/((I188-F188)/365))-1</f>
        <v>9.9237343303692604E-2</v>
      </c>
      <c r="AT188" s="648">
        <f>J188*(1+AR188)/AO188-1</f>
        <v>0.39860139860139854</v>
      </c>
      <c r="AU188" s="559" t="e">
        <f>POWER(1+AT188,1/AG188)-1</f>
        <v>#DIV/0!</v>
      </c>
      <c r="AV188" s="632">
        <f t="shared" ref="AV188:AV212" si="31">M188</f>
        <v>0</v>
      </c>
      <c r="AW188" s="558">
        <f t="shared" si="30"/>
        <v>0</v>
      </c>
      <c r="AX188" s="589">
        <f>J188*(1+AV188)/AO188-1</f>
        <v>-9.9900099900096517E-4</v>
      </c>
      <c r="AY188" s="587" t="e">
        <f>POWER(1+AX188,1/AG188)-1</f>
        <v>#DIV/0!</v>
      </c>
      <c r="AZ188" s="642">
        <f t="shared" ref="AZ188:AZ193" si="32">J188*(1+AV188)</f>
        <v>10</v>
      </c>
      <c r="BA188" s="644" t="s">
        <v>3609</v>
      </c>
      <c r="BB188" s="570"/>
      <c r="BC188" s="637"/>
      <c r="BD188" s="3691"/>
      <c r="BE188" s="3743"/>
      <c r="BF188" s="3743"/>
      <c r="BG188" s="3708"/>
      <c r="BH188" s="3762"/>
      <c r="BI188" s="3762"/>
      <c r="BJ188" s="39"/>
      <c r="BK188" s="39"/>
      <c r="BL188" s="39"/>
      <c r="BM188" s="39"/>
      <c r="BN188" s="39"/>
      <c r="BO188" s="39"/>
      <c r="BP188" s="39"/>
      <c r="BQ188" s="39"/>
      <c r="BR188" s="39"/>
      <c r="BS188" s="507"/>
      <c r="BT188" s="507"/>
      <c r="BU188" s="507"/>
      <c r="BV188" s="507"/>
      <c r="BW188" s="507"/>
      <c r="BX188" s="507"/>
      <c r="BY188" s="507"/>
      <c r="BZ188" s="507"/>
      <c r="CA188" s="507"/>
      <c r="CB188" s="507"/>
      <c r="CC188" s="507"/>
      <c r="CD188" s="507"/>
      <c r="CE188" s="507"/>
      <c r="CF188" s="507"/>
      <c r="CG188" s="507"/>
      <c r="CH188" s="507"/>
      <c r="CI188" s="507"/>
      <c r="CJ188" s="507"/>
      <c r="CK188" s="507"/>
      <c r="CL188" s="507"/>
      <c r="CM188" s="507"/>
      <c r="CN188" s="507"/>
      <c r="CO188" s="507"/>
      <c r="CP188" s="507"/>
      <c r="CQ188" s="507"/>
      <c r="CR188" s="507"/>
      <c r="CS188" s="507"/>
      <c r="CT188" s="507"/>
      <c r="CU188" s="507"/>
      <c r="CV188" s="507"/>
      <c r="CW188" s="507"/>
      <c r="CX188" s="507"/>
      <c r="CY188" s="507"/>
      <c r="CZ188" s="507"/>
      <c r="DA188" s="507"/>
      <c r="DB188" s="507"/>
      <c r="DC188" s="507"/>
      <c r="DD188" s="507"/>
      <c r="DE188" s="507"/>
      <c r="DF188" s="507"/>
      <c r="DG188" s="507"/>
      <c r="DH188" s="507"/>
      <c r="DI188" s="507"/>
      <c r="DJ188" s="507"/>
      <c r="DK188" s="507"/>
      <c r="DL188" s="507"/>
      <c r="DM188" s="507"/>
      <c r="DN188" s="507"/>
      <c r="DO188" s="507"/>
      <c r="DP188" s="507"/>
      <c r="DQ188" s="507"/>
      <c r="DR188" s="507"/>
      <c r="DS188" s="507"/>
      <c r="DT188" s="507"/>
      <c r="DU188" s="507"/>
      <c r="DV188" s="507"/>
      <c r="DW188" s="507"/>
      <c r="DX188" s="507"/>
      <c r="DY188" s="507"/>
      <c r="DZ188" s="507"/>
      <c r="EA188" s="507"/>
      <c r="EB188" s="507"/>
      <c r="EC188" s="507"/>
      <c r="ED188" s="507"/>
      <c r="EE188" s="507"/>
      <c r="EF188" s="507"/>
      <c r="EG188" s="507"/>
      <c r="EH188" s="507"/>
      <c r="EI188" s="507"/>
      <c r="EJ188" s="507"/>
      <c r="EK188" s="507"/>
      <c r="EL188" s="507"/>
      <c r="EM188" s="507"/>
      <c r="EN188" s="507"/>
      <c r="EO188" s="507"/>
      <c r="EP188" s="507"/>
      <c r="EQ188" s="507"/>
      <c r="ER188" s="507"/>
      <c r="ES188" s="507"/>
      <c r="ET188" s="507"/>
      <c r="EU188" s="507"/>
      <c r="EV188" s="507"/>
      <c r="EW188" s="507"/>
      <c r="EX188" s="507"/>
      <c r="EY188" s="507"/>
      <c r="EZ188" s="507"/>
      <c r="FA188" s="507"/>
      <c r="FB188" s="507"/>
      <c r="FC188" s="507"/>
      <c r="FD188" s="507"/>
      <c r="FE188" s="507"/>
      <c r="FF188" s="507"/>
      <c r="FG188" s="507"/>
      <c r="FH188" s="507"/>
      <c r="FI188" s="507"/>
      <c r="FJ188" s="507"/>
      <c r="FK188" s="507"/>
      <c r="FL188" s="507"/>
      <c r="FM188" s="507"/>
      <c r="FN188" s="507"/>
      <c r="FO188" s="507"/>
      <c r="FP188" s="507"/>
      <c r="FQ188" s="507"/>
      <c r="FR188" s="507"/>
      <c r="FS188" s="507"/>
      <c r="FT188" s="507"/>
      <c r="FU188" s="507"/>
      <c r="FV188" s="507"/>
      <c r="FW188" s="507"/>
      <c r="FX188" s="507"/>
      <c r="FY188" s="507"/>
      <c r="FZ188" s="507"/>
      <c r="GA188" s="507"/>
      <c r="GB188" s="507"/>
      <c r="GC188" s="507"/>
      <c r="GD188" s="507"/>
      <c r="GE188" s="507"/>
      <c r="GF188" s="507"/>
      <c r="GG188" s="507"/>
      <c r="GH188" s="507"/>
      <c r="GI188" s="507"/>
      <c r="GJ188" s="507"/>
      <c r="GK188" s="507"/>
      <c r="GL188" s="507"/>
      <c r="GM188" s="507"/>
      <c r="GN188" s="507"/>
      <c r="GO188" s="507"/>
      <c r="GP188" s="507"/>
      <c r="GQ188" s="507"/>
      <c r="GR188" s="507"/>
      <c r="GS188" s="507"/>
      <c r="GT188" s="507"/>
      <c r="GU188" s="507"/>
      <c r="GV188" s="507"/>
      <c r="GW188" s="507"/>
      <c r="GX188" s="507"/>
      <c r="GY188" s="507"/>
      <c r="GZ188" s="507"/>
      <c r="HA188" s="507"/>
      <c r="HB188" s="507"/>
      <c r="HC188" s="507"/>
      <c r="HD188" s="507"/>
      <c r="HE188" s="507"/>
      <c r="HF188" s="507"/>
      <c r="HG188" s="507"/>
      <c r="HH188" s="507"/>
      <c r="HI188" s="507"/>
      <c r="HJ188" s="507"/>
      <c r="HK188" s="507"/>
      <c r="HL188" s="507"/>
      <c r="HM188" s="507"/>
      <c r="HN188" s="507"/>
      <c r="HO188" s="507"/>
      <c r="HP188" s="507"/>
      <c r="HQ188" s="507"/>
      <c r="HR188" s="507"/>
      <c r="HS188" s="507"/>
      <c r="HT188" s="507"/>
      <c r="HU188" s="507"/>
      <c r="HV188" s="507"/>
      <c r="HW188" s="507"/>
      <c r="HX188" s="507"/>
      <c r="HY188" s="507"/>
      <c r="HZ188" s="507"/>
    </row>
    <row r="189" spans="1:234" ht="15.9" hidden="1" customHeight="1" x14ac:dyDescent="0.25">
      <c r="A189" s="540" t="s">
        <v>339</v>
      </c>
      <c r="B189" s="523" t="s">
        <v>1015</v>
      </c>
      <c r="C189" s="524" t="s">
        <v>1082</v>
      </c>
      <c r="D189" s="553" t="s">
        <v>2158</v>
      </c>
      <c r="E189" s="524" t="s">
        <v>3228</v>
      </c>
      <c r="F189" s="544">
        <v>39455</v>
      </c>
      <c r="G189" s="586">
        <v>39419</v>
      </c>
      <c r="H189" s="544">
        <v>39447</v>
      </c>
      <c r="I189" s="588">
        <v>41121</v>
      </c>
      <c r="J189" s="595">
        <v>10</v>
      </c>
      <c r="K189" s="561" t="s">
        <v>3229</v>
      </c>
      <c r="L189" s="553" t="s">
        <v>3229</v>
      </c>
      <c r="M189" s="600">
        <v>0</v>
      </c>
      <c r="N189" s="601">
        <v>0.6</v>
      </c>
      <c r="O189" s="596" t="s">
        <v>3229</v>
      </c>
      <c r="P189" s="596" t="s">
        <v>3229</v>
      </c>
      <c r="Q189" s="575" t="s">
        <v>3229</v>
      </c>
      <c r="R189" s="596" t="s">
        <v>3229</v>
      </c>
      <c r="S189" s="597"/>
      <c r="T189" s="563" t="s">
        <v>3229</v>
      </c>
      <c r="U189" s="563" t="s">
        <v>3229</v>
      </c>
      <c r="V189" s="563" t="s">
        <v>3229</v>
      </c>
      <c r="W189" s="563" t="s">
        <v>3229</v>
      </c>
      <c r="X189" s="563" t="s">
        <v>3229</v>
      </c>
      <c r="Y189" s="563" t="s">
        <v>3229</v>
      </c>
      <c r="Z189" s="563" t="s">
        <v>3229</v>
      </c>
      <c r="AA189" s="563" t="s">
        <v>3229</v>
      </c>
      <c r="AB189" s="563" t="s">
        <v>3229</v>
      </c>
      <c r="AC189" s="563" t="s">
        <v>3229</v>
      </c>
      <c r="AD189" s="563" t="s">
        <v>3229</v>
      </c>
      <c r="AE189" s="563" t="s">
        <v>3229</v>
      </c>
      <c r="AF189" s="3764" t="s">
        <v>781</v>
      </c>
      <c r="AG189" s="3765"/>
      <c r="AH189" s="673" t="s">
        <v>3229</v>
      </c>
      <c r="AI189" s="673" t="s">
        <v>3229</v>
      </c>
      <c r="AJ189" s="673" t="s">
        <v>3229</v>
      </c>
      <c r="AK189" s="673" t="s">
        <v>3229</v>
      </c>
      <c r="AL189" s="673" t="s">
        <v>3229</v>
      </c>
      <c r="AM189" s="590">
        <v>1</v>
      </c>
      <c r="AN189" s="638">
        <v>0.12696944444444444</v>
      </c>
      <c r="AO189" s="625">
        <v>11.27</v>
      </c>
      <c r="AP189" s="1368">
        <v>-0.25393888888888888</v>
      </c>
      <c r="AQ189" s="606">
        <v>-0.25390000000000001</v>
      </c>
      <c r="AR189" s="3773"/>
      <c r="AS189" s="3774"/>
      <c r="AT189" s="3774"/>
      <c r="AU189" s="3775"/>
      <c r="AV189" s="632">
        <f t="shared" si="31"/>
        <v>0</v>
      </c>
      <c r="AW189" s="558">
        <f t="shared" si="30"/>
        <v>0</v>
      </c>
      <c r="AX189" s="589"/>
      <c r="AY189" s="587"/>
      <c r="AZ189" s="642">
        <f t="shared" si="32"/>
        <v>10</v>
      </c>
      <c r="BA189" s="644" t="s">
        <v>3847</v>
      </c>
      <c r="BB189" s="570"/>
      <c r="BC189" s="637"/>
      <c r="BH189" s="3763"/>
      <c r="BI189" s="3763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509"/>
      <c r="BT189" s="509"/>
      <c r="BU189" s="509"/>
      <c r="BV189" s="509"/>
      <c r="BW189" s="509"/>
      <c r="BX189" s="509"/>
      <c r="BY189" s="509"/>
      <c r="BZ189" s="509"/>
      <c r="CA189" s="509"/>
      <c r="CB189" s="509"/>
      <c r="CC189" s="509"/>
      <c r="CD189" s="509"/>
      <c r="CE189" s="509"/>
      <c r="CF189" s="509"/>
      <c r="CG189" s="509"/>
      <c r="CH189" s="509"/>
      <c r="CI189" s="509"/>
      <c r="CJ189" s="509"/>
      <c r="CK189" s="509"/>
      <c r="CL189" s="509"/>
      <c r="CM189" s="509"/>
      <c r="CN189" s="509"/>
      <c r="CO189" s="509"/>
      <c r="CP189" s="509"/>
      <c r="CQ189" s="509"/>
      <c r="CR189" s="509"/>
      <c r="CS189" s="509"/>
      <c r="CT189" s="509"/>
      <c r="CU189" s="509"/>
      <c r="CV189" s="509"/>
      <c r="CW189" s="509"/>
      <c r="CX189" s="509"/>
      <c r="CY189" s="509"/>
      <c r="CZ189" s="509"/>
      <c r="DA189" s="509"/>
      <c r="DB189" s="509"/>
      <c r="DC189" s="509"/>
      <c r="DD189" s="509"/>
      <c r="DE189" s="509"/>
      <c r="DF189" s="509"/>
      <c r="DG189" s="509"/>
      <c r="DH189" s="509"/>
      <c r="DI189" s="509"/>
      <c r="DJ189" s="509"/>
      <c r="DK189" s="509"/>
      <c r="DL189" s="509"/>
      <c r="DM189" s="509"/>
      <c r="DN189" s="509"/>
      <c r="DO189" s="509"/>
      <c r="DP189" s="509"/>
      <c r="DQ189" s="509"/>
      <c r="DR189" s="509"/>
      <c r="DS189" s="509"/>
      <c r="DT189" s="509"/>
      <c r="DU189" s="509"/>
      <c r="DV189" s="509"/>
      <c r="DW189" s="509"/>
      <c r="DX189" s="509"/>
      <c r="DY189" s="509"/>
      <c r="DZ189" s="509"/>
      <c r="EA189" s="509"/>
      <c r="EB189" s="509"/>
      <c r="EC189" s="509"/>
      <c r="ED189" s="509"/>
      <c r="EE189" s="509"/>
      <c r="EF189" s="509"/>
      <c r="EG189" s="509"/>
      <c r="EH189" s="509"/>
      <c r="EI189" s="509"/>
      <c r="EJ189" s="509"/>
      <c r="EK189" s="509"/>
      <c r="EL189" s="509"/>
      <c r="EM189" s="509"/>
      <c r="EN189" s="509"/>
      <c r="EO189" s="509"/>
      <c r="EP189" s="509"/>
      <c r="EQ189" s="509"/>
      <c r="ER189" s="509"/>
      <c r="ES189" s="509"/>
      <c r="ET189" s="509"/>
      <c r="EU189" s="509"/>
      <c r="EV189" s="509"/>
      <c r="EW189" s="509"/>
      <c r="EX189" s="509"/>
      <c r="EY189" s="509"/>
      <c r="EZ189" s="509"/>
      <c r="FA189" s="509"/>
      <c r="FB189" s="509"/>
      <c r="FC189" s="509"/>
      <c r="FD189" s="509"/>
      <c r="FE189" s="509"/>
      <c r="FF189" s="509"/>
      <c r="FG189" s="509"/>
      <c r="FH189" s="509"/>
      <c r="FI189" s="509"/>
      <c r="FJ189" s="509"/>
      <c r="FK189" s="509"/>
      <c r="FL189" s="509"/>
      <c r="FM189" s="509"/>
      <c r="FN189" s="509"/>
      <c r="FO189" s="509"/>
      <c r="FP189" s="509"/>
      <c r="FQ189" s="509"/>
      <c r="FR189" s="509"/>
      <c r="FS189" s="509"/>
      <c r="FT189" s="509"/>
      <c r="FU189" s="509"/>
      <c r="FV189" s="509"/>
      <c r="FW189" s="509"/>
      <c r="FX189" s="509"/>
      <c r="FY189" s="509"/>
      <c r="FZ189" s="509"/>
      <c r="GA189" s="509"/>
      <c r="GB189" s="509"/>
      <c r="GC189" s="509"/>
      <c r="GD189" s="509"/>
      <c r="GE189" s="509"/>
      <c r="GF189" s="509"/>
      <c r="GG189" s="509"/>
      <c r="GH189" s="509"/>
      <c r="GI189" s="509"/>
      <c r="GJ189" s="509"/>
      <c r="GK189" s="509"/>
      <c r="GL189" s="509"/>
      <c r="GM189" s="509"/>
      <c r="GN189" s="509"/>
      <c r="GO189" s="509"/>
      <c r="GP189" s="509"/>
      <c r="GQ189" s="509"/>
      <c r="GR189" s="509"/>
      <c r="GS189" s="509"/>
      <c r="GT189" s="509"/>
      <c r="GU189" s="509"/>
      <c r="GV189" s="509"/>
      <c r="GW189" s="509"/>
      <c r="GX189" s="509"/>
      <c r="GY189" s="509"/>
      <c r="GZ189" s="509"/>
      <c r="HA189" s="509"/>
      <c r="HB189" s="509"/>
      <c r="HC189" s="509"/>
      <c r="HD189" s="509"/>
      <c r="HE189" s="509"/>
      <c r="HF189" s="509"/>
      <c r="HG189" s="509"/>
      <c r="HH189" s="509"/>
      <c r="HI189" s="509"/>
      <c r="HJ189" s="509"/>
      <c r="HK189" s="509"/>
      <c r="HL189" s="509"/>
      <c r="HM189" s="509"/>
      <c r="HN189" s="509"/>
      <c r="HO189" s="509"/>
      <c r="HP189" s="509"/>
      <c r="HQ189" s="509"/>
      <c r="HR189" s="509"/>
      <c r="HS189" s="509"/>
      <c r="HT189" s="509"/>
      <c r="HU189" s="509"/>
      <c r="HV189" s="509"/>
      <c r="HW189" s="509"/>
      <c r="HX189" s="509"/>
      <c r="HY189" s="509"/>
      <c r="HZ189" s="509"/>
    </row>
    <row r="190" spans="1:234" ht="15.9" hidden="1" customHeight="1" x14ac:dyDescent="0.25">
      <c r="A190" s="540" t="s">
        <v>1481</v>
      </c>
      <c r="B190" s="523" t="s">
        <v>1083</v>
      </c>
      <c r="C190" s="524" t="s">
        <v>1084</v>
      </c>
      <c r="D190" s="553" t="s">
        <v>2158</v>
      </c>
      <c r="E190" s="524" t="s">
        <v>3228</v>
      </c>
      <c r="F190" s="544">
        <v>39455</v>
      </c>
      <c r="G190" s="586">
        <v>39419</v>
      </c>
      <c r="H190" s="544">
        <v>39447</v>
      </c>
      <c r="I190" s="588">
        <v>41486</v>
      </c>
      <c r="J190" s="595">
        <v>10</v>
      </c>
      <c r="K190" s="561" t="s">
        <v>3229</v>
      </c>
      <c r="L190" s="553" t="s">
        <v>3229</v>
      </c>
      <c r="M190" s="600">
        <v>0</v>
      </c>
      <c r="N190" s="601">
        <v>1.2</v>
      </c>
      <c r="O190" s="596" t="s">
        <v>3229</v>
      </c>
      <c r="P190" s="596" t="s">
        <v>3229</v>
      </c>
      <c r="Q190" s="575" t="s">
        <v>3229</v>
      </c>
      <c r="R190" s="596" t="s">
        <v>3229</v>
      </c>
      <c r="S190" s="597"/>
      <c r="T190" s="563" t="s">
        <v>3229</v>
      </c>
      <c r="U190" s="563" t="s">
        <v>3229</v>
      </c>
      <c r="V190" s="563" t="s">
        <v>3229</v>
      </c>
      <c r="W190" s="563" t="s">
        <v>3229</v>
      </c>
      <c r="X190" s="563" t="s">
        <v>3229</v>
      </c>
      <c r="Y190" s="563" t="s">
        <v>3229</v>
      </c>
      <c r="Z190" s="563" t="s">
        <v>3229</v>
      </c>
      <c r="AA190" s="563" t="s">
        <v>3229</v>
      </c>
      <c r="AB190" s="563" t="s">
        <v>3229</v>
      </c>
      <c r="AC190" s="563" t="s">
        <v>3229</v>
      </c>
      <c r="AD190" s="563" t="s">
        <v>3229</v>
      </c>
      <c r="AE190" s="563" t="s">
        <v>3229</v>
      </c>
      <c r="AF190" s="3764" t="s">
        <v>781</v>
      </c>
      <c r="AG190" s="3765"/>
      <c r="AH190" s="673" t="s">
        <v>3229</v>
      </c>
      <c r="AI190" s="673" t="s">
        <v>3229</v>
      </c>
      <c r="AJ190" s="673" t="s">
        <v>3229</v>
      </c>
      <c r="AK190" s="673" t="s">
        <v>3229</v>
      </c>
      <c r="AL190" s="673" t="s">
        <v>3229</v>
      </c>
      <c r="AM190" s="590">
        <v>1</v>
      </c>
      <c r="AN190" s="638">
        <v>0</v>
      </c>
      <c r="AO190" s="625">
        <v>10.02</v>
      </c>
      <c r="AP190" s="1368">
        <v>-0.18493740909090903</v>
      </c>
      <c r="AQ190" s="606">
        <v>-8.3976734783638624E-2</v>
      </c>
      <c r="AR190" s="3773" t="s">
        <v>3660</v>
      </c>
      <c r="AS190" s="3774"/>
      <c r="AT190" s="3774"/>
      <c r="AU190" s="3775"/>
      <c r="AV190" s="632">
        <f t="shared" si="31"/>
        <v>0</v>
      </c>
      <c r="AW190" s="558">
        <f t="shared" si="30"/>
        <v>0</v>
      </c>
      <c r="AX190" s="589">
        <f>J190*(1+AV190)/AO190-1</f>
        <v>-1.9960079840318778E-3</v>
      </c>
      <c r="AY190" s="587"/>
      <c r="AZ190" s="642">
        <f t="shared" si="32"/>
        <v>10</v>
      </c>
      <c r="BA190" s="644" t="s">
        <v>574</v>
      </c>
      <c r="BB190" s="570"/>
      <c r="BC190" s="637"/>
      <c r="BH190" s="3763"/>
      <c r="BI190" s="3763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509"/>
      <c r="BT190" s="509"/>
      <c r="BU190" s="509"/>
      <c r="BV190" s="509"/>
      <c r="BW190" s="509"/>
      <c r="BX190" s="509"/>
      <c r="BY190" s="509"/>
      <c r="BZ190" s="509"/>
      <c r="CA190" s="509"/>
      <c r="CB190" s="509"/>
      <c r="CC190" s="509"/>
      <c r="CD190" s="509"/>
      <c r="CE190" s="509"/>
      <c r="CF190" s="509"/>
      <c r="CG190" s="509"/>
      <c r="CH190" s="509"/>
      <c r="CI190" s="509"/>
      <c r="CJ190" s="509"/>
      <c r="CK190" s="509"/>
      <c r="CL190" s="509"/>
      <c r="CM190" s="509"/>
      <c r="CN190" s="509"/>
      <c r="CO190" s="509"/>
      <c r="CP190" s="509"/>
      <c r="CQ190" s="509"/>
      <c r="CR190" s="509"/>
      <c r="CS190" s="509"/>
      <c r="CT190" s="509"/>
      <c r="CU190" s="509"/>
      <c r="CV190" s="509"/>
      <c r="CW190" s="509"/>
      <c r="CX190" s="509"/>
      <c r="CY190" s="509"/>
      <c r="CZ190" s="509"/>
      <c r="DA190" s="509"/>
      <c r="DB190" s="509"/>
      <c r="DC190" s="509"/>
      <c r="DD190" s="509"/>
      <c r="DE190" s="509"/>
      <c r="DF190" s="509"/>
      <c r="DG190" s="509"/>
      <c r="DH190" s="509"/>
      <c r="DI190" s="509"/>
      <c r="DJ190" s="509"/>
      <c r="DK190" s="509"/>
      <c r="DL190" s="509"/>
      <c r="DM190" s="509"/>
      <c r="DN190" s="509"/>
      <c r="DO190" s="509"/>
      <c r="DP190" s="509"/>
      <c r="DQ190" s="509"/>
      <c r="DR190" s="509"/>
      <c r="DS190" s="509"/>
      <c r="DT190" s="509"/>
      <c r="DU190" s="509"/>
      <c r="DV190" s="509"/>
      <c r="DW190" s="509"/>
      <c r="DX190" s="509"/>
      <c r="DY190" s="509"/>
      <c r="DZ190" s="509"/>
      <c r="EA190" s="509"/>
      <c r="EB190" s="509"/>
      <c r="EC190" s="509"/>
      <c r="ED190" s="509"/>
      <c r="EE190" s="509"/>
      <c r="EF190" s="509"/>
      <c r="EG190" s="509"/>
      <c r="EH190" s="509"/>
      <c r="EI190" s="509"/>
      <c r="EJ190" s="509"/>
      <c r="EK190" s="509"/>
      <c r="EL190" s="509"/>
      <c r="EM190" s="509"/>
      <c r="EN190" s="509"/>
      <c r="EO190" s="509"/>
      <c r="EP190" s="509"/>
      <c r="EQ190" s="509"/>
      <c r="ER190" s="509"/>
      <c r="ES190" s="509"/>
      <c r="ET190" s="509"/>
      <c r="EU190" s="509"/>
      <c r="EV190" s="509"/>
      <c r="EW190" s="509"/>
      <c r="EX190" s="509"/>
      <c r="EY190" s="509"/>
      <c r="EZ190" s="509"/>
      <c r="FA190" s="509"/>
      <c r="FB190" s="509"/>
      <c r="FC190" s="509"/>
      <c r="FD190" s="509"/>
      <c r="FE190" s="509"/>
      <c r="FF190" s="509"/>
      <c r="FG190" s="509"/>
      <c r="FH190" s="509"/>
      <c r="FI190" s="509"/>
      <c r="FJ190" s="509"/>
      <c r="FK190" s="509"/>
      <c r="FL190" s="509"/>
      <c r="FM190" s="509"/>
      <c r="FN190" s="509"/>
      <c r="FO190" s="509"/>
      <c r="FP190" s="509"/>
      <c r="FQ190" s="509"/>
      <c r="FR190" s="509"/>
      <c r="FS190" s="509"/>
      <c r="FT190" s="509"/>
      <c r="FU190" s="509"/>
      <c r="FV190" s="509"/>
      <c r="FW190" s="509"/>
      <c r="FX190" s="509"/>
      <c r="FY190" s="509"/>
      <c r="FZ190" s="509"/>
      <c r="GA190" s="509"/>
      <c r="GB190" s="509"/>
      <c r="GC190" s="509"/>
      <c r="GD190" s="509"/>
      <c r="GE190" s="509"/>
      <c r="GF190" s="509"/>
      <c r="GG190" s="509"/>
      <c r="GH190" s="509"/>
      <c r="GI190" s="509"/>
      <c r="GJ190" s="509"/>
      <c r="GK190" s="509"/>
      <c r="GL190" s="509"/>
      <c r="GM190" s="509"/>
      <c r="GN190" s="509"/>
      <c r="GO190" s="509"/>
      <c r="GP190" s="509"/>
      <c r="GQ190" s="509"/>
      <c r="GR190" s="509"/>
      <c r="GS190" s="509"/>
      <c r="GT190" s="509"/>
      <c r="GU190" s="509"/>
      <c r="GV190" s="509"/>
      <c r="GW190" s="509"/>
      <c r="GX190" s="509"/>
      <c r="GY190" s="509"/>
      <c r="GZ190" s="509"/>
      <c r="HA190" s="509"/>
      <c r="HB190" s="509"/>
      <c r="HC190" s="509"/>
      <c r="HD190" s="509"/>
      <c r="HE190" s="509"/>
      <c r="HF190" s="509"/>
      <c r="HG190" s="509"/>
      <c r="HH190" s="509"/>
      <c r="HI190" s="509"/>
      <c r="HJ190" s="509"/>
      <c r="HK190" s="509"/>
      <c r="HL190" s="509"/>
      <c r="HM190" s="509"/>
      <c r="HN190" s="509"/>
      <c r="HO190" s="509"/>
      <c r="HP190" s="509"/>
      <c r="HQ190" s="509"/>
      <c r="HR190" s="509"/>
      <c r="HS190" s="509"/>
      <c r="HT190" s="509"/>
      <c r="HU190" s="509"/>
      <c r="HV190" s="509"/>
      <c r="HW190" s="509"/>
      <c r="HX190" s="509"/>
      <c r="HY190" s="509"/>
      <c r="HZ190" s="509"/>
    </row>
    <row r="191" spans="1:234" ht="15.9" hidden="1" customHeight="1" x14ac:dyDescent="0.25">
      <c r="A191" s="540" t="s">
        <v>340</v>
      </c>
      <c r="B191" s="479" t="s">
        <v>916</v>
      </c>
      <c r="C191" s="524" t="s">
        <v>1085</v>
      </c>
      <c r="D191" s="553" t="s">
        <v>4383</v>
      </c>
      <c r="E191" s="524" t="s">
        <v>3228</v>
      </c>
      <c r="F191" s="544">
        <v>39455</v>
      </c>
      <c r="G191" s="586">
        <v>39387</v>
      </c>
      <c r="H191" s="544">
        <v>39447</v>
      </c>
      <c r="I191" s="588">
        <v>40939</v>
      </c>
      <c r="J191" s="595">
        <v>10</v>
      </c>
      <c r="K191" s="561" t="s">
        <v>3229</v>
      </c>
      <c r="L191" s="553" t="s">
        <v>3229</v>
      </c>
      <c r="M191" s="600">
        <v>0</v>
      </c>
      <c r="N191" s="601">
        <v>1.4</v>
      </c>
      <c r="O191" s="596" t="s">
        <v>3229</v>
      </c>
      <c r="P191" s="596" t="s">
        <v>3229</v>
      </c>
      <c r="Q191" s="575" t="s">
        <v>3229</v>
      </c>
      <c r="R191" s="596" t="s">
        <v>3229</v>
      </c>
      <c r="S191" s="597"/>
      <c r="T191" s="563" t="s">
        <v>3229</v>
      </c>
      <c r="U191" s="563" t="s">
        <v>3229</v>
      </c>
      <c r="V191" s="563" t="s">
        <v>3229</v>
      </c>
      <c r="W191" s="563" t="s">
        <v>3229</v>
      </c>
      <c r="X191" s="563" t="s">
        <v>3229</v>
      </c>
      <c r="Y191" s="563" t="s">
        <v>3229</v>
      </c>
      <c r="Z191" s="563" t="s">
        <v>3229</v>
      </c>
      <c r="AA191" s="563" t="s">
        <v>3229</v>
      </c>
      <c r="AB191" s="563" t="s">
        <v>3229</v>
      </c>
      <c r="AC191" s="563" t="s">
        <v>3229</v>
      </c>
      <c r="AD191" s="563" t="s">
        <v>3229</v>
      </c>
      <c r="AE191" s="563" t="s">
        <v>3229</v>
      </c>
      <c r="AF191" s="3764" t="s">
        <v>781</v>
      </c>
      <c r="AG191" s="3765"/>
      <c r="AH191" s="673" t="s">
        <v>3229</v>
      </c>
      <c r="AI191" s="673" t="s">
        <v>3229</v>
      </c>
      <c r="AJ191" s="673" t="s">
        <v>3229</v>
      </c>
      <c r="AK191" s="673" t="s">
        <v>3229</v>
      </c>
      <c r="AL191" s="673" t="s">
        <v>3229</v>
      </c>
      <c r="AM191" s="590">
        <v>1</v>
      </c>
      <c r="AN191" s="638">
        <v>0</v>
      </c>
      <c r="AO191" s="625">
        <v>9.77</v>
      </c>
      <c r="AP191" s="1368">
        <v>-0.27811606250000004</v>
      </c>
      <c r="AQ191" s="606"/>
      <c r="AR191" s="3773" t="s">
        <v>3660</v>
      </c>
      <c r="AS191" s="3774"/>
      <c r="AT191" s="3774"/>
      <c r="AU191" s="3775"/>
      <c r="AV191" s="632">
        <f t="shared" si="31"/>
        <v>0</v>
      </c>
      <c r="AW191" s="558">
        <f t="shared" si="30"/>
        <v>0</v>
      </c>
      <c r="AX191" s="589"/>
      <c r="AY191" s="587"/>
      <c r="AZ191" s="642">
        <f t="shared" si="32"/>
        <v>10</v>
      </c>
      <c r="BA191" s="644" t="s">
        <v>574</v>
      </c>
      <c r="BB191" s="570"/>
      <c r="BC191" s="637"/>
      <c r="BH191" s="3763"/>
      <c r="BI191" s="3763"/>
      <c r="BJ191" s="1639"/>
      <c r="BK191" s="1639"/>
      <c r="BL191" s="1639"/>
      <c r="BM191" s="1639"/>
      <c r="BN191" s="1639"/>
      <c r="BO191" s="1639"/>
      <c r="BP191" s="1639"/>
      <c r="BQ191" s="1639"/>
      <c r="BR191" s="1639"/>
      <c r="BS191" s="509"/>
      <c r="BT191" s="509"/>
      <c r="BU191" s="509"/>
      <c r="BV191" s="509"/>
      <c r="BW191" s="509"/>
      <c r="BX191" s="509"/>
      <c r="BY191" s="509"/>
      <c r="BZ191" s="509"/>
      <c r="CA191" s="509"/>
      <c r="CB191" s="509"/>
      <c r="CC191" s="509"/>
      <c r="CD191" s="509"/>
      <c r="CE191" s="509"/>
      <c r="CF191" s="509"/>
      <c r="CG191" s="509"/>
      <c r="CH191" s="509"/>
      <c r="CI191" s="509"/>
      <c r="CJ191" s="509"/>
      <c r="CK191" s="509"/>
      <c r="CL191" s="509"/>
      <c r="CM191" s="509"/>
      <c r="CN191" s="509"/>
      <c r="CO191" s="509"/>
      <c r="CP191" s="509"/>
      <c r="CQ191" s="509"/>
      <c r="CR191" s="509"/>
      <c r="CS191" s="509"/>
      <c r="CT191" s="509"/>
      <c r="CU191" s="509"/>
      <c r="CV191" s="509"/>
      <c r="CW191" s="509"/>
      <c r="CX191" s="509"/>
      <c r="CY191" s="509"/>
      <c r="CZ191" s="509"/>
      <c r="DA191" s="509"/>
      <c r="DB191" s="509"/>
      <c r="DC191" s="509"/>
      <c r="DD191" s="509"/>
      <c r="DE191" s="509"/>
      <c r="DF191" s="509"/>
      <c r="DG191" s="509"/>
      <c r="DH191" s="509"/>
      <c r="DI191" s="509"/>
      <c r="DJ191" s="509"/>
      <c r="DK191" s="509"/>
      <c r="DL191" s="509"/>
      <c r="DM191" s="509"/>
      <c r="DN191" s="509"/>
      <c r="DO191" s="509"/>
      <c r="DP191" s="509"/>
      <c r="DQ191" s="509"/>
      <c r="DR191" s="509"/>
      <c r="DS191" s="509"/>
      <c r="DT191" s="509"/>
      <c r="DU191" s="509"/>
      <c r="DV191" s="509"/>
      <c r="DW191" s="509"/>
      <c r="DX191" s="509"/>
      <c r="DY191" s="509"/>
      <c r="DZ191" s="509"/>
      <c r="EA191" s="509"/>
      <c r="EB191" s="509"/>
      <c r="EC191" s="509"/>
      <c r="ED191" s="509"/>
      <c r="EE191" s="509"/>
      <c r="EF191" s="509"/>
      <c r="EG191" s="509"/>
      <c r="EH191" s="509"/>
      <c r="EI191" s="509"/>
      <c r="EJ191" s="509"/>
      <c r="EK191" s="509"/>
      <c r="EL191" s="509"/>
      <c r="EM191" s="509"/>
      <c r="EN191" s="509"/>
      <c r="EO191" s="509"/>
      <c r="EP191" s="509"/>
      <c r="EQ191" s="509"/>
      <c r="ER191" s="509"/>
      <c r="ES191" s="509"/>
      <c r="ET191" s="509"/>
      <c r="EU191" s="509"/>
      <c r="EV191" s="509"/>
      <c r="EW191" s="509"/>
      <c r="EX191" s="509"/>
      <c r="EY191" s="509"/>
      <c r="EZ191" s="509"/>
      <c r="FA191" s="509"/>
      <c r="FB191" s="509"/>
      <c r="FC191" s="509"/>
      <c r="FD191" s="509"/>
      <c r="FE191" s="509"/>
      <c r="FF191" s="509"/>
      <c r="FG191" s="509"/>
      <c r="FH191" s="509"/>
      <c r="FI191" s="509"/>
      <c r="FJ191" s="509"/>
      <c r="FK191" s="509"/>
      <c r="FL191" s="509"/>
      <c r="FM191" s="509"/>
      <c r="FN191" s="509"/>
      <c r="FO191" s="509"/>
      <c r="FP191" s="509"/>
      <c r="FQ191" s="509"/>
      <c r="FR191" s="509"/>
      <c r="FS191" s="509"/>
      <c r="FT191" s="509"/>
      <c r="FU191" s="509"/>
      <c r="FV191" s="509"/>
      <c r="FW191" s="509"/>
      <c r="FX191" s="509"/>
      <c r="FY191" s="509"/>
      <c r="FZ191" s="509"/>
      <c r="GA191" s="509"/>
      <c r="GB191" s="509"/>
      <c r="GC191" s="509"/>
      <c r="GD191" s="509"/>
      <c r="GE191" s="509"/>
      <c r="GF191" s="509"/>
      <c r="GG191" s="509"/>
      <c r="GH191" s="509"/>
      <c r="GI191" s="509"/>
      <c r="GJ191" s="509"/>
      <c r="GK191" s="509"/>
      <c r="GL191" s="509"/>
      <c r="GM191" s="509"/>
      <c r="GN191" s="509"/>
      <c r="GO191" s="509"/>
      <c r="GP191" s="509"/>
      <c r="GQ191" s="509"/>
      <c r="GR191" s="509"/>
      <c r="GS191" s="509"/>
      <c r="GT191" s="509"/>
      <c r="GU191" s="509"/>
      <c r="GV191" s="509"/>
      <c r="GW191" s="509"/>
      <c r="GX191" s="509"/>
      <c r="GY191" s="509"/>
      <c r="GZ191" s="509"/>
      <c r="HA191" s="509"/>
      <c r="HB191" s="509"/>
      <c r="HC191" s="509"/>
      <c r="HD191" s="509"/>
      <c r="HE191" s="509"/>
      <c r="HF191" s="509"/>
      <c r="HG191" s="509"/>
      <c r="HH191" s="509"/>
      <c r="HI191" s="509"/>
      <c r="HJ191" s="509"/>
      <c r="HK191" s="509"/>
      <c r="HL191" s="509"/>
      <c r="HM191" s="509"/>
      <c r="HN191" s="509"/>
      <c r="HO191" s="509"/>
      <c r="HP191" s="509"/>
      <c r="HQ191" s="509"/>
      <c r="HR191" s="509"/>
      <c r="HS191" s="509"/>
      <c r="HT191" s="509"/>
      <c r="HU191" s="509"/>
      <c r="HV191" s="509"/>
      <c r="HW191" s="509"/>
      <c r="HX191" s="509"/>
      <c r="HY191" s="509"/>
      <c r="HZ191" s="509"/>
    </row>
    <row r="192" spans="1:234" s="206" customFormat="1" ht="15.9" hidden="1" customHeight="1" x14ac:dyDescent="0.25">
      <c r="A192" s="522" t="s">
        <v>1856</v>
      </c>
      <c r="B192" s="523" t="s">
        <v>1449</v>
      </c>
      <c r="C192" s="526" t="s">
        <v>1450</v>
      </c>
      <c r="D192" s="570" t="s">
        <v>189</v>
      </c>
      <c r="E192" s="569" t="s">
        <v>3228</v>
      </c>
      <c r="F192" s="543">
        <v>39485</v>
      </c>
      <c r="G192" s="544">
        <v>39449</v>
      </c>
      <c r="H192" s="562">
        <v>39478</v>
      </c>
      <c r="I192" s="546">
        <v>41516</v>
      </c>
      <c r="J192" s="547">
        <v>10</v>
      </c>
      <c r="K192" s="558" t="s">
        <v>3229</v>
      </c>
      <c r="L192" s="559" t="s">
        <v>3229</v>
      </c>
      <c r="M192" s="550">
        <v>0</v>
      </c>
      <c r="N192" s="560">
        <v>1.5</v>
      </c>
      <c r="O192" s="552" t="s">
        <v>3229</v>
      </c>
      <c r="P192" s="552" t="s">
        <v>3229</v>
      </c>
      <c r="Q192" s="552" t="s">
        <v>3229</v>
      </c>
      <c r="R192" s="552" t="s">
        <v>3229</v>
      </c>
      <c r="S192" s="567"/>
      <c r="T192" s="555" t="s">
        <v>3229</v>
      </c>
      <c r="U192" s="555" t="s">
        <v>3229</v>
      </c>
      <c r="V192" s="555" t="s">
        <v>3229</v>
      </c>
      <c r="W192" s="555" t="s">
        <v>3229</v>
      </c>
      <c r="X192" s="555" t="s">
        <v>3229</v>
      </c>
      <c r="Y192" s="555" t="s">
        <v>3229</v>
      </c>
      <c r="Z192" s="555" t="s">
        <v>3229</v>
      </c>
      <c r="AA192" s="555" t="s">
        <v>3229</v>
      </c>
      <c r="AB192" s="555" t="s">
        <v>3229</v>
      </c>
      <c r="AC192" s="555" t="s">
        <v>3229</v>
      </c>
      <c r="AD192" s="555" t="s">
        <v>3229</v>
      </c>
      <c r="AE192" s="556" t="s">
        <v>3229</v>
      </c>
      <c r="AF192" s="3764" t="s">
        <v>781</v>
      </c>
      <c r="AG192" s="3765"/>
      <c r="AH192" s="622" t="s">
        <v>3229</v>
      </c>
      <c r="AI192" s="622" t="s">
        <v>3229</v>
      </c>
      <c r="AJ192" s="622" t="s">
        <v>3229</v>
      </c>
      <c r="AK192" s="656" t="s">
        <v>3229</v>
      </c>
      <c r="AL192" s="655" t="s">
        <v>3229</v>
      </c>
      <c r="AM192" s="590">
        <v>1</v>
      </c>
      <c r="AN192" s="576">
        <v>0</v>
      </c>
      <c r="AO192" s="652">
        <v>10</v>
      </c>
      <c r="AP192" s="1368">
        <v>-0.29919445454545457</v>
      </c>
      <c r="AQ192" s="658">
        <v>-0.18908606245616469</v>
      </c>
      <c r="AR192" s="558" t="s">
        <v>3660</v>
      </c>
      <c r="AS192" s="558"/>
      <c r="AT192" s="589"/>
      <c r="AU192" s="559"/>
      <c r="AV192" s="558">
        <f t="shared" si="31"/>
        <v>0</v>
      </c>
      <c r="AW192" s="558">
        <f t="shared" si="30"/>
        <v>0</v>
      </c>
      <c r="AX192" s="558">
        <f>J192*(1+AV192)/AO192-1</f>
        <v>0</v>
      </c>
      <c r="AY192" s="559" t="e">
        <f>POWER(1+AX192,1/AG192)-1</f>
        <v>#DIV/0!</v>
      </c>
      <c r="AZ192" s="642">
        <f t="shared" si="32"/>
        <v>10</v>
      </c>
      <c r="BA192" s="644" t="s">
        <v>574</v>
      </c>
      <c r="BB192" s="570"/>
      <c r="BC192" s="637"/>
      <c r="BD192" s="3708"/>
      <c r="BE192" s="3743"/>
      <c r="BF192" s="3743"/>
      <c r="BG192" s="3708"/>
      <c r="BH192" s="3762"/>
      <c r="BI192" s="3762"/>
      <c r="BJ192" s="39"/>
      <c r="BK192" s="39"/>
      <c r="BL192" s="39"/>
      <c r="BM192" s="39"/>
      <c r="BN192" s="39"/>
      <c r="BO192" s="39"/>
      <c r="BP192" s="39"/>
      <c r="BQ192" s="39"/>
      <c r="BR192" s="39"/>
      <c r="BS192" s="507"/>
      <c r="BT192" s="507"/>
      <c r="BU192" s="507"/>
      <c r="BV192" s="507"/>
      <c r="BW192" s="507"/>
      <c r="BX192" s="507"/>
      <c r="BY192" s="507"/>
      <c r="BZ192" s="507"/>
      <c r="CA192" s="507"/>
      <c r="CB192" s="507"/>
      <c r="CC192" s="507"/>
      <c r="CD192" s="507"/>
      <c r="CE192" s="507"/>
      <c r="CF192" s="507"/>
      <c r="CG192" s="507"/>
      <c r="CH192" s="507"/>
      <c r="CI192" s="507"/>
      <c r="CJ192" s="507"/>
      <c r="CK192" s="507"/>
      <c r="CL192" s="507"/>
      <c r="CM192" s="507"/>
      <c r="CN192" s="507"/>
      <c r="CO192" s="507"/>
      <c r="CP192" s="507"/>
      <c r="CQ192" s="507"/>
      <c r="CR192" s="507"/>
      <c r="CS192" s="507"/>
      <c r="CT192" s="507"/>
      <c r="CU192" s="507"/>
      <c r="CV192" s="507"/>
      <c r="CW192" s="507"/>
      <c r="CX192" s="507"/>
      <c r="CY192" s="507"/>
      <c r="CZ192" s="507"/>
      <c r="DA192" s="507"/>
      <c r="DB192" s="507"/>
      <c r="DC192" s="507"/>
      <c r="DD192" s="507"/>
      <c r="DE192" s="507"/>
      <c r="DF192" s="507"/>
      <c r="DG192" s="507"/>
      <c r="DH192" s="507"/>
      <c r="DI192" s="507"/>
      <c r="DJ192" s="507"/>
      <c r="DK192" s="507"/>
      <c r="DL192" s="507"/>
      <c r="DM192" s="507"/>
      <c r="DN192" s="507"/>
      <c r="DO192" s="507"/>
      <c r="DP192" s="507"/>
      <c r="DQ192" s="507"/>
      <c r="DR192" s="507"/>
      <c r="DS192" s="507"/>
      <c r="DT192" s="507"/>
      <c r="DU192" s="507"/>
      <c r="DV192" s="507"/>
      <c r="DW192" s="507"/>
      <c r="DX192" s="507"/>
      <c r="DY192" s="507"/>
      <c r="DZ192" s="507"/>
      <c r="EA192" s="507"/>
      <c r="EB192" s="507"/>
      <c r="EC192" s="507"/>
      <c r="ED192" s="507"/>
      <c r="EE192" s="507"/>
      <c r="EF192" s="507"/>
      <c r="EG192" s="507"/>
      <c r="EH192" s="507"/>
      <c r="EI192" s="507"/>
      <c r="EJ192" s="507"/>
      <c r="EK192" s="507"/>
      <c r="EL192" s="507"/>
      <c r="EM192" s="507"/>
      <c r="EN192" s="507"/>
      <c r="EO192" s="507"/>
      <c r="EP192" s="507"/>
      <c r="EQ192" s="507"/>
      <c r="ER192" s="507"/>
      <c r="ES192" s="507"/>
      <c r="ET192" s="507"/>
      <c r="EU192" s="507"/>
      <c r="EV192" s="507"/>
      <c r="EW192" s="507"/>
      <c r="EX192" s="507"/>
      <c r="EY192" s="507"/>
      <c r="EZ192" s="507"/>
      <c r="FA192" s="507"/>
      <c r="FB192" s="507"/>
      <c r="FC192" s="507"/>
      <c r="FD192" s="507"/>
      <c r="FE192" s="507"/>
      <c r="FF192" s="507"/>
      <c r="FG192" s="507"/>
      <c r="FH192" s="507"/>
      <c r="FI192" s="507"/>
      <c r="FJ192" s="507"/>
      <c r="FK192" s="507"/>
      <c r="FL192" s="507"/>
      <c r="FM192" s="507"/>
      <c r="FN192" s="507"/>
      <c r="FO192" s="507"/>
      <c r="FP192" s="507"/>
      <c r="FQ192" s="507"/>
      <c r="FR192" s="507"/>
      <c r="FS192" s="507"/>
      <c r="FT192" s="507"/>
      <c r="FU192" s="507"/>
      <c r="FV192" s="507"/>
      <c r="FW192" s="507"/>
      <c r="FX192" s="507"/>
      <c r="FY192" s="507"/>
      <c r="FZ192" s="507"/>
      <c r="GA192" s="507"/>
      <c r="GB192" s="507"/>
      <c r="GC192" s="507"/>
      <c r="GD192" s="507"/>
      <c r="GE192" s="507"/>
      <c r="GF192" s="507"/>
      <c r="GG192" s="507"/>
      <c r="GH192" s="507"/>
      <c r="GI192" s="507"/>
      <c r="GJ192" s="507"/>
      <c r="GK192" s="507"/>
      <c r="GL192" s="507"/>
      <c r="GM192" s="507"/>
      <c r="GN192" s="507"/>
      <c r="GO192" s="507"/>
      <c r="GP192" s="507"/>
      <c r="GQ192" s="507"/>
      <c r="GR192" s="507"/>
      <c r="GS192" s="507"/>
      <c r="GT192" s="507"/>
      <c r="GU192" s="507"/>
      <c r="GV192" s="507"/>
      <c r="GW192" s="507"/>
      <c r="GX192" s="507"/>
      <c r="GY192" s="507"/>
      <c r="GZ192" s="507"/>
      <c r="HA192" s="507"/>
      <c r="HB192" s="507"/>
      <c r="HC192" s="507"/>
      <c r="HD192" s="507"/>
      <c r="HE192" s="507"/>
      <c r="HF192" s="507"/>
      <c r="HG192" s="507"/>
      <c r="HH192" s="507"/>
      <c r="HI192" s="507"/>
      <c r="HJ192" s="507"/>
      <c r="HK192" s="507"/>
      <c r="HL192" s="507"/>
      <c r="HM192" s="507"/>
      <c r="HN192" s="507"/>
      <c r="HO192" s="507"/>
      <c r="HP192" s="507"/>
      <c r="HQ192" s="507"/>
      <c r="HR192" s="507"/>
      <c r="HS192" s="507"/>
      <c r="HT192" s="507"/>
      <c r="HU192" s="507"/>
      <c r="HV192" s="507"/>
      <c r="HW192" s="507"/>
      <c r="HX192" s="507"/>
      <c r="HY192" s="507"/>
      <c r="HZ192" s="507"/>
    </row>
    <row r="193" spans="1:234" ht="15.9" hidden="1" customHeight="1" x14ac:dyDescent="0.25">
      <c r="A193" s="540" t="s">
        <v>1452</v>
      </c>
      <c r="B193" s="479" t="s">
        <v>1451</v>
      </c>
      <c r="C193" s="524" t="s">
        <v>1453</v>
      </c>
      <c r="D193" s="553" t="s">
        <v>195</v>
      </c>
      <c r="E193" s="526" t="s">
        <v>3228</v>
      </c>
      <c r="F193" s="586">
        <v>39514</v>
      </c>
      <c r="G193" s="586">
        <v>39449</v>
      </c>
      <c r="H193" s="544">
        <v>39507</v>
      </c>
      <c r="I193" s="594">
        <v>41180</v>
      </c>
      <c r="J193" s="595">
        <v>10</v>
      </c>
      <c r="K193" s="561">
        <v>-0.03</v>
      </c>
      <c r="L193" s="553">
        <v>0.08</v>
      </c>
      <c r="M193" s="600">
        <v>0.05</v>
      </c>
      <c r="N193" s="601" t="s">
        <v>3229</v>
      </c>
      <c r="O193" s="596">
        <v>0.32</v>
      </c>
      <c r="P193" s="596">
        <v>1</v>
      </c>
      <c r="Q193" s="596" t="s">
        <v>3229</v>
      </c>
      <c r="R193" s="596" t="s">
        <v>3229</v>
      </c>
      <c r="S193" s="597">
        <v>4</v>
      </c>
      <c r="T193" s="563">
        <v>39873</v>
      </c>
      <c r="U193" s="563">
        <v>40238</v>
      </c>
      <c r="V193" s="563">
        <v>40603</v>
      </c>
      <c r="W193" s="563">
        <v>41153</v>
      </c>
      <c r="X193" s="563" t="s">
        <v>3229</v>
      </c>
      <c r="Y193" s="563" t="s">
        <v>3229</v>
      </c>
      <c r="Z193" s="563" t="s">
        <v>3229</v>
      </c>
      <c r="AA193" s="563" t="s">
        <v>3229</v>
      </c>
      <c r="AB193" s="563" t="s">
        <v>3229</v>
      </c>
      <c r="AC193" s="563" t="s">
        <v>3229</v>
      </c>
      <c r="AD193" s="563" t="s">
        <v>3229</v>
      </c>
      <c r="AE193" s="563" t="s">
        <v>3229</v>
      </c>
      <c r="AF193" s="3764" t="s">
        <v>781</v>
      </c>
      <c r="AG193" s="3765"/>
      <c r="AH193" s="673" t="s">
        <v>3229</v>
      </c>
      <c r="AI193" s="673" t="s">
        <v>3229</v>
      </c>
      <c r="AJ193" s="673" t="s">
        <v>3229</v>
      </c>
      <c r="AK193" s="673" t="s">
        <v>3229</v>
      </c>
      <c r="AL193" s="673" t="s">
        <v>3229</v>
      </c>
      <c r="AM193" s="590">
        <v>1</v>
      </c>
      <c r="AN193" s="638">
        <v>0.1</v>
      </c>
      <c r="AO193" s="625">
        <v>11.01</v>
      </c>
      <c r="AP193" s="1368">
        <v>0.35755431068896737</v>
      </c>
      <c r="AQ193" s="658">
        <v>0.35755431068896737</v>
      </c>
      <c r="AR193" s="558" t="e">
        <f>MAX(0,AF193*L193+SUM('klikací hodnoty'!F5834:F5857))</f>
        <v>#VALUE!</v>
      </c>
      <c r="AS193" s="558" t="e">
        <f>POWER(1+AR193,1/((I193-F193)/365))-1</f>
        <v>#VALUE!</v>
      </c>
      <c r="AT193" s="648" t="e">
        <f>J193*(1+AR193)/AO193-1</f>
        <v>#VALUE!</v>
      </c>
      <c r="AU193" s="559" t="e">
        <f>POWER(1+AT193,1/AG193)-1</f>
        <v>#VALUE!</v>
      </c>
      <c r="AV193" s="558" t="e">
        <f>MAX(M193,AN193+AF193*K193)</f>
        <v>#VALUE!</v>
      </c>
      <c r="AW193" s="558" t="e">
        <f t="shared" si="30"/>
        <v>#VALUE!</v>
      </c>
      <c r="AX193" s="589" t="e">
        <f>J193*(1+AV193)/AO193-1</f>
        <v>#VALUE!</v>
      </c>
      <c r="AY193" s="587" t="e">
        <f>POWER(1+AX193,1/AG193)-1</f>
        <v>#VALUE!</v>
      </c>
      <c r="AZ193" s="676" t="e">
        <f t="shared" si="32"/>
        <v>#VALUE!</v>
      </c>
      <c r="BA193" s="644" t="s">
        <v>1454</v>
      </c>
      <c r="BB193" s="570" t="s">
        <v>2025</v>
      </c>
      <c r="BC193" s="637" t="s">
        <v>2895</v>
      </c>
      <c r="BH193" s="3763"/>
      <c r="BI193" s="3763"/>
      <c r="BJ193" s="1639"/>
      <c r="BK193" s="1639"/>
      <c r="BL193" s="1639"/>
      <c r="BM193" s="1639"/>
      <c r="BN193" s="1639"/>
      <c r="BO193" s="1639"/>
      <c r="BP193" s="1639"/>
      <c r="BQ193" s="1639"/>
      <c r="BR193" s="1639"/>
      <c r="BS193" s="509"/>
      <c r="BT193" s="509"/>
      <c r="BU193" s="509"/>
      <c r="BV193" s="509"/>
      <c r="BW193" s="509"/>
      <c r="BX193" s="509"/>
      <c r="BY193" s="509"/>
      <c r="BZ193" s="509"/>
      <c r="CA193" s="509"/>
      <c r="CB193" s="509"/>
      <c r="CC193" s="509"/>
      <c r="CD193" s="509"/>
      <c r="CE193" s="509"/>
      <c r="CF193" s="509"/>
      <c r="CG193" s="509"/>
      <c r="CH193" s="509"/>
      <c r="CI193" s="509"/>
      <c r="CJ193" s="509"/>
      <c r="CK193" s="509"/>
      <c r="CL193" s="509"/>
      <c r="CM193" s="509"/>
      <c r="CN193" s="509"/>
      <c r="CO193" s="509"/>
      <c r="CP193" s="509"/>
      <c r="CQ193" s="509"/>
      <c r="CR193" s="509"/>
      <c r="CS193" s="509"/>
      <c r="CT193" s="509"/>
      <c r="CU193" s="509"/>
      <c r="CV193" s="509"/>
      <c r="CW193" s="509"/>
      <c r="CX193" s="509"/>
      <c r="CY193" s="509"/>
      <c r="CZ193" s="509"/>
      <c r="DA193" s="509"/>
      <c r="DB193" s="509"/>
      <c r="DC193" s="509"/>
      <c r="DD193" s="509"/>
      <c r="DE193" s="509"/>
      <c r="DF193" s="509"/>
      <c r="DG193" s="509"/>
      <c r="DH193" s="509"/>
      <c r="DI193" s="509"/>
      <c r="DJ193" s="509"/>
      <c r="DK193" s="509"/>
      <c r="DL193" s="509"/>
      <c r="DM193" s="509"/>
      <c r="DN193" s="509"/>
      <c r="DO193" s="509"/>
      <c r="DP193" s="509"/>
      <c r="DQ193" s="509"/>
      <c r="DR193" s="509"/>
      <c r="DS193" s="509"/>
      <c r="DT193" s="509"/>
      <c r="DU193" s="509"/>
      <c r="DV193" s="509"/>
      <c r="DW193" s="509"/>
      <c r="DX193" s="509"/>
      <c r="DY193" s="509"/>
      <c r="DZ193" s="509"/>
      <c r="EA193" s="509"/>
      <c r="EB193" s="509"/>
      <c r="EC193" s="509"/>
      <c r="ED193" s="509"/>
      <c r="EE193" s="509"/>
      <c r="EF193" s="509"/>
      <c r="EG193" s="509"/>
      <c r="EH193" s="509"/>
      <c r="EI193" s="509"/>
      <c r="EJ193" s="509"/>
      <c r="EK193" s="509"/>
      <c r="EL193" s="509"/>
      <c r="EM193" s="509"/>
      <c r="EN193" s="509"/>
      <c r="EO193" s="509"/>
      <c r="EP193" s="509"/>
      <c r="EQ193" s="509"/>
      <c r="ER193" s="509"/>
      <c r="ES193" s="509"/>
      <c r="ET193" s="509"/>
      <c r="EU193" s="509"/>
      <c r="EV193" s="509"/>
      <c r="EW193" s="509"/>
      <c r="EX193" s="509"/>
      <c r="EY193" s="509"/>
      <c r="EZ193" s="509"/>
      <c r="FA193" s="509"/>
      <c r="FB193" s="509"/>
      <c r="FC193" s="509"/>
      <c r="FD193" s="509"/>
      <c r="FE193" s="509"/>
      <c r="FF193" s="509"/>
      <c r="FG193" s="509"/>
      <c r="FH193" s="509"/>
      <c r="FI193" s="509"/>
      <c r="FJ193" s="509"/>
      <c r="FK193" s="509"/>
      <c r="FL193" s="509"/>
      <c r="FM193" s="509"/>
      <c r="FN193" s="509"/>
      <c r="FO193" s="509"/>
      <c r="FP193" s="509"/>
      <c r="FQ193" s="509"/>
      <c r="FR193" s="509"/>
      <c r="FS193" s="509"/>
      <c r="FT193" s="509"/>
      <c r="FU193" s="509"/>
      <c r="FV193" s="509"/>
      <c r="FW193" s="509"/>
      <c r="FX193" s="509"/>
      <c r="FY193" s="509"/>
      <c r="FZ193" s="509"/>
      <c r="GA193" s="509"/>
      <c r="GB193" s="509"/>
      <c r="GC193" s="509"/>
      <c r="GD193" s="509"/>
      <c r="GE193" s="509"/>
      <c r="GF193" s="509"/>
      <c r="GG193" s="509"/>
      <c r="GH193" s="509"/>
      <c r="GI193" s="509"/>
      <c r="GJ193" s="509"/>
      <c r="GK193" s="509"/>
      <c r="GL193" s="509"/>
      <c r="GM193" s="509"/>
      <c r="GN193" s="509"/>
      <c r="GO193" s="509"/>
      <c r="GP193" s="509"/>
      <c r="GQ193" s="509"/>
      <c r="GR193" s="509"/>
      <c r="GS193" s="509"/>
      <c r="GT193" s="509"/>
      <c r="GU193" s="509"/>
      <c r="GV193" s="509"/>
      <c r="GW193" s="509"/>
      <c r="GX193" s="509"/>
      <c r="GY193" s="509"/>
      <c r="GZ193" s="509"/>
      <c r="HA193" s="509"/>
      <c r="HB193" s="509"/>
      <c r="HC193" s="509"/>
      <c r="HD193" s="509"/>
      <c r="HE193" s="509"/>
      <c r="HF193" s="509"/>
      <c r="HG193" s="509"/>
      <c r="HH193" s="509"/>
      <c r="HI193" s="509"/>
      <c r="HJ193" s="509"/>
      <c r="HK193" s="509"/>
      <c r="HL193" s="509"/>
      <c r="HM193" s="509"/>
      <c r="HN193" s="509"/>
      <c r="HO193" s="509"/>
      <c r="HP193" s="509"/>
      <c r="HQ193" s="509"/>
      <c r="HR193" s="509"/>
      <c r="HS193" s="509"/>
      <c r="HT193" s="509"/>
      <c r="HU193" s="509"/>
      <c r="HV193" s="509"/>
      <c r="HW193" s="509"/>
      <c r="HX193" s="509"/>
      <c r="HY193" s="509"/>
      <c r="HZ193" s="509"/>
    </row>
    <row r="194" spans="1:234" ht="15.9" hidden="1" customHeight="1" x14ac:dyDescent="0.25">
      <c r="A194" s="540" t="s">
        <v>2958</v>
      </c>
      <c r="B194" s="523" t="s">
        <v>2959</v>
      </c>
      <c r="C194" s="524" t="s">
        <v>2960</v>
      </c>
      <c r="D194" s="553" t="s">
        <v>269</v>
      </c>
      <c r="E194" s="526" t="s">
        <v>3228</v>
      </c>
      <c r="F194" s="586">
        <v>39490</v>
      </c>
      <c r="G194" s="586">
        <v>39449</v>
      </c>
      <c r="H194" s="544">
        <v>39478</v>
      </c>
      <c r="I194" s="594">
        <v>41163</v>
      </c>
      <c r="J194" s="595">
        <v>10</v>
      </c>
      <c r="K194" s="561" t="s">
        <v>3229</v>
      </c>
      <c r="L194" s="553" t="s">
        <v>3229</v>
      </c>
      <c r="M194" s="600">
        <v>0</v>
      </c>
      <c r="N194" s="601">
        <v>1.4</v>
      </c>
      <c r="O194" s="596" t="s">
        <v>3229</v>
      </c>
      <c r="P194" s="596" t="s">
        <v>3229</v>
      </c>
      <c r="Q194" s="596" t="s">
        <v>3229</v>
      </c>
      <c r="R194" s="596" t="s">
        <v>3229</v>
      </c>
      <c r="S194" s="597"/>
      <c r="T194" s="563" t="s">
        <v>3229</v>
      </c>
      <c r="U194" s="563" t="s">
        <v>3229</v>
      </c>
      <c r="V194" s="563" t="s">
        <v>3229</v>
      </c>
      <c r="W194" s="563" t="s">
        <v>3229</v>
      </c>
      <c r="X194" s="563" t="s">
        <v>3229</v>
      </c>
      <c r="Y194" s="563" t="s">
        <v>3229</v>
      </c>
      <c r="Z194" s="563" t="s">
        <v>3229</v>
      </c>
      <c r="AA194" s="563" t="s">
        <v>3229</v>
      </c>
      <c r="AB194" s="563" t="s">
        <v>3229</v>
      </c>
      <c r="AC194" s="563" t="s">
        <v>3229</v>
      </c>
      <c r="AD194" s="563" t="s">
        <v>3229</v>
      </c>
      <c r="AE194" s="563" t="s">
        <v>3229</v>
      </c>
      <c r="AF194" s="3764" t="s">
        <v>781</v>
      </c>
      <c r="AG194" s="3765"/>
      <c r="AH194" s="673" t="s">
        <v>3229</v>
      </c>
      <c r="AI194" s="673" t="s">
        <v>3229</v>
      </c>
      <c r="AJ194" s="673" t="s">
        <v>3229</v>
      </c>
      <c r="AK194" s="673" t="s">
        <v>3229</v>
      </c>
      <c r="AL194" s="673" t="s">
        <v>3229</v>
      </c>
      <c r="AM194" s="590">
        <v>1</v>
      </c>
      <c r="AN194" s="638">
        <v>0</v>
      </c>
      <c r="AO194" s="625">
        <v>10</v>
      </c>
      <c r="AP194" s="1368">
        <v>-0.2397135</v>
      </c>
      <c r="AQ194" s="675">
        <v>-0.1912879845092558</v>
      </c>
      <c r="AR194" s="3774" t="s">
        <v>3660</v>
      </c>
      <c r="AS194" s="3774"/>
      <c r="AT194" s="3774"/>
      <c r="AU194" s="3774"/>
      <c r="AV194" s="632">
        <v>0</v>
      </c>
      <c r="AW194" s="558">
        <v>0</v>
      </c>
      <c r="AX194" s="589"/>
      <c r="AY194" s="648"/>
      <c r="AZ194" s="676">
        <v>10</v>
      </c>
      <c r="BA194" s="644" t="s">
        <v>574</v>
      </c>
      <c r="BB194" s="570"/>
      <c r="BC194" s="637"/>
      <c r="BH194" s="3763"/>
      <c r="BI194" s="3763"/>
      <c r="BJ194" s="1639"/>
      <c r="BK194" s="1639"/>
      <c r="BL194" s="1639"/>
      <c r="BM194" s="1639"/>
      <c r="BN194" s="1639"/>
      <c r="BO194" s="1639"/>
      <c r="BP194" s="1639"/>
      <c r="BQ194" s="1639"/>
      <c r="BR194" s="1639"/>
      <c r="BS194" s="509"/>
      <c r="BT194" s="509"/>
      <c r="BU194" s="509"/>
      <c r="BV194" s="509"/>
      <c r="BW194" s="509"/>
      <c r="BX194" s="509"/>
      <c r="BY194" s="509"/>
      <c r="BZ194" s="509"/>
      <c r="CA194" s="509"/>
      <c r="CB194" s="509"/>
      <c r="CC194" s="509"/>
      <c r="CD194" s="509"/>
      <c r="CE194" s="509"/>
      <c r="CF194" s="509"/>
      <c r="CG194" s="509"/>
      <c r="CH194" s="509"/>
      <c r="CI194" s="509"/>
      <c r="CJ194" s="509"/>
      <c r="CK194" s="509"/>
      <c r="CL194" s="509"/>
      <c r="CM194" s="509"/>
      <c r="CN194" s="509"/>
      <c r="CO194" s="509"/>
      <c r="CP194" s="509"/>
      <c r="CQ194" s="509"/>
      <c r="CR194" s="509"/>
      <c r="CS194" s="509"/>
      <c r="CT194" s="509"/>
      <c r="CU194" s="509"/>
      <c r="CV194" s="509"/>
      <c r="CW194" s="509"/>
      <c r="CX194" s="509"/>
      <c r="CY194" s="509"/>
      <c r="CZ194" s="509"/>
      <c r="DA194" s="509"/>
      <c r="DB194" s="509"/>
      <c r="DC194" s="509"/>
      <c r="DD194" s="509"/>
      <c r="DE194" s="509"/>
      <c r="DF194" s="509"/>
      <c r="DG194" s="509"/>
      <c r="DH194" s="509"/>
      <c r="DI194" s="509"/>
      <c r="DJ194" s="509"/>
      <c r="DK194" s="509"/>
      <c r="DL194" s="509"/>
      <c r="DM194" s="509"/>
      <c r="DN194" s="509"/>
      <c r="DO194" s="509"/>
      <c r="DP194" s="509"/>
      <c r="DQ194" s="509"/>
      <c r="DR194" s="509"/>
      <c r="DS194" s="509"/>
      <c r="DT194" s="509"/>
      <c r="DU194" s="509"/>
      <c r="DV194" s="509"/>
      <c r="DW194" s="509"/>
      <c r="DX194" s="509"/>
      <c r="DY194" s="509"/>
      <c r="DZ194" s="509"/>
      <c r="EA194" s="509"/>
      <c r="EB194" s="509"/>
      <c r="EC194" s="509"/>
      <c r="ED194" s="509"/>
      <c r="EE194" s="509"/>
      <c r="EF194" s="509"/>
      <c r="EG194" s="509"/>
      <c r="EH194" s="509"/>
      <c r="EI194" s="509"/>
      <c r="EJ194" s="509"/>
      <c r="EK194" s="509"/>
      <c r="EL194" s="509"/>
      <c r="EM194" s="509"/>
      <c r="EN194" s="509"/>
      <c r="EO194" s="509"/>
      <c r="EP194" s="509"/>
      <c r="EQ194" s="509"/>
      <c r="ER194" s="509"/>
      <c r="ES194" s="509"/>
      <c r="ET194" s="509"/>
      <c r="EU194" s="509"/>
      <c r="EV194" s="509"/>
      <c r="EW194" s="509"/>
      <c r="EX194" s="509"/>
      <c r="EY194" s="509"/>
      <c r="EZ194" s="509"/>
      <c r="FA194" s="509"/>
      <c r="FB194" s="509"/>
      <c r="FC194" s="509"/>
      <c r="FD194" s="509"/>
      <c r="FE194" s="509"/>
      <c r="FF194" s="509"/>
      <c r="FG194" s="509"/>
      <c r="FH194" s="509"/>
      <c r="FI194" s="509"/>
      <c r="FJ194" s="509"/>
      <c r="FK194" s="509"/>
      <c r="FL194" s="509"/>
      <c r="FM194" s="509"/>
      <c r="FN194" s="509"/>
      <c r="FO194" s="509"/>
      <c r="FP194" s="509"/>
      <c r="FQ194" s="509"/>
      <c r="FR194" s="509"/>
      <c r="FS194" s="509"/>
      <c r="FT194" s="509"/>
      <c r="FU194" s="509"/>
      <c r="FV194" s="509"/>
      <c r="FW194" s="509"/>
      <c r="FX194" s="509"/>
      <c r="FY194" s="509"/>
      <c r="FZ194" s="509"/>
      <c r="GA194" s="509"/>
      <c r="GB194" s="509"/>
      <c r="GC194" s="509"/>
      <c r="GD194" s="509"/>
      <c r="GE194" s="509"/>
      <c r="GF194" s="509"/>
      <c r="GG194" s="509"/>
      <c r="GH194" s="509"/>
      <c r="GI194" s="509"/>
      <c r="GJ194" s="509"/>
      <c r="GK194" s="509"/>
      <c r="GL194" s="509"/>
      <c r="GM194" s="509"/>
      <c r="GN194" s="509"/>
      <c r="GO194" s="509"/>
      <c r="GP194" s="509"/>
      <c r="GQ194" s="509"/>
      <c r="GR194" s="509"/>
      <c r="GS194" s="509"/>
      <c r="GT194" s="509"/>
      <c r="GU194" s="509"/>
      <c r="GV194" s="509"/>
      <c r="GW194" s="509"/>
      <c r="GX194" s="509"/>
      <c r="GY194" s="509"/>
      <c r="GZ194" s="509"/>
      <c r="HA194" s="509"/>
      <c r="HB194" s="509"/>
      <c r="HC194" s="509"/>
      <c r="HD194" s="509"/>
      <c r="HE194" s="509"/>
      <c r="HF194" s="509"/>
      <c r="HG194" s="509"/>
      <c r="HH194" s="509"/>
      <c r="HI194" s="509"/>
      <c r="HJ194" s="509"/>
      <c r="HK194" s="509"/>
      <c r="HL194" s="509"/>
      <c r="HM194" s="509"/>
      <c r="HN194" s="509"/>
      <c r="HO194" s="509"/>
      <c r="HP194" s="509"/>
      <c r="HQ194" s="509"/>
      <c r="HR194" s="509"/>
      <c r="HS194" s="509"/>
      <c r="HT194" s="509"/>
      <c r="HU194" s="509"/>
      <c r="HV194" s="509"/>
      <c r="HW194" s="509"/>
      <c r="HX194" s="509"/>
      <c r="HY194" s="509"/>
      <c r="HZ194" s="509"/>
    </row>
    <row r="195" spans="1:234" ht="15.9" hidden="1" customHeight="1" x14ac:dyDescent="0.25">
      <c r="A195" s="540" t="s">
        <v>270</v>
      </c>
      <c r="B195" s="523" t="s">
        <v>271</v>
      </c>
      <c r="C195" s="524" t="s">
        <v>272</v>
      </c>
      <c r="D195" s="553" t="s">
        <v>4383</v>
      </c>
      <c r="E195" s="526" t="s">
        <v>3228</v>
      </c>
      <c r="F195" s="586">
        <v>39500</v>
      </c>
      <c r="G195" s="586">
        <v>39449</v>
      </c>
      <c r="H195" s="544">
        <v>39493</v>
      </c>
      <c r="I195" s="594">
        <v>40968</v>
      </c>
      <c r="J195" s="595">
        <v>10</v>
      </c>
      <c r="K195" s="561" t="s">
        <v>3229</v>
      </c>
      <c r="L195" s="553" t="s">
        <v>3229</v>
      </c>
      <c r="M195" s="600">
        <v>0</v>
      </c>
      <c r="N195" s="601">
        <v>1.3</v>
      </c>
      <c r="O195" s="596" t="s">
        <v>3229</v>
      </c>
      <c r="P195" s="596" t="s">
        <v>3229</v>
      </c>
      <c r="Q195" s="596" t="s">
        <v>3229</v>
      </c>
      <c r="R195" s="596" t="s">
        <v>3229</v>
      </c>
      <c r="S195" s="597"/>
      <c r="T195" s="563" t="s">
        <v>3229</v>
      </c>
      <c r="U195" s="563" t="s">
        <v>3229</v>
      </c>
      <c r="V195" s="563" t="s">
        <v>3229</v>
      </c>
      <c r="W195" s="563" t="s">
        <v>3229</v>
      </c>
      <c r="X195" s="563" t="s">
        <v>3229</v>
      </c>
      <c r="Y195" s="563" t="s">
        <v>3229</v>
      </c>
      <c r="Z195" s="563" t="s">
        <v>3229</v>
      </c>
      <c r="AA195" s="563" t="s">
        <v>3229</v>
      </c>
      <c r="AB195" s="563" t="s">
        <v>3229</v>
      </c>
      <c r="AC195" s="563" t="s">
        <v>3229</v>
      </c>
      <c r="AD195" s="563" t="s">
        <v>3229</v>
      </c>
      <c r="AE195" s="563" t="s">
        <v>3229</v>
      </c>
      <c r="AF195" s="3764" t="s">
        <v>781</v>
      </c>
      <c r="AG195" s="3765"/>
      <c r="AH195" s="673" t="s">
        <v>3229</v>
      </c>
      <c r="AI195" s="673" t="s">
        <v>3229</v>
      </c>
      <c r="AJ195" s="673" t="s">
        <v>3229</v>
      </c>
      <c r="AK195" s="673" t="s">
        <v>3229</v>
      </c>
      <c r="AL195" s="673" t="s">
        <v>3229</v>
      </c>
      <c r="AM195" s="590">
        <v>1</v>
      </c>
      <c r="AN195" s="638">
        <v>0</v>
      </c>
      <c r="AO195" s="625">
        <v>9.7799999999999994</v>
      </c>
      <c r="AP195" s="1368">
        <v>-0.22925337500000001</v>
      </c>
      <c r="AQ195" s="675">
        <v>0.16061118030431776</v>
      </c>
      <c r="AR195" s="3774" t="s">
        <v>3660</v>
      </c>
      <c r="AS195" s="3774"/>
      <c r="AT195" s="3774"/>
      <c r="AU195" s="3774"/>
      <c r="AV195" s="632">
        <f t="shared" si="31"/>
        <v>0</v>
      </c>
      <c r="AW195" s="558">
        <f t="shared" ref="AW195:AW205" si="33">POWER(1+AV195,1/((I195-F195)/365))-1</f>
        <v>0</v>
      </c>
      <c r="AX195" s="589"/>
      <c r="AY195" s="648"/>
      <c r="AZ195" s="676">
        <f t="shared" ref="AZ195:AZ205" si="34">J195*(1+AV195)</f>
        <v>10</v>
      </c>
      <c r="BA195" s="644" t="s">
        <v>574</v>
      </c>
      <c r="BB195" s="570"/>
      <c r="BC195" s="637"/>
      <c r="BH195" s="3763"/>
      <c r="BI195" s="3763"/>
      <c r="BJ195" s="1639"/>
      <c r="BK195" s="1639"/>
      <c r="BL195" s="1639"/>
      <c r="BM195" s="1639"/>
      <c r="BN195" s="1639"/>
      <c r="BO195" s="1639"/>
      <c r="BP195" s="1639"/>
      <c r="BQ195" s="1639"/>
      <c r="BR195" s="1639"/>
      <c r="BS195" s="509"/>
      <c r="BT195" s="509"/>
      <c r="BU195" s="509"/>
      <c r="BV195" s="509"/>
      <c r="BW195" s="509"/>
      <c r="BX195" s="509"/>
      <c r="BY195" s="509"/>
      <c r="BZ195" s="509"/>
      <c r="CA195" s="509"/>
      <c r="CB195" s="509"/>
      <c r="CC195" s="509"/>
      <c r="CD195" s="509"/>
      <c r="CE195" s="509"/>
      <c r="CF195" s="509"/>
      <c r="CG195" s="509"/>
      <c r="CH195" s="509"/>
      <c r="CI195" s="509"/>
      <c r="CJ195" s="509"/>
      <c r="CK195" s="509"/>
      <c r="CL195" s="509"/>
      <c r="CM195" s="509"/>
      <c r="CN195" s="509"/>
      <c r="CO195" s="509"/>
      <c r="CP195" s="509"/>
      <c r="CQ195" s="509"/>
      <c r="CR195" s="509"/>
      <c r="CS195" s="509"/>
      <c r="CT195" s="509"/>
      <c r="CU195" s="509"/>
      <c r="CV195" s="509"/>
      <c r="CW195" s="509"/>
      <c r="CX195" s="509"/>
      <c r="CY195" s="509"/>
      <c r="CZ195" s="509"/>
      <c r="DA195" s="509"/>
      <c r="DB195" s="509"/>
      <c r="DC195" s="509"/>
      <c r="DD195" s="509"/>
      <c r="DE195" s="509"/>
      <c r="DF195" s="509"/>
      <c r="DG195" s="509"/>
      <c r="DH195" s="509"/>
      <c r="DI195" s="509"/>
      <c r="DJ195" s="509"/>
      <c r="DK195" s="509"/>
      <c r="DL195" s="509"/>
      <c r="DM195" s="509"/>
      <c r="DN195" s="509"/>
      <c r="DO195" s="509"/>
      <c r="DP195" s="509"/>
      <c r="DQ195" s="509"/>
      <c r="DR195" s="509"/>
      <c r="DS195" s="509"/>
      <c r="DT195" s="509"/>
      <c r="DU195" s="509"/>
      <c r="DV195" s="509"/>
      <c r="DW195" s="509"/>
      <c r="DX195" s="509"/>
      <c r="DY195" s="509"/>
      <c r="DZ195" s="509"/>
      <c r="EA195" s="509"/>
      <c r="EB195" s="509"/>
      <c r="EC195" s="509"/>
      <c r="ED195" s="509"/>
      <c r="EE195" s="509"/>
      <c r="EF195" s="509"/>
      <c r="EG195" s="509"/>
      <c r="EH195" s="509"/>
      <c r="EI195" s="509"/>
      <c r="EJ195" s="509"/>
      <c r="EK195" s="509"/>
      <c r="EL195" s="509"/>
      <c r="EM195" s="509"/>
      <c r="EN195" s="509"/>
      <c r="EO195" s="509"/>
      <c r="EP195" s="509"/>
      <c r="EQ195" s="509"/>
      <c r="ER195" s="509"/>
      <c r="ES195" s="509"/>
      <c r="ET195" s="509"/>
      <c r="EU195" s="509"/>
      <c r="EV195" s="509"/>
      <c r="EW195" s="509"/>
      <c r="EX195" s="509"/>
      <c r="EY195" s="509"/>
      <c r="EZ195" s="509"/>
      <c r="FA195" s="509"/>
      <c r="FB195" s="509"/>
      <c r="FC195" s="509"/>
      <c r="FD195" s="509"/>
      <c r="FE195" s="509"/>
      <c r="FF195" s="509"/>
      <c r="FG195" s="509"/>
      <c r="FH195" s="509"/>
      <c r="FI195" s="509"/>
      <c r="FJ195" s="509"/>
      <c r="FK195" s="509"/>
      <c r="FL195" s="509"/>
      <c r="FM195" s="509"/>
      <c r="FN195" s="509"/>
      <c r="FO195" s="509"/>
      <c r="FP195" s="509"/>
      <c r="FQ195" s="509"/>
      <c r="FR195" s="509"/>
      <c r="FS195" s="509"/>
      <c r="FT195" s="509"/>
      <c r="FU195" s="509"/>
      <c r="FV195" s="509"/>
      <c r="FW195" s="509"/>
      <c r="FX195" s="509"/>
      <c r="FY195" s="509"/>
      <c r="FZ195" s="509"/>
      <c r="GA195" s="509"/>
      <c r="GB195" s="509"/>
      <c r="GC195" s="509"/>
      <c r="GD195" s="509"/>
      <c r="GE195" s="509"/>
      <c r="GF195" s="509"/>
      <c r="GG195" s="509"/>
      <c r="GH195" s="509"/>
      <c r="GI195" s="509"/>
      <c r="GJ195" s="509"/>
      <c r="GK195" s="509"/>
      <c r="GL195" s="509"/>
      <c r="GM195" s="509"/>
      <c r="GN195" s="509"/>
      <c r="GO195" s="509"/>
      <c r="GP195" s="509"/>
      <c r="GQ195" s="509"/>
      <c r="GR195" s="509"/>
      <c r="GS195" s="509"/>
      <c r="GT195" s="509"/>
      <c r="GU195" s="509"/>
      <c r="GV195" s="509"/>
      <c r="GW195" s="509"/>
      <c r="GX195" s="509"/>
      <c r="GY195" s="509"/>
      <c r="GZ195" s="509"/>
      <c r="HA195" s="509"/>
      <c r="HB195" s="509"/>
      <c r="HC195" s="509"/>
      <c r="HD195" s="509"/>
      <c r="HE195" s="509"/>
      <c r="HF195" s="509"/>
      <c r="HG195" s="509"/>
      <c r="HH195" s="509"/>
      <c r="HI195" s="509"/>
      <c r="HJ195" s="509"/>
      <c r="HK195" s="509"/>
      <c r="HL195" s="509"/>
      <c r="HM195" s="509"/>
      <c r="HN195" s="509"/>
      <c r="HO195" s="509"/>
      <c r="HP195" s="509"/>
      <c r="HQ195" s="509"/>
      <c r="HR195" s="509"/>
      <c r="HS195" s="509"/>
      <c r="HT195" s="509"/>
      <c r="HU195" s="509"/>
      <c r="HV195" s="509"/>
      <c r="HW195" s="509"/>
      <c r="HX195" s="509"/>
      <c r="HY195" s="509"/>
      <c r="HZ195" s="509"/>
    </row>
    <row r="196" spans="1:234" ht="15.9" hidden="1" customHeight="1" x14ac:dyDescent="0.25">
      <c r="A196" s="540" t="s">
        <v>273</v>
      </c>
      <c r="B196" s="523" t="s">
        <v>4536</v>
      </c>
      <c r="C196" s="524" t="s">
        <v>4537</v>
      </c>
      <c r="D196" s="553" t="s">
        <v>2158</v>
      </c>
      <c r="E196" s="524" t="s">
        <v>3228</v>
      </c>
      <c r="F196" s="544">
        <v>39485</v>
      </c>
      <c r="G196" s="586">
        <v>39449</v>
      </c>
      <c r="H196" s="544">
        <v>39478</v>
      </c>
      <c r="I196" s="588">
        <v>41333</v>
      </c>
      <c r="J196" s="595">
        <v>10</v>
      </c>
      <c r="K196" s="561" t="s">
        <v>3229</v>
      </c>
      <c r="L196" s="553" t="s">
        <v>3229</v>
      </c>
      <c r="M196" s="600">
        <v>0</v>
      </c>
      <c r="N196" s="601">
        <v>1.1000000000000001</v>
      </c>
      <c r="O196" s="596" t="s">
        <v>3229</v>
      </c>
      <c r="P196" s="596" t="s">
        <v>3229</v>
      </c>
      <c r="Q196" s="575" t="s">
        <v>3229</v>
      </c>
      <c r="R196" s="596" t="s">
        <v>3229</v>
      </c>
      <c r="S196" s="597"/>
      <c r="T196" s="563" t="s">
        <v>3229</v>
      </c>
      <c r="U196" s="563" t="s">
        <v>3229</v>
      </c>
      <c r="V196" s="563" t="s">
        <v>3229</v>
      </c>
      <c r="W196" s="563" t="s">
        <v>3229</v>
      </c>
      <c r="X196" s="563" t="s">
        <v>3229</v>
      </c>
      <c r="Y196" s="563" t="s">
        <v>3229</v>
      </c>
      <c r="Z196" s="563" t="s">
        <v>3229</v>
      </c>
      <c r="AA196" s="563" t="s">
        <v>3229</v>
      </c>
      <c r="AB196" s="563" t="s">
        <v>3229</v>
      </c>
      <c r="AC196" s="563" t="s">
        <v>3229</v>
      </c>
      <c r="AD196" s="563" t="s">
        <v>3229</v>
      </c>
      <c r="AE196" s="563" t="s">
        <v>3229</v>
      </c>
      <c r="AF196" s="3764" t="s">
        <v>781</v>
      </c>
      <c r="AG196" s="3765"/>
      <c r="AH196" s="673" t="s">
        <v>3229</v>
      </c>
      <c r="AI196" s="673" t="s">
        <v>3229</v>
      </c>
      <c r="AJ196" s="673" t="s">
        <v>3229</v>
      </c>
      <c r="AK196" s="673" t="s">
        <v>3229</v>
      </c>
      <c r="AL196" s="673" t="s">
        <v>3229</v>
      </c>
      <c r="AM196" s="590">
        <v>1</v>
      </c>
      <c r="AN196" s="638">
        <v>0</v>
      </c>
      <c r="AO196" s="625">
        <v>10.07</v>
      </c>
      <c r="AP196" s="1368">
        <v>-9.8511269858167785E-2</v>
      </c>
      <c r="AQ196" s="606">
        <v>1.7093788821657574E-2</v>
      </c>
      <c r="AR196" s="632" t="s">
        <v>3660</v>
      </c>
      <c r="AS196" s="558"/>
      <c r="AT196" s="648"/>
      <c r="AU196" s="559"/>
      <c r="AV196" s="558">
        <v>0</v>
      </c>
      <c r="AW196" s="558">
        <v>0</v>
      </c>
      <c r="AX196" s="558">
        <v>-9.9009900990099098E-3</v>
      </c>
      <c r="AY196" s="559">
        <v>-0.12164959466552017</v>
      </c>
      <c r="AZ196" s="642">
        <v>10</v>
      </c>
      <c r="BA196" s="644" t="s">
        <v>574</v>
      </c>
      <c r="BB196" s="570"/>
      <c r="BC196" s="637"/>
      <c r="BH196" s="3763"/>
      <c r="BI196" s="3763"/>
      <c r="BJ196" s="1639"/>
      <c r="BK196" s="1639"/>
      <c r="BL196" s="1639"/>
      <c r="BM196" s="1639"/>
      <c r="BN196" s="1639"/>
      <c r="BO196" s="1639"/>
      <c r="BP196" s="1639"/>
      <c r="BQ196" s="1639"/>
      <c r="BR196" s="1639"/>
      <c r="BS196" s="509"/>
      <c r="BT196" s="509"/>
      <c r="BU196" s="509"/>
      <c r="BV196" s="509"/>
      <c r="BW196" s="509"/>
      <c r="BX196" s="509"/>
      <c r="BY196" s="509"/>
      <c r="BZ196" s="509"/>
      <c r="CA196" s="509"/>
      <c r="CB196" s="509"/>
      <c r="CC196" s="509"/>
      <c r="CD196" s="509"/>
      <c r="CE196" s="509"/>
      <c r="CF196" s="509"/>
      <c r="CG196" s="509"/>
      <c r="CH196" s="509"/>
      <c r="CI196" s="509"/>
      <c r="CJ196" s="509"/>
      <c r="CK196" s="509"/>
      <c r="CL196" s="509"/>
      <c r="CM196" s="509"/>
      <c r="CN196" s="509"/>
      <c r="CO196" s="509"/>
      <c r="CP196" s="509"/>
      <c r="CQ196" s="509"/>
      <c r="CR196" s="509"/>
      <c r="CS196" s="509"/>
      <c r="CT196" s="509"/>
      <c r="CU196" s="509"/>
      <c r="CV196" s="509"/>
      <c r="CW196" s="509"/>
      <c r="CX196" s="509"/>
      <c r="CY196" s="509"/>
      <c r="CZ196" s="509"/>
      <c r="DA196" s="509"/>
      <c r="DB196" s="509"/>
      <c r="DC196" s="509"/>
      <c r="DD196" s="509"/>
      <c r="DE196" s="509"/>
      <c r="DF196" s="509"/>
      <c r="DG196" s="509"/>
      <c r="DH196" s="509"/>
      <c r="DI196" s="509"/>
      <c r="DJ196" s="509"/>
      <c r="DK196" s="509"/>
      <c r="DL196" s="509"/>
      <c r="DM196" s="509"/>
      <c r="DN196" s="509"/>
      <c r="DO196" s="509"/>
      <c r="DP196" s="509"/>
      <c r="DQ196" s="509"/>
      <c r="DR196" s="509"/>
      <c r="DS196" s="509"/>
      <c r="DT196" s="509"/>
      <c r="DU196" s="509"/>
      <c r="DV196" s="509"/>
      <c r="DW196" s="509"/>
      <c r="DX196" s="509"/>
      <c r="DY196" s="509"/>
      <c r="DZ196" s="509"/>
      <c r="EA196" s="509"/>
      <c r="EB196" s="509"/>
      <c r="EC196" s="509"/>
      <c r="ED196" s="509"/>
      <c r="EE196" s="509"/>
      <c r="EF196" s="509"/>
      <c r="EG196" s="509"/>
      <c r="EH196" s="509"/>
      <c r="EI196" s="509"/>
      <c r="EJ196" s="509"/>
      <c r="EK196" s="509"/>
      <c r="EL196" s="509"/>
      <c r="EM196" s="509"/>
      <c r="EN196" s="509"/>
      <c r="EO196" s="509"/>
      <c r="EP196" s="509"/>
      <c r="EQ196" s="509"/>
      <c r="ER196" s="509"/>
      <c r="ES196" s="509"/>
      <c r="ET196" s="509"/>
      <c r="EU196" s="509"/>
      <c r="EV196" s="509"/>
      <c r="EW196" s="509"/>
      <c r="EX196" s="509"/>
      <c r="EY196" s="509"/>
      <c r="EZ196" s="509"/>
      <c r="FA196" s="509"/>
      <c r="FB196" s="509"/>
      <c r="FC196" s="509"/>
      <c r="FD196" s="509"/>
      <c r="FE196" s="509"/>
      <c r="FF196" s="509"/>
      <c r="FG196" s="509"/>
      <c r="FH196" s="509"/>
      <c r="FI196" s="509"/>
      <c r="FJ196" s="509"/>
      <c r="FK196" s="509"/>
      <c r="FL196" s="509"/>
      <c r="FM196" s="509"/>
      <c r="FN196" s="509"/>
      <c r="FO196" s="509"/>
      <c r="FP196" s="509"/>
      <c r="FQ196" s="509"/>
      <c r="FR196" s="509"/>
      <c r="FS196" s="509"/>
      <c r="FT196" s="509"/>
      <c r="FU196" s="509"/>
      <c r="FV196" s="509"/>
      <c r="FW196" s="509"/>
      <c r="FX196" s="509"/>
      <c r="FY196" s="509"/>
      <c r="FZ196" s="509"/>
      <c r="GA196" s="509"/>
      <c r="GB196" s="509"/>
      <c r="GC196" s="509"/>
      <c r="GD196" s="509"/>
      <c r="GE196" s="509"/>
      <c r="GF196" s="509"/>
      <c r="GG196" s="509"/>
      <c r="GH196" s="509"/>
      <c r="GI196" s="509"/>
      <c r="GJ196" s="509"/>
      <c r="GK196" s="509"/>
      <c r="GL196" s="509"/>
      <c r="GM196" s="509"/>
      <c r="GN196" s="509"/>
      <c r="GO196" s="509"/>
      <c r="GP196" s="509"/>
      <c r="GQ196" s="509"/>
      <c r="GR196" s="509"/>
      <c r="GS196" s="509"/>
      <c r="GT196" s="509"/>
      <c r="GU196" s="509"/>
      <c r="GV196" s="509"/>
      <c r="GW196" s="509"/>
      <c r="GX196" s="509"/>
      <c r="GY196" s="509"/>
      <c r="GZ196" s="509"/>
      <c r="HA196" s="509"/>
      <c r="HB196" s="509"/>
      <c r="HC196" s="509"/>
      <c r="HD196" s="509"/>
      <c r="HE196" s="509"/>
      <c r="HF196" s="509"/>
      <c r="HG196" s="509"/>
      <c r="HH196" s="509"/>
      <c r="HI196" s="509"/>
      <c r="HJ196" s="509"/>
      <c r="HK196" s="509"/>
      <c r="HL196" s="509"/>
      <c r="HM196" s="509"/>
      <c r="HN196" s="509"/>
      <c r="HO196" s="509"/>
      <c r="HP196" s="509"/>
      <c r="HQ196" s="509"/>
      <c r="HR196" s="509"/>
      <c r="HS196" s="509"/>
      <c r="HT196" s="509"/>
      <c r="HU196" s="509"/>
      <c r="HV196" s="509"/>
      <c r="HW196" s="509"/>
      <c r="HX196" s="509"/>
      <c r="HY196" s="509"/>
      <c r="HZ196" s="509"/>
    </row>
    <row r="197" spans="1:234" ht="15.9" hidden="1" customHeight="1" x14ac:dyDescent="0.25">
      <c r="A197" s="540" t="s">
        <v>4175</v>
      </c>
      <c r="B197" s="523" t="s">
        <v>4176</v>
      </c>
      <c r="C197" s="524" t="s">
        <v>4177</v>
      </c>
      <c r="D197" s="553" t="s">
        <v>2158</v>
      </c>
      <c r="E197" s="524" t="s">
        <v>3228</v>
      </c>
      <c r="F197" s="544">
        <v>39485</v>
      </c>
      <c r="G197" s="586">
        <v>39449</v>
      </c>
      <c r="H197" s="544">
        <v>39478</v>
      </c>
      <c r="I197" s="588">
        <v>41243</v>
      </c>
      <c r="J197" s="595">
        <v>10</v>
      </c>
      <c r="K197" s="561" t="s">
        <v>3229</v>
      </c>
      <c r="L197" s="553" t="s">
        <v>3229</v>
      </c>
      <c r="M197" s="600">
        <v>0</v>
      </c>
      <c r="N197" s="601">
        <v>1.2</v>
      </c>
      <c r="O197" s="596" t="s">
        <v>3229</v>
      </c>
      <c r="P197" s="596" t="s">
        <v>3229</v>
      </c>
      <c r="Q197" s="575" t="s">
        <v>3229</v>
      </c>
      <c r="R197" s="596" t="s">
        <v>3229</v>
      </c>
      <c r="S197" s="597"/>
      <c r="T197" s="563" t="s">
        <v>3229</v>
      </c>
      <c r="U197" s="563" t="s">
        <v>3229</v>
      </c>
      <c r="V197" s="563" t="s">
        <v>3229</v>
      </c>
      <c r="W197" s="563" t="s">
        <v>3229</v>
      </c>
      <c r="X197" s="563" t="s">
        <v>3229</v>
      </c>
      <c r="Y197" s="563" t="s">
        <v>3229</v>
      </c>
      <c r="Z197" s="563" t="s">
        <v>3229</v>
      </c>
      <c r="AA197" s="563" t="s">
        <v>3229</v>
      </c>
      <c r="AB197" s="563" t="s">
        <v>3229</v>
      </c>
      <c r="AC197" s="563" t="s">
        <v>3229</v>
      </c>
      <c r="AD197" s="563" t="s">
        <v>3229</v>
      </c>
      <c r="AE197" s="563" t="s">
        <v>3229</v>
      </c>
      <c r="AF197" s="3764" t="s">
        <v>781</v>
      </c>
      <c r="AG197" s="3765"/>
      <c r="AH197" s="673" t="s">
        <v>3229</v>
      </c>
      <c r="AI197" s="673" t="s">
        <v>3229</v>
      </c>
      <c r="AJ197" s="673" t="s">
        <v>3229</v>
      </c>
      <c r="AK197" s="673" t="s">
        <v>3229</v>
      </c>
      <c r="AL197" s="673" t="s">
        <v>3229</v>
      </c>
      <c r="AM197" s="590">
        <v>1</v>
      </c>
      <c r="AN197" s="638">
        <v>0</v>
      </c>
      <c r="AO197" s="625">
        <v>10.050000000000001</v>
      </c>
      <c r="AP197" s="1368">
        <v>-0.35440716666666666</v>
      </c>
      <c r="AQ197" s="606">
        <v>-0.3328753283193901</v>
      </c>
      <c r="AR197" s="632" t="s">
        <v>3660</v>
      </c>
      <c r="AS197" s="558"/>
      <c r="AT197" s="648"/>
      <c r="AU197" s="559"/>
      <c r="AV197" s="558">
        <f t="shared" si="31"/>
        <v>0</v>
      </c>
      <c r="AW197" s="558">
        <f t="shared" si="33"/>
        <v>0</v>
      </c>
      <c r="AX197" s="558"/>
      <c r="AY197" s="559"/>
      <c r="AZ197" s="642">
        <f t="shared" si="34"/>
        <v>10</v>
      </c>
      <c r="BA197" s="644" t="s">
        <v>3113</v>
      </c>
      <c r="BB197" s="570"/>
      <c r="BC197" s="637"/>
      <c r="BH197" s="3763"/>
      <c r="BI197" s="3763"/>
      <c r="BJ197" s="1639"/>
      <c r="BK197" s="1639"/>
      <c r="BL197" s="1639"/>
      <c r="BM197" s="1639"/>
      <c r="BN197" s="1639"/>
      <c r="BO197" s="1639"/>
      <c r="BP197" s="1639"/>
      <c r="BQ197" s="1639"/>
      <c r="BR197" s="1639"/>
      <c r="BS197" s="509"/>
      <c r="BT197" s="509"/>
      <c r="BU197" s="509"/>
      <c r="BV197" s="509"/>
      <c r="BW197" s="509"/>
      <c r="BX197" s="509"/>
      <c r="BY197" s="509"/>
      <c r="BZ197" s="509"/>
      <c r="CA197" s="509"/>
      <c r="CB197" s="509"/>
      <c r="CC197" s="509"/>
      <c r="CD197" s="509"/>
      <c r="CE197" s="509"/>
      <c r="CF197" s="509"/>
      <c r="CG197" s="509"/>
      <c r="CH197" s="509"/>
      <c r="CI197" s="509"/>
      <c r="CJ197" s="509"/>
      <c r="CK197" s="509"/>
      <c r="CL197" s="509"/>
      <c r="CM197" s="509"/>
      <c r="CN197" s="509"/>
      <c r="CO197" s="509"/>
      <c r="CP197" s="509"/>
      <c r="CQ197" s="509"/>
      <c r="CR197" s="509"/>
      <c r="CS197" s="509"/>
      <c r="CT197" s="509"/>
      <c r="CU197" s="509"/>
      <c r="CV197" s="509"/>
      <c r="CW197" s="509"/>
      <c r="CX197" s="509"/>
      <c r="CY197" s="509"/>
      <c r="CZ197" s="509"/>
      <c r="DA197" s="509"/>
      <c r="DB197" s="509"/>
      <c r="DC197" s="509"/>
      <c r="DD197" s="509"/>
      <c r="DE197" s="509"/>
      <c r="DF197" s="509"/>
      <c r="DG197" s="509"/>
      <c r="DH197" s="509"/>
      <c r="DI197" s="509"/>
      <c r="DJ197" s="509"/>
      <c r="DK197" s="509"/>
      <c r="DL197" s="509"/>
      <c r="DM197" s="509"/>
      <c r="DN197" s="509"/>
      <c r="DO197" s="509"/>
      <c r="DP197" s="509"/>
      <c r="DQ197" s="509"/>
      <c r="DR197" s="509"/>
      <c r="DS197" s="509"/>
      <c r="DT197" s="509"/>
      <c r="DU197" s="509"/>
      <c r="DV197" s="509"/>
      <c r="DW197" s="509"/>
      <c r="DX197" s="509"/>
      <c r="DY197" s="509"/>
      <c r="DZ197" s="509"/>
      <c r="EA197" s="509"/>
      <c r="EB197" s="509"/>
      <c r="EC197" s="509"/>
      <c r="ED197" s="509"/>
      <c r="EE197" s="509"/>
      <c r="EF197" s="509"/>
      <c r="EG197" s="509"/>
      <c r="EH197" s="509"/>
      <c r="EI197" s="509"/>
      <c r="EJ197" s="509"/>
      <c r="EK197" s="509"/>
      <c r="EL197" s="509"/>
      <c r="EM197" s="509"/>
      <c r="EN197" s="509"/>
      <c r="EO197" s="509"/>
      <c r="EP197" s="509"/>
      <c r="EQ197" s="509"/>
      <c r="ER197" s="509"/>
      <c r="ES197" s="509"/>
      <c r="ET197" s="509"/>
      <c r="EU197" s="509"/>
      <c r="EV197" s="509"/>
      <c r="EW197" s="509"/>
      <c r="EX197" s="509"/>
      <c r="EY197" s="509"/>
      <c r="EZ197" s="509"/>
      <c r="FA197" s="509"/>
      <c r="FB197" s="509"/>
      <c r="FC197" s="509"/>
      <c r="FD197" s="509"/>
      <c r="FE197" s="509"/>
      <c r="FF197" s="509"/>
      <c r="FG197" s="509"/>
      <c r="FH197" s="509"/>
      <c r="FI197" s="509"/>
      <c r="FJ197" s="509"/>
      <c r="FK197" s="509"/>
      <c r="FL197" s="509"/>
      <c r="FM197" s="509"/>
      <c r="FN197" s="509"/>
      <c r="FO197" s="509"/>
      <c r="FP197" s="509"/>
      <c r="FQ197" s="509"/>
      <c r="FR197" s="509"/>
      <c r="FS197" s="509"/>
      <c r="FT197" s="509"/>
      <c r="FU197" s="509"/>
      <c r="FV197" s="509"/>
      <c r="FW197" s="509"/>
      <c r="FX197" s="509"/>
      <c r="FY197" s="509"/>
      <c r="FZ197" s="509"/>
      <c r="GA197" s="509"/>
      <c r="GB197" s="509"/>
      <c r="GC197" s="509"/>
      <c r="GD197" s="509"/>
      <c r="GE197" s="509"/>
      <c r="GF197" s="509"/>
      <c r="GG197" s="509"/>
      <c r="GH197" s="509"/>
      <c r="GI197" s="509"/>
      <c r="GJ197" s="509"/>
      <c r="GK197" s="509"/>
      <c r="GL197" s="509"/>
      <c r="GM197" s="509"/>
      <c r="GN197" s="509"/>
      <c r="GO197" s="509"/>
      <c r="GP197" s="509"/>
      <c r="GQ197" s="509"/>
      <c r="GR197" s="509"/>
      <c r="GS197" s="509"/>
      <c r="GT197" s="509"/>
      <c r="GU197" s="509"/>
      <c r="GV197" s="509"/>
      <c r="GW197" s="509"/>
      <c r="GX197" s="509"/>
      <c r="GY197" s="509"/>
      <c r="GZ197" s="509"/>
      <c r="HA197" s="509"/>
      <c r="HB197" s="509"/>
      <c r="HC197" s="509"/>
      <c r="HD197" s="509"/>
      <c r="HE197" s="509"/>
      <c r="HF197" s="509"/>
      <c r="HG197" s="509"/>
      <c r="HH197" s="509"/>
      <c r="HI197" s="509"/>
      <c r="HJ197" s="509"/>
      <c r="HK197" s="509"/>
      <c r="HL197" s="509"/>
      <c r="HM197" s="509"/>
      <c r="HN197" s="509"/>
      <c r="HO197" s="509"/>
      <c r="HP197" s="509"/>
      <c r="HQ197" s="509"/>
      <c r="HR197" s="509"/>
      <c r="HS197" s="509"/>
      <c r="HT197" s="509"/>
      <c r="HU197" s="509"/>
      <c r="HV197" s="509"/>
      <c r="HW197" s="509"/>
      <c r="HX197" s="509"/>
      <c r="HY197" s="509"/>
      <c r="HZ197" s="509"/>
    </row>
    <row r="198" spans="1:234" ht="15.9" hidden="1" customHeight="1" x14ac:dyDescent="0.25">
      <c r="A198" s="540" t="s">
        <v>1476</v>
      </c>
      <c r="B198" s="523" t="s">
        <v>76</v>
      </c>
      <c r="C198" s="524" t="s">
        <v>750</v>
      </c>
      <c r="D198" s="553" t="s">
        <v>4384</v>
      </c>
      <c r="E198" s="524" t="s">
        <v>3228</v>
      </c>
      <c r="F198" s="544">
        <v>39479</v>
      </c>
      <c r="G198" s="586">
        <v>39426</v>
      </c>
      <c r="H198" s="544">
        <v>39472</v>
      </c>
      <c r="I198" s="588">
        <v>41333</v>
      </c>
      <c r="J198" s="595">
        <v>10</v>
      </c>
      <c r="K198" s="561" t="s">
        <v>3229</v>
      </c>
      <c r="L198" s="553" t="s">
        <v>3229</v>
      </c>
      <c r="M198" s="600">
        <v>-0.05</v>
      </c>
      <c r="N198" s="601">
        <v>1</v>
      </c>
      <c r="O198" s="596" t="s">
        <v>3229</v>
      </c>
      <c r="P198" s="596" t="s">
        <v>3229</v>
      </c>
      <c r="Q198" s="575" t="s">
        <v>3229</v>
      </c>
      <c r="R198" s="596" t="s">
        <v>3229</v>
      </c>
      <c r="S198" s="597"/>
      <c r="T198" s="563" t="s">
        <v>3229</v>
      </c>
      <c r="U198" s="563" t="s">
        <v>3229</v>
      </c>
      <c r="V198" s="563" t="s">
        <v>3229</v>
      </c>
      <c r="W198" s="563" t="s">
        <v>3229</v>
      </c>
      <c r="X198" s="563" t="s">
        <v>3229</v>
      </c>
      <c r="Y198" s="563" t="s">
        <v>3229</v>
      </c>
      <c r="Z198" s="563" t="s">
        <v>3229</v>
      </c>
      <c r="AA198" s="563" t="s">
        <v>3229</v>
      </c>
      <c r="AB198" s="563" t="s">
        <v>3229</v>
      </c>
      <c r="AC198" s="563" t="s">
        <v>3229</v>
      </c>
      <c r="AD198" s="563" t="s">
        <v>3229</v>
      </c>
      <c r="AE198" s="563" t="s">
        <v>3229</v>
      </c>
      <c r="AF198" s="3764" t="s">
        <v>781</v>
      </c>
      <c r="AG198" s="3765"/>
      <c r="AH198" s="673" t="s">
        <v>3229</v>
      </c>
      <c r="AI198" s="673" t="s">
        <v>3229</v>
      </c>
      <c r="AJ198" s="673" t="s">
        <v>3229</v>
      </c>
      <c r="AK198" s="673" t="s">
        <v>3229</v>
      </c>
      <c r="AL198" s="673" t="s">
        <v>3229</v>
      </c>
      <c r="AM198" s="590">
        <v>1</v>
      </c>
      <c r="AN198" s="638">
        <v>-0.05</v>
      </c>
      <c r="AO198" s="625">
        <v>9.5399999999999991</v>
      </c>
      <c r="AP198" s="1368">
        <v>-0.24409927777777776</v>
      </c>
      <c r="AQ198" s="606">
        <v>-0.27102505582937381</v>
      </c>
      <c r="AR198" s="632" t="s">
        <v>3660</v>
      </c>
      <c r="AS198" s="558"/>
      <c r="AT198" s="648"/>
      <c r="AU198" s="559"/>
      <c r="AV198" s="558">
        <v>-0.05</v>
      </c>
      <c r="AW198" s="558">
        <v>-1.0047378845361221E-2</v>
      </c>
      <c r="AX198" s="558">
        <v>-9.3847758081334609E-3</v>
      </c>
      <c r="AY198" s="559">
        <v>-0.11566110725865641</v>
      </c>
      <c r="AZ198" s="642">
        <v>9.5</v>
      </c>
      <c r="BA198" s="644" t="s">
        <v>3190</v>
      </c>
      <c r="BB198" s="570"/>
      <c r="BC198" s="637"/>
      <c r="BH198" s="3763"/>
      <c r="BI198" s="3763"/>
      <c r="BJ198" s="1639"/>
      <c r="BK198" s="1639"/>
      <c r="BL198" s="1639"/>
      <c r="BM198" s="1639"/>
      <c r="BN198" s="1639"/>
      <c r="BO198" s="1639"/>
      <c r="BP198" s="1639"/>
      <c r="BQ198" s="1639"/>
      <c r="BR198" s="1639"/>
      <c r="BS198" s="509"/>
      <c r="BT198" s="509"/>
      <c r="BU198" s="509"/>
      <c r="BV198" s="509"/>
      <c r="BW198" s="509"/>
      <c r="BX198" s="509"/>
      <c r="BY198" s="509"/>
      <c r="BZ198" s="509"/>
      <c r="CA198" s="509"/>
      <c r="CB198" s="509"/>
      <c r="CC198" s="509"/>
      <c r="CD198" s="509"/>
      <c r="CE198" s="509"/>
      <c r="CF198" s="509"/>
      <c r="CG198" s="509"/>
      <c r="CH198" s="509"/>
      <c r="CI198" s="509"/>
      <c r="CJ198" s="509"/>
      <c r="CK198" s="509"/>
      <c r="CL198" s="509"/>
      <c r="CM198" s="509"/>
      <c r="CN198" s="509"/>
      <c r="CO198" s="509"/>
      <c r="CP198" s="509"/>
      <c r="CQ198" s="509"/>
      <c r="CR198" s="509"/>
      <c r="CS198" s="509"/>
      <c r="CT198" s="509"/>
      <c r="CU198" s="509"/>
      <c r="CV198" s="509"/>
      <c r="CW198" s="509"/>
      <c r="CX198" s="509"/>
      <c r="CY198" s="509"/>
      <c r="CZ198" s="509"/>
      <c r="DA198" s="509"/>
      <c r="DB198" s="509"/>
      <c r="DC198" s="509"/>
      <c r="DD198" s="509"/>
      <c r="DE198" s="509"/>
      <c r="DF198" s="509"/>
      <c r="DG198" s="509"/>
      <c r="DH198" s="509"/>
      <c r="DI198" s="509"/>
      <c r="DJ198" s="509"/>
      <c r="DK198" s="509"/>
      <c r="DL198" s="509"/>
      <c r="DM198" s="509"/>
      <c r="DN198" s="509"/>
      <c r="DO198" s="509"/>
      <c r="DP198" s="509"/>
      <c r="DQ198" s="509"/>
      <c r="DR198" s="509"/>
      <c r="DS198" s="509"/>
      <c r="DT198" s="509"/>
      <c r="DU198" s="509"/>
      <c r="DV198" s="509"/>
      <c r="DW198" s="509"/>
      <c r="DX198" s="509"/>
      <c r="DY198" s="509"/>
      <c r="DZ198" s="509"/>
      <c r="EA198" s="509"/>
      <c r="EB198" s="509"/>
      <c r="EC198" s="509"/>
      <c r="ED198" s="509"/>
      <c r="EE198" s="509"/>
      <c r="EF198" s="509"/>
      <c r="EG198" s="509"/>
      <c r="EH198" s="509"/>
      <c r="EI198" s="509"/>
      <c r="EJ198" s="509"/>
      <c r="EK198" s="509"/>
      <c r="EL198" s="509"/>
      <c r="EM198" s="509"/>
      <c r="EN198" s="509"/>
      <c r="EO198" s="509"/>
      <c r="EP198" s="509"/>
      <c r="EQ198" s="509"/>
      <c r="ER198" s="509"/>
      <c r="ES198" s="509"/>
      <c r="ET198" s="509"/>
      <c r="EU198" s="509"/>
      <c r="EV198" s="509"/>
      <c r="EW198" s="509"/>
      <c r="EX198" s="509"/>
      <c r="EY198" s="509"/>
      <c r="EZ198" s="509"/>
      <c r="FA198" s="509"/>
      <c r="FB198" s="509"/>
      <c r="FC198" s="509"/>
      <c r="FD198" s="509"/>
      <c r="FE198" s="509"/>
      <c r="FF198" s="509"/>
      <c r="FG198" s="509"/>
      <c r="FH198" s="509"/>
      <c r="FI198" s="509"/>
      <c r="FJ198" s="509"/>
      <c r="FK198" s="509"/>
      <c r="FL198" s="509"/>
      <c r="FM198" s="509"/>
      <c r="FN198" s="509"/>
      <c r="FO198" s="509"/>
      <c r="FP198" s="509"/>
      <c r="FQ198" s="509"/>
      <c r="FR198" s="509"/>
      <c r="FS198" s="509"/>
      <c r="FT198" s="509"/>
      <c r="FU198" s="509"/>
      <c r="FV198" s="509"/>
      <c r="FW198" s="509"/>
      <c r="FX198" s="509"/>
      <c r="FY198" s="509"/>
      <c r="FZ198" s="509"/>
      <c r="GA198" s="509"/>
      <c r="GB198" s="509"/>
      <c r="GC198" s="509"/>
      <c r="GD198" s="509"/>
      <c r="GE198" s="509"/>
      <c r="GF198" s="509"/>
      <c r="GG198" s="509"/>
      <c r="GH198" s="509"/>
      <c r="GI198" s="509"/>
      <c r="GJ198" s="509"/>
      <c r="GK198" s="509"/>
      <c r="GL198" s="509"/>
      <c r="GM198" s="509"/>
      <c r="GN198" s="509"/>
      <c r="GO198" s="509"/>
      <c r="GP198" s="509"/>
      <c r="GQ198" s="509"/>
      <c r="GR198" s="509"/>
      <c r="GS198" s="509"/>
      <c r="GT198" s="509"/>
      <c r="GU198" s="509"/>
      <c r="GV198" s="509"/>
      <c r="GW198" s="509"/>
      <c r="GX198" s="509"/>
      <c r="GY198" s="509"/>
      <c r="GZ198" s="509"/>
      <c r="HA198" s="509"/>
      <c r="HB198" s="509"/>
      <c r="HC198" s="509"/>
      <c r="HD198" s="509"/>
      <c r="HE198" s="509"/>
      <c r="HF198" s="509"/>
      <c r="HG198" s="509"/>
      <c r="HH198" s="509"/>
      <c r="HI198" s="509"/>
      <c r="HJ198" s="509"/>
      <c r="HK198" s="509"/>
      <c r="HL198" s="509"/>
      <c r="HM198" s="509"/>
      <c r="HN198" s="509"/>
      <c r="HO198" s="509"/>
      <c r="HP198" s="509"/>
      <c r="HQ198" s="509"/>
      <c r="HR198" s="509"/>
      <c r="HS198" s="509"/>
      <c r="HT198" s="509"/>
      <c r="HU198" s="509"/>
      <c r="HV198" s="509"/>
      <c r="HW198" s="509"/>
      <c r="HX198" s="509"/>
      <c r="HY198" s="509"/>
      <c r="HZ198" s="509"/>
    </row>
    <row r="199" spans="1:234" ht="15.9" hidden="1" customHeight="1" x14ac:dyDescent="0.25">
      <c r="A199" s="540" t="s">
        <v>3774</v>
      </c>
      <c r="B199" s="479" t="s">
        <v>3065</v>
      </c>
      <c r="C199" s="524" t="s">
        <v>3066</v>
      </c>
      <c r="D199" s="553" t="s">
        <v>2158</v>
      </c>
      <c r="E199" s="524" t="s">
        <v>3228</v>
      </c>
      <c r="F199" s="544">
        <v>39514</v>
      </c>
      <c r="G199" s="586">
        <v>39479</v>
      </c>
      <c r="H199" s="544">
        <v>39507</v>
      </c>
      <c r="I199" s="588">
        <v>40542</v>
      </c>
      <c r="J199" s="595">
        <v>10</v>
      </c>
      <c r="K199" s="561" t="s">
        <v>3229</v>
      </c>
      <c r="L199" s="553" t="s">
        <v>3229</v>
      </c>
      <c r="M199" s="600">
        <v>0</v>
      </c>
      <c r="N199" s="601">
        <v>0.8</v>
      </c>
      <c r="O199" s="596">
        <v>0.35</v>
      </c>
      <c r="P199" s="596" t="s">
        <v>3229</v>
      </c>
      <c r="Q199" s="575" t="s">
        <v>3229</v>
      </c>
      <c r="R199" s="596" t="s">
        <v>3229</v>
      </c>
      <c r="S199" s="597"/>
      <c r="T199" s="563" t="s">
        <v>3229</v>
      </c>
      <c r="U199" s="563" t="s">
        <v>3229</v>
      </c>
      <c r="V199" s="563" t="s">
        <v>3229</v>
      </c>
      <c r="W199" s="563" t="s">
        <v>3229</v>
      </c>
      <c r="X199" s="563" t="s">
        <v>3229</v>
      </c>
      <c r="Y199" s="563" t="s">
        <v>3229</v>
      </c>
      <c r="Z199" s="563" t="s">
        <v>3229</v>
      </c>
      <c r="AA199" s="563" t="s">
        <v>3229</v>
      </c>
      <c r="AB199" s="563" t="s">
        <v>3229</v>
      </c>
      <c r="AC199" s="563" t="s">
        <v>3229</v>
      </c>
      <c r="AD199" s="563" t="s">
        <v>3229</v>
      </c>
      <c r="AE199" s="563" t="s">
        <v>3229</v>
      </c>
      <c r="AF199" s="3764" t="s">
        <v>781</v>
      </c>
      <c r="AG199" s="3765"/>
      <c r="AH199" s="673" t="s">
        <v>3229</v>
      </c>
      <c r="AI199" s="673" t="s">
        <v>3229</v>
      </c>
      <c r="AJ199" s="673" t="s">
        <v>3229</v>
      </c>
      <c r="AK199" s="673" t="s">
        <v>3229</v>
      </c>
      <c r="AL199" s="673" t="s">
        <v>3229</v>
      </c>
      <c r="AM199" s="590">
        <v>1</v>
      </c>
      <c r="AN199" s="638">
        <v>0</v>
      </c>
      <c r="AO199" s="625">
        <v>10</v>
      </c>
      <c r="AP199" s="1368">
        <v>-0.2224837893667044</v>
      </c>
      <c r="AQ199" s="606">
        <v>-0.2224837893667044</v>
      </c>
      <c r="AR199" s="632">
        <v>0</v>
      </c>
      <c r="AS199" s="558">
        <v>0</v>
      </c>
      <c r="AT199" s="648" t="s">
        <v>3229</v>
      </c>
      <c r="AU199" s="559" t="s">
        <v>3229</v>
      </c>
      <c r="AV199" s="558">
        <f t="shared" si="31"/>
        <v>0</v>
      </c>
      <c r="AW199" s="558">
        <f t="shared" si="33"/>
        <v>0</v>
      </c>
      <c r="AX199" s="558" t="s">
        <v>3229</v>
      </c>
      <c r="AY199" s="559" t="s">
        <v>3229</v>
      </c>
      <c r="AZ199" s="642">
        <f t="shared" si="34"/>
        <v>10</v>
      </c>
      <c r="BA199" s="644" t="s">
        <v>2972</v>
      </c>
      <c r="BB199" s="570"/>
      <c r="BC199" s="637"/>
      <c r="BH199" s="3763"/>
      <c r="BI199" s="3763"/>
      <c r="BJ199" s="1639"/>
      <c r="BK199" s="1639"/>
      <c r="BL199" s="1639"/>
      <c r="BM199" s="1639"/>
      <c r="BN199" s="1639"/>
      <c r="BO199" s="1639"/>
      <c r="BP199" s="1639"/>
      <c r="BQ199" s="1639"/>
      <c r="BR199" s="1639"/>
      <c r="BS199" s="509"/>
      <c r="BT199" s="509"/>
      <c r="BU199" s="509"/>
      <c r="BV199" s="509"/>
      <c r="BW199" s="509"/>
      <c r="BX199" s="509"/>
      <c r="BY199" s="509"/>
      <c r="BZ199" s="509"/>
      <c r="CA199" s="509"/>
      <c r="CB199" s="509"/>
      <c r="CC199" s="509"/>
      <c r="CD199" s="509"/>
      <c r="CE199" s="509"/>
      <c r="CF199" s="509"/>
      <c r="CG199" s="509"/>
      <c r="CH199" s="509"/>
      <c r="CI199" s="509"/>
      <c r="CJ199" s="509"/>
      <c r="CK199" s="509"/>
      <c r="CL199" s="509"/>
      <c r="CM199" s="509"/>
      <c r="CN199" s="509"/>
      <c r="CO199" s="509"/>
      <c r="CP199" s="509"/>
      <c r="CQ199" s="509"/>
      <c r="CR199" s="509"/>
      <c r="CS199" s="509"/>
      <c r="CT199" s="509"/>
      <c r="CU199" s="509"/>
      <c r="CV199" s="509"/>
      <c r="CW199" s="509"/>
      <c r="CX199" s="509"/>
      <c r="CY199" s="509"/>
      <c r="CZ199" s="509"/>
      <c r="DA199" s="509"/>
      <c r="DB199" s="509"/>
      <c r="DC199" s="509"/>
      <c r="DD199" s="509"/>
      <c r="DE199" s="509"/>
      <c r="DF199" s="509"/>
      <c r="DG199" s="509"/>
      <c r="DH199" s="509"/>
      <c r="DI199" s="509"/>
      <c r="DJ199" s="509"/>
      <c r="DK199" s="509"/>
      <c r="DL199" s="509"/>
      <c r="DM199" s="509"/>
      <c r="DN199" s="509"/>
      <c r="DO199" s="509"/>
      <c r="DP199" s="509"/>
      <c r="DQ199" s="509"/>
      <c r="DR199" s="509"/>
      <c r="DS199" s="509"/>
      <c r="DT199" s="509"/>
      <c r="DU199" s="509"/>
      <c r="DV199" s="509"/>
      <c r="DW199" s="509"/>
      <c r="DX199" s="509"/>
      <c r="DY199" s="509"/>
      <c r="DZ199" s="509"/>
      <c r="EA199" s="509"/>
      <c r="EB199" s="509"/>
      <c r="EC199" s="509"/>
      <c r="ED199" s="509"/>
      <c r="EE199" s="509"/>
      <c r="EF199" s="509"/>
      <c r="EG199" s="509"/>
      <c r="EH199" s="509"/>
      <c r="EI199" s="509"/>
      <c r="EJ199" s="509"/>
      <c r="EK199" s="509"/>
      <c r="EL199" s="509"/>
      <c r="EM199" s="509"/>
      <c r="EN199" s="509"/>
      <c r="EO199" s="509"/>
      <c r="EP199" s="509"/>
      <c r="EQ199" s="509"/>
      <c r="ER199" s="509"/>
      <c r="ES199" s="509"/>
      <c r="ET199" s="509"/>
      <c r="EU199" s="509"/>
      <c r="EV199" s="509"/>
      <c r="EW199" s="509"/>
      <c r="EX199" s="509"/>
      <c r="EY199" s="509"/>
      <c r="EZ199" s="509"/>
      <c r="FA199" s="509"/>
      <c r="FB199" s="509"/>
      <c r="FC199" s="509"/>
      <c r="FD199" s="509"/>
      <c r="FE199" s="509"/>
      <c r="FF199" s="509"/>
      <c r="FG199" s="509"/>
      <c r="FH199" s="509"/>
      <c r="FI199" s="509"/>
      <c r="FJ199" s="509"/>
      <c r="FK199" s="509"/>
      <c r="FL199" s="509"/>
      <c r="FM199" s="509"/>
      <c r="FN199" s="509"/>
      <c r="FO199" s="509"/>
      <c r="FP199" s="509"/>
      <c r="FQ199" s="509"/>
      <c r="FR199" s="509"/>
      <c r="FS199" s="509"/>
      <c r="FT199" s="509"/>
      <c r="FU199" s="509"/>
      <c r="FV199" s="509"/>
      <c r="FW199" s="509"/>
      <c r="FX199" s="509"/>
      <c r="FY199" s="509"/>
      <c r="FZ199" s="509"/>
      <c r="GA199" s="509"/>
      <c r="GB199" s="509"/>
      <c r="GC199" s="509"/>
      <c r="GD199" s="509"/>
      <c r="GE199" s="509"/>
      <c r="GF199" s="509"/>
      <c r="GG199" s="509"/>
      <c r="GH199" s="509"/>
      <c r="GI199" s="509"/>
      <c r="GJ199" s="509"/>
      <c r="GK199" s="509"/>
      <c r="GL199" s="509"/>
      <c r="GM199" s="509"/>
      <c r="GN199" s="509"/>
      <c r="GO199" s="509"/>
      <c r="GP199" s="509"/>
      <c r="GQ199" s="509"/>
      <c r="GR199" s="509"/>
      <c r="GS199" s="509"/>
      <c r="GT199" s="509"/>
      <c r="GU199" s="509"/>
      <c r="GV199" s="509"/>
      <c r="GW199" s="509"/>
      <c r="GX199" s="509"/>
      <c r="GY199" s="509"/>
      <c r="GZ199" s="509"/>
      <c r="HA199" s="509"/>
      <c r="HB199" s="509"/>
      <c r="HC199" s="509"/>
      <c r="HD199" s="509"/>
      <c r="HE199" s="509"/>
      <c r="HF199" s="509"/>
      <c r="HG199" s="509"/>
      <c r="HH199" s="509"/>
      <c r="HI199" s="509"/>
      <c r="HJ199" s="509"/>
      <c r="HK199" s="509"/>
      <c r="HL199" s="509"/>
      <c r="HM199" s="509"/>
      <c r="HN199" s="509"/>
      <c r="HO199" s="509"/>
      <c r="HP199" s="509"/>
      <c r="HQ199" s="509"/>
      <c r="HR199" s="509"/>
      <c r="HS199" s="509"/>
      <c r="HT199" s="509"/>
      <c r="HU199" s="509"/>
      <c r="HV199" s="509"/>
      <c r="HW199" s="509"/>
      <c r="HX199" s="509"/>
      <c r="HY199" s="509"/>
      <c r="HZ199" s="509"/>
    </row>
    <row r="200" spans="1:234" ht="15.9" hidden="1" customHeight="1" x14ac:dyDescent="0.25">
      <c r="A200" s="540" t="s">
        <v>370</v>
      </c>
      <c r="B200" s="523" t="s">
        <v>1361</v>
      </c>
      <c r="C200" s="524" t="s">
        <v>1362</v>
      </c>
      <c r="D200" s="553" t="s">
        <v>189</v>
      </c>
      <c r="E200" s="524" t="s">
        <v>3228</v>
      </c>
      <c r="F200" s="544">
        <v>39514</v>
      </c>
      <c r="G200" s="586">
        <v>39479</v>
      </c>
      <c r="H200" s="544">
        <v>39507</v>
      </c>
      <c r="I200" s="588">
        <v>40998</v>
      </c>
      <c r="J200" s="595">
        <v>10</v>
      </c>
      <c r="K200" s="561" t="s">
        <v>3229</v>
      </c>
      <c r="L200" s="553" t="s">
        <v>3229</v>
      </c>
      <c r="M200" s="600">
        <v>0</v>
      </c>
      <c r="N200" s="601">
        <v>1</v>
      </c>
      <c r="O200" s="596" t="s">
        <v>3229</v>
      </c>
      <c r="P200" s="596" t="s">
        <v>3229</v>
      </c>
      <c r="Q200" s="575" t="s">
        <v>3229</v>
      </c>
      <c r="R200" s="596" t="s">
        <v>3229</v>
      </c>
      <c r="S200" s="597"/>
      <c r="T200" s="563" t="s">
        <v>3229</v>
      </c>
      <c r="U200" s="563" t="s">
        <v>3229</v>
      </c>
      <c r="V200" s="563" t="s">
        <v>3229</v>
      </c>
      <c r="W200" s="563" t="s">
        <v>3229</v>
      </c>
      <c r="X200" s="563" t="s">
        <v>3229</v>
      </c>
      <c r="Y200" s="563" t="s">
        <v>3229</v>
      </c>
      <c r="Z200" s="563" t="s">
        <v>3229</v>
      </c>
      <c r="AA200" s="563" t="s">
        <v>3229</v>
      </c>
      <c r="AB200" s="563" t="s">
        <v>3229</v>
      </c>
      <c r="AC200" s="563" t="s">
        <v>3229</v>
      </c>
      <c r="AD200" s="563" t="s">
        <v>3229</v>
      </c>
      <c r="AE200" s="563" t="s">
        <v>3229</v>
      </c>
      <c r="AF200" s="3764" t="s">
        <v>781</v>
      </c>
      <c r="AG200" s="3765"/>
      <c r="AH200" s="673" t="s">
        <v>3229</v>
      </c>
      <c r="AI200" s="673" t="s">
        <v>3229</v>
      </c>
      <c r="AJ200" s="673" t="s">
        <v>3229</v>
      </c>
      <c r="AK200" s="673" t="s">
        <v>3229</v>
      </c>
      <c r="AL200" s="673" t="s">
        <v>3229</v>
      </c>
      <c r="AM200" s="590">
        <v>1</v>
      </c>
      <c r="AN200" s="638">
        <v>0</v>
      </c>
      <c r="AO200" s="625">
        <v>9.98</v>
      </c>
      <c r="AP200" s="1368">
        <v>-0.2095681875</v>
      </c>
      <c r="AQ200" s="606">
        <v>-0.22520410739777896</v>
      </c>
      <c r="AR200" s="632" t="s">
        <v>3660</v>
      </c>
      <c r="AS200" s="558"/>
      <c r="AT200" s="648"/>
      <c r="AU200" s="559"/>
      <c r="AV200" s="558">
        <f t="shared" si="31"/>
        <v>0</v>
      </c>
      <c r="AW200" s="558">
        <f t="shared" si="33"/>
        <v>0</v>
      </c>
      <c r="AX200" s="558"/>
      <c r="AY200" s="559"/>
      <c r="AZ200" s="642">
        <f t="shared" si="34"/>
        <v>10</v>
      </c>
      <c r="BA200" s="644" t="s">
        <v>574</v>
      </c>
      <c r="BB200" s="570"/>
      <c r="BC200" s="637"/>
      <c r="BH200" s="3763"/>
      <c r="BI200" s="3763"/>
      <c r="BJ200" s="1639"/>
      <c r="BK200" s="1639"/>
      <c r="BL200" s="1639"/>
      <c r="BM200" s="1639"/>
      <c r="BN200" s="1639"/>
      <c r="BO200" s="1639"/>
      <c r="BP200" s="1639"/>
      <c r="BQ200" s="1639"/>
      <c r="BR200" s="1639"/>
      <c r="BS200" s="509"/>
      <c r="BT200" s="509"/>
      <c r="BU200" s="509"/>
      <c r="BV200" s="509"/>
      <c r="BW200" s="509"/>
      <c r="BX200" s="509"/>
      <c r="BY200" s="509"/>
      <c r="BZ200" s="509"/>
      <c r="CA200" s="509"/>
      <c r="CB200" s="509"/>
      <c r="CC200" s="509"/>
      <c r="CD200" s="509"/>
      <c r="CE200" s="509"/>
      <c r="CF200" s="509"/>
      <c r="CG200" s="509"/>
      <c r="CH200" s="509"/>
      <c r="CI200" s="509"/>
      <c r="CJ200" s="509"/>
      <c r="CK200" s="509"/>
      <c r="CL200" s="509"/>
      <c r="CM200" s="509"/>
      <c r="CN200" s="509"/>
      <c r="CO200" s="509"/>
      <c r="CP200" s="509"/>
      <c r="CQ200" s="509"/>
      <c r="CR200" s="509"/>
      <c r="CS200" s="509"/>
      <c r="CT200" s="509"/>
      <c r="CU200" s="509"/>
      <c r="CV200" s="509"/>
      <c r="CW200" s="509"/>
      <c r="CX200" s="509"/>
      <c r="CY200" s="509"/>
      <c r="CZ200" s="509"/>
      <c r="DA200" s="509"/>
      <c r="DB200" s="509"/>
      <c r="DC200" s="509"/>
      <c r="DD200" s="509"/>
      <c r="DE200" s="509"/>
      <c r="DF200" s="509"/>
      <c r="DG200" s="509"/>
      <c r="DH200" s="509"/>
      <c r="DI200" s="509"/>
      <c r="DJ200" s="509"/>
      <c r="DK200" s="509"/>
      <c r="DL200" s="509"/>
      <c r="DM200" s="509"/>
      <c r="DN200" s="509"/>
      <c r="DO200" s="509"/>
      <c r="DP200" s="509"/>
      <c r="DQ200" s="509"/>
      <c r="DR200" s="509"/>
      <c r="DS200" s="509"/>
      <c r="DT200" s="509"/>
      <c r="DU200" s="509"/>
      <c r="DV200" s="509"/>
      <c r="DW200" s="509"/>
      <c r="DX200" s="509"/>
      <c r="DY200" s="509"/>
      <c r="DZ200" s="509"/>
      <c r="EA200" s="509"/>
      <c r="EB200" s="509"/>
      <c r="EC200" s="509"/>
      <c r="ED200" s="509"/>
      <c r="EE200" s="509"/>
      <c r="EF200" s="509"/>
      <c r="EG200" s="509"/>
      <c r="EH200" s="509"/>
      <c r="EI200" s="509"/>
      <c r="EJ200" s="509"/>
      <c r="EK200" s="509"/>
      <c r="EL200" s="509"/>
      <c r="EM200" s="509"/>
      <c r="EN200" s="509"/>
      <c r="EO200" s="509"/>
      <c r="EP200" s="509"/>
      <c r="EQ200" s="509"/>
      <c r="ER200" s="509"/>
      <c r="ES200" s="509"/>
      <c r="ET200" s="509"/>
      <c r="EU200" s="509"/>
      <c r="EV200" s="509"/>
      <c r="EW200" s="509"/>
      <c r="EX200" s="509"/>
      <c r="EY200" s="509"/>
      <c r="EZ200" s="509"/>
      <c r="FA200" s="509"/>
      <c r="FB200" s="509"/>
      <c r="FC200" s="509"/>
      <c r="FD200" s="509"/>
      <c r="FE200" s="509"/>
      <c r="FF200" s="509"/>
      <c r="FG200" s="509"/>
      <c r="FH200" s="509"/>
      <c r="FI200" s="509"/>
      <c r="FJ200" s="509"/>
      <c r="FK200" s="509"/>
      <c r="FL200" s="509"/>
      <c r="FM200" s="509"/>
      <c r="FN200" s="509"/>
      <c r="FO200" s="509"/>
      <c r="FP200" s="509"/>
      <c r="FQ200" s="509"/>
      <c r="FR200" s="509"/>
      <c r="FS200" s="509"/>
      <c r="FT200" s="509"/>
      <c r="FU200" s="509"/>
      <c r="FV200" s="509"/>
      <c r="FW200" s="509"/>
      <c r="FX200" s="509"/>
      <c r="FY200" s="509"/>
      <c r="FZ200" s="509"/>
      <c r="GA200" s="509"/>
      <c r="GB200" s="509"/>
      <c r="GC200" s="509"/>
      <c r="GD200" s="509"/>
      <c r="GE200" s="509"/>
      <c r="GF200" s="509"/>
      <c r="GG200" s="509"/>
      <c r="GH200" s="509"/>
      <c r="GI200" s="509"/>
      <c r="GJ200" s="509"/>
      <c r="GK200" s="509"/>
      <c r="GL200" s="509"/>
      <c r="GM200" s="509"/>
      <c r="GN200" s="509"/>
      <c r="GO200" s="509"/>
      <c r="GP200" s="509"/>
      <c r="GQ200" s="509"/>
      <c r="GR200" s="509"/>
      <c r="GS200" s="509"/>
      <c r="GT200" s="509"/>
      <c r="GU200" s="509"/>
      <c r="GV200" s="509"/>
      <c r="GW200" s="509"/>
      <c r="GX200" s="509"/>
      <c r="GY200" s="509"/>
      <c r="GZ200" s="509"/>
      <c r="HA200" s="509"/>
      <c r="HB200" s="509"/>
      <c r="HC200" s="509"/>
      <c r="HD200" s="509"/>
      <c r="HE200" s="509"/>
      <c r="HF200" s="509"/>
      <c r="HG200" s="509"/>
      <c r="HH200" s="509"/>
      <c r="HI200" s="509"/>
      <c r="HJ200" s="509"/>
      <c r="HK200" s="509"/>
      <c r="HL200" s="509"/>
      <c r="HM200" s="509"/>
      <c r="HN200" s="509"/>
      <c r="HO200" s="509"/>
      <c r="HP200" s="509"/>
      <c r="HQ200" s="509"/>
      <c r="HR200" s="509"/>
      <c r="HS200" s="509"/>
      <c r="HT200" s="509"/>
      <c r="HU200" s="509"/>
      <c r="HV200" s="509"/>
      <c r="HW200" s="509"/>
      <c r="HX200" s="509"/>
      <c r="HY200" s="509"/>
      <c r="HZ200" s="509"/>
    </row>
    <row r="201" spans="1:234" ht="15.9" hidden="1" customHeight="1" x14ac:dyDescent="0.25">
      <c r="A201" s="540" t="s">
        <v>1363</v>
      </c>
      <c r="B201" s="523" t="s">
        <v>1364</v>
      </c>
      <c r="C201" s="524" t="s">
        <v>1365</v>
      </c>
      <c r="D201" s="553" t="s">
        <v>2158</v>
      </c>
      <c r="E201" s="524" t="s">
        <v>3228</v>
      </c>
      <c r="F201" s="544">
        <v>39514</v>
      </c>
      <c r="G201" s="586">
        <v>39479</v>
      </c>
      <c r="H201" s="544">
        <v>39507</v>
      </c>
      <c r="I201" s="588">
        <v>41362</v>
      </c>
      <c r="J201" s="595">
        <v>10</v>
      </c>
      <c r="K201" s="561" t="s">
        <v>3229</v>
      </c>
      <c r="L201" s="553" t="s">
        <v>3229</v>
      </c>
      <c r="M201" s="600">
        <v>0</v>
      </c>
      <c r="N201" s="601" t="s">
        <v>3229</v>
      </c>
      <c r="O201" s="596">
        <v>0.4</v>
      </c>
      <c r="P201" s="596" t="s">
        <v>3229</v>
      </c>
      <c r="Q201" s="575" t="s">
        <v>3229</v>
      </c>
      <c r="R201" s="596" t="s">
        <v>3229</v>
      </c>
      <c r="S201" s="597"/>
      <c r="T201" s="563" t="s">
        <v>3229</v>
      </c>
      <c r="U201" s="563" t="s">
        <v>3229</v>
      </c>
      <c r="V201" s="563" t="s">
        <v>3229</v>
      </c>
      <c r="W201" s="563" t="s">
        <v>3229</v>
      </c>
      <c r="X201" s="563" t="s">
        <v>3229</v>
      </c>
      <c r="Y201" s="563" t="s">
        <v>3229</v>
      </c>
      <c r="Z201" s="563" t="s">
        <v>3229</v>
      </c>
      <c r="AA201" s="563" t="s">
        <v>3229</v>
      </c>
      <c r="AB201" s="563" t="s">
        <v>3229</v>
      </c>
      <c r="AC201" s="563" t="s">
        <v>3229</v>
      </c>
      <c r="AD201" s="563" t="s">
        <v>3229</v>
      </c>
      <c r="AE201" s="563" t="s">
        <v>3229</v>
      </c>
      <c r="AF201" s="3764" t="s">
        <v>781</v>
      </c>
      <c r="AG201" s="3765"/>
      <c r="AH201" s="673" t="s">
        <v>3229</v>
      </c>
      <c r="AI201" s="673" t="s">
        <v>3229</v>
      </c>
      <c r="AJ201" s="673" t="s">
        <v>3229</v>
      </c>
      <c r="AK201" s="673" t="s">
        <v>3229</v>
      </c>
      <c r="AL201" s="673" t="s">
        <v>3229</v>
      </c>
      <c r="AM201" s="590">
        <v>1</v>
      </c>
      <c r="AN201" s="638">
        <v>0</v>
      </c>
      <c r="AO201" s="625">
        <v>10.14</v>
      </c>
      <c r="AP201" s="1368">
        <v>-0.1045</v>
      </c>
      <c r="AQ201" s="606">
        <v>-0.1045</v>
      </c>
      <c r="AR201" s="632">
        <v>0.4</v>
      </c>
      <c r="AS201" s="558">
        <v>6.871491024134091E-2</v>
      </c>
      <c r="AT201" s="648"/>
      <c r="AU201" s="559"/>
      <c r="AV201" s="558">
        <v>0</v>
      </c>
      <c r="AW201" s="558">
        <v>0</v>
      </c>
      <c r="AX201" s="558"/>
      <c r="AY201" s="559"/>
      <c r="AZ201" s="642">
        <v>10</v>
      </c>
      <c r="BA201" s="644" t="s">
        <v>3852</v>
      </c>
      <c r="BB201" s="570"/>
      <c r="BC201" s="637"/>
      <c r="BH201" s="3763"/>
      <c r="BI201" s="3763"/>
      <c r="BJ201" s="1639"/>
      <c r="BK201" s="1639"/>
      <c r="BL201" s="1639"/>
      <c r="BM201" s="1639"/>
      <c r="BN201" s="1639"/>
      <c r="BO201" s="1639"/>
      <c r="BP201" s="1639"/>
      <c r="BQ201" s="1639"/>
      <c r="BR201" s="1639"/>
      <c r="BS201" s="509"/>
      <c r="BT201" s="509"/>
      <c r="BU201" s="509"/>
      <c r="BV201" s="509"/>
      <c r="BW201" s="509"/>
      <c r="BX201" s="509"/>
      <c r="BY201" s="509"/>
      <c r="BZ201" s="509"/>
      <c r="CA201" s="509"/>
      <c r="CB201" s="509"/>
      <c r="CC201" s="509"/>
      <c r="CD201" s="509"/>
      <c r="CE201" s="509"/>
      <c r="CF201" s="509"/>
      <c r="CG201" s="509"/>
      <c r="CH201" s="509"/>
      <c r="CI201" s="509"/>
      <c r="CJ201" s="509"/>
      <c r="CK201" s="509"/>
      <c r="CL201" s="509"/>
      <c r="CM201" s="509"/>
      <c r="CN201" s="509"/>
      <c r="CO201" s="509"/>
      <c r="CP201" s="509"/>
      <c r="CQ201" s="509"/>
      <c r="CR201" s="509"/>
      <c r="CS201" s="509"/>
      <c r="CT201" s="509"/>
      <c r="CU201" s="509"/>
      <c r="CV201" s="509"/>
      <c r="CW201" s="509"/>
      <c r="CX201" s="509"/>
      <c r="CY201" s="509"/>
      <c r="CZ201" s="509"/>
      <c r="DA201" s="509"/>
      <c r="DB201" s="509"/>
      <c r="DC201" s="509"/>
      <c r="DD201" s="509"/>
      <c r="DE201" s="509"/>
      <c r="DF201" s="509"/>
      <c r="DG201" s="509"/>
      <c r="DH201" s="509"/>
      <c r="DI201" s="509"/>
      <c r="DJ201" s="509"/>
      <c r="DK201" s="509"/>
      <c r="DL201" s="509"/>
      <c r="DM201" s="509"/>
      <c r="DN201" s="509"/>
      <c r="DO201" s="509"/>
      <c r="DP201" s="509"/>
      <c r="DQ201" s="509"/>
      <c r="DR201" s="509"/>
      <c r="DS201" s="509"/>
      <c r="DT201" s="509"/>
      <c r="DU201" s="509"/>
      <c r="DV201" s="509"/>
      <c r="DW201" s="509"/>
      <c r="DX201" s="509"/>
      <c r="DY201" s="509"/>
      <c r="DZ201" s="509"/>
      <c r="EA201" s="509"/>
      <c r="EB201" s="509"/>
      <c r="EC201" s="509"/>
      <c r="ED201" s="509"/>
      <c r="EE201" s="509"/>
      <c r="EF201" s="509"/>
      <c r="EG201" s="509"/>
      <c r="EH201" s="509"/>
      <c r="EI201" s="509"/>
      <c r="EJ201" s="509"/>
      <c r="EK201" s="509"/>
      <c r="EL201" s="509"/>
      <c r="EM201" s="509"/>
      <c r="EN201" s="509"/>
      <c r="EO201" s="509"/>
      <c r="EP201" s="509"/>
      <c r="EQ201" s="509"/>
      <c r="ER201" s="509"/>
      <c r="ES201" s="509"/>
      <c r="ET201" s="509"/>
      <c r="EU201" s="509"/>
      <c r="EV201" s="509"/>
      <c r="EW201" s="509"/>
      <c r="EX201" s="509"/>
      <c r="EY201" s="509"/>
      <c r="EZ201" s="509"/>
      <c r="FA201" s="509"/>
      <c r="FB201" s="509"/>
      <c r="FC201" s="509"/>
      <c r="FD201" s="509"/>
      <c r="FE201" s="509"/>
      <c r="FF201" s="509"/>
      <c r="FG201" s="509"/>
      <c r="FH201" s="509"/>
      <c r="FI201" s="509"/>
      <c r="FJ201" s="509"/>
      <c r="FK201" s="509"/>
      <c r="FL201" s="509"/>
      <c r="FM201" s="509"/>
      <c r="FN201" s="509"/>
      <c r="FO201" s="509"/>
      <c r="FP201" s="509"/>
      <c r="FQ201" s="509"/>
      <c r="FR201" s="509"/>
      <c r="FS201" s="509"/>
      <c r="FT201" s="509"/>
      <c r="FU201" s="509"/>
      <c r="FV201" s="509"/>
      <c r="FW201" s="509"/>
      <c r="FX201" s="509"/>
      <c r="FY201" s="509"/>
      <c r="FZ201" s="509"/>
      <c r="GA201" s="509"/>
      <c r="GB201" s="509"/>
      <c r="GC201" s="509"/>
      <c r="GD201" s="509"/>
      <c r="GE201" s="509"/>
      <c r="GF201" s="509"/>
      <c r="GG201" s="509"/>
      <c r="GH201" s="509"/>
      <c r="GI201" s="509"/>
      <c r="GJ201" s="509"/>
      <c r="GK201" s="509"/>
      <c r="GL201" s="509"/>
      <c r="GM201" s="509"/>
      <c r="GN201" s="509"/>
      <c r="GO201" s="509"/>
      <c r="GP201" s="509"/>
      <c r="GQ201" s="509"/>
      <c r="GR201" s="509"/>
      <c r="GS201" s="509"/>
      <c r="GT201" s="509"/>
      <c r="GU201" s="509"/>
      <c r="GV201" s="509"/>
      <c r="GW201" s="509"/>
      <c r="GX201" s="509"/>
      <c r="GY201" s="509"/>
      <c r="GZ201" s="509"/>
      <c r="HA201" s="509"/>
      <c r="HB201" s="509"/>
      <c r="HC201" s="509"/>
      <c r="HD201" s="509"/>
      <c r="HE201" s="509"/>
      <c r="HF201" s="509"/>
      <c r="HG201" s="509"/>
      <c r="HH201" s="509"/>
      <c r="HI201" s="509"/>
      <c r="HJ201" s="509"/>
      <c r="HK201" s="509"/>
      <c r="HL201" s="509"/>
      <c r="HM201" s="509"/>
      <c r="HN201" s="509"/>
      <c r="HO201" s="509"/>
      <c r="HP201" s="509"/>
      <c r="HQ201" s="509"/>
      <c r="HR201" s="509"/>
      <c r="HS201" s="509"/>
      <c r="HT201" s="509"/>
      <c r="HU201" s="509"/>
      <c r="HV201" s="509"/>
      <c r="HW201" s="509"/>
      <c r="HX201" s="509"/>
      <c r="HY201" s="509"/>
      <c r="HZ201" s="509"/>
    </row>
    <row r="202" spans="1:234" ht="15.9" hidden="1" customHeight="1" x14ac:dyDescent="0.25">
      <c r="A202" s="540" t="s">
        <v>1341</v>
      </c>
      <c r="B202" s="523" t="s">
        <v>1366</v>
      </c>
      <c r="C202" s="524" t="s">
        <v>1367</v>
      </c>
      <c r="D202" s="553" t="s">
        <v>189</v>
      </c>
      <c r="E202" s="526" t="s">
        <v>3228</v>
      </c>
      <c r="F202" s="586">
        <v>39514</v>
      </c>
      <c r="G202" s="586">
        <v>39479</v>
      </c>
      <c r="H202" s="544">
        <v>39507</v>
      </c>
      <c r="I202" s="594">
        <v>41547</v>
      </c>
      <c r="J202" s="595">
        <v>10</v>
      </c>
      <c r="K202" s="561" t="s">
        <v>3229</v>
      </c>
      <c r="L202" s="553" t="s">
        <v>3229</v>
      </c>
      <c r="M202" s="600">
        <v>0</v>
      </c>
      <c r="N202" s="601">
        <v>0.9</v>
      </c>
      <c r="O202" s="596" t="s">
        <v>3229</v>
      </c>
      <c r="P202" s="596" t="s">
        <v>3229</v>
      </c>
      <c r="Q202" s="596" t="s">
        <v>3229</v>
      </c>
      <c r="R202" s="596" t="s">
        <v>3229</v>
      </c>
      <c r="S202" s="597"/>
      <c r="T202" s="563" t="s">
        <v>3229</v>
      </c>
      <c r="U202" s="563" t="s">
        <v>3229</v>
      </c>
      <c r="V202" s="563" t="s">
        <v>3229</v>
      </c>
      <c r="W202" s="563" t="s">
        <v>3229</v>
      </c>
      <c r="X202" s="563" t="s">
        <v>3229</v>
      </c>
      <c r="Y202" s="563" t="s">
        <v>3229</v>
      </c>
      <c r="Z202" s="563" t="s">
        <v>3229</v>
      </c>
      <c r="AA202" s="563" t="s">
        <v>3229</v>
      </c>
      <c r="AB202" s="563" t="s">
        <v>3229</v>
      </c>
      <c r="AC202" s="563" t="s">
        <v>3229</v>
      </c>
      <c r="AD202" s="563" t="s">
        <v>3229</v>
      </c>
      <c r="AE202" s="563" t="s">
        <v>3229</v>
      </c>
      <c r="AF202" s="3764" t="s">
        <v>781</v>
      </c>
      <c r="AG202" s="3765"/>
      <c r="AH202" s="673" t="s">
        <v>3229</v>
      </c>
      <c r="AI202" s="673" t="s">
        <v>3229</v>
      </c>
      <c r="AJ202" s="673" t="s">
        <v>3229</v>
      </c>
      <c r="AK202" s="673" t="s">
        <v>3229</v>
      </c>
      <c r="AL202" s="673" t="s">
        <v>3229</v>
      </c>
      <c r="AM202" s="590">
        <v>1</v>
      </c>
      <c r="AN202" s="638">
        <v>0</v>
      </c>
      <c r="AO202" s="625">
        <v>10.029999999999999</v>
      </c>
      <c r="AP202" s="1368">
        <v>-7.312523433989726E-2</v>
      </c>
      <c r="AQ202" s="658">
        <v>-9.7865328586021663E-2</v>
      </c>
      <c r="AR202" s="558" t="s">
        <v>3660</v>
      </c>
      <c r="AS202" s="558"/>
      <c r="AT202" s="648"/>
      <c r="AU202" s="559"/>
      <c r="AV202" s="558">
        <f t="shared" si="31"/>
        <v>0</v>
      </c>
      <c r="AW202" s="558">
        <f t="shared" si="33"/>
        <v>0</v>
      </c>
      <c r="AX202" s="589">
        <f>J202*(1+AV202)/AO202-1</f>
        <v>-2.9910269192422456E-3</v>
      </c>
      <c r="AY202" s="587" t="e">
        <f>POWER(1+AX202,1/AG202)-1</f>
        <v>#DIV/0!</v>
      </c>
      <c r="AZ202" s="676">
        <f t="shared" si="34"/>
        <v>10</v>
      </c>
      <c r="BA202" s="644" t="s">
        <v>3512</v>
      </c>
      <c r="BB202" s="570"/>
      <c r="BC202" s="637"/>
      <c r="BH202" s="3763"/>
      <c r="BI202" s="3763"/>
      <c r="BJ202" s="1639"/>
      <c r="BK202" s="1639"/>
      <c r="BL202" s="1639"/>
      <c r="BM202" s="1639"/>
      <c r="BN202" s="1639"/>
      <c r="BO202" s="1639"/>
      <c r="BP202" s="1639"/>
      <c r="BQ202" s="1639"/>
      <c r="BR202" s="1639"/>
      <c r="BS202" s="509"/>
      <c r="BT202" s="509"/>
      <c r="BU202" s="509"/>
      <c r="BV202" s="509"/>
      <c r="BW202" s="509"/>
      <c r="BX202" s="509"/>
      <c r="BY202" s="509"/>
      <c r="BZ202" s="509"/>
      <c r="CA202" s="509"/>
      <c r="CB202" s="509"/>
      <c r="CC202" s="509"/>
      <c r="CD202" s="509"/>
      <c r="CE202" s="509"/>
      <c r="CF202" s="509"/>
      <c r="CG202" s="509"/>
      <c r="CH202" s="509"/>
      <c r="CI202" s="509"/>
      <c r="CJ202" s="509"/>
      <c r="CK202" s="509"/>
      <c r="CL202" s="509"/>
      <c r="CM202" s="509"/>
      <c r="CN202" s="509"/>
      <c r="CO202" s="509"/>
      <c r="CP202" s="509"/>
      <c r="CQ202" s="509"/>
      <c r="CR202" s="509"/>
      <c r="CS202" s="509"/>
      <c r="CT202" s="509"/>
      <c r="CU202" s="509"/>
      <c r="CV202" s="509"/>
      <c r="CW202" s="509"/>
      <c r="CX202" s="509"/>
      <c r="CY202" s="509"/>
      <c r="CZ202" s="509"/>
      <c r="DA202" s="509"/>
      <c r="DB202" s="509"/>
      <c r="DC202" s="509"/>
      <c r="DD202" s="509"/>
      <c r="DE202" s="509"/>
      <c r="DF202" s="509"/>
      <c r="DG202" s="509"/>
      <c r="DH202" s="509"/>
      <c r="DI202" s="509"/>
      <c r="DJ202" s="509"/>
      <c r="DK202" s="509"/>
      <c r="DL202" s="509"/>
      <c r="DM202" s="509"/>
      <c r="DN202" s="509"/>
      <c r="DO202" s="509"/>
      <c r="DP202" s="509"/>
      <c r="DQ202" s="509"/>
      <c r="DR202" s="509"/>
      <c r="DS202" s="509"/>
      <c r="DT202" s="509"/>
      <c r="DU202" s="509"/>
      <c r="DV202" s="509"/>
      <c r="DW202" s="509"/>
      <c r="DX202" s="509"/>
      <c r="DY202" s="509"/>
      <c r="DZ202" s="509"/>
      <c r="EA202" s="509"/>
      <c r="EB202" s="509"/>
      <c r="EC202" s="509"/>
      <c r="ED202" s="509"/>
      <c r="EE202" s="509"/>
      <c r="EF202" s="509"/>
      <c r="EG202" s="509"/>
      <c r="EH202" s="509"/>
      <c r="EI202" s="509"/>
      <c r="EJ202" s="509"/>
      <c r="EK202" s="509"/>
      <c r="EL202" s="509"/>
      <c r="EM202" s="509"/>
      <c r="EN202" s="509"/>
      <c r="EO202" s="509"/>
      <c r="EP202" s="509"/>
      <c r="EQ202" s="509"/>
      <c r="ER202" s="509"/>
      <c r="ES202" s="509"/>
      <c r="ET202" s="509"/>
      <c r="EU202" s="509"/>
      <c r="EV202" s="509"/>
      <c r="EW202" s="509"/>
      <c r="EX202" s="509"/>
      <c r="EY202" s="509"/>
      <c r="EZ202" s="509"/>
      <c r="FA202" s="509"/>
      <c r="FB202" s="509"/>
      <c r="FC202" s="509"/>
      <c r="FD202" s="509"/>
      <c r="FE202" s="509"/>
      <c r="FF202" s="509"/>
      <c r="FG202" s="509"/>
      <c r="FH202" s="509"/>
      <c r="FI202" s="509"/>
      <c r="FJ202" s="509"/>
      <c r="FK202" s="509"/>
      <c r="FL202" s="509"/>
      <c r="FM202" s="509"/>
      <c r="FN202" s="509"/>
      <c r="FO202" s="509"/>
      <c r="FP202" s="509"/>
      <c r="FQ202" s="509"/>
      <c r="FR202" s="509"/>
      <c r="FS202" s="509"/>
      <c r="FT202" s="509"/>
      <c r="FU202" s="509"/>
      <c r="FV202" s="509"/>
      <c r="FW202" s="509"/>
      <c r="FX202" s="509"/>
      <c r="FY202" s="509"/>
      <c r="FZ202" s="509"/>
      <c r="GA202" s="509"/>
      <c r="GB202" s="509"/>
      <c r="GC202" s="509"/>
      <c r="GD202" s="509"/>
      <c r="GE202" s="509"/>
      <c r="GF202" s="509"/>
      <c r="GG202" s="509"/>
      <c r="GH202" s="509"/>
      <c r="GI202" s="509"/>
      <c r="GJ202" s="509"/>
      <c r="GK202" s="509"/>
      <c r="GL202" s="509"/>
      <c r="GM202" s="509"/>
      <c r="GN202" s="509"/>
      <c r="GO202" s="509"/>
      <c r="GP202" s="509"/>
      <c r="GQ202" s="509"/>
      <c r="GR202" s="509"/>
      <c r="GS202" s="509"/>
      <c r="GT202" s="509"/>
      <c r="GU202" s="509"/>
      <c r="GV202" s="509"/>
      <c r="GW202" s="509"/>
      <c r="GX202" s="509"/>
      <c r="GY202" s="509"/>
      <c r="GZ202" s="509"/>
      <c r="HA202" s="509"/>
      <c r="HB202" s="509"/>
      <c r="HC202" s="509"/>
      <c r="HD202" s="509"/>
      <c r="HE202" s="509"/>
      <c r="HF202" s="509"/>
      <c r="HG202" s="509"/>
      <c r="HH202" s="509"/>
      <c r="HI202" s="509"/>
      <c r="HJ202" s="509"/>
      <c r="HK202" s="509"/>
      <c r="HL202" s="509"/>
      <c r="HM202" s="509"/>
      <c r="HN202" s="509"/>
      <c r="HO202" s="509"/>
      <c r="HP202" s="509"/>
      <c r="HQ202" s="509"/>
      <c r="HR202" s="509"/>
      <c r="HS202" s="509"/>
      <c r="HT202" s="509"/>
      <c r="HU202" s="509"/>
      <c r="HV202" s="509"/>
      <c r="HW202" s="509"/>
      <c r="HX202" s="509"/>
      <c r="HY202" s="509"/>
      <c r="HZ202" s="509"/>
    </row>
    <row r="203" spans="1:234" ht="15.9" hidden="1" customHeight="1" x14ac:dyDescent="0.25">
      <c r="A203" s="540" t="s">
        <v>1368</v>
      </c>
      <c r="B203" s="523" t="s">
        <v>1369</v>
      </c>
      <c r="C203" s="524" t="s">
        <v>2643</v>
      </c>
      <c r="D203" s="553" t="s">
        <v>2644</v>
      </c>
      <c r="E203" s="526" t="s">
        <v>3228</v>
      </c>
      <c r="F203" s="586">
        <v>39519</v>
      </c>
      <c r="G203" s="586">
        <v>39479</v>
      </c>
      <c r="H203" s="544">
        <v>39507</v>
      </c>
      <c r="I203" s="594">
        <v>41558</v>
      </c>
      <c r="J203" s="595">
        <v>10</v>
      </c>
      <c r="K203" s="561" t="s">
        <v>3229</v>
      </c>
      <c r="L203" s="553" t="s">
        <v>3229</v>
      </c>
      <c r="M203" s="600">
        <v>0</v>
      </c>
      <c r="N203" s="601">
        <v>0.65</v>
      </c>
      <c r="O203" s="596" t="s">
        <v>3229</v>
      </c>
      <c r="P203" s="596" t="s">
        <v>3229</v>
      </c>
      <c r="Q203" s="596" t="s">
        <v>3229</v>
      </c>
      <c r="R203" s="596" t="s">
        <v>3229</v>
      </c>
      <c r="S203" s="597"/>
      <c r="T203" s="563" t="s">
        <v>3229</v>
      </c>
      <c r="U203" s="563" t="s">
        <v>3229</v>
      </c>
      <c r="V203" s="563" t="s">
        <v>3229</v>
      </c>
      <c r="W203" s="563" t="s">
        <v>3229</v>
      </c>
      <c r="X203" s="563" t="s">
        <v>3229</v>
      </c>
      <c r="Y203" s="563" t="s">
        <v>3229</v>
      </c>
      <c r="Z203" s="563" t="s">
        <v>3229</v>
      </c>
      <c r="AA203" s="563" t="s">
        <v>3229</v>
      </c>
      <c r="AB203" s="563" t="s">
        <v>3229</v>
      </c>
      <c r="AC203" s="563" t="s">
        <v>3229</v>
      </c>
      <c r="AD203" s="563" t="s">
        <v>3229</v>
      </c>
      <c r="AE203" s="563" t="s">
        <v>3229</v>
      </c>
      <c r="AF203" s="3764" t="s">
        <v>781</v>
      </c>
      <c r="AG203" s="3765"/>
      <c r="AH203" s="673" t="s">
        <v>3229</v>
      </c>
      <c r="AI203" s="673" t="s">
        <v>3229</v>
      </c>
      <c r="AJ203" s="673" t="s">
        <v>3229</v>
      </c>
      <c r="AK203" s="673" t="s">
        <v>3229</v>
      </c>
      <c r="AL203" s="673" t="s">
        <v>3229</v>
      </c>
      <c r="AM203" s="590">
        <v>1</v>
      </c>
      <c r="AN203" s="638">
        <v>0</v>
      </c>
      <c r="AO203" s="625">
        <v>10</v>
      </c>
      <c r="AP203" s="1368">
        <v>-4.700973333333331E-2</v>
      </c>
      <c r="AQ203" s="658">
        <v>-1.7062510805828011E-2</v>
      </c>
      <c r="AR203" s="558" t="s">
        <v>3660</v>
      </c>
      <c r="AS203" s="558"/>
      <c r="AT203" s="648"/>
      <c r="AU203" s="559"/>
      <c r="AV203" s="558">
        <f t="shared" si="31"/>
        <v>0</v>
      </c>
      <c r="AW203" s="558">
        <f t="shared" si="33"/>
        <v>0</v>
      </c>
      <c r="AX203" s="589">
        <f>J203*(1+AV203)/AO203-1</f>
        <v>0</v>
      </c>
      <c r="AY203" s="587" t="e">
        <f>POWER(1+AX203,1/AG203)-1</f>
        <v>#DIV/0!</v>
      </c>
      <c r="AZ203" s="676">
        <f t="shared" si="34"/>
        <v>10</v>
      </c>
      <c r="BA203" s="644" t="s">
        <v>3190</v>
      </c>
      <c r="BB203" s="570"/>
      <c r="BC203" s="637"/>
      <c r="BH203" s="3763"/>
      <c r="BI203" s="3763"/>
      <c r="BJ203" s="1639"/>
      <c r="BK203" s="1639"/>
      <c r="BL203" s="1639"/>
      <c r="BM203" s="1639"/>
      <c r="BN203" s="1639"/>
      <c r="BO203" s="1639"/>
      <c r="BP203" s="1639"/>
      <c r="BQ203" s="1639"/>
      <c r="BR203" s="1639"/>
      <c r="BS203" s="509"/>
      <c r="BT203" s="509"/>
      <c r="BU203" s="509"/>
      <c r="BV203" s="509"/>
      <c r="BW203" s="509"/>
      <c r="BX203" s="509"/>
      <c r="BY203" s="509"/>
      <c r="BZ203" s="509"/>
      <c r="CA203" s="509"/>
      <c r="CB203" s="509"/>
      <c r="CC203" s="509"/>
      <c r="CD203" s="509"/>
      <c r="CE203" s="509"/>
      <c r="CF203" s="509"/>
      <c r="CG203" s="509"/>
      <c r="CH203" s="509"/>
      <c r="CI203" s="509"/>
      <c r="CJ203" s="509"/>
      <c r="CK203" s="509"/>
      <c r="CL203" s="509"/>
      <c r="CM203" s="509"/>
      <c r="CN203" s="509"/>
      <c r="CO203" s="509"/>
      <c r="CP203" s="509"/>
      <c r="CQ203" s="509"/>
      <c r="CR203" s="509"/>
      <c r="CS203" s="509"/>
      <c r="CT203" s="509"/>
      <c r="CU203" s="509"/>
      <c r="CV203" s="509"/>
      <c r="CW203" s="509"/>
      <c r="CX203" s="509"/>
      <c r="CY203" s="509"/>
      <c r="CZ203" s="509"/>
      <c r="DA203" s="509"/>
      <c r="DB203" s="509"/>
      <c r="DC203" s="509"/>
      <c r="DD203" s="509"/>
      <c r="DE203" s="509"/>
      <c r="DF203" s="509"/>
      <c r="DG203" s="509"/>
      <c r="DH203" s="509"/>
      <c r="DI203" s="509"/>
      <c r="DJ203" s="509"/>
      <c r="DK203" s="509"/>
      <c r="DL203" s="509"/>
      <c r="DM203" s="509"/>
      <c r="DN203" s="509"/>
      <c r="DO203" s="509"/>
      <c r="DP203" s="509"/>
      <c r="DQ203" s="509"/>
      <c r="DR203" s="509"/>
      <c r="DS203" s="509"/>
      <c r="DT203" s="509"/>
      <c r="DU203" s="509"/>
      <c r="DV203" s="509"/>
      <c r="DW203" s="509"/>
      <c r="DX203" s="509"/>
      <c r="DY203" s="509"/>
      <c r="DZ203" s="509"/>
      <c r="EA203" s="509"/>
      <c r="EB203" s="509"/>
      <c r="EC203" s="509"/>
      <c r="ED203" s="509"/>
      <c r="EE203" s="509"/>
      <c r="EF203" s="509"/>
      <c r="EG203" s="509"/>
      <c r="EH203" s="509"/>
      <c r="EI203" s="509"/>
      <c r="EJ203" s="509"/>
      <c r="EK203" s="509"/>
      <c r="EL203" s="509"/>
      <c r="EM203" s="509"/>
      <c r="EN203" s="509"/>
      <c r="EO203" s="509"/>
      <c r="EP203" s="509"/>
      <c r="EQ203" s="509"/>
      <c r="ER203" s="509"/>
      <c r="ES203" s="509"/>
      <c r="ET203" s="509"/>
      <c r="EU203" s="509"/>
      <c r="EV203" s="509"/>
      <c r="EW203" s="509"/>
      <c r="EX203" s="509"/>
      <c r="EY203" s="509"/>
      <c r="EZ203" s="509"/>
      <c r="FA203" s="509"/>
      <c r="FB203" s="509"/>
      <c r="FC203" s="509"/>
      <c r="FD203" s="509"/>
      <c r="FE203" s="509"/>
      <c r="FF203" s="509"/>
      <c r="FG203" s="509"/>
      <c r="FH203" s="509"/>
      <c r="FI203" s="509"/>
      <c r="FJ203" s="509"/>
      <c r="FK203" s="509"/>
      <c r="FL203" s="509"/>
      <c r="FM203" s="509"/>
      <c r="FN203" s="509"/>
      <c r="FO203" s="509"/>
      <c r="FP203" s="509"/>
      <c r="FQ203" s="509"/>
      <c r="FR203" s="509"/>
      <c r="FS203" s="509"/>
      <c r="FT203" s="509"/>
      <c r="FU203" s="509"/>
      <c r="FV203" s="509"/>
      <c r="FW203" s="509"/>
      <c r="FX203" s="509"/>
      <c r="FY203" s="509"/>
      <c r="FZ203" s="509"/>
      <c r="GA203" s="509"/>
      <c r="GB203" s="509"/>
      <c r="GC203" s="509"/>
      <c r="GD203" s="509"/>
      <c r="GE203" s="509"/>
      <c r="GF203" s="509"/>
      <c r="GG203" s="509"/>
      <c r="GH203" s="509"/>
      <c r="GI203" s="509"/>
      <c r="GJ203" s="509"/>
      <c r="GK203" s="509"/>
      <c r="GL203" s="509"/>
      <c r="GM203" s="509"/>
      <c r="GN203" s="509"/>
      <c r="GO203" s="509"/>
      <c r="GP203" s="509"/>
      <c r="GQ203" s="509"/>
      <c r="GR203" s="509"/>
      <c r="GS203" s="509"/>
      <c r="GT203" s="509"/>
      <c r="GU203" s="509"/>
      <c r="GV203" s="509"/>
      <c r="GW203" s="509"/>
      <c r="GX203" s="509"/>
      <c r="GY203" s="509"/>
      <c r="GZ203" s="509"/>
      <c r="HA203" s="509"/>
      <c r="HB203" s="509"/>
      <c r="HC203" s="509"/>
      <c r="HD203" s="509"/>
      <c r="HE203" s="509"/>
      <c r="HF203" s="509"/>
      <c r="HG203" s="509"/>
      <c r="HH203" s="509"/>
      <c r="HI203" s="509"/>
      <c r="HJ203" s="509"/>
      <c r="HK203" s="509"/>
      <c r="HL203" s="509"/>
      <c r="HM203" s="509"/>
      <c r="HN203" s="509"/>
      <c r="HO203" s="509"/>
      <c r="HP203" s="509"/>
      <c r="HQ203" s="509"/>
      <c r="HR203" s="509"/>
      <c r="HS203" s="509"/>
      <c r="HT203" s="509"/>
      <c r="HU203" s="509"/>
      <c r="HV203" s="509"/>
      <c r="HW203" s="509"/>
      <c r="HX203" s="509"/>
      <c r="HY203" s="509"/>
      <c r="HZ203" s="509"/>
    </row>
    <row r="204" spans="1:234" ht="15.9" hidden="1" customHeight="1" x14ac:dyDescent="0.25">
      <c r="A204" s="540" t="s">
        <v>5398</v>
      </c>
      <c r="B204" s="523" t="s">
        <v>5399</v>
      </c>
      <c r="C204" s="524" t="s">
        <v>2826</v>
      </c>
      <c r="D204" s="553" t="s">
        <v>4384</v>
      </c>
      <c r="E204" s="526" t="s">
        <v>3228</v>
      </c>
      <c r="F204" s="586">
        <v>39514</v>
      </c>
      <c r="G204" s="586">
        <v>39468</v>
      </c>
      <c r="H204" s="544">
        <v>39507</v>
      </c>
      <c r="I204" s="594">
        <v>41453</v>
      </c>
      <c r="J204" s="595">
        <v>10</v>
      </c>
      <c r="K204" s="561" t="s">
        <v>3229</v>
      </c>
      <c r="L204" s="553" t="s">
        <v>3229</v>
      </c>
      <c r="M204" s="600">
        <v>-0.05</v>
      </c>
      <c r="N204" s="601">
        <v>1.1000000000000001</v>
      </c>
      <c r="O204" s="596" t="s">
        <v>3229</v>
      </c>
      <c r="P204" s="596" t="s">
        <v>3229</v>
      </c>
      <c r="Q204" s="596" t="s">
        <v>3229</v>
      </c>
      <c r="R204" s="596" t="s">
        <v>3229</v>
      </c>
      <c r="S204" s="597"/>
      <c r="T204" s="563" t="s">
        <v>3229</v>
      </c>
      <c r="U204" s="563" t="s">
        <v>3229</v>
      </c>
      <c r="V204" s="563" t="s">
        <v>3229</v>
      </c>
      <c r="W204" s="563" t="s">
        <v>3229</v>
      </c>
      <c r="X204" s="563" t="s">
        <v>3229</v>
      </c>
      <c r="Y204" s="563" t="s">
        <v>3229</v>
      </c>
      <c r="Z204" s="563" t="s">
        <v>3229</v>
      </c>
      <c r="AA204" s="563" t="s">
        <v>3229</v>
      </c>
      <c r="AB204" s="563" t="s">
        <v>3229</v>
      </c>
      <c r="AC204" s="563" t="s">
        <v>3229</v>
      </c>
      <c r="AD204" s="563" t="s">
        <v>3229</v>
      </c>
      <c r="AE204" s="563" t="s">
        <v>3229</v>
      </c>
      <c r="AF204" s="3764" t="s">
        <v>781</v>
      </c>
      <c r="AG204" s="3765"/>
      <c r="AH204" s="673" t="s">
        <v>3229</v>
      </c>
      <c r="AI204" s="673" t="s">
        <v>3229</v>
      </c>
      <c r="AJ204" s="673" t="s">
        <v>3229</v>
      </c>
      <c r="AK204" s="673" t="s">
        <v>3229</v>
      </c>
      <c r="AL204" s="673" t="s">
        <v>3229</v>
      </c>
      <c r="AM204" s="590">
        <v>1</v>
      </c>
      <c r="AN204" s="638">
        <v>-0.05</v>
      </c>
      <c r="AO204" s="625">
        <v>9.5</v>
      </c>
      <c r="AP204" s="1368">
        <v>-0.14886489444444442</v>
      </c>
      <c r="AQ204" s="658">
        <v>-5.7843603473304792E-2</v>
      </c>
      <c r="AR204" s="3764" t="s">
        <v>3660</v>
      </c>
      <c r="AS204" s="3771"/>
      <c r="AT204" s="3771"/>
      <c r="AU204" s="3772"/>
      <c r="AV204" s="558">
        <f t="shared" si="31"/>
        <v>-0.05</v>
      </c>
      <c r="AW204" s="558">
        <f t="shared" si="33"/>
        <v>-9.6090547112976932E-3</v>
      </c>
      <c r="AX204" s="589">
        <f>J204*(1+AV204)/AO204-1</f>
        <v>0</v>
      </c>
      <c r="AY204" s="587" t="e">
        <f>POWER(1+AX204,1/AG204)-1</f>
        <v>#DIV/0!</v>
      </c>
      <c r="AZ204" s="676">
        <f t="shared" si="34"/>
        <v>9.5</v>
      </c>
      <c r="BA204" s="644" t="s">
        <v>3344</v>
      </c>
      <c r="BB204" s="570"/>
      <c r="BC204" s="637"/>
      <c r="BH204" s="3763"/>
      <c r="BI204" s="3763"/>
      <c r="BJ204" s="1639"/>
      <c r="BK204" s="1639"/>
      <c r="BL204" s="1639"/>
      <c r="BM204" s="1639"/>
      <c r="BN204" s="1639"/>
      <c r="BO204" s="1639"/>
      <c r="BP204" s="1639"/>
      <c r="BQ204" s="1639"/>
      <c r="BR204" s="1639"/>
      <c r="BS204" s="509"/>
      <c r="BT204" s="509"/>
      <c r="BU204" s="509"/>
      <c r="BV204" s="509"/>
      <c r="BW204" s="509"/>
      <c r="BX204" s="509"/>
      <c r="BY204" s="509"/>
      <c r="BZ204" s="509"/>
      <c r="CA204" s="509"/>
      <c r="CB204" s="509"/>
      <c r="CC204" s="509"/>
      <c r="CD204" s="509"/>
      <c r="CE204" s="509"/>
      <c r="CF204" s="509"/>
      <c r="CG204" s="509"/>
      <c r="CH204" s="509"/>
      <c r="CI204" s="509"/>
      <c r="CJ204" s="509"/>
      <c r="CK204" s="509"/>
      <c r="CL204" s="509"/>
      <c r="CM204" s="509"/>
      <c r="CN204" s="509"/>
      <c r="CO204" s="509"/>
      <c r="CP204" s="509"/>
      <c r="CQ204" s="509"/>
      <c r="CR204" s="509"/>
      <c r="CS204" s="509"/>
      <c r="CT204" s="509"/>
      <c r="CU204" s="509"/>
      <c r="CV204" s="509"/>
      <c r="CW204" s="509"/>
      <c r="CX204" s="509"/>
      <c r="CY204" s="509"/>
      <c r="CZ204" s="509"/>
      <c r="DA204" s="509"/>
      <c r="DB204" s="509"/>
      <c r="DC204" s="509"/>
      <c r="DD204" s="509"/>
      <c r="DE204" s="509"/>
      <c r="DF204" s="509"/>
      <c r="DG204" s="509"/>
      <c r="DH204" s="509"/>
      <c r="DI204" s="509"/>
      <c r="DJ204" s="509"/>
      <c r="DK204" s="509"/>
      <c r="DL204" s="509"/>
      <c r="DM204" s="509"/>
      <c r="DN204" s="509"/>
      <c r="DO204" s="509"/>
      <c r="DP204" s="509"/>
      <c r="DQ204" s="509"/>
      <c r="DR204" s="509"/>
      <c r="DS204" s="509"/>
      <c r="DT204" s="509"/>
      <c r="DU204" s="509"/>
      <c r="DV204" s="509"/>
      <c r="DW204" s="509"/>
      <c r="DX204" s="509"/>
      <c r="DY204" s="509"/>
      <c r="DZ204" s="509"/>
      <c r="EA204" s="509"/>
      <c r="EB204" s="509"/>
      <c r="EC204" s="509"/>
      <c r="ED204" s="509"/>
      <c r="EE204" s="509"/>
      <c r="EF204" s="509"/>
      <c r="EG204" s="509"/>
      <c r="EH204" s="509"/>
      <c r="EI204" s="509"/>
      <c r="EJ204" s="509"/>
      <c r="EK204" s="509"/>
      <c r="EL204" s="509"/>
      <c r="EM204" s="509"/>
      <c r="EN204" s="509"/>
      <c r="EO204" s="509"/>
      <c r="EP204" s="509"/>
      <c r="EQ204" s="509"/>
      <c r="ER204" s="509"/>
      <c r="ES204" s="509"/>
      <c r="ET204" s="509"/>
      <c r="EU204" s="509"/>
      <c r="EV204" s="509"/>
      <c r="EW204" s="509"/>
      <c r="EX204" s="509"/>
      <c r="EY204" s="509"/>
      <c r="EZ204" s="509"/>
      <c r="FA204" s="509"/>
      <c r="FB204" s="509"/>
      <c r="FC204" s="509"/>
      <c r="FD204" s="509"/>
      <c r="FE204" s="509"/>
      <c r="FF204" s="509"/>
      <c r="FG204" s="509"/>
      <c r="FH204" s="509"/>
      <c r="FI204" s="509"/>
      <c r="FJ204" s="509"/>
      <c r="FK204" s="509"/>
      <c r="FL204" s="509"/>
      <c r="FM204" s="509"/>
      <c r="FN204" s="509"/>
      <c r="FO204" s="509"/>
      <c r="FP204" s="509"/>
      <c r="FQ204" s="509"/>
      <c r="FR204" s="509"/>
      <c r="FS204" s="509"/>
      <c r="FT204" s="509"/>
      <c r="FU204" s="509"/>
      <c r="FV204" s="509"/>
      <c r="FW204" s="509"/>
      <c r="FX204" s="509"/>
      <c r="FY204" s="509"/>
      <c r="FZ204" s="509"/>
      <c r="GA204" s="509"/>
      <c r="GB204" s="509"/>
      <c r="GC204" s="509"/>
      <c r="GD204" s="509"/>
      <c r="GE204" s="509"/>
      <c r="GF204" s="509"/>
      <c r="GG204" s="509"/>
      <c r="GH204" s="509"/>
      <c r="GI204" s="509"/>
      <c r="GJ204" s="509"/>
      <c r="GK204" s="509"/>
      <c r="GL204" s="509"/>
      <c r="GM204" s="509"/>
      <c r="GN204" s="509"/>
      <c r="GO204" s="509"/>
      <c r="GP204" s="509"/>
      <c r="GQ204" s="509"/>
      <c r="GR204" s="509"/>
      <c r="GS204" s="509"/>
      <c r="GT204" s="509"/>
      <c r="GU204" s="509"/>
      <c r="GV204" s="509"/>
      <c r="GW204" s="509"/>
      <c r="GX204" s="509"/>
      <c r="GY204" s="509"/>
      <c r="GZ204" s="509"/>
      <c r="HA204" s="509"/>
      <c r="HB204" s="509"/>
      <c r="HC204" s="509"/>
      <c r="HD204" s="509"/>
      <c r="HE204" s="509"/>
      <c r="HF204" s="509"/>
      <c r="HG204" s="509"/>
      <c r="HH204" s="509"/>
      <c r="HI204" s="509"/>
      <c r="HJ204" s="509"/>
      <c r="HK204" s="509"/>
      <c r="HL204" s="509"/>
      <c r="HM204" s="509"/>
      <c r="HN204" s="509"/>
      <c r="HO204" s="509"/>
      <c r="HP204" s="509"/>
      <c r="HQ204" s="509"/>
      <c r="HR204" s="509"/>
      <c r="HS204" s="509"/>
      <c r="HT204" s="509"/>
      <c r="HU204" s="509"/>
      <c r="HV204" s="509"/>
      <c r="HW204" s="509"/>
      <c r="HX204" s="509"/>
      <c r="HY204" s="509"/>
      <c r="HZ204" s="509"/>
    </row>
    <row r="205" spans="1:234" ht="15.9" hidden="1" customHeight="1" x14ac:dyDescent="0.25">
      <c r="A205" s="540" t="s">
        <v>1534</v>
      </c>
      <c r="B205" s="523" t="s">
        <v>3155</v>
      </c>
      <c r="C205" s="524" t="s">
        <v>3834</v>
      </c>
      <c r="D205" s="553" t="s">
        <v>4384</v>
      </c>
      <c r="E205" s="526" t="s">
        <v>3228</v>
      </c>
      <c r="F205" s="586">
        <v>39521</v>
      </c>
      <c r="G205" s="586">
        <v>39482</v>
      </c>
      <c r="H205" s="544">
        <v>39514</v>
      </c>
      <c r="I205" s="594">
        <v>41547</v>
      </c>
      <c r="J205" s="595">
        <v>10</v>
      </c>
      <c r="K205" s="561" t="s">
        <v>3229</v>
      </c>
      <c r="L205" s="553" t="s">
        <v>3229</v>
      </c>
      <c r="M205" s="600">
        <v>-0.05</v>
      </c>
      <c r="N205" s="601">
        <v>0.95</v>
      </c>
      <c r="O205" s="596" t="s">
        <v>3229</v>
      </c>
      <c r="P205" s="596" t="s">
        <v>3229</v>
      </c>
      <c r="Q205" s="596" t="s">
        <v>3229</v>
      </c>
      <c r="R205" s="596" t="s">
        <v>3229</v>
      </c>
      <c r="S205" s="597"/>
      <c r="T205" s="563" t="s">
        <v>3229</v>
      </c>
      <c r="U205" s="563" t="s">
        <v>3229</v>
      </c>
      <c r="V205" s="563" t="s">
        <v>3229</v>
      </c>
      <c r="W205" s="563" t="s">
        <v>3229</v>
      </c>
      <c r="X205" s="563" t="s">
        <v>3229</v>
      </c>
      <c r="Y205" s="563" t="s">
        <v>3229</v>
      </c>
      <c r="Z205" s="563" t="s">
        <v>3229</v>
      </c>
      <c r="AA205" s="563" t="s">
        <v>3229</v>
      </c>
      <c r="AB205" s="563" t="s">
        <v>3229</v>
      </c>
      <c r="AC205" s="563" t="s">
        <v>3229</v>
      </c>
      <c r="AD205" s="563" t="s">
        <v>3229</v>
      </c>
      <c r="AE205" s="563" t="s">
        <v>3229</v>
      </c>
      <c r="AF205" s="3764" t="s">
        <v>781</v>
      </c>
      <c r="AG205" s="3765"/>
      <c r="AH205" s="673" t="s">
        <v>3229</v>
      </c>
      <c r="AI205" s="673" t="s">
        <v>3229</v>
      </c>
      <c r="AJ205" s="673" t="s">
        <v>3229</v>
      </c>
      <c r="AK205" s="673" t="s">
        <v>3229</v>
      </c>
      <c r="AL205" s="673" t="s">
        <v>3229</v>
      </c>
      <c r="AM205" s="590">
        <v>1</v>
      </c>
      <c r="AN205" s="638">
        <v>-0.05</v>
      </c>
      <c r="AO205" s="625">
        <v>9.51</v>
      </c>
      <c r="AP205" s="1368">
        <v>-0.24305445644203261</v>
      </c>
      <c r="AQ205" s="658">
        <v>-0.44864545644203258</v>
      </c>
      <c r="AR205" s="558" t="s">
        <v>3660</v>
      </c>
      <c r="AS205" s="558"/>
      <c r="AT205" s="648"/>
      <c r="AU205" s="559"/>
      <c r="AV205" s="558">
        <f t="shared" si="31"/>
        <v>-0.05</v>
      </c>
      <c r="AW205" s="558">
        <f t="shared" si="33"/>
        <v>-9.1983287459309615E-3</v>
      </c>
      <c r="AX205" s="589">
        <f>J205*(1+AV205)/AO205-1</f>
        <v>-1.051524710830698E-3</v>
      </c>
      <c r="AY205" s="587" t="e">
        <f>POWER(1+AX205,1/AG205)-1</f>
        <v>#DIV/0!</v>
      </c>
      <c r="AZ205" s="676">
        <f t="shared" si="34"/>
        <v>9.5</v>
      </c>
      <c r="BA205" s="644" t="s">
        <v>3512</v>
      </c>
      <c r="BB205" s="570"/>
      <c r="BC205" s="637"/>
      <c r="BH205" s="3763"/>
      <c r="BI205" s="3763"/>
      <c r="BJ205" s="1639"/>
      <c r="BK205" s="1639"/>
      <c r="BL205" s="1639"/>
      <c r="BM205" s="1639"/>
      <c r="BN205" s="1639"/>
      <c r="BO205" s="1639"/>
      <c r="BP205" s="1639"/>
      <c r="BQ205" s="1639"/>
      <c r="BR205" s="1639"/>
      <c r="BS205" s="509"/>
      <c r="BT205" s="509"/>
      <c r="BU205" s="509"/>
      <c r="BV205" s="509"/>
      <c r="BW205" s="509"/>
      <c r="BX205" s="509"/>
      <c r="BY205" s="509"/>
      <c r="BZ205" s="509"/>
      <c r="CA205" s="509"/>
      <c r="CB205" s="509"/>
      <c r="CC205" s="509"/>
      <c r="CD205" s="509"/>
      <c r="CE205" s="509"/>
      <c r="CF205" s="509"/>
      <c r="CG205" s="509"/>
      <c r="CH205" s="509"/>
      <c r="CI205" s="509"/>
      <c r="CJ205" s="509"/>
      <c r="CK205" s="509"/>
      <c r="CL205" s="509"/>
      <c r="CM205" s="509"/>
      <c r="CN205" s="509"/>
      <c r="CO205" s="509"/>
      <c r="CP205" s="509"/>
      <c r="CQ205" s="509"/>
      <c r="CR205" s="509"/>
      <c r="CS205" s="509"/>
      <c r="CT205" s="509"/>
      <c r="CU205" s="509"/>
      <c r="CV205" s="509"/>
      <c r="CW205" s="509"/>
      <c r="CX205" s="509"/>
      <c r="CY205" s="509"/>
      <c r="CZ205" s="509"/>
      <c r="DA205" s="509"/>
      <c r="DB205" s="509"/>
      <c r="DC205" s="509"/>
      <c r="DD205" s="509"/>
      <c r="DE205" s="509"/>
      <c r="DF205" s="509"/>
      <c r="DG205" s="509"/>
      <c r="DH205" s="509"/>
      <c r="DI205" s="509"/>
      <c r="DJ205" s="509"/>
      <c r="DK205" s="509"/>
      <c r="DL205" s="509"/>
      <c r="DM205" s="509"/>
      <c r="DN205" s="509"/>
      <c r="DO205" s="509"/>
      <c r="DP205" s="509"/>
      <c r="DQ205" s="509"/>
      <c r="DR205" s="509"/>
      <c r="DS205" s="509"/>
      <c r="DT205" s="509"/>
      <c r="DU205" s="509"/>
      <c r="DV205" s="509"/>
      <c r="DW205" s="509"/>
      <c r="DX205" s="509"/>
      <c r="DY205" s="509"/>
      <c r="DZ205" s="509"/>
      <c r="EA205" s="509"/>
      <c r="EB205" s="509"/>
      <c r="EC205" s="509"/>
      <c r="ED205" s="509"/>
      <c r="EE205" s="509"/>
      <c r="EF205" s="509"/>
      <c r="EG205" s="509"/>
      <c r="EH205" s="509"/>
      <c r="EI205" s="509"/>
      <c r="EJ205" s="509"/>
      <c r="EK205" s="509"/>
      <c r="EL205" s="509"/>
      <c r="EM205" s="509"/>
      <c r="EN205" s="509"/>
      <c r="EO205" s="509"/>
      <c r="EP205" s="509"/>
      <c r="EQ205" s="509"/>
      <c r="ER205" s="509"/>
      <c r="ES205" s="509"/>
      <c r="ET205" s="509"/>
      <c r="EU205" s="509"/>
      <c r="EV205" s="509"/>
      <c r="EW205" s="509"/>
      <c r="EX205" s="509"/>
      <c r="EY205" s="509"/>
      <c r="EZ205" s="509"/>
      <c r="FA205" s="509"/>
      <c r="FB205" s="509"/>
      <c r="FC205" s="509"/>
      <c r="FD205" s="509"/>
      <c r="FE205" s="509"/>
      <c r="FF205" s="509"/>
      <c r="FG205" s="509"/>
      <c r="FH205" s="509"/>
      <c r="FI205" s="509"/>
      <c r="FJ205" s="509"/>
      <c r="FK205" s="509"/>
      <c r="FL205" s="509"/>
      <c r="FM205" s="509"/>
      <c r="FN205" s="509"/>
      <c r="FO205" s="509"/>
      <c r="FP205" s="509"/>
      <c r="FQ205" s="509"/>
      <c r="FR205" s="509"/>
      <c r="FS205" s="509"/>
      <c r="FT205" s="509"/>
      <c r="FU205" s="509"/>
      <c r="FV205" s="509"/>
      <c r="FW205" s="509"/>
      <c r="FX205" s="509"/>
      <c r="FY205" s="509"/>
      <c r="FZ205" s="509"/>
      <c r="GA205" s="509"/>
      <c r="GB205" s="509"/>
      <c r="GC205" s="509"/>
      <c r="GD205" s="509"/>
      <c r="GE205" s="509"/>
      <c r="GF205" s="509"/>
      <c r="GG205" s="509"/>
      <c r="GH205" s="509"/>
      <c r="GI205" s="509"/>
      <c r="GJ205" s="509"/>
      <c r="GK205" s="509"/>
      <c r="GL205" s="509"/>
      <c r="GM205" s="509"/>
      <c r="GN205" s="509"/>
      <c r="GO205" s="509"/>
      <c r="GP205" s="509"/>
      <c r="GQ205" s="509"/>
      <c r="GR205" s="509"/>
      <c r="GS205" s="509"/>
      <c r="GT205" s="509"/>
      <c r="GU205" s="509"/>
      <c r="GV205" s="509"/>
      <c r="GW205" s="509"/>
      <c r="GX205" s="509"/>
      <c r="GY205" s="509"/>
      <c r="GZ205" s="509"/>
      <c r="HA205" s="509"/>
      <c r="HB205" s="509"/>
      <c r="HC205" s="509"/>
      <c r="HD205" s="509"/>
      <c r="HE205" s="509"/>
      <c r="HF205" s="509"/>
      <c r="HG205" s="509"/>
      <c r="HH205" s="509"/>
      <c r="HI205" s="509"/>
      <c r="HJ205" s="509"/>
      <c r="HK205" s="509"/>
      <c r="HL205" s="509"/>
      <c r="HM205" s="509"/>
      <c r="HN205" s="509"/>
      <c r="HO205" s="509"/>
      <c r="HP205" s="509"/>
      <c r="HQ205" s="509"/>
      <c r="HR205" s="509"/>
      <c r="HS205" s="509"/>
      <c r="HT205" s="509"/>
      <c r="HU205" s="509"/>
      <c r="HV205" s="509"/>
      <c r="HW205" s="509"/>
      <c r="HX205" s="509"/>
      <c r="HY205" s="509"/>
      <c r="HZ205" s="509"/>
    </row>
    <row r="206" spans="1:234" ht="15.9" hidden="1" customHeight="1" x14ac:dyDescent="0.25">
      <c r="A206" s="540" t="s">
        <v>1535</v>
      </c>
      <c r="B206" s="523" t="s">
        <v>1110</v>
      </c>
      <c r="C206" s="524" t="s">
        <v>287</v>
      </c>
      <c r="D206" s="553" t="s">
        <v>4383</v>
      </c>
      <c r="E206" s="526" t="s">
        <v>3228</v>
      </c>
      <c r="F206" s="586">
        <v>39545</v>
      </c>
      <c r="G206" s="586">
        <v>39496</v>
      </c>
      <c r="H206" s="544">
        <v>39537</v>
      </c>
      <c r="I206" s="594">
        <v>41029</v>
      </c>
      <c r="J206" s="595">
        <v>10</v>
      </c>
      <c r="K206" s="561" t="s">
        <v>3229</v>
      </c>
      <c r="L206" s="553" t="s">
        <v>3229</v>
      </c>
      <c r="M206" s="600">
        <v>0</v>
      </c>
      <c r="N206" s="601">
        <v>1.3</v>
      </c>
      <c r="O206" s="596" t="s">
        <v>3229</v>
      </c>
      <c r="P206" s="596" t="s">
        <v>3229</v>
      </c>
      <c r="Q206" s="596" t="s">
        <v>3229</v>
      </c>
      <c r="R206" s="596" t="s">
        <v>3229</v>
      </c>
      <c r="S206" s="597"/>
      <c r="T206" s="563" t="s">
        <v>3229</v>
      </c>
      <c r="U206" s="563" t="s">
        <v>3229</v>
      </c>
      <c r="V206" s="563" t="s">
        <v>3229</v>
      </c>
      <c r="W206" s="563" t="s">
        <v>3229</v>
      </c>
      <c r="X206" s="563" t="s">
        <v>3229</v>
      </c>
      <c r="Y206" s="563" t="s">
        <v>3229</v>
      </c>
      <c r="Z206" s="563" t="s">
        <v>3229</v>
      </c>
      <c r="AA206" s="563" t="s">
        <v>3229</v>
      </c>
      <c r="AB206" s="563" t="s">
        <v>3229</v>
      </c>
      <c r="AC206" s="563" t="s">
        <v>3229</v>
      </c>
      <c r="AD206" s="563" t="s">
        <v>3229</v>
      </c>
      <c r="AE206" s="563" t="s">
        <v>3229</v>
      </c>
      <c r="AF206" s="3764" t="s">
        <v>781</v>
      </c>
      <c r="AG206" s="3765"/>
      <c r="AH206" s="673" t="s">
        <v>3229</v>
      </c>
      <c r="AI206" s="673" t="s">
        <v>3229</v>
      </c>
      <c r="AJ206" s="673" t="s">
        <v>3229</v>
      </c>
      <c r="AK206" s="673" t="s">
        <v>3229</v>
      </c>
      <c r="AL206" s="673" t="s">
        <v>3229</v>
      </c>
      <c r="AM206" s="590">
        <v>1</v>
      </c>
      <c r="AN206" s="638">
        <v>0</v>
      </c>
      <c r="AO206" s="625">
        <v>10.01</v>
      </c>
      <c r="AP206" s="1368">
        <v>-0.25512431250000001</v>
      </c>
      <c r="AQ206" s="658">
        <v>-0.23332681675348907</v>
      </c>
      <c r="AR206" s="558" t="s">
        <v>3660</v>
      </c>
      <c r="AS206" s="558"/>
      <c r="AT206" s="648"/>
      <c r="AU206" s="559"/>
      <c r="AV206" s="558">
        <v>0</v>
      </c>
      <c r="AW206" s="558">
        <v>0</v>
      </c>
      <c r="AX206" s="589"/>
      <c r="AY206" s="587"/>
      <c r="AZ206" s="676">
        <v>10</v>
      </c>
      <c r="BA206" s="644" t="s">
        <v>574</v>
      </c>
      <c r="BB206" s="570"/>
      <c r="BC206" s="637"/>
      <c r="BH206" s="3763"/>
      <c r="BI206" s="3763"/>
      <c r="BJ206" s="1639"/>
      <c r="BK206" s="1639"/>
      <c r="BL206" s="1639"/>
      <c r="BM206" s="1639"/>
      <c r="BN206" s="1639"/>
      <c r="BO206" s="1639"/>
      <c r="BP206" s="1639"/>
      <c r="BQ206" s="1639"/>
      <c r="BR206" s="1639"/>
      <c r="BS206" s="509"/>
      <c r="BT206" s="509"/>
      <c r="BU206" s="509"/>
      <c r="BV206" s="509"/>
      <c r="BW206" s="509"/>
      <c r="BX206" s="509"/>
      <c r="BY206" s="509"/>
      <c r="BZ206" s="509"/>
      <c r="CA206" s="509"/>
      <c r="CB206" s="509"/>
      <c r="CC206" s="509"/>
      <c r="CD206" s="509"/>
      <c r="CE206" s="509"/>
      <c r="CF206" s="509"/>
      <c r="CG206" s="509"/>
      <c r="CH206" s="509"/>
      <c r="CI206" s="509"/>
      <c r="CJ206" s="509"/>
      <c r="CK206" s="509"/>
      <c r="CL206" s="509"/>
      <c r="CM206" s="509"/>
      <c r="CN206" s="509"/>
      <c r="CO206" s="509"/>
      <c r="CP206" s="509"/>
      <c r="CQ206" s="509"/>
      <c r="CR206" s="509"/>
      <c r="CS206" s="509"/>
      <c r="CT206" s="509"/>
      <c r="CU206" s="509"/>
      <c r="CV206" s="509"/>
      <c r="CW206" s="509"/>
      <c r="CX206" s="509"/>
      <c r="CY206" s="509"/>
      <c r="CZ206" s="509"/>
      <c r="DA206" s="509"/>
      <c r="DB206" s="509"/>
      <c r="DC206" s="509"/>
      <c r="DD206" s="509"/>
      <c r="DE206" s="509"/>
      <c r="DF206" s="509"/>
      <c r="DG206" s="509"/>
      <c r="DH206" s="509"/>
      <c r="DI206" s="509"/>
      <c r="DJ206" s="509"/>
      <c r="DK206" s="509"/>
      <c r="DL206" s="509"/>
      <c r="DM206" s="509"/>
      <c r="DN206" s="509"/>
      <c r="DO206" s="509"/>
      <c r="DP206" s="509"/>
      <c r="DQ206" s="509"/>
      <c r="DR206" s="509"/>
      <c r="DS206" s="509"/>
      <c r="DT206" s="509"/>
      <c r="DU206" s="509"/>
      <c r="DV206" s="509"/>
      <c r="DW206" s="509"/>
      <c r="DX206" s="509"/>
      <c r="DY206" s="509"/>
      <c r="DZ206" s="509"/>
      <c r="EA206" s="509"/>
      <c r="EB206" s="509"/>
      <c r="EC206" s="509"/>
      <c r="ED206" s="509"/>
      <c r="EE206" s="509"/>
      <c r="EF206" s="509"/>
      <c r="EG206" s="509"/>
      <c r="EH206" s="509"/>
      <c r="EI206" s="509"/>
      <c r="EJ206" s="509"/>
      <c r="EK206" s="509"/>
      <c r="EL206" s="509"/>
      <c r="EM206" s="509"/>
      <c r="EN206" s="509"/>
      <c r="EO206" s="509"/>
      <c r="EP206" s="509"/>
      <c r="EQ206" s="509"/>
      <c r="ER206" s="509"/>
      <c r="ES206" s="509"/>
      <c r="ET206" s="509"/>
      <c r="EU206" s="509"/>
      <c r="EV206" s="509"/>
      <c r="EW206" s="509"/>
      <c r="EX206" s="509"/>
      <c r="EY206" s="509"/>
      <c r="EZ206" s="509"/>
      <c r="FA206" s="509"/>
      <c r="FB206" s="509"/>
      <c r="FC206" s="509"/>
      <c r="FD206" s="509"/>
      <c r="FE206" s="509"/>
      <c r="FF206" s="509"/>
      <c r="FG206" s="509"/>
      <c r="FH206" s="509"/>
      <c r="FI206" s="509"/>
      <c r="FJ206" s="509"/>
      <c r="FK206" s="509"/>
      <c r="FL206" s="509"/>
      <c r="FM206" s="509"/>
      <c r="FN206" s="509"/>
      <c r="FO206" s="509"/>
      <c r="FP206" s="509"/>
      <c r="FQ206" s="509"/>
      <c r="FR206" s="509"/>
      <c r="FS206" s="509"/>
      <c r="FT206" s="509"/>
      <c r="FU206" s="509"/>
      <c r="FV206" s="509"/>
      <c r="FW206" s="509"/>
      <c r="FX206" s="509"/>
      <c r="FY206" s="509"/>
      <c r="FZ206" s="509"/>
      <c r="GA206" s="509"/>
      <c r="GB206" s="509"/>
      <c r="GC206" s="509"/>
      <c r="GD206" s="509"/>
      <c r="GE206" s="509"/>
      <c r="GF206" s="509"/>
      <c r="GG206" s="509"/>
      <c r="GH206" s="509"/>
      <c r="GI206" s="509"/>
      <c r="GJ206" s="509"/>
      <c r="GK206" s="509"/>
      <c r="GL206" s="509"/>
      <c r="GM206" s="509"/>
      <c r="GN206" s="509"/>
      <c r="GO206" s="509"/>
      <c r="GP206" s="509"/>
      <c r="GQ206" s="509"/>
      <c r="GR206" s="509"/>
      <c r="GS206" s="509"/>
      <c r="GT206" s="509"/>
      <c r="GU206" s="509"/>
      <c r="GV206" s="509"/>
      <c r="GW206" s="509"/>
      <c r="GX206" s="509"/>
      <c r="GY206" s="509"/>
      <c r="GZ206" s="509"/>
      <c r="HA206" s="509"/>
      <c r="HB206" s="509"/>
      <c r="HC206" s="509"/>
      <c r="HD206" s="509"/>
      <c r="HE206" s="509"/>
      <c r="HF206" s="509"/>
      <c r="HG206" s="509"/>
      <c r="HH206" s="509"/>
      <c r="HI206" s="509"/>
      <c r="HJ206" s="509"/>
      <c r="HK206" s="509"/>
      <c r="HL206" s="509"/>
      <c r="HM206" s="509"/>
      <c r="HN206" s="509"/>
      <c r="HO206" s="509"/>
      <c r="HP206" s="509"/>
      <c r="HQ206" s="509"/>
      <c r="HR206" s="509"/>
      <c r="HS206" s="509"/>
      <c r="HT206" s="509"/>
      <c r="HU206" s="509"/>
      <c r="HV206" s="509"/>
      <c r="HW206" s="509"/>
      <c r="HX206" s="509"/>
      <c r="HY206" s="509"/>
      <c r="HZ206" s="509"/>
    </row>
    <row r="207" spans="1:234" ht="15.9" hidden="1" customHeight="1" x14ac:dyDescent="0.25">
      <c r="A207" s="540" t="s">
        <v>963</v>
      </c>
      <c r="B207" s="523" t="s">
        <v>3354</v>
      </c>
      <c r="C207" s="524" t="s">
        <v>2478</v>
      </c>
      <c r="D207" s="553" t="s">
        <v>2158</v>
      </c>
      <c r="E207" s="526" t="s">
        <v>3228</v>
      </c>
      <c r="F207" s="586">
        <v>39545</v>
      </c>
      <c r="G207" s="586">
        <v>39510</v>
      </c>
      <c r="H207" s="544">
        <v>39538</v>
      </c>
      <c r="I207" s="594">
        <v>41578</v>
      </c>
      <c r="J207" s="595">
        <v>10</v>
      </c>
      <c r="K207" s="561" t="s">
        <v>3229</v>
      </c>
      <c r="L207" s="553" t="s">
        <v>3229</v>
      </c>
      <c r="M207" s="600">
        <v>0</v>
      </c>
      <c r="N207" s="601">
        <v>0.7</v>
      </c>
      <c r="O207" s="596" t="s">
        <v>3229</v>
      </c>
      <c r="P207" s="596" t="s">
        <v>3229</v>
      </c>
      <c r="Q207" s="596" t="s">
        <v>3229</v>
      </c>
      <c r="R207" s="596" t="s">
        <v>3229</v>
      </c>
      <c r="S207" s="597"/>
      <c r="T207" s="563" t="s">
        <v>3229</v>
      </c>
      <c r="U207" s="563" t="s">
        <v>3229</v>
      </c>
      <c r="V207" s="563" t="s">
        <v>3229</v>
      </c>
      <c r="W207" s="563" t="s">
        <v>3229</v>
      </c>
      <c r="X207" s="563" t="s">
        <v>3229</v>
      </c>
      <c r="Y207" s="563" t="s">
        <v>3229</v>
      </c>
      <c r="Z207" s="563" t="s">
        <v>3229</v>
      </c>
      <c r="AA207" s="563" t="s">
        <v>3229</v>
      </c>
      <c r="AB207" s="563" t="s">
        <v>3229</v>
      </c>
      <c r="AC207" s="563" t="s">
        <v>3229</v>
      </c>
      <c r="AD207" s="563" t="s">
        <v>3229</v>
      </c>
      <c r="AE207" s="563" t="s">
        <v>3229</v>
      </c>
      <c r="AF207" s="3764" t="s">
        <v>781</v>
      </c>
      <c r="AG207" s="3765"/>
      <c r="AH207" s="673" t="s">
        <v>3229</v>
      </c>
      <c r="AI207" s="673" t="s">
        <v>3229</v>
      </c>
      <c r="AJ207" s="673" t="s">
        <v>3229</v>
      </c>
      <c r="AK207" s="673" t="s">
        <v>3229</v>
      </c>
      <c r="AL207" s="673" t="s">
        <v>3229</v>
      </c>
      <c r="AM207" s="590">
        <v>1</v>
      </c>
      <c r="AN207" s="638">
        <v>0.32629999999999998</v>
      </c>
      <c r="AO207" s="625">
        <v>13.3</v>
      </c>
      <c r="AP207" s="1368">
        <v>0.32625619444444448</v>
      </c>
      <c r="AQ207" s="658">
        <v>0.43374897129169721</v>
      </c>
      <c r="AR207" s="558" t="s">
        <v>3660</v>
      </c>
      <c r="AS207" s="558"/>
      <c r="AT207" s="648"/>
      <c r="AU207" s="559"/>
      <c r="AV207" s="558">
        <f t="shared" si="31"/>
        <v>0</v>
      </c>
      <c r="AW207" s="558">
        <f t="shared" ref="AW207:AW219" si="35">POWER(1+AV207,1/((I207-F207)/365))-1</f>
        <v>0</v>
      </c>
      <c r="AX207" s="589">
        <f>J207*(1+AV207)/AO207-1</f>
        <v>-0.24812030075187974</v>
      </c>
      <c r="AY207" s="587" t="e">
        <f>POWER(1+AX207,1/AG207)-1</f>
        <v>#DIV/0!</v>
      </c>
      <c r="AZ207" s="676">
        <f>J207*(1+AV207)</f>
        <v>10</v>
      </c>
      <c r="BA207" s="644" t="s">
        <v>3190</v>
      </c>
      <c r="BB207" s="570"/>
      <c r="BC207" s="637"/>
      <c r="BH207" s="3763"/>
      <c r="BI207" s="3763"/>
      <c r="BJ207" s="1639"/>
      <c r="BK207" s="1639"/>
      <c r="BL207" s="1639"/>
      <c r="BM207" s="1639"/>
      <c r="BN207" s="1639"/>
      <c r="BO207" s="1639"/>
      <c r="BP207" s="1639"/>
      <c r="BQ207" s="1639"/>
      <c r="BR207" s="1639"/>
      <c r="BS207" s="509"/>
      <c r="BT207" s="509"/>
      <c r="BU207" s="509"/>
      <c r="BV207" s="509"/>
      <c r="BW207" s="509"/>
      <c r="BX207" s="509"/>
      <c r="BY207" s="509"/>
      <c r="BZ207" s="509"/>
      <c r="CA207" s="509"/>
      <c r="CB207" s="509"/>
      <c r="CC207" s="509"/>
      <c r="CD207" s="509"/>
      <c r="CE207" s="509"/>
      <c r="CF207" s="509"/>
      <c r="CG207" s="509"/>
      <c r="CH207" s="509"/>
      <c r="CI207" s="509"/>
      <c r="CJ207" s="509"/>
      <c r="CK207" s="509"/>
      <c r="CL207" s="509"/>
      <c r="CM207" s="509"/>
      <c r="CN207" s="509"/>
      <c r="CO207" s="509"/>
      <c r="CP207" s="509"/>
      <c r="CQ207" s="509"/>
      <c r="CR207" s="509"/>
      <c r="CS207" s="509"/>
      <c r="CT207" s="509"/>
      <c r="CU207" s="509"/>
      <c r="CV207" s="509"/>
      <c r="CW207" s="509"/>
      <c r="CX207" s="509"/>
      <c r="CY207" s="509"/>
      <c r="CZ207" s="509"/>
      <c r="DA207" s="509"/>
      <c r="DB207" s="509"/>
      <c r="DC207" s="509"/>
      <c r="DD207" s="509"/>
      <c r="DE207" s="509"/>
      <c r="DF207" s="509"/>
      <c r="DG207" s="509"/>
      <c r="DH207" s="509"/>
      <c r="DI207" s="509"/>
      <c r="DJ207" s="509"/>
      <c r="DK207" s="509"/>
      <c r="DL207" s="509"/>
      <c r="DM207" s="509"/>
      <c r="DN207" s="509"/>
      <c r="DO207" s="509"/>
      <c r="DP207" s="509"/>
      <c r="DQ207" s="509"/>
      <c r="DR207" s="509"/>
      <c r="DS207" s="509"/>
      <c r="DT207" s="509"/>
      <c r="DU207" s="509"/>
      <c r="DV207" s="509"/>
      <c r="DW207" s="509"/>
      <c r="DX207" s="509"/>
      <c r="DY207" s="509"/>
      <c r="DZ207" s="509"/>
      <c r="EA207" s="509"/>
      <c r="EB207" s="509"/>
      <c r="EC207" s="509"/>
      <c r="ED207" s="509"/>
      <c r="EE207" s="509"/>
      <c r="EF207" s="509"/>
      <c r="EG207" s="509"/>
      <c r="EH207" s="509"/>
      <c r="EI207" s="509"/>
      <c r="EJ207" s="509"/>
      <c r="EK207" s="509"/>
      <c r="EL207" s="509"/>
      <c r="EM207" s="509"/>
      <c r="EN207" s="509"/>
      <c r="EO207" s="509"/>
      <c r="EP207" s="509"/>
      <c r="EQ207" s="509"/>
      <c r="ER207" s="509"/>
      <c r="ES207" s="509"/>
      <c r="ET207" s="509"/>
      <c r="EU207" s="509"/>
      <c r="EV207" s="509"/>
      <c r="EW207" s="509"/>
      <c r="EX207" s="509"/>
      <c r="EY207" s="509"/>
      <c r="EZ207" s="509"/>
      <c r="FA207" s="509"/>
      <c r="FB207" s="509"/>
      <c r="FC207" s="509"/>
      <c r="FD207" s="509"/>
      <c r="FE207" s="509"/>
      <c r="FF207" s="509"/>
      <c r="FG207" s="509"/>
      <c r="FH207" s="509"/>
      <c r="FI207" s="509"/>
      <c r="FJ207" s="509"/>
      <c r="FK207" s="509"/>
      <c r="FL207" s="509"/>
      <c r="FM207" s="509"/>
      <c r="FN207" s="509"/>
      <c r="FO207" s="509"/>
      <c r="FP207" s="509"/>
      <c r="FQ207" s="509"/>
      <c r="FR207" s="509"/>
      <c r="FS207" s="509"/>
      <c r="FT207" s="509"/>
      <c r="FU207" s="509"/>
      <c r="FV207" s="509"/>
      <c r="FW207" s="509"/>
      <c r="FX207" s="509"/>
      <c r="FY207" s="509"/>
      <c r="FZ207" s="509"/>
      <c r="GA207" s="509"/>
      <c r="GB207" s="509"/>
      <c r="GC207" s="509"/>
      <c r="GD207" s="509"/>
      <c r="GE207" s="509"/>
      <c r="GF207" s="509"/>
      <c r="GG207" s="509"/>
      <c r="GH207" s="509"/>
      <c r="GI207" s="509"/>
      <c r="GJ207" s="509"/>
      <c r="GK207" s="509"/>
      <c r="GL207" s="509"/>
      <c r="GM207" s="509"/>
      <c r="GN207" s="509"/>
      <c r="GO207" s="509"/>
      <c r="GP207" s="509"/>
      <c r="GQ207" s="509"/>
      <c r="GR207" s="509"/>
      <c r="GS207" s="509"/>
      <c r="GT207" s="509"/>
      <c r="GU207" s="509"/>
      <c r="GV207" s="509"/>
      <c r="GW207" s="509"/>
      <c r="GX207" s="509"/>
      <c r="GY207" s="509"/>
      <c r="GZ207" s="509"/>
      <c r="HA207" s="509"/>
      <c r="HB207" s="509"/>
      <c r="HC207" s="509"/>
      <c r="HD207" s="509"/>
      <c r="HE207" s="509"/>
      <c r="HF207" s="509"/>
      <c r="HG207" s="509"/>
      <c r="HH207" s="509"/>
      <c r="HI207" s="509"/>
      <c r="HJ207" s="509"/>
      <c r="HK207" s="509"/>
      <c r="HL207" s="509"/>
      <c r="HM207" s="509"/>
      <c r="HN207" s="509"/>
      <c r="HO207" s="509"/>
      <c r="HP207" s="509"/>
      <c r="HQ207" s="509"/>
      <c r="HR207" s="509"/>
      <c r="HS207" s="509"/>
      <c r="HT207" s="509"/>
      <c r="HU207" s="509"/>
      <c r="HV207" s="509"/>
      <c r="HW207" s="509"/>
      <c r="HX207" s="509"/>
      <c r="HY207" s="509"/>
      <c r="HZ207" s="509"/>
    </row>
    <row r="208" spans="1:234" ht="15.9" hidden="1" customHeight="1" x14ac:dyDescent="0.25">
      <c r="A208" s="540" t="s">
        <v>964</v>
      </c>
      <c r="B208" s="479" t="s">
        <v>3562</v>
      </c>
      <c r="C208" s="524" t="s">
        <v>4217</v>
      </c>
      <c r="D208" s="553" t="s">
        <v>189</v>
      </c>
      <c r="E208" s="526" t="s">
        <v>3228</v>
      </c>
      <c r="F208" s="586">
        <v>39545</v>
      </c>
      <c r="G208" s="586">
        <v>39510</v>
      </c>
      <c r="H208" s="544">
        <v>39538</v>
      </c>
      <c r="I208" s="594">
        <v>40480</v>
      </c>
      <c r="J208" s="595">
        <v>10</v>
      </c>
      <c r="K208" s="561" t="s">
        <v>3229</v>
      </c>
      <c r="L208" s="553" t="s">
        <v>3229</v>
      </c>
      <c r="M208" s="600">
        <v>0</v>
      </c>
      <c r="N208" s="601">
        <v>3</v>
      </c>
      <c r="O208" s="596" t="s">
        <v>3229</v>
      </c>
      <c r="P208" s="596" t="s">
        <v>3229</v>
      </c>
      <c r="Q208" s="596" t="s">
        <v>3229</v>
      </c>
      <c r="R208" s="596" t="s">
        <v>3229</v>
      </c>
      <c r="S208" s="597"/>
      <c r="T208" s="563" t="s">
        <v>3229</v>
      </c>
      <c r="U208" s="563" t="s">
        <v>3229</v>
      </c>
      <c r="V208" s="563" t="s">
        <v>3229</v>
      </c>
      <c r="W208" s="563" t="s">
        <v>3229</v>
      </c>
      <c r="X208" s="563" t="s">
        <v>3229</v>
      </c>
      <c r="Y208" s="563" t="s">
        <v>3229</v>
      </c>
      <c r="Z208" s="563" t="s">
        <v>3229</v>
      </c>
      <c r="AA208" s="563" t="s">
        <v>3229</v>
      </c>
      <c r="AB208" s="563" t="s">
        <v>3229</v>
      </c>
      <c r="AC208" s="563" t="s">
        <v>3229</v>
      </c>
      <c r="AD208" s="563" t="s">
        <v>3229</v>
      </c>
      <c r="AE208" s="563" t="s">
        <v>3229</v>
      </c>
      <c r="AF208" s="3764" t="s">
        <v>781</v>
      </c>
      <c r="AG208" s="3765"/>
      <c r="AH208" s="673" t="s">
        <v>3229</v>
      </c>
      <c r="AI208" s="673" t="s">
        <v>3229</v>
      </c>
      <c r="AJ208" s="673" t="s">
        <v>3229</v>
      </c>
      <c r="AK208" s="673" t="s">
        <v>3229</v>
      </c>
      <c r="AL208" s="673" t="s">
        <v>3229</v>
      </c>
      <c r="AM208" s="590">
        <v>1</v>
      </c>
      <c r="AN208" s="638">
        <v>0</v>
      </c>
      <c r="AO208" s="625">
        <v>10</v>
      </c>
      <c r="AP208" s="1368">
        <v>-8.5199999999999998E-2</v>
      </c>
      <c r="AQ208" s="658">
        <v>-8.5199999999999998E-2</v>
      </c>
      <c r="AR208" s="558">
        <v>0</v>
      </c>
      <c r="AS208" s="558">
        <f>POWER(1+AR208,1/((I208-F208)/365))-1</f>
        <v>0</v>
      </c>
      <c r="AT208" s="648" t="s">
        <v>3229</v>
      </c>
      <c r="AU208" s="559" t="s">
        <v>3229</v>
      </c>
      <c r="AV208" s="558">
        <f t="shared" si="31"/>
        <v>0</v>
      </c>
      <c r="AW208" s="558">
        <f t="shared" si="35"/>
        <v>0</v>
      </c>
      <c r="AX208" s="589" t="s">
        <v>3229</v>
      </c>
      <c r="AY208" s="587" t="s">
        <v>3229</v>
      </c>
      <c r="AZ208" s="676">
        <f>J208*(1+AV208)</f>
        <v>10</v>
      </c>
      <c r="BA208" s="644" t="s">
        <v>3190</v>
      </c>
      <c r="BB208" s="570"/>
      <c r="BC208" s="637"/>
      <c r="BH208" s="3763"/>
      <c r="BI208" s="3763"/>
      <c r="BJ208" s="1639"/>
      <c r="BK208" s="1639"/>
      <c r="BL208" s="1639"/>
      <c r="BM208" s="1639"/>
      <c r="BN208" s="1639"/>
      <c r="BO208" s="1639"/>
      <c r="BP208" s="1639"/>
      <c r="BQ208" s="1639"/>
      <c r="BR208" s="1639"/>
      <c r="BS208" s="509"/>
      <c r="BT208" s="509"/>
      <c r="BU208" s="509"/>
      <c r="BV208" s="509"/>
      <c r="BW208" s="509"/>
      <c r="BX208" s="509"/>
      <c r="BY208" s="509"/>
      <c r="BZ208" s="509"/>
      <c r="CA208" s="509"/>
      <c r="CB208" s="509"/>
      <c r="CC208" s="509"/>
      <c r="CD208" s="509"/>
      <c r="CE208" s="509"/>
      <c r="CF208" s="509"/>
      <c r="CG208" s="509"/>
      <c r="CH208" s="509"/>
      <c r="CI208" s="509"/>
      <c r="CJ208" s="509"/>
      <c r="CK208" s="509"/>
      <c r="CL208" s="509"/>
      <c r="CM208" s="509"/>
      <c r="CN208" s="509"/>
      <c r="CO208" s="509"/>
      <c r="CP208" s="509"/>
      <c r="CQ208" s="509"/>
      <c r="CR208" s="509"/>
      <c r="CS208" s="509"/>
      <c r="CT208" s="509"/>
      <c r="CU208" s="509"/>
      <c r="CV208" s="509"/>
      <c r="CW208" s="509"/>
      <c r="CX208" s="509"/>
      <c r="CY208" s="509"/>
      <c r="CZ208" s="509"/>
      <c r="DA208" s="509"/>
      <c r="DB208" s="509"/>
      <c r="DC208" s="509"/>
      <c r="DD208" s="509"/>
      <c r="DE208" s="509"/>
      <c r="DF208" s="509"/>
      <c r="DG208" s="509"/>
      <c r="DH208" s="509"/>
      <c r="DI208" s="509"/>
      <c r="DJ208" s="509"/>
      <c r="DK208" s="509"/>
      <c r="DL208" s="509"/>
      <c r="DM208" s="509"/>
      <c r="DN208" s="509"/>
      <c r="DO208" s="509"/>
      <c r="DP208" s="509"/>
      <c r="DQ208" s="509"/>
      <c r="DR208" s="509"/>
      <c r="DS208" s="509"/>
      <c r="DT208" s="509"/>
      <c r="DU208" s="509"/>
      <c r="DV208" s="509"/>
      <c r="DW208" s="509"/>
      <c r="DX208" s="509"/>
      <c r="DY208" s="509"/>
      <c r="DZ208" s="509"/>
      <c r="EA208" s="509"/>
      <c r="EB208" s="509"/>
      <c r="EC208" s="509"/>
      <c r="ED208" s="509"/>
      <c r="EE208" s="509"/>
      <c r="EF208" s="509"/>
      <c r="EG208" s="509"/>
      <c r="EH208" s="509"/>
      <c r="EI208" s="509"/>
      <c r="EJ208" s="509"/>
      <c r="EK208" s="509"/>
      <c r="EL208" s="509"/>
      <c r="EM208" s="509"/>
      <c r="EN208" s="509"/>
      <c r="EO208" s="509"/>
      <c r="EP208" s="509"/>
      <c r="EQ208" s="509"/>
      <c r="ER208" s="509"/>
      <c r="ES208" s="509"/>
      <c r="ET208" s="509"/>
      <c r="EU208" s="509"/>
      <c r="EV208" s="509"/>
      <c r="EW208" s="509"/>
      <c r="EX208" s="509"/>
      <c r="EY208" s="509"/>
      <c r="EZ208" s="509"/>
      <c r="FA208" s="509"/>
      <c r="FB208" s="509"/>
      <c r="FC208" s="509"/>
      <c r="FD208" s="509"/>
      <c r="FE208" s="509"/>
      <c r="FF208" s="509"/>
      <c r="FG208" s="509"/>
      <c r="FH208" s="509"/>
      <c r="FI208" s="509"/>
      <c r="FJ208" s="509"/>
      <c r="FK208" s="509"/>
      <c r="FL208" s="509"/>
      <c r="FM208" s="509"/>
      <c r="FN208" s="509"/>
      <c r="FO208" s="509"/>
      <c r="FP208" s="509"/>
      <c r="FQ208" s="509"/>
      <c r="FR208" s="509"/>
      <c r="FS208" s="509"/>
      <c r="FT208" s="509"/>
      <c r="FU208" s="509"/>
      <c r="FV208" s="509"/>
      <c r="FW208" s="509"/>
      <c r="FX208" s="509"/>
      <c r="FY208" s="509"/>
      <c r="FZ208" s="509"/>
      <c r="GA208" s="509"/>
      <c r="GB208" s="509"/>
      <c r="GC208" s="509"/>
      <c r="GD208" s="509"/>
      <c r="GE208" s="509"/>
      <c r="GF208" s="509"/>
      <c r="GG208" s="509"/>
      <c r="GH208" s="509"/>
      <c r="GI208" s="509"/>
      <c r="GJ208" s="509"/>
      <c r="GK208" s="509"/>
      <c r="GL208" s="509"/>
      <c r="GM208" s="509"/>
      <c r="GN208" s="509"/>
      <c r="GO208" s="509"/>
      <c r="GP208" s="509"/>
      <c r="GQ208" s="509"/>
      <c r="GR208" s="509"/>
      <c r="GS208" s="509"/>
      <c r="GT208" s="509"/>
      <c r="GU208" s="509"/>
      <c r="GV208" s="509"/>
      <c r="GW208" s="509"/>
      <c r="GX208" s="509"/>
      <c r="GY208" s="509"/>
      <c r="GZ208" s="509"/>
      <c r="HA208" s="509"/>
      <c r="HB208" s="509"/>
      <c r="HC208" s="509"/>
      <c r="HD208" s="509"/>
      <c r="HE208" s="509"/>
      <c r="HF208" s="509"/>
      <c r="HG208" s="509"/>
      <c r="HH208" s="509"/>
      <c r="HI208" s="509"/>
      <c r="HJ208" s="509"/>
      <c r="HK208" s="509"/>
      <c r="HL208" s="509"/>
      <c r="HM208" s="509"/>
      <c r="HN208" s="509"/>
      <c r="HO208" s="509"/>
      <c r="HP208" s="509"/>
      <c r="HQ208" s="509"/>
      <c r="HR208" s="509"/>
      <c r="HS208" s="509"/>
      <c r="HT208" s="509"/>
      <c r="HU208" s="509"/>
      <c r="HV208" s="509"/>
      <c r="HW208" s="509"/>
      <c r="HX208" s="509"/>
      <c r="HY208" s="509"/>
      <c r="HZ208" s="509"/>
    </row>
    <row r="209" spans="1:234" ht="15.9" hidden="1" customHeight="1" x14ac:dyDescent="0.25">
      <c r="A209" s="540" t="s">
        <v>1086</v>
      </c>
      <c r="B209" s="523" t="s">
        <v>683</v>
      </c>
      <c r="C209" s="524" t="s">
        <v>4218</v>
      </c>
      <c r="D209" s="553" t="s">
        <v>2158</v>
      </c>
      <c r="E209" s="526" t="s">
        <v>3228</v>
      </c>
      <c r="F209" s="586">
        <v>39545</v>
      </c>
      <c r="G209" s="586">
        <v>39510</v>
      </c>
      <c r="H209" s="544">
        <v>39538</v>
      </c>
      <c r="I209" s="594">
        <v>40939</v>
      </c>
      <c r="J209" s="595">
        <v>10</v>
      </c>
      <c r="K209" s="561" t="s">
        <v>3229</v>
      </c>
      <c r="L209" s="553" t="s">
        <v>3229</v>
      </c>
      <c r="M209" s="600">
        <v>0</v>
      </c>
      <c r="N209" s="601">
        <v>1.2</v>
      </c>
      <c r="O209" s="596" t="s">
        <v>3229</v>
      </c>
      <c r="P209" s="596" t="s">
        <v>3229</v>
      </c>
      <c r="Q209" s="596" t="s">
        <v>3229</v>
      </c>
      <c r="R209" s="596" t="s">
        <v>3229</v>
      </c>
      <c r="S209" s="597"/>
      <c r="T209" s="563" t="s">
        <v>3229</v>
      </c>
      <c r="U209" s="563" t="s">
        <v>3229</v>
      </c>
      <c r="V209" s="563" t="s">
        <v>3229</v>
      </c>
      <c r="W209" s="563" t="s">
        <v>3229</v>
      </c>
      <c r="X209" s="563" t="s">
        <v>3229</v>
      </c>
      <c r="Y209" s="563" t="s">
        <v>3229</v>
      </c>
      <c r="Z209" s="563" t="s">
        <v>3229</v>
      </c>
      <c r="AA209" s="563" t="s">
        <v>3229</v>
      </c>
      <c r="AB209" s="563" t="s">
        <v>3229</v>
      </c>
      <c r="AC209" s="563" t="s">
        <v>3229</v>
      </c>
      <c r="AD209" s="563" t="s">
        <v>3229</v>
      </c>
      <c r="AE209" s="563" t="s">
        <v>3229</v>
      </c>
      <c r="AF209" s="3764" t="s">
        <v>781</v>
      </c>
      <c r="AG209" s="3765"/>
      <c r="AH209" s="673" t="s">
        <v>3229</v>
      </c>
      <c r="AI209" s="673" t="s">
        <v>3229</v>
      </c>
      <c r="AJ209" s="673" t="s">
        <v>3229</v>
      </c>
      <c r="AK209" s="673" t="s">
        <v>3229</v>
      </c>
      <c r="AL209" s="673" t="s">
        <v>3229</v>
      </c>
      <c r="AM209" s="590">
        <v>1</v>
      </c>
      <c r="AN209" s="638">
        <v>0</v>
      </c>
      <c r="AO209" s="625">
        <v>9.7899999999999991</v>
      </c>
      <c r="AP209" s="1368">
        <v>-0.26376573333333336</v>
      </c>
      <c r="AQ209" s="658">
        <v>-0.28849999999999998</v>
      </c>
      <c r="AR209" s="558" t="s">
        <v>3660</v>
      </c>
      <c r="AS209" s="558"/>
      <c r="AT209" s="648"/>
      <c r="AU209" s="559"/>
      <c r="AV209" s="558">
        <f t="shared" si="31"/>
        <v>0</v>
      </c>
      <c r="AW209" s="558">
        <f t="shared" si="35"/>
        <v>0</v>
      </c>
      <c r="AX209" s="589"/>
      <c r="AY209" s="587"/>
      <c r="AZ209" s="676">
        <f>J209*(1+AV209)</f>
        <v>10</v>
      </c>
      <c r="BA209" s="644" t="s">
        <v>574</v>
      </c>
      <c r="BB209" s="570"/>
      <c r="BC209" s="637"/>
      <c r="BH209" s="3763"/>
      <c r="BI209" s="3763"/>
      <c r="BJ209" s="1639"/>
      <c r="BK209" s="1639"/>
      <c r="BL209" s="1639"/>
      <c r="BM209" s="1639"/>
      <c r="BN209" s="1639"/>
      <c r="BO209" s="1639"/>
      <c r="BP209" s="1639"/>
      <c r="BQ209" s="1639"/>
      <c r="BR209" s="1639"/>
      <c r="BS209" s="509"/>
      <c r="BT209" s="509"/>
      <c r="BU209" s="509"/>
      <c r="BV209" s="509"/>
      <c r="BW209" s="509"/>
      <c r="BX209" s="509"/>
      <c r="BY209" s="509"/>
      <c r="BZ209" s="509"/>
      <c r="CA209" s="509"/>
      <c r="CB209" s="509"/>
      <c r="CC209" s="509"/>
      <c r="CD209" s="509"/>
      <c r="CE209" s="509"/>
      <c r="CF209" s="509"/>
      <c r="CG209" s="509"/>
      <c r="CH209" s="509"/>
      <c r="CI209" s="509"/>
      <c r="CJ209" s="509"/>
      <c r="CK209" s="509"/>
      <c r="CL209" s="509"/>
      <c r="CM209" s="509"/>
      <c r="CN209" s="509"/>
      <c r="CO209" s="509"/>
      <c r="CP209" s="509"/>
      <c r="CQ209" s="509"/>
      <c r="CR209" s="509"/>
      <c r="CS209" s="509"/>
      <c r="CT209" s="509"/>
      <c r="CU209" s="509"/>
      <c r="CV209" s="509"/>
      <c r="CW209" s="509"/>
      <c r="CX209" s="509"/>
      <c r="CY209" s="509"/>
      <c r="CZ209" s="509"/>
      <c r="DA209" s="509"/>
      <c r="DB209" s="509"/>
      <c r="DC209" s="509"/>
      <c r="DD209" s="509"/>
      <c r="DE209" s="509"/>
      <c r="DF209" s="509"/>
      <c r="DG209" s="509"/>
      <c r="DH209" s="509"/>
      <c r="DI209" s="509"/>
      <c r="DJ209" s="509"/>
      <c r="DK209" s="509"/>
      <c r="DL209" s="509"/>
      <c r="DM209" s="509"/>
      <c r="DN209" s="509"/>
      <c r="DO209" s="509"/>
      <c r="DP209" s="509"/>
      <c r="DQ209" s="509"/>
      <c r="DR209" s="509"/>
      <c r="DS209" s="509"/>
      <c r="DT209" s="509"/>
      <c r="DU209" s="509"/>
      <c r="DV209" s="509"/>
      <c r="DW209" s="509"/>
      <c r="DX209" s="509"/>
      <c r="DY209" s="509"/>
      <c r="DZ209" s="509"/>
      <c r="EA209" s="509"/>
      <c r="EB209" s="509"/>
      <c r="EC209" s="509"/>
      <c r="ED209" s="509"/>
      <c r="EE209" s="509"/>
      <c r="EF209" s="509"/>
      <c r="EG209" s="509"/>
      <c r="EH209" s="509"/>
      <c r="EI209" s="509"/>
      <c r="EJ209" s="509"/>
      <c r="EK209" s="509"/>
      <c r="EL209" s="509"/>
      <c r="EM209" s="509"/>
      <c r="EN209" s="509"/>
      <c r="EO209" s="509"/>
      <c r="EP209" s="509"/>
      <c r="EQ209" s="509"/>
      <c r="ER209" s="509"/>
      <c r="ES209" s="509"/>
      <c r="ET209" s="509"/>
      <c r="EU209" s="509"/>
      <c r="EV209" s="509"/>
      <c r="EW209" s="509"/>
      <c r="EX209" s="509"/>
      <c r="EY209" s="509"/>
      <c r="EZ209" s="509"/>
      <c r="FA209" s="509"/>
      <c r="FB209" s="509"/>
      <c r="FC209" s="509"/>
      <c r="FD209" s="509"/>
      <c r="FE209" s="509"/>
      <c r="FF209" s="509"/>
      <c r="FG209" s="509"/>
      <c r="FH209" s="509"/>
      <c r="FI209" s="509"/>
      <c r="FJ209" s="509"/>
      <c r="FK209" s="509"/>
      <c r="FL209" s="509"/>
      <c r="FM209" s="509"/>
      <c r="FN209" s="509"/>
      <c r="FO209" s="509"/>
      <c r="FP209" s="509"/>
      <c r="FQ209" s="509"/>
      <c r="FR209" s="509"/>
      <c r="FS209" s="509"/>
      <c r="FT209" s="509"/>
      <c r="FU209" s="509"/>
      <c r="FV209" s="509"/>
      <c r="FW209" s="509"/>
      <c r="FX209" s="509"/>
      <c r="FY209" s="509"/>
      <c r="FZ209" s="509"/>
      <c r="GA209" s="509"/>
      <c r="GB209" s="509"/>
      <c r="GC209" s="509"/>
      <c r="GD209" s="509"/>
      <c r="GE209" s="509"/>
      <c r="GF209" s="509"/>
      <c r="GG209" s="509"/>
      <c r="GH209" s="509"/>
      <c r="GI209" s="509"/>
      <c r="GJ209" s="509"/>
      <c r="GK209" s="509"/>
      <c r="GL209" s="509"/>
      <c r="GM209" s="509"/>
      <c r="GN209" s="509"/>
      <c r="GO209" s="509"/>
      <c r="GP209" s="509"/>
      <c r="GQ209" s="509"/>
      <c r="GR209" s="509"/>
      <c r="GS209" s="509"/>
      <c r="GT209" s="509"/>
      <c r="GU209" s="509"/>
      <c r="GV209" s="509"/>
      <c r="GW209" s="509"/>
      <c r="GX209" s="509"/>
      <c r="GY209" s="509"/>
      <c r="GZ209" s="509"/>
      <c r="HA209" s="509"/>
      <c r="HB209" s="509"/>
      <c r="HC209" s="509"/>
      <c r="HD209" s="509"/>
      <c r="HE209" s="509"/>
      <c r="HF209" s="509"/>
      <c r="HG209" s="509"/>
      <c r="HH209" s="509"/>
      <c r="HI209" s="509"/>
      <c r="HJ209" s="509"/>
      <c r="HK209" s="509"/>
      <c r="HL209" s="509"/>
      <c r="HM209" s="509"/>
      <c r="HN209" s="509"/>
      <c r="HO209" s="509"/>
      <c r="HP209" s="509"/>
      <c r="HQ209" s="509"/>
      <c r="HR209" s="509"/>
      <c r="HS209" s="509"/>
      <c r="HT209" s="509"/>
      <c r="HU209" s="509"/>
      <c r="HV209" s="509"/>
      <c r="HW209" s="509"/>
      <c r="HX209" s="509"/>
      <c r="HY209" s="509"/>
      <c r="HZ209" s="509"/>
    </row>
    <row r="210" spans="1:234" ht="15.9" hidden="1" customHeight="1" x14ac:dyDescent="0.25">
      <c r="A210" s="540" t="s">
        <v>1087</v>
      </c>
      <c r="B210" s="523" t="s">
        <v>684</v>
      </c>
      <c r="C210" s="524" t="s">
        <v>4219</v>
      </c>
      <c r="D210" s="553" t="s">
        <v>3156</v>
      </c>
      <c r="E210" s="526" t="s">
        <v>3228</v>
      </c>
      <c r="F210" s="586">
        <v>39548</v>
      </c>
      <c r="G210" s="586">
        <v>39510</v>
      </c>
      <c r="H210" s="544">
        <v>39538</v>
      </c>
      <c r="I210" s="594">
        <v>41403</v>
      </c>
      <c r="J210" s="595">
        <v>10</v>
      </c>
      <c r="K210" s="561" t="s">
        <v>3229</v>
      </c>
      <c r="L210" s="553" t="s">
        <v>3229</v>
      </c>
      <c r="M210" s="600">
        <v>0</v>
      </c>
      <c r="N210" s="601">
        <v>0.8</v>
      </c>
      <c r="O210" s="596" t="s">
        <v>3229</v>
      </c>
      <c r="P210" s="596" t="s">
        <v>3229</v>
      </c>
      <c r="Q210" s="596" t="s">
        <v>3229</v>
      </c>
      <c r="R210" s="596" t="s">
        <v>3229</v>
      </c>
      <c r="S210" s="597"/>
      <c r="T210" s="563" t="s">
        <v>3229</v>
      </c>
      <c r="U210" s="563" t="s">
        <v>3229</v>
      </c>
      <c r="V210" s="563" t="s">
        <v>3229</v>
      </c>
      <c r="W210" s="563" t="s">
        <v>3229</v>
      </c>
      <c r="X210" s="563" t="s">
        <v>3229</v>
      </c>
      <c r="Y210" s="563" t="s">
        <v>3229</v>
      </c>
      <c r="Z210" s="563" t="s">
        <v>3229</v>
      </c>
      <c r="AA210" s="563" t="s">
        <v>3229</v>
      </c>
      <c r="AB210" s="563" t="s">
        <v>3229</v>
      </c>
      <c r="AC210" s="563" t="s">
        <v>3229</v>
      </c>
      <c r="AD210" s="563" t="s">
        <v>3229</v>
      </c>
      <c r="AE210" s="563" t="s">
        <v>3229</v>
      </c>
      <c r="AF210" s="3764" t="s">
        <v>781</v>
      </c>
      <c r="AG210" s="3765"/>
      <c r="AH210" s="673" t="s">
        <v>3229</v>
      </c>
      <c r="AI210" s="673" t="s">
        <v>3229</v>
      </c>
      <c r="AJ210" s="673" t="s">
        <v>3229</v>
      </c>
      <c r="AK210" s="673" t="s">
        <v>3229</v>
      </c>
      <c r="AL210" s="673" t="s">
        <v>3229</v>
      </c>
      <c r="AM210" s="590">
        <v>1</v>
      </c>
      <c r="AN210" s="638">
        <v>0</v>
      </c>
      <c r="AO210" s="625">
        <v>10.029999999999999</v>
      </c>
      <c r="AP210" s="1368">
        <v>-0.33498933333333336</v>
      </c>
      <c r="AQ210" s="658">
        <v>-0.41573964313798351</v>
      </c>
      <c r="AR210" s="558" t="s">
        <v>3660</v>
      </c>
      <c r="AS210" s="558"/>
      <c r="AT210" s="648"/>
      <c r="AU210" s="559"/>
      <c r="AV210" s="558">
        <v>0</v>
      </c>
      <c r="AW210" s="558">
        <v>0</v>
      </c>
      <c r="AX210" s="589">
        <v>-5.9642147117296984E-3</v>
      </c>
      <c r="AY210" s="587">
        <v>-3.8921514749739594E-2</v>
      </c>
      <c r="AZ210" s="676">
        <v>10</v>
      </c>
      <c r="BA210" s="644" t="s">
        <v>3190</v>
      </c>
      <c r="BB210" s="570"/>
      <c r="BC210" s="637"/>
      <c r="BH210" s="3763"/>
      <c r="BI210" s="3763"/>
      <c r="BJ210" s="1639"/>
      <c r="BK210" s="1639"/>
      <c r="BL210" s="1639"/>
      <c r="BM210" s="1639"/>
      <c r="BN210" s="1639"/>
      <c r="BO210" s="1639"/>
      <c r="BP210" s="1639"/>
      <c r="BQ210" s="1639"/>
      <c r="BR210" s="1639"/>
      <c r="BS210" s="509"/>
      <c r="BT210" s="509"/>
      <c r="BU210" s="509"/>
      <c r="BV210" s="509"/>
      <c r="BW210" s="509"/>
      <c r="BX210" s="509"/>
      <c r="BY210" s="509"/>
      <c r="BZ210" s="509"/>
      <c r="CA210" s="509"/>
      <c r="CB210" s="509"/>
      <c r="CC210" s="509"/>
      <c r="CD210" s="509"/>
      <c r="CE210" s="509"/>
      <c r="CF210" s="509"/>
      <c r="CG210" s="509"/>
      <c r="CH210" s="509"/>
      <c r="CI210" s="509"/>
      <c r="CJ210" s="509"/>
      <c r="CK210" s="509"/>
      <c r="CL210" s="509"/>
      <c r="CM210" s="509"/>
      <c r="CN210" s="509"/>
      <c r="CO210" s="509"/>
      <c r="CP210" s="509"/>
      <c r="CQ210" s="509"/>
      <c r="CR210" s="509"/>
      <c r="CS210" s="509"/>
      <c r="CT210" s="509"/>
      <c r="CU210" s="509"/>
      <c r="CV210" s="509"/>
      <c r="CW210" s="509"/>
      <c r="CX210" s="509"/>
      <c r="CY210" s="509"/>
      <c r="CZ210" s="509"/>
      <c r="DA210" s="509"/>
      <c r="DB210" s="509"/>
      <c r="DC210" s="509"/>
      <c r="DD210" s="509"/>
      <c r="DE210" s="509"/>
      <c r="DF210" s="509"/>
      <c r="DG210" s="509"/>
      <c r="DH210" s="509"/>
      <c r="DI210" s="509"/>
      <c r="DJ210" s="509"/>
      <c r="DK210" s="509"/>
      <c r="DL210" s="509"/>
      <c r="DM210" s="509"/>
      <c r="DN210" s="509"/>
      <c r="DO210" s="509"/>
      <c r="DP210" s="509"/>
      <c r="DQ210" s="509"/>
      <c r="DR210" s="509"/>
      <c r="DS210" s="509"/>
      <c r="DT210" s="509"/>
      <c r="DU210" s="509"/>
      <c r="DV210" s="509"/>
      <c r="DW210" s="509"/>
      <c r="DX210" s="509"/>
      <c r="DY210" s="509"/>
      <c r="DZ210" s="509"/>
      <c r="EA210" s="509"/>
      <c r="EB210" s="509"/>
      <c r="EC210" s="509"/>
      <c r="ED210" s="509"/>
      <c r="EE210" s="509"/>
      <c r="EF210" s="509"/>
      <c r="EG210" s="509"/>
      <c r="EH210" s="509"/>
      <c r="EI210" s="509"/>
      <c r="EJ210" s="509"/>
      <c r="EK210" s="509"/>
      <c r="EL210" s="509"/>
      <c r="EM210" s="509"/>
      <c r="EN210" s="509"/>
      <c r="EO210" s="509"/>
      <c r="EP210" s="509"/>
      <c r="EQ210" s="509"/>
      <c r="ER210" s="509"/>
      <c r="ES210" s="509"/>
      <c r="ET210" s="509"/>
      <c r="EU210" s="509"/>
      <c r="EV210" s="509"/>
      <c r="EW210" s="509"/>
      <c r="EX210" s="509"/>
      <c r="EY210" s="509"/>
      <c r="EZ210" s="509"/>
      <c r="FA210" s="509"/>
      <c r="FB210" s="509"/>
      <c r="FC210" s="509"/>
      <c r="FD210" s="509"/>
      <c r="FE210" s="509"/>
      <c r="FF210" s="509"/>
      <c r="FG210" s="509"/>
      <c r="FH210" s="509"/>
      <c r="FI210" s="509"/>
      <c r="FJ210" s="509"/>
      <c r="FK210" s="509"/>
      <c r="FL210" s="509"/>
      <c r="FM210" s="509"/>
      <c r="FN210" s="509"/>
      <c r="FO210" s="509"/>
      <c r="FP210" s="509"/>
      <c r="FQ210" s="509"/>
      <c r="FR210" s="509"/>
      <c r="FS210" s="509"/>
      <c r="FT210" s="509"/>
      <c r="FU210" s="509"/>
      <c r="FV210" s="509"/>
      <c r="FW210" s="509"/>
      <c r="FX210" s="509"/>
      <c r="FY210" s="509"/>
      <c r="FZ210" s="509"/>
      <c r="GA210" s="509"/>
      <c r="GB210" s="509"/>
      <c r="GC210" s="509"/>
      <c r="GD210" s="509"/>
      <c r="GE210" s="509"/>
      <c r="GF210" s="509"/>
      <c r="GG210" s="509"/>
      <c r="GH210" s="509"/>
      <c r="GI210" s="509"/>
      <c r="GJ210" s="509"/>
      <c r="GK210" s="509"/>
      <c r="GL210" s="509"/>
      <c r="GM210" s="509"/>
      <c r="GN210" s="509"/>
      <c r="GO210" s="509"/>
      <c r="GP210" s="509"/>
      <c r="GQ210" s="509"/>
      <c r="GR210" s="509"/>
      <c r="GS210" s="509"/>
      <c r="GT210" s="509"/>
      <c r="GU210" s="509"/>
      <c r="GV210" s="509"/>
      <c r="GW210" s="509"/>
      <c r="GX210" s="509"/>
      <c r="GY210" s="509"/>
      <c r="GZ210" s="509"/>
      <c r="HA210" s="509"/>
      <c r="HB210" s="509"/>
      <c r="HC210" s="509"/>
      <c r="HD210" s="509"/>
      <c r="HE210" s="509"/>
      <c r="HF210" s="509"/>
      <c r="HG210" s="509"/>
      <c r="HH210" s="509"/>
      <c r="HI210" s="509"/>
      <c r="HJ210" s="509"/>
      <c r="HK210" s="509"/>
      <c r="HL210" s="509"/>
      <c r="HM210" s="509"/>
      <c r="HN210" s="509"/>
      <c r="HO210" s="509"/>
      <c r="HP210" s="509"/>
      <c r="HQ210" s="509"/>
      <c r="HR210" s="509"/>
      <c r="HS210" s="509"/>
      <c r="HT210" s="509"/>
      <c r="HU210" s="509"/>
      <c r="HV210" s="509"/>
      <c r="HW210" s="509"/>
      <c r="HX210" s="509"/>
      <c r="HY210" s="509"/>
      <c r="HZ210" s="509"/>
    </row>
    <row r="211" spans="1:234" ht="15.9" hidden="1" customHeight="1" x14ac:dyDescent="0.25">
      <c r="A211" s="540" t="s">
        <v>1113</v>
      </c>
      <c r="B211" s="523" t="s">
        <v>1670</v>
      </c>
      <c r="C211" s="524" t="s">
        <v>4220</v>
      </c>
      <c r="D211" s="553" t="s">
        <v>828</v>
      </c>
      <c r="E211" s="526" t="s">
        <v>3228</v>
      </c>
      <c r="F211" s="586">
        <v>39587</v>
      </c>
      <c r="G211" s="586">
        <v>39510</v>
      </c>
      <c r="H211" s="544">
        <v>39568</v>
      </c>
      <c r="I211" s="594">
        <v>40877</v>
      </c>
      <c r="J211" s="595">
        <v>10</v>
      </c>
      <c r="K211" s="561">
        <v>0.01</v>
      </c>
      <c r="L211" s="553">
        <v>0.11</v>
      </c>
      <c r="M211" s="600">
        <v>0.06</v>
      </c>
      <c r="N211" s="601" t="s">
        <v>3229</v>
      </c>
      <c r="O211" s="596">
        <v>0.26</v>
      </c>
      <c r="P211" s="596">
        <v>1</v>
      </c>
      <c r="Q211" s="596">
        <v>0.04</v>
      </c>
      <c r="R211" s="596" t="s">
        <v>3229</v>
      </c>
      <c r="S211" s="597">
        <v>3</v>
      </c>
      <c r="T211" s="563">
        <v>39904</v>
      </c>
      <c r="U211" s="563">
        <v>40269</v>
      </c>
      <c r="V211" s="563">
        <v>40848</v>
      </c>
      <c r="W211" s="563" t="s">
        <v>3229</v>
      </c>
      <c r="X211" s="563" t="s">
        <v>3229</v>
      </c>
      <c r="Y211" s="563" t="s">
        <v>3229</v>
      </c>
      <c r="Z211" s="563" t="s">
        <v>3229</v>
      </c>
      <c r="AA211" s="563" t="s">
        <v>3229</v>
      </c>
      <c r="AB211" s="563" t="s">
        <v>3229</v>
      </c>
      <c r="AC211" s="563" t="s">
        <v>3229</v>
      </c>
      <c r="AD211" s="563" t="s">
        <v>3229</v>
      </c>
      <c r="AE211" s="563" t="s">
        <v>3229</v>
      </c>
      <c r="AF211" s="3764" t="s">
        <v>781</v>
      </c>
      <c r="AG211" s="3765"/>
      <c r="AH211" s="673" t="s">
        <v>3229</v>
      </c>
      <c r="AI211" s="673" t="s">
        <v>3229</v>
      </c>
      <c r="AJ211" s="673" t="s">
        <v>3229</v>
      </c>
      <c r="AK211" s="673" t="s">
        <v>3229</v>
      </c>
      <c r="AL211" s="673" t="s">
        <v>3229</v>
      </c>
      <c r="AM211" s="590">
        <v>1</v>
      </c>
      <c r="AN211" s="638">
        <v>6.0000000000000005E-2</v>
      </c>
      <c r="AO211" s="625">
        <v>9.9700000000000006</v>
      </c>
      <c r="AP211" s="1368">
        <v>-0.29874587085232729</v>
      </c>
      <c r="AQ211" s="658">
        <v>-0.29874587085232729</v>
      </c>
      <c r="AR211" s="558">
        <f>O211</f>
        <v>0.26</v>
      </c>
      <c r="AS211" s="558">
        <f>POWER(1+AR211,1/((I211-F211)/365))-1</f>
        <v>6.7577513952703727E-2</v>
      </c>
      <c r="AT211" s="648"/>
      <c r="AU211" s="559"/>
      <c r="AV211" s="558" t="e">
        <f>MAX(M211,AN211+AF211*K211)</f>
        <v>#VALUE!</v>
      </c>
      <c r="AW211" s="558" t="e">
        <f t="shared" si="35"/>
        <v>#VALUE!</v>
      </c>
      <c r="AX211" s="589"/>
      <c r="AY211" s="587"/>
      <c r="AZ211" s="676">
        <f>J211</f>
        <v>10</v>
      </c>
      <c r="BA211" s="644" t="s">
        <v>3813</v>
      </c>
      <c r="BB211" s="570"/>
      <c r="BC211" s="637"/>
      <c r="BH211" s="3763"/>
      <c r="BI211" s="3763"/>
      <c r="BJ211" s="1639"/>
      <c r="BK211" s="1639"/>
      <c r="BL211" s="1639"/>
      <c r="BM211" s="1639"/>
      <c r="BN211" s="1639"/>
      <c r="BO211" s="1639"/>
      <c r="BP211" s="1639"/>
      <c r="BQ211" s="1639"/>
      <c r="BR211" s="1639"/>
      <c r="BS211" s="509"/>
      <c r="BT211" s="509"/>
      <c r="BU211" s="509"/>
      <c r="BV211" s="509"/>
      <c r="BW211" s="509"/>
      <c r="BX211" s="509"/>
      <c r="BY211" s="509"/>
      <c r="BZ211" s="509"/>
      <c r="CA211" s="509"/>
      <c r="CB211" s="509"/>
      <c r="CC211" s="509"/>
      <c r="CD211" s="509"/>
      <c r="CE211" s="509"/>
      <c r="CF211" s="509"/>
      <c r="CG211" s="509"/>
      <c r="CH211" s="509"/>
      <c r="CI211" s="509"/>
      <c r="CJ211" s="509"/>
      <c r="CK211" s="509"/>
      <c r="CL211" s="509"/>
      <c r="CM211" s="509"/>
      <c r="CN211" s="509"/>
      <c r="CO211" s="509"/>
      <c r="CP211" s="509"/>
      <c r="CQ211" s="509"/>
      <c r="CR211" s="509"/>
      <c r="CS211" s="509"/>
      <c r="CT211" s="509"/>
      <c r="CU211" s="509"/>
      <c r="CV211" s="509"/>
      <c r="CW211" s="509"/>
      <c r="CX211" s="509"/>
      <c r="CY211" s="509"/>
      <c r="CZ211" s="509"/>
      <c r="DA211" s="509"/>
      <c r="DB211" s="509"/>
      <c r="DC211" s="509"/>
      <c r="DD211" s="509"/>
      <c r="DE211" s="509"/>
      <c r="DF211" s="509"/>
      <c r="DG211" s="509"/>
      <c r="DH211" s="509"/>
      <c r="DI211" s="509"/>
      <c r="DJ211" s="509"/>
      <c r="DK211" s="509"/>
      <c r="DL211" s="509"/>
      <c r="DM211" s="509"/>
      <c r="DN211" s="509"/>
      <c r="DO211" s="509"/>
      <c r="DP211" s="509"/>
      <c r="DQ211" s="509"/>
      <c r="DR211" s="509"/>
      <c r="DS211" s="509"/>
      <c r="DT211" s="509"/>
      <c r="DU211" s="509"/>
      <c r="DV211" s="509"/>
      <c r="DW211" s="509"/>
      <c r="DX211" s="509"/>
      <c r="DY211" s="509"/>
      <c r="DZ211" s="509"/>
      <c r="EA211" s="509"/>
      <c r="EB211" s="509"/>
      <c r="EC211" s="509"/>
      <c r="ED211" s="509"/>
      <c r="EE211" s="509"/>
      <c r="EF211" s="509"/>
      <c r="EG211" s="509"/>
      <c r="EH211" s="509"/>
      <c r="EI211" s="509"/>
      <c r="EJ211" s="509"/>
      <c r="EK211" s="509"/>
      <c r="EL211" s="509"/>
      <c r="EM211" s="509"/>
      <c r="EN211" s="509"/>
      <c r="EO211" s="509"/>
      <c r="EP211" s="509"/>
      <c r="EQ211" s="509"/>
      <c r="ER211" s="509"/>
      <c r="ES211" s="509"/>
      <c r="ET211" s="509"/>
      <c r="EU211" s="509"/>
      <c r="EV211" s="509"/>
      <c r="EW211" s="509"/>
      <c r="EX211" s="509"/>
      <c r="EY211" s="509"/>
      <c r="EZ211" s="509"/>
      <c r="FA211" s="509"/>
      <c r="FB211" s="509"/>
      <c r="FC211" s="509"/>
      <c r="FD211" s="509"/>
      <c r="FE211" s="509"/>
      <c r="FF211" s="509"/>
      <c r="FG211" s="509"/>
      <c r="FH211" s="509"/>
      <c r="FI211" s="509"/>
      <c r="FJ211" s="509"/>
      <c r="FK211" s="509"/>
      <c r="FL211" s="509"/>
      <c r="FM211" s="509"/>
      <c r="FN211" s="509"/>
      <c r="FO211" s="509"/>
      <c r="FP211" s="509"/>
      <c r="FQ211" s="509"/>
      <c r="FR211" s="509"/>
      <c r="FS211" s="509"/>
      <c r="FT211" s="509"/>
      <c r="FU211" s="509"/>
      <c r="FV211" s="509"/>
      <c r="FW211" s="509"/>
      <c r="FX211" s="509"/>
      <c r="FY211" s="509"/>
      <c r="FZ211" s="509"/>
      <c r="GA211" s="509"/>
      <c r="GB211" s="509"/>
      <c r="GC211" s="509"/>
      <c r="GD211" s="509"/>
      <c r="GE211" s="509"/>
      <c r="GF211" s="509"/>
      <c r="GG211" s="509"/>
      <c r="GH211" s="509"/>
      <c r="GI211" s="509"/>
      <c r="GJ211" s="509"/>
      <c r="GK211" s="509"/>
      <c r="GL211" s="509"/>
      <c r="GM211" s="509"/>
      <c r="GN211" s="509"/>
      <c r="GO211" s="509"/>
      <c r="GP211" s="509"/>
      <c r="GQ211" s="509"/>
      <c r="GR211" s="509"/>
      <c r="GS211" s="509"/>
      <c r="GT211" s="509"/>
      <c r="GU211" s="509"/>
      <c r="GV211" s="509"/>
      <c r="GW211" s="509"/>
      <c r="GX211" s="509"/>
      <c r="GY211" s="509"/>
      <c r="GZ211" s="509"/>
      <c r="HA211" s="509"/>
      <c r="HB211" s="509"/>
      <c r="HC211" s="509"/>
      <c r="HD211" s="509"/>
      <c r="HE211" s="509"/>
      <c r="HF211" s="509"/>
      <c r="HG211" s="509"/>
      <c r="HH211" s="509"/>
      <c r="HI211" s="509"/>
      <c r="HJ211" s="509"/>
      <c r="HK211" s="509"/>
      <c r="HL211" s="509"/>
      <c r="HM211" s="509"/>
      <c r="HN211" s="509"/>
      <c r="HO211" s="509"/>
      <c r="HP211" s="509"/>
      <c r="HQ211" s="509"/>
      <c r="HR211" s="509"/>
      <c r="HS211" s="509"/>
      <c r="HT211" s="509"/>
      <c r="HU211" s="509"/>
      <c r="HV211" s="509"/>
      <c r="HW211" s="509"/>
      <c r="HX211" s="509"/>
      <c r="HY211" s="509"/>
      <c r="HZ211" s="509"/>
    </row>
    <row r="212" spans="1:234" s="206" customFormat="1" ht="15.9" hidden="1" customHeight="1" x14ac:dyDescent="0.25">
      <c r="A212" s="541" t="s">
        <v>3274</v>
      </c>
      <c r="B212" s="479" t="s">
        <v>981</v>
      </c>
      <c r="C212" s="524" t="s">
        <v>3275</v>
      </c>
      <c r="D212" s="553" t="s">
        <v>189</v>
      </c>
      <c r="E212" s="526" t="s">
        <v>3228</v>
      </c>
      <c r="F212" s="586">
        <v>39577</v>
      </c>
      <c r="G212" s="586">
        <v>39539</v>
      </c>
      <c r="H212" s="544">
        <v>39568</v>
      </c>
      <c r="I212" s="602">
        <v>40602</v>
      </c>
      <c r="J212" s="595">
        <v>10</v>
      </c>
      <c r="K212" s="561" t="s">
        <v>3229</v>
      </c>
      <c r="L212" s="553" t="s">
        <v>3229</v>
      </c>
      <c r="M212" s="600">
        <v>-0.05</v>
      </c>
      <c r="N212" s="601">
        <v>0.9</v>
      </c>
      <c r="O212" s="596" t="s">
        <v>3229</v>
      </c>
      <c r="P212" s="596" t="s">
        <v>3229</v>
      </c>
      <c r="Q212" s="596" t="s">
        <v>3229</v>
      </c>
      <c r="R212" s="596" t="s">
        <v>3229</v>
      </c>
      <c r="S212" s="597"/>
      <c r="T212" s="563" t="s">
        <v>3229</v>
      </c>
      <c r="U212" s="563" t="s">
        <v>3229</v>
      </c>
      <c r="V212" s="563" t="s">
        <v>3229</v>
      </c>
      <c r="W212" s="598" t="s">
        <v>3229</v>
      </c>
      <c r="X212" s="598" t="s">
        <v>3229</v>
      </c>
      <c r="Y212" s="598" t="s">
        <v>3229</v>
      </c>
      <c r="Z212" s="598" t="s">
        <v>3229</v>
      </c>
      <c r="AA212" s="598" t="s">
        <v>3229</v>
      </c>
      <c r="AB212" s="598" t="s">
        <v>3229</v>
      </c>
      <c r="AC212" s="598" t="s">
        <v>3229</v>
      </c>
      <c r="AD212" s="598" t="s">
        <v>3229</v>
      </c>
      <c r="AE212" s="598" t="s">
        <v>3229</v>
      </c>
      <c r="AF212" s="3764" t="s">
        <v>781</v>
      </c>
      <c r="AG212" s="3765"/>
      <c r="AH212" s="593" t="s">
        <v>3229</v>
      </c>
      <c r="AI212" s="530" t="s">
        <v>3229</v>
      </c>
      <c r="AJ212" s="530" t="s">
        <v>3229</v>
      </c>
      <c r="AK212" s="673" t="s">
        <v>3229</v>
      </c>
      <c r="AL212" s="530" t="s">
        <v>3229</v>
      </c>
      <c r="AM212" s="659">
        <v>1</v>
      </c>
      <c r="AN212" s="638">
        <v>-0.05</v>
      </c>
      <c r="AO212" s="625">
        <v>9.5</v>
      </c>
      <c r="AP212" s="1368">
        <v>-0.19911761272152129</v>
      </c>
      <c r="AQ212" s="605">
        <v>-0.19911761272152129</v>
      </c>
      <c r="AR212" s="558">
        <f>AO212/10-1</f>
        <v>-5.0000000000000044E-2</v>
      </c>
      <c r="AS212" s="558">
        <f>POWER(1+AR212,1/((I212-F212)/365))-1</f>
        <v>-1.8099615310080419E-2</v>
      </c>
      <c r="AT212" s="653"/>
      <c r="AU212" s="653"/>
      <c r="AV212" s="632">
        <f t="shared" si="31"/>
        <v>-0.05</v>
      </c>
      <c r="AW212" s="558">
        <f t="shared" si="35"/>
        <v>-1.8099615310080419E-2</v>
      </c>
      <c r="AX212" s="589"/>
      <c r="AY212" s="648"/>
      <c r="AZ212" s="676">
        <f t="shared" ref="AZ212:AZ230" si="36">J212*(1+AV212)</f>
        <v>9.5</v>
      </c>
      <c r="BA212" s="644" t="s">
        <v>275</v>
      </c>
      <c r="BB212" s="570"/>
      <c r="BC212" s="581"/>
      <c r="BD212" s="3691"/>
      <c r="BE212" s="3743"/>
      <c r="BF212" s="3743"/>
      <c r="BG212" s="3708"/>
      <c r="BH212" s="3762"/>
      <c r="BI212" s="3762"/>
      <c r="BJ212" s="39"/>
      <c r="BK212" s="39"/>
      <c r="BL212" s="39"/>
      <c r="BM212" s="39"/>
      <c r="BN212" s="39"/>
      <c r="BO212" s="39"/>
      <c r="BP212" s="39"/>
      <c r="BQ212" s="39"/>
      <c r="BR212" s="39"/>
      <c r="BS212" s="507"/>
      <c r="BT212" s="507"/>
      <c r="BU212" s="507"/>
      <c r="BV212" s="507"/>
      <c r="BW212" s="507"/>
      <c r="BX212" s="507"/>
      <c r="BY212" s="507"/>
      <c r="BZ212" s="507"/>
      <c r="CA212" s="507"/>
      <c r="CB212" s="507"/>
      <c r="CC212" s="507"/>
      <c r="CD212" s="507"/>
      <c r="CE212" s="507"/>
      <c r="CF212" s="507"/>
      <c r="CG212" s="507"/>
      <c r="CH212" s="507"/>
      <c r="CI212" s="507"/>
      <c r="CJ212" s="507"/>
      <c r="CK212" s="507"/>
      <c r="CL212" s="507"/>
      <c r="CM212" s="507"/>
      <c r="CN212" s="507"/>
      <c r="CO212" s="507"/>
      <c r="CP212" s="507"/>
      <c r="CQ212" s="507"/>
      <c r="CR212" s="507"/>
      <c r="CS212" s="507"/>
      <c r="CT212" s="507"/>
      <c r="CU212" s="507"/>
      <c r="CV212" s="507"/>
      <c r="CW212" s="507"/>
      <c r="CX212" s="507"/>
      <c r="CY212" s="507"/>
      <c r="CZ212" s="507"/>
      <c r="DA212" s="507"/>
      <c r="DB212" s="507"/>
      <c r="DC212" s="507"/>
      <c r="DD212" s="507"/>
      <c r="DE212" s="507"/>
      <c r="DF212" s="507"/>
      <c r="DG212" s="507"/>
      <c r="DH212" s="507"/>
      <c r="DI212" s="507"/>
      <c r="DJ212" s="507"/>
      <c r="DK212" s="507"/>
      <c r="DL212" s="507"/>
      <c r="DM212" s="507"/>
      <c r="DN212" s="507"/>
      <c r="DO212" s="507"/>
      <c r="DP212" s="507"/>
      <c r="DQ212" s="507"/>
      <c r="DR212" s="507"/>
      <c r="DS212" s="507"/>
      <c r="DT212" s="507"/>
      <c r="DU212" s="507"/>
      <c r="DV212" s="507"/>
      <c r="DW212" s="507"/>
      <c r="DX212" s="507"/>
      <c r="DY212" s="507"/>
      <c r="DZ212" s="507"/>
      <c r="EA212" s="507"/>
      <c r="EB212" s="507"/>
      <c r="EC212" s="507"/>
      <c r="ED212" s="507"/>
      <c r="EE212" s="507"/>
      <c r="EF212" s="507"/>
      <c r="EG212" s="507"/>
      <c r="EH212" s="507"/>
      <c r="EI212" s="507"/>
      <c r="EJ212" s="507"/>
      <c r="EK212" s="507"/>
      <c r="EL212" s="507"/>
      <c r="EM212" s="507"/>
      <c r="EN212" s="507"/>
      <c r="EO212" s="507"/>
      <c r="EP212" s="507"/>
      <c r="EQ212" s="507"/>
      <c r="ER212" s="507"/>
      <c r="ES212" s="507"/>
      <c r="ET212" s="507"/>
      <c r="EU212" s="507"/>
      <c r="EV212" s="507"/>
      <c r="EW212" s="507"/>
      <c r="EX212" s="507"/>
      <c r="EY212" s="507"/>
      <c r="EZ212" s="507"/>
      <c r="FA212" s="507"/>
      <c r="FB212" s="507"/>
      <c r="FC212" s="507"/>
      <c r="FD212" s="507"/>
      <c r="FE212" s="507"/>
      <c r="FF212" s="507"/>
      <c r="FG212" s="507"/>
      <c r="FH212" s="507"/>
      <c r="FI212" s="507"/>
      <c r="FJ212" s="507"/>
      <c r="FK212" s="507"/>
      <c r="FL212" s="507"/>
      <c r="FM212" s="507"/>
      <c r="FN212" s="507"/>
      <c r="FO212" s="507"/>
      <c r="FP212" s="507"/>
      <c r="FQ212" s="507"/>
      <c r="FR212" s="507"/>
      <c r="FS212" s="507"/>
      <c r="FT212" s="507"/>
      <c r="FU212" s="507"/>
      <c r="FV212" s="507"/>
      <c r="FW212" s="507"/>
      <c r="FX212" s="507"/>
      <c r="FY212" s="507"/>
      <c r="FZ212" s="507"/>
      <c r="GA212" s="507"/>
      <c r="GB212" s="507"/>
      <c r="GC212" s="507"/>
      <c r="GD212" s="507"/>
      <c r="GE212" s="507"/>
      <c r="GF212" s="507"/>
      <c r="GG212" s="507"/>
      <c r="GH212" s="507"/>
      <c r="GI212" s="507"/>
      <c r="GJ212" s="507"/>
      <c r="GK212" s="507"/>
      <c r="GL212" s="507"/>
      <c r="GM212" s="507"/>
      <c r="GN212" s="507"/>
      <c r="GO212" s="507"/>
      <c r="GP212" s="507"/>
      <c r="GQ212" s="507"/>
      <c r="GR212" s="507"/>
      <c r="GS212" s="507"/>
      <c r="GT212" s="507"/>
      <c r="GU212" s="507"/>
      <c r="GV212" s="507"/>
      <c r="GW212" s="507"/>
      <c r="GX212" s="507"/>
      <c r="GY212" s="507"/>
      <c r="GZ212" s="507"/>
      <c r="HA212" s="507"/>
      <c r="HB212" s="507"/>
      <c r="HC212" s="507"/>
      <c r="HD212" s="507"/>
      <c r="HE212" s="507"/>
      <c r="HF212" s="507"/>
      <c r="HG212" s="507"/>
      <c r="HH212" s="507"/>
      <c r="HI212" s="507"/>
      <c r="HJ212" s="507"/>
      <c r="HK212" s="507"/>
      <c r="HL212" s="507"/>
      <c r="HM212" s="507"/>
      <c r="HN212" s="507"/>
      <c r="HO212" s="507"/>
      <c r="HP212" s="507"/>
      <c r="HQ212" s="507"/>
      <c r="HR212" s="507"/>
      <c r="HS212" s="507"/>
      <c r="HT212" s="507"/>
      <c r="HU212" s="507"/>
      <c r="HV212" s="507"/>
      <c r="HW212" s="507"/>
      <c r="HX212" s="507"/>
      <c r="HY212" s="507"/>
      <c r="HZ212" s="507"/>
    </row>
    <row r="213" spans="1:234" ht="15.9" hidden="1" customHeight="1" x14ac:dyDescent="0.25">
      <c r="A213" s="540" t="s">
        <v>3276</v>
      </c>
      <c r="B213" s="523" t="s">
        <v>982</v>
      </c>
      <c r="C213" s="524" t="s">
        <v>3277</v>
      </c>
      <c r="D213" s="553" t="s">
        <v>2158</v>
      </c>
      <c r="E213" s="526" t="s">
        <v>3228</v>
      </c>
      <c r="F213" s="586">
        <v>39577</v>
      </c>
      <c r="G213" s="586">
        <v>39539</v>
      </c>
      <c r="H213" s="544">
        <v>39568</v>
      </c>
      <c r="I213" s="594">
        <v>41243</v>
      </c>
      <c r="J213" s="595">
        <v>10</v>
      </c>
      <c r="K213" s="561" t="s">
        <v>3229</v>
      </c>
      <c r="L213" s="553" t="s">
        <v>3229</v>
      </c>
      <c r="M213" s="600">
        <v>0</v>
      </c>
      <c r="N213" s="601">
        <v>0.5</v>
      </c>
      <c r="O213" s="596" t="s">
        <v>3229</v>
      </c>
      <c r="P213" s="596" t="s">
        <v>3229</v>
      </c>
      <c r="Q213" s="596" t="s">
        <v>3229</v>
      </c>
      <c r="R213" s="596" t="s">
        <v>3229</v>
      </c>
      <c r="S213" s="597"/>
      <c r="T213" s="563" t="s">
        <v>3229</v>
      </c>
      <c r="U213" s="563" t="s">
        <v>3229</v>
      </c>
      <c r="V213" s="563" t="s">
        <v>3229</v>
      </c>
      <c r="W213" s="563" t="s">
        <v>3229</v>
      </c>
      <c r="X213" s="563" t="s">
        <v>3229</v>
      </c>
      <c r="Y213" s="563" t="s">
        <v>3229</v>
      </c>
      <c r="Z213" s="563" t="s">
        <v>3229</v>
      </c>
      <c r="AA213" s="563" t="s">
        <v>3229</v>
      </c>
      <c r="AB213" s="563" t="s">
        <v>3229</v>
      </c>
      <c r="AC213" s="563" t="s">
        <v>3229</v>
      </c>
      <c r="AD213" s="563" t="s">
        <v>3229</v>
      </c>
      <c r="AE213" s="563" t="s">
        <v>3229</v>
      </c>
      <c r="AF213" s="3764" t="s">
        <v>781</v>
      </c>
      <c r="AG213" s="3765"/>
      <c r="AH213" s="673" t="s">
        <v>3229</v>
      </c>
      <c r="AI213" s="673" t="s">
        <v>3229</v>
      </c>
      <c r="AJ213" s="673" t="s">
        <v>3229</v>
      </c>
      <c r="AK213" s="673" t="s">
        <v>3229</v>
      </c>
      <c r="AL213" s="673" t="s">
        <v>3229</v>
      </c>
      <c r="AM213" s="590">
        <v>1</v>
      </c>
      <c r="AN213" s="638">
        <v>0.10822882222222224</v>
      </c>
      <c r="AO213" s="625">
        <v>11.12</v>
      </c>
      <c r="AP213" s="1368">
        <v>-0.27057205555555558</v>
      </c>
      <c r="AQ213" s="658">
        <v>-0.22767513830326652</v>
      </c>
      <c r="AR213" s="558" t="s">
        <v>3660</v>
      </c>
      <c r="AS213" s="558"/>
      <c r="AT213" s="648"/>
      <c r="AU213" s="559"/>
      <c r="AV213" s="558">
        <f>M213</f>
        <v>0</v>
      </c>
      <c r="AW213" s="558">
        <f t="shared" si="35"/>
        <v>0</v>
      </c>
      <c r="AX213" s="589"/>
      <c r="AY213" s="587"/>
      <c r="AZ213" s="676">
        <f t="shared" si="36"/>
        <v>10</v>
      </c>
      <c r="BA213" s="644" t="s">
        <v>3847</v>
      </c>
      <c r="BB213" s="570"/>
      <c r="BC213" s="637"/>
      <c r="BH213" s="3763"/>
      <c r="BI213" s="3763"/>
      <c r="BJ213" s="1639"/>
      <c r="BK213" s="1639"/>
      <c r="BL213" s="1639"/>
      <c r="BM213" s="1639"/>
      <c r="BN213" s="1639"/>
      <c r="BO213" s="1639"/>
      <c r="BP213" s="1639"/>
      <c r="BQ213" s="1639"/>
      <c r="BR213" s="1639"/>
      <c r="BS213" s="509"/>
      <c r="BT213" s="509"/>
      <c r="BU213" s="509"/>
      <c r="BV213" s="509"/>
      <c r="BW213" s="509"/>
      <c r="BX213" s="509"/>
      <c r="BY213" s="509"/>
      <c r="BZ213" s="509"/>
      <c r="CA213" s="509"/>
      <c r="CB213" s="509"/>
      <c r="CC213" s="509"/>
      <c r="CD213" s="509"/>
      <c r="CE213" s="509"/>
      <c r="CF213" s="509"/>
      <c r="CG213" s="509"/>
      <c r="CH213" s="509"/>
      <c r="CI213" s="509"/>
      <c r="CJ213" s="509"/>
      <c r="CK213" s="509"/>
      <c r="CL213" s="509"/>
      <c r="CM213" s="509"/>
      <c r="CN213" s="509"/>
      <c r="CO213" s="509"/>
      <c r="CP213" s="509"/>
      <c r="CQ213" s="509"/>
      <c r="CR213" s="509"/>
      <c r="CS213" s="509"/>
      <c r="CT213" s="509"/>
      <c r="CU213" s="509"/>
      <c r="CV213" s="509"/>
      <c r="CW213" s="509"/>
      <c r="CX213" s="509"/>
      <c r="CY213" s="509"/>
      <c r="CZ213" s="509"/>
      <c r="DA213" s="509"/>
      <c r="DB213" s="509"/>
      <c r="DC213" s="509"/>
      <c r="DD213" s="509"/>
      <c r="DE213" s="509"/>
      <c r="DF213" s="509"/>
      <c r="DG213" s="509"/>
      <c r="DH213" s="509"/>
      <c r="DI213" s="509"/>
      <c r="DJ213" s="509"/>
      <c r="DK213" s="509"/>
      <c r="DL213" s="509"/>
      <c r="DM213" s="509"/>
      <c r="DN213" s="509"/>
      <c r="DO213" s="509"/>
      <c r="DP213" s="509"/>
      <c r="DQ213" s="509"/>
      <c r="DR213" s="509"/>
      <c r="DS213" s="509"/>
      <c r="DT213" s="509"/>
      <c r="DU213" s="509"/>
      <c r="DV213" s="509"/>
      <c r="DW213" s="509"/>
      <c r="DX213" s="509"/>
      <c r="DY213" s="509"/>
      <c r="DZ213" s="509"/>
      <c r="EA213" s="509"/>
      <c r="EB213" s="509"/>
      <c r="EC213" s="509"/>
      <c r="ED213" s="509"/>
      <c r="EE213" s="509"/>
      <c r="EF213" s="509"/>
      <c r="EG213" s="509"/>
      <c r="EH213" s="509"/>
      <c r="EI213" s="509"/>
      <c r="EJ213" s="509"/>
      <c r="EK213" s="509"/>
      <c r="EL213" s="509"/>
      <c r="EM213" s="509"/>
      <c r="EN213" s="509"/>
      <c r="EO213" s="509"/>
      <c r="EP213" s="509"/>
      <c r="EQ213" s="509"/>
      <c r="ER213" s="509"/>
      <c r="ES213" s="509"/>
      <c r="ET213" s="509"/>
      <c r="EU213" s="509"/>
      <c r="EV213" s="509"/>
      <c r="EW213" s="509"/>
      <c r="EX213" s="509"/>
      <c r="EY213" s="509"/>
      <c r="EZ213" s="509"/>
      <c r="FA213" s="509"/>
      <c r="FB213" s="509"/>
      <c r="FC213" s="509"/>
      <c r="FD213" s="509"/>
      <c r="FE213" s="509"/>
      <c r="FF213" s="509"/>
      <c r="FG213" s="509"/>
      <c r="FH213" s="509"/>
      <c r="FI213" s="509"/>
      <c r="FJ213" s="509"/>
      <c r="FK213" s="509"/>
      <c r="FL213" s="509"/>
      <c r="FM213" s="509"/>
      <c r="FN213" s="509"/>
      <c r="FO213" s="509"/>
      <c r="FP213" s="509"/>
      <c r="FQ213" s="509"/>
      <c r="FR213" s="509"/>
      <c r="FS213" s="509"/>
      <c r="FT213" s="509"/>
      <c r="FU213" s="509"/>
      <c r="FV213" s="509"/>
      <c r="FW213" s="509"/>
      <c r="FX213" s="509"/>
      <c r="FY213" s="509"/>
      <c r="FZ213" s="509"/>
      <c r="GA213" s="509"/>
      <c r="GB213" s="509"/>
      <c r="GC213" s="509"/>
      <c r="GD213" s="509"/>
      <c r="GE213" s="509"/>
      <c r="GF213" s="509"/>
      <c r="GG213" s="509"/>
      <c r="GH213" s="509"/>
      <c r="GI213" s="509"/>
      <c r="GJ213" s="509"/>
      <c r="GK213" s="509"/>
      <c r="GL213" s="509"/>
      <c r="GM213" s="509"/>
      <c r="GN213" s="509"/>
      <c r="GO213" s="509"/>
      <c r="GP213" s="509"/>
      <c r="GQ213" s="509"/>
      <c r="GR213" s="509"/>
      <c r="GS213" s="509"/>
      <c r="GT213" s="509"/>
      <c r="GU213" s="509"/>
      <c r="GV213" s="509"/>
      <c r="GW213" s="509"/>
      <c r="GX213" s="509"/>
      <c r="GY213" s="509"/>
      <c r="GZ213" s="509"/>
      <c r="HA213" s="509"/>
      <c r="HB213" s="509"/>
      <c r="HC213" s="509"/>
      <c r="HD213" s="509"/>
      <c r="HE213" s="509"/>
      <c r="HF213" s="509"/>
      <c r="HG213" s="509"/>
      <c r="HH213" s="509"/>
      <c r="HI213" s="509"/>
      <c r="HJ213" s="509"/>
      <c r="HK213" s="509"/>
      <c r="HL213" s="509"/>
      <c r="HM213" s="509"/>
      <c r="HN213" s="509"/>
      <c r="HO213" s="509"/>
      <c r="HP213" s="509"/>
      <c r="HQ213" s="509"/>
      <c r="HR213" s="509"/>
      <c r="HS213" s="509"/>
      <c r="HT213" s="509"/>
      <c r="HU213" s="509"/>
      <c r="HV213" s="509"/>
      <c r="HW213" s="509"/>
      <c r="HX213" s="509"/>
      <c r="HY213" s="509"/>
      <c r="HZ213" s="509"/>
    </row>
    <row r="214" spans="1:234" s="232" customFormat="1" ht="15.9" hidden="1" customHeight="1" x14ac:dyDescent="0.25">
      <c r="A214" s="522" t="s">
        <v>3278</v>
      </c>
      <c r="B214" s="523" t="s">
        <v>4453</v>
      </c>
      <c r="C214" s="526" t="s">
        <v>3771</v>
      </c>
      <c r="D214" s="570" t="s">
        <v>2158</v>
      </c>
      <c r="E214" s="569" t="s">
        <v>3228</v>
      </c>
      <c r="F214" s="543">
        <v>39577</v>
      </c>
      <c r="G214" s="544">
        <v>39539</v>
      </c>
      <c r="H214" s="562">
        <v>39568</v>
      </c>
      <c r="I214" s="546">
        <v>41607</v>
      </c>
      <c r="J214" s="547">
        <v>10</v>
      </c>
      <c r="K214" s="553" t="s">
        <v>3229</v>
      </c>
      <c r="L214" s="552" t="s">
        <v>3229</v>
      </c>
      <c r="M214" s="550">
        <v>0</v>
      </c>
      <c r="N214" s="560">
        <v>0.7</v>
      </c>
      <c r="O214" s="552" t="s">
        <v>3229</v>
      </c>
      <c r="P214" s="552" t="s">
        <v>3229</v>
      </c>
      <c r="Q214" s="552" t="s">
        <v>3229</v>
      </c>
      <c r="R214" s="552" t="s">
        <v>3229</v>
      </c>
      <c r="S214" s="567"/>
      <c r="T214" s="555" t="s">
        <v>3229</v>
      </c>
      <c r="U214" s="555" t="s">
        <v>3229</v>
      </c>
      <c r="V214" s="555" t="s">
        <v>3229</v>
      </c>
      <c r="W214" s="555" t="s">
        <v>3229</v>
      </c>
      <c r="X214" s="555" t="s">
        <v>3229</v>
      </c>
      <c r="Y214" s="555" t="s">
        <v>3229</v>
      </c>
      <c r="Z214" s="555" t="s">
        <v>3229</v>
      </c>
      <c r="AA214" s="555" t="s">
        <v>3229</v>
      </c>
      <c r="AB214" s="555" t="s">
        <v>3229</v>
      </c>
      <c r="AC214" s="555" t="s">
        <v>3229</v>
      </c>
      <c r="AD214" s="555" t="s">
        <v>3229</v>
      </c>
      <c r="AE214" s="556" t="s">
        <v>3229</v>
      </c>
      <c r="AF214" s="3764" t="s">
        <v>781</v>
      </c>
      <c r="AG214" s="3765"/>
      <c r="AH214" s="622" t="s">
        <v>3229</v>
      </c>
      <c r="AI214" s="622" t="s">
        <v>3229</v>
      </c>
      <c r="AJ214" s="622" t="s">
        <v>3229</v>
      </c>
      <c r="AK214" s="566" t="s">
        <v>3229</v>
      </c>
      <c r="AL214" s="622" t="s">
        <v>3229</v>
      </c>
      <c r="AM214" s="590">
        <v>1</v>
      </c>
      <c r="AN214" s="576">
        <v>0.29483999999999999</v>
      </c>
      <c r="AO214" s="652">
        <v>12.95</v>
      </c>
      <c r="AP214" s="1368">
        <v>0.29484241111111109</v>
      </c>
      <c r="AQ214" s="658">
        <v>0.42120000000000002</v>
      </c>
      <c r="AR214" s="632" t="s">
        <v>3660</v>
      </c>
      <c r="AS214" s="558"/>
      <c r="AT214" s="648"/>
      <c r="AU214" s="559"/>
      <c r="AV214" s="558">
        <f>M214</f>
        <v>0</v>
      </c>
      <c r="AW214" s="558">
        <f t="shared" si="35"/>
        <v>0</v>
      </c>
      <c r="AX214" s="558">
        <f>J214*(1+AV214)/AO214-1</f>
        <v>-0.22779922779922779</v>
      </c>
      <c r="AY214" s="559" t="e">
        <f>POWER(1+AX214,1/AG214)-1</f>
        <v>#DIV/0!</v>
      </c>
      <c r="AZ214" s="642">
        <f t="shared" si="36"/>
        <v>10</v>
      </c>
      <c r="BA214" s="644" t="s">
        <v>3190</v>
      </c>
      <c r="BB214" s="570"/>
      <c r="BC214" s="637"/>
      <c r="BD214" s="3708"/>
      <c r="BE214" s="3743"/>
      <c r="BF214" s="3743"/>
      <c r="BG214" s="3708"/>
      <c r="BH214" s="3762"/>
      <c r="BI214" s="3762"/>
      <c r="BJ214" s="39"/>
      <c r="BK214" s="39"/>
      <c r="BL214" s="39"/>
      <c r="BM214" s="39"/>
      <c r="BN214" s="39"/>
      <c r="BO214" s="39"/>
      <c r="BP214" s="39"/>
      <c r="BQ214" s="39"/>
      <c r="BR214" s="39"/>
      <c r="BS214" s="507"/>
      <c r="BT214" s="507"/>
      <c r="BU214" s="507"/>
      <c r="BV214" s="507"/>
      <c r="BW214" s="507"/>
      <c r="BX214" s="507"/>
      <c r="BY214" s="507"/>
      <c r="BZ214" s="507"/>
      <c r="CA214" s="507"/>
      <c r="CB214" s="507"/>
      <c r="CC214" s="507"/>
      <c r="CD214" s="507"/>
      <c r="CE214" s="507"/>
      <c r="CF214" s="507"/>
      <c r="CG214" s="507"/>
      <c r="CH214" s="507"/>
      <c r="CI214" s="507"/>
      <c r="CJ214" s="507"/>
      <c r="CK214" s="507"/>
      <c r="CL214" s="507"/>
      <c r="CM214" s="507"/>
      <c r="CN214" s="507"/>
      <c r="CO214" s="507"/>
      <c r="CP214" s="507"/>
      <c r="CQ214" s="507"/>
      <c r="CR214" s="507"/>
      <c r="CS214" s="507"/>
      <c r="CT214" s="507"/>
      <c r="CU214" s="507"/>
      <c r="CV214" s="507"/>
      <c r="CW214" s="507"/>
      <c r="CX214" s="507"/>
      <c r="CY214" s="507"/>
      <c r="CZ214" s="507"/>
      <c r="DA214" s="507"/>
      <c r="DB214" s="507"/>
      <c r="DC214" s="507"/>
      <c r="DD214" s="507"/>
      <c r="DE214" s="507"/>
      <c r="DF214" s="507"/>
      <c r="DG214" s="507"/>
      <c r="DH214" s="507"/>
      <c r="DI214" s="507"/>
      <c r="DJ214" s="507"/>
      <c r="DK214" s="507"/>
      <c r="DL214" s="507"/>
      <c r="DM214" s="507"/>
      <c r="DN214" s="507"/>
      <c r="DO214" s="507"/>
      <c r="DP214" s="507"/>
      <c r="DQ214" s="507"/>
      <c r="DR214" s="507"/>
      <c r="DS214" s="507"/>
      <c r="DT214" s="507"/>
      <c r="DU214" s="507"/>
      <c r="DV214" s="507"/>
      <c r="DW214" s="507"/>
      <c r="DX214" s="507"/>
      <c r="DY214" s="507"/>
      <c r="DZ214" s="507"/>
      <c r="EA214" s="507"/>
      <c r="EB214" s="507"/>
      <c r="EC214" s="507"/>
      <c r="ED214" s="507"/>
      <c r="EE214" s="507"/>
      <c r="EF214" s="507"/>
      <c r="EG214" s="507"/>
      <c r="EH214" s="507"/>
      <c r="EI214" s="507"/>
      <c r="EJ214" s="507"/>
      <c r="EK214" s="507"/>
      <c r="EL214" s="507"/>
      <c r="EM214" s="507"/>
      <c r="EN214" s="507"/>
      <c r="EO214" s="507"/>
      <c r="EP214" s="507"/>
      <c r="EQ214" s="507"/>
      <c r="ER214" s="507"/>
      <c r="ES214" s="507"/>
      <c r="ET214" s="507"/>
      <c r="EU214" s="507"/>
      <c r="EV214" s="507"/>
      <c r="EW214" s="507"/>
      <c r="EX214" s="507"/>
      <c r="EY214" s="507"/>
      <c r="EZ214" s="507"/>
      <c r="FA214" s="507"/>
      <c r="FB214" s="507"/>
      <c r="FC214" s="507"/>
      <c r="FD214" s="507"/>
      <c r="FE214" s="507"/>
      <c r="FF214" s="507"/>
      <c r="FG214" s="507"/>
      <c r="FH214" s="507"/>
      <c r="FI214" s="507"/>
      <c r="FJ214" s="507"/>
      <c r="FK214" s="507"/>
      <c r="FL214" s="507"/>
      <c r="FM214" s="507"/>
      <c r="FN214" s="507"/>
      <c r="FO214" s="507"/>
      <c r="FP214" s="507"/>
      <c r="FQ214" s="507"/>
      <c r="FR214" s="507"/>
      <c r="FS214" s="507"/>
      <c r="FT214" s="507"/>
      <c r="FU214" s="507"/>
      <c r="FV214" s="507"/>
      <c r="FW214" s="507"/>
      <c r="FX214" s="507"/>
      <c r="FY214" s="507"/>
      <c r="FZ214" s="507"/>
      <c r="GA214" s="507"/>
      <c r="GB214" s="507"/>
      <c r="GC214" s="507"/>
      <c r="GD214" s="507"/>
      <c r="GE214" s="507"/>
      <c r="GF214" s="507"/>
      <c r="GG214" s="507"/>
      <c r="GH214" s="507"/>
      <c r="GI214" s="507"/>
      <c r="GJ214" s="507"/>
      <c r="GK214" s="507"/>
      <c r="GL214" s="507"/>
      <c r="GM214" s="507"/>
      <c r="GN214" s="507"/>
      <c r="GO214" s="507"/>
      <c r="GP214" s="507"/>
      <c r="GQ214" s="507"/>
      <c r="GR214" s="507"/>
      <c r="GS214" s="507"/>
      <c r="GT214" s="507"/>
      <c r="GU214" s="507"/>
      <c r="GV214" s="507"/>
      <c r="GW214" s="507"/>
      <c r="GX214" s="507"/>
      <c r="GY214" s="507"/>
      <c r="GZ214" s="507"/>
      <c r="HA214" s="507"/>
      <c r="HB214" s="507"/>
      <c r="HC214" s="507"/>
      <c r="HD214" s="507"/>
      <c r="HE214" s="507"/>
      <c r="HF214" s="507"/>
      <c r="HG214" s="507"/>
      <c r="HH214" s="507"/>
      <c r="HI214" s="507"/>
      <c r="HJ214" s="507"/>
      <c r="HK214" s="507"/>
      <c r="HL214" s="507"/>
      <c r="HM214" s="507"/>
      <c r="HN214" s="507"/>
      <c r="HO214" s="507"/>
      <c r="HP214" s="507"/>
      <c r="HQ214" s="507"/>
      <c r="HR214" s="507"/>
      <c r="HS214" s="507"/>
      <c r="HT214" s="507"/>
      <c r="HU214" s="507"/>
      <c r="HV214" s="507"/>
      <c r="HW214" s="507"/>
      <c r="HX214" s="507"/>
      <c r="HY214" s="507"/>
      <c r="HZ214" s="507"/>
    </row>
    <row r="215" spans="1:234" ht="15.9" hidden="1" customHeight="1" x14ac:dyDescent="0.25">
      <c r="A215" s="541" t="s">
        <v>3772</v>
      </c>
      <c r="B215" s="523" t="s">
        <v>1703</v>
      </c>
      <c r="C215" s="524" t="s">
        <v>3117</v>
      </c>
      <c r="D215" s="553" t="s">
        <v>4383</v>
      </c>
      <c r="E215" s="526" t="s">
        <v>3228</v>
      </c>
      <c r="F215" s="586">
        <v>39591</v>
      </c>
      <c r="G215" s="586">
        <v>39539</v>
      </c>
      <c r="H215" s="544">
        <v>39584</v>
      </c>
      <c r="I215" s="602">
        <v>41060</v>
      </c>
      <c r="J215" s="595">
        <v>10</v>
      </c>
      <c r="K215" s="561" t="s">
        <v>3229</v>
      </c>
      <c r="L215" s="553" t="s">
        <v>3229</v>
      </c>
      <c r="M215" s="600">
        <v>0</v>
      </c>
      <c r="N215" s="601">
        <v>1.1000000000000001</v>
      </c>
      <c r="O215" s="596" t="s">
        <v>3229</v>
      </c>
      <c r="P215" s="596" t="s">
        <v>3229</v>
      </c>
      <c r="Q215" s="596" t="s">
        <v>3229</v>
      </c>
      <c r="R215" s="596" t="s">
        <v>3229</v>
      </c>
      <c r="S215" s="597"/>
      <c r="T215" s="563" t="s">
        <v>3229</v>
      </c>
      <c r="U215" s="563" t="s">
        <v>3229</v>
      </c>
      <c r="V215" s="563" t="s">
        <v>3229</v>
      </c>
      <c r="W215" s="563" t="s">
        <v>3229</v>
      </c>
      <c r="X215" s="563" t="s">
        <v>3229</v>
      </c>
      <c r="Y215" s="563" t="s">
        <v>3229</v>
      </c>
      <c r="Z215" s="563" t="s">
        <v>3229</v>
      </c>
      <c r="AA215" s="563" t="s">
        <v>3229</v>
      </c>
      <c r="AB215" s="563" t="s">
        <v>3229</v>
      </c>
      <c r="AC215" s="563" t="s">
        <v>3229</v>
      </c>
      <c r="AD215" s="563" t="s">
        <v>3229</v>
      </c>
      <c r="AE215" s="563" t="s">
        <v>3229</v>
      </c>
      <c r="AF215" s="3764" t="s">
        <v>781</v>
      </c>
      <c r="AG215" s="3765"/>
      <c r="AH215" s="673" t="s">
        <v>3229</v>
      </c>
      <c r="AI215" s="673" t="s">
        <v>3229</v>
      </c>
      <c r="AJ215" s="673" t="s">
        <v>3229</v>
      </c>
      <c r="AK215" s="673" t="s">
        <v>3229</v>
      </c>
      <c r="AL215" s="673" t="s">
        <v>3229</v>
      </c>
      <c r="AM215" s="659">
        <v>1</v>
      </c>
      <c r="AN215" s="638">
        <v>0</v>
      </c>
      <c r="AO215" s="625">
        <v>9.99</v>
      </c>
      <c r="AP215" s="1368">
        <v>-0.26022206249999996</v>
      </c>
      <c r="AQ215" s="605">
        <v>-0.26022000000000001</v>
      </c>
      <c r="AR215" s="679" t="s">
        <v>3660</v>
      </c>
      <c r="AS215" s="680"/>
      <c r="AT215" s="680"/>
      <c r="AU215" s="681"/>
      <c r="AV215" s="632">
        <f>M215</f>
        <v>0</v>
      </c>
      <c r="AW215" s="558">
        <f t="shared" si="35"/>
        <v>0</v>
      </c>
      <c r="AX215" s="589"/>
      <c r="AY215" s="648"/>
      <c r="AZ215" s="676">
        <f t="shared" si="36"/>
        <v>10</v>
      </c>
      <c r="BA215" s="644" t="s">
        <v>574</v>
      </c>
      <c r="BB215" s="570"/>
      <c r="BC215" s="581"/>
      <c r="BH215" s="3763"/>
      <c r="BI215" s="3763"/>
      <c r="BJ215" s="1639"/>
      <c r="BK215" s="1639"/>
      <c r="BL215" s="1639"/>
      <c r="BM215" s="1639"/>
      <c r="BN215" s="1639"/>
      <c r="BO215" s="1639"/>
      <c r="BP215" s="1639"/>
      <c r="BQ215" s="1639"/>
      <c r="BR215" s="1639"/>
      <c r="BS215" s="509"/>
      <c r="BT215" s="509"/>
      <c r="BU215" s="509"/>
      <c r="BV215" s="509"/>
      <c r="BW215" s="509"/>
      <c r="BX215" s="509"/>
      <c r="BY215" s="509"/>
      <c r="BZ215" s="509"/>
      <c r="CA215" s="509"/>
      <c r="CB215" s="509"/>
      <c r="CC215" s="509"/>
      <c r="CD215" s="509"/>
      <c r="CE215" s="509"/>
      <c r="CF215" s="509"/>
      <c r="CG215" s="509"/>
      <c r="CH215" s="509"/>
      <c r="CI215" s="509"/>
      <c r="CJ215" s="509"/>
      <c r="CK215" s="509"/>
      <c r="CL215" s="509"/>
      <c r="CM215" s="509"/>
      <c r="CN215" s="509"/>
      <c r="CO215" s="509"/>
      <c r="CP215" s="509"/>
      <c r="CQ215" s="509"/>
      <c r="CR215" s="509"/>
      <c r="CS215" s="509"/>
      <c r="CT215" s="509"/>
      <c r="CU215" s="509"/>
      <c r="CV215" s="509"/>
      <c r="CW215" s="509"/>
      <c r="CX215" s="509"/>
      <c r="CY215" s="509"/>
      <c r="CZ215" s="509"/>
      <c r="DA215" s="509"/>
      <c r="DB215" s="509"/>
      <c r="DC215" s="509"/>
      <c r="DD215" s="509"/>
      <c r="DE215" s="509"/>
      <c r="DF215" s="509"/>
      <c r="DG215" s="509"/>
      <c r="DH215" s="509"/>
      <c r="DI215" s="509"/>
      <c r="DJ215" s="509"/>
      <c r="DK215" s="509"/>
      <c r="DL215" s="509"/>
      <c r="DM215" s="509"/>
      <c r="DN215" s="509"/>
      <c r="DO215" s="509"/>
      <c r="DP215" s="509"/>
      <c r="DQ215" s="509"/>
      <c r="DR215" s="509"/>
      <c r="DS215" s="509"/>
      <c r="DT215" s="509"/>
      <c r="DU215" s="509"/>
      <c r="DV215" s="509"/>
      <c r="DW215" s="509"/>
      <c r="DX215" s="509"/>
      <c r="DY215" s="509"/>
      <c r="DZ215" s="509"/>
      <c r="EA215" s="509"/>
      <c r="EB215" s="509"/>
      <c r="EC215" s="509"/>
      <c r="ED215" s="509"/>
      <c r="EE215" s="509"/>
      <c r="EF215" s="509"/>
      <c r="EG215" s="509"/>
      <c r="EH215" s="509"/>
      <c r="EI215" s="509"/>
      <c r="EJ215" s="509"/>
      <c r="EK215" s="509"/>
      <c r="EL215" s="509"/>
      <c r="EM215" s="509"/>
      <c r="EN215" s="509"/>
      <c r="EO215" s="509"/>
      <c r="EP215" s="509"/>
      <c r="EQ215" s="509"/>
      <c r="ER215" s="509"/>
      <c r="ES215" s="509"/>
      <c r="ET215" s="509"/>
      <c r="EU215" s="509"/>
      <c r="EV215" s="509"/>
      <c r="EW215" s="509"/>
      <c r="EX215" s="509"/>
      <c r="EY215" s="509"/>
      <c r="EZ215" s="509"/>
      <c r="FA215" s="509"/>
      <c r="FB215" s="509"/>
      <c r="FC215" s="509"/>
      <c r="FD215" s="509"/>
      <c r="FE215" s="509"/>
      <c r="FF215" s="509"/>
      <c r="FG215" s="509"/>
      <c r="FH215" s="509"/>
      <c r="FI215" s="509"/>
      <c r="FJ215" s="509"/>
      <c r="FK215" s="509"/>
      <c r="FL215" s="509"/>
      <c r="FM215" s="509"/>
      <c r="FN215" s="509"/>
      <c r="FO215" s="509"/>
      <c r="FP215" s="509"/>
      <c r="FQ215" s="509"/>
      <c r="FR215" s="509"/>
      <c r="FS215" s="509"/>
      <c r="FT215" s="509"/>
      <c r="FU215" s="509"/>
      <c r="FV215" s="509"/>
      <c r="FW215" s="509"/>
      <c r="FX215" s="509"/>
      <c r="FY215" s="509"/>
      <c r="FZ215" s="509"/>
      <c r="GA215" s="509"/>
      <c r="GB215" s="509"/>
      <c r="GC215" s="509"/>
      <c r="GD215" s="509"/>
      <c r="GE215" s="509"/>
      <c r="GF215" s="509"/>
      <c r="GG215" s="509"/>
      <c r="GH215" s="509"/>
      <c r="GI215" s="509"/>
      <c r="GJ215" s="509"/>
      <c r="GK215" s="509"/>
      <c r="GL215" s="509"/>
      <c r="GM215" s="509"/>
      <c r="GN215" s="509"/>
      <c r="GO215" s="509"/>
      <c r="GP215" s="509"/>
      <c r="GQ215" s="509"/>
      <c r="GR215" s="509"/>
      <c r="GS215" s="509"/>
      <c r="GT215" s="509"/>
      <c r="GU215" s="509"/>
      <c r="GV215" s="509"/>
      <c r="GW215" s="509"/>
      <c r="GX215" s="509"/>
      <c r="GY215" s="509"/>
      <c r="GZ215" s="509"/>
      <c r="HA215" s="509"/>
      <c r="HB215" s="510"/>
      <c r="HC215" s="511"/>
      <c r="HD215" s="124"/>
      <c r="HE215" s="508"/>
      <c r="HF215" s="51"/>
      <c r="HG215" s="53"/>
      <c r="HH215" s="245"/>
      <c r="HI215" s="47"/>
      <c r="HJ215" s="46"/>
      <c r="HK215" s="50"/>
      <c r="HL215" s="54"/>
      <c r="HM215" s="54"/>
      <c r="HN215" s="50"/>
      <c r="HO215" s="50"/>
      <c r="HP215" s="50"/>
      <c r="HQ215" s="50"/>
      <c r="HR215" s="223"/>
      <c r="HS215" s="3769"/>
      <c r="HT215" s="3770"/>
      <c r="HU215" s="512"/>
      <c r="HV215" s="460"/>
      <c r="HW215" s="513"/>
      <c r="HX215" s="514"/>
      <c r="HY215" s="509"/>
      <c r="HZ215" s="509"/>
    </row>
    <row r="216" spans="1:234" ht="15.9" hidden="1" customHeight="1" x14ac:dyDescent="0.25">
      <c r="A216" s="541" t="s">
        <v>4114</v>
      </c>
      <c r="B216" s="523" t="s">
        <v>1704</v>
      </c>
      <c r="C216" s="524" t="s">
        <v>3118</v>
      </c>
      <c r="D216" s="553" t="s">
        <v>1370</v>
      </c>
      <c r="E216" s="526" t="s">
        <v>3228</v>
      </c>
      <c r="F216" s="586">
        <v>39581</v>
      </c>
      <c r="G216" s="586">
        <v>39539</v>
      </c>
      <c r="H216" s="544">
        <v>39568</v>
      </c>
      <c r="I216" s="602">
        <v>41407</v>
      </c>
      <c r="J216" s="595">
        <v>10</v>
      </c>
      <c r="K216" s="561" t="s">
        <v>3229</v>
      </c>
      <c r="L216" s="553" t="s">
        <v>3229</v>
      </c>
      <c r="M216" s="600">
        <v>0</v>
      </c>
      <c r="N216" s="601">
        <v>0.75</v>
      </c>
      <c r="O216" s="596" t="s">
        <v>3229</v>
      </c>
      <c r="P216" s="596" t="s">
        <v>3229</v>
      </c>
      <c r="Q216" s="596" t="s">
        <v>3229</v>
      </c>
      <c r="R216" s="596"/>
      <c r="S216" s="597"/>
      <c r="T216" s="563" t="s">
        <v>3229</v>
      </c>
      <c r="U216" s="563" t="s">
        <v>3229</v>
      </c>
      <c r="V216" s="563" t="s">
        <v>3229</v>
      </c>
      <c r="W216" s="563" t="s">
        <v>3229</v>
      </c>
      <c r="X216" s="563" t="s">
        <v>3229</v>
      </c>
      <c r="Y216" s="563" t="s">
        <v>3229</v>
      </c>
      <c r="Z216" s="563" t="s">
        <v>3229</v>
      </c>
      <c r="AA216" s="563" t="s">
        <v>3229</v>
      </c>
      <c r="AB216" s="563" t="s">
        <v>3229</v>
      </c>
      <c r="AC216" s="563" t="s">
        <v>3229</v>
      </c>
      <c r="AD216" s="563" t="s">
        <v>3229</v>
      </c>
      <c r="AE216" s="563" t="s">
        <v>3229</v>
      </c>
      <c r="AF216" s="3764" t="s">
        <v>781</v>
      </c>
      <c r="AG216" s="3765"/>
      <c r="AH216" s="673" t="s">
        <v>3229</v>
      </c>
      <c r="AI216" s="673" t="s">
        <v>3229</v>
      </c>
      <c r="AJ216" s="673" t="s">
        <v>3229</v>
      </c>
      <c r="AK216" s="673" t="s">
        <v>3229</v>
      </c>
      <c r="AL216" s="673" t="s">
        <v>3229</v>
      </c>
      <c r="AM216" s="659">
        <v>1</v>
      </c>
      <c r="AN216" s="638">
        <v>0</v>
      </c>
      <c r="AO216" s="625">
        <v>10.06</v>
      </c>
      <c r="AP216" s="1368">
        <v>-0.22764600000000002</v>
      </c>
      <c r="AQ216" s="605">
        <v>-0.22764600000000002</v>
      </c>
      <c r="AR216" s="679" t="s">
        <v>3660</v>
      </c>
      <c r="AS216" s="680"/>
      <c r="AT216" s="680"/>
      <c r="AU216" s="681"/>
      <c r="AV216" s="632">
        <f>M216</f>
        <v>0</v>
      </c>
      <c r="AW216" s="558">
        <f t="shared" si="35"/>
        <v>0</v>
      </c>
      <c r="AX216" s="589">
        <f>J216*(1+AV216)/AO216-1</f>
        <v>-5.9642147117296984E-3</v>
      </c>
      <c r="AY216" s="648" t="e">
        <f>POWER(1+AX216,1/AG216)-1</f>
        <v>#DIV/0!</v>
      </c>
      <c r="AZ216" s="676">
        <f t="shared" si="36"/>
        <v>10</v>
      </c>
      <c r="BA216" s="644" t="s">
        <v>3190</v>
      </c>
      <c r="BB216" s="570"/>
      <c r="BC216" s="581"/>
      <c r="BH216" s="3763"/>
      <c r="BI216" s="3763"/>
      <c r="BJ216" s="1639"/>
      <c r="BK216" s="1639"/>
      <c r="BL216" s="1639"/>
      <c r="BM216" s="1639"/>
      <c r="BN216" s="1639"/>
      <c r="BO216" s="1639"/>
      <c r="BP216" s="1639"/>
      <c r="BQ216" s="1639"/>
      <c r="BR216" s="1639"/>
      <c r="BS216" s="509"/>
      <c r="BT216" s="509"/>
      <c r="BU216" s="509"/>
      <c r="BV216" s="509"/>
      <c r="BW216" s="509"/>
      <c r="BX216" s="509"/>
      <c r="BY216" s="509"/>
      <c r="BZ216" s="509"/>
      <c r="CA216" s="509"/>
      <c r="CB216" s="509"/>
      <c r="CC216" s="509"/>
      <c r="CD216" s="509"/>
      <c r="CE216" s="509"/>
      <c r="CF216" s="509"/>
      <c r="CG216" s="509"/>
      <c r="CH216" s="509"/>
      <c r="CI216" s="509"/>
      <c r="CJ216" s="509"/>
      <c r="CK216" s="509"/>
      <c r="CL216" s="509"/>
      <c r="CM216" s="509"/>
      <c r="CN216" s="509"/>
      <c r="CO216" s="509"/>
      <c r="CP216" s="509"/>
      <c r="CQ216" s="509"/>
      <c r="CR216" s="509"/>
      <c r="CS216" s="509"/>
      <c r="CT216" s="509"/>
      <c r="CU216" s="509"/>
      <c r="CV216" s="509"/>
      <c r="CW216" s="509"/>
      <c r="CX216" s="509"/>
      <c r="CY216" s="509"/>
      <c r="CZ216" s="509"/>
      <c r="DA216" s="509"/>
      <c r="DB216" s="509"/>
      <c r="DC216" s="509"/>
      <c r="DD216" s="509"/>
      <c r="DE216" s="509"/>
      <c r="DF216" s="509"/>
      <c r="DG216" s="509"/>
      <c r="DH216" s="509"/>
      <c r="DI216" s="509"/>
      <c r="DJ216" s="509"/>
      <c r="DK216" s="509"/>
      <c r="DL216" s="509"/>
      <c r="DM216" s="509"/>
      <c r="DN216" s="509"/>
      <c r="DO216" s="509"/>
      <c r="DP216" s="509"/>
      <c r="DQ216" s="509"/>
      <c r="DR216" s="509"/>
      <c r="DS216" s="509"/>
      <c r="DT216" s="509"/>
      <c r="DU216" s="509"/>
      <c r="DV216" s="509"/>
      <c r="DW216" s="509"/>
      <c r="DX216" s="509"/>
      <c r="DY216" s="509"/>
      <c r="DZ216" s="509"/>
      <c r="EA216" s="509"/>
      <c r="EB216" s="509"/>
      <c r="EC216" s="509"/>
      <c r="ED216" s="509"/>
      <c r="EE216" s="509"/>
      <c r="EF216" s="509"/>
      <c r="EG216" s="509"/>
      <c r="EH216" s="509"/>
      <c r="EI216" s="509"/>
      <c r="EJ216" s="509"/>
      <c r="EK216" s="509"/>
      <c r="EL216" s="509"/>
      <c r="EM216" s="509"/>
      <c r="EN216" s="509"/>
      <c r="EO216" s="509"/>
      <c r="EP216" s="509"/>
      <c r="EQ216" s="509"/>
      <c r="ER216" s="509"/>
      <c r="ES216" s="509"/>
      <c r="ET216" s="509"/>
      <c r="EU216" s="509"/>
      <c r="EV216" s="509"/>
      <c r="EW216" s="509"/>
      <c r="EX216" s="509"/>
      <c r="EY216" s="509"/>
      <c r="EZ216" s="509"/>
      <c r="FA216" s="509"/>
      <c r="FB216" s="509"/>
      <c r="FC216" s="509"/>
      <c r="FD216" s="509"/>
      <c r="FE216" s="509"/>
      <c r="FF216" s="509"/>
      <c r="FG216" s="509"/>
      <c r="FH216" s="509"/>
      <c r="FI216" s="509"/>
      <c r="FJ216" s="509"/>
      <c r="FK216" s="509"/>
      <c r="FL216" s="509"/>
      <c r="FM216" s="509"/>
      <c r="FN216" s="509"/>
      <c r="FO216" s="509"/>
      <c r="FP216" s="509"/>
      <c r="FQ216" s="509"/>
      <c r="FR216" s="509"/>
      <c r="FS216" s="509"/>
      <c r="FT216" s="509"/>
      <c r="FU216" s="509"/>
      <c r="FV216" s="509"/>
      <c r="FW216" s="509"/>
      <c r="FX216" s="509"/>
      <c r="FY216" s="509"/>
      <c r="FZ216" s="509"/>
      <c r="GA216" s="509"/>
      <c r="GB216" s="509"/>
      <c r="GC216" s="509"/>
      <c r="GD216" s="509"/>
      <c r="GE216" s="509"/>
      <c r="GF216" s="509"/>
      <c r="GG216" s="509"/>
      <c r="GH216" s="509"/>
      <c r="GI216" s="509"/>
      <c r="GJ216" s="509"/>
      <c r="GK216" s="509"/>
      <c r="GL216" s="509"/>
      <c r="GM216" s="509"/>
      <c r="GN216" s="509"/>
      <c r="GO216" s="509"/>
      <c r="GP216" s="509"/>
      <c r="GQ216" s="509"/>
      <c r="GR216" s="509"/>
      <c r="GS216" s="509"/>
      <c r="GT216" s="509"/>
      <c r="GU216" s="509"/>
      <c r="GV216" s="509"/>
      <c r="GW216" s="509"/>
      <c r="GX216" s="509"/>
      <c r="GY216" s="509"/>
      <c r="GZ216" s="509"/>
      <c r="HA216" s="509"/>
      <c r="HB216" s="510"/>
      <c r="HC216" s="511"/>
      <c r="HD216" s="124"/>
      <c r="HE216" s="508"/>
      <c r="HF216" s="51"/>
      <c r="HG216" s="53"/>
      <c r="HH216" s="245"/>
      <c r="HI216" s="47"/>
      <c r="HJ216" s="46"/>
      <c r="HK216" s="50"/>
      <c r="HL216" s="54"/>
      <c r="HM216" s="54"/>
      <c r="HN216" s="50"/>
      <c r="HO216" s="50"/>
      <c r="HP216" s="50"/>
      <c r="HQ216" s="50"/>
      <c r="HR216" s="223"/>
      <c r="HS216" s="3769"/>
      <c r="HT216" s="3770"/>
      <c r="HU216" s="512"/>
      <c r="HV216" s="460"/>
      <c r="HW216" s="513"/>
      <c r="HX216" s="514"/>
      <c r="HY216" s="509"/>
      <c r="HZ216" s="509"/>
    </row>
    <row r="217" spans="1:234" s="206" customFormat="1" ht="15.9" hidden="1" customHeight="1" x14ac:dyDescent="0.25">
      <c r="A217" s="541" t="s">
        <v>5393</v>
      </c>
      <c r="B217" s="523" t="s">
        <v>5394</v>
      </c>
      <c r="C217" s="524" t="s">
        <v>2071</v>
      </c>
      <c r="D217" s="553" t="s">
        <v>4384</v>
      </c>
      <c r="E217" s="526" t="s">
        <v>3228</v>
      </c>
      <c r="F217" s="586">
        <v>39545</v>
      </c>
      <c r="G217" s="586">
        <v>39503</v>
      </c>
      <c r="H217" s="544">
        <v>39538</v>
      </c>
      <c r="I217" s="602">
        <v>41394</v>
      </c>
      <c r="J217" s="595">
        <v>10</v>
      </c>
      <c r="K217" s="561">
        <v>0</v>
      </c>
      <c r="L217" s="553">
        <v>0.12</v>
      </c>
      <c r="M217" s="600">
        <v>-1</v>
      </c>
      <c r="N217" s="601" t="s">
        <v>3229</v>
      </c>
      <c r="O217" s="596" t="s">
        <v>3229</v>
      </c>
      <c r="P217" s="596" t="s">
        <v>3229</v>
      </c>
      <c r="Q217" s="596" t="s">
        <v>3229</v>
      </c>
      <c r="R217" s="596" t="s">
        <v>3229</v>
      </c>
      <c r="S217" s="597">
        <v>5</v>
      </c>
      <c r="T217" s="563">
        <v>39904</v>
      </c>
      <c r="U217" s="563">
        <v>40269</v>
      </c>
      <c r="V217" s="563">
        <v>40634</v>
      </c>
      <c r="W217" s="598">
        <v>41000</v>
      </c>
      <c r="X217" s="598">
        <v>41365</v>
      </c>
      <c r="Y217" s="598" t="s">
        <v>3229</v>
      </c>
      <c r="Z217" s="598" t="s">
        <v>3229</v>
      </c>
      <c r="AA217" s="598" t="s">
        <v>3229</v>
      </c>
      <c r="AB217" s="598" t="s">
        <v>3229</v>
      </c>
      <c r="AC217" s="598" t="s">
        <v>3229</v>
      </c>
      <c r="AD217" s="598" t="s">
        <v>3229</v>
      </c>
      <c r="AE217" s="598" t="s">
        <v>3229</v>
      </c>
      <c r="AF217" s="3764" t="s">
        <v>781</v>
      </c>
      <c r="AG217" s="3765"/>
      <c r="AH217" s="593" t="s">
        <v>3229</v>
      </c>
      <c r="AI217" s="530" t="s">
        <v>3229</v>
      </c>
      <c r="AJ217" s="530" t="s">
        <v>3229</v>
      </c>
      <c r="AK217" s="673" t="s">
        <v>3229</v>
      </c>
      <c r="AL217" s="530" t="s">
        <v>3229</v>
      </c>
      <c r="AM217" s="659">
        <v>1</v>
      </c>
      <c r="AN217" s="638">
        <v>-0.29888358319550828</v>
      </c>
      <c r="AO217" s="625">
        <v>7.01</v>
      </c>
      <c r="AP217" s="1368">
        <v>-0.22098175910612039</v>
      </c>
      <c r="AQ217" s="605">
        <v>-0.29888438282554608</v>
      </c>
      <c r="AR217" s="558" t="s">
        <v>3660</v>
      </c>
      <c r="AS217" s="558"/>
      <c r="AT217" s="653"/>
      <c r="AU217" s="653"/>
      <c r="AV217" s="632">
        <f>M217</f>
        <v>-1</v>
      </c>
      <c r="AW217" s="558">
        <f t="shared" si="35"/>
        <v>-1</v>
      </c>
      <c r="AX217" s="589">
        <f>J217*(1+AV217)/AO217-1</f>
        <v>-1</v>
      </c>
      <c r="AY217" s="648" t="e">
        <f>POWER(1+AX217,1/AG217)-1</f>
        <v>#DIV/0!</v>
      </c>
      <c r="AZ217" s="676">
        <f t="shared" si="36"/>
        <v>0</v>
      </c>
      <c r="BA217" s="644" t="s">
        <v>3852</v>
      </c>
      <c r="BB217" s="570"/>
      <c r="BC217" s="581"/>
      <c r="BD217" s="3691"/>
      <c r="BE217" s="3743"/>
      <c r="BF217" s="3743"/>
      <c r="BG217" s="3708"/>
      <c r="BH217" s="3762"/>
      <c r="BI217" s="3762"/>
      <c r="BJ217" s="39"/>
      <c r="BK217" s="39"/>
      <c r="BL217" s="39"/>
      <c r="BM217" s="39"/>
      <c r="BN217" s="39"/>
      <c r="BO217" s="39"/>
      <c r="BP217" s="39"/>
      <c r="BQ217" s="39"/>
      <c r="BR217" s="39"/>
      <c r="BS217" s="507"/>
      <c r="BT217" s="507"/>
      <c r="BU217" s="507"/>
      <c r="BV217" s="507"/>
      <c r="BW217" s="507"/>
      <c r="BX217" s="507"/>
      <c r="BY217" s="507"/>
      <c r="BZ217" s="507"/>
      <c r="CA217" s="507"/>
      <c r="CB217" s="507"/>
      <c r="CC217" s="507"/>
      <c r="CD217" s="507"/>
      <c r="CE217" s="507"/>
      <c r="CF217" s="507"/>
      <c r="CG217" s="507"/>
      <c r="CH217" s="507"/>
      <c r="CI217" s="507"/>
      <c r="CJ217" s="507"/>
      <c r="CK217" s="507"/>
      <c r="CL217" s="507"/>
      <c r="CM217" s="507"/>
      <c r="CN217" s="507"/>
      <c r="CO217" s="507"/>
      <c r="CP217" s="507"/>
      <c r="CQ217" s="507"/>
      <c r="CR217" s="507"/>
      <c r="CS217" s="507"/>
      <c r="CT217" s="507"/>
      <c r="CU217" s="507"/>
      <c r="CV217" s="507"/>
      <c r="CW217" s="507"/>
      <c r="CX217" s="507"/>
      <c r="CY217" s="507"/>
      <c r="CZ217" s="507"/>
      <c r="DA217" s="507"/>
      <c r="DB217" s="507"/>
      <c r="DC217" s="507"/>
      <c r="DD217" s="507"/>
      <c r="DE217" s="507"/>
      <c r="DF217" s="507"/>
      <c r="DG217" s="507"/>
      <c r="DH217" s="507"/>
      <c r="DI217" s="507"/>
      <c r="DJ217" s="507"/>
      <c r="DK217" s="507"/>
      <c r="DL217" s="507"/>
      <c r="DM217" s="507"/>
      <c r="DN217" s="507"/>
      <c r="DO217" s="507"/>
      <c r="DP217" s="507"/>
      <c r="DQ217" s="507"/>
      <c r="DR217" s="507"/>
      <c r="DS217" s="507"/>
      <c r="DT217" s="507"/>
      <c r="DU217" s="507"/>
      <c r="DV217" s="507"/>
      <c r="DW217" s="507"/>
      <c r="DX217" s="507"/>
      <c r="DY217" s="507"/>
      <c r="DZ217" s="507"/>
      <c r="EA217" s="507"/>
      <c r="EB217" s="507"/>
      <c r="EC217" s="507"/>
      <c r="ED217" s="507"/>
      <c r="EE217" s="507"/>
      <c r="EF217" s="507"/>
      <c r="EG217" s="507"/>
      <c r="EH217" s="507"/>
      <c r="EI217" s="507"/>
      <c r="EJ217" s="507"/>
      <c r="EK217" s="507"/>
      <c r="EL217" s="507"/>
      <c r="EM217" s="507"/>
      <c r="EN217" s="507"/>
      <c r="EO217" s="507"/>
      <c r="EP217" s="507"/>
      <c r="EQ217" s="507"/>
      <c r="ER217" s="507"/>
      <c r="ES217" s="507"/>
      <c r="ET217" s="507"/>
      <c r="EU217" s="507"/>
      <c r="EV217" s="507"/>
      <c r="EW217" s="507"/>
      <c r="EX217" s="507"/>
      <c r="EY217" s="507"/>
      <c r="EZ217" s="507"/>
      <c r="FA217" s="507"/>
      <c r="FB217" s="507"/>
      <c r="FC217" s="507"/>
      <c r="FD217" s="507"/>
      <c r="FE217" s="507"/>
      <c r="FF217" s="507"/>
      <c r="FG217" s="507"/>
      <c r="FH217" s="507"/>
      <c r="FI217" s="507"/>
      <c r="FJ217" s="507"/>
      <c r="FK217" s="507"/>
      <c r="FL217" s="507"/>
      <c r="FM217" s="507"/>
      <c r="FN217" s="507"/>
      <c r="FO217" s="507"/>
      <c r="FP217" s="507"/>
      <c r="FQ217" s="507"/>
      <c r="FR217" s="507"/>
      <c r="FS217" s="507"/>
      <c r="FT217" s="507"/>
      <c r="FU217" s="507"/>
      <c r="FV217" s="507"/>
      <c r="FW217" s="507"/>
      <c r="FX217" s="507"/>
      <c r="FY217" s="507"/>
      <c r="FZ217" s="507"/>
      <c r="GA217" s="507"/>
      <c r="GB217" s="507"/>
      <c r="GC217" s="507"/>
      <c r="GD217" s="507"/>
      <c r="GE217" s="507"/>
      <c r="GF217" s="507"/>
      <c r="GG217" s="507"/>
      <c r="GH217" s="507"/>
      <c r="GI217" s="507"/>
      <c r="GJ217" s="507"/>
      <c r="GK217" s="507"/>
      <c r="GL217" s="507"/>
      <c r="GM217" s="507"/>
      <c r="GN217" s="507"/>
      <c r="GO217" s="507"/>
      <c r="GP217" s="507"/>
      <c r="GQ217" s="507"/>
      <c r="GR217" s="507"/>
      <c r="GS217" s="507"/>
      <c r="GT217" s="507"/>
      <c r="GU217" s="507"/>
      <c r="GV217" s="507"/>
      <c r="GW217" s="507"/>
      <c r="GX217" s="507"/>
      <c r="GY217" s="507"/>
      <c r="GZ217" s="507"/>
      <c r="HA217" s="507"/>
      <c r="HB217" s="507"/>
      <c r="HC217" s="507"/>
      <c r="HD217" s="507"/>
      <c r="HE217" s="507"/>
      <c r="HF217" s="507"/>
      <c r="HG217" s="507"/>
      <c r="HH217" s="507"/>
      <c r="HI217" s="507"/>
      <c r="HJ217" s="507"/>
      <c r="HK217" s="507"/>
      <c r="HL217" s="507"/>
      <c r="HM217" s="507"/>
      <c r="HN217" s="507"/>
      <c r="HO217" s="507"/>
      <c r="HP217" s="507"/>
      <c r="HQ217" s="507"/>
      <c r="HR217" s="507"/>
      <c r="HS217" s="507"/>
      <c r="HT217" s="507"/>
      <c r="HU217" s="507"/>
      <c r="HV217" s="507"/>
      <c r="HW217" s="507"/>
      <c r="HX217" s="507"/>
      <c r="HY217" s="507"/>
      <c r="HZ217" s="507"/>
    </row>
    <row r="218" spans="1:234" ht="15.9" hidden="1" customHeight="1" x14ac:dyDescent="0.25">
      <c r="A218" s="540" t="s">
        <v>2072</v>
      </c>
      <c r="B218" s="523" t="s">
        <v>387</v>
      </c>
      <c r="C218" s="527" t="s">
        <v>2073</v>
      </c>
      <c r="D218" s="553" t="s">
        <v>4384</v>
      </c>
      <c r="E218" s="524" t="s">
        <v>3228</v>
      </c>
      <c r="F218" s="544">
        <v>39605</v>
      </c>
      <c r="G218" s="586">
        <v>39561</v>
      </c>
      <c r="H218" s="544">
        <v>39598</v>
      </c>
      <c r="I218" s="594">
        <v>41729</v>
      </c>
      <c r="J218" s="595">
        <v>10</v>
      </c>
      <c r="K218" s="561" t="s">
        <v>3229</v>
      </c>
      <c r="L218" s="553" t="s">
        <v>3229</v>
      </c>
      <c r="M218" s="600">
        <v>0</v>
      </c>
      <c r="N218" s="601">
        <v>0.72</v>
      </c>
      <c r="O218" s="596" t="s">
        <v>3229</v>
      </c>
      <c r="P218" s="596" t="s">
        <v>3229</v>
      </c>
      <c r="Q218" s="575" t="s">
        <v>3229</v>
      </c>
      <c r="R218" s="596" t="s">
        <v>3229</v>
      </c>
      <c r="S218" s="597"/>
      <c r="T218" s="563" t="s">
        <v>3229</v>
      </c>
      <c r="U218" s="563" t="s">
        <v>3229</v>
      </c>
      <c r="V218" s="563" t="s">
        <v>3229</v>
      </c>
      <c r="W218" s="563" t="s">
        <v>3229</v>
      </c>
      <c r="X218" s="563" t="s">
        <v>3229</v>
      </c>
      <c r="Y218" s="563" t="s">
        <v>3229</v>
      </c>
      <c r="Z218" s="563" t="s">
        <v>3229</v>
      </c>
      <c r="AA218" s="563" t="s">
        <v>3229</v>
      </c>
      <c r="AB218" s="563" t="s">
        <v>3229</v>
      </c>
      <c r="AC218" s="563" t="s">
        <v>3229</v>
      </c>
      <c r="AD218" s="563" t="s">
        <v>3229</v>
      </c>
      <c r="AE218" s="563" t="s">
        <v>3229</v>
      </c>
      <c r="AF218" s="3764" t="s">
        <v>781</v>
      </c>
      <c r="AG218" s="3765"/>
      <c r="AH218" s="673" t="s">
        <v>3229</v>
      </c>
      <c r="AI218" s="673" t="s">
        <v>3229</v>
      </c>
      <c r="AJ218" s="673" t="s">
        <v>3229</v>
      </c>
      <c r="AK218" s="673" t="s">
        <v>3229</v>
      </c>
      <c r="AL218" s="673" t="s">
        <v>3229</v>
      </c>
      <c r="AM218" s="590">
        <v>1</v>
      </c>
      <c r="AN218" s="638">
        <v>0.13163395999999997</v>
      </c>
      <c r="AO218" s="660">
        <v>11.32</v>
      </c>
      <c r="AP218" s="1368">
        <v>0.18282494444444441</v>
      </c>
      <c r="AQ218" s="606">
        <v>-7.5286891097961703E-2</v>
      </c>
      <c r="AR218" s="3773" t="s">
        <v>3660</v>
      </c>
      <c r="AS218" s="3774"/>
      <c r="AT218" s="3774"/>
      <c r="AU218" s="3775"/>
      <c r="AV218" s="558">
        <f t="shared" ref="AV218:AV223" si="37">M218</f>
        <v>0</v>
      </c>
      <c r="AW218" s="558">
        <f t="shared" si="35"/>
        <v>0</v>
      </c>
      <c r="AX218" s="674">
        <f>J218*(1+AV218)/AO218-1</f>
        <v>-0.11660777385159016</v>
      </c>
      <c r="AY218" s="675" t="e">
        <f>POWER(1+AX218,1/AG218)-1</f>
        <v>#DIV/0!</v>
      </c>
      <c r="AZ218" s="642">
        <f t="shared" si="36"/>
        <v>10</v>
      </c>
      <c r="BA218" s="644" t="s">
        <v>3512</v>
      </c>
      <c r="BB218" s="570"/>
      <c r="BC218" s="637"/>
      <c r="BH218" s="3763"/>
      <c r="BI218" s="3763"/>
      <c r="BJ218" s="1639"/>
      <c r="BK218" s="1639"/>
      <c r="BL218" s="1639"/>
      <c r="BM218" s="1639"/>
      <c r="BN218" s="1639"/>
      <c r="BO218" s="1639"/>
      <c r="BP218" s="1639"/>
      <c r="BQ218" s="1639"/>
      <c r="BR218" s="1639"/>
      <c r="BS218" s="509"/>
      <c r="BT218" s="509"/>
      <c r="BU218" s="509"/>
      <c r="BV218" s="509"/>
      <c r="BW218" s="509"/>
      <c r="BX218" s="509"/>
      <c r="BY218" s="509"/>
      <c r="BZ218" s="509"/>
      <c r="CA218" s="509"/>
      <c r="CB218" s="509"/>
      <c r="CC218" s="509"/>
      <c r="CD218" s="509"/>
      <c r="CE218" s="509"/>
      <c r="CF218" s="509"/>
      <c r="CG218" s="509"/>
      <c r="CH218" s="509"/>
      <c r="CI218" s="509"/>
      <c r="CJ218" s="509"/>
      <c r="CK218" s="509"/>
      <c r="CL218" s="509"/>
      <c r="CM218" s="509"/>
      <c r="CN218" s="509"/>
      <c r="CO218" s="509"/>
      <c r="CP218" s="509"/>
      <c r="CQ218" s="509"/>
      <c r="CR218" s="509"/>
      <c r="CS218" s="509"/>
      <c r="CT218" s="509"/>
      <c r="CU218" s="509"/>
      <c r="CV218" s="509"/>
      <c r="CW218" s="509"/>
      <c r="CX218" s="509"/>
      <c r="CY218" s="509"/>
      <c r="CZ218" s="509"/>
      <c r="DA218" s="509"/>
      <c r="DB218" s="509"/>
      <c r="DC218" s="509"/>
      <c r="DD218" s="509"/>
      <c r="DE218" s="509"/>
      <c r="DF218" s="509"/>
      <c r="DG218" s="509"/>
      <c r="DH218" s="509"/>
      <c r="DI218" s="509"/>
      <c r="DJ218" s="509"/>
      <c r="DK218" s="509"/>
      <c r="DL218" s="509"/>
      <c r="DM218" s="509"/>
      <c r="DN218" s="509"/>
      <c r="DO218" s="509"/>
      <c r="DP218" s="509"/>
      <c r="DQ218" s="509"/>
      <c r="DR218" s="509"/>
      <c r="DS218" s="509"/>
      <c r="DT218" s="509"/>
      <c r="DU218" s="509"/>
      <c r="DV218" s="509"/>
      <c r="DW218" s="509"/>
      <c r="DX218" s="509"/>
      <c r="DY218" s="509"/>
      <c r="DZ218" s="509"/>
      <c r="EA218" s="509"/>
      <c r="EB218" s="509"/>
      <c r="EC218" s="509"/>
      <c r="ED218" s="509"/>
      <c r="EE218" s="509"/>
      <c r="EF218" s="509"/>
      <c r="EG218" s="509"/>
      <c r="EH218" s="509"/>
      <c r="EI218" s="509"/>
      <c r="EJ218" s="509"/>
      <c r="EK218" s="509"/>
      <c r="EL218" s="509"/>
      <c r="EM218" s="509"/>
      <c r="EN218" s="509"/>
      <c r="EO218" s="509"/>
      <c r="EP218" s="509"/>
      <c r="EQ218" s="509"/>
      <c r="ER218" s="509"/>
      <c r="ES218" s="509"/>
      <c r="ET218" s="509"/>
      <c r="EU218" s="509"/>
      <c r="EV218" s="509"/>
      <c r="EW218" s="509"/>
      <c r="EX218" s="509"/>
      <c r="EY218" s="509"/>
      <c r="EZ218" s="509"/>
      <c r="FA218" s="509"/>
      <c r="FB218" s="509"/>
      <c r="FC218" s="509"/>
      <c r="FD218" s="509"/>
      <c r="FE218" s="509"/>
      <c r="FF218" s="509"/>
      <c r="FG218" s="509"/>
      <c r="FH218" s="509"/>
      <c r="FI218" s="509"/>
      <c r="FJ218" s="509"/>
      <c r="FK218" s="509"/>
      <c r="FL218" s="509"/>
      <c r="FM218" s="509"/>
      <c r="FN218" s="509"/>
      <c r="FO218" s="509"/>
      <c r="FP218" s="509"/>
      <c r="FQ218" s="509"/>
      <c r="FR218" s="509"/>
      <c r="FS218" s="509"/>
      <c r="FT218" s="509"/>
      <c r="FU218" s="509"/>
      <c r="FV218" s="509"/>
      <c r="FW218" s="509"/>
      <c r="FX218" s="509"/>
      <c r="FY218" s="509"/>
      <c r="FZ218" s="509"/>
      <c r="GA218" s="509"/>
      <c r="GB218" s="509"/>
      <c r="GC218" s="509"/>
      <c r="GD218" s="509"/>
      <c r="GE218" s="509"/>
      <c r="GF218" s="509"/>
      <c r="GG218" s="509"/>
      <c r="GH218" s="509"/>
      <c r="GI218" s="509"/>
      <c r="GJ218" s="509"/>
      <c r="GK218" s="509"/>
      <c r="GL218" s="509"/>
      <c r="GM218" s="509"/>
      <c r="GN218" s="509"/>
      <c r="GO218" s="509"/>
      <c r="GP218" s="509"/>
      <c r="GQ218" s="509"/>
      <c r="GR218" s="509"/>
      <c r="GS218" s="509"/>
      <c r="GT218" s="509"/>
      <c r="GU218" s="509"/>
      <c r="GV218" s="509"/>
      <c r="GW218" s="509"/>
      <c r="GX218" s="509"/>
      <c r="GY218" s="509"/>
      <c r="GZ218" s="509"/>
      <c r="HA218" s="509"/>
      <c r="HB218" s="509"/>
      <c r="HC218" s="509"/>
      <c r="HD218" s="509"/>
      <c r="HE218" s="509"/>
      <c r="HF218" s="509"/>
      <c r="HG218" s="509"/>
      <c r="HH218" s="509"/>
      <c r="HI218" s="509"/>
      <c r="HJ218" s="509"/>
      <c r="HK218" s="509"/>
      <c r="HL218" s="509"/>
      <c r="HM218" s="509"/>
      <c r="HN218" s="509"/>
      <c r="HO218" s="509"/>
      <c r="HP218" s="509"/>
      <c r="HQ218" s="509"/>
      <c r="HR218" s="509"/>
      <c r="HS218" s="509"/>
      <c r="HT218" s="509"/>
      <c r="HU218" s="509"/>
      <c r="HV218" s="509"/>
      <c r="HW218" s="509"/>
      <c r="HX218" s="509"/>
      <c r="HY218" s="509"/>
      <c r="HZ218" s="509"/>
    </row>
    <row r="219" spans="1:234" ht="15.9" hidden="1" customHeight="1" x14ac:dyDescent="0.25">
      <c r="A219" s="541" t="s">
        <v>4574</v>
      </c>
      <c r="B219" s="523" t="s">
        <v>388</v>
      </c>
      <c r="C219" s="524" t="s">
        <v>4575</v>
      </c>
      <c r="D219" s="553" t="s">
        <v>63</v>
      </c>
      <c r="E219" s="526" t="s">
        <v>3228</v>
      </c>
      <c r="F219" s="586">
        <v>39610</v>
      </c>
      <c r="G219" s="586">
        <v>39570</v>
      </c>
      <c r="H219" s="544">
        <v>39598</v>
      </c>
      <c r="I219" s="602">
        <v>41618</v>
      </c>
      <c r="J219" s="595">
        <v>10</v>
      </c>
      <c r="K219" s="561" t="s">
        <v>3229</v>
      </c>
      <c r="L219" s="553" t="s">
        <v>3229</v>
      </c>
      <c r="M219" s="600">
        <v>0</v>
      </c>
      <c r="N219" s="601">
        <v>0.7</v>
      </c>
      <c r="O219" s="596" t="s">
        <v>3229</v>
      </c>
      <c r="P219" s="596" t="s">
        <v>3229</v>
      </c>
      <c r="Q219" s="596" t="s">
        <v>3229</v>
      </c>
      <c r="R219" s="596" t="s">
        <v>3229</v>
      </c>
      <c r="S219" s="597"/>
      <c r="T219" s="563" t="s">
        <v>3229</v>
      </c>
      <c r="U219" s="563" t="s">
        <v>3229</v>
      </c>
      <c r="V219" s="563" t="s">
        <v>3229</v>
      </c>
      <c r="W219" s="563" t="s">
        <v>3229</v>
      </c>
      <c r="X219" s="563" t="s">
        <v>3229</v>
      </c>
      <c r="Y219" s="563" t="s">
        <v>3229</v>
      </c>
      <c r="Z219" s="563" t="s">
        <v>3229</v>
      </c>
      <c r="AA219" s="563" t="s">
        <v>3229</v>
      </c>
      <c r="AB219" s="563" t="s">
        <v>3229</v>
      </c>
      <c r="AC219" s="563" t="s">
        <v>3229</v>
      </c>
      <c r="AD219" s="563" t="s">
        <v>3229</v>
      </c>
      <c r="AE219" s="563" t="s">
        <v>3229</v>
      </c>
      <c r="AF219" s="3764" t="s">
        <v>781</v>
      </c>
      <c r="AG219" s="3765"/>
      <c r="AH219" s="673" t="s">
        <v>3229</v>
      </c>
      <c r="AI219" s="673" t="s">
        <v>3229</v>
      </c>
      <c r="AJ219" s="673" t="s">
        <v>3229</v>
      </c>
      <c r="AK219" s="673" t="s">
        <v>3229</v>
      </c>
      <c r="AL219" s="673" t="s">
        <v>3229</v>
      </c>
      <c r="AM219" s="659">
        <v>1</v>
      </c>
      <c r="AN219" s="638">
        <v>0.15528795411804128</v>
      </c>
      <c r="AO219" s="625">
        <v>11.55</v>
      </c>
      <c r="AP219" s="1368">
        <v>0.22183993445434469</v>
      </c>
      <c r="AQ219" s="605">
        <v>-3.9506982540703653E-3</v>
      </c>
      <c r="AR219" s="3773" t="s">
        <v>3660</v>
      </c>
      <c r="AS219" s="3774"/>
      <c r="AT219" s="3774"/>
      <c r="AU219" s="3774"/>
      <c r="AV219" s="632">
        <f t="shared" si="37"/>
        <v>0</v>
      </c>
      <c r="AW219" s="558">
        <f t="shared" si="35"/>
        <v>0</v>
      </c>
      <c r="AX219" s="589">
        <f>J219*(1+AV219)/AO219-1</f>
        <v>-0.13419913419913421</v>
      </c>
      <c r="AY219" s="648" t="e">
        <f>POWER(1+AX219,1/AG219)-1</f>
        <v>#DIV/0!</v>
      </c>
      <c r="AZ219" s="676">
        <f t="shared" si="36"/>
        <v>10</v>
      </c>
      <c r="BA219" s="644" t="s">
        <v>3512</v>
      </c>
      <c r="BB219" s="570"/>
      <c r="BC219" s="581"/>
      <c r="BH219" s="3763"/>
      <c r="BI219" s="3763"/>
      <c r="BJ219" s="1639"/>
      <c r="BK219" s="1639"/>
      <c r="BL219" s="1639"/>
      <c r="BM219" s="1639"/>
      <c r="BN219" s="1639"/>
      <c r="BO219" s="1639"/>
      <c r="BP219" s="1639"/>
      <c r="BQ219" s="1639"/>
      <c r="BR219" s="1639"/>
      <c r="BS219" s="509"/>
      <c r="BT219" s="509"/>
      <c r="BU219" s="509"/>
      <c r="BV219" s="509"/>
      <c r="BW219" s="509"/>
      <c r="BX219" s="509"/>
      <c r="BY219" s="509"/>
      <c r="BZ219" s="509"/>
      <c r="CA219" s="509"/>
      <c r="CB219" s="509"/>
      <c r="CC219" s="509"/>
      <c r="CD219" s="509"/>
      <c r="CE219" s="509"/>
      <c r="CF219" s="509"/>
      <c r="CG219" s="509"/>
      <c r="CH219" s="509"/>
      <c r="CI219" s="509"/>
      <c r="CJ219" s="509"/>
      <c r="CK219" s="509"/>
      <c r="CL219" s="509"/>
      <c r="CM219" s="509"/>
      <c r="CN219" s="509"/>
      <c r="CO219" s="509"/>
      <c r="CP219" s="509"/>
      <c r="CQ219" s="509"/>
      <c r="CR219" s="509"/>
      <c r="CS219" s="509"/>
      <c r="CT219" s="509"/>
      <c r="CU219" s="509"/>
      <c r="CV219" s="509"/>
      <c r="CW219" s="509"/>
      <c r="CX219" s="509"/>
      <c r="CY219" s="509"/>
      <c r="CZ219" s="509"/>
      <c r="DA219" s="509"/>
      <c r="DB219" s="509"/>
      <c r="DC219" s="509"/>
      <c r="DD219" s="509"/>
      <c r="DE219" s="509"/>
      <c r="DF219" s="509"/>
      <c r="DG219" s="509"/>
      <c r="DH219" s="509"/>
      <c r="DI219" s="509"/>
      <c r="DJ219" s="509"/>
      <c r="DK219" s="509"/>
      <c r="DL219" s="509"/>
      <c r="DM219" s="509"/>
      <c r="DN219" s="509"/>
      <c r="DO219" s="509"/>
      <c r="DP219" s="509"/>
      <c r="DQ219" s="509"/>
      <c r="DR219" s="509"/>
      <c r="DS219" s="509"/>
      <c r="DT219" s="509"/>
      <c r="DU219" s="509"/>
      <c r="DV219" s="509"/>
      <c r="DW219" s="509"/>
      <c r="DX219" s="509"/>
      <c r="DY219" s="509"/>
      <c r="DZ219" s="509"/>
      <c r="EA219" s="509"/>
      <c r="EB219" s="509"/>
      <c r="EC219" s="509"/>
      <c r="ED219" s="509"/>
      <c r="EE219" s="509"/>
      <c r="EF219" s="509"/>
      <c r="EG219" s="509"/>
      <c r="EH219" s="509"/>
      <c r="EI219" s="509"/>
      <c r="EJ219" s="509"/>
      <c r="EK219" s="509"/>
      <c r="EL219" s="509"/>
      <c r="EM219" s="509"/>
      <c r="EN219" s="509"/>
      <c r="EO219" s="509"/>
      <c r="EP219" s="509"/>
      <c r="EQ219" s="509"/>
      <c r="ER219" s="509"/>
      <c r="ES219" s="509"/>
      <c r="ET219" s="509"/>
      <c r="EU219" s="509"/>
      <c r="EV219" s="509"/>
      <c r="EW219" s="509"/>
      <c r="EX219" s="509"/>
      <c r="EY219" s="509"/>
      <c r="EZ219" s="509"/>
      <c r="FA219" s="509"/>
      <c r="FB219" s="509"/>
      <c r="FC219" s="509"/>
      <c r="FD219" s="509"/>
      <c r="FE219" s="509"/>
      <c r="FF219" s="509"/>
      <c r="FG219" s="509"/>
      <c r="FH219" s="509"/>
      <c r="FI219" s="509"/>
      <c r="FJ219" s="509"/>
      <c r="FK219" s="509"/>
      <c r="FL219" s="509"/>
      <c r="FM219" s="509"/>
      <c r="FN219" s="509"/>
      <c r="FO219" s="509"/>
      <c r="FP219" s="509"/>
      <c r="FQ219" s="509"/>
      <c r="FR219" s="509"/>
      <c r="FS219" s="509"/>
      <c r="FT219" s="509"/>
      <c r="FU219" s="509"/>
      <c r="FV219" s="509"/>
      <c r="FW219" s="509"/>
      <c r="FX219" s="509"/>
      <c r="FY219" s="509"/>
      <c r="FZ219" s="509"/>
      <c r="GA219" s="509"/>
      <c r="GB219" s="509"/>
      <c r="GC219" s="509"/>
      <c r="GD219" s="509"/>
      <c r="GE219" s="509"/>
      <c r="GF219" s="509"/>
      <c r="GG219" s="509"/>
      <c r="GH219" s="509"/>
      <c r="GI219" s="509"/>
      <c r="GJ219" s="509"/>
      <c r="GK219" s="509"/>
      <c r="GL219" s="509"/>
      <c r="GM219" s="509"/>
      <c r="GN219" s="509"/>
      <c r="GO219" s="509"/>
      <c r="GP219" s="509"/>
      <c r="GQ219" s="509"/>
      <c r="GR219" s="509"/>
      <c r="GS219" s="509"/>
      <c r="GT219" s="509"/>
      <c r="GU219" s="509"/>
      <c r="GV219" s="509"/>
      <c r="GW219" s="509"/>
      <c r="GX219" s="509"/>
      <c r="GY219" s="509"/>
      <c r="GZ219" s="509"/>
      <c r="HA219" s="509"/>
      <c r="HB219" s="510"/>
      <c r="HC219" s="511"/>
      <c r="HD219" s="124"/>
      <c r="HE219" s="508"/>
      <c r="HF219" s="51"/>
      <c r="HG219" s="53"/>
      <c r="HH219" s="245"/>
      <c r="HI219" s="47"/>
      <c r="HJ219" s="46"/>
      <c r="HK219" s="50"/>
      <c r="HL219" s="54"/>
      <c r="HM219" s="54"/>
      <c r="HN219" s="50"/>
      <c r="HO219" s="50"/>
      <c r="HP219" s="50"/>
      <c r="HQ219" s="50"/>
      <c r="HR219" s="223"/>
      <c r="HS219" s="3769"/>
      <c r="HT219" s="3770"/>
      <c r="HU219" s="512"/>
      <c r="HV219" s="460"/>
      <c r="HW219" s="513"/>
      <c r="HX219" s="514"/>
      <c r="HY219" s="509"/>
      <c r="HZ219" s="509"/>
    </row>
    <row r="220" spans="1:234" s="206" customFormat="1" ht="15.9" hidden="1" customHeight="1" x14ac:dyDescent="0.25">
      <c r="A220" s="541" t="s">
        <v>1927</v>
      </c>
      <c r="B220" s="523" t="s">
        <v>3422</v>
      </c>
      <c r="C220" s="524" t="s">
        <v>1928</v>
      </c>
      <c r="D220" s="553" t="s">
        <v>2158</v>
      </c>
      <c r="E220" s="526" t="s">
        <v>3228</v>
      </c>
      <c r="F220" s="586">
        <v>39605</v>
      </c>
      <c r="G220" s="586">
        <v>39570</v>
      </c>
      <c r="H220" s="544">
        <v>39598</v>
      </c>
      <c r="I220" s="602">
        <v>40633</v>
      </c>
      <c r="J220" s="595">
        <v>10</v>
      </c>
      <c r="K220" s="561" t="s">
        <v>3229</v>
      </c>
      <c r="L220" s="553" t="s">
        <v>3229</v>
      </c>
      <c r="M220" s="600">
        <v>0</v>
      </c>
      <c r="N220" s="601">
        <v>0.7</v>
      </c>
      <c r="O220" s="596">
        <v>0.3</v>
      </c>
      <c r="P220" s="596" t="s">
        <v>3229</v>
      </c>
      <c r="Q220" s="596" t="s">
        <v>3229</v>
      </c>
      <c r="R220" s="596" t="s">
        <v>3229</v>
      </c>
      <c r="S220" s="597"/>
      <c r="T220" s="598" t="s">
        <v>3229</v>
      </c>
      <c r="U220" s="563" t="s">
        <v>3229</v>
      </c>
      <c r="V220" s="563" t="s">
        <v>3229</v>
      </c>
      <c r="W220" s="598" t="s">
        <v>3229</v>
      </c>
      <c r="X220" s="598" t="s">
        <v>3229</v>
      </c>
      <c r="Y220" s="598" t="s">
        <v>3229</v>
      </c>
      <c r="Z220" s="598" t="s">
        <v>3229</v>
      </c>
      <c r="AA220" s="598" t="s">
        <v>3229</v>
      </c>
      <c r="AB220" s="598" t="s">
        <v>3229</v>
      </c>
      <c r="AC220" s="598" t="s">
        <v>3229</v>
      </c>
      <c r="AD220" s="598" t="s">
        <v>3229</v>
      </c>
      <c r="AE220" s="598" t="s">
        <v>3229</v>
      </c>
      <c r="AF220" s="3764" t="s">
        <v>781</v>
      </c>
      <c r="AG220" s="3765"/>
      <c r="AH220" s="536" t="s">
        <v>3229</v>
      </c>
      <c r="AI220" s="530" t="s">
        <v>3229</v>
      </c>
      <c r="AJ220" s="530" t="s">
        <v>3229</v>
      </c>
      <c r="AK220" s="682" t="s">
        <v>3229</v>
      </c>
      <c r="AL220" s="530" t="s">
        <v>3229</v>
      </c>
      <c r="AM220" s="659">
        <v>1</v>
      </c>
      <c r="AN220" s="638">
        <v>0</v>
      </c>
      <c r="AO220" s="625">
        <v>10</v>
      </c>
      <c r="AP220" s="1368">
        <v>-0.16192373653846118</v>
      </c>
      <c r="AQ220" s="605">
        <v>-0.16192373653846118</v>
      </c>
      <c r="AR220" s="632">
        <f>AO220/10-1</f>
        <v>0</v>
      </c>
      <c r="AS220" s="558">
        <f>POWER(1+AR220,1/((I220-F220)/365))-1</f>
        <v>0</v>
      </c>
      <c r="AT220" s="648"/>
      <c r="AU220" s="559"/>
      <c r="AV220" s="558">
        <v>0</v>
      </c>
      <c r="AW220" s="558">
        <v>0</v>
      </c>
      <c r="AX220" s="589"/>
      <c r="AY220" s="648"/>
      <c r="AZ220" s="676">
        <f t="shared" si="36"/>
        <v>10</v>
      </c>
      <c r="BA220" s="644" t="s">
        <v>3190</v>
      </c>
      <c r="BB220" s="570"/>
      <c r="BC220" s="581"/>
      <c r="BD220" s="3691"/>
      <c r="BE220" s="3743"/>
      <c r="BF220" s="3743"/>
      <c r="BG220" s="3708"/>
      <c r="BH220" s="3762"/>
      <c r="BI220" s="3762"/>
      <c r="BJ220" s="39"/>
      <c r="BK220" s="39"/>
      <c r="BL220" s="39"/>
      <c r="BM220" s="39"/>
      <c r="BN220" s="39"/>
      <c r="BO220" s="39"/>
      <c r="BP220" s="39"/>
      <c r="BQ220" s="39"/>
      <c r="BR220" s="39"/>
      <c r="BS220" s="507"/>
      <c r="BT220" s="507"/>
      <c r="BU220" s="507"/>
      <c r="BV220" s="507"/>
      <c r="BW220" s="507"/>
      <c r="BX220" s="507"/>
      <c r="BY220" s="507"/>
      <c r="BZ220" s="507"/>
      <c r="CA220" s="507"/>
      <c r="CB220" s="507"/>
      <c r="CC220" s="507"/>
      <c r="CD220" s="507"/>
      <c r="CE220" s="507"/>
      <c r="CF220" s="507"/>
      <c r="CG220" s="507"/>
      <c r="CH220" s="507"/>
      <c r="CI220" s="507"/>
      <c r="CJ220" s="507"/>
      <c r="CK220" s="507"/>
      <c r="CL220" s="507"/>
      <c r="CM220" s="507"/>
      <c r="CN220" s="507"/>
      <c r="CO220" s="507"/>
      <c r="CP220" s="507"/>
      <c r="CQ220" s="507"/>
      <c r="CR220" s="507"/>
      <c r="CS220" s="507"/>
      <c r="CT220" s="507"/>
      <c r="CU220" s="507"/>
      <c r="CV220" s="507"/>
      <c r="CW220" s="507"/>
      <c r="CX220" s="507"/>
      <c r="CY220" s="507"/>
      <c r="CZ220" s="507"/>
      <c r="DA220" s="507"/>
      <c r="DB220" s="507"/>
      <c r="DC220" s="507"/>
      <c r="DD220" s="507"/>
      <c r="DE220" s="507"/>
      <c r="DF220" s="507"/>
      <c r="DG220" s="507"/>
      <c r="DH220" s="507"/>
      <c r="DI220" s="507"/>
      <c r="DJ220" s="507"/>
      <c r="DK220" s="507"/>
      <c r="DL220" s="507"/>
      <c r="DM220" s="507"/>
      <c r="DN220" s="507"/>
      <c r="DO220" s="507"/>
      <c r="DP220" s="507"/>
      <c r="DQ220" s="507"/>
      <c r="DR220" s="507"/>
      <c r="DS220" s="507"/>
      <c r="DT220" s="507"/>
      <c r="DU220" s="507"/>
      <c r="DV220" s="507"/>
      <c r="DW220" s="507"/>
      <c r="DX220" s="507"/>
      <c r="DY220" s="507"/>
      <c r="DZ220" s="507"/>
      <c r="EA220" s="507"/>
      <c r="EB220" s="507"/>
      <c r="EC220" s="507"/>
      <c r="ED220" s="507"/>
      <c r="EE220" s="507"/>
      <c r="EF220" s="507"/>
      <c r="EG220" s="507"/>
      <c r="EH220" s="507"/>
      <c r="EI220" s="507"/>
      <c r="EJ220" s="507"/>
      <c r="EK220" s="507"/>
      <c r="EL220" s="507"/>
      <c r="EM220" s="507"/>
      <c r="EN220" s="507"/>
      <c r="EO220" s="507"/>
      <c r="EP220" s="507"/>
      <c r="EQ220" s="507"/>
      <c r="ER220" s="507"/>
      <c r="ES220" s="507"/>
      <c r="ET220" s="507"/>
      <c r="EU220" s="507"/>
      <c r="EV220" s="507"/>
      <c r="EW220" s="507"/>
      <c r="EX220" s="507"/>
      <c r="EY220" s="507"/>
      <c r="EZ220" s="507"/>
      <c r="FA220" s="507"/>
      <c r="FB220" s="507"/>
      <c r="FC220" s="507"/>
      <c r="FD220" s="507"/>
      <c r="FE220" s="507"/>
      <c r="FF220" s="507"/>
      <c r="FG220" s="507"/>
      <c r="FH220" s="507"/>
      <c r="FI220" s="507"/>
      <c r="FJ220" s="507"/>
      <c r="FK220" s="507"/>
      <c r="FL220" s="507"/>
      <c r="FM220" s="507"/>
      <c r="FN220" s="507"/>
      <c r="FO220" s="507"/>
      <c r="FP220" s="507"/>
      <c r="FQ220" s="507"/>
      <c r="FR220" s="507"/>
      <c r="FS220" s="507"/>
      <c r="FT220" s="507"/>
      <c r="FU220" s="507"/>
      <c r="FV220" s="507"/>
      <c r="FW220" s="507"/>
      <c r="FX220" s="507"/>
      <c r="FY220" s="507"/>
      <c r="FZ220" s="507"/>
      <c r="GA220" s="507"/>
      <c r="GB220" s="507"/>
      <c r="GC220" s="507"/>
      <c r="GD220" s="507"/>
      <c r="GE220" s="507"/>
      <c r="GF220" s="507"/>
      <c r="GG220" s="507"/>
      <c r="GH220" s="507"/>
      <c r="GI220" s="507"/>
      <c r="GJ220" s="507"/>
      <c r="GK220" s="507"/>
      <c r="GL220" s="507"/>
      <c r="GM220" s="507"/>
      <c r="GN220" s="507"/>
      <c r="GO220" s="507"/>
      <c r="GP220" s="507"/>
      <c r="GQ220" s="507"/>
      <c r="GR220" s="507"/>
      <c r="GS220" s="507"/>
      <c r="GT220" s="507"/>
      <c r="GU220" s="507"/>
      <c r="GV220" s="507"/>
      <c r="GW220" s="507"/>
      <c r="GX220" s="507"/>
      <c r="GY220" s="507"/>
      <c r="GZ220" s="507"/>
      <c r="HA220" s="507"/>
      <c r="HB220" s="507"/>
      <c r="HC220" s="507"/>
      <c r="HD220" s="507"/>
      <c r="HE220" s="507"/>
      <c r="HF220" s="507"/>
      <c r="HG220" s="507"/>
      <c r="HH220" s="507"/>
      <c r="HI220" s="507"/>
      <c r="HJ220" s="507"/>
      <c r="HK220" s="507"/>
      <c r="HL220" s="507"/>
      <c r="HM220" s="507"/>
      <c r="HN220" s="507"/>
      <c r="HO220" s="507"/>
      <c r="HP220" s="507"/>
      <c r="HQ220" s="507"/>
      <c r="HR220" s="507"/>
      <c r="HS220" s="507"/>
      <c r="HT220" s="507"/>
      <c r="HU220" s="507"/>
      <c r="HV220" s="507"/>
      <c r="HW220" s="507"/>
      <c r="HX220" s="507"/>
      <c r="HY220" s="507"/>
      <c r="HZ220" s="507"/>
    </row>
    <row r="221" spans="1:234" s="206" customFormat="1" ht="15.9" hidden="1" customHeight="1" x14ac:dyDescent="0.25">
      <c r="A221" s="541" t="s">
        <v>1536</v>
      </c>
      <c r="B221" s="523" t="s">
        <v>389</v>
      </c>
      <c r="C221" s="524" t="s">
        <v>4529</v>
      </c>
      <c r="D221" s="553" t="s">
        <v>2158</v>
      </c>
      <c r="E221" s="526" t="s">
        <v>3228</v>
      </c>
      <c r="F221" s="586">
        <v>39605</v>
      </c>
      <c r="G221" s="586">
        <v>39570</v>
      </c>
      <c r="H221" s="544">
        <v>39598</v>
      </c>
      <c r="I221" s="602">
        <v>41547</v>
      </c>
      <c r="J221" s="595">
        <v>10</v>
      </c>
      <c r="K221" s="561" t="s">
        <v>3229</v>
      </c>
      <c r="L221" s="553" t="s">
        <v>3229</v>
      </c>
      <c r="M221" s="600">
        <v>-0.05</v>
      </c>
      <c r="N221" s="601">
        <v>0.8</v>
      </c>
      <c r="O221" s="596" t="s">
        <v>3229</v>
      </c>
      <c r="P221" s="596" t="s">
        <v>3229</v>
      </c>
      <c r="Q221" s="596" t="s">
        <v>3229</v>
      </c>
      <c r="R221" s="596" t="s">
        <v>3229</v>
      </c>
      <c r="S221" s="597"/>
      <c r="T221" s="598" t="s">
        <v>3229</v>
      </c>
      <c r="U221" s="563" t="s">
        <v>3229</v>
      </c>
      <c r="V221" s="563" t="s">
        <v>3229</v>
      </c>
      <c r="W221" s="598" t="s">
        <v>3229</v>
      </c>
      <c r="X221" s="598" t="s">
        <v>3229</v>
      </c>
      <c r="Y221" s="598" t="s">
        <v>3229</v>
      </c>
      <c r="Z221" s="598" t="s">
        <v>3229</v>
      </c>
      <c r="AA221" s="598" t="s">
        <v>3229</v>
      </c>
      <c r="AB221" s="598" t="s">
        <v>3229</v>
      </c>
      <c r="AC221" s="598" t="s">
        <v>3229</v>
      </c>
      <c r="AD221" s="598" t="s">
        <v>3229</v>
      </c>
      <c r="AE221" s="598" t="s">
        <v>3229</v>
      </c>
      <c r="AF221" s="3764" t="s">
        <v>781</v>
      </c>
      <c r="AG221" s="3765"/>
      <c r="AH221" s="536" t="s">
        <v>3229</v>
      </c>
      <c r="AI221" s="530" t="s">
        <v>3229</v>
      </c>
      <c r="AJ221" s="530" t="s">
        <v>3229</v>
      </c>
      <c r="AK221" s="682" t="s">
        <v>3229</v>
      </c>
      <c r="AL221" s="530" t="s">
        <v>3229</v>
      </c>
      <c r="AM221" s="659">
        <v>1</v>
      </c>
      <c r="AN221" s="638">
        <v>-0.05</v>
      </c>
      <c r="AO221" s="625">
        <v>9.5500000000000007</v>
      </c>
      <c r="AP221" s="1368">
        <v>-1.8182813664841674E-2</v>
      </c>
      <c r="AQ221" s="605">
        <v>-1.1261705818182977E-2</v>
      </c>
      <c r="AR221" s="632" t="s">
        <v>3660</v>
      </c>
      <c r="AS221" s="558"/>
      <c r="AT221" s="648"/>
      <c r="AU221" s="559"/>
      <c r="AV221" s="558">
        <f t="shared" si="37"/>
        <v>-0.05</v>
      </c>
      <c r="AW221" s="558">
        <f>POWER(1+AV221,1/((I221-F221)/365))-1</f>
        <v>-9.5942820895541514E-3</v>
      </c>
      <c r="AX221" s="589">
        <f>J221*(1+AV221)/AO221-1</f>
        <v>-5.2356020942408987E-3</v>
      </c>
      <c r="AY221" s="648" t="e">
        <f>POWER(1+AX221,1/AG221)-1</f>
        <v>#DIV/0!</v>
      </c>
      <c r="AZ221" s="676">
        <f t="shared" si="36"/>
        <v>9.5</v>
      </c>
      <c r="BA221" s="644" t="s">
        <v>3190</v>
      </c>
      <c r="BB221" s="570"/>
      <c r="BC221" s="581"/>
      <c r="BD221" s="3691"/>
      <c r="BE221" s="3743"/>
      <c r="BF221" s="3743"/>
      <c r="BG221" s="3708"/>
      <c r="BH221" s="3762"/>
      <c r="BI221" s="3762"/>
      <c r="BJ221" s="39"/>
      <c r="BK221" s="39"/>
      <c r="BL221" s="39"/>
      <c r="BM221" s="39"/>
      <c r="BN221" s="39"/>
      <c r="BO221" s="39"/>
      <c r="BP221" s="39"/>
      <c r="BQ221" s="39"/>
      <c r="BR221" s="39"/>
      <c r="BS221" s="507"/>
      <c r="BT221" s="507"/>
      <c r="BU221" s="507"/>
      <c r="BV221" s="507"/>
      <c r="BW221" s="507"/>
      <c r="BX221" s="507"/>
      <c r="BY221" s="507"/>
      <c r="BZ221" s="507"/>
      <c r="CA221" s="507"/>
      <c r="CB221" s="507"/>
      <c r="CC221" s="507"/>
      <c r="CD221" s="507"/>
      <c r="CE221" s="507"/>
      <c r="CF221" s="507"/>
      <c r="CG221" s="507"/>
      <c r="CH221" s="507"/>
      <c r="CI221" s="507"/>
      <c r="CJ221" s="507"/>
      <c r="CK221" s="507"/>
      <c r="CL221" s="507"/>
      <c r="CM221" s="507"/>
      <c r="CN221" s="507"/>
      <c r="CO221" s="507"/>
      <c r="CP221" s="507"/>
      <c r="CQ221" s="507"/>
      <c r="CR221" s="507"/>
      <c r="CS221" s="507"/>
      <c r="CT221" s="507"/>
      <c r="CU221" s="507"/>
      <c r="CV221" s="507"/>
      <c r="CW221" s="507"/>
      <c r="CX221" s="507"/>
      <c r="CY221" s="507"/>
      <c r="CZ221" s="507"/>
      <c r="DA221" s="507"/>
      <c r="DB221" s="507"/>
      <c r="DC221" s="507"/>
      <c r="DD221" s="507"/>
      <c r="DE221" s="507"/>
      <c r="DF221" s="507"/>
      <c r="DG221" s="507"/>
      <c r="DH221" s="507"/>
      <c r="DI221" s="507"/>
      <c r="DJ221" s="507"/>
      <c r="DK221" s="507"/>
      <c r="DL221" s="507"/>
      <c r="DM221" s="507"/>
      <c r="DN221" s="507"/>
      <c r="DO221" s="507"/>
      <c r="DP221" s="507"/>
      <c r="DQ221" s="507"/>
      <c r="DR221" s="507"/>
      <c r="DS221" s="507"/>
      <c r="DT221" s="507"/>
      <c r="DU221" s="507"/>
      <c r="DV221" s="507"/>
      <c r="DW221" s="507"/>
      <c r="DX221" s="507"/>
      <c r="DY221" s="507"/>
      <c r="DZ221" s="507"/>
      <c r="EA221" s="507"/>
      <c r="EB221" s="507"/>
      <c r="EC221" s="507"/>
      <c r="ED221" s="507"/>
      <c r="EE221" s="507"/>
      <c r="EF221" s="507"/>
      <c r="EG221" s="507"/>
      <c r="EH221" s="507"/>
      <c r="EI221" s="507"/>
      <c r="EJ221" s="507"/>
      <c r="EK221" s="507"/>
      <c r="EL221" s="507"/>
      <c r="EM221" s="507"/>
      <c r="EN221" s="507"/>
      <c r="EO221" s="507"/>
      <c r="EP221" s="507"/>
      <c r="EQ221" s="507"/>
      <c r="ER221" s="507"/>
      <c r="ES221" s="507"/>
      <c r="ET221" s="507"/>
      <c r="EU221" s="507"/>
      <c r="EV221" s="507"/>
      <c r="EW221" s="507"/>
      <c r="EX221" s="507"/>
      <c r="EY221" s="507"/>
      <c r="EZ221" s="507"/>
      <c r="FA221" s="507"/>
      <c r="FB221" s="507"/>
      <c r="FC221" s="507"/>
      <c r="FD221" s="507"/>
      <c r="FE221" s="507"/>
      <c r="FF221" s="507"/>
      <c r="FG221" s="507"/>
      <c r="FH221" s="507"/>
      <c r="FI221" s="507"/>
      <c r="FJ221" s="507"/>
      <c r="FK221" s="507"/>
      <c r="FL221" s="507"/>
      <c r="FM221" s="507"/>
      <c r="FN221" s="507"/>
      <c r="FO221" s="507"/>
      <c r="FP221" s="507"/>
      <c r="FQ221" s="507"/>
      <c r="FR221" s="507"/>
      <c r="FS221" s="507"/>
      <c r="FT221" s="507"/>
      <c r="FU221" s="507"/>
      <c r="FV221" s="507"/>
      <c r="FW221" s="507"/>
      <c r="FX221" s="507"/>
      <c r="FY221" s="507"/>
      <c r="FZ221" s="507"/>
      <c r="GA221" s="507"/>
      <c r="GB221" s="507"/>
      <c r="GC221" s="507"/>
      <c r="GD221" s="507"/>
      <c r="GE221" s="507"/>
      <c r="GF221" s="507"/>
      <c r="GG221" s="507"/>
      <c r="GH221" s="507"/>
      <c r="GI221" s="507"/>
      <c r="GJ221" s="507"/>
      <c r="GK221" s="507"/>
      <c r="GL221" s="507"/>
      <c r="GM221" s="507"/>
      <c r="GN221" s="507"/>
      <c r="GO221" s="507"/>
      <c r="GP221" s="507"/>
      <c r="GQ221" s="507"/>
      <c r="GR221" s="507"/>
      <c r="GS221" s="507"/>
      <c r="GT221" s="507"/>
      <c r="GU221" s="507"/>
      <c r="GV221" s="507"/>
      <c r="GW221" s="507"/>
      <c r="GX221" s="507"/>
      <c r="GY221" s="507"/>
      <c r="GZ221" s="507"/>
      <c r="HA221" s="507"/>
      <c r="HB221" s="507"/>
      <c r="HC221" s="507"/>
      <c r="HD221" s="507"/>
      <c r="HE221" s="507"/>
      <c r="HF221" s="507"/>
      <c r="HG221" s="507"/>
      <c r="HH221" s="507"/>
      <c r="HI221" s="507"/>
      <c r="HJ221" s="507"/>
      <c r="HK221" s="507"/>
      <c r="HL221" s="507"/>
      <c r="HM221" s="507"/>
      <c r="HN221" s="507"/>
      <c r="HO221" s="507"/>
      <c r="HP221" s="507"/>
      <c r="HQ221" s="507"/>
      <c r="HR221" s="507"/>
      <c r="HS221" s="507"/>
      <c r="HT221" s="507"/>
      <c r="HU221" s="507"/>
      <c r="HV221" s="507"/>
      <c r="HW221" s="507"/>
      <c r="HX221" s="507"/>
      <c r="HY221" s="507"/>
      <c r="HZ221" s="507"/>
    </row>
    <row r="222" spans="1:234" ht="15.9" hidden="1" customHeight="1" x14ac:dyDescent="0.25">
      <c r="A222" s="541" t="s">
        <v>4490</v>
      </c>
      <c r="B222" s="523" t="s">
        <v>390</v>
      </c>
      <c r="C222" s="524" t="s">
        <v>4491</v>
      </c>
      <c r="D222" s="553" t="s">
        <v>2158</v>
      </c>
      <c r="E222" s="526" t="s">
        <v>3228</v>
      </c>
      <c r="F222" s="586">
        <v>39605</v>
      </c>
      <c r="G222" s="586">
        <v>39570</v>
      </c>
      <c r="H222" s="544">
        <v>39598</v>
      </c>
      <c r="I222" s="602">
        <v>40998</v>
      </c>
      <c r="J222" s="595">
        <v>10</v>
      </c>
      <c r="K222" s="561" t="s">
        <v>3229</v>
      </c>
      <c r="L222" s="553" t="s">
        <v>3229</v>
      </c>
      <c r="M222" s="600">
        <v>0</v>
      </c>
      <c r="N222" s="601" t="s">
        <v>3229</v>
      </c>
      <c r="O222" s="596">
        <v>0.4</v>
      </c>
      <c r="P222" s="596" t="s">
        <v>3229</v>
      </c>
      <c r="Q222" s="596" t="s">
        <v>3229</v>
      </c>
      <c r="R222" s="596" t="s">
        <v>3229</v>
      </c>
      <c r="S222" s="597"/>
      <c r="T222" s="563" t="s">
        <v>3229</v>
      </c>
      <c r="U222" s="563" t="s">
        <v>3229</v>
      </c>
      <c r="V222" s="563" t="s">
        <v>3229</v>
      </c>
      <c r="W222" s="563" t="s">
        <v>3229</v>
      </c>
      <c r="X222" s="563" t="s">
        <v>3229</v>
      </c>
      <c r="Y222" s="563" t="s">
        <v>3229</v>
      </c>
      <c r="Z222" s="563" t="s">
        <v>3229</v>
      </c>
      <c r="AA222" s="563" t="s">
        <v>3229</v>
      </c>
      <c r="AB222" s="563" t="s">
        <v>3229</v>
      </c>
      <c r="AC222" s="563" t="s">
        <v>3229</v>
      </c>
      <c r="AD222" s="563" t="s">
        <v>3229</v>
      </c>
      <c r="AE222" s="563" t="s">
        <v>3229</v>
      </c>
      <c r="AF222" s="3764" t="s">
        <v>781</v>
      </c>
      <c r="AG222" s="3765"/>
      <c r="AH222" s="673" t="s">
        <v>3229</v>
      </c>
      <c r="AI222" s="673" t="s">
        <v>3229</v>
      </c>
      <c r="AJ222" s="673" t="s">
        <v>3229</v>
      </c>
      <c r="AK222" s="673" t="s">
        <v>3229</v>
      </c>
      <c r="AL222" s="673" t="s">
        <v>3229</v>
      </c>
      <c r="AM222" s="659">
        <v>1</v>
      </c>
      <c r="AN222" s="638">
        <v>0</v>
      </c>
      <c r="AO222" s="625">
        <v>9.99</v>
      </c>
      <c r="AP222" s="1368">
        <v>-0.25394057000060738</v>
      </c>
      <c r="AQ222" s="605">
        <v>-0.25394057000060738</v>
      </c>
      <c r="AR222" s="632">
        <f>O222</f>
        <v>0.4</v>
      </c>
      <c r="AS222" s="558">
        <f>POWER(1+AR222,1/((I222-F222)/365))-1</f>
        <v>9.2167155626202701E-2</v>
      </c>
      <c r="AT222" s="648"/>
      <c r="AU222" s="559"/>
      <c r="AV222" s="632">
        <f t="shared" si="37"/>
        <v>0</v>
      </c>
      <c r="AW222" s="558">
        <f>POWER(1+AV222,1/((I222-F222)/365))-1</f>
        <v>0</v>
      </c>
      <c r="AX222" s="589"/>
      <c r="AY222" s="648"/>
      <c r="AZ222" s="676">
        <f t="shared" si="36"/>
        <v>10</v>
      </c>
      <c r="BA222" s="644" t="s">
        <v>3609</v>
      </c>
      <c r="BB222" s="570"/>
      <c r="BC222" s="581"/>
      <c r="BH222" s="3763"/>
      <c r="BI222" s="3763"/>
      <c r="BJ222" s="1639"/>
      <c r="BK222" s="1639"/>
      <c r="BL222" s="1639"/>
      <c r="BM222" s="1639"/>
      <c r="BN222" s="1639"/>
      <c r="BO222" s="1639"/>
      <c r="BP222" s="1639"/>
      <c r="BQ222" s="1639"/>
      <c r="BR222" s="1639"/>
      <c r="BS222" s="509"/>
      <c r="BT222" s="509"/>
      <c r="BU222" s="509"/>
      <c r="BV222" s="509"/>
      <c r="BW222" s="509"/>
      <c r="BX222" s="509"/>
      <c r="BY222" s="509"/>
      <c r="BZ222" s="509"/>
      <c r="CA222" s="509"/>
      <c r="CB222" s="509"/>
      <c r="CC222" s="509"/>
      <c r="CD222" s="509"/>
      <c r="CE222" s="509"/>
      <c r="CF222" s="509"/>
      <c r="CG222" s="509"/>
      <c r="CH222" s="509"/>
      <c r="CI222" s="509"/>
      <c r="CJ222" s="509"/>
      <c r="CK222" s="509"/>
      <c r="CL222" s="509"/>
      <c r="CM222" s="509"/>
      <c r="CN222" s="509"/>
      <c r="CO222" s="509"/>
      <c r="CP222" s="509"/>
      <c r="CQ222" s="509"/>
      <c r="CR222" s="509"/>
      <c r="CS222" s="509"/>
      <c r="CT222" s="509"/>
      <c r="CU222" s="509"/>
      <c r="CV222" s="509"/>
      <c r="CW222" s="509"/>
      <c r="CX222" s="509"/>
      <c r="CY222" s="509"/>
      <c r="CZ222" s="509"/>
      <c r="DA222" s="509"/>
      <c r="DB222" s="509"/>
      <c r="DC222" s="509"/>
      <c r="DD222" s="509"/>
      <c r="DE222" s="509"/>
      <c r="DF222" s="509"/>
      <c r="DG222" s="509"/>
      <c r="DH222" s="509"/>
      <c r="DI222" s="509"/>
      <c r="DJ222" s="509"/>
      <c r="DK222" s="509"/>
      <c r="DL222" s="509"/>
      <c r="DM222" s="509"/>
      <c r="DN222" s="509"/>
      <c r="DO222" s="509"/>
      <c r="DP222" s="509"/>
      <c r="DQ222" s="509"/>
      <c r="DR222" s="509"/>
      <c r="DS222" s="509"/>
      <c r="DT222" s="509"/>
      <c r="DU222" s="509"/>
      <c r="DV222" s="509"/>
      <c r="DW222" s="509"/>
      <c r="DX222" s="509"/>
      <c r="DY222" s="509"/>
      <c r="DZ222" s="509"/>
      <c r="EA222" s="509"/>
      <c r="EB222" s="509"/>
      <c r="EC222" s="509"/>
      <c r="ED222" s="509"/>
      <c r="EE222" s="509"/>
      <c r="EF222" s="509"/>
      <c r="EG222" s="509"/>
      <c r="EH222" s="509"/>
      <c r="EI222" s="509"/>
      <c r="EJ222" s="509"/>
      <c r="EK222" s="509"/>
      <c r="EL222" s="509"/>
      <c r="EM222" s="509"/>
      <c r="EN222" s="509"/>
      <c r="EO222" s="509"/>
      <c r="EP222" s="509"/>
      <c r="EQ222" s="509"/>
      <c r="ER222" s="509"/>
      <c r="ES222" s="509"/>
      <c r="ET222" s="509"/>
      <c r="EU222" s="509"/>
      <c r="EV222" s="509"/>
      <c r="EW222" s="509"/>
      <c r="EX222" s="509"/>
      <c r="EY222" s="509"/>
      <c r="EZ222" s="509"/>
      <c r="FA222" s="509"/>
      <c r="FB222" s="509"/>
      <c r="FC222" s="509"/>
      <c r="FD222" s="509"/>
      <c r="FE222" s="509"/>
      <c r="FF222" s="509"/>
      <c r="FG222" s="509"/>
      <c r="FH222" s="509"/>
      <c r="FI222" s="509"/>
      <c r="FJ222" s="509"/>
      <c r="FK222" s="509"/>
      <c r="FL222" s="509"/>
      <c r="FM222" s="509"/>
      <c r="FN222" s="509"/>
      <c r="FO222" s="509"/>
      <c r="FP222" s="509"/>
      <c r="FQ222" s="509"/>
      <c r="FR222" s="509"/>
      <c r="FS222" s="509"/>
      <c r="FT222" s="509"/>
      <c r="FU222" s="509"/>
      <c r="FV222" s="509"/>
      <c r="FW222" s="509"/>
      <c r="FX222" s="509"/>
      <c r="FY222" s="509"/>
      <c r="FZ222" s="509"/>
      <c r="GA222" s="509"/>
      <c r="GB222" s="509"/>
      <c r="GC222" s="509"/>
      <c r="GD222" s="509"/>
      <c r="GE222" s="509"/>
      <c r="GF222" s="509"/>
      <c r="GG222" s="509"/>
      <c r="GH222" s="509"/>
      <c r="GI222" s="509"/>
      <c r="GJ222" s="509"/>
      <c r="GK222" s="509"/>
      <c r="GL222" s="509"/>
      <c r="GM222" s="509"/>
      <c r="GN222" s="509"/>
      <c r="GO222" s="509"/>
      <c r="GP222" s="509"/>
      <c r="GQ222" s="509"/>
      <c r="GR222" s="509"/>
      <c r="GS222" s="509"/>
      <c r="GT222" s="509"/>
      <c r="GU222" s="509"/>
      <c r="GV222" s="509"/>
      <c r="GW222" s="509"/>
      <c r="GX222" s="509"/>
      <c r="GY222" s="509"/>
      <c r="GZ222" s="509"/>
      <c r="HA222" s="509"/>
      <c r="HB222" s="509"/>
      <c r="HC222" s="509"/>
      <c r="HD222" s="509"/>
      <c r="HE222" s="509"/>
      <c r="HF222" s="509"/>
      <c r="HG222" s="509"/>
      <c r="HH222" s="509"/>
      <c r="HI222" s="509"/>
      <c r="HJ222" s="509"/>
      <c r="HK222" s="509"/>
      <c r="HL222" s="509"/>
      <c r="HM222" s="509"/>
      <c r="HN222" s="509"/>
      <c r="HO222" s="509"/>
      <c r="HP222" s="509"/>
      <c r="HQ222" s="509"/>
      <c r="HR222" s="509"/>
      <c r="HS222" s="509"/>
      <c r="HT222" s="509"/>
      <c r="HU222" s="509"/>
      <c r="HV222" s="509"/>
      <c r="HW222" s="509"/>
      <c r="HX222" s="509"/>
      <c r="HY222" s="509"/>
      <c r="HZ222" s="509"/>
    </row>
    <row r="223" spans="1:234" ht="15.9" hidden="1" customHeight="1" x14ac:dyDescent="0.25">
      <c r="A223" s="541" t="s">
        <v>2075</v>
      </c>
      <c r="B223" s="523" t="s">
        <v>3421</v>
      </c>
      <c r="C223" s="524" t="s">
        <v>1661</v>
      </c>
      <c r="D223" s="553" t="s">
        <v>4383</v>
      </c>
      <c r="E223" s="526" t="s">
        <v>3228</v>
      </c>
      <c r="F223" s="586">
        <v>39636</v>
      </c>
      <c r="G223" s="586">
        <v>39587</v>
      </c>
      <c r="H223" s="544">
        <v>39629</v>
      </c>
      <c r="I223" s="602">
        <v>41121</v>
      </c>
      <c r="J223" s="595">
        <v>10</v>
      </c>
      <c r="K223" s="561" t="s">
        <v>3229</v>
      </c>
      <c r="L223" s="553" t="s">
        <v>3229</v>
      </c>
      <c r="M223" s="600">
        <v>0</v>
      </c>
      <c r="N223" s="601">
        <v>1.1000000000000001</v>
      </c>
      <c r="O223" s="596" t="s">
        <v>3229</v>
      </c>
      <c r="P223" s="596" t="s">
        <v>3229</v>
      </c>
      <c r="Q223" s="575" t="s">
        <v>3229</v>
      </c>
      <c r="R223" s="575" t="s">
        <v>3229</v>
      </c>
      <c r="S223" s="603"/>
      <c r="T223" s="563" t="s">
        <v>3229</v>
      </c>
      <c r="U223" s="563" t="s">
        <v>3229</v>
      </c>
      <c r="V223" s="563" t="s">
        <v>3229</v>
      </c>
      <c r="W223" s="563" t="s">
        <v>3229</v>
      </c>
      <c r="X223" s="563" t="s">
        <v>3229</v>
      </c>
      <c r="Y223" s="563" t="s">
        <v>3229</v>
      </c>
      <c r="Z223" s="563" t="s">
        <v>3229</v>
      </c>
      <c r="AA223" s="563" t="s">
        <v>3229</v>
      </c>
      <c r="AB223" s="563" t="s">
        <v>3229</v>
      </c>
      <c r="AC223" s="563" t="s">
        <v>3229</v>
      </c>
      <c r="AD223" s="563" t="s">
        <v>3229</v>
      </c>
      <c r="AE223" s="563" t="s">
        <v>3229</v>
      </c>
      <c r="AF223" s="3764" t="s">
        <v>781</v>
      </c>
      <c r="AG223" s="3765"/>
      <c r="AH223" s="673" t="s">
        <v>3229</v>
      </c>
      <c r="AI223" s="673" t="s">
        <v>3229</v>
      </c>
      <c r="AJ223" s="673" t="s">
        <v>3229</v>
      </c>
      <c r="AK223" s="673" t="s">
        <v>3229</v>
      </c>
      <c r="AL223" s="673" t="s">
        <v>3229</v>
      </c>
      <c r="AM223" s="591">
        <v>1</v>
      </c>
      <c r="AN223" s="638">
        <v>0</v>
      </c>
      <c r="AO223" s="625">
        <v>9.98</v>
      </c>
      <c r="AP223" s="1368">
        <v>-0.17971006249999999</v>
      </c>
      <c r="AQ223" s="605">
        <v>-0.1736</v>
      </c>
      <c r="AR223" s="3773"/>
      <c r="AS223" s="3774"/>
      <c r="AT223" s="3774"/>
      <c r="AU223" s="3774"/>
      <c r="AV223" s="632">
        <f t="shared" si="37"/>
        <v>0</v>
      </c>
      <c r="AW223" s="558">
        <f>POWER(1+AV223,1/((I223-F223)/365))-1</f>
        <v>0</v>
      </c>
      <c r="AX223" s="589"/>
      <c r="AY223" s="648"/>
      <c r="AZ223" s="676">
        <f t="shared" si="36"/>
        <v>10</v>
      </c>
      <c r="BA223" s="644" t="s">
        <v>574</v>
      </c>
      <c r="BB223" s="570"/>
      <c r="BC223" s="581"/>
      <c r="BH223" s="3763"/>
      <c r="BI223" s="3763"/>
      <c r="BJ223" s="1639"/>
      <c r="BK223" s="1639"/>
      <c r="BL223" s="1639"/>
      <c r="BM223" s="1639"/>
      <c r="BN223" s="1639"/>
      <c r="BO223" s="1639"/>
      <c r="BP223" s="1639"/>
      <c r="BQ223" s="1639"/>
      <c r="BR223" s="1639"/>
      <c r="BS223" s="509"/>
      <c r="BT223" s="509"/>
      <c r="BU223" s="509"/>
      <c r="BV223" s="509"/>
      <c r="BW223" s="509"/>
      <c r="BX223" s="509"/>
      <c r="BY223" s="509"/>
      <c r="BZ223" s="509"/>
      <c r="CA223" s="509"/>
      <c r="CB223" s="509"/>
      <c r="CC223" s="509"/>
      <c r="CD223" s="509"/>
      <c r="CE223" s="509"/>
      <c r="CF223" s="509"/>
      <c r="CG223" s="509"/>
      <c r="CH223" s="509"/>
      <c r="CI223" s="509"/>
      <c r="CJ223" s="509"/>
      <c r="CK223" s="509"/>
      <c r="CL223" s="509"/>
      <c r="CM223" s="509"/>
      <c r="CN223" s="509"/>
      <c r="CO223" s="509"/>
      <c r="CP223" s="509"/>
      <c r="CQ223" s="509"/>
      <c r="CR223" s="509"/>
      <c r="CS223" s="509"/>
      <c r="CT223" s="509"/>
      <c r="CU223" s="509"/>
      <c r="CV223" s="509"/>
      <c r="CW223" s="509"/>
      <c r="CX223" s="509"/>
      <c r="CY223" s="509"/>
      <c r="CZ223" s="509"/>
      <c r="DA223" s="509"/>
      <c r="DB223" s="509"/>
      <c r="DC223" s="509"/>
      <c r="DD223" s="509"/>
      <c r="DE223" s="509"/>
      <c r="DF223" s="509"/>
      <c r="DG223" s="509"/>
      <c r="DH223" s="509"/>
      <c r="DI223" s="509"/>
      <c r="DJ223" s="509"/>
      <c r="DK223" s="509"/>
      <c r="DL223" s="509"/>
      <c r="DM223" s="509"/>
      <c r="DN223" s="509"/>
      <c r="DO223" s="509"/>
      <c r="DP223" s="509"/>
      <c r="DQ223" s="509"/>
      <c r="DR223" s="509"/>
      <c r="DS223" s="509"/>
      <c r="DT223" s="509"/>
      <c r="DU223" s="509"/>
      <c r="DV223" s="509"/>
      <c r="DW223" s="509"/>
      <c r="DX223" s="509"/>
      <c r="DY223" s="509"/>
      <c r="DZ223" s="509"/>
      <c r="EA223" s="509"/>
      <c r="EB223" s="509"/>
      <c r="EC223" s="509"/>
      <c r="ED223" s="509"/>
      <c r="EE223" s="509"/>
      <c r="EF223" s="509"/>
      <c r="EG223" s="509"/>
      <c r="EH223" s="509"/>
      <c r="EI223" s="509"/>
      <c r="EJ223" s="509"/>
      <c r="EK223" s="509"/>
      <c r="EL223" s="509"/>
      <c r="EM223" s="509"/>
      <c r="EN223" s="509"/>
      <c r="EO223" s="509"/>
      <c r="EP223" s="509"/>
      <c r="EQ223" s="509"/>
      <c r="ER223" s="509"/>
      <c r="ES223" s="509"/>
      <c r="ET223" s="509"/>
      <c r="EU223" s="509"/>
      <c r="EV223" s="509"/>
      <c r="EW223" s="509"/>
      <c r="EX223" s="509"/>
      <c r="EY223" s="509"/>
      <c r="EZ223" s="509"/>
      <c r="FA223" s="509"/>
      <c r="FB223" s="509"/>
      <c r="FC223" s="509"/>
      <c r="FD223" s="509"/>
      <c r="FE223" s="509"/>
      <c r="FF223" s="509"/>
      <c r="FG223" s="509"/>
      <c r="FH223" s="509"/>
      <c r="FI223" s="509"/>
      <c r="FJ223" s="509"/>
      <c r="FK223" s="509"/>
      <c r="FL223" s="509"/>
      <c r="FM223" s="509"/>
      <c r="FN223" s="509"/>
      <c r="FO223" s="509"/>
      <c r="FP223" s="509"/>
      <c r="FQ223" s="509"/>
      <c r="FR223" s="509"/>
      <c r="FS223" s="509"/>
      <c r="FT223" s="509"/>
      <c r="FU223" s="509"/>
      <c r="FV223" s="509"/>
      <c r="FW223" s="509"/>
      <c r="FX223" s="509"/>
      <c r="FY223" s="509"/>
      <c r="FZ223" s="509"/>
      <c r="GA223" s="509"/>
      <c r="GB223" s="509"/>
      <c r="GC223" s="509"/>
      <c r="GD223" s="509"/>
      <c r="GE223" s="509"/>
      <c r="GF223" s="509"/>
      <c r="GG223" s="509"/>
      <c r="GH223" s="509"/>
      <c r="GI223" s="509"/>
      <c r="GJ223" s="509"/>
      <c r="GK223" s="509"/>
      <c r="GL223" s="509"/>
      <c r="GM223" s="509"/>
      <c r="GN223" s="509"/>
      <c r="GO223" s="509"/>
      <c r="GP223" s="509"/>
      <c r="GQ223" s="509"/>
      <c r="GR223" s="509"/>
      <c r="GS223" s="509"/>
      <c r="GT223" s="509"/>
      <c r="GU223" s="509"/>
      <c r="GV223" s="509"/>
      <c r="GW223" s="509"/>
      <c r="GX223" s="509"/>
      <c r="GY223" s="509"/>
      <c r="GZ223" s="509"/>
      <c r="HA223" s="509"/>
      <c r="HB223" s="509"/>
      <c r="HC223" s="509"/>
      <c r="HD223" s="509"/>
      <c r="HE223" s="509"/>
      <c r="HF223" s="509"/>
      <c r="HG223" s="509"/>
      <c r="HH223" s="509"/>
      <c r="HI223" s="509"/>
      <c r="HJ223" s="509"/>
      <c r="HK223" s="509"/>
      <c r="HL223" s="509"/>
      <c r="HM223" s="509"/>
      <c r="HN223" s="509"/>
      <c r="HO223" s="509"/>
      <c r="HP223" s="509"/>
      <c r="HQ223" s="509"/>
      <c r="HR223" s="509"/>
      <c r="HS223" s="509"/>
      <c r="HT223" s="509"/>
      <c r="HU223" s="509"/>
      <c r="HV223" s="509"/>
      <c r="HW223" s="509"/>
      <c r="HX223" s="509"/>
      <c r="HY223" s="509"/>
      <c r="HZ223" s="509"/>
    </row>
    <row r="224" spans="1:234" ht="15.9" hidden="1" customHeight="1" x14ac:dyDescent="0.25">
      <c r="A224" s="541" t="s">
        <v>3473</v>
      </c>
      <c r="B224" s="523" t="s">
        <v>3870</v>
      </c>
      <c r="C224" s="524" t="s">
        <v>4096</v>
      </c>
      <c r="D224" s="553" t="s">
        <v>2158</v>
      </c>
      <c r="E224" s="526" t="s">
        <v>3228</v>
      </c>
      <c r="F224" s="586">
        <v>39636</v>
      </c>
      <c r="G224" s="586">
        <v>39601</v>
      </c>
      <c r="H224" s="544">
        <v>39629</v>
      </c>
      <c r="I224" s="602">
        <v>41638</v>
      </c>
      <c r="J224" s="595">
        <v>10</v>
      </c>
      <c r="K224" s="561" t="s">
        <v>3229</v>
      </c>
      <c r="L224" s="553" t="s">
        <v>3229</v>
      </c>
      <c r="M224" s="600">
        <v>0</v>
      </c>
      <c r="N224" s="601">
        <v>0.9</v>
      </c>
      <c r="O224" s="596" t="s">
        <v>3229</v>
      </c>
      <c r="P224" s="596" t="s">
        <v>3229</v>
      </c>
      <c r="Q224" s="575" t="s">
        <v>3229</v>
      </c>
      <c r="R224" s="575" t="s">
        <v>3229</v>
      </c>
      <c r="S224" s="603"/>
      <c r="T224" s="563" t="s">
        <v>3229</v>
      </c>
      <c r="U224" s="563" t="s">
        <v>3229</v>
      </c>
      <c r="V224" s="563" t="s">
        <v>3229</v>
      </c>
      <c r="W224" s="563" t="s">
        <v>3229</v>
      </c>
      <c r="X224" s="563" t="s">
        <v>3229</v>
      </c>
      <c r="Y224" s="563" t="s">
        <v>3229</v>
      </c>
      <c r="Z224" s="563" t="s">
        <v>3229</v>
      </c>
      <c r="AA224" s="563" t="s">
        <v>3229</v>
      </c>
      <c r="AB224" s="563" t="s">
        <v>3229</v>
      </c>
      <c r="AC224" s="563" t="s">
        <v>3229</v>
      </c>
      <c r="AD224" s="563" t="s">
        <v>3229</v>
      </c>
      <c r="AE224" s="563" t="s">
        <v>3229</v>
      </c>
      <c r="AF224" s="3764" t="s">
        <v>781</v>
      </c>
      <c r="AG224" s="3765"/>
      <c r="AH224" s="673" t="s">
        <v>3229</v>
      </c>
      <c r="AI224" s="673" t="s">
        <v>3229</v>
      </c>
      <c r="AJ224" s="673" t="s">
        <v>3229</v>
      </c>
      <c r="AK224" s="673" t="s">
        <v>3229</v>
      </c>
      <c r="AL224" s="673" t="s">
        <v>3229</v>
      </c>
      <c r="AM224" s="591">
        <v>1</v>
      </c>
      <c r="AN224" s="638">
        <v>2.7076550000000039E-2</v>
      </c>
      <c r="AO224" s="625">
        <v>10.27</v>
      </c>
      <c r="AP224" s="1368">
        <v>3.0085055555555597E-2</v>
      </c>
      <c r="AQ224" s="605">
        <v>0.20644541646381978</v>
      </c>
      <c r="AR224" s="3773" t="s">
        <v>3660</v>
      </c>
      <c r="AS224" s="3774"/>
      <c r="AT224" s="3774"/>
      <c r="AU224" s="3774"/>
      <c r="AV224" s="632">
        <v>0</v>
      </c>
      <c r="AW224" s="558">
        <v>0</v>
      </c>
      <c r="AX224" s="589">
        <f>J224*(1+AV224)/AO224-1</f>
        <v>-2.6290165530671872E-2</v>
      </c>
      <c r="AY224" s="648" t="e">
        <f>POWER(1+AX224,1/AG224)-1</f>
        <v>#DIV/0!</v>
      </c>
      <c r="AZ224" s="676">
        <f t="shared" si="36"/>
        <v>10</v>
      </c>
      <c r="BA224" s="644" t="s">
        <v>574</v>
      </c>
      <c r="BB224" s="570"/>
      <c r="BC224" s="581"/>
      <c r="BH224" s="3763"/>
      <c r="BI224" s="3763"/>
      <c r="BJ224" s="1639"/>
      <c r="BK224" s="1639"/>
      <c r="BL224" s="1639"/>
      <c r="BM224" s="1639"/>
      <c r="BN224" s="1639"/>
      <c r="BO224" s="1639"/>
      <c r="BP224" s="1639"/>
      <c r="BQ224" s="1639"/>
      <c r="BR224" s="1639"/>
      <c r="BS224" s="509"/>
      <c r="BT224" s="509"/>
      <c r="BU224" s="509"/>
      <c r="BV224" s="509"/>
      <c r="BW224" s="509"/>
      <c r="BX224" s="509"/>
      <c r="BY224" s="509"/>
      <c r="BZ224" s="509"/>
      <c r="CA224" s="509"/>
      <c r="CB224" s="509"/>
      <c r="CC224" s="509"/>
      <c r="CD224" s="509"/>
      <c r="CE224" s="509"/>
      <c r="CF224" s="509"/>
      <c r="CG224" s="509"/>
      <c r="CH224" s="509"/>
      <c r="CI224" s="509"/>
      <c r="CJ224" s="509"/>
      <c r="CK224" s="509"/>
      <c r="CL224" s="509"/>
      <c r="CM224" s="509"/>
      <c r="CN224" s="509"/>
      <c r="CO224" s="509"/>
      <c r="CP224" s="509"/>
      <c r="CQ224" s="509"/>
      <c r="CR224" s="509"/>
      <c r="CS224" s="509"/>
      <c r="CT224" s="509"/>
      <c r="CU224" s="509"/>
      <c r="CV224" s="509"/>
      <c r="CW224" s="509"/>
      <c r="CX224" s="509"/>
      <c r="CY224" s="509"/>
      <c r="CZ224" s="509"/>
      <c r="DA224" s="509"/>
      <c r="DB224" s="509"/>
      <c r="DC224" s="509"/>
      <c r="DD224" s="509"/>
      <c r="DE224" s="509"/>
      <c r="DF224" s="509"/>
      <c r="DG224" s="509"/>
      <c r="DH224" s="509"/>
      <c r="DI224" s="509"/>
      <c r="DJ224" s="509"/>
      <c r="DK224" s="509"/>
      <c r="DL224" s="509"/>
      <c r="DM224" s="509"/>
      <c r="DN224" s="509"/>
      <c r="DO224" s="509"/>
      <c r="DP224" s="509"/>
      <c r="DQ224" s="509"/>
      <c r="DR224" s="509"/>
      <c r="DS224" s="509"/>
      <c r="DT224" s="509"/>
      <c r="DU224" s="509"/>
      <c r="DV224" s="509"/>
      <c r="DW224" s="509"/>
      <c r="DX224" s="509"/>
      <c r="DY224" s="509"/>
      <c r="DZ224" s="509"/>
      <c r="EA224" s="509"/>
      <c r="EB224" s="509"/>
      <c r="EC224" s="509"/>
      <c r="ED224" s="509"/>
      <c r="EE224" s="509"/>
      <c r="EF224" s="509"/>
      <c r="EG224" s="509"/>
      <c r="EH224" s="509"/>
      <c r="EI224" s="509"/>
      <c r="EJ224" s="509"/>
      <c r="EK224" s="509"/>
      <c r="EL224" s="509"/>
      <c r="EM224" s="509"/>
      <c r="EN224" s="509"/>
      <c r="EO224" s="509"/>
      <c r="EP224" s="509"/>
      <c r="EQ224" s="509"/>
      <c r="ER224" s="509"/>
      <c r="ES224" s="509"/>
      <c r="ET224" s="509"/>
      <c r="EU224" s="509"/>
      <c r="EV224" s="509"/>
      <c r="EW224" s="509"/>
      <c r="EX224" s="509"/>
      <c r="EY224" s="509"/>
      <c r="EZ224" s="509"/>
      <c r="FA224" s="509"/>
      <c r="FB224" s="509"/>
      <c r="FC224" s="509"/>
      <c r="FD224" s="509"/>
      <c r="FE224" s="509"/>
      <c r="FF224" s="509"/>
      <c r="FG224" s="509"/>
      <c r="FH224" s="509"/>
      <c r="FI224" s="509"/>
      <c r="FJ224" s="509"/>
      <c r="FK224" s="509"/>
      <c r="FL224" s="509"/>
      <c r="FM224" s="509"/>
      <c r="FN224" s="509"/>
      <c r="FO224" s="509"/>
      <c r="FP224" s="509"/>
      <c r="FQ224" s="509"/>
      <c r="FR224" s="509"/>
      <c r="FS224" s="509"/>
      <c r="FT224" s="509"/>
      <c r="FU224" s="509"/>
      <c r="FV224" s="509"/>
      <c r="FW224" s="509"/>
      <c r="FX224" s="509"/>
      <c r="FY224" s="509"/>
      <c r="FZ224" s="509"/>
      <c r="GA224" s="509"/>
      <c r="GB224" s="509"/>
      <c r="GC224" s="509"/>
      <c r="GD224" s="509"/>
      <c r="GE224" s="509"/>
      <c r="GF224" s="509"/>
      <c r="GG224" s="509"/>
      <c r="GH224" s="509"/>
      <c r="GI224" s="509"/>
      <c r="GJ224" s="509"/>
      <c r="GK224" s="509"/>
      <c r="GL224" s="509"/>
      <c r="GM224" s="509"/>
      <c r="GN224" s="509"/>
      <c r="GO224" s="509"/>
      <c r="GP224" s="509"/>
      <c r="GQ224" s="509"/>
      <c r="GR224" s="509"/>
      <c r="GS224" s="509"/>
      <c r="GT224" s="509"/>
      <c r="GU224" s="509"/>
      <c r="GV224" s="509"/>
      <c r="GW224" s="509"/>
      <c r="GX224" s="509"/>
      <c r="GY224" s="509"/>
      <c r="GZ224" s="509"/>
      <c r="HA224" s="509"/>
      <c r="HB224" s="509"/>
      <c r="HC224" s="509"/>
      <c r="HD224" s="509"/>
      <c r="HE224" s="509"/>
      <c r="HF224" s="509"/>
      <c r="HG224" s="509"/>
      <c r="HH224" s="509"/>
      <c r="HI224" s="509"/>
      <c r="HJ224" s="509"/>
      <c r="HK224" s="509"/>
      <c r="HL224" s="509"/>
      <c r="HM224" s="509"/>
      <c r="HN224" s="509"/>
      <c r="HO224" s="509"/>
      <c r="HP224" s="509"/>
      <c r="HQ224" s="509"/>
      <c r="HR224" s="509"/>
      <c r="HS224" s="509"/>
      <c r="HT224" s="509"/>
      <c r="HU224" s="509"/>
      <c r="HV224" s="509"/>
      <c r="HW224" s="509"/>
      <c r="HX224" s="509"/>
      <c r="HY224" s="509"/>
      <c r="HZ224" s="509"/>
    </row>
    <row r="225" spans="1:234" ht="15.9" hidden="1" customHeight="1" x14ac:dyDescent="0.25">
      <c r="A225" s="541" t="s">
        <v>3474</v>
      </c>
      <c r="B225" s="523" t="s">
        <v>3871</v>
      </c>
      <c r="C225" s="524" t="s">
        <v>4097</v>
      </c>
      <c r="D225" s="553" t="s">
        <v>2158</v>
      </c>
      <c r="E225" s="526" t="s">
        <v>3228</v>
      </c>
      <c r="F225" s="586">
        <v>39636</v>
      </c>
      <c r="G225" s="586">
        <v>39601</v>
      </c>
      <c r="H225" s="544">
        <v>39629</v>
      </c>
      <c r="I225" s="602">
        <v>41648</v>
      </c>
      <c r="J225" s="595">
        <v>10</v>
      </c>
      <c r="K225" s="561">
        <v>-0.03</v>
      </c>
      <c r="L225" s="553">
        <v>0.08</v>
      </c>
      <c r="M225" s="600">
        <v>0.05</v>
      </c>
      <c r="N225" s="601" t="s">
        <v>3229</v>
      </c>
      <c r="O225" s="596">
        <v>0.4</v>
      </c>
      <c r="P225" s="596" t="s">
        <v>3229</v>
      </c>
      <c r="Q225" s="575" t="s">
        <v>3229</v>
      </c>
      <c r="R225" s="575" t="s">
        <v>3229</v>
      </c>
      <c r="S225" s="603">
        <v>5</v>
      </c>
      <c r="T225" s="563">
        <v>39965</v>
      </c>
      <c r="U225" s="563">
        <v>40331</v>
      </c>
      <c r="V225" s="563">
        <v>40697</v>
      </c>
      <c r="W225" s="563">
        <v>41064</v>
      </c>
      <c r="X225" s="563">
        <v>41583</v>
      </c>
      <c r="Y225" s="563" t="s">
        <v>3229</v>
      </c>
      <c r="Z225" s="563" t="s">
        <v>3229</v>
      </c>
      <c r="AA225" s="563" t="s">
        <v>3229</v>
      </c>
      <c r="AB225" s="563" t="s">
        <v>3229</v>
      </c>
      <c r="AC225" s="563" t="s">
        <v>3229</v>
      </c>
      <c r="AD225" s="563" t="s">
        <v>3229</v>
      </c>
      <c r="AE225" s="563" t="s">
        <v>3229</v>
      </c>
      <c r="AF225" s="3764" t="s">
        <v>781</v>
      </c>
      <c r="AG225" s="3765"/>
      <c r="AH225" s="673">
        <v>0.5</v>
      </c>
      <c r="AI225" s="673">
        <v>0.3</v>
      </c>
      <c r="AJ225" s="673">
        <v>0.2</v>
      </c>
      <c r="AK225" s="673" t="s">
        <v>3229</v>
      </c>
      <c r="AL225" s="673" t="s">
        <v>3229</v>
      </c>
      <c r="AM225" s="591" t="s">
        <v>3229</v>
      </c>
      <c r="AN225" s="638">
        <v>0.26</v>
      </c>
      <c r="AO225" s="625">
        <v>11.8</v>
      </c>
      <c r="AP225" s="1368" t="s">
        <v>3229</v>
      </c>
      <c r="AQ225" s="675" t="s">
        <v>3229</v>
      </c>
      <c r="AR225" s="3773" t="e">
        <f>MAX(0,AF225*L225+SUM('klikací hodnoty'!F6917:F6931))</f>
        <v>#VALUE!</v>
      </c>
      <c r="AS225" s="3774" t="e">
        <f>POWER(1+AR225,1/((I225-F225)/365))-1</f>
        <v>#VALUE!</v>
      </c>
      <c r="AT225" s="3774" t="e">
        <f>J225*(1+AR225)/AO225-1</f>
        <v>#VALUE!</v>
      </c>
      <c r="AU225" s="3774" t="e">
        <f>POWER(1+AT225,1/AG225)-1</f>
        <v>#VALUE!</v>
      </c>
      <c r="AV225" s="632" t="e">
        <f>MAX(M225,AN225+AF225*K225)</f>
        <v>#VALUE!</v>
      </c>
      <c r="AW225" s="558" t="e">
        <f>POWER(1+AV225,1/((I225-F225)/365))-1</f>
        <v>#VALUE!</v>
      </c>
      <c r="AX225" s="589" t="e">
        <f>J225*(1+AV225)/AO225-1</f>
        <v>#VALUE!</v>
      </c>
      <c r="AY225" s="648" t="e">
        <f>POWER(1+AX225,1/AG225)-1</f>
        <v>#VALUE!</v>
      </c>
      <c r="AZ225" s="676" t="e">
        <f t="shared" si="36"/>
        <v>#VALUE!</v>
      </c>
      <c r="BA225" s="644" t="s">
        <v>3151</v>
      </c>
      <c r="BB225" s="570" t="s">
        <v>2025</v>
      </c>
      <c r="BC225" s="581" t="s">
        <v>2895</v>
      </c>
      <c r="BH225" s="3763"/>
      <c r="BI225" s="3763"/>
      <c r="BJ225" s="1639"/>
      <c r="BK225" s="1639"/>
      <c r="BL225" s="1639"/>
      <c r="BM225" s="1639"/>
      <c r="BN225" s="1639"/>
      <c r="BO225" s="1639"/>
      <c r="BP225" s="1639"/>
      <c r="BQ225" s="1639"/>
      <c r="BR225" s="1639"/>
      <c r="BS225" s="509"/>
      <c r="BT225" s="509"/>
      <c r="BU225" s="509"/>
      <c r="BV225" s="509"/>
      <c r="BW225" s="509"/>
      <c r="BX225" s="509"/>
      <c r="BY225" s="509"/>
      <c r="BZ225" s="509"/>
      <c r="CA225" s="509"/>
      <c r="CB225" s="509"/>
      <c r="CC225" s="509"/>
      <c r="CD225" s="509"/>
      <c r="CE225" s="509"/>
      <c r="CF225" s="509"/>
      <c r="CG225" s="509"/>
      <c r="CH225" s="509"/>
      <c r="CI225" s="509"/>
      <c r="CJ225" s="509"/>
      <c r="CK225" s="509"/>
      <c r="CL225" s="509"/>
      <c r="CM225" s="509"/>
      <c r="CN225" s="509"/>
      <c r="CO225" s="509"/>
      <c r="CP225" s="509"/>
      <c r="CQ225" s="509"/>
      <c r="CR225" s="509"/>
      <c r="CS225" s="509"/>
      <c r="CT225" s="509"/>
      <c r="CU225" s="509"/>
      <c r="CV225" s="509"/>
      <c r="CW225" s="509"/>
      <c r="CX225" s="509"/>
      <c r="CY225" s="509"/>
      <c r="CZ225" s="509"/>
      <c r="DA225" s="509"/>
      <c r="DB225" s="509"/>
      <c r="DC225" s="509"/>
      <c r="DD225" s="509"/>
      <c r="DE225" s="509"/>
      <c r="DF225" s="509"/>
      <c r="DG225" s="509"/>
      <c r="DH225" s="509"/>
      <c r="DI225" s="509"/>
      <c r="DJ225" s="509"/>
      <c r="DK225" s="509"/>
      <c r="DL225" s="509"/>
      <c r="DM225" s="509"/>
      <c r="DN225" s="509"/>
      <c r="DO225" s="509"/>
      <c r="DP225" s="509"/>
      <c r="DQ225" s="509"/>
      <c r="DR225" s="509"/>
      <c r="DS225" s="509"/>
      <c r="DT225" s="509"/>
      <c r="DU225" s="509"/>
      <c r="DV225" s="509"/>
      <c r="DW225" s="509"/>
      <c r="DX225" s="509"/>
      <c r="DY225" s="509"/>
      <c r="DZ225" s="509"/>
      <c r="EA225" s="509"/>
      <c r="EB225" s="509"/>
      <c r="EC225" s="509"/>
      <c r="ED225" s="509"/>
      <c r="EE225" s="509"/>
      <c r="EF225" s="509"/>
      <c r="EG225" s="509"/>
      <c r="EH225" s="509"/>
      <c r="EI225" s="509"/>
      <c r="EJ225" s="509"/>
      <c r="EK225" s="509"/>
      <c r="EL225" s="509"/>
      <c r="EM225" s="509"/>
      <c r="EN225" s="509"/>
      <c r="EO225" s="509"/>
      <c r="EP225" s="509"/>
      <c r="EQ225" s="509"/>
      <c r="ER225" s="509"/>
      <c r="ES225" s="509"/>
      <c r="ET225" s="509"/>
      <c r="EU225" s="509"/>
      <c r="EV225" s="509"/>
      <c r="EW225" s="509"/>
      <c r="EX225" s="509"/>
      <c r="EY225" s="509"/>
      <c r="EZ225" s="509"/>
      <c r="FA225" s="509"/>
      <c r="FB225" s="509"/>
      <c r="FC225" s="509"/>
      <c r="FD225" s="509"/>
      <c r="FE225" s="509"/>
      <c r="FF225" s="509"/>
      <c r="FG225" s="509"/>
      <c r="FH225" s="509"/>
      <c r="FI225" s="509"/>
      <c r="FJ225" s="509"/>
      <c r="FK225" s="509"/>
      <c r="FL225" s="509"/>
      <c r="FM225" s="509"/>
      <c r="FN225" s="509"/>
      <c r="FO225" s="509"/>
      <c r="FP225" s="509"/>
      <c r="FQ225" s="509"/>
      <c r="FR225" s="509"/>
      <c r="FS225" s="509"/>
      <c r="FT225" s="509"/>
      <c r="FU225" s="509"/>
      <c r="FV225" s="509"/>
      <c r="FW225" s="509"/>
      <c r="FX225" s="509"/>
      <c r="FY225" s="509"/>
      <c r="FZ225" s="509"/>
      <c r="GA225" s="509"/>
      <c r="GB225" s="509"/>
      <c r="GC225" s="509"/>
      <c r="GD225" s="509"/>
      <c r="GE225" s="509"/>
      <c r="GF225" s="509"/>
      <c r="GG225" s="509"/>
      <c r="GH225" s="509"/>
      <c r="GI225" s="509"/>
      <c r="GJ225" s="509"/>
      <c r="GK225" s="509"/>
      <c r="GL225" s="509"/>
      <c r="GM225" s="509"/>
      <c r="GN225" s="509"/>
      <c r="GO225" s="509"/>
      <c r="GP225" s="509"/>
      <c r="GQ225" s="509"/>
      <c r="GR225" s="509"/>
      <c r="GS225" s="509"/>
      <c r="GT225" s="509"/>
      <c r="GU225" s="509"/>
      <c r="GV225" s="509"/>
      <c r="GW225" s="509"/>
      <c r="GX225" s="509"/>
      <c r="GY225" s="509"/>
      <c r="GZ225" s="509"/>
      <c r="HA225" s="509"/>
      <c r="HB225" s="509"/>
      <c r="HC225" s="509"/>
      <c r="HD225" s="509"/>
      <c r="HE225" s="509"/>
      <c r="HF225" s="509"/>
      <c r="HG225" s="509"/>
      <c r="HH225" s="509"/>
      <c r="HI225" s="509"/>
      <c r="HJ225" s="509"/>
      <c r="HK225" s="509"/>
      <c r="HL225" s="509"/>
      <c r="HM225" s="509"/>
      <c r="HN225" s="509"/>
      <c r="HO225" s="509"/>
      <c r="HP225" s="509"/>
      <c r="HQ225" s="509"/>
      <c r="HR225" s="509"/>
      <c r="HS225" s="509"/>
      <c r="HT225" s="509"/>
      <c r="HU225" s="509"/>
      <c r="HV225" s="509"/>
      <c r="HW225" s="509"/>
      <c r="HX225" s="509"/>
      <c r="HY225" s="509"/>
      <c r="HZ225" s="509"/>
    </row>
    <row r="226" spans="1:234" ht="15.9" hidden="1" customHeight="1" x14ac:dyDescent="0.25">
      <c r="A226" s="540" t="s">
        <v>3475</v>
      </c>
      <c r="B226" s="523" t="s">
        <v>3470</v>
      </c>
      <c r="C226" s="524" t="s">
        <v>4098</v>
      </c>
      <c r="D226" s="553" t="s">
        <v>189</v>
      </c>
      <c r="E226" s="526" t="s">
        <v>1743</v>
      </c>
      <c r="F226" s="586">
        <v>39667</v>
      </c>
      <c r="G226" s="586">
        <v>39601</v>
      </c>
      <c r="H226" s="544">
        <v>39660</v>
      </c>
      <c r="I226" s="594">
        <v>41243</v>
      </c>
      <c r="J226" s="595">
        <v>10</v>
      </c>
      <c r="K226" s="561" t="s">
        <v>3229</v>
      </c>
      <c r="L226" s="553" t="s">
        <v>3229</v>
      </c>
      <c r="M226" s="600">
        <v>0</v>
      </c>
      <c r="N226" s="601">
        <v>0.9</v>
      </c>
      <c r="O226" s="596">
        <v>0.4</v>
      </c>
      <c r="P226" s="596" t="s">
        <v>3229</v>
      </c>
      <c r="Q226" s="596" t="s">
        <v>3229</v>
      </c>
      <c r="R226" s="596" t="s">
        <v>3229</v>
      </c>
      <c r="S226" s="597"/>
      <c r="T226" s="563" t="s">
        <v>3229</v>
      </c>
      <c r="U226" s="563" t="s">
        <v>3229</v>
      </c>
      <c r="V226" s="563" t="s">
        <v>3229</v>
      </c>
      <c r="W226" s="563" t="s">
        <v>3229</v>
      </c>
      <c r="X226" s="563" t="s">
        <v>3229</v>
      </c>
      <c r="Y226" s="563" t="s">
        <v>3229</v>
      </c>
      <c r="Z226" s="563" t="s">
        <v>3229</v>
      </c>
      <c r="AA226" s="563" t="s">
        <v>3229</v>
      </c>
      <c r="AB226" s="563" t="s">
        <v>3229</v>
      </c>
      <c r="AC226" s="563" t="s">
        <v>3229</v>
      </c>
      <c r="AD226" s="563" t="s">
        <v>3229</v>
      </c>
      <c r="AE226" s="563" t="s">
        <v>3229</v>
      </c>
      <c r="AF226" s="3764" t="s">
        <v>781</v>
      </c>
      <c r="AG226" s="3765"/>
      <c r="AH226" s="673" t="s">
        <v>3229</v>
      </c>
      <c r="AI226" s="673" t="s">
        <v>3229</v>
      </c>
      <c r="AJ226" s="673" t="s">
        <v>3229</v>
      </c>
      <c r="AK226" s="673" t="s">
        <v>3229</v>
      </c>
      <c r="AL226" s="673" t="s">
        <v>3229</v>
      </c>
      <c r="AM226" s="590">
        <v>1</v>
      </c>
      <c r="AN226" s="638">
        <v>0</v>
      </c>
      <c r="AO226" s="625">
        <v>10</v>
      </c>
      <c r="AP226" s="1368">
        <v>-8.5971749999999972E-2</v>
      </c>
      <c r="AQ226" s="658">
        <v>-0.10453315936819652</v>
      </c>
      <c r="AR226" s="558">
        <f>O226</f>
        <v>0.4</v>
      </c>
      <c r="AS226" s="558">
        <f>POWER(1+AR226,1/((I226-F226)/365))-1</f>
        <v>8.1043337886524958E-2</v>
      </c>
      <c r="AT226" s="648">
        <f>J226*(1+AR226)/AO226-1</f>
        <v>0.39999999999999991</v>
      </c>
      <c r="AU226" s="559" t="e">
        <f>POWER(1+AT226,1/AG226)-1</f>
        <v>#DIV/0!</v>
      </c>
      <c r="AV226" s="558">
        <v>0</v>
      </c>
      <c r="AW226" s="558">
        <v>0</v>
      </c>
      <c r="AX226" s="589">
        <f>J226*(1+AV226)/AO226-1</f>
        <v>0</v>
      </c>
      <c r="AY226" s="587" t="e">
        <f>POWER(1+AX226,1/AG226)-1</f>
        <v>#DIV/0!</v>
      </c>
      <c r="AZ226" s="676">
        <f t="shared" si="36"/>
        <v>10</v>
      </c>
      <c r="BA226" s="644" t="s">
        <v>3190</v>
      </c>
      <c r="BB226" s="570"/>
      <c r="BC226" s="637"/>
      <c r="BH226" s="3763"/>
      <c r="BI226" s="3763"/>
      <c r="BJ226" s="1639"/>
      <c r="BK226" s="1639"/>
      <c r="BL226" s="1639"/>
      <c r="BM226" s="1639"/>
      <c r="BN226" s="1639"/>
      <c r="BO226" s="1639"/>
      <c r="BP226" s="1639"/>
      <c r="BQ226" s="1639"/>
      <c r="BR226" s="1639"/>
      <c r="BS226" s="509"/>
      <c r="BT226" s="509"/>
      <c r="BU226" s="509"/>
      <c r="BV226" s="509"/>
      <c r="BW226" s="509"/>
      <c r="BX226" s="509"/>
      <c r="BY226" s="509"/>
      <c r="BZ226" s="509"/>
      <c r="CA226" s="509"/>
      <c r="CB226" s="509"/>
      <c r="CC226" s="509"/>
      <c r="CD226" s="509"/>
      <c r="CE226" s="509"/>
      <c r="CF226" s="509"/>
      <c r="CG226" s="509"/>
      <c r="CH226" s="509"/>
      <c r="CI226" s="509"/>
      <c r="CJ226" s="509"/>
      <c r="CK226" s="509"/>
      <c r="CL226" s="509"/>
      <c r="CM226" s="509"/>
      <c r="CN226" s="509"/>
      <c r="CO226" s="509"/>
      <c r="CP226" s="509"/>
      <c r="CQ226" s="509"/>
      <c r="CR226" s="509"/>
      <c r="CS226" s="509"/>
      <c r="CT226" s="509"/>
      <c r="CU226" s="509"/>
      <c r="CV226" s="509"/>
      <c r="CW226" s="509"/>
      <c r="CX226" s="509"/>
      <c r="CY226" s="509"/>
      <c r="CZ226" s="509"/>
      <c r="DA226" s="509"/>
      <c r="DB226" s="509"/>
      <c r="DC226" s="509"/>
      <c r="DD226" s="509"/>
      <c r="DE226" s="509"/>
      <c r="DF226" s="509"/>
      <c r="DG226" s="509"/>
      <c r="DH226" s="509"/>
      <c r="DI226" s="509"/>
      <c r="DJ226" s="509"/>
      <c r="DK226" s="509"/>
      <c r="DL226" s="509"/>
      <c r="DM226" s="509"/>
      <c r="DN226" s="509"/>
      <c r="DO226" s="509"/>
      <c r="DP226" s="509"/>
      <c r="DQ226" s="509"/>
      <c r="DR226" s="509"/>
      <c r="DS226" s="509"/>
      <c r="DT226" s="509"/>
      <c r="DU226" s="509"/>
      <c r="DV226" s="509"/>
      <c r="DW226" s="509"/>
      <c r="DX226" s="509"/>
      <c r="DY226" s="509"/>
      <c r="DZ226" s="509"/>
      <c r="EA226" s="509"/>
      <c r="EB226" s="509"/>
      <c r="EC226" s="509"/>
      <c r="ED226" s="509"/>
      <c r="EE226" s="509"/>
      <c r="EF226" s="509"/>
      <c r="EG226" s="509"/>
      <c r="EH226" s="509"/>
      <c r="EI226" s="509"/>
      <c r="EJ226" s="509"/>
      <c r="EK226" s="509"/>
      <c r="EL226" s="509"/>
      <c r="EM226" s="509"/>
      <c r="EN226" s="509"/>
      <c r="EO226" s="509"/>
      <c r="EP226" s="509"/>
      <c r="EQ226" s="509"/>
      <c r="ER226" s="509"/>
      <c r="ES226" s="509"/>
      <c r="ET226" s="509"/>
      <c r="EU226" s="509"/>
      <c r="EV226" s="509"/>
      <c r="EW226" s="509"/>
      <c r="EX226" s="509"/>
      <c r="EY226" s="509"/>
      <c r="EZ226" s="509"/>
      <c r="FA226" s="509"/>
      <c r="FB226" s="509"/>
      <c r="FC226" s="509"/>
      <c r="FD226" s="509"/>
      <c r="FE226" s="509"/>
      <c r="FF226" s="509"/>
      <c r="FG226" s="509"/>
      <c r="FH226" s="509"/>
      <c r="FI226" s="509"/>
      <c r="FJ226" s="509"/>
      <c r="FK226" s="509"/>
      <c r="FL226" s="509"/>
      <c r="FM226" s="509"/>
      <c r="FN226" s="509"/>
      <c r="FO226" s="509"/>
      <c r="FP226" s="509"/>
      <c r="FQ226" s="509"/>
      <c r="FR226" s="509"/>
      <c r="FS226" s="509"/>
      <c r="FT226" s="509"/>
      <c r="FU226" s="509"/>
      <c r="FV226" s="509"/>
      <c r="FW226" s="509"/>
      <c r="FX226" s="509"/>
      <c r="FY226" s="509"/>
      <c r="FZ226" s="509"/>
      <c r="GA226" s="509"/>
      <c r="GB226" s="509"/>
      <c r="GC226" s="509"/>
      <c r="GD226" s="509"/>
      <c r="GE226" s="509"/>
      <c r="GF226" s="509"/>
      <c r="GG226" s="509"/>
      <c r="GH226" s="509"/>
      <c r="GI226" s="509"/>
      <c r="GJ226" s="509"/>
      <c r="GK226" s="509"/>
      <c r="GL226" s="509"/>
      <c r="GM226" s="509"/>
      <c r="GN226" s="509"/>
      <c r="GO226" s="509"/>
      <c r="GP226" s="509"/>
      <c r="GQ226" s="509"/>
      <c r="GR226" s="509"/>
      <c r="GS226" s="509"/>
      <c r="GT226" s="509"/>
      <c r="GU226" s="509"/>
      <c r="GV226" s="509"/>
      <c r="GW226" s="509"/>
      <c r="GX226" s="509"/>
      <c r="GY226" s="509"/>
      <c r="GZ226" s="509"/>
      <c r="HA226" s="509"/>
      <c r="HB226" s="509"/>
      <c r="HC226" s="509"/>
      <c r="HD226" s="509"/>
      <c r="HE226" s="509"/>
      <c r="HF226" s="509"/>
      <c r="HG226" s="509"/>
      <c r="HH226" s="509"/>
      <c r="HI226" s="509"/>
      <c r="HJ226" s="509"/>
      <c r="HK226" s="509"/>
      <c r="HL226" s="509"/>
      <c r="HM226" s="509"/>
      <c r="HN226" s="509"/>
      <c r="HO226" s="509"/>
      <c r="HP226" s="509"/>
      <c r="HQ226" s="509"/>
      <c r="HR226" s="509"/>
      <c r="HS226" s="509"/>
      <c r="HT226" s="509"/>
      <c r="HU226" s="509"/>
      <c r="HV226" s="509"/>
      <c r="HW226" s="509"/>
      <c r="HX226" s="509"/>
      <c r="HY226" s="509"/>
      <c r="HZ226" s="509"/>
    </row>
    <row r="227" spans="1:234" ht="15.9" hidden="1" customHeight="1" x14ac:dyDescent="0.25">
      <c r="A227" s="541" t="s">
        <v>686</v>
      </c>
      <c r="B227" s="523" t="s">
        <v>3471</v>
      </c>
      <c r="C227" s="524" t="s">
        <v>2140</v>
      </c>
      <c r="D227" s="553" t="s">
        <v>2142</v>
      </c>
      <c r="E227" s="524" t="s">
        <v>3228</v>
      </c>
      <c r="F227" s="544">
        <v>39639</v>
      </c>
      <c r="G227" s="586">
        <v>39601</v>
      </c>
      <c r="H227" s="557">
        <v>39629</v>
      </c>
      <c r="I227" s="604">
        <v>41130</v>
      </c>
      <c r="J227" s="579">
        <v>10</v>
      </c>
      <c r="K227" s="561" t="s">
        <v>3229</v>
      </c>
      <c r="L227" s="553" t="s">
        <v>3229</v>
      </c>
      <c r="M227" s="600">
        <v>0</v>
      </c>
      <c r="N227" s="601">
        <v>0.9</v>
      </c>
      <c r="O227" s="596" t="s">
        <v>3229</v>
      </c>
      <c r="P227" s="596" t="s">
        <v>3229</v>
      </c>
      <c r="Q227" s="596" t="s">
        <v>3229</v>
      </c>
      <c r="R227" s="596" t="s">
        <v>3229</v>
      </c>
      <c r="S227" s="597"/>
      <c r="T227" s="563" t="s">
        <v>3229</v>
      </c>
      <c r="U227" s="563" t="s">
        <v>3229</v>
      </c>
      <c r="V227" s="563" t="s">
        <v>3229</v>
      </c>
      <c r="W227" s="563" t="s">
        <v>3229</v>
      </c>
      <c r="X227" s="563" t="s">
        <v>3229</v>
      </c>
      <c r="Y227" s="563" t="s">
        <v>3229</v>
      </c>
      <c r="Z227" s="563" t="s">
        <v>3229</v>
      </c>
      <c r="AA227" s="563" t="s">
        <v>3229</v>
      </c>
      <c r="AB227" s="563" t="s">
        <v>3229</v>
      </c>
      <c r="AC227" s="563" t="s">
        <v>3229</v>
      </c>
      <c r="AD227" s="563" t="s">
        <v>3229</v>
      </c>
      <c r="AE227" s="563" t="s">
        <v>3229</v>
      </c>
      <c r="AF227" s="3764" t="s">
        <v>781</v>
      </c>
      <c r="AG227" s="3765"/>
      <c r="AH227" s="673" t="s">
        <v>3229</v>
      </c>
      <c r="AI227" s="673" t="s">
        <v>3229</v>
      </c>
      <c r="AJ227" s="673" t="s">
        <v>3229</v>
      </c>
      <c r="AK227" s="673" t="s">
        <v>3229</v>
      </c>
      <c r="AL227" s="673" t="s">
        <v>3229</v>
      </c>
      <c r="AM227" s="591">
        <v>1</v>
      </c>
      <c r="AN227" s="638">
        <v>7.8577143749999995E-2</v>
      </c>
      <c r="AO227" s="625">
        <v>10.79</v>
      </c>
      <c r="AP227" s="1368">
        <v>8.7307937499999988E-2</v>
      </c>
      <c r="AQ227" s="675">
        <v>0.26796789272360683</v>
      </c>
      <c r="AR227" s="3773"/>
      <c r="AS227" s="3774"/>
      <c r="AT227" s="3774"/>
      <c r="AU227" s="3774"/>
      <c r="AV227" s="632">
        <v>0</v>
      </c>
      <c r="AW227" s="558">
        <v>0</v>
      </c>
      <c r="AX227" s="589"/>
      <c r="AY227" s="648"/>
      <c r="AZ227" s="676">
        <f t="shared" si="36"/>
        <v>10</v>
      </c>
      <c r="BA227" s="644" t="s">
        <v>574</v>
      </c>
      <c r="BB227" s="536"/>
      <c r="BC227" s="581"/>
      <c r="BH227" s="3763"/>
      <c r="BI227" s="3763"/>
      <c r="BJ227" s="1639"/>
      <c r="BK227" s="1639"/>
      <c r="BL227" s="1639"/>
      <c r="BM227" s="1639"/>
      <c r="BN227" s="1639"/>
      <c r="BO227" s="1639"/>
      <c r="BP227" s="1639"/>
      <c r="BQ227" s="1639"/>
      <c r="BR227" s="1639"/>
      <c r="BS227" s="509"/>
      <c r="BT227" s="509"/>
      <c r="BU227" s="509"/>
      <c r="BV227" s="509"/>
      <c r="BW227" s="509"/>
      <c r="BX227" s="509"/>
      <c r="BY227" s="509"/>
      <c r="BZ227" s="509"/>
      <c r="CA227" s="509"/>
      <c r="CB227" s="509"/>
      <c r="CC227" s="509"/>
      <c r="CD227" s="509"/>
      <c r="CE227" s="509"/>
      <c r="CF227" s="509"/>
      <c r="CG227" s="509"/>
      <c r="CH227" s="509"/>
      <c r="CI227" s="509"/>
      <c r="CJ227" s="509"/>
      <c r="CK227" s="509"/>
      <c r="CL227" s="509"/>
      <c r="CM227" s="509"/>
      <c r="CN227" s="509"/>
      <c r="CO227" s="509"/>
      <c r="CP227" s="509"/>
      <c r="CQ227" s="509"/>
      <c r="CR227" s="509"/>
      <c r="CS227" s="509"/>
      <c r="CT227" s="509"/>
      <c r="CU227" s="509"/>
      <c r="CV227" s="509"/>
      <c r="CW227" s="509"/>
      <c r="CX227" s="509"/>
      <c r="CY227" s="509"/>
      <c r="CZ227" s="509"/>
      <c r="DA227" s="509"/>
      <c r="DB227" s="509"/>
      <c r="DC227" s="509"/>
      <c r="DD227" s="509"/>
      <c r="DE227" s="509"/>
      <c r="DF227" s="509"/>
      <c r="DG227" s="509"/>
      <c r="DH227" s="509"/>
      <c r="DI227" s="509"/>
      <c r="DJ227" s="509"/>
      <c r="DK227" s="509"/>
      <c r="DL227" s="509"/>
      <c r="DM227" s="509"/>
      <c r="DN227" s="509"/>
      <c r="DO227" s="509"/>
      <c r="DP227" s="509"/>
      <c r="DQ227" s="509"/>
      <c r="DR227" s="509"/>
      <c r="DS227" s="509"/>
      <c r="DT227" s="509"/>
      <c r="DU227" s="509"/>
      <c r="DV227" s="509"/>
      <c r="DW227" s="509"/>
      <c r="DX227" s="509"/>
      <c r="DY227" s="509"/>
      <c r="DZ227" s="509"/>
      <c r="EA227" s="509"/>
      <c r="EB227" s="509"/>
      <c r="EC227" s="509"/>
      <c r="ED227" s="509"/>
      <c r="EE227" s="509"/>
      <c r="EF227" s="509"/>
      <c r="EG227" s="509"/>
      <c r="EH227" s="509"/>
      <c r="EI227" s="509"/>
      <c r="EJ227" s="509"/>
      <c r="EK227" s="509"/>
      <c r="EL227" s="509"/>
      <c r="EM227" s="509"/>
      <c r="EN227" s="509"/>
      <c r="EO227" s="509"/>
      <c r="EP227" s="509"/>
      <c r="EQ227" s="509"/>
      <c r="ER227" s="509"/>
      <c r="ES227" s="509"/>
      <c r="ET227" s="509"/>
      <c r="EU227" s="509"/>
      <c r="EV227" s="509"/>
      <c r="EW227" s="509"/>
      <c r="EX227" s="509"/>
      <c r="EY227" s="509"/>
      <c r="EZ227" s="509"/>
      <c r="FA227" s="509"/>
      <c r="FB227" s="509"/>
      <c r="FC227" s="509"/>
      <c r="FD227" s="509"/>
      <c r="FE227" s="509"/>
      <c r="FF227" s="509"/>
      <c r="FG227" s="509"/>
      <c r="FH227" s="509"/>
      <c r="FI227" s="509"/>
      <c r="FJ227" s="509"/>
      <c r="FK227" s="509"/>
      <c r="FL227" s="509"/>
      <c r="FM227" s="509"/>
      <c r="FN227" s="509"/>
      <c r="FO227" s="509"/>
      <c r="FP227" s="509"/>
      <c r="FQ227" s="509"/>
      <c r="FR227" s="509"/>
      <c r="FS227" s="509"/>
      <c r="FT227" s="509"/>
      <c r="FU227" s="509"/>
      <c r="FV227" s="509"/>
      <c r="FW227" s="509"/>
      <c r="FX227" s="509"/>
      <c r="FY227" s="509"/>
      <c r="FZ227" s="509"/>
      <c r="GA227" s="509"/>
      <c r="GB227" s="509"/>
      <c r="GC227" s="509"/>
      <c r="GD227" s="509"/>
      <c r="GE227" s="509"/>
      <c r="GF227" s="509"/>
      <c r="GG227" s="509"/>
      <c r="GH227" s="509"/>
      <c r="GI227" s="509"/>
      <c r="GJ227" s="509"/>
      <c r="GK227" s="509"/>
      <c r="GL227" s="509"/>
      <c r="GM227" s="509"/>
      <c r="GN227" s="509"/>
      <c r="GO227" s="509"/>
      <c r="GP227" s="509"/>
      <c r="GQ227" s="509"/>
      <c r="GR227" s="509"/>
      <c r="GS227" s="509"/>
      <c r="GT227" s="509"/>
      <c r="GU227" s="509"/>
      <c r="GV227" s="509"/>
      <c r="GW227" s="509"/>
      <c r="GX227" s="509"/>
      <c r="GY227" s="509"/>
      <c r="GZ227" s="509"/>
      <c r="HA227" s="509"/>
      <c r="HB227" s="509"/>
      <c r="HC227" s="509"/>
      <c r="HD227" s="509"/>
      <c r="HE227" s="509"/>
      <c r="HF227" s="509"/>
      <c r="HG227" s="509"/>
      <c r="HH227" s="509"/>
      <c r="HI227" s="509"/>
      <c r="HJ227" s="509"/>
      <c r="HK227" s="509"/>
      <c r="HL227" s="509"/>
      <c r="HM227" s="509"/>
      <c r="HN227" s="509"/>
      <c r="HO227" s="509"/>
      <c r="HP227" s="509"/>
      <c r="HQ227" s="509"/>
      <c r="HR227" s="509"/>
      <c r="HS227" s="509"/>
      <c r="HT227" s="509"/>
      <c r="HU227" s="509"/>
      <c r="HV227" s="509"/>
      <c r="HW227" s="509"/>
      <c r="HX227" s="509"/>
      <c r="HY227" s="509"/>
      <c r="HZ227" s="509"/>
    </row>
    <row r="228" spans="1:234" ht="15.9" hidden="1" customHeight="1" x14ac:dyDescent="0.25">
      <c r="A228" s="541" t="s">
        <v>3808</v>
      </c>
      <c r="B228" s="523" t="s">
        <v>3472</v>
      </c>
      <c r="C228" s="524" t="s">
        <v>2141</v>
      </c>
      <c r="D228" s="553" t="s">
        <v>4384</v>
      </c>
      <c r="E228" s="524" t="s">
        <v>3228</v>
      </c>
      <c r="F228" s="544">
        <v>39636</v>
      </c>
      <c r="G228" s="586">
        <v>39591</v>
      </c>
      <c r="H228" s="557">
        <v>39629</v>
      </c>
      <c r="I228" s="604">
        <v>41486</v>
      </c>
      <c r="J228" s="579">
        <v>10</v>
      </c>
      <c r="K228" s="561" t="s">
        <v>3229</v>
      </c>
      <c r="L228" s="553" t="s">
        <v>3229</v>
      </c>
      <c r="M228" s="600">
        <v>-1</v>
      </c>
      <c r="N228" s="601" t="s">
        <v>3229</v>
      </c>
      <c r="O228" s="596">
        <v>0.55000000000000004</v>
      </c>
      <c r="P228" s="596" t="s">
        <v>3229</v>
      </c>
      <c r="Q228" s="596" t="s">
        <v>3229</v>
      </c>
      <c r="R228" s="596" t="s">
        <v>3229</v>
      </c>
      <c r="S228" s="597">
        <v>5</v>
      </c>
      <c r="T228" s="563">
        <v>39995</v>
      </c>
      <c r="U228" s="563">
        <v>40360</v>
      </c>
      <c r="V228" s="563">
        <v>40726</v>
      </c>
      <c r="W228" s="563">
        <v>41093</v>
      </c>
      <c r="X228" s="563">
        <v>41460</v>
      </c>
      <c r="Y228" s="563" t="s">
        <v>3229</v>
      </c>
      <c r="Z228" s="563" t="s">
        <v>3229</v>
      </c>
      <c r="AA228" s="563" t="s">
        <v>3229</v>
      </c>
      <c r="AB228" s="563" t="s">
        <v>3229</v>
      </c>
      <c r="AC228" s="563" t="s">
        <v>3229</v>
      </c>
      <c r="AD228" s="563" t="s">
        <v>3229</v>
      </c>
      <c r="AE228" s="563" t="s">
        <v>3229</v>
      </c>
      <c r="AF228" s="3764" t="s">
        <v>781</v>
      </c>
      <c r="AG228" s="3765"/>
      <c r="AH228" s="673">
        <v>1</v>
      </c>
      <c r="AI228" s="673" t="s">
        <v>3229</v>
      </c>
      <c r="AJ228" s="673" t="s">
        <v>3229</v>
      </c>
      <c r="AK228" s="673" t="s">
        <v>3229</v>
      </c>
      <c r="AL228" s="673" t="s">
        <v>3229</v>
      </c>
      <c r="AM228" s="591" t="s">
        <v>3229</v>
      </c>
      <c r="AN228" s="638">
        <v>0.55000000000000004</v>
      </c>
      <c r="AO228" s="625">
        <v>15.53</v>
      </c>
      <c r="AP228" s="1368">
        <v>1.2521778608921119E-2</v>
      </c>
      <c r="AQ228" s="675">
        <v>-0.1811949544891579</v>
      </c>
      <c r="AR228" s="3773">
        <v>55</v>
      </c>
      <c r="AS228" s="3774">
        <v>9.0314856168920876E-2</v>
      </c>
      <c r="AT228" s="3774">
        <v>-1.2886597938144284E-3</v>
      </c>
      <c r="AU228" s="3774">
        <v>-3.0890441672962066E-2</v>
      </c>
      <c r="AV228" s="632">
        <v>-1</v>
      </c>
      <c r="AW228" s="558">
        <v>-1</v>
      </c>
      <c r="AX228" s="589">
        <v>-1</v>
      </c>
      <c r="AY228" s="648">
        <v>-1</v>
      </c>
      <c r="AZ228" s="676">
        <v>0</v>
      </c>
      <c r="BA228" s="644" t="s">
        <v>3852</v>
      </c>
      <c r="BB228" s="536"/>
      <c r="BC228" s="581"/>
      <c r="BH228" s="3763"/>
      <c r="BI228" s="3763"/>
      <c r="BJ228" s="1639"/>
      <c r="BK228" s="1639"/>
      <c r="BL228" s="1639"/>
      <c r="BM228" s="1639"/>
      <c r="BN228" s="1639"/>
      <c r="BO228" s="1639"/>
      <c r="BP228" s="1639"/>
      <c r="BQ228" s="1639"/>
      <c r="BR228" s="1639"/>
      <c r="BS228" s="509"/>
      <c r="BT228" s="509"/>
      <c r="BU228" s="509"/>
      <c r="BV228" s="509"/>
      <c r="BW228" s="509"/>
      <c r="BX228" s="509"/>
      <c r="BY228" s="509"/>
      <c r="BZ228" s="509"/>
      <c r="CA228" s="509"/>
      <c r="CB228" s="509"/>
      <c r="CC228" s="509"/>
      <c r="CD228" s="509"/>
      <c r="CE228" s="509"/>
      <c r="CF228" s="509"/>
      <c r="CG228" s="509"/>
      <c r="CH228" s="509"/>
      <c r="CI228" s="509"/>
      <c r="CJ228" s="509"/>
      <c r="CK228" s="509"/>
      <c r="CL228" s="509"/>
      <c r="CM228" s="509"/>
      <c r="CN228" s="509"/>
      <c r="CO228" s="509"/>
      <c r="CP228" s="509"/>
      <c r="CQ228" s="509"/>
      <c r="CR228" s="509"/>
      <c r="CS228" s="509"/>
      <c r="CT228" s="509"/>
      <c r="CU228" s="509"/>
      <c r="CV228" s="509"/>
      <c r="CW228" s="509"/>
      <c r="CX228" s="509"/>
      <c r="CY228" s="509"/>
      <c r="CZ228" s="509"/>
      <c r="DA228" s="509"/>
      <c r="DB228" s="509"/>
      <c r="DC228" s="509"/>
      <c r="DD228" s="509"/>
      <c r="DE228" s="509"/>
      <c r="DF228" s="509"/>
      <c r="DG228" s="509"/>
      <c r="DH228" s="509"/>
      <c r="DI228" s="509"/>
      <c r="DJ228" s="509"/>
      <c r="DK228" s="509"/>
      <c r="DL228" s="509"/>
      <c r="DM228" s="509"/>
      <c r="DN228" s="509"/>
      <c r="DO228" s="509"/>
      <c r="DP228" s="509"/>
      <c r="DQ228" s="509"/>
      <c r="DR228" s="509"/>
      <c r="DS228" s="509"/>
      <c r="DT228" s="509"/>
      <c r="DU228" s="509"/>
      <c r="DV228" s="509"/>
      <c r="DW228" s="509"/>
      <c r="DX228" s="509"/>
      <c r="DY228" s="509"/>
      <c r="DZ228" s="509"/>
      <c r="EA228" s="509"/>
      <c r="EB228" s="509"/>
      <c r="EC228" s="509"/>
      <c r="ED228" s="509"/>
      <c r="EE228" s="509"/>
      <c r="EF228" s="509"/>
      <c r="EG228" s="509"/>
      <c r="EH228" s="509"/>
      <c r="EI228" s="509"/>
      <c r="EJ228" s="509"/>
      <c r="EK228" s="509"/>
      <c r="EL228" s="509"/>
      <c r="EM228" s="509"/>
      <c r="EN228" s="509"/>
      <c r="EO228" s="509"/>
      <c r="EP228" s="509"/>
      <c r="EQ228" s="509"/>
      <c r="ER228" s="509"/>
      <c r="ES228" s="509"/>
      <c r="ET228" s="509"/>
      <c r="EU228" s="509"/>
      <c r="EV228" s="509"/>
      <c r="EW228" s="509"/>
      <c r="EX228" s="509"/>
      <c r="EY228" s="509"/>
      <c r="EZ228" s="509"/>
      <c r="FA228" s="509"/>
      <c r="FB228" s="509"/>
      <c r="FC228" s="509"/>
      <c r="FD228" s="509"/>
      <c r="FE228" s="509"/>
      <c r="FF228" s="509"/>
      <c r="FG228" s="509"/>
      <c r="FH228" s="509"/>
      <c r="FI228" s="509"/>
      <c r="FJ228" s="509"/>
      <c r="FK228" s="509"/>
      <c r="FL228" s="509"/>
      <c r="FM228" s="509"/>
      <c r="FN228" s="509"/>
      <c r="FO228" s="509"/>
      <c r="FP228" s="509"/>
      <c r="FQ228" s="509"/>
      <c r="FR228" s="509"/>
      <c r="FS228" s="509"/>
      <c r="FT228" s="509"/>
      <c r="FU228" s="509"/>
      <c r="FV228" s="509"/>
      <c r="FW228" s="509"/>
      <c r="FX228" s="509"/>
      <c r="FY228" s="509"/>
      <c r="FZ228" s="509"/>
      <c r="GA228" s="509"/>
      <c r="GB228" s="509"/>
      <c r="GC228" s="509"/>
      <c r="GD228" s="509"/>
      <c r="GE228" s="509"/>
      <c r="GF228" s="509"/>
      <c r="GG228" s="509"/>
      <c r="GH228" s="509"/>
      <c r="GI228" s="509"/>
      <c r="GJ228" s="509"/>
      <c r="GK228" s="509"/>
      <c r="GL228" s="509"/>
      <c r="GM228" s="509"/>
      <c r="GN228" s="509"/>
      <c r="GO228" s="509"/>
      <c r="GP228" s="509"/>
      <c r="GQ228" s="509"/>
      <c r="GR228" s="509"/>
      <c r="GS228" s="509"/>
      <c r="GT228" s="509"/>
      <c r="GU228" s="509"/>
      <c r="GV228" s="509"/>
      <c r="GW228" s="509"/>
      <c r="GX228" s="509"/>
      <c r="GY228" s="509"/>
      <c r="GZ228" s="509"/>
      <c r="HA228" s="509"/>
      <c r="HB228" s="509"/>
      <c r="HC228" s="509"/>
      <c r="HD228" s="509"/>
      <c r="HE228" s="509"/>
      <c r="HF228" s="509"/>
      <c r="HG228" s="509"/>
      <c r="HH228" s="509"/>
      <c r="HI228" s="509"/>
      <c r="HJ228" s="509"/>
      <c r="HK228" s="509"/>
      <c r="HL228" s="509"/>
      <c r="HM228" s="509"/>
      <c r="HN228" s="509"/>
      <c r="HO228" s="509"/>
      <c r="HP228" s="509"/>
      <c r="HQ228" s="509"/>
      <c r="HR228" s="509"/>
      <c r="HS228" s="509"/>
      <c r="HT228" s="509"/>
      <c r="HU228" s="509"/>
      <c r="HV228" s="509"/>
      <c r="HW228" s="509"/>
      <c r="HX228" s="509"/>
      <c r="HY228" s="509"/>
      <c r="HZ228" s="509"/>
    </row>
    <row r="229" spans="1:234" ht="15.9" hidden="1" customHeight="1" x14ac:dyDescent="0.25">
      <c r="A229" s="541" t="s">
        <v>3098</v>
      </c>
      <c r="B229" s="523" t="s">
        <v>3652</v>
      </c>
      <c r="C229" s="524" t="s">
        <v>3099</v>
      </c>
      <c r="D229" s="553" t="s">
        <v>4384</v>
      </c>
      <c r="E229" s="524" t="s">
        <v>3228</v>
      </c>
      <c r="F229" s="544">
        <v>39647</v>
      </c>
      <c r="G229" s="586">
        <v>39601</v>
      </c>
      <c r="H229" s="557">
        <v>39643</v>
      </c>
      <c r="I229" s="604">
        <v>41759</v>
      </c>
      <c r="J229" s="579">
        <v>10</v>
      </c>
      <c r="K229" s="561" t="s">
        <v>3229</v>
      </c>
      <c r="L229" s="553" t="s">
        <v>3229</v>
      </c>
      <c r="M229" s="600">
        <v>-0.05</v>
      </c>
      <c r="N229" s="601">
        <v>0.75</v>
      </c>
      <c r="O229" s="596" t="s">
        <v>3229</v>
      </c>
      <c r="P229" s="596" t="s">
        <v>3229</v>
      </c>
      <c r="Q229" s="596" t="s">
        <v>3229</v>
      </c>
      <c r="R229" s="596" t="s">
        <v>3229</v>
      </c>
      <c r="S229" s="597"/>
      <c r="T229" s="563" t="s">
        <v>3229</v>
      </c>
      <c r="U229" s="563" t="s">
        <v>3229</v>
      </c>
      <c r="V229" s="563" t="s">
        <v>3229</v>
      </c>
      <c r="W229" s="563" t="s">
        <v>3229</v>
      </c>
      <c r="X229" s="563" t="s">
        <v>3229</v>
      </c>
      <c r="Y229" s="563" t="s">
        <v>3229</v>
      </c>
      <c r="Z229" s="563" t="s">
        <v>3229</v>
      </c>
      <c r="AA229" s="563" t="s">
        <v>3229</v>
      </c>
      <c r="AB229" s="563" t="s">
        <v>3229</v>
      </c>
      <c r="AC229" s="563" t="s">
        <v>3229</v>
      </c>
      <c r="AD229" s="563" t="s">
        <v>3229</v>
      </c>
      <c r="AE229" s="563" t="s">
        <v>3229</v>
      </c>
      <c r="AF229" s="3764" t="s">
        <v>781</v>
      </c>
      <c r="AG229" s="3765"/>
      <c r="AH229" s="673" t="s">
        <v>3229</v>
      </c>
      <c r="AI229" s="673" t="s">
        <v>3229</v>
      </c>
      <c r="AJ229" s="673" t="s">
        <v>3229</v>
      </c>
      <c r="AK229" s="673" t="s">
        <v>3229</v>
      </c>
      <c r="AL229" s="673" t="s">
        <v>3229</v>
      </c>
      <c r="AM229" s="591">
        <v>1</v>
      </c>
      <c r="AN229" s="638">
        <v>3.021195833333333E-2</v>
      </c>
      <c r="AO229" s="625">
        <v>10.32</v>
      </c>
      <c r="AP229" s="1368">
        <v>0.10694927777777778</v>
      </c>
      <c r="AQ229" s="675">
        <v>0.10113938022066486</v>
      </c>
      <c r="AR229" s="3773" t="s">
        <v>3660</v>
      </c>
      <c r="AS229" s="3774"/>
      <c r="AT229" s="3774"/>
      <c r="AU229" s="3774"/>
      <c r="AV229" s="632">
        <v>-0.05</v>
      </c>
      <c r="AW229" s="558">
        <v>-8.8254333711837996E-3</v>
      </c>
      <c r="AX229" s="589">
        <v>-7.9457364341085301E-2</v>
      </c>
      <c r="AY229" s="648">
        <v>-0.88450230537219132</v>
      </c>
      <c r="AZ229" s="676">
        <v>9.5</v>
      </c>
      <c r="BA229" s="644" t="s">
        <v>3190</v>
      </c>
      <c r="BB229" s="536"/>
      <c r="BC229" s="581"/>
      <c r="BH229" s="3763"/>
      <c r="BI229" s="3763"/>
      <c r="BJ229" s="1639"/>
      <c r="BK229" s="1639"/>
      <c r="BL229" s="1639"/>
      <c r="BM229" s="1639"/>
      <c r="BN229" s="1639"/>
      <c r="BO229" s="1639"/>
      <c r="BP229" s="1639"/>
      <c r="BQ229" s="1639"/>
      <c r="BR229" s="1639"/>
      <c r="BS229" s="509"/>
      <c r="BT229" s="509"/>
      <c r="BU229" s="509"/>
      <c r="BV229" s="509"/>
      <c r="BW229" s="509"/>
      <c r="BX229" s="509"/>
      <c r="BY229" s="509"/>
      <c r="BZ229" s="509"/>
      <c r="CA229" s="509"/>
      <c r="CB229" s="509"/>
      <c r="CC229" s="509"/>
      <c r="CD229" s="509"/>
      <c r="CE229" s="509"/>
      <c r="CF229" s="509"/>
      <c r="CG229" s="509"/>
      <c r="CH229" s="509"/>
      <c r="CI229" s="509"/>
      <c r="CJ229" s="509"/>
      <c r="CK229" s="509"/>
      <c r="CL229" s="509"/>
      <c r="CM229" s="509"/>
      <c r="CN229" s="509"/>
      <c r="CO229" s="509"/>
      <c r="CP229" s="509"/>
      <c r="CQ229" s="509"/>
      <c r="CR229" s="509"/>
      <c r="CS229" s="509"/>
      <c r="CT229" s="509"/>
      <c r="CU229" s="509"/>
      <c r="CV229" s="509"/>
      <c r="CW229" s="509"/>
      <c r="CX229" s="509"/>
      <c r="CY229" s="509"/>
      <c r="CZ229" s="509"/>
      <c r="DA229" s="509"/>
      <c r="DB229" s="509"/>
      <c r="DC229" s="509"/>
      <c r="DD229" s="509"/>
      <c r="DE229" s="509"/>
      <c r="DF229" s="509"/>
      <c r="DG229" s="509"/>
      <c r="DH229" s="509"/>
      <c r="DI229" s="509"/>
      <c r="DJ229" s="509"/>
      <c r="DK229" s="509"/>
      <c r="DL229" s="509"/>
      <c r="DM229" s="509"/>
      <c r="DN229" s="509"/>
      <c r="DO229" s="509"/>
      <c r="DP229" s="509"/>
      <c r="DQ229" s="509"/>
      <c r="DR229" s="509"/>
      <c r="DS229" s="509"/>
      <c r="DT229" s="509"/>
      <c r="DU229" s="509"/>
      <c r="DV229" s="509"/>
      <c r="DW229" s="509"/>
      <c r="DX229" s="509"/>
      <c r="DY229" s="509"/>
      <c r="DZ229" s="509"/>
      <c r="EA229" s="509"/>
      <c r="EB229" s="509"/>
      <c r="EC229" s="509"/>
      <c r="ED229" s="509"/>
      <c r="EE229" s="509"/>
      <c r="EF229" s="509"/>
      <c r="EG229" s="509"/>
      <c r="EH229" s="509"/>
      <c r="EI229" s="509"/>
      <c r="EJ229" s="509"/>
      <c r="EK229" s="509"/>
      <c r="EL229" s="509"/>
      <c r="EM229" s="509"/>
      <c r="EN229" s="509"/>
      <c r="EO229" s="509"/>
      <c r="EP229" s="509"/>
      <c r="EQ229" s="509"/>
      <c r="ER229" s="509"/>
      <c r="ES229" s="509"/>
      <c r="ET229" s="509"/>
      <c r="EU229" s="509"/>
      <c r="EV229" s="509"/>
      <c r="EW229" s="509"/>
      <c r="EX229" s="509"/>
      <c r="EY229" s="509"/>
      <c r="EZ229" s="509"/>
      <c r="FA229" s="509"/>
      <c r="FB229" s="509"/>
      <c r="FC229" s="509"/>
      <c r="FD229" s="509"/>
      <c r="FE229" s="509"/>
      <c r="FF229" s="509"/>
      <c r="FG229" s="509"/>
      <c r="FH229" s="509"/>
      <c r="FI229" s="509"/>
      <c r="FJ229" s="509"/>
      <c r="FK229" s="509"/>
      <c r="FL229" s="509"/>
      <c r="FM229" s="509"/>
      <c r="FN229" s="509"/>
      <c r="FO229" s="509"/>
      <c r="FP229" s="509"/>
      <c r="FQ229" s="509"/>
      <c r="FR229" s="509"/>
      <c r="FS229" s="509"/>
      <c r="FT229" s="509"/>
      <c r="FU229" s="509"/>
      <c r="FV229" s="509"/>
      <c r="FW229" s="509"/>
      <c r="FX229" s="509"/>
      <c r="FY229" s="509"/>
      <c r="FZ229" s="509"/>
      <c r="GA229" s="509"/>
      <c r="GB229" s="509"/>
      <c r="GC229" s="509"/>
      <c r="GD229" s="509"/>
      <c r="GE229" s="509"/>
      <c r="GF229" s="509"/>
      <c r="GG229" s="509"/>
      <c r="GH229" s="509"/>
      <c r="GI229" s="509"/>
      <c r="GJ229" s="509"/>
      <c r="GK229" s="509"/>
      <c r="GL229" s="509"/>
      <c r="GM229" s="509"/>
      <c r="GN229" s="509"/>
      <c r="GO229" s="509"/>
      <c r="GP229" s="509"/>
      <c r="GQ229" s="509"/>
      <c r="GR229" s="509"/>
      <c r="GS229" s="509"/>
      <c r="GT229" s="509"/>
      <c r="GU229" s="509"/>
      <c r="GV229" s="509"/>
      <c r="GW229" s="509"/>
      <c r="GX229" s="509"/>
      <c r="GY229" s="509"/>
      <c r="GZ229" s="509"/>
      <c r="HA229" s="509"/>
      <c r="HB229" s="509"/>
      <c r="HC229" s="509"/>
      <c r="HD229" s="509"/>
      <c r="HE229" s="509"/>
      <c r="HF229" s="509"/>
      <c r="HG229" s="509"/>
      <c r="HH229" s="509"/>
      <c r="HI229" s="509"/>
      <c r="HJ229" s="509"/>
      <c r="HK229" s="509"/>
      <c r="HL229" s="509"/>
      <c r="HM229" s="509"/>
      <c r="HN229" s="509"/>
      <c r="HO229" s="509"/>
      <c r="HP229" s="509"/>
      <c r="HQ229" s="509"/>
      <c r="HR229" s="509"/>
      <c r="HS229" s="509"/>
      <c r="HT229" s="509"/>
      <c r="HU229" s="509"/>
      <c r="HV229" s="509"/>
      <c r="HW229" s="509"/>
      <c r="HX229" s="509"/>
      <c r="HY229" s="509"/>
      <c r="HZ229" s="509"/>
    </row>
    <row r="230" spans="1:234" ht="15.9" hidden="1" customHeight="1" x14ac:dyDescent="0.25">
      <c r="A230" s="541" t="s">
        <v>1572</v>
      </c>
      <c r="B230" s="523" t="s">
        <v>1571</v>
      </c>
      <c r="C230" s="524" t="s">
        <v>1573</v>
      </c>
      <c r="D230" s="553" t="s">
        <v>2158</v>
      </c>
      <c r="E230" s="526" t="s">
        <v>3228</v>
      </c>
      <c r="F230" s="543">
        <v>39667</v>
      </c>
      <c r="G230" s="586">
        <v>39630</v>
      </c>
      <c r="H230" s="544">
        <v>39660</v>
      </c>
      <c r="I230" s="602">
        <v>40877</v>
      </c>
      <c r="J230" s="595">
        <v>10</v>
      </c>
      <c r="K230" s="561" t="s">
        <v>3229</v>
      </c>
      <c r="L230" s="552" t="s">
        <v>3229</v>
      </c>
      <c r="M230" s="560">
        <v>0</v>
      </c>
      <c r="N230" s="605">
        <v>0.8</v>
      </c>
      <c r="O230" s="596">
        <v>0.45</v>
      </c>
      <c r="P230" s="596" t="s">
        <v>3229</v>
      </c>
      <c r="Q230" s="596" t="s">
        <v>3229</v>
      </c>
      <c r="R230" s="596" t="s">
        <v>3229</v>
      </c>
      <c r="S230" s="597"/>
      <c r="T230" s="563" t="s">
        <v>3229</v>
      </c>
      <c r="U230" s="563" t="s">
        <v>3229</v>
      </c>
      <c r="V230" s="563" t="s">
        <v>3229</v>
      </c>
      <c r="W230" s="563" t="s">
        <v>3229</v>
      </c>
      <c r="X230" s="563" t="s">
        <v>3229</v>
      </c>
      <c r="Y230" s="563" t="s">
        <v>3229</v>
      </c>
      <c r="Z230" s="563" t="s">
        <v>3229</v>
      </c>
      <c r="AA230" s="563" t="s">
        <v>3229</v>
      </c>
      <c r="AB230" s="563" t="s">
        <v>3229</v>
      </c>
      <c r="AC230" s="563" t="s">
        <v>3229</v>
      </c>
      <c r="AD230" s="563" t="s">
        <v>3229</v>
      </c>
      <c r="AE230" s="563" t="s">
        <v>3229</v>
      </c>
      <c r="AF230" s="3764" t="s">
        <v>781</v>
      </c>
      <c r="AG230" s="3765"/>
      <c r="AH230" s="673" t="s">
        <v>3229</v>
      </c>
      <c r="AI230" s="673" t="s">
        <v>3229</v>
      </c>
      <c r="AJ230" s="673" t="s">
        <v>3229</v>
      </c>
      <c r="AK230" s="673" t="s">
        <v>3229</v>
      </c>
      <c r="AL230" s="673" t="s">
        <v>3229</v>
      </c>
      <c r="AM230" s="591">
        <v>1</v>
      </c>
      <c r="AN230" s="638">
        <v>0</v>
      </c>
      <c r="AO230" s="625">
        <v>9.8000000000000007</v>
      </c>
      <c r="AP230" s="1368">
        <v>-0.248727</v>
      </c>
      <c r="AQ230" s="605">
        <v>-0.26872499999999999</v>
      </c>
      <c r="AR230" s="632">
        <f>O230</f>
        <v>0.45</v>
      </c>
      <c r="AS230" s="558">
        <f>POWER(1+AR230,1/((I230-F230)/365))-1</f>
        <v>0.11860594891309106</v>
      </c>
      <c r="AT230" s="648"/>
      <c r="AU230" s="558"/>
      <c r="AV230" s="632">
        <v>0</v>
      </c>
      <c r="AW230" s="558">
        <v>0</v>
      </c>
      <c r="AX230" s="589"/>
      <c r="AY230" s="648"/>
      <c r="AZ230" s="676">
        <f t="shared" si="36"/>
        <v>10</v>
      </c>
      <c r="BA230" s="644" t="s">
        <v>3190</v>
      </c>
      <c r="BB230" s="570"/>
      <c r="BC230" s="581"/>
      <c r="BH230" s="3763"/>
      <c r="BI230" s="3763"/>
      <c r="BJ230" s="1639"/>
      <c r="BK230" s="1639"/>
      <c r="BL230" s="1639"/>
      <c r="BM230" s="1639"/>
      <c r="BN230" s="1639"/>
      <c r="BO230" s="1639"/>
      <c r="BP230" s="1639"/>
      <c r="BQ230" s="1639"/>
      <c r="BR230" s="1639"/>
      <c r="BS230" s="509"/>
      <c r="BT230" s="509"/>
      <c r="BU230" s="509"/>
      <c r="BV230" s="509"/>
      <c r="BW230" s="509"/>
      <c r="BX230" s="509"/>
      <c r="BY230" s="509"/>
      <c r="BZ230" s="509"/>
      <c r="CA230" s="509"/>
      <c r="CB230" s="509"/>
      <c r="CC230" s="509"/>
      <c r="CD230" s="509"/>
      <c r="CE230" s="509"/>
      <c r="CF230" s="509"/>
      <c r="CG230" s="509"/>
      <c r="CH230" s="509"/>
      <c r="CI230" s="509"/>
      <c r="CJ230" s="509"/>
      <c r="CK230" s="509"/>
      <c r="CL230" s="509"/>
      <c r="CM230" s="509"/>
      <c r="CN230" s="509"/>
      <c r="CO230" s="509"/>
      <c r="CP230" s="509"/>
      <c r="CQ230" s="509"/>
      <c r="CR230" s="509"/>
      <c r="CS230" s="509"/>
      <c r="CT230" s="509"/>
      <c r="CU230" s="509"/>
      <c r="CV230" s="509"/>
      <c r="CW230" s="509"/>
      <c r="CX230" s="509"/>
      <c r="CY230" s="509"/>
      <c r="CZ230" s="509"/>
      <c r="DA230" s="509"/>
      <c r="DB230" s="509"/>
      <c r="DC230" s="509"/>
      <c r="DD230" s="509"/>
      <c r="DE230" s="509"/>
      <c r="DF230" s="509"/>
      <c r="DG230" s="509"/>
      <c r="DH230" s="509"/>
      <c r="DI230" s="509"/>
      <c r="DJ230" s="509"/>
      <c r="DK230" s="509"/>
      <c r="DL230" s="509"/>
      <c r="DM230" s="509"/>
      <c r="DN230" s="509"/>
      <c r="DO230" s="509"/>
      <c r="DP230" s="509"/>
      <c r="DQ230" s="509"/>
      <c r="DR230" s="509"/>
      <c r="DS230" s="509"/>
      <c r="DT230" s="509"/>
      <c r="DU230" s="509"/>
      <c r="DV230" s="509"/>
      <c r="DW230" s="509"/>
      <c r="DX230" s="509"/>
      <c r="DY230" s="509"/>
      <c r="DZ230" s="509"/>
      <c r="EA230" s="509"/>
      <c r="EB230" s="509"/>
      <c r="EC230" s="509"/>
      <c r="ED230" s="509"/>
      <c r="EE230" s="509"/>
      <c r="EF230" s="509"/>
      <c r="EG230" s="509"/>
      <c r="EH230" s="509"/>
      <c r="EI230" s="509"/>
      <c r="EJ230" s="509"/>
      <c r="EK230" s="509"/>
      <c r="EL230" s="509"/>
      <c r="EM230" s="509"/>
      <c r="EN230" s="509"/>
      <c r="EO230" s="509"/>
      <c r="EP230" s="509"/>
      <c r="EQ230" s="509"/>
      <c r="ER230" s="509"/>
      <c r="ES230" s="509"/>
      <c r="ET230" s="509"/>
      <c r="EU230" s="509"/>
      <c r="EV230" s="509"/>
      <c r="EW230" s="509"/>
      <c r="EX230" s="509"/>
      <c r="EY230" s="509"/>
      <c r="EZ230" s="509"/>
      <c r="FA230" s="509"/>
      <c r="FB230" s="509"/>
      <c r="FC230" s="509"/>
      <c r="FD230" s="509"/>
      <c r="FE230" s="509"/>
      <c r="FF230" s="509"/>
      <c r="FG230" s="509"/>
      <c r="FH230" s="509"/>
      <c r="FI230" s="509"/>
      <c r="FJ230" s="509"/>
      <c r="FK230" s="509"/>
      <c r="FL230" s="509"/>
      <c r="FM230" s="509"/>
      <c r="FN230" s="509"/>
      <c r="FO230" s="509"/>
      <c r="FP230" s="509"/>
      <c r="FQ230" s="509"/>
      <c r="FR230" s="509"/>
      <c r="FS230" s="509"/>
      <c r="FT230" s="509"/>
      <c r="FU230" s="509"/>
      <c r="FV230" s="509"/>
      <c r="FW230" s="509"/>
      <c r="FX230" s="509"/>
      <c r="FY230" s="509"/>
      <c r="FZ230" s="509"/>
      <c r="GA230" s="509"/>
      <c r="GB230" s="509"/>
      <c r="GC230" s="509"/>
      <c r="GD230" s="509"/>
      <c r="GE230" s="509"/>
      <c r="GF230" s="509"/>
      <c r="GG230" s="509"/>
      <c r="GH230" s="509"/>
      <c r="GI230" s="509"/>
      <c r="GJ230" s="509"/>
      <c r="GK230" s="509"/>
      <c r="GL230" s="509"/>
      <c r="GM230" s="509"/>
      <c r="GN230" s="509"/>
      <c r="GO230" s="509"/>
      <c r="GP230" s="509"/>
      <c r="GQ230" s="509"/>
      <c r="GR230" s="509"/>
      <c r="GS230" s="509"/>
      <c r="GT230" s="509"/>
      <c r="GU230" s="509"/>
      <c r="GV230" s="509"/>
      <c r="GW230" s="509"/>
      <c r="GX230" s="509"/>
      <c r="GY230" s="509"/>
      <c r="GZ230" s="509"/>
      <c r="HA230" s="509"/>
      <c r="HB230" s="509"/>
      <c r="HC230" s="509"/>
      <c r="HD230" s="509"/>
      <c r="HE230" s="509"/>
      <c r="HF230" s="509"/>
      <c r="HG230" s="509"/>
      <c r="HH230" s="509"/>
      <c r="HI230" s="509"/>
      <c r="HJ230" s="509"/>
      <c r="HK230" s="509"/>
      <c r="HL230" s="509"/>
      <c r="HM230" s="509"/>
      <c r="HN230" s="509"/>
      <c r="HO230" s="509"/>
      <c r="HP230" s="509"/>
      <c r="HQ230" s="509"/>
      <c r="HR230" s="509"/>
      <c r="HS230" s="509"/>
      <c r="HT230" s="509"/>
      <c r="HU230" s="509"/>
      <c r="HV230" s="509"/>
      <c r="HW230" s="509"/>
      <c r="HX230" s="509"/>
      <c r="HY230" s="509"/>
      <c r="HZ230" s="509"/>
    </row>
    <row r="231" spans="1:234" ht="15.9" hidden="1" customHeight="1" x14ac:dyDescent="0.25">
      <c r="A231" s="541" t="s">
        <v>2609</v>
      </c>
      <c r="B231" s="523" t="s">
        <v>1574</v>
      </c>
      <c r="C231" s="524" t="s">
        <v>2089</v>
      </c>
      <c r="D231" s="553" t="s">
        <v>2159</v>
      </c>
      <c r="E231" s="526" t="s">
        <v>3228</v>
      </c>
      <c r="F231" s="543">
        <v>39696</v>
      </c>
      <c r="G231" s="586">
        <v>39630</v>
      </c>
      <c r="H231" s="544">
        <v>39689</v>
      </c>
      <c r="I231" s="602">
        <v>41180</v>
      </c>
      <c r="J231" s="595">
        <v>10</v>
      </c>
      <c r="K231" s="561" t="s">
        <v>3229</v>
      </c>
      <c r="L231" s="552" t="s">
        <v>3229</v>
      </c>
      <c r="M231" s="560">
        <v>0.04</v>
      </c>
      <c r="N231" s="606">
        <v>1</v>
      </c>
      <c r="O231" s="575" t="s">
        <v>3229</v>
      </c>
      <c r="P231" s="575" t="s">
        <v>3229</v>
      </c>
      <c r="Q231" s="575" t="s">
        <v>3229</v>
      </c>
      <c r="R231" s="575" t="s">
        <v>3229</v>
      </c>
      <c r="S231" s="597"/>
      <c r="T231" s="563" t="s">
        <v>3229</v>
      </c>
      <c r="U231" s="563" t="s">
        <v>3229</v>
      </c>
      <c r="V231" s="563" t="s">
        <v>3229</v>
      </c>
      <c r="W231" s="563" t="s">
        <v>3229</v>
      </c>
      <c r="X231" s="563" t="s">
        <v>3229</v>
      </c>
      <c r="Y231" s="563" t="s">
        <v>3229</v>
      </c>
      <c r="Z231" s="563" t="s">
        <v>3229</v>
      </c>
      <c r="AA231" s="563" t="s">
        <v>3229</v>
      </c>
      <c r="AB231" s="563" t="s">
        <v>3229</v>
      </c>
      <c r="AC231" s="563" t="s">
        <v>3229</v>
      </c>
      <c r="AD231" s="563" t="s">
        <v>3229</v>
      </c>
      <c r="AE231" s="563" t="s">
        <v>3229</v>
      </c>
      <c r="AF231" s="3764" t="s">
        <v>781</v>
      </c>
      <c r="AG231" s="3765"/>
      <c r="AH231" s="673" t="s">
        <v>3229</v>
      </c>
      <c r="AI231" s="673" t="s">
        <v>3229</v>
      </c>
      <c r="AJ231" s="673" t="s">
        <v>3229</v>
      </c>
      <c r="AK231" s="673" t="s">
        <v>3229</v>
      </c>
      <c r="AL231" s="673" t="s">
        <v>3229</v>
      </c>
      <c r="AM231" s="591">
        <v>1</v>
      </c>
      <c r="AN231" s="638">
        <v>0.04</v>
      </c>
      <c r="AO231" s="625">
        <v>10.43</v>
      </c>
      <c r="AP231" s="1368">
        <v>-0.23364143750000002</v>
      </c>
      <c r="AQ231" s="605">
        <v>-0.27096154732603983</v>
      </c>
      <c r="AR231" s="3773" t="s">
        <v>3660</v>
      </c>
      <c r="AS231" s="3774"/>
      <c r="AT231" s="3774"/>
      <c r="AU231" s="3774"/>
      <c r="AV231" s="632">
        <v>0.04</v>
      </c>
      <c r="AW231" s="558">
        <v>0</v>
      </c>
      <c r="AX231" s="589">
        <v>-4.7846889952152249E-3</v>
      </c>
      <c r="AY231" s="648">
        <v>-3.9894106423621234E-2</v>
      </c>
      <c r="AZ231" s="676">
        <v>10.4</v>
      </c>
      <c r="BA231" s="644" t="s">
        <v>574</v>
      </c>
      <c r="BB231" s="570"/>
      <c r="BC231" s="581"/>
      <c r="BH231" s="3763"/>
      <c r="BI231" s="3763"/>
      <c r="BJ231" s="1639"/>
      <c r="BK231" s="1639"/>
      <c r="BL231" s="1639"/>
      <c r="BM231" s="1639"/>
      <c r="BN231" s="1639"/>
      <c r="BO231" s="1639"/>
      <c r="BP231" s="1639"/>
      <c r="BQ231" s="1639"/>
      <c r="BR231" s="1639"/>
      <c r="BS231" s="509"/>
      <c r="BT231" s="509"/>
      <c r="BU231" s="509"/>
      <c r="BV231" s="509"/>
      <c r="BW231" s="509"/>
      <c r="BX231" s="509"/>
      <c r="BY231" s="509"/>
      <c r="BZ231" s="509"/>
      <c r="CA231" s="509"/>
      <c r="CB231" s="509"/>
      <c r="CC231" s="509"/>
      <c r="CD231" s="509"/>
      <c r="CE231" s="509"/>
      <c r="CF231" s="509"/>
      <c r="CG231" s="509"/>
      <c r="CH231" s="509"/>
      <c r="CI231" s="509"/>
      <c r="CJ231" s="509"/>
      <c r="CK231" s="509"/>
      <c r="CL231" s="509"/>
      <c r="CM231" s="509"/>
      <c r="CN231" s="509"/>
      <c r="CO231" s="509"/>
      <c r="CP231" s="509"/>
      <c r="CQ231" s="509"/>
      <c r="CR231" s="509"/>
      <c r="CS231" s="509"/>
      <c r="CT231" s="509"/>
      <c r="CU231" s="509"/>
      <c r="CV231" s="509"/>
      <c r="CW231" s="509"/>
      <c r="CX231" s="509"/>
      <c r="CY231" s="509"/>
      <c r="CZ231" s="509"/>
      <c r="DA231" s="509"/>
      <c r="DB231" s="509"/>
      <c r="DC231" s="509"/>
      <c r="DD231" s="509"/>
      <c r="DE231" s="509"/>
      <c r="DF231" s="509"/>
      <c r="DG231" s="509"/>
      <c r="DH231" s="509"/>
      <c r="DI231" s="509"/>
      <c r="DJ231" s="509"/>
      <c r="DK231" s="509"/>
      <c r="DL231" s="509"/>
      <c r="DM231" s="509"/>
      <c r="DN231" s="509"/>
      <c r="DO231" s="509"/>
      <c r="DP231" s="509"/>
      <c r="DQ231" s="509"/>
      <c r="DR231" s="509"/>
      <c r="DS231" s="509"/>
      <c r="DT231" s="509"/>
      <c r="DU231" s="509"/>
      <c r="DV231" s="509"/>
      <c r="DW231" s="509"/>
      <c r="DX231" s="509"/>
      <c r="DY231" s="509"/>
      <c r="DZ231" s="509"/>
      <c r="EA231" s="509"/>
      <c r="EB231" s="509"/>
      <c r="EC231" s="509"/>
      <c r="ED231" s="509"/>
      <c r="EE231" s="509"/>
      <c r="EF231" s="509"/>
      <c r="EG231" s="509"/>
      <c r="EH231" s="509"/>
      <c r="EI231" s="509"/>
      <c r="EJ231" s="509"/>
      <c r="EK231" s="509"/>
      <c r="EL231" s="509"/>
      <c r="EM231" s="509"/>
      <c r="EN231" s="509"/>
      <c r="EO231" s="509"/>
      <c r="EP231" s="509"/>
      <c r="EQ231" s="509"/>
      <c r="ER231" s="509"/>
      <c r="ES231" s="509"/>
      <c r="ET231" s="509"/>
      <c r="EU231" s="509"/>
      <c r="EV231" s="509"/>
      <c r="EW231" s="509"/>
      <c r="EX231" s="509"/>
      <c r="EY231" s="509"/>
      <c r="EZ231" s="509"/>
      <c r="FA231" s="509"/>
      <c r="FB231" s="509"/>
      <c r="FC231" s="509"/>
      <c r="FD231" s="509"/>
      <c r="FE231" s="509"/>
      <c r="FF231" s="509"/>
      <c r="FG231" s="509"/>
      <c r="FH231" s="509"/>
      <c r="FI231" s="509"/>
      <c r="FJ231" s="509"/>
      <c r="FK231" s="509"/>
      <c r="FL231" s="509"/>
      <c r="FM231" s="509"/>
      <c r="FN231" s="509"/>
      <c r="FO231" s="509"/>
      <c r="FP231" s="509"/>
      <c r="FQ231" s="509"/>
      <c r="FR231" s="509"/>
      <c r="FS231" s="509"/>
      <c r="FT231" s="509"/>
      <c r="FU231" s="509"/>
      <c r="FV231" s="509"/>
      <c r="FW231" s="509"/>
      <c r="FX231" s="509"/>
      <c r="FY231" s="509"/>
      <c r="FZ231" s="509"/>
      <c r="GA231" s="509"/>
      <c r="GB231" s="509"/>
      <c r="GC231" s="509"/>
      <c r="GD231" s="509"/>
      <c r="GE231" s="509"/>
      <c r="GF231" s="509"/>
      <c r="GG231" s="509"/>
      <c r="GH231" s="509"/>
      <c r="GI231" s="509"/>
      <c r="GJ231" s="509"/>
      <c r="GK231" s="509"/>
      <c r="GL231" s="509"/>
      <c r="GM231" s="509"/>
      <c r="GN231" s="509"/>
      <c r="GO231" s="509"/>
      <c r="GP231" s="509"/>
      <c r="GQ231" s="509"/>
      <c r="GR231" s="509"/>
      <c r="GS231" s="509"/>
      <c r="GT231" s="509"/>
      <c r="GU231" s="509"/>
      <c r="GV231" s="509"/>
      <c r="GW231" s="509"/>
      <c r="GX231" s="509"/>
      <c r="GY231" s="509"/>
      <c r="GZ231" s="509"/>
      <c r="HA231" s="509"/>
      <c r="HB231" s="509"/>
      <c r="HC231" s="509"/>
      <c r="HD231" s="509"/>
      <c r="HE231" s="509"/>
      <c r="HF231" s="509"/>
      <c r="HG231" s="509"/>
      <c r="HH231" s="509"/>
      <c r="HI231" s="509"/>
      <c r="HJ231" s="509"/>
      <c r="HK231" s="509"/>
      <c r="HL231" s="509"/>
      <c r="HM231" s="509"/>
      <c r="HN231" s="509"/>
      <c r="HO231" s="509"/>
      <c r="HP231" s="509"/>
      <c r="HQ231" s="509"/>
      <c r="HR231" s="509"/>
      <c r="HS231" s="509"/>
      <c r="HT231" s="509"/>
      <c r="HU231" s="509"/>
      <c r="HV231" s="509"/>
      <c r="HW231" s="509"/>
      <c r="HX231" s="509"/>
      <c r="HY231" s="509"/>
      <c r="HZ231" s="509"/>
    </row>
    <row r="232" spans="1:234" s="206" customFormat="1" ht="15.9" hidden="1" customHeight="1" x14ac:dyDescent="0.25">
      <c r="A232" s="522" t="s">
        <v>2091</v>
      </c>
      <c r="B232" s="523" t="s">
        <v>2090</v>
      </c>
      <c r="C232" s="526" t="s">
        <v>2092</v>
      </c>
      <c r="D232" s="570" t="s">
        <v>3447</v>
      </c>
      <c r="E232" s="569" t="s">
        <v>3228</v>
      </c>
      <c r="F232" s="543">
        <v>39672</v>
      </c>
      <c r="G232" s="544">
        <v>39630</v>
      </c>
      <c r="H232" s="562">
        <v>39665</v>
      </c>
      <c r="I232" s="546">
        <v>41528</v>
      </c>
      <c r="J232" s="547">
        <v>10</v>
      </c>
      <c r="K232" s="558" t="s">
        <v>3229</v>
      </c>
      <c r="L232" s="559" t="s">
        <v>3229</v>
      </c>
      <c r="M232" s="550">
        <v>0</v>
      </c>
      <c r="N232" s="560">
        <v>0.8</v>
      </c>
      <c r="O232" s="552">
        <v>0.5</v>
      </c>
      <c r="P232" s="552" t="s">
        <v>3229</v>
      </c>
      <c r="Q232" s="552" t="s">
        <v>3229</v>
      </c>
      <c r="R232" s="552" t="s">
        <v>3229</v>
      </c>
      <c r="S232" s="567"/>
      <c r="T232" s="555" t="s">
        <v>3229</v>
      </c>
      <c r="U232" s="555" t="s">
        <v>3229</v>
      </c>
      <c r="V232" s="555" t="s">
        <v>3229</v>
      </c>
      <c r="W232" s="555" t="s">
        <v>3229</v>
      </c>
      <c r="X232" s="555" t="s">
        <v>3229</v>
      </c>
      <c r="Y232" s="555" t="s">
        <v>3229</v>
      </c>
      <c r="Z232" s="555" t="s">
        <v>3229</v>
      </c>
      <c r="AA232" s="555" t="s">
        <v>3229</v>
      </c>
      <c r="AB232" s="555" t="s">
        <v>3229</v>
      </c>
      <c r="AC232" s="555" t="s">
        <v>3229</v>
      </c>
      <c r="AD232" s="555" t="s">
        <v>3229</v>
      </c>
      <c r="AE232" s="556" t="s">
        <v>3229</v>
      </c>
      <c r="AF232" s="3764" t="s">
        <v>781</v>
      </c>
      <c r="AG232" s="3765"/>
      <c r="AH232" s="622" t="s">
        <v>3229</v>
      </c>
      <c r="AI232" s="622" t="s">
        <v>3229</v>
      </c>
      <c r="AJ232" s="622" t="s">
        <v>3229</v>
      </c>
      <c r="AK232" s="656" t="s">
        <v>3229</v>
      </c>
      <c r="AL232" s="655" t="s">
        <v>3229</v>
      </c>
      <c r="AM232" s="590">
        <v>1</v>
      </c>
      <c r="AN232" s="576">
        <v>3.2836032134181174E-2</v>
      </c>
      <c r="AO232" s="652">
        <v>11.17</v>
      </c>
      <c r="AP232" s="1368">
        <v>0.1147305777777778</v>
      </c>
      <c r="AQ232" s="658">
        <v>4.104504016772647E-2</v>
      </c>
      <c r="AR232" s="558">
        <f t="shared" ref="AR232:AR237" si="38">O232</f>
        <v>0.5</v>
      </c>
      <c r="AS232" s="558">
        <f>POWER(1+AR232,1/((I232-F232)/365))-1</f>
        <v>8.3003888430071227E-2</v>
      </c>
      <c r="AT232" s="589">
        <f>J232*(1+AR232)/AO232-1</f>
        <v>0.34288272157564914</v>
      </c>
      <c r="AU232" s="559" t="e">
        <f>POWER(1+AT232,1/AG232)-1</f>
        <v>#DIV/0!</v>
      </c>
      <c r="AV232" s="558">
        <v>0</v>
      </c>
      <c r="AW232" s="558">
        <v>0</v>
      </c>
      <c r="AX232" s="558">
        <f>J232*(1+AV232)/AO232-1</f>
        <v>-0.10474485228290065</v>
      </c>
      <c r="AY232" s="559" t="e">
        <f>POWER(1+AX232,1/AG232)-1</f>
        <v>#DIV/0!</v>
      </c>
      <c r="AZ232" s="642">
        <f>J232*(1+AV232)</f>
        <v>10</v>
      </c>
      <c r="BA232" s="644" t="s">
        <v>119</v>
      </c>
      <c r="BB232" s="570"/>
      <c r="BC232" s="637"/>
      <c r="BD232" s="3708"/>
      <c r="BE232" s="3743"/>
      <c r="BF232" s="3743"/>
      <c r="BG232" s="3708"/>
      <c r="BH232" s="3762"/>
      <c r="BI232" s="3762"/>
      <c r="BJ232" s="39"/>
      <c r="BK232" s="39"/>
      <c r="BL232" s="39"/>
      <c r="BM232" s="39"/>
      <c r="BN232" s="39"/>
      <c r="BO232" s="39"/>
      <c r="BP232" s="39"/>
      <c r="BQ232" s="39"/>
      <c r="BR232" s="39"/>
      <c r="BS232" s="507"/>
      <c r="BT232" s="507"/>
      <c r="BU232" s="507"/>
      <c r="BV232" s="507"/>
      <c r="BW232" s="507"/>
      <c r="BX232" s="507"/>
      <c r="BY232" s="507"/>
      <c r="BZ232" s="507"/>
      <c r="CA232" s="507"/>
      <c r="CB232" s="507"/>
      <c r="CC232" s="507"/>
      <c r="CD232" s="507"/>
      <c r="CE232" s="507"/>
      <c r="CF232" s="507"/>
      <c r="CG232" s="507"/>
      <c r="CH232" s="507"/>
      <c r="CI232" s="507"/>
      <c r="CJ232" s="507"/>
      <c r="CK232" s="507"/>
      <c r="CL232" s="507"/>
      <c r="CM232" s="507"/>
      <c r="CN232" s="507"/>
      <c r="CO232" s="507"/>
      <c r="CP232" s="507"/>
      <c r="CQ232" s="507"/>
      <c r="CR232" s="507"/>
      <c r="CS232" s="507"/>
      <c r="CT232" s="507"/>
      <c r="CU232" s="507"/>
      <c r="CV232" s="507"/>
      <c r="CW232" s="507"/>
      <c r="CX232" s="507"/>
      <c r="CY232" s="507"/>
      <c r="CZ232" s="507"/>
      <c r="DA232" s="507"/>
      <c r="DB232" s="507"/>
      <c r="DC232" s="507"/>
      <c r="DD232" s="507"/>
      <c r="DE232" s="507"/>
      <c r="DF232" s="507"/>
      <c r="DG232" s="507"/>
      <c r="DH232" s="507"/>
      <c r="DI232" s="507"/>
      <c r="DJ232" s="507"/>
      <c r="DK232" s="507"/>
      <c r="DL232" s="507"/>
      <c r="DM232" s="507"/>
      <c r="DN232" s="507"/>
      <c r="DO232" s="507"/>
      <c r="DP232" s="507"/>
      <c r="DQ232" s="507"/>
      <c r="DR232" s="507"/>
      <c r="DS232" s="507"/>
      <c r="DT232" s="507"/>
      <c r="DU232" s="507"/>
      <c r="DV232" s="507"/>
      <c r="DW232" s="507"/>
      <c r="DX232" s="507"/>
      <c r="DY232" s="507"/>
      <c r="DZ232" s="507"/>
      <c r="EA232" s="507"/>
      <c r="EB232" s="507"/>
      <c r="EC232" s="507"/>
      <c r="ED232" s="507"/>
      <c r="EE232" s="507"/>
      <c r="EF232" s="507"/>
      <c r="EG232" s="507"/>
      <c r="EH232" s="507"/>
      <c r="EI232" s="507"/>
      <c r="EJ232" s="507"/>
      <c r="EK232" s="507"/>
      <c r="EL232" s="507"/>
      <c r="EM232" s="507"/>
      <c r="EN232" s="507"/>
      <c r="EO232" s="507"/>
      <c r="EP232" s="507"/>
      <c r="EQ232" s="507"/>
      <c r="ER232" s="507"/>
      <c r="ES232" s="507"/>
      <c r="ET232" s="507"/>
      <c r="EU232" s="507"/>
      <c r="EV232" s="507"/>
      <c r="EW232" s="507"/>
      <c r="EX232" s="507"/>
      <c r="EY232" s="507"/>
      <c r="EZ232" s="507"/>
      <c r="FA232" s="507"/>
      <c r="FB232" s="507"/>
      <c r="FC232" s="507"/>
      <c r="FD232" s="507"/>
      <c r="FE232" s="507"/>
      <c r="FF232" s="507"/>
      <c r="FG232" s="507"/>
      <c r="FH232" s="507"/>
      <c r="FI232" s="507"/>
      <c r="FJ232" s="507"/>
      <c r="FK232" s="507"/>
      <c r="FL232" s="507"/>
      <c r="FM232" s="507"/>
      <c r="FN232" s="507"/>
      <c r="FO232" s="507"/>
      <c r="FP232" s="507"/>
      <c r="FQ232" s="507"/>
      <c r="FR232" s="507"/>
      <c r="FS232" s="507"/>
      <c r="FT232" s="507"/>
      <c r="FU232" s="507"/>
      <c r="FV232" s="507"/>
      <c r="FW232" s="507"/>
      <c r="FX232" s="507"/>
      <c r="FY232" s="507"/>
      <c r="FZ232" s="507"/>
      <c r="GA232" s="507"/>
      <c r="GB232" s="507"/>
      <c r="GC232" s="507"/>
      <c r="GD232" s="507"/>
      <c r="GE232" s="507"/>
      <c r="GF232" s="507"/>
      <c r="GG232" s="507"/>
      <c r="GH232" s="507"/>
      <c r="GI232" s="507"/>
      <c r="GJ232" s="507"/>
      <c r="GK232" s="507"/>
      <c r="GL232" s="507"/>
      <c r="GM232" s="507"/>
      <c r="GN232" s="507"/>
      <c r="GO232" s="507"/>
      <c r="GP232" s="507"/>
      <c r="GQ232" s="507"/>
      <c r="GR232" s="507"/>
      <c r="GS232" s="507"/>
      <c r="GT232" s="507"/>
      <c r="GU232" s="507"/>
      <c r="GV232" s="507"/>
      <c r="GW232" s="507"/>
      <c r="GX232" s="507"/>
      <c r="GY232" s="507"/>
      <c r="GZ232" s="507"/>
      <c r="HA232" s="507"/>
      <c r="HB232" s="507"/>
      <c r="HC232" s="507"/>
      <c r="HD232" s="507"/>
      <c r="HE232" s="507"/>
      <c r="HF232" s="507"/>
      <c r="HG232" s="507"/>
      <c r="HH232" s="507"/>
      <c r="HI232" s="507"/>
      <c r="HJ232" s="507"/>
      <c r="HK232" s="507"/>
      <c r="HL232" s="507"/>
      <c r="HM232" s="507"/>
      <c r="HN232" s="507"/>
      <c r="HO232" s="507"/>
      <c r="HP232" s="507"/>
      <c r="HQ232" s="507"/>
      <c r="HR232" s="507"/>
      <c r="HS232" s="507"/>
      <c r="HT232" s="507"/>
      <c r="HU232" s="507"/>
      <c r="HV232" s="507"/>
      <c r="HW232" s="507"/>
      <c r="HX232" s="507"/>
      <c r="HY232" s="507"/>
      <c r="HZ232" s="507"/>
    </row>
    <row r="233" spans="1:234" s="232" customFormat="1" ht="15.9" hidden="1" customHeight="1" x14ac:dyDescent="0.25">
      <c r="A233" s="522" t="s">
        <v>954</v>
      </c>
      <c r="B233" s="523" t="s">
        <v>3448</v>
      </c>
      <c r="C233" s="526" t="s">
        <v>955</v>
      </c>
      <c r="D233" s="570" t="s">
        <v>2158</v>
      </c>
      <c r="E233" s="569" t="s">
        <v>3228</v>
      </c>
      <c r="F233" s="543">
        <v>39667</v>
      </c>
      <c r="G233" s="544">
        <v>39630</v>
      </c>
      <c r="H233" s="562">
        <v>39660</v>
      </c>
      <c r="I233" s="546">
        <v>41607</v>
      </c>
      <c r="J233" s="547">
        <v>10</v>
      </c>
      <c r="K233" s="553" t="s">
        <v>3229</v>
      </c>
      <c r="L233" s="552" t="s">
        <v>3229</v>
      </c>
      <c r="M233" s="550">
        <v>0</v>
      </c>
      <c r="N233" s="560">
        <v>1</v>
      </c>
      <c r="O233" s="552">
        <v>0.55000000000000004</v>
      </c>
      <c r="P233" s="552" t="s">
        <v>3229</v>
      </c>
      <c r="Q233" s="552" t="s">
        <v>3229</v>
      </c>
      <c r="R233" s="552" t="s">
        <v>3229</v>
      </c>
      <c r="S233" s="567"/>
      <c r="T233" s="555" t="s">
        <v>3229</v>
      </c>
      <c r="U233" s="555" t="s">
        <v>3229</v>
      </c>
      <c r="V233" s="555" t="s">
        <v>3229</v>
      </c>
      <c r="W233" s="555" t="s">
        <v>3229</v>
      </c>
      <c r="X233" s="555" t="s">
        <v>3229</v>
      </c>
      <c r="Y233" s="555" t="s">
        <v>3229</v>
      </c>
      <c r="Z233" s="555" t="s">
        <v>3229</v>
      </c>
      <c r="AA233" s="555" t="s">
        <v>3229</v>
      </c>
      <c r="AB233" s="555" t="s">
        <v>3229</v>
      </c>
      <c r="AC233" s="555" t="s">
        <v>3229</v>
      </c>
      <c r="AD233" s="555" t="s">
        <v>3229</v>
      </c>
      <c r="AE233" s="556" t="s">
        <v>3229</v>
      </c>
      <c r="AF233" s="3764" t="s">
        <v>781</v>
      </c>
      <c r="AG233" s="3765"/>
      <c r="AH233" s="622" t="s">
        <v>3229</v>
      </c>
      <c r="AI233" s="622" t="s">
        <v>3229</v>
      </c>
      <c r="AJ233" s="622" t="s">
        <v>3229</v>
      </c>
      <c r="AK233" s="566" t="s">
        <v>3229</v>
      </c>
      <c r="AL233" s="622" t="s">
        <v>3229</v>
      </c>
      <c r="AM233" s="590">
        <v>1</v>
      </c>
      <c r="AN233" s="576">
        <v>0</v>
      </c>
      <c r="AO233" s="652">
        <v>10</v>
      </c>
      <c r="AP233" s="1368">
        <v>-3.9907499999999957E-2</v>
      </c>
      <c r="AQ233" s="658">
        <v>-2.7215798687295074E-2</v>
      </c>
      <c r="AR233" s="632">
        <f t="shared" si="38"/>
        <v>0.55000000000000004</v>
      </c>
      <c r="AS233" s="558">
        <f>POWER(1+AR233,1/((I233-F233)/365))-1</f>
        <v>8.595000039948264E-2</v>
      </c>
      <c r="AT233" s="648">
        <f>J233*(1+AR233)/AO233-1</f>
        <v>0.55000000000000004</v>
      </c>
      <c r="AU233" s="559" t="e">
        <f>POWER(1+AT233,1/AG233)-1</f>
        <v>#DIV/0!</v>
      </c>
      <c r="AV233" s="558">
        <v>0</v>
      </c>
      <c r="AW233" s="558">
        <v>0</v>
      </c>
      <c r="AX233" s="558">
        <f>J233*(1+AV233)/AO233-1</f>
        <v>0</v>
      </c>
      <c r="AY233" s="559" t="e">
        <f>POWER(1+AX233,1/AG233)-1</f>
        <v>#DIV/0!</v>
      </c>
      <c r="AZ233" s="642">
        <f>J233*(1+AV233)</f>
        <v>10</v>
      </c>
      <c r="BA233" s="644" t="s">
        <v>3190</v>
      </c>
      <c r="BB233" s="570"/>
      <c r="BC233" s="637"/>
      <c r="BD233" s="3708"/>
      <c r="BE233" s="3743"/>
      <c r="BF233" s="3743"/>
      <c r="BG233" s="3708"/>
      <c r="BH233" s="3762"/>
      <c r="BI233" s="3762"/>
      <c r="BJ233" s="39"/>
      <c r="BK233" s="39"/>
      <c r="BL233" s="39"/>
      <c r="BM233" s="39"/>
      <c r="BN233" s="39"/>
      <c r="BO233" s="39"/>
      <c r="BP233" s="39"/>
      <c r="BQ233" s="39"/>
      <c r="BR233" s="39"/>
      <c r="BS233" s="507"/>
      <c r="BT233" s="507"/>
      <c r="BU233" s="507"/>
      <c r="BV233" s="507"/>
      <c r="BW233" s="507"/>
      <c r="BX233" s="507"/>
      <c r="BY233" s="507"/>
      <c r="BZ233" s="507"/>
      <c r="CA233" s="507"/>
      <c r="CB233" s="507"/>
      <c r="CC233" s="507"/>
      <c r="CD233" s="507"/>
      <c r="CE233" s="507"/>
      <c r="CF233" s="507"/>
      <c r="CG233" s="507"/>
      <c r="CH233" s="507"/>
      <c r="CI233" s="507"/>
      <c r="CJ233" s="507"/>
      <c r="CK233" s="507"/>
      <c r="CL233" s="507"/>
      <c r="CM233" s="507"/>
      <c r="CN233" s="507"/>
      <c r="CO233" s="507"/>
      <c r="CP233" s="507"/>
      <c r="CQ233" s="507"/>
      <c r="CR233" s="507"/>
      <c r="CS233" s="507"/>
      <c r="CT233" s="507"/>
      <c r="CU233" s="507"/>
      <c r="CV233" s="507"/>
      <c r="CW233" s="507"/>
      <c r="CX233" s="507"/>
      <c r="CY233" s="507"/>
      <c r="CZ233" s="507"/>
      <c r="DA233" s="507"/>
      <c r="DB233" s="507"/>
      <c r="DC233" s="507"/>
      <c r="DD233" s="507"/>
      <c r="DE233" s="507"/>
      <c r="DF233" s="507"/>
      <c r="DG233" s="507"/>
      <c r="DH233" s="507"/>
      <c r="DI233" s="507"/>
      <c r="DJ233" s="507"/>
      <c r="DK233" s="507"/>
      <c r="DL233" s="507"/>
      <c r="DM233" s="507"/>
      <c r="DN233" s="507"/>
      <c r="DO233" s="507"/>
      <c r="DP233" s="507"/>
      <c r="DQ233" s="507"/>
      <c r="DR233" s="507"/>
      <c r="DS233" s="507"/>
      <c r="DT233" s="507"/>
      <c r="DU233" s="507"/>
      <c r="DV233" s="507"/>
      <c r="DW233" s="507"/>
      <c r="DX233" s="507"/>
      <c r="DY233" s="507"/>
      <c r="DZ233" s="507"/>
      <c r="EA233" s="507"/>
      <c r="EB233" s="507"/>
      <c r="EC233" s="507"/>
      <c r="ED233" s="507"/>
      <c r="EE233" s="507"/>
      <c r="EF233" s="507"/>
      <c r="EG233" s="507"/>
      <c r="EH233" s="507"/>
      <c r="EI233" s="507"/>
      <c r="EJ233" s="507"/>
      <c r="EK233" s="507"/>
      <c r="EL233" s="507"/>
      <c r="EM233" s="507"/>
      <c r="EN233" s="507"/>
      <c r="EO233" s="507"/>
      <c r="EP233" s="507"/>
      <c r="EQ233" s="507"/>
      <c r="ER233" s="507"/>
      <c r="ES233" s="507"/>
      <c r="ET233" s="507"/>
      <c r="EU233" s="507"/>
      <c r="EV233" s="507"/>
      <c r="EW233" s="507"/>
      <c r="EX233" s="507"/>
      <c r="EY233" s="507"/>
      <c r="EZ233" s="507"/>
      <c r="FA233" s="507"/>
      <c r="FB233" s="507"/>
      <c r="FC233" s="507"/>
      <c r="FD233" s="507"/>
      <c r="FE233" s="507"/>
      <c r="FF233" s="507"/>
      <c r="FG233" s="507"/>
      <c r="FH233" s="507"/>
      <c r="FI233" s="507"/>
      <c r="FJ233" s="507"/>
      <c r="FK233" s="507"/>
      <c r="FL233" s="507"/>
      <c r="FM233" s="507"/>
      <c r="FN233" s="507"/>
      <c r="FO233" s="507"/>
      <c r="FP233" s="507"/>
      <c r="FQ233" s="507"/>
      <c r="FR233" s="507"/>
      <c r="FS233" s="507"/>
      <c r="FT233" s="507"/>
      <c r="FU233" s="507"/>
      <c r="FV233" s="507"/>
      <c r="FW233" s="507"/>
      <c r="FX233" s="507"/>
      <c r="FY233" s="507"/>
      <c r="FZ233" s="507"/>
      <c r="GA233" s="507"/>
      <c r="GB233" s="507"/>
      <c r="GC233" s="507"/>
      <c r="GD233" s="507"/>
      <c r="GE233" s="507"/>
      <c r="GF233" s="507"/>
      <c r="GG233" s="507"/>
      <c r="GH233" s="507"/>
      <c r="GI233" s="507"/>
      <c r="GJ233" s="507"/>
      <c r="GK233" s="507"/>
      <c r="GL233" s="507"/>
      <c r="GM233" s="507"/>
      <c r="GN233" s="507"/>
      <c r="GO233" s="507"/>
      <c r="GP233" s="507"/>
      <c r="GQ233" s="507"/>
      <c r="GR233" s="507"/>
      <c r="GS233" s="507"/>
      <c r="GT233" s="507"/>
      <c r="GU233" s="507"/>
      <c r="GV233" s="507"/>
      <c r="GW233" s="507"/>
      <c r="GX233" s="507"/>
      <c r="GY233" s="507"/>
      <c r="GZ233" s="507"/>
      <c r="HA233" s="507"/>
      <c r="HB233" s="507"/>
      <c r="HC233" s="507"/>
      <c r="HD233" s="507"/>
      <c r="HE233" s="507"/>
      <c r="HF233" s="507"/>
      <c r="HG233" s="507"/>
      <c r="HH233" s="507"/>
      <c r="HI233" s="507"/>
      <c r="HJ233" s="507"/>
      <c r="HK233" s="507"/>
      <c r="HL233" s="507"/>
      <c r="HM233" s="507"/>
      <c r="HN233" s="507"/>
      <c r="HO233" s="507"/>
      <c r="HP233" s="507"/>
      <c r="HQ233" s="507"/>
      <c r="HR233" s="507"/>
      <c r="HS233" s="507"/>
      <c r="HT233" s="507"/>
      <c r="HU233" s="507"/>
      <c r="HV233" s="507"/>
      <c r="HW233" s="507"/>
      <c r="HX233" s="507"/>
      <c r="HY233" s="507"/>
      <c r="HZ233" s="507"/>
    </row>
    <row r="234" spans="1:234" s="206" customFormat="1" ht="15.9" hidden="1" customHeight="1" x14ac:dyDescent="0.25">
      <c r="A234" s="522" t="s">
        <v>3349</v>
      </c>
      <c r="B234" s="523" t="s">
        <v>956</v>
      </c>
      <c r="C234" s="526" t="s">
        <v>3350</v>
      </c>
      <c r="D234" s="570" t="s">
        <v>2158</v>
      </c>
      <c r="E234" s="569" t="s">
        <v>3228</v>
      </c>
      <c r="F234" s="543">
        <v>39696</v>
      </c>
      <c r="G234" s="544">
        <v>39661</v>
      </c>
      <c r="H234" s="562">
        <v>39689</v>
      </c>
      <c r="I234" s="546">
        <v>41547</v>
      </c>
      <c r="J234" s="547">
        <v>10</v>
      </c>
      <c r="K234" s="558" t="s">
        <v>3229</v>
      </c>
      <c r="L234" s="559" t="s">
        <v>3229</v>
      </c>
      <c r="M234" s="550">
        <v>0</v>
      </c>
      <c r="N234" s="560" t="s">
        <v>3229</v>
      </c>
      <c r="O234" s="552">
        <v>0.375</v>
      </c>
      <c r="P234" s="552" t="s">
        <v>3229</v>
      </c>
      <c r="Q234" s="552" t="s">
        <v>3229</v>
      </c>
      <c r="R234" s="552" t="s">
        <v>3229</v>
      </c>
      <c r="S234" s="567"/>
      <c r="T234" s="555" t="s">
        <v>3229</v>
      </c>
      <c r="U234" s="555" t="s">
        <v>3229</v>
      </c>
      <c r="V234" s="555" t="s">
        <v>3229</v>
      </c>
      <c r="W234" s="555" t="s">
        <v>3229</v>
      </c>
      <c r="X234" s="555" t="s">
        <v>3229</v>
      </c>
      <c r="Y234" s="555" t="s">
        <v>3229</v>
      </c>
      <c r="Z234" s="555" t="s">
        <v>3229</v>
      </c>
      <c r="AA234" s="555" t="s">
        <v>3229</v>
      </c>
      <c r="AB234" s="555" t="s">
        <v>3229</v>
      </c>
      <c r="AC234" s="555" t="s">
        <v>3229</v>
      </c>
      <c r="AD234" s="555" t="s">
        <v>3229</v>
      </c>
      <c r="AE234" s="556" t="s">
        <v>3229</v>
      </c>
      <c r="AF234" s="3764" t="s">
        <v>781</v>
      </c>
      <c r="AG234" s="3765"/>
      <c r="AH234" s="622" t="s">
        <v>3229</v>
      </c>
      <c r="AI234" s="622" t="s">
        <v>3229</v>
      </c>
      <c r="AJ234" s="622" t="s">
        <v>3229</v>
      </c>
      <c r="AK234" s="656" t="s">
        <v>3229</v>
      </c>
      <c r="AL234" s="655" t="s">
        <v>3229</v>
      </c>
      <c r="AM234" s="590">
        <v>1</v>
      </c>
      <c r="AN234" s="576">
        <v>0</v>
      </c>
      <c r="AO234" s="652">
        <v>10.3</v>
      </c>
      <c r="AP234" s="1368">
        <v>-6.863054031644826E-2</v>
      </c>
      <c r="AQ234" s="658">
        <v>-6.863054031644826E-2</v>
      </c>
      <c r="AR234" s="558">
        <f t="shared" si="38"/>
        <v>0.375</v>
      </c>
      <c r="AS234" s="558">
        <f>POWER(1+AR234,1/((I234-F234)/365))-1</f>
        <v>6.4809720090695633E-2</v>
      </c>
      <c r="AT234" s="589">
        <f>J234*(1+AR234)/AO234-1</f>
        <v>0.33495145631067946</v>
      </c>
      <c r="AU234" s="559" t="e">
        <f>POWER(1+AT234,1/AG234)-1</f>
        <v>#DIV/0!</v>
      </c>
      <c r="AV234" s="558">
        <v>0</v>
      </c>
      <c r="AW234" s="558">
        <v>0</v>
      </c>
      <c r="AX234" s="558">
        <f>J234*(1+AV234)/AO234-1</f>
        <v>-2.9126213592233108E-2</v>
      </c>
      <c r="AY234" s="559" t="e">
        <f>POWER(1+AX234,1/AG234)-1</f>
        <v>#DIV/0!</v>
      </c>
      <c r="AZ234" s="642">
        <f>J234*(1+AV234)</f>
        <v>10</v>
      </c>
      <c r="BA234" s="644" t="s">
        <v>3852</v>
      </c>
      <c r="BB234" s="570"/>
      <c r="BC234" s="637"/>
      <c r="BD234" s="3708"/>
      <c r="BE234" s="3743"/>
      <c r="BF234" s="3743"/>
      <c r="BG234" s="3708"/>
      <c r="BH234" s="3762"/>
      <c r="BI234" s="3762"/>
      <c r="BJ234" s="39"/>
      <c r="BK234" s="39"/>
      <c r="BL234" s="39"/>
      <c r="BM234" s="39"/>
      <c r="BN234" s="39"/>
      <c r="BO234" s="39"/>
      <c r="BP234" s="39"/>
      <c r="BQ234" s="39"/>
      <c r="BR234" s="39"/>
      <c r="BS234" s="507"/>
      <c r="BT234" s="507"/>
      <c r="BU234" s="507"/>
      <c r="BV234" s="507"/>
      <c r="BW234" s="507"/>
      <c r="BX234" s="507"/>
      <c r="BY234" s="507"/>
      <c r="BZ234" s="507"/>
      <c r="CA234" s="507"/>
      <c r="CB234" s="507"/>
      <c r="CC234" s="507"/>
      <c r="CD234" s="507"/>
      <c r="CE234" s="507"/>
      <c r="CF234" s="507"/>
      <c r="CG234" s="507"/>
      <c r="CH234" s="507"/>
      <c r="CI234" s="507"/>
      <c r="CJ234" s="507"/>
      <c r="CK234" s="507"/>
      <c r="CL234" s="507"/>
      <c r="CM234" s="507"/>
      <c r="CN234" s="507"/>
      <c r="CO234" s="507"/>
      <c r="CP234" s="507"/>
      <c r="CQ234" s="507"/>
      <c r="CR234" s="507"/>
      <c r="CS234" s="507"/>
      <c r="CT234" s="507"/>
      <c r="CU234" s="507"/>
      <c r="CV234" s="507"/>
      <c r="CW234" s="507"/>
      <c r="CX234" s="507"/>
      <c r="CY234" s="507"/>
      <c r="CZ234" s="507"/>
      <c r="DA234" s="507"/>
      <c r="DB234" s="507"/>
      <c r="DC234" s="507"/>
      <c r="DD234" s="507"/>
      <c r="DE234" s="507"/>
      <c r="DF234" s="507"/>
      <c r="DG234" s="507"/>
      <c r="DH234" s="507"/>
      <c r="DI234" s="507"/>
      <c r="DJ234" s="507"/>
      <c r="DK234" s="507"/>
      <c r="DL234" s="507"/>
      <c r="DM234" s="507"/>
      <c r="DN234" s="507"/>
      <c r="DO234" s="507"/>
      <c r="DP234" s="507"/>
      <c r="DQ234" s="507"/>
      <c r="DR234" s="507"/>
      <c r="DS234" s="507"/>
      <c r="DT234" s="507"/>
      <c r="DU234" s="507"/>
      <c r="DV234" s="507"/>
      <c r="DW234" s="507"/>
      <c r="DX234" s="507"/>
      <c r="DY234" s="507"/>
      <c r="DZ234" s="507"/>
      <c r="EA234" s="507"/>
      <c r="EB234" s="507"/>
      <c r="EC234" s="507"/>
      <c r="ED234" s="507"/>
      <c r="EE234" s="507"/>
      <c r="EF234" s="507"/>
      <c r="EG234" s="507"/>
      <c r="EH234" s="507"/>
      <c r="EI234" s="507"/>
      <c r="EJ234" s="507"/>
      <c r="EK234" s="507"/>
      <c r="EL234" s="507"/>
      <c r="EM234" s="507"/>
      <c r="EN234" s="507"/>
      <c r="EO234" s="507"/>
      <c r="EP234" s="507"/>
      <c r="EQ234" s="507"/>
      <c r="ER234" s="507"/>
      <c r="ES234" s="507"/>
      <c r="ET234" s="507"/>
      <c r="EU234" s="507"/>
      <c r="EV234" s="507"/>
      <c r="EW234" s="507"/>
      <c r="EX234" s="507"/>
      <c r="EY234" s="507"/>
      <c r="EZ234" s="507"/>
      <c r="FA234" s="507"/>
      <c r="FB234" s="507"/>
      <c r="FC234" s="507"/>
      <c r="FD234" s="507"/>
      <c r="FE234" s="507"/>
      <c r="FF234" s="507"/>
      <c r="FG234" s="507"/>
      <c r="FH234" s="507"/>
      <c r="FI234" s="507"/>
      <c r="FJ234" s="507"/>
      <c r="FK234" s="507"/>
      <c r="FL234" s="507"/>
      <c r="FM234" s="507"/>
      <c r="FN234" s="507"/>
      <c r="FO234" s="507"/>
      <c r="FP234" s="507"/>
      <c r="FQ234" s="507"/>
      <c r="FR234" s="507"/>
      <c r="FS234" s="507"/>
      <c r="FT234" s="507"/>
      <c r="FU234" s="507"/>
      <c r="FV234" s="507"/>
      <c r="FW234" s="507"/>
      <c r="FX234" s="507"/>
      <c r="FY234" s="507"/>
      <c r="FZ234" s="507"/>
      <c r="GA234" s="507"/>
      <c r="GB234" s="507"/>
      <c r="GC234" s="507"/>
      <c r="GD234" s="507"/>
      <c r="GE234" s="507"/>
      <c r="GF234" s="507"/>
      <c r="GG234" s="507"/>
      <c r="GH234" s="507"/>
      <c r="GI234" s="507"/>
      <c r="GJ234" s="507"/>
      <c r="GK234" s="507"/>
      <c r="GL234" s="507"/>
      <c r="GM234" s="507"/>
      <c r="GN234" s="507"/>
      <c r="GO234" s="507"/>
      <c r="GP234" s="507"/>
      <c r="GQ234" s="507"/>
      <c r="GR234" s="507"/>
      <c r="GS234" s="507"/>
      <c r="GT234" s="507"/>
      <c r="GU234" s="507"/>
      <c r="GV234" s="507"/>
      <c r="GW234" s="507"/>
      <c r="GX234" s="507"/>
      <c r="GY234" s="507"/>
      <c r="GZ234" s="507"/>
      <c r="HA234" s="507"/>
      <c r="HB234" s="510"/>
      <c r="HC234" s="511"/>
      <c r="HD234" s="124"/>
      <c r="HE234" s="508"/>
      <c r="HF234" s="51"/>
      <c r="HG234" s="53"/>
      <c r="HH234" s="46"/>
      <c r="HI234" s="50"/>
      <c r="HJ234" s="54"/>
      <c r="HK234" s="54"/>
      <c r="HL234" s="50"/>
      <c r="HM234" s="50"/>
      <c r="HN234" s="50"/>
      <c r="HO234" s="50"/>
      <c r="HP234" s="223"/>
      <c r="HQ234" s="3769"/>
      <c r="HR234" s="3770"/>
      <c r="HS234" s="507"/>
      <c r="HT234" s="507"/>
      <c r="HU234" s="507"/>
      <c r="HV234" s="507"/>
      <c r="HW234" s="507"/>
      <c r="HX234" s="507"/>
      <c r="HY234" s="507"/>
      <c r="HZ234" s="507"/>
    </row>
    <row r="235" spans="1:234" s="206" customFormat="1" ht="15.9" hidden="1" customHeight="1" x14ac:dyDescent="0.25">
      <c r="A235" s="522" t="s">
        <v>5341</v>
      </c>
      <c r="B235" s="523" t="s">
        <v>1400</v>
      </c>
      <c r="C235" s="526" t="s">
        <v>1401</v>
      </c>
      <c r="D235" s="570" t="s">
        <v>979</v>
      </c>
      <c r="E235" s="569" t="s">
        <v>3228</v>
      </c>
      <c r="F235" s="543">
        <v>39701</v>
      </c>
      <c r="G235" s="544">
        <v>39661</v>
      </c>
      <c r="H235" s="562">
        <v>39689</v>
      </c>
      <c r="I235" s="546">
        <v>41648</v>
      </c>
      <c r="J235" s="547">
        <v>10</v>
      </c>
      <c r="K235" s="558" t="s">
        <v>3229</v>
      </c>
      <c r="L235" s="559" t="s">
        <v>3229</v>
      </c>
      <c r="M235" s="550">
        <v>0</v>
      </c>
      <c r="N235" s="560">
        <v>0.9</v>
      </c>
      <c r="O235" s="552">
        <v>0.55000000000000004</v>
      </c>
      <c r="P235" s="552" t="s">
        <v>3229</v>
      </c>
      <c r="Q235" s="552" t="s">
        <v>3229</v>
      </c>
      <c r="R235" s="552" t="s">
        <v>3229</v>
      </c>
      <c r="S235" s="567"/>
      <c r="T235" s="555" t="s">
        <v>3229</v>
      </c>
      <c r="U235" s="555" t="s">
        <v>3229</v>
      </c>
      <c r="V235" s="555" t="s">
        <v>3229</v>
      </c>
      <c r="W235" s="555" t="s">
        <v>3229</v>
      </c>
      <c r="X235" s="555" t="s">
        <v>3229</v>
      </c>
      <c r="Y235" s="555" t="s">
        <v>3229</v>
      </c>
      <c r="Z235" s="555" t="s">
        <v>3229</v>
      </c>
      <c r="AA235" s="555" t="s">
        <v>3229</v>
      </c>
      <c r="AB235" s="555" t="s">
        <v>3229</v>
      </c>
      <c r="AC235" s="555" t="s">
        <v>3229</v>
      </c>
      <c r="AD235" s="555" t="s">
        <v>3229</v>
      </c>
      <c r="AE235" s="556" t="s">
        <v>3229</v>
      </c>
      <c r="AF235" s="3764" t="s">
        <v>781</v>
      </c>
      <c r="AG235" s="3765"/>
      <c r="AH235" s="622" t="s">
        <v>3229</v>
      </c>
      <c r="AI235" s="622" t="s">
        <v>3229</v>
      </c>
      <c r="AJ235" s="622" t="s">
        <v>3229</v>
      </c>
      <c r="AK235" s="656" t="s">
        <v>3229</v>
      </c>
      <c r="AL235" s="655" t="s">
        <v>3229</v>
      </c>
      <c r="AM235" s="590">
        <v>1</v>
      </c>
      <c r="AN235" s="576">
        <v>0.25491035000000001</v>
      </c>
      <c r="AO235" s="652">
        <v>12.55</v>
      </c>
      <c r="AP235" s="1368">
        <v>0.25491035000000001</v>
      </c>
      <c r="AQ235" s="658">
        <v>0.45279399999999997</v>
      </c>
      <c r="AR235" s="558">
        <f t="shared" si="38"/>
        <v>0.55000000000000004</v>
      </c>
      <c r="AS235" s="558">
        <f>POWER(1+AR235,1/((I235-F235)/365))-1</f>
        <v>8.5628119287864068E-2</v>
      </c>
      <c r="AT235" s="589">
        <f>J235*(1+AR235)/AO235-1</f>
        <v>0.23505976095617531</v>
      </c>
      <c r="AU235" s="559" t="e">
        <f>POWER(1+AT235,1/AG235)-1</f>
        <v>#DIV/0!</v>
      </c>
      <c r="AV235" s="558">
        <v>0.25490000000000002</v>
      </c>
      <c r="AW235" s="558">
        <f>POWER(1+AV235,1/((I235-F235)/365))-1</f>
        <v>4.3484601021772207E-2</v>
      </c>
      <c r="AX235" s="558">
        <f>J235*(1+AV235)/AO235-1</f>
        <v>-7.968127490032284E-5</v>
      </c>
      <c r="AY235" s="559" t="e">
        <f>POWER(1+AX235,1/AG235)-1</f>
        <v>#DIV/0!</v>
      </c>
      <c r="AZ235" s="642">
        <f>J235*(1+AV235)</f>
        <v>12.549000000000001</v>
      </c>
      <c r="BA235" s="644" t="s">
        <v>3190</v>
      </c>
      <c r="BB235" s="570"/>
      <c r="BC235" s="637"/>
      <c r="BD235" s="3708"/>
      <c r="BE235" s="3743"/>
      <c r="BF235" s="3743"/>
      <c r="BG235" s="3708"/>
      <c r="BH235" s="3762"/>
      <c r="BI235" s="3762"/>
      <c r="BJ235" s="39"/>
      <c r="BK235" s="39"/>
      <c r="BL235" s="39"/>
      <c r="BM235" s="39"/>
      <c r="BN235" s="39"/>
      <c r="BO235" s="39"/>
      <c r="BP235" s="39"/>
      <c r="BQ235" s="39"/>
      <c r="BR235" s="39"/>
      <c r="BS235" s="507"/>
      <c r="BT235" s="507"/>
      <c r="BU235" s="507"/>
      <c r="BV235" s="507"/>
      <c r="BW235" s="507"/>
      <c r="BX235" s="507"/>
      <c r="BY235" s="507"/>
      <c r="BZ235" s="507"/>
      <c r="CA235" s="507"/>
      <c r="CB235" s="507"/>
      <c r="CC235" s="507"/>
      <c r="CD235" s="507"/>
      <c r="CE235" s="507"/>
      <c r="CF235" s="507"/>
      <c r="CG235" s="507"/>
      <c r="CH235" s="507"/>
      <c r="CI235" s="507"/>
      <c r="CJ235" s="507"/>
      <c r="CK235" s="507"/>
      <c r="CL235" s="507"/>
      <c r="CM235" s="507"/>
      <c r="CN235" s="507"/>
      <c r="CO235" s="507"/>
      <c r="CP235" s="507"/>
      <c r="CQ235" s="507"/>
      <c r="CR235" s="507"/>
      <c r="CS235" s="507"/>
      <c r="CT235" s="507"/>
      <c r="CU235" s="507"/>
      <c r="CV235" s="507"/>
      <c r="CW235" s="507"/>
      <c r="CX235" s="507"/>
      <c r="CY235" s="507"/>
      <c r="CZ235" s="507"/>
      <c r="DA235" s="507"/>
      <c r="DB235" s="507"/>
      <c r="DC235" s="507"/>
      <c r="DD235" s="507"/>
      <c r="DE235" s="507"/>
      <c r="DF235" s="507"/>
      <c r="DG235" s="507"/>
      <c r="DH235" s="507"/>
      <c r="DI235" s="507"/>
      <c r="DJ235" s="507"/>
      <c r="DK235" s="507"/>
      <c r="DL235" s="507"/>
      <c r="DM235" s="507"/>
      <c r="DN235" s="507"/>
      <c r="DO235" s="507"/>
      <c r="DP235" s="507"/>
      <c r="DQ235" s="507"/>
      <c r="DR235" s="507"/>
      <c r="DS235" s="507"/>
      <c r="DT235" s="507"/>
      <c r="DU235" s="507"/>
      <c r="DV235" s="507"/>
      <c r="DW235" s="507"/>
      <c r="DX235" s="507"/>
      <c r="DY235" s="507"/>
      <c r="DZ235" s="507"/>
      <c r="EA235" s="507"/>
      <c r="EB235" s="507"/>
      <c r="EC235" s="507"/>
      <c r="ED235" s="507"/>
      <c r="EE235" s="507"/>
      <c r="EF235" s="507"/>
      <c r="EG235" s="507"/>
      <c r="EH235" s="507"/>
      <c r="EI235" s="507"/>
      <c r="EJ235" s="507"/>
      <c r="EK235" s="507"/>
      <c r="EL235" s="507"/>
      <c r="EM235" s="507"/>
      <c r="EN235" s="507"/>
      <c r="EO235" s="507"/>
      <c r="EP235" s="507"/>
      <c r="EQ235" s="507"/>
      <c r="ER235" s="507"/>
      <c r="ES235" s="507"/>
      <c r="ET235" s="507"/>
      <c r="EU235" s="507"/>
      <c r="EV235" s="507"/>
      <c r="EW235" s="507"/>
      <c r="EX235" s="507"/>
      <c r="EY235" s="507"/>
      <c r="EZ235" s="507"/>
      <c r="FA235" s="507"/>
      <c r="FB235" s="507"/>
      <c r="FC235" s="507"/>
      <c r="FD235" s="507"/>
      <c r="FE235" s="507"/>
      <c r="FF235" s="507"/>
      <c r="FG235" s="507"/>
      <c r="FH235" s="507"/>
      <c r="FI235" s="507"/>
      <c r="FJ235" s="507"/>
      <c r="FK235" s="507"/>
      <c r="FL235" s="507"/>
      <c r="FM235" s="507"/>
      <c r="FN235" s="507"/>
      <c r="FO235" s="507"/>
      <c r="FP235" s="507"/>
      <c r="FQ235" s="507"/>
      <c r="FR235" s="507"/>
      <c r="FS235" s="507"/>
      <c r="FT235" s="507"/>
      <c r="FU235" s="507"/>
      <c r="FV235" s="507"/>
      <c r="FW235" s="507"/>
      <c r="FX235" s="507"/>
      <c r="FY235" s="507"/>
      <c r="FZ235" s="507"/>
      <c r="GA235" s="507"/>
      <c r="GB235" s="507"/>
      <c r="GC235" s="507"/>
      <c r="GD235" s="507"/>
      <c r="GE235" s="507"/>
      <c r="GF235" s="507"/>
      <c r="GG235" s="507"/>
      <c r="GH235" s="507"/>
      <c r="GI235" s="507"/>
      <c r="GJ235" s="507"/>
      <c r="GK235" s="507"/>
      <c r="GL235" s="507"/>
      <c r="GM235" s="507"/>
      <c r="GN235" s="507"/>
      <c r="GO235" s="507"/>
      <c r="GP235" s="507"/>
      <c r="GQ235" s="507"/>
      <c r="GR235" s="507"/>
      <c r="GS235" s="507"/>
      <c r="GT235" s="507"/>
      <c r="GU235" s="507"/>
      <c r="GV235" s="507"/>
      <c r="GW235" s="507"/>
      <c r="GX235" s="507"/>
      <c r="GY235" s="507"/>
      <c r="GZ235" s="507"/>
      <c r="HA235" s="507"/>
      <c r="HB235" s="510"/>
      <c r="HC235" s="511"/>
      <c r="HD235" s="124"/>
      <c r="HE235" s="508"/>
      <c r="HF235" s="51"/>
      <c r="HG235" s="53"/>
      <c r="HH235" s="46"/>
      <c r="HI235" s="50"/>
      <c r="HJ235" s="54"/>
      <c r="HK235" s="54"/>
      <c r="HL235" s="50"/>
      <c r="HM235" s="50"/>
      <c r="HN235" s="50"/>
      <c r="HO235" s="50"/>
      <c r="HP235" s="223"/>
      <c r="HQ235" s="3769"/>
      <c r="HR235" s="3770"/>
      <c r="HS235" s="507"/>
      <c r="HT235" s="507"/>
      <c r="HU235" s="507"/>
      <c r="HV235" s="507"/>
      <c r="HW235" s="507"/>
      <c r="HX235" s="507"/>
      <c r="HY235" s="507"/>
      <c r="HZ235" s="507"/>
    </row>
    <row r="236" spans="1:234" ht="15.9" hidden="1" customHeight="1" x14ac:dyDescent="0.25">
      <c r="A236" s="541" t="s">
        <v>2584</v>
      </c>
      <c r="B236" s="523" t="s">
        <v>704</v>
      </c>
      <c r="C236" s="524" t="s">
        <v>3830</v>
      </c>
      <c r="D236" s="553" t="s">
        <v>2158</v>
      </c>
      <c r="E236" s="526" t="s">
        <v>3228</v>
      </c>
      <c r="F236" s="586">
        <v>39728</v>
      </c>
      <c r="G236" s="586">
        <v>39692</v>
      </c>
      <c r="H236" s="557">
        <v>39721</v>
      </c>
      <c r="I236" s="604">
        <v>41029</v>
      </c>
      <c r="J236" s="607">
        <v>10</v>
      </c>
      <c r="K236" s="561">
        <v>0.01</v>
      </c>
      <c r="L236" s="552">
        <v>0.08</v>
      </c>
      <c r="M236" s="560">
        <v>7.0000000000000007E-2</v>
      </c>
      <c r="N236" s="606" t="s">
        <v>3229</v>
      </c>
      <c r="O236" s="575">
        <v>0.21</v>
      </c>
      <c r="P236" s="575" t="s">
        <v>3229</v>
      </c>
      <c r="Q236" s="575">
        <v>0.05</v>
      </c>
      <c r="R236" s="575" t="s">
        <v>3229</v>
      </c>
      <c r="S236" s="597">
        <v>3</v>
      </c>
      <c r="T236" s="563">
        <v>40087</v>
      </c>
      <c r="U236" s="563">
        <v>40452</v>
      </c>
      <c r="V236" s="563">
        <v>41000</v>
      </c>
      <c r="W236" s="563" t="s">
        <v>3229</v>
      </c>
      <c r="X236" s="563" t="s">
        <v>3229</v>
      </c>
      <c r="Y236" s="563" t="s">
        <v>3229</v>
      </c>
      <c r="Z236" s="563" t="s">
        <v>3229</v>
      </c>
      <c r="AA236" s="563" t="s">
        <v>3229</v>
      </c>
      <c r="AB236" s="563" t="s">
        <v>3229</v>
      </c>
      <c r="AC236" s="563" t="s">
        <v>3229</v>
      </c>
      <c r="AD236" s="563" t="s">
        <v>3229</v>
      </c>
      <c r="AE236" s="563" t="s">
        <v>3229</v>
      </c>
      <c r="AF236" s="3764" t="s">
        <v>781</v>
      </c>
      <c r="AG236" s="3765"/>
      <c r="AH236" s="673" t="s">
        <v>3229</v>
      </c>
      <c r="AI236" s="673" t="s">
        <v>3229</v>
      </c>
      <c r="AJ236" s="673" t="s">
        <v>3229</v>
      </c>
      <c r="AK236" s="673" t="s">
        <v>3229</v>
      </c>
      <c r="AL236" s="673" t="s">
        <v>3229</v>
      </c>
      <c r="AM236" s="591">
        <v>1</v>
      </c>
      <c r="AN236" s="638">
        <v>7.0000000000000007E-2</v>
      </c>
      <c r="AO236" s="625">
        <v>10.71</v>
      </c>
      <c r="AP236" s="1368">
        <v>-0.2056613150730465</v>
      </c>
      <c r="AQ236" s="606">
        <v>-0.2056613150730465</v>
      </c>
      <c r="AR236" s="558">
        <v>0.14000000000000001</v>
      </c>
      <c r="AS236" s="558">
        <v>3.7444447585430529E-2</v>
      </c>
      <c r="AT236" s="648"/>
      <c r="AU236" s="558"/>
      <c r="AV236" s="632">
        <v>7.0000000000000007E-2</v>
      </c>
      <c r="AW236" s="558">
        <v>1.9163166182702529E-2</v>
      </c>
      <c r="AX236" s="589"/>
      <c r="AY236" s="648"/>
      <c r="AZ236" s="676">
        <v>10.700000000000001</v>
      </c>
      <c r="BA236" s="583" t="s">
        <v>2585</v>
      </c>
      <c r="BB236" s="570"/>
      <c r="BC236" s="581"/>
      <c r="BH236" s="3763"/>
      <c r="BI236" s="3763"/>
      <c r="BJ236" s="1639"/>
      <c r="BK236" s="1639"/>
      <c r="BL236" s="1639"/>
      <c r="BM236" s="1639"/>
      <c r="BN236" s="1639"/>
      <c r="BO236" s="1639"/>
      <c r="BP236" s="1639"/>
      <c r="BQ236" s="1639"/>
      <c r="BR236" s="1639"/>
      <c r="BS236" s="509"/>
      <c r="BT236" s="509"/>
      <c r="BU236" s="509"/>
      <c r="BV236" s="509"/>
      <c r="BW236" s="509"/>
      <c r="BX236" s="509"/>
      <c r="BY236" s="509"/>
      <c r="BZ236" s="509"/>
      <c r="CA236" s="509"/>
      <c r="CB236" s="509"/>
      <c r="CC236" s="509"/>
      <c r="CD236" s="509"/>
      <c r="CE236" s="509"/>
      <c r="CF236" s="509"/>
      <c r="CG236" s="509"/>
      <c r="CH236" s="509"/>
      <c r="CI236" s="509"/>
      <c r="CJ236" s="509"/>
      <c r="CK236" s="509"/>
      <c r="CL236" s="509"/>
      <c r="CM236" s="509"/>
      <c r="CN236" s="509"/>
      <c r="CO236" s="509"/>
      <c r="CP236" s="509"/>
      <c r="CQ236" s="509"/>
      <c r="CR236" s="509"/>
      <c r="CS236" s="509"/>
      <c r="CT236" s="509"/>
      <c r="CU236" s="509"/>
      <c r="CV236" s="509"/>
      <c r="CW236" s="509"/>
      <c r="CX236" s="509"/>
      <c r="CY236" s="509"/>
      <c r="CZ236" s="509"/>
      <c r="DA236" s="509"/>
      <c r="DB236" s="509"/>
      <c r="DC236" s="509"/>
      <c r="DD236" s="509"/>
      <c r="DE236" s="509"/>
      <c r="DF236" s="509"/>
      <c r="DG236" s="509"/>
      <c r="DH236" s="509"/>
      <c r="DI236" s="509"/>
      <c r="DJ236" s="509"/>
      <c r="DK236" s="509"/>
      <c r="DL236" s="509"/>
      <c r="DM236" s="509"/>
      <c r="DN236" s="509"/>
      <c r="DO236" s="509"/>
      <c r="DP236" s="509"/>
      <c r="DQ236" s="509"/>
      <c r="DR236" s="509"/>
      <c r="DS236" s="509"/>
      <c r="DT236" s="509"/>
      <c r="DU236" s="509"/>
      <c r="DV236" s="509"/>
      <c r="DW236" s="509"/>
      <c r="DX236" s="509"/>
      <c r="DY236" s="509"/>
      <c r="DZ236" s="509"/>
      <c r="EA236" s="509"/>
      <c r="EB236" s="509"/>
      <c r="EC236" s="509"/>
      <c r="ED236" s="509"/>
      <c r="EE236" s="509"/>
      <c r="EF236" s="509"/>
      <c r="EG236" s="509"/>
      <c r="EH236" s="509"/>
      <c r="EI236" s="509"/>
      <c r="EJ236" s="509"/>
      <c r="EK236" s="509"/>
      <c r="EL236" s="509"/>
      <c r="EM236" s="509"/>
      <c r="EN236" s="509"/>
      <c r="EO236" s="509"/>
      <c r="EP236" s="509"/>
      <c r="EQ236" s="509"/>
      <c r="ER236" s="509"/>
      <c r="ES236" s="509"/>
      <c r="ET236" s="509"/>
      <c r="EU236" s="509"/>
      <c r="EV236" s="509"/>
      <c r="EW236" s="509"/>
      <c r="EX236" s="509"/>
      <c r="EY236" s="509"/>
      <c r="EZ236" s="509"/>
      <c r="FA236" s="509"/>
      <c r="FB236" s="509"/>
      <c r="FC236" s="509"/>
      <c r="FD236" s="509"/>
      <c r="FE236" s="509"/>
      <c r="FF236" s="509"/>
      <c r="FG236" s="509"/>
      <c r="FH236" s="509"/>
      <c r="FI236" s="509"/>
      <c r="FJ236" s="509"/>
      <c r="FK236" s="509"/>
      <c r="FL236" s="509"/>
      <c r="FM236" s="509"/>
      <c r="FN236" s="509"/>
      <c r="FO236" s="509"/>
      <c r="FP236" s="509"/>
      <c r="FQ236" s="509"/>
      <c r="FR236" s="509"/>
      <c r="FS236" s="509"/>
      <c r="FT236" s="509"/>
      <c r="FU236" s="509"/>
      <c r="FV236" s="509"/>
      <c r="FW236" s="509"/>
      <c r="FX236" s="509"/>
      <c r="FY236" s="509"/>
      <c r="FZ236" s="509"/>
      <c r="GA236" s="509"/>
      <c r="GB236" s="509"/>
      <c r="GC236" s="509"/>
      <c r="GD236" s="509"/>
      <c r="GE236" s="509"/>
      <c r="GF236" s="509"/>
      <c r="GG236" s="509"/>
      <c r="GH236" s="509"/>
      <c r="GI236" s="509"/>
      <c r="GJ236" s="509"/>
      <c r="GK236" s="509"/>
      <c r="GL236" s="509"/>
      <c r="GM236" s="509"/>
      <c r="GN236" s="509"/>
      <c r="GO236" s="509"/>
      <c r="GP236" s="509"/>
      <c r="GQ236" s="509"/>
      <c r="GR236" s="509"/>
      <c r="GS236" s="509"/>
      <c r="GT236" s="509"/>
      <c r="GU236" s="509"/>
      <c r="GV236" s="509"/>
      <c r="GW236" s="509"/>
      <c r="GX236" s="509"/>
      <c r="GY236" s="509"/>
      <c r="GZ236" s="509"/>
      <c r="HA236" s="509"/>
      <c r="HB236" s="509"/>
      <c r="HC236" s="509"/>
      <c r="HD236" s="509"/>
      <c r="HE236" s="509"/>
      <c r="HF236" s="509"/>
      <c r="HG236" s="509"/>
      <c r="HH236" s="509"/>
      <c r="HI236" s="509"/>
      <c r="HJ236" s="509"/>
      <c r="HK236" s="509"/>
      <c r="HL236" s="509"/>
      <c r="HM236" s="509"/>
      <c r="HN236" s="509"/>
      <c r="HO236" s="509"/>
      <c r="HP236" s="509"/>
      <c r="HQ236" s="509"/>
      <c r="HR236" s="509"/>
      <c r="HS236" s="509"/>
      <c r="HT236" s="509"/>
      <c r="HU236" s="509"/>
      <c r="HV236" s="509"/>
      <c r="HW236" s="509"/>
      <c r="HX236" s="509"/>
      <c r="HY236" s="509"/>
      <c r="HZ236" s="509"/>
    </row>
    <row r="237" spans="1:234" ht="15.9" hidden="1" customHeight="1" x14ac:dyDescent="0.25">
      <c r="A237" s="540" t="s">
        <v>909</v>
      </c>
      <c r="B237" s="523" t="s">
        <v>705</v>
      </c>
      <c r="C237" s="524" t="s">
        <v>2811</v>
      </c>
      <c r="D237" s="553" t="s">
        <v>2158</v>
      </c>
      <c r="E237" s="524" t="s">
        <v>3228</v>
      </c>
      <c r="F237" s="544">
        <v>39728</v>
      </c>
      <c r="G237" s="586">
        <v>39692</v>
      </c>
      <c r="H237" s="544">
        <v>39721</v>
      </c>
      <c r="I237" s="588">
        <v>41670</v>
      </c>
      <c r="J237" s="595">
        <v>10</v>
      </c>
      <c r="K237" s="561" t="s">
        <v>3229</v>
      </c>
      <c r="L237" s="553" t="s">
        <v>3229</v>
      </c>
      <c r="M237" s="600">
        <v>0</v>
      </c>
      <c r="N237" s="601">
        <v>1</v>
      </c>
      <c r="O237" s="596">
        <v>0.4</v>
      </c>
      <c r="P237" s="596" t="s">
        <v>3229</v>
      </c>
      <c r="Q237" s="575" t="s">
        <v>3229</v>
      </c>
      <c r="R237" s="596" t="s">
        <v>3229</v>
      </c>
      <c r="S237" s="597"/>
      <c r="T237" s="563" t="s">
        <v>3229</v>
      </c>
      <c r="U237" s="563" t="s">
        <v>3229</v>
      </c>
      <c r="V237" s="563" t="s">
        <v>3229</v>
      </c>
      <c r="W237" s="563" t="s">
        <v>3229</v>
      </c>
      <c r="X237" s="563" t="s">
        <v>3229</v>
      </c>
      <c r="Y237" s="563" t="s">
        <v>3229</v>
      </c>
      <c r="Z237" s="563" t="s">
        <v>3229</v>
      </c>
      <c r="AA237" s="563" t="s">
        <v>3229</v>
      </c>
      <c r="AB237" s="563" t="s">
        <v>3229</v>
      </c>
      <c r="AC237" s="563" t="s">
        <v>3229</v>
      </c>
      <c r="AD237" s="563" t="s">
        <v>3229</v>
      </c>
      <c r="AE237" s="563" t="s">
        <v>3229</v>
      </c>
      <c r="AF237" s="3764" t="s">
        <v>781</v>
      </c>
      <c r="AG237" s="3765"/>
      <c r="AH237" s="673" t="s">
        <v>3229</v>
      </c>
      <c r="AI237" s="673" t="s">
        <v>3229</v>
      </c>
      <c r="AJ237" s="673" t="s">
        <v>3229</v>
      </c>
      <c r="AK237" s="673" t="s">
        <v>3229</v>
      </c>
      <c r="AL237" s="673" t="s">
        <v>3229</v>
      </c>
      <c r="AM237" s="590">
        <v>1</v>
      </c>
      <c r="AN237" s="638">
        <v>0.4</v>
      </c>
      <c r="AO237" s="625">
        <v>14</v>
      </c>
      <c r="AP237" s="1368">
        <v>0.40114944444444439</v>
      </c>
      <c r="AQ237" s="606">
        <v>0.43774374722047349</v>
      </c>
      <c r="AR237" s="632">
        <f t="shared" si="38"/>
        <v>0.4</v>
      </c>
      <c r="AS237" s="558">
        <f>POWER(1+AR237,1/((I237-F237)/365))-1</f>
        <v>6.5282633434196713E-2</v>
      </c>
      <c r="AT237" s="648">
        <f>J237*(1+AR237)/AO237-1</f>
        <v>0</v>
      </c>
      <c r="AU237" s="559" t="e">
        <f>POWER(1+AT237,1/AG237)-1</f>
        <v>#DIV/0!</v>
      </c>
      <c r="AV237" s="558">
        <v>0</v>
      </c>
      <c r="AW237" s="558">
        <f>POWER(1+AV237,1/((I237-F237)/365))-1</f>
        <v>0</v>
      </c>
      <c r="AX237" s="558"/>
      <c r="AY237" s="559"/>
      <c r="AZ237" s="642">
        <f t="shared" ref="AZ237:AZ247" si="39">J237*(1+AV237)</f>
        <v>10</v>
      </c>
      <c r="BA237" s="644" t="s">
        <v>910</v>
      </c>
      <c r="BB237" s="570"/>
      <c r="BC237" s="637"/>
      <c r="BH237" s="3763"/>
      <c r="BI237" s="3763"/>
      <c r="BJ237" s="1639"/>
      <c r="BK237" s="1639"/>
      <c r="BL237" s="1639"/>
      <c r="BM237" s="1639"/>
      <c r="BN237" s="1639"/>
      <c r="BO237" s="1639"/>
      <c r="BP237" s="1639"/>
      <c r="BQ237" s="1639"/>
      <c r="BR237" s="1639"/>
      <c r="BS237" s="509"/>
      <c r="BT237" s="509"/>
      <c r="BU237" s="509"/>
      <c r="BV237" s="509"/>
      <c r="BW237" s="509"/>
      <c r="BX237" s="509"/>
      <c r="BY237" s="509"/>
      <c r="BZ237" s="509"/>
      <c r="CA237" s="509"/>
      <c r="CB237" s="509"/>
      <c r="CC237" s="509"/>
      <c r="CD237" s="509"/>
      <c r="CE237" s="509"/>
      <c r="CF237" s="509"/>
      <c r="CG237" s="509"/>
      <c r="CH237" s="509"/>
      <c r="CI237" s="509"/>
      <c r="CJ237" s="509"/>
      <c r="CK237" s="509"/>
      <c r="CL237" s="509"/>
      <c r="CM237" s="509"/>
      <c r="CN237" s="509"/>
      <c r="CO237" s="509"/>
      <c r="CP237" s="509"/>
      <c r="CQ237" s="509"/>
      <c r="CR237" s="509"/>
      <c r="CS237" s="509"/>
      <c r="CT237" s="509"/>
      <c r="CU237" s="509"/>
      <c r="CV237" s="509"/>
      <c r="CW237" s="509"/>
      <c r="CX237" s="509"/>
      <c r="CY237" s="509"/>
      <c r="CZ237" s="509"/>
      <c r="DA237" s="509"/>
      <c r="DB237" s="509"/>
      <c r="DC237" s="509"/>
      <c r="DD237" s="509"/>
      <c r="DE237" s="509"/>
      <c r="DF237" s="509"/>
      <c r="DG237" s="509"/>
      <c r="DH237" s="509"/>
      <c r="DI237" s="509"/>
      <c r="DJ237" s="509"/>
      <c r="DK237" s="509"/>
      <c r="DL237" s="509"/>
      <c r="DM237" s="509"/>
      <c r="DN237" s="509"/>
      <c r="DO237" s="509"/>
      <c r="DP237" s="509"/>
      <c r="DQ237" s="509"/>
      <c r="DR237" s="509"/>
      <c r="DS237" s="509"/>
      <c r="DT237" s="509"/>
      <c r="DU237" s="509"/>
      <c r="DV237" s="509"/>
      <c r="DW237" s="509"/>
      <c r="DX237" s="509"/>
      <c r="DY237" s="509"/>
      <c r="DZ237" s="509"/>
      <c r="EA237" s="509"/>
      <c r="EB237" s="509"/>
      <c r="EC237" s="509"/>
      <c r="ED237" s="509"/>
      <c r="EE237" s="509"/>
      <c r="EF237" s="509"/>
      <c r="EG237" s="509"/>
      <c r="EH237" s="509"/>
      <c r="EI237" s="509"/>
      <c r="EJ237" s="509"/>
      <c r="EK237" s="509"/>
      <c r="EL237" s="509"/>
      <c r="EM237" s="509"/>
      <c r="EN237" s="509"/>
      <c r="EO237" s="509"/>
      <c r="EP237" s="509"/>
      <c r="EQ237" s="509"/>
      <c r="ER237" s="509"/>
      <c r="ES237" s="509"/>
      <c r="ET237" s="509"/>
      <c r="EU237" s="509"/>
      <c r="EV237" s="509"/>
      <c r="EW237" s="509"/>
      <c r="EX237" s="509"/>
      <c r="EY237" s="509"/>
      <c r="EZ237" s="509"/>
      <c r="FA237" s="509"/>
      <c r="FB237" s="509"/>
      <c r="FC237" s="509"/>
      <c r="FD237" s="509"/>
      <c r="FE237" s="509"/>
      <c r="FF237" s="509"/>
      <c r="FG237" s="509"/>
      <c r="FH237" s="509"/>
      <c r="FI237" s="509"/>
      <c r="FJ237" s="509"/>
      <c r="FK237" s="509"/>
      <c r="FL237" s="509"/>
      <c r="FM237" s="509"/>
      <c r="FN237" s="509"/>
      <c r="FO237" s="509"/>
      <c r="FP237" s="509"/>
      <c r="FQ237" s="509"/>
      <c r="FR237" s="509"/>
      <c r="FS237" s="509"/>
      <c r="FT237" s="509"/>
      <c r="FU237" s="509"/>
      <c r="FV237" s="509"/>
      <c r="FW237" s="509"/>
      <c r="FX237" s="509"/>
      <c r="FY237" s="509"/>
      <c r="FZ237" s="509"/>
      <c r="GA237" s="509"/>
      <c r="GB237" s="509"/>
      <c r="GC237" s="509"/>
      <c r="GD237" s="509"/>
      <c r="GE237" s="509"/>
      <c r="GF237" s="509"/>
      <c r="GG237" s="509"/>
      <c r="GH237" s="509"/>
      <c r="GI237" s="509"/>
      <c r="GJ237" s="509"/>
      <c r="GK237" s="509"/>
      <c r="GL237" s="509"/>
      <c r="GM237" s="509"/>
      <c r="GN237" s="509"/>
      <c r="GO237" s="509"/>
      <c r="GP237" s="509"/>
      <c r="GQ237" s="509"/>
      <c r="GR237" s="509"/>
      <c r="GS237" s="509"/>
      <c r="GT237" s="509"/>
      <c r="GU237" s="509"/>
      <c r="GV237" s="509"/>
      <c r="GW237" s="509"/>
      <c r="GX237" s="509"/>
      <c r="GY237" s="509"/>
      <c r="GZ237" s="509"/>
      <c r="HA237" s="509"/>
      <c r="HB237" s="509"/>
      <c r="HC237" s="509"/>
      <c r="HD237" s="509"/>
      <c r="HE237" s="509"/>
      <c r="HF237" s="509"/>
      <c r="HG237" s="509"/>
      <c r="HH237" s="509"/>
      <c r="HI237" s="509"/>
      <c r="HJ237" s="509"/>
      <c r="HK237" s="509"/>
      <c r="HL237" s="509"/>
      <c r="HM237" s="509"/>
      <c r="HN237" s="509"/>
      <c r="HO237" s="509"/>
      <c r="HP237" s="509"/>
      <c r="HQ237" s="509"/>
      <c r="HR237" s="509"/>
      <c r="HS237" s="509"/>
      <c r="HT237" s="509"/>
      <c r="HU237" s="509"/>
      <c r="HV237" s="509"/>
      <c r="HW237" s="509"/>
      <c r="HX237" s="509"/>
      <c r="HY237" s="509"/>
      <c r="HZ237" s="509"/>
    </row>
    <row r="238" spans="1:234" s="206" customFormat="1" ht="15.9" hidden="1" customHeight="1" x14ac:dyDescent="0.25">
      <c r="A238" s="541" t="s">
        <v>1397</v>
      </c>
      <c r="B238" s="523" t="s">
        <v>4062</v>
      </c>
      <c r="C238" s="529" t="s">
        <v>1721</v>
      </c>
      <c r="D238" s="553" t="s">
        <v>1962</v>
      </c>
      <c r="E238" s="526" t="s">
        <v>3228</v>
      </c>
      <c r="F238" s="586">
        <v>39728</v>
      </c>
      <c r="G238" s="586">
        <v>39661</v>
      </c>
      <c r="H238" s="557">
        <v>39721</v>
      </c>
      <c r="I238" s="604">
        <v>40662</v>
      </c>
      <c r="J238" s="607">
        <v>10</v>
      </c>
      <c r="K238" s="561" t="s">
        <v>3229</v>
      </c>
      <c r="L238" s="552" t="s">
        <v>3229</v>
      </c>
      <c r="M238" s="560">
        <v>0</v>
      </c>
      <c r="N238" s="606">
        <v>1</v>
      </c>
      <c r="O238" s="575" t="s">
        <v>3229</v>
      </c>
      <c r="P238" s="575" t="s">
        <v>3229</v>
      </c>
      <c r="Q238" s="575" t="s">
        <v>3229</v>
      </c>
      <c r="R238" s="575" t="s">
        <v>3229</v>
      </c>
      <c r="S238" s="608"/>
      <c r="T238" s="596" t="s">
        <v>3229</v>
      </c>
      <c r="U238" s="563" t="s">
        <v>3229</v>
      </c>
      <c r="V238" s="563" t="s">
        <v>3229</v>
      </c>
      <c r="W238" s="598" t="s">
        <v>3229</v>
      </c>
      <c r="X238" s="598" t="s">
        <v>3229</v>
      </c>
      <c r="Y238" s="598" t="s">
        <v>3229</v>
      </c>
      <c r="Z238" s="598" t="s">
        <v>3229</v>
      </c>
      <c r="AA238" s="598" t="s">
        <v>3229</v>
      </c>
      <c r="AB238" s="598" t="s">
        <v>3229</v>
      </c>
      <c r="AC238" s="598" t="s">
        <v>3229</v>
      </c>
      <c r="AD238" s="598" t="s">
        <v>3229</v>
      </c>
      <c r="AE238" s="598" t="s">
        <v>3229</v>
      </c>
      <c r="AF238" s="3764" t="s">
        <v>781</v>
      </c>
      <c r="AG238" s="3765"/>
      <c r="AH238" s="590" t="s">
        <v>3229</v>
      </c>
      <c r="AI238" s="530" t="s">
        <v>3229</v>
      </c>
      <c r="AJ238" s="530" t="s">
        <v>3229</v>
      </c>
      <c r="AK238" s="682" t="s">
        <v>3229</v>
      </c>
      <c r="AL238" s="530" t="s">
        <v>3229</v>
      </c>
      <c r="AM238" s="591">
        <v>1</v>
      </c>
      <c r="AN238" s="638">
        <v>0.12853333333333333</v>
      </c>
      <c r="AO238" s="662">
        <v>11.44</v>
      </c>
      <c r="AP238" s="1368">
        <v>0.1285</v>
      </c>
      <c r="AQ238" s="606">
        <v>0.1285</v>
      </c>
      <c r="AR238" s="558">
        <f>AO238/10-1</f>
        <v>0.14399999999999991</v>
      </c>
      <c r="AS238" s="558">
        <f>POWER(1+AR238,1/((I238-F238)/365))-1</f>
        <v>5.3980169998326E-2</v>
      </c>
      <c r="AT238" s="653"/>
      <c r="AU238" s="654"/>
      <c r="AV238" s="632">
        <v>0.14399999999999991</v>
      </c>
      <c r="AW238" s="558">
        <v>5.3980169998326E-2</v>
      </c>
      <c r="AX238" s="589"/>
      <c r="AY238" s="648"/>
      <c r="AZ238" s="676">
        <f t="shared" si="39"/>
        <v>11.44</v>
      </c>
      <c r="BA238" s="583" t="s">
        <v>3190</v>
      </c>
      <c r="BB238" s="570"/>
      <c r="BC238" s="581"/>
      <c r="BD238" s="3691"/>
      <c r="BE238" s="3743"/>
      <c r="BF238" s="3743"/>
      <c r="BG238" s="3708"/>
      <c r="BH238" s="3762"/>
      <c r="BI238" s="3762"/>
      <c r="BJ238" s="39"/>
      <c r="BK238" s="39"/>
      <c r="BL238" s="39"/>
      <c r="BM238" s="39"/>
      <c r="BN238" s="39"/>
      <c r="BO238" s="39"/>
      <c r="BP238" s="39"/>
      <c r="BQ238" s="39"/>
      <c r="BR238" s="39"/>
      <c r="BS238" s="507"/>
      <c r="BT238" s="507"/>
      <c r="BU238" s="507"/>
      <c r="BV238" s="507"/>
      <c r="BW238" s="507"/>
      <c r="BX238" s="507"/>
      <c r="BY238" s="507"/>
      <c r="BZ238" s="507"/>
      <c r="CA238" s="507"/>
      <c r="CB238" s="507"/>
      <c r="CC238" s="507"/>
      <c r="CD238" s="507"/>
      <c r="CE238" s="507"/>
      <c r="CF238" s="507"/>
      <c r="CG238" s="507"/>
      <c r="CH238" s="507"/>
      <c r="CI238" s="507"/>
      <c r="CJ238" s="507"/>
      <c r="CK238" s="507"/>
      <c r="CL238" s="507"/>
      <c r="CM238" s="507"/>
      <c r="CN238" s="507"/>
      <c r="CO238" s="507"/>
      <c r="CP238" s="507"/>
      <c r="CQ238" s="507"/>
      <c r="CR238" s="507"/>
      <c r="CS238" s="507"/>
      <c r="CT238" s="507"/>
      <c r="CU238" s="507"/>
      <c r="CV238" s="507"/>
      <c r="CW238" s="507"/>
      <c r="CX238" s="507"/>
      <c r="CY238" s="507"/>
      <c r="CZ238" s="507"/>
      <c r="DA238" s="507"/>
      <c r="DB238" s="507"/>
      <c r="DC238" s="507"/>
      <c r="DD238" s="507"/>
      <c r="DE238" s="507"/>
      <c r="DF238" s="507"/>
      <c r="DG238" s="507"/>
      <c r="DH238" s="507"/>
      <c r="DI238" s="507"/>
      <c r="DJ238" s="507"/>
      <c r="DK238" s="507"/>
      <c r="DL238" s="507"/>
      <c r="DM238" s="507"/>
      <c r="DN238" s="507"/>
      <c r="DO238" s="507"/>
      <c r="DP238" s="507"/>
      <c r="DQ238" s="507"/>
      <c r="DR238" s="507"/>
      <c r="DS238" s="507"/>
      <c r="DT238" s="507"/>
      <c r="DU238" s="507"/>
      <c r="DV238" s="507"/>
      <c r="DW238" s="507"/>
      <c r="DX238" s="507"/>
      <c r="DY238" s="507"/>
      <c r="DZ238" s="507"/>
      <c r="EA238" s="507"/>
      <c r="EB238" s="507"/>
      <c r="EC238" s="507"/>
      <c r="ED238" s="507"/>
      <c r="EE238" s="507"/>
      <c r="EF238" s="507"/>
      <c r="EG238" s="507"/>
      <c r="EH238" s="507"/>
      <c r="EI238" s="507"/>
      <c r="EJ238" s="507"/>
      <c r="EK238" s="507"/>
      <c r="EL238" s="507"/>
      <c r="EM238" s="507"/>
      <c r="EN238" s="507"/>
      <c r="EO238" s="507"/>
      <c r="EP238" s="507"/>
      <c r="EQ238" s="507"/>
      <c r="ER238" s="507"/>
      <c r="ES238" s="507"/>
      <c r="ET238" s="507"/>
      <c r="EU238" s="507"/>
      <c r="EV238" s="507"/>
      <c r="EW238" s="507"/>
      <c r="EX238" s="507"/>
      <c r="EY238" s="507"/>
      <c r="EZ238" s="507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  <c r="FU238" s="507"/>
      <c r="FV238" s="507"/>
      <c r="FW238" s="507"/>
      <c r="FX238" s="507"/>
      <c r="FY238" s="507"/>
      <c r="FZ238" s="507"/>
      <c r="GA238" s="507"/>
      <c r="GB238" s="507"/>
      <c r="GC238" s="507"/>
      <c r="GD238" s="507"/>
      <c r="GE238" s="507"/>
      <c r="GF238" s="507"/>
      <c r="GG238" s="507"/>
      <c r="GH238" s="507"/>
      <c r="GI238" s="507"/>
      <c r="GJ238" s="507"/>
      <c r="GK238" s="507"/>
      <c r="GL238" s="507"/>
      <c r="GM238" s="507"/>
      <c r="GN238" s="507"/>
      <c r="GO238" s="507"/>
      <c r="GP238" s="507"/>
      <c r="GQ238" s="507"/>
      <c r="GR238" s="507"/>
      <c r="GS238" s="507"/>
      <c r="GT238" s="507"/>
      <c r="GU238" s="507"/>
      <c r="GV238" s="507"/>
      <c r="GW238" s="507"/>
      <c r="GX238" s="507"/>
      <c r="GY238" s="507"/>
      <c r="GZ238" s="507"/>
      <c r="HA238" s="507"/>
      <c r="HB238" s="507"/>
      <c r="HC238" s="507"/>
      <c r="HD238" s="507"/>
      <c r="HE238" s="507"/>
      <c r="HF238" s="507"/>
      <c r="HG238" s="507"/>
      <c r="HH238" s="507"/>
      <c r="HI238" s="507"/>
      <c r="HJ238" s="507"/>
      <c r="HK238" s="507"/>
      <c r="HL238" s="507"/>
      <c r="HM238" s="507"/>
      <c r="HN238" s="507"/>
      <c r="HO238" s="507"/>
      <c r="HP238" s="507"/>
      <c r="HQ238" s="507"/>
      <c r="HR238" s="507"/>
      <c r="HS238" s="507"/>
      <c r="HT238" s="507"/>
      <c r="HU238" s="507"/>
      <c r="HV238" s="507"/>
      <c r="HW238" s="507"/>
      <c r="HX238" s="507"/>
      <c r="HY238" s="507"/>
      <c r="HZ238" s="507"/>
    </row>
    <row r="239" spans="1:234" ht="15.9" hidden="1" customHeight="1" x14ac:dyDescent="0.25">
      <c r="A239" s="541" t="s">
        <v>709</v>
      </c>
      <c r="B239" s="523" t="s">
        <v>706</v>
      </c>
      <c r="C239" s="524" t="s">
        <v>708</v>
      </c>
      <c r="D239" s="553" t="s">
        <v>710</v>
      </c>
      <c r="E239" s="524" t="s">
        <v>3228</v>
      </c>
      <c r="F239" s="544">
        <v>39731</v>
      </c>
      <c r="G239" s="586">
        <v>39692</v>
      </c>
      <c r="H239" s="557">
        <v>39724</v>
      </c>
      <c r="I239" s="604">
        <v>41768</v>
      </c>
      <c r="J239" s="579">
        <v>10</v>
      </c>
      <c r="K239" s="561" t="s">
        <v>3229</v>
      </c>
      <c r="L239" s="553" t="s">
        <v>3229</v>
      </c>
      <c r="M239" s="600">
        <v>0</v>
      </c>
      <c r="N239" s="601">
        <v>0.8</v>
      </c>
      <c r="O239" s="596">
        <v>0.55000000000000004</v>
      </c>
      <c r="P239" s="596" t="s">
        <v>3229</v>
      </c>
      <c r="Q239" s="596" t="s">
        <v>3229</v>
      </c>
      <c r="R239" s="596" t="s">
        <v>3229</v>
      </c>
      <c r="S239" s="597"/>
      <c r="T239" s="563" t="s">
        <v>3229</v>
      </c>
      <c r="U239" s="563" t="s">
        <v>3229</v>
      </c>
      <c r="V239" s="563" t="s">
        <v>3229</v>
      </c>
      <c r="W239" s="563" t="s">
        <v>3229</v>
      </c>
      <c r="X239" s="563" t="s">
        <v>3229</v>
      </c>
      <c r="Y239" s="563" t="s">
        <v>3229</v>
      </c>
      <c r="Z239" s="563" t="s">
        <v>3229</v>
      </c>
      <c r="AA239" s="563" t="s">
        <v>3229</v>
      </c>
      <c r="AB239" s="563" t="s">
        <v>3229</v>
      </c>
      <c r="AC239" s="563" t="s">
        <v>3229</v>
      </c>
      <c r="AD239" s="563" t="s">
        <v>3229</v>
      </c>
      <c r="AE239" s="563" t="s">
        <v>3229</v>
      </c>
      <c r="AF239" s="3764" t="s">
        <v>781</v>
      </c>
      <c r="AG239" s="3765"/>
      <c r="AH239" s="673" t="s">
        <v>3229</v>
      </c>
      <c r="AI239" s="673" t="s">
        <v>3229</v>
      </c>
      <c r="AJ239" s="673" t="s">
        <v>3229</v>
      </c>
      <c r="AK239" s="673" t="s">
        <v>3229</v>
      </c>
      <c r="AL239" s="673" t="s">
        <v>3229</v>
      </c>
      <c r="AM239" s="591">
        <v>1</v>
      </c>
      <c r="AN239" s="638">
        <v>0.53639999999999999</v>
      </c>
      <c r="AO239" s="625">
        <v>15.31</v>
      </c>
      <c r="AP239" s="1368">
        <v>0.55436255555555558</v>
      </c>
      <c r="AQ239" s="675">
        <v>0.58189219545784387</v>
      </c>
      <c r="AR239" s="3773">
        <f>O239</f>
        <v>0.55000000000000004</v>
      </c>
      <c r="AS239" s="3774">
        <f>POWER(1+AR239,1/((I239-F239)/365))-1</f>
        <v>8.1694446017619882E-2</v>
      </c>
      <c r="AT239" s="3774">
        <f>J239*(1+AR239)/AO239-1</f>
        <v>1.2410189418680551E-2</v>
      </c>
      <c r="AU239" s="3774" t="e">
        <f>POWER(1+AT239,1/AG239)-1</f>
        <v>#DIV/0!</v>
      </c>
      <c r="AV239" s="632">
        <v>0</v>
      </c>
      <c r="AW239" s="558">
        <v>0</v>
      </c>
      <c r="AX239" s="589">
        <f t="shared" ref="AX239:AX246" si="40">J239*(1+AV239)/AO239-1</f>
        <v>-0.34683213585891581</v>
      </c>
      <c r="AY239" s="648" t="e">
        <f t="shared" ref="AY239:AY246" si="41">POWER(1+AX239,1/AG239)-1</f>
        <v>#DIV/0!</v>
      </c>
      <c r="AZ239" s="676">
        <f>J239*(1+AV239)</f>
        <v>10</v>
      </c>
      <c r="BA239" s="644" t="s">
        <v>711</v>
      </c>
      <c r="BB239" s="536"/>
      <c r="BC239" s="581"/>
      <c r="BH239" s="3763"/>
      <c r="BI239" s="3763"/>
      <c r="BJ239" s="1639"/>
      <c r="BK239" s="1639"/>
      <c r="BL239" s="1639"/>
      <c r="BM239" s="1639"/>
      <c r="BN239" s="1639"/>
      <c r="BO239" s="1639"/>
      <c r="BP239" s="1639"/>
      <c r="BQ239" s="1639"/>
      <c r="BR239" s="1639"/>
      <c r="BS239" s="509"/>
      <c r="BT239" s="509"/>
      <c r="BU239" s="509"/>
      <c r="BV239" s="509"/>
      <c r="BW239" s="509"/>
      <c r="BX239" s="509"/>
      <c r="BY239" s="509"/>
      <c r="BZ239" s="509"/>
      <c r="CA239" s="509"/>
      <c r="CB239" s="509"/>
      <c r="CC239" s="509"/>
      <c r="CD239" s="509"/>
      <c r="CE239" s="509"/>
      <c r="CF239" s="509"/>
      <c r="CG239" s="509"/>
      <c r="CH239" s="509"/>
      <c r="CI239" s="509"/>
      <c r="CJ239" s="509"/>
      <c r="CK239" s="509"/>
      <c r="CL239" s="509"/>
      <c r="CM239" s="509"/>
      <c r="CN239" s="509"/>
      <c r="CO239" s="509"/>
      <c r="CP239" s="509"/>
      <c r="CQ239" s="509"/>
      <c r="CR239" s="509"/>
      <c r="CS239" s="509"/>
      <c r="CT239" s="509"/>
      <c r="CU239" s="509"/>
      <c r="CV239" s="509"/>
      <c r="CW239" s="509"/>
      <c r="CX239" s="509"/>
      <c r="CY239" s="509"/>
      <c r="CZ239" s="509"/>
      <c r="DA239" s="509"/>
      <c r="DB239" s="509"/>
      <c r="DC239" s="509"/>
      <c r="DD239" s="509"/>
      <c r="DE239" s="509"/>
      <c r="DF239" s="509"/>
      <c r="DG239" s="509"/>
      <c r="DH239" s="509"/>
      <c r="DI239" s="509"/>
      <c r="DJ239" s="509"/>
      <c r="DK239" s="509"/>
      <c r="DL239" s="509"/>
      <c r="DM239" s="509"/>
      <c r="DN239" s="509"/>
      <c r="DO239" s="509"/>
      <c r="DP239" s="509"/>
      <c r="DQ239" s="509"/>
      <c r="DR239" s="509"/>
      <c r="DS239" s="509"/>
      <c r="DT239" s="509"/>
      <c r="DU239" s="509"/>
      <c r="DV239" s="509"/>
      <c r="DW239" s="509"/>
      <c r="DX239" s="509"/>
      <c r="DY239" s="509"/>
      <c r="DZ239" s="509"/>
      <c r="EA239" s="509"/>
      <c r="EB239" s="509"/>
      <c r="EC239" s="509"/>
      <c r="ED239" s="509"/>
      <c r="EE239" s="509"/>
      <c r="EF239" s="509"/>
      <c r="EG239" s="509"/>
      <c r="EH239" s="509"/>
      <c r="EI239" s="509"/>
      <c r="EJ239" s="509"/>
      <c r="EK239" s="509"/>
      <c r="EL239" s="509"/>
      <c r="EM239" s="509"/>
      <c r="EN239" s="509"/>
      <c r="EO239" s="509"/>
      <c r="EP239" s="509"/>
      <c r="EQ239" s="509"/>
      <c r="ER239" s="509"/>
      <c r="ES239" s="509"/>
      <c r="ET239" s="509"/>
      <c r="EU239" s="509"/>
      <c r="EV239" s="509"/>
      <c r="EW239" s="509"/>
      <c r="EX239" s="509"/>
      <c r="EY239" s="509"/>
      <c r="EZ239" s="509"/>
      <c r="FA239" s="509"/>
      <c r="FB239" s="509"/>
      <c r="FC239" s="509"/>
      <c r="FD239" s="509"/>
      <c r="FE239" s="509"/>
      <c r="FF239" s="509"/>
      <c r="FG239" s="509"/>
      <c r="FH239" s="509"/>
      <c r="FI239" s="509"/>
      <c r="FJ239" s="509"/>
      <c r="FK239" s="509"/>
      <c r="FL239" s="509"/>
      <c r="FM239" s="509"/>
      <c r="FN239" s="509"/>
      <c r="FO239" s="509"/>
      <c r="FP239" s="509"/>
      <c r="FQ239" s="509"/>
      <c r="FR239" s="509"/>
      <c r="FS239" s="509"/>
      <c r="FT239" s="509"/>
      <c r="FU239" s="509"/>
      <c r="FV239" s="509"/>
      <c r="FW239" s="509"/>
      <c r="FX239" s="509"/>
      <c r="FY239" s="509"/>
      <c r="FZ239" s="509"/>
      <c r="GA239" s="509"/>
      <c r="GB239" s="509"/>
      <c r="GC239" s="509"/>
      <c r="GD239" s="509"/>
      <c r="GE239" s="509"/>
      <c r="GF239" s="509"/>
      <c r="GG239" s="509"/>
      <c r="GH239" s="509"/>
      <c r="GI239" s="509"/>
      <c r="GJ239" s="509"/>
      <c r="GK239" s="509"/>
      <c r="GL239" s="509"/>
      <c r="GM239" s="509"/>
      <c r="GN239" s="509"/>
      <c r="GO239" s="509"/>
      <c r="GP239" s="509"/>
      <c r="GQ239" s="509"/>
      <c r="GR239" s="509"/>
      <c r="GS239" s="509"/>
      <c r="GT239" s="509"/>
      <c r="GU239" s="509"/>
      <c r="GV239" s="509"/>
      <c r="GW239" s="509"/>
      <c r="GX239" s="509"/>
      <c r="GY239" s="509"/>
      <c r="GZ239" s="509"/>
      <c r="HA239" s="509"/>
      <c r="HB239" s="509"/>
      <c r="HC239" s="509"/>
      <c r="HD239" s="509"/>
      <c r="HE239" s="509"/>
      <c r="HF239" s="509"/>
      <c r="HG239" s="509"/>
      <c r="HH239" s="509"/>
      <c r="HI239" s="509"/>
      <c r="HJ239" s="509"/>
      <c r="HK239" s="509"/>
      <c r="HL239" s="509"/>
      <c r="HM239" s="509"/>
      <c r="HN239" s="509"/>
      <c r="HO239" s="509"/>
      <c r="HP239" s="509"/>
      <c r="HQ239" s="509"/>
      <c r="HR239" s="509"/>
      <c r="HS239" s="509"/>
      <c r="HT239" s="509"/>
      <c r="HU239" s="509"/>
      <c r="HV239" s="509"/>
      <c r="HW239" s="509"/>
      <c r="HX239" s="509"/>
      <c r="HY239" s="509"/>
      <c r="HZ239" s="509"/>
    </row>
    <row r="240" spans="1:234" ht="15.9" hidden="1" customHeight="1" x14ac:dyDescent="0.25">
      <c r="A240" s="540" t="s">
        <v>3828</v>
      </c>
      <c r="B240" s="523" t="s">
        <v>707</v>
      </c>
      <c r="C240" s="524" t="s">
        <v>301</v>
      </c>
      <c r="D240" s="553" t="s">
        <v>3829</v>
      </c>
      <c r="E240" s="526" t="s">
        <v>3228</v>
      </c>
      <c r="F240" s="586">
        <v>39759</v>
      </c>
      <c r="G240" s="586">
        <v>39692</v>
      </c>
      <c r="H240" s="544">
        <v>39752</v>
      </c>
      <c r="I240" s="594">
        <v>41243</v>
      </c>
      <c r="J240" s="595">
        <v>10</v>
      </c>
      <c r="K240" s="561" t="s">
        <v>3229</v>
      </c>
      <c r="L240" s="553" t="s">
        <v>3229</v>
      </c>
      <c r="M240" s="600">
        <v>0</v>
      </c>
      <c r="N240" s="601">
        <v>0.9</v>
      </c>
      <c r="O240" s="596"/>
      <c r="P240" s="596" t="s">
        <v>3229</v>
      </c>
      <c r="Q240" s="596" t="s">
        <v>3229</v>
      </c>
      <c r="R240" s="596" t="s">
        <v>3229</v>
      </c>
      <c r="S240" s="597"/>
      <c r="T240" s="563" t="s">
        <v>3229</v>
      </c>
      <c r="U240" s="563" t="s">
        <v>3229</v>
      </c>
      <c r="V240" s="563" t="s">
        <v>3229</v>
      </c>
      <c r="W240" s="563" t="s">
        <v>3229</v>
      </c>
      <c r="X240" s="563" t="s">
        <v>3229</v>
      </c>
      <c r="Y240" s="563" t="s">
        <v>3229</v>
      </c>
      <c r="Z240" s="563" t="s">
        <v>3229</v>
      </c>
      <c r="AA240" s="563" t="s">
        <v>3229</v>
      </c>
      <c r="AB240" s="563" t="s">
        <v>3229</v>
      </c>
      <c r="AC240" s="563" t="s">
        <v>3229</v>
      </c>
      <c r="AD240" s="563" t="s">
        <v>3229</v>
      </c>
      <c r="AE240" s="563" t="s">
        <v>3229</v>
      </c>
      <c r="AF240" s="3764" t="s">
        <v>781</v>
      </c>
      <c r="AG240" s="3765"/>
      <c r="AH240" s="673" t="s">
        <v>3229</v>
      </c>
      <c r="AI240" s="673" t="s">
        <v>3229</v>
      </c>
      <c r="AJ240" s="673" t="s">
        <v>3229</v>
      </c>
      <c r="AK240" s="673" t="s">
        <v>3229</v>
      </c>
      <c r="AL240" s="673" t="s">
        <v>3229</v>
      </c>
      <c r="AM240" s="590">
        <v>1</v>
      </c>
      <c r="AN240" s="638">
        <v>4.1120324999999978E-2</v>
      </c>
      <c r="AO240" s="625">
        <v>10.61</v>
      </c>
      <c r="AP240" s="1368">
        <v>4.5689249999999973E-2</v>
      </c>
      <c r="AQ240" s="658">
        <v>-1.5299994133684634E-2</v>
      </c>
      <c r="AR240" s="558" t="s">
        <v>3660</v>
      </c>
      <c r="AS240" s="558"/>
      <c r="AT240" s="648"/>
      <c r="AU240" s="559"/>
      <c r="AV240" s="558">
        <v>0</v>
      </c>
      <c r="AW240" s="558">
        <v>0</v>
      </c>
      <c r="AX240" s="589"/>
      <c r="AY240" s="587"/>
      <c r="AZ240" s="676">
        <v>10</v>
      </c>
      <c r="BA240" s="644" t="s">
        <v>574</v>
      </c>
      <c r="BB240" s="570"/>
      <c r="BC240" s="637"/>
      <c r="BH240" s="3763"/>
      <c r="BI240" s="3763"/>
      <c r="BJ240" s="1639"/>
      <c r="BK240" s="1639"/>
      <c r="BL240" s="1639"/>
      <c r="BM240" s="1639"/>
      <c r="BN240" s="1639"/>
      <c r="BO240" s="1639"/>
      <c r="BP240" s="1639"/>
      <c r="BQ240" s="1639"/>
      <c r="BR240" s="1639"/>
      <c r="BS240" s="509"/>
      <c r="BT240" s="509"/>
      <c r="BU240" s="509"/>
      <c r="BV240" s="509"/>
      <c r="BW240" s="509"/>
      <c r="BX240" s="509"/>
      <c r="BY240" s="509"/>
      <c r="BZ240" s="509"/>
      <c r="CA240" s="509"/>
      <c r="CB240" s="509"/>
      <c r="CC240" s="509"/>
      <c r="CD240" s="509"/>
      <c r="CE240" s="509"/>
      <c r="CF240" s="509"/>
      <c r="CG240" s="509"/>
      <c r="CH240" s="509"/>
      <c r="CI240" s="509"/>
      <c r="CJ240" s="509"/>
      <c r="CK240" s="509"/>
      <c r="CL240" s="509"/>
      <c r="CM240" s="509"/>
      <c r="CN240" s="509"/>
      <c r="CO240" s="509"/>
      <c r="CP240" s="509"/>
      <c r="CQ240" s="509"/>
      <c r="CR240" s="509"/>
      <c r="CS240" s="509"/>
      <c r="CT240" s="509"/>
      <c r="CU240" s="509"/>
      <c r="CV240" s="509"/>
      <c r="CW240" s="509"/>
      <c r="CX240" s="509"/>
      <c r="CY240" s="509"/>
      <c r="CZ240" s="509"/>
      <c r="DA240" s="509"/>
      <c r="DB240" s="509"/>
      <c r="DC240" s="509"/>
      <c r="DD240" s="509"/>
      <c r="DE240" s="509"/>
      <c r="DF240" s="509"/>
      <c r="DG240" s="509"/>
      <c r="DH240" s="509"/>
      <c r="DI240" s="509"/>
      <c r="DJ240" s="509"/>
      <c r="DK240" s="509"/>
      <c r="DL240" s="509"/>
      <c r="DM240" s="509"/>
      <c r="DN240" s="509"/>
      <c r="DO240" s="509"/>
      <c r="DP240" s="509"/>
      <c r="DQ240" s="509"/>
      <c r="DR240" s="509"/>
      <c r="DS240" s="509"/>
      <c r="DT240" s="509"/>
      <c r="DU240" s="509"/>
      <c r="DV240" s="509"/>
      <c r="DW240" s="509"/>
      <c r="DX240" s="509"/>
      <c r="DY240" s="509"/>
      <c r="DZ240" s="509"/>
      <c r="EA240" s="509"/>
      <c r="EB240" s="509"/>
      <c r="EC240" s="509"/>
      <c r="ED240" s="509"/>
      <c r="EE240" s="509"/>
      <c r="EF240" s="509"/>
      <c r="EG240" s="509"/>
      <c r="EH240" s="509"/>
      <c r="EI240" s="509"/>
      <c r="EJ240" s="509"/>
      <c r="EK240" s="509"/>
      <c r="EL240" s="509"/>
      <c r="EM240" s="509"/>
      <c r="EN240" s="509"/>
      <c r="EO240" s="509"/>
      <c r="EP240" s="509"/>
      <c r="EQ240" s="509"/>
      <c r="ER240" s="509"/>
      <c r="ES240" s="509"/>
      <c r="ET240" s="509"/>
      <c r="EU240" s="509"/>
      <c r="EV240" s="509"/>
      <c r="EW240" s="509"/>
      <c r="EX240" s="509"/>
      <c r="EY240" s="509"/>
      <c r="EZ240" s="509"/>
      <c r="FA240" s="509"/>
      <c r="FB240" s="509"/>
      <c r="FC240" s="509"/>
      <c r="FD240" s="509"/>
      <c r="FE240" s="509"/>
      <c r="FF240" s="509"/>
      <c r="FG240" s="509"/>
      <c r="FH240" s="509"/>
      <c r="FI240" s="509"/>
      <c r="FJ240" s="509"/>
      <c r="FK240" s="509"/>
      <c r="FL240" s="509"/>
      <c r="FM240" s="509"/>
      <c r="FN240" s="509"/>
      <c r="FO240" s="509"/>
      <c r="FP240" s="509"/>
      <c r="FQ240" s="509"/>
      <c r="FR240" s="509"/>
      <c r="FS240" s="509"/>
      <c r="FT240" s="509"/>
      <c r="FU240" s="509"/>
      <c r="FV240" s="509"/>
      <c r="FW240" s="509"/>
      <c r="FX240" s="509"/>
      <c r="FY240" s="509"/>
      <c r="FZ240" s="509"/>
      <c r="GA240" s="509"/>
      <c r="GB240" s="509"/>
      <c r="GC240" s="509"/>
      <c r="GD240" s="509"/>
      <c r="GE240" s="509"/>
      <c r="GF240" s="509"/>
      <c r="GG240" s="509"/>
      <c r="GH240" s="509"/>
      <c r="GI240" s="509"/>
      <c r="GJ240" s="509"/>
      <c r="GK240" s="509"/>
      <c r="GL240" s="509"/>
      <c r="GM240" s="509"/>
      <c r="GN240" s="509"/>
      <c r="GO240" s="509"/>
      <c r="GP240" s="509"/>
      <c r="GQ240" s="509"/>
      <c r="GR240" s="509"/>
      <c r="GS240" s="509"/>
      <c r="GT240" s="509"/>
      <c r="GU240" s="509"/>
      <c r="GV240" s="509"/>
      <c r="GW240" s="509"/>
      <c r="GX240" s="509"/>
      <c r="GY240" s="509"/>
      <c r="GZ240" s="509"/>
      <c r="HA240" s="509"/>
      <c r="HB240" s="509"/>
      <c r="HC240" s="509"/>
      <c r="HD240" s="509"/>
      <c r="HE240" s="509"/>
      <c r="HF240" s="509"/>
      <c r="HG240" s="509"/>
      <c r="HH240" s="509"/>
      <c r="HI240" s="509"/>
      <c r="HJ240" s="509"/>
      <c r="HK240" s="509"/>
      <c r="HL240" s="509"/>
      <c r="HM240" s="509"/>
      <c r="HN240" s="509"/>
      <c r="HO240" s="509"/>
      <c r="HP240" s="509"/>
      <c r="HQ240" s="509"/>
      <c r="HR240" s="509"/>
      <c r="HS240" s="509"/>
      <c r="HT240" s="509"/>
      <c r="HU240" s="509"/>
      <c r="HV240" s="509"/>
      <c r="HW240" s="509"/>
      <c r="HX240" s="509"/>
      <c r="HY240" s="509"/>
      <c r="HZ240" s="509"/>
    </row>
    <row r="241" spans="1:234" s="206" customFormat="1" ht="15.9" hidden="1" customHeight="1" x14ac:dyDescent="0.25">
      <c r="A241" s="541" t="s">
        <v>1736</v>
      </c>
      <c r="B241" s="523" t="s">
        <v>3863</v>
      </c>
      <c r="C241" s="529" t="s">
        <v>942</v>
      </c>
      <c r="D241" s="553" t="s">
        <v>3679</v>
      </c>
      <c r="E241" s="526" t="s">
        <v>3228</v>
      </c>
      <c r="F241" s="586">
        <v>39787</v>
      </c>
      <c r="G241" s="586">
        <v>39722</v>
      </c>
      <c r="H241" s="557">
        <v>39780</v>
      </c>
      <c r="I241" s="604">
        <v>41089</v>
      </c>
      <c r="J241" s="607">
        <v>10</v>
      </c>
      <c r="K241" s="561">
        <v>1.4999999999999999E-2</v>
      </c>
      <c r="L241" s="552">
        <v>7.0000000000000007E-2</v>
      </c>
      <c r="M241" s="560">
        <v>0.08</v>
      </c>
      <c r="N241" s="606" t="s">
        <v>3229</v>
      </c>
      <c r="O241" s="575">
        <v>0.19</v>
      </c>
      <c r="P241" s="575" t="s">
        <v>3229</v>
      </c>
      <c r="Q241" s="575">
        <v>0.05</v>
      </c>
      <c r="R241" s="575" t="s">
        <v>3229</v>
      </c>
      <c r="S241" s="608">
        <v>3</v>
      </c>
      <c r="T241" s="563">
        <v>40148</v>
      </c>
      <c r="U241" s="563">
        <v>40514</v>
      </c>
      <c r="V241" s="563">
        <v>41063</v>
      </c>
      <c r="W241" s="598" t="s">
        <v>3229</v>
      </c>
      <c r="X241" s="598" t="s">
        <v>3229</v>
      </c>
      <c r="Y241" s="598" t="s">
        <v>3229</v>
      </c>
      <c r="Z241" s="598" t="s">
        <v>3229</v>
      </c>
      <c r="AA241" s="598" t="s">
        <v>3229</v>
      </c>
      <c r="AB241" s="598" t="s">
        <v>3229</v>
      </c>
      <c r="AC241" s="598" t="s">
        <v>3229</v>
      </c>
      <c r="AD241" s="598" t="s">
        <v>3229</v>
      </c>
      <c r="AE241" s="598" t="s">
        <v>3229</v>
      </c>
      <c r="AF241" s="3764" t="s">
        <v>781</v>
      </c>
      <c r="AG241" s="3765"/>
      <c r="AH241" s="590" t="s">
        <v>3229</v>
      </c>
      <c r="AI241" s="530" t="s">
        <v>3229</v>
      </c>
      <c r="AJ241" s="530" t="s">
        <v>3229</v>
      </c>
      <c r="AK241" s="682" t="s">
        <v>3229</v>
      </c>
      <c r="AL241" s="530" t="s">
        <v>3229</v>
      </c>
      <c r="AM241" s="591">
        <v>1</v>
      </c>
      <c r="AN241" s="638">
        <v>0.08</v>
      </c>
      <c r="AO241" s="662">
        <v>10.97</v>
      </c>
      <c r="AP241" s="1368">
        <v>-0.16535016054545959</v>
      </c>
      <c r="AQ241" s="606">
        <v>-0.16535016054545959</v>
      </c>
      <c r="AR241" s="558">
        <f>O241</f>
        <v>0.19</v>
      </c>
      <c r="AS241" s="558">
        <f>POWER(1+AR241,1/((I241-F241)/365))-1</f>
        <v>4.9974325597328839E-2</v>
      </c>
      <c r="AT241" s="653">
        <f>J241*(1+AR241)/AO241-1</f>
        <v>8.4776663628076454E-2</v>
      </c>
      <c r="AU241" s="654" t="e">
        <f>POWER(1+AT241,1/AG241)-1</f>
        <v>#DIV/0!</v>
      </c>
      <c r="AV241" s="632">
        <f>M241</f>
        <v>0.08</v>
      </c>
      <c r="AW241" s="558">
        <f>POWER(1+AV241,1/((I241-F241)/365))-1</f>
        <v>2.180952520586632E-2</v>
      </c>
      <c r="AX241" s="589">
        <f t="shared" si="40"/>
        <v>-1.5496809480401108E-2</v>
      </c>
      <c r="AY241" s="648" t="e">
        <f t="shared" si="41"/>
        <v>#DIV/0!</v>
      </c>
      <c r="AZ241" s="676">
        <f t="shared" si="39"/>
        <v>10.8</v>
      </c>
      <c r="BA241" s="583" t="s">
        <v>2585</v>
      </c>
      <c r="BB241" s="570" t="s">
        <v>2025</v>
      </c>
      <c r="BC241" s="581" t="s">
        <v>2895</v>
      </c>
      <c r="BD241" s="3691"/>
      <c r="BE241" s="3743"/>
      <c r="BF241" s="3743"/>
      <c r="BG241" s="3708"/>
      <c r="BH241" s="3762"/>
      <c r="BI241" s="3762"/>
      <c r="BJ241" s="39"/>
      <c r="BK241" s="39"/>
      <c r="BL241" s="39"/>
      <c r="BM241" s="39"/>
      <c r="BN241" s="39"/>
      <c r="BO241" s="39"/>
      <c r="BP241" s="39"/>
      <c r="BQ241" s="39"/>
      <c r="BR241" s="39"/>
      <c r="BS241" s="507"/>
      <c r="BT241" s="507"/>
      <c r="BU241" s="507"/>
      <c r="BV241" s="507"/>
      <c r="BW241" s="507"/>
      <c r="BX241" s="507"/>
      <c r="BY241" s="507"/>
      <c r="BZ241" s="507"/>
      <c r="CA241" s="507"/>
      <c r="CB241" s="507"/>
      <c r="CC241" s="507"/>
      <c r="CD241" s="507"/>
      <c r="CE241" s="507"/>
      <c r="CF241" s="507"/>
      <c r="CG241" s="507"/>
      <c r="CH241" s="507"/>
      <c r="CI241" s="507"/>
      <c r="CJ241" s="507"/>
      <c r="CK241" s="507"/>
      <c r="CL241" s="507"/>
      <c r="CM241" s="507"/>
      <c r="CN241" s="507"/>
      <c r="CO241" s="507"/>
      <c r="CP241" s="507"/>
      <c r="CQ241" s="507"/>
      <c r="CR241" s="507"/>
      <c r="CS241" s="507"/>
      <c r="CT241" s="507"/>
      <c r="CU241" s="507"/>
      <c r="CV241" s="507"/>
      <c r="CW241" s="507"/>
      <c r="CX241" s="507"/>
      <c r="CY241" s="507"/>
      <c r="CZ241" s="507"/>
      <c r="DA241" s="507"/>
      <c r="DB241" s="507"/>
      <c r="DC241" s="507"/>
      <c r="DD241" s="507"/>
      <c r="DE241" s="507"/>
      <c r="DF241" s="507"/>
      <c r="DG241" s="507"/>
      <c r="DH241" s="507"/>
      <c r="DI241" s="507"/>
      <c r="DJ241" s="507"/>
      <c r="DK241" s="507"/>
      <c r="DL241" s="507"/>
      <c r="DM241" s="507"/>
      <c r="DN241" s="507"/>
      <c r="DO241" s="507"/>
      <c r="DP241" s="507"/>
      <c r="DQ241" s="507"/>
      <c r="DR241" s="507"/>
      <c r="DS241" s="507"/>
      <c r="DT241" s="507"/>
      <c r="DU241" s="507"/>
      <c r="DV241" s="507"/>
      <c r="DW241" s="507"/>
      <c r="DX241" s="507"/>
      <c r="DY241" s="507"/>
      <c r="DZ241" s="507"/>
      <c r="EA241" s="507"/>
      <c r="EB241" s="507"/>
      <c r="EC241" s="507"/>
      <c r="ED241" s="507"/>
      <c r="EE241" s="507"/>
      <c r="EF241" s="507"/>
      <c r="EG241" s="507"/>
      <c r="EH241" s="507"/>
      <c r="EI241" s="507"/>
      <c r="EJ241" s="507"/>
      <c r="EK241" s="507"/>
      <c r="EL241" s="507"/>
      <c r="EM241" s="507"/>
      <c r="EN241" s="507"/>
      <c r="EO241" s="507"/>
      <c r="EP241" s="507"/>
      <c r="EQ241" s="507"/>
      <c r="ER241" s="507"/>
      <c r="ES241" s="507"/>
      <c r="ET241" s="507"/>
      <c r="EU241" s="507"/>
      <c r="EV241" s="507"/>
      <c r="EW241" s="507"/>
      <c r="EX241" s="507"/>
      <c r="EY241" s="507"/>
      <c r="EZ241" s="507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  <c r="FU241" s="507"/>
      <c r="FV241" s="507"/>
      <c r="FW241" s="507"/>
      <c r="FX241" s="507"/>
      <c r="FY241" s="507"/>
      <c r="FZ241" s="507"/>
      <c r="GA241" s="507"/>
      <c r="GB241" s="507"/>
      <c r="GC241" s="507"/>
      <c r="GD241" s="507"/>
      <c r="GE241" s="507"/>
      <c r="GF241" s="507"/>
      <c r="GG241" s="507"/>
      <c r="GH241" s="507"/>
      <c r="GI241" s="507"/>
      <c r="GJ241" s="507"/>
      <c r="GK241" s="507"/>
      <c r="GL241" s="507"/>
      <c r="GM241" s="507"/>
      <c r="GN241" s="507"/>
      <c r="GO241" s="507"/>
      <c r="GP241" s="507"/>
      <c r="GQ241" s="507"/>
      <c r="GR241" s="507"/>
      <c r="GS241" s="507"/>
      <c r="GT241" s="507"/>
      <c r="GU241" s="507"/>
      <c r="GV241" s="507"/>
      <c r="GW241" s="507"/>
      <c r="GX241" s="507"/>
      <c r="GY241" s="507"/>
      <c r="GZ241" s="507"/>
      <c r="HA241" s="507"/>
      <c r="HB241" s="507"/>
      <c r="HC241" s="507"/>
      <c r="HD241" s="507"/>
      <c r="HE241" s="507"/>
      <c r="HF241" s="507"/>
      <c r="HG241" s="507"/>
      <c r="HH241" s="507"/>
      <c r="HI241" s="507"/>
      <c r="HJ241" s="507"/>
      <c r="HK241" s="507"/>
      <c r="HL241" s="507"/>
      <c r="HM241" s="507"/>
      <c r="HN241" s="507"/>
      <c r="HO241" s="507"/>
      <c r="HP241" s="507"/>
      <c r="HQ241" s="507"/>
      <c r="HR241" s="507"/>
      <c r="HS241" s="507"/>
      <c r="HT241" s="507"/>
      <c r="HU241" s="507"/>
      <c r="HV241" s="507"/>
      <c r="HW241" s="507"/>
      <c r="HX241" s="507"/>
      <c r="HY241" s="507"/>
      <c r="HZ241" s="507"/>
    </row>
    <row r="242" spans="1:234" ht="15.9" hidden="1" customHeight="1" x14ac:dyDescent="0.25">
      <c r="A242" s="541" t="s">
        <v>2853</v>
      </c>
      <c r="B242" s="523" t="s">
        <v>1737</v>
      </c>
      <c r="C242" s="524" t="s">
        <v>4023</v>
      </c>
      <c r="D242" s="553" t="s">
        <v>189</v>
      </c>
      <c r="E242" s="524" t="s">
        <v>3228</v>
      </c>
      <c r="F242" s="544">
        <v>39759</v>
      </c>
      <c r="G242" s="586">
        <v>39722</v>
      </c>
      <c r="H242" s="557">
        <v>39752</v>
      </c>
      <c r="I242" s="604">
        <v>41789</v>
      </c>
      <c r="J242" s="579">
        <v>10</v>
      </c>
      <c r="K242" s="561" t="s">
        <v>3229</v>
      </c>
      <c r="L242" s="553" t="s">
        <v>3229</v>
      </c>
      <c r="M242" s="600">
        <v>0</v>
      </c>
      <c r="N242" s="601">
        <v>0.7</v>
      </c>
      <c r="O242" s="596" t="s">
        <v>3229</v>
      </c>
      <c r="P242" s="596" t="s">
        <v>3229</v>
      </c>
      <c r="Q242" s="596" t="s">
        <v>3229</v>
      </c>
      <c r="R242" s="596" t="s">
        <v>3229</v>
      </c>
      <c r="S242" s="597"/>
      <c r="T242" s="563" t="s">
        <v>3229</v>
      </c>
      <c r="U242" s="563" t="s">
        <v>3229</v>
      </c>
      <c r="V242" s="563" t="s">
        <v>3229</v>
      </c>
      <c r="W242" s="563" t="s">
        <v>3229</v>
      </c>
      <c r="X242" s="563" t="s">
        <v>3229</v>
      </c>
      <c r="Y242" s="563" t="s">
        <v>3229</v>
      </c>
      <c r="Z242" s="563" t="s">
        <v>3229</v>
      </c>
      <c r="AA242" s="563" t="s">
        <v>3229</v>
      </c>
      <c r="AB242" s="563" t="s">
        <v>3229</v>
      </c>
      <c r="AC242" s="563" t="s">
        <v>3229</v>
      </c>
      <c r="AD242" s="563" t="s">
        <v>3229</v>
      </c>
      <c r="AE242" s="563" t="s">
        <v>3229</v>
      </c>
      <c r="AF242" s="3764" t="s">
        <v>781</v>
      </c>
      <c r="AG242" s="3765"/>
      <c r="AH242" s="673" t="s">
        <v>3229</v>
      </c>
      <c r="AI242" s="673" t="s">
        <v>3229</v>
      </c>
      <c r="AJ242" s="673" t="s">
        <v>3229</v>
      </c>
      <c r="AK242" s="673" t="s">
        <v>3229</v>
      </c>
      <c r="AL242" s="673" t="s">
        <v>3229</v>
      </c>
      <c r="AM242" s="591">
        <v>1</v>
      </c>
      <c r="AN242" s="638">
        <v>0.45327873888888881</v>
      </c>
      <c r="AO242" s="625">
        <v>14.64</v>
      </c>
      <c r="AP242" s="1368">
        <v>0.36697153888888889</v>
      </c>
      <c r="AQ242" s="675">
        <v>0.51432433075676043</v>
      </c>
      <c r="AR242" s="3773" t="s">
        <v>3660</v>
      </c>
      <c r="AS242" s="3774"/>
      <c r="AT242" s="3774"/>
      <c r="AU242" s="3774"/>
      <c r="AV242" s="632">
        <v>0</v>
      </c>
      <c r="AW242" s="558">
        <v>0</v>
      </c>
      <c r="AX242" s="589">
        <v>-0.31693989071038253</v>
      </c>
      <c r="AY242" s="648">
        <v>-0.99031907401239894</v>
      </c>
      <c r="AZ242" s="676">
        <v>10</v>
      </c>
      <c r="BA242" s="644" t="s">
        <v>711</v>
      </c>
      <c r="BB242" s="536"/>
      <c r="BC242" s="581"/>
      <c r="BH242" s="3763"/>
      <c r="BI242" s="3763"/>
      <c r="BJ242" s="1639"/>
      <c r="BK242" s="1639"/>
      <c r="BL242" s="1639"/>
      <c r="BM242" s="1639"/>
      <c r="BN242" s="1639"/>
      <c r="BO242" s="1639"/>
      <c r="BP242" s="1639"/>
      <c r="BQ242" s="1639"/>
      <c r="BR242" s="1639"/>
      <c r="BS242" s="509"/>
      <c r="BT242" s="509"/>
      <c r="BU242" s="509"/>
      <c r="BV242" s="509"/>
      <c r="BW242" s="509"/>
      <c r="BX242" s="509"/>
      <c r="BY242" s="509"/>
      <c r="BZ242" s="509"/>
      <c r="CA242" s="509"/>
      <c r="CB242" s="509"/>
      <c r="CC242" s="509"/>
      <c r="CD242" s="509"/>
      <c r="CE242" s="509"/>
      <c r="CF242" s="509"/>
      <c r="CG242" s="509"/>
      <c r="CH242" s="509"/>
      <c r="CI242" s="509"/>
      <c r="CJ242" s="509"/>
      <c r="CK242" s="509"/>
      <c r="CL242" s="509"/>
      <c r="CM242" s="509"/>
      <c r="CN242" s="509"/>
      <c r="CO242" s="509"/>
      <c r="CP242" s="509"/>
      <c r="CQ242" s="509"/>
      <c r="CR242" s="509"/>
      <c r="CS242" s="509"/>
      <c r="CT242" s="509"/>
      <c r="CU242" s="509"/>
      <c r="CV242" s="509"/>
      <c r="CW242" s="509"/>
      <c r="CX242" s="509"/>
      <c r="CY242" s="509"/>
      <c r="CZ242" s="509"/>
      <c r="DA242" s="509"/>
      <c r="DB242" s="509"/>
      <c r="DC242" s="509"/>
      <c r="DD242" s="509"/>
      <c r="DE242" s="509"/>
      <c r="DF242" s="509"/>
      <c r="DG242" s="509"/>
      <c r="DH242" s="509"/>
      <c r="DI242" s="509"/>
      <c r="DJ242" s="509"/>
      <c r="DK242" s="509"/>
      <c r="DL242" s="509"/>
      <c r="DM242" s="509"/>
      <c r="DN242" s="509"/>
      <c r="DO242" s="509"/>
      <c r="DP242" s="509"/>
      <c r="DQ242" s="509"/>
      <c r="DR242" s="509"/>
      <c r="DS242" s="509"/>
      <c r="DT242" s="509"/>
      <c r="DU242" s="509"/>
      <c r="DV242" s="509"/>
      <c r="DW242" s="509"/>
      <c r="DX242" s="509"/>
      <c r="DY242" s="509"/>
      <c r="DZ242" s="509"/>
      <c r="EA242" s="509"/>
      <c r="EB242" s="509"/>
      <c r="EC242" s="509"/>
      <c r="ED242" s="509"/>
      <c r="EE242" s="509"/>
      <c r="EF242" s="509"/>
      <c r="EG242" s="509"/>
      <c r="EH242" s="509"/>
      <c r="EI242" s="509"/>
      <c r="EJ242" s="509"/>
      <c r="EK242" s="509"/>
      <c r="EL242" s="509"/>
      <c r="EM242" s="509"/>
      <c r="EN242" s="509"/>
      <c r="EO242" s="509"/>
      <c r="EP242" s="509"/>
      <c r="EQ242" s="509"/>
      <c r="ER242" s="509"/>
      <c r="ES242" s="509"/>
      <c r="ET242" s="509"/>
      <c r="EU242" s="509"/>
      <c r="EV242" s="509"/>
      <c r="EW242" s="509"/>
      <c r="EX242" s="509"/>
      <c r="EY242" s="509"/>
      <c r="EZ242" s="509"/>
      <c r="FA242" s="509"/>
      <c r="FB242" s="509"/>
      <c r="FC242" s="509"/>
      <c r="FD242" s="509"/>
      <c r="FE242" s="509"/>
      <c r="FF242" s="509"/>
      <c r="FG242" s="509"/>
      <c r="FH242" s="509"/>
      <c r="FI242" s="509"/>
      <c r="FJ242" s="509"/>
      <c r="FK242" s="509"/>
      <c r="FL242" s="509"/>
      <c r="FM242" s="509"/>
      <c r="FN242" s="509"/>
      <c r="FO242" s="509"/>
      <c r="FP242" s="509"/>
      <c r="FQ242" s="509"/>
      <c r="FR242" s="509"/>
      <c r="FS242" s="509"/>
      <c r="FT242" s="509"/>
      <c r="FU242" s="509"/>
      <c r="FV242" s="509"/>
      <c r="FW242" s="509"/>
      <c r="FX242" s="509"/>
      <c r="FY242" s="509"/>
      <c r="FZ242" s="509"/>
      <c r="GA242" s="509"/>
      <c r="GB242" s="509"/>
      <c r="GC242" s="509"/>
      <c r="GD242" s="509"/>
      <c r="GE242" s="509"/>
      <c r="GF242" s="509"/>
      <c r="GG242" s="509"/>
      <c r="GH242" s="509"/>
      <c r="GI242" s="509"/>
      <c r="GJ242" s="509"/>
      <c r="GK242" s="509"/>
      <c r="GL242" s="509"/>
      <c r="GM242" s="509"/>
      <c r="GN242" s="509"/>
      <c r="GO242" s="509"/>
      <c r="GP242" s="509"/>
      <c r="GQ242" s="509"/>
      <c r="GR242" s="509"/>
      <c r="GS242" s="509"/>
      <c r="GT242" s="509"/>
      <c r="GU242" s="509"/>
      <c r="GV242" s="509"/>
      <c r="GW242" s="509"/>
      <c r="GX242" s="509"/>
      <c r="GY242" s="509"/>
      <c r="GZ242" s="509"/>
      <c r="HA242" s="509"/>
      <c r="HB242" s="509"/>
      <c r="HC242" s="509"/>
      <c r="HD242" s="509"/>
      <c r="HE242" s="509"/>
      <c r="HF242" s="509"/>
      <c r="HG242" s="509"/>
      <c r="HH242" s="509"/>
      <c r="HI242" s="509"/>
      <c r="HJ242" s="509"/>
      <c r="HK242" s="509"/>
      <c r="HL242" s="509"/>
      <c r="HM242" s="509"/>
      <c r="HN242" s="509"/>
      <c r="HO242" s="509"/>
      <c r="HP242" s="509"/>
      <c r="HQ242" s="509"/>
      <c r="HR242" s="509"/>
      <c r="HS242" s="509"/>
      <c r="HT242" s="509"/>
      <c r="HU242" s="509"/>
      <c r="HV242" s="509"/>
      <c r="HW242" s="509"/>
      <c r="HX242" s="509"/>
      <c r="HY242" s="509"/>
      <c r="HZ242" s="509"/>
    </row>
    <row r="243" spans="1:234" ht="15.9" hidden="1" customHeight="1" x14ac:dyDescent="0.25">
      <c r="A243" s="541" t="s">
        <v>3106</v>
      </c>
      <c r="B243" s="523" t="s">
        <v>3862</v>
      </c>
      <c r="C243" s="524" t="s">
        <v>1650</v>
      </c>
      <c r="D243" s="553" t="s">
        <v>1524</v>
      </c>
      <c r="E243" s="524" t="s">
        <v>3228</v>
      </c>
      <c r="F243" s="544">
        <v>39764</v>
      </c>
      <c r="G243" s="586">
        <v>39722</v>
      </c>
      <c r="H243" s="557">
        <v>39757</v>
      </c>
      <c r="I243" s="604">
        <v>41801</v>
      </c>
      <c r="J243" s="579">
        <v>10</v>
      </c>
      <c r="K243" s="561">
        <v>0.02</v>
      </c>
      <c r="L243" s="553">
        <v>0.06</v>
      </c>
      <c r="M243" s="600">
        <v>0.14000000000000001</v>
      </c>
      <c r="N243" s="601" t="s">
        <v>3229</v>
      </c>
      <c r="O243" s="596">
        <v>0.3</v>
      </c>
      <c r="P243" s="596" t="s">
        <v>3229</v>
      </c>
      <c r="Q243" s="596">
        <v>0.06</v>
      </c>
      <c r="R243" s="596" t="s">
        <v>3229</v>
      </c>
      <c r="S243" s="597">
        <v>5</v>
      </c>
      <c r="T243" s="563">
        <v>40118</v>
      </c>
      <c r="U243" s="563">
        <v>40484</v>
      </c>
      <c r="V243" s="563">
        <v>41216</v>
      </c>
      <c r="W243" s="563">
        <v>41582</v>
      </c>
      <c r="X243" s="563">
        <v>41764</v>
      </c>
      <c r="Y243" s="563" t="s">
        <v>3229</v>
      </c>
      <c r="Z243" s="563" t="s">
        <v>3229</v>
      </c>
      <c r="AA243" s="563" t="s">
        <v>3229</v>
      </c>
      <c r="AB243" s="563" t="s">
        <v>3229</v>
      </c>
      <c r="AC243" s="563" t="s">
        <v>3229</v>
      </c>
      <c r="AD243" s="563" t="s">
        <v>3229</v>
      </c>
      <c r="AE243" s="563" t="s">
        <v>3229</v>
      </c>
      <c r="AF243" s="3764" t="s">
        <v>781</v>
      </c>
      <c r="AG243" s="3765"/>
      <c r="AH243" s="673" t="s">
        <v>3229</v>
      </c>
      <c r="AI243" s="673" t="s">
        <v>3229</v>
      </c>
      <c r="AJ243" s="673" t="s">
        <v>3229</v>
      </c>
      <c r="AK243" s="673" t="s">
        <v>3229</v>
      </c>
      <c r="AL243" s="673" t="s">
        <v>3229</v>
      </c>
      <c r="AM243" s="591">
        <v>1</v>
      </c>
      <c r="AN243" s="638">
        <v>0.14000000000000001</v>
      </c>
      <c r="AO243" s="625">
        <v>11.39</v>
      </c>
      <c r="AP243" s="1368">
        <v>-4.3766504035579024E-2</v>
      </c>
      <c r="AQ243" s="675">
        <v>0.90775336874600787</v>
      </c>
      <c r="AR243" s="3773" t="e">
        <f>SUM('klikací hodnoty'!F7111:F7115)+Q243*AF243</f>
        <v>#VALUE!</v>
      </c>
      <c r="AS243" s="3774" t="e">
        <f>POWER(1+AR243,1/((I243-F243)/365))-1</f>
        <v>#VALUE!</v>
      </c>
      <c r="AT243" s="3774" t="e">
        <f>J243*(1+AR243)/AO243-1</f>
        <v>#VALUE!</v>
      </c>
      <c r="AU243" s="3774" t="e">
        <f>POWER(1+AT243,1/AG243)-1</f>
        <v>#VALUE!</v>
      </c>
      <c r="AV243" s="632">
        <f>M243</f>
        <v>0.14000000000000001</v>
      </c>
      <c r="AW243" s="558">
        <f t="shared" ref="AW243:AW258" si="42">POWER(1+AV243,1/((I243-F243)/365))-1</f>
        <v>2.3756094385909421E-2</v>
      </c>
      <c r="AX243" s="589">
        <f t="shared" si="40"/>
        <v>8.7796312554888623E-4</v>
      </c>
      <c r="AY243" s="648" t="e">
        <f t="shared" si="41"/>
        <v>#DIV/0!</v>
      </c>
      <c r="AZ243" s="676">
        <f t="shared" si="39"/>
        <v>11.400000000000002</v>
      </c>
      <c r="BA243" s="644" t="s">
        <v>2585</v>
      </c>
      <c r="BB243" s="536" t="s">
        <v>2025</v>
      </c>
      <c r="BC243" s="581" t="s">
        <v>2895</v>
      </c>
      <c r="BH243" s="3763"/>
      <c r="BI243" s="3763"/>
      <c r="BJ243" s="1639"/>
      <c r="BK243" s="1639"/>
      <c r="BL243" s="1639"/>
      <c r="BM243" s="1639"/>
      <c r="BN243" s="1639"/>
      <c r="BO243" s="1639"/>
      <c r="BP243" s="1639"/>
      <c r="BQ243" s="1639"/>
      <c r="BR243" s="1639"/>
      <c r="BS243" s="509"/>
      <c r="BT243" s="509"/>
      <c r="BU243" s="509"/>
      <c r="BV243" s="509"/>
      <c r="BW243" s="509"/>
      <c r="BX243" s="509"/>
      <c r="BY243" s="509"/>
      <c r="BZ243" s="509"/>
      <c r="CA243" s="509"/>
      <c r="CB243" s="509"/>
      <c r="CC243" s="509"/>
      <c r="CD243" s="509"/>
      <c r="CE243" s="509"/>
      <c r="CF243" s="509"/>
      <c r="CG243" s="509"/>
      <c r="CH243" s="509"/>
      <c r="CI243" s="509"/>
      <c r="CJ243" s="509"/>
      <c r="CK243" s="509"/>
      <c r="CL243" s="509"/>
      <c r="CM243" s="509"/>
      <c r="CN243" s="509"/>
      <c r="CO243" s="509"/>
      <c r="CP243" s="509"/>
      <c r="CQ243" s="509"/>
      <c r="CR243" s="509"/>
      <c r="CS243" s="509"/>
      <c r="CT243" s="509"/>
      <c r="CU243" s="509"/>
      <c r="CV243" s="509"/>
      <c r="CW243" s="509"/>
      <c r="CX243" s="509"/>
      <c r="CY243" s="509"/>
      <c r="CZ243" s="509"/>
      <c r="DA243" s="509"/>
      <c r="DB243" s="509"/>
      <c r="DC243" s="509"/>
      <c r="DD243" s="509"/>
      <c r="DE243" s="509"/>
      <c r="DF243" s="509"/>
      <c r="DG243" s="509"/>
      <c r="DH243" s="509"/>
      <c r="DI243" s="509"/>
      <c r="DJ243" s="509"/>
      <c r="DK243" s="509"/>
      <c r="DL243" s="509"/>
      <c r="DM243" s="509"/>
      <c r="DN243" s="509"/>
      <c r="DO243" s="509"/>
      <c r="DP243" s="509"/>
      <c r="DQ243" s="509"/>
      <c r="DR243" s="509"/>
      <c r="DS243" s="509"/>
      <c r="DT243" s="509"/>
      <c r="DU243" s="509"/>
      <c r="DV243" s="509"/>
      <c r="DW243" s="509"/>
      <c r="DX243" s="509"/>
      <c r="DY243" s="509"/>
      <c r="DZ243" s="509"/>
      <c r="EA243" s="509"/>
      <c r="EB243" s="509"/>
      <c r="EC243" s="509"/>
      <c r="ED243" s="509"/>
      <c r="EE243" s="509"/>
      <c r="EF243" s="509"/>
      <c r="EG243" s="509"/>
      <c r="EH243" s="509"/>
      <c r="EI243" s="509"/>
      <c r="EJ243" s="509"/>
      <c r="EK243" s="509"/>
      <c r="EL243" s="509"/>
      <c r="EM243" s="509"/>
      <c r="EN243" s="509"/>
      <c r="EO243" s="509"/>
      <c r="EP243" s="509"/>
      <c r="EQ243" s="509"/>
      <c r="ER243" s="509"/>
      <c r="ES243" s="509"/>
      <c r="ET243" s="509"/>
      <c r="EU243" s="509"/>
      <c r="EV243" s="509"/>
      <c r="EW243" s="509"/>
      <c r="EX243" s="509"/>
      <c r="EY243" s="509"/>
      <c r="EZ243" s="509"/>
      <c r="FA243" s="509"/>
      <c r="FB243" s="509"/>
      <c r="FC243" s="509"/>
      <c r="FD243" s="509"/>
      <c r="FE243" s="509"/>
      <c r="FF243" s="509"/>
      <c r="FG243" s="509"/>
      <c r="FH243" s="509"/>
      <c r="FI243" s="509"/>
      <c r="FJ243" s="509"/>
      <c r="FK243" s="509"/>
      <c r="FL243" s="509"/>
      <c r="FM243" s="509"/>
      <c r="FN243" s="509"/>
      <c r="FO243" s="509"/>
      <c r="FP243" s="509"/>
      <c r="FQ243" s="509"/>
      <c r="FR243" s="509"/>
      <c r="FS243" s="509"/>
      <c r="FT243" s="509"/>
      <c r="FU243" s="509"/>
      <c r="FV243" s="509"/>
      <c r="FW243" s="509"/>
      <c r="FX243" s="509"/>
      <c r="FY243" s="509"/>
      <c r="FZ243" s="509"/>
      <c r="GA243" s="509"/>
      <c r="GB243" s="509"/>
      <c r="GC243" s="509"/>
      <c r="GD243" s="509"/>
      <c r="GE243" s="509"/>
      <c r="GF243" s="509"/>
      <c r="GG243" s="509"/>
      <c r="GH243" s="509"/>
      <c r="GI243" s="509"/>
      <c r="GJ243" s="509"/>
      <c r="GK243" s="509"/>
      <c r="GL243" s="509"/>
      <c r="GM243" s="509"/>
      <c r="GN243" s="509"/>
      <c r="GO243" s="509"/>
      <c r="GP243" s="509"/>
      <c r="GQ243" s="509"/>
      <c r="GR243" s="509"/>
      <c r="GS243" s="509"/>
      <c r="GT243" s="509"/>
      <c r="GU243" s="509"/>
      <c r="GV243" s="509"/>
      <c r="GW243" s="509"/>
      <c r="GX243" s="509"/>
      <c r="GY243" s="509"/>
      <c r="GZ243" s="509"/>
      <c r="HA243" s="509"/>
      <c r="HB243" s="509"/>
      <c r="HC243" s="509"/>
      <c r="HD243" s="509"/>
      <c r="HE243" s="509"/>
      <c r="HF243" s="509"/>
      <c r="HG243" s="509"/>
      <c r="HH243" s="509"/>
      <c r="HI243" s="509"/>
      <c r="HJ243" s="509"/>
      <c r="HK243" s="509"/>
      <c r="HL243" s="509"/>
      <c r="HM243" s="509"/>
      <c r="HN243" s="509"/>
      <c r="HO243" s="509"/>
      <c r="HP243" s="509"/>
      <c r="HQ243" s="509"/>
      <c r="HR243" s="509"/>
      <c r="HS243" s="509"/>
      <c r="HT243" s="509"/>
      <c r="HU243" s="509"/>
      <c r="HV243" s="509"/>
      <c r="HW243" s="509"/>
      <c r="HX243" s="509"/>
      <c r="HY243" s="509"/>
      <c r="HZ243" s="509"/>
    </row>
    <row r="244" spans="1:234" ht="15.9" hidden="1" customHeight="1" x14ac:dyDescent="0.25">
      <c r="A244" s="540" t="s">
        <v>3107</v>
      </c>
      <c r="B244" s="523" t="s">
        <v>1521</v>
      </c>
      <c r="C244" s="524" t="s">
        <v>1651</v>
      </c>
      <c r="D244" s="553" t="s">
        <v>3680</v>
      </c>
      <c r="E244" s="524" t="s">
        <v>3228</v>
      </c>
      <c r="F244" s="544">
        <v>39812</v>
      </c>
      <c r="G244" s="586">
        <v>39755</v>
      </c>
      <c r="H244" s="544">
        <v>39800</v>
      </c>
      <c r="I244" s="588">
        <v>41668</v>
      </c>
      <c r="J244" s="595">
        <v>100</v>
      </c>
      <c r="K244" s="561" t="s">
        <v>3229</v>
      </c>
      <c r="L244" s="553" t="s">
        <v>3229</v>
      </c>
      <c r="M244" s="600">
        <v>0.221</v>
      </c>
      <c r="N244" s="601" t="s">
        <v>3229</v>
      </c>
      <c r="O244" s="596">
        <v>0.221</v>
      </c>
      <c r="P244" s="596" t="s">
        <v>3229</v>
      </c>
      <c r="Q244" s="575" t="s">
        <v>3229</v>
      </c>
      <c r="R244" s="596" t="s">
        <v>3229</v>
      </c>
      <c r="S244" s="597"/>
      <c r="T244" s="563" t="s">
        <v>3229</v>
      </c>
      <c r="U244" s="563" t="s">
        <v>3229</v>
      </c>
      <c r="V244" s="563" t="s">
        <v>3229</v>
      </c>
      <c r="W244" s="563" t="s">
        <v>3229</v>
      </c>
      <c r="X244" s="563" t="s">
        <v>3229</v>
      </c>
      <c r="Y244" s="563" t="s">
        <v>3229</v>
      </c>
      <c r="Z244" s="563" t="s">
        <v>3229</v>
      </c>
      <c r="AA244" s="563" t="s">
        <v>3229</v>
      </c>
      <c r="AB244" s="563" t="s">
        <v>3229</v>
      </c>
      <c r="AC244" s="563" t="s">
        <v>3229</v>
      </c>
      <c r="AD244" s="563" t="s">
        <v>3229</v>
      </c>
      <c r="AE244" s="563" t="s">
        <v>3229</v>
      </c>
      <c r="AF244" s="3764" t="s">
        <v>781</v>
      </c>
      <c r="AG244" s="3765"/>
      <c r="AH244" s="673" t="s">
        <v>3229</v>
      </c>
      <c r="AI244" s="673" t="s">
        <v>3229</v>
      </c>
      <c r="AJ244" s="673" t="s">
        <v>3229</v>
      </c>
      <c r="AK244" s="673" t="s">
        <v>3229</v>
      </c>
      <c r="AL244" s="673" t="s">
        <v>3229</v>
      </c>
      <c r="AM244" s="590">
        <v>1</v>
      </c>
      <c r="AN244" s="638" t="s">
        <v>3229</v>
      </c>
      <c r="AO244" s="625">
        <v>125.3</v>
      </c>
      <c r="AP244" s="1368" t="s">
        <v>3229</v>
      </c>
      <c r="AQ244" s="606" t="s">
        <v>3229</v>
      </c>
      <c r="AR244" s="632">
        <f>O244</f>
        <v>0.221</v>
      </c>
      <c r="AS244" s="558">
        <f>POWER(1+AR244,1/((I244-F244)/365))-1</f>
        <v>4.0048178224635134E-2</v>
      </c>
      <c r="AT244" s="648">
        <f>J244*(1+AR244)/AO244-1</f>
        <v>-2.5538707102952807E-2</v>
      </c>
      <c r="AU244" s="559" t="e">
        <f>POWER(1+AT244,1/AG244)-1</f>
        <v>#DIV/0!</v>
      </c>
      <c r="AV244" s="558">
        <f>M244</f>
        <v>0.221</v>
      </c>
      <c r="AW244" s="558">
        <f t="shared" si="42"/>
        <v>4.0048178224635134E-2</v>
      </c>
      <c r="AX244" s="558">
        <f t="shared" si="40"/>
        <v>-2.5538707102952807E-2</v>
      </c>
      <c r="AY244" s="559" t="e">
        <f t="shared" si="41"/>
        <v>#DIV/0!</v>
      </c>
      <c r="AZ244" s="642">
        <f t="shared" si="39"/>
        <v>122.10000000000001</v>
      </c>
      <c r="BA244" s="644" t="s">
        <v>4484</v>
      </c>
      <c r="BB244" s="570"/>
      <c r="BC244" s="637"/>
      <c r="BH244" s="3763"/>
      <c r="BI244" s="3763"/>
      <c r="BJ244" s="1639"/>
      <c r="BK244" s="1639"/>
      <c r="BL244" s="1639"/>
      <c r="BM244" s="1639"/>
      <c r="BN244" s="1639"/>
      <c r="BO244" s="1639"/>
      <c r="BP244" s="1639"/>
      <c r="BQ244" s="1639"/>
      <c r="BR244" s="1639"/>
      <c r="BS244" s="509"/>
      <c r="BT244" s="509"/>
      <c r="BU244" s="509"/>
      <c r="BV244" s="509"/>
      <c r="BW244" s="509"/>
      <c r="BX244" s="509"/>
      <c r="BY244" s="509"/>
      <c r="BZ244" s="509"/>
      <c r="CA244" s="509"/>
      <c r="CB244" s="509"/>
      <c r="CC244" s="509"/>
      <c r="CD244" s="509"/>
      <c r="CE244" s="509"/>
      <c r="CF244" s="509"/>
      <c r="CG244" s="509"/>
      <c r="CH244" s="509"/>
      <c r="CI244" s="509"/>
      <c r="CJ244" s="509"/>
      <c r="CK244" s="509"/>
      <c r="CL244" s="509"/>
      <c r="CM244" s="509"/>
      <c r="CN244" s="509"/>
      <c r="CO244" s="509"/>
      <c r="CP244" s="509"/>
      <c r="CQ244" s="509"/>
      <c r="CR244" s="509"/>
      <c r="CS244" s="509"/>
      <c r="CT244" s="509"/>
      <c r="CU244" s="509"/>
      <c r="CV244" s="509"/>
      <c r="CW244" s="509"/>
      <c r="CX244" s="509"/>
      <c r="CY244" s="509"/>
      <c r="CZ244" s="509"/>
      <c r="DA244" s="509"/>
      <c r="DB244" s="509"/>
      <c r="DC244" s="509"/>
      <c r="DD244" s="509"/>
      <c r="DE244" s="509"/>
      <c r="DF244" s="509"/>
      <c r="DG244" s="509"/>
      <c r="DH244" s="509"/>
      <c r="DI244" s="509"/>
      <c r="DJ244" s="509"/>
      <c r="DK244" s="509"/>
      <c r="DL244" s="509"/>
      <c r="DM244" s="509"/>
      <c r="DN244" s="509"/>
      <c r="DO244" s="509"/>
      <c r="DP244" s="509"/>
      <c r="DQ244" s="509"/>
      <c r="DR244" s="509"/>
      <c r="DS244" s="509"/>
      <c r="DT244" s="509"/>
      <c r="DU244" s="509"/>
      <c r="DV244" s="509"/>
      <c r="DW244" s="509"/>
      <c r="DX244" s="509"/>
      <c r="DY244" s="509"/>
      <c r="DZ244" s="509"/>
      <c r="EA244" s="509"/>
      <c r="EB244" s="509"/>
      <c r="EC244" s="509"/>
      <c r="ED244" s="509"/>
      <c r="EE244" s="509"/>
      <c r="EF244" s="509"/>
      <c r="EG244" s="509"/>
      <c r="EH244" s="509"/>
      <c r="EI244" s="509"/>
      <c r="EJ244" s="509"/>
      <c r="EK244" s="509"/>
      <c r="EL244" s="509"/>
      <c r="EM244" s="509"/>
      <c r="EN244" s="509"/>
      <c r="EO244" s="509"/>
      <c r="EP244" s="509"/>
      <c r="EQ244" s="509"/>
      <c r="ER244" s="509"/>
      <c r="ES244" s="509"/>
      <c r="ET244" s="509"/>
      <c r="EU244" s="509"/>
      <c r="EV244" s="509"/>
      <c r="EW244" s="509"/>
      <c r="EX244" s="509"/>
      <c r="EY244" s="509"/>
      <c r="EZ244" s="509"/>
      <c r="FA244" s="509"/>
      <c r="FB244" s="509"/>
      <c r="FC244" s="509"/>
      <c r="FD244" s="509"/>
      <c r="FE244" s="509"/>
      <c r="FF244" s="509"/>
      <c r="FG244" s="509"/>
      <c r="FH244" s="509"/>
      <c r="FI244" s="509"/>
      <c r="FJ244" s="509"/>
      <c r="FK244" s="509"/>
      <c r="FL244" s="509"/>
      <c r="FM244" s="509"/>
      <c r="FN244" s="509"/>
      <c r="FO244" s="509"/>
      <c r="FP244" s="509"/>
      <c r="FQ244" s="509"/>
      <c r="FR244" s="509"/>
      <c r="FS244" s="509"/>
      <c r="FT244" s="509"/>
      <c r="FU244" s="509"/>
      <c r="FV244" s="509"/>
      <c r="FW244" s="509"/>
      <c r="FX244" s="509"/>
      <c r="FY244" s="509"/>
      <c r="FZ244" s="509"/>
      <c r="GA244" s="509"/>
      <c r="GB244" s="509"/>
      <c r="GC244" s="509"/>
      <c r="GD244" s="509"/>
      <c r="GE244" s="509"/>
      <c r="GF244" s="509"/>
      <c r="GG244" s="509"/>
      <c r="GH244" s="509"/>
      <c r="GI244" s="509"/>
      <c r="GJ244" s="509"/>
      <c r="GK244" s="509"/>
      <c r="GL244" s="509"/>
      <c r="GM244" s="509"/>
      <c r="GN244" s="509"/>
      <c r="GO244" s="509"/>
      <c r="GP244" s="509"/>
      <c r="GQ244" s="509"/>
      <c r="GR244" s="509"/>
      <c r="GS244" s="509"/>
      <c r="GT244" s="509"/>
      <c r="GU244" s="509"/>
      <c r="GV244" s="509"/>
      <c r="GW244" s="509"/>
      <c r="GX244" s="509"/>
      <c r="GY244" s="509"/>
      <c r="GZ244" s="509"/>
      <c r="HA244" s="509"/>
      <c r="HB244" s="509"/>
      <c r="HC244" s="509"/>
      <c r="HD244" s="509"/>
      <c r="HE244" s="509"/>
      <c r="HF244" s="509"/>
      <c r="HG244" s="509"/>
      <c r="HH244" s="509"/>
      <c r="HI244" s="509"/>
      <c r="HJ244" s="509"/>
      <c r="HK244" s="509"/>
      <c r="HL244" s="509"/>
      <c r="HM244" s="509"/>
      <c r="HN244" s="509"/>
      <c r="HO244" s="509"/>
      <c r="HP244" s="509"/>
      <c r="HQ244" s="509"/>
      <c r="HR244" s="509"/>
      <c r="HS244" s="509"/>
      <c r="HT244" s="509"/>
      <c r="HU244" s="509"/>
      <c r="HV244" s="509"/>
      <c r="HW244" s="509"/>
      <c r="HX244" s="509"/>
      <c r="HY244" s="509"/>
      <c r="HZ244" s="509"/>
    </row>
    <row r="245" spans="1:234" ht="15.9" hidden="1" customHeight="1" x14ac:dyDescent="0.25">
      <c r="A245" s="540" t="s">
        <v>502</v>
      </c>
      <c r="B245" s="523" t="s">
        <v>1522</v>
      </c>
      <c r="C245" s="524" t="s">
        <v>1936</v>
      </c>
      <c r="D245" s="553" t="s">
        <v>3829</v>
      </c>
      <c r="E245" s="526" t="s">
        <v>3228</v>
      </c>
      <c r="F245" s="586">
        <v>39821</v>
      </c>
      <c r="G245" s="586">
        <v>39755</v>
      </c>
      <c r="H245" s="544">
        <v>39813</v>
      </c>
      <c r="I245" s="594">
        <v>41305</v>
      </c>
      <c r="J245" s="595">
        <v>10</v>
      </c>
      <c r="K245" s="561" t="s">
        <v>3229</v>
      </c>
      <c r="L245" s="553" t="s">
        <v>3229</v>
      </c>
      <c r="M245" s="600">
        <v>0</v>
      </c>
      <c r="N245" s="601">
        <v>0.65</v>
      </c>
      <c r="O245" s="596" t="s">
        <v>3229</v>
      </c>
      <c r="P245" s="596" t="s">
        <v>3229</v>
      </c>
      <c r="Q245" s="596" t="s">
        <v>3229</v>
      </c>
      <c r="R245" s="596" t="s">
        <v>3229</v>
      </c>
      <c r="S245" s="597"/>
      <c r="T245" s="563" t="s">
        <v>3229</v>
      </c>
      <c r="U245" s="563" t="s">
        <v>3229</v>
      </c>
      <c r="V245" s="563" t="s">
        <v>3229</v>
      </c>
      <c r="W245" s="563" t="s">
        <v>3229</v>
      </c>
      <c r="X245" s="563" t="s">
        <v>3229</v>
      </c>
      <c r="Y245" s="563" t="s">
        <v>3229</v>
      </c>
      <c r="Z245" s="563" t="s">
        <v>3229</v>
      </c>
      <c r="AA245" s="563" t="s">
        <v>3229</v>
      </c>
      <c r="AB245" s="563" t="s">
        <v>3229</v>
      </c>
      <c r="AC245" s="563" t="s">
        <v>3229</v>
      </c>
      <c r="AD245" s="563" t="s">
        <v>3229</v>
      </c>
      <c r="AE245" s="563" t="s">
        <v>3229</v>
      </c>
      <c r="AF245" s="3764" t="s">
        <v>781</v>
      </c>
      <c r="AG245" s="3765"/>
      <c r="AH245" s="673" t="s">
        <v>3229</v>
      </c>
      <c r="AI245" s="673" t="s">
        <v>3229</v>
      </c>
      <c r="AJ245" s="673" t="s">
        <v>3229</v>
      </c>
      <c r="AK245" s="673" t="s">
        <v>3229</v>
      </c>
      <c r="AL245" s="673" t="s">
        <v>3229</v>
      </c>
      <c r="AM245" s="590">
        <v>1</v>
      </c>
      <c r="AN245" s="638">
        <v>8.7516528124999993E-2</v>
      </c>
      <c r="AO245" s="625">
        <v>10.88</v>
      </c>
      <c r="AP245" s="1368">
        <v>0.13464081249999998</v>
      </c>
      <c r="AQ245" s="658">
        <v>0.11221830390175955</v>
      </c>
      <c r="AR245" s="558" t="s">
        <v>3660</v>
      </c>
      <c r="AS245" s="558"/>
      <c r="AT245" s="648"/>
      <c r="AU245" s="559"/>
      <c r="AV245" s="558">
        <v>0</v>
      </c>
      <c r="AW245" s="558">
        <v>0</v>
      </c>
      <c r="AX245" s="589"/>
      <c r="AY245" s="587"/>
      <c r="AZ245" s="676">
        <v>10</v>
      </c>
      <c r="BA245" s="644" t="s">
        <v>574</v>
      </c>
      <c r="BB245" s="570"/>
      <c r="BC245" s="637"/>
      <c r="BH245" s="3763"/>
      <c r="BI245" s="3763"/>
      <c r="BJ245" s="1639"/>
      <c r="BK245" s="1639"/>
      <c r="BL245" s="1639"/>
      <c r="BM245" s="1639"/>
      <c r="BN245" s="1639"/>
      <c r="BO245" s="1639"/>
      <c r="BP245" s="1639"/>
      <c r="BQ245" s="1639"/>
      <c r="BR245" s="1639"/>
      <c r="BS245" s="509"/>
      <c r="BT245" s="509"/>
      <c r="BU245" s="509"/>
      <c r="BV245" s="509"/>
      <c r="BW245" s="509"/>
      <c r="BX245" s="509"/>
      <c r="BY245" s="509"/>
      <c r="BZ245" s="509"/>
      <c r="CA245" s="509"/>
      <c r="CB245" s="509"/>
      <c r="CC245" s="509"/>
      <c r="CD245" s="509"/>
      <c r="CE245" s="509"/>
      <c r="CF245" s="509"/>
      <c r="CG245" s="509"/>
      <c r="CH245" s="509"/>
      <c r="CI245" s="509"/>
      <c r="CJ245" s="509"/>
      <c r="CK245" s="509"/>
      <c r="CL245" s="509"/>
      <c r="CM245" s="509"/>
      <c r="CN245" s="509"/>
      <c r="CO245" s="509"/>
      <c r="CP245" s="509"/>
      <c r="CQ245" s="509"/>
      <c r="CR245" s="509"/>
      <c r="CS245" s="509"/>
      <c r="CT245" s="509"/>
      <c r="CU245" s="509"/>
      <c r="CV245" s="509"/>
      <c r="CW245" s="509"/>
      <c r="CX245" s="509"/>
      <c r="CY245" s="509"/>
      <c r="CZ245" s="509"/>
      <c r="DA245" s="509"/>
      <c r="DB245" s="509"/>
      <c r="DC245" s="509"/>
      <c r="DD245" s="509"/>
      <c r="DE245" s="509"/>
      <c r="DF245" s="509"/>
      <c r="DG245" s="509"/>
      <c r="DH245" s="509"/>
      <c r="DI245" s="509"/>
      <c r="DJ245" s="509"/>
      <c r="DK245" s="509"/>
      <c r="DL245" s="509"/>
      <c r="DM245" s="509"/>
      <c r="DN245" s="509"/>
      <c r="DO245" s="509"/>
      <c r="DP245" s="509"/>
      <c r="DQ245" s="509"/>
      <c r="DR245" s="509"/>
      <c r="DS245" s="509"/>
      <c r="DT245" s="509"/>
      <c r="DU245" s="509"/>
      <c r="DV245" s="509"/>
      <c r="DW245" s="509"/>
      <c r="DX245" s="509"/>
      <c r="DY245" s="509"/>
      <c r="DZ245" s="509"/>
      <c r="EA245" s="509"/>
      <c r="EB245" s="509"/>
      <c r="EC245" s="509"/>
      <c r="ED245" s="509"/>
      <c r="EE245" s="509"/>
      <c r="EF245" s="509"/>
      <c r="EG245" s="509"/>
      <c r="EH245" s="509"/>
      <c r="EI245" s="509"/>
      <c r="EJ245" s="509"/>
      <c r="EK245" s="509"/>
      <c r="EL245" s="509"/>
      <c r="EM245" s="509"/>
      <c r="EN245" s="509"/>
      <c r="EO245" s="509"/>
      <c r="EP245" s="509"/>
      <c r="EQ245" s="509"/>
      <c r="ER245" s="509"/>
      <c r="ES245" s="509"/>
      <c r="ET245" s="509"/>
      <c r="EU245" s="509"/>
      <c r="EV245" s="509"/>
      <c r="EW245" s="509"/>
      <c r="EX245" s="509"/>
      <c r="EY245" s="509"/>
      <c r="EZ245" s="509"/>
      <c r="FA245" s="509"/>
      <c r="FB245" s="509"/>
      <c r="FC245" s="509"/>
      <c r="FD245" s="509"/>
      <c r="FE245" s="509"/>
      <c r="FF245" s="509"/>
      <c r="FG245" s="509"/>
      <c r="FH245" s="509"/>
      <c r="FI245" s="509"/>
      <c r="FJ245" s="509"/>
      <c r="FK245" s="509"/>
      <c r="FL245" s="509"/>
      <c r="FM245" s="509"/>
      <c r="FN245" s="509"/>
      <c r="FO245" s="509"/>
      <c r="FP245" s="509"/>
      <c r="FQ245" s="509"/>
      <c r="FR245" s="509"/>
      <c r="FS245" s="509"/>
      <c r="FT245" s="509"/>
      <c r="FU245" s="509"/>
      <c r="FV245" s="509"/>
      <c r="FW245" s="509"/>
      <c r="FX245" s="509"/>
      <c r="FY245" s="509"/>
      <c r="FZ245" s="509"/>
      <c r="GA245" s="509"/>
      <c r="GB245" s="509"/>
      <c r="GC245" s="509"/>
      <c r="GD245" s="509"/>
      <c r="GE245" s="509"/>
      <c r="GF245" s="509"/>
      <c r="GG245" s="509"/>
      <c r="GH245" s="509"/>
      <c r="GI245" s="509"/>
      <c r="GJ245" s="509"/>
      <c r="GK245" s="509"/>
      <c r="GL245" s="509"/>
      <c r="GM245" s="509"/>
      <c r="GN245" s="509"/>
      <c r="GO245" s="509"/>
      <c r="GP245" s="509"/>
      <c r="GQ245" s="509"/>
      <c r="GR245" s="509"/>
      <c r="GS245" s="509"/>
      <c r="GT245" s="509"/>
      <c r="GU245" s="509"/>
      <c r="GV245" s="509"/>
      <c r="GW245" s="509"/>
      <c r="GX245" s="509"/>
      <c r="GY245" s="509"/>
      <c r="GZ245" s="509"/>
      <c r="HA245" s="509"/>
      <c r="HB245" s="509"/>
      <c r="HC245" s="509"/>
      <c r="HD245" s="509"/>
      <c r="HE245" s="509"/>
      <c r="HF245" s="509"/>
      <c r="HG245" s="509"/>
      <c r="HH245" s="509"/>
      <c r="HI245" s="509"/>
      <c r="HJ245" s="509"/>
      <c r="HK245" s="509"/>
      <c r="HL245" s="509"/>
      <c r="HM245" s="509"/>
      <c r="HN245" s="509"/>
      <c r="HO245" s="509"/>
      <c r="HP245" s="509"/>
      <c r="HQ245" s="509"/>
      <c r="HR245" s="509"/>
      <c r="HS245" s="509"/>
      <c r="HT245" s="509"/>
      <c r="HU245" s="509"/>
      <c r="HV245" s="509"/>
      <c r="HW245" s="509"/>
      <c r="HX245" s="509"/>
      <c r="HY245" s="509"/>
      <c r="HZ245" s="509"/>
    </row>
    <row r="246" spans="1:234" ht="15.9" hidden="1" customHeight="1" x14ac:dyDescent="0.25">
      <c r="A246" s="540" t="s">
        <v>940</v>
      </c>
      <c r="B246" s="523" t="s">
        <v>1523</v>
      </c>
      <c r="C246" s="524" t="s">
        <v>1937</v>
      </c>
      <c r="D246" s="553" t="s">
        <v>189</v>
      </c>
      <c r="E246" s="524" t="s">
        <v>3228</v>
      </c>
      <c r="F246" s="544">
        <v>39787</v>
      </c>
      <c r="G246" s="586">
        <v>39755</v>
      </c>
      <c r="H246" s="544">
        <v>39780</v>
      </c>
      <c r="I246" s="588">
        <v>41453</v>
      </c>
      <c r="J246" s="595">
        <v>10</v>
      </c>
      <c r="K246" s="561" t="s">
        <v>3229</v>
      </c>
      <c r="L246" s="553" t="s">
        <v>3229</v>
      </c>
      <c r="M246" s="600">
        <v>0</v>
      </c>
      <c r="N246" s="601" t="s">
        <v>3229</v>
      </c>
      <c r="O246" s="596">
        <v>0.45</v>
      </c>
      <c r="P246" s="596" t="s">
        <v>3229</v>
      </c>
      <c r="Q246" s="575" t="s">
        <v>3229</v>
      </c>
      <c r="R246" s="596" t="s">
        <v>3229</v>
      </c>
      <c r="S246" s="597"/>
      <c r="T246" s="563" t="s">
        <v>3229</v>
      </c>
      <c r="U246" s="563" t="s">
        <v>3229</v>
      </c>
      <c r="V246" s="563" t="s">
        <v>3229</v>
      </c>
      <c r="W246" s="563" t="s">
        <v>3229</v>
      </c>
      <c r="X246" s="563" t="s">
        <v>3229</v>
      </c>
      <c r="Y246" s="563" t="s">
        <v>3229</v>
      </c>
      <c r="Z246" s="563" t="s">
        <v>3229</v>
      </c>
      <c r="AA246" s="563" t="s">
        <v>3229</v>
      </c>
      <c r="AB246" s="563" t="s">
        <v>3229</v>
      </c>
      <c r="AC246" s="563" t="s">
        <v>3229</v>
      </c>
      <c r="AD246" s="563" t="s">
        <v>3229</v>
      </c>
      <c r="AE246" s="563" t="s">
        <v>3229</v>
      </c>
      <c r="AF246" s="3764" t="s">
        <v>781</v>
      </c>
      <c r="AG246" s="3765"/>
      <c r="AH246" s="673" t="s">
        <v>3229</v>
      </c>
      <c r="AI246" s="673" t="s">
        <v>3229</v>
      </c>
      <c r="AJ246" s="673" t="s">
        <v>3229</v>
      </c>
      <c r="AK246" s="673" t="s">
        <v>3229</v>
      </c>
      <c r="AL246" s="673" t="s">
        <v>3229</v>
      </c>
      <c r="AM246" s="590">
        <v>1</v>
      </c>
      <c r="AN246" s="638">
        <v>0.3200804369943166</v>
      </c>
      <c r="AO246" s="625">
        <v>12.43</v>
      </c>
      <c r="AP246" s="1368">
        <v>0.3200804369943166</v>
      </c>
      <c r="AQ246" s="606">
        <v>0.3200804369943166</v>
      </c>
      <c r="AR246" s="632">
        <f t="shared" ref="AR246:AR255" si="43">O246</f>
        <v>0.45</v>
      </c>
      <c r="AS246" s="558">
        <f t="shared" ref="AS246:AS258" si="44">POWER(1+AR246,1/((I246-F246)/365))-1</f>
        <v>8.4810134950874305E-2</v>
      </c>
      <c r="AT246" s="648">
        <f>J246*(1+AR246)/AO246-1</f>
        <v>0.16653258246178604</v>
      </c>
      <c r="AU246" s="559" t="e">
        <f>POWER(1+AT246,1/AG246)-1</f>
        <v>#DIV/0!</v>
      </c>
      <c r="AV246" s="558">
        <f>M246</f>
        <v>0</v>
      </c>
      <c r="AW246" s="558">
        <f t="shared" si="42"/>
        <v>0</v>
      </c>
      <c r="AX246" s="558">
        <f t="shared" si="40"/>
        <v>-0.19549477071600962</v>
      </c>
      <c r="AY246" s="559" t="e">
        <f t="shared" si="41"/>
        <v>#DIV/0!</v>
      </c>
      <c r="AZ246" s="642">
        <f t="shared" si="39"/>
        <v>10</v>
      </c>
      <c r="BA246" s="644" t="s">
        <v>3609</v>
      </c>
      <c r="BB246" s="570"/>
      <c r="BC246" s="637"/>
      <c r="BH246" s="3763"/>
      <c r="BI246" s="3763"/>
      <c r="BJ246" s="1639"/>
      <c r="BK246" s="1639"/>
      <c r="BL246" s="1639"/>
      <c r="BM246" s="1639"/>
      <c r="BN246" s="1639"/>
      <c r="BO246" s="1639"/>
      <c r="BP246" s="1639"/>
      <c r="BQ246" s="1639"/>
      <c r="BR246" s="1639"/>
      <c r="BS246" s="509"/>
      <c r="BT246" s="509"/>
      <c r="BU246" s="509"/>
      <c r="BV246" s="509"/>
      <c r="BW246" s="509"/>
      <c r="BX246" s="509"/>
      <c r="BY246" s="509"/>
      <c r="BZ246" s="509"/>
      <c r="CA246" s="509"/>
      <c r="CB246" s="509"/>
      <c r="CC246" s="509"/>
      <c r="CD246" s="509"/>
      <c r="CE246" s="509"/>
      <c r="CF246" s="509"/>
      <c r="CG246" s="509"/>
      <c r="CH246" s="509"/>
      <c r="CI246" s="509"/>
      <c r="CJ246" s="509"/>
      <c r="CK246" s="509"/>
      <c r="CL246" s="509"/>
      <c r="CM246" s="509"/>
      <c r="CN246" s="509"/>
      <c r="CO246" s="509"/>
      <c r="CP246" s="509"/>
      <c r="CQ246" s="509"/>
      <c r="CR246" s="509"/>
      <c r="CS246" s="509"/>
      <c r="CT246" s="509"/>
      <c r="CU246" s="509"/>
      <c r="CV246" s="509"/>
      <c r="CW246" s="509"/>
      <c r="CX246" s="509"/>
      <c r="CY246" s="509"/>
      <c r="CZ246" s="509"/>
      <c r="DA246" s="509"/>
      <c r="DB246" s="509"/>
      <c r="DC246" s="509"/>
      <c r="DD246" s="509"/>
      <c r="DE246" s="509"/>
      <c r="DF246" s="509"/>
      <c r="DG246" s="509"/>
      <c r="DH246" s="509"/>
      <c r="DI246" s="509"/>
      <c r="DJ246" s="509"/>
      <c r="DK246" s="509"/>
      <c r="DL246" s="509"/>
      <c r="DM246" s="509"/>
      <c r="DN246" s="509"/>
      <c r="DO246" s="509"/>
      <c r="DP246" s="509"/>
      <c r="DQ246" s="509"/>
      <c r="DR246" s="509"/>
      <c r="DS246" s="509"/>
      <c r="DT246" s="509"/>
      <c r="DU246" s="509"/>
      <c r="DV246" s="509"/>
      <c r="DW246" s="509"/>
      <c r="DX246" s="509"/>
      <c r="DY246" s="509"/>
      <c r="DZ246" s="509"/>
      <c r="EA246" s="509"/>
      <c r="EB246" s="509"/>
      <c r="EC246" s="509"/>
      <c r="ED246" s="509"/>
      <c r="EE246" s="509"/>
      <c r="EF246" s="509"/>
      <c r="EG246" s="509"/>
      <c r="EH246" s="509"/>
      <c r="EI246" s="509"/>
      <c r="EJ246" s="509"/>
      <c r="EK246" s="509"/>
      <c r="EL246" s="509"/>
      <c r="EM246" s="509"/>
      <c r="EN246" s="509"/>
      <c r="EO246" s="509"/>
      <c r="EP246" s="509"/>
      <c r="EQ246" s="509"/>
      <c r="ER246" s="509"/>
      <c r="ES246" s="509"/>
      <c r="ET246" s="509"/>
      <c r="EU246" s="509"/>
      <c r="EV246" s="509"/>
      <c r="EW246" s="509"/>
      <c r="EX246" s="509"/>
      <c r="EY246" s="509"/>
      <c r="EZ246" s="509"/>
      <c r="FA246" s="509"/>
      <c r="FB246" s="509"/>
      <c r="FC246" s="509"/>
      <c r="FD246" s="509"/>
      <c r="FE246" s="509"/>
      <c r="FF246" s="509"/>
      <c r="FG246" s="509"/>
      <c r="FH246" s="509"/>
      <c r="FI246" s="509"/>
      <c r="FJ246" s="509"/>
      <c r="FK246" s="509"/>
      <c r="FL246" s="509"/>
      <c r="FM246" s="509"/>
      <c r="FN246" s="509"/>
      <c r="FO246" s="509"/>
      <c r="FP246" s="509"/>
      <c r="FQ246" s="509"/>
      <c r="FR246" s="509"/>
      <c r="FS246" s="509"/>
      <c r="FT246" s="509"/>
      <c r="FU246" s="509"/>
      <c r="FV246" s="509"/>
      <c r="FW246" s="509"/>
      <c r="FX246" s="509"/>
      <c r="FY246" s="509"/>
      <c r="FZ246" s="509"/>
      <c r="GA246" s="509"/>
      <c r="GB246" s="509"/>
      <c r="GC246" s="509"/>
      <c r="GD246" s="509"/>
      <c r="GE246" s="509"/>
      <c r="GF246" s="509"/>
      <c r="GG246" s="509"/>
      <c r="GH246" s="509"/>
      <c r="GI246" s="509"/>
      <c r="GJ246" s="509"/>
      <c r="GK246" s="509"/>
      <c r="GL246" s="509"/>
      <c r="GM246" s="509"/>
      <c r="GN246" s="509"/>
      <c r="GO246" s="509"/>
      <c r="GP246" s="509"/>
      <c r="GQ246" s="509"/>
      <c r="GR246" s="509"/>
      <c r="GS246" s="509"/>
      <c r="GT246" s="509"/>
      <c r="GU246" s="509"/>
      <c r="GV246" s="509"/>
      <c r="GW246" s="509"/>
      <c r="GX246" s="509"/>
      <c r="GY246" s="509"/>
      <c r="GZ246" s="509"/>
      <c r="HA246" s="509"/>
      <c r="HB246" s="509"/>
      <c r="HC246" s="509"/>
      <c r="HD246" s="509"/>
      <c r="HE246" s="509"/>
      <c r="HF246" s="509"/>
      <c r="HG246" s="509"/>
      <c r="HH246" s="509"/>
      <c r="HI246" s="509"/>
      <c r="HJ246" s="509"/>
      <c r="HK246" s="509"/>
      <c r="HL246" s="509"/>
      <c r="HM246" s="509"/>
      <c r="HN246" s="509"/>
      <c r="HO246" s="509"/>
      <c r="HP246" s="509"/>
      <c r="HQ246" s="509"/>
      <c r="HR246" s="509"/>
      <c r="HS246" s="509"/>
      <c r="HT246" s="509"/>
      <c r="HU246" s="509"/>
      <c r="HV246" s="509"/>
      <c r="HW246" s="509"/>
      <c r="HX246" s="509"/>
      <c r="HY246" s="509"/>
      <c r="HZ246" s="509"/>
    </row>
    <row r="247" spans="1:234" ht="15.9" hidden="1" customHeight="1" x14ac:dyDescent="0.25">
      <c r="A247" s="541" t="s">
        <v>941</v>
      </c>
      <c r="B247" s="523" t="s">
        <v>3796</v>
      </c>
      <c r="C247" s="524" t="s">
        <v>596</v>
      </c>
      <c r="D247" s="553" t="s">
        <v>2368</v>
      </c>
      <c r="E247" s="526" t="s">
        <v>3228</v>
      </c>
      <c r="F247" s="543">
        <v>39821</v>
      </c>
      <c r="G247" s="544">
        <v>39783</v>
      </c>
      <c r="H247" s="557">
        <v>39813</v>
      </c>
      <c r="I247" s="604">
        <v>41121</v>
      </c>
      <c r="J247" s="609">
        <v>10</v>
      </c>
      <c r="K247" s="553">
        <v>0.01</v>
      </c>
      <c r="L247" s="552">
        <v>6.5000000000000002E-2</v>
      </c>
      <c r="M247" s="560">
        <v>0.06</v>
      </c>
      <c r="N247" s="606" t="s">
        <v>3229</v>
      </c>
      <c r="O247" s="610">
        <v>0.17</v>
      </c>
      <c r="P247" s="575" t="s">
        <v>3229</v>
      </c>
      <c r="Q247" s="575">
        <v>0.04</v>
      </c>
      <c r="R247" s="575" t="s">
        <v>3229</v>
      </c>
      <c r="S247" s="597">
        <v>3</v>
      </c>
      <c r="T247" s="563">
        <v>40179</v>
      </c>
      <c r="U247" s="563">
        <v>40544</v>
      </c>
      <c r="V247" s="563">
        <v>41091</v>
      </c>
      <c r="W247" s="563" t="s">
        <v>3229</v>
      </c>
      <c r="X247" s="563" t="s">
        <v>3229</v>
      </c>
      <c r="Y247" s="563" t="s">
        <v>3229</v>
      </c>
      <c r="Z247" s="563" t="s">
        <v>3229</v>
      </c>
      <c r="AA247" s="563" t="s">
        <v>3229</v>
      </c>
      <c r="AB247" s="563" t="s">
        <v>3229</v>
      </c>
      <c r="AC247" s="563" t="s">
        <v>3229</v>
      </c>
      <c r="AD247" s="563" t="s">
        <v>3229</v>
      </c>
      <c r="AE247" s="563" t="s">
        <v>3229</v>
      </c>
      <c r="AF247" s="3764" t="s">
        <v>781</v>
      </c>
      <c r="AG247" s="3765"/>
      <c r="AH247" s="673" t="s">
        <v>3229</v>
      </c>
      <c r="AI247" s="673" t="s">
        <v>3229</v>
      </c>
      <c r="AJ247" s="673" t="s">
        <v>3229</v>
      </c>
      <c r="AK247" s="673" t="s">
        <v>3229</v>
      </c>
      <c r="AL247" s="673" t="s">
        <v>3229</v>
      </c>
      <c r="AM247" s="591">
        <v>1</v>
      </c>
      <c r="AN247" s="638">
        <v>7.8E-2</v>
      </c>
      <c r="AO247" s="625">
        <v>10.59</v>
      </c>
      <c r="AP247" s="1368">
        <v>-0.15231870889301141</v>
      </c>
      <c r="AQ247" s="675">
        <v>-0.15231870889301141</v>
      </c>
      <c r="AR247" s="558">
        <f>'klikací hodnoty'!F7357+parametry!L247</f>
        <v>0.14300000000000002</v>
      </c>
      <c r="AS247" s="558">
        <f t="shared" si="44"/>
        <v>3.8239614252931764E-2</v>
      </c>
      <c r="AT247" s="648"/>
      <c r="AU247" s="558"/>
      <c r="AV247" s="632">
        <f>'klikací hodnoty'!F7357</f>
        <v>7.8E-2</v>
      </c>
      <c r="AW247" s="558">
        <f t="shared" si="42"/>
        <v>2.1311787578889074E-2</v>
      </c>
      <c r="AX247" s="589"/>
      <c r="AY247" s="587"/>
      <c r="AZ247" s="676">
        <f t="shared" si="39"/>
        <v>10.780000000000001</v>
      </c>
      <c r="BA247" s="583" t="s">
        <v>2585</v>
      </c>
      <c r="BB247" s="570" t="s">
        <v>2025</v>
      </c>
      <c r="BC247" s="581" t="s">
        <v>2895</v>
      </c>
      <c r="BH247" s="3763"/>
      <c r="BI247" s="3763"/>
      <c r="BJ247" s="1639"/>
      <c r="BK247" s="1639"/>
      <c r="BL247" s="1639"/>
      <c r="BM247" s="1639"/>
      <c r="BN247" s="1639"/>
      <c r="BO247" s="1639"/>
      <c r="BP247" s="1639"/>
      <c r="BQ247" s="1639"/>
      <c r="BR247" s="1639"/>
      <c r="BS247" s="509"/>
      <c r="BT247" s="509"/>
      <c r="BU247" s="509"/>
      <c r="BV247" s="509"/>
      <c r="BW247" s="509"/>
      <c r="BX247" s="509"/>
      <c r="BY247" s="509"/>
      <c r="BZ247" s="509"/>
      <c r="CA247" s="509"/>
      <c r="CB247" s="509"/>
      <c r="CC247" s="509"/>
      <c r="CD247" s="509"/>
      <c r="CE247" s="509"/>
      <c r="CF247" s="509"/>
      <c r="CG247" s="509"/>
      <c r="CH247" s="509"/>
      <c r="CI247" s="509"/>
      <c r="CJ247" s="509"/>
      <c r="CK247" s="509"/>
      <c r="CL247" s="509"/>
      <c r="CM247" s="509"/>
      <c r="CN247" s="509"/>
      <c r="CO247" s="509"/>
      <c r="CP247" s="509"/>
      <c r="CQ247" s="509"/>
      <c r="CR247" s="509"/>
      <c r="CS247" s="509"/>
      <c r="CT247" s="509"/>
      <c r="CU247" s="509"/>
      <c r="CV247" s="509"/>
      <c r="CW247" s="509"/>
      <c r="CX247" s="509"/>
      <c r="CY247" s="509"/>
      <c r="CZ247" s="509"/>
      <c r="DA247" s="509"/>
      <c r="DB247" s="509"/>
      <c r="DC247" s="509"/>
      <c r="DD247" s="509"/>
      <c r="DE247" s="509"/>
      <c r="DF247" s="509"/>
      <c r="DG247" s="509"/>
      <c r="DH247" s="509"/>
      <c r="DI247" s="509"/>
      <c r="DJ247" s="509"/>
      <c r="DK247" s="509"/>
      <c r="DL247" s="509"/>
      <c r="DM247" s="509"/>
      <c r="DN247" s="509"/>
      <c r="DO247" s="509"/>
      <c r="DP247" s="509"/>
      <c r="DQ247" s="509"/>
      <c r="DR247" s="509"/>
      <c r="DS247" s="509"/>
      <c r="DT247" s="509"/>
      <c r="DU247" s="509"/>
      <c r="DV247" s="509"/>
      <c r="DW247" s="509"/>
      <c r="DX247" s="509"/>
      <c r="DY247" s="509"/>
      <c r="DZ247" s="509"/>
      <c r="EA247" s="509"/>
      <c r="EB247" s="509"/>
      <c r="EC247" s="509"/>
      <c r="ED247" s="509"/>
      <c r="EE247" s="509"/>
      <c r="EF247" s="509"/>
      <c r="EG247" s="509"/>
      <c r="EH247" s="509"/>
      <c r="EI247" s="509"/>
      <c r="EJ247" s="509"/>
      <c r="EK247" s="509"/>
      <c r="EL247" s="509"/>
      <c r="EM247" s="509"/>
      <c r="EN247" s="509"/>
      <c r="EO247" s="509"/>
      <c r="EP247" s="509"/>
      <c r="EQ247" s="509"/>
      <c r="ER247" s="509"/>
      <c r="ES247" s="509"/>
      <c r="ET247" s="509"/>
      <c r="EU247" s="509"/>
      <c r="EV247" s="509"/>
      <c r="EW247" s="509"/>
      <c r="EX247" s="509"/>
      <c r="EY247" s="509"/>
      <c r="EZ247" s="509"/>
      <c r="FA247" s="509"/>
      <c r="FB247" s="509"/>
      <c r="FC247" s="509"/>
      <c r="FD247" s="509"/>
      <c r="FE247" s="509"/>
      <c r="FF247" s="509"/>
      <c r="FG247" s="509"/>
      <c r="FH247" s="509"/>
      <c r="FI247" s="509"/>
      <c r="FJ247" s="509"/>
      <c r="FK247" s="509"/>
      <c r="FL247" s="509"/>
      <c r="FM247" s="509"/>
      <c r="FN247" s="509"/>
      <c r="FO247" s="509"/>
      <c r="FP247" s="509"/>
      <c r="FQ247" s="509"/>
      <c r="FR247" s="509"/>
      <c r="FS247" s="509"/>
      <c r="FT247" s="509"/>
      <c r="FU247" s="509"/>
      <c r="FV247" s="509"/>
      <c r="FW247" s="509"/>
      <c r="FX247" s="509"/>
      <c r="FY247" s="509"/>
      <c r="FZ247" s="509"/>
      <c r="GA247" s="509"/>
      <c r="GB247" s="509"/>
      <c r="GC247" s="509"/>
      <c r="GD247" s="509"/>
      <c r="GE247" s="509"/>
      <c r="GF247" s="509"/>
      <c r="GG247" s="509"/>
      <c r="GH247" s="509"/>
      <c r="GI247" s="509"/>
      <c r="GJ247" s="509"/>
      <c r="GK247" s="509"/>
      <c r="GL247" s="509"/>
      <c r="GM247" s="509"/>
      <c r="GN247" s="509"/>
      <c r="GO247" s="509"/>
      <c r="GP247" s="509"/>
      <c r="GQ247" s="509"/>
      <c r="GR247" s="509"/>
      <c r="GS247" s="509"/>
      <c r="GT247" s="509"/>
      <c r="GU247" s="509"/>
      <c r="GV247" s="509"/>
      <c r="GW247" s="509"/>
      <c r="GX247" s="509"/>
      <c r="GY247" s="509"/>
      <c r="GZ247" s="509"/>
      <c r="HA247" s="509"/>
      <c r="HB247" s="509"/>
      <c r="HC247" s="509"/>
      <c r="HD247" s="509"/>
      <c r="HE247" s="509"/>
      <c r="HF247" s="509"/>
      <c r="HG247" s="509"/>
      <c r="HH247" s="509"/>
      <c r="HI247" s="509"/>
      <c r="HJ247" s="509"/>
      <c r="HK247" s="509"/>
      <c r="HL247" s="509"/>
      <c r="HM247" s="509"/>
      <c r="HN247" s="509"/>
      <c r="HO247" s="509"/>
      <c r="HP247" s="509"/>
      <c r="HQ247" s="509"/>
      <c r="HR247" s="509"/>
      <c r="HS247" s="509"/>
      <c r="HT247" s="509"/>
      <c r="HU247" s="509"/>
      <c r="HV247" s="509"/>
      <c r="HW247" s="509"/>
      <c r="HX247" s="509"/>
      <c r="HY247" s="509"/>
      <c r="HZ247" s="509"/>
    </row>
    <row r="248" spans="1:234" ht="15.9" hidden="1" customHeight="1" x14ac:dyDescent="0.25">
      <c r="A248" s="541" t="s">
        <v>3249</v>
      </c>
      <c r="B248" s="523" t="s">
        <v>1348</v>
      </c>
      <c r="C248" s="524" t="s">
        <v>2061</v>
      </c>
      <c r="D248" s="553" t="s">
        <v>2159</v>
      </c>
      <c r="E248" s="526" t="s">
        <v>3228</v>
      </c>
      <c r="F248" s="543">
        <v>39878</v>
      </c>
      <c r="G248" s="544">
        <v>39815</v>
      </c>
      <c r="H248" s="557">
        <v>39871</v>
      </c>
      <c r="I248" s="604">
        <v>41547</v>
      </c>
      <c r="J248" s="609">
        <v>10</v>
      </c>
      <c r="K248" s="553">
        <v>5.0000000000000001E-3</v>
      </c>
      <c r="L248" s="552">
        <v>0.06</v>
      </c>
      <c r="M248" s="560">
        <v>5.5E-2</v>
      </c>
      <c r="N248" s="606" t="s">
        <v>3229</v>
      </c>
      <c r="O248" s="610">
        <v>0.22</v>
      </c>
      <c r="P248" s="575" t="s">
        <v>3229</v>
      </c>
      <c r="Q248" s="575">
        <v>0.04</v>
      </c>
      <c r="R248" s="575" t="s">
        <v>3229</v>
      </c>
      <c r="S248" s="597">
        <v>4</v>
      </c>
      <c r="T248" s="563">
        <v>40210</v>
      </c>
      <c r="U248" s="563">
        <v>40575</v>
      </c>
      <c r="V248" s="563">
        <v>40940</v>
      </c>
      <c r="W248" s="563">
        <v>41487</v>
      </c>
      <c r="X248" s="563" t="s">
        <v>3229</v>
      </c>
      <c r="Y248" s="563" t="s">
        <v>3229</v>
      </c>
      <c r="Z248" s="563" t="s">
        <v>3229</v>
      </c>
      <c r="AA248" s="563" t="s">
        <v>3229</v>
      </c>
      <c r="AB248" s="563" t="s">
        <v>3229</v>
      </c>
      <c r="AC248" s="563" t="s">
        <v>3229</v>
      </c>
      <c r="AD248" s="563" t="s">
        <v>3229</v>
      </c>
      <c r="AE248" s="563" t="s">
        <v>3229</v>
      </c>
      <c r="AF248" s="3764" t="s">
        <v>781</v>
      </c>
      <c r="AG248" s="3765"/>
      <c r="AH248" s="673" t="s">
        <v>3229</v>
      </c>
      <c r="AI248" s="673" t="s">
        <v>3229</v>
      </c>
      <c r="AJ248" s="673" t="s">
        <v>3229</v>
      </c>
      <c r="AK248" s="673" t="s">
        <v>3229</v>
      </c>
      <c r="AL248" s="673" t="s">
        <v>3229</v>
      </c>
      <c r="AM248" s="591">
        <v>1</v>
      </c>
      <c r="AN248" s="638">
        <v>0.12648199999999998</v>
      </c>
      <c r="AO248" s="625">
        <v>11.12</v>
      </c>
      <c r="AP248" s="1368">
        <v>-3.091790265206712E-2</v>
      </c>
      <c r="AQ248" s="675">
        <v>0.96514347788514976</v>
      </c>
      <c r="AR248" s="558">
        <v>0.24648199999999998</v>
      </c>
      <c r="AS248" s="558">
        <v>4.9363466449381166E-2</v>
      </c>
      <c r="AT248" s="648">
        <v>0.12498375451263533</v>
      </c>
      <c r="AU248" s="558">
        <v>3.0013437125718969</v>
      </c>
      <c r="AV248" s="632">
        <v>0.12648199999999998</v>
      </c>
      <c r="AW248" s="558">
        <v>2.6388495944323909E-2</v>
      </c>
      <c r="AX248" s="589">
        <v>1.6680505415162417E-2</v>
      </c>
      <c r="AY248" s="587">
        <v>0.21504300138972732</v>
      </c>
      <c r="AZ248" s="676">
        <v>11.26482</v>
      </c>
      <c r="BA248" s="583" t="s">
        <v>2585</v>
      </c>
      <c r="BB248" s="570" t="s">
        <v>2025</v>
      </c>
      <c r="BC248" s="581" t="s">
        <v>2895</v>
      </c>
      <c r="BH248" s="3763"/>
      <c r="BI248" s="3763"/>
      <c r="BJ248" s="1639"/>
      <c r="BK248" s="1639"/>
      <c r="BL248" s="1639"/>
      <c r="BM248" s="1639"/>
      <c r="BN248" s="1639"/>
      <c r="BO248" s="1639"/>
      <c r="BP248" s="1639"/>
      <c r="BQ248" s="1639"/>
      <c r="BR248" s="1639"/>
      <c r="BS248" s="509"/>
      <c r="BT248" s="509"/>
      <c r="BU248" s="509"/>
      <c r="BV248" s="509"/>
      <c r="BW248" s="509"/>
      <c r="BX248" s="509"/>
      <c r="BY248" s="509"/>
      <c r="BZ248" s="509"/>
      <c r="CA248" s="509"/>
      <c r="CB248" s="509"/>
      <c r="CC248" s="509"/>
      <c r="CD248" s="509"/>
      <c r="CE248" s="509"/>
      <c r="CF248" s="509"/>
      <c r="CG248" s="509"/>
      <c r="CH248" s="509"/>
      <c r="CI248" s="509"/>
      <c r="CJ248" s="509"/>
      <c r="CK248" s="509"/>
      <c r="CL248" s="509"/>
      <c r="CM248" s="509"/>
      <c r="CN248" s="509"/>
      <c r="CO248" s="509"/>
      <c r="CP248" s="509"/>
      <c r="CQ248" s="509"/>
      <c r="CR248" s="509"/>
      <c r="CS248" s="509"/>
      <c r="CT248" s="509"/>
      <c r="CU248" s="509"/>
      <c r="CV248" s="509"/>
      <c r="CW248" s="509"/>
      <c r="CX248" s="509"/>
      <c r="CY248" s="509"/>
      <c r="CZ248" s="509"/>
      <c r="DA248" s="509"/>
      <c r="DB248" s="509"/>
      <c r="DC248" s="509"/>
      <c r="DD248" s="509"/>
      <c r="DE248" s="509"/>
      <c r="DF248" s="509"/>
      <c r="DG248" s="509"/>
      <c r="DH248" s="509"/>
      <c r="DI248" s="509"/>
      <c r="DJ248" s="509"/>
      <c r="DK248" s="509"/>
      <c r="DL248" s="509"/>
      <c r="DM248" s="509"/>
      <c r="DN248" s="509"/>
      <c r="DO248" s="509"/>
      <c r="DP248" s="509"/>
      <c r="DQ248" s="509"/>
      <c r="DR248" s="509"/>
      <c r="DS248" s="509"/>
      <c r="DT248" s="509"/>
      <c r="DU248" s="509"/>
      <c r="DV248" s="509"/>
      <c r="DW248" s="509"/>
      <c r="DX248" s="509"/>
      <c r="DY248" s="509"/>
      <c r="DZ248" s="509"/>
      <c r="EA248" s="509"/>
      <c r="EB248" s="509"/>
      <c r="EC248" s="509"/>
      <c r="ED248" s="509"/>
      <c r="EE248" s="509"/>
      <c r="EF248" s="509"/>
      <c r="EG248" s="509"/>
      <c r="EH248" s="509"/>
      <c r="EI248" s="509"/>
      <c r="EJ248" s="509"/>
      <c r="EK248" s="509"/>
      <c r="EL248" s="509"/>
      <c r="EM248" s="509"/>
      <c r="EN248" s="509"/>
      <c r="EO248" s="509"/>
      <c r="EP248" s="509"/>
      <c r="EQ248" s="509"/>
      <c r="ER248" s="509"/>
      <c r="ES248" s="509"/>
      <c r="ET248" s="509"/>
      <c r="EU248" s="509"/>
      <c r="EV248" s="509"/>
      <c r="EW248" s="509"/>
      <c r="EX248" s="509"/>
      <c r="EY248" s="509"/>
      <c r="EZ248" s="509"/>
      <c r="FA248" s="509"/>
      <c r="FB248" s="509"/>
      <c r="FC248" s="509"/>
      <c r="FD248" s="509"/>
      <c r="FE248" s="509"/>
      <c r="FF248" s="509"/>
      <c r="FG248" s="509"/>
      <c r="FH248" s="509"/>
      <c r="FI248" s="509"/>
      <c r="FJ248" s="509"/>
      <c r="FK248" s="509"/>
      <c r="FL248" s="509"/>
      <c r="FM248" s="509"/>
      <c r="FN248" s="509"/>
      <c r="FO248" s="509"/>
      <c r="FP248" s="509"/>
      <c r="FQ248" s="509"/>
      <c r="FR248" s="509"/>
      <c r="FS248" s="509"/>
      <c r="FT248" s="509"/>
      <c r="FU248" s="509"/>
      <c r="FV248" s="509"/>
      <c r="FW248" s="509"/>
      <c r="FX248" s="509"/>
      <c r="FY248" s="509"/>
      <c r="FZ248" s="509"/>
      <c r="GA248" s="509"/>
      <c r="GB248" s="509"/>
      <c r="GC248" s="509"/>
      <c r="GD248" s="509"/>
      <c r="GE248" s="509"/>
      <c r="GF248" s="509"/>
      <c r="GG248" s="509"/>
      <c r="GH248" s="509"/>
      <c r="GI248" s="509"/>
      <c r="GJ248" s="509"/>
      <c r="GK248" s="509"/>
      <c r="GL248" s="509"/>
      <c r="GM248" s="509"/>
      <c r="GN248" s="509"/>
      <c r="GO248" s="509"/>
      <c r="GP248" s="509"/>
      <c r="GQ248" s="509"/>
      <c r="GR248" s="509"/>
      <c r="GS248" s="509"/>
      <c r="GT248" s="509"/>
      <c r="GU248" s="509"/>
      <c r="GV248" s="509"/>
      <c r="GW248" s="509"/>
      <c r="GX248" s="509"/>
      <c r="GY248" s="509"/>
      <c r="GZ248" s="509"/>
      <c r="HA248" s="509"/>
      <c r="HB248" s="509"/>
      <c r="HC248" s="509"/>
      <c r="HD248" s="509"/>
      <c r="HE248" s="509"/>
      <c r="HF248" s="509"/>
      <c r="HG248" s="509"/>
      <c r="HH248" s="509"/>
      <c r="HI248" s="509"/>
      <c r="HJ248" s="509"/>
      <c r="HK248" s="509"/>
      <c r="HL248" s="509"/>
      <c r="HM248" s="509"/>
      <c r="HN248" s="509"/>
      <c r="HO248" s="509"/>
      <c r="HP248" s="509"/>
      <c r="HQ248" s="509"/>
      <c r="HR248" s="509"/>
      <c r="HS248" s="509"/>
      <c r="HT248" s="509"/>
      <c r="HU248" s="509"/>
      <c r="HV248" s="509"/>
      <c r="HW248" s="509"/>
      <c r="HX248" s="509"/>
      <c r="HY248" s="509"/>
      <c r="HZ248" s="509"/>
    </row>
    <row r="249" spans="1:234" ht="15.9" hidden="1" customHeight="1" x14ac:dyDescent="0.25">
      <c r="A249" s="541" t="s">
        <v>2059</v>
      </c>
      <c r="B249" s="523" t="s">
        <v>1347</v>
      </c>
      <c r="C249" s="524" t="s">
        <v>2060</v>
      </c>
      <c r="D249" s="553" t="s">
        <v>2228</v>
      </c>
      <c r="E249" s="524" t="s">
        <v>3228</v>
      </c>
      <c r="F249" s="544">
        <v>39855</v>
      </c>
      <c r="G249" s="586">
        <v>39815</v>
      </c>
      <c r="H249" s="557">
        <v>39848</v>
      </c>
      <c r="I249" s="604">
        <v>41892</v>
      </c>
      <c r="J249" s="579">
        <v>10</v>
      </c>
      <c r="K249" s="561" t="s">
        <v>3229</v>
      </c>
      <c r="L249" s="553" t="s">
        <v>3229</v>
      </c>
      <c r="M249" s="600">
        <v>8.0799999999999997E-2</v>
      </c>
      <c r="N249" s="601" t="s">
        <v>3229</v>
      </c>
      <c r="O249" s="596">
        <v>0.40910000000000002</v>
      </c>
      <c r="P249" s="596" t="s">
        <v>3229</v>
      </c>
      <c r="Q249" s="596">
        <v>3.1E-2</v>
      </c>
      <c r="R249" s="596">
        <v>1.5</v>
      </c>
      <c r="S249" s="597">
        <v>5</v>
      </c>
      <c r="T249" s="563">
        <v>40575</v>
      </c>
      <c r="U249" s="563">
        <v>40941</v>
      </c>
      <c r="V249" s="563">
        <v>41308</v>
      </c>
      <c r="W249" s="563">
        <v>41674</v>
      </c>
      <c r="X249" s="563">
        <v>41856</v>
      </c>
      <c r="Y249" s="563" t="s">
        <v>3229</v>
      </c>
      <c r="Z249" s="563" t="s">
        <v>3229</v>
      </c>
      <c r="AA249" s="563" t="s">
        <v>3229</v>
      </c>
      <c r="AB249" s="563" t="s">
        <v>3229</v>
      </c>
      <c r="AC249" s="563" t="s">
        <v>3229</v>
      </c>
      <c r="AD249" s="563" t="s">
        <v>3229</v>
      </c>
      <c r="AE249" s="563" t="s">
        <v>3229</v>
      </c>
      <c r="AF249" s="3764" t="s">
        <v>781</v>
      </c>
      <c r="AG249" s="3765"/>
      <c r="AH249" s="673" t="s">
        <v>3229</v>
      </c>
      <c r="AI249" s="673" t="s">
        <v>3229</v>
      </c>
      <c r="AJ249" s="673" t="s">
        <v>3229</v>
      </c>
      <c r="AK249" s="673" t="s">
        <v>3229</v>
      </c>
      <c r="AL249" s="673" t="s">
        <v>3229</v>
      </c>
      <c r="AM249" s="591">
        <v>1</v>
      </c>
      <c r="AN249" s="638">
        <v>0.14294444444444443</v>
      </c>
      <c r="AO249" s="625">
        <v>11.19</v>
      </c>
      <c r="AP249" s="1368" t="s">
        <v>3229</v>
      </c>
      <c r="AQ249" s="675">
        <v>0.71128682456754699</v>
      </c>
      <c r="AR249" s="3773">
        <f>O249</f>
        <v>0.40910000000000002</v>
      </c>
      <c r="AS249" s="3774">
        <f t="shared" si="44"/>
        <v>6.3379173798900457E-2</v>
      </c>
      <c r="AT249" s="3774">
        <f>J249*(1+AR249)/AO249-1</f>
        <v>0.25924932975871329</v>
      </c>
      <c r="AU249" s="3774" t="e">
        <f>POWER(1+AT249,1/AG249)-1</f>
        <v>#DIV/0!</v>
      </c>
      <c r="AV249" s="632">
        <f>'klikací hodnoty'!F7399</f>
        <v>0.14294444444444443</v>
      </c>
      <c r="AW249" s="558">
        <f t="shared" si="42"/>
        <v>2.4229394887990141E-2</v>
      </c>
      <c r="AX249" s="589">
        <f>J249*(1+AV249)/AO249-1</f>
        <v>2.1398073676893947E-2</v>
      </c>
      <c r="AY249" s="648" t="e">
        <f>POWER(1+AX249,1/AG249)-1</f>
        <v>#DIV/0!</v>
      </c>
      <c r="AZ249" s="676">
        <f>TRUNC(J249*(1+AV249),2)</f>
        <v>11.42</v>
      </c>
      <c r="BA249" s="644" t="s">
        <v>274</v>
      </c>
      <c r="BB249" s="536"/>
      <c r="BC249" s="581"/>
      <c r="BD249" s="3710">
        <f>'klikací hodnoty'!F7399</f>
        <v>0.14294444444444443</v>
      </c>
      <c r="BH249" s="3763"/>
      <c r="BI249" s="3763"/>
      <c r="BJ249" s="1639"/>
      <c r="BK249" s="1639"/>
      <c r="BL249" s="1639"/>
      <c r="BM249" s="1639"/>
      <c r="BN249" s="1639"/>
      <c r="BO249" s="1639"/>
      <c r="BP249" s="1639"/>
      <c r="BQ249" s="1639"/>
      <c r="BR249" s="1639"/>
      <c r="BS249" s="509"/>
      <c r="BT249" s="509"/>
      <c r="BU249" s="509"/>
      <c r="BV249" s="509"/>
      <c r="BW249" s="509"/>
      <c r="BX249" s="509"/>
      <c r="BY249" s="509"/>
      <c r="BZ249" s="509"/>
      <c r="CA249" s="509"/>
      <c r="CB249" s="509"/>
      <c r="CC249" s="509"/>
      <c r="CD249" s="509"/>
      <c r="CE249" s="509"/>
      <c r="CF249" s="509"/>
      <c r="CG249" s="509"/>
      <c r="CH249" s="509"/>
      <c r="CI249" s="509"/>
      <c r="CJ249" s="509"/>
      <c r="CK249" s="509"/>
      <c r="CL249" s="509"/>
      <c r="CM249" s="509"/>
      <c r="CN249" s="509"/>
      <c r="CO249" s="509"/>
      <c r="CP249" s="509"/>
      <c r="CQ249" s="509"/>
      <c r="CR249" s="509"/>
      <c r="CS249" s="509"/>
      <c r="CT249" s="509"/>
      <c r="CU249" s="509"/>
      <c r="CV249" s="509"/>
      <c r="CW249" s="509"/>
      <c r="CX249" s="509"/>
      <c r="CY249" s="509"/>
      <c r="CZ249" s="509"/>
      <c r="DA249" s="509"/>
      <c r="DB249" s="509"/>
      <c r="DC249" s="509"/>
      <c r="DD249" s="509"/>
      <c r="DE249" s="509"/>
      <c r="DF249" s="509"/>
      <c r="DG249" s="509"/>
      <c r="DH249" s="509"/>
      <c r="DI249" s="509"/>
      <c r="DJ249" s="509"/>
      <c r="DK249" s="509"/>
      <c r="DL249" s="509"/>
      <c r="DM249" s="509"/>
      <c r="DN249" s="509"/>
      <c r="DO249" s="509"/>
      <c r="DP249" s="509"/>
      <c r="DQ249" s="509"/>
      <c r="DR249" s="509"/>
      <c r="DS249" s="509"/>
      <c r="DT249" s="509"/>
      <c r="DU249" s="509"/>
      <c r="DV249" s="509"/>
      <c r="DW249" s="509"/>
      <c r="DX249" s="509"/>
      <c r="DY249" s="509"/>
      <c r="DZ249" s="509"/>
      <c r="EA249" s="509"/>
      <c r="EB249" s="509"/>
      <c r="EC249" s="509"/>
      <c r="ED249" s="509"/>
      <c r="EE249" s="509"/>
      <c r="EF249" s="509"/>
      <c r="EG249" s="509"/>
      <c r="EH249" s="509"/>
      <c r="EI249" s="509"/>
      <c r="EJ249" s="509"/>
      <c r="EK249" s="509"/>
      <c r="EL249" s="509"/>
      <c r="EM249" s="509"/>
      <c r="EN249" s="509"/>
      <c r="EO249" s="509"/>
      <c r="EP249" s="509"/>
      <c r="EQ249" s="509"/>
      <c r="ER249" s="509"/>
      <c r="ES249" s="509"/>
      <c r="ET249" s="509"/>
      <c r="EU249" s="509"/>
      <c r="EV249" s="509"/>
      <c r="EW249" s="509"/>
      <c r="EX249" s="509"/>
      <c r="EY249" s="509"/>
      <c r="EZ249" s="509"/>
      <c r="FA249" s="509"/>
      <c r="FB249" s="509"/>
      <c r="FC249" s="509"/>
      <c r="FD249" s="509"/>
      <c r="FE249" s="509"/>
      <c r="FF249" s="509"/>
      <c r="FG249" s="509"/>
      <c r="FH249" s="509"/>
      <c r="FI249" s="509"/>
      <c r="FJ249" s="509"/>
      <c r="FK249" s="509"/>
      <c r="FL249" s="509"/>
      <c r="FM249" s="509"/>
      <c r="FN249" s="509"/>
      <c r="FO249" s="509"/>
      <c r="FP249" s="509"/>
      <c r="FQ249" s="509"/>
      <c r="FR249" s="509"/>
      <c r="FS249" s="509"/>
      <c r="FT249" s="509"/>
      <c r="FU249" s="509"/>
      <c r="FV249" s="509"/>
      <c r="FW249" s="509"/>
      <c r="FX249" s="509"/>
      <c r="FY249" s="509"/>
      <c r="FZ249" s="509"/>
      <c r="GA249" s="509"/>
      <c r="GB249" s="509"/>
      <c r="GC249" s="509"/>
      <c r="GD249" s="509"/>
      <c r="GE249" s="509"/>
      <c r="GF249" s="509"/>
      <c r="GG249" s="509"/>
      <c r="GH249" s="509"/>
      <c r="GI249" s="509"/>
      <c r="GJ249" s="509"/>
      <c r="GK249" s="509"/>
      <c r="GL249" s="509"/>
      <c r="GM249" s="509"/>
      <c r="GN249" s="509"/>
      <c r="GO249" s="509"/>
      <c r="GP249" s="509"/>
      <c r="GQ249" s="509"/>
      <c r="GR249" s="509"/>
      <c r="GS249" s="509"/>
      <c r="GT249" s="509"/>
      <c r="GU249" s="509"/>
      <c r="GV249" s="509"/>
      <c r="GW249" s="509"/>
      <c r="GX249" s="509"/>
      <c r="GY249" s="509"/>
      <c r="GZ249" s="509"/>
      <c r="HA249" s="509"/>
      <c r="HB249" s="509"/>
      <c r="HC249" s="509"/>
      <c r="HD249" s="509"/>
      <c r="HE249" s="509"/>
      <c r="HF249" s="509"/>
      <c r="HG249" s="509"/>
      <c r="HH249" s="509"/>
      <c r="HI249" s="509"/>
      <c r="HJ249" s="509"/>
      <c r="HK249" s="509"/>
      <c r="HL249" s="509"/>
      <c r="HM249" s="509"/>
      <c r="HN249" s="509"/>
      <c r="HO249" s="509"/>
      <c r="HP249" s="509"/>
      <c r="HQ249" s="509"/>
      <c r="HR249" s="509"/>
      <c r="HS249" s="509"/>
      <c r="HT249" s="509"/>
      <c r="HU249" s="509"/>
      <c r="HV249" s="509"/>
      <c r="HW249" s="509"/>
      <c r="HX249" s="509"/>
      <c r="HY249" s="509"/>
      <c r="HZ249" s="509"/>
    </row>
    <row r="250" spans="1:234" ht="15.9" hidden="1" customHeight="1" x14ac:dyDescent="0.25">
      <c r="A250" s="540" t="s">
        <v>869</v>
      </c>
      <c r="B250" s="523" t="s">
        <v>868</v>
      </c>
      <c r="C250" s="524" t="s">
        <v>870</v>
      </c>
      <c r="D250" s="553" t="s">
        <v>2369</v>
      </c>
      <c r="E250" s="524" t="s">
        <v>3228</v>
      </c>
      <c r="F250" s="544">
        <v>39883</v>
      </c>
      <c r="G250" s="586">
        <v>39846</v>
      </c>
      <c r="H250" s="544">
        <v>39876</v>
      </c>
      <c r="I250" s="588">
        <v>41739</v>
      </c>
      <c r="J250" s="595">
        <v>100</v>
      </c>
      <c r="K250" s="561" t="s">
        <v>3229</v>
      </c>
      <c r="L250" s="553" t="s">
        <v>3229</v>
      </c>
      <c r="M250" s="600">
        <v>0.16300000000000001</v>
      </c>
      <c r="N250" s="601" t="s">
        <v>3229</v>
      </c>
      <c r="O250" s="596">
        <v>0.16300000000000001</v>
      </c>
      <c r="P250" s="596" t="s">
        <v>3229</v>
      </c>
      <c r="Q250" s="575" t="s">
        <v>3229</v>
      </c>
      <c r="R250" s="596" t="s">
        <v>3229</v>
      </c>
      <c r="S250" s="597"/>
      <c r="T250" s="563" t="s">
        <v>3229</v>
      </c>
      <c r="U250" s="563" t="s">
        <v>3229</v>
      </c>
      <c r="V250" s="563" t="s">
        <v>3229</v>
      </c>
      <c r="W250" s="563" t="s">
        <v>3229</v>
      </c>
      <c r="X250" s="563" t="s">
        <v>3229</v>
      </c>
      <c r="Y250" s="563" t="s">
        <v>3229</v>
      </c>
      <c r="Z250" s="563" t="s">
        <v>3229</v>
      </c>
      <c r="AA250" s="563" t="s">
        <v>3229</v>
      </c>
      <c r="AB250" s="563" t="s">
        <v>3229</v>
      </c>
      <c r="AC250" s="563" t="s">
        <v>3229</v>
      </c>
      <c r="AD250" s="563" t="s">
        <v>3229</v>
      </c>
      <c r="AE250" s="563" t="s">
        <v>3229</v>
      </c>
      <c r="AF250" s="3764" t="s">
        <v>781</v>
      </c>
      <c r="AG250" s="3765"/>
      <c r="AH250" s="673" t="s">
        <v>3229</v>
      </c>
      <c r="AI250" s="673" t="s">
        <v>3229</v>
      </c>
      <c r="AJ250" s="673" t="s">
        <v>3229</v>
      </c>
      <c r="AK250" s="673" t="s">
        <v>3229</v>
      </c>
      <c r="AL250" s="673" t="s">
        <v>3229</v>
      </c>
      <c r="AM250" s="590">
        <v>1</v>
      </c>
      <c r="AN250" s="638" t="s">
        <v>3229</v>
      </c>
      <c r="AO250" s="625">
        <v>118.69</v>
      </c>
      <c r="AP250" s="1368" t="s">
        <v>3229</v>
      </c>
      <c r="AQ250" s="606" t="s">
        <v>3229</v>
      </c>
      <c r="AR250" s="632">
        <f t="shared" si="43"/>
        <v>0.16300000000000001</v>
      </c>
      <c r="AS250" s="558">
        <f t="shared" si="44"/>
        <v>3.0141474821301362E-2</v>
      </c>
      <c r="AT250" s="648">
        <f>J250*(1+AR250)/AO250-1</f>
        <v>-2.0136490016008146E-2</v>
      </c>
      <c r="AU250" s="559" t="e">
        <f>POWER(1+AT250,1/AG250)-1</f>
        <v>#DIV/0!</v>
      </c>
      <c r="AV250" s="558">
        <f>M250</f>
        <v>0.16300000000000001</v>
      </c>
      <c r="AW250" s="558">
        <f t="shared" si="42"/>
        <v>3.0141474821301362E-2</v>
      </c>
      <c r="AX250" s="558">
        <f>J250*(1+AV250)/AO250-1</f>
        <v>-2.0136490016008146E-2</v>
      </c>
      <c r="AY250" s="559" t="e">
        <f>POWER(1+AX250,1/AG250)-1</f>
        <v>#DIV/0!</v>
      </c>
      <c r="AZ250" s="642">
        <f t="shared" ref="AZ250:AZ258" si="45">J250*(1+AV250)</f>
        <v>116.3</v>
      </c>
      <c r="BA250" s="644" t="s">
        <v>4484</v>
      </c>
      <c r="BB250" s="570"/>
      <c r="BC250" s="637"/>
      <c r="BH250" s="3763"/>
      <c r="BI250" s="3763"/>
      <c r="BJ250" s="1639"/>
      <c r="BK250" s="1639"/>
      <c r="BL250" s="1639"/>
      <c r="BM250" s="1639"/>
      <c r="BN250" s="1639"/>
      <c r="BO250" s="1639"/>
      <c r="BP250" s="1639"/>
      <c r="BQ250" s="1639"/>
      <c r="BR250" s="1639"/>
      <c r="BS250" s="509"/>
      <c r="BT250" s="509"/>
      <c r="BU250" s="509"/>
      <c r="BV250" s="509"/>
      <c r="BW250" s="509"/>
      <c r="BX250" s="509"/>
      <c r="BY250" s="509"/>
      <c r="BZ250" s="509"/>
      <c r="CA250" s="509"/>
      <c r="CB250" s="509"/>
      <c r="CC250" s="509"/>
      <c r="CD250" s="509"/>
      <c r="CE250" s="509"/>
      <c r="CF250" s="509"/>
      <c r="CG250" s="509"/>
      <c r="CH250" s="509"/>
      <c r="CI250" s="509"/>
      <c r="CJ250" s="509"/>
      <c r="CK250" s="509"/>
      <c r="CL250" s="509"/>
      <c r="CM250" s="509"/>
      <c r="CN250" s="509"/>
      <c r="CO250" s="509"/>
      <c r="CP250" s="509"/>
      <c r="CQ250" s="509"/>
      <c r="CR250" s="509"/>
      <c r="CS250" s="509"/>
      <c r="CT250" s="509"/>
      <c r="CU250" s="509"/>
      <c r="CV250" s="509"/>
      <c r="CW250" s="509"/>
      <c r="CX250" s="509"/>
      <c r="CY250" s="509"/>
      <c r="CZ250" s="509"/>
      <c r="DA250" s="509"/>
      <c r="DB250" s="509"/>
      <c r="DC250" s="509"/>
      <c r="DD250" s="509"/>
      <c r="DE250" s="509"/>
      <c r="DF250" s="509"/>
      <c r="DG250" s="509"/>
      <c r="DH250" s="509"/>
      <c r="DI250" s="509"/>
      <c r="DJ250" s="509"/>
      <c r="DK250" s="509"/>
      <c r="DL250" s="509"/>
      <c r="DM250" s="509"/>
      <c r="DN250" s="509"/>
      <c r="DO250" s="509"/>
      <c r="DP250" s="509"/>
      <c r="DQ250" s="509"/>
      <c r="DR250" s="509"/>
      <c r="DS250" s="509"/>
      <c r="DT250" s="509"/>
      <c r="DU250" s="509"/>
      <c r="DV250" s="509"/>
      <c r="DW250" s="509"/>
      <c r="DX250" s="509"/>
      <c r="DY250" s="509"/>
      <c r="DZ250" s="509"/>
      <c r="EA250" s="509"/>
      <c r="EB250" s="509"/>
      <c r="EC250" s="509"/>
      <c r="ED250" s="509"/>
      <c r="EE250" s="509"/>
      <c r="EF250" s="509"/>
      <c r="EG250" s="509"/>
      <c r="EH250" s="509"/>
      <c r="EI250" s="509"/>
      <c r="EJ250" s="509"/>
      <c r="EK250" s="509"/>
      <c r="EL250" s="509"/>
      <c r="EM250" s="509"/>
      <c r="EN250" s="509"/>
      <c r="EO250" s="509"/>
      <c r="EP250" s="509"/>
      <c r="EQ250" s="509"/>
      <c r="ER250" s="509"/>
      <c r="ES250" s="509"/>
      <c r="ET250" s="509"/>
      <c r="EU250" s="509"/>
      <c r="EV250" s="509"/>
      <c r="EW250" s="509"/>
      <c r="EX250" s="509"/>
      <c r="EY250" s="509"/>
      <c r="EZ250" s="509"/>
      <c r="FA250" s="509"/>
      <c r="FB250" s="509"/>
      <c r="FC250" s="509"/>
      <c r="FD250" s="509"/>
      <c r="FE250" s="509"/>
      <c r="FF250" s="509"/>
      <c r="FG250" s="509"/>
      <c r="FH250" s="509"/>
      <c r="FI250" s="509"/>
      <c r="FJ250" s="509"/>
      <c r="FK250" s="509"/>
      <c r="FL250" s="509"/>
      <c r="FM250" s="509"/>
      <c r="FN250" s="509"/>
      <c r="FO250" s="509"/>
      <c r="FP250" s="509"/>
      <c r="FQ250" s="509"/>
      <c r="FR250" s="509"/>
      <c r="FS250" s="509"/>
      <c r="FT250" s="509"/>
      <c r="FU250" s="509"/>
      <c r="FV250" s="509"/>
      <c r="FW250" s="509"/>
      <c r="FX250" s="509"/>
      <c r="FY250" s="509"/>
      <c r="FZ250" s="509"/>
      <c r="GA250" s="509"/>
      <c r="GB250" s="509"/>
      <c r="GC250" s="509"/>
      <c r="GD250" s="509"/>
      <c r="GE250" s="509"/>
      <c r="GF250" s="509"/>
      <c r="GG250" s="509"/>
      <c r="GH250" s="509"/>
      <c r="GI250" s="509"/>
      <c r="GJ250" s="509"/>
      <c r="GK250" s="509"/>
      <c r="GL250" s="509"/>
      <c r="GM250" s="509"/>
      <c r="GN250" s="509"/>
      <c r="GO250" s="509"/>
      <c r="GP250" s="509"/>
      <c r="GQ250" s="509"/>
      <c r="GR250" s="509"/>
      <c r="GS250" s="509"/>
      <c r="GT250" s="509"/>
      <c r="GU250" s="509"/>
      <c r="GV250" s="509"/>
      <c r="GW250" s="509"/>
      <c r="GX250" s="509"/>
      <c r="GY250" s="509"/>
      <c r="GZ250" s="509"/>
      <c r="HA250" s="509"/>
      <c r="HB250" s="509"/>
      <c r="HC250" s="509"/>
      <c r="HD250" s="509"/>
      <c r="HE250" s="509"/>
      <c r="HF250" s="509"/>
      <c r="HG250" s="509"/>
      <c r="HH250" s="509"/>
      <c r="HI250" s="509"/>
      <c r="HJ250" s="509"/>
      <c r="HK250" s="509"/>
      <c r="HL250" s="509"/>
      <c r="HM250" s="509"/>
      <c r="HN250" s="509"/>
      <c r="HO250" s="509"/>
      <c r="HP250" s="509"/>
      <c r="HQ250" s="509"/>
      <c r="HR250" s="509"/>
      <c r="HS250" s="509"/>
      <c r="HT250" s="509"/>
      <c r="HU250" s="509"/>
      <c r="HV250" s="509"/>
      <c r="HW250" s="509"/>
      <c r="HX250" s="509"/>
      <c r="HY250" s="509"/>
      <c r="HZ250" s="509"/>
    </row>
    <row r="251" spans="1:234" ht="15.9" hidden="1" customHeight="1" x14ac:dyDescent="0.25">
      <c r="A251" s="540" t="s">
        <v>4063</v>
      </c>
      <c r="B251" s="523" t="s">
        <v>1346</v>
      </c>
      <c r="C251" s="524" t="s">
        <v>480</v>
      </c>
      <c r="D251" s="553" t="s">
        <v>189</v>
      </c>
      <c r="E251" s="524" t="s">
        <v>3228</v>
      </c>
      <c r="F251" s="544">
        <v>39910</v>
      </c>
      <c r="G251" s="586">
        <v>39874</v>
      </c>
      <c r="H251" s="544">
        <v>39903</v>
      </c>
      <c r="I251" s="588">
        <v>41943</v>
      </c>
      <c r="J251" s="595">
        <v>10</v>
      </c>
      <c r="K251" s="561">
        <v>0</v>
      </c>
      <c r="L251" s="553">
        <v>0.1</v>
      </c>
      <c r="M251" s="600">
        <v>0.04</v>
      </c>
      <c r="N251" s="601" t="s">
        <v>3229</v>
      </c>
      <c r="O251" s="596">
        <v>0.44</v>
      </c>
      <c r="P251" s="596" t="s">
        <v>3229</v>
      </c>
      <c r="Q251" s="575">
        <v>0.04</v>
      </c>
      <c r="R251" s="596" t="s">
        <v>3229</v>
      </c>
      <c r="S251" s="597">
        <v>5</v>
      </c>
      <c r="T251" s="563">
        <v>40238</v>
      </c>
      <c r="U251" s="563">
        <v>40603</v>
      </c>
      <c r="V251" s="563">
        <v>40969</v>
      </c>
      <c r="W251" s="563">
        <v>41334</v>
      </c>
      <c r="X251" s="563">
        <v>41883</v>
      </c>
      <c r="Y251" s="563" t="s">
        <v>3229</v>
      </c>
      <c r="Z251" s="563" t="s">
        <v>3229</v>
      </c>
      <c r="AA251" s="563" t="s">
        <v>3229</v>
      </c>
      <c r="AB251" s="563" t="s">
        <v>3229</v>
      </c>
      <c r="AC251" s="563" t="s">
        <v>3229</v>
      </c>
      <c r="AD251" s="563" t="s">
        <v>3229</v>
      </c>
      <c r="AE251" s="563" t="s">
        <v>3229</v>
      </c>
      <c r="AF251" s="3764" t="s">
        <v>781</v>
      </c>
      <c r="AG251" s="3765"/>
      <c r="AH251" s="673" t="s">
        <v>3229</v>
      </c>
      <c r="AI251" s="673" t="s">
        <v>3229</v>
      </c>
      <c r="AJ251" s="673" t="s">
        <v>3229</v>
      </c>
      <c r="AK251" s="673" t="s">
        <v>3229</v>
      </c>
      <c r="AL251" s="673" t="s">
        <v>3229</v>
      </c>
      <c r="AM251" s="590">
        <v>1</v>
      </c>
      <c r="AN251" s="638">
        <v>0.14529999999999998</v>
      </c>
      <c r="AO251" s="625">
        <v>11.43</v>
      </c>
      <c r="AP251" s="1368">
        <v>5.5618255121921856E-3</v>
      </c>
      <c r="AQ251" s="606">
        <v>0.53979169982371844</v>
      </c>
      <c r="AR251" s="632">
        <f t="shared" si="43"/>
        <v>0.44</v>
      </c>
      <c r="AS251" s="558">
        <f t="shared" si="44"/>
        <v>6.7657674954045843E-2</v>
      </c>
      <c r="AT251" s="648">
        <f>J251*(1+AR251)/AO251-1</f>
        <v>0.25984251968503935</v>
      </c>
      <c r="AU251" s="559" t="e">
        <f>POWER(1+AT251,1/AG251)-1</f>
        <v>#DIV/0!</v>
      </c>
      <c r="AV251" s="558">
        <f>M251</f>
        <v>0.04</v>
      </c>
      <c r="AW251" s="558">
        <f t="shared" si="42"/>
        <v>7.0664441682732893E-3</v>
      </c>
      <c r="AX251" s="558">
        <f>J251*(1+AV251)/AO251-1</f>
        <v>-9.011373578302706E-2</v>
      </c>
      <c r="AY251" s="559" t="e">
        <f>POWER(1+AX251,1/AG251)-1</f>
        <v>#DIV/0!</v>
      </c>
      <c r="AZ251" s="642">
        <f t="shared" si="45"/>
        <v>10.4</v>
      </c>
      <c r="BA251" s="644" t="s">
        <v>2585</v>
      </c>
      <c r="BB251" s="570" t="s">
        <v>2025</v>
      </c>
      <c r="BC251" s="637" t="s">
        <v>2895</v>
      </c>
      <c r="BH251" s="3763"/>
      <c r="BI251" s="3763"/>
      <c r="BJ251" s="1639"/>
      <c r="BK251" s="1639"/>
      <c r="BL251" s="1639"/>
      <c r="BM251" s="1639"/>
      <c r="BN251" s="1639"/>
      <c r="BO251" s="1639"/>
      <c r="BP251" s="1639"/>
      <c r="BQ251" s="1639"/>
      <c r="BR251" s="1639"/>
      <c r="BS251" s="509"/>
      <c r="BT251" s="509"/>
      <c r="BU251" s="509"/>
      <c r="BV251" s="509"/>
      <c r="BW251" s="509"/>
      <c r="BX251" s="509"/>
      <c r="BY251" s="509"/>
      <c r="BZ251" s="509"/>
      <c r="CA251" s="509"/>
      <c r="CB251" s="509"/>
      <c r="CC251" s="509"/>
      <c r="CD251" s="509"/>
      <c r="CE251" s="509"/>
      <c r="CF251" s="509"/>
      <c r="CG251" s="509"/>
      <c r="CH251" s="509"/>
      <c r="CI251" s="509"/>
      <c r="CJ251" s="509"/>
      <c r="CK251" s="509"/>
      <c r="CL251" s="509"/>
      <c r="CM251" s="509"/>
      <c r="CN251" s="509"/>
      <c r="CO251" s="509"/>
      <c r="CP251" s="509"/>
      <c r="CQ251" s="509"/>
      <c r="CR251" s="509"/>
      <c r="CS251" s="509"/>
      <c r="CT251" s="509"/>
      <c r="CU251" s="509"/>
      <c r="CV251" s="509"/>
      <c r="CW251" s="509"/>
      <c r="CX251" s="509"/>
      <c r="CY251" s="509"/>
      <c r="CZ251" s="509"/>
      <c r="DA251" s="509"/>
      <c r="DB251" s="509"/>
      <c r="DC251" s="509"/>
      <c r="DD251" s="509"/>
      <c r="DE251" s="509"/>
      <c r="DF251" s="509"/>
      <c r="DG251" s="509"/>
      <c r="DH251" s="509"/>
      <c r="DI251" s="509"/>
      <c r="DJ251" s="509"/>
      <c r="DK251" s="509"/>
      <c r="DL251" s="509"/>
      <c r="DM251" s="509"/>
      <c r="DN251" s="509"/>
      <c r="DO251" s="509"/>
      <c r="DP251" s="509"/>
      <c r="DQ251" s="509"/>
      <c r="DR251" s="509"/>
      <c r="DS251" s="509"/>
      <c r="DT251" s="509"/>
      <c r="DU251" s="509"/>
      <c r="DV251" s="509"/>
      <c r="DW251" s="509"/>
      <c r="DX251" s="509"/>
      <c r="DY251" s="509"/>
      <c r="DZ251" s="509"/>
      <c r="EA251" s="509"/>
      <c r="EB251" s="509"/>
      <c r="EC251" s="509"/>
      <c r="ED251" s="509"/>
      <c r="EE251" s="509"/>
      <c r="EF251" s="509"/>
      <c r="EG251" s="509"/>
      <c r="EH251" s="509"/>
      <c r="EI251" s="509"/>
      <c r="EJ251" s="509"/>
      <c r="EK251" s="509"/>
      <c r="EL251" s="509"/>
      <c r="EM251" s="509"/>
      <c r="EN251" s="509"/>
      <c r="EO251" s="509"/>
      <c r="EP251" s="509"/>
      <c r="EQ251" s="509"/>
      <c r="ER251" s="509"/>
      <c r="ES251" s="509"/>
      <c r="ET251" s="509"/>
      <c r="EU251" s="509"/>
      <c r="EV251" s="509"/>
      <c r="EW251" s="509"/>
      <c r="EX251" s="509"/>
      <c r="EY251" s="509"/>
      <c r="EZ251" s="509"/>
      <c r="FA251" s="509"/>
      <c r="FB251" s="509"/>
      <c r="FC251" s="509"/>
      <c r="FD251" s="509"/>
      <c r="FE251" s="509"/>
      <c r="FF251" s="509"/>
      <c r="FG251" s="509"/>
      <c r="FH251" s="509"/>
      <c r="FI251" s="509"/>
      <c r="FJ251" s="509"/>
      <c r="FK251" s="509"/>
      <c r="FL251" s="509"/>
      <c r="FM251" s="509"/>
      <c r="FN251" s="509"/>
      <c r="FO251" s="509"/>
      <c r="FP251" s="509"/>
      <c r="FQ251" s="509"/>
      <c r="FR251" s="509"/>
      <c r="FS251" s="509"/>
      <c r="FT251" s="509"/>
      <c r="FU251" s="509"/>
      <c r="FV251" s="509"/>
      <c r="FW251" s="509"/>
      <c r="FX251" s="509"/>
      <c r="FY251" s="509"/>
      <c r="FZ251" s="509"/>
      <c r="GA251" s="509"/>
      <c r="GB251" s="509"/>
      <c r="GC251" s="509"/>
      <c r="GD251" s="509"/>
      <c r="GE251" s="509"/>
      <c r="GF251" s="509"/>
      <c r="GG251" s="509"/>
      <c r="GH251" s="509"/>
      <c r="GI251" s="509"/>
      <c r="GJ251" s="509"/>
      <c r="GK251" s="509"/>
      <c r="GL251" s="509"/>
      <c r="GM251" s="509"/>
      <c r="GN251" s="509"/>
      <c r="GO251" s="509"/>
      <c r="GP251" s="509"/>
      <c r="GQ251" s="509"/>
      <c r="GR251" s="509"/>
      <c r="GS251" s="509"/>
      <c r="GT251" s="509"/>
      <c r="GU251" s="509"/>
      <c r="GV251" s="509"/>
      <c r="GW251" s="509"/>
      <c r="GX251" s="509"/>
      <c r="GY251" s="509"/>
      <c r="GZ251" s="509"/>
      <c r="HA251" s="509"/>
      <c r="HB251" s="509"/>
      <c r="HC251" s="509"/>
      <c r="HD251" s="509"/>
      <c r="HE251" s="509"/>
      <c r="HF251" s="509"/>
      <c r="HG251" s="509"/>
      <c r="HH251" s="509"/>
      <c r="HI251" s="509"/>
      <c r="HJ251" s="509"/>
      <c r="HK251" s="509"/>
      <c r="HL251" s="509"/>
      <c r="HM251" s="509"/>
      <c r="HN251" s="509"/>
      <c r="HO251" s="509"/>
      <c r="HP251" s="509"/>
      <c r="HQ251" s="509"/>
      <c r="HR251" s="509"/>
      <c r="HS251" s="509"/>
      <c r="HT251" s="509"/>
      <c r="HU251" s="509"/>
      <c r="HV251" s="509"/>
      <c r="HW251" s="509"/>
      <c r="HX251" s="509"/>
      <c r="HY251" s="509"/>
      <c r="HZ251" s="509"/>
    </row>
    <row r="252" spans="1:234" ht="15.9" hidden="1" customHeight="1" x14ac:dyDescent="0.25">
      <c r="A252" s="541" t="s">
        <v>532</v>
      </c>
      <c r="B252" s="523" t="s">
        <v>1345</v>
      </c>
      <c r="C252" s="524" t="s">
        <v>3000</v>
      </c>
      <c r="D252" s="553" t="s">
        <v>1859</v>
      </c>
      <c r="E252" s="526" t="s">
        <v>3228</v>
      </c>
      <c r="F252" s="543">
        <v>39940</v>
      </c>
      <c r="G252" s="544">
        <v>39874</v>
      </c>
      <c r="H252" s="557">
        <v>39933</v>
      </c>
      <c r="I252" s="604">
        <v>41607</v>
      </c>
      <c r="J252" s="609">
        <v>10</v>
      </c>
      <c r="K252" s="553">
        <v>5.0000000000000001E-3</v>
      </c>
      <c r="L252" s="552">
        <v>0.06</v>
      </c>
      <c r="M252" s="560">
        <v>0.05</v>
      </c>
      <c r="N252" s="606" t="s">
        <v>3229</v>
      </c>
      <c r="O252" s="610">
        <v>0.215</v>
      </c>
      <c r="P252" s="575" t="s">
        <v>3229</v>
      </c>
      <c r="Q252" s="575">
        <v>3.5000000000000003E-2</v>
      </c>
      <c r="R252" s="575" t="s">
        <v>3229</v>
      </c>
      <c r="S252" s="597">
        <v>4</v>
      </c>
      <c r="T252" s="563">
        <v>40269</v>
      </c>
      <c r="U252" s="563">
        <v>40634</v>
      </c>
      <c r="V252" s="563">
        <v>41000</v>
      </c>
      <c r="W252" s="563">
        <v>41548</v>
      </c>
      <c r="X252" s="563" t="s">
        <v>3229</v>
      </c>
      <c r="Y252" s="563" t="s">
        <v>3229</v>
      </c>
      <c r="Z252" s="563" t="s">
        <v>3229</v>
      </c>
      <c r="AA252" s="563" t="s">
        <v>3229</v>
      </c>
      <c r="AB252" s="563" t="s">
        <v>3229</v>
      </c>
      <c r="AC252" s="563" t="s">
        <v>3229</v>
      </c>
      <c r="AD252" s="563" t="s">
        <v>3229</v>
      </c>
      <c r="AE252" s="563" t="s">
        <v>3229</v>
      </c>
      <c r="AF252" s="3764" t="s">
        <v>781</v>
      </c>
      <c r="AG252" s="3765"/>
      <c r="AH252" s="673" t="s">
        <v>3229</v>
      </c>
      <c r="AI252" s="673" t="s">
        <v>3229</v>
      </c>
      <c r="AJ252" s="673" t="s">
        <v>3229</v>
      </c>
      <c r="AK252" s="673" t="s">
        <v>3229</v>
      </c>
      <c r="AL252" s="673" t="s">
        <v>3229</v>
      </c>
      <c r="AM252" s="591">
        <v>1</v>
      </c>
      <c r="AN252" s="638">
        <v>8.6699999999999999E-2</v>
      </c>
      <c r="AO252" s="625">
        <v>10.89</v>
      </c>
      <c r="AP252" s="1368">
        <v>-5.2258045589434844E-2</v>
      </c>
      <c r="AQ252" s="675">
        <v>0.38549172948197302</v>
      </c>
      <c r="AR252" s="558">
        <f t="shared" si="43"/>
        <v>0.215</v>
      </c>
      <c r="AS252" s="558">
        <f t="shared" si="44"/>
        <v>4.3562588082496356E-2</v>
      </c>
      <c r="AT252" s="648">
        <f>J252*(1+AR252)/AO252-1</f>
        <v>0.11570247933884303</v>
      </c>
      <c r="AU252" s="558" t="e">
        <f>POWER(1+AT252,1/AG252)-1</f>
        <v>#DIV/0!</v>
      </c>
      <c r="AV252" s="632">
        <f>M252</f>
        <v>0.05</v>
      </c>
      <c r="AW252" s="558">
        <f t="shared" si="42"/>
        <v>1.0740175388435969E-2</v>
      </c>
      <c r="AX252" s="589">
        <f>J252*(1+AV252)/AO252-1</f>
        <v>-3.5812672176308569E-2</v>
      </c>
      <c r="AY252" s="587" t="e">
        <f>POWER(1+AX252,1/AG252)-1</f>
        <v>#DIV/0!</v>
      </c>
      <c r="AZ252" s="676">
        <f t="shared" si="45"/>
        <v>10.5</v>
      </c>
      <c r="BA252" s="583" t="s">
        <v>2585</v>
      </c>
      <c r="BB252" s="570" t="s">
        <v>2025</v>
      </c>
      <c r="BC252" s="581" t="s">
        <v>2895</v>
      </c>
      <c r="BH252" s="3763"/>
      <c r="BI252" s="3763"/>
      <c r="BJ252" s="1639"/>
      <c r="BK252" s="1639"/>
      <c r="BL252" s="1639"/>
      <c r="BM252" s="1639"/>
      <c r="BN252" s="1639"/>
      <c r="BO252" s="1639"/>
      <c r="BP252" s="1639"/>
      <c r="BQ252" s="1639"/>
      <c r="BR252" s="1639"/>
      <c r="BS252" s="509"/>
      <c r="BT252" s="509"/>
      <c r="BU252" s="509"/>
      <c r="BV252" s="509"/>
      <c r="BW252" s="509"/>
      <c r="BX252" s="509"/>
      <c r="BY252" s="509"/>
      <c r="BZ252" s="509"/>
      <c r="CA252" s="509"/>
      <c r="CB252" s="509"/>
      <c r="CC252" s="509"/>
      <c r="CD252" s="509"/>
      <c r="CE252" s="509"/>
      <c r="CF252" s="509"/>
      <c r="CG252" s="509"/>
      <c r="CH252" s="509"/>
      <c r="CI252" s="509"/>
      <c r="CJ252" s="509"/>
      <c r="CK252" s="509"/>
      <c r="CL252" s="509"/>
      <c r="CM252" s="509"/>
      <c r="CN252" s="509"/>
      <c r="CO252" s="509"/>
      <c r="CP252" s="509"/>
      <c r="CQ252" s="509"/>
      <c r="CR252" s="509"/>
      <c r="CS252" s="509"/>
      <c r="CT252" s="509"/>
      <c r="CU252" s="509"/>
      <c r="CV252" s="509"/>
      <c r="CW252" s="509"/>
      <c r="CX252" s="509"/>
      <c r="CY252" s="509"/>
      <c r="CZ252" s="509"/>
      <c r="DA252" s="509"/>
      <c r="DB252" s="509"/>
      <c r="DC252" s="509"/>
      <c r="DD252" s="509"/>
      <c r="DE252" s="509"/>
      <c r="DF252" s="509"/>
      <c r="DG252" s="509"/>
      <c r="DH252" s="509"/>
      <c r="DI252" s="509"/>
      <c r="DJ252" s="509"/>
      <c r="DK252" s="509"/>
      <c r="DL252" s="509"/>
      <c r="DM252" s="509"/>
      <c r="DN252" s="509"/>
      <c r="DO252" s="509"/>
      <c r="DP252" s="509"/>
      <c r="DQ252" s="509"/>
      <c r="DR252" s="509"/>
      <c r="DS252" s="509"/>
      <c r="DT252" s="509"/>
      <c r="DU252" s="509"/>
      <c r="DV252" s="509"/>
      <c r="DW252" s="509"/>
      <c r="DX252" s="509"/>
      <c r="DY252" s="509"/>
      <c r="DZ252" s="509"/>
      <c r="EA252" s="509"/>
      <c r="EB252" s="509"/>
      <c r="EC252" s="509"/>
      <c r="ED252" s="509"/>
      <c r="EE252" s="509"/>
      <c r="EF252" s="509"/>
      <c r="EG252" s="509"/>
      <c r="EH252" s="509"/>
      <c r="EI252" s="509"/>
      <c r="EJ252" s="509"/>
      <c r="EK252" s="509"/>
      <c r="EL252" s="509"/>
      <c r="EM252" s="509"/>
      <c r="EN252" s="509"/>
      <c r="EO252" s="509"/>
      <c r="EP252" s="509"/>
      <c r="EQ252" s="509"/>
      <c r="ER252" s="509"/>
      <c r="ES252" s="509"/>
      <c r="ET252" s="509"/>
      <c r="EU252" s="509"/>
      <c r="EV252" s="509"/>
      <c r="EW252" s="509"/>
      <c r="EX252" s="509"/>
      <c r="EY252" s="509"/>
      <c r="EZ252" s="509"/>
      <c r="FA252" s="509"/>
      <c r="FB252" s="509"/>
      <c r="FC252" s="509"/>
      <c r="FD252" s="509"/>
      <c r="FE252" s="509"/>
      <c r="FF252" s="509"/>
      <c r="FG252" s="509"/>
      <c r="FH252" s="509"/>
      <c r="FI252" s="509"/>
      <c r="FJ252" s="509"/>
      <c r="FK252" s="509"/>
      <c r="FL252" s="509"/>
      <c r="FM252" s="509"/>
      <c r="FN252" s="509"/>
      <c r="FO252" s="509"/>
      <c r="FP252" s="509"/>
      <c r="FQ252" s="509"/>
      <c r="FR252" s="509"/>
      <c r="FS252" s="509"/>
      <c r="FT252" s="509"/>
      <c r="FU252" s="509"/>
      <c r="FV252" s="509"/>
      <c r="FW252" s="509"/>
      <c r="FX252" s="509"/>
      <c r="FY252" s="509"/>
      <c r="FZ252" s="509"/>
      <c r="GA252" s="509"/>
      <c r="GB252" s="509"/>
      <c r="GC252" s="509"/>
      <c r="GD252" s="509"/>
      <c r="GE252" s="509"/>
      <c r="GF252" s="509"/>
      <c r="GG252" s="509"/>
      <c r="GH252" s="509"/>
      <c r="GI252" s="509"/>
      <c r="GJ252" s="509"/>
      <c r="GK252" s="509"/>
      <c r="GL252" s="509"/>
      <c r="GM252" s="509"/>
      <c r="GN252" s="509"/>
      <c r="GO252" s="509"/>
      <c r="GP252" s="509"/>
      <c r="GQ252" s="509"/>
      <c r="GR252" s="509"/>
      <c r="GS252" s="509"/>
      <c r="GT252" s="509"/>
      <c r="GU252" s="509"/>
      <c r="GV252" s="509"/>
      <c r="GW252" s="509"/>
      <c r="GX252" s="509"/>
      <c r="GY252" s="509"/>
      <c r="GZ252" s="509"/>
      <c r="HA252" s="509"/>
      <c r="HB252" s="509"/>
      <c r="HC252" s="509"/>
      <c r="HD252" s="509"/>
      <c r="HE252" s="509"/>
      <c r="HF252" s="509"/>
      <c r="HG252" s="509"/>
      <c r="HH252" s="509"/>
      <c r="HI252" s="509"/>
      <c r="HJ252" s="509"/>
      <c r="HK252" s="509"/>
      <c r="HL252" s="509"/>
      <c r="HM252" s="509"/>
      <c r="HN252" s="509"/>
      <c r="HO252" s="509"/>
      <c r="HP252" s="509"/>
      <c r="HQ252" s="509"/>
      <c r="HR252" s="509"/>
      <c r="HS252" s="509"/>
      <c r="HT252" s="509"/>
      <c r="HU252" s="509"/>
      <c r="HV252" s="509"/>
      <c r="HW252" s="509"/>
      <c r="HX252" s="509"/>
      <c r="HY252" s="509"/>
      <c r="HZ252" s="509"/>
    </row>
    <row r="253" spans="1:234" ht="15.9" hidden="1" customHeight="1" x14ac:dyDescent="0.25">
      <c r="A253" s="541" t="s">
        <v>943</v>
      </c>
      <c r="B253" s="523" t="s">
        <v>1858</v>
      </c>
      <c r="C253" s="524" t="s">
        <v>2227</v>
      </c>
      <c r="D253" s="553" t="s">
        <v>232</v>
      </c>
      <c r="E253" s="524" t="s">
        <v>3228</v>
      </c>
      <c r="F253" s="543">
        <v>39941</v>
      </c>
      <c r="G253" s="544">
        <v>39904</v>
      </c>
      <c r="H253" s="557">
        <v>39933</v>
      </c>
      <c r="I253" s="602">
        <v>41060</v>
      </c>
      <c r="J253" s="579">
        <v>10</v>
      </c>
      <c r="K253" s="553" t="s">
        <v>3229</v>
      </c>
      <c r="L253" s="552" t="s">
        <v>3229</v>
      </c>
      <c r="M253" s="549">
        <v>0</v>
      </c>
      <c r="N253" s="675" t="s">
        <v>3229</v>
      </c>
      <c r="O253" s="573">
        <v>0.55000000000000004</v>
      </c>
      <c r="P253" s="599" t="s">
        <v>3229</v>
      </c>
      <c r="Q253" s="575" t="s">
        <v>3229</v>
      </c>
      <c r="R253" s="611" t="s">
        <v>3229</v>
      </c>
      <c r="S253" s="581"/>
      <c r="T253" s="563" t="s">
        <v>3229</v>
      </c>
      <c r="U253" s="563" t="s">
        <v>3229</v>
      </c>
      <c r="V253" s="563" t="s">
        <v>3229</v>
      </c>
      <c r="W253" s="563" t="s">
        <v>3229</v>
      </c>
      <c r="X253" s="563" t="s">
        <v>3229</v>
      </c>
      <c r="Y253" s="563" t="s">
        <v>3229</v>
      </c>
      <c r="Z253" s="563" t="s">
        <v>3229</v>
      </c>
      <c r="AA253" s="563" t="s">
        <v>3229</v>
      </c>
      <c r="AB253" s="563" t="s">
        <v>3229</v>
      </c>
      <c r="AC253" s="563" t="s">
        <v>3229</v>
      </c>
      <c r="AD253" s="563" t="s">
        <v>3229</v>
      </c>
      <c r="AE253" s="563" t="s">
        <v>3229</v>
      </c>
      <c r="AF253" s="3764" t="s">
        <v>781</v>
      </c>
      <c r="AG253" s="3765"/>
      <c r="AH253" s="590">
        <v>1</v>
      </c>
      <c r="AI253" s="673" t="s">
        <v>3229</v>
      </c>
      <c r="AJ253" s="673" t="s">
        <v>3229</v>
      </c>
      <c r="AK253" s="673" t="s">
        <v>3229</v>
      </c>
      <c r="AL253" s="673" t="s">
        <v>3229</v>
      </c>
      <c r="AM253" s="673" t="s">
        <v>3229</v>
      </c>
      <c r="AN253" s="638">
        <v>0</v>
      </c>
      <c r="AO253" s="625">
        <v>10</v>
      </c>
      <c r="AP253" s="1368" t="s">
        <v>3229</v>
      </c>
      <c r="AQ253" s="606" t="s">
        <v>3229</v>
      </c>
      <c r="AR253" s="683">
        <f>'klikací hodnoty'!F7524</f>
        <v>0</v>
      </c>
      <c r="AS253" s="558">
        <f t="shared" si="44"/>
        <v>0</v>
      </c>
      <c r="AT253" s="648">
        <f>J253*(1+AR253)/AO253-1</f>
        <v>0</v>
      </c>
      <c r="AU253" s="558" t="e">
        <f>POWER(1+AT253,1/AG253)-1</f>
        <v>#DIV/0!</v>
      </c>
      <c r="AV253" s="632">
        <f t="shared" ref="AV253:AV258" si="46">M253</f>
        <v>0</v>
      </c>
      <c r="AW253" s="558">
        <f t="shared" si="42"/>
        <v>0</v>
      </c>
      <c r="AX253" s="589">
        <f>J253*(1+AV253)/AO253-1</f>
        <v>0</v>
      </c>
      <c r="AY253" s="587" t="e">
        <f>POWER(1+AX253,1/AG253)-1</f>
        <v>#DIV/0!</v>
      </c>
      <c r="AZ253" s="684">
        <f t="shared" si="45"/>
        <v>10</v>
      </c>
      <c r="BA253" s="581" t="s">
        <v>947</v>
      </c>
      <c r="BB253" s="570"/>
      <c r="BC253" s="581"/>
      <c r="BH253" s="3763"/>
      <c r="BI253" s="3763"/>
      <c r="BJ253" s="1639"/>
      <c r="BK253" s="1639"/>
      <c r="BL253" s="1639"/>
      <c r="BM253" s="1639"/>
      <c r="BN253" s="1639"/>
      <c r="BO253" s="1639"/>
      <c r="BP253" s="1639"/>
      <c r="BQ253" s="1639"/>
      <c r="BR253" s="1639"/>
      <c r="BS253" s="509"/>
      <c r="BT253" s="509"/>
      <c r="BU253" s="509"/>
      <c r="BV253" s="509"/>
      <c r="BW253" s="509"/>
      <c r="BX253" s="509"/>
      <c r="BY253" s="509"/>
      <c r="BZ253" s="509"/>
      <c r="CA253" s="509"/>
      <c r="CB253" s="509"/>
      <c r="CC253" s="509"/>
      <c r="CD253" s="509"/>
      <c r="CE253" s="509"/>
      <c r="CF253" s="509"/>
      <c r="CG253" s="509"/>
      <c r="CH253" s="509"/>
      <c r="CI253" s="509"/>
      <c r="CJ253" s="509"/>
      <c r="CK253" s="509"/>
      <c r="CL253" s="509"/>
      <c r="CM253" s="509"/>
      <c r="CN253" s="509"/>
      <c r="CO253" s="509"/>
      <c r="CP253" s="509"/>
      <c r="CQ253" s="509"/>
      <c r="CR253" s="509"/>
      <c r="CS253" s="509"/>
      <c r="CT253" s="509"/>
      <c r="CU253" s="509"/>
      <c r="CV253" s="509"/>
      <c r="CW253" s="509"/>
      <c r="CX253" s="509"/>
      <c r="CY253" s="509"/>
      <c r="CZ253" s="509"/>
      <c r="DA253" s="509"/>
      <c r="DB253" s="509"/>
      <c r="DC253" s="509"/>
      <c r="DD253" s="509"/>
      <c r="DE253" s="509"/>
      <c r="DF253" s="509"/>
      <c r="DG253" s="509"/>
      <c r="DH253" s="509"/>
      <c r="DI253" s="509"/>
      <c r="DJ253" s="509"/>
      <c r="DK253" s="509"/>
      <c r="DL253" s="509"/>
      <c r="DM253" s="509"/>
      <c r="DN253" s="509"/>
      <c r="DO253" s="509"/>
      <c r="DP253" s="509"/>
      <c r="DQ253" s="509"/>
      <c r="DR253" s="509"/>
      <c r="DS253" s="509"/>
      <c r="DT253" s="509"/>
      <c r="DU253" s="509"/>
      <c r="DV253" s="509"/>
      <c r="DW253" s="509"/>
      <c r="DX253" s="509"/>
      <c r="DY253" s="509"/>
      <c r="DZ253" s="509"/>
      <c r="EA253" s="509"/>
      <c r="EB253" s="509"/>
      <c r="EC253" s="509"/>
      <c r="ED253" s="509"/>
      <c r="EE253" s="509"/>
      <c r="EF253" s="509"/>
      <c r="EG253" s="509"/>
      <c r="EH253" s="509"/>
      <c r="EI253" s="509"/>
      <c r="EJ253" s="509"/>
      <c r="EK253" s="509"/>
      <c r="EL253" s="509"/>
      <c r="EM253" s="509"/>
      <c r="EN253" s="509"/>
      <c r="EO253" s="509"/>
      <c r="EP253" s="509"/>
      <c r="EQ253" s="509"/>
      <c r="ER253" s="509"/>
      <c r="ES253" s="509"/>
      <c r="ET253" s="509"/>
      <c r="EU253" s="509"/>
      <c r="EV253" s="509"/>
      <c r="EW253" s="509"/>
      <c r="EX253" s="509"/>
      <c r="EY253" s="509"/>
      <c r="EZ253" s="509"/>
      <c r="FA253" s="509"/>
      <c r="FB253" s="509"/>
      <c r="FC253" s="509"/>
      <c r="FD253" s="509"/>
      <c r="FE253" s="509"/>
      <c r="FF253" s="509"/>
      <c r="FG253" s="509"/>
      <c r="FH253" s="509"/>
      <c r="FI253" s="509"/>
      <c r="FJ253" s="509"/>
      <c r="FK253" s="509"/>
      <c r="FL253" s="509"/>
      <c r="FM253" s="509"/>
      <c r="FN253" s="509"/>
      <c r="FO253" s="509"/>
      <c r="FP253" s="509"/>
      <c r="FQ253" s="509"/>
      <c r="FR253" s="509"/>
      <c r="FS253" s="509"/>
      <c r="FT253" s="509"/>
      <c r="FU253" s="509"/>
      <c r="FV253" s="509"/>
      <c r="FW253" s="509"/>
      <c r="FX253" s="509"/>
      <c r="FY253" s="509"/>
      <c r="FZ253" s="509"/>
      <c r="GA253" s="509"/>
      <c r="GB253" s="509"/>
      <c r="GC253" s="509"/>
      <c r="GD253" s="509"/>
      <c r="GE253" s="509"/>
      <c r="GF253" s="509"/>
      <c r="GG253" s="509"/>
      <c r="GH253" s="509"/>
      <c r="GI253" s="509"/>
      <c r="GJ253" s="509"/>
      <c r="GK253" s="509"/>
      <c r="GL253" s="509"/>
      <c r="GM253" s="509"/>
      <c r="GN253" s="509"/>
      <c r="GO253" s="509"/>
      <c r="GP253" s="509"/>
      <c r="GQ253" s="509"/>
      <c r="GR253" s="509"/>
      <c r="GS253" s="509"/>
      <c r="GT253" s="509"/>
      <c r="GU253" s="509"/>
      <c r="GV253" s="509"/>
      <c r="GW253" s="509"/>
      <c r="GX253" s="509"/>
      <c r="GY253" s="509"/>
      <c r="GZ253" s="509"/>
      <c r="HA253" s="509"/>
      <c r="HB253" s="509"/>
      <c r="HC253" s="509"/>
      <c r="HD253" s="509"/>
      <c r="HE253" s="509"/>
      <c r="HF253" s="509"/>
      <c r="HG253" s="509"/>
      <c r="HH253" s="509"/>
      <c r="HI253" s="509"/>
      <c r="HJ253" s="509"/>
      <c r="HK253" s="509"/>
      <c r="HL253" s="509"/>
      <c r="HM253" s="509"/>
      <c r="HN253" s="509"/>
      <c r="HO253" s="509"/>
      <c r="HP253" s="509"/>
      <c r="HQ253" s="509"/>
      <c r="HR253" s="509"/>
      <c r="HS253" s="509"/>
      <c r="HT253" s="509"/>
      <c r="HU253" s="509"/>
      <c r="HV253" s="509"/>
      <c r="HW253" s="509"/>
      <c r="HX253" s="509"/>
      <c r="HY253" s="509"/>
      <c r="HZ253" s="509"/>
    </row>
    <row r="254" spans="1:234" ht="15.9" hidden="1" customHeight="1" x14ac:dyDescent="0.25">
      <c r="A254" s="541" t="s">
        <v>417</v>
      </c>
      <c r="B254" s="523" t="s">
        <v>2364</v>
      </c>
      <c r="C254" s="524" t="s">
        <v>2365</v>
      </c>
      <c r="D254" s="553" t="s">
        <v>189</v>
      </c>
      <c r="E254" s="524" t="s">
        <v>905</v>
      </c>
      <c r="F254" s="543">
        <v>39940</v>
      </c>
      <c r="G254" s="544">
        <v>39902</v>
      </c>
      <c r="H254" s="557">
        <v>39933</v>
      </c>
      <c r="I254" s="612">
        <v>40877</v>
      </c>
      <c r="J254" s="579">
        <v>10</v>
      </c>
      <c r="K254" s="553" t="s">
        <v>3229</v>
      </c>
      <c r="L254" s="552" t="s">
        <v>3229</v>
      </c>
      <c r="M254" s="549">
        <v>0</v>
      </c>
      <c r="N254" s="675"/>
      <c r="O254" s="573">
        <v>0.5</v>
      </c>
      <c r="P254" s="599">
        <v>0.5</v>
      </c>
      <c r="Q254" s="599" t="s">
        <v>3229</v>
      </c>
      <c r="R254" s="611" t="s">
        <v>3229</v>
      </c>
      <c r="S254" s="584"/>
      <c r="T254" s="563" t="s">
        <v>3229</v>
      </c>
      <c r="U254" s="563" t="s">
        <v>3229</v>
      </c>
      <c r="V254" s="563" t="s">
        <v>3229</v>
      </c>
      <c r="W254" s="563" t="s">
        <v>3229</v>
      </c>
      <c r="X254" s="563" t="s">
        <v>3229</v>
      </c>
      <c r="Y254" s="563" t="s">
        <v>3229</v>
      </c>
      <c r="Z254" s="563" t="s">
        <v>3229</v>
      </c>
      <c r="AA254" s="563" t="s">
        <v>3229</v>
      </c>
      <c r="AB254" s="563" t="s">
        <v>3229</v>
      </c>
      <c r="AC254" s="563" t="s">
        <v>3229</v>
      </c>
      <c r="AD254" s="563" t="s">
        <v>3229</v>
      </c>
      <c r="AE254" s="563" t="s">
        <v>3229</v>
      </c>
      <c r="AF254" s="3764" t="s">
        <v>781</v>
      </c>
      <c r="AG254" s="3765"/>
      <c r="AH254" s="590">
        <v>1</v>
      </c>
      <c r="AI254" s="673" t="s">
        <v>3229</v>
      </c>
      <c r="AJ254" s="673" t="s">
        <v>3229</v>
      </c>
      <c r="AK254" s="673" t="s">
        <v>3229</v>
      </c>
      <c r="AL254" s="673" t="s">
        <v>3229</v>
      </c>
      <c r="AM254" s="673" t="s">
        <v>3229</v>
      </c>
      <c r="AN254" s="638">
        <v>0</v>
      </c>
      <c r="AO254" s="625">
        <v>9.98</v>
      </c>
      <c r="AP254" s="1368" t="s">
        <v>3229</v>
      </c>
      <c r="AQ254" s="606" t="s">
        <v>3229</v>
      </c>
      <c r="AR254" s="683">
        <f>'klikací hodnoty'!F7710</f>
        <v>0</v>
      </c>
      <c r="AS254" s="558">
        <f t="shared" si="44"/>
        <v>0</v>
      </c>
      <c r="AT254" s="648"/>
      <c r="AU254" s="558"/>
      <c r="AV254" s="632">
        <f t="shared" si="46"/>
        <v>0</v>
      </c>
      <c r="AW254" s="558">
        <f t="shared" si="42"/>
        <v>0</v>
      </c>
      <c r="AX254" s="589"/>
      <c r="AY254" s="587"/>
      <c r="AZ254" s="684">
        <f t="shared" si="45"/>
        <v>10</v>
      </c>
      <c r="BA254" s="581" t="s">
        <v>2366</v>
      </c>
      <c r="BB254" s="570"/>
      <c r="BC254" s="581"/>
      <c r="BH254" s="3763"/>
      <c r="BI254" s="3763"/>
      <c r="BJ254" s="1639"/>
      <c r="BK254" s="1639"/>
      <c r="BL254" s="1639"/>
      <c r="BM254" s="1639"/>
      <c r="BN254" s="1639"/>
      <c r="BO254" s="1639"/>
      <c r="BP254" s="1639"/>
      <c r="BQ254" s="1639"/>
      <c r="BR254" s="1639"/>
      <c r="BS254" s="509"/>
      <c r="BT254" s="509"/>
      <c r="BU254" s="509"/>
      <c r="BV254" s="509"/>
      <c r="BW254" s="509"/>
      <c r="BX254" s="509"/>
      <c r="BY254" s="509"/>
      <c r="BZ254" s="509"/>
      <c r="CA254" s="509"/>
      <c r="CB254" s="509"/>
      <c r="CC254" s="509"/>
      <c r="CD254" s="509"/>
      <c r="CE254" s="509"/>
      <c r="CF254" s="509"/>
      <c r="CG254" s="509"/>
      <c r="CH254" s="509"/>
      <c r="CI254" s="509"/>
      <c r="CJ254" s="509"/>
      <c r="CK254" s="509"/>
      <c r="CL254" s="509"/>
      <c r="CM254" s="509"/>
      <c r="CN254" s="509"/>
      <c r="CO254" s="509"/>
      <c r="CP254" s="509"/>
      <c r="CQ254" s="509"/>
      <c r="CR254" s="509"/>
      <c r="CS254" s="509"/>
      <c r="CT254" s="509"/>
      <c r="CU254" s="509"/>
      <c r="CV254" s="509"/>
      <c r="CW254" s="509"/>
      <c r="CX254" s="509"/>
      <c r="CY254" s="509"/>
      <c r="CZ254" s="509"/>
      <c r="DA254" s="509"/>
      <c r="DB254" s="509"/>
      <c r="DC254" s="509"/>
      <c r="DD254" s="509"/>
      <c r="DE254" s="509"/>
      <c r="DF254" s="509"/>
      <c r="DG254" s="509"/>
      <c r="DH254" s="509"/>
      <c r="DI254" s="509"/>
      <c r="DJ254" s="509"/>
      <c r="DK254" s="509"/>
      <c r="DL254" s="509"/>
      <c r="DM254" s="509"/>
      <c r="DN254" s="509"/>
      <c r="DO254" s="509"/>
      <c r="DP254" s="509"/>
      <c r="DQ254" s="509"/>
      <c r="DR254" s="509"/>
      <c r="DS254" s="509"/>
      <c r="DT254" s="509"/>
      <c r="DU254" s="509"/>
      <c r="DV254" s="509"/>
      <c r="DW254" s="509"/>
      <c r="DX254" s="509"/>
      <c r="DY254" s="509"/>
      <c r="DZ254" s="509"/>
      <c r="EA254" s="509"/>
      <c r="EB254" s="509"/>
      <c r="EC254" s="509"/>
      <c r="ED254" s="509"/>
      <c r="EE254" s="509"/>
      <c r="EF254" s="509"/>
      <c r="EG254" s="509"/>
      <c r="EH254" s="509"/>
      <c r="EI254" s="509"/>
      <c r="EJ254" s="509"/>
      <c r="EK254" s="509"/>
      <c r="EL254" s="509"/>
      <c r="EM254" s="509"/>
      <c r="EN254" s="509"/>
      <c r="EO254" s="509"/>
      <c r="EP254" s="509"/>
      <c r="EQ254" s="509"/>
      <c r="ER254" s="509"/>
      <c r="ES254" s="509"/>
      <c r="ET254" s="509"/>
      <c r="EU254" s="509"/>
      <c r="EV254" s="509"/>
      <c r="EW254" s="509"/>
      <c r="EX254" s="509"/>
      <c r="EY254" s="509"/>
      <c r="EZ254" s="509"/>
      <c r="FA254" s="509"/>
      <c r="FB254" s="509"/>
      <c r="FC254" s="509"/>
      <c r="FD254" s="509"/>
      <c r="FE254" s="509"/>
      <c r="FF254" s="509"/>
      <c r="FG254" s="509"/>
      <c r="FH254" s="509"/>
      <c r="FI254" s="509"/>
      <c r="FJ254" s="509"/>
      <c r="FK254" s="509"/>
      <c r="FL254" s="509"/>
      <c r="FM254" s="509"/>
      <c r="FN254" s="509"/>
      <c r="FO254" s="509"/>
      <c r="FP254" s="509"/>
      <c r="FQ254" s="509"/>
      <c r="FR254" s="509"/>
      <c r="FS254" s="509"/>
      <c r="FT254" s="509"/>
      <c r="FU254" s="509"/>
      <c r="FV254" s="509"/>
      <c r="FW254" s="509"/>
      <c r="FX254" s="509"/>
      <c r="FY254" s="509"/>
      <c r="FZ254" s="509"/>
      <c r="GA254" s="509"/>
      <c r="GB254" s="509"/>
      <c r="GC254" s="509"/>
      <c r="GD254" s="509"/>
      <c r="GE254" s="509"/>
      <c r="GF254" s="509"/>
      <c r="GG254" s="509"/>
      <c r="GH254" s="509"/>
      <c r="GI254" s="509"/>
      <c r="GJ254" s="509"/>
      <c r="GK254" s="509"/>
      <c r="GL254" s="509"/>
      <c r="GM254" s="509"/>
      <c r="GN254" s="509"/>
      <c r="GO254" s="509"/>
      <c r="GP254" s="509"/>
      <c r="GQ254" s="509"/>
      <c r="GR254" s="509"/>
      <c r="GS254" s="509"/>
      <c r="GT254" s="509"/>
      <c r="GU254" s="509"/>
      <c r="GV254" s="509"/>
      <c r="GW254" s="509"/>
      <c r="GX254" s="509"/>
      <c r="GY254" s="509"/>
      <c r="GZ254" s="509"/>
      <c r="HA254" s="509"/>
      <c r="HB254" s="509"/>
      <c r="HC254" s="509"/>
      <c r="HD254" s="509"/>
      <c r="HE254" s="509"/>
      <c r="HF254" s="509"/>
      <c r="HG254" s="509"/>
      <c r="HH254" s="509"/>
      <c r="HI254" s="509"/>
      <c r="HJ254" s="509"/>
      <c r="HK254" s="509"/>
      <c r="HL254" s="509"/>
      <c r="HM254" s="509"/>
      <c r="HN254" s="509"/>
      <c r="HO254" s="509"/>
      <c r="HP254" s="509"/>
      <c r="HQ254" s="509"/>
      <c r="HR254" s="509"/>
      <c r="HS254" s="509"/>
      <c r="HT254" s="509"/>
      <c r="HU254" s="509"/>
      <c r="HV254" s="509"/>
      <c r="HW254" s="509"/>
      <c r="HX254" s="509"/>
      <c r="HY254" s="509"/>
      <c r="HZ254" s="509"/>
    </row>
    <row r="255" spans="1:234" ht="15.9" hidden="1" customHeight="1" x14ac:dyDescent="0.25">
      <c r="A255" s="541" t="s">
        <v>2852</v>
      </c>
      <c r="B255" s="523" t="s">
        <v>880</v>
      </c>
      <c r="C255" s="524" t="s">
        <v>3148</v>
      </c>
      <c r="D255" s="553" t="s">
        <v>1859</v>
      </c>
      <c r="E255" s="524" t="s">
        <v>3228</v>
      </c>
      <c r="F255" s="543">
        <v>40001</v>
      </c>
      <c r="G255" s="544">
        <v>39937</v>
      </c>
      <c r="H255" s="557">
        <v>39994</v>
      </c>
      <c r="I255" s="612">
        <v>41670</v>
      </c>
      <c r="J255" s="579">
        <v>10</v>
      </c>
      <c r="K255" s="553">
        <v>0.01</v>
      </c>
      <c r="L255" s="552">
        <v>0.06</v>
      </c>
      <c r="M255" s="549">
        <v>7.0000000000000007E-2</v>
      </c>
      <c r="N255" s="675" t="s">
        <v>3229</v>
      </c>
      <c r="O255" s="573">
        <v>0.22</v>
      </c>
      <c r="P255" s="599" t="s">
        <v>3229</v>
      </c>
      <c r="Q255" s="599">
        <v>0.04</v>
      </c>
      <c r="R255" s="611" t="s">
        <v>3229</v>
      </c>
      <c r="S255" s="584">
        <v>4</v>
      </c>
      <c r="T255" s="563">
        <v>40360</v>
      </c>
      <c r="U255" s="563">
        <v>40725</v>
      </c>
      <c r="V255" s="563">
        <v>41091</v>
      </c>
      <c r="W255" s="563">
        <v>41640</v>
      </c>
      <c r="X255" s="563" t="s">
        <v>3229</v>
      </c>
      <c r="Y255" s="563" t="s">
        <v>3229</v>
      </c>
      <c r="Z255" s="563" t="s">
        <v>3229</v>
      </c>
      <c r="AA255" s="563" t="s">
        <v>3229</v>
      </c>
      <c r="AB255" s="563" t="s">
        <v>3229</v>
      </c>
      <c r="AC255" s="563" t="s">
        <v>3229</v>
      </c>
      <c r="AD255" s="563" t="s">
        <v>3229</v>
      </c>
      <c r="AE255" s="563" t="s">
        <v>3229</v>
      </c>
      <c r="AF255" s="3764" t="s">
        <v>781</v>
      </c>
      <c r="AG255" s="3765"/>
      <c r="AH255" s="590" t="s">
        <v>3229</v>
      </c>
      <c r="AI255" s="673" t="s">
        <v>3229</v>
      </c>
      <c r="AJ255" s="673" t="s">
        <v>3229</v>
      </c>
      <c r="AK255" s="673" t="s">
        <v>3229</v>
      </c>
      <c r="AL255" s="673" t="s">
        <v>3229</v>
      </c>
      <c r="AM255" s="673">
        <v>1</v>
      </c>
      <c r="AN255" s="638">
        <v>8.249999999999999E-2</v>
      </c>
      <c r="AO255" s="625">
        <v>10.83</v>
      </c>
      <c r="AP255" s="1368">
        <v>-1.6167575466090288E-2</v>
      </c>
      <c r="AQ255" s="658">
        <v>0.47748304328297686</v>
      </c>
      <c r="AR255" s="683">
        <f t="shared" si="43"/>
        <v>0.22</v>
      </c>
      <c r="AS255" s="558">
        <f t="shared" si="44"/>
        <v>4.4446892298779295E-2</v>
      </c>
      <c r="AT255" s="648">
        <f>J255*(1+AR255)/AO255-1</f>
        <v>0.12650046168051698</v>
      </c>
      <c r="AU255" s="558" t="e">
        <f>POWER(1+AT255,1/AG255)-1</f>
        <v>#DIV/0!</v>
      </c>
      <c r="AV255" s="632">
        <f t="shared" si="46"/>
        <v>7.0000000000000007E-2</v>
      </c>
      <c r="AW255" s="558">
        <f t="shared" si="42"/>
        <v>1.490653943047282E-2</v>
      </c>
      <c r="AX255" s="589">
        <f>J255*(1+AV255)/AO255-1</f>
        <v>-1.2003693444136543E-2</v>
      </c>
      <c r="AY255" s="587" t="e">
        <f>POWER(1+AX255,1/AG255)-1</f>
        <v>#DIV/0!</v>
      </c>
      <c r="AZ255" s="684">
        <f t="shared" si="45"/>
        <v>10.700000000000001</v>
      </c>
      <c r="BA255" s="581" t="s">
        <v>2585</v>
      </c>
      <c r="BB255" s="570" t="s">
        <v>2025</v>
      </c>
      <c r="BC255" s="581" t="s">
        <v>2895</v>
      </c>
      <c r="BH255" s="3763"/>
      <c r="BI255" s="3763"/>
      <c r="BJ255" s="1639"/>
      <c r="BK255" s="1639"/>
      <c r="BL255" s="1639"/>
      <c r="BM255" s="1639"/>
      <c r="BN255" s="1639"/>
      <c r="BO255" s="1639"/>
      <c r="BP255" s="1639"/>
      <c r="BQ255" s="1639"/>
      <c r="BR255" s="1639"/>
      <c r="BS255" s="509"/>
      <c r="BT255" s="509"/>
      <c r="BU255" s="509"/>
      <c r="BV255" s="509"/>
      <c r="BW255" s="509"/>
      <c r="BX255" s="509"/>
      <c r="BY255" s="509"/>
      <c r="BZ255" s="509"/>
      <c r="CA255" s="509"/>
      <c r="CB255" s="509"/>
      <c r="CC255" s="509"/>
      <c r="CD255" s="509"/>
      <c r="CE255" s="509"/>
      <c r="CF255" s="509"/>
      <c r="CG255" s="509"/>
      <c r="CH255" s="509"/>
      <c r="CI255" s="509"/>
      <c r="CJ255" s="509"/>
      <c r="CK255" s="509"/>
      <c r="CL255" s="509"/>
      <c r="CM255" s="509"/>
      <c r="CN255" s="509"/>
      <c r="CO255" s="509"/>
      <c r="CP255" s="509"/>
      <c r="CQ255" s="509"/>
      <c r="CR255" s="509"/>
      <c r="CS255" s="509"/>
      <c r="CT255" s="509"/>
      <c r="CU255" s="509"/>
      <c r="CV255" s="509"/>
      <c r="CW255" s="509"/>
      <c r="CX255" s="509"/>
      <c r="CY255" s="509"/>
      <c r="CZ255" s="509"/>
      <c r="DA255" s="509"/>
      <c r="DB255" s="509"/>
      <c r="DC255" s="509"/>
      <c r="DD255" s="509"/>
      <c r="DE255" s="509"/>
      <c r="DF255" s="509"/>
      <c r="DG255" s="509"/>
      <c r="DH255" s="509"/>
      <c r="DI255" s="509"/>
      <c r="DJ255" s="509"/>
      <c r="DK255" s="509"/>
      <c r="DL255" s="509"/>
      <c r="DM255" s="509"/>
      <c r="DN255" s="509"/>
      <c r="DO255" s="509"/>
      <c r="DP255" s="509"/>
      <c r="DQ255" s="509"/>
      <c r="DR255" s="509"/>
      <c r="DS255" s="509"/>
      <c r="DT255" s="509"/>
      <c r="DU255" s="509"/>
      <c r="DV255" s="509"/>
      <c r="DW255" s="509"/>
      <c r="DX255" s="509"/>
      <c r="DY255" s="509"/>
      <c r="DZ255" s="509"/>
      <c r="EA255" s="509"/>
      <c r="EB255" s="509"/>
      <c r="EC255" s="509"/>
      <c r="ED255" s="509"/>
      <c r="EE255" s="509"/>
      <c r="EF255" s="509"/>
      <c r="EG255" s="509"/>
      <c r="EH255" s="509"/>
      <c r="EI255" s="509"/>
      <c r="EJ255" s="509"/>
      <c r="EK255" s="509"/>
      <c r="EL255" s="509"/>
      <c r="EM255" s="509"/>
      <c r="EN255" s="509"/>
      <c r="EO255" s="509"/>
      <c r="EP255" s="509"/>
      <c r="EQ255" s="509"/>
      <c r="ER255" s="509"/>
      <c r="ES255" s="509"/>
      <c r="ET255" s="509"/>
      <c r="EU255" s="509"/>
      <c r="EV255" s="509"/>
      <c r="EW255" s="509"/>
      <c r="EX255" s="509"/>
      <c r="EY255" s="509"/>
      <c r="EZ255" s="509"/>
      <c r="FA255" s="509"/>
      <c r="FB255" s="509"/>
      <c r="FC255" s="509"/>
      <c r="FD255" s="509"/>
      <c r="FE255" s="509"/>
      <c r="FF255" s="509"/>
      <c r="FG255" s="509"/>
      <c r="FH255" s="509"/>
      <c r="FI255" s="509"/>
      <c r="FJ255" s="509"/>
      <c r="FK255" s="509"/>
      <c r="FL255" s="509"/>
      <c r="FM255" s="509"/>
      <c r="FN255" s="509"/>
      <c r="FO255" s="509"/>
      <c r="FP255" s="509"/>
      <c r="FQ255" s="509"/>
      <c r="FR255" s="509"/>
      <c r="FS255" s="509"/>
      <c r="FT255" s="509"/>
      <c r="FU255" s="509"/>
      <c r="FV255" s="509"/>
      <c r="FW255" s="509"/>
      <c r="FX255" s="509"/>
      <c r="FY255" s="509"/>
      <c r="FZ255" s="509"/>
      <c r="GA255" s="509"/>
      <c r="GB255" s="509"/>
      <c r="GC255" s="509"/>
      <c r="GD255" s="509"/>
      <c r="GE255" s="509"/>
      <c r="GF255" s="509"/>
      <c r="GG255" s="509"/>
      <c r="GH255" s="509"/>
      <c r="GI255" s="509"/>
      <c r="GJ255" s="509"/>
      <c r="GK255" s="509"/>
      <c r="GL255" s="509"/>
      <c r="GM255" s="509"/>
      <c r="GN255" s="509"/>
      <c r="GO255" s="509"/>
      <c r="GP255" s="509"/>
      <c r="GQ255" s="509"/>
      <c r="GR255" s="509"/>
      <c r="GS255" s="509"/>
      <c r="GT255" s="509"/>
      <c r="GU255" s="509"/>
      <c r="GV255" s="509"/>
      <c r="GW255" s="509"/>
      <c r="GX255" s="509"/>
      <c r="GY255" s="509"/>
      <c r="GZ255" s="509"/>
      <c r="HA255" s="509"/>
      <c r="HB255" s="509"/>
      <c r="HC255" s="509"/>
      <c r="HD255" s="509"/>
      <c r="HE255" s="509"/>
      <c r="HF255" s="509"/>
      <c r="HG255" s="509"/>
      <c r="HH255" s="509"/>
      <c r="HI255" s="509"/>
      <c r="HJ255" s="509"/>
      <c r="HK255" s="509"/>
      <c r="HL255" s="509"/>
      <c r="HM255" s="509"/>
      <c r="HN255" s="509"/>
      <c r="HO255" s="509"/>
      <c r="HP255" s="509"/>
      <c r="HQ255" s="509"/>
      <c r="HR255" s="509"/>
      <c r="HS255" s="509"/>
      <c r="HT255" s="509"/>
      <c r="HU255" s="509"/>
      <c r="HV255" s="509"/>
      <c r="HW255" s="509"/>
      <c r="HX255" s="509"/>
      <c r="HY255" s="509"/>
      <c r="HZ255" s="509"/>
    </row>
    <row r="256" spans="1:234" ht="15.9" hidden="1" customHeight="1" x14ac:dyDescent="0.25">
      <c r="A256" s="541" t="s">
        <v>3146</v>
      </c>
      <c r="B256" s="523" t="s">
        <v>881</v>
      </c>
      <c r="C256" s="524" t="s">
        <v>3149</v>
      </c>
      <c r="D256" s="553" t="s">
        <v>189</v>
      </c>
      <c r="E256" s="524" t="s">
        <v>3228</v>
      </c>
      <c r="F256" s="543">
        <v>39972</v>
      </c>
      <c r="G256" s="544">
        <v>39937</v>
      </c>
      <c r="H256" s="557">
        <v>39962</v>
      </c>
      <c r="I256" s="612">
        <v>41638</v>
      </c>
      <c r="J256" s="579">
        <v>10</v>
      </c>
      <c r="K256" s="553" t="s">
        <v>3229</v>
      </c>
      <c r="L256" s="552" t="s">
        <v>3229</v>
      </c>
      <c r="M256" s="549">
        <v>0</v>
      </c>
      <c r="N256" s="675" t="s">
        <v>3229</v>
      </c>
      <c r="O256" s="573">
        <v>0.35</v>
      </c>
      <c r="P256" s="599" t="s">
        <v>3229</v>
      </c>
      <c r="Q256" s="599" t="s">
        <v>3229</v>
      </c>
      <c r="R256" s="611" t="s">
        <v>3229</v>
      </c>
      <c r="S256" s="584"/>
      <c r="T256" s="563" t="s">
        <v>3229</v>
      </c>
      <c r="U256" s="563" t="s">
        <v>3229</v>
      </c>
      <c r="V256" s="563" t="s">
        <v>3229</v>
      </c>
      <c r="W256" s="563" t="s">
        <v>3229</v>
      </c>
      <c r="X256" s="563" t="s">
        <v>3229</v>
      </c>
      <c r="Y256" s="563" t="s">
        <v>3229</v>
      </c>
      <c r="Z256" s="563" t="s">
        <v>3229</v>
      </c>
      <c r="AA256" s="563" t="s">
        <v>3229</v>
      </c>
      <c r="AB256" s="563" t="s">
        <v>3229</v>
      </c>
      <c r="AC256" s="563" t="s">
        <v>3229</v>
      </c>
      <c r="AD256" s="563" t="s">
        <v>3229</v>
      </c>
      <c r="AE256" s="563" t="s">
        <v>3229</v>
      </c>
      <c r="AF256" s="3764" t="s">
        <v>781</v>
      </c>
      <c r="AG256" s="3765"/>
      <c r="AH256" s="590" t="s">
        <v>3229</v>
      </c>
      <c r="AI256" s="673" t="s">
        <v>3229</v>
      </c>
      <c r="AJ256" s="673" t="s">
        <v>3229</v>
      </c>
      <c r="AK256" s="673" t="s">
        <v>3229</v>
      </c>
      <c r="AL256" s="673" t="s">
        <v>3229</v>
      </c>
      <c r="AM256" s="673">
        <v>1</v>
      </c>
      <c r="AN256" s="638">
        <v>0.22871057467331316</v>
      </c>
      <c r="AO256" s="625">
        <v>12.29</v>
      </c>
      <c r="AP256" s="1368">
        <v>0.22871057467331316</v>
      </c>
      <c r="AQ256" s="658">
        <v>0.22871057467331316</v>
      </c>
      <c r="AR256" s="683">
        <v>0.22869999999999999</v>
      </c>
      <c r="AS256" s="558">
        <f t="shared" si="44"/>
        <v>4.6156075533360985E-2</v>
      </c>
      <c r="AT256" s="648">
        <f>J256*(1+AR256)/AO256-1</f>
        <v>-2.4410089503656973E-4</v>
      </c>
      <c r="AU256" s="558" t="e">
        <f>POWER(1+AT256,1/AG256)-1</f>
        <v>#DIV/0!</v>
      </c>
      <c r="AV256" s="632">
        <f t="shared" si="46"/>
        <v>0</v>
      </c>
      <c r="AW256" s="558">
        <f t="shared" si="42"/>
        <v>0</v>
      </c>
      <c r="AX256" s="589">
        <f>J256*(1+AV256)/AO256-1</f>
        <v>-0.1863303498779495</v>
      </c>
      <c r="AY256" s="587" t="e">
        <f>POWER(1+AX256,1/AG256)-1</f>
        <v>#DIV/0!</v>
      </c>
      <c r="AZ256" s="684">
        <f t="shared" si="45"/>
        <v>10</v>
      </c>
      <c r="BA256" s="581" t="s">
        <v>3609</v>
      </c>
      <c r="BB256" s="570"/>
      <c r="BC256" s="581"/>
      <c r="BH256" s="3763"/>
      <c r="BI256" s="3763"/>
      <c r="BJ256" s="1639"/>
      <c r="BK256" s="1639"/>
      <c r="BL256" s="1639"/>
      <c r="BM256" s="1639"/>
      <c r="BN256" s="1639"/>
      <c r="BO256" s="1639"/>
      <c r="BP256" s="1639"/>
      <c r="BQ256" s="1639"/>
      <c r="BR256" s="1639"/>
      <c r="BS256" s="509"/>
      <c r="BT256" s="509"/>
      <c r="BU256" s="509"/>
      <c r="BV256" s="509"/>
      <c r="BW256" s="509"/>
      <c r="BX256" s="509"/>
      <c r="BY256" s="509"/>
      <c r="BZ256" s="509"/>
      <c r="CA256" s="509"/>
      <c r="CB256" s="509"/>
      <c r="CC256" s="509"/>
      <c r="CD256" s="509"/>
      <c r="CE256" s="509"/>
      <c r="CF256" s="509"/>
      <c r="CG256" s="509"/>
      <c r="CH256" s="509"/>
      <c r="CI256" s="509"/>
      <c r="CJ256" s="509"/>
      <c r="CK256" s="509"/>
      <c r="CL256" s="509"/>
      <c r="CM256" s="509"/>
      <c r="CN256" s="509"/>
      <c r="CO256" s="509"/>
      <c r="CP256" s="509"/>
      <c r="CQ256" s="509"/>
      <c r="CR256" s="509"/>
      <c r="CS256" s="509"/>
      <c r="CT256" s="509"/>
      <c r="CU256" s="509"/>
      <c r="CV256" s="509"/>
      <c r="CW256" s="509"/>
      <c r="CX256" s="509"/>
      <c r="CY256" s="509"/>
      <c r="CZ256" s="509"/>
      <c r="DA256" s="509"/>
      <c r="DB256" s="509"/>
      <c r="DC256" s="509"/>
      <c r="DD256" s="509"/>
      <c r="DE256" s="509"/>
      <c r="DF256" s="509"/>
      <c r="DG256" s="509"/>
      <c r="DH256" s="509"/>
      <c r="DI256" s="509"/>
      <c r="DJ256" s="509"/>
      <c r="DK256" s="509"/>
      <c r="DL256" s="509"/>
      <c r="DM256" s="509"/>
      <c r="DN256" s="509"/>
      <c r="DO256" s="509"/>
      <c r="DP256" s="509"/>
      <c r="DQ256" s="509"/>
      <c r="DR256" s="509"/>
      <c r="DS256" s="509"/>
      <c r="DT256" s="509"/>
      <c r="DU256" s="509"/>
      <c r="DV256" s="509"/>
      <c r="DW256" s="509"/>
      <c r="DX256" s="509"/>
      <c r="DY256" s="509"/>
      <c r="DZ256" s="509"/>
      <c r="EA256" s="509"/>
      <c r="EB256" s="509"/>
      <c r="EC256" s="509"/>
      <c r="ED256" s="509"/>
      <c r="EE256" s="509"/>
      <c r="EF256" s="509"/>
      <c r="EG256" s="509"/>
      <c r="EH256" s="509"/>
      <c r="EI256" s="509"/>
      <c r="EJ256" s="509"/>
      <c r="EK256" s="509"/>
      <c r="EL256" s="509"/>
      <c r="EM256" s="509"/>
      <c r="EN256" s="509"/>
      <c r="EO256" s="509"/>
      <c r="EP256" s="509"/>
      <c r="EQ256" s="509"/>
      <c r="ER256" s="509"/>
      <c r="ES256" s="509"/>
      <c r="ET256" s="509"/>
      <c r="EU256" s="509"/>
      <c r="EV256" s="509"/>
      <c r="EW256" s="509"/>
      <c r="EX256" s="509"/>
      <c r="EY256" s="509"/>
      <c r="EZ256" s="509"/>
      <c r="FA256" s="509"/>
      <c r="FB256" s="509"/>
      <c r="FC256" s="509"/>
      <c r="FD256" s="509"/>
      <c r="FE256" s="509"/>
      <c r="FF256" s="509"/>
      <c r="FG256" s="509"/>
      <c r="FH256" s="509"/>
      <c r="FI256" s="509"/>
      <c r="FJ256" s="509"/>
      <c r="FK256" s="509"/>
      <c r="FL256" s="509"/>
      <c r="FM256" s="509"/>
      <c r="FN256" s="509"/>
      <c r="FO256" s="509"/>
      <c r="FP256" s="509"/>
      <c r="FQ256" s="509"/>
      <c r="FR256" s="509"/>
      <c r="FS256" s="509"/>
      <c r="FT256" s="509"/>
      <c r="FU256" s="509"/>
      <c r="FV256" s="509"/>
      <c r="FW256" s="509"/>
      <c r="FX256" s="509"/>
      <c r="FY256" s="509"/>
      <c r="FZ256" s="509"/>
      <c r="GA256" s="509"/>
      <c r="GB256" s="509"/>
      <c r="GC256" s="509"/>
      <c r="GD256" s="509"/>
      <c r="GE256" s="509"/>
      <c r="GF256" s="509"/>
      <c r="GG256" s="509"/>
      <c r="GH256" s="509"/>
      <c r="GI256" s="509"/>
      <c r="GJ256" s="509"/>
      <c r="GK256" s="509"/>
      <c r="GL256" s="509"/>
      <c r="GM256" s="509"/>
      <c r="GN256" s="509"/>
      <c r="GO256" s="509"/>
      <c r="GP256" s="509"/>
      <c r="GQ256" s="509"/>
      <c r="GR256" s="509"/>
      <c r="GS256" s="509"/>
      <c r="GT256" s="509"/>
      <c r="GU256" s="509"/>
      <c r="GV256" s="509"/>
      <c r="GW256" s="509"/>
      <c r="GX256" s="509"/>
      <c r="GY256" s="509"/>
      <c r="GZ256" s="509"/>
      <c r="HA256" s="509"/>
      <c r="HB256" s="509"/>
      <c r="HC256" s="509"/>
      <c r="HD256" s="509"/>
      <c r="HE256" s="509"/>
      <c r="HF256" s="509"/>
      <c r="HG256" s="509"/>
      <c r="HH256" s="509"/>
      <c r="HI256" s="509"/>
      <c r="HJ256" s="509"/>
      <c r="HK256" s="509"/>
      <c r="HL256" s="509"/>
      <c r="HM256" s="509"/>
      <c r="HN256" s="509"/>
      <c r="HO256" s="509"/>
      <c r="HP256" s="509"/>
      <c r="HQ256" s="509"/>
      <c r="HR256" s="509"/>
      <c r="HS256" s="509"/>
      <c r="HT256" s="509"/>
      <c r="HU256" s="509"/>
      <c r="HV256" s="509"/>
      <c r="HW256" s="509"/>
      <c r="HX256" s="509"/>
      <c r="HY256" s="509"/>
      <c r="HZ256" s="509"/>
    </row>
    <row r="257" spans="1:234" ht="15.9" hidden="1" customHeight="1" x14ac:dyDescent="0.25">
      <c r="A257" s="540" t="s">
        <v>3147</v>
      </c>
      <c r="B257" s="523" t="s">
        <v>3144</v>
      </c>
      <c r="C257" s="524" t="s">
        <v>3150</v>
      </c>
      <c r="D257" s="553" t="s">
        <v>3145</v>
      </c>
      <c r="E257" s="524" t="s">
        <v>3228</v>
      </c>
      <c r="F257" s="544">
        <v>39974</v>
      </c>
      <c r="G257" s="586">
        <v>39937</v>
      </c>
      <c r="H257" s="544">
        <v>39967</v>
      </c>
      <c r="I257" s="588">
        <v>41829</v>
      </c>
      <c r="J257" s="595">
        <v>100</v>
      </c>
      <c r="K257" s="561" t="s">
        <v>3229</v>
      </c>
      <c r="L257" s="553" t="s">
        <v>3229</v>
      </c>
      <c r="M257" s="600">
        <v>0.18</v>
      </c>
      <c r="N257" s="601" t="s">
        <v>3229</v>
      </c>
      <c r="O257" s="596">
        <v>0.18</v>
      </c>
      <c r="P257" s="596" t="s">
        <v>3229</v>
      </c>
      <c r="Q257" s="575" t="s">
        <v>3229</v>
      </c>
      <c r="R257" s="596" t="s">
        <v>3229</v>
      </c>
      <c r="S257" s="597"/>
      <c r="T257" s="563" t="s">
        <v>3229</v>
      </c>
      <c r="U257" s="563" t="s">
        <v>3229</v>
      </c>
      <c r="V257" s="563" t="s">
        <v>3229</v>
      </c>
      <c r="W257" s="563" t="s">
        <v>3229</v>
      </c>
      <c r="X257" s="563" t="s">
        <v>3229</v>
      </c>
      <c r="Y257" s="563" t="s">
        <v>3229</v>
      </c>
      <c r="Z257" s="563" t="s">
        <v>3229</v>
      </c>
      <c r="AA257" s="563" t="s">
        <v>3229</v>
      </c>
      <c r="AB257" s="563" t="s">
        <v>3229</v>
      </c>
      <c r="AC257" s="563" t="s">
        <v>3229</v>
      </c>
      <c r="AD257" s="563" t="s">
        <v>3229</v>
      </c>
      <c r="AE257" s="563" t="s">
        <v>3229</v>
      </c>
      <c r="AF257" s="3764" t="s">
        <v>781</v>
      </c>
      <c r="AG257" s="3765"/>
      <c r="AH257" s="673" t="s">
        <v>3229</v>
      </c>
      <c r="AI257" s="673" t="s">
        <v>3229</v>
      </c>
      <c r="AJ257" s="673" t="s">
        <v>3229</v>
      </c>
      <c r="AK257" s="673" t="s">
        <v>3229</v>
      </c>
      <c r="AL257" s="673" t="s">
        <v>3229</v>
      </c>
      <c r="AM257" s="590">
        <v>1</v>
      </c>
      <c r="AN257" s="638" t="s">
        <v>3229</v>
      </c>
      <c r="AO257" s="625">
        <v>120.99</v>
      </c>
      <c r="AP257" s="1368" t="s">
        <v>3229</v>
      </c>
      <c r="AQ257" s="606" t="s">
        <v>3229</v>
      </c>
      <c r="AR257" s="632">
        <f>O257</f>
        <v>0.18</v>
      </c>
      <c r="AS257" s="558">
        <f t="shared" si="44"/>
        <v>3.3103657333301229E-2</v>
      </c>
      <c r="AT257" s="648">
        <f>J257*(1+AR257)/AO257-1</f>
        <v>-2.4712786180676072E-2</v>
      </c>
      <c r="AU257" s="559" t="e">
        <f>POWER(1+AT257,1/AG257)-1</f>
        <v>#DIV/0!</v>
      </c>
      <c r="AV257" s="558">
        <f t="shared" si="46"/>
        <v>0.18</v>
      </c>
      <c r="AW257" s="558">
        <f t="shared" si="42"/>
        <v>3.3103657333301229E-2</v>
      </c>
      <c r="AX257" s="558">
        <f>J257*(1+AV257)/AO257-1</f>
        <v>-2.4712786180676072E-2</v>
      </c>
      <c r="AY257" s="559" t="e">
        <f>POWER(1+AX257,1/AG257)-1</f>
        <v>#DIV/0!</v>
      </c>
      <c r="AZ257" s="642">
        <f t="shared" si="45"/>
        <v>118</v>
      </c>
      <c r="BA257" s="644" t="s">
        <v>4484</v>
      </c>
      <c r="BB257" s="570"/>
      <c r="BC257" s="637"/>
      <c r="BH257" s="3763"/>
      <c r="BI257" s="3763"/>
      <c r="BJ257" s="1639"/>
      <c r="BK257" s="1639"/>
      <c r="BL257" s="1639"/>
      <c r="BM257" s="1639"/>
      <c r="BN257" s="1639"/>
      <c r="BO257" s="1639"/>
      <c r="BP257" s="1639"/>
      <c r="BQ257" s="1639"/>
      <c r="BR257" s="1639"/>
      <c r="BS257" s="509"/>
      <c r="BT257" s="509"/>
      <c r="BU257" s="509"/>
      <c r="BV257" s="509"/>
      <c r="BW257" s="509"/>
      <c r="BX257" s="509"/>
      <c r="BY257" s="509"/>
      <c r="BZ257" s="509"/>
      <c r="CA257" s="509"/>
      <c r="CB257" s="509"/>
      <c r="CC257" s="509"/>
      <c r="CD257" s="509"/>
      <c r="CE257" s="509"/>
      <c r="CF257" s="509"/>
      <c r="CG257" s="509"/>
      <c r="CH257" s="509"/>
      <c r="CI257" s="509"/>
      <c r="CJ257" s="509"/>
      <c r="CK257" s="509"/>
      <c r="CL257" s="509"/>
      <c r="CM257" s="509"/>
      <c r="CN257" s="509"/>
      <c r="CO257" s="509"/>
      <c r="CP257" s="509"/>
      <c r="CQ257" s="509"/>
      <c r="CR257" s="509"/>
      <c r="CS257" s="509"/>
      <c r="CT257" s="509"/>
      <c r="CU257" s="509"/>
      <c r="CV257" s="509"/>
      <c r="CW257" s="509"/>
      <c r="CX257" s="509"/>
      <c r="CY257" s="509"/>
      <c r="CZ257" s="509"/>
      <c r="DA257" s="509"/>
      <c r="DB257" s="509"/>
      <c r="DC257" s="509"/>
      <c r="DD257" s="509"/>
      <c r="DE257" s="509"/>
      <c r="DF257" s="509"/>
      <c r="DG257" s="509"/>
      <c r="DH257" s="509"/>
      <c r="DI257" s="509"/>
      <c r="DJ257" s="509"/>
      <c r="DK257" s="509"/>
      <c r="DL257" s="509"/>
      <c r="DM257" s="509"/>
      <c r="DN257" s="509"/>
      <c r="DO257" s="509"/>
      <c r="DP257" s="509"/>
      <c r="DQ257" s="509"/>
      <c r="DR257" s="509"/>
      <c r="DS257" s="509"/>
      <c r="DT257" s="509"/>
      <c r="DU257" s="509"/>
      <c r="DV257" s="509"/>
      <c r="DW257" s="509"/>
      <c r="DX257" s="509"/>
      <c r="DY257" s="509"/>
      <c r="DZ257" s="509"/>
      <c r="EA257" s="509"/>
      <c r="EB257" s="509"/>
      <c r="EC257" s="509"/>
      <c r="ED257" s="509"/>
      <c r="EE257" s="509"/>
      <c r="EF257" s="509"/>
      <c r="EG257" s="509"/>
      <c r="EH257" s="509"/>
      <c r="EI257" s="509"/>
      <c r="EJ257" s="509"/>
      <c r="EK257" s="509"/>
      <c r="EL257" s="509"/>
      <c r="EM257" s="509"/>
      <c r="EN257" s="509"/>
      <c r="EO257" s="509"/>
      <c r="EP257" s="509"/>
      <c r="EQ257" s="509"/>
      <c r="ER257" s="509"/>
      <c r="ES257" s="509"/>
      <c r="ET257" s="509"/>
      <c r="EU257" s="509"/>
      <c r="EV257" s="509"/>
      <c r="EW257" s="509"/>
      <c r="EX257" s="509"/>
      <c r="EY257" s="509"/>
      <c r="EZ257" s="509"/>
      <c r="FA257" s="509"/>
      <c r="FB257" s="509"/>
      <c r="FC257" s="509"/>
      <c r="FD257" s="509"/>
      <c r="FE257" s="509"/>
      <c r="FF257" s="509"/>
      <c r="FG257" s="509"/>
      <c r="FH257" s="509"/>
      <c r="FI257" s="509"/>
      <c r="FJ257" s="509"/>
      <c r="FK257" s="509"/>
      <c r="FL257" s="509"/>
      <c r="FM257" s="509"/>
      <c r="FN257" s="509"/>
      <c r="FO257" s="509"/>
      <c r="FP257" s="509"/>
      <c r="FQ257" s="509"/>
      <c r="FR257" s="509"/>
      <c r="FS257" s="509"/>
      <c r="FT257" s="509"/>
      <c r="FU257" s="509"/>
      <c r="FV257" s="509"/>
      <c r="FW257" s="509"/>
      <c r="FX257" s="509"/>
      <c r="FY257" s="509"/>
      <c r="FZ257" s="509"/>
      <c r="GA257" s="509"/>
      <c r="GB257" s="509"/>
      <c r="GC257" s="509"/>
      <c r="GD257" s="509"/>
      <c r="GE257" s="509"/>
      <c r="GF257" s="509"/>
      <c r="GG257" s="509"/>
      <c r="GH257" s="509"/>
      <c r="GI257" s="509"/>
      <c r="GJ257" s="509"/>
      <c r="GK257" s="509"/>
      <c r="GL257" s="509"/>
      <c r="GM257" s="509"/>
      <c r="GN257" s="509"/>
      <c r="GO257" s="509"/>
      <c r="GP257" s="509"/>
      <c r="GQ257" s="509"/>
      <c r="GR257" s="509"/>
      <c r="GS257" s="509"/>
      <c r="GT257" s="509"/>
      <c r="GU257" s="509"/>
      <c r="GV257" s="509"/>
      <c r="GW257" s="509"/>
      <c r="GX257" s="509"/>
      <c r="GY257" s="509"/>
      <c r="GZ257" s="509"/>
      <c r="HA257" s="509"/>
      <c r="HB257" s="509"/>
      <c r="HC257" s="509"/>
      <c r="HD257" s="509"/>
      <c r="HE257" s="509"/>
      <c r="HF257" s="509"/>
      <c r="HG257" s="509"/>
      <c r="HH257" s="509"/>
      <c r="HI257" s="509"/>
      <c r="HJ257" s="509"/>
      <c r="HK257" s="509"/>
      <c r="HL257" s="509"/>
      <c r="HM257" s="509"/>
      <c r="HN257" s="509"/>
      <c r="HO257" s="509"/>
      <c r="HP257" s="509"/>
      <c r="HQ257" s="509"/>
      <c r="HR257" s="509"/>
      <c r="HS257" s="509"/>
      <c r="HT257" s="509"/>
      <c r="HU257" s="509"/>
      <c r="HV257" s="509"/>
      <c r="HW257" s="509"/>
      <c r="HX257" s="509"/>
      <c r="HY257" s="509"/>
      <c r="HZ257" s="509"/>
    </row>
    <row r="258" spans="1:234" ht="15.9" hidden="1" customHeight="1" x14ac:dyDescent="0.25">
      <c r="A258" s="541" t="s">
        <v>3732</v>
      </c>
      <c r="B258" s="542" t="s">
        <v>3734</v>
      </c>
      <c r="C258" s="524" t="s">
        <v>3733</v>
      </c>
      <c r="D258" s="553" t="s">
        <v>189</v>
      </c>
      <c r="E258" s="524" t="s">
        <v>905</v>
      </c>
      <c r="F258" s="543">
        <v>39997</v>
      </c>
      <c r="G258" s="544">
        <v>39972</v>
      </c>
      <c r="H258" s="557">
        <v>39990</v>
      </c>
      <c r="I258" s="612">
        <v>41029</v>
      </c>
      <c r="J258" s="579">
        <v>10</v>
      </c>
      <c r="K258" s="553" t="s">
        <v>3229</v>
      </c>
      <c r="L258" s="552" t="s">
        <v>3229</v>
      </c>
      <c r="M258" s="560">
        <v>0</v>
      </c>
      <c r="N258" s="606" t="s">
        <v>3229</v>
      </c>
      <c r="O258" s="613">
        <v>0.45</v>
      </c>
      <c r="P258" s="613">
        <v>0.45</v>
      </c>
      <c r="Q258" s="575" t="s">
        <v>3229</v>
      </c>
      <c r="R258" s="611" t="s">
        <v>3229</v>
      </c>
      <c r="S258" s="581"/>
      <c r="T258" s="563" t="s">
        <v>3229</v>
      </c>
      <c r="U258" s="563" t="s">
        <v>3229</v>
      </c>
      <c r="V258" s="563" t="s">
        <v>3229</v>
      </c>
      <c r="W258" s="563" t="s">
        <v>3229</v>
      </c>
      <c r="X258" s="563" t="s">
        <v>3229</v>
      </c>
      <c r="Y258" s="563" t="s">
        <v>3229</v>
      </c>
      <c r="Z258" s="563" t="s">
        <v>3229</v>
      </c>
      <c r="AA258" s="563" t="s">
        <v>3229</v>
      </c>
      <c r="AB258" s="563" t="s">
        <v>3229</v>
      </c>
      <c r="AC258" s="563" t="s">
        <v>3229</v>
      </c>
      <c r="AD258" s="563" t="s">
        <v>3229</v>
      </c>
      <c r="AE258" s="563" t="s">
        <v>3229</v>
      </c>
      <c r="AF258" s="3764" t="s">
        <v>781</v>
      </c>
      <c r="AG258" s="3765"/>
      <c r="AH258" s="590">
        <v>1</v>
      </c>
      <c r="AI258" s="673" t="s">
        <v>3229</v>
      </c>
      <c r="AJ258" s="673" t="s">
        <v>3229</v>
      </c>
      <c r="AK258" s="673" t="s">
        <v>3229</v>
      </c>
      <c r="AL258" s="673" t="s">
        <v>3229</v>
      </c>
      <c r="AM258" s="673" t="s">
        <v>3229</v>
      </c>
      <c r="AN258" s="638">
        <v>0</v>
      </c>
      <c r="AO258" s="625">
        <v>10.050000000000001</v>
      </c>
      <c r="AP258" s="1368" t="s">
        <v>3229</v>
      </c>
      <c r="AQ258" s="606" t="s">
        <v>3229</v>
      </c>
      <c r="AR258" s="558">
        <f>O258</f>
        <v>0.45</v>
      </c>
      <c r="AS258" s="558">
        <f t="shared" si="44"/>
        <v>0.14044142815131822</v>
      </c>
      <c r="AT258" s="648">
        <f>J258*(1+AR258)/AO258-1</f>
        <v>0.44278606965174117</v>
      </c>
      <c r="AU258" s="558"/>
      <c r="AV258" s="632">
        <f t="shared" si="46"/>
        <v>0</v>
      </c>
      <c r="AW258" s="558">
        <f t="shared" si="42"/>
        <v>0</v>
      </c>
      <c r="AX258" s="589">
        <f>J258*(1+AV258)/AO258-1</f>
        <v>-4.9751243781095411E-3</v>
      </c>
      <c r="AY258" s="587" t="e">
        <f>POWER(1+AX258,1/AG258)-1</f>
        <v>#DIV/0!</v>
      </c>
      <c r="AZ258" s="684">
        <f t="shared" si="45"/>
        <v>10</v>
      </c>
      <c r="BA258" s="581" t="s">
        <v>2366</v>
      </c>
      <c r="BB258" s="570"/>
      <c r="BC258" s="581"/>
      <c r="BH258" s="3763"/>
      <c r="BI258" s="3763"/>
      <c r="BJ258" s="1639"/>
      <c r="BK258" s="1639"/>
      <c r="BL258" s="1639"/>
      <c r="BM258" s="1639"/>
      <c r="BN258" s="1639"/>
      <c r="BO258" s="1639"/>
      <c r="BP258" s="1639"/>
      <c r="BQ258" s="1639"/>
      <c r="BR258" s="1639"/>
      <c r="BS258" s="509"/>
      <c r="BT258" s="509"/>
      <c r="BU258" s="509"/>
      <c r="BV258" s="509"/>
      <c r="BW258" s="509"/>
      <c r="BX258" s="509"/>
      <c r="BY258" s="509"/>
      <c r="BZ258" s="509"/>
      <c r="CA258" s="509"/>
      <c r="CB258" s="509"/>
      <c r="CC258" s="509"/>
      <c r="CD258" s="509"/>
      <c r="CE258" s="509"/>
      <c r="CF258" s="509"/>
      <c r="CG258" s="509"/>
      <c r="CH258" s="509"/>
      <c r="CI258" s="509"/>
      <c r="CJ258" s="509"/>
      <c r="CK258" s="509"/>
      <c r="CL258" s="509"/>
      <c r="CM258" s="509"/>
      <c r="CN258" s="509"/>
      <c r="CO258" s="509"/>
      <c r="CP258" s="509"/>
      <c r="CQ258" s="509"/>
      <c r="CR258" s="509"/>
      <c r="CS258" s="509"/>
      <c r="CT258" s="509"/>
      <c r="CU258" s="509"/>
      <c r="CV258" s="509"/>
      <c r="CW258" s="509"/>
      <c r="CX258" s="509"/>
      <c r="CY258" s="509"/>
      <c r="CZ258" s="509"/>
      <c r="DA258" s="509"/>
      <c r="DB258" s="509"/>
      <c r="DC258" s="509"/>
      <c r="DD258" s="509"/>
      <c r="DE258" s="509"/>
      <c r="DF258" s="509"/>
      <c r="DG258" s="509"/>
      <c r="DH258" s="509"/>
      <c r="DI258" s="509"/>
      <c r="DJ258" s="509"/>
      <c r="DK258" s="509"/>
      <c r="DL258" s="509"/>
      <c r="DM258" s="509"/>
      <c r="DN258" s="509"/>
      <c r="DO258" s="509"/>
      <c r="DP258" s="509"/>
      <c r="DQ258" s="509"/>
      <c r="DR258" s="509"/>
      <c r="DS258" s="509"/>
      <c r="DT258" s="509"/>
      <c r="DU258" s="509"/>
      <c r="DV258" s="509"/>
      <c r="DW258" s="509"/>
      <c r="DX258" s="509"/>
      <c r="DY258" s="509"/>
      <c r="DZ258" s="509"/>
      <c r="EA258" s="509"/>
      <c r="EB258" s="509"/>
      <c r="EC258" s="509"/>
      <c r="ED258" s="509"/>
      <c r="EE258" s="509"/>
      <c r="EF258" s="509"/>
      <c r="EG258" s="509"/>
      <c r="EH258" s="509"/>
      <c r="EI258" s="509"/>
      <c r="EJ258" s="509"/>
      <c r="EK258" s="509"/>
      <c r="EL258" s="509"/>
      <c r="EM258" s="509"/>
      <c r="EN258" s="509"/>
      <c r="EO258" s="509"/>
      <c r="EP258" s="509"/>
      <c r="EQ258" s="509"/>
      <c r="ER258" s="509"/>
      <c r="ES258" s="509"/>
      <c r="ET258" s="509"/>
      <c r="EU258" s="509"/>
      <c r="EV258" s="509"/>
      <c r="EW258" s="509"/>
      <c r="EX258" s="509"/>
      <c r="EY258" s="509"/>
      <c r="EZ258" s="509"/>
      <c r="FA258" s="509"/>
      <c r="FB258" s="509"/>
      <c r="FC258" s="509"/>
      <c r="FD258" s="509"/>
      <c r="FE258" s="509"/>
      <c r="FF258" s="509"/>
      <c r="FG258" s="509"/>
      <c r="FH258" s="509"/>
      <c r="FI258" s="509"/>
      <c r="FJ258" s="509"/>
      <c r="FK258" s="509"/>
      <c r="FL258" s="509"/>
      <c r="FM258" s="509"/>
      <c r="FN258" s="509"/>
      <c r="FO258" s="509"/>
      <c r="FP258" s="509"/>
      <c r="FQ258" s="509"/>
      <c r="FR258" s="509"/>
      <c r="FS258" s="509"/>
      <c r="FT258" s="509"/>
      <c r="FU258" s="509"/>
      <c r="FV258" s="509"/>
      <c r="FW258" s="509"/>
      <c r="FX258" s="509"/>
      <c r="FY258" s="509"/>
      <c r="FZ258" s="509"/>
      <c r="GA258" s="509"/>
      <c r="GB258" s="509"/>
      <c r="GC258" s="509"/>
      <c r="GD258" s="509"/>
      <c r="GE258" s="509"/>
      <c r="GF258" s="509"/>
      <c r="GG258" s="509"/>
      <c r="GH258" s="509"/>
      <c r="GI258" s="509"/>
      <c r="GJ258" s="509"/>
      <c r="GK258" s="509"/>
      <c r="GL258" s="509"/>
      <c r="GM258" s="509"/>
      <c r="GN258" s="509"/>
      <c r="GO258" s="509"/>
      <c r="GP258" s="509"/>
      <c r="GQ258" s="509"/>
      <c r="GR258" s="509"/>
      <c r="GS258" s="509"/>
      <c r="GT258" s="509"/>
      <c r="GU258" s="509"/>
      <c r="GV258" s="509"/>
      <c r="GW258" s="509"/>
      <c r="GX258" s="509"/>
      <c r="GY258" s="509"/>
      <c r="GZ258" s="509"/>
      <c r="HA258" s="509"/>
      <c r="HB258" s="509"/>
      <c r="HC258" s="509"/>
      <c r="HD258" s="509"/>
      <c r="HE258" s="509"/>
      <c r="HF258" s="509"/>
      <c r="HG258" s="509"/>
      <c r="HH258" s="509"/>
      <c r="HI258" s="509"/>
      <c r="HJ258" s="509"/>
      <c r="HK258" s="509"/>
      <c r="HL258" s="509"/>
      <c r="HM258" s="509"/>
      <c r="HN258" s="509"/>
      <c r="HO258" s="509"/>
      <c r="HP258" s="509"/>
      <c r="HQ258" s="509"/>
      <c r="HR258" s="509"/>
      <c r="HS258" s="509"/>
      <c r="HT258" s="509"/>
      <c r="HU258" s="509"/>
      <c r="HV258" s="509"/>
      <c r="HW258" s="509"/>
      <c r="HX258" s="509"/>
      <c r="HY258" s="509"/>
      <c r="HZ258" s="509"/>
    </row>
    <row r="259" spans="1:234" ht="15.9" hidden="1" customHeight="1" x14ac:dyDescent="0.25">
      <c r="A259" s="541" t="s">
        <v>2937</v>
      </c>
      <c r="B259" s="542" t="s">
        <v>3033</v>
      </c>
      <c r="C259" s="524" t="s">
        <v>3032</v>
      </c>
      <c r="D259" s="553" t="s">
        <v>189</v>
      </c>
      <c r="E259" s="524" t="s">
        <v>3228</v>
      </c>
      <c r="F259" s="543">
        <v>40001</v>
      </c>
      <c r="G259" s="544">
        <v>39966</v>
      </c>
      <c r="H259" s="557">
        <v>39996</v>
      </c>
      <c r="I259" s="612">
        <v>42034</v>
      </c>
      <c r="J259" s="579">
        <v>10</v>
      </c>
      <c r="K259" s="553"/>
      <c r="L259" s="552"/>
      <c r="M259" s="560">
        <v>0</v>
      </c>
      <c r="N259" s="606">
        <v>1</v>
      </c>
      <c r="O259" s="613" t="s">
        <v>3229</v>
      </c>
      <c r="P259" s="613" t="s">
        <v>3229</v>
      </c>
      <c r="Q259" s="575" t="s">
        <v>3229</v>
      </c>
      <c r="R259" s="611" t="s">
        <v>3229</v>
      </c>
      <c r="S259" s="581"/>
      <c r="T259" s="563" t="s">
        <v>3229</v>
      </c>
      <c r="U259" s="563" t="s">
        <v>3229</v>
      </c>
      <c r="V259" s="563" t="s">
        <v>3229</v>
      </c>
      <c r="W259" s="563" t="s">
        <v>3229</v>
      </c>
      <c r="X259" s="563" t="s">
        <v>3229</v>
      </c>
      <c r="Y259" s="563" t="s">
        <v>3229</v>
      </c>
      <c r="Z259" s="563" t="s">
        <v>3229</v>
      </c>
      <c r="AA259" s="563" t="s">
        <v>3229</v>
      </c>
      <c r="AB259" s="563" t="s">
        <v>3229</v>
      </c>
      <c r="AC259" s="563" t="s">
        <v>3229</v>
      </c>
      <c r="AD259" s="563" t="s">
        <v>3229</v>
      </c>
      <c r="AE259" s="563" t="s">
        <v>3229</v>
      </c>
      <c r="AF259" s="3764" t="s">
        <v>781</v>
      </c>
      <c r="AG259" s="3765"/>
      <c r="AH259" s="590" t="s">
        <v>3229</v>
      </c>
      <c r="AI259" s="673" t="s">
        <v>3229</v>
      </c>
      <c r="AJ259" s="673" t="s">
        <v>3229</v>
      </c>
      <c r="AK259" s="673" t="s">
        <v>3229</v>
      </c>
      <c r="AL259" s="673" t="s">
        <v>3229</v>
      </c>
      <c r="AM259" s="673">
        <v>1</v>
      </c>
      <c r="AN259" s="638">
        <v>0.34969498611111111</v>
      </c>
      <c r="AO259" s="625">
        <v>13.5</v>
      </c>
      <c r="AP259" s="1368">
        <v>0.4987799444444444</v>
      </c>
      <c r="AQ259" s="658">
        <v>0.52541521280660664</v>
      </c>
      <c r="AR259" s="558" t="s">
        <v>3660</v>
      </c>
      <c r="AS259" s="558"/>
      <c r="AT259" s="648"/>
      <c r="AU259" s="558"/>
      <c r="AV259" s="632">
        <v>0</v>
      </c>
      <c r="AW259" s="558">
        <v>0</v>
      </c>
      <c r="AX259" s="589">
        <v>-0.2592592592592593</v>
      </c>
      <c r="AY259" s="587" t="e">
        <v>#DIV/0!</v>
      </c>
      <c r="AZ259" s="684">
        <v>10</v>
      </c>
      <c r="BA259" s="581" t="s">
        <v>3113</v>
      </c>
      <c r="BB259" s="570"/>
      <c r="BC259" s="581"/>
      <c r="BH259" s="3763"/>
      <c r="BI259" s="3763"/>
      <c r="BJ259" s="1639"/>
      <c r="BK259" s="1639"/>
      <c r="BL259" s="1639"/>
      <c r="BM259" s="1639"/>
      <c r="BN259" s="1639"/>
      <c r="BO259" s="1639"/>
      <c r="BP259" s="1639"/>
      <c r="BQ259" s="1639"/>
      <c r="BR259" s="1639"/>
      <c r="BS259" s="509"/>
      <c r="BT259" s="509"/>
      <c r="BU259" s="509"/>
      <c r="BV259" s="509"/>
      <c r="BW259" s="509"/>
      <c r="BX259" s="509"/>
      <c r="BY259" s="509"/>
      <c r="BZ259" s="509"/>
      <c r="CA259" s="509"/>
      <c r="CB259" s="509"/>
      <c r="CC259" s="509"/>
      <c r="CD259" s="509"/>
      <c r="CE259" s="509"/>
      <c r="CF259" s="509"/>
      <c r="CG259" s="509"/>
      <c r="CH259" s="509"/>
      <c r="CI259" s="509"/>
      <c r="CJ259" s="509"/>
      <c r="CK259" s="509"/>
      <c r="CL259" s="509"/>
      <c r="CM259" s="509"/>
      <c r="CN259" s="509"/>
      <c r="CO259" s="509"/>
      <c r="CP259" s="509"/>
      <c r="CQ259" s="509"/>
      <c r="CR259" s="509"/>
      <c r="CS259" s="509"/>
      <c r="CT259" s="509"/>
      <c r="CU259" s="509"/>
      <c r="CV259" s="509"/>
      <c r="CW259" s="509"/>
      <c r="CX259" s="509"/>
      <c r="CY259" s="509"/>
      <c r="CZ259" s="509"/>
      <c r="DA259" s="509"/>
      <c r="DB259" s="509"/>
      <c r="DC259" s="509"/>
      <c r="DD259" s="509"/>
      <c r="DE259" s="509"/>
      <c r="DF259" s="509"/>
      <c r="DG259" s="509"/>
      <c r="DH259" s="509"/>
      <c r="DI259" s="509"/>
      <c r="DJ259" s="509"/>
      <c r="DK259" s="509"/>
      <c r="DL259" s="509"/>
      <c r="DM259" s="509"/>
      <c r="DN259" s="509"/>
      <c r="DO259" s="509"/>
      <c r="DP259" s="509"/>
      <c r="DQ259" s="509"/>
      <c r="DR259" s="509"/>
      <c r="DS259" s="509"/>
      <c r="DT259" s="509"/>
      <c r="DU259" s="509"/>
      <c r="DV259" s="509"/>
      <c r="DW259" s="509"/>
      <c r="DX259" s="509"/>
      <c r="DY259" s="509"/>
      <c r="DZ259" s="509"/>
      <c r="EA259" s="509"/>
      <c r="EB259" s="509"/>
      <c r="EC259" s="509"/>
      <c r="ED259" s="509"/>
      <c r="EE259" s="509"/>
      <c r="EF259" s="509"/>
      <c r="EG259" s="509"/>
      <c r="EH259" s="509"/>
      <c r="EI259" s="509"/>
      <c r="EJ259" s="509"/>
      <c r="EK259" s="509"/>
      <c r="EL259" s="509"/>
      <c r="EM259" s="509"/>
      <c r="EN259" s="509"/>
      <c r="EO259" s="509"/>
      <c r="EP259" s="509"/>
      <c r="EQ259" s="509"/>
      <c r="ER259" s="509"/>
      <c r="ES259" s="509"/>
      <c r="ET259" s="509"/>
      <c r="EU259" s="509"/>
      <c r="EV259" s="509"/>
      <c r="EW259" s="509"/>
      <c r="EX259" s="509"/>
      <c r="EY259" s="509"/>
      <c r="EZ259" s="509"/>
      <c r="FA259" s="509"/>
      <c r="FB259" s="509"/>
      <c r="FC259" s="509"/>
      <c r="FD259" s="509"/>
      <c r="FE259" s="509"/>
      <c r="FF259" s="509"/>
      <c r="FG259" s="509"/>
      <c r="FH259" s="509"/>
      <c r="FI259" s="509"/>
      <c r="FJ259" s="509"/>
      <c r="FK259" s="509"/>
      <c r="FL259" s="509"/>
      <c r="FM259" s="509"/>
      <c r="FN259" s="509"/>
      <c r="FO259" s="509"/>
      <c r="FP259" s="509"/>
      <c r="FQ259" s="509"/>
      <c r="FR259" s="509"/>
      <c r="FS259" s="509"/>
      <c r="FT259" s="509"/>
      <c r="FU259" s="509"/>
      <c r="FV259" s="509"/>
      <c r="FW259" s="509"/>
      <c r="FX259" s="509"/>
      <c r="FY259" s="509"/>
      <c r="FZ259" s="509"/>
      <c r="GA259" s="509"/>
      <c r="GB259" s="509"/>
      <c r="GC259" s="509"/>
      <c r="GD259" s="509"/>
      <c r="GE259" s="509"/>
      <c r="GF259" s="509"/>
      <c r="GG259" s="509"/>
      <c r="GH259" s="509"/>
      <c r="GI259" s="509"/>
      <c r="GJ259" s="509"/>
      <c r="GK259" s="509"/>
      <c r="GL259" s="509"/>
      <c r="GM259" s="509"/>
      <c r="GN259" s="509"/>
      <c r="GO259" s="509"/>
      <c r="GP259" s="509"/>
      <c r="GQ259" s="509"/>
      <c r="GR259" s="509"/>
      <c r="GS259" s="509"/>
      <c r="GT259" s="509"/>
      <c r="GU259" s="509"/>
      <c r="GV259" s="509"/>
      <c r="GW259" s="509"/>
      <c r="GX259" s="509"/>
      <c r="GY259" s="509"/>
      <c r="GZ259" s="509"/>
      <c r="HA259" s="509"/>
      <c r="HB259" s="509"/>
      <c r="HC259" s="509"/>
      <c r="HD259" s="509"/>
      <c r="HE259" s="509"/>
      <c r="HF259" s="509"/>
      <c r="HG259" s="509"/>
      <c r="HH259" s="509"/>
      <c r="HI259" s="509"/>
      <c r="HJ259" s="509"/>
      <c r="HK259" s="509"/>
      <c r="HL259" s="509"/>
      <c r="HM259" s="509"/>
      <c r="HN259" s="509"/>
      <c r="HO259" s="509"/>
      <c r="HP259" s="509"/>
      <c r="HQ259" s="509"/>
      <c r="HR259" s="509"/>
      <c r="HS259" s="509"/>
      <c r="HT259" s="509"/>
      <c r="HU259" s="509"/>
      <c r="HV259" s="509"/>
      <c r="HW259" s="509"/>
      <c r="HX259" s="509"/>
      <c r="HY259" s="509"/>
      <c r="HZ259" s="509"/>
    </row>
    <row r="260" spans="1:234" ht="15.9" hidden="1" customHeight="1" x14ac:dyDescent="0.25">
      <c r="A260" s="540" t="s">
        <v>379</v>
      </c>
      <c r="B260" s="523" t="s">
        <v>1308</v>
      </c>
      <c r="C260" s="524" t="s">
        <v>380</v>
      </c>
      <c r="D260" s="553" t="s">
        <v>2278</v>
      </c>
      <c r="E260" s="524" t="s">
        <v>3228</v>
      </c>
      <c r="F260" s="544">
        <v>40003</v>
      </c>
      <c r="G260" s="586">
        <v>39986</v>
      </c>
      <c r="H260" s="544">
        <v>39997</v>
      </c>
      <c r="I260" s="588">
        <v>41820</v>
      </c>
      <c r="J260" s="595">
        <v>10</v>
      </c>
      <c r="K260" s="561"/>
      <c r="L260" s="553"/>
      <c r="M260" s="600" t="s">
        <v>3229</v>
      </c>
      <c r="N260" s="601" t="s">
        <v>3229</v>
      </c>
      <c r="O260" s="596" t="s">
        <v>3229</v>
      </c>
      <c r="P260" s="596" t="s">
        <v>3229</v>
      </c>
      <c r="Q260" s="575"/>
      <c r="R260" s="596" t="s">
        <v>3229</v>
      </c>
      <c r="S260" s="597"/>
      <c r="T260" s="563" t="s">
        <v>3229</v>
      </c>
      <c r="U260" s="563" t="s">
        <v>3229</v>
      </c>
      <c r="V260" s="563" t="s">
        <v>3229</v>
      </c>
      <c r="W260" s="563" t="s">
        <v>3229</v>
      </c>
      <c r="X260" s="563" t="s">
        <v>3229</v>
      </c>
      <c r="Y260" s="563" t="s">
        <v>3229</v>
      </c>
      <c r="Z260" s="563" t="s">
        <v>3229</v>
      </c>
      <c r="AA260" s="563" t="s">
        <v>3229</v>
      </c>
      <c r="AB260" s="563" t="s">
        <v>3229</v>
      </c>
      <c r="AC260" s="563" t="s">
        <v>3229</v>
      </c>
      <c r="AD260" s="563" t="s">
        <v>3229</v>
      </c>
      <c r="AE260" s="563" t="s">
        <v>3229</v>
      </c>
      <c r="AF260" s="3764" t="s">
        <v>781</v>
      </c>
      <c r="AG260" s="3765"/>
      <c r="AH260" s="673" t="s">
        <v>3229</v>
      </c>
      <c r="AI260" s="673" t="s">
        <v>3229</v>
      </c>
      <c r="AJ260" s="673" t="s">
        <v>3229</v>
      </c>
      <c r="AK260" s="673" t="s">
        <v>3229</v>
      </c>
      <c r="AL260" s="673" t="s">
        <v>3229</v>
      </c>
      <c r="AM260" s="590">
        <v>1</v>
      </c>
      <c r="AN260" s="638" t="s">
        <v>3229</v>
      </c>
      <c r="AO260" s="625">
        <v>12</v>
      </c>
      <c r="AP260" s="1368" t="s">
        <v>3229</v>
      </c>
      <c r="AQ260" s="606" t="s">
        <v>3229</v>
      </c>
      <c r="AR260" s="632"/>
      <c r="AS260" s="558"/>
      <c r="AT260" s="648" t="s">
        <v>3229</v>
      </c>
      <c r="AU260" s="559" t="s">
        <v>3229</v>
      </c>
      <c r="AV260" s="558" t="s">
        <v>3229</v>
      </c>
      <c r="AW260" s="558" t="s">
        <v>3229</v>
      </c>
      <c r="AX260" s="558" t="s">
        <v>3229</v>
      </c>
      <c r="AY260" s="559" t="s">
        <v>3229</v>
      </c>
      <c r="AZ260" s="642" t="s">
        <v>3229</v>
      </c>
      <c r="BA260" s="644" t="s">
        <v>2279</v>
      </c>
      <c r="BB260" s="570"/>
      <c r="BC260" s="637"/>
      <c r="BH260" s="3763"/>
      <c r="BI260" s="3763"/>
      <c r="BJ260" s="1639"/>
      <c r="BK260" s="1639"/>
      <c r="BL260" s="1639"/>
      <c r="BM260" s="1639"/>
      <c r="BN260" s="1639"/>
      <c r="BO260" s="1639"/>
      <c r="BP260" s="1639"/>
      <c r="BQ260" s="1639"/>
      <c r="BR260" s="1639"/>
      <c r="BS260" s="509"/>
      <c r="BT260" s="509"/>
      <c r="BU260" s="509"/>
      <c r="BV260" s="509"/>
      <c r="BW260" s="509"/>
      <c r="BX260" s="509"/>
      <c r="BY260" s="509"/>
      <c r="BZ260" s="509"/>
      <c r="CA260" s="509"/>
      <c r="CB260" s="509"/>
      <c r="CC260" s="509"/>
      <c r="CD260" s="509"/>
      <c r="CE260" s="509"/>
      <c r="CF260" s="509"/>
      <c r="CG260" s="509"/>
      <c r="CH260" s="509"/>
      <c r="CI260" s="509"/>
      <c r="CJ260" s="509"/>
      <c r="CK260" s="509"/>
      <c r="CL260" s="509"/>
      <c r="CM260" s="509"/>
      <c r="CN260" s="509"/>
      <c r="CO260" s="509"/>
      <c r="CP260" s="509"/>
      <c r="CQ260" s="509"/>
      <c r="CR260" s="509"/>
      <c r="CS260" s="509"/>
      <c r="CT260" s="509"/>
      <c r="CU260" s="509"/>
      <c r="CV260" s="509"/>
      <c r="CW260" s="509"/>
      <c r="CX260" s="509"/>
      <c r="CY260" s="509"/>
      <c r="CZ260" s="509"/>
      <c r="DA260" s="509"/>
      <c r="DB260" s="509"/>
      <c r="DC260" s="509"/>
      <c r="DD260" s="509"/>
      <c r="DE260" s="509"/>
      <c r="DF260" s="509"/>
      <c r="DG260" s="509"/>
      <c r="DH260" s="509"/>
      <c r="DI260" s="509"/>
      <c r="DJ260" s="509"/>
      <c r="DK260" s="509"/>
      <c r="DL260" s="509"/>
      <c r="DM260" s="509"/>
      <c r="DN260" s="509"/>
      <c r="DO260" s="509"/>
      <c r="DP260" s="509"/>
      <c r="DQ260" s="509"/>
      <c r="DR260" s="509"/>
      <c r="DS260" s="509"/>
      <c r="DT260" s="509"/>
      <c r="DU260" s="509"/>
      <c r="DV260" s="509"/>
      <c r="DW260" s="509"/>
      <c r="DX260" s="509"/>
      <c r="DY260" s="509"/>
      <c r="DZ260" s="509"/>
      <c r="EA260" s="509"/>
      <c r="EB260" s="509"/>
      <c r="EC260" s="509"/>
      <c r="ED260" s="509"/>
      <c r="EE260" s="509"/>
      <c r="EF260" s="509"/>
      <c r="EG260" s="509"/>
      <c r="EH260" s="509"/>
      <c r="EI260" s="509"/>
      <c r="EJ260" s="509"/>
      <c r="EK260" s="509"/>
      <c r="EL260" s="509"/>
      <c r="EM260" s="509"/>
      <c r="EN260" s="509"/>
      <c r="EO260" s="509"/>
      <c r="EP260" s="509"/>
      <c r="EQ260" s="509"/>
      <c r="ER260" s="509"/>
      <c r="ES260" s="509"/>
      <c r="ET260" s="509"/>
      <c r="EU260" s="509"/>
      <c r="EV260" s="509"/>
      <c r="EW260" s="509"/>
      <c r="EX260" s="509"/>
      <c r="EY260" s="509"/>
      <c r="EZ260" s="509"/>
      <c r="FA260" s="509"/>
      <c r="FB260" s="509"/>
      <c r="FC260" s="509"/>
      <c r="FD260" s="509"/>
      <c r="FE260" s="509"/>
      <c r="FF260" s="509"/>
      <c r="FG260" s="509"/>
      <c r="FH260" s="509"/>
      <c r="FI260" s="509"/>
      <c r="FJ260" s="509"/>
      <c r="FK260" s="509"/>
      <c r="FL260" s="509"/>
      <c r="FM260" s="509"/>
      <c r="FN260" s="509"/>
      <c r="FO260" s="509"/>
      <c r="FP260" s="509"/>
      <c r="FQ260" s="509"/>
      <c r="FR260" s="509"/>
      <c r="FS260" s="509"/>
      <c r="FT260" s="509"/>
      <c r="FU260" s="509"/>
      <c r="FV260" s="509"/>
      <c r="FW260" s="509"/>
      <c r="FX260" s="509"/>
      <c r="FY260" s="509"/>
      <c r="FZ260" s="509"/>
      <c r="GA260" s="509"/>
      <c r="GB260" s="509"/>
      <c r="GC260" s="509"/>
      <c r="GD260" s="509"/>
      <c r="GE260" s="509"/>
      <c r="GF260" s="509"/>
      <c r="GG260" s="509"/>
      <c r="GH260" s="509"/>
      <c r="GI260" s="509"/>
      <c r="GJ260" s="509"/>
      <c r="GK260" s="509"/>
      <c r="GL260" s="509"/>
      <c r="GM260" s="509"/>
      <c r="GN260" s="509"/>
      <c r="GO260" s="509"/>
      <c r="GP260" s="509"/>
      <c r="GQ260" s="509"/>
      <c r="GR260" s="509"/>
      <c r="GS260" s="509"/>
      <c r="GT260" s="509"/>
      <c r="GU260" s="509"/>
      <c r="GV260" s="509"/>
      <c r="GW260" s="509"/>
      <c r="GX260" s="509"/>
      <c r="GY260" s="509"/>
      <c r="GZ260" s="509"/>
      <c r="HA260" s="509"/>
      <c r="HB260" s="509"/>
      <c r="HC260" s="509"/>
      <c r="HD260" s="509"/>
      <c r="HE260" s="509"/>
      <c r="HF260" s="509"/>
      <c r="HG260" s="509"/>
      <c r="HH260" s="509"/>
      <c r="HI260" s="509"/>
      <c r="HJ260" s="509"/>
      <c r="HK260" s="509"/>
      <c r="HL260" s="509"/>
      <c r="HM260" s="509"/>
      <c r="HN260" s="509"/>
      <c r="HO260" s="509"/>
      <c r="HP260" s="509"/>
      <c r="HQ260" s="509"/>
      <c r="HR260" s="509"/>
      <c r="HS260" s="509"/>
      <c r="HT260" s="509"/>
      <c r="HU260" s="509"/>
      <c r="HV260" s="509"/>
      <c r="HW260" s="509"/>
      <c r="HX260" s="509"/>
      <c r="HY260" s="509"/>
      <c r="HZ260" s="509"/>
    </row>
    <row r="261" spans="1:234" ht="15.9" hidden="1" customHeight="1" x14ac:dyDescent="0.25">
      <c r="A261" s="540" t="s">
        <v>4196</v>
      </c>
      <c r="B261" s="523" t="s">
        <v>1307</v>
      </c>
      <c r="C261" s="524" t="s">
        <v>4197</v>
      </c>
      <c r="D261" s="553" t="s">
        <v>1859</v>
      </c>
      <c r="E261" s="526" t="s">
        <v>3228</v>
      </c>
      <c r="F261" s="586">
        <v>40063</v>
      </c>
      <c r="G261" s="586">
        <v>39995</v>
      </c>
      <c r="H261" s="544">
        <v>40056</v>
      </c>
      <c r="I261" s="594">
        <v>41333</v>
      </c>
      <c r="J261" s="595">
        <v>10</v>
      </c>
      <c r="K261" s="561">
        <v>5.0000000000000001E-3</v>
      </c>
      <c r="L261" s="553">
        <v>0.06</v>
      </c>
      <c r="M261" s="600">
        <v>0.05</v>
      </c>
      <c r="N261" s="601"/>
      <c r="O261" s="596">
        <v>0.16</v>
      </c>
      <c r="P261" s="596"/>
      <c r="Q261" s="596">
        <v>0.04</v>
      </c>
      <c r="R261" s="596" t="s">
        <v>3229</v>
      </c>
      <c r="S261" s="597">
        <v>3</v>
      </c>
      <c r="T261" s="563">
        <v>40422</v>
      </c>
      <c r="U261" s="563">
        <v>40787</v>
      </c>
      <c r="V261" s="563">
        <v>41306</v>
      </c>
      <c r="W261" s="563" t="s">
        <v>3229</v>
      </c>
      <c r="X261" s="563" t="s">
        <v>3229</v>
      </c>
      <c r="Y261" s="563" t="s">
        <v>3229</v>
      </c>
      <c r="Z261" s="563" t="s">
        <v>3229</v>
      </c>
      <c r="AA261" s="563" t="s">
        <v>3229</v>
      </c>
      <c r="AB261" s="563" t="s">
        <v>3229</v>
      </c>
      <c r="AC261" s="563" t="s">
        <v>3229</v>
      </c>
      <c r="AD261" s="563" t="s">
        <v>3229</v>
      </c>
      <c r="AE261" s="563" t="s">
        <v>3229</v>
      </c>
      <c r="AF261" s="3764" t="s">
        <v>781</v>
      </c>
      <c r="AG261" s="3765"/>
      <c r="AH261" s="673" t="s">
        <v>3229</v>
      </c>
      <c r="AI261" s="673" t="s">
        <v>3229</v>
      </c>
      <c r="AJ261" s="673" t="s">
        <v>3229</v>
      </c>
      <c r="AK261" s="673" t="s">
        <v>3229</v>
      </c>
      <c r="AL261" s="673" t="s">
        <v>3229</v>
      </c>
      <c r="AM261" s="590">
        <v>1</v>
      </c>
      <c r="AN261" s="638">
        <v>0.05</v>
      </c>
      <c r="AO261" s="625">
        <v>10.52</v>
      </c>
      <c r="AP261" s="1368">
        <v>-1.1044202726069584E-2</v>
      </c>
      <c r="AQ261" s="658">
        <v>-1.1044202726069584E-2</v>
      </c>
      <c r="AR261" s="558">
        <v>0.16</v>
      </c>
      <c r="AS261" s="558">
        <v>4.3578991419346513E-2</v>
      </c>
      <c r="AT261" s="648">
        <v>9.6408317580340297E-2</v>
      </c>
      <c r="AU261" s="559">
        <v>2.3194624693562274</v>
      </c>
      <c r="AV261" s="558">
        <v>0.05</v>
      </c>
      <c r="AW261" s="558">
        <v>1.4121144592198487E-2</v>
      </c>
      <c r="AX261" s="589">
        <v>-7.5614366729678251E-3</v>
      </c>
      <c r="AY261" s="587">
        <v>-9.4205914927666945E-2</v>
      </c>
      <c r="AZ261" s="676">
        <v>10.5</v>
      </c>
      <c r="BA261" s="644" t="s">
        <v>2585</v>
      </c>
      <c r="BB261" s="570" t="s">
        <v>2025</v>
      </c>
      <c r="BC261" s="637" t="s">
        <v>2895</v>
      </c>
      <c r="BH261" s="3763"/>
      <c r="BI261" s="3763"/>
      <c r="BJ261" s="1639"/>
      <c r="BK261" s="1639"/>
      <c r="BL261" s="1639"/>
      <c r="BM261" s="1639"/>
      <c r="BN261" s="1639"/>
      <c r="BO261" s="1639"/>
      <c r="BP261" s="1639"/>
      <c r="BQ261" s="1639"/>
      <c r="BR261" s="1639"/>
      <c r="BS261" s="509"/>
      <c r="BT261" s="509"/>
      <c r="BU261" s="509"/>
      <c r="BV261" s="509"/>
      <c r="BW261" s="509"/>
      <c r="BX261" s="509"/>
      <c r="BY261" s="509"/>
      <c r="BZ261" s="509"/>
      <c r="CA261" s="509"/>
      <c r="CB261" s="509"/>
      <c r="CC261" s="509"/>
      <c r="CD261" s="509"/>
      <c r="CE261" s="509"/>
      <c r="CF261" s="509"/>
      <c r="CG261" s="509"/>
      <c r="CH261" s="509"/>
      <c r="CI261" s="509"/>
      <c r="CJ261" s="509"/>
      <c r="CK261" s="509"/>
      <c r="CL261" s="509"/>
      <c r="CM261" s="509"/>
      <c r="CN261" s="509"/>
      <c r="CO261" s="509"/>
      <c r="CP261" s="509"/>
      <c r="CQ261" s="509"/>
      <c r="CR261" s="509"/>
      <c r="CS261" s="509"/>
      <c r="CT261" s="509"/>
      <c r="CU261" s="509"/>
      <c r="CV261" s="509"/>
      <c r="CW261" s="509"/>
      <c r="CX261" s="509"/>
      <c r="CY261" s="509"/>
      <c r="CZ261" s="509"/>
      <c r="DA261" s="509"/>
      <c r="DB261" s="509"/>
      <c r="DC261" s="509"/>
      <c r="DD261" s="509"/>
      <c r="DE261" s="509"/>
      <c r="DF261" s="509"/>
      <c r="DG261" s="509"/>
      <c r="DH261" s="509"/>
      <c r="DI261" s="509"/>
      <c r="DJ261" s="509"/>
      <c r="DK261" s="509"/>
      <c r="DL261" s="509"/>
      <c r="DM261" s="509"/>
      <c r="DN261" s="509"/>
      <c r="DO261" s="509"/>
      <c r="DP261" s="509"/>
      <c r="DQ261" s="509"/>
      <c r="DR261" s="509"/>
      <c r="DS261" s="509"/>
      <c r="DT261" s="509"/>
      <c r="DU261" s="509"/>
      <c r="DV261" s="509"/>
      <c r="DW261" s="509"/>
      <c r="DX261" s="509"/>
      <c r="DY261" s="509"/>
      <c r="DZ261" s="509"/>
      <c r="EA261" s="509"/>
      <c r="EB261" s="509"/>
      <c r="EC261" s="509"/>
      <c r="ED261" s="509"/>
      <c r="EE261" s="509"/>
      <c r="EF261" s="509"/>
      <c r="EG261" s="509"/>
      <c r="EH261" s="509"/>
      <c r="EI261" s="509"/>
      <c r="EJ261" s="509"/>
      <c r="EK261" s="509"/>
      <c r="EL261" s="509"/>
      <c r="EM261" s="509"/>
      <c r="EN261" s="509"/>
      <c r="EO261" s="509"/>
      <c r="EP261" s="509"/>
      <c r="EQ261" s="509"/>
      <c r="ER261" s="509"/>
      <c r="ES261" s="509"/>
      <c r="ET261" s="509"/>
      <c r="EU261" s="509"/>
      <c r="EV261" s="509"/>
      <c r="EW261" s="509"/>
      <c r="EX261" s="509"/>
      <c r="EY261" s="509"/>
      <c r="EZ261" s="509"/>
      <c r="FA261" s="509"/>
      <c r="FB261" s="509"/>
      <c r="FC261" s="509"/>
      <c r="FD261" s="509"/>
      <c r="FE261" s="509"/>
      <c r="FF261" s="509"/>
      <c r="FG261" s="509"/>
      <c r="FH261" s="509"/>
      <c r="FI261" s="509"/>
      <c r="FJ261" s="509"/>
      <c r="FK261" s="509"/>
      <c r="FL261" s="509"/>
      <c r="FM261" s="509"/>
      <c r="FN261" s="509"/>
      <c r="FO261" s="509"/>
      <c r="FP261" s="509"/>
      <c r="FQ261" s="509"/>
      <c r="FR261" s="509"/>
      <c r="FS261" s="509"/>
      <c r="FT261" s="509"/>
      <c r="FU261" s="509"/>
      <c r="FV261" s="509"/>
      <c r="FW261" s="509"/>
      <c r="FX261" s="509"/>
      <c r="FY261" s="509"/>
      <c r="FZ261" s="509"/>
      <c r="GA261" s="509"/>
      <c r="GB261" s="509"/>
      <c r="GC261" s="509"/>
      <c r="GD261" s="509"/>
      <c r="GE261" s="509"/>
      <c r="GF261" s="509"/>
      <c r="GG261" s="509"/>
      <c r="GH261" s="509"/>
      <c r="GI261" s="509"/>
      <c r="GJ261" s="509"/>
      <c r="GK261" s="509"/>
      <c r="GL261" s="509"/>
      <c r="GM261" s="509"/>
      <c r="GN261" s="509"/>
      <c r="GO261" s="509"/>
      <c r="GP261" s="509"/>
      <c r="GQ261" s="509"/>
      <c r="GR261" s="509"/>
      <c r="GS261" s="509"/>
      <c r="GT261" s="509"/>
      <c r="GU261" s="509"/>
      <c r="GV261" s="509"/>
      <c r="GW261" s="509"/>
      <c r="GX261" s="509"/>
      <c r="GY261" s="509"/>
      <c r="GZ261" s="509"/>
      <c r="HA261" s="509"/>
      <c r="HB261" s="509"/>
      <c r="HC261" s="509"/>
      <c r="HD261" s="509"/>
      <c r="HE261" s="509"/>
      <c r="HF261" s="509"/>
      <c r="HG261" s="509"/>
      <c r="HH261" s="509"/>
      <c r="HI261" s="509"/>
      <c r="HJ261" s="509"/>
      <c r="HK261" s="509"/>
      <c r="HL261" s="509"/>
      <c r="HM261" s="509"/>
      <c r="HN261" s="509"/>
      <c r="HO261" s="509"/>
      <c r="HP261" s="509"/>
      <c r="HQ261" s="509"/>
      <c r="HR261" s="509"/>
      <c r="HS261" s="509"/>
      <c r="HT261" s="509"/>
      <c r="HU261" s="509"/>
      <c r="HV261" s="509"/>
      <c r="HW261" s="509"/>
      <c r="HX261" s="509"/>
      <c r="HY261" s="509"/>
      <c r="HZ261" s="509"/>
    </row>
    <row r="262" spans="1:234" ht="15.9" hidden="1" customHeight="1" x14ac:dyDescent="0.25">
      <c r="A262" s="541" t="s">
        <v>4198</v>
      </c>
      <c r="B262" s="542" t="s">
        <v>875</v>
      </c>
      <c r="C262" s="524" t="s">
        <v>4199</v>
      </c>
      <c r="D262" s="553" t="s">
        <v>1568</v>
      </c>
      <c r="E262" s="524" t="s">
        <v>3228</v>
      </c>
      <c r="F262" s="543">
        <v>40037</v>
      </c>
      <c r="G262" s="544">
        <v>39995</v>
      </c>
      <c r="H262" s="557">
        <v>40030</v>
      </c>
      <c r="I262" s="612">
        <v>41528</v>
      </c>
      <c r="J262" s="579">
        <v>10</v>
      </c>
      <c r="K262" s="553" t="s">
        <v>3229</v>
      </c>
      <c r="L262" s="552" t="s">
        <v>3229</v>
      </c>
      <c r="M262" s="560">
        <v>0</v>
      </c>
      <c r="N262" s="606">
        <v>0.8</v>
      </c>
      <c r="O262" s="613">
        <v>0.8</v>
      </c>
      <c r="P262" s="613" t="s">
        <v>3229</v>
      </c>
      <c r="Q262" s="575" t="s">
        <v>3229</v>
      </c>
      <c r="R262" s="611" t="s">
        <v>3229</v>
      </c>
      <c r="S262" s="581"/>
      <c r="T262" s="563" t="s">
        <v>3229</v>
      </c>
      <c r="U262" s="563" t="s">
        <v>3229</v>
      </c>
      <c r="V262" s="563" t="s">
        <v>3229</v>
      </c>
      <c r="W262" s="563" t="s">
        <v>3229</v>
      </c>
      <c r="X262" s="563" t="s">
        <v>3229</v>
      </c>
      <c r="Y262" s="563" t="s">
        <v>3229</v>
      </c>
      <c r="Z262" s="563" t="s">
        <v>3229</v>
      </c>
      <c r="AA262" s="563" t="s">
        <v>3229</v>
      </c>
      <c r="AB262" s="563" t="s">
        <v>3229</v>
      </c>
      <c r="AC262" s="563" t="s">
        <v>3229</v>
      </c>
      <c r="AD262" s="563" t="s">
        <v>3229</v>
      </c>
      <c r="AE262" s="563" t="s">
        <v>3229</v>
      </c>
      <c r="AF262" s="3764" t="s">
        <v>781</v>
      </c>
      <c r="AG262" s="3765"/>
      <c r="AH262" s="590" t="s">
        <v>3229</v>
      </c>
      <c r="AI262" s="673" t="s">
        <v>3229</v>
      </c>
      <c r="AJ262" s="673" t="s">
        <v>3229</v>
      </c>
      <c r="AK262" s="673" t="s">
        <v>3229</v>
      </c>
      <c r="AL262" s="673" t="s">
        <v>3229</v>
      </c>
      <c r="AM262" s="673">
        <v>1</v>
      </c>
      <c r="AN262" s="638">
        <v>0.14616414999999999</v>
      </c>
      <c r="AO262" s="625">
        <v>11.46</v>
      </c>
      <c r="AP262" s="1368">
        <v>0.18270518749999998</v>
      </c>
      <c r="AQ262" s="658">
        <v>0.35793084872196229</v>
      </c>
      <c r="AR262" s="558">
        <v>0.8</v>
      </c>
      <c r="AS262" s="558">
        <v>0.15475873774158133</v>
      </c>
      <c r="AT262" s="648">
        <v>0.56931124673060141</v>
      </c>
      <c r="AU262" s="558"/>
      <c r="AV262" s="632">
        <v>0.1462</v>
      </c>
      <c r="AW262" s="558">
        <f>POWER(1+AV262,1/((I262-F262)/365))-1</f>
        <v>3.3967942890688274E-2</v>
      </c>
      <c r="AX262" s="589">
        <v>-0.12816041848299919</v>
      </c>
      <c r="AY262" s="587">
        <v>-0.98457307485716616</v>
      </c>
      <c r="AZ262" s="684">
        <v>10</v>
      </c>
      <c r="BA262" s="581" t="s">
        <v>574</v>
      </c>
      <c r="BB262" s="570"/>
      <c r="BC262" s="581"/>
      <c r="BH262" s="3763"/>
      <c r="BI262" s="3763"/>
      <c r="BJ262" s="1639"/>
      <c r="BK262" s="1639"/>
      <c r="BL262" s="1639"/>
      <c r="BM262" s="1639"/>
      <c r="BN262" s="1639"/>
      <c r="BO262" s="1639"/>
      <c r="BP262" s="1639"/>
      <c r="BQ262" s="1639"/>
      <c r="BR262" s="1639"/>
      <c r="BS262" s="509"/>
      <c r="BT262" s="509"/>
      <c r="BU262" s="509"/>
      <c r="BV262" s="509"/>
      <c r="BW262" s="509"/>
      <c r="BX262" s="509"/>
      <c r="BY262" s="509"/>
      <c r="BZ262" s="509"/>
      <c r="CA262" s="509"/>
      <c r="CB262" s="509"/>
      <c r="CC262" s="509"/>
      <c r="CD262" s="509"/>
      <c r="CE262" s="509"/>
      <c r="CF262" s="509"/>
      <c r="CG262" s="509"/>
      <c r="CH262" s="509"/>
      <c r="CI262" s="509"/>
      <c r="CJ262" s="509"/>
      <c r="CK262" s="509"/>
      <c r="CL262" s="509"/>
      <c r="CM262" s="509"/>
      <c r="CN262" s="509"/>
      <c r="CO262" s="509"/>
      <c r="CP262" s="509"/>
      <c r="CQ262" s="509"/>
      <c r="CR262" s="509"/>
      <c r="CS262" s="509"/>
      <c r="CT262" s="509"/>
      <c r="CU262" s="509"/>
      <c r="CV262" s="509"/>
      <c r="CW262" s="509"/>
      <c r="CX262" s="509"/>
      <c r="CY262" s="509"/>
      <c r="CZ262" s="509"/>
      <c r="DA262" s="509"/>
      <c r="DB262" s="509"/>
      <c r="DC262" s="509"/>
      <c r="DD262" s="509"/>
      <c r="DE262" s="509"/>
      <c r="DF262" s="509"/>
      <c r="DG262" s="509"/>
      <c r="DH262" s="509"/>
      <c r="DI262" s="509"/>
      <c r="DJ262" s="509"/>
      <c r="DK262" s="509"/>
      <c r="DL262" s="509"/>
      <c r="DM262" s="509"/>
      <c r="DN262" s="509"/>
      <c r="DO262" s="509"/>
      <c r="DP262" s="509"/>
      <c r="DQ262" s="509"/>
      <c r="DR262" s="509"/>
      <c r="DS262" s="509"/>
      <c r="DT262" s="509"/>
      <c r="DU262" s="509"/>
      <c r="DV262" s="509"/>
      <c r="DW262" s="509"/>
      <c r="DX262" s="509"/>
      <c r="DY262" s="509"/>
      <c r="DZ262" s="509"/>
      <c r="EA262" s="509"/>
      <c r="EB262" s="509"/>
      <c r="EC262" s="509"/>
      <c r="ED262" s="509"/>
      <c r="EE262" s="509"/>
      <c r="EF262" s="509"/>
      <c r="EG262" s="509"/>
      <c r="EH262" s="509"/>
      <c r="EI262" s="509"/>
      <c r="EJ262" s="509"/>
      <c r="EK262" s="509"/>
      <c r="EL262" s="509"/>
      <c r="EM262" s="509"/>
      <c r="EN262" s="509"/>
      <c r="EO262" s="509"/>
      <c r="EP262" s="509"/>
      <c r="EQ262" s="509"/>
      <c r="ER262" s="509"/>
      <c r="ES262" s="509"/>
      <c r="ET262" s="509"/>
      <c r="EU262" s="509"/>
      <c r="EV262" s="509"/>
      <c r="EW262" s="509"/>
      <c r="EX262" s="509"/>
      <c r="EY262" s="509"/>
      <c r="EZ262" s="509"/>
      <c r="FA262" s="509"/>
      <c r="FB262" s="509"/>
      <c r="FC262" s="509"/>
      <c r="FD262" s="509"/>
      <c r="FE262" s="509"/>
      <c r="FF262" s="509"/>
      <c r="FG262" s="509"/>
      <c r="FH262" s="509"/>
      <c r="FI262" s="509"/>
      <c r="FJ262" s="509"/>
      <c r="FK262" s="509"/>
      <c r="FL262" s="509"/>
      <c r="FM262" s="509"/>
      <c r="FN262" s="509"/>
      <c r="FO262" s="509"/>
      <c r="FP262" s="509"/>
      <c r="FQ262" s="509"/>
      <c r="FR262" s="509"/>
      <c r="FS262" s="509"/>
      <c r="FT262" s="509"/>
      <c r="FU262" s="509"/>
      <c r="FV262" s="509"/>
      <c r="FW262" s="509"/>
      <c r="FX262" s="509"/>
      <c r="FY262" s="509"/>
      <c r="FZ262" s="509"/>
      <c r="GA262" s="509"/>
      <c r="GB262" s="509"/>
      <c r="GC262" s="509"/>
      <c r="GD262" s="509"/>
      <c r="GE262" s="509"/>
      <c r="GF262" s="509"/>
      <c r="GG262" s="509"/>
      <c r="GH262" s="509"/>
      <c r="GI262" s="509"/>
      <c r="GJ262" s="509"/>
      <c r="GK262" s="509"/>
      <c r="GL262" s="509"/>
      <c r="GM262" s="509"/>
      <c r="GN262" s="509"/>
      <c r="GO262" s="509"/>
      <c r="GP262" s="509"/>
      <c r="GQ262" s="509"/>
      <c r="GR262" s="509"/>
      <c r="GS262" s="509"/>
      <c r="GT262" s="509"/>
      <c r="GU262" s="509"/>
      <c r="GV262" s="509"/>
      <c r="GW262" s="509"/>
      <c r="GX262" s="509"/>
      <c r="GY262" s="509"/>
      <c r="GZ262" s="509"/>
      <c r="HA262" s="509"/>
      <c r="HB262" s="509"/>
      <c r="HC262" s="509"/>
      <c r="HD262" s="509"/>
      <c r="HE262" s="509"/>
      <c r="HF262" s="509"/>
      <c r="HG262" s="509"/>
      <c r="HH262" s="509"/>
      <c r="HI262" s="509"/>
      <c r="HJ262" s="509"/>
      <c r="HK262" s="509"/>
      <c r="HL262" s="509"/>
      <c r="HM262" s="509"/>
      <c r="HN262" s="509"/>
      <c r="HO262" s="509"/>
      <c r="HP262" s="509"/>
      <c r="HQ262" s="509"/>
      <c r="HR262" s="509"/>
      <c r="HS262" s="509"/>
      <c r="HT262" s="509"/>
      <c r="HU262" s="509"/>
      <c r="HV262" s="509"/>
      <c r="HW262" s="509"/>
      <c r="HX262" s="509"/>
      <c r="HY262" s="509"/>
      <c r="HZ262" s="509"/>
    </row>
    <row r="263" spans="1:234" ht="15.9" hidden="1" customHeight="1" x14ac:dyDescent="0.25">
      <c r="A263" s="541" t="s">
        <v>1569</v>
      </c>
      <c r="B263" s="542" t="s">
        <v>3031</v>
      </c>
      <c r="C263" s="524" t="s">
        <v>1570</v>
      </c>
      <c r="D263" s="553" t="s">
        <v>1915</v>
      </c>
      <c r="E263" s="524" t="s">
        <v>3228</v>
      </c>
      <c r="F263" s="543">
        <v>40066</v>
      </c>
      <c r="G263" s="544">
        <v>40028</v>
      </c>
      <c r="H263" s="557">
        <v>40059</v>
      </c>
      <c r="I263" s="612">
        <v>42072</v>
      </c>
      <c r="J263" s="579">
        <v>10</v>
      </c>
      <c r="K263" s="553" t="s">
        <v>3229</v>
      </c>
      <c r="L263" s="552" t="s">
        <v>3229</v>
      </c>
      <c r="M263" s="560">
        <v>0</v>
      </c>
      <c r="N263" s="606" t="s">
        <v>3229</v>
      </c>
      <c r="O263" s="613">
        <v>0.5</v>
      </c>
      <c r="P263" s="613" t="s">
        <v>3229</v>
      </c>
      <c r="Q263" s="575" t="s">
        <v>3229</v>
      </c>
      <c r="R263" s="611" t="s">
        <v>3229</v>
      </c>
      <c r="S263" s="581"/>
      <c r="T263" s="563" t="s">
        <v>3229</v>
      </c>
      <c r="U263" s="563" t="s">
        <v>3229</v>
      </c>
      <c r="V263" s="563" t="s">
        <v>3229</v>
      </c>
      <c r="W263" s="563" t="s">
        <v>3229</v>
      </c>
      <c r="X263" s="563" t="s">
        <v>3229</v>
      </c>
      <c r="Y263" s="563" t="s">
        <v>3229</v>
      </c>
      <c r="Z263" s="563" t="s">
        <v>3229</v>
      </c>
      <c r="AA263" s="563" t="s">
        <v>3229</v>
      </c>
      <c r="AB263" s="563" t="s">
        <v>3229</v>
      </c>
      <c r="AC263" s="563" t="s">
        <v>3229</v>
      </c>
      <c r="AD263" s="563" t="s">
        <v>3229</v>
      </c>
      <c r="AE263" s="563" t="s">
        <v>3229</v>
      </c>
      <c r="AF263" s="3764" t="s">
        <v>781</v>
      </c>
      <c r="AG263" s="3765"/>
      <c r="AH263" s="590" t="s">
        <v>3229</v>
      </c>
      <c r="AI263" s="673" t="s">
        <v>3229</v>
      </c>
      <c r="AJ263" s="673" t="s">
        <v>3229</v>
      </c>
      <c r="AK263" s="673" t="s">
        <v>3229</v>
      </c>
      <c r="AL263" s="673" t="s">
        <v>3229</v>
      </c>
      <c r="AM263" s="673">
        <v>1</v>
      </c>
      <c r="AN263" s="638">
        <v>0</v>
      </c>
      <c r="AO263" s="625">
        <v>10</v>
      </c>
      <c r="AP263" s="1368">
        <v>-0.12746380421268913</v>
      </c>
      <c r="AQ263" s="658">
        <v>-0.12746380421268913</v>
      </c>
      <c r="AR263" s="558">
        <f t="shared" ref="AR263:AR268" si="47">O263</f>
        <v>0.5</v>
      </c>
      <c r="AS263" s="558">
        <f t="shared" ref="AS263:AS268" si="48">POWER(1+AR263,1/((I263-F263)/365))-1</f>
        <v>7.6565685991954791E-2</v>
      </c>
      <c r="AT263" s="648">
        <f t="shared" ref="AT263:AT268" si="49">J263*(1+AR263)/AO263-1</f>
        <v>0.5</v>
      </c>
      <c r="AU263" s="558" t="e">
        <f t="shared" ref="AU263:AU268" si="50">POWER(1+AT263,1/AG263)-1</f>
        <v>#DIV/0!</v>
      </c>
      <c r="AV263" s="632">
        <f t="shared" ref="AV263:AV268" si="51">M263</f>
        <v>0</v>
      </c>
      <c r="AW263" s="558">
        <f t="shared" ref="AW263:AW268" si="52">POWER(1+AV263,1/((I263-F263)/365))-1</f>
        <v>0</v>
      </c>
      <c r="AX263" s="589">
        <f t="shared" ref="AX263:AX268" si="53">J263*(1+AV263)/AO263-1</f>
        <v>0</v>
      </c>
      <c r="AY263" s="587" t="e">
        <f t="shared" ref="AY263:AY268" si="54">POWER(1+AX263,1/AG263)-1</f>
        <v>#DIV/0!</v>
      </c>
      <c r="AZ263" s="684">
        <f t="shared" ref="AZ263:AZ268" si="55">J263*(1+AV263)</f>
        <v>10</v>
      </c>
      <c r="BA263" s="581" t="s">
        <v>3609</v>
      </c>
      <c r="BB263" s="570"/>
      <c r="BC263" s="581"/>
      <c r="BH263" s="3763"/>
      <c r="BI263" s="3763"/>
      <c r="BJ263" s="1639"/>
      <c r="BK263" s="1639"/>
      <c r="BL263" s="1639"/>
      <c r="BM263" s="1639"/>
      <c r="BN263" s="1639"/>
      <c r="BO263" s="1639"/>
      <c r="BP263" s="1639"/>
      <c r="BQ263" s="1639"/>
      <c r="BR263" s="1639"/>
      <c r="BS263" s="509"/>
      <c r="BT263" s="509"/>
      <c r="BU263" s="509"/>
      <c r="BV263" s="509"/>
      <c r="BW263" s="509"/>
      <c r="BX263" s="509"/>
      <c r="BY263" s="509"/>
      <c r="BZ263" s="509"/>
      <c r="CA263" s="509"/>
      <c r="CB263" s="509"/>
      <c r="CC263" s="509"/>
      <c r="CD263" s="509"/>
      <c r="CE263" s="509"/>
      <c r="CF263" s="509"/>
      <c r="CG263" s="509"/>
      <c r="CH263" s="509"/>
      <c r="CI263" s="509"/>
      <c r="CJ263" s="509"/>
      <c r="CK263" s="509"/>
      <c r="CL263" s="509"/>
      <c r="CM263" s="509"/>
      <c r="CN263" s="509"/>
      <c r="CO263" s="509"/>
      <c r="CP263" s="509"/>
      <c r="CQ263" s="509"/>
      <c r="CR263" s="509"/>
      <c r="CS263" s="509"/>
      <c r="CT263" s="509"/>
      <c r="CU263" s="509"/>
      <c r="CV263" s="509"/>
      <c r="CW263" s="509"/>
      <c r="CX263" s="509"/>
      <c r="CY263" s="509"/>
      <c r="CZ263" s="509"/>
      <c r="DA263" s="509"/>
      <c r="DB263" s="509"/>
      <c r="DC263" s="509"/>
      <c r="DD263" s="509"/>
      <c r="DE263" s="509"/>
      <c r="DF263" s="509"/>
      <c r="DG263" s="509"/>
      <c r="DH263" s="509"/>
      <c r="DI263" s="509"/>
      <c r="DJ263" s="509"/>
      <c r="DK263" s="509"/>
      <c r="DL263" s="509"/>
      <c r="DM263" s="509"/>
      <c r="DN263" s="509"/>
      <c r="DO263" s="509"/>
      <c r="DP263" s="509"/>
      <c r="DQ263" s="509"/>
      <c r="DR263" s="509"/>
      <c r="DS263" s="509"/>
      <c r="DT263" s="509"/>
      <c r="DU263" s="509"/>
      <c r="DV263" s="509"/>
      <c r="DW263" s="509"/>
      <c r="DX263" s="509"/>
      <c r="DY263" s="509"/>
      <c r="DZ263" s="509"/>
      <c r="EA263" s="509"/>
      <c r="EB263" s="509"/>
      <c r="EC263" s="509"/>
      <c r="ED263" s="509"/>
      <c r="EE263" s="509"/>
      <c r="EF263" s="509"/>
      <c r="EG263" s="509"/>
      <c r="EH263" s="509"/>
      <c r="EI263" s="509"/>
      <c r="EJ263" s="509"/>
      <c r="EK263" s="509"/>
      <c r="EL263" s="509"/>
      <c r="EM263" s="509"/>
      <c r="EN263" s="509"/>
      <c r="EO263" s="509"/>
      <c r="EP263" s="509"/>
      <c r="EQ263" s="509"/>
      <c r="ER263" s="509"/>
      <c r="ES263" s="509"/>
      <c r="ET263" s="509"/>
      <c r="EU263" s="509"/>
      <c r="EV263" s="509"/>
      <c r="EW263" s="509"/>
      <c r="EX263" s="509"/>
      <c r="EY263" s="509"/>
      <c r="EZ263" s="509"/>
      <c r="FA263" s="509"/>
      <c r="FB263" s="509"/>
      <c r="FC263" s="509"/>
      <c r="FD263" s="509"/>
      <c r="FE263" s="509"/>
      <c r="FF263" s="509"/>
      <c r="FG263" s="509"/>
      <c r="FH263" s="509"/>
      <c r="FI263" s="509"/>
      <c r="FJ263" s="509"/>
      <c r="FK263" s="509"/>
      <c r="FL263" s="509"/>
      <c r="FM263" s="509"/>
      <c r="FN263" s="509"/>
      <c r="FO263" s="509"/>
      <c r="FP263" s="509"/>
      <c r="FQ263" s="509"/>
      <c r="FR263" s="509"/>
      <c r="FS263" s="509"/>
      <c r="FT263" s="509"/>
      <c r="FU263" s="509"/>
      <c r="FV263" s="509"/>
      <c r="FW263" s="509"/>
      <c r="FX263" s="509"/>
      <c r="FY263" s="509"/>
      <c r="FZ263" s="509"/>
      <c r="GA263" s="509"/>
      <c r="GB263" s="509"/>
      <c r="GC263" s="509"/>
      <c r="GD263" s="509"/>
      <c r="GE263" s="509"/>
      <c r="GF263" s="509"/>
      <c r="GG263" s="509"/>
      <c r="GH263" s="509"/>
      <c r="GI263" s="509"/>
      <c r="GJ263" s="509"/>
      <c r="GK263" s="509"/>
      <c r="GL263" s="509"/>
      <c r="GM263" s="509"/>
      <c r="GN263" s="509"/>
      <c r="GO263" s="509"/>
      <c r="GP263" s="509"/>
      <c r="GQ263" s="509"/>
      <c r="GR263" s="509"/>
      <c r="GS263" s="509"/>
      <c r="GT263" s="509"/>
      <c r="GU263" s="509"/>
      <c r="GV263" s="509"/>
      <c r="GW263" s="509"/>
      <c r="GX263" s="509"/>
      <c r="GY263" s="509"/>
      <c r="GZ263" s="509"/>
      <c r="HA263" s="509"/>
      <c r="HB263" s="509"/>
      <c r="HC263" s="509"/>
      <c r="HD263" s="509"/>
      <c r="HE263" s="509"/>
      <c r="HF263" s="509"/>
      <c r="HG263" s="509"/>
      <c r="HH263" s="509"/>
      <c r="HI263" s="509"/>
      <c r="HJ263" s="509"/>
      <c r="HK263" s="509"/>
      <c r="HL263" s="509"/>
      <c r="HM263" s="509"/>
      <c r="HN263" s="509"/>
      <c r="HO263" s="509"/>
      <c r="HP263" s="509"/>
      <c r="HQ263" s="509"/>
      <c r="HR263" s="509"/>
      <c r="HS263" s="509"/>
      <c r="HT263" s="509"/>
      <c r="HU263" s="509"/>
      <c r="HV263" s="509"/>
      <c r="HW263" s="509"/>
      <c r="HX263" s="509"/>
      <c r="HY263" s="509"/>
      <c r="HZ263" s="509"/>
    </row>
    <row r="264" spans="1:234" ht="15.9" hidden="1" customHeight="1" x14ac:dyDescent="0.25">
      <c r="A264" s="540" t="s">
        <v>2679</v>
      </c>
      <c r="B264" s="523" t="s">
        <v>1510</v>
      </c>
      <c r="C264" s="524" t="s">
        <v>1511</v>
      </c>
      <c r="D264" s="553" t="s">
        <v>2158</v>
      </c>
      <c r="E264" s="526" t="s">
        <v>3228</v>
      </c>
      <c r="F264" s="586">
        <v>40093</v>
      </c>
      <c r="G264" s="586">
        <v>40057</v>
      </c>
      <c r="H264" s="544">
        <v>40086</v>
      </c>
      <c r="I264" s="594">
        <v>42124</v>
      </c>
      <c r="J264" s="595">
        <v>10</v>
      </c>
      <c r="K264" s="561" t="s">
        <v>3229</v>
      </c>
      <c r="L264" s="553" t="s">
        <v>3229</v>
      </c>
      <c r="M264" s="600">
        <v>0</v>
      </c>
      <c r="N264" s="601">
        <v>0.7</v>
      </c>
      <c r="O264" s="596">
        <v>0.46</v>
      </c>
      <c r="P264" s="596" t="s">
        <v>3229</v>
      </c>
      <c r="Q264" s="596" t="s">
        <v>3229</v>
      </c>
      <c r="R264" s="596" t="s">
        <v>3229</v>
      </c>
      <c r="S264" s="597"/>
      <c r="T264" s="563" t="s">
        <v>3229</v>
      </c>
      <c r="U264" s="563" t="s">
        <v>3229</v>
      </c>
      <c r="V264" s="563" t="s">
        <v>3229</v>
      </c>
      <c r="W264" s="563" t="s">
        <v>3229</v>
      </c>
      <c r="X264" s="563" t="s">
        <v>3229</v>
      </c>
      <c r="Y264" s="563" t="s">
        <v>3229</v>
      </c>
      <c r="Z264" s="563" t="s">
        <v>3229</v>
      </c>
      <c r="AA264" s="563" t="s">
        <v>3229</v>
      </c>
      <c r="AB264" s="563" t="s">
        <v>3229</v>
      </c>
      <c r="AC264" s="563" t="s">
        <v>3229</v>
      </c>
      <c r="AD264" s="563" t="s">
        <v>3229</v>
      </c>
      <c r="AE264" s="563" t="s">
        <v>3229</v>
      </c>
      <c r="AF264" s="3764" t="s">
        <v>781</v>
      </c>
      <c r="AG264" s="3765"/>
      <c r="AH264" s="673" t="s">
        <v>3229</v>
      </c>
      <c r="AI264" s="673" t="s">
        <v>3229</v>
      </c>
      <c r="AJ264" s="673" t="s">
        <v>3229</v>
      </c>
      <c r="AK264" s="673" t="s">
        <v>3229</v>
      </c>
      <c r="AL264" s="673" t="s">
        <v>3229</v>
      </c>
      <c r="AM264" s="590">
        <v>1</v>
      </c>
      <c r="AN264" s="638">
        <v>0.13106971111111113</v>
      </c>
      <c r="AO264" s="625">
        <v>11.29</v>
      </c>
      <c r="AP264" s="1368">
        <v>0.35800653901420615</v>
      </c>
      <c r="AQ264" s="658">
        <v>0.35800653901420615</v>
      </c>
      <c r="AR264" s="558">
        <v>0.46</v>
      </c>
      <c r="AS264" s="558">
        <v>7.0376533427469967E-2</v>
      </c>
      <c r="AT264" s="648">
        <v>0.29317980513728981</v>
      </c>
      <c r="AU264" s="559">
        <v>813.90577784637435</v>
      </c>
      <c r="AV264" s="558">
        <v>0</v>
      </c>
      <c r="AW264" s="558">
        <v>0</v>
      </c>
      <c r="AX264" s="589">
        <v>-0.11426040744021249</v>
      </c>
      <c r="AY264" s="587">
        <v>-0.95771428708603157</v>
      </c>
      <c r="AZ264" s="676">
        <v>10</v>
      </c>
      <c r="BA264" s="644" t="s">
        <v>3190</v>
      </c>
      <c r="BB264" s="570"/>
      <c r="BC264" s="637"/>
      <c r="BH264" s="3763"/>
      <c r="BI264" s="3763"/>
      <c r="BJ264" s="1639"/>
      <c r="BK264" s="1639"/>
      <c r="BL264" s="1639"/>
      <c r="BM264" s="1639"/>
      <c r="BN264" s="1639"/>
      <c r="BO264" s="1639"/>
      <c r="BP264" s="1639"/>
      <c r="BQ264" s="1639"/>
      <c r="BR264" s="1639"/>
      <c r="BS264" s="509"/>
      <c r="BT264" s="509"/>
      <c r="BU264" s="509"/>
      <c r="BV264" s="509"/>
      <c r="BW264" s="509"/>
      <c r="BX264" s="509"/>
      <c r="BY264" s="509"/>
      <c r="BZ264" s="509"/>
      <c r="CA264" s="509"/>
      <c r="CB264" s="509"/>
      <c r="CC264" s="509"/>
      <c r="CD264" s="509"/>
      <c r="CE264" s="509"/>
      <c r="CF264" s="509"/>
      <c r="CG264" s="509"/>
      <c r="CH264" s="509"/>
      <c r="CI264" s="509"/>
      <c r="CJ264" s="509"/>
      <c r="CK264" s="509"/>
      <c r="CL264" s="509"/>
      <c r="CM264" s="509"/>
      <c r="CN264" s="509"/>
      <c r="CO264" s="509"/>
      <c r="CP264" s="509"/>
      <c r="CQ264" s="509"/>
      <c r="CR264" s="509"/>
      <c r="CS264" s="509"/>
      <c r="CT264" s="509"/>
      <c r="CU264" s="509"/>
      <c r="CV264" s="509"/>
      <c r="CW264" s="509"/>
      <c r="CX264" s="509"/>
      <c r="CY264" s="509"/>
      <c r="CZ264" s="509"/>
      <c r="DA264" s="509"/>
      <c r="DB264" s="509"/>
      <c r="DC264" s="509"/>
      <c r="DD264" s="509"/>
      <c r="DE264" s="509"/>
      <c r="DF264" s="509"/>
      <c r="DG264" s="509"/>
      <c r="DH264" s="509"/>
      <c r="DI264" s="509"/>
      <c r="DJ264" s="509"/>
      <c r="DK264" s="509"/>
      <c r="DL264" s="509"/>
      <c r="DM264" s="509"/>
      <c r="DN264" s="509"/>
      <c r="DO264" s="509"/>
      <c r="DP264" s="509"/>
      <c r="DQ264" s="509"/>
      <c r="DR264" s="509"/>
      <c r="DS264" s="509"/>
      <c r="DT264" s="509"/>
      <c r="DU264" s="509"/>
      <c r="DV264" s="509"/>
      <c r="DW264" s="509"/>
      <c r="DX264" s="509"/>
      <c r="DY264" s="509"/>
      <c r="DZ264" s="509"/>
      <c r="EA264" s="509"/>
      <c r="EB264" s="509"/>
      <c r="EC264" s="509"/>
      <c r="ED264" s="509"/>
      <c r="EE264" s="509"/>
      <c r="EF264" s="509"/>
      <c r="EG264" s="509"/>
      <c r="EH264" s="509"/>
      <c r="EI264" s="509"/>
      <c r="EJ264" s="509"/>
      <c r="EK264" s="509"/>
      <c r="EL264" s="509"/>
      <c r="EM264" s="509"/>
      <c r="EN264" s="509"/>
      <c r="EO264" s="509"/>
      <c r="EP264" s="509"/>
      <c r="EQ264" s="509"/>
      <c r="ER264" s="509"/>
      <c r="ES264" s="509"/>
      <c r="ET264" s="509"/>
      <c r="EU264" s="509"/>
      <c r="EV264" s="509"/>
      <c r="EW264" s="509"/>
      <c r="EX264" s="509"/>
      <c r="EY264" s="509"/>
      <c r="EZ264" s="509"/>
      <c r="FA264" s="509"/>
      <c r="FB264" s="509"/>
      <c r="FC264" s="509"/>
      <c r="FD264" s="509"/>
      <c r="FE264" s="509"/>
      <c r="FF264" s="509"/>
      <c r="FG264" s="509"/>
      <c r="FH264" s="509"/>
      <c r="FI264" s="509"/>
      <c r="FJ264" s="509"/>
      <c r="FK264" s="509"/>
      <c r="FL264" s="509"/>
      <c r="FM264" s="509"/>
      <c r="FN264" s="509"/>
      <c r="FO264" s="509"/>
      <c r="FP264" s="509"/>
      <c r="FQ264" s="509"/>
      <c r="FR264" s="509"/>
      <c r="FS264" s="509"/>
      <c r="FT264" s="509"/>
      <c r="FU264" s="509"/>
      <c r="FV264" s="509"/>
      <c r="FW264" s="509"/>
      <c r="FX264" s="509"/>
      <c r="FY264" s="509"/>
      <c r="FZ264" s="509"/>
      <c r="GA264" s="509"/>
      <c r="GB264" s="509"/>
      <c r="GC264" s="509"/>
      <c r="GD264" s="509"/>
      <c r="GE264" s="509"/>
      <c r="GF264" s="509"/>
      <c r="GG264" s="509"/>
      <c r="GH264" s="509"/>
      <c r="GI264" s="509"/>
      <c r="GJ264" s="509"/>
      <c r="GK264" s="509"/>
      <c r="GL264" s="509"/>
      <c r="GM264" s="509"/>
      <c r="GN264" s="509"/>
      <c r="GO264" s="509"/>
      <c r="GP264" s="509"/>
      <c r="GQ264" s="509"/>
      <c r="GR264" s="509"/>
      <c r="GS264" s="509"/>
      <c r="GT264" s="509"/>
      <c r="GU264" s="509"/>
      <c r="GV264" s="509"/>
      <c r="GW264" s="509"/>
      <c r="GX264" s="509"/>
      <c r="GY264" s="509"/>
      <c r="GZ264" s="509"/>
      <c r="HA264" s="509"/>
      <c r="HB264" s="509"/>
      <c r="HC264" s="509"/>
      <c r="HD264" s="509"/>
      <c r="HE264" s="509"/>
      <c r="HF264" s="509"/>
      <c r="HG264" s="509"/>
      <c r="HH264" s="509"/>
      <c r="HI264" s="509"/>
      <c r="HJ264" s="509"/>
      <c r="HK264" s="509"/>
      <c r="HL264" s="509"/>
      <c r="HM264" s="509"/>
      <c r="HN264" s="509"/>
      <c r="HO264" s="509"/>
      <c r="HP264" s="509"/>
      <c r="HQ264" s="509"/>
      <c r="HR264" s="509"/>
      <c r="HS264" s="509"/>
      <c r="HT264" s="509"/>
      <c r="HU264" s="509"/>
      <c r="HV264" s="509"/>
      <c r="HW264" s="509"/>
      <c r="HX264" s="509"/>
      <c r="HY264" s="509"/>
      <c r="HZ264" s="509"/>
    </row>
    <row r="265" spans="1:234" ht="15.9" hidden="1" customHeight="1" x14ac:dyDescent="0.25">
      <c r="A265" s="541" t="s">
        <v>1512</v>
      </c>
      <c r="B265" s="542" t="s">
        <v>1513</v>
      </c>
      <c r="C265" s="524" t="s">
        <v>1514</v>
      </c>
      <c r="D265" s="553" t="s">
        <v>2158</v>
      </c>
      <c r="E265" s="524" t="s">
        <v>3228</v>
      </c>
      <c r="F265" s="543">
        <v>40093</v>
      </c>
      <c r="G265" s="544">
        <v>40057</v>
      </c>
      <c r="H265" s="557">
        <v>40086</v>
      </c>
      <c r="I265" s="612">
        <v>41578</v>
      </c>
      <c r="J265" s="579">
        <v>10</v>
      </c>
      <c r="K265" s="553" t="s">
        <v>3229</v>
      </c>
      <c r="L265" s="552" t="s">
        <v>3229</v>
      </c>
      <c r="M265" s="560">
        <v>0</v>
      </c>
      <c r="N265" s="606" t="s">
        <v>3229</v>
      </c>
      <c r="O265" s="613">
        <v>0.27500000000000002</v>
      </c>
      <c r="P265" s="613" t="s">
        <v>3229</v>
      </c>
      <c r="Q265" s="575" t="s">
        <v>3229</v>
      </c>
      <c r="R265" s="611" t="s">
        <v>3229</v>
      </c>
      <c r="S265" s="581"/>
      <c r="T265" s="563" t="s">
        <v>3229</v>
      </c>
      <c r="U265" s="563" t="s">
        <v>3229</v>
      </c>
      <c r="V265" s="563" t="s">
        <v>3229</v>
      </c>
      <c r="W265" s="563" t="s">
        <v>3229</v>
      </c>
      <c r="X265" s="563" t="s">
        <v>3229</v>
      </c>
      <c r="Y265" s="563" t="s">
        <v>3229</v>
      </c>
      <c r="Z265" s="563" t="s">
        <v>3229</v>
      </c>
      <c r="AA265" s="563" t="s">
        <v>3229</v>
      </c>
      <c r="AB265" s="563" t="s">
        <v>3229</v>
      </c>
      <c r="AC265" s="563" t="s">
        <v>3229</v>
      </c>
      <c r="AD265" s="563" t="s">
        <v>3229</v>
      </c>
      <c r="AE265" s="563" t="s">
        <v>3229</v>
      </c>
      <c r="AF265" s="3764" t="s">
        <v>781</v>
      </c>
      <c r="AG265" s="3765"/>
      <c r="AH265" s="590" t="s">
        <v>3229</v>
      </c>
      <c r="AI265" s="673" t="s">
        <v>3229</v>
      </c>
      <c r="AJ265" s="673" t="s">
        <v>3229</v>
      </c>
      <c r="AK265" s="673" t="s">
        <v>3229</v>
      </c>
      <c r="AL265" s="673" t="s">
        <v>3229</v>
      </c>
      <c r="AM265" s="673">
        <v>1</v>
      </c>
      <c r="AN265" s="638">
        <v>0.22</v>
      </c>
      <c r="AO265" s="625">
        <v>12.32</v>
      </c>
      <c r="AP265" s="1368">
        <v>0.25013191827327658</v>
      </c>
      <c r="AQ265" s="658">
        <v>0.25013191827327658</v>
      </c>
      <c r="AR265" s="558">
        <f t="shared" si="47"/>
        <v>0.27500000000000002</v>
      </c>
      <c r="AS265" s="558">
        <f t="shared" si="48"/>
        <v>6.1532951318118201E-2</v>
      </c>
      <c r="AT265" s="648">
        <f t="shared" si="49"/>
        <v>3.490259740259738E-2</v>
      </c>
      <c r="AU265" s="558" t="e">
        <f t="shared" si="50"/>
        <v>#DIV/0!</v>
      </c>
      <c r="AV265" s="632">
        <f t="shared" si="51"/>
        <v>0</v>
      </c>
      <c r="AW265" s="558">
        <f t="shared" si="52"/>
        <v>0</v>
      </c>
      <c r="AX265" s="589">
        <f t="shared" si="53"/>
        <v>-0.18831168831168832</v>
      </c>
      <c r="AY265" s="587" t="e">
        <f t="shared" si="54"/>
        <v>#DIV/0!</v>
      </c>
      <c r="AZ265" s="684">
        <f t="shared" si="55"/>
        <v>10</v>
      </c>
      <c r="BA265" s="581" t="s">
        <v>3852</v>
      </c>
      <c r="BB265" s="570"/>
      <c r="BC265" s="581"/>
      <c r="BH265" s="3763"/>
      <c r="BI265" s="3763"/>
      <c r="BJ265" s="1639"/>
      <c r="BK265" s="1639"/>
      <c r="BL265" s="1639"/>
      <c r="BM265" s="1639"/>
      <c r="BN265" s="1639"/>
      <c r="BO265" s="1639"/>
      <c r="BP265" s="1639"/>
      <c r="BQ265" s="1639"/>
      <c r="BR265" s="1639"/>
      <c r="BS265" s="509"/>
      <c r="BT265" s="509"/>
      <c r="BU265" s="509"/>
      <c r="BV265" s="509"/>
      <c r="BW265" s="509"/>
      <c r="BX265" s="509"/>
      <c r="BY265" s="509"/>
      <c r="BZ265" s="509"/>
      <c r="CA265" s="509"/>
      <c r="CB265" s="509"/>
      <c r="CC265" s="509"/>
      <c r="CD265" s="509"/>
      <c r="CE265" s="509"/>
      <c r="CF265" s="509"/>
      <c r="CG265" s="509"/>
      <c r="CH265" s="509"/>
      <c r="CI265" s="509"/>
      <c r="CJ265" s="509"/>
      <c r="CK265" s="509"/>
      <c r="CL265" s="509"/>
      <c r="CM265" s="509"/>
      <c r="CN265" s="509"/>
      <c r="CO265" s="509"/>
      <c r="CP265" s="509"/>
      <c r="CQ265" s="509"/>
      <c r="CR265" s="509"/>
      <c r="CS265" s="509"/>
      <c r="CT265" s="509"/>
      <c r="CU265" s="509"/>
      <c r="CV265" s="509"/>
      <c r="CW265" s="509"/>
      <c r="CX265" s="509"/>
      <c r="CY265" s="509"/>
      <c r="CZ265" s="509"/>
      <c r="DA265" s="509"/>
      <c r="DB265" s="509"/>
      <c r="DC265" s="509"/>
      <c r="DD265" s="509"/>
      <c r="DE265" s="509"/>
      <c r="DF265" s="509"/>
      <c r="DG265" s="509"/>
      <c r="DH265" s="509"/>
      <c r="DI265" s="509"/>
      <c r="DJ265" s="509"/>
      <c r="DK265" s="509"/>
      <c r="DL265" s="509"/>
      <c r="DM265" s="509"/>
      <c r="DN265" s="509"/>
      <c r="DO265" s="509"/>
      <c r="DP265" s="509"/>
      <c r="DQ265" s="509"/>
      <c r="DR265" s="509"/>
      <c r="DS265" s="509"/>
      <c r="DT265" s="509"/>
      <c r="DU265" s="509"/>
      <c r="DV265" s="509"/>
      <c r="DW265" s="509"/>
      <c r="DX265" s="509"/>
      <c r="DY265" s="509"/>
      <c r="DZ265" s="509"/>
      <c r="EA265" s="509"/>
      <c r="EB265" s="509"/>
      <c r="EC265" s="509"/>
      <c r="ED265" s="509"/>
      <c r="EE265" s="509"/>
      <c r="EF265" s="509"/>
      <c r="EG265" s="509"/>
      <c r="EH265" s="509"/>
      <c r="EI265" s="509"/>
      <c r="EJ265" s="509"/>
      <c r="EK265" s="509"/>
      <c r="EL265" s="509"/>
      <c r="EM265" s="509"/>
      <c r="EN265" s="509"/>
      <c r="EO265" s="509"/>
      <c r="EP265" s="509"/>
      <c r="EQ265" s="509"/>
      <c r="ER265" s="509"/>
      <c r="ES265" s="509"/>
      <c r="ET265" s="509"/>
      <c r="EU265" s="509"/>
      <c r="EV265" s="509"/>
      <c r="EW265" s="509"/>
      <c r="EX265" s="509"/>
      <c r="EY265" s="509"/>
      <c r="EZ265" s="509"/>
      <c r="FA265" s="509"/>
      <c r="FB265" s="509"/>
      <c r="FC265" s="509"/>
      <c r="FD265" s="509"/>
      <c r="FE265" s="509"/>
      <c r="FF265" s="509"/>
      <c r="FG265" s="509"/>
      <c r="FH265" s="509"/>
      <c r="FI265" s="509"/>
      <c r="FJ265" s="509"/>
      <c r="FK265" s="509"/>
      <c r="FL265" s="509"/>
      <c r="FM265" s="509"/>
      <c r="FN265" s="509"/>
      <c r="FO265" s="509"/>
      <c r="FP265" s="509"/>
      <c r="FQ265" s="509"/>
      <c r="FR265" s="509"/>
      <c r="FS265" s="509"/>
      <c r="FT265" s="509"/>
      <c r="FU265" s="509"/>
      <c r="FV265" s="509"/>
      <c r="FW265" s="509"/>
      <c r="FX265" s="509"/>
      <c r="FY265" s="509"/>
      <c r="FZ265" s="509"/>
      <c r="GA265" s="509"/>
      <c r="GB265" s="509"/>
      <c r="GC265" s="509"/>
      <c r="GD265" s="509"/>
      <c r="GE265" s="509"/>
      <c r="GF265" s="509"/>
      <c r="GG265" s="509"/>
      <c r="GH265" s="509"/>
      <c r="GI265" s="509"/>
      <c r="GJ265" s="509"/>
      <c r="GK265" s="509"/>
      <c r="GL265" s="509"/>
      <c r="GM265" s="509"/>
      <c r="GN265" s="509"/>
      <c r="GO265" s="509"/>
      <c r="GP265" s="509"/>
      <c r="GQ265" s="509"/>
      <c r="GR265" s="509"/>
      <c r="GS265" s="509"/>
      <c r="GT265" s="509"/>
      <c r="GU265" s="509"/>
      <c r="GV265" s="509"/>
      <c r="GW265" s="509"/>
      <c r="GX265" s="509"/>
      <c r="GY265" s="509"/>
      <c r="GZ265" s="509"/>
      <c r="HA265" s="509"/>
      <c r="HB265" s="509"/>
      <c r="HC265" s="509"/>
      <c r="HD265" s="509"/>
      <c r="HE265" s="509"/>
      <c r="HF265" s="509"/>
      <c r="HG265" s="509"/>
      <c r="HH265" s="509"/>
      <c r="HI265" s="509"/>
      <c r="HJ265" s="509"/>
      <c r="HK265" s="509"/>
      <c r="HL265" s="509"/>
      <c r="HM265" s="509"/>
      <c r="HN265" s="509"/>
      <c r="HO265" s="509"/>
      <c r="HP265" s="509"/>
      <c r="HQ265" s="509"/>
      <c r="HR265" s="509"/>
      <c r="HS265" s="509"/>
      <c r="HT265" s="509"/>
      <c r="HU265" s="509"/>
      <c r="HV265" s="509"/>
      <c r="HW265" s="509"/>
      <c r="HX265" s="509"/>
      <c r="HY265" s="509"/>
      <c r="HZ265" s="509"/>
    </row>
    <row r="266" spans="1:234" ht="15.9" hidden="1" customHeight="1" x14ac:dyDescent="0.25">
      <c r="A266" s="540" t="s">
        <v>1415</v>
      </c>
      <c r="B266" s="523" t="s">
        <v>1416</v>
      </c>
      <c r="C266" s="524" t="s">
        <v>1417</v>
      </c>
      <c r="D266" s="553" t="s">
        <v>1418</v>
      </c>
      <c r="E266" s="524" t="s">
        <v>3228</v>
      </c>
      <c r="F266" s="544">
        <v>40098</v>
      </c>
      <c r="G266" s="586">
        <v>40057</v>
      </c>
      <c r="H266" s="544">
        <v>40091</v>
      </c>
      <c r="I266" s="588">
        <v>41954</v>
      </c>
      <c r="J266" s="595">
        <v>100</v>
      </c>
      <c r="K266" s="561" t="s">
        <v>3229</v>
      </c>
      <c r="L266" s="553" t="s">
        <v>3229</v>
      </c>
      <c r="M266" s="600">
        <v>0.1792</v>
      </c>
      <c r="N266" s="601" t="s">
        <v>3229</v>
      </c>
      <c r="O266" s="596">
        <v>0.1792</v>
      </c>
      <c r="P266" s="596" t="s">
        <v>3229</v>
      </c>
      <c r="Q266" s="575" t="s">
        <v>3229</v>
      </c>
      <c r="R266" s="596" t="s">
        <v>3229</v>
      </c>
      <c r="S266" s="597"/>
      <c r="T266" s="563" t="s">
        <v>3229</v>
      </c>
      <c r="U266" s="563" t="s">
        <v>3229</v>
      </c>
      <c r="V266" s="563" t="s">
        <v>3229</v>
      </c>
      <c r="W266" s="563" t="s">
        <v>3229</v>
      </c>
      <c r="X266" s="563" t="s">
        <v>3229</v>
      </c>
      <c r="Y266" s="563" t="s">
        <v>3229</v>
      </c>
      <c r="Z266" s="563" t="s">
        <v>3229</v>
      </c>
      <c r="AA266" s="563" t="s">
        <v>3229</v>
      </c>
      <c r="AB266" s="563" t="s">
        <v>3229</v>
      </c>
      <c r="AC266" s="563" t="s">
        <v>3229</v>
      </c>
      <c r="AD266" s="563" t="s">
        <v>3229</v>
      </c>
      <c r="AE266" s="563" t="s">
        <v>3229</v>
      </c>
      <c r="AF266" s="3764" t="s">
        <v>781</v>
      </c>
      <c r="AG266" s="3765"/>
      <c r="AH266" s="673" t="s">
        <v>3229</v>
      </c>
      <c r="AI266" s="673" t="s">
        <v>3229</v>
      </c>
      <c r="AJ266" s="673" t="s">
        <v>3229</v>
      </c>
      <c r="AK266" s="673" t="s">
        <v>3229</v>
      </c>
      <c r="AL266" s="673" t="s">
        <v>3229</v>
      </c>
      <c r="AM266" s="590">
        <v>1</v>
      </c>
      <c r="AN266" s="638" t="s">
        <v>3229</v>
      </c>
      <c r="AO266" s="625">
        <v>120.71</v>
      </c>
      <c r="AP266" s="1368" t="s">
        <v>3229</v>
      </c>
      <c r="AQ266" s="606" t="s">
        <v>3229</v>
      </c>
      <c r="AR266" s="632">
        <f t="shared" si="47"/>
        <v>0.1792</v>
      </c>
      <c r="AS266" s="558">
        <f t="shared" si="48"/>
        <v>3.2947752225948035E-2</v>
      </c>
      <c r="AT266" s="648">
        <f t="shared" si="49"/>
        <v>-2.3113246624140382E-2</v>
      </c>
      <c r="AU266" s="559" t="e">
        <f t="shared" si="50"/>
        <v>#DIV/0!</v>
      </c>
      <c r="AV266" s="558">
        <f t="shared" si="51"/>
        <v>0.1792</v>
      </c>
      <c r="AW266" s="558">
        <f t="shared" si="52"/>
        <v>3.2947752225948035E-2</v>
      </c>
      <c r="AX266" s="558">
        <f t="shared" si="53"/>
        <v>-2.3113246624140382E-2</v>
      </c>
      <c r="AY266" s="559" t="e">
        <f t="shared" si="54"/>
        <v>#DIV/0!</v>
      </c>
      <c r="AZ266" s="642">
        <f t="shared" si="55"/>
        <v>117.92</v>
      </c>
      <c r="BA266" s="644" t="s">
        <v>4484</v>
      </c>
      <c r="BB266" s="570"/>
      <c r="BC266" s="637"/>
      <c r="BH266" s="3763"/>
      <c r="BI266" s="3763"/>
      <c r="BJ266" s="1639"/>
      <c r="BK266" s="1639"/>
      <c r="BL266" s="1639"/>
      <c r="BM266" s="1639"/>
      <c r="BN266" s="1639"/>
      <c r="BO266" s="1639"/>
      <c r="BP266" s="1639"/>
      <c r="BQ266" s="1639"/>
      <c r="BR266" s="1639"/>
      <c r="BS266" s="509"/>
      <c r="BT266" s="509"/>
      <c r="BU266" s="509"/>
      <c r="BV266" s="509"/>
      <c r="BW266" s="509"/>
      <c r="BX266" s="509"/>
      <c r="BY266" s="509"/>
      <c r="BZ266" s="509"/>
      <c r="CA266" s="509"/>
      <c r="CB266" s="509"/>
      <c r="CC266" s="509"/>
      <c r="CD266" s="509"/>
      <c r="CE266" s="509"/>
      <c r="CF266" s="509"/>
      <c r="CG266" s="509"/>
      <c r="CH266" s="509"/>
      <c r="CI266" s="509"/>
      <c r="CJ266" s="509"/>
      <c r="CK266" s="509"/>
      <c r="CL266" s="509"/>
      <c r="CM266" s="509"/>
      <c r="CN266" s="509"/>
      <c r="CO266" s="509"/>
      <c r="CP266" s="509"/>
      <c r="CQ266" s="509"/>
      <c r="CR266" s="509"/>
      <c r="CS266" s="509"/>
      <c r="CT266" s="509"/>
      <c r="CU266" s="509"/>
      <c r="CV266" s="509"/>
      <c r="CW266" s="509"/>
      <c r="CX266" s="509"/>
      <c r="CY266" s="509"/>
      <c r="CZ266" s="509"/>
      <c r="DA266" s="509"/>
      <c r="DB266" s="509"/>
      <c r="DC266" s="509"/>
      <c r="DD266" s="509"/>
      <c r="DE266" s="509"/>
      <c r="DF266" s="509"/>
      <c r="DG266" s="509"/>
      <c r="DH266" s="509"/>
      <c r="DI266" s="509"/>
      <c r="DJ266" s="509"/>
      <c r="DK266" s="509"/>
      <c r="DL266" s="509"/>
      <c r="DM266" s="509"/>
      <c r="DN266" s="509"/>
      <c r="DO266" s="509"/>
      <c r="DP266" s="509"/>
      <c r="DQ266" s="509"/>
      <c r="DR266" s="509"/>
      <c r="DS266" s="509"/>
      <c r="DT266" s="509"/>
      <c r="DU266" s="509"/>
      <c r="DV266" s="509"/>
      <c r="DW266" s="509"/>
      <c r="DX266" s="509"/>
      <c r="DY266" s="509"/>
      <c r="DZ266" s="509"/>
      <c r="EA266" s="509"/>
      <c r="EB266" s="509"/>
      <c r="EC266" s="509"/>
      <c r="ED266" s="509"/>
      <c r="EE266" s="509"/>
      <c r="EF266" s="509"/>
      <c r="EG266" s="509"/>
      <c r="EH266" s="509"/>
      <c r="EI266" s="509"/>
      <c r="EJ266" s="509"/>
      <c r="EK266" s="509"/>
      <c r="EL266" s="509"/>
      <c r="EM266" s="509"/>
      <c r="EN266" s="509"/>
      <c r="EO266" s="509"/>
      <c r="EP266" s="509"/>
      <c r="EQ266" s="509"/>
      <c r="ER266" s="509"/>
      <c r="ES266" s="509"/>
      <c r="ET266" s="509"/>
      <c r="EU266" s="509"/>
      <c r="EV266" s="509"/>
      <c r="EW266" s="509"/>
      <c r="EX266" s="509"/>
      <c r="EY266" s="509"/>
      <c r="EZ266" s="509"/>
      <c r="FA266" s="509"/>
      <c r="FB266" s="509"/>
      <c r="FC266" s="509"/>
      <c r="FD266" s="509"/>
      <c r="FE266" s="509"/>
      <c r="FF266" s="509"/>
      <c r="FG266" s="509"/>
      <c r="FH266" s="509"/>
      <c r="FI266" s="509"/>
      <c r="FJ266" s="509"/>
      <c r="FK266" s="509"/>
      <c r="FL266" s="509"/>
      <c r="FM266" s="509"/>
      <c r="FN266" s="509"/>
      <c r="FO266" s="509"/>
      <c r="FP266" s="509"/>
      <c r="FQ266" s="509"/>
      <c r="FR266" s="509"/>
      <c r="FS266" s="509"/>
      <c r="FT266" s="509"/>
      <c r="FU266" s="509"/>
      <c r="FV266" s="509"/>
      <c r="FW266" s="509"/>
      <c r="FX266" s="509"/>
      <c r="FY266" s="509"/>
      <c r="FZ266" s="509"/>
      <c r="GA266" s="509"/>
      <c r="GB266" s="509"/>
      <c r="GC266" s="509"/>
      <c r="GD266" s="509"/>
      <c r="GE266" s="509"/>
      <c r="GF266" s="509"/>
      <c r="GG266" s="509"/>
      <c r="GH266" s="509"/>
      <c r="GI266" s="509"/>
      <c r="GJ266" s="509"/>
      <c r="GK266" s="509"/>
      <c r="GL266" s="509"/>
      <c r="GM266" s="509"/>
      <c r="GN266" s="509"/>
      <c r="GO266" s="509"/>
      <c r="GP266" s="509"/>
      <c r="GQ266" s="509"/>
      <c r="GR266" s="509"/>
      <c r="GS266" s="509"/>
      <c r="GT266" s="509"/>
      <c r="GU266" s="509"/>
      <c r="GV266" s="509"/>
      <c r="GW266" s="509"/>
      <c r="GX266" s="509"/>
      <c r="GY266" s="509"/>
      <c r="GZ266" s="509"/>
      <c r="HA266" s="509"/>
      <c r="HB266" s="509"/>
      <c r="HC266" s="509"/>
      <c r="HD266" s="509"/>
      <c r="HE266" s="509"/>
      <c r="HF266" s="509"/>
      <c r="HG266" s="509"/>
      <c r="HH266" s="509"/>
      <c r="HI266" s="509"/>
      <c r="HJ266" s="509"/>
      <c r="HK266" s="509"/>
      <c r="HL266" s="509"/>
      <c r="HM266" s="509"/>
      <c r="HN266" s="509"/>
      <c r="HO266" s="509"/>
      <c r="HP266" s="509"/>
      <c r="HQ266" s="509"/>
      <c r="HR266" s="509"/>
      <c r="HS266" s="509"/>
      <c r="HT266" s="509"/>
      <c r="HU266" s="509"/>
      <c r="HV266" s="509"/>
      <c r="HW266" s="509"/>
      <c r="HX266" s="509"/>
      <c r="HY266" s="509"/>
      <c r="HZ266" s="509"/>
    </row>
    <row r="267" spans="1:234" ht="15.9" hidden="1" customHeight="1" x14ac:dyDescent="0.25">
      <c r="A267" s="541" t="s">
        <v>3837</v>
      </c>
      <c r="B267" s="523" t="s">
        <v>3838</v>
      </c>
      <c r="C267" s="524" t="s">
        <v>2311</v>
      </c>
      <c r="D267" s="553" t="s">
        <v>1859</v>
      </c>
      <c r="E267" s="524" t="s">
        <v>3228</v>
      </c>
      <c r="F267" s="543">
        <v>40123</v>
      </c>
      <c r="G267" s="544">
        <v>40057</v>
      </c>
      <c r="H267" s="557">
        <v>40116</v>
      </c>
      <c r="I267" s="616">
        <v>41152</v>
      </c>
      <c r="J267" s="579">
        <v>10</v>
      </c>
      <c r="K267" s="553" t="s">
        <v>3229</v>
      </c>
      <c r="L267" s="552" t="s">
        <v>3229</v>
      </c>
      <c r="M267" s="560">
        <v>0</v>
      </c>
      <c r="N267" s="606" t="s">
        <v>3229</v>
      </c>
      <c r="O267" s="613">
        <v>0.5</v>
      </c>
      <c r="P267" s="575">
        <v>0.5</v>
      </c>
      <c r="Q267" s="575" t="s">
        <v>3229</v>
      </c>
      <c r="R267" s="611" t="s">
        <v>3229</v>
      </c>
      <c r="S267" s="581"/>
      <c r="T267" s="563" t="s">
        <v>3229</v>
      </c>
      <c r="U267" s="563" t="s">
        <v>3229</v>
      </c>
      <c r="V267" s="563" t="s">
        <v>3229</v>
      </c>
      <c r="W267" s="563" t="s">
        <v>3229</v>
      </c>
      <c r="X267" s="563" t="s">
        <v>3229</v>
      </c>
      <c r="Y267" s="563" t="s">
        <v>3229</v>
      </c>
      <c r="Z267" s="563" t="s">
        <v>3229</v>
      </c>
      <c r="AA267" s="563" t="s">
        <v>3229</v>
      </c>
      <c r="AB267" s="563" t="s">
        <v>3229</v>
      </c>
      <c r="AC267" s="563" t="s">
        <v>3229</v>
      </c>
      <c r="AD267" s="563" t="s">
        <v>3229</v>
      </c>
      <c r="AE267" s="563" t="s">
        <v>3229</v>
      </c>
      <c r="AF267" s="3764" t="s">
        <v>781</v>
      </c>
      <c r="AG267" s="3765"/>
      <c r="AH267" s="590">
        <v>1</v>
      </c>
      <c r="AI267" s="673" t="s">
        <v>3229</v>
      </c>
      <c r="AJ267" s="673" t="s">
        <v>3229</v>
      </c>
      <c r="AK267" s="673" t="s">
        <v>3229</v>
      </c>
      <c r="AL267" s="673" t="s">
        <v>3229</v>
      </c>
      <c r="AM267" s="673" t="s">
        <v>3229</v>
      </c>
      <c r="AN267" s="638">
        <v>0</v>
      </c>
      <c r="AO267" s="625">
        <v>10</v>
      </c>
      <c r="AP267" s="688" t="s">
        <v>3229</v>
      </c>
      <c r="AQ267" s="606" t="s">
        <v>3229</v>
      </c>
      <c r="AR267" s="600">
        <f t="shared" si="47"/>
        <v>0.5</v>
      </c>
      <c r="AS267" s="558">
        <f t="shared" si="48"/>
        <v>0.15468071920089188</v>
      </c>
      <c r="AT267" s="648">
        <f t="shared" si="49"/>
        <v>0.5</v>
      </c>
      <c r="AU267" s="559" t="e">
        <f t="shared" si="50"/>
        <v>#DIV/0!</v>
      </c>
      <c r="AV267" s="558">
        <f t="shared" si="51"/>
        <v>0</v>
      </c>
      <c r="AW267" s="558">
        <f t="shared" si="52"/>
        <v>0</v>
      </c>
      <c r="AX267" s="589">
        <f t="shared" si="53"/>
        <v>0</v>
      </c>
      <c r="AY267" s="587" t="e">
        <f t="shared" si="54"/>
        <v>#DIV/0!</v>
      </c>
      <c r="AZ267" s="686">
        <f t="shared" si="55"/>
        <v>10</v>
      </c>
      <c r="BA267" s="581" t="s">
        <v>2366</v>
      </c>
      <c r="BB267" s="570"/>
      <c r="BC267" s="581"/>
      <c r="BH267" s="3763"/>
      <c r="BI267" s="3763"/>
      <c r="BJ267" s="1639"/>
      <c r="BK267" s="1639"/>
      <c r="BL267" s="1639"/>
      <c r="BM267" s="1639"/>
      <c r="BN267" s="1639"/>
      <c r="BO267" s="1639"/>
      <c r="BP267" s="1639"/>
      <c r="BQ267" s="1639"/>
      <c r="BR267" s="1639"/>
      <c r="BS267" s="509"/>
      <c r="BT267" s="509"/>
      <c r="BU267" s="509"/>
      <c r="BV267" s="509"/>
      <c r="BW267" s="509"/>
      <c r="BX267" s="509"/>
      <c r="BY267" s="509"/>
      <c r="BZ267" s="509"/>
      <c r="CA267" s="509"/>
      <c r="CB267" s="509"/>
      <c r="CC267" s="509"/>
      <c r="CD267" s="509"/>
      <c r="CE267" s="509"/>
      <c r="CF267" s="509"/>
      <c r="CG267" s="509"/>
      <c r="CH267" s="509"/>
      <c r="CI267" s="509"/>
      <c r="CJ267" s="509"/>
      <c r="CK267" s="509"/>
      <c r="CL267" s="509"/>
      <c r="CM267" s="509"/>
      <c r="CN267" s="509"/>
      <c r="CO267" s="509"/>
      <c r="CP267" s="509"/>
      <c r="CQ267" s="509"/>
      <c r="CR267" s="509"/>
      <c r="CS267" s="509"/>
      <c r="CT267" s="509"/>
      <c r="CU267" s="509"/>
      <c r="CV267" s="509"/>
      <c r="CW267" s="509"/>
      <c r="CX267" s="509"/>
      <c r="CY267" s="509"/>
      <c r="CZ267" s="509"/>
      <c r="DA267" s="509"/>
      <c r="DB267" s="509"/>
      <c r="DC267" s="509"/>
      <c r="DD267" s="509"/>
      <c r="DE267" s="509"/>
      <c r="DF267" s="509"/>
      <c r="DG267" s="509"/>
      <c r="DH267" s="509"/>
      <c r="DI267" s="509"/>
      <c r="DJ267" s="509"/>
      <c r="DK267" s="509"/>
      <c r="DL267" s="509"/>
      <c r="DM267" s="509"/>
      <c r="DN267" s="509"/>
      <c r="DO267" s="509"/>
      <c r="DP267" s="509"/>
      <c r="DQ267" s="509"/>
      <c r="DR267" s="509"/>
      <c r="DS267" s="509"/>
      <c r="DT267" s="509"/>
      <c r="DU267" s="509"/>
      <c r="DV267" s="509"/>
      <c r="DW267" s="509"/>
      <c r="DX267" s="509"/>
      <c r="DY267" s="509"/>
      <c r="DZ267" s="509"/>
      <c r="EA267" s="509"/>
      <c r="EB267" s="509"/>
      <c r="EC267" s="509"/>
      <c r="ED267" s="509"/>
      <c r="EE267" s="509"/>
      <c r="EF267" s="509"/>
      <c r="EG267" s="509"/>
      <c r="EH267" s="509"/>
      <c r="EI267" s="509"/>
      <c r="EJ267" s="509"/>
      <c r="EK267" s="509"/>
      <c r="EL267" s="509"/>
      <c r="EM267" s="509"/>
      <c r="EN267" s="509"/>
      <c r="EO267" s="509"/>
      <c r="EP267" s="509"/>
      <c r="EQ267" s="509"/>
      <c r="ER267" s="509"/>
      <c r="ES267" s="509"/>
      <c r="ET267" s="509"/>
      <c r="EU267" s="509"/>
      <c r="EV267" s="509"/>
      <c r="EW267" s="509"/>
      <c r="EX267" s="509"/>
      <c r="EY267" s="509"/>
      <c r="EZ267" s="509"/>
      <c r="FA267" s="509"/>
      <c r="FB267" s="509"/>
      <c r="FC267" s="509"/>
      <c r="FD267" s="509"/>
      <c r="FE267" s="509"/>
      <c r="FF267" s="509"/>
      <c r="FG267" s="509"/>
      <c r="FH267" s="509"/>
      <c r="FI267" s="509"/>
      <c r="FJ267" s="509"/>
      <c r="FK267" s="509"/>
      <c r="FL267" s="509"/>
      <c r="FM267" s="509"/>
      <c r="FN267" s="509"/>
      <c r="FO267" s="509"/>
      <c r="FP267" s="509"/>
      <c r="FQ267" s="509"/>
      <c r="FR267" s="509"/>
      <c r="FS267" s="509"/>
      <c r="FT267" s="509"/>
      <c r="FU267" s="509"/>
      <c r="FV267" s="509"/>
      <c r="FW267" s="509"/>
      <c r="FX267" s="509"/>
      <c r="FY267" s="509"/>
      <c r="FZ267" s="509"/>
      <c r="GA267" s="509"/>
      <c r="GB267" s="509"/>
      <c r="GC267" s="509"/>
      <c r="GD267" s="509"/>
      <c r="GE267" s="509"/>
      <c r="GF267" s="509"/>
      <c r="GG267" s="509"/>
      <c r="GH267" s="509"/>
      <c r="GI267" s="509"/>
      <c r="GJ267" s="509"/>
      <c r="GK267" s="509"/>
      <c r="GL267" s="509"/>
      <c r="GM267" s="509"/>
      <c r="GN267" s="509"/>
      <c r="GO267" s="509"/>
      <c r="GP267" s="509"/>
      <c r="GQ267" s="509"/>
      <c r="GR267" s="509"/>
      <c r="GS267" s="509"/>
      <c r="GT267" s="509"/>
      <c r="GU267" s="509"/>
      <c r="GV267" s="509"/>
      <c r="GW267" s="509"/>
      <c r="GX267" s="509"/>
      <c r="GY267" s="509"/>
      <c r="GZ267" s="509"/>
      <c r="HA267" s="509"/>
      <c r="HB267" s="509"/>
      <c r="HC267" s="509"/>
      <c r="HD267" s="509"/>
      <c r="HE267" s="509"/>
      <c r="HF267" s="509"/>
      <c r="HG267" s="509"/>
      <c r="HH267" s="509"/>
      <c r="HI267" s="509"/>
      <c r="HJ267" s="509"/>
      <c r="HK267" s="509"/>
      <c r="HL267" s="509"/>
      <c r="HM267" s="509"/>
      <c r="HN267" s="509"/>
      <c r="HO267" s="509"/>
      <c r="HP267" s="509"/>
      <c r="HQ267" s="509"/>
      <c r="HR267" s="509"/>
      <c r="HS267" s="509"/>
      <c r="HT267" s="509"/>
      <c r="HU267" s="509"/>
      <c r="HV267" s="509"/>
      <c r="HW267" s="509"/>
      <c r="HX267" s="509"/>
      <c r="HY267" s="509"/>
      <c r="HZ267" s="509"/>
    </row>
    <row r="268" spans="1:234" ht="15.9" hidden="1" customHeight="1" x14ac:dyDescent="0.25">
      <c r="A268" s="540" t="s">
        <v>1088</v>
      </c>
      <c r="B268" s="523" t="s">
        <v>1089</v>
      </c>
      <c r="C268" s="524" t="s">
        <v>4414</v>
      </c>
      <c r="D268" s="553" t="s">
        <v>4415</v>
      </c>
      <c r="E268" s="526" t="s">
        <v>3228</v>
      </c>
      <c r="F268" s="586">
        <v>40129</v>
      </c>
      <c r="G268" s="586">
        <v>40087</v>
      </c>
      <c r="H268" s="544">
        <v>40121</v>
      </c>
      <c r="I268" s="594">
        <v>42104</v>
      </c>
      <c r="J268" s="595">
        <v>10</v>
      </c>
      <c r="K268" s="561"/>
      <c r="L268" s="553"/>
      <c r="M268" s="600">
        <v>0</v>
      </c>
      <c r="N268" s="601">
        <v>0.6</v>
      </c>
      <c r="O268" s="596">
        <v>0.5</v>
      </c>
      <c r="P268" s="596"/>
      <c r="Q268" s="596"/>
      <c r="R268" s="596" t="s">
        <v>3229</v>
      </c>
      <c r="S268" s="597"/>
      <c r="T268" s="563" t="s">
        <v>3229</v>
      </c>
      <c r="U268" s="563" t="s">
        <v>3229</v>
      </c>
      <c r="V268" s="563" t="s">
        <v>3229</v>
      </c>
      <c r="W268" s="563" t="s">
        <v>3229</v>
      </c>
      <c r="X268" s="563" t="s">
        <v>3229</v>
      </c>
      <c r="Y268" s="563" t="s">
        <v>3229</v>
      </c>
      <c r="Z268" s="563" t="s">
        <v>3229</v>
      </c>
      <c r="AA268" s="563" t="s">
        <v>3229</v>
      </c>
      <c r="AB268" s="563" t="s">
        <v>3229</v>
      </c>
      <c r="AC268" s="563" t="s">
        <v>3229</v>
      </c>
      <c r="AD268" s="563" t="s">
        <v>3229</v>
      </c>
      <c r="AE268" s="563" t="s">
        <v>3229</v>
      </c>
      <c r="AF268" s="3764" t="s">
        <v>781</v>
      </c>
      <c r="AG268" s="3765"/>
      <c r="AH268" s="673" t="s">
        <v>3229</v>
      </c>
      <c r="AI268" s="673" t="s">
        <v>3229</v>
      </c>
      <c r="AJ268" s="673" t="s">
        <v>3229</v>
      </c>
      <c r="AK268" s="673" t="s">
        <v>3229</v>
      </c>
      <c r="AL268" s="673" t="s">
        <v>3229</v>
      </c>
      <c r="AM268" s="590">
        <v>1</v>
      </c>
      <c r="AN268" s="638">
        <v>0.31429113333333342</v>
      </c>
      <c r="AO268" s="625">
        <v>13.14</v>
      </c>
      <c r="AP268" s="1368">
        <v>0.4913351057022729</v>
      </c>
      <c r="AQ268" s="658">
        <v>0.4913351057022729</v>
      </c>
      <c r="AR268" s="558">
        <f t="shared" si="47"/>
        <v>0.5</v>
      </c>
      <c r="AS268" s="558">
        <f t="shared" si="48"/>
        <v>7.781307534201054E-2</v>
      </c>
      <c r="AT268" s="648">
        <f t="shared" si="49"/>
        <v>0.14155251141552516</v>
      </c>
      <c r="AU268" s="559" t="e">
        <f t="shared" si="50"/>
        <v>#DIV/0!</v>
      </c>
      <c r="AV268" s="558">
        <f t="shared" si="51"/>
        <v>0</v>
      </c>
      <c r="AW268" s="558">
        <f t="shared" si="52"/>
        <v>0</v>
      </c>
      <c r="AX268" s="589">
        <f t="shared" si="53"/>
        <v>-0.23896499238964997</v>
      </c>
      <c r="AY268" s="587" t="e">
        <f t="shared" si="54"/>
        <v>#DIV/0!</v>
      </c>
      <c r="AZ268" s="676">
        <f t="shared" si="55"/>
        <v>10</v>
      </c>
      <c r="BA268" s="644" t="s">
        <v>910</v>
      </c>
      <c r="BB268" s="570"/>
      <c r="BC268" s="637"/>
      <c r="BH268" s="3763"/>
      <c r="BI268" s="3763"/>
      <c r="BJ268" s="1639"/>
      <c r="BK268" s="1639"/>
      <c r="BL268" s="1639"/>
      <c r="BM268" s="1639"/>
      <c r="BN268" s="1639"/>
      <c r="BO268" s="1639"/>
      <c r="BP268" s="1639"/>
      <c r="BQ268" s="1639"/>
      <c r="BR268" s="1639"/>
      <c r="BS268" s="509"/>
      <c r="BT268" s="509"/>
      <c r="BU268" s="509"/>
      <c r="BV268" s="509"/>
      <c r="BW268" s="509"/>
      <c r="BX268" s="509"/>
      <c r="BY268" s="509"/>
      <c r="BZ268" s="509"/>
      <c r="CA268" s="509"/>
      <c r="CB268" s="509"/>
      <c r="CC268" s="509"/>
      <c r="CD268" s="509"/>
      <c r="CE268" s="509"/>
      <c r="CF268" s="509"/>
      <c r="CG268" s="509"/>
      <c r="CH268" s="509"/>
      <c r="CI268" s="509"/>
      <c r="CJ268" s="509"/>
      <c r="CK268" s="509"/>
      <c r="CL268" s="509"/>
      <c r="CM268" s="509"/>
      <c r="CN268" s="509"/>
      <c r="CO268" s="509"/>
      <c r="CP268" s="509"/>
      <c r="CQ268" s="509"/>
      <c r="CR268" s="509"/>
      <c r="CS268" s="509"/>
      <c r="CT268" s="509"/>
      <c r="CU268" s="509"/>
      <c r="CV268" s="509"/>
      <c r="CW268" s="509"/>
      <c r="CX268" s="509"/>
      <c r="CY268" s="509"/>
      <c r="CZ268" s="509"/>
      <c r="DA268" s="509"/>
      <c r="DB268" s="509"/>
      <c r="DC268" s="509"/>
      <c r="DD268" s="509"/>
      <c r="DE268" s="509"/>
      <c r="DF268" s="509"/>
      <c r="DG268" s="509"/>
      <c r="DH268" s="509"/>
      <c r="DI268" s="509"/>
      <c r="DJ268" s="509"/>
      <c r="DK268" s="509"/>
      <c r="DL268" s="509"/>
      <c r="DM268" s="509"/>
      <c r="DN268" s="509"/>
      <c r="DO268" s="509"/>
      <c r="DP268" s="509"/>
      <c r="DQ268" s="509"/>
      <c r="DR268" s="509"/>
      <c r="DS268" s="509"/>
      <c r="DT268" s="509"/>
      <c r="DU268" s="509"/>
      <c r="DV268" s="509"/>
      <c r="DW268" s="509"/>
      <c r="DX268" s="509"/>
      <c r="DY268" s="509"/>
      <c r="DZ268" s="509"/>
      <c r="EA268" s="509"/>
      <c r="EB268" s="509"/>
      <c r="EC268" s="509"/>
      <c r="ED268" s="509"/>
      <c r="EE268" s="509"/>
      <c r="EF268" s="509"/>
      <c r="EG268" s="509"/>
      <c r="EH268" s="509"/>
      <c r="EI268" s="509"/>
      <c r="EJ268" s="509"/>
      <c r="EK268" s="509"/>
      <c r="EL268" s="509"/>
      <c r="EM268" s="509"/>
      <c r="EN268" s="509"/>
      <c r="EO268" s="509"/>
      <c r="EP268" s="509"/>
      <c r="EQ268" s="509"/>
      <c r="ER268" s="509"/>
      <c r="ES268" s="509"/>
      <c r="ET268" s="509"/>
      <c r="EU268" s="509"/>
      <c r="EV268" s="509"/>
      <c r="EW268" s="509"/>
      <c r="EX268" s="509"/>
      <c r="EY268" s="509"/>
      <c r="EZ268" s="509"/>
      <c r="FA268" s="509"/>
      <c r="FB268" s="509"/>
      <c r="FC268" s="509"/>
      <c r="FD268" s="509"/>
      <c r="FE268" s="509"/>
      <c r="FF268" s="509"/>
      <c r="FG268" s="509"/>
      <c r="FH268" s="509"/>
      <c r="FI268" s="509"/>
      <c r="FJ268" s="509"/>
      <c r="FK268" s="509"/>
      <c r="FL268" s="509"/>
      <c r="FM268" s="509"/>
      <c r="FN268" s="509"/>
      <c r="FO268" s="509"/>
      <c r="FP268" s="509"/>
      <c r="FQ268" s="509"/>
      <c r="FR268" s="509"/>
      <c r="FS268" s="509"/>
      <c r="FT268" s="509"/>
      <c r="FU268" s="509"/>
      <c r="FV268" s="509"/>
      <c r="FW268" s="509"/>
      <c r="FX268" s="509"/>
      <c r="FY268" s="509"/>
      <c r="FZ268" s="509"/>
      <c r="GA268" s="509"/>
      <c r="GB268" s="509"/>
      <c r="GC268" s="509"/>
      <c r="GD268" s="509"/>
      <c r="GE268" s="509"/>
      <c r="GF268" s="509"/>
      <c r="GG268" s="509"/>
      <c r="GH268" s="509"/>
      <c r="GI268" s="509"/>
      <c r="GJ268" s="509"/>
      <c r="GK268" s="509"/>
      <c r="GL268" s="509"/>
      <c r="GM268" s="509"/>
      <c r="GN268" s="509"/>
      <c r="GO268" s="509"/>
      <c r="GP268" s="509"/>
      <c r="GQ268" s="509"/>
      <c r="GR268" s="509"/>
      <c r="GS268" s="509"/>
      <c r="GT268" s="509"/>
      <c r="GU268" s="509"/>
      <c r="GV268" s="509"/>
      <c r="GW268" s="509"/>
      <c r="GX268" s="509"/>
      <c r="GY268" s="509"/>
      <c r="GZ268" s="509"/>
      <c r="HA268" s="509"/>
      <c r="HB268" s="509"/>
      <c r="HC268" s="509"/>
      <c r="HD268" s="509"/>
      <c r="HE268" s="509"/>
      <c r="HF268" s="509"/>
      <c r="HG268" s="509"/>
      <c r="HH268" s="509"/>
      <c r="HI268" s="509"/>
      <c r="HJ268" s="509"/>
      <c r="HK268" s="509"/>
      <c r="HL268" s="509"/>
      <c r="HM268" s="509"/>
      <c r="HN268" s="509"/>
      <c r="HO268" s="509"/>
      <c r="HP268" s="509"/>
      <c r="HQ268" s="509"/>
      <c r="HR268" s="509"/>
      <c r="HS268" s="509"/>
      <c r="HT268" s="509"/>
      <c r="HU268" s="509"/>
      <c r="HV268" s="509"/>
      <c r="HW268" s="509"/>
      <c r="HX268" s="509"/>
      <c r="HY268" s="509"/>
      <c r="HZ268" s="509"/>
    </row>
    <row r="269" spans="1:234" ht="15.9" hidden="1" customHeight="1" x14ac:dyDescent="0.25">
      <c r="A269" s="540" t="s">
        <v>4390</v>
      </c>
      <c r="B269" s="523" t="s">
        <v>1588</v>
      </c>
      <c r="C269" s="524" t="s">
        <v>4391</v>
      </c>
      <c r="D269" s="553" t="s">
        <v>1859</v>
      </c>
      <c r="E269" s="524" t="s">
        <v>3228</v>
      </c>
      <c r="F269" s="544">
        <v>40123</v>
      </c>
      <c r="G269" s="586">
        <v>40136</v>
      </c>
      <c r="H269" s="544">
        <v>40147</v>
      </c>
      <c r="I269" s="588">
        <v>41820</v>
      </c>
      <c r="J269" s="595">
        <v>10</v>
      </c>
      <c r="K269" s="561"/>
      <c r="L269" s="553"/>
      <c r="M269" s="600" t="s">
        <v>3229</v>
      </c>
      <c r="N269" s="601" t="s">
        <v>3229</v>
      </c>
      <c r="O269" s="596" t="s">
        <v>3229</v>
      </c>
      <c r="P269" s="596"/>
      <c r="Q269" s="575"/>
      <c r="R269" s="596" t="s">
        <v>3229</v>
      </c>
      <c r="S269" s="597"/>
      <c r="T269" s="563" t="s">
        <v>3229</v>
      </c>
      <c r="U269" s="563" t="s">
        <v>3229</v>
      </c>
      <c r="V269" s="563" t="s">
        <v>3229</v>
      </c>
      <c r="W269" s="563" t="s">
        <v>3229</v>
      </c>
      <c r="X269" s="563" t="s">
        <v>3229</v>
      </c>
      <c r="Y269" s="563" t="s">
        <v>3229</v>
      </c>
      <c r="Z269" s="563" t="s">
        <v>3229</v>
      </c>
      <c r="AA269" s="563" t="s">
        <v>3229</v>
      </c>
      <c r="AB269" s="563" t="s">
        <v>3229</v>
      </c>
      <c r="AC269" s="563" t="s">
        <v>3229</v>
      </c>
      <c r="AD269" s="563" t="s">
        <v>3229</v>
      </c>
      <c r="AE269" s="563" t="s">
        <v>3229</v>
      </c>
      <c r="AF269" s="3764" t="s">
        <v>781</v>
      </c>
      <c r="AG269" s="3765"/>
      <c r="AH269" s="673" t="s">
        <v>3229</v>
      </c>
      <c r="AI269" s="673" t="s">
        <v>3229</v>
      </c>
      <c r="AJ269" s="673" t="s">
        <v>3229</v>
      </c>
      <c r="AK269" s="673" t="s">
        <v>3229</v>
      </c>
      <c r="AL269" s="673" t="s">
        <v>3229</v>
      </c>
      <c r="AM269" s="590">
        <v>1</v>
      </c>
      <c r="AN269" s="638" t="s">
        <v>3229</v>
      </c>
      <c r="AO269" s="625">
        <v>11.76</v>
      </c>
      <c r="AP269" s="1368" t="s">
        <v>3229</v>
      </c>
      <c r="AQ269" s="606" t="s">
        <v>3229</v>
      </c>
      <c r="AR269" s="632" t="s">
        <v>3229</v>
      </c>
      <c r="AS269" s="558" t="s">
        <v>3229</v>
      </c>
      <c r="AT269" s="648" t="s">
        <v>3229</v>
      </c>
      <c r="AU269" s="559" t="s">
        <v>3229</v>
      </c>
      <c r="AV269" s="558" t="s">
        <v>3229</v>
      </c>
      <c r="AW269" s="558" t="s">
        <v>3229</v>
      </c>
      <c r="AX269" s="558" t="s">
        <v>3229</v>
      </c>
      <c r="AY269" s="559" t="s">
        <v>3229</v>
      </c>
      <c r="AZ269" s="642" t="s">
        <v>3229</v>
      </c>
      <c r="BA269" s="644" t="s">
        <v>2279</v>
      </c>
      <c r="BB269" s="570"/>
      <c r="BC269" s="637"/>
      <c r="BH269" s="3763"/>
      <c r="BI269" s="3763"/>
      <c r="BJ269" s="1639"/>
      <c r="BK269" s="1639"/>
      <c r="BL269" s="1639"/>
      <c r="BM269" s="1639"/>
      <c r="BN269" s="1639"/>
      <c r="BO269" s="1639"/>
      <c r="BP269" s="1639"/>
      <c r="BQ269" s="1639"/>
      <c r="BR269" s="1639"/>
      <c r="BS269" s="509"/>
      <c r="BT269" s="509"/>
      <c r="BU269" s="509"/>
      <c r="BV269" s="509"/>
      <c r="BW269" s="509"/>
      <c r="BX269" s="509"/>
      <c r="BY269" s="509"/>
      <c r="BZ269" s="509"/>
      <c r="CA269" s="509"/>
      <c r="CB269" s="509"/>
      <c r="CC269" s="509"/>
      <c r="CD269" s="509"/>
      <c r="CE269" s="509"/>
      <c r="CF269" s="509"/>
      <c r="CG269" s="509"/>
      <c r="CH269" s="509"/>
      <c r="CI269" s="509"/>
      <c r="CJ269" s="509"/>
      <c r="CK269" s="509"/>
      <c r="CL269" s="509"/>
      <c r="CM269" s="509"/>
      <c r="CN269" s="509"/>
      <c r="CO269" s="509"/>
      <c r="CP269" s="509"/>
      <c r="CQ269" s="509"/>
      <c r="CR269" s="509"/>
      <c r="CS269" s="509"/>
      <c r="CT269" s="509"/>
      <c r="CU269" s="509"/>
      <c r="CV269" s="509"/>
      <c r="CW269" s="509"/>
      <c r="CX269" s="509"/>
      <c r="CY269" s="509"/>
      <c r="CZ269" s="509"/>
      <c r="DA269" s="509"/>
      <c r="DB269" s="509"/>
      <c r="DC269" s="509"/>
      <c r="DD269" s="509"/>
      <c r="DE269" s="509"/>
      <c r="DF269" s="509"/>
      <c r="DG269" s="509"/>
      <c r="DH269" s="509"/>
      <c r="DI269" s="509"/>
      <c r="DJ269" s="509"/>
      <c r="DK269" s="509"/>
      <c r="DL269" s="509"/>
      <c r="DM269" s="509"/>
      <c r="DN269" s="509"/>
      <c r="DO269" s="509"/>
      <c r="DP269" s="509"/>
      <c r="DQ269" s="509"/>
      <c r="DR269" s="509"/>
      <c r="DS269" s="509"/>
      <c r="DT269" s="509"/>
      <c r="DU269" s="509"/>
      <c r="DV269" s="509"/>
      <c r="DW269" s="509"/>
      <c r="DX269" s="509"/>
      <c r="DY269" s="509"/>
      <c r="DZ269" s="509"/>
      <c r="EA269" s="509"/>
      <c r="EB269" s="509"/>
      <c r="EC269" s="509"/>
      <c r="ED269" s="509"/>
      <c r="EE269" s="509"/>
      <c r="EF269" s="509"/>
      <c r="EG269" s="509"/>
      <c r="EH269" s="509"/>
      <c r="EI269" s="509"/>
      <c r="EJ269" s="509"/>
      <c r="EK269" s="509"/>
      <c r="EL269" s="509"/>
      <c r="EM269" s="509"/>
      <c r="EN269" s="509"/>
      <c r="EO269" s="509"/>
      <c r="EP269" s="509"/>
      <c r="EQ269" s="509"/>
      <c r="ER269" s="509"/>
      <c r="ES269" s="509"/>
      <c r="ET269" s="509"/>
      <c r="EU269" s="509"/>
      <c r="EV269" s="509"/>
      <c r="EW269" s="509"/>
      <c r="EX269" s="509"/>
      <c r="EY269" s="509"/>
      <c r="EZ269" s="509"/>
      <c r="FA269" s="509"/>
      <c r="FB269" s="509"/>
      <c r="FC269" s="509"/>
      <c r="FD269" s="509"/>
      <c r="FE269" s="509"/>
      <c r="FF269" s="509"/>
      <c r="FG269" s="509"/>
      <c r="FH269" s="509"/>
      <c r="FI269" s="509"/>
      <c r="FJ269" s="509"/>
      <c r="FK269" s="509"/>
      <c r="FL269" s="509"/>
      <c r="FM269" s="509"/>
      <c r="FN269" s="509"/>
      <c r="FO269" s="509"/>
      <c r="FP269" s="509"/>
      <c r="FQ269" s="509"/>
      <c r="FR269" s="509"/>
      <c r="FS269" s="509"/>
      <c r="FT269" s="509"/>
      <c r="FU269" s="509"/>
      <c r="FV269" s="509"/>
      <c r="FW269" s="509"/>
      <c r="FX269" s="509"/>
      <c r="FY269" s="509"/>
      <c r="FZ269" s="509"/>
      <c r="GA269" s="509"/>
      <c r="GB269" s="509"/>
      <c r="GC269" s="509"/>
      <c r="GD269" s="509"/>
      <c r="GE269" s="509"/>
      <c r="GF269" s="509"/>
      <c r="GG269" s="509"/>
      <c r="GH269" s="509"/>
      <c r="GI269" s="509"/>
      <c r="GJ269" s="509"/>
      <c r="GK269" s="509"/>
      <c r="GL269" s="509"/>
      <c r="GM269" s="509"/>
      <c r="GN269" s="509"/>
      <c r="GO269" s="509"/>
      <c r="GP269" s="509"/>
      <c r="GQ269" s="509"/>
      <c r="GR269" s="509"/>
      <c r="GS269" s="509"/>
      <c r="GT269" s="509"/>
      <c r="GU269" s="509"/>
      <c r="GV269" s="509"/>
      <c r="GW269" s="509"/>
      <c r="GX269" s="509"/>
      <c r="GY269" s="509"/>
      <c r="GZ269" s="509"/>
      <c r="HA269" s="509"/>
      <c r="HB269" s="509"/>
      <c r="HC269" s="509"/>
      <c r="HD269" s="509"/>
      <c r="HE269" s="509"/>
      <c r="HF269" s="509"/>
      <c r="HG269" s="509"/>
      <c r="HH269" s="509"/>
      <c r="HI269" s="509"/>
      <c r="HJ269" s="509"/>
      <c r="HK269" s="509"/>
      <c r="HL269" s="509"/>
      <c r="HM269" s="509"/>
      <c r="HN269" s="509"/>
      <c r="HO269" s="509"/>
      <c r="HP269" s="509"/>
      <c r="HQ269" s="509"/>
      <c r="HR269" s="509"/>
      <c r="HS269" s="509"/>
      <c r="HT269" s="509"/>
      <c r="HU269" s="509"/>
      <c r="HV269" s="509"/>
      <c r="HW269" s="509"/>
      <c r="HX269" s="509"/>
      <c r="HY269" s="509"/>
      <c r="HZ269" s="509"/>
    </row>
    <row r="270" spans="1:234" ht="15.9" hidden="1" customHeight="1" x14ac:dyDescent="0.25">
      <c r="A270" s="540" t="s">
        <v>3925</v>
      </c>
      <c r="B270" s="523" t="s">
        <v>4392</v>
      </c>
      <c r="C270" s="524" t="s">
        <v>2614</v>
      </c>
      <c r="D270" s="553" t="s">
        <v>1859</v>
      </c>
      <c r="E270" s="526" t="s">
        <v>3228</v>
      </c>
      <c r="F270" s="586">
        <v>40186</v>
      </c>
      <c r="G270" s="586">
        <v>40119</v>
      </c>
      <c r="H270" s="544">
        <v>40178</v>
      </c>
      <c r="I270" s="594">
        <v>41453</v>
      </c>
      <c r="J270" s="595">
        <v>10</v>
      </c>
      <c r="K270" s="561">
        <v>5.0000000000000001E-3</v>
      </c>
      <c r="L270" s="553">
        <v>0.06</v>
      </c>
      <c r="M270" s="600">
        <v>4.4999999999999998E-2</v>
      </c>
      <c r="N270" s="601" t="s">
        <v>3229</v>
      </c>
      <c r="O270" s="596">
        <v>0.155</v>
      </c>
      <c r="P270" s="596" t="s">
        <v>3229</v>
      </c>
      <c r="Q270" s="596">
        <v>3.5000000000000003E-2</v>
      </c>
      <c r="R270" s="596" t="s">
        <v>3229</v>
      </c>
      <c r="S270" s="597">
        <v>3</v>
      </c>
      <c r="T270" s="563">
        <v>40544</v>
      </c>
      <c r="U270" s="563">
        <v>40909</v>
      </c>
      <c r="V270" s="563">
        <v>41426</v>
      </c>
      <c r="W270" s="563" t="s">
        <v>3229</v>
      </c>
      <c r="X270" s="563" t="s">
        <v>3229</v>
      </c>
      <c r="Y270" s="563" t="s">
        <v>3229</v>
      </c>
      <c r="Z270" s="563" t="s">
        <v>3229</v>
      </c>
      <c r="AA270" s="563" t="s">
        <v>3229</v>
      </c>
      <c r="AB270" s="563" t="s">
        <v>3229</v>
      </c>
      <c r="AC270" s="563" t="s">
        <v>3229</v>
      </c>
      <c r="AD270" s="563" t="s">
        <v>3229</v>
      </c>
      <c r="AE270" s="563" t="s">
        <v>3229</v>
      </c>
      <c r="AF270" s="3764" t="s">
        <v>781</v>
      </c>
      <c r="AG270" s="3765"/>
      <c r="AH270" s="673" t="s">
        <v>3229</v>
      </c>
      <c r="AI270" s="673" t="s">
        <v>3229</v>
      </c>
      <c r="AJ270" s="673" t="s">
        <v>3229</v>
      </c>
      <c r="AK270" s="673" t="s">
        <v>3229</v>
      </c>
      <c r="AL270" s="673" t="s">
        <v>3229</v>
      </c>
      <c r="AM270" s="590">
        <v>1</v>
      </c>
      <c r="AN270" s="638">
        <v>4.4999999999999998E-2</v>
      </c>
      <c r="AO270" s="625">
        <v>10.45</v>
      </c>
      <c r="AP270" s="1368">
        <v>-6.537849936516614E-2</v>
      </c>
      <c r="AQ270" s="658">
        <v>0.22308753767509931</v>
      </c>
      <c r="AR270" s="558">
        <f>O270</f>
        <v>0.155</v>
      </c>
      <c r="AS270" s="558">
        <f>POWER(1+AR270,1/((I270-F270)/365))-1</f>
        <v>4.2386428582290803E-2</v>
      </c>
      <c r="AT270" s="648">
        <f>J270*(1+AR270)/AO270-1</f>
        <v>0.10526315789473695</v>
      </c>
      <c r="AU270" s="559" t="e">
        <f>POWER(1+AT270,1/AG270)-1</f>
        <v>#DIV/0!</v>
      </c>
      <c r="AV270" s="558">
        <f>M270</f>
        <v>4.4999999999999998E-2</v>
      </c>
      <c r="AW270" s="558">
        <f t="shared" ref="AW270:AW333" si="56">POWER(1+AV270,1/((I270-F270)/365))-1</f>
        <v>1.2761214208931726E-2</v>
      </c>
      <c r="AX270" s="589">
        <f t="shared" ref="AX270:AX333" si="57">J270*(1+AV270)/AO270-1</f>
        <v>0</v>
      </c>
      <c r="AY270" s="587" t="e">
        <f t="shared" ref="AY270:AY333" si="58">POWER(1+AX270,1/AG270)-1</f>
        <v>#DIV/0!</v>
      </c>
      <c r="AZ270" s="676">
        <f>J270*(1+AV270)</f>
        <v>10.45</v>
      </c>
      <c r="BA270" s="644" t="s">
        <v>2585</v>
      </c>
      <c r="BB270" s="570" t="s">
        <v>2025</v>
      </c>
      <c r="BC270" s="637" t="s">
        <v>2895</v>
      </c>
      <c r="BH270" s="3763"/>
      <c r="BI270" s="3763"/>
      <c r="BJ270" s="1639"/>
      <c r="BK270" s="1639"/>
      <c r="BL270" s="1639"/>
      <c r="BM270" s="1639"/>
      <c r="BN270" s="1639"/>
      <c r="BO270" s="1639"/>
      <c r="BP270" s="1639"/>
      <c r="BQ270" s="1639"/>
      <c r="BR270" s="1639"/>
      <c r="BS270" s="509"/>
      <c r="BT270" s="509"/>
      <c r="BU270" s="509"/>
      <c r="BV270" s="509"/>
      <c r="BW270" s="509"/>
      <c r="BX270" s="509"/>
      <c r="BY270" s="509"/>
      <c r="BZ270" s="509"/>
      <c r="CA270" s="509"/>
      <c r="CB270" s="509"/>
      <c r="CC270" s="509"/>
      <c r="CD270" s="509"/>
      <c r="CE270" s="509"/>
      <c r="CF270" s="509"/>
      <c r="CG270" s="509"/>
      <c r="CH270" s="509"/>
      <c r="CI270" s="509"/>
      <c r="CJ270" s="509"/>
      <c r="CK270" s="509"/>
      <c r="CL270" s="509"/>
      <c r="CM270" s="509"/>
      <c r="CN270" s="509"/>
      <c r="CO270" s="509"/>
      <c r="CP270" s="509"/>
      <c r="CQ270" s="509"/>
      <c r="CR270" s="509"/>
      <c r="CS270" s="509"/>
      <c r="CT270" s="509"/>
      <c r="CU270" s="509"/>
      <c r="CV270" s="509"/>
      <c r="CW270" s="509"/>
      <c r="CX270" s="509"/>
      <c r="CY270" s="509"/>
      <c r="CZ270" s="509"/>
      <c r="DA270" s="509"/>
      <c r="DB270" s="509"/>
      <c r="DC270" s="509"/>
      <c r="DD270" s="509"/>
      <c r="DE270" s="509"/>
      <c r="DF270" s="509"/>
      <c r="DG270" s="509"/>
      <c r="DH270" s="509"/>
      <c r="DI270" s="509"/>
      <c r="DJ270" s="509"/>
      <c r="DK270" s="509"/>
      <c r="DL270" s="509"/>
      <c r="DM270" s="509"/>
      <c r="DN270" s="509"/>
      <c r="DO270" s="509"/>
      <c r="DP270" s="509"/>
      <c r="DQ270" s="509"/>
      <c r="DR270" s="509"/>
      <c r="DS270" s="509"/>
      <c r="DT270" s="509"/>
      <c r="DU270" s="509"/>
      <c r="DV270" s="509"/>
      <c r="DW270" s="509"/>
      <c r="DX270" s="509"/>
      <c r="DY270" s="509"/>
      <c r="DZ270" s="509"/>
      <c r="EA270" s="509"/>
      <c r="EB270" s="509"/>
      <c r="EC270" s="509"/>
      <c r="ED270" s="509"/>
      <c r="EE270" s="509"/>
      <c r="EF270" s="509"/>
      <c r="EG270" s="509"/>
      <c r="EH270" s="509"/>
      <c r="EI270" s="509"/>
      <c r="EJ270" s="509"/>
      <c r="EK270" s="509"/>
      <c r="EL270" s="509"/>
      <c r="EM270" s="509"/>
      <c r="EN270" s="509"/>
      <c r="EO270" s="509"/>
      <c r="EP270" s="509"/>
      <c r="EQ270" s="509"/>
      <c r="ER270" s="509"/>
      <c r="ES270" s="509"/>
      <c r="ET270" s="509"/>
      <c r="EU270" s="509"/>
      <c r="EV270" s="509"/>
      <c r="EW270" s="509"/>
      <c r="EX270" s="509"/>
      <c r="EY270" s="509"/>
      <c r="EZ270" s="509"/>
      <c r="FA270" s="509"/>
      <c r="FB270" s="509"/>
      <c r="FC270" s="509"/>
      <c r="FD270" s="509"/>
      <c r="FE270" s="509"/>
      <c r="FF270" s="509"/>
      <c r="FG270" s="509"/>
      <c r="FH270" s="509"/>
      <c r="FI270" s="509"/>
      <c r="FJ270" s="509"/>
      <c r="FK270" s="509"/>
      <c r="FL270" s="509"/>
      <c r="FM270" s="509"/>
      <c r="FN270" s="509"/>
      <c r="FO270" s="509"/>
      <c r="FP270" s="509"/>
      <c r="FQ270" s="509"/>
      <c r="FR270" s="509"/>
      <c r="FS270" s="509"/>
      <c r="FT270" s="509"/>
      <c r="FU270" s="509"/>
      <c r="FV270" s="509"/>
      <c r="FW270" s="509"/>
      <c r="FX270" s="509"/>
      <c r="FY270" s="509"/>
      <c r="FZ270" s="509"/>
      <c r="GA270" s="509"/>
      <c r="GB270" s="509"/>
      <c r="GC270" s="509"/>
      <c r="GD270" s="509"/>
      <c r="GE270" s="509"/>
      <c r="GF270" s="509"/>
      <c r="GG270" s="509"/>
      <c r="GH270" s="509"/>
      <c r="GI270" s="509"/>
      <c r="GJ270" s="509"/>
      <c r="GK270" s="509"/>
      <c r="GL270" s="509"/>
      <c r="GM270" s="509"/>
      <c r="GN270" s="509"/>
      <c r="GO270" s="509"/>
      <c r="GP270" s="509"/>
      <c r="GQ270" s="509"/>
      <c r="GR270" s="509"/>
      <c r="GS270" s="509"/>
      <c r="GT270" s="509"/>
      <c r="GU270" s="509"/>
      <c r="GV270" s="509"/>
      <c r="GW270" s="509"/>
      <c r="GX270" s="509"/>
      <c r="GY270" s="509"/>
      <c r="GZ270" s="509"/>
      <c r="HA270" s="509"/>
      <c r="HB270" s="509"/>
      <c r="HC270" s="509"/>
      <c r="HD270" s="509"/>
      <c r="HE270" s="509"/>
      <c r="HF270" s="509"/>
      <c r="HG270" s="509"/>
      <c r="HH270" s="509"/>
      <c r="HI270" s="509"/>
      <c r="HJ270" s="509"/>
      <c r="HK270" s="509"/>
      <c r="HL270" s="509"/>
      <c r="HM270" s="509"/>
      <c r="HN270" s="509"/>
      <c r="HO270" s="509"/>
      <c r="HP270" s="509"/>
      <c r="HQ270" s="509"/>
      <c r="HR270" s="509"/>
      <c r="HS270" s="509"/>
      <c r="HT270" s="509"/>
      <c r="HU270" s="509"/>
      <c r="HV270" s="509"/>
      <c r="HW270" s="509"/>
      <c r="HX270" s="509"/>
      <c r="HY270" s="509"/>
      <c r="HZ270" s="509"/>
    </row>
    <row r="271" spans="1:234" ht="15.9" hidden="1" customHeight="1" x14ac:dyDescent="0.25">
      <c r="A271" s="541" t="s">
        <v>3936</v>
      </c>
      <c r="B271" s="523" t="s">
        <v>4393</v>
      </c>
      <c r="C271" s="524" t="s">
        <v>1976</v>
      </c>
      <c r="D271" s="553" t="s">
        <v>1859</v>
      </c>
      <c r="E271" s="526" t="s">
        <v>3228</v>
      </c>
      <c r="F271" s="586">
        <v>40154</v>
      </c>
      <c r="G271" s="586">
        <v>40119</v>
      </c>
      <c r="H271" s="544">
        <v>40147</v>
      </c>
      <c r="I271" s="602">
        <v>41638</v>
      </c>
      <c r="J271" s="595">
        <v>10</v>
      </c>
      <c r="K271" s="561" t="s">
        <v>3229</v>
      </c>
      <c r="L271" s="553" t="s">
        <v>3229</v>
      </c>
      <c r="M271" s="600">
        <v>0</v>
      </c>
      <c r="N271" s="601">
        <v>0.8</v>
      </c>
      <c r="O271" s="596" t="s">
        <v>3229</v>
      </c>
      <c r="P271" s="596" t="s">
        <v>3229</v>
      </c>
      <c r="Q271" s="575" t="s">
        <v>3229</v>
      </c>
      <c r="R271" s="575" t="s">
        <v>3229</v>
      </c>
      <c r="S271" s="603"/>
      <c r="T271" s="563" t="s">
        <v>3229</v>
      </c>
      <c r="U271" s="563" t="s">
        <v>3229</v>
      </c>
      <c r="V271" s="563" t="s">
        <v>3229</v>
      </c>
      <c r="W271" s="563" t="s">
        <v>3229</v>
      </c>
      <c r="X271" s="563" t="s">
        <v>3229</v>
      </c>
      <c r="Y271" s="563" t="s">
        <v>3229</v>
      </c>
      <c r="Z271" s="563" t="s">
        <v>3229</v>
      </c>
      <c r="AA271" s="563" t="s">
        <v>3229</v>
      </c>
      <c r="AB271" s="563" t="s">
        <v>3229</v>
      </c>
      <c r="AC271" s="563" t="s">
        <v>3229</v>
      </c>
      <c r="AD271" s="563" t="s">
        <v>3229</v>
      </c>
      <c r="AE271" s="563" t="s">
        <v>3229</v>
      </c>
      <c r="AF271" s="3764" t="s">
        <v>781</v>
      </c>
      <c r="AG271" s="3765"/>
      <c r="AH271" s="673" t="s">
        <v>3229</v>
      </c>
      <c r="AI271" s="673" t="s">
        <v>3229</v>
      </c>
      <c r="AJ271" s="673" t="s">
        <v>3229</v>
      </c>
      <c r="AK271" s="673" t="s">
        <v>3229</v>
      </c>
      <c r="AL271" s="673" t="s">
        <v>3229</v>
      </c>
      <c r="AM271" s="591">
        <v>1</v>
      </c>
      <c r="AN271" s="638">
        <v>8.1771650000000001E-2</v>
      </c>
      <c r="AO271" s="625">
        <v>10.82</v>
      </c>
      <c r="AP271" s="1368">
        <v>0.10221456249999999</v>
      </c>
      <c r="AQ271" s="605">
        <v>0.31884881026382705</v>
      </c>
      <c r="AR271" s="3773" t="s">
        <v>3660</v>
      </c>
      <c r="AS271" s="3774"/>
      <c r="AT271" s="3774"/>
      <c r="AU271" s="3774"/>
      <c r="AV271" s="632">
        <v>0</v>
      </c>
      <c r="AW271" s="558">
        <f t="shared" si="56"/>
        <v>0</v>
      </c>
      <c r="AX271" s="589">
        <f t="shared" si="57"/>
        <v>-7.578558225508325E-2</v>
      </c>
      <c r="AY271" s="648" t="e">
        <f t="shared" si="58"/>
        <v>#DIV/0!</v>
      </c>
      <c r="AZ271" s="676">
        <f>J271*(1+AV271)</f>
        <v>10</v>
      </c>
      <c r="BA271" s="644" t="s">
        <v>574</v>
      </c>
      <c r="BB271" s="570"/>
      <c r="BC271" s="581"/>
      <c r="BH271" s="3763"/>
      <c r="BI271" s="3763"/>
      <c r="BJ271" s="1639"/>
      <c r="BK271" s="1639"/>
      <c r="BL271" s="1639"/>
      <c r="BM271" s="1639"/>
      <c r="BN271" s="1639"/>
      <c r="BO271" s="1639"/>
      <c r="BP271" s="1639"/>
      <c r="BQ271" s="1639"/>
      <c r="BR271" s="1639"/>
      <c r="BS271" s="509"/>
      <c r="BT271" s="509"/>
      <c r="BU271" s="509"/>
      <c r="BV271" s="509"/>
      <c r="BW271" s="509"/>
      <c r="BX271" s="509"/>
      <c r="BY271" s="509"/>
      <c r="BZ271" s="509"/>
      <c r="CA271" s="509"/>
      <c r="CB271" s="509"/>
      <c r="CC271" s="509"/>
      <c r="CD271" s="509"/>
      <c r="CE271" s="509"/>
      <c r="CF271" s="509"/>
      <c r="CG271" s="509"/>
      <c r="CH271" s="509"/>
      <c r="CI271" s="509"/>
      <c r="CJ271" s="509"/>
      <c r="CK271" s="509"/>
      <c r="CL271" s="509"/>
      <c r="CM271" s="509"/>
      <c r="CN271" s="509"/>
      <c r="CO271" s="509"/>
      <c r="CP271" s="509"/>
      <c r="CQ271" s="509"/>
      <c r="CR271" s="509"/>
      <c r="CS271" s="509"/>
      <c r="CT271" s="509"/>
      <c r="CU271" s="509"/>
      <c r="CV271" s="509"/>
      <c r="CW271" s="509"/>
      <c r="CX271" s="509"/>
      <c r="CY271" s="509"/>
      <c r="CZ271" s="509"/>
      <c r="DA271" s="509"/>
      <c r="DB271" s="509"/>
      <c r="DC271" s="509"/>
      <c r="DD271" s="509"/>
      <c r="DE271" s="509"/>
      <c r="DF271" s="509"/>
      <c r="DG271" s="509"/>
      <c r="DH271" s="509"/>
      <c r="DI271" s="509"/>
      <c r="DJ271" s="509"/>
      <c r="DK271" s="509"/>
      <c r="DL271" s="509"/>
      <c r="DM271" s="509"/>
      <c r="DN271" s="509"/>
      <c r="DO271" s="509"/>
      <c r="DP271" s="509"/>
      <c r="DQ271" s="509"/>
      <c r="DR271" s="509"/>
      <c r="DS271" s="509"/>
      <c r="DT271" s="509"/>
      <c r="DU271" s="509"/>
      <c r="DV271" s="509"/>
      <c r="DW271" s="509"/>
      <c r="DX271" s="509"/>
      <c r="DY271" s="509"/>
      <c r="DZ271" s="509"/>
      <c r="EA271" s="509"/>
      <c r="EB271" s="509"/>
      <c r="EC271" s="509"/>
      <c r="ED271" s="509"/>
      <c r="EE271" s="509"/>
      <c r="EF271" s="509"/>
      <c r="EG271" s="509"/>
      <c r="EH271" s="509"/>
      <c r="EI271" s="509"/>
      <c r="EJ271" s="509"/>
      <c r="EK271" s="509"/>
      <c r="EL271" s="509"/>
      <c r="EM271" s="509"/>
      <c r="EN271" s="509"/>
      <c r="EO271" s="509"/>
      <c r="EP271" s="509"/>
      <c r="EQ271" s="509"/>
      <c r="ER271" s="509"/>
      <c r="ES271" s="509"/>
      <c r="ET271" s="509"/>
      <c r="EU271" s="509"/>
      <c r="EV271" s="509"/>
      <c r="EW271" s="509"/>
      <c r="EX271" s="509"/>
      <c r="EY271" s="509"/>
      <c r="EZ271" s="509"/>
      <c r="FA271" s="509"/>
      <c r="FB271" s="509"/>
      <c r="FC271" s="509"/>
      <c r="FD271" s="509"/>
      <c r="FE271" s="509"/>
      <c r="FF271" s="509"/>
      <c r="FG271" s="509"/>
      <c r="FH271" s="509"/>
      <c r="FI271" s="509"/>
      <c r="FJ271" s="509"/>
      <c r="FK271" s="509"/>
      <c r="FL271" s="509"/>
      <c r="FM271" s="509"/>
      <c r="FN271" s="509"/>
      <c r="FO271" s="509"/>
      <c r="FP271" s="509"/>
      <c r="FQ271" s="509"/>
      <c r="FR271" s="509"/>
      <c r="FS271" s="509"/>
      <c r="FT271" s="509"/>
      <c r="FU271" s="509"/>
      <c r="FV271" s="509"/>
      <c r="FW271" s="509"/>
      <c r="FX271" s="509"/>
      <c r="FY271" s="509"/>
      <c r="FZ271" s="509"/>
      <c r="GA271" s="509"/>
      <c r="GB271" s="509"/>
      <c r="GC271" s="509"/>
      <c r="GD271" s="509"/>
      <c r="GE271" s="509"/>
      <c r="GF271" s="509"/>
      <c r="GG271" s="509"/>
      <c r="GH271" s="509"/>
      <c r="GI271" s="509"/>
      <c r="GJ271" s="509"/>
      <c r="GK271" s="509"/>
      <c r="GL271" s="509"/>
      <c r="GM271" s="509"/>
      <c r="GN271" s="509"/>
      <c r="GO271" s="509"/>
      <c r="GP271" s="509"/>
      <c r="GQ271" s="509"/>
      <c r="GR271" s="509"/>
      <c r="GS271" s="509"/>
      <c r="GT271" s="509"/>
      <c r="GU271" s="509"/>
      <c r="GV271" s="509"/>
      <c r="GW271" s="509"/>
      <c r="GX271" s="509"/>
      <c r="GY271" s="509"/>
      <c r="GZ271" s="509"/>
      <c r="HA271" s="509"/>
      <c r="HB271" s="509"/>
      <c r="HC271" s="509"/>
      <c r="HD271" s="509"/>
      <c r="HE271" s="509"/>
      <c r="HF271" s="509"/>
      <c r="HG271" s="509"/>
      <c r="HH271" s="509"/>
      <c r="HI271" s="509"/>
      <c r="HJ271" s="509"/>
      <c r="HK271" s="509"/>
      <c r="HL271" s="509"/>
      <c r="HM271" s="509"/>
      <c r="HN271" s="509"/>
      <c r="HO271" s="509"/>
      <c r="HP271" s="509"/>
      <c r="HQ271" s="509"/>
      <c r="HR271" s="509"/>
      <c r="HS271" s="509"/>
      <c r="HT271" s="509"/>
      <c r="HU271" s="509"/>
      <c r="HV271" s="509"/>
      <c r="HW271" s="509"/>
      <c r="HX271" s="509"/>
      <c r="HY271" s="509"/>
      <c r="HZ271" s="509"/>
    </row>
    <row r="272" spans="1:234" ht="15.9" hidden="1" customHeight="1" x14ac:dyDescent="0.25">
      <c r="A272" s="541" t="s">
        <v>4213</v>
      </c>
      <c r="B272" s="523" t="s">
        <v>1997</v>
      </c>
      <c r="C272" s="524" t="s">
        <v>3340</v>
      </c>
      <c r="D272" s="553" t="s">
        <v>4215</v>
      </c>
      <c r="E272" s="526" t="s">
        <v>3228</v>
      </c>
      <c r="F272" s="586">
        <v>40170</v>
      </c>
      <c r="G272" s="586">
        <v>40119</v>
      </c>
      <c r="H272" s="544">
        <v>40163</v>
      </c>
      <c r="I272" s="602">
        <v>42026</v>
      </c>
      <c r="J272" s="595">
        <v>100</v>
      </c>
      <c r="K272" s="561" t="s">
        <v>3229</v>
      </c>
      <c r="L272" s="553" t="s">
        <v>3229</v>
      </c>
      <c r="M272" s="600">
        <v>0.18</v>
      </c>
      <c r="N272" s="601" t="s">
        <v>3229</v>
      </c>
      <c r="O272" s="596">
        <v>0.18</v>
      </c>
      <c r="P272" s="596" t="s">
        <v>3229</v>
      </c>
      <c r="Q272" s="575" t="s">
        <v>3229</v>
      </c>
      <c r="R272" s="575" t="s">
        <v>3229</v>
      </c>
      <c r="S272" s="603"/>
      <c r="T272" s="563" t="s">
        <v>3229</v>
      </c>
      <c r="U272" s="563" t="s">
        <v>3229</v>
      </c>
      <c r="V272" s="563" t="s">
        <v>3229</v>
      </c>
      <c r="W272" s="563" t="s">
        <v>3229</v>
      </c>
      <c r="X272" s="563" t="s">
        <v>3229</v>
      </c>
      <c r="Y272" s="563" t="s">
        <v>3229</v>
      </c>
      <c r="Z272" s="563" t="s">
        <v>3229</v>
      </c>
      <c r="AA272" s="563" t="s">
        <v>3229</v>
      </c>
      <c r="AB272" s="563" t="s">
        <v>3229</v>
      </c>
      <c r="AC272" s="563" t="s">
        <v>3229</v>
      </c>
      <c r="AD272" s="563" t="s">
        <v>3229</v>
      </c>
      <c r="AE272" s="563" t="s">
        <v>3229</v>
      </c>
      <c r="AF272" s="3764" t="s">
        <v>781</v>
      </c>
      <c r="AG272" s="3765"/>
      <c r="AH272" s="673" t="s">
        <v>3229</v>
      </c>
      <c r="AI272" s="673" t="s">
        <v>3229</v>
      </c>
      <c r="AJ272" s="673" t="s">
        <v>3229</v>
      </c>
      <c r="AK272" s="673" t="s">
        <v>3229</v>
      </c>
      <c r="AL272" s="673" t="s">
        <v>3229</v>
      </c>
      <c r="AM272" s="591">
        <v>1</v>
      </c>
      <c r="AN272" s="638" t="s">
        <v>3229</v>
      </c>
      <c r="AO272" s="625">
        <v>119.34</v>
      </c>
      <c r="AP272" s="1368" t="s">
        <v>3229</v>
      </c>
      <c r="AQ272" s="605" t="s">
        <v>3229</v>
      </c>
      <c r="AR272" s="3773">
        <v>0.18</v>
      </c>
      <c r="AS272" s="3774">
        <v>3.308552945602905E-2</v>
      </c>
      <c r="AT272" s="3774">
        <v>-1.1228422993128873E-2</v>
      </c>
      <c r="AU272" s="3774">
        <v>1.6556104891241485E-2</v>
      </c>
      <c r="AV272" s="632">
        <v>0.18</v>
      </c>
      <c r="AW272" s="558">
        <v>3.308552945602905E-2</v>
      </c>
      <c r="AX272" s="589">
        <v>-1.1228422993128873E-2</v>
      </c>
      <c r="AY272" s="648">
        <v>1.6556104891241485E-2</v>
      </c>
      <c r="AZ272" s="676">
        <v>118</v>
      </c>
      <c r="BA272" s="644" t="s">
        <v>4484</v>
      </c>
      <c r="BB272" s="570"/>
      <c r="BC272" s="581"/>
      <c r="BH272" s="3763"/>
      <c r="BI272" s="3763"/>
      <c r="BJ272" s="1639"/>
      <c r="BK272" s="1639"/>
      <c r="BL272" s="1639"/>
      <c r="BM272" s="1639"/>
      <c r="BN272" s="1639"/>
      <c r="BO272" s="1639"/>
      <c r="BP272" s="1639"/>
      <c r="BQ272" s="1639"/>
      <c r="BR272" s="1639"/>
      <c r="BS272" s="509"/>
      <c r="BT272" s="509"/>
      <c r="BU272" s="509"/>
      <c r="BV272" s="509"/>
      <c r="BW272" s="509"/>
      <c r="BX272" s="509"/>
      <c r="BY272" s="509"/>
      <c r="BZ272" s="509"/>
      <c r="CA272" s="509"/>
      <c r="CB272" s="509"/>
      <c r="CC272" s="509"/>
      <c r="CD272" s="509"/>
      <c r="CE272" s="509"/>
      <c r="CF272" s="509"/>
      <c r="CG272" s="509"/>
      <c r="CH272" s="509"/>
      <c r="CI272" s="509"/>
      <c r="CJ272" s="509"/>
      <c r="CK272" s="509"/>
      <c r="CL272" s="509"/>
      <c r="CM272" s="509"/>
      <c r="CN272" s="509"/>
      <c r="CO272" s="509"/>
      <c r="CP272" s="509"/>
      <c r="CQ272" s="509"/>
      <c r="CR272" s="509"/>
      <c r="CS272" s="509"/>
      <c r="CT272" s="509"/>
      <c r="CU272" s="509"/>
      <c r="CV272" s="509"/>
      <c r="CW272" s="509"/>
      <c r="CX272" s="509"/>
      <c r="CY272" s="509"/>
      <c r="CZ272" s="509"/>
      <c r="DA272" s="509"/>
      <c r="DB272" s="509"/>
      <c r="DC272" s="509"/>
      <c r="DD272" s="509"/>
      <c r="DE272" s="509"/>
      <c r="DF272" s="509"/>
      <c r="DG272" s="509"/>
      <c r="DH272" s="509"/>
      <c r="DI272" s="509"/>
      <c r="DJ272" s="509"/>
      <c r="DK272" s="509"/>
      <c r="DL272" s="509"/>
      <c r="DM272" s="509"/>
      <c r="DN272" s="509"/>
      <c r="DO272" s="509"/>
      <c r="DP272" s="509"/>
      <c r="DQ272" s="509"/>
      <c r="DR272" s="509"/>
      <c r="DS272" s="509"/>
      <c r="DT272" s="509"/>
      <c r="DU272" s="509"/>
      <c r="DV272" s="509"/>
      <c r="DW272" s="509"/>
      <c r="DX272" s="509"/>
      <c r="DY272" s="509"/>
      <c r="DZ272" s="509"/>
      <c r="EA272" s="509"/>
      <c r="EB272" s="509"/>
      <c r="EC272" s="509"/>
      <c r="ED272" s="509"/>
      <c r="EE272" s="509"/>
      <c r="EF272" s="509"/>
      <c r="EG272" s="509"/>
      <c r="EH272" s="509"/>
      <c r="EI272" s="509"/>
      <c r="EJ272" s="509"/>
      <c r="EK272" s="509"/>
      <c r="EL272" s="509"/>
      <c r="EM272" s="509"/>
      <c r="EN272" s="509"/>
      <c r="EO272" s="509"/>
      <c r="EP272" s="509"/>
      <c r="EQ272" s="509"/>
      <c r="ER272" s="509"/>
      <c r="ES272" s="509"/>
      <c r="ET272" s="509"/>
      <c r="EU272" s="509"/>
      <c r="EV272" s="509"/>
      <c r="EW272" s="509"/>
      <c r="EX272" s="509"/>
      <c r="EY272" s="509"/>
      <c r="EZ272" s="509"/>
      <c r="FA272" s="509"/>
      <c r="FB272" s="509"/>
      <c r="FC272" s="509"/>
      <c r="FD272" s="509"/>
      <c r="FE272" s="509"/>
      <c r="FF272" s="509"/>
      <c r="FG272" s="509"/>
      <c r="FH272" s="509"/>
      <c r="FI272" s="509"/>
      <c r="FJ272" s="509"/>
      <c r="FK272" s="509"/>
      <c r="FL272" s="509"/>
      <c r="FM272" s="509"/>
      <c r="FN272" s="509"/>
      <c r="FO272" s="509"/>
      <c r="FP272" s="509"/>
      <c r="FQ272" s="509"/>
      <c r="FR272" s="509"/>
      <c r="FS272" s="509"/>
      <c r="FT272" s="509"/>
      <c r="FU272" s="509"/>
      <c r="FV272" s="509"/>
      <c r="FW272" s="509"/>
      <c r="FX272" s="509"/>
      <c r="FY272" s="509"/>
      <c r="FZ272" s="509"/>
      <c r="GA272" s="509"/>
      <c r="GB272" s="509"/>
      <c r="GC272" s="509"/>
      <c r="GD272" s="509"/>
      <c r="GE272" s="509"/>
      <c r="GF272" s="509"/>
      <c r="GG272" s="509"/>
      <c r="GH272" s="509"/>
      <c r="GI272" s="509"/>
      <c r="GJ272" s="509"/>
      <c r="GK272" s="509"/>
      <c r="GL272" s="509"/>
      <c r="GM272" s="509"/>
      <c r="GN272" s="509"/>
      <c r="GO272" s="509"/>
      <c r="GP272" s="509"/>
      <c r="GQ272" s="509"/>
      <c r="GR272" s="509"/>
      <c r="GS272" s="509"/>
      <c r="GT272" s="509"/>
      <c r="GU272" s="509"/>
      <c r="GV272" s="509"/>
      <c r="GW272" s="509"/>
      <c r="GX272" s="509"/>
      <c r="GY272" s="509"/>
      <c r="GZ272" s="509"/>
      <c r="HA272" s="509"/>
      <c r="HB272" s="509"/>
      <c r="HC272" s="509"/>
      <c r="HD272" s="509"/>
      <c r="HE272" s="509"/>
      <c r="HF272" s="509"/>
      <c r="HG272" s="509"/>
      <c r="HH272" s="509"/>
      <c r="HI272" s="509"/>
      <c r="HJ272" s="509"/>
      <c r="HK272" s="509"/>
      <c r="HL272" s="509"/>
      <c r="HM272" s="509"/>
      <c r="HN272" s="509"/>
      <c r="HO272" s="509"/>
      <c r="HP272" s="509"/>
      <c r="HQ272" s="509"/>
      <c r="HR272" s="509"/>
      <c r="HS272" s="509"/>
      <c r="HT272" s="509"/>
      <c r="HU272" s="509"/>
      <c r="HV272" s="509"/>
      <c r="HW272" s="509"/>
      <c r="HX272" s="509"/>
      <c r="HY272" s="509"/>
      <c r="HZ272" s="509"/>
    </row>
    <row r="273" spans="1:234" ht="15.9" hidden="1" customHeight="1" x14ac:dyDescent="0.25">
      <c r="A273" s="541" t="s">
        <v>4214</v>
      </c>
      <c r="B273" s="523" t="s">
        <v>1998</v>
      </c>
      <c r="C273" s="524" t="s">
        <v>1977</v>
      </c>
      <c r="D273" s="553" t="s">
        <v>189</v>
      </c>
      <c r="E273" s="524" t="s">
        <v>905</v>
      </c>
      <c r="F273" s="544">
        <v>40154</v>
      </c>
      <c r="G273" s="586">
        <v>40119</v>
      </c>
      <c r="H273" s="557">
        <v>40147</v>
      </c>
      <c r="I273" s="604">
        <v>41820</v>
      </c>
      <c r="J273" s="579">
        <v>10</v>
      </c>
      <c r="K273" s="561">
        <v>-0.03</v>
      </c>
      <c r="L273" s="553">
        <v>5.5E-2</v>
      </c>
      <c r="M273" s="600">
        <v>0</v>
      </c>
      <c r="N273" s="601" t="s">
        <v>3229</v>
      </c>
      <c r="O273" s="596">
        <v>0.22</v>
      </c>
      <c r="P273" s="596" t="s">
        <v>3229</v>
      </c>
      <c r="Q273" s="596" t="s">
        <v>3229</v>
      </c>
      <c r="R273" s="596" t="s">
        <v>3229</v>
      </c>
      <c r="S273" s="597">
        <v>4</v>
      </c>
      <c r="T273" s="563">
        <v>40513</v>
      </c>
      <c r="U273" s="563" t="s">
        <v>6676</v>
      </c>
      <c r="V273" s="563" t="s">
        <v>6677</v>
      </c>
      <c r="W273" s="563" t="s">
        <v>6678</v>
      </c>
      <c r="X273" s="563" t="s">
        <v>3229</v>
      </c>
      <c r="Y273" s="563" t="s">
        <v>3229</v>
      </c>
      <c r="Z273" s="563" t="s">
        <v>3229</v>
      </c>
      <c r="AA273" s="563" t="s">
        <v>3229</v>
      </c>
      <c r="AB273" s="563" t="s">
        <v>3229</v>
      </c>
      <c r="AC273" s="563" t="s">
        <v>3229</v>
      </c>
      <c r="AD273" s="563" t="s">
        <v>3229</v>
      </c>
      <c r="AE273" s="563" t="s">
        <v>3229</v>
      </c>
      <c r="AF273" s="3764" t="s">
        <v>781</v>
      </c>
      <c r="AG273" s="3765"/>
      <c r="AH273" s="673">
        <v>0.9</v>
      </c>
      <c r="AI273" s="673">
        <v>0.1</v>
      </c>
      <c r="AJ273" s="673" t="s">
        <v>3229</v>
      </c>
      <c r="AK273" s="673" t="s">
        <v>3229</v>
      </c>
      <c r="AL273" s="673" t="s">
        <v>3229</v>
      </c>
      <c r="AM273" s="591" t="s">
        <v>3229</v>
      </c>
      <c r="AN273" s="638">
        <v>7.0500000000000007E-2</v>
      </c>
      <c r="AO273" s="625">
        <v>10.71</v>
      </c>
      <c r="AP273" s="1368" t="s">
        <v>3229</v>
      </c>
      <c r="AQ273" s="675">
        <v>0.2014369390480002</v>
      </c>
      <c r="AR273" s="3773">
        <v>7.0500000000000007E-2</v>
      </c>
      <c r="AS273" s="3774">
        <v>1.5037468684118815E-2</v>
      </c>
      <c r="AT273" s="3774">
        <v>1.4691943127961959E-2</v>
      </c>
      <c r="AU273" s="3774">
        <v>0.46265518699484409</v>
      </c>
      <c r="AV273" s="632">
        <v>7.0500000000000007E-2</v>
      </c>
      <c r="AW273" s="558">
        <v>1.5037468684118815E-2</v>
      </c>
      <c r="AX273" s="589">
        <v>1.4691943127961959E-2</v>
      </c>
      <c r="AY273" s="648">
        <v>0.46265518699484409</v>
      </c>
      <c r="AZ273" s="676">
        <v>10.705</v>
      </c>
      <c r="BA273" s="644" t="s">
        <v>467</v>
      </c>
      <c r="BB273" s="536" t="s">
        <v>2025</v>
      </c>
      <c r="BC273" s="581" t="s">
        <v>2895</v>
      </c>
      <c r="BH273" s="3763"/>
      <c r="BI273" s="3763"/>
      <c r="BJ273" s="1639"/>
      <c r="BK273" s="1639"/>
      <c r="BL273" s="1639"/>
      <c r="BM273" s="1639"/>
      <c r="BN273" s="1639"/>
      <c r="BO273" s="1639"/>
      <c r="BP273" s="1639"/>
      <c r="BQ273" s="1639"/>
      <c r="BR273" s="1639"/>
      <c r="BS273" s="509"/>
      <c r="BT273" s="509"/>
      <c r="BU273" s="509"/>
      <c r="BV273" s="509"/>
      <c r="BW273" s="509"/>
      <c r="BX273" s="509"/>
      <c r="BY273" s="509"/>
      <c r="BZ273" s="509"/>
      <c r="CA273" s="509"/>
      <c r="CB273" s="509"/>
      <c r="CC273" s="509"/>
      <c r="CD273" s="509"/>
      <c r="CE273" s="509"/>
      <c r="CF273" s="509"/>
      <c r="CG273" s="509"/>
      <c r="CH273" s="509"/>
      <c r="CI273" s="509"/>
      <c r="CJ273" s="509"/>
      <c r="CK273" s="509"/>
      <c r="CL273" s="509"/>
      <c r="CM273" s="509"/>
      <c r="CN273" s="509"/>
      <c r="CO273" s="509"/>
      <c r="CP273" s="509"/>
      <c r="CQ273" s="509"/>
      <c r="CR273" s="509"/>
      <c r="CS273" s="509"/>
      <c r="CT273" s="509"/>
      <c r="CU273" s="509"/>
      <c r="CV273" s="509"/>
      <c r="CW273" s="509"/>
      <c r="CX273" s="509"/>
      <c r="CY273" s="509"/>
      <c r="CZ273" s="509"/>
      <c r="DA273" s="509"/>
      <c r="DB273" s="509"/>
      <c r="DC273" s="509"/>
      <c r="DD273" s="509"/>
      <c r="DE273" s="509"/>
      <c r="DF273" s="509"/>
      <c r="DG273" s="509"/>
      <c r="DH273" s="509"/>
      <c r="DI273" s="509"/>
      <c r="DJ273" s="509"/>
      <c r="DK273" s="509"/>
      <c r="DL273" s="509"/>
      <c r="DM273" s="509"/>
      <c r="DN273" s="509"/>
      <c r="DO273" s="509"/>
      <c r="DP273" s="509"/>
      <c r="DQ273" s="509"/>
      <c r="DR273" s="509"/>
      <c r="DS273" s="509"/>
      <c r="DT273" s="509"/>
      <c r="DU273" s="509"/>
      <c r="DV273" s="509"/>
      <c r="DW273" s="509"/>
      <c r="DX273" s="509"/>
      <c r="DY273" s="509"/>
      <c r="DZ273" s="509"/>
      <c r="EA273" s="509"/>
      <c r="EB273" s="509"/>
      <c r="EC273" s="509"/>
      <c r="ED273" s="509"/>
      <c r="EE273" s="509"/>
      <c r="EF273" s="509"/>
      <c r="EG273" s="509"/>
      <c r="EH273" s="509"/>
      <c r="EI273" s="509"/>
      <c r="EJ273" s="509"/>
      <c r="EK273" s="509"/>
      <c r="EL273" s="509"/>
      <c r="EM273" s="509"/>
      <c r="EN273" s="509"/>
      <c r="EO273" s="509"/>
      <c r="EP273" s="509"/>
      <c r="EQ273" s="509"/>
      <c r="ER273" s="509"/>
      <c r="ES273" s="509"/>
      <c r="ET273" s="509"/>
      <c r="EU273" s="509"/>
      <c r="EV273" s="509"/>
      <c r="EW273" s="509"/>
      <c r="EX273" s="509"/>
      <c r="EY273" s="509"/>
      <c r="EZ273" s="509"/>
      <c r="FA273" s="509"/>
      <c r="FB273" s="509"/>
      <c r="FC273" s="509"/>
      <c r="FD273" s="509"/>
      <c r="FE273" s="509"/>
      <c r="FF273" s="509"/>
      <c r="FG273" s="509"/>
      <c r="FH273" s="509"/>
      <c r="FI273" s="509"/>
      <c r="FJ273" s="509"/>
      <c r="FK273" s="509"/>
      <c r="FL273" s="509"/>
      <c r="FM273" s="509"/>
      <c r="FN273" s="509"/>
      <c r="FO273" s="509"/>
      <c r="FP273" s="509"/>
      <c r="FQ273" s="509"/>
      <c r="FR273" s="509"/>
      <c r="FS273" s="509"/>
      <c r="FT273" s="509"/>
      <c r="FU273" s="509"/>
      <c r="FV273" s="509"/>
      <c r="FW273" s="509"/>
      <c r="FX273" s="509"/>
      <c r="FY273" s="509"/>
      <c r="FZ273" s="509"/>
      <c r="GA273" s="509"/>
      <c r="GB273" s="509"/>
      <c r="GC273" s="509"/>
      <c r="GD273" s="509"/>
      <c r="GE273" s="509"/>
      <c r="GF273" s="509"/>
      <c r="GG273" s="509"/>
      <c r="GH273" s="509"/>
      <c r="GI273" s="509"/>
      <c r="GJ273" s="509"/>
      <c r="GK273" s="509"/>
      <c r="GL273" s="509"/>
      <c r="GM273" s="509"/>
      <c r="GN273" s="509"/>
      <c r="GO273" s="509"/>
      <c r="GP273" s="509"/>
      <c r="GQ273" s="509"/>
      <c r="GR273" s="509"/>
      <c r="GS273" s="509"/>
      <c r="GT273" s="509"/>
      <c r="GU273" s="509"/>
      <c r="GV273" s="509"/>
      <c r="GW273" s="509"/>
      <c r="GX273" s="509"/>
      <c r="GY273" s="509"/>
      <c r="GZ273" s="509"/>
      <c r="HA273" s="509"/>
      <c r="HB273" s="509"/>
      <c r="HC273" s="509"/>
      <c r="HD273" s="509"/>
      <c r="HE273" s="509"/>
      <c r="HF273" s="509"/>
      <c r="HG273" s="509"/>
      <c r="HH273" s="509"/>
      <c r="HI273" s="509"/>
      <c r="HJ273" s="509"/>
      <c r="HK273" s="509"/>
      <c r="HL273" s="509"/>
      <c r="HM273" s="509"/>
      <c r="HN273" s="509"/>
      <c r="HO273" s="509"/>
      <c r="HP273" s="509"/>
      <c r="HQ273" s="509"/>
      <c r="HR273" s="509"/>
      <c r="HS273" s="509"/>
      <c r="HT273" s="509"/>
      <c r="HU273" s="509"/>
      <c r="HV273" s="509"/>
      <c r="HW273" s="509"/>
      <c r="HX273" s="509"/>
      <c r="HY273" s="509"/>
      <c r="HZ273" s="509"/>
    </row>
    <row r="274" spans="1:234" ht="15.9" hidden="1" customHeight="1" x14ac:dyDescent="0.25">
      <c r="A274" s="541" t="s">
        <v>2944</v>
      </c>
      <c r="B274" s="523" t="s">
        <v>3027</v>
      </c>
      <c r="C274" s="524" t="s">
        <v>2943</v>
      </c>
      <c r="D274" s="553" t="s">
        <v>2945</v>
      </c>
      <c r="E274" s="526" t="s">
        <v>3228</v>
      </c>
      <c r="F274" s="586">
        <v>40205</v>
      </c>
      <c r="G274" s="586">
        <v>40148</v>
      </c>
      <c r="H274" s="544">
        <v>40193</v>
      </c>
      <c r="I274" s="602">
        <v>42061</v>
      </c>
      <c r="J274" s="595">
        <v>100</v>
      </c>
      <c r="K274" s="561" t="s">
        <v>3229</v>
      </c>
      <c r="L274" s="553" t="s">
        <v>3229</v>
      </c>
      <c r="M274" s="600">
        <v>0.16800000000000001</v>
      </c>
      <c r="N274" s="601" t="s">
        <v>3229</v>
      </c>
      <c r="O274" s="596">
        <v>0.16800000000000001</v>
      </c>
      <c r="P274" s="596" t="s">
        <v>3229</v>
      </c>
      <c r="Q274" s="575" t="s">
        <v>3229</v>
      </c>
      <c r="R274" s="575" t="s">
        <v>3229</v>
      </c>
      <c r="S274" s="603"/>
      <c r="T274" s="563" t="s">
        <v>3229</v>
      </c>
      <c r="U274" s="563" t="s">
        <v>3229</v>
      </c>
      <c r="V274" s="563" t="s">
        <v>3229</v>
      </c>
      <c r="W274" s="563" t="s">
        <v>3229</v>
      </c>
      <c r="X274" s="563" t="s">
        <v>3229</v>
      </c>
      <c r="Y274" s="563" t="s">
        <v>3229</v>
      </c>
      <c r="Z274" s="563" t="s">
        <v>3229</v>
      </c>
      <c r="AA274" s="563" t="s">
        <v>3229</v>
      </c>
      <c r="AB274" s="563" t="s">
        <v>3229</v>
      </c>
      <c r="AC274" s="563" t="s">
        <v>3229</v>
      </c>
      <c r="AD274" s="563" t="s">
        <v>3229</v>
      </c>
      <c r="AE274" s="563" t="s">
        <v>3229</v>
      </c>
      <c r="AF274" s="3764" t="s">
        <v>781</v>
      </c>
      <c r="AG274" s="3765"/>
      <c r="AH274" s="673" t="s">
        <v>3229</v>
      </c>
      <c r="AI274" s="673" t="s">
        <v>3229</v>
      </c>
      <c r="AJ274" s="673" t="s">
        <v>3229</v>
      </c>
      <c r="AK274" s="673" t="s">
        <v>3229</v>
      </c>
      <c r="AL274" s="673" t="s">
        <v>3229</v>
      </c>
      <c r="AM274" s="591">
        <v>1</v>
      </c>
      <c r="AN274" s="638" t="s">
        <v>3229</v>
      </c>
      <c r="AO274" s="625">
        <v>118.33</v>
      </c>
      <c r="AP274" s="1368" t="s">
        <v>3229</v>
      </c>
      <c r="AQ274" s="605" t="s">
        <v>3229</v>
      </c>
      <c r="AR274" s="3773">
        <v>0.16800000000000001</v>
      </c>
      <c r="AS274" s="3774">
        <v>3.1010942358574711E-2</v>
      </c>
      <c r="AT274" s="3774">
        <v>-1.2929941688498259E-2</v>
      </c>
      <c r="AU274" s="3774">
        <v>2.2235290728757073E-2</v>
      </c>
      <c r="AV274" s="632">
        <v>0.16800000000000001</v>
      </c>
      <c r="AW274" s="558">
        <v>3.1010942358574711E-2</v>
      </c>
      <c r="AX274" s="589">
        <v>-1.2929941688498259E-2</v>
      </c>
      <c r="AY274" s="648">
        <v>2.2235290728757073E-2</v>
      </c>
      <c r="AZ274" s="676">
        <v>116.8</v>
      </c>
      <c r="BA274" s="644" t="s">
        <v>4484</v>
      </c>
      <c r="BB274" s="570"/>
      <c r="BC274" s="581"/>
      <c r="BH274" s="3763"/>
      <c r="BI274" s="3763"/>
      <c r="BJ274" s="1639"/>
      <c r="BK274" s="1639"/>
      <c r="BL274" s="1639"/>
      <c r="BM274" s="1639"/>
      <c r="BN274" s="1639"/>
      <c r="BO274" s="1639"/>
      <c r="BP274" s="1639"/>
      <c r="BQ274" s="1639"/>
      <c r="BR274" s="1639"/>
      <c r="BS274" s="509"/>
      <c r="BT274" s="509"/>
      <c r="BU274" s="509"/>
      <c r="BV274" s="509"/>
      <c r="BW274" s="509"/>
      <c r="BX274" s="509"/>
      <c r="BY274" s="509"/>
      <c r="BZ274" s="509"/>
      <c r="CA274" s="509"/>
      <c r="CB274" s="509"/>
      <c r="CC274" s="509"/>
      <c r="CD274" s="509"/>
      <c r="CE274" s="509"/>
      <c r="CF274" s="509"/>
      <c r="CG274" s="509"/>
      <c r="CH274" s="509"/>
      <c r="CI274" s="509"/>
      <c r="CJ274" s="509"/>
      <c r="CK274" s="509"/>
      <c r="CL274" s="509"/>
      <c r="CM274" s="509"/>
      <c r="CN274" s="509"/>
      <c r="CO274" s="509"/>
      <c r="CP274" s="509"/>
      <c r="CQ274" s="509"/>
      <c r="CR274" s="509"/>
      <c r="CS274" s="509"/>
      <c r="CT274" s="509"/>
      <c r="CU274" s="509"/>
      <c r="CV274" s="509"/>
      <c r="CW274" s="509"/>
      <c r="CX274" s="509"/>
      <c r="CY274" s="509"/>
      <c r="CZ274" s="509"/>
      <c r="DA274" s="509"/>
      <c r="DB274" s="509"/>
      <c r="DC274" s="509"/>
      <c r="DD274" s="509"/>
      <c r="DE274" s="509"/>
      <c r="DF274" s="509"/>
      <c r="DG274" s="509"/>
      <c r="DH274" s="509"/>
      <c r="DI274" s="509"/>
      <c r="DJ274" s="509"/>
      <c r="DK274" s="509"/>
      <c r="DL274" s="509"/>
      <c r="DM274" s="509"/>
      <c r="DN274" s="509"/>
      <c r="DO274" s="509"/>
      <c r="DP274" s="509"/>
      <c r="DQ274" s="509"/>
      <c r="DR274" s="509"/>
      <c r="DS274" s="509"/>
      <c r="DT274" s="509"/>
      <c r="DU274" s="509"/>
      <c r="DV274" s="509"/>
      <c r="DW274" s="509"/>
      <c r="DX274" s="509"/>
      <c r="DY274" s="509"/>
      <c r="DZ274" s="509"/>
      <c r="EA274" s="509"/>
      <c r="EB274" s="509"/>
      <c r="EC274" s="509"/>
      <c r="ED274" s="509"/>
      <c r="EE274" s="509"/>
      <c r="EF274" s="509"/>
      <c r="EG274" s="509"/>
      <c r="EH274" s="509"/>
      <c r="EI274" s="509"/>
      <c r="EJ274" s="509"/>
      <c r="EK274" s="509"/>
      <c r="EL274" s="509"/>
      <c r="EM274" s="509"/>
      <c r="EN274" s="509"/>
      <c r="EO274" s="509"/>
      <c r="EP274" s="509"/>
      <c r="EQ274" s="509"/>
      <c r="ER274" s="509"/>
      <c r="ES274" s="509"/>
      <c r="ET274" s="509"/>
      <c r="EU274" s="509"/>
      <c r="EV274" s="509"/>
      <c r="EW274" s="509"/>
      <c r="EX274" s="509"/>
      <c r="EY274" s="509"/>
      <c r="EZ274" s="509"/>
      <c r="FA274" s="509"/>
      <c r="FB274" s="509"/>
      <c r="FC274" s="509"/>
      <c r="FD274" s="509"/>
      <c r="FE274" s="509"/>
      <c r="FF274" s="509"/>
      <c r="FG274" s="509"/>
      <c r="FH274" s="509"/>
      <c r="FI274" s="509"/>
      <c r="FJ274" s="509"/>
      <c r="FK274" s="509"/>
      <c r="FL274" s="509"/>
      <c r="FM274" s="509"/>
      <c r="FN274" s="509"/>
      <c r="FO274" s="509"/>
      <c r="FP274" s="509"/>
      <c r="FQ274" s="509"/>
      <c r="FR274" s="509"/>
      <c r="FS274" s="509"/>
      <c r="FT274" s="509"/>
      <c r="FU274" s="509"/>
      <c r="FV274" s="509"/>
      <c r="FW274" s="509"/>
      <c r="FX274" s="509"/>
      <c r="FY274" s="509"/>
      <c r="FZ274" s="509"/>
      <c r="GA274" s="509"/>
      <c r="GB274" s="509"/>
      <c r="GC274" s="509"/>
      <c r="GD274" s="509"/>
      <c r="GE274" s="509"/>
      <c r="GF274" s="509"/>
      <c r="GG274" s="509"/>
      <c r="GH274" s="509"/>
      <c r="GI274" s="509"/>
      <c r="GJ274" s="509"/>
      <c r="GK274" s="509"/>
      <c r="GL274" s="509"/>
      <c r="GM274" s="509"/>
      <c r="GN274" s="509"/>
      <c r="GO274" s="509"/>
      <c r="GP274" s="509"/>
      <c r="GQ274" s="509"/>
      <c r="GR274" s="509"/>
      <c r="GS274" s="509"/>
      <c r="GT274" s="509"/>
      <c r="GU274" s="509"/>
      <c r="GV274" s="509"/>
      <c r="GW274" s="509"/>
      <c r="GX274" s="509"/>
      <c r="GY274" s="509"/>
      <c r="GZ274" s="509"/>
      <c r="HA274" s="509"/>
      <c r="HB274" s="509"/>
      <c r="HC274" s="509"/>
      <c r="HD274" s="509"/>
      <c r="HE274" s="509"/>
      <c r="HF274" s="509"/>
      <c r="HG274" s="509"/>
      <c r="HH274" s="509"/>
      <c r="HI274" s="509"/>
      <c r="HJ274" s="509"/>
      <c r="HK274" s="509"/>
      <c r="HL274" s="509"/>
      <c r="HM274" s="509"/>
      <c r="HN274" s="509"/>
      <c r="HO274" s="509"/>
      <c r="HP274" s="509"/>
      <c r="HQ274" s="509"/>
      <c r="HR274" s="509"/>
      <c r="HS274" s="509"/>
      <c r="HT274" s="509"/>
      <c r="HU274" s="509"/>
      <c r="HV274" s="509"/>
      <c r="HW274" s="509"/>
      <c r="HX274" s="509"/>
      <c r="HY274" s="509"/>
      <c r="HZ274" s="509"/>
    </row>
    <row r="275" spans="1:234" ht="15.9" hidden="1" customHeight="1" x14ac:dyDescent="0.25">
      <c r="A275" s="541" t="s">
        <v>1171</v>
      </c>
      <c r="B275" s="523" t="s">
        <v>3028</v>
      </c>
      <c r="C275" s="524" t="s">
        <v>1170</v>
      </c>
      <c r="D275" s="553" t="s">
        <v>2159</v>
      </c>
      <c r="E275" s="526" t="s">
        <v>3228</v>
      </c>
      <c r="F275" s="586">
        <v>40214</v>
      </c>
      <c r="G275" s="586">
        <v>40148</v>
      </c>
      <c r="H275" s="544">
        <v>40207</v>
      </c>
      <c r="I275" s="602">
        <v>42185</v>
      </c>
      <c r="J275" s="595">
        <v>10</v>
      </c>
      <c r="K275" s="561" t="s">
        <v>3229</v>
      </c>
      <c r="L275" s="553" t="s">
        <v>3229</v>
      </c>
      <c r="M275" s="600">
        <v>0</v>
      </c>
      <c r="N275" s="601">
        <v>0.7</v>
      </c>
      <c r="O275" s="596" t="s">
        <v>3229</v>
      </c>
      <c r="P275" s="596" t="s">
        <v>3229</v>
      </c>
      <c r="Q275" s="575" t="s">
        <v>3229</v>
      </c>
      <c r="R275" s="575" t="s">
        <v>3229</v>
      </c>
      <c r="S275" s="603"/>
      <c r="T275" s="563" t="s">
        <v>3229</v>
      </c>
      <c r="U275" s="563" t="s">
        <v>3229</v>
      </c>
      <c r="V275" s="563" t="s">
        <v>3229</v>
      </c>
      <c r="W275" s="563" t="s">
        <v>3229</v>
      </c>
      <c r="X275" s="563" t="s">
        <v>3229</v>
      </c>
      <c r="Y275" s="563" t="s">
        <v>3229</v>
      </c>
      <c r="Z275" s="563" t="s">
        <v>3229</v>
      </c>
      <c r="AA275" s="563" t="s">
        <v>3229</v>
      </c>
      <c r="AB275" s="563" t="s">
        <v>3229</v>
      </c>
      <c r="AC275" s="563" t="s">
        <v>3229</v>
      </c>
      <c r="AD275" s="563" t="s">
        <v>3229</v>
      </c>
      <c r="AE275" s="563" t="s">
        <v>3229</v>
      </c>
      <c r="AF275" s="3764" t="s">
        <v>781</v>
      </c>
      <c r="AG275" s="3765"/>
      <c r="AH275" s="673" t="s">
        <v>3229</v>
      </c>
      <c r="AI275" s="673" t="s">
        <v>3229</v>
      </c>
      <c r="AJ275" s="673" t="s">
        <v>3229</v>
      </c>
      <c r="AK275" s="673" t="s">
        <v>3229</v>
      </c>
      <c r="AL275" s="673" t="s">
        <v>3229</v>
      </c>
      <c r="AM275" s="591">
        <v>1</v>
      </c>
      <c r="AN275" s="638">
        <v>0.32329999999999998</v>
      </c>
      <c r="AO275" s="625">
        <v>13.23</v>
      </c>
      <c r="AP275" s="1368">
        <v>0.46179588888888884</v>
      </c>
      <c r="AQ275" s="605">
        <v>0.60941800000000002</v>
      </c>
      <c r="AR275" s="3773" t="s">
        <v>3660</v>
      </c>
      <c r="AS275" s="3774"/>
      <c r="AT275" s="3774"/>
      <c r="AU275" s="3774"/>
      <c r="AV275" s="632">
        <v>0</v>
      </c>
      <c r="AW275" s="558">
        <v>0</v>
      </c>
      <c r="AX275" s="589">
        <v>-0.2441421012849585</v>
      </c>
      <c r="AY275" s="648">
        <v>2.0358161624475901</v>
      </c>
      <c r="AZ275" s="676">
        <v>10</v>
      </c>
      <c r="BA275" s="644" t="s">
        <v>3190</v>
      </c>
      <c r="BB275" s="570"/>
      <c r="BC275" s="581"/>
      <c r="BH275" s="3763"/>
      <c r="BI275" s="3763"/>
      <c r="BJ275" s="1639"/>
      <c r="BK275" s="1639"/>
      <c r="BL275" s="1639"/>
      <c r="BM275" s="1639"/>
      <c r="BN275" s="1639"/>
      <c r="BO275" s="1639"/>
      <c r="BP275" s="1639"/>
      <c r="BQ275" s="1639"/>
      <c r="BR275" s="1639"/>
      <c r="BS275" s="509"/>
      <c r="BT275" s="509"/>
      <c r="BU275" s="509"/>
      <c r="BV275" s="509"/>
      <c r="BW275" s="509"/>
      <c r="BX275" s="509"/>
      <c r="BY275" s="509"/>
      <c r="BZ275" s="509"/>
      <c r="CA275" s="509"/>
      <c r="CB275" s="509"/>
      <c r="CC275" s="509"/>
      <c r="CD275" s="509"/>
      <c r="CE275" s="509"/>
      <c r="CF275" s="509"/>
      <c r="CG275" s="509"/>
      <c r="CH275" s="509"/>
      <c r="CI275" s="509"/>
      <c r="CJ275" s="509"/>
      <c r="CK275" s="509"/>
      <c r="CL275" s="509"/>
      <c r="CM275" s="509"/>
      <c r="CN275" s="509"/>
      <c r="CO275" s="509"/>
      <c r="CP275" s="509"/>
      <c r="CQ275" s="509"/>
      <c r="CR275" s="509"/>
      <c r="CS275" s="509"/>
      <c r="CT275" s="509"/>
      <c r="CU275" s="509"/>
      <c r="CV275" s="509"/>
      <c r="CW275" s="509"/>
      <c r="CX275" s="509"/>
      <c r="CY275" s="509"/>
      <c r="CZ275" s="509"/>
      <c r="DA275" s="509"/>
      <c r="DB275" s="509"/>
      <c r="DC275" s="509"/>
      <c r="DD275" s="509"/>
      <c r="DE275" s="509"/>
      <c r="DF275" s="509"/>
      <c r="DG275" s="509"/>
      <c r="DH275" s="509"/>
      <c r="DI275" s="509"/>
      <c r="DJ275" s="509"/>
      <c r="DK275" s="509"/>
      <c r="DL275" s="509"/>
      <c r="DM275" s="509"/>
      <c r="DN275" s="509"/>
      <c r="DO275" s="509"/>
      <c r="DP275" s="509"/>
      <c r="DQ275" s="509"/>
      <c r="DR275" s="509"/>
      <c r="DS275" s="509"/>
      <c r="DT275" s="509"/>
      <c r="DU275" s="509"/>
      <c r="DV275" s="509"/>
      <c r="DW275" s="509"/>
      <c r="DX275" s="509"/>
      <c r="DY275" s="509"/>
      <c r="DZ275" s="509"/>
      <c r="EA275" s="509"/>
      <c r="EB275" s="509"/>
      <c r="EC275" s="509"/>
      <c r="ED275" s="509"/>
      <c r="EE275" s="509"/>
      <c r="EF275" s="509"/>
      <c r="EG275" s="509"/>
      <c r="EH275" s="509"/>
      <c r="EI275" s="509"/>
      <c r="EJ275" s="509"/>
      <c r="EK275" s="509"/>
      <c r="EL275" s="509"/>
      <c r="EM275" s="509"/>
      <c r="EN275" s="509"/>
      <c r="EO275" s="509"/>
      <c r="EP275" s="509"/>
      <c r="EQ275" s="509"/>
      <c r="ER275" s="509"/>
      <c r="ES275" s="509"/>
      <c r="ET275" s="509"/>
      <c r="EU275" s="509"/>
      <c r="EV275" s="509"/>
      <c r="EW275" s="509"/>
      <c r="EX275" s="509"/>
      <c r="EY275" s="509"/>
      <c r="EZ275" s="509"/>
      <c r="FA275" s="509"/>
      <c r="FB275" s="509"/>
      <c r="FC275" s="509"/>
      <c r="FD275" s="509"/>
      <c r="FE275" s="509"/>
      <c r="FF275" s="509"/>
      <c r="FG275" s="509"/>
      <c r="FH275" s="509"/>
      <c r="FI275" s="509"/>
      <c r="FJ275" s="509"/>
      <c r="FK275" s="509"/>
      <c r="FL275" s="509"/>
      <c r="FM275" s="509"/>
      <c r="FN275" s="509"/>
      <c r="FO275" s="509"/>
      <c r="FP275" s="509"/>
      <c r="FQ275" s="509"/>
      <c r="FR275" s="509"/>
      <c r="FS275" s="509"/>
      <c r="FT275" s="509"/>
      <c r="FU275" s="509"/>
      <c r="FV275" s="509"/>
      <c r="FW275" s="509"/>
      <c r="FX275" s="509"/>
      <c r="FY275" s="509"/>
      <c r="FZ275" s="509"/>
      <c r="GA275" s="509"/>
      <c r="GB275" s="509"/>
      <c r="GC275" s="509"/>
      <c r="GD275" s="509"/>
      <c r="GE275" s="509"/>
      <c r="GF275" s="509"/>
      <c r="GG275" s="509"/>
      <c r="GH275" s="509"/>
      <c r="GI275" s="509"/>
      <c r="GJ275" s="509"/>
      <c r="GK275" s="509"/>
      <c r="GL275" s="509"/>
      <c r="GM275" s="509"/>
      <c r="GN275" s="509"/>
      <c r="GO275" s="509"/>
      <c r="GP275" s="509"/>
      <c r="GQ275" s="509"/>
      <c r="GR275" s="509"/>
      <c r="GS275" s="509"/>
      <c r="GT275" s="509"/>
      <c r="GU275" s="509"/>
      <c r="GV275" s="509"/>
      <c r="GW275" s="509"/>
      <c r="GX275" s="509"/>
      <c r="GY275" s="509"/>
      <c r="GZ275" s="509"/>
      <c r="HA275" s="509"/>
      <c r="HB275" s="509"/>
      <c r="HC275" s="509"/>
      <c r="HD275" s="509"/>
      <c r="HE275" s="509"/>
      <c r="HF275" s="509"/>
      <c r="HG275" s="509"/>
      <c r="HH275" s="509"/>
      <c r="HI275" s="509"/>
      <c r="HJ275" s="509"/>
      <c r="HK275" s="509"/>
      <c r="HL275" s="509"/>
      <c r="HM275" s="509"/>
      <c r="HN275" s="509"/>
      <c r="HO275" s="509"/>
      <c r="HP275" s="509"/>
      <c r="HQ275" s="509"/>
      <c r="HR275" s="509"/>
      <c r="HS275" s="509"/>
      <c r="HT275" s="509"/>
      <c r="HU275" s="509"/>
      <c r="HV275" s="509"/>
      <c r="HW275" s="509"/>
      <c r="HX275" s="509"/>
      <c r="HY275" s="509"/>
      <c r="HZ275" s="509"/>
    </row>
    <row r="276" spans="1:234" s="206" customFormat="1" ht="15.9" hidden="1" customHeight="1" x14ac:dyDescent="0.25">
      <c r="A276" s="541" t="s">
        <v>2947</v>
      </c>
      <c r="B276" s="523" t="s">
        <v>3029</v>
      </c>
      <c r="C276" s="524" t="s">
        <v>2946</v>
      </c>
      <c r="D276" s="551" t="s">
        <v>2158</v>
      </c>
      <c r="E276" s="569" t="s">
        <v>3228</v>
      </c>
      <c r="F276" s="543">
        <v>40214</v>
      </c>
      <c r="G276" s="544">
        <v>40182</v>
      </c>
      <c r="H276" s="544">
        <v>40207</v>
      </c>
      <c r="I276" s="616">
        <v>41486</v>
      </c>
      <c r="J276" s="579">
        <v>10</v>
      </c>
      <c r="K276" s="553">
        <v>5.0000000000000001E-3</v>
      </c>
      <c r="L276" s="552">
        <v>0.06</v>
      </c>
      <c r="M276" s="560">
        <v>4.4999999999999998E-2</v>
      </c>
      <c r="N276" s="606" t="s">
        <v>3229</v>
      </c>
      <c r="O276" s="613">
        <v>0.155</v>
      </c>
      <c r="P276" s="575" t="s">
        <v>3229</v>
      </c>
      <c r="Q276" s="575">
        <v>3.5000000000000003E-2</v>
      </c>
      <c r="R276" s="575" t="s">
        <v>3229</v>
      </c>
      <c r="S276" s="570">
        <v>3</v>
      </c>
      <c r="T276" s="617">
        <v>40575</v>
      </c>
      <c r="U276" s="563">
        <v>40940</v>
      </c>
      <c r="V276" s="563">
        <v>41456</v>
      </c>
      <c r="W276" s="563" t="s">
        <v>3229</v>
      </c>
      <c r="X276" s="563" t="s">
        <v>3229</v>
      </c>
      <c r="Y276" s="598" t="s">
        <v>3229</v>
      </c>
      <c r="Z276" s="598" t="s">
        <v>3229</v>
      </c>
      <c r="AA276" s="598" t="s">
        <v>3229</v>
      </c>
      <c r="AB276" s="598" t="s">
        <v>3229</v>
      </c>
      <c r="AC276" s="598" t="s">
        <v>3229</v>
      </c>
      <c r="AD276" s="598" t="s">
        <v>3229</v>
      </c>
      <c r="AE276" s="598" t="s">
        <v>3229</v>
      </c>
      <c r="AF276" s="3764" t="s">
        <v>781</v>
      </c>
      <c r="AG276" s="3765"/>
      <c r="AH276" s="1301" t="s">
        <v>3229</v>
      </c>
      <c r="AI276" s="1301" t="s">
        <v>3229</v>
      </c>
      <c r="AJ276" s="1301" t="s">
        <v>3229</v>
      </c>
      <c r="AK276" s="530" t="s">
        <v>3229</v>
      </c>
      <c r="AL276" s="530" t="s">
        <v>3229</v>
      </c>
      <c r="AM276" s="659">
        <v>1</v>
      </c>
      <c r="AN276" s="638">
        <v>4.4999999999999998E-2</v>
      </c>
      <c r="AO276" s="625">
        <v>10.45</v>
      </c>
      <c r="AP276" s="688">
        <v>-5.5968099747607136E-2</v>
      </c>
      <c r="AQ276" s="606">
        <v>0.24515006150275534</v>
      </c>
      <c r="AR276" s="600">
        <v>0.155</v>
      </c>
      <c r="AS276" s="548">
        <v>4.2216346926517767E-2</v>
      </c>
      <c r="AT276" s="548"/>
      <c r="AU276" s="549"/>
      <c r="AV276" s="558">
        <v>4.4999999999999998E-2</v>
      </c>
      <c r="AW276" s="558">
        <v>1.271073475026796E-2</v>
      </c>
      <c r="AX276" s="589">
        <v>-2.8625954198474579E-3</v>
      </c>
      <c r="AY276" s="587">
        <v>-3.1210034761708472E-2</v>
      </c>
      <c r="AZ276" s="676">
        <v>10.45</v>
      </c>
      <c r="BA276" s="581" t="s">
        <v>2585</v>
      </c>
      <c r="BB276" s="570"/>
      <c r="BC276" s="581"/>
      <c r="BD276" s="3691"/>
      <c r="BE276" s="3743"/>
      <c r="BF276" s="3743"/>
      <c r="BG276" s="3708"/>
      <c r="BH276" s="3762"/>
      <c r="BI276" s="3762"/>
      <c r="BJ276" s="39"/>
      <c r="BK276" s="39"/>
      <c r="BL276" s="39"/>
      <c r="BM276" s="39"/>
      <c r="BN276" s="39"/>
      <c r="BO276" s="39"/>
      <c r="BP276" s="39"/>
      <c r="BQ276" s="39"/>
      <c r="BR276" s="39"/>
      <c r="BS276" s="507"/>
      <c r="BT276" s="507"/>
      <c r="BU276" s="507"/>
      <c r="BV276" s="507"/>
      <c r="BW276" s="507"/>
      <c r="BX276" s="507"/>
      <c r="BY276" s="507"/>
      <c r="BZ276" s="507"/>
      <c r="CA276" s="507"/>
      <c r="CB276" s="507"/>
      <c r="CC276" s="507"/>
      <c r="CD276" s="507"/>
      <c r="CE276" s="507"/>
      <c r="CF276" s="507"/>
      <c r="CG276" s="507"/>
      <c r="CH276" s="507"/>
      <c r="CI276" s="507"/>
      <c r="CJ276" s="507"/>
      <c r="CK276" s="507"/>
      <c r="CL276" s="507"/>
      <c r="CM276" s="507"/>
      <c r="CN276" s="507"/>
      <c r="CO276" s="507"/>
      <c r="CP276" s="507"/>
      <c r="CQ276" s="507"/>
      <c r="CR276" s="507"/>
      <c r="CS276" s="507"/>
      <c r="CT276" s="507"/>
      <c r="CU276" s="507"/>
      <c r="CV276" s="507"/>
      <c r="CW276" s="507"/>
      <c r="CX276" s="507"/>
      <c r="CY276" s="507"/>
      <c r="CZ276" s="507"/>
      <c r="DA276" s="507"/>
      <c r="DB276" s="507"/>
      <c r="DC276" s="507"/>
      <c r="DD276" s="507"/>
      <c r="DE276" s="507"/>
      <c r="DF276" s="507"/>
      <c r="DG276" s="507"/>
      <c r="DH276" s="507"/>
      <c r="DI276" s="507"/>
      <c r="DJ276" s="507"/>
      <c r="DK276" s="507"/>
      <c r="DL276" s="507"/>
      <c r="DM276" s="507"/>
      <c r="DN276" s="507"/>
      <c r="DO276" s="507"/>
      <c r="DP276" s="507"/>
      <c r="DQ276" s="507"/>
      <c r="DR276" s="507"/>
      <c r="DS276" s="507"/>
      <c r="DT276" s="507"/>
      <c r="DU276" s="507"/>
      <c r="DV276" s="507"/>
      <c r="DW276" s="507"/>
      <c r="DX276" s="507"/>
      <c r="DY276" s="507"/>
      <c r="DZ276" s="507"/>
      <c r="EA276" s="507"/>
      <c r="EB276" s="507"/>
      <c r="EC276" s="507"/>
      <c r="ED276" s="507"/>
      <c r="EE276" s="507"/>
      <c r="EF276" s="507"/>
      <c r="EG276" s="507"/>
      <c r="EH276" s="507"/>
      <c r="EI276" s="507"/>
      <c r="EJ276" s="507"/>
      <c r="EK276" s="507"/>
      <c r="EL276" s="507"/>
      <c r="EM276" s="507"/>
      <c r="EN276" s="507"/>
      <c r="EO276" s="507"/>
      <c r="EP276" s="507"/>
      <c r="EQ276" s="507"/>
      <c r="ER276" s="507"/>
      <c r="ES276" s="507"/>
      <c r="ET276" s="507"/>
      <c r="EU276" s="507"/>
      <c r="EV276" s="507"/>
      <c r="EW276" s="507"/>
      <c r="EX276" s="507"/>
      <c r="EY276" s="507"/>
      <c r="EZ276" s="507"/>
      <c r="FA276" s="507"/>
      <c r="FB276" s="507"/>
      <c r="FC276" s="507"/>
      <c r="FD276" s="507"/>
      <c r="FE276" s="507"/>
      <c r="FF276" s="507"/>
      <c r="FG276" s="507"/>
      <c r="FH276" s="507"/>
      <c r="FI276" s="507"/>
      <c r="FJ276" s="507"/>
      <c r="FK276" s="507"/>
      <c r="FL276" s="507"/>
      <c r="FM276" s="507"/>
      <c r="FN276" s="507"/>
      <c r="FO276" s="507"/>
      <c r="FP276" s="507"/>
      <c r="FQ276" s="507"/>
      <c r="FR276" s="507"/>
      <c r="FS276" s="507"/>
      <c r="FT276" s="507"/>
      <c r="FU276" s="507"/>
      <c r="FV276" s="507"/>
      <c r="FW276" s="507"/>
      <c r="FX276" s="507"/>
      <c r="FY276" s="507"/>
      <c r="FZ276" s="507"/>
      <c r="GA276" s="507"/>
      <c r="GB276" s="507"/>
      <c r="GC276" s="507"/>
      <c r="GD276" s="507"/>
      <c r="GE276" s="507"/>
      <c r="GF276" s="507"/>
      <c r="GG276" s="507"/>
      <c r="GH276" s="507"/>
      <c r="GI276" s="507"/>
      <c r="GJ276" s="507"/>
      <c r="GK276" s="507"/>
      <c r="GL276" s="507"/>
      <c r="GM276" s="507"/>
      <c r="GN276" s="507"/>
      <c r="GO276" s="507"/>
      <c r="GP276" s="507"/>
      <c r="GQ276" s="507"/>
      <c r="GR276" s="507"/>
      <c r="GS276" s="507"/>
      <c r="GT276" s="507"/>
      <c r="GU276" s="507"/>
      <c r="GV276" s="507"/>
      <c r="GW276" s="507"/>
      <c r="GX276" s="507"/>
      <c r="GY276" s="507"/>
      <c r="GZ276" s="507"/>
      <c r="HA276" s="507"/>
      <c r="HB276" s="507"/>
      <c r="HC276" s="507"/>
      <c r="HD276" s="507"/>
      <c r="HE276" s="507"/>
      <c r="HF276" s="507"/>
      <c r="HG276" s="507"/>
      <c r="HH276" s="507"/>
      <c r="HI276" s="507"/>
      <c r="HJ276" s="507"/>
      <c r="HK276" s="507"/>
      <c r="HL276" s="507"/>
      <c r="HM276" s="507"/>
      <c r="HN276" s="507"/>
      <c r="HO276" s="507"/>
      <c r="HP276" s="507"/>
      <c r="HQ276" s="507"/>
      <c r="HR276" s="507"/>
      <c r="HS276" s="507"/>
      <c r="HT276" s="507"/>
      <c r="HU276" s="507"/>
      <c r="HV276" s="507"/>
      <c r="HW276" s="507"/>
      <c r="HX276" s="507"/>
      <c r="HY276" s="507"/>
      <c r="HZ276" s="507"/>
    </row>
    <row r="277" spans="1:234" s="206" customFormat="1" ht="15.9" hidden="1" customHeight="1" x14ac:dyDescent="0.25">
      <c r="A277" s="541" t="s">
        <v>2949</v>
      </c>
      <c r="B277" s="523" t="s">
        <v>3030</v>
      </c>
      <c r="C277" s="524" t="s">
        <v>2948</v>
      </c>
      <c r="D277" s="551" t="s">
        <v>826</v>
      </c>
      <c r="E277" s="569" t="s">
        <v>3228</v>
      </c>
      <c r="F277" s="543">
        <v>40242</v>
      </c>
      <c r="G277" s="544">
        <v>40182</v>
      </c>
      <c r="H277" s="544">
        <v>40235</v>
      </c>
      <c r="I277" s="616">
        <v>41243</v>
      </c>
      <c r="J277" s="579">
        <v>10</v>
      </c>
      <c r="K277" s="553" t="s">
        <v>3229</v>
      </c>
      <c r="L277" s="552" t="s">
        <v>3229</v>
      </c>
      <c r="M277" s="560">
        <v>0</v>
      </c>
      <c r="N277" s="606" t="s">
        <v>3229</v>
      </c>
      <c r="O277" s="613">
        <v>0.5</v>
      </c>
      <c r="P277" s="575">
        <v>0.5</v>
      </c>
      <c r="Q277" s="575" t="s">
        <v>3229</v>
      </c>
      <c r="R277" s="575" t="s">
        <v>3229</v>
      </c>
      <c r="S277" s="570"/>
      <c r="T277" s="617" t="s">
        <v>3229</v>
      </c>
      <c r="U277" s="563" t="s">
        <v>3229</v>
      </c>
      <c r="V277" s="563" t="s">
        <v>3229</v>
      </c>
      <c r="W277" s="563" t="s">
        <v>3229</v>
      </c>
      <c r="X277" s="563" t="s">
        <v>3229</v>
      </c>
      <c r="Y277" s="598" t="s">
        <v>3229</v>
      </c>
      <c r="Z277" s="598" t="s">
        <v>3229</v>
      </c>
      <c r="AA277" s="598" t="s">
        <v>3229</v>
      </c>
      <c r="AB277" s="598" t="s">
        <v>3229</v>
      </c>
      <c r="AC277" s="598" t="s">
        <v>3229</v>
      </c>
      <c r="AD277" s="598" t="s">
        <v>3229</v>
      </c>
      <c r="AE277" s="598" t="s">
        <v>3229</v>
      </c>
      <c r="AF277" s="3764" t="s">
        <v>781</v>
      </c>
      <c r="AG277" s="3765"/>
      <c r="AH277" s="1301">
        <v>1</v>
      </c>
      <c r="AI277" s="1301" t="s">
        <v>3229</v>
      </c>
      <c r="AJ277" s="1301" t="s">
        <v>3229</v>
      </c>
      <c r="AK277" s="530" t="s">
        <v>3229</v>
      </c>
      <c r="AL277" s="530" t="s">
        <v>3229</v>
      </c>
      <c r="AM277" s="659" t="s">
        <v>3229</v>
      </c>
      <c r="AN277" s="638">
        <v>0</v>
      </c>
      <c r="AO277" s="625">
        <v>10.07</v>
      </c>
      <c r="AP277" s="688" t="s">
        <v>3229</v>
      </c>
      <c r="AQ277" s="688" t="s">
        <v>3229</v>
      </c>
      <c r="AR277" s="600">
        <f>O277</f>
        <v>0.5</v>
      </c>
      <c r="AS277" s="548">
        <f>POWER(1+AR277,1/((I277-F277)/365))-1</f>
        <v>0.15933540886410213</v>
      </c>
      <c r="AT277" s="548">
        <f>J277*(1+AR277)/AO277-1</f>
        <v>0.48957298907646463</v>
      </c>
      <c r="AU277" s="549" t="e">
        <f>POWER(1+AT277,1/AG277)-1</f>
        <v>#DIV/0!</v>
      </c>
      <c r="AV277" s="558">
        <f t="shared" ref="AV277:AV339" si="59">M277</f>
        <v>0</v>
      </c>
      <c r="AW277" s="558">
        <f t="shared" si="56"/>
        <v>0</v>
      </c>
      <c r="AX277" s="589">
        <f t="shared" si="57"/>
        <v>-6.9513406156902491E-3</v>
      </c>
      <c r="AY277" s="587" t="e">
        <f t="shared" si="58"/>
        <v>#DIV/0!</v>
      </c>
      <c r="AZ277" s="676">
        <f>J277*(1+AV277)</f>
        <v>10</v>
      </c>
      <c r="BA277" s="581" t="s">
        <v>2366</v>
      </c>
      <c r="BB277" s="570"/>
      <c r="BC277" s="581"/>
      <c r="BD277" s="3691"/>
      <c r="BE277" s="3743"/>
      <c r="BF277" s="3743"/>
      <c r="BG277" s="3708"/>
      <c r="BH277" s="3762"/>
      <c r="BI277" s="3762"/>
      <c r="BJ277" s="39"/>
      <c r="BK277" s="39"/>
      <c r="BL277" s="39"/>
      <c r="BM277" s="39"/>
      <c r="BN277" s="39"/>
      <c r="BO277" s="39"/>
      <c r="BP277" s="39"/>
      <c r="BQ277" s="39"/>
      <c r="BR277" s="39"/>
      <c r="BS277" s="507"/>
      <c r="BT277" s="507"/>
      <c r="BU277" s="507"/>
      <c r="BV277" s="507"/>
      <c r="BW277" s="507"/>
      <c r="BX277" s="507"/>
      <c r="BY277" s="507"/>
      <c r="BZ277" s="507"/>
      <c r="CA277" s="507"/>
      <c r="CB277" s="507"/>
      <c r="CC277" s="507"/>
      <c r="CD277" s="507"/>
      <c r="CE277" s="507"/>
      <c r="CF277" s="507"/>
      <c r="CG277" s="507"/>
      <c r="CH277" s="507"/>
      <c r="CI277" s="507"/>
      <c r="CJ277" s="507"/>
      <c r="CK277" s="507"/>
      <c r="CL277" s="507"/>
      <c r="CM277" s="507"/>
      <c r="CN277" s="507"/>
      <c r="CO277" s="507"/>
      <c r="CP277" s="507"/>
      <c r="CQ277" s="507"/>
      <c r="CR277" s="507"/>
      <c r="CS277" s="507"/>
      <c r="CT277" s="507"/>
      <c r="CU277" s="507"/>
      <c r="CV277" s="507"/>
      <c r="CW277" s="507"/>
      <c r="CX277" s="507"/>
      <c r="CY277" s="507"/>
      <c r="CZ277" s="507"/>
      <c r="DA277" s="507"/>
      <c r="DB277" s="507"/>
      <c r="DC277" s="507"/>
      <c r="DD277" s="507"/>
      <c r="DE277" s="507"/>
      <c r="DF277" s="507"/>
      <c r="DG277" s="507"/>
      <c r="DH277" s="507"/>
      <c r="DI277" s="507"/>
      <c r="DJ277" s="507"/>
      <c r="DK277" s="507"/>
      <c r="DL277" s="507"/>
      <c r="DM277" s="507"/>
      <c r="DN277" s="507"/>
      <c r="DO277" s="507"/>
      <c r="DP277" s="507"/>
      <c r="DQ277" s="507"/>
      <c r="DR277" s="507"/>
      <c r="DS277" s="507"/>
      <c r="DT277" s="507"/>
      <c r="DU277" s="507"/>
      <c r="DV277" s="507"/>
      <c r="DW277" s="507"/>
      <c r="DX277" s="507"/>
      <c r="DY277" s="507"/>
      <c r="DZ277" s="507"/>
      <c r="EA277" s="507"/>
      <c r="EB277" s="507"/>
      <c r="EC277" s="507"/>
      <c r="ED277" s="507"/>
      <c r="EE277" s="507"/>
      <c r="EF277" s="507"/>
      <c r="EG277" s="507"/>
      <c r="EH277" s="507"/>
      <c r="EI277" s="507"/>
      <c r="EJ277" s="507"/>
      <c r="EK277" s="507"/>
      <c r="EL277" s="507"/>
      <c r="EM277" s="507"/>
      <c r="EN277" s="507"/>
      <c r="EO277" s="507"/>
      <c r="EP277" s="507"/>
      <c r="EQ277" s="507"/>
      <c r="ER277" s="507"/>
      <c r="ES277" s="507"/>
      <c r="ET277" s="507"/>
      <c r="EU277" s="507"/>
      <c r="EV277" s="507"/>
      <c r="EW277" s="507"/>
      <c r="EX277" s="507"/>
      <c r="EY277" s="507"/>
      <c r="EZ277" s="507"/>
      <c r="FA277" s="507"/>
      <c r="FB277" s="507"/>
      <c r="FC277" s="507"/>
      <c r="FD277" s="507"/>
      <c r="FE277" s="507"/>
      <c r="FF277" s="507"/>
      <c r="FG277" s="507"/>
      <c r="FH277" s="507"/>
      <c r="FI277" s="507"/>
      <c r="FJ277" s="507"/>
      <c r="FK277" s="507"/>
      <c r="FL277" s="507"/>
      <c r="FM277" s="507"/>
      <c r="FN277" s="507"/>
      <c r="FO277" s="507"/>
      <c r="FP277" s="507"/>
      <c r="FQ277" s="507"/>
      <c r="FR277" s="507"/>
      <c r="FS277" s="507"/>
      <c r="FT277" s="507"/>
      <c r="FU277" s="507"/>
      <c r="FV277" s="507"/>
      <c r="FW277" s="507"/>
      <c r="FX277" s="507"/>
      <c r="FY277" s="507"/>
      <c r="FZ277" s="507"/>
      <c r="GA277" s="507"/>
      <c r="GB277" s="507"/>
      <c r="GC277" s="507"/>
      <c r="GD277" s="507"/>
      <c r="GE277" s="507"/>
      <c r="GF277" s="507"/>
      <c r="GG277" s="507"/>
      <c r="GH277" s="507"/>
      <c r="GI277" s="507"/>
      <c r="GJ277" s="507"/>
      <c r="GK277" s="507"/>
      <c r="GL277" s="507"/>
      <c r="GM277" s="507"/>
      <c r="GN277" s="507"/>
      <c r="GO277" s="507"/>
      <c r="GP277" s="507"/>
      <c r="GQ277" s="507"/>
      <c r="GR277" s="507"/>
      <c r="GS277" s="507"/>
      <c r="GT277" s="507"/>
      <c r="GU277" s="507"/>
      <c r="GV277" s="507"/>
      <c r="GW277" s="507"/>
      <c r="GX277" s="507"/>
      <c r="GY277" s="507"/>
      <c r="GZ277" s="507"/>
      <c r="HA277" s="507"/>
      <c r="HB277" s="507"/>
      <c r="HC277" s="507"/>
      <c r="HD277" s="507"/>
      <c r="HE277" s="507"/>
      <c r="HF277" s="507"/>
      <c r="HG277" s="507"/>
      <c r="HH277" s="507"/>
      <c r="HI277" s="507"/>
      <c r="HJ277" s="507"/>
      <c r="HK277" s="507"/>
      <c r="HL277" s="507"/>
      <c r="HM277" s="507"/>
      <c r="HN277" s="507"/>
      <c r="HO277" s="507"/>
      <c r="HP277" s="507"/>
      <c r="HQ277" s="507"/>
      <c r="HR277" s="507"/>
      <c r="HS277" s="507"/>
      <c r="HT277" s="507"/>
      <c r="HU277" s="507"/>
      <c r="HV277" s="507"/>
      <c r="HW277" s="507"/>
      <c r="HX277" s="507"/>
      <c r="HY277" s="507"/>
      <c r="HZ277" s="507"/>
    </row>
    <row r="278" spans="1:234" ht="15.9" hidden="1" customHeight="1" x14ac:dyDescent="0.25">
      <c r="A278" s="540" t="s">
        <v>3457</v>
      </c>
      <c r="B278" s="523" t="s">
        <v>448</v>
      </c>
      <c r="C278" s="524" t="s">
        <v>2594</v>
      </c>
      <c r="D278" s="553" t="s">
        <v>449</v>
      </c>
      <c r="E278" s="526" t="s">
        <v>3228</v>
      </c>
      <c r="F278" s="586">
        <v>40240</v>
      </c>
      <c r="G278" s="586">
        <v>40196</v>
      </c>
      <c r="H278" s="544">
        <v>40228</v>
      </c>
      <c r="I278" s="594">
        <v>42096</v>
      </c>
      <c r="J278" s="595">
        <v>100</v>
      </c>
      <c r="K278" s="561" t="s">
        <v>3229</v>
      </c>
      <c r="L278" s="553" t="s">
        <v>3229</v>
      </c>
      <c r="M278" s="600">
        <v>0.16200000000000001</v>
      </c>
      <c r="N278" s="601" t="s">
        <v>3229</v>
      </c>
      <c r="O278" s="596">
        <v>0.16200000000000001</v>
      </c>
      <c r="P278" s="596" t="s">
        <v>3229</v>
      </c>
      <c r="Q278" s="596" t="s">
        <v>3229</v>
      </c>
      <c r="R278" s="596" t="s">
        <v>3229</v>
      </c>
      <c r="S278" s="597"/>
      <c r="T278" s="563" t="s">
        <v>3229</v>
      </c>
      <c r="U278" s="563" t="s">
        <v>3229</v>
      </c>
      <c r="V278" s="563" t="s">
        <v>3229</v>
      </c>
      <c r="W278" s="563" t="s">
        <v>3229</v>
      </c>
      <c r="X278" s="563" t="s">
        <v>3229</v>
      </c>
      <c r="Y278" s="563" t="s">
        <v>3229</v>
      </c>
      <c r="Z278" s="563" t="s">
        <v>3229</v>
      </c>
      <c r="AA278" s="563" t="s">
        <v>3229</v>
      </c>
      <c r="AB278" s="563" t="s">
        <v>3229</v>
      </c>
      <c r="AC278" s="563" t="s">
        <v>3229</v>
      </c>
      <c r="AD278" s="563" t="s">
        <v>3229</v>
      </c>
      <c r="AE278" s="563" t="s">
        <v>3229</v>
      </c>
      <c r="AF278" s="3764" t="s">
        <v>781</v>
      </c>
      <c r="AG278" s="3765"/>
      <c r="AH278" s="673" t="s">
        <v>3229</v>
      </c>
      <c r="AI278" s="673" t="s">
        <v>3229</v>
      </c>
      <c r="AJ278" s="673" t="s">
        <v>3229</v>
      </c>
      <c r="AK278" s="673" t="s">
        <v>3229</v>
      </c>
      <c r="AL278" s="673" t="s">
        <v>3229</v>
      </c>
      <c r="AM278" s="590">
        <v>1</v>
      </c>
      <c r="AN278" s="638" t="s">
        <v>3229</v>
      </c>
      <c r="AO278" s="625">
        <v>117.59</v>
      </c>
      <c r="AP278" s="1368" t="s">
        <v>3229</v>
      </c>
      <c r="AQ278" s="658" t="s">
        <v>3229</v>
      </c>
      <c r="AR278" s="558">
        <f>O278</f>
        <v>0.16200000000000001</v>
      </c>
      <c r="AS278" s="558">
        <f>POWER(1+AR278,1/((I278-F278)/365))-1</f>
        <v>2.9967221085998252E-2</v>
      </c>
      <c r="AT278" s="648">
        <f>J278*(1+AR278)/AO278-1</f>
        <v>-1.1820733055532107E-2</v>
      </c>
      <c r="AU278" s="559" t="e">
        <f>POWER(1+AT278,1/AG278)-1</f>
        <v>#DIV/0!</v>
      </c>
      <c r="AV278" s="558">
        <f t="shared" si="59"/>
        <v>0.16200000000000001</v>
      </c>
      <c r="AW278" s="558">
        <f t="shared" si="56"/>
        <v>2.9967221085998252E-2</v>
      </c>
      <c r="AX278" s="589">
        <f t="shared" si="57"/>
        <v>-1.1820733055532107E-2</v>
      </c>
      <c r="AY278" s="587" t="e">
        <f t="shared" si="58"/>
        <v>#DIV/0!</v>
      </c>
      <c r="AZ278" s="676">
        <f>J278*(1+AV278)</f>
        <v>116.19999999999999</v>
      </c>
      <c r="BA278" s="644" t="s">
        <v>4484</v>
      </c>
      <c r="BB278" s="570"/>
      <c r="BC278" s="637"/>
      <c r="BH278" s="3763"/>
      <c r="BI278" s="3763"/>
      <c r="BJ278" s="1639"/>
      <c r="BK278" s="1639"/>
      <c r="BL278" s="1639"/>
      <c r="BM278" s="1639"/>
      <c r="BN278" s="1639"/>
      <c r="BO278" s="1639"/>
      <c r="BP278" s="1639"/>
      <c r="BQ278" s="1639"/>
      <c r="BR278" s="1639"/>
      <c r="BS278" s="509"/>
      <c r="BT278" s="509"/>
      <c r="BU278" s="509"/>
      <c r="BV278" s="509"/>
      <c r="BW278" s="509"/>
      <c r="BX278" s="509"/>
      <c r="BY278" s="509"/>
      <c r="BZ278" s="509"/>
      <c r="CA278" s="509"/>
      <c r="CB278" s="509"/>
      <c r="CC278" s="509"/>
      <c r="CD278" s="509"/>
      <c r="CE278" s="509"/>
      <c r="CF278" s="509"/>
      <c r="CG278" s="509"/>
      <c r="CH278" s="509"/>
      <c r="CI278" s="509"/>
      <c r="CJ278" s="509"/>
      <c r="CK278" s="509"/>
      <c r="CL278" s="509"/>
      <c r="CM278" s="509"/>
      <c r="CN278" s="509"/>
      <c r="CO278" s="509"/>
      <c r="CP278" s="509"/>
      <c r="CQ278" s="509"/>
      <c r="CR278" s="509"/>
      <c r="CS278" s="509"/>
      <c r="CT278" s="509"/>
      <c r="CU278" s="509"/>
      <c r="CV278" s="509"/>
      <c r="CW278" s="509"/>
      <c r="CX278" s="509"/>
      <c r="CY278" s="509"/>
      <c r="CZ278" s="509"/>
      <c r="DA278" s="509"/>
      <c r="DB278" s="509"/>
      <c r="DC278" s="509"/>
      <c r="DD278" s="509"/>
      <c r="DE278" s="509"/>
      <c r="DF278" s="509"/>
      <c r="DG278" s="509"/>
      <c r="DH278" s="509"/>
      <c r="DI278" s="509"/>
      <c r="DJ278" s="509"/>
      <c r="DK278" s="509"/>
      <c r="DL278" s="509"/>
      <c r="DM278" s="509"/>
      <c r="DN278" s="509"/>
      <c r="DO278" s="509"/>
      <c r="DP278" s="509"/>
      <c r="DQ278" s="509"/>
      <c r="DR278" s="509"/>
      <c r="DS278" s="509"/>
      <c r="DT278" s="509"/>
      <c r="DU278" s="509"/>
      <c r="DV278" s="509"/>
      <c r="DW278" s="509"/>
      <c r="DX278" s="509"/>
      <c r="DY278" s="509"/>
      <c r="DZ278" s="509"/>
      <c r="EA278" s="509"/>
      <c r="EB278" s="509"/>
      <c r="EC278" s="509"/>
      <c r="ED278" s="509"/>
      <c r="EE278" s="509"/>
      <c r="EF278" s="509"/>
      <c r="EG278" s="509"/>
      <c r="EH278" s="509"/>
      <c r="EI278" s="509"/>
      <c r="EJ278" s="509"/>
      <c r="EK278" s="509"/>
      <c r="EL278" s="509"/>
      <c r="EM278" s="509"/>
      <c r="EN278" s="509"/>
      <c r="EO278" s="509"/>
      <c r="EP278" s="509"/>
      <c r="EQ278" s="509"/>
      <c r="ER278" s="509"/>
      <c r="ES278" s="509"/>
      <c r="ET278" s="509"/>
      <c r="EU278" s="509"/>
      <c r="EV278" s="509"/>
      <c r="EW278" s="509"/>
      <c r="EX278" s="509"/>
      <c r="EY278" s="509"/>
      <c r="EZ278" s="509"/>
      <c r="FA278" s="509"/>
      <c r="FB278" s="509"/>
      <c r="FC278" s="509"/>
      <c r="FD278" s="509"/>
      <c r="FE278" s="509"/>
      <c r="FF278" s="509"/>
      <c r="FG278" s="509"/>
      <c r="FH278" s="509"/>
      <c r="FI278" s="509"/>
      <c r="FJ278" s="509"/>
      <c r="FK278" s="509"/>
      <c r="FL278" s="509"/>
      <c r="FM278" s="509"/>
      <c r="FN278" s="509"/>
      <c r="FO278" s="509"/>
      <c r="FP278" s="509"/>
      <c r="FQ278" s="509"/>
      <c r="FR278" s="509"/>
      <c r="FS278" s="509"/>
      <c r="FT278" s="509"/>
      <c r="FU278" s="509"/>
      <c r="FV278" s="509"/>
      <c r="FW278" s="509"/>
      <c r="FX278" s="509"/>
      <c r="FY278" s="509"/>
      <c r="FZ278" s="509"/>
      <c r="GA278" s="509"/>
      <c r="GB278" s="509"/>
      <c r="GC278" s="509"/>
      <c r="GD278" s="509"/>
      <c r="GE278" s="509"/>
      <c r="GF278" s="509"/>
      <c r="GG278" s="509"/>
      <c r="GH278" s="509"/>
      <c r="GI278" s="509"/>
      <c r="GJ278" s="509"/>
      <c r="GK278" s="509"/>
      <c r="GL278" s="509"/>
      <c r="GM278" s="509"/>
      <c r="GN278" s="509"/>
      <c r="GO278" s="509"/>
      <c r="GP278" s="509"/>
      <c r="GQ278" s="509"/>
      <c r="GR278" s="509"/>
      <c r="GS278" s="509"/>
      <c r="GT278" s="509"/>
      <c r="GU278" s="509"/>
      <c r="GV278" s="509"/>
      <c r="GW278" s="509"/>
      <c r="GX278" s="509"/>
      <c r="GY278" s="509"/>
      <c r="GZ278" s="509"/>
      <c r="HA278" s="509"/>
      <c r="HB278" s="509"/>
      <c r="HC278" s="509"/>
      <c r="HD278" s="509"/>
      <c r="HE278" s="509"/>
      <c r="HF278" s="509"/>
      <c r="HG278" s="509"/>
      <c r="HH278" s="509"/>
      <c r="HI278" s="509"/>
      <c r="HJ278" s="509"/>
      <c r="HK278" s="509"/>
      <c r="HL278" s="509"/>
      <c r="HM278" s="509"/>
      <c r="HN278" s="509"/>
      <c r="HO278" s="509"/>
      <c r="HP278" s="509"/>
      <c r="HQ278" s="509"/>
      <c r="HR278" s="509"/>
      <c r="HS278" s="509"/>
      <c r="HT278" s="509"/>
      <c r="HU278" s="509"/>
      <c r="HV278" s="509"/>
      <c r="HW278" s="509"/>
      <c r="HX278" s="509"/>
      <c r="HY278" s="509"/>
      <c r="HZ278" s="509"/>
    </row>
    <row r="279" spans="1:234" ht="15.9" hidden="1" customHeight="1" x14ac:dyDescent="0.25">
      <c r="A279" s="540" t="s">
        <v>446</v>
      </c>
      <c r="B279" s="523" t="s">
        <v>447</v>
      </c>
      <c r="C279" s="524" t="s">
        <v>2595</v>
      </c>
      <c r="D279" s="553" t="s">
        <v>450</v>
      </c>
      <c r="E279" s="526" t="s">
        <v>3228</v>
      </c>
      <c r="F279" s="586">
        <v>40281</v>
      </c>
      <c r="G279" s="586">
        <v>40224</v>
      </c>
      <c r="H279" s="544">
        <v>40268</v>
      </c>
      <c r="I279" s="594">
        <v>42289</v>
      </c>
      <c r="J279" s="595">
        <v>10</v>
      </c>
      <c r="K279" s="561" t="s">
        <v>3229</v>
      </c>
      <c r="L279" s="553" t="s">
        <v>3229</v>
      </c>
      <c r="M279" s="600">
        <v>0.1043</v>
      </c>
      <c r="N279" s="601" t="s">
        <v>3229</v>
      </c>
      <c r="O279" s="596">
        <v>0.52749999999999997</v>
      </c>
      <c r="P279" s="596" t="s">
        <v>3229</v>
      </c>
      <c r="Q279" s="596">
        <v>0.04</v>
      </c>
      <c r="R279" s="596">
        <v>1.5</v>
      </c>
      <c r="S279" s="597">
        <v>5</v>
      </c>
      <c r="T279" s="563">
        <v>40634</v>
      </c>
      <c r="U279" s="563">
        <v>41000</v>
      </c>
      <c r="V279" s="563">
        <v>41365</v>
      </c>
      <c r="W279" s="563">
        <v>41731</v>
      </c>
      <c r="X279" s="563">
        <v>42250</v>
      </c>
      <c r="Y279" s="563" t="s">
        <v>3229</v>
      </c>
      <c r="Z279" s="563" t="s">
        <v>3229</v>
      </c>
      <c r="AA279" s="563" t="s">
        <v>3229</v>
      </c>
      <c r="AB279" s="563" t="s">
        <v>3229</v>
      </c>
      <c r="AC279" s="563" t="s">
        <v>3229</v>
      </c>
      <c r="AD279" s="563" t="s">
        <v>3229</v>
      </c>
      <c r="AE279" s="563" t="s">
        <v>3229</v>
      </c>
      <c r="AF279" s="3764" t="s">
        <v>781</v>
      </c>
      <c r="AG279" s="3765"/>
      <c r="AH279" s="673" t="s">
        <v>3229</v>
      </c>
      <c r="AI279" s="673" t="s">
        <v>3229</v>
      </c>
      <c r="AJ279" s="673" t="s">
        <v>3229</v>
      </c>
      <c r="AK279" s="673" t="s">
        <v>3229</v>
      </c>
      <c r="AL279" s="673" t="s">
        <v>3229</v>
      </c>
      <c r="AM279" s="590">
        <v>1</v>
      </c>
      <c r="AN279" s="638">
        <v>0.1041962962962963</v>
      </c>
      <c r="AO279" s="625">
        <v>11.01</v>
      </c>
      <c r="AP279" s="1368" t="s">
        <v>3229</v>
      </c>
      <c r="AQ279" s="658">
        <v>0.63118445409504886</v>
      </c>
      <c r="AR279" s="558">
        <v>0.52749999999999997</v>
      </c>
      <c r="AS279" s="558">
        <v>8.004736388019662E-2</v>
      </c>
      <c r="AT279" s="648">
        <v>0.38737511353315157</v>
      </c>
      <c r="AU279" s="559">
        <v>21137.027403830347</v>
      </c>
      <c r="AV279" s="558">
        <v>0.1043</v>
      </c>
      <c r="AW279" s="558">
        <v>1.8197584517984478E-2</v>
      </c>
      <c r="AX279" s="589">
        <v>2.9972752043598838E-3</v>
      </c>
      <c r="AY279" s="587">
        <v>9.5302703607829331E-2</v>
      </c>
      <c r="AZ279" s="676">
        <v>11.043000000000001</v>
      </c>
      <c r="BA279" s="644" t="s">
        <v>274</v>
      </c>
      <c r="BB279" s="570"/>
      <c r="BC279" s="637"/>
      <c r="BD279" s="3435">
        <v>0.1041962962962963</v>
      </c>
      <c r="BH279" s="3763"/>
      <c r="BI279" s="3763"/>
      <c r="BJ279" s="1639"/>
      <c r="BK279" s="1639"/>
      <c r="BL279" s="1639"/>
      <c r="BM279" s="1639"/>
      <c r="BN279" s="1639"/>
      <c r="BO279" s="1639"/>
      <c r="BP279" s="1639"/>
      <c r="BQ279" s="1639"/>
      <c r="BR279" s="1639"/>
      <c r="BS279" s="509"/>
      <c r="BT279" s="509"/>
      <c r="BU279" s="509"/>
      <c r="BV279" s="509"/>
      <c r="BW279" s="509"/>
      <c r="BX279" s="509"/>
      <c r="BY279" s="509"/>
      <c r="BZ279" s="509"/>
      <c r="CA279" s="509"/>
      <c r="CB279" s="509"/>
      <c r="CC279" s="509"/>
      <c r="CD279" s="509"/>
      <c r="CE279" s="509"/>
      <c r="CF279" s="509"/>
      <c r="CG279" s="509"/>
      <c r="CH279" s="509"/>
      <c r="CI279" s="509"/>
      <c r="CJ279" s="509"/>
      <c r="CK279" s="509"/>
      <c r="CL279" s="509"/>
      <c r="CM279" s="509"/>
      <c r="CN279" s="509"/>
      <c r="CO279" s="509"/>
      <c r="CP279" s="509"/>
      <c r="CQ279" s="509"/>
      <c r="CR279" s="509"/>
      <c r="CS279" s="509"/>
      <c r="CT279" s="509"/>
      <c r="CU279" s="509"/>
      <c r="CV279" s="509"/>
      <c r="CW279" s="509"/>
      <c r="CX279" s="509"/>
      <c r="CY279" s="509"/>
      <c r="CZ279" s="509"/>
      <c r="DA279" s="509"/>
      <c r="DB279" s="509"/>
      <c r="DC279" s="509"/>
      <c r="DD279" s="509"/>
      <c r="DE279" s="509"/>
      <c r="DF279" s="509"/>
      <c r="DG279" s="509"/>
      <c r="DH279" s="509"/>
      <c r="DI279" s="509"/>
      <c r="DJ279" s="509"/>
      <c r="DK279" s="509"/>
      <c r="DL279" s="509"/>
      <c r="DM279" s="509"/>
      <c r="DN279" s="509"/>
      <c r="DO279" s="509"/>
      <c r="DP279" s="509"/>
      <c r="DQ279" s="509"/>
      <c r="DR279" s="509"/>
      <c r="DS279" s="509"/>
      <c r="DT279" s="509"/>
      <c r="DU279" s="509"/>
      <c r="DV279" s="509"/>
      <c r="DW279" s="509"/>
      <c r="DX279" s="509"/>
      <c r="DY279" s="509"/>
      <c r="DZ279" s="509"/>
      <c r="EA279" s="509"/>
      <c r="EB279" s="509"/>
      <c r="EC279" s="509"/>
      <c r="ED279" s="509"/>
      <c r="EE279" s="509"/>
      <c r="EF279" s="509"/>
      <c r="EG279" s="509"/>
      <c r="EH279" s="509"/>
      <c r="EI279" s="509"/>
      <c r="EJ279" s="509"/>
      <c r="EK279" s="509"/>
      <c r="EL279" s="509"/>
      <c r="EM279" s="509"/>
      <c r="EN279" s="509"/>
      <c r="EO279" s="509"/>
      <c r="EP279" s="509"/>
      <c r="EQ279" s="509"/>
      <c r="ER279" s="509"/>
      <c r="ES279" s="509"/>
      <c r="ET279" s="509"/>
      <c r="EU279" s="509"/>
      <c r="EV279" s="509"/>
      <c r="EW279" s="509"/>
      <c r="EX279" s="509"/>
      <c r="EY279" s="509"/>
      <c r="EZ279" s="509"/>
      <c r="FA279" s="509"/>
      <c r="FB279" s="509"/>
      <c r="FC279" s="509"/>
      <c r="FD279" s="509"/>
      <c r="FE279" s="509"/>
      <c r="FF279" s="509"/>
      <c r="FG279" s="509"/>
      <c r="FH279" s="509"/>
      <c r="FI279" s="509"/>
      <c r="FJ279" s="509"/>
      <c r="FK279" s="509"/>
      <c r="FL279" s="509"/>
      <c r="FM279" s="509"/>
      <c r="FN279" s="509"/>
      <c r="FO279" s="509"/>
      <c r="FP279" s="509"/>
      <c r="FQ279" s="509"/>
      <c r="FR279" s="509"/>
      <c r="FS279" s="509"/>
      <c r="FT279" s="509"/>
      <c r="FU279" s="509"/>
      <c r="FV279" s="509"/>
      <c r="FW279" s="509"/>
      <c r="FX279" s="509"/>
      <c r="FY279" s="509"/>
      <c r="FZ279" s="509"/>
      <c r="GA279" s="509"/>
      <c r="GB279" s="509"/>
      <c r="GC279" s="509"/>
      <c r="GD279" s="509"/>
      <c r="GE279" s="509"/>
      <c r="GF279" s="509"/>
      <c r="GG279" s="509"/>
      <c r="GH279" s="509"/>
      <c r="GI279" s="509"/>
      <c r="GJ279" s="509"/>
      <c r="GK279" s="509"/>
      <c r="GL279" s="509"/>
      <c r="GM279" s="509"/>
      <c r="GN279" s="509"/>
      <c r="GO279" s="509"/>
      <c r="GP279" s="509"/>
      <c r="GQ279" s="509"/>
      <c r="GR279" s="509"/>
      <c r="GS279" s="509"/>
      <c r="GT279" s="509"/>
      <c r="GU279" s="509"/>
      <c r="GV279" s="509"/>
      <c r="GW279" s="509"/>
      <c r="GX279" s="509"/>
      <c r="GY279" s="509"/>
      <c r="GZ279" s="509"/>
      <c r="HA279" s="509"/>
      <c r="HB279" s="509"/>
      <c r="HC279" s="509"/>
      <c r="HD279" s="509"/>
      <c r="HE279" s="509"/>
      <c r="HF279" s="509"/>
      <c r="HG279" s="509"/>
      <c r="HH279" s="509"/>
      <c r="HI279" s="509"/>
      <c r="HJ279" s="509"/>
      <c r="HK279" s="509"/>
      <c r="HL279" s="509"/>
      <c r="HM279" s="509"/>
      <c r="HN279" s="509"/>
      <c r="HO279" s="509"/>
      <c r="HP279" s="509"/>
      <c r="HQ279" s="509"/>
      <c r="HR279" s="509"/>
      <c r="HS279" s="509"/>
      <c r="HT279" s="509"/>
      <c r="HU279" s="509"/>
      <c r="HV279" s="509"/>
      <c r="HW279" s="509"/>
      <c r="HX279" s="509"/>
      <c r="HY279" s="509"/>
      <c r="HZ279" s="509"/>
    </row>
    <row r="280" spans="1:234" ht="15.9" hidden="1" customHeight="1" x14ac:dyDescent="0.25">
      <c r="A280" s="540" t="s">
        <v>1561</v>
      </c>
      <c r="B280" s="523" t="s">
        <v>451</v>
      </c>
      <c r="C280" s="524" t="s">
        <v>1562</v>
      </c>
      <c r="D280" s="553" t="s">
        <v>1859</v>
      </c>
      <c r="E280" s="526" t="s">
        <v>3228</v>
      </c>
      <c r="F280" s="586">
        <v>40242</v>
      </c>
      <c r="G280" s="586">
        <v>40210</v>
      </c>
      <c r="H280" s="544">
        <v>40235</v>
      </c>
      <c r="I280" s="594">
        <v>42277</v>
      </c>
      <c r="J280" s="595">
        <v>10</v>
      </c>
      <c r="K280" s="561" t="s">
        <v>3229</v>
      </c>
      <c r="L280" s="553" t="s">
        <v>3229</v>
      </c>
      <c r="M280" s="600">
        <v>0</v>
      </c>
      <c r="N280" s="601">
        <v>0.65</v>
      </c>
      <c r="O280" s="596" t="s">
        <v>3229</v>
      </c>
      <c r="P280" s="596" t="s">
        <v>3229</v>
      </c>
      <c r="Q280" s="596" t="s">
        <v>3229</v>
      </c>
      <c r="R280" s="596" t="s">
        <v>3229</v>
      </c>
      <c r="S280" s="597">
        <v>2</v>
      </c>
      <c r="T280" s="563" t="s">
        <v>3229</v>
      </c>
      <c r="U280" s="563" t="s">
        <v>3229</v>
      </c>
      <c r="V280" s="563" t="s">
        <v>3229</v>
      </c>
      <c r="W280" s="563" t="s">
        <v>3229</v>
      </c>
      <c r="X280" s="563" t="s">
        <v>3229</v>
      </c>
      <c r="Y280" s="563" t="s">
        <v>3229</v>
      </c>
      <c r="Z280" s="563" t="s">
        <v>3229</v>
      </c>
      <c r="AA280" s="563" t="s">
        <v>3229</v>
      </c>
      <c r="AB280" s="563" t="s">
        <v>3229</v>
      </c>
      <c r="AC280" s="563" t="s">
        <v>3229</v>
      </c>
      <c r="AD280" s="563" t="s">
        <v>3229</v>
      </c>
      <c r="AE280" s="563" t="s">
        <v>3229</v>
      </c>
      <c r="AF280" s="3764" t="s">
        <v>781</v>
      </c>
      <c r="AG280" s="3765"/>
      <c r="AH280" s="673" t="s">
        <v>3229</v>
      </c>
      <c r="AI280" s="673" t="s">
        <v>3229</v>
      </c>
      <c r="AJ280" s="673" t="s">
        <v>3229</v>
      </c>
      <c r="AK280" s="673" t="s">
        <v>3229</v>
      </c>
      <c r="AL280" s="673" t="s">
        <v>3229</v>
      </c>
      <c r="AM280" s="590">
        <v>1</v>
      </c>
      <c r="AN280" s="638">
        <v>0.24322482352416733</v>
      </c>
      <c r="AO280" s="625">
        <v>12.43</v>
      </c>
      <c r="AP280" s="1368">
        <v>0.24322482352416733</v>
      </c>
      <c r="AQ280" s="658">
        <v>0.26236206330012551</v>
      </c>
      <c r="AR280" s="558" t="s">
        <v>3660</v>
      </c>
      <c r="AS280" s="558"/>
      <c r="AT280" s="648"/>
      <c r="AU280" s="559"/>
      <c r="AV280" s="558">
        <v>0</v>
      </c>
      <c r="AW280" s="558">
        <v>0</v>
      </c>
      <c r="AX280" s="589"/>
      <c r="AY280" s="587"/>
      <c r="AZ280" s="676">
        <v>10</v>
      </c>
      <c r="BA280" s="644" t="s">
        <v>3301</v>
      </c>
      <c r="BB280" s="570"/>
      <c r="BC280" s="637"/>
      <c r="BH280" s="3763"/>
      <c r="BI280" s="3763"/>
      <c r="BJ280" s="1639"/>
      <c r="BK280" s="1639"/>
      <c r="BL280" s="1639"/>
      <c r="BM280" s="1639"/>
      <c r="BN280" s="1639"/>
      <c r="BO280" s="1639"/>
      <c r="BP280" s="1639"/>
      <c r="BQ280" s="1639"/>
      <c r="BR280" s="1639"/>
      <c r="BS280" s="509"/>
      <c r="BT280" s="509"/>
      <c r="BU280" s="509"/>
      <c r="BV280" s="509"/>
      <c r="BW280" s="509"/>
      <c r="BX280" s="509"/>
      <c r="BY280" s="509"/>
      <c r="BZ280" s="509"/>
      <c r="CA280" s="509"/>
      <c r="CB280" s="509"/>
      <c r="CC280" s="509"/>
      <c r="CD280" s="509"/>
      <c r="CE280" s="509"/>
      <c r="CF280" s="509"/>
      <c r="CG280" s="509"/>
      <c r="CH280" s="509"/>
      <c r="CI280" s="509"/>
      <c r="CJ280" s="509"/>
      <c r="CK280" s="509"/>
      <c r="CL280" s="509"/>
      <c r="CM280" s="509"/>
      <c r="CN280" s="509"/>
      <c r="CO280" s="509"/>
      <c r="CP280" s="509"/>
      <c r="CQ280" s="509"/>
      <c r="CR280" s="509"/>
      <c r="CS280" s="509"/>
      <c r="CT280" s="509"/>
      <c r="CU280" s="509"/>
      <c r="CV280" s="509"/>
      <c r="CW280" s="509"/>
      <c r="CX280" s="509"/>
      <c r="CY280" s="509"/>
      <c r="CZ280" s="509"/>
      <c r="DA280" s="509"/>
      <c r="DB280" s="509"/>
      <c r="DC280" s="509"/>
      <c r="DD280" s="509"/>
      <c r="DE280" s="509"/>
      <c r="DF280" s="509"/>
      <c r="DG280" s="509"/>
      <c r="DH280" s="509"/>
      <c r="DI280" s="509"/>
      <c r="DJ280" s="509"/>
      <c r="DK280" s="509"/>
      <c r="DL280" s="509"/>
      <c r="DM280" s="509"/>
      <c r="DN280" s="509"/>
      <c r="DO280" s="509"/>
      <c r="DP280" s="509"/>
      <c r="DQ280" s="509"/>
      <c r="DR280" s="509"/>
      <c r="DS280" s="509"/>
      <c r="DT280" s="509"/>
      <c r="DU280" s="509"/>
      <c r="DV280" s="509"/>
      <c r="DW280" s="509"/>
      <c r="DX280" s="509"/>
      <c r="DY280" s="509"/>
      <c r="DZ280" s="509"/>
      <c r="EA280" s="509"/>
      <c r="EB280" s="509"/>
      <c r="EC280" s="509"/>
      <c r="ED280" s="509"/>
      <c r="EE280" s="509"/>
      <c r="EF280" s="509"/>
      <c r="EG280" s="509"/>
      <c r="EH280" s="509"/>
      <c r="EI280" s="509"/>
      <c r="EJ280" s="509"/>
      <c r="EK280" s="509"/>
      <c r="EL280" s="509"/>
      <c r="EM280" s="509"/>
      <c r="EN280" s="509"/>
      <c r="EO280" s="509"/>
      <c r="EP280" s="509"/>
      <c r="EQ280" s="509"/>
      <c r="ER280" s="509"/>
      <c r="ES280" s="509"/>
      <c r="ET280" s="509"/>
      <c r="EU280" s="509"/>
      <c r="EV280" s="509"/>
      <c r="EW280" s="509"/>
      <c r="EX280" s="509"/>
      <c r="EY280" s="509"/>
      <c r="EZ280" s="509"/>
      <c r="FA280" s="509"/>
      <c r="FB280" s="509"/>
      <c r="FC280" s="509"/>
      <c r="FD280" s="509"/>
      <c r="FE280" s="509"/>
      <c r="FF280" s="509"/>
      <c r="FG280" s="509"/>
      <c r="FH280" s="509"/>
      <c r="FI280" s="509"/>
      <c r="FJ280" s="509"/>
      <c r="FK280" s="509"/>
      <c r="FL280" s="509"/>
      <c r="FM280" s="509"/>
      <c r="FN280" s="509"/>
      <c r="FO280" s="509"/>
      <c r="FP280" s="509"/>
      <c r="FQ280" s="509"/>
      <c r="FR280" s="509"/>
      <c r="FS280" s="509"/>
      <c r="FT280" s="509"/>
      <c r="FU280" s="509"/>
      <c r="FV280" s="509"/>
      <c r="FW280" s="509"/>
      <c r="FX280" s="509"/>
      <c r="FY280" s="509"/>
      <c r="FZ280" s="509"/>
      <c r="GA280" s="509"/>
      <c r="GB280" s="509"/>
      <c r="GC280" s="509"/>
      <c r="GD280" s="509"/>
      <c r="GE280" s="509"/>
      <c r="GF280" s="509"/>
      <c r="GG280" s="509"/>
      <c r="GH280" s="509"/>
      <c r="GI280" s="509"/>
      <c r="GJ280" s="509"/>
      <c r="GK280" s="509"/>
      <c r="GL280" s="509"/>
      <c r="GM280" s="509"/>
      <c r="GN280" s="509"/>
      <c r="GO280" s="509"/>
      <c r="GP280" s="509"/>
      <c r="GQ280" s="509"/>
      <c r="GR280" s="509"/>
      <c r="GS280" s="509"/>
      <c r="GT280" s="509"/>
      <c r="GU280" s="509"/>
      <c r="GV280" s="509"/>
      <c r="GW280" s="509"/>
      <c r="GX280" s="509"/>
      <c r="GY280" s="509"/>
      <c r="GZ280" s="509"/>
      <c r="HA280" s="509"/>
      <c r="HB280" s="509"/>
      <c r="HC280" s="509"/>
      <c r="HD280" s="509"/>
      <c r="HE280" s="509"/>
      <c r="HF280" s="509"/>
      <c r="HG280" s="509"/>
      <c r="HH280" s="509"/>
      <c r="HI280" s="509"/>
      <c r="HJ280" s="509"/>
      <c r="HK280" s="509"/>
      <c r="HL280" s="509"/>
      <c r="HM280" s="509"/>
      <c r="HN280" s="509"/>
      <c r="HO280" s="509"/>
      <c r="HP280" s="509"/>
      <c r="HQ280" s="509"/>
      <c r="HR280" s="509"/>
      <c r="HS280" s="509"/>
      <c r="HT280" s="509"/>
      <c r="HU280" s="509"/>
      <c r="HV280" s="509"/>
      <c r="HW280" s="509"/>
      <c r="HX280" s="509"/>
      <c r="HY280" s="509"/>
      <c r="HZ280" s="509"/>
    </row>
    <row r="281" spans="1:234" ht="15.9" hidden="1" customHeight="1" x14ac:dyDescent="0.25">
      <c r="A281" s="540" t="s">
        <v>1563</v>
      </c>
      <c r="B281" s="523" t="s">
        <v>1564</v>
      </c>
      <c r="C281" s="524" t="s">
        <v>1565</v>
      </c>
      <c r="D281" s="553" t="s">
        <v>189</v>
      </c>
      <c r="E281" s="524" t="s">
        <v>905</v>
      </c>
      <c r="F281" s="544">
        <v>40242</v>
      </c>
      <c r="G281" s="586">
        <v>40210</v>
      </c>
      <c r="H281" s="544">
        <v>40235</v>
      </c>
      <c r="I281" s="588">
        <v>42094</v>
      </c>
      <c r="J281" s="595">
        <v>10</v>
      </c>
      <c r="K281" s="561" t="s">
        <v>3229</v>
      </c>
      <c r="L281" s="553" t="s">
        <v>3229</v>
      </c>
      <c r="M281" s="600">
        <v>0</v>
      </c>
      <c r="N281" s="601">
        <v>0.8</v>
      </c>
      <c r="O281" s="596">
        <v>0.42</v>
      </c>
      <c r="P281" s="596" t="s">
        <v>3229</v>
      </c>
      <c r="Q281" s="575" t="s">
        <v>3229</v>
      </c>
      <c r="R281" s="596" t="s">
        <v>3229</v>
      </c>
      <c r="S281" s="597"/>
      <c r="T281" s="563" t="s">
        <v>3229</v>
      </c>
      <c r="U281" s="563" t="s">
        <v>3229</v>
      </c>
      <c r="V281" s="563" t="s">
        <v>3229</v>
      </c>
      <c r="W281" s="563" t="s">
        <v>3229</v>
      </c>
      <c r="X281" s="563" t="s">
        <v>3229</v>
      </c>
      <c r="Y281" s="563" t="s">
        <v>3229</v>
      </c>
      <c r="Z281" s="563" t="s">
        <v>3229</v>
      </c>
      <c r="AA281" s="563" t="s">
        <v>3229</v>
      </c>
      <c r="AB281" s="563" t="s">
        <v>3229</v>
      </c>
      <c r="AC281" s="563" t="s">
        <v>3229</v>
      </c>
      <c r="AD281" s="563" t="s">
        <v>3229</v>
      </c>
      <c r="AE281" s="563" t="s">
        <v>3229</v>
      </c>
      <c r="AF281" s="3764" t="s">
        <v>781</v>
      </c>
      <c r="AG281" s="3765"/>
      <c r="AH281" s="673" t="s">
        <v>3229</v>
      </c>
      <c r="AI281" s="673" t="s">
        <v>3229</v>
      </c>
      <c r="AJ281" s="673" t="s">
        <v>3229</v>
      </c>
      <c r="AK281" s="673" t="s">
        <v>3229</v>
      </c>
      <c r="AL281" s="673" t="s">
        <v>3229</v>
      </c>
      <c r="AM281" s="590">
        <v>1</v>
      </c>
      <c r="AN281" s="638">
        <v>0.30491619999999992</v>
      </c>
      <c r="AO281" s="625">
        <v>13.05</v>
      </c>
      <c r="AP281" s="1368">
        <v>0.38114524999999988</v>
      </c>
      <c r="AQ281" s="606">
        <v>0.40151427490586261</v>
      </c>
      <c r="AR281" s="632">
        <v>0.42</v>
      </c>
      <c r="AS281" s="558">
        <v>7.1552938495399232E-2</v>
      </c>
      <c r="AT281" s="648">
        <v>8.9792785878741288E-2</v>
      </c>
      <c r="AU281" s="559">
        <v>1.6665773531909607</v>
      </c>
      <c r="AV281" s="558">
        <v>0.3049</v>
      </c>
      <c r="AW281" s="558">
        <f t="shared" si="56"/>
        <v>5.3849150980037175E-2</v>
      </c>
      <c r="AX281" s="558">
        <v>-0.23254029163468914</v>
      </c>
      <c r="AY281" s="559">
        <v>-0.95114429796592181</v>
      </c>
      <c r="AZ281" s="642">
        <v>10</v>
      </c>
      <c r="BA281" s="644" t="s">
        <v>3190</v>
      </c>
      <c r="BB281" s="570"/>
      <c r="BC281" s="637"/>
      <c r="BH281" s="3763"/>
      <c r="BI281" s="3763"/>
      <c r="BJ281" s="1639"/>
      <c r="BK281" s="1639"/>
      <c r="BL281" s="1639"/>
      <c r="BM281" s="1639"/>
      <c r="BN281" s="1639"/>
      <c r="BO281" s="1639"/>
      <c r="BP281" s="1639"/>
      <c r="BQ281" s="1639"/>
      <c r="BR281" s="1639"/>
      <c r="BS281" s="509"/>
      <c r="BT281" s="509"/>
      <c r="BU281" s="509"/>
      <c r="BV281" s="509"/>
      <c r="BW281" s="509"/>
      <c r="BX281" s="509"/>
      <c r="BY281" s="509"/>
      <c r="BZ281" s="509"/>
      <c r="CA281" s="509"/>
      <c r="CB281" s="509"/>
      <c r="CC281" s="509"/>
      <c r="CD281" s="509"/>
      <c r="CE281" s="509"/>
      <c r="CF281" s="509"/>
      <c r="CG281" s="509"/>
      <c r="CH281" s="509"/>
      <c r="CI281" s="509"/>
      <c r="CJ281" s="509"/>
      <c r="CK281" s="509"/>
      <c r="CL281" s="509"/>
      <c r="CM281" s="509"/>
      <c r="CN281" s="509"/>
      <c r="CO281" s="509"/>
      <c r="CP281" s="509"/>
      <c r="CQ281" s="509"/>
      <c r="CR281" s="509"/>
      <c r="CS281" s="509"/>
      <c r="CT281" s="509"/>
      <c r="CU281" s="509"/>
      <c r="CV281" s="509"/>
      <c r="CW281" s="509"/>
      <c r="CX281" s="509"/>
      <c r="CY281" s="509"/>
      <c r="CZ281" s="509"/>
      <c r="DA281" s="509"/>
      <c r="DB281" s="509"/>
      <c r="DC281" s="509"/>
      <c r="DD281" s="509"/>
      <c r="DE281" s="509"/>
      <c r="DF281" s="509"/>
      <c r="DG281" s="509"/>
      <c r="DH281" s="509"/>
      <c r="DI281" s="509"/>
      <c r="DJ281" s="509"/>
      <c r="DK281" s="509"/>
      <c r="DL281" s="509"/>
      <c r="DM281" s="509"/>
      <c r="DN281" s="509"/>
      <c r="DO281" s="509"/>
      <c r="DP281" s="509"/>
      <c r="DQ281" s="509"/>
      <c r="DR281" s="509"/>
      <c r="DS281" s="509"/>
      <c r="DT281" s="509"/>
      <c r="DU281" s="509"/>
      <c r="DV281" s="509"/>
      <c r="DW281" s="509"/>
      <c r="DX281" s="509"/>
      <c r="DY281" s="509"/>
      <c r="DZ281" s="509"/>
      <c r="EA281" s="509"/>
      <c r="EB281" s="509"/>
      <c r="EC281" s="509"/>
      <c r="ED281" s="509"/>
      <c r="EE281" s="509"/>
      <c r="EF281" s="509"/>
      <c r="EG281" s="509"/>
      <c r="EH281" s="509"/>
      <c r="EI281" s="509"/>
      <c r="EJ281" s="509"/>
      <c r="EK281" s="509"/>
      <c r="EL281" s="509"/>
      <c r="EM281" s="509"/>
      <c r="EN281" s="509"/>
      <c r="EO281" s="509"/>
      <c r="EP281" s="509"/>
      <c r="EQ281" s="509"/>
      <c r="ER281" s="509"/>
      <c r="ES281" s="509"/>
      <c r="ET281" s="509"/>
      <c r="EU281" s="509"/>
      <c r="EV281" s="509"/>
      <c r="EW281" s="509"/>
      <c r="EX281" s="509"/>
      <c r="EY281" s="509"/>
      <c r="EZ281" s="509"/>
      <c r="FA281" s="509"/>
      <c r="FB281" s="509"/>
      <c r="FC281" s="509"/>
      <c r="FD281" s="509"/>
      <c r="FE281" s="509"/>
      <c r="FF281" s="509"/>
      <c r="FG281" s="509"/>
      <c r="FH281" s="509"/>
      <c r="FI281" s="509"/>
      <c r="FJ281" s="509"/>
      <c r="FK281" s="509"/>
      <c r="FL281" s="509"/>
      <c r="FM281" s="509"/>
      <c r="FN281" s="509"/>
      <c r="FO281" s="509"/>
      <c r="FP281" s="509"/>
      <c r="FQ281" s="509"/>
      <c r="FR281" s="509"/>
      <c r="FS281" s="509"/>
      <c r="FT281" s="509"/>
      <c r="FU281" s="509"/>
      <c r="FV281" s="509"/>
      <c r="FW281" s="509"/>
      <c r="FX281" s="509"/>
      <c r="FY281" s="509"/>
      <c r="FZ281" s="509"/>
      <c r="GA281" s="509"/>
      <c r="GB281" s="509"/>
      <c r="GC281" s="509"/>
      <c r="GD281" s="509"/>
      <c r="GE281" s="509"/>
      <c r="GF281" s="509"/>
      <c r="GG281" s="509"/>
      <c r="GH281" s="509"/>
      <c r="GI281" s="509"/>
      <c r="GJ281" s="509"/>
      <c r="GK281" s="509"/>
      <c r="GL281" s="509"/>
      <c r="GM281" s="509"/>
      <c r="GN281" s="509"/>
      <c r="GO281" s="509"/>
      <c r="GP281" s="509"/>
      <c r="GQ281" s="509"/>
      <c r="GR281" s="509"/>
      <c r="GS281" s="509"/>
      <c r="GT281" s="509"/>
      <c r="GU281" s="509"/>
      <c r="GV281" s="509"/>
      <c r="GW281" s="509"/>
      <c r="GX281" s="509"/>
      <c r="GY281" s="509"/>
      <c r="GZ281" s="509"/>
      <c r="HA281" s="509"/>
      <c r="HB281" s="509"/>
      <c r="HC281" s="509"/>
      <c r="HD281" s="509"/>
      <c r="HE281" s="509"/>
      <c r="HF281" s="509"/>
      <c r="HG281" s="509"/>
      <c r="HH281" s="509"/>
      <c r="HI281" s="509"/>
      <c r="HJ281" s="509"/>
      <c r="HK281" s="509"/>
      <c r="HL281" s="509"/>
      <c r="HM281" s="509"/>
      <c r="HN281" s="509"/>
      <c r="HO281" s="509"/>
      <c r="HP281" s="509"/>
      <c r="HQ281" s="509"/>
      <c r="HR281" s="509"/>
      <c r="HS281" s="509"/>
      <c r="HT281" s="509"/>
      <c r="HU281" s="509"/>
      <c r="HV281" s="509"/>
      <c r="HW281" s="509"/>
      <c r="HX281" s="509"/>
      <c r="HY281" s="509"/>
      <c r="HZ281" s="509"/>
    </row>
    <row r="282" spans="1:234" ht="15.9" hidden="1" customHeight="1" x14ac:dyDescent="0.25">
      <c r="A282" s="540" t="s">
        <v>843</v>
      </c>
      <c r="B282" s="523" t="s">
        <v>844</v>
      </c>
      <c r="C282" s="524" t="s">
        <v>845</v>
      </c>
      <c r="D282" s="553" t="s">
        <v>1859</v>
      </c>
      <c r="E282" s="524" t="s">
        <v>3228</v>
      </c>
      <c r="F282" s="544">
        <v>40305</v>
      </c>
      <c r="G282" s="586">
        <v>40238</v>
      </c>
      <c r="H282" s="544">
        <v>40298</v>
      </c>
      <c r="I282" s="588">
        <v>41971</v>
      </c>
      <c r="J282" s="595">
        <v>10</v>
      </c>
      <c r="K282" s="561">
        <v>0</v>
      </c>
      <c r="L282" s="553">
        <v>0.08</v>
      </c>
      <c r="M282" s="600">
        <v>0.03</v>
      </c>
      <c r="N282" s="601" t="s">
        <v>3229</v>
      </c>
      <c r="O282" s="596">
        <v>0.27</v>
      </c>
      <c r="P282" s="596" t="s">
        <v>3229</v>
      </c>
      <c r="Q282" s="575">
        <v>0.03</v>
      </c>
      <c r="R282" s="596" t="s">
        <v>3229</v>
      </c>
      <c r="S282" s="597">
        <v>4</v>
      </c>
      <c r="T282" s="563">
        <v>40634</v>
      </c>
      <c r="U282" s="563">
        <v>41000</v>
      </c>
      <c r="V282" s="563">
        <v>41365</v>
      </c>
      <c r="W282" s="563">
        <v>41945</v>
      </c>
      <c r="X282" s="563" t="s">
        <v>3229</v>
      </c>
      <c r="Y282" s="563" t="s">
        <v>3229</v>
      </c>
      <c r="Z282" s="563" t="s">
        <v>3229</v>
      </c>
      <c r="AA282" s="563" t="s">
        <v>3229</v>
      </c>
      <c r="AB282" s="563" t="s">
        <v>3229</v>
      </c>
      <c r="AC282" s="563" t="s">
        <v>3229</v>
      </c>
      <c r="AD282" s="563" t="s">
        <v>3229</v>
      </c>
      <c r="AE282" s="563" t="s">
        <v>3229</v>
      </c>
      <c r="AF282" s="3764" t="s">
        <v>781</v>
      </c>
      <c r="AG282" s="3765"/>
      <c r="AH282" s="673" t="s">
        <v>3229</v>
      </c>
      <c r="AI282" s="673" t="s">
        <v>3229</v>
      </c>
      <c r="AJ282" s="673" t="s">
        <v>3229</v>
      </c>
      <c r="AK282" s="673" t="s">
        <v>3229</v>
      </c>
      <c r="AL282" s="673" t="s">
        <v>3229</v>
      </c>
      <c r="AM282" s="590">
        <v>1</v>
      </c>
      <c r="AN282" s="638">
        <v>4.3799999999999999E-2</v>
      </c>
      <c r="AO282" s="625">
        <v>10.44</v>
      </c>
      <c r="AP282" s="1368">
        <v>-8.5755642787768895E-3</v>
      </c>
      <c r="AQ282" s="606">
        <v>0.37130779025314548</v>
      </c>
      <c r="AR282" s="632">
        <v>0.27</v>
      </c>
      <c r="AS282" s="558">
        <v>5.3760977105906216E-2</v>
      </c>
      <c r="AT282" s="648">
        <v>0.21764141898370082</v>
      </c>
      <c r="AU282" s="559"/>
      <c r="AV282" s="558">
        <v>0.03</v>
      </c>
      <c r="AW282" s="558">
        <v>6.4969824978162727E-3</v>
      </c>
      <c r="AX282" s="558">
        <v>-1.2464046021092856E-2</v>
      </c>
      <c r="AY282" s="559">
        <v>-0.27891452784537296</v>
      </c>
      <c r="AZ282" s="642">
        <v>10.3</v>
      </c>
      <c r="BA282" s="644" t="s">
        <v>1685</v>
      </c>
      <c r="BB282" s="570" t="s">
        <v>2025</v>
      </c>
      <c r="BC282" s="637" t="s">
        <v>2895</v>
      </c>
      <c r="BH282" s="3763"/>
      <c r="BI282" s="3763"/>
      <c r="BJ282" s="1639"/>
      <c r="BK282" s="1639"/>
      <c r="BL282" s="1639"/>
      <c r="BM282" s="1639"/>
      <c r="BN282" s="1639"/>
      <c r="BO282" s="1639"/>
      <c r="BP282" s="1639"/>
      <c r="BQ282" s="1639"/>
      <c r="BR282" s="1639"/>
      <c r="BS282" s="509"/>
      <c r="BT282" s="509"/>
      <c r="BU282" s="509"/>
      <c r="BV282" s="509"/>
      <c r="BW282" s="509"/>
      <c r="BX282" s="509"/>
      <c r="BY282" s="509"/>
      <c r="BZ282" s="509"/>
      <c r="CA282" s="509"/>
      <c r="CB282" s="509"/>
      <c r="CC282" s="509"/>
      <c r="CD282" s="509"/>
      <c r="CE282" s="509"/>
      <c r="CF282" s="509"/>
      <c r="CG282" s="509"/>
      <c r="CH282" s="509"/>
      <c r="CI282" s="509"/>
      <c r="CJ282" s="509"/>
      <c r="CK282" s="509"/>
      <c r="CL282" s="509"/>
      <c r="CM282" s="509"/>
      <c r="CN282" s="509"/>
      <c r="CO282" s="509"/>
      <c r="CP282" s="509"/>
      <c r="CQ282" s="509"/>
      <c r="CR282" s="509"/>
      <c r="CS282" s="509"/>
      <c r="CT282" s="509"/>
      <c r="CU282" s="509"/>
      <c r="CV282" s="509"/>
      <c r="CW282" s="509"/>
      <c r="CX282" s="509"/>
      <c r="CY282" s="509"/>
      <c r="CZ282" s="509"/>
      <c r="DA282" s="509"/>
      <c r="DB282" s="509"/>
      <c r="DC282" s="509"/>
      <c r="DD282" s="509"/>
      <c r="DE282" s="509"/>
      <c r="DF282" s="509"/>
      <c r="DG282" s="509"/>
      <c r="DH282" s="509"/>
      <c r="DI282" s="509"/>
      <c r="DJ282" s="509"/>
      <c r="DK282" s="509"/>
      <c r="DL282" s="509"/>
      <c r="DM282" s="509"/>
      <c r="DN282" s="509"/>
      <c r="DO282" s="509"/>
      <c r="DP282" s="509"/>
      <c r="DQ282" s="509"/>
      <c r="DR282" s="509"/>
      <c r="DS282" s="509"/>
      <c r="DT282" s="509"/>
      <c r="DU282" s="509"/>
      <c r="DV282" s="509"/>
      <c r="DW282" s="509"/>
      <c r="DX282" s="509"/>
      <c r="DY282" s="509"/>
      <c r="DZ282" s="509"/>
      <c r="EA282" s="509"/>
      <c r="EB282" s="509"/>
      <c r="EC282" s="509"/>
      <c r="ED282" s="509"/>
      <c r="EE282" s="509"/>
      <c r="EF282" s="509"/>
      <c r="EG282" s="509"/>
      <c r="EH282" s="509"/>
      <c r="EI282" s="509"/>
      <c r="EJ282" s="509"/>
      <c r="EK282" s="509"/>
      <c r="EL282" s="509"/>
      <c r="EM282" s="509"/>
      <c r="EN282" s="509"/>
      <c r="EO282" s="509"/>
      <c r="EP282" s="509"/>
      <c r="EQ282" s="509"/>
      <c r="ER282" s="509"/>
      <c r="ES282" s="509"/>
      <c r="ET282" s="509"/>
      <c r="EU282" s="509"/>
      <c r="EV282" s="509"/>
      <c r="EW282" s="509"/>
      <c r="EX282" s="509"/>
      <c r="EY282" s="509"/>
      <c r="EZ282" s="509"/>
      <c r="FA282" s="509"/>
      <c r="FB282" s="509"/>
      <c r="FC282" s="509"/>
      <c r="FD282" s="509"/>
      <c r="FE282" s="509"/>
      <c r="FF282" s="509"/>
      <c r="FG282" s="509"/>
      <c r="FH282" s="509"/>
      <c r="FI282" s="509"/>
      <c r="FJ282" s="509"/>
      <c r="FK282" s="509"/>
      <c r="FL282" s="509"/>
      <c r="FM282" s="509"/>
      <c r="FN282" s="509"/>
      <c r="FO282" s="509"/>
      <c r="FP282" s="509"/>
      <c r="FQ282" s="509"/>
      <c r="FR282" s="509"/>
      <c r="FS282" s="509"/>
      <c r="FT282" s="509"/>
      <c r="FU282" s="509"/>
      <c r="FV282" s="509"/>
      <c r="FW282" s="509"/>
      <c r="FX282" s="509"/>
      <c r="FY282" s="509"/>
      <c r="FZ282" s="509"/>
      <c r="GA282" s="509"/>
      <c r="GB282" s="509"/>
      <c r="GC282" s="509"/>
      <c r="GD282" s="509"/>
      <c r="GE282" s="509"/>
      <c r="GF282" s="509"/>
      <c r="GG282" s="509"/>
      <c r="GH282" s="509"/>
      <c r="GI282" s="509"/>
      <c r="GJ282" s="509"/>
      <c r="GK282" s="509"/>
      <c r="GL282" s="509"/>
      <c r="GM282" s="509"/>
      <c r="GN282" s="509"/>
      <c r="GO282" s="509"/>
      <c r="GP282" s="509"/>
      <c r="GQ282" s="509"/>
      <c r="GR282" s="509"/>
      <c r="GS282" s="509"/>
      <c r="GT282" s="509"/>
      <c r="GU282" s="509"/>
      <c r="GV282" s="509"/>
      <c r="GW282" s="509"/>
      <c r="GX282" s="509"/>
      <c r="GY282" s="509"/>
      <c r="GZ282" s="509"/>
      <c r="HA282" s="509"/>
      <c r="HB282" s="509"/>
      <c r="HC282" s="509"/>
      <c r="HD282" s="509"/>
      <c r="HE282" s="509"/>
      <c r="HF282" s="509"/>
      <c r="HG282" s="509"/>
      <c r="HH282" s="509"/>
      <c r="HI282" s="509"/>
      <c r="HJ282" s="509"/>
      <c r="HK282" s="509"/>
      <c r="HL282" s="509"/>
      <c r="HM282" s="509"/>
      <c r="HN282" s="509"/>
      <c r="HO282" s="509"/>
      <c r="HP282" s="509"/>
      <c r="HQ282" s="509"/>
      <c r="HR282" s="509"/>
      <c r="HS282" s="509"/>
      <c r="HT282" s="509"/>
      <c r="HU282" s="509"/>
      <c r="HV282" s="509"/>
      <c r="HW282" s="509"/>
      <c r="HX282" s="509"/>
      <c r="HY282" s="509"/>
      <c r="HZ282" s="509"/>
    </row>
    <row r="283" spans="1:234" s="206" customFormat="1" ht="15.9" hidden="1" customHeight="1" x14ac:dyDescent="0.25">
      <c r="A283" s="541" t="s">
        <v>3377</v>
      </c>
      <c r="B283" s="523" t="s">
        <v>3378</v>
      </c>
      <c r="C283" s="524" t="s">
        <v>3379</v>
      </c>
      <c r="D283" s="551" t="s">
        <v>1859</v>
      </c>
      <c r="E283" s="569" t="s">
        <v>3228</v>
      </c>
      <c r="F283" s="543">
        <v>40277</v>
      </c>
      <c r="G283" s="544">
        <v>40238</v>
      </c>
      <c r="H283" s="544">
        <v>40268</v>
      </c>
      <c r="I283" s="616">
        <v>41578</v>
      </c>
      <c r="J283" s="579">
        <v>10</v>
      </c>
      <c r="K283" s="553" t="s">
        <v>3229</v>
      </c>
      <c r="L283" s="552" t="s">
        <v>3229</v>
      </c>
      <c r="M283" s="560">
        <v>0</v>
      </c>
      <c r="N283" s="606">
        <v>1</v>
      </c>
      <c r="O283" s="613" t="s">
        <v>3229</v>
      </c>
      <c r="P283" s="575" t="s">
        <v>3229</v>
      </c>
      <c r="Q283" s="575" t="s">
        <v>3229</v>
      </c>
      <c r="R283" s="575" t="s">
        <v>3229</v>
      </c>
      <c r="S283" s="570"/>
      <c r="T283" s="617" t="s">
        <v>3229</v>
      </c>
      <c r="U283" s="563" t="s">
        <v>3229</v>
      </c>
      <c r="V283" s="563" t="s">
        <v>3229</v>
      </c>
      <c r="W283" s="563" t="s">
        <v>3229</v>
      </c>
      <c r="X283" s="563" t="s">
        <v>3229</v>
      </c>
      <c r="Y283" s="598" t="s">
        <v>3229</v>
      </c>
      <c r="Z283" s="598" t="s">
        <v>3229</v>
      </c>
      <c r="AA283" s="598" t="s">
        <v>3229</v>
      </c>
      <c r="AB283" s="598" t="s">
        <v>3229</v>
      </c>
      <c r="AC283" s="598" t="s">
        <v>3229</v>
      </c>
      <c r="AD283" s="598" t="s">
        <v>3229</v>
      </c>
      <c r="AE283" s="598" t="s">
        <v>3229</v>
      </c>
      <c r="AF283" s="3764" t="s">
        <v>781</v>
      </c>
      <c r="AG283" s="3765"/>
      <c r="AH283" s="1301" t="s">
        <v>3229</v>
      </c>
      <c r="AI283" s="1301" t="s">
        <v>3229</v>
      </c>
      <c r="AJ283" s="1301" t="s">
        <v>3229</v>
      </c>
      <c r="AK283" s="530" t="s">
        <v>3229</v>
      </c>
      <c r="AL283" s="530" t="s">
        <v>3229</v>
      </c>
      <c r="AM283" s="659">
        <v>1</v>
      </c>
      <c r="AN283" s="638">
        <v>0</v>
      </c>
      <c r="AO283" s="625">
        <v>10.029999999999999</v>
      </c>
      <c r="AP283" s="688">
        <v>-1.1636357142857148E-2</v>
      </c>
      <c r="AQ283" s="606">
        <v>0.12974058355760845</v>
      </c>
      <c r="AR283" s="600" t="s">
        <v>3660</v>
      </c>
      <c r="AS283" s="548"/>
      <c r="AT283" s="548"/>
      <c r="AU283" s="549"/>
      <c r="AV283" s="558">
        <f t="shared" si="59"/>
        <v>0</v>
      </c>
      <c r="AW283" s="558">
        <f t="shared" si="56"/>
        <v>0</v>
      </c>
      <c r="AX283" s="589">
        <f t="shared" si="57"/>
        <v>-2.9910269192422456E-3</v>
      </c>
      <c r="AY283" s="587" t="e">
        <f t="shared" si="58"/>
        <v>#DIV/0!</v>
      </c>
      <c r="AZ283" s="676">
        <f>J283*(1+AV283)</f>
        <v>10</v>
      </c>
      <c r="BA283" s="581" t="s">
        <v>574</v>
      </c>
      <c r="BB283" s="570"/>
      <c r="BC283" s="581"/>
      <c r="BD283" s="3691"/>
      <c r="BE283" s="3743"/>
      <c r="BF283" s="3743"/>
      <c r="BG283" s="3708"/>
      <c r="BH283" s="3762"/>
      <c r="BI283" s="3762"/>
      <c r="BJ283" s="39"/>
      <c r="BK283" s="39"/>
      <c r="BL283" s="39"/>
      <c r="BM283" s="39"/>
      <c r="BN283" s="39"/>
      <c r="BO283" s="39"/>
      <c r="BP283" s="39"/>
      <c r="BQ283" s="39"/>
      <c r="BR283" s="39"/>
      <c r="BS283" s="507"/>
      <c r="BT283" s="507"/>
      <c r="BU283" s="507"/>
      <c r="BV283" s="507"/>
      <c r="BW283" s="507"/>
      <c r="BX283" s="507"/>
      <c r="BY283" s="507"/>
      <c r="BZ283" s="507"/>
      <c r="CA283" s="507"/>
      <c r="CB283" s="507"/>
      <c r="CC283" s="507"/>
      <c r="CD283" s="507"/>
      <c r="CE283" s="507"/>
      <c r="CF283" s="507"/>
      <c r="CG283" s="507"/>
      <c r="CH283" s="507"/>
      <c r="CI283" s="507"/>
      <c r="CJ283" s="507"/>
      <c r="CK283" s="507"/>
      <c r="CL283" s="507"/>
      <c r="CM283" s="507"/>
      <c r="CN283" s="507"/>
      <c r="CO283" s="507"/>
      <c r="CP283" s="507"/>
      <c r="CQ283" s="507"/>
      <c r="CR283" s="507"/>
      <c r="CS283" s="507"/>
      <c r="CT283" s="507"/>
      <c r="CU283" s="507"/>
      <c r="CV283" s="507"/>
      <c r="CW283" s="507"/>
      <c r="CX283" s="507"/>
      <c r="CY283" s="507"/>
      <c r="CZ283" s="507"/>
      <c r="DA283" s="507"/>
      <c r="DB283" s="507"/>
      <c r="DC283" s="507"/>
      <c r="DD283" s="507"/>
      <c r="DE283" s="507"/>
      <c r="DF283" s="507"/>
      <c r="DG283" s="507"/>
      <c r="DH283" s="507"/>
      <c r="DI283" s="507"/>
      <c r="DJ283" s="507"/>
      <c r="DK283" s="507"/>
      <c r="DL283" s="507"/>
      <c r="DM283" s="507"/>
      <c r="DN283" s="507"/>
      <c r="DO283" s="507"/>
      <c r="DP283" s="507"/>
      <c r="DQ283" s="507"/>
      <c r="DR283" s="507"/>
      <c r="DS283" s="507"/>
      <c r="DT283" s="507"/>
      <c r="DU283" s="507"/>
      <c r="DV283" s="507"/>
      <c r="DW283" s="507"/>
      <c r="DX283" s="507"/>
      <c r="DY283" s="507"/>
      <c r="DZ283" s="507"/>
      <c r="EA283" s="507"/>
      <c r="EB283" s="507"/>
      <c r="EC283" s="507"/>
      <c r="ED283" s="507"/>
      <c r="EE283" s="507"/>
      <c r="EF283" s="507"/>
      <c r="EG283" s="507"/>
      <c r="EH283" s="507"/>
      <c r="EI283" s="507"/>
      <c r="EJ283" s="507"/>
      <c r="EK283" s="507"/>
      <c r="EL283" s="507"/>
      <c r="EM283" s="507"/>
      <c r="EN283" s="507"/>
      <c r="EO283" s="507"/>
      <c r="EP283" s="507"/>
      <c r="EQ283" s="507"/>
      <c r="ER283" s="507"/>
      <c r="ES283" s="507"/>
      <c r="ET283" s="507"/>
      <c r="EU283" s="507"/>
      <c r="EV283" s="507"/>
      <c r="EW283" s="507"/>
      <c r="EX283" s="507"/>
      <c r="EY283" s="507"/>
      <c r="EZ283" s="507"/>
      <c r="FA283" s="507"/>
      <c r="FB283" s="507"/>
      <c r="FC283" s="507"/>
      <c r="FD283" s="507"/>
      <c r="FE283" s="507"/>
      <c r="FF283" s="507"/>
      <c r="FG283" s="507"/>
      <c r="FH283" s="507"/>
      <c r="FI283" s="507"/>
      <c r="FJ283" s="507"/>
      <c r="FK283" s="507"/>
      <c r="FL283" s="507"/>
      <c r="FM283" s="507"/>
      <c r="FN283" s="507"/>
      <c r="FO283" s="507"/>
      <c r="FP283" s="507"/>
      <c r="FQ283" s="507"/>
      <c r="FR283" s="507"/>
      <c r="FS283" s="507"/>
      <c r="FT283" s="507"/>
      <c r="FU283" s="507"/>
      <c r="FV283" s="507"/>
      <c r="FW283" s="507"/>
      <c r="FX283" s="507"/>
      <c r="FY283" s="507"/>
      <c r="FZ283" s="507"/>
      <c r="GA283" s="507"/>
      <c r="GB283" s="507"/>
      <c r="GC283" s="507"/>
      <c r="GD283" s="507"/>
      <c r="GE283" s="507"/>
      <c r="GF283" s="507"/>
      <c r="GG283" s="507"/>
      <c r="GH283" s="507"/>
      <c r="GI283" s="507"/>
      <c r="GJ283" s="507"/>
      <c r="GK283" s="507"/>
      <c r="GL283" s="507"/>
      <c r="GM283" s="507"/>
      <c r="GN283" s="507"/>
      <c r="GO283" s="507"/>
      <c r="GP283" s="507"/>
      <c r="GQ283" s="507"/>
      <c r="GR283" s="507"/>
      <c r="GS283" s="507"/>
      <c r="GT283" s="507"/>
      <c r="GU283" s="507"/>
      <c r="GV283" s="507"/>
      <c r="GW283" s="507"/>
      <c r="GX283" s="507"/>
      <c r="GY283" s="507"/>
      <c r="GZ283" s="507"/>
      <c r="HA283" s="507"/>
      <c r="HB283" s="507"/>
      <c r="HC283" s="507"/>
      <c r="HD283" s="507"/>
      <c r="HE283" s="507"/>
      <c r="HF283" s="507"/>
      <c r="HG283" s="507"/>
      <c r="HH283" s="507"/>
      <c r="HI283" s="507"/>
      <c r="HJ283" s="507"/>
      <c r="HK283" s="507"/>
      <c r="HL283" s="507"/>
      <c r="HM283" s="507"/>
      <c r="HN283" s="507"/>
      <c r="HO283" s="507"/>
      <c r="HP283" s="507"/>
      <c r="HQ283" s="507"/>
      <c r="HR283" s="507"/>
      <c r="HS283" s="507"/>
      <c r="HT283" s="507"/>
      <c r="HU283" s="507"/>
      <c r="HV283" s="507"/>
      <c r="HW283" s="507"/>
      <c r="HX283" s="507"/>
      <c r="HY283" s="507"/>
      <c r="HZ283" s="507"/>
    </row>
    <row r="284" spans="1:234" s="206" customFormat="1" ht="15.9" hidden="1" customHeight="1" x14ac:dyDescent="0.25">
      <c r="A284" s="541" t="s">
        <v>3380</v>
      </c>
      <c r="B284" s="523" t="s">
        <v>1887</v>
      </c>
      <c r="C284" s="524" t="s">
        <v>864</v>
      </c>
      <c r="D284" s="551" t="s">
        <v>2158</v>
      </c>
      <c r="E284" s="569" t="s">
        <v>3228</v>
      </c>
      <c r="F284" s="543">
        <v>40277</v>
      </c>
      <c r="G284" s="544">
        <v>40238</v>
      </c>
      <c r="H284" s="544">
        <v>40268</v>
      </c>
      <c r="I284" s="616">
        <v>42307</v>
      </c>
      <c r="J284" s="579">
        <v>10</v>
      </c>
      <c r="K284" s="553" t="s">
        <v>3229</v>
      </c>
      <c r="L284" s="552" t="s">
        <v>3229</v>
      </c>
      <c r="M284" s="560">
        <v>0</v>
      </c>
      <c r="N284" s="606">
        <v>1</v>
      </c>
      <c r="O284" s="613" t="s">
        <v>3229</v>
      </c>
      <c r="P284" s="575" t="s">
        <v>3229</v>
      </c>
      <c r="Q284" s="575" t="s">
        <v>3229</v>
      </c>
      <c r="R284" s="575" t="s">
        <v>3229</v>
      </c>
      <c r="S284" s="570"/>
      <c r="T284" s="617" t="s">
        <v>3229</v>
      </c>
      <c r="U284" s="563" t="s">
        <v>3229</v>
      </c>
      <c r="V284" s="563" t="s">
        <v>3229</v>
      </c>
      <c r="W284" s="563" t="s">
        <v>3229</v>
      </c>
      <c r="X284" s="563" t="s">
        <v>3229</v>
      </c>
      <c r="Y284" s="598" t="s">
        <v>3229</v>
      </c>
      <c r="Z284" s="598" t="s">
        <v>3229</v>
      </c>
      <c r="AA284" s="598" t="s">
        <v>3229</v>
      </c>
      <c r="AB284" s="598" t="s">
        <v>3229</v>
      </c>
      <c r="AC284" s="598" t="s">
        <v>3229</v>
      </c>
      <c r="AD284" s="598" t="s">
        <v>3229</v>
      </c>
      <c r="AE284" s="598" t="s">
        <v>3229</v>
      </c>
      <c r="AF284" s="3764" t="s">
        <v>781</v>
      </c>
      <c r="AG284" s="3765"/>
      <c r="AH284" s="1301" t="s">
        <v>3229</v>
      </c>
      <c r="AI284" s="1301" t="s">
        <v>3229</v>
      </c>
      <c r="AJ284" s="1301" t="s">
        <v>3229</v>
      </c>
      <c r="AK284" s="530" t="s">
        <v>3229</v>
      </c>
      <c r="AL284" s="530" t="s">
        <v>3229</v>
      </c>
      <c r="AM284" s="659">
        <v>1</v>
      </c>
      <c r="AN284" s="638">
        <v>0.28910427777777781</v>
      </c>
      <c r="AO284" s="625">
        <v>12.86</v>
      </c>
      <c r="AP284" s="688">
        <v>0.28910427777777781</v>
      </c>
      <c r="AQ284" s="606">
        <v>0.23227162546888896</v>
      </c>
      <c r="AR284" s="600" t="s">
        <v>3660</v>
      </c>
      <c r="AS284" s="548"/>
      <c r="AT284" s="548"/>
      <c r="AU284" s="549"/>
      <c r="AV284" s="558">
        <v>0</v>
      </c>
      <c r="AW284" s="558">
        <v>0</v>
      </c>
      <c r="AX284" s="589">
        <v>-0.22239502332814931</v>
      </c>
      <c r="AY284" s="587">
        <v>-0.95312928821303533</v>
      </c>
      <c r="AZ284" s="676">
        <v>10</v>
      </c>
      <c r="BA284" s="581" t="s">
        <v>3113</v>
      </c>
      <c r="BB284" s="570"/>
      <c r="BC284" s="581"/>
      <c r="BD284" s="3691"/>
      <c r="BE284" s="3743"/>
      <c r="BF284" s="3743"/>
      <c r="BG284" s="3708"/>
      <c r="BH284" s="3762"/>
      <c r="BI284" s="3762"/>
      <c r="BJ284" s="39"/>
      <c r="BK284" s="39"/>
      <c r="BL284" s="39"/>
      <c r="BM284" s="39"/>
      <c r="BN284" s="39"/>
      <c r="BO284" s="39"/>
      <c r="BP284" s="39"/>
      <c r="BQ284" s="39"/>
      <c r="BR284" s="39"/>
      <c r="BS284" s="507"/>
      <c r="BT284" s="507"/>
      <c r="BU284" s="507"/>
      <c r="BV284" s="507"/>
      <c r="BW284" s="507"/>
      <c r="BX284" s="507"/>
      <c r="BY284" s="507"/>
      <c r="BZ284" s="507"/>
      <c r="CA284" s="507"/>
      <c r="CB284" s="507"/>
      <c r="CC284" s="507"/>
      <c r="CD284" s="507"/>
      <c r="CE284" s="507"/>
      <c r="CF284" s="507"/>
      <c r="CG284" s="507"/>
      <c r="CH284" s="507"/>
      <c r="CI284" s="507"/>
      <c r="CJ284" s="507"/>
      <c r="CK284" s="507"/>
      <c r="CL284" s="507"/>
      <c r="CM284" s="507"/>
      <c r="CN284" s="507"/>
      <c r="CO284" s="507"/>
      <c r="CP284" s="507"/>
      <c r="CQ284" s="507"/>
      <c r="CR284" s="507"/>
      <c r="CS284" s="507"/>
      <c r="CT284" s="507"/>
      <c r="CU284" s="507"/>
      <c r="CV284" s="507"/>
      <c r="CW284" s="507"/>
      <c r="CX284" s="507"/>
      <c r="CY284" s="507"/>
      <c r="CZ284" s="507"/>
      <c r="DA284" s="507"/>
      <c r="DB284" s="507"/>
      <c r="DC284" s="507"/>
      <c r="DD284" s="507"/>
      <c r="DE284" s="507"/>
      <c r="DF284" s="507"/>
      <c r="DG284" s="507"/>
      <c r="DH284" s="507"/>
      <c r="DI284" s="507"/>
      <c r="DJ284" s="507"/>
      <c r="DK284" s="507"/>
      <c r="DL284" s="507"/>
      <c r="DM284" s="507"/>
      <c r="DN284" s="507"/>
      <c r="DO284" s="507"/>
      <c r="DP284" s="507"/>
      <c r="DQ284" s="507"/>
      <c r="DR284" s="507"/>
      <c r="DS284" s="507"/>
      <c r="DT284" s="507"/>
      <c r="DU284" s="507"/>
      <c r="DV284" s="507"/>
      <c r="DW284" s="507"/>
      <c r="DX284" s="507"/>
      <c r="DY284" s="507"/>
      <c r="DZ284" s="507"/>
      <c r="EA284" s="507"/>
      <c r="EB284" s="507"/>
      <c r="EC284" s="507"/>
      <c r="ED284" s="507"/>
      <c r="EE284" s="507"/>
      <c r="EF284" s="507"/>
      <c r="EG284" s="507"/>
      <c r="EH284" s="507"/>
      <c r="EI284" s="507"/>
      <c r="EJ284" s="507"/>
      <c r="EK284" s="507"/>
      <c r="EL284" s="507"/>
      <c r="EM284" s="507"/>
      <c r="EN284" s="507"/>
      <c r="EO284" s="507"/>
      <c r="EP284" s="507"/>
      <c r="EQ284" s="507"/>
      <c r="ER284" s="507"/>
      <c r="ES284" s="507"/>
      <c r="ET284" s="507"/>
      <c r="EU284" s="507"/>
      <c r="EV284" s="507"/>
      <c r="EW284" s="507"/>
      <c r="EX284" s="507"/>
      <c r="EY284" s="507"/>
      <c r="EZ284" s="507"/>
      <c r="FA284" s="507"/>
      <c r="FB284" s="507"/>
      <c r="FC284" s="507"/>
      <c r="FD284" s="507"/>
      <c r="FE284" s="507"/>
      <c r="FF284" s="507"/>
      <c r="FG284" s="507"/>
      <c r="FH284" s="507"/>
      <c r="FI284" s="507"/>
      <c r="FJ284" s="507"/>
      <c r="FK284" s="507"/>
      <c r="FL284" s="507"/>
      <c r="FM284" s="507"/>
      <c r="FN284" s="507"/>
      <c r="FO284" s="507"/>
      <c r="FP284" s="507"/>
      <c r="FQ284" s="507"/>
      <c r="FR284" s="507"/>
      <c r="FS284" s="507"/>
      <c r="FT284" s="507"/>
      <c r="FU284" s="507"/>
      <c r="FV284" s="507"/>
      <c r="FW284" s="507"/>
      <c r="FX284" s="507"/>
      <c r="FY284" s="507"/>
      <c r="FZ284" s="507"/>
      <c r="GA284" s="507"/>
      <c r="GB284" s="507"/>
      <c r="GC284" s="507"/>
      <c r="GD284" s="507"/>
      <c r="GE284" s="507"/>
      <c r="GF284" s="507"/>
      <c r="GG284" s="507"/>
      <c r="GH284" s="507"/>
      <c r="GI284" s="507"/>
      <c r="GJ284" s="507"/>
      <c r="GK284" s="507"/>
      <c r="GL284" s="507"/>
      <c r="GM284" s="507"/>
      <c r="GN284" s="507"/>
      <c r="GO284" s="507"/>
      <c r="GP284" s="507"/>
      <c r="GQ284" s="507"/>
      <c r="GR284" s="507"/>
      <c r="GS284" s="507"/>
      <c r="GT284" s="507"/>
      <c r="GU284" s="507"/>
      <c r="GV284" s="507"/>
      <c r="GW284" s="507"/>
      <c r="GX284" s="507"/>
      <c r="GY284" s="507"/>
      <c r="GZ284" s="507"/>
      <c r="HA284" s="507"/>
      <c r="HB284" s="507"/>
      <c r="HC284" s="507"/>
      <c r="HD284" s="507"/>
      <c r="HE284" s="507"/>
      <c r="HF284" s="507"/>
      <c r="HG284" s="507"/>
      <c r="HH284" s="507"/>
      <c r="HI284" s="507"/>
      <c r="HJ284" s="507"/>
      <c r="HK284" s="507"/>
      <c r="HL284" s="507"/>
      <c r="HM284" s="507"/>
      <c r="HN284" s="507"/>
      <c r="HO284" s="507"/>
      <c r="HP284" s="507"/>
      <c r="HQ284" s="507"/>
      <c r="HR284" s="507"/>
      <c r="HS284" s="507"/>
      <c r="HT284" s="507"/>
      <c r="HU284" s="507"/>
      <c r="HV284" s="507"/>
      <c r="HW284" s="507"/>
      <c r="HX284" s="507"/>
      <c r="HY284" s="507"/>
      <c r="HZ284" s="507"/>
    </row>
    <row r="285" spans="1:234" s="206" customFormat="1" ht="15.9" hidden="1" customHeight="1" x14ac:dyDescent="0.25">
      <c r="A285" s="541" t="s">
        <v>865</v>
      </c>
      <c r="B285" s="523" t="s">
        <v>866</v>
      </c>
      <c r="C285" s="524" t="s">
        <v>867</v>
      </c>
      <c r="D285" s="551" t="s">
        <v>189</v>
      </c>
      <c r="E285" s="569" t="s">
        <v>1743</v>
      </c>
      <c r="F285" s="543">
        <v>40291</v>
      </c>
      <c r="G285" s="544">
        <v>40238</v>
      </c>
      <c r="H285" s="544">
        <v>40284</v>
      </c>
      <c r="I285" s="616">
        <v>42307</v>
      </c>
      <c r="J285" s="579">
        <v>10</v>
      </c>
      <c r="K285" s="553" t="s">
        <v>3229</v>
      </c>
      <c r="L285" s="552" t="s">
        <v>3229</v>
      </c>
      <c r="M285" s="560">
        <v>0</v>
      </c>
      <c r="N285" s="606">
        <v>0.9</v>
      </c>
      <c r="O285" s="613" t="s">
        <v>3229</v>
      </c>
      <c r="P285" s="575" t="s">
        <v>3229</v>
      </c>
      <c r="Q285" s="575" t="s">
        <v>3229</v>
      </c>
      <c r="R285" s="575" t="s">
        <v>3229</v>
      </c>
      <c r="S285" s="570"/>
      <c r="T285" s="617" t="s">
        <v>3229</v>
      </c>
      <c r="U285" s="563" t="s">
        <v>3229</v>
      </c>
      <c r="V285" s="563" t="s">
        <v>3229</v>
      </c>
      <c r="W285" s="563" t="s">
        <v>3229</v>
      </c>
      <c r="X285" s="563" t="s">
        <v>3229</v>
      </c>
      <c r="Y285" s="598" t="s">
        <v>3229</v>
      </c>
      <c r="Z285" s="598" t="s">
        <v>3229</v>
      </c>
      <c r="AA285" s="598" t="s">
        <v>3229</v>
      </c>
      <c r="AB285" s="598" t="s">
        <v>3229</v>
      </c>
      <c r="AC285" s="598" t="s">
        <v>3229</v>
      </c>
      <c r="AD285" s="598" t="s">
        <v>3229</v>
      </c>
      <c r="AE285" s="598" t="s">
        <v>3229</v>
      </c>
      <c r="AF285" s="3764" t="s">
        <v>781</v>
      </c>
      <c r="AG285" s="3765"/>
      <c r="AH285" s="1301" t="s">
        <v>3229</v>
      </c>
      <c r="AI285" s="1301" t="s">
        <v>3229</v>
      </c>
      <c r="AJ285" s="1301" t="s">
        <v>3229</v>
      </c>
      <c r="AK285" s="530" t="s">
        <v>3229</v>
      </c>
      <c r="AL285" s="530" t="s">
        <v>3229</v>
      </c>
      <c r="AM285" s="659">
        <v>1</v>
      </c>
      <c r="AN285" s="638">
        <v>0.33888140000000005</v>
      </c>
      <c r="AO285" s="625">
        <v>13.32</v>
      </c>
      <c r="AP285" s="688">
        <v>0.37653488888888892</v>
      </c>
      <c r="AQ285" s="606">
        <v>0.31685584086456903</v>
      </c>
      <c r="AR285" s="600" t="s">
        <v>3660</v>
      </c>
      <c r="AS285" s="548"/>
      <c r="AT285" s="548"/>
      <c r="AU285" s="549"/>
      <c r="AV285" s="558">
        <v>0</v>
      </c>
      <c r="AW285" s="558">
        <v>0</v>
      </c>
      <c r="AX285" s="589">
        <v>-0.24924924924924929</v>
      </c>
      <c r="AY285" s="587">
        <v>-0.9694368158719</v>
      </c>
      <c r="AZ285" s="676">
        <v>10</v>
      </c>
      <c r="BA285" s="581" t="s">
        <v>3190</v>
      </c>
      <c r="BB285" s="570"/>
      <c r="BC285" s="581"/>
      <c r="BD285" s="3691"/>
      <c r="BE285" s="3743"/>
      <c r="BF285" s="3743"/>
      <c r="BG285" s="3708"/>
      <c r="BH285" s="3762"/>
      <c r="BI285" s="3762"/>
      <c r="BJ285" s="39"/>
      <c r="BK285" s="39"/>
      <c r="BL285" s="39"/>
      <c r="BM285" s="39"/>
      <c r="BN285" s="39"/>
      <c r="BO285" s="39"/>
      <c r="BP285" s="39"/>
      <c r="BQ285" s="39"/>
      <c r="BR285" s="39"/>
      <c r="BS285" s="507"/>
      <c r="BT285" s="507"/>
      <c r="BU285" s="507"/>
      <c r="BV285" s="507"/>
      <c r="BW285" s="507"/>
      <c r="BX285" s="507"/>
      <c r="BY285" s="507"/>
      <c r="BZ285" s="507"/>
      <c r="CA285" s="507"/>
      <c r="CB285" s="507"/>
      <c r="CC285" s="507"/>
      <c r="CD285" s="507"/>
      <c r="CE285" s="507"/>
      <c r="CF285" s="507"/>
      <c r="CG285" s="507"/>
      <c r="CH285" s="507"/>
      <c r="CI285" s="507"/>
      <c r="CJ285" s="507"/>
      <c r="CK285" s="507"/>
      <c r="CL285" s="507"/>
      <c r="CM285" s="507"/>
      <c r="CN285" s="507"/>
      <c r="CO285" s="507"/>
      <c r="CP285" s="507"/>
      <c r="CQ285" s="507"/>
      <c r="CR285" s="507"/>
      <c r="CS285" s="507"/>
      <c r="CT285" s="507"/>
      <c r="CU285" s="507"/>
      <c r="CV285" s="507"/>
      <c r="CW285" s="507"/>
      <c r="CX285" s="507"/>
      <c r="CY285" s="507"/>
      <c r="CZ285" s="507"/>
      <c r="DA285" s="507"/>
      <c r="DB285" s="507"/>
      <c r="DC285" s="507"/>
      <c r="DD285" s="507"/>
      <c r="DE285" s="507"/>
      <c r="DF285" s="507"/>
      <c r="DG285" s="507"/>
      <c r="DH285" s="507"/>
      <c r="DI285" s="507"/>
      <c r="DJ285" s="507"/>
      <c r="DK285" s="507"/>
      <c r="DL285" s="507"/>
      <c r="DM285" s="507"/>
      <c r="DN285" s="507"/>
      <c r="DO285" s="507"/>
      <c r="DP285" s="507"/>
      <c r="DQ285" s="507"/>
      <c r="DR285" s="507"/>
      <c r="DS285" s="507"/>
      <c r="DT285" s="507"/>
      <c r="DU285" s="507"/>
      <c r="DV285" s="507"/>
      <c r="DW285" s="507"/>
      <c r="DX285" s="507"/>
      <c r="DY285" s="507"/>
      <c r="DZ285" s="507"/>
      <c r="EA285" s="507"/>
      <c r="EB285" s="507"/>
      <c r="EC285" s="507"/>
      <c r="ED285" s="507"/>
      <c r="EE285" s="507"/>
      <c r="EF285" s="507"/>
      <c r="EG285" s="507"/>
      <c r="EH285" s="507"/>
      <c r="EI285" s="507"/>
      <c r="EJ285" s="507"/>
      <c r="EK285" s="507"/>
      <c r="EL285" s="507"/>
      <c r="EM285" s="507"/>
      <c r="EN285" s="507"/>
      <c r="EO285" s="507"/>
      <c r="EP285" s="507"/>
      <c r="EQ285" s="507"/>
      <c r="ER285" s="507"/>
      <c r="ES285" s="507"/>
      <c r="ET285" s="507"/>
      <c r="EU285" s="507"/>
      <c r="EV285" s="507"/>
      <c r="EW285" s="507"/>
      <c r="EX285" s="507"/>
      <c r="EY285" s="507"/>
      <c r="EZ285" s="507"/>
      <c r="FA285" s="507"/>
      <c r="FB285" s="507"/>
      <c r="FC285" s="507"/>
      <c r="FD285" s="507"/>
      <c r="FE285" s="507"/>
      <c r="FF285" s="507"/>
      <c r="FG285" s="507"/>
      <c r="FH285" s="507"/>
      <c r="FI285" s="507"/>
      <c r="FJ285" s="507"/>
      <c r="FK285" s="507"/>
      <c r="FL285" s="507"/>
      <c r="FM285" s="507"/>
      <c r="FN285" s="507"/>
      <c r="FO285" s="507"/>
      <c r="FP285" s="507"/>
      <c r="FQ285" s="507"/>
      <c r="FR285" s="507"/>
      <c r="FS285" s="507"/>
      <c r="FT285" s="507"/>
      <c r="FU285" s="507"/>
      <c r="FV285" s="507"/>
      <c r="FW285" s="507"/>
      <c r="FX285" s="507"/>
      <c r="FY285" s="507"/>
      <c r="FZ285" s="507"/>
      <c r="GA285" s="507"/>
      <c r="GB285" s="507"/>
      <c r="GC285" s="507"/>
      <c r="GD285" s="507"/>
      <c r="GE285" s="507"/>
      <c r="GF285" s="507"/>
      <c r="GG285" s="507"/>
      <c r="GH285" s="507"/>
      <c r="GI285" s="507"/>
      <c r="GJ285" s="507"/>
      <c r="GK285" s="507"/>
      <c r="GL285" s="507"/>
      <c r="GM285" s="507"/>
      <c r="GN285" s="507"/>
      <c r="GO285" s="507"/>
      <c r="GP285" s="507"/>
      <c r="GQ285" s="507"/>
      <c r="GR285" s="507"/>
      <c r="GS285" s="507"/>
      <c r="GT285" s="507"/>
      <c r="GU285" s="507"/>
      <c r="GV285" s="507"/>
      <c r="GW285" s="507"/>
      <c r="GX285" s="507"/>
      <c r="GY285" s="507"/>
      <c r="GZ285" s="507"/>
      <c r="HA285" s="507"/>
      <c r="HB285" s="507"/>
      <c r="HC285" s="507"/>
      <c r="HD285" s="507"/>
      <c r="HE285" s="507"/>
      <c r="HF285" s="507"/>
      <c r="HG285" s="507"/>
      <c r="HH285" s="507"/>
      <c r="HI285" s="507"/>
      <c r="HJ285" s="507"/>
      <c r="HK285" s="507"/>
      <c r="HL285" s="507"/>
      <c r="HM285" s="507"/>
      <c r="HN285" s="507"/>
      <c r="HO285" s="507"/>
      <c r="HP285" s="507"/>
      <c r="HQ285" s="507"/>
      <c r="HR285" s="507"/>
      <c r="HS285" s="507"/>
      <c r="HT285" s="507"/>
      <c r="HU285" s="507"/>
      <c r="HV285" s="507"/>
      <c r="HW285" s="507"/>
      <c r="HX285" s="507"/>
      <c r="HY285" s="507"/>
      <c r="HZ285" s="507"/>
    </row>
    <row r="286" spans="1:234" s="206" customFormat="1" ht="15.9" hidden="1" customHeight="1" x14ac:dyDescent="0.25">
      <c r="A286" s="541" t="s">
        <v>740</v>
      </c>
      <c r="B286" s="523" t="s">
        <v>741</v>
      </c>
      <c r="C286" s="524" t="s">
        <v>742</v>
      </c>
      <c r="D286" s="551" t="s">
        <v>189</v>
      </c>
      <c r="E286" s="569" t="s">
        <v>905</v>
      </c>
      <c r="F286" s="543">
        <v>40284</v>
      </c>
      <c r="G286" s="544">
        <v>40238</v>
      </c>
      <c r="H286" s="544">
        <v>40277</v>
      </c>
      <c r="I286" s="616">
        <v>41759</v>
      </c>
      <c r="J286" s="579">
        <v>10</v>
      </c>
      <c r="K286" s="553" t="s">
        <v>3229</v>
      </c>
      <c r="L286" s="552" t="s">
        <v>3229</v>
      </c>
      <c r="M286" s="560">
        <v>0</v>
      </c>
      <c r="N286" s="606">
        <v>1</v>
      </c>
      <c r="O286" s="613" t="s">
        <v>3229</v>
      </c>
      <c r="P286" s="575" t="s">
        <v>3229</v>
      </c>
      <c r="Q286" s="575" t="s">
        <v>3229</v>
      </c>
      <c r="R286" s="575" t="s">
        <v>3229</v>
      </c>
      <c r="S286" s="570"/>
      <c r="T286" s="617" t="s">
        <v>3229</v>
      </c>
      <c r="U286" s="563" t="s">
        <v>3229</v>
      </c>
      <c r="V286" s="563" t="s">
        <v>3229</v>
      </c>
      <c r="W286" s="563" t="s">
        <v>3229</v>
      </c>
      <c r="X286" s="563" t="s">
        <v>3229</v>
      </c>
      <c r="Y286" s="598" t="s">
        <v>3229</v>
      </c>
      <c r="Z286" s="598" t="s">
        <v>3229</v>
      </c>
      <c r="AA286" s="598" t="s">
        <v>3229</v>
      </c>
      <c r="AB286" s="598" t="s">
        <v>3229</v>
      </c>
      <c r="AC286" s="598" t="s">
        <v>3229</v>
      </c>
      <c r="AD286" s="598" t="s">
        <v>3229</v>
      </c>
      <c r="AE286" s="598" t="s">
        <v>3229</v>
      </c>
      <c r="AF286" s="3764" t="s">
        <v>781</v>
      </c>
      <c r="AG286" s="3765"/>
      <c r="AH286" s="1301" t="s">
        <v>3229</v>
      </c>
      <c r="AI286" s="1301" t="s">
        <v>3229</v>
      </c>
      <c r="AJ286" s="1301" t="s">
        <v>3229</v>
      </c>
      <c r="AK286" s="530" t="s">
        <v>3229</v>
      </c>
      <c r="AL286" s="530" t="s">
        <v>3229</v>
      </c>
      <c r="AM286" s="659">
        <v>1</v>
      </c>
      <c r="AN286" s="638">
        <v>0</v>
      </c>
      <c r="AO286" s="625">
        <v>10</v>
      </c>
      <c r="AP286" s="1368">
        <v>-0.10405586513991583</v>
      </c>
      <c r="AQ286" s="606">
        <v>-0.10405586513991583</v>
      </c>
      <c r="AR286" s="3764" t="s">
        <v>3660</v>
      </c>
      <c r="AS286" s="3771"/>
      <c r="AT286" s="3771"/>
      <c r="AU286" s="3772"/>
      <c r="AV286" s="558">
        <f t="shared" si="59"/>
        <v>0</v>
      </c>
      <c r="AW286" s="558">
        <f t="shared" si="56"/>
        <v>0</v>
      </c>
      <c r="AX286" s="589">
        <f t="shared" si="57"/>
        <v>0</v>
      </c>
      <c r="AY286" s="587"/>
      <c r="AZ286" s="676">
        <f>J286*(1+AV286)</f>
        <v>10</v>
      </c>
      <c r="BA286" s="581" t="s">
        <v>3777</v>
      </c>
      <c r="BB286" s="570"/>
      <c r="BC286" s="581"/>
      <c r="BD286" s="3691"/>
      <c r="BE286" s="3743"/>
      <c r="BF286" s="3743"/>
      <c r="BG286" s="3708"/>
      <c r="BH286" s="3762"/>
      <c r="BI286" s="3762"/>
      <c r="BJ286" s="39"/>
      <c r="BK286" s="39"/>
      <c r="BL286" s="39"/>
      <c r="BM286" s="39"/>
      <c r="BN286" s="39"/>
      <c r="BO286" s="39"/>
      <c r="BP286" s="39"/>
      <c r="BQ286" s="39"/>
      <c r="BR286" s="39"/>
      <c r="BS286" s="507"/>
      <c r="BT286" s="507"/>
      <c r="BU286" s="507"/>
      <c r="BV286" s="507"/>
      <c r="BW286" s="507"/>
      <c r="BX286" s="507"/>
      <c r="BY286" s="507"/>
      <c r="BZ286" s="507"/>
      <c r="CA286" s="507"/>
      <c r="CB286" s="507"/>
      <c r="CC286" s="507"/>
      <c r="CD286" s="507"/>
      <c r="CE286" s="507"/>
      <c r="CF286" s="507"/>
      <c r="CG286" s="507"/>
      <c r="CH286" s="507"/>
      <c r="CI286" s="507"/>
      <c r="CJ286" s="507"/>
      <c r="CK286" s="507"/>
      <c r="CL286" s="507"/>
      <c r="CM286" s="507"/>
      <c r="CN286" s="507"/>
      <c r="CO286" s="507"/>
      <c r="CP286" s="507"/>
      <c r="CQ286" s="507"/>
      <c r="CR286" s="507"/>
      <c r="CS286" s="507"/>
      <c r="CT286" s="507"/>
      <c r="CU286" s="507"/>
      <c r="CV286" s="507"/>
      <c r="CW286" s="507"/>
      <c r="CX286" s="507"/>
      <c r="CY286" s="507"/>
      <c r="CZ286" s="507"/>
      <c r="DA286" s="507"/>
      <c r="DB286" s="507"/>
      <c r="DC286" s="507"/>
      <c r="DD286" s="507"/>
      <c r="DE286" s="507"/>
      <c r="DF286" s="507"/>
      <c r="DG286" s="507"/>
      <c r="DH286" s="507"/>
      <c r="DI286" s="507"/>
      <c r="DJ286" s="507"/>
      <c r="DK286" s="507"/>
      <c r="DL286" s="507"/>
      <c r="DM286" s="507"/>
      <c r="DN286" s="507"/>
      <c r="DO286" s="507"/>
      <c r="DP286" s="507"/>
      <c r="DQ286" s="507"/>
      <c r="DR286" s="507"/>
      <c r="DS286" s="507"/>
      <c r="DT286" s="507"/>
      <c r="DU286" s="507"/>
      <c r="DV286" s="507"/>
      <c r="DW286" s="507"/>
      <c r="DX286" s="507"/>
      <c r="DY286" s="507"/>
      <c r="DZ286" s="507"/>
      <c r="EA286" s="507"/>
      <c r="EB286" s="507"/>
      <c r="EC286" s="507"/>
      <c r="ED286" s="507"/>
      <c r="EE286" s="507"/>
      <c r="EF286" s="507"/>
      <c r="EG286" s="507"/>
      <c r="EH286" s="507"/>
      <c r="EI286" s="507"/>
      <c r="EJ286" s="507"/>
      <c r="EK286" s="507"/>
      <c r="EL286" s="507"/>
      <c r="EM286" s="507"/>
      <c r="EN286" s="507"/>
      <c r="EO286" s="507"/>
      <c r="EP286" s="507"/>
      <c r="EQ286" s="507"/>
      <c r="ER286" s="507"/>
      <c r="ES286" s="507"/>
      <c r="ET286" s="507"/>
      <c r="EU286" s="507"/>
      <c r="EV286" s="507"/>
      <c r="EW286" s="507"/>
      <c r="EX286" s="507"/>
      <c r="EY286" s="507"/>
      <c r="EZ286" s="507"/>
      <c r="FA286" s="507"/>
      <c r="FB286" s="507"/>
      <c r="FC286" s="507"/>
      <c r="FD286" s="507"/>
      <c r="FE286" s="507"/>
      <c r="FF286" s="507"/>
      <c r="FG286" s="507"/>
      <c r="FH286" s="507"/>
      <c r="FI286" s="507"/>
      <c r="FJ286" s="507"/>
      <c r="FK286" s="507"/>
      <c r="FL286" s="507"/>
      <c r="FM286" s="507"/>
      <c r="FN286" s="507"/>
      <c r="FO286" s="507"/>
      <c r="FP286" s="507"/>
      <c r="FQ286" s="507"/>
      <c r="FR286" s="507"/>
      <c r="FS286" s="507"/>
      <c r="FT286" s="507"/>
      <c r="FU286" s="507"/>
      <c r="FV286" s="507"/>
      <c r="FW286" s="507"/>
      <c r="FX286" s="507"/>
      <c r="FY286" s="507"/>
      <c r="FZ286" s="507"/>
      <c r="GA286" s="507"/>
      <c r="GB286" s="507"/>
      <c r="GC286" s="507"/>
      <c r="GD286" s="507"/>
      <c r="GE286" s="507"/>
      <c r="GF286" s="507"/>
      <c r="GG286" s="507"/>
      <c r="GH286" s="507"/>
      <c r="GI286" s="507"/>
      <c r="GJ286" s="507"/>
      <c r="GK286" s="507"/>
      <c r="GL286" s="507"/>
      <c r="GM286" s="507"/>
      <c r="GN286" s="507"/>
      <c r="GO286" s="507"/>
      <c r="GP286" s="507"/>
      <c r="GQ286" s="507"/>
      <c r="GR286" s="507"/>
      <c r="GS286" s="507"/>
      <c r="GT286" s="507"/>
      <c r="GU286" s="507"/>
      <c r="GV286" s="507"/>
      <c r="GW286" s="507"/>
      <c r="GX286" s="507"/>
      <c r="GY286" s="507"/>
      <c r="GZ286" s="507"/>
      <c r="HA286" s="507"/>
      <c r="HB286" s="507"/>
      <c r="HC286" s="507"/>
      <c r="HD286" s="507"/>
      <c r="HE286" s="507"/>
      <c r="HF286" s="507"/>
      <c r="HG286" s="507"/>
      <c r="HH286" s="507"/>
      <c r="HI286" s="507"/>
      <c r="HJ286" s="507"/>
      <c r="HK286" s="507"/>
      <c r="HL286" s="507"/>
      <c r="HM286" s="507"/>
      <c r="HN286" s="507"/>
      <c r="HO286" s="507"/>
      <c r="HP286" s="507"/>
      <c r="HQ286" s="507"/>
      <c r="HR286" s="507"/>
      <c r="HS286" s="507"/>
      <c r="HT286" s="507"/>
      <c r="HU286" s="507"/>
      <c r="HV286" s="507"/>
      <c r="HW286" s="507"/>
      <c r="HX286" s="507"/>
      <c r="HY286" s="507"/>
      <c r="HZ286" s="507"/>
    </row>
    <row r="287" spans="1:234" s="206" customFormat="1" ht="15.9" hidden="1" customHeight="1" x14ac:dyDescent="0.25">
      <c r="A287" s="541" t="s">
        <v>4512</v>
      </c>
      <c r="B287" s="523" t="s">
        <v>1760</v>
      </c>
      <c r="C287" s="524" t="s">
        <v>1761</v>
      </c>
      <c r="D287" s="551" t="s">
        <v>1762</v>
      </c>
      <c r="E287" s="569" t="s">
        <v>3228</v>
      </c>
      <c r="F287" s="543">
        <v>40310</v>
      </c>
      <c r="G287" s="544">
        <v>40252</v>
      </c>
      <c r="H287" s="544">
        <v>40298</v>
      </c>
      <c r="I287" s="616">
        <v>42166</v>
      </c>
      <c r="J287" s="579">
        <v>100</v>
      </c>
      <c r="K287" s="553" t="s">
        <v>3229</v>
      </c>
      <c r="L287" s="552" t="s">
        <v>3229</v>
      </c>
      <c r="M287" s="560">
        <v>0.16220000000000001</v>
      </c>
      <c r="N287" s="606" t="s">
        <v>3229</v>
      </c>
      <c r="O287" s="613">
        <v>0.16220000000000001</v>
      </c>
      <c r="P287" s="575" t="s">
        <v>3229</v>
      </c>
      <c r="Q287" s="575" t="s">
        <v>3229</v>
      </c>
      <c r="R287" s="575" t="s">
        <v>3229</v>
      </c>
      <c r="S287" s="570"/>
      <c r="T287" s="617" t="s">
        <v>3229</v>
      </c>
      <c r="U287" s="563" t="s">
        <v>3229</v>
      </c>
      <c r="V287" s="563" t="s">
        <v>3229</v>
      </c>
      <c r="W287" s="563" t="s">
        <v>3229</v>
      </c>
      <c r="X287" s="563" t="s">
        <v>3229</v>
      </c>
      <c r="Y287" s="598" t="s">
        <v>3229</v>
      </c>
      <c r="Z287" s="598" t="s">
        <v>3229</v>
      </c>
      <c r="AA287" s="598" t="s">
        <v>3229</v>
      </c>
      <c r="AB287" s="598" t="s">
        <v>3229</v>
      </c>
      <c r="AC287" s="598" t="s">
        <v>3229</v>
      </c>
      <c r="AD287" s="598" t="s">
        <v>3229</v>
      </c>
      <c r="AE287" s="598" t="s">
        <v>3229</v>
      </c>
      <c r="AF287" s="3764" t="s">
        <v>781</v>
      </c>
      <c r="AG287" s="3765"/>
      <c r="AH287" s="1301" t="s">
        <v>3229</v>
      </c>
      <c r="AI287" s="1301" t="s">
        <v>3229</v>
      </c>
      <c r="AJ287" s="1301" t="s">
        <v>3229</v>
      </c>
      <c r="AK287" s="530" t="s">
        <v>3229</v>
      </c>
      <c r="AL287" s="530" t="s">
        <v>3229</v>
      </c>
      <c r="AM287" s="659">
        <v>1</v>
      </c>
      <c r="AN287" s="638" t="s">
        <v>3229</v>
      </c>
      <c r="AO287" s="625">
        <v>117.73</v>
      </c>
      <c r="AP287" s="1368" t="s">
        <v>3229</v>
      </c>
      <c r="AQ287" s="606" t="s">
        <v>3229</v>
      </c>
      <c r="AR287" s="3764">
        <v>0.16220000000000001</v>
      </c>
      <c r="AS287" s="3771">
        <v>3.0002081467936037E-2</v>
      </c>
      <c r="AT287" s="3771">
        <v>-1.2825957699821755E-2</v>
      </c>
      <c r="AU287" s="3772">
        <v>4.3362062980265126E-2</v>
      </c>
      <c r="AV287" s="558">
        <v>0.16220000000000001</v>
      </c>
      <c r="AW287" s="558">
        <v>3.0002081467936037E-2</v>
      </c>
      <c r="AX287" s="589">
        <v>-1.2825957699821755E-2</v>
      </c>
      <c r="AY287" s="587">
        <v>4.3362062980265126E-2</v>
      </c>
      <c r="AZ287" s="676">
        <v>116.21999999999998</v>
      </c>
      <c r="BA287" s="581" t="s">
        <v>4484</v>
      </c>
      <c r="BB287" s="570"/>
      <c r="BC287" s="581"/>
      <c r="BD287" s="3691"/>
      <c r="BE287" s="3743"/>
      <c r="BF287" s="3743"/>
      <c r="BG287" s="3708"/>
      <c r="BH287" s="3762"/>
      <c r="BI287" s="3762"/>
      <c r="BJ287" s="39"/>
      <c r="BK287" s="39"/>
      <c r="BL287" s="39"/>
      <c r="BM287" s="39"/>
      <c r="BN287" s="39"/>
      <c r="BO287" s="39"/>
      <c r="BP287" s="39"/>
      <c r="BQ287" s="39"/>
      <c r="BR287" s="39"/>
      <c r="BS287" s="507"/>
      <c r="BT287" s="507"/>
      <c r="BU287" s="507"/>
      <c r="BV287" s="507"/>
      <c r="BW287" s="507"/>
      <c r="BX287" s="507"/>
      <c r="BY287" s="507"/>
      <c r="BZ287" s="507"/>
      <c r="CA287" s="507"/>
      <c r="CB287" s="507"/>
      <c r="CC287" s="507"/>
      <c r="CD287" s="507"/>
      <c r="CE287" s="507"/>
      <c r="CF287" s="507"/>
      <c r="CG287" s="507"/>
      <c r="CH287" s="507"/>
      <c r="CI287" s="507"/>
      <c r="CJ287" s="507"/>
      <c r="CK287" s="507"/>
      <c r="CL287" s="507"/>
      <c r="CM287" s="507"/>
      <c r="CN287" s="507"/>
      <c r="CO287" s="507"/>
      <c r="CP287" s="507"/>
      <c r="CQ287" s="507"/>
      <c r="CR287" s="507"/>
      <c r="CS287" s="507"/>
      <c r="CT287" s="507"/>
      <c r="CU287" s="507"/>
      <c r="CV287" s="507"/>
      <c r="CW287" s="507"/>
      <c r="CX287" s="507"/>
      <c r="CY287" s="507"/>
      <c r="CZ287" s="507"/>
      <c r="DA287" s="507"/>
      <c r="DB287" s="507"/>
      <c r="DC287" s="507"/>
      <c r="DD287" s="507"/>
      <c r="DE287" s="507"/>
      <c r="DF287" s="507"/>
      <c r="DG287" s="507"/>
      <c r="DH287" s="507"/>
      <c r="DI287" s="507"/>
      <c r="DJ287" s="507"/>
      <c r="DK287" s="507"/>
      <c r="DL287" s="507"/>
      <c r="DM287" s="507"/>
      <c r="DN287" s="507"/>
      <c r="DO287" s="507"/>
      <c r="DP287" s="507"/>
      <c r="DQ287" s="507"/>
      <c r="DR287" s="507"/>
      <c r="DS287" s="507"/>
      <c r="DT287" s="507"/>
      <c r="DU287" s="507"/>
      <c r="DV287" s="507"/>
      <c r="DW287" s="507"/>
      <c r="DX287" s="507"/>
      <c r="DY287" s="507"/>
      <c r="DZ287" s="507"/>
      <c r="EA287" s="507"/>
      <c r="EB287" s="507"/>
      <c r="EC287" s="507"/>
      <c r="ED287" s="507"/>
      <c r="EE287" s="507"/>
      <c r="EF287" s="507"/>
      <c r="EG287" s="507"/>
      <c r="EH287" s="507"/>
      <c r="EI287" s="507"/>
      <c r="EJ287" s="507"/>
      <c r="EK287" s="507"/>
      <c r="EL287" s="507"/>
      <c r="EM287" s="507"/>
      <c r="EN287" s="507"/>
      <c r="EO287" s="507"/>
      <c r="EP287" s="507"/>
      <c r="EQ287" s="507"/>
      <c r="ER287" s="507"/>
      <c r="ES287" s="507"/>
      <c r="ET287" s="507"/>
      <c r="EU287" s="507"/>
      <c r="EV287" s="507"/>
      <c r="EW287" s="507"/>
      <c r="EX287" s="507"/>
      <c r="EY287" s="507"/>
      <c r="EZ287" s="507"/>
      <c r="FA287" s="507"/>
      <c r="FB287" s="507"/>
      <c r="FC287" s="507"/>
      <c r="FD287" s="507"/>
      <c r="FE287" s="507"/>
      <c r="FF287" s="507"/>
      <c r="FG287" s="507"/>
      <c r="FH287" s="507"/>
      <c r="FI287" s="507"/>
      <c r="FJ287" s="507"/>
      <c r="FK287" s="507"/>
      <c r="FL287" s="507"/>
      <c r="FM287" s="507"/>
      <c r="FN287" s="507"/>
      <c r="FO287" s="507"/>
      <c r="FP287" s="507"/>
      <c r="FQ287" s="507"/>
      <c r="FR287" s="507"/>
      <c r="FS287" s="507"/>
      <c r="FT287" s="507"/>
      <c r="FU287" s="507"/>
      <c r="FV287" s="507"/>
      <c r="FW287" s="507"/>
      <c r="FX287" s="507"/>
      <c r="FY287" s="507"/>
      <c r="FZ287" s="507"/>
      <c r="GA287" s="507"/>
      <c r="GB287" s="507"/>
      <c r="GC287" s="507"/>
      <c r="GD287" s="507"/>
      <c r="GE287" s="507"/>
      <c r="GF287" s="507"/>
      <c r="GG287" s="507"/>
      <c r="GH287" s="507"/>
      <c r="GI287" s="507"/>
      <c r="GJ287" s="507"/>
      <c r="GK287" s="507"/>
      <c r="GL287" s="507"/>
      <c r="GM287" s="507"/>
      <c r="GN287" s="507"/>
      <c r="GO287" s="507"/>
      <c r="GP287" s="507"/>
      <c r="GQ287" s="507"/>
      <c r="GR287" s="507"/>
      <c r="GS287" s="507"/>
      <c r="GT287" s="507"/>
      <c r="GU287" s="507"/>
      <c r="GV287" s="507"/>
      <c r="GW287" s="507"/>
      <c r="GX287" s="507"/>
      <c r="GY287" s="507"/>
      <c r="GZ287" s="507"/>
      <c r="HA287" s="507"/>
      <c r="HB287" s="507"/>
      <c r="HC287" s="507"/>
      <c r="HD287" s="507"/>
      <c r="HE287" s="507"/>
      <c r="HF287" s="507"/>
      <c r="HG287" s="507"/>
      <c r="HH287" s="507"/>
      <c r="HI287" s="507"/>
      <c r="HJ287" s="507"/>
      <c r="HK287" s="507"/>
      <c r="HL287" s="507"/>
      <c r="HM287" s="507"/>
      <c r="HN287" s="507"/>
      <c r="HO287" s="507"/>
      <c r="HP287" s="507"/>
      <c r="HQ287" s="507"/>
      <c r="HR287" s="507"/>
      <c r="HS287" s="507"/>
      <c r="HT287" s="507"/>
      <c r="HU287" s="507"/>
      <c r="HV287" s="507"/>
      <c r="HW287" s="507"/>
      <c r="HX287" s="507"/>
      <c r="HY287" s="507"/>
      <c r="HZ287" s="507"/>
    </row>
    <row r="288" spans="1:234" s="206" customFormat="1" ht="15.9" hidden="1" customHeight="1" x14ac:dyDescent="0.25">
      <c r="A288" s="541" t="s">
        <v>1763</v>
      </c>
      <c r="B288" s="523" t="s">
        <v>1764</v>
      </c>
      <c r="C288" s="524" t="s">
        <v>1765</v>
      </c>
      <c r="D288" s="551" t="s">
        <v>189</v>
      </c>
      <c r="E288" s="569" t="s">
        <v>905</v>
      </c>
      <c r="F288" s="543">
        <v>40305</v>
      </c>
      <c r="G288" s="544">
        <v>40274</v>
      </c>
      <c r="H288" s="544">
        <v>40298</v>
      </c>
      <c r="I288" s="616">
        <v>42153</v>
      </c>
      <c r="J288" s="579">
        <v>10</v>
      </c>
      <c r="K288" s="553" t="s">
        <v>3229</v>
      </c>
      <c r="L288" s="552" t="s">
        <v>3229</v>
      </c>
      <c r="M288" s="560">
        <v>-1</v>
      </c>
      <c r="N288" s="606" t="s">
        <v>3229</v>
      </c>
      <c r="O288" s="613">
        <v>0.5</v>
      </c>
      <c r="P288" s="575" t="s">
        <v>3229</v>
      </c>
      <c r="Q288" s="575" t="s">
        <v>3229</v>
      </c>
      <c r="R288" s="575" t="s">
        <v>3229</v>
      </c>
      <c r="S288" s="570"/>
      <c r="T288" s="617"/>
      <c r="U288" s="563"/>
      <c r="V288" s="563"/>
      <c r="W288" s="563"/>
      <c r="X288" s="563"/>
      <c r="Y288" s="598"/>
      <c r="Z288" s="598"/>
      <c r="AA288" s="598"/>
      <c r="AB288" s="598"/>
      <c r="AC288" s="598"/>
      <c r="AD288" s="598"/>
      <c r="AE288" s="598"/>
      <c r="AF288" s="3764" t="s">
        <v>781</v>
      </c>
      <c r="AG288" s="3765"/>
      <c r="AH288" s="1301">
        <v>1</v>
      </c>
      <c r="AI288" s="1301"/>
      <c r="AJ288" s="1301"/>
      <c r="AK288" s="530"/>
      <c r="AL288" s="530"/>
      <c r="AM288" s="659"/>
      <c r="AN288" s="638">
        <v>0.1</v>
      </c>
      <c r="AO288" s="625">
        <v>11</v>
      </c>
      <c r="AP288" s="688" t="s">
        <v>3229</v>
      </c>
      <c r="AQ288" s="606">
        <v>0.10353731887154893</v>
      </c>
      <c r="AR288" s="600">
        <f>O288</f>
        <v>0.5</v>
      </c>
      <c r="AS288" s="548">
        <f>POWER(1+AR288,1/((I288-F288)/365))-1</f>
        <v>8.3377793518010668E-2</v>
      </c>
      <c r="AT288" s="548">
        <f>J288*(1+AR288)/AO288-1</f>
        <v>0.36363636363636354</v>
      </c>
      <c r="AU288" s="549" t="e">
        <f>POWER(1+AT288,1/AG288)-1</f>
        <v>#DIV/0!</v>
      </c>
      <c r="AV288" s="558">
        <f t="shared" si="59"/>
        <v>-1</v>
      </c>
      <c r="AW288" s="558">
        <f t="shared" si="56"/>
        <v>-1</v>
      </c>
      <c r="AX288" s="589">
        <f t="shared" si="57"/>
        <v>-1</v>
      </c>
      <c r="AY288" s="587" t="e">
        <f t="shared" si="58"/>
        <v>#DIV/0!</v>
      </c>
      <c r="AZ288" s="676">
        <f t="shared" ref="AZ288:AZ294" si="60">J288*(1+AV288)</f>
        <v>0</v>
      </c>
      <c r="BA288" s="581" t="s">
        <v>3852</v>
      </c>
      <c r="BB288" s="570"/>
      <c r="BC288" s="581"/>
      <c r="BD288" s="3691"/>
      <c r="BE288" s="3743"/>
      <c r="BF288" s="3743"/>
      <c r="BG288" s="3708"/>
      <c r="BH288" s="3762"/>
      <c r="BI288" s="3762"/>
      <c r="BJ288" s="39"/>
      <c r="BK288" s="39"/>
      <c r="BL288" s="39"/>
      <c r="BM288" s="39"/>
      <c r="BN288" s="39"/>
      <c r="BO288" s="39"/>
      <c r="BP288" s="39"/>
      <c r="BQ288" s="39"/>
      <c r="BR288" s="39"/>
      <c r="BS288" s="507"/>
      <c r="BT288" s="507"/>
      <c r="BU288" s="507"/>
      <c r="BV288" s="507"/>
      <c r="BW288" s="507"/>
      <c r="BX288" s="507"/>
      <c r="BY288" s="507"/>
      <c r="BZ288" s="507"/>
      <c r="CA288" s="507"/>
      <c r="CB288" s="507"/>
      <c r="CC288" s="507"/>
      <c r="CD288" s="507"/>
      <c r="CE288" s="507"/>
      <c r="CF288" s="507"/>
      <c r="CG288" s="507"/>
      <c r="CH288" s="507"/>
      <c r="CI288" s="507"/>
      <c r="CJ288" s="507"/>
      <c r="CK288" s="507"/>
      <c r="CL288" s="507"/>
      <c r="CM288" s="507"/>
      <c r="CN288" s="507"/>
      <c r="CO288" s="507"/>
      <c r="CP288" s="507"/>
      <c r="CQ288" s="507"/>
      <c r="CR288" s="507"/>
      <c r="CS288" s="507"/>
      <c r="CT288" s="507"/>
      <c r="CU288" s="507"/>
      <c r="CV288" s="507"/>
      <c r="CW288" s="507"/>
      <c r="CX288" s="507"/>
      <c r="CY288" s="507"/>
      <c r="CZ288" s="507"/>
      <c r="DA288" s="507"/>
      <c r="DB288" s="507"/>
      <c r="DC288" s="507"/>
      <c r="DD288" s="507"/>
      <c r="DE288" s="507"/>
      <c r="DF288" s="507"/>
      <c r="DG288" s="507"/>
      <c r="DH288" s="507"/>
      <c r="DI288" s="507"/>
      <c r="DJ288" s="507"/>
      <c r="DK288" s="507"/>
      <c r="DL288" s="507"/>
      <c r="DM288" s="507"/>
      <c r="DN288" s="507"/>
      <c r="DO288" s="507"/>
      <c r="DP288" s="507"/>
      <c r="DQ288" s="507"/>
      <c r="DR288" s="507"/>
      <c r="DS288" s="507"/>
      <c r="DT288" s="507"/>
      <c r="DU288" s="507"/>
      <c r="DV288" s="507"/>
      <c r="DW288" s="507"/>
      <c r="DX288" s="507"/>
      <c r="DY288" s="507"/>
      <c r="DZ288" s="507"/>
      <c r="EA288" s="507"/>
      <c r="EB288" s="507"/>
      <c r="EC288" s="507"/>
      <c r="ED288" s="507"/>
      <c r="EE288" s="507"/>
      <c r="EF288" s="507"/>
      <c r="EG288" s="507"/>
      <c r="EH288" s="507"/>
      <c r="EI288" s="507"/>
      <c r="EJ288" s="507"/>
      <c r="EK288" s="507"/>
      <c r="EL288" s="507"/>
      <c r="EM288" s="507"/>
      <c r="EN288" s="507"/>
      <c r="EO288" s="507"/>
      <c r="EP288" s="507"/>
      <c r="EQ288" s="507"/>
      <c r="ER288" s="507"/>
      <c r="ES288" s="507"/>
      <c r="ET288" s="507"/>
      <c r="EU288" s="507"/>
      <c r="EV288" s="507"/>
      <c r="EW288" s="507"/>
      <c r="EX288" s="507"/>
      <c r="EY288" s="507"/>
      <c r="EZ288" s="507"/>
      <c r="FA288" s="507"/>
      <c r="FB288" s="507"/>
      <c r="FC288" s="507"/>
      <c r="FD288" s="507"/>
      <c r="FE288" s="507"/>
      <c r="FF288" s="507"/>
      <c r="FG288" s="507"/>
      <c r="FH288" s="507"/>
      <c r="FI288" s="507"/>
      <c r="FJ288" s="507"/>
      <c r="FK288" s="507"/>
      <c r="FL288" s="507"/>
      <c r="FM288" s="507"/>
      <c r="FN288" s="507"/>
      <c r="FO288" s="507"/>
      <c r="FP288" s="507"/>
      <c r="FQ288" s="507"/>
      <c r="FR288" s="507"/>
      <c r="FS288" s="507"/>
      <c r="FT288" s="507"/>
      <c r="FU288" s="507"/>
      <c r="FV288" s="507"/>
      <c r="FW288" s="507"/>
      <c r="FX288" s="507"/>
      <c r="FY288" s="507"/>
      <c r="FZ288" s="507"/>
      <c r="GA288" s="507"/>
      <c r="GB288" s="507"/>
      <c r="GC288" s="507"/>
      <c r="GD288" s="507"/>
      <c r="GE288" s="507"/>
      <c r="GF288" s="507"/>
      <c r="GG288" s="507"/>
      <c r="GH288" s="507"/>
      <c r="GI288" s="507"/>
      <c r="GJ288" s="507"/>
      <c r="GK288" s="507"/>
      <c r="GL288" s="507"/>
      <c r="GM288" s="507"/>
      <c r="GN288" s="507"/>
      <c r="GO288" s="507"/>
      <c r="GP288" s="507"/>
      <c r="GQ288" s="507"/>
      <c r="GR288" s="507"/>
      <c r="GS288" s="507"/>
      <c r="GT288" s="507"/>
      <c r="GU288" s="507"/>
      <c r="GV288" s="507"/>
      <c r="GW288" s="507"/>
      <c r="GX288" s="507"/>
      <c r="GY288" s="507"/>
      <c r="GZ288" s="507"/>
      <c r="HA288" s="507"/>
      <c r="HB288" s="507"/>
      <c r="HC288" s="507"/>
      <c r="HD288" s="507"/>
      <c r="HE288" s="507"/>
      <c r="HF288" s="507"/>
      <c r="HG288" s="507"/>
      <c r="HH288" s="507"/>
      <c r="HI288" s="507"/>
      <c r="HJ288" s="507"/>
      <c r="HK288" s="507"/>
      <c r="HL288" s="507"/>
      <c r="HM288" s="507"/>
      <c r="HN288" s="507"/>
      <c r="HO288" s="507"/>
      <c r="HP288" s="507"/>
      <c r="HQ288" s="507"/>
      <c r="HR288" s="507"/>
      <c r="HS288" s="507"/>
      <c r="HT288" s="507"/>
      <c r="HU288" s="507"/>
      <c r="HV288" s="507"/>
      <c r="HW288" s="507"/>
      <c r="HX288" s="507"/>
      <c r="HY288" s="507"/>
      <c r="HZ288" s="507"/>
    </row>
    <row r="289" spans="1:234" s="206" customFormat="1" ht="15.9" hidden="1" customHeight="1" x14ac:dyDescent="0.25">
      <c r="A289" s="541" t="s">
        <v>1766</v>
      </c>
      <c r="B289" s="523" t="s">
        <v>1767</v>
      </c>
      <c r="C289" s="524" t="s">
        <v>1768</v>
      </c>
      <c r="D289" s="551" t="s">
        <v>1859</v>
      </c>
      <c r="E289" s="569" t="s">
        <v>3228</v>
      </c>
      <c r="F289" s="543">
        <v>40305</v>
      </c>
      <c r="G289" s="544">
        <v>40269</v>
      </c>
      <c r="H289" s="544">
        <v>40298</v>
      </c>
      <c r="I289" s="616">
        <v>42338</v>
      </c>
      <c r="J289" s="579">
        <v>10</v>
      </c>
      <c r="K289" s="553" t="s">
        <v>3229</v>
      </c>
      <c r="L289" s="552" t="s">
        <v>3229</v>
      </c>
      <c r="M289" s="560">
        <v>0</v>
      </c>
      <c r="N289" s="606">
        <v>0.65</v>
      </c>
      <c r="O289" s="613" t="s">
        <v>3229</v>
      </c>
      <c r="P289" s="575" t="s">
        <v>3229</v>
      </c>
      <c r="Q289" s="575" t="s">
        <v>3229</v>
      </c>
      <c r="R289" s="575" t="s">
        <v>3229</v>
      </c>
      <c r="S289" s="570"/>
      <c r="T289" s="617" t="s">
        <v>3229</v>
      </c>
      <c r="U289" s="563" t="s">
        <v>3229</v>
      </c>
      <c r="V289" s="563" t="s">
        <v>3229</v>
      </c>
      <c r="W289" s="563" t="s">
        <v>3229</v>
      </c>
      <c r="X289" s="563" t="s">
        <v>3229</v>
      </c>
      <c r="Y289" s="598" t="s">
        <v>3229</v>
      </c>
      <c r="Z289" s="598" t="s">
        <v>3229</v>
      </c>
      <c r="AA289" s="598" t="s">
        <v>3229</v>
      </c>
      <c r="AB289" s="598" t="s">
        <v>3229</v>
      </c>
      <c r="AC289" s="598" t="s">
        <v>3229</v>
      </c>
      <c r="AD289" s="598" t="s">
        <v>3229</v>
      </c>
      <c r="AE289" s="598" t="s">
        <v>3229</v>
      </c>
      <c r="AF289" s="3764" t="s">
        <v>781</v>
      </c>
      <c r="AG289" s="3765"/>
      <c r="AH289" s="1301" t="s">
        <v>3229</v>
      </c>
      <c r="AI289" s="1301" t="s">
        <v>3229</v>
      </c>
      <c r="AJ289" s="1301" t="s">
        <v>3229</v>
      </c>
      <c r="AK289" s="530" t="s">
        <v>3229</v>
      </c>
      <c r="AL289" s="530" t="s">
        <v>3229</v>
      </c>
      <c r="AM289" s="659">
        <v>1</v>
      </c>
      <c r="AN289" s="638">
        <v>0.26272814417375628</v>
      </c>
      <c r="AO289" s="625">
        <v>12.63</v>
      </c>
      <c r="AP289" s="1368">
        <v>0.24036814417375629</v>
      </c>
      <c r="AQ289" s="606">
        <v>0.33354706667328177</v>
      </c>
      <c r="AR289" s="3764" t="s">
        <v>3660</v>
      </c>
      <c r="AS289" s="3771"/>
      <c r="AT289" s="3771"/>
      <c r="AU289" s="3772"/>
      <c r="AV289" s="558">
        <v>0</v>
      </c>
      <c r="AW289" s="558">
        <v>0</v>
      </c>
      <c r="AX289" s="589">
        <v>-0.20823436262866202</v>
      </c>
      <c r="AY289" s="587" t="e">
        <v>#DIV/0!</v>
      </c>
      <c r="AZ289" s="676">
        <v>10</v>
      </c>
      <c r="BA289" s="581" t="s">
        <v>3301</v>
      </c>
      <c r="BB289" s="570"/>
      <c r="BC289" s="581"/>
      <c r="BD289" s="3691"/>
      <c r="BE289" s="3743"/>
      <c r="BF289" s="3743"/>
      <c r="BG289" s="3708"/>
      <c r="BH289" s="3762"/>
      <c r="BI289" s="3762"/>
      <c r="BJ289" s="39"/>
      <c r="BK289" s="39"/>
      <c r="BL289" s="39"/>
      <c r="BM289" s="39"/>
      <c r="BN289" s="39"/>
      <c r="BO289" s="39"/>
      <c r="BP289" s="39"/>
      <c r="BQ289" s="39"/>
      <c r="BR289" s="39"/>
      <c r="BS289" s="507"/>
      <c r="BT289" s="507"/>
      <c r="BU289" s="507"/>
      <c r="BV289" s="507"/>
      <c r="BW289" s="507"/>
      <c r="BX289" s="507"/>
      <c r="BY289" s="507"/>
      <c r="BZ289" s="507"/>
      <c r="CA289" s="507"/>
      <c r="CB289" s="507"/>
      <c r="CC289" s="507"/>
      <c r="CD289" s="507"/>
      <c r="CE289" s="507"/>
      <c r="CF289" s="507"/>
      <c r="CG289" s="507"/>
      <c r="CH289" s="507"/>
      <c r="CI289" s="507"/>
      <c r="CJ289" s="507"/>
      <c r="CK289" s="507"/>
      <c r="CL289" s="507"/>
      <c r="CM289" s="507"/>
      <c r="CN289" s="507"/>
      <c r="CO289" s="507"/>
      <c r="CP289" s="507"/>
      <c r="CQ289" s="507"/>
      <c r="CR289" s="507"/>
      <c r="CS289" s="507"/>
      <c r="CT289" s="507"/>
      <c r="CU289" s="507"/>
      <c r="CV289" s="507"/>
      <c r="CW289" s="507"/>
      <c r="CX289" s="507"/>
      <c r="CY289" s="507"/>
      <c r="CZ289" s="507"/>
      <c r="DA289" s="507"/>
      <c r="DB289" s="507"/>
      <c r="DC289" s="507"/>
      <c r="DD289" s="507"/>
      <c r="DE289" s="507"/>
      <c r="DF289" s="507"/>
      <c r="DG289" s="507"/>
      <c r="DH289" s="507"/>
      <c r="DI289" s="507"/>
      <c r="DJ289" s="507"/>
      <c r="DK289" s="507"/>
      <c r="DL289" s="507"/>
      <c r="DM289" s="507"/>
      <c r="DN289" s="507"/>
      <c r="DO289" s="507"/>
      <c r="DP289" s="507"/>
      <c r="DQ289" s="507"/>
      <c r="DR289" s="507"/>
      <c r="DS289" s="507"/>
      <c r="DT289" s="507"/>
      <c r="DU289" s="507"/>
      <c r="DV289" s="507"/>
      <c r="DW289" s="507"/>
      <c r="DX289" s="507"/>
      <c r="DY289" s="507"/>
      <c r="DZ289" s="507"/>
      <c r="EA289" s="507"/>
      <c r="EB289" s="507"/>
      <c r="EC289" s="507"/>
      <c r="ED289" s="507"/>
      <c r="EE289" s="507"/>
      <c r="EF289" s="507"/>
      <c r="EG289" s="507"/>
      <c r="EH289" s="507"/>
      <c r="EI289" s="507"/>
      <c r="EJ289" s="507"/>
      <c r="EK289" s="507"/>
      <c r="EL289" s="507"/>
      <c r="EM289" s="507"/>
      <c r="EN289" s="507"/>
      <c r="EO289" s="507"/>
      <c r="EP289" s="507"/>
      <c r="EQ289" s="507"/>
      <c r="ER289" s="507"/>
      <c r="ES289" s="507"/>
      <c r="ET289" s="507"/>
      <c r="EU289" s="507"/>
      <c r="EV289" s="507"/>
      <c r="EW289" s="507"/>
      <c r="EX289" s="507"/>
      <c r="EY289" s="507"/>
      <c r="EZ289" s="507"/>
      <c r="FA289" s="507"/>
      <c r="FB289" s="507"/>
      <c r="FC289" s="507"/>
      <c r="FD289" s="507"/>
      <c r="FE289" s="507"/>
      <c r="FF289" s="507"/>
      <c r="FG289" s="507"/>
      <c r="FH289" s="507"/>
      <c r="FI289" s="507"/>
      <c r="FJ289" s="507"/>
      <c r="FK289" s="507"/>
      <c r="FL289" s="507"/>
      <c r="FM289" s="507"/>
      <c r="FN289" s="507"/>
      <c r="FO289" s="507"/>
      <c r="FP289" s="507"/>
      <c r="FQ289" s="507"/>
      <c r="FR289" s="507"/>
      <c r="FS289" s="507"/>
      <c r="FT289" s="507"/>
      <c r="FU289" s="507"/>
      <c r="FV289" s="507"/>
      <c r="FW289" s="507"/>
      <c r="FX289" s="507"/>
      <c r="FY289" s="507"/>
      <c r="FZ289" s="507"/>
      <c r="GA289" s="507"/>
      <c r="GB289" s="507"/>
      <c r="GC289" s="507"/>
      <c r="GD289" s="507"/>
      <c r="GE289" s="507"/>
      <c r="GF289" s="507"/>
      <c r="GG289" s="507"/>
      <c r="GH289" s="507"/>
      <c r="GI289" s="507"/>
      <c r="GJ289" s="507"/>
      <c r="GK289" s="507"/>
      <c r="GL289" s="507"/>
      <c r="GM289" s="507"/>
      <c r="GN289" s="507"/>
      <c r="GO289" s="507"/>
      <c r="GP289" s="507"/>
      <c r="GQ289" s="507"/>
      <c r="GR289" s="507"/>
      <c r="GS289" s="507"/>
      <c r="GT289" s="507"/>
      <c r="GU289" s="507"/>
      <c r="GV289" s="507"/>
      <c r="GW289" s="507"/>
      <c r="GX289" s="507"/>
      <c r="GY289" s="507"/>
      <c r="GZ289" s="507"/>
      <c r="HA289" s="507"/>
      <c r="HB289" s="507"/>
      <c r="HC289" s="507"/>
      <c r="HD289" s="507"/>
      <c r="HE289" s="507"/>
      <c r="HF289" s="507"/>
      <c r="HG289" s="507"/>
      <c r="HH289" s="507"/>
      <c r="HI289" s="507"/>
      <c r="HJ289" s="507"/>
      <c r="HK289" s="507"/>
      <c r="HL289" s="507"/>
      <c r="HM289" s="507"/>
      <c r="HN289" s="507"/>
      <c r="HO289" s="507"/>
      <c r="HP289" s="507"/>
      <c r="HQ289" s="507"/>
      <c r="HR289" s="507"/>
      <c r="HS289" s="507"/>
      <c r="HT289" s="507"/>
      <c r="HU289" s="507"/>
      <c r="HV289" s="507"/>
      <c r="HW289" s="507"/>
      <c r="HX289" s="507"/>
      <c r="HY289" s="507"/>
      <c r="HZ289" s="507"/>
    </row>
    <row r="290" spans="1:234" s="232" customFormat="1" ht="15.9" hidden="1" customHeight="1" x14ac:dyDescent="0.25">
      <c r="A290" s="522" t="s">
        <v>1769</v>
      </c>
      <c r="B290" s="523" t="s">
        <v>1770</v>
      </c>
      <c r="C290" s="526" t="s">
        <v>2602</v>
      </c>
      <c r="D290" s="570" t="s">
        <v>2603</v>
      </c>
      <c r="E290" s="569" t="s">
        <v>3228</v>
      </c>
      <c r="F290" s="543">
        <v>40339</v>
      </c>
      <c r="G290" s="544">
        <v>40287</v>
      </c>
      <c r="H290" s="562">
        <v>40332</v>
      </c>
      <c r="I290" s="546">
        <v>41617</v>
      </c>
      <c r="J290" s="547">
        <v>10</v>
      </c>
      <c r="K290" s="553">
        <v>0</v>
      </c>
      <c r="L290" s="552">
        <v>7.0000000000000007E-2</v>
      </c>
      <c r="M290" s="550">
        <v>0.03</v>
      </c>
      <c r="N290" s="560" t="s">
        <v>3229</v>
      </c>
      <c r="O290" s="552">
        <v>0.17</v>
      </c>
      <c r="P290" s="552" t="s">
        <v>3229</v>
      </c>
      <c r="Q290" s="552">
        <v>0.03</v>
      </c>
      <c r="R290" s="552" t="s">
        <v>3229</v>
      </c>
      <c r="S290" s="567">
        <v>3</v>
      </c>
      <c r="T290" s="555">
        <v>40664</v>
      </c>
      <c r="U290" s="555">
        <v>41030</v>
      </c>
      <c r="V290" s="555">
        <v>41548</v>
      </c>
      <c r="W290" s="555" t="s">
        <v>3229</v>
      </c>
      <c r="X290" s="555" t="s">
        <v>3229</v>
      </c>
      <c r="Y290" s="555" t="s">
        <v>3229</v>
      </c>
      <c r="Z290" s="555" t="s">
        <v>3229</v>
      </c>
      <c r="AA290" s="555" t="s">
        <v>3229</v>
      </c>
      <c r="AB290" s="555" t="s">
        <v>3229</v>
      </c>
      <c r="AC290" s="555" t="s">
        <v>3229</v>
      </c>
      <c r="AD290" s="555" t="s">
        <v>3229</v>
      </c>
      <c r="AE290" s="556" t="s">
        <v>3229</v>
      </c>
      <c r="AF290" s="3764" t="s">
        <v>781</v>
      </c>
      <c r="AG290" s="3765"/>
      <c r="AH290" s="622" t="s">
        <v>3229</v>
      </c>
      <c r="AI290" s="622" t="s">
        <v>3229</v>
      </c>
      <c r="AJ290" s="622" t="s">
        <v>3229</v>
      </c>
      <c r="AK290" s="566" t="s">
        <v>3229</v>
      </c>
      <c r="AL290" s="622" t="s">
        <v>3229</v>
      </c>
      <c r="AM290" s="590">
        <v>1</v>
      </c>
      <c r="AN290" s="576">
        <v>0.03</v>
      </c>
      <c r="AO290" s="652">
        <v>10.09</v>
      </c>
      <c r="AP290" s="1368">
        <v>-2.2200000000000001E-2</v>
      </c>
      <c r="AQ290" s="658">
        <v>0.28761587061516991</v>
      </c>
      <c r="AR290" s="632">
        <f>O290</f>
        <v>0.17</v>
      </c>
      <c r="AS290" s="558">
        <f t="shared" ref="AS290:AS295" si="61">POWER(1+AR290,1/((I290-F290)/365))-1</f>
        <v>4.5861203064929246E-2</v>
      </c>
      <c r="AT290" s="648">
        <f>J290*(1+AR290)/AO290-1</f>
        <v>0.15956392467789882</v>
      </c>
      <c r="AU290" s="559" t="e">
        <f>POWER(1+AT290,1/AG290)-1</f>
        <v>#DIV/0!</v>
      </c>
      <c r="AV290" s="558">
        <f t="shared" si="59"/>
        <v>0.03</v>
      </c>
      <c r="AW290" s="558">
        <f t="shared" si="56"/>
        <v>8.4778026759197989E-3</v>
      </c>
      <c r="AX290" s="558">
        <f t="shared" si="57"/>
        <v>2.0812685827552135E-2</v>
      </c>
      <c r="AY290" s="559" t="e">
        <f t="shared" si="58"/>
        <v>#DIV/0!</v>
      </c>
      <c r="AZ290" s="642">
        <f t="shared" si="60"/>
        <v>10.3</v>
      </c>
      <c r="BA290" s="644" t="s">
        <v>2585</v>
      </c>
      <c r="BB290" s="570" t="s">
        <v>2025</v>
      </c>
      <c r="BC290" s="637" t="s">
        <v>2895</v>
      </c>
      <c r="BD290" s="3708"/>
      <c r="BE290" s="3743"/>
      <c r="BF290" s="3743"/>
      <c r="BG290" s="3708"/>
      <c r="BH290" s="3762"/>
      <c r="BI290" s="3762"/>
      <c r="BJ290" s="39"/>
      <c r="BK290" s="39"/>
      <c r="BL290" s="39"/>
      <c r="BM290" s="39"/>
      <c r="BN290" s="39"/>
      <c r="BO290" s="39"/>
      <c r="BP290" s="39"/>
      <c r="BQ290" s="39"/>
      <c r="BR290" s="39"/>
      <c r="BS290" s="507"/>
      <c r="BT290" s="507"/>
      <c r="BU290" s="507"/>
      <c r="BV290" s="507"/>
      <c r="BW290" s="507"/>
      <c r="BX290" s="507"/>
      <c r="BY290" s="507"/>
      <c r="BZ290" s="507"/>
      <c r="CA290" s="507"/>
      <c r="CB290" s="507"/>
      <c r="CC290" s="507"/>
      <c r="CD290" s="507"/>
      <c r="CE290" s="507"/>
      <c r="CF290" s="507"/>
      <c r="CG290" s="507"/>
      <c r="CH290" s="507"/>
      <c r="CI290" s="507"/>
      <c r="CJ290" s="507"/>
      <c r="CK290" s="507"/>
      <c r="CL290" s="507"/>
      <c r="CM290" s="507"/>
      <c r="CN290" s="507"/>
      <c r="CO290" s="507"/>
      <c r="CP290" s="507"/>
      <c r="CQ290" s="507"/>
      <c r="CR290" s="507"/>
      <c r="CS290" s="507"/>
      <c r="CT290" s="507"/>
      <c r="CU290" s="507"/>
      <c r="CV290" s="507"/>
      <c r="CW290" s="507"/>
      <c r="CX290" s="507"/>
      <c r="CY290" s="507"/>
      <c r="CZ290" s="507"/>
      <c r="DA290" s="507"/>
      <c r="DB290" s="507"/>
      <c r="DC290" s="507"/>
      <c r="DD290" s="507"/>
      <c r="DE290" s="507"/>
      <c r="DF290" s="507"/>
      <c r="DG290" s="507"/>
      <c r="DH290" s="507"/>
      <c r="DI290" s="507"/>
      <c r="DJ290" s="507"/>
      <c r="DK290" s="507"/>
      <c r="DL290" s="507"/>
      <c r="DM290" s="507"/>
      <c r="DN290" s="507"/>
      <c r="DO290" s="507"/>
      <c r="DP290" s="507"/>
      <c r="DQ290" s="507"/>
      <c r="DR290" s="507"/>
      <c r="DS290" s="507"/>
      <c r="DT290" s="507"/>
      <c r="DU290" s="507"/>
      <c r="DV290" s="507"/>
      <c r="DW290" s="507"/>
      <c r="DX290" s="507"/>
      <c r="DY290" s="507"/>
      <c r="DZ290" s="507"/>
      <c r="EA290" s="507"/>
      <c r="EB290" s="507"/>
      <c r="EC290" s="507"/>
      <c r="ED290" s="507"/>
      <c r="EE290" s="507"/>
      <c r="EF290" s="507"/>
      <c r="EG290" s="507"/>
      <c r="EH290" s="507"/>
      <c r="EI290" s="507"/>
      <c r="EJ290" s="507"/>
      <c r="EK290" s="507"/>
      <c r="EL290" s="507"/>
      <c r="EM290" s="507"/>
      <c r="EN290" s="507"/>
      <c r="EO290" s="507"/>
      <c r="EP290" s="507"/>
      <c r="EQ290" s="507"/>
      <c r="ER290" s="507"/>
      <c r="ES290" s="507"/>
      <c r="ET290" s="507"/>
      <c r="EU290" s="507"/>
      <c r="EV290" s="507"/>
      <c r="EW290" s="507"/>
      <c r="EX290" s="507"/>
      <c r="EY290" s="507"/>
      <c r="EZ290" s="507"/>
      <c r="FA290" s="507"/>
      <c r="FB290" s="507"/>
      <c r="FC290" s="507"/>
      <c r="FD290" s="507"/>
      <c r="FE290" s="507"/>
      <c r="FF290" s="507"/>
      <c r="FG290" s="507"/>
      <c r="FH290" s="507"/>
      <c r="FI290" s="507"/>
      <c r="FJ290" s="507"/>
      <c r="FK290" s="507"/>
      <c r="FL290" s="507"/>
      <c r="FM290" s="507"/>
      <c r="FN290" s="507"/>
      <c r="FO290" s="507"/>
      <c r="FP290" s="507"/>
      <c r="FQ290" s="507"/>
      <c r="FR290" s="507"/>
      <c r="FS290" s="507"/>
      <c r="FT290" s="507"/>
      <c r="FU290" s="507"/>
      <c r="FV290" s="507"/>
      <c r="FW290" s="507"/>
      <c r="FX290" s="507"/>
      <c r="FY290" s="507"/>
      <c r="FZ290" s="507"/>
      <c r="GA290" s="507"/>
      <c r="GB290" s="507"/>
      <c r="GC290" s="507"/>
      <c r="GD290" s="507"/>
      <c r="GE290" s="507"/>
      <c r="GF290" s="507"/>
      <c r="GG290" s="507"/>
      <c r="GH290" s="507"/>
      <c r="GI290" s="507"/>
      <c r="GJ290" s="507"/>
      <c r="GK290" s="507"/>
      <c r="GL290" s="507"/>
      <c r="GM290" s="507"/>
      <c r="GN290" s="507"/>
      <c r="GO290" s="507"/>
      <c r="GP290" s="507"/>
      <c r="GQ290" s="507"/>
      <c r="GR290" s="507"/>
      <c r="GS290" s="507"/>
      <c r="GT290" s="507"/>
      <c r="GU290" s="507"/>
      <c r="GV290" s="507"/>
      <c r="GW290" s="507"/>
      <c r="GX290" s="507"/>
      <c r="GY290" s="507"/>
      <c r="GZ290" s="507"/>
      <c r="HA290" s="507"/>
      <c r="HB290" s="507"/>
      <c r="HC290" s="507"/>
      <c r="HD290" s="507"/>
      <c r="HE290" s="507"/>
      <c r="HF290" s="507"/>
      <c r="HG290" s="507"/>
      <c r="HH290" s="507"/>
      <c r="HI290" s="507"/>
      <c r="HJ290" s="507"/>
      <c r="HK290" s="507"/>
      <c r="HL290" s="507"/>
      <c r="HM290" s="507"/>
      <c r="HN290" s="507"/>
      <c r="HO290" s="507"/>
      <c r="HP290" s="507"/>
      <c r="HQ290" s="507"/>
      <c r="HR290" s="507"/>
      <c r="HS290" s="507"/>
      <c r="HT290" s="507"/>
      <c r="HU290" s="507"/>
      <c r="HV290" s="507"/>
      <c r="HW290" s="507"/>
      <c r="HX290" s="507"/>
      <c r="HY290" s="507"/>
      <c r="HZ290" s="507"/>
    </row>
    <row r="291" spans="1:234" s="206" customFormat="1" ht="15.9" hidden="1" customHeight="1" x14ac:dyDescent="0.25">
      <c r="A291" s="541" t="s">
        <v>2606</v>
      </c>
      <c r="B291" s="523" t="s">
        <v>2605</v>
      </c>
      <c r="C291" s="524" t="s">
        <v>2604</v>
      </c>
      <c r="D291" s="551" t="s">
        <v>1859</v>
      </c>
      <c r="E291" s="569" t="s">
        <v>3228</v>
      </c>
      <c r="F291" s="543">
        <v>40366</v>
      </c>
      <c r="G291" s="544">
        <v>40301</v>
      </c>
      <c r="H291" s="544">
        <v>40359</v>
      </c>
      <c r="I291" s="616">
        <v>41394</v>
      </c>
      <c r="J291" s="579">
        <v>10</v>
      </c>
      <c r="K291" s="553" t="s">
        <v>3229</v>
      </c>
      <c r="L291" s="552" t="s">
        <v>3229</v>
      </c>
      <c r="M291" s="560">
        <v>0</v>
      </c>
      <c r="N291" s="606" t="s">
        <v>3229</v>
      </c>
      <c r="O291" s="613">
        <v>0.4</v>
      </c>
      <c r="P291" s="575">
        <v>0.4</v>
      </c>
      <c r="Q291" s="575" t="s">
        <v>3229</v>
      </c>
      <c r="R291" s="575" t="s">
        <v>3229</v>
      </c>
      <c r="S291" s="570"/>
      <c r="T291" s="617" t="s">
        <v>3229</v>
      </c>
      <c r="U291" s="563" t="s">
        <v>3229</v>
      </c>
      <c r="V291" s="563" t="s">
        <v>3229</v>
      </c>
      <c r="W291" s="563" t="s">
        <v>3229</v>
      </c>
      <c r="X291" s="563" t="s">
        <v>3229</v>
      </c>
      <c r="Y291" s="598" t="s">
        <v>3229</v>
      </c>
      <c r="Z291" s="598" t="s">
        <v>3229</v>
      </c>
      <c r="AA291" s="598" t="s">
        <v>3229</v>
      </c>
      <c r="AB291" s="598" t="s">
        <v>3229</v>
      </c>
      <c r="AC291" s="598" t="s">
        <v>3229</v>
      </c>
      <c r="AD291" s="598" t="s">
        <v>3229</v>
      </c>
      <c r="AE291" s="598" t="s">
        <v>3229</v>
      </c>
      <c r="AF291" s="3764" t="s">
        <v>781</v>
      </c>
      <c r="AG291" s="3765"/>
      <c r="AH291" s="1301">
        <v>1</v>
      </c>
      <c r="AI291" s="1301" t="s">
        <v>3229</v>
      </c>
      <c r="AJ291" s="1301" t="s">
        <v>3229</v>
      </c>
      <c r="AK291" s="530" t="s">
        <v>3229</v>
      </c>
      <c r="AL291" s="530" t="s">
        <v>3229</v>
      </c>
      <c r="AM291" s="659" t="s">
        <v>3229</v>
      </c>
      <c r="AN291" s="638">
        <v>0</v>
      </c>
      <c r="AO291" s="625">
        <v>11.68</v>
      </c>
      <c r="AP291" s="688" t="s">
        <v>3229</v>
      </c>
      <c r="AQ291" s="688" t="s">
        <v>3229</v>
      </c>
      <c r="AR291" s="600">
        <f>O291</f>
        <v>0.4</v>
      </c>
      <c r="AS291" s="548">
        <f t="shared" si="61"/>
        <v>0.12689637418452193</v>
      </c>
      <c r="AT291" s="548">
        <f>J291*(1+AR291)/AO291-1</f>
        <v>0.1986301369863015</v>
      </c>
      <c r="AU291" s="549" t="e">
        <f>POWER(1+AT291,1/AG291)-1</f>
        <v>#DIV/0!</v>
      </c>
      <c r="AV291" s="558">
        <f t="shared" si="59"/>
        <v>0</v>
      </c>
      <c r="AW291" s="558">
        <f t="shared" si="56"/>
        <v>0</v>
      </c>
      <c r="AX291" s="589">
        <f t="shared" si="57"/>
        <v>-0.14383561643835618</v>
      </c>
      <c r="AY291" s="587" t="e">
        <f t="shared" si="58"/>
        <v>#DIV/0!</v>
      </c>
      <c r="AZ291" s="676">
        <f t="shared" si="60"/>
        <v>10</v>
      </c>
      <c r="BA291" s="581" t="s">
        <v>2366</v>
      </c>
      <c r="BB291" s="570"/>
      <c r="BC291" s="581"/>
      <c r="BD291" s="3691"/>
      <c r="BE291" s="3743"/>
      <c r="BF291" s="3743"/>
      <c r="BG291" s="3708"/>
      <c r="BH291" s="3762"/>
      <c r="BI291" s="3762"/>
      <c r="BJ291" s="39"/>
      <c r="BK291" s="39"/>
      <c r="BL291" s="39"/>
      <c r="BM291" s="39"/>
      <c r="BN291" s="39"/>
      <c r="BO291" s="39"/>
      <c r="BP291" s="39"/>
      <c r="BQ291" s="39"/>
      <c r="BR291" s="39"/>
      <c r="BS291" s="507"/>
      <c r="BT291" s="507"/>
      <c r="BU291" s="507"/>
      <c r="BV291" s="507"/>
      <c r="BW291" s="507"/>
      <c r="BX291" s="507"/>
      <c r="BY291" s="507"/>
      <c r="BZ291" s="507"/>
      <c r="CA291" s="507"/>
      <c r="CB291" s="507"/>
      <c r="CC291" s="507"/>
      <c r="CD291" s="507"/>
      <c r="CE291" s="507"/>
      <c r="CF291" s="507"/>
      <c r="CG291" s="507"/>
      <c r="CH291" s="507"/>
      <c r="CI291" s="507"/>
      <c r="CJ291" s="507"/>
      <c r="CK291" s="507"/>
      <c r="CL291" s="507"/>
      <c r="CM291" s="507"/>
      <c r="CN291" s="507"/>
      <c r="CO291" s="507"/>
      <c r="CP291" s="507"/>
      <c r="CQ291" s="507"/>
      <c r="CR291" s="507"/>
      <c r="CS291" s="507"/>
      <c r="CT291" s="507"/>
      <c r="CU291" s="507"/>
      <c r="CV291" s="507"/>
      <c r="CW291" s="507"/>
      <c r="CX291" s="507"/>
      <c r="CY291" s="507"/>
      <c r="CZ291" s="507"/>
      <c r="DA291" s="507"/>
      <c r="DB291" s="507"/>
      <c r="DC291" s="507"/>
      <c r="DD291" s="507"/>
      <c r="DE291" s="507"/>
      <c r="DF291" s="507"/>
      <c r="DG291" s="507"/>
      <c r="DH291" s="507"/>
      <c r="DI291" s="507"/>
      <c r="DJ291" s="507"/>
      <c r="DK291" s="507"/>
      <c r="DL291" s="507"/>
      <c r="DM291" s="507"/>
      <c r="DN291" s="507"/>
      <c r="DO291" s="507"/>
      <c r="DP291" s="507"/>
      <c r="DQ291" s="507"/>
      <c r="DR291" s="507"/>
      <c r="DS291" s="507"/>
      <c r="DT291" s="507"/>
      <c r="DU291" s="507"/>
      <c r="DV291" s="507"/>
      <c r="DW291" s="507"/>
      <c r="DX291" s="507"/>
      <c r="DY291" s="507"/>
      <c r="DZ291" s="507"/>
      <c r="EA291" s="507"/>
      <c r="EB291" s="507"/>
      <c r="EC291" s="507"/>
      <c r="ED291" s="507"/>
      <c r="EE291" s="507"/>
      <c r="EF291" s="507"/>
      <c r="EG291" s="507"/>
      <c r="EH291" s="507"/>
      <c r="EI291" s="507"/>
      <c r="EJ291" s="507"/>
      <c r="EK291" s="507"/>
      <c r="EL291" s="507"/>
      <c r="EM291" s="507"/>
      <c r="EN291" s="507"/>
      <c r="EO291" s="507"/>
      <c r="EP291" s="507"/>
      <c r="EQ291" s="507"/>
      <c r="ER291" s="507"/>
      <c r="ES291" s="507"/>
      <c r="ET291" s="507"/>
      <c r="EU291" s="507"/>
      <c r="EV291" s="507"/>
      <c r="EW291" s="507"/>
      <c r="EX291" s="507"/>
      <c r="EY291" s="507"/>
      <c r="EZ291" s="507"/>
      <c r="FA291" s="507"/>
      <c r="FB291" s="507"/>
      <c r="FC291" s="507"/>
      <c r="FD291" s="507"/>
      <c r="FE291" s="507"/>
      <c r="FF291" s="507"/>
      <c r="FG291" s="507"/>
      <c r="FH291" s="507"/>
      <c r="FI291" s="507"/>
      <c r="FJ291" s="507"/>
      <c r="FK291" s="507"/>
      <c r="FL291" s="507"/>
      <c r="FM291" s="507"/>
      <c r="FN291" s="507"/>
      <c r="FO291" s="507"/>
      <c r="FP291" s="507"/>
      <c r="FQ291" s="507"/>
      <c r="FR291" s="507"/>
      <c r="FS291" s="507"/>
      <c r="FT291" s="507"/>
      <c r="FU291" s="507"/>
      <c r="FV291" s="507"/>
      <c r="FW291" s="507"/>
      <c r="FX291" s="507"/>
      <c r="FY291" s="507"/>
      <c r="FZ291" s="507"/>
      <c r="GA291" s="507"/>
      <c r="GB291" s="507"/>
      <c r="GC291" s="507"/>
      <c r="GD291" s="507"/>
      <c r="GE291" s="507"/>
      <c r="GF291" s="507"/>
      <c r="GG291" s="507"/>
      <c r="GH291" s="507"/>
      <c r="GI291" s="507"/>
      <c r="GJ291" s="507"/>
      <c r="GK291" s="507"/>
      <c r="GL291" s="507"/>
      <c r="GM291" s="507"/>
      <c r="GN291" s="507"/>
      <c r="GO291" s="507"/>
      <c r="GP291" s="507"/>
      <c r="GQ291" s="507"/>
      <c r="GR291" s="507"/>
      <c r="GS291" s="507"/>
      <c r="GT291" s="507"/>
      <c r="GU291" s="507"/>
      <c r="GV291" s="507"/>
      <c r="GW291" s="507"/>
      <c r="GX291" s="507"/>
      <c r="GY291" s="507"/>
      <c r="GZ291" s="507"/>
      <c r="HA291" s="507"/>
      <c r="HB291" s="510"/>
      <c r="HC291" s="511"/>
      <c r="HD291" s="124"/>
      <c r="HE291" s="508"/>
      <c r="HF291" s="51"/>
      <c r="HG291" s="53"/>
      <c r="HH291" s="245"/>
      <c r="HI291" s="47"/>
      <c r="HJ291" s="46"/>
      <c r="HK291" s="50"/>
      <c r="HL291" s="54"/>
      <c r="HM291" s="54"/>
      <c r="HN291" s="50"/>
      <c r="HO291" s="50"/>
      <c r="HP291" s="50"/>
      <c r="HQ291" s="50"/>
      <c r="HR291" s="223"/>
      <c r="HS291" s="3769"/>
      <c r="HT291" s="3770"/>
      <c r="HU291" s="512"/>
      <c r="HV291" s="460"/>
      <c r="HW291" s="513"/>
      <c r="HX291" s="514"/>
      <c r="HY291" s="507"/>
      <c r="HZ291" s="507"/>
    </row>
    <row r="292" spans="1:234" s="206" customFormat="1" ht="15.9" hidden="1" customHeight="1" x14ac:dyDescent="0.25">
      <c r="A292" s="541" t="s">
        <v>1838</v>
      </c>
      <c r="B292" s="523" t="s">
        <v>1839</v>
      </c>
      <c r="C292" s="524" t="s">
        <v>973</v>
      </c>
      <c r="D292" s="551" t="s">
        <v>1840</v>
      </c>
      <c r="E292" s="569" t="s">
        <v>3228</v>
      </c>
      <c r="F292" s="543">
        <v>40284</v>
      </c>
      <c r="G292" s="544">
        <v>40280</v>
      </c>
      <c r="H292" s="544">
        <v>40280</v>
      </c>
      <c r="I292" s="616">
        <v>43944</v>
      </c>
      <c r="J292" s="579">
        <v>10</v>
      </c>
      <c r="K292" s="553"/>
      <c r="L292" s="552"/>
      <c r="M292" s="560">
        <v>0</v>
      </c>
      <c r="N292" s="606">
        <v>0.6</v>
      </c>
      <c r="O292" s="613">
        <v>1</v>
      </c>
      <c r="P292" s="575" t="s">
        <v>3229</v>
      </c>
      <c r="Q292" s="575"/>
      <c r="R292" s="575" t="s">
        <v>3229</v>
      </c>
      <c r="S292" s="570"/>
      <c r="T292" s="617" t="s">
        <v>3229</v>
      </c>
      <c r="U292" s="563" t="s">
        <v>3229</v>
      </c>
      <c r="V292" s="563" t="s">
        <v>3229</v>
      </c>
      <c r="W292" s="563" t="s">
        <v>3229</v>
      </c>
      <c r="X292" s="563" t="s">
        <v>3229</v>
      </c>
      <c r="Y292" s="598" t="s">
        <v>3229</v>
      </c>
      <c r="Z292" s="598" t="s">
        <v>3229</v>
      </c>
      <c r="AA292" s="598" t="s">
        <v>3229</v>
      </c>
      <c r="AB292" s="598" t="s">
        <v>3229</v>
      </c>
      <c r="AC292" s="598" t="s">
        <v>3229</v>
      </c>
      <c r="AD292" s="598" t="s">
        <v>3229</v>
      </c>
      <c r="AE292" s="598" t="s">
        <v>3229</v>
      </c>
      <c r="AF292" s="3764" t="s">
        <v>781</v>
      </c>
      <c r="AG292" s="3765"/>
      <c r="AH292" s="1301">
        <v>0.5</v>
      </c>
      <c r="AI292" s="1301">
        <v>0.3</v>
      </c>
      <c r="AJ292" s="1301">
        <v>0.2</v>
      </c>
      <c r="AK292" s="530" t="s">
        <v>3229</v>
      </c>
      <c r="AL292" s="530" t="s">
        <v>3229</v>
      </c>
      <c r="AM292" s="659" t="s">
        <v>3229</v>
      </c>
      <c r="AN292" s="638">
        <f>'klikací hodnoty'!F8644</f>
        <v>0.3162084</v>
      </c>
      <c r="AO292" s="625">
        <v>14.9636</v>
      </c>
      <c r="AP292" s="1368">
        <f>+'klikací hodnoty'!F8643</f>
        <v>0.52701399999999998</v>
      </c>
      <c r="AQ292" s="606">
        <f>'klikací hodnoty'!E8633</f>
        <v>0.46801843750761951</v>
      </c>
      <c r="AR292" s="3764">
        <f>O292</f>
        <v>1</v>
      </c>
      <c r="AS292" s="3771">
        <f t="shared" si="61"/>
        <v>7.1570504500325871E-2</v>
      </c>
      <c r="AT292" s="3771">
        <f>J292*(1+AR292)/AO292-1</f>
        <v>0.33657675960330402</v>
      </c>
      <c r="AU292" s="3772" t="e">
        <f>POWER(1+AT292,1/AG292)-1</f>
        <v>#DIV/0!</v>
      </c>
      <c r="AV292" s="558">
        <f t="shared" si="59"/>
        <v>0</v>
      </c>
      <c r="AW292" s="558">
        <f t="shared" si="56"/>
        <v>0</v>
      </c>
      <c r="AX292" s="589">
        <f t="shared" si="57"/>
        <v>-0.33171162019834799</v>
      </c>
      <c r="AY292" s="587" t="e">
        <f t="shared" si="58"/>
        <v>#DIV/0!</v>
      </c>
      <c r="AZ292" s="676">
        <f t="shared" si="60"/>
        <v>10</v>
      </c>
      <c r="BA292" s="581" t="s">
        <v>1841</v>
      </c>
      <c r="BB292" s="570"/>
      <c r="BC292" s="581"/>
      <c r="BD292" s="3691"/>
      <c r="BE292" s="3743"/>
      <c r="BF292" s="3743"/>
      <c r="BG292" s="3708"/>
      <c r="BH292" s="3762"/>
      <c r="BI292" s="3762"/>
      <c r="BJ292" s="39"/>
      <c r="BK292" s="39"/>
      <c r="BL292" s="39"/>
      <c r="BM292" s="39"/>
      <c r="BN292" s="39"/>
      <c r="BO292" s="39"/>
      <c r="BP292" s="39"/>
      <c r="BQ292" s="39"/>
      <c r="BR292" s="39"/>
      <c r="BS292" s="507"/>
      <c r="BT292" s="507"/>
      <c r="BU292" s="507"/>
      <c r="BV292" s="507"/>
      <c r="BW292" s="507"/>
      <c r="BX292" s="507"/>
      <c r="BY292" s="507"/>
      <c r="BZ292" s="507"/>
      <c r="CA292" s="507"/>
      <c r="CB292" s="507"/>
      <c r="CC292" s="507"/>
      <c r="CD292" s="507"/>
      <c r="CE292" s="507"/>
      <c r="CF292" s="507"/>
      <c r="CG292" s="507"/>
      <c r="CH292" s="507"/>
      <c r="CI292" s="507"/>
      <c r="CJ292" s="507"/>
      <c r="CK292" s="507"/>
      <c r="CL292" s="507"/>
      <c r="CM292" s="507"/>
      <c r="CN292" s="507"/>
      <c r="CO292" s="507"/>
      <c r="CP292" s="507"/>
      <c r="CQ292" s="507"/>
      <c r="CR292" s="507"/>
      <c r="CS292" s="507"/>
      <c r="CT292" s="507"/>
      <c r="CU292" s="507"/>
      <c r="CV292" s="507"/>
      <c r="CW292" s="507"/>
      <c r="CX292" s="507"/>
      <c r="CY292" s="507"/>
      <c r="CZ292" s="507"/>
      <c r="DA292" s="507"/>
      <c r="DB292" s="507"/>
      <c r="DC292" s="507"/>
      <c r="DD292" s="507"/>
      <c r="DE292" s="507"/>
      <c r="DF292" s="507"/>
      <c r="DG292" s="507"/>
      <c r="DH292" s="507"/>
      <c r="DI292" s="507"/>
      <c r="DJ292" s="507"/>
      <c r="DK292" s="507"/>
      <c r="DL292" s="507"/>
      <c r="DM292" s="507"/>
      <c r="DN292" s="507"/>
      <c r="DO292" s="507"/>
      <c r="DP292" s="507"/>
      <c r="DQ292" s="507"/>
      <c r="DR292" s="507"/>
      <c r="DS292" s="507"/>
      <c r="DT292" s="507"/>
      <c r="DU292" s="507"/>
      <c r="DV292" s="507"/>
      <c r="DW292" s="507"/>
      <c r="DX292" s="507"/>
      <c r="DY292" s="507"/>
      <c r="DZ292" s="507"/>
      <c r="EA292" s="507"/>
      <c r="EB292" s="507"/>
      <c r="EC292" s="507"/>
      <c r="ED292" s="507"/>
      <c r="EE292" s="507"/>
      <c r="EF292" s="507"/>
      <c r="EG292" s="507"/>
      <c r="EH292" s="507"/>
      <c r="EI292" s="507"/>
      <c r="EJ292" s="507"/>
      <c r="EK292" s="507"/>
      <c r="EL292" s="507"/>
      <c r="EM292" s="507"/>
      <c r="EN292" s="507"/>
      <c r="EO292" s="507"/>
      <c r="EP292" s="507"/>
      <c r="EQ292" s="507"/>
      <c r="ER292" s="507"/>
      <c r="ES292" s="507"/>
      <c r="ET292" s="507"/>
      <c r="EU292" s="507"/>
      <c r="EV292" s="507"/>
      <c r="EW292" s="507"/>
      <c r="EX292" s="507"/>
      <c r="EY292" s="507"/>
      <c r="EZ292" s="507"/>
      <c r="FA292" s="507"/>
      <c r="FB292" s="507"/>
      <c r="FC292" s="507"/>
      <c r="FD292" s="507"/>
      <c r="FE292" s="507"/>
      <c r="FF292" s="507"/>
      <c r="FG292" s="507"/>
      <c r="FH292" s="507"/>
      <c r="FI292" s="507"/>
      <c r="FJ292" s="507"/>
      <c r="FK292" s="507"/>
      <c r="FL292" s="507"/>
      <c r="FM292" s="507"/>
      <c r="FN292" s="507"/>
      <c r="FO292" s="507"/>
      <c r="FP292" s="507"/>
      <c r="FQ292" s="507"/>
      <c r="FR292" s="507"/>
      <c r="FS292" s="507"/>
      <c r="FT292" s="507"/>
      <c r="FU292" s="507"/>
      <c r="FV292" s="507"/>
      <c r="FW292" s="507"/>
      <c r="FX292" s="507"/>
      <c r="FY292" s="507"/>
      <c r="FZ292" s="507"/>
      <c r="GA292" s="507"/>
      <c r="GB292" s="507"/>
      <c r="GC292" s="507"/>
      <c r="GD292" s="507"/>
      <c r="GE292" s="507"/>
      <c r="GF292" s="507"/>
      <c r="GG292" s="507"/>
      <c r="GH292" s="507"/>
      <c r="GI292" s="507"/>
      <c r="GJ292" s="507"/>
      <c r="GK292" s="507"/>
      <c r="GL292" s="507"/>
      <c r="GM292" s="507"/>
      <c r="GN292" s="507"/>
      <c r="GO292" s="507"/>
      <c r="GP292" s="507"/>
      <c r="GQ292" s="507"/>
      <c r="GR292" s="507"/>
      <c r="GS292" s="507"/>
      <c r="GT292" s="507"/>
      <c r="GU292" s="507"/>
      <c r="GV292" s="507"/>
      <c r="GW292" s="507"/>
      <c r="GX292" s="507"/>
      <c r="GY292" s="507"/>
      <c r="GZ292" s="507"/>
      <c r="HA292" s="507"/>
      <c r="HB292" s="507"/>
      <c r="HC292" s="507"/>
      <c r="HD292" s="507"/>
      <c r="HE292" s="507"/>
      <c r="HF292" s="507"/>
      <c r="HG292" s="507"/>
      <c r="HH292" s="507"/>
      <c r="HI292" s="507"/>
      <c r="HJ292" s="507"/>
      <c r="HK292" s="507"/>
      <c r="HL292" s="507"/>
      <c r="HM292" s="507"/>
      <c r="HN292" s="507"/>
      <c r="HO292" s="507"/>
      <c r="HP292" s="507"/>
      <c r="HQ292" s="507"/>
      <c r="HR292" s="507"/>
      <c r="HS292" s="507"/>
      <c r="HT292" s="507"/>
      <c r="HU292" s="507"/>
      <c r="HV292" s="507"/>
      <c r="HW292" s="507"/>
      <c r="HX292" s="507"/>
      <c r="HY292" s="507"/>
      <c r="HZ292" s="507"/>
    </row>
    <row r="293" spans="1:234" s="206" customFormat="1" ht="15.9" hidden="1" customHeight="1" x14ac:dyDescent="0.25">
      <c r="A293" s="541" t="s">
        <v>1448</v>
      </c>
      <c r="B293" s="523" t="s">
        <v>2294</v>
      </c>
      <c r="C293" s="524" t="s">
        <v>2295</v>
      </c>
      <c r="D293" s="551" t="s">
        <v>189</v>
      </c>
      <c r="E293" s="569" t="s">
        <v>3228</v>
      </c>
      <c r="F293" s="543">
        <v>40396</v>
      </c>
      <c r="G293" s="544">
        <v>40330</v>
      </c>
      <c r="H293" s="544">
        <v>40389</v>
      </c>
      <c r="I293" s="616">
        <v>42429</v>
      </c>
      <c r="J293" s="579">
        <v>10</v>
      </c>
      <c r="K293" s="553" t="s">
        <v>3229</v>
      </c>
      <c r="L293" s="552" t="s">
        <v>3229</v>
      </c>
      <c r="M293" s="560">
        <v>0.03</v>
      </c>
      <c r="N293" s="606" t="s">
        <v>3229</v>
      </c>
      <c r="O293" s="613">
        <v>0.28999999999999998</v>
      </c>
      <c r="P293" s="575" t="s">
        <v>3229</v>
      </c>
      <c r="Q293" s="575">
        <v>0.03</v>
      </c>
      <c r="R293" s="575" t="s">
        <v>3229</v>
      </c>
      <c r="S293" s="570">
        <v>5</v>
      </c>
      <c r="T293" s="617">
        <v>40725</v>
      </c>
      <c r="U293" s="563">
        <v>41091</v>
      </c>
      <c r="V293" s="563">
        <v>41456</v>
      </c>
      <c r="W293" s="563">
        <v>41822</v>
      </c>
      <c r="X293" s="563">
        <v>42372</v>
      </c>
      <c r="Y293" s="598" t="s">
        <v>3229</v>
      </c>
      <c r="Z293" s="598" t="s">
        <v>3229</v>
      </c>
      <c r="AA293" s="598" t="s">
        <v>3229</v>
      </c>
      <c r="AB293" s="598" t="s">
        <v>3229</v>
      </c>
      <c r="AC293" s="598" t="s">
        <v>3229</v>
      </c>
      <c r="AD293" s="598" t="s">
        <v>3229</v>
      </c>
      <c r="AE293" s="598" t="s">
        <v>3229</v>
      </c>
      <c r="AF293" s="3764" t="s">
        <v>781</v>
      </c>
      <c r="AG293" s="3765"/>
      <c r="AH293" s="1301" t="s">
        <v>3229</v>
      </c>
      <c r="AI293" s="1301" t="s">
        <v>3229</v>
      </c>
      <c r="AJ293" s="1301" t="s">
        <v>3229</v>
      </c>
      <c r="AK293" s="530" t="s">
        <v>3229</v>
      </c>
      <c r="AL293" s="530" t="s">
        <v>3229</v>
      </c>
      <c r="AM293" s="659">
        <v>1</v>
      </c>
      <c r="AN293" s="638">
        <v>0.03</v>
      </c>
      <c r="AO293" s="625">
        <v>10.3</v>
      </c>
      <c r="AP293" s="1368">
        <v>-7.1531777211419789E-2</v>
      </c>
      <c r="AQ293" s="606">
        <v>0.39249814140904954</v>
      </c>
      <c r="AR293" s="3764">
        <v>0.28999999999999998</v>
      </c>
      <c r="AS293" s="3771">
        <v>4.6779031221871215E-2</v>
      </c>
      <c r="AT293" s="3771">
        <v>0.25242718446601931</v>
      </c>
      <c r="AU293" s="3772" t="e">
        <v>#DIV/0!</v>
      </c>
      <c r="AV293" s="558">
        <v>0.03</v>
      </c>
      <c r="AW293" s="558">
        <v>5.3210239027341455E-3</v>
      </c>
      <c r="AX293" s="589">
        <v>0</v>
      </c>
      <c r="AY293" s="587" t="e">
        <v>#DIV/0!</v>
      </c>
      <c r="AZ293" s="676">
        <v>10.3</v>
      </c>
      <c r="BA293" s="581" t="s">
        <v>1685</v>
      </c>
      <c r="BB293" s="570" t="s">
        <v>2025</v>
      </c>
      <c r="BC293" s="581" t="s">
        <v>2895</v>
      </c>
      <c r="BD293" s="3691"/>
      <c r="BE293" s="3743"/>
      <c r="BF293" s="3743"/>
      <c r="BG293" s="3708"/>
      <c r="BH293" s="3762"/>
      <c r="BI293" s="3762"/>
      <c r="BJ293" s="39"/>
      <c r="BK293" s="39"/>
      <c r="BL293" s="39"/>
      <c r="BM293" s="39"/>
      <c r="BN293" s="39"/>
      <c r="BO293" s="39"/>
      <c r="BP293" s="39"/>
      <c r="BQ293" s="39"/>
      <c r="BR293" s="39"/>
      <c r="BS293" s="507"/>
      <c r="BT293" s="507"/>
      <c r="BU293" s="507"/>
      <c r="BV293" s="507"/>
      <c r="BW293" s="507"/>
      <c r="BX293" s="507"/>
      <c r="BY293" s="507"/>
      <c r="BZ293" s="507"/>
      <c r="CA293" s="507"/>
      <c r="CB293" s="507"/>
      <c r="CC293" s="507"/>
      <c r="CD293" s="507"/>
      <c r="CE293" s="507"/>
      <c r="CF293" s="507"/>
      <c r="CG293" s="507"/>
      <c r="CH293" s="507"/>
      <c r="CI293" s="507"/>
      <c r="CJ293" s="507"/>
      <c r="CK293" s="507"/>
      <c r="CL293" s="507"/>
      <c r="CM293" s="507"/>
      <c r="CN293" s="507"/>
      <c r="CO293" s="507"/>
      <c r="CP293" s="507"/>
      <c r="CQ293" s="507"/>
      <c r="CR293" s="507"/>
      <c r="CS293" s="507"/>
      <c r="CT293" s="507"/>
      <c r="CU293" s="507"/>
      <c r="CV293" s="507"/>
      <c r="CW293" s="507"/>
      <c r="CX293" s="507"/>
      <c r="CY293" s="507"/>
      <c r="CZ293" s="507"/>
      <c r="DA293" s="507"/>
      <c r="DB293" s="507"/>
      <c r="DC293" s="507"/>
      <c r="DD293" s="507"/>
      <c r="DE293" s="507"/>
      <c r="DF293" s="507"/>
      <c r="DG293" s="507"/>
      <c r="DH293" s="507"/>
      <c r="DI293" s="507"/>
      <c r="DJ293" s="507"/>
      <c r="DK293" s="507"/>
      <c r="DL293" s="507"/>
      <c r="DM293" s="507"/>
      <c r="DN293" s="507"/>
      <c r="DO293" s="507"/>
      <c r="DP293" s="507"/>
      <c r="DQ293" s="507"/>
      <c r="DR293" s="507"/>
      <c r="DS293" s="507"/>
      <c r="DT293" s="507"/>
      <c r="DU293" s="507"/>
      <c r="DV293" s="507"/>
      <c r="DW293" s="507"/>
      <c r="DX293" s="507"/>
      <c r="DY293" s="507"/>
      <c r="DZ293" s="507"/>
      <c r="EA293" s="507"/>
      <c r="EB293" s="507"/>
      <c r="EC293" s="507"/>
      <c r="ED293" s="507"/>
      <c r="EE293" s="507"/>
      <c r="EF293" s="507"/>
      <c r="EG293" s="507"/>
      <c r="EH293" s="507"/>
      <c r="EI293" s="507"/>
      <c r="EJ293" s="507"/>
      <c r="EK293" s="507"/>
      <c r="EL293" s="507"/>
      <c r="EM293" s="507"/>
      <c r="EN293" s="507"/>
      <c r="EO293" s="507"/>
      <c r="EP293" s="507"/>
      <c r="EQ293" s="507"/>
      <c r="ER293" s="507"/>
      <c r="ES293" s="507"/>
      <c r="ET293" s="507"/>
      <c r="EU293" s="507"/>
      <c r="EV293" s="507"/>
      <c r="EW293" s="507"/>
      <c r="EX293" s="507"/>
      <c r="EY293" s="507"/>
      <c r="EZ293" s="507"/>
      <c r="FA293" s="507"/>
      <c r="FB293" s="507"/>
      <c r="FC293" s="507"/>
      <c r="FD293" s="507"/>
      <c r="FE293" s="507"/>
      <c r="FF293" s="507"/>
      <c r="FG293" s="507"/>
      <c r="FH293" s="507"/>
      <c r="FI293" s="507"/>
      <c r="FJ293" s="507"/>
      <c r="FK293" s="507"/>
      <c r="FL293" s="507"/>
      <c r="FM293" s="507"/>
      <c r="FN293" s="507"/>
      <c r="FO293" s="507"/>
      <c r="FP293" s="507"/>
      <c r="FQ293" s="507"/>
      <c r="FR293" s="507"/>
      <c r="FS293" s="507"/>
      <c r="FT293" s="507"/>
      <c r="FU293" s="507"/>
      <c r="FV293" s="507"/>
      <c r="FW293" s="507"/>
      <c r="FX293" s="507"/>
      <c r="FY293" s="507"/>
      <c r="FZ293" s="507"/>
      <c r="GA293" s="507"/>
      <c r="GB293" s="507"/>
      <c r="GC293" s="507"/>
      <c r="GD293" s="507"/>
      <c r="GE293" s="507"/>
      <c r="GF293" s="507"/>
      <c r="GG293" s="507"/>
      <c r="GH293" s="507"/>
      <c r="GI293" s="507"/>
      <c r="GJ293" s="507"/>
      <c r="GK293" s="507"/>
      <c r="GL293" s="507"/>
      <c r="GM293" s="507"/>
      <c r="GN293" s="507"/>
      <c r="GO293" s="507"/>
      <c r="GP293" s="507"/>
      <c r="GQ293" s="507"/>
      <c r="GR293" s="507"/>
      <c r="GS293" s="507"/>
      <c r="GT293" s="507"/>
      <c r="GU293" s="507"/>
      <c r="GV293" s="507"/>
      <c r="GW293" s="507"/>
      <c r="GX293" s="507"/>
      <c r="GY293" s="507"/>
      <c r="GZ293" s="507"/>
      <c r="HA293" s="507"/>
      <c r="HB293" s="507"/>
      <c r="HC293" s="507"/>
      <c r="HD293" s="507"/>
      <c r="HE293" s="507"/>
      <c r="HF293" s="507"/>
      <c r="HG293" s="507"/>
      <c r="HH293" s="507"/>
      <c r="HI293" s="507"/>
      <c r="HJ293" s="507"/>
      <c r="HK293" s="507"/>
      <c r="HL293" s="507"/>
      <c r="HM293" s="507"/>
      <c r="HN293" s="507"/>
      <c r="HO293" s="507"/>
      <c r="HP293" s="507"/>
      <c r="HQ293" s="507"/>
      <c r="HR293" s="507"/>
      <c r="HS293" s="507"/>
      <c r="HT293" s="507"/>
      <c r="HU293" s="507"/>
      <c r="HV293" s="507"/>
      <c r="HW293" s="507"/>
      <c r="HX293" s="507"/>
      <c r="HY293" s="507"/>
      <c r="HZ293" s="507"/>
    </row>
    <row r="294" spans="1:234" s="206" customFormat="1" ht="13.5" hidden="1" customHeight="1" x14ac:dyDescent="0.25">
      <c r="A294" s="541" t="s">
        <v>524</v>
      </c>
      <c r="B294" s="523" t="s">
        <v>525</v>
      </c>
      <c r="C294" s="524" t="s">
        <v>526</v>
      </c>
      <c r="D294" s="551" t="s">
        <v>3684</v>
      </c>
      <c r="E294" s="569" t="s">
        <v>3228</v>
      </c>
      <c r="F294" s="543">
        <v>40373</v>
      </c>
      <c r="G294" s="544">
        <v>40330</v>
      </c>
      <c r="H294" s="544">
        <v>40366</v>
      </c>
      <c r="I294" s="616">
        <v>42382</v>
      </c>
      <c r="J294" s="579">
        <v>10</v>
      </c>
      <c r="K294" s="553" t="s">
        <v>3229</v>
      </c>
      <c r="L294" s="552" t="s">
        <v>3229</v>
      </c>
      <c r="M294" s="560">
        <v>6.4699999999999994E-2</v>
      </c>
      <c r="N294" s="606" t="s">
        <v>3229</v>
      </c>
      <c r="O294" s="613">
        <v>0.32940000000000003</v>
      </c>
      <c r="P294" s="575"/>
      <c r="Q294" s="575">
        <v>2.5000000000000001E-2</v>
      </c>
      <c r="R294" s="575">
        <v>1.5</v>
      </c>
      <c r="S294" s="570">
        <v>5</v>
      </c>
      <c r="T294" s="617">
        <v>40725</v>
      </c>
      <c r="U294" s="563">
        <v>41091</v>
      </c>
      <c r="V294" s="563">
        <v>41456</v>
      </c>
      <c r="W294" s="563">
        <v>41822</v>
      </c>
      <c r="X294" s="563">
        <v>42341</v>
      </c>
      <c r="Y294" s="598" t="s">
        <v>3229</v>
      </c>
      <c r="Z294" s="598" t="s">
        <v>3229</v>
      </c>
      <c r="AA294" s="598" t="s">
        <v>3229</v>
      </c>
      <c r="AB294" s="598" t="s">
        <v>3229</v>
      </c>
      <c r="AC294" s="598" t="s">
        <v>3229</v>
      </c>
      <c r="AD294" s="598" t="s">
        <v>3229</v>
      </c>
      <c r="AE294" s="598" t="s">
        <v>3229</v>
      </c>
      <c r="AF294" s="3764" t="s">
        <v>781</v>
      </c>
      <c r="AG294" s="3765"/>
      <c r="AH294" s="1301" t="s">
        <v>3229</v>
      </c>
      <c r="AI294" s="1301" t="s">
        <v>3229</v>
      </c>
      <c r="AJ294" s="1301" t="s">
        <v>3229</v>
      </c>
      <c r="AK294" s="530" t="s">
        <v>3229</v>
      </c>
      <c r="AL294" s="530" t="s">
        <v>3229</v>
      </c>
      <c r="AM294" s="659">
        <v>1</v>
      </c>
      <c r="AN294" s="638">
        <v>0.12959999999999999</v>
      </c>
      <c r="AO294" s="625">
        <v>11.3</v>
      </c>
      <c r="AP294" s="688" t="s">
        <v>3229</v>
      </c>
      <c r="AQ294" s="606">
        <v>0.6077728408418609</v>
      </c>
      <c r="AR294" s="600">
        <v>0.32940000000000003</v>
      </c>
      <c r="AS294" s="548">
        <v>5.3091393100128448E-2</v>
      </c>
      <c r="AT294" s="548">
        <v>0.17646017699115046</v>
      </c>
      <c r="AU294" s="549">
        <v>-0.99999999999986833</v>
      </c>
      <c r="AV294" s="558">
        <v>6.4699999999999994E-2</v>
      </c>
      <c r="AW294" s="558">
        <v>1.1455344775504361E-2</v>
      </c>
      <c r="AX294" s="589">
        <v>-5.7787610619469021E-2</v>
      </c>
      <c r="AY294" s="587">
        <v>52219.625372714203</v>
      </c>
      <c r="AZ294" s="676">
        <f t="shared" si="60"/>
        <v>10.647</v>
      </c>
      <c r="BA294" s="581" t="s">
        <v>274</v>
      </c>
      <c r="BB294" s="570"/>
      <c r="BC294" s="581"/>
      <c r="BD294" s="3692"/>
      <c r="BE294" s="3743"/>
      <c r="BF294" s="3743"/>
      <c r="BG294" s="3708"/>
      <c r="BH294" s="3762"/>
      <c r="BI294" s="3762"/>
      <c r="BJ294" s="39"/>
      <c r="BK294" s="39"/>
      <c r="BL294" s="39"/>
      <c r="BM294" s="39"/>
      <c r="BN294" s="39"/>
      <c r="BO294" s="39"/>
      <c r="BP294" s="39"/>
      <c r="BQ294" s="39"/>
      <c r="BR294" s="39"/>
      <c r="BS294" s="507"/>
      <c r="BT294" s="507"/>
      <c r="BU294" s="507"/>
      <c r="BV294" s="507"/>
      <c r="BW294" s="507"/>
      <c r="BX294" s="507"/>
      <c r="BY294" s="507"/>
      <c r="BZ294" s="507"/>
      <c r="CA294" s="507"/>
      <c r="CB294" s="507"/>
      <c r="CC294" s="507"/>
      <c r="CD294" s="507"/>
      <c r="CE294" s="507"/>
      <c r="CF294" s="507"/>
      <c r="CG294" s="507"/>
      <c r="CH294" s="507"/>
      <c r="CI294" s="507"/>
      <c r="CJ294" s="507"/>
      <c r="CK294" s="507"/>
      <c r="CL294" s="507"/>
      <c r="CM294" s="507"/>
      <c r="CN294" s="507"/>
      <c r="CO294" s="507"/>
      <c r="CP294" s="507"/>
      <c r="CQ294" s="507"/>
      <c r="CR294" s="507"/>
      <c r="CS294" s="507"/>
      <c r="CT294" s="507"/>
      <c r="CU294" s="507"/>
      <c r="CV294" s="507"/>
      <c r="CW294" s="507"/>
      <c r="CX294" s="507"/>
      <c r="CY294" s="507"/>
      <c r="CZ294" s="507"/>
      <c r="DA294" s="507"/>
      <c r="DB294" s="507"/>
      <c r="DC294" s="507"/>
      <c r="DD294" s="507"/>
      <c r="DE294" s="507"/>
      <c r="DF294" s="507"/>
      <c r="DG294" s="507"/>
      <c r="DH294" s="507"/>
      <c r="DI294" s="507"/>
      <c r="DJ294" s="507"/>
      <c r="DK294" s="507"/>
      <c r="DL294" s="507"/>
      <c r="DM294" s="507"/>
      <c r="DN294" s="507"/>
      <c r="DO294" s="507"/>
      <c r="DP294" s="507"/>
      <c r="DQ294" s="507"/>
      <c r="DR294" s="507"/>
      <c r="DS294" s="507"/>
      <c r="DT294" s="507"/>
      <c r="DU294" s="507"/>
      <c r="DV294" s="507"/>
      <c r="DW294" s="507"/>
      <c r="DX294" s="507"/>
      <c r="DY294" s="507"/>
      <c r="DZ294" s="507"/>
      <c r="EA294" s="507"/>
      <c r="EB294" s="507"/>
      <c r="EC294" s="507"/>
      <c r="ED294" s="507"/>
      <c r="EE294" s="507"/>
      <c r="EF294" s="507"/>
      <c r="EG294" s="507"/>
      <c r="EH294" s="507"/>
      <c r="EI294" s="507"/>
      <c r="EJ294" s="507"/>
      <c r="EK294" s="507"/>
      <c r="EL294" s="507"/>
      <c r="EM294" s="507"/>
      <c r="EN294" s="507"/>
      <c r="EO294" s="507"/>
      <c r="EP294" s="507"/>
      <c r="EQ294" s="507"/>
      <c r="ER294" s="507"/>
      <c r="ES294" s="507"/>
      <c r="ET294" s="507"/>
      <c r="EU294" s="507"/>
      <c r="EV294" s="507"/>
      <c r="EW294" s="507"/>
      <c r="EX294" s="507"/>
      <c r="EY294" s="507"/>
      <c r="EZ294" s="507"/>
      <c r="FA294" s="507"/>
      <c r="FB294" s="507"/>
      <c r="FC294" s="507"/>
      <c r="FD294" s="507"/>
      <c r="FE294" s="507"/>
      <c r="FF294" s="507"/>
      <c r="FG294" s="507"/>
      <c r="FH294" s="507"/>
      <c r="FI294" s="507"/>
      <c r="FJ294" s="507"/>
      <c r="FK294" s="507"/>
      <c r="FL294" s="507"/>
      <c r="FM294" s="507"/>
      <c r="FN294" s="507"/>
      <c r="FO294" s="507"/>
      <c r="FP294" s="507"/>
      <c r="FQ294" s="507"/>
      <c r="FR294" s="507"/>
      <c r="FS294" s="507"/>
      <c r="FT294" s="507"/>
      <c r="FU294" s="507"/>
      <c r="FV294" s="507"/>
      <c r="FW294" s="507"/>
      <c r="FX294" s="507"/>
      <c r="FY294" s="507"/>
      <c r="FZ294" s="507"/>
      <c r="GA294" s="507"/>
      <c r="GB294" s="507"/>
      <c r="GC294" s="507"/>
      <c r="GD294" s="507"/>
      <c r="GE294" s="507"/>
      <c r="GF294" s="507"/>
      <c r="GG294" s="507"/>
      <c r="GH294" s="507"/>
      <c r="GI294" s="507"/>
      <c r="GJ294" s="507"/>
      <c r="GK294" s="507"/>
      <c r="GL294" s="507"/>
      <c r="GM294" s="507"/>
      <c r="GN294" s="507"/>
      <c r="GO294" s="507"/>
      <c r="GP294" s="507"/>
      <c r="GQ294" s="507"/>
      <c r="GR294" s="507"/>
      <c r="GS294" s="507"/>
      <c r="GT294" s="507"/>
      <c r="GU294" s="507"/>
      <c r="GV294" s="507"/>
      <c r="GW294" s="507"/>
      <c r="GX294" s="507"/>
      <c r="GY294" s="507"/>
      <c r="GZ294" s="507"/>
      <c r="HA294" s="507"/>
      <c r="HB294" s="510"/>
      <c r="HC294" s="511"/>
      <c r="HD294" s="124"/>
      <c r="HE294" s="508"/>
      <c r="HF294" s="51"/>
      <c r="HG294" s="53"/>
      <c r="HH294" s="245"/>
      <c r="HI294" s="47"/>
      <c r="HJ294" s="46"/>
      <c r="HK294" s="50"/>
      <c r="HL294" s="54"/>
      <c r="HM294" s="54"/>
      <c r="HN294" s="50"/>
      <c r="HO294" s="50"/>
      <c r="HP294" s="50"/>
      <c r="HQ294" s="50"/>
      <c r="HR294" s="223"/>
      <c r="HS294" s="3769"/>
      <c r="HT294" s="3770"/>
      <c r="HU294" s="512"/>
      <c r="HV294" s="460"/>
      <c r="HW294" s="513"/>
      <c r="HX294" s="514"/>
      <c r="HY294" s="507"/>
      <c r="HZ294" s="507"/>
    </row>
    <row r="295" spans="1:234" s="206" customFormat="1" ht="13.5" hidden="1" customHeight="1" x14ac:dyDescent="0.25">
      <c r="A295" s="541" t="s">
        <v>133</v>
      </c>
      <c r="B295" s="523" t="s">
        <v>134</v>
      </c>
      <c r="C295" s="524" t="s">
        <v>135</v>
      </c>
      <c r="D295" s="551" t="s">
        <v>189</v>
      </c>
      <c r="E295" s="569" t="s">
        <v>3228</v>
      </c>
      <c r="F295" s="543">
        <v>40396</v>
      </c>
      <c r="G295" s="544">
        <v>40338</v>
      </c>
      <c r="H295" s="544">
        <v>40389</v>
      </c>
      <c r="I295" s="616">
        <v>41394</v>
      </c>
      <c r="J295" s="579">
        <v>10</v>
      </c>
      <c r="K295" s="553" t="s">
        <v>3229</v>
      </c>
      <c r="L295" s="552" t="s">
        <v>3229</v>
      </c>
      <c r="M295" s="560">
        <v>-0.1</v>
      </c>
      <c r="N295" s="606">
        <v>1</v>
      </c>
      <c r="O295" s="613">
        <v>0.3</v>
      </c>
      <c r="P295" s="575" t="s">
        <v>3229</v>
      </c>
      <c r="Q295" s="575" t="s">
        <v>3229</v>
      </c>
      <c r="R295" s="575" t="s">
        <v>3229</v>
      </c>
      <c r="S295" s="570"/>
      <c r="T295" s="617" t="s">
        <v>3229</v>
      </c>
      <c r="U295" s="563" t="s">
        <v>3229</v>
      </c>
      <c r="V295" s="563" t="s">
        <v>3229</v>
      </c>
      <c r="W295" s="563" t="s">
        <v>3229</v>
      </c>
      <c r="X295" s="563" t="s">
        <v>3229</v>
      </c>
      <c r="Y295" s="598" t="s">
        <v>3229</v>
      </c>
      <c r="Z295" s="598" t="s">
        <v>3229</v>
      </c>
      <c r="AA295" s="598" t="s">
        <v>3229</v>
      </c>
      <c r="AB295" s="598" t="s">
        <v>3229</v>
      </c>
      <c r="AC295" s="598" t="s">
        <v>3229</v>
      </c>
      <c r="AD295" s="598" t="s">
        <v>3229</v>
      </c>
      <c r="AE295" s="598" t="s">
        <v>3229</v>
      </c>
      <c r="AF295" s="3764" t="s">
        <v>781</v>
      </c>
      <c r="AG295" s="3765"/>
      <c r="AH295" s="1301" t="s">
        <v>3229</v>
      </c>
      <c r="AI295" s="1301" t="s">
        <v>3229</v>
      </c>
      <c r="AJ295" s="1301" t="s">
        <v>3229</v>
      </c>
      <c r="AK295" s="530" t="s">
        <v>3229</v>
      </c>
      <c r="AL295" s="530" t="s">
        <v>3229</v>
      </c>
      <c r="AM295" s="659">
        <v>1</v>
      </c>
      <c r="AN295" s="638">
        <v>9.01E-2</v>
      </c>
      <c r="AO295" s="625">
        <v>10.96</v>
      </c>
      <c r="AP295" s="688">
        <v>9.0107166666666696E-2</v>
      </c>
      <c r="AQ295" s="606">
        <v>9.01E-2</v>
      </c>
      <c r="AR295" s="600">
        <v>9.01E-2</v>
      </c>
      <c r="AS295" s="548">
        <f t="shared" si="61"/>
        <v>3.2054470051331885E-2</v>
      </c>
      <c r="AT295" s="548"/>
      <c r="AU295" s="549"/>
      <c r="AV295" s="558"/>
      <c r="AW295" s="558"/>
      <c r="AX295" s="589"/>
      <c r="AY295" s="587"/>
      <c r="AZ295" s="676">
        <v>9</v>
      </c>
      <c r="BA295" s="581" t="s">
        <v>3190</v>
      </c>
      <c r="BB295" s="570"/>
      <c r="BC295" s="581"/>
      <c r="BD295" s="3691"/>
      <c r="BE295" s="3743"/>
      <c r="BF295" s="3743"/>
      <c r="BG295" s="3708"/>
      <c r="BH295" s="3762"/>
      <c r="BI295" s="3762"/>
      <c r="BJ295" s="39"/>
      <c r="BK295" s="39"/>
      <c r="BL295" s="39"/>
      <c r="BM295" s="39"/>
      <c r="BN295" s="39"/>
      <c r="BO295" s="39"/>
      <c r="BP295" s="39"/>
      <c r="BQ295" s="39"/>
      <c r="BR295" s="39"/>
      <c r="BS295" s="507"/>
      <c r="BT295" s="507"/>
      <c r="BU295" s="507"/>
      <c r="BV295" s="507"/>
      <c r="BW295" s="507"/>
      <c r="BX295" s="507"/>
      <c r="BY295" s="507"/>
      <c r="BZ295" s="507"/>
      <c r="CA295" s="507"/>
      <c r="CB295" s="507"/>
      <c r="CC295" s="507"/>
      <c r="CD295" s="507"/>
      <c r="CE295" s="507"/>
      <c r="CF295" s="507"/>
      <c r="CG295" s="507"/>
      <c r="CH295" s="507"/>
      <c r="CI295" s="507"/>
      <c r="CJ295" s="507"/>
      <c r="CK295" s="507"/>
      <c r="CL295" s="507"/>
      <c r="CM295" s="507"/>
      <c r="CN295" s="507"/>
      <c r="CO295" s="507"/>
      <c r="CP295" s="507"/>
      <c r="CQ295" s="507"/>
      <c r="CR295" s="507"/>
      <c r="CS295" s="507"/>
      <c r="CT295" s="507"/>
      <c r="CU295" s="507"/>
      <c r="CV295" s="507"/>
      <c r="CW295" s="507"/>
      <c r="CX295" s="507"/>
      <c r="CY295" s="507"/>
      <c r="CZ295" s="507"/>
      <c r="DA295" s="507"/>
      <c r="DB295" s="507"/>
      <c r="DC295" s="507"/>
      <c r="DD295" s="507"/>
      <c r="DE295" s="507"/>
      <c r="DF295" s="507"/>
      <c r="DG295" s="507"/>
      <c r="DH295" s="507"/>
      <c r="DI295" s="507"/>
      <c r="DJ295" s="507"/>
      <c r="DK295" s="507"/>
      <c r="DL295" s="507"/>
      <c r="DM295" s="507"/>
      <c r="DN295" s="507"/>
      <c r="DO295" s="507"/>
      <c r="DP295" s="507"/>
      <c r="DQ295" s="507"/>
      <c r="DR295" s="507"/>
      <c r="DS295" s="507"/>
      <c r="DT295" s="507"/>
      <c r="DU295" s="507"/>
      <c r="DV295" s="507"/>
      <c r="DW295" s="507"/>
      <c r="DX295" s="507"/>
      <c r="DY295" s="507"/>
      <c r="DZ295" s="507"/>
      <c r="EA295" s="507"/>
      <c r="EB295" s="507"/>
      <c r="EC295" s="507"/>
      <c r="ED295" s="507"/>
      <c r="EE295" s="507"/>
      <c r="EF295" s="507"/>
      <c r="EG295" s="507"/>
      <c r="EH295" s="507"/>
      <c r="EI295" s="507"/>
      <c r="EJ295" s="507"/>
      <c r="EK295" s="507"/>
      <c r="EL295" s="507"/>
      <c r="EM295" s="507"/>
      <c r="EN295" s="507"/>
      <c r="EO295" s="507"/>
      <c r="EP295" s="507"/>
      <c r="EQ295" s="507"/>
      <c r="ER295" s="507"/>
      <c r="ES295" s="507"/>
      <c r="ET295" s="507"/>
      <c r="EU295" s="507"/>
      <c r="EV295" s="507"/>
      <c r="EW295" s="507"/>
      <c r="EX295" s="507"/>
      <c r="EY295" s="507"/>
      <c r="EZ295" s="507"/>
      <c r="FA295" s="507"/>
      <c r="FB295" s="507"/>
      <c r="FC295" s="507"/>
      <c r="FD295" s="507"/>
      <c r="FE295" s="507"/>
      <c r="FF295" s="507"/>
      <c r="FG295" s="507"/>
      <c r="FH295" s="507"/>
      <c r="FI295" s="507"/>
      <c r="FJ295" s="507"/>
      <c r="FK295" s="507"/>
      <c r="FL295" s="507"/>
      <c r="FM295" s="507"/>
      <c r="FN295" s="507"/>
      <c r="FO295" s="507"/>
      <c r="FP295" s="507"/>
      <c r="FQ295" s="507"/>
      <c r="FR295" s="507"/>
      <c r="FS295" s="507"/>
      <c r="FT295" s="507"/>
      <c r="FU295" s="507"/>
      <c r="FV295" s="507"/>
      <c r="FW295" s="507"/>
      <c r="FX295" s="507"/>
      <c r="FY295" s="507"/>
      <c r="FZ295" s="507"/>
      <c r="GA295" s="507"/>
      <c r="GB295" s="507"/>
      <c r="GC295" s="507"/>
      <c r="GD295" s="507"/>
      <c r="GE295" s="507"/>
      <c r="GF295" s="507"/>
      <c r="GG295" s="507"/>
      <c r="GH295" s="507"/>
      <c r="GI295" s="507"/>
      <c r="GJ295" s="507"/>
      <c r="GK295" s="507"/>
      <c r="GL295" s="507"/>
      <c r="GM295" s="507"/>
      <c r="GN295" s="507"/>
      <c r="GO295" s="507"/>
      <c r="GP295" s="507"/>
      <c r="GQ295" s="507"/>
      <c r="GR295" s="507"/>
      <c r="GS295" s="507"/>
      <c r="GT295" s="507"/>
      <c r="GU295" s="507"/>
      <c r="GV295" s="507"/>
      <c r="GW295" s="507"/>
      <c r="GX295" s="507"/>
      <c r="GY295" s="507"/>
      <c r="GZ295" s="507"/>
      <c r="HA295" s="507"/>
      <c r="HB295" s="507"/>
      <c r="HC295" s="507"/>
      <c r="HD295" s="507"/>
      <c r="HE295" s="507"/>
      <c r="HF295" s="507"/>
      <c r="HG295" s="507"/>
      <c r="HH295" s="507"/>
      <c r="HI295" s="507"/>
      <c r="HJ295" s="507"/>
      <c r="HK295" s="507"/>
      <c r="HL295" s="507"/>
      <c r="HM295" s="507"/>
      <c r="HN295" s="507"/>
      <c r="HO295" s="507"/>
      <c r="HP295" s="507"/>
      <c r="HQ295" s="507"/>
      <c r="HR295" s="507"/>
      <c r="HS295" s="507"/>
      <c r="HT295" s="507"/>
      <c r="HU295" s="507"/>
      <c r="HV295" s="507"/>
      <c r="HW295" s="507"/>
      <c r="HX295" s="507"/>
      <c r="HY295" s="507"/>
      <c r="HZ295" s="507"/>
    </row>
    <row r="296" spans="1:234" s="206" customFormat="1" ht="13.5" hidden="1" customHeight="1" x14ac:dyDescent="0.25">
      <c r="A296" s="541" t="s">
        <v>136</v>
      </c>
      <c r="B296" s="523" t="s">
        <v>3083</v>
      </c>
      <c r="C296" s="524" t="s">
        <v>137</v>
      </c>
      <c r="D296" s="551" t="s">
        <v>1859</v>
      </c>
      <c r="E296" s="569" t="s">
        <v>3228</v>
      </c>
      <c r="F296" s="543">
        <v>40366</v>
      </c>
      <c r="G296" s="544">
        <v>40338</v>
      </c>
      <c r="H296" s="544">
        <v>40359</v>
      </c>
      <c r="I296" s="616">
        <v>42368</v>
      </c>
      <c r="J296" s="579">
        <v>10</v>
      </c>
      <c r="K296" s="553" t="s">
        <v>3229</v>
      </c>
      <c r="L296" s="552" t="s">
        <v>3229</v>
      </c>
      <c r="M296" s="560">
        <v>0</v>
      </c>
      <c r="N296" s="606">
        <v>0.6</v>
      </c>
      <c r="O296" s="613" t="s">
        <v>3229</v>
      </c>
      <c r="P296" s="575" t="s">
        <v>3229</v>
      </c>
      <c r="Q296" s="575" t="s">
        <v>3229</v>
      </c>
      <c r="R296" s="575" t="s">
        <v>3229</v>
      </c>
      <c r="S296" s="570"/>
      <c r="T296" s="617" t="s">
        <v>3229</v>
      </c>
      <c r="U296" s="563" t="s">
        <v>3229</v>
      </c>
      <c r="V296" s="563" t="s">
        <v>3229</v>
      </c>
      <c r="W296" s="563" t="s">
        <v>3229</v>
      </c>
      <c r="X296" s="563" t="s">
        <v>3229</v>
      </c>
      <c r="Y296" s="598" t="s">
        <v>3229</v>
      </c>
      <c r="Z296" s="598" t="s">
        <v>3229</v>
      </c>
      <c r="AA296" s="598" t="s">
        <v>3229</v>
      </c>
      <c r="AB296" s="598" t="s">
        <v>3229</v>
      </c>
      <c r="AC296" s="598" t="s">
        <v>3229</v>
      </c>
      <c r="AD296" s="598" t="s">
        <v>3229</v>
      </c>
      <c r="AE296" s="598" t="s">
        <v>3229</v>
      </c>
      <c r="AF296" s="3764" t="s">
        <v>781</v>
      </c>
      <c r="AG296" s="3765"/>
      <c r="AH296" s="1301" t="s">
        <v>3229</v>
      </c>
      <c r="AI296" s="1301" t="s">
        <v>3229</v>
      </c>
      <c r="AJ296" s="1301" t="s">
        <v>3229</v>
      </c>
      <c r="AK296" s="530" t="s">
        <v>3229</v>
      </c>
      <c r="AL296" s="530" t="s">
        <v>3229</v>
      </c>
      <c r="AM296" s="659">
        <v>1</v>
      </c>
      <c r="AN296" s="638">
        <f>'klikací hodnoty'!F8991</f>
        <v>0.26069293333333327</v>
      </c>
      <c r="AO296" s="625">
        <v>12.61</v>
      </c>
      <c r="AP296" s="688">
        <f>'klikací hodnoty'!O8979</f>
        <v>0.26069293333333327</v>
      </c>
      <c r="AQ296" s="606">
        <f>AP296</f>
        <v>0.26069293333333327</v>
      </c>
      <c r="AR296" s="600" t="s">
        <v>3660</v>
      </c>
      <c r="AS296" s="548"/>
      <c r="AT296" s="548"/>
      <c r="AU296" s="549"/>
      <c r="AV296" s="558">
        <f t="shared" si="59"/>
        <v>0</v>
      </c>
      <c r="AW296" s="558">
        <f t="shared" si="56"/>
        <v>0</v>
      </c>
      <c r="AX296" s="589">
        <f t="shared" si="57"/>
        <v>-0.20697858842188732</v>
      </c>
      <c r="AY296" s="587" t="e">
        <f t="shared" si="58"/>
        <v>#DIV/0!</v>
      </c>
      <c r="AZ296" s="676">
        <f t="shared" ref="AZ296:AZ321" si="62">J296*(1+AV296)</f>
        <v>10</v>
      </c>
      <c r="BA296" s="581" t="s">
        <v>3190</v>
      </c>
      <c r="BB296" s="570"/>
      <c r="BC296" s="581"/>
      <c r="BD296" s="3691"/>
      <c r="BE296" s="3743"/>
      <c r="BF296" s="3743"/>
      <c r="BG296" s="3708"/>
      <c r="BH296" s="3762"/>
      <c r="BI296" s="3762"/>
      <c r="BJ296" s="39"/>
      <c r="BK296" s="39"/>
      <c r="BL296" s="39"/>
      <c r="BM296" s="39"/>
      <c r="BN296" s="39"/>
      <c r="BO296" s="39"/>
      <c r="BP296" s="39"/>
      <c r="BQ296" s="39"/>
      <c r="BR296" s="39"/>
      <c r="BS296" s="507"/>
      <c r="BT296" s="507"/>
      <c r="BU296" s="507"/>
      <c r="BV296" s="507"/>
      <c r="BW296" s="507"/>
      <c r="BX296" s="507"/>
      <c r="BY296" s="507"/>
      <c r="BZ296" s="507"/>
      <c r="CA296" s="507"/>
      <c r="CB296" s="507"/>
      <c r="CC296" s="507"/>
      <c r="CD296" s="507"/>
      <c r="CE296" s="507"/>
      <c r="CF296" s="507"/>
      <c r="CG296" s="507"/>
      <c r="CH296" s="507"/>
      <c r="CI296" s="507"/>
      <c r="CJ296" s="507"/>
      <c r="CK296" s="507"/>
      <c r="CL296" s="507"/>
      <c r="CM296" s="507"/>
      <c r="CN296" s="507"/>
      <c r="CO296" s="507"/>
      <c r="CP296" s="507"/>
      <c r="CQ296" s="507"/>
      <c r="CR296" s="507"/>
      <c r="CS296" s="507"/>
      <c r="CT296" s="507"/>
      <c r="CU296" s="507"/>
      <c r="CV296" s="507"/>
      <c r="CW296" s="507"/>
      <c r="CX296" s="507"/>
      <c r="CY296" s="507"/>
      <c r="CZ296" s="507"/>
      <c r="DA296" s="507"/>
      <c r="DB296" s="507"/>
      <c r="DC296" s="507"/>
      <c r="DD296" s="507"/>
      <c r="DE296" s="507"/>
      <c r="DF296" s="507"/>
      <c r="DG296" s="507"/>
      <c r="DH296" s="507"/>
      <c r="DI296" s="507"/>
      <c r="DJ296" s="507"/>
      <c r="DK296" s="507"/>
      <c r="DL296" s="507"/>
      <c r="DM296" s="507"/>
      <c r="DN296" s="507"/>
      <c r="DO296" s="507"/>
      <c r="DP296" s="507"/>
      <c r="DQ296" s="507"/>
      <c r="DR296" s="507"/>
      <c r="DS296" s="507"/>
      <c r="DT296" s="507"/>
      <c r="DU296" s="507"/>
      <c r="DV296" s="507"/>
      <c r="DW296" s="507"/>
      <c r="DX296" s="507"/>
      <c r="DY296" s="507"/>
      <c r="DZ296" s="507"/>
      <c r="EA296" s="507"/>
      <c r="EB296" s="507"/>
      <c r="EC296" s="507"/>
      <c r="ED296" s="507"/>
      <c r="EE296" s="507"/>
      <c r="EF296" s="507"/>
      <c r="EG296" s="507"/>
      <c r="EH296" s="507"/>
      <c r="EI296" s="507"/>
      <c r="EJ296" s="507"/>
      <c r="EK296" s="507"/>
      <c r="EL296" s="507"/>
      <c r="EM296" s="507"/>
      <c r="EN296" s="507"/>
      <c r="EO296" s="507"/>
      <c r="EP296" s="507"/>
      <c r="EQ296" s="507"/>
      <c r="ER296" s="507"/>
      <c r="ES296" s="507"/>
      <c r="ET296" s="507"/>
      <c r="EU296" s="507"/>
      <c r="EV296" s="507"/>
      <c r="EW296" s="507"/>
      <c r="EX296" s="507"/>
      <c r="EY296" s="507"/>
      <c r="EZ296" s="507"/>
      <c r="FA296" s="507"/>
      <c r="FB296" s="507"/>
      <c r="FC296" s="507"/>
      <c r="FD296" s="507"/>
      <c r="FE296" s="507"/>
      <c r="FF296" s="507"/>
      <c r="FG296" s="507"/>
      <c r="FH296" s="507"/>
      <c r="FI296" s="507"/>
      <c r="FJ296" s="507"/>
      <c r="FK296" s="507"/>
      <c r="FL296" s="507"/>
      <c r="FM296" s="507"/>
      <c r="FN296" s="507"/>
      <c r="FO296" s="507"/>
      <c r="FP296" s="507"/>
      <c r="FQ296" s="507"/>
      <c r="FR296" s="507"/>
      <c r="FS296" s="507"/>
      <c r="FT296" s="507"/>
      <c r="FU296" s="507"/>
      <c r="FV296" s="507"/>
      <c r="FW296" s="507"/>
      <c r="FX296" s="507"/>
      <c r="FY296" s="507"/>
      <c r="FZ296" s="507"/>
      <c r="GA296" s="507"/>
      <c r="GB296" s="507"/>
      <c r="GC296" s="507"/>
      <c r="GD296" s="507"/>
      <c r="GE296" s="507"/>
      <c r="GF296" s="507"/>
      <c r="GG296" s="507"/>
      <c r="GH296" s="507"/>
      <c r="GI296" s="507"/>
      <c r="GJ296" s="507"/>
      <c r="GK296" s="507"/>
      <c r="GL296" s="507"/>
      <c r="GM296" s="507"/>
      <c r="GN296" s="507"/>
      <c r="GO296" s="507"/>
      <c r="GP296" s="507"/>
      <c r="GQ296" s="507"/>
      <c r="GR296" s="507"/>
      <c r="GS296" s="507"/>
      <c r="GT296" s="507"/>
      <c r="GU296" s="507"/>
      <c r="GV296" s="507"/>
      <c r="GW296" s="507"/>
      <c r="GX296" s="507"/>
      <c r="GY296" s="507"/>
      <c r="GZ296" s="507"/>
      <c r="HA296" s="507"/>
      <c r="HB296" s="507"/>
      <c r="HC296" s="507"/>
      <c r="HD296" s="507"/>
      <c r="HE296" s="507"/>
      <c r="HF296" s="507"/>
      <c r="HG296" s="507"/>
      <c r="HH296" s="507"/>
      <c r="HI296" s="507"/>
      <c r="HJ296" s="507"/>
      <c r="HK296" s="507"/>
      <c r="HL296" s="507"/>
      <c r="HM296" s="507"/>
      <c r="HN296" s="507"/>
      <c r="HO296" s="507"/>
      <c r="HP296" s="507"/>
      <c r="HQ296" s="507"/>
      <c r="HR296" s="507"/>
      <c r="HS296" s="507"/>
      <c r="HT296" s="507"/>
      <c r="HU296" s="507"/>
      <c r="HV296" s="507"/>
      <c r="HW296" s="507"/>
      <c r="HX296" s="507"/>
      <c r="HY296" s="507"/>
      <c r="HZ296" s="507"/>
    </row>
    <row r="297" spans="1:234" ht="13.5" hidden="1" customHeight="1" x14ac:dyDescent="0.25">
      <c r="A297" s="541" t="s">
        <v>1470</v>
      </c>
      <c r="B297" s="523" t="s">
        <v>1471</v>
      </c>
      <c r="C297" s="524" t="s">
        <v>1472</v>
      </c>
      <c r="D297" s="553" t="s">
        <v>1859</v>
      </c>
      <c r="E297" s="526" t="s">
        <v>3228</v>
      </c>
      <c r="F297" s="586">
        <v>40336</v>
      </c>
      <c r="G297" s="586">
        <v>40301</v>
      </c>
      <c r="H297" s="544">
        <v>40329</v>
      </c>
      <c r="I297" s="602">
        <v>41638</v>
      </c>
      <c r="J297" s="595">
        <v>10</v>
      </c>
      <c r="K297" s="561" t="s">
        <v>3229</v>
      </c>
      <c r="L297" s="553" t="s">
        <v>3229</v>
      </c>
      <c r="M297" s="600">
        <v>0</v>
      </c>
      <c r="N297" s="601">
        <v>0.7</v>
      </c>
      <c r="O297" s="596" t="s">
        <v>3229</v>
      </c>
      <c r="P297" s="596" t="s">
        <v>3229</v>
      </c>
      <c r="Q297" s="575" t="s">
        <v>3229</v>
      </c>
      <c r="R297" s="575" t="s">
        <v>3229</v>
      </c>
      <c r="S297" s="603"/>
      <c r="T297" s="563" t="s">
        <v>3229</v>
      </c>
      <c r="U297" s="563" t="s">
        <v>3229</v>
      </c>
      <c r="V297" s="563" t="s">
        <v>3229</v>
      </c>
      <c r="W297" s="563" t="s">
        <v>3229</v>
      </c>
      <c r="X297" s="563" t="s">
        <v>3229</v>
      </c>
      <c r="Y297" s="563" t="s">
        <v>3229</v>
      </c>
      <c r="Z297" s="563" t="s">
        <v>3229</v>
      </c>
      <c r="AA297" s="563" t="s">
        <v>3229</v>
      </c>
      <c r="AB297" s="563" t="s">
        <v>3229</v>
      </c>
      <c r="AC297" s="563" t="s">
        <v>3229</v>
      </c>
      <c r="AD297" s="563" t="s">
        <v>3229</v>
      </c>
      <c r="AE297" s="563" t="s">
        <v>3229</v>
      </c>
      <c r="AF297" s="3764" t="s">
        <v>781</v>
      </c>
      <c r="AG297" s="3765"/>
      <c r="AH297" s="673" t="s">
        <v>3229</v>
      </c>
      <c r="AI297" s="673" t="s">
        <v>3229</v>
      </c>
      <c r="AJ297" s="673" t="s">
        <v>3229</v>
      </c>
      <c r="AK297" s="673" t="s">
        <v>3229</v>
      </c>
      <c r="AL297" s="673" t="s">
        <v>3229</v>
      </c>
      <c r="AM297" s="591">
        <v>1</v>
      </c>
      <c r="AN297" s="638">
        <f>'klikací hodnoty'!F8812</f>
        <v>4.2504750000000001E-2</v>
      </c>
      <c r="AO297" s="625">
        <v>10.85</v>
      </c>
      <c r="AP297" s="1368">
        <f>'klikací hodnoty'!F8811</f>
        <v>6.0721071428571437E-2</v>
      </c>
      <c r="AQ297" s="605">
        <f>'klikací hodnoty'!F8796</f>
        <v>0.20556439316877459</v>
      </c>
      <c r="AR297" s="3773" t="s">
        <v>3660</v>
      </c>
      <c r="AS297" s="3774"/>
      <c r="AT297" s="3774"/>
      <c r="AU297" s="3774"/>
      <c r="AV297" s="632">
        <f t="shared" si="59"/>
        <v>0</v>
      </c>
      <c r="AW297" s="558">
        <f t="shared" si="56"/>
        <v>0</v>
      </c>
      <c r="AX297" s="589">
        <f t="shared" si="57"/>
        <v>-7.8341013824884786E-2</v>
      </c>
      <c r="AY297" s="648" t="e">
        <f t="shared" si="58"/>
        <v>#DIV/0!</v>
      </c>
      <c r="AZ297" s="676">
        <f t="shared" si="62"/>
        <v>10</v>
      </c>
      <c r="BA297" s="644" t="s">
        <v>574</v>
      </c>
      <c r="BB297" s="570"/>
      <c r="BC297" s="581"/>
      <c r="BH297" s="3763"/>
      <c r="BI297" s="3763"/>
      <c r="BJ297" s="1639"/>
      <c r="BK297" s="1639"/>
      <c r="BL297" s="1639"/>
      <c r="BM297" s="1639"/>
      <c r="BN297" s="1639"/>
      <c r="BO297" s="1639"/>
      <c r="BP297" s="1639"/>
      <c r="BQ297" s="1639"/>
      <c r="BR297" s="1639"/>
      <c r="BS297" s="509"/>
      <c r="BT297" s="509"/>
      <c r="BU297" s="509"/>
      <c r="BV297" s="509"/>
      <c r="BW297" s="509"/>
      <c r="BX297" s="509"/>
      <c r="BY297" s="509"/>
      <c r="BZ297" s="509"/>
      <c r="CA297" s="509"/>
      <c r="CB297" s="509"/>
      <c r="CC297" s="509"/>
      <c r="CD297" s="509"/>
      <c r="CE297" s="509"/>
      <c r="CF297" s="509"/>
      <c r="CG297" s="509"/>
      <c r="CH297" s="509"/>
      <c r="CI297" s="509"/>
      <c r="CJ297" s="509"/>
      <c r="CK297" s="509"/>
      <c r="CL297" s="509"/>
      <c r="CM297" s="509"/>
      <c r="CN297" s="509"/>
      <c r="CO297" s="509"/>
      <c r="CP297" s="509"/>
      <c r="CQ297" s="509"/>
      <c r="CR297" s="509"/>
      <c r="CS297" s="509"/>
      <c r="CT297" s="509"/>
      <c r="CU297" s="509"/>
      <c r="CV297" s="509"/>
      <c r="CW297" s="509"/>
      <c r="CX297" s="509"/>
      <c r="CY297" s="509"/>
      <c r="CZ297" s="509"/>
      <c r="DA297" s="509"/>
      <c r="DB297" s="509"/>
      <c r="DC297" s="509"/>
      <c r="DD297" s="509"/>
      <c r="DE297" s="509"/>
      <c r="DF297" s="509"/>
      <c r="DG297" s="509"/>
      <c r="DH297" s="509"/>
      <c r="DI297" s="509"/>
      <c r="DJ297" s="509"/>
      <c r="DK297" s="509"/>
      <c r="DL297" s="509"/>
      <c r="DM297" s="509"/>
      <c r="DN297" s="509"/>
      <c r="DO297" s="509"/>
      <c r="DP297" s="509"/>
      <c r="DQ297" s="509"/>
      <c r="DR297" s="509"/>
      <c r="DS297" s="509"/>
      <c r="DT297" s="509"/>
      <c r="DU297" s="509"/>
      <c r="DV297" s="509"/>
      <c r="DW297" s="509"/>
      <c r="DX297" s="509"/>
      <c r="DY297" s="509"/>
      <c r="DZ297" s="509"/>
      <c r="EA297" s="509"/>
      <c r="EB297" s="509"/>
      <c r="EC297" s="509"/>
      <c r="ED297" s="509"/>
      <c r="EE297" s="509"/>
      <c r="EF297" s="509"/>
      <c r="EG297" s="509"/>
      <c r="EH297" s="509"/>
      <c r="EI297" s="509"/>
      <c r="EJ297" s="509"/>
      <c r="EK297" s="509"/>
      <c r="EL297" s="509"/>
      <c r="EM297" s="509"/>
      <c r="EN297" s="509"/>
      <c r="EO297" s="509"/>
      <c r="EP297" s="509"/>
      <c r="EQ297" s="509"/>
      <c r="ER297" s="509"/>
      <c r="ES297" s="509"/>
      <c r="ET297" s="509"/>
      <c r="EU297" s="509"/>
      <c r="EV297" s="509"/>
      <c r="EW297" s="509"/>
      <c r="EX297" s="509"/>
      <c r="EY297" s="509"/>
      <c r="EZ297" s="509"/>
      <c r="FA297" s="509"/>
      <c r="FB297" s="509"/>
      <c r="FC297" s="509"/>
      <c r="FD297" s="509"/>
      <c r="FE297" s="509"/>
      <c r="FF297" s="509"/>
      <c r="FG297" s="509"/>
      <c r="FH297" s="509"/>
      <c r="FI297" s="509"/>
      <c r="FJ297" s="509"/>
      <c r="FK297" s="509"/>
      <c r="FL297" s="509"/>
      <c r="FM297" s="509"/>
      <c r="FN297" s="509"/>
      <c r="FO297" s="509"/>
      <c r="FP297" s="509"/>
      <c r="FQ297" s="509"/>
      <c r="FR297" s="509"/>
      <c r="FS297" s="509"/>
      <c r="FT297" s="509"/>
      <c r="FU297" s="509"/>
      <c r="FV297" s="509"/>
      <c r="FW297" s="509"/>
      <c r="FX297" s="509"/>
      <c r="FY297" s="509"/>
      <c r="FZ297" s="509"/>
      <c r="GA297" s="509"/>
      <c r="GB297" s="509"/>
      <c r="GC297" s="509"/>
      <c r="GD297" s="509"/>
      <c r="GE297" s="509"/>
      <c r="GF297" s="509"/>
      <c r="GG297" s="509"/>
      <c r="GH297" s="509"/>
      <c r="GI297" s="509"/>
      <c r="GJ297" s="509"/>
      <c r="GK297" s="509"/>
      <c r="GL297" s="509"/>
      <c r="GM297" s="509"/>
      <c r="GN297" s="509"/>
      <c r="GO297" s="509"/>
      <c r="GP297" s="509"/>
      <c r="GQ297" s="509"/>
      <c r="GR297" s="509"/>
      <c r="GS297" s="509"/>
      <c r="GT297" s="509"/>
      <c r="GU297" s="509"/>
      <c r="GV297" s="509"/>
      <c r="GW297" s="509"/>
      <c r="GX297" s="509"/>
      <c r="GY297" s="509"/>
      <c r="GZ297" s="509"/>
      <c r="HA297" s="509"/>
      <c r="HB297" s="509"/>
      <c r="HC297" s="509"/>
      <c r="HD297" s="509"/>
      <c r="HE297" s="509"/>
      <c r="HF297" s="509"/>
      <c r="HG297" s="509"/>
      <c r="HH297" s="509"/>
      <c r="HI297" s="509"/>
      <c r="HJ297" s="509"/>
      <c r="HK297" s="509"/>
      <c r="HL297" s="509"/>
      <c r="HM297" s="509"/>
      <c r="HN297" s="509"/>
      <c r="HO297" s="509"/>
      <c r="HP297" s="509"/>
      <c r="HQ297" s="509"/>
      <c r="HR297" s="509"/>
      <c r="HS297" s="509"/>
      <c r="HT297" s="509"/>
      <c r="HU297" s="509"/>
      <c r="HV297" s="509"/>
      <c r="HW297" s="509"/>
      <c r="HX297" s="509"/>
      <c r="HY297" s="509"/>
      <c r="HZ297" s="509"/>
    </row>
    <row r="298" spans="1:234" ht="13.5" hidden="1" customHeight="1" x14ac:dyDescent="0.25">
      <c r="A298" s="541" t="s">
        <v>1193</v>
      </c>
      <c r="B298" s="523" t="s">
        <v>1474</v>
      </c>
      <c r="C298" s="524" t="s">
        <v>1473</v>
      </c>
      <c r="D298" s="553" t="s">
        <v>1475</v>
      </c>
      <c r="E298" s="526" t="s">
        <v>3228</v>
      </c>
      <c r="F298" s="586">
        <v>40336</v>
      </c>
      <c r="G298" s="586">
        <v>40303</v>
      </c>
      <c r="H298" s="544">
        <v>40324</v>
      </c>
      <c r="I298" s="602">
        <v>42368</v>
      </c>
      <c r="J298" s="595">
        <v>10</v>
      </c>
      <c r="K298" s="561" t="s">
        <v>3229</v>
      </c>
      <c r="L298" s="553" t="s">
        <v>3229</v>
      </c>
      <c r="M298" s="600">
        <v>0</v>
      </c>
      <c r="N298" s="601">
        <v>0.75</v>
      </c>
      <c r="O298" s="596" t="s">
        <v>3229</v>
      </c>
      <c r="P298" s="596" t="s">
        <v>3229</v>
      </c>
      <c r="Q298" s="575" t="s">
        <v>3229</v>
      </c>
      <c r="R298" s="575" t="s">
        <v>3229</v>
      </c>
      <c r="S298" s="603"/>
      <c r="T298" s="563" t="s">
        <v>3229</v>
      </c>
      <c r="U298" s="563" t="s">
        <v>3229</v>
      </c>
      <c r="V298" s="563" t="s">
        <v>3229</v>
      </c>
      <c r="W298" s="563" t="s">
        <v>3229</v>
      </c>
      <c r="X298" s="563" t="s">
        <v>3229</v>
      </c>
      <c r="Y298" s="563" t="s">
        <v>3229</v>
      </c>
      <c r="Z298" s="563" t="s">
        <v>3229</v>
      </c>
      <c r="AA298" s="563" t="s">
        <v>3229</v>
      </c>
      <c r="AB298" s="563" t="s">
        <v>3229</v>
      </c>
      <c r="AC298" s="563" t="s">
        <v>3229</v>
      </c>
      <c r="AD298" s="563" t="s">
        <v>3229</v>
      </c>
      <c r="AE298" s="563" t="s">
        <v>3229</v>
      </c>
      <c r="AF298" s="3764" t="s">
        <v>781</v>
      </c>
      <c r="AG298" s="3765"/>
      <c r="AH298" s="673" t="s">
        <v>3229</v>
      </c>
      <c r="AI298" s="673" t="s">
        <v>3229</v>
      </c>
      <c r="AJ298" s="673" t="s">
        <v>3229</v>
      </c>
      <c r="AK298" s="673" t="s">
        <v>3229</v>
      </c>
      <c r="AL298" s="673" t="s">
        <v>3229</v>
      </c>
      <c r="AM298" s="591">
        <v>1</v>
      </c>
      <c r="AN298" s="638">
        <v>0.17330000000000001</v>
      </c>
      <c r="AO298" s="625">
        <v>11.73</v>
      </c>
      <c r="AP298" s="1368">
        <v>0.17330000000000001</v>
      </c>
      <c r="AQ298" s="605">
        <v>0.18045128977927324</v>
      </c>
      <c r="AR298" s="3773" t="s">
        <v>3660</v>
      </c>
      <c r="AS298" s="3774"/>
      <c r="AT298" s="3774"/>
      <c r="AU298" s="3774"/>
      <c r="AV298" s="632">
        <v>0</v>
      </c>
      <c r="AW298" s="558">
        <v>0</v>
      </c>
      <c r="AX298" s="589">
        <v>-0.14310197086546705</v>
      </c>
      <c r="AY298" s="648">
        <v>-0.84725350571585489</v>
      </c>
      <c r="AZ298" s="676">
        <v>10</v>
      </c>
      <c r="BA298" s="644" t="s">
        <v>3190</v>
      </c>
      <c r="BB298" s="570"/>
      <c r="BC298" s="581"/>
      <c r="BH298" s="3763"/>
      <c r="BI298" s="3763"/>
      <c r="BJ298" s="1639"/>
      <c r="BK298" s="1639"/>
      <c r="BL298" s="1639"/>
      <c r="BM298" s="1639"/>
      <c r="BN298" s="1639"/>
      <c r="BO298" s="1639"/>
      <c r="BP298" s="1639"/>
      <c r="BQ298" s="1639"/>
      <c r="BR298" s="1639"/>
      <c r="BS298" s="509"/>
      <c r="BT298" s="509"/>
      <c r="BU298" s="509"/>
      <c r="BV298" s="509"/>
      <c r="BW298" s="509"/>
      <c r="BX298" s="509"/>
      <c r="BY298" s="509"/>
      <c r="BZ298" s="509"/>
      <c r="CA298" s="509"/>
      <c r="CB298" s="509"/>
      <c r="CC298" s="509"/>
      <c r="CD298" s="509"/>
      <c r="CE298" s="509"/>
      <c r="CF298" s="509"/>
      <c r="CG298" s="509"/>
      <c r="CH298" s="509"/>
      <c r="CI298" s="509"/>
      <c r="CJ298" s="509"/>
      <c r="CK298" s="509"/>
      <c r="CL298" s="509"/>
      <c r="CM298" s="509"/>
      <c r="CN298" s="509"/>
      <c r="CO298" s="509"/>
      <c r="CP298" s="509"/>
      <c r="CQ298" s="509"/>
      <c r="CR298" s="509"/>
      <c r="CS298" s="509"/>
      <c r="CT298" s="509"/>
      <c r="CU298" s="509"/>
      <c r="CV298" s="509"/>
      <c r="CW298" s="509"/>
      <c r="CX298" s="509"/>
      <c r="CY298" s="509"/>
      <c r="CZ298" s="509"/>
      <c r="DA298" s="509"/>
      <c r="DB298" s="509"/>
      <c r="DC298" s="509"/>
      <c r="DD298" s="509"/>
      <c r="DE298" s="509"/>
      <c r="DF298" s="509"/>
      <c r="DG298" s="509"/>
      <c r="DH298" s="509"/>
      <c r="DI298" s="509"/>
      <c r="DJ298" s="509"/>
      <c r="DK298" s="509"/>
      <c r="DL298" s="509"/>
      <c r="DM298" s="509"/>
      <c r="DN298" s="509"/>
      <c r="DO298" s="509"/>
      <c r="DP298" s="509"/>
      <c r="DQ298" s="509"/>
      <c r="DR298" s="509"/>
      <c r="DS298" s="509"/>
      <c r="DT298" s="509"/>
      <c r="DU298" s="509"/>
      <c r="DV298" s="509"/>
      <c r="DW298" s="509"/>
      <c r="DX298" s="509"/>
      <c r="DY298" s="509"/>
      <c r="DZ298" s="509"/>
      <c r="EA298" s="509"/>
      <c r="EB298" s="509"/>
      <c r="EC298" s="509"/>
      <c r="ED298" s="509"/>
      <c r="EE298" s="509"/>
      <c r="EF298" s="509"/>
      <c r="EG298" s="509"/>
      <c r="EH298" s="509"/>
      <c r="EI298" s="509"/>
      <c r="EJ298" s="509"/>
      <c r="EK298" s="509"/>
      <c r="EL298" s="509"/>
      <c r="EM298" s="509"/>
      <c r="EN298" s="509"/>
      <c r="EO298" s="509"/>
      <c r="EP298" s="509"/>
      <c r="EQ298" s="509"/>
      <c r="ER298" s="509"/>
      <c r="ES298" s="509"/>
      <c r="ET298" s="509"/>
      <c r="EU298" s="509"/>
      <c r="EV298" s="509"/>
      <c r="EW298" s="509"/>
      <c r="EX298" s="509"/>
      <c r="EY298" s="509"/>
      <c r="EZ298" s="509"/>
      <c r="FA298" s="509"/>
      <c r="FB298" s="509"/>
      <c r="FC298" s="509"/>
      <c r="FD298" s="509"/>
      <c r="FE298" s="509"/>
      <c r="FF298" s="509"/>
      <c r="FG298" s="509"/>
      <c r="FH298" s="509"/>
      <c r="FI298" s="509"/>
      <c r="FJ298" s="509"/>
      <c r="FK298" s="509"/>
      <c r="FL298" s="509"/>
      <c r="FM298" s="509"/>
      <c r="FN298" s="509"/>
      <c r="FO298" s="509"/>
      <c r="FP298" s="509"/>
      <c r="FQ298" s="509"/>
      <c r="FR298" s="509"/>
      <c r="FS298" s="509"/>
      <c r="FT298" s="509"/>
      <c r="FU298" s="509"/>
      <c r="FV298" s="509"/>
      <c r="FW298" s="509"/>
      <c r="FX298" s="509"/>
      <c r="FY298" s="509"/>
      <c r="FZ298" s="509"/>
      <c r="GA298" s="509"/>
      <c r="GB298" s="509"/>
      <c r="GC298" s="509"/>
      <c r="GD298" s="509"/>
      <c r="GE298" s="509"/>
      <c r="GF298" s="509"/>
      <c r="GG298" s="509"/>
      <c r="GH298" s="509"/>
      <c r="GI298" s="509"/>
      <c r="GJ298" s="509"/>
      <c r="GK298" s="509"/>
      <c r="GL298" s="509"/>
      <c r="GM298" s="509"/>
      <c r="GN298" s="509"/>
      <c r="GO298" s="509"/>
      <c r="GP298" s="509"/>
      <c r="GQ298" s="509"/>
      <c r="GR298" s="509"/>
      <c r="GS298" s="509"/>
      <c r="GT298" s="509"/>
      <c r="GU298" s="509"/>
      <c r="GV298" s="509"/>
      <c r="GW298" s="509"/>
      <c r="GX298" s="509"/>
      <c r="GY298" s="509"/>
      <c r="GZ298" s="509"/>
      <c r="HA298" s="509"/>
      <c r="HB298" s="509"/>
      <c r="HC298" s="509"/>
      <c r="HD298" s="509"/>
      <c r="HE298" s="509"/>
      <c r="HF298" s="509"/>
      <c r="HG298" s="509"/>
      <c r="HH298" s="509"/>
      <c r="HI298" s="509"/>
      <c r="HJ298" s="509"/>
      <c r="HK298" s="509"/>
      <c r="HL298" s="509"/>
      <c r="HM298" s="509"/>
      <c r="HN298" s="509"/>
      <c r="HO298" s="509"/>
      <c r="HP298" s="509"/>
      <c r="HQ298" s="509"/>
      <c r="HR298" s="509"/>
      <c r="HS298" s="509"/>
      <c r="HT298" s="509"/>
      <c r="HU298" s="509"/>
      <c r="HV298" s="509"/>
      <c r="HW298" s="509"/>
      <c r="HX298" s="509"/>
      <c r="HY298" s="509"/>
      <c r="HZ298" s="509"/>
    </row>
    <row r="299" spans="1:234" s="206" customFormat="1" ht="13.5" hidden="1" customHeight="1" x14ac:dyDescent="0.25">
      <c r="A299" s="541" t="s">
        <v>784</v>
      </c>
      <c r="B299" s="523" t="s">
        <v>3477</v>
      </c>
      <c r="C299" s="524" t="s">
        <v>3478</v>
      </c>
      <c r="D299" s="551" t="s">
        <v>4384</v>
      </c>
      <c r="E299" s="569" t="s">
        <v>3228</v>
      </c>
      <c r="F299" s="543">
        <v>40375</v>
      </c>
      <c r="G299" s="544">
        <v>40330</v>
      </c>
      <c r="H299" s="544">
        <v>40368</v>
      </c>
      <c r="I299" s="616">
        <v>40753</v>
      </c>
      <c r="J299" s="579">
        <v>10</v>
      </c>
      <c r="K299" s="553" t="s">
        <v>3229</v>
      </c>
      <c r="L299" s="552">
        <v>0.12</v>
      </c>
      <c r="M299" s="560">
        <v>-1</v>
      </c>
      <c r="N299" s="606" t="s">
        <v>3229</v>
      </c>
      <c r="O299" s="613">
        <v>0.5</v>
      </c>
      <c r="P299" s="575" t="s">
        <v>3229</v>
      </c>
      <c r="Q299" s="575" t="s">
        <v>3229</v>
      </c>
      <c r="R299" s="575" t="s">
        <v>3229</v>
      </c>
      <c r="S299" s="570">
        <v>5</v>
      </c>
      <c r="T299" s="617" t="s">
        <v>6679</v>
      </c>
      <c r="U299" s="563">
        <v>41091</v>
      </c>
      <c r="V299" s="563">
        <v>41456</v>
      </c>
      <c r="W299" s="563">
        <v>41822</v>
      </c>
      <c r="X299" s="563">
        <v>42186</v>
      </c>
      <c r="Y299" s="598"/>
      <c r="Z299" s="598"/>
      <c r="AA299" s="598"/>
      <c r="AB299" s="598"/>
      <c r="AC299" s="598"/>
      <c r="AD299" s="598"/>
      <c r="AE299" s="598"/>
      <c r="AF299" s="3764" t="s">
        <v>781</v>
      </c>
      <c r="AG299" s="3765"/>
      <c r="AH299" s="1301">
        <v>1</v>
      </c>
      <c r="AI299" s="1301" t="s">
        <v>3229</v>
      </c>
      <c r="AJ299" s="1301" t="s">
        <v>3229</v>
      </c>
      <c r="AK299" s="530" t="s">
        <v>3229</v>
      </c>
      <c r="AL299" s="530" t="s">
        <v>3229</v>
      </c>
      <c r="AM299" s="659" t="s">
        <v>3229</v>
      </c>
      <c r="AN299" s="638">
        <f>'klikací hodnoty'!F8760</f>
        <v>0.12</v>
      </c>
      <c r="AO299" s="625">
        <v>13.11</v>
      </c>
      <c r="AP299" s="688" t="s">
        <v>3229</v>
      </c>
      <c r="AQ299" s="606">
        <f>'klikací hodnoty'!F8755</f>
        <v>7.6334605715009607E-2</v>
      </c>
      <c r="AR299" s="600">
        <v>0.12</v>
      </c>
      <c r="AS299" s="548">
        <f>POWER(1+AR299,1/((I299-F299)/365))-1</f>
        <v>0.11564324278539773</v>
      </c>
      <c r="AT299" s="548">
        <f>J299*(1+AR299)/AO299-1</f>
        <v>-0.14569031273836752</v>
      </c>
      <c r="AU299" s="549" t="e">
        <f>POWER(1+AT299,1/AG299)-1</f>
        <v>#DIV/0!</v>
      </c>
      <c r="AV299" s="558">
        <f t="shared" si="59"/>
        <v>-1</v>
      </c>
      <c r="AW299" s="558">
        <f t="shared" si="56"/>
        <v>-1</v>
      </c>
      <c r="AX299" s="589">
        <f t="shared" si="57"/>
        <v>-1</v>
      </c>
      <c r="AY299" s="587" t="e">
        <f t="shared" si="58"/>
        <v>#DIV/0!</v>
      </c>
      <c r="AZ299" s="676">
        <f t="shared" si="62"/>
        <v>0</v>
      </c>
      <c r="BA299" s="581" t="s">
        <v>3479</v>
      </c>
      <c r="BB299" s="570"/>
      <c r="BC299" s="581"/>
      <c r="BD299" s="3691"/>
      <c r="BE299" s="3743"/>
      <c r="BF299" s="3743"/>
      <c r="BG299" s="3708"/>
      <c r="BH299" s="3762"/>
      <c r="BI299" s="3762"/>
      <c r="BJ299" s="39"/>
      <c r="BK299" s="39"/>
      <c r="BL299" s="39"/>
      <c r="BM299" s="39"/>
      <c r="BN299" s="39"/>
      <c r="BO299" s="39"/>
      <c r="BP299" s="39"/>
      <c r="BQ299" s="39"/>
      <c r="BR299" s="39"/>
      <c r="BS299" s="507"/>
      <c r="BT299" s="507"/>
      <c r="BU299" s="507"/>
      <c r="BV299" s="507"/>
      <c r="BW299" s="507"/>
      <c r="BX299" s="507"/>
      <c r="BY299" s="507"/>
      <c r="BZ299" s="507"/>
      <c r="CA299" s="507"/>
      <c r="CB299" s="507"/>
      <c r="CC299" s="507"/>
      <c r="CD299" s="507"/>
      <c r="CE299" s="507"/>
      <c r="CF299" s="507"/>
      <c r="CG299" s="507"/>
      <c r="CH299" s="507"/>
      <c r="CI299" s="507"/>
      <c r="CJ299" s="507"/>
      <c r="CK299" s="507"/>
      <c r="CL299" s="507"/>
      <c r="CM299" s="507"/>
      <c r="CN299" s="507"/>
      <c r="CO299" s="507"/>
      <c r="CP299" s="507"/>
      <c r="CQ299" s="507"/>
      <c r="CR299" s="507"/>
      <c r="CS299" s="507"/>
      <c r="CT299" s="507"/>
      <c r="CU299" s="507"/>
      <c r="CV299" s="507"/>
      <c r="CW299" s="507"/>
      <c r="CX299" s="507"/>
      <c r="CY299" s="507"/>
      <c r="CZ299" s="507"/>
      <c r="DA299" s="507"/>
      <c r="DB299" s="507"/>
      <c r="DC299" s="507"/>
      <c r="DD299" s="507"/>
      <c r="DE299" s="507"/>
      <c r="DF299" s="507"/>
      <c r="DG299" s="507"/>
      <c r="DH299" s="507"/>
      <c r="DI299" s="507"/>
      <c r="DJ299" s="507"/>
      <c r="DK299" s="507"/>
      <c r="DL299" s="507"/>
      <c r="DM299" s="507"/>
      <c r="DN299" s="507"/>
      <c r="DO299" s="507"/>
      <c r="DP299" s="507"/>
      <c r="DQ299" s="507"/>
      <c r="DR299" s="507"/>
      <c r="DS299" s="507"/>
      <c r="DT299" s="507"/>
      <c r="DU299" s="507"/>
      <c r="DV299" s="507"/>
      <c r="DW299" s="507"/>
      <c r="DX299" s="507"/>
      <c r="DY299" s="507"/>
      <c r="DZ299" s="507"/>
      <c r="EA299" s="507"/>
      <c r="EB299" s="507"/>
      <c r="EC299" s="507"/>
      <c r="ED299" s="507"/>
      <c r="EE299" s="507"/>
      <c r="EF299" s="507"/>
      <c r="EG299" s="507"/>
      <c r="EH299" s="507"/>
      <c r="EI299" s="507"/>
      <c r="EJ299" s="507"/>
      <c r="EK299" s="507"/>
      <c r="EL299" s="507"/>
      <c r="EM299" s="507"/>
      <c r="EN299" s="507"/>
      <c r="EO299" s="507"/>
      <c r="EP299" s="507"/>
      <c r="EQ299" s="507"/>
      <c r="ER299" s="507"/>
      <c r="ES299" s="507"/>
      <c r="ET299" s="507"/>
      <c r="EU299" s="507"/>
      <c r="EV299" s="507"/>
      <c r="EW299" s="507"/>
      <c r="EX299" s="507"/>
      <c r="EY299" s="507"/>
      <c r="EZ299" s="507"/>
      <c r="FA299" s="507"/>
      <c r="FB299" s="507"/>
      <c r="FC299" s="507"/>
      <c r="FD299" s="507"/>
      <c r="FE299" s="507"/>
      <c r="FF299" s="507"/>
      <c r="FG299" s="507"/>
      <c r="FH299" s="507"/>
      <c r="FI299" s="507"/>
      <c r="FJ299" s="507"/>
      <c r="FK299" s="507"/>
      <c r="FL299" s="507"/>
      <c r="FM299" s="507"/>
      <c r="FN299" s="507"/>
      <c r="FO299" s="507"/>
      <c r="FP299" s="507"/>
      <c r="FQ299" s="507"/>
      <c r="FR299" s="507"/>
      <c r="FS299" s="507"/>
      <c r="FT299" s="507"/>
      <c r="FU299" s="507"/>
      <c r="FV299" s="507"/>
      <c r="FW299" s="507"/>
      <c r="FX299" s="507"/>
      <c r="FY299" s="507"/>
      <c r="FZ299" s="507"/>
      <c r="GA299" s="507"/>
      <c r="GB299" s="507"/>
      <c r="GC299" s="507"/>
      <c r="GD299" s="507"/>
      <c r="GE299" s="507"/>
      <c r="GF299" s="507"/>
      <c r="GG299" s="507"/>
      <c r="GH299" s="507"/>
      <c r="GI299" s="507"/>
      <c r="GJ299" s="507"/>
      <c r="GK299" s="507"/>
      <c r="GL299" s="507"/>
      <c r="GM299" s="507"/>
      <c r="GN299" s="507"/>
      <c r="GO299" s="507"/>
      <c r="GP299" s="507"/>
      <c r="GQ299" s="507"/>
      <c r="GR299" s="507"/>
      <c r="GS299" s="507"/>
      <c r="GT299" s="507"/>
      <c r="GU299" s="507"/>
      <c r="GV299" s="507"/>
      <c r="GW299" s="507"/>
      <c r="GX299" s="507"/>
      <c r="GY299" s="507"/>
      <c r="GZ299" s="507"/>
      <c r="HA299" s="507"/>
      <c r="HB299" s="507"/>
      <c r="HC299" s="507"/>
      <c r="HD299" s="507"/>
      <c r="HE299" s="507"/>
      <c r="HF299" s="507"/>
      <c r="HG299" s="507"/>
      <c r="HH299" s="507"/>
      <c r="HI299" s="507"/>
      <c r="HJ299" s="507"/>
      <c r="HK299" s="507"/>
      <c r="HL299" s="507"/>
      <c r="HM299" s="507"/>
      <c r="HN299" s="507"/>
      <c r="HO299" s="507"/>
      <c r="HP299" s="507"/>
      <c r="HQ299" s="507"/>
      <c r="HR299" s="507"/>
      <c r="HS299" s="507"/>
      <c r="HT299" s="507"/>
      <c r="HU299" s="507"/>
      <c r="HV299" s="507"/>
      <c r="HW299" s="507"/>
      <c r="HX299" s="507"/>
      <c r="HY299" s="507"/>
      <c r="HZ299" s="507"/>
    </row>
    <row r="300" spans="1:234" s="206" customFormat="1" ht="13.5" hidden="1" customHeight="1" x14ac:dyDescent="0.25">
      <c r="A300" s="541" t="s">
        <v>535</v>
      </c>
      <c r="B300" s="523" t="s">
        <v>351</v>
      </c>
      <c r="C300" s="524" t="s">
        <v>536</v>
      </c>
      <c r="D300" s="551" t="s">
        <v>4384</v>
      </c>
      <c r="E300" s="569" t="s">
        <v>3228</v>
      </c>
      <c r="F300" s="543">
        <v>40410</v>
      </c>
      <c r="G300" s="544">
        <v>40360</v>
      </c>
      <c r="H300" s="544">
        <v>40403</v>
      </c>
      <c r="I300" s="616">
        <v>42247</v>
      </c>
      <c r="J300" s="579">
        <v>10</v>
      </c>
      <c r="K300" s="553" t="s">
        <v>3229</v>
      </c>
      <c r="L300" s="552">
        <v>0.09</v>
      </c>
      <c r="M300" s="560">
        <v>-1</v>
      </c>
      <c r="N300" s="606" t="s">
        <v>3229</v>
      </c>
      <c r="O300" s="613">
        <v>0.45</v>
      </c>
      <c r="P300" s="575" t="s">
        <v>3229</v>
      </c>
      <c r="Q300" s="575" t="s">
        <v>3229</v>
      </c>
      <c r="R300" s="575" t="s">
        <v>3229</v>
      </c>
      <c r="S300" s="570">
        <v>5</v>
      </c>
      <c r="T300" s="617" t="s">
        <v>6680</v>
      </c>
      <c r="U300" s="563" t="s">
        <v>6681</v>
      </c>
      <c r="V300" s="563" t="s">
        <v>6682</v>
      </c>
      <c r="W300" s="563" t="s">
        <v>6683</v>
      </c>
      <c r="X300" s="563" t="s">
        <v>6684</v>
      </c>
      <c r="Y300" s="598" t="s">
        <v>3229</v>
      </c>
      <c r="Z300" s="598" t="s">
        <v>3229</v>
      </c>
      <c r="AA300" s="598" t="s">
        <v>3229</v>
      </c>
      <c r="AB300" s="598" t="s">
        <v>3229</v>
      </c>
      <c r="AC300" s="598" t="s">
        <v>3229</v>
      </c>
      <c r="AD300" s="598" t="s">
        <v>3229</v>
      </c>
      <c r="AE300" s="598" t="s">
        <v>3229</v>
      </c>
      <c r="AF300" s="3764" t="s">
        <v>781</v>
      </c>
      <c r="AG300" s="3765"/>
      <c r="AH300" s="1301" t="s">
        <v>3229</v>
      </c>
      <c r="AI300" s="1301" t="s">
        <v>3229</v>
      </c>
      <c r="AJ300" s="1301" t="s">
        <v>3229</v>
      </c>
      <c r="AK300" s="530" t="s">
        <v>3229</v>
      </c>
      <c r="AL300" s="530" t="s">
        <v>3229</v>
      </c>
      <c r="AM300" s="659">
        <v>1</v>
      </c>
      <c r="AN300" s="638">
        <f>'klikací hodnoty'!F8820</f>
        <v>-0.20302731117174999</v>
      </c>
      <c r="AO300" s="625">
        <v>13.71</v>
      </c>
      <c r="AP300" s="688">
        <f>AQ300</f>
        <v>5.9087031004490642E-2</v>
      </c>
      <c r="AQ300" s="606">
        <f>'klikací hodnoty'!F8815</f>
        <v>5.9087031004490642E-2</v>
      </c>
      <c r="AR300" s="600">
        <f>O300</f>
        <v>0.45</v>
      </c>
      <c r="AS300" s="548">
        <f>POWER(1+AR300,1/((I300-F300)/365))-1</f>
        <v>7.6620826540837461E-2</v>
      </c>
      <c r="AT300" s="548">
        <f>J300*(1+AR300)/AO300-1</f>
        <v>5.762217359591526E-2</v>
      </c>
      <c r="AU300" s="549" t="e">
        <f>POWER(1+AT300,1/AG300)-1</f>
        <v>#DIV/0!</v>
      </c>
      <c r="AV300" s="558">
        <f t="shared" si="59"/>
        <v>-1</v>
      </c>
      <c r="AW300" s="558">
        <f t="shared" si="56"/>
        <v>-1</v>
      </c>
      <c r="AX300" s="589">
        <f t="shared" si="57"/>
        <v>-1</v>
      </c>
      <c r="AY300" s="587" t="e">
        <f t="shared" si="58"/>
        <v>#DIV/0!</v>
      </c>
      <c r="AZ300" s="676">
        <f t="shared" si="62"/>
        <v>0</v>
      </c>
      <c r="BA300" s="581" t="s">
        <v>3479</v>
      </c>
      <c r="BB300" s="570"/>
      <c r="BC300" s="581"/>
      <c r="BD300" s="3691"/>
      <c r="BE300" s="3743"/>
      <c r="BF300" s="3743"/>
      <c r="BG300" s="3708"/>
      <c r="BH300" s="3762"/>
      <c r="BI300" s="3762"/>
      <c r="BJ300" s="39"/>
      <c r="BK300" s="39"/>
      <c r="BL300" s="39"/>
      <c r="BM300" s="39"/>
      <c r="BN300" s="39"/>
      <c r="BO300" s="39"/>
      <c r="BP300" s="39"/>
      <c r="BQ300" s="39"/>
      <c r="BR300" s="39"/>
      <c r="BS300" s="507"/>
      <c r="BT300" s="507"/>
      <c r="BU300" s="507"/>
      <c r="BV300" s="507"/>
      <c r="BW300" s="507"/>
      <c r="BX300" s="507"/>
      <c r="BY300" s="507"/>
      <c r="BZ300" s="507"/>
      <c r="CA300" s="507"/>
      <c r="CB300" s="507"/>
      <c r="CC300" s="507"/>
      <c r="CD300" s="507"/>
      <c r="CE300" s="507"/>
      <c r="CF300" s="507"/>
      <c r="CG300" s="507"/>
      <c r="CH300" s="507"/>
      <c r="CI300" s="507"/>
      <c r="CJ300" s="507"/>
      <c r="CK300" s="507"/>
      <c r="CL300" s="507"/>
      <c r="CM300" s="507"/>
      <c r="CN300" s="507"/>
      <c r="CO300" s="507"/>
      <c r="CP300" s="507"/>
      <c r="CQ300" s="507"/>
      <c r="CR300" s="507"/>
      <c r="CS300" s="507"/>
      <c r="CT300" s="507"/>
      <c r="CU300" s="507"/>
      <c r="CV300" s="507"/>
      <c r="CW300" s="507"/>
      <c r="CX300" s="507"/>
      <c r="CY300" s="507"/>
      <c r="CZ300" s="507"/>
      <c r="DA300" s="507"/>
      <c r="DB300" s="507"/>
      <c r="DC300" s="507"/>
      <c r="DD300" s="507"/>
      <c r="DE300" s="507"/>
      <c r="DF300" s="507"/>
      <c r="DG300" s="507"/>
      <c r="DH300" s="507"/>
      <c r="DI300" s="507"/>
      <c r="DJ300" s="507"/>
      <c r="DK300" s="507"/>
      <c r="DL300" s="507"/>
      <c r="DM300" s="507"/>
      <c r="DN300" s="507"/>
      <c r="DO300" s="507"/>
      <c r="DP300" s="507"/>
      <c r="DQ300" s="507"/>
      <c r="DR300" s="507"/>
      <c r="DS300" s="507"/>
      <c r="DT300" s="507"/>
      <c r="DU300" s="507"/>
      <c r="DV300" s="507"/>
      <c r="DW300" s="507"/>
      <c r="DX300" s="507"/>
      <c r="DY300" s="507"/>
      <c r="DZ300" s="507"/>
      <c r="EA300" s="507"/>
      <c r="EB300" s="507"/>
      <c r="EC300" s="507"/>
      <c r="ED300" s="507"/>
      <c r="EE300" s="507"/>
      <c r="EF300" s="507"/>
      <c r="EG300" s="507"/>
      <c r="EH300" s="507"/>
      <c r="EI300" s="507"/>
      <c r="EJ300" s="507"/>
      <c r="EK300" s="507"/>
      <c r="EL300" s="507"/>
      <c r="EM300" s="507"/>
      <c r="EN300" s="507"/>
      <c r="EO300" s="507"/>
      <c r="EP300" s="507"/>
      <c r="EQ300" s="507"/>
      <c r="ER300" s="507"/>
      <c r="ES300" s="507"/>
      <c r="ET300" s="507"/>
      <c r="EU300" s="507"/>
      <c r="EV300" s="507"/>
      <c r="EW300" s="507"/>
      <c r="EX300" s="507"/>
      <c r="EY300" s="507"/>
      <c r="EZ300" s="507"/>
      <c r="FA300" s="507"/>
      <c r="FB300" s="507"/>
      <c r="FC300" s="507"/>
      <c r="FD300" s="507"/>
      <c r="FE300" s="507"/>
      <c r="FF300" s="507"/>
      <c r="FG300" s="507"/>
      <c r="FH300" s="507"/>
      <c r="FI300" s="507"/>
      <c r="FJ300" s="507"/>
      <c r="FK300" s="507"/>
      <c r="FL300" s="507"/>
      <c r="FM300" s="507"/>
      <c r="FN300" s="507"/>
      <c r="FO300" s="507"/>
      <c r="FP300" s="507"/>
      <c r="FQ300" s="507"/>
      <c r="FR300" s="507"/>
      <c r="FS300" s="507"/>
      <c r="FT300" s="507"/>
      <c r="FU300" s="507"/>
      <c r="FV300" s="507"/>
      <c r="FW300" s="507"/>
      <c r="FX300" s="507"/>
      <c r="FY300" s="507"/>
      <c r="FZ300" s="507"/>
      <c r="GA300" s="507"/>
      <c r="GB300" s="507"/>
      <c r="GC300" s="507"/>
      <c r="GD300" s="507"/>
      <c r="GE300" s="507"/>
      <c r="GF300" s="507"/>
      <c r="GG300" s="507"/>
      <c r="GH300" s="507"/>
      <c r="GI300" s="507"/>
      <c r="GJ300" s="507"/>
      <c r="GK300" s="507"/>
      <c r="GL300" s="507"/>
      <c r="GM300" s="507"/>
      <c r="GN300" s="507"/>
      <c r="GO300" s="507"/>
      <c r="GP300" s="507"/>
      <c r="GQ300" s="507"/>
      <c r="GR300" s="507"/>
      <c r="GS300" s="507"/>
      <c r="GT300" s="507"/>
      <c r="GU300" s="507"/>
      <c r="GV300" s="507"/>
      <c r="GW300" s="507"/>
      <c r="GX300" s="507"/>
      <c r="GY300" s="507"/>
      <c r="GZ300" s="507"/>
      <c r="HA300" s="507"/>
      <c r="HB300" s="507"/>
      <c r="HC300" s="507"/>
      <c r="HD300" s="507"/>
      <c r="HE300" s="507"/>
      <c r="HF300" s="507"/>
      <c r="HG300" s="507"/>
      <c r="HH300" s="507"/>
      <c r="HI300" s="507"/>
      <c r="HJ300" s="507"/>
      <c r="HK300" s="507"/>
      <c r="HL300" s="507"/>
      <c r="HM300" s="507"/>
      <c r="HN300" s="507"/>
      <c r="HO300" s="507"/>
      <c r="HP300" s="507"/>
      <c r="HQ300" s="507"/>
      <c r="HR300" s="507"/>
      <c r="HS300" s="507"/>
      <c r="HT300" s="507"/>
      <c r="HU300" s="507"/>
      <c r="HV300" s="507"/>
      <c r="HW300" s="507"/>
      <c r="HX300" s="507"/>
      <c r="HY300" s="507"/>
      <c r="HZ300" s="507"/>
    </row>
    <row r="301" spans="1:234" s="206" customFormat="1" ht="13.5" hidden="1" customHeight="1" x14ac:dyDescent="0.25">
      <c r="A301" s="541" t="s">
        <v>3681</v>
      </c>
      <c r="B301" s="523" t="s">
        <v>537</v>
      </c>
      <c r="C301" s="524" t="s">
        <v>3682</v>
      </c>
      <c r="D301" s="551" t="s">
        <v>1859</v>
      </c>
      <c r="E301" s="569" t="s">
        <v>3228</v>
      </c>
      <c r="F301" s="543">
        <v>40428</v>
      </c>
      <c r="G301" s="544">
        <v>40360</v>
      </c>
      <c r="H301" s="544">
        <v>40421</v>
      </c>
      <c r="I301" s="616">
        <v>42460</v>
      </c>
      <c r="J301" s="579">
        <v>10</v>
      </c>
      <c r="K301" s="553">
        <v>0</v>
      </c>
      <c r="L301" s="552">
        <v>0.06</v>
      </c>
      <c r="M301" s="560">
        <v>0.03</v>
      </c>
      <c r="N301" s="606" t="s">
        <v>3229</v>
      </c>
      <c r="O301" s="613">
        <v>0.27</v>
      </c>
      <c r="P301" s="575" t="s">
        <v>3229</v>
      </c>
      <c r="Q301" s="575">
        <v>0.03</v>
      </c>
      <c r="R301" s="575" t="s">
        <v>3229</v>
      </c>
      <c r="S301" s="570">
        <v>5</v>
      </c>
      <c r="T301" s="617">
        <v>40756</v>
      </c>
      <c r="U301" s="563">
        <v>41122</v>
      </c>
      <c r="V301" s="563">
        <v>41487</v>
      </c>
      <c r="W301" s="563">
        <v>41852</v>
      </c>
      <c r="X301" s="563">
        <v>42430</v>
      </c>
      <c r="Y301" s="598" t="s">
        <v>3229</v>
      </c>
      <c r="Z301" s="598" t="s">
        <v>3229</v>
      </c>
      <c r="AA301" s="598" t="s">
        <v>3229</v>
      </c>
      <c r="AB301" s="598" t="s">
        <v>3229</v>
      </c>
      <c r="AC301" s="598" t="s">
        <v>3229</v>
      </c>
      <c r="AD301" s="598" t="s">
        <v>3229</v>
      </c>
      <c r="AE301" s="598" t="s">
        <v>3229</v>
      </c>
      <c r="AF301" s="3764" t="s">
        <v>781</v>
      </c>
      <c r="AG301" s="3765"/>
      <c r="AH301" s="1301" t="s">
        <v>3229</v>
      </c>
      <c r="AI301" s="1301" t="s">
        <v>3229</v>
      </c>
      <c r="AJ301" s="1301" t="s">
        <v>3229</v>
      </c>
      <c r="AK301" s="530" t="s">
        <v>3229</v>
      </c>
      <c r="AL301" s="530" t="s">
        <v>3229</v>
      </c>
      <c r="AM301" s="659">
        <v>1</v>
      </c>
      <c r="AN301" s="638">
        <v>0.03</v>
      </c>
      <c r="AO301" s="625">
        <v>10.3</v>
      </c>
      <c r="AP301" s="688">
        <v>-7.1261489316076732E-2</v>
      </c>
      <c r="AQ301" s="606">
        <v>0.37688129367073686</v>
      </c>
      <c r="AR301" s="600">
        <v>0.27</v>
      </c>
      <c r="AS301" s="548">
        <v>4.3868627693502082E-2</v>
      </c>
      <c r="AT301" s="548">
        <v>0.23300970873786397</v>
      </c>
      <c r="AU301" s="549" t="e">
        <v>#DIV/0!</v>
      </c>
      <c r="AV301" s="558">
        <v>0.03</v>
      </c>
      <c r="AW301" s="558">
        <v>5.3236494748181151E-3</v>
      </c>
      <c r="AX301" s="589">
        <v>0</v>
      </c>
      <c r="AY301" s="587" t="e">
        <v>#DIV/0!</v>
      </c>
      <c r="AZ301" s="676">
        <v>10.3</v>
      </c>
      <c r="BA301" s="581" t="s">
        <v>1685</v>
      </c>
      <c r="BB301" s="570" t="s">
        <v>2025</v>
      </c>
      <c r="BC301" s="581" t="s">
        <v>2895</v>
      </c>
      <c r="BD301" s="3691"/>
      <c r="BE301" s="3743"/>
      <c r="BF301" s="3743"/>
      <c r="BG301" s="3708"/>
      <c r="BH301" s="3762"/>
      <c r="BI301" s="3762"/>
      <c r="BJ301" s="39"/>
      <c r="BK301" s="39"/>
      <c r="BL301" s="39"/>
      <c r="BM301" s="39"/>
      <c r="BN301" s="39"/>
      <c r="BO301" s="39"/>
      <c r="BP301" s="39"/>
      <c r="BQ301" s="39"/>
      <c r="BR301" s="39"/>
      <c r="BS301" s="507"/>
      <c r="BT301" s="507"/>
      <c r="BU301" s="507"/>
      <c r="BV301" s="507"/>
      <c r="BW301" s="507"/>
      <c r="BX301" s="507"/>
      <c r="BY301" s="507"/>
      <c r="BZ301" s="507"/>
      <c r="CA301" s="507"/>
      <c r="CB301" s="507"/>
      <c r="CC301" s="507"/>
      <c r="CD301" s="507"/>
      <c r="CE301" s="507"/>
      <c r="CF301" s="507"/>
      <c r="CG301" s="507"/>
      <c r="CH301" s="507"/>
      <c r="CI301" s="507"/>
      <c r="CJ301" s="507"/>
      <c r="CK301" s="507"/>
      <c r="CL301" s="507"/>
      <c r="CM301" s="507"/>
      <c r="CN301" s="507"/>
      <c r="CO301" s="507"/>
      <c r="CP301" s="507"/>
      <c r="CQ301" s="507"/>
      <c r="CR301" s="507"/>
      <c r="CS301" s="507"/>
      <c r="CT301" s="507"/>
      <c r="CU301" s="507"/>
      <c r="CV301" s="507"/>
      <c r="CW301" s="507"/>
      <c r="CX301" s="507"/>
      <c r="CY301" s="507"/>
      <c r="CZ301" s="507"/>
      <c r="DA301" s="507"/>
      <c r="DB301" s="507"/>
      <c r="DC301" s="507"/>
      <c r="DD301" s="507"/>
      <c r="DE301" s="507"/>
      <c r="DF301" s="507"/>
      <c r="DG301" s="507"/>
      <c r="DH301" s="507"/>
      <c r="DI301" s="507"/>
      <c r="DJ301" s="507"/>
      <c r="DK301" s="507"/>
      <c r="DL301" s="507"/>
      <c r="DM301" s="507"/>
      <c r="DN301" s="507"/>
      <c r="DO301" s="507"/>
      <c r="DP301" s="507"/>
      <c r="DQ301" s="507"/>
      <c r="DR301" s="507"/>
      <c r="DS301" s="507"/>
      <c r="DT301" s="507"/>
      <c r="DU301" s="507"/>
      <c r="DV301" s="507"/>
      <c r="DW301" s="507"/>
      <c r="DX301" s="507"/>
      <c r="DY301" s="507"/>
      <c r="DZ301" s="507"/>
      <c r="EA301" s="507"/>
      <c r="EB301" s="507"/>
      <c r="EC301" s="507"/>
      <c r="ED301" s="507"/>
      <c r="EE301" s="507"/>
      <c r="EF301" s="507"/>
      <c r="EG301" s="507"/>
      <c r="EH301" s="507"/>
      <c r="EI301" s="507"/>
      <c r="EJ301" s="507"/>
      <c r="EK301" s="507"/>
      <c r="EL301" s="507"/>
      <c r="EM301" s="507"/>
      <c r="EN301" s="507"/>
      <c r="EO301" s="507"/>
      <c r="EP301" s="507"/>
      <c r="EQ301" s="507"/>
      <c r="ER301" s="507"/>
      <c r="ES301" s="507"/>
      <c r="ET301" s="507"/>
      <c r="EU301" s="507"/>
      <c r="EV301" s="507"/>
      <c r="EW301" s="507"/>
      <c r="EX301" s="507"/>
      <c r="EY301" s="507"/>
      <c r="EZ301" s="507"/>
      <c r="FA301" s="507"/>
      <c r="FB301" s="507"/>
      <c r="FC301" s="507"/>
      <c r="FD301" s="507"/>
      <c r="FE301" s="507"/>
      <c r="FF301" s="507"/>
      <c r="FG301" s="507"/>
      <c r="FH301" s="507"/>
      <c r="FI301" s="507"/>
      <c r="FJ301" s="507"/>
      <c r="FK301" s="507"/>
      <c r="FL301" s="507"/>
      <c r="FM301" s="507"/>
      <c r="FN301" s="507"/>
      <c r="FO301" s="507"/>
      <c r="FP301" s="507"/>
      <c r="FQ301" s="507"/>
      <c r="FR301" s="507"/>
      <c r="FS301" s="507"/>
      <c r="FT301" s="507"/>
      <c r="FU301" s="507"/>
      <c r="FV301" s="507"/>
      <c r="FW301" s="507"/>
      <c r="FX301" s="507"/>
      <c r="FY301" s="507"/>
      <c r="FZ301" s="507"/>
      <c r="GA301" s="507"/>
      <c r="GB301" s="507"/>
      <c r="GC301" s="507"/>
      <c r="GD301" s="507"/>
      <c r="GE301" s="507"/>
      <c r="GF301" s="507"/>
      <c r="GG301" s="507"/>
      <c r="GH301" s="507"/>
      <c r="GI301" s="507"/>
      <c r="GJ301" s="507"/>
      <c r="GK301" s="507"/>
      <c r="GL301" s="507"/>
      <c r="GM301" s="507"/>
      <c r="GN301" s="507"/>
      <c r="GO301" s="507"/>
      <c r="GP301" s="507"/>
      <c r="GQ301" s="507"/>
      <c r="GR301" s="507"/>
      <c r="GS301" s="507"/>
      <c r="GT301" s="507"/>
      <c r="GU301" s="507"/>
      <c r="GV301" s="507"/>
      <c r="GW301" s="507"/>
      <c r="GX301" s="507"/>
      <c r="GY301" s="507"/>
      <c r="GZ301" s="507"/>
      <c r="HA301" s="507"/>
      <c r="HB301" s="507"/>
      <c r="HC301" s="507"/>
      <c r="HD301" s="507"/>
      <c r="HE301" s="507"/>
      <c r="HF301" s="507"/>
      <c r="HG301" s="507"/>
      <c r="HH301" s="507"/>
      <c r="HI301" s="507"/>
      <c r="HJ301" s="507"/>
      <c r="HK301" s="507"/>
      <c r="HL301" s="507"/>
      <c r="HM301" s="507"/>
      <c r="HN301" s="507"/>
      <c r="HO301" s="507"/>
      <c r="HP301" s="507"/>
      <c r="HQ301" s="507"/>
      <c r="HR301" s="507"/>
      <c r="HS301" s="507"/>
      <c r="HT301" s="507"/>
      <c r="HU301" s="507"/>
      <c r="HV301" s="507"/>
      <c r="HW301" s="507"/>
      <c r="HX301" s="507"/>
      <c r="HY301" s="507"/>
      <c r="HZ301" s="507"/>
    </row>
    <row r="302" spans="1:234" s="206" customFormat="1" ht="13.5" hidden="1" customHeight="1" x14ac:dyDescent="0.25">
      <c r="A302" s="541" t="s">
        <v>3686</v>
      </c>
      <c r="B302" s="523" t="s">
        <v>3685</v>
      </c>
      <c r="C302" s="524" t="s">
        <v>3683</v>
      </c>
      <c r="D302" s="551" t="s">
        <v>3944</v>
      </c>
      <c r="E302" s="569" t="s">
        <v>3228</v>
      </c>
      <c r="F302" s="543">
        <v>40401</v>
      </c>
      <c r="G302" s="544">
        <v>40360</v>
      </c>
      <c r="H302" s="544">
        <v>40394</v>
      </c>
      <c r="I302" s="616">
        <v>42410</v>
      </c>
      <c r="J302" s="579">
        <v>10</v>
      </c>
      <c r="K302" s="553" t="s">
        <v>3229</v>
      </c>
      <c r="L302" s="552" t="s">
        <v>3229</v>
      </c>
      <c r="M302" s="560">
        <v>0</v>
      </c>
      <c r="N302" s="606">
        <v>0.6</v>
      </c>
      <c r="O302" s="613" t="s">
        <v>3229</v>
      </c>
      <c r="P302" s="575" t="s">
        <v>3229</v>
      </c>
      <c r="Q302" s="575" t="s">
        <v>3229</v>
      </c>
      <c r="R302" s="575" t="s">
        <v>3229</v>
      </c>
      <c r="S302" s="570"/>
      <c r="T302" s="617" t="s">
        <v>3229</v>
      </c>
      <c r="U302" s="563" t="s">
        <v>3229</v>
      </c>
      <c r="V302" s="563" t="s">
        <v>3229</v>
      </c>
      <c r="W302" s="563" t="s">
        <v>3229</v>
      </c>
      <c r="X302" s="563" t="s">
        <v>3229</v>
      </c>
      <c r="Y302" s="598" t="s">
        <v>3229</v>
      </c>
      <c r="Z302" s="598" t="s">
        <v>3229</v>
      </c>
      <c r="AA302" s="598" t="s">
        <v>3229</v>
      </c>
      <c r="AB302" s="598" t="s">
        <v>3229</v>
      </c>
      <c r="AC302" s="598" t="s">
        <v>3229</v>
      </c>
      <c r="AD302" s="598" t="s">
        <v>3229</v>
      </c>
      <c r="AE302" s="598" t="s">
        <v>3229</v>
      </c>
      <c r="AF302" s="3764" t="s">
        <v>781</v>
      </c>
      <c r="AG302" s="3765"/>
      <c r="AH302" s="1301" t="s">
        <v>3229</v>
      </c>
      <c r="AI302" s="1301" t="s">
        <v>3229</v>
      </c>
      <c r="AJ302" s="1301" t="s">
        <v>3229</v>
      </c>
      <c r="AK302" s="530" t="s">
        <v>3229</v>
      </c>
      <c r="AL302" s="530" t="s">
        <v>3229</v>
      </c>
      <c r="AM302" s="659">
        <v>1</v>
      </c>
      <c r="AN302" s="638">
        <v>0.39071703333333335</v>
      </c>
      <c r="AO302" s="625">
        <v>13.91</v>
      </c>
      <c r="AP302" s="688">
        <v>0.39071703333333335</v>
      </c>
      <c r="AQ302" s="606">
        <v>0.52836566423934606</v>
      </c>
      <c r="AR302" s="600" t="s">
        <v>3660</v>
      </c>
      <c r="AS302" s="548"/>
      <c r="AT302" s="548"/>
      <c r="AU302" s="549"/>
      <c r="AV302" s="558">
        <v>0</v>
      </c>
      <c r="AW302" s="558">
        <v>0</v>
      </c>
      <c r="AX302" s="589">
        <v>-0.2774566473988439</v>
      </c>
      <c r="AY302" s="587">
        <v>-0.98956081901262749</v>
      </c>
      <c r="AZ302" s="676">
        <v>10</v>
      </c>
      <c r="BA302" s="581" t="s">
        <v>3190</v>
      </c>
      <c r="BB302" s="570"/>
      <c r="BC302" s="581"/>
      <c r="BD302" s="3691"/>
      <c r="BE302" s="3743"/>
      <c r="BF302" s="3743"/>
      <c r="BG302" s="3708"/>
      <c r="BH302" s="3762"/>
      <c r="BI302" s="3762"/>
      <c r="BJ302" s="39"/>
      <c r="BK302" s="39"/>
      <c r="BL302" s="39"/>
      <c r="BM302" s="39"/>
      <c r="BN302" s="39"/>
      <c r="BO302" s="39"/>
      <c r="BP302" s="39"/>
      <c r="BQ302" s="39"/>
      <c r="BR302" s="39"/>
      <c r="BS302" s="507"/>
      <c r="BT302" s="507"/>
      <c r="BU302" s="507"/>
      <c r="BV302" s="507"/>
      <c r="BW302" s="507"/>
      <c r="BX302" s="507"/>
      <c r="BY302" s="507"/>
      <c r="BZ302" s="507"/>
      <c r="CA302" s="507"/>
      <c r="CB302" s="507"/>
      <c r="CC302" s="507"/>
      <c r="CD302" s="507"/>
      <c r="CE302" s="507"/>
      <c r="CF302" s="507"/>
      <c r="CG302" s="507"/>
      <c r="CH302" s="507"/>
      <c r="CI302" s="507"/>
      <c r="CJ302" s="507"/>
      <c r="CK302" s="507"/>
      <c r="CL302" s="507"/>
      <c r="CM302" s="507"/>
      <c r="CN302" s="507"/>
      <c r="CO302" s="507"/>
      <c r="CP302" s="507"/>
      <c r="CQ302" s="507"/>
      <c r="CR302" s="507"/>
      <c r="CS302" s="507"/>
      <c r="CT302" s="507"/>
      <c r="CU302" s="507"/>
      <c r="CV302" s="507"/>
      <c r="CW302" s="507"/>
      <c r="CX302" s="507"/>
      <c r="CY302" s="507"/>
      <c r="CZ302" s="507"/>
      <c r="DA302" s="507"/>
      <c r="DB302" s="507"/>
      <c r="DC302" s="507"/>
      <c r="DD302" s="507"/>
      <c r="DE302" s="507"/>
      <c r="DF302" s="507"/>
      <c r="DG302" s="507"/>
      <c r="DH302" s="507"/>
      <c r="DI302" s="507"/>
      <c r="DJ302" s="507"/>
      <c r="DK302" s="507"/>
      <c r="DL302" s="507"/>
      <c r="DM302" s="507"/>
      <c r="DN302" s="507"/>
      <c r="DO302" s="507"/>
      <c r="DP302" s="507"/>
      <c r="DQ302" s="507"/>
      <c r="DR302" s="507"/>
      <c r="DS302" s="507"/>
      <c r="DT302" s="507"/>
      <c r="DU302" s="507"/>
      <c r="DV302" s="507"/>
      <c r="DW302" s="507"/>
      <c r="DX302" s="507"/>
      <c r="DY302" s="507"/>
      <c r="DZ302" s="507"/>
      <c r="EA302" s="507"/>
      <c r="EB302" s="507"/>
      <c r="EC302" s="507"/>
      <c r="ED302" s="507"/>
      <c r="EE302" s="507"/>
      <c r="EF302" s="507"/>
      <c r="EG302" s="507"/>
      <c r="EH302" s="507"/>
      <c r="EI302" s="507"/>
      <c r="EJ302" s="507"/>
      <c r="EK302" s="507"/>
      <c r="EL302" s="507"/>
      <c r="EM302" s="507"/>
      <c r="EN302" s="507"/>
      <c r="EO302" s="507"/>
      <c r="EP302" s="507"/>
      <c r="EQ302" s="507"/>
      <c r="ER302" s="507"/>
      <c r="ES302" s="507"/>
      <c r="ET302" s="507"/>
      <c r="EU302" s="507"/>
      <c r="EV302" s="507"/>
      <c r="EW302" s="507"/>
      <c r="EX302" s="507"/>
      <c r="EY302" s="507"/>
      <c r="EZ302" s="507"/>
      <c r="FA302" s="507"/>
      <c r="FB302" s="507"/>
      <c r="FC302" s="507"/>
      <c r="FD302" s="507"/>
      <c r="FE302" s="507"/>
      <c r="FF302" s="507"/>
      <c r="FG302" s="507"/>
      <c r="FH302" s="507"/>
      <c r="FI302" s="507"/>
      <c r="FJ302" s="507"/>
      <c r="FK302" s="507"/>
      <c r="FL302" s="507"/>
      <c r="FM302" s="507"/>
      <c r="FN302" s="507"/>
      <c r="FO302" s="507"/>
      <c r="FP302" s="507"/>
      <c r="FQ302" s="507"/>
      <c r="FR302" s="507"/>
      <c r="FS302" s="507"/>
      <c r="FT302" s="507"/>
      <c r="FU302" s="507"/>
      <c r="FV302" s="507"/>
      <c r="FW302" s="507"/>
      <c r="FX302" s="507"/>
      <c r="FY302" s="507"/>
      <c r="FZ302" s="507"/>
      <c r="GA302" s="507"/>
      <c r="GB302" s="507"/>
      <c r="GC302" s="507"/>
      <c r="GD302" s="507"/>
      <c r="GE302" s="507"/>
      <c r="GF302" s="507"/>
      <c r="GG302" s="507"/>
      <c r="GH302" s="507"/>
      <c r="GI302" s="507"/>
      <c r="GJ302" s="507"/>
      <c r="GK302" s="507"/>
      <c r="GL302" s="507"/>
      <c r="GM302" s="507"/>
      <c r="GN302" s="507"/>
      <c r="GO302" s="507"/>
      <c r="GP302" s="507"/>
      <c r="GQ302" s="507"/>
      <c r="GR302" s="507"/>
      <c r="GS302" s="507"/>
      <c r="GT302" s="507"/>
      <c r="GU302" s="507"/>
      <c r="GV302" s="507"/>
      <c r="GW302" s="507"/>
      <c r="GX302" s="507"/>
      <c r="GY302" s="507"/>
      <c r="GZ302" s="507"/>
      <c r="HA302" s="507"/>
      <c r="HB302" s="507"/>
      <c r="HC302" s="507"/>
      <c r="HD302" s="507"/>
      <c r="HE302" s="507"/>
      <c r="HF302" s="507"/>
      <c r="HG302" s="507"/>
      <c r="HH302" s="507"/>
      <c r="HI302" s="507"/>
      <c r="HJ302" s="507"/>
      <c r="HK302" s="507"/>
      <c r="HL302" s="507"/>
      <c r="HM302" s="507"/>
      <c r="HN302" s="507"/>
      <c r="HO302" s="507"/>
      <c r="HP302" s="507"/>
      <c r="HQ302" s="507"/>
      <c r="HR302" s="507"/>
      <c r="HS302" s="507"/>
      <c r="HT302" s="507"/>
      <c r="HU302" s="507"/>
      <c r="HV302" s="507"/>
      <c r="HW302" s="507"/>
      <c r="HX302" s="507"/>
      <c r="HY302" s="507"/>
      <c r="HZ302" s="507"/>
    </row>
    <row r="303" spans="1:234" s="206" customFormat="1" ht="13.5" hidden="1" customHeight="1" x14ac:dyDescent="0.25">
      <c r="A303" s="541" t="s">
        <v>1219</v>
      </c>
      <c r="B303" s="523" t="s">
        <v>1220</v>
      </c>
      <c r="C303" s="524" t="s">
        <v>1221</v>
      </c>
      <c r="D303" s="551" t="s">
        <v>1859</v>
      </c>
      <c r="E303" s="569" t="s">
        <v>3228</v>
      </c>
      <c r="F303" s="543">
        <v>40458</v>
      </c>
      <c r="G303" s="544">
        <v>40392</v>
      </c>
      <c r="H303" s="544">
        <v>40451</v>
      </c>
      <c r="I303" s="616">
        <v>41578</v>
      </c>
      <c r="J303" s="579">
        <v>10</v>
      </c>
      <c r="K303" s="553" t="s">
        <v>3229</v>
      </c>
      <c r="L303" s="552" t="s">
        <v>3229</v>
      </c>
      <c r="M303" s="560">
        <v>0</v>
      </c>
      <c r="N303" s="606" t="s">
        <v>3229</v>
      </c>
      <c r="O303" s="613">
        <v>0.48</v>
      </c>
      <c r="P303" s="575">
        <v>0.48</v>
      </c>
      <c r="Q303" s="575" t="s">
        <v>3229</v>
      </c>
      <c r="R303" s="575" t="s">
        <v>3229</v>
      </c>
      <c r="S303" s="570"/>
      <c r="T303" s="617" t="s">
        <v>3229</v>
      </c>
      <c r="U303" s="563" t="s">
        <v>3229</v>
      </c>
      <c r="V303" s="563" t="s">
        <v>3229</v>
      </c>
      <c r="W303" s="563" t="s">
        <v>3229</v>
      </c>
      <c r="X303" s="563" t="s">
        <v>3229</v>
      </c>
      <c r="Y303" s="598" t="s">
        <v>3229</v>
      </c>
      <c r="Z303" s="598" t="s">
        <v>3229</v>
      </c>
      <c r="AA303" s="598" t="s">
        <v>3229</v>
      </c>
      <c r="AB303" s="598" t="s">
        <v>3229</v>
      </c>
      <c r="AC303" s="598" t="s">
        <v>3229</v>
      </c>
      <c r="AD303" s="598" t="s">
        <v>3229</v>
      </c>
      <c r="AE303" s="598" t="s">
        <v>3229</v>
      </c>
      <c r="AF303" s="3764" t="s">
        <v>781</v>
      </c>
      <c r="AG303" s="3765"/>
      <c r="AH303" s="1301">
        <v>1</v>
      </c>
      <c r="AI303" s="1301" t="s">
        <v>3229</v>
      </c>
      <c r="AJ303" s="1301" t="s">
        <v>3229</v>
      </c>
      <c r="AK303" s="530" t="s">
        <v>3229</v>
      </c>
      <c r="AL303" s="530" t="s">
        <v>3229</v>
      </c>
      <c r="AM303" s="659" t="s">
        <v>3229</v>
      </c>
      <c r="AN303" s="638">
        <f>'klikací hodnoty'!F9174</f>
        <v>0</v>
      </c>
      <c r="AO303" s="625">
        <v>13.04</v>
      </c>
      <c r="AP303" s="688" t="s">
        <v>3229</v>
      </c>
      <c r="AQ303" s="606" t="s">
        <v>3229</v>
      </c>
      <c r="AR303" s="600">
        <f>'klikací hodnoty'!F9174</f>
        <v>0</v>
      </c>
      <c r="AS303" s="548">
        <f>POWER(1+AR303,1/((I303-F303)/365))-1</f>
        <v>0</v>
      </c>
      <c r="AT303" s="548">
        <f>J303*(1+AR303)/AO303-1</f>
        <v>-0.23312883435582821</v>
      </c>
      <c r="AU303" s="549" t="e">
        <f>POWER(1+AT303,1/AG303)-1</f>
        <v>#DIV/0!</v>
      </c>
      <c r="AV303" s="558">
        <v>0</v>
      </c>
      <c r="AW303" s="558">
        <f t="shared" si="56"/>
        <v>0</v>
      </c>
      <c r="AX303" s="589">
        <f t="shared" si="57"/>
        <v>-0.23312883435582821</v>
      </c>
      <c r="AY303" s="587" t="e">
        <f t="shared" si="58"/>
        <v>#DIV/0!</v>
      </c>
      <c r="AZ303" s="676">
        <f t="shared" si="62"/>
        <v>10</v>
      </c>
      <c r="BA303" s="581" t="s">
        <v>947</v>
      </c>
      <c r="BB303" s="570"/>
      <c r="BC303" s="581"/>
      <c r="BD303" s="3691"/>
      <c r="BE303" s="3743"/>
      <c r="BF303" s="3743"/>
      <c r="BG303" s="3708"/>
      <c r="BH303" s="3762"/>
      <c r="BI303" s="3762"/>
      <c r="BJ303" s="39"/>
      <c r="BK303" s="39"/>
      <c r="BL303" s="39"/>
      <c r="BM303" s="39"/>
      <c r="BN303" s="39"/>
      <c r="BO303" s="39"/>
      <c r="BP303" s="39"/>
      <c r="BQ303" s="39"/>
      <c r="BR303" s="39"/>
      <c r="BS303" s="507"/>
      <c r="BT303" s="507"/>
      <c r="BU303" s="507"/>
      <c r="BV303" s="507"/>
      <c r="BW303" s="507"/>
      <c r="BX303" s="507"/>
      <c r="BY303" s="507"/>
      <c r="BZ303" s="507"/>
      <c r="CA303" s="507"/>
      <c r="CB303" s="507"/>
      <c r="CC303" s="507"/>
      <c r="CD303" s="507"/>
      <c r="CE303" s="507"/>
      <c r="CF303" s="507"/>
      <c r="CG303" s="507"/>
      <c r="CH303" s="507"/>
      <c r="CI303" s="507"/>
      <c r="CJ303" s="507"/>
      <c r="CK303" s="507"/>
      <c r="CL303" s="507"/>
      <c r="CM303" s="507"/>
      <c r="CN303" s="507"/>
      <c r="CO303" s="507"/>
      <c r="CP303" s="507"/>
      <c r="CQ303" s="507"/>
      <c r="CR303" s="507"/>
      <c r="CS303" s="507"/>
      <c r="CT303" s="507"/>
      <c r="CU303" s="507"/>
      <c r="CV303" s="507"/>
      <c r="CW303" s="507"/>
      <c r="CX303" s="507"/>
      <c r="CY303" s="507"/>
      <c r="CZ303" s="507"/>
      <c r="DA303" s="507"/>
      <c r="DB303" s="507"/>
      <c r="DC303" s="507"/>
      <c r="DD303" s="507"/>
      <c r="DE303" s="507"/>
      <c r="DF303" s="507"/>
      <c r="DG303" s="507"/>
      <c r="DH303" s="507"/>
      <c r="DI303" s="507"/>
      <c r="DJ303" s="507"/>
      <c r="DK303" s="507"/>
      <c r="DL303" s="507"/>
      <c r="DM303" s="507"/>
      <c r="DN303" s="507"/>
      <c r="DO303" s="507"/>
      <c r="DP303" s="507"/>
      <c r="DQ303" s="507"/>
      <c r="DR303" s="507"/>
      <c r="DS303" s="507"/>
      <c r="DT303" s="507"/>
      <c r="DU303" s="507"/>
      <c r="DV303" s="507"/>
      <c r="DW303" s="507"/>
      <c r="DX303" s="507"/>
      <c r="DY303" s="507"/>
      <c r="DZ303" s="507"/>
      <c r="EA303" s="507"/>
      <c r="EB303" s="507"/>
      <c r="EC303" s="507"/>
      <c r="ED303" s="507"/>
      <c r="EE303" s="507"/>
      <c r="EF303" s="507"/>
      <c r="EG303" s="507"/>
      <c r="EH303" s="507"/>
      <c r="EI303" s="507"/>
      <c r="EJ303" s="507"/>
      <c r="EK303" s="507"/>
      <c r="EL303" s="507"/>
      <c r="EM303" s="507"/>
      <c r="EN303" s="507"/>
      <c r="EO303" s="507"/>
      <c r="EP303" s="507"/>
      <c r="EQ303" s="507"/>
      <c r="ER303" s="507"/>
      <c r="ES303" s="507"/>
      <c r="ET303" s="507"/>
      <c r="EU303" s="507"/>
      <c r="EV303" s="507"/>
      <c r="EW303" s="507"/>
      <c r="EX303" s="507"/>
      <c r="EY303" s="507"/>
      <c r="EZ303" s="507"/>
      <c r="FA303" s="507"/>
      <c r="FB303" s="507"/>
      <c r="FC303" s="507"/>
      <c r="FD303" s="507"/>
      <c r="FE303" s="507"/>
      <c r="FF303" s="507"/>
      <c r="FG303" s="507"/>
      <c r="FH303" s="507"/>
      <c r="FI303" s="507"/>
      <c r="FJ303" s="507"/>
      <c r="FK303" s="507"/>
      <c r="FL303" s="507"/>
      <c r="FM303" s="507"/>
      <c r="FN303" s="507"/>
      <c r="FO303" s="507"/>
      <c r="FP303" s="507"/>
      <c r="FQ303" s="507"/>
      <c r="FR303" s="507"/>
      <c r="FS303" s="507"/>
      <c r="FT303" s="507"/>
      <c r="FU303" s="507"/>
      <c r="FV303" s="507"/>
      <c r="FW303" s="507"/>
      <c r="FX303" s="507"/>
      <c r="FY303" s="507"/>
      <c r="FZ303" s="507"/>
      <c r="GA303" s="507"/>
      <c r="GB303" s="507"/>
      <c r="GC303" s="507"/>
      <c r="GD303" s="507"/>
      <c r="GE303" s="507"/>
      <c r="GF303" s="507"/>
      <c r="GG303" s="507"/>
      <c r="GH303" s="507"/>
      <c r="GI303" s="507"/>
      <c r="GJ303" s="507"/>
      <c r="GK303" s="507"/>
      <c r="GL303" s="507"/>
      <c r="GM303" s="507"/>
      <c r="GN303" s="507"/>
      <c r="GO303" s="507"/>
      <c r="GP303" s="507"/>
      <c r="GQ303" s="507"/>
      <c r="GR303" s="507"/>
      <c r="GS303" s="507"/>
      <c r="GT303" s="507"/>
      <c r="GU303" s="507"/>
      <c r="GV303" s="507"/>
      <c r="GW303" s="507"/>
      <c r="GX303" s="507"/>
      <c r="GY303" s="507"/>
      <c r="GZ303" s="507"/>
      <c r="HA303" s="507"/>
      <c r="HB303" s="507"/>
      <c r="HC303" s="507"/>
      <c r="HD303" s="507"/>
      <c r="HE303" s="507"/>
      <c r="HF303" s="507"/>
      <c r="HG303" s="507"/>
      <c r="HH303" s="507"/>
      <c r="HI303" s="507"/>
      <c r="HJ303" s="507"/>
      <c r="HK303" s="507"/>
      <c r="HL303" s="507"/>
      <c r="HM303" s="507"/>
      <c r="HN303" s="507"/>
      <c r="HO303" s="507"/>
      <c r="HP303" s="507"/>
      <c r="HQ303" s="507"/>
      <c r="HR303" s="507"/>
      <c r="HS303" s="507"/>
      <c r="HT303" s="507"/>
      <c r="HU303" s="507"/>
      <c r="HV303" s="507"/>
      <c r="HW303" s="507"/>
      <c r="HX303" s="507"/>
      <c r="HY303" s="507"/>
      <c r="HZ303" s="507"/>
    </row>
    <row r="304" spans="1:234" s="206" customFormat="1" ht="13.5" hidden="1" customHeight="1" x14ac:dyDescent="0.25">
      <c r="A304" s="541" t="s">
        <v>437</v>
      </c>
      <c r="B304" s="523" t="s">
        <v>3084</v>
      </c>
      <c r="C304" s="524" t="s">
        <v>438</v>
      </c>
      <c r="D304" s="551" t="s">
        <v>1859</v>
      </c>
      <c r="E304" s="569" t="s">
        <v>1743</v>
      </c>
      <c r="F304" s="543">
        <v>40445</v>
      </c>
      <c r="G304" s="544">
        <v>40392</v>
      </c>
      <c r="H304" s="544">
        <v>40438</v>
      </c>
      <c r="I304" s="616">
        <v>42460</v>
      </c>
      <c r="J304" s="579">
        <v>10</v>
      </c>
      <c r="K304" s="553" t="s">
        <v>3229</v>
      </c>
      <c r="L304" s="552" t="s">
        <v>3229</v>
      </c>
      <c r="M304" s="560">
        <v>0</v>
      </c>
      <c r="N304" s="606">
        <v>0.6</v>
      </c>
      <c r="O304" s="613" t="s">
        <v>3229</v>
      </c>
      <c r="P304" s="575" t="s">
        <v>3229</v>
      </c>
      <c r="Q304" s="575" t="s">
        <v>3229</v>
      </c>
      <c r="R304" s="575" t="s">
        <v>3229</v>
      </c>
      <c r="S304" s="570"/>
      <c r="T304" s="617" t="s">
        <v>3229</v>
      </c>
      <c r="U304" s="563" t="s">
        <v>3229</v>
      </c>
      <c r="V304" s="563" t="s">
        <v>3229</v>
      </c>
      <c r="W304" s="563" t="s">
        <v>3229</v>
      </c>
      <c r="X304" s="563" t="s">
        <v>3229</v>
      </c>
      <c r="Y304" s="598" t="s">
        <v>3229</v>
      </c>
      <c r="Z304" s="598" t="s">
        <v>3229</v>
      </c>
      <c r="AA304" s="598" t="s">
        <v>3229</v>
      </c>
      <c r="AB304" s="598" t="s">
        <v>3229</v>
      </c>
      <c r="AC304" s="598" t="s">
        <v>3229</v>
      </c>
      <c r="AD304" s="598" t="s">
        <v>3229</v>
      </c>
      <c r="AE304" s="598" t="s">
        <v>3229</v>
      </c>
      <c r="AF304" s="3764" t="s">
        <v>781</v>
      </c>
      <c r="AG304" s="3765"/>
      <c r="AH304" s="1301" t="s">
        <v>3229</v>
      </c>
      <c r="AI304" s="1301" t="s">
        <v>3229</v>
      </c>
      <c r="AJ304" s="1301" t="s">
        <v>3229</v>
      </c>
      <c r="AK304" s="530" t="s">
        <v>3229</v>
      </c>
      <c r="AL304" s="530" t="s">
        <v>3229</v>
      </c>
      <c r="AM304" s="659">
        <v>1</v>
      </c>
      <c r="AN304" s="638">
        <v>0.2436335</v>
      </c>
      <c r="AO304" s="625">
        <v>12.44</v>
      </c>
      <c r="AP304" s="688">
        <v>0.40605583333333334</v>
      </c>
      <c r="AQ304" s="606">
        <v>0.49519018065446518</v>
      </c>
      <c r="AR304" s="600" t="s">
        <v>3660</v>
      </c>
      <c r="AS304" s="548"/>
      <c r="AT304" s="548"/>
      <c r="AU304" s="549"/>
      <c r="AV304" s="558">
        <v>0</v>
      </c>
      <c r="AW304" s="558">
        <v>0</v>
      </c>
      <c r="AX304" s="589">
        <v>-0.19614147909967838</v>
      </c>
      <c r="AY304" s="587" t="e">
        <v>#DIV/0!</v>
      </c>
      <c r="AZ304" s="676">
        <v>10</v>
      </c>
      <c r="BA304" s="581" t="s">
        <v>3190</v>
      </c>
      <c r="BB304" s="570"/>
      <c r="BC304" s="581"/>
      <c r="BD304" s="3691"/>
      <c r="BE304" s="3743"/>
      <c r="BF304" s="3743"/>
      <c r="BG304" s="3708"/>
      <c r="BH304" s="3762"/>
      <c r="BI304" s="3762"/>
      <c r="BJ304" s="39"/>
      <c r="BK304" s="39"/>
      <c r="BL304" s="39"/>
      <c r="BM304" s="39"/>
      <c r="BN304" s="39"/>
      <c r="BO304" s="39"/>
      <c r="BP304" s="39"/>
      <c r="BQ304" s="39"/>
      <c r="BR304" s="39"/>
      <c r="BS304" s="507"/>
      <c r="BT304" s="507"/>
      <c r="BU304" s="507"/>
      <c r="BV304" s="507"/>
      <c r="BW304" s="507"/>
      <c r="BX304" s="507"/>
      <c r="BY304" s="507"/>
      <c r="BZ304" s="507"/>
      <c r="CA304" s="507"/>
      <c r="CB304" s="507"/>
      <c r="CC304" s="507"/>
      <c r="CD304" s="507"/>
      <c r="CE304" s="507"/>
      <c r="CF304" s="507"/>
      <c r="CG304" s="507"/>
      <c r="CH304" s="507"/>
      <c r="CI304" s="507"/>
      <c r="CJ304" s="507"/>
      <c r="CK304" s="507"/>
      <c r="CL304" s="507"/>
      <c r="CM304" s="507"/>
      <c r="CN304" s="507"/>
      <c r="CO304" s="507"/>
      <c r="CP304" s="507"/>
      <c r="CQ304" s="507"/>
      <c r="CR304" s="507"/>
      <c r="CS304" s="507"/>
      <c r="CT304" s="507"/>
      <c r="CU304" s="507"/>
      <c r="CV304" s="507"/>
      <c r="CW304" s="507"/>
      <c r="CX304" s="507"/>
      <c r="CY304" s="507"/>
      <c r="CZ304" s="507"/>
      <c r="DA304" s="507"/>
      <c r="DB304" s="507"/>
      <c r="DC304" s="507"/>
      <c r="DD304" s="507"/>
      <c r="DE304" s="507"/>
      <c r="DF304" s="507"/>
      <c r="DG304" s="507"/>
      <c r="DH304" s="507"/>
      <c r="DI304" s="507"/>
      <c r="DJ304" s="507"/>
      <c r="DK304" s="507"/>
      <c r="DL304" s="507"/>
      <c r="DM304" s="507"/>
      <c r="DN304" s="507"/>
      <c r="DO304" s="507"/>
      <c r="DP304" s="507"/>
      <c r="DQ304" s="507"/>
      <c r="DR304" s="507"/>
      <c r="DS304" s="507"/>
      <c r="DT304" s="507"/>
      <c r="DU304" s="507"/>
      <c r="DV304" s="507"/>
      <c r="DW304" s="507"/>
      <c r="DX304" s="507"/>
      <c r="DY304" s="507"/>
      <c r="DZ304" s="507"/>
      <c r="EA304" s="507"/>
      <c r="EB304" s="507"/>
      <c r="EC304" s="507"/>
      <c r="ED304" s="507"/>
      <c r="EE304" s="507"/>
      <c r="EF304" s="507"/>
      <c r="EG304" s="507"/>
      <c r="EH304" s="507"/>
      <c r="EI304" s="507"/>
      <c r="EJ304" s="507"/>
      <c r="EK304" s="507"/>
      <c r="EL304" s="507"/>
      <c r="EM304" s="507"/>
      <c r="EN304" s="507"/>
      <c r="EO304" s="507"/>
      <c r="EP304" s="507"/>
      <c r="EQ304" s="507"/>
      <c r="ER304" s="507"/>
      <c r="ES304" s="507"/>
      <c r="ET304" s="507"/>
      <c r="EU304" s="507"/>
      <c r="EV304" s="507"/>
      <c r="EW304" s="507"/>
      <c r="EX304" s="507"/>
      <c r="EY304" s="507"/>
      <c r="EZ304" s="507"/>
      <c r="FA304" s="507"/>
      <c r="FB304" s="507"/>
      <c r="FC304" s="507"/>
      <c r="FD304" s="507"/>
      <c r="FE304" s="507"/>
      <c r="FF304" s="507"/>
      <c r="FG304" s="507"/>
      <c r="FH304" s="507"/>
      <c r="FI304" s="507"/>
      <c r="FJ304" s="507"/>
      <c r="FK304" s="507"/>
      <c r="FL304" s="507"/>
      <c r="FM304" s="507"/>
      <c r="FN304" s="507"/>
      <c r="FO304" s="507"/>
      <c r="FP304" s="507"/>
      <c r="FQ304" s="507"/>
      <c r="FR304" s="507"/>
      <c r="FS304" s="507"/>
      <c r="FT304" s="507"/>
      <c r="FU304" s="507"/>
      <c r="FV304" s="507"/>
      <c r="FW304" s="507"/>
      <c r="FX304" s="507"/>
      <c r="FY304" s="507"/>
      <c r="FZ304" s="507"/>
      <c r="GA304" s="507"/>
      <c r="GB304" s="507"/>
      <c r="GC304" s="507"/>
      <c r="GD304" s="507"/>
      <c r="GE304" s="507"/>
      <c r="GF304" s="507"/>
      <c r="GG304" s="507"/>
      <c r="GH304" s="507"/>
      <c r="GI304" s="507"/>
      <c r="GJ304" s="507"/>
      <c r="GK304" s="507"/>
      <c r="GL304" s="507"/>
      <c r="GM304" s="507"/>
      <c r="GN304" s="507"/>
      <c r="GO304" s="507"/>
      <c r="GP304" s="507"/>
      <c r="GQ304" s="507"/>
      <c r="GR304" s="507"/>
      <c r="GS304" s="507"/>
      <c r="GT304" s="507"/>
      <c r="GU304" s="507"/>
      <c r="GV304" s="507"/>
      <c r="GW304" s="507"/>
      <c r="GX304" s="507"/>
      <c r="GY304" s="507"/>
      <c r="GZ304" s="507"/>
      <c r="HA304" s="507"/>
      <c r="HB304" s="507"/>
      <c r="HC304" s="507"/>
      <c r="HD304" s="507"/>
      <c r="HE304" s="507"/>
      <c r="HF304" s="507"/>
      <c r="HG304" s="507"/>
      <c r="HH304" s="507"/>
      <c r="HI304" s="507"/>
      <c r="HJ304" s="507"/>
      <c r="HK304" s="507"/>
      <c r="HL304" s="507"/>
      <c r="HM304" s="507"/>
      <c r="HN304" s="507"/>
      <c r="HO304" s="507"/>
      <c r="HP304" s="507"/>
      <c r="HQ304" s="507"/>
      <c r="HR304" s="507"/>
      <c r="HS304" s="507"/>
      <c r="HT304" s="507"/>
      <c r="HU304" s="507"/>
      <c r="HV304" s="507"/>
      <c r="HW304" s="507"/>
      <c r="HX304" s="507"/>
      <c r="HY304" s="507"/>
      <c r="HZ304" s="507"/>
    </row>
    <row r="305" spans="1:234" s="206" customFormat="1" ht="13.5" hidden="1" customHeight="1" x14ac:dyDescent="0.25">
      <c r="A305" s="541" t="s">
        <v>440</v>
      </c>
      <c r="B305" s="523" t="s">
        <v>439</v>
      </c>
      <c r="C305" s="524" t="s">
        <v>441</v>
      </c>
      <c r="D305" s="551" t="s">
        <v>1859</v>
      </c>
      <c r="E305" s="569" t="s">
        <v>905</v>
      </c>
      <c r="F305" s="543">
        <v>40438</v>
      </c>
      <c r="G305" s="544">
        <v>40392</v>
      </c>
      <c r="H305" s="544">
        <v>40431</v>
      </c>
      <c r="I305" s="616">
        <v>41547</v>
      </c>
      <c r="J305" s="579">
        <v>10</v>
      </c>
      <c r="K305" s="553" t="s">
        <v>3229</v>
      </c>
      <c r="L305" s="552" t="s">
        <v>3229</v>
      </c>
      <c r="M305" s="560">
        <v>-1</v>
      </c>
      <c r="N305" s="606" t="s">
        <v>3229</v>
      </c>
      <c r="O305" s="575">
        <v>0.6</v>
      </c>
      <c r="P305" s="575" t="s">
        <v>3229</v>
      </c>
      <c r="Q305" s="575" t="s">
        <v>3229</v>
      </c>
      <c r="R305" s="575" t="s">
        <v>3229</v>
      </c>
      <c r="S305" s="570">
        <v>5</v>
      </c>
      <c r="T305" s="617">
        <v>40787</v>
      </c>
      <c r="U305" s="563">
        <v>41153</v>
      </c>
      <c r="V305" s="563">
        <v>41518</v>
      </c>
      <c r="W305" s="563">
        <v>41883</v>
      </c>
      <c r="X305" s="563">
        <v>42248</v>
      </c>
      <c r="Y305" s="598" t="s">
        <v>3229</v>
      </c>
      <c r="Z305" s="598" t="s">
        <v>3229</v>
      </c>
      <c r="AA305" s="598" t="s">
        <v>3229</v>
      </c>
      <c r="AB305" s="598" t="s">
        <v>3229</v>
      </c>
      <c r="AC305" s="598" t="s">
        <v>3229</v>
      </c>
      <c r="AD305" s="598" t="s">
        <v>3229</v>
      </c>
      <c r="AE305" s="598" t="s">
        <v>3229</v>
      </c>
      <c r="AF305" s="3764" t="s">
        <v>781</v>
      </c>
      <c r="AG305" s="3765"/>
      <c r="AH305" s="1301">
        <v>1</v>
      </c>
      <c r="AI305" s="1301" t="s">
        <v>3229</v>
      </c>
      <c r="AJ305" s="1301" t="s">
        <v>3229</v>
      </c>
      <c r="AK305" s="530" t="s">
        <v>3229</v>
      </c>
      <c r="AL305" s="530" t="s">
        <v>3229</v>
      </c>
      <c r="AM305" s="659" t="s">
        <v>3229</v>
      </c>
      <c r="AN305" s="638">
        <f>IF('klikací hodnoty'!F9052&lt;-50%,'klikací hodnoty'!F9052,IF('klikací hodnoty'!F9052&lt;0%,0%,'klikací hodnoty'!F9052))</f>
        <v>0.36</v>
      </c>
      <c r="AO305" s="625">
        <v>11.66</v>
      </c>
      <c r="AP305" s="688">
        <f t="shared" ref="AP305:AP312" si="63">AQ305</f>
        <v>0.83581386681535919</v>
      </c>
      <c r="AQ305" s="606">
        <f>'klikací hodnoty'!H9051</f>
        <v>0.83581386681535919</v>
      </c>
      <c r="AR305" s="600">
        <f t="shared" ref="AR305:AR314" si="64">O305</f>
        <v>0.6</v>
      </c>
      <c r="AS305" s="548">
        <f t="shared" ref="AS305:AS314" si="65">POWER(1+AR305,1/((I305-F305)/365))-1</f>
        <v>0.16729616394007607</v>
      </c>
      <c r="AT305" s="548">
        <f t="shared" ref="AT305:AT314" si="66">J305*(1+AR305)/AO305-1</f>
        <v>0.37221269296740989</v>
      </c>
      <c r="AU305" s="549" t="e">
        <f t="shared" ref="AU305:AU314" si="67">POWER(1+AT305,1/AG305)-1</f>
        <v>#DIV/0!</v>
      </c>
      <c r="AV305" s="558">
        <f t="shared" si="59"/>
        <v>-1</v>
      </c>
      <c r="AW305" s="558">
        <f t="shared" si="56"/>
        <v>-1</v>
      </c>
      <c r="AX305" s="589">
        <f t="shared" si="57"/>
        <v>-1</v>
      </c>
      <c r="AY305" s="587" t="e">
        <f>POWER(1+AX305,1/AG305)-1</f>
        <v>#DIV/0!</v>
      </c>
      <c r="AZ305" s="676">
        <f t="shared" si="62"/>
        <v>0</v>
      </c>
      <c r="BA305" s="581" t="s">
        <v>3852</v>
      </c>
      <c r="BB305" s="570"/>
      <c r="BC305" s="581"/>
      <c r="BD305" s="3691"/>
      <c r="BE305" s="3743"/>
      <c r="BF305" s="3743"/>
      <c r="BG305" s="3708"/>
      <c r="BH305" s="3762"/>
      <c r="BI305" s="3762"/>
      <c r="BJ305" s="39"/>
      <c r="BK305" s="39"/>
      <c r="BL305" s="39"/>
      <c r="BM305" s="39"/>
      <c r="BN305" s="39"/>
      <c r="BO305" s="39"/>
      <c r="BP305" s="39"/>
      <c r="BQ305" s="39"/>
      <c r="BR305" s="39"/>
      <c r="BS305" s="507"/>
      <c r="BT305" s="507"/>
      <c r="BU305" s="507"/>
      <c r="BV305" s="507"/>
      <c r="BW305" s="507"/>
      <c r="BX305" s="507"/>
      <c r="BY305" s="507"/>
      <c r="BZ305" s="507"/>
      <c r="CA305" s="507"/>
      <c r="CB305" s="507"/>
      <c r="CC305" s="507"/>
      <c r="CD305" s="507"/>
      <c r="CE305" s="507"/>
      <c r="CF305" s="507"/>
      <c r="CG305" s="507"/>
      <c r="CH305" s="507"/>
      <c r="CI305" s="507"/>
      <c r="CJ305" s="507"/>
      <c r="CK305" s="507"/>
      <c r="CL305" s="507"/>
      <c r="CM305" s="507"/>
      <c r="CN305" s="507"/>
      <c r="CO305" s="507"/>
      <c r="CP305" s="507"/>
      <c r="CQ305" s="507"/>
      <c r="CR305" s="507"/>
      <c r="CS305" s="507"/>
      <c r="CT305" s="507"/>
      <c r="CU305" s="507"/>
      <c r="CV305" s="507"/>
      <c r="CW305" s="507"/>
      <c r="CX305" s="507"/>
      <c r="CY305" s="507"/>
      <c r="CZ305" s="507"/>
      <c r="DA305" s="507"/>
      <c r="DB305" s="507"/>
      <c r="DC305" s="507"/>
      <c r="DD305" s="507"/>
      <c r="DE305" s="507"/>
      <c r="DF305" s="507"/>
      <c r="DG305" s="507"/>
      <c r="DH305" s="507"/>
      <c r="DI305" s="507"/>
      <c r="DJ305" s="507"/>
      <c r="DK305" s="507"/>
      <c r="DL305" s="507"/>
      <c r="DM305" s="507"/>
      <c r="DN305" s="507"/>
      <c r="DO305" s="507"/>
      <c r="DP305" s="507"/>
      <c r="DQ305" s="507"/>
      <c r="DR305" s="507"/>
      <c r="DS305" s="507"/>
      <c r="DT305" s="507"/>
      <c r="DU305" s="507"/>
      <c r="DV305" s="507"/>
      <c r="DW305" s="507"/>
      <c r="DX305" s="507"/>
      <c r="DY305" s="507"/>
      <c r="DZ305" s="507"/>
      <c r="EA305" s="507"/>
      <c r="EB305" s="507"/>
      <c r="EC305" s="507"/>
      <c r="ED305" s="507"/>
      <c r="EE305" s="507"/>
      <c r="EF305" s="507"/>
      <c r="EG305" s="507"/>
      <c r="EH305" s="507"/>
      <c r="EI305" s="507"/>
      <c r="EJ305" s="507"/>
      <c r="EK305" s="507"/>
      <c r="EL305" s="507"/>
      <c r="EM305" s="507"/>
      <c r="EN305" s="507"/>
      <c r="EO305" s="507"/>
      <c r="EP305" s="507"/>
      <c r="EQ305" s="507"/>
      <c r="ER305" s="507"/>
      <c r="ES305" s="507"/>
      <c r="ET305" s="507"/>
      <c r="EU305" s="507"/>
      <c r="EV305" s="507"/>
      <c r="EW305" s="507"/>
      <c r="EX305" s="507"/>
      <c r="EY305" s="507"/>
      <c r="EZ305" s="507"/>
      <c r="FA305" s="507"/>
      <c r="FB305" s="507"/>
      <c r="FC305" s="507"/>
      <c r="FD305" s="507"/>
      <c r="FE305" s="507"/>
      <c r="FF305" s="507"/>
      <c r="FG305" s="507"/>
      <c r="FH305" s="507"/>
      <c r="FI305" s="507"/>
      <c r="FJ305" s="507"/>
      <c r="FK305" s="507"/>
      <c r="FL305" s="507"/>
      <c r="FM305" s="507"/>
      <c r="FN305" s="507"/>
      <c r="FO305" s="507"/>
      <c r="FP305" s="507"/>
      <c r="FQ305" s="507"/>
      <c r="FR305" s="507"/>
      <c r="FS305" s="507"/>
      <c r="FT305" s="507"/>
      <c r="FU305" s="507"/>
      <c r="FV305" s="507"/>
      <c r="FW305" s="507"/>
      <c r="FX305" s="507"/>
      <c r="FY305" s="507"/>
      <c r="FZ305" s="507"/>
      <c r="GA305" s="507"/>
      <c r="GB305" s="507"/>
      <c r="GC305" s="507"/>
      <c r="GD305" s="507"/>
      <c r="GE305" s="507"/>
      <c r="GF305" s="507"/>
      <c r="GG305" s="507"/>
      <c r="GH305" s="507"/>
      <c r="GI305" s="507"/>
      <c r="GJ305" s="507"/>
      <c r="GK305" s="507"/>
      <c r="GL305" s="507"/>
      <c r="GM305" s="507"/>
      <c r="GN305" s="507"/>
      <c r="GO305" s="507"/>
      <c r="GP305" s="507"/>
      <c r="GQ305" s="507"/>
      <c r="GR305" s="507"/>
      <c r="GS305" s="507"/>
      <c r="GT305" s="507"/>
      <c r="GU305" s="507"/>
      <c r="GV305" s="507"/>
      <c r="GW305" s="507"/>
      <c r="GX305" s="507"/>
      <c r="GY305" s="507"/>
      <c r="GZ305" s="507"/>
      <c r="HA305" s="507"/>
      <c r="HB305" s="507"/>
      <c r="HC305" s="507"/>
      <c r="HD305" s="507"/>
      <c r="HE305" s="507"/>
      <c r="HF305" s="507"/>
      <c r="HG305" s="507"/>
      <c r="HH305" s="507"/>
      <c r="HI305" s="507"/>
      <c r="HJ305" s="507"/>
      <c r="HK305" s="507"/>
      <c r="HL305" s="507"/>
      <c r="HM305" s="507"/>
      <c r="HN305" s="507"/>
      <c r="HO305" s="507"/>
      <c r="HP305" s="507"/>
      <c r="HQ305" s="507"/>
      <c r="HR305" s="507"/>
      <c r="HS305" s="507"/>
      <c r="HT305" s="507"/>
      <c r="HU305" s="507"/>
      <c r="HV305" s="507"/>
      <c r="HW305" s="507"/>
      <c r="HX305" s="507"/>
      <c r="HY305" s="507"/>
      <c r="HZ305" s="507"/>
    </row>
    <row r="306" spans="1:234" s="206" customFormat="1" ht="13.5" hidden="1" customHeight="1" x14ac:dyDescent="0.25">
      <c r="A306" s="541" t="s">
        <v>442</v>
      </c>
      <c r="B306" s="523" t="s">
        <v>7231</v>
      </c>
      <c r="C306" s="524" t="s">
        <v>443</v>
      </c>
      <c r="D306" s="551" t="s">
        <v>444</v>
      </c>
      <c r="E306" s="569" t="s">
        <v>3228</v>
      </c>
      <c r="F306" s="543">
        <v>40463</v>
      </c>
      <c r="G306" s="544">
        <v>40391</v>
      </c>
      <c r="H306" s="544">
        <v>40456</v>
      </c>
      <c r="I306" s="616">
        <v>42349</v>
      </c>
      <c r="J306" s="579">
        <v>10</v>
      </c>
      <c r="K306" s="553" t="s">
        <v>3229</v>
      </c>
      <c r="L306" s="552" t="s">
        <v>3229</v>
      </c>
      <c r="M306" s="560">
        <v>0</v>
      </c>
      <c r="N306" s="606" t="s">
        <v>3229</v>
      </c>
      <c r="O306" s="613">
        <v>0.35</v>
      </c>
      <c r="P306" s="575" t="s">
        <v>3229</v>
      </c>
      <c r="Q306" s="575" t="s">
        <v>3229</v>
      </c>
      <c r="R306" s="575" t="s">
        <v>3229</v>
      </c>
      <c r="S306" s="570"/>
      <c r="T306" s="617" t="s">
        <v>3229</v>
      </c>
      <c r="U306" s="563" t="s">
        <v>3229</v>
      </c>
      <c r="V306" s="563" t="s">
        <v>3229</v>
      </c>
      <c r="W306" s="563" t="s">
        <v>3229</v>
      </c>
      <c r="X306" s="563" t="s">
        <v>3229</v>
      </c>
      <c r="Y306" s="598" t="s">
        <v>3229</v>
      </c>
      <c r="Z306" s="598" t="s">
        <v>3229</v>
      </c>
      <c r="AA306" s="598" t="s">
        <v>3229</v>
      </c>
      <c r="AB306" s="598" t="s">
        <v>3229</v>
      </c>
      <c r="AC306" s="598" t="s">
        <v>3229</v>
      </c>
      <c r="AD306" s="598" t="s">
        <v>3229</v>
      </c>
      <c r="AE306" s="598" t="s">
        <v>3229</v>
      </c>
      <c r="AF306" s="3764" t="s">
        <v>781</v>
      </c>
      <c r="AG306" s="3765"/>
      <c r="AH306" s="1301" t="s">
        <v>3229</v>
      </c>
      <c r="AI306" s="1301" t="s">
        <v>3229</v>
      </c>
      <c r="AJ306" s="1301" t="s">
        <v>3229</v>
      </c>
      <c r="AK306" s="530" t="s">
        <v>3229</v>
      </c>
      <c r="AL306" s="530" t="s">
        <v>3229</v>
      </c>
      <c r="AM306" s="659">
        <v>1</v>
      </c>
      <c r="AN306" s="638">
        <f>'klikací hodnoty'!F9126</f>
        <v>0.1852</v>
      </c>
      <c r="AO306" s="625">
        <v>11.85</v>
      </c>
      <c r="AP306" s="688">
        <f t="shared" si="63"/>
        <v>0.16661186772456307</v>
      </c>
      <c r="AQ306" s="606">
        <f>'klikací hodnoty'!F9125</f>
        <v>0.16661186772456307</v>
      </c>
      <c r="AR306" s="600">
        <f t="shared" si="64"/>
        <v>0.35</v>
      </c>
      <c r="AS306" s="548">
        <f t="shared" si="65"/>
        <v>5.9799380839873351E-2</v>
      </c>
      <c r="AT306" s="548">
        <f t="shared" si="66"/>
        <v>0.139240506329114</v>
      </c>
      <c r="AU306" s="549" t="e">
        <f t="shared" si="67"/>
        <v>#DIV/0!</v>
      </c>
      <c r="AV306" s="558">
        <v>0.1852</v>
      </c>
      <c r="AW306" s="558">
        <f t="shared" si="56"/>
        <v>3.3429825232832666E-2</v>
      </c>
      <c r="AX306" s="589">
        <f t="shared" si="57"/>
        <v>1.6877637130807699E-4</v>
      </c>
      <c r="AY306" s="587" t="e">
        <f t="shared" si="58"/>
        <v>#DIV/0!</v>
      </c>
      <c r="AZ306" s="676">
        <f t="shared" si="62"/>
        <v>11.852</v>
      </c>
      <c r="BA306" s="581" t="s">
        <v>3609</v>
      </c>
      <c r="BB306" s="570"/>
      <c r="BC306" s="581"/>
      <c r="BD306" s="3691"/>
      <c r="BE306" s="3743"/>
      <c r="BF306" s="3743"/>
      <c r="BG306" s="3708"/>
      <c r="BH306" s="3762"/>
      <c r="BI306" s="3762"/>
      <c r="BJ306" s="39"/>
      <c r="BK306" s="39"/>
      <c r="BL306" s="39"/>
      <c r="BM306" s="39"/>
      <c r="BN306" s="39"/>
      <c r="BO306" s="39"/>
      <c r="BP306" s="39"/>
      <c r="BQ306" s="39"/>
      <c r="BR306" s="39"/>
      <c r="BS306" s="507"/>
      <c r="BT306" s="507"/>
      <c r="BU306" s="507"/>
      <c r="BV306" s="507"/>
      <c r="BW306" s="507"/>
      <c r="BX306" s="507"/>
      <c r="BY306" s="507"/>
      <c r="BZ306" s="507"/>
      <c r="CA306" s="507"/>
      <c r="CB306" s="507"/>
      <c r="CC306" s="507"/>
      <c r="CD306" s="507"/>
      <c r="CE306" s="507"/>
      <c r="CF306" s="507"/>
      <c r="CG306" s="507"/>
      <c r="CH306" s="507"/>
      <c r="CI306" s="507"/>
      <c r="CJ306" s="507"/>
      <c r="CK306" s="507"/>
      <c r="CL306" s="507"/>
      <c r="CM306" s="507"/>
      <c r="CN306" s="507"/>
      <c r="CO306" s="507"/>
      <c r="CP306" s="507"/>
      <c r="CQ306" s="507"/>
      <c r="CR306" s="507"/>
      <c r="CS306" s="507"/>
      <c r="CT306" s="507"/>
      <c r="CU306" s="507"/>
      <c r="CV306" s="507"/>
      <c r="CW306" s="507"/>
      <c r="CX306" s="507"/>
      <c r="CY306" s="507"/>
      <c r="CZ306" s="507"/>
      <c r="DA306" s="507"/>
      <c r="DB306" s="507"/>
      <c r="DC306" s="507"/>
      <c r="DD306" s="507"/>
      <c r="DE306" s="507"/>
      <c r="DF306" s="507"/>
      <c r="DG306" s="507"/>
      <c r="DH306" s="507"/>
      <c r="DI306" s="507"/>
      <c r="DJ306" s="507"/>
      <c r="DK306" s="507"/>
      <c r="DL306" s="507"/>
      <c r="DM306" s="507"/>
      <c r="DN306" s="507"/>
      <c r="DO306" s="507"/>
      <c r="DP306" s="507"/>
      <c r="DQ306" s="507"/>
      <c r="DR306" s="507"/>
      <c r="DS306" s="507"/>
      <c r="DT306" s="507"/>
      <c r="DU306" s="507"/>
      <c r="DV306" s="507"/>
      <c r="DW306" s="507"/>
      <c r="DX306" s="507"/>
      <c r="DY306" s="507"/>
      <c r="DZ306" s="507"/>
      <c r="EA306" s="507"/>
      <c r="EB306" s="507"/>
      <c r="EC306" s="507"/>
      <c r="ED306" s="507"/>
      <c r="EE306" s="507"/>
      <c r="EF306" s="507"/>
      <c r="EG306" s="507"/>
      <c r="EH306" s="507"/>
      <c r="EI306" s="507"/>
      <c r="EJ306" s="507"/>
      <c r="EK306" s="507"/>
      <c r="EL306" s="507"/>
      <c r="EM306" s="507"/>
      <c r="EN306" s="507"/>
      <c r="EO306" s="507"/>
      <c r="EP306" s="507"/>
      <c r="EQ306" s="507"/>
      <c r="ER306" s="507"/>
      <c r="ES306" s="507"/>
      <c r="ET306" s="507"/>
      <c r="EU306" s="507"/>
      <c r="EV306" s="507"/>
      <c r="EW306" s="507"/>
      <c r="EX306" s="507"/>
      <c r="EY306" s="507"/>
      <c r="EZ306" s="507"/>
      <c r="FA306" s="507"/>
      <c r="FB306" s="507"/>
      <c r="FC306" s="507"/>
      <c r="FD306" s="507"/>
      <c r="FE306" s="507"/>
      <c r="FF306" s="507"/>
      <c r="FG306" s="507"/>
      <c r="FH306" s="507"/>
      <c r="FI306" s="507"/>
      <c r="FJ306" s="507"/>
      <c r="FK306" s="507"/>
      <c r="FL306" s="507"/>
      <c r="FM306" s="507"/>
      <c r="FN306" s="507"/>
      <c r="FO306" s="507"/>
      <c r="FP306" s="507"/>
      <c r="FQ306" s="507"/>
      <c r="FR306" s="507"/>
      <c r="FS306" s="507"/>
      <c r="FT306" s="507"/>
      <c r="FU306" s="507"/>
      <c r="FV306" s="507"/>
      <c r="FW306" s="507"/>
      <c r="FX306" s="507"/>
      <c r="FY306" s="507"/>
      <c r="FZ306" s="507"/>
      <c r="GA306" s="507"/>
      <c r="GB306" s="507"/>
      <c r="GC306" s="507"/>
      <c r="GD306" s="507"/>
      <c r="GE306" s="507"/>
      <c r="GF306" s="507"/>
      <c r="GG306" s="507"/>
      <c r="GH306" s="507"/>
      <c r="GI306" s="507"/>
      <c r="GJ306" s="507"/>
      <c r="GK306" s="507"/>
      <c r="GL306" s="507"/>
      <c r="GM306" s="507"/>
      <c r="GN306" s="507"/>
      <c r="GO306" s="507"/>
      <c r="GP306" s="507"/>
      <c r="GQ306" s="507"/>
      <c r="GR306" s="507"/>
      <c r="GS306" s="507"/>
      <c r="GT306" s="507"/>
      <c r="GU306" s="507"/>
      <c r="GV306" s="507"/>
      <c r="GW306" s="507"/>
      <c r="GX306" s="507"/>
      <c r="GY306" s="507"/>
      <c r="GZ306" s="507"/>
      <c r="HA306" s="507"/>
      <c r="HB306" s="507"/>
      <c r="HC306" s="507"/>
      <c r="HD306" s="507"/>
      <c r="HE306" s="507"/>
      <c r="HF306" s="507"/>
      <c r="HG306" s="507"/>
      <c r="HH306" s="507"/>
      <c r="HI306" s="507"/>
      <c r="HJ306" s="507"/>
      <c r="HK306" s="507"/>
      <c r="HL306" s="507"/>
      <c r="HM306" s="507"/>
      <c r="HN306" s="507"/>
      <c r="HO306" s="507"/>
      <c r="HP306" s="507"/>
      <c r="HQ306" s="507"/>
      <c r="HR306" s="507"/>
      <c r="HS306" s="507"/>
      <c r="HT306" s="507"/>
      <c r="HU306" s="507"/>
      <c r="HV306" s="507"/>
      <c r="HW306" s="507"/>
      <c r="HX306" s="507"/>
      <c r="HY306" s="507"/>
      <c r="HZ306" s="507"/>
    </row>
    <row r="307" spans="1:234" s="206" customFormat="1" ht="13.5" hidden="1" customHeight="1" x14ac:dyDescent="0.25">
      <c r="A307" s="541" t="s">
        <v>445</v>
      </c>
      <c r="B307" s="523" t="s">
        <v>3767</v>
      </c>
      <c r="C307" s="524" t="s">
        <v>3768</v>
      </c>
      <c r="D307" s="551" t="s">
        <v>1859</v>
      </c>
      <c r="E307" s="569" t="s">
        <v>3228</v>
      </c>
      <c r="F307" s="543">
        <v>40458</v>
      </c>
      <c r="G307" s="544">
        <v>40406</v>
      </c>
      <c r="H307" s="544">
        <v>40451</v>
      </c>
      <c r="I307" s="616">
        <v>41578</v>
      </c>
      <c r="J307" s="579">
        <v>10</v>
      </c>
      <c r="K307" s="553" t="s">
        <v>3229</v>
      </c>
      <c r="L307" s="552" t="s">
        <v>3229</v>
      </c>
      <c r="M307" s="560">
        <v>-1</v>
      </c>
      <c r="N307" s="606" t="s">
        <v>3229</v>
      </c>
      <c r="O307" s="613">
        <v>0.5</v>
      </c>
      <c r="P307" s="575" t="s">
        <v>3229</v>
      </c>
      <c r="Q307" s="575" t="s">
        <v>3229</v>
      </c>
      <c r="R307" s="575" t="s">
        <v>3229</v>
      </c>
      <c r="S307" s="570">
        <v>5</v>
      </c>
      <c r="T307" s="617">
        <v>40817</v>
      </c>
      <c r="U307" s="563">
        <v>41183</v>
      </c>
      <c r="V307" s="563">
        <v>41548</v>
      </c>
      <c r="W307" s="563">
        <v>41913</v>
      </c>
      <c r="X307" s="563">
        <v>42278</v>
      </c>
      <c r="Y307" s="598" t="s">
        <v>3229</v>
      </c>
      <c r="Z307" s="598" t="s">
        <v>3229</v>
      </c>
      <c r="AA307" s="598" t="s">
        <v>3229</v>
      </c>
      <c r="AB307" s="598" t="s">
        <v>3229</v>
      </c>
      <c r="AC307" s="598" t="s">
        <v>3229</v>
      </c>
      <c r="AD307" s="598" t="s">
        <v>3229</v>
      </c>
      <c r="AE307" s="598" t="s">
        <v>3229</v>
      </c>
      <c r="AF307" s="3764" t="s">
        <v>781</v>
      </c>
      <c r="AG307" s="3765"/>
      <c r="AH307" s="1301">
        <v>1</v>
      </c>
      <c r="AI307" s="1301" t="s">
        <v>3229</v>
      </c>
      <c r="AJ307" s="1301" t="s">
        <v>3229</v>
      </c>
      <c r="AK307" s="530" t="s">
        <v>3229</v>
      </c>
      <c r="AL307" s="530" t="s">
        <v>3229</v>
      </c>
      <c r="AM307" s="659" t="s">
        <v>3229</v>
      </c>
      <c r="AN307" s="638">
        <f>IF('klikací hodnoty'!F9043&lt;-50%,'klikací hodnoty'!F9043,IF('klikací hodnoty'!F9043&lt;0%,0%,'klikací hodnoty'!F9043))</f>
        <v>0.3</v>
      </c>
      <c r="AO307" s="625">
        <v>13.53</v>
      </c>
      <c r="AP307" s="688">
        <f t="shared" si="63"/>
        <v>7.8598087182088161E-2</v>
      </c>
      <c r="AQ307" s="606">
        <f>'klikací hodnoty'!H9042</f>
        <v>7.8598087182088161E-2</v>
      </c>
      <c r="AR307" s="600">
        <f t="shared" si="64"/>
        <v>0.5</v>
      </c>
      <c r="AS307" s="548">
        <f t="shared" si="65"/>
        <v>0.14126601142306461</v>
      </c>
      <c r="AT307" s="548">
        <f t="shared" si="66"/>
        <v>0.10864745011086474</v>
      </c>
      <c r="AU307" s="549" t="e">
        <f t="shared" si="67"/>
        <v>#DIV/0!</v>
      </c>
      <c r="AV307" s="558">
        <f t="shared" si="59"/>
        <v>-1</v>
      </c>
      <c r="AW307" s="558">
        <f t="shared" si="56"/>
        <v>-1</v>
      </c>
      <c r="AX307" s="589">
        <f t="shared" si="57"/>
        <v>-1</v>
      </c>
      <c r="AY307" s="587" t="e">
        <f t="shared" si="58"/>
        <v>#DIV/0!</v>
      </c>
      <c r="AZ307" s="676">
        <f t="shared" si="62"/>
        <v>0</v>
      </c>
      <c r="BA307" s="581" t="s">
        <v>3852</v>
      </c>
      <c r="BB307" s="570"/>
      <c r="BC307" s="581"/>
      <c r="BD307" s="3691"/>
      <c r="BE307" s="3743"/>
      <c r="BF307" s="3743"/>
      <c r="BG307" s="3708"/>
      <c r="BH307" s="3762"/>
      <c r="BI307" s="3762"/>
      <c r="BJ307" s="39"/>
      <c r="BK307" s="39"/>
      <c r="BL307" s="39"/>
      <c r="BM307" s="39"/>
      <c r="BN307" s="39"/>
      <c r="BO307" s="39"/>
      <c r="BP307" s="39"/>
      <c r="BQ307" s="39"/>
      <c r="BR307" s="39"/>
      <c r="BS307" s="507"/>
      <c r="BT307" s="507"/>
      <c r="BU307" s="507"/>
      <c r="BV307" s="507"/>
      <c r="BW307" s="507"/>
      <c r="BX307" s="507"/>
      <c r="BY307" s="507"/>
      <c r="BZ307" s="507"/>
      <c r="CA307" s="507"/>
      <c r="CB307" s="507"/>
      <c r="CC307" s="507"/>
      <c r="CD307" s="507"/>
      <c r="CE307" s="507"/>
      <c r="CF307" s="507"/>
      <c r="CG307" s="507"/>
      <c r="CH307" s="507"/>
      <c r="CI307" s="507"/>
      <c r="CJ307" s="507"/>
      <c r="CK307" s="507"/>
      <c r="CL307" s="507"/>
      <c r="CM307" s="507"/>
      <c r="CN307" s="507"/>
      <c r="CO307" s="507"/>
      <c r="CP307" s="507"/>
      <c r="CQ307" s="507"/>
      <c r="CR307" s="507"/>
      <c r="CS307" s="507"/>
      <c r="CT307" s="507"/>
      <c r="CU307" s="507"/>
      <c r="CV307" s="507"/>
      <c r="CW307" s="507"/>
      <c r="CX307" s="507"/>
      <c r="CY307" s="507"/>
      <c r="CZ307" s="507"/>
      <c r="DA307" s="507"/>
      <c r="DB307" s="507"/>
      <c r="DC307" s="507"/>
      <c r="DD307" s="507"/>
      <c r="DE307" s="507"/>
      <c r="DF307" s="507"/>
      <c r="DG307" s="507"/>
      <c r="DH307" s="507"/>
      <c r="DI307" s="507"/>
      <c r="DJ307" s="507"/>
      <c r="DK307" s="507"/>
      <c r="DL307" s="507"/>
      <c r="DM307" s="507"/>
      <c r="DN307" s="507"/>
      <c r="DO307" s="507"/>
      <c r="DP307" s="507"/>
      <c r="DQ307" s="507"/>
      <c r="DR307" s="507"/>
      <c r="DS307" s="507"/>
      <c r="DT307" s="507"/>
      <c r="DU307" s="507"/>
      <c r="DV307" s="507"/>
      <c r="DW307" s="507"/>
      <c r="DX307" s="507"/>
      <c r="DY307" s="507"/>
      <c r="DZ307" s="507"/>
      <c r="EA307" s="507"/>
      <c r="EB307" s="507"/>
      <c r="EC307" s="507"/>
      <c r="ED307" s="507"/>
      <c r="EE307" s="507"/>
      <c r="EF307" s="507"/>
      <c r="EG307" s="507"/>
      <c r="EH307" s="507"/>
      <c r="EI307" s="507"/>
      <c r="EJ307" s="507"/>
      <c r="EK307" s="507"/>
      <c r="EL307" s="507"/>
      <c r="EM307" s="507"/>
      <c r="EN307" s="507"/>
      <c r="EO307" s="507"/>
      <c r="EP307" s="507"/>
      <c r="EQ307" s="507"/>
      <c r="ER307" s="507"/>
      <c r="ES307" s="507"/>
      <c r="ET307" s="507"/>
      <c r="EU307" s="507"/>
      <c r="EV307" s="507"/>
      <c r="EW307" s="507"/>
      <c r="EX307" s="507"/>
      <c r="EY307" s="507"/>
      <c r="EZ307" s="507"/>
      <c r="FA307" s="507"/>
      <c r="FB307" s="507"/>
      <c r="FC307" s="507"/>
      <c r="FD307" s="507"/>
      <c r="FE307" s="507"/>
      <c r="FF307" s="507"/>
      <c r="FG307" s="507"/>
      <c r="FH307" s="507"/>
      <c r="FI307" s="507"/>
      <c r="FJ307" s="507"/>
      <c r="FK307" s="507"/>
      <c r="FL307" s="507"/>
      <c r="FM307" s="507"/>
      <c r="FN307" s="507"/>
      <c r="FO307" s="507"/>
      <c r="FP307" s="507"/>
      <c r="FQ307" s="507"/>
      <c r="FR307" s="507"/>
      <c r="FS307" s="507"/>
      <c r="FT307" s="507"/>
      <c r="FU307" s="507"/>
      <c r="FV307" s="507"/>
      <c r="FW307" s="507"/>
      <c r="FX307" s="507"/>
      <c r="FY307" s="507"/>
      <c r="FZ307" s="507"/>
      <c r="GA307" s="507"/>
      <c r="GB307" s="507"/>
      <c r="GC307" s="507"/>
      <c r="GD307" s="507"/>
      <c r="GE307" s="507"/>
      <c r="GF307" s="507"/>
      <c r="GG307" s="507"/>
      <c r="GH307" s="507"/>
      <c r="GI307" s="507"/>
      <c r="GJ307" s="507"/>
      <c r="GK307" s="507"/>
      <c r="GL307" s="507"/>
      <c r="GM307" s="507"/>
      <c r="GN307" s="507"/>
      <c r="GO307" s="507"/>
      <c r="GP307" s="507"/>
      <c r="GQ307" s="507"/>
      <c r="GR307" s="507"/>
      <c r="GS307" s="507"/>
      <c r="GT307" s="507"/>
      <c r="GU307" s="507"/>
      <c r="GV307" s="507"/>
      <c r="GW307" s="507"/>
      <c r="GX307" s="507"/>
      <c r="GY307" s="507"/>
      <c r="GZ307" s="507"/>
      <c r="HA307" s="507"/>
      <c r="HB307" s="507"/>
      <c r="HC307" s="507"/>
      <c r="HD307" s="507"/>
      <c r="HE307" s="507"/>
      <c r="HF307" s="507"/>
      <c r="HG307" s="507"/>
      <c r="HH307" s="507"/>
      <c r="HI307" s="507"/>
      <c r="HJ307" s="507"/>
      <c r="HK307" s="507"/>
      <c r="HL307" s="507"/>
      <c r="HM307" s="507"/>
      <c r="HN307" s="507"/>
      <c r="HO307" s="507"/>
      <c r="HP307" s="507"/>
      <c r="HQ307" s="507"/>
      <c r="HR307" s="507"/>
      <c r="HS307" s="507"/>
      <c r="HT307" s="507"/>
      <c r="HU307" s="507"/>
      <c r="HV307" s="507"/>
      <c r="HW307" s="507"/>
      <c r="HX307" s="507"/>
      <c r="HY307" s="507"/>
      <c r="HZ307" s="507"/>
    </row>
    <row r="308" spans="1:234" s="206" customFormat="1" ht="13.5" hidden="1" customHeight="1" x14ac:dyDescent="0.25">
      <c r="A308" s="541" t="s">
        <v>217</v>
      </c>
      <c r="B308" s="523" t="s">
        <v>1934</v>
      </c>
      <c r="C308" s="524" t="s">
        <v>1935</v>
      </c>
      <c r="D308" s="551" t="s">
        <v>1859</v>
      </c>
      <c r="E308" s="569" t="s">
        <v>3228</v>
      </c>
      <c r="F308" s="543">
        <v>40490</v>
      </c>
      <c r="G308" s="544">
        <v>40422</v>
      </c>
      <c r="H308" s="544">
        <v>40480</v>
      </c>
      <c r="I308" s="616">
        <v>42521</v>
      </c>
      <c r="J308" s="579">
        <v>10</v>
      </c>
      <c r="K308" s="553">
        <v>0</v>
      </c>
      <c r="L308" s="552">
        <v>0.06</v>
      </c>
      <c r="M308" s="560">
        <v>3.5000000000000003E-2</v>
      </c>
      <c r="N308" s="606" t="s">
        <v>3229</v>
      </c>
      <c r="O308" s="613">
        <v>0.27500000000000002</v>
      </c>
      <c r="P308" s="575" t="s">
        <v>3229</v>
      </c>
      <c r="Q308" s="575">
        <v>3.5000000000000003E-2</v>
      </c>
      <c r="R308" s="575" t="s">
        <v>3229</v>
      </c>
      <c r="S308" s="570">
        <v>5</v>
      </c>
      <c r="T308" s="617">
        <v>40817</v>
      </c>
      <c r="U308" s="563">
        <v>41183</v>
      </c>
      <c r="V308" s="563">
        <v>41548</v>
      </c>
      <c r="W308" s="563">
        <v>41913</v>
      </c>
      <c r="X308" s="563">
        <v>42461</v>
      </c>
      <c r="Y308" s="598" t="s">
        <v>3229</v>
      </c>
      <c r="Z308" s="598" t="s">
        <v>3229</v>
      </c>
      <c r="AA308" s="598" t="s">
        <v>3229</v>
      </c>
      <c r="AB308" s="598" t="s">
        <v>3229</v>
      </c>
      <c r="AC308" s="598" t="s">
        <v>3229</v>
      </c>
      <c r="AD308" s="598" t="s">
        <v>3229</v>
      </c>
      <c r="AE308" s="598" t="s">
        <v>3229</v>
      </c>
      <c r="AF308" s="3764" t="s">
        <v>781</v>
      </c>
      <c r="AG308" s="3765"/>
      <c r="AH308" s="1301" t="s">
        <v>3229</v>
      </c>
      <c r="AI308" s="1301" t="s">
        <v>3229</v>
      </c>
      <c r="AJ308" s="1301" t="s">
        <v>3229</v>
      </c>
      <c r="AK308" s="530" t="s">
        <v>3229</v>
      </c>
      <c r="AL308" s="530" t="s">
        <v>3229</v>
      </c>
      <c r="AM308" s="659">
        <v>1</v>
      </c>
      <c r="AN308" s="638">
        <v>3.5000000000000003E-2</v>
      </c>
      <c r="AO308" s="625">
        <v>10.35</v>
      </c>
      <c r="AP308" s="688">
        <v>-7.0208205777387941E-2</v>
      </c>
      <c r="AQ308" s="606">
        <v>0.42298148726719215</v>
      </c>
      <c r="AR308" s="600">
        <v>0.27500000000000002</v>
      </c>
      <c r="AS308" s="548">
        <v>4.4628096057241162E-2</v>
      </c>
      <c r="AT308" s="548">
        <v>0.23786407766990281</v>
      </c>
      <c r="AU308" s="549">
        <v>10.403835677033044</v>
      </c>
      <c r="AV308" s="558">
        <v>3.5000000000000003E-2</v>
      </c>
      <c r="AW308" s="558">
        <v>6.2015833519857289E-3</v>
      </c>
      <c r="AX308" s="589">
        <v>4.8543689320388328E-3</v>
      </c>
      <c r="AY308" s="587">
        <v>5.6790183642784875E-2</v>
      </c>
      <c r="AZ308" s="676">
        <v>10.35</v>
      </c>
      <c r="BA308" s="581" t="s">
        <v>2585</v>
      </c>
      <c r="BB308" s="570" t="s">
        <v>2025</v>
      </c>
      <c r="BC308" s="581" t="s">
        <v>2895</v>
      </c>
      <c r="BD308" s="3691"/>
      <c r="BE308" s="3743"/>
      <c r="BF308" s="3743"/>
      <c r="BG308" s="3708"/>
      <c r="BH308" s="3762"/>
      <c r="BI308" s="3762"/>
      <c r="BJ308" s="39"/>
      <c r="BK308" s="39"/>
      <c r="BL308" s="39"/>
      <c r="BM308" s="39"/>
      <c r="BN308" s="39"/>
      <c r="BO308" s="39"/>
      <c r="BP308" s="39"/>
      <c r="BQ308" s="39"/>
      <c r="BR308" s="39"/>
      <c r="BS308" s="507"/>
      <c r="BT308" s="507"/>
      <c r="BU308" s="507"/>
      <c r="BV308" s="507"/>
      <c r="BW308" s="507"/>
      <c r="BX308" s="507"/>
      <c r="BY308" s="507"/>
      <c r="BZ308" s="507"/>
      <c r="CA308" s="507"/>
      <c r="CB308" s="507"/>
      <c r="CC308" s="507"/>
      <c r="CD308" s="507"/>
      <c r="CE308" s="507"/>
      <c r="CF308" s="507"/>
      <c r="CG308" s="507"/>
      <c r="CH308" s="507"/>
      <c r="CI308" s="507"/>
      <c r="CJ308" s="507"/>
      <c r="CK308" s="507"/>
      <c r="CL308" s="507"/>
      <c r="CM308" s="507"/>
      <c r="CN308" s="507"/>
      <c r="CO308" s="507"/>
      <c r="CP308" s="507"/>
      <c r="CQ308" s="507"/>
      <c r="CR308" s="507"/>
      <c r="CS308" s="507"/>
      <c r="CT308" s="507"/>
      <c r="CU308" s="507"/>
      <c r="CV308" s="507"/>
      <c r="CW308" s="507"/>
      <c r="CX308" s="507"/>
      <c r="CY308" s="507"/>
      <c r="CZ308" s="507"/>
      <c r="DA308" s="507"/>
      <c r="DB308" s="507"/>
      <c r="DC308" s="507"/>
      <c r="DD308" s="507"/>
      <c r="DE308" s="507"/>
      <c r="DF308" s="507"/>
      <c r="DG308" s="507"/>
      <c r="DH308" s="507"/>
      <c r="DI308" s="507"/>
      <c r="DJ308" s="507"/>
      <c r="DK308" s="507"/>
      <c r="DL308" s="507"/>
      <c r="DM308" s="507"/>
      <c r="DN308" s="507"/>
      <c r="DO308" s="507"/>
      <c r="DP308" s="507"/>
      <c r="DQ308" s="507"/>
      <c r="DR308" s="507"/>
      <c r="DS308" s="507"/>
      <c r="DT308" s="507"/>
      <c r="DU308" s="507"/>
      <c r="DV308" s="507"/>
      <c r="DW308" s="507"/>
      <c r="DX308" s="507"/>
      <c r="DY308" s="507"/>
      <c r="DZ308" s="507"/>
      <c r="EA308" s="507"/>
      <c r="EB308" s="507"/>
      <c r="EC308" s="507"/>
      <c r="ED308" s="507"/>
      <c r="EE308" s="507"/>
      <c r="EF308" s="507"/>
      <c r="EG308" s="507"/>
      <c r="EH308" s="507"/>
      <c r="EI308" s="507"/>
      <c r="EJ308" s="507"/>
      <c r="EK308" s="507"/>
      <c r="EL308" s="507"/>
      <c r="EM308" s="507"/>
      <c r="EN308" s="507"/>
      <c r="EO308" s="507"/>
      <c r="EP308" s="507"/>
      <c r="EQ308" s="507"/>
      <c r="ER308" s="507"/>
      <c r="ES308" s="507"/>
      <c r="ET308" s="507"/>
      <c r="EU308" s="507"/>
      <c r="EV308" s="507"/>
      <c r="EW308" s="507"/>
      <c r="EX308" s="507"/>
      <c r="EY308" s="507"/>
      <c r="EZ308" s="507"/>
      <c r="FA308" s="507"/>
      <c r="FB308" s="507"/>
      <c r="FC308" s="507"/>
      <c r="FD308" s="507"/>
      <c r="FE308" s="507"/>
      <c r="FF308" s="507"/>
      <c r="FG308" s="507"/>
      <c r="FH308" s="507"/>
      <c r="FI308" s="507"/>
      <c r="FJ308" s="507"/>
      <c r="FK308" s="507"/>
      <c r="FL308" s="507"/>
      <c r="FM308" s="507"/>
      <c r="FN308" s="507"/>
      <c r="FO308" s="507"/>
      <c r="FP308" s="507"/>
      <c r="FQ308" s="507"/>
      <c r="FR308" s="507"/>
      <c r="FS308" s="507"/>
      <c r="FT308" s="507"/>
      <c r="FU308" s="507"/>
      <c r="FV308" s="507"/>
      <c r="FW308" s="507"/>
      <c r="FX308" s="507"/>
      <c r="FY308" s="507"/>
      <c r="FZ308" s="507"/>
      <c r="GA308" s="507"/>
      <c r="GB308" s="507"/>
      <c r="GC308" s="507"/>
      <c r="GD308" s="507"/>
      <c r="GE308" s="507"/>
      <c r="GF308" s="507"/>
      <c r="GG308" s="507"/>
      <c r="GH308" s="507"/>
      <c r="GI308" s="507"/>
      <c r="GJ308" s="507"/>
      <c r="GK308" s="507"/>
      <c r="GL308" s="507"/>
      <c r="GM308" s="507"/>
      <c r="GN308" s="507"/>
      <c r="GO308" s="507"/>
      <c r="GP308" s="507"/>
      <c r="GQ308" s="507"/>
      <c r="GR308" s="507"/>
      <c r="GS308" s="507"/>
      <c r="GT308" s="507"/>
      <c r="GU308" s="507"/>
      <c r="GV308" s="507"/>
      <c r="GW308" s="507"/>
      <c r="GX308" s="507"/>
      <c r="GY308" s="507"/>
      <c r="GZ308" s="507"/>
      <c r="HA308" s="507"/>
      <c r="HB308" s="507"/>
      <c r="HC308" s="507"/>
      <c r="HD308" s="507"/>
      <c r="HE308" s="507"/>
      <c r="HF308" s="507"/>
      <c r="HG308" s="507"/>
      <c r="HH308" s="507"/>
      <c r="HI308" s="507"/>
      <c r="HJ308" s="507"/>
      <c r="HK308" s="507"/>
      <c r="HL308" s="507"/>
      <c r="HM308" s="507"/>
      <c r="HN308" s="507"/>
      <c r="HO308" s="507"/>
      <c r="HP308" s="507"/>
      <c r="HQ308" s="507"/>
      <c r="HR308" s="507"/>
      <c r="HS308" s="507"/>
      <c r="HT308" s="507"/>
      <c r="HU308" s="507"/>
      <c r="HV308" s="507"/>
      <c r="HW308" s="507"/>
      <c r="HX308" s="507"/>
      <c r="HY308" s="507"/>
      <c r="HZ308" s="507"/>
    </row>
    <row r="309" spans="1:234" s="206" customFormat="1" ht="13.5" hidden="1" customHeight="1" x14ac:dyDescent="0.25">
      <c r="A309" s="541" t="s">
        <v>1867</v>
      </c>
      <c r="B309" s="523" t="s">
        <v>4500</v>
      </c>
      <c r="C309" s="524" t="s">
        <v>1868</v>
      </c>
      <c r="D309" s="551" t="s">
        <v>1817</v>
      </c>
      <c r="E309" s="569" t="s">
        <v>3228</v>
      </c>
      <c r="F309" s="543">
        <v>40490</v>
      </c>
      <c r="G309" s="544">
        <v>40452</v>
      </c>
      <c r="H309" s="544">
        <v>40480</v>
      </c>
      <c r="I309" s="616">
        <v>42338</v>
      </c>
      <c r="J309" s="579">
        <v>10</v>
      </c>
      <c r="K309" s="553" t="s">
        <v>3229</v>
      </c>
      <c r="L309" s="552" t="s">
        <v>3229</v>
      </c>
      <c r="M309" s="560">
        <v>-1</v>
      </c>
      <c r="N309" s="606" t="s">
        <v>3229</v>
      </c>
      <c r="O309" s="613">
        <v>0.45</v>
      </c>
      <c r="P309" s="575" t="s">
        <v>3229</v>
      </c>
      <c r="Q309" s="575" t="s">
        <v>3229</v>
      </c>
      <c r="R309" s="575" t="s">
        <v>3229</v>
      </c>
      <c r="S309" s="570">
        <v>5</v>
      </c>
      <c r="T309" s="617">
        <v>40848</v>
      </c>
      <c r="U309" s="563">
        <v>41214</v>
      </c>
      <c r="V309" s="563">
        <v>41579</v>
      </c>
      <c r="W309" s="563">
        <v>41944</v>
      </c>
      <c r="X309" s="563">
        <v>42309</v>
      </c>
      <c r="Y309" s="598" t="s">
        <v>3229</v>
      </c>
      <c r="Z309" s="598" t="s">
        <v>3229</v>
      </c>
      <c r="AA309" s="598" t="s">
        <v>3229</v>
      </c>
      <c r="AB309" s="598" t="s">
        <v>3229</v>
      </c>
      <c r="AC309" s="598" t="s">
        <v>3229</v>
      </c>
      <c r="AD309" s="598" t="s">
        <v>3229</v>
      </c>
      <c r="AE309" s="598" t="s">
        <v>3229</v>
      </c>
      <c r="AF309" s="3764" t="s">
        <v>781</v>
      </c>
      <c r="AG309" s="3765"/>
      <c r="AH309" s="1301">
        <v>1</v>
      </c>
      <c r="AI309" s="1301" t="s">
        <v>3229</v>
      </c>
      <c r="AJ309" s="1301" t="s">
        <v>3229</v>
      </c>
      <c r="AK309" s="530" t="s">
        <v>3229</v>
      </c>
      <c r="AL309" s="530" t="s">
        <v>3229</v>
      </c>
      <c r="AM309" s="659" t="s">
        <v>3229</v>
      </c>
      <c r="AN309" s="638">
        <f>IF('klikací hodnoty'!F9135&lt;-50%,'klikací hodnoty'!F9135,IF('klikací hodnoty'!F9135&lt;0%,0%,'klikací hodnoty'!F9135))</f>
        <v>0.45</v>
      </c>
      <c r="AO309" s="625">
        <v>10</v>
      </c>
      <c r="AP309" s="688">
        <f t="shared" si="63"/>
        <v>1.3522127231632597E-2</v>
      </c>
      <c r="AQ309" s="606">
        <f>'klikací hodnoty'!H9134</f>
        <v>1.3522127231632597E-2</v>
      </c>
      <c r="AR309" s="600">
        <f t="shared" si="64"/>
        <v>0.45</v>
      </c>
      <c r="AS309" s="548">
        <f t="shared" si="65"/>
        <v>7.6147811562929046E-2</v>
      </c>
      <c r="AT309" s="548">
        <f t="shared" si="66"/>
        <v>0.44999999999999996</v>
      </c>
      <c r="AU309" s="549" t="e">
        <f t="shared" si="67"/>
        <v>#DIV/0!</v>
      </c>
      <c r="AV309" s="558">
        <f t="shared" si="59"/>
        <v>-1</v>
      </c>
      <c r="AW309" s="558">
        <f t="shared" si="56"/>
        <v>-1</v>
      </c>
      <c r="AX309" s="589">
        <f t="shared" si="57"/>
        <v>-1</v>
      </c>
      <c r="AY309" s="587" t="e">
        <f>POWER(1+AX309,1/AG309)-1</f>
        <v>#DIV/0!</v>
      </c>
      <c r="AZ309" s="676">
        <f t="shared" si="62"/>
        <v>0</v>
      </c>
      <c r="BA309" s="581" t="s">
        <v>3852</v>
      </c>
      <c r="BB309" s="570"/>
      <c r="BC309" s="581"/>
      <c r="BD309" s="3691"/>
      <c r="BE309" s="3743"/>
      <c r="BF309" s="3743"/>
      <c r="BG309" s="3708"/>
      <c r="BH309" s="3762"/>
      <c r="BI309" s="3762"/>
      <c r="BJ309" s="39"/>
      <c r="BK309" s="39"/>
      <c r="BL309" s="39"/>
      <c r="BM309" s="39"/>
      <c r="BN309" s="39"/>
      <c r="BO309" s="39"/>
      <c r="BP309" s="39"/>
      <c r="BQ309" s="39"/>
      <c r="BR309" s="39"/>
      <c r="BS309" s="507"/>
      <c r="BT309" s="507"/>
      <c r="BU309" s="507"/>
      <c r="BV309" s="507"/>
      <c r="BW309" s="507"/>
      <c r="BX309" s="507"/>
      <c r="BY309" s="507"/>
      <c r="BZ309" s="507"/>
      <c r="CA309" s="507"/>
      <c r="CB309" s="507"/>
      <c r="CC309" s="507"/>
      <c r="CD309" s="507"/>
      <c r="CE309" s="507"/>
      <c r="CF309" s="507"/>
      <c r="CG309" s="507"/>
      <c r="CH309" s="507"/>
      <c r="CI309" s="507"/>
      <c r="CJ309" s="507"/>
      <c r="CK309" s="507"/>
      <c r="CL309" s="507"/>
      <c r="CM309" s="507"/>
      <c r="CN309" s="507"/>
      <c r="CO309" s="507"/>
      <c r="CP309" s="507"/>
      <c r="CQ309" s="507"/>
      <c r="CR309" s="507"/>
      <c r="CS309" s="507"/>
      <c r="CT309" s="507"/>
      <c r="CU309" s="507"/>
      <c r="CV309" s="507"/>
      <c r="CW309" s="507"/>
      <c r="CX309" s="507"/>
      <c r="CY309" s="507"/>
      <c r="CZ309" s="507"/>
      <c r="DA309" s="507"/>
      <c r="DB309" s="507"/>
      <c r="DC309" s="507"/>
      <c r="DD309" s="507"/>
      <c r="DE309" s="507"/>
      <c r="DF309" s="507"/>
      <c r="DG309" s="507"/>
      <c r="DH309" s="507"/>
      <c r="DI309" s="507"/>
      <c r="DJ309" s="507"/>
      <c r="DK309" s="507"/>
      <c r="DL309" s="507"/>
      <c r="DM309" s="507"/>
      <c r="DN309" s="507"/>
      <c r="DO309" s="507"/>
      <c r="DP309" s="507"/>
      <c r="DQ309" s="507"/>
      <c r="DR309" s="507"/>
      <c r="DS309" s="507"/>
      <c r="DT309" s="507"/>
      <c r="DU309" s="507"/>
      <c r="DV309" s="507"/>
      <c r="DW309" s="507"/>
      <c r="DX309" s="507"/>
      <c r="DY309" s="507"/>
      <c r="DZ309" s="507"/>
      <c r="EA309" s="507"/>
      <c r="EB309" s="507"/>
      <c r="EC309" s="507"/>
      <c r="ED309" s="507"/>
      <c r="EE309" s="507"/>
      <c r="EF309" s="507"/>
      <c r="EG309" s="507"/>
      <c r="EH309" s="507"/>
      <c r="EI309" s="507"/>
      <c r="EJ309" s="507"/>
      <c r="EK309" s="507"/>
      <c r="EL309" s="507"/>
      <c r="EM309" s="507"/>
      <c r="EN309" s="507"/>
      <c r="EO309" s="507"/>
      <c r="EP309" s="507"/>
      <c r="EQ309" s="507"/>
      <c r="ER309" s="507"/>
      <c r="ES309" s="507"/>
      <c r="ET309" s="507"/>
      <c r="EU309" s="507"/>
      <c r="EV309" s="507"/>
      <c r="EW309" s="507"/>
      <c r="EX309" s="507"/>
      <c r="EY309" s="507"/>
      <c r="EZ309" s="507"/>
      <c r="FA309" s="507"/>
      <c r="FB309" s="507"/>
      <c r="FC309" s="507"/>
      <c r="FD309" s="507"/>
      <c r="FE309" s="507"/>
      <c r="FF309" s="507"/>
      <c r="FG309" s="507"/>
      <c r="FH309" s="507"/>
      <c r="FI309" s="507"/>
      <c r="FJ309" s="507"/>
      <c r="FK309" s="507"/>
      <c r="FL309" s="507"/>
      <c r="FM309" s="507"/>
      <c r="FN309" s="507"/>
      <c r="FO309" s="507"/>
      <c r="FP309" s="507"/>
      <c r="FQ309" s="507"/>
      <c r="FR309" s="507"/>
      <c r="FS309" s="507"/>
      <c r="FT309" s="507"/>
      <c r="FU309" s="507"/>
      <c r="FV309" s="507"/>
      <c r="FW309" s="507"/>
      <c r="FX309" s="507"/>
      <c r="FY309" s="507"/>
      <c r="FZ309" s="507"/>
      <c r="GA309" s="507"/>
      <c r="GB309" s="507"/>
      <c r="GC309" s="507"/>
      <c r="GD309" s="507"/>
      <c r="GE309" s="507"/>
      <c r="GF309" s="507"/>
      <c r="GG309" s="507"/>
      <c r="GH309" s="507"/>
      <c r="GI309" s="507"/>
      <c r="GJ309" s="507"/>
      <c r="GK309" s="507"/>
      <c r="GL309" s="507"/>
      <c r="GM309" s="507"/>
      <c r="GN309" s="507"/>
      <c r="GO309" s="507"/>
      <c r="GP309" s="507"/>
      <c r="GQ309" s="507"/>
      <c r="GR309" s="507"/>
      <c r="GS309" s="507"/>
      <c r="GT309" s="507"/>
      <c r="GU309" s="507"/>
      <c r="GV309" s="507"/>
      <c r="GW309" s="507"/>
      <c r="GX309" s="507"/>
      <c r="GY309" s="507"/>
      <c r="GZ309" s="507"/>
      <c r="HA309" s="507"/>
      <c r="HB309" s="507"/>
      <c r="HC309" s="507"/>
      <c r="HD309" s="507"/>
      <c r="HE309" s="507"/>
      <c r="HF309" s="507"/>
      <c r="HG309" s="507"/>
      <c r="HH309" s="507"/>
      <c r="HI309" s="507"/>
      <c r="HJ309" s="507"/>
      <c r="HK309" s="507"/>
      <c r="HL309" s="507"/>
      <c r="HM309" s="507"/>
      <c r="HN309" s="507"/>
      <c r="HO309" s="507"/>
      <c r="HP309" s="507"/>
      <c r="HQ309" s="507"/>
      <c r="HR309" s="507"/>
      <c r="HS309" s="507"/>
      <c r="HT309" s="507"/>
      <c r="HU309" s="507"/>
      <c r="HV309" s="507"/>
      <c r="HW309" s="507"/>
      <c r="HX309" s="507"/>
      <c r="HY309" s="507"/>
      <c r="HZ309" s="507"/>
    </row>
    <row r="310" spans="1:234" s="206" customFormat="1" ht="13.5" hidden="1" customHeight="1" x14ac:dyDescent="0.25">
      <c r="A310" s="541" t="s">
        <v>1870</v>
      </c>
      <c r="B310" s="523" t="s">
        <v>1869</v>
      </c>
      <c r="C310" s="524" t="s">
        <v>1871</v>
      </c>
      <c r="D310" s="551" t="s">
        <v>1872</v>
      </c>
      <c r="E310" s="569" t="s">
        <v>3228</v>
      </c>
      <c r="F310" s="543">
        <v>40519</v>
      </c>
      <c r="G310" s="544">
        <v>40469</v>
      </c>
      <c r="H310" s="544">
        <v>40512</v>
      </c>
      <c r="I310" s="616">
        <v>42551</v>
      </c>
      <c r="J310" s="579">
        <v>10</v>
      </c>
      <c r="K310" s="553" t="s">
        <v>3229</v>
      </c>
      <c r="L310" s="552" t="s">
        <v>3229</v>
      </c>
      <c r="M310" s="560">
        <v>-1</v>
      </c>
      <c r="N310" s="606" t="s">
        <v>3229</v>
      </c>
      <c r="O310" s="613">
        <v>0.8</v>
      </c>
      <c r="P310" s="575" t="s">
        <v>3229</v>
      </c>
      <c r="Q310" s="575" t="s">
        <v>3229</v>
      </c>
      <c r="R310" s="575" t="s">
        <v>3229</v>
      </c>
      <c r="S310" s="570"/>
      <c r="T310" s="617" t="s">
        <v>3229</v>
      </c>
      <c r="U310" s="563" t="s">
        <v>3229</v>
      </c>
      <c r="V310" s="563" t="s">
        <v>3229</v>
      </c>
      <c r="W310" s="563" t="s">
        <v>3229</v>
      </c>
      <c r="X310" s="563" t="s">
        <v>3229</v>
      </c>
      <c r="Y310" s="598" t="s">
        <v>3229</v>
      </c>
      <c r="Z310" s="598" t="s">
        <v>3229</v>
      </c>
      <c r="AA310" s="598" t="s">
        <v>3229</v>
      </c>
      <c r="AB310" s="598" t="s">
        <v>3229</v>
      </c>
      <c r="AC310" s="598" t="s">
        <v>3229</v>
      </c>
      <c r="AD310" s="598" t="s">
        <v>3229</v>
      </c>
      <c r="AE310" s="598" t="s">
        <v>3229</v>
      </c>
      <c r="AF310" s="3764" t="s">
        <v>781</v>
      </c>
      <c r="AG310" s="3765"/>
      <c r="AH310" s="1301" t="s">
        <v>3229</v>
      </c>
      <c r="AI310" s="1301" t="s">
        <v>3229</v>
      </c>
      <c r="AJ310" s="1301" t="s">
        <v>3229</v>
      </c>
      <c r="AK310" s="530" t="s">
        <v>3229</v>
      </c>
      <c r="AL310" s="530" t="s">
        <v>3229</v>
      </c>
      <c r="AM310" s="659">
        <v>1</v>
      </c>
      <c r="AN310" s="638">
        <v>0.30424087970770786</v>
      </c>
      <c r="AO310" s="625">
        <v>13.04</v>
      </c>
      <c r="AP310" s="688">
        <v>0.30424087970770786</v>
      </c>
      <c r="AQ310" s="606">
        <v>0.18529263229048332</v>
      </c>
      <c r="AR310" s="600">
        <v>0.8</v>
      </c>
      <c r="AS310" s="548">
        <v>0.11135696336815326</v>
      </c>
      <c r="AT310" s="548">
        <v>0.38674884437596302</v>
      </c>
      <c r="AU310" s="549">
        <v>13.182736552376923</v>
      </c>
      <c r="AV310" s="558">
        <v>-1</v>
      </c>
      <c r="AW310" s="558">
        <v>-1</v>
      </c>
      <c r="AX310" s="589">
        <v>-1</v>
      </c>
      <c r="AY310" s="587">
        <v>-1</v>
      </c>
      <c r="AZ310" s="676">
        <v>0</v>
      </c>
      <c r="BA310" s="581" t="s">
        <v>2939</v>
      </c>
      <c r="BB310" s="570"/>
      <c r="BC310" s="581"/>
      <c r="BD310" s="3691"/>
      <c r="BE310" s="3743"/>
      <c r="BF310" s="3743"/>
      <c r="BG310" s="3708"/>
      <c r="BH310" s="3762"/>
      <c r="BI310" s="3762"/>
      <c r="BJ310" s="39"/>
      <c r="BK310" s="39"/>
      <c r="BL310" s="39"/>
      <c r="BM310" s="39"/>
      <c r="BN310" s="39"/>
      <c r="BO310" s="39"/>
      <c r="BP310" s="39"/>
      <c r="BQ310" s="39"/>
      <c r="BR310" s="39"/>
      <c r="BS310" s="507"/>
      <c r="BT310" s="507"/>
      <c r="BU310" s="507"/>
      <c r="BV310" s="507"/>
      <c r="BW310" s="507"/>
      <c r="BX310" s="507"/>
      <c r="BY310" s="507"/>
      <c r="BZ310" s="507"/>
      <c r="CA310" s="507"/>
      <c r="CB310" s="507"/>
      <c r="CC310" s="507"/>
      <c r="CD310" s="507"/>
      <c r="CE310" s="507"/>
      <c r="CF310" s="507"/>
      <c r="CG310" s="507"/>
      <c r="CH310" s="507"/>
      <c r="CI310" s="507"/>
      <c r="CJ310" s="507"/>
      <c r="CK310" s="507"/>
      <c r="CL310" s="507"/>
      <c r="CM310" s="507"/>
      <c r="CN310" s="507"/>
      <c r="CO310" s="507"/>
      <c r="CP310" s="507"/>
      <c r="CQ310" s="507"/>
      <c r="CR310" s="507"/>
      <c r="CS310" s="507"/>
      <c r="CT310" s="507"/>
      <c r="CU310" s="507"/>
      <c r="CV310" s="507"/>
      <c r="CW310" s="507"/>
      <c r="CX310" s="507"/>
      <c r="CY310" s="507"/>
      <c r="CZ310" s="507"/>
      <c r="DA310" s="507"/>
      <c r="DB310" s="507"/>
      <c r="DC310" s="507"/>
      <c r="DD310" s="507"/>
      <c r="DE310" s="507"/>
      <c r="DF310" s="507"/>
      <c r="DG310" s="507"/>
      <c r="DH310" s="507"/>
      <c r="DI310" s="507"/>
      <c r="DJ310" s="507"/>
      <c r="DK310" s="507"/>
      <c r="DL310" s="507"/>
      <c r="DM310" s="507"/>
      <c r="DN310" s="507"/>
      <c r="DO310" s="507"/>
      <c r="DP310" s="507"/>
      <c r="DQ310" s="507"/>
      <c r="DR310" s="507"/>
      <c r="DS310" s="507"/>
      <c r="DT310" s="507"/>
      <c r="DU310" s="507"/>
      <c r="DV310" s="507"/>
      <c r="DW310" s="507"/>
      <c r="DX310" s="507"/>
      <c r="DY310" s="507"/>
      <c r="DZ310" s="507"/>
      <c r="EA310" s="507"/>
      <c r="EB310" s="507"/>
      <c r="EC310" s="507"/>
      <c r="ED310" s="507"/>
      <c r="EE310" s="507"/>
      <c r="EF310" s="507"/>
      <c r="EG310" s="507"/>
      <c r="EH310" s="507"/>
      <c r="EI310" s="507"/>
      <c r="EJ310" s="507"/>
      <c r="EK310" s="507"/>
      <c r="EL310" s="507"/>
      <c r="EM310" s="507"/>
      <c r="EN310" s="507"/>
      <c r="EO310" s="507"/>
      <c r="EP310" s="507"/>
      <c r="EQ310" s="507"/>
      <c r="ER310" s="507"/>
      <c r="ES310" s="507"/>
      <c r="ET310" s="507"/>
      <c r="EU310" s="507"/>
      <c r="EV310" s="507"/>
      <c r="EW310" s="507"/>
      <c r="EX310" s="507"/>
      <c r="EY310" s="507"/>
      <c r="EZ310" s="507"/>
      <c r="FA310" s="507"/>
      <c r="FB310" s="507"/>
      <c r="FC310" s="507"/>
      <c r="FD310" s="507"/>
      <c r="FE310" s="507"/>
      <c r="FF310" s="507"/>
      <c r="FG310" s="507"/>
      <c r="FH310" s="507"/>
      <c r="FI310" s="507"/>
      <c r="FJ310" s="507"/>
      <c r="FK310" s="507"/>
      <c r="FL310" s="507"/>
      <c r="FM310" s="507"/>
      <c r="FN310" s="507"/>
      <c r="FO310" s="507"/>
      <c r="FP310" s="507"/>
      <c r="FQ310" s="507"/>
      <c r="FR310" s="507"/>
      <c r="FS310" s="507"/>
      <c r="FT310" s="507"/>
      <c r="FU310" s="507"/>
      <c r="FV310" s="507"/>
      <c r="FW310" s="507"/>
      <c r="FX310" s="507"/>
      <c r="FY310" s="507"/>
      <c r="FZ310" s="507"/>
      <c r="GA310" s="507"/>
      <c r="GB310" s="507"/>
      <c r="GC310" s="507"/>
      <c r="GD310" s="507"/>
      <c r="GE310" s="507"/>
      <c r="GF310" s="507"/>
      <c r="GG310" s="507"/>
      <c r="GH310" s="507"/>
      <c r="GI310" s="507"/>
      <c r="GJ310" s="507"/>
      <c r="GK310" s="507"/>
      <c r="GL310" s="507"/>
      <c r="GM310" s="507"/>
      <c r="GN310" s="507"/>
      <c r="GO310" s="507"/>
      <c r="GP310" s="507"/>
      <c r="GQ310" s="507"/>
      <c r="GR310" s="507"/>
      <c r="GS310" s="507"/>
      <c r="GT310" s="507"/>
      <c r="GU310" s="507"/>
      <c r="GV310" s="507"/>
      <c r="GW310" s="507"/>
      <c r="GX310" s="507"/>
      <c r="GY310" s="507"/>
      <c r="GZ310" s="507"/>
      <c r="HA310" s="507"/>
      <c r="HB310" s="507"/>
      <c r="HC310" s="507"/>
      <c r="HD310" s="507"/>
      <c r="HE310" s="507"/>
      <c r="HF310" s="507"/>
      <c r="HG310" s="507"/>
      <c r="HH310" s="507"/>
      <c r="HI310" s="507"/>
      <c r="HJ310" s="507"/>
      <c r="HK310" s="507"/>
      <c r="HL310" s="507"/>
      <c r="HM310" s="507"/>
      <c r="HN310" s="507"/>
      <c r="HO310" s="507"/>
      <c r="HP310" s="507"/>
      <c r="HQ310" s="507"/>
      <c r="HR310" s="507"/>
      <c r="HS310" s="507"/>
      <c r="HT310" s="507"/>
      <c r="HU310" s="507"/>
      <c r="HV310" s="507"/>
      <c r="HW310" s="507"/>
      <c r="HX310" s="507"/>
      <c r="HY310" s="507"/>
      <c r="HZ310" s="507"/>
    </row>
    <row r="311" spans="1:234" s="206" customFormat="1" ht="13.5" hidden="1" customHeight="1" x14ac:dyDescent="0.25">
      <c r="A311" s="541" t="s">
        <v>1874</v>
      </c>
      <c r="B311" s="523" t="s">
        <v>1873</v>
      </c>
      <c r="C311" s="524" t="s">
        <v>1875</v>
      </c>
      <c r="D311" s="551" t="s">
        <v>1859</v>
      </c>
      <c r="E311" s="569" t="s">
        <v>3228</v>
      </c>
      <c r="F311" s="543">
        <v>40550</v>
      </c>
      <c r="G311" s="544">
        <v>40483</v>
      </c>
      <c r="H311" s="544">
        <v>40543</v>
      </c>
      <c r="I311" s="616">
        <v>42580</v>
      </c>
      <c r="J311" s="579">
        <v>10</v>
      </c>
      <c r="K311" s="553">
        <v>0</v>
      </c>
      <c r="L311" s="552">
        <v>0.06</v>
      </c>
      <c r="M311" s="560">
        <v>3.5000000000000003E-2</v>
      </c>
      <c r="N311" s="606" t="s">
        <v>3229</v>
      </c>
      <c r="O311" s="613">
        <v>0.27500000000000002</v>
      </c>
      <c r="P311" s="575" t="s">
        <v>3229</v>
      </c>
      <c r="Q311" s="575">
        <v>3.5000000000000003E-2</v>
      </c>
      <c r="R311" s="575" t="s">
        <v>3229</v>
      </c>
      <c r="S311" s="570">
        <v>5</v>
      </c>
      <c r="T311" s="617">
        <v>40878</v>
      </c>
      <c r="U311" s="563">
        <v>41244</v>
      </c>
      <c r="V311" s="563">
        <v>41609</v>
      </c>
      <c r="W311" s="563">
        <v>41974</v>
      </c>
      <c r="X311" s="563">
        <v>42522</v>
      </c>
      <c r="Y311" s="598" t="s">
        <v>3229</v>
      </c>
      <c r="Z311" s="598" t="s">
        <v>3229</v>
      </c>
      <c r="AA311" s="598" t="s">
        <v>3229</v>
      </c>
      <c r="AB311" s="598" t="s">
        <v>3229</v>
      </c>
      <c r="AC311" s="598" t="s">
        <v>3229</v>
      </c>
      <c r="AD311" s="598" t="s">
        <v>3229</v>
      </c>
      <c r="AE311" s="598" t="s">
        <v>3229</v>
      </c>
      <c r="AF311" s="3764" t="s">
        <v>781</v>
      </c>
      <c r="AG311" s="3765"/>
      <c r="AH311" s="1301" t="s">
        <v>3229</v>
      </c>
      <c r="AI311" s="1301" t="s">
        <v>3229</v>
      </c>
      <c r="AJ311" s="1301" t="s">
        <v>3229</v>
      </c>
      <c r="AK311" s="530" t="s">
        <v>3229</v>
      </c>
      <c r="AL311" s="530" t="s">
        <v>3229</v>
      </c>
      <c r="AM311" s="659">
        <v>1</v>
      </c>
      <c r="AN311" s="638">
        <f>'klikací hodnoty'!F9670</f>
        <v>3.5000000000000003E-2</v>
      </c>
      <c r="AO311" s="625">
        <v>10.35</v>
      </c>
      <c r="AP311" s="1368">
        <f>'klikací hodnoty'!F9662</f>
        <v>-1.6846859622754767E-2</v>
      </c>
      <c r="AQ311" s="606">
        <f>'klikací hodnoty'!E9662</f>
        <v>0.51831384928152779</v>
      </c>
      <c r="AR311" s="3764">
        <f t="shared" si="64"/>
        <v>0.27500000000000002</v>
      </c>
      <c r="AS311" s="3771">
        <f t="shared" si="65"/>
        <v>4.4650564002036708E-2</v>
      </c>
      <c r="AT311" s="3771">
        <f t="shared" si="66"/>
        <v>0.23188405797101463</v>
      </c>
      <c r="AU311" s="3772" t="e">
        <f t="shared" si="67"/>
        <v>#DIV/0!</v>
      </c>
      <c r="AV311" s="558">
        <f t="shared" si="59"/>
        <v>3.5000000000000003E-2</v>
      </c>
      <c r="AW311" s="558">
        <f t="shared" si="56"/>
        <v>6.2046477771156017E-3</v>
      </c>
      <c r="AX311" s="589">
        <f t="shared" si="57"/>
        <v>0</v>
      </c>
      <c r="AY311" s="587" t="e">
        <f t="shared" si="58"/>
        <v>#DIV/0!</v>
      </c>
      <c r="AZ311" s="676">
        <f t="shared" si="62"/>
        <v>10.35</v>
      </c>
      <c r="BA311" s="581" t="s">
        <v>2585</v>
      </c>
      <c r="BB311" s="570" t="s">
        <v>2025</v>
      </c>
      <c r="BC311" s="581" t="s">
        <v>2895</v>
      </c>
      <c r="BD311" s="3691"/>
      <c r="BE311" s="3743"/>
      <c r="BF311" s="3743"/>
      <c r="BG311" s="3708"/>
      <c r="BH311" s="3762"/>
      <c r="BI311" s="3762"/>
      <c r="BJ311" s="39"/>
      <c r="BK311" s="39"/>
      <c r="BL311" s="39"/>
      <c r="BM311" s="39"/>
      <c r="BN311" s="39"/>
      <c r="BO311" s="39"/>
      <c r="BP311" s="39"/>
      <c r="BQ311" s="39"/>
      <c r="BR311" s="39"/>
      <c r="BS311" s="507"/>
      <c r="BT311" s="507"/>
      <c r="BU311" s="507"/>
      <c r="BV311" s="507"/>
      <c r="BW311" s="507"/>
      <c r="BX311" s="507"/>
      <c r="BY311" s="507"/>
      <c r="BZ311" s="507"/>
      <c r="CA311" s="507"/>
      <c r="CB311" s="507"/>
      <c r="CC311" s="507"/>
      <c r="CD311" s="507"/>
      <c r="CE311" s="507"/>
      <c r="CF311" s="507"/>
      <c r="CG311" s="507"/>
      <c r="CH311" s="507"/>
      <c r="CI311" s="507"/>
      <c r="CJ311" s="507"/>
      <c r="CK311" s="507"/>
      <c r="CL311" s="507"/>
      <c r="CM311" s="507"/>
      <c r="CN311" s="507"/>
      <c r="CO311" s="507"/>
      <c r="CP311" s="507"/>
      <c r="CQ311" s="507"/>
      <c r="CR311" s="507"/>
      <c r="CS311" s="507"/>
      <c r="CT311" s="507"/>
      <c r="CU311" s="507"/>
      <c r="CV311" s="507"/>
      <c r="CW311" s="507"/>
      <c r="CX311" s="507"/>
      <c r="CY311" s="507"/>
      <c r="CZ311" s="507"/>
      <c r="DA311" s="507"/>
      <c r="DB311" s="507"/>
      <c r="DC311" s="507"/>
      <c r="DD311" s="507"/>
      <c r="DE311" s="507"/>
      <c r="DF311" s="507"/>
      <c r="DG311" s="507"/>
      <c r="DH311" s="507"/>
      <c r="DI311" s="507"/>
      <c r="DJ311" s="507"/>
      <c r="DK311" s="507"/>
      <c r="DL311" s="507"/>
      <c r="DM311" s="507"/>
      <c r="DN311" s="507"/>
      <c r="DO311" s="507"/>
      <c r="DP311" s="507"/>
      <c r="DQ311" s="507"/>
      <c r="DR311" s="507"/>
      <c r="DS311" s="507"/>
      <c r="DT311" s="507"/>
      <c r="DU311" s="507"/>
      <c r="DV311" s="507"/>
      <c r="DW311" s="507"/>
      <c r="DX311" s="507"/>
      <c r="DY311" s="507"/>
      <c r="DZ311" s="507"/>
      <c r="EA311" s="507"/>
      <c r="EB311" s="507"/>
      <c r="EC311" s="507"/>
      <c r="ED311" s="507"/>
      <c r="EE311" s="507"/>
      <c r="EF311" s="507"/>
      <c r="EG311" s="507"/>
      <c r="EH311" s="507"/>
      <c r="EI311" s="507"/>
      <c r="EJ311" s="507"/>
      <c r="EK311" s="507"/>
      <c r="EL311" s="507"/>
      <c r="EM311" s="507"/>
      <c r="EN311" s="507"/>
      <c r="EO311" s="507"/>
      <c r="EP311" s="507"/>
      <c r="EQ311" s="507"/>
      <c r="ER311" s="507"/>
      <c r="ES311" s="507"/>
      <c r="ET311" s="507"/>
      <c r="EU311" s="507"/>
      <c r="EV311" s="507"/>
      <c r="EW311" s="507"/>
      <c r="EX311" s="507"/>
      <c r="EY311" s="507"/>
      <c r="EZ311" s="507"/>
      <c r="FA311" s="507"/>
      <c r="FB311" s="507"/>
      <c r="FC311" s="507"/>
      <c r="FD311" s="507"/>
      <c r="FE311" s="507"/>
      <c r="FF311" s="507"/>
      <c r="FG311" s="507"/>
      <c r="FH311" s="507"/>
      <c r="FI311" s="507"/>
      <c r="FJ311" s="507"/>
      <c r="FK311" s="507"/>
      <c r="FL311" s="507"/>
      <c r="FM311" s="507"/>
      <c r="FN311" s="507"/>
      <c r="FO311" s="507"/>
      <c r="FP311" s="507"/>
      <c r="FQ311" s="507"/>
      <c r="FR311" s="507"/>
      <c r="FS311" s="507"/>
      <c r="FT311" s="507"/>
      <c r="FU311" s="507"/>
      <c r="FV311" s="507"/>
      <c r="FW311" s="507"/>
      <c r="FX311" s="507"/>
      <c r="FY311" s="507"/>
      <c r="FZ311" s="507"/>
      <c r="GA311" s="507"/>
      <c r="GB311" s="507"/>
      <c r="GC311" s="507"/>
      <c r="GD311" s="507"/>
      <c r="GE311" s="507"/>
      <c r="GF311" s="507"/>
      <c r="GG311" s="507"/>
      <c r="GH311" s="507"/>
      <c r="GI311" s="507"/>
      <c r="GJ311" s="507"/>
      <c r="GK311" s="507"/>
      <c r="GL311" s="507"/>
      <c r="GM311" s="507"/>
      <c r="GN311" s="507"/>
      <c r="GO311" s="507"/>
      <c r="GP311" s="507"/>
      <c r="GQ311" s="507"/>
      <c r="GR311" s="507"/>
      <c r="GS311" s="507"/>
      <c r="GT311" s="507"/>
      <c r="GU311" s="507"/>
      <c r="GV311" s="507"/>
      <c r="GW311" s="507"/>
      <c r="GX311" s="507"/>
      <c r="GY311" s="507"/>
      <c r="GZ311" s="507"/>
      <c r="HA311" s="507"/>
      <c r="HB311" s="507"/>
      <c r="HC311" s="507"/>
      <c r="HD311" s="507"/>
      <c r="HE311" s="507"/>
      <c r="HF311" s="507"/>
      <c r="HG311" s="507"/>
      <c r="HH311" s="507"/>
      <c r="HI311" s="507"/>
      <c r="HJ311" s="507"/>
      <c r="HK311" s="507"/>
      <c r="HL311" s="507"/>
      <c r="HM311" s="507"/>
      <c r="HN311" s="507"/>
      <c r="HO311" s="507"/>
      <c r="HP311" s="507"/>
      <c r="HQ311" s="507"/>
      <c r="HR311" s="507"/>
      <c r="HS311" s="507"/>
      <c r="HT311" s="507"/>
      <c r="HU311" s="507"/>
      <c r="HV311" s="507"/>
      <c r="HW311" s="507"/>
      <c r="HX311" s="507"/>
      <c r="HY311" s="507"/>
      <c r="HZ311" s="507"/>
    </row>
    <row r="312" spans="1:234" s="206" customFormat="1" ht="13.5" hidden="1" customHeight="1" x14ac:dyDescent="0.25">
      <c r="A312" s="541" t="s">
        <v>1877</v>
      </c>
      <c r="B312" s="523" t="s">
        <v>1876</v>
      </c>
      <c r="C312" s="524" t="s">
        <v>1878</v>
      </c>
      <c r="D312" s="551" t="s">
        <v>189</v>
      </c>
      <c r="E312" s="569" t="s">
        <v>3228</v>
      </c>
      <c r="F312" s="543">
        <v>40550</v>
      </c>
      <c r="G312" s="544">
        <v>40483</v>
      </c>
      <c r="H312" s="544">
        <v>40543</v>
      </c>
      <c r="I312" s="616">
        <v>41670</v>
      </c>
      <c r="J312" s="579">
        <v>10</v>
      </c>
      <c r="K312" s="553" t="s">
        <v>3229</v>
      </c>
      <c r="L312" s="552" t="s">
        <v>3229</v>
      </c>
      <c r="M312" s="560">
        <v>-1</v>
      </c>
      <c r="N312" s="606" t="s">
        <v>3229</v>
      </c>
      <c r="O312" s="613">
        <v>0.55000000000000004</v>
      </c>
      <c r="P312" s="575" t="s">
        <v>3229</v>
      </c>
      <c r="Q312" s="575" t="s">
        <v>3229</v>
      </c>
      <c r="R312" s="575" t="s">
        <v>3229</v>
      </c>
      <c r="S312" s="570">
        <v>5</v>
      </c>
      <c r="T312" s="563">
        <v>40909</v>
      </c>
      <c r="U312" s="563">
        <v>41275</v>
      </c>
      <c r="V312" s="563">
        <v>41640</v>
      </c>
      <c r="W312" s="563">
        <v>42005</v>
      </c>
      <c r="X312" s="563">
        <v>42370</v>
      </c>
      <c r="Y312" s="598" t="s">
        <v>3229</v>
      </c>
      <c r="Z312" s="598" t="s">
        <v>3229</v>
      </c>
      <c r="AA312" s="598" t="s">
        <v>3229</v>
      </c>
      <c r="AB312" s="598" t="s">
        <v>3229</v>
      </c>
      <c r="AC312" s="598" t="s">
        <v>3229</v>
      </c>
      <c r="AD312" s="598" t="s">
        <v>3229</v>
      </c>
      <c r="AE312" s="598" t="s">
        <v>3229</v>
      </c>
      <c r="AF312" s="3764" t="s">
        <v>781</v>
      </c>
      <c r="AG312" s="3765"/>
      <c r="AH312" s="1301">
        <v>1</v>
      </c>
      <c r="AI312" s="1301" t="s">
        <v>3229</v>
      </c>
      <c r="AJ312" s="1301" t="s">
        <v>3229</v>
      </c>
      <c r="AK312" s="530" t="s">
        <v>3229</v>
      </c>
      <c r="AL312" s="530" t="s">
        <v>3229</v>
      </c>
      <c r="AM312" s="659" t="s">
        <v>3229</v>
      </c>
      <c r="AN312" s="638">
        <f>IF('klikací hodnoty'!F9362&lt;-50%,'klikací hodnoty'!F9362,IF('klikací hodnoty'!F9362&lt;0%,0%,'klikací hodnoty'!F9362))</f>
        <v>0.33</v>
      </c>
      <c r="AO312" s="625">
        <v>14.64</v>
      </c>
      <c r="AP312" s="1368">
        <f t="shared" si="63"/>
        <v>9.7775072278725395E-2</v>
      </c>
      <c r="AQ312" s="606">
        <f>'klikací hodnoty'!H9361</f>
        <v>9.7775072278725395E-2</v>
      </c>
      <c r="AR312" s="600">
        <v>0.33</v>
      </c>
      <c r="AS312" s="548">
        <f t="shared" si="65"/>
        <v>9.7393453632109939E-2</v>
      </c>
      <c r="AT312" s="548">
        <f t="shared" si="66"/>
        <v>-9.1530054644808678E-2</v>
      </c>
      <c r="AU312" s="549" t="e">
        <f t="shared" si="67"/>
        <v>#DIV/0!</v>
      </c>
      <c r="AV312" s="558">
        <f t="shared" si="59"/>
        <v>-1</v>
      </c>
      <c r="AW312" s="558">
        <f t="shared" si="56"/>
        <v>-1</v>
      </c>
      <c r="AX312" s="589">
        <f t="shared" si="57"/>
        <v>-1</v>
      </c>
      <c r="AY312" s="587" t="e">
        <f t="shared" si="58"/>
        <v>#DIV/0!</v>
      </c>
      <c r="AZ312" s="676">
        <f t="shared" si="62"/>
        <v>0</v>
      </c>
      <c r="BA312" s="581" t="s">
        <v>3852</v>
      </c>
      <c r="BB312" s="570"/>
      <c r="BC312" s="581"/>
      <c r="BD312" s="3691"/>
      <c r="BE312" s="3743"/>
      <c r="BF312" s="3743"/>
      <c r="BG312" s="3708"/>
      <c r="BH312" s="3762"/>
      <c r="BI312" s="3762"/>
      <c r="BJ312" s="39"/>
      <c r="BK312" s="39"/>
      <c r="BL312" s="39"/>
      <c r="BM312" s="39"/>
      <c r="BN312" s="39"/>
      <c r="BO312" s="39"/>
      <c r="BP312" s="39"/>
      <c r="BQ312" s="39"/>
      <c r="BR312" s="39"/>
      <c r="BS312" s="507"/>
      <c r="BT312" s="507"/>
      <c r="BU312" s="507"/>
      <c r="BV312" s="507"/>
      <c r="BW312" s="507"/>
      <c r="BX312" s="507"/>
      <c r="BY312" s="507"/>
      <c r="BZ312" s="507"/>
      <c r="CA312" s="507"/>
      <c r="CB312" s="507"/>
      <c r="CC312" s="507"/>
      <c r="CD312" s="507"/>
      <c r="CE312" s="507"/>
      <c r="CF312" s="507"/>
      <c r="CG312" s="507"/>
      <c r="CH312" s="507"/>
      <c r="CI312" s="507"/>
      <c r="CJ312" s="507"/>
      <c r="CK312" s="507"/>
      <c r="CL312" s="507"/>
      <c r="CM312" s="507"/>
      <c r="CN312" s="507"/>
      <c r="CO312" s="507"/>
      <c r="CP312" s="507"/>
      <c r="CQ312" s="507"/>
      <c r="CR312" s="507"/>
      <c r="CS312" s="507"/>
      <c r="CT312" s="507"/>
      <c r="CU312" s="507"/>
      <c r="CV312" s="507"/>
      <c r="CW312" s="507"/>
      <c r="CX312" s="507"/>
      <c r="CY312" s="507"/>
      <c r="CZ312" s="507"/>
      <c r="DA312" s="507"/>
      <c r="DB312" s="507"/>
      <c r="DC312" s="507"/>
      <c r="DD312" s="507"/>
      <c r="DE312" s="507"/>
      <c r="DF312" s="507"/>
      <c r="DG312" s="507"/>
      <c r="DH312" s="507"/>
      <c r="DI312" s="507"/>
      <c r="DJ312" s="507"/>
      <c r="DK312" s="507"/>
      <c r="DL312" s="507"/>
      <c r="DM312" s="507"/>
      <c r="DN312" s="507"/>
      <c r="DO312" s="507"/>
      <c r="DP312" s="507"/>
      <c r="DQ312" s="507"/>
      <c r="DR312" s="507"/>
      <c r="DS312" s="507"/>
      <c r="DT312" s="507"/>
      <c r="DU312" s="507"/>
      <c r="DV312" s="507"/>
      <c r="DW312" s="507"/>
      <c r="DX312" s="507"/>
      <c r="DY312" s="507"/>
      <c r="DZ312" s="507"/>
      <c r="EA312" s="507"/>
      <c r="EB312" s="507"/>
      <c r="EC312" s="507"/>
      <c r="ED312" s="507"/>
      <c r="EE312" s="507"/>
      <c r="EF312" s="507"/>
      <c r="EG312" s="507"/>
      <c r="EH312" s="507"/>
      <c r="EI312" s="507"/>
      <c r="EJ312" s="507"/>
      <c r="EK312" s="507"/>
      <c r="EL312" s="507"/>
      <c r="EM312" s="507"/>
      <c r="EN312" s="507"/>
      <c r="EO312" s="507"/>
      <c r="EP312" s="507"/>
      <c r="EQ312" s="507"/>
      <c r="ER312" s="507"/>
      <c r="ES312" s="507"/>
      <c r="ET312" s="507"/>
      <c r="EU312" s="507"/>
      <c r="EV312" s="507"/>
      <c r="EW312" s="507"/>
      <c r="EX312" s="507"/>
      <c r="EY312" s="507"/>
      <c r="EZ312" s="507"/>
      <c r="FA312" s="507"/>
      <c r="FB312" s="507"/>
      <c r="FC312" s="507"/>
      <c r="FD312" s="507"/>
      <c r="FE312" s="507"/>
      <c r="FF312" s="507"/>
      <c r="FG312" s="507"/>
      <c r="FH312" s="507"/>
      <c r="FI312" s="507"/>
      <c r="FJ312" s="507"/>
      <c r="FK312" s="507"/>
      <c r="FL312" s="507"/>
      <c r="FM312" s="507"/>
      <c r="FN312" s="507"/>
      <c r="FO312" s="507"/>
      <c r="FP312" s="507"/>
      <c r="FQ312" s="507"/>
      <c r="FR312" s="507"/>
      <c r="FS312" s="507"/>
      <c r="FT312" s="507"/>
      <c r="FU312" s="507"/>
      <c r="FV312" s="507"/>
      <c r="FW312" s="507"/>
      <c r="FX312" s="507"/>
      <c r="FY312" s="507"/>
      <c r="FZ312" s="507"/>
      <c r="GA312" s="507"/>
      <c r="GB312" s="507"/>
      <c r="GC312" s="507"/>
      <c r="GD312" s="507"/>
      <c r="GE312" s="507"/>
      <c r="GF312" s="507"/>
      <c r="GG312" s="507"/>
      <c r="GH312" s="507"/>
      <c r="GI312" s="507"/>
      <c r="GJ312" s="507"/>
      <c r="GK312" s="507"/>
      <c r="GL312" s="507"/>
      <c r="GM312" s="507"/>
      <c r="GN312" s="507"/>
      <c r="GO312" s="507"/>
      <c r="GP312" s="507"/>
      <c r="GQ312" s="507"/>
      <c r="GR312" s="507"/>
      <c r="GS312" s="507"/>
      <c r="GT312" s="507"/>
      <c r="GU312" s="507"/>
      <c r="GV312" s="507"/>
      <c r="GW312" s="507"/>
      <c r="GX312" s="507"/>
      <c r="GY312" s="507"/>
      <c r="GZ312" s="507"/>
      <c r="HA312" s="507"/>
      <c r="HB312" s="507"/>
      <c r="HC312" s="507"/>
      <c r="HD312" s="507"/>
      <c r="HE312" s="507"/>
      <c r="HF312" s="507"/>
      <c r="HG312" s="507"/>
      <c r="HH312" s="507"/>
      <c r="HI312" s="507"/>
      <c r="HJ312" s="507"/>
      <c r="HK312" s="507"/>
      <c r="HL312" s="507"/>
      <c r="HM312" s="507"/>
      <c r="HN312" s="507"/>
      <c r="HO312" s="507"/>
      <c r="HP312" s="507"/>
      <c r="HQ312" s="507"/>
      <c r="HR312" s="507"/>
      <c r="HS312" s="507"/>
      <c r="HT312" s="507"/>
      <c r="HU312" s="507"/>
      <c r="HV312" s="507"/>
      <c r="HW312" s="507"/>
      <c r="HX312" s="507"/>
      <c r="HY312" s="507"/>
      <c r="HZ312" s="507"/>
    </row>
    <row r="313" spans="1:234" s="206" customFormat="1" ht="13.5" hidden="1" customHeight="1" x14ac:dyDescent="0.25">
      <c r="A313" s="541" t="s">
        <v>4314</v>
      </c>
      <c r="B313" s="523" t="s">
        <v>4315</v>
      </c>
      <c r="C313" s="524" t="s">
        <v>4316</v>
      </c>
      <c r="D313" s="551" t="s">
        <v>4165</v>
      </c>
      <c r="E313" s="569" t="s">
        <v>3228</v>
      </c>
      <c r="F313" s="543">
        <v>40542</v>
      </c>
      <c r="G313" s="544">
        <v>40497</v>
      </c>
      <c r="H313" s="544">
        <v>40529</v>
      </c>
      <c r="I313" s="616">
        <v>42398</v>
      </c>
      <c r="J313" s="579">
        <v>100</v>
      </c>
      <c r="K313" s="553" t="s">
        <v>3229</v>
      </c>
      <c r="L313" s="552" t="s">
        <v>3229</v>
      </c>
      <c r="M313" s="560">
        <v>0.18</v>
      </c>
      <c r="N313" s="606" t="s">
        <v>3229</v>
      </c>
      <c r="O313" s="613">
        <v>0.18</v>
      </c>
      <c r="P313" s="575" t="s">
        <v>3229</v>
      </c>
      <c r="Q313" s="575" t="s">
        <v>3229</v>
      </c>
      <c r="R313" s="575" t="s">
        <v>3229</v>
      </c>
      <c r="S313" s="570"/>
      <c r="T313" s="563" t="s">
        <v>3229</v>
      </c>
      <c r="U313" s="563" t="s">
        <v>3229</v>
      </c>
      <c r="V313" s="563" t="s">
        <v>3229</v>
      </c>
      <c r="W313" s="563" t="s">
        <v>3229</v>
      </c>
      <c r="X313" s="563" t="s">
        <v>3229</v>
      </c>
      <c r="Y313" s="598" t="s">
        <v>3229</v>
      </c>
      <c r="Z313" s="598" t="s">
        <v>3229</v>
      </c>
      <c r="AA313" s="598" t="s">
        <v>3229</v>
      </c>
      <c r="AB313" s="598" t="s">
        <v>3229</v>
      </c>
      <c r="AC313" s="598" t="s">
        <v>3229</v>
      </c>
      <c r="AD313" s="598" t="s">
        <v>3229</v>
      </c>
      <c r="AE313" s="598" t="s">
        <v>3229</v>
      </c>
      <c r="AF313" s="3764" t="s">
        <v>781</v>
      </c>
      <c r="AG313" s="3765"/>
      <c r="AH313" s="1301" t="s">
        <v>3229</v>
      </c>
      <c r="AI313" s="1301" t="s">
        <v>3229</v>
      </c>
      <c r="AJ313" s="1301" t="s">
        <v>3229</v>
      </c>
      <c r="AK313" s="530" t="s">
        <v>3229</v>
      </c>
      <c r="AL313" s="530" t="s">
        <v>3229</v>
      </c>
      <c r="AM313" s="659">
        <v>1</v>
      </c>
      <c r="AN313" s="638" t="s">
        <v>3229</v>
      </c>
      <c r="AO313" s="625">
        <v>119.01</v>
      </c>
      <c r="AP313" s="1368" t="s">
        <v>3229</v>
      </c>
      <c r="AQ313" s="606" t="s">
        <v>3229</v>
      </c>
      <c r="AR313" s="600">
        <f t="shared" si="64"/>
        <v>0.18</v>
      </c>
      <c r="AS313" s="548">
        <f t="shared" si="65"/>
        <v>3.308552945602905E-2</v>
      </c>
      <c r="AT313" s="548">
        <f t="shared" si="66"/>
        <v>-8.4866817914461823E-3</v>
      </c>
      <c r="AU313" s="549" t="e">
        <f t="shared" si="67"/>
        <v>#DIV/0!</v>
      </c>
      <c r="AV313" s="558">
        <f t="shared" si="59"/>
        <v>0.18</v>
      </c>
      <c r="AW313" s="558">
        <f t="shared" si="56"/>
        <v>3.308552945602905E-2</v>
      </c>
      <c r="AX313" s="589">
        <f t="shared" si="57"/>
        <v>-8.4866817914461823E-3</v>
      </c>
      <c r="AY313" s="587" t="e">
        <f t="shared" si="58"/>
        <v>#DIV/0!</v>
      </c>
      <c r="AZ313" s="676">
        <f t="shared" si="62"/>
        <v>118</v>
      </c>
      <c r="BA313" s="581" t="s">
        <v>4484</v>
      </c>
      <c r="BB313" s="570"/>
      <c r="BC313" s="581"/>
      <c r="BD313" s="3691"/>
      <c r="BE313" s="3743"/>
      <c r="BF313" s="3743"/>
      <c r="BG313" s="3708"/>
      <c r="BH313" s="3762"/>
      <c r="BI313" s="3762"/>
      <c r="BJ313" s="39"/>
      <c r="BK313" s="39"/>
      <c r="BL313" s="39"/>
      <c r="BM313" s="39"/>
      <c r="BN313" s="39"/>
      <c r="BO313" s="39"/>
      <c r="BP313" s="39"/>
      <c r="BQ313" s="39"/>
      <c r="BR313" s="39"/>
      <c r="BS313" s="507"/>
      <c r="BT313" s="507"/>
      <c r="BU313" s="507"/>
      <c r="BV313" s="507"/>
      <c r="BW313" s="507"/>
      <c r="BX313" s="507"/>
      <c r="BY313" s="507"/>
      <c r="BZ313" s="507"/>
      <c r="CA313" s="507"/>
      <c r="CB313" s="507"/>
      <c r="CC313" s="507"/>
      <c r="CD313" s="507"/>
      <c r="CE313" s="507"/>
      <c r="CF313" s="507"/>
      <c r="CG313" s="507"/>
      <c r="CH313" s="507"/>
      <c r="CI313" s="507"/>
      <c r="CJ313" s="507"/>
      <c r="CK313" s="507"/>
      <c r="CL313" s="507"/>
      <c r="CM313" s="507"/>
      <c r="CN313" s="507"/>
      <c r="CO313" s="507"/>
      <c r="CP313" s="507"/>
      <c r="CQ313" s="507"/>
      <c r="CR313" s="507"/>
      <c r="CS313" s="507"/>
      <c r="CT313" s="507"/>
      <c r="CU313" s="507"/>
      <c r="CV313" s="507"/>
      <c r="CW313" s="507"/>
      <c r="CX313" s="507"/>
      <c r="CY313" s="507"/>
      <c r="CZ313" s="507"/>
      <c r="DA313" s="507"/>
      <c r="DB313" s="507"/>
      <c r="DC313" s="507"/>
      <c r="DD313" s="507"/>
      <c r="DE313" s="507"/>
      <c r="DF313" s="507"/>
      <c r="DG313" s="507"/>
      <c r="DH313" s="507"/>
      <c r="DI313" s="507"/>
      <c r="DJ313" s="507"/>
      <c r="DK313" s="507"/>
      <c r="DL313" s="507"/>
      <c r="DM313" s="507"/>
      <c r="DN313" s="507"/>
      <c r="DO313" s="507"/>
      <c r="DP313" s="507"/>
      <c r="DQ313" s="507"/>
      <c r="DR313" s="507"/>
      <c r="DS313" s="507"/>
      <c r="DT313" s="507"/>
      <c r="DU313" s="507"/>
      <c r="DV313" s="507"/>
      <c r="DW313" s="507"/>
      <c r="DX313" s="507"/>
      <c r="DY313" s="507"/>
      <c r="DZ313" s="507"/>
      <c r="EA313" s="507"/>
      <c r="EB313" s="507"/>
      <c r="EC313" s="507"/>
      <c r="ED313" s="507"/>
      <c r="EE313" s="507"/>
      <c r="EF313" s="507"/>
      <c r="EG313" s="507"/>
      <c r="EH313" s="507"/>
      <c r="EI313" s="507"/>
      <c r="EJ313" s="507"/>
      <c r="EK313" s="507"/>
      <c r="EL313" s="507"/>
      <c r="EM313" s="507"/>
      <c r="EN313" s="507"/>
      <c r="EO313" s="507"/>
      <c r="EP313" s="507"/>
      <c r="EQ313" s="507"/>
      <c r="ER313" s="507"/>
      <c r="ES313" s="507"/>
      <c r="ET313" s="507"/>
      <c r="EU313" s="507"/>
      <c r="EV313" s="507"/>
      <c r="EW313" s="507"/>
      <c r="EX313" s="507"/>
      <c r="EY313" s="507"/>
      <c r="EZ313" s="507"/>
      <c r="FA313" s="507"/>
      <c r="FB313" s="507"/>
      <c r="FC313" s="507"/>
      <c r="FD313" s="507"/>
      <c r="FE313" s="507"/>
      <c r="FF313" s="507"/>
      <c r="FG313" s="507"/>
      <c r="FH313" s="507"/>
      <c r="FI313" s="507"/>
      <c r="FJ313" s="507"/>
      <c r="FK313" s="507"/>
      <c r="FL313" s="507"/>
      <c r="FM313" s="507"/>
      <c r="FN313" s="507"/>
      <c r="FO313" s="507"/>
      <c r="FP313" s="507"/>
      <c r="FQ313" s="507"/>
      <c r="FR313" s="507"/>
      <c r="FS313" s="507"/>
      <c r="FT313" s="507"/>
      <c r="FU313" s="507"/>
      <c r="FV313" s="507"/>
      <c r="FW313" s="507"/>
      <c r="FX313" s="507"/>
      <c r="FY313" s="507"/>
      <c r="FZ313" s="507"/>
      <c r="GA313" s="507"/>
      <c r="GB313" s="507"/>
      <c r="GC313" s="507"/>
      <c r="GD313" s="507"/>
      <c r="GE313" s="507"/>
      <c r="GF313" s="507"/>
      <c r="GG313" s="507"/>
      <c r="GH313" s="507"/>
      <c r="GI313" s="507"/>
      <c r="GJ313" s="507"/>
      <c r="GK313" s="507"/>
      <c r="GL313" s="507"/>
      <c r="GM313" s="507"/>
      <c r="GN313" s="507"/>
      <c r="GO313" s="507"/>
      <c r="GP313" s="507"/>
      <c r="GQ313" s="507"/>
      <c r="GR313" s="507"/>
      <c r="GS313" s="507"/>
      <c r="GT313" s="507"/>
      <c r="GU313" s="507"/>
      <c r="GV313" s="507"/>
      <c r="GW313" s="507"/>
      <c r="GX313" s="507"/>
      <c r="GY313" s="507"/>
      <c r="GZ313" s="507"/>
      <c r="HA313" s="507"/>
      <c r="HB313" s="507"/>
      <c r="HC313" s="507"/>
      <c r="HD313" s="507"/>
      <c r="HE313" s="507"/>
      <c r="HF313" s="507"/>
      <c r="HG313" s="507"/>
      <c r="HH313" s="507"/>
      <c r="HI313" s="507"/>
      <c r="HJ313" s="507"/>
      <c r="HK313" s="507"/>
      <c r="HL313" s="507"/>
      <c r="HM313" s="507"/>
      <c r="HN313" s="507"/>
      <c r="HO313" s="507"/>
      <c r="HP313" s="507"/>
      <c r="HQ313" s="507"/>
      <c r="HR313" s="507"/>
      <c r="HS313" s="507"/>
      <c r="HT313" s="507"/>
      <c r="HU313" s="507"/>
      <c r="HV313" s="507"/>
      <c r="HW313" s="507"/>
      <c r="HX313" s="507"/>
      <c r="HY313" s="507"/>
      <c r="HZ313" s="507"/>
    </row>
    <row r="314" spans="1:234" s="206" customFormat="1" ht="13.5" hidden="1" customHeight="1" x14ac:dyDescent="0.25">
      <c r="A314" s="541" t="s">
        <v>3805</v>
      </c>
      <c r="B314" s="523" t="s">
        <v>1879</v>
      </c>
      <c r="C314" s="524" t="s">
        <v>1810</v>
      </c>
      <c r="D314" s="551" t="s">
        <v>826</v>
      </c>
      <c r="E314" s="569" t="s">
        <v>3228</v>
      </c>
      <c r="F314" s="543">
        <v>40542</v>
      </c>
      <c r="G314" s="544">
        <v>40483</v>
      </c>
      <c r="H314" s="544">
        <v>40534</v>
      </c>
      <c r="I314" s="616">
        <v>41578</v>
      </c>
      <c r="J314" s="579">
        <v>10</v>
      </c>
      <c r="K314" s="553" t="s">
        <v>3229</v>
      </c>
      <c r="L314" s="552" t="s">
        <v>3229</v>
      </c>
      <c r="M314" s="560">
        <v>0</v>
      </c>
      <c r="N314" s="606" t="s">
        <v>3229</v>
      </c>
      <c r="O314" s="613">
        <v>0.4</v>
      </c>
      <c r="P314" s="575">
        <v>0.4</v>
      </c>
      <c r="Q314" s="575" t="s">
        <v>3229</v>
      </c>
      <c r="R314" s="575" t="s">
        <v>3229</v>
      </c>
      <c r="S314" s="570"/>
      <c r="T314" s="617" t="s">
        <v>3229</v>
      </c>
      <c r="U314" s="563" t="s">
        <v>3229</v>
      </c>
      <c r="V314" s="563" t="s">
        <v>3229</v>
      </c>
      <c r="W314" s="563" t="s">
        <v>3229</v>
      </c>
      <c r="X314" s="563" t="s">
        <v>3229</v>
      </c>
      <c r="Y314" s="598" t="s">
        <v>3229</v>
      </c>
      <c r="Z314" s="598" t="s">
        <v>3229</v>
      </c>
      <c r="AA314" s="598" t="s">
        <v>3229</v>
      </c>
      <c r="AB314" s="598" t="s">
        <v>3229</v>
      </c>
      <c r="AC314" s="598" t="s">
        <v>3229</v>
      </c>
      <c r="AD314" s="598" t="s">
        <v>3229</v>
      </c>
      <c r="AE314" s="598" t="s">
        <v>3229</v>
      </c>
      <c r="AF314" s="3764" t="s">
        <v>781</v>
      </c>
      <c r="AG314" s="3765"/>
      <c r="AH314" s="1301">
        <v>1</v>
      </c>
      <c r="AI314" s="1301" t="s">
        <v>3229</v>
      </c>
      <c r="AJ314" s="1301" t="s">
        <v>3229</v>
      </c>
      <c r="AK314" s="530" t="s">
        <v>3229</v>
      </c>
      <c r="AL314" s="530" t="s">
        <v>3229</v>
      </c>
      <c r="AM314" s="659" t="s">
        <v>3229</v>
      </c>
      <c r="AN314" s="638">
        <f>'klikací hodnoty'!F9248</f>
        <v>0</v>
      </c>
      <c r="AO314" s="625">
        <v>5.77</v>
      </c>
      <c r="AP314" s="688" t="s">
        <v>3229</v>
      </c>
      <c r="AQ314" s="606" t="s">
        <v>3229</v>
      </c>
      <c r="AR314" s="600">
        <f t="shared" si="64"/>
        <v>0.4</v>
      </c>
      <c r="AS314" s="548">
        <f t="shared" si="65"/>
        <v>0.12585726091909377</v>
      </c>
      <c r="AT314" s="548">
        <f t="shared" si="66"/>
        <v>1.4263431542461009</v>
      </c>
      <c r="AU314" s="549" t="e">
        <f t="shared" si="67"/>
        <v>#DIV/0!</v>
      </c>
      <c r="AV314" s="558">
        <f t="shared" si="59"/>
        <v>0</v>
      </c>
      <c r="AW314" s="558">
        <f t="shared" si="56"/>
        <v>0</v>
      </c>
      <c r="AX314" s="589">
        <f t="shared" si="57"/>
        <v>0.73310225303292897</v>
      </c>
      <c r="AY314" s="587" t="e">
        <f t="shared" si="58"/>
        <v>#DIV/0!</v>
      </c>
      <c r="AZ314" s="676">
        <f t="shared" si="62"/>
        <v>10</v>
      </c>
      <c r="BA314" s="581" t="s">
        <v>2366</v>
      </c>
      <c r="BB314" s="570"/>
      <c r="BC314" s="581"/>
      <c r="BD314" s="3691"/>
      <c r="BE314" s="3743"/>
      <c r="BF314" s="3743"/>
      <c r="BG314" s="3708"/>
      <c r="BH314" s="3762"/>
      <c r="BI314" s="3762"/>
      <c r="BJ314" s="39"/>
      <c r="BK314" s="39"/>
      <c r="BL314" s="39"/>
      <c r="BM314" s="39"/>
      <c r="BN314" s="39"/>
      <c r="BO314" s="39"/>
      <c r="BP314" s="39"/>
      <c r="BQ314" s="39"/>
      <c r="BR314" s="39"/>
      <c r="BS314" s="507"/>
      <c r="BT314" s="507"/>
      <c r="BU314" s="507"/>
      <c r="BV314" s="507"/>
      <c r="BW314" s="507"/>
      <c r="BX314" s="507"/>
      <c r="BY314" s="507"/>
      <c r="BZ314" s="507"/>
      <c r="CA314" s="507"/>
      <c r="CB314" s="507"/>
      <c r="CC314" s="507"/>
      <c r="CD314" s="507"/>
      <c r="CE314" s="507"/>
      <c r="CF314" s="507"/>
      <c r="CG314" s="507"/>
      <c r="CH314" s="507"/>
      <c r="CI314" s="507"/>
      <c r="CJ314" s="507"/>
      <c r="CK314" s="507"/>
      <c r="CL314" s="507"/>
      <c r="CM314" s="507"/>
      <c r="CN314" s="507"/>
      <c r="CO314" s="507"/>
      <c r="CP314" s="507"/>
      <c r="CQ314" s="507"/>
      <c r="CR314" s="507"/>
      <c r="CS314" s="507"/>
      <c r="CT314" s="507"/>
      <c r="CU314" s="507"/>
      <c r="CV314" s="507"/>
      <c r="CW314" s="507"/>
      <c r="CX314" s="507"/>
      <c r="CY314" s="507"/>
      <c r="CZ314" s="507"/>
      <c r="DA314" s="507"/>
      <c r="DB314" s="507"/>
      <c r="DC314" s="507"/>
      <c r="DD314" s="507"/>
      <c r="DE314" s="507"/>
      <c r="DF314" s="507"/>
      <c r="DG314" s="507"/>
      <c r="DH314" s="507"/>
      <c r="DI314" s="507"/>
      <c r="DJ314" s="507"/>
      <c r="DK314" s="507"/>
      <c r="DL314" s="507"/>
      <c r="DM314" s="507"/>
      <c r="DN314" s="507"/>
      <c r="DO314" s="507"/>
      <c r="DP314" s="507"/>
      <c r="DQ314" s="507"/>
      <c r="DR314" s="507"/>
      <c r="DS314" s="507"/>
      <c r="DT314" s="507"/>
      <c r="DU314" s="507"/>
      <c r="DV314" s="507"/>
      <c r="DW314" s="507"/>
      <c r="DX314" s="507"/>
      <c r="DY314" s="507"/>
      <c r="DZ314" s="507"/>
      <c r="EA314" s="507"/>
      <c r="EB314" s="507"/>
      <c r="EC314" s="507"/>
      <c r="ED314" s="507"/>
      <c r="EE314" s="507"/>
      <c r="EF314" s="507"/>
      <c r="EG314" s="507"/>
      <c r="EH314" s="507"/>
      <c r="EI314" s="507"/>
      <c r="EJ314" s="507"/>
      <c r="EK314" s="507"/>
      <c r="EL314" s="507"/>
      <c r="EM314" s="507"/>
      <c r="EN314" s="507"/>
      <c r="EO314" s="507"/>
      <c r="EP314" s="507"/>
      <c r="EQ314" s="507"/>
      <c r="ER314" s="507"/>
      <c r="ES314" s="507"/>
      <c r="ET314" s="507"/>
      <c r="EU314" s="507"/>
      <c r="EV314" s="507"/>
      <c r="EW314" s="507"/>
      <c r="EX314" s="507"/>
      <c r="EY314" s="507"/>
      <c r="EZ314" s="507"/>
      <c r="FA314" s="507"/>
      <c r="FB314" s="507"/>
      <c r="FC314" s="507"/>
      <c r="FD314" s="507"/>
      <c r="FE314" s="507"/>
      <c r="FF314" s="507"/>
      <c r="FG314" s="507"/>
      <c r="FH314" s="507"/>
      <c r="FI314" s="507"/>
      <c r="FJ314" s="507"/>
      <c r="FK314" s="507"/>
      <c r="FL314" s="507"/>
      <c r="FM314" s="507"/>
      <c r="FN314" s="507"/>
      <c r="FO314" s="507"/>
      <c r="FP314" s="507"/>
      <c r="FQ314" s="507"/>
      <c r="FR314" s="507"/>
      <c r="FS314" s="507"/>
      <c r="FT314" s="507"/>
      <c r="FU314" s="507"/>
      <c r="FV314" s="507"/>
      <c r="FW314" s="507"/>
      <c r="FX314" s="507"/>
      <c r="FY314" s="507"/>
      <c r="FZ314" s="507"/>
      <c r="GA314" s="507"/>
      <c r="GB314" s="507"/>
      <c r="GC314" s="507"/>
      <c r="GD314" s="507"/>
      <c r="GE314" s="507"/>
      <c r="GF314" s="507"/>
      <c r="GG314" s="507"/>
      <c r="GH314" s="507"/>
      <c r="GI314" s="507"/>
      <c r="GJ314" s="507"/>
      <c r="GK314" s="507"/>
      <c r="GL314" s="507"/>
      <c r="GM314" s="507"/>
      <c r="GN314" s="507"/>
      <c r="GO314" s="507"/>
      <c r="GP314" s="507"/>
      <c r="GQ314" s="507"/>
      <c r="GR314" s="507"/>
      <c r="GS314" s="507"/>
      <c r="GT314" s="507"/>
      <c r="GU314" s="507"/>
      <c r="GV314" s="507"/>
      <c r="GW314" s="507"/>
      <c r="GX314" s="507"/>
      <c r="GY314" s="507"/>
      <c r="GZ314" s="507"/>
      <c r="HA314" s="507"/>
      <c r="HB314" s="507"/>
      <c r="HC314" s="507"/>
      <c r="HD314" s="507"/>
      <c r="HE314" s="507"/>
      <c r="HF314" s="507"/>
      <c r="HG314" s="507"/>
      <c r="HH314" s="507"/>
      <c r="HI314" s="507"/>
      <c r="HJ314" s="507"/>
      <c r="HK314" s="507"/>
      <c r="HL314" s="507"/>
      <c r="HM314" s="507"/>
      <c r="HN314" s="507"/>
      <c r="HO314" s="507"/>
      <c r="HP314" s="507"/>
      <c r="HQ314" s="507"/>
      <c r="HR314" s="507"/>
      <c r="HS314" s="507"/>
      <c r="HT314" s="507"/>
      <c r="HU314" s="507"/>
      <c r="HV314" s="507"/>
      <c r="HW314" s="507"/>
      <c r="HX314" s="507"/>
      <c r="HY314" s="507"/>
      <c r="HZ314" s="507"/>
    </row>
    <row r="315" spans="1:234" s="206" customFormat="1" ht="13.5" hidden="1" customHeight="1" x14ac:dyDescent="0.25">
      <c r="A315" s="541" t="s">
        <v>1812</v>
      </c>
      <c r="B315" s="523" t="s">
        <v>1811</v>
      </c>
      <c r="C315" s="524" t="s">
        <v>1813</v>
      </c>
      <c r="D315" s="551" t="s">
        <v>4166</v>
      </c>
      <c r="E315" s="569" t="s">
        <v>3228</v>
      </c>
      <c r="F315" s="543">
        <v>40492</v>
      </c>
      <c r="G315" s="544">
        <v>40452</v>
      </c>
      <c r="H315" s="544">
        <v>40485</v>
      </c>
      <c r="I315" s="616">
        <v>41984</v>
      </c>
      <c r="J315" s="579">
        <v>10</v>
      </c>
      <c r="K315" s="553" t="s">
        <v>3229</v>
      </c>
      <c r="L315" s="552" t="s">
        <v>3229</v>
      </c>
      <c r="M315" s="560">
        <v>0</v>
      </c>
      <c r="N315" s="606">
        <v>0.7</v>
      </c>
      <c r="O315" s="613" t="s">
        <v>3229</v>
      </c>
      <c r="P315" s="575" t="s">
        <v>3229</v>
      </c>
      <c r="Q315" s="575" t="s">
        <v>3229</v>
      </c>
      <c r="R315" s="575" t="s">
        <v>3229</v>
      </c>
      <c r="S315" s="570"/>
      <c r="T315" s="617" t="s">
        <v>3229</v>
      </c>
      <c r="U315" s="563" t="s">
        <v>3229</v>
      </c>
      <c r="V315" s="563" t="s">
        <v>3229</v>
      </c>
      <c r="W315" s="563" t="s">
        <v>3229</v>
      </c>
      <c r="X315" s="563" t="s">
        <v>3229</v>
      </c>
      <c r="Y315" s="598" t="s">
        <v>3229</v>
      </c>
      <c r="Z315" s="598" t="s">
        <v>3229</v>
      </c>
      <c r="AA315" s="598" t="s">
        <v>3229</v>
      </c>
      <c r="AB315" s="598" t="s">
        <v>3229</v>
      </c>
      <c r="AC315" s="598" t="s">
        <v>3229</v>
      </c>
      <c r="AD315" s="598" t="s">
        <v>3229</v>
      </c>
      <c r="AE315" s="598" t="s">
        <v>3229</v>
      </c>
      <c r="AF315" s="3764" t="s">
        <v>781</v>
      </c>
      <c r="AG315" s="3765"/>
      <c r="AH315" s="1301" t="s">
        <v>3229</v>
      </c>
      <c r="AI315" s="1301" t="s">
        <v>3229</v>
      </c>
      <c r="AJ315" s="1301" t="s">
        <v>3229</v>
      </c>
      <c r="AK315" s="530" t="s">
        <v>3229</v>
      </c>
      <c r="AL315" s="530" t="s">
        <v>3229</v>
      </c>
      <c r="AM315" s="659">
        <v>1</v>
      </c>
      <c r="AN315" s="638">
        <f>'klikací hodnoty'!F9353</f>
        <v>8.4221724999999997E-2</v>
      </c>
      <c r="AO315" s="625">
        <v>12.81</v>
      </c>
      <c r="AP315" s="1368">
        <f>'klikací hodnoty'!F9352</f>
        <v>0.12031675</v>
      </c>
      <c r="AQ315" s="606">
        <f>'klikací hodnoty'!F9335</f>
        <v>0.3402874346048308</v>
      </c>
      <c r="AR315" s="3764" t="s">
        <v>3660</v>
      </c>
      <c r="AS315" s="3771"/>
      <c r="AT315" s="3771"/>
      <c r="AU315" s="3772"/>
      <c r="AV315" s="558">
        <f t="shared" si="59"/>
        <v>0</v>
      </c>
      <c r="AW315" s="558">
        <f t="shared" si="56"/>
        <v>0</v>
      </c>
      <c r="AX315" s="589">
        <f t="shared" si="57"/>
        <v>-0.21935987509758004</v>
      </c>
      <c r="AY315" s="587"/>
      <c r="AZ315" s="676">
        <f t="shared" si="62"/>
        <v>10</v>
      </c>
      <c r="BA315" s="581" t="s">
        <v>2938</v>
      </c>
      <c r="BB315" s="570"/>
      <c r="BC315" s="581"/>
      <c r="BD315" s="3691"/>
      <c r="BE315" s="3743"/>
      <c r="BF315" s="3743"/>
      <c r="BG315" s="3708"/>
      <c r="BH315" s="3762"/>
      <c r="BI315" s="3762"/>
      <c r="BJ315" s="39"/>
      <c r="BK315" s="39"/>
      <c r="BL315" s="39"/>
      <c r="BM315" s="39"/>
      <c r="BN315" s="39"/>
      <c r="BO315" s="39"/>
      <c r="BP315" s="39"/>
      <c r="BQ315" s="39"/>
      <c r="BR315" s="39"/>
      <c r="BS315" s="507"/>
      <c r="BT315" s="507"/>
      <c r="BU315" s="507"/>
      <c r="BV315" s="507"/>
      <c r="BW315" s="507"/>
      <c r="BX315" s="507"/>
      <c r="BY315" s="507"/>
      <c r="BZ315" s="507"/>
      <c r="CA315" s="507"/>
      <c r="CB315" s="507"/>
      <c r="CC315" s="507"/>
      <c r="CD315" s="507"/>
      <c r="CE315" s="507"/>
      <c r="CF315" s="507"/>
      <c r="CG315" s="507"/>
      <c r="CH315" s="507"/>
      <c r="CI315" s="507"/>
      <c r="CJ315" s="507"/>
      <c r="CK315" s="507"/>
      <c r="CL315" s="507"/>
      <c r="CM315" s="507"/>
      <c r="CN315" s="507"/>
      <c r="CO315" s="507"/>
      <c r="CP315" s="507"/>
      <c r="CQ315" s="507"/>
      <c r="CR315" s="507"/>
      <c r="CS315" s="507"/>
      <c r="CT315" s="507"/>
      <c r="CU315" s="507"/>
      <c r="CV315" s="507"/>
      <c r="CW315" s="507"/>
      <c r="CX315" s="507"/>
      <c r="CY315" s="507"/>
      <c r="CZ315" s="507"/>
      <c r="DA315" s="507"/>
      <c r="DB315" s="507"/>
      <c r="DC315" s="507"/>
      <c r="DD315" s="507"/>
      <c r="DE315" s="507"/>
      <c r="DF315" s="507"/>
      <c r="DG315" s="507"/>
      <c r="DH315" s="507"/>
      <c r="DI315" s="507"/>
      <c r="DJ315" s="507"/>
      <c r="DK315" s="507"/>
      <c r="DL315" s="507"/>
      <c r="DM315" s="507"/>
      <c r="DN315" s="507"/>
      <c r="DO315" s="507"/>
      <c r="DP315" s="507"/>
      <c r="DQ315" s="507"/>
      <c r="DR315" s="507"/>
      <c r="DS315" s="507"/>
      <c r="DT315" s="507"/>
      <c r="DU315" s="507"/>
      <c r="DV315" s="507"/>
      <c r="DW315" s="507"/>
      <c r="DX315" s="507"/>
      <c r="DY315" s="507"/>
      <c r="DZ315" s="507"/>
      <c r="EA315" s="507"/>
      <c r="EB315" s="507"/>
      <c r="EC315" s="507"/>
      <c r="ED315" s="507"/>
      <c r="EE315" s="507"/>
      <c r="EF315" s="507"/>
      <c r="EG315" s="507"/>
      <c r="EH315" s="507"/>
      <c r="EI315" s="507"/>
      <c r="EJ315" s="507"/>
      <c r="EK315" s="507"/>
      <c r="EL315" s="507"/>
      <c r="EM315" s="507"/>
      <c r="EN315" s="507"/>
      <c r="EO315" s="507"/>
      <c r="EP315" s="507"/>
      <c r="EQ315" s="507"/>
      <c r="ER315" s="507"/>
      <c r="ES315" s="507"/>
      <c r="ET315" s="507"/>
      <c r="EU315" s="507"/>
      <c r="EV315" s="507"/>
      <c r="EW315" s="507"/>
      <c r="EX315" s="507"/>
      <c r="EY315" s="507"/>
      <c r="EZ315" s="507"/>
      <c r="FA315" s="507"/>
      <c r="FB315" s="507"/>
      <c r="FC315" s="507"/>
      <c r="FD315" s="507"/>
      <c r="FE315" s="507"/>
      <c r="FF315" s="507"/>
      <c r="FG315" s="507"/>
      <c r="FH315" s="507"/>
      <c r="FI315" s="507"/>
      <c r="FJ315" s="507"/>
      <c r="FK315" s="507"/>
      <c r="FL315" s="507"/>
      <c r="FM315" s="507"/>
      <c r="FN315" s="507"/>
      <c r="FO315" s="507"/>
      <c r="FP315" s="507"/>
      <c r="FQ315" s="507"/>
      <c r="FR315" s="507"/>
      <c r="FS315" s="507"/>
      <c r="FT315" s="507"/>
      <c r="FU315" s="507"/>
      <c r="FV315" s="507"/>
      <c r="FW315" s="507"/>
      <c r="FX315" s="507"/>
      <c r="FY315" s="507"/>
      <c r="FZ315" s="507"/>
      <c r="GA315" s="507"/>
      <c r="GB315" s="507"/>
      <c r="GC315" s="507"/>
      <c r="GD315" s="507"/>
      <c r="GE315" s="507"/>
      <c r="GF315" s="507"/>
      <c r="GG315" s="507"/>
      <c r="GH315" s="507"/>
      <c r="GI315" s="507"/>
      <c r="GJ315" s="507"/>
      <c r="GK315" s="507"/>
      <c r="GL315" s="507"/>
      <c r="GM315" s="507"/>
      <c r="GN315" s="507"/>
      <c r="GO315" s="507"/>
      <c r="GP315" s="507"/>
      <c r="GQ315" s="507"/>
      <c r="GR315" s="507"/>
      <c r="GS315" s="507"/>
      <c r="GT315" s="507"/>
      <c r="GU315" s="507"/>
      <c r="GV315" s="507"/>
      <c r="GW315" s="507"/>
      <c r="GX315" s="507"/>
      <c r="GY315" s="507"/>
      <c r="GZ315" s="507"/>
      <c r="HA315" s="507"/>
      <c r="HB315" s="507"/>
      <c r="HC315" s="507"/>
      <c r="HD315" s="507"/>
      <c r="HE315" s="507"/>
      <c r="HF315" s="507"/>
      <c r="HG315" s="507"/>
      <c r="HH315" s="507"/>
      <c r="HI315" s="507"/>
      <c r="HJ315" s="507"/>
      <c r="HK315" s="507"/>
      <c r="HL315" s="507"/>
      <c r="HM315" s="507"/>
      <c r="HN315" s="507"/>
      <c r="HO315" s="507"/>
      <c r="HP315" s="507"/>
      <c r="HQ315" s="507"/>
      <c r="HR315" s="507"/>
      <c r="HS315" s="507"/>
      <c r="HT315" s="507"/>
      <c r="HU315" s="507"/>
      <c r="HV315" s="507"/>
      <c r="HW315" s="507"/>
      <c r="HX315" s="507"/>
      <c r="HY315" s="507"/>
      <c r="HZ315" s="507"/>
    </row>
    <row r="316" spans="1:234" s="206" customFormat="1" ht="13.5" hidden="1" customHeight="1" x14ac:dyDescent="0.25">
      <c r="A316" s="541" t="s">
        <v>1816</v>
      </c>
      <c r="B316" s="523" t="s">
        <v>1814</v>
      </c>
      <c r="C316" s="524" t="s">
        <v>1815</v>
      </c>
      <c r="D316" s="551" t="s">
        <v>4167</v>
      </c>
      <c r="E316" s="569" t="s">
        <v>3228</v>
      </c>
      <c r="F316" s="543">
        <v>40555</v>
      </c>
      <c r="G316" s="544">
        <v>40483</v>
      </c>
      <c r="H316" s="544">
        <v>40548</v>
      </c>
      <c r="I316" s="616">
        <v>42551</v>
      </c>
      <c r="J316" s="579">
        <v>10</v>
      </c>
      <c r="K316" s="553" t="s">
        <v>3229</v>
      </c>
      <c r="L316" s="552" t="s">
        <v>3229</v>
      </c>
      <c r="M316" s="560">
        <v>0</v>
      </c>
      <c r="N316" s="606">
        <v>0.5</v>
      </c>
      <c r="O316" s="613" t="s">
        <v>3229</v>
      </c>
      <c r="P316" s="575" t="s">
        <v>3229</v>
      </c>
      <c r="Q316" s="575" t="s">
        <v>3229</v>
      </c>
      <c r="R316" s="575" t="s">
        <v>3229</v>
      </c>
      <c r="S316" s="570"/>
      <c r="T316" s="617" t="s">
        <v>3229</v>
      </c>
      <c r="U316" s="563" t="s">
        <v>3229</v>
      </c>
      <c r="V316" s="563" t="s">
        <v>3229</v>
      </c>
      <c r="W316" s="563" t="s">
        <v>3229</v>
      </c>
      <c r="X316" s="563" t="s">
        <v>3229</v>
      </c>
      <c r="Y316" s="598" t="s">
        <v>3229</v>
      </c>
      <c r="Z316" s="598" t="s">
        <v>3229</v>
      </c>
      <c r="AA316" s="598" t="s">
        <v>3229</v>
      </c>
      <c r="AB316" s="598" t="s">
        <v>3229</v>
      </c>
      <c r="AC316" s="598" t="s">
        <v>3229</v>
      </c>
      <c r="AD316" s="598" t="s">
        <v>3229</v>
      </c>
      <c r="AE316" s="598" t="s">
        <v>3229</v>
      </c>
      <c r="AF316" s="3764" t="s">
        <v>781</v>
      </c>
      <c r="AG316" s="3765"/>
      <c r="AH316" s="1301" t="s">
        <v>3229</v>
      </c>
      <c r="AI316" s="1301" t="s">
        <v>3229</v>
      </c>
      <c r="AJ316" s="1301" t="s">
        <v>3229</v>
      </c>
      <c r="AK316" s="530" t="s">
        <v>3229</v>
      </c>
      <c r="AL316" s="530" t="s">
        <v>3229</v>
      </c>
      <c r="AM316" s="659">
        <v>1</v>
      </c>
      <c r="AN316" s="638">
        <f>'klikací hodnoty'!F9399</f>
        <v>0</v>
      </c>
      <c r="AO316" s="625">
        <v>10</v>
      </c>
      <c r="AP316" s="1368">
        <f>'klikací hodnoty'!L9387</f>
        <v>-7.5136439703642158E-2</v>
      </c>
      <c r="AQ316" s="606">
        <f>'klikací hodnoty'!F9398</f>
        <v>-0.18789952538269539</v>
      </c>
      <c r="AR316" s="3764" t="s">
        <v>3660</v>
      </c>
      <c r="AS316" s="3771"/>
      <c r="AT316" s="3771"/>
      <c r="AU316" s="3772"/>
      <c r="AV316" s="558">
        <f t="shared" si="59"/>
        <v>0</v>
      </c>
      <c r="AW316" s="558">
        <f t="shared" si="56"/>
        <v>0</v>
      </c>
      <c r="AX316" s="589">
        <f t="shared" si="57"/>
        <v>0</v>
      </c>
      <c r="AY316" s="587" t="e">
        <f t="shared" si="58"/>
        <v>#DIV/0!</v>
      </c>
      <c r="AZ316" s="676">
        <f t="shared" si="62"/>
        <v>10</v>
      </c>
      <c r="BA316" s="581" t="s">
        <v>3190</v>
      </c>
      <c r="BB316" s="570"/>
      <c r="BC316" s="581"/>
      <c r="BD316" s="3691"/>
      <c r="BE316" s="3743"/>
      <c r="BF316" s="3743"/>
      <c r="BG316" s="3708"/>
      <c r="BH316" s="3762"/>
      <c r="BI316" s="3762"/>
      <c r="BJ316" s="39"/>
      <c r="BK316" s="39"/>
      <c r="BL316" s="39"/>
      <c r="BM316" s="39"/>
      <c r="BN316" s="39"/>
      <c r="BO316" s="39"/>
      <c r="BP316" s="39"/>
      <c r="BQ316" s="39"/>
      <c r="BR316" s="39"/>
      <c r="BS316" s="507"/>
      <c r="BT316" s="507"/>
      <c r="BU316" s="507"/>
      <c r="BV316" s="507"/>
      <c r="BW316" s="507"/>
      <c r="BX316" s="507"/>
      <c r="BY316" s="507"/>
      <c r="BZ316" s="507"/>
      <c r="CA316" s="507"/>
      <c r="CB316" s="507"/>
      <c r="CC316" s="507"/>
      <c r="CD316" s="507"/>
      <c r="CE316" s="507"/>
      <c r="CF316" s="507"/>
      <c r="CG316" s="507"/>
      <c r="CH316" s="507"/>
      <c r="CI316" s="507"/>
      <c r="CJ316" s="507"/>
      <c r="CK316" s="507"/>
      <c r="CL316" s="507"/>
      <c r="CM316" s="507"/>
      <c r="CN316" s="507"/>
      <c r="CO316" s="507"/>
      <c r="CP316" s="507"/>
      <c r="CQ316" s="507"/>
      <c r="CR316" s="507"/>
      <c r="CS316" s="507"/>
      <c r="CT316" s="507"/>
      <c r="CU316" s="507"/>
      <c r="CV316" s="507"/>
      <c r="CW316" s="507"/>
      <c r="CX316" s="507"/>
      <c r="CY316" s="507"/>
      <c r="CZ316" s="507"/>
      <c r="DA316" s="507"/>
      <c r="DB316" s="507"/>
      <c r="DC316" s="507"/>
      <c r="DD316" s="507"/>
      <c r="DE316" s="507"/>
      <c r="DF316" s="507"/>
      <c r="DG316" s="507"/>
      <c r="DH316" s="507"/>
      <c r="DI316" s="507"/>
      <c r="DJ316" s="507"/>
      <c r="DK316" s="507"/>
      <c r="DL316" s="507"/>
      <c r="DM316" s="507"/>
      <c r="DN316" s="507"/>
      <c r="DO316" s="507"/>
      <c r="DP316" s="507"/>
      <c r="DQ316" s="507"/>
      <c r="DR316" s="507"/>
      <c r="DS316" s="507"/>
      <c r="DT316" s="507"/>
      <c r="DU316" s="507"/>
      <c r="DV316" s="507"/>
      <c r="DW316" s="507"/>
      <c r="DX316" s="507"/>
      <c r="DY316" s="507"/>
      <c r="DZ316" s="507"/>
      <c r="EA316" s="507"/>
      <c r="EB316" s="507"/>
      <c r="EC316" s="507"/>
      <c r="ED316" s="507"/>
      <c r="EE316" s="507"/>
      <c r="EF316" s="507"/>
      <c r="EG316" s="507"/>
      <c r="EH316" s="507"/>
      <c r="EI316" s="507"/>
      <c r="EJ316" s="507"/>
      <c r="EK316" s="507"/>
      <c r="EL316" s="507"/>
      <c r="EM316" s="507"/>
      <c r="EN316" s="507"/>
      <c r="EO316" s="507"/>
      <c r="EP316" s="507"/>
      <c r="EQ316" s="507"/>
      <c r="ER316" s="507"/>
      <c r="ES316" s="507"/>
      <c r="ET316" s="507"/>
      <c r="EU316" s="507"/>
      <c r="EV316" s="507"/>
      <c r="EW316" s="507"/>
      <c r="EX316" s="507"/>
      <c r="EY316" s="507"/>
      <c r="EZ316" s="507"/>
      <c r="FA316" s="507"/>
      <c r="FB316" s="507"/>
      <c r="FC316" s="507"/>
      <c r="FD316" s="507"/>
      <c r="FE316" s="507"/>
      <c r="FF316" s="507"/>
      <c r="FG316" s="507"/>
      <c r="FH316" s="507"/>
      <c r="FI316" s="507"/>
      <c r="FJ316" s="507"/>
      <c r="FK316" s="507"/>
      <c r="FL316" s="507"/>
      <c r="FM316" s="507"/>
      <c r="FN316" s="507"/>
      <c r="FO316" s="507"/>
      <c r="FP316" s="507"/>
      <c r="FQ316" s="507"/>
      <c r="FR316" s="507"/>
      <c r="FS316" s="507"/>
      <c r="FT316" s="507"/>
      <c r="FU316" s="507"/>
      <c r="FV316" s="507"/>
      <c r="FW316" s="507"/>
      <c r="FX316" s="507"/>
      <c r="FY316" s="507"/>
      <c r="FZ316" s="507"/>
      <c r="GA316" s="507"/>
      <c r="GB316" s="507"/>
      <c r="GC316" s="507"/>
      <c r="GD316" s="507"/>
      <c r="GE316" s="507"/>
      <c r="GF316" s="507"/>
      <c r="GG316" s="507"/>
      <c r="GH316" s="507"/>
      <c r="GI316" s="507"/>
      <c r="GJ316" s="507"/>
      <c r="GK316" s="507"/>
      <c r="GL316" s="507"/>
      <c r="GM316" s="507"/>
      <c r="GN316" s="507"/>
      <c r="GO316" s="507"/>
      <c r="GP316" s="507"/>
      <c r="GQ316" s="507"/>
      <c r="GR316" s="507"/>
      <c r="GS316" s="507"/>
      <c r="GT316" s="507"/>
      <c r="GU316" s="507"/>
      <c r="GV316" s="507"/>
      <c r="GW316" s="507"/>
      <c r="GX316" s="507"/>
      <c r="GY316" s="507"/>
      <c r="GZ316" s="507"/>
      <c r="HA316" s="507"/>
      <c r="HB316" s="507"/>
      <c r="HC316" s="507"/>
      <c r="HD316" s="507"/>
      <c r="HE316" s="507"/>
      <c r="HF316" s="507"/>
      <c r="HG316" s="507"/>
      <c r="HH316" s="507"/>
      <c r="HI316" s="507"/>
      <c r="HJ316" s="507"/>
      <c r="HK316" s="507"/>
      <c r="HL316" s="507"/>
      <c r="HM316" s="507"/>
      <c r="HN316" s="507"/>
      <c r="HO316" s="507"/>
      <c r="HP316" s="507"/>
      <c r="HQ316" s="507"/>
      <c r="HR316" s="507"/>
      <c r="HS316" s="507"/>
      <c r="HT316" s="507"/>
      <c r="HU316" s="507"/>
      <c r="HV316" s="507"/>
      <c r="HW316" s="507"/>
      <c r="HX316" s="507"/>
      <c r="HY316" s="507"/>
      <c r="HZ316" s="507"/>
    </row>
    <row r="317" spans="1:234" s="206" customFormat="1" ht="13.5" hidden="1" customHeight="1" x14ac:dyDescent="0.25">
      <c r="A317" s="541" t="s">
        <v>2344</v>
      </c>
      <c r="B317" s="523" t="s">
        <v>2343</v>
      </c>
      <c r="C317" s="524" t="s">
        <v>2342</v>
      </c>
      <c r="D317" s="551" t="s">
        <v>4384</v>
      </c>
      <c r="E317" s="569" t="s">
        <v>3228</v>
      </c>
      <c r="F317" s="543">
        <v>40529</v>
      </c>
      <c r="G317" s="544">
        <v>40484</v>
      </c>
      <c r="H317" s="544">
        <v>40522</v>
      </c>
      <c r="I317" s="616">
        <v>42551</v>
      </c>
      <c r="J317" s="579">
        <v>10</v>
      </c>
      <c r="K317" s="553" t="s">
        <v>3229</v>
      </c>
      <c r="L317" s="552" t="s">
        <v>3229</v>
      </c>
      <c r="M317" s="560">
        <v>-1</v>
      </c>
      <c r="N317" s="606">
        <v>1</v>
      </c>
      <c r="O317" s="613" t="s">
        <v>3229</v>
      </c>
      <c r="P317" s="575" t="s">
        <v>3229</v>
      </c>
      <c r="Q317" s="575" t="s">
        <v>3229</v>
      </c>
      <c r="R317" s="575" t="s">
        <v>3229</v>
      </c>
      <c r="S317" s="570"/>
      <c r="T317" s="617" t="s">
        <v>3229</v>
      </c>
      <c r="U317" s="563" t="s">
        <v>3229</v>
      </c>
      <c r="V317" s="563" t="s">
        <v>3229</v>
      </c>
      <c r="W317" s="563" t="s">
        <v>3229</v>
      </c>
      <c r="X317" s="563" t="s">
        <v>3229</v>
      </c>
      <c r="Y317" s="598" t="s">
        <v>3229</v>
      </c>
      <c r="Z317" s="598" t="s">
        <v>3229</v>
      </c>
      <c r="AA317" s="598" t="s">
        <v>3229</v>
      </c>
      <c r="AB317" s="598" t="s">
        <v>3229</v>
      </c>
      <c r="AC317" s="598" t="s">
        <v>3229</v>
      </c>
      <c r="AD317" s="598" t="s">
        <v>3229</v>
      </c>
      <c r="AE317" s="598" t="s">
        <v>3229</v>
      </c>
      <c r="AF317" s="3764" t="s">
        <v>781</v>
      </c>
      <c r="AG317" s="3765"/>
      <c r="AH317" s="1301">
        <v>1</v>
      </c>
      <c r="AI317" s="1301" t="s">
        <v>3229</v>
      </c>
      <c r="AJ317" s="1301" t="s">
        <v>3229</v>
      </c>
      <c r="AK317" s="530" t="s">
        <v>3229</v>
      </c>
      <c r="AL317" s="530" t="s">
        <v>3229</v>
      </c>
      <c r="AM317" s="659" t="s">
        <v>3229</v>
      </c>
      <c r="AN317" s="638">
        <v>0.13350525706789432</v>
      </c>
      <c r="AO317" s="625">
        <v>11.34</v>
      </c>
      <c r="AP317" s="1368">
        <v>0.13350525706789432</v>
      </c>
      <c r="AQ317" s="606">
        <v>3.8010209913428517E-2</v>
      </c>
      <c r="AR317" s="3764" t="s">
        <v>3660</v>
      </c>
      <c r="AS317" s="3771"/>
      <c r="AT317" s="3771"/>
      <c r="AU317" s="3772"/>
      <c r="AV317" s="558">
        <v>-1</v>
      </c>
      <c r="AW317" s="558">
        <v>-1</v>
      </c>
      <c r="AX317" s="589">
        <v>-1</v>
      </c>
      <c r="AY317" s="587">
        <v>-1</v>
      </c>
      <c r="AZ317" s="676">
        <v>0</v>
      </c>
      <c r="BA317" s="581" t="s">
        <v>2940</v>
      </c>
      <c r="BB317" s="570"/>
      <c r="BC317" s="581"/>
      <c r="BD317" s="3691"/>
      <c r="BE317" s="3743"/>
      <c r="BF317" s="3743"/>
      <c r="BG317" s="3708"/>
      <c r="BH317" s="3762"/>
      <c r="BI317" s="3762"/>
      <c r="BJ317" s="39"/>
      <c r="BK317" s="39"/>
      <c r="BL317" s="39"/>
      <c r="BM317" s="39"/>
      <c r="BN317" s="39"/>
      <c r="BO317" s="39"/>
      <c r="BP317" s="39"/>
      <c r="BQ317" s="39"/>
      <c r="BR317" s="39"/>
      <c r="BS317" s="507"/>
      <c r="BT317" s="507"/>
      <c r="BU317" s="507"/>
      <c r="BV317" s="507"/>
      <c r="BW317" s="507"/>
      <c r="BX317" s="507"/>
      <c r="BY317" s="507"/>
      <c r="BZ317" s="507"/>
      <c r="CA317" s="507"/>
      <c r="CB317" s="507"/>
      <c r="CC317" s="507"/>
      <c r="CD317" s="507"/>
      <c r="CE317" s="507"/>
      <c r="CF317" s="507"/>
      <c r="CG317" s="507"/>
      <c r="CH317" s="507"/>
      <c r="CI317" s="507"/>
      <c r="CJ317" s="507"/>
      <c r="CK317" s="507"/>
      <c r="CL317" s="507"/>
      <c r="CM317" s="507"/>
      <c r="CN317" s="507"/>
      <c r="CO317" s="507"/>
      <c r="CP317" s="507"/>
      <c r="CQ317" s="507"/>
      <c r="CR317" s="507"/>
      <c r="CS317" s="507"/>
      <c r="CT317" s="507"/>
      <c r="CU317" s="507"/>
      <c r="CV317" s="507"/>
      <c r="CW317" s="507"/>
      <c r="CX317" s="507"/>
      <c r="CY317" s="507"/>
      <c r="CZ317" s="507"/>
      <c r="DA317" s="507"/>
      <c r="DB317" s="507"/>
      <c r="DC317" s="507"/>
      <c r="DD317" s="507"/>
      <c r="DE317" s="507"/>
      <c r="DF317" s="507"/>
      <c r="DG317" s="507"/>
      <c r="DH317" s="507"/>
      <c r="DI317" s="507"/>
      <c r="DJ317" s="507"/>
      <c r="DK317" s="507"/>
      <c r="DL317" s="507"/>
      <c r="DM317" s="507"/>
      <c r="DN317" s="507"/>
      <c r="DO317" s="507"/>
      <c r="DP317" s="507"/>
      <c r="DQ317" s="507"/>
      <c r="DR317" s="507"/>
      <c r="DS317" s="507"/>
      <c r="DT317" s="507"/>
      <c r="DU317" s="507"/>
      <c r="DV317" s="507"/>
      <c r="DW317" s="507"/>
      <c r="DX317" s="507"/>
      <c r="DY317" s="507"/>
      <c r="DZ317" s="507"/>
      <c r="EA317" s="507"/>
      <c r="EB317" s="507"/>
      <c r="EC317" s="507"/>
      <c r="ED317" s="507"/>
      <c r="EE317" s="507"/>
      <c r="EF317" s="507"/>
      <c r="EG317" s="507"/>
      <c r="EH317" s="507"/>
      <c r="EI317" s="507"/>
      <c r="EJ317" s="507"/>
      <c r="EK317" s="507"/>
      <c r="EL317" s="507"/>
      <c r="EM317" s="507"/>
      <c r="EN317" s="507"/>
      <c r="EO317" s="507"/>
      <c r="EP317" s="507"/>
      <c r="EQ317" s="507"/>
      <c r="ER317" s="507"/>
      <c r="ES317" s="507"/>
      <c r="ET317" s="507"/>
      <c r="EU317" s="507"/>
      <c r="EV317" s="507"/>
      <c r="EW317" s="507"/>
      <c r="EX317" s="507"/>
      <c r="EY317" s="507"/>
      <c r="EZ317" s="507"/>
      <c r="FA317" s="507"/>
      <c r="FB317" s="507"/>
      <c r="FC317" s="507"/>
      <c r="FD317" s="507"/>
      <c r="FE317" s="507"/>
      <c r="FF317" s="507"/>
      <c r="FG317" s="507"/>
      <c r="FH317" s="507"/>
      <c r="FI317" s="507"/>
      <c r="FJ317" s="507"/>
      <c r="FK317" s="507"/>
      <c r="FL317" s="507"/>
      <c r="FM317" s="507"/>
      <c r="FN317" s="507"/>
      <c r="FO317" s="507"/>
      <c r="FP317" s="507"/>
      <c r="FQ317" s="507"/>
      <c r="FR317" s="507"/>
      <c r="FS317" s="507"/>
      <c r="FT317" s="507"/>
      <c r="FU317" s="507"/>
      <c r="FV317" s="507"/>
      <c r="FW317" s="507"/>
      <c r="FX317" s="507"/>
      <c r="FY317" s="507"/>
      <c r="FZ317" s="507"/>
      <c r="GA317" s="507"/>
      <c r="GB317" s="507"/>
      <c r="GC317" s="507"/>
      <c r="GD317" s="507"/>
      <c r="GE317" s="507"/>
      <c r="GF317" s="507"/>
      <c r="GG317" s="507"/>
      <c r="GH317" s="507"/>
      <c r="GI317" s="507"/>
      <c r="GJ317" s="507"/>
      <c r="GK317" s="507"/>
      <c r="GL317" s="507"/>
      <c r="GM317" s="507"/>
      <c r="GN317" s="507"/>
      <c r="GO317" s="507"/>
      <c r="GP317" s="507"/>
      <c r="GQ317" s="507"/>
      <c r="GR317" s="507"/>
      <c r="GS317" s="507"/>
      <c r="GT317" s="507"/>
      <c r="GU317" s="507"/>
      <c r="GV317" s="507"/>
      <c r="GW317" s="507"/>
      <c r="GX317" s="507"/>
      <c r="GY317" s="507"/>
      <c r="GZ317" s="507"/>
      <c r="HA317" s="507"/>
      <c r="HB317" s="507"/>
      <c r="HC317" s="507"/>
      <c r="HD317" s="507"/>
      <c r="HE317" s="507"/>
      <c r="HF317" s="507"/>
      <c r="HG317" s="507"/>
      <c r="HH317" s="507"/>
      <c r="HI317" s="507"/>
      <c r="HJ317" s="507"/>
      <c r="HK317" s="507"/>
      <c r="HL317" s="507"/>
      <c r="HM317" s="507"/>
      <c r="HN317" s="507"/>
      <c r="HO317" s="507"/>
      <c r="HP317" s="507"/>
      <c r="HQ317" s="507"/>
      <c r="HR317" s="507"/>
      <c r="HS317" s="507"/>
      <c r="HT317" s="507"/>
      <c r="HU317" s="507"/>
      <c r="HV317" s="507"/>
      <c r="HW317" s="507"/>
      <c r="HX317" s="507"/>
      <c r="HY317" s="507"/>
      <c r="HZ317" s="507"/>
    </row>
    <row r="318" spans="1:234" s="206" customFormat="1" ht="13.5" hidden="1" customHeight="1" x14ac:dyDescent="0.25">
      <c r="A318" s="541" t="s">
        <v>3394</v>
      </c>
      <c r="B318" s="523" t="s">
        <v>3389</v>
      </c>
      <c r="C318" s="524" t="s">
        <v>2199</v>
      </c>
      <c r="D318" s="551" t="s">
        <v>2159</v>
      </c>
      <c r="E318" s="569" t="s">
        <v>3228</v>
      </c>
      <c r="F318" s="543">
        <v>40609</v>
      </c>
      <c r="G318" s="544">
        <v>40546</v>
      </c>
      <c r="H318" s="544">
        <v>40602</v>
      </c>
      <c r="I318" s="616">
        <v>42643</v>
      </c>
      <c r="J318" s="579">
        <v>10</v>
      </c>
      <c r="K318" s="553">
        <v>0</v>
      </c>
      <c r="L318" s="552">
        <v>0.08</v>
      </c>
      <c r="M318" s="560">
        <v>0.04</v>
      </c>
      <c r="N318" s="606" t="s">
        <v>3229</v>
      </c>
      <c r="O318" s="613">
        <v>0.36</v>
      </c>
      <c r="P318" s="575" t="s">
        <v>3229</v>
      </c>
      <c r="Q318" s="575">
        <v>0.04</v>
      </c>
      <c r="R318" s="575" t="s">
        <v>3229</v>
      </c>
      <c r="S318" s="570">
        <v>5</v>
      </c>
      <c r="T318" s="617">
        <v>40940</v>
      </c>
      <c r="U318" s="563">
        <v>41306</v>
      </c>
      <c r="V318" s="563">
        <v>41671</v>
      </c>
      <c r="W318" s="563">
        <v>42036</v>
      </c>
      <c r="X318" s="563">
        <v>42583</v>
      </c>
      <c r="Y318" s="598" t="s">
        <v>3229</v>
      </c>
      <c r="Z318" s="598" t="s">
        <v>3229</v>
      </c>
      <c r="AA318" s="598" t="s">
        <v>3229</v>
      </c>
      <c r="AB318" s="598" t="s">
        <v>3229</v>
      </c>
      <c r="AC318" s="598" t="s">
        <v>3229</v>
      </c>
      <c r="AD318" s="598" t="s">
        <v>3229</v>
      </c>
      <c r="AE318" s="598" t="s">
        <v>3229</v>
      </c>
      <c r="AF318" s="3764" t="s">
        <v>781</v>
      </c>
      <c r="AG318" s="3765"/>
      <c r="AH318" s="1301" t="s">
        <v>3229</v>
      </c>
      <c r="AI318" s="1301" t="s">
        <v>3229</v>
      </c>
      <c r="AJ318" s="1301" t="s">
        <v>3229</v>
      </c>
      <c r="AK318" s="530" t="s">
        <v>3229</v>
      </c>
      <c r="AL318" s="530" t="s">
        <v>3229</v>
      </c>
      <c r="AM318" s="659">
        <v>1</v>
      </c>
      <c r="AN318" s="638">
        <f>'klikací hodnoty'!F9489</f>
        <v>7.0469999999999977E-2</v>
      </c>
      <c r="AO318" s="625">
        <v>10.71</v>
      </c>
      <c r="AP318" s="1368">
        <f>'klikací hodnoty'!F9481</f>
        <v>2.5000000000000001E-3</v>
      </c>
      <c r="AQ318" s="606">
        <f>'klikací hodnoty'!E9481</f>
        <v>0.54220507042238886</v>
      </c>
      <c r="AR318" s="3764">
        <f>O318</f>
        <v>0.36</v>
      </c>
      <c r="AS318" s="3771">
        <f>POWER(1+AR318,1/((I318-F318)/365))-1</f>
        <v>5.6728624679665662E-2</v>
      </c>
      <c r="AT318" s="3771">
        <f>J318*(1+AR318)/AO318-1</f>
        <v>0.26984126984126955</v>
      </c>
      <c r="AU318" s="3772" t="e">
        <f>POWER(1+AT318,1/AG318)-1</f>
        <v>#DIV/0!</v>
      </c>
      <c r="AV318" s="558">
        <f>M318</f>
        <v>0.04</v>
      </c>
      <c r="AW318" s="558">
        <f>POWER(1+AV318,1/((I318-F318)/365))-1</f>
        <v>7.0629577667948862E-3</v>
      </c>
      <c r="AX318" s="589">
        <f>J318*(1+AV318)/AO318-1</f>
        <v>-2.8944911297852483E-2</v>
      </c>
      <c r="AY318" s="587" t="e">
        <f>POWER(1+AX318,1/AG318)-1</f>
        <v>#DIV/0!</v>
      </c>
      <c r="AZ318" s="676">
        <f t="shared" si="62"/>
        <v>10.4</v>
      </c>
      <c r="BA318" s="581" t="s">
        <v>2585</v>
      </c>
      <c r="BB318" s="570" t="s">
        <v>2025</v>
      </c>
      <c r="BC318" s="581" t="s">
        <v>2895</v>
      </c>
      <c r="BD318" s="3691"/>
      <c r="BE318" s="3743"/>
      <c r="BF318" s="3743"/>
      <c r="BG318" s="3708"/>
      <c r="BH318" s="3762"/>
      <c r="BI318" s="3762"/>
      <c r="BJ318" s="39"/>
      <c r="BK318" s="39"/>
      <c r="BL318" s="39"/>
      <c r="BM318" s="39"/>
      <c r="BN318" s="39"/>
      <c r="BO318" s="39"/>
      <c r="BP318" s="39"/>
      <c r="BQ318" s="39"/>
      <c r="BR318" s="39"/>
      <c r="BS318" s="507"/>
      <c r="BT318" s="507"/>
      <c r="BU318" s="507"/>
      <c r="BV318" s="507"/>
      <c r="BW318" s="507"/>
      <c r="BX318" s="507"/>
      <c r="BY318" s="507"/>
      <c r="BZ318" s="507"/>
      <c r="CA318" s="507"/>
      <c r="CB318" s="507"/>
      <c r="CC318" s="507"/>
      <c r="CD318" s="507"/>
      <c r="CE318" s="507"/>
      <c r="CF318" s="507"/>
      <c r="CG318" s="507"/>
      <c r="CH318" s="507"/>
      <c r="CI318" s="507"/>
      <c r="CJ318" s="507"/>
      <c r="CK318" s="507"/>
      <c r="CL318" s="507"/>
      <c r="CM318" s="507"/>
      <c r="CN318" s="507"/>
      <c r="CO318" s="507"/>
      <c r="CP318" s="507"/>
      <c r="CQ318" s="507"/>
      <c r="CR318" s="507"/>
      <c r="CS318" s="507"/>
      <c r="CT318" s="507"/>
      <c r="CU318" s="507"/>
      <c r="CV318" s="507"/>
      <c r="CW318" s="507"/>
      <c r="CX318" s="507"/>
      <c r="CY318" s="507"/>
      <c r="CZ318" s="507"/>
      <c r="DA318" s="507"/>
      <c r="DB318" s="507"/>
      <c r="DC318" s="507"/>
      <c r="DD318" s="507"/>
      <c r="DE318" s="507"/>
      <c r="DF318" s="507"/>
      <c r="DG318" s="507"/>
      <c r="DH318" s="507"/>
      <c r="DI318" s="507"/>
      <c r="DJ318" s="507"/>
      <c r="DK318" s="507"/>
      <c r="DL318" s="507"/>
      <c r="DM318" s="507"/>
      <c r="DN318" s="507"/>
      <c r="DO318" s="507"/>
      <c r="DP318" s="507"/>
      <c r="DQ318" s="507"/>
      <c r="DR318" s="507"/>
      <c r="DS318" s="507"/>
      <c r="DT318" s="507"/>
      <c r="DU318" s="507"/>
      <c r="DV318" s="507"/>
      <c r="DW318" s="507"/>
      <c r="DX318" s="507"/>
      <c r="DY318" s="507"/>
      <c r="DZ318" s="507"/>
      <c r="EA318" s="507"/>
      <c r="EB318" s="507"/>
      <c r="EC318" s="507"/>
      <c r="ED318" s="507"/>
      <c r="EE318" s="507"/>
      <c r="EF318" s="507"/>
      <c r="EG318" s="507"/>
      <c r="EH318" s="507"/>
      <c r="EI318" s="507"/>
      <c r="EJ318" s="507"/>
      <c r="EK318" s="507"/>
      <c r="EL318" s="507"/>
      <c r="EM318" s="507"/>
      <c r="EN318" s="507"/>
      <c r="EO318" s="507"/>
      <c r="EP318" s="507"/>
      <c r="EQ318" s="507"/>
      <c r="ER318" s="507"/>
      <c r="ES318" s="507"/>
      <c r="ET318" s="507"/>
      <c r="EU318" s="507"/>
      <c r="EV318" s="507"/>
      <c r="EW318" s="507"/>
      <c r="EX318" s="507"/>
      <c r="EY318" s="507"/>
      <c r="EZ318" s="507"/>
      <c r="FA318" s="507"/>
      <c r="FB318" s="507"/>
      <c r="FC318" s="507"/>
      <c r="FD318" s="507"/>
      <c r="FE318" s="507"/>
      <c r="FF318" s="507"/>
      <c r="FG318" s="507"/>
      <c r="FH318" s="507"/>
      <c r="FI318" s="507"/>
      <c r="FJ318" s="507"/>
      <c r="FK318" s="507"/>
      <c r="FL318" s="507"/>
      <c r="FM318" s="507"/>
      <c r="FN318" s="507"/>
      <c r="FO318" s="507"/>
      <c r="FP318" s="507"/>
      <c r="FQ318" s="507"/>
      <c r="FR318" s="507"/>
      <c r="FS318" s="507"/>
      <c r="FT318" s="507"/>
      <c r="FU318" s="507"/>
      <c r="FV318" s="507"/>
      <c r="FW318" s="507"/>
      <c r="FX318" s="507"/>
      <c r="FY318" s="507"/>
      <c r="FZ318" s="507"/>
      <c r="GA318" s="507"/>
      <c r="GB318" s="507"/>
      <c r="GC318" s="507"/>
      <c r="GD318" s="507"/>
      <c r="GE318" s="507"/>
      <c r="GF318" s="507"/>
      <c r="GG318" s="507"/>
      <c r="GH318" s="507"/>
      <c r="GI318" s="507"/>
      <c r="GJ318" s="507"/>
      <c r="GK318" s="507"/>
      <c r="GL318" s="507"/>
      <c r="GM318" s="507"/>
      <c r="GN318" s="507"/>
      <c r="GO318" s="507"/>
      <c r="GP318" s="507"/>
      <c r="GQ318" s="507"/>
      <c r="GR318" s="507"/>
      <c r="GS318" s="507"/>
      <c r="GT318" s="507"/>
      <c r="GU318" s="507"/>
      <c r="GV318" s="507"/>
      <c r="GW318" s="507"/>
      <c r="GX318" s="507"/>
      <c r="GY318" s="507"/>
      <c r="GZ318" s="507"/>
      <c r="HA318" s="507"/>
      <c r="HB318" s="507"/>
      <c r="HC318" s="507"/>
      <c r="HD318" s="507"/>
      <c r="HE318" s="507"/>
      <c r="HF318" s="507"/>
      <c r="HG318" s="507"/>
      <c r="HH318" s="507"/>
      <c r="HI318" s="507"/>
      <c r="HJ318" s="507"/>
      <c r="HK318" s="507"/>
      <c r="HL318" s="507"/>
      <c r="HM318" s="507"/>
      <c r="HN318" s="507"/>
      <c r="HO318" s="507"/>
      <c r="HP318" s="507"/>
      <c r="HQ318" s="507"/>
      <c r="HR318" s="507"/>
      <c r="HS318" s="507"/>
      <c r="HT318" s="507"/>
      <c r="HU318" s="507"/>
      <c r="HV318" s="507"/>
      <c r="HW318" s="507"/>
      <c r="HX318" s="507"/>
      <c r="HY318" s="507"/>
      <c r="HZ318" s="507"/>
    </row>
    <row r="319" spans="1:234" s="206" customFormat="1" ht="13.5" hidden="1" customHeight="1" x14ac:dyDescent="0.25">
      <c r="A319" s="541" t="s">
        <v>3395</v>
      </c>
      <c r="B319" s="523" t="s">
        <v>3750</v>
      </c>
      <c r="C319" s="524" t="s">
        <v>2200</v>
      </c>
      <c r="D319" s="551" t="s">
        <v>189</v>
      </c>
      <c r="E319" s="569" t="s">
        <v>3228</v>
      </c>
      <c r="F319" s="543">
        <v>40581</v>
      </c>
      <c r="G319" s="544">
        <v>40546</v>
      </c>
      <c r="H319" s="544">
        <v>40574</v>
      </c>
      <c r="I319" s="616">
        <v>42580</v>
      </c>
      <c r="J319" s="579">
        <v>10</v>
      </c>
      <c r="K319" s="553" t="s">
        <v>3229</v>
      </c>
      <c r="L319" s="552" t="s">
        <v>3229</v>
      </c>
      <c r="M319" s="560">
        <v>0</v>
      </c>
      <c r="N319" s="606">
        <v>0.8</v>
      </c>
      <c r="O319" s="613" t="s">
        <v>3229</v>
      </c>
      <c r="P319" s="575" t="s">
        <v>3229</v>
      </c>
      <c r="Q319" s="575" t="s">
        <v>3229</v>
      </c>
      <c r="R319" s="575" t="s">
        <v>3229</v>
      </c>
      <c r="S319" s="570"/>
      <c r="T319" s="617" t="s">
        <v>3229</v>
      </c>
      <c r="U319" s="563" t="s">
        <v>3229</v>
      </c>
      <c r="V319" s="563" t="s">
        <v>3229</v>
      </c>
      <c r="W319" s="563" t="s">
        <v>3229</v>
      </c>
      <c r="X319" s="563" t="s">
        <v>3229</v>
      </c>
      <c r="Y319" s="598" t="s">
        <v>3229</v>
      </c>
      <c r="Z319" s="598" t="s">
        <v>3229</v>
      </c>
      <c r="AA319" s="598" t="s">
        <v>3229</v>
      </c>
      <c r="AB319" s="598" t="s">
        <v>3229</v>
      </c>
      <c r="AC319" s="598" t="s">
        <v>3229</v>
      </c>
      <c r="AD319" s="598" t="s">
        <v>3229</v>
      </c>
      <c r="AE319" s="598" t="s">
        <v>3229</v>
      </c>
      <c r="AF319" s="3764" t="s">
        <v>781</v>
      </c>
      <c r="AG319" s="3765"/>
      <c r="AH319" s="1301" t="s">
        <v>3229</v>
      </c>
      <c r="AI319" s="1301" t="s">
        <v>3229</v>
      </c>
      <c r="AJ319" s="1301" t="s">
        <v>3229</v>
      </c>
      <c r="AK319" s="530" t="s">
        <v>3229</v>
      </c>
      <c r="AL319" s="530" t="s">
        <v>3229</v>
      </c>
      <c r="AM319" s="659">
        <v>1</v>
      </c>
      <c r="AN319" s="638">
        <f>'klikací hodnoty'!F9623</f>
        <v>0.35740728888888895</v>
      </c>
      <c r="AO319" s="625">
        <v>13.57</v>
      </c>
      <c r="AP319" s="1368">
        <f>'klikací hodnoty'!L9610</f>
        <v>0.44675911111111116</v>
      </c>
      <c r="AQ319" s="606">
        <f>'klikací hodnoty'!F9622</f>
        <v>0.50429999999999997</v>
      </c>
      <c r="AR319" s="3764" t="s">
        <v>3660</v>
      </c>
      <c r="AS319" s="3771"/>
      <c r="AT319" s="3771"/>
      <c r="AU319" s="3772"/>
      <c r="AV319" s="558">
        <f t="shared" si="59"/>
        <v>0</v>
      </c>
      <c r="AW319" s="558">
        <f t="shared" si="56"/>
        <v>0</v>
      </c>
      <c r="AX319" s="589">
        <f t="shared" si="57"/>
        <v>-0.26308032424465733</v>
      </c>
      <c r="AY319" s="587" t="e">
        <f t="shared" si="58"/>
        <v>#DIV/0!</v>
      </c>
      <c r="AZ319" s="676">
        <f t="shared" si="62"/>
        <v>10</v>
      </c>
      <c r="BA319" s="581" t="s">
        <v>3190</v>
      </c>
      <c r="BB319" s="570"/>
      <c r="BC319" s="581"/>
      <c r="BD319" s="3691"/>
      <c r="BE319" s="3743"/>
      <c r="BF319" s="3743"/>
      <c r="BG319" s="3708"/>
      <c r="BH319" s="3762"/>
      <c r="BI319" s="3762"/>
      <c r="BJ319" s="39"/>
      <c r="BK319" s="39"/>
      <c r="BL319" s="39"/>
      <c r="BM319" s="39"/>
      <c r="BN319" s="39"/>
      <c r="BO319" s="39"/>
      <c r="BP319" s="39"/>
      <c r="BQ319" s="39"/>
      <c r="BR319" s="39"/>
      <c r="BS319" s="507"/>
      <c r="BT319" s="507"/>
      <c r="BU319" s="507"/>
      <c r="BV319" s="507"/>
      <c r="BW319" s="507"/>
      <c r="BX319" s="507"/>
      <c r="BY319" s="507"/>
      <c r="BZ319" s="507"/>
      <c r="CA319" s="507"/>
      <c r="CB319" s="507"/>
      <c r="CC319" s="507"/>
      <c r="CD319" s="507"/>
      <c r="CE319" s="507"/>
      <c r="CF319" s="507"/>
      <c r="CG319" s="507"/>
      <c r="CH319" s="507"/>
      <c r="CI319" s="507"/>
      <c r="CJ319" s="507"/>
      <c r="CK319" s="507"/>
      <c r="CL319" s="507"/>
      <c r="CM319" s="507"/>
      <c r="CN319" s="507"/>
      <c r="CO319" s="507"/>
      <c r="CP319" s="507"/>
      <c r="CQ319" s="507"/>
      <c r="CR319" s="507"/>
      <c r="CS319" s="507"/>
      <c r="CT319" s="507"/>
      <c r="CU319" s="507"/>
      <c r="CV319" s="507"/>
      <c r="CW319" s="507"/>
      <c r="CX319" s="507"/>
      <c r="CY319" s="507"/>
      <c r="CZ319" s="507"/>
      <c r="DA319" s="507"/>
      <c r="DB319" s="507"/>
      <c r="DC319" s="507"/>
      <c r="DD319" s="507"/>
      <c r="DE319" s="507"/>
      <c r="DF319" s="507"/>
      <c r="DG319" s="507"/>
      <c r="DH319" s="507"/>
      <c r="DI319" s="507"/>
      <c r="DJ319" s="507"/>
      <c r="DK319" s="507"/>
      <c r="DL319" s="507"/>
      <c r="DM319" s="507"/>
      <c r="DN319" s="507"/>
      <c r="DO319" s="507"/>
      <c r="DP319" s="507"/>
      <c r="DQ319" s="507"/>
      <c r="DR319" s="507"/>
      <c r="DS319" s="507"/>
      <c r="DT319" s="507"/>
      <c r="DU319" s="507"/>
      <c r="DV319" s="507"/>
      <c r="DW319" s="507"/>
      <c r="DX319" s="507"/>
      <c r="DY319" s="507"/>
      <c r="DZ319" s="507"/>
      <c r="EA319" s="507"/>
      <c r="EB319" s="507"/>
      <c r="EC319" s="507"/>
      <c r="ED319" s="507"/>
      <c r="EE319" s="507"/>
      <c r="EF319" s="507"/>
      <c r="EG319" s="507"/>
      <c r="EH319" s="507"/>
      <c r="EI319" s="507"/>
      <c r="EJ319" s="507"/>
      <c r="EK319" s="507"/>
      <c r="EL319" s="507"/>
      <c r="EM319" s="507"/>
      <c r="EN319" s="507"/>
      <c r="EO319" s="507"/>
      <c r="EP319" s="507"/>
      <c r="EQ319" s="507"/>
      <c r="ER319" s="507"/>
      <c r="ES319" s="507"/>
      <c r="ET319" s="507"/>
      <c r="EU319" s="507"/>
      <c r="EV319" s="507"/>
      <c r="EW319" s="507"/>
      <c r="EX319" s="507"/>
      <c r="EY319" s="507"/>
      <c r="EZ319" s="507"/>
      <c r="FA319" s="507"/>
      <c r="FB319" s="507"/>
      <c r="FC319" s="507"/>
      <c r="FD319" s="507"/>
      <c r="FE319" s="507"/>
      <c r="FF319" s="507"/>
      <c r="FG319" s="507"/>
      <c r="FH319" s="507"/>
      <c r="FI319" s="507"/>
      <c r="FJ319" s="507"/>
      <c r="FK319" s="507"/>
      <c r="FL319" s="507"/>
      <c r="FM319" s="507"/>
      <c r="FN319" s="507"/>
      <c r="FO319" s="507"/>
      <c r="FP319" s="507"/>
      <c r="FQ319" s="507"/>
      <c r="FR319" s="507"/>
      <c r="FS319" s="507"/>
      <c r="FT319" s="507"/>
      <c r="FU319" s="507"/>
      <c r="FV319" s="507"/>
      <c r="FW319" s="507"/>
      <c r="FX319" s="507"/>
      <c r="FY319" s="507"/>
      <c r="FZ319" s="507"/>
      <c r="GA319" s="507"/>
      <c r="GB319" s="507"/>
      <c r="GC319" s="507"/>
      <c r="GD319" s="507"/>
      <c r="GE319" s="507"/>
      <c r="GF319" s="507"/>
      <c r="GG319" s="507"/>
      <c r="GH319" s="507"/>
      <c r="GI319" s="507"/>
      <c r="GJ319" s="507"/>
      <c r="GK319" s="507"/>
      <c r="GL319" s="507"/>
      <c r="GM319" s="507"/>
      <c r="GN319" s="507"/>
      <c r="GO319" s="507"/>
      <c r="GP319" s="507"/>
      <c r="GQ319" s="507"/>
      <c r="GR319" s="507"/>
      <c r="GS319" s="507"/>
      <c r="GT319" s="507"/>
      <c r="GU319" s="507"/>
      <c r="GV319" s="507"/>
      <c r="GW319" s="507"/>
      <c r="GX319" s="507"/>
      <c r="GY319" s="507"/>
      <c r="GZ319" s="507"/>
      <c r="HA319" s="507"/>
      <c r="HB319" s="507"/>
      <c r="HC319" s="507"/>
      <c r="HD319" s="507"/>
      <c r="HE319" s="507"/>
      <c r="HF319" s="507"/>
      <c r="HG319" s="507"/>
      <c r="HH319" s="507"/>
      <c r="HI319" s="507"/>
      <c r="HJ319" s="507"/>
      <c r="HK319" s="507"/>
      <c r="HL319" s="507"/>
      <c r="HM319" s="507"/>
      <c r="HN319" s="507"/>
      <c r="HO319" s="507"/>
      <c r="HP319" s="507"/>
      <c r="HQ319" s="507"/>
      <c r="HR319" s="507"/>
      <c r="HS319" s="507"/>
      <c r="HT319" s="507"/>
      <c r="HU319" s="507"/>
      <c r="HV319" s="507"/>
      <c r="HW319" s="507"/>
      <c r="HX319" s="507"/>
      <c r="HY319" s="507"/>
      <c r="HZ319" s="507"/>
    </row>
    <row r="320" spans="1:234" s="206" customFormat="1" ht="13.5" hidden="1" customHeight="1" x14ac:dyDescent="0.25">
      <c r="A320" s="541" t="s">
        <v>3396</v>
      </c>
      <c r="B320" s="523" t="s">
        <v>3390</v>
      </c>
      <c r="C320" s="524" t="s">
        <v>2201</v>
      </c>
      <c r="D320" s="551" t="s">
        <v>189</v>
      </c>
      <c r="E320" s="569" t="s">
        <v>905</v>
      </c>
      <c r="F320" s="543">
        <v>40571</v>
      </c>
      <c r="G320" s="544">
        <v>40525</v>
      </c>
      <c r="H320" s="544">
        <v>40564</v>
      </c>
      <c r="I320" s="616">
        <v>42580</v>
      </c>
      <c r="J320" s="579">
        <v>10</v>
      </c>
      <c r="K320" s="553">
        <v>5.0000000000000001E-3</v>
      </c>
      <c r="L320" s="552">
        <v>7.0000000000000007E-2</v>
      </c>
      <c r="M320" s="560">
        <v>5.5E-2</v>
      </c>
      <c r="N320" s="606" t="s">
        <v>3229</v>
      </c>
      <c r="O320" s="613">
        <v>0.315</v>
      </c>
      <c r="P320" s="575" t="s">
        <v>3229</v>
      </c>
      <c r="Q320" s="575">
        <v>3.5000000000000003E-2</v>
      </c>
      <c r="R320" s="575" t="s">
        <v>3229</v>
      </c>
      <c r="S320" s="570">
        <v>5</v>
      </c>
      <c r="T320" s="617">
        <v>41091</v>
      </c>
      <c r="U320" s="563">
        <v>41456</v>
      </c>
      <c r="V320" s="563">
        <v>41821</v>
      </c>
      <c r="W320" s="563">
        <v>42186</v>
      </c>
      <c r="X320" s="563">
        <v>42552</v>
      </c>
      <c r="Y320" s="598" t="s">
        <v>3229</v>
      </c>
      <c r="Z320" s="598" t="s">
        <v>3229</v>
      </c>
      <c r="AA320" s="598" t="s">
        <v>3229</v>
      </c>
      <c r="AB320" s="598" t="s">
        <v>3229</v>
      </c>
      <c r="AC320" s="598" t="s">
        <v>3229</v>
      </c>
      <c r="AD320" s="598" t="s">
        <v>3229</v>
      </c>
      <c r="AE320" s="598" t="s">
        <v>3229</v>
      </c>
      <c r="AF320" s="3764" t="s">
        <v>781</v>
      </c>
      <c r="AG320" s="3765"/>
      <c r="AH320" s="1301" t="s">
        <v>3229</v>
      </c>
      <c r="AI320" s="1301" t="s">
        <v>3229</v>
      </c>
      <c r="AJ320" s="1301" t="s">
        <v>3229</v>
      </c>
      <c r="AK320" s="530" t="s">
        <v>3229</v>
      </c>
      <c r="AL320" s="530" t="s">
        <v>3229</v>
      </c>
      <c r="AM320" s="659">
        <v>1</v>
      </c>
      <c r="AN320" s="638">
        <f>'klikací hodnoty'!F9586</f>
        <v>6.2854999999999994E-2</v>
      </c>
      <c r="AO320" s="625">
        <v>10.63</v>
      </c>
      <c r="AP320" s="1368">
        <f>'klikací hodnoty'!F9578</f>
        <v>-1.1838721883839144E-2</v>
      </c>
      <c r="AQ320" s="606">
        <f>'klikací hodnoty'!E9578</f>
        <v>0.52961294510021517</v>
      </c>
      <c r="AR320" s="3764">
        <f>O320</f>
        <v>0.315</v>
      </c>
      <c r="AS320" s="3771">
        <f>POWER(1+AR320,1/((I320-F320)/365))-1</f>
        <v>5.1009688882596604E-2</v>
      </c>
      <c r="AT320" s="3771">
        <f>J320*(1+AR320)/AO320-1</f>
        <v>0.23706491063029134</v>
      </c>
      <c r="AU320" s="3772" t="e">
        <f>POWER(1+AT320,1/AG320)-1</f>
        <v>#DIV/0!</v>
      </c>
      <c r="AV320" s="558">
        <f t="shared" si="59"/>
        <v>5.5E-2</v>
      </c>
      <c r="AW320" s="558">
        <f t="shared" si="56"/>
        <v>9.7748816858829191E-3</v>
      </c>
      <c r="AX320" s="589">
        <f t="shared" si="57"/>
        <v>-7.5258701787396243E-3</v>
      </c>
      <c r="AY320" s="587" t="e">
        <f t="shared" si="58"/>
        <v>#DIV/0!</v>
      </c>
      <c r="AZ320" s="676">
        <f t="shared" si="62"/>
        <v>10.549999999999999</v>
      </c>
      <c r="BA320" s="581" t="s">
        <v>2585</v>
      </c>
      <c r="BB320" s="570" t="s">
        <v>2025</v>
      </c>
      <c r="BC320" s="581" t="s">
        <v>2895</v>
      </c>
      <c r="BD320" s="3691"/>
      <c r="BE320" s="3743"/>
      <c r="BF320" s="3743"/>
      <c r="BG320" s="3708"/>
      <c r="BH320" s="3762"/>
      <c r="BI320" s="3762"/>
      <c r="BJ320" s="39"/>
      <c r="BK320" s="39"/>
      <c r="BL320" s="39"/>
      <c r="BM320" s="39"/>
      <c r="BN320" s="39"/>
      <c r="BO320" s="39"/>
      <c r="BP320" s="39"/>
      <c r="BQ320" s="39"/>
      <c r="BR320" s="39"/>
      <c r="BS320" s="507"/>
      <c r="BT320" s="507"/>
      <c r="BU320" s="507"/>
      <c r="BV320" s="507"/>
      <c r="BW320" s="507"/>
      <c r="BX320" s="507"/>
      <c r="BY320" s="507"/>
      <c r="BZ320" s="507"/>
      <c r="CA320" s="507"/>
      <c r="CB320" s="507"/>
      <c r="CC320" s="507"/>
      <c r="CD320" s="507"/>
      <c r="CE320" s="507"/>
      <c r="CF320" s="507"/>
      <c r="CG320" s="507"/>
      <c r="CH320" s="507"/>
      <c r="CI320" s="507"/>
      <c r="CJ320" s="507"/>
      <c r="CK320" s="507"/>
      <c r="CL320" s="507"/>
      <c r="CM320" s="507"/>
      <c r="CN320" s="507"/>
      <c r="CO320" s="507"/>
      <c r="CP320" s="507"/>
      <c r="CQ320" s="507"/>
      <c r="CR320" s="507"/>
      <c r="CS320" s="507"/>
      <c r="CT320" s="507"/>
      <c r="CU320" s="507"/>
      <c r="CV320" s="507"/>
      <c r="CW320" s="507"/>
      <c r="CX320" s="507"/>
      <c r="CY320" s="507"/>
      <c r="CZ320" s="507"/>
      <c r="DA320" s="507"/>
      <c r="DB320" s="507"/>
      <c r="DC320" s="507"/>
      <c r="DD320" s="507"/>
      <c r="DE320" s="507"/>
      <c r="DF320" s="507"/>
      <c r="DG320" s="507"/>
      <c r="DH320" s="507"/>
      <c r="DI320" s="507"/>
      <c r="DJ320" s="507"/>
      <c r="DK320" s="507"/>
      <c r="DL320" s="507"/>
      <c r="DM320" s="507"/>
      <c r="DN320" s="507"/>
      <c r="DO320" s="507"/>
      <c r="DP320" s="507"/>
      <c r="DQ320" s="507"/>
      <c r="DR320" s="507"/>
      <c r="DS320" s="507"/>
      <c r="DT320" s="507"/>
      <c r="DU320" s="507"/>
      <c r="DV320" s="507"/>
      <c r="DW320" s="507"/>
      <c r="DX320" s="507"/>
      <c r="DY320" s="507"/>
      <c r="DZ320" s="507"/>
      <c r="EA320" s="507"/>
      <c r="EB320" s="507"/>
      <c r="EC320" s="507"/>
      <c r="ED320" s="507"/>
      <c r="EE320" s="507"/>
      <c r="EF320" s="507"/>
      <c r="EG320" s="507"/>
      <c r="EH320" s="507"/>
      <c r="EI320" s="507"/>
      <c r="EJ320" s="507"/>
      <c r="EK320" s="507"/>
      <c r="EL320" s="507"/>
      <c r="EM320" s="507"/>
      <c r="EN320" s="507"/>
      <c r="EO320" s="507"/>
      <c r="EP320" s="507"/>
      <c r="EQ320" s="507"/>
      <c r="ER320" s="507"/>
      <c r="ES320" s="507"/>
      <c r="ET320" s="507"/>
      <c r="EU320" s="507"/>
      <c r="EV320" s="507"/>
      <c r="EW320" s="507"/>
      <c r="EX320" s="507"/>
      <c r="EY320" s="507"/>
      <c r="EZ320" s="507"/>
      <c r="FA320" s="507"/>
      <c r="FB320" s="507"/>
      <c r="FC320" s="507"/>
      <c r="FD320" s="507"/>
      <c r="FE320" s="507"/>
      <c r="FF320" s="507"/>
      <c r="FG320" s="507"/>
      <c r="FH320" s="507"/>
      <c r="FI320" s="507"/>
      <c r="FJ320" s="507"/>
      <c r="FK320" s="507"/>
      <c r="FL320" s="507"/>
      <c r="FM320" s="507"/>
      <c r="FN320" s="507"/>
      <c r="FO320" s="507"/>
      <c r="FP320" s="507"/>
      <c r="FQ320" s="507"/>
      <c r="FR320" s="507"/>
      <c r="FS320" s="507"/>
      <c r="FT320" s="507"/>
      <c r="FU320" s="507"/>
      <c r="FV320" s="507"/>
      <c r="FW320" s="507"/>
      <c r="FX320" s="507"/>
      <c r="FY320" s="507"/>
      <c r="FZ320" s="507"/>
      <c r="GA320" s="507"/>
      <c r="GB320" s="507"/>
      <c r="GC320" s="507"/>
      <c r="GD320" s="507"/>
      <c r="GE320" s="507"/>
      <c r="GF320" s="507"/>
      <c r="GG320" s="507"/>
      <c r="GH320" s="507"/>
      <c r="GI320" s="507"/>
      <c r="GJ320" s="507"/>
      <c r="GK320" s="507"/>
      <c r="GL320" s="507"/>
      <c r="GM320" s="507"/>
      <c r="GN320" s="507"/>
      <c r="GO320" s="507"/>
      <c r="GP320" s="507"/>
      <c r="GQ320" s="507"/>
      <c r="GR320" s="507"/>
      <c r="GS320" s="507"/>
      <c r="GT320" s="507"/>
      <c r="GU320" s="507"/>
      <c r="GV320" s="507"/>
      <c r="GW320" s="507"/>
      <c r="GX320" s="507"/>
      <c r="GY320" s="507"/>
      <c r="GZ320" s="507"/>
      <c r="HA320" s="507"/>
      <c r="HB320" s="507"/>
      <c r="HC320" s="507"/>
      <c r="HD320" s="507"/>
      <c r="HE320" s="507"/>
      <c r="HF320" s="507"/>
      <c r="HG320" s="507"/>
      <c r="HH320" s="507"/>
      <c r="HI320" s="507"/>
      <c r="HJ320" s="507"/>
      <c r="HK320" s="507"/>
      <c r="HL320" s="507"/>
      <c r="HM320" s="507"/>
      <c r="HN320" s="507"/>
      <c r="HO320" s="507"/>
      <c r="HP320" s="507"/>
      <c r="HQ320" s="507"/>
      <c r="HR320" s="507"/>
      <c r="HS320" s="507"/>
      <c r="HT320" s="507"/>
      <c r="HU320" s="507"/>
      <c r="HV320" s="507"/>
      <c r="HW320" s="507"/>
      <c r="HX320" s="507"/>
      <c r="HY320" s="507"/>
      <c r="HZ320" s="507"/>
    </row>
    <row r="321" spans="1:234" s="206" customFormat="1" ht="13.5" hidden="1" customHeight="1" x14ac:dyDescent="0.25">
      <c r="A321" s="541" t="s">
        <v>3397</v>
      </c>
      <c r="B321" s="523" t="s">
        <v>3391</v>
      </c>
      <c r="C321" s="524" t="s">
        <v>2202</v>
      </c>
      <c r="D321" s="551" t="s">
        <v>4169</v>
      </c>
      <c r="E321" s="569" t="s">
        <v>3228</v>
      </c>
      <c r="F321" s="543">
        <v>40584</v>
      </c>
      <c r="G321" s="544">
        <v>40546</v>
      </c>
      <c r="H321" s="544">
        <v>40574</v>
      </c>
      <c r="I321" s="616">
        <v>42598</v>
      </c>
      <c r="J321" s="579">
        <v>10</v>
      </c>
      <c r="K321" s="553" t="s">
        <v>3229</v>
      </c>
      <c r="L321" s="552" t="s">
        <v>3229</v>
      </c>
      <c r="M321" s="560">
        <v>0</v>
      </c>
      <c r="N321" s="606">
        <v>0.75</v>
      </c>
      <c r="O321" s="613" t="s">
        <v>3229</v>
      </c>
      <c r="P321" s="575" t="s">
        <v>3229</v>
      </c>
      <c r="Q321" s="575" t="s">
        <v>3229</v>
      </c>
      <c r="R321" s="575" t="s">
        <v>3229</v>
      </c>
      <c r="S321" s="570"/>
      <c r="T321" s="617" t="s">
        <v>3229</v>
      </c>
      <c r="U321" s="563" t="s">
        <v>3229</v>
      </c>
      <c r="V321" s="563" t="s">
        <v>3229</v>
      </c>
      <c r="W321" s="563" t="s">
        <v>3229</v>
      </c>
      <c r="X321" s="563" t="s">
        <v>3229</v>
      </c>
      <c r="Y321" s="598" t="s">
        <v>3229</v>
      </c>
      <c r="Z321" s="598" t="s">
        <v>3229</v>
      </c>
      <c r="AA321" s="598" t="s">
        <v>3229</v>
      </c>
      <c r="AB321" s="598" t="s">
        <v>3229</v>
      </c>
      <c r="AC321" s="598" t="s">
        <v>3229</v>
      </c>
      <c r="AD321" s="598" t="s">
        <v>3229</v>
      </c>
      <c r="AE321" s="598" t="s">
        <v>3229</v>
      </c>
      <c r="AF321" s="3764" t="s">
        <v>781</v>
      </c>
      <c r="AG321" s="3765"/>
      <c r="AH321" s="1301" t="s">
        <v>3229</v>
      </c>
      <c r="AI321" s="1301" t="s">
        <v>3229</v>
      </c>
      <c r="AJ321" s="1301" t="s">
        <v>3229</v>
      </c>
      <c r="AK321" s="530" t="s">
        <v>3229</v>
      </c>
      <c r="AL321" s="530" t="s">
        <v>3229</v>
      </c>
      <c r="AM321" s="659">
        <v>1</v>
      </c>
      <c r="AN321" s="638">
        <f>'klikací hodnoty'!F9988</f>
        <v>0.46833395833333336</v>
      </c>
      <c r="AO321" s="625">
        <v>14.68</v>
      </c>
      <c r="AP321" s="1368">
        <f>'klikací hodnoty'!O9985</f>
        <v>0.62444527777777781</v>
      </c>
      <c r="AQ321" s="606">
        <f>'klikací hodnoty'!F9987</f>
        <v>0.54783581586545349</v>
      </c>
      <c r="AR321" s="3764" t="s">
        <v>3660</v>
      </c>
      <c r="AS321" s="3771"/>
      <c r="AT321" s="3771"/>
      <c r="AU321" s="3772"/>
      <c r="AV321" s="558">
        <f t="shared" si="59"/>
        <v>0</v>
      </c>
      <c r="AW321" s="558">
        <f t="shared" si="56"/>
        <v>0</v>
      </c>
      <c r="AX321" s="589">
        <f t="shared" si="57"/>
        <v>-0.31880108991825606</v>
      </c>
      <c r="AY321" s="587" t="e">
        <f t="shared" si="58"/>
        <v>#DIV/0!</v>
      </c>
      <c r="AZ321" s="676">
        <f t="shared" si="62"/>
        <v>10</v>
      </c>
      <c r="BA321" s="581" t="s">
        <v>3190</v>
      </c>
      <c r="BB321" s="570"/>
      <c r="BC321" s="581"/>
      <c r="BD321" s="3691"/>
      <c r="BE321" s="3743"/>
      <c r="BF321" s="3743"/>
      <c r="BG321" s="3708"/>
      <c r="BH321" s="3762"/>
      <c r="BI321" s="3762"/>
      <c r="BJ321" s="39"/>
      <c r="BK321" s="39"/>
      <c r="BL321" s="39"/>
      <c r="BM321" s="39"/>
      <c r="BN321" s="39"/>
      <c r="BO321" s="39"/>
      <c r="BP321" s="39"/>
      <c r="BQ321" s="39"/>
      <c r="BR321" s="39"/>
      <c r="BS321" s="507"/>
      <c r="BT321" s="507"/>
      <c r="BU321" s="507"/>
      <c r="BV321" s="507"/>
      <c r="BW321" s="507"/>
      <c r="BX321" s="507"/>
      <c r="BY321" s="507"/>
      <c r="BZ321" s="507"/>
      <c r="CA321" s="507"/>
      <c r="CB321" s="507"/>
      <c r="CC321" s="507"/>
      <c r="CD321" s="507"/>
      <c r="CE321" s="507"/>
      <c r="CF321" s="507"/>
      <c r="CG321" s="507"/>
      <c r="CH321" s="507"/>
      <c r="CI321" s="507"/>
      <c r="CJ321" s="507"/>
      <c r="CK321" s="507"/>
      <c r="CL321" s="507"/>
      <c r="CM321" s="507"/>
      <c r="CN321" s="507"/>
      <c r="CO321" s="507"/>
      <c r="CP321" s="507"/>
      <c r="CQ321" s="507"/>
      <c r="CR321" s="507"/>
      <c r="CS321" s="507"/>
      <c r="CT321" s="507"/>
      <c r="CU321" s="507"/>
      <c r="CV321" s="507"/>
      <c r="CW321" s="507"/>
      <c r="CX321" s="507"/>
      <c r="CY321" s="507"/>
      <c r="CZ321" s="507"/>
      <c r="DA321" s="507"/>
      <c r="DB321" s="507"/>
      <c r="DC321" s="507"/>
      <c r="DD321" s="507"/>
      <c r="DE321" s="507"/>
      <c r="DF321" s="507"/>
      <c r="DG321" s="507"/>
      <c r="DH321" s="507"/>
      <c r="DI321" s="507"/>
      <c r="DJ321" s="507"/>
      <c r="DK321" s="507"/>
      <c r="DL321" s="507"/>
      <c r="DM321" s="507"/>
      <c r="DN321" s="507"/>
      <c r="DO321" s="507"/>
      <c r="DP321" s="507"/>
      <c r="DQ321" s="507"/>
      <c r="DR321" s="507"/>
      <c r="DS321" s="507"/>
      <c r="DT321" s="507"/>
      <c r="DU321" s="507"/>
      <c r="DV321" s="507"/>
      <c r="DW321" s="507"/>
      <c r="DX321" s="507"/>
      <c r="DY321" s="507"/>
      <c r="DZ321" s="507"/>
      <c r="EA321" s="507"/>
      <c r="EB321" s="507"/>
      <c r="EC321" s="507"/>
      <c r="ED321" s="507"/>
      <c r="EE321" s="507"/>
      <c r="EF321" s="507"/>
      <c r="EG321" s="507"/>
      <c r="EH321" s="507"/>
      <c r="EI321" s="507"/>
      <c r="EJ321" s="507"/>
      <c r="EK321" s="507"/>
      <c r="EL321" s="507"/>
      <c r="EM321" s="507"/>
      <c r="EN321" s="507"/>
      <c r="EO321" s="507"/>
      <c r="EP321" s="507"/>
      <c r="EQ321" s="507"/>
      <c r="ER321" s="507"/>
      <c r="ES321" s="507"/>
      <c r="ET321" s="507"/>
      <c r="EU321" s="507"/>
      <c r="EV321" s="507"/>
      <c r="EW321" s="507"/>
      <c r="EX321" s="507"/>
      <c r="EY321" s="507"/>
      <c r="EZ321" s="507"/>
      <c r="FA321" s="507"/>
      <c r="FB321" s="507"/>
      <c r="FC321" s="507"/>
      <c r="FD321" s="507"/>
      <c r="FE321" s="507"/>
      <c r="FF321" s="507"/>
      <c r="FG321" s="507"/>
      <c r="FH321" s="507"/>
      <c r="FI321" s="507"/>
      <c r="FJ321" s="507"/>
      <c r="FK321" s="507"/>
      <c r="FL321" s="507"/>
      <c r="FM321" s="507"/>
      <c r="FN321" s="507"/>
      <c r="FO321" s="507"/>
      <c r="FP321" s="507"/>
      <c r="FQ321" s="507"/>
      <c r="FR321" s="507"/>
      <c r="FS321" s="507"/>
      <c r="FT321" s="507"/>
      <c r="FU321" s="507"/>
      <c r="FV321" s="507"/>
      <c r="FW321" s="507"/>
      <c r="FX321" s="507"/>
      <c r="FY321" s="507"/>
      <c r="FZ321" s="507"/>
      <c r="GA321" s="507"/>
      <c r="GB321" s="507"/>
      <c r="GC321" s="507"/>
      <c r="GD321" s="507"/>
      <c r="GE321" s="507"/>
      <c r="GF321" s="507"/>
      <c r="GG321" s="507"/>
      <c r="GH321" s="507"/>
      <c r="GI321" s="507"/>
      <c r="GJ321" s="507"/>
      <c r="GK321" s="507"/>
      <c r="GL321" s="507"/>
      <c r="GM321" s="507"/>
      <c r="GN321" s="507"/>
      <c r="GO321" s="507"/>
      <c r="GP321" s="507"/>
      <c r="GQ321" s="507"/>
      <c r="GR321" s="507"/>
      <c r="GS321" s="507"/>
      <c r="GT321" s="507"/>
      <c r="GU321" s="507"/>
      <c r="GV321" s="507"/>
      <c r="GW321" s="507"/>
      <c r="GX321" s="507"/>
      <c r="GY321" s="507"/>
      <c r="GZ321" s="507"/>
      <c r="HA321" s="507"/>
      <c r="HB321" s="507"/>
      <c r="HC321" s="507"/>
      <c r="HD321" s="507"/>
      <c r="HE321" s="507"/>
      <c r="HF321" s="507"/>
      <c r="HG321" s="507"/>
      <c r="HH321" s="507"/>
      <c r="HI321" s="507"/>
      <c r="HJ321" s="507"/>
      <c r="HK321" s="507"/>
      <c r="HL321" s="507"/>
      <c r="HM321" s="507"/>
      <c r="HN321" s="507"/>
      <c r="HO321" s="507"/>
      <c r="HP321" s="507"/>
      <c r="HQ321" s="507"/>
      <c r="HR321" s="507"/>
      <c r="HS321" s="507"/>
      <c r="HT321" s="507"/>
      <c r="HU321" s="507"/>
      <c r="HV321" s="507"/>
      <c r="HW321" s="507"/>
      <c r="HX321" s="507"/>
      <c r="HY321" s="507"/>
      <c r="HZ321" s="507"/>
    </row>
    <row r="322" spans="1:234" s="206" customFormat="1" ht="13.5" hidden="1" customHeight="1" x14ac:dyDescent="0.25">
      <c r="A322" s="541" t="s">
        <v>3398</v>
      </c>
      <c r="B322" s="523" t="s">
        <v>3392</v>
      </c>
      <c r="C322" s="524" t="s">
        <v>2203</v>
      </c>
      <c r="D322" s="551" t="s">
        <v>4168</v>
      </c>
      <c r="E322" s="569" t="s">
        <v>3228</v>
      </c>
      <c r="F322" s="543">
        <v>40612</v>
      </c>
      <c r="G322" s="544">
        <v>40553</v>
      </c>
      <c r="H322" s="544">
        <v>40602</v>
      </c>
      <c r="I322" s="616">
        <v>43616</v>
      </c>
      <c r="J322" s="579">
        <v>10</v>
      </c>
      <c r="K322" s="553">
        <v>0</v>
      </c>
      <c r="L322" s="552">
        <v>0.08</v>
      </c>
      <c r="M322" s="560">
        <v>0.08</v>
      </c>
      <c r="N322" s="606" t="s">
        <v>3229</v>
      </c>
      <c r="O322" s="613">
        <v>0.64</v>
      </c>
      <c r="P322" s="575" t="s">
        <v>3229</v>
      </c>
      <c r="Q322" s="575" t="s">
        <v>3229</v>
      </c>
      <c r="R322" s="575" t="s">
        <v>3229</v>
      </c>
      <c r="S322" s="570">
        <v>8</v>
      </c>
      <c r="T322" s="617">
        <v>40940</v>
      </c>
      <c r="U322" s="563">
        <v>41306</v>
      </c>
      <c r="V322" s="563">
        <v>41671</v>
      </c>
      <c r="W322" s="563">
        <v>42036</v>
      </c>
      <c r="X322" s="563">
        <v>42401</v>
      </c>
      <c r="Y322" s="598">
        <v>42767</v>
      </c>
      <c r="Z322" s="598">
        <v>43132</v>
      </c>
      <c r="AA322" s="598">
        <v>43556</v>
      </c>
      <c r="AB322" s="598" t="s">
        <v>3229</v>
      </c>
      <c r="AC322" s="598" t="s">
        <v>3229</v>
      </c>
      <c r="AD322" s="598" t="s">
        <v>3229</v>
      </c>
      <c r="AE322" s="598" t="s">
        <v>3229</v>
      </c>
      <c r="AF322" s="3764" t="s">
        <v>781</v>
      </c>
      <c r="AG322" s="3765"/>
      <c r="AH322" s="1301" t="s">
        <v>3229</v>
      </c>
      <c r="AI322" s="1301" t="s">
        <v>3229</v>
      </c>
      <c r="AJ322" s="1301" t="s">
        <v>3229</v>
      </c>
      <c r="AK322" s="530" t="s">
        <v>3229</v>
      </c>
      <c r="AL322" s="530" t="s">
        <v>3229</v>
      </c>
      <c r="AM322" s="659">
        <v>1</v>
      </c>
      <c r="AN322" s="638">
        <f>'klikací hodnoty'!F9446</f>
        <v>8.7380000000001345E-3</v>
      </c>
      <c r="AO322" s="625">
        <v>5.04</v>
      </c>
      <c r="AP322" s="1368">
        <f>'klikací hodnoty'!F9434</f>
        <v>-6.2331684370793783E-2</v>
      </c>
      <c r="AQ322" s="606">
        <f>'klikací hodnoty'!E9434</f>
        <v>0.3446873208505743</v>
      </c>
      <c r="AR322" s="3764">
        <f>O322</f>
        <v>0.64</v>
      </c>
      <c r="AS322" s="3771">
        <f>POWER(1+AR322,1/((I322-F322)/365))-1</f>
        <v>6.1951123712989498E-2</v>
      </c>
      <c r="AT322" s="3771">
        <f>(J322/2)*(1+AR322)/AO322-1</f>
        <v>0.6269841269841272</v>
      </c>
      <c r="AU322" s="3772" t="e">
        <f>POWER(1+AT322,1/AG322)-1</f>
        <v>#DIV/0!</v>
      </c>
      <c r="AV322" s="558">
        <f t="shared" si="59"/>
        <v>0.08</v>
      </c>
      <c r="AW322" s="558">
        <f t="shared" si="56"/>
        <v>9.394983544098956E-3</v>
      </c>
      <c r="AX322" s="589">
        <f t="shared" si="57"/>
        <v>1.1428571428571428</v>
      </c>
      <c r="AY322" s="587" t="e">
        <f t="shared" si="58"/>
        <v>#DIV/0!</v>
      </c>
      <c r="AZ322" s="676">
        <f>J322/2</f>
        <v>5</v>
      </c>
      <c r="BA322" s="581" t="s">
        <v>3327</v>
      </c>
      <c r="BB322" s="570"/>
      <c r="BC322" s="581"/>
      <c r="BD322" s="3691"/>
      <c r="BE322" s="3743"/>
      <c r="BF322" s="3743"/>
      <c r="BG322" s="3708"/>
      <c r="BH322" s="3762"/>
      <c r="BI322" s="3762"/>
      <c r="BJ322" s="39"/>
      <c r="BK322" s="39"/>
      <c r="BL322" s="39"/>
      <c r="BM322" s="39"/>
      <c r="BN322" s="39"/>
      <c r="BO322" s="39"/>
      <c r="BP322" s="39"/>
      <c r="BQ322" s="39"/>
      <c r="BR322" s="39"/>
      <c r="BS322" s="507"/>
      <c r="BT322" s="507"/>
      <c r="BU322" s="507"/>
      <c r="BV322" s="507"/>
      <c r="BW322" s="507"/>
      <c r="BX322" s="507"/>
      <c r="BY322" s="507"/>
      <c r="BZ322" s="507"/>
      <c r="CA322" s="507"/>
      <c r="CB322" s="507"/>
      <c r="CC322" s="507"/>
      <c r="CD322" s="507"/>
      <c r="CE322" s="507"/>
      <c r="CF322" s="507"/>
      <c r="CG322" s="507"/>
      <c r="CH322" s="507"/>
      <c r="CI322" s="507"/>
      <c r="CJ322" s="507"/>
      <c r="CK322" s="507"/>
      <c r="CL322" s="507"/>
      <c r="CM322" s="507"/>
      <c r="CN322" s="507"/>
      <c r="CO322" s="507"/>
      <c r="CP322" s="507"/>
      <c r="CQ322" s="507"/>
      <c r="CR322" s="507"/>
      <c r="CS322" s="507"/>
      <c r="CT322" s="507"/>
      <c r="CU322" s="507"/>
      <c r="CV322" s="507"/>
      <c r="CW322" s="507"/>
      <c r="CX322" s="507"/>
      <c r="CY322" s="507"/>
      <c r="CZ322" s="507"/>
      <c r="DA322" s="507"/>
      <c r="DB322" s="507"/>
      <c r="DC322" s="507"/>
      <c r="DD322" s="507"/>
      <c r="DE322" s="507"/>
      <c r="DF322" s="507"/>
      <c r="DG322" s="507"/>
      <c r="DH322" s="507"/>
      <c r="DI322" s="507"/>
      <c r="DJ322" s="507"/>
      <c r="DK322" s="507"/>
      <c r="DL322" s="507"/>
      <c r="DM322" s="507"/>
      <c r="DN322" s="507"/>
      <c r="DO322" s="507"/>
      <c r="DP322" s="507"/>
      <c r="DQ322" s="507"/>
      <c r="DR322" s="507"/>
      <c r="DS322" s="507"/>
      <c r="DT322" s="507"/>
      <c r="DU322" s="507"/>
      <c r="DV322" s="507"/>
      <c r="DW322" s="507"/>
      <c r="DX322" s="507"/>
      <c r="DY322" s="507"/>
      <c r="DZ322" s="507"/>
      <c r="EA322" s="507"/>
      <c r="EB322" s="507"/>
      <c r="EC322" s="507"/>
      <c r="ED322" s="507"/>
      <c r="EE322" s="507"/>
      <c r="EF322" s="507"/>
      <c r="EG322" s="507"/>
      <c r="EH322" s="507"/>
      <c r="EI322" s="507"/>
      <c r="EJ322" s="507"/>
      <c r="EK322" s="507"/>
      <c r="EL322" s="507"/>
      <c r="EM322" s="507"/>
      <c r="EN322" s="507"/>
      <c r="EO322" s="507"/>
      <c r="EP322" s="507"/>
      <c r="EQ322" s="507"/>
      <c r="ER322" s="507"/>
      <c r="ES322" s="507"/>
      <c r="ET322" s="507"/>
      <c r="EU322" s="507"/>
      <c r="EV322" s="507"/>
      <c r="EW322" s="507"/>
      <c r="EX322" s="507"/>
      <c r="EY322" s="507"/>
      <c r="EZ322" s="507"/>
      <c r="FA322" s="507"/>
      <c r="FB322" s="507"/>
      <c r="FC322" s="507"/>
      <c r="FD322" s="507"/>
      <c r="FE322" s="507"/>
      <c r="FF322" s="507"/>
      <c r="FG322" s="507"/>
      <c r="FH322" s="507"/>
      <c r="FI322" s="507"/>
      <c r="FJ322" s="507"/>
      <c r="FK322" s="507"/>
      <c r="FL322" s="507"/>
      <c r="FM322" s="507"/>
      <c r="FN322" s="507"/>
      <c r="FO322" s="507"/>
      <c r="FP322" s="507"/>
      <c r="FQ322" s="507"/>
      <c r="FR322" s="507"/>
      <c r="FS322" s="507"/>
      <c r="FT322" s="507"/>
      <c r="FU322" s="507"/>
      <c r="FV322" s="507"/>
      <c r="FW322" s="507"/>
      <c r="FX322" s="507"/>
      <c r="FY322" s="507"/>
      <c r="FZ322" s="507"/>
      <c r="GA322" s="507"/>
      <c r="GB322" s="507"/>
      <c r="GC322" s="507"/>
      <c r="GD322" s="507"/>
      <c r="GE322" s="507"/>
      <c r="GF322" s="507"/>
      <c r="GG322" s="507"/>
      <c r="GH322" s="507"/>
      <c r="GI322" s="507"/>
      <c r="GJ322" s="507"/>
      <c r="GK322" s="507"/>
      <c r="GL322" s="507"/>
      <c r="GM322" s="507"/>
      <c r="GN322" s="507"/>
      <c r="GO322" s="507"/>
      <c r="GP322" s="507"/>
      <c r="GQ322" s="507"/>
      <c r="GR322" s="507"/>
      <c r="GS322" s="507"/>
      <c r="GT322" s="507"/>
      <c r="GU322" s="507"/>
      <c r="GV322" s="507"/>
      <c r="GW322" s="507"/>
      <c r="GX322" s="507"/>
      <c r="GY322" s="507"/>
      <c r="GZ322" s="507"/>
      <c r="HA322" s="507"/>
      <c r="HB322" s="507"/>
      <c r="HC322" s="507"/>
      <c r="HD322" s="507"/>
      <c r="HE322" s="507"/>
      <c r="HF322" s="507"/>
      <c r="HG322" s="507"/>
      <c r="HH322" s="507"/>
      <c r="HI322" s="507"/>
      <c r="HJ322" s="507"/>
      <c r="HK322" s="507"/>
      <c r="HL322" s="507"/>
      <c r="HM322" s="507"/>
      <c r="HN322" s="507"/>
      <c r="HO322" s="507"/>
      <c r="HP322" s="507"/>
      <c r="HQ322" s="507"/>
      <c r="HR322" s="507"/>
      <c r="HS322" s="507"/>
      <c r="HT322" s="507"/>
      <c r="HU322" s="507"/>
      <c r="HV322" s="507"/>
      <c r="HW322" s="507"/>
      <c r="HX322" s="507"/>
      <c r="HY322" s="507"/>
      <c r="HZ322" s="507"/>
    </row>
    <row r="323" spans="1:234" s="206" customFormat="1" ht="13.5" hidden="1" customHeight="1" x14ac:dyDescent="0.25">
      <c r="A323" s="541" t="s">
        <v>3399</v>
      </c>
      <c r="B323" s="523" t="s">
        <v>3393</v>
      </c>
      <c r="C323" s="524" t="s">
        <v>2204</v>
      </c>
      <c r="D323" s="551" t="s">
        <v>4384</v>
      </c>
      <c r="E323" s="569" t="s">
        <v>3228</v>
      </c>
      <c r="F323" s="543">
        <v>40592</v>
      </c>
      <c r="G323" s="544">
        <v>40546</v>
      </c>
      <c r="H323" s="544">
        <v>40585</v>
      </c>
      <c r="I323" s="616">
        <v>42613</v>
      </c>
      <c r="J323" s="579">
        <v>10</v>
      </c>
      <c r="K323" s="553" t="s">
        <v>3229</v>
      </c>
      <c r="L323" s="552" t="s">
        <v>3229</v>
      </c>
      <c r="M323" s="560">
        <v>0</v>
      </c>
      <c r="N323" s="606">
        <v>0.75</v>
      </c>
      <c r="O323" s="613" t="s">
        <v>3229</v>
      </c>
      <c r="P323" s="575" t="s">
        <v>3229</v>
      </c>
      <c r="Q323" s="575" t="s">
        <v>3229</v>
      </c>
      <c r="R323" s="575" t="s">
        <v>3229</v>
      </c>
      <c r="S323" s="570"/>
      <c r="T323" s="617" t="s">
        <v>3229</v>
      </c>
      <c r="U323" s="563" t="s">
        <v>3229</v>
      </c>
      <c r="V323" s="563" t="s">
        <v>3229</v>
      </c>
      <c r="W323" s="563" t="s">
        <v>3229</v>
      </c>
      <c r="X323" s="563" t="s">
        <v>3229</v>
      </c>
      <c r="Y323" s="598" t="s">
        <v>3229</v>
      </c>
      <c r="Z323" s="598" t="s">
        <v>3229</v>
      </c>
      <c r="AA323" s="598" t="s">
        <v>3229</v>
      </c>
      <c r="AB323" s="598" t="s">
        <v>3229</v>
      </c>
      <c r="AC323" s="598" t="s">
        <v>3229</v>
      </c>
      <c r="AD323" s="598" t="s">
        <v>3229</v>
      </c>
      <c r="AE323" s="598" t="s">
        <v>3229</v>
      </c>
      <c r="AF323" s="3764" t="s">
        <v>781</v>
      </c>
      <c r="AG323" s="3765"/>
      <c r="AH323" s="1301" t="s">
        <v>3229</v>
      </c>
      <c r="AI323" s="1301" t="s">
        <v>3229</v>
      </c>
      <c r="AJ323" s="1301" t="s">
        <v>3229</v>
      </c>
      <c r="AK323" s="530" t="s">
        <v>3229</v>
      </c>
      <c r="AL323" s="530" t="s">
        <v>3229</v>
      </c>
      <c r="AM323" s="659">
        <v>1</v>
      </c>
      <c r="AN323" s="638">
        <f>'klikací hodnoty'!F9516</f>
        <v>0.30873725000000002</v>
      </c>
      <c r="AO323" s="625">
        <v>13.09</v>
      </c>
      <c r="AP323" s="1368">
        <f>'klikací hodnoty'!L9513</f>
        <v>0.41164966666666669</v>
      </c>
      <c r="AQ323" s="606">
        <f>'klikací hodnoty'!F9515</f>
        <v>0.34774587322039324</v>
      </c>
      <c r="AR323" s="3764" t="s">
        <v>3660</v>
      </c>
      <c r="AS323" s="3771"/>
      <c r="AT323" s="3771"/>
      <c r="AU323" s="3772"/>
      <c r="AV323" s="558">
        <f t="shared" si="59"/>
        <v>0</v>
      </c>
      <c r="AW323" s="558">
        <f t="shared" si="56"/>
        <v>0</v>
      </c>
      <c r="AX323" s="589">
        <f t="shared" si="57"/>
        <v>-0.23605805958747139</v>
      </c>
      <c r="AY323" s="587" t="e">
        <f t="shared" si="58"/>
        <v>#DIV/0!</v>
      </c>
      <c r="AZ323" s="676">
        <f t="shared" ref="AZ323:AZ330" si="68">J323*(1+AV323)</f>
        <v>10</v>
      </c>
      <c r="BA323" s="581" t="s">
        <v>3190</v>
      </c>
      <c r="BB323" s="570"/>
      <c r="BC323" s="581"/>
      <c r="BD323" s="3691"/>
      <c r="BE323" s="3743"/>
      <c r="BF323" s="3743"/>
      <c r="BG323" s="3708"/>
      <c r="BH323" s="3762"/>
      <c r="BI323" s="3762"/>
      <c r="BJ323" s="39"/>
      <c r="BK323" s="39"/>
      <c r="BL323" s="39"/>
      <c r="BM323" s="39"/>
      <c r="BN323" s="39"/>
      <c r="BO323" s="39"/>
      <c r="BP323" s="39"/>
      <c r="BQ323" s="39"/>
      <c r="BR323" s="39"/>
      <c r="BS323" s="507"/>
      <c r="BT323" s="507"/>
      <c r="BU323" s="507"/>
      <c r="BV323" s="507"/>
      <c r="BW323" s="507"/>
      <c r="BX323" s="507"/>
      <c r="BY323" s="507"/>
      <c r="BZ323" s="507"/>
      <c r="CA323" s="507"/>
      <c r="CB323" s="507"/>
      <c r="CC323" s="507"/>
      <c r="CD323" s="507"/>
      <c r="CE323" s="507"/>
      <c r="CF323" s="507"/>
      <c r="CG323" s="507"/>
      <c r="CH323" s="507"/>
      <c r="CI323" s="507"/>
      <c r="CJ323" s="507"/>
      <c r="CK323" s="507"/>
      <c r="CL323" s="507"/>
      <c r="CM323" s="507"/>
      <c r="CN323" s="507"/>
      <c r="CO323" s="507"/>
      <c r="CP323" s="507"/>
      <c r="CQ323" s="507"/>
      <c r="CR323" s="507"/>
      <c r="CS323" s="507"/>
      <c r="CT323" s="507"/>
      <c r="CU323" s="507"/>
      <c r="CV323" s="507"/>
      <c r="CW323" s="507"/>
      <c r="CX323" s="507"/>
      <c r="CY323" s="507"/>
      <c r="CZ323" s="507"/>
      <c r="DA323" s="507"/>
      <c r="DB323" s="507"/>
      <c r="DC323" s="507"/>
      <c r="DD323" s="507"/>
      <c r="DE323" s="507"/>
      <c r="DF323" s="507"/>
      <c r="DG323" s="507"/>
      <c r="DH323" s="507"/>
      <c r="DI323" s="507"/>
      <c r="DJ323" s="507"/>
      <c r="DK323" s="507"/>
      <c r="DL323" s="507"/>
      <c r="DM323" s="507"/>
      <c r="DN323" s="507"/>
      <c r="DO323" s="507"/>
      <c r="DP323" s="507"/>
      <c r="DQ323" s="507"/>
      <c r="DR323" s="507"/>
      <c r="DS323" s="507"/>
      <c r="DT323" s="507"/>
      <c r="DU323" s="507"/>
      <c r="DV323" s="507"/>
      <c r="DW323" s="507"/>
      <c r="DX323" s="507"/>
      <c r="DY323" s="507"/>
      <c r="DZ323" s="507"/>
      <c r="EA323" s="507"/>
      <c r="EB323" s="507"/>
      <c r="EC323" s="507"/>
      <c r="ED323" s="507"/>
      <c r="EE323" s="507"/>
      <c r="EF323" s="507"/>
      <c r="EG323" s="507"/>
      <c r="EH323" s="507"/>
      <c r="EI323" s="507"/>
      <c r="EJ323" s="507"/>
      <c r="EK323" s="507"/>
      <c r="EL323" s="507"/>
      <c r="EM323" s="507"/>
      <c r="EN323" s="507"/>
      <c r="EO323" s="507"/>
      <c r="EP323" s="507"/>
      <c r="EQ323" s="507"/>
      <c r="ER323" s="507"/>
      <c r="ES323" s="507"/>
      <c r="ET323" s="507"/>
      <c r="EU323" s="507"/>
      <c r="EV323" s="507"/>
      <c r="EW323" s="507"/>
      <c r="EX323" s="507"/>
      <c r="EY323" s="507"/>
      <c r="EZ323" s="507"/>
      <c r="FA323" s="507"/>
      <c r="FB323" s="507"/>
      <c r="FC323" s="507"/>
      <c r="FD323" s="507"/>
      <c r="FE323" s="507"/>
      <c r="FF323" s="507"/>
      <c r="FG323" s="507"/>
      <c r="FH323" s="507"/>
      <c r="FI323" s="507"/>
      <c r="FJ323" s="507"/>
      <c r="FK323" s="507"/>
      <c r="FL323" s="507"/>
      <c r="FM323" s="507"/>
      <c r="FN323" s="507"/>
      <c r="FO323" s="507"/>
      <c r="FP323" s="507"/>
      <c r="FQ323" s="507"/>
      <c r="FR323" s="507"/>
      <c r="FS323" s="507"/>
      <c r="FT323" s="507"/>
      <c r="FU323" s="507"/>
      <c r="FV323" s="507"/>
      <c r="FW323" s="507"/>
      <c r="FX323" s="507"/>
      <c r="FY323" s="507"/>
      <c r="FZ323" s="507"/>
      <c r="GA323" s="507"/>
      <c r="GB323" s="507"/>
      <c r="GC323" s="507"/>
      <c r="GD323" s="507"/>
      <c r="GE323" s="507"/>
      <c r="GF323" s="507"/>
      <c r="GG323" s="507"/>
      <c r="GH323" s="507"/>
      <c r="GI323" s="507"/>
      <c r="GJ323" s="507"/>
      <c r="GK323" s="507"/>
      <c r="GL323" s="507"/>
      <c r="GM323" s="507"/>
      <c r="GN323" s="507"/>
      <c r="GO323" s="507"/>
      <c r="GP323" s="507"/>
      <c r="GQ323" s="507"/>
      <c r="GR323" s="507"/>
      <c r="GS323" s="507"/>
      <c r="GT323" s="507"/>
      <c r="GU323" s="507"/>
      <c r="GV323" s="507"/>
      <c r="GW323" s="507"/>
      <c r="GX323" s="507"/>
      <c r="GY323" s="507"/>
      <c r="GZ323" s="507"/>
      <c r="HA323" s="507"/>
      <c r="HB323" s="507"/>
      <c r="HC323" s="507"/>
      <c r="HD323" s="507"/>
      <c r="HE323" s="507"/>
      <c r="HF323" s="507"/>
      <c r="HG323" s="507"/>
      <c r="HH323" s="507"/>
      <c r="HI323" s="507"/>
      <c r="HJ323" s="507"/>
      <c r="HK323" s="507"/>
      <c r="HL323" s="507"/>
      <c r="HM323" s="507"/>
      <c r="HN323" s="507"/>
      <c r="HO323" s="507"/>
      <c r="HP323" s="507"/>
      <c r="HQ323" s="507"/>
      <c r="HR323" s="507"/>
      <c r="HS323" s="507"/>
      <c r="HT323" s="507"/>
      <c r="HU323" s="507"/>
      <c r="HV323" s="507"/>
      <c r="HW323" s="507"/>
      <c r="HX323" s="507"/>
      <c r="HY323" s="507"/>
      <c r="HZ323" s="507"/>
    </row>
    <row r="324" spans="1:234" s="206" customFormat="1" ht="13.5" hidden="1" customHeight="1" x14ac:dyDescent="0.25">
      <c r="A324" s="541" t="s">
        <v>3328</v>
      </c>
      <c r="B324" s="523" t="s">
        <v>2573</v>
      </c>
      <c r="C324" s="524" t="s">
        <v>3126</v>
      </c>
      <c r="D324" s="551" t="s">
        <v>5621</v>
      </c>
      <c r="E324" s="569" t="s">
        <v>3228</v>
      </c>
      <c r="F324" s="543">
        <v>40640</v>
      </c>
      <c r="G324" s="544">
        <v>40575</v>
      </c>
      <c r="H324" s="544">
        <v>40633</v>
      </c>
      <c r="I324" s="616">
        <v>42674</v>
      </c>
      <c r="J324" s="579">
        <v>10</v>
      </c>
      <c r="K324" s="553" t="s">
        <v>3229</v>
      </c>
      <c r="L324" s="552" t="s">
        <v>3229</v>
      </c>
      <c r="M324" s="560">
        <v>-1</v>
      </c>
      <c r="N324" s="606">
        <v>1</v>
      </c>
      <c r="O324" s="613">
        <v>0.5</v>
      </c>
      <c r="P324" s="575" t="s">
        <v>3229</v>
      </c>
      <c r="Q324" s="575" t="s">
        <v>3229</v>
      </c>
      <c r="R324" s="575" t="s">
        <v>3229</v>
      </c>
      <c r="S324" s="570"/>
      <c r="T324" s="617" t="s">
        <v>3229</v>
      </c>
      <c r="U324" s="563" t="s">
        <v>3229</v>
      </c>
      <c r="V324" s="563" t="s">
        <v>3229</v>
      </c>
      <c r="W324" s="563" t="s">
        <v>3229</v>
      </c>
      <c r="X324" s="563" t="s">
        <v>3229</v>
      </c>
      <c r="Y324" s="598" t="s">
        <v>3229</v>
      </c>
      <c r="Z324" s="598" t="s">
        <v>3229</v>
      </c>
      <c r="AA324" s="598" t="s">
        <v>3229</v>
      </c>
      <c r="AB324" s="598" t="s">
        <v>3229</v>
      </c>
      <c r="AC324" s="598" t="s">
        <v>3229</v>
      </c>
      <c r="AD324" s="598" t="s">
        <v>3229</v>
      </c>
      <c r="AE324" s="598" t="s">
        <v>3229</v>
      </c>
      <c r="AF324" s="3764" t="s">
        <v>781</v>
      </c>
      <c r="AG324" s="3765"/>
      <c r="AH324" s="1301">
        <v>1</v>
      </c>
      <c r="AI324" s="1301" t="s">
        <v>3229</v>
      </c>
      <c r="AJ324" s="1301" t="s">
        <v>3229</v>
      </c>
      <c r="AK324" s="530" t="s">
        <v>3229</v>
      </c>
      <c r="AL324" s="530" t="s">
        <v>3229</v>
      </c>
      <c r="AM324" s="659" t="s">
        <v>3229</v>
      </c>
      <c r="AN324" s="638">
        <f>+'klikací hodnoty'!F9627</f>
        <v>4.9010979679851685E-2</v>
      </c>
      <c r="AO324" s="625">
        <v>10.49</v>
      </c>
      <c r="AP324" s="1368">
        <f>+'klikací hodnoty'!I9627</f>
        <v>4.9010979679851685E-2</v>
      </c>
      <c r="AQ324" s="606">
        <f>'klikací hodnoty'!E9626</f>
        <v>0.72200882850405601</v>
      </c>
      <c r="AR324" s="3764">
        <f t="shared" ref="AR324:AR334" si="69">O324</f>
        <v>0.5</v>
      </c>
      <c r="AS324" s="3771">
        <f t="shared" ref="AS324:AS334" si="70">POWER(1+AR324,1/((I324-F324)/365))-1</f>
        <v>7.5472881370144851E-2</v>
      </c>
      <c r="AT324" s="3771">
        <f t="shared" ref="AT324:AT334" si="71">J324*(1+AR324)/AO324-1</f>
        <v>0.42993326978074364</v>
      </c>
      <c r="AU324" s="3772" t="e">
        <f t="shared" ref="AU324:AU334" si="72">POWER(1+AT324,1/AG324)-1</f>
        <v>#DIV/0!</v>
      </c>
      <c r="AV324" s="558">
        <f t="shared" si="59"/>
        <v>-1</v>
      </c>
      <c r="AW324" s="558">
        <f t="shared" si="56"/>
        <v>-1</v>
      </c>
      <c r="AX324" s="589">
        <f t="shared" si="57"/>
        <v>-1</v>
      </c>
      <c r="AY324" s="587" t="e">
        <f t="shared" si="58"/>
        <v>#DIV/0!</v>
      </c>
      <c r="AZ324" s="676">
        <f t="shared" si="68"/>
        <v>0</v>
      </c>
      <c r="BA324" s="581" t="s">
        <v>2940</v>
      </c>
      <c r="BB324" s="570"/>
      <c r="BC324" s="581"/>
      <c r="BD324" s="3691"/>
      <c r="BE324" s="3743"/>
      <c r="BF324" s="3743"/>
      <c r="BG324" s="3708"/>
      <c r="BH324" s="3762"/>
      <c r="BI324" s="3762"/>
      <c r="BJ324" s="39"/>
      <c r="BK324" s="39"/>
      <c r="BL324" s="39"/>
      <c r="BM324" s="39"/>
      <c r="BN324" s="39"/>
      <c r="BO324" s="39"/>
      <c r="BP324" s="39"/>
      <c r="BQ324" s="39"/>
      <c r="BR324" s="39"/>
      <c r="BS324" s="507"/>
      <c r="BT324" s="507"/>
      <c r="BU324" s="507"/>
      <c r="BV324" s="507"/>
      <c r="BW324" s="507"/>
      <c r="BX324" s="507"/>
      <c r="BY324" s="507"/>
      <c r="BZ324" s="507"/>
      <c r="CA324" s="507"/>
      <c r="CB324" s="507"/>
      <c r="CC324" s="507"/>
      <c r="CD324" s="507"/>
      <c r="CE324" s="507"/>
      <c r="CF324" s="507"/>
      <c r="CG324" s="507"/>
      <c r="CH324" s="507"/>
      <c r="CI324" s="507"/>
      <c r="CJ324" s="507"/>
      <c r="CK324" s="507"/>
      <c r="CL324" s="507"/>
      <c r="CM324" s="507"/>
      <c r="CN324" s="507"/>
      <c r="CO324" s="507"/>
      <c r="CP324" s="507"/>
      <c r="CQ324" s="507"/>
      <c r="CR324" s="507"/>
      <c r="CS324" s="507"/>
      <c r="CT324" s="507"/>
      <c r="CU324" s="507"/>
      <c r="CV324" s="507"/>
      <c r="CW324" s="507"/>
      <c r="CX324" s="507"/>
      <c r="CY324" s="507"/>
      <c r="CZ324" s="507"/>
      <c r="DA324" s="507"/>
      <c r="DB324" s="507"/>
      <c r="DC324" s="507"/>
      <c r="DD324" s="507"/>
      <c r="DE324" s="507"/>
      <c r="DF324" s="507"/>
      <c r="DG324" s="507"/>
      <c r="DH324" s="507"/>
      <c r="DI324" s="507"/>
      <c r="DJ324" s="507"/>
      <c r="DK324" s="507"/>
      <c r="DL324" s="507"/>
      <c r="DM324" s="507"/>
      <c r="DN324" s="507"/>
      <c r="DO324" s="507"/>
      <c r="DP324" s="507"/>
      <c r="DQ324" s="507"/>
      <c r="DR324" s="507"/>
      <c r="DS324" s="507"/>
      <c r="DT324" s="507"/>
      <c r="DU324" s="507"/>
      <c r="DV324" s="507"/>
      <c r="DW324" s="507"/>
      <c r="DX324" s="507"/>
      <c r="DY324" s="507"/>
      <c r="DZ324" s="507"/>
      <c r="EA324" s="507"/>
      <c r="EB324" s="507"/>
      <c r="EC324" s="507"/>
      <c r="ED324" s="507"/>
      <c r="EE324" s="507"/>
      <c r="EF324" s="507"/>
      <c r="EG324" s="507"/>
      <c r="EH324" s="507"/>
      <c r="EI324" s="507"/>
      <c r="EJ324" s="507"/>
      <c r="EK324" s="507"/>
      <c r="EL324" s="507"/>
      <c r="EM324" s="507"/>
      <c r="EN324" s="507"/>
      <c r="EO324" s="507"/>
      <c r="EP324" s="507"/>
      <c r="EQ324" s="507"/>
      <c r="ER324" s="507"/>
      <c r="ES324" s="507"/>
      <c r="ET324" s="507"/>
      <c r="EU324" s="507"/>
      <c r="EV324" s="507"/>
      <c r="EW324" s="507"/>
      <c r="EX324" s="507"/>
      <c r="EY324" s="507"/>
      <c r="EZ324" s="507"/>
      <c r="FA324" s="507"/>
      <c r="FB324" s="507"/>
      <c r="FC324" s="507"/>
      <c r="FD324" s="507"/>
      <c r="FE324" s="507"/>
      <c r="FF324" s="507"/>
      <c r="FG324" s="507"/>
      <c r="FH324" s="507"/>
      <c r="FI324" s="507"/>
      <c r="FJ324" s="507"/>
      <c r="FK324" s="507"/>
      <c r="FL324" s="507"/>
      <c r="FM324" s="507"/>
      <c r="FN324" s="507"/>
      <c r="FO324" s="507"/>
      <c r="FP324" s="507"/>
      <c r="FQ324" s="507"/>
      <c r="FR324" s="507"/>
      <c r="FS324" s="507"/>
      <c r="FT324" s="507"/>
      <c r="FU324" s="507"/>
      <c r="FV324" s="507"/>
      <c r="FW324" s="507"/>
      <c r="FX324" s="507"/>
      <c r="FY324" s="507"/>
      <c r="FZ324" s="507"/>
      <c r="GA324" s="507"/>
      <c r="GB324" s="507"/>
      <c r="GC324" s="507"/>
      <c r="GD324" s="507"/>
      <c r="GE324" s="507"/>
      <c r="GF324" s="507"/>
      <c r="GG324" s="507"/>
      <c r="GH324" s="507"/>
      <c r="GI324" s="507"/>
      <c r="GJ324" s="507"/>
      <c r="GK324" s="507"/>
      <c r="GL324" s="507"/>
      <c r="GM324" s="507"/>
      <c r="GN324" s="507"/>
      <c r="GO324" s="507"/>
      <c r="GP324" s="507"/>
      <c r="GQ324" s="507"/>
      <c r="GR324" s="507"/>
      <c r="GS324" s="507"/>
      <c r="GT324" s="507"/>
      <c r="GU324" s="507"/>
      <c r="GV324" s="507"/>
      <c r="GW324" s="507"/>
      <c r="GX324" s="507"/>
      <c r="GY324" s="507"/>
      <c r="GZ324" s="507"/>
      <c r="HA324" s="507"/>
      <c r="HB324" s="507"/>
      <c r="HC324" s="507"/>
      <c r="HD324" s="507"/>
      <c r="HE324" s="507"/>
      <c r="HF324" s="507"/>
      <c r="HG324" s="507"/>
      <c r="HH324" s="507"/>
      <c r="HI324" s="507"/>
      <c r="HJ324" s="507"/>
      <c r="HK324" s="507"/>
      <c r="HL324" s="507"/>
      <c r="HM324" s="507"/>
      <c r="HN324" s="507"/>
      <c r="HO324" s="507"/>
      <c r="HP324" s="507"/>
      <c r="HQ324" s="507"/>
      <c r="HR324" s="507"/>
      <c r="HS324" s="507"/>
      <c r="HT324" s="507"/>
      <c r="HU324" s="507"/>
      <c r="HV324" s="507"/>
      <c r="HW324" s="507"/>
      <c r="HX324" s="507"/>
      <c r="HY324" s="507"/>
      <c r="HZ324" s="507"/>
    </row>
    <row r="325" spans="1:234" s="206" customFormat="1" ht="13.5" hidden="1" customHeight="1" x14ac:dyDescent="0.25">
      <c r="A325" s="541" t="s">
        <v>2574</v>
      </c>
      <c r="B325" s="523" t="s">
        <v>2575</v>
      </c>
      <c r="C325" s="524" t="s">
        <v>3127</v>
      </c>
      <c r="D325" s="551" t="s">
        <v>189</v>
      </c>
      <c r="E325" s="569" t="s">
        <v>1743</v>
      </c>
      <c r="F325" s="543">
        <v>40640</v>
      </c>
      <c r="G325" s="544">
        <v>40575</v>
      </c>
      <c r="H325" s="544">
        <v>40633</v>
      </c>
      <c r="I325" s="616">
        <v>42674</v>
      </c>
      <c r="J325" s="579">
        <v>10</v>
      </c>
      <c r="K325" s="553">
        <v>0</v>
      </c>
      <c r="L325" s="552">
        <v>0.08</v>
      </c>
      <c r="M325" s="560">
        <v>0.04</v>
      </c>
      <c r="N325" s="606" t="s">
        <v>3229</v>
      </c>
      <c r="O325" s="613">
        <v>0.36</v>
      </c>
      <c r="P325" s="575" t="s">
        <v>3229</v>
      </c>
      <c r="Q325" s="575">
        <v>0.04</v>
      </c>
      <c r="R325" s="575" t="s">
        <v>3229</v>
      </c>
      <c r="S325" s="570">
        <v>5</v>
      </c>
      <c r="T325" s="563">
        <v>40969</v>
      </c>
      <c r="U325" s="563">
        <v>41334</v>
      </c>
      <c r="V325" s="563">
        <v>41699</v>
      </c>
      <c r="W325" s="563">
        <v>42064</v>
      </c>
      <c r="X325" s="563">
        <v>42614</v>
      </c>
      <c r="Y325" s="598" t="s">
        <v>3229</v>
      </c>
      <c r="Z325" s="598" t="s">
        <v>3229</v>
      </c>
      <c r="AA325" s="598" t="s">
        <v>3229</v>
      </c>
      <c r="AB325" s="598" t="s">
        <v>3229</v>
      </c>
      <c r="AC325" s="598" t="s">
        <v>3229</v>
      </c>
      <c r="AD325" s="598" t="s">
        <v>3229</v>
      </c>
      <c r="AE325" s="598" t="s">
        <v>3229</v>
      </c>
      <c r="AF325" s="3764" t="s">
        <v>781</v>
      </c>
      <c r="AG325" s="3765"/>
      <c r="AH325" s="1301" t="s">
        <v>3229</v>
      </c>
      <c r="AI325" s="1301" t="s">
        <v>3229</v>
      </c>
      <c r="AJ325" s="1301" t="s">
        <v>3229</v>
      </c>
      <c r="AK325" s="530" t="s">
        <v>3229</v>
      </c>
      <c r="AL325" s="530" t="s">
        <v>3229</v>
      </c>
      <c r="AM325" s="659">
        <v>1</v>
      </c>
      <c r="AN325" s="638">
        <f>'klikací hodnoty'!F10068</f>
        <v>7.4899999999999994E-2</v>
      </c>
      <c r="AO325" s="625">
        <v>10.75</v>
      </c>
      <c r="AP325" s="1368">
        <f>'klikací hodnoty'!F10060</f>
        <v>-7.7961380042623632E-3</v>
      </c>
      <c r="AQ325" s="606">
        <f>'klikací hodnoty'!E10060</f>
        <v>0.53908201192682437</v>
      </c>
      <c r="AR325" s="3764">
        <f t="shared" si="69"/>
        <v>0.36</v>
      </c>
      <c r="AS325" s="3771">
        <f t="shared" si="70"/>
        <v>5.6728624679665662E-2</v>
      </c>
      <c r="AT325" s="3771">
        <f t="shared" si="71"/>
        <v>0.2651162790697672</v>
      </c>
      <c r="AU325" s="3772" t="e">
        <f t="shared" si="72"/>
        <v>#DIV/0!</v>
      </c>
      <c r="AV325" s="558">
        <f t="shared" si="59"/>
        <v>0.04</v>
      </c>
      <c r="AW325" s="558">
        <f t="shared" si="56"/>
        <v>7.0629577667948862E-3</v>
      </c>
      <c r="AX325" s="589">
        <f t="shared" si="57"/>
        <v>-3.2558139534883734E-2</v>
      </c>
      <c r="AY325" s="587" t="e">
        <f t="shared" si="58"/>
        <v>#DIV/0!</v>
      </c>
      <c r="AZ325" s="676">
        <f t="shared" si="68"/>
        <v>10.4</v>
      </c>
      <c r="BA325" s="581" t="s">
        <v>2585</v>
      </c>
      <c r="BB325" s="570" t="s">
        <v>2025</v>
      </c>
      <c r="BC325" s="581" t="s">
        <v>2895</v>
      </c>
      <c r="BD325" s="3691"/>
      <c r="BE325" s="3743"/>
      <c r="BF325" s="3743"/>
      <c r="BG325" s="3708"/>
      <c r="BH325" s="3762"/>
      <c r="BI325" s="3762"/>
      <c r="BJ325" s="39"/>
      <c r="BK325" s="39"/>
      <c r="BL325" s="39"/>
      <c r="BM325" s="39"/>
      <c r="BN325" s="39"/>
      <c r="BO325" s="39"/>
      <c r="BP325" s="39"/>
      <c r="BQ325" s="39"/>
      <c r="BR325" s="39"/>
      <c r="BS325" s="507"/>
      <c r="BT325" s="507"/>
      <c r="BU325" s="507"/>
      <c r="BV325" s="507"/>
      <c r="BW325" s="507"/>
      <c r="BX325" s="507"/>
      <c r="BY325" s="507"/>
      <c r="BZ325" s="507"/>
      <c r="CA325" s="507"/>
      <c r="CB325" s="507"/>
      <c r="CC325" s="507"/>
      <c r="CD325" s="507"/>
      <c r="CE325" s="507"/>
      <c r="CF325" s="507"/>
      <c r="CG325" s="507"/>
      <c r="CH325" s="507"/>
      <c r="CI325" s="507"/>
      <c r="CJ325" s="507"/>
      <c r="CK325" s="507"/>
      <c r="CL325" s="507"/>
      <c r="CM325" s="507"/>
      <c r="CN325" s="507"/>
      <c r="CO325" s="507"/>
      <c r="CP325" s="507"/>
      <c r="CQ325" s="507"/>
      <c r="CR325" s="507"/>
      <c r="CS325" s="507"/>
      <c r="CT325" s="507"/>
      <c r="CU325" s="507"/>
      <c r="CV325" s="507"/>
      <c r="CW325" s="507"/>
      <c r="CX325" s="507"/>
      <c r="CY325" s="507"/>
      <c r="CZ325" s="507"/>
      <c r="DA325" s="507"/>
      <c r="DB325" s="507"/>
      <c r="DC325" s="507"/>
      <c r="DD325" s="507"/>
      <c r="DE325" s="507"/>
      <c r="DF325" s="507"/>
      <c r="DG325" s="507"/>
      <c r="DH325" s="507"/>
      <c r="DI325" s="507"/>
      <c r="DJ325" s="507"/>
      <c r="DK325" s="507"/>
      <c r="DL325" s="507"/>
      <c r="DM325" s="507"/>
      <c r="DN325" s="507"/>
      <c r="DO325" s="507"/>
      <c r="DP325" s="507"/>
      <c r="DQ325" s="507"/>
      <c r="DR325" s="507"/>
      <c r="DS325" s="507"/>
      <c r="DT325" s="507"/>
      <c r="DU325" s="507"/>
      <c r="DV325" s="507"/>
      <c r="DW325" s="507"/>
      <c r="DX325" s="507"/>
      <c r="DY325" s="507"/>
      <c r="DZ325" s="507"/>
      <c r="EA325" s="507"/>
      <c r="EB325" s="507"/>
      <c r="EC325" s="507"/>
      <c r="ED325" s="507"/>
      <c r="EE325" s="507"/>
      <c r="EF325" s="507"/>
      <c r="EG325" s="507"/>
      <c r="EH325" s="507"/>
      <c r="EI325" s="507"/>
      <c r="EJ325" s="507"/>
      <c r="EK325" s="507"/>
      <c r="EL325" s="507"/>
      <c r="EM325" s="507"/>
      <c r="EN325" s="507"/>
      <c r="EO325" s="507"/>
      <c r="EP325" s="507"/>
      <c r="EQ325" s="507"/>
      <c r="ER325" s="507"/>
      <c r="ES325" s="507"/>
      <c r="ET325" s="507"/>
      <c r="EU325" s="507"/>
      <c r="EV325" s="507"/>
      <c r="EW325" s="507"/>
      <c r="EX325" s="507"/>
      <c r="EY325" s="507"/>
      <c r="EZ325" s="507"/>
      <c r="FA325" s="507"/>
      <c r="FB325" s="507"/>
      <c r="FC325" s="507"/>
      <c r="FD325" s="507"/>
      <c r="FE325" s="507"/>
      <c r="FF325" s="507"/>
      <c r="FG325" s="507"/>
      <c r="FH325" s="507"/>
      <c r="FI325" s="507"/>
      <c r="FJ325" s="507"/>
      <c r="FK325" s="507"/>
      <c r="FL325" s="507"/>
      <c r="FM325" s="507"/>
      <c r="FN325" s="507"/>
      <c r="FO325" s="507"/>
      <c r="FP325" s="507"/>
      <c r="FQ325" s="507"/>
      <c r="FR325" s="507"/>
      <c r="FS325" s="507"/>
      <c r="FT325" s="507"/>
      <c r="FU325" s="507"/>
      <c r="FV325" s="507"/>
      <c r="FW325" s="507"/>
      <c r="FX325" s="507"/>
      <c r="FY325" s="507"/>
      <c r="FZ325" s="507"/>
      <c r="GA325" s="507"/>
      <c r="GB325" s="507"/>
      <c r="GC325" s="507"/>
      <c r="GD325" s="507"/>
      <c r="GE325" s="507"/>
      <c r="GF325" s="507"/>
      <c r="GG325" s="507"/>
      <c r="GH325" s="507"/>
      <c r="GI325" s="507"/>
      <c r="GJ325" s="507"/>
      <c r="GK325" s="507"/>
      <c r="GL325" s="507"/>
      <c r="GM325" s="507"/>
      <c r="GN325" s="507"/>
      <c r="GO325" s="507"/>
      <c r="GP325" s="507"/>
      <c r="GQ325" s="507"/>
      <c r="GR325" s="507"/>
      <c r="GS325" s="507"/>
      <c r="GT325" s="507"/>
      <c r="GU325" s="507"/>
      <c r="GV325" s="507"/>
      <c r="GW325" s="507"/>
      <c r="GX325" s="507"/>
      <c r="GY325" s="507"/>
      <c r="GZ325" s="507"/>
      <c r="HA325" s="507"/>
      <c r="HB325" s="507"/>
      <c r="HC325" s="507"/>
      <c r="HD325" s="507"/>
      <c r="HE325" s="507"/>
      <c r="HF325" s="507"/>
      <c r="HG325" s="507"/>
      <c r="HH325" s="507"/>
      <c r="HI325" s="507"/>
      <c r="HJ325" s="507"/>
      <c r="HK325" s="507"/>
      <c r="HL325" s="507"/>
      <c r="HM325" s="507"/>
      <c r="HN325" s="507"/>
      <c r="HO325" s="507"/>
      <c r="HP325" s="507"/>
      <c r="HQ325" s="507"/>
      <c r="HR325" s="507"/>
      <c r="HS325" s="507"/>
      <c r="HT325" s="507"/>
      <c r="HU325" s="507"/>
      <c r="HV325" s="507"/>
      <c r="HW325" s="507"/>
      <c r="HX325" s="507"/>
      <c r="HY325" s="507"/>
      <c r="HZ325" s="507"/>
    </row>
    <row r="326" spans="1:234" s="206" customFormat="1" ht="13.5" hidden="1" customHeight="1" x14ac:dyDescent="0.25">
      <c r="A326" s="541" t="s">
        <v>2571</v>
      </c>
      <c r="B326" s="523" t="s">
        <v>2576</v>
      </c>
      <c r="C326" s="524" t="s">
        <v>3128</v>
      </c>
      <c r="D326" s="551" t="s">
        <v>4170</v>
      </c>
      <c r="E326" s="569" t="s">
        <v>3228</v>
      </c>
      <c r="F326" s="543">
        <v>40612</v>
      </c>
      <c r="G326" s="544">
        <v>40575</v>
      </c>
      <c r="H326" s="544">
        <v>40605</v>
      </c>
      <c r="I326" s="616">
        <v>42489</v>
      </c>
      <c r="J326" s="579">
        <v>100</v>
      </c>
      <c r="K326" s="553" t="s">
        <v>3229</v>
      </c>
      <c r="L326" s="552" t="s">
        <v>3229</v>
      </c>
      <c r="M326" s="560">
        <v>0.1673</v>
      </c>
      <c r="N326" s="606" t="s">
        <v>3229</v>
      </c>
      <c r="O326" s="613">
        <v>0.1673</v>
      </c>
      <c r="P326" s="575" t="s">
        <v>3229</v>
      </c>
      <c r="Q326" s="575" t="s">
        <v>3229</v>
      </c>
      <c r="R326" s="575" t="s">
        <v>3229</v>
      </c>
      <c r="S326" s="570"/>
      <c r="T326" s="617" t="s">
        <v>3229</v>
      </c>
      <c r="U326" s="563" t="s">
        <v>3229</v>
      </c>
      <c r="V326" s="563" t="s">
        <v>3229</v>
      </c>
      <c r="W326" s="563" t="s">
        <v>3229</v>
      </c>
      <c r="X326" s="563" t="s">
        <v>3229</v>
      </c>
      <c r="Y326" s="598" t="s">
        <v>3229</v>
      </c>
      <c r="Z326" s="598" t="s">
        <v>3229</v>
      </c>
      <c r="AA326" s="598" t="s">
        <v>3229</v>
      </c>
      <c r="AB326" s="598" t="s">
        <v>3229</v>
      </c>
      <c r="AC326" s="598" t="s">
        <v>3229</v>
      </c>
      <c r="AD326" s="598" t="s">
        <v>3229</v>
      </c>
      <c r="AE326" s="598" t="s">
        <v>3229</v>
      </c>
      <c r="AF326" s="3764" t="s">
        <v>781</v>
      </c>
      <c r="AG326" s="3765"/>
      <c r="AH326" s="1301" t="s">
        <v>3229</v>
      </c>
      <c r="AI326" s="1301" t="s">
        <v>3229</v>
      </c>
      <c r="AJ326" s="1301" t="s">
        <v>3229</v>
      </c>
      <c r="AK326" s="530" t="s">
        <v>3229</v>
      </c>
      <c r="AL326" s="530" t="s">
        <v>3229</v>
      </c>
      <c r="AM326" s="659">
        <v>1</v>
      </c>
      <c r="AN326" s="638" t="s">
        <v>3229</v>
      </c>
      <c r="AO326" s="625">
        <v>118.14</v>
      </c>
      <c r="AP326" s="1368" t="s">
        <v>3229</v>
      </c>
      <c r="AQ326" s="606" t="s">
        <v>3229</v>
      </c>
      <c r="AR326" s="3764">
        <f t="shared" si="69"/>
        <v>0.1673</v>
      </c>
      <c r="AS326" s="3771">
        <f t="shared" si="70"/>
        <v>3.0538580765118839E-2</v>
      </c>
      <c r="AT326" s="3771">
        <f t="shared" si="71"/>
        <v>-1.1934992381919751E-2</v>
      </c>
      <c r="AU326" s="3772" t="e">
        <f t="shared" si="72"/>
        <v>#DIV/0!</v>
      </c>
      <c r="AV326" s="558">
        <f>M326</f>
        <v>0.1673</v>
      </c>
      <c r="AW326" s="558">
        <f t="shared" si="56"/>
        <v>3.0538580765118839E-2</v>
      </c>
      <c r="AX326" s="589">
        <f t="shared" si="57"/>
        <v>-1.1934992381919751E-2</v>
      </c>
      <c r="AY326" s="587" t="e">
        <f t="shared" si="58"/>
        <v>#DIV/0!</v>
      </c>
      <c r="AZ326" s="676">
        <f>J326*(1+AV326)</f>
        <v>116.73</v>
      </c>
      <c r="BA326" s="581" t="s">
        <v>4484</v>
      </c>
      <c r="BB326" s="570"/>
      <c r="BC326" s="581"/>
      <c r="BD326" s="3691"/>
      <c r="BE326" s="3743"/>
      <c r="BF326" s="3743"/>
      <c r="BG326" s="3708"/>
      <c r="BH326" s="3762"/>
      <c r="BI326" s="3762"/>
      <c r="BJ326" s="39"/>
      <c r="BK326" s="39"/>
      <c r="BL326" s="39"/>
      <c r="BM326" s="39"/>
      <c r="BN326" s="39"/>
      <c r="BO326" s="39"/>
      <c r="BP326" s="39"/>
      <c r="BQ326" s="39"/>
      <c r="BR326" s="39"/>
      <c r="BS326" s="507"/>
      <c r="BT326" s="507"/>
      <c r="BU326" s="507"/>
      <c r="BV326" s="507"/>
      <c r="BW326" s="507"/>
      <c r="BX326" s="507"/>
      <c r="BY326" s="507"/>
      <c r="BZ326" s="507"/>
      <c r="CA326" s="507"/>
      <c r="CB326" s="507"/>
      <c r="CC326" s="507"/>
      <c r="CD326" s="507"/>
      <c r="CE326" s="507"/>
      <c r="CF326" s="507"/>
      <c r="CG326" s="507"/>
      <c r="CH326" s="507"/>
      <c r="CI326" s="507"/>
      <c r="CJ326" s="507"/>
      <c r="CK326" s="507"/>
      <c r="CL326" s="507"/>
      <c r="CM326" s="507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CX326" s="507"/>
      <c r="CY326" s="507"/>
      <c r="CZ326" s="507"/>
      <c r="DA326" s="507"/>
      <c r="DB326" s="507"/>
      <c r="DC326" s="507"/>
      <c r="DD326" s="507"/>
      <c r="DE326" s="507"/>
      <c r="DF326" s="507"/>
      <c r="DG326" s="507"/>
      <c r="DH326" s="507"/>
      <c r="DI326" s="507"/>
      <c r="DJ326" s="507"/>
      <c r="DK326" s="507"/>
      <c r="DL326" s="507"/>
      <c r="DM326" s="507"/>
      <c r="DN326" s="507"/>
      <c r="DO326" s="507"/>
      <c r="DP326" s="507"/>
      <c r="DQ326" s="507"/>
      <c r="DR326" s="507"/>
      <c r="DS326" s="507"/>
      <c r="DT326" s="507"/>
      <c r="DU326" s="507"/>
      <c r="DV326" s="507"/>
      <c r="DW326" s="507"/>
      <c r="DX326" s="507"/>
      <c r="DY326" s="507"/>
      <c r="DZ326" s="507"/>
      <c r="EA326" s="507"/>
      <c r="EB326" s="507"/>
      <c r="EC326" s="507"/>
      <c r="ED326" s="507"/>
      <c r="EE326" s="507"/>
      <c r="EF326" s="507"/>
      <c r="EG326" s="507"/>
      <c r="EH326" s="507"/>
      <c r="EI326" s="507"/>
      <c r="EJ326" s="507"/>
      <c r="EK326" s="507"/>
      <c r="EL326" s="507"/>
      <c r="EM326" s="507"/>
      <c r="EN326" s="507"/>
      <c r="EO326" s="507"/>
      <c r="EP326" s="507"/>
      <c r="EQ326" s="507"/>
      <c r="ER326" s="507"/>
      <c r="ES326" s="507"/>
      <c r="ET326" s="507"/>
      <c r="EU326" s="507"/>
      <c r="EV326" s="507"/>
      <c r="EW326" s="507"/>
      <c r="EX326" s="507"/>
      <c r="EY326" s="507"/>
      <c r="EZ326" s="507"/>
      <c r="FA326" s="507"/>
      <c r="FB326" s="507"/>
      <c r="FC326" s="507"/>
      <c r="FD326" s="507"/>
      <c r="FE326" s="507"/>
      <c r="FF326" s="507"/>
      <c r="FG326" s="507"/>
      <c r="FH326" s="507"/>
      <c r="FI326" s="507"/>
      <c r="FJ326" s="507"/>
      <c r="FK326" s="507"/>
      <c r="FL326" s="507"/>
      <c r="FM326" s="507"/>
      <c r="FN326" s="507"/>
      <c r="FO326" s="507"/>
      <c r="FP326" s="507"/>
      <c r="FQ326" s="507"/>
      <c r="FR326" s="507"/>
      <c r="FS326" s="507"/>
      <c r="FT326" s="507"/>
      <c r="FU326" s="507"/>
      <c r="FV326" s="507"/>
      <c r="FW326" s="507"/>
      <c r="FX326" s="507"/>
      <c r="FY326" s="507"/>
      <c r="FZ326" s="507"/>
      <c r="GA326" s="507"/>
      <c r="GB326" s="507"/>
      <c r="GC326" s="507"/>
      <c r="GD326" s="507"/>
      <c r="GE326" s="507"/>
      <c r="GF326" s="507"/>
      <c r="GG326" s="507"/>
      <c r="GH326" s="507"/>
      <c r="GI326" s="507"/>
      <c r="GJ326" s="507"/>
      <c r="GK326" s="507"/>
      <c r="GL326" s="507"/>
      <c r="GM326" s="507"/>
      <c r="GN326" s="507"/>
      <c r="GO326" s="507"/>
      <c r="GP326" s="507"/>
      <c r="GQ326" s="507"/>
      <c r="GR326" s="507"/>
      <c r="GS326" s="507"/>
      <c r="GT326" s="507"/>
      <c r="GU326" s="507"/>
      <c r="GV326" s="507"/>
      <c r="GW326" s="507"/>
      <c r="GX326" s="507"/>
      <c r="GY326" s="507"/>
      <c r="GZ326" s="507"/>
      <c r="HA326" s="507"/>
      <c r="HB326" s="507"/>
      <c r="HC326" s="507"/>
      <c r="HD326" s="507"/>
      <c r="HE326" s="507"/>
      <c r="HF326" s="507"/>
      <c r="HG326" s="507"/>
      <c r="HH326" s="507"/>
      <c r="HI326" s="507"/>
      <c r="HJ326" s="507"/>
      <c r="HK326" s="507"/>
      <c r="HL326" s="507"/>
      <c r="HM326" s="507"/>
      <c r="HN326" s="507"/>
      <c r="HO326" s="507"/>
      <c r="HP326" s="507"/>
      <c r="HQ326" s="507"/>
      <c r="HR326" s="507"/>
      <c r="HS326" s="507"/>
      <c r="HT326" s="507"/>
      <c r="HU326" s="507"/>
      <c r="HV326" s="507"/>
      <c r="HW326" s="507"/>
      <c r="HX326" s="507"/>
      <c r="HY326" s="507"/>
      <c r="HZ326" s="507"/>
    </row>
    <row r="327" spans="1:234" s="206" customFormat="1" ht="13.5" hidden="1" customHeight="1" x14ac:dyDescent="0.25">
      <c r="A327" s="541" t="s">
        <v>2572</v>
      </c>
      <c r="B327" s="523" t="s">
        <v>2577</v>
      </c>
      <c r="C327" s="524" t="s">
        <v>3129</v>
      </c>
      <c r="D327" s="551" t="s">
        <v>4384</v>
      </c>
      <c r="E327" s="569" t="s">
        <v>3228</v>
      </c>
      <c r="F327" s="543">
        <v>40620</v>
      </c>
      <c r="G327" s="544">
        <v>40575</v>
      </c>
      <c r="H327" s="544">
        <v>40613</v>
      </c>
      <c r="I327" s="616">
        <v>42643</v>
      </c>
      <c r="J327" s="579">
        <v>10</v>
      </c>
      <c r="K327" s="553" t="s">
        <v>3229</v>
      </c>
      <c r="L327" s="552" t="s">
        <v>3229</v>
      </c>
      <c r="M327" s="560">
        <v>0</v>
      </c>
      <c r="N327" s="606">
        <v>1</v>
      </c>
      <c r="O327" s="613">
        <v>0.6</v>
      </c>
      <c r="P327" s="575" t="s">
        <v>3229</v>
      </c>
      <c r="Q327" s="575" t="s">
        <v>3229</v>
      </c>
      <c r="R327" s="575" t="s">
        <v>3229</v>
      </c>
      <c r="S327" s="570"/>
      <c r="T327" s="617" t="s">
        <v>3229</v>
      </c>
      <c r="U327" s="563" t="s">
        <v>3229</v>
      </c>
      <c r="V327" s="563" t="s">
        <v>3229</v>
      </c>
      <c r="W327" s="563" t="s">
        <v>3229</v>
      </c>
      <c r="X327" s="563" t="s">
        <v>3229</v>
      </c>
      <c r="Y327" s="598" t="s">
        <v>3229</v>
      </c>
      <c r="Z327" s="598" t="s">
        <v>3229</v>
      </c>
      <c r="AA327" s="598" t="s">
        <v>3229</v>
      </c>
      <c r="AB327" s="598" t="s">
        <v>3229</v>
      </c>
      <c r="AC327" s="598" t="s">
        <v>3229</v>
      </c>
      <c r="AD327" s="598" t="s">
        <v>3229</v>
      </c>
      <c r="AE327" s="598" t="s">
        <v>3229</v>
      </c>
      <c r="AF327" s="3764" t="s">
        <v>781</v>
      </c>
      <c r="AG327" s="3765"/>
      <c r="AH327" s="1301" t="s">
        <v>3229</v>
      </c>
      <c r="AI327" s="1301" t="s">
        <v>3229</v>
      </c>
      <c r="AJ327" s="1301" t="s">
        <v>3229</v>
      </c>
      <c r="AK327" s="530" t="s">
        <v>3229</v>
      </c>
      <c r="AL327" s="530" t="s">
        <v>3229</v>
      </c>
      <c r="AM327" s="659">
        <v>1</v>
      </c>
      <c r="AN327" s="638">
        <v>0.48827000000000009</v>
      </c>
      <c r="AO327" s="625">
        <v>14.88</v>
      </c>
      <c r="AP327" s="1368">
        <v>0.48827000000000009</v>
      </c>
      <c r="AQ327" s="606">
        <v>0.45414118854464186</v>
      </c>
      <c r="AR327" s="3764">
        <v>0.6</v>
      </c>
      <c r="AS327" s="3771">
        <v>8.8499842590340494E-2</v>
      </c>
      <c r="AT327" s="3771">
        <v>7.5268817204301008E-2</v>
      </c>
      <c r="AU327" s="3772">
        <v>1.4180064737149789</v>
      </c>
      <c r="AV327" s="558">
        <v>0</v>
      </c>
      <c r="AW327" s="558">
        <v>0</v>
      </c>
      <c r="AX327" s="589">
        <v>-0.32795698924731187</v>
      </c>
      <c r="AY327" s="587">
        <v>-0.9920567602634156</v>
      </c>
      <c r="AZ327" s="676">
        <v>10</v>
      </c>
      <c r="BA327" s="581" t="s">
        <v>3190</v>
      </c>
      <c r="BB327" s="570"/>
      <c r="BC327" s="581"/>
      <c r="BD327" s="3691"/>
      <c r="BE327" s="3743"/>
      <c r="BF327" s="3743"/>
      <c r="BG327" s="3708"/>
      <c r="BH327" s="3762"/>
      <c r="BI327" s="3762"/>
      <c r="BJ327" s="39"/>
      <c r="BK327" s="39"/>
      <c r="BL327" s="39"/>
      <c r="BM327" s="39"/>
      <c r="BN327" s="39"/>
      <c r="BO327" s="39"/>
      <c r="BP327" s="39"/>
      <c r="BQ327" s="39"/>
      <c r="BR327" s="39"/>
      <c r="BS327" s="507"/>
      <c r="BT327" s="507"/>
      <c r="BU327" s="507"/>
      <c r="BV327" s="507"/>
      <c r="BW327" s="507"/>
      <c r="BX327" s="507"/>
      <c r="BY327" s="507"/>
      <c r="BZ327" s="507"/>
      <c r="CA327" s="507"/>
      <c r="CB327" s="507"/>
      <c r="CC327" s="507"/>
      <c r="CD327" s="507"/>
      <c r="CE327" s="507"/>
      <c r="CF327" s="507"/>
      <c r="CG327" s="507"/>
      <c r="CH327" s="507"/>
      <c r="CI327" s="507"/>
      <c r="CJ327" s="507"/>
      <c r="CK327" s="507"/>
      <c r="CL327" s="507"/>
      <c r="CM327" s="507"/>
      <c r="CN327" s="507"/>
      <c r="CO327" s="507"/>
      <c r="CP327" s="507"/>
      <c r="CQ327" s="507"/>
      <c r="CR327" s="507"/>
      <c r="CS327" s="507"/>
      <c r="CT327" s="507"/>
      <c r="CU327" s="507"/>
      <c r="CV327" s="507"/>
      <c r="CW327" s="507"/>
      <c r="CX327" s="507"/>
      <c r="CY327" s="507"/>
      <c r="CZ327" s="507"/>
      <c r="DA327" s="507"/>
      <c r="DB327" s="507"/>
      <c r="DC327" s="507"/>
      <c r="DD327" s="507"/>
      <c r="DE327" s="507"/>
      <c r="DF327" s="507"/>
      <c r="DG327" s="507"/>
      <c r="DH327" s="507"/>
      <c r="DI327" s="507"/>
      <c r="DJ327" s="507"/>
      <c r="DK327" s="507"/>
      <c r="DL327" s="507"/>
      <c r="DM327" s="507"/>
      <c r="DN327" s="507"/>
      <c r="DO327" s="507"/>
      <c r="DP327" s="507"/>
      <c r="DQ327" s="507"/>
      <c r="DR327" s="507"/>
      <c r="DS327" s="507"/>
      <c r="DT327" s="507"/>
      <c r="DU327" s="507"/>
      <c r="DV327" s="507"/>
      <c r="DW327" s="507"/>
      <c r="DX327" s="507"/>
      <c r="DY327" s="507"/>
      <c r="DZ327" s="507"/>
      <c r="EA327" s="507"/>
      <c r="EB327" s="507"/>
      <c r="EC327" s="507"/>
      <c r="ED327" s="507"/>
      <c r="EE327" s="507"/>
      <c r="EF327" s="507"/>
      <c r="EG327" s="507"/>
      <c r="EH327" s="507"/>
      <c r="EI327" s="507"/>
      <c r="EJ327" s="507"/>
      <c r="EK327" s="507"/>
      <c r="EL327" s="507"/>
      <c r="EM327" s="507"/>
      <c r="EN327" s="507"/>
      <c r="EO327" s="507"/>
      <c r="EP327" s="507"/>
      <c r="EQ327" s="507"/>
      <c r="ER327" s="507"/>
      <c r="ES327" s="507"/>
      <c r="ET327" s="507"/>
      <c r="EU327" s="507"/>
      <c r="EV327" s="507"/>
      <c r="EW327" s="507"/>
      <c r="EX327" s="507"/>
      <c r="EY327" s="507"/>
      <c r="EZ327" s="507"/>
      <c r="FA327" s="507"/>
      <c r="FB327" s="507"/>
      <c r="FC327" s="507"/>
      <c r="FD327" s="507"/>
      <c r="FE327" s="507"/>
      <c r="FF327" s="507"/>
      <c r="FG327" s="507"/>
      <c r="FH327" s="507"/>
      <c r="FI327" s="507"/>
      <c r="FJ327" s="507"/>
      <c r="FK327" s="507"/>
      <c r="FL327" s="507"/>
      <c r="FM327" s="507"/>
      <c r="FN327" s="507"/>
      <c r="FO327" s="507"/>
      <c r="FP327" s="507"/>
      <c r="FQ327" s="507"/>
      <c r="FR327" s="507"/>
      <c r="FS327" s="507"/>
      <c r="FT327" s="507"/>
      <c r="FU327" s="507"/>
      <c r="FV327" s="507"/>
      <c r="FW327" s="507"/>
      <c r="FX327" s="507"/>
      <c r="FY327" s="507"/>
      <c r="FZ327" s="507"/>
      <c r="GA327" s="507"/>
      <c r="GB327" s="507"/>
      <c r="GC327" s="507"/>
      <c r="GD327" s="507"/>
      <c r="GE327" s="507"/>
      <c r="GF327" s="507"/>
      <c r="GG327" s="507"/>
      <c r="GH327" s="507"/>
      <c r="GI327" s="507"/>
      <c r="GJ327" s="507"/>
      <c r="GK327" s="507"/>
      <c r="GL327" s="507"/>
      <c r="GM327" s="507"/>
      <c r="GN327" s="507"/>
      <c r="GO327" s="507"/>
      <c r="GP327" s="507"/>
      <c r="GQ327" s="507"/>
      <c r="GR327" s="507"/>
      <c r="GS327" s="507"/>
      <c r="GT327" s="507"/>
      <c r="GU327" s="507"/>
      <c r="GV327" s="507"/>
      <c r="GW327" s="507"/>
      <c r="GX327" s="507"/>
      <c r="GY327" s="507"/>
      <c r="GZ327" s="507"/>
      <c r="HA327" s="507"/>
      <c r="HB327" s="507"/>
      <c r="HC327" s="507"/>
      <c r="HD327" s="507"/>
      <c r="HE327" s="507"/>
      <c r="HF327" s="507"/>
      <c r="HG327" s="507"/>
      <c r="HH327" s="507"/>
      <c r="HI327" s="507"/>
      <c r="HJ327" s="507"/>
      <c r="HK327" s="507"/>
      <c r="HL327" s="507"/>
      <c r="HM327" s="507"/>
      <c r="HN327" s="507"/>
      <c r="HO327" s="507"/>
      <c r="HP327" s="507"/>
      <c r="HQ327" s="507"/>
      <c r="HR327" s="507"/>
      <c r="HS327" s="507"/>
      <c r="HT327" s="507"/>
      <c r="HU327" s="507"/>
      <c r="HV327" s="507"/>
      <c r="HW327" s="507"/>
      <c r="HX327" s="507"/>
      <c r="HY327" s="507"/>
      <c r="HZ327" s="507"/>
    </row>
    <row r="328" spans="1:234" s="206" customFormat="1" ht="13.5" hidden="1" customHeight="1" x14ac:dyDescent="0.25">
      <c r="A328" s="541" t="s">
        <v>1625</v>
      </c>
      <c r="B328" s="523" t="s">
        <v>1635</v>
      </c>
      <c r="C328" s="524" t="s">
        <v>1636</v>
      </c>
      <c r="D328" s="551" t="s">
        <v>1859</v>
      </c>
      <c r="E328" s="569" t="s">
        <v>3228</v>
      </c>
      <c r="F328" s="543">
        <v>40669</v>
      </c>
      <c r="G328" s="544">
        <v>40603</v>
      </c>
      <c r="H328" s="544">
        <v>40662</v>
      </c>
      <c r="I328" s="616">
        <v>42704</v>
      </c>
      <c r="J328" s="579">
        <v>10</v>
      </c>
      <c r="K328" s="553">
        <v>0</v>
      </c>
      <c r="L328" s="552">
        <v>0.08</v>
      </c>
      <c r="M328" s="560">
        <v>4.4999999999999998E-2</v>
      </c>
      <c r="N328" s="606" t="s">
        <v>3229</v>
      </c>
      <c r="O328" s="613">
        <v>0.36499999999999999</v>
      </c>
      <c r="P328" s="575" t="s">
        <v>3229</v>
      </c>
      <c r="Q328" s="575">
        <v>4.4999999999999998E-2</v>
      </c>
      <c r="R328" s="575" t="s">
        <v>3229</v>
      </c>
      <c r="S328" s="570">
        <v>5</v>
      </c>
      <c r="T328" s="617">
        <v>41000</v>
      </c>
      <c r="U328" s="563">
        <v>41365</v>
      </c>
      <c r="V328" s="563">
        <v>41730</v>
      </c>
      <c r="W328" s="563">
        <v>42095</v>
      </c>
      <c r="X328" s="563">
        <v>42644</v>
      </c>
      <c r="Y328" s="598" t="s">
        <v>3229</v>
      </c>
      <c r="Z328" s="598" t="s">
        <v>3229</v>
      </c>
      <c r="AA328" s="598" t="s">
        <v>3229</v>
      </c>
      <c r="AB328" s="598" t="s">
        <v>3229</v>
      </c>
      <c r="AC328" s="598" t="s">
        <v>3229</v>
      </c>
      <c r="AD328" s="598" t="s">
        <v>3229</v>
      </c>
      <c r="AE328" s="598" t="s">
        <v>3229</v>
      </c>
      <c r="AF328" s="3764" t="s">
        <v>781</v>
      </c>
      <c r="AG328" s="3765"/>
      <c r="AH328" s="1301" t="s">
        <v>3229</v>
      </c>
      <c r="AI328" s="1301" t="s">
        <v>3229</v>
      </c>
      <c r="AJ328" s="1301" t="s">
        <v>3229</v>
      </c>
      <c r="AK328" s="530" t="s">
        <v>3229</v>
      </c>
      <c r="AL328" s="530" t="s">
        <v>3229</v>
      </c>
      <c r="AM328" s="659">
        <v>1</v>
      </c>
      <c r="AN328" s="638">
        <f>'klikací hodnoty'!E9740</f>
        <v>0.14026599999999995</v>
      </c>
      <c r="AO328" s="625">
        <v>11.4</v>
      </c>
      <c r="AP328" s="1368">
        <f>'klikací hodnoty'!F9732</f>
        <v>5.0542739857666798E-3</v>
      </c>
      <c r="AQ328" s="606">
        <f>'klikací hodnoty'!E9732</f>
        <v>0.47522978235399804</v>
      </c>
      <c r="AR328" s="3764">
        <f t="shared" si="69"/>
        <v>0.36499999999999999</v>
      </c>
      <c r="AS328" s="3771">
        <f t="shared" si="70"/>
        <v>5.7395728603852669E-2</v>
      </c>
      <c r="AT328" s="3771">
        <f t="shared" si="71"/>
        <v>0.19736842105263164</v>
      </c>
      <c r="AU328" s="3772" t="e">
        <f t="shared" si="72"/>
        <v>#DIV/0!</v>
      </c>
      <c r="AV328" s="558">
        <f t="shared" si="59"/>
        <v>4.4999999999999998E-2</v>
      </c>
      <c r="AW328" s="558">
        <f t="shared" si="56"/>
        <v>7.9261675417456878E-3</v>
      </c>
      <c r="AX328" s="589">
        <f t="shared" si="57"/>
        <v>-8.333333333333337E-2</v>
      </c>
      <c r="AY328" s="587" t="e">
        <f t="shared" si="58"/>
        <v>#DIV/0!</v>
      </c>
      <c r="AZ328" s="676">
        <f t="shared" si="68"/>
        <v>10.45</v>
      </c>
      <c r="BA328" s="581" t="s">
        <v>1685</v>
      </c>
      <c r="BB328" s="570" t="s">
        <v>2025</v>
      </c>
      <c r="BC328" s="581" t="s">
        <v>2895</v>
      </c>
      <c r="BD328" s="3691"/>
      <c r="BE328" s="3743"/>
      <c r="BF328" s="3743"/>
      <c r="BG328" s="3708"/>
      <c r="BH328" s="3762"/>
      <c r="BI328" s="3762"/>
      <c r="BJ328" s="39"/>
      <c r="BK328" s="39"/>
      <c r="BL328" s="39"/>
      <c r="BM328" s="39"/>
      <c r="BN328" s="39"/>
      <c r="BO328" s="39"/>
      <c r="BP328" s="39"/>
      <c r="BQ328" s="39"/>
      <c r="BR328" s="39"/>
      <c r="BS328" s="507"/>
      <c r="BT328" s="507"/>
      <c r="BU328" s="507"/>
      <c r="BV328" s="507"/>
      <c r="BW328" s="507"/>
      <c r="BX328" s="507"/>
      <c r="BY328" s="507"/>
      <c r="BZ328" s="507"/>
      <c r="CA328" s="507"/>
      <c r="CB328" s="507"/>
      <c r="CC328" s="507"/>
      <c r="CD328" s="507"/>
      <c r="CE328" s="507"/>
      <c r="CF328" s="507"/>
      <c r="CG328" s="507"/>
      <c r="CH328" s="507"/>
      <c r="CI328" s="507"/>
      <c r="CJ328" s="507"/>
      <c r="CK328" s="507"/>
      <c r="CL328" s="507"/>
      <c r="CM328" s="507"/>
      <c r="CN328" s="507"/>
      <c r="CO328" s="507"/>
      <c r="CP328" s="507"/>
      <c r="CQ328" s="507"/>
      <c r="CR328" s="507"/>
      <c r="CS328" s="507"/>
      <c r="CT328" s="507"/>
      <c r="CU328" s="507"/>
      <c r="CV328" s="507"/>
      <c r="CW328" s="507"/>
      <c r="CX328" s="507"/>
      <c r="CY328" s="507"/>
      <c r="CZ328" s="507"/>
      <c r="DA328" s="507"/>
      <c r="DB328" s="507"/>
      <c r="DC328" s="507"/>
      <c r="DD328" s="507"/>
      <c r="DE328" s="507"/>
      <c r="DF328" s="507"/>
      <c r="DG328" s="507"/>
      <c r="DH328" s="507"/>
      <c r="DI328" s="507"/>
      <c r="DJ328" s="507"/>
      <c r="DK328" s="507"/>
      <c r="DL328" s="507"/>
      <c r="DM328" s="507"/>
      <c r="DN328" s="507"/>
      <c r="DO328" s="507"/>
      <c r="DP328" s="507"/>
      <c r="DQ328" s="507"/>
      <c r="DR328" s="507"/>
      <c r="DS328" s="507"/>
      <c r="DT328" s="507"/>
      <c r="DU328" s="507"/>
      <c r="DV328" s="507"/>
      <c r="DW328" s="507"/>
      <c r="DX328" s="507"/>
      <c r="DY328" s="507"/>
      <c r="DZ328" s="507"/>
      <c r="EA328" s="507"/>
      <c r="EB328" s="507"/>
      <c r="EC328" s="507"/>
      <c r="ED328" s="507"/>
      <c r="EE328" s="507"/>
      <c r="EF328" s="507"/>
      <c r="EG328" s="507"/>
      <c r="EH328" s="507"/>
      <c r="EI328" s="507"/>
      <c r="EJ328" s="507"/>
      <c r="EK328" s="507"/>
      <c r="EL328" s="507"/>
      <c r="EM328" s="507"/>
      <c r="EN328" s="507"/>
      <c r="EO328" s="507"/>
      <c r="EP328" s="507"/>
      <c r="EQ328" s="507"/>
      <c r="ER328" s="507"/>
      <c r="ES328" s="507"/>
      <c r="ET328" s="507"/>
      <c r="EU328" s="507"/>
      <c r="EV328" s="507"/>
      <c r="EW328" s="507"/>
      <c r="EX328" s="507"/>
      <c r="EY328" s="507"/>
      <c r="EZ328" s="507"/>
      <c r="FA328" s="507"/>
      <c r="FB328" s="507"/>
      <c r="FC328" s="507"/>
      <c r="FD328" s="507"/>
      <c r="FE328" s="507"/>
      <c r="FF328" s="507"/>
      <c r="FG328" s="507"/>
      <c r="FH328" s="507"/>
      <c r="FI328" s="507"/>
      <c r="FJ328" s="507"/>
      <c r="FK328" s="507"/>
      <c r="FL328" s="507"/>
      <c r="FM328" s="507"/>
      <c r="FN328" s="507"/>
      <c r="FO328" s="507"/>
      <c r="FP328" s="507"/>
      <c r="FQ328" s="507"/>
      <c r="FR328" s="507"/>
      <c r="FS328" s="507"/>
      <c r="FT328" s="507"/>
      <c r="FU328" s="507"/>
      <c r="FV328" s="507"/>
      <c r="FW328" s="507"/>
      <c r="FX328" s="507"/>
      <c r="FY328" s="507"/>
      <c r="FZ328" s="507"/>
      <c r="GA328" s="507"/>
      <c r="GB328" s="507"/>
      <c r="GC328" s="507"/>
      <c r="GD328" s="507"/>
      <c r="GE328" s="507"/>
      <c r="GF328" s="507"/>
      <c r="GG328" s="507"/>
      <c r="GH328" s="507"/>
      <c r="GI328" s="507"/>
      <c r="GJ328" s="507"/>
      <c r="GK328" s="507"/>
      <c r="GL328" s="507"/>
      <c r="GM328" s="507"/>
      <c r="GN328" s="507"/>
      <c r="GO328" s="507"/>
      <c r="GP328" s="507"/>
      <c r="GQ328" s="507"/>
      <c r="GR328" s="507"/>
      <c r="GS328" s="507"/>
      <c r="GT328" s="507"/>
      <c r="GU328" s="507"/>
      <c r="GV328" s="507"/>
      <c r="GW328" s="507"/>
      <c r="GX328" s="507"/>
      <c r="GY328" s="507"/>
      <c r="GZ328" s="507"/>
      <c r="HA328" s="507"/>
      <c r="HB328" s="507"/>
      <c r="HC328" s="507"/>
      <c r="HD328" s="507"/>
      <c r="HE328" s="507"/>
      <c r="HF328" s="507"/>
      <c r="HG328" s="507"/>
      <c r="HH328" s="507"/>
      <c r="HI328" s="507"/>
      <c r="HJ328" s="507"/>
      <c r="HK328" s="507"/>
      <c r="HL328" s="507"/>
      <c r="HM328" s="507"/>
      <c r="HN328" s="507"/>
      <c r="HO328" s="507"/>
      <c r="HP328" s="507"/>
      <c r="HQ328" s="507"/>
      <c r="HR328" s="507"/>
      <c r="HS328" s="507"/>
      <c r="HT328" s="507"/>
      <c r="HU328" s="507"/>
      <c r="HV328" s="507"/>
      <c r="HW328" s="507"/>
      <c r="HX328" s="507"/>
      <c r="HY328" s="507"/>
      <c r="HZ328" s="507"/>
    </row>
    <row r="329" spans="1:234" s="206" customFormat="1" ht="13.5" hidden="1" customHeight="1" x14ac:dyDescent="0.25">
      <c r="A329" s="541" t="s">
        <v>1626</v>
      </c>
      <c r="B329" s="523" t="s">
        <v>2044</v>
      </c>
      <c r="C329" s="524" t="s">
        <v>2045</v>
      </c>
      <c r="D329" s="551" t="s">
        <v>1859</v>
      </c>
      <c r="E329" s="569" t="s">
        <v>3228</v>
      </c>
      <c r="F329" s="543">
        <v>40640</v>
      </c>
      <c r="G329" s="544">
        <v>40603</v>
      </c>
      <c r="H329" s="544">
        <v>40633</v>
      </c>
      <c r="I329" s="616">
        <v>42551</v>
      </c>
      <c r="J329" s="579">
        <v>10</v>
      </c>
      <c r="K329" s="553" t="s">
        <v>3229</v>
      </c>
      <c r="L329" s="552" t="s">
        <v>3229</v>
      </c>
      <c r="M329" s="560">
        <v>0</v>
      </c>
      <c r="N329" s="606" t="s">
        <v>3229</v>
      </c>
      <c r="O329" s="613">
        <v>0.36</v>
      </c>
      <c r="P329" s="575" t="s">
        <v>3229</v>
      </c>
      <c r="Q329" s="575" t="s">
        <v>3229</v>
      </c>
      <c r="R329" s="575" t="s">
        <v>3229</v>
      </c>
      <c r="S329" s="570"/>
      <c r="T329" s="617" t="s">
        <v>3229</v>
      </c>
      <c r="U329" s="563" t="s">
        <v>3229</v>
      </c>
      <c r="V329" s="563" t="s">
        <v>3229</v>
      </c>
      <c r="W329" s="563" t="s">
        <v>3229</v>
      </c>
      <c r="X329" s="563" t="s">
        <v>3229</v>
      </c>
      <c r="Y329" s="598" t="s">
        <v>3229</v>
      </c>
      <c r="Z329" s="598" t="s">
        <v>3229</v>
      </c>
      <c r="AA329" s="598" t="s">
        <v>3229</v>
      </c>
      <c r="AB329" s="598" t="s">
        <v>3229</v>
      </c>
      <c r="AC329" s="598" t="s">
        <v>3229</v>
      </c>
      <c r="AD329" s="598" t="s">
        <v>3229</v>
      </c>
      <c r="AE329" s="598" t="s">
        <v>3229</v>
      </c>
      <c r="AF329" s="3764" t="s">
        <v>781</v>
      </c>
      <c r="AG329" s="3765"/>
      <c r="AH329" s="1301" t="s">
        <v>3229</v>
      </c>
      <c r="AI329" s="1301" t="s">
        <v>3229</v>
      </c>
      <c r="AJ329" s="1301" t="s">
        <v>3229</v>
      </c>
      <c r="AK329" s="530" t="s">
        <v>3229</v>
      </c>
      <c r="AL329" s="530" t="s">
        <v>3229</v>
      </c>
      <c r="AM329" s="659">
        <v>1</v>
      </c>
      <c r="AN329" s="638">
        <f>'klikací hodnoty'!F10025</f>
        <v>0.16032745481069702</v>
      </c>
      <c r="AO329" s="625">
        <v>11.6</v>
      </c>
      <c r="AP329" s="1368">
        <f>AQ329</f>
        <v>0.16032745481069702</v>
      </c>
      <c r="AQ329" s="606">
        <f>'klikací hodnoty'!F10024</f>
        <v>0.16032745481069702</v>
      </c>
      <c r="AR329" s="3764">
        <f t="shared" si="69"/>
        <v>0.36</v>
      </c>
      <c r="AS329" s="3771">
        <f t="shared" si="70"/>
        <v>6.0488251556293449E-2</v>
      </c>
      <c r="AT329" s="3771">
        <f t="shared" si="71"/>
        <v>0.17241379310344818</v>
      </c>
      <c r="AU329" s="3772" t="e">
        <f t="shared" si="72"/>
        <v>#DIV/0!</v>
      </c>
      <c r="AV329" s="558">
        <v>0.1603</v>
      </c>
      <c r="AW329" s="558">
        <v>2.8804587265077286E-2</v>
      </c>
      <c r="AX329" s="589">
        <v>-1.0826939471440977E-2</v>
      </c>
      <c r="AY329" s="587">
        <v>-0.12404981591856379</v>
      </c>
      <c r="AZ329" s="676">
        <f t="shared" si="68"/>
        <v>11.602999999999998</v>
      </c>
      <c r="BA329" s="581" t="s">
        <v>3609</v>
      </c>
      <c r="BB329" s="570"/>
      <c r="BC329" s="581"/>
      <c r="BD329" s="3691"/>
      <c r="BE329" s="3743"/>
      <c r="BF329" s="3743"/>
      <c r="BG329" s="3708"/>
      <c r="BH329" s="3762"/>
      <c r="BI329" s="3762"/>
      <c r="BJ329" s="39"/>
      <c r="BK329" s="39"/>
      <c r="BL329" s="39"/>
      <c r="BM329" s="39"/>
      <c r="BN329" s="39"/>
      <c r="BO329" s="39"/>
      <c r="BP329" s="39"/>
      <c r="BQ329" s="39"/>
      <c r="BR329" s="39"/>
      <c r="BS329" s="507"/>
      <c r="BT329" s="507"/>
      <c r="BU329" s="507"/>
      <c r="BV329" s="507"/>
      <c r="BW329" s="507"/>
      <c r="BX329" s="507"/>
      <c r="BY329" s="507"/>
      <c r="BZ329" s="507"/>
      <c r="CA329" s="507"/>
      <c r="CB329" s="507"/>
      <c r="CC329" s="507"/>
      <c r="CD329" s="507"/>
      <c r="CE329" s="507"/>
      <c r="CF329" s="507"/>
      <c r="CG329" s="507"/>
      <c r="CH329" s="507"/>
      <c r="CI329" s="507"/>
      <c r="CJ329" s="507"/>
      <c r="CK329" s="507"/>
      <c r="CL329" s="507"/>
      <c r="CM329" s="507"/>
      <c r="CN329" s="507"/>
      <c r="CO329" s="507"/>
      <c r="CP329" s="507"/>
      <c r="CQ329" s="507"/>
      <c r="CR329" s="507"/>
      <c r="CS329" s="507"/>
      <c r="CT329" s="507"/>
      <c r="CU329" s="507"/>
      <c r="CV329" s="507"/>
      <c r="CW329" s="507"/>
      <c r="CX329" s="507"/>
      <c r="CY329" s="507"/>
      <c r="CZ329" s="507"/>
      <c r="DA329" s="507"/>
      <c r="DB329" s="507"/>
      <c r="DC329" s="507"/>
      <c r="DD329" s="507"/>
      <c r="DE329" s="507"/>
      <c r="DF329" s="507"/>
      <c r="DG329" s="507"/>
      <c r="DH329" s="507"/>
      <c r="DI329" s="507"/>
      <c r="DJ329" s="507"/>
      <c r="DK329" s="507"/>
      <c r="DL329" s="507"/>
      <c r="DM329" s="507"/>
      <c r="DN329" s="507"/>
      <c r="DO329" s="507"/>
      <c r="DP329" s="507"/>
      <c r="DQ329" s="507"/>
      <c r="DR329" s="507"/>
      <c r="DS329" s="507"/>
      <c r="DT329" s="507"/>
      <c r="DU329" s="507"/>
      <c r="DV329" s="507"/>
      <c r="DW329" s="507"/>
      <c r="DX329" s="507"/>
      <c r="DY329" s="507"/>
      <c r="DZ329" s="507"/>
      <c r="EA329" s="507"/>
      <c r="EB329" s="507"/>
      <c r="EC329" s="507"/>
      <c r="ED329" s="507"/>
      <c r="EE329" s="507"/>
      <c r="EF329" s="507"/>
      <c r="EG329" s="507"/>
      <c r="EH329" s="507"/>
      <c r="EI329" s="507"/>
      <c r="EJ329" s="507"/>
      <c r="EK329" s="507"/>
      <c r="EL329" s="507"/>
      <c r="EM329" s="507"/>
      <c r="EN329" s="507"/>
      <c r="EO329" s="507"/>
      <c r="EP329" s="507"/>
      <c r="EQ329" s="507"/>
      <c r="ER329" s="507"/>
      <c r="ES329" s="507"/>
      <c r="ET329" s="507"/>
      <c r="EU329" s="507"/>
      <c r="EV329" s="507"/>
      <c r="EW329" s="507"/>
      <c r="EX329" s="507"/>
      <c r="EY329" s="507"/>
      <c r="EZ329" s="507"/>
      <c r="FA329" s="507"/>
      <c r="FB329" s="507"/>
      <c r="FC329" s="507"/>
      <c r="FD329" s="507"/>
      <c r="FE329" s="507"/>
      <c r="FF329" s="507"/>
      <c r="FG329" s="507"/>
      <c r="FH329" s="507"/>
      <c r="FI329" s="507"/>
      <c r="FJ329" s="507"/>
      <c r="FK329" s="507"/>
      <c r="FL329" s="507"/>
      <c r="FM329" s="507"/>
      <c r="FN329" s="507"/>
      <c r="FO329" s="507"/>
      <c r="FP329" s="507"/>
      <c r="FQ329" s="507"/>
      <c r="FR329" s="507"/>
      <c r="FS329" s="507"/>
      <c r="FT329" s="507"/>
      <c r="FU329" s="507"/>
      <c r="FV329" s="507"/>
      <c r="FW329" s="507"/>
      <c r="FX329" s="507"/>
      <c r="FY329" s="507"/>
      <c r="FZ329" s="507"/>
      <c r="GA329" s="507"/>
      <c r="GB329" s="507"/>
      <c r="GC329" s="507"/>
      <c r="GD329" s="507"/>
      <c r="GE329" s="507"/>
      <c r="GF329" s="507"/>
      <c r="GG329" s="507"/>
      <c r="GH329" s="507"/>
      <c r="GI329" s="507"/>
      <c r="GJ329" s="507"/>
      <c r="GK329" s="507"/>
      <c r="GL329" s="507"/>
      <c r="GM329" s="507"/>
      <c r="GN329" s="507"/>
      <c r="GO329" s="507"/>
      <c r="GP329" s="507"/>
      <c r="GQ329" s="507"/>
      <c r="GR329" s="507"/>
      <c r="GS329" s="507"/>
      <c r="GT329" s="507"/>
      <c r="GU329" s="507"/>
      <c r="GV329" s="507"/>
      <c r="GW329" s="507"/>
      <c r="GX329" s="507"/>
      <c r="GY329" s="507"/>
      <c r="GZ329" s="507"/>
      <c r="HA329" s="507"/>
      <c r="HB329" s="507"/>
      <c r="HC329" s="507"/>
      <c r="HD329" s="507"/>
      <c r="HE329" s="507"/>
      <c r="HF329" s="507"/>
      <c r="HG329" s="507"/>
      <c r="HH329" s="507"/>
      <c r="HI329" s="507"/>
      <c r="HJ329" s="507"/>
      <c r="HK329" s="507"/>
      <c r="HL329" s="507"/>
      <c r="HM329" s="507"/>
      <c r="HN329" s="507"/>
      <c r="HO329" s="507"/>
      <c r="HP329" s="507"/>
      <c r="HQ329" s="507"/>
      <c r="HR329" s="507"/>
      <c r="HS329" s="507"/>
      <c r="HT329" s="507"/>
      <c r="HU329" s="507"/>
      <c r="HV329" s="507"/>
      <c r="HW329" s="507"/>
      <c r="HX329" s="507"/>
      <c r="HY329" s="507"/>
      <c r="HZ329" s="507"/>
    </row>
    <row r="330" spans="1:234" s="206" customFormat="1" ht="13.5" hidden="1" customHeight="1" x14ac:dyDescent="0.25">
      <c r="A330" s="541" t="s">
        <v>1627</v>
      </c>
      <c r="B330" s="523" t="s">
        <v>2046</v>
      </c>
      <c r="C330" s="524" t="s">
        <v>2047</v>
      </c>
      <c r="D330" s="551" t="s">
        <v>1859</v>
      </c>
      <c r="E330" s="569" t="s">
        <v>3228</v>
      </c>
      <c r="F330" s="543">
        <v>40669</v>
      </c>
      <c r="G330" s="544">
        <v>40603</v>
      </c>
      <c r="H330" s="544">
        <v>40662</v>
      </c>
      <c r="I330" s="616">
        <v>42704</v>
      </c>
      <c r="J330" s="579">
        <v>10</v>
      </c>
      <c r="K330" s="553">
        <v>0</v>
      </c>
      <c r="L330" s="552">
        <v>0.08</v>
      </c>
      <c r="M330" s="560">
        <v>7.4999999999999997E-2</v>
      </c>
      <c r="N330" s="606" t="s">
        <v>3229</v>
      </c>
      <c r="O330" s="613">
        <v>0.39500000000000002</v>
      </c>
      <c r="P330" s="575" t="s">
        <v>3229</v>
      </c>
      <c r="Q330" s="575">
        <v>7.4999999999999997E-2</v>
      </c>
      <c r="R330" s="575" t="s">
        <v>3229</v>
      </c>
      <c r="S330" s="570">
        <v>5</v>
      </c>
      <c r="T330" s="617">
        <v>41000</v>
      </c>
      <c r="U330" s="563">
        <v>41365</v>
      </c>
      <c r="V330" s="563">
        <v>41730</v>
      </c>
      <c r="W330" s="563">
        <v>42095</v>
      </c>
      <c r="X330" s="563">
        <v>42644</v>
      </c>
      <c r="Y330" s="598" t="s">
        <v>3229</v>
      </c>
      <c r="Z330" s="598" t="s">
        <v>3229</v>
      </c>
      <c r="AA330" s="598" t="s">
        <v>3229</v>
      </c>
      <c r="AB330" s="598" t="s">
        <v>3229</v>
      </c>
      <c r="AC330" s="598" t="s">
        <v>3229</v>
      </c>
      <c r="AD330" s="598" t="s">
        <v>3229</v>
      </c>
      <c r="AE330" s="598" t="s">
        <v>3229</v>
      </c>
      <c r="AF330" s="3764" t="s">
        <v>781</v>
      </c>
      <c r="AG330" s="3765"/>
      <c r="AH330" s="1301" t="s">
        <v>3229</v>
      </c>
      <c r="AI330" s="1301" t="s">
        <v>3229</v>
      </c>
      <c r="AJ330" s="1301" t="s">
        <v>3229</v>
      </c>
      <c r="AK330" s="530" t="s">
        <v>3229</v>
      </c>
      <c r="AL330" s="530" t="s">
        <v>3229</v>
      </c>
      <c r="AM330" s="659">
        <v>1</v>
      </c>
      <c r="AN330" s="638">
        <f>'klikací hodnoty'!F9914</f>
        <v>0.1510969999999999</v>
      </c>
      <c r="AO330" s="625">
        <v>11.51</v>
      </c>
      <c r="AP330" s="1368">
        <f>'klikací hodnoty'!F9906</f>
        <v>2.0857173201227052E-3</v>
      </c>
      <c r="AQ330" s="606">
        <f>'klikací hodnoty'!E9906</f>
        <v>0.44397468187793165</v>
      </c>
      <c r="AR330" s="3764">
        <f t="shared" si="69"/>
        <v>0.39500000000000002</v>
      </c>
      <c r="AS330" s="3771">
        <f t="shared" si="70"/>
        <v>6.1526891070659451E-2</v>
      </c>
      <c r="AT330" s="3771">
        <f t="shared" si="71"/>
        <v>0.21198957428323184</v>
      </c>
      <c r="AU330" s="3772" t="e">
        <f t="shared" si="72"/>
        <v>#DIV/0!</v>
      </c>
      <c r="AV330" s="558">
        <f t="shared" si="59"/>
        <v>7.4999999999999997E-2</v>
      </c>
      <c r="AW330" s="558">
        <f t="shared" si="56"/>
        <v>1.305601425569014E-2</v>
      </c>
      <c r="AX330" s="589">
        <f t="shared" si="57"/>
        <v>-6.6029539530842674E-2</v>
      </c>
      <c r="AY330" s="587" t="e">
        <f t="shared" si="58"/>
        <v>#DIV/0!</v>
      </c>
      <c r="AZ330" s="676">
        <f t="shared" si="68"/>
        <v>10.75</v>
      </c>
      <c r="BA330" s="581" t="s">
        <v>2585</v>
      </c>
      <c r="BB330" s="570" t="s">
        <v>2025</v>
      </c>
      <c r="BC330" s="581" t="s">
        <v>2895</v>
      </c>
      <c r="BD330" s="3691"/>
      <c r="BE330" s="3743"/>
      <c r="BF330" s="3743"/>
      <c r="BG330" s="3708"/>
      <c r="BH330" s="3762"/>
      <c r="BI330" s="3762"/>
      <c r="BJ330" s="39"/>
      <c r="BK330" s="39"/>
      <c r="BL330" s="39"/>
      <c r="BM330" s="39"/>
      <c r="BN330" s="39"/>
      <c r="BO330" s="39"/>
      <c r="BP330" s="39"/>
      <c r="BQ330" s="39"/>
      <c r="BR330" s="39"/>
      <c r="BS330" s="507"/>
      <c r="BT330" s="507"/>
      <c r="BU330" s="507"/>
      <c r="BV330" s="507"/>
      <c r="BW330" s="507"/>
      <c r="BX330" s="507"/>
      <c r="BY330" s="507"/>
      <c r="BZ330" s="507"/>
      <c r="CA330" s="507"/>
      <c r="CB330" s="507"/>
      <c r="CC330" s="507"/>
      <c r="CD330" s="507"/>
      <c r="CE330" s="507"/>
      <c r="CF330" s="507"/>
      <c r="CG330" s="507"/>
      <c r="CH330" s="507"/>
      <c r="CI330" s="507"/>
      <c r="CJ330" s="507"/>
      <c r="CK330" s="507"/>
      <c r="CL330" s="507"/>
      <c r="CM330" s="507"/>
      <c r="CN330" s="507"/>
      <c r="CO330" s="507"/>
      <c r="CP330" s="507"/>
      <c r="CQ330" s="507"/>
      <c r="CR330" s="507"/>
      <c r="CS330" s="507"/>
      <c r="CT330" s="507"/>
      <c r="CU330" s="507"/>
      <c r="CV330" s="507"/>
      <c r="CW330" s="507"/>
      <c r="CX330" s="507"/>
      <c r="CY330" s="507"/>
      <c r="CZ330" s="507"/>
      <c r="DA330" s="507"/>
      <c r="DB330" s="507"/>
      <c r="DC330" s="507"/>
      <c r="DD330" s="507"/>
      <c r="DE330" s="507"/>
      <c r="DF330" s="507"/>
      <c r="DG330" s="507"/>
      <c r="DH330" s="507"/>
      <c r="DI330" s="507"/>
      <c r="DJ330" s="507"/>
      <c r="DK330" s="507"/>
      <c r="DL330" s="507"/>
      <c r="DM330" s="507"/>
      <c r="DN330" s="507"/>
      <c r="DO330" s="507"/>
      <c r="DP330" s="507"/>
      <c r="DQ330" s="507"/>
      <c r="DR330" s="507"/>
      <c r="DS330" s="507"/>
      <c r="DT330" s="507"/>
      <c r="DU330" s="507"/>
      <c r="DV330" s="507"/>
      <c r="DW330" s="507"/>
      <c r="DX330" s="507"/>
      <c r="DY330" s="507"/>
      <c r="DZ330" s="507"/>
      <c r="EA330" s="507"/>
      <c r="EB330" s="507"/>
      <c r="EC330" s="507"/>
      <c r="ED330" s="507"/>
      <c r="EE330" s="507"/>
      <c r="EF330" s="507"/>
      <c r="EG330" s="507"/>
      <c r="EH330" s="507"/>
      <c r="EI330" s="507"/>
      <c r="EJ330" s="507"/>
      <c r="EK330" s="507"/>
      <c r="EL330" s="507"/>
      <c r="EM330" s="507"/>
      <c r="EN330" s="507"/>
      <c r="EO330" s="507"/>
      <c r="EP330" s="507"/>
      <c r="EQ330" s="507"/>
      <c r="ER330" s="507"/>
      <c r="ES330" s="507"/>
      <c r="ET330" s="507"/>
      <c r="EU330" s="507"/>
      <c r="EV330" s="507"/>
      <c r="EW330" s="507"/>
      <c r="EX330" s="507"/>
      <c r="EY330" s="507"/>
      <c r="EZ330" s="507"/>
      <c r="FA330" s="507"/>
      <c r="FB330" s="507"/>
      <c r="FC330" s="507"/>
      <c r="FD330" s="507"/>
      <c r="FE330" s="507"/>
      <c r="FF330" s="507"/>
      <c r="FG330" s="507"/>
      <c r="FH330" s="507"/>
      <c r="FI330" s="507"/>
      <c r="FJ330" s="507"/>
      <c r="FK330" s="507"/>
      <c r="FL330" s="507"/>
      <c r="FM330" s="507"/>
      <c r="FN330" s="507"/>
      <c r="FO330" s="507"/>
      <c r="FP330" s="507"/>
      <c r="FQ330" s="507"/>
      <c r="FR330" s="507"/>
      <c r="FS330" s="507"/>
      <c r="FT330" s="507"/>
      <c r="FU330" s="507"/>
      <c r="FV330" s="507"/>
      <c r="FW330" s="507"/>
      <c r="FX330" s="507"/>
      <c r="FY330" s="507"/>
      <c r="FZ330" s="507"/>
      <c r="GA330" s="507"/>
      <c r="GB330" s="507"/>
      <c r="GC330" s="507"/>
      <c r="GD330" s="507"/>
      <c r="GE330" s="507"/>
      <c r="GF330" s="507"/>
      <c r="GG330" s="507"/>
      <c r="GH330" s="507"/>
      <c r="GI330" s="507"/>
      <c r="GJ330" s="507"/>
      <c r="GK330" s="507"/>
      <c r="GL330" s="507"/>
      <c r="GM330" s="507"/>
      <c r="GN330" s="507"/>
      <c r="GO330" s="507"/>
      <c r="GP330" s="507"/>
      <c r="GQ330" s="507"/>
      <c r="GR330" s="507"/>
      <c r="GS330" s="507"/>
      <c r="GT330" s="507"/>
      <c r="GU330" s="507"/>
      <c r="GV330" s="507"/>
      <c r="GW330" s="507"/>
      <c r="GX330" s="507"/>
      <c r="GY330" s="507"/>
      <c r="GZ330" s="507"/>
      <c r="HA330" s="507"/>
      <c r="HB330" s="507"/>
      <c r="HC330" s="507"/>
      <c r="HD330" s="507"/>
      <c r="HE330" s="507"/>
      <c r="HF330" s="507"/>
      <c r="HG330" s="507"/>
      <c r="HH330" s="507"/>
      <c r="HI330" s="507"/>
      <c r="HJ330" s="507"/>
      <c r="HK330" s="507"/>
      <c r="HL330" s="507"/>
      <c r="HM330" s="507"/>
      <c r="HN330" s="507"/>
      <c r="HO330" s="507"/>
      <c r="HP330" s="507"/>
      <c r="HQ330" s="507"/>
      <c r="HR330" s="507"/>
      <c r="HS330" s="507"/>
      <c r="HT330" s="507"/>
      <c r="HU330" s="507"/>
      <c r="HV330" s="507"/>
      <c r="HW330" s="507"/>
      <c r="HX330" s="507"/>
      <c r="HY330" s="507"/>
      <c r="HZ330" s="507"/>
    </row>
    <row r="331" spans="1:234" s="206" customFormat="1" ht="13.5" hidden="1" customHeight="1" x14ac:dyDescent="0.25">
      <c r="A331" s="541" t="s">
        <v>1628</v>
      </c>
      <c r="B331" s="523" t="s">
        <v>2048</v>
      </c>
      <c r="C331" s="524" t="s">
        <v>2049</v>
      </c>
      <c r="D331" s="551" t="s">
        <v>4171</v>
      </c>
      <c r="E331" s="569" t="s">
        <v>3228</v>
      </c>
      <c r="F331" s="543">
        <v>40674</v>
      </c>
      <c r="G331" s="544">
        <v>40603</v>
      </c>
      <c r="H331" s="544">
        <v>40667.708333333336</v>
      </c>
      <c r="I331" s="616">
        <v>43677</v>
      </c>
      <c r="J331" s="579">
        <v>10</v>
      </c>
      <c r="K331" s="553">
        <v>0</v>
      </c>
      <c r="L331" s="552">
        <v>0.08</v>
      </c>
      <c r="M331" s="560">
        <v>0.06</v>
      </c>
      <c r="N331" s="606" t="s">
        <v>3229</v>
      </c>
      <c r="O331" s="613">
        <v>0.64</v>
      </c>
      <c r="P331" s="575" t="s">
        <v>3229</v>
      </c>
      <c r="Q331" s="575" t="s">
        <v>3229</v>
      </c>
      <c r="R331" s="575" t="s">
        <v>3229</v>
      </c>
      <c r="S331" s="570">
        <v>8</v>
      </c>
      <c r="T331" s="617">
        <v>41000</v>
      </c>
      <c r="U331" s="563">
        <v>41365</v>
      </c>
      <c r="V331" s="563">
        <v>41671</v>
      </c>
      <c r="W331" s="563">
        <v>42095</v>
      </c>
      <c r="X331" s="563">
        <v>42461</v>
      </c>
      <c r="Y331" s="598">
        <v>42826</v>
      </c>
      <c r="Z331" s="598">
        <v>43191</v>
      </c>
      <c r="AA331" s="598">
        <v>43617</v>
      </c>
      <c r="AB331" s="598" t="s">
        <v>3229</v>
      </c>
      <c r="AC331" s="598" t="s">
        <v>3229</v>
      </c>
      <c r="AD331" s="598" t="s">
        <v>3229</v>
      </c>
      <c r="AE331" s="598" t="s">
        <v>3229</v>
      </c>
      <c r="AF331" s="3764" t="s">
        <v>781</v>
      </c>
      <c r="AG331" s="3765"/>
      <c r="AH331" s="1301" t="s">
        <v>3229</v>
      </c>
      <c r="AI331" s="1301" t="s">
        <v>3229</v>
      </c>
      <c r="AJ331" s="1301" t="s">
        <v>3229</v>
      </c>
      <c r="AK331" s="530" t="s">
        <v>3229</v>
      </c>
      <c r="AL331" s="530" t="s">
        <v>3229</v>
      </c>
      <c r="AM331" s="659">
        <v>1</v>
      </c>
      <c r="AN331" s="638">
        <f>'klikací hodnoty'!F9961</f>
        <v>0.12549100000000016</v>
      </c>
      <c r="AO331" s="625">
        <v>5.63</v>
      </c>
      <c r="AP331" s="1368">
        <f>'klikací hodnoty'!F9949</f>
        <v>-1.5695271099644838E-2</v>
      </c>
      <c r="AQ331" s="606">
        <f>'klikací hodnoty'!E9949</f>
        <v>0.47206691177153154</v>
      </c>
      <c r="AR331" s="3764">
        <f t="shared" si="69"/>
        <v>0.64</v>
      </c>
      <c r="AS331" s="3771">
        <f t="shared" si="70"/>
        <v>6.1972379886683138E-2</v>
      </c>
      <c r="AT331" s="3771">
        <f t="shared" si="71"/>
        <v>1.9129662522202491</v>
      </c>
      <c r="AU331" s="3772" t="e">
        <f t="shared" si="72"/>
        <v>#DIV/0!</v>
      </c>
      <c r="AV331" s="558">
        <f t="shared" si="59"/>
        <v>0.06</v>
      </c>
      <c r="AW331" s="558">
        <f t="shared" si="56"/>
        <v>7.1074403294748567E-3</v>
      </c>
      <c r="AX331" s="589">
        <f t="shared" si="57"/>
        <v>0.88277087033747814</v>
      </c>
      <c r="AY331" s="587" t="e">
        <f t="shared" si="58"/>
        <v>#DIV/0!</v>
      </c>
      <c r="AZ331" s="676">
        <f>J331/2</f>
        <v>5</v>
      </c>
      <c r="BA331" s="581" t="s">
        <v>3327</v>
      </c>
      <c r="BB331" s="570"/>
      <c r="BC331" s="581"/>
      <c r="BD331" s="3691"/>
      <c r="BE331" s="3743"/>
      <c r="BF331" s="3743"/>
      <c r="BG331" s="3708"/>
      <c r="BH331" s="3762"/>
      <c r="BI331" s="3762"/>
      <c r="BJ331" s="39"/>
      <c r="BK331" s="39"/>
      <c r="BL331" s="39"/>
      <c r="BM331" s="39"/>
      <c r="BN331" s="39"/>
      <c r="BO331" s="39"/>
      <c r="BP331" s="39"/>
      <c r="BQ331" s="39"/>
      <c r="BR331" s="39"/>
      <c r="BS331" s="507"/>
      <c r="BT331" s="507"/>
      <c r="BU331" s="507"/>
      <c r="BV331" s="507"/>
      <c r="BW331" s="507"/>
      <c r="BX331" s="507"/>
      <c r="BY331" s="507"/>
      <c r="BZ331" s="507"/>
      <c r="CA331" s="507"/>
      <c r="CB331" s="507"/>
      <c r="CC331" s="507"/>
      <c r="CD331" s="507"/>
      <c r="CE331" s="507"/>
      <c r="CF331" s="507"/>
      <c r="CG331" s="507"/>
      <c r="CH331" s="507"/>
      <c r="CI331" s="507"/>
      <c r="CJ331" s="507"/>
      <c r="CK331" s="507"/>
      <c r="CL331" s="507"/>
      <c r="CM331" s="507"/>
      <c r="CN331" s="507"/>
      <c r="CO331" s="507"/>
      <c r="CP331" s="507"/>
      <c r="CQ331" s="507"/>
      <c r="CR331" s="507"/>
      <c r="CS331" s="507"/>
      <c r="CT331" s="507"/>
      <c r="CU331" s="507"/>
      <c r="CV331" s="507"/>
      <c r="CW331" s="507"/>
      <c r="CX331" s="507"/>
      <c r="CY331" s="507"/>
      <c r="CZ331" s="507"/>
      <c r="DA331" s="507"/>
      <c r="DB331" s="507"/>
      <c r="DC331" s="507"/>
      <c r="DD331" s="507"/>
      <c r="DE331" s="507"/>
      <c r="DF331" s="507"/>
      <c r="DG331" s="507"/>
      <c r="DH331" s="507"/>
      <c r="DI331" s="507"/>
      <c r="DJ331" s="507"/>
      <c r="DK331" s="507"/>
      <c r="DL331" s="507"/>
      <c r="DM331" s="507"/>
      <c r="DN331" s="507"/>
      <c r="DO331" s="507"/>
      <c r="DP331" s="507"/>
      <c r="DQ331" s="507"/>
      <c r="DR331" s="507"/>
      <c r="DS331" s="507"/>
      <c r="DT331" s="507"/>
      <c r="DU331" s="507"/>
      <c r="DV331" s="507"/>
      <c r="DW331" s="507"/>
      <c r="DX331" s="507"/>
      <c r="DY331" s="507"/>
      <c r="DZ331" s="507"/>
      <c r="EA331" s="507"/>
      <c r="EB331" s="507"/>
      <c r="EC331" s="507"/>
      <c r="ED331" s="507"/>
      <c r="EE331" s="507"/>
      <c r="EF331" s="507"/>
      <c r="EG331" s="507"/>
      <c r="EH331" s="507"/>
      <c r="EI331" s="507"/>
      <c r="EJ331" s="507"/>
      <c r="EK331" s="507"/>
      <c r="EL331" s="507"/>
      <c r="EM331" s="507"/>
      <c r="EN331" s="507"/>
      <c r="EO331" s="507"/>
      <c r="EP331" s="507"/>
      <c r="EQ331" s="507"/>
      <c r="ER331" s="507"/>
      <c r="ES331" s="507"/>
      <c r="ET331" s="507"/>
      <c r="EU331" s="507"/>
      <c r="EV331" s="507"/>
      <c r="EW331" s="507"/>
      <c r="EX331" s="507"/>
      <c r="EY331" s="507"/>
      <c r="EZ331" s="507"/>
      <c r="FA331" s="507"/>
      <c r="FB331" s="507"/>
      <c r="FC331" s="507"/>
      <c r="FD331" s="507"/>
      <c r="FE331" s="507"/>
      <c r="FF331" s="507"/>
      <c r="FG331" s="507"/>
      <c r="FH331" s="507"/>
      <c r="FI331" s="507"/>
      <c r="FJ331" s="507"/>
      <c r="FK331" s="507"/>
      <c r="FL331" s="507"/>
      <c r="FM331" s="507"/>
      <c r="FN331" s="507"/>
      <c r="FO331" s="507"/>
      <c r="FP331" s="507"/>
      <c r="FQ331" s="507"/>
      <c r="FR331" s="507"/>
      <c r="FS331" s="507"/>
      <c r="FT331" s="507"/>
      <c r="FU331" s="507"/>
      <c r="FV331" s="507"/>
      <c r="FW331" s="507"/>
      <c r="FX331" s="507"/>
      <c r="FY331" s="507"/>
      <c r="FZ331" s="507"/>
      <c r="GA331" s="507"/>
      <c r="GB331" s="507"/>
      <c r="GC331" s="507"/>
      <c r="GD331" s="507"/>
      <c r="GE331" s="507"/>
      <c r="GF331" s="507"/>
      <c r="GG331" s="507"/>
      <c r="GH331" s="507"/>
      <c r="GI331" s="507"/>
      <c r="GJ331" s="507"/>
      <c r="GK331" s="507"/>
      <c r="GL331" s="507"/>
      <c r="GM331" s="507"/>
      <c r="GN331" s="507"/>
      <c r="GO331" s="507"/>
      <c r="GP331" s="507"/>
      <c r="GQ331" s="507"/>
      <c r="GR331" s="507"/>
      <c r="GS331" s="507"/>
      <c r="GT331" s="507"/>
      <c r="GU331" s="507"/>
      <c r="GV331" s="507"/>
      <c r="GW331" s="507"/>
      <c r="GX331" s="507"/>
      <c r="GY331" s="507"/>
      <c r="GZ331" s="507"/>
      <c r="HA331" s="507"/>
      <c r="HB331" s="507"/>
      <c r="HC331" s="507"/>
      <c r="HD331" s="507"/>
      <c r="HE331" s="507"/>
      <c r="HF331" s="507"/>
      <c r="HG331" s="507"/>
      <c r="HH331" s="507"/>
      <c r="HI331" s="507"/>
      <c r="HJ331" s="507"/>
      <c r="HK331" s="507"/>
      <c r="HL331" s="507"/>
      <c r="HM331" s="507"/>
      <c r="HN331" s="507"/>
      <c r="HO331" s="507"/>
      <c r="HP331" s="507"/>
      <c r="HQ331" s="507"/>
      <c r="HR331" s="507"/>
      <c r="HS331" s="507"/>
      <c r="HT331" s="507"/>
      <c r="HU331" s="507"/>
      <c r="HV331" s="507"/>
      <c r="HW331" s="507"/>
      <c r="HX331" s="507"/>
      <c r="HY331" s="507"/>
      <c r="HZ331" s="507"/>
    </row>
    <row r="332" spans="1:234" s="206" customFormat="1" ht="13.5" hidden="1" customHeight="1" x14ac:dyDescent="0.25">
      <c r="A332" s="541" t="s">
        <v>1629</v>
      </c>
      <c r="B332" s="523" t="s">
        <v>2050</v>
      </c>
      <c r="C332" s="524" t="s">
        <v>2051</v>
      </c>
      <c r="D332" s="551" t="s">
        <v>398</v>
      </c>
      <c r="E332" s="569" t="s">
        <v>3228</v>
      </c>
      <c r="F332" s="543">
        <v>40742</v>
      </c>
      <c r="G332" s="544">
        <v>40665</v>
      </c>
      <c r="H332" s="544">
        <v>40732.708333333336</v>
      </c>
      <c r="I332" s="616">
        <v>42613</v>
      </c>
      <c r="J332" s="579">
        <v>100</v>
      </c>
      <c r="K332" s="553" t="s">
        <v>3229</v>
      </c>
      <c r="L332" s="552" t="s">
        <v>3229</v>
      </c>
      <c r="M332" s="560">
        <v>0.1988</v>
      </c>
      <c r="N332" s="606" t="s">
        <v>3229</v>
      </c>
      <c r="O332" s="613">
        <v>0.1988</v>
      </c>
      <c r="P332" s="575" t="s">
        <v>3229</v>
      </c>
      <c r="Q332" s="575" t="s">
        <v>3229</v>
      </c>
      <c r="R332" s="575" t="s">
        <v>3229</v>
      </c>
      <c r="S332" s="570"/>
      <c r="T332" s="617" t="s">
        <v>3229</v>
      </c>
      <c r="U332" s="563" t="s">
        <v>3229</v>
      </c>
      <c r="V332" s="563" t="s">
        <v>3229</v>
      </c>
      <c r="W332" s="563" t="s">
        <v>3229</v>
      </c>
      <c r="X332" s="563" t="s">
        <v>3229</v>
      </c>
      <c r="Y332" s="598" t="s">
        <v>3229</v>
      </c>
      <c r="Z332" s="598" t="s">
        <v>3229</v>
      </c>
      <c r="AA332" s="598" t="s">
        <v>3229</v>
      </c>
      <c r="AB332" s="598" t="s">
        <v>3229</v>
      </c>
      <c r="AC332" s="598" t="s">
        <v>3229</v>
      </c>
      <c r="AD332" s="598" t="s">
        <v>3229</v>
      </c>
      <c r="AE332" s="598" t="s">
        <v>3229</v>
      </c>
      <c r="AF332" s="3764" t="s">
        <v>781</v>
      </c>
      <c r="AG332" s="3765"/>
      <c r="AH332" s="1301" t="s">
        <v>3229</v>
      </c>
      <c r="AI332" s="1301" t="s">
        <v>3229</v>
      </c>
      <c r="AJ332" s="1301" t="s">
        <v>3229</v>
      </c>
      <c r="AK332" s="530" t="s">
        <v>3229</v>
      </c>
      <c r="AL332" s="530" t="s">
        <v>3229</v>
      </c>
      <c r="AM332" s="659">
        <v>1</v>
      </c>
      <c r="AN332" s="638" t="s">
        <v>3229</v>
      </c>
      <c r="AO332" s="625">
        <v>120.26</v>
      </c>
      <c r="AP332" s="1368" t="s">
        <v>3229</v>
      </c>
      <c r="AQ332" s="606" t="s">
        <v>3229</v>
      </c>
      <c r="AR332" s="3764">
        <f t="shared" si="69"/>
        <v>0.1988</v>
      </c>
      <c r="AS332" s="3771">
        <f t="shared" si="70"/>
        <v>3.6005680844034993E-2</v>
      </c>
      <c r="AT332" s="3771">
        <f t="shared" si="71"/>
        <v>-3.1598203891567422E-3</v>
      </c>
      <c r="AU332" s="3772" t="e">
        <f t="shared" si="72"/>
        <v>#DIV/0!</v>
      </c>
      <c r="AV332" s="558">
        <f t="shared" si="59"/>
        <v>0.1988</v>
      </c>
      <c r="AW332" s="558">
        <f t="shared" si="56"/>
        <v>3.6005680844034993E-2</v>
      </c>
      <c r="AX332" s="589">
        <f t="shared" si="57"/>
        <v>-3.1598203891567422E-3</v>
      </c>
      <c r="AY332" s="587" t="e">
        <f t="shared" si="58"/>
        <v>#DIV/0!</v>
      </c>
      <c r="AZ332" s="676">
        <f t="shared" ref="AZ332:AZ395" si="73">J332*(1+AV332)</f>
        <v>119.88000000000001</v>
      </c>
      <c r="BA332" s="581" t="s">
        <v>4484</v>
      </c>
      <c r="BB332" s="570"/>
      <c r="BC332" s="581"/>
      <c r="BD332" s="3691"/>
      <c r="BE332" s="3743"/>
      <c r="BF332" s="3743"/>
      <c r="BG332" s="3708"/>
      <c r="BH332" s="3762"/>
      <c r="BI332" s="3762"/>
      <c r="BJ332" s="39"/>
      <c r="BK332" s="39"/>
      <c r="BL332" s="39"/>
      <c r="BM332" s="39"/>
      <c r="BN332" s="39"/>
      <c r="BO332" s="39"/>
      <c r="BP332" s="39"/>
      <c r="BQ332" s="39"/>
      <c r="BR332" s="39"/>
      <c r="BS332" s="507"/>
      <c r="BT332" s="507"/>
      <c r="BU332" s="507"/>
      <c r="BV332" s="507"/>
      <c r="BW332" s="507"/>
      <c r="BX332" s="507"/>
      <c r="BY332" s="507"/>
      <c r="BZ332" s="507"/>
      <c r="CA332" s="507"/>
      <c r="CB332" s="507"/>
      <c r="CC332" s="507"/>
      <c r="CD332" s="507"/>
      <c r="CE332" s="507"/>
      <c r="CF332" s="507"/>
      <c r="CG332" s="507"/>
      <c r="CH332" s="507"/>
      <c r="CI332" s="507"/>
      <c r="CJ332" s="507"/>
      <c r="CK332" s="507"/>
      <c r="CL332" s="507"/>
      <c r="CM332" s="507"/>
      <c r="CN332" s="507"/>
      <c r="CO332" s="507"/>
      <c r="CP332" s="507"/>
      <c r="CQ332" s="507"/>
      <c r="CR332" s="507"/>
      <c r="CS332" s="507"/>
      <c r="CT332" s="507"/>
      <c r="CU332" s="507"/>
      <c r="CV332" s="507"/>
      <c r="CW332" s="507"/>
      <c r="CX332" s="507"/>
      <c r="CY332" s="507"/>
      <c r="CZ332" s="507"/>
      <c r="DA332" s="507"/>
      <c r="DB332" s="507"/>
      <c r="DC332" s="507"/>
      <c r="DD332" s="507"/>
      <c r="DE332" s="507"/>
      <c r="DF332" s="507"/>
      <c r="DG332" s="507"/>
      <c r="DH332" s="507"/>
      <c r="DI332" s="507"/>
      <c r="DJ332" s="507"/>
      <c r="DK332" s="507"/>
      <c r="DL332" s="507"/>
      <c r="DM332" s="507"/>
      <c r="DN332" s="507"/>
      <c r="DO332" s="507"/>
      <c r="DP332" s="507"/>
      <c r="DQ332" s="507"/>
      <c r="DR332" s="507"/>
      <c r="DS332" s="507"/>
      <c r="DT332" s="507"/>
      <c r="DU332" s="507"/>
      <c r="DV332" s="507"/>
      <c r="DW332" s="507"/>
      <c r="DX332" s="507"/>
      <c r="DY332" s="507"/>
      <c r="DZ332" s="507"/>
      <c r="EA332" s="507"/>
      <c r="EB332" s="507"/>
      <c r="EC332" s="507"/>
      <c r="ED332" s="507"/>
      <c r="EE332" s="507"/>
      <c r="EF332" s="507"/>
      <c r="EG332" s="507"/>
      <c r="EH332" s="507"/>
      <c r="EI332" s="507"/>
      <c r="EJ332" s="507"/>
      <c r="EK332" s="507"/>
      <c r="EL332" s="507"/>
      <c r="EM332" s="507"/>
      <c r="EN332" s="507"/>
      <c r="EO332" s="507"/>
      <c r="EP332" s="507"/>
      <c r="EQ332" s="507"/>
      <c r="ER332" s="507"/>
      <c r="ES332" s="507"/>
      <c r="ET332" s="507"/>
      <c r="EU332" s="507"/>
      <c r="EV332" s="507"/>
      <c r="EW332" s="507"/>
      <c r="EX332" s="507"/>
      <c r="EY332" s="507"/>
      <c r="EZ332" s="507"/>
      <c r="FA332" s="507"/>
      <c r="FB332" s="507"/>
      <c r="FC332" s="507"/>
      <c r="FD332" s="507"/>
      <c r="FE332" s="507"/>
      <c r="FF332" s="507"/>
      <c r="FG332" s="507"/>
      <c r="FH332" s="507"/>
      <c r="FI332" s="507"/>
      <c r="FJ332" s="507"/>
      <c r="FK332" s="507"/>
      <c r="FL332" s="507"/>
      <c r="FM332" s="507"/>
      <c r="FN332" s="507"/>
      <c r="FO332" s="507"/>
      <c r="FP332" s="507"/>
      <c r="FQ332" s="507"/>
      <c r="FR332" s="507"/>
      <c r="FS332" s="507"/>
      <c r="FT332" s="507"/>
      <c r="FU332" s="507"/>
      <c r="FV332" s="507"/>
      <c r="FW332" s="507"/>
      <c r="FX332" s="507"/>
      <c r="FY332" s="507"/>
      <c r="FZ332" s="507"/>
      <c r="GA332" s="507"/>
      <c r="GB332" s="507"/>
      <c r="GC332" s="507"/>
      <c r="GD332" s="507"/>
      <c r="GE332" s="507"/>
      <c r="GF332" s="507"/>
      <c r="GG332" s="507"/>
      <c r="GH332" s="507"/>
      <c r="GI332" s="507"/>
      <c r="GJ332" s="507"/>
      <c r="GK332" s="507"/>
      <c r="GL332" s="507"/>
      <c r="GM332" s="507"/>
      <c r="GN332" s="507"/>
      <c r="GO332" s="507"/>
      <c r="GP332" s="507"/>
      <c r="GQ332" s="507"/>
      <c r="GR332" s="507"/>
      <c r="GS332" s="507"/>
      <c r="GT332" s="507"/>
      <c r="GU332" s="507"/>
      <c r="GV332" s="507"/>
      <c r="GW332" s="507"/>
      <c r="GX332" s="507"/>
      <c r="GY332" s="507"/>
      <c r="GZ332" s="507"/>
      <c r="HA332" s="507"/>
      <c r="HB332" s="507"/>
      <c r="HC332" s="507"/>
      <c r="HD332" s="507"/>
      <c r="HE332" s="507"/>
      <c r="HF332" s="507"/>
      <c r="HG332" s="507"/>
      <c r="HH332" s="507"/>
      <c r="HI332" s="507"/>
      <c r="HJ332" s="507"/>
      <c r="HK332" s="507"/>
      <c r="HL332" s="507"/>
      <c r="HM332" s="507"/>
      <c r="HN332" s="507"/>
      <c r="HO332" s="507"/>
      <c r="HP332" s="507"/>
      <c r="HQ332" s="507"/>
      <c r="HR332" s="507"/>
      <c r="HS332" s="507"/>
      <c r="HT332" s="507"/>
      <c r="HU332" s="507"/>
      <c r="HV332" s="507"/>
      <c r="HW332" s="507"/>
      <c r="HX332" s="507"/>
      <c r="HY332" s="507"/>
      <c r="HZ332" s="507"/>
    </row>
    <row r="333" spans="1:234" s="206" customFormat="1" ht="13.5" hidden="1" customHeight="1" x14ac:dyDescent="0.25">
      <c r="A333" s="541" t="s">
        <v>1630</v>
      </c>
      <c r="B333" s="523" t="s">
        <v>2052</v>
      </c>
      <c r="C333" s="524" t="s">
        <v>2053</v>
      </c>
      <c r="D333" s="551" t="s">
        <v>1872</v>
      </c>
      <c r="E333" s="569" t="s">
        <v>3228</v>
      </c>
      <c r="F333" s="543">
        <v>40669</v>
      </c>
      <c r="G333" s="544">
        <v>40616</v>
      </c>
      <c r="H333" s="544">
        <v>40662</v>
      </c>
      <c r="I333" s="616">
        <v>42704</v>
      </c>
      <c r="J333" s="579">
        <v>10</v>
      </c>
      <c r="K333" s="553" t="s">
        <v>3229</v>
      </c>
      <c r="L333" s="552" t="s">
        <v>3229</v>
      </c>
      <c r="M333" s="560">
        <v>-1</v>
      </c>
      <c r="N333" s="606">
        <v>1</v>
      </c>
      <c r="O333" s="613">
        <v>1</v>
      </c>
      <c r="P333" s="575" t="s">
        <v>3229</v>
      </c>
      <c r="Q333" s="575" t="s">
        <v>3229</v>
      </c>
      <c r="R333" s="575" t="s">
        <v>3229</v>
      </c>
      <c r="S333" s="570"/>
      <c r="T333" s="617" t="s">
        <v>3229</v>
      </c>
      <c r="U333" s="563" t="s">
        <v>3229</v>
      </c>
      <c r="V333" s="563" t="s">
        <v>3229</v>
      </c>
      <c r="W333" s="563" t="s">
        <v>3229</v>
      </c>
      <c r="X333" s="563" t="s">
        <v>3229</v>
      </c>
      <c r="Y333" s="598" t="s">
        <v>3229</v>
      </c>
      <c r="Z333" s="598" t="s">
        <v>3229</v>
      </c>
      <c r="AA333" s="598" t="s">
        <v>3229</v>
      </c>
      <c r="AB333" s="598" t="s">
        <v>3229</v>
      </c>
      <c r="AC333" s="598" t="s">
        <v>3229</v>
      </c>
      <c r="AD333" s="598" t="s">
        <v>3229</v>
      </c>
      <c r="AE333" s="598" t="s">
        <v>3229</v>
      </c>
      <c r="AF333" s="3764" t="s">
        <v>781</v>
      </c>
      <c r="AG333" s="3765"/>
      <c r="AH333" s="1301" t="s">
        <v>3229</v>
      </c>
      <c r="AI333" s="1301" t="s">
        <v>3229</v>
      </c>
      <c r="AJ333" s="1301" t="s">
        <v>3229</v>
      </c>
      <c r="AK333" s="530" t="s">
        <v>3229</v>
      </c>
      <c r="AL333" s="530" t="s">
        <v>3229</v>
      </c>
      <c r="AM333" s="659">
        <v>1</v>
      </c>
      <c r="AN333" s="638">
        <f>'klikací hodnoty'!F9697</f>
        <v>0.5552921111111111</v>
      </c>
      <c r="AO333" s="625">
        <v>15.55</v>
      </c>
      <c r="AP333" s="1368">
        <f>'klikací hodnoty'!L9694</f>
        <v>0.5552921111111111</v>
      </c>
      <c r="AQ333" s="606">
        <f>'klikací hodnoty'!F9696</f>
        <v>0.58158805038838868</v>
      </c>
      <c r="AR333" s="3764">
        <f>O333</f>
        <v>1</v>
      </c>
      <c r="AS333" s="3771">
        <f t="shared" si="70"/>
        <v>0.13238235906722484</v>
      </c>
      <c r="AT333" s="3771">
        <f t="shared" si="71"/>
        <v>0.2861736334405145</v>
      </c>
      <c r="AU333" s="3772" t="e">
        <f t="shared" si="72"/>
        <v>#DIV/0!</v>
      </c>
      <c r="AV333" s="558">
        <f t="shared" si="59"/>
        <v>-1</v>
      </c>
      <c r="AW333" s="558">
        <f t="shared" si="56"/>
        <v>-1</v>
      </c>
      <c r="AX333" s="589">
        <f t="shared" si="57"/>
        <v>-1</v>
      </c>
      <c r="AY333" s="587" t="e">
        <f t="shared" si="58"/>
        <v>#DIV/0!</v>
      </c>
      <c r="AZ333" s="676">
        <f t="shared" si="73"/>
        <v>0</v>
      </c>
      <c r="BA333" s="581"/>
      <c r="BB333" s="570"/>
      <c r="BC333" s="581"/>
      <c r="BD333" s="3691"/>
      <c r="BE333" s="3743"/>
      <c r="BF333" s="3743"/>
      <c r="BG333" s="3708"/>
      <c r="BH333" s="3762"/>
      <c r="BI333" s="3762"/>
      <c r="BJ333" s="39"/>
      <c r="BK333" s="39"/>
      <c r="BL333" s="39"/>
      <c r="BM333" s="39"/>
      <c r="BN333" s="39"/>
      <c r="BO333" s="39"/>
      <c r="BP333" s="39"/>
      <c r="BQ333" s="39"/>
      <c r="BR333" s="39"/>
      <c r="BS333" s="507"/>
      <c r="BT333" s="507"/>
      <c r="BU333" s="507"/>
      <c r="BV333" s="507"/>
      <c r="BW333" s="507"/>
      <c r="BX333" s="507"/>
      <c r="BY333" s="507"/>
      <c r="BZ333" s="507"/>
      <c r="CA333" s="507"/>
      <c r="CB333" s="507"/>
      <c r="CC333" s="507"/>
      <c r="CD333" s="507"/>
      <c r="CE333" s="507"/>
      <c r="CF333" s="507"/>
      <c r="CG333" s="507"/>
      <c r="CH333" s="507"/>
      <c r="CI333" s="507"/>
      <c r="CJ333" s="507"/>
      <c r="CK333" s="507"/>
      <c r="CL333" s="507"/>
      <c r="CM333" s="507"/>
      <c r="CN333" s="507"/>
      <c r="CO333" s="507"/>
      <c r="CP333" s="507"/>
      <c r="CQ333" s="507"/>
      <c r="CR333" s="507"/>
      <c r="CS333" s="507"/>
      <c r="CT333" s="507"/>
      <c r="CU333" s="507"/>
      <c r="CV333" s="507"/>
      <c r="CW333" s="507"/>
      <c r="CX333" s="507"/>
      <c r="CY333" s="507"/>
      <c r="CZ333" s="507"/>
      <c r="DA333" s="507"/>
      <c r="DB333" s="507"/>
      <c r="DC333" s="507"/>
      <c r="DD333" s="507"/>
      <c r="DE333" s="507"/>
      <c r="DF333" s="507"/>
      <c r="DG333" s="507"/>
      <c r="DH333" s="507"/>
      <c r="DI333" s="507"/>
      <c r="DJ333" s="507"/>
      <c r="DK333" s="507"/>
      <c r="DL333" s="507"/>
      <c r="DM333" s="507"/>
      <c r="DN333" s="507"/>
      <c r="DO333" s="507"/>
      <c r="DP333" s="507"/>
      <c r="DQ333" s="507"/>
      <c r="DR333" s="507"/>
      <c r="DS333" s="507"/>
      <c r="DT333" s="507"/>
      <c r="DU333" s="507"/>
      <c r="DV333" s="507"/>
      <c r="DW333" s="507"/>
      <c r="DX333" s="507"/>
      <c r="DY333" s="507"/>
      <c r="DZ333" s="507"/>
      <c r="EA333" s="507"/>
      <c r="EB333" s="507"/>
      <c r="EC333" s="507"/>
      <c r="ED333" s="507"/>
      <c r="EE333" s="507"/>
      <c r="EF333" s="507"/>
      <c r="EG333" s="507"/>
      <c r="EH333" s="507"/>
      <c r="EI333" s="507"/>
      <c r="EJ333" s="507"/>
      <c r="EK333" s="507"/>
      <c r="EL333" s="507"/>
      <c r="EM333" s="507"/>
      <c r="EN333" s="507"/>
      <c r="EO333" s="507"/>
      <c r="EP333" s="507"/>
      <c r="EQ333" s="507"/>
      <c r="ER333" s="507"/>
      <c r="ES333" s="507"/>
      <c r="ET333" s="507"/>
      <c r="EU333" s="507"/>
      <c r="EV333" s="507"/>
      <c r="EW333" s="507"/>
      <c r="EX333" s="507"/>
      <c r="EY333" s="507"/>
      <c r="EZ333" s="507"/>
      <c r="FA333" s="507"/>
      <c r="FB333" s="507"/>
      <c r="FC333" s="507"/>
      <c r="FD333" s="507"/>
      <c r="FE333" s="507"/>
      <c r="FF333" s="507"/>
      <c r="FG333" s="507"/>
      <c r="FH333" s="507"/>
      <c r="FI333" s="507"/>
      <c r="FJ333" s="507"/>
      <c r="FK333" s="507"/>
      <c r="FL333" s="507"/>
      <c r="FM333" s="507"/>
      <c r="FN333" s="507"/>
      <c r="FO333" s="507"/>
      <c r="FP333" s="507"/>
      <c r="FQ333" s="507"/>
      <c r="FR333" s="507"/>
      <c r="FS333" s="507"/>
      <c r="FT333" s="507"/>
      <c r="FU333" s="507"/>
      <c r="FV333" s="507"/>
      <c r="FW333" s="507"/>
      <c r="FX333" s="507"/>
      <c r="FY333" s="507"/>
      <c r="FZ333" s="507"/>
      <c r="GA333" s="507"/>
      <c r="GB333" s="507"/>
      <c r="GC333" s="507"/>
      <c r="GD333" s="507"/>
      <c r="GE333" s="507"/>
      <c r="GF333" s="507"/>
      <c r="GG333" s="507"/>
      <c r="GH333" s="507"/>
      <c r="GI333" s="507"/>
      <c r="GJ333" s="507"/>
      <c r="GK333" s="507"/>
      <c r="GL333" s="507"/>
      <c r="GM333" s="507"/>
      <c r="GN333" s="507"/>
      <c r="GO333" s="507"/>
      <c r="GP333" s="507"/>
      <c r="GQ333" s="507"/>
      <c r="GR333" s="507"/>
      <c r="GS333" s="507"/>
      <c r="GT333" s="507"/>
      <c r="GU333" s="507"/>
      <c r="GV333" s="507"/>
      <c r="GW333" s="507"/>
      <c r="GX333" s="507"/>
      <c r="GY333" s="507"/>
      <c r="GZ333" s="507"/>
      <c r="HA333" s="507"/>
      <c r="HB333" s="507"/>
      <c r="HC333" s="507"/>
      <c r="HD333" s="507"/>
      <c r="HE333" s="507"/>
      <c r="HF333" s="507"/>
      <c r="HG333" s="507"/>
      <c r="HH333" s="507"/>
      <c r="HI333" s="507"/>
      <c r="HJ333" s="507"/>
      <c r="HK333" s="507"/>
      <c r="HL333" s="507"/>
      <c r="HM333" s="507"/>
      <c r="HN333" s="507"/>
      <c r="HO333" s="507"/>
      <c r="HP333" s="507"/>
      <c r="HQ333" s="507"/>
      <c r="HR333" s="507"/>
      <c r="HS333" s="507"/>
      <c r="HT333" s="507"/>
      <c r="HU333" s="507"/>
      <c r="HV333" s="507"/>
      <c r="HW333" s="507"/>
      <c r="HX333" s="507"/>
      <c r="HY333" s="507"/>
      <c r="HZ333" s="507"/>
    </row>
    <row r="334" spans="1:234" s="206" customFormat="1" ht="13.5" hidden="1" customHeight="1" x14ac:dyDescent="0.25">
      <c r="A334" s="541" t="s">
        <v>1631</v>
      </c>
      <c r="B334" s="523" t="s">
        <v>2171</v>
      </c>
      <c r="C334" s="524" t="s">
        <v>2172</v>
      </c>
      <c r="D334" s="551" t="s">
        <v>1859</v>
      </c>
      <c r="E334" s="569" t="s">
        <v>3228</v>
      </c>
      <c r="F334" s="543">
        <v>40731</v>
      </c>
      <c r="G334" s="544">
        <v>40665</v>
      </c>
      <c r="H334" s="544">
        <v>40724</v>
      </c>
      <c r="I334" s="616">
        <v>42766</v>
      </c>
      <c r="J334" s="579">
        <v>10</v>
      </c>
      <c r="K334" s="553" t="s">
        <v>3229</v>
      </c>
      <c r="L334" s="552" t="s">
        <v>3229</v>
      </c>
      <c r="M334" s="560">
        <v>0</v>
      </c>
      <c r="N334" s="606" t="s">
        <v>3229</v>
      </c>
      <c r="O334" s="613">
        <v>0.32500000000000001</v>
      </c>
      <c r="P334" s="575" t="s">
        <v>3229</v>
      </c>
      <c r="Q334" s="575" t="s">
        <v>3229</v>
      </c>
      <c r="R334" s="575" t="s">
        <v>3229</v>
      </c>
      <c r="S334" s="570">
        <v>5</v>
      </c>
      <c r="T334" s="617">
        <v>41061</v>
      </c>
      <c r="U334" s="563">
        <v>41426</v>
      </c>
      <c r="V334" s="563">
        <v>41791</v>
      </c>
      <c r="W334" s="563">
        <v>42156</v>
      </c>
      <c r="X334" s="563">
        <v>42705</v>
      </c>
      <c r="Y334" s="598" t="s">
        <v>3229</v>
      </c>
      <c r="Z334" s="598" t="s">
        <v>3229</v>
      </c>
      <c r="AA334" s="598" t="s">
        <v>3229</v>
      </c>
      <c r="AB334" s="598" t="s">
        <v>3229</v>
      </c>
      <c r="AC334" s="598" t="s">
        <v>3229</v>
      </c>
      <c r="AD334" s="598" t="s">
        <v>3229</v>
      </c>
      <c r="AE334" s="598" t="s">
        <v>3229</v>
      </c>
      <c r="AF334" s="3764" t="s">
        <v>781</v>
      </c>
      <c r="AG334" s="3765"/>
      <c r="AH334" s="1301">
        <v>1</v>
      </c>
      <c r="AI334" s="1301" t="s">
        <v>3229</v>
      </c>
      <c r="AJ334" s="1301" t="s">
        <v>3229</v>
      </c>
      <c r="AK334" s="530" t="s">
        <v>3229</v>
      </c>
      <c r="AL334" s="530" t="s">
        <v>3229</v>
      </c>
      <c r="AM334" s="659" t="s">
        <v>3229</v>
      </c>
      <c r="AN334" s="638">
        <f>'klikací hodnoty'!F9785</f>
        <v>0.13500000000000001</v>
      </c>
      <c r="AO334" s="625">
        <v>11.35</v>
      </c>
      <c r="AP334" s="1368">
        <f>AQ334</f>
        <v>-4.1165334284648747E-2</v>
      </c>
      <c r="AQ334" s="606">
        <f>'klikací hodnoty'!H9784</f>
        <v>-4.1165334284648747E-2</v>
      </c>
      <c r="AR334" s="3764">
        <f t="shared" si="69"/>
        <v>0.32500000000000001</v>
      </c>
      <c r="AS334" s="3771">
        <f t="shared" si="70"/>
        <v>5.177001196728348E-2</v>
      </c>
      <c r="AT334" s="3771">
        <f t="shared" si="71"/>
        <v>0.16740088105726869</v>
      </c>
      <c r="AU334" s="3772" t="e">
        <f t="shared" si="72"/>
        <v>#DIV/0!</v>
      </c>
      <c r="AV334" s="558">
        <f t="shared" si="59"/>
        <v>0</v>
      </c>
      <c r="AW334" s="558">
        <f t="shared" ref="AW334:AW397" si="74">POWER(1+AV334,1/((I334-F334)/365))-1</f>
        <v>0</v>
      </c>
      <c r="AX334" s="589">
        <f t="shared" ref="AX334:AX339" si="75">J334*(1+AV334)/AO334-1</f>
        <v>-0.11894273127753296</v>
      </c>
      <c r="AY334" s="587" t="e">
        <f t="shared" ref="AY334:AY339" si="76">POWER(1+AX334,1/AG334)-1</f>
        <v>#DIV/0!</v>
      </c>
      <c r="AZ334" s="676">
        <f t="shared" si="73"/>
        <v>10</v>
      </c>
      <c r="BA334" s="581"/>
      <c r="BB334" s="570"/>
      <c r="BC334" s="581"/>
      <c r="BD334" s="3691"/>
      <c r="BE334" s="3743"/>
      <c r="BF334" s="3743"/>
      <c r="BG334" s="3708"/>
      <c r="BH334" s="3762"/>
      <c r="BI334" s="3762"/>
      <c r="BJ334" s="39"/>
      <c r="BK334" s="39"/>
      <c r="BL334" s="39"/>
      <c r="BM334" s="39"/>
      <c r="BN334" s="39"/>
      <c r="BO334" s="39"/>
      <c r="BP334" s="39"/>
      <c r="BQ334" s="39"/>
      <c r="BR334" s="39"/>
      <c r="BS334" s="507"/>
      <c r="BT334" s="507"/>
      <c r="BU334" s="507"/>
      <c r="BV334" s="507"/>
      <c r="BW334" s="507"/>
      <c r="BX334" s="507"/>
      <c r="BY334" s="507"/>
      <c r="BZ334" s="507"/>
      <c r="CA334" s="507"/>
      <c r="CB334" s="507"/>
      <c r="CC334" s="507"/>
      <c r="CD334" s="507"/>
      <c r="CE334" s="507"/>
      <c r="CF334" s="507"/>
      <c r="CG334" s="507"/>
      <c r="CH334" s="507"/>
      <c r="CI334" s="507"/>
      <c r="CJ334" s="507"/>
      <c r="CK334" s="507"/>
      <c r="CL334" s="507"/>
      <c r="CM334" s="507"/>
      <c r="CN334" s="507"/>
      <c r="CO334" s="507"/>
      <c r="CP334" s="507"/>
      <c r="CQ334" s="507"/>
      <c r="CR334" s="507"/>
      <c r="CS334" s="507"/>
      <c r="CT334" s="507"/>
      <c r="CU334" s="507"/>
      <c r="CV334" s="507"/>
      <c r="CW334" s="507"/>
      <c r="CX334" s="507"/>
      <c r="CY334" s="507"/>
      <c r="CZ334" s="507"/>
      <c r="DA334" s="507"/>
      <c r="DB334" s="507"/>
      <c r="DC334" s="507"/>
      <c r="DD334" s="507"/>
      <c r="DE334" s="507"/>
      <c r="DF334" s="507"/>
      <c r="DG334" s="507"/>
      <c r="DH334" s="507"/>
      <c r="DI334" s="507"/>
      <c r="DJ334" s="507"/>
      <c r="DK334" s="507"/>
      <c r="DL334" s="507"/>
      <c r="DM334" s="507"/>
      <c r="DN334" s="507"/>
      <c r="DO334" s="507"/>
      <c r="DP334" s="507"/>
      <c r="DQ334" s="507"/>
      <c r="DR334" s="507"/>
      <c r="DS334" s="507"/>
      <c r="DT334" s="507"/>
      <c r="DU334" s="507"/>
      <c r="DV334" s="507"/>
      <c r="DW334" s="507"/>
      <c r="DX334" s="507"/>
      <c r="DY334" s="507"/>
      <c r="DZ334" s="507"/>
      <c r="EA334" s="507"/>
      <c r="EB334" s="507"/>
      <c r="EC334" s="507"/>
      <c r="ED334" s="507"/>
      <c r="EE334" s="507"/>
      <c r="EF334" s="507"/>
      <c r="EG334" s="507"/>
      <c r="EH334" s="507"/>
      <c r="EI334" s="507"/>
      <c r="EJ334" s="507"/>
      <c r="EK334" s="507"/>
      <c r="EL334" s="507"/>
      <c r="EM334" s="507"/>
      <c r="EN334" s="507"/>
      <c r="EO334" s="507"/>
      <c r="EP334" s="507"/>
      <c r="EQ334" s="507"/>
      <c r="ER334" s="507"/>
      <c r="ES334" s="507"/>
      <c r="ET334" s="507"/>
      <c r="EU334" s="507"/>
      <c r="EV334" s="507"/>
      <c r="EW334" s="507"/>
      <c r="EX334" s="507"/>
      <c r="EY334" s="507"/>
      <c r="EZ334" s="507"/>
      <c r="FA334" s="507"/>
      <c r="FB334" s="507"/>
      <c r="FC334" s="507"/>
      <c r="FD334" s="507"/>
      <c r="FE334" s="507"/>
      <c r="FF334" s="507"/>
      <c r="FG334" s="507"/>
      <c r="FH334" s="507"/>
      <c r="FI334" s="507"/>
      <c r="FJ334" s="507"/>
      <c r="FK334" s="507"/>
      <c r="FL334" s="507"/>
      <c r="FM334" s="507"/>
      <c r="FN334" s="507"/>
      <c r="FO334" s="507"/>
      <c r="FP334" s="507"/>
      <c r="FQ334" s="507"/>
      <c r="FR334" s="507"/>
      <c r="FS334" s="507"/>
      <c r="FT334" s="507"/>
      <c r="FU334" s="507"/>
      <c r="FV334" s="507"/>
      <c r="FW334" s="507"/>
      <c r="FX334" s="507"/>
      <c r="FY334" s="507"/>
      <c r="FZ334" s="507"/>
      <c r="GA334" s="507"/>
      <c r="GB334" s="507"/>
      <c r="GC334" s="507"/>
      <c r="GD334" s="507"/>
      <c r="GE334" s="507"/>
      <c r="GF334" s="507"/>
      <c r="GG334" s="507"/>
      <c r="GH334" s="507"/>
      <c r="GI334" s="507"/>
      <c r="GJ334" s="507"/>
      <c r="GK334" s="507"/>
      <c r="GL334" s="507"/>
      <c r="GM334" s="507"/>
      <c r="GN334" s="507"/>
      <c r="GO334" s="507"/>
      <c r="GP334" s="507"/>
      <c r="GQ334" s="507"/>
      <c r="GR334" s="507"/>
      <c r="GS334" s="507"/>
      <c r="GT334" s="507"/>
      <c r="GU334" s="507"/>
      <c r="GV334" s="507"/>
      <c r="GW334" s="507"/>
      <c r="GX334" s="507"/>
      <c r="GY334" s="507"/>
      <c r="GZ334" s="507"/>
      <c r="HA334" s="507"/>
      <c r="HB334" s="507"/>
      <c r="HC334" s="507"/>
      <c r="HD334" s="507"/>
      <c r="HE334" s="507"/>
      <c r="HF334" s="507"/>
      <c r="HG334" s="507"/>
      <c r="HH334" s="507"/>
      <c r="HI334" s="507"/>
      <c r="HJ334" s="507"/>
      <c r="HK334" s="507"/>
      <c r="HL334" s="507"/>
      <c r="HM334" s="507"/>
      <c r="HN334" s="507"/>
      <c r="HO334" s="507"/>
      <c r="HP334" s="507"/>
      <c r="HQ334" s="507"/>
      <c r="HR334" s="507"/>
      <c r="HS334" s="507"/>
      <c r="HT334" s="507"/>
      <c r="HU334" s="507"/>
      <c r="HV334" s="507"/>
      <c r="HW334" s="507"/>
      <c r="HX334" s="507"/>
      <c r="HY334" s="507"/>
      <c r="HZ334" s="507"/>
    </row>
    <row r="335" spans="1:234" ht="13.5" hidden="1" customHeight="1" x14ac:dyDescent="0.25">
      <c r="A335" s="540" t="s">
        <v>1632</v>
      </c>
      <c r="B335" s="523" t="s">
        <v>2173</v>
      </c>
      <c r="C335" s="524" t="s">
        <v>2174</v>
      </c>
      <c r="D335" s="553" t="s">
        <v>1859</v>
      </c>
      <c r="E335" s="526" t="s">
        <v>3228</v>
      </c>
      <c r="F335" s="586">
        <v>40731</v>
      </c>
      <c r="G335" s="586">
        <v>40665</v>
      </c>
      <c r="H335" s="544">
        <v>40724</v>
      </c>
      <c r="I335" s="594">
        <v>42124</v>
      </c>
      <c r="J335" s="595">
        <v>10</v>
      </c>
      <c r="K335" s="561" t="s">
        <v>3229</v>
      </c>
      <c r="L335" s="553" t="s">
        <v>3229</v>
      </c>
      <c r="M335" s="600">
        <v>0</v>
      </c>
      <c r="N335" s="601">
        <v>1</v>
      </c>
      <c r="O335" s="596" t="s">
        <v>3229</v>
      </c>
      <c r="P335" s="596" t="s">
        <v>3229</v>
      </c>
      <c r="Q335" s="596" t="s">
        <v>3229</v>
      </c>
      <c r="R335" s="596" t="s">
        <v>3229</v>
      </c>
      <c r="S335" s="597"/>
      <c r="T335" s="563" t="s">
        <v>3229</v>
      </c>
      <c r="U335" s="563" t="s">
        <v>3229</v>
      </c>
      <c r="V335" s="563" t="s">
        <v>3229</v>
      </c>
      <c r="W335" s="563" t="s">
        <v>3229</v>
      </c>
      <c r="X335" s="563" t="s">
        <v>3229</v>
      </c>
      <c r="Y335" s="563" t="s">
        <v>3229</v>
      </c>
      <c r="Z335" s="563" t="s">
        <v>3229</v>
      </c>
      <c r="AA335" s="563" t="s">
        <v>3229</v>
      </c>
      <c r="AB335" s="563" t="s">
        <v>3229</v>
      </c>
      <c r="AC335" s="563" t="s">
        <v>3229</v>
      </c>
      <c r="AD335" s="563" t="s">
        <v>3229</v>
      </c>
      <c r="AE335" s="563" t="s">
        <v>3229</v>
      </c>
      <c r="AF335" s="3764" t="s">
        <v>781</v>
      </c>
      <c r="AG335" s="3765"/>
      <c r="AH335" s="673" t="s">
        <v>3229</v>
      </c>
      <c r="AI335" s="673" t="s">
        <v>3229</v>
      </c>
      <c r="AJ335" s="673" t="s">
        <v>3229</v>
      </c>
      <c r="AK335" s="673" t="s">
        <v>3229</v>
      </c>
      <c r="AL335" s="673" t="s">
        <v>3229</v>
      </c>
      <c r="AM335" s="590">
        <v>1</v>
      </c>
      <c r="AN335" s="638">
        <v>0.2361974</v>
      </c>
      <c r="AO335" s="625">
        <v>10.72</v>
      </c>
      <c r="AP335" s="1368">
        <v>0.2361974</v>
      </c>
      <c r="AQ335" s="658">
        <v>0.52585016670833884</v>
      </c>
      <c r="AR335" s="558" t="s">
        <v>3660</v>
      </c>
      <c r="AS335" s="558"/>
      <c r="AT335" s="648"/>
      <c r="AU335" s="559"/>
      <c r="AV335" s="558">
        <v>0</v>
      </c>
      <c r="AW335" s="558">
        <v>0</v>
      </c>
      <c r="AX335" s="589">
        <v>-0.19028340080971662</v>
      </c>
      <c r="AY335" s="587">
        <v>-0.99592515153686423</v>
      </c>
      <c r="AZ335" s="676">
        <v>10</v>
      </c>
      <c r="BA335" s="644" t="s">
        <v>574</v>
      </c>
      <c r="BB335" s="570"/>
      <c r="BC335" s="637"/>
      <c r="BH335" s="3763"/>
      <c r="BI335" s="3763"/>
      <c r="BJ335" s="1639"/>
      <c r="BK335" s="1639"/>
      <c r="BL335" s="1639"/>
      <c r="BM335" s="1639"/>
      <c r="BN335" s="1639"/>
      <c r="BO335" s="1639"/>
      <c r="BP335" s="1639"/>
      <c r="BQ335" s="1639"/>
      <c r="BR335" s="1639"/>
      <c r="BS335" s="509"/>
      <c r="BT335" s="509"/>
      <c r="BU335" s="509"/>
      <c r="BV335" s="509"/>
      <c r="BW335" s="509"/>
      <c r="BX335" s="509"/>
      <c r="BY335" s="509"/>
      <c r="BZ335" s="509"/>
      <c r="CA335" s="509"/>
      <c r="CB335" s="509"/>
      <c r="CC335" s="509"/>
      <c r="CD335" s="509"/>
      <c r="CE335" s="509"/>
      <c r="CF335" s="509"/>
      <c r="CG335" s="509"/>
      <c r="CH335" s="509"/>
      <c r="CI335" s="509"/>
      <c r="CJ335" s="509"/>
      <c r="CK335" s="509"/>
      <c r="CL335" s="509"/>
      <c r="CM335" s="509"/>
      <c r="CN335" s="509"/>
      <c r="CO335" s="509"/>
      <c r="CP335" s="509"/>
      <c r="CQ335" s="509"/>
      <c r="CR335" s="509"/>
      <c r="CS335" s="509"/>
      <c r="CT335" s="509"/>
      <c r="CU335" s="509"/>
      <c r="CV335" s="509"/>
      <c r="CW335" s="509"/>
      <c r="CX335" s="509"/>
      <c r="CY335" s="509"/>
      <c r="CZ335" s="509"/>
      <c r="DA335" s="509"/>
      <c r="DB335" s="509"/>
      <c r="DC335" s="509"/>
      <c r="DD335" s="509"/>
      <c r="DE335" s="509"/>
      <c r="DF335" s="509"/>
      <c r="DG335" s="509"/>
      <c r="DH335" s="509"/>
      <c r="DI335" s="509"/>
      <c r="DJ335" s="509"/>
      <c r="DK335" s="509"/>
      <c r="DL335" s="509"/>
      <c r="DM335" s="509"/>
      <c r="DN335" s="509"/>
      <c r="DO335" s="509"/>
      <c r="DP335" s="509"/>
      <c r="DQ335" s="509"/>
      <c r="DR335" s="509"/>
      <c r="DS335" s="509"/>
      <c r="DT335" s="509"/>
      <c r="DU335" s="509"/>
      <c r="DV335" s="509"/>
      <c r="DW335" s="509"/>
      <c r="DX335" s="509"/>
      <c r="DY335" s="509"/>
      <c r="DZ335" s="509"/>
      <c r="EA335" s="509"/>
      <c r="EB335" s="509"/>
      <c r="EC335" s="509"/>
      <c r="ED335" s="509"/>
      <c r="EE335" s="509"/>
      <c r="EF335" s="509"/>
      <c r="EG335" s="509"/>
      <c r="EH335" s="509"/>
      <c r="EI335" s="509"/>
      <c r="EJ335" s="509"/>
      <c r="EK335" s="509"/>
      <c r="EL335" s="509"/>
      <c r="EM335" s="509"/>
      <c r="EN335" s="509"/>
      <c r="EO335" s="509"/>
      <c r="EP335" s="509"/>
      <c r="EQ335" s="509"/>
      <c r="ER335" s="509"/>
      <c r="ES335" s="509"/>
      <c r="ET335" s="509"/>
      <c r="EU335" s="509"/>
      <c r="EV335" s="509"/>
      <c r="EW335" s="509"/>
      <c r="EX335" s="509"/>
      <c r="EY335" s="509"/>
      <c r="EZ335" s="509"/>
      <c r="FA335" s="509"/>
      <c r="FB335" s="509"/>
      <c r="FC335" s="509"/>
      <c r="FD335" s="509"/>
      <c r="FE335" s="509"/>
      <c r="FF335" s="509"/>
      <c r="FG335" s="509"/>
      <c r="FH335" s="509"/>
      <c r="FI335" s="509"/>
      <c r="FJ335" s="509"/>
      <c r="FK335" s="509"/>
      <c r="FL335" s="509"/>
      <c r="FM335" s="509"/>
      <c r="FN335" s="509"/>
      <c r="FO335" s="509"/>
      <c r="FP335" s="509"/>
      <c r="FQ335" s="509"/>
      <c r="FR335" s="509"/>
      <c r="FS335" s="509"/>
      <c r="FT335" s="509"/>
      <c r="FU335" s="509"/>
      <c r="FV335" s="509"/>
      <c r="FW335" s="509"/>
      <c r="FX335" s="509"/>
      <c r="FY335" s="509"/>
      <c r="FZ335" s="509"/>
      <c r="GA335" s="509"/>
      <c r="GB335" s="509"/>
      <c r="GC335" s="509"/>
      <c r="GD335" s="509"/>
      <c r="GE335" s="509"/>
      <c r="GF335" s="509"/>
      <c r="GG335" s="509"/>
      <c r="GH335" s="509"/>
      <c r="GI335" s="509"/>
      <c r="GJ335" s="509"/>
      <c r="GK335" s="509"/>
      <c r="GL335" s="509"/>
      <c r="GM335" s="509"/>
      <c r="GN335" s="509"/>
      <c r="GO335" s="509"/>
      <c r="GP335" s="509"/>
      <c r="GQ335" s="509"/>
      <c r="GR335" s="509"/>
      <c r="GS335" s="509"/>
      <c r="GT335" s="509"/>
      <c r="GU335" s="509"/>
      <c r="GV335" s="509"/>
      <c r="GW335" s="509"/>
      <c r="GX335" s="509"/>
      <c r="GY335" s="509"/>
      <c r="GZ335" s="509"/>
      <c r="HA335" s="509"/>
      <c r="HB335" s="509"/>
      <c r="HC335" s="509"/>
      <c r="HD335" s="509"/>
      <c r="HE335" s="509"/>
      <c r="HF335" s="509"/>
      <c r="HG335" s="509"/>
      <c r="HH335" s="509"/>
      <c r="HI335" s="509"/>
      <c r="HJ335" s="509"/>
      <c r="HK335" s="509"/>
      <c r="HL335" s="509"/>
      <c r="HM335" s="509"/>
      <c r="HN335" s="509"/>
      <c r="HO335" s="509"/>
      <c r="HP335" s="509"/>
      <c r="HQ335" s="509"/>
      <c r="HR335" s="509"/>
      <c r="HS335" s="509"/>
      <c r="HT335" s="509"/>
      <c r="HU335" s="509"/>
      <c r="HV335" s="509"/>
      <c r="HW335" s="509"/>
      <c r="HX335" s="509"/>
      <c r="HY335" s="509"/>
      <c r="HZ335" s="509"/>
    </row>
    <row r="336" spans="1:234" ht="13.5" hidden="1" customHeight="1" x14ac:dyDescent="0.25">
      <c r="A336" s="540" t="s">
        <v>1633</v>
      </c>
      <c r="B336" s="523" t="s">
        <v>4161</v>
      </c>
      <c r="C336" s="524" t="s">
        <v>4162</v>
      </c>
      <c r="D336" s="553" t="s">
        <v>1859</v>
      </c>
      <c r="E336" s="526" t="s">
        <v>3228</v>
      </c>
      <c r="F336" s="586">
        <v>40731</v>
      </c>
      <c r="G336" s="586">
        <v>40665</v>
      </c>
      <c r="H336" s="544">
        <v>40724</v>
      </c>
      <c r="I336" s="594">
        <v>42766</v>
      </c>
      <c r="J336" s="595">
        <v>10</v>
      </c>
      <c r="K336" s="561" t="s">
        <v>3229</v>
      </c>
      <c r="L336" s="553" t="s">
        <v>3229</v>
      </c>
      <c r="M336" s="600">
        <v>-1</v>
      </c>
      <c r="N336" s="601">
        <v>1</v>
      </c>
      <c r="O336" s="596" t="s">
        <v>3229</v>
      </c>
      <c r="P336" s="596" t="s">
        <v>3229</v>
      </c>
      <c r="Q336" s="596" t="s">
        <v>3229</v>
      </c>
      <c r="R336" s="596" t="s">
        <v>3229</v>
      </c>
      <c r="S336" s="597"/>
      <c r="T336" s="563" t="s">
        <v>3229</v>
      </c>
      <c r="U336" s="563" t="s">
        <v>3229</v>
      </c>
      <c r="V336" s="563" t="s">
        <v>3229</v>
      </c>
      <c r="W336" s="563" t="s">
        <v>3229</v>
      </c>
      <c r="X336" s="563" t="s">
        <v>3229</v>
      </c>
      <c r="Y336" s="563" t="s">
        <v>3229</v>
      </c>
      <c r="Z336" s="563" t="s">
        <v>3229</v>
      </c>
      <c r="AA336" s="563" t="s">
        <v>3229</v>
      </c>
      <c r="AB336" s="563" t="s">
        <v>3229</v>
      </c>
      <c r="AC336" s="563" t="s">
        <v>3229</v>
      </c>
      <c r="AD336" s="563" t="s">
        <v>3229</v>
      </c>
      <c r="AE336" s="563" t="s">
        <v>3229</v>
      </c>
      <c r="AF336" s="3764" t="s">
        <v>781</v>
      </c>
      <c r="AG336" s="3765"/>
      <c r="AH336" s="673" t="s">
        <v>3229</v>
      </c>
      <c r="AI336" s="673" t="s">
        <v>3229</v>
      </c>
      <c r="AJ336" s="673" t="s">
        <v>3229</v>
      </c>
      <c r="AK336" s="673" t="s">
        <v>3229</v>
      </c>
      <c r="AL336" s="673" t="s">
        <v>3229</v>
      </c>
      <c r="AM336" s="590">
        <v>1</v>
      </c>
      <c r="AN336" s="638">
        <f>'klikací hodnoty'!F10324</f>
        <v>0.32995025</v>
      </c>
      <c r="AO336" s="625">
        <v>13.3</v>
      </c>
      <c r="AP336" s="1368">
        <f>+'klikací hodnoty'!H10322</f>
        <v>0.32995025</v>
      </c>
      <c r="AQ336" s="658">
        <f>'klikací hodnoty'!F10309</f>
        <v>0.3347</v>
      </c>
      <c r="AR336" s="558" t="s">
        <v>3660</v>
      </c>
      <c r="AS336" s="558"/>
      <c r="AT336" s="648"/>
      <c r="AU336" s="559"/>
      <c r="AV336" s="558">
        <f t="shared" si="59"/>
        <v>-1</v>
      </c>
      <c r="AW336" s="558">
        <f t="shared" si="74"/>
        <v>-1</v>
      </c>
      <c r="AX336" s="589">
        <f t="shared" si="75"/>
        <v>-1</v>
      </c>
      <c r="AY336" s="587" t="e">
        <f t="shared" si="76"/>
        <v>#DIV/0!</v>
      </c>
      <c r="AZ336" s="676">
        <f t="shared" si="73"/>
        <v>0</v>
      </c>
      <c r="BA336" s="644"/>
      <c r="BB336" s="570"/>
      <c r="BC336" s="637"/>
      <c r="BH336" s="3763"/>
      <c r="BI336" s="3763"/>
      <c r="BJ336" s="1639"/>
      <c r="BK336" s="1639"/>
      <c r="BL336" s="1639"/>
      <c r="BM336" s="1639"/>
      <c r="BN336" s="1639"/>
      <c r="BO336" s="1639"/>
      <c r="BP336" s="1639"/>
      <c r="BQ336" s="1639"/>
      <c r="BR336" s="1639"/>
      <c r="BS336" s="509"/>
      <c r="BT336" s="509"/>
      <c r="BU336" s="509"/>
      <c r="BV336" s="509"/>
      <c r="BW336" s="509"/>
      <c r="BX336" s="509"/>
      <c r="BY336" s="509"/>
      <c r="BZ336" s="509"/>
      <c r="CA336" s="509"/>
      <c r="CB336" s="509"/>
      <c r="CC336" s="509"/>
      <c r="CD336" s="509"/>
      <c r="CE336" s="509"/>
      <c r="CF336" s="509"/>
      <c r="CG336" s="509"/>
      <c r="CH336" s="509"/>
      <c r="CI336" s="509"/>
      <c r="CJ336" s="509"/>
      <c r="CK336" s="509"/>
      <c r="CL336" s="509"/>
      <c r="CM336" s="509"/>
      <c r="CN336" s="509"/>
      <c r="CO336" s="509"/>
      <c r="CP336" s="509"/>
      <c r="CQ336" s="509"/>
      <c r="CR336" s="509"/>
      <c r="CS336" s="509"/>
      <c r="CT336" s="509"/>
      <c r="CU336" s="509"/>
      <c r="CV336" s="509"/>
      <c r="CW336" s="509"/>
      <c r="CX336" s="509"/>
      <c r="CY336" s="509"/>
      <c r="CZ336" s="509"/>
      <c r="DA336" s="509"/>
      <c r="DB336" s="509"/>
      <c r="DC336" s="509"/>
      <c r="DD336" s="509"/>
      <c r="DE336" s="509"/>
      <c r="DF336" s="509"/>
      <c r="DG336" s="509"/>
      <c r="DH336" s="509"/>
      <c r="DI336" s="509"/>
      <c r="DJ336" s="509"/>
      <c r="DK336" s="509"/>
      <c r="DL336" s="509"/>
      <c r="DM336" s="509"/>
      <c r="DN336" s="509"/>
      <c r="DO336" s="509"/>
      <c r="DP336" s="509"/>
      <c r="DQ336" s="509"/>
      <c r="DR336" s="509"/>
      <c r="DS336" s="509"/>
      <c r="DT336" s="509"/>
      <c r="DU336" s="509"/>
      <c r="DV336" s="509"/>
      <c r="DW336" s="509"/>
      <c r="DX336" s="509"/>
      <c r="DY336" s="509"/>
      <c r="DZ336" s="509"/>
      <c r="EA336" s="509"/>
      <c r="EB336" s="509"/>
      <c r="EC336" s="509"/>
      <c r="ED336" s="509"/>
      <c r="EE336" s="509"/>
      <c r="EF336" s="509"/>
      <c r="EG336" s="509"/>
      <c r="EH336" s="509"/>
      <c r="EI336" s="509"/>
      <c r="EJ336" s="509"/>
      <c r="EK336" s="509"/>
      <c r="EL336" s="509"/>
      <c r="EM336" s="509"/>
      <c r="EN336" s="509"/>
      <c r="EO336" s="509"/>
      <c r="EP336" s="509"/>
      <c r="EQ336" s="509"/>
      <c r="ER336" s="509"/>
      <c r="ES336" s="509"/>
      <c r="ET336" s="509"/>
      <c r="EU336" s="509"/>
      <c r="EV336" s="509"/>
      <c r="EW336" s="509"/>
      <c r="EX336" s="509"/>
      <c r="EY336" s="509"/>
      <c r="EZ336" s="509"/>
      <c r="FA336" s="509"/>
      <c r="FB336" s="509"/>
      <c r="FC336" s="509"/>
      <c r="FD336" s="509"/>
      <c r="FE336" s="509"/>
      <c r="FF336" s="509"/>
      <c r="FG336" s="509"/>
      <c r="FH336" s="509"/>
      <c r="FI336" s="509"/>
      <c r="FJ336" s="509"/>
      <c r="FK336" s="509"/>
      <c r="FL336" s="509"/>
      <c r="FM336" s="509"/>
      <c r="FN336" s="509"/>
      <c r="FO336" s="509"/>
      <c r="FP336" s="509"/>
      <c r="FQ336" s="509"/>
      <c r="FR336" s="509"/>
      <c r="FS336" s="509"/>
      <c r="FT336" s="509"/>
      <c r="FU336" s="509"/>
      <c r="FV336" s="509"/>
      <c r="FW336" s="509"/>
      <c r="FX336" s="509"/>
      <c r="FY336" s="509"/>
      <c r="FZ336" s="509"/>
      <c r="GA336" s="509"/>
      <c r="GB336" s="509"/>
      <c r="GC336" s="509"/>
      <c r="GD336" s="509"/>
      <c r="GE336" s="509"/>
      <c r="GF336" s="509"/>
      <c r="GG336" s="509"/>
      <c r="GH336" s="509"/>
      <c r="GI336" s="509"/>
      <c r="GJ336" s="509"/>
      <c r="GK336" s="509"/>
      <c r="GL336" s="509"/>
      <c r="GM336" s="509"/>
      <c r="GN336" s="509"/>
      <c r="GO336" s="509"/>
      <c r="GP336" s="509"/>
      <c r="GQ336" s="509"/>
      <c r="GR336" s="509"/>
      <c r="GS336" s="509"/>
      <c r="GT336" s="509"/>
      <c r="GU336" s="509"/>
      <c r="GV336" s="509"/>
      <c r="GW336" s="509"/>
      <c r="GX336" s="509"/>
      <c r="GY336" s="509"/>
      <c r="GZ336" s="509"/>
      <c r="HA336" s="509"/>
      <c r="HB336" s="509"/>
      <c r="HC336" s="509"/>
      <c r="HD336" s="509"/>
      <c r="HE336" s="509"/>
      <c r="HF336" s="509"/>
      <c r="HG336" s="509"/>
      <c r="HH336" s="509"/>
      <c r="HI336" s="509"/>
      <c r="HJ336" s="509"/>
      <c r="HK336" s="509"/>
      <c r="HL336" s="509"/>
      <c r="HM336" s="509"/>
      <c r="HN336" s="509"/>
      <c r="HO336" s="509"/>
      <c r="HP336" s="509"/>
      <c r="HQ336" s="509"/>
      <c r="HR336" s="509"/>
      <c r="HS336" s="509"/>
      <c r="HT336" s="509"/>
      <c r="HU336" s="509"/>
      <c r="HV336" s="509"/>
      <c r="HW336" s="509"/>
      <c r="HX336" s="509"/>
      <c r="HY336" s="509"/>
      <c r="HZ336" s="509"/>
    </row>
    <row r="337" spans="1:234" s="206" customFormat="1" ht="13.5" hidden="1" customHeight="1" x14ac:dyDescent="0.25">
      <c r="A337" s="541" t="s">
        <v>1634</v>
      </c>
      <c r="B337" s="523" t="s">
        <v>4163</v>
      </c>
      <c r="C337" s="524" t="s">
        <v>4164</v>
      </c>
      <c r="D337" s="551" t="s">
        <v>399</v>
      </c>
      <c r="E337" s="569" t="s">
        <v>3228</v>
      </c>
      <c r="F337" s="543">
        <v>40739</v>
      </c>
      <c r="G337" s="544">
        <v>40665</v>
      </c>
      <c r="H337" s="544">
        <v>40731</v>
      </c>
      <c r="I337" s="616">
        <v>42580</v>
      </c>
      <c r="J337" s="579">
        <v>10</v>
      </c>
      <c r="K337" s="553" t="s">
        <v>3229</v>
      </c>
      <c r="L337" s="552" t="s">
        <v>3229</v>
      </c>
      <c r="M337" s="560">
        <v>7.8100000000000003E-2</v>
      </c>
      <c r="N337" s="606" t="s">
        <v>3229</v>
      </c>
      <c r="O337" s="613">
        <v>0.3957</v>
      </c>
      <c r="P337" s="575" t="s">
        <v>3229</v>
      </c>
      <c r="Q337" s="575">
        <v>0.03</v>
      </c>
      <c r="R337" s="575">
        <v>1.5</v>
      </c>
      <c r="S337" s="570">
        <v>5</v>
      </c>
      <c r="T337" s="563">
        <v>41091</v>
      </c>
      <c r="U337" s="563">
        <v>41456</v>
      </c>
      <c r="V337" s="563">
        <v>41821</v>
      </c>
      <c r="W337" s="563">
        <v>42186</v>
      </c>
      <c r="X337" s="563">
        <v>42522</v>
      </c>
      <c r="Y337" s="598" t="s">
        <v>3229</v>
      </c>
      <c r="Z337" s="598" t="s">
        <v>3229</v>
      </c>
      <c r="AA337" s="598" t="s">
        <v>3229</v>
      </c>
      <c r="AB337" s="598" t="s">
        <v>3229</v>
      </c>
      <c r="AC337" s="598" t="s">
        <v>3229</v>
      </c>
      <c r="AD337" s="598" t="s">
        <v>3229</v>
      </c>
      <c r="AE337" s="598" t="s">
        <v>3229</v>
      </c>
      <c r="AF337" s="3764" t="s">
        <v>781</v>
      </c>
      <c r="AG337" s="3765"/>
      <c r="AH337" s="1301" t="s">
        <v>3229</v>
      </c>
      <c r="AI337" s="1301" t="s">
        <v>3229</v>
      </c>
      <c r="AJ337" s="1301" t="s">
        <v>3229</v>
      </c>
      <c r="AK337" s="530" t="s">
        <v>3229</v>
      </c>
      <c r="AL337" s="530" t="s">
        <v>3229</v>
      </c>
      <c r="AM337" s="659">
        <v>1</v>
      </c>
      <c r="AN337" s="638">
        <f>'klikací hodnoty'!F9871</f>
        <v>8.5522222222222222E-2</v>
      </c>
      <c r="AO337" s="625">
        <v>10.86</v>
      </c>
      <c r="AP337" s="1368" t="s">
        <v>3229</v>
      </c>
      <c r="AQ337" s="606">
        <f>'klikací hodnoty'!E9865</f>
        <v>0.58281137443906583</v>
      </c>
      <c r="AR337" s="600">
        <f>O337</f>
        <v>0.3957</v>
      </c>
      <c r="AS337" s="548">
        <f>POWER(1+AR337,1/((I337-F337)/365))-1</f>
        <v>6.8333237480057152E-2</v>
      </c>
      <c r="AT337" s="548">
        <f>J337*(1+AR337)/AO337-1</f>
        <v>0.28517495395948433</v>
      </c>
      <c r="AU337" s="549" t="e">
        <f>POWER(1+AT337,1/AG337)-1</f>
        <v>#DIV/0!</v>
      </c>
      <c r="AV337" s="558">
        <f t="shared" si="59"/>
        <v>7.8100000000000003E-2</v>
      </c>
      <c r="AW337" s="558">
        <f t="shared" si="74"/>
        <v>1.5021033093395308E-2</v>
      </c>
      <c r="AX337" s="589">
        <f t="shared" si="75"/>
        <v>-7.274401473296388E-3</v>
      </c>
      <c r="AY337" s="587" t="e">
        <f t="shared" si="76"/>
        <v>#DIV/0!</v>
      </c>
      <c r="AZ337" s="676">
        <f t="shared" si="73"/>
        <v>10.781000000000001</v>
      </c>
      <c r="BA337" s="581" t="s">
        <v>274</v>
      </c>
      <c r="BB337" s="570"/>
      <c r="BC337" s="581"/>
      <c r="BD337" s="3691"/>
      <c r="BE337" s="3743"/>
      <c r="BF337" s="3743"/>
      <c r="BG337" s="3708"/>
      <c r="BH337" s="3762"/>
      <c r="BI337" s="3762"/>
      <c r="BJ337" s="39"/>
      <c r="BK337" s="39"/>
      <c r="BL337" s="39"/>
      <c r="BM337" s="39"/>
      <c r="BN337" s="39"/>
      <c r="BO337" s="39"/>
      <c r="BP337" s="39"/>
      <c r="BQ337" s="39"/>
      <c r="BR337" s="39"/>
      <c r="BS337" s="507"/>
      <c r="BT337" s="507"/>
      <c r="BU337" s="507"/>
      <c r="BV337" s="507"/>
      <c r="BW337" s="507"/>
      <c r="BX337" s="507"/>
      <c r="BY337" s="507"/>
      <c r="BZ337" s="507"/>
      <c r="CA337" s="507"/>
      <c r="CB337" s="507"/>
      <c r="CC337" s="507"/>
      <c r="CD337" s="507"/>
      <c r="CE337" s="507"/>
      <c r="CF337" s="507"/>
      <c r="CG337" s="507"/>
      <c r="CH337" s="507"/>
      <c r="CI337" s="507"/>
      <c r="CJ337" s="507"/>
      <c r="CK337" s="507"/>
      <c r="CL337" s="507"/>
      <c r="CM337" s="507"/>
      <c r="CN337" s="507"/>
      <c r="CO337" s="507"/>
      <c r="CP337" s="507"/>
      <c r="CQ337" s="507"/>
      <c r="CR337" s="507"/>
      <c r="CS337" s="507"/>
      <c r="CT337" s="507"/>
      <c r="CU337" s="507"/>
      <c r="CV337" s="507"/>
      <c r="CW337" s="507"/>
      <c r="CX337" s="507"/>
      <c r="CY337" s="507"/>
      <c r="CZ337" s="507"/>
      <c r="DA337" s="507"/>
      <c r="DB337" s="507"/>
      <c r="DC337" s="507"/>
      <c r="DD337" s="507"/>
      <c r="DE337" s="507"/>
      <c r="DF337" s="507"/>
      <c r="DG337" s="507"/>
      <c r="DH337" s="507"/>
      <c r="DI337" s="507"/>
      <c r="DJ337" s="507"/>
      <c r="DK337" s="507"/>
      <c r="DL337" s="507"/>
      <c r="DM337" s="507"/>
      <c r="DN337" s="507"/>
      <c r="DO337" s="507"/>
      <c r="DP337" s="507"/>
      <c r="DQ337" s="507"/>
      <c r="DR337" s="507"/>
      <c r="DS337" s="507"/>
      <c r="DT337" s="507"/>
      <c r="DU337" s="507"/>
      <c r="DV337" s="507"/>
      <c r="DW337" s="507"/>
      <c r="DX337" s="507"/>
      <c r="DY337" s="507"/>
      <c r="DZ337" s="507"/>
      <c r="EA337" s="507"/>
      <c r="EB337" s="507"/>
      <c r="EC337" s="507"/>
      <c r="ED337" s="507"/>
      <c r="EE337" s="507"/>
      <c r="EF337" s="507"/>
      <c r="EG337" s="507"/>
      <c r="EH337" s="507"/>
      <c r="EI337" s="507"/>
      <c r="EJ337" s="507"/>
      <c r="EK337" s="507"/>
      <c r="EL337" s="507"/>
      <c r="EM337" s="507"/>
      <c r="EN337" s="507"/>
      <c r="EO337" s="507"/>
      <c r="EP337" s="507"/>
      <c r="EQ337" s="507"/>
      <c r="ER337" s="507"/>
      <c r="ES337" s="507"/>
      <c r="ET337" s="507"/>
      <c r="EU337" s="507"/>
      <c r="EV337" s="507"/>
      <c r="EW337" s="507"/>
      <c r="EX337" s="507"/>
      <c r="EY337" s="507"/>
      <c r="EZ337" s="507"/>
      <c r="FA337" s="507"/>
      <c r="FB337" s="507"/>
      <c r="FC337" s="507"/>
      <c r="FD337" s="507"/>
      <c r="FE337" s="507"/>
      <c r="FF337" s="507"/>
      <c r="FG337" s="507"/>
      <c r="FH337" s="507"/>
      <c r="FI337" s="507"/>
      <c r="FJ337" s="507"/>
      <c r="FK337" s="507"/>
      <c r="FL337" s="507"/>
      <c r="FM337" s="507"/>
      <c r="FN337" s="507"/>
      <c r="FO337" s="507"/>
      <c r="FP337" s="507"/>
      <c r="FQ337" s="507"/>
      <c r="FR337" s="507"/>
      <c r="FS337" s="507"/>
      <c r="FT337" s="507"/>
      <c r="FU337" s="507"/>
      <c r="FV337" s="507"/>
      <c r="FW337" s="507"/>
      <c r="FX337" s="507"/>
      <c r="FY337" s="507"/>
      <c r="FZ337" s="507"/>
      <c r="GA337" s="507"/>
      <c r="GB337" s="507"/>
      <c r="GC337" s="507"/>
      <c r="GD337" s="507"/>
      <c r="GE337" s="507"/>
      <c r="GF337" s="507"/>
      <c r="GG337" s="507"/>
      <c r="GH337" s="507"/>
      <c r="GI337" s="507"/>
      <c r="GJ337" s="507"/>
      <c r="GK337" s="507"/>
      <c r="GL337" s="507"/>
      <c r="GM337" s="507"/>
      <c r="GN337" s="507"/>
      <c r="GO337" s="507"/>
      <c r="GP337" s="507"/>
      <c r="GQ337" s="507"/>
      <c r="GR337" s="507"/>
      <c r="GS337" s="507"/>
      <c r="GT337" s="507"/>
      <c r="GU337" s="507"/>
      <c r="GV337" s="507"/>
      <c r="GW337" s="507"/>
      <c r="GX337" s="507"/>
      <c r="GY337" s="507"/>
      <c r="GZ337" s="507"/>
      <c r="HA337" s="507"/>
      <c r="HB337" s="507"/>
      <c r="HC337" s="507"/>
      <c r="HD337" s="507"/>
      <c r="HE337" s="507"/>
      <c r="HF337" s="507"/>
      <c r="HG337" s="507"/>
      <c r="HH337" s="507"/>
      <c r="HI337" s="507"/>
      <c r="HJ337" s="507"/>
      <c r="HK337" s="507"/>
      <c r="HL337" s="507"/>
      <c r="HM337" s="507"/>
      <c r="HN337" s="507"/>
      <c r="HO337" s="507"/>
      <c r="HP337" s="507"/>
      <c r="HQ337" s="507"/>
      <c r="HR337" s="507"/>
      <c r="HS337" s="507"/>
      <c r="HT337" s="507"/>
      <c r="HU337" s="507"/>
      <c r="HV337" s="507"/>
      <c r="HW337" s="507"/>
      <c r="HX337" s="507"/>
      <c r="HY337" s="507"/>
      <c r="HZ337" s="507"/>
    </row>
    <row r="338" spans="1:234" s="206" customFormat="1" ht="13.5" hidden="1" customHeight="1" x14ac:dyDescent="0.25">
      <c r="A338" s="541" t="s">
        <v>2253</v>
      </c>
      <c r="B338" s="523" t="s">
        <v>4284</v>
      </c>
      <c r="C338" s="524" t="s">
        <v>4285</v>
      </c>
      <c r="D338" s="551" t="s">
        <v>189</v>
      </c>
      <c r="E338" s="569" t="s">
        <v>905</v>
      </c>
      <c r="F338" s="543">
        <v>40700</v>
      </c>
      <c r="G338" s="544"/>
      <c r="H338" s="544"/>
      <c r="I338" s="616">
        <v>42551</v>
      </c>
      <c r="J338" s="579">
        <v>10</v>
      </c>
      <c r="K338" s="553" t="s">
        <v>3229</v>
      </c>
      <c r="L338" s="552" t="s">
        <v>3229</v>
      </c>
      <c r="M338" s="560">
        <v>-1</v>
      </c>
      <c r="N338" s="606" t="s">
        <v>3229</v>
      </c>
      <c r="O338" s="613">
        <v>0.4</v>
      </c>
      <c r="P338" s="575" t="s">
        <v>3229</v>
      </c>
      <c r="Q338" s="575" t="s">
        <v>3229</v>
      </c>
      <c r="R338" s="575" t="s">
        <v>3229</v>
      </c>
      <c r="S338" s="570">
        <v>5</v>
      </c>
      <c r="T338" s="617">
        <v>41061</v>
      </c>
      <c r="U338" s="563">
        <v>41426</v>
      </c>
      <c r="V338" s="563">
        <v>41791</v>
      </c>
      <c r="W338" s="563">
        <v>42156</v>
      </c>
      <c r="X338" s="563">
        <v>42522</v>
      </c>
      <c r="Y338" s="598" t="s">
        <v>3229</v>
      </c>
      <c r="Z338" s="598" t="s">
        <v>3229</v>
      </c>
      <c r="AA338" s="598" t="s">
        <v>3229</v>
      </c>
      <c r="AB338" s="598" t="s">
        <v>3229</v>
      </c>
      <c r="AC338" s="598" t="s">
        <v>3229</v>
      </c>
      <c r="AD338" s="598" t="s">
        <v>3229</v>
      </c>
      <c r="AE338" s="598" t="s">
        <v>3229</v>
      </c>
      <c r="AF338" s="3764" t="s">
        <v>781</v>
      </c>
      <c r="AG338" s="3765"/>
      <c r="AH338" s="1301">
        <v>1</v>
      </c>
      <c r="AI338" s="1301" t="s">
        <v>3229</v>
      </c>
      <c r="AJ338" s="1301" t="s">
        <v>3229</v>
      </c>
      <c r="AK338" s="530" t="s">
        <v>3229</v>
      </c>
      <c r="AL338" s="530" t="s">
        <v>3229</v>
      </c>
      <c r="AM338" s="659" t="s">
        <v>3229</v>
      </c>
      <c r="AN338" s="638">
        <v>0.16</v>
      </c>
      <c r="AO338" s="625">
        <v>11.12</v>
      </c>
      <c r="AP338" s="688">
        <v>0.12970268376334637</v>
      </c>
      <c r="AQ338" s="606">
        <v>1.6732415387011645E-2</v>
      </c>
      <c r="AR338" s="600">
        <v>0.4</v>
      </c>
      <c r="AS338" s="548">
        <v>6.8599805437667971E-2</v>
      </c>
      <c r="AT338" s="548">
        <v>0.22164048865619534</v>
      </c>
      <c r="AU338" s="549">
        <v>6.7046282704974258E-2</v>
      </c>
      <c r="AV338" s="558">
        <v>-1</v>
      </c>
      <c r="AW338" s="558">
        <v>-1</v>
      </c>
      <c r="AX338" s="589">
        <v>-1</v>
      </c>
      <c r="AY338" s="587">
        <v>-1</v>
      </c>
      <c r="AZ338" s="676">
        <v>0</v>
      </c>
      <c r="BA338" s="581" t="s">
        <v>4286</v>
      </c>
      <c r="BB338" s="570"/>
      <c r="BC338" s="581"/>
      <c r="BD338" s="3691"/>
      <c r="BE338" s="3743"/>
      <c r="BF338" s="3743"/>
      <c r="BG338" s="3708"/>
      <c r="BH338" s="3762"/>
      <c r="BI338" s="3762"/>
      <c r="BJ338" s="39"/>
      <c r="BK338" s="39"/>
      <c r="BL338" s="39"/>
      <c r="BM338" s="39"/>
      <c r="BN338" s="39"/>
      <c r="BO338" s="39"/>
      <c r="BP338" s="39"/>
      <c r="BQ338" s="39"/>
      <c r="BR338" s="39"/>
      <c r="BS338" s="507"/>
      <c r="BT338" s="507"/>
      <c r="BU338" s="507"/>
      <c r="BV338" s="507"/>
      <c r="BW338" s="507"/>
      <c r="BX338" s="507"/>
      <c r="BY338" s="507"/>
      <c r="BZ338" s="507"/>
      <c r="CA338" s="507"/>
      <c r="CB338" s="507"/>
      <c r="CC338" s="507"/>
      <c r="CD338" s="507"/>
      <c r="CE338" s="507"/>
      <c r="CF338" s="507"/>
      <c r="CG338" s="507"/>
      <c r="CH338" s="507"/>
      <c r="CI338" s="507"/>
      <c r="CJ338" s="507"/>
      <c r="CK338" s="507"/>
      <c r="CL338" s="507"/>
      <c r="CM338" s="507"/>
      <c r="CN338" s="507"/>
      <c r="CO338" s="507"/>
      <c r="CP338" s="507"/>
      <c r="CQ338" s="507"/>
      <c r="CR338" s="507"/>
      <c r="CS338" s="507"/>
      <c r="CT338" s="507"/>
      <c r="CU338" s="507"/>
      <c r="CV338" s="507"/>
      <c r="CW338" s="507"/>
      <c r="CX338" s="507"/>
      <c r="CY338" s="507"/>
      <c r="CZ338" s="507"/>
      <c r="DA338" s="507"/>
      <c r="DB338" s="507"/>
      <c r="DC338" s="507"/>
      <c r="DD338" s="507"/>
      <c r="DE338" s="507"/>
      <c r="DF338" s="507"/>
      <c r="DG338" s="507"/>
      <c r="DH338" s="507"/>
      <c r="DI338" s="507"/>
      <c r="DJ338" s="507"/>
      <c r="DK338" s="507"/>
      <c r="DL338" s="507"/>
      <c r="DM338" s="507"/>
      <c r="DN338" s="507"/>
      <c r="DO338" s="507"/>
      <c r="DP338" s="507"/>
      <c r="DQ338" s="507"/>
      <c r="DR338" s="507"/>
      <c r="DS338" s="507"/>
      <c r="DT338" s="507"/>
      <c r="DU338" s="507"/>
      <c r="DV338" s="507"/>
      <c r="DW338" s="507"/>
      <c r="DX338" s="507"/>
      <c r="DY338" s="507"/>
      <c r="DZ338" s="507"/>
      <c r="EA338" s="507"/>
      <c r="EB338" s="507"/>
      <c r="EC338" s="507"/>
      <c r="ED338" s="507"/>
      <c r="EE338" s="507"/>
      <c r="EF338" s="507"/>
      <c r="EG338" s="507"/>
      <c r="EH338" s="507"/>
      <c r="EI338" s="507"/>
      <c r="EJ338" s="507"/>
      <c r="EK338" s="507"/>
      <c r="EL338" s="507"/>
      <c r="EM338" s="507"/>
      <c r="EN338" s="507"/>
      <c r="EO338" s="507"/>
      <c r="EP338" s="507"/>
      <c r="EQ338" s="507"/>
      <c r="ER338" s="507"/>
      <c r="ES338" s="507"/>
      <c r="ET338" s="507"/>
      <c r="EU338" s="507"/>
      <c r="EV338" s="507"/>
      <c r="EW338" s="507"/>
      <c r="EX338" s="507"/>
      <c r="EY338" s="507"/>
      <c r="EZ338" s="507"/>
      <c r="FA338" s="507"/>
      <c r="FB338" s="507"/>
      <c r="FC338" s="507"/>
      <c r="FD338" s="507"/>
      <c r="FE338" s="507"/>
      <c r="FF338" s="507"/>
      <c r="FG338" s="507"/>
      <c r="FH338" s="507"/>
      <c r="FI338" s="507"/>
      <c r="FJ338" s="507"/>
      <c r="FK338" s="507"/>
      <c r="FL338" s="507"/>
      <c r="FM338" s="507"/>
      <c r="FN338" s="507"/>
      <c r="FO338" s="507"/>
      <c r="FP338" s="507"/>
      <c r="FQ338" s="507"/>
      <c r="FR338" s="507"/>
      <c r="FS338" s="507"/>
      <c r="FT338" s="507"/>
      <c r="FU338" s="507"/>
      <c r="FV338" s="507"/>
      <c r="FW338" s="507"/>
      <c r="FX338" s="507"/>
      <c r="FY338" s="507"/>
      <c r="FZ338" s="507"/>
      <c r="GA338" s="507"/>
      <c r="GB338" s="507"/>
      <c r="GC338" s="507"/>
      <c r="GD338" s="507"/>
      <c r="GE338" s="507"/>
      <c r="GF338" s="507"/>
      <c r="GG338" s="507"/>
      <c r="GH338" s="507"/>
      <c r="GI338" s="507"/>
      <c r="GJ338" s="507"/>
      <c r="GK338" s="507"/>
      <c r="GL338" s="507"/>
      <c r="GM338" s="507"/>
      <c r="GN338" s="507"/>
      <c r="GO338" s="507"/>
      <c r="GP338" s="507"/>
      <c r="GQ338" s="507"/>
      <c r="GR338" s="507"/>
      <c r="GS338" s="507"/>
      <c r="GT338" s="507"/>
      <c r="GU338" s="507"/>
      <c r="GV338" s="507"/>
      <c r="GW338" s="507"/>
      <c r="GX338" s="507"/>
      <c r="GY338" s="507"/>
      <c r="GZ338" s="507"/>
      <c r="HA338" s="507"/>
      <c r="HB338" s="507"/>
      <c r="HC338" s="507"/>
      <c r="HD338" s="507"/>
      <c r="HE338" s="507"/>
      <c r="HF338" s="507"/>
      <c r="HG338" s="507"/>
      <c r="HH338" s="507"/>
      <c r="HI338" s="507"/>
      <c r="HJ338" s="507"/>
      <c r="HK338" s="507"/>
      <c r="HL338" s="507"/>
      <c r="HM338" s="507"/>
      <c r="HN338" s="507"/>
      <c r="HO338" s="507"/>
      <c r="HP338" s="507"/>
      <c r="HQ338" s="507"/>
      <c r="HR338" s="507"/>
      <c r="HS338" s="507"/>
      <c r="HT338" s="507"/>
      <c r="HU338" s="507"/>
      <c r="HV338" s="507"/>
      <c r="HW338" s="507"/>
      <c r="HX338" s="507"/>
      <c r="HY338" s="507"/>
      <c r="HZ338" s="507"/>
    </row>
    <row r="339" spans="1:234" s="206" customFormat="1" ht="13.5" hidden="1" customHeight="1" x14ac:dyDescent="0.25">
      <c r="A339" s="541" t="s">
        <v>3967</v>
      </c>
      <c r="B339" s="523" t="s">
        <v>681</v>
      </c>
      <c r="C339" s="524" t="s">
        <v>235</v>
      </c>
      <c r="D339" s="551" t="s">
        <v>4384</v>
      </c>
      <c r="E339" s="569" t="s">
        <v>3228</v>
      </c>
      <c r="F339" s="543">
        <v>40703</v>
      </c>
      <c r="G339" s="544">
        <v>40665</v>
      </c>
      <c r="H339" s="544">
        <v>40694</v>
      </c>
      <c r="I339" s="616">
        <v>42733</v>
      </c>
      <c r="J339" s="579">
        <v>10</v>
      </c>
      <c r="K339" s="553" t="s">
        <v>3229</v>
      </c>
      <c r="L339" s="552" t="s">
        <v>3229</v>
      </c>
      <c r="M339" s="560">
        <v>0</v>
      </c>
      <c r="N339" s="606">
        <v>1</v>
      </c>
      <c r="O339" s="613">
        <v>0.45</v>
      </c>
      <c r="P339" s="575" t="s">
        <v>3229</v>
      </c>
      <c r="Q339" s="575" t="s">
        <v>3229</v>
      </c>
      <c r="R339" s="575" t="s">
        <v>3229</v>
      </c>
      <c r="S339" s="570"/>
      <c r="T339" s="617" t="s">
        <v>3229</v>
      </c>
      <c r="U339" s="563" t="s">
        <v>3229</v>
      </c>
      <c r="V339" s="563" t="s">
        <v>3229</v>
      </c>
      <c r="W339" s="563" t="s">
        <v>3229</v>
      </c>
      <c r="X339" s="563" t="s">
        <v>3229</v>
      </c>
      <c r="Y339" s="598" t="s">
        <v>3229</v>
      </c>
      <c r="Z339" s="598" t="s">
        <v>3229</v>
      </c>
      <c r="AA339" s="598" t="s">
        <v>3229</v>
      </c>
      <c r="AB339" s="598" t="s">
        <v>3229</v>
      </c>
      <c r="AC339" s="598" t="s">
        <v>3229</v>
      </c>
      <c r="AD339" s="598" t="s">
        <v>3229</v>
      </c>
      <c r="AE339" s="598" t="s">
        <v>3229</v>
      </c>
      <c r="AF339" s="3764" t="s">
        <v>781</v>
      </c>
      <c r="AG339" s="3765"/>
      <c r="AH339" s="1301" t="s">
        <v>3229</v>
      </c>
      <c r="AI339" s="1301" t="s">
        <v>3229</v>
      </c>
      <c r="AJ339" s="1301" t="s">
        <v>3229</v>
      </c>
      <c r="AK339" s="530" t="s">
        <v>3229</v>
      </c>
      <c r="AL339" s="530" t="s">
        <v>3229</v>
      </c>
      <c r="AM339" s="659">
        <v>1</v>
      </c>
      <c r="AN339" s="638">
        <f>'klikací hodnoty'!F9776</f>
        <v>0.30163333333333342</v>
      </c>
      <c r="AO339" s="625">
        <v>13</v>
      </c>
      <c r="AP339" s="688">
        <f>'klikací hodnoty'!L9773</f>
        <v>0.30163333333333342</v>
      </c>
      <c r="AQ339" s="606">
        <f>'klikací hodnoty'!F9775</f>
        <v>0.31268497920510541</v>
      </c>
      <c r="AR339" s="600">
        <f>O339</f>
        <v>0.45</v>
      </c>
      <c r="AS339" s="548">
        <f>POWER(1+AR339,1/((I339-F339)/365))-1</f>
        <v>6.9090434405946644E-2</v>
      </c>
      <c r="AT339" s="548">
        <f>J339*(1+AR339)/AO339-1</f>
        <v>0.11538461538461542</v>
      </c>
      <c r="AU339" s="549" t="e">
        <f>POWER(1+AT339,1/AG339)-1</f>
        <v>#DIV/0!</v>
      </c>
      <c r="AV339" s="558">
        <f t="shared" si="59"/>
        <v>0</v>
      </c>
      <c r="AW339" s="558">
        <f t="shared" si="74"/>
        <v>0</v>
      </c>
      <c r="AX339" s="589">
        <f t="shared" si="75"/>
        <v>-0.23076923076923073</v>
      </c>
      <c r="AY339" s="587" t="e">
        <f t="shared" si="76"/>
        <v>#DIV/0!</v>
      </c>
      <c r="AZ339" s="676">
        <f t="shared" si="73"/>
        <v>10</v>
      </c>
      <c r="BA339" s="581" t="s">
        <v>236</v>
      </c>
      <c r="BB339" s="570"/>
      <c r="BC339" s="581"/>
      <c r="BD339" s="3691"/>
      <c r="BE339" s="3743"/>
      <c r="BF339" s="3743"/>
      <c r="BG339" s="3708"/>
      <c r="BH339" s="3762"/>
      <c r="BI339" s="3762"/>
      <c r="BJ339" s="39"/>
      <c r="BK339" s="39"/>
      <c r="BL339" s="39"/>
      <c r="BM339" s="39"/>
      <c r="BN339" s="39"/>
      <c r="BO339" s="39"/>
      <c r="BP339" s="39"/>
      <c r="BQ339" s="39"/>
      <c r="BR339" s="39"/>
      <c r="BS339" s="507"/>
      <c r="BT339" s="507"/>
      <c r="BU339" s="507"/>
      <c r="BV339" s="507"/>
      <c r="BW339" s="507"/>
      <c r="BX339" s="507"/>
      <c r="BY339" s="507"/>
      <c r="BZ339" s="507"/>
      <c r="CA339" s="507"/>
      <c r="CB339" s="507"/>
      <c r="CC339" s="507"/>
      <c r="CD339" s="507"/>
      <c r="CE339" s="507"/>
      <c r="CF339" s="507"/>
      <c r="CG339" s="507"/>
      <c r="CH339" s="507"/>
      <c r="CI339" s="507"/>
      <c r="CJ339" s="507"/>
      <c r="CK339" s="507"/>
      <c r="CL339" s="507"/>
      <c r="CM339" s="507"/>
      <c r="CN339" s="507"/>
      <c r="CO339" s="507"/>
      <c r="CP339" s="507"/>
      <c r="CQ339" s="507"/>
      <c r="CR339" s="507"/>
      <c r="CS339" s="507"/>
      <c r="CT339" s="507"/>
      <c r="CU339" s="507"/>
      <c r="CV339" s="507"/>
      <c r="CW339" s="507"/>
      <c r="CX339" s="507"/>
      <c r="CY339" s="507"/>
      <c r="CZ339" s="507"/>
      <c r="DA339" s="507"/>
      <c r="DB339" s="507"/>
      <c r="DC339" s="507"/>
      <c r="DD339" s="507"/>
      <c r="DE339" s="507"/>
      <c r="DF339" s="507"/>
      <c r="DG339" s="507"/>
      <c r="DH339" s="507"/>
      <c r="DI339" s="507"/>
      <c r="DJ339" s="507"/>
      <c r="DK339" s="507"/>
      <c r="DL339" s="507"/>
      <c r="DM339" s="507"/>
      <c r="DN339" s="507"/>
      <c r="DO339" s="507"/>
      <c r="DP339" s="507"/>
      <c r="DQ339" s="507"/>
      <c r="DR339" s="507"/>
      <c r="DS339" s="507"/>
      <c r="DT339" s="507"/>
      <c r="DU339" s="507"/>
      <c r="DV339" s="507"/>
      <c r="DW339" s="507"/>
      <c r="DX339" s="507"/>
      <c r="DY339" s="507"/>
      <c r="DZ339" s="507"/>
      <c r="EA339" s="507"/>
      <c r="EB339" s="507"/>
      <c r="EC339" s="507"/>
      <c r="ED339" s="507"/>
      <c r="EE339" s="507"/>
      <c r="EF339" s="507"/>
      <c r="EG339" s="507"/>
      <c r="EH339" s="507"/>
      <c r="EI339" s="507"/>
      <c r="EJ339" s="507"/>
      <c r="EK339" s="507"/>
      <c r="EL339" s="507"/>
      <c r="EM339" s="507"/>
      <c r="EN339" s="507"/>
      <c r="EO339" s="507"/>
      <c r="EP339" s="507"/>
      <c r="EQ339" s="507"/>
      <c r="ER339" s="507"/>
      <c r="ES339" s="507"/>
      <c r="ET339" s="507"/>
      <c r="EU339" s="507"/>
      <c r="EV339" s="507"/>
      <c r="EW339" s="507"/>
      <c r="EX339" s="507"/>
      <c r="EY339" s="507"/>
      <c r="EZ339" s="507"/>
      <c r="FA339" s="507"/>
      <c r="FB339" s="507"/>
      <c r="FC339" s="507"/>
      <c r="FD339" s="507"/>
      <c r="FE339" s="507"/>
      <c r="FF339" s="507"/>
      <c r="FG339" s="507"/>
      <c r="FH339" s="507"/>
      <c r="FI339" s="507"/>
      <c r="FJ339" s="507"/>
      <c r="FK339" s="507"/>
      <c r="FL339" s="507"/>
      <c r="FM339" s="507"/>
      <c r="FN339" s="507"/>
      <c r="FO339" s="507"/>
      <c r="FP339" s="507"/>
      <c r="FQ339" s="507"/>
      <c r="FR339" s="507"/>
      <c r="FS339" s="507"/>
      <c r="FT339" s="507"/>
      <c r="FU339" s="507"/>
      <c r="FV339" s="507"/>
      <c r="FW339" s="507"/>
      <c r="FX339" s="507"/>
      <c r="FY339" s="507"/>
      <c r="FZ339" s="507"/>
      <c r="GA339" s="507"/>
      <c r="GB339" s="507"/>
      <c r="GC339" s="507"/>
      <c r="GD339" s="507"/>
      <c r="GE339" s="507"/>
      <c r="GF339" s="507"/>
      <c r="GG339" s="507"/>
      <c r="GH339" s="507"/>
      <c r="GI339" s="507"/>
      <c r="GJ339" s="507"/>
      <c r="GK339" s="507"/>
      <c r="GL339" s="507"/>
      <c r="GM339" s="507"/>
      <c r="GN339" s="507"/>
      <c r="GO339" s="507"/>
      <c r="GP339" s="507"/>
      <c r="GQ339" s="507"/>
      <c r="GR339" s="507"/>
      <c r="GS339" s="507"/>
      <c r="GT339" s="507"/>
      <c r="GU339" s="507"/>
      <c r="GV339" s="507"/>
      <c r="GW339" s="507"/>
      <c r="GX339" s="507"/>
      <c r="GY339" s="507"/>
      <c r="GZ339" s="507"/>
      <c r="HA339" s="507"/>
      <c r="HB339" s="507"/>
      <c r="HC339" s="507"/>
      <c r="HD339" s="507"/>
      <c r="HE339" s="507"/>
      <c r="HF339" s="507"/>
      <c r="HG339" s="507"/>
      <c r="HH339" s="507"/>
      <c r="HI339" s="507"/>
      <c r="HJ339" s="507"/>
      <c r="HK339" s="507"/>
      <c r="HL339" s="507"/>
      <c r="HM339" s="507"/>
      <c r="HN339" s="507"/>
      <c r="HO339" s="507"/>
      <c r="HP339" s="507"/>
      <c r="HQ339" s="507"/>
      <c r="HR339" s="507"/>
      <c r="HS339" s="507"/>
      <c r="HT339" s="507"/>
      <c r="HU339" s="507"/>
      <c r="HV339" s="507"/>
      <c r="HW339" s="507"/>
      <c r="HX339" s="507"/>
      <c r="HY339" s="507"/>
      <c r="HZ339" s="507"/>
    </row>
    <row r="340" spans="1:234" s="206" customFormat="1" ht="13.5" hidden="1" customHeight="1" x14ac:dyDescent="0.25">
      <c r="A340" s="541" t="s">
        <v>727</v>
      </c>
      <c r="B340" s="523" t="s">
        <v>728</v>
      </c>
      <c r="C340" s="524" t="s">
        <v>729</v>
      </c>
      <c r="D340" s="551" t="s">
        <v>2158</v>
      </c>
      <c r="E340" s="569" t="s">
        <v>3228</v>
      </c>
      <c r="F340" s="543">
        <v>40793</v>
      </c>
      <c r="G340" s="544">
        <v>40725</v>
      </c>
      <c r="H340" s="544">
        <v>40786</v>
      </c>
      <c r="I340" s="616">
        <v>42460</v>
      </c>
      <c r="J340" s="579">
        <v>10</v>
      </c>
      <c r="K340" s="553">
        <v>0</v>
      </c>
      <c r="L340" s="552">
        <v>0.08</v>
      </c>
      <c r="M340" s="560">
        <v>0.03</v>
      </c>
      <c r="N340" s="606" t="s">
        <v>3229</v>
      </c>
      <c r="O340" s="613">
        <v>0.27</v>
      </c>
      <c r="P340" s="575" t="s">
        <v>3229</v>
      </c>
      <c r="Q340" s="575">
        <v>0.03</v>
      </c>
      <c r="R340" s="575" t="s">
        <v>3229</v>
      </c>
      <c r="S340" s="570">
        <v>4</v>
      </c>
      <c r="T340" s="563">
        <v>41122</v>
      </c>
      <c r="U340" s="563">
        <v>41487</v>
      </c>
      <c r="V340" s="563">
        <v>41852</v>
      </c>
      <c r="W340" s="563">
        <v>42401</v>
      </c>
      <c r="X340" s="563" t="s">
        <v>3229</v>
      </c>
      <c r="Y340" s="598" t="s">
        <v>3229</v>
      </c>
      <c r="Z340" s="598" t="s">
        <v>3229</v>
      </c>
      <c r="AA340" s="598" t="s">
        <v>3229</v>
      </c>
      <c r="AB340" s="598" t="s">
        <v>3229</v>
      </c>
      <c r="AC340" s="598" t="s">
        <v>3229</v>
      </c>
      <c r="AD340" s="598" t="s">
        <v>3229</v>
      </c>
      <c r="AE340" s="598" t="s">
        <v>3229</v>
      </c>
      <c r="AF340" s="3764" t="s">
        <v>781</v>
      </c>
      <c r="AG340" s="3765"/>
      <c r="AH340" s="1301" t="s">
        <v>3229</v>
      </c>
      <c r="AI340" s="1301" t="s">
        <v>3229</v>
      </c>
      <c r="AJ340" s="1301" t="s">
        <v>3229</v>
      </c>
      <c r="AK340" s="530" t="s">
        <v>3229</v>
      </c>
      <c r="AL340" s="530" t="s">
        <v>3229</v>
      </c>
      <c r="AM340" s="659">
        <v>1</v>
      </c>
      <c r="AN340" s="638">
        <v>0.13263700000000006</v>
      </c>
      <c r="AO340" s="625">
        <v>11.33</v>
      </c>
      <c r="AP340" s="1368">
        <v>2.615376755489179E-2</v>
      </c>
      <c r="AQ340" s="606">
        <v>0.60296528419894913</v>
      </c>
      <c r="AR340" s="600">
        <v>0.27</v>
      </c>
      <c r="AS340" s="548">
        <v>5.3727875720696705E-2</v>
      </c>
      <c r="AT340" s="548">
        <v>0.1209179170344219</v>
      </c>
      <c r="AU340" s="549" t="e">
        <v>#DIV/0!</v>
      </c>
      <c r="AV340" s="558">
        <v>0.03</v>
      </c>
      <c r="AW340" s="558">
        <v>6.4930724620222424E-3</v>
      </c>
      <c r="AX340" s="589">
        <v>-9.0909090909090828E-2</v>
      </c>
      <c r="AY340" s="587" t="e">
        <v>#DIV/0!</v>
      </c>
      <c r="AZ340" s="676">
        <v>10.3</v>
      </c>
      <c r="BA340" s="581" t="s">
        <v>2585</v>
      </c>
      <c r="BB340" s="570" t="s">
        <v>2025</v>
      </c>
      <c r="BC340" s="581" t="s">
        <v>2895</v>
      </c>
      <c r="BD340" s="3691"/>
      <c r="BE340" s="3743"/>
      <c r="BF340" s="3743"/>
      <c r="BG340" s="3708"/>
      <c r="BH340" s="3762"/>
      <c r="BI340" s="3762"/>
      <c r="BJ340" s="39"/>
      <c r="BK340" s="39"/>
      <c r="BL340" s="39"/>
      <c r="BM340" s="39"/>
      <c r="BN340" s="39"/>
      <c r="BO340" s="39"/>
      <c r="BP340" s="39"/>
      <c r="BQ340" s="39"/>
      <c r="BR340" s="39"/>
      <c r="BS340" s="507"/>
      <c r="BT340" s="507"/>
      <c r="BU340" s="507"/>
      <c r="BV340" s="507"/>
      <c r="BW340" s="507"/>
      <c r="BX340" s="507"/>
      <c r="BY340" s="507"/>
      <c r="BZ340" s="507"/>
      <c r="CA340" s="507"/>
      <c r="CB340" s="507"/>
      <c r="CC340" s="507"/>
      <c r="CD340" s="507"/>
      <c r="CE340" s="507"/>
      <c r="CF340" s="507"/>
      <c r="CG340" s="507"/>
      <c r="CH340" s="507"/>
      <c r="CI340" s="507"/>
      <c r="CJ340" s="507"/>
      <c r="CK340" s="507"/>
      <c r="CL340" s="507"/>
      <c r="CM340" s="507"/>
      <c r="CN340" s="507"/>
      <c r="CO340" s="507"/>
      <c r="CP340" s="507"/>
      <c r="CQ340" s="507"/>
      <c r="CR340" s="507"/>
      <c r="CS340" s="507"/>
      <c r="CT340" s="507"/>
      <c r="CU340" s="507"/>
      <c r="CV340" s="507"/>
      <c r="CW340" s="507"/>
      <c r="CX340" s="507"/>
      <c r="CY340" s="507"/>
      <c r="CZ340" s="507"/>
      <c r="DA340" s="507"/>
      <c r="DB340" s="507"/>
      <c r="DC340" s="507"/>
      <c r="DD340" s="507"/>
      <c r="DE340" s="507"/>
      <c r="DF340" s="507"/>
      <c r="DG340" s="507"/>
      <c r="DH340" s="507"/>
      <c r="DI340" s="507"/>
      <c r="DJ340" s="507"/>
      <c r="DK340" s="507"/>
      <c r="DL340" s="507"/>
      <c r="DM340" s="507"/>
      <c r="DN340" s="507"/>
      <c r="DO340" s="507"/>
      <c r="DP340" s="507"/>
      <c r="DQ340" s="507"/>
      <c r="DR340" s="507"/>
      <c r="DS340" s="507"/>
      <c r="DT340" s="507"/>
      <c r="DU340" s="507"/>
      <c r="DV340" s="507"/>
      <c r="DW340" s="507"/>
      <c r="DX340" s="507"/>
      <c r="DY340" s="507"/>
      <c r="DZ340" s="507"/>
      <c r="EA340" s="507"/>
      <c r="EB340" s="507"/>
      <c r="EC340" s="507"/>
      <c r="ED340" s="507"/>
      <c r="EE340" s="507"/>
      <c r="EF340" s="507"/>
      <c r="EG340" s="507"/>
      <c r="EH340" s="507"/>
      <c r="EI340" s="507"/>
      <c r="EJ340" s="507"/>
      <c r="EK340" s="507"/>
      <c r="EL340" s="507"/>
      <c r="EM340" s="507"/>
      <c r="EN340" s="507"/>
      <c r="EO340" s="507"/>
      <c r="EP340" s="507"/>
      <c r="EQ340" s="507"/>
      <c r="ER340" s="507"/>
      <c r="ES340" s="507"/>
      <c r="ET340" s="507"/>
      <c r="EU340" s="507"/>
      <c r="EV340" s="507"/>
      <c r="EW340" s="507"/>
      <c r="EX340" s="507"/>
      <c r="EY340" s="507"/>
      <c r="EZ340" s="507"/>
      <c r="FA340" s="507"/>
      <c r="FB340" s="507"/>
      <c r="FC340" s="507"/>
      <c r="FD340" s="507"/>
      <c r="FE340" s="507"/>
      <c r="FF340" s="507"/>
      <c r="FG340" s="507"/>
      <c r="FH340" s="507"/>
      <c r="FI340" s="507"/>
      <c r="FJ340" s="507"/>
      <c r="FK340" s="507"/>
      <c r="FL340" s="507"/>
      <c r="FM340" s="507"/>
      <c r="FN340" s="507"/>
      <c r="FO340" s="507"/>
      <c r="FP340" s="507"/>
      <c r="FQ340" s="507"/>
      <c r="FR340" s="507"/>
      <c r="FS340" s="507"/>
      <c r="FT340" s="507"/>
      <c r="FU340" s="507"/>
      <c r="FV340" s="507"/>
      <c r="FW340" s="507"/>
      <c r="FX340" s="507"/>
      <c r="FY340" s="507"/>
      <c r="FZ340" s="507"/>
      <c r="GA340" s="507"/>
      <c r="GB340" s="507"/>
      <c r="GC340" s="507"/>
      <c r="GD340" s="507"/>
      <c r="GE340" s="507"/>
      <c r="GF340" s="507"/>
      <c r="GG340" s="507"/>
      <c r="GH340" s="507"/>
      <c r="GI340" s="507"/>
      <c r="GJ340" s="507"/>
      <c r="GK340" s="507"/>
      <c r="GL340" s="507"/>
      <c r="GM340" s="507"/>
      <c r="GN340" s="507"/>
      <c r="GO340" s="507"/>
      <c r="GP340" s="507"/>
      <c r="GQ340" s="507"/>
      <c r="GR340" s="507"/>
      <c r="GS340" s="507"/>
      <c r="GT340" s="507"/>
      <c r="GU340" s="507"/>
      <c r="GV340" s="507"/>
      <c r="GW340" s="507"/>
      <c r="GX340" s="507"/>
      <c r="GY340" s="507"/>
      <c r="GZ340" s="507"/>
      <c r="HA340" s="507"/>
      <c r="HB340" s="507"/>
      <c r="HC340" s="507"/>
      <c r="HD340" s="507"/>
      <c r="HE340" s="507"/>
      <c r="HF340" s="507"/>
      <c r="HG340" s="507"/>
      <c r="HH340" s="507"/>
      <c r="HI340" s="507"/>
      <c r="HJ340" s="507"/>
      <c r="HK340" s="507"/>
      <c r="HL340" s="507"/>
      <c r="HM340" s="507"/>
      <c r="HN340" s="507"/>
      <c r="HO340" s="507"/>
      <c r="HP340" s="507"/>
      <c r="HQ340" s="507"/>
      <c r="HR340" s="507"/>
      <c r="HS340" s="507"/>
      <c r="HT340" s="507"/>
      <c r="HU340" s="507"/>
      <c r="HV340" s="507"/>
      <c r="HW340" s="507"/>
      <c r="HX340" s="507"/>
      <c r="HY340" s="507"/>
      <c r="HZ340" s="507"/>
    </row>
    <row r="341" spans="1:234" s="206" customFormat="1" ht="13.5" hidden="1" customHeight="1" x14ac:dyDescent="0.25">
      <c r="A341" s="541" t="s">
        <v>2217</v>
      </c>
      <c r="B341" s="523" t="s">
        <v>2216</v>
      </c>
      <c r="C341" s="524" t="s">
        <v>2215</v>
      </c>
      <c r="D341" s="551" t="s">
        <v>826</v>
      </c>
      <c r="E341" s="569" t="s">
        <v>3228</v>
      </c>
      <c r="F341" s="543">
        <v>40793</v>
      </c>
      <c r="G341" s="544">
        <v>40725</v>
      </c>
      <c r="H341" s="544">
        <v>40786</v>
      </c>
      <c r="I341" s="616">
        <v>42094</v>
      </c>
      <c r="J341" s="579">
        <v>10</v>
      </c>
      <c r="K341" s="553" t="s">
        <v>3229</v>
      </c>
      <c r="L341" s="552" t="s">
        <v>3229</v>
      </c>
      <c r="M341" s="560">
        <v>0</v>
      </c>
      <c r="N341" s="606">
        <v>0.8</v>
      </c>
      <c r="O341" s="613" t="s">
        <v>3229</v>
      </c>
      <c r="P341" s="575" t="s">
        <v>3229</v>
      </c>
      <c r="Q341" s="575" t="s">
        <v>3229</v>
      </c>
      <c r="R341" s="575" t="s">
        <v>3229</v>
      </c>
      <c r="S341" s="570"/>
      <c r="T341" s="617" t="s">
        <v>3229</v>
      </c>
      <c r="U341" s="563" t="s">
        <v>3229</v>
      </c>
      <c r="V341" s="563" t="s">
        <v>3229</v>
      </c>
      <c r="W341" s="563" t="s">
        <v>3229</v>
      </c>
      <c r="X341" s="563" t="s">
        <v>3229</v>
      </c>
      <c r="Y341" s="598" t="s">
        <v>3229</v>
      </c>
      <c r="Z341" s="598" t="s">
        <v>3229</v>
      </c>
      <c r="AA341" s="598" t="s">
        <v>3229</v>
      </c>
      <c r="AB341" s="598" t="s">
        <v>3229</v>
      </c>
      <c r="AC341" s="598" t="s">
        <v>3229</v>
      </c>
      <c r="AD341" s="598" t="s">
        <v>3229</v>
      </c>
      <c r="AE341" s="598" t="s">
        <v>3229</v>
      </c>
      <c r="AF341" s="3764" t="s">
        <v>781</v>
      </c>
      <c r="AG341" s="3765"/>
      <c r="AH341" s="1301" t="s">
        <v>3229</v>
      </c>
      <c r="AI341" s="1301" t="s">
        <v>3229</v>
      </c>
      <c r="AJ341" s="1301" t="s">
        <v>3229</v>
      </c>
      <c r="AK341" s="530" t="s">
        <v>3229</v>
      </c>
      <c r="AL341" s="530" t="s">
        <v>3229</v>
      </c>
      <c r="AM341" s="659">
        <v>1</v>
      </c>
      <c r="AN341" s="638">
        <f>'klikací hodnoty'!F10122</f>
        <v>0.17621520000000002</v>
      </c>
      <c r="AO341" s="625">
        <v>10.76</v>
      </c>
      <c r="AP341" s="688">
        <f>'klikací hodnoty'!E10121</f>
        <v>0.22026899999999999</v>
      </c>
      <c r="AQ341" s="606">
        <f>'klikací hodnoty'!F10104</f>
        <v>0.44424853520008456</v>
      </c>
      <c r="AR341" s="600" t="s">
        <v>3660</v>
      </c>
      <c r="AS341" s="548"/>
      <c r="AT341" s="548"/>
      <c r="AU341" s="549"/>
      <c r="AV341" s="558">
        <v>0.17630000000000001</v>
      </c>
      <c r="AW341" s="558">
        <f t="shared" si="74"/>
        <v>4.6608104280362994E-2</v>
      </c>
      <c r="AX341" s="589"/>
      <c r="AY341" s="587"/>
      <c r="AZ341" s="676">
        <f t="shared" si="73"/>
        <v>11.762999999999998</v>
      </c>
      <c r="BA341" s="581" t="s">
        <v>574</v>
      </c>
      <c r="BB341" s="570"/>
      <c r="BC341" s="581"/>
      <c r="BD341" s="3691"/>
      <c r="BE341" s="3743"/>
      <c r="BF341" s="3743"/>
      <c r="BG341" s="3708"/>
      <c r="BH341" s="3762"/>
      <c r="BI341" s="3762"/>
      <c r="BJ341" s="39"/>
      <c r="BK341" s="39"/>
      <c r="BL341" s="39"/>
      <c r="BM341" s="39"/>
      <c r="BN341" s="39"/>
      <c r="BO341" s="39"/>
      <c r="BP341" s="39"/>
      <c r="BQ341" s="39"/>
      <c r="BR341" s="39"/>
      <c r="BS341" s="507"/>
      <c r="BT341" s="507"/>
      <c r="BU341" s="507"/>
      <c r="BV341" s="507"/>
      <c r="BW341" s="507"/>
      <c r="BX341" s="507"/>
      <c r="BY341" s="507"/>
      <c r="BZ341" s="507"/>
      <c r="CA341" s="507"/>
      <c r="CB341" s="507"/>
      <c r="CC341" s="507"/>
      <c r="CD341" s="507"/>
      <c r="CE341" s="507"/>
      <c r="CF341" s="507"/>
      <c r="CG341" s="507"/>
      <c r="CH341" s="507"/>
      <c r="CI341" s="507"/>
      <c r="CJ341" s="507"/>
      <c r="CK341" s="507"/>
      <c r="CL341" s="507"/>
      <c r="CM341" s="507"/>
      <c r="CN341" s="507"/>
      <c r="CO341" s="507"/>
      <c r="CP341" s="507"/>
      <c r="CQ341" s="507"/>
      <c r="CR341" s="507"/>
      <c r="CS341" s="507"/>
      <c r="CT341" s="507"/>
      <c r="CU341" s="507"/>
      <c r="CV341" s="507"/>
      <c r="CW341" s="507"/>
      <c r="CX341" s="507"/>
      <c r="CY341" s="507"/>
      <c r="CZ341" s="507"/>
      <c r="DA341" s="507"/>
      <c r="DB341" s="507"/>
      <c r="DC341" s="507"/>
      <c r="DD341" s="507"/>
      <c r="DE341" s="507"/>
      <c r="DF341" s="507"/>
      <c r="DG341" s="507"/>
      <c r="DH341" s="507"/>
      <c r="DI341" s="507"/>
      <c r="DJ341" s="507"/>
      <c r="DK341" s="507"/>
      <c r="DL341" s="507"/>
      <c r="DM341" s="507"/>
      <c r="DN341" s="507"/>
      <c r="DO341" s="507"/>
      <c r="DP341" s="507"/>
      <c r="DQ341" s="507"/>
      <c r="DR341" s="507"/>
      <c r="DS341" s="507"/>
      <c r="DT341" s="507"/>
      <c r="DU341" s="507"/>
      <c r="DV341" s="507"/>
      <c r="DW341" s="507"/>
      <c r="DX341" s="507"/>
      <c r="DY341" s="507"/>
      <c r="DZ341" s="507"/>
      <c r="EA341" s="507"/>
      <c r="EB341" s="507"/>
      <c r="EC341" s="507"/>
      <c r="ED341" s="507"/>
      <c r="EE341" s="507"/>
      <c r="EF341" s="507"/>
      <c r="EG341" s="507"/>
      <c r="EH341" s="507"/>
      <c r="EI341" s="507"/>
      <c r="EJ341" s="507"/>
      <c r="EK341" s="507"/>
      <c r="EL341" s="507"/>
      <c r="EM341" s="507"/>
      <c r="EN341" s="507"/>
      <c r="EO341" s="507"/>
      <c r="EP341" s="507"/>
      <c r="EQ341" s="507"/>
      <c r="ER341" s="507"/>
      <c r="ES341" s="507"/>
      <c r="ET341" s="507"/>
      <c r="EU341" s="507"/>
      <c r="EV341" s="507"/>
      <c r="EW341" s="507"/>
      <c r="EX341" s="507"/>
      <c r="EY341" s="507"/>
      <c r="EZ341" s="507"/>
      <c r="FA341" s="507"/>
      <c r="FB341" s="507"/>
      <c r="FC341" s="507"/>
      <c r="FD341" s="507"/>
      <c r="FE341" s="507"/>
      <c r="FF341" s="507"/>
      <c r="FG341" s="507"/>
      <c r="FH341" s="507"/>
      <c r="FI341" s="507"/>
      <c r="FJ341" s="507"/>
      <c r="FK341" s="507"/>
      <c r="FL341" s="507"/>
      <c r="FM341" s="507"/>
      <c r="FN341" s="507"/>
      <c r="FO341" s="507"/>
      <c r="FP341" s="507"/>
      <c r="FQ341" s="507"/>
      <c r="FR341" s="507"/>
      <c r="FS341" s="507"/>
      <c r="FT341" s="507"/>
      <c r="FU341" s="507"/>
      <c r="FV341" s="507"/>
      <c r="FW341" s="507"/>
      <c r="FX341" s="507"/>
      <c r="FY341" s="507"/>
      <c r="FZ341" s="507"/>
      <c r="GA341" s="507"/>
      <c r="GB341" s="507"/>
      <c r="GC341" s="507"/>
      <c r="GD341" s="507"/>
      <c r="GE341" s="507"/>
      <c r="GF341" s="507"/>
      <c r="GG341" s="507"/>
      <c r="GH341" s="507"/>
      <c r="GI341" s="507"/>
      <c r="GJ341" s="507"/>
      <c r="GK341" s="507"/>
      <c r="GL341" s="507"/>
      <c r="GM341" s="507"/>
      <c r="GN341" s="507"/>
      <c r="GO341" s="507"/>
      <c r="GP341" s="507"/>
      <c r="GQ341" s="507"/>
      <c r="GR341" s="507"/>
      <c r="GS341" s="507"/>
      <c r="GT341" s="507"/>
      <c r="GU341" s="507"/>
      <c r="GV341" s="507"/>
      <c r="GW341" s="507"/>
      <c r="GX341" s="507"/>
      <c r="GY341" s="507"/>
      <c r="GZ341" s="507"/>
      <c r="HA341" s="507"/>
      <c r="HB341" s="507"/>
      <c r="HC341" s="507"/>
      <c r="HD341" s="507"/>
      <c r="HE341" s="507"/>
      <c r="HF341" s="507"/>
      <c r="HG341" s="507"/>
      <c r="HH341" s="507"/>
      <c r="HI341" s="507"/>
      <c r="HJ341" s="507"/>
      <c r="HK341" s="507"/>
      <c r="HL341" s="507"/>
      <c r="HM341" s="507"/>
      <c r="HN341" s="507"/>
      <c r="HO341" s="507"/>
      <c r="HP341" s="507"/>
      <c r="HQ341" s="507"/>
      <c r="HR341" s="507"/>
      <c r="HS341" s="507"/>
      <c r="HT341" s="507"/>
      <c r="HU341" s="507"/>
      <c r="HV341" s="507"/>
      <c r="HW341" s="507"/>
      <c r="HX341" s="507"/>
      <c r="HY341" s="507"/>
      <c r="HZ341" s="507"/>
    </row>
    <row r="342" spans="1:234" s="206" customFormat="1" ht="13.5" hidden="1" customHeight="1" x14ac:dyDescent="0.25">
      <c r="A342" s="541" t="s">
        <v>2218</v>
      </c>
      <c r="B342" s="523" t="s">
        <v>2219</v>
      </c>
      <c r="C342" s="524" t="s">
        <v>1434</v>
      </c>
      <c r="D342" s="551" t="s">
        <v>2301</v>
      </c>
      <c r="E342" s="569" t="s">
        <v>3228</v>
      </c>
      <c r="F342" s="543">
        <v>40765</v>
      </c>
      <c r="G342" s="544">
        <v>40725</v>
      </c>
      <c r="H342" s="544">
        <v>40758</v>
      </c>
      <c r="I342" s="616">
        <v>42613</v>
      </c>
      <c r="J342" s="579">
        <v>100</v>
      </c>
      <c r="K342" s="553" t="s">
        <v>3229</v>
      </c>
      <c r="L342" s="552" t="s">
        <v>3229</v>
      </c>
      <c r="M342" s="560">
        <v>0.1444</v>
      </c>
      <c r="N342" s="606" t="s">
        <v>3229</v>
      </c>
      <c r="O342" s="613">
        <v>0.1444</v>
      </c>
      <c r="P342" s="575" t="s">
        <v>3229</v>
      </c>
      <c r="Q342" s="575" t="s">
        <v>3229</v>
      </c>
      <c r="R342" s="575" t="s">
        <v>3229</v>
      </c>
      <c r="S342" s="570"/>
      <c r="T342" s="617" t="s">
        <v>3229</v>
      </c>
      <c r="U342" s="563" t="s">
        <v>3229</v>
      </c>
      <c r="V342" s="563" t="s">
        <v>3229</v>
      </c>
      <c r="W342" s="563" t="s">
        <v>3229</v>
      </c>
      <c r="X342" s="563" t="s">
        <v>3229</v>
      </c>
      <c r="Y342" s="598" t="s">
        <v>3229</v>
      </c>
      <c r="Z342" s="598" t="s">
        <v>3229</v>
      </c>
      <c r="AA342" s="598" t="s">
        <v>3229</v>
      </c>
      <c r="AB342" s="598" t="s">
        <v>3229</v>
      </c>
      <c r="AC342" s="598" t="s">
        <v>3229</v>
      </c>
      <c r="AD342" s="598" t="s">
        <v>3229</v>
      </c>
      <c r="AE342" s="598" t="s">
        <v>3229</v>
      </c>
      <c r="AF342" s="3764" t="s">
        <v>781</v>
      </c>
      <c r="AG342" s="3765"/>
      <c r="AH342" s="1301" t="s">
        <v>3229</v>
      </c>
      <c r="AI342" s="1301" t="s">
        <v>3229</v>
      </c>
      <c r="AJ342" s="1301" t="s">
        <v>3229</v>
      </c>
      <c r="AK342" s="530" t="s">
        <v>3229</v>
      </c>
      <c r="AL342" s="530" t="s">
        <v>3229</v>
      </c>
      <c r="AM342" s="659">
        <v>1</v>
      </c>
      <c r="AN342" s="638" t="s">
        <v>3229</v>
      </c>
      <c r="AO342" s="625">
        <v>115.7</v>
      </c>
      <c r="AP342" s="1368" t="s">
        <v>3229</v>
      </c>
      <c r="AQ342" s="606" t="s">
        <v>3229</v>
      </c>
      <c r="AR342" s="3764">
        <f>O342</f>
        <v>0.1444</v>
      </c>
      <c r="AS342" s="3771">
        <f t="shared" ref="AS342:AS358" si="77">POWER(1+AR342,1/((I342-F342)/365))-1</f>
        <v>2.6998381482484568E-2</v>
      </c>
      <c r="AT342" s="3771">
        <f t="shared" ref="AT342:AT358" si="78">J342*(1+AR342)/AO342-1</f>
        <v>-1.0890233362143342E-2</v>
      </c>
      <c r="AU342" s="3772" t="e">
        <f t="shared" ref="AU342:AU358" si="79">POWER(1+AT342,1/AG342)-1</f>
        <v>#DIV/0!</v>
      </c>
      <c r="AV342" s="558">
        <f t="shared" ref="AV342:AV404" si="80">M342</f>
        <v>0.1444</v>
      </c>
      <c r="AW342" s="558">
        <f t="shared" si="74"/>
        <v>2.6998381482484568E-2</v>
      </c>
      <c r="AX342" s="589">
        <f t="shared" ref="AX342:AX364" si="81">J342*(1+AV342)/AO342-1</f>
        <v>-1.0890233362143342E-2</v>
      </c>
      <c r="AY342" s="587" t="e">
        <f t="shared" ref="AY342:AY364" si="82">POWER(1+AX342,1/AG342)-1</f>
        <v>#DIV/0!</v>
      </c>
      <c r="AZ342" s="676">
        <f t="shared" si="73"/>
        <v>114.44000000000001</v>
      </c>
      <c r="BA342" s="581" t="s">
        <v>4484</v>
      </c>
      <c r="BB342" s="570"/>
      <c r="BC342" s="581"/>
      <c r="BD342" s="3691"/>
      <c r="BE342" s="3743"/>
      <c r="BF342" s="3743"/>
      <c r="BG342" s="3708"/>
      <c r="BH342" s="3762"/>
      <c r="BI342" s="3762"/>
      <c r="BJ342" s="39"/>
      <c r="BK342" s="39"/>
      <c r="BL342" s="39"/>
      <c r="BM342" s="39"/>
      <c r="BN342" s="39"/>
      <c r="BO342" s="39"/>
      <c r="BP342" s="39"/>
      <c r="BQ342" s="39"/>
      <c r="BR342" s="39"/>
      <c r="BS342" s="507"/>
      <c r="BT342" s="507"/>
      <c r="BU342" s="507"/>
      <c r="BV342" s="507"/>
      <c r="BW342" s="507"/>
      <c r="BX342" s="507"/>
      <c r="BY342" s="507"/>
      <c r="BZ342" s="507"/>
      <c r="CA342" s="507"/>
      <c r="CB342" s="507"/>
      <c r="CC342" s="507"/>
      <c r="CD342" s="507"/>
      <c r="CE342" s="507"/>
      <c r="CF342" s="507"/>
      <c r="CG342" s="507"/>
      <c r="CH342" s="507"/>
      <c r="CI342" s="507"/>
      <c r="CJ342" s="507"/>
      <c r="CK342" s="507"/>
      <c r="CL342" s="507"/>
      <c r="CM342" s="507"/>
      <c r="CN342" s="507"/>
      <c r="CO342" s="507"/>
      <c r="CP342" s="507"/>
      <c r="CQ342" s="507"/>
      <c r="CR342" s="507"/>
      <c r="CS342" s="507"/>
      <c r="CT342" s="507"/>
      <c r="CU342" s="507"/>
      <c r="CV342" s="507"/>
      <c r="CW342" s="507"/>
      <c r="CX342" s="507"/>
      <c r="CY342" s="507"/>
      <c r="CZ342" s="507"/>
      <c r="DA342" s="507"/>
      <c r="DB342" s="507"/>
      <c r="DC342" s="507"/>
      <c r="DD342" s="507"/>
      <c r="DE342" s="507"/>
      <c r="DF342" s="507"/>
      <c r="DG342" s="507"/>
      <c r="DH342" s="507"/>
      <c r="DI342" s="507"/>
      <c r="DJ342" s="507"/>
      <c r="DK342" s="507"/>
      <c r="DL342" s="507"/>
      <c r="DM342" s="507"/>
      <c r="DN342" s="507"/>
      <c r="DO342" s="507"/>
      <c r="DP342" s="507"/>
      <c r="DQ342" s="507"/>
      <c r="DR342" s="507"/>
      <c r="DS342" s="507"/>
      <c r="DT342" s="507"/>
      <c r="DU342" s="507"/>
      <c r="DV342" s="507"/>
      <c r="DW342" s="507"/>
      <c r="DX342" s="507"/>
      <c r="DY342" s="507"/>
      <c r="DZ342" s="507"/>
      <c r="EA342" s="507"/>
      <c r="EB342" s="507"/>
      <c r="EC342" s="507"/>
      <c r="ED342" s="507"/>
      <c r="EE342" s="507"/>
      <c r="EF342" s="507"/>
      <c r="EG342" s="507"/>
      <c r="EH342" s="507"/>
      <c r="EI342" s="507"/>
      <c r="EJ342" s="507"/>
      <c r="EK342" s="507"/>
      <c r="EL342" s="507"/>
      <c r="EM342" s="507"/>
      <c r="EN342" s="507"/>
      <c r="EO342" s="507"/>
      <c r="EP342" s="507"/>
      <c r="EQ342" s="507"/>
      <c r="ER342" s="507"/>
      <c r="ES342" s="507"/>
      <c r="ET342" s="507"/>
      <c r="EU342" s="507"/>
      <c r="EV342" s="507"/>
      <c r="EW342" s="507"/>
      <c r="EX342" s="507"/>
      <c r="EY342" s="507"/>
      <c r="EZ342" s="507"/>
      <c r="FA342" s="507"/>
      <c r="FB342" s="507"/>
      <c r="FC342" s="507"/>
      <c r="FD342" s="507"/>
      <c r="FE342" s="507"/>
      <c r="FF342" s="507"/>
      <c r="FG342" s="507"/>
      <c r="FH342" s="507"/>
      <c r="FI342" s="507"/>
      <c r="FJ342" s="507"/>
      <c r="FK342" s="507"/>
      <c r="FL342" s="507"/>
      <c r="FM342" s="507"/>
      <c r="FN342" s="507"/>
      <c r="FO342" s="507"/>
      <c r="FP342" s="507"/>
      <c r="FQ342" s="507"/>
      <c r="FR342" s="507"/>
      <c r="FS342" s="507"/>
      <c r="FT342" s="507"/>
      <c r="FU342" s="507"/>
      <c r="FV342" s="507"/>
      <c r="FW342" s="507"/>
      <c r="FX342" s="507"/>
      <c r="FY342" s="507"/>
      <c r="FZ342" s="507"/>
      <c r="GA342" s="507"/>
      <c r="GB342" s="507"/>
      <c r="GC342" s="507"/>
      <c r="GD342" s="507"/>
      <c r="GE342" s="507"/>
      <c r="GF342" s="507"/>
      <c r="GG342" s="507"/>
      <c r="GH342" s="507"/>
      <c r="GI342" s="507"/>
      <c r="GJ342" s="507"/>
      <c r="GK342" s="507"/>
      <c r="GL342" s="507"/>
      <c r="GM342" s="507"/>
      <c r="GN342" s="507"/>
      <c r="GO342" s="507"/>
      <c r="GP342" s="507"/>
      <c r="GQ342" s="507"/>
      <c r="GR342" s="507"/>
      <c r="GS342" s="507"/>
      <c r="GT342" s="507"/>
      <c r="GU342" s="507"/>
      <c r="GV342" s="507"/>
      <c r="GW342" s="507"/>
      <c r="GX342" s="507"/>
      <c r="GY342" s="507"/>
      <c r="GZ342" s="507"/>
      <c r="HA342" s="507"/>
      <c r="HB342" s="507"/>
      <c r="HC342" s="507"/>
      <c r="HD342" s="507"/>
      <c r="HE342" s="507"/>
      <c r="HF342" s="507"/>
      <c r="HG342" s="507"/>
      <c r="HH342" s="507"/>
      <c r="HI342" s="507"/>
      <c r="HJ342" s="507"/>
      <c r="HK342" s="507"/>
      <c r="HL342" s="507"/>
      <c r="HM342" s="507"/>
      <c r="HN342" s="507"/>
      <c r="HO342" s="507"/>
      <c r="HP342" s="507"/>
      <c r="HQ342" s="507"/>
      <c r="HR342" s="507"/>
      <c r="HS342" s="507"/>
      <c r="HT342" s="507"/>
      <c r="HU342" s="507"/>
      <c r="HV342" s="507"/>
      <c r="HW342" s="507"/>
      <c r="HX342" s="507"/>
      <c r="HY342" s="507"/>
      <c r="HZ342" s="507"/>
    </row>
    <row r="343" spans="1:234" s="206" customFormat="1" ht="13.5" hidden="1" customHeight="1" x14ac:dyDescent="0.25">
      <c r="A343" s="541" t="s">
        <v>2220</v>
      </c>
      <c r="B343" s="523" t="s">
        <v>2221</v>
      </c>
      <c r="C343" s="524" t="s">
        <v>2222</v>
      </c>
      <c r="D343" s="551" t="s">
        <v>4384</v>
      </c>
      <c r="E343" s="569" t="s">
        <v>3228</v>
      </c>
      <c r="F343" s="543">
        <v>40779</v>
      </c>
      <c r="G343" s="544">
        <v>40721</v>
      </c>
      <c r="H343" s="544">
        <v>40767</v>
      </c>
      <c r="I343" s="616">
        <v>41152</v>
      </c>
      <c r="J343" s="579">
        <v>10</v>
      </c>
      <c r="K343" s="553" t="s">
        <v>3229</v>
      </c>
      <c r="L343" s="552" t="s">
        <v>3229</v>
      </c>
      <c r="M343" s="560">
        <v>-1</v>
      </c>
      <c r="N343" s="606" t="s">
        <v>3229</v>
      </c>
      <c r="O343" s="613">
        <v>0.5</v>
      </c>
      <c r="P343" s="575" t="s">
        <v>3229</v>
      </c>
      <c r="Q343" s="575" t="s">
        <v>3229</v>
      </c>
      <c r="R343" s="575" t="s">
        <v>3229</v>
      </c>
      <c r="S343" s="570">
        <v>5</v>
      </c>
      <c r="T343" s="617">
        <v>41122</v>
      </c>
      <c r="U343" s="563">
        <v>41487</v>
      </c>
      <c r="V343" s="563">
        <v>41852</v>
      </c>
      <c r="W343" s="563">
        <v>42217</v>
      </c>
      <c r="X343" s="563">
        <v>42583</v>
      </c>
      <c r="Y343" s="598" t="s">
        <v>3229</v>
      </c>
      <c r="Z343" s="598" t="s">
        <v>3229</v>
      </c>
      <c r="AA343" s="598" t="s">
        <v>3229</v>
      </c>
      <c r="AB343" s="598" t="s">
        <v>3229</v>
      </c>
      <c r="AC343" s="598" t="s">
        <v>3229</v>
      </c>
      <c r="AD343" s="598" t="s">
        <v>3229</v>
      </c>
      <c r="AE343" s="598" t="s">
        <v>3229</v>
      </c>
      <c r="AF343" s="3764" t="s">
        <v>781</v>
      </c>
      <c r="AG343" s="3765"/>
      <c r="AH343" s="1301">
        <v>1</v>
      </c>
      <c r="AI343" s="1301" t="s">
        <v>3229</v>
      </c>
      <c r="AJ343" s="1301" t="s">
        <v>3229</v>
      </c>
      <c r="AK343" s="530" t="s">
        <v>3229</v>
      </c>
      <c r="AL343" s="530" t="s">
        <v>3229</v>
      </c>
      <c r="AM343" s="659" t="s">
        <v>3229</v>
      </c>
      <c r="AN343" s="638"/>
      <c r="AO343" s="625">
        <v>10.51</v>
      </c>
      <c r="AP343" s="688">
        <f>AQ343</f>
        <v>6.1541061533869845E-2</v>
      </c>
      <c r="AQ343" s="606">
        <f>'klikací hodnoty'!F10195</f>
        <v>6.1541061533869845E-2</v>
      </c>
      <c r="AR343" s="600">
        <f>O343</f>
        <v>0.5</v>
      </c>
      <c r="AS343" s="548">
        <f t="shared" si="77"/>
        <v>0.48701210131974082</v>
      </c>
      <c r="AT343" s="548">
        <f t="shared" si="78"/>
        <v>0.42721217887725982</v>
      </c>
      <c r="AU343" s="549" t="e">
        <f t="shared" si="79"/>
        <v>#DIV/0!</v>
      </c>
      <c r="AV343" s="558">
        <f t="shared" si="80"/>
        <v>-1</v>
      </c>
      <c r="AW343" s="558">
        <f t="shared" si="74"/>
        <v>-1</v>
      </c>
      <c r="AX343" s="589">
        <f t="shared" si="81"/>
        <v>-1</v>
      </c>
      <c r="AY343" s="587" t="e">
        <f t="shared" si="82"/>
        <v>#DIV/0!</v>
      </c>
      <c r="AZ343" s="676">
        <f t="shared" si="73"/>
        <v>0</v>
      </c>
      <c r="BA343" s="581" t="s">
        <v>3479</v>
      </c>
      <c r="BB343" s="570"/>
      <c r="BC343" s="581"/>
      <c r="BD343" s="3691"/>
      <c r="BE343" s="3743"/>
      <c r="BF343" s="3743"/>
      <c r="BG343" s="3708"/>
      <c r="BH343" s="3762"/>
      <c r="BI343" s="3762"/>
      <c r="BJ343" s="39"/>
      <c r="BK343" s="39"/>
      <c r="BL343" s="39"/>
      <c r="BM343" s="39"/>
      <c r="BN343" s="39"/>
      <c r="BO343" s="39"/>
      <c r="BP343" s="39"/>
      <c r="BQ343" s="39"/>
      <c r="BR343" s="39"/>
      <c r="BS343" s="507"/>
      <c r="BT343" s="507"/>
      <c r="BU343" s="507"/>
      <c r="BV343" s="507"/>
      <c r="BW343" s="507"/>
      <c r="BX343" s="507"/>
      <c r="BY343" s="507"/>
      <c r="BZ343" s="507"/>
      <c r="CA343" s="507"/>
      <c r="CB343" s="507"/>
      <c r="CC343" s="507"/>
      <c r="CD343" s="507"/>
      <c r="CE343" s="507"/>
      <c r="CF343" s="507"/>
      <c r="CG343" s="507"/>
      <c r="CH343" s="507"/>
      <c r="CI343" s="507"/>
      <c r="CJ343" s="507"/>
      <c r="CK343" s="507"/>
      <c r="CL343" s="507"/>
      <c r="CM343" s="507"/>
      <c r="CN343" s="507"/>
      <c r="CO343" s="507"/>
      <c r="CP343" s="507"/>
      <c r="CQ343" s="507"/>
      <c r="CR343" s="507"/>
      <c r="CS343" s="507"/>
      <c r="CT343" s="507"/>
      <c r="CU343" s="507"/>
      <c r="CV343" s="507"/>
      <c r="CW343" s="507"/>
      <c r="CX343" s="507"/>
      <c r="CY343" s="507"/>
      <c r="CZ343" s="507"/>
      <c r="DA343" s="507"/>
      <c r="DB343" s="507"/>
      <c r="DC343" s="507"/>
      <c r="DD343" s="507"/>
      <c r="DE343" s="507"/>
      <c r="DF343" s="507"/>
      <c r="DG343" s="507"/>
      <c r="DH343" s="507"/>
      <c r="DI343" s="507"/>
      <c r="DJ343" s="507"/>
      <c r="DK343" s="507"/>
      <c r="DL343" s="507"/>
      <c r="DM343" s="507"/>
      <c r="DN343" s="507"/>
      <c r="DO343" s="507"/>
      <c r="DP343" s="507"/>
      <c r="DQ343" s="507"/>
      <c r="DR343" s="507"/>
      <c r="DS343" s="507"/>
      <c r="DT343" s="507"/>
      <c r="DU343" s="507"/>
      <c r="DV343" s="507"/>
      <c r="DW343" s="507"/>
      <c r="DX343" s="507"/>
      <c r="DY343" s="507"/>
      <c r="DZ343" s="507"/>
      <c r="EA343" s="507"/>
      <c r="EB343" s="507"/>
      <c r="EC343" s="507"/>
      <c r="ED343" s="507"/>
      <c r="EE343" s="507"/>
      <c r="EF343" s="507"/>
      <c r="EG343" s="507"/>
      <c r="EH343" s="507"/>
      <c r="EI343" s="507"/>
      <c r="EJ343" s="507"/>
      <c r="EK343" s="507"/>
      <c r="EL343" s="507"/>
      <c r="EM343" s="507"/>
      <c r="EN343" s="507"/>
      <c r="EO343" s="507"/>
      <c r="EP343" s="507"/>
      <c r="EQ343" s="507"/>
      <c r="ER343" s="507"/>
      <c r="ES343" s="507"/>
      <c r="ET343" s="507"/>
      <c r="EU343" s="507"/>
      <c r="EV343" s="507"/>
      <c r="EW343" s="507"/>
      <c r="EX343" s="507"/>
      <c r="EY343" s="507"/>
      <c r="EZ343" s="507"/>
      <c r="FA343" s="507"/>
      <c r="FB343" s="507"/>
      <c r="FC343" s="507"/>
      <c r="FD343" s="507"/>
      <c r="FE343" s="507"/>
      <c r="FF343" s="507"/>
      <c r="FG343" s="507"/>
      <c r="FH343" s="507"/>
      <c r="FI343" s="507"/>
      <c r="FJ343" s="507"/>
      <c r="FK343" s="507"/>
      <c r="FL343" s="507"/>
      <c r="FM343" s="507"/>
      <c r="FN343" s="507"/>
      <c r="FO343" s="507"/>
      <c r="FP343" s="507"/>
      <c r="FQ343" s="507"/>
      <c r="FR343" s="507"/>
      <c r="FS343" s="507"/>
      <c r="FT343" s="507"/>
      <c r="FU343" s="507"/>
      <c r="FV343" s="507"/>
      <c r="FW343" s="507"/>
      <c r="FX343" s="507"/>
      <c r="FY343" s="507"/>
      <c r="FZ343" s="507"/>
      <c r="GA343" s="507"/>
      <c r="GB343" s="507"/>
      <c r="GC343" s="507"/>
      <c r="GD343" s="507"/>
      <c r="GE343" s="507"/>
      <c r="GF343" s="507"/>
      <c r="GG343" s="507"/>
      <c r="GH343" s="507"/>
      <c r="GI343" s="507"/>
      <c r="GJ343" s="507"/>
      <c r="GK343" s="507"/>
      <c r="GL343" s="507"/>
      <c r="GM343" s="507"/>
      <c r="GN343" s="507"/>
      <c r="GO343" s="507"/>
      <c r="GP343" s="507"/>
      <c r="GQ343" s="507"/>
      <c r="GR343" s="507"/>
      <c r="GS343" s="507"/>
      <c r="GT343" s="507"/>
      <c r="GU343" s="507"/>
      <c r="GV343" s="507"/>
      <c r="GW343" s="507"/>
      <c r="GX343" s="507"/>
      <c r="GY343" s="507"/>
      <c r="GZ343" s="507"/>
      <c r="HA343" s="507"/>
      <c r="HB343" s="507"/>
      <c r="HC343" s="507"/>
      <c r="HD343" s="507"/>
      <c r="HE343" s="507"/>
      <c r="HF343" s="507"/>
      <c r="HG343" s="507"/>
      <c r="HH343" s="507"/>
      <c r="HI343" s="507"/>
      <c r="HJ343" s="507"/>
      <c r="HK343" s="507"/>
      <c r="HL343" s="507"/>
      <c r="HM343" s="507"/>
      <c r="HN343" s="507"/>
      <c r="HO343" s="507"/>
      <c r="HP343" s="507"/>
      <c r="HQ343" s="507"/>
      <c r="HR343" s="507"/>
      <c r="HS343" s="507"/>
      <c r="HT343" s="507"/>
      <c r="HU343" s="507"/>
      <c r="HV343" s="507"/>
      <c r="HW343" s="507"/>
      <c r="HX343" s="507"/>
      <c r="HY343" s="507"/>
      <c r="HZ343" s="507"/>
    </row>
    <row r="344" spans="1:234" s="206" customFormat="1" ht="13.5" hidden="1" customHeight="1" x14ac:dyDescent="0.25">
      <c r="A344" s="541" t="s">
        <v>1009</v>
      </c>
      <c r="B344" s="523" t="s">
        <v>1010</v>
      </c>
      <c r="C344" s="524" t="s">
        <v>1011</v>
      </c>
      <c r="D344" s="551" t="s">
        <v>2302</v>
      </c>
      <c r="E344" s="569" t="s">
        <v>3228</v>
      </c>
      <c r="F344" s="543">
        <v>40798</v>
      </c>
      <c r="G344" s="544">
        <v>40725</v>
      </c>
      <c r="H344" s="544">
        <v>40786</v>
      </c>
      <c r="I344" s="616">
        <v>42825</v>
      </c>
      <c r="J344" s="579">
        <v>10</v>
      </c>
      <c r="K344" s="553" t="s">
        <v>3229</v>
      </c>
      <c r="L344" s="552" t="s">
        <v>3229</v>
      </c>
      <c r="M344" s="560">
        <v>0</v>
      </c>
      <c r="N344" s="606">
        <v>0.7</v>
      </c>
      <c r="O344" s="613"/>
      <c r="P344" s="575" t="s">
        <v>3229</v>
      </c>
      <c r="Q344" s="575"/>
      <c r="R344" s="575" t="s">
        <v>3229</v>
      </c>
      <c r="S344" s="570"/>
      <c r="T344" s="617" t="s">
        <v>3229</v>
      </c>
      <c r="U344" s="563" t="s">
        <v>3229</v>
      </c>
      <c r="V344" s="563" t="s">
        <v>3229</v>
      </c>
      <c r="W344" s="563" t="s">
        <v>3229</v>
      </c>
      <c r="X344" s="563" t="s">
        <v>3229</v>
      </c>
      <c r="Y344" s="598" t="s">
        <v>3229</v>
      </c>
      <c r="Z344" s="598" t="s">
        <v>3229</v>
      </c>
      <c r="AA344" s="598" t="s">
        <v>3229</v>
      </c>
      <c r="AB344" s="598" t="s">
        <v>3229</v>
      </c>
      <c r="AC344" s="598" t="s">
        <v>3229</v>
      </c>
      <c r="AD344" s="598" t="s">
        <v>3229</v>
      </c>
      <c r="AE344" s="598" t="s">
        <v>3229</v>
      </c>
      <c r="AF344" s="3764" t="s">
        <v>781</v>
      </c>
      <c r="AG344" s="3765"/>
      <c r="AH344" s="1301" t="s">
        <v>3229</v>
      </c>
      <c r="AI344" s="1301" t="s">
        <v>3229</v>
      </c>
      <c r="AJ344" s="1301" t="s">
        <v>3229</v>
      </c>
      <c r="AK344" s="530" t="s">
        <v>3229</v>
      </c>
      <c r="AL344" s="530" t="s">
        <v>3229</v>
      </c>
      <c r="AM344" s="659">
        <v>1</v>
      </c>
      <c r="AN344" s="638">
        <f>'klikací hodnoty'!F10192</f>
        <v>0.33581173888888893</v>
      </c>
      <c r="AO344" s="625">
        <v>13.36</v>
      </c>
      <c r="AP344" s="688">
        <f>'klikací hodnoty'!L10189</f>
        <v>0.47973105555555562</v>
      </c>
      <c r="AQ344" s="606">
        <f>'klikací hodnoty'!F10191</f>
        <v>0.45043933946232578</v>
      </c>
      <c r="AR344" s="600">
        <f>O344</f>
        <v>0</v>
      </c>
      <c r="AS344" s="548">
        <f t="shared" si="77"/>
        <v>0</v>
      </c>
      <c r="AT344" s="548">
        <f t="shared" si="78"/>
        <v>-0.25149700598802394</v>
      </c>
      <c r="AU344" s="549" t="e">
        <f t="shared" si="79"/>
        <v>#DIV/0!</v>
      </c>
      <c r="AV344" s="558">
        <f t="shared" si="80"/>
        <v>0</v>
      </c>
      <c r="AW344" s="558">
        <f t="shared" si="74"/>
        <v>0</v>
      </c>
      <c r="AX344" s="589">
        <f t="shared" si="81"/>
        <v>-0.25149700598802394</v>
      </c>
      <c r="AY344" s="587" t="e">
        <f t="shared" si="82"/>
        <v>#DIV/0!</v>
      </c>
      <c r="AZ344" s="676">
        <f t="shared" si="73"/>
        <v>10</v>
      </c>
      <c r="BA344" s="581"/>
      <c r="BB344" s="570"/>
      <c r="BC344" s="581"/>
      <c r="BD344" s="3691"/>
      <c r="BE344" s="3743"/>
      <c r="BF344" s="3743"/>
      <c r="BG344" s="3708"/>
      <c r="BH344" s="3762"/>
      <c r="BI344" s="3762"/>
      <c r="BJ344" s="39"/>
      <c r="BK344" s="39"/>
      <c r="BL344" s="39"/>
      <c r="BM344" s="39"/>
      <c r="BN344" s="39"/>
      <c r="BO344" s="39"/>
      <c r="BP344" s="39"/>
      <c r="BQ344" s="39"/>
      <c r="BR344" s="39"/>
      <c r="BS344" s="507"/>
      <c r="BT344" s="507"/>
      <c r="BU344" s="507"/>
      <c r="BV344" s="507"/>
      <c r="BW344" s="507"/>
      <c r="BX344" s="507"/>
      <c r="BY344" s="507"/>
      <c r="BZ344" s="507"/>
      <c r="CA344" s="507"/>
      <c r="CB344" s="507"/>
      <c r="CC344" s="507"/>
      <c r="CD344" s="507"/>
      <c r="CE344" s="507"/>
      <c r="CF344" s="507"/>
      <c r="CG344" s="507"/>
      <c r="CH344" s="507"/>
      <c r="CI344" s="507"/>
      <c r="CJ344" s="507"/>
      <c r="CK344" s="507"/>
      <c r="CL344" s="507"/>
      <c r="CM344" s="507"/>
      <c r="CN344" s="507"/>
      <c r="CO344" s="507"/>
      <c r="CP344" s="507"/>
      <c r="CQ344" s="507"/>
      <c r="CR344" s="507"/>
      <c r="CS344" s="507"/>
      <c r="CT344" s="507"/>
      <c r="CU344" s="507"/>
      <c r="CV344" s="507"/>
      <c r="CW344" s="507"/>
      <c r="CX344" s="507"/>
      <c r="CY344" s="507"/>
      <c r="CZ344" s="507"/>
      <c r="DA344" s="507"/>
      <c r="DB344" s="507"/>
      <c r="DC344" s="507"/>
      <c r="DD344" s="507"/>
      <c r="DE344" s="507"/>
      <c r="DF344" s="507"/>
      <c r="DG344" s="507"/>
      <c r="DH344" s="507"/>
      <c r="DI344" s="507"/>
      <c r="DJ344" s="507"/>
      <c r="DK344" s="507"/>
      <c r="DL344" s="507"/>
      <c r="DM344" s="507"/>
      <c r="DN344" s="507"/>
      <c r="DO344" s="507"/>
      <c r="DP344" s="507"/>
      <c r="DQ344" s="507"/>
      <c r="DR344" s="507"/>
      <c r="DS344" s="507"/>
      <c r="DT344" s="507"/>
      <c r="DU344" s="507"/>
      <c r="DV344" s="507"/>
      <c r="DW344" s="507"/>
      <c r="DX344" s="507"/>
      <c r="DY344" s="507"/>
      <c r="DZ344" s="507"/>
      <c r="EA344" s="507"/>
      <c r="EB344" s="507"/>
      <c r="EC344" s="507"/>
      <c r="ED344" s="507"/>
      <c r="EE344" s="507"/>
      <c r="EF344" s="507"/>
      <c r="EG344" s="507"/>
      <c r="EH344" s="507"/>
      <c r="EI344" s="507"/>
      <c r="EJ344" s="507"/>
      <c r="EK344" s="507"/>
      <c r="EL344" s="507"/>
      <c r="EM344" s="507"/>
      <c r="EN344" s="507"/>
      <c r="EO344" s="507"/>
      <c r="EP344" s="507"/>
      <c r="EQ344" s="507"/>
      <c r="ER344" s="507"/>
      <c r="ES344" s="507"/>
      <c r="ET344" s="507"/>
      <c r="EU344" s="507"/>
      <c r="EV344" s="507"/>
      <c r="EW344" s="507"/>
      <c r="EX344" s="507"/>
      <c r="EY344" s="507"/>
      <c r="EZ344" s="507"/>
      <c r="FA344" s="507"/>
      <c r="FB344" s="507"/>
      <c r="FC344" s="507"/>
      <c r="FD344" s="507"/>
      <c r="FE344" s="507"/>
      <c r="FF344" s="507"/>
      <c r="FG344" s="507"/>
      <c r="FH344" s="507"/>
      <c r="FI344" s="507"/>
      <c r="FJ344" s="507"/>
      <c r="FK344" s="507"/>
      <c r="FL344" s="507"/>
      <c r="FM344" s="507"/>
      <c r="FN344" s="507"/>
      <c r="FO344" s="507"/>
      <c r="FP344" s="507"/>
      <c r="FQ344" s="507"/>
      <c r="FR344" s="507"/>
      <c r="FS344" s="507"/>
      <c r="FT344" s="507"/>
      <c r="FU344" s="507"/>
      <c r="FV344" s="507"/>
      <c r="FW344" s="507"/>
      <c r="FX344" s="507"/>
      <c r="FY344" s="507"/>
      <c r="FZ344" s="507"/>
      <c r="GA344" s="507"/>
      <c r="GB344" s="507"/>
      <c r="GC344" s="507"/>
      <c r="GD344" s="507"/>
      <c r="GE344" s="507"/>
      <c r="GF344" s="507"/>
      <c r="GG344" s="507"/>
      <c r="GH344" s="507"/>
      <c r="GI344" s="507"/>
      <c r="GJ344" s="507"/>
      <c r="GK344" s="507"/>
      <c r="GL344" s="507"/>
      <c r="GM344" s="507"/>
      <c r="GN344" s="507"/>
      <c r="GO344" s="507"/>
      <c r="GP344" s="507"/>
      <c r="GQ344" s="507"/>
      <c r="GR344" s="507"/>
      <c r="GS344" s="507"/>
      <c r="GT344" s="507"/>
      <c r="GU344" s="507"/>
      <c r="GV344" s="507"/>
      <c r="GW344" s="507"/>
      <c r="GX344" s="507"/>
      <c r="GY344" s="507"/>
      <c r="GZ344" s="507"/>
      <c r="HA344" s="507"/>
      <c r="HB344" s="507"/>
      <c r="HC344" s="507"/>
      <c r="HD344" s="507"/>
      <c r="HE344" s="507"/>
      <c r="HF344" s="507"/>
      <c r="HG344" s="507"/>
      <c r="HH344" s="507"/>
      <c r="HI344" s="507"/>
      <c r="HJ344" s="507"/>
      <c r="HK344" s="507"/>
      <c r="HL344" s="507"/>
      <c r="HM344" s="507"/>
      <c r="HN344" s="507"/>
      <c r="HO344" s="507"/>
      <c r="HP344" s="507"/>
      <c r="HQ344" s="507"/>
      <c r="HR344" s="507"/>
      <c r="HS344" s="507"/>
      <c r="HT344" s="507"/>
      <c r="HU344" s="507"/>
      <c r="HV344" s="507"/>
      <c r="HW344" s="507"/>
      <c r="HX344" s="507"/>
      <c r="HY344" s="507"/>
      <c r="HZ344" s="507"/>
    </row>
    <row r="345" spans="1:234" s="206" customFormat="1" ht="13.5" hidden="1" customHeight="1" x14ac:dyDescent="0.25">
      <c r="A345" s="541" t="s">
        <v>2108</v>
      </c>
      <c r="B345" s="523" t="s">
        <v>2107</v>
      </c>
      <c r="C345" s="524" t="s">
        <v>2109</v>
      </c>
      <c r="D345" s="551" t="s">
        <v>1859</v>
      </c>
      <c r="E345" s="569" t="s">
        <v>3228</v>
      </c>
      <c r="F345" s="543">
        <v>40855</v>
      </c>
      <c r="G345" s="544">
        <v>40787</v>
      </c>
      <c r="H345" s="544">
        <v>40847</v>
      </c>
      <c r="I345" s="616">
        <v>42521</v>
      </c>
      <c r="J345" s="579">
        <v>10</v>
      </c>
      <c r="K345" s="553">
        <v>0</v>
      </c>
      <c r="L345" s="552">
        <v>7.0000000000000007E-2</v>
      </c>
      <c r="M345" s="560">
        <v>0.03</v>
      </c>
      <c r="N345" s="606" t="s">
        <v>3229</v>
      </c>
      <c r="O345" s="613">
        <v>0.24</v>
      </c>
      <c r="P345" s="575" t="s">
        <v>3229</v>
      </c>
      <c r="Q345" s="575">
        <v>0.03</v>
      </c>
      <c r="R345" s="575" t="s">
        <v>3229</v>
      </c>
      <c r="S345" s="570">
        <v>4</v>
      </c>
      <c r="T345" s="617">
        <v>41183</v>
      </c>
      <c r="U345" s="563">
        <v>41548</v>
      </c>
      <c r="V345" s="563">
        <v>41913</v>
      </c>
      <c r="W345" s="563">
        <v>42461</v>
      </c>
      <c r="X345" s="563" t="s">
        <v>3229</v>
      </c>
      <c r="Y345" s="598" t="s">
        <v>3229</v>
      </c>
      <c r="Z345" s="598" t="s">
        <v>3229</v>
      </c>
      <c r="AA345" s="598" t="s">
        <v>3229</v>
      </c>
      <c r="AB345" s="598" t="s">
        <v>3229</v>
      </c>
      <c r="AC345" s="598" t="s">
        <v>3229</v>
      </c>
      <c r="AD345" s="598" t="s">
        <v>3229</v>
      </c>
      <c r="AE345" s="598" t="s">
        <v>3229</v>
      </c>
      <c r="AF345" s="3764" t="s">
        <v>781</v>
      </c>
      <c r="AG345" s="3765"/>
      <c r="AH345" s="1301" t="s">
        <v>3229</v>
      </c>
      <c r="AI345" s="1301" t="s">
        <v>3229</v>
      </c>
      <c r="AJ345" s="1301" t="s">
        <v>3229</v>
      </c>
      <c r="AK345" s="530" t="s">
        <v>3229</v>
      </c>
      <c r="AL345" s="530" t="s">
        <v>3229</v>
      </c>
      <c r="AM345" s="659">
        <v>1</v>
      </c>
      <c r="AN345" s="638">
        <v>0.1125</v>
      </c>
      <c r="AO345" s="625">
        <v>11.13</v>
      </c>
      <c r="AP345" s="688">
        <v>1.5135655602932355E-2</v>
      </c>
      <c r="AQ345" s="606">
        <v>0.532557639353753</v>
      </c>
      <c r="AR345" s="600">
        <v>0.24</v>
      </c>
      <c r="AS345" s="548">
        <v>4.825643246408462E-2</v>
      </c>
      <c r="AT345" s="548">
        <v>0.12624886466848317</v>
      </c>
      <c r="AU345" s="549">
        <v>2.8810969302175664</v>
      </c>
      <c r="AV345" s="558">
        <v>0.03</v>
      </c>
      <c r="AW345" s="558">
        <v>6.4969824978162727E-3</v>
      </c>
      <c r="AX345" s="589">
        <v>-6.4486830154405039E-2</v>
      </c>
      <c r="AY345" s="587">
        <v>-0.53249314068779063</v>
      </c>
      <c r="AZ345" s="676">
        <v>10.3</v>
      </c>
      <c r="BA345" s="581" t="s">
        <v>2585</v>
      </c>
      <c r="BB345" s="570" t="s">
        <v>2025</v>
      </c>
      <c r="BC345" s="581" t="s">
        <v>2895</v>
      </c>
      <c r="BD345" s="3691"/>
      <c r="BE345" s="3743"/>
      <c r="BF345" s="3743"/>
      <c r="BG345" s="3708"/>
      <c r="BH345" s="3762"/>
      <c r="BI345" s="3762"/>
      <c r="BJ345" s="39"/>
      <c r="BK345" s="39"/>
      <c r="BL345" s="39"/>
      <c r="BM345" s="39"/>
      <c r="BN345" s="39"/>
      <c r="BO345" s="39"/>
      <c r="BP345" s="39"/>
      <c r="BQ345" s="39"/>
      <c r="BR345" s="39"/>
      <c r="BS345" s="507"/>
      <c r="BT345" s="507"/>
      <c r="BU345" s="507"/>
      <c r="BV345" s="507"/>
      <c r="BW345" s="507"/>
      <c r="BX345" s="507"/>
      <c r="BY345" s="507"/>
      <c r="BZ345" s="507"/>
      <c r="CA345" s="507"/>
      <c r="CB345" s="507"/>
      <c r="CC345" s="507"/>
      <c r="CD345" s="507"/>
      <c r="CE345" s="507"/>
      <c r="CF345" s="507"/>
      <c r="CG345" s="507"/>
      <c r="CH345" s="507"/>
      <c r="CI345" s="507"/>
      <c r="CJ345" s="507"/>
      <c r="CK345" s="507"/>
      <c r="CL345" s="507"/>
      <c r="CM345" s="507"/>
      <c r="CN345" s="507"/>
      <c r="CO345" s="507"/>
      <c r="CP345" s="507"/>
      <c r="CQ345" s="507"/>
      <c r="CR345" s="507"/>
      <c r="CS345" s="507"/>
      <c r="CT345" s="507"/>
      <c r="CU345" s="507"/>
      <c r="CV345" s="507"/>
      <c r="CW345" s="507"/>
      <c r="CX345" s="507"/>
      <c r="CY345" s="507"/>
      <c r="CZ345" s="507"/>
      <c r="DA345" s="507"/>
      <c r="DB345" s="507"/>
      <c r="DC345" s="507"/>
      <c r="DD345" s="507"/>
      <c r="DE345" s="507"/>
      <c r="DF345" s="507"/>
      <c r="DG345" s="507"/>
      <c r="DH345" s="507"/>
      <c r="DI345" s="507"/>
      <c r="DJ345" s="507"/>
      <c r="DK345" s="507"/>
      <c r="DL345" s="507"/>
      <c r="DM345" s="507"/>
      <c r="DN345" s="507"/>
      <c r="DO345" s="507"/>
      <c r="DP345" s="507"/>
      <c r="DQ345" s="507"/>
      <c r="DR345" s="507"/>
      <c r="DS345" s="507"/>
      <c r="DT345" s="507"/>
      <c r="DU345" s="507"/>
      <c r="DV345" s="507"/>
      <c r="DW345" s="507"/>
      <c r="DX345" s="507"/>
      <c r="DY345" s="507"/>
      <c r="DZ345" s="507"/>
      <c r="EA345" s="507"/>
      <c r="EB345" s="507"/>
      <c r="EC345" s="507"/>
      <c r="ED345" s="507"/>
      <c r="EE345" s="507"/>
      <c r="EF345" s="507"/>
      <c r="EG345" s="507"/>
      <c r="EH345" s="507"/>
      <c r="EI345" s="507"/>
      <c r="EJ345" s="507"/>
      <c r="EK345" s="507"/>
      <c r="EL345" s="507"/>
      <c r="EM345" s="507"/>
      <c r="EN345" s="507"/>
      <c r="EO345" s="507"/>
      <c r="EP345" s="507"/>
      <c r="EQ345" s="507"/>
      <c r="ER345" s="507"/>
      <c r="ES345" s="507"/>
      <c r="ET345" s="507"/>
      <c r="EU345" s="507"/>
      <c r="EV345" s="507"/>
      <c r="EW345" s="507"/>
      <c r="EX345" s="507"/>
      <c r="EY345" s="507"/>
      <c r="EZ345" s="507"/>
      <c r="FA345" s="507"/>
      <c r="FB345" s="507"/>
      <c r="FC345" s="507"/>
      <c r="FD345" s="507"/>
      <c r="FE345" s="507"/>
      <c r="FF345" s="507"/>
      <c r="FG345" s="507"/>
      <c r="FH345" s="507"/>
      <c r="FI345" s="507"/>
      <c r="FJ345" s="507"/>
      <c r="FK345" s="507"/>
      <c r="FL345" s="507"/>
      <c r="FM345" s="507"/>
      <c r="FN345" s="507"/>
      <c r="FO345" s="507"/>
      <c r="FP345" s="507"/>
      <c r="FQ345" s="507"/>
      <c r="FR345" s="507"/>
      <c r="FS345" s="507"/>
      <c r="FT345" s="507"/>
      <c r="FU345" s="507"/>
      <c r="FV345" s="507"/>
      <c r="FW345" s="507"/>
      <c r="FX345" s="507"/>
      <c r="FY345" s="507"/>
      <c r="FZ345" s="507"/>
      <c r="GA345" s="507"/>
      <c r="GB345" s="507"/>
      <c r="GC345" s="507"/>
      <c r="GD345" s="507"/>
      <c r="GE345" s="507"/>
      <c r="GF345" s="507"/>
      <c r="GG345" s="507"/>
      <c r="GH345" s="507"/>
      <c r="GI345" s="507"/>
      <c r="GJ345" s="507"/>
      <c r="GK345" s="507"/>
      <c r="GL345" s="507"/>
      <c r="GM345" s="507"/>
      <c r="GN345" s="507"/>
      <c r="GO345" s="507"/>
      <c r="GP345" s="507"/>
      <c r="GQ345" s="507"/>
      <c r="GR345" s="507"/>
      <c r="GS345" s="507"/>
      <c r="GT345" s="507"/>
      <c r="GU345" s="507"/>
      <c r="GV345" s="507"/>
      <c r="GW345" s="507"/>
      <c r="GX345" s="507"/>
      <c r="GY345" s="507"/>
      <c r="GZ345" s="507"/>
      <c r="HA345" s="507"/>
      <c r="HB345" s="507"/>
      <c r="HC345" s="507"/>
      <c r="HD345" s="507"/>
      <c r="HE345" s="507"/>
      <c r="HF345" s="507"/>
      <c r="HG345" s="507"/>
      <c r="HH345" s="507"/>
      <c r="HI345" s="507"/>
      <c r="HJ345" s="507"/>
      <c r="HK345" s="507"/>
      <c r="HL345" s="507"/>
      <c r="HM345" s="507"/>
      <c r="HN345" s="507"/>
      <c r="HO345" s="507"/>
      <c r="HP345" s="507"/>
      <c r="HQ345" s="507"/>
      <c r="HR345" s="507"/>
      <c r="HS345" s="507"/>
      <c r="HT345" s="507"/>
      <c r="HU345" s="507"/>
      <c r="HV345" s="507"/>
      <c r="HW345" s="507"/>
      <c r="HX345" s="507"/>
      <c r="HY345" s="507"/>
      <c r="HZ345" s="507"/>
    </row>
    <row r="346" spans="1:234" s="206" customFormat="1" ht="13.5" hidden="1" customHeight="1" x14ac:dyDescent="0.25">
      <c r="A346" s="541" t="s">
        <v>2110</v>
      </c>
      <c r="B346" s="523" t="s">
        <v>2111</v>
      </c>
      <c r="C346" s="524" t="s">
        <v>2112</v>
      </c>
      <c r="D346" s="551" t="s">
        <v>189</v>
      </c>
      <c r="E346" s="569" t="s">
        <v>905</v>
      </c>
      <c r="F346" s="543">
        <v>40837</v>
      </c>
      <c r="G346" s="544">
        <v>40791</v>
      </c>
      <c r="H346" s="544">
        <v>40830</v>
      </c>
      <c r="I346" s="616">
        <v>42674</v>
      </c>
      <c r="J346" s="579">
        <v>10</v>
      </c>
      <c r="K346" s="553" t="s">
        <v>3229</v>
      </c>
      <c r="L346" s="552" t="s">
        <v>3229</v>
      </c>
      <c r="M346" s="560">
        <v>0</v>
      </c>
      <c r="N346" s="606">
        <v>1</v>
      </c>
      <c r="O346" s="613">
        <v>0.35</v>
      </c>
      <c r="P346" s="575" t="s">
        <v>3229</v>
      </c>
      <c r="Q346" s="575" t="s">
        <v>3229</v>
      </c>
      <c r="R346" s="575" t="s">
        <v>3229</v>
      </c>
      <c r="S346" s="570"/>
      <c r="T346" s="617" t="s">
        <v>3229</v>
      </c>
      <c r="U346" s="563" t="s">
        <v>3229</v>
      </c>
      <c r="V346" s="563" t="s">
        <v>3229</v>
      </c>
      <c r="W346" s="563" t="s">
        <v>3229</v>
      </c>
      <c r="X346" s="563" t="s">
        <v>3229</v>
      </c>
      <c r="Y346" s="598" t="s">
        <v>3229</v>
      </c>
      <c r="Z346" s="598" t="s">
        <v>3229</v>
      </c>
      <c r="AA346" s="598" t="s">
        <v>3229</v>
      </c>
      <c r="AB346" s="598" t="s">
        <v>3229</v>
      </c>
      <c r="AC346" s="598" t="s">
        <v>3229</v>
      </c>
      <c r="AD346" s="598" t="s">
        <v>3229</v>
      </c>
      <c r="AE346" s="598" t="s">
        <v>3229</v>
      </c>
      <c r="AF346" s="3764" t="s">
        <v>781</v>
      </c>
      <c r="AG346" s="3765"/>
      <c r="AH346" s="1301" t="s">
        <v>3229</v>
      </c>
      <c r="AI346" s="1301" t="s">
        <v>3229</v>
      </c>
      <c r="AJ346" s="1301" t="s">
        <v>3229</v>
      </c>
      <c r="AK346" s="530" t="s">
        <v>3229</v>
      </c>
      <c r="AL346" s="530" t="s">
        <v>3229</v>
      </c>
      <c r="AM346" s="659">
        <v>1</v>
      </c>
      <c r="AN346" s="638">
        <f>'klikací hodnoty'!F10750</f>
        <v>0.35</v>
      </c>
      <c r="AO346" s="625">
        <v>13.5</v>
      </c>
      <c r="AP346" s="688">
        <f>+'klikací hodnoty'!L10726</f>
        <v>0.57804166666666668</v>
      </c>
      <c r="AQ346" s="606">
        <f>+'klikací hodnoty'!F10749</f>
        <v>0.54291609936600171</v>
      </c>
      <c r="AR346" s="600">
        <f t="shared" ref="AR346:AR357" si="83">O346</f>
        <v>0.35</v>
      </c>
      <c r="AS346" s="548">
        <f t="shared" si="77"/>
        <v>6.1442506784400219E-2</v>
      </c>
      <c r="AT346" s="548">
        <f t="shared" si="78"/>
        <v>0</v>
      </c>
      <c r="AU346" s="549" t="e">
        <f t="shared" si="79"/>
        <v>#DIV/0!</v>
      </c>
      <c r="AV346" s="558">
        <f t="shared" si="80"/>
        <v>0</v>
      </c>
      <c r="AW346" s="558">
        <f t="shared" si="74"/>
        <v>0</v>
      </c>
      <c r="AX346" s="589">
        <f t="shared" si="81"/>
        <v>-0.2592592592592593</v>
      </c>
      <c r="AY346" s="587" t="e">
        <f t="shared" si="82"/>
        <v>#DIV/0!</v>
      </c>
      <c r="AZ346" s="676">
        <f t="shared" si="73"/>
        <v>10</v>
      </c>
      <c r="BA346" s="581"/>
      <c r="BB346" s="570"/>
      <c r="BC346" s="581"/>
      <c r="BD346" s="3691"/>
      <c r="BE346" s="3743"/>
      <c r="BF346" s="3743"/>
      <c r="BG346" s="3708"/>
      <c r="BH346" s="3762"/>
      <c r="BI346" s="3762"/>
      <c r="BJ346" s="39"/>
      <c r="BK346" s="39"/>
      <c r="BL346" s="39"/>
      <c r="BM346" s="39"/>
      <c r="BN346" s="39"/>
      <c r="BO346" s="39"/>
      <c r="BP346" s="39"/>
      <c r="BQ346" s="39"/>
      <c r="BR346" s="39"/>
      <c r="BS346" s="507"/>
      <c r="BT346" s="507"/>
      <c r="BU346" s="507"/>
      <c r="BV346" s="507"/>
      <c r="BW346" s="507"/>
      <c r="BX346" s="507"/>
      <c r="BY346" s="507"/>
      <c r="BZ346" s="507"/>
      <c r="CA346" s="507"/>
      <c r="CB346" s="507"/>
      <c r="CC346" s="507"/>
      <c r="CD346" s="507"/>
      <c r="CE346" s="507"/>
      <c r="CF346" s="507"/>
      <c r="CG346" s="507"/>
      <c r="CH346" s="507"/>
      <c r="CI346" s="507"/>
      <c r="CJ346" s="507"/>
      <c r="CK346" s="507"/>
      <c r="CL346" s="507"/>
      <c r="CM346" s="507"/>
      <c r="CN346" s="507"/>
      <c r="CO346" s="507"/>
      <c r="CP346" s="507"/>
      <c r="CQ346" s="507"/>
      <c r="CR346" s="507"/>
      <c r="CS346" s="507"/>
      <c r="CT346" s="507"/>
      <c r="CU346" s="507"/>
      <c r="CV346" s="507"/>
      <c r="CW346" s="507"/>
      <c r="CX346" s="507"/>
      <c r="CY346" s="507"/>
      <c r="CZ346" s="507"/>
      <c r="DA346" s="507"/>
      <c r="DB346" s="507"/>
      <c r="DC346" s="507"/>
      <c r="DD346" s="507"/>
      <c r="DE346" s="507"/>
      <c r="DF346" s="507"/>
      <c r="DG346" s="507"/>
      <c r="DH346" s="507"/>
      <c r="DI346" s="507"/>
      <c r="DJ346" s="507"/>
      <c r="DK346" s="507"/>
      <c r="DL346" s="507"/>
      <c r="DM346" s="507"/>
      <c r="DN346" s="507"/>
      <c r="DO346" s="507"/>
      <c r="DP346" s="507"/>
      <c r="DQ346" s="507"/>
      <c r="DR346" s="507"/>
      <c r="DS346" s="507"/>
      <c r="DT346" s="507"/>
      <c r="DU346" s="507"/>
      <c r="DV346" s="507"/>
      <c r="DW346" s="507"/>
      <c r="DX346" s="507"/>
      <c r="DY346" s="507"/>
      <c r="DZ346" s="507"/>
      <c r="EA346" s="507"/>
      <c r="EB346" s="507"/>
      <c r="EC346" s="507"/>
      <c r="ED346" s="507"/>
      <c r="EE346" s="507"/>
      <c r="EF346" s="507"/>
      <c r="EG346" s="507"/>
      <c r="EH346" s="507"/>
      <c r="EI346" s="507"/>
      <c r="EJ346" s="507"/>
      <c r="EK346" s="507"/>
      <c r="EL346" s="507"/>
      <c r="EM346" s="507"/>
      <c r="EN346" s="507"/>
      <c r="EO346" s="507"/>
      <c r="EP346" s="507"/>
      <c r="EQ346" s="507"/>
      <c r="ER346" s="507"/>
      <c r="ES346" s="507"/>
      <c r="ET346" s="507"/>
      <c r="EU346" s="507"/>
      <c r="EV346" s="507"/>
      <c r="EW346" s="507"/>
      <c r="EX346" s="507"/>
      <c r="EY346" s="507"/>
      <c r="EZ346" s="507"/>
      <c r="FA346" s="507"/>
      <c r="FB346" s="507"/>
      <c r="FC346" s="507"/>
      <c r="FD346" s="507"/>
      <c r="FE346" s="507"/>
      <c r="FF346" s="507"/>
      <c r="FG346" s="507"/>
      <c r="FH346" s="507"/>
      <c r="FI346" s="507"/>
      <c r="FJ346" s="507"/>
      <c r="FK346" s="507"/>
      <c r="FL346" s="507"/>
      <c r="FM346" s="507"/>
      <c r="FN346" s="507"/>
      <c r="FO346" s="507"/>
      <c r="FP346" s="507"/>
      <c r="FQ346" s="507"/>
      <c r="FR346" s="507"/>
      <c r="FS346" s="507"/>
      <c r="FT346" s="507"/>
      <c r="FU346" s="507"/>
      <c r="FV346" s="507"/>
      <c r="FW346" s="507"/>
      <c r="FX346" s="507"/>
      <c r="FY346" s="507"/>
      <c r="FZ346" s="507"/>
      <c r="GA346" s="507"/>
      <c r="GB346" s="507"/>
      <c r="GC346" s="507"/>
      <c r="GD346" s="507"/>
      <c r="GE346" s="507"/>
      <c r="GF346" s="507"/>
      <c r="GG346" s="507"/>
      <c r="GH346" s="507"/>
      <c r="GI346" s="507"/>
      <c r="GJ346" s="507"/>
      <c r="GK346" s="507"/>
      <c r="GL346" s="507"/>
      <c r="GM346" s="507"/>
      <c r="GN346" s="507"/>
      <c r="GO346" s="507"/>
      <c r="GP346" s="507"/>
      <c r="GQ346" s="507"/>
      <c r="GR346" s="507"/>
      <c r="GS346" s="507"/>
      <c r="GT346" s="507"/>
      <c r="GU346" s="507"/>
      <c r="GV346" s="507"/>
      <c r="GW346" s="507"/>
      <c r="GX346" s="507"/>
      <c r="GY346" s="507"/>
      <c r="GZ346" s="507"/>
      <c r="HA346" s="507"/>
      <c r="HB346" s="507"/>
      <c r="HC346" s="507"/>
      <c r="HD346" s="507"/>
      <c r="HE346" s="507"/>
      <c r="HF346" s="507"/>
      <c r="HG346" s="507"/>
      <c r="HH346" s="507"/>
      <c r="HI346" s="507"/>
      <c r="HJ346" s="507"/>
      <c r="HK346" s="507"/>
      <c r="HL346" s="507"/>
      <c r="HM346" s="507"/>
      <c r="HN346" s="507"/>
      <c r="HO346" s="507"/>
      <c r="HP346" s="507"/>
      <c r="HQ346" s="507"/>
      <c r="HR346" s="507"/>
      <c r="HS346" s="507"/>
      <c r="HT346" s="507"/>
      <c r="HU346" s="507"/>
      <c r="HV346" s="507"/>
      <c r="HW346" s="507"/>
      <c r="HX346" s="507"/>
      <c r="HY346" s="507"/>
      <c r="HZ346" s="507"/>
    </row>
    <row r="347" spans="1:234" s="206" customFormat="1" ht="13.5" hidden="1" customHeight="1" x14ac:dyDescent="0.25">
      <c r="A347" s="541" t="s">
        <v>2113</v>
      </c>
      <c r="B347" s="523" t="s">
        <v>2114</v>
      </c>
      <c r="C347" s="524" t="s">
        <v>2115</v>
      </c>
      <c r="D347" s="551" t="s">
        <v>189</v>
      </c>
      <c r="E347" s="569" t="s">
        <v>1743</v>
      </c>
      <c r="F347" s="543">
        <v>40855</v>
      </c>
      <c r="G347" s="544">
        <v>40787</v>
      </c>
      <c r="H347" s="544">
        <v>40847</v>
      </c>
      <c r="I347" s="616">
        <v>42886</v>
      </c>
      <c r="J347" s="579">
        <v>10</v>
      </c>
      <c r="K347" s="553">
        <v>0</v>
      </c>
      <c r="L347" s="552">
        <v>0.05</v>
      </c>
      <c r="M347" s="560">
        <v>2.5000000000000001E-2</v>
      </c>
      <c r="N347" s="606" t="s">
        <v>3229</v>
      </c>
      <c r="O347" s="613">
        <v>0.22500000000000001</v>
      </c>
      <c r="P347" s="575" t="s">
        <v>3229</v>
      </c>
      <c r="Q347" s="575">
        <v>2.5000000000000001E-2</v>
      </c>
      <c r="R347" s="575" t="s">
        <v>3229</v>
      </c>
      <c r="S347" s="570">
        <v>5</v>
      </c>
      <c r="T347" s="617">
        <v>41183</v>
      </c>
      <c r="U347" s="563">
        <v>41548</v>
      </c>
      <c r="V347" s="563">
        <v>41913</v>
      </c>
      <c r="W347" s="563">
        <v>42644</v>
      </c>
      <c r="X347" s="563">
        <v>42826</v>
      </c>
      <c r="Y347" s="598" t="s">
        <v>3229</v>
      </c>
      <c r="Z347" s="598" t="s">
        <v>3229</v>
      </c>
      <c r="AA347" s="598" t="s">
        <v>3229</v>
      </c>
      <c r="AB347" s="598" t="s">
        <v>3229</v>
      </c>
      <c r="AC347" s="598" t="s">
        <v>3229</v>
      </c>
      <c r="AD347" s="598" t="s">
        <v>3229</v>
      </c>
      <c r="AE347" s="598" t="s">
        <v>3229</v>
      </c>
      <c r="AF347" s="3764" t="s">
        <v>781</v>
      </c>
      <c r="AG347" s="3765"/>
      <c r="AH347" s="1301" t="s">
        <v>3229</v>
      </c>
      <c r="AI347" s="1301" t="s">
        <v>3229</v>
      </c>
      <c r="AJ347" s="1301" t="s">
        <v>3229</v>
      </c>
      <c r="AK347" s="530" t="s">
        <v>3229</v>
      </c>
      <c r="AL347" s="530" t="s">
        <v>3229</v>
      </c>
      <c r="AM347" s="659">
        <v>1</v>
      </c>
      <c r="AN347" s="638">
        <f>'klikací hodnoty'!F10283</f>
        <v>2.9116000000000072E-2</v>
      </c>
      <c r="AO347" s="625">
        <v>10.29</v>
      </c>
      <c r="AP347" s="688">
        <f>'klikací hodnoty'!F10275</f>
        <v>-2.9464100689097772E-2</v>
      </c>
      <c r="AQ347" s="606">
        <f>'klikací hodnoty'!E10275</f>
        <v>0.54074217501013544</v>
      </c>
      <c r="AR347" s="600">
        <f t="shared" si="83"/>
        <v>0.22500000000000001</v>
      </c>
      <c r="AS347" s="548">
        <f t="shared" si="77"/>
        <v>3.7144638529308383E-2</v>
      </c>
      <c r="AT347" s="548">
        <f t="shared" si="78"/>
        <v>0.19047619047619047</v>
      </c>
      <c r="AU347" s="549" t="e">
        <f t="shared" si="79"/>
        <v>#DIV/0!</v>
      </c>
      <c r="AV347" s="558">
        <f t="shared" si="80"/>
        <v>2.5000000000000001E-2</v>
      </c>
      <c r="AW347" s="558">
        <f t="shared" si="74"/>
        <v>4.4474795184472615E-3</v>
      </c>
      <c r="AX347" s="589">
        <f t="shared" si="81"/>
        <v>-3.8872691933915515E-3</v>
      </c>
      <c r="AY347" s="587" t="e">
        <f t="shared" si="82"/>
        <v>#DIV/0!</v>
      </c>
      <c r="AZ347" s="676">
        <f t="shared" si="73"/>
        <v>10.25</v>
      </c>
      <c r="BA347" s="581" t="s">
        <v>2585</v>
      </c>
      <c r="BB347" s="570" t="s">
        <v>2025</v>
      </c>
      <c r="BC347" s="581" t="s">
        <v>2895</v>
      </c>
      <c r="BD347" s="3691"/>
      <c r="BE347" s="3743"/>
      <c r="BF347" s="3743"/>
      <c r="BG347" s="3708"/>
      <c r="BH347" s="3762"/>
      <c r="BI347" s="3762"/>
      <c r="BJ347" s="39"/>
      <c r="BK347" s="39"/>
      <c r="BL347" s="39"/>
      <c r="BM347" s="39"/>
      <c r="BN347" s="39"/>
      <c r="BO347" s="39"/>
      <c r="BP347" s="39"/>
      <c r="BQ347" s="39"/>
      <c r="BR347" s="39"/>
      <c r="BS347" s="507"/>
      <c r="BT347" s="507"/>
      <c r="BU347" s="507"/>
      <c r="BV347" s="507"/>
      <c r="BW347" s="507"/>
      <c r="BX347" s="507"/>
      <c r="BY347" s="507"/>
      <c r="BZ347" s="507"/>
      <c r="CA347" s="507"/>
      <c r="CB347" s="507"/>
      <c r="CC347" s="507"/>
      <c r="CD347" s="507"/>
      <c r="CE347" s="507"/>
      <c r="CF347" s="507"/>
      <c r="CG347" s="507"/>
      <c r="CH347" s="507"/>
      <c r="CI347" s="507"/>
      <c r="CJ347" s="507"/>
      <c r="CK347" s="507"/>
      <c r="CL347" s="507"/>
      <c r="CM347" s="507"/>
      <c r="CN347" s="507"/>
      <c r="CO347" s="507"/>
      <c r="CP347" s="507"/>
      <c r="CQ347" s="507"/>
      <c r="CR347" s="507"/>
      <c r="CS347" s="507"/>
      <c r="CT347" s="507"/>
      <c r="CU347" s="507"/>
      <c r="CV347" s="507"/>
      <c r="CW347" s="507"/>
      <c r="CX347" s="507"/>
      <c r="CY347" s="507"/>
      <c r="CZ347" s="507"/>
      <c r="DA347" s="507"/>
      <c r="DB347" s="507"/>
      <c r="DC347" s="507"/>
      <c r="DD347" s="507"/>
      <c r="DE347" s="507"/>
      <c r="DF347" s="507"/>
      <c r="DG347" s="507"/>
      <c r="DH347" s="507"/>
      <c r="DI347" s="507"/>
      <c r="DJ347" s="507"/>
      <c r="DK347" s="507"/>
      <c r="DL347" s="507"/>
      <c r="DM347" s="507"/>
      <c r="DN347" s="507"/>
      <c r="DO347" s="507"/>
      <c r="DP347" s="507"/>
      <c r="DQ347" s="507"/>
      <c r="DR347" s="507"/>
      <c r="DS347" s="507"/>
      <c r="DT347" s="507"/>
      <c r="DU347" s="507"/>
      <c r="DV347" s="507"/>
      <c r="DW347" s="507"/>
      <c r="DX347" s="507"/>
      <c r="DY347" s="507"/>
      <c r="DZ347" s="507"/>
      <c r="EA347" s="507"/>
      <c r="EB347" s="507"/>
      <c r="EC347" s="507"/>
      <c r="ED347" s="507"/>
      <c r="EE347" s="507"/>
      <c r="EF347" s="507"/>
      <c r="EG347" s="507"/>
      <c r="EH347" s="507"/>
      <c r="EI347" s="507"/>
      <c r="EJ347" s="507"/>
      <c r="EK347" s="507"/>
      <c r="EL347" s="507"/>
      <c r="EM347" s="507"/>
      <c r="EN347" s="507"/>
      <c r="EO347" s="507"/>
      <c r="EP347" s="507"/>
      <c r="EQ347" s="507"/>
      <c r="ER347" s="507"/>
      <c r="ES347" s="507"/>
      <c r="ET347" s="507"/>
      <c r="EU347" s="507"/>
      <c r="EV347" s="507"/>
      <c r="EW347" s="507"/>
      <c r="EX347" s="507"/>
      <c r="EY347" s="507"/>
      <c r="EZ347" s="507"/>
      <c r="FA347" s="507"/>
      <c r="FB347" s="507"/>
      <c r="FC347" s="507"/>
      <c r="FD347" s="507"/>
      <c r="FE347" s="507"/>
      <c r="FF347" s="507"/>
      <c r="FG347" s="507"/>
      <c r="FH347" s="507"/>
      <c r="FI347" s="507"/>
      <c r="FJ347" s="507"/>
      <c r="FK347" s="507"/>
      <c r="FL347" s="507"/>
      <c r="FM347" s="507"/>
      <c r="FN347" s="507"/>
      <c r="FO347" s="507"/>
      <c r="FP347" s="507"/>
      <c r="FQ347" s="507"/>
      <c r="FR347" s="507"/>
      <c r="FS347" s="507"/>
      <c r="FT347" s="507"/>
      <c r="FU347" s="507"/>
      <c r="FV347" s="507"/>
      <c r="FW347" s="507"/>
      <c r="FX347" s="507"/>
      <c r="FY347" s="507"/>
      <c r="FZ347" s="507"/>
      <c r="GA347" s="507"/>
      <c r="GB347" s="507"/>
      <c r="GC347" s="507"/>
      <c r="GD347" s="507"/>
      <c r="GE347" s="507"/>
      <c r="GF347" s="507"/>
      <c r="GG347" s="507"/>
      <c r="GH347" s="507"/>
      <c r="GI347" s="507"/>
      <c r="GJ347" s="507"/>
      <c r="GK347" s="507"/>
      <c r="GL347" s="507"/>
      <c r="GM347" s="507"/>
      <c r="GN347" s="507"/>
      <c r="GO347" s="507"/>
      <c r="GP347" s="507"/>
      <c r="GQ347" s="507"/>
      <c r="GR347" s="507"/>
      <c r="GS347" s="507"/>
      <c r="GT347" s="507"/>
      <c r="GU347" s="507"/>
      <c r="GV347" s="507"/>
      <c r="GW347" s="507"/>
      <c r="GX347" s="507"/>
      <c r="GY347" s="507"/>
      <c r="GZ347" s="507"/>
      <c r="HA347" s="507"/>
      <c r="HB347" s="507"/>
      <c r="HC347" s="507"/>
      <c r="HD347" s="507"/>
      <c r="HE347" s="507"/>
      <c r="HF347" s="507"/>
      <c r="HG347" s="507"/>
      <c r="HH347" s="507"/>
      <c r="HI347" s="507"/>
      <c r="HJ347" s="507"/>
      <c r="HK347" s="507"/>
      <c r="HL347" s="507"/>
      <c r="HM347" s="507"/>
      <c r="HN347" s="507"/>
      <c r="HO347" s="507"/>
      <c r="HP347" s="507"/>
      <c r="HQ347" s="507"/>
      <c r="HR347" s="507"/>
      <c r="HS347" s="507"/>
      <c r="HT347" s="507"/>
      <c r="HU347" s="507"/>
      <c r="HV347" s="507"/>
      <c r="HW347" s="507"/>
      <c r="HX347" s="507"/>
      <c r="HY347" s="507"/>
      <c r="HZ347" s="507"/>
    </row>
    <row r="348" spans="1:234" s="206" customFormat="1" ht="13.5" hidden="1" customHeight="1" x14ac:dyDescent="0.25">
      <c r="A348" s="541" t="s">
        <v>2118</v>
      </c>
      <c r="B348" s="523" t="s">
        <v>2117</v>
      </c>
      <c r="C348" s="524" t="s">
        <v>2116</v>
      </c>
      <c r="D348" s="551" t="s">
        <v>2119</v>
      </c>
      <c r="E348" s="569" t="s">
        <v>3228</v>
      </c>
      <c r="F348" s="543">
        <v>40857</v>
      </c>
      <c r="G348" s="544">
        <v>40787</v>
      </c>
      <c r="H348" s="544">
        <v>40850</v>
      </c>
      <c r="I348" s="616">
        <v>43861</v>
      </c>
      <c r="J348" s="579">
        <v>10</v>
      </c>
      <c r="K348" s="553">
        <v>0</v>
      </c>
      <c r="L348" s="552">
        <v>7.0000000000000007E-2</v>
      </c>
      <c r="M348" s="560">
        <v>0.05</v>
      </c>
      <c r="N348" s="606" t="s">
        <v>3229</v>
      </c>
      <c r="O348" s="613">
        <v>0.56000000000000005</v>
      </c>
      <c r="P348" s="575" t="s">
        <v>3229</v>
      </c>
      <c r="Q348" s="575" t="s">
        <v>3229</v>
      </c>
      <c r="R348" s="575" t="s">
        <v>3229</v>
      </c>
      <c r="S348" s="570">
        <v>8</v>
      </c>
      <c r="T348" s="617">
        <v>41183</v>
      </c>
      <c r="U348" s="563">
        <v>41548</v>
      </c>
      <c r="V348" s="563">
        <v>41913</v>
      </c>
      <c r="W348" s="563">
        <v>42278</v>
      </c>
      <c r="X348" s="563">
        <v>42644</v>
      </c>
      <c r="Y348" s="598">
        <v>43009</v>
      </c>
      <c r="Z348" s="598">
        <v>43374</v>
      </c>
      <c r="AA348" s="598">
        <v>43800</v>
      </c>
      <c r="AB348" s="598" t="s">
        <v>3229</v>
      </c>
      <c r="AC348" s="598" t="s">
        <v>3229</v>
      </c>
      <c r="AD348" s="598" t="s">
        <v>3229</v>
      </c>
      <c r="AE348" s="598" t="s">
        <v>3229</v>
      </c>
      <c r="AF348" s="3764" t="s">
        <v>781</v>
      </c>
      <c r="AG348" s="3765"/>
      <c r="AH348" s="1301" t="s">
        <v>3229</v>
      </c>
      <c r="AI348" s="1301" t="s">
        <v>3229</v>
      </c>
      <c r="AJ348" s="1301" t="s">
        <v>3229</v>
      </c>
      <c r="AK348" s="530" t="s">
        <v>3229</v>
      </c>
      <c r="AL348" s="530" t="s">
        <v>3229</v>
      </c>
      <c r="AM348" s="659">
        <v>1</v>
      </c>
      <c r="AN348" s="638">
        <f>'klikací hodnoty'!F10414</f>
        <v>5.37969999999999E-2</v>
      </c>
      <c r="AO348" s="625">
        <v>5.27</v>
      </c>
      <c r="AP348" s="688">
        <f>'klikací hodnoty'!F10402</f>
        <v>-1.398723512998688E-3</v>
      </c>
      <c r="AQ348" s="606">
        <f>'klikací hodnoty'!E10402</f>
        <v>0.76485899263371471</v>
      </c>
      <c r="AR348" s="600">
        <f t="shared" si="83"/>
        <v>0.56000000000000005</v>
      </c>
      <c r="AS348" s="548">
        <f t="shared" si="77"/>
        <v>5.5517744596924823E-2</v>
      </c>
      <c r="AT348" s="548">
        <f t="shared" si="78"/>
        <v>1.9601518026565472</v>
      </c>
      <c r="AU348" s="549" t="e">
        <f t="shared" si="79"/>
        <v>#DIV/0!</v>
      </c>
      <c r="AV348" s="558">
        <f t="shared" si="80"/>
        <v>0.05</v>
      </c>
      <c r="AW348" s="558">
        <f t="shared" si="74"/>
        <v>5.9458390752196166E-3</v>
      </c>
      <c r="AX348" s="589">
        <f t="shared" si="81"/>
        <v>0.99240986717267576</v>
      </c>
      <c r="AY348" s="587" t="e">
        <f t="shared" si="82"/>
        <v>#DIV/0!</v>
      </c>
      <c r="AZ348" s="676">
        <f>J348/2</f>
        <v>5</v>
      </c>
      <c r="BA348" s="581" t="s">
        <v>3327</v>
      </c>
      <c r="BB348" s="570"/>
      <c r="BC348" s="581"/>
      <c r="BD348" s="3691"/>
      <c r="BE348" s="3743"/>
      <c r="BF348" s="3743"/>
      <c r="BG348" s="3708"/>
      <c r="BH348" s="3762"/>
      <c r="BI348" s="3762"/>
      <c r="BJ348" s="39"/>
      <c r="BK348" s="39"/>
      <c r="BL348" s="39"/>
      <c r="BM348" s="39"/>
      <c r="BN348" s="39"/>
      <c r="BO348" s="39"/>
      <c r="BP348" s="39"/>
      <c r="BQ348" s="39"/>
      <c r="BR348" s="39"/>
      <c r="BS348" s="507"/>
      <c r="BT348" s="507"/>
      <c r="BU348" s="507"/>
      <c r="BV348" s="507"/>
      <c r="BW348" s="507"/>
      <c r="BX348" s="507"/>
      <c r="BY348" s="507"/>
      <c r="BZ348" s="507"/>
      <c r="CA348" s="507"/>
      <c r="CB348" s="507"/>
      <c r="CC348" s="507"/>
      <c r="CD348" s="507"/>
      <c r="CE348" s="507"/>
      <c r="CF348" s="507"/>
      <c r="CG348" s="507"/>
      <c r="CH348" s="507"/>
      <c r="CI348" s="507"/>
      <c r="CJ348" s="507"/>
      <c r="CK348" s="507"/>
      <c r="CL348" s="507"/>
      <c r="CM348" s="507"/>
      <c r="CN348" s="507"/>
      <c r="CO348" s="507"/>
      <c r="CP348" s="507"/>
      <c r="CQ348" s="507"/>
      <c r="CR348" s="507"/>
      <c r="CS348" s="507"/>
      <c r="CT348" s="507"/>
      <c r="CU348" s="507"/>
      <c r="CV348" s="507"/>
      <c r="CW348" s="507"/>
      <c r="CX348" s="507"/>
      <c r="CY348" s="507"/>
      <c r="CZ348" s="507"/>
      <c r="DA348" s="507"/>
      <c r="DB348" s="507"/>
      <c r="DC348" s="507"/>
      <c r="DD348" s="507"/>
      <c r="DE348" s="507"/>
      <c r="DF348" s="507"/>
      <c r="DG348" s="507"/>
      <c r="DH348" s="507"/>
      <c r="DI348" s="507"/>
      <c r="DJ348" s="507"/>
      <c r="DK348" s="507"/>
      <c r="DL348" s="507"/>
      <c r="DM348" s="507"/>
      <c r="DN348" s="507"/>
      <c r="DO348" s="507"/>
      <c r="DP348" s="507"/>
      <c r="DQ348" s="507"/>
      <c r="DR348" s="507"/>
      <c r="DS348" s="507"/>
      <c r="DT348" s="507"/>
      <c r="DU348" s="507"/>
      <c r="DV348" s="507"/>
      <c r="DW348" s="507"/>
      <c r="DX348" s="507"/>
      <c r="DY348" s="507"/>
      <c r="DZ348" s="507"/>
      <c r="EA348" s="507"/>
      <c r="EB348" s="507"/>
      <c r="EC348" s="507"/>
      <c r="ED348" s="507"/>
      <c r="EE348" s="507"/>
      <c r="EF348" s="507"/>
      <c r="EG348" s="507"/>
      <c r="EH348" s="507"/>
      <c r="EI348" s="507"/>
      <c r="EJ348" s="507"/>
      <c r="EK348" s="507"/>
      <c r="EL348" s="507"/>
      <c r="EM348" s="507"/>
      <c r="EN348" s="507"/>
      <c r="EO348" s="507"/>
      <c r="EP348" s="507"/>
      <c r="EQ348" s="507"/>
      <c r="ER348" s="507"/>
      <c r="ES348" s="507"/>
      <c r="ET348" s="507"/>
      <c r="EU348" s="507"/>
      <c r="EV348" s="507"/>
      <c r="EW348" s="507"/>
      <c r="EX348" s="507"/>
      <c r="EY348" s="507"/>
      <c r="EZ348" s="507"/>
      <c r="FA348" s="507"/>
      <c r="FB348" s="507"/>
      <c r="FC348" s="507"/>
      <c r="FD348" s="507"/>
      <c r="FE348" s="507"/>
      <c r="FF348" s="507"/>
      <c r="FG348" s="507"/>
      <c r="FH348" s="507"/>
      <c r="FI348" s="507"/>
      <c r="FJ348" s="507"/>
      <c r="FK348" s="507"/>
      <c r="FL348" s="507"/>
      <c r="FM348" s="507"/>
      <c r="FN348" s="507"/>
      <c r="FO348" s="507"/>
      <c r="FP348" s="507"/>
      <c r="FQ348" s="507"/>
      <c r="FR348" s="507"/>
      <c r="FS348" s="507"/>
      <c r="FT348" s="507"/>
      <c r="FU348" s="507"/>
      <c r="FV348" s="507"/>
      <c r="FW348" s="507"/>
      <c r="FX348" s="507"/>
      <c r="FY348" s="507"/>
      <c r="FZ348" s="507"/>
      <c r="GA348" s="507"/>
      <c r="GB348" s="507"/>
      <c r="GC348" s="507"/>
      <c r="GD348" s="507"/>
      <c r="GE348" s="507"/>
      <c r="GF348" s="507"/>
      <c r="GG348" s="507"/>
      <c r="GH348" s="507"/>
      <c r="GI348" s="507"/>
      <c r="GJ348" s="507"/>
      <c r="GK348" s="507"/>
      <c r="GL348" s="507"/>
      <c r="GM348" s="507"/>
      <c r="GN348" s="507"/>
      <c r="GO348" s="507"/>
      <c r="GP348" s="507"/>
      <c r="GQ348" s="507"/>
      <c r="GR348" s="507"/>
      <c r="GS348" s="507"/>
      <c r="GT348" s="507"/>
      <c r="GU348" s="507"/>
      <c r="GV348" s="507"/>
      <c r="GW348" s="507"/>
      <c r="GX348" s="507"/>
      <c r="GY348" s="507"/>
      <c r="GZ348" s="507"/>
      <c r="HA348" s="507"/>
      <c r="HB348" s="507"/>
      <c r="HC348" s="507"/>
      <c r="HD348" s="507"/>
      <c r="HE348" s="507"/>
      <c r="HF348" s="507"/>
      <c r="HG348" s="507"/>
      <c r="HH348" s="507"/>
      <c r="HI348" s="507"/>
      <c r="HJ348" s="507"/>
      <c r="HK348" s="507"/>
      <c r="HL348" s="507"/>
      <c r="HM348" s="507"/>
      <c r="HN348" s="507"/>
      <c r="HO348" s="507"/>
      <c r="HP348" s="507"/>
      <c r="HQ348" s="507"/>
      <c r="HR348" s="507"/>
      <c r="HS348" s="507"/>
      <c r="HT348" s="507"/>
      <c r="HU348" s="507"/>
      <c r="HV348" s="507"/>
      <c r="HW348" s="507"/>
      <c r="HX348" s="507"/>
      <c r="HY348" s="507"/>
      <c r="HZ348" s="507"/>
    </row>
    <row r="349" spans="1:234" s="206" customFormat="1" ht="13.5" hidden="1" customHeight="1" x14ac:dyDescent="0.25">
      <c r="A349" s="541" t="s">
        <v>2122</v>
      </c>
      <c r="B349" s="523" t="s">
        <v>2121</v>
      </c>
      <c r="C349" s="524" t="s">
        <v>2120</v>
      </c>
      <c r="D349" s="551" t="s">
        <v>189</v>
      </c>
      <c r="E349" s="569" t="s">
        <v>3228</v>
      </c>
      <c r="F349" s="543">
        <v>40855</v>
      </c>
      <c r="G349" s="544">
        <v>40787</v>
      </c>
      <c r="H349" s="544">
        <v>40847</v>
      </c>
      <c r="I349" s="616">
        <v>41971</v>
      </c>
      <c r="J349" s="579">
        <v>10</v>
      </c>
      <c r="K349" s="553" t="s">
        <v>3229</v>
      </c>
      <c r="L349" s="552" t="s">
        <v>3229</v>
      </c>
      <c r="M349" s="560">
        <v>0</v>
      </c>
      <c r="N349" s="606" t="s">
        <v>3229</v>
      </c>
      <c r="O349" s="613">
        <v>0.4</v>
      </c>
      <c r="P349" s="575">
        <v>0.4</v>
      </c>
      <c r="Q349" s="575" t="s">
        <v>3229</v>
      </c>
      <c r="R349" s="575" t="s">
        <v>3229</v>
      </c>
      <c r="S349" s="570"/>
      <c r="T349" s="617" t="s">
        <v>3229</v>
      </c>
      <c r="U349" s="563" t="s">
        <v>3229</v>
      </c>
      <c r="V349" s="563" t="s">
        <v>3229</v>
      </c>
      <c r="W349" s="563" t="s">
        <v>3229</v>
      </c>
      <c r="X349" s="563" t="s">
        <v>3229</v>
      </c>
      <c r="Y349" s="598" t="s">
        <v>3229</v>
      </c>
      <c r="Z349" s="598" t="s">
        <v>3229</v>
      </c>
      <c r="AA349" s="598" t="s">
        <v>3229</v>
      </c>
      <c r="AB349" s="598" t="s">
        <v>3229</v>
      </c>
      <c r="AC349" s="598" t="s">
        <v>3229</v>
      </c>
      <c r="AD349" s="598" t="s">
        <v>3229</v>
      </c>
      <c r="AE349" s="598" t="s">
        <v>3229</v>
      </c>
      <c r="AF349" s="3764" t="s">
        <v>781</v>
      </c>
      <c r="AG349" s="3765"/>
      <c r="AH349" s="1301">
        <v>1</v>
      </c>
      <c r="AI349" s="1301" t="s">
        <v>3229</v>
      </c>
      <c r="AJ349" s="1301" t="s">
        <v>3229</v>
      </c>
      <c r="AK349" s="530" t="s">
        <v>3229</v>
      </c>
      <c r="AL349" s="530" t="s">
        <v>3229</v>
      </c>
      <c r="AM349" s="659" t="s">
        <v>3229</v>
      </c>
      <c r="AN349" s="638">
        <f>'klikací hodnoty'!F10240</f>
        <v>0</v>
      </c>
      <c r="AO349" s="625">
        <v>10.49</v>
      </c>
      <c r="AP349" s="1368" t="s">
        <v>3229</v>
      </c>
      <c r="AQ349" s="606" t="s">
        <v>3229</v>
      </c>
      <c r="AR349" s="600">
        <f>'klikací hodnoty'!F10240</f>
        <v>0</v>
      </c>
      <c r="AS349" s="548">
        <f t="shared" si="77"/>
        <v>0</v>
      </c>
      <c r="AT349" s="548">
        <f t="shared" si="78"/>
        <v>-4.6711153479504275E-2</v>
      </c>
      <c r="AU349" s="549" t="e">
        <f t="shared" si="79"/>
        <v>#DIV/0!</v>
      </c>
      <c r="AV349" s="558">
        <f t="shared" si="80"/>
        <v>0</v>
      </c>
      <c r="AW349" s="558">
        <f t="shared" si="74"/>
        <v>0</v>
      </c>
      <c r="AX349" s="589">
        <f t="shared" si="81"/>
        <v>-4.6711153479504275E-2</v>
      </c>
      <c r="AY349" s="587" t="e">
        <f t="shared" si="82"/>
        <v>#DIV/0!</v>
      </c>
      <c r="AZ349" s="676">
        <f t="shared" si="73"/>
        <v>10</v>
      </c>
      <c r="BA349" s="581" t="s">
        <v>947</v>
      </c>
      <c r="BB349" s="570"/>
      <c r="BC349" s="581"/>
      <c r="BD349" s="3691"/>
      <c r="BE349" s="3743"/>
      <c r="BF349" s="3743"/>
      <c r="BG349" s="3708"/>
      <c r="BH349" s="3762"/>
      <c r="BI349" s="3762"/>
      <c r="BJ349" s="39"/>
      <c r="BK349" s="39"/>
      <c r="BL349" s="39"/>
      <c r="BM349" s="39"/>
      <c r="BN349" s="39"/>
      <c r="BO349" s="39"/>
      <c r="BP349" s="39"/>
      <c r="BQ349" s="39"/>
      <c r="BR349" s="39"/>
      <c r="BS349" s="507"/>
      <c r="BT349" s="507"/>
      <c r="BU349" s="507"/>
      <c r="BV349" s="507"/>
      <c r="BW349" s="507"/>
      <c r="BX349" s="507"/>
      <c r="BY349" s="507"/>
      <c r="BZ349" s="507"/>
      <c r="CA349" s="507"/>
      <c r="CB349" s="507"/>
      <c r="CC349" s="507"/>
      <c r="CD349" s="507"/>
      <c r="CE349" s="507"/>
      <c r="CF349" s="507"/>
      <c r="CG349" s="507"/>
      <c r="CH349" s="507"/>
      <c r="CI349" s="507"/>
      <c r="CJ349" s="507"/>
      <c r="CK349" s="507"/>
      <c r="CL349" s="507"/>
      <c r="CM349" s="507"/>
      <c r="CN349" s="507"/>
      <c r="CO349" s="507"/>
      <c r="CP349" s="507"/>
      <c r="CQ349" s="507"/>
      <c r="CR349" s="507"/>
      <c r="CS349" s="507"/>
      <c r="CT349" s="507"/>
      <c r="CU349" s="507"/>
      <c r="CV349" s="507"/>
      <c r="CW349" s="507"/>
      <c r="CX349" s="507"/>
      <c r="CY349" s="507"/>
      <c r="CZ349" s="507"/>
      <c r="DA349" s="507"/>
      <c r="DB349" s="507"/>
      <c r="DC349" s="507"/>
      <c r="DD349" s="507"/>
      <c r="DE349" s="507"/>
      <c r="DF349" s="507"/>
      <c r="DG349" s="507"/>
      <c r="DH349" s="507"/>
      <c r="DI349" s="507"/>
      <c r="DJ349" s="507"/>
      <c r="DK349" s="507"/>
      <c r="DL349" s="507"/>
      <c r="DM349" s="507"/>
      <c r="DN349" s="507"/>
      <c r="DO349" s="507"/>
      <c r="DP349" s="507"/>
      <c r="DQ349" s="507"/>
      <c r="DR349" s="507"/>
      <c r="DS349" s="507"/>
      <c r="DT349" s="507"/>
      <c r="DU349" s="507"/>
      <c r="DV349" s="507"/>
      <c r="DW349" s="507"/>
      <c r="DX349" s="507"/>
      <c r="DY349" s="507"/>
      <c r="DZ349" s="507"/>
      <c r="EA349" s="507"/>
      <c r="EB349" s="507"/>
      <c r="EC349" s="507"/>
      <c r="ED349" s="507"/>
      <c r="EE349" s="507"/>
      <c r="EF349" s="507"/>
      <c r="EG349" s="507"/>
      <c r="EH349" s="507"/>
      <c r="EI349" s="507"/>
      <c r="EJ349" s="507"/>
      <c r="EK349" s="507"/>
      <c r="EL349" s="507"/>
      <c r="EM349" s="507"/>
      <c r="EN349" s="507"/>
      <c r="EO349" s="507"/>
      <c r="EP349" s="507"/>
      <c r="EQ349" s="507"/>
      <c r="ER349" s="507"/>
      <c r="ES349" s="507"/>
      <c r="ET349" s="507"/>
      <c r="EU349" s="507"/>
      <c r="EV349" s="507"/>
      <c r="EW349" s="507"/>
      <c r="EX349" s="507"/>
      <c r="EY349" s="507"/>
      <c r="EZ349" s="507"/>
      <c r="FA349" s="507"/>
      <c r="FB349" s="507"/>
      <c r="FC349" s="507"/>
      <c r="FD349" s="507"/>
      <c r="FE349" s="507"/>
      <c r="FF349" s="507"/>
      <c r="FG349" s="507"/>
      <c r="FH349" s="507"/>
      <c r="FI349" s="507"/>
      <c r="FJ349" s="507"/>
      <c r="FK349" s="507"/>
      <c r="FL349" s="507"/>
      <c r="FM349" s="507"/>
      <c r="FN349" s="507"/>
      <c r="FO349" s="507"/>
      <c r="FP349" s="507"/>
      <c r="FQ349" s="507"/>
      <c r="FR349" s="507"/>
      <c r="FS349" s="507"/>
      <c r="FT349" s="507"/>
      <c r="FU349" s="507"/>
      <c r="FV349" s="507"/>
      <c r="FW349" s="507"/>
      <c r="FX349" s="507"/>
      <c r="FY349" s="507"/>
      <c r="FZ349" s="507"/>
      <c r="GA349" s="507"/>
      <c r="GB349" s="507"/>
      <c r="GC349" s="507"/>
      <c r="GD349" s="507"/>
      <c r="GE349" s="507"/>
      <c r="GF349" s="507"/>
      <c r="GG349" s="507"/>
      <c r="GH349" s="507"/>
      <c r="GI349" s="507"/>
      <c r="GJ349" s="507"/>
      <c r="GK349" s="507"/>
      <c r="GL349" s="507"/>
      <c r="GM349" s="507"/>
      <c r="GN349" s="507"/>
      <c r="GO349" s="507"/>
      <c r="GP349" s="507"/>
      <c r="GQ349" s="507"/>
      <c r="GR349" s="507"/>
      <c r="GS349" s="507"/>
      <c r="GT349" s="507"/>
      <c r="GU349" s="507"/>
      <c r="GV349" s="507"/>
      <c r="GW349" s="507"/>
      <c r="GX349" s="507"/>
      <c r="GY349" s="507"/>
      <c r="GZ349" s="507"/>
      <c r="HA349" s="507"/>
      <c r="HB349" s="507"/>
      <c r="HC349" s="507"/>
      <c r="HD349" s="507"/>
      <c r="HE349" s="507"/>
      <c r="HF349" s="507"/>
      <c r="HG349" s="507"/>
      <c r="HH349" s="507"/>
      <c r="HI349" s="507"/>
      <c r="HJ349" s="507"/>
      <c r="HK349" s="507"/>
      <c r="HL349" s="507"/>
      <c r="HM349" s="507"/>
      <c r="HN349" s="507"/>
      <c r="HO349" s="507"/>
      <c r="HP349" s="507"/>
      <c r="HQ349" s="507"/>
      <c r="HR349" s="507"/>
      <c r="HS349" s="507"/>
      <c r="HT349" s="507"/>
      <c r="HU349" s="507"/>
      <c r="HV349" s="507"/>
      <c r="HW349" s="507"/>
      <c r="HX349" s="507"/>
      <c r="HY349" s="507"/>
      <c r="HZ349" s="507"/>
    </row>
    <row r="350" spans="1:234" s="206" customFormat="1" ht="13.5" hidden="1" customHeight="1" x14ac:dyDescent="0.25">
      <c r="A350" s="541" t="s">
        <v>4603</v>
      </c>
      <c r="B350" s="523" t="s">
        <v>4604</v>
      </c>
      <c r="C350" s="524" t="s">
        <v>4605</v>
      </c>
      <c r="D350" s="551" t="s">
        <v>189</v>
      </c>
      <c r="E350" s="569" t="s">
        <v>3228</v>
      </c>
      <c r="F350" s="543">
        <v>40884</v>
      </c>
      <c r="G350" s="544">
        <v>40833</v>
      </c>
      <c r="H350" s="544">
        <v>40877</v>
      </c>
      <c r="I350" s="616">
        <v>42916</v>
      </c>
      <c r="J350" s="579">
        <v>10</v>
      </c>
      <c r="K350" s="553" t="s">
        <v>3229</v>
      </c>
      <c r="L350" s="552" t="s">
        <v>3229</v>
      </c>
      <c r="M350" s="560">
        <v>0</v>
      </c>
      <c r="N350" s="606">
        <v>0.5</v>
      </c>
      <c r="O350" s="613">
        <v>1</v>
      </c>
      <c r="P350" s="575" t="s">
        <v>3229</v>
      </c>
      <c r="Q350" s="575" t="s">
        <v>3229</v>
      </c>
      <c r="R350" s="575" t="s">
        <v>3229</v>
      </c>
      <c r="S350" s="570"/>
      <c r="T350" s="617" t="s">
        <v>3229</v>
      </c>
      <c r="U350" s="563" t="s">
        <v>3229</v>
      </c>
      <c r="V350" s="563" t="s">
        <v>3229</v>
      </c>
      <c r="W350" s="563" t="s">
        <v>3229</v>
      </c>
      <c r="X350" s="563" t="s">
        <v>3229</v>
      </c>
      <c r="Y350" s="598" t="s">
        <v>3229</v>
      </c>
      <c r="Z350" s="598" t="s">
        <v>3229</v>
      </c>
      <c r="AA350" s="598" t="s">
        <v>3229</v>
      </c>
      <c r="AB350" s="598" t="s">
        <v>3229</v>
      </c>
      <c r="AC350" s="598" t="s">
        <v>3229</v>
      </c>
      <c r="AD350" s="598" t="s">
        <v>3229</v>
      </c>
      <c r="AE350" s="598" t="s">
        <v>3229</v>
      </c>
      <c r="AF350" s="3764" t="s">
        <v>781</v>
      </c>
      <c r="AG350" s="3765"/>
      <c r="AH350" s="1301" t="s">
        <v>3229</v>
      </c>
      <c r="AI350" s="1301" t="s">
        <v>3229</v>
      </c>
      <c r="AJ350" s="1301" t="s">
        <v>3229</v>
      </c>
      <c r="AK350" s="530" t="s">
        <v>3229</v>
      </c>
      <c r="AL350" s="530" t="s">
        <v>3229</v>
      </c>
      <c r="AM350" s="659">
        <v>1</v>
      </c>
      <c r="AN350" s="638">
        <f>+'klikací hodnoty'!F10787</f>
        <v>0.28755930555555559</v>
      </c>
      <c r="AO350" s="625">
        <v>12.88</v>
      </c>
      <c r="AP350" s="688">
        <f>+'klikací hodnoty'!T10777</f>
        <v>0.57511861111111118</v>
      </c>
      <c r="AQ350" s="606">
        <f>+'klikací hodnoty'!F10786</f>
        <v>0.62711747335985979</v>
      </c>
      <c r="AR350" s="600">
        <f t="shared" si="83"/>
        <v>1</v>
      </c>
      <c r="AS350" s="548">
        <f t="shared" si="77"/>
        <v>0.13259022552521493</v>
      </c>
      <c r="AT350" s="548">
        <f t="shared" si="78"/>
        <v>0.55279503105590044</v>
      </c>
      <c r="AU350" s="549" t="e">
        <f t="shared" si="79"/>
        <v>#DIV/0!</v>
      </c>
      <c r="AV350" s="558">
        <v>0.28560000000000002</v>
      </c>
      <c r="AW350" s="558">
        <f t="shared" si="74"/>
        <v>4.6160331064432736E-2</v>
      </c>
      <c r="AX350" s="589">
        <f t="shared" si="81"/>
        <v>-1.8633540372670065E-3</v>
      </c>
      <c r="AY350" s="587" t="e">
        <f t="shared" si="82"/>
        <v>#DIV/0!</v>
      </c>
      <c r="AZ350" s="676">
        <f t="shared" si="73"/>
        <v>12.856000000000002</v>
      </c>
      <c r="BA350" s="581" t="s">
        <v>4427</v>
      </c>
      <c r="BB350" s="570"/>
      <c r="BC350" s="581"/>
      <c r="BD350" s="3691"/>
      <c r="BE350" s="3743"/>
      <c r="BF350" s="3743"/>
      <c r="BG350" s="3708"/>
      <c r="BH350" s="3762"/>
      <c r="BI350" s="3762"/>
      <c r="BJ350" s="39"/>
      <c r="BK350" s="39"/>
      <c r="BL350" s="39"/>
      <c r="BM350" s="39"/>
      <c r="BN350" s="39"/>
      <c r="BO350" s="39"/>
      <c r="BP350" s="39"/>
      <c r="BQ350" s="39"/>
      <c r="BR350" s="39"/>
      <c r="BS350" s="507"/>
      <c r="BT350" s="507"/>
      <c r="BU350" s="507"/>
      <c r="BV350" s="507"/>
      <c r="BW350" s="507"/>
      <c r="BX350" s="507"/>
      <c r="BY350" s="507"/>
      <c r="BZ350" s="507"/>
      <c r="CA350" s="507"/>
      <c r="CB350" s="507"/>
      <c r="CC350" s="507"/>
      <c r="CD350" s="507"/>
      <c r="CE350" s="507"/>
      <c r="CF350" s="507"/>
      <c r="CG350" s="507"/>
      <c r="CH350" s="507"/>
      <c r="CI350" s="507"/>
      <c r="CJ350" s="507"/>
      <c r="CK350" s="507"/>
      <c r="CL350" s="507"/>
      <c r="CM350" s="507"/>
      <c r="CN350" s="507"/>
      <c r="CO350" s="507"/>
      <c r="CP350" s="507"/>
      <c r="CQ350" s="507"/>
      <c r="CR350" s="507"/>
      <c r="CS350" s="507"/>
      <c r="CT350" s="507"/>
      <c r="CU350" s="507"/>
      <c r="CV350" s="507"/>
      <c r="CW350" s="507"/>
      <c r="CX350" s="507"/>
      <c r="CY350" s="507"/>
      <c r="CZ350" s="507"/>
      <c r="DA350" s="507"/>
      <c r="DB350" s="507"/>
      <c r="DC350" s="507"/>
      <c r="DD350" s="507"/>
      <c r="DE350" s="507"/>
      <c r="DF350" s="507"/>
      <c r="DG350" s="507"/>
      <c r="DH350" s="507"/>
      <c r="DI350" s="507"/>
      <c r="DJ350" s="507"/>
      <c r="DK350" s="507"/>
      <c r="DL350" s="507"/>
      <c r="DM350" s="507"/>
      <c r="DN350" s="507"/>
      <c r="DO350" s="507"/>
      <c r="DP350" s="507"/>
      <c r="DQ350" s="507"/>
      <c r="DR350" s="507"/>
      <c r="DS350" s="507"/>
      <c r="DT350" s="507"/>
      <c r="DU350" s="507"/>
      <c r="DV350" s="507"/>
      <c r="DW350" s="507"/>
      <c r="DX350" s="507"/>
      <c r="DY350" s="507"/>
      <c r="DZ350" s="507"/>
      <c r="EA350" s="507"/>
      <c r="EB350" s="507"/>
      <c r="EC350" s="507"/>
      <c r="ED350" s="507"/>
      <c r="EE350" s="507"/>
      <c r="EF350" s="507"/>
      <c r="EG350" s="507"/>
      <c r="EH350" s="507"/>
      <c r="EI350" s="507"/>
      <c r="EJ350" s="507"/>
      <c r="EK350" s="507"/>
      <c r="EL350" s="507"/>
      <c r="EM350" s="507"/>
      <c r="EN350" s="507"/>
      <c r="EO350" s="507"/>
      <c r="EP350" s="507"/>
      <c r="EQ350" s="507"/>
      <c r="ER350" s="507"/>
      <c r="ES350" s="507"/>
      <c r="ET350" s="507"/>
      <c r="EU350" s="507"/>
      <c r="EV350" s="507"/>
      <c r="EW350" s="507"/>
      <c r="EX350" s="507"/>
      <c r="EY350" s="507"/>
      <c r="EZ350" s="507"/>
      <c r="FA350" s="507"/>
      <c r="FB350" s="507"/>
      <c r="FC350" s="507"/>
      <c r="FD350" s="507"/>
      <c r="FE350" s="507"/>
      <c r="FF350" s="507"/>
      <c r="FG350" s="507"/>
      <c r="FH350" s="507"/>
      <c r="FI350" s="507"/>
      <c r="FJ350" s="507"/>
      <c r="FK350" s="507"/>
      <c r="FL350" s="507"/>
      <c r="FM350" s="507"/>
      <c r="FN350" s="507"/>
      <c r="FO350" s="507"/>
      <c r="FP350" s="507"/>
      <c r="FQ350" s="507"/>
      <c r="FR350" s="507"/>
      <c r="FS350" s="507"/>
      <c r="FT350" s="507"/>
      <c r="FU350" s="507"/>
      <c r="FV350" s="507"/>
      <c r="FW350" s="507"/>
      <c r="FX350" s="507"/>
      <c r="FY350" s="507"/>
      <c r="FZ350" s="507"/>
      <c r="GA350" s="507"/>
      <c r="GB350" s="507"/>
      <c r="GC350" s="507"/>
      <c r="GD350" s="507"/>
      <c r="GE350" s="507"/>
      <c r="GF350" s="507"/>
      <c r="GG350" s="507"/>
      <c r="GH350" s="507"/>
      <c r="GI350" s="507"/>
      <c r="GJ350" s="507"/>
      <c r="GK350" s="507"/>
      <c r="GL350" s="507"/>
      <c r="GM350" s="507"/>
      <c r="GN350" s="507"/>
      <c r="GO350" s="507"/>
      <c r="GP350" s="507"/>
      <c r="GQ350" s="507"/>
      <c r="GR350" s="507"/>
      <c r="GS350" s="507"/>
      <c r="GT350" s="507"/>
      <c r="GU350" s="507"/>
      <c r="GV350" s="507"/>
      <c r="GW350" s="507"/>
      <c r="GX350" s="507"/>
      <c r="GY350" s="507"/>
      <c r="GZ350" s="507"/>
      <c r="HA350" s="507"/>
      <c r="HB350" s="507"/>
      <c r="HC350" s="507"/>
      <c r="HD350" s="507"/>
      <c r="HE350" s="507"/>
      <c r="HF350" s="507"/>
      <c r="HG350" s="507"/>
      <c r="HH350" s="507"/>
      <c r="HI350" s="507"/>
      <c r="HJ350" s="507"/>
      <c r="HK350" s="507"/>
      <c r="HL350" s="507"/>
      <c r="HM350" s="507"/>
      <c r="HN350" s="507"/>
      <c r="HO350" s="507"/>
      <c r="HP350" s="507"/>
      <c r="HQ350" s="507"/>
      <c r="HR350" s="507"/>
      <c r="HS350" s="507"/>
      <c r="HT350" s="507"/>
      <c r="HU350" s="507"/>
      <c r="HV350" s="507"/>
      <c r="HW350" s="507"/>
      <c r="HX350" s="507"/>
      <c r="HY350" s="507"/>
      <c r="HZ350" s="507"/>
    </row>
    <row r="351" spans="1:234" s="206" customFormat="1" ht="13.5" hidden="1" customHeight="1" x14ac:dyDescent="0.25">
      <c r="A351" s="541" t="s">
        <v>4794</v>
      </c>
      <c r="B351" s="523" t="s">
        <v>4793</v>
      </c>
      <c r="C351" s="524" t="s">
        <v>4795</v>
      </c>
      <c r="D351" s="551" t="s">
        <v>4796</v>
      </c>
      <c r="E351" s="569" t="s">
        <v>3228</v>
      </c>
      <c r="F351" s="543">
        <v>40919</v>
      </c>
      <c r="G351" s="544">
        <v>40847</v>
      </c>
      <c r="H351" s="544">
        <v>40912</v>
      </c>
      <c r="I351" s="616">
        <v>43921</v>
      </c>
      <c r="J351" s="579">
        <v>10</v>
      </c>
      <c r="K351" s="553">
        <v>0</v>
      </c>
      <c r="L351" s="552">
        <v>7.0000000000000007E-2</v>
      </c>
      <c r="M351" s="560">
        <v>0.05</v>
      </c>
      <c r="N351" s="606" t="s">
        <v>3229</v>
      </c>
      <c r="O351" s="613">
        <v>0.56000000000000005</v>
      </c>
      <c r="P351" s="575" t="s">
        <v>3229</v>
      </c>
      <c r="Q351" s="575" t="s">
        <v>3229</v>
      </c>
      <c r="R351" s="575" t="s">
        <v>3229</v>
      </c>
      <c r="S351" s="570">
        <v>8</v>
      </c>
      <c r="T351" s="617">
        <v>41244</v>
      </c>
      <c r="U351" s="563">
        <v>41609</v>
      </c>
      <c r="V351" s="563">
        <v>41974</v>
      </c>
      <c r="W351" s="563">
        <v>42339</v>
      </c>
      <c r="X351" s="563">
        <v>42705</v>
      </c>
      <c r="Y351" s="598">
        <v>43070</v>
      </c>
      <c r="Z351" s="598">
        <v>43435</v>
      </c>
      <c r="AA351" s="598">
        <v>43862</v>
      </c>
      <c r="AB351" s="598" t="s">
        <v>3229</v>
      </c>
      <c r="AC351" s="598" t="s">
        <v>3229</v>
      </c>
      <c r="AD351" s="598" t="s">
        <v>3229</v>
      </c>
      <c r="AE351" s="598" t="s">
        <v>3229</v>
      </c>
      <c r="AF351" s="3764" t="s">
        <v>781</v>
      </c>
      <c r="AG351" s="3765"/>
      <c r="AH351" s="1301" t="s">
        <v>3229</v>
      </c>
      <c r="AI351" s="1301" t="s">
        <v>3229</v>
      </c>
      <c r="AJ351" s="1301" t="s">
        <v>3229</v>
      </c>
      <c r="AK351" s="530" t="s">
        <v>3229</v>
      </c>
      <c r="AL351" s="530" t="s">
        <v>3229</v>
      </c>
      <c r="AM351" s="659">
        <v>1</v>
      </c>
      <c r="AN351" s="638">
        <f>'klikací hodnoty'!F10541</f>
        <v>0.294873</v>
      </c>
      <c r="AO351" s="625">
        <v>6.47</v>
      </c>
      <c r="AP351" s="688">
        <f>'klikací hodnoty'!F10529</f>
        <v>2.0113187101455526E-2</v>
      </c>
      <c r="AQ351" s="606">
        <f>'klikací hodnoty'!E10529</f>
        <v>0.58234339167969973</v>
      </c>
      <c r="AR351" s="600">
        <f t="shared" si="83"/>
        <v>0.56000000000000005</v>
      </c>
      <c r="AS351" s="548">
        <f t="shared" si="77"/>
        <v>5.5555740684636534E-2</v>
      </c>
      <c r="AT351" s="548">
        <f t="shared" si="78"/>
        <v>1.4111282843894903</v>
      </c>
      <c r="AU351" s="549" t="e">
        <f t="shared" si="79"/>
        <v>#DIV/0!</v>
      </c>
      <c r="AV351" s="558">
        <f t="shared" si="80"/>
        <v>0.05</v>
      </c>
      <c r="AW351" s="558">
        <f t="shared" si="74"/>
        <v>5.9498120881593675E-3</v>
      </c>
      <c r="AX351" s="589">
        <f t="shared" si="81"/>
        <v>0.62287480680061824</v>
      </c>
      <c r="AY351" s="587" t="e">
        <f t="shared" si="82"/>
        <v>#DIV/0!</v>
      </c>
      <c r="AZ351" s="676">
        <f>J351/2</f>
        <v>5</v>
      </c>
      <c r="BA351" s="581" t="s">
        <v>3327</v>
      </c>
      <c r="BB351" s="570"/>
      <c r="BC351" s="581"/>
      <c r="BD351" s="3691"/>
      <c r="BE351" s="3743"/>
      <c r="BF351" s="3743"/>
      <c r="BG351" s="3708"/>
      <c r="BH351" s="3762"/>
      <c r="BI351" s="3762"/>
      <c r="BJ351" s="39"/>
      <c r="BK351" s="39"/>
      <c r="BL351" s="39"/>
      <c r="BM351" s="39"/>
      <c r="BN351" s="39"/>
      <c r="BO351" s="39"/>
      <c r="BP351" s="39"/>
      <c r="BQ351" s="39"/>
      <c r="BR351" s="39"/>
      <c r="BS351" s="507"/>
      <c r="BT351" s="507"/>
      <c r="BU351" s="507"/>
      <c r="BV351" s="507"/>
      <c r="BW351" s="507"/>
      <c r="BX351" s="507"/>
      <c r="BY351" s="507"/>
      <c r="BZ351" s="507"/>
      <c r="CA351" s="507"/>
      <c r="CB351" s="507"/>
      <c r="CC351" s="507"/>
      <c r="CD351" s="507"/>
      <c r="CE351" s="507"/>
      <c r="CF351" s="507"/>
      <c r="CG351" s="507"/>
      <c r="CH351" s="507"/>
      <c r="CI351" s="507"/>
      <c r="CJ351" s="507"/>
      <c r="CK351" s="507"/>
      <c r="CL351" s="507"/>
      <c r="CM351" s="507"/>
      <c r="CN351" s="507"/>
      <c r="CO351" s="507"/>
      <c r="CP351" s="507"/>
      <c r="CQ351" s="507"/>
      <c r="CR351" s="507"/>
      <c r="CS351" s="507"/>
      <c r="CT351" s="507"/>
      <c r="CU351" s="507"/>
      <c r="CV351" s="507"/>
      <c r="CW351" s="507"/>
      <c r="CX351" s="507"/>
      <c r="CY351" s="507"/>
      <c r="CZ351" s="507"/>
      <c r="DA351" s="507"/>
      <c r="DB351" s="507"/>
      <c r="DC351" s="507"/>
      <c r="DD351" s="507"/>
      <c r="DE351" s="507"/>
      <c r="DF351" s="507"/>
      <c r="DG351" s="507"/>
      <c r="DH351" s="507"/>
      <c r="DI351" s="507"/>
      <c r="DJ351" s="507"/>
      <c r="DK351" s="507"/>
      <c r="DL351" s="507"/>
      <c r="DM351" s="507"/>
      <c r="DN351" s="507"/>
      <c r="DO351" s="507"/>
      <c r="DP351" s="507"/>
      <c r="DQ351" s="507"/>
      <c r="DR351" s="507"/>
      <c r="DS351" s="507"/>
      <c r="DT351" s="507"/>
      <c r="DU351" s="507"/>
      <c r="DV351" s="507"/>
      <c r="DW351" s="507"/>
      <c r="DX351" s="507"/>
      <c r="DY351" s="507"/>
      <c r="DZ351" s="507"/>
      <c r="EA351" s="507"/>
      <c r="EB351" s="507"/>
      <c r="EC351" s="507"/>
      <c r="ED351" s="507"/>
      <c r="EE351" s="507"/>
      <c r="EF351" s="507"/>
      <c r="EG351" s="507"/>
      <c r="EH351" s="507"/>
      <c r="EI351" s="507"/>
      <c r="EJ351" s="507"/>
      <c r="EK351" s="507"/>
      <c r="EL351" s="507"/>
      <c r="EM351" s="507"/>
      <c r="EN351" s="507"/>
      <c r="EO351" s="507"/>
      <c r="EP351" s="507"/>
      <c r="EQ351" s="507"/>
      <c r="ER351" s="507"/>
      <c r="ES351" s="507"/>
      <c r="ET351" s="507"/>
      <c r="EU351" s="507"/>
      <c r="EV351" s="507"/>
      <c r="EW351" s="507"/>
      <c r="EX351" s="507"/>
      <c r="EY351" s="507"/>
      <c r="EZ351" s="507"/>
      <c r="FA351" s="507"/>
      <c r="FB351" s="507"/>
      <c r="FC351" s="507"/>
      <c r="FD351" s="507"/>
      <c r="FE351" s="507"/>
      <c r="FF351" s="507"/>
      <c r="FG351" s="507"/>
      <c r="FH351" s="507"/>
      <c r="FI351" s="507"/>
      <c r="FJ351" s="507"/>
      <c r="FK351" s="507"/>
      <c r="FL351" s="507"/>
      <c r="FM351" s="507"/>
      <c r="FN351" s="507"/>
      <c r="FO351" s="507"/>
      <c r="FP351" s="507"/>
      <c r="FQ351" s="507"/>
      <c r="FR351" s="507"/>
      <c r="FS351" s="507"/>
      <c r="FT351" s="507"/>
      <c r="FU351" s="507"/>
      <c r="FV351" s="507"/>
      <c r="FW351" s="507"/>
      <c r="FX351" s="507"/>
      <c r="FY351" s="507"/>
      <c r="FZ351" s="507"/>
      <c r="GA351" s="507"/>
      <c r="GB351" s="507"/>
      <c r="GC351" s="507"/>
      <c r="GD351" s="507"/>
      <c r="GE351" s="507"/>
      <c r="GF351" s="507"/>
      <c r="GG351" s="507"/>
      <c r="GH351" s="507"/>
      <c r="GI351" s="507"/>
      <c r="GJ351" s="507"/>
      <c r="GK351" s="507"/>
      <c r="GL351" s="507"/>
      <c r="GM351" s="507"/>
      <c r="GN351" s="507"/>
      <c r="GO351" s="507"/>
      <c r="GP351" s="507"/>
      <c r="GQ351" s="507"/>
      <c r="GR351" s="507"/>
      <c r="GS351" s="507"/>
      <c r="GT351" s="507"/>
      <c r="GU351" s="507"/>
      <c r="GV351" s="507"/>
      <c r="GW351" s="507"/>
      <c r="GX351" s="507"/>
      <c r="GY351" s="507"/>
      <c r="GZ351" s="507"/>
      <c r="HA351" s="507"/>
      <c r="HB351" s="507"/>
      <c r="HC351" s="507"/>
      <c r="HD351" s="507"/>
      <c r="HE351" s="507"/>
      <c r="HF351" s="507"/>
      <c r="HG351" s="507"/>
      <c r="HH351" s="507"/>
      <c r="HI351" s="507"/>
      <c r="HJ351" s="507"/>
      <c r="HK351" s="507"/>
      <c r="HL351" s="507"/>
      <c r="HM351" s="507"/>
      <c r="HN351" s="507"/>
      <c r="HO351" s="507"/>
      <c r="HP351" s="507"/>
      <c r="HQ351" s="507"/>
      <c r="HR351" s="507"/>
      <c r="HS351" s="507"/>
      <c r="HT351" s="507"/>
      <c r="HU351" s="507"/>
      <c r="HV351" s="507"/>
      <c r="HW351" s="507"/>
      <c r="HX351" s="507"/>
      <c r="HY351" s="507"/>
      <c r="HZ351" s="507"/>
    </row>
    <row r="352" spans="1:234" s="206" customFormat="1" ht="13.5" hidden="1" customHeight="1" x14ac:dyDescent="0.25">
      <c r="A352" s="541" t="s">
        <v>4798</v>
      </c>
      <c r="B352" s="523" t="s">
        <v>4797</v>
      </c>
      <c r="C352" s="524" t="s">
        <v>4874</v>
      </c>
      <c r="D352" s="551" t="s">
        <v>1859</v>
      </c>
      <c r="E352" s="569" t="s">
        <v>3228</v>
      </c>
      <c r="F352" s="543">
        <v>40907</v>
      </c>
      <c r="G352" s="544">
        <v>40848</v>
      </c>
      <c r="H352" s="544">
        <v>40899</v>
      </c>
      <c r="I352" s="616">
        <v>42916</v>
      </c>
      <c r="J352" s="579">
        <v>10</v>
      </c>
      <c r="K352" s="553">
        <v>0</v>
      </c>
      <c r="L352" s="552">
        <v>0.06</v>
      </c>
      <c r="M352" s="560">
        <v>2.5000000000000001E-2</v>
      </c>
      <c r="N352" s="606" t="s">
        <v>3229</v>
      </c>
      <c r="O352" s="613">
        <v>0.26500000000000001</v>
      </c>
      <c r="P352" s="575" t="s">
        <v>3229</v>
      </c>
      <c r="Q352" s="575">
        <v>2.5000000000000001E-2</v>
      </c>
      <c r="R352" s="575" t="s">
        <v>3229</v>
      </c>
      <c r="S352" s="570">
        <v>5</v>
      </c>
      <c r="T352" s="617">
        <v>41244</v>
      </c>
      <c r="U352" s="563">
        <v>41609</v>
      </c>
      <c r="V352" s="563">
        <v>41974</v>
      </c>
      <c r="W352" s="563">
        <v>42339</v>
      </c>
      <c r="X352" s="563">
        <v>42856</v>
      </c>
      <c r="Y352" s="598" t="s">
        <v>3229</v>
      </c>
      <c r="Z352" s="598" t="s">
        <v>3229</v>
      </c>
      <c r="AA352" s="598" t="s">
        <v>3229</v>
      </c>
      <c r="AB352" s="598" t="s">
        <v>3229</v>
      </c>
      <c r="AC352" s="598" t="s">
        <v>3229</v>
      </c>
      <c r="AD352" s="598" t="s">
        <v>3229</v>
      </c>
      <c r="AE352" s="598" t="s">
        <v>3229</v>
      </c>
      <c r="AF352" s="3764" t="s">
        <v>781</v>
      </c>
      <c r="AG352" s="3765"/>
      <c r="AH352" s="1301" t="s">
        <v>3229</v>
      </c>
      <c r="AI352" s="1301" t="s">
        <v>3229</v>
      </c>
      <c r="AJ352" s="1301" t="s">
        <v>3229</v>
      </c>
      <c r="AK352" s="530" t="s">
        <v>3229</v>
      </c>
      <c r="AL352" s="530" t="s">
        <v>3229</v>
      </c>
      <c r="AM352" s="659">
        <v>1</v>
      </c>
      <c r="AN352" s="638">
        <f>'klikací hodnoty'!F10504</f>
        <v>0.17279100000000008</v>
      </c>
      <c r="AO352" s="625">
        <v>11.73</v>
      </c>
      <c r="AP352" s="688">
        <f>'klikací hodnoty'!F10496</f>
        <v>4.7306908762959371E-2</v>
      </c>
      <c r="AQ352" s="606">
        <f>'klikací hodnoty'!E10496</f>
        <v>0.62429570218760611</v>
      </c>
      <c r="AR352" s="600">
        <f t="shared" si="83"/>
        <v>0.26500000000000001</v>
      </c>
      <c r="AS352" s="548">
        <f t="shared" si="77"/>
        <v>4.3633604339530452E-2</v>
      </c>
      <c r="AT352" s="548">
        <f t="shared" si="78"/>
        <v>7.8431372549019773E-2</v>
      </c>
      <c r="AU352" s="549" t="e">
        <f t="shared" si="79"/>
        <v>#DIV/0!</v>
      </c>
      <c r="AV352" s="558">
        <f t="shared" si="80"/>
        <v>2.5000000000000001E-2</v>
      </c>
      <c r="AW352" s="558">
        <f t="shared" si="74"/>
        <v>4.4962919580069372E-3</v>
      </c>
      <c r="AX352" s="589">
        <f t="shared" si="81"/>
        <v>-0.12617220801364026</v>
      </c>
      <c r="AY352" s="587" t="e">
        <f t="shared" si="82"/>
        <v>#DIV/0!</v>
      </c>
      <c r="AZ352" s="676">
        <f t="shared" si="73"/>
        <v>10.25</v>
      </c>
      <c r="BA352" s="581" t="s">
        <v>2585</v>
      </c>
      <c r="BB352" s="570" t="s">
        <v>2025</v>
      </c>
      <c r="BC352" s="581" t="s">
        <v>2895</v>
      </c>
      <c r="BD352" s="3691"/>
      <c r="BE352" s="3743"/>
      <c r="BF352" s="3743"/>
      <c r="BG352" s="3708"/>
      <c r="BH352" s="3762"/>
      <c r="BI352" s="3762"/>
      <c r="BJ352" s="39"/>
      <c r="BK352" s="39"/>
      <c r="BL352" s="39"/>
      <c r="BM352" s="39"/>
      <c r="BN352" s="39"/>
      <c r="BO352" s="39"/>
      <c r="BP352" s="39"/>
      <c r="BQ352" s="39"/>
      <c r="BR352" s="39"/>
      <c r="BS352" s="507"/>
      <c r="BT352" s="507"/>
      <c r="BU352" s="507"/>
      <c r="BV352" s="507"/>
      <c r="BW352" s="507"/>
      <c r="BX352" s="507"/>
      <c r="BY352" s="507"/>
      <c r="BZ352" s="507"/>
      <c r="CA352" s="507"/>
      <c r="CB352" s="507"/>
      <c r="CC352" s="507"/>
      <c r="CD352" s="507"/>
      <c r="CE352" s="507"/>
      <c r="CF352" s="507"/>
      <c r="CG352" s="507"/>
      <c r="CH352" s="507"/>
      <c r="CI352" s="507"/>
      <c r="CJ352" s="507"/>
      <c r="CK352" s="507"/>
      <c r="CL352" s="507"/>
      <c r="CM352" s="507"/>
      <c r="CN352" s="507"/>
      <c r="CO352" s="507"/>
      <c r="CP352" s="507"/>
      <c r="CQ352" s="507"/>
      <c r="CR352" s="507"/>
      <c r="CS352" s="507"/>
      <c r="CT352" s="507"/>
      <c r="CU352" s="507"/>
      <c r="CV352" s="507"/>
      <c r="CW352" s="507"/>
      <c r="CX352" s="507"/>
      <c r="CY352" s="507"/>
      <c r="CZ352" s="507"/>
      <c r="DA352" s="507"/>
      <c r="DB352" s="507"/>
      <c r="DC352" s="507"/>
      <c r="DD352" s="507"/>
      <c r="DE352" s="507"/>
      <c r="DF352" s="507"/>
      <c r="DG352" s="507"/>
      <c r="DH352" s="507"/>
      <c r="DI352" s="507"/>
      <c r="DJ352" s="507"/>
      <c r="DK352" s="507"/>
      <c r="DL352" s="507"/>
      <c r="DM352" s="507"/>
      <c r="DN352" s="507"/>
      <c r="DO352" s="507"/>
      <c r="DP352" s="507"/>
      <c r="DQ352" s="507"/>
      <c r="DR352" s="507"/>
      <c r="DS352" s="507"/>
      <c r="DT352" s="507"/>
      <c r="DU352" s="507"/>
      <c r="DV352" s="507"/>
      <c r="DW352" s="507"/>
      <c r="DX352" s="507"/>
      <c r="DY352" s="507"/>
      <c r="DZ352" s="507"/>
      <c r="EA352" s="507"/>
      <c r="EB352" s="507"/>
      <c r="EC352" s="507"/>
      <c r="ED352" s="507"/>
      <c r="EE352" s="507"/>
      <c r="EF352" s="507"/>
      <c r="EG352" s="507"/>
      <c r="EH352" s="507"/>
      <c r="EI352" s="507"/>
      <c r="EJ352" s="507"/>
      <c r="EK352" s="507"/>
      <c r="EL352" s="507"/>
      <c r="EM352" s="507"/>
      <c r="EN352" s="507"/>
      <c r="EO352" s="507"/>
      <c r="EP352" s="507"/>
      <c r="EQ352" s="507"/>
      <c r="ER352" s="507"/>
      <c r="ES352" s="507"/>
      <c r="ET352" s="507"/>
      <c r="EU352" s="507"/>
      <c r="EV352" s="507"/>
      <c r="EW352" s="507"/>
      <c r="EX352" s="507"/>
      <c r="EY352" s="507"/>
      <c r="EZ352" s="507"/>
      <c r="FA352" s="507"/>
      <c r="FB352" s="507"/>
      <c r="FC352" s="507"/>
      <c r="FD352" s="507"/>
      <c r="FE352" s="507"/>
      <c r="FF352" s="507"/>
      <c r="FG352" s="507"/>
      <c r="FH352" s="507"/>
      <c r="FI352" s="507"/>
      <c r="FJ352" s="507"/>
      <c r="FK352" s="507"/>
      <c r="FL352" s="507"/>
      <c r="FM352" s="507"/>
      <c r="FN352" s="507"/>
      <c r="FO352" s="507"/>
      <c r="FP352" s="507"/>
      <c r="FQ352" s="507"/>
      <c r="FR352" s="507"/>
      <c r="FS352" s="507"/>
      <c r="FT352" s="507"/>
      <c r="FU352" s="507"/>
      <c r="FV352" s="507"/>
      <c r="FW352" s="507"/>
      <c r="FX352" s="507"/>
      <c r="FY352" s="507"/>
      <c r="FZ352" s="507"/>
      <c r="GA352" s="507"/>
      <c r="GB352" s="507"/>
      <c r="GC352" s="507"/>
      <c r="GD352" s="507"/>
      <c r="GE352" s="507"/>
      <c r="GF352" s="507"/>
      <c r="GG352" s="507"/>
      <c r="GH352" s="507"/>
      <c r="GI352" s="507"/>
      <c r="GJ352" s="507"/>
      <c r="GK352" s="507"/>
      <c r="GL352" s="507"/>
      <c r="GM352" s="507"/>
      <c r="GN352" s="507"/>
      <c r="GO352" s="507"/>
      <c r="GP352" s="507"/>
      <c r="GQ352" s="507"/>
      <c r="GR352" s="507"/>
      <c r="GS352" s="507"/>
      <c r="GT352" s="507"/>
      <c r="GU352" s="507"/>
      <c r="GV352" s="507"/>
      <c r="GW352" s="507"/>
      <c r="GX352" s="507"/>
      <c r="GY352" s="507"/>
      <c r="GZ352" s="507"/>
      <c r="HA352" s="507"/>
      <c r="HB352" s="507"/>
      <c r="HC352" s="507"/>
      <c r="HD352" s="507"/>
      <c r="HE352" s="507"/>
      <c r="HF352" s="507"/>
      <c r="HG352" s="507"/>
      <c r="HH352" s="507"/>
      <c r="HI352" s="507"/>
      <c r="HJ352" s="507"/>
      <c r="HK352" s="507"/>
      <c r="HL352" s="507"/>
      <c r="HM352" s="507"/>
      <c r="HN352" s="507"/>
      <c r="HO352" s="507"/>
      <c r="HP352" s="507"/>
      <c r="HQ352" s="507"/>
      <c r="HR352" s="507"/>
      <c r="HS352" s="507"/>
      <c r="HT352" s="507"/>
      <c r="HU352" s="507"/>
      <c r="HV352" s="507"/>
      <c r="HW352" s="507"/>
      <c r="HX352" s="507"/>
      <c r="HY352" s="507"/>
      <c r="HZ352" s="507"/>
    </row>
    <row r="353" spans="1:234" s="206" customFormat="1" ht="13.5" hidden="1" customHeight="1" x14ac:dyDescent="0.25">
      <c r="A353" s="541" t="s">
        <v>4800</v>
      </c>
      <c r="B353" s="523" t="s">
        <v>4799</v>
      </c>
      <c r="C353" s="524" t="s">
        <v>4801</v>
      </c>
      <c r="D353" s="551" t="s">
        <v>189</v>
      </c>
      <c r="E353" s="569" t="s">
        <v>905</v>
      </c>
      <c r="F353" s="543">
        <v>40900</v>
      </c>
      <c r="G353" s="544">
        <v>40849</v>
      </c>
      <c r="H353" s="544">
        <v>40893</v>
      </c>
      <c r="I353" s="616">
        <v>43829</v>
      </c>
      <c r="J353" s="579">
        <v>20</v>
      </c>
      <c r="K353" s="553">
        <v>0</v>
      </c>
      <c r="L353" s="552">
        <v>7.0000000000000007E-2</v>
      </c>
      <c r="M353" s="560">
        <v>0.08</v>
      </c>
      <c r="N353" s="606" t="s">
        <v>3229</v>
      </c>
      <c r="O353" s="613">
        <v>0.56000000000000005</v>
      </c>
      <c r="P353" s="575" t="s">
        <v>3229</v>
      </c>
      <c r="Q353" s="575" t="s">
        <v>3229</v>
      </c>
      <c r="R353" s="575" t="s">
        <v>3229</v>
      </c>
      <c r="S353" s="570">
        <v>8</v>
      </c>
      <c r="T353" s="617">
        <v>41214</v>
      </c>
      <c r="U353" s="563">
        <v>41579</v>
      </c>
      <c r="V353" s="563">
        <v>41944</v>
      </c>
      <c r="W353" s="563">
        <v>42309</v>
      </c>
      <c r="X353" s="563">
        <v>42675</v>
      </c>
      <c r="Y353" s="598">
        <v>43040</v>
      </c>
      <c r="Z353" s="598">
        <v>43405</v>
      </c>
      <c r="AA353" s="598">
        <v>43770</v>
      </c>
      <c r="AB353" s="598" t="s">
        <v>3229</v>
      </c>
      <c r="AC353" s="598" t="s">
        <v>3229</v>
      </c>
      <c r="AD353" s="598" t="s">
        <v>3229</v>
      </c>
      <c r="AE353" s="598" t="s">
        <v>3229</v>
      </c>
      <c r="AF353" s="3764" t="s">
        <v>781</v>
      </c>
      <c r="AG353" s="3765"/>
      <c r="AH353" s="1301" t="s">
        <v>3229</v>
      </c>
      <c r="AI353" s="1301" t="s">
        <v>3229</v>
      </c>
      <c r="AJ353" s="1301" t="s">
        <v>3229</v>
      </c>
      <c r="AK353" s="530" t="s">
        <v>3229</v>
      </c>
      <c r="AL353" s="530" t="s">
        <v>3229</v>
      </c>
      <c r="AM353" s="659">
        <v>1</v>
      </c>
      <c r="AN353" s="638">
        <f>'klikací hodnoty'!F10461</f>
        <v>6.665799999999994E-2</v>
      </c>
      <c r="AO353" s="625">
        <v>10.67</v>
      </c>
      <c r="AP353" s="688">
        <f>'klikací hodnoty'!F10449</f>
        <v>-2.4476769952946002E-2</v>
      </c>
      <c r="AQ353" s="606">
        <f>'klikací hodnoty'!E10449</f>
        <v>0.58737060851014278</v>
      </c>
      <c r="AR353" s="600">
        <f t="shared" si="83"/>
        <v>0.56000000000000005</v>
      </c>
      <c r="AS353" s="548">
        <f t="shared" si="77"/>
        <v>5.6979094156023979E-2</v>
      </c>
      <c r="AT353" s="548">
        <f t="shared" si="78"/>
        <v>1.9240862230552955</v>
      </c>
      <c r="AU353" s="549" t="e">
        <f t="shared" si="79"/>
        <v>#DIV/0!</v>
      </c>
      <c r="AV353" s="558">
        <f t="shared" si="80"/>
        <v>0.08</v>
      </c>
      <c r="AW353" s="558">
        <f t="shared" si="74"/>
        <v>9.6367070586111936E-3</v>
      </c>
      <c r="AX353" s="589">
        <f t="shared" si="81"/>
        <v>1.0243673851921278</v>
      </c>
      <c r="AY353" s="587" t="e">
        <f t="shared" si="82"/>
        <v>#DIV/0!</v>
      </c>
      <c r="AZ353" s="676">
        <f>10</f>
        <v>10</v>
      </c>
      <c r="BA353" s="581" t="s">
        <v>3327</v>
      </c>
      <c r="BB353" s="570"/>
      <c r="BC353" s="581"/>
      <c r="BD353" s="3691"/>
      <c r="BE353" s="3743"/>
      <c r="BF353" s="3743"/>
      <c r="BG353" s="3708"/>
      <c r="BH353" s="3762"/>
      <c r="BI353" s="3762"/>
      <c r="BJ353" s="39"/>
      <c r="BK353" s="39"/>
      <c r="BL353" s="39"/>
      <c r="BM353" s="39"/>
      <c r="BN353" s="39"/>
      <c r="BO353" s="39"/>
      <c r="BP353" s="39"/>
      <c r="BQ353" s="39"/>
      <c r="BR353" s="39"/>
      <c r="BS353" s="507"/>
      <c r="BT353" s="507"/>
      <c r="BU353" s="507"/>
      <c r="BV353" s="507"/>
      <c r="BW353" s="507"/>
      <c r="BX353" s="507"/>
      <c r="BY353" s="507"/>
      <c r="BZ353" s="507"/>
      <c r="CA353" s="507"/>
      <c r="CB353" s="507"/>
      <c r="CC353" s="507"/>
      <c r="CD353" s="507"/>
      <c r="CE353" s="507"/>
      <c r="CF353" s="507"/>
      <c r="CG353" s="507"/>
      <c r="CH353" s="507"/>
      <c r="CI353" s="507"/>
      <c r="CJ353" s="507"/>
      <c r="CK353" s="507"/>
      <c r="CL353" s="507"/>
      <c r="CM353" s="507"/>
      <c r="CN353" s="507"/>
      <c r="CO353" s="507"/>
      <c r="CP353" s="507"/>
      <c r="CQ353" s="507"/>
      <c r="CR353" s="507"/>
      <c r="CS353" s="507"/>
      <c r="CT353" s="507"/>
      <c r="CU353" s="507"/>
      <c r="CV353" s="507"/>
      <c r="CW353" s="507"/>
      <c r="CX353" s="507"/>
      <c r="CY353" s="507"/>
      <c r="CZ353" s="507"/>
      <c r="DA353" s="507"/>
      <c r="DB353" s="507"/>
      <c r="DC353" s="507"/>
      <c r="DD353" s="507"/>
      <c r="DE353" s="507"/>
      <c r="DF353" s="507"/>
      <c r="DG353" s="507"/>
      <c r="DH353" s="507"/>
      <c r="DI353" s="507"/>
      <c r="DJ353" s="507"/>
      <c r="DK353" s="507"/>
      <c r="DL353" s="507"/>
      <c r="DM353" s="507"/>
      <c r="DN353" s="507"/>
      <c r="DO353" s="507"/>
      <c r="DP353" s="507"/>
      <c r="DQ353" s="507"/>
      <c r="DR353" s="507"/>
      <c r="DS353" s="507"/>
      <c r="DT353" s="507"/>
      <c r="DU353" s="507"/>
      <c r="DV353" s="507"/>
      <c r="DW353" s="507"/>
      <c r="DX353" s="507"/>
      <c r="DY353" s="507"/>
      <c r="DZ353" s="507"/>
      <c r="EA353" s="507"/>
      <c r="EB353" s="507"/>
      <c r="EC353" s="507"/>
      <c r="ED353" s="507"/>
      <c r="EE353" s="507"/>
      <c r="EF353" s="507"/>
      <c r="EG353" s="507"/>
      <c r="EH353" s="507"/>
      <c r="EI353" s="507"/>
      <c r="EJ353" s="507"/>
      <c r="EK353" s="507"/>
      <c r="EL353" s="507"/>
      <c r="EM353" s="507"/>
      <c r="EN353" s="507"/>
      <c r="EO353" s="507"/>
      <c r="EP353" s="507"/>
      <c r="EQ353" s="507"/>
      <c r="ER353" s="507"/>
      <c r="ES353" s="507"/>
      <c r="ET353" s="507"/>
      <c r="EU353" s="507"/>
      <c r="EV353" s="507"/>
      <c r="EW353" s="507"/>
      <c r="EX353" s="507"/>
      <c r="EY353" s="507"/>
      <c r="EZ353" s="507"/>
      <c r="FA353" s="507"/>
      <c r="FB353" s="507"/>
      <c r="FC353" s="507"/>
      <c r="FD353" s="507"/>
      <c r="FE353" s="507"/>
      <c r="FF353" s="507"/>
      <c r="FG353" s="507"/>
      <c r="FH353" s="507"/>
      <c r="FI353" s="507"/>
      <c r="FJ353" s="507"/>
      <c r="FK353" s="507"/>
      <c r="FL353" s="507"/>
      <c r="FM353" s="507"/>
      <c r="FN353" s="507"/>
      <c r="FO353" s="507"/>
      <c r="FP353" s="507"/>
      <c r="FQ353" s="507"/>
      <c r="FR353" s="507"/>
      <c r="FS353" s="507"/>
      <c r="FT353" s="507"/>
      <c r="FU353" s="507"/>
      <c r="FV353" s="507"/>
      <c r="FW353" s="507"/>
      <c r="FX353" s="507"/>
      <c r="FY353" s="507"/>
      <c r="FZ353" s="507"/>
      <c r="GA353" s="507"/>
      <c r="GB353" s="507"/>
      <c r="GC353" s="507"/>
      <c r="GD353" s="507"/>
      <c r="GE353" s="507"/>
      <c r="GF353" s="507"/>
      <c r="GG353" s="507"/>
      <c r="GH353" s="507"/>
      <c r="GI353" s="507"/>
      <c r="GJ353" s="507"/>
      <c r="GK353" s="507"/>
      <c r="GL353" s="507"/>
      <c r="GM353" s="507"/>
      <c r="GN353" s="507"/>
      <c r="GO353" s="507"/>
      <c r="GP353" s="507"/>
      <c r="GQ353" s="507"/>
      <c r="GR353" s="507"/>
      <c r="GS353" s="507"/>
      <c r="GT353" s="507"/>
      <c r="GU353" s="507"/>
      <c r="GV353" s="507"/>
      <c r="GW353" s="507"/>
      <c r="GX353" s="507"/>
      <c r="GY353" s="507"/>
      <c r="GZ353" s="507"/>
      <c r="HA353" s="507"/>
      <c r="HB353" s="507"/>
      <c r="HC353" s="507"/>
      <c r="HD353" s="507"/>
      <c r="HE353" s="507"/>
      <c r="HF353" s="507"/>
      <c r="HG353" s="507"/>
      <c r="HH353" s="507"/>
      <c r="HI353" s="507"/>
      <c r="HJ353" s="507"/>
      <c r="HK353" s="507"/>
      <c r="HL353" s="507"/>
      <c r="HM353" s="507"/>
      <c r="HN353" s="507"/>
      <c r="HO353" s="507"/>
      <c r="HP353" s="507"/>
      <c r="HQ353" s="507"/>
      <c r="HR353" s="507"/>
      <c r="HS353" s="507"/>
      <c r="HT353" s="507"/>
      <c r="HU353" s="507"/>
      <c r="HV353" s="507"/>
      <c r="HW353" s="507"/>
      <c r="HX353" s="507"/>
      <c r="HY353" s="507"/>
      <c r="HZ353" s="507"/>
    </row>
    <row r="354" spans="1:234" s="206" customFormat="1" ht="13.5" hidden="1" customHeight="1" x14ac:dyDescent="0.25">
      <c r="A354" s="541" t="s">
        <v>5142</v>
      </c>
      <c r="B354" s="523" t="s">
        <v>5132</v>
      </c>
      <c r="C354" s="524" t="s">
        <v>5133</v>
      </c>
      <c r="D354" s="551" t="s">
        <v>189</v>
      </c>
      <c r="E354" s="569" t="s">
        <v>3228</v>
      </c>
      <c r="F354" s="543">
        <v>40946</v>
      </c>
      <c r="G354" s="544">
        <v>40878</v>
      </c>
      <c r="H354" s="544">
        <v>40939</v>
      </c>
      <c r="I354" s="616">
        <v>42978</v>
      </c>
      <c r="J354" s="579">
        <v>10</v>
      </c>
      <c r="K354" s="553" t="s">
        <v>3229</v>
      </c>
      <c r="L354" s="552" t="s">
        <v>3229</v>
      </c>
      <c r="M354" s="560">
        <v>-1</v>
      </c>
      <c r="N354" s="606">
        <v>1</v>
      </c>
      <c r="O354" s="613">
        <v>1</v>
      </c>
      <c r="P354" s="575" t="s">
        <v>3229</v>
      </c>
      <c r="Q354" s="575" t="s">
        <v>3229</v>
      </c>
      <c r="R354" s="575" t="s">
        <v>3229</v>
      </c>
      <c r="S354" s="570"/>
      <c r="T354" s="617" t="s">
        <v>3229</v>
      </c>
      <c r="U354" s="563" t="s">
        <v>3229</v>
      </c>
      <c r="V354" s="563" t="s">
        <v>3229</v>
      </c>
      <c r="W354" s="563" t="s">
        <v>3229</v>
      </c>
      <c r="X354" s="563" t="s">
        <v>3229</v>
      </c>
      <c r="Y354" s="598" t="s">
        <v>3229</v>
      </c>
      <c r="Z354" s="598" t="s">
        <v>3229</v>
      </c>
      <c r="AA354" s="598" t="s">
        <v>3229</v>
      </c>
      <c r="AB354" s="598" t="s">
        <v>3229</v>
      </c>
      <c r="AC354" s="598" t="s">
        <v>3229</v>
      </c>
      <c r="AD354" s="598" t="s">
        <v>3229</v>
      </c>
      <c r="AE354" s="598" t="s">
        <v>3229</v>
      </c>
      <c r="AF354" s="3764" t="s">
        <v>781</v>
      </c>
      <c r="AG354" s="3765"/>
      <c r="AH354" s="1301" t="s">
        <v>3229</v>
      </c>
      <c r="AI354" s="1301" t="s">
        <v>3229</v>
      </c>
      <c r="AJ354" s="1301" t="s">
        <v>3229</v>
      </c>
      <c r="AK354" s="530" t="s">
        <v>3229</v>
      </c>
      <c r="AL354" s="530" t="s">
        <v>3229</v>
      </c>
      <c r="AM354" s="659">
        <v>1</v>
      </c>
      <c r="AN354" s="638">
        <f>'klikací hodnoty'!F10578</f>
        <v>0.48682272222222245</v>
      </c>
      <c r="AO354" s="625">
        <v>14.86</v>
      </c>
      <c r="AP354" s="688">
        <f>IF('klikací hodnoty'!L10565=0%,AQ354,'klikací hodnoty'!L10565)</f>
        <v>0.48682272222222245</v>
      </c>
      <c r="AQ354" s="606">
        <f>'klikací hodnoty'!F10577</f>
        <v>0.4846233104532538</v>
      </c>
      <c r="AR354" s="600">
        <f t="shared" si="83"/>
        <v>1</v>
      </c>
      <c r="AS354" s="548">
        <f t="shared" si="77"/>
        <v>0.13259022552521493</v>
      </c>
      <c r="AT354" s="548">
        <f t="shared" si="78"/>
        <v>0.34589502018842544</v>
      </c>
      <c r="AU354" s="549" t="e">
        <f t="shared" si="79"/>
        <v>#DIV/0!</v>
      </c>
      <c r="AV354" s="558">
        <f t="shared" si="80"/>
        <v>-1</v>
      </c>
      <c r="AW354" s="558">
        <f t="shared" si="74"/>
        <v>-1</v>
      </c>
      <c r="AX354" s="589">
        <f t="shared" si="81"/>
        <v>-1</v>
      </c>
      <c r="AY354" s="587" t="e">
        <f t="shared" si="82"/>
        <v>#DIV/0!</v>
      </c>
      <c r="AZ354" s="676">
        <f t="shared" si="73"/>
        <v>0</v>
      </c>
      <c r="BA354" s="581"/>
      <c r="BB354" s="570"/>
      <c r="BC354" s="581"/>
      <c r="BD354" s="3691"/>
      <c r="BE354" s="3743"/>
      <c r="BF354" s="3743"/>
      <c r="BG354" s="3708"/>
      <c r="BH354" s="3762"/>
      <c r="BI354" s="3762"/>
      <c r="BJ354" s="39"/>
      <c r="BK354" s="39"/>
      <c r="BL354" s="39"/>
      <c r="BM354" s="39"/>
      <c r="BN354" s="39"/>
      <c r="BO354" s="39"/>
      <c r="BP354" s="39"/>
      <c r="BQ354" s="39"/>
      <c r="BR354" s="39"/>
      <c r="BS354" s="507"/>
      <c r="BT354" s="507"/>
      <c r="BU354" s="507"/>
      <c r="BV354" s="507"/>
      <c r="BW354" s="507"/>
      <c r="BX354" s="507"/>
      <c r="BY354" s="507"/>
      <c r="BZ354" s="507"/>
      <c r="CA354" s="507"/>
      <c r="CB354" s="507"/>
      <c r="CC354" s="507"/>
      <c r="CD354" s="507"/>
      <c r="CE354" s="507"/>
      <c r="CF354" s="507"/>
      <c r="CG354" s="507"/>
      <c r="CH354" s="507"/>
      <c r="CI354" s="507"/>
      <c r="CJ354" s="507"/>
      <c r="CK354" s="507"/>
      <c r="CL354" s="507"/>
      <c r="CM354" s="507"/>
      <c r="CN354" s="507"/>
      <c r="CO354" s="507"/>
      <c r="CP354" s="507"/>
      <c r="CQ354" s="507"/>
      <c r="CR354" s="507"/>
      <c r="CS354" s="507"/>
      <c r="CT354" s="507"/>
      <c r="CU354" s="507"/>
      <c r="CV354" s="507"/>
      <c r="CW354" s="507"/>
      <c r="CX354" s="507"/>
      <c r="CY354" s="507"/>
      <c r="CZ354" s="507"/>
      <c r="DA354" s="507"/>
      <c r="DB354" s="507"/>
      <c r="DC354" s="507"/>
      <c r="DD354" s="507"/>
      <c r="DE354" s="507"/>
      <c r="DF354" s="507"/>
      <c r="DG354" s="507"/>
      <c r="DH354" s="507"/>
      <c r="DI354" s="507"/>
      <c r="DJ354" s="507"/>
      <c r="DK354" s="507"/>
      <c r="DL354" s="507"/>
      <c r="DM354" s="507"/>
      <c r="DN354" s="507"/>
      <c r="DO354" s="507"/>
      <c r="DP354" s="507"/>
      <c r="DQ354" s="507"/>
      <c r="DR354" s="507"/>
      <c r="DS354" s="507"/>
      <c r="DT354" s="507"/>
      <c r="DU354" s="507"/>
      <c r="DV354" s="507"/>
      <c r="DW354" s="507"/>
      <c r="DX354" s="507"/>
      <c r="DY354" s="507"/>
      <c r="DZ354" s="507"/>
      <c r="EA354" s="507"/>
      <c r="EB354" s="507"/>
      <c r="EC354" s="507"/>
      <c r="ED354" s="507"/>
      <c r="EE354" s="507"/>
      <c r="EF354" s="507"/>
      <c r="EG354" s="507"/>
      <c r="EH354" s="507"/>
      <c r="EI354" s="507"/>
      <c r="EJ354" s="507"/>
      <c r="EK354" s="507"/>
      <c r="EL354" s="507"/>
      <c r="EM354" s="507"/>
      <c r="EN354" s="507"/>
      <c r="EO354" s="507"/>
      <c r="EP354" s="507"/>
      <c r="EQ354" s="507"/>
      <c r="ER354" s="507"/>
      <c r="ES354" s="507"/>
      <c r="ET354" s="507"/>
      <c r="EU354" s="507"/>
      <c r="EV354" s="507"/>
      <c r="EW354" s="507"/>
      <c r="EX354" s="507"/>
      <c r="EY354" s="507"/>
      <c r="EZ354" s="507"/>
      <c r="FA354" s="507"/>
      <c r="FB354" s="507"/>
      <c r="FC354" s="507"/>
      <c r="FD354" s="507"/>
      <c r="FE354" s="507"/>
      <c r="FF354" s="507"/>
      <c r="FG354" s="507"/>
      <c r="FH354" s="507"/>
      <c r="FI354" s="507"/>
      <c r="FJ354" s="507"/>
      <c r="FK354" s="507"/>
      <c r="FL354" s="507"/>
      <c r="FM354" s="507"/>
      <c r="FN354" s="507"/>
      <c r="FO354" s="507"/>
      <c r="FP354" s="507"/>
      <c r="FQ354" s="507"/>
      <c r="FR354" s="507"/>
      <c r="FS354" s="507"/>
      <c r="FT354" s="507"/>
      <c r="FU354" s="507"/>
      <c r="FV354" s="507"/>
      <c r="FW354" s="507"/>
      <c r="FX354" s="507"/>
      <c r="FY354" s="507"/>
      <c r="FZ354" s="507"/>
      <c r="GA354" s="507"/>
      <c r="GB354" s="507"/>
      <c r="GC354" s="507"/>
      <c r="GD354" s="507"/>
      <c r="GE354" s="507"/>
      <c r="GF354" s="507"/>
      <c r="GG354" s="507"/>
      <c r="GH354" s="507"/>
      <c r="GI354" s="507"/>
      <c r="GJ354" s="507"/>
      <c r="GK354" s="507"/>
      <c r="GL354" s="507"/>
      <c r="GM354" s="507"/>
      <c r="GN354" s="507"/>
      <c r="GO354" s="507"/>
      <c r="GP354" s="507"/>
      <c r="GQ354" s="507"/>
      <c r="GR354" s="507"/>
      <c r="GS354" s="507"/>
      <c r="GT354" s="507"/>
      <c r="GU354" s="507"/>
      <c r="GV354" s="507"/>
      <c r="GW354" s="507"/>
      <c r="GX354" s="507"/>
      <c r="GY354" s="507"/>
      <c r="GZ354" s="507"/>
      <c r="HA354" s="507"/>
      <c r="HB354" s="507"/>
      <c r="HC354" s="507"/>
      <c r="HD354" s="507"/>
      <c r="HE354" s="507"/>
      <c r="HF354" s="507"/>
      <c r="HG354" s="507"/>
      <c r="HH354" s="507"/>
      <c r="HI354" s="507"/>
      <c r="HJ354" s="507"/>
      <c r="HK354" s="507"/>
      <c r="HL354" s="507"/>
      <c r="HM354" s="507"/>
      <c r="HN354" s="507"/>
      <c r="HO354" s="507"/>
      <c r="HP354" s="507"/>
      <c r="HQ354" s="507"/>
      <c r="HR354" s="507"/>
      <c r="HS354" s="507"/>
      <c r="HT354" s="507"/>
      <c r="HU354" s="507"/>
      <c r="HV354" s="507"/>
      <c r="HW354" s="507"/>
      <c r="HX354" s="507"/>
      <c r="HY354" s="507"/>
      <c r="HZ354" s="507"/>
    </row>
    <row r="355" spans="1:234" s="206" customFormat="1" ht="13.5" hidden="1" customHeight="1" x14ac:dyDescent="0.25">
      <c r="A355" s="541" t="s">
        <v>5143</v>
      </c>
      <c r="B355" s="523" t="s">
        <v>5135</v>
      </c>
      <c r="C355" s="524" t="s">
        <v>5134</v>
      </c>
      <c r="D355" s="551" t="s">
        <v>1859</v>
      </c>
      <c r="E355" s="569" t="s">
        <v>3228</v>
      </c>
      <c r="F355" s="543">
        <v>40975</v>
      </c>
      <c r="G355" s="544">
        <v>40910</v>
      </c>
      <c r="H355" s="544">
        <v>40968</v>
      </c>
      <c r="I355" s="616">
        <v>43007</v>
      </c>
      <c r="J355" s="579">
        <v>10</v>
      </c>
      <c r="K355" s="553">
        <v>0</v>
      </c>
      <c r="L355" s="552">
        <v>0.06</v>
      </c>
      <c r="M355" s="560">
        <v>0.03</v>
      </c>
      <c r="N355" s="606" t="s">
        <v>3229</v>
      </c>
      <c r="O355" s="613">
        <v>0.27</v>
      </c>
      <c r="P355" s="575" t="s">
        <v>3229</v>
      </c>
      <c r="Q355" s="575">
        <v>0.03</v>
      </c>
      <c r="R355" s="575" t="s">
        <v>3229</v>
      </c>
      <c r="S355" s="570">
        <v>5</v>
      </c>
      <c r="T355" s="617">
        <v>41306</v>
      </c>
      <c r="U355" s="563">
        <v>41671</v>
      </c>
      <c r="V355" s="563">
        <v>42036</v>
      </c>
      <c r="W355" s="563">
        <v>42401</v>
      </c>
      <c r="X355" s="563">
        <v>42948</v>
      </c>
      <c r="Y355" s="598" t="s">
        <v>3229</v>
      </c>
      <c r="Z355" s="598" t="s">
        <v>3229</v>
      </c>
      <c r="AA355" s="598" t="s">
        <v>3229</v>
      </c>
      <c r="AB355" s="598" t="s">
        <v>3229</v>
      </c>
      <c r="AC355" s="598" t="s">
        <v>3229</v>
      </c>
      <c r="AD355" s="598" t="s">
        <v>3229</v>
      </c>
      <c r="AE355" s="598" t="s">
        <v>3229</v>
      </c>
      <c r="AF355" s="3764" t="s">
        <v>781</v>
      </c>
      <c r="AG355" s="3765"/>
      <c r="AH355" s="1301" t="s">
        <v>3229</v>
      </c>
      <c r="AI355" s="1301" t="s">
        <v>3229</v>
      </c>
      <c r="AJ355" s="1301" t="s">
        <v>3229</v>
      </c>
      <c r="AK355" s="530" t="s">
        <v>3229</v>
      </c>
      <c r="AL355" s="530" t="s">
        <v>3229</v>
      </c>
      <c r="AM355" s="659">
        <v>1</v>
      </c>
      <c r="AN355" s="638">
        <f>'klikací hodnoty'!F10668</f>
        <v>4.8847999999999989E-2</v>
      </c>
      <c r="AO355" s="625">
        <v>10.49</v>
      </c>
      <c r="AP355" s="688">
        <f>'klikací hodnoty'!F10660</f>
        <v>-8.6238649484736245E-3</v>
      </c>
      <c r="AQ355" s="606">
        <f>'klikací hodnoty'!E10660</f>
        <v>0.41175312933783098</v>
      </c>
      <c r="AR355" s="600">
        <f t="shared" si="83"/>
        <v>0.27</v>
      </c>
      <c r="AS355" s="548">
        <f t="shared" si="77"/>
        <v>4.3868627693502082E-2</v>
      </c>
      <c r="AT355" s="548">
        <f t="shared" si="78"/>
        <v>0.21067683508102952</v>
      </c>
      <c r="AU355" s="549" t="e">
        <f t="shared" si="79"/>
        <v>#DIV/0!</v>
      </c>
      <c r="AV355" s="558">
        <f t="shared" si="80"/>
        <v>0.03</v>
      </c>
      <c r="AW355" s="558">
        <f t="shared" si="74"/>
        <v>5.3236494748181151E-3</v>
      </c>
      <c r="AX355" s="589">
        <f t="shared" si="81"/>
        <v>-1.8112488083889322E-2</v>
      </c>
      <c r="AY355" s="587" t="e">
        <f t="shared" si="82"/>
        <v>#DIV/0!</v>
      </c>
      <c r="AZ355" s="676">
        <f t="shared" si="73"/>
        <v>10.3</v>
      </c>
      <c r="BA355" s="581" t="s">
        <v>2585</v>
      </c>
      <c r="BB355" s="570" t="s">
        <v>2025</v>
      </c>
      <c r="BC355" s="581" t="s">
        <v>2895</v>
      </c>
      <c r="BD355" s="3691"/>
      <c r="BE355" s="3743"/>
      <c r="BF355" s="3743"/>
      <c r="BG355" s="3708"/>
      <c r="BH355" s="3762"/>
      <c r="BI355" s="3762"/>
      <c r="BJ355" s="39"/>
      <c r="BK355" s="39"/>
      <c r="BL355" s="39"/>
      <c r="BM355" s="39"/>
      <c r="BN355" s="39"/>
      <c r="BO355" s="39"/>
      <c r="BP355" s="39"/>
      <c r="BQ355" s="39"/>
      <c r="BR355" s="39"/>
      <c r="BS355" s="507"/>
      <c r="BT355" s="507"/>
      <c r="BU355" s="507"/>
      <c r="BV355" s="507"/>
      <c r="BW355" s="507"/>
      <c r="BX355" s="507"/>
      <c r="BY355" s="507"/>
      <c r="BZ355" s="507"/>
      <c r="CA355" s="507"/>
      <c r="CB355" s="507"/>
      <c r="CC355" s="507"/>
      <c r="CD355" s="507"/>
      <c r="CE355" s="507"/>
      <c r="CF355" s="507"/>
      <c r="CG355" s="507"/>
      <c r="CH355" s="507"/>
      <c r="CI355" s="507"/>
      <c r="CJ355" s="507"/>
      <c r="CK355" s="507"/>
      <c r="CL355" s="507"/>
      <c r="CM355" s="507"/>
      <c r="CN355" s="507"/>
      <c r="CO355" s="507"/>
      <c r="CP355" s="507"/>
      <c r="CQ355" s="507"/>
      <c r="CR355" s="507"/>
      <c r="CS355" s="507"/>
      <c r="CT355" s="507"/>
      <c r="CU355" s="507"/>
      <c r="CV355" s="507"/>
      <c r="CW355" s="507"/>
      <c r="CX355" s="507"/>
      <c r="CY355" s="507"/>
      <c r="CZ355" s="507"/>
      <c r="DA355" s="507"/>
      <c r="DB355" s="507"/>
      <c r="DC355" s="507"/>
      <c r="DD355" s="507"/>
      <c r="DE355" s="507"/>
      <c r="DF355" s="507"/>
      <c r="DG355" s="507"/>
      <c r="DH355" s="507"/>
      <c r="DI355" s="507"/>
      <c r="DJ355" s="507"/>
      <c r="DK355" s="507"/>
      <c r="DL355" s="507"/>
      <c r="DM355" s="507"/>
      <c r="DN355" s="507"/>
      <c r="DO355" s="507"/>
      <c r="DP355" s="507"/>
      <c r="DQ355" s="507"/>
      <c r="DR355" s="507"/>
      <c r="DS355" s="507"/>
      <c r="DT355" s="507"/>
      <c r="DU355" s="507"/>
      <c r="DV355" s="507"/>
      <c r="DW355" s="507"/>
      <c r="DX355" s="507"/>
      <c r="DY355" s="507"/>
      <c r="DZ355" s="507"/>
      <c r="EA355" s="507"/>
      <c r="EB355" s="507"/>
      <c r="EC355" s="507"/>
      <c r="ED355" s="507"/>
      <c r="EE355" s="507"/>
      <c r="EF355" s="507"/>
      <c r="EG355" s="507"/>
      <c r="EH355" s="507"/>
      <c r="EI355" s="507"/>
      <c r="EJ355" s="507"/>
      <c r="EK355" s="507"/>
      <c r="EL355" s="507"/>
      <c r="EM355" s="507"/>
      <c r="EN355" s="507"/>
      <c r="EO355" s="507"/>
      <c r="EP355" s="507"/>
      <c r="EQ355" s="507"/>
      <c r="ER355" s="507"/>
      <c r="ES355" s="507"/>
      <c r="ET355" s="507"/>
      <c r="EU355" s="507"/>
      <c r="EV355" s="507"/>
      <c r="EW355" s="507"/>
      <c r="EX355" s="507"/>
      <c r="EY355" s="507"/>
      <c r="EZ355" s="507"/>
      <c r="FA355" s="507"/>
      <c r="FB355" s="507"/>
      <c r="FC355" s="507"/>
      <c r="FD355" s="507"/>
      <c r="FE355" s="507"/>
      <c r="FF355" s="507"/>
      <c r="FG355" s="507"/>
      <c r="FH355" s="507"/>
      <c r="FI355" s="507"/>
      <c r="FJ355" s="507"/>
      <c r="FK355" s="507"/>
      <c r="FL355" s="507"/>
      <c r="FM355" s="507"/>
      <c r="FN355" s="507"/>
      <c r="FO355" s="507"/>
      <c r="FP355" s="507"/>
      <c r="FQ355" s="507"/>
      <c r="FR355" s="507"/>
      <c r="FS355" s="507"/>
      <c r="FT355" s="507"/>
      <c r="FU355" s="507"/>
      <c r="FV355" s="507"/>
      <c r="FW355" s="507"/>
      <c r="FX355" s="507"/>
      <c r="FY355" s="507"/>
      <c r="FZ355" s="507"/>
      <c r="GA355" s="507"/>
      <c r="GB355" s="507"/>
      <c r="GC355" s="507"/>
      <c r="GD355" s="507"/>
      <c r="GE355" s="507"/>
      <c r="GF355" s="507"/>
      <c r="GG355" s="507"/>
      <c r="GH355" s="507"/>
      <c r="GI355" s="507"/>
      <c r="GJ355" s="507"/>
      <c r="GK355" s="507"/>
      <c r="GL355" s="507"/>
      <c r="GM355" s="507"/>
      <c r="GN355" s="507"/>
      <c r="GO355" s="507"/>
      <c r="GP355" s="507"/>
      <c r="GQ355" s="507"/>
      <c r="GR355" s="507"/>
      <c r="GS355" s="507"/>
      <c r="GT355" s="507"/>
      <c r="GU355" s="507"/>
      <c r="GV355" s="507"/>
      <c r="GW355" s="507"/>
      <c r="GX355" s="507"/>
      <c r="GY355" s="507"/>
      <c r="GZ355" s="507"/>
      <c r="HA355" s="507"/>
      <c r="HB355" s="507"/>
      <c r="HC355" s="507"/>
      <c r="HD355" s="507"/>
      <c r="HE355" s="507"/>
      <c r="HF355" s="507"/>
      <c r="HG355" s="507"/>
      <c r="HH355" s="507"/>
      <c r="HI355" s="507"/>
      <c r="HJ355" s="507"/>
      <c r="HK355" s="507"/>
      <c r="HL355" s="507"/>
      <c r="HM355" s="507"/>
      <c r="HN355" s="507"/>
      <c r="HO355" s="507"/>
      <c r="HP355" s="507"/>
      <c r="HQ355" s="507"/>
      <c r="HR355" s="507"/>
      <c r="HS355" s="507"/>
      <c r="HT355" s="507"/>
      <c r="HU355" s="507"/>
      <c r="HV355" s="507"/>
      <c r="HW355" s="507"/>
      <c r="HX355" s="507"/>
      <c r="HY355" s="507"/>
      <c r="HZ355" s="507"/>
    </row>
    <row r="356" spans="1:234" s="206" customFormat="1" ht="13.5" hidden="1" customHeight="1" x14ac:dyDescent="0.25">
      <c r="A356" s="541" t="s">
        <v>5144</v>
      </c>
      <c r="B356" s="523" t="s">
        <v>5136</v>
      </c>
      <c r="C356" s="524" t="s">
        <v>5137</v>
      </c>
      <c r="D356" s="551" t="s">
        <v>189</v>
      </c>
      <c r="E356" s="569" t="s">
        <v>3228</v>
      </c>
      <c r="F356" s="543">
        <v>40975</v>
      </c>
      <c r="G356" s="544">
        <v>40910</v>
      </c>
      <c r="H356" s="544">
        <v>40968</v>
      </c>
      <c r="I356" s="616">
        <v>42978</v>
      </c>
      <c r="J356" s="579">
        <v>10</v>
      </c>
      <c r="K356" s="553" t="s">
        <v>3229</v>
      </c>
      <c r="L356" s="552" t="s">
        <v>3229</v>
      </c>
      <c r="M356" s="560">
        <v>0</v>
      </c>
      <c r="N356" s="606">
        <v>0.5</v>
      </c>
      <c r="O356" s="613">
        <v>1</v>
      </c>
      <c r="P356" s="575" t="s">
        <v>3229</v>
      </c>
      <c r="Q356" s="575" t="s">
        <v>3229</v>
      </c>
      <c r="R356" s="575" t="s">
        <v>3229</v>
      </c>
      <c r="S356" s="570"/>
      <c r="T356" s="617" t="s">
        <v>3229</v>
      </c>
      <c r="U356" s="563" t="s">
        <v>3229</v>
      </c>
      <c r="V356" s="563" t="s">
        <v>3229</v>
      </c>
      <c r="W356" s="563" t="s">
        <v>3229</v>
      </c>
      <c r="X356" s="563" t="s">
        <v>3229</v>
      </c>
      <c r="Y356" s="598" t="s">
        <v>3229</v>
      </c>
      <c r="Z356" s="598" t="s">
        <v>3229</v>
      </c>
      <c r="AA356" s="598" t="s">
        <v>3229</v>
      </c>
      <c r="AB356" s="598" t="s">
        <v>3229</v>
      </c>
      <c r="AC356" s="598" t="s">
        <v>3229</v>
      </c>
      <c r="AD356" s="598" t="s">
        <v>3229</v>
      </c>
      <c r="AE356" s="598" t="s">
        <v>3229</v>
      </c>
      <c r="AF356" s="3764" t="s">
        <v>781</v>
      </c>
      <c r="AG356" s="3765"/>
      <c r="AH356" s="1301" t="s">
        <v>3229</v>
      </c>
      <c r="AI356" s="1301" t="s">
        <v>3229</v>
      </c>
      <c r="AJ356" s="1301" t="s">
        <v>3229</v>
      </c>
      <c r="AK356" s="530" t="s">
        <v>3229</v>
      </c>
      <c r="AL356" s="530" t="s">
        <v>3229</v>
      </c>
      <c r="AM356" s="659">
        <v>1</v>
      </c>
      <c r="AN356" s="638">
        <f>'klikací hodnoty'!F10824</f>
        <v>0.24368853283257438</v>
      </c>
      <c r="AO356" s="625">
        <v>12.44</v>
      </c>
      <c r="AP356" s="688">
        <f>+'klikací hodnoty'!T10818</f>
        <v>0.48737706566514877</v>
      </c>
      <c r="AQ356" s="606">
        <f>'klikací hodnoty'!F10823</f>
        <v>0.4917078711220948</v>
      </c>
      <c r="AR356" s="600">
        <f t="shared" si="83"/>
        <v>1</v>
      </c>
      <c r="AS356" s="548">
        <f t="shared" si="77"/>
        <v>0.13463373181727389</v>
      </c>
      <c r="AT356" s="548">
        <f t="shared" si="78"/>
        <v>0.60771704180064323</v>
      </c>
      <c r="AU356" s="549" t="e">
        <f t="shared" si="79"/>
        <v>#DIV/0!</v>
      </c>
      <c r="AV356" s="558">
        <f t="shared" si="80"/>
        <v>0</v>
      </c>
      <c r="AW356" s="558">
        <f t="shared" si="74"/>
        <v>0</v>
      </c>
      <c r="AX356" s="589">
        <f t="shared" si="81"/>
        <v>-0.19614147909967838</v>
      </c>
      <c r="AY356" s="587" t="e">
        <f t="shared" si="82"/>
        <v>#DIV/0!</v>
      </c>
      <c r="AZ356" s="676">
        <f t="shared" si="73"/>
        <v>10</v>
      </c>
      <c r="BA356" s="581" t="s">
        <v>4427</v>
      </c>
      <c r="BB356" s="570"/>
      <c r="BC356" s="581"/>
      <c r="BD356" s="3691"/>
      <c r="BE356" s="3743"/>
      <c r="BF356" s="3743"/>
      <c r="BG356" s="3708"/>
      <c r="BH356" s="3762"/>
      <c r="BI356" s="3762"/>
      <c r="BJ356" s="39"/>
      <c r="BK356" s="39"/>
      <c r="BL356" s="39"/>
      <c r="BM356" s="39"/>
      <c r="BN356" s="39"/>
      <c r="BO356" s="39"/>
      <c r="BP356" s="39"/>
      <c r="BQ356" s="39"/>
      <c r="BR356" s="39"/>
      <c r="BS356" s="507"/>
      <c r="BT356" s="507"/>
      <c r="BU356" s="507"/>
      <c r="BV356" s="507"/>
      <c r="BW356" s="507"/>
      <c r="BX356" s="507"/>
      <c r="BY356" s="507"/>
      <c r="BZ356" s="507"/>
      <c r="CA356" s="507"/>
      <c r="CB356" s="507"/>
      <c r="CC356" s="507"/>
      <c r="CD356" s="507"/>
      <c r="CE356" s="507"/>
      <c r="CF356" s="507"/>
      <c r="CG356" s="507"/>
      <c r="CH356" s="507"/>
      <c r="CI356" s="507"/>
      <c r="CJ356" s="507"/>
      <c r="CK356" s="507"/>
      <c r="CL356" s="507"/>
      <c r="CM356" s="507"/>
      <c r="CN356" s="507"/>
      <c r="CO356" s="507"/>
      <c r="CP356" s="507"/>
      <c r="CQ356" s="507"/>
      <c r="CR356" s="507"/>
      <c r="CS356" s="507"/>
      <c r="CT356" s="507"/>
      <c r="CU356" s="507"/>
      <c r="CV356" s="507"/>
      <c r="CW356" s="507"/>
      <c r="CX356" s="507"/>
      <c r="CY356" s="507"/>
      <c r="CZ356" s="507"/>
      <c r="DA356" s="507"/>
      <c r="DB356" s="507"/>
      <c r="DC356" s="507"/>
      <c r="DD356" s="507"/>
      <c r="DE356" s="507"/>
      <c r="DF356" s="507"/>
      <c r="DG356" s="507"/>
      <c r="DH356" s="507"/>
      <c r="DI356" s="507"/>
      <c r="DJ356" s="507"/>
      <c r="DK356" s="507"/>
      <c r="DL356" s="507"/>
      <c r="DM356" s="507"/>
      <c r="DN356" s="507"/>
      <c r="DO356" s="507"/>
      <c r="DP356" s="507"/>
      <c r="DQ356" s="507"/>
      <c r="DR356" s="507"/>
      <c r="DS356" s="507"/>
      <c r="DT356" s="507"/>
      <c r="DU356" s="507"/>
      <c r="DV356" s="507"/>
      <c r="DW356" s="507"/>
      <c r="DX356" s="507"/>
      <c r="DY356" s="507"/>
      <c r="DZ356" s="507"/>
      <c r="EA356" s="507"/>
      <c r="EB356" s="507"/>
      <c r="EC356" s="507"/>
      <c r="ED356" s="507"/>
      <c r="EE356" s="507"/>
      <c r="EF356" s="507"/>
      <c r="EG356" s="507"/>
      <c r="EH356" s="507"/>
      <c r="EI356" s="507"/>
      <c r="EJ356" s="507"/>
      <c r="EK356" s="507"/>
      <c r="EL356" s="507"/>
      <c r="EM356" s="507"/>
      <c r="EN356" s="507"/>
      <c r="EO356" s="507"/>
      <c r="EP356" s="507"/>
      <c r="EQ356" s="507"/>
      <c r="ER356" s="507"/>
      <c r="ES356" s="507"/>
      <c r="ET356" s="507"/>
      <c r="EU356" s="507"/>
      <c r="EV356" s="507"/>
      <c r="EW356" s="507"/>
      <c r="EX356" s="507"/>
      <c r="EY356" s="507"/>
      <c r="EZ356" s="507"/>
      <c r="FA356" s="507"/>
      <c r="FB356" s="507"/>
      <c r="FC356" s="507"/>
      <c r="FD356" s="507"/>
      <c r="FE356" s="507"/>
      <c r="FF356" s="507"/>
      <c r="FG356" s="507"/>
      <c r="FH356" s="507"/>
      <c r="FI356" s="507"/>
      <c r="FJ356" s="507"/>
      <c r="FK356" s="507"/>
      <c r="FL356" s="507"/>
      <c r="FM356" s="507"/>
      <c r="FN356" s="507"/>
      <c r="FO356" s="507"/>
      <c r="FP356" s="507"/>
      <c r="FQ356" s="507"/>
      <c r="FR356" s="507"/>
      <c r="FS356" s="507"/>
      <c r="FT356" s="507"/>
      <c r="FU356" s="507"/>
      <c r="FV356" s="507"/>
      <c r="FW356" s="507"/>
      <c r="FX356" s="507"/>
      <c r="FY356" s="507"/>
      <c r="FZ356" s="507"/>
      <c r="GA356" s="507"/>
      <c r="GB356" s="507"/>
      <c r="GC356" s="507"/>
      <c r="GD356" s="507"/>
      <c r="GE356" s="507"/>
      <c r="GF356" s="507"/>
      <c r="GG356" s="507"/>
      <c r="GH356" s="507"/>
      <c r="GI356" s="507"/>
      <c r="GJ356" s="507"/>
      <c r="GK356" s="507"/>
      <c r="GL356" s="507"/>
      <c r="GM356" s="507"/>
      <c r="GN356" s="507"/>
      <c r="GO356" s="507"/>
      <c r="GP356" s="507"/>
      <c r="GQ356" s="507"/>
      <c r="GR356" s="507"/>
      <c r="GS356" s="507"/>
      <c r="GT356" s="507"/>
      <c r="GU356" s="507"/>
      <c r="GV356" s="507"/>
      <c r="GW356" s="507"/>
      <c r="GX356" s="507"/>
      <c r="GY356" s="507"/>
      <c r="GZ356" s="507"/>
      <c r="HA356" s="507"/>
      <c r="HB356" s="507"/>
      <c r="HC356" s="507"/>
      <c r="HD356" s="507"/>
      <c r="HE356" s="507"/>
      <c r="HF356" s="507"/>
      <c r="HG356" s="507"/>
      <c r="HH356" s="507"/>
      <c r="HI356" s="507"/>
      <c r="HJ356" s="507"/>
      <c r="HK356" s="507"/>
      <c r="HL356" s="507"/>
      <c r="HM356" s="507"/>
      <c r="HN356" s="507"/>
      <c r="HO356" s="507"/>
      <c r="HP356" s="507"/>
      <c r="HQ356" s="507"/>
      <c r="HR356" s="507"/>
      <c r="HS356" s="507"/>
      <c r="HT356" s="507"/>
      <c r="HU356" s="507"/>
      <c r="HV356" s="507"/>
      <c r="HW356" s="507"/>
      <c r="HX356" s="507"/>
      <c r="HY356" s="507"/>
      <c r="HZ356" s="507"/>
    </row>
    <row r="357" spans="1:234" s="206" customFormat="1" ht="13.5" hidden="1" customHeight="1" x14ac:dyDescent="0.25">
      <c r="A357" s="541" t="s">
        <v>5141</v>
      </c>
      <c r="B357" s="523" t="s">
        <v>5138</v>
      </c>
      <c r="C357" s="524" t="s">
        <v>5140</v>
      </c>
      <c r="D357" s="551" t="s">
        <v>5139</v>
      </c>
      <c r="E357" s="569" t="s">
        <v>3228</v>
      </c>
      <c r="F357" s="543">
        <v>40919</v>
      </c>
      <c r="G357" s="544">
        <v>40854</v>
      </c>
      <c r="H357" s="544">
        <v>40912</v>
      </c>
      <c r="I357" s="616">
        <v>42766</v>
      </c>
      <c r="J357" s="579">
        <v>100</v>
      </c>
      <c r="K357" s="553" t="s">
        <v>3229</v>
      </c>
      <c r="L357" s="552" t="s">
        <v>3229</v>
      </c>
      <c r="M357" s="560">
        <v>0.1331</v>
      </c>
      <c r="N357" s="606" t="s">
        <v>3229</v>
      </c>
      <c r="O357" s="613">
        <v>0.1331</v>
      </c>
      <c r="P357" s="575" t="s">
        <v>3229</v>
      </c>
      <c r="Q357" s="575" t="s">
        <v>3229</v>
      </c>
      <c r="R357" s="575" t="s">
        <v>3229</v>
      </c>
      <c r="S357" s="570"/>
      <c r="T357" s="617" t="s">
        <v>3229</v>
      </c>
      <c r="U357" s="563" t="s">
        <v>3229</v>
      </c>
      <c r="V357" s="563" t="s">
        <v>3229</v>
      </c>
      <c r="W357" s="563" t="s">
        <v>3229</v>
      </c>
      <c r="X357" s="563" t="s">
        <v>3229</v>
      </c>
      <c r="Y357" s="598" t="s">
        <v>3229</v>
      </c>
      <c r="Z357" s="598" t="s">
        <v>3229</v>
      </c>
      <c r="AA357" s="598" t="s">
        <v>3229</v>
      </c>
      <c r="AB357" s="598" t="s">
        <v>3229</v>
      </c>
      <c r="AC357" s="598" t="s">
        <v>3229</v>
      </c>
      <c r="AD357" s="598" t="s">
        <v>3229</v>
      </c>
      <c r="AE357" s="598" t="s">
        <v>3229</v>
      </c>
      <c r="AF357" s="3764" t="s">
        <v>781</v>
      </c>
      <c r="AG357" s="3765"/>
      <c r="AH357" s="1301" t="s">
        <v>3229</v>
      </c>
      <c r="AI357" s="1301" t="s">
        <v>3229</v>
      </c>
      <c r="AJ357" s="1301" t="s">
        <v>3229</v>
      </c>
      <c r="AK357" s="530" t="s">
        <v>3229</v>
      </c>
      <c r="AL357" s="530" t="s">
        <v>3229</v>
      </c>
      <c r="AM357" s="659">
        <v>1</v>
      </c>
      <c r="AN357" s="638" t="s">
        <v>3229</v>
      </c>
      <c r="AO357" s="625">
        <v>114.46</v>
      </c>
      <c r="AP357" s="688" t="s">
        <v>3229</v>
      </c>
      <c r="AQ357" s="606" t="s">
        <v>3229</v>
      </c>
      <c r="AR357" s="600">
        <f t="shared" si="83"/>
        <v>0.1331</v>
      </c>
      <c r="AS357" s="548">
        <f t="shared" si="77"/>
        <v>2.5001185897485456E-2</v>
      </c>
      <c r="AT357" s="548">
        <f t="shared" si="78"/>
        <v>-1.0047178053468442E-2</v>
      </c>
      <c r="AU357" s="549" t="e">
        <f t="shared" si="79"/>
        <v>#DIV/0!</v>
      </c>
      <c r="AV357" s="558">
        <f t="shared" si="80"/>
        <v>0.1331</v>
      </c>
      <c r="AW357" s="558">
        <f t="shared" si="74"/>
        <v>2.5001185897485456E-2</v>
      </c>
      <c r="AX357" s="589">
        <f t="shared" si="81"/>
        <v>-1.0047178053468442E-2</v>
      </c>
      <c r="AY357" s="587" t="e">
        <f t="shared" si="82"/>
        <v>#DIV/0!</v>
      </c>
      <c r="AZ357" s="676">
        <f t="shared" si="73"/>
        <v>113.31</v>
      </c>
      <c r="BA357" s="581" t="s">
        <v>4484</v>
      </c>
      <c r="BB357" s="570"/>
      <c r="BC357" s="581"/>
      <c r="BD357" s="3691"/>
      <c r="BE357" s="3743"/>
      <c r="BF357" s="3743"/>
      <c r="BG357" s="3708"/>
      <c r="BH357" s="3762"/>
      <c r="BI357" s="3762"/>
      <c r="BJ357" s="39"/>
      <c r="BK357" s="39"/>
      <c r="BL357" s="39"/>
      <c r="BM357" s="39"/>
      <c r="BN357" s="39"/>
      <c r="BO357" s="39"/>
      <c r="BP357" s="39"/>
      <c r="BQ357" s="39"/>
      <c r="BR357" s="39"/>
      <c r="BS357" s="507"/>
      <c r="BT357" s="507"/>
      <c r="BU357" s="507"/>
      <c r="BV357" s="507"/>
      <c r="BW357" s="507"/>
      <c r="BX357" s="507"/>
      <c r="BY357" s="507"/>
      <c r="BZ357" s="507"/>
      <c r="CA357" s="507"/>
      <c r="CB357" s="507"/>
      <c r="CC357" s="507"/>
      <c r="CD357" s="507"/>
      <c r="CE357" s="507"/>
      <c r="CF357" s="507"/>
      <c r="CG357" s="507"/>
      <c r="CH357" s="507"/>
      <c r="CI357" s="507"/>
      <c r="CJ357" s="507"/>
      <c r="CK357" s="507"/>
      <c r="CL357" s="507"/>
      <c r="CM357" s="507"/>
      <c r="CN357" s="507"/>
      <c r="CO357" s="507"/>
      <c r="CP357" s="507"/>
      <c r="CQ357" s="507"/>
      <c r="CR357" s="507"/>
      <c r="CS357" s="507"/>
      <c r="CT357" s="507"/>
      <c r="CU357" s="507"/>
      <c r="CV357" s="507"/>
      <c r="CW357" s="507"/>
      <c r="CX357" s="507"/>
      <c r="CY357" s="507"/>
      <c r="CZ357" s="507"/>
      <c r="DA357" s="507"/>
      <c r="DB357" s="507"/>
      <c r="DC357" s="507"/>
      <c r="DD357" s="507"/>
      <c r="DE357" s="507"/>
      <c r="DF357" s="507"/>
      <c r="DG357" s="507"/>
      <c r="DH357" s="507"/>
      <c r="DI357" s="507"/>
      <c r="DJ357" s="507"/>
      <c r="DK357" s="507"/>
      <c r="DL357" s="507"/>
      <c r="DM357" s="507"/>
      <c r="DN357" s="507"/>
      <c r="DO357" s="507"/>
      <c r="DP357" s="507"/>
      <c r="DQ357" s="507"/>
      <c r="DR357" s="507"/>
      <c r="DS357" s="507"/>
      <c r="DT357" s="507"/>
      <c r="DU357" s="507"/>
      <c r="DV357" s="507"/>
      <c r="DW357" s="507"/>
      <c r="DX357" s="507"/>
      <c r="DY357" s="507"/>
      <c r="DZ357" s="507"/>
      <c r="EA357" s="507"/>
      <c r="EB357" s="507"/>
      <c r="EC357" s="507"/>
      <c r="ED357" s="507"/>
      <c r="EE357" s="507"/>
      <c r="EF357" s="507"/>
      <c r="EG357" s="507"/>
      <c r="EH357" s="507"/>
      <c r="EI357" s="507"/>
      <c r="EJ357" s="507"/>
      <c r="EK357" s="507"/>
      <c r="EL357" s="507"/>
      <c r="EM357" s="507"/>
      <c r="EN357" s="507"/>
      <c r="EO357" s="507"/>
      <c r="EP357" s="507"/>
      <c r="EQ357" s="507"/>
      <c r="ER357" s="507"/>
      <c r="ES357" s="507"/>
      <c r="ET357" s="507"/>
      <c r="EU357" s="507"/>
      <c r="EV357" s="507"/>
      <c r="EW357" s="507"/>
      <c r="EX357" s="507"/>
      <c r="EY357" s="507"/>
      <c r="EZ357" s="507"/>
      <c r="FA357" s="507"/>
      <c r="FB357" s="507"/>
      <c r="FC357" s="507"/>
      <c r="FD357" s="507"/>
      <c r="FE357" s="507"/>
      <c r="FF357" s="507"/>
      <c r="FG357" s="507"/>
      <c r="FH357" s="507"/>
      <c r="FI357" s="507"/>
      <c r="FJ357" s="507"/>
      <c r="FK357" s="507"/>
      <c r="FL357" s="507"/>
      <c r="FM357" s="507"/>
      <c r="FN357" s="507"/>
      <c r="FO357" s="507"/>
      <c r="FP357" s="507"/>
      <c r="FQ357" s="507"/>
      <c r="FR357" s="507"/>
      <c r="FS357" s="507"/>
      <c r="FT357" s="507"/>
      <c r="FU357" s="507"/>
      <c r="FV357" s="507"/>
      <c r="FW357" s="507"/>
      <c r="FX357" s="507"/>
      <c r="FY357" s="507"/>
      <c r="FZ357" s="507"/>
      <c r="GA357" s="507"/>
      <c r="GB357" s="507"/>
      <c r="GC357" s="507"/>
      <c r="GD357" s="507"/>
      <c r="GE357" s="507"/>
      <c r="GF357" s="507"/>
      <c r="GG357" s="507"/>
      <c r="GH357" s="507"/>
      <c r="GI357" s="507"/>
      <c r="GJ357" s="507"/>
      <c r="GK357" s="507"/>
      <c r="GL357" s="507"/>
      <c r="GM357" s="507"/>
      <c r="GN357" s="507"/>
      <c r="GO357" s="507"/>
      <c r="GP357" s="507"/>
      <c r="GQ357" s="507"/>
      <c r="GR357" s="507"/>
      <c r="GS357" s="507"/>
      <c r="GT357" s="507"/>
      <c r="GU357" s="507"/>
      <c r="GV357" s="507"/>
      <c r="GW357" s="507"/>
      <c r="GX357" s="507"/>
      <c r="GY357" s="507"/>
      <c r="GZ357" s="507"/>
      <c r="HA357" s="507"/>
      <c r="HB357" s="507"/>
      <c r="HC357" s="507"/>
      <c r="HD357" s="507"/>
      <c r="HE357" s="507"/>
      <c r="HF357" s="507"/>
      <c r="HG357" s="507"/>
      <c r="HH357" s="507"/>
      <c r="HI357" s="507"/>
      <c r="HJ357" s="507"/>
      <c r="HK357" s="507"/>
      <c r="HL357" s="507"/>
      <c r="HM357" s="507"/>
      <c r="HN357" s="507"/>
      <c r="HO357" s="507"/>
      <c r="HP357" s="507"/>
      <c r="HQ357" s="507"/>
      <c r="HR357" s="507"/>
      <c r="HS357" s="507"/>
      <c r="HT357" s="507"/>
      <c r="HU357" s="507"/>
      <c r="HV357" s="507"/>
      <c r="HW357" s="507"/>
      <c r="HX357" s="507"/>
      <c r="HY357" s="507"/>
      <c r="HZ357" s="507"/>
    </row>
    <row r="358" spans="1:234" s="206" customFormat="1" ht="13.5" hidden="1" customHeight="1" x14ac:dyDescent="0.25">
      <c r="A358" s="541" t="s">
        <v>5177</v>
      </c>
      <c r="B358" s="523" t="s">
        <v>5178</v>
      </c>
      <c r="C358" s="524" t="s">
        <v>5179</v>
      </c>
      <c r="D358" s="551" t="s">
        <v>189</v>
      </c>
      <c r="E358" s="569" t="s">
        <v>905</v>
      </c>
      <c r="F358" s="543">
        <v>40975</v>
      </c>
      <c r="G358" s="544">
        <v>40924</v>
      </c>
      <c r="H358" s="544">
        <v>40968</v>
      </c>
      <c r="I358" s="616">
        <v>43007</v>
      </c>
      <c r="J358" s="579">
        <v>10</v>
      </c>
      <c r="K358" s="553">
        <v>0</v>
      </c>
      <c r="L358" s="552">
        <v>0.06</v>
      </c>
      <c r="M358" s="560">
        <v>0.03</v>
      </c>
      <c r="N358" s="606" t="s">
        <v>3229</v>
      </c>
      <c r="O358" s="613">
        <v>0.27</v>
      </c>
      <c r="P358" s="575" t="s">
        <v>3229</v>
      </c>
      <c r="Q358" s="575">
        <v>0.03</v>
      </c>
      <c r="R358" s="575" t="s">
        <v>3229</v>
      </c>
      <c r="S358" s="570">
        <v>5</v>
      </c>
      <c r="T358" s="617">
        <v>41306</v>
      </c>
      <c r="U358" s="563">
        <v>41671</v>
      </c>
      <c r="V358" s="563">
        <v>42036</v>
      </c>
      <c r="W358" s="563">
        <v>42401</v>
      </c>
      <c r="X358" s="563">
        <v>42948</v>
      </c>
      <c r="Y358" s="598" t="s">
        <v>3229</v>
      </c>
      <c r="Z358" s="598" t="s">
        <v>3229</v>
      </c>
      <c r="AA358" s="598" t="s">
        <v>3229</v>
      </c>
      <c r="AB358" s="598" t="s">
        <v>3229</v>
      </c>
      <c r="AC358" s="598" t="s">
        <v>3229</v>
      </c>
      <c r="AD358" s="598" t="s">
        <v>3229</v>
      </c>
      <c r="AE358" s="598" t="s">
        <v>3229</v>
      </c>
      <c r="AF358" s="3764" t="s">
        <v>781</v>
      </c>
      <c r="AG358" s="3765"/>
      <c r="AH358" s="1301" t="s">
        <v>3229</v>
      </c>
      <c r="AI358" s="1301" t="s">
        <v>3229</v>
      </c>
      <c r="AJ358" s="1301" t="s">
        <v>3229</v>
      </c>
      <c r="AK358" s="530" t="s">
        <v>3229</v>
      </c>
      <c r="AL358" s="530" t="s">
        <v>3229</v>
      </c>
      <c r="AM358" s="659">
        <v>1</v>
      </c>
      <c r="AN358" s="638">
        <f>'klikací hodnoty'!F10621</f>
        <v>0.23260399999999995</v>
      </c>
      <c r="AO358" s="625">
        <v>12.5</v>
      </c>
      <c r="AP358" s="688">
        <f>'klikací hodnoty'!F10613</f>
        <v>4.6966888822855206E-2</v>
      </c>
      <c r="AQ358" s="606">
        <f>'klikací hodnoty'!E10613</f>
        <v>0.51085758025801231</v>
      </c>
      <c r="AR358" s="600">
        <f>O358</f>
        <v>0.27</v>
      </c>
      <c r="AS358" s="548">
        <f t="shared" si="77"/>
        <v>4.3868627693502082E-2</v>
      </c>
      <c r="AT358" s="548">
        <f t="shared" si="78"/>
        <v>1.6000000000000014E-2</v>
      </c>
      <c r="AU358" s="549" t="e">
        <f t="shared" si="79"/>
        <v>#DIV/0!</v>
      </c>
      <c r="AV358" s="558">
        <f t="shared" si="80"/>
        <v>0.03</v>
      </c>
      <c r="AW358" s="558">
        <f t="shared" si="74"/>
        <v>5.3236494748181151E-3</v>
      </c>
      <c r="AX358" s="589">
        <f t="shared" si="81"/>
        <v>-0.17599999999999993</v>
      </c>
      <c r="AY358" s="587" t="e">
        <f t="shared" si="82"/>
        <v>#DIV/0!</v>
      </c>
      <c r="AZ358" s="676">
        <f t="shared" si="73"/>
        <v>10.3</v>
      </c>
      <c r="BA358" s="581" t="s">
        <v>2585</v>
      </c>
      <c r="BB358" s="570" t="s">
        <v>2025</v>
      </c>
      <c r="BC358" s="581" t="s">
        <v>2895</v>
      </c>
      <c r="BD358" s="3691"/>
      <c r="BE358" s="3743"/>
      <c r="BF358" s="3743"/>
      <c r="BG358" s="3708"/>
      <c r="BH358" s="3762"/>
      <c r="BI358" s="3762"/>
      <c r="BJ358" s="39"/>
      <c r="BK358" s="39"/>
      <c r="BL358" s="39"/>
      <c r="BM358" s="39"/>
      <c r="BN358" s="39"/>
      <c r="BO358" s="39"/>
      <c r="BP358" s="39"/>
      <c r="BQ358" s="39"/>
      <c r="BR358" s="39"/>
      <c r="BS358" s="507"/>
      <c r="BT358" s="507"/>
      <c r="BU358" s="507"/>
      <c r="BV358" s="507"/>
      <c r="BW358" s="507"/>
      <c r="BX358" s="507"/>
      <c r="BY358" s="507"/>
      <c r="BZ358" s="507"/>
      <c r="CA358" s="507"/>
      <c r="CB358" s="507"/>
      <c r="CC358" s="507"/>
      <c r="CD358" s="507"/>
      <c r="CE358" s="507"/>
      <c r="CF358" s="507"/>
      <c r="CG358" s="507"/>
      <c r="CH358" s="507"/>
      <c r="CI358" s="507"/>
      <c r="CJ358" s="507"/>
      <c r="CK358" s="507"/>
      <c r="CL358" s="507"/>
      <c r="CM358" s="507"/>
      <c r="CN358" s="507"/>
      <c r="CO358" s="507"/>
      <c r="CP358" s="507"/>
      <c r="CQ358" s="507"/>
      <c r="CR358" s="507"/>
      <c r="CS358" s="507"/>
      <c r="CT358" s="507"/>
      <c r="CU358" s="507"/>
      <c r="CV358" s="507"/>
      <c r="CW358" s="507"/>
      <c r="CX358" s="507"/>
      <c r="CY358" s="507"/>
      <c r="CZ358" s="507"/>
      <c r="DA358" s="507"/>
      <c r="DB358" s="507"/>
      <c r="DC358" s="507"/>
      <c r="DD358" s="507"/>
      <c r="DE358" s="507"/>
      <c r="DF358" s="507"/>
      <c r="DG358" s="507"/>
      <c r="DH358" s="507"/>
      <c r="DI358" s="507"/>
      <c r="DJ358" s="507"/>
      <c r="DK358" s="507"/>
      <c r="DL358" s="507"/>
      <c r="DM358" s="507"/>
      <c r="DN358" s="507"/>
      <c r="DO358" s="507"/>
      <c r="DP358" s="507"/>
      <c r="DQ358" s="507"/>
      <c r="DR358" s="507"/>
      <c r="DS358" s="507"/>
      <c r="DT358" s="507"/>
      <c r="DU358" s="507"/>
      <c r="DV358" s="507"/>
      <c r="DW358" s="507"/>
      <c r="DX358" s="507"/>
      <c r="DY358" s="507"/>
      <c r="DZ358" s="507"/>
      <c r="EA358" s="507"/>
      <c r="EB358" s="507"/>
      <c r="EC358" s="507"/>
      <c r="ED358" s="507"/>
      <c r="EE358" s="507"/>
      <c r="EF358" s="507"/>
      <c r="EG358" s="507"/>
      <c r="EH358" s="507"/>
      <c r="EI358" s="507"/>
      <c r="EJ358" s="507"/>
      <c r="EK358" s="507"/>
      <c r="EL358" s="507"/>
      <c r="EM358" s="507"/>
      <c r="EN358" s="507"/>
      <c r="EO358" s="507"/>
      <c r="EP358" s="507"/>
      <c r="EQ358" s="507"/>
      <c r="ER358" s="507"/>
      <c r="ES358" s="507"/>
      <c r="ET358" s="507"/>
      <c r="EU358" s="507"/>
      <c r="EV358" s="507"/>
      <c r="EW358" s="507"/>
      <c r="EX358" s="507"/>
      <c r="EY358" s="507"/>
      <c r="EZ358" s="507"/>
      <c r="FA358" s="507"/>
      <c r="FB358" s="507"/>
      <c r="FC358" s="507"/>
      <c r="FD358" s="507"/>
      <c r="FE358" s="507"/>
      <c r="FF358" s="507"/>
      <c r="FG358" s="507"/>
      <c r="FH358" s="507"/>
      <c r="FI358" s="507"/>
      <c r="FJ358" s="507"/>
      <c r="FK358" s="507"/>
      <c r="FL358" s="507"/>
      <c r="FM358" s="507"/>
      <c r="FN358" s="507"/>
      <c r="FO358" s="507"/>
      <c r="FP358" s="507"/>
      <c r="FQ358" s="507"/>
      <c r="FR358" s="507"/>
      <c r="FS358" s="507"/>
      <c r="FT358" s="507"/>
      <c r="FU358" s="507"/>
      <c r="FV358" s="507"/>
      <c r="FW358" s="507"/>
      <c r="FX358" s="507"/>
      <c r="FY358" s="507"/>
      <c r="FZ358" s="507"/>
      <c r="GA358" s="507"/>
      <c r="GB358" s="507"/>
      <c r="GC358" s="507"/>
      <c r="GD358" s="507"/>
      <c r="GE358" s="507"/>
      <c r="GF358" s="507"/>
      <c r="GG358" s="507"/>
      <c r="GH358" s="507"/>
      <c r="GI358" s="507"/>
      <c r="GJ358" s="507"/>
      <c r="GK358" s="507"/>
      <c r="GL358" s="507"/>
      <c r="GM358" s="507"/>
      <c r="GN358" s="507"/>
      <c r="GO358" s="507"/>
      <c r="GP358" s="507"/>
      <c r="GQ358" s="507"/>
      <c r="GR358" s="507"/>
      <c r="GS358" s="507"/>
      <c r="GT358" s="507"/>
      <c r="GU358" s="507"/>
      <c r="GV358" s="507"/>
      <c r="GW358" s="507"/>
      <c r="GX358" s="507"/>
      <c r="GY358" s="507"/>
      <c r="GZ358" s="507"/>
      <c r="HA358" s="507"/>
      <c r="HB358" s="507"/>
      <c r="HC358" s="507"/>
      <c r="HD358" s="507"/>
      <c r="HE358" s="507"/>
      <c r="HF358" s="507"/>
      <c r="HG358" s="507"/>
      <c r="HH358" s="507"/>
      <c r="HI358" s="507"/>
      <c r="HJ358" s="507"/>
      <c r="HK358" s="507"/>
      <c r="HL358" s="507"/>
      <c r="HM358" s="507"/>
      <c r="HN358" s="507"/>
      <c r="HO358" s="507"/>
      <c r="HP358" s="507"/>
      <c r="HQ358" s="507"/>
      <c r="HR358" s="507"/>
      <c r="HS358" s="507"/>
      <c r="HT358" s="507"/>
      <c r="HU358" s="507"/>
      <c r="HV358" s="507"/>
      <c r="HW358" s="507"/>
      <c r="HX358" s="507"/>
      <c r="HY358" s="507"/>
      <c r="HZ358" s="507"/>
    </row>
    <row r="359" spans="1:234" s="206" customFormat="1" ht="13.5" hidden="1" customHeight="1" x14ac:dyDescent="0.25">
      <c r="A359" s="541" t="s">
        <v>5207</v>
      </c>
      <c r="B359" s="523" t="s">
        <v>5208</v>
      </c>
      <c r="C359" s="524" t="s">
        <v>5209</v>
      </c>
      <c r="D359" s="551" t="s">
        <v>4384</v>
      </c>
      <c r="E359" s="569" t="s">
        <v>3228</v>
      </c>
      <c r="F359" s="543">
        <v>40991</v>
      </c>
      <c r="G359" s="544">
        <v>40945</v>
      </c>
      <c r="H359" s="544">
        <v>40984</v>
      </c>
      <c r="I359" s="616">
        <v>43007</v>
      </c>
      <c r="J359" s="579">
        <v>10</v>
      </c>
      <c r="K359" s="553" t="s">
        <v>3229</v>
      </c>
      <c r="L359" s="552" t="s">
        <v>3229</v>
      </c>
      <c r="M359" s="560">
        <v>-1</v>
      </c>
      <c r="N359" s="606">
        <v>0.9</v>
      </c>
      <c r="O359" s="613" t="s">
        <v>3229</v>
      </c>
      <c r="P359" s="575" t="s">
        <v>3229</v>
      </c>
      <c r="Q359" s="575" t="s">
        <v>3229</v>
      </c>
      <c r="R359" s="575" t="s">
        <v>3229</v>
      </c>
      <c r="S359" s="570"/>
      <c r="T359" s="617" t="s">
        <v>3229</v>
      </c>
      <c r="U359" s="563" t="s">
        <v>3229</v>
      </c>
      <c r="V359" s="563" t="s">
        <v>3229</v>
      </c>
      <c r="W359" s="563" t="s">
        <v>3229</v>
      </c>
      <c r="X359" s="563" t="s">
        <v>3229</v>
      </c>
      <c r="Y359" s="598" t="s">
        <v>3229</v>
      </c>
      <c r="Z359" s="598" t="s">
        <v>3229</v>
      </c>
      <c r="AA359" s="598" t="s">
        <v>3229</v>
      </c>
      <c r="AB359" s="598" t="s">
        <v>3229</v>
      </c>
      <c r="AC359" s="598" t="s">
        <v>3229</v>
      </c>
      <c r="AD359" s="598" t="s">
        <v>3229</v>
      </c>
      <c r="AE359" s="598" t="s">
        <v>3229</v>
      </c>
      <c r="AF359" s="3764" t="s">
        <v>781</v>
      </c>
      <c r="AG359" s="3765"/>
      <c r="AH359" s="1301" t="s">
        <v>3229</v>
      </c>
      <c r="AI359" s="1301" t="s">
        <v>3229</v>
      </c>
      <c r="AJ359" s="1301" t="s">
        <v>3229</v>
      </c>
      <c r="AK359" s="530" t="s">
        <v>3229</v>
      </c>
      <c r="AL359" s="530" t="s">
        <v>3229</v>
      </c>
      <c r="AM359" s="659">
        <v>1</v>
      </c>
      <c r="AN359" s="638">
        <f>'klikací hodnoty'!F10713</f>
        <v>0.46823734999999994</v>
      </c>
      <c r="AO359" s="625">
        <v>14.68</v>
      </c>
      <c r="AP359" s="688">
        <f>+'klikací hodnoty'!K10702</f>
        <v>0.52026372222222217</v>
      </c>
      <c r="AQ359" s="606">
        <f>+'klikací hodnoty'!F10712</f>
        <v>0.52667201266226782</v>
      </c>
      <c r="AR359" s="600" t="s">
        <v>3660</v>
      </c>
      <c r="AS359" s="548"/>
      <c r="AT359" s="548"/>
      <c r="AU359" s="549"/>
      <c r="AV359" s="558">
        <f>M359</f>
        <v>-1</v>
      </c>
      <c r="AW359" s="558">
        <f t="shared" si="74"/>
        <v>-1</v>
      </c>
      <c r="AX359" s="589">
        <f t="shared" si="81"/>
        <v>-1</v>
      </c>
      <c r="AY359" s="587" t="e">
        <f t="shared" si="82"/>
        <v>#DIV/0!</v>
      </c>
      <c r="AZ359" s="676">
        <f t="shared" si="73"/>
        <v>0</v>
      </c>
      <c r="BA359" s="581"/>
      <c r="BB359" s="570"/>
      <c r="BC359" s="581"/>
      <c r="BD359" s="3691"/>
      <c r="BE359" s="3743"/>
      <c r="BF359" s="3743"/>
      <c r="BG359" s="3708"/>
      <c r="BH359" s="3762"/>
      <c r="BI359" s="3762"/>
      <c r="BJ359" s="39"/>
      <c r="BK359" s="39"/>
      <c r="BL359" s="39"/>
      <c r="BM359" s="39"/>
      <c r="BN359" s="39"/>
      <c r="BO359" s="39"/>
      <c r="BP359" s="39"/>
      <c r="BQ359" s="39"/>
      <c r="BR359" s="39"/>
      <c r="BS359" s="507"/>
      <c r="BT359" s="507"/>
      <c r="BU359" s="507"/>
      <c r="BV359" s="507"/>
      <c r="BW359" s="507"/>
      <c r="BX359" s="507"/>
      <c r="BY359" s="507"/>
      <c r="BZ359" s="507"/>
      <c r="CA359" s="507"/>
      <c r="CB359" s="507"/>
      <c r="CC359" s="507"/>
      <c r="CD359" s="507"/>
      <c r="CE359" s="507"/>
      <c r="CF359" s="507"/>
      <c r="CG359" s="507"/>
      <c r="CH359" s="507"/>
      <c r="CI359" s="507"/>
      <c r="CJ359" s="507"/>
      <c r="CK359" s="507"/>
      <c r="CL359" s="507"/>
      <c r="CM359" s="507"/>
      <c r="CN359" s="507"/>
      <c r="CO359" s="507"/>
      <c r="CP359" s="507"/>
      <c r="CQ359" s="507"/>
      <c r="CR359" s="507"/>
      <c r="CS359" s="507"/>
      <c r="CT359" s="507"/>
      <c r="CU359" s="507"/>
      <c r="CV359" s="507"/>
      <c r="CW359" s="507"/>
      <c r="CX359" s="507"/>
      <c r="CY359" s="507"/>
      <c r="CZ359" s="507"/>
      <c r="DA359" s="507"/>
      <c r="DB359" s="507"/>
      <c r="DC359" s="507"/>
      <c r="DD359" s="507"/>
      <c r="DE359" s="507"/>
      <c r="DF359" s="507"/>
      <c r="DG359" s="507"/>
      <c r="DH359" s="507"/>
      <c r="DI359" s="507"/>
      <c r="DJ359" s="507"/>
      <c r="DK359" s="507"/>
      <c r="DL359" s="507"/>
      <c r="DM359" s="507"/>
      <c r="DN359" s="507"/>
      <c r="DO359" s="507"/>
      <c r="DP359" s="507"/>
      <c r="DQ359" s="507"/>
      <c r="DR359" s="507"/>
      <c r="DS359" s="507"/>
      <c r="DT359" s="507"/>
      <c r="DU359" s="507"/>
      <c r="DV359" s="507"/>
      <c r="DW359" s="507"/>
      <c r="DX359" s="507"/>
      <c r="DY359" s="507"/>
      <c r="DZ359" s="507"/>
      <c r="EA359" s="507"/>
      <c r="EB359" s="507"/>
      <c r="EC359" s="507"/>
      <c r="ED359" s="507"/>
      <c r="EE359" s="507"/>
      <c r="EF359" s="507"/>
      <c r="EG359" s="507"/>
      <c r="EH359" s="507"/>
      <c r="EI359" s="507"/>
      <c r="EJ359" s="507"/>
      <c r="EK359" s="507"/>
      <c r="EL359" s="507"/>
      <c r="EM359" s="507"/>
      <c r="EN359" s="507"/>
      <c r="EO359" s="507"/>
      <c r="EP359" s="507"/>
      <c r="EQ359" s="507"/>
      <c r="ER359" s="507"/>
      <c r="ES359" s="507"/>
      <c r="ET359" s="507"/>
      <c r="EU359" s="507"/>
      <c r="EV359" s="507"/>
      <c r="EW359" s="507"/>
      <c r="EX359" s="507"/>
      <c r="EY359" s="507"/>
      <c r="EZ359" s="507"/>
      <c r="FA359" s="507"/>
      <c r="FB359" s="507"/>
      <c r="FC359" s="507"/>
      <c r="FD359" s="507"/>
      <c r="FE359" s="507"/>
      <c r="FF359" s="507"/>
      <c r="FG359" s="507"/>
      <c r="FH359" s="507"/>
      <c r="FI359" s="507"/>
      <c r="FJ359" s="507"/>
      <c r="FK359" s="507"/>
      <c r="FL359" s="507"/>
      <c r="FM359" s="507"/>
      <c r="FN359" s="507"/>
      <c r="FO359" s="507"/>
      <c r="FP359" s="507"/>
      <c r="FQ359" s="507"/>
      <c r="FR359" s="507"/>
      <c r="FS359" s="507"/>
      <c r="FT359" s="507"/>
      <c r="FU359" s="507"/>
      <c r="FV359" s="507"/>
      <c r="FW359" s="507"/>
      <c r="FX359" s="507"/>
      <c r="FY359" s="507"/>
      <c r="FZ359" s="507"/>
      <c r="GA359" s="507"/>
      <c r="GB359" s="507"/>
      <c r="GC359" s="507"/>
      <c r="GD359" s="507"/>
      <c r="GE359" s="507"/>
      <c r="GF359" s="507"/>
      <c r="GG359" s="507"/>
      <c r="GH359" s="507"/>
      <c r="GI359" s="507"/>
      <c r="GJ359" s="507"/>
      <c r="GK359" s="507"/>
      <c r="GL359" s="507"/>
      <c r="GM359" s="507"/>
      <c r="GN359" s="507"/>
      <c r="GO359" s="507"/>
      <c r="GP359" s="507"/>
      <c r="GQ359" s="507"/>
      <c r="GR359" s="507"/>
      <c r="GS359" s="507"/>
      <c r="GT359" s="507"/>
      <c r="GU359" s="507"/>
      <c r="GV359" s="507"/>
      <c r="GW359" s="507"/>
      <c r="GX359" s="507"/>
      <c r="GY359" s="507"/>
      <c r="GZ359" s="507"/>
      <c r="HA359" s="507"/>
      <c r="HB359" s="507"/>
      <c r="HC359" s="507"/>
      <c r="HD359" s="507"/>
      <c r="HE359" s="507"/>
      <c r="HF359" s="507"/>
      <c r="HG359" s="507"/>
      <c r="HH359" s="507"/>
      <c r="HI359" s="507"/>
      <c r="HJ359" s="507"/>
      <c r="HK359" s="507"/>
      <c r="HL359" s="507"/>
      <c r="HM359" s="507"/>
      <c r="HN359" s="507"/>
      <c r="HO359" s="507"/>
      <c r="HP359" s="507"/>
      <c r="HQ359" s="507"/>
      <c r="HR359" s="507"/>
      <c r="HS359" s="507"/>
      <c r="HT359" s="507"/>
      <c r="HU359" s="507"/>
      <c r="HV359" s="507"/>
      <c r="HW359" s="507"/>
      <c r="HX359" s="507"/>
      <c r="HY359" s="507"/>
      <c r="HZ359" s="507"/>
    </row>
    <row r="360" spans="1:234" s="206" customFormat="1" ht="13.5" hidden="1" customHeight="1" x14ac:dyDescent="0.25">
      <c r="A360" s="541" t="s">
        <v>5211</v>
      </c>
      <c r="B360" s="523" t="s">
        <v>5212</v>
      </c>
      <c r="C360" s="524" t="s">
        <v>5210</v>
      </c>
      <c r="D360" s="551" t="s">
        <v>1859</v>
      </c>
      <c r="E360" s="569" t="s">
        <v>3228</v>
      </c>
      <c r="F360" s="543">
        <v>41038</v>
      </c>
      <c r="G360" s="544">
        <v>40969</v>
      </c>
      <c r="H360" s="544">
        <v>41029</v>
      </c>
      <c r="I360" s="616">
        <v>43069</v>
      </c>
      <c r="J360" s="579">
        <v>10</v>
      </c>
      <c r="K360" s="553">
        <v>0</v>
      </c>
      <c r="L360" s="552">
        <v>0.06</v>
      </c>
      <c r="M360" s="560">
        <v>2.5000000000000001E-2</v>
      </c>
      <c r="N360" s="606" t="s">
        <v>3229</v>
      </c>
      <c r="O360" s="613">
        <v>0.26500000000000001</v>
      </c>
      <c r="P360" s="575" t="s">
        <v>3229</v>
      </c>
      <c r="Q360" s="575">
        <v>2.5000000000000001E-2</v>
      </c>
      <c r="R360" s="575" t="s">
        <v>3229</v>
      </c>
      <c r="S360" s="570">
        <v>5</v>
      </c>
      <c r="T360" s="617">
        <v>41365</v>
      </c>
      <c r="U360" s="563">
        <v>41730</v>
      </c>
      <c r="V360" s="563">
        <v>42095</v>
      </c>
      <c r="W360" s="563">
        <v>42461</v>
      </c>
      <c r="X360" s="563">
        <v>43009</v>
      </c>
      <c r="Y360" s="598" t="s">
        <v>3229</v>
      </c>
      <c r="Z360" s="598" t="s">
        <v>3229</v>
      </c>
      <c r="AA360" s="598" t="s">
        <v>3229</v>
      </c>
      <c r="AB360" s="598" t="s">
        <v>3229</v>
      </c>
      <c r="AC360" s="598" t="s">
        <v>3229</v>
      </c>
      <c r="AD360" s="598" t="s">
        <v>3229</v>
      </c>
      <c r="AE360" s="598" t="s">
        <v>3229</v>
      </c>
      <c r="AF360" s="3764" t="s">
        <v>781</v>
      </c>
      <c r="AG360" s="3765"/>
      <c r="AH360" s="1301" t="s">
        <v>3229</v>
      </c>
      <c r="AI360" s="1301" t="s">
        <v>3229</v>
      </c>
      <c r="AJ360" s="1301" t="s">
        <v>3229</v>
      </c>
      <c r="AK360" s="530" t="s">
        <v>3229</v>
      </c>
      <c r="AL360" s="530" t="s">
        <v>3229</v>
      </c>
      <c r="AM360" s="659">
        <v>1</v>
      </c>
      <c r="AN360" s="638">
        <f>'klikací hodnoty'!F10867</f>
        <v>0.23100000000000001</v>
      </c>
      <c r="AO360" s="625">
        <v>12.31</v>
      </c>
      <c r="AP360" s="688">
        <f>'klikací hodnoty'!F10859</f>
        <v>4.7264054102886408E-2</v>
      </c>
      <c r="AQ360" s="606">
        <f>'klikací hodnoty'!E10859</f>
        <v>0.54285615751978933</v>
      </c>
      <c r="AR360" s="600">
        <f t="shared" ref="AR360:AR396" si="84">O360</f>
        <v>0.26500000000000001</v>
      </c>
      <c r="AS360" s="548">
        <f t="shared" ref="AS360:AS366" si="85">POWER(1+AR360,1/((I360-F360)/365))-1</f>
        <v>4.3150907545318695E-2</v>
      </c>
      <c r="AT360" s="548">
        <f t="shared" ref="AT360:AT366" si="86">J360*(1+AR360)/AO360-1</f>
        <v>2.7619821283509483E-2</v>
      </c>
      <c r="AU360" s="549" t="e">
        <f t="shared" ref="AU360:AU366" si="87">POWER(1+AT360,1/AG360)-1</f>
        <v>#DIV/0!</v>
      </c>
      <c r="AV360" s="558">
        <f t="shared" si="80"/>
        <v>2.5000000000000001E-2</v>
      </c>
      <c r="AW360" s="558">
        <f t="shared" si="74"/>
        <v>4.4474795184472615E-3</v>
      </c>
      <c r="AX360" s="589">
        <f t="shared" si="81"/>
        <v>-0.1673436230706743</v>
      </c>
      <c r="AY360" s="587" t="e">
        <f t="shared" si="82"/>
        <v>#DIV/0!</v>
      </c>
      <c r="AZ360" s="676">
        <f t="shared" si="73"/>
        <v>10.25</v>
      </c>
      <c r="BA360" s="581" t="s">
        <v>2585</v>
      </c>
      <c r="BB360" s="570" t="s">
        <v>2025</v>
      </c>
      <c r="BC360" s="581" t="s">
        <v>2895</v>
      </c>
      <c r="BD360" s="3691"/>
      <c r="BE360" s="3743"/>
      <c r="BF360" s="3743"/>
      <c r="BG360" s="3708"/>
      <c r="BH360" s="3762"/>
      <c r="BI360" s="3762"/>
      <c r="BJ360" s="39"/>
      <c r="BK360" s="39"/>
      <c r="BL360" s="39"/>
      <c r="BM360" s="39"/>
      <c r="BN360" s="39"/>
      <c r="BO360" s="39"/>
      <c r="BP360" s="39"/>
      <c r="BQ360" s="39"/>
      <c r="BR360" s="39"/>
      <c r="BS360" s="507"/>
      <c r="BT360" s="507"/>
      <c r="BU360" s="507"/>
      <c r="BV360" s="507"/>
      <c r="BW360" s="507"/>
      <c r="BX360" s="507"/>
      <c r="BY360" s="507"/>
      <c r="BZ360" s="507"/>
      <c r="CA360" s="507"/>
      <c r="CB360" s="507"/>
      <c r="CC360" s="507"/>
      <c r="CD360" s="507"/>
      <c r="CE360" s="507"/>
      <c r="CF360" s="507"/>
      <c r="CG360" s="507"/>
      <c r="CH360" s="507"/>
      <c r="CI360" s="507"/>
      <c r="CJ360" s="507"/>
      <c r="CK360" s="507"/>
      <c r="CL360" s="507"/>
      <c r="CM360" s="507"/>
      <c r="CN360" s="507"/>
      <c r="CO360" s="507"/>
      <c r="CP360" s="507"/>
      <c r="CQ360" s="507"/>
      <c r="CR360" s="507"/>
      <c r="CS360" s="507"/>
      <c r="CT360" s="507"/>
      <c r="CU360" s="507"/>
      <c r="CV360" s="507"/>
      <c r="CW360" s="507"/>
      <c r="CX360" s="507"/>
      <c r="CY360" s="507"/>
      <c r="CZ360" s="507"/>
      <c r="DA360" s="507"/>
      <c r="DB360" s="507"/>
      <c r="DC360" s="507"/>
      <c r="DD360" s="507"/>
      <c r="DE360" s="507"/>
      <c r="DF360" s="507"/>
      <c r="DG360" s="507"/>
      <c r="DH360" s="507"/>
      <c r="DI360" s="507"/>
      <c r="DJ360" s="507"/>
      <c r="DK360" s="507"/>
      <c r="DL360" s="507"/>
      <c r="DM360" s="507"/>
      <c r="DN360" s="507"/>
      <c r="DO360" s="507"/>
      <c r="DP360" s="507"/>
      <c r="DQ360" s="507"/>
      <c r="DR360" s="507"/>
      <c r="DS360" s="507"/>
      <c r="DT360" s="507"/>
      <c r="DU360" s="507"/>
      <c r="DV360" s="507"/>
      <c r="DW360" s="507"/>
      <c r="DX360" s="507"/>
      <c r="DY360" s="507"/>
      <c r="DZ360" s="507"/>
      <c r="EA360" s="507"/>
      <c r="EB360" s="507"/>
      <c r="EC360" s="507"/>
      <c r="ED360" s="507"/>
      <c r="EE360" s="507"/>
      <c r="EF360" s="507"/>
      <c r="EG360" s="507"/>
      <c r="EH360" s="507"/>
      <c r="EI360" s="507"/>
      <c r="EJ360" s="507"/>
      <c r="EK360" s="507"/>
      <c r="EL360" s="507"/>
      <c r="EM360" s="507"/>
      <c r="EN360" s="507"/>
      <c r="EO360" s="507"/>
      <c r="EP360" s="507"/>
      <c r="EQ360" s="507"/>
      <c r="ER360" s="507"/>
      <c r="ES360" s="507"/>
      <c r="ET360" s="507"/>
      <c r="EU360" s="507"/>
      <c r="EV360" s="507"/>
      <c r="EW360" s="507"/>
      <c r="EX360" s="507"/>
      <c r="EY360" s="507"/>
      <c r="EZ360" s="507"/>
      <c r="FA360" s="507"/>
      <c r="FB360" s="507"/>
      <c r="FC360" s="507"/>
      <c r="FD360" s="507"/>
      <c r="FE360" s="507"/>
      <c r="FF360" s="507"/>
      <c r="FG360" s="507"/>
      <c r="FH360" s="507"/>
      <c r="FI360" s="507"/>
      <c r="FJ360" s="507"/>
      <c r="FK360" s="507"/>
      <c r="FL360" s="507"/>
      <c r="FM360" s="507"/>
      <c r="FN360" s="507"/>
      <c r="FO360" s="507"/>
      <c r="FP360" s="507"/>
      <c r="FQ360" s="507"/>
      <c r="FR360" s="507"/>
      <c r="FS360" s="507"/>
      <c r="FT360" s="507"/>
      <c r="FU360" s="507"/>
      <c r="FV360" s="507"/>
      <c r="FW360" s="507"/>
      <c r="FX360" s="507"/>
      <c r="FY360" s="507"/>
      <c r="FZ360" s="507"/>
      <c r="GA360" s="507"/>
      <c r="GB360" s="507"/>
      <c r="GC360" s="507"/>
      <c r="GD360" s="507"/>
      <c r="GE360" s="507"/>
      <c r="GF360" s="507"/>
      <c r="GG360" s="507"/>
      <c r="GH360" s="507"/>
      <c r="GI360" s="507"/>
      <c r="GJ360" s="507"/>
      <c r="GK360" s="507"/>
      <c r="GL360" s="507"/>
      <c r="GM360" s="507"/>
      <c r="GN360" s="507"/>
      <c r="GO360" s="507"/>
      <c r="GP360" s="507"/>
      <c r="GQ360" s="507"/>
      <c r="GR360" s="507"/>
      <c r="GS360" s="507"/>
      <c r="GT360" s="507"/>
      <c r="GU360" s="507"/>
      <c r="GV360" s="507"/>
      <c r="GW360" s="507"/>
      <c r="GX360" s="507"/>
      <c r="GY360" s="507"/>
      <c r="GZ360" s="507"/>
      <c r="HA360" s="507"/>
      <c r="HB360" s="507"/>
      <c r="HC360" s="507"/>
      <c r="HD360" s="507"/>
      <c r="HE360" s="507"/>
      <c r="HF360" s="507"/>
      <c r="HG360" s="507"/>
      <c r="HH360" s="507"/>
      <c r="HI360" s="507"/>
      <c r="HJ360" s="507"/>
      <c r="HK360" s="507"/>
      <c r="HL360" s="507"/>
      <c r="HM360" s="507"/>
      <c r="HN360" s="507"/>
      <c r="HO360" s="507"/>
      <c r="HP360" s="507"/>
      <c r="HQ360" s="507"/>
      <c r="HR360" s="507"/>
      <c r="HS360" s="507"/>
      <c r="HT360" s="507"/>
      <c r="HU360" s="507"/>
      <c r="HV360" s="507"/>
      <c r="HW360" s="507"/>
      <c r="HX360" s="507"/>
      <c r="HY360" s="507"/>
      <c r="HZ360" s="507"/>
    </row>
    <row r="361" spans="1:234" s="206" customFormat="1" ht="13.5" hidden="1" customHeight="1" x14ac:dyDescent="0.25">
      <c r="A361" s="541" t="s">
        <v>5216</v>
      </c>
      <c r="B361" s="523" t="s">
        <v>5213</v>
      </c>
      <c r="C361" s="524" t="s">
        <v>5214</v>
      </c>
      <c r="D361" s="551" t="s">
        <v>5236</v>
      </c>
      <c r="E361" s="569" t="s">
        <v>3228</v>
      </c>
      <c r="F361" s="543">
        <v>41040</v>
      </c>
      <c r="G361" s="544">
        <v>40973</v>
      </c>
      <c r="H361" s="544">
        <v>41033</v>
      </c>
      <c r="I361" s="616">
        <v>42916</v>
      </c>
      <c r="J361" s="579">
        <v>10</v>
      </c>
      <c r="K361" s="553">
        <v>2.5000000000000001E-2</v>
      </c>
      <c r="L361" s="552">
        <v>0.06</v>
      </c>
      <c r="M361" s="560">
        <v>0.125</v>
      </c>
      <c r="N361" s="606" t="s">
        <v>3229</v>
      </c>
      <c r="O361" s="613">
        <v>0.3</v>
      </c>
      <c r="P361" s="575" t="s">
        <v>3229</v>
      </c>
      <c r="Q361" s="575" t="s">
        <v>5215</v>
      </c>
      <c r="R361" s="575" t="s">
        <v>3229</v>
      </c>
      <c r="S361" s="570">
        <v>5</v>
      </c>
      <c r="T361" s="617">
        <v>41365</v>
      </c>
      <c r="U361" s="563">
        <v>41730</v>
      </c>
      <c r="V361" s="563">
        <v>42095</v>
      </c>
      <c r="W361" s="563">
        <v>42461</v>
      </c>
      <c r="X361" s="563">
        <v>42826</v>
      </c>
      <c r="Y361" s="598" t="s">
        <v>3229</v>
      </c>
      <c r="Z361" s="598" t="s">
        <v>3229</v>
      </c>
      <c r="AA361" s="598" t="s">
        <v>3229</v>
      </c>
      <c r="AB361" s="598" t="s">
        <v>3229</v>
      </c>
      <c r="AC361" s="598" t="s">
        <v>3229</v>
      </c>
      <c r="AD361" s="598" t="s">
        <v>3229</v>
      </c>
      <c r="AE361" s="598" t="s">
        <v>3229</v>
      </c>
      <c r="AF361" s="3764" t="s">
        <v>781</v>
      </c>
      <c r="AG361" s="3765"/>
      <c r="AH361" s="1301" t="s">
        <v>3229</v>
      </c>
      <c r="AI361" s="1301" t="s">
        <v>3229</v>
      </c>
      <c r="AJ361" s="1301" t="s">
        <v>3229</v>
      </c>
      <c r="AK361" s="530" t="s">
        <v>3229</v>
      </c>
      <c r="AL361" s="530" t="s">
        <v>3229</v>
      </c>
      <c r="AM361" s="659" t="s">
        <v>3229</v>
      </c>
      <c r="AN361" s="638">
        <f>'klikací hodnoty'!F10876</f>
        <v>0.125</v>
      </c>
      <c r="AO361" s="625">
        <v>11.25</v>
      </c>
      <c r="AP361" s="688">
        <f>AQ361</f>
        <v>4.4000000000000003E-3</v>
      </c>
      <c r="AQ361" s="606">
        <f>'klikací hodnoty'!D10875</f>
        <v>4.4000000000000003E-3</v>
      </c>
      <c r="AR361" s="600">
        <f t="shared" si="84"/>
        <v>0.3</v>
      </c>
      <c r="AS361" s="548">
        <f t="shared" si="85"/>
        <v>5.2371671784640528E-2</v>
      </c>
      <c r="AT361" s="548">
        <f t="shared" si="86"/>
        <v>0.15555555555555545</v>
      </c>
      <c r="AU361" s="549" t="e">
        <f t="shared" si="87"/>
        <v>#DIV/0!</v>
      </c>
      <c r="AV361" s="558">
        <f t="shared" si="80"/>
        <v>0.125</v>
      </c>
      <c r="AW361" s="558">
        <f t="shared" si="74"/>
        <v>2.3180802574782167E-2</v>
      </c>
      <c r="AX361" s="589">
        <f t="shared" si="81"/>
        <v>0</v>
      </c>
      <c r="AY361" s="587" t="e">
        <f t="shared" si="82"/>
        <v>#DIV/0!</v>
      </c>
      <c r="AZ361" s="676">
        <f t="shared" si="73"/>
        <v>11.25</v>
      </c>
      <c r="BA361" s="581"/>
      <c r="BB361" s="570"/>
      <c r="BC361" s="581"/>
      <c r="BD361" s="3691"/>
      <c r="BE361" s="3743"/>
      <c r="BF361" s="3743"/>
      <c r="BG361" s="3708">
        <f>6.67/5</f>
        <v>1.3340000000000001</v>
      </c>
      <c r="BH361" s="3762"/>
      <c r="BI361" s="3762"/>
      <c r="BJ361" s="39"/>
      <c r="BK361" s="39"/>
      <c r="BL361" s="39"/>
      <c r="BM361" s="39"/>
      <c r="BN361" s="39"/>
      <c r="BO361" s="39"/>
      <c r="BP361" s="39"/>
      <c r="BQ361" s="39"/>
      <c r="BR361" s="39"/>
      <c r="BS361" s="507"/>
      <c r="BT361" s="507"/>
      <c r="BU361" s="507"/>
      <c r="BV361" s="507"/>
      <c r="BW361" s="507"/>
      <c r="BX361" s="507"/>
      <c r="BY361" s="507"/>
      <c r="BZ361" s="507"/>
      <c r="CA361" s="507"/>
      <c r="CB361" s="507"/>
      <c r="CC361" s="507"/>
      <c r="CD361" s="507"/>
      <c r="CE361" s="507"/>
      <c r="CF361" s="507"/>
      <c r="CG361" s="507"/>
      <c r="CH361" s="507"/>
      <c r="CI361" s="507"/>
      <c r="CJ361" s="507"/>
      <c r="CK361" s="507"/>
      <c r="CL361" s="507"/>
      <c r="CM361" s="507"/>
      <c r="CN361" s="507"/>
      <c r="CO361" s="507"/>
      <c r="CP361" s="507"/>
      <c r="CQ361" s="507"/>
      <c r="CR361" s="507"/>
      <c r="CS361" s="507"/>
      <c r="CT361" s="507"/>
      <c r="CU361" s="507"/>
      <c r="CV361" s="507"/>
      <c r="CW361" s="507"/>
      <c r="CX361" s="507"/>
      <c r="CY361" s="507"/>
      <c r="CZ361" s="507"/>
      <c r="DA361" s="507"/>
      <c r="DB361" s="507"/>
      <c r="DC361" s="507"/>
      <c r="DD361" s="507"/>
      <c r="DE361" s="507"/>
      <c r="DF361" s="507"/>
      <c r="DG361" s="507"/>
      <c r="DH361" s="507"/>
      <c r="DI361" s="507"/>
      <c r="DJ361" s="507"/>
      <c r="DK361" s="507"/>
      <c r="DL361" s="507"/>
      <c r="DM361" s="507"/>
      <c r="DN361" s="507"/>
      <c r="DO361" s="507"/>
      <c r="DP361" s="507"/>
      <c r="DQ361" s="507"/>
      <c r="DR361" s="507"/>
      <c r="DS361" s="507"/>
      <c r="DT361" s="507"/>
      <c r="DU361" s="507"/>
      <c r="DV361" s="507"/>
      <c r="DW361" s="507"/>
      <c r="DX361" s="507"/>
      <c r="DY361" s="507"/>
      <c r="DZ361" s="507"/>
      <c r="EA361" s="507"/>
      <c r="EB361" s="507"/>
      <c r="EC361" s="507"/>
      <c r="ED361" s="507"/>
      <c r="EE361" s="507"/>
      <c r="EF361" s="507"/>
      <c r="EG361" s="507"/>
      <c r="EH361" s="507"/>
      <c r="EI361" s="507"/>
      <c r="EJ361" s="507"/>
      <c r="EK361" s="507"/>
      <c r="EL361" s="507"/>
      <c r="EM361" s="507"/>
      <c r="EN361" s="507"/>
      <c r="EO361" s="507"/>
      <c r="EP361" s="507"/>
      <c r="EQ361" s="507"/>
      <c r="ER361" s="507"/>
      <c r="ES361" s="507"/>
      <c r="ET361" s="507"/>
      <c r="EU361" s="507"/>
      <c r="EV361" s="507"/>
      <c r="EW361" s="507"/>
      <c r="EX361" s="507"/>
      <c r="EY361" s="507"/>
      <c r="EZ361" s="507"/>
      <c r="FA361" s="507"/>
      <c r="FB361" s="507"/>
      <c r="FC361" s="507"/>
      <c r="FD361" s="507"/>
      <c r="FE361" s="507"/>
      <c r="FF361" s="507"/>
      <c r="FG361" s="507"/>
      <c r="FH361" s="507"/>
      <c r="FI361" s="507"/>
      <c r="FJ361" s="507"/>
      <c r="FK361" s="507"/>
      <c r="FL361" s="507"/>
      <c r="FM361" s="507"/>
      <c r="FN361" s="507"/>
      <c r="FO361" s="507"/>
      <c r="FP361" s="507"/>
      <c r="FQ361" s="507"/>
      <c r="FR361" s="507"/>
      <c r="FS361" s="507"/>
      <c r="FT361" s="507"/>
      <c r="FU361" s="507"/>
      <c r="FV361" s="507"/>
      <c r="FW361" s="507"/>
      <c r="FX361" s="507"/>
      <c r="FY361" s="507"/>
      <c r="FZ361" s="507"/>
      <c r="GA361" s="507"/>
      <c r="GB361" s="507"/>
      <c r="GC361" s="507"/>
      <c r="GD361" s="507"/>
      <c r="GE361" s="507"/>
      <c r="GF361" s="507"/>
      <c r="GG361" s="507"/>
      <c r="GH361" s="507"/>
      <c r="GI361" s="507"/>
      <c r="GJ361" s="507"/>
      <c r="GK361" s="507"/>
      <c r="GL361" s="507"/>
      <c r="GM361" s="507"/>
      <c r="GN361" s="507"/>
      <c r="GO361" s="507"/>
      <c r="GP361" s="507"/>
      <c r="GQ361" s="507"/>
      <c r="GR361" s="507"/>
      <c r="GS361" s="507"/>
      <c r="GT361" s="507"/>
      <c r="GU361" s="507"/>
      <c r="GV361" s="507"/>
      <c r="GW361" s="507"/>
      <c r="GX361" s="507"/>
      <c r="GY361" s="507"/>
      <c r="GZ361" s="507"/>
      <c r="HA361" s="507"/>
      <c r="HB361" s="507"/>
      <c r="HC361" s="507"/>
      <c r="HD361" s="507"/>
      <c r="HE361" s="507"/>
      <c r="HF361" s="507"/>
      <c r="HG361" s="507"/>
      <c r="HH361" s="507"/>
      <c r="HI361" s="507"/>
      <c r="HJ361" s="507"/>
      <c r="HK361" s="507"/>
      <c r="HL361" s="507"/>
      <c r="HM361" s="507"/>
      <c r="HN361" s="507"/>
      <c r="HO361" s="507"/>
      <c r="HP361" s="507"/>
      <c r="HQ361" s="507"/>
      <c r="HR361" s="507"/>
      <c r="HS361" s="507"/>
      <c r="HT361" s="507"/>
      <c r="HU361" s="507"/>
      <c r="HV361" s="507"/>
      <c r="HW361" s="507"/>
      <c r="HX361" s="507"/>
      <c r="HY361" s="507"/>
      <c r="HZ361" s="507"/>
    </row>
    <row r="362" spans="1:234" s="206" customFormat="1" ht="13.5" hidden="1" customHeight="1" x14ac:dyDescent="0.25">
      <c r="A362" s="541" t="s">
        <v>5219</v>
      </c>
      <c r="B362" s="523" t="s">
        <v>5220</v>
      </c>
      <c r="C362" s="524" t="s">
        <v>5218</v>
      </c>
      <c r="D362" s="551" t="s">
        <v>189</v>
      </c>
      <c r="E362" s="569" t="s">
        <v>3228</v>
      </c>
      <c r="F362" s="543">
        <v>41054</v>
      </c>
      <c r="G362" s="544">
        <v>40987</v>
      </c>
      <c r="H362" s="544">
        <v>41047</v>
      </c>
      <c r="I362" s="616">
        <v>43039</v>
      </c>
      <c r="J362" s="579">
        <v>10</v>
      </c>
      <c r="K362" s="553" t="s">
        <v>3229</v>
      </c>
      <c r="L362" s="552" t="s">
        <v>3229</v>
      </c>
      <c r="M362" s="560">
        <v>0</v>
      </c>
      <c r="N362" s="606">
        <v>0.6</v>
      </c>
      <c r="O362" s="613">
        <v>1</v>
      </c>
      <c r="P362" s="575" t="s">
        <v>3229</v>
      </c>
      <c r="Q362" s="575" t="s">
        <v>3229</v>
      </c>
      <c r="R362" s="575" t="s">
        <v>3229</v>
      </c>
      <c r="S362" s="570"/>
      <c r="T362" s="617" t="s">
        <v>3229</v>
      </c>
      <c r="U362" s="563" t="s">
        <v>3229</v>
      </c>
      <c r="V362" s="563" t="s">
        <v>3229</v>
      </c>
      <c r="W362" s="563" t="s">
        <v>3229</v>
      </c>
      <c r="X362" s="563" t="s">
        <v>3229</v>
      </c>
      <c r="Y362" s="598" t="s">
        <v>3229</v>
      </c>
      <c r="Z362" s="598" t="s">
        <v>3229</v>
      </c>
      <c r="AA362" s="598" t="s">
        <v>3229</v>
      </c>
      <c r="AB362" s="598" t="s">
        <v>3229</v>
      </c>
      <c r="AC362" s="598" t="s">
        <v>3229</v>
      </c>
      <c r="AD362" s="598" t="s">
        <v>3229</v>
      </c>
      <c r="AE362" s="598" t="s">
        <v>3229</v>
      </c>
      <c r="AF362" s="3764" t="s">
        <v>781</v>
      </c>
      <c r="AG362" s="3765"/>
      <c r="AH362" s="1301" t="s">
        <v>3229</v>
      </c>
      <c r="AI362" s="1301" t="s">
        <v>3229</v>
      </c>
      <c r="AJ362" s="1301" t="s">
        <v>3229</v>
      </c>
      <c r="AK362" s="530" t="s">
        <v>3229</v>
      </c>
      <c r="AL362" s="530" t="s">
        <v>3229</v>
      </c>
      <c r="AM362" s="659">
        <v>1</v>
      </c>
      <c r="AN362" s="638">
        <f>'klikací hodnoty'!F11176</f>
        <v>0.1305</v>
      </c>
      <c r="AO362" s="625">
        <v>13.19</v>
      </c>
      <c r="AP362" s="688">
        <f>+'klikací hodnoty'!E11175</f>
        <v>0.53224991666666666</v>
      </c>
      <c r="AQ362" s="606">
        <f>'klikací hodnoty'!F11161</f>
        <v>0.55321017176008458</v>
      </c>
      <c r="AR362" s="600">
        <f t="shared" si="84"/>
        <v>1</v>
      </c>
      <c r="AS362" s="548">
        <f t="shared" si="85"/>
        <v>0.13593406247089557</v>
      </c>
      <c r="AT362" s="548">
        <f t="shared" si="86"/>
        <v>0.51630022744503412</v>
      </c>
      <c r="AU362" s="549" t="e">
        <f t="shared" si="87"/>
        <v>#DIV/0!</v>
      </c>
      <c r="AV362" s="558">
        <f t="shared" si="80"/>
        <v>0</v>
      </c>
      <c r="AW362" s="558">
        <f t="shared" si="74"/>
        <v>0</v>
      </c>
      <c r="AX362" s="589">
        <f t="shared" si="81"/>
        <v>-0.24184988627748294</v>
      </c>
      <c r="AY362" s="587" t="e">
        <f t="shared" si="82"/>
        <v>#DIV/0!</v>
      </c>
      <c r="AZ362" s="676">
        <f t="shared" si="73"/>
        <v>10</v>
      </c>
      <c r="BA362" s="581" t="s">
        <v>574</v>
      </c>
      <c r="BB362" s="570"/>
      <c r="BC362" s="581"/>
      <c r="BD362" s="3691"/>
      <c r="BE362" s="3743"/>
      <c r="BF362" s="3743"/>
      <c r="BG362" s="3708"/>
      <c r="BH362" s="3762"/>
      <c r="BI362" s="3762"/>
      <c r="BJ362" s="39"/>
      <c r="BK362" s="39"/>
      <c r="BL362" s="39"/>
      <c r="BM362" s="39"/>
      <c r="BN362" s="39"/>
      <c r="BO362" s="39"/>
      <c r="BP362" s="39"/>
      <c r="BQ362" s="39"/>
      <c r="BR362" s="39"/>
      <c r="BS362" s="507"/>
      <c r="BT362" s="507"/>
      <c r="BU362" s="507"/>
      <c r="BV362" s="507"/>
      <c r="BW362" s="507"/>
      <c r="BX362" s="507"/>
      <c r="BY362" s="507"/>
      <c r="BZ362" s="507"/>
      <c r="CA362" s="507"/>
      <c r="CB362" s="507"/>
      <c r="CC362" s="507"/>
      <c r="CD362" s="507"/>
      <c r="CE362" s="507"/>
      <c r="CF362" s="507"/>
      <c r="CG362" s="507"/>
      <c r="CH362" s="507"/>
      <c r="CI362" s="507"/>
      <c r="CJ362" s="507"/>
      <c r="CK362" s="507"/>
      <c r="CL362" s="507"/>
      <c r="CM362" s="507"/>
      <c r="CN362" s="507"/>
      <c r="CO362" s="507"/>
      <c r="CP362" s="507"/>
      <c r="CQ362" s="507"/>
      <c r="CR362" s="507"/>
      <c r="CS362" s="507"/>
      <c r="CT362" s="507"/>
      <c r="CU362" s="507"/>
      <c r="CV362" s="507"/>
      <c r="CW362" s="507"/>
      <c r="CX362" s="507"/>
      <c r="CY362" s="507"/>
      <c r="CZ362" s="507"/>
      <c r="DA362" s="507"/>
      <c r="DB362" s="507"/>
      <c r="DC362" s="507"/>
      <c r="DD362" s="507"/>
      <c r="DE362" s="507"/>
      <c r="DF362" s="507"/>
      <c r="DG362" s="507"/>
      <c r="DH362" s="507"/>
      <c r="DI362" s="507"/>
      <c r="DJ362" s="507"/>
      <c r="DK362" s="507"/>
      <c r="DL362" s="507"/>
      <c r="DM362" s="507"/>
      <c r="DN362" s="507"/>
      <c r="DO362" s="507"/>
      <c r="DP362" s="507"/>
      <c r="DQ362" s="507"/>
      <c r="DR362" s="507"/>
      <c r="DS362" s="507"/>
      <c r="DT362" s="507"/>
      <c r="DU362" s="507"/>
      <c r="DV362" s="507"/>
      <c r="DW362" s="507"/>
      <c r="DX362" s="507"/>
      <c r="DY362" s="507"/>
      <c r="DZ362" s="507"/>
      <c r="EA362" s="507"/>
      <c r="EB362" s="507"/>
      <c r="EC362" s="507"/>
      <c r="ED362" s="507"/>
      <c r="EE362" s="507"/>
      <c r="EF362" s="507"/>
      <c r="EG362" s="507"/>
      <c r="EH362" s="507"/>
      <c r="EI362" s="507"/>
      <c r="EJ362" s="507"/>
      <c r="EK362" s="507"/>
      <c r="EL362" s="507"/>
      <c r="EM362" s="507"/>
      <c r="EN362" s="507"/>
      <c r="EO362" s="507"/>
      <c r="EP362" s="507"/>
      <c r="EQ362" s="507"/>
      <c r="ER362" s="507"/>
      <c r="ES362" s="507"/>
      <c r="ET362" s="507"/>
      <c r="EU362" s="507"/>
      <c r="EV362" s="507"/>
      <c r="EW362" s="507"/>
      <c r="EX362" s="507"/>
      <c r="EY362" s="507"/>
      <c r="EZ362" s="507"/>
      <c r="FA362" s="507"/>
      <c r="FB362" s="507"/>
      <c r="FC362" s="507"/>
      <c r="FD362" s="507"/>
      <c r="FE362" s="507"/>
      <c r="FF362" s="507"/>
      <c r="FG362" s="507"/>
      <c r="FH362" s="507"/>
      <c r="FI362" s="507"/>
      <c r="FJ362" s="507"/>
      <c r="FK362" s="507"/>
      <c r="FL362" s="507"/>
      <c r="FM362" s="507"/>
      <c r="FN362" s="507"/>
      <c r="FO362" s="507"/>
      <c r="FP362" s="507"/>
      <c r="FQ362" s="507"/>
      <c r="FR362" s="507"/>
      <c r="FS362" s="507"/>
      <c r="FT362" s="507"/>
      <c r="FU362" s="507"/>
      <c r="FV362" s="507"/>
      <c r="FW362" s="507"/>
      <c r="FX362" s="507"/>
      <c r="FY362" s="507"/>
      <c r="FZ362" s="507"/>
      <c r="GA362" s="507"/>
      <c r="GB362" s="507"/>
      <c r="GC362" s="507"/>
      <c r="GD362" s="507"/>
      <c r="GE362" s="507"/>
      <c r="GF362" s="507"/>
      <c r="GG362" s="507"/>
      <c r="GH362" s="507"/>
      <c r="GI362" s="507"/>
      <c r="GJ362" s="507"/>
      <c r="GK362" s="507"/>
      <c r="GL362" s="507"/>
      <c r="GM362" s="507"/>
      <c r="GN362" s="507"/>
      <c r="GO362" s="507"/>
      <c r="GP362" s="507"/>
      <c r="GQ362" s="507"/>
      <c r="GR362" s="507"/>
      <c r="GS362" s="507"/>
      <c r="GT362" s="507"/>
      <c r="GU362" s="507"/>
      <c r="GV362" s="507"/>
      <c r="GW362" s="507"/>
      <c r="GX362" s="507"/>
      <c r="GY362" s="507"/>
      <c r="GZ362" s="507"/>
      <c r="HA362" s="507"/>
      <c r="HB362" s="507"/>
      <c r="HC362" s="507"/>
      <c r="HD362" s="507"/>
      <c r="HE362" s="507"/>
      <c r="HF362" s="507"/>
      <c r="HG362" s="507"/>
      <c r="HH362" s="507"/>
      <c r="HI362" s="507"/>
      <c r="HJ362" s="507"/>
      <c r="HK362" s="507"/>
      <c r="HL362" s="507"/>
      <c r="HM362" s="507"/>
      <c r="HN362" s="507"/>
      <c r="HO362" s="507"/>
      <c r="HP362" s="507"/>
      <c r="HQ362" s="507"/>
      <c r="HR362" s="507"/>
      <c r="HS362" s="507"/>
      <c r="HT362" s="507"/>
      <c r="HU362" s="507"/>
      <c r="HV362" s="507"/>
      <c r="HW362" s="507"/>
      <c r="HX362" s="507"/>
      <c r="HY362" s="507"/>
      <c r="HZ362" s="507"/>
    </row>
    <row r="363" spans="1:234" s="206" customFormat="1" ht="13.5" hidden="1" customHeight="1" x14ac:dyDescent="0.25">
      <c r="A363" s="541" t="s">
        <v>5234</v>
      </c>
      <c r="B363" s="523" t="s">
        <v>5233</v>
      </c>
      <c r="C363" s="524" t="s">
        <v>5235</v>
      </c>
      <c r="D363" s="551" t="s">
        <v>5285</v>
      </c>
      <c r="E363" s="569" t="s">
        <v>3228</v>
      </c>
      <c r="F363" s="543">
        <v>41072</v>
      </c>
      <c r="G363" s="544">
        <v>41009</v>
      </c>
      <c r="H363" s="544">
        <v>41059</v>
      </c>
      <c r="I363" s="616">
        <v>44043</v>
      </c>
      <c r="J363" s="579">
        <v>10</v>
      </c>
      <c r="K363" s="553">
        <v>0</v>
      </c>
      <c r="L363" s="552">
        <v>0.06</v>
      </c>
      <c r="M363" s="560">
        <v>0.05</v>
      </c>
      <c r="N363" s="606" t="s">
        <v>3229</v>
      </c>
      <c r="O363" s="613">
        <v>0.56000000000000005</v>
      </c>
      <c r="P363" s="575" t="s">
        <v>3229</v>
      </c>
      <c r="Q363" s="575" t="s">
        <v>3229</v>
      </c>
      <c r="R363" s="575" t="s">
        <v>3229</v>
      </c>
      <c r="S363" s="570">
        <v>8</v>
      </c>
      <c r="T363" s="617">
        <v>41365</v>
      </c>
      <c r="U363" s="563">
        <v>41730</v>
      </c>
      <c r="V363" s="563">
        <v>42095</v>
      </c>
      <c r="W363" s="563">
        <v>42461</v>
      </c>
      <c r="X363" s="563">
        <v>42826</v>
      </c>
      <c r="Y363" s="598">
        <v>43191</v>
      </c>
      <c r="Z363" s="598">
        <v>43556</v>
      </c>
      <c r="AA363" s="598">
        <v>43983</v>
      </c>
      <c r="AB363" s="598" t="s">
        <v>3229</v>
      </c>
      <c r="AC363" s="598" t="s">
        <v>3229</v>
      </c>
      <c r="AD363" s="598" t="s">
        <v>3229</v>
      </c>
      <c r="AE363" s="598" t="s">
        <v>3229</v>
      </c>
      <c r="AF363" s="3764" t="s">
        <v>781</v>
      </c>
      <c r="AG363" s="3765"/>
      <c r="AH363" s="1301" t="s">
        <v>3229</v>
      </c>
      <c r="AI363" s="1301" t="s">
        <v>3229</v>
      </c>
      <c r="AJ363" s="1301" t="s">
        <v>3229</v>
      </c>
      <c r="AK363" s="530" t="s">
        <v>3229</v>
      </c>
      <c r="AL363" s="530" t="s">
        <v>3229</v>
      </c>
      <c r="AM363" s="659">
        <v>1</v>
      </c>
      <c r="AN363" s="638">
        <f>'klikací hodnoty'!F11089</f>
        <v>0.36946499999999999</v>
      </c>
      <c r="AO363" s="625">
        <v>6.85</v>
      </c>
      <c r="AP363" s="688">
        <f>'klikací hodnoty'!F11077</f>
        <v>5.3955692412000683E-2</v>
      </c>
      <c r="AQ363" s="606">
        <f>'klikací hodnoty'!E11077</f>
        <v>0.42770547446185075</v>
      </c>
      <c r="AR363" s="600">
        <f t="shared" si="84"/>
        <v>0.56000000000000005</v>
      </c>
      <c r="AS363" s="548">
        <f t="shared" si="85"/>
        <v>5.6151400334950585E-2</v>
      </c>
      <c r="AT363" s="548">
        <f t="shared" si="86"/>
        <v>1.277372262773723</v>
      </c>
      <c r="AU363" s="549" t="e">
        <f t="shared" si="87"/>
        <v>#DIV/0!</v>
      </c>
      <c r="AV363" s="558">
        <f t="shared" si="80"/>
        <v>0.05</v>
      </c>
      <c r="AW363" s="558">
        <f t="shared" si="74"/>
        <v>6.0120798495892913E-3</v>
      </c>
      <c r="AX363" s="589">
        <f t="shared" si="81"/>
        <v>0.53284671532846728</v>
      </c>
      <c r="AY363" s="587" t="e">
        <f t="shared" si="82"/>
        <v>#DIV/0!</v>
      </c>
      <c r="AZ363" s="676">
        <f>J363/2</f>
        <v>5</v>
      </c>
      <c r="BA363" s="581" t="s">
        <v>3327</v>
      </c>
      <c r="BB363" s="570"/>
      <c r="BC363" s="581"/>
      <c r="BD363" s="3691"/>
      <c r="BE363" s="3743"/>
      <c r="BF363" s="3743"/>
      <c r="BG363" s="3708"/>
      <c r="BH363" s="3762"/>
      <c r="BI363" s="3762"/>
      <c r="BJ363" s="39"/>
      <c r="BK363" s="39"/>
      <c r="BL363" s="39"/>
      <c r="BM363" s="39"/>
      <c r="BN363" s="39"/>
      <c r="BO363" s="39"/>
      <c r="BP363" s="39"/>
      <c r="BQ363" s="39"/>
      <c r="BR363" s="39"/>
      <c r="BS363" s="507"/>
      <c r="BT363" s="507"/>
      <c r="BU363" s="507"/>
      <c r="BV363" s="507"/>
      <c r="BW363" s="507"/>
      <c r="BX363" s="507"/>
      <c r="BY363" s="507"/>
      <c r="BZ363" s="507"/>
      <c r="CA363" s="507"/>
      <c r="CB363" s="507"/>
      <c r="CC363" s="507"/>
      <c r="CD363" s="507"/>
      <c r="CE363" s="507"/>
      <c r="CF363" s="507"/>
      <c r="CG363" s="507"/>
      <c r="CH363" s="507"/>
      <c r="CI363" s="507"/>
      <c r="CJ363" s="507"/>
      <c r="CK363" s="507"/>
      <c r="CL363" s="507"/>
      <c r="CM363" s="507"/>
      <c r="CN363" s="507"/>
      <c r="CO363" s="507"/>
      <c r="CP363" s="507"/>
      <c r="CQ363" s="507"/>
      <c r="CR363" s="507"/>
      <c r="CS363" s="507"/>
      <c r="CT363" s="507"/>
      <c r="CU363" s="507"/>
      <c r="CV363" s="507"/>
      <c r="CW363" s="507"/>
      <c r="CX363" s="507"/>
      <c r="CY363" s="507"/>
      <c r="CZ363" s="507"/>
      <c r="DA363" s="507"/>
      <c r="DB363" s="507"/>
      <c r="DC363" s="507"/>
      <c r="DD363" s="507"/>
      <c r="DE363" s="507"/>
      <c r="DF363" s="507"/>
      <c r="DG363" s="507"/>
      <c r="DH363" s="507"/>
      <c r="DI363" s="507"/>
      <c r="DJ363" s="507"/>
      <c r="DK363" s="507"/>
      <c r="DL363" s="507"/>
      <c r="DM363" s="507"/>
      <c r="DN363" s="507"/>
      <c r="DO363" s="507"/>
      <c r="DP363" s="507"/>
      <c r="DQ363" s="507"/>
      <c r="DR363" s="507"/>
      <c r="DS363" s="507"/>
      <c r="DT363" s="507"/>
      <c r="DU363" s="507"/>
      <c r="DV363" s="507"/>
      <c r="DW363" s="507"/>
      <c r="DX363" s="507"/>
      <c r="DY363" s="507"/>
      <c r="DZ363" s="507"/>
      <c r="EA363" s="507"/>
      <c r="EB363" s="507"/>
      <c r="EC363" s="507"/>
      <c r="ED363" s="507"/>
      <c r="EE363" s="507"/>
      <c r="EF363" s="507"/>
      <c r="EG363" s="507"/>
      <c r="EH363" s="507"/>
      <c r="EI363" s="507"/>
      <c r="EJ363" s="507"/>
      <c r="EK363" s="507"/>
      <c r="EL363" s="507"/>
      <c r="EM363" s="507"/>
      <c r="EN363" s="507"/>
      <c r="EO363" s="507"/>
      <c r="EP363" s="507"/>
      <c r="EQ363" s="507"/>
      <c r="ER363" s="507"/>
      <c r="ES363" s="507"/>
      <c r="ET363" s="507"/>
      <c r="EU363" s="507"/>
      <c r="EV363" s="507"/>
      <c r="EW363" s="507"/>
      <c r="EX363" s="507"/>
      <c r="EY363" s="507"/>
      <c r="EZ363" s="507"/>
      <c r="FA363" s="507"/>
      <c r="FB363" s="507"/>
      <c r="FC363" s="507"/>
      <c r="FD363" s="507"/>
      <c r="FE363" s="507"/>
      <c r="FF363" s="507"/>
      <c r="FG363" s="507"/>
      <c r="FH363" s="507"/>
      <c r="FI363" s="507"/>
      <c r="FJ363" s="507"/>
      <c r="FK363" s="507"/>
      <c r="FL363" s="507"/>
      <c r="FM363" s="507"/>
      <c r="FN363" s="507"/>
      <c r="FO363" s="507"/>
      <c r="FP363" s="507"/>
      <c r="FQ363" s="507"/>
      <c r="FR363" s="507"/>
      <c r="FS363" s="507"/>
      <c r="FT363" s="507"/>
      <c r="FU363" s="507"/>
      <c r="FV363" s="507"/>
      <c r="FW363" s="507"/>
      <c r="FX363" s="507"/>
      <c r="FY363" s="507"/>
      <c r="FZ363" s="507"/>
      <c r="GA363" s="507"/>
      <c r="GB363" s="507"/>
      <c r="GC363" s="507"/>
      <c r="GD363" s="507"/>
      <c r="GE363" s="507"/>
      <c r="GF363" s="507"/>
      <c r="GG363" s="507"/>
      <c r="GH363" s="507"/>
      <c r="GI363" s="507"/>
      <c r="GJ363" s="507"/>
      <c r="GK363" s="507"/>
      <c r="GL363" s="507"/>
      <c r="GM363" s="507"/>
      <c r="GN363" s="507"/>
      <c r="GO363" s="507"/>
      <c r="GP363" s="507"/>
      <c r="GQ363" s="507"/>
      <c r="GR363" s="507"/>
      <c r="GS363" s="507"/>
      <c r="GT363" s="507"/>
      <c r="GU363" s="507"/>
      <c r="GV363" s="507"/>
      <c r="GW363" s="507"/>
      <c r="GX363" s="507"/>
      <c r="GY363" s="507"/>
      <c r="GZ363" s="507"/>
      <c r="HA363" s="507"/>
      <c r="HB363" s="507"/>
      <c r="HC363" s="507"/>
      <c r="HD363" s="507"/>
      <c r="HE363" s="507"/>
      <c r="HF363" s="507"/>
      <c r="HG363" s="507"/>
      <c r="HH363" s="507"/>
      <c r="HI363" s="507"/>
      <c r="HJ363" s="507"/>
      <c r="HK363" s="507"/>
      <c r="HL363" s="507"/>
      <c r="HM363" s="507"/>
      <c r="HN363" s="507"/>
      <c r="HO363" s="507"/>
      <c r="HP363" s="507"/>
      <c r="HQ363" s="507"/>
      <c r="HR363" s="507"/>
      <c r="HS363" s="507"/>
      <c r="HT363" s="507"/>
      <c r="HU363" s="507"/>
      <c r="HV363" s="507"/>
      <c r="HW363" s="507"/>
      <c r="HX363" s="507"/>
      <c r="HY363" s="507"/>
      <c r="HZ363" s="507"/>
    </row>
    <row r="364" spans="1:234" s="206" customFormat="1" ht="13.5" hidden="1" customHeight="1" x14ac:dyDescent="0.25">
      <c r="A364" s="541" t="s">
        <v>5252</v>
      </c>
      <c r="B364" s="523" t="s">
        <v>5251</v>
      </c>
      <c r="C364" s="524" t="s">
        <v>5250</v>
      </c>
      <c r="D364" s="551" t="s">
        <v>1859</v>
      </c>
      <c r="E364" s="569" t="s">
        <v>3228</v>
      </c>
      <c r="F364" s="543">
        <v>41099</v>
      </c>
      <c r="G364" s="544">
        <v>41031</v>
      </c>
      <c r="H364" s="544">
        <v>41089</v>
      </c>
      <c r="I364" s="616">
        <v>43069</v>
      </c>
      <c r="J364" s="579">
        <v>10</v>
      </c>
      <c r="K364" s="553">
        <v>0</v>
      </c>
      <c r="L364" s="552">
        <v>0.06</v>
      </c>
      <c r="M364" s="560">
        <v>2.5000000000000001E-2</v>
      </c>
      <c r="N364" s="606" t="s">
        <v>3229</v>
      </c>
      <c r="O364" s="613">
        <v>0.26500000000000001</v>
      </c>
      <c r="P364" s="575" t="s">
        <v>3229</v>
      </c>
      <c r="Q364" s="575">
        <v>2.5000000000000001E-2</v>
      </c>
      <c r="R364" s="575" t="s">
        <v>3229</v>
      </c>
      <c r="S364" s="570">
        <v>5</v>
      </c>
      <c r="T364" s="617">
        <v>41426</v>
      </c>
      <c r="U364" s="563">
        <v>41791</v>
      </c>
      <c r="V364" s="563">
        <v>42156</v>
      </c>
      <c r="W364" s="563">
        <v>42522</v>
      </c>
      <c r="X364" s="563">
        <v>43009</v>
      </c>
      <c r="Y364" s="598" t="s">
        <v>3229</v>
      </c>
      <c r="Z364" s="598" t="s">
        <v>3229</v>
      </c>
      <c r="AA364" s="598" t="s">
        <v>3229</v>
      </c>
      <c r="AB364" s="598" t="s">
        <v>3229</v>
      </c>
      <c r="AC364" s="598" t="s">
        <v>3229</v>
      </c>
      <c r="AD364" s="598" t="s">
        <v>3229</v>
      </c>
      <c r="AE364" s="598" t="s">
        <v>3229</v>
      </c>
      <c r="AF364" s="3764" t="s">
        <v>781</v>
      </c>
      <c r="AG364" s="3765"/>
      <c r="AH364" s="1301" t="s">
        <v>3229</v>
      </c>
      <c r="AI364" s="1301" t="s">
        <v>3229</v>
      </c>
      <c r="AJ364" s="1301" t="s">
        <v>3229</v>
      </c>
      <c r="AK364" s="530" t="s">
        <v>3229</v>
      </c>
      <c r="AL364" s="530" t="s">
        <v>3229</v>
      </c>
      <c r="AM364" s="659">
        <v>1</v>
      </c>
      <c r="AN364" s="638">
        <f>'klikací hodnoty'!F10926</f>
        <v>0.21412700000000001</v>
      </c>
      <c r="AO364" s="625">
        <v>12.14</v>
      </c>
      <c r="AP364" s="688">
        <f>'klikací hodnoty'!F10918</f>
        <v>3.5680523731321516E-2</v>
      </c>
      <c r="AQ364" s="606">
        <f>'klikací hodnoty'!E10918</f>
        <v>0.45063921311642902</v>
      </c>
      <c r="AR364" s="600">
        <f t="shared" si="84"/>
        <v>0.26500000000000001</v>
      </c>
      <c r="AS364" s="548">
        <f t="shared" si="85"/>
        <v>4.4516367298479853E-2</v>
      </c>
      <c r="AT364" s="548">
        <f t="shared" si="86"/>
        <v>4.2009884678748E-2</v>
      </c>
      <c r="AU364" s="549" t="e">
        <f t="shared" si="87"/>
        <v>#DIV/0!</v>
      </c>
      <c r="AV364" s="558">
        <f t="shared" si="80"/>
        <v>2.5000000000000001E-2</v>
      </c>
      <c r="AW364" s="558">
        <f t="shared" si="74"/>
        <v>4.5855086209545259E-3</v>
      </c>
      <c r="AX364" s="589">
        <f t="shared" si="81"/>
        <v>-0.1556836902800659</v>
      </c>
      <c r="AY364" s="587" t="e">
        <f t="shared" si="82"/>
        <v>#DIV/0!</v>
      </c>
      <c r="AZ364" s="676">
        <f t="shared" si="73"/>
        <v>10.25</v>
      </c>
      <c r="BA364" s="581" t="s">
        <v>2585</v>
      </c>
      <c r="BB364" s="570" t="s">
        <v>2025</v>
      </c>
      <c r="BC364" s="581" t="s">
        <v>2895</v>
      </c>
      <c r="BD364" s="3691"/>
      <c r="BE364" s="3743"/>
      <c r="BF364" s="3743"/>
      <c r="BG364" s="3708"/>
      <c r="BH364" s="3762"/>
      <c r="BI364" s="3762"/>
      <c r="BJ364" s="39"/>
      <c r="BK364" s="39"/>
      <c r="BL364" s="39"/>
      <c r="BM364" s="39"/>
      <c r="BN364" s="39"/>
      <c r="BO364" s="39"/>
      <c r="BP364" s="39"/>
      <c r="BQ364" s="39"/>
      <c r="BR364" s="39"/>
      <c r="BS364" s="507"/>
      <c r="BT364" s="507"/>
      <c r="BU364" s="507"/>
      <c r="BV364" s="507"/>
      <c r="BW364" s="507"/>
      <c r="BX364" s="507"/>
      <c r="BY364" s="507"/>
      <c r="BZ364" s="507"/>
      <c r="CA364" s="507"/>
      <c r="CB364" s="507"/>
      <c r="CC364" s="507"/>
      <c r="CD364" s="507"/>
      <c r="CE364" s="507"/>
      <c r="CF364" s="507"/>
      <c r="CG364" s="507"/>
      <c r="CH364" s="507"/>
      <c r="CI364" s="507"/>
      <c r="CJ364" s="507"/>
      <c r="CK364" s="507"/>
      <c r="CL364" s="507"/>
      <c r="CM364" s="507"/>
      <c r="CN364" s="507"/>
      <c r="CO364" s="507"/>
      <c r="CP364" s="507"/>
      <c r="CQ364" s="507"/>
      <c r="CR364" s="507"/>
      <c r="CS364" s="507"/>
      <c r="CT364" s="507"/>
      <c r="CU364" s="507"/>
      <c r="CV364" s="507"/>
      <c r="CW364" s="507"/>
      <c r="CX364" s="507"/>
      <c r="CY364" s="507"/>
      <c r="CZ364" s="507"/>
      <c r="DA364" s="507"/>
      <c r="DB364" s="507"/>
      <c r="DC364" s="507"/>
      <c r="DD364" s="507"/>
      <c r="DE364" s="507"/>
      <c r="DF364" s="507"/>
      <c r="DG364" s="507"/>
      <c r="DH364" s="507"/>
      <c r="DI364" s="507"/>
      <c r="DJ364" s="507"/>
      <c r="DK364" s="507"/>
      <c r="DL364" s="507"/>
      <c r="DM364" s="507"/>
      <c r="DN364" s="507"/>
      <c r="DO364" s="507"/>
      <c r="DP364" s="507"/>
      <c r="DQ364" s="507"/>
      <c r="DR364" s="507"/>
      <c r="DS364" s="507"/>
      <c r="DT364" s="507"/>
      <c r="DU364" s="507"/>
      <c r="DV364" s="507"/>
      <c r="DW364" s="507"/>
      <c r="DX364" s="507"/>
      <c r="DY364" s="507"/>
      <c r="DZ364" s="507"/>
      <c r="EA364" s="507"/>
      <c r="EB364" s="507"/>
      <c r="EC364" s="507"/>
      <c r="ED364" s="507"/>
      <c r="EE364" s="507"/>
      <c r="EF364" s="507"/>
      <c r="EG364" s="507"/>
      <c r="EH364" s="507"/>
      <c r="EI364" s="507"/>
      <c r="EJ364" s="507"/>
      <c r="EK364" s="507"/>
      <c r="EL364" s="507"/>
      <c r="EM364" s="507"/>
      <c r="EN364" s="507"/>
      <c r="EO364" s="507"/>
      <c r="EP364" s="507"/>
      <c r="EQ364" s="507"/>
      <c r="ER364" s="507"/>
      <c r="ES364" s="507"/>
      <c r="ET364" s="507"/>
      <c r="EU364" s="507"/>
      <c r="EV364" s="507"/>
      <c r="EW364" s="507"/>
      <c r="EX364" s="507"/>
      <c r="EY364" s="507"/>
      <c r="EZ364" s="507"/>
      <c r="FA364" s="507"/>
      <c r="FB364" s="507"/>
      <c r="FC364" s="507"/>
      <c r="FD364" s="507"/>
      <c r="FE364" s="507"/>
      <c r="FF364" s="507"/>
      <c r="FG364" s="507"/>
      <c r="FH364" s="507"/>
      <c r="FI364" s="507"/>
      <c r="FJ364" s="507"/>
      <c r="FK364" s="507"/>
      <c r="FL364" s="507"/>
      <c r="FM364" s="507"/>
      <c r="FN364" s="507"/>
      <c r="FO364" s="507"/>
      <c r="FP364" s="507"/>
      <c r="FQ364" s="507"/>
      <c r="FR364" s="507"/>
      <c r="FS364" s="507"/>
      <c r="FT364" s="507"/>
      <c r="FU364" s="507"/>
      <c r="FV364" s="507"/>
      <c r="FW364" s="507"/>
      <c r="FX364" s="507"/>
      <c r="FY364" s="507"/>
      <c r="FZ364" s="507"/>
      <c r="GA364" s="507"/>
      <c r="GB364" s="507"/>
      <c r="GC364" s="507"/>
      <c r="GD364" s="507"/>
      <c r="GE364" s="507"/>
      <c r="GF364" s="507"/>
      <c r="GG364" s="507"/>
      <c r="GH364" s="507"/>
      <c r="GI364" s="507"/>
      <c r="GJ364" s="507"/>
      <c r="GK364" s="507"/>
      <c r="GL364" s="507"/>
      <c r="GM364" s="507"/>
      <c r="GN364" s="507"/>
      <c r="GO364" s="507"/>
      <c r="GP364" s="507"/>
      <c r="GQ364" s="507"/>
      <c r="GR364" s="507"/>
      <c r="GS364" s="507"/>
      <c r="GT364" s="507"/>
      <c r="GU364" s="507"/>
      <c r="GV364" s="507"/>
      <c r="GW364" s="507"/>
      <c r="GX364" s="507"/>
      <c r="GY364" s="507"/>
      <c r="GZ364" s="507"/>
      <c r="HA364" s="507"/>
      <c r="HB364" s="507"/>
      <c r="HC364" s="507"/>
      <c r="HD364" s="507"/>
      <c r="HE364" s="507"/>
      <c r="HF364" s="507"/>
      <c r="HG364" s="507"/>
      <c r="HH364" s="507"/>
      <c r="HI364" s="507"/>
      <c r="HJ364" s="507"/>
      <c r="HK364" s="507"/>
      <c r="HL364" s="507"/>
      <c r="HM364" s="507"/>
      <c r="HN364" s="507"/>
      <c r="HO364" s="507"/>
      <c r="HP364" s="507"/>
      <c r="HQ364" s="507"/>
      <c r="HR364" s="507"/>
      <c r="HS364" s="507"/>
      <c r="HT364" s="507"/>
      <c r="HU364" s="507"/>
      <c r="HV364" s="507"/>
      <c r="HW364" s="507"/>
      <c r="HX364" s="507"/>
      <c r="HY364" s="507"/>
      <c r="HZ364" s="507"/>
    </row>
    <row r="365" spans="1:234" s="206" customFormat="1" ht="13.5" hidden="1" customHeight="1" x14ac:dyDescent="0.25">
      <c r="A365" s="541" t="s">
        <v>5257</v>
      </c>
      <c r="B365" s="523" t="s">
        <v>5256</v>
      </c>
      <c r="C365" s="524" t="s">
        <v>5258</v>
      </c>
      <c r="D365" s="551" t="s">
        <v>189</v>
      </c>
      <c r="E365" s="569" t="s">
        <v>905</v>
      </c>
      <c r="F365" s="543">
        <v>41117</v>
      </c>
      <c r="G365" s="544">
        <v>41071</v>
      </c>
      <c r="H365" s="544">
        <v>41110</v>
      </c>
      <c r="I365" s="616">
        <v>43131</v>
      </c>
      <c r="J365" s="579">
        <v>10</v>
      </c>
      <c r="K365" s="553">
        <v>0</v>
      </c>
      <c r="L365" s="552">
        <v>7.0000000000000007E-2</v>
      </c>
      <c r="M365" s="560">
        <v>0.05</v>
      </c>
      <c r="N365" s="606" t="s">
        <v>3229</v>
      </c>
      <c r="O365" s="613">
        <v>0.33</v>
      </c>
      <c r="P365" s="575" t="s">
        <v>3229</v>
      </c>
      <c r="Q365" s="575">
        <v>0.05</v>
      </c>
      <c r="R365" s="575" t="s">
        <v>3229</v>
      </c>
      <c r="S365" s="570">
        <v>5</v>
      </c>
      <c r="T365" s="617">
        <v>41426</v>
      </c>
      <c r="U365" s="563">
        <v>41791</v>
      </c>
      <c r="V365" s="563">
        <v>42156</v>
      </c>
      <c r="W365" s="563">
        <v>42522</v>
      </c>
      <c r="X365" s="563">
        <v>43070</v>
      </c>
      <c r="Y365" s="598" t="s">
        <v>3229</v>
      </c>
      <c r="Z365" s="598" t="s">
        <v>3229</v>
      </c>
      <c r="AA365" s="598" t="s">
        <v>3229</v>
      </c>
      <c r="AB365" s="598" t="s">
        <v>3229</v>
      </c>
      <c r="AC365" s="598" t="s">
        <v>3229</v>
      </c>
      <c r="AD365" s="598" t="s">
        <v>3229</v>
      </c>
      <c r="AE365" s="598" t="s">
        <v>3229</v>
      </c>
      <c r="AF365" s="3764" t="s">
        <v>781</v>
      </c>
      <c r="AG365" s="3765"/>
      <c r="AH365" s="1301" t="s">
        <v>3229</v>
      </c>
      <c r="AI365" s="1301" t="s">
        <v>3229</v>
      </c>
      <c r="AJ365" s="1301" t="s">
        <v>3229</v>
      </c>
      <c r="AK365" s="530" t="s">
        <v>3229</v>
      </c>
      <c r="AL365" s="530" t="s">
        <v>3229</v>
      </c>
      <c r="AM365" s="659">
        <v>1</v>
      </c>
      <c r="AN365" s="638">
        <f>'klikací hodnoty'!F11043</f>
        <v>0.19744600000000004</v>
      </c>
      <c r="AO365" s="625">
        <v>11.97</v>
      </c>
      <c r="AP365" s="688">
        <f>'klikací hodnoty'!F11035</f>
        <v>8.9761130877920991E-3</v>
      </c>
      <c r="AQ365" s="606">
        <f>'klikací hodnoty'!E11035</f>
        <v>0.32482992540335276</v>
      </c>
      <c r="AR365" s="600">
        <f t="shared" si="84"/>
        <v>0.33</v>
      </c>
      <c r="AS365" s="548">
        <f t="shared" si="85"/>
        <v>5.3042268470918863E-2</v>
      </c>
      <c r="AT365" s="548">
        <f t="shared" si="86"/>
        <v>0.11111111111111116</v>
      </c>
      <c r="AU365" s="549" t="e">
        <f t="shared" si="87"/>
        <v>#DIV/0!</v>
      </c>
      <c r="AV365" s="558">
        <f t="shared" si="80"/>
        <v>0.05</v>
      </c>
      <c r="AW365" s="558">
        <f t="shared" si="74"/>
        <v>8.8815174916938577E-3</v>
      </c>
      <c r="AX365" s="589">
        <f>J365*(1+AV365)/AO365-1</f>
        <v>-0.1228070175438597</v>
      </c>
      <c r="AY365" s="587" t="e">
        <f>POWER(1+AX365,1/AG365)-1</f>
        <v>#DIV/0!</v>
      </c>
      <c r="AZ365" s="676">
        <f t="shared" si="73"/>
        <v>10.5</v>
      </c>
      <c r="BA365" s="581"/>
      <c r="BB365" s="570"/>
      <c r="BC365" s="581"/>
      <c r="BD365" s="3691"/>
      <c r="BE365" s="3743"/>
      <c r="BF365" s="3743"/>
      <c r="BG365" s="3708"/>
      <c r="BH365" s="3762"/>
      <c r="BI365" s="3762"/>
      <c r="BJ365" s="39"/>
      <c r="BK365" s="39"/>
      <c r="BL365" s="39"/>
      <c r="BM365" s="39"/>
      <c r="BN365" s="39"/>
      <c r="BO365" s="39"/>
      <c r="BP365" s="39"/>
      <c r="BQ365" s="39"/>
      <c r="BR365" s="39"/>
      <c r="BS365" s="507"/>
      <c r="BT365" s="507"/>
      <c r="BU365" s="507"/>
      <c r="BV365" s="507"/>
      <c r="BW365" s="507"/>
      <c r="BX365" s="507"/>
      <c r="BY365" s="507"/>
      <c r="BZ365" s="507"/>
      <c r="CA365" s="507"/>
      <c r="CB365" s="507"/>
      <c r="CC365" s="507"/>
      <c r="CD365" s="507"/>
      <c r="CE365" s="507"/>
      <c r="CF365" s="507"/>
      <c r="CG365" s="507"/>
      <c r="CH365" s="507"/>
      <c r="CI365" s="507"/>
      <c r="CJ365" s="507"/>
      <c r="CK365" s="507"/>
      <c r="CL365" s="507"/>
      <c r="CM365" s="507"/>
      <c r="CN365" s="507"/>
      <c r="CO365" s="507"/>
      <c r="CP365" s="507"/>
      <c r="CQ365" s="507"/>
      <c r="CR365" s="507"/>
      <c r="CS365" s="507"/>
      <c r="CT365" s="507"/>
      <c r="CU365" s="507"/>
      <c r="CV365" s="507"/>
      <c r="CW365" s="507"/>
      <c r="CX365" s="507"/>
      <c r="CY365" s="507"/>
      <c r="CZ365" s="507"/>
      <c r="DA365" s="507"/>
      <c r="DB365" s="507"/>
      <c r="DC365" s="507"/>
      <c r="DD365" s="507"/>
      <c r="DE365" s="507"/>
      <c r="DF365" s="507"/>
      <c r="DG365" s="507"/>
      <c r="DH365" s="507"/>
      <c r="DI365" s="507"/>
      <c r="DJ365" s="507"/>
      <c r="DK365" s="507"/>
      <c r="DL365" s="507"/>
      <c r="DM365" s="507"/>
      <c r="DN365" s="507"/>
      <c r="DO365" s="507"/>
      <c r="DP365" s="507"/>
      <c r="DQ365" s="507"/>
      <c r="DR365" s="507"/>
      <c r="DS365" s="507"/>
      <c r="DT365" s="507"/>
      <c r="DU365" s="507"/>
      <c r="DV365" s="507"/>
      <c r="DW365" s="507"/>
      <c r="DX365" s="507"/>
      <c r="DY365" s="507"/>
      <c r="DZ365" s="507"/>
      <c r="EA365" s="507"/>
      <c r="EB365" s="507"/>
      <c r="EC365" s="507"/>
      <c r="ED365" s="507"/>
      <c r="EE365" s="507"/>
      <c r="EF365" s="507"/>
      <c r="EG365" s="507"/>
      <c r="EH365" s="507"/>
      <c r="EI365" s="507"/>
      <c r="EJ365" s="507"/>
      <c r="EK365" s="507"/>
      <c r="EL365" s="507"/>
      <c r="EM365" s="507"/>
      <c r="EN365" s="507"/>
      <c r="EO365" s="507"/>
      <c r="EP365" s="507"/>
      <c r="EQ365" s="507"/>
      <c r="ER365" s="507"/>
      <c r="ES365" s="507"/>
      <c r="ET365" s="507"/>
      <c r="EU365" s="507"/>
      <c r="EV365" s="507"/>
      <c r="EW365" s="507"/>
      <c r="EX365" s="507"/>
      <c r="EY365" s="507"/>
      <c r="EZ365" s="507"/>
      <c r="FA365" s="507"/>
      <c r="FB365" s="507"/>
      <c r="FC365" s="507"/>
      <c r="FD365" s="507"/>
      <c r="FE365" s="507"/>
      <c r="FF365" s="507"/>
      <c r="FG365" s="507"/>
      <c r="FH365" s="507"/>
      <c r="FI365" s="507"/>
      <c r="FJ365" s="507"/>
      <c r="FK365" s="507"/>
      <c r="FL365" s="507"/>
      <c r="FM365" s="507"/>
      <c r="FN365" s="507"/>
      <c r="FO365" s="507"/>
      <c r="FP365" s="507"/>
      <c r="FQ365" s="507"/>
      <c r="FR365" s="507"/>
      <c r="FS365" s="507"/>
      <c r="FT365" s="507"/>
      <c r="FU365" s="507"/>
      <c r="FV365" s="507"/>
      <c r="FW365" s="507"/>
      <c r="FX365" s="507"/>
      <c r="FY365" s="507"/>
      <c r="FZ365" s="507"/>
      <c r="GA365" s="507"/>
      <c r="GB365" s="507"/>
      <c r="GC365" s="507"/>
      <c r="GD365" s="507"/>
      <c r="GE365" s="507"/>
      <c r="GF365" s="507"/>
      <c r="GG365" s="507"/>
      <c r="GH365" s="507"/>
      <c r="GI365" s="507"/>
      <c r="GJ365" s="507"/>
      <c r="GK365" s="507"/>
      <c r="GL365" s="507"/>
      <c r="GM365" s="507"/>
      <c r="GN365" s="507"/>
      <c r="GO365" s="507"/>
      <c r="GP365" s="507"/>
      <c r="GQ365" s="507"/>
      <c r="GR365" s="507"/>
      <c r="GS365" s="507"/>
      <c r="GT365" s="507"/>
      <c r="GU365" s="507"/>
      <c r="GV365" s="507"/>
      <c r="GW365" s="507"/>
      <c r="GX365" s="507"/>
      <c r="GY365" s="507"/>
      <c r="GZ365" s="507"/>
      <c r="HA365" s="507"/>
      <c r="HB365" s="507"/>
      <c r="HC365" s="507"/>
      <c r="HD365" s="507"/>
      <c r="HE365" s="507"/>
      <c r="HF365" s="507"/>
      <c r="HG365" s="507"/>
      <c r="HH365" s="507"/>
      <c r="HI365" s="507"/>
      <c r="HJ365" s="507"/>
      <c r="HK365" s="507"/>
      <c r="HL365" s="507"/>
      <c r="HM365" s="507"/>
      <c r="HN365" s="507"/>
      <c r="HO365" s="507"/>
      <c r="HP365" s="507"/>
      <c r="HQ365" s="507"/>
      <c r="HR365" s="507"/>
      <c r="HS365" s="507"/>
      <c r="HT365" s="507"/>
      <c r="HU365" s="507"/>
      <c r="HV365" s="507"/>
      <c r="HW365" s="507"/>
      <c r="HX365" s="507"/>
      <c r="HY365" s="507"/>
      <c r="HZ365" s="507"/>
    </row>
    <row r="366" spans="1:234" s="206" customFormat="1" ht="13.5" hidden="1" customHeight="1" x14ac:dyDescent="0.25">
      <c r="A366" s="541" t="s">
        <v>5281</v>
      </c>
      <c r="B366" s="523" t="s">
        <v>5282</v>
      </c>
      <c r="C366" s="524" t="s">
        <v>5283</v>
      </c>
      <c r="D366" s="551" t="s">
        <v>5284</v>
      </c>
      <c r="E366" s="569" t="s">
        <v>3228</v>
      </c>
      <c r="F366" s="543">
        <v>41072</v>
      </c>
      <c r="G366" s="544">
        <v>41015</v>
      </c>
      <c r="H366" s="544">
        <v>41060</v>
      </c>
      <c r="I366" s="616">
        <v>42216</v>
      </c>
      <c r="J366" s="579">
        <v>10</v>
      </c>
      <c r="K366" s="553">
        <v>2.3E-2</v>
      </c>
      <c r="L366" s="552">
        <v>0.06</v>
      </c>
      <c r="M366" s="560">
        <v>6.9000000000000006E-2</v>
      </c>
      <c r="N366" s="606" t="s">
        <v>3229</v>
      </c>
      <c r="O366" s="613">
        <v>0.18</v>
      </c>
      <c r="P366" s="575" t="s">
        <v>3229</v>
      </c>
      <c r="Q366" s="575" t="s">
        <v>5305</v>
      </c>
      <c r="R366" s="575" t="s">
        <v>3229</v>
      </c>
      <c r="S366" s="570">
        <v>3</v>
      </c>
      <c r="T366" s="617">
        <v>41395</v>
      </c>
      <c r="U366" s="563">
        <v>41760</v>
      </c>
      <c r="V366" s="563">
        <v>42156</v>
      </c>
      <c r="W366" s="563" t="s">
        <v>3229</v>
      </c>
      <c r="X366" s="563" t="s">
        <v>3229</v>
      </c>
      <c r="Y366" s="598" t="s">
        <v>3229</v>
      </c>
      <c r="Z366" s="598" t="s">
        <v>3229</v>
      </c>
      <c r="AA366" s="598" t="s">
        <v>3229</v>
      </c>
      <c r="AB366" s="598" t="s">
        <v>3229</v>
      </c>
      <c r="AC366" s="598" t="s">
        <v>3229</v>
      </c>
      <c r="AD366" s="598" t="s">
        <v>3229</v>
      </c>
      <c r="AE366" s="598" t="s">
        <v>3229</v>
      </c>
      <c r="AF366" s="3764" t="s">
        <v>781</v>
      </c>
      <c r="AG366" s="3765"/>
      <c r="AH366" s="1301" t="s">
        <v>3229</v>
      </c>
      <c r="AI366" s="1301" t="s">
        <v>3229</v>
      </c>
      <c r="AJ366" s="1301" t="s">
        <v>3229</v>
      </c>
      <c r="AK366" s="530" t="s">
        <v>3229</v>
      </c>
      <c r="AL366" s="530" t="s">
        <v>3229</v>
      </c>
      <c r="AM366" s="659" t="s">
        <v>3229</v>
      </c>
      <c r="AN366" s="638">
        <f>'klikací hodnoty'!F10883</f>
        <v>6.9000000000000006E-2</v>
      </c>
      <c r="AO366" s="625">
        <v>10.69</v>
      </c>
      <c r="AP366" s="688">
        <f>AQ366</f>
        <v>0</v>
      </c>
      <c r="AQ366" s="606">
        <f>'klikací hodnoty'!D10882</f>
        <v>0</v>
      </c>
      <c r="AR366" s="600">
        <f t="shared" si="84"/>
        <v>0.18</v>
      </c>
      <c r="AS366" s="548">
        <f t="shared" si="85"/>
        <v>5.4227599300808782E-2</v>
      </c>
      <c r="AT366" s="548">
        <f t="shared" si="86"/>
        <v>0.10383536014967265</v>
      </c>
      <c r="AU366" s="549" t="e">
        <f t="shared" si="87"/>
        <v>#DIV/0!</v>
      </c>
      <c r="AV366" s="558">
        <f t="shared" si="80"/>
        <v>6.9000000000000006E-2</v>
      </c>
      <c r="AW366" s="558">
        <f t="shared" si="74"/>
        <v>2.1516789651670143E-2</v>
      </c>
      <c r="AX366" s="589">
        <f t="shared" ref="AX366:AX429" si="88">J366*(1+AV366)/AO366-1</f>
        <v>0</v>
      </c>
      <c r="AY366" s="587" t="e">
        <f t="shared" ref="AY366:AY429" si="89">POWER(1+AX366,1/AG366)-1</f>
        <v>#DIV/0!</v>
      </c>
      <c r="AZ366" s="676">
        <f t="shared" si="73"/>
        <v>10.69</v>
      </c>
      <c r="BA366" s="581"/>
      <c r="BB366" s="570"/>
      <c r="BC366" s="581"/>
      <c r="BD366" s="3691"/>
      <c r="BE366" s="3743"/>
      <c r="BF366" s="3743"/>
      <c r="BG366" s="3708"/>
      <c r="BH366" s="3762"/>
      <c r="BI366" s="3762"/>
      <c r="BJ366" s="39"/>
      <c r="BK366" s="39"/>
      <c r="BL366" s="39"/>
      <c r="BM366" s="39"/>
      <c r="BN366" s="39"/>
      <c r="BO366" s="39"/>
      <c r="BP366" s="39"/>
      <c r="BQ366" s="39"/>
      <c r="BR366" s="39"/>
      <c r="BS366" s="507"/>
      <c r="BT366" s="507"/>
      <c r="BU366" s="507"/>
      <c r="BV366" s="507"/>
      <c r="BW366" s="507"/>
      <c r="BX366" s="507"/>
      <c r="BY366" s="507"/>
      <c r="BZ366" s="507"/>
      <c r="CA366" s="507"/>
      <c r="CB366" s="507"/>
      <c r="CC366" s="507"/>
      <c r="CD366" s="507"/>
      <c r="CE366" s="507"/>
      <c r="CF366" s="507"/>
      <c r="CG366" s="507"/>
      <c r="CH366" s="507"/>
      <c r="CI366" s="507"/>
      <c r="CJ366" s="507"/>
      <c r="CK366" s="507"/>
      <c r="CL366" s="507"/>
      <c r="CM366" s="507"/>
      <c r="CN366" s="507"/>
      <c r="CO366" s="507"/>
      <c r="CP366" s="507"/>
      <c r="CQ366" s="507"/>
      <c r="CR366" s="507"/>
      <c r="CS366" s="507"/>
      <c r="CT366" s="507"/>
      <c r="CU366" s="507"/>
      <c r="CV366" s="507"/>
      <c r="CW366" s="507"/>
      <c r="CX366" s="507"/>
      <c r="CY366" s="507"/>
      <c r="CZ366" s="507"/>
      <c r="DA366" s="507"/>
      <c r="DB366" s="507"/>
      <c r="DC366" s="507"/>
      <c r="DD366" s="507"/>
      <c r="DE366" s="507"/>
      <c r="DF366" s="507"/>
      <c r="DG366" s="507"/>
      <c r="DH366" s="507"/>
      <c r="DI366" s="507"/>
      <c r="DJ366" s="507"/>
      <c r="DK366" s="507"/>
      <c r="DL366" s="507"/>
      <c r="DM366" s="507"/>
      <c r="DN366" s="507"/>
      <c r="DO366" s="507"/>
      <c r="DP366" s="507"/>
      <c r="DQ366" s="507"/>
      <c r="DR366" s="507"/>
      <c r="DS366" s="507"/>
      <c r="DT366" s="507"/>
      <c r="DU366" s="507"/>
      <c r="DV366" s="507"/>
      <c r="DW366" s="507"/>
      <c r="DX366" s="507"/>
      <c r="DY366" s="507"/>
      <c r="DZ366" s="507"/>
      <c r="EA366" s="507"/>
      <c r="EB366" s="507"/>
      <c r="EC366" s="507"/>
      <c r="ED366" s="507"/>
      <c r="EE366" s="507"/>
      <c r="EF366" s="507"/>
      <c r="EG366" s="507"/>
      <c r="EH366" s="507"/>
      <c r="EI366" s="507"/>
      <c r="EJ366" s="507"/>
      <c r="EK366" s="507"/>
      <c r="EL366" s="507"/>
      <c r="EM366" s="507"/>
      <c r="EN366" s="507"/>
      <c r="EO366" s="507"/>
      <c r="EP366" s="507"/>
      <c r="EQ366" s="507"/>
      <c r="ER366" s="507"/>
      <c r="ES366" s="507"/>
      <c r="ET366" s="507"/>
      <c r="EU366" s="507"/>
      <c r="EV366" s="507"/>
      <c r="EW366" s="507"/>
      <c r="EX366" s="507"/>
      <c r="EY366" s="507"/>
      <c r="EZ366" s="507"/>
      <c r="FA366" s="507"/>
      <c r="FB366" s="507"/>
      <c r="FC366" s="507"/>
      <c r="FD366" s="507"/>
      <c r="FE366" s="507"/>
      <c r="FF366" s="507"/>
      <c r="FG366" s="507"/>
      <c r="FH366" s="507"/>
      <c r="FI366" s="507"/>
      <c r="FJ366" s="507"/>
      <c r="FK366" s="507"/>
      <c r="FL366" s="507"/>
      <c r="FM366" s="507"/>
      <c r="FN366" s="507"/>
      <c r="FO366" s="507"/>
      <c r="FP366" s="507"/>
      <c r="FQ366" s="507"/>
      <c r="FR366" s="507"/>
      <c r="FS366" s="507"/>
      <c r="FT366" s="507"/>
      <c r="FU366" s="507"/>
      <c r="FV366" s="507"/>
      <c r="FW366" s="507"/>
      <c r="FX366" s="507"/>
      <c r="FY366" s="507"/>
      <c r="FZ366" s="507"/>
      <c r="GA366" s="507"/>
      <c r="GB366" s="507"/>
      <c r="GC366" s="507"/>
      <c r="GD366" s="507"/>
      <c r="GE366" s="507"/>
      <c r="GF366" s="507"/>
      <c r="GG366" s="507"/>
      <c r="GH366" s="507"/>
      <c r="GI366" s="507"/>
      <c r="GJ366" s="507"/>
      <c r="GK366" s="507"/>
      <c r="GL366" s="507"/>
      <c r="GM366" s="507"/>
      <c r="GN366" s="507"/>
      <c r="GO366" s="507"/>
      <c r="GP366" s="507"/>
      <c r="GQ366" s="507"/>
      <c r="GR366" s="507"/>
      <c r="GS366" s="507"/>
      <c r="GT366" s="507"/>
      <c r="GU366" s="507"/>
      <c r="GV366" s="507"/>
      <c r="GW366" s="507"/>
      <c r="GX366" s="507"/>
      <c r="GY366" s="507"/>
      <c r="GZ366" s="507"/>
      <c r="HA366" s="507"/>
      <c r="HB366" s="507"/>
      <c r="HC366" s="507"/>
      <c r="HD366" s="507"/>
      <c r="HE366" s="507"/>
      <c r="HF366" s="507"/>
      <c r="HG366" s="507"/>
      <c r="HH366" s="507"/>
      <c r="HI366" s="507"/>
      <c r="HJ366" s="507"/>
      <c r="HK366" s="507"/>
      <c r="HL366" s="507"/>
      <c r="HM366" s="507"/>
      <c r="HN366" s="507"/>
      <c r="HO366" s="507"/>
      <c r="HP366" s="507"/>
      <c r="HQ366" s="507"/>
      <c r="HR366" s="507"/>
      <c r="HS366" s="507"/>
      <c r="HT366" s="507"/>
      <c r="HU366" s="507"/>
      <c r="HV366" s="507"/>
      <c r="HW366" s="507"/>
      <c r="HX366" s="507"/>
      <c r="HY366" s="507"/>
      <c r="HZ366" s="507"/>
    </row>
    <row r="367" spans="1:234" s="206" customFormat="1" ht="13.5" hidden="1" customHeight="1" x14ac:dyDescent="0.25">
      <c r="A367" s="541" t="s">
        <v>5288</v>
      </c>
      <c r="B367" s="523" t="s">
        <v>5286</v>
      </c>
      <c r="C367" s="524" t="s">
        <v>5304</v>
      </c>
      <c r="D367" s="551" t="s">
        <v>5296</v>
      </c>
      <c r="E367" s="569" t="s">
        <v>3228</v>
      </c>
      <c r="F367" s="543">
        <v>41075</v>
      </c>
      <c r="G367" s="544">
        <v>41031</v>
      </c>
      <c r="H367" s="544">
        <v>41065</v>
      </c>
      <c r="I367" s="616">
        <v>42216</v>
      </c>
      <c r="J367" s="579">
        <v>10</v>
      </c>
      <c r="K367" s="553" t="s">
        <v>3229</v>
      </c>
      <c r="L367" s="552" t="s">
        <v>3229</v>
      </c>
      <c r="M367" s="560">
        <v>0</v>
      </c>
      <c r="N367" s="606" t="s">
        <v>3229</v>
      </c>
      <c r="O367" s="613" t="s">
        <v>3229</v>
      </c>
      <c r="P367" s="575" t="s">
        <v>3229</v>
      </c>
      <c r="Q367" s="575" t="s">
        <v>3229</v>
      </c>
      <c r="R367" s="575" t="s">
        <v>3229</v>
      </c>
      <c r="S367" s="570"/>
      <c r="T367" s="617" t="s">
        <v>3229</v>
      </c>
      <c r="U367" s="563" t="s">
        <v>3229</v>
      </c>
      <c r="V367" s="563" t="s">
        <v>3229</v>
      </c>
      <c r="W367" s="563" t="s">
        <v>3229</v>
      </c>
      <c r="X367" s="563" t="s">
        <v>3229</v>
      </c>
      <c r="Y367" s="598" t="s">
        <v>3229</v>
      </c>
      <c r="Z367" s="598" t="s">
        <v>3229</v>
      </c>
      <c r="AA367" s="598" t="s">
        <v>3229</v>
      </c>
      <c r="AB367" s="598" t="s">
        <v>3229</v>
      </c>
      <c r="AC367" s="598" t="s">
        <v>3229</v>
      </c>
      <c r="AD367" s="598" t="s">
        <v>3229</v>
      </c>
      <c r="AE367" s="598" t="s">
        <v>3229</v>
      </c>
      <c r="AF367" s="3764" t="s">
        <v>781</v>
      </c>
      <c r="AG367" s="3765"/>
      <c r="AH367" s="1301" t="s">
        <v>3229</v>
      </c>
      <c r="AI367" s="1301" t="s">
        <v>3229</v>
      </c>
      <c r="AJ367" s="1301" t="s">
        <v>3229</v>
      </c>
      <c r="AK367" s="530" t="s">
        <v>3229</v>
      </c>
      <c r="AL367" s="530" t="s">
        <v>3229</v>
      </c>
      <c r="AM367" s="659">
        <v>1</v>
      </c>
      <c r="AN367" s="638">
        <v>0.40460083333333335</v>
      </c>
      <c r="AO367" s="625">
        <v>14.05</v>
      </c>
      <c r="AP367" s="688">
        <v>0.40460083333333335</v>
      </c>
      <c r="AQ367" s="606">
        <v>0.39937323238730787</v>
      </c>
      <c r="AR367" s="600" t="s">
        <v>3660</v>
      </c>
      <c r="AS367" s="548"/>
      <c r="AT367" s="548"/>
      <c r="AU367" s="549"/>
      <c r="AV367" s="558">
        <v>0</v>
      </c>
      <c r="AW367" s="558">
        <v>0</v>
      </c>
      <c r="AX367" s="589">
        <v>-0.28825622775800719</v>
      </c>
      <c r="AY367" s="587" t="e">
        <v>#DIV/0!</v>
      </c>
      <c r="AZ367" s="676">
        <v>10</v>
      </c>
      <c r="BA367" s="581"/>
      <c r="BB367" s="570"/>
      <c r="BC367" s="581"/>
      <c r="BD367" s="3691"/>
      <c r="BE367" s="3743"/>
      <c r="BF367" s="3743"/>
      <c r="BG367" s="3708"/>
      <c r="BH367" s="3762"/>
      <c r="BI367" s="3762"/>
      <c r="BJ367" s="39"/>
      <c r="BK367" s="39"/>
      <c r="BL367" s="39"/>
      <c r="BM367" s="39"/>
      <c r="BN367" s="39"/>
      <c r="BO367" s="39"/>
      <c r="BP367" s="39"/>
      <c r="BQ367" s="39"/>
      <c r="BR367" s="39"/>
      <c r="BS367" s="507"/>
      <c r="BT367" s="507"/>
      <c r="BU367" s="507"/>
      <c r="BV367" s="507"/>
      <c r="BW367" s="507"/>
      <c r="BX367" s="507"/>
      <c r="BY367" s="507"/>
      <c r="BZ367" s="507"/>
      <c r="CA367" s="507"/>
      <c r="CB367" s="507"/>
      <c r="CC367" s="507"/>
      <c r="CD367" s="507"/>
      <c r="CE367" s="507"/>
      <c r="CF367" s="507"/>
      <c r="CG367" s="507"/>
      <c r="CH367" s="507"/>
      <c r="CI367" s="507"/>
      <c r="CJ367" s="507"/>
      <c r="CK367" s="507"/>
      <c r="CL367" s="507"/>
      <c r="CM367" s="507"/>
      <c r="CN367" s="507"/>
      <c r="CO367" s="507"/>
      <c r="CP367" s="507"/>
      <c r="CQ367" s="507"/>
      <c r="CR367" s="507"/>
      <c r="CS367" s="507"/>
      <c r="CT367" s="507"/>
      <c r="CU367" s="507"/>
      <c r="CV367" s="507"/>
      <c r="CW367" s="507"/>
      <c r="CX367" s="507"/>
      <c r="CY367" s="507"/>
      <c r="CZ367" s="507"/>
      <c r="DA367" s="507"/>
      <c r="DB367" s="507"/>
      <c r="DC367" s="507"/>
      <c r="DD367" s="507"/>
      <c r="DE367" s="507"/>
      <c r="DF367" s="507"/>
      <c r="DG367" s="507"/>
      <c r="DH367" s="507"/>
      <c r="DI367" s="507"/>
      <c r="DJ367" s="507"/>
      <c r="DK367" s="507"/>
      <c r="DL367" s="507"/>
      <c r="DM367" s="507"/>
      <c r="DN367" s="507"/>
      <c r="DO367" s="507"/>
      <c r="DP367" s="507"/>
      <c r="DQ367" s="507"/>
      <c r="DR367" s="507"/>
      <c r="DS367" s="507"/>
      <c r="DT367" s="507"/>
      <c r="DU367" s="507"/>
      <c r="DV367" s="507"/>
      <c r="DW367" s="507"/>
      <c r="DX367" s="507"/>
      <c r="DY367" s="507"/>
      <c r="DZ367" s="507"/>
      <c r="EA367" s="507"/>
      <c r="EB367" s="507"/>
      <c r="EC367" s="507"/>
      <c r="ED367" s="507"/>
      <c r="EE367" s="507"/>
      <c r="EF367" s="507"/>
      <c r="EG367" s="507"/>
      <c r="EH367" s="507"/>
      <c r="EI367" s="507"/>
      <c r="EJ367" s="507"/>
      <c r="EK367" s="507"/>
      <c r="EL367" s="507"/>
      <c r="EM367" s="507"/>
      <c r="EN367" s="507"/>
      <c r="EO367" s="507"/>
      <c r="EP367" s="507"/>
      <c r="EQ367" s="507"/>
      <c r="ER367" s="507"/>
      <c r="ES367" s="507"/>
      <c r="ET367" s="507"/>
      <c r="EU367" s="507"/>
      <c r="EV367" s="507"/>
      <c r="EW367" s="507"/>
      <c r="EX367" s="507"/>
      <c r="EY367" s="507"/>
      <c r="EZ367" s="507"/>
      <c r="FA367" s="507"/>
      <c r="FB367" s="507"/>
      <c r="FC367" s="507"/>
      <c r="FD367" s="507"/>
      <c r="FE367" s="507"/>
      <c r="FF367" s="507"/>
      <c r="FG367" s="507"/>
      <c r="FH367" s="507"/>
      <c r="FI367" s="507"/>
      <c r="FJ367" s="507"/>
      <c r="FK367" s="507"/>
      <c r="FL367" s="507"/>
      <c r="FM367" s="507"/>
      <c r="FN367" s="507"/>
      <c r="FO367" s="507"/>
      <c r="FP367" s="507"/>
      <c r="FQ367" s="507"/>
      <c r="FR367" s="507"/>
      <c r="FS367" s="507"/>
      <c r="FT367" s="507"/>
      <c r="FU367" s="507"/>
      <c r="FV367" s="507"/>
      <c r="FW367" s="507"/>
      <c r="FX367" s="507"/>
      <c r="FY367" s="507"/>
      <c r="FZ367" s="507"/>
      <c r="GA367" s="507"/>
      <c r="GB367" s="507"/>
      <c r="GC367" s="507"/>
      <c r="GD367" s="507"/>
      <c r="GE367" s="507"/>
      <c r="GF367" s="507"/>
      <c r="GG367" s="507"/>
      <c r="GH367" s="507"/>
      <c r="GI367" s="507"/>
      <c r="GJ367" s="507"/>
      <c r="GK367" s="507"/>
      <c r="GL367" s="507"/>
      <c r="GM367" s="507"/>
      <c r="GN367" s="507"/>
      <c r="GO367" s="507"/>
      <c r="GP367" s="507"/>
      <c r="GQ367" s="507"/>
      <c r="GR367" s="507"/>
      <c r="GS367" s="507"/>
      <c r="GT367" s="507"/>
      <c r="GU367" s="507"/>
      <c r="GV367" s="507"/>
      <c r="GW367" s="507"/>
      <c r="GX367" s="507"/>
      <c r="GY367" s="507"/>
      <c r="GZ367" s="507"/>
      <c r="HA367" s="507"/>
      <c r="HB367" s="507"/>
      <c r="HC367" s="507"/>
      <c r="HD367" s="507"/>
      <c r="HE367" s="507"/>
      <c r="HF367" s="507"/>
      <c r="HG367" s="507"/>
      <c r="HH367" s="507"/>
      <c r="HI367" s="507"/>
      <c r="HJ367" s="507"/>
      <c r="HK367" s="507"/>
      <c r="HL367" s="507"/>
      <c r="HM367" s="507"/>
      <c r="HN367" s="507"/>
      <c r="HO367" s="507"/>
      <c r="HP367" s="507"/>
      <c r="HQ367" s="507"/>
      <c r="HR367" s="507"/>
      <c r="HS367" s="507"/>
      <c r="HT367" s="507"/>
      <c r="HU367" s="507"/>
      <c r="HV367" s="507"/>
      <c r="HW367" s="507"/>
      <c r="HX367" s="507"/>
      <c r="HY367" s="507"/>
      <c r="HZ367" s="507"/>
    </row>
    <row r="368" spans="1:234" s="206" customFormat="1" ht="13.5" hidden="1" customHeight="1" x14ac:dyDescent="0.25">
      <c r="A368" s="541" t="s">
        <v>5289</v>
      </c>
      <c r="B368" s="523" t="s">
        <v>5287</v>
      </c>
      <c r="C368" s="524" t="s">
        <v>5303</v>
      </c>
      <c r="D368" s="551" t="s">
        <v>5297</v>
      </c>
      <c r="E368" s="569" t="s">
        <v>3228</v>
      </c>
      <c r="F368" s="543">
        <v>41102</v>
      </c>
      <c r="G368" s="544">
        <v>41061</v>
      </c>
      <c r="H368" s="544">
        <v>41089</v>
      </c>
      <c r="I368" s="616">
        <v>42978</v>
      </c>
      <c r="J368" s="579">
        <v>10</v>
      </c>
      <c r="K368" s="553">
        <v>5.0000000000000001E-3</v>
      </c>
      <c r="L368" s="552" t="s">
        <v>3229</v>
      </c>
      <c r="M368" s="560">
        <v>2.5000000000000001E-2</v>
      </c>
      <c r="N368" s="606" t="s">
        <v>3229</v>
      </c>
      <c r="O368" s="613" t="s">
        <v>3229</v>
      </c>
      <c r="P368" s="575" t="s">
        <v>3229</v>
      </c>
      <c r="Q368" s="575" t="s">
        <v>3229</v>
      </c>
      <c r="R368" s="575" t="s">
        <v>3229</v>
      </c>
      <c r="S368" s="570">
        <v>5</v>
      </c>
      <c r="T368" s="617">
        <v>41426</v>
      </c>
      <c r="U368" s="563">
        <v>41791</v>
      </c>
      <c r="V368" s="563">
        <v>42156</v>
      </c>
      <c r="W368" s="563">
        <v>42522</v>
      </c>
      <c r="X368" s="563">
        <v>42917</v>
      </c>
      <c r="Y368" s="598" t="s">
        <v>3229</v>
      </c>
      <c r="Z368" s="598" t="s">
        <v>3229</v>
      </c>
      <c r="AA368" s="598" t="s">
        <v>3229</v>
      </c>
      <c r="AB368" s="598" t="s">
        <v>3229</v>
      </c>
      <c r="AC368" s="598" t="s">
        <v>3229</v>
      </c>
      <c r="AD368" s="598" t="s">
        <v>3229</v>
      </c>
      <c r="AE368" s="598" t="s">
        <v>3229</v>
      </c>
      <c r="AF368" s="3764" t="s">
        <v>781</v>
      </c>
      <c r="AG368" s="3765"/>
      <c r="AH368" s="1301" t="s">
        <v>3229</v>
      </c>
      <c r="AI368" s="1301" t="s">
        <v>3229</v>
      </c>
      <c r="AJ368" s="1301" t="s">
        <v>3229</v>
      </c>
      <c r="AK368" s="530" t="s">
        <v>3229</v>
      </c>
      <c r="AL368" s="530" t="s">
        <v>3229</v>
      </c>
      <c r="AM368" s="659" t="s">
        <v>3229</v>
      </c>
      <c r="AN368" s="638">
        <f>+'klikací hodnoty'!F11052</f>
        <v>5.9604942392016941E-2</v>
      </c>
      <c r="AO368" s="625">
        <v>10.6</v>
      </c>
      <c r="AP368" s="688">
        <f>AQ368</f>
        <v>5.9604942392016941E-2</v>
      </c>
      <c r="AQ368" s="606">
        <f>'klikací hodnoty'!F11052</f>
        <v>5.9604942392016941E-2</v>
      </c>
      <c r="AR368" s="600" t="s">
        <v>3660</v>
      </c>
      <c r="AS368" s="548"/>
      <c r="AT368" s="548"/>
      <c r="AU368" s="549"/>
      <c r="AV368" s="558">
        <f t="shared" si="80"/>
        <v>2.5000000000000001E-2</v>
      </c>
      <c r="AW368" s="558">
        <f t="shared" si="74"/>
        <v>4.8158252996877149E-3</v>
      </c>
      <c r="AX368" s="589">
        <f t="shared" si="88"/>
        <v>-3.3018867924528239E-2</v>
      </c>
      <c r="AY368" s="587" t="e">
        <f t="shared" si="89"/>
        <v>#DIV/0!</v>
      </c>
      <c r="AZ368" s="676">
        <f t="shared" si="73"/>
        <v>10.25</v>
      </c>
      <c r="BA368" s="581"/>
      <c r="BB368" s="570"/>
      <c r="BC368" s="581"/>
      <c r="BD368" s="3691"/>
      <c r="BE368" s="3743"/>
      <c r="BF368" s="3743"/>
      <c r="BG368" s="3708"/>
      <c r="BH368" s="3762"/>
      <c r="BI368" s="3762"/>
      <c r="BJ368" s="39"/>
      <c r="BK368" s="39"/>
      <c r="BL368" s="39"/>
      <c r="BM368" s="39"/>
      <c r="BN368" s="39"/>
      <c r="BO368" s="39"/>
      <c r="BP368" s="39"/>
      <c r="BQ368" s="39"/>
      <c r="BR368" s="39"/>
      <c r="BS368" s="507"/>
      <c r="BT368" s="507"/>
      <c r="BU368" s="507"/>
      <c r="BV368" s="507"/>
      <c r="BW368" s="507"/>
      <c r="BX368" s="507"/>
      <c r="BY368" s="507"/>
      <c r="BZ368" s="507"/>
      <c r="CA368" s="507"/>
      <c r="CB368" s="507"/>
      <c r="CC368" s="507"/>
      <c r="CD368" s="507"/>
      <c r="CE368" s="507"/>
      <c r="CF368" s="507"/>
      <c r="CG368" s="507"/>
      <c r="CH368" s="507"/>
      <c r="CI368" s="507"/>
      <c r="CJ368" s="507"/>
      <c r="CK368" s="507"/>
      <c r="CL368" s="507"/>
      <c r="CM368" s="507"/>
      <c r="CN368" s="507"/>
      <c r="CO368" s="507"/>
      <c r="CP368" s="507"/>
      <c r="CQ368" s="507"/>
      <c r="CR368" s="507"/>
      <c r="CS368" s="507"/>
      <c r="CT368" s="507"/>
      <c r="CU368" s="507"/>
      <c r="CV368" s="507"/>
      <c r="CW368" s="507"/>
      <c r="CX368" s="507"/>
      <c r="CY368" s="507"/>
      <c r="CZ368" s="507"/>
      <c r="DA368" s="507"/>
      <c r="DB368" s="507"/>
      <c r="DC368" s="507"/>
      <c r="DD368" s="507"/>
      <c r="DE368" s="507"/>
      <c r="DF368" s="507"/>
      <c r="DG368" s="507"/>
      <c r="DH368" s="507"/>
      <c r="DI368" s="507"/>
      <c r="DJ368" s="507"/>
      <c r="DK368" s="507"/>
      <c r="DL368" s="507"/>
      <c r="DM368" s="507"/>
      <c r="DN368" s="507"/>
      <c r="DO368" s="507"/>
      <c r="DP368" s="507"/>
      <c r="DQ368" s="507"/>
      <c r="DR368" s="507"/>
      <c r="DS368" s="507"/>
      <c r="DT368" s="507"/>
      <c r="DU368" s="507"/>
      <c r="DV368" s="507"/>
      <c r="DW368" s="507"/>
      <c r="DX368" s="507"/>
      <c r="DY368" s="507"/>
      <c r="DZ368" s="507"/>
      <c r="EA368" s="507"/>
      <c r="EB368" s="507"/>
      <c r="EC368" s="507"/>
      <c r="ED368" s="507"/>
      <c r="EE368" s="507"/>
      <c r="EF368" s="507"/>
      <c r="EG368" s="507"/>
      <c r="EH368" s="507"/>
      <c r="EI368" s="507"/>
      <c r="EJ368" s="507"/>
      <c r="EK368" s="507"/>
      <c r="EL368" s="507"/>
      <c r="EM368" s="507"/>
      <c r="EN368" s="507"/>
      <c r="EO368" s="507"/>
      <c r="EP368" s="507"/>
      <c r="EQ368" s="507"/>
      <c r="ER368" s="507"/>
      <c r="ES368" s="507"/>
      <c r="ET368" s="507"/>
      <c r="EU368" s="507"/>
      <c r="EV368" s="507"/>
      <c r="EW368" s="507"/>
      <c r="EX368" s="507"/>
      <c r="EY368" s="507"/>
      <c r="EZ368" s="507"/>
      <c r="FA368" s="507"/>
      <c r="FB368" s="507"/>
      <c r="FC368" s="507"/>
      <c r="FD368" s="507"/>
      <c r="FE368" s="507"/>
      <c r="FF368" s="507"/>
      <c r="FG368" s="507"/>
      <c r="FH368" s="507"/>
      <c r="FI368" s="507"/>
      <c r="FJ368" s="507"/>
      <c r="FK368" s="507"/>
      <c r="FL368" s="507"/>
      <c r="FM368" s="507"/>
      <c r="FN368" s="507"/>
      <c r="FO368" s="507"/>
      <c r="FP368" s="507"/>
      <c r="FQ368" s="507"/>
      <c r="FR368" s="507"/>
      <c r="FS368" s="507"/>
      <c r="FT368" s="507"/>
      <c r="FU368" s="507"/>
      <c r="FV368" s="507"/>
      <c r="FW368" s="507"/>
      <c r="FX368" s="507"/>
      <c r="FY368" s="507"/>
      <c r="FZ368" s="507"/>
      <c r="GA368" s="507"/>
      <c r="GB368" s="507"/>
      <c r="GC368" s="507"/>
      <c r="GD368" s="507"/>
      <c r="GE368" s="507"/>
      <c r="GF368" s="507"/>
      <c r="GG368" s="507"/>
      <c r="GH368" s="507"/>
      <c r="GI368" s="507"/>
      <c r="GJ368" s="507"/>
      <c r="GK368" s="507"/>
      <c r="GL368" s="507"/>
      <c r="GM368" s="507"/>
      <c r="GN368" s="507"/>
      <c r="GO368" s="507"/>
      <c r="GP368" s="507"/>
      <c r="GQ368" s="507"/>
      <c r="GR368" s="507"/>
      <c r="GS368" s="507"/>
      <c r="GT368" s="507"/>
      <c r="GU368" s="507"/>
      <c r="GV368" s="507"/>
      <c r="GW368" s="507"/>
      <c r="GX368" s="507"/>
      <c r="GY368" s="507"/>
      <c r="GZ368" s="507"/>
      <c r="HA368" s="507"/>
      <c r="HB368" s="507"/>
      <c r="HC368" s="507"/>
      <c r="HD368" s="507"/>
      <c r="HE368" s="507"/>
      <c r="HF368" s="507"/>
      <c r="HG368" s="507"/>
      <c r="HH368" s="507"/>
      <c r="HI368" s="507"/>
      <c r="HJ368" s="507"/>
      <c r="HK368" s="507"/>
      <c r="HL368" s="507"/>
      <c r="HM368" s="507"/>
      <c r="HN368" s="507"/>
      <c r="HO368" s="507"/>
      <c r="HP368" s="507"/>
      <c r="HQ368" s="507"/>
      <c r="HR368" s="507"/>
      <c r="HS368" s="507"/>
      <c r="HT368" s="507"/>
      <c r="HU368" s="507"/>
      <c r="HV368" s="507"/>
      <c r="HW368" s="507"/>
      <c r="HX368" s="507"/>
      <c r="HY368" s="507"/>
      <c r="HZ368" s="507"/>
    </row>
    <row r="369" spans="1:234" s="206" customFormat="1" ht="13.5" hidden="1" customHeight="1" x14ac:dyDescent="0.25">
      <c r="A369" s="541" t="s">
        <v>5291</v>
      </c>
      <c r="B369" s="523" t="s">
        <v>5290</v>
      </c>
      <c r="C369" s="524" t="s">
        <v>5302</v>
      </c>
      <c r="D369" s="551" t="s">
        <v>5298</v>
      </c>
      <c r="E369" s="569" t="s">
        <v>3228</v>
      </c>
      <c r="F369" s="543">
        <v>41110</v>
      </c>
      <c r="G369" s="544">
        <v>41064</v>
      </c>
      <c r="H369" s="544">
        <v>41100</v>
      </c>
      <c r="I369" s="616">
        <v>42247</v>
      </c>
      <c r="J369" s="579">
        <v>10</v>
      </c>
      <c r="K369" s="553" t="s">
        <v>3229</v>
      </c>
      <c r="L369" s="552" t="s">
        <v>3229</v>
      </c>
      <c r="M369" s="560">
        <v>0</v>
      </c>
      <c r="N369" s="606" t="s">
        <v>3229</v>
      </c>
      <c r="O369" s="613" t="s">
        <v>3229</v>
      </c>
      <c r="P369" s="575" t="s">
        <v>3229</v>
      </c>
      <c r="Q369" s="575" t="s">
        <v>3229</v>
      </c>
      <c r="R369" s="575" t="s">
        <v>3229</v>
      </c>
      <c r="S369" s="570"/>
      <c r="T369" s="617" t="s">
        <v>3229</v>
      </c>
      <c r="U369" s="563" t="s">
        <v>3229</v>
      </c>
      <c r="V369" s="563" t="s">
        <v>3229</v>
      </c>
      <c r="W369" s="563" t="s">
        <v>3229</v>
      </c>
      <c r="X369" s="563" t="s">
        <v>3229</v>
      </c>
      <c r="Y369" s="598" t="s">
        <v>3229</v>
      </c>
      <c r="Z369" s="598" t="s">
        <v>3229</v>
      </c>
      <c r="AA369" s="598" t="s">
        <v>3229</v>
      </c>
      <c r="AB369" s="598" t="s">
        <v>3229</v>
      </c>
      <c r="AC369" s="598" t="s">
        <v>3229</v>
      </c>
      <c r="AD369" s="598" t="s">
        <v>3229</v>
      </c>
      <c r="AE369" s="598" t="s">
        <v>3229</v>
      </c>
      <c r="AF369" s="3764" t="s">
        <v>781</v>
      </c>
      <c r="AG369" s="3765"/>
      <c r="AH369" s="1301" t="s">
        <v>3229</v>
      </c>
      <c r="AI369" s="1301" t="s">
        <v>3229</v>
      </c>
      <c r="AJ369" s="1301" t="s">
        <v>3229</v>
      </c>
      <c r="AK369" s="530" t="s">
        <v>3229</v>
      </c>
      <c r="AL369" s="530" t="s">
        <v>3229</v>
      </c>
      <c r="AM369" s="659">
        <v>1</v>
      </c>
      <c r="AN369" s="638">
        <f>'klikací hodnoty'!F11000</f>
        <v>0.35018360000000004</v>
      </c>
      <c r="AO369" s="625">
        <v>13.5</v>
      </c>
      <c r="AP369" s="688" t="e">
        <f>AQ369</f>
        <v>#N/A</v>
      </c>
      <c r="AQ369" s="606" t="e">
        <f>'klikací hodnoty'!F10999</f>
        <v>#N/A</v>
      </c>
      <c r="AR369" s="600" t="s">
        <v>3660</v>
      </c>
      <c r="AS369" s="548"/>
      <c r="AT369" s="548"/>
      <c r="AU369" s="549"/>
      <c r="AV369" s="558">
        <f t="shared" si="80"/>
        <v>0</v>
      </c>
      <c r="AW369" s="558">
        <f t="shared" si="74"/>
        <v>0</v>
      </c>
      <c r="AX369" s="589">
        <f t="shared" si="88"/>
        <v>-0.2592592592592593</v>
      </c>
      <c r="AY369" s="587" t="e">
        <f t="shared" si="89"/>
        <v>#DIV/0!</v>
      </c>
      <c r="AZ369" s="676">
        <f t="shared" si="73"/>
        <v>10</v>
      </c>
      <c r="BA369" s="581"/>
      <c r="BB369" s="570"/>
      <c r="BC369" s="581"/>
      <c r="BD369" s="3691"/>
      <c r="BE369" s="3743"/>
      <c r="BF369" s="3743"/>
      <c r="BG369" s="3708"/>
      <c r="BH369" s="3762"/>
      <c r="BI369" s="3762"/>
      <c r="BJ369" s="39"/>
      <c r="BK369" s="39"/>
      <c r="BL369" s="39"/>
      <c r="BM369" s="39"/>
      <c r="BN369" s="39"/>
      <c r="BO369" s="39"/>
      <c r="BP369" s="39"/>
      <c r="BQ369" s="39"/>
      <c r="BR369" s="39"/>
      <c r="BS369" s="507"/>
      <c r="BT369" s="507"/>
      <c r="BU369" s="507"/>
      <c r="BV369" s="507"/>
      <c r="BW369" s="507"/>
      <c r="BX369" s="507"/>
      <c r="BY369" s="507"/>
      <c r="BZ369" s="507"/>
      <c r="CA369" s="507"/>
      <c r="CB369" s="507"/>
      <c r="CC369" s="507"/>
      <c r="CD369" s="507"/>
      <c r="CE369" s="507"/>
      <c r="CF369" s="507"/>
      <c r="CG369" s="507"/>
      <c r="CH369" s="507"/>
      <c r="CI369" s="507"/>
      <c r="CJ369" s="507"/>
      <c r="CK369" s="507"/>
      <c r="CL369" s="507"/>
      <c r="CM369" s="507"/>
      <c r="CN369" s="507"/>
      <c r="CO369" s="507"/>
      <c r="CP369" s="507"/>
      <c r="CQ369" s="507"/>
      <c r="CR369" s="507"/>
      <c r="CS369" s="507"/>
      <c r="CT369" s="507"/>
      <c r="CU369" s="507"/>
      <c r="CV369" s="507"/>
      <c r="CW369" s="507"/>
      <c r="CX369" s="507"/>
      <c r="CY369" s="507"/>
      <c r="CZ369" s="507"/>
      <c r="DA369" s="507"/>
      <c r="DB369" s="507"/>
      <c r="DC369" s="507"/>
      <c r="DD369" s="507"/>
      <c r="DE369" s="507"/>
      <c r="DF369" s="507"/>
      <c r="DG369" s="507"/>
      <c r="DH369" s="507"/>
      <c r="DI369" s="507"/>
      <c r="DJ369" s="507"/>
      <c r="DK369" s="507"/>
      <c r="DL369" s="507"/>
      <c r="DM369" s="507"/>
      <c r="DN369" s="507"/>
      <c r="DO369" s="507"/>
      <c r="DP369" s="507"/>
      <c r="DQ369" s="507"/>
      <c r="DR369" s="507"/>
      <c r="DS369" s="507"/>
      <c r="DT369" s="507"/>
      <c r="DU369" s="507"/>
      <c r="DV369" s="507"/>
      <c r="DW369" s="507"/>
      <c r="DX369" s="507"/>
      <c r="DY369" s="507"/>
      <c r="DZ369" s="507"/>
      <c r="EA369" s="507"/>
      <c r="EB369" s="507"/>
      <c r="EC369" s="507"/>
      <c r="ED369" s="507"/>
      <c r="EE369" s="507"/>
      <c r="EF369" s="507"/>
      <c r="EG369" s="507"/>
      <c r="EH369" s="507"/>
      <c r="EI369" s="507"/>
      <c r="EJ369" s="507"/>
      <c r="EK369" s="507"/>
      <c r="EL369" s="507"/>
      <c r="EM369" s="507"/>
      <c r="EN369" s="507"/>
      <c r="EO369" s="507"/>
      <c r="EP369" s="507"/>
      <c r="EQ369" s="507"/>
      <c r="ER369" s="507"/>
      <c r="ES369" s="507"/>
      <c r="ET369" s="507"/>
      <c r="EU369" s="507"/>
      <c r="EV369" s="507"/>
      <c r="EW369" s="507"/>
      <c r="EX369" s="507"/>
      <c r="EY369" s="507"/>
      <c r="EZ369" s="507"/>
      <c r="FA369" s="507"/>
      <c r="FB369" s="507"/>
      <c r="FC369" s="507"/>
      <c r="FD369" s="507"/>
      <c r="FE369" s="507"/>
      <c r="FF369" s="507"/>
      <c r="FG369" s="507"/>
      <c r="FH369" s="507"/>
      <c r="FI369" s="507"/>
      <c r="FJ369" s="507"/>
      <c r="FK369" s="507"/>
      <c r="FL369" s="507"/>
      <c r="FM369" s="507"/>
      <c r="FN369" s="507"/>
      <c r="FO369" s="507"/>
      <c r="FP369" s="507"/>
      <c r="FQ369" s="507"/>
      <c r="FR369" s="507"/>
      <c r="FS369" s="507"/>
      <c r="FT369" s="507"/>
      <c r="FU369" s="507"/>
      <c r="FV369" s="507"/>
      <c r="FW369" s="507"/>
      <c r="FX369" s="507"/>
      <c r="FY369" s="507"/>
      <c r="FZ369" s="507"/>
      <c r="GA369" s="507"/>
      <c r="GB369" s="507"/>
      <c r="GC369" s="507"/>
      <c r="GD369" s="507"/>
      <c r="GE369" s="507"/>
      <c r="GF369" s="507"/>
      <c r="GG369" s="507"/>
      <c r="GH369" s="507"/>
      <c r="GI369" s="507"/>
      <c r="GJ369" s="507"/>
      <c r="GK369" s="507"/>
      <c r="GL369" s="507"/>
      <c r="GM369" s="507"/>
      <c r="GN369" s="507"/>
      <c r="GO369" s="507"/>
      <c r="GP369" s="507"/>
      <c r="GQ369" s="507"/>
      <c r="GR369" s="507"/>
      <c r="GS369" s="507"/>
      <c r="GT369" s="507"/>
      <c r="GU369" s="507"/>
      <c r="GV369" s="507"/>
      <c r="GW369" s="507"/>
      <c r="GX369" s="507"/>
      <c r="GY369" s="507"/>
      <c r="GZ369" s="507"/>
      <c r="HA369" s="507"/>
      <c r="HB369" s="507"/>
      <c r="HC369" s="507"/>
      <c r="HD369" s="507"/>
      <c r="HE369" s="507"/>
      <c r="HF369" s="507"/>
      <c r="HG369" s="507"/>
      <c r="HH369" s="507"/>
      <c r="HI369" s="507"/>
      <c r="HJ369" s="507"/>
      <c r="HK369" s="507"/>
      <c r="HL369" s="507"/>
      <c r="HM369" s="507"/>
      <c r="HN369" s="507"/>
      <c r="HO369" s="507"/>
      <c r="HP369" s="507"/>
      <c r="HQ369" s="507"/>
      <c r="HR369" s="507"/>
      <c r="HS369" s="507"/>
      <c r="HT369" s="507"/>
      <c r="HU369" s="507"/>
      <c r="HV369" s="507"/>
      <c r="HW369" s="507"/>
      <c r="HX369" s="507"/>
      <c r="HY369" s="507"/>
      <c r="HZ369" s="507"/>
    </row>
    <row r="370" spans="1:234" s="206" customFormat="1" ht="13.5" hidden="1" customHeight="1" x14ac:dyDescent="0.25">
      <c r="A370" s="541" t="s">
        <v>5292</v>
      </c>
      <c r="B370" s="523" t="s">
        <v>5293</v>
      </c>
      <c r="C370" s="524" t="s">
        <v>5301</v>
      </c>
      <c r="D370" s="551" t="s">
        <v>1859</v>
      </c>
      <c r="E370" s="569" t="s">
        <v>3228</v>
      </c>
      <c r="F370" s="543">
        <v>41159</v>
      </c>
      <c r="G370" s="544">
        <v>41092</v>
      </c>
      <c r="H370" s="544">
        <v>41152</v>
      </c>
      <c r="I370" s="616">
        <v>43131</v>
      </c>
      <c r="J370" s="579">
        <v>10</v>
      </c>
      <c r="K370" s="553">
        <v>0</v>
      </c>
      <c r="L370" s="552">
        <v>0.06</v>
      </c>
      <c r="M370" s="560">
        <v>0.03</v>
      </c>
      <c r="N370" s="606" t="s">
        <v>3229</v>
      </c>
      <c r="O370" s="613">
        <v>0.27</v>
      </c>
      <c r="P370" s="575" t="s">
        <v>3229</v>
      </c>
      <c r="Q370" s="575">
        <v>0.03</v>
      </c>
      <c r="R370" s="575" t="s">
        <v>3229</v>
      </c>
      <c r="S370" s="570">
        <v>5</v>
      </c>
      <c r="T370" s="617">
        <v>41487</v>
      </c>
      <c r="U370" s="563">
        <v>41852</v>
      </c>
      <c r="V370" s="563">
        <v>42217</v>
      </c>
      <c r="W370" s="563">
        <v>42583</v>
      </c>
      <c r="X370" s="563">
        <v>43070</v>
      </c>
      <c r="Y370" s="598" t="s">
        <v>3229</v>
      </c>
      <c r="Z370" s="598" t="s">
        <v>3229</v>
      </c>
      <c r="AA370" s="598" t="s">
        <v>3229</v>
      </c>
      <c r="AB370" s="598" t="s">
        <v>3229</v>
      </c>
      <c r="AC370" s="598" t="s">
        <v>3229</v>
      </c>
      <c r="AD370" s="598" t="s">
        <v>3229</v>
      </c>
      <c r="AE370" s="598" t="s">
        <v>3229</v>
      </c>
      <c r="AF370" s="3764" t="s">
        <v>781</v>
      </c>
      <c r="AG370" s="3765"/>
      <c r="AH370" s="1301" t="s">
        <v>3229</v>
      </c>
      <c r="AI370" s="1301" t="s">
        <v>3229</v>
      </c>
      <c r="AJ370" s="1301" t="s">
        <v>3229</v>
      </c>
      <c r="AK370" s="530" t="s">
        <v>3229</v>
      </c>
      <c r="AL370" s="530" t="s">
        <v>3229</v>
      </c>
      <c r="AM370" s="659">
        <v>1</v>
      </c>
      <c r="AN370" s="638">
        <f>'klikací hodnoty'!E11237</f>
        <v>0.16764400000000021</v>
      </c>
      <c r="AO370" s="625">
        <v>11.68</v>
      </c>
      <c r="AP370" s="688">
        <f>'klikací hodnoty'!F11229</f>
        <v>1.1943427379216826E-2</v>
      </c>
      <c r="AQ370" s="606">
        <f>'klikací hodnoty'!E11229</f>
        <v>0.38896544574539998</v>
      </c>
      <c r="AR370" s="600">
        <v>0.1676</v>
      </c>
      <c r="AS370" s="548">
        <f t="shared" ref="AS370:AS396" si="90">POWER(1+AR370,1/((I370-F370)/365))-1</f>
        <v>2.9095190287712347E-2</v>
      </c>
      <c r="AT370" s="548">
        <f t="shared" ref="AT370:AT393" si="91">J370*(1+AR370)/AO370-1</f>
        <v>-3.4246575342467001E-4</v>
      </c>
      <c r="AU370" s="549" t="e">
        <f t="shared" ref="AU370:AU393" si="92">POWER(1+AT370,1/AG370)-1</f>
        <v>#DIV/0!</v>
      </c>
      <c r="AV370" s="558">
        <f t="shared" si="80"/>
        <v>0.03</v>
      </c>
      <c r="AW370" s="558">
        <f t="shared" si="74"/>
        <v>5.4860701500907272E-3</v>
      </c>
      <c r="AX370" s="589">
        <f t="shared" si="88"/>
        <v>-0.11815068493150682</v>
      </c>
      <c r="AY370" s="587" t="e">
        <f t="shared" si="89"/>
        <v>#DIV/0!</v>
      </c>
      <c r="AZ370" s="676">
        <f t="shared" si="73"/>
        <v>10.3</v>
      </c>
      <c r="BA370" s="581" t="s">
        <v>1685</v>
      </c>
      <c r="BB370" s="570" t="s">
        <v>2025</v>
      </c>
      <c r="BC370" s="581" t="s">
        <v>2895</v>
      </c>
      <c r="BD370" s="3691"/>
      <c r="BE370" s="3743"/>
      <c r="BF370" s="3743"/>
      <c r="BG370" s="3708"/>
      <c r="BH370" s="3762"/>
      <c r="BI370" s="3762"/>
      <c r="BJ370" s="39"/>
      <c r="BK370" s="39"/>
      <c r="BL370" s="39"/>
      <c r="BM370" s="39"/>
      <c r="BN370" s="39"/>
      <c r="BO370" s="39"/>
      <c r="BP370" s="39"/>
      <c r="BQ370" s="39"/>
      <c r="BR370" s="39"/>
      <c r="BS370" s="507"/>
      <c r="BT370" s="507"/>
      <c r="BU370" s="507"/>
      <c r="BV370" s="507"/>
      <c r="BW370" s="507"/>
      <c r="BX370" s="507"/>
      <c r="BY370" s="507"/>
      <c r="BZ370" s="507"/>
      <c r="CA370" s="507"/>
      <c r="CB370" s="507"/>
      <c r="CC370" s="507"/>
      <c r="CD370" s="507"/>
      <c r="CE370" s="507"/>
      <c r="CF370" s="507"/>
      <c r="CG370" s="507"/>
      <c r="CH370" s="507"/>
      <c r="CI370" s="507"/>
      <c r="CJ370" s="507"/>
      <c r="CK370" s="507"/>
      <c r="CL370" s="507"/>
      <c r="CM370" s="507"/>
      <c r="CN370" s="507"/>
      <c r="CO370" s="507"/>
      <c r="CP370" s="507"/>
      <c r="CQ370" s="507"/>
      <c r="CR370" s="507"/>
      <c r="CS370" s="507"/>
      <c r="CT370" s="507"/>
      <c r="CU370" s="507"/>
      <c r="CV370" s="507"/>
      <c r="CW370" s="507"/>
      <c r="CX370" s="507"/>
      <c r="CY370" s="507"/>
      <c r="CZ370" s="507"/>
      <c r="DA370" s="507"/>
      <c r="DB370" s="507"/>
      <c r="DC370" s="507"/>
      <c r="DD370" s="507"/>
      <c r="DE370" s="507"/>
      <c r="DF370" s="507"/>
      <c r="DG370" s="507"/>
      <c r="DH370" s="507"/>
      <c r="DI370" s="507"/>
      <c r="DJ370" s="507"/>
      <c r="DK370" s="507"/>
      <c r="DL370" s="507"/>
      <c r="DM370" s="507"/>
      <c r="DN370" s="507"/>
      <c r="DO370" s="507"/>
      <c r="DP370" s="507"/>
      <c r="DQ370" s="507"/>
      <c r="DR370" s="507"/>
      <c r="DS370" s="507"/>
      <c r="DT370" s="507"/>
      <c r="DU370" s="507"/>
      <c r="DV370" s="507"/>
      <c r="DW370" s="507"/>
      <c r="DX370" s="507"/>
      <c r="DY370" s="507"/>
      <c r="DZ370" s="507"/>
      <c r="EA370" s="507"/>
      <c r="EB370" s="507"/>
      <c r="EC370" s="507"/>
      <c r="ED370" s="507"/>
      <c r="EE370" s="507"/>
      <c r="EF370" s="507"/>
      <c r="EG370" s="507"/>
      <c r="EH370" s="507"/>
      <c r="EI370" s="507"/>
      <c r="EJ370" s="507"/>
      <c r="EK370" s="507"/>
      <c r="EL370" s="507"/>
      <c r="EM370" s="507"/>
      <c r="EN370" s="507"/>
      <c r="EO370" s="507"/>
      <c r="EP370" s="507"/>
      <c r="EQ370" s="507"/>
      <c r="ER370" s="507"/>
      <c r="ES370" s="507"/>
      <c r="ET370" s="507"/>
      <c r="EU370" s="507"/>
      <c r="EV370" s="507"/>
      <c r="EW370" s="507"/>
      <c r="EX370" s="507"/>
      <c r="EY370" s="507"/>
      <c r="EZ370" s="507"/>
      <c r="FA370" s="507"/>
      <c r="FB370" s="507"/>
      <c r="FC370" s="507"/>
      <c r="FD370" s="507"/>
      <c r="FE370" s="507"/>
      <c r="FF370" s="507"/>
      <c r="FG370" s="507"/>
      <c r="FH370" s="507"/>
      <c r="FI370" s="507"/>
      <c r="FJ370" s="507"/>
      <c r="FK370" s="507"/>
      <c r="FL370" s="507"/>
      <c r="FM370" s="507"/>
      <c r="FN370" s="507"/>
      <c r="FO370" s="507"/>
      <c r="FP370" s="507"/>
      <c r="FQ370" s="507"/>
      <c r="FR370" s="507"/>
      <c r="FS370" s="507"/>
      <c r="FT370" s="507"/>
      <c r="FU370" s="507"/>
      <c r="FV370" s="507"/>
      <c r="FW370" s="507"/>
      <c r="FX370" s="507"/>
      <c r="FY370" s="507"/>
      <c r="FZ370" s="507"/>
      <c r="GA370" s="507"/>
      <c r="GB370" s="507"/>
      <c r="GC370" s="507"/>
      <c r="GD370" s="507"/>
      <c r="GE370" s="507"/>
      <c r="GF370" s="507"/>
      <c r="GG370" s="507"/>
      <c r="GH370" s="507"/>
      <c r="GI370" s="507"/>
      <c r="GJ370" s="507"/>
      <c r="GK370" s="507"/>
      <c r="GL370" s="507"/>
      <c r="GM370" s="507"/>
      <c r="GN370" s="507"/>
      <c r="GO370" s="507"/>
      <c r="GP370" s="507"/>
      <c r="GQ370" s="507"/>
      <c r="GR370" s="507"/>
      <c r="GS370" s="507"/>
      <c r="GT370" s="507"/>
      <c r="GU370" s="507"/>
      <c r="GV370" s="507"/>
      <c r="GW370" s="507"/>
      <c r="GX370" s="507"/>
      <c r="GY370" s="507"/>
      <c r="GZ370" s="507"/>
      <c r="HA370" s="507"/>
      <c r="HB370" s="507"/>
      <c r="HC370" s="507"/>
      <c r="HD370" s="507"/>
      <c r="HE370" s="507"/>
      <c r="HF370" s="507"/>
      <c r="HG370" s="507"/>
      <c r="HH370" s="507"/>
      <c r="HI370" s="507"/>
      <c r="HJ370" s="507"/>
      <c r="HK370" s="507"/>
      <c r="HL370" s="507"/>
      <c r="HM370" s="507"/>
      <c r="HN370" s="507"/>
      <c r="HO370" s="507"/>
      <c r="HP370" s="507"/>
      <c r="HQ370" s="507"/>
      <c r="HR370" s="507"/>
      <c r="HS370" s="507"/>
      <c r="HT370" s="507"/>
      <c r="HU370" s="507"/>
      <c r="HV370" s="507"/>
      <c r="HW370" s="507"/>
      <c r="HX370" s="507"/>
      <c r="HY370" s="507"/>
      <c r="HZ370" s="507"/>
    </row>
    <row r="371" spans="1:234" s="206" customFormat="1" ht="13.5" hidden="1" customHeight="1" x14ac:dyDescent="0.25">
      <c r="A371" s="541" t="s">
        <v>5295</v>
      </c>
      <c r="B371" s="523" t="s">
        <v>5294</v>
      </c>
      <c r="C371" s="524" t="s">
        <v>5300</v>
      </c>
      <c r="D371" s="551" t="s">
        <v>5299</v>
      </c>
      <c r="E371" s="569" t="s">
        <v>3228</v>
      </c>
      <c r="F371" s="543">
        <v>41171</v>
      </c>
      <c r="G371" s="544">
        <v>41122</v>
      </c>
      <c r="H371" s="544">
        <v>41159</v>
      </c>
      <c r="I371" s="616">
        <v>42460</v>
      </c>
      <c r="J371" s="579">
        <v>10</v>
      </c>
      <c r="K371" s="553" t="s">
        <v>3229</v>
      </c>
      <c r="L371" s="552" t="s">
        <v>3229</v>
      </c>
      <c r="M371" s="560">
        <v>0</v>
      </c>
      <c r="N371" s="606" t="s">
        <v>3229</v>
      </c>
      <c r="O371" s="613">
        <v>0.3</v>
      </c>
      <c r="P371" s="575" t="s">
        <v>3229</v>
      </c>
      <c r="Q371" s="575" t="s">
        <v>3229</v>
      </c>
      <c r="R371" s="575" t="s">
        <v>3229</v>
      </c>
      <c r="S371" s="570"/>
      <c r="T371" s="617" t="s">
        <v>3229</v>
      </c>
      <c r="U371" s="563" t="s">
        <v>3229</v>
      </c>
      <c r="V371" s="563" t="s">
        <v>3229</v>
      </c>
      <c r="W371" s="563" t="s">
        <v>3229</v>
      </c>
      <c r="X371" s="563" t="s">
        <v>3229</v>
      </c>
      <c r="Y371" s="598" t="s">
        <v>3229</v>
      </c>
      <c r="Z371" s="598" t="s">
        <v>3229</v>
      </c>
      <c r="AA371" s="598" t="s">
        <v>3229</v>
      </c>
      <c r="AB371" s="598" t="s">
        <v>3229</v>
      </c>
      <c r="AC371" s="598" t="s">
        <v>3229</v>
      </c>
      <c r="AD371" s="598" t="s">
        <v>3229</v>
      </c>
      <c r="AE371" s="598" t="s">
        <v>3229</v>
      </c>
      <c r="AF371" s="3764" t="s">
        <v>781</v>
      </c>
      <c r="AG371" s="3765"/>
      <c r="AH371" s="1301" t="s">
        <v>3229</v>
      </c>
      <c r="AI371" s="1301" t="s">
        <v>3229</v>
      </c>
      <c r="AJ371" s="1301" t="s">
        <v>3229</v>
      </c>
      <c r="AK371" s="530" t="s">
        <v>3229</v>
      </c>
      <c r="AL371" s="530" t="s">
        <v>3229</v>
      </c>
      <c r="AM371" s="659">
        <v>1</v>
      </c>
      <c r="AN371" s="638">
        <v>0.1305</v>
      </c>
      <c r="AO371" s="625">
        <v>11.32</v>
      </c>
      <c r="AP371" s="688">
        <v>0.1305</v>
      </c>
      <c r="AQ371" s="606">
        <v>0.1305</v>
      </c>
      <c r="AR371" s="600">
        <v>0.3</v>
      </c>
      <c r="AS371" s="548">
        <v>7.7121754073125492E-2</v>
      </c>
      <c r="AT371" s="548">
        <v>0.14840989399293281</v>
      </c>
      <c r="AU371" s="549" t="e">
        <v>#DIV/0!</v>
      </c>
      <c r="AV371" s="558">
        <v>0</v>
      </c>
      <c r="AW371" s="558">
        <v>0</v>
      </c>
      <c r="AX371" s="589">
        <v>-0.11660777385159016</v>
      </c>
      <c r="AY371" s="587" t="e">
        <v>#DIV/0!</v>
      </c>
      <c r="AZ371" s="676">
        <v>10</v>
      </c>
      <c r="BA371" s="581"/>
      <c r="BB371" s="570"/>
      <c r="BC371" s="581"/>
      <c r="BD371" s="3691"/>
      <c r="BE371" s="3743"/>
      <c r="BF371" s="3743"/>
      <c r="BG371" s="3708"/>
      <c r="BH371" s="3762"/>
      <c r="BI371" s="3762"/>
      <c r="BJ371" s="39"/>
      <c r="BK371" s="39"/>
      <c r="BL371" s="39"/>
      <c r="BM371" s="39"/>
      <c r="BN371" s="39"/>
      <c r="BO371" s="39"/>
      <c r="BP371" s="39"/>
      <c r="BQ371" s="39"/>
      <c r="BR371" s="39"/>
      <c r="BS371" s="507"/>
      <c r="BT371" s="507"/>
      <c r="BU371" s="507"/>
      <c r="BV371" s="507"/>
      <c r="BW371" s="507"/>
      <c r="BX371" s="507"/>
      <c r="BY371" s="507"/>
      <c r="BZ371" s="507"/>
      <c r="CA371" s="507"/>
      <c r="CB371" s="507"/>
      <c r="CC371" s="507"/>
      <c r="CD371" s="507"/>
      <c r="CE371" s="507"/>
      <c r="CF371" s="507"/>
      <c r="CG371" s="507"/>
      <c r="CH371" s="507"/>
      <c r="CI371" s="507"/>
      <c r="CJ371" s="507"/>
      <c r="CK371" s="507"/>
      <c r="CL371" s="507"/>
      <c r="CM371" s="507"/>
      <c r="CN371" s="507"/>
      <c r="CO371" s="507"/>
      <c r="CP371" s="507"/>
      <c r="CQ371" s="507"/>
      <c r="CR371" s="507"/>
      <c r="CS371" s="507"/>
      <c r="CT371" s="507"/>
      <c r="CU371" s="507"/>
      <c r="CV371" s="507"/>
      <c r="CW371" s="507"/>
      <c r="CX371" s="507"/>
      <c r="CY371" s="507"/>
      <c r="CZ371" s="507"/>
      <c r="DA371" s="507"/>
      <c r="DB371" s="507"/>
      <c r="DC371" s="507"/>
      <c r="DD371" s="507"/>
      <c r="DE371" s="507"/>
      <c r="DF371" s="507"/>
      <c r="DG371" s="507"/>
      <c r="DH371" s="507"/>
      <c r="DI371" s="507"/>
      <c r="DJ371" s="507"/>
      <c r="DK371" s="507"/>
      <c r="DL371" s="507"/>
      <c r="DM371" s="507"/>
      <c r="DN371" s="507"/>
      <c r="DO371" s="507"/>
      <c r="DP371" s="507"/>
      <c r="DQ371" s="507"/>
      <c r="DR371" s="507"/>
      <c r="DS371" s="507"/>
      <c r="DT371" s="507"/>
      <c r="DU371" s="507"/>
      <c r="DV371" s="507"/>
      <c r="DW371" s="507"/>
      <c r="DX371" s="507"/>
      <c r="DY371" s="507"/>
      <c r="DZ371" s="507"/>
      <c r="EA371" s="507"/>
      <c r="EB371" s="507"/>
      <c r="EC371" s="507"/>
      <c r="ED371" s="507"/>
      <c r="EE371" s="507"/>
      <c r="EF371" s="507"/>
      <c r="EG371" s="507"/>
      <c r="EH371" s="507"/>
      <c r="EI371" s="507"/>
      <c r="EJ371" s="507"/>
      <c r="EK371" s="507"/>
      <c r="EL371" s="507"/>
      <c r="EM371" s="507"/>
      <c r="EN371" s="507"/>
      <c r="EO371" s="507"/>
      <c r="EP371" s="507"/>
      <c r="EQ371" s="507"/>
      <c r="ER371" s="507"/>
      <c r="ES371" s="507"/>
      <c r="ET371" s="507"/>
      <c r="EU371" s="507"/>
      <c r="EV371" s="507"/>
      <c r="EW371" s="507"/>
      <c r="EX371" s="507"/>
      <c r="EY371" s="507"/>
      <c r="EZ371" s="507"/>
      <c r="FA371" s="507"/>
      <c r="FB371" s="507"/>
      <c r="FC371" s="507"/>
      <c r="FD371" s="507"/>
      <c r="FE371" s="507"/>
      <c r="FF371" s="507"/>
      <c r="FG371" s="507"/>
      <c r="FH371" s="507"/>
      <c r="FI371" s="507"/>
      <c r="FJ371" s="507"/>
      <c r="FK371" s="507"/>
      <c r="FL371" s="507"/>
      <c r="FM371" s="507"/>
      <c r="FN371" s="507"/>
      <c r="FO371" s="507"/>
      <c r="FP371" s="507"/>
      <c r="FQ371" s="507"/>
      <c r="FR371" s="507"/>
      <c r="FS371" s="507"/>
      <c r="FT371" s="507"/>
      <c r="FU371" s="507"/>
      <c r="FV371" s="507"/>
      <c r="FW371" s="507"/>
      <c r="FX371" s="507"/>
      <c r="FY371" s="507"/>
      <c r="FZ371" s="507"/>
      <c r="GA371" s="507"/>
      <c r="GB371" s="507"/>
      <c r="GC371" s="507"/>
      <c r="GD371" s="507"/>
      <c r="GE371" s="507"/>
      <c r="GF371" s="507"/>
      <c r="GG371" s="507"/>
      <c r="GH371" s="507"/>
      <c r="GI371" s="507"/>
      <c r="GJ371" s="507"/>
      <c r="GK371" s="507"/>
      <c r="GL371" s="507"/>
      <c r="GM371" s="507"/>
      <c r="GN371" s="507"/>
      <c r="GO371" s="507"/>
      <c r="GP371" s="507"/>
      <c r="GQ371" s="507"/>
      <c r="GR371" s="507"/>
      <c r="GS371" s="507"/>
      <c r="GT371" s="507"/>
      <c r="GU371" s="507"/>
      <c r="GV371" s="507"/>
      <c r="GW371" s="507"/>
      <c r="GX371" s="507"/>
      <c r="GY371" s="507"/>
      <c r="GZ371" s="507"/>
      <c r="HA371" s="507"/>
      <c r="HB371" s="507"/>
      <c r="HC371" s="507"/>
      <c r="HD371" s="507"/>
      <c r="HE371" s="507"/>
      <c r="HF371" s="507"/>
      <c r="HG371" s="507"/>
      <c r="HH371" s="507"/>
      <c r="HI371" s="507"/>
      <c r="HJ371" s="507"/>
      <c r="HK371" s="507"/>
      <c r="HL371" s="507"/>
      <c r="HM371" s="507"/>
      <c r="HN371" s="507"/>
      <c r="HO371" s="507"/>
      <c r="HP371" s="507"/>
      <c r="HQ371" s="507"/>
      <c r="HR371" s="507"/>
      <c r="HS371" s="507"/>
      <c r="HT371" s="507"/>
      <c r="HU371" s="507"/>
      <c r="HV371" s="507"/>
      <c r="HW371" s="507"/>
      <c r="HX371" s="507"/>
      <c r="HY371" s="507"/>
      <c r="HZ371" s="507"/>
    </row>
    <row r="372" spans="1:234" s="206" customFormat="1" ht="13.5" hidden="1" customHeight="1" x14ac:dyDescent="0.25">
      <c r="A372" s="541" t="s">
        <v>5346</v>
      </c>
      <c r="B372" s="523" t="s">
        <v>5345</v>
      </c>
      <c r="C372" s="524" t="s">
        <v>5347</v>
      </c>
      <c r="D372" s="551" t="s">
        <v>4384</v>
      </c>
      <c r="E372" s="569" t="s">
        <v>3228</v>
      </c>
      <c r="F372" s="543">
        <v>41173</v>
      </c>
      <c r="G372" s="544">
        <v>41151</v>
      </c>
      <c r="H372" s="544">
        <v>41166</v>
      </c>
      <c r="I372" s="616">
        <v>41547</v>
      </c>
      <c r="J372" s="579">
        <v>10</v>
      </c>
      <c r="K372" s="553" t="s">
        <v>3229</v>
      </c>
      <c r="L372" s="552" t="s">
        <v>5361</v>
      </c>
      <c r="M372" s="560">
        <v>-1</v>
      </c>
      <c r="N372" s="606" t="s">
        <v>3229</v>
      </c>
      <c r="O372" s="613">
        <v>0.53749999999999998</v>
      </c>
      <c r="P372" s="575" t="s">
        <v>3229</v>
      </c>
      <c r="Q372" s="575" t="s">
        <v>3229</v>
      </c>
      <c r="R372" s="575" t="s">
        <v>3229</v>
      </c>
      <c r="S372" s="570">
        <v>5</v>
      </c>
      <c r="T372" s="617">
        <v>41518</v>
      </c>
      <c r="U372" s="563">
        <v>41883</v>
      </c>
      <c r="V372" s="563">
        <v>42248</v>
      </c>
      <c r="W372" s="563">
        <v>42614</v>
      </c>
      <c r="X372" s="563">
        <v>42979</v>
      </c>
      <c r="Y372" s="598" t="s">
        <v>3229</v>
      </c>
      <c r="Z372" s="598" t="s">
        <v>3229</v>
      </c>
      <c r="AA372" s="598" t="s">
        <v>3229</v>
      </c>
      <c r="AB372" s="598" t="s">
        <v>3229</v>
      </c>
      <c r="AC372" s="598" t="s">
        <v>3229</v>
      </c>
      <c r="AD372" s="598" t="s">
        <v>3229</v>
      </c>
      <c r="AE372" s="598" t="s">
        <v>3229</v>
      </c>
      <c r="AF372" s="3764" t="s">
        <v>781</v>
      </c>
      <c r="AG372" s="3765"/>
      <c r="AH372" s="1301">
        <v>1</v>
      </c>
      <c r="AI372" s="1301" t="s">
        <v>3229</v>
      </c>
      <c r="AJ372" s="1301" t="s">
        <v>3229</v>
      </c>
      <c r="AK372" s="530" t="s">
        <v>3229</v>
      </c>
      <c r="AL372" s="530" t="s">
        <v>3229</v>
      </c>
      <c r="AM372" s="659" t="s">
        <v>3229</v>
      </c>
      <c r="AN372" s="638">
        <f>IF('klikací hodnoty'!F11098&lt;-50%,'klikací hodnoty'!F11098,IF('klikací hodnoty'!F11098&lt;0%,0%,'klikací hodnoty'!F11098))</f>
        <v>0.1075</v>
      </c>
      <c r="AO372" s="625">
        <v>10.42</v>
      </c>
      <c r="AP372" s="688">
        <f>AQ372</f>
        <v>9.0912596208853724E-2</v>
      </c>
      <c r="AQ372" s="606">
        <f>'klikací hodnoty'!H11097</f>
        <v>9.0912596208853724E-2</v>
      </c>
      <c r="AR372" s="600">
        <f t="shared" si="84"/>
        <v>0.53749999999999998</v>
      </c>
      <c r="AS372" s="548">
        <f t="shared" si="90"/>
        <v>0.52166682844867296</v>
      </c>
      <c r="AT372" s="548">
        <f t="shared" si="91"/>
        <v>0.47552783109404984</v>
      </c>
      <c r="AU372" s="549" t="e">
        <f t="shared" si="92"/>
        <v>#DIV/0!</v>
      </c>
      <c r="AV372" s="558">
        <f t="shared" si="80"/>
        <v>-1</v>
      </c>
      <c r="AW372" s="558">
        <f t="shared" si="74"/>
        <v>-1</v>
      </c>
      <c r="AX372" s="589">
        <f t="shared" si="88"/>
        <v>-1</v>
      </c>
      <c r="AY372" s="587" t="e">
        <f t="shared" si="89"/>
        <v>#DIV/0!</v>
      </c>
      <c r="AZ372" s="676">
        <f t="shared" si="73"/>
        <v>0</v>
      </c>
      <c r="BA372" s="581" t="s">
        <v>3479</v>
      </c>
      <c r="BB372" s="570"/>
      <c r="BC372" s="581"/>
      <c r="BD372" s="3691"/>
      <c r="BE372" s="3743"/>
      <c r="BF372" s="3743"/>
      <c r="BG372" s="3708"/>
      <c r="BH372" s="3762"/>
      <c r="BI372" s="3762"/>
      <c r="BJ372" s="39"/>
      <c r="BK372" s="39"/>
      <c r="BL372" s="39"/>
      <c r="BM372" s="39"/>
      <c r="BN372" s="39"/>
      <c r="BO372" s="39"/>
      <c r="BP372" s="39"/>
      <c r="BQ372" s="39"/>
      <c r="BR372" s="39"/>
      <c r="BS372" s="507"/>
      <c r="BT372" s="507"/>
      <c r="BU372" s="507"/>
      <c r="BV372" s="507"/>
      <c r="BW372" s="507"/>
      <c r="BX372" s="507"/>
      <c r="BY372" s="507"/>
      <c r="BZ372" s="507"/>
      <c r="CA372" s="507"/>
      <c r="CB372" s="507"/>
      <c r="CC372" s="507"/>
      <c r="CD372" s="507"/>
      <c r="CE372" s="507"/>
      <c r="CF372" s="507"/>
      <c r="CG372" s="507"/>
      <c r="CH372" s="507"/>
      <c r="CI372" s="507"/>
      <c r="CJ372" s="507"/>
      <c r="CK372" s="507"/>
      <c r="CL372" s="507"/>
      <c r="CM372" s="507"/>
      <c r="CN372" s="507"/>
      <c r="CO372" s="507"/>
      <c r="CP372" s="507"/>
      <c r="CQ372" s="507"/>
      <c r="CR372" s="507"/>
      <c r="CS372" s="507"/>
      <c r="CT372" s="507"/>
      <c r="CU372" s="507"/>
      <c r="CV372" s="507"/>
      <c r="CW372" s="507"/>
      <c r="CX372" s="507"/>
      <c r="CY372" s="507"/>
      <c r="CZ372" s="507"/>
      <c r="DA372" s="507"/>
      <c r="DB372" s="507"/>
      <c r="DC372" s="507"/>
      <c r="DD372" s="507"/>
      <c r="DE372" s="507"/>
      <c r="DF372" s="507"/>
      <c r="DG372" s="507"/>
      <c r="DH372" s="507"/>
      <c r="DI372" s="507"/>
      <c r="DJ372" s="507"/>
      <c r="DK372" s="507"/>
      <c r="DL372" s="507"/>
      <c r="DM372" s="507"/>
      <c r="DN372" s="507"/>
      <c r="DO372" s="507"/>
      <c r="DP372" s="507"/>
      <c r="DQ372" s="507"/>
      <c r="DR372" s="507"/>
      <c r="DS372" s="507"/>
      <c r="DT372" s="507"/>
      <c r="DU372" s="507"/>
      <c r="DV372" s="507"/>
      <c r="DW372" s="507"/>
      <c r="DX372" s="507"/>
      <c r="DY372" s="507"/>
      <c r="DZ372" s="507"/>
      <c r="EA372" s="507"/>
      <c r="EB372" s="507"/>
      <c r="EC372" s="507"/>
      <c r="ED372" s="507"/>
      <c r="EE372" s="507"/>
      <c r="EF372" s="507"/>
      <c r="EG372" s="507"/>
      <c r="EH372" s="507"/>
      <c r="EI372" s="507"/>
      <c r="EJ372" s="507"/>
      <c r="EK372" s="507"/>
      <c r="EL372" s="507"/>
      <c r="EM372" s="507"/>
      <c r="EN372" s="507"/>
      <c r="EO372" s="507"/>
      <c r="EP372" s="507"/>
      <c r="EQ372" s="507"/>
      <c r="ER372" s="507"/>
      <c r="ES372" s="507"/>
      <c r="ET372" s="507"/>
      <c r="EU372" s="507"/>
      <c r="EV372" s="507"/>
      <c r="EW372" s="507"/>
      <c r="EX372" s="507"/>
      <c r="EY372" s="507"/>
      <c r="EZ372" s="507"/>
      <c r="FA372" s="507"/>
      <c r="FB372" s="507"/>
      <c r="FC372" s="507"/>
      <c r="FD372" s="507"/>
      <c r="FE372" s="507"/>
      <c r="FF372" s="507"/>
      <c r="FG372" s="507"/>
      <c r="FH372" s="507"/>
      <c r="FI372" s="507"/>
      <c r="FJ372" s="507"/>
      <c r="FK372" s="507"/>
      <c r="FL372" s="507"/>
      <c r="FM372" s="507"/>
      <c r="FN372" s="507"/>
      <c r="FO372" s="507"/>
      <c r="FP372" s="507"/>
      <c r="FQ372" s="507"/>
      <c r="FR372" s="507"/>
      <c r="FS372" s="507"/>
      <c r="FT372" s="507"/>
      <c r="FU372" s="507"/>
      <c r="FV372" s="507"/>
      <c r="FW372" s="507"/>
      <c r="FX372" s="507"/>
      <c r="FY372" s="507"/>
      <c r="FZ372" s="507"/>
      <c r="GA372" s="507"/>
      <c r="GB372" s="507"/>
      <c r="GC372" s="507"/>
      <c r="GD372" s="507"/>
      <c r="GE372" s="507"/>
      <c r="GF372" s="507"/>
      <c r="GG372" s="507"/>
      <c r="GH372" s="507"/>
      <c r="GI372" s="507"/>
      <c r="GJ372" s="507"/>
      <c r="GK372" s="507"/>
      <c r="GL372" s="507"/>
      <c r="GM372" s="507"/>
      <c r="GN372" s="507"/>
      <c r="GO372" s="507"/>
      <c r="GP372" s="507"/>
      <c r="GQ372" s="507"/>
      <c r="GR372" s="507"/>
      <c r="GS372" s="507"/>
      <c r="GT372" s="507"/>
      <c r="GU372" s="507"/>
      <c r="GV372" s="507"/>
      <c r="GW372" s="507"/>
      <c r="GX372" s="507"/>
      <c r="GY372" s="507"/>
      <c r="GZ372" s="507"/>
      <c r="HA372" s="507"/>
      <c r="HB372" s="507"/>
      <c r="HC372" s="507"/>
      <c r="HD372" s="507"/>
      <c r="HE372" s="507"/>
      <c r="HF372" s="507"/>
      <c r="HG372" s="507"/>
      <c r="HH372" s="507"/>
      <c r="HI372" s="507"/>
      <c r="HJ372" s="507"/>
      <c r="HK372" s="507"/>
      <c r="HL372" s="507"/>
      <c r="HM372" s="507"/>
      <c r="HN372" s="507"/>
      <c r="HO372" s="507"/>
      <c r="HP372" s="507"/>
      <c r="HQ372" s="507"/>
      <c r="HR372" s="507"/>
      <c r="HS372" s="507"/>
      <c r="HT372" s="507"/>
      <c r="HU372" s="507"/>
      <c r="HV372" s="507"/>
      <c r="HW372" s="507"/>
      <c r="HX372" s="507"/>
      <c r="HY372" s="507"/>
      <c r="HZ372" s="507"/>
    </row>
    <row r="373" spans="1:234" s="206" customFormat="1" ht="13.5" hidden="1" customHeight="1" x14ac:dyDescent="0.25">
      <c r="A373" s="541" t="s">
        <v>5348</v>
      </c>
      <c r="B373" s="523" t="s">
        <v>5349</v>
      </c>
      <c r="C373" s="524" t="s">
        <v>5350</v>
      </c>
      <c r="D373" s="551" t="s">
        <v>5351</v>
      </c>
      <c r="E373" s="569" t="s">
        <v>3228</v>
      </c>
      <c r="F373" s="543">
        <v>41192</v>
      </c>
      <c r="G373" s="544">
        <v>41143</v>
      </c>
      <c r="H373" s="544">
        <v>41179</v>
      </c>
      <c r="I373" s="616">
        <v>43069</v>
      </c>
      <c r="J373" s="579">
        <v>10</v>
      </c>
      <c r="K373" s="553">
        <v>0</v>
      </c>
      <c r="L373" s="552">
        <v>0.04</v>
      </c>
      <c r="M373" s="560">
        <v>0</v>
      </c>
      <c r="N373" s="606" t="s">
        <v>3229</v>
      </c>
      <c r="O373" s="613">
        <v>0.2</v>
      </c>
      <c r="P373" s="575" t="s">
        <v>3229</v>
      </c>
      <c r="Q373" s="575" t="s">
        <v>3229</v>
      </c>
      <c r="R373" s="575" t="s">
        <v>3229</v>
      </c>
      <c r="S373" s="570">
        <v>5</v>
      </c>
      <c r="T373" s="617">
        <v>41518</v>
      </c>
      <c r="U373" s="563">
        <v>41883</v>
      </c>
      <c r="V373" s="563">
        <v>42248</v>
      </c>
      <c r="W373" s="563">
        <v>42614</v>
      </c>
      <c r="X373" s="563">
        <v>42979</v>
      </c>
      <c r="Y373" s="598" t="s">
        <v>3229</v>
      </c>
      <c r="Z373" s="598" t="s">
        <v>3229</v>
      </c>
      <c r="AA373" s="598" t="s">
        <v>3229</v>
      </c>
      <c r="AB373" s="598" t="s">
        <v>3229</v>
      </c>
      <c r="AC373" s="598" t="s">
        <v>3229</v>
      </c>
      <c r="AD373" s="598" t="s">
        <v>3229</v>
      </c>
      <c r="AE373" s="598" t="s">
        <v>3229</v>
      </c>
      <c r="AF373" s="3764" t="s">
        <v>781</v>
      </c>
      <c r="AG373" s="3765"/>
      <c r="AH373" s="1301" t="s">
        <v>3229</v>
      </c>
      <c r="AI373" s="1301" t="s">
        <v>3229</v>
      </c>
      <c r="AJ373" s="1301" t="s">
        <v>3229</v>
      </c>
      <c r="AK373" s="530" t="s">
        <v>3229</v>
      </c>
      <c r="AL373" s="530" t="s">
        <v>3229</v>
      </c>
      <c r="AM373" s="659">
        <v>1</v>
      </c>
      <c r="AN373" s="638">
        <f>'klikací hodnoty'!F11194</f>
        <v>0</v>
      </c>
      <c r="AO373" s="625">
        <v>10</v>
      </c>
      <c r="AP373" s="688">
        <f>AQ373</f>
        <v>-2.5222608635458332E-2</v>
      </c>
      <c r="AQ373" s="606">
        <f>+'klikací hodnoty'!G11188</f>
        <v>-2.5222608635458332E-2</v>
      </c>
      <c r="AR373" s="600">
        <f t="shared" si="84"/>
        <v>0.2</v>
      </c>
      <c r="AS373" s="548">
        <f t="shared" si="90"/>
        <v>3.6090102937750723E-2</v>
      </c>
      <c r="AT373" s="548">
        <f t="shared" si="91"/>
        <v>0.19999999999999996</v>
      </c>
      <c r="AU373" s="549" t="e">
        <f t="shared" si="92"/>
        <v>#DIV/0!</v>
      </c>
      <c r="AV373" s="558">
        <f t="shared" si="80"/>
        <v>0</v>
      </c>
      <c r="AW373" s="558">
        <f t="shared" si="74"/>
        <v>0</v>
      </c>
      <c r="AX373" s="589">
        <f t="shared" si="88"/>
        <v>0</v>
      </c>
      <c r="AY373" s="587" t="e">
        <f t="shared" si="89"/>
        <v>#DIV/0!</v>
      </c>
      <c r="AZ373" s="676">
        <f t="shared" si="73"/>
        <v>10</v>
      </c>
      <c r="BA373" s="581"/>
      <c r="BB373" s="570"/>
      <c r="BC373" s="581"/>
      <c r="BD373" s="3691"/>
      <c r="BE373" s="3743"/>
      <c r="BF373" s="3743"/>
      <c r="BG373" s="3708"/>
      <c r="BH373" s="3762"/>
      <c r="BI373" s="3762"/>
      <c r="BJ373" s="39"/>
      <c r="BK373" s="39"/>
      <c r="BL373" s="39"/>
      <c r="BM373" s="39"/>
      <c r="BN373" s="39"/>
      <c r="BO373" s="39"/>
      <c r="BP373" s="39"/>
      <c r="BQ373" s="39"/>
      <c r="BR373" s="39"/>
      <c r="BS373" s="507"/>
      <c r="BT373" s="507"/>
      <c r="BU373" s="507"/>
      <c r="BV373" s="507"/>
      <c r="BW373" s="507"/>
      <c r="BX373" s="507"/>
      <c r="BY373" s="507"/>
      <c r="BZ373" s="507"/>
      <c r="CA373" s="507"/>
      <c r="CB373" s="507"/>
      <c r="CC373" s="507"/>
      <c r="CD373" s="507"/>
      <c r="CE373" s="507"/>
      <c r="CF373" s="507"/>
      <c r="CG373" s="507"/>
      <c r="CH373" s="507"/>
      <c r="CI373" s="507"/>
      <c r="CJ373" s="507"/>
      <c r="CK373" s="507"/>
      <c r="CL373" s="507"/>
      <c r="CM373" s="507"/>
      <c r="CN373" s="507"/>
      <c r="CO373" s="507"/>
      <c r="CP373" s="507"/>
      <c r="CQ373" s="507"/>
      <c r="CR373" s="507"/>
      <c r="CS373" s="507"/>
      <c r="CT373" s="507"/>
      <c r="CU373" s="507"/>
      <c r="CV373" s="507"/>
      <c r="CW373" s="507"/>
      <c r="CX373" s="507"/>
      <c r="CY373" s="507"/>
      <c r="CZ373" s="507"/>
      <c r="DA373" s="507"/>
      <c r="DB373" s="507"/>
      <c r="DC373" s="507"/>
      <c r="DD373" s="507"/>
      <c r="DE373" s="507"/>
      <c r="DF373" s="507"/>
      <c r="DG373" s="507"/>
      <c r="DH373" s="507"/>
      <c r="DI373" s="507"/>
      <c r="DJ373" s="507"/>
      <c r="DK373" s="507"/>
      <c r="DL373" s="507"/>
      <c r="DM373" s="507"/>
      <c r="DN373" s="507"/>
      <c r="DO373" s="507"/>
      <c r="DP373" s="507"/>
      <c r="DQ373" s="507"/>
      <c r="DR373" s="507"/>
      <c r="DS373" s="507"/>
      <c r="DT373" s="507"/>
      <c r="DU373" s="507"/>
      <c r="DV373" s="507"/>
      <c r="DW373" s="507"/>
      <c r="DX373" s="507"/>
      <c r="DY373" s="507"/>
      <c r="DZ373" s="507"/>
      <c r="EA373" s="507"/>
      <c r="EB373" s="507"/>
      <c r="EC373" s="507"/>
      <c r="ED373" s="507"/>
      <c r="EE373" s="507"/>
      <c r="EF373" s="507"/>
      <c r="EG373" s="507"/>
      <c r="EH373" s="507"/>
      <c r="EI373" s="507"/>
      <c r="EJ373" s="507"/>
      <c r="EK373" s="507"/>
      <c r="EL373" s="507"/>
      <c r="EM373" s="507"/>
      <c r="EN373" s="507"/>
      <c r="EO373" s="507"/>
      <c r="EP373" s="507"/>
      <c r="EQ373" s="507"/>
      <c r="ER373" s="507"/>
      <c r="ES373" s="507"/>
      <c r="ET373" s="507"/>
      <c r="EU373" s="507"/>
      <c r="EV373" s="507"/>
      <c r="EW373" s="507"/>
      <c r="EX373" s="507"/>
      <c r="EY373" s="507"/>
      <c r="EZ373" s="507"/>
      <c r="FA373" s="507"/>
      <c r="FB373" s="507"/>
      <c r="FC373" s="507"/>
      <c r="FD373" s="507"/>
      <c r="FE373" s="507"/>
      <c r="FF373" s="507"/>
      <c r="FG373" s="507"/>
      <c r="FH373" s="507"/>
      <c r="FI373" s="507"/>
      <c r="FJ373" s="507"/>
      <c r="FK373" s="507"/>
      <c r="FL373" s="507"/>
      <c r="FM373" s="507"/>
      <c r="FN373" s="507"/>
      <c r="FO373" s="507"/>
      <c r="FP373" s="507"/>
      <c r="FQ373" s="507"/>
      <c r="FR373" s="507"/>
      <c r="FS373" s="507"/>
      <c r="FT373" s="507"/>
      <c r="FU373" s="507"/>
      <c r="FV373" s="507"/>
      <c r="FW373" s="507"/>
      <c r="FX373" s="507"/>
      <c r="FY373" s="507"/>
      <c r="FZ373" s="507"/>
      <c r="GA373" s="507"/>
      <c r="GB373" s="507"/>
      <c r="GC373" s="507"/>
      <c r="GD373" s="507"/>
      <c r="GE373" s="507"/>
      <c r="GF373" s="507"/>
      <c r="GG373" s="507"/>
      <c r="GH373" s="507"/>
      <c r="GI373" s="507"/>
      <c r="GJ373" s="507"/>
      <c r="GK373" s="507"/>
      <c r="GL373" s="507"/>
      <c r="GM373" s="507"/>
      <c r="GN373" s="507"/>
      <c r="GO373" s="507"/>
      <c r="GP373" s="507"/>
      <c r="GQ373" s="507"/>
      <c r="GR373" s="507"/>
      <c r="GS373" s="507"/>
      <c r="GT373" s="507"/>
      <c r="GU373" s="507"/>
      <c r="GV373" s="507"/>
      <c r="GW373" s="507"/>
      <c r="GX373" s="507"/>
      <c r="GY373" s="507"/>
      <c r="GZ373" s="507"/>
      <c r="HA373" s="507"/>
      <c r="HB373" s="507"/>
      <c r="HC373" s="507"/>
      <c r="HD373" s="507"/>
      <c r="HE373" s="507"/>
      <c r="HF373" s="507"/>
      <c r="HG373" s="507"/>
      <c r="HH373" s="507"/>
      <c r="HI373" s="507"/>
      <c r="HJ373" s="507"/>
      <c r="HK373" s="507"/>
      <c r="HL373" s="507"/>
      <c r="HM373" s="507"/>
      <c r="HN373" s="507"/>
      <c r="HO373" s="507"/>
      <c r="HP373" s="507"/>
      <c r="HQ373" s="507"/>
      <c r="HR373" s="507"/>
      <c r="HS373" s="507"/>
      <c r="HT373" s="507"/>
      <c r="HU373" s="507"/>
      <c r="HV373" s="507"/>
      <c r="HW373" s="507"/>
      <c r="HX373" s="507"/>
      <c r="HY373" s="507"/>
      <c r="HZ373" s="507"/>
    </row>
    <row r="374" spans="1:234" s="206" customFormat="1" ht="13.5" hidden="1" customHeight="1" x14ac:dyDescent="0.25">
      <c r="A374" s="541" t="s">
        <v>5352</v>
      </c>
      <c r="B374" s="523" t="s">
        <v>5353</v>
      </c>
      <c r="C374" s="524" t="s">
        <v>5354</v>
      </c>
      <c r="D374" s="551" t="s">
        <v>1859</v>
      </c>
      <c r="E374" s="569" t="s">
        <v>3228</v>
      </c>
      <c r="F374" s="543">
        <v>41220</v>
      </c>
      <c r="G374" s="544">
        <v>41155</v>
      </c>
      <c r="H374" s="544">
        <v>41213</v>
      </c>
      <c r="I374" s="616">
        <v>43188</v>
      </c>
      <c r="J374" s="579">
        <v>10</v>
      </c>
      <c r="K374" s="553">
        <v>0</v>
      </c>
      <c r="L374" s="552">
        <v>0.05</v>
      </c>
      <c r="M374" s="560">
        <v>0.03</v>
      </c>
      <c r="N374" s="606" t="s">
        <v>3229</v>
      </c>
      <c r="O374" s="613">
        <v>0.23</v>
      </c>
      <c r="P374" s="575" t="s">
        <v>3229</v>
      </c>
      <c r="Q374" s="575">
        <v>0.03</v>
      </c>
      <c r="R374" s="575" t="s">
        <v>3229</v>
      </c>
      <c r="S374" s="570">
        <v>5</v>
      </c>
      <c r="T374" s="617">
        <v>41548</v>
      </c>
      <c r="U374" s="563">
        <v>41913</v>
      </c>
      <c r="V374" s="563">
        <v>42278</v>
      </c>
      <c r="W374" s="563">
        <v>42644</v>
      </c>
      <c r="X374" s="563">
        <v>43132</v>
      </c>
      <c r="Y374" s="598" t="s">
        <v>3229</v>
      </c>
      <c r="Z374" s="598" t="s">
        <v>3229</v>
      </c>
      <c r="AA374" s="598" t="s">
        <v>3229</v>
      </c>
      <c r="AB374" s="598" t="s">
        <v>3229</v>
      </c>
      <c r="AC374" s="598" t="s">
        <v>3229</v>
      </c>
      <c r="AD374" s="598" t="s">
        <v>3229</v>
      </c>
      <c r="AE374" s="598" t="s">
        <v>3229</v>
      </c>
      <c r="AF374" s="3764" t="s">
        <v>781</v>
      </c>
      <c r="AG374" s="3765"/>
      <c r="AH374" s="1301" t="s">
        <v>3229</v>
      </c>
      <c r="AI374" s="1301" t="s">
        <v>3229</v>
      </c>
      <c r="AJ374" s="1301" t="s">
        <v>3229</v>
      </c>
      <c r="AK374" s="530" t="s">
        <v>3229</v>
      </c>
      <c r="AL374" s="530" t="s">
        <v>3229</v>
      </c>
      <c r="AM374" s="659">
        <v>1</v>
      </c>
      <c r="AN374" s="638">
        <f>'klikací hodnoty'!E11323</f>
        <v>0.21882799999999977</v>
      </c>
      <c r="AO374" s="625">
        <v>12.19</v>
      </c>
      <c r="AP374" s="688">
        <f>'klikací hodnoty'!F11315</f>
        <v>6.3865619427954066E-3</v>
      </c>
      <c r="AQ374" s="606">
        <f>'klikací hodnoty'!E11315</f>
        <v>0.35768097563879575</v>
      </c>
      <c r="AR374" s="600">
        <f t="shared" si="84"/>
        <v>0.23</v>
      </c>
      <c r="AS374" s="548">
        <f t="shared" si="90"/>
        <v>3.9140985381403759E-2</v>
      </c>
      <c r="AT374" s="548">
        <f t="shared" si="91"/>
        <v>9.0237899917966491E-3</v>
      </c>
      <c r="AU374" s="549" t="e">
        <f t="shared" si="92"/>
        <v>#DIV/0!</v>
      </c>
      <c r="AV374" s="558">
        <f t="shared" si="80"/>
        <v>0.03</v>
      </c>
      <c r="AW374" s="558">
        <f t="shared" si="74"/>
        <v>5.4972512919109207E-3</v>
      </c>
      <c r="AX374" s="589">
        <f t="shared" si="88"/>
        <v>-0.15504511894995887</v>
      </c>
      <c r="AY374" s="587" t="e">
        <f t="shared" si="89"/>
        <v>#DIV/0!</v>
      </c>
      <c r="AZ374" s="676">
        <f t="shared" si="73"/>
        <v>10.3</v>
      </c>
      <c r="BA374" s="581" t="s">
        <v>1685</v>
      </c>
      <c r="BB374" s="570" t="s">
        <v>2025</v>
      </c>
      <c r="BC374" s="581" t="s">
        <v>2895</v>
      </c>
      <c r="BD374" s="3691"/>
      <c r="BE374" s="3743"/>
      <c r="BF374" s="3743"/>
      <c r="BG374" s="3708"/>
      <c r="BH374" s="3762"/>
      <c r="BI374" s="3762"/>
      <c r="BJ374" s="39"/>
      <c r="BK374" s="39"/>
      <c r="BL374" s="39"/>
      <c r="BM374" s="39"/>
      <c r="BN374" s="39"/>
      <c r="BO374" s="39"/>
      <c r="BP374" s="39"/>
      <c r="BQ374" s="39"/>
      <c r="BR374" s="39"/>
      <c r="BS374" s="507"/>
      <c r="BT374" s="507"/>
      <c r="BU374" s="507"/>
      <c r="BV374" s="507"/>
      <c r="BW374" s="507"/>
      <c r="BX374" s="507"/>
      <c r="BY374" s="507"/>
      <c r="BZ374" s="507"/>
      <c r="CA374" s="507"/>
      <c r="CB374" s="507"/>
      <c r="CC374" s="507"/>
      <c r="CD374" s="507"/>
      <c r="CE374" s="507"/>
      <c r="CF374" s="507"/>
      <c r="CG374" s="507"/>
      <c r="CH374" s="507"/>
      <c r="CI374" s="507"/>
      <c r="CJ374" s="507"/>
      <c r="CK374" s="507"/>
      <c r="CL374" s="507"/>
      <c r="CM374" s="507"/>
      <c r="CN374" s="507"/>
      <c r="CO374" s="507"/>
      <c r="CP374" s="507"/>
      <c r="CQ374" s="507"/>
      <c r="CR374" s="507"/>
      <c r="CS374" s="507"/>
      <c r="CT374" s="507"/>
      <c r="CU374" s="507"/>
      <c r="CV374" s="507"/>
      <c r="CW374" s="507"/>
      <c r="CX374" s="507"/>
      <c r="CY374" s="507"/>
      <c r="CZ374" s="507"/>
      <c r="DA374" s="507"/>
      <c r="DB374" s="507"/>
      <c r="DC374" s="507"/>
      <c r="DD374" s="507"/>
      <c r="DE374" s="507"/>
      <c r="DF374" s="507"/>
      <c r="DG374" s="507"/>
      <c r="DH374" s="507"/>
      <c r="DI374" s="507"/>
      <c r="DJ374" s="507"/>
      <c r="DK374" s="507"/>
      <c r="DL374" s="507"/>
      <c r="DM374" s="507"/>
      <c r="DN374" s="507"/>
      <c r="DO374" s="507"/>
      <c r="DP374" s="507"/>
      <c r="DQ374" s="507"/>
      <c r="DR374" s="507"/>
      <c r="DS374" s="507"/>
      <c r="DT374" s="507"/>
      <c r="DU374" s="507"/>
      <c r="DV374" s="507"/>
      <c r="DW374" s="507"/>
      <c r="DX374" s="507"/>
      <c r="DY374" s="507"/>
      <c r="DZ374" s="507"/>
      <c r="EA374" s="507"/>
      <c r="EB374" s="507"/>
      <c r="EC374" s="507"/>
      <c r="ED374" s="507"/>
      <c r="EE374" s="507"/>
      <c r="EF374" s="507"/>
      <c r="EG374" s="507"/>
      <c r="EH374" s="507"/>
      <c r="EI374" s="507"/>
      <c r="EJ374" s="507"/>
      <c r="EK374" s="507"/>
      <c r="EL374" s="507"/>
      <c r="EM374" s="507"/>
      <c r="EN374" s="507"/>
      <c r="EO374" s="507"/>
      <c r="EP374" s="507"/>
      <c r="EQ374" s="507"/>
      <c r="ER374" s="507"/>
      <c r="ES374" s="507"/>
      <c r="ET374" s="507"/>
      <c r="EU374" s="507"/>
      <c r="EV374" s="507"/>
      <c r="EW374" s="507"/>
      <c r="EX374" s="507"/>
      <c r="EY374" s="507"/>
      <c r="EZ374" s="507"/>
      <c r="FA374" s="507"/>
      <c r="FB374" s="507"/>
      <c r="FC374" s="507"/>
      <c r="FD374" s="507"/>
      <c r="FE374" s="507"/>
      <c r="FF374" s="507"/>
      <c r="FG374" s="507"/>
      <c r="FH374" s="507"/>
      <c r="FI374" s="507"/>
      <c r="FJ374" s="507"/>
      <c r="FK374" s="507"/>
      <c r="FL374" s="507"/>
      <c r="FM374" s="507"/>
      <c r="FN374" s="507"/>
      <c r="FO374" s="507"/>
      <c r="FP374" s="507"/>
      <c r="FQ374" s="507"/>
      <c r="FR374" s="507"/>
      <c r="FS374" s="507"/>
      <c r="FT374" s="507"/>
      <c r="FU374" s="507"/>
      <c r="FV374" s="507"/>
      <c r="FW374" s="507"/>
      <c r="FX374" s="507"/>
      <c r="FY374" s="507"/>
      <c r="FZ374" s="507"/>
      <c r="GA374" s="507"/>
      <c r="GB374" s="507"/>
      <c r="GC374" s="507"/>
      <c r="GD374" s="507"/>
      <c r="GE374" s="507"/>
      <c r="GF374" s="507"/>
      <c r="GG374" s="507"/>
      <c r="GH374" s="507"/>
      <c r="GI374" s="507"/>
      <c r="GJ374" s="507"/>
      <c r="GK374" s="507"/>
      <c r="GL374" s="507"/>
      <c r="GM374" s="507"/>
      <c r="GN374" s="507"/>
      <c r="GO374" s="507"/>
      <c r="GP374" s="507"/>
      <c r="GQ374" s="507"/>
      <c r="GR374" s="507"/>
      <c r="GS374" s="507"/>
      <c r="GT374" s="507"/>
      <c r="GU374" s="507"/>
      <c r="GV374" s="507"/>
      <c r="GW374" s="507"/>
      <c r="GX374" s="507"/>
      <c r="GY374" s="507"/>
      <c r="GZ374" s="507"/>
      <c r="HA374" s="507"/>
      <c r="HB374" s="507"/>
      <c r="HC374" s="507"/>
      <c r="HD374" s="507"/>
      <c r="HE374" s="507"/>
      <c r="HF374" s="507"/>
      <c r="HG374" s="507"/>
      <c r="HH374" s="507"/>
      <c r="HI374" s="507"/>
      <c r="HJ374" s="507"/>
      <c r="HK374" s="507"/>
      <c r="HL374" s="507"/>
      <c r="HM374" s="507"/>
      <c r="HN374" s="507"/>
      <c r="HO374" s="507"/>
      <c r="HP374" s="507"/>
      <c r="HQ374" s="507"/>
      <c r="HR374" s="507"/>
      <c r="HS374" s="507"/>
      <c r="HT374" s="507"/>
      <c r="HU374" s="507"/>
      <c r="HV374" s="507"/>
      <c r="HW374" s="507"/>
      <c r="HX374" s="507"/>
      <c r="HY374" s="507"/>
      <c r="HZ374" s="507"/>
    </row>
    <row r="375" spans="1:234" s="206" customFormat="1" ht="13.5" hidden="1" customHeight="1" x14ac:dyDescent="0.25">
      <c r="A375" s="541" t="s">
        <v>5356</v>
      </c>
      <c r="B375" s="523" t="s">
        <v>5355</v>
      </c>
      <c r="C375" s="524" t="s">
        <v>5357</v>
      </c>
      <c r="D375" s="551" t="s">
        <v>189</v>
      </c>
      <c r="E375" s="569" t="s">
        <v>3228</v>
      </c>
      <c r="F375" s="543">
        <v>41221</v>
      </c>
      <c r="G375" s="544">
        <v>41155</v>
      </c>
      <c r="H375" s="544">
        <v>41213</v>
      </c>
      <c r="I375" s="616">
        <v>43220</v>
      </c>
      <c r="J375" s="579">
        <v>10</v>
      </c>
      <c r="K375" s="553" t="s">
        <v>3229</v>
      </c>
      <c r="L375" s="552" t="s">
        <v>3229</v>
      </c>
      <c r="M375" s="560">
        <v>0</v>
      </c>
      <c r="N375" s="606">
        <v>0.65</v>
      </c>
      <c r="O375" s="613">
        <v>0.4</v>
      </c>
      <c r="P375" s="575" t="s">
        <v>3229</v>
      </c>
      <c r="Q375" s="575" t="s">
        <v>3229</v>
      </c>
      <c r="R375" s="575" t="s">
        <v>3229</v>
      </c>
      <c r="S375" s="570"/>
      <c r="T375" s="617" t="s">
        <v>3229</v>
      </c>
      <c r="U375" s="563" t="s">
        <v>3229</v>
      </c>
      <c r="V375" s="563" t="s">
        <v>3229</v>
      </c>
      <c r="W375" s="563" t="s">
        <v>3229</v>
      </c>
      <c r="X375" s="563" t="s">
        <v>3229</v>
      </c>
      <c r="Y375" s="598" t="s">
        <v>3229</v>
      </c>
      <c r="Z375" s="598" t="s">
        <v>3229</v>
      </c>
      <c r="AA375" s="598" t="s">
        <v>3229</v>
      </c>
      <c r="AB375" s="598" t="s">
        <v>3229</v>
      </c>
      <c r="AC375" s="598" t="s">
        <v>3229</v>
      </c>
      <c r="AD375" s="598" t="s">
        <v>3229</v>
      </c>
      <c r="AE375" s="598" t="s">
        <v>3229</v>
      </c>
      <c r="AF375" s="3764" t="s">
        <v>781</v>
      </c>
      <c r="AG375" s="3765"/>
      <c r="AH375" s="1301" t="s">
        <v>3229</v>
      </c>
      <c r="AI375" s="1301" t="s">
        <v>3229</v>
      </c>
      <c r="AJ375" s="1301" t="s">
        <v>3229</v>
      </c>
      <c r="AK375" s="530" t="s">
        <v>3229</v>
      </c>
      <c r="AL375" s="530" t="s">
        <v>3229</v>
      </c>
      <c r="AM375" s="659">
        <v>1</v>
      </c>
      <c r="AN375" s="638">
        <f>'klikací hodnoty'!F11361</f>
        <v>0.4</v>
      </c>
      <c r="AO375" s="625">
        <v>14</v>
      </c>
      <c r="AP375" s="688">
        <f>+'klikací hodnoty'!K11348</f>
        <v>0.62084561111111092</v>
      </c>
      <c r="AQ375" s="606">
        <f>'klikací hodnoty'!F11360</f>
        <v>0.55420000000000003</v>
      </c>
      <c r="AR375" s="600">
        <f t="shared" si="84"/>
        <v>0.4</v>
      </c>
      <c r="AS375" s="548">
        <f t="shared" si="90"/>
        <v>6.336339791924317E-2</v>
      </c>
      <c r="AT375" s="548">
        <f t="shared" si="91"/>
        <v>0</v>
      </c>
      <c r="AU375" s="549" t="e">
        <f t="shared" si="92"/>
        <v>#DIV/0!</v>
      </c>
      <c r="AV375" s="558">
        <f t="shared" si="80"/>
        <v>0</v>
      </c>
      <c r="AW375" s="558">
        <f t="shared" si="74"/>
        <v>0</v>
      </c>
      <c r="AX375" s="589">
        <f t="shared" si="88"/>
        <v>-0.2857142857142857</v>
      </c>
      <c r="AY375" s="587" t="e">
        <f t="shared" si="89"/>
        <v>#DIV/0!</v>
      </c>
      <c r="AZ375" s="676">
        <f t="shared" si="73"/>
        <v>10</v>
      </c>
      <c r="BA375" s="581"/>
      <c r="BB375" s="570"/>
      <c r="BC375" s="581"/>
      <c r="BD375" s="3691"/>
      <c r="BE375" s="3743"/>
      <c r="BF375" s="3743"/>
      <c r="BG375" s="3708"/>
      <c r="BH375" s="3762"/>
      <c r="BI375" s="3762"/>
      <c r="BJ375" s="39"/>
      <c r="BK375" s="39"/>
      <c r="BL375" s="39"/>
      <c r="BM375" s="39"/>
      <c r="BN375" s="39"/>
      <c r="BO375" s="39"/>
      <c r="BP375" s="39"/>
      <c r="BQ375" s="39"/>
      <c r="BR375" s="39"/>
      <c r="BS375" s="507"/>
      <c r="BT375" s="507"/>
      <c r="BU375" s="507"/>
      <c r="BV375" s="507"/>
      <c r="BW375" s="507"/>
      <c r="BX375" s="507"/>
      <c r="BY375" s="507"/>
      <c r="BZ375" s="507"/>
      <c r="CA375" s="507"/>
      <c r="CB375" s="507"/>
      <c r="CC375" s="507"/>
      <c r="CD375" s="507"/>
      <c r="CE375" s="507"/>
      <c r="CF375" s="507"/>
      <c r="CG375" s="507"/>
      <c r="CH375" s="507"/>
      <c r="CI375" s="507"/>
      <c r="CJ375" s="507"/>
      <c r="CK375" s="507"/>
      <c r="CL375" s="507"/>
      <c r="CM375" s="507"/>
      <c r="CN375" s="507"/>
      <c r="CO375" s="507"/>
      <c r="CP375" s="507"/>
      <c r="CQ375" s="507"/>
      <c r="CR375" s="507"/>
      <c r="CS375" s="507"/>
      <c r="CT375" s="507"/>
      <c r="CU375" s="507"/>
      <c r="CV375" s="507"/>
      <c r="CW375" s="507"/>
      <c r="CX375" s="507"/>
      <c r="CY375" s="507"/>
      <c r="CZ375" s="507"/>
      <c r="DA375" s="507"/>
      <c r="DB375" s="507"/>
      <c r="DC375" s="507"/>
      <c r="DD375" s="507"/>
      <c r="DE375" s="507"/>
      <c r="DF375" s="507"/>
      <c r="DG375" s="507"/>
      <c r="DH375" s="507"/>
      <c r="DI375" s="507"/>
      <c r="DJ375" s="507"/>
      <c r="DK375" s="507"/>
      <c r="DL375" s="507"/>
      <c r="DM375" s="507"/>
      <c r="DN375" s="507"/>
      <c r="DO375" s="507"/>
      <c r="DP375" s="507"/>
      <c r="DQ375" s="507"/>
      <c r="DR375" s="507"/>
      <c r="DS375" s="507"/>
      <c r="DT375" s="507"/>
      <c r="DU375" s="507"/>
      <c r="DV375" s="507"/>
      <c r="DW375" s="507"/>
      <c r="DX375" s="507"/>
      <c r="DY375" s="507"/>
      <c r="DZ375" s="507"/>
      <c r="EA375" s="507"/>
      <c r="EB375" s="507"/>
      <c r="EC375" s="507"/>
      <c r="ED375" s="507"/>
      <c r="EE375" s="507"/>
      <c r="EF375" s="507"/>
      <c r="EG375" s="507"/>
      <c r="EH375" s="507"/>
      <c r="EI375" s="507"/>
      <c r="EJ375" s="507"/>
      <c r="EK375" s="507"/>
      <c r="EL375" s="507"/>
      <c r="EM375" s="507"/>
      <c r="EN375" s="507"/>
      <c r="EO375" s="507"/>
      <c r="EP375" s="507"/>
      <c r="EQ375" s="507"/>
      <c r="ER375" s="507"/>
      <c r="ES375" s="507"/>
      <c r="ET375" s="507"/>
      <c r="EU375" s="507"/>
      <c r="EV375" s="507"/>
      <c r="EW375" s="507"/>
      <c r="EX375" s="507"/>
      <c r="EY375" s="507"/>
      <c r="EZ375" s="507"/>
      <c r="FA375" s="507"/>
      <c r="FB375" s="507"/>
      <c r="FC375" s="507"/>
      <c r="FD375" s="507"/>
      <c r="FE375" s="507"/>
      <c r="FF375" s="507"/>
      <c r="FG375" s="507"/>
      <c r="FH375" s="507"/>
      <c r="FI375" s="507"/>
      <c r="FJ375" s="507"/>
      <c r="FK375" s="507"/>
      <c r="FL375" s="507"/>
      <c r="FM375" s="507"/>
      <c r="FN375" s="507"/>
      <c r="FO375" s="507"/>
      <c r="FP375" s="507"/>
      <c r="FQ375" s="507"/>
      <c r="FR375" s="507"/>
      <c r="FS375" s="507"/>
      <c r="FT375" s="507"/>
      <c r="FU375" s="507"/>
      <c r="FV375" s="507"/>
      <c r="FW375" s="507"/>
      <c r="FX375" s="507"/>
      <c r="FY375" s="507"/>
      <c r="FZ375" s="507"/>
      <c r="GA375" s="507"/>
      <c r="GB375" s="507"/>
      <c r="GC375" s="507"/>
      <c r="GD375" s="507"/>
      <c r="GE375" s="507"/>
      <c r="GF375" s="507"/>
      <c r="GG375" s="507"/>
      <c r="GH375" s="507"/>
      <c r="GI375" s="507"/>
      <c r="GJ375" s="507"/>
      <c r="GK375" s="507"/>
      <c r="GL375" s="507"/>
      <c r="GM375" s="507"/>
      <c r="GN375" s="507"/>
      <c r="GO375" s="507"/>
      <c r="GP375" s="507"/>
      <c r="GQ375" s="507"/>
      <c r="GR375" s="507"/>
      <c r="GS375" s="507"/>
      <c r="GT375" s="507"/>
      <c r="GU375" s="507"/>
      <c r="GV375" s="507"/>
      <c r="GW375" s="507"/>
      <c r="GX375" s="507"/>
      <c r="GY375" s="507"/>
      <c r="GZ375" s="507"/>
      <c r="HA375" s="507"/>
      <c r="HB375" s="507"/>
      <c r="HC375" s="507"/>
      <c r="HD375" s="507"/>
      <c r="HE375" s="507"/>
      <c r="HF375" s="507"/>
      <c r="HG375" s="507"/>
      <c r="HH375" s="507"/>
      <c r="HI375" s="507"/>
      <c r="HJ375" s="507"/>
      <c r="HK375" s="507"/>
      <c r="HL375" s="507"/>
      <c r="HM375" s="507"/>
      <c r="HN375" s="507"/>
      <c r="HO375" s="507"/>
      <c r="HP375" s="507"/>
      <c r="HQ375" s="507"/>
      <c r="HR375" s="507"/>
      <c r="HS375" s="507"/>
      <c r="HT375" s="507"/>
      <c r="HU375" s="507"/>
      <c r="HV375" s="507"/>
      <c r="HW375" s="507"/>
      <c r="HX375" s="507"/>
      <c r="HY375" s="507"/>
      <c r="HZ375" s="507"/>
    </row>
    <row r="376" spans="1:234" s="206" customFormat="1" ht="13.5" hidden="1" customHeight="1" x14ac:dyDescent="0.25">
      <c r="A376" s="541" t="s">
        <v>5359</v>
      </c>
      <c r="B376" s="523" t="s">
        <v>5358</v>
      </c>
      <c r="C376" s="524" t="s">
        <v>5360</v>
      </c>
      <c r="D376" s="551" t="s">
        <v>189</v>
      </c>
      <c r="E376" s="569" t="s">
        <v>905</v>
      </c>
      <c r="F376" s="543">
        <v>41208</v>
      </c>
      <c r="G376" s="544">
        <v>41169</v>
      </c>
      <c r="H376" s="544">
        <v>41201</v>
      </c>
      <c r="I376" s="616">
        <v>43189</v>
      </c>
      <c r="J376" s="579">
        <v>10</v>
      </c>
      <c r="K376" s="553">
        <v>0</v>
      </c>
      <c r="L376" s="552">
        <v>0.06</v>
      </c>
      <c r="M376" s="560">
        <v>3.5000000000000003E-2</v>
      </c>
      <c r="N376" s="606" t="s">
        <v>3229</v>
      </c>
      <c r="O376" s="613">
        <v>0.27500000000000002</v>
      </c>
      <c r="P376" s="575" t="s">
        <v>3229</v>
      </c>
      <c r="Q376" s="575">
        <v>3.5000000000000003E-2</v>
      </c>
      <c r="R376" s="575" t="s">
        <v>3229</v>
      </c>
      <c r="S376" s="570">
        <v>5</v>
      </c>
      <c r="T376" s="617">
        <v>41518</v>
      </c>
      <c r="U376" s="563">
        <v>41883</v>
      </c>
      <c r="V376" s="563">
        <v>42248</v>
      </c>
      <c r="W376" s="563">
        <v>42614</v>
      </c>
      <c r="X376" s="563">
        <v>43132</v>
      </c>
      <c r="Y376" s="598" t="s">
        <v>3229</v>
      </c>
      <c r="Z376" s="598" t="s">
        <v>3229</v>
      </c>
      <c r="AA376" s="598" t="s">
        <v>3229</v>
      </c>
      <c r="AB376" s="598" t="s">
        <v>3229</v>
      </c>
      <c r="AC376" s="598" t="s">
        <v>3229</v>
      </c>
      <c r="AD376" s="598" t="s">
        <v>3229</v>
      </c>
      <c r="AE376" s="598" t="s">
        <v>3229</v>
      </c>
      <c r="AF376" s="3764" t="s">
        <v>781</v>
      </c>
      <c r="AG376" s="3765"/>
      <c r="AH376" s="1301" t="s">
        <v>3229</v>
      </c>
      <c r="AI376" s="1301" t="s">
        <v>3229</v>
      </c>
      <c r="AJ376" s="1301" t="s">
        <v>3229</v>
      </c>
      <c r="AK376" s="530" t="s">
        <v>3229</v>
      </c>
      <c r="AL376" s="530" t="s">
        <v>3229</v>
      </c>
      <c r="AM376" s="659">
        <v>1</v>
      </c>
      <c r="AN376" s="638">
        <f>'klikací hodnoty'!F11280</f>
        <v>0.2353680000000003</v>
      </c>
      <c r="AO376" s="625">
        <v>12.35</v>
      </c>
      <c r="AP376" s="688">
        <f>'klikací hodnoty'!D11280</f>
        <v>0</v>
      </c>
      <c r="AQ376" s="606">
        <f>'klikací hodnoty'!E11272</f>
        <v>0.33856005224097391</v>
      </c>
      <c r="AR376" s="600">
        <f t="shared" si="84"/>
        <v>0.27500000000000002</v>
      </c>
      <c r="AS376" s="548">
        <f t="shared" si="90"/>
        <v>4.577990265259313E-2</v>
      </c>
      <c r="AT376" s="548">
        <f t="shared" si="91"/>
        <v>3.238866396761142E-2</v>
      </c>
      <c r="AU376" s="549" t="e">
        <f t="shared" si="92"/>
        <v>#DIV/0!</v>
      </c>
      <c r="AV376" s="558">
        <f t="shared" si="80"/>
        <v>3.5000000000000003E-2</v>
      </c>
      <c r="AW376" s="558">
        <f t="shared" si="74"/>
        <v>6.3586065453498097E-3</v>
      </c>
      <c r="AX376" s="589">
        <f t="shared" si="88"/>
        <v>-0.16194331983805665</v>
      </c>
      <c r="AY376" s="587" t="e">
        <f t="shared" si="89"/>
        <v>#DIV/0!</v>
      </c>
      <c r="AZ376" s="676">
        <f t="shared" si="73"/>
        <v>10.35</v>
      </c>
      <c r="BA376" s="581"/>
      <c r="BB376" s="570" t="s">
        <v>2025</v>
      </c>
      <c r="BC376" s="581" t="s">
        <v>2895</v>
      </c>
      <c r="BD376" s="3691"/>
      <c r="BE376" s="3743"/>
      <c r="BF376" s="3743"/>
      <c r="BG376" s="3708"/>
      <c r="BH376" s="3762"/>
      <c r="BI376" s="3762"/>
      <c r="BJ376" s="39"/>
      <c r="BK376" s="39"/>
      <c r="BL376" s="39"/>
      <c r="BM376" s="39"/>
      <c r="BN376" s="39"/>
      <c r="BO376" s="39"/>
      <c r="BP376" s="39"/>
      <c r="BQ376" s="39"/>
      <c r="BR376" s="39"/>
      <c r="BS376" s="507"/>
      <c r="BT376" s="507"/>
      <c r="BU376" s="507"/>
      <c r="BV376" s="507"/>
      <c r="BW376" s="507"/>
      <c r="BX376" s="507"/>
      <c r="BY376" s="507"/>
      <c r="BZ376" s="507"/>
      <c r="CA376" s="507"/>
      <c r="CB376" s="507"/>
      <c r="CC376" s="507"/>
      <c r="CD376" s="507"/>
      <c r="CE376" s="507"/>
      <c r="CF376" s="507"/>
      <c r="CG376" s="507"/>
      <c r="CH376" s="507"/>
      <c r="CI376" s="507"/>
      <c r="CJ376" s="507"/>
      <c r="CK376" s="507"/>
      <c r="CL376" s="507"/>
      <c r="CM376" s="507"/>
      <c r="CN376" s="507"/>
      <c r="CO376" s="507"/>
      <c r="CP376" s="507"/>
      <c r="CQ376" s="507"/>
      <c r="CR376" s="507"/>
      <c r="CS376" s="507"/>
      <c r="CT376" s="507"/>
      <c r="CU376" s="507"/>
      <c r="CV376" s="507"/>
      <c r="CW376" s="507"/>
      <c r="CX376" s="507"/>
      <c r="CY376" s="507"/>
      <c r="CZ376" s="507"/>
      <c r="DA376" s="507"/>
      <c r="DB376" s="507"/>
      <c r="DC376" s="507"/>
      <c r="DD376" s="507"/>
      <c r="DE376" s="507"/>
      <c r="DF376" s="507"/>
      <c r="DG376" s="507"/>
      <c r="DH376" s="507"/>
      <c r="DI376" s="507"/>
      <c r="DJ376" s="507"/>
      <c r="DK376" s="507"/>
      <c r="DL376" s="507"/>
      <c r="DM376" s="507"/>
      <c r="DN376" s="507"/>
      <c r="DO376" s="507"/>
      <c r="DP376" s="507"/>
      <c r="DQ376" s="507"/>
      <c r="DR376" s="507"/>
      <c r="DS376" s="507"/>
      <c r="DT376" s="507"/>
      <c r="DU376" s="507"/>
      <c r="DV376" s="507"/>
      <c r="DW376" s="507"/>
      <c r="DX376" s="507"/>
      <c r="DY376" s="507"/>
      <c r="DZ376" s="507"/>
      <c r="EA376" s="507"/>
      <c r="EB376" s="507"/>
      <c r="EC376" s="507"/>
      <c r="ED376" s="507"/>
      <c r="EE376" s="507"/>
      <c r="EF376" s="507"/>
      <c r="EG376" s="507"/>
      <c r="EH376" s="507"/>
      <c r="EI376" s="507"/>
      <c r="EJ376" s="507"/>
      <c r="EK376" s="507"/>
      <c r="EL376" s="507"/>
      <c r="EM376" s="507"/>
      <c r="EN376" s="507"/>
      <c r="EO376" s="507"/>
      <c r="EP376" s="507"/>
      <c r="EQ376" s="507"/>
      <c r="ER376" s="507"/>
      <c r="ES376" s="507"/>
      <c r="ET376" s="507"/>
      <c r="EU376" s="507"/>
      <c r="EV376" s="507"/>
      <c r="EW376" s="507"/>
      <c r="EX376" s="507"/>
      <c r="EY376" s="507"/>
      <c r="EZ376" s="507"/>
      <c r="FA376" s="507"/>
      <c r="FB376" s="507"/>
      <c r="FC376" s="507"/>
      <c r="FD376" s="507"/>
      <c r="FE376" s="507"/>
      <c r="FF376" s="507"/>
      <c r="FG376" s="507"/>
      <c r="FH376" s="507"/>
      <c r="FI376" s="507"/>
      <c r="FJ376" s="507"/>
      <c r="FK376" s="507"/>
      <c r="FL376" s="507"/>
      <c r="FM376" s="507"/>
      <c r="FN376" s="507"/>
      <c r="FO376" s="507"/>
      <c r="FP376" s="507"/>
      <c r="FQ376" s="507"/>
      <c r="FR376" s="507"/>
      <c r="FS376" s="507"/>
      <c r="FT376" s="507"/>
      <c r="FU376" s="507"/>
      <c r="FV376" s="507"/>
      <c r="FW376" s="507"/>
      <c r="FX376" s="507"/>
      <c r="FY376" s="507"/>
      <c r="FZ376" s="507"/>
      <c r="GA376" s="507"/>
      <c r="GB376" s="507"/>
      <c r="GC376" s="507"/>
      <c r="GD376" s="507"/>
      <c r="GE376" s="507"/>
      <c r="GF376" s="507"/>
      <c r="GG376" s="507"/>
      <c r="GH376" s="507"/>
      <c r="GI376" s="507"/>
      <c r="GJ376" s="507"/>
      <c r="GK376" s="507"/>
      <c r="GL376" s="507"/>
      <c r="GM376" s="507"/>
      <c r="GN376" s="507"/>
      <c r="GO376" s="507"/>
      <c r="GP376" s="507"/>
      <c r="GQ376" s="507"/>
      <c r="GR376" s="507"/>
      <c r="GS376" s="507"/>
      <c r="GT376" s="507"/>
      <c r="GU376" s="507"/>
      <c r="GV376" s="507"/>
      <c r="GW376" s="507"/>
      <c r="GX376" s="507"/>
      <c r="GY376" s="507"/>
      <c r="GZ376" s="507"/>
      <c r="HA376" s="507"/>
      <c r="HB376" s="507"/>
      <c r="HC376" s="507"/>
      <c r="HD376" s="507"/>
      <c r="HE376" s="507"/>
      <c r="HF376" s="507"/>
      <c r="HG376" s="507"/>
      <c r="HH376" s="507"/>
      <c r="HI376" s="507"/>
      <c r="HJ376" s="507"/>
      <c r="HK376" s="507"/>
      <c r="HL376" s="507"/>
      <c r="HM376" s="507"/>
      <c r="HN376" s="507"/>
      <c r="HO376" s="507"/>
      <c r="HP376" s="507"/>
      <c r="HQ376" s="507"/>
      <c r="HR376" s="507"/>
      <c r="HS376" s="507"/>
      <c r="HT376" s="507"/>
      <c r="HU376" s="507"/>
      <c r="HV376" s="507"/>
      <c r="HW376" s="507"/>
      <c r="HX376" s="507"/>
      <c r="HY376" s="507"/>
      <c r="HZ376" s="507"/>
    </row>
    <row r="377" spans="1:234" s="206" customFormat="1" ht="13.5" hidden="1" customHeight="1" x14ac:dyDescent="0.25">
      <c r="A377" s="541" t="s">
        <v>5408</v>
      </c>
      <c r="B377" s="523" t="s">
        <v>5407</v>
      </c>
      <c r="C377" s="524" t="s">
        <v>5406</v>
      </c>
      <c r="D377" s="551" t="s">
        <v>1872</v>
      </c>
      <c r="E377" s="569" t="s">
        <v>3228</v>
      </c>
      <c r="F377" s="543">
        <v>41201</v>
      </c>
      <c r="G377" s="544">
        <v>41155</v>
      </c>
      <c r="H377" s="544">
        <v>41194</v>
      </c>
      <c r="I377" s="616">
        <v>41578</v>
      </c>
      <c r="J377" s="579">
        <v>10</v>
      </c>
      <c r="K377" s="553" t="s">
        <v>3229</v>
      </c>
      <c r="L377" s="552" t="s">
        <v>3229</v>
      </c>
      <c r="M377" s="560">
        <v>-1</v>
      </c>
      <c r="N377" s="606" t="s">
        <v>3229</v>
      </c>
      <c r="O377" s="613">
        <v>0.53749999999999998</v>
      </c>
      <c r="P377" s="575" t="s">
        <v>3229</v>
      </c>
      <c r="Q377" s="575" t="s">
        <v>3229</v>
      </c>
      <c r="R377" s="575" t="s">
        <v>3229</v>
      </c>
      <c r="S377" s="570">
        <v>5</v>
      </c>
      <c r="T377" s="617">
        <v>41548</v>
      </c>
      <c r="U377" s="563">
        <v>41913</v>
      </c>
      <c r="V377" s="563">
        <v>42278</v>
      </c>
      <c r="W377" s="563">
        <v>42644</v>
      </c>
      <c r="X377" s="563">
        <v>43009</v>
      </c>
      <c r="Y377" s="598" t="s">
        <v>3229</v>
      </c>
      <c r="Z377" s="598" t="s">
        <v>3229</v>
      </c>
      <c r="AA377" s="598" t="s">
        <v>3229</v>
      </c>
      <c r="AB377" s="598" t="s">
        <v>3229</v>
      </c>
      <c r="AC377" s="598" t="s">
        <v>3229</v>
      </c>
      <c r="AD377" s="598" t="s">
        <v>3229</v>
      </c>
      <c r="AE377" s="598" t="s">
        <v>3229</v>
      </c>
      <c r="AF377" s="3764" t="s">
        <v>781</v>
      </c>
      <c r="AG377" s="3765"/>
      <c r="AH377" s="1301">
        <v>1</v>
      </c>
      <c r="AI377" s="1301" t="s">
        <v>3229</v>
      </c>
      <c r="AJ377" s="1301" t="s">
        <v>3229</v>
      </c>
      <c r="AK377" s="530" t="s">
        <v>3229</v>
      </c>
      <c r="AL377" s="530" t="s">
        <v>3229</v>
      </c>
      <c r="AM377" s="659" t="s">
        <v>3229</v>
      </c>
      <c r="AN377" s="638">
        <f>IF('klikací hodnoty'!F11185&lt;-50%,'klikací hodnoty'!F11185,IF('klikací hodnoty'!F11185&lt;0%,0%,'klikací hodnoty'!F11185))</f>
        <v>0.1075</v>
      </c>
      <c r="AO377" s="625">
        <v>9.18</v>
      </c>
      <c r="AP377" s="688">
        <f>AQ377</f>
        <v>0.15492520320919234</v>
      </c>
      <c r="AQ377" s="606">
        <f>'klikací hodnoty'!H11184</f>
        <v>0.15492520320919234</v>
      </c>
      <c r="AR377" s="600">
        <f t="shared" si="84"/>
        <v>0.53749999999999998</v>
      </c>
      <c r="AS377" s="548">
        <f t="shared" si="90"/>
        <v>0.516591977925829</v>
      </c>
      <c r="AT377" s="548">
        <f t="shared" si="91"/>
        <v>0.67483660130718959</v>
      </c>
      <c r="AU377" s="549" t="e">
        <f t="shared" si="92"/>
        <v>#DIV/0!</v>
      </c>
      <c r="AV377" s="558">
        <f t="shared" si="80"/>
        <v>-1</v>
      </c>
      <c r="AW377" s="558">
        <f t="shared" si="74"/>
        <v>-1</v>
      </c>
      <c r="AX377" s="589">
        <f t="shared" si="88"/>
        <v>-1</v>
      </c>
      <c r="AY377" s="587" t="e">
        <f t="shared" si="89"/>
        <v>#DIV/0!</v>
      </c>
      <c r="AZ377" s="676">
        <f t="shared" si="73"/>
        <v>0</v>
      </c>
      <c r="BA377" s="581" t="s">
        <v>3479</v>
      </c>
      <c r="BB377" s="570"/>
      <c r="BC377" s="581"/>
      <c r="BD377" s="3691"/>
      <c r="BE377" s="3743"/>
      <c r="BF377" s="3743"/>
      <c r="BG377" s="3708"/>
      <c r="BH377" s="3762"/>
      <c r="BI377" s="3762"/>
      <c r="BJ377" s="39"/>
      <c r="BK377" s="39"/>
      <c r="BL377" s="39"/>
      <c r="BM377" s="39"/>
      <c r="BN377" s="39"/>
      <c r="BO377" s="39"/>
      <c r="BP377" s="39"/>
      <c r="BQ377" s="39"/>
      <c r="BR377" s="39"/>
      <c r="BS377" s="507"/>
      <c r="BT377" s="507"/>
      <c r="BU377" s="507"/>
      <c r="BV377" s="507"/>
      <c r="BW377" s="507"/>
      <c r="BX377" s="507"/>
      <c r="BY377" s="507"/>
      <c r="BZ377" s="507"/>
      <c r="CA377" s="507"/>
      <c r="CB377" s="507"/>
      <c r="CC377" s="507"/>
      <c r="CD377" s="507"/>
      <c r="CE377" s="507"/>
      <c r="CF377" s="507"/>
      <c r="CG377" s="507"/>
      <c r="CH377" s="507"/>
      <c r="CI377" s="507"/>
      <c r="CJ377" s="507"/>
      <c r="CK377" s="507"/>
      <c r="CL377" s="507"/>
      <c r="CM377" s="507"/>
      <c r="CN377" s="507"/>
      <c r="CO377" s="507"/>
      <c r="CP377" s="507"/>
      <c r="CQ377" s="507"/>
      <c r="CR377" s="507"/>
      <c r="CS377" s="507"/>
      <c r="CT377" s="507"/>
      <c r="CU377" s="507"/>
      <c r="CV377" s="507"/>
      <c r="CW377" s="507"/>
      <c r="CX377" s="507"/>
      <c r="CY377" s="507"/>
      <c r="CZ377" s="507"/>
      <c r="DA377" s="507"/>
      <c r="DB377" s="507"/>
      <c r="DC377" s="507"/>
      <c r="DD377" s="507"/>
      <c r="DE377" s="507"/>
      <c r="DF377" s="507"/>
      <c r="DG377" s="507"/>
      <c r="DH377" s="507"/>
      <c r="DI377" s="507"/>
      <c r="DJ377" s="507"/>
      <c r="DK377" s="507"/>
      <c r="DL377" s="507"/>
      <c r="DM377" s="507"/>
      <c r="DN377" s="507"/>
      <c r="DO377" s="507"/>
      <c r="DP377" s="507"/>
      <c r="DQ377" s="507"/>
      <c r="DR377" s="507"/>
      <c r="DS377" s="507"/>
      <c r="DT377" s="507"/>
      <c r="DU377" s="507"/>
      <c r="DV377" s="507"/>
      <c r="DW377" s="507"/>
      <c r="DX377" s="507"/>
      <c r="DY377" s="507"/>
      <c r="DZ377" s="507"/>
      <c r="EA377" s="507"/>
      <c r="EB377" s="507"/>
      <c r="EC377" s="507"/>
      <c r="ED377" s="507"/>
      <c r="EE377" s="507"/>
      <c r="EF377" s="507"/>
      <c r="EG377" s="507"/>
      <c r="EH377" s="507"/>
      <c r="EI377" s="507"/>
      <c r="EJ377" s="507"/>
      <c r="EK377" s="507"/>
      <c r="EL377" s="507"/>
      <c r="EM377" s="507"/>
      <c r="EN377" s="507"/>
      <c r="EO377" s="507"/>
      <c r="EP377" s="507"/>
      <c r="EQ377" s="507"/>
      <c r="ER377" s="507"/>
      <c r="ES377" s="507"/>
      <c r="ET377" s="507"/>
      <c r="EU377" s="507"/>
      <c r="EV377" s="507"/>
      <c r="EW377" s="507"/>
      <c r="EX377" s="507"/>
      <c r="EY377" s="507"/>
      <c r="EZ377" s="507"/>
      <c r="FA377" s="507"/>
      <c r="FB377" s="507"/>
      <c r="FC377" s="507"/>
      <c r="FD377" s="507"/>
      <c r="FE377" s="507"/>
      <c r="FF377" s="507"/>
      <c r="FG377" s="507"/>
      <c r="FH377" s="507"/>
      <c r="FI377" s="507"/>
      <c r="FJ377" s="507"/>
      <c r="FK377" s="507"/>
      <c r="FL377" s="507"/>
      <c r="FM377" s="507"/>
      <c r="FN377" s="507"/>
      <c r="FO377" s="507"/>
      <c r="FP377" s="507"/>
      <c r="FQ377" s="507"/>
      <c r="FR377" s="507"/>
      <c r="FS377" s="507"/>
      <c r="FT377" s="507"/>
      <c r="FU377" s="507"/>
      <c r="FV377" s="507"/>
      <c r="FW377" s="507"/>
      <c r="FX377" s="507"/>
      <c r="FY377" s="507"/>
      <c r="FZ377" s="507"/>
      <c r="GA377" s="507"/>
      <c r="GB377" s="507"/>
      <c r="GC377" s="507"/>
      <c r="GD377" s="507"/>
      <c r="GE377" s="507"/>
      <c r="GF377" s="507"/>
      <c r="GG377" s="507"/>
      <c r="GH377" s="507"/>
      <c r="GI377" s="507"/>
      <c r="GJ377" s="507"/>
      <c r="GK377" s="507"/>
      <c r="GL377" s="507"/>
      <c r="GM377" s="507"/>
      <c r="GN377" s="507"/>
      <c r="GO377" s="507"/>
      <c r="GP377" s="507"/>
      <c r="GQ377" s="507"/>
      <c r="GR377" s="507"/>
      <c r="GS377" s="507"/>
      <c r="GT377" s="507"/>
      <c r="GU377" s="507"/>
      <c r="GV377" s="507"/>
      <c r="GW377" s="507"/>
      <c r="GX377" s="507"/>
      <c r="GY377" s="507"/>
      <c r="GZ377" s="507"/>
      <c r="HA377" s="507"/>
      <c r="HB377" s="507"/>
      <c r="HC377" s="507"/>
      <c r="HD377" s="507"/>
      <c r="HE377" s="507"/>
      <c r="HF377" s="507"/>
      <c r="HG377" s="507"/>
      <c r="HH377" s="507"/>
      <c r="HI377" s="507"/>
      <c r="HJ377" s="507"/>
      <c r="HK377" s="507"/>
      <c r="HL377" s="507"/>
      <c r="HM377" s="507"/>
      <c r="HN377" s="507"/>
      <c r="HO377" s="507"/>
      <c r="HP377" s="507"/>
      <c r="HQ377" s="507"/>
      <c r="HR377" s="507"/>
      <c r="HS377" s="507"/>
      <c r="HT377" s="507"/>
      <c r="HU377" s="507"/>
      <c r="HV377" s="507"/>
      <c r="HW377" s="507"/>
      <c r="HX377" s="507"/>
      <c r="HY377" s="507"/>
      <c r="HZ377" s="507"/>
    </row>
    <row r="378" spans="1:234" s="206" customFormat="1" ht="13.5" hidden="1" customHeight="1" x14ac:dyDescent="0.25">
      <c r="A378" s="541" t="s">
        <v>5411</v>
      </c>
      <c r="B378" s="523" t="s">
        <v>5410</v>
      </c>
      <c r="C378" s="524" t="s">
        <v>5409</v>
      </c>
      <c r="D378" s="551" t="s">
        <v>189</v>
      </c>
      <c r="E378" s="569" t="s">
        <v>3228</v>
      </c>
      <c r="F378" s="543">
        <v>41250</v>
      </c>
      <c r="G378" s="544">
        <v>41183</v>
      </c>
      <c r="H378" s="544">
        <v>41243</v>
      </c>
      <c r="I378" s="616">
        <v>43251</v>
      </c>
      <c r="J378" s="579">
        <v>10</v>
      </c>
      <c r="K378" s="553" t="s">
        <v>3229</v>
      </c>
      <c r="L378" s="552" t="s">
        <v>3229</v>
      </c>
      <c r="M378" s="560">
        <v>0</v>
      </c>
      <c r="N378" s="606" t="s">
        <v>3229</v>
      </c>
      <c r="O378" s="613">
        <v>0.35</v>
      </c>
      <c r="P378" s="575" t="s">
        <v>3229</v>
      </c>
      <c r="Q378" s="575" t="s">
        <v>3229</v>
      </c>
      <c r="R378" s="575" t="s">
        <v>3229</v>
      </c>
      <c r="S378" s="570"/>
      <c r="T378" s="617" t="s">
        <v>3229</v>
      </c>
      <c r="U378" s="563" t="s">
        <v>3229</v>
      </c>
      <c r="V378" s="563" t="s">
        <v>3229</v>
      </c>
      <c r="W378" s="563" t="s">
        <v>3229</v>
      </c>
      <c r="X378" s="563" t="s">
        <v>3229</v>
      </c>
      <c r="Y378" s="598" t="s">
        <v>3229</v>
      </c>
      <c r="Z378" s="598" t="s">
        <v>3229</v>
      </c>
      <c r="AA378" s="598" t="s">
        <v>3229</v>
      </c>
      <c r="AB378" s="598" t="s">
        <v>3229</v>
      </c>
      <c r="AC378" s="598" t="s">
        <v>3229</v>
      </c>
      <c r="AD378" s="598" t="s">
        <v>3229</v>
      </c>
      <c r="AE378" s="598" t="s">
        <v>3229</v>
      </c>
      <c r="AF378" s="3764" t="s">
        <v>781</v>
      </c>
      <c r="AG378" s="3765"/>
      <c r="AH378" s="1301" t="s">
        <v>3229</v>
      </c>
      <c r="AI378" s="1301" t="s">
        <v>3229</v>
      </c>
      <c r="AJ378" s="1301" t="s">
        <v>3229</v>
      </c>
      <c r="AK378" s="530" t="s">
        <v>3229</v>
      </c>
      <c r="AL378" s="530" t="s">
        <v>3229</v>
      </c>
      <c r="AM378" s="659">
        <v>1</v>
      </c>
      <c r="AN378" s="638">
        <f>'klikací hodnoty'!F11473</f>
        <v>0.2034</v>
      </c>
      <c r="AO378" s="625">
        <v>12.03</v>
      </c>
      <c r="AP378" s="688">
        <f>+'klikací hodnoty'!G11472</f>
        <v>0.1860683846114369</v>
      </c>
      <c r="AQ378" s="606">
        <f>+'klikací hodnoty'!E11472</f>
        <v>0.4134803667760909</v>
      </c>
      <c r="AR378" s="600">
        <f t="shared" si="84"/>
        <v>0.35</v>
      </c>
      <c r="AS378" s="548">
        <f t="shared" si="90"/>
        <v>5.6267763712234187E-2</v>
      </c>
      <c r="AT378" s="548">
        <f t="shared" si="91"/>
        <v>0.12219451371571077</v>
      </c>
      <c r="AU378" s="549" t="e">
        <f t="shared" si="92"/>
        <v>#DIV/0!</v>
      </c>
      <c r="AV378" s="558">
        <f t="shared" si="80"/>
        <v>0</v>
      </c>
      <c r="AW378" s="558">
        <f t="shared" si="74"/>
        <v>0</v>
      </c>
      <c r="AX378" s="589">
        <f t="shared" si="88"/>
        <v>-0.16874480465502906</v>
      </c>
      <c r="AY378" s="587" t="e">
        <f t="shared" si="89"/>
        <v>#DIV/0!</v>
      </c>
      <c r="AZ378" s="676">
        <f t="shared" si="73"/>
        <v>10</v>
      </c>
      <c r="BA378" s="581"/>
      <c r="BB378" s="570"/>
      <c r="BC378" s="581"/>
      <c r="BD378" s="3691"/>
      <c r="BE378" s="3743"/>
      <c r="BF378" s="3743"/>
      <c r="BG378" s="3708"/>
      <c r="BH378" s="3762"/>
      <c r="BI378" s="3762"/>
      <c r="BJ378" s="39"/>
      <c r="BK378" s="39"/>
      <c r="BL378" s="39"/>
      <c r="BM378" s="39"/>
      <c r="BN378" s="39"/>
      <c r="BO378" s="39"/>
      <c r="BP378" s="39"/>
      <c r="BQ378" s="39"/>
      <c r="BR378" s="39"/>
      <c r="BS378" s="507"/>
      <c r="BT378" s="507"/>
      <c r="BU378" s="507"/>
      <c r="BV378" s="507"/>
      <c r="BW378" s="507"/>
      <c r="BX378" s="507"/>
      <c r="BY378" s="507"/>
      <c r="BZ378" s="507"/>
      <c r="CA378" s="507"/>
      <c r="CB378" s="507"/>
      <c r="CC378" s="507"/>
      <c r="CD378" s="507"/>
      <c r="CE378" s="507"/>
      <c r="CF378" s="507"/>
      <c r="CG378" s="507"/>
      <c r="CH378" s="507"/>
      <c r="CI378" s="507"/>
      <c r="CJ378" s="507"/>
      <c r="CK378" s="507"/>
      <c r="CL378" s="507"/>
      <c r="CM378" s="507"/>
      <c r="CN378" s="507"/>
      <c r="CO378" s="507"/>
      <c r="CP378" s="507"/>
      <c r="CQ378" s="507"/>
      <c r="CR378" s="507"/>
      <c r="CS378" s="507"/>
      <c r="CT378" s="507"/>
      <c r="CU378" s="507"/>
      <c r="CV378" s="507"/>
      <c r="CW378" s="507"/>
      <c r="CX378" s="507"/>
      <c r="CY378" s="507"/>
      <c r="CZ378" s="507"/>
      <c r="DA378" s="507"/>
      <c r="DB378" s="507"/>
      <c r="DC378" s="507"/>
      <c r="DD378" s="507"/>
      <c r="DE378" s="507"/>
      <c r="DF378" s="507"/>
      <c r="DG378" s="507"/>
      <c r="DH378" s="507"/>
      <c r="DI378" s="507"/>
      <c r="DJ378" s="507"/>
      <c r="DK378" s="507"/>
      <c r="DL378" s="507"/>
      <c r="DM378" s="507"/>
      <c r="DN378" s="507"/>
      <c r="DO378" s="507"/>
      <c r="DP378" s="507"/>
      <c r="DQ378" s="507"/>
      <c r="DR378" s="507"/>
      <c r="DS378" s="507"/>
      <c r="DT378" s="507"/>
      <c r="DU378" s="507"/>
      <c r="DV378" s="507"/>
      <c r="DW378" s="507"/>
      <c r="DX378" s="507"/>
      <c r="DY378" s="507"/>
      <c r="DZ378" s="507"/>
      <c r="EA378" s="507"/>
      <c r="EB378" s="507"/>
      <c r="EC378" s="507"/>
      <c r="ED378" s="507"/>
      <c r="EE378" s="507"/>
      <c r="EF378" s="507"/>
      <c r="EG378" s="507"/>
      <c r="EH378" s="507"/>
      <c r="EI378" s="507"/>
      <c r="EJ378" s="507"/>
      <c r="EK378" s="507"/>
      <c r="EL378" s="507"/>
      <c r="EM378" s="507"/>
      <c r="EN378" s="507"/>
      <c r="EO378" s="507"/>
      <c r="EP378" s="507"/>
      <c r="EQ378" s="507"/>
      <c r="ER378" s="507"/>
      <c r="ES378" s="507"/>
      <c r="ET378" s="507"/>
      <c r="EU378" s="507"/>
      <c r="EV378" s="507"/>
      <c r="EW378" s="507"/>
      <c r="EX378" s="507"/>
      <c r="EY378" s="507"/>
      <c r="EZ378" s="507"/>
      <c r="FA378" s="507"/>
      <c r="FB378" s="507"/>
      <c r="FC378" s="507"/>
      <c r="FD378" s="507"/>
      <c r="FE378" s="507"/>
      <c r="FF378" s="507"/>
      <c r="FG378" s="507"/>
      <c r="FH378" s="507"/>
      <c r="FI378" s="507"/>
      <c r="FJ378" s="507"/>
      <c r="FK378" s="507"/>
      <c r="FL378" s="507"/>
      <c r="FM378" s="507"/>
      <c r="FN378" s="507"/>
      <c r="FO378" s="507"/>
      <c r="FP378" s="507"/>
      <c r="FQ378" s="507"/>
      <c r="FR378" s="507"/>
      <c r="FS378" s="507"/>
      <c r="FT378" s="507"/>
      <c r="FU378" s="507"/>
      <c r="FV378" s="507"/>
      <c r="FW378" s="507"/>
      <c r="FX378" s="507"/>
      <c r="FY378" s="507"/>
      <c r="FZ378" s="507"/>
      <c r="GA378" s="507"/>
      <c r="GB378" s="507"/>
      <c r="GC378" s="507"/>
      <c r="GD378" s="507"/>
      <c r="GE378" s="507"/>
      <c r="GF378" s="507"/>
      <c r="GG378" s="507"/>
      <c r="GH378" s="507"/>
      <c r="GI378" s="507"/>
      <c r="GJ378" s="507"/>
      <c r="GK378" s="507"/>
      <c r="GL378" s="507"/>
      <c r="GM378" s="507"/>
      <c r="GN378" s="507"/>
      <c r="GO378" s="507"/>
      <c r="GP378" s="507"/>
      <c r="GQ378" s="507"/>
      <c r="GR378" s="507"/>
      <c r="GS378" s="507"/>
      <c r="GT378" s="507"/>
      <c r="GU378" s="507"/>
      <c r="GV378" s="507"/>
      <c r="GW378" s="507"/>
      <c r="GX378" s="507"/>
      <c r="GY378" s="507"/>
      <c r="GZ378" s="507"/>
      <c r="HA378" s="507"/>
      <c r="HB378" s="507"/>
      <c r="HC378" s="507"/>
      <c r="HD378" s="507"/>
      <c r="HE378" s="507"/>
      <c r="HF378" s="507"/>
      <c r="HG378" s="507"/>
      <c r="HH378" s="507"/>
      <c r="HI378" s="507"/>
      <c r="HJ378" s="507"/>
      <c r="HK378" s="507"/>
      <c r="HL378" s="507"/>
      <c r="HM378" s="507"/>
      <c r="HN378" s="507"/>
      <c r="HO378" s="507"/>
      <c r="HP378" s="507"/>
      <c r="HQ378" s="507"/>
      <c r="HR378" s="507"/>
      <c r="HS378" s="507"/>
      <c r="HT378" s="507"/>
      <c r="HU378" s="507"/>
      <c r="HV378" s="507"/>
      <c r="HW378" s="507"/>
      <c r="HX378" s="507"/>
      <c r="HY378" s="507"/>
      <c r="HZ378" s="507"/>
    </row>
    <row r="379" spans="1:234" s="206" customFormat="1" ht="13.5" hidden="1" customHeight="1" x14ac:dyDescent="0.25">
      <c r="A379" s="541" t="s">
        <v>5415</v>
      </c>
      <c r="B379" s="523" t="s">
        <v>5414</v>
      </c>
      <c r="C379" s="524" t="s">
        <v>5416</v>
      </c>
      <c r="D379" s="551" t="s">
        <v>189</v>
      </c>
      <c r="E379" s="569" t="s">
        <v>3228</v>
      </c>
      <c r="F379" s="543">
        <v>41250</v>
      </c>
      <c r="G379" s="544">
        <v>41197</v>
      </c>
      <c r="H379" s="544">
        <v>41243</v>
      </c>
      <c r="I379" s="616">
        <v>43220</v>
      </c>
      <c r="J379" s="579">
        <v>10</v>
      </c>
      <c r="K379" s="553" t="s">
        <v>3229</v>
      </c>
      <c r="L379" s="552" t="s">
        <v>3229</v>
      </c>
      <c r="M379" s="560">
        <v>0</v>
      </c>
      <c r="N379" s="606">
        <v>0.9</v>
      </c>
      <c r="O379" s="613">
        <v>0.5</v>
      </c>
      <c r="P379" s="575" t="s">
        <v>3229</v>
      </c>
      <c r="Q379" s="575"/>
      <c r="R379" s="575" t="s">
        <v>3229</v>
      </c>
      <c r="S379" s="570"/>
      <c r="T379" s="617" t="s">
        <v>3229</v>
      </c>
      <c r="U379" s="563" t="s">
        <v>3229</v>
      </c>
      <c r="V379" s="563" t="s">
        <v>3229</v>
      </c>
      <c r="W379" s="563" t="s">
        <v>3229</v>
      </c>
      <c r="X379" s="563" t="s">
        <v>3229</v>
      </c>
      <c r="Y379" s="598" t="s">
        <v>3229</v>
      </c>
      <c r="Z379" s="598" t="s">
        <v>3229</v>
      </c>
      <c r="AA379" s="598" t="s">
        <v>3229</v>
      </c>
      <c r="AB379" s="598" t="s">
        <v>3229</v>
      </c>
      <c r="AC379" s="598" t="s">
        <v>3229</v>
      </c>
      <c r="AD379" s="598" t="s">
        <v>3229</v>
      </c>
      <c r="AE379" s="598" t="s">
        <v>3229</v>
      </c>
      <c r="AF379" s="3764" t="s">
        <v>781</v>
      </c>
      <c r="AG379" s="3765"/>
      <c r="AH379" s="1301" t="s">
        <v>3229</v>
      </c>
      <c r="AI379" s="1301" t="s">
        <v>3229</v>
      </c>
      <c r="AJ379" s="1301" t="s">
        <v>3229</v>
      </c>
      <c r="AK379" s="530" t="s">
        <v>3229</v>
      </c>
      <c r="AL379" s="530" t="s">
        <v>3229</v>
      </c>
      <c r="AM379" s="659">
        <v>1</v>
      </c>
      <c r="AN379" s="638">
        <f>'klikací hodnoty'!F11510</f>
        <v>0.45370895</v>
      </c>
      <c r="AO379" s="625">
        <v>14.54</v>
      </c>
      <c r="AP379" s="688">
        <f>+'klikací hodnoty'!K11498</f>
        <v>0.50412105555555553</v>
      </c>
      <c r="AQ379" s="606">
        <f>'klikací hodnoty'!F11509</f>
        <v>0.4269</v>
      </c>
      <c r="AR379" s="600">
        <f t="shared" si="84"/>
        <v>0.5</v>
      </c>
      <c r="AS379" s="548">
        <f t="shared" si="90"/>
        <v>7.8018081911033432E-2</v>
      </c>
      <c r="AT379" s="548">
        <f t="shared" si="91"/>
        <v>3.1636863823933936E-2</v>
      </c>
      <c r="AU379" s="549" t="e">
        <f t="shared" si="92"/>
        <v>#DIV/0!</v>
      </c>
      <c r="AV379" s="558">
        <f t="shared" si="80"/>
        <v>0</v>
      </c>
      <c r="AW379" s="558">
        <f t="shared" si="74"/>
        <v>0</v>
      </c>
      <c r="AX379" s="589">
        <f t="shared" si="88"/>
        <v>-0.31224209078404397</v>
      </c>
      <c r="AY379" s="587" t="e">
        <f t="shared" si="89"/>
        <v>#DIV/0!</v>
      </c>
      <c r="AZ379" s="676">
        <f t="shared" si="73"/>
        <v>10</v>
      </c>
      <c r="BA379" s="581"/>
      <c r="BB379" s="570"/>
      <c r="BC379" s="581"/>
      <c r="BD379" s="3691"/>
      <c r="BE379" s="3743"/>
      <c r="BF379" s="3743"/>
      <c r="BG379" s="3708"/>
      <c r="BH379" s="3762"/>
      <c r="BI379" s="3762"/>
      <c r="BJ379" s="39"/>
      <c r="BK379" s="39"/>
      <c r="BL379" s="39"/>
      <c r="BM379" s="39"/>
      <c r="BN379" s="39"/>
      <c r="BO379" s="39"/>
      <c r="BP379" s="39"/>
      <c r="BQ379" s="39"/>
      <c r="BR379" s="39"/>
      <c r="BS379" s="507"/>
      <c r="BT379" s="507"/>
      <c r="BU379" s="507"/>
      <c r="BV379" s="507"/>
      <c r="BW379" s="507"/>
      <c r="BX379" s="507"/>
      <c r="BY379" s="507"/>
      <c r="BZ379" s="507"/>
      <c r="CA379" s="507"/>
      <c r="CB379" s="507"/>
      <c r="CC379" s="507"/>
      <c r="CD379" s="507"/>
      <c r="CE379" s="507"/>
      <c r="CF379" s="507"/>
      <c r="CG379" s="507"/>
      <c r="CH379" s="507"/>
      <c r="CI379" s="507"/>
      <c r="CJ379" s="507"/>
      <c r="CK379" s="507"/>
      <c r="CL379" s="507"/>
      <c r="CM379" s="507"/>
      <c r="CN379" s="507"/>
      <c r="CO379" s="507"/>
      <c r="CP379" s="507"/>
      <c r="CQ379" s="507"/>
      <c r="CR379" s="507"/>
      <c r="CS379" s="507"/>
      <c r="CT379" s="507"/>
      <c r="CU379" s="507"/>
      <c r="CV379" s="507"/>
      <c r="CW379" s="507"/>
      <c r="CX379" s="507"/>
      <c r="CY379" s="507"/>
      <c r="CZ379" s="507"/>
      <c r="DA379" s="507"/>
      <c r="DB379" s="507"/>
      <c r="DC379" s="507"/>
      <c r="DD379" s="507"/>
      <c r="DE379" s="507"/>
      <c r="DF379" s="507"/>
      <c r="DG379" s="507"/>
      <c r="DH379" s="507"/>
      <c r="DI379" s="507"/>
      <c r="DJ379" s="507"/>
      <c r="DK379" s="507"/>
      <c r="DL379" s="507"/>
      <c r="DM379" s="507"/>
      <c r="DN379" s="507"/>
      <c r="DO379" s="507"/>
      <c r="DP379" s="507"/>
      <c r="DQ379" s="507"/>
      <c r="DR379" s="507"/>
      <c r="DS379" s="507"/>
      <c r="DT379" s="507"/>
      <c r="DU379" s="507"/>
      <c r="DV379" s="507"/>
      <c r="DW379" s="507"/>
      <c r="DX379" s="507"/>
      <c r="DY379" s="507"/>
      <c r="DZ379" s="507"/>
      <c r="EA379" s="507"/>
      <c r="EB379" s="507"/>
      <c r="EC379" s="507"/>
      <c r="ED379" s="507"/>
      <c r="EE379" s="507"/>
      <c r="EF379" s="507"/>
      <c r="EG379" s="507"/>
      <c r="EH379" s="507"/>
      <c r="EI379" s="507"/>
      <c r="EJ379" s="507"/>
      <c r="EK379" s="507"/>
      <c r="EL379" s="507"/>
      <c r="EM379" s="507"/>
      <c r="EN379" s="507"/>
      <c r="EO379" s="507"/>
      <c r="EP379" s="507"/>
      <c r="EQ379" s="507"/>
      <c r="ER379" s="507"/>
      <c r="ES379" s="507"/>
      <c r="ET379" s="507"/>
      <c r="EU379" s="507"/>
      <c r="EV379" s="507"/>
      <c r="EW379" s="507"/>
      <c r="EX379" s="507"/>
      <c r="EY379" s="507"/>
      <c r="EZ379" s="507"/>
      <c r="FA379" s="507"/>
      <c r="FB379" s="507"/>
      <c r="FC379" s="507"/>
      <c r="FD379" s="507"/>
      <c r="FE379" s="507"/>
      <c r="FF379" s="507"/>
      <c r="FG379" s="507"/>
      <c r="FH379" s="507"/>
      <c r="FI379" s="507"/>
      <c r="FJ379" s="507"/>
      <c r="FK379" s="507"/>
      <c r="FL379" s="507"/>
      <c r="FM379" s="507"/>
      <c r="FN379" s="507"/>
      <c r="FO379" s="507"/>
      <c r="FP379" s="507"/>
      <c r="FQ379" s="507"/>
      <c r="FR379" s="507"/>
      <c r="FS379" s="507"/>
      <c r="FT379" s="507"/>
      <c r="FU379" s="507"/>
      <c r="FV379" s="507"/>
      <c r="FW379" s="507"/>
      <c r="FX379" s="507"/>
      <c r="FY379" s="507"/>
      <c r="FZ379" s="507"/>
      <c r="GA379" s="507"/>
      <c r="GB379" s="507"/>
      <c r="GC379" s="507"/>
      <c r="GD379" s="507"/>
      <c r="GE379" s="507"/>
      <c r="GF379" s="507"/>
      <c r="GG379" s="507"/>
      <c r="GH379" s="507"/>
      <c r="GI379" s="507"/>
      <c r="GJ379" s="507"/>
      <c r="GK379" s="507"/>
      <c r="GL379" s="507"/>
      <c r="GM379" s="507"/>
      <c r="GN379" s="507"/>
      <c r="GO379" s="507"/>
      <c r="GP379" s="507"/>
      <c r="GQ379" s="507"/>
      <c r="GR379" s="507"/>
      <c r="GS379" s="507"/>
      <c r="GT379" s="507"/>
      <c r="GU379" s="507"/>
      <c r="GV379" s="507"/>
      <c r="GW379" s="507"/>
      <c r="GX379" s="507"/>
      <c r="GY379" s="507"/>
      <c r="GZ379" s="507"/>
      <c r="HA379" s="507"/>
      <c r="HB379" s="507"/>
      <c r="HC379" s="507"/>
      <c r="HD379" s="507"/>
      <c r="HE379" s="507"/>
      <c r="HF379" s="507"/>
      <c r="HG379" s="507"/>
      <c r="HH379" s="507"/>
      <c r="HI379" s="507"/>
      <c r="HJ379" s="507"/>
      <c r="HK379" s="507"/>
      <c r="HL379" s="507"/>
      <c r="HM379" s="507"/>
      <c r="HN379" s="507"/>
      <c r="HO379" s="507"/>
      <c r="HP379" s="507"/>
      <c r="HQ379" s="507"/>
      <c r="HR379" s="507"/>
      <c r="HS379" s="507"/>
      <c r="HT379" s="507"/>
      <c r="HU379" s="507"/>
      <c r="HV379" s="507"/>
      <c r="HW379" s="507"/>
      <c r="HX379" s="507"/>
      <c r="HY379" s="507"/>
      <c r="HZ379" s="507"/>
    </row>
    <row r="380" spans="1:234" s="206" customFormat="1" ht="13.5" hidden="1" customHeight="1" x14ac:dyDescent="0.25">
      <c r="A380" s="541" t="s">
        <v>5417</v>
      </c>
      <c r="B380" s="523" t="s">
        <v>5418</v>
      </c>
      <c r="C380" s="524" t="s">
        <v>5423</v>
      </c>
      <c r="D380" s="551" t="s">
        <v>1859</v>
      </c>
      <c r="E380" s="569" t="s">
        <v>3228</v>
      </c>
      <c r="F380" s="543">
        <v>41282</v>
      </c>
      <c r="G380" s="544">
        <v>41214</v>
      </c>
      <c r="H380" s="544">
        <v>41274</v>
      </c>
      <c r="I380" s="616">
        <v>43251</v>
      </c>
      <c r="J380" s="579">
        <v>10</v>
      </c>
      <c r="K380" s="553">
        <v>0</v>
      </c>
      <c r="L380" s="552">
        <v>0.06</v>
      </c>
      <c r="M380" s="560">
        <v>0.03</v>
      </c>
      <c r="N380" s="606" t="s">
        <v>3229</v>
      </c>
      <c r="O380" s="613">
        <v>0.27</v>
      </c>
      <c r="P380" s="575" t="s">
        <v>3229</v>
      </c>
      <c r="Q380" s="575">
        <v>0.03</v>
      </c>
      <c r="R380" s="575" t="s">
        <v>3229</v>
      </c>
      <c r="S380" s="570">
        <v>5</v>
      </c>
      <c r="T380" s="617">
        <v>41609</v>
      </c>
      <c r="U380" s="563">
        <v>41974</v>
      </c>
      <c r="V380" s="563">
        <v>42339</v>
      </c>
      <c r="W380" s="563">
        <v>42705</v>
      </c>
      <c r="X380" s="563">
        <v>43191</v>
      </c>
      <c r="Y380" s="598" t="s">
        <v>3229</v>
      </c>
      <c r="Z380" s="598" t="s">
        <v>3229</v>
      </c>
      <c r="AA380" s="598" t="s">
        <v>3229</v>
      </c>
      <c r="AB380" s="598" t="s">
        <v>3229</v>
      </c>
      <c r="AC380" s="598" t="s">
        <v>3229</v>
      </c>
      <c r="AD380" s="598" t="s">
        <v>3229</v>
      </c>
      <c r="AE380" s="598" t="s">
        <v>3229</v>
      </c>
      <c r="AF380" s="3764" t="s">
        <v>781</v>
      </c>
      <c r="AG380" s="3765"/>
      <c r="AH380" s="1301" t="s">
        <v>3229</v>
      </c>
      <c r="AI380" s="1301" t="s">
        <v>3229</v>
      </c>
      <c r="AJ380" s="1301" t="s">
        <v>3229</v>
      </c>
      <c r="AK380" s="530" t="s">
        <v>3229</v>
      </c>
      <c r="AL380" s="530" t="s">
        <v>3229</v>
      </c>
      <c r="AM380" s="659">
        <v>1</v>
      </c>
      <c r="AN380" s="638">
        <f>'klikací hodnoty'!F11436</f>
        <v>0.21906399999999993</v>
      </c>
      <c r="AO380" s="625">
        <v>12.19</v>
      </c>
      <c r="AP380" s="688">
        <f>'klikací hodnoty'!F11428</f>
        <v>4.4505898456411147E-2</v>
      </c>
      <c r="AQ380" s="606">
        <f>'klikací hodnoty'!E11428</f>
        <v>0.40421335500463929</v>
      </c>
      <c r="AR380" s="600">
        <v>0.21909999999999999</v>
      </c>
      <c r="AS380" s="548">
        <f t="shared" si="90"/>
        <v>3.74075241965659E-2</v>
      </c>
      <c r="AT380" s="548">
        <f t="shared" si="91"/>
        <v>8.2034454470969465E-5</v>
      </c>
      <c r="AU380" s="549" t="e">
        <f t="shared" si="92"/>
        <v>#DIV/0!</v>
      </c>
      <c r="AV380" s="558">
        <f t="shared" si="80"/>
        <v>0.03</v>
      </c>
      <c r="AW380" s="558">
        <f t="shared" si="74"/>
        <v>5.494451735845729E-3</v>
      </c>
      <c r="AX380" s="589">
        <f t="shared" si="88"/>
        <v>-0.15504511894995887</v>
      </c>
      <c r="AY380" s="587" t="e">
        <f t="shared" si="89"/>
        <v>#DIV/0!</v>
      </c>
      <c r="AZ380" s="676">
        <f t="shared" si="73"/>
        <v>10.3</v>
      </c>
      <c r="BA380" s="581" t="s">
        <v>2585</v>
      </c>
      <c r="BB380" s="570" t="s">
        <v>2025</v>
      </c>
      <c r="BC380" s="581" t="s">
        <v>2895</v>
      </c>
      <c r="BD380" s="3691"/>
      <c r="BE380" s="3743"/>
      <c r="BF380" s="3743"/>
      <c r="BG380" s="3708"/>
      <c r="BH380" s="3762"/>
      <c r="BI380" s="3762"/>
      <c r="BJ380" s="39"/>
      <c r="BK380" s="39"/>
      <c r="BL380" s="39"/>
      <c r="BM380" s="39"/>
      <c r="BN380" s="39"/>
      <c r="BO380" s="39"/>
      <c r="BP380" s="39"/>
      <c r="BQ380" s="39"/>
      <c r="BR380" s="39"/>
      <c r="BS380" s="507"/>
      <c r="BT380" s="507"/>
      <c r="BU380" s="507"/>
      <c r="BV380" s="507"/>
      <c r="BW380" s="507"/>
      <c r="BX380" s="507"/>
      <c r="BY380" s="507"/>
      <c r="BZ380" s="507"/>
      <c r="CA380" s="507"/>
      <c r="CB380" s="507"/>
      <c r="CC380" s="507"/>
      <c r="CD380" s="507"/>
      <c r="CE380" s="507"/>
      <c r="CF380" s="507"/>
      <c r="CG380" s="507"/>
      <c r="CH380" s="507"/>
      <c r="CI380" s="507"/>
      <c r="CJ380" s="507"/>
      <c r="CK380" s="507"/>
      <c r="CL380" s="507"/>
      <c r="CM380" s="507"/>
      <c r="CN380" s="507"/>
      <c r="CO380" s="507"/>
      <c r="CP380" s="507"/>
      <c r="CQ380" s="507"/>
      <c r="CR380" s="507"/>
      <c r="CS380" s="507"/>
      <c r="CT380" s="507"/>
      <c r="CU380" s="507"/>
      <c r="CV380" s="507"/>
      <c r="CW380" s="507"/>
      <c r="CX380" s="507"/>
      <c r="CY380" s="507"/>
      <c r="CZ380" s="507"/>
      <c r="DA380" s="507"/>
      <c r="DB380" s="507"/>
      <c r="DC380" s="507"/>
      <c r="DD380" s="507"/>
      <c r="DE380" s="507"/>
      <c r="DF380" s="507"/>
      <c r="DG380" s="507"/>
      <c r="DH380" s="507"/>
      <c r="DI380" s="507"/>
      <c r="DJ380" s="507"/>
      <c r="DK380" s="507"/>
      <c r="DL380" s="507"/>
      <c r="DM380" s="507"/>
      <c r="DN380" s="507"/>
      <c r="DO380" s="507"/>
      <c r="DP380" s="507"/>
      <c r="DQ380" s="507"/>
      <c r="DR380" s="507"/>
      <c r="DS380" s="507"/>
      <c r="DT380" s="507"/>
      <c r="DU380" s="507"/>
      <c r="DV380" s="507"/>
      <c r="DW380" s="507"/>
      <c r="DX380" s="507"/>
      <c r="DY380" s="507"/>
      <c r="DZ380" s="507"/>
      <c r="EA380" s="507"/>
      <c r="EB380" s="507"/>
      <c r="EC380" s="507"/>
      <c r="ED380" s="507"/>
      <c r="EE380" s="507"/>
      <c r="EF380" s="507"/>
      <c r="EG380" s="507"/>
      <c r="EH380" s="507"/>
      <c r="EI380" s="507"/>
      <c r="EJ380" s="507"/>
      <c r="EK380" s="507"/>
      <c r="EL380" s="507"/>
      <c r="EM380" s="507"/>
      <c r="EN380" s="507"/>
      <c r="EO380" s="507"/>
      <c r="EP380" s="507"/>
      <c r="EQ380" s="507"/>
      <c r="ER380" s="507"/>
      <c r="ES380" s="507"/>
      <c r="ET380" s="507"/>
      <c r="EU380" s="507"/>
      <c r="EV380" s="507"/>
      <c r="EW380" s="507"/>
      <c r="EX380" s="507"/>
      <c r="EY380" s="507"/>
      <c r="EZ380" s="507"/>
      <c r="FA380" s="507"/>
      <c r="FB380" s="507"/>
      <c r="FC380" s="507"/>
      <c r="FD380" s="507"/>
      <c r="FE380" s="507"/>
      <c r="FF380" s="507"/>
      <c r="FG380" s="507"/>
      <c r="FH380" s="507"/>
      <c r="FI380" s="507"/>
      <c r="FJ380" s="507"/>
      <c r="FK380" s="507"/>
      <c r="FL380" s="507"/>
      <c r="FM380" s="507"/>
      <c r="FN380" s="507"/>
      <c r="FO380" s="507"/>
      <c r="FP380" s="507"/>
      <c r="FQ380" s="507"/>
      <c r="FR380" s="507"/>
      <c r="FS380" s="507"/>
      <c r="FT380" s="507"/>
      <c r="FU380" s="507"/>
      <c r="FV380" s="507"/>
      <c r="FW380" s="507"/>
      <c r="FX380" s="507"/>
      <c r="FY380" s="507"/>
      <c r="FZ380" s="507"/>
      <c r="GA380" s="507"/>
      <c r="GB380" s="507"/>
      <c r="GC380" s="507"/>
      <c r="GD380" s="507"/>
      <c r="GE380" s="507"/>
      <c r="GF380" s="507"/>
      <c r="GG380" s="507"/>
      <c r="GH380" s="507"/>
      <c r="GI380" s="507"/>
      <c r="GJ380" s="507"/>
      <c r="GK380" s="507"/>
      <c r="GL380" s="507"/>
      <c r="GM380" s="507"/>
      <c r="GN380" s="507"/>
      <c r="GO380" s="507"/>
      <c r="GP380" s="507"/>
      <c r="GQ380" s="507"/>
      <c r="GR380" s="507"/>
      <c r="GS380" s="507"/>
      <c r="GT380" s="507"/>
      <c r="GU380" s="507"/>
      <c r="GV380" s="507"/>
      <c r="GW380" s="507"/>
      <c r="GX380" s="507"/>
      <c r="GY380" s="507"/>
      <c r="GZ380" s="507"/>
      <c r="HA380" s="507"/>
      <c r="HB380" s="507"/>
      <c r="HC380" s="507"/>
      <c r="HD380" s="507"/>
      <c r="HE380" s="507"/>
      <c r="HF380" s="507"/>
      <c r="HG380" s="507"/>
      <c r="HH380" s="507"/>
      <c r="HI380" s="507"/>
      <c r="HJ380" s="507"/>
      <c r="HK380" s="507"/>
      <c r="HL380" s="507"/>
      <c r="HM380" s="507"/>
      <c r="HN380" s="507"/>
      <c r="HO380" s="507"/>
      <c r="HP380" s="507"/>
      <c r="HQ380" s="507"/>
      <c r="HR380" s="507"/>
      <c r="HS380" s="507"/>
      <c r="HT380" s="507"/>
      <c r="HU380" s="507"/>
      <c r="HV380" s="507"/>
      <c r="HW380" s="507"/>
      <c r="HX380" s="507"/>
      <c r="HY380" s="507"/>
      <c r="HZ380" s="507"/>
    </row>
    <row r="381" spans="1:234" s="206" customFormat="1" ht="13.5" hidden="1" customHeight="1" x14ac:dyDescent="0.25">
      <c r="A381" s="541" t="s">
        <v>5420</v>
      </c>
      <c r="B381" s="523" t="s">
        <v>5419</v>
      </c>
      <c r="C381" s="524" t="s">
        <v>5421</v>
      </c>
      <c r="D381" s="551" t="s">
        <v>5422</v>
      </c>
      <c r="E381" s="569" t="s">
        <v>3228</v>
      </c>
      <c r="F381" s="543">
        <v>41262</v>
      </c>
      <c r="G381" s="544">
        <v>41214</v>
      </c>
      <c r="H381" s="544">
        <v>41250</v>
      </c>
      <c r="I381" s="616">
        <v>43098</v>
      </c>
      <c r="J381" s="579">
        <v>10</v>
      </c>
      <c r="K381" s="553" t="s">
        <v>3229</v>
      </c>
      <c r="L381" s="552" t="s">
        <v>3229</v>
      </c>
      <c r="M381" s="560">
        <v>8.3000000000000004E-2</v>
      </c>
      <c r="N381" s="606" t="s">
        <v>3229</v>
      </c>
      <c r="O381" s="613">
        <v>0.42199999999999999</v>
      </c>
      <c r="P381" s="575" t="s">
        <v>3229</v>
      </c>
      <c r="Q381" s="575">
        <v>3.2000000000000001E-2</v>
      </c>
      <c r="R381" s="575">
        <v>1.5</v>
      </c>
      <c r="S381" s="570">
        <v>5</v>
      </c>
      <c r="T381" s="617">
        <v>41579</v>
      </c>
      <c r="U381" s="563">
        <v>41944</v>
      </c>
      <c r="V381" s="563">
        <v>42309</v>
      </c>
      <c r="W381" s="563">
        <v>42675</v>
      </c>
      <c r="X381" s="563">
        <v>43040</v>
      </c>
      <c r="Y381" s="598" t="s">
        <v>3229</v>
      </c>
      <c r="Z381" s="598" t="s">
        <v>3229</v>
      </c>
      <c r="AA381" s="598" t="s">
        <v>3229</v>
      </c>
      <c r="AB381" s="598" t="s">
        <v>3229</v>
      </c>
      <c r="AC381" s="598" t="s">
        <v>3229</v>
      </c>
      <c r="AD381" s="598" t="s">
        <v>3229</v>
      </c>
      <c r="AE381" s="598" t="s">
        <v>3229</v>
      </c>
      <c r="AF381" s="3764" t="s">
        <v>781</v>
      </c>
      <c r="AG381" s="3765"/>
      <c r="AH381" s="1301" t="s">
        <v>3229</v>
      </c>
      <c r="AI381" s="1301" t="s">
        <v>3229</v>
      </c>
      <c r="AJ381" s="1301" t="s">
        <v>3229</v>
      </c>
      <c r="AK381" s="530" t="s">
        <v>3229</v>
      </c>
      <c r="AL381" s="530" t="s">
        <v>3229</v>
      </c>
      <c r="AM381" s="659">
        <v>1</v>
      </c>
      <c r="AN381" s="638">
        <f>'klikací hodnoty'!F11393</f>
        <v>0.12085555555555555</v>
      </c>
      <c r="AO381" s="625">
        <v>11.21</v>
      </c>
      <c r="AP381" s="688" t="s">
        <v>3229</v>
      </c>
      <c r="AQ381" s="606">
        <f>'klikací hodnoty'!E11387</f>
        <v>0.48287024501168269</v>
      </c>
      <c r="AR381" s="600">
        <f t="shared" si="84"/>
        <v>0.42199999999999999</v>
      </c>
      <c r="AS381" s="548">
        <f t="shared" si="90"/>
        <v>7.2498531617946727E-2</v>
      </c>
      <c r="AT381" s="548">
        <f t="shared" si="91"/>
        <v>0.26851025869759115</v>
      </c>
      <c r="AU381" s="549" t="e">
        <f t="shared" si="92"/>
        <v>#DIV/0!</v>
      </c>
      <c r="AV381" s="558">
        <f t="shared" si="80"/>
        <v>8.3000000000000004E-2</v>
      </c>
      <c r="AW381" s="558">
        <f t="shared" si="74"/>
        <v>1.5977751324407041E-2</v>
      </c>
      <c r="AX381" s="589">
        <f t="shared" si="88"/>
        <v>-3.3898305084745783E-2</v>
      </c>
      <c r="AY381" s="587" t="e">
        <f t="shared" si="89"/>
        <v>#DIV/0!</v>
      </c>
      <c r="AZ381" s="676">
        <f t="shared" si="73"/>
        <v>10.83</v>
      </c>
      <c r="BA381" s="581"/>
      <c r="BB381" s="570"/>
      <c r="BC381" s="581"/>
      <c r="BD381" s="3691"/>
      <c r="BE381" s="3743"/>
      <c r="BF381" s="3743"/>
      <c r="BG381" s="3708"/>
      <c r="BH381" s="3762"/>
      <c r="BI381" s="3762"/>
      <c r="BJ381" s="39"/>
      <c r="BK381" s="39"/>
      <c r="BL381" s="39"/>
      <c r="BM381" s="39"/>
      <c r="BN381" s="39"/>
      <c r="BO381" s="39"/>
      <c r="BP381" s="39"/>
      <c r="BQ381" s="39"/>
      <c r="BR381" s="39"/>
      <c r="BS381" s="507"/>
      <c r="BT381" s="507"/>
      <c r="BU381" s="507"/>
      <c r="BV381" s="507"/>
      <c r="BW381" s="507"/>
      <c r="BX381" s="507"/>
      <c r="BY381" s="507"/>
      <c r="BZ381" s="507"/>
      <c r="CA381" s="507"/>
      <c r="CB381" s="507"/>
      <c r="CC381" s="507"/>
      <c r="CD381" s="507"/>
      <c r="CE381" s="507"/>
      <c r="CF381" s="507"/>
      <c r="CG381" s="507"/>
      <c r="CH381" s="507"/>
      <c r="CI381" s="507"/>
      <c r="CJ381" s="507"/>
      <c r="CK381" s="507"/>
      <c r="CL381" s="507"/>
      <c r="CM381" s="507"/>
      <c r="CN381" s="507"/>
      <c r="CO381" s="507"/>
      <c r="CP381" s="507"/>
      <c r="CQ381" s="507"/>
      <c r="CR381" s="507"/>
      <c r="CS381" s="507"/>
      <c r="CT381" s="507"/>
      <c r="CU381" s="507"/>
      <c r="CV381" s="507"/>
      <c r="CW381" s="507"/>
      <c r="CX381" s="507"/>
      <c r="CY381" s="507"/>
      <c r="CZ381" s="507"/>
      <c r="DA381" s="507"/>
      <c r="DB381" s="507"/>
      <c r="DC381" s="507"/>
      <c r="DD381" s="507"/>
      <c r="DE381" s="507"/>
      <c r="DF381" s="507"/>
      <c r="DG381" s="507"/>
      <c r="DH381" s="507"/>
      <c r="DI381" s="507"/>
      <c r="DJ381" s="507"/>
      <c r="DK381" s="507"/>
      <c r="DL381" s="507"/>
      <c r="DM381" s="507"/>
      <c r="DN381" s="507"/>
      <c r="DO381" s="507"/>
      <c r="DP381" s="507"/>
      <c r="DQ381" s="507"/>
      <c r="DR381" s="507"/>
      <c r="DS381" s="507"/>
      <c r="DT381" s="507"/>
      <c r="DU381" s="507"/>
      <c r="DV381" s="507"/>
      <c r="DW381" s="507"/>
      <c r="DX381" s="507"/>
      <c r="DY381" s="507"/>
      <c r="DZ381" s="507"/>
      <c r="EA381" s="507"/>
      <c r="EB381" s="507"/>
      <c r="EC381" s="507"/>
      <c r="ED381" s="507"/>
      <c r="EE381" s="507"/>
      <c r="EF381" s="507"/>
      <c r="EG381" s="507"/>
      <c r="EH381" s="507"/>
      <c r="EI381" s="507"/>
      <c r="EJ381" s="507"/>
      <c r="EK381" s="507"/>
      <c r="EL381" s="507"/>
      <c r="EM381" s="507"/>
      <c r="EN381" s="507"/>
      <c r="EO381" s="507"/>
      <c r="EP381" s="507"/>
      <c r="EQ381" s="507"/>
      <c r="ER381" s="507"/>
      <c r="ES381" s="507"/>
      <c r="ET381" s="507"/>
      <c r="EU381" s="507"/>
      <c r="EV381" s="507"/>
      <c r="EW381" s="507"/>
      <c r="EX381" s="507"/>
      <c r="EY381" s="507"/>
      <c r="EZ381" s="507"/>
      <c r="FA381" s="507"/>
      <c r="FB381" s="507"/>
      <c r="FC381" s="507"/>
      <c r="FD381" s="507"/>
      <c r="FE381" s="507"/>
      <c r="FF381" s="507"/>
      <c r="FG381" s="507"/>
      <c r="FH381" s="507"/>
      <c r="FI381" s="507"/>
      <c r="FJ381" s="507"/>
      <c r="FK381" s="507"/>
      <c r="FL381" s="507"/>
      <c r="FM381" s="507"/>
      <c r="FN381" s="507"/>
      <c r="FO381" s="507"/>
      <c r="FP381" s="507"/>
      <c r="FQ381" s="507"/>
      <c r="FR381" s="507"/>
      <c r="FS381" s="507"/>
      <c r="FT381" s="507"/>
      <c r="FU381" s="507"/>
      <c r="FV381" s="507"/>
      <c r="FW381" s="507"/>
      <c r="FX381" s="507"/>
      <c r="FY381" s="507"/>
      <c r="FZ381" s="507"/>
      <c r="GA381" s="507"/>
      <c r="GB381" s="507"/>
      <c r="GC381" s="507"/>
      <c r="GD381" s="507"/>
      <c r="GE381" s="507"/>
      <c r="GF381" s="507"/>
      <c r="GG381" s="507"/>
      <c r="GH381" s="507"/>
      <c r="GI381" s="507"/>
      <c r="GJ381" s="507"/>
      <c r="GK381" s="507"/>
      <c r="GL381" s="507"/>
      <c r="GM381" s="507"/>
      <c r="GN381" s="507"/>
      <c r="GO381" s="507"/>
      <c r="GP381" s="507"/>
      <c r="GQ381" s="507"/>
      <c r="GR381" s="507"/>
      <c r="GS381" s="507"/>
      <c r="GT381" s="507"/>
      <c r="GU381" s="507"/>
      <c r="GV381" s="507"/>
      <c r="GW381" s="507"/>
      <c r="GX381" s="507"/>
      <c r="GY381" s="507"/>
      <c r="GZ381" s="507"/>
      <c r="HA381" s="507"/>
      <c r="HB381" s="507"/>
      <c r="HC381" s="507"/>
      <c r="HD381" s="507"/>
      <c r="HE381" s="507"/>
      <c r="HF381" s="507"/>
      <c r="HG381" s="507"/>
      <c r="HH381" s="507"/>
      <c r="HI381" s="507"/>
      <c r="HJ381" s="507"/>
      <c r="HK381" s="507"/>
      <c r="HL381" s="507"/>
      <c r="HM381" s="507"/>
      <c r="HN381" s="507"/>
      <c r="HO381" s="507"/>
      <c r="HP381" s="507"/>
      <c r="HQ381" s="507"/>
      <c r="HR381" s="507"/>
      <c r="HS381" s="507"/>
      <c r="HT381" s="507"/>
      <c r="HU381" s="507"/>
      <c r="HV381" s="507"/>
      <c r="HW381" s="507"/>
      <c r="HX381" s="507"/>
      <c r="HY381" s="507"/>
      <c r="HZ381" s="507"/>
    </row>
    <row r="382" spans="1:234" s="206" customFormat="1" ht="13.5" hidden="1" customHeight="1" x14ac:dyDescent="0.25">
      <c r="A382" s="541" t="s">
        <v>5464</v>
      </c>
      <c r="B382" s="523" t="s">
        <v>5465</v>
      </c>
      <c r="C382" s="524" t="s">
        <v>5463</v>
      </c>
      <c r="D382" s="551" t="s">
        <v>1859</v>
      </c>
      <c r="E382" s="569" t="s">
        <v>3228</v>
      </c>
      <c r="F382" s="543">
        <v>41340</v>
      </c>
      <c r="G382" s="544">
        <v>40910</v>
      </c>
      <c r="H382" s="544">
        <v>40967</v>
      </c>
      <c r="I382" s="616">
        <v>43434</v>
      </c>
      <c r="J382" s="579">
        <v>10</v>
      </c>
      <c r="K382" s="553" t="s">
        <v>3229</v>
      </c>
      <c r="L382" s="552" t="s">
        <v>3229</v>
      </c>
      <c r="M382" s="560">
        <v>0</v>
      </c>
      <c r="N382" s="606">
        <v>0.65</v>
      </c>
      <c r="O382" s="613">
        <v>0.6</v>
      </c>
      <c r="P382" s="575" t="s">
        <v>3229</v>
      </c>
      <c r="Q382" s="575" t="s">
        <v>3229</v>
      </c>
      <c r="R382" s="575" t="s">
        <v>3229</v>
      </c>
      <c r="S382" s="570"/>
      <c r="T382" s="617" t="s">
        <v>3229</v>
      </c>
      <c r="U382" s="563" t="s">
        <v>3229</v>
      </c>
      <c r="V382" s="563" t="s">
        <v>3229</v>
      </c>
      <c r="W382" s="563" t="s">
        <v>3229</v>
      </c>
      <c r="X382" s="563" t="s">
        <v>3229</v>
      </c>
      <c r="Y382" s="598" t="s">
        <v>3229</v>
      </c>
      <c r="Z382" s="598" t="s">
        <v>3229</v>
      </c>
      <c r="AA382" s="598" t="s">
        <v>3229</v>
      </c>
      <c r="AB382" s="598" t="s">
        <v>3229</v>
      </c>
      <c r="AC382" s="598" t="s">
        <v>3229</v>
      </c>
      <c r="AD382" s="598" t="s">
        <v>3229</v>
      </c>
      <c r="AE382" s="598" t="s">
        <v>3229</v>
      </c>
      <c r="AF382" s="3764" t="s">
        <v>781</v>
      </c>
      <c r="AG382" s="3765"/>
      <c r="AH382" s="1301" t="s">
        <v>3229</v>
      </c>
      <c r="AI382" s="1301" t="s">
        <v>3229</v>
      </c>
      <c r="AJ382" s="1301" t="s">
        <v>3229</v>
      </c>
      <c r="AK382" s="530" t="s">
        <v>3229</v>
      </c>
      <c r="AL382" s="530" t="s">
        <v>3229</v>
      </c>
      <c r="AM382" s="659">
        <v>1</v>
      </c>
      <c r="AN382" s="638">
        <f>'klikací hodnoty'!F11598</f>
        <v>0.22887493055555558</v>
      </c>
      <c r="AO382" s="625">
        <v>12.29</v>
      </c>
      <c r="AP382" s="688">
        <f>AQ382</f>
        <v>0.30655964285226162</v>
      </c>
      <c r="AQ382" s="606">
        <f>'klikací hodnoty'!F11578</f>
        <v>0.30655964285226162</v>
      </c>
      <c r="AR382" s="600">
        <f t="shared" si="84"/>
        <v>0.6</v>
      </c>
      <c r="AS382" s="548">
        <f t="shared" si="90"/>
        <v>8.5374597900189642E-2</v>
      </c>
      <c r="AT382" s="548">
        <f t="shared" si="91"/>
        <v>0.30187144019528089</v>
      </c>
      <c r="AU382" s="549" t="e">
        <f t="shared" si="92"/>
        <v>#DIV/0!</v>
      </c>
      <c r="AV382" s="558">
        <f t="shared" si="80"/>
        <v>0</v>
      </c>
      <c r="AW382" s="558">
        <f t="shared" si="74"/>
        <v>0</v>
      </c>
      <c r="AX382" s="589">
        <f t="shared" si="88"/>
        <v>-0.1863303498779495</v>
      </c>
      <c r="AY382" s="587" t="e">
        <f t="shared" si="89"/>
        <v>#DIV/0!</v>
      </c>
      <c r="AZ382" s="676">
        <f t="shared" si="73"/>
        <v>10</v>
      </c>
      <c r="BA382" s="581" t="s">
        <v>574</v>
      </c>
      <c r="BB382" s="570"/>
      <c r="BC382" s="581"/>
      <c r="BD382" s="3691"/>
      <c r="BE382" s="3743"/>
      <c r="BF382" s="3743"/>
      <c r="BG382" s="3708"/>
      <c r="BH382" s="3762"/>
      <c r="BI382" s="3762"/>
      <c r="BJ382" s="39"/>
      <c r="BK382" s="39"/>
      <c r="BL382" s="39"/>
      <c r="BM382" s="39"/>
      <c r="BN382" s="39"/>
      <c r="BO382" s="39"/>
      <c r="BP382" s="39"/>
      <c r="BQ382" s="39"/>
      <c r="BR382" s="39"/>
      <c r="BS382" s="507"/>
      <c r="BT382" s="507"/>
      <c r="BU382" s="507"/>
      <c r="BV382" s="507"/>
      <c r="BW382" s="507"/>
      <c r="BX382" s="507"/>
      <c r="BY382" s="507"/>
      <c r="BZ382" s="507"/>
      <c r="CA382" s="507"/>
      <c r="CB382" s="507"/>
      <c r="CC382" s="507"/>
      <c r="CD382" s="507"/>
      <c r="CE382" s="507"/>
      <c r="CF382" s="507"/>
      <c r="CG382" s="507"/>
      <c r="CH382" s="507"/>
      <c r="CI382" s="507"/>
      <c r="CJ382" s="507"/>
      <c r="CK382" s="507"/>
      <c r="CL382" s="507"/>
      <c r="CM382" s="507"/>
      <c r="CN382" s="507"/>
      <c r="CO382" s="507"/>
      <c r="CP382" s="507"/>
      <c r="CQ382" s="507"/>
      <c r="CR382" s="507"/>
      <c r="CS382" s="507"/>
      <c r="CT382" s="507"/>
      <c r="CU382" s="507"/>
      <c r="CV382" s="507"/>
      <c r="CW382" s="507"/>
      <c r="CX382" s="507"/>
      <c r="CY382" s="507"/>
      <c r="CZ382" s="507"/>
      <c r="DA382" s="507"/>
      <c r="DB382" s="507"/>
      <c r="DC382" s="507"/>
      <c r="DD382" s="507"/>
      <c r="DE382" s="507"/>
      <c r="DF382" s="507"/>
      <c r="DG382" s="507"/>
      <c r="DH382" s="507"/>
      <c r="DI382" s="507"/>
      <c r="DJ382" s="507"/>
      <c r="DK382" s="507"/>
      <c r="DL382" s="507"/>
      <c r="DM382" s="507"/>
      <c r="DN382" s="507"/>
      <c r="DO382" s="507"/>
      <c r="DP382" s="507"/>
      <c r="DQ382" s="507"/>
      <c r="DR382" s="507"/>
      <c r="DS382" s="507"/>
      <c r="DT382" s="507"/>
      <c r="DU382" s="507"/>
      <c r="DV382" s="507"/>
      <c r="DW382" s="507"/>
      <c r="DX382" s="507"/>
      <c r="DY382" s="507"/>
      <c r="DZ382" s="507"/>
      <c r="EA382" s="507"/>
      <c r="EB382" s="507"/>
      <c r="EC382" s="507"/>
      <c r="ED382" s="507"/>
      <c r="EE382" s="507"/>
      <c r="EF382" s="507"/>
      <c r="EG382" s="507"/>
      <c r="EH382" s="507"/>
      <c r="EI382" s="507"/>
      <c r="EJ382" s="507"/>
      <c r="EK382" s="507"/>
      <c r="EL382" s="507"/>
      <c r="EM382" s="507"/>
      <c r="EN382" s="507"/>
      <c r="EO382" s="507"/>
      <c r="EP382" s="507"/>
      <c r="EQ382" s="507"/>
      <c r="ER382" s="507"/>
      <c r="ES382" s="507"/>
      <c r="ET382" s="507"/>
      <c r="EU382" s="507"/>
      <c r="EV382" s="507"/>
      <c r="EW382" s="507"/>
      <c r="EX382" s="507"/>
      <c r="EY382" s="507"/>
      <c r="EZ382" s="507"/>
      <c r="FA382" s="507"/>
      <c r="FB382" s="507"/>
      <c r="FC382" s="507"/>
      <c r="FD382" s="507"/>
      <c r="FE382" s="507"/>
      <c r="FF382" s="507"/>
      <c r="FG382" s="507"/>
      <c r="FH382" s="507"/>
      <c r="FI382" s="507"/>
      <c r="FJ382" s="507"/>
      <c r="FK382" s="507"/>
      <c r="FL382" s="507"/>
      <c r="FM382" s="507"/>
      <c r="FN382" s="507"/>
      <c r="FO382" s="507"/>
      <c r="FP382" s="507"/>
      <c r="FQ382" s="507"/>
      <c r="FR382" s="507"/>
      <c r="FS382" s="507"/>
      <c r="FT382" s="507"/>
      <c r="FU382" s="507"/>
      <c r="FV382" s="507"/>
      <c r="FW382" s="507"/>
      <c r="FX382" s="507"/>
      <c r="FY382" s="507"/>
      <c r="FZ382" s="507"/>
      <c r="GA382" s="507"/>
      <c r="GB382" s="507"/>
      <c r="GC382" s="507"/>
      <c r="GD382" s="507"/>
      <c r="GE382" s="507"/>
      <c r="GF382" s="507"/>
      <c r="GG382" s="507"/>
      <c r="GH382" s="507"/>
      <c r="GI382" s="507"/>
      <c r="GJ382" s="507"/>
      <c r="GK382" s="507"/>
      <c r="GL382" s="507"/>
      <c r="GM382" s="507"/>
      <c r="GN382" s="507"/>
      <c r="GO382" s="507"/>
      <c r="GP382" s="507"/>
      <c r="GQ382" s="507"/>
      <c r="GR382" s="507"/>
      <c r="GS382" s="507"/>
      <c r="GT382" s="507"/>
      <c r="GU382" s="507"/>
      <c r="GV382" s="507"/>
      <c r="GW382" s="507"/>
      <c r="GX382" s="507"/>
      <c r="GY382" s="507"/>
      <c r="GZ382" s="507"/>
      <c r="HA382" s="507"/>
      <c r="HB382" s="507"/>
      <c r="HC382" s="507"/>
      <c r="HD382" s="507"/>
      <c r="HE382" s="507"/>
      <c r="HF382" s="507"/>
      <c r="HG382" s="507"/>
      <c r="HH382" s="507"/>
      <c r="HI382" s="507"/>
      <c r="HJ382" s="507"/>
      <c r="HK382" s="507"/>
      <c r="HL382" s="507"/>
      <c r="HM382" s="507"/>
      <c r="HN382" s="507"/>
      <c r="HO382" s="507"/>
      <c r="HP382" s="507"/>
      <c r="HQ382" s="507"/>
      <c r="HR382" s="507"/>
      <c r="HS382" s="507"/>
      <c r="HT382" s="507"/>
      <c r="HU382" s="507"/>
      <c r="HV382" s="507"/>
      <c r="HW382" s="507"/>
      <c r="HX382" s="507"/>
      <c r="HY382" s="507"/>
      <c r="HZ382" s="507"/>
    </row>
    <row r="383" spans="1:234" s="206" customFormat="1" ht="13.5" hidden="1" customHeight="1" x14ac:dyDescent="0.25">
      <c r="A383" s="541" t="s">
        <v>5466</v>
      </c>
      <c r="B383" s="523" t="s">
        <v>5467</v>
      </c>
      <c r="C383" s="524" t="s">
        <v>5468</v>
      </c>
      <c r="D383" s="551" t="s">
        <v>189</v>
      </c>
      <c r="E383" s="569" t="s">
        <v>1743</v>
      </c>
      <c r="F383" s="543">
        <v>41340</v>
      </c>
      <c r="G383" s="544">
        <v>40910</v>
      </c>
      <c r="H383" s="544">
        <v>40967</v>
      </c>
      <c r="I383" s="616">
        <v>43312</v>
      </c>
      <c r="J383" s="579">
        <v>10</v>
      </c>
      <c r="K383" s="553">
        <v>0</v>
      </c>
      <c r="L383" s="552">
        <v>5.5E-2</v>
      </c>
      <c r="M383" s="560">
        <v>3.5000000000000003E-2</v>
      </c>
      <c r="N383" s="606" t="s">
        <v>3229</v>
      </c>
      <c r="O383" s="613">
        <v>0.255</v>
      </c>
      <c r="P383" s="575" t="s">
        <v>3229</v>
      </c>
      <c r="Q383" s="575">
        <v>3.5000000000000003E-2</v>
      </c>
      <c r="R383" s="575" t="s">
        <v>3229</v>
      </c>
      <c r="S383" s="570">
        <v>5</v>
      </c>
      <c r="T383" s="617">
        <v>41671</v>
      </c>
      <c r="U383" s="563">
        <v>42036</v>
      </c>
      <c r="V383" s="563">
        <v>42401</v>
      </c>
      <c r="W383" s="563">
        <v>42767</v>
      </c>
      <c r="X383" s="563">
        <v>43252</v>
      </c>
      <c r="Y383" s="598" t="s">
        <v>3229</v>
      </c>
      <c r="Z383" s="598" t="s">
        <v>3229</v>
      </c>
      <c r="AA383" s="598" t="s">
        <v>3229</v>
      </c>
      <c r="AB383" s="598" t="s">
        <v>3229</v>
      </c>
      <c r="AC383" s="598" t="s">
        <v>3229</v>
      </c>
      <c r="AD383" s="598" t="s">
        <v>3229</v>
      </c>
      <c r="AE383" s="598" t="s">
        <v>3229</v>
      </c>
      <c r="AF383" s="3764" t="s">
        <v>781</v>
      </c>
      <c r="AG383" s="3765"/>
      <c r="AH383" s="1301" t="s">
        <v>3229</v>
      </c>
      <c r="AI383" s="1301" t="s">
        <v>3229</v>
      </c>
      <c r="AJ383" s="1301" t="s">
        <v>3229</v>
      </c>
      <c r="AK383" s="530" t="s">
        <v>3229</v>
      </c>
      <c r="AL383" s="530" t="s">
        <v>3229</v>
      </c>
      <c r="AM383" s="659">
        <v>1</v>
      </c>
      <c r="AN383" s="638">
        <f>'klikací hodnoty'!F11641</f>
        <v>0.17069999999999996</v>
      </c>
      <c r="AO383" s="625">
        <v>11.71</v>
      </c>
      <c r="AP383" s="688">
        <f>'klikací hodnoty'!F11633</f>
        <v>2.6412190616606275E-2</v>
      </c>
      <c r="AQ383" s="606">
        <f>'klikací hodnoty'!E11633</f>
        <v>0.29270800532737995</v>
      </c>
      <c r="AR383" s="600">
        <v>0.17069999999999999</v>
      </c>
      <c r="AS383" s="548">
        <f t="shared" si="90"/>
        <v>2.9600362891568421E-2</v>
      </c>
      <c r="AT383" s="548">
        <f t="shared" si="91"/>
        <v>-2.5619128949616599E-4</v>
      </c>
      <c r="AU383" s="549" t="e">
        <f t="shared" si="92"/>
        <v>#DIV/0!</v>
      </c>
      <c r="AV383" s="558">
        <f t="shared" si="80"/>
        <v>3.5000000000000003E-2</v>
      </c>
      <c r="AW383" s="558">
        <f t="shared" si="74"/>
        <v>6.3877190444965315E-3</v>
      </c>
      <c r="AX383" s="589">
        <f t="shared" si="88"/>
        <v>-0.11614005123825799</v>
      </c>
      <c r="AY383" s="587" t="e">
        <f t="shared" si="89"/>
        <v>#DIV/0!</v>
      </c>
      <c r="AZ383" s="676">
        <f t="shared" si="73"/>
        <v>10.35</v>
      </c>
      <c r="BA383" s="581" t="s">
        <v>2585</v>
      </c>
      <c r="BB383" s="570" t="s">
        <v>2025</v>
      </c>
      <c r="BC383" s="581" t="s">
        <v>2895</v>
      </c>
      <c r="BD383" s="3691"/>
      <c r="BE383" s="3743"/>
      <c r="BF383" s="3743"/>
      <c r="BG383" s="3708"/>
      <c r="BH383" s="3762"/>
      <c r="BI383" s="3762"/>
      <c r="BJ383" s="39"/>
      <c r="BK383" s="39"/>
      <c r="BL383" s="39"/>
      <c r="BM383" s="39"/>
      <c r="BN383" s="39"/>
      <c r="BO383" s="39"/>
      <c r="BP383" s="39"/>
      <c r="BQ383" s="39"/>
      <c r="BR383" s="39"/>
      <c r="BS383" s="507"/>
      <c r="BT383" s="507"/>
      <c r="BU383" s="507"/>
      <c r="BV383" s="507"/>
      <c r="BW383" s="507"/>
      <c r="BX383" s="507"/>
      <c r="BY383" s="507"/>
      <c r="BZ383" s="507"/>
      <c r="CA383" s="507"/>
      <c r="CB383" s="507"/>
      <c r="CC383" s="507"/>
      <c r="CD383" s="507"/>
      <c r="CE383" s="507"/>
      <c r="CF383" s="507"/>
      <c r="CG383" s="507"/>
      <c r="CH383" s="507"/>
      <c r="CI383" s="507"/>
      <c r="CJ383" s="507"/>
      <c r="CK383" s="507"/>
      <c r="CL383" s="507"/>
      <c r="CM383" s="507"/>
      <c r="CN383" s="507"/>
      <c r="CO383" s="507"/>
      <c r="CP383" s="507"/>
      <c r="CQ383" s="507"/>
      <c r="CR383" s="507"/>
      <c r="CS383" s="507"/>
      <c r="CT383" s="507"/>
      <c r="CU383" s="507"/>
      <c r="CV383" s="507"/>
      <c r="CW383" s="507"/>
      <c r="CX383" s="507"/>
      <c r="CY383" s="507"/>
      <c r="CZ383" s="507"/>
      <c r="DA383" s="507"/>
      <c r="DB383" s="507"/>
      <c r="DC383" s="507"/>
      <c r="DD383" s="507"/>
      <c r="DE383" s="507"/>
      <c r="DF383" s="507"/>
      <c r="DG383" s="507"/>
      <c r="DH383" s="507"/>
      <c r="DI383" s="507"/>
      <c r="DJ383" s="507"/>
      <c r="DK383" s="507"/>
      <c r="DL383" s="507"/>
      <c r="DM383" s="507"/>
      <c r="DN383" s="507"/>
      <c r="DO383" s="507"/>
      <c r="DP383" s="507"/>
      <c r="DQ383" s="507"/>
      <c r="DR383" s="507"/>
      <c r="DS383" s="507"/>
      <c r="DT383" s="507"/>
      <c r="DU383" s="507"/>
      <c r="DV383" s="507"/>
      <c r="DW383" s="507"/>
      <c r="DX383" s="507"/>
      <c r="DY383" s="507"/>
      <c r="DZ383" s="507"/>
      <c r="EA383" s="507"/>
      <c r="EB383" s="507"/>
      <c r="EC383" s="507"/>
      <c r="ED383" s="507"/>
      <c r="EE383" s="507"/>
      <c r="EF383" s="507"/>
      <c r="EG383" s="507"/>
      <c r="EH383" s="507"/>
      <c r="EI383" s="507"/>
      <c r="EJ383" s="507"/>
      <c r="EK383" s="507"/>
      <c r="EL383" s="507"/>
      <c r="EM383" s="507"/>
      <c r="EN383" s="507"/>
      <c r="EO383" s="507"/>
      <c r="EP383" s="507"/>
      <c r="EQ383" s="507"/>
      <c r="ER383" s="507"/>
      <c r="ES383" s="507"/>
      <c r="ET383" s="507"/>
      <c r="EU383" s="507"/>
      <c r="EV383" s="507"/>
      <c r="EW383" s="507"/>
      <c r="EX383" s="507"/>
      <c r="EY383" s="507"/>
      <c r="EZ383" s="507"/>
      <c r="FA383" s="507"/>
      <c r="FB383" s="507"/>
      <c r="FC383" s="507"/>
      <c r="FD383" s="507"/>
      <c r="FE383" s="507"/>
      <c r="FF383" s="507"/>
      <c r="FG383" s="507"/>
      <c r="FH383" s="507"/>
      <c r="FI383" s="507"/>
      <c r="FJ383" s="507"/>
      <c r="FK383" s="507"/>
      <c r="FL383" s="507"/>
      <c r="FM383" s="507"/>
      <c r="FN383" s="507"/>
      <c r="FO383" s="507"/>
      <c r="FP383" s="507"/>
      <c r="FQ383" s="507"/>
      <c r="FR383" s="507"/>
      <c r="FS383" s="507"/>
      <c r="FT383" s="507"/>
      <c r="FU383" s="507"/>
      <c r="FV383" s="507"/>
      <c r="FW383" s="507"/>
      <c r="FX383" s="507"/>
      <c r="FY383" s="507"/>
      <c r="FZ383" s="507"/>
      <c r="GA383" s="507"/>
      <c r="GB383" s="507"/>
      <c r="GC383" s="507"/>
      <c r="GD383" s="507"/>
      <c r="GE383" s="507"/>
      <c r="GF383" s="507"/>
      <c r="GG383" s="507"/>
      <c r="GH383" s="507"/>
      <c r="GI383" s="507"/>
      <c r="GJ383" s="507"/>
      <c r="GK383" s="507"/>
      <c r="GL383" s="507"/>
      <c r="GM383" s="507"/>
      <c r="GN383" s="507"/>
      <c r="GO383" s="507"/>
      <c r="GP383" s="507"/>
      <c r="GQ383" s="507"/>
      <c r="GR383" s="507"/>
      <c r="GS383" s="507"/>
      <c r="GT383" s="507"/>
      <c r="GU383" s="507"/>
      <c r="GV383" s="507"/>
      <c r="GW383" s="507"/>
      <c r="GX383" s="507"/>
      <c r="GY383" s="507"/>
      <c r="GZ383" s="507"/>
      <c r="HA383" s="507"/>
      <c r="HB383" s="507"/>
      <c r="HC383" s="507"/>
      <c r="HD383" s="507"/>
      <c r="HE383" s="507"/>
      <c r="HF383" s="507"/>
      <c r="HG383" s="507"/>
      <c r="HH383" s="507"/>
      <c r="HI383" s="507"/>
      <c r="HJ383" s="507"/>
      <c r="HK383" s="507"/>
      <c r="HL383" s="507"/>
      <c r="HM383" s="507"/>
      <c r="HN383" s="507"/>
      <c r="HO383" s="507"/>
      <c r="HP383" s="507"/>
      <c r="HQ383" s="507"/>
      <c r="HR383" s="507"/>
      <c r="HS383" s="507"/>
      <c r="HT383" s="507"/>
      <c r="HU383" s="507"/>
      <c r="HV383" s="507"/>
      <c r="HW383" s="507"/>
      <c r="HX383" s="507"/>
      <c r="HY383" s="507"/>
      <c r="HZ383" s="507"/>
    </row>
    <row r="384" spans="1:234" s="206" customFormat="1" ht="13.5" hidden="1" customHeight="1" x14ac:dyDescent="0.25">
      <c r="A384" s="541" t="s">
        <v>5470</v>
      </c>
      <c r="B384" s="523" t="s">
        <v>5471</v>
      </c>
      <c r="C384" s="524" t="s">
        <v>5469</v>
      </c>
      <c r="D384" s="551" t="s">
        <v>189</v>
      </c>
      <c r="E384" s="569" t="s">
        <v>3228</v>
      </c>
      <c r="F384" s="543">
        <v>41340</v>
      </c>
      <c r="G384" s="544">
        <v>40910</v>
      </c>
      <c r="H384" s="544">
        <v>40967</v>
      </c>
      <c r="I384" s="616">
        <v>43434</v>
      </c>
      <c r="J384" s="579">
        <v>10</v>
      </c>
      <c r="K384" s="553" t="s">
        <v>3229</v>
      </c>
      <c r="L384" s="552" t="s">
        <v>3229</v>
      </c>
      <c r="M384" s="560">
        <v>-0.05</v>
      </c>
      <c r="N384" s="606">
        <v>1</v>
      </c>
      <c r="O384" s="613">
        <v>0.8</v>
      </c>
      <c r="P384" s="575" t="s">
        <v>3229</v>
      </c>
      <c r="Q384" s="575" t="s">
        <v>3229</v>
      </c>
      <c r="R384" s="575" t="s">
        <v>3229</v>
      </c>
      <c r="S384" s="570"/>
      <c r="T384" s="617" t="s">
        <v>3229</v>
      </c>
      <c r="U384" s="563" t="s">
        <v>3229</v>
      </c>
      <c r="V384" s="563" t="s">
        <v>3229</v>
      </c>
      <c r="W384" s="563" t="s">
        <v>3229</v>
      </c>
      <c r="X384" s="563" t="s">
        <v>3229</v>
      </c>
      <c r="Y384" s="598" t="s">
        <v>3229</v>
      </c>
      <c r="Z384" s="598" t="s">
        <v>3229</v>
      </c>
      <c r="AA384" s="598" t="s">
        <v>3229</v>
      </c>
      <c r="AB384" s="598" t="s">
        <v>3229</v>
      </c>
      <c r="AC384" s="598" t="s">
        <v>3229</v>
      </c>
      <c r="AD384" s="598" t="s">
        <v>3229</v>
      </c>
      <c r="AE384" s="598" t="s">
        <v>3229</v>
      </c>
      <c r="AF384" s="3764" t="s">
        <v>781</v>
      </c>
      <c r="AG384" s="3765"/>
      <c r="AH384" s="1301" t="s">
        <v>3229</v>
      </c>
      <c r="AI384" s="1301" t="s">
        <v>3229</v>
      </c>
      <c r="AJ384" s="1301" t="s">
        <v>3229</v>
      </c>
      <c r="AK384" s="530" t="s">
        <v>3229</v>
      </c>
      <c r="AL384" s="530" t="s">
        <v>3229</v>
      </c>
      <c r="AM384" s="659">
        <v>1</v>
      </c>
      <c r="AN384" s="638">
        <f>'klikací hodnoty'!F11678</f>
        <v>0.35211527777777779</v>
      </c>
      <c r="AO384" s="625">
        <v>13.52</v>
      </c>
      <c r="AP384" s="688">
        <f>AQ384</f>
        <v>0.30655964285226162</v>
      </c>
      <c r="AQ384" s="606">
        <f>'klikací hodnoty'!F11677</f>
        <v>0.30655964285226162</v>
      </c>
      <c r="AR384" s="600">
        <f t="shared" si="84"/>
        <v>0.8</v>
      </c>
      <c r="AS384" s="548">
        <f t="shared" si="90"/>
        <v>0.10788816682091107</v>
      </c>
      <c r="AT384" s="548">
        <f t="shared" si="91"/>
        <v>0.33136094674556227</v>
      </c>
      <c r="AU384" s="549" t="e">
        <f t="shared" si="92"/>
        <v>#DIV/0!</v>
      </c>
      <c r="AV384" s="558">
        <f t="shared" si="80"/>
        <v>-0.05</v>
      </c>
      <c r="AW384" s="558">
        <f t="shared" si="74"/>
        <v>-8.9009580652258391E-3</v>
      </c>
      <c r="AX384" s="589">
        <f t="shared" si="88"/>
        <v>-0.2973372781065089</v>
      </c>
      <c r="AY384" s="587" t="e">
        <f t="shared" si="89"/>
        <v>#DIV/0!</v>
      </c>
      <c r="AZ384" s="676">
        <f t="shared" si="73"/>
        <v>9.5</v>
      </c>
      <c r="BA384" s="581"/>
      <c r="BB384" s="570"/>
      <c r="BC384" s="581"/>
      <c r="BD384" s="3691"/>
      <c r="BE384" s="3743"/>
      <c r="BF384" s="3743"/>
      <c r="BG384" s="3708"/>
      <c r="BH384" s="3762"/>
      <c r="BI384" s="3762"/>
      <c r="BJ384" s="39"/>
      <c r="BK384" s="39"/>
      <c r="BL384" s="39"/>
      <c r="BM384" s="39"/>
      <c r="BN384" s="39"/>
      <c r="BO384" s="39"/>
      <c r="BP384" s="39"/>
      <c r="BQ384" s="39"/>
      <c r="BR384" s="39"/>
      <c r="BS384" s="507"/>
      <c r="BT384" s="507"/>
      <c r="BU384" s="507"/>
      <c r="BV384" s="507"/>
      <c r="BW384" s="507"/>
      <c r="BX384" s="507"/>
      <c r="BY384" s="507"/>
      <c r="BZ384" s="507"/>
      <c r="CA384" s="507"/>
      <c r="CB384" s="507"/>
      <c r="CC384" s="507"/>
      <c r="CD384" s="507"/>
      <c r="CE384" s="507"/>
      <c r="CF384" s="507"/>
      <c r="CG384" s="507"/>
      <c r="CH384" s="507"/>
      <c r="CI384" s="507"/>
      <c r="CJ384" s="507"/>
      <c r="CK384" s="507"/>
      <c r="CL384" s="507"/>
      <c r="CM384" s="507"/>
      <c r="CN384" s="507"/>
      <c r="CO384" s="507"/>
      <c r="CP384" s="507"/>
      <c r="CQ384" s="507"/>
      <c r="CR384" s="507"/>
      <c r="CS384" s="507"/>
      <c r="CT384" s="507"/>
      <c r="CU384" s="507"/>
      <c r="CV384" s="507"/>
      <c r="CW384" s="507"/>
      <c r="CX384" s="507"/>
      <c r="CY384" s="507"/>
      <c r="CZ384" s="507"/>
      <c r="DA384" s="507"/>
      <c r="DB384" s="507"/>
      <c r="DC384" s="507"/>
      <c r="DD384" s="507"/>
      <c r="DE384" s="507"/>
      <c r="DF384" s="507"/>
      <c r="DG384" s="507"/>
      <c r="DH384" s="507"/>
      <c r="DI384" s="507"/>
      <c r="DJ384" s="507"/>
      <c r="DK384" s="507"/>
      <c r="DL384" s="507"/>
      <c r="DM384" s="507"/>
      <c r="DN384" s="507"/>
      <c r="DO384" s="507"/>
      <c r="DP384" s="507"/>
      <c r="DQ384" s="507"/>
      <c r="DR384" s="507"/>
      <c r="DS384" s="507"/>
      <c r="DT384" s="507"/>
      <c r="DU384" s="507"/>
      <c r="DV384" s="507"/>
      <c r="DW384" s="507"/>
      <c r="DX384" s="507"/>
      <c r="DY384" s="507"/>
      <c r="DZ384" s="507"/>
      <c r="EA384" s="507"/>
      <c r="EB384" s="507"/>
      <c r="EC384" s="507"/>
      <c r="ED384" s="507"/>
      <c r="EE384" s="507"/>
      <c r="EF384" s="507"/>
      <c r="EG384" s="507"/>
      <c r="EH384" s="507"/>
      <c r="EI384" s="507"/>
      <c r="EJ384" s="507"/>
      <c r="EK384" s="507"/>
      <c r="EL384" s="507"/>
      <c r="EM384" s="507"/>
      <c r="EN384" s="507"/>
      <c r="EO384" s="507"/>
      <c r="EP384" s="507"/>
      <c r="EQ384" s="507"/>
      <c r="ER384" s="507"/>
      <c r="ES384" s="507"/>
      <c r="ET384" s="507"/>
      <c r="EU384" s="507"/>
      <c r="EV384" s="507"/>
      <c r="EW384" s="507"/>
      <c r="EX384" s="507"/>
      <c r="EY384" s="507"/>
      <c r="EZ384" s="507"/>
      <c r="FA384" s="507"/>
      <c r="FB384" s="507"/>
      <c r="FC384" s="507"/>
      <c r="FD384" s="507"/>
      <c r="FE384" s="507"/>
      <c r="FF384" s="507"/>
      <c r="FG384" s="507"/>
      <c r="FH384" s="507"/>
      <c r="FI384" s="507"/>
      <c r="FJ384" s="507"/>
      <c r="FK384" s="507"/>
      <c r="FL384" s="507"/>
      <c r="FM384" s="507"/>
      <c r="FN384" s="507"/>
      <c r="FO384" s="507"/>
      <c r="FP384" s="507"/>
      <c r="FQ384" s="507"/>
      <c r="FR384" s="507"/>
      <c r="FS384" s="507"/>
      <c r="FT384" s="507"/>
      <c r="FU384" s="507"/>
      <c r="FV384" s="507"/>
      <c r="FW384" s="507"/>
      <c r="FX384" s="507"/>
      <c r="FY384" s="507"/>
      <c r="FZ384" s="507"/>
      <c r="GA384" s="507"/>
      <c r="GB384" s="507"/>
      <c r="GC384" s="507"/>
      <c r="GD384" s="507"/>
      <c r="GE384" s="507"/>
      <c r="GF384" s="507"/>
      <c r="GG384" s="507"/>
      <c r="GH384" s="507"/>
      <c r="GI384" s="507"/>
      <c r="GJ384" s="507"/>
      <c r="GK384" s="507"/>
      <c r="GL384" s="507"/>
      <c r="GM384" s="507"/>
      <c r="GN384" s="507"/>
      <c r="GO384" s="507"/>
      <c r="GP384" s="507"/>
      <c r="GQ384" s="507"/>
      <c r="GR384" s="507"/>
      <c r="GS384" s="507"/>
      <c r="GT384" s="507"/>
      <c r="GU384" s="507"/>
      <c r="GV384" s="507"/>
      <c r="GW384" s="507"/>
      <c r="GX384" s="507"/>
      <c r="GY384" s="507"/>
      <c r="GZ384" s="507"/>
      <c r="HA384" s="507"/>
      <c r="HB384" s="507"/>
      <c r="HC384" s="507"/>
      <c r="HD384" s="507"/>
      <c r="HE384" s="507"/>
      <c r="HF384" s="507"/>
      <c r="HG384" s="507"/>
      <c r="HH384" s="507"/>
      <c r="HI384" s="507"/>
      <c r="HJ384" s="507"/>
      <c r="HK384" s="507"/>
      <c r="HL384" s="507"/>
      <c r="HM384" s="507"/>
      <c r="HN384" s="507"/>
      <c r="HO384" s="507"/>
      <c r="HP384" s="507"/>
      <c r="HQ384" s="507"/>
      <c r="HR384" s="507"/>
      <c r="HS384" s="507"/>
      <c r="HT384" s="507"/>
      <c r="HU384" s="507"/>
      <c r="HV384" s="507"/>
      <c r="HW384" s="507"/>
      <c r="HX384" s="507"/>
      <c r="HY384" s="507"/>
      <c r="HZ384" s="507"/>
    </row>
    <row r="385" spans="1:234" s="206" customFormat="1" ht="13.5" hidden="1" customHeight="1" x14ac:dyDescent="0.25">
      <c r="A385" s="541" t="s">
        <v>5472</v>
      </c>
      <c r="B385" s="523" t="s">
        <v>5473</v>
      </c>
      <c r="C385" s="524" t="s">
        <v>5474</v>
      </c>
      <c r="D385" s="551" t="s">
        <v>5475</v>
      </c>
      <c r="E385" s="569" t="s">
        <v>3228</v>
      </c>
      <c r="F385" s="543">
        <v>41338</v>
      </c>
      <c r="G385" s="544">
        <v>40910</v>
      </c>
      <c r="H385" s="544">
        <v>40967</v>
      </c>
      <c r="I385" s="616">
        <v>43343</v>
      </c>
      <c r="J385" s="579">
        <v>10</v>
      </c>
      <c r="K385" s="553">
        <v>0</v>
      </c>
      <c r="L385" s="552">
        <v>5.5E-2</v>
      </c>
      <c r="M385" s="560">
        <v>0.02</v>
      </c>
      <c r="N385" s="606" t="s">
        <v>3229</v>
      </c>
      <c r="O385" s="613">
        <v>0.24</v>
      </c>
      <c r="P385" s="575" t="s">
        <v>3229</v>
      </c>
      <c r="Q385" s="575">
        <v>0.02</v>
      </c>
      <c r="R385" s="575" t="s">
        <v>3229</v>
      </c>
      <c r="S385" s="570">
        <v>5</v>
      </c>
      <c r="T385" s="617">
        <v>41671</v>
      </c>
      <c r="U385" s="563">
        <v>42036</v>
      </c>
      <c r="V385" s="563">
        <v>42401</v>
      </c>
      <c r="W385" s="563">
        <v>42767</v>
      </c>
      <c r="X385" s="563">
        <v>43282</v>
      </c>
      <c r="Y385" s="598" t="s">
        <v>3229</v>
      </c>
      <c r="Z385" s="598" t="s">
        <v>3229</v>
      </c>
      <c r="AA385" s="598" t="s">
        <v>3229</v>
      </c>
      <c r="AB385" s="598" t="s">
        <v>3229</v>
      </c>
      <c r="AC385" s="598" t="s">
        <v>3229</v>
      </c>
      <c r="AD385" s="598" t="s">
        <v>3229</v>
      </c>
      <c r="AE385" s="598" t="s">
        <v>3229</v>
      </c>
      <c r="AF385" s="3764" t="s">
        <v>781</v>
      </c>
      <c r="AG385" s="3765"/>
      <c r="AH385" s="1301" t="s">
        <v>3229</v>
      </c>
      <c r="AI385" s="1301" t="s">
        <v>3229</v>
      </c>
      <c r="AJ385" s="1301" t="s">
        <v>3229</v>
      </c>
      <c r="AK385" s="530" t="s">
        <v>3229</v>
      </c>
      <c r="AL385" s="530" t="s">
        <v>3229</v>
      </c>
      <c r="AM385" s="659">
        <v>1</v>
      </c>
      <c r="AN385" s="638">
        <f>'klikací hodnoty'!F11542</f>
        <v>0.15429999999999999</v>
      </c>
      <c r="AO385" s="625">
        <v>11.54</v>
      </c>
      <c r="AP385" s="688">
        <f>'klikací hodnoty'!F11536</f>
        <v>4.081013346315638E-2</v>
      </c>
      <c r="AQ385" s="606">
        <f>'klikací hodnoty'!E11536</f>
        <v>0.38440134186939517</v>
      </c>
      <c r="AR385" s="600">
        <f t="shared" si="84"/>
        <v>0.24</v>
      </c>
      <c r="AS385" s="548">
        <f t="shared" si="90"/>
        <v>3.9936784283121529E-2</v>
      </c>
      <c r="AT385" s="548">
        <f t="shared" si="91"/>
        <v>7.4523396880415982E-2</v>
      </c>
      <c r="AU385" s="549" t="e">
        <f t="shared" si="92"/>
        <v>#DIV/0!</v>
      </c>
      <c r="AV385" s="558">
        <f>M385</f>
        <v>0.02</v>
      </c>
      <c r="AW385" s="558">
        <f t="shared" si="74"/>
        <v>3.6114727729321672E-3</v>
      </c>
      <c r="AX385" s="589">
        <f t="shared" si="88"/>
        <v>-0.11611785095320626</v>
      </c>
      <c r="AY385" s="587" t="e">
        <f t="shared" si="89"/>
        <v>#DIV/0!</v>
      </c>
      <c r="AZ385" s="676">
        <f>J385*(1+AV385)</f>
        <v>10.199999999999999</v>
      </c>
      <c r="BA385" s="581"/>
      <c r="BB385" s="570" t="s">
        <v>2025</v>
      </c>
      <c r="BC385" s="581" t="s">
        <v>2895</v>
      </c>
      <c r="BD385" s="3691"/>
      <c r="BE385" s="3743"/>
      <c r="BF385" s="3743"/>
      <c r="BG385" s="3708"/>
      <c r="BH385" s="3762"/>
      <c r="BI385" s="3762"/>
      <c r="BJ385" s="39"/>
      <c r="BK385" s="39"/>
      <c r="BL385" s="39"/>
      <c r="BM385" s="39"/>
      <c r="BN385" s="39"/>
      <c r="BO385" s="39"/>
      <c r="BP385" s="39"/>
      <c r="BQ385" s="39"/>
      <c r="BR385" s="39"/>
      <c r="BS385" s="507"/>
      <c r="BT385" s="507"/>
      <c r="BU385" s="507"/>
      <c r="BV385" s="507"/>
      <c r="BW385" s="507"/>
      <c r="BX385" s="507"/>
      <c r="BY385" s="507"/>
      <c r="BZ385" s="507"/>
      <c r="CA385" s="507"/>
      <c r="CB385" s="507"/>
      <c r="CC385" s="507"/>
      <c r="CD385" s="507"/>
      <c r="CE385" s="507"/>
      <c r="CF385" s="507"/>
      <c r="CG385" s="507"/>
      <c r="CH385" s="507"/>
      <c r="CI385" s="507"/>
      <c r="CJ385" s="507"/>
      <c r="CK385" s="507"/>
      <c r="CL385" s="507"/>
      <c r="CM385" s="507"/>
      <c r="CN385" s="507"/>
      <c r="CO385" s="507"/>
      <c r="CP385" s="507"/>
      <c r="CQ385" s="507"/>
      <c r="CR385" s="507"/>
      <c r="CS385" s="507"/>
      <c r="CT385" s="507"/>
      <c r="CU385" s="507"/>
      <c r="CV385" s="507"/>
      <c r="CW385" s="507"/>
      <c r="CX385" s="507"/>
      <c r="CY385" s="507"/>
      <c r="CZ385" s="507"/>
      <c r="DA385" s="507"/>
      <c r="DB385" s="507"/>
      <c r="DC385" s="507"/>
      <c r="DD385" s="507"/>
      <c r="DE385" s="507"/>
      <c r="DF385" s="507"/>
      <c r="DG385" s="507"/>
      <c r="DH385" s="507"/>
      <c r="DI385" s="507"/>
      <c r="DJ385" s="507"/>
      <c r="DK385" s="507"/>
      <c r="DL385" s="507"/>
      <c r="DM385" s="507"/>
      <c r="DN385" s="507"/>
      <c r="DO385" s="507"/>
      <c r="DP385" s="507"/>
      <c r="DQ385" s="507"/>
      <c r="DR385" s="507"/>
      <c r="DS385" s="507"/>
      <c r="DT385" s="507"/>
      <c r="DU385" s="507"/>
      <c r="DV385" s="507"/>
      <c r="DW385" s="507"/>
      <c r="DX385" s="507"/>
      <c r="DY385" s="507"/>
      <c r="DZ385" s="507"/>
      <c r="EA385" s="507"/>
      <c r="EB385" s="507"/>
      <c r="EC385" s="507"/>
      <c r="ED385" s="507"/>
      <c r="EE385" s="507"/>
      <c r="EF385" s="507"/>
      <c r="EG385" s="507"/>
      <c r="EH385" s="507"/>
      <c r="EI385" s="507"/>
      <c r="EJ385" s="507"/>
      <c r="EK385" s="507"/>
      <c r="EL385" s="507"/>
      <c r="EM385" s="507"/>
      <c r="EN385" s="507"/>
      <c r="EO385" s="507"/>
      <c r="EP385" s="507"/>
      <c r="EQ385" s="507"/>
      <c r="ER385" s="507"/>
      <c r="ES385" s="507"/>
      <c r="ET385" s="507"/>
      <c r="EU385" s="507"/>
      <c r="EV385" s="507"/>
      <c r="EW385" s="507"/>
      <c r="EX385" s="507"/>
      <c r="EY385" s="507"/>
      <c r="EZ385" s="507"/>
      <c r="FA385" s="507"/>
      <c r="FB385" s="507"/>
      <c r="FC385" s="507"/>
      <c r="FD385" s="507"/>
      <c r="FE385" s="507"/>
      <c r="FF385" s="507"/>
      <c r="FG385" s="507"/>
      <c r="FH385" s="507"/>
      <c r="FI385" s="507"/>
      <c r="FJ385" s="507"/>
      <c r="FK385" s="507"/>
      <c r="FL385" s="507"/>
      <c r="FM385" s="507"/>
      <c r="FN385" s="507"/>
      <c r="FO385" s="507"/>
      <c r="FP385" s="507"/>
      <c r="FQ385" s="507"/>
      <c r="FR385" s="507"/>
      <c r="FS385" s="507"/>
      <c r="FT385" s="507"/>
      <c r="FU385" s="507"/>
      <c r="FV385" s="507"/>
      <c r="FW385" s="507"/>
      <c r="FX385" s="507"/>
      <c r="FY385" s="507"/>
      <c r="FZ385" s="507"/>
      <c r="GA385" s="507"/>
      <c r="GB385" s="507"/>
      <c r="GC385" s="507"/>
      <c r="GD385" s="507"/>
      <c r="GE385" s="507"/>
      <c r="GF385" s="507"/>
      <c r="GG385" s="507"/>
      <c r="GH385" s="507"/>
      <c r="GI385" s="507"/>
      <c r="GJ385" s="507"/>
      <c r="GK385" s="507"/>
      <c r="GL385" s="507"/>
      <c r="GM385" s="507"/>
      <c r="GN385" s="507"/>
      <c r="GO385" s="507"/>
      <c r="GP385" s="507"/>
      <c r="GQ385" s="507"/>
      <c r="GR385" s="507"/>
      <c r="GS385" s="507"/>
      <c r="GT385" s="507"/>
      <c r="GU385" s="507"/>
      <c r="GV385" s="507"/>
      <c r="GW385" s="507"/>
      <c r="GX385" s="507"/>
      <c r="GY385" s="507"/>
      <c r="GZ385" s="507"/>
      <c r="HA385" s="507"/>
      <c r="HB385" s="507"/>
      <c r="HC385" s="507"/>
      <c r="HD385" s="507"/>
      <c r="HE385" s="507"/>
      <c r="HF385" s="507"/>
      <c r="HG385" s="507"/>
      <c r="HH385" s="507"/>
      <c r="HI385" s="507"/>
      <c r="HJ385" s="507"/>
      <c r="HK385" s="507"/>
      <c r="HL385" s="507"/>
      <c r="HM385" s="507"/>
      <c r="HN385" s="507"/>
      <c r="HO385" s="507"/>
      <c r="HP385" s="507"/>
      <c r="HQ385" s="507"/>
      <c r="HR385" s="507"/>
      <c r="HS385" s="507"/>
      <c r="HT385" s="507"/>
      <c r="HU385" s="507"/>
      <c r="HV385" s="507"/>
      <c r="HW385" s="507"/>
      <c r="HX385" s="507"/>
      <c r="HY385" s="507"/>
      <c r="HZ385" s="507"/>
    </row>
    <row r="386" spans="1:234" s="206" customFormat="1" ht="13.5" hidden="1" customHeight="1" x14ac:dyDescent="0.25">
      <c r="A386" s="541" t="s">
        <v>5524</v>
      </c>
      <c r="B386" s="523" t="s">
        <v>5523</v>
      </c>
      <c r="C386" s="524" t="s">
        <v>5525</v>
      </c>
      <c r="D386" s="551" t="s">
        <v>189</v>
      </c>
      <c r="E386" s="569" t="s">
        <v>3228</v>
      </c>
      <c r="F386" s="543">
        <v>41373</v>
      </c>
      <c r="G386" s="544">
        <v>41306</v>
      </c>
      <c r="H386" s="544">
        <v>41362</v>
      </c>
      <c r="I386" s="616">
        <v>43462</v>
      </c>
      <c r="J386" s="579">
        <v>10</v>
      </c>
      <c r="K386" s="553" t="s">
        <v>3229</v>
      </c>
      <c r="L386" s="552" t="s">
        <v>3229</v>
      </c>
      <c r="M386" s="560">
        <v>-0.05</v>
      </c>
      <c r="N386" s="606">
        <v>0.6</v>
      </c>
      <c r="O386" s="613">
        <v>0.6</v>
      </c>
      <c r="P386" s="575" t="s">
        <v>3229</v>
      </c>
      <c r="Q386" s="575" t="s">
        <v>3229</v>
      </c>
      <c r="R386" s="575" t="s">
        <v>3229</v>
      </c>
      <c r="S386" s="570"/>
      <c r="T386" s="617" t="s">
        <v>3229</v>
      </c>
      <c r="U386" s="563" t="s">
        <v>3229</v>
      </c>
      <c r="V386" s="563" t="s">
        <v>3229</v>
      </c>
      <c r="W386" s="563" t="s">
        <v>3229</v>
      </c>
      <c r="X386" s="563" t="s">
        <v>3229</v>
      </c>
      <c r="Y386" s="598" t="s">
        <v>3229</v>
      </c>
      <c r="Z386" s="598" t="s">
        <v>3229</v>
      </c>
      <c r="AA386" s="598" t="s">
        <v>3229</v>
      </c>
      <c r="AB386" s="598" t="s">
        <v>3229</v>
      </c>
      <c r="AC386" s="598" t="s">
        <v>3229</v>
      </c>
      <c r="AD386" s="598" t="s">
        <v>3229</v>
      </c>
      <c r="AE386" s="598" t="s">
        <v>3229</v>
      </c>
      <c r="AF386" s="3764" t="s">
        <v>781</v>
      </c>
      <c r="AG386" s="3765"/>
      <c r="AH386" s="1301" t="s">
        <v>3229</v>
      </c>
      <c r="AI386" s="1301" t="s">
        <v>3229</v>
      </c>
      <c r="AJ386" s="1301" t="s">
        <v>3229</v>
      </c>
      <c r="AK386" s="530" t="s">
        <v>3229</v>
      </c>
      <c r="AL386" s="530" t="s">
        <v>3229</v>
      </c>
      <c r="AM386" s="659">
        <v>1</v>
      </c>
      <c r="AN386" s="638">
        <f>'klikací hodnoty'!F11715</f>
        <v>0.20130329999999994</v>
      </c>
      <c r="AO386" s="625">
        <v>12.01</v>
      </c>
      <c r="AP386" s="688">
        <f>+'klikací hodnoty'!K11703</f>
        <v>0.3355054999999999</v>
      </c>
      <c r="AQ386" s="606">
        <f>'klikací hodnoty'!F11714</f>
        <v>0.21552368212702525</v>
      </c>
      <c r="AR386" s="600">
        <f t="shared" si="84"/>
        <v>0.6</v>
      </c>
      <c r="AS386" s="548">
        <f t="shared" si="90"/>
        <v>8.5587446695521097E-2</v>
      </c>
      <c r="AT386" s="548">
        <f t="shared" si="91"/>
        <v>0.33222314737718572</v>
      </c>
      <c r="AU386" s="549" t="e">
        <f t="shared" si="92"/>
        <v>#DIV/0!</v>
      </c>
      <c r="AV386" s="558">
        <f t="shared" si="80"/>
        <v>-0.05</v>
      </c>
      <c r="AW386" s="558">
        <f t="shared" si="74"/>
        <v>-8.9221670926696861E-3</v>
      </c>
      <c r="AX386" s="589">
        <f t="shared" si="88"/>
        <v>-0.20899250624479604</v>
      </c>
      <c r="AY386" s="587" t="e">
        <f t="shared" si="89"/>
        <v>#DIV/0!</v>
      </c>
      <c r="AZ386" s="676">
        <f t="shared" si="73"/>
        <v>9.5</v>
      </c>
      <c r="BA386" s="581"/>
      <c r="BB386" s="570"/>
      <c r="BC386" s="581"/>
      <c r="BD386" s="3691"/>
      <c r="BE386" s="3743"/>
      <c r="BF386" s="3743"/>
      <c r="BG386" s="3708"/>
      <c r="BH386" s="3762"/>
      <c r="BI386" s="3762"/>
      <c r="BJ386" s="39"/>
      <c r="BK386" s="39"/>
      <c r="BL386" s="39"/>
      <c r="BM386" s="39"/>
      <c r="BN386" s="39"/>
      <c r="BO386" s="39"/>
      <c r="BP386" s="39"/>
      <c r="BQ386" s="39"/>
      <c r="BR386" s="39"/>
      <c r="BS386" s="507"/>
      <c r="BT386" s="507"/>
      <c r="BU386" s="507"/>
      <c r="BV386" s="507"/>
      <c r="BW386" s="507"/>
      <c r="BX386" s="507"/>
      <c r="BY386" s="507"/>
      <c r="BZ386" s="507"/>
      <c r="CA386" s="507"/>
      <c r="CB386" s="507"/>
      <c r="CC386" s="507"/>
      <c r="CD386" s="507"/>
      <c r="CE386" s="507"/>
      <c r="CF386" s="507"/>
      <c r="CG386" s="507"/>
      <c r="CH386" s="507"/>
      <c r="CI386" s="507"/>
      <c r="CJ386" s="507"/>
      <c r="CK386" s="507"/>
      <c r="CL386" s="507"/>
      <c r="CM386" s="507"/>
      <c r="CN386" s="507"/>
      <c r="CO386" s="507"/>
      <c r="CP386" s="507"/>
      <c r="CQ386" s="507"/>
      <c r="CR386" s="507"/>
      <c r="CS386" s="507"/>
      <c r="CT386" s="507"/>
      <c r="CU386" s="507"/>
      <c r="CV386" s="507"/>
      <c r="CW386" s="507"/>
      <c r="CX386" s="507"/>
      <c r="CY386" s="507"/>
      <c r="CZ386" s="507"/>
      <c r="DA386" s="507"/>
      <c r="DB386" s="507"/>
      <c r="DC386" s="507"/>
      <c r="DD386" s="507"/>
      <c r="DE386" s="507"/>
      <c r="DF386" s="507"/>
      <c r="DG386" s="507"/>
      <c r="DH386" s="507"/>
      <c r="DI386" s="507"/>
      <c r="DJ386" s="507"/>
      <c r="DK386" s="507"/>
      <c r="DL386" s="507"/>
      <c r="DM386" s="507"/>
      <c r="DN386" s="507"/>
      <c r="DO386" s="507"/>
      <c r="DP386" s="507"/>
      <c r="DQ386" s="507"/>
      <c r="DR386" s="507"/>
      <c r="DS386" s="507"/>
      <c r="DT386" s="507"/>
      <c r="DU386" s="507"/>
      <c r="DV386" s="507"/>
      <c r="DW386" s="507"/>
      <c r="DX386" s="507"/>
      <c r="DY386" s="507"/>
      <c r="DZ386" s="507"/>
      <c r="EA386" s="507"/>
      <c r="EB386" s="507"/>
      <c r="EC386" s="507"/>
      <c r="ED386" s="507"/>
      <c r="EE386" s="507"/>
      <c r="EF386" s="507"/>
      <c r="EG386" s="507"/>
      <c r="EH386" s="507"/>
      <c r="EI386" s="507"/>
      <c r="EJ386" s="507"/>
      <c r="EK386" s="507"/>
      <c r="EL386" s="507"/>
      <c r="EM386" s="507"/>
      <c r="EN386" s="507"/>
      <c r="EO386" s="507"/>
      <c r="EP386" s="507"/>
      <c r="EQ386" s="507"/>
      <c r="ER386" s="507"/>
      <c r="ES386" s="507"/>
      <c r="ET386" s="507"/>
      <c r="EU386" s="507"/>
      <c r="EV386" s="507"/>
      <c r="EW386" s="507"/>
      <c r="EX386" s="507"/>
      <c r="EY386" s="507"/>
      <c r="EZ386" s="507"/>
      <c r="FA386" s="507"/>
      <c r="FB386" s="507"/>
      <c r="FC386" s="507"/>
      <c r="FD386" s="507"/>
      <c r="FE386" s="507"/>
      <c r="FF386" s="507"/>
      <c r="FG386" s="507"/>
      <c r="FH386" s="507"/>
      <c r="FI386" s="507"/>
      <c r="FJ386" s="507"/>
      <c r="FK386" s="507"/>
      <c r="FL386" s="507"/>
      <c r="FM386" s="507"/>
      <c r="FN386" s="507"/>
      <c r="FO386" s="507"/>
      <c r="FP386" s="507"/>
      <c r="FQ386" s="507"/>
      <c r="FR386" s="507"/>
      <c r="FS386" s="507"/>
      <c r="FT386" s="507"/>
      <c r="FU386" s="507"/>
      <c r="FV386" s="507"/>
      <c r="FW386" s="507"/>
      <c r="FX386" s="507"/>
      <c r="FY386" s="507"/>
      <c r="FZ386" s="507"/>
      <c r="GA386" s="507"/>
      <c r="GB386" s="507"/>
      <c r="GC386" s="507"/>
      <c r="GD386" s="507"/>
      <c r="GE386" s="507"/>
      <c r="GF386" s="507"/>
      <c r="GG386" s="507"/>
      <c r="GH386" s="507"/>
      <c r="GI386" s="507"/>
      <c r="GJ386" s="507"/>
      <c r="GK386" s="507"/>
      <c r="GL386" s="507"/>
      <c r="GM386" s="507"/>
      <c r="GN386" s="507"/>
      <c r="GO386" s="507"/>
      <c r="GP386" s="507"/>
      <c r="GQ386" s="507"/>
      <c r="GR386" s="507"/>
      <c r="GS386" s="507"/>
      <c r="GT386" s="507"/>
      <c r="GU386" s="507"/>
      <c r="GV386" s="507"/>
      <c r="GW386" s="507"/>
      <c r="GX386" s="507"/>
      <c r="GY386" s="507"/>
      <c r="GZ386" s="507"/>
      <c r="HA386" s="507"/>
      <c r="HB386" s="507"/>
      <c r="HC386" s="507"/>
      <c r="HD386" s="507"/>
      <c r="HE386" s="507"/>
      <c r="HF386" s="507"/>
      <c r="HG386" s="507"/>
      <c r="HH386" s="507"/>
      <c r="HI386" s="507"/>
      <c r="HJ386" s="507"/>
      <c r="HK386" s="507"/>
      <c r="HL386" s="507"/>
      <c r="HM386" s="507"/>
      <c r="HN386" s="507"/>
      <c r="HO386" s="507"/>
      <c r="HP386" s="507"/>
      <c r="HQ386" s="507"/>
      <c r="HR386" s="507"/>
      <c r="HS386" s="507"/>
      <c r="HT386" s="507"/>
      <c r="HU386" s="507"/>
      <c r="HV386" s="507"/>
      <c r="HW386" s="507"/>
      <c r="HX386" s="507"/>
      <c r="HY386" s="507"/>
      <c r="HZ386" s="507"/>
    </row>
    <row r="387" spans="1:234" s="206" customFormat="1" ht="13.5" hidden="1" customHeight="1" x14ac:dyDescent="0.25">
      <c r="A387" s="541" t="s">
        <v>5544</v>
      </c>
      <c r="B387" s="523" t="s">
        <v>5545</v>
      </c>
      <c r="C387" s="524" t="s">
        <v>5546</v>
      </c>
      <c r="D387" s="551" t="s">
        <v>1872</v>
      </c>
      <c r="E387" s="569" t="s">
        <v>3228</v>
      </c>
      <c r="F387" s="543">
        <v>41407</v>
      </c>
      <c r="G387" s="544">
        <v>41334</v>
      </c>
      <c r="H387" s="544">
        <v>41394</v>
      </c>
      <c r="I387" s="616">
        <v>41820</v>
      </c>
      <c r="J387" s="579">
        <v>10</v>
      </c>
      <c r="K387" s="553" t="s">
        <v>3229</v>
      </c>
      <c r="L387" s="552" t="s">
        <v>3229</v>
      </c>
      <c r="M387" s="560">
        <v>-1</v>
      </c>
      <c r="N387" s="606" t="s">
        <v>3229</v>
      </c>
      <c r="O387" s="613">
        <v>0.4</v>
      </c>
      <c r="P387" s="575" t="s">
        <v>3229</v>
      </c>
      <c r="Q387" s="575" t="s">
        <v>3229</v>
      </c>
      <c r="R387" s="575" t="s">
        <v>3229</v>
      </c>
      <c r="S387" s="570">
        <v>5</v>
      </c>
      <c r="T387" s="563">
        <v>41791</v>
      </c>
      <c r="U387" s="563">
        <v>42156</v>
      </c>
      <c r="V387" s="563">
        <v>42522</v>
      </c>
      <c r="W387" s="563">
        <v>42887</v>
      </c>
      <c r="X387" s="563">
        <v>43221</v>
      </c>
      <c r="Y387" s="598" t="s">
        <v>3229</v>
      </c>
      <c r="Z387" s="598" t="s">
        <v>3229</v>
      </c>
      <c r="AA387" s="598" t="s">
        <v>3229</v>
      </c>
      <c r="AB387" s="598" t="s">
        <v>3229</v>
      </c>
      <c r="AC387" s="598" t="s">
        <v>3229</v>
      </c>
      <c r="AD387" s="598" t="s">
        <v>3229</v>
      </c>
      <c r="AE387" s="598" t="s">
        <v>3229</v>
      </c>
      <c r="AF387" s="3764" t="s">
        <v>781</v>
      </c>
      <c r="AG387" s="3765"/>
      <c r="AH387" s="1301">
        <v>1</v>
      </c>
      <c r="AI387" s="1301" t="s">
        <v>3229</v>
      </c>
      <c r="AJ387" s="1301" t="s">
        <v>3229</v>
      </c>
      <c r="AK387" s="530" t="s">
        <v>3229</v>
      </c>
      <c r="AL387" s="530" t="s">
        <v>3229</v>
      </c>
      <c r="AM387" s="659" t="s">
        <v>3229</v>
      </c>
      <c r="AN387" s="638">
        <f>'klikací hodnoty'!F11761</f>
        <v>0.08</v>
      </c>
      <c r="AO387" s="625">
        <v>11.98</v>
      </c>
      <c r="AP387" s="688">
        <f>AQ387</f>
        <v>0.1628</v>
      </c>
      <c r="AQ387" s="606">
        <f>'klikací hodnoty'!H11760</f>
        <v>0.1628</v>
      </c>
      <c r="AR387" s="600">
        <f t="shared" si="84"/>
        <v>0.4</v>
      </c>
      <c r="AS387" s="548">
        <f t="shared" si="90"/>
        <v>0.34630863723811678</v>
      </c>
      <c r="AT387" s="548">
        <f t="shared" si="91"/>
        <v>0.1686143572621035</v>
      </c>
      <c r="AU387" s="549" t="e">
        <f t="shared" si="92"/>
        <v>#DIV/0!</v>
      </c>
      <c r="AV387" s="558">
        <f t="shared" si="80"/>
        <v>-1</v>
      </c>
      <c r="AW387" s="558">
        <f t="shared" si="74"/>
        <v>-1</v>
      </c>
      <c r="AX387" s="589">
        <f t="shared" si="88"/>
        <v>-1</v>
      </c>
      <c r="AY387" s="587" t="e">
        <f t="shared" si="89"/>
        <v>#DIV/0!</v>
      </c>
      <c r="AZ387" s="676">
        <f t="shared" si="73"/>
        <v>0</v>
      </c>
      <c r="BA387" s="581" t="s">
        <v>3479</v>
      </c>
      <c r="BB387" s="570"/>
      <c r="BC387" s="581"/>
      <c r="BD387" s="3691"/>
      <c r="BE387" s="3743"/>
      <c r="BF387" s="3743"/>
      <c r="BG387" s="3708"/>
      <c r="BH387" s="3762"/>
      <c r="BI387" s="3762"/>
      <c r="BJ387" s="39"/>
      <c r="BK387" s="39"/>
      <c r="BL387" s="39"/>
      <c r="BM387" s="39"/>
      <c r="BN387" s="39"/>
      <c r="BO387" s="39"/>
      <c r="BP387" s="39"/>
      <c r="BQ387" s="39"/>
      <c r="BR387" s="39"/>
      <c r="BS387" s="507"/>
      <c r="BT387" s="507"/>
      <c r="BU387" s="507"/>
      <c r="BV387" s="507"/>
      <c r="BW387" s="507"/>
      <c r="BX387" s="507"/>
      <c r="BY387" s="507"/>
      <c r="BZ387" s="507"/>
      <c r="CA387" s="507"/>
      <c r="CB387" s="507"/>
      <c r="CC387" s="507"/>
      <c r="CD387" s="507"/>
      <c r="CE387" s="507"/>
      <c r="CF387" s="507"/>
      <c r="CG387" s="507"/>
      <c r="CH387" s="507"/>
      <c r="CI387" s="507"/>
      <c r="CJ387" s="507"/>
      <c r="CK387" s="507"/>
      <c r="CL387" s="507"/>
      <c r="CM387" s="507"/>
      <c r="CN387" s="507"/>
      <c r="CO387" s="507"/>
      <c r="CP387" s="507"/>
      <c r="CQ387" s="507"/>
      <c r="CR387" s="507"/>
      <c r="CS387" s="507"/>
      <c r="CT387" s="507"/>
      <c r="CU387" s="507"/>
      <c r="CV387" s="507"/>
      <c r="CW387" s="507"/>
      <c r="CX387" s="507"/>
      <c r="CY387" s="507"/>
      <c r="CZ387" s="507"/>
      <c r="DA387" s="507"/>
      <c r="DB387" s="507"/>
      <c r="DC387" s="507"/>
      <c r="DD387" s="507"/>
      <c r="DE387" s="507"/>
      <c r="DF387" s="507"/>
      <c r="DG387" s="507"/>
      <c r="DH387" s="507"/>
      <c r="DI387" s="507"/>
      <c r="DJ387" s="507"/>
      <c r="DK387" s="507"/>
      <c r="DL387" s="507"/>
      <c r="DM387" s="507"/>
      <c r="DN387" s="507"/>
      <c r="DO387" s="507"/>
      <c r="DP387" s="507"/>
      <c r="DQ387" s="507"/>
      <c r="DR387" s="507"/>
      <c r="DS387" s="507"/>
      <c r="DT387" s="507"/>
      <c r="DU387" s="507"/>
      <c r="DV387" s="507"/>
      <c r="DW387" s="507"/>
      <c r="DX387" s="507"/>
      <c r="DY387" s="507"/>
      <c r="DZ387" s="507"/>
      <c r="EA387" s="507"/>
      <c r="EB387" s="507"/>
      <c r="EC387" s="507"/>
      <c r="ED387" s="507"/>
      <c r="EE387" s="507"/>
      <c r="EF387" s="507"/>
      <c r="EG387" s="507"/>
      <c r="EH387" s="507"/>
      <c r="EI387" s="507"/>
      <c r="EJ387" s="507"/>
      <c r="EK387" s="507"/>
      <c r="EL387" s="507"/>
      <c r="EM387" s="507"/>
      <c r="EN387" s="507"/>
      <c r="EO387" s="507"/>
      <c r="EP387" s="507"/>
      <c r="EQ387" s="507"/>
      <c r="ER387" s="507"/>
      <c r="ES387" s="507"/>
      <c r="ET387" s="507"/>
      <c r="EU387" s="507"/>
      <c r="EV387" s="507"/>
      <c r="EW387" s="507"/>
      <c r="EX387" s="507"/>
      <c r="EY387" s="507"/>
      <c r="EZ387" s="507"/>
      <c r="FA387" s="507"/>
      <c r="FB387" s="507"/>
      <c r="FC387" s="507"/>
      <c r="FD387" s="507"/>
      <c r="FE387" s="507"/>
      <c r="FF387" s="507"/>
      <c r="FG387" s="507"/>
      <c r="FH387" s="507"/>
      <c r="FI387" s="507"/>
      <c r="FJ387" s="507"/>
      <c r="FK387" s="507"/>
      <c r="FL387" s="507"/>
      <c r="FM387" s="507"/>
      <c r="FN387" s="507"/>
      <c r="FO387" s="507"/>
      <c r="FP387" s="507"/>
      <c r="FQ387" s="507"/>
      <c r="FR387" s="507"/>
      <c r="FS387" s="507"/>
      <c r="FT387" s="507"/>
      <c r="FU387" s="507"/>
      <c r="FV387" s="507"/>
      <c r="FW387" s="507"/>
      <c r="FX387" s="507"/>
      <c r="FY387" s="507"/>
      <c r="FZ387" s="507"/>
      <c r="GA387" s="507"/>
      <c r="GB387" s="507"/>
      <c r="GC387" s="507"/>
      <c r="GD387" s="507"/>
      <c r="GE387" s="507"/>
      <c r="GF387" s="507"/>
      <c r="GG387" s="507"/>
      <c r="GH387" s="507"/>
      <c r="GI387" s="507"/>
      <c r="GJ387" s="507"/>
      <c r="GK387" s="507"/>
      <c r="GL387" s="507"/>
      <c r="GM387" s="507"/>
      <c r="GN387" s="507"/>
      <c r="GO387" s="507"/>
      <c r="GP387" s="507"/>
      <c r="GQ387" s="507"/>
      <c r="GR387" s="507"/>
      <c r="GS387" s="507"/>
      <c r="GT387" s="507"/>
      <c r="GU387" s="507"/>
      <c r="GV387" s="507"/>
      <c r="GW387" s="507"/>
      <c r="GX387" s="507"/>
      <c r="GY387" s="507"/>
      <c r="GZ387" s="507"/>
      <c r="HA387" s="507"/>
      <c r="HB387" s="507"/>
      <c r="HC387" s="507"/>
      <c r="HD387" s="507"/>
      <c r="HE387" s="507"/>
      <c r="HF387" s="507"/>
      <c r="HG387" s="507"/>
      <c r="HH387" s="507"/>
      <c r="HI387" s="507"/>
      <c r="HJ387" s="507"/>
      <c r="HK387" s="507"/>
      <c r="HL387" s="507"/>
      <c r="HM387" s="507"/>
      <c r="HN387" s="507"/>
      <c r="HO387" s="507"/>
      <c r="HP387" s="507"/>
      <c r="HQ387" s="507"/>
      <c r="HR387" s="507"/>
      <c r="HS387" s="507"/>
      <c r="HT387" s="507"/>
      <c r="HU387" s="507"/>
      <c r="HV387" s="507"/>
      <c r="HW387" s="507"/>
      <c r="HX387" s="507"/>
      <c r="HY387" s="507"/>
      <c r="HZ387" s="507"/>
    </row>
    <row r="388" spans="1:234" s="206" customFormat="1" ht="13.5" hidden="1" customHeight="1" x14ac:dyDescent="0.25">
      <c r="A388" s="541" t="s">
        <v>5548</v>
      </c>
      <c r="B388" s="523" t="s">
        <v>5547</v>
      </c>
      <c r="C388" s="524" t="s">
        <v>5549</v>
      </c>
      <c r="D388" s="551" t="s">
        <v>1859</v>
      </c>
      <c r="E388" s="569" t="s">
        <v>3228</v>
      </c>
      <c r="F388" s="543">
        <v>41407</v>
      </c>
      <c r="G388" s="544">
        <v>41334</v>
      </c>
      <c r="H388" s="544">
        <v>41394</v>
      </c>
      <c r="I388" s="616">
        <v>43496</v>
      </c>
      <c r="J388" s="579">
        <v>10</v>
      </c>
      <c r="K388" s="553" t="s">
        <v>3229</v>
      </c>
      <c r="L388" s="552" t="s">
        <v>3229</v>
      </c>
      <c r="M388" s="560">
        <v>0</v>
      </c>
      <c r="N388" s="606">
        <v>0.5</v>
      </c>
      <c r="O388" s="613">
        <v>0.6</v>
      </c>
      <c r="P388" s="575" t="s">
        <v>3229</v>
      </c>
      <c r="Q388" s="575" t="s">
        <v>3229</v>
      </c>
      <c r="R388" s="575" t="s">
        <v>3229</v>
      </c>
      <c r="S388" s="570"/>
      <c r="T388" s="563" t="s">
        <v>3229</v>
      </c>
      <c r="U388" s="563" t="s">
        <v>3229</v>
      </c>
      <c r="V388" s="563" t="s">
        <v>3229</v>
      </c>
      <c r="W388" s="563" t="s">
        <v>3229</v>
      </c>
      <c r="X388" s="563" t="s">
        <v>3229</v>
      </c>
      <c r="Y388" s="598" t="s">
        <v>3229</v>
      </c>
      <c r="Z388" s="598" t="s">
        <v>3229</v>
      </c>
      <c r="AA388" s="598" t="s">
        <v>3229</v>
      </c>
      <c r="AB388" s="598" t="s">
        <v>3229</v>
      </c>
      <c r="AC388" s="598" t="s">
        <v>3229</v>
      </c>
      <c r="AD388" s="598" t="s">
        <v>3229</v>
      </c>
      <c r="AE388" s="598" t="s">
        <v>3229</v>
      </c>
      <c r="AF388" s="3764" t="s">
        <v>781</v>
      </c>
      <c r="AG388" s="3765"/>
      <c r="AH388" s="1301" t="s">
        <v>3229</v>
      </c>
      <c r="AI388" s="1301" t="s">
        <v>3229</v>
      </c>
      <c r="AJ388" s="1301" t="s">
        <v>3229</v>
      </c>
      <c r="AK388" s="530" t="s">
        <v>3229</v>
      </c>
      <c r="AL388" s="530" t="s">
        <v>3229</v>
      </c>
      <c r="AM388" s="659">
        <v>1</v>
      </c>
      <c r="AN388" s="638">
        <f>'klikací hodnoty'!F11752</f>
        <v>0.12033091666666668</v>
      </c>
      <c r="AO388" s="625">
        <v>11.2</v>
      </c>
      <c r="AP388" s="688">
        <f>+'klikací hodnoty'!L11740</f>
        <v>0.24066183333333335</v>
      </c>
      <c r="AQ388" s="606">
        <f>'klikací hodnoty'!F11751</f>
        <v>0.11970041609262382</v>
      </c>
      <c r="AR388" s="600">
        <f t="shared" si="84"/>
        <v>0.6</v>
      </c>
      <c r="AS388" s="548">
        <f t="shared" si="90"/>
        <v>8.5587446695521097E-2</v>
      </c>
      <c r="AT388" s="548">
        <f t="shared" si="91"/>
        <v>0.4285714285714286</v>
      </c>
      <c r="AU388" s="549" t="e">
        <f t="shared" si="92"/>
        <v>#DIV/0!</v>
      </c>
      <c r="AV388" s="558">
        <f t="shared" si="80"/>
        <v>0</v>
      </c>
      <c r="AW388" s="558">
        <f t="shared" si="74"/>
        <v>0</v>
      </c>
      <c r="AX388" s="589">
        <f t="shared" si="88"/>
        <v>-0.1071428571428571</v>
      </c>
      <c r="AY388" s="587" t="e">
        <f t="shared" si="89"/>
        <v>#DIV/0!</v>
      </c>
      <c r="AZ388" s="676">
        <f t="shared" si="73"/>
        <v>10</v>
      </c>
      <c r="BA388" s="581" t="s">
        <v>4427</v>
      </c>
      <c r="BB388" s="570"/>
      <c r="BC388" s="581"/>
      <c r="BD388" s="3691"/>
      <c r="BE388" s="3743"/>
      <c r="BF388" s="3743"/>
      <c r="BG388" s="3708"/>
      <c r="BH388" s="3762"/>
      <c r="BI388" s="3762"/>
      <c r="BJ388" s="39"/>
      <c r="BK388" s="39"/>
      <c r="BL388" s="39"/>
      <c r="BM388" s="39"/>
      <c r="BN388" s="39"/>
      <c r="BO388" s="39"/>
      <c r="BP388" s="39"/>
      <c r="BQ388" s="39"/>
      <c r="BR388" s="39"/>
      <c r="BS388" s="507"/>
      <c r="BT388" s="507"/>
      <c r="BU388" s="507"/>
      <c r="BV388" s="507"/>
      <c r="BW388" s="507"/>
      <c r="BX388" s="507"/>
      <c r="BY388" s="507"/>
      <c r="BZ388" s="507"/>
      <c r="CA388" s="507"/>
      <c r="CB388" s="507"/>
      <c r="CC388" s="507"/>
      <c r="CD388" s="507"/>
      <c r="CE388" s="507"/>
      <c r="CF388" s="507"/>
      <c r="CG388" s="507"/>
      <c r="CH388" s="507"/>
      <c r="CI388" s="507"/>
      <c r="CJ388" s="507"/>
      <c r="CK388" s="507"/>
      <c r="CL388" s="507"/>
      <c r="CM388" s="507"/>
      <c r="CN388" s="507"/>
      <c r="CO388" s="507"/>
      <c r="CP388" s="507"/>
      <c r="CQ388" s="507"/>
      <c r="CR388" s="507"/>
      <c r="CS388" s="507"/>
      <c r="CT388" s="507"/>
      <c r="CU388" s="507"/>
      <c r="CV388" s="507"/>
      <c r="CW388" s="507"/>
      <c r="CX388" s="507"/>
      <c r="CY388" s="507"/>
      <c r="CZ388" s="507"/>
      <c r="DA388" s="507"/>
      <c r="DB388" s="507"/>
      <c r="DC388" s="507"/>
      <c r="DD388" s="507"/>
      <c r="DE388" s="507"/>
      <c r="DF388" s="507"/>
      <c r="DG388" s="507"/>
      <c r="DH388" s="507"/>
      <c r="DI388" s="507"/>
      <c r="DJ388" s="507"/>
      <c r="DK388" s="507"/>
      <c r="DL388" s="507"/>
      <c r="DM388" s="507"/>
      <c r="DN388" s="507"/>
      <c r="DO388" s="507"/>
      <c r="DP388" s="507"/>
      <c r="DQ388" s="507"/>
      <c r="DR388" s="507"/>
      <c r="DS388" s="507"/>
      <c r="DT388" s="507"/>
      <c r="DU388" s="507"/>
      <c r="DV388" s="507"/>
      <c r="DW388" s="507"/>
      <c r="DX388" s="507"/>
      <c r="DY388" s="507"/>
      <c r="DZ388" s="507"/>
      <c r="EA388" s="507"/>
      <c r="EB388" s="507"/>
      <c r="EC388" s="507"/>
      <c r="ED388" s="507"/>
      <c r="EE388" s="507"/>
      <c r="EF388" s="507"/>
      <c r="EG388" s="507"/>
      <c r="EH388" s="507"/>
      <c r="EI388" s="507"/>
      <c r="EJ388" s="507"/>
      <c r="EK388" s="507"/>
      <c r="EL388" s="507"/>
      <c r="EM388" s="507"/>
      <c r="EN388" s="507"/>
      <c r="EO388" s="507"/>
      <c r="EP388" s="507"/>
      <c r="EQ388" s="507"/>
      <c r="ER388" s="507"/>
      <c r="ES388" s="507"/>
      <c r="ET388" s="507"/>
      <c r="EU388" s="507"/>
      <c r="EV388" s="507"/>
      <c r="EW388" s="507"/>
      <c r="EX388" s="507"/>
      <c r="EY388" s="507"/>
      <c r="EZ388" s="507"/>
      <c r="FA388" s="507"/>
      <c r="FB388" s="507"/>
      <c r="FC388" s="507"/>
      <c r="FD388" s="507"/>
      <c r="FE388" s="507"/>
      <c r="FF388" s="507"/>
      <c r="FG388" s="507"/>
      <c r="FH388" s="507"/>
      <c r="FI388" s="507"/>
      <c r="FJ388" s="507"/>
      <c r="FK388" s="507"/>
      <c r="FL388" s="507"/>
      <c r="FM388" s="507"/>
      <c r="FN388" s="507"/>
      <c r="FO388" s="507"/>
      <c r="FP388" s="507"/>
      <c r="FQ388" s="507"/>
      <c r="FR388" s="507"/>
      <c r="FS388" s="507"/>
      <c r="FT388" s="507"/>
      <c r="FU388" s="507"/>
      <c r="FV388" s="507"/>
      <c r="FW388" s="507"/>
      <c r="FX388" s="507"/>
      <c r="FY388" s="507"/>
      <c r="FZ388" s="507"/>
      <c r="GA388" s="507"/>
      <c r="GB388" s="507"/>
      <c r="GC388" s="507"/>
      <c r="GD388" s="507"/>
      <c r="GE388" s="507"/>
      <c r="GF388" s="507"/>
      <c r="GG388" s="507"/>
      <c r="GH388" s="507"/>
      <c r="GI388" s="507"/>
      <c r="GJ388" s="507"/>
      <c r="GK388" s="507"/>
      <c r="GL388" s="507"/>
      <c r="GM388" s="507"/>
      <c r="GN388" s="507"/>
      <c r="GO388" s="507"/>
      <c r="GP388" s="507"/>
      <c r="GQ388" s="507"/>
      <c r="GR388" s="507"/>
      <c r="GS388" s="507"/>
      <c r="GT388" s="507"/>
      <c r="GU388" s="507"/>
      <c r="GV388" s="507"/>
      <c r="GW388" s="507"/>
      <c r="GX388" s="507"/>
      <c r="GY388" s="507"/>
      <c r="GZ388" s="507"/>
      <c r="HA388" s="507"/>
      <c r="HB388" s="507"/>
      <c r="HC388" s="507"/>
      <c r="HD388" s="507"/>
      <c r="HE388" s="507"/>
      <c r="HF388" s="507"/>
      <c r="HG388" s="507"/>
      <c r="HH388" s="507"/>
      <c r="HI388" s="507"/>
      <c r="HJ388" s="507"/>
      <c r="HK388" s="507"/>
      <c r="HL388" s="507"/>
      <c r="HM388" s="507"/>
      <c r="HN388" s="507"/>
      <c r="HO388" s="507"/>
      <c r="HP388" s="507"/>
      <c r="HQ388" s="507"/>
      <c r="HR388" s="507"/>
      <c r="HS388" s="507"/>
      <c r="HT388" s="507"/>
      <c r="HU388" s="507"/>
      <c r="HV388" s="507"/>
      <c r="HW388" s="507"/>
      <c r="HX388" s="507"/>
      <c r="HY388" s="507"/>
      <c r="HZ388" s="507"/>
    </row>
    <row r="389" spans="1:234" s="206" customFormat="1" ht="13.5" hidden="1" customHeight="1" x14ac:dyDescent="0.25">
      <c r="A389" s="541" t="s">
        <v>5552</v>
      </c>
      <c r="B389" s="523" t="s">
        <v>5551</v>
      </c>
      <c r="C389" s="524" t="s">
        <v>5550</v>
      </c>
      <c r="D389" s="551" t="s">
        <v>189</v>
      </c>
      <c r="E389" s="569" t="s">
        <v>905</v>
      </c>
      <c r="F389" s="543">
        <v>41418</v>
      </c>
      <c r="G389" s="544">
        <v>41351</v>
      </c>
      <c r="H389" s="544">
        <v>41411</v>
      </c>
      <c r="I389" s="616">
        <v>43524</v>
      </c>
      <c r="J389" s="579">
        <v>10</v>
      </c>
      <c r="K389" s="553" t="s">
        <v>3229</v>
      </c>
      <c r="L389" s="552" t="s">
        <v>3229</v>
      </c>
      <c r="M389" s="560">
        <v>0</v>
      </c>
      <c r="N389" s="606">
        <v>0.6</v>
      </c>
      <c r="O389" s="613">
        <v>0.6</v>
      </c>
      <c r="P389" s="575" t="s">
        <v>3229</v>
      </c>
      <c r="Q389" s="575" t="s">
        <v>3229</v>
      </c>
      <c r="R389" s="575" t="s">
        <v>3229</v>
      </c>
      <c r="S389" s="570"/>
      <c r="T389" s="563" t="s">
        <v>3229</v>
      </c>
      <c r="U389" s="563" t="s">
        <v>3229</v>
      </c>
      <c r="V389" s="563" t="s">
        <v>3229</v>
      </c>
      <c r="W389" s="563" t="s">
        <v>3229</v>
      </c>
      <c r="X389" s="563" t="s">
        <v>3229</v>
      </c>
      <c r="Y389" s="598" t="s">
        <v>3229</v>
      </c>
      <c r="Z389" s="598" t="s">
        <v>3229</v>
      </c>
      <c r="AA389" s="598" t="s">
        <v>3229</v>
      </c>
      <c r="AB389" s="598" t="s">
        <v>3229</v>
      </c>
      <c r="AC389" s="598" t="s">
        <v>3229</v>
      </c>
      <c r="AD389" s="598" t="s">
        <v>3229</v>
      </c>
      <c r="AE389" s="598" t="s">
        <v>3229</v>
      </c>
      <c r="AF389" s="3764" t="s">
        <v>781</v>
      </c>
      <c r="AG389" s="3765"/>
      <c r="AH389" s="1301" t="s">
        <v>3229</v>
      </c>
      <c r="AI389" s="1301" t="s">
        <v>3229</v>
      </c>
      <c r="AJ389" s="1301" t="s">
        <v>3229</v>
      </c>
      <c r="AK389" s="530" t="s">
        <v>3229</v>
      </c>
      <c r="AL389" s="530" t="s">
        <v>3229</v>
      </c>
      <c r="AM389" s="659">
        <v>1</v>
      </c>
      <c r="AN389" s="638">
        <f>'klikací hodnoty'!F11798</f>
        <v>0.17880626666666663</v>
      </c>
      <c r="AO389" s="625">
        <v>11.79</v>
      </c>
      <c r="AP389" s="688">
        <f>+'klikací hodnoty'!K11786</f>
        <v>0.29801044444444441</v>
      </c>
      <c r="AQ389" s="606">
        <f>'klikací hodnoty'!F11797</f>
        <v>0.23865490387020424</v>
      </c>
      <c r="AR389" s="600">
        <f t="shared" si="84"/>
        <v>0.6</v>
      </c>
      <c r="AS389" s="548">
        <f t="shared" si="90"/>
        <v>8.4868052275677952E-2</v>
      </c>
      <c r="AT389" s="548">
        <f t="shared" si="91"/>
        <v>0.3570822731128076</v>
      </c>
      <c r="AU389" s="549" t="e">
        <f t="shared" si="92"/>
        <v>#DIV/0!</v>
      </c>
      <c r="AV389" s="558">
        <f t="shared" si="80"/>
        <v>0</v>
      </c>
      <c r="AW389" s="558">
        <f t="shared" si="74"/>
        <v>0</v>
      </c>
      <c r="AX389" s="589">
        <f t="shared" si="88"/>
        <v>-0.1518235793044953</v>
      </c>
      <c r="AY389" s="587" t="e">
        <f t="shared" si="89"/>
        <v>#DIV/0!</v>
      </c>
      <c r="AZ389" s="676">
        <f t="shared" si="73"/>
        <v>10</v>
      </c>
      <c r="BA389" s="581" t="s">
        <v>3190</v>
      </c>
      <c r="BB389" s="570"/>
      <c r="BC389" s="581"/>
      <c r="BD389" s="3691"/>
      <c r="BE389" s="3743"/>
      <c r="BF389" s="3743"/>
      <c r="BG389" s="3708"/>
      <c r="BH389" s="3762"/>
      <c r="BI389" s="3762"/>
      <c r="BJ389" s="39"/>
      <c r="BK389" s="39"/>
      <c r="BL389" s="39"/>
      <c r="BM389" s="39"/>
      <c r="BN389" s="39"/>
      <c r="BO389" s="39"/>
      <c r="BP389" s="39"/>
      <c r="BQ389" s="39"/>
      <c r="BR389" s="39"/>
      <c r="BS389" s="507"/>
      <c r="BT389" s="507"/>
      <c r="BU389" s="507"/>
      <c r="BV389" s="507"/>
      <c r="BW389" s="507"/>
      <c r="BX389" s="507"/>
      <c r="BY389" s="507"/>
      <c r="BZ389" s="507"/>
      <c r="CA389" s="507"/>
      <c r="CB389" s="507"/>
      <c r="CC389" s="507"/>
      <c r="CD389" s="507"/>
      <c r="CE389" s="507"/>
      <c r="CF389" s="507"/>
      <c r="CG389" s="507"/>
      <c r="CH389" s="507"/>
      <c r="CI389" s="507"/>
      <c r="CJ389" s="507"/>
      <c r="CK389" s="507"/>
      <c r="CL389" s="507"/>
      <c r="CM389" s="507"/>
      <c r="CN389" s="507"/>
      <c r="CO389" s="507"/>
      <c r="CP389" s="507"/>
      <c r="CQ389" s="507"/>
      <c r="CR389" s="507"/>
      <c r="CS389" s="507"/>
      <c r="CT389" s="507"/>
      <c r="CU389" s="507"/>
      <c r="CV389" s="507"/>
      <c r="CW389" s="507"/>
      <c r="CX389" s="507"/>
      <c r="CY389" s="507"/>
      <c r="CZ389" s="507"/>
      <c r="DA389" s="507"/>
      <c r="DB389" s="507"/>
      <c r="DC389" s="507"/>
      <c r="DD389" s="507"/>
      <c r="DE389" s="507"/>
      <c r="DF389" s="507"/>
      <c r="DG389" s="507"/>
      <c r="DH389" s="507"/>
      <c r="DI389" s="507"/>
      <c r="DJ389" s="507"/>
      <c r="DK389" s="507"/>
      <c r="DL389" s="507"/>
      <c r="DM389" s="507"/>
      <c r="DN389" s="507"/>
      <c r="DO389" s="507"/>
      <c r="DP389" s="507"/>
      <c r="DQ389" s="507"/>
      <c r="DR389" s="507"/>
      <c r="DS389" s="507"/>
      <c r="DT389" s="507"/>
      <c r="DU389" s="507"/>
      <c r="DV389" s="507"/>
      <c r="DW389" s="507"/>
      <c r="DX389" s="507"/>
      <c r="DY389" s="507"/>
      <c r="DZ389" s="507"/>
      <c r="EA389" s="507"/>
      <c r="EB389" s="507"/>
      <c r="EC389" s="507"/>
      <c r="ED389" s="507"/>
      <c r="EE389" s="507"/>
      <c r="EF389" s="507"/>
      <c r="EG389" s="507"/>
      <c r="EH389" s="507"/>
      <c r="EI389" s="507"/>
      <c r="EJ389" s="507"/>
      <c r="EK389" s="507"/>
      <c r="EL389" s="507"/>
      <c r="EM389" s="507"/>
      <c r="EN389" s="507"/>
      <c r="EO389" s="507"/>
      <c r="EP389" s="507"/>
      <c r="EQ389" s="507"/>
      <c r="ER389" s="507"/>
      <c r="ES389" s="507"/>
      <c r="ET389" s="507"/>
      <c r="EU389" s="507"/>
      <c r="EV389" s="507"/>
      <c r="EW389" s="507"/>
      <c r="EX389" s="507"/>
      <c r="EY389" s="507"/>
      <c r="EZ389" s="507"/>
      <c r="FA389" s="507"/>
      <c r="FB389" s="507"/>
      <c r="FC389" s="507"/>
      <c r="FD389" s="507"/>
      <c r="FE389" s="507"/>
      <c r="FF389" s="507"/>
      <c r="FG389" s="507"/>
      <c r="FH389" s="507"/>
      <c r="FI389" s="507"/>
      <c r="FJ389" s="507"/>
      <c r="FK389" s="507"/>
      <c r="FL389" s="507"/>
      <c r="FM389" s="507"/>
      <c r="FN389" s="507"/>
      <c r="FO389" s="507"/>
      <c r="FP389" s="507"/>
      <c r="FQ389" s="507"/>
      <c r="FR389" s="507"/>
      <c r="FS389" s="507"/>
      <c r="FT389" s="507"/>
      <c r="FU389" s="507"/>
      <c r="FV389" s="507"/>
      <c r="FW389" s="507"/>
      <c r="FX389" s="507"/>
      <c r="FY389" s="507"/>
      <c r="FZ389" s="507"/>
      <c r="GA389" s="507"/>
      <c r="GB389" s="507"/>
      <c r="GC389" s="507"/>
      <c r="GD389" s="507"/>
      <c r="GE389" s="507"/>
      <c r="GF389" s="507"/>
      <c r="GG389" s="507"/>
      <c r="GH389" s="507"/>
      <c r="GI389" s="507"/>
      <c r="GJ389" s="507"/>
      <c r="GK389" s="507"/>
      <c r="GL389" s="507"/>
      <c r="GM389" s="507"/>
      <c r="GN389" s="507"/>
      <c r="GO389" s="507"/>
      <c r="GP389" s="507"/>
      <c r="GQ389" s="507"/>
      <c r="GR389" s="507"/>
      <c r="GS389" s="507"/>
      <c r="GT389" s="507"/>
      <c r="GU389" s="507"/>
      <c r="GV389" s="507"/>
      <c r="GW389" s="507"/>
      <c r="GX389" s="507"/>
      <c r="GY389" s="507"/>
      <c r="GZ389" s="507"/>
      <c r="HA389" s="507"/>
      <c r="HB389" s="507"/>
      <c r="HC389" s="507"/>
      <c r="HD389" s="507"/>
      <c r="HE389" s="507"/>
      <c r="HF389" s="507"/>
      <c r="HG389" s="507"/>
      <c r="HH389" s="507"/>
      <c r="HI389" s="507"/>
      <c r="HJ389" s="507"/>
      <c r="HK389" s="507"/>
      <c r="HL389" s="507"/>
      <c r="HM389" s="507"/>
      <c r="HN389" s="507"/>
      <c r="HO389" s="507"/>
      <c r="HP389" s="507"/>
      <c r="HQ389" s="507"/>
      <c r="HR389" s="507"/>
      <c r="HS389" s="507"/>
      <c r="HT389" s="507"/>
      <c r="HU389" s="507"/>
      <c r="HV389" s="507"/>
      <c r="HW389" s="507"/>
      <c r="HX389" s="507"/>
      <c r="HY389" s="507"/>
      <c r="HZ389" s="507"/>
    </row>
    <row r="390" spans="1:234" s="206" customFormat="1" ht="13.5" hidden="1" customHeight="1" x14ac:dyDescent="0.25">
      <c r="A390" s="541" t="s">
        <v>5558</v>
      </c>
      <c r="B390" s="523" t="s">
        <v>5559</v>
      </c>
      <c r="C390" s="524" t="s">
        <v>5560</v>
      </c>
      <c r="D390" s="551" t="s">
        <v>189</v>
      </c>
      <c r="E390" s="569" t="s">
        <v>3228</v>
      </c>
      <c r="F390" s="543">
        <v>41432</v>
      </c>
      <c r="G390" s="544">
        <v>41366</v>
      </c>
      <c r="H390" s="544">
        <v>41425</v>
      </c>
      <c r="I390" s="616">
        <v>43524</v>
      </c>
      <c r="J390" s="579">
        <v>10</v>
      </c>
      <c r="K390" s="553" t="s">
        <v>3229</v>
      </c>
      <c r="L390" s="552" t="s">
        <v>3229</v>
      </c>
      <c r="M390" s="560">
        <v>-0.05</v>
      </c>
      <c r="N390" s="606">
        <v>0.75</v>
      </c>
      <c r="O390" s="613">
        <v>0.8</v>
      </c>
      <c r="P390" s="575" t="s">
        <v>3229</v>
      </c>
      <c r="Q390" s="575" t="s">
        <v>3229</v>
      </c>
      <c r="R390" s="575" t="s">
        <v>3229</v>
      </c>
      <c r="S390" s="570"/>
      <c r="T390" s="563" t="s">
        <v>3229</v>
      </c>
      <c r="U390" s="563" t="s">
        <v>3229</v>
      </c>
      <c r="V390" s="563" t="s">
        <v>3229</v>
      </c>
      <c r="W390" s="563" t="s">
        <v>3229</v>
      </c>
      <c r="X390" s="563" t="s">
        <v>3229</v>
      </c>
      <c r="Y390" s="598" t="s">
        <v>3229</v>
      </c>
      <c r="Z390" s="598" t="s">
        <v>3229</v>
      </c>
      <c r="AA390" s="598" t="s">
        <v>3229</v>
      </c>
      <c r="AB390" s="598" t="s">
        <v>3229</v>
      </c>
      <c r="AC390" s="598" t="s">
        <v>3229</v>
      </c>
      <c r="AD390" s="598" t="s">
        <v>3229</v>
      </c>
      <c r="AE390" s="598" t="s">
        <v>3229</v>
      </c>
      <c r="AF390" s="3764" t="s">
        <v>781</v>
      </c>
      <c r="AG390" s="3765"/>
      <c r="AH390" s="1301" t="s">
        <v>3229</v>
      </c>
      <c r="AI390" s="1301" t="s">
        <v>3229</v>
      </c>
      <c r="AJ390" s="1301" t="s">
        <v>3229</v>
      </c>
      <c r="AK390" s="530" t="s">
        <v>3229</v>
      </c>
      <c r="AL390" s="530" t="s">
        <v>3229</v>
      </c>
      <c r="AM390" s="659">
        <v>1</v>
      </c>
      <c r="AN390" s="638">
        <f>'klikací hodnoty'!F11834</f>
        <v>0.20776287499999999</v>
      </c>
      <c r="AO390" s="625">
        <v>12.08</v>
      </c>
      <c r="AP390" s="688">
        <f>+'klikací hodnoty'!K11822</f>
        <v>0.27701716666666665</v>
      </c>
      <c r="AQ390" s="606">
        <f>'klikací hodnoty'!F11833</f>
        <v>0.2432183169626238</v>
      </c>
      <c r="AR390" s="600">
        <f t="shared" si="84"/>
        <v>0.8</v>
      </c>
      <c r="AS390" s="548">
        <f t="shared" si="90"/>
        <v>0.10799668972951681</v>
      </c>
      <c r="AT390" s="548">
        <f t="shared" si="91"/>
        <v>0.49006622516556297</v>
      </c>
      <c r="AU390" s="549" t="e">
        <f t="shared" si="92"/>
        <v>#DIV/0!</v>
      </c>
      <c r="AV390" s="558">
        <f t="shared" si="80"/>
        <v>-0.05</v>
      </c>
      <c r="AW390" s="558">
        <f t="shared" si="74"/>
        <v>-8.9094295648513011E-3</v>
      </c>
      <c r="AX390" s="589">
        <f t="shared" si="88"/>
        <v>-0.21357615894039739</v>
      </c>
      <c r="AY390" s="587" t="e">
        <f t="shared" si="89"/>
        <v>#DIV/0!</v>
      </c>
      <c r="AZ390" s="676">
        <f t="shared" si="73"/>
        <v>9.5</v>
      </c>
      <c r="BA390" s="581"/>
      <c r="BB390" s="570"/>
      <c r="BC390" s="581"/>
      <c r="BD390" s="3691"/>
      <c r="BE390" s="3743"/>
      <c r="BF390" s="3743"/>
      <c r="BG390" s="3708"/>
      <c r="BH390" s="3762"/>
      <c r="BI390" s="3762"/>
      <c r="BJ390" s="39"/>
      <c r="BK390" s="39"/>
      <c r="BL390" s="39"/>
      <c r="BM390" s="39"/>
      <c r="BN390" s="39"/>
      <c r="BO390" s="39"/>
      <c r="BP390" s="39"/>
      <c r="BQ390" s="39"/>
      <c r="BR390" s="39"/>
      <c r="BS390" s="507"/>
      <c r="BT390" s="507"/>
      <c r="BU390" s="507"/>
      <c r="BV390" s="507"/>
      <c r="BW390" s="507"/>
      <c r="BX390" s="507"/>
      <c r="BY390" s="507"/>
      <c r="BZ390" s="507"/>
      <c r="CA390" s="507"/>
      <c r="CB390" s="507"/>
      <c r="CC390" s="507"/>
      <c r="CD390" s="507"/>
      <c r="CE390" s="507"/>
      <c r="CF390" s="507"/>
      <c r="CG390" s="507"/>
      <c r="CH390" s="507"/>
      <c r="CI390" s="507"/>
      <c r="CJ390" s="507"/>
      <c r="CK390" s="507"/>
      <c r="CL390" s="507"/>
      <c r="CM390" s="507"/>
      <c r="CN390" s="507"/>
      <c r="CO390" s="507"/>
      <c r="CP390" s="507"/>
      <c r="CQ390" s="507"/>
      <c r="CR390" s="507"/>
      <c r="CS390" s="507"/>
      <c r="CT390" s="507"/>
      <c r="CU390" s="507"/>
      <c r="CV390" s="507"/>
      <c r="CW390" s="507"/>
      <c r="CX390" s="507"/>
      <c r="CY390" s="507"/>
      <c r="CZ390" s="507"/>
      <c r="DA390" s="507"/>
      <c r="DB390" s="507"/>
      <c r="DC390" s="507"/>
      <c r="DD390" s="507"/>
      <c r="DE390" s="507"/>
      <c r="DF390" s="507"/>
      <c r="DG390" s="507"/>
      <c r="DH390" s="507"/>
      <c r="DI390" s="507"/>
      <c r="DJ390" s="507"/>
      <c r="DK390" s="507"/>
      <c r="DL390" s="507"/>
      <c r="DM390" s="507"/>
      <c r="DN390" s="507"/>
      <c r="DO390" s="507"/>
      <c r="DP390" s="507"/>
      <c r="DQ390" s="507"/>
      <c r="DR390" s="507"/>
      <c r="DS390" s="507"/>
      <c r="DT390" s="507"/>
      <c r="DU390" s="507"/>
      <c r="DV390" s="507"/>
      <c r="DW390" s="507"/>
      <c r="DX390" s="507"/>
      <c r="DY390" s="507"/>
      <c r="DZ390" s="507"/>
      <c r="EA390" s="507"/>
      <c r="EB390" s="507"/>
      <c r="EC390" s="507"/>
      <c r="ED390" s="507"/>
      <c r="EE390" s="507"/>
      <c r="EF390" s="507"/>
      <c r="EG390" s="507"/>
      <c r="EH390" s="507"/>
      <c r="EI390" s="507"/>
      <c r="EJ390" s="507"/>
      <c r="EK390" s="507"/>
      <c r="EL390" s="507"/>
      <c r="EM390" s="507"/>
      <c r="EN390" s="507"/>
      <c r="EO390" s="507"/>
      <c r="EP390" s="507"/>
      <c r="EQ390" s="507"/>
      <c r="ER390" s="507"/>
      <c r="ES390" s="507"/>
      <c r="ET390" s="507"/>
      <c r="EU390" s="507"/>
      <c r="EV390" s="507"/>
      <c r="EW390" s="507"/>
      <c r="EX390" s="507"/>
      <c r="EY390" s="507"/>
      <c r="EZ390" s="507"/>
      <c r="FA390" s="507"/>
      <c r="FB390" s="507"/>
      <c r="FC390" s="507"/>
      <c r="FD390" s="507"/>
      <c r="FE390" s="507"/>
      <c r="FF390" s="507"/>
      <c r="FG390" s="507"/>
      <c r="FH390" s="507"/>
      <c r="FI390" s="507"/>
      <c r="FJ390" s="507"/>
      <c r="FK390" s="507"/>
      <c r="FL390" s="507"/>
      <c r="FM390" s="507"/>
      <c r="FN390" s="507"/>
      <c r="FO390" s="507"/>
      <c r="FP390" s="507"/>
      <c r="FQ390" s="507"/>
      <c r="FR390" s="507"/>
      <c r="FS390" s="507"/>
      <c r="FT390" s="507"/>
      <c r="FU390" s="507"/>
      <c r="FV390" s="507"/>
      <c r="FW390" s="507"/>
      <c r="FX390" s="507"/>
      <c r="FY390" s="507"/>
      <c r="FZ390" s="507"/>
      <c r="GA390" s="507"/>
      <c r="GB390" s="507"/>
      <c r="GC390" s="507"/>
      <c r="GD390" s="507"/>
      <c r="GE390" s="507"/>
      <c r="GF390" s="507"/>
      <c r="GG390" s="507"/>
      <c r="GH390" s="507"/>
      <c r="GI390" s="507"/>
      <c r="GJ390" s="507"/>
      <c r="GK390" s="507"/>
      <c r="GL390" s="507"/>
      <c r="GM390" s="507"/>
      <c r="GN390" s="507"/>
      <c r="GO390" s="507"/>
      <c r="GP390" s="507"/>
      <c r="GQ390" s="507"/>
      <c r="GR390" s="507"/>
      <c r="GS390" s="507"/>
      <c r="GT390" s="507"/>
      <c r="GU390" s="507"/>
      <c r="GV390" s="507"/>
      <c r="GW390" s="507"/>
      <c r="GX390" s="507"/>
      <c r="GY390" s="507"/>
      <c r="GZ390" s="507"/>
      <c r="HA390" s="507"/>
      <c r="HB390" s="507"/>
      <c r="HC390" s="507"/>
      <c r="HD390" s="507"/>
      <c r="HE390" s="507"/>
      <c r="HF390" s="507"/>
      <c r="HG390" s="507"/>
      <c r="HH390" s="507"/>
      <c r="HI390" s="507"/>
      <c r="HJ390" s="507"/>
      <c r="HK390" s="507"/>
      <c r="HL390" s="507"/>
      <c r="HM390" s="507"/>
      <c r="HN390" s="507"/>
      <c r="HO390" s="507"/>
      <c r="HP390" s="507"/>
      <c r="HQ390" s="507"/>
      <c r="HR390" s="507"/>
      <c r="HS390" s="507"/>
      <c r="HT390" s="507"/>
      <c r="HU390" s="507"/>
      <c r="HV390" s="507"/>
      <c r="HW390" s="507"/>
      <c r="HX390" s="507"/>
      <c r="HY390" s="507"/>
      <c r="HZ390" s="507"/>
    </row>
    <row r="391" spans="1:234" s="206" customFormat="1" ht="13.5" hidden="1" customHeight="1" x14ac:dyDescent="0.25">
      <c r="A391" s="541" t="s">
        <v>5561</v>
      </c>
      <c r="B391" s="523" t="s">
        <v>5562</v>
      </c>
      <c r="C391" s="524" t="s">
        <v>5563</v>
      </c>
      <c r="D391" s="551" t="s">
        <v>5564</v>
      </c>
      <c r="E391" s="569" t="s">
        <v>3228</v>
      </c>
      <c r="F391" s="543">
        <v>41437</v>
      </c>
      <c r="G391" s="544">
        <v>41366</v>
      </c>
      <c r="H391" s="544">
        <v>41425</v>
      </c>
      <c r="I391" s="616">
        <v>43829</v>
      </c>
      <c r="J391" s="579">
        <v>10</v>
      </c>
      <c r="K391" s="553" t="s">
        <v>3229</v>
      </c>
      <c r="L391" s="552" t="s">
        <v>3229</v>
      </c>
      <c r="M391" s="560">
        <v>0</v>
      </c>
      <c r="N391" s="606">
        <v>0.5</v>
      </c>
      <c r="O391" s="613">
        <v>0.35</v>
      </c>
      <c r="P391" s="575" t="s">
        <v>3229</v>
      </c>
      <c r="Q391" s="575" t="s">
        <v>3229</v>
      </c>
      <c r="R391" s="575" t="s">
        <v>3229</v>
      </c>
      <c r="S391" s="570"/>
      <c r="T391" s="563" t="s">
        <v>3229</v>
      </c>
      <c r="U391" s="563" t="s">
        <v>3229</v>
      </c>
      <c r="V391" s="563" t="s">
        <v>3229</v>
      </c>
      <c r="W391" s="563" t="s">
        <v>3229</v>
      </c>
      <c r="X391" s="563" t="s">
        <v>3229</v>
      </c>
      <c r="Y391" s="598" t="s">
        <v>3229</v>
      </c>
      <c r="Z391" s="598" t="s">
        <v>3229</v>
      </c>
      <c r="AA391" s="598" t="s">
        <v>3229</v>
      </c>
      <c r="AB391" s="598" t="s">
        <v>3229</v>
      </c>
      <c r="AC391" s="598" t="s">
        <v>3229</v>
      </c>
      <c r="AD391" s="598" t="s">
        <v>3229</v>
      </c>
      <c r="AE391" s="598" t="s">
        <v>3229</v>
      </c>
      <c r="AF391" s="3764" t="s">
        <v>781</v>
      </c>
      <c r="AG391" s="3765"/>
      <c r="AH391" s="1301" t="s">
        <v>3229</v>
      </c>
      <c r="AI391" s="1301" t="s">
        <v>3229</v>
      </c>
      <c r="AJ391" s="1301" t="s">
        <v>3229</v>
      </c>
      <c r="AK391" s="530" t="s">
        <v>3229</v>
      </c>
      <c r="AL391" s="530" t="s">
        <v>3229</v>
      </c>
      <c r="AM391" s="659">
        <v>1</v>
      </c>
      <c r="AN391" s="638">
        <f>'klikací hodnoty'!F11861</f>
        <v>9.5500000000000002E-2</v>
      </c>
      <c r="AO391" s="625">
        <v>10.96</v>
      </c>
      <c r="AP391" s="688">
        <f>+AQ391</f>
        <v>0.191</v>
      </c>
      <c r="AQ391" s="606">
        <f>'klikací hodnoty'!F11860</f>
        <v>0.191</v>
      </c>
      <c r="AR391" s="600">
        <f t="shared" si="84"/>
        <v>0.35</v>
      </c>
      <c r="AS391" s="548">
        <f t="shared" si="90"/>
        <v>4.6858266789863379E-2</v>
      </c>
      <c r="AT391" s="548">
        <f t="shared" si="91"/>
        <v>0.2317518248175181</v>
      </c>
      <c r="AU391" s="549" t="e">
        <f t="shared" si="92"/>
        <v>#DIV/0!</v>
      </c>
      <c r="AV391" s="558">
        <f t="shared" si="80"/>
        <v>0</v>
      </c>
      <c r="AW391" s="558">
        <f t="shared" si="74"/>
        <v>0</v>
      </c>
      <c r="AX391" s="589">
        <f t="shared" si="88"/>
        <v>-8.7591240875912524E-2</v>
      </c>
      <c r="AY391" s="587" t="e">
        <f t="shared" si="89"/>
        <v>#DIV/0!</v>
      </c>
      <c r="AZ391" s="676">
        <f t="shared" si="73"/>
        <v>10</v>
      </c>
      <c r="BA391" s="581"/>
      <c r="BB391" s="570"/>
      <c r="BC391" s="581"/>
      <c r="BD391" s="3691"/>
      <c r="BE391" s="3743"/>
      <c r="BF391" s="3743"/>
      <c r="BG391" s="3708"/>
      <c r="BH391" s="3762"/>
      <c r="BI391" s="3762"/>
      <c r="BJ391" s="39"/>
      <c r="BK391" s="39"/>
      <c r="BL391" s="39"/>
      <c r="BM391" s="39"/>
      <c r="BN391" s="39"/>
      <c r="BO391" s="39"/>
      <c r="BP391" s="39"/>
      <c r="BQ391" s="39"/>
      <c r="BR391" s="39"/>
      <c r="BS391" s="507"/>
      <c r="BT391" s="507"/>
      <c r="BU391" s="507"/>
      <c r="BV391" s="507"/>
      <c r="BW391" s="507"/>
      <c r="BX391" s="507"/>
      <c r="BY391" s="507"/>
      <c r="BZ391" s="507"/>
      <c r="CA391" s="507"/>
      <c r="CB391" s="507"/>
      <c r="CC391" s="507"/>
      <c r="CD391" s="507"/>
      <c r="CE391" s="507"/>
      <c r="CF391" s="507"/>
      <c r="CG391" s="507"/>
      <c r="CH391" s="507"/>
      <c r="CI391" s="507"/>
      <c r="CJ391" s="507"/>
      <c r="CK391" s="507"/>
      <c r="CL391" s="507"/>
      <c r="CM391" s="507"/>
      <c r="CN391" s="507"/>
      <c r="CO391" s="507"/>
      <c r="CP391" s="507"/>
      <c r="CQ391" s="507"/>
      <c r="CR391" s="507"/>
      <c r="CS391" s="507"/>
      <c r="CT391" s="507"/>
      <c r="CU391" s="507"/>
      <c r="CV391" s="507"/>
      <c r="CW391" s="507"/>
      <c r="CX391" s="507"/>
      <c r="CY391" s="507"/>
      <c r="CZ391" s="507"/>
      <c r="DA391" s="507"/>
      <c r="DB391" s="507"/>
      <c r="DC391" s="507"/>
      <c r="DD391" s="507"/>
      <c r="DE391" s="507"/>
      <c r="DF391" s="507"/>
      <c r="DG391" s="507"/>
      <c r="DH391" s="507"/>
      <c r="DI391" s="507"/>
      <c r="DJ391" s="507"/>
      <c r="DK391" s="507"/>
      <c r="DL391" s="507"/>
      <c r="DM391" s="507"/>
      <c r="DN391" s="507"/>
      <c r="DO391" s="507"/>
      <c r="DP391" s="507"/>
      <c r="DQ391" s="507"/>
      <c r="DR391" s="507"/>
      <c r="DS391" s="507"/>
      <c r="DT391" s="507"/>
      <c r="DU391" s="507"/>
      <c r="DV391" s="507"/>
      <c r="DW391" s="507"/>
      <c r="DX391" s="507"/>
      <c r="DY391" s="507"/>
      <c r="DZ391" s="507"/>
      <c r="EA391" s="507"/>
      <c r="EB391" s="507"/>
      <c r="EC391" s="507"/>
      <c r="ED391" s="507"/>
      <c r="EE391" s="507"/>
      <c r="EF391" s="507"/>
      <c r="EG391" s="507"/>
      <c r="EH391" s="507"/>
      <c r="EI391" s="507"/>
      <c r="EJ391" s="507"/>
      <c r="EK391" s="507"/>
      <c r="EL391" s="507"/>
      <c r="EM391" s="507"/>
      <c r="EN391" s="507"/>
      <c r="EO391" s="507"/>
      <c r="EP391" s="507"/>
      <c r="EQ391" s="507"/>
      <c r="ER391" s="507"/>
      <c r="ES391" s="507"/>
      <c r="ET391" s="507"/>
      <c r="EU391" s="507"/>
      <c r="EV391" s="507"/>
      <c r="EW391" s="507"/>
      <c r="EX391" s="507"/>
      <c r="EY391" s="507"/>
      <c r="EZ391" s="507"/>
      <c r="FA391" s="507"/>
      <c r="FB391" s="507"/>
      <c r="FC391" s="507"/>
      <c r="FD391" s="507"/>
      <c r="FE391" s="507"/>
      <c r="FF391" s="507"/>
      <c r="FG391" s="507"/>
      <c r="FH391" s="507"/>
      <c r="FI391" s="507"/>
      <c r="FJ391" s="507"/>
      <c r="FK391" s="507"/>
      <c r="FL391" s="507"/>
      <c r="FM391" s="507"/>
      <c r="FN391" s="507"/>
      <c r="FO391" s="507"/>
      <c r="FP391" s="507"/>
      <c r="FQ391" s="507"/>
      <c r="FR391" s="507"/>
      <c r="FS391" s="507"/>
      <c r="FT391" s="507"/>
      <c r="FU391" s="507"/>
      <c r="FV391" s="507"/>
      <c r="FW391" s="507"/>
      <c r="FX391" s="507"/>
      <c r="FY391" s="507"/>
      <c r="FZ391" s="507"/>
      <c r="GA391" s="507"/>
      <c r="GB391" s="507"/>
      <c r="GC391" s="507"/>
      <c r="GD391" s="507"/>
      <c r="GE391" s="507"/>
      <c r="GF391" s="507"/>
      <c r="GG391" s="507"/>
      <c r="GH391" s="507"/>
      <c r="GI391" s="507"/>
      <c r="GJ391" s="507"/>
      <c r="GK391" s="507"/>
      <c r="GL391" s="507"/>
      <c r="GM391" s="507"/>
      <c r="GN391" s="507"/>
      <c r="GO391" s="507"/>
      <c r="GP391" s="507"/>
      <c r="GQ391" s="507"/>
      <c r="GR391" s="507"/>
      <c r="GS391" s="507"/>
      <c r="GT391" s="507"/>
      <c r="GU391" s="507"/>
      <c r="GV391" s="507"/>
      <c r="GW391" s="507"/>
      <c r="GX391" s="507"/>
      <c r="GY391" s="507"/>
      <c r="GZ391" s="507"/>
      <c r="HA391" s="507"/>
      <c r="HB391" s="507"/>
      <c r="HC391" s="507"/>
      <c r="HD391" s="507"/>
      <c r="HE391" s="507"/>
      <c r="HF391" s="507"/>
      <c r="HG391" s="507"/>
      <c r="HH391" s="507"/>
      <c r="HI391" s="507"/>
      <c r="HJ391" s="507"/>
      <c r="HK391" s="507"/>
      <c r="HL391" s="507"/>
      <c r="HM391" s="507"/>
      <c r="HN391" s="507"/>
      <c r="HO391" s="507"/>
      <c r="HP391" s="507"/>
      <c r="HQ391" s="507"/>
      <c r="HR391" s="507"/>
      <c r="HS391" s="507"/>
      <c r="HT391" s="507"/>
      <c r="HU391" s="507"/>
      <c r="HV391" s="507"/>
      <c r="HW391" s="507"/>
      <c r="HX391" s="507"/>
      <c r="HY391" s="507"/>
      <c r="HZ391" s="507"/>
    </row>
    <row r="392" spans="1:234" s="206" customFormat="1" ht="13.5" hidden="1" customHeight="1" x14ac:dyDescent="0.25">
      <c r="A392" s="541" t="s">
        <v>5592</v>
      </c>
      <c r="B392" s="523" t="s">
        <v>5593</v>
      </c>
      <c r="C392" s="524" t="s">
        <v>5594</v>
      </c>
      <c r="D392" s="551" t="s">
        <v>189</v>
      </c>
      <c r="E392" s="569" t="s">
        <v>3228</v>
      </c>
      <c r="F392" s="543">
        <v>41463</v>
      </c>
      <c r="G392" s="544">
        <v>41396</v>
      </c>
      <c r="H392" s="544">
        <v>41453</v>
      </c>
      <c r="I392" s="616">
        <v>43553</v>
      </c>
      <c r="J392" s="579">
        <v>10</v>
      </c>
      <c r="K392" s="553" t="s">
        <v>3229</v>
      </c>
      <c r="L392" s="552" t="s">
        <v>3229</v>
      </c>
      <c r="M392" s="560">
        <v>-0.05</v>
      </c>
      <c r="N392" s="606">
        <v>0.6</v>
      </c>
      <c r="O392" s="613">
        <v>0.6</v>
      </c>
      <c r="P392" s="575" t="s">
        <v>3229</v>
      </c>
      <c r="Q392" s="575" t="s">
        <v>3229</v>
      </c>
      <c r="R392" s="575" t="s">
        <v>3229</v>
      </c>
      <c r="S392" s="570"/>
      <c r="T392" s="563" t="s">
        <v>3229</v>
      </c>
      <c r="U392" s="563" t="s">
        <v>3229</v>
      </c>
      <c r="V392" s="563" t="s">
        <v>3229</v>
      </c>
      <c r="W392" s="563" t="s">
        <v>3229</v>
      </c>
      <c r="X392" s="563" t="s">
        <v>3229</v>
      </c>
      <c r="Y392" s="598" t="s">
        <v>3229</v>
      </c>
      <c r="Z392" s="598" t="s">
        <v>3229</v>
      </c>
      <c r="AA392" s="598" t="s">
        <v>3229</v>
      </c>
      <c r="AB392" s="598" t="s">
        <v>3229</v>
      </c>
      <c r="AC392" s="598" t="s">
        <v>3229</v>
      </c>
      <c r="AD392" s="598" t="s">
        <v>3229</v>
      </c>
      <c r="AE392" s="598" t="s">
        <v>3229</v>
      </c>
      <c r="AF392" s="3764" t="s">
        <v>781</v>
      </c>
      <c r="AG392" s="3765"/>
      <c r="AH392" s="1301" t="s">
        <v>3229</v>
      </c>
      <c r="AI392" s="1301" t="s">
        <v>3229</v>
      </c>
      <c r="AJ392" s="1301" t="s">
        <v>3229</v>
      </c>
      <c r="AK392" s="530" t="s">
        <v>3229</v>
      </c>
      <c r="AL392" s="530" t="s">
        <v>3229</v>
      </c>
      <c r="AM392" s="659">
        <v>1</v>
      </c>
      <c r="AN392" s="638">
        <f>'klikací hodnoty'!F11898</f>
        <v>0.12068496666666664</v>
      </c>
      <c r="AO392" s="625">
        <v>11.21</v>
      </c>
      <c r="AP392" s="688">
        <f>AQ392</f>
        <v>0.20322465166479572</v>
      </c>
      <c r="AQ392" s="606">
        <f>'klikací hodnoty'!F11897</f>
        <v>0.20322465166479572</v>
      </c>
      <c r="AR392" s="600">
        <f t="shared" si="84"/>
        <v>0.6</v>
      </c>
      <c r="AS392" s="548">
        <f t="shared" si="90"/>
        <v>8.5544792119424562E-2</v>
      </c>
      <c r="AT392" s="548">
        <f t="shared" si="91"/>
        <v>0.4272970561998215</v>
      </c>
      <c r="AU392" s="549" t="e">
        <f t="shared" si="92"/>
        <v>#DIV/0!</v>
      </c>
      <c r="AV392" s="558">
        <f t="shared" si="80"/>
        <v>-0.05</v>
      </c>
      <c r="AW392" s="558">
        <f t="shared" si="74"/>
        <v>-8.9179172052543665E-3</v>
      </c>
      <c r="AX392" s="589">
        <f t="shared" si="88"/>
        <v>-0.15254237288135597</v>
      </c>
      <c r="AY392" s="587" t="e">
        <f t="shared" si="89"/>
        <v>#DIV/0!</v>
      </c>
      <c r="AZ392" s="676">
        <f t="shared" si="73"/>
        <v>9.5</v>
      </c>
      <c r="BA392" s="581"/>
      <c r="BB392" s="570"/>
      <c r="BC392" s="581"/>
      <c r="BD392" s="3691"/>
      <c r="BE392" s="3743"/>
      <c r="BF392" s="3743"/>
      <c r="BG392" s="3708"/>
      <c r="BH392" s="3762"/>
      <c r="BI392" s="3762"/>
      <c r="BJ392" s="39"/>
      <c r="BK392" s="39"/>
      <c r="BL392" s="39"/>
      <c r="BM392" s="39"/>
      <c r="BN392" s="39"/>
      <c r="BO392" s="39"/>
      <c r="BP392" s="39"/>
      <c r="BQ392" s="39"/>
      <c r="BR392" s="39"/>
      <c r="BS392" s="507"/>
      <c r="BT392" s="507"/>
      <c r="BU392" s="507"/>
      <c r="BV392" s="507"/>
      <c r="BW392" s="507"/>
      <c r="BX392" s="507"/>
      <c r="BY392" s="507"/>
      <c r="BZ392" s="507"/>
      <c r="CA392" s="507"/>
      <c r="CB392" s="507"/>
      <c r="CC392" s="507"/>
      <c r="CD392" s="507"/>
      <c r="CE392" s="507"/>
      <c r="CF392" s="507"/>
      <c r="CG392" s="507"/>
      <c r="CH392" s="507"/>
      <c r="CI392" s="507"/>
      <c r="CJ392" s="507"/>
      <c r="CK392" s="507"/>
      <c r="CL392" s="507"/>
      <c r="CM392" s="507"/>
      <c r="CN392" s="507"/>
      <c r="CO392" s="507"/>
      <c r="CP392" s="507"/>
      <c r="CQ392" s="507"/>
      <c r="CR392" s="507"/>
      <c r="CS392" s="507"/>
      <c r="CT392" s="507"/>
      <c r="CU392" s="507"/>
      <c r="CV392" s="507"/>
      <c r="CW392" s="507"/>
      <c r="CX392" s="507"/>
      <c r="CY392" s="507"/>
      <c r="CZ392" s="507"/>
      <c r="DA392" s="507"/>
      <c r="DB392" s="507"/>
      <c r="DC392" s="507"/>
      <c r="DD392" s="507"/>
      <c r="DE392" s="507"/>
      <c r="DF392" s="507"/>
      <c r="DG392" s="507"/>
      <c r="DH392" s="507"/>
      <c r="DI392" s="507"/>
      <c r="DJ392" s="507"/>
      <c r="DK392" s="507"/>
      <c r="DL392" s="507"/>
      <c r="DM392" s="507"/>
      <c r="DN392" s="507"/>
      <c r="DO392" s="507"/>
      <c r="DP392" s="507"/>
      <c r="DQ392" s="507"/>
      <c r="DR392" s="507"/>
      <c r="DS392" s="507"/>
      <c r="DT392" s="507"/>
      <c r="DU392" s="507"/>
      <c r="DV392" s="507"/>
      <c r="DW392" s="507"/>
      <c r="DX392" s="507"/>
      <c r="DY392" s="507"/>
      <c r="DZ392" s="507"/>
      <c r="EA392" s="507"/>
      <c r="EB392" s="507"/>
      <c r="EC392" s="507"/>
      <c r="ED392" s="507"/>
      <c r="EE392" s="507"/>
      <c r="EF392" s="507"/>
      <c r="EG392" s="507"/>
      <c r="EH392" s="507"/>
      <c r="EI392" s="507"/>
      <c r="EJ392" s="507"/>
      <c r="EK392" s="507"/>
      <c r="EL392" s="507"/>
      <c r="EM392" s="507"/>
      <c r="EN392" s="507"/>
      <c r="EO392" s="507"/>
      <c r="EP392" s="507"/>
      <c r="EQ392" s="507"/>
      <c r="ER392" s="507"/>
      <c r="ES392" s="507"/>
      <c r="ET392" s="507"/>
      <c r="EU392" s="507"/>
      <c r="EV392" s="507"/>
      <c r="EW392" s="507"/>
      <c r="EX392" s="507"/>
      <c r="EY392" s="507"/>
      <c r="EZ392" s="507"/>
      <c r="FA392" s="507"/>
      <c r="FB392" s="507"/>
      <c r="FC392" s="507"/>
      <c r="FD392" s="507"/>
      <c r="FE392" s="507"/>
      <c r="FF392" s="507"/>
      <c r="FG392" s="507"/>
      <c r="FH392" s="507"/>
      <c r="FI392" s="507"/>
      <c r="FJ392" s="507"/>
      <c r="FK392" s="507"/>
      <c r="FL392" s="507"/>
      <c r="FM392" s="507"/>
      <c r="FN392" s="507"/>
      <c r="FO392" s="507"/>
      <c r="FP392" s="507"/>
      <c r="FQ392" s="507"/>
      <c r="FR392" s="507"/>
      <c r="FS392" s="507"/>
      <c r="FT392" s="507"/>
      <c r="FU392" s="507"/>
      <c r="FV392" s="507"/>
      <c r="FW392" s="507"/>
      <c r="FX392" s="507"/>
      <c r="FY392" s="507"/>
      <c r="FZ392" s="507"/>
      <c r="GA392" s="507"/>
      <c r="GB392" s="507"/>
      <c r="GC392" s="507"/>
      <c r="GD392" s="507"/>
      <c r="GE392" s="507"/>
      <c r="GF392" s="507"/>
      <c r="GG392" s="507"/>
      <c r="GH392" s="507"/>
      <c r="GI392" s="507"/>
      <c r="GJ392" s="507"/>
      <c r="GK392" s="507"/>
      <c r="GL392" s="507"/>
      <c r="GM392" s="507"/>
      <c r="GN392" s="507"/>
      <c r="GO392" s="507"/>
      <c r="GP392" s="507"/>
      <c r="GQ392" s="507"/>
      <c r="GR392" s="507"/>
      <c r="GS392" s="507"/>
      <c r="GT392" s="507"/>
      <c r="GU392" s="507"/>
      <c r="GV392" s="507"/>
      <c r="GW392" s="507"/>
      <c r="GX392" s="507"/>
      <c r="GY392" s="507"/>
      <c r="GZ392" s="507"/>
      <c r="HA392" s="507"/>
      <c r="HB392" s="507"/>
      <c r="HC392" s="507"/>
      <c r="HD392" s="507"/>
      <c r="HE392" s="507"/>
      <c r="HF392" s="507"/>
      <c r="HG392" s="507"/>
      <c r="HH392" s="507"/>
      <c r="HI392" s="507"/>
      <c r="HJ392" s="507"/>
      <c r="HK392" s="507"/>
      <c r="HL392" s="507"/>
      <c r="HM392" s="507"/>
      <c r="HN392" s="507"/>
      <c r="HO392" s="507"/>
      <c r="HP392" s="507"/>
      <c r="HQ392" s="507"/>
      <c r="HR392" s="507"/>
      <c r="HS392" s="507"/>
      <c r="HT392" s="507"/>
      <c r="HU392" s="507"/>
      <c r="HV392" s="507"/>
      <c r="HW392" s="507"/>
      <c r="HX392" s="507"/>
      <c r="HY392" s="507"/>
      <c r="HZ392" s="507"/>
    </row>
    <row r="393" spans="1:234" s="206" customFormat="1" ht="13.5" hidden="1" customHeight="1" x14ac:dyDescent="0.25">
      <c r="A393" s="541" t="s">
        <v>5596</v>
      </c>
      <c r="B393" s="523" t="s">
        <v>5595</v>
      </c>
      <c r="C393" s="524" t="s">
        <v>5597</v>
      </c>
      <c r="D393" s="551" t="s">
        <v>4384</v>
      </c>
      <c r="E393" s="569" t="s">
        <v>3228</v>
      </c>
      <c r="F393" s="543">
        <v>41463</v>
      </c>
      <c r="G393" s="544">
        <v>41396</v>
      </c>
      <c r="H393" s="544">
        <v>41453</v>
      </c>
      <c r="I393" s="616">
        <v>43552</v>
      </c>
      <c r="J393" s="579">
        <v>10</v>
      </c>
      <c r="K393" s="553" t="s">
        <v>3229</v>
      </c>
      <c r="L393" s="552" t="s">
        <v>3229</v>
      </c>
      <c r="M393" s="560">
        <v>-0.1</v>
      </c>
      <c r="N393" s="606">
        <v>1</v>
      </c>
      <c r="O393" s="613">
        <v>0.8</v>
      </c>
      <c r="P393" s="575" t="s">
        <v>3229</v>
      </c>
      <c r="Q393" s="575" t="s">
        <v>3229</v>
      </c>
      <c r="R393" s="575" t="s">
        <v>3229</v>
      </c>
      <c r="S393" s="570"/>
      <c r="T393" s="563" t="s">
        <v>3229</v>
      </c>
      <c r="U393" s="563" t="s">
        <v>3229</v>
      </c>
      <c r="V393" s="563" t="s">
        <v>3229</v>
      </c>
      <c r="W393" s="563" t="s">
        <v>3229</v>
      </c>
      <c r="X393" s="563" t="s">
        <v>3229</v>
      </c>
      <c r="Y393" s="598" t="s">
        <v>3229</v>
      </c>
      <c r="Z393" s="598" t="s">
        <v>3229</v>
      </c>
      <c r="AA393" s="598" t="s">
        <v>3229</v>
      </c>
      <c r="AB393" s="598" t="s">
        <v>3229</v>
      </c>
      <c r="AC393" s="598" t="s">
        <v>3229</v>
      </c>
      <c r="AD393" s="598" t="s">
        <v>3229</v>
      </c>
      <c r="AE393" s="598" t="s">
        <v>3229</v>
      </c>
      <c r="AF393" s="3764" t="s">
        <v>781</v>
      </c>
      <c r="AG393" s="3765"/>
      <c r="AH393" s="1301" t="s">
        <v>3229</v>
      </c>
      <c r="AI393" s="1301" t="s">
        <v>3229</v>
      </c>
      <c r="AJ393" s="1301" t="s">
        <v>3229</v>
      </c>
      <c r="AK393" s="530" t="s">
        <v>3229</v>
      </c>
      <c r="AL393" s="530" t="s">
        <v>3229</v>
      </c>
      <c r="AM393" s="659">
        <v>1</v>
      </c>
      <c r="AN393" s="638">
        <f>'klikací hodnoty'!F11935</f>
        <v>0.27449533333333337</v>
      </c>
      <c r="AO393" s="625">
        <v>12.74</v>
      </c>
      <c r="AP393" s="688">
        <f>AQ393</f>
        <v>0.29482011831822463</v>
      </c>
      <c r="AQ393" s="606">
        <f>'klikací hodnoty'!F11934</f>
        <v>0.29482011831822463</v>
      </c>
      <c r="AR393" s="600">
        <f t="shared" si="84"/>
        <v>0.8</v>
      </c>
      <c r="AS393" s="548">
        <f t="shared" si="90"/>
        <v>0.10815988372372809</v>
      </c>
      <c r="AT393" s="548">
        <f t="shared" si="91"/>
        <v>0.41287284144426994</v>
      </c>
      <c r="AU393" s="549" t="e">
        <f t="shared" si="92"/>
        <v>#DIV/0!</v>
      </c>
      <c r="AV393" s="558">
        <f t="shared" si="80"/>
        <v>-0.1</v>
      </c>
      <c r="AW393" s="558">
        <f t="shared" si="74"/>
        <v>-1.8240677351462398E-2</v>
      </c>
      <c r="AX393" s="589">
        <f t="shared" si="88"/>
        <v>-0.29356357927786503</v>
      </c>
      <c r="AY393" s="587" t="e">
        <f t="shared" si="89"/>
        <v>#DIV/0!</v>
      </c>
      <c r="AZ393" s="676">
        <f t="shared" si="73"/>
        <v>9</v>
      </c>
      <c r="BA393" s="581"/>
      <c r="BB393" s="570"/>
      <c r="BC393" s="581"/>
      <c r="BD393" s="3691"/>
      <c r="BE393" s="3743"/>
      <c r="BF393" s="3743"/>
      <c r="BG393" s="3708"/>
      <c r="BH393" s="3762"/>
      <c r="BI393" s="3762"/>
      <c r="BJ393" s="39"/>
      <c r="BK393" s="39"/>
      <c r="BL393" s="39"/>
      <c r="BM393" s="39"/>
      <c r="BN393" s="39"/>
      <c r="BO393" s="39"/>
      <c r="BP393" s="39"/>
      <c r="BQ393" s="39"/>
      <c r="BR393" s="39"/>
      <c r="BS393" s="507"/>
      <c r="BT393" s="507"/>
      <c r="BU393" s="507"/>
      <c r="BV393" s="507"/>
      <c r="BW393" s="507"/>
      <c r="BX393" s="507"/>
      <c r="BY393" s="507"/>
      <c r="BZ393" s="507"/>
      <c r="CA393" s="507"/>
      <c r="CB393" s="507"/>
      <c r="CC393" s="507"/>
      <c r="CD393" s="507"/>
      <c r="CE393" s="507"/>
      <c r="CF393" s="507"/>
      <c r="CG393" s="507"/>
      <c r="CH393" s="507"/>
      <c r="CI393" s="507"/>
      <c r="CJ393" s="507"/>
      <c r="CK393" s="507"/>
      <c r="CL393" s="507"/>
      <c r="CM393" s="507"/>
      <c r="CN393" s="507"/>
      <c r="CO393" s="507"/>
      <c r="CP393" s="507"/>
      <c r="CQ393" s="507"/>
      <c r="CR393" s="507"/>
      <c r="CS393" s="507"/>
      <c r="CT393" s="507"/>
      <c r="CU393" s="507"/>
      <c r="CV393" s="507"/>
      <c r="CW393" s="507"/>
      <c r="CX393" s="507"/>
      <c r="CY393" s="507"/>
      <c r="CZ393" s="507"/>
      <c r="DA393" s="507"/>
      <c r="DB393" s="507"/>
      <c r="DC393" s="507"/>
      <c r="DD393" s="507"/>
      <c r="DE393" s="507"/>
      <c r="DF393" s="507"/>
      <c r="DG393" s="507"/>
      <c r="DH393" s="507"/>
      <c r="DI393" s="507"/>
      <c r="DJ393" s="507"/>
      <c r="DK393" s="507"/>
      <c r="DL393" s="507"/>
      <c r="DM393" s="507"/>
      <c r="DN393" s="507"/>
      <c r="DO393" s="507"/>
      <c r="DP393" s="507"/>
      <c r="DQ393" s="507"/>
      <c r="DR393" s="507"/>
      <c r="DS393" s="507"/>
      <c r="DT393" s="507"/>
      <c r="DU393" s="507"/>
      <c r="DV393" s="507"/>
      <c r="DW393" s="507"/>
      <c r="DX393" s="507"/>
      <c r="DY393" s="507"/>
      <c r="DZ393" s="507"/>
      <c r="EA393" s="507"/>
      <c r="EB393" s="507"/>
      <c r="EC393" s="507"/>
      <c r="ED393" s="507"/>
      <c r="EE393" s="507"/>
      <c r="EF393" s="507"/>
      <c r="EG393" s="507"/>
      <c r="EH393" s="507"/>
      <c r="EI393" s="507"/>
      <c r="EJ393" s="507"/>
      <c r="EK393" s="507"/>
      <c r="EL393" s="507"/>
      <c r="EM393" s="507"/>
      <c r="EN393" s="507"/>
      <c r="EO393" s="507"/>
      <c r="EP393" s="507"/>
      <c r="EQ393" s="507"/>
      <c r="ER393" s="507"/>
      <c r="ES393" s="507"/>
      <c r="ET393" s="507"/>
      <c r="EU393" s="507"/>
      <c r="EV393" s="507"/>
      <c r="EW393" s="507"/>
      <c r="EX393" s="507"/>
      <c r="EY393" s="507"/>
      <c r="EZ393" s="507"/>
      <c r="FA393" s="507"/>
      <c r="FB393" s="507"/>
      <c r="FC393" s="507"/>
      <c r="FD393" s="507"/>
      <c r="FE393" s="507"/>
      <c r="FF393" s="507"/>
      <c r="FG393" s="507"/>
      <c r="FH393" s="507"/>
      <c r="FI393" s="507"/>
      <c r="FJ393" s="507"/>
      <c r="FK393" s="507"/>
      <c r="FL393" s="507"/>
      <c r="FM393" s="507"/>
      <c r="FN393" s="507"/>
      <c r="FO393" s="507"/>
      <c r="FP393" s="507"/>
      <c r="FQ393" s="507"/>
      <c r="FR393" s="507"/>
      <c r="FS393" s="507"/>
      <c r="FT393" s="507"/>
      <c r="FU393" s="507"/>
      <c r="FV393" s="507"/>
      <c r="FW393" s="507"/>
      <c r="FX393" s="507"/>
      <c r="FY393" s="507"/>
      <c r="FZ393" s="507"/>
      <c r="GA393" s="507"/>
      <c r="GB393" s="507"/>
      <c r="GC393" s="507"/>
      <c r="GD393" s="507"/>
      <c r="GE393" s="507"/>
      <c r="GF393" s="507"/>
      <c r="GG393" s="507"/>
      <c r="GH393" s="507"/>
      <c r="GI393" s="507"/>
      <c r="GJ393" s="507"/>
      <c r="GK393" s="507"/>
      <c r="GL393" s="507"/>
      <c r="GM393" s="507"/>
      <c r="GN393" s="507"/>
      <c r="GO393" s="507"/>
      <c r="GP393" s="507"/>
      <c r="GQ393" s="507"/>
      <c r="GR393" s="507"/>
      <c r="GS393" s="507"/>
      <c r="GT393" s="507"/>
      <c r="GU393" s="507"/>
      <c r="GV393" s="507"/>
      <c r="GW393" s="507"/>
      <c r="GX393" s="507"/>
      <c r="GY393" s="507"/>
      <c r="GZ393" s="507"/>
      <c r="HA393" s="507"/>
      <c r="HB393" s="507"/>
      <c r="HC393" s="507"/>
      <c r="HD393" s="507"/>
      <c r="HE393" s="507"/>
      <c r="HF393" s="507"/>
      <c r="HG393" s="507"/>
      <c r="HH393" s="507"/>
      <c r="HI393" s="507"/>
      <c r="HJ393" s="507"/>
      <c r="HK393" s="507"/>
      <c r="HL393" s="507"/>
      <c r="HM393" s="507"/>
      <c r="HN393" s="507"/>
      <c r="HO393" s="507"/>
      <c r="HP393" s="507"/>
      <c r="HQ393" s="507"/>
      <c r="HR393" s="507"/>
      <c r="HS393" s="507"/>
      <c r="HT393" s="507"/>
      <c r="HU393" s="507"/>
      <c r="HV393" s="507"/>
      <c r="HW393" s="507"/>
      <c r="HX393" s="507"/>
      <c r="HY393" s="507"/>
      <c r="HZ393" s="507"/>
    </row>
    <row r="394" spans="1:234" s="206" customFormat="1" ht="13.5" hidden="1" customHeight="1" x14ac:dyDescent="0.25">
      <c r="A394" s="541" t="s">
        <v>5600</v>
      </c>
      <c r="B394" s="523" t="s">
        <v>5598</v>
      </c>
      <c r="C394" s="524" t="s">
        <v>5599</v>
      </c>
      <c r="D394" s="551" t="s">
        <v>5601</v>
      </c>
      <c r="E394" s="569" t="s">
        <v>3228</v>
      </c>
      <c r="F394" s="543">
        <v>41465</v>
      </c>
      <c r="G394" s="544">
        <v>41396</v>
      </c>
      <c r="H394" s="544">
        <v>41453</v>
      </c>
      <c r="I394" s="616">
        <v>43553</v>
      </c>
      <c r="J394" s="579">
        <v>10</v>
      </c>
      <c r="K394" s="553" t="s">
        <v>3229</v>
      </c>
      <c r="L394" s="552" t="s">
        <v>3229</v>
      </c>
      <c r="M394" s="560">
        <v>-0.05</v>
      </c>
      <c r="N394" s="606">
        <v>0.5</v>
      </c>
      <c r="O394" s="613">
        <v>0.6</v>
      </c>
      <c r="P394" s="575" t="s">
        <v>3229</v>
      </c>
      <c r="Q394" s="575" t="s">
        <v>3229</v>
      </c>
      <c r="R394" s="575" t="s">
        <v>3229</v>
      </c>
      <c r="S394" s="570"/>
      <c r="T394" s="563" t="s">
        <v>3229</v>
      </c>
      <c r="U394" s="563" t="s">
        <v>3229</v>
      </c>
      <c r="V394" s="563" t="s">
        <v>3229</v>
      </c>
      <c r="W394" s="563" t="s">
        <v>3229</v>
      </c>
      <c r="X394" s="563" t="s">
        <v>3229</v>
      </c>
      <c r="Y394" s="598" t="s">
        <v>3229</v>
      </c>
      <c r="Z394" s="598" t="s">
        <v>3229</v>
      </c>
      <c r="AA394" s="598" t="s">
        <v>3229</v>
      </c>
      <c r="AB394" s="598" t="s">
        <v>3229</v>
      </c>
      <c r="AC394" s="598" t="s">
        <v>3229</v>
      </c>
      <c r="AD394" s="598" t="s">
        <v>3229</v>
      </c>
      <c r="AE394" s="598" t="s">
        <v>3229</v>
      </c>
      <c r="AF394" s="3764" t="s">
        <v>781</v>
      </c>
      <c r="AG394" s="3765"/>
      <c r="AH394" s="1301" t="s">
        <v>3229</v>
      </c>
      <c r="AI394" s="1301" t="s">
        <v>3229</v>
      </c>
      <c r="AJ394" s="1301" t="s">
        <v>3229</v>
      </c>
      <c r="AK394" s="530" t="s">
        <v>3229</v>
      </c>
      <c r="AL394" s="530" t="s">
        <v>3229</v>
      </c>
      <c r="AM394" s="659">
        <v>1</v>
      </c>
      <c r="AN394" s="638">
        <f>'klikací hodnoty'!F11962</f>
        <v>0.19748236111111112</v>
      </c>
      <c r="AO394" s="625">
        <v>11.98</v>
      </c>
      <c r="AP394" s="688">
        <f>+AQ394</f>
        <v>0.36568102452733897</v>
      </c>
      <c r="AQ394" s="606">
        <f>'klikací hodnoty'!F11961</f>
        <v>0.36568102452733897</v>
      </c>
      <c r="AR394" s="600">
        <f t="shared" si="84"/>
        <v>0.6</v>
      </c>
      <c r="AS394" s="548">
        <f t="shared" si="90"/>
        <v>8.5630143806936454E-2</v>
      </c>
      <c r="AT394" s="548">
        <f>J394*(1+AR394)/AO394-1</f>
        <v>0.335559265442404</v>
      </c>
      <c r="AU394" s="549" t="e">
        <f>POWER(1+AT394,1/AG394)-1</f>
        <v>#DIV/0!</v>
      </c>
      <c r="AV394" s="558">
        <f t="shared" si="80"/>
        <v>-0.05</v>
      </c>
      <c r="AW394" s="558">
        <f t="shared" si="74"/>
        <v>-8.9264210326082116E-3</v>
      </c>
      <c r="AX394" s="589">
        <f t="shared" si="88"/>
        <v>-0.20701168614357268</v>
      </c>
      <c r="AY394" s="587" t="e">
        <f t="shared" si="89"/>
        <v>#DIV/0!</v>
      </c>
      <c r="AZ394" s="676">
        <f t="shared" si="73"/>
        <v>9.5</v>
      </c>
      <c r="BA394" s="581"/>
      <c r="BB394" s="570"/>
      <c r="BC394" s="581"/>
      <c r="BD394" s="3691"/>
      <c r="BE394" s="3743"/>
      <c r="BF394" s="3743"/>
      <c r="BG394" s="3708"/>
      <c r="BH394" s="3762"/>
      <c r="BI394" s="3762"/>
      <c r="BJ394" s="39"/>
      <c r="BK394" s="39"/>
      <c r="BL394" s="39"/>
      <c r="BM394" s="39"/>
      <c r="BN394" s="39"/>
      <c r="BO394" s="39"/>
      <c r="BP394" s="39"/>
      <c r="BQ394" s="39"/>
      <c r="BR394" s="39"/>
      <c r="BS394" s="507"/>
      <c r="BT394" s="507"/>
      <c r="BU394" s="507"/>
      <c r="BV394" s="507"/>
      <c r="BW394" s="507"/>
      <c r="BX394" s="507"/>
      <c r="BY394" s="507"/>
      <c r="BZ394" s="507"/>
      <c r="CA394" s="507"/>
      <c r="CB394" s="507"/>
      <c r="CC394" s="507"/>
      <c r="CD394" s="507"/>
      <c r="CE394" s="507"/>
      <c r="CF394" s="507"/>
      <c r="CG394" s="507"/>
      <c r="CH394" s="507"/>
      <c r="CI394" s="507"/>
      <c r="CJ394" s="507"/>
      <c r="CK394" s="507"/>
      <c r="CL394" s="507"/>
      <c r="CM394" s="507"/>
      <c r="CN394" s="507"/>
      <c r="CO394" s="507"/>
      <c r="CP394" s="507"/>
      <c r="CQ394" s="507"/>
      <c r="CR394" s="507"/>
      <c r="CS394" s="507"/>
      <c r="CT394" s="507"/>
      <c r="CU394" s="507"/>
      <c r="CV394" s="507"/>
      <c r="CW394" s="507"/>
      <c r="CX394" s="507"/>
      <c r="CY394" s="507"/>
      <c r="CZ394" s="507"/>
      <c r="DA394" s="507"/>
      <c r="DB394" s="507"/>
      <c r="DC394" s="507"/>
      <c r="DD394" s="507"/>
      <c r="DE394" s="507"/>
      <c r="DF394" s="507"/>
      <c r="DG394" s="507"/>
      <c r="DH394" s="507"/>
      <c r="DI394" s="507"/>
      <c r="DJ394" s="507"/>
      <c r="DK394" s="507"/>
      <c r="DL394" s="507"/>
      <c r="DM394" s="507"/>
      <c r="DN394" s="507"/>
      <c r="DO394" s="507"/>
      <c r="DP394" s="507"/>
      <c r="DQ394" s="507"/>
      <c r="DR394" s="507"/>
      <c r="DS394" s="507"/>
      <c r="DT394" s="507"/>
      <c r="DU394" s="507"/>
      <c r="DV394" s="507"/>
      <c r="DW394" s="507"/>
      <c r="DX394" s="507"/>
      <c r="DY394" s="507"/>
      <c r="DZ394" s="507"/>
      <c r="EA394" s="507"/>
      <c r="EB394" s="507"/>
      <c r="EC394" s="507"/>
      <c r="ED394" s="507"/>
      <c r="EE394" s="507"/>
      <c r="EF394" s="507"/>
      <c r="EG394" s="507"/>
      <c r="EH394" s="507"/>
      <c r="EI394" s="507"/>
      <c r="EJ394" s="507"/>
      <c r="EK394" s="507"/>
      <c r="EL394" s="507"/>
      <c r="EM394" s="507"/>
      <c r="EN394" s="507"/>
      <c r="EO394" s="507"/>
      <c r="EP394" s="507"/>
      <c r="EQ394" s="507"/>
      <c r="ER394" s="507"/>
      <c r="ES394" s="507"/>
      <c r="ET394" s="507"/>
      <c r="EU394" s="507"/>
      <c r="EV394" s="507"/>
      <c r="EW394" s="507"/>
      <c r="EX394" s="507"/>
      <c r="EY394" s="507"/>
      <c r="EZ394" s="507"/>
      <c r="FA394" s="507"/>
      <c r="FB394" s="507"/>
      <c r="FC394" s="507"/>
      <c r="FD394" s="507"/>
      <c r="FE394" s="507"/>
      <c r="FF394" s="507"/>
      <c r="FG394" s="507"/>
      <c r="FH394" s="507"/>
      <c r="FI394" s="507"/>
      <c r="FJ394" s="507"/>
      <c r="FK394" s="507"/>
      <c r="FL394" s="507"/>
      <c r="FM394" s="507"/>
      <c r="FN394" s="507"/>
      <c r="FO394" s="507"/>
      <c r="FP394" s="507"/>
      <c r="FQ394" s="507"/>
      <c r="FR394" s="507"/>
      <c r="FS394" s="507"/>
      <c r="FT394" s="507"/>
      <c r="FU394" s="507"/>
      <c r="FV394" s="507"/>
      <c r="FW394" s="507"/>
      <c r="FX394" s="507"/>
      <c r="FY394" s="507"/>
      <c r="FZ394" s="507"/>
      <c r="GA394" s="507"/>
      <c r="GB394" s="507"/>
      <c r="GC394" s="507"/>
      <c r="GD394" s="507"/>
      <c r="GE394" s="507"/>
      <c r="GF394" s="507"/>
      <c r="GG394" s="507"/>
      <c r="GH394" s="507"/>
      <c r="GI394" s="507"/>
      <c r="GJ394" s="507"/>
      <c r="GK394" s="507"/>
      <c r="GL394" s="507"/>
      <c r="GM394" s="507"/>
      <c r="GN394" s="507"/>
      <c r="GO394" s="507"/>
      <c r="GP394" s="507"/>
      <c r="GQ394" s="507"/>
      <c r="GR394" s="507"/>
      <c r="GS394" s="507"/>
      <c r="GT394" s="507"/>
      <c r="GU394" s="507"/>
      <c r="GV394" s="507"/>
      <c r="GW394" s="507"/>
      <c r="GX394" s="507"/>
      <c r="GY394" s="507"/>
      <c r="GZ394" s="507"/>
      <c r="HA394" s="507"/>
      <c r="HB394" s="507"/>
      <c r="HC394" s="507"/>
      <c r="HD394" s="507"/>
      <c r="HE394" s="507"/>
      <c r="HF394" s="507"/>
      <c r="HG394" s="507"/>
      <c r="HH394" s="507"/>
      <c r="HI394" s="507"/>
      <c r="HJ394" s="507"/>
      <c r="HK394" s="507"/>
      <c r="HL394" s="507"/>
      <c r="HM394" s="507"/>
      <c r="HN394" s="507"/>
      <c r="HO394" s="507"/>
      <c r="HP394" s="507"/>
      <c r="HQ394" s="507"/>
      <c r="HR394" s="507"/>
      <c r="HS394" s="507"/>
      <c r="HT394" s="507"/>
      <c r="HU394" s="507"/>
      <c r="HV394" s="507"/>
      <c r="HW394" s="507"/>
      <c r="HX394" s="507"/>
      <c r="HY394" s="507"/>
      <c r="HZ394" s="507"/>
    </row>
    <row r="395" spans="1:234" s="206" customFormat="1" ht="13.5" hidden="1" customHeight="1" x14ac:dyDescent="0.25">
      <c r="A395" s="541" t="s">
        <v>5607</v>
      </c>
      <c r="B395" s="523" t="s">
        <v>5608</v>
      </c>
      <c r="C395" s="524" t="s">
        <v>5609</v>
      </c>
      <c r="D395" s="551" t="s">
        <v>189</v>
      </c>
      <c r="E395" s="569" t="s">
        <v>3228</v>
      </c>
      <c r="F395" s="543">
        <v>41493</v>
      </c>
      <c r="G395" s="544">
        <v>41428</v>
      </c>
      <c r="H395" s="544">
        <v>41486</v>
      </c>
      <c r="I395" s="616">
        <v>43585</v>
      </c>
      <c r="J395" s="579">
        <v>10</v>
      </c>
      <c r="K395" s="553" t="s">
        <v>3229</v>
      </c>
      <c r="L395" s="552" t="s">
        <v>3229</v>
      </c>
      <c r="M395" s="560">
        <v>-0.1</v>
      </c>
      <c r="N395" s="606">
        <v>0.75</v>
      </c>
      <c r="O395" s="613">
        <v>0.8</v>
      </c>
      <c r="P395" s="575" t="s">
        <v>3229</v>
      </c>
      <c r="Q395" s="575" t="s">
        <v>3229</v>
      </c>
      <c r="R395" s="575" t="s">
        <v>3229</v>
      </c>
      <c r="S395" s="570"/>
      <c r="T395" s="563" t="s">
        <v>3229</v>
      </c>
      <c r="U395" s="563" t="s">
        <v>3229</v>
      </c>
      <c r="V395" s="563" t="s">
        <v>3229</v>
      </c>
      <c r="W395" s="563" t="s">
        <v>3229</v>
      </c>
      <c r="X395" s="563" t="s">
        <v>3229</v>
      </c>
      <c r="Y395" s="598" t="s">
        <v>3229</v>
      </c>
      <c r="Z395" s="598" t="s">
        <v>3229</v>
      </c>
      <c r="AA395" s="598" t="s">
        <v>3229</v>
      </c>
      <c r="AB395" s="598" t="s">
        <v>3229</v>
      </c>
      <c r="AC395" s="598" t="s">
        <v>3229</v>
      </c>
      <c r="AD395" s="598" t="s">
        <v>3229</v>
      </c>
      <c r="AE395" s="598" t="s">
        <v>3229</v>
      </c>
      <c r="AF395" s="3764" t="s">
        <v>781</v>
      </c>
      <c r="AG395" s="3765"/>
      <c r="AH395" s="1301" t="s">
        <v>3229</v>
      </c>
      <c r="AI395" s="1301" t="s">
        <v>3229</v>
      </c>
      <c r="AJ395" s="1301" t="s">
        <v>3229</v>
      </c>
      <c r="AK395" s="530" t="s">
        <v>3229</v>
      </c>
      <c r="AL395" s="530" t="s">
        <v>3229</v>
      </c>
      <c r="AM395" s="659">
        <v>1</v>
      </c>
      <c r="AN395" s="638">
        <f>'klikací hodnoty'!F12008</f>
        <v>0.15578391666666666</v>
      </c>
      <c r="AO395" s="625">
        <v>11.56</v>
      </c>
      <c r="AP395" s="688">
        <f>+'klikací hodnoty'!L11995</f>
        <v>0.20771188888888889</v>
      </c>
      <c r="AQ395" s="606">
        <f>'klikací hodnoty'!F12007</f>
        <v>0.20583047928662523</v>
      </c>
      <c r="AR395" s="600">
        <f t="shared" si="84"/>
        <v>0.8</v>
      </c>
      <c r="AS395" s="548">
        <f t="shared" si="90"/>
        <v>0.10799668972951681</v>
      </c>
      <c r="AT395" s="548">
        <f>J395*(1+AR395)/AO395-1</f>
        <v>0.55709342560553621</v>
      </c>
      <c r="AU395" s="549" t="e">
        <f>POWER(1+AT395,1/AG395)-1</f>
        <v>#DIV/0!</v>
      </c>
      <c r="AV395" s="558">
        <f t="shared" si="80"/>
        <v>-0.1</v>
      </c>
      <c r="AW395" s="558">
        <f t="shared" si="74"/>
        <v>-1.8214759281789727E-2</v>
      </c>
      <c r="AX395" s="589">
        <f t="shared" si="88"/>
        <v>-0.2214532871972319</v>
      </c>
      <c r="AY395" s="587" t="e">
        <f t="shared" si="89"/>
        <v>#DIV/0!</v>
      </c>
      <c r="AZ395" s="676">
        <f t="shared" si="73"/>
        <v>9</v>
      </c>
      <c r="BA395" s="581"/>
      <c r="BB395" s="570"/>
      <c r="BC395" s="581"/>
      <c r="BD395" s="3691"/>
      <c r="BE395" s="3743"/>
      <c r="BF395" s="3743"/>
      <c r="BG395" s="3708"/>
      <c r="BH395" s="3762"/>
      <c r="BI395" s="3762"/>
      <c r="BJ395" s="39"/>
      <c r="BK395" s="39"/>
      <c r="BL395" s="39"/>
      <c r="BM395" s="39"/>
      <c r="BN395" s="39"/>
      <c r="BO395" s="39"/>
      <c r="BP395" s="39"/>
      <c r="BQ395" s="39"/>
      <c r="BR395" s="39"/>
      <c r="BS395" s="507"/>
      <c r="BT395" s="507"/>
      <c r="BU395" s="507"/>
      <c r="BV395" s="507"/>
      <c r="BW395" s="507"/>
      <c r="BX395" s="507"/>
      <c r="BY395" s="507"/>
      <c r="BZ395" s="507"/>
      <c r="CA395" s="507"/>
      <c r="CB395" s="507"/>
      <c r="CC395" s="507"/>
      <c r="CD395" s="507"/>
      <c r="CE395" s="507"/>
      <c r="CF395" s="507"/>
      <c r="CG395" s="507"/>
      <c r="CH395" s="507"/>
      <c r="CI395" s="507"/>
      <c r="CJ395" s="507"/>
      <c r="CK395" s="507"/>
      <c r="CL395" s="507"/>
      <c r="CM395" s="507"/>
      <c r="CN395" s="507"/>
      <c r="CO395" s="507"/>
      <c r="CP395" s="507"/>
      <c r="CQ395" s="507"/>
      <c r="CR395" s="507"/>
      <c r="CS395" s="507"/>
      <c r="CT395" s="507"/>
      <c r="CU395" s="507"/>
      <c r="CV395" s="507"/>
      <c r="CW395" s="507"/>
      <c r="CX395" s="507"/>
      <c r="CY395" s="507"/>
      <c r="CZ395" s="507"/>
      <c r="DA395" s="507"/>
      <c r="DB395" s="507"/>
      <c r="DC395" s="507"/>
      <c r="DD395" s="507"/>
      <c r="DE395" s="507"/>
      <c r="DF395" s="507"/>
      <c r="DG395" s="507"/>
      <c r="DH395" s="507"/>
      <c r="DI395" s="507"/>
      <c r="DJ395" s="507"/>
      <c r="DK395" s="507"/>
      <c r="DL395" s="507"/>
      <c r="DM395" s="507"/>
      <c r="DN395" s="507"/>
      <c r="DO395" s="507"/>
      <c r="DP395" s="507"/>
      <c r="DQ395" s="507"/>
      <c r="DR395" s="507"/>
      <c r="DS395" s="507"/>
      <c r="DT395" s="507"/>
      <c r="DU395" s="507"/>
      <c r="DV395" s="507"/>
      <c r="DW395" s="507"/>
      <c r="DX395" s="507"/>
      <c r="DY395" s="507"/>
      <c r="DZ395" s="507"/>
      <c r="EA395" s="507"/>
      <c r="EB395" s="507"/>
      <c r="EC395" s="507"/>
      <c r="ED395" s="507"/>
      <c r="EE395" s="507"/>
      <c r="EF395" s="507"/>
      <c r="EG395" s="507"/>
      <c r="EH395" s="507"/>
      <c r="EI395" s="507"/>
      <c r="EJ395" s="507"/>
      <c r="EK395" s="507"/>
      <c r="EL395" s="507"/>
      <c r="EM395" s="507"/>
      <c r="EN395" s="507"/>
      <c r="EO395" s="507"/>
      <c r="EP395" s="507"/>
      <c r="EQ395" s="507"/>
      <c r="ER395" s="507"/>
      <c r="ES395" s="507"/>
      <c r="ET395" s="507"/>
      <c r="EU395" s="507"/>
      <c r="EV395" s="507"/>
      <c r="EW395" s="507"/>
      <c r="EX395" s="507"/>
      <c r="EY395" s="507"/>
      <c r="EZ395" s="507"/>
      <c r="FA395" s="507"/>
      <c r="FB395" s="507"/>
      <c r="FC395" s="507"/>
      <c r="FD395" s="507"/>
      <c r="FE395" s="507"/>
      <c r="FF395" s="507"/>
      <c r="FG395" s="507"/>
      <c r="FH395" s="507"/>
      <c r="FI395" s="507"/>
      <c r="FJ395" s="507"/>
      <c r="FK395" s="507"/>
      <c r="FL395" s="507"/>
      <c r="FM395" s="507"/>
      <c r="FN395" s="507"/>
      <c r="FO395" s="507"/>
      <c r="FP395" s="507"/>
      <c r="FQ395" s="507"/>
      <c r="FR395" s="507"/>
      <c r="FS395" s="507"/>
      <c r="FT395" s="507"/>
      <c r="FU395" s="507"/>
      <c r="FV395" s="507"/>
      <c r="FW395" s="507"/>
      <c r="FX395" s="507"/>
      <c r="FY395" s="507"/>
      <c r="FZ395" s="507"/>
      <c r="GA395" s="507"/>
      <c r="GB395" s="507"/>
      <c r="GC395" s="507"/>
      <c r="GD395" s="507"/>
      <c r="GE395" s="507"/>
      <c r="GF395" s="507"/>
      <c r="GG395" s="507"/>
      <c r="GH395" s="507"/>
      <c r="GI395" s="507"/>
      <c r="GJ395" s="507"/>
      <c r="GK395" s="507"/>
      <c r="GL395" s="507"/>
      <c r="GM395" s="507"/>
      <c r="GN395" s="507"/>
      <c r="GO395" s="507"/>
      <c r="GP395" s="507"/>
      <c r="GQ395" s="507"/>
      <c r="GR395" s="507"/>
      <c r="GS395" s="507"/>
      <c r="GT395" s="507"/>
      <c r="GU395" s="507"/>
      <c r="GV395" s="507"/>
      <c r="GW395" s="507"/>
      <c r="GX395" s="507"/>
      <c r="GY395" s="507"/>
      <c r="GZ395" s="507"/>
      <c r="HA395" s="507"/>
      <c r="HB395" s="507"/>
      <c r="HC395" s="507"/>
      <c r="HD395" s="507"/>
      <c r="HE395" s="507"/>
      <c r="HF395" s="507"/>
      <c r="HG395" s="507"/>
      <c r="HH395" s="507"/>
      <c r="HI395" s="507"/>
      <c r="HJ395" s="507"/>
      <c r="HK395" s="507"/>
      <c r="HL395" s="507"/>
      <c r="HM395" s="507"/>
      <c r="HN395" s="507"/>
      <c r="HO395" s="507"/>
      <c r="HP395" s="507"/>
      <c r="HQ395" s="507"/>
      <c r="HR395" s="507"/>
      <c r="HS395" s="507"/>
      <c r="HT395" s="507"/>
      <c r="HU395" s="507"/>
      <c r="HV395" s="507"/>
      <c r="HW395" s="507"/>
      <c r="HX395" s="507"/>
      <c r="HY395" s="507"/>
      <c r="HZ395" s="507"/>
    </row>
    <row r="396" spans="1:234" s="206" customFormat="1" ht="13.5" hidden="1" customHeight="1" x14ac:dyDescent="0.25">
      <c r="A396" s="541" t="s">
        <v>5610</v>
      </c>
      <c r="B396" s="523" t="s">
        <v>5611</v>
      </c>
      <c r="C396" s="524" t="s">
        <v>5612</v>
      </c>
      <c r="D396" s="551" t="s">
        <v>4384</v>
      </c>
      <c r="E396" s="569" t="s">
        <v>905</v>
      </c>
      <c r="F396" s="543">
        <v>41493</v>
      </c>
      <c r="G396" s="544">
        <v>41442</v>
      </c>
      <c r="H396" s="544">
        <v>41486</v>
      </c>
      <c r="I396" s="616">
        <v>41882</v>
      </c>
      <c r="J396" s="579">
        <v>10</v>
      </c>
      <c r="K396" s="553" t="s">
        <v>3229</v>
      </c>
      <c r="L396" s="552" t="s">
        <v>3229</v>
      </c>
      <c r="M396" s="560">
        <v>-1</v>
      </c>
      <c r="N396" s="606" t="s">
        <v>3229</v>
      </c>
      <c r="O396" s="613">
        <v>0.375</v>
      </c>
      <c r="P396" s="575" t="s">
        <v>3229</v>
      </c>
      <c r="Q396" s="575" t="s">
        <v>3229</v>
      </c>
      <c r="R396" s="575" t="s">
        <v>3229</v>
      </c>
      <c r="S396" s="570">
        <v>5</v>
      </c>
      <c r="T396" s="563">
        <v>41852</v>
      </c>
      <c r="U396" s="563" t="s">
        <v>6685</v>
      </c>
      <c r="V396" s="563">
        <v>42583</v>
      </c>
      <c r="W396" s="563">
        <v>42948</v>
      </c>
      <c r="X396" s="563">
        <v>43313</v>
      </c>
      <c r="Y396" s="598" t="s">
        <v>3229</v>
      </c>
      <c r="Z396" s="598" t="s">
        <v>3229</v>
      </c>
      <c r="AA396" s="598" t="s">
        <v>3229</v>
      </c>
      <c r="AB396" s="598" t="s">
        <v>3229</v>
      </c>
      <c r="AC396" s="598" t="s">
        <v>3229</v>
      </c>
      <c r="AD396" s="598" t="s">
        <v>3229</v>
      </c>
      <c r="AE396" s="598" t="s">
        <v>3229</v>
      </c>
      <c r="AF396" s="3764" t="s">
        <v>781</v>
      </c>
      <c r="AG396" s="3765"/>
      <c r="AH396" s="1301">
        <v>1</v>
      </c>
      <c r="AI396" s="1301" t="s">
        <v>3229</v>
      </c>
      <c r="AJ396" s="1301" t="s">
        <v>3229</v>
      </c>
      <c r="AK396" s="530" t="s">
        <v>3229</v>
      </c>
      <c r="AL396" s="530" t="s">
        <v>3229</v>
      </c>
      <c r="AM396" s="659" t="s">
        <v>3229</v>
      </c>
      <c r="AN396" s="638">
        <f>'klikací hodnoty'!F11971</f>
        <v>7.4999999999999997E-2</v>
      </c>
      <c r="AO396" s="625">
        <v>10.39</v>
      </c>
      <c r="AP396" s="688">
        <f>AQ396</f>
        <v>0.80190277689161138</v>
      </c>
      <c r="AQ396" s="606">
        <f>'klikací hodnoty'!H11970</f>
        <v>0.80190277689161138</v>
      </c>
      <c r="AR396" s="600">
        <f t="shared" si="84"/>
        <v>0.375</v>
      </c>
      <c r="AS396" s="548">
        <f t="shared" si="90"/>
        <v>0.34824830783214766</v>
      </c>
      <c r="AT396" s="548">
        <f>J396*(1+AR396)/AO396-1</f>
        <v>0.32338787295476412</v>
      </c>
      <c r="AU396" s="549" t="e">
        <f>POWER(1+AT396,1/AG396)-1</f>
        <v>#DIV/0!</v>
      </c>
      <c r="AV396" s="558">
        <f t="shared" si="80"/>
        <v>-1</v>
      </c>
      <c r="AW396" s="558">
        <f t="shared" si="74"/>
        <v>-1</v>
      </c>
      <c r="AX396" s="589">
        <f t="shared" si="88"/>
        <v>-1</v>
      </c>
      <c r="AY396" s="587" t="e">
        <f t="shared" si="89"/>
        <v>#DIV/0!</v>
      </c>
      <c r="AZ396" s="676">
        <f t="shared" ref="AZ396:AZ401" si="93">J396*(1+AV396)</f>
        <v>0</v>
      </c>
      <c r="BA396" s="581" t="s">
        <v>3479</v>
      </c>
      <c r="BB396" s="570"/>
      <c r="BC396" s="581"/>
      <c r="BD396" s="3691"/>
      <c r="BE396" s="3743"/>
      <c r="BF396" s="3743"/>
      <c r="BG396" s="3708"/>
      <c r="BH396" s="3762"/>
      <c r="BI396" s="3762"/>
      <c r="BJ396" s="39"/>
      <c r="BK396" s="39"/>
      <c r="BL396" s="39"/>
      <c r="BM396" s="39"/>
      <c r="BN396" s="39"/>
      <c r="BO396" s="39"/>
      <c r="BP396" s="39"/>
      <c r="BQ396" s="39"/>
      <c r="BR396" s="39"/>
      <c r="BS396" s="507"/>
      <c r="BT396" s="507"/>
      <c r="BU396" s="507"/>
      <c r="BV396" s="507"/>
      <c r="BW396" s="507"/>
      <c r="BX396" s="507"/>
      <c r="BY396" s="507"/>
      <c r="BZ396" s="507"/>
      <c r="CA396" s="507"/>
      <c r="CB396" s="507"/>
      <c r="CC396" s="507"/>
      <c r="CD396" s="507"/>
      <c r="CE396" s="507"/>
      <c r="CF396" s="507"/>
      <c r="CG396" s="507"/>
      <c r="CH396" s="507"/>
      <c r="CI396" s="507"/>
      <c r="CJ396" s="507"/>
      <c r="CK396" s="507"/>
      <c r="CL396" s="507"/>
      <c r="CM396" s="507"/>
      <c r="CN396" s="507"/>
      <c r="CO396" s="507"/>
      <c r="CP396" s="507"/>
      <c r="CQ396" s="507"/>
      <c r="CR396" s="507"/>
      <c r="CS396" s="507"/>
      <c r="CT396" s="507"/>
      <c r="CU396" s="507"/>
      <c r="CV396" s="507"/>
      <c r="CW396" s="507"/>
      <c r="CX396" s="507"/>
      <c r="CY396" s="507"/>
      <c r="CZ396" s="507"/>
      <c r="DA396" s="507"/>
      <c r="DB396" s="507"/>
      <c r="DC396" s="507"/>
      <c r="DD396" s="507"/>
      <c r="DE396" s="507"/>
      <c r="DF396" s="507"/>
      <c r="DG396" s="507"/>
      <c r="DH396" s="507"/>
      <c r="DI396" s="507"/>
      <c r="DJ396" s="507"/>
      <c r="DK396" s="507"/>
      <c r="DL396" s="507"/>
      <c r="DM396" s="507"/>
      <c r="DN396" s="507"/>
      <c r="DO396" s="507"/>
      <c r="DP396" s="507"/>
      <c r="DQ396" s="507"/>
      <c r="DR396" s="507"/>
      <c r="DS396" s="507"/>
      <c r="DT396" s="507"/>
      <c r="DU396" s="507"/>
      <c r="DV396" s="507"/>
      <c r="DW396" s="507"/>
      <c r="DX396" s="507"/>
      <c r="DY396" s="507"/>
      <c r="DZ396" s="507"/>
      <c r="EA396" s="507"/>
      <c r="EB396" s="507"/>
      <c r="EC396" s="507"/>
      <c r="ED396" s="507"/>
      <c r="EE396" s="507"/>
      <c r="EF396" s="507"/>
      <c r="EG396" s="507"/>
      <c r="EH396" s="507"/>
      <c r="EI396" s="507"/>
      <c r="EJ396" s="507"/>
      <c r="EK396" s="507"/>
      <c r="EL396" s="507"/>
      <c r="EM396" s="507"/>
      <c r="EN396" s="507"/>
      <c r="EO396" s="507"/>
      <c r="EP396" s="507"/>
      <c r="EQ396" s="507"/>
      <c r="ER396" s="507"/>
      <c r="ES396" s="507"/>
      <c r="ET396" s="507"/>
      <c r="EU396" s="507"/>
      <c r="EV396" s="507"/>
      <c r="EW396" s="507"/>
      <c r="EX396" s="507"/>
      <c r="EY396" s="507"/>
      <c r="EZ396" s="507"/>
      <c r="FA396" s="507"/>
      <c r="FB396" s="507"/>
      <c r="FC396" s="507"/>
      <c r="FD396" s="507"/>
      <c r="FE396" s="507"/>
      <c r="FF396" s="507"/>
      <c r="FG396" s="507"/>
      <c r="FH396" s="507"/>
      <c r="FI396" s="507"/>
      <c r="FJ396" s="507"/>
      <c r="FK396" s="507"/>
      <c r="FL396" s="507"/>
      <c r="FM396" s="507"/>
      <c r="FN396" s="507"/>
      <c r="FO396" s="507"/>
      <c r="FP396" s="507"/>
      <c r="FQ396" s="507"/>
      <c r="FR396" s="507"/>
      <c r="FS396" s="507"/>
      <c r="FT396" s="507"/>
      <c r="FU396" s="507"/>
      <c r="FV396" s="507"/>
      <c r="FW396" s="507"/>
      <c r="FX396" s="507"/>
      <c r="FY396" s="507"/>
      <c r="FZ396" s="507"/>
      <c r="GA396" s="507"/>
      <c r="GB396" s="507"/>
      <c r="GC396" s="507"/>
      <c r="GD396" s="507"/>
      <c r="GE396" s="507"/>
      <c r="GF396" s="507"/>
      <c r="GG396" s="507"/>
      <c r="GH396" s="507"/>
      <c r="GI396" s="507"/>
      <c r="GJ396" s="507"/>
      <c r="GK396" s="507"/>
      <c r="GL396" s="507"/>
      <c r="GM396" s="507"/>
      <c r="GN396" s="507"/>
      <c r="GO396" s="507"/>
      <c r="GP396" s="507"/>
      <c r="GQ396" s="507"/>
      <c r="GR396" s="507"/>
      <c r="GS396" s="507"/>
      <c r="GT396" s="507"/>
      <c r="GU396" s="507"/>
      <c r="GV396" s="507"/>
      <c r="GW396" s="507"/>
      <c r="GX396" s="507"/>
      <c r="GY396" s="507"/>
      <c r="GZ396" s="507"/>
      <c r="HA396" s="507"/>
      <c r="HB396" s="507"/>
      <c r="HC396" s="507"/>
      <c r="HD396" s="507"/>
      <c r="HE396" s="507"/>
      <c r="HF396" s="507"/>
      <c r="HG396" s="507"/>
      <c r="HH396" s="507"/>
      <c r="HI396" s="507"/>
      <c r="HJ396" s="507"/>
      <c r="HK396" s="507"/>
      <c r="HL396" s="507"/>
      <c r="HM396" s="507"/>
      <c r="HN396" s="507"/>
      <c r="HO396" s="507"/>
      <c r="HP396" s="507"/>
      <c r="HQ396" s="507"/>
      <c r="HR396" s="507"/>
      <c r="HS396" s="507"/>
      <c r="HT396" s="507"/>
      <c r="HU396" s="507"/>
      <c r="HV396" s="507"/>
      <c r="HW396" s="507"/>
      <c r="HX396" s="507"/>
      <c r="HY396" s="507"/>
      <c r="HZ396" s="507"/>
    </row>
    <row r="397" spans="1:234" s="206" customFormat="1" ht="13.5" hidden="1" customHeight="1" x14ac:dyDescent="0.25">
      <c r="A397" s="541" t="s">
        <v>5614</v>
      </c>
      <c r="B397" s="523" t="s">
        <v>5615</v>
      </c>
      <c r="C397" s="524" t="s">
        <v>5616</v>
      </c>
      <c r="D397" s="551" t="s">
        <v>189</v>
      </c>
      <c r="E397" s="569" t="s">
        <v>3228</v>
      </c>
      <c r="F397" s="543">
        <v>41523</v>
      </c>
      <c r="G397" s="544">
        <v>41456</v>
      </c>
      <c r="H397" s="544">
        <v>41516</v>
      </c>
      <c r="I397" s="616">
        <v>43616</v>
      </c>
      <c r="J397" s="579">
        <v>10</v>
      </c>
      <c r="K397" s="553" t="s">
        <v>3229</v>
      </c>
      <c r="L397" s="552" t="s">
        <v>3229</v>
      </c>
      <c r="M397" s="560">
        <v>-0.05</v>
      </c>
      <c r="N397" s="606">
        <v>0.8</v>
      </c>
      <c r="O397" s="613" t="s">
        <v>3229</v>
      </c>
      <c r="P397" s="575" t="s">
        <v>3229</v>
      </c>
      <c r="Q397" s="575" t="s">
        <v>3229</v>
      </c>
      <c r="R397" s="575" t="s">
        <v>3229</v>
      </c>
      <c r="S397" s="570"/>
      <c r="T397" s="563" t="s">
        <v>3229</v>
      </c>
      <c r="U397" s="563" t="s">
        <v>3229</v>
      </c>
      <c r="V397" s="563" t="s">
        <v>3229</v>
      </c>
      <c r="W397" s="563" t="s">
        <v>3229</v>
      </c>
      <c r="X397" s="563" t="s">
        <v>3229</v>
      </c>
      <c r="Y397" s="598" t="s">
        <v>3229</v>
      </c>
      <c r="Z397" s="598" t="s">
        <v>3229</v>
      </c>
      <c r="AA397" s="598" t="s">
        <v>3229</v>
      </c>
      <c r="AB397" s="598" t="s">
        <v>3229</v>
      </c>
      <c r="AC397" s="598" t="s">
        <v>3229</v>
      </c>
      <c r="AD397" s="598" t="s">
        <v>3229</v>
      </c>
      <c r="AE397" s="598" t="s">
        <v>3229</v>
      </c>
      <c r="AF397" s="3764" t="s">
        <v>781</v>
      </c>
      <c r="AG397" s="3765"/>
      <c r="AH397" s="1301" t="s">
        <v>3229</v>
      </c>
      <c r="AI397" s="1301" t="s">
        <v>3229</v>
      </c>
      <c r="AJ397" s="1301" t="s">
        <v>3229</v>
      </c>
      <c r="AK397" s="530" t="s">
        <v>3229</v>
      </c>
      <c r="AL397" s="530" t="s">
        <v>3229</v>
      </c>
      <c r="AM397" s="659">
        <v>1</v>
      </c>
      <c r="AN397" s="638">
        <f>'klikací hodnoty'!F12044</f>
        <v>0.13936266666666675</v>
      </c>
      <c r="AO397" s="625">
        <v>11.39</v>
      </c>
      <c r="AP397" s="688">
        <f>+'klikací hodnoty'!L12033</f>
        <v>0.23670333333333338</v>
      </c>
      <c r="AQ397" s="606">
        <f>'klikací hodnoty'!F12043</f>
        <v>0.27054618017779508</v>
      </c>
      <c r="AR397" s="600" t="s">
        <v>3660</v>
      </c>
      <c r="AS397" s="548"/>
      <c r="AT397" s="548"/>
      <c r="AU397" s="549"/>
      <c r="AV397" s="558">
        <f t="shared" si="80"/>
        <v>-0.05</v>
      </c>
      <c r="AW397" s="558">
        <f t="shared" si="74"/>
        <v>-8.9051918003203445E-3</v>
      </c>
      <c r="AX397" s="589">
        <f t="shared" si="88"/>
        <v>-0.16593503072870941</v>
      </c>
      <c r="AY397" s="587" t="e">
        <f t="shared" si="89"/>
        <v>#DIV/0!</v>
      </c>
      <c r="AZ397" s="676">
        <f t="shared" si="93"/>
        <v>9.5</v>
      </c>
      <c r="BA397" s="581"/>
      <c r="BB397" s="570"/>
      <c r="BC397" s="581"/>
      <c r="BD397" s="3691"/>
      <c r="BE397" s="3743"/>
      <c r="BF397" s="3743"/>
      <c r="BG397" s="3708"/>
      <c r="BH397" s="3762"/>
      <c r="BI397" s="3762"/>
      <c r="BJ397" s="39"/>
      <c r="BK397" s="39"/>
      <c r="BL397" s="39"/>
      <c r="BM397" s="39"/>
      <c r="BN397" s="39"/>
      <c r="BO397" s="39"/>
      <c r="BP397" s="39"/>
      <c r="BQ397" s="39"/>
      <c r="BR397" s="39"/>
      <c r="BS397" s="507"/>
      <c r="BT397" s="507"/>
      <c r="BU397" s="507"/>
      <c r="BV397" s="507"/>
      <c r="BW397" s="507"/>
      <c r="BX397" s="507"/>
      <c r="BY397" s="507"/>
      <c r="BZ397" s="507"/>
      <c r="CA397" s="507"/>
      <c r="CB397" s="507"/>
      <c r="CC397" s="507"/>
      <c r="CD397" s="507"/>
      <c r="CE397" s="507"/>
      <c r="CF397" s="507"/>
      <c r="CG397" s="507"/>
      <c r="CH397" s="507"/>
      <c r="CI397" s="507"/>
      <c r="CJ397" s="507"/>
      <c r="CK397" s="507"/>
      <c r="CL397" s="507"/>
      <c r="CM397" s="507"/>
      <c r="CN397" s="507"/>
      <c r="CO397" s="507"/>
      <c r="CP397" s="507"/>
      <c r="CQ397" s="507"/>
      <c r="CR397" s="507"/>
      <c r="CS397" s="507"/>
      <c r="CT397" s="507"/>
      <c r="CU397" s="507"/>
      <c r="CV397" s="507"/>
      <c r="CW397" s="507"/>
      <c r="CX397" s="507"/>
      <c r="CY397" s="507"/>
      <c r="CZ397" s="507"/>
      <c r="DA397" s="507"/>
      <c r="DB397" s="507"/>
      <c r="DC397" s="507"/>
      <c r="DD397" s="507"/>
      <c r="DE397" s="507"/>
      <c r="DF397" s="507"/>
      <c r="DG397" s="507"/>
      <c r="DH397" s="507"/>
      <c r="DI397" s="507"/>
      <c r="DJ397" s="507"/>
      <c r="DK397" s="507"/>
      <c r="DL397" s="507"/>
      <c r="DM397" s="507"/>
      <c r="DN397" s="507"/>
      <c r="DO397" s="507"/>
      <c r="DP397" s="507"/>
      <c r="DQ397" s="507"/>
      <c r="DR397" s="507"/>
      <c r="DS397" s="507"/>
      <c r="DT397" s="507"/>
      <c r="DU397" s="507"/>
      <c r="DV397" s="507"/>
      <c r="DW397" s="507"/>
      <c r="DX397" s="507"/>
      <c r="DY397" s="507"/>
      <c r="DZ397" s="507"/>
      <c r="EA397" s="507"/>
      <c r="EB397" s="507"/>
      <c r="EC397" s="507"/>
      <c r="ED397" s="507"/>
      <c r="EE397" s="507"/>
      <c r="EF397" s="507"/>
      <c r="EG397" s="507"/>
      <c r="EH397" s="507"/>
      <c r="EI397" s="507"/>
      <c r="EJ397" s="507"/>
      <c r="EK397" s="507"/>
      <c r="EL397" s="507"/>
      <c r="EM397" s="507"/>
      <c r="EN397" s="507"/>
      <c r="EO397" s="507"/>
      <c r="EP397" s="507"/>
      <c r="EQ397" s="507"/>
      <c r="ER397" s="507"/>
      <c r="ES397" s="507"/>
      <c r="ET397" s="507"/>
      <c r="EU397" s="507"/>
      <c r="EV397" s="507"/>
      <c r="EW397" s="507"/>
      <c r="EX397" s="507"/>
      <c r="EY397" s="507"/>
      <c r="EZ397" s="507"/>
      <c r="FA397" s="507"/>
      <c r="FB397" s="507"/>
      <c r="FC397" s="507"/>
      <c r="FD397" s="507"/>
      <c r="FE397" s="507"/>
      <c r="FF397" s="507"/>
      <c r="FG397" s="507"/>
      <c r="FH397" s="507"/>
      <c r="FI397" s="507"/>
      <c r="FJ397" s="507"/>
      <c r="FK397" s="507"/>
      <c r="FL397" s="507"/>
      <c r="FM397" s="507"/>
      <c r="FN397" s="507"/>
      <c r="FO397" s="507"/>
      <c r="FP397" s="507"/>
      <c r="FQ397" s="507"/>
      <c r="FR397" s="507"/>
      <c r="FS397" s="507"/>
      <c r="FT397" s="507"/>
      <c r="FU397" s="507"/>
      <c r="FV397" s="507"/>
      <c r="FW397" s="507"/>
      <c r="FX397" s="507"/>
      <c r="FY397" s="507"/>
      <c r="FZ397" s="507"/>
      <c r="GA397" s="507"/>
      <c r="GB397" s="507"/>
      <c r="GC397" s="507"/>
      <c r="GD397" s="507"/>
      <c r="GE397" s="507"/>
      <c r="GF397" s="507"/>
      <c r="GG397" s="507"/>
      <c r="GH397" s="507"/>
      <c r="GI397" s="507"/>
      <c r="GJ397" s="507"/>
      <c r="GK397" s="507"/>
      <c r="GL397" s="507"/>
      <c r="GM397" s="507"/>
      <c r="GN397" s="507"/>
      <c r="GO397" s="507"/>
      <c r="GP397" s="507"/>
      <c r="GQ397" s="507"/>
      <c r="GR397" s="507"/>
      <c r="GS397" s="507"/>
      <c r="GT397" s="507"/>
      <c r="GU397" s="507"/>
      <c r="GV397" s="507"/>
      <c r="GW397" s="507"/>
      <c r="GX397" s="507"/>
      <c r="GY397" s="507"/>
      <c r="GZ397" s="507"/>
      <c r="HA397" s="507"/>
      <c r="HB397" s="507"/>
      <c r="HC397" s="507"/>
      <c r="HD397" s="507"/>
      <c r="HE397" s="507"/>
      <c r="HF397" s="507"/>
      <c r="HG397" s="507"/>
      <c r="HH397" s="507"/>
      <c r="HI397" s="507"/>
      <c r="HJ397" s="507"/>
      <c r="HK397" s="507"/>
      <c r="HL397" s="507"/>
      <c r="HM397" s="507"/>
      <c r="HN397" s="507"/>
      <c r="HO397" s="507"/>
      <c r="HP397" s="507"/>
      <c r="HQ397" s="507"/>
      <c r="HR397" s="507"/>
      <c r="HS397" s="507"/>
      <c r="HT397" s="507"/>
      <c r="HU397" s="507"/>
      <c r="HV397" s="507"/>
      <c r="HW397" s="507"/>
      <c r="HX397" s="507"/>
      <c r="HY397" s="507"/>
      <c r="HZ397" s="507"/>
    </row>
    <row r="398" spans="1:234" s="206" customFormat="1" ht="13.5" hidden="1" customHeight="1" x14ac:dyDescent="0.25">
      <c r="A398" s="541" t="s">
        <v>5618</v>
      </c>
      <c r="B398" s="523" t="s">
        <v>5619</v>
      </c>
      <c r="C398" s="524" t="s">
        <v>5620</v>
      </c>
      <c r="D398" s="551" t="s">
        <v>5617</v>
      </c>
      <c r="E398" s="569" t="s">
        <v>3228</v>
      </c>
      <c r="F398" s="543">
        <v>41528</v>
      </c>
      <c r="G398" s="544">
        <v>41456</v>
      </c>
      <c r="H398" s="544">
        <v>41516</v>
      </c>
      <c r="I398" s="616">
        <v>43738</v>
      </c>
      <c r="J398" s="579">
        <v>10</v>
      </c>
      <c r="K398" s="553" t="s">
        <v>3229</v>
      </c>
      <c r="L398" s="552" t="s">
        <v>3229</v>
      </c>
      <c r="M398" s="560">
        <v>0</v>
      </c>
      <c r="N398" s="606">
        <v>0.5</v>
      </c>
      <c r="O398" s="613">
        <v>0.8</v>
      </c>
      <c r="P398" s="575" t="s">
        <v>3229</v>
      </c>
      <c r="Q398" s="575" t="s">
        <v>3229</v>
      </c>
      <c r="R398" s="575" t="s">
        <v>3229</v>
      </c>
      <c r="S398" s="570"/>
      <c r="T398" s="563" t="s">
        <v>3229</v>
      </c>
      <c r="U398" s="563" t="s">
        <v>3229</v>
      </c>
      <c r="V398" s="563" t="s">
        <v>3229</v>
      </c>
      <c r="W398" s="563" t="s">
        <v>3229</v>
      </c>
      <c r="X398" s="563" t="s">
        <v>3229</v>
      </c>
      <c r="Y398" s="598" t="s">
        <v>3229</v>
      </c>
      <c r="Z398" s="598" t="s">
        <v>3229</v>
      </c>
      <c r="AA398" s="598" t="s">
        <v>3229</v>
      </c>
      <c r="AB398" s="598" t="s">
        <v>3229</v>
      </c>
      <c r="AC398" s="598" t="s">
        <v>3229</v>
      </c>
      <c r="AD398" s="598" t="s">
        <v>3229</v>
      </c>
      <c r="AE398" s="598" t="s">
        <v>3229</v>
      </c>
      <c r="AF398" s="3764" t="s">
        <v>781</v>
      </c>
      <c r="AG398" s="3765"/>
      <c r="AH398" s="1301" t="s">
        <v>3229</v>
      </c>
      <c r="AI398" s="1301" t="s">
        <v>3229</v>
      </c>
      <c r="AJ398" s="1301" t="s">
        <v>3229</v>
      </c>
      <c r="AK398" s="530" t="s">
        <v>3229</v>
      </c>
      <c r="AL398" s="530" t="s">
        <v>3229</v>
      </c>
      <c r="AM398" s="659">
        <v>1</v>
      </c>
      <c r="AN398" s="638">
        <f>'klikací hodnoty'!F12128</f>
        <v>7.7008583333333325E-2</v>
      </c>
      <c r="AO398" s="625">
        <v>10.77</v>
      </c>
      <c r="AP398" s="688">
        <f>+'klikací hodnoty'!E12127</f>
        <v>0.15401716666666665</v>
      </c>
      <c r="AQ398" s="606">
        <f>'klikací hodnoty'!F12107</f>
        <v>0.11437248200925752</v>
      </c>
      <c r="AR398" s="600">
        <f t="shared" ref="AR398:AR407" si="94">O398</f>
        <v>0.8</v>
      </c>
      <c r="AS398" s="548">
        <f>POWER(1+AR398,1/((I398-F398)/365))-1</f>
        <v>0.10194619876846578</v>
      </c>
      <c r="AT398" s="548">
        <f>J398*(1+AR398)/AO398-1</f>
        <v>0.67130919220055718</v>
      </c>
      <c r="AU398" s="549" t="e">
        <f>POWER(1+AT398,1/AG398)-1</f>
        <v>#DIV/0!</v>
      </c>
      <c r="AV398" s="558">
        <f t="shared" si="80"/>
        <v>0</v>
      </c>
      <c r="AW398" s="558">
        <f t="shared" ref="AW398:AW448" si="95">POWER(1+AV398,1/((I398-F398)/365))-1</f>
        <v>0</v>
      </c>
      <c r="AX398" s="589">
        <f t="shared" si="88"/>
        <v>-7.1494893221912714E-2</v>
      </c>
      <c r="AY398" s="587" t="e">
        <f t="shared" si="89"/>
        <v>#DIV/0!</v>
      </c>
      <c r="AZ398" s="676">
        <f t="shared" si="93"/>
        <v>10</v>
      </c>
      <c r="BA398" s="581"/>
      <c r="BB398" s="570"/>
      <c r="BC398" s="581"/>
      <c r="BD398" s="3691"/>
      <c r="BE398" s="3743"/>
      <c r="BF398" s="3743"/>
      <c r="BG398" s="3708"/>
      <c r="BH398" s="3762"/>
      <c r="BI398" s="3762"/>
      <c r="BJ398" s="39"/>
      <c r="BK398" s="39"/>
      <c r="BL398" s="39"/>
      <c r="BM398" s="39"/>
      <c r="BN398" s="39"/>
      <c r="BO398" s="39"/>
      <c r="BP398" s="39"/>
      <c r="BQ398" s="39"/>
      <c r="BR398" s="39"/>
      <c r="BS398" s="507"/>
      <c r="BT398" s="507"/>
      <c r="BU398" s="507"/>
      <c r="BV398" s="507"/>
      <c r="BW398" s="507"/>
      <c r="BX398" s="507"/>
      <c r="BY398" s="507"/>
      <c r="BZ398" s="507"/>
      <c r="CA398" s="507"/>
      <c r="CB398" s="507"/>
      <c r="CC398" s="507"/>
      <c r="CD398" s="507"/>
      <c r="CE398" s="507"/>
      <c r="CF398" s="507"/>
      <c r="CG398" s="507"/>
      <c r="CH398" s="507"/>
      <c r="CI398" s="507"/>
      <c r="CJ398" s="507"/>
      <c r="CK398" s="507"/>
      <c r="CL398" s="507"/>
      <c r="CM398" s="507"/>
      <c r="CN398" s="507"/>
      <c r="CO398" s="507"/>
      <c r="CP398" s="507"/>
      <c r="CQ398" s="507"/>
      <c r="CR398" s="507"/>
      <c r="CS398" s="507"/>
      <c r="CT398" s="507"/>
      <c r="CU398" s="507"/>
      <c r="CV398" s="507"/>
      <c r="CW398" s="507"/>
      <c r="CX398" s="507"/>
      <c r="CY398" s="507"/>
      <c r="CZ398" s="507"/>
      <c r="DA398" s="507"/>
      <c r="DB398" s="507"/>
      <c r="DC398" s="507"/>
      <c r="DD398" s="507"/>
      <c r="DE398" s="507"/>
      <c r="DF398" s="507"/>
      <c r="DG398" s="507"/>
      <c r="DH398" s="507"/>
      <c r="DI398" s="507"/>
      <c r="DJ398" s="507"/>
      <c r="DK398" s="507"/>
      <c r="DL398" s="507"/>
      <c r="DM398" s="507"/>
      <c r="DN398" s="507"/>
      <c r="DO398" s="507"/>
      <c r="DP398" s="507"/>
      <c r="DQ398" s="507"/>
      <c r="DR398" s="507"/>
      <c r="DS398" s="507"/>
      <c r="DT398" s="507"/>
      <c r="DU398" s="507"/>
      <c r="DV398" s="507"/>
      <c r="DW398" s="507"/>
      <c r="DX398" s="507"/>
      <c r="DY398" s="507"/>
      <c r="DZ398" s="507"/>
      <c r="EA398" s="507"/>
      <c r="EB398" s="507"/>
      <c r="EC398" s="507"/>
      <c r="ED398" s="507"/>
      <c r="EE398" s="507"/>
      <c r="EF398" s="507"/>
      <c r="EG398" s="507"/>
      <c r="EH398" s="507"/>
      <c r="EI398" s="507"/>
      <c r="EJ398" s="507"/>
      <c r="EK398" s="507"/>
      <c r="EL398" s="507"/>
      <c r="EM398" s="507"/>
      <c r="EN398" s="507"/>
      <c r="EO398" s="507"/>
      <c r="EP398" s="507"/>
      <c r="EQ398" s="507"/>
      <c r="ER398" s="507"/>
      <c r="ES398" s="507"/>
      <c r="ET398" s="507"/>
      <c r="EU398" s="507"/>
      <c r="EV398" s="507"/>
      <c r="EW398" s="507"/>
      <c r="EX398" s="507"/>
      <c r="EY398" s="507"/>
      <c r="EZ398" s="507"/>
      <c r="FA398" s="507"/>
      <c r="FB398" s="507"/>
      <c r="FC398" s="507"/>
      <c r="FD398" s="507"/>
      <c r="FE398" s="507"/>
      <c r="FF398" s="507"/>
      <c r="FG398" s="507"/>
      <c r="FH398" s="507"/>
      <c r="FI398" s="507"/>
      <c r="FJ398" s="507"/>
      <c r="FK398" s="507"/>
      <c r="FL398" s="507"/>
      <c r="FM398" s="507"/>
      <c r="FN398" s="507"/>
      <c r="FO398" s="507"/>
      <c r="FP398" s="507"/>
      <c r="FQ398" s="507"/>
      <c r="FR398" s="507"/>
      <c r="FS398" s="507"/>
      <c r="FT398" s="507"/>
      <c r="FU398" s="507"/>
      <c r="FV398" s="507"/>
      <c r="FW398" s="507"/>
      <c r="FX398" s="507"/>
      <c r="FY398" s="507"/>
      <c r="FZ398" s="507"/>
      <c r="GA398" s="507"/>
      <c r="GB398" s="507"/>
      <c r="GC398" s="507"/>
      <c r="GD398" s="507"/>
      <c r="GE398" s="507"/>
      <c r="GF398" s="507"/>
      <c r="GG398" s="507"/>
      <c r="GH398" s="507"/>
      <c r="GI398" s="507"/>
      <c r="GJ398" s="507"/>
      <c r="GK398" s="507"/>
      <c r="GL398" s="507"/>
      <c r="GM398" s="507"/>
      <c r="GN398" s="507"/>
      <c r="GO398" s="507"/>
      <c r="GP398" s="507"/>
      <c r="GQ398" s="507"/>
      <c r="GR398" s="507"/>
      <c r="GS398" s="507"/>
      <c r="GT398" s="507"/>
      <c r="GU398" s="507"/>
      <c r="GV398" s="507"/>
      <c r="GW398" s="507"/>
      <c r="GX398" s="507"/>
      <c r="GY398" s="507"/>
      <c r="GZ398" s="507"/>
      <c r="HA398" s="507"/>
      <c r="HB398" s="507"/>
      <c r="HC398" s="507"/>
      <c r="HD398" s="507"/>
      <c r="HE398" s="507"/>
      <c r="HF398" s="507"/>
      <c r="HG398" s="507"/>
      <c r="HH398" s="507"/>
      <c r="HI398" s="507"/>
      <c r="HJ398" s="507"/>
      <c r="HK398" s="507"/>
      <c r="HL398" s="507"/>
      <c r="HM398" s="507"/>
      <c r="HN398" s="507"/>
      <c r="HO398" s="507"/>
      <c r="HP398" s="507"/>
      <c r="HQ398" s="507"/>
      <c r="HR398" s="507"/>
      <c r="HS398" s="507"/>
      <c r="HT398" s="507"/>
      <c r="HU398" s="507"/>
      <c r="HV398" s="507"/>
      <c r="HW398" s="507"/>
      <c r="HX398" s="507"/>
      <c r="HY398" s="507"/>
      <c r="HZ398" s="507"/>
    </row>
    <row r="399" spans="1:234" s="206" customFormat="1" ht="13.5" hidden="1" customHeight="1" x14ac:dyDescent="0.25">
      <c r="A399" s="541" t="s">
        <v>5640</v>
      </c>
      <c r="B399" s="523" t="s">
        <v>5639</v>
      </c>
      <c r="C399" s="524" t="s">
        <v>5641</v>
      </c>
      <c r="D399" s="551" t="s">
        <v>189</v>
      </c>
      <c r="E399" s="569" t="s">
        <v>3228</v>
      </c>
      <c r="F399" s="543">
        <v>41554</v>
      </c>
      <c r="G399" s="544">
        <v>41487</v>
      </c>
      <c r="H399" s="544">
        <v>41547</v>
      </c>
      <c r="I399" s="616">
        <v>43644</v>
      </c>
      <c r="J399" s="579">
        <v>10</v>
      </c>
      <c r="K399" s="553" t="s">
        <v>3229</v>
      </c>
      <c r="L399" s="552" t="s">
        <v>3229</v>
      </c>
      <c r="M399" s="560">
        <v>-0.1</v>
      </c>
      <c r="N399" s="606">
        <v>0.7</v>
      </c>
      <c r="O399" s="613">
        <v>0.8</v>
      </c>
      <c r="P399" s="575" t="s">
        <v>3229</v>
      </c>
      <c r="Q399" s="575" t="s">
        <v>3229</v>
      </c>
      <c r="R399" s="575" t="s">
        <v>3229</v>
      </c>
      <c r="S399" s="570"/>
      <c r="T399" s="563" t="s">
        <v>3229</v>
      </c>
      <c r="U399" s="563" t="s">
        <v>3229</v>
      </c>
      <c r="V399" s="563" t="s">
        <v>3229</v>
      </c>
      <c r="W399" s="563" t="s">
        <v>3229</v>
      </c>
      <c r="X399" s="563" t="s">
        <v>3229</v>
      </c>
      <c r="Y399" s="598" t="s">
        <v>3229</v>
      </c>
      <c r="Z399" s="598" t="s">
        <v>3229</v>
      </c>
      <c r="AA399" s="598" t="s">
        <v>3229</v>
      </c>
      <c r="AB399" s="598" t="s">
        <v>3229</v>
      </c>
      <c r="AC399" s="598" t="s">
        <v>3229</v>
      </c>
      <c r="AD399" s="598" t="s">
        <v>3229</v>
      </c>
      <c r="AE399" s="598" t="s">
        <v>3229</v>
      </c>
      <c r="AF399" s="3764" t="s">
        <v>781</v>
      </c>
      <c r="AG399" s="3765"/>
      <c r="AH399" s="1301" t="s">
        <v>3229</v>
      </c>
      <c r="AI399" s="1301" t="s">
        <v>3229</v>
      </c>
      <c r="AJ399" s="1301" t="s">
        <v>3229</v>
      </c>
      <c r="AK399" s="530" t="s">
        <v>3229</v>
      </c>
      <c r="AL399" s="530" t="s">
        <v>3229</v>
      </c>
      <c r="AM399" s="659">
        <v>1</v>
      </c>
      <c r="AN399" s="638">
        <f>'klikací hodnoty'!F12072</f>
        <v>0.13989165555555558</v>
      </c>
      <c r="AO399" s="625">
        <v>11.4</v>
      </c>
      <c r="AP399" s="688">
        <f>+'klikací hodnoty'!F12071</f>
        <v>0.19984522222222226</v>
      </c>
      <c r="AQ399" s="606">
        <f>+'klikací hodnoty'!F12050</f>
        <v>0.17031822157007245</v>
      </c>
      <c r="AR399" s="600">
        <f t="shared" si="94"/>
        <v>0.8</v>
      </c>
      <c r="AS399" s="548">
        <f>POWER(1+AR399,1/((I399-F399)/365))-1</f>
        <v>0.10810543099834136</v>
      </c>
      <c r="AT399" s="548">
        <f t="shared" ref="AT399:AT406" si="96">J399*(1+AR399)/AO399-1</f>
        <v>0.57894736842105265</v>
      </c>
      <c r="AU399" s="549" t="e">
        <f t="shared" ref="AU399:AU406" si="97">POWER(1+AT399,1/AG399)-1</f>
        <v>#DIV/0!</v>
      </c>
      <c r="AV399" s="558">
        <f t="shared" si="80"/>
        <v>-0.1</v>
      </c>
      <c r="AW399" s="558">
        <f t="shared" si="95"/>
        <v>-1.8232029803638472E-2</v>
      </c>
      <c r="AX399" s="589">
        <f t="shared" si="88"/>
        <v>-0.21052631578947367</v>
      </c>
      <c r="AY399" s="587" t="e">
        <f t="shared" si="89"/>
        <v>#DIV/0!</v>
      </c>
      <c r="AZ399" s="676">
        <f t="shared" si="93"/>
        <v>9</v>
      </c>
      <c r="BA399" s="581"/>
      <c r="BB399" s="570"/>
      <c r="BC399" s="581"/>
      <c r="BD399" s="3691"/>
      <c r="BE399" s="3743"/>
      <c r="BF399" s="3743"/>
      <c r="BG399" s="3708"/>
      <c r="BH399" s="3762"/>
      <c r="BI399" s="3762"/>
      <c r="BJ399" s="39"/>
      <c r="BK399" s="39"/>
      <c r="BL399" s="39"/>
      <c r="BM399" s="39"/>
      <c r="BN399" s="39"/>
      <c r="BO399" s="39"/>
      <c r="BP399" s="39"/>
      <c r="BQ399" s="39"/>
      <c r="BR399" s="39"/>
      <c r="BS399" s="507"/>
      <c r="BT399" s="507"/>
      <c r="BU399" s="507"/>
      <c r="BV399" s="507"/>
      <c r="BW399" s="507"/>
      <c r="BX399" s="507"/>
      <c r="BY399" s="507"/>
      <c r="BZ399" s="507"/>
      <c r="CA399" s="507"/>
      <c r="CB399" s="507"/>
      <c r="CC399" s="507"/>
      <c r="CD399" s="507"/>
      <c r="CE399" s="507"/>
      <c r="CF399" s="507"/>
      <c r="CG399" s="507"/>
      <c r="CH399" s="507"/>
      <c r="CI399" s="507"/>
      <c r="CJ399" s="507"/>
      <c r="CK399" s="507"/>
      <c r="CL399" s="507"/>
      <c r="CM399" s="507"/>
      <c r="CN399" s="507"/>
      <c r="CO399" s="507"/>
      <c r="CP399" s="507"/>
      <c r="CQ399" s="507"/>
      <c r="CR399" s="507"/>
      <c r="CS399" s="507"/>
      <c r="CT399" s="507"/>
      <c r="CU399" s="507"/>
      <c r="CV399" s="507"/>
      <c r="CW399" s="507"/>
      <c r="CX399" s="507"/>
      <c r="CY399" s="507"/>
      <c r="CZ399" s="507"/>
      <c r="DA399" s="507"/>
      <c r="DB399" s="507"/>
      <c r="DC399" s="507"/>
      <c r="DD399" s="507"/>
      <c r="DE399" s="507"/>
      <c r="DF399" s="507"/>
      <c r="DG399" s="507"/>
      <c r="DH399" s="507"/>
      <c r="DI399" s="507"/>
      <c r="DJ399" s="507"/>
      <c r="DK399" s="507"/>
      <c r="DL399" s="507"/>
      <c r="DM399" s="507"/>
      <c r="DN399" s="507"/>
      <c r="DO399" s="507"/>
      <c r="DP399" s="507"/>
      <c r="DQ399" s="507"/>
      <c r="DR399" s="507"/>
      <c r="DS399" s="507"/>
      <c r="DT399" s="507"/>
      <c r="DU399" s="507"/>
      <c r="DV399" s="507"/>
      <c r="DW399" s="507"/>
      <c r="DX399" s="507"/>
      <c r="DY399" s="507"/>
      <c r="DZ399" s="507"/>
      <c r="EA399" s="507"/>
      <c r="EB399" s="507"/>
      <c r="EC399" s="507"/>
      <c r="ED399" s="507"/>
      <c r="EE399" s="507"/>
      <c r="EF399" s="507"/>
      <c r="EG399" s="507"/>
      <c r="EH399" s="507"/>
      <c r="EI399" s="507"/>
      <c r="EJ399" s="507"/>
      <c r="EK399" s="507"/>
      <c r="EL399" s="507"/>
      <c r="EM399" s="507"/>
      <c r="EN399" s="507"/>
      <c r="EO399" s="507"/>
      <c r="EP399" s="507"/>
      <c r="EQ399" s="507"/>
      <c r="ER399" s="507"/>
      <c r="ES399" s="507"/>
      <c r="ET399" s="507"/>
      <c r="EU399" s="507"/>
      <c r="EV399" s="507"/>
      <c r="EW399" s="507"/>
      <c r="EX399" s="507"/>
      <c r="EY399" s="507"/>
      <c r="EZ399" s="507"/>
      <c r="FA399" s="507"/>
      <c r="FB399" s="507"/>
      <c r="FC399" s="507"/>
      <c r="FD399" s="507"/>
      <c r="FE399" s="507"/>
      <c r="FF399" s="507"/>
      <c r="FG399" s="507"/>
      <c r="FH399" s="507"/>
      <c r="FI399" s="507"/>
      <c r="FJ399" s="507"/>
      <c r="FK399" s="507"/>
      <c r="FL399" s="507"/>
      <c r="FM399" s="507"/>
      <c r="FN399" s="507"/>
      <c r="FO399" s="507"/>
      <c r="FP399" s="507"/>
      <c r="FQ399" s="507"/>
      <c r="FR399" s="507"/>
      <c r="FS399" s="507"/>
      <c r="FT399" s="507"/>
      <c r="FU399" s="507"/>
      <c r="FV399" s="507"/>
      <c r="FW399" s="507"/>
      <c r="FX399" s="507"/>
      <c r="FY399" s="507"/>
      <c r="FZ399" s="507"/>
      <c r="GA399" s="507"/>
      <c r="GB399" s="507"/>
      <c r="GC399" s="507"/>
      <c r="GD399" s="507"/>
      <c r="GE399" s="507"/>
      <c r="GF399" s="507"/>
      <c r="GG399" s="507"/>
      <c r="GH399" s="507"/>
      <c r="GI399" s="507"/>
      <c r="GJ399" s="507"/>
      <c r="GK399" s="507"/>
      <c r="GL399" s="507"/>
      <c r="GM399" s="507"/>
      <c r="GN399" s="507"/>
      <c r="GO399" s="507"/>
      <c r="GP399" s="507"/>
      <c r="GQ399" s="507"/>
      <c r="GR399" s="507"/>
      <c r="GS399" s="507"/>
      <c r="GT399" s="507"/>
      <c r="GU399" s="507"/>
      <c r="GV399" s="507"/>
      <c r="GW399" s="507"/>
      <c r="GX399" s="507"/>
      <c r="GY399" s="507"/>
      <c r="GZ399" s="507"/>
      <c r="HA399" s="507"/>
      <c r="HB399" s="507"/>
      <c r="HC399" s="507"/>
      <c r="HD399" s="507"/>
      <c r="HE399" s="507"/>
      <c r="HF399" s="507"/>
      <c r="HG399" s="507"/>
      <c r="HH399" s="507"/>
      <c r="HI399" s="507"/>
      <c r="HJ399" s="507"/>
      <c r="HK399" s="507"/>
      <c r="HL399" s="507"/>
      <c r="HM399" s="507"/>
      <c r="HN399" s="507"/>
      <c r="HO399" s="507"/>
      <c r="HP399" s="507"/>
      <c r="HQ399" s="507"/>
      <c r="HR399" s="507"/>
      <c r="HS399" s="507"/>
      <c r="HT399" s="507"/>
      <c r="HU399" s="507"/>
      <c r="HV399" s="507"/>
      <c r="HW399" s="507"/>
      <c r="HX399" s="507"/>
      <c r="HY399" s="507"/>
      <c r="HZ399" s="507"/>
    </row>
    <row r="400" spans="1:234" s="206" customFormat="1" ht="13.5" hidden="1" customHeight="1" x14ac:dyDescent="0.25">
      <c r="A400" s="541" t="s">
        <v>5642</v>
      </c>
      <c r="B400" s="523" t="s">
        <v>5643</v>
      </c>
      <c r="C400" s="524" t="s">
        <v>5644</v>
      </c>
      <c r="D400" s="551" t="s">
        <v>1872</v>
      </c>
      <c r="E400" s="569" t="s">
        <v>3228</v>
      </c>
      <c r="F400" s="543">
        <v>41565</v>
      </c>
      <c r="G400" s="544">
        <v>41487</v>
      </c>
      <c r="H400" s="544">
        <v>41558</v>
      </c>
      <c r="I400" s="616">
        <v>41973</v>
      </c>
      <c r="J400" s="579">
        <v>10</v>
      </c>
      <c r="K400" s="553" t="s">
        <v>3229</v>
      </c>
      <c r="L400" s="552" t="s">
        <v>3229</v>
      </c>
      <c r="M400" s="560">
        <v>-1</v>
      </c>
      <c r="N400" s="606" t="s">
        <v>3229</v>
      </c>
      <c r="O400" s="613">
        <v>0.35</v>
      </c>
      <c r="P400" s="575" t="s">
        <v>3229</v>
      </c>
      <c r="Q400" s="575" t="s">
        <v>3229</v>
      </c>
      <c r="R400" s="575" t="s">
        <v>3229</v>
      </c>
      <c r="S400" s="570"/>
      <c r="T400" s="563" t="s">
        <v>3229</v>
      </c>
      <c r="U400" s="563" t="s">
        <v>3229</v>
      </c>
      <c r="V400" s="563" t="s">
        <v>3229</v>
      </c>
      <c r="W400" s="563" t="s">
        <v>3229</v>
      </c>
      <c r="X400" s="563" t="s">
        <v>3229</v>
      </c>
      <c r="Y400" s="598" t="s">
        <v>3229</v>
      </c>
      <c r="Z400" s="598" t="s">
        <v>3229</v>
      </c>
      <c r="AA400" s="598" t="s">
        <v>3229</v>
      </c>
      <c r="AB400" s="598" t="s">
        <v>3229</v>
      </c>
      <c r="AC400" s="598" t="s">
        <v>3229</v>
      </c>
      <c r="AD400" s="598" t="s">
        <v>3229</v>
      </c>
      <c r="AE400" s="598" t="s">
        <v>3229</v>
      </c>
      <c r="AF400" s="3764" t="s">
        <v>781</v>
      </c>
      <c r="AG400" s="3765"/>
      <c r="AH400" s="1301">
        <v>1</v>
      </c>
      <c r="AI400" s="1301" t="s">
        <v>3229</v>
      </c>
      <c r="AJ400" s="1301" t="s">
        <v>3229</v>
      </c>
      <c r="AK400" s="530" t="s">
        <v>3229</v>
      </c>
      <c r="AL400" s="530" t="s">
        <v>3229</v>
      </c>
      <c r="AM400" s="659" t="s">
        <v>3229</v>
      </c>
      <c r="AN400" s="638">
        <f>'klikací hodnoty'!F12481</f>
        <v>7.0000000000000007E-2</v>
      </c>
      <c r="AO400" s="625">
        <v>119.13</v>
      </c>
      <c r="AP400" s="688">
        <f>AQ400</f>
        <v>0.67616403485922105</v>
      </c>
      <c r="AQ400" s="606">
        <f>'klikací hodnoty'!H12480</f>
        <v>0.67616403485922105</v>
      </c>
      <c r="AR400" s="600">
        <f t="shared" si="94"/>
        <v>0.35</v>
      </c>
      <c r="AS400" s="548">
        <f>POWER(1+AR400,1/((I400-F400)/365))-1</f>
        <v>0.30796948358139664</v>
      </c>
      <c r="AT400" s="548">
        <f>J400*(1+AR400)/AO400-1</f>
        <v>-0.88667841853437424</v>
      </c>
      <c r="AU400" s="549" t="e">
        <f>POWER(1+AT400,1/AG400)-1</f>
        <v>#DIV/0!</v>
      </c>
      <c r="AV400" s="558">
        <f t="shared" si="80"/>
        <v>-1</v>
      </c>
      <c r="AW400" s="558">
        <f t="shared" si="95"/>
        <v>-1</v>
      </c>
      <c r="AX400" s="589">
        <f t="shared" si="88"/>
        <v>-1</v>
      </c>
      <c r="AY400" s="587" t="e">
        <f t="shared" si="89"/>
        <v>#DIV/0!</v>
      </c>
      <c r="AZ400" s="676">
        <f t="shared" si="93"/>
        <v>0</v>
      </c>
      <c r="BA400" s="581"/>
      <c r="BB400" s="570"/>
      <c r="BC400" s="581"/>
      <c r="BD400" s="3691"/>
      <c r="BE400" s="3743"/>
      <c r="BF400" s="3743"/>
      <c r="BG400" s="3708"/>
      <c r="BH400" s="3762"/>
      <c r="BI400" s="3762"/>
      <c r="BJ400" s="39"/>
      <c r="BK400" s="39"/>
      <c r="BL400" s="39"/>
      <c r="BM400" s="39"/>
      <c r="BN400" s="39"/>
      <c r="BO400" s="39"/>
      <c r="BP400" s="39"/>
      <c r="BQ400" s="39"/>
      <c r="BR400" s="39"/>
      <c r="BS400" s="507"/>
      <c r="BT400" s="507"/>
      <c r="BU400" s="507"/>
      <c r="BV400" s="507"/>
      <c r="BW400" s="507"/>
      <c r="BX400" s="507"/>
      <c r="BY400" s="507"/>
      <c r="BZ400" s="507"/>
      <c r="CA400" s="507"/>
      <c r="CB400" s="507"/>
      <c r="CC400" s="507"/>
      <c r="CD400" s="507"/>
      <c r="CE400" s="507"/>
      <c r="CF400" s="507"/>
      <c r="CG400" s="507"/>
      <c r="CH400" s="507"/>
      <c r="CI400" s="507"/>
      <c r="CJ400" s="507"/>
      <c r="CK400" s="507"/>
      <c r="CL400" s="507"/>
      <c r="CM400" s="507"/>
      <c r="CN400" s="507"/>
      <c r="CO400" s="507"/>
      <c r="CP400" s="507"/>
      <c r="CQ400" s="507"/>
      <c r="CR400" s="507"/>
      <c r="CS400" s="507"/>
      <c r="CT400" s="507"/>
      <c r="CU400" s="507"/>
      <c r="CV400" s="507"/>
      <c r="CW400" s="507"/>
      <c r="CX400" s="507"/>
      <c r="CY400" s="507"/>
      <c r="CZ400" s="507"/>
      <c r="DA400" s="507"/>
      <c r="DB400" s="507"/>
      <c r="DC400" s="507"/>
      <c r="DD400" s="507"/>
      <c r="DE400" s="507"/>
      <c r="DF400" s="507"/>
      <c r="DG400" s="507"/>
      <c r="DH400" s="507"/>
      <c r="DI400" s="507"/>
      <c r="DJ400" s="507"/>
      <c r="DK400" s="507"/>
      <c r="DL400" s="507"/>
      <c r="DM400" s="507"/>
      <c r="DN400" s="507"/>
      <c r="DO400" s="507"/>
      <c r="DP400" s="507"/>
      <c r="DQ400" s="507"/>
      <c r="DR400" s="507"/>
      <c r="DS400" s="507"/>
      <c r="DT400" s="507"/>
      <c r="DU400" s="507"/>
      <c r="DV400" s="507"/>
      <c r="DW400" s="507"/>
      <c r="DX400" s="507"/>
      <c r="DY400" s="507"/>
      <c r="DZ400" s="507"/>
      <c r="EA400" s="507"/>
      <c r="EB400" s="507"/>
      <c r="EC400" s="507"/>
      <c r="ED400" s="507"/>
      <c r="EE400" s="507"/>
      <c r="EF400" s="507"/>
      <c r="EG400" s="507"/>
      <c r="EH400" s="507"/>
      <c r="EI400" s="507"/>
      <c r="EJ400" s="507"/>
      <c r="EK400" s="507"/>
      <c r="EL400" s="507"/>
      <c r="EM400" s="507"/>
      <c r="EN400" s="507"/>
      <c r="EO400" s="507"/>
      <c r="EP400" s="507"/>
      <c r="EQ400" s="507"/>
      <c r="ER400" s="507"/>
      <c r="ES400" s="507"/>
      <c r="ET400" s="507"/>
      <c r="EU400" s="507"/>
      <c r="EV400" s="507"/>
      <c r="EW400" s="507"/>
      <c r="EX400" s="507"/>
      <c r="EY400" s="507"/>
      <c r="EZ400" s="507"/>
      <c r="FA400" s="507"/>
      <c r="FB400" s="507"/>
      <c r="FC400" s="507"/>
      <c r="FD400" s="507"/>
      <c r="FE400" s="507"/>
      <c r="FF400" s="507"/>
      <c r="FG400" s="507"/>
      <c r="FH400" s="507"/>
      <c r="FI400" s="507"/>
      <c r="FJ400" s="507"/>
      <c r="FK400" s="507"/>
      <c r="FL400" s="507"/>
      <c r="FM400" s="507"/>
      <c r="FN400" s="507"/>
      <c r="FO400" s="507"/>
      <c r="FP400" s="507"/>
      <c r="FQ400" s="507"/>
      <c r="FR400" s="507"/>
      <c r="FS400" s="507"/>
      <c r="FT400" s="507"/>
      <c r="FU400" s="507"/>
      <c r="FV400" s="507"/>
      <c r="FW400" s="507"/>
      <c r="FX400" s="507"/>
      <c r="FY400" s="507"/>
      <c r="FZ400" s="507"/>
      <c r="GA400" s="507"/>
      <c r="GB400" s="507"/>
      <c r="GC400" s="507"/>
      <c r="GD400" s="507"/>
      <c r="GE400" s="507"/>
      <c r="GF400" s="507"/>
      <c r="GG400" s="507"/>
      <c r="GH400" s="507"/>
      <c r="GI400" s="507"/>
      <c r="GJ400" s="507"/>
      <c r="GK400" s="507"/>
      <c r="GL400" s="507"/>
      <c r="GM400" s="507"/>
      <c r="GN400" s="507"/>
      <c r="GO400" s="507"/>
      <c r="GP400" s="507"/>
      <c r="GQ400" s="507"/>
      <c r="GR400" s="507"/>
      <c r="GS400" s="507"/>
      <c r="GT400" s="507"/>
      <c r="GU400" s="507"/>
      <c r="GV400" s="507"/>
      <c r="GW400" s="507"/>
      <c r="GX400" s="507"/>
      <c r="GY400" s="507"/>
      <c r="GZ400" s="507"/>
      <c r="HA400" s="507"/>
      <c r="HB400" s="507"/>
      <c r="HC400" s="507"/>
      <c r="HD400" s="507"/>
      <c r="HE400" s="507"/>
      <c r="HF400" s="507"/>
      <c r="HG400" s="507"/>
      <c r="HH400" s="507"/>
      <c r="HI400" s="507"/>
      <c r="HJ400" s="507"/>
      <c r="HK400" s="507"/>
      <c r="HL400" s="507"/>
      <c r="HM400" s="507"/>
      <c r="HN400" s="507"/>
      <c r="HO400" s="507"/>
      <c r="HP400" s="507"/>
      <c r="HQ400" s="507"/>
      <c r="HR400" s="507"/>
      <c r="HS400" s="507"/>
      <c r="HT400" s="507"/>
      <c r="HU400" s="507"/>
      <c r="HV400" s="507"/>
      <c r="HW400" s="507"/>
      <c r="HX400" s="507"/>
      <c r="HY400" s="507"/>
      <c r="HZ400" s="507"/>
    </row>
    <row r="401" spans="1:234" s="206" customFormat="1" ht="13.5" hidden="1" customHeight="1" x14ac:dyDescent="0.25">
      <c r="A401" s="541" t="s">
        <v>5647</v>
      </c>
      <c r="B401" s="523" t="s">
        <v>5646</v>
      </c>
      <c r="C401" s="524" t="s">
        <v>5648</v>
      </c>
      <c r="D401" s="551" t="s">
        <v>5645</v>
      </c>
      <c r="E401" s="569" t="s">
        <v>3228</v>
      </c>
      <c r="F401" s="543">
        <v>41550</v>
      </c>
      <c r="G401" s="544">
        <v>41487</v>
      </c>
      <c r="H401" s="544">
        <v>41547</v>
      </c>
      <c r="I401" s="616">
        <v>43644</v>
      </c>
      <c r="J401" s="579">
        <v>10</v>
      </c>
      <c r="K401" s="553" t="s">
        <v>3229</v>
      </c>
      <c r="L401" s="552" t="s">
        <v>3229</v>
      </c>
      <c r="M401" s="560">
        <v>-0.05</v>
      </c>
      <c r="N401" s="606">
        <v>0.6</v>
      </c>
      <c r="O401" s="613">
        <v>0.6</v>
      </c>
      <c r="P401" s="575" t="s">
        <v>3229</v>
      </c>
      <c r="Q401" s="575" t="s">
        <v>3229</v>
      </c>
      <c r="R401" s="575" t="s">
        <v>3229</v>
      </c>
      <c r="S401" s="570"/>
      <c r="T401" s="563" t="s">
        <v>3229</v>
      </c>
      <c r="U401" s="563" t="s">
        <v>3229</v>
      </c>
      <c r="V401" s="563" t="s">
        <v>3229</v>
      </c>
      <c r="W401" s="563" t="s">
        <v>3229</v>
      </c>
      <c r="X401" s="563" t="s">
        <v>3229</v>
      </c>
      <c r="Y401" s="598" t="s">
        <v>3229</v>
      </c>
      <c r="Z401" s="598" t="s">
        <v>3229</v>
      </c>
      <c r="AA401" s="598" t="s">
        <v>3229</v>
      </c>
      <c r="AB401" s="598" t="s">
        <v>3229</v>
      </c>
      <c r="AC401" s="598" t="s">
        <v>3229</v>
      </c>
      <c r="AD401" s="598" t="s">
        <v>3229</v>
      </c>
      <c r="AE401" s="598" t="s">
        <v>3229</v>
      </c>
      <c r="AF401" s="3764" t="s">
        <v>781</v>
      </c>
      <c r="AG401" s="3765"/>
      <c r="AH401" s="1301" t="s">
        <v>3229</v>
      </c>
      <c r="AI401" s="1301" t="s">
        <v>3229</v>
      </c>
      <c r="AJ401" s="1301" t="s">
        <v>3229</v>
      </c>
      <c r="AK401" s="530" t="s">
        <v>3229</v>
      </c>
      <c r="AL401" s="530" t="s">
        <v>3229</v>
      </c>
      <c r="AM401" s="659">
        <v>1</v>
      </c>
      <c r="AN401" s="638">
        <f>'klikací hodnoty'!F12202</f>
        <v>0.23731253333333327</v>
      </c>
      <c r="AO401" s="625">
        <v>12.37</v>
      </c>
      <c r="AP401" s="688">
        <f>+AQ401</f>
        <v>0.48566225107300759</v>
      </c>
      <c r="AQ401" s="606">
        <f>'klikací hodnoty'!F12201</f>
        <v>0.48566225107300759</v>
      </c>
      <c r="AR401" s="600">
        <f t="shared" si="94"/>
        <v>0.6</v>
      </c>
      <c r="AS401" s="548">
        <f>POWER(1+AR401,1/((I401-F401)/365))-1</f>
        <v>8.5374597900189642E-2</v>
      </c>
      <c r="AT401" s="548">
        <f t="shared" si="96"/>
        <v>0.29345189975747776</v>
      </c>
      <c r="AU401" s="549" t="e">
        <f t="shared" si="97"/>
        <v>#DIV/0!</v>
      </c>
      <c r="AV401" s="558">
        <f t="shared" si="80"/>
        <v>-0.05</v>
      </c>
      <c r="AW401" s="558">
        <f t="shared" si="95"/>
        <v>-8.9009580652258391E-3</v>
      </c>
      <c r="AX401" s="589">
        <f t="shared" si="88"/>
        <v>-0.23201293451899752</v>
      </c>
      <c r="AY401" s="587" t="e">
        <f t="shared" si="89"/>
        <v>#DIV/0!</v>
      </c>
      <c r="AZ401" s="676">
        <f t="shared" si="93"/>
        <v>9.5</v>
      </c>
      <c r="BA401" s="581"/>
      <c r="BB401" s="570"/>
      <c r="BC401" s="581"/>
      <c r="BD401" s="3691"/>
      <c r="BE401" s="3743"/>
      <c r="BF401" s="3743"/>
      <c r="BG401" s="3708"/>
      <c r="BH401" s="3762"/>
      <c r="BI401" s="3762"/>
      <c r="BJ401" s="39"/>
      <c r="BK401" s="39"/>
      <c r="BL401" s="39"/>
      <c r="BM401" s="39"/>
      <c r="BN401" s="39"/>
      <c r="BO401" s="39"/>
      <c r="BP401" s="39"/>
      <c r="BQ401" s="39"/>
      <c r="BR401" s="39"/>
      <c r="BS401" s="507"/>
      <c r="BT401" s="507"/>
      <c r="BU401" s="507"/>
      <c r="BV401" s="507"/>
      <c r="BW401" s="507"/>
      <c r="BX401" s="507"/>
      <c r="BY401" s="507"/>
      <c r="BZ401" s="507"/>
      <c r="CA401" s="507"/>
      <c r="CB401" s="507"/>
      <c r="CC401" s="507"/>
      <c r="CD401" s="507"/>
      <c r="CE401" s="507"/>
      <c r="CF401" s="507"/>
      <c r="CG401" s="507"/>
      <c r="CH401" s="507"/>
      <c r="CI401" s="507"/>
      <c r="CJ401" s="507"/>
      <c r="CK401" s="507"/>
      <c r="CL401" s="507"/>
      <c r="CM401" s="507"/>
      <c r="CN401" s="507"/>
      <c r="CO401" s="507"/>
      <c r="CP401" s="507"/>
      <c r="CQ401" s="507"/>
      <c r="CR401" s="507"/>
      <c r="CS401" s="507"/>
      <c r="CT401" s="507"/>
      <c r="CU401" s="507"/>
      <c r="CV401" s="507"/>
      <c r="CW401" s="507"/>
      <c r="CX401" s="507"/>
      <c r="CY401" s="507"/>
      <c r="CZ401" s="507"/>
      <c r="DA401" s="507"/>
      <c r="DB401" s="507"/>
      <c r="DC401" s="507"/>
      <c r="DD401" s="507"/>
      <c r="DE401" s="507"/>
      <c r="DF401" s="507"/>
      <c r="DG401" s="507"/>
      <c r="DH401" s="507"/>
      <c r="DI401" s="507"/>
      <c r="DJ401" s="507"/>
      <c r="DK401" s="507"/>
      <c r="DL401" s="507"/>
      <c r="DM401" s="507"/>
      <c r="DN401" s="507"/>
      <c r="DO401" s="507"/>
      <c r="DP401" s="507"/>
      <c r="DQ401" s="507"/>
      <c r="DR401" s="507"/>
      <c r="DS401" s="507"/>
      <c r="DT401" s="507"/>
      <c r="DU401" s="507"/>
      <c r="DV401" s="507"/>
      <c r="DW401" s="507"/>
      <c r="DX401" s="507"/>
      <c r="DY401" s="507"/>
      <c r="DZ401" s="507"/>
      <c r="EA401" s="507"/>
      <c r="EB401" s="507"/>
      <c r="EC401" s="507"/>
      <c r="ED401" s="507"/>
      <c r="EE401" s="507"/>
      <c r="EF401" s="507"/>
      <c r="EG401" s="507"/>
      <c r="EH401" s="507"/>
      <c r="EI401" s="507"/>
      <c r="EJ401" s="507"/>
      <c r="EK401" s="507"/>
      <c r="EL401" s="507"/>
      <c r="EM401" s="507"/>
      <c r="EN401" s="507"/>
      <c r="EO401" s="507"/>
      <c r="EP401" s="507"/>
      <c r="EQ401" s="507"/>
      <c r="ER401" s="507"/>
      <c r="ES401" s="507"/>
      <c r="ET401" s="507"/>
      <c r="EU401" s="507"/>
      <c r="EV401" s="507"/>
      <c r="EW401" s="507"/>
      <c r="EX401" s="507"/>
      <c r="EY401" s="507"/>
      <c r="EZ401" s="507"/>
      <c r="FA401" s="507"/>
      <c r="FB401" s="507"/>
      <c r="FC401" s="507"/>
      <c r="FD401" s="507"/>
      <c r="FE401" s="507"/>
      <c r="FF401" s="507"/>
      <c r="FG401" s="507"/>
      <c r="FH401" s="507"/>
      <c r="FI401" s="507"/>
      <c r="FJ401" s="507"/>
      <c r="FK401" s="507"/>
      <c r="FL401" s="507"/>
      <c r="FM401" s="507"/>
      <c r="FN401" s="507"/>
      <c r="FO401" s="507"/>
      <c r="FP401" s="507"/>
      <c r="FQ401" s="507"/>
      <c r="FR401" s="507"/>
      <c r="FS401" s="507"/>
      <c r="FT401" s="507"/>
      <c r="FU401" s="507"/>
      <c r="FV401" s="507"/>
      <c r="FW401" s="507"/>
      <c r="FX401" s="507"/>
      <c r="FY401" s="507"/>
      <c r="FZ401" s="507"/>
      <c r="GA401" s="507"/>
      <c r="GB401" s="507"/>
      <c r="GC401" s="507"/>
      <c r="GD401" s="507"/>
      <c r="GE401" s="507"/>
      <c r="GF401" s="507"/>
      <c r="GG401" s="507"/>
      <c r="GH401" s="507"/>
      <c r="GI401" s="507"/>
      <c r="GJ401" s="507"/>
      <c r="GK401" s="507"/>
      <c r="GL401" s="507"/>
      <c r="GM401" s="507"/>
      <c r="GN401" s="507"/>
      <c r="GO401" s="507"/>
      <c r="GP401" s="507"/>
      <c r="GQ401" s="507"/>
      <c r="GR401" s="507"/>
      <c r="GS401" s="507"/>
      <c r="GT401" s="507"/>
      <c r="GU401" s="507"/>
      <c r="GV401" s="507"/>
      <c r="GW401" s="507"/>
      <c r="GX401" s="507"/>
      <c r="GY401" s="507"/>
      <c r="GZ401" s="507"/>
      <c r="HA401" s="507"/>
      <c r="HB401" s="507"/>
      <c r="HC401" s="507"/>
      <c r="HD401" s="507"/>
      <c r="HE401" s="507"/>
      <c r="HF401" s="507"/>
      <c r="HG401" s="507"/>
      <c r="HH401" s="507"/>
      <c r="HI401" s="507"/>
      <c r="HJ401" s="507"/>
      <c r="HK401" s="507"/>
      <c r="HL401" s="507"/>
      <c r="HM401" s="507"/>
      <c r="HN401" s="507"/>
      <c r="HO401" s="507"/>
      <c r="HP401" s="507"/>
      <c r="HQ401" s="507"/>
      <c r="HR401" s="507"/>
      <c r="HS401" s="507"/>
      <c r="HT401" s="507"/>
      <c r="HU401" s="507"/>
      <c r="HV401" s="507"/>
      <c r="HW401" s="507"/>
      <c r="HX401" s="507"/>
      <c r="HY401" s="507"/>
      <c r="HZ401" s="507"/>
    </row>
    <row r="402" spans="1:234" s="206" customFormat="1" ht="13.5" hidden="1" customHeight="1" x14ac:dyDescent="0.25">
      <c r="A402" s="541" t="s">
        <v>5650</v>
      </c>
      <c r="B402" s="523" t="s">
        <v>5649</v>
      </c>
      <c r="C402" s="524" t="s">
        <v>5651</v>
      </c>
      <c r="D402" s="551" t="s">
        <v>189</v>
      </c>
      <c r="E402" s="569" t="s">
        <v>905</v>
      </c>
      <c r="F402" s="543">
        <v>41540</v>
      </c>
      <c r="G402" s="544">
        <v>41498</v>
      </c>
      <c r="H402" s="544">
        <v>41530</v>
      </c>
      <c r="I402" s="616">
        <v>44469</v>
      </c>
      <c r="J402" s="579">
        <v>10</v>
      </c>
      <c r="K402" s="3446">
        <v>0</v>
      </c>
      <c r="L402" s="3447">
        <v>0.06</v>
      </c>
      <c r="M402" s="560">
        <v>0</v>
      </c>
      <c r="N402" s="606" t="s">
        <v>3229</v>
      </c>
      <c r="O402" s="613">
        <v>0.42</v>
      </c>
      <c r="P402" s="575" t="s">
        <v>3229</v>
      </c>
      <c r="Q402" s="575" t="s">
        <v>3229</v>
      </c>
      <c r="R402" s="575" t="s">
        <v>3229</v>
      </c>
      <c r="S402" s="570">
        <v>7</v>
      </c>
      <c r="T402" s="3448">
        <v>42217</v>
      </c>
      <c r="U402" s="3448">
        <v>42583</v>
      </c>
      <c r="V402" s="3448">
        <v>42948</v>
      </c>
      <c r="W402" s="3448">
        <v>43313</v>
      </c>
      <c r="X402" s="3448">
        <v>43678</v>
      </c>
      <c r="Y402" s="598">
        <v>44044</v>
      </c>
      <c r="Z402" s="598">
        <v>44409</v>
      </c>
      <c r="AA402" s="598" t="s">
        <v>3229</v>
      </c>
      <c r="AB402" s="598" t="s">
        <v>3229</v>
      </c>
      <c r="AC402" s="598" t="s">
        <v>3229</v>
      </c>
      <c r="AD402" s="598" t="s">
        <v>3229</v>
      </c>
      <c r="AE402" s="598" t="s">
        <v>3229</v>
      </c>
      <c r="AF402" s="3764" t="s">
        <v>781</v>
      </c>
      <c r="AG402" s="3765">
        <f>(I402-indexy!$B$1)/365</f>
        <v>-2.493150684931507</v>
      </c>
      <c r="AH402" s="1301" t="s">
        <v>3229</v>
      </c>
      <c r="AI402" s="1301" t="s">
        <v>3229</v>
      </c>
      <c r="AJ402" s="1301" t="s">
        <v>3229</v>
      </c>
      <c r="AK402" s="530" t="s">
        <v>3229</v>
      </c>
      <c r="AL402" s="530" t="s">
        <v>3229</v>
      </c>
      <c r="AM402" s="659">
        <v>1</v>
      </c>
      <c r="AN402" s="638">
        <f>'klikací hodnoty'!F12175</f>
        <v>5.6300000000000003E-2</v>
      </c>
      <c r="AO402" s="625">
        <v>10.56</v>
      </c>
      <c r="AP402" s="688">
        <f>'klikací hodnoty'!F12163</f>
        <v>-2.319205218073388E-2</v>
      </c>
      <c r="AQ402" s="606">
        <f>'klikací hodnoty'!E12163</f>
        <v>0.28430789026157216</v>
      </c>
      <c r="AR402" s="600">
        <f t="shared" si="94"/>
        <v>0.42</v>
      </c>
      <c r="AS402" s="548">
        <f>POWER(1+AR402,1/((I402-F402)/365))-1</f>
        <v>4.4666217294431876E-2</v>
      </c>
      <c r="AT402" s="548">
        <f t="shared" si="96"/>
        <v>0.3446969696969695</v>
      </c>
      <c r="AU402" s="549">
        <f t="shared" si="97"/>
        <v>-0.11200834595002707</v>
      </c>
      <c r="AV402" s="558">
        <f t="shared" si="80"/>
        <v>0</v>
      </c>
      <c r="AW402" s="558">
        <f t="shared" si="95"/>
        <v>0</v>
      </c>
      <c r="AX402" s="589">
        <f t="shared" si="88"/>
        <v>-5.3030303030303094E-2</v>
      </c>
      <c r="AY402" s="587">
        <f t="shared" si="89"/>
        <v>2.209572444957475E-2</v>
      </c>
      <c r="AZ402" s="676">
        <f>J402</f>
        <v>10</v>
      </c>
      <c r="BA402" s="581" t="s">
        <v>3327</v>
      </c>
      <c r="BB402" s="570"/>
      <c r="BC402" s="581"/>
      <c r="BD402" s="3691"/>
      <c r="BE402" s="3743"/>
      <c r="BF402" s="3743"/>
      <c r="BG402" s="3708"/>
      <c r="BH402" s="3762"/>
      <c r="BI402" s="3762"/>
      <c r="BJ402" s="39"/>
      <c r="BK402" s="39"/>
      <c r="BL402" s="39"/>
      <c r="BM402" s="39"/>
      <c r="BN402" s="39"/>
      <c r="BO402" s="39"/>
      <c r="BP402" s="39"/>
      <c r="BQ402" s="39"/>
      <c r="BR402" s="39"/>
      <c r="BS402" s="507"/>
      <c r="BT402" s="507"/>
      <c r="BU402" s="507"/>
      <c r="BV402" s="507"/>
      <c r="BW402" s="507"/>
      <c r="BX402" s="507"/>
      <c r="BY402" s="507"/>
      <c r="BZ402" s="507"/>
      <c r="CA402" s="507"/>
      <c r="CB402" s="507"/>
      <c r="CC402" s="507"/>
      <c r="CD402" s="507"/>
      <c r="CE402" s="507"/>
      <c r="CF402" s="507"/>
      <c r="CG402" s="507"/>
      <c r="CH402" s="507"/>
      <c r="CI402" s="507"/>
      <c r="CJ402" s="507"/>
      <c r="CK402" s="507"/>
      <c r="CL402" s="507"/>
      <c r="CM402" s="507"/>
      <c r="CN402" s="507"/>
      <c r="CO402" s="507"/>
      <c r="CP402" s="507"/>
      <c r="CQ402" s="507"/>
      <c r="CR402" s="507"/>
      <c r="CS402" s="507"/>
      <c r="CT402" s="507"/>
      <c r="CU402" s="507"/>
      <c r="CV402" s="507"/>
      <c r="CW402" s="507"/>
      <c r="CX402" s="507"/>
      <c r="CY402" s="507"/>
      <c r="CZ402" s="507"/>
      <c r="DA402" s="507"/>
      <c r="DB402" s="507"/>
      <c r="DC402" s="507"/>
      <c r="DD402" s="507"/>
      <c r="DE402" s="507"/>
      <c r="DF402" s="507"/>
      <c r="DG402" s="507"/>
      <c r="DH402" s="507"/>
      <c r="DI402" s="507"/>
      <c r="DJ402" s="507"/>
      <c r="DK402" s="507"/>
      <c r="DL402" s="507"/>
      <c r="DM402" s="507"/>
      <c r="DN402" s="507"/>
      <c r="DO402" s="507"/>
      <c r="DP402" s="507"/>
      <c r="DQ402" s="507"/>
      <c r="DR402" s="507"/>
      <c r="DS402" s="507"/>
      <c r="DT402" s="507"/>
      <c r="DU402" s="507"/>
      <c r="DV402" s="507"/>
      <c r="DW402" s="507"/>
      <c r="DX402" s="507"/>
      <c r="DY402" s="507"/>
      <c r="DZ402" s="507"/>
      <c r="EA402" s="507"/>
      <c r="EB402" s="507"/>
      <c r="EC402" s="507"/>
      <c r="ED402" s="507"/>
      <c r="EE402" s="507"/>
      <c r="EF402" s="507"/>
      <c r="EG402" s="507"/>
      <c r="EH402" s="507"/>
      <c r="EI402" s="507"/>
      <c r="EJ402" s="507"/>
      <c r="EK402" s="507"/>
      <c r="EL402" s="507"/>
      <c r="EM402" s="507"/>
      <c r="EN402" s="507"/>
      <c r="EO402" s="507"/>
      <c r="EP402" s="507"/>
      <c r="EQ402" s="507"/>
      <c r="ER402" s="507"/>
      <c r="ES402" s="507"/>
      <c r="ET402" s="507"/>
      <c r="EU402" s="507"/>
      <c r="EV402" s="507"/>
      <c r="EW402" s="507"/>
      <c r="EX402" s="507"/>
      <c r="EY402" s="507"/>
      <c r="EZ402" s="507"/>
      <c r="FA402" s="507"/>
      <c r="FB402" s="507"/>
      <c r="FC402" s="507"/>
      <c r="FD402" s="507"/>
      <c r="FE402" s="507"/>
      <c r="FF402" s="507"/>
      <c r="FG402" s="507"/>
      <c r="FH402" s="507"/>
      <c r="FI402" s="507"/>
      <c r="FJ402" s="507"/>
      <c r="FK402" s="507"/>
      <c r="FL402" s="507"/>
      <c r="FM402" s="507"/>
      <c r="FN402" s="507"/>
      <c r="FO402" s="507"/>
      <c r="FP402" s="507"/>
      <c r="FQ402" s="507"/>
      <c r="FR402" s="507"/>
      <c r="FS402" s="507"/>
      <c r="FT402" s="507"/>
      <c r="FU402" s="507"/>
      <c r="FV402" s="507"/>
      <c r="FW402" s="507"/>
      <c r="FX402" s="507"/>
      <c r="FY402" s="507"/>
      <c r="FZ402" s="507"/>
      <c r="GA402" s="507"/>
      <c r="GB402" s="507"/>
      <c r="GC402" s="507"/>
      <c r="GD402" s="507"/>
      <c r="GE402" s="507"/>
      <c r="GF402" s="507"/>
      <c r="GG402" s="507"/>
      <c r="GH402" s="507"/>
      <c r="GI402" s="507"/>
      <c r="GJ402" s="507"/>
      <c r="GK402" s="507"/>
      <c r="GL402" s="507"/>
      <c r="GM402" s="507"/>
      <c r="GN402" s="507"/>
      <c r="GO402" s="507"/>
      <c r="GP402" s="507"/>
      <c r="GQ402" s="507"/>
      <c r="GR402" s="507"/>
      <c r="GS402" s="507"/>
      <c r="GT402" s="507"/>
      <c r="GU402" s="507"/>
      <c r="GV402" s="507"/>
      <c r="GW402" s="507"/>
      <c r="GX402" s="507"/>
      <c r="GY402" s="507"/>
      <c r="GZ402" s="507"/>
      <c r="HA402" s="507"/>
      <c r="HB402" s="507"/>
      <c r="HC402" s="507"/>
      <c r="HD402" s="507"/>
      <c r="HE402" s="507"/>
      <c r="HF402" s="507"/>
      <c r="HG402" s="507"/>
      <c r="HH402" s="507"/>
      <c r="HI402" s="507"/>
      <c r="HJ402" s="507"/>
      <c r="HK402" s="507"/>
      <c r="HL402" s="507"/>
      <c r="HM402" s="507"/>
      <c r="HN402" s="507"/>
      <c r="HO402" s="507"/>
      <c r="HP402" s="507"/>
      <c r="HQ402" s="507"/>
      <c r="HR402" s="507"/>
      <c r="HS402" s="507"/>
      <c r="HT402" s="507"/>
      <c r="HU402" s="507"/>
      <c r="HV402" s="507"/>
      <c r="HW402" s="507"/>
      <c r="HX402" s="507"/>
      <c r="HY402" s="507"/>
      <c r="HZ402" s="507"/>
    </row>
    <row r="403" spans="1:234" s="206" customFormat="1" ht="13.5" hidden="1" customHeight="1" x14ac:dyDescent="0.25">
      <c r="A403" s="541" t="s">
        <v>5681</v>
      </c>
      <c r="B403" s="523" t="s">
        <v>5680</v>
      </c>
      <c r="C403" s="524" t="s">
        <v>5679</v>
      </c>
      <c r="D403" s="551" t="s">
        <v>4384</v>
      </c>
      <c r="E403" s="569" t="s">
        <v>3228</v>
      </c>
      <c r="F403" s="543">
        <v>41554</v>
      </c>
      <c r="G403" s="544">
        <v>41505</v>
      </c>
      <c r="H403" s="544">
        <v>41547</v>
      </c>
      <c r="I403" s="616">
        <v>43644</v>
      </c>
      <c r="J403" s="579">
        <v>10</v>
      </c>
      <c r="K403" s="553" t="s">
        <v>3229</v>
      </c>
      <c r="L403" s="552" t="s">
        <v>3229</v>
      </c>
      <c r="M403" s="560">
        <v>0</v>
      </c>
      <c r="N403" s="606">
        <v>0.6</v>
      </c>
      <c r="O403" s="613">
        <v>0.72</v>
      </c>
      <c r="P403" s="575" t="s">
        <v>3229</v>
      </c>
      <c r="Q403" s="575" t="s">
        <v>3229</v>
      </c>
      <c r="R403" s="575" t="s">
        <v>3229</v>
      </c>
      <c r="S403" s="570"/>
      <c r="T403" s="563" t="s">
        <v>3229</v>
      </c>
      <c r="U403" s="563" t="s">
        <v>3229</v>
      </c>
      <c r="V403" s="563" t="s">
        <v>3229</v>
      </c>
      <c r="W403" s="563" t="s">
        <v>3229</v>
      </c>
      <c r="X403" s="563" t="s">
        <v>3229</v>
      </c>
      <c r="Y403" s="598" t="s">
        <v>3229</v>
      </c>
      <c r="Z403" s="598" t="s">
        <v>3229</v>
      </c>
      <c r="AA403" s="598" t="s">
        <v>3229</v>
      </c>
      <c r="AB403" s="598" t="s">
        <v>3229</v>
      </c>
      <c r="AC403" s="598" t="s">
        <v>3229</v>
      </c>
      <c r="AD403" s="598" t="s">
        <v>3229</v>
      </c>
      <c r="AE403" s="598" t="s">
        <v>3229</v>
      </c>
      <c r="AF403" s="3764" t="s">
        <v>781</v>
      </c>
      <c r="AG403" s="3765"/>
      <c r="AH403" s="1301" t="s">
        <v>3229</v>
      </c>
      <c r="AI403" s="1301" t="s">
        <v>3229</v>
      </c>
      <c r="AJ403" s="1301" t="s">
        <v>3229</v>
      </c>
      <c r="AK403" s="530" t="s">
        <v>3229</v>
      </c>
      <c r="AL403" s="530" t="s">
        <v>3229</v>
      </c>
      <c r="AM403" s="659">
        <v>1</v>
      </c>
      <c r="AN403" s="638">
        <f>'klikací hodnoty'!F12258</f>
        <v>7.3856166666666626E-2</v>
      </c>
      <c r="AO403" s="625">
        <v>10.74</v>
      </c>
      <c r="AP403" s="688">
        <f>'klikací hodnoty'!F12257</f>
        <v>0.12309361111111104</v>
      </c>
      <c r="AQ403" s="606">
        <f>'klikací hodnoty'!F12238</f>
        <v>0.14668297992423457</v>
      </c>
      <c r="AR403" s="600">
        <f t="shared" si="94"/>
        <v>0.72</v>
      </c>
      <c r="AS403" s="548">
        <f t="shared" ref="AS403:AS410" si="98">POWER(1+AR403,1/((I403-F403)/365))-1</f>
        <v>9.9342349492373527E-2</v>
      </c>
      <c r="AT403" s="548">
        <f t="shared" si="96"/>
        <v>0.60148975791433879</v>
      </c>
      <c r="AU403" s="549" t="e">
        <f t="shared" si="97"/>
        <v>#DIV/0!</v>
      </c>
      <c r="AV403" s="558">
        <f t="shared" si="80"/>
        <v>0</v>
      </c>
      <c r="AW403" s="558">
        <f t="shared" si="95"/>
        <v>0</v>
      </c>
      <c r="AX403" s="589">
        <f t="shared" si="88"/>
        <v>-6.8901303538175029E-2</v>
      </c>
      <c r="AY403" s="587" t="e">
        <f t="shared" si="89"/>
        <v>#DIV/0!</v>
      </c>
      <c r="AZ403" s="676">
        <f t="shared" ref="AZ403:AZ445" si="99">J403*(1+AV403)</f>
        <v>10</v>
      </c>
      <c r="BA403" s="581"/>
      <c r="BB403" s="570"/>
      <c r="BC403" s="581"/>
      <c r="BD403" s="3691"/>
      <c r="BE403" s="3743"/>
      <c r="BF403" s="3743"/>
      <c r="BG403" s="3708"/>
      <c r="BH403" s="3762"/>
      <c r="BI403" s="3762"/>
      <c r="BJ403" s="39"/>
      <c r="BK403" s="39"/>
      <c r="BL403" s="39"/>
      <c r="BM403" s="39"/>
      <c r="BN403" s="39"/>
      <c r="BO403" s="39"/>
      <c r="BP403" s="39"/>
      <c r="BQ403" s="39"/>
      <c r="BR403" s="39"/>
      <c r="BS403" s="507"/>
      <c r="BT403" s="507"/>
      <c r="BU403" s="507"/>
      <c r="BV403" s="507"/>
      <c r="BW403" s="507"/>
      <c r="BX403" s="507"/>
      <c r="BY403" s="507"/>
      <c r="BZ403" s="507"/>
      <c r="CA403" s="507"/>
      <c r="CB403" s="507"/>
      <c r="CC403" s="507"/>
      <c r="CD403" s="507"/>
      <c r="CE403" s="507"/>
      <c r="CF403" s="507"/>
      <c r="CG403" s="507"/>
      <c r="CH403" s="507"/>
      <c r="CI403" s="507"/>
      <c r="CJ403" s="507"/>
      <c r="CK403" s="507"/>
      <c r="CL403" s="507"/>
      <c r="CM403" s="507"/>
      <c r="CN403" s="507"/>
      <c r="CO403" s="507"/>
      <c r="CP403" s="507"/>
      <c r="CQ403" s="507"/>
      <c r="CR403" s="507"/>
      <c r="CS403" s="507"/>
      <c r="CT403" s="507"/>
      <c r="CU403" s="507"/>
      <c r="CV403" s="507"/>
      <c r="CW403" s="507"/>
      <c r="CX403" s="507"/>
      <c r="CY403" s="507"/>
      <c r="CZ403" s="507"/>
      <c r="DA403" s="507"/>
      <c r="DB403" s="507"/>
      <c r="DC403" s="507"/>
      <c r="DD403" s="507"/>
      <c r="DE403" s="507"/>
      <c r="DF403" s="507"/>
      <c r="DG403" s="507"/>
      <c r="DH403" s="507"/>
      <c r="DI403" s="507"/>
      <c r="DJ403" s="507"/>
      <c r="DK403" s="507"/>
      <c r="DL403" s="507"/>
      <c r="DM403" s="507"/>
      <c r="DN403" s="507"/>
      <c r="DO403" s="507"/>
      <c r="DP403" s="507"/>
      <c r="DQ403" s="507"/>
      <c r="DR403" s="507"/>
      <c r="DS403" s="507"/>
      <c r="DT403" s="507"/>
      <c r="DU403" s="507"/>
      <c r="DV403" s="507"/>
      <c r="DW403" s="507"/>
      <c r="DX403" s="507"/>
      <c r="DY403" s="507"/>
      <c r="DZ403" s="507"/>
      <c r="EA403" s="507"/>
      <c r="EB403" s="507"/>
      <c r="EC403" s="507"/>
      <c r="ED403" s="507"/>
      <c r="EE403" s="507"/>
      <c r="EF403" s="507"/>
      <c r="EG403" s="507"/>
      <c r="EH403" s="507"/>
      <c r="EI403" s="507"/>
      <c r="EJ403" s="507"/>
      <c r="EK403" s="507"/>
      <c r="EL403" s="507"/>
      <c r="EM403" s="507"/>
      <c r="EN403" s="507"/>
      <c r="EO403" s="507"/>
      <c r="EP403" s="507"/>
      <c r="EQ403" s="507"/>
      <c r="ER403" s="507"/>
      <c r="ES403" s="507"/>
      <c r="ET403" s="507"/>
      <c r="EU403" s="507"/>
      <c r="EV403" s="507"/>
      <c r="EW403" s="507"/>
      <c r="EX403" s="507"/>
      <c r="EY403" s="507"/>
      <c r="EZ403" s="507"/>
      <c r="FA403" s="507"/>
      <c r="FB403" s="507"/>
      <c r="FC403" s="507"/>
      <c r="FD403" s="507"/>
      <c r="FE403" s="507"/>
      <c r="FF403" s="507"/>
      <c r="FG403" s="507"/>
      <c r="FH403" s="507"/>
      <c r="FI403" s="507"/>
      <c r="FJ403" s="507"/>
      <c r="FK403" s="507"/>
      <c r="FL403" s="507"/>
      <c r="FM403" s="507"/>
      <c r="FN403" s="507"/>
      <c r="FO403" s="507"/>
      <c r="FP403" s="507"/>
      <c r="FQ403" s="507"/>
      <c r="FR403" s="507"/>
      <c r="FS403" s="507"/>
      <c r="FT403" s="507"/>
      <c r="FU403" s="507"/>
      <c r="FV403" s="507"/>
      <c r="FW403" s="507"/>
      <c r="FX403" s="507"/>
      <c r="FY403" s="507"/>
      <c r="FZ403" s="507"/>
      <c r="GA403" s="507"/>
      <c r="GB403" s="507"/>
      <c r="GC403" s="507"/>
      <c r="GD403" s="507"/>
      <c r="GE403" s="507"/>
      <c r="GF403" s="507"/>
      <c r="GG403" s="507"/>
      <c r="GH403" s="507"/>
      <c r="GI403" s="507"/>
      <c r="GJ403" s="507"/>
      <c r="GK403" s="507"/>
      <c r="GL403" s="507"/>
      <c r="GM403" s="507"/>
      <c r="GN403" s="507"/>
      <c r="GO403" s="507"/>
      <c r="GP403" s="507"/>
      <c r="GQ403" s="507"/>
      <c r="GR403" s="507"/>
      <c r="GS403" s="507"/>
      <c r="GT403" s="507"/>
      <c r="GU403" s="507"/>
      <c r="GV403" s="507"/>
      <c r="GW403" s="507"/>
      <c r="GX403" s="507"/>
      <c r="GY403" s="507"/>
      <c r="GZ403" s="507"/>
      <c r="HA403" s="507"/>
      <c r="HB403" s="507"/>
      <c r="HC403" s="507"/>
      <c r="HD403" s="507"/>
      <c r="HE403" s="507"/>
      <c r="HF403" s="507"/>
      <c r="HG403" s="507"/>
      <c r="HH403" s="507"/>
      <c r="HI403" s="507"/>
      <c r="HJ403" s="507"/>
      <c r="HK403" s="507"/>
      <c r="HL403" s="507"/>
      <c r="HM403" s="507"/>
      <c r="HN403" s="507"/>
      <c r="HO403" s="507"/>
      <c r="HP403" s="507"/>
      <c r="HQ403" s="507"/>
      <c r="HR403" s="507"/>
      <c r="HS403" s="507"/>
      <c r="HT403" s="507"/>
      <c r="HU403" s="507"/>
      <c r="HV403" s="507"/>
      <c r="HW403" s="507"/>
      <c r="HX403" s="507"/>
      <c r="HY403" s="507"/>
      <c r="HZ403" s="507"/>
    </row>
    <row r="404" spans="1:234" s="206" customFormat="1" ht="13.5" hidden="1" customHeight="1" x14ac:dyDescent="0.25">
      <c r="A404" s="541" t="s">
        <v>5683</v>
      </c>
      <c r="B404" s="523" t="s">
        <v>5682</v>
      </c>
      <c r="C404" s="524" t="s">
        <v>5684</v>
      </c>
      <c r="D404" s="551" t="s">
        <v>189</v>
      </c>
      <c r="E404" s="569" t="s">
        <v>3228</v>
      </c>
      <c r="F404" s="543">
        <v>41586</v>
      </c>
      <c r="G404" s="544">
        <v>41519</v>
      </c>
      <c r="H404" s="544">
        <v>41578</v>
      </c>
      <c r="I404" s="616">
        <v>43677</v>
      </c>
      <c r="J404" s="579">
        <v>10</v>
      </c>
      <c r="K404" s="553" t="s">
        <v>3229</v>
      </c>
      <c r="L404" s="552" t="s">
        <v>3229</v>
      </c>
      <c r="M404" s="560">
        <v>-0.05</v>
      </c>
      <c r="N404" s="606">
        <v>0.6</v>
      </c>
      <c r="O404" s="613">
        <v>0.8</v>
      </c>
      <c r="P404" s="575" t="s">
        <v>3229</v>
      </c>
      <c r="Q404" s="575" t="s">
        <v>3229</v>
      </c>
      <c r="R404" s="575" t="s">
        <v>3229</v>
      </c>
      <c r="S404" s="570"/>
      <c r="T404" s="563" t="s">
        <v>3229</v>
      </c>
      <c r="U404" s="563" t="s">
        <v>3229</v>
      </c>
      <c r="V404" s="563" t="s">
        <v>3229</v>
      </c>
      <c r="W404" s="563" t="s">
        <v>3229</v>
      </c>
      <c r="X404" s="563" t="s">
        <v>3229</v>
      </c>
      <c r="Y404" s="598" t="s">
        <v>3229</v>
      </c>
      <c r="Z404" s="598" t="s">
        <v>3229</v>
      </c>
      <c r="AA404" s="598" t="s">
        <v>3229</v>
      </c>
      <c r="AB404" s="598" t="s">
        <v>3229</v>
      </c>
      <c r="AC404" s="598" t="s">
        <v>3229</v>
      </c>
      <c r="AD404" s="598" t="s">
        <v>3229</v>
      </c>
      <c r="AE404" s="598" t="s">
        <v>3229</v>
      </c>
      <c r="AF404" s="3764" t="s">
        <v>781</v>
      </c>
      <c r="AG404" s="3765"/>
      <c r="AH404" s="1301" t="s">
        <v>3229</v>
      </c>
      <c r="AI404" s="1301" t="s">
        <v>3229</v>
      </c>
      <c r="AJ404" s="1301" t="s">
        <v>3229</v>
      </c>
      <c r="AK404" s="530" t="s">
        <v>3229</v>
      </c>
      <c r="AL404" s="530" t="s">
        <v>3229</v>
      </c>
      <c r="AM404" s="659">
        <v>1</v>
      </c>
      <c r="AN404" s="638">
        <f>'klikací hodnoty'!F12591</f>
        <v>0.12814323333333336</v>
      </c>
      <c r="AO404" s="625">
        <v>11.28</v>
      </c>
      <c r="AP404" s="688">
        <f>+'klikací hodnoty'!E12590</f>
        <v>0.21357205555555561</v>
      </c>
      <c r="AQ404" s="606">
        <f>'klikací hodnoty'!F12571</f>
        <v>0.29018111130966928</v>
      </c>
      <c r="AR404" s="600">
        <f t="shared" si="94"/>
        <v>0.8</v>
      </c>
      <c r="AS404" s="548">
        <f t="shared" si="98"/>
        <v>0.10805103302776464</v>
      </c>
      <c r="AT404" s="548">
        <f>J404*(1+AR404)/AO404-1</f>
        <v>0.59574468085106402</v>
      </c>
      <c r="AU404" s="549" t="e">
        <f>POWER(1+AT404,1/AG404)-1</f>
        <v>#DIV/0!</v>
      </c>
      <c r="AV404" s="558">
        <f t="shared" si="80"/>
        <v>-0.05</v>
      </c>
      <c r="AW404" s="558">
        <f t="shared" si="95"/>
        <v>-8.913671364573883E-3</v>
      </c>
      <c r="AX404" s="589">
        <f t="shared" si="88"/>
        <v>-0.15780141843971629</v>
      </c>
      <c r="AY404" s="587" t="e">
        <f t="shared" si="89"/>
        <v>#DIV/0!</v>
      </c>
      <c r="AZ404" s="676">
        <f t="shared" si="99"/>
        <v>9.5</v>
      </c>
      <c r="BA404" s="581"/>
      <c r="BB404" s="570"/>
      <c r="BC404" s="581"/>
      <c r="BD404" s="3691"/>
      <c r="BE404" s="3743"/>
      <c r="BF404" s="3743"/>
      <c r="BG404" s="3708"/>
      <c r="BH404" s="3762"/>
      <c r="BI404" s="3762"/>
      <c r="BJ404" s="39"/>
      <c r="BK404" s="39"/>
      <c r="BL404" s="39"/>
      <c r="BM404" s="39"/>
      <c r="BN404" s="39"/>
      <c r="BO404" s="39"/>
      <c r="BP404" s="39"/>
      <c r="BQ404" s="39"/>
      <c r="BR404" s="39"/>
      <c r="BS404" s="507"/>
      <c r="BT404" s="507"/>
      <c r="BU404" s="507"/>
      <c r="BV404" s="507"/>
      <c r="BW404" s="507"/>
      <c r="BX404" s="507"/>
      <c r="BY404" s="507"/>
      <c r="BZ404" s="507"/>
      <c r="CA404" s="507"/>
      <c r="CB404" s="507"/>
      <c r="CC404" s="507"/>
      <c r="CD404" s="507"/>
      <c r="CE404" s="507"/>
      <c r="CF404" s="507"/>
      <c r="CG404" s="507"/>
      <c r="CH404" s="507"/>
      <c r="CI404" s="507"/>
      <c r="CJ404" s="507"/>
      <c r="CK404" s="507"/>
      <c r="CL404" s="507"/>
      <c r="CM404" s="507"/>
      <c r="CN404" s="507"/>
      <c r="CO404" s="507"/>
      <c r="CP404" s="507"/>
      <c r="CQ404" s="507"/>
      <c r="CR404" s="507"/>
      <c r="CS404" s="507"/>
      <c r="CT404" s="507"/>
      <c r="CU404" s="507"/>
      <c r="CV404" s="507"/>
      <c r="CW404" s="507"/>
      <c r="CX404" s="507"/>
      <c r="CY404" s="507"/>
      <c r="CZ404" s="507"/>
      <c r="DA404" s="507"/>
      <c r="DB404" s="507"/>
      <c r="DC404" s="507"/>
      <c r="DD404" s="507"/>
      <c r="DE404" s="507"/>
      <c r="DF404" s="507"/>
      <c r="DG404" s="507"/>
      <c r="DH404" s="507"/>
      <c r="DI404" s="507"/>
      <c r="DJ404" s="507"/>
      <c r="DK404" s="507"/>
      <c r="DL404" s="507"/>
      <c r="DM404" s="507"/>
      <c r="DN404" s="507"/>
      <c r="DO404" s="507"/>
      <c r="DP404" s="507"/>
      <c r="DQ404" s="507"/>
      <c r="DR404" s="507"/>
      <c r="DS404" s="507"/>
      <c r="DT404" s="507"/>
      <c r="DU404" s="507"/>
      <c r="DV404" s="507"/>
      <c r="DW404" s="507"/>
      <c r="DX404" s="507"/>
      <c r="DY404" s="507"/>
      <c r="DZ404" s="507"/>
      <c r="EA404" s="507"/>
      <c r="EB404" s="507"/>
      <c r="EC404" s="507"/>
      <c r="ED404" s="507"/>
      <c r="EE404" s="507"/>
      <c r="EF404" s="507"/>
      <c r="EG404" s="507"/>
      <c r="EH404" s="507"/>
      <c r="EI404" s="507"/>
      <c r="EJ404" s="507"/>
      <c r="EK404" s="507"/>
      <c r="EL404" s="507"/>
      <c r="EM404" s="507"/>
      <c r="EN404" s="507"/>
      <c r="EO404" s="507"/>
      <c r="EP404" s="507"/>
      <c r="EQ404" s="507"/>
      <c r="ER404" s="507"/>
      <c r="ES404" s="507"/>
      <c r="ET404" s="507"/>
      <c r="EU404" s="507"/>
      <c r="EV404" s="507"/>
      <c r="EW404" s="507"/>
      <c r="EX404" s="507"/>
      <c r="EY404" s="507"/>
      <c r="EZ404" s="507"/>
      <c r="FA404" s="507"/>
      <c r="FB404" s="507"/>
      <c r="FC404" s="507"/>
      <c r="FD404" s="507"/>
      <c r="FE404" s="507"/>
      <c r="FF404" s="507"/>
      <c r="FG404" s="507"/>
      <c r="FH404" s="507"/>
      <c r="FI404" s="507"/>
      <c r="FJ404" s="507"/>
      <c r="FK404" s="507"/>
      <c r="FL404" s="507"/>
      <c r="FM404" s="507"/>
      <c r="FN404" s="507"/>
      <c r="FO404" s="507"/>
      <c r="FP404" s="507"/>
      <c r="FQ404" s="507"/>
      <c r="FR404" s="507"/>
      <c r="FS404" s="507"/>
      <c r="FT404" s="507"/>
      <c r="FU404" s="507"/>
      <c r="FV404" s="507"/>
      <c r="FW404" s="507"/>
      <c r="FX404" s="507"/>
      <c r="FY404" s="507"/>
      <c r="FZ404" s="507"/>
      <c r="GA404" s="507"/>
      <c r="GB404" s="507"/>
      <c r="GC404" s="507"/>
      <c r="GD404" s="507"/>
      <c r="GE404" s="507"/>
      <c r="GF404" s="507"/>
      <c r="GG404" s="507"/>
      <c r="GH404" s="507"/>
      <c r="GI404" s="507"/>
      <c r="GJ404" s="507"/>
      <c r="GK404" s="507"/>
      <c r="GL404" s="507"/>
      <c r="GM404" s="507"/>
      <c r="GN404" s="507"/>
      <c r="GO404" s="507"/>
      <c r="GP404" s="507"/>
      <c r="GQ404" s="507"/>
      <c r="GR404" s="507"/>
      <c r="GS404" s="507"/>
      <c r="GT404" s="507"/>
      <c r="GU404" s="507"/>
      <c r="GV404" s="507"/>
      <c r="GW404" s="507"/>
      <c r="GX404" s="507"/>
      <c r="GY404" s="507"/>
      <c r="GZ404" s="507"/>
      <c r="HA404" s="507"/>
      <c r="HB404" s="507"/>
      <c r="HC404" s="507"/>
      <c r="HD404" s="507"/>
      <c r="HE404" s="507"/>
      <c r="HF404" s="507"/>
      <c r="HG404" s="507"/>
      <c r="HH404" s="507"/>
      <c r="HI404" s="507"/>
      <c r="HJ404" s="507"/>
      <c r="HK404" s="507"/>
      <c r="HL404" s="507"/>
      <c r="HM404" s="507"/>
      <c r="HN404" s="507"/>
      <c r="HO404" s="507"/>
      <c r="HP404" s="507"/>
      <c r="HQ404" s="507"/>
      <c r="HR404" s="507"/>
      <c r="HS404" s="507"/>
      <c r="HT404" s="507"/>
      <c r="HU404" s="507"/>
      <c r="HV404" s="507"/>
      <c r="HW404" s="507"/>
      <c r="HX404" s="507"/>
      <c r="HY404" s="507"/>
      <c r="HZ404" s="507"/>
    </row>
    <row r="405" spans="1:234" s="206" customFormat="1" ht="13.5" hidden="1" customHeight="1" x14ac:dyDescent="0.25">
      <c r="A405" s="541" t="s">
        <v>5685</v>
      </c>
      <c r="B405" s="523" t="s">
        <v>5686</v>
      </c>
      <c r="C405" s="524" t="s">
        <v>5687</v>
      </c>
      <c r="D405" s="551" t="s">
        <v>189</v>
      </c>
      <c r="E405" s="569" t="s">
        <v>1743</v>
      </c>
      <c r="F405" s="543">
        <v>41586</v>
      </c>
      <c r="G405" s="544">
        <v>41519</v>
      </c>
      <c r="H405" s="544">
        <v>41578</v>
      </c>
      <c r="I405" s="616">
        <v>43677</v>
      </c>
      <c r="J405" s="579">
        <v>10</v>
      </c>
      <c r="K405" s="553" t="s">
        <v>3229</v>
      </c>
      <c r="L405" s="552" t="s">
        <v>3229</v>
      </c>
      <c r="M405" s="560">
        <v>-0.05</v>
      </c>
      <c r="N405" s="606">
        <v>1</v>
      </c>
      <c r="O405" s="613">
        <v>0.8</v>
      </c>
      <c r="P405" s="575" t="s">
        <v>3229</v>
      </c>
      <c r="Q405" s="575" t="s">
        <v>3229</v>
      </c>
      <c r="R405" s="575" t="s">
        <v>3229</v>
      </c>
      <c r="S405" s="570"/>
      <c r="T405" s="563" t="s">
        <v>3229</v>
      </c>
      <c r="U405" s="563" t="s">
        <v>3229</v>
      </c>
      <c r="V405" s="563" t="s">
        <v>3229</v>
      </c>
      <c r="W405" s="563" t="s">
        <v>3229</v>
      </c>
      <c r="X405" s="563" t="s">
        <v>3229</v>
      </c>
      <c r="Y405" s="598" t="s">
        <v>3229</v>
      </c>
      <c r="Z405" s="598" t="s">
        <v>3229</v>
      </c>
      <c r="AA405" s="598" t="s">
        <v>3229</v>
      </c>
      <c r="AB405" s="598" t="s">
        <v>3229</v>
      </c>
      <c r="AC405" s="598" t="s">
        <v>3229</v>
      </c>
      <c r="AD405" s="598" t="s">
        <v>3229</v>
      </c>
      <c r="AE405" s="598" t="s">
        <v>3229</v>
      </c>
      <c r="AF405" s="3764" t="s">
        <v>781</v>
      </c>
      <c r="AG405" s="3765"/>
      <c r="AH405" s="1301" t="s">
        <v>3229</v>
      </c>
      <c r="AI405" s="1301" t="s">
        <v>3229</v>
      </c>
      <c r="AJ405" s="1301" t="s">
        <v>3229</v>
      </c>
      <c r="AK405" s="530" t="s">
        <v>3229</v>
      </c>
      <c r="AL405" s="530" t="s">
        <v>3229</v>
      </c>
      <c r="AM405" s="659">
        <v>1</v>
      </c>
      <c r="AN405" s="638">
        <f>'klikací hodnoty'!F12536</f>
        <v>0.15007994444444445</v>
      </c>
      <c r="AO405" s="625">
        <v>11.5</v>
      </c>
      <c r="AP405" s="688">
        <f>'klikací hodnoty'!F12536</f>
        <v>0.15007994444444445</v>
      </c>
      <c r="AQ405" s="606">
        <f>'klikací hodnoty'!F12516</f>
        <v>0.13906936407946133</v>
      </c>
      <c r="AR405" s="600">
        <f t="shared" si="94"/>
        <v>0.8</v>
      </c>
      <c r="AS405" s="548">
        <f t="shared" si="98"/>
        <v>0.10805103302776464</v>
      </c>
      <c r="AT405" s="548">
        <f>J405*(1+AR405)/AO405-1</f>
        <v>0.56521739130434789</v>
      </c>
      <c r="AU405" s="549" t="e">
        <f>POWER(1+AT405,1/AG405)-1</f>
        <v>#DIV/0!</v>
      </c>
      <c r="AV405" s="558">
        <v>0.15010000000000001</v>
      </c>
      <c r="AW405" s="558">
        <f t="shared" si="95"/>
        <v>2.4712096220940616E-2</v>
      </c>
      <c r="AX405" s="589">
        <f t="shared" si="88"/>
        <v>8.6956521739178783E-5</v>
      </c>
      <c r="AY405" s="587" t="e">
        <f t="shared" si="89"/>
        <v>#DIV/0!</v>
      </c>
      <c r="AZ405" s="676">
        <f t="shared" si="99"/>
        <v>11.501000000000001</v>
      </c>
      <c r="BA405" s="581"/>
      <c r="BB405" s="570"/>
      <c r="BC405" s="581"/>
      <c r="BD405" s="3691"/>
      <c r="BE405" s="3743"/>
      <c r="BF405" s="3743"/>
      <c r="BG405" s="3708"/>
      <c r="BH405" s="3762"/>
      <c r="BI405" s="3762"/>
      <c r="BJ405" s="39"/>
      <c r="BK405" s="39"/>
      <c r="BL405" s="39"/>
      <c r="BM405" s="39"/>
      <c r="BN405" s="39"/>
      <c r="BO405" s="39"/>
      <c r="BP405" s="39"/>
      <c r="BQ405" s="39"/>
      <c r="BR405" s="39"/>
      <c r="BS405" s="507"/>
      <c r="BT405" s="507"/>
      <c r="BU405" s="507"/>
      <c r="BV405" s="507"/>
      <c r="BW405" s="507"/>
      <c r="BX405" s="507"/>
      <c r="BY405" s="507"/>
      <c r="BZ405" s="507"/>
      <c r="CA405" s="507"/>
      <c r="CB405" s="507"/>
      <c r="CC405" s="507"/>
      <c r="CD405" s="507"/>
      <c r="CE405" s="507"/>
      <c r="CF405" s="507"/>
      <c r="CG405" s="507"/>
      <c r="CH405" s="507"/>
      <c r="CI405" s="507"/>
      <c r="CJ405" s="507"/>
      <c r="CK405" s="507"/>
      <c r="CL405" s="507"/>
      <c r="CM405" s="507"/>
      <c r="CN405" s="507"/>
      <c r="CO405" s="507"/>
      <c r="CP405" s="507"/>
      <c r="CQ405" s="507"/>
      <c r="CR405" s="507"/>
      <c r="CS405" s="507"/>
      <c r="CT405" s="507"/>
      <c r="CU405" s="507"/>
      <c r="CV405" s="507"/>
      <c r="CW405" s="507"/>
      <c r="CX405" s="507"/>
      <c r="CY405" s="507"/>
      <c r="CZ405" s="507"/>
      <c r="DA405" s="507"/>
      <c r="DB405" s="507"/>
      <c r="DC405" s="507"/>
      <c r="DD405" s="507"/>
      <c r="DE405" s="507"/>
      <c r="DF405" s="507"/>
      <c r="DG405" s="507"/>
      <c r="DH405" s="507"/>
      <c r="DI405" s="507"/>
      <c r="DJ405" s="507"/>
      <c r="DK405" s="507"/>
      <c r="DL405" s="507"/>
      <c r="DM405" s="507"/>
      <c r="DN405" s="507"/>
      <c r="DO405" s="507"/>
      <c r="DP405" s="507"/>
      <c r="DQ405" s="507"/>
      <c r="DR405" s="507"/>
      <c r="DS405" s="507"/>
      <c r="DT405" s="507"/>
      <c r="DU405" s="507"/>
      <c r="DV405" s="507"/>
      <c r="DW405" s="507"/>
      <c r="DX405" s="507"/>
      <c r="DY405" s="507"/>
      <c r="DZ405" s="507"/>
      <c r="EA405" s="507"/>
      <c r="EB405" s="507"/>
      <c r="EC405" s="507"/>
      <c r="ED405" s="507"/>
      <c r="EE405" s="507"/>
      <c r="EF405" s="507"/>
      <c r="EG405" s="507"/>
      <c r="EH405" s="507"/>
      <c r="EI405" s="507"/>
      <c r="EJ405" s="507"/>
      <c r="EK405" s="507"/>
      <c r="EL405" s="507"/>
      <c r="EM405" s="507"/>
      <c r="EN405" s="507"/>
      <c r="EO405" s="507"/>
      <c r="EP405" s="507"/>
      <c r="EQ405" s="507"/>
      <c r="ER405" s="507"/>
      <c r="ES405" s="507"/>
      <c r="ET405" s="507"/>
      <c r="EU405" s="507"/>
      <c r="EV405" s="507"/>
      <c r="EW405" s="507"/>
      <c r="EX405" s="507"/>
      <c r="EY405" s="507"/>
      <c r="EZ405" s="507"/>
      <c r="FA405" s="507"/>
      <c r="FB405" s="507"/>
      <c r="FC405" s="507"/>
      <c r="FD405" s="507"/>
      <c r="FE405" s="507"/>
      <c r="FF405" s="507"/>
      <c r="FG405" s="507"/>
      <c r="FH405" s="507"/>
      <c r="FI405" s="507"/>
      <c r="FJ405" s="507"/>
      <c r="FK405" s="507"/>
      <c r="FL405" s="507"/>
      <c r="FM405" s="507"/>
      <c r="FN405" s="507"/>
      <c r="FO405" s="507"/>
      <c r="FP405" s="507"/>
      <c r="FQ405" s="507"/>
      <c r="FR405" s="507"/>
      <c r="FS405" s="507"/>
      <c r="FT405" s="507"/>
      <c r="FU405" s="507"/>
      <c r="FV405" s="507"/>
      <c r="FW405" s="507"/>
      <c r="FX405" s="507"/>
      <c r="FY405" s="507"/>
      <c r="FZ405" s="507"/>
      <c r="GA405" s="507"/>
      <c r="GB405" s="507"/>
      <c r="GC405" s="507"/>
      <c r="GD405" s="507"/>
      <c r="GE405" s="507"/>
      <c r="GF405" s="507"/>
      <c r="GG405" s="507"/>
      <c r="GH405" s="507"/>
      <c r="GI405" s="507"/>
      <c r="GJ405" s="507"/>
      <c r="GK405" s="507"/>
      <c r="GL405" s="507"/>
      <c r="GM405" s="507"/>
      <c r="GN405" s="507"/>
      <c r="GO405" s="507"/>
      <c r="GP405" s="507"/>
      <c r="GQ405" s="507"/>
      <c r="GR405" s="507"/>
      <c r="GS405" s="507"/>
      <c r="GT405" s="507"/>
      <c r="GU405" s="507"/>
      <c r="GV405" s="507"/>
      <c r="GW405" s="507"/>
      <c r="GX405" s="507"/>
      <c r="GY405" s="507"/>
      <c r="GZ405" s="507"/>
      <c r="HA405" s="507"/>
      <c r="HB405" s="507"/>
      <c r="HC405" s="507"/>
      <c r="HD405" s="507"/>
      <c r="HE405" s="507"/>
      <c r="HF405" s="507"/>
      <c r="HG405" s="507"/>
      <c r="HH405" s="507"/>
      <c r="HI405" s="507"/>
      <c r="HJ405" s="507"/>
      <c r="HK405" s="507"/>
      <c r="HL405" s="507"/>
      <c r="HM405" s="507"/>
      <c r="HN405" s="507"/>
      <c r="HO405" s="507"/>
      <c r="HP405" s="507"/>
      <c r="HQ405" s="507"/>
      <c r="HR405" s="507"/>
      <c r="HS405" s="507"/>
      <c r="HT405" s="507"/>
      <c r="HU405" s="507"/>
      <c r="HV405" s="507"/>
      <c r="HW405" s="507"/>
      <c r="HX405" s="507"/>
      <c r="HY405" s="507"/>
      <c r="HZ405" s="507"/>
    </row>
    <row r="406" spans="1:234" s="206" customFormat="1" ht="13.5" hidden="1" customHeight="1" x14ac:dyDescent="0.25">
      <c r="A406" s="541" t="s">
        <v>6657</v>
      </c>
      <c r="B406" s="523" t="s">
        <v>5688</v>
      </c>
      <c r="C406" s="524" t="s">
        <v>5694</v>
      </c>
      <c r="D406" s="551" t="s">
        <v>5692</v>
      </c>
      <c r="E406" s="569" t="s">
        <v>3228</v>
      </c>
      <c r="F406" s="543">
        <v>41563</v>
      </c>
      <c r="G406" s="544">
        <v>41519</v>
      </c>
      <c r="H406" s="544">
        <v>41551</v>
      </c>
      <c r="I406" s="616">
        <v>43553</v>
      </c>
      <c r="J406" s="579">
        <v>10</v>
      </c>
      <c r="K406" s="553" t="s">
        <v>3229</v>
      </c>
      <c r="L406" s="552" t="s">
        <v>3229</v>
      </c>
      <c r="M406" s="560">
        <v>0.02</v>
      </c>
      <c r="N406" s="606" t="s">
        <v>3229</v>
      </c>
      <c r="O406" s="613">
        <v>0.26</v>
      </c>
      <c r="P406" s="575" t="s">
        <v>3229</v>
      </c>
      <c r="Q406" s="575">
        <v>0.02</v>
      </c>
      <c r="R406" s="575" t="s">
        <v>3229</v>
      </c>
      <c r="S406" s="570">
        <v>5</v>
      </c>
      <c r="T406" s="563">
        <v>41913</v>
      </c>
      <c r="U406" s="563">
        <v>42278</v>
      </c>
      <c r="V406" s="563">
        <v>42644</v>
      </c>
      <c r="W406" s="563">
        <v>43009</v>
      </c>
      <c r="X406" s="563">
        <v>43497</v>
      </c>
      <c r="Y406" s="598" t="s">
        <v>3229</v>
      </c>
      <c r="Z406" s="598" t="s">
        <v>3229</v>
      </c>
      <c r="AA406" s="598" t="s">
        <v>3229</v>
      </c>
      <c r="AB406" s="598" t="s">
        <v>3229</v>
      </c>
      <c r="AC406" s="598" t="s">
        <v>3229</v>
      </c>
      <c r="AD406" s="598" t="s">
        <v>3229</v>
      </c>
      <c r="AE406" s="598" t="s">
        <v>3229</v>
      </c>
      <c r="AF406" s="3764" t="s">
        <v>781</v>
      </c>
      <c r="AG406" s="3765"/>
      <c r="AH406" s="1301" t="s">
        <v>3229</v>
      </c>
      <c r="AI406" s="1301" t="s">
        <v>3229</v>
      </c>
      <c r="AJ406" s="1301" t="s">
        <v>3229</v>
      </c>
      <c r="AK406" s="530" t="s">
        <v>3229</v>
      </c>
      <c r="AL406" s="530" t="s">
        <v>3229</v>
      </c>
      <c r="AM406" s="659">
        <v>1</v>
      </c>
      <c r="AN406" s="638">
        <f>'klikací hodnoty'!F12291</f>
        <v>0.02</v>
      </c>
      <c r="AO406" s="625">
        <v>10.199999999999999</v>
      </c>
      <c r="AP406" s="688">
        <f>'klikací hodnoty'!F12283</f>
        <v>-8.0842651552761269E-2</v>
      </c>
      <c r="AQ406" s="606">
        <f>'klikací hodnoty'!E12283</f>
        <v>0.13033852385223282</v>
      </c>
      <c r="AR406" s="600">
        <f t="shared" si="94"/>
        <v>0.26</v>
      </c>
      <c r="AS406" s="548">
        <f t="shared" si="98"/>
        <v>4.330111818383986E-2</v>
      </c>
      <c r="AT406" s="548">
        <f t="shared" si="96"/>
        <v>0.23529411764705888</v>
      </c>
      <c r="AU406" s="549" t="e">
        <f t="shared" si="97"/>
        <v>#DIV/0!</v>
      </c>
      <c r="AV406" s="558">
        <f t="shared" ref="AV406:AV448" si="100">M406</f>
        <v>0.02</v>
      </c>
      <c r="AW406" s="558">
        <f t="shared" si="95"/>
        <v>3.6387443970078426E-3</v>
      </c>
      <c r="AX406" s="589">
        <f t="shared" si="88"/>
        <v>0</v>
      </c>
      <c r="AY406" s="587" t="e">
        <f t="shared" si="89"/>
        <v>#DIV/0!</v>
      </c>
      <c r="AZ406" s="676">
        <f t="shared" si="99"/>
        <v>10.199999999999999</v>
      </c>
      <c r="BA406" s="581"/>
      <c r="BB406" s="570"/>
      <c r="BC406" s="581"/>
      <c r="BD406" s="3691"/>
      <c r="BE406" s="3743"/>
      <c r="BF406" s="3743"/>
      <c r="BG406" s="3708"/>
      <c r="BH406" s="3762"/>
      <c r="BI406" s="3762"/>
      <c r="BJ406" s="39"/>
      <c r="BK406" s="39"/>
      <c r="BL406" s="39"/>
      <c r="BM406" s="39"/>
      <c r="BN406" s="39"/>
      <c r="BO406" s="39"/>
      <c r="BP406" s="39"/>
      <c r="BQ406" s="39"/>
      <c r="BR406" s="39"/>
      <c r="BS406" s="507"/>
      <c r="BT406" s="507"/>
      <c r="BU406" s="507"/>
      <c r="BV406" s="507"/>
      <c r="BW406" s="507"/>
      <c r="BX406" s="507"/>
      <c r="BY406" s="507"/>
      <c r="BZ406" s="507"/>
      <c r="CA406" s="507"/>
      <c r="CB406" s="507"/>
      <c r="CC406" s="507"/>
      <c r="CD406" s="507"/>
      <c r="CE406" s="507"/>
      <c r="CF406" s="507"/>
      <c r="CG406" s="507"/>
      <c r="CH406" s="507"/>
      <c r="CI406" s="507"/>
      <c r="CJ406" s="507"/>
      <c r="CK406" s="507"/>
      <c r="CL406" s="507"/>
      <c r="CM406" s="507"/>
      <c r="CN406" s="507"/>
      <c r="CO406" s="507"/>
      <c r="CP406" s="507"/>
      <c r="CQ406" s="507"/>
      <c r="CR406" s="507"/>
      <c r="CS406" s="507"/>
      <c r="CT406" s="507"/>
      <c r="CU406" s="507"/>
      <c r="CV406" s="507"/>
      <c r="CW406" s="507"/>
      <c r="CX406" s="507"/>
      <c r="CY406" s="507"/>
      <c r="CZ406" s="507"/>
      <c r="DA406" s="507"/>
      <c r="DB406" s="507"/>
      <c r="DC406" s="507"/>
      <c r="DD406" s="507"/>
      <c r="DE406" s="507"/>
      <c r="DF406" s="507"/>
      <c r="DG406" s="507"/>
      <c r="DH406" s="507"/>
      <c r="DI406" s="507"/>
      <c r="DJ406" s="507"/>
      <c r="DK406" s="507"/>
      <c r="DL406" s="507"/>
      <c r="DM406" s="507"/>
      <c r="DN406" s="507"/>
      <c r="DO406" s="507"/>
      <c r="DP406" s="507"/>
      <c r="DQ406" s="507"/>
      <c r="DR406" s="507"/>
      <c r="DS406" s="507"/>
      <c r="DT406" s="507"/>
      <c r="DU406" s="507"/>
      <c r="DV406" s="507"/>
      <c r="DW406" s="507"/>
      <c r="DX406" s="507"/>
      <c r="DY406" s="507"/>
      <c r="DZ406" s="507"/>
      <c r="EA406" s="507"/>
      <c r="EB406" s="507"/>
      <c r="EC406" s="507"/>
      <c r="ED406" s="507"/>
      <c r="EE406" s="507"/>
      <c r="EF406" s="507"/>
      <c r="EG406" s="507"/>
      <c r="EH406" s="507"/>
      <c r="EI406" s="507"/>
      <c r="EJ406" s="507"/>
      <c r="EK406" s="507"/>
      <c r="EL406" s="507"/>
      <c r="EM406" s="507"/>
      <c r="EN406" s="507"/>
      <c r="EO406" s="507"/>
      <c r="EP406" s="507"/>
      <c r="EQ406" s="507"/>
      <c r="ER406" s="507"/>
      <c r="ES406" s="507"/>
      <c r="ET406" s="507"/>
      <c r="EU406" s="507"/>
      <c r="EV406" s="507"/>
      <c r="EW406" s="507"/>
      <c r="EX406" s="507"/>
      <c r="EY406" s="507"/>
      <c r="EZ406" s="507"/>
      <c r="FA406" s="507"/>
      <c r="FB406" s="507"/>
      <c r="FC406" s="507"/>
      <c r="FD406" s="507"/>
      <c r="FE406" s="507"/>
      <c r="FF406" s="507"/>
      <c r="FG406" s="507"/>
      <c r="FH406" s="507"/>
      <c r="FI406" s="507"/>
      <c r="FJ406" s="507"/>
      <c r="FK406" s="507"/>
      <c r="FL406" s="507"/>
      <c r="FM406" s="507"/>
      <c r="FN406" s="507"/>
      <c r="FO406" s="507"/>
      <c r="FP406" s="507"/>
      <c r="FQ406" s="507"/>
      <c r="FR406" s="507"/>
      <c r="FS406" s="507"/>
      <c r="FT406" s="507"/>
      <c r="FU406" s="507"/>
      <c r="FV406" s="507"/>
      <c r="FW406" s="507"/>
      <c r="FX406" s="507"/>
      <c r="FY406" s="507"/>
      <c r="FZ406" s="507"/>
      <c r="GA406" s="507"/>
      <c r="GB406" s="507"/>
      <c r="GC406" s="507"/>
      <c r="GD406" s="507"/>
      <c r="GE406" s="507"/>
      <c r="GF406" s="507"/>
      <c r="GG406" s="507"/>
      <c r="GH406" s="507"/>
      <c r="GI406" s="507"/>
      <c r="GJ406" s="507"/>
      <c r="GK406" s="507"/>
      <c r="GL406" s="507"/>
      <c r="GM406" s="507"/>
      <c r="GN406" s="507"/>
      <c r="GO406" s="507"/>
      <c r="GP406" s="507"/>
      <c r="GQ406" s="507"/>
      <c r="GR406" s="507"/>
      <c r="GS406" s="507"/>
      <c r="GT406" s="507"/>
      <c r="GU406" s="507"/>
      <c r="GV406" s="507"/>
      <c r="GW406" s="507"/>
      <c r="GX406" s="507"/>
      <c r="GY406" s="507"/>
      <c r="GZ406" s="507"/>
      <c r="HA406" s="507"/>
      <c r="HB406" s="507"/>
      <c r="HC406" s="507"/>
      <c r="HD406" s="507"/>
      <c r="HE406" s="507"/>
      <c r="HF406" s="507"/>
      <c r="HG406" s="507"/>
      <c r="HH406" s="507"/>
      <c r="HI406" s="507"/>
      <c r="HJ406" s="507"/>
      <c r="HK406" s="507"/>
      <c r="HL406" s="507"/>
      <c r="HM406" s="507"/>
      <c r="HN406" s="507"/>
      <c r="HO406" s="507"/>
      <c r="HP406" s="507"/>
      <c r="HQ406" s="507"/>
      <c r="HR406" s="507"/>
      <c r="HS406" s="507"/>
      <c r="HT406" s="507"/>
      <c r="HU406" s="507"/>
      <c r="HV406" s="507"/>
      <c r="HW406" s="507"/>
      <c r="HX406" s="507"/>
      <c r="HY406" s="507"/>
      <c r="HZ406" s="507"/>
    </row>
    <row r="407" spans="1:234" s="206" customFormat="1" ht="13.5" hidden="1" customHeight="1" x14ac:dyDescent="0.25">
      <c r="A407" s="541" t="s">
        <v>5689</v>
      </c>
      <c r="B407" s="523" t="s">
        <v>5690</v>
      </c>
      <c r="C407" s="524" t="s">
        <v>5691</v>
      </c>
      <c r="D407" s="551" t="s">
        <v>5693</v>
      </c>
      <c r="E407" s="569" t="s">
        <v>3228</v>
      </c>
      <c r="F407" s="543">
        <v>41596</v>
      </c>
      <c r="G407" s="544">
        <v>41548</v>
      </c>
      <c r="H407" s="544">
        <v>41583</v>
      </c>
      <c r="I407" s="616">
        <v>43677</v>
      </c>
      <c r="J407" s="579">
        <v>10</v>
      </c>
      <c r="K407" s="553" t="s">
        <v>3229</v>
      </c>
      <c r="L407" s="552" t="s">
        <v>3229</v>
      </c>
      <c r="M407" s="560">
        <v>-0.05</v>
      </c>
      <c r="N407" s="606">
        <v>0.6</v>
      </c>
      <c r="O407" s="613">
        <v>0.8</v>
      </c>
      <c r="P407" s="575" t="s">
        <v>3229</v>
      </c>
      <c r="Q407" s="575" t="s">
        <v>3229</v>
      </c>
      <c r="R407" s="575" t="s">
        <v>3229</v>
      </c>
      <c r="S407" s="570"/>
      <c r="T407" s="563" t="s">
        <v>3229</v>
      </c>
      <c r="U407" s="563" t="s">
        <v>3229</v>
      </c>
      <c r="V407" s="563" t="s">
        <v>3229</v>
      </c>
      <c r="W407" s="563" t="s">
        <v>3229</v>
      </c>
      <c r="X407" s="563" t="s">
        <v>3229</v>
      </c>
      <c r="Y407" s="598" t="s">
        <v>3229</v>
      </c>
      <c r="Z407" s="598" t="s">
        <v>3229</v>
      </c>
      <c r="AA407" s="598" t="s">
        <v>3229</v>
      </c>
      <c r="AB407" s="598" t="s">
        <v>3229</v>
      </c>
      <c r="AC407" s="598" t="s">
        <v>3229</v>
      </c>
      <c r="AD407" s="598" t="s">
        <v>3229</v>
      </c>
      <c r="AE407" s="598" t="s">
        <v>3229</v>
      </c>
      <c r="AF407" s="3764" t="s">
        <v>781</v>
      </c>
      <c r="AG407" s="3765"/>
      <c r="AH407" s="1301" t="s">
        <v>3229</v>
      </c>
      <c r="AI407" s="1301" t="s">
        <v>3229</v>
      </c>
      <c r="AJ407" s="1301" t="s">
        <v>3229</v>
      </c>
      <c r="AK407" s="530" t="s">
        <v>3229</v>
      </c>
      <c r="AL407" s="530" t="s">
        <v>3229</v>
      </c>
      <c r="AM407" s="659">
        <v>1</v>
      </c>
      <c r="AN407" s="638">
        <f>'klikací hodnoty'!F12417</f>
        <v>0.36520660000000005</v>
      </c>
      <c r="AO407" s="625">
        <v>13.65</v>
      </c>
      <c r="AP407" s="688">
        <f>'klikací hodnoty'!F12416</f>
        <v>0.60867766666666678</v>
      </c>
      <c r="AQ407" s="606">
        <f>'klikací hodnoty'!F12397</f>
        <v>0.60454243958358989</v>
      </c>
      <c r="AR407" s="600">
        <f t="shared" si="94"/>
        <v>0.8</v>
      </c>
      <c r="AS407" s="548">
        <f t="shared" si="98"/>
        <v>0.10859748665261182</v>
      </c>
      <c r="AT407" s="548">
        <f>J407*(1+AR407)/AO407-1</f>
        <v>0.31868131868131866</v>
      </c>
      <c r="AU407" s="549" t="e">
        <f>POWER(1+AT407,1/AG407)-1</f>
        <v>#DIV/0!</v>
      </c>
      <c r="AV407" s="558">
        <f>M407</f>
        <v>-0.05</v>
      </c>
      <c r="AW407" s="558">
        <f>POWER(1+AV407,1/((I407-F407)/365))-1</f>
        <v>-8.9563125713575387E-3</v>
      </c>
      <c r="AX407" s="589">
        <f t="shared" si="88"/>
        <v>-0.30402930402930406</v>
      </c>
      <c r="AY407" s="587" t="e">
        <f t="shared" si="89"/>
        <v>#DIV/0!</v>
      </c>
      <c r="AZ407" s="676">
        <f t="shared" si="99"/>
        <v>9.5</v>
      </c>
      <c r="BA407" s="581"/>
      <c r="BB407" s="570"/>
      <c r="BC407" s="581"/>
      <c r="BD407" s="3691"/>
      <c r="BE407" s="3743"/>
      <c r="BF407" s="3743"/>
      <c r="BG407" s="3708"/>
      <c r="BH407" s="3762"/>
      <c r="BI407" s="3762"/>
      <c r="BJ407" s="39"/>
      <c r="BK407" s="39"/>
      <c r="BL407" s="39"/>
      <c r="BM407" s="39"/>
      <c r="BN407" s="39"/>
      <c r="BO407" s="39"/>
      <c r="BP407" s="39"/>
      <c r="BQ407" s="39"/>
      <c r="BR407" s="39"/>
      <c r="BS407" s="507"/>
      <c r="BT407" s="507"/>
      <c r="BU407" s="507"/>
      <c r="BV407" s="507"/>
      <c r="BW407" s="507"/>
      <c r="BX407" s="507"/>
      <c r="BY407" s="507"/>
      <c r="BZ407" s="507"/>
      <c r="CA407" s="507"/>
      <c r="CB407" s="507"/>
      <c r="CC407" s="507"/>
      <c r="CD407" s="507"/>
      <c r="CE407" s="507"/>
      <c r="CF407" s="507"/>
      <c r="CG407" s="507"/>
      <c r="CH407" s="507"/>
      <c r="CI407" s="507"/>
      <c r="CJ407" s="507"/>
      <c r="CK407" s="507"/>
      <c r="CL407" s="507"/>
      <c r="CM407" s="507"/>
      <c r="CN407" s="507"/>
      <c r="CO407" s="507"/>
      <c r="CP407" s="507"/>
      <c r="CQ407" s="507"/>
      <c r="CR407" s="507"/>
      <c r="CS407" s="507"/>
      <c r="CT407" s="507"/>
      <c r="CU407" s="507"/>
      <c r="CV407" s="507"/>
      <c r="CW407" s="507"/>
      <c r="CX407" s="507"/>
      <c r="CY407" s="507"/>
      <c r="CZ407" s="507"/>
      <c r="DA407" s="507"/>
      <c r="DB407" s="507"/>
      <c r="DC407" s="507"/>
      <c r="DD407" s="507"/>
      <c r="DE407" s="507"/>
      <c r="DF407" s="507"/>
      <c r="DG407" s="507"/>
      <c r="DH407" s="507"/>
      <c r="DI407" s="507"/>
      <c r="DJ407" s="507"/>
      <c r="DK407" s="507"/>
      <c r="DL407" s="507"/>
      <c r="DM407" s="507"/>
      <c r="DN407" s="507"/>
      <c r="DO407" s="507"/>
      <c r="DP407" s="507"/>
      <c r="DQ407" s="507"/>
      <c r="DR407" s="507"/>
      <c r="DS407" s="507"/>
      <c r="DT407" s="507"/>
      <c r="DU407" s="507"/>
      <c r="DV407" s="507"/>
      <c r="DW407" s="507"/>
      <c r="DX407" s="507"/>
      <c r="DY407" s="507"/>
      <c r="DZ407" s="507"/>
      <c r="EA407" s="507"/>
      <c r="EB407" s="507"/>
      <c r="EC407" s="507"/>
      <c r="ED407" s="507"/>
      <c r="EE407" s="507"/>
      <c r="EF407" s="507"/>
      <c r="EG407" s="507"/>
      <c r="EH407" s="507"/>
      <c r="EI407" s="507"/>
      <c r="EJ407" s="507"/>
      <c r="EK407" s="507"/>
      <c r="EL407" s="507"/>
      <c r="EM407" s="507"/>
      <c r="EN407" s="507"/>
      <c r="EO407" s="507"/>
      <c r="EP407" s="507"/>
      <c r="EQ407" s="507"/>
      <c r="ER407" s="507"/>
      <c r="ES407" s="507"/>
      <c r="ET407" s="507"/>
      <c r="EU407" s="507"/>
      <c r="EV407" s="507"/>
      <c r="EW407" s="507"/>
      <c r="EX407" s="507"/>
      <c r="EY407" s="507"/>
      <c r="EZ407" s="507"/>
      <c r="FA407" s="507"/>
      <c r="FB407" s="507"/>
      <c r="FC407" s="507"/>
      <c r="FD407" s="507"/>
      <c r="FE407" s="507"/>
      <c r="FF407" s="507"/>
      <c r="FG407" s="507"/>
      <c r="FH407" s="507"/>
      <c r="FI407" s="507"/>
      <c r="FJ407" s="507"/>
      <c r="FK407" s="507"/>
      <c r="FL407" s="507"/>
      <c r="FM407" s="507"/>
      <c r="FN407" s="507"/>
      <c r="FO407" s="507"/>
      <c r="FP407" s="507"/>
      <c r="FQ407" s="507"/>
      <c r="FR407" s="507"/>
      <c r="FS407" s="507"/>
      <c r="FT407" s="507"/>
      <c r="FU407" s="507"/>
      <c r="FV407" s="507"/>
      <c r="FW407" s="507"/>
      <c r="FX407" s="507"/>
      <c r="FY407" s="507"/>
      <c r="FZ407" s="507"/>
      <c r="GA407" s="507"/>
      <c r="GB407" s="507"/>
      <c r="GC407" s="507"/>
      <c r="GD407" s="507"/>
      <c r="GE407" s="507"/>
      <c r="GF407" s="507"/>
      <c r="GG407" s="507"/>
      <c r="GH407" s="507"/>
      <c r="GI407" s="507"/>
      <c r="GJ407" s="507"/>
      <c r="GK407" s="507"/>
      <c r="GL407" s="507"/>
      <c r="GM407" s="507"/>
      <c r="GN407" s="507"/>
      <c r="GO407" s="507"/>
      <c r="GP407" s="507"/>
      <c r="GQ407" s="507"/>
      <c r="GR407" s="507"/>
      <c r="GS407" s="507"/>
      <c r="GT407" s="507"/>
      <c r="GU407" s="507"/>
      <c r="GV407" s="507"/>
      <c r="GW407" s="507"/>
      <c r="GX407" s="507"/>
      <c r="GY407" s="507"/>
      <c r="GZ407" s="507"/>
      <c r="HA407" s="507"/>
      <c r="HB407" s="507"/>
      <c r="HC407" s="507"/>
      <c r="HD407" s="507"/>
      <c r="HE407" s="507"/>
      <c r="HF407" s="507"/>
      <c r="HG407" s="507"/>
      <c r="HH407" s="507"/>
      <c r="HI407" s="507"/>
      <c r="HJ407" s="507"/>
      <c r="HK407" s="507"/>
      <c r="HL407" s="507"/>
      <c r="HM407" s="507"/>
      <c r="HN407" s="507"/>
      <c r="HO407" s="507"/>
      <c r="HP407" s="507"/>
      <c r="HQ407" s="507"/>
      <c r="HR407" s="507"/>
      <c r="HS407" s="507"/>
      <c r="HT407" s="507"/>
      <c r="HU407" s="507"/>
      <c r="HV407" s="507"/>
      <c r="HW407" s="507"/>
      <c r="HX407" s="507"/>
      <c r="HY407" s="507"/>
      <c r="HZ407" s="507"/>
    </row>
    <row r="408" spans="1:234" s="206" customFormat="1" ht="13.5" hidden="1" customHeight="1" x14ac:dyDescent="0.25">
      <c r="A408" s="541" t="s">
        <v>5696</v>
      </c>
      <c r="B408" s="523" t="s">
        <v>5695</v>
      </c>
      <c r="C408" s="524" t="s">
        <v>5697</v>
      </c>
      <c r="D408" s="551" t="s">
        <v>2158</v>
      </c>
      <c r="E408" s="569" t="s">
        <v>3228</v>
      </c>
      <c r="F408" s="543">
        <v>41614</v>
      </c>
      <c r="G408" s="544">
        <v>41548</v>
      </c>
      <c r="H408" s="544">
        <v>41607</v>
      </c>
      <c r="I408" s="616">
        <v>43707</v>
      </c>
      <c r="J408" s="579">
        <v>10</v>
      </c>
      <c r="K408" s="553" t="s">
        <v>3229</v>
      </c>
      <c r="L408" s="552" t="s">
        <v>3229</v>
      </c>
      <c r="M408" s="560">
        <v>0</v>
      </c>
      <c r="N408" s="606">
        <v>0.6</v>
      </c>
      <c r="O408" s="613" t="s">
        <v>3229</v>
      </c>
      <c r="P408" s="575" t="s">
        <v>3229</v>
      </c>
      <c r="Q408" s="575" t="s">
        <v>3229</v>
      </c>
      <c r="R408" s="575" t="s">
        <v>3229</v>
      </c>
      <c r="S408" s="570"/>
      <c r="T408" s="563" t="s">
        <v>3229</v>
      </c>
      <c r="U408" s="563" t="s">
        <v>3229</v>
      </c>
      <c r="V408" s="563" t="s">
        <v>3229</v>
      </c>
      <c r="W408" s="563" t="s">
        <v>3229</v>
      </c>
      <c r="X408" s="563" t="s">
        <v>3229</v>
      </c>
      <c r="Y408" s="598" t="s">
        <v>3229</v>
      </c>
      <c r="Z408" s="598" t="s">
        <v>3229</v>
      </c>
      <c r="AA408" s="598" t="s">
        <v>3229</v>
      </c>
      <c r="AB408" s="598" t="s">
        <v>3229</v>
      </c>
      <c r="AC408" s="598" t="s">
        <v>3229</v>
      </c>
      <c r="AD408" s="598" t="s">
        <v>3229</v>
      </c>
      <c r="AE408" s="598" t="s">
        <v>3229</v>
      </c>
      <c r="AF408" s="3764" t="s">
        <v>781</v>
      </c>
      <c r="AG408" s="3765"/>
      <c r="AH408" s="1301" t="s">
        <v>3229</v>
      </c>
      <c r="AI408" s="1301" t="s">
        <v>3229</v>
      </c>
      <c r="AJ408" s="1301" t="s">
        <v>3229</v>
      </c>
      <c r="AK408" s="530" t="s">
        <v>3229</v>
      </c>
      <c r="AL408" s="530" t="s">
        <v>3229</v>
      </c>
      <c r="AM408" s="659">
        <v>1</v>
      </c>
      <c r="AN408" s="638">
        <f>'klikací hodnoty'!F12328</f>
        <v>0.10139596666666666</v>
      </c>
      <c r="AO408" s="625">
        <v>11.01</v>
      </c>
      <c r="AP408" s="688">
        <f>+'klikací hodnoty'!L12316</f>
        <v>0.16899327777777776</v>
      </c>
      <c r="AQ408" s="606">
        <f>'klikací hodnoty'!F12327</f>
        <v>0.20804406928911523</v>
      </c>
      <c r="AR408" s="600" t="s">
        <v>3660</v>
      </c>
      <c r="AS408" s="548"/>
      <c r="AT408" s="548"/>
      <c r="AU408" s="549"/>
      <c r="AV408" s="558">
        <f t="shared" si="100"/>
        <v>0</v>
      </c>
      <c r="AW408" s="558">
        <f t="shared" si="95"/>
        <v>0</v>
      </c>
      <c r="AX408" s="589">
        <f t="shared" si="88"/>
        <v>-9.1734786557674863E-2</v>
      </c>
      <c r="AY408" s="587" t="e">
        <f t="shared" si="89"/>
        <v>#DIV/0!</v>
      </c>
      <c r="AZ408" s="676">
        <f t="shared" si="99"/>
        <v>10</v>
      </c>
      <c r="BA408" s="581"/>
      <c r="BB408" s="570"/>
      <c r="BC408" s="581"/>
      <c r="BD408" s="3691"/>
      <c r="BE408" s="3743"/>
      <c r="BF408" s="3743"/>
      <c r="BG408" s="3708"/>
      <c r="BH408" s="3762"/>
      <c r="BI408" s="3762"/>
      <c r="BJ408" s="39"/>
      <c r="BK408" s="39"/>
      <c r="BL408" s="39"/>
      <c r="BM408" s="39"/>
      <c r="BN408" s="39"/>
      <c r="BO408" s="39"/>
      <c r="BP408" s="39"/>
      <c r="BQ408" s="39"/>
      <c r="BR408" s="39"/>
      <c r="BS408" s="507"/>
      <c r="BT408" s="507"/>
      <c r="BU408" s="507"/>
      <c r="BV408" s="507"/>
      <c r="BW408" s="507"/>
      <c r="BX408" s="507"/>
      <c r="BY408" s="507"/>
      <c r="BZ408" s="507"/>
      <c r="CA408" s="507"/>
      <c r="CB408" s="507"/>
      <c r="CC408" s="507"/>
      <c r="CD408" s="507"/>
      <c r="CE408" s="507"/>
      <c r="CF408" s="507"/>
      <c r="CG408" s="507"/>
      <c r="CH408" s="507"/>
      <c r="CI408" s="507"/>
      <c r="CJ408" s="507"/>
      <c r="CK408" s="507"/>
      <c r="CL408" s="507"/>
      <c r="CM408" s="507"/>
      <c r="CN408" s="507"/>
      <c r="CO408" s="507"/>
      <c r="CP408" s="507"/>
      <c r="CQ408" s="507"/>
      <c r="CR408" s="507"/>
      <c r="CS408" s="507"/>
      <c r="CT408" s="507"/>
      <c r="CU408" s="507"/>
      <c r="CV408" s="507"/>
      <c r="CW408" s="507"/>
      <c r="CX408" s="507"/>
      <c r="CY408" s="507"/>
      <c r="CZ408" s="507"/>
      <c r="DA408" s="507"/>
      <c r="DB408" s="507"/>
      <c r="DC408" s="507"/>
      <c r="DD408" s="507"/>
      <c r="DE408" s="507"/>
      <c r="DF408" s="507"/>
      <c r="DG408" s="507"/>
      <c r="DH408" s="507"/>
      <c r="DI408" s="507"/>
      <c r="DJ408" s="507"/>
      <c r="DK408" s="507"/>
      <c r="DL408" s="507"/>
      <c r="DM408" s="507"/>
      <c r="DN408" s="507"/>
      <c r="DO408" s="507"/>
      <c r="DP408" s="507"/>
      <c r="DQ408" s="507"/>
      <c r="DR408" s="507"/>
      <c r="DS408" s="507"/>
      <c r="DT408" s="507"/>
      <c r="DU408" s="507"/>
      <c r="DV408" s="507"/>
      <c r="DW408" s="507"/>
      <c r="DX408" s="507"/>
      <c r="DY408" s="507"/>
      <c r="DZ408" s="507"/>
      <c r="EA408" s="507"/>
      <c r="EB408" s="507"/>
      <c r="EC408" s="507"/>
      <c r="ED408" s="507"/>
      <c r="EE408" s="507"/>
      <c r="EF408" s="507"/>
      <c r="EG408" s="507"/>
      <c r="EH408" s="507"/>
      <c r="EI408" s="507"/>
      <c r="EJ408" s="507"/>
      <c r="EK408" s="507"/>
      <c r="EL408" s="507"/>
      <c r="EM408" s="507"/>
      <c r="EN408" s="507"/>
      <c r="EO408" s="507"/>
      <c r="EP408" s="507"/>
      <c r="EQ408" s="507"/>
      <c r="ER408" s="507"/>
      <c r="ES408" s="507"/>
      <c r="ET408" s="507"/>
      <c r="EU408" s="507"/>
      <c r="EV408" s="507"/>
      <c r="EW408" s="507"/>
      <c r="EX408" s="507"/>
      <c r="EY408" s="507"/>
      <c r="EZ408" s="507"/>
      <c r="FA408" s="507"/>
      <c r="FB408" s="507"/>
      <c r="FC408" s="507"/>
      <c r="FD408" s="507"/>
      <c r="FE408" s="507"/>
      <c r="FF408" s="507"/>
      <c r="FG408" s="507"/>
      <c r="FH408" s="507"/>
      <c r="FI408" s="507"/>
      <c r="FJ408" s="507"/>
      <c r="FK408" s="507"/>
      <c r="FL408" s="507"/>
      <c r="FM408" s="507"/>
      <c r="FN408" s="507"/>
      <c r="FO408" s="507"/>
      <c r="FP408" s="507"/>
      <c r="FQ408" s="507"/>
      <c r="FR408" s="507"/>
      <c r="FS408" s="507"/>
      <c r="FT408" s="507"/>
      <c r="FU408" s="507"/>
      <c r="FV408" s="507"/>
      <c r="FW408" s="507"/>
      <c r="FX408" s="507"/>
      <c r="FY408" s="507"/>
      <c r="FZ408" s="507"/>
      <c r="GA408" s="507"/>
      <c r="GB408" s="507"/>
      <c r="GC408" s="507"/>
      <c r="GD408" s="507"/>
      <c r="GE408" s="507"/>
      <c r="GF408" s="507"/>
      <c r="GG408" s="507"/>
      <c r="GH408" s="507"/>
      <c r="GI408" s="507"/>
      <c r="GJ408" s="507"/>
      <c r="GK408" s="507"/>
      <c r="GL408" s="507"/>
      <c r="GM408" s="507"/>
      <c r="GN408" s="507"/>
      <c r="GO408" s="507"/>
      <c r="GP408" s="507"/>
      <c r="GQ408" s="507"/>
      <c r="GR408" s="507"/>
      <c r="GS408" s="507"/>
      <c r="GT408" s="507"/>
      <c r="GU408" s="507"/>
      <c r="GV408" s="507"/>
      <c r="GW408" s="507"/>
      <c r="GX408" s="507"/>
      <c r="GY408" s="507"/>
      <c r="GZ408" s="507"/>
      <c r="HA408" s="507"/>
      <c r="HB408" s="507"/>
      <c r="HC408" s="507"/>
      <c r="HD408" s="507"/>
      <c r="HE408" s="507"/>
      <c r="HF408" s="507"/>
      <c r="HG408" s="507"/>
      <c r="HH408" s="507"/>
      <c r="HI408" s="507"/>
      <c r="HJ408" s="507"/>
      <c r="HK408" s="507"/>
      <c r="HL408" s="507"/>
      <c r="HM408" s="507"/>
      <c r="HN408" s="507"/>
      <c r="HO408" s="507"/>
      <c r="HP408" s="507"/>
      <c r="HQ408" s="507"/>
      <c r="HR408" s="507"/>
      <c r="HS408" s="507"/>
      <c r="HT408" s="507"/>
      <c r="HU408" s="507"/>
      <c r="HV408" s="507"/>
      <c r="HW408" s="507"/>
      <c r="HX408" s="507"/>
      <c r="HY408" s="507"/>
      <c r="HZ408" s="507"/>
    </row>
    <row r="409" spans="1:234" s="206" customFormat="1" ht="13.5" hidden="1" customHeight="1" x14ac:dyDescent="0.25">
      <c r="A409" s="541" t="s">
        <v>5700</v>
      </c>
      <c r="B409" s="523" t="s">
        <v>5698</v>
      </c>
      <c r="C409" s="524" t="s">
        <v>5699</v>
      </c>
      <c r="D409" s="551" t="s">
        <v>4384</v>
      </c>
      <c r="E409" s="569" t="s">
        <v>3228</v>
      </c>
      <c r="F409" s="543">
        <v>41600</v>
      </c>
      <c r="G409" s="544">
        <v>41550</v>
      </c>
      <c r="H409" s="544">
        <v>41593</v>
      </c>
      <c r="I409" s="616">
        <v>43677</v>
      </c>
      <c r="J409" s="579">
        <v>10</v>
      </c>
      <c r="K409" s="553" t="s">
        <v>3229</v>
      </c>
      <c r="L409" s="552" t="s">
        <v>3229</v>
      </c>
      <c r="M409" s="560">
        <v>0</v>
      </c>
      <c r="N409" s="606">
        <v>1</v>
      </c>
      <c r="O409" s="613" t="s">
        <v>3229</v>
      </c>
      <c r="P409" s="575" t="s">
        <v>3229</v>
      </c>
      <c r="Q409" s="575" t="s">
        <v>3229</v>
      </c>
      <c r="R409" s="575" t="s">
        <v>3229</v>
      </c>
      <c r="S409" s="570"/>
      <c r="T409" s="563" t="s">
        <v>3229</v>
      </c>
      <c r="U409" s="563" t="s">
        <v>3229</v>
      </c>
      <c r="V409" s="563" t="s">
        <v>3229</v>
      </c>
      <c r="W409" s="563" t="s">
        <v>3229</v>
      </c>
      <c r="X409" s="563" t="s">
        <v>3229</v>
      </c>
      <c r="Y409" s="598" t="s">
        <v>3229</v>
      </c>
      <c r="Z409" s="598" t="s">
        <v>3229</v>
      </c>
      <c r="AA409" s="598" t="s">
        <v>3229</v>
      </c>
      <c r="AB409" s="598" t="s">
        <v>3229</v>
      </c>
      <c r="AC409" s="598" t="s">
        <v>3229</v>
      </c>
      <c r="AD409" s="598" t="s">
        <v>3229</v>
      </c>
      <c r="AE409" s="598" t="s">
        <v>3229</v>
      </c>
      <c r="AF409" s="3764" t="s">
        <v>781</v>
      </c>
      <c r="AG409" s="3765"/>
      <c r="AH409" s="1301" t="s">
        <v>3229</v>
      </c>
      <c r="AI409" s="1301" t="s">
        <v>3229</v>
      </c>
      <c r="AJ409" s="1301" t="s">
        <v>3229</v>
      </c>
      <c r="AK409" s="530" t="s">
        <v>3229</v>
      </c>
      <c r="AL409" s="530" t="s">
        <v>3229</v>
      </c>
      <c r="AM409" s="659">
        <v>1</v>
      </c>
      <c r="AN409" s="638">
        <f>'klikací hodnoty'!F12472</f>
        <v>8.9236833333333307E-2</v>
      </c>
      <c r="AO409" s="625">
        <v>10.89</v>
      </c>
      <c r="AP409" s="688">
        <f>'klikací hodnoty'!F12471</f>
        <v>8.9236833333333307E-2</v>
      </c>
      <c r="AQ409" s="606">
        <f>'klikací hodnoty'!F12452</f>
        <v>6.5737961572127496E-2</v>
      </c>
      <c r="AR409" s="600" t="s">
        <v>3660</v>
      </c>
      <c r="AS409" s="548"/>
      <c r="AT409" s="548"/>
      <c r="AU409" s="549"/>
      <c r="AV409" s="558">
        <v>8.9200000000000002E-2</v>
      </c>
      <c r="AW409" s="558">
        <f t="shared" si="95"/>
        <v>1.5128641302292856E-2</v>
      </c>
      <c r="AX409" s="589">
        <f t="shared" si="88"/>
        <v>1.83654729109195E-4</v>
      </c>
      <c r="AY409" s="587" t="e">
        <f t="shared" si="89"/>
        <v>#DIV/0!</v>
      </c>
      <c r="AZ409" s="676">
        <f>J409*(1+AV409)</f>
        <v>10.891999999999999</v>
      </c>
      <c r="BA409" s="581"/>
      <c r="BB409" s="570"/>
      <c r="BC409" s="581"/>
      <c r="BD409" s="3691"/>
      <c r="BE409" s="3743"/>
      <c r="BF409" s="3743"/>
      <c r="BG409" s="3708"/>
      <c r="BH409" s="3762"/>
      <c r="BI409" s="3762"/>
      <c r="BJ409" s="39"/>
      <c r="BK409" s="39"/>
      <c r="BL409" s="39"/>
      <c r="BM409" s="39"/>
      <c r="BN409" s="39"/>
      <c r="BO409" s="39"/>
      <c r="BP409" s="39"/>
      <c r="BQ409" s="39"/>
      <c r="BR409" s="39"/>
      <c r="BS409" s="507"/>
      <c r="BT409" s="507"/>
      <c r="BU409" s="507"/>
      <c r="BV409" s="507"/>
      <c r="BW409" s="507"/>
      <c r="BX409" s="507"/>
      <c r="BY409" s="507"/>
      <c r="BZ409" s="507"/>
      <c r="CA409" s="507"/>
      <c r="CB409" s="507"/>
      <c r="CC409" s="507"/>
      <c r="CD409" s="507"/>
      <c r="CE409" s="507"/>
      <c r="CF409" s="507"/>
      <c r="CG409" s="507"/>
      <c r="CH409" s="507"/>
      <c r="CI409" s="507"/>
      <c r="CJ409" s="507"/>
      <c r="CK409" s="507"/>
      <c r="CL409" s="507"/>
      <c r="CM409" s="507"/>
      <c r="CN409" s="507"/>
      <c r="CO409" s="507"/>
      <c r="CP409" s="507"/>
      <c r="CQ409" s="507"/>
      <c r="CR409" s="507"/>
      <c r="CS409" s="507"/>
      <c r="CT409" s="507"/>
      <c r="CU409" s="507"/>
      <c r="CV409" s="507"/>
      <c r="CW409" s="507"/>
      <c r="CX409" s="507"/>
      <c r="CY409" s="507"/>
      <c r="CZ409" s="507"/>
      <c r="DA409" s="507"/>
      <c r="DB409" s="507"/>
      <c r="DC409" s="507"/>
      <c r="DD409" s="507"/>
      <c r="DE409" s="507"/>
      <c r="DF409" s="507"/>
      <c r="DG409" s="507"/>
      <c r="DH409" s="507"/>
      <c r="DI409" s="507"/>
      <c r="DJ409" s="507"/>
      <c r="DK409" s="507"/>
      <c r="DL409" s="507"/>
      <c r="DM409" s="507"/>
      <c r="DN409" s="507"/>
      <c r="DO409" s="507"/>
      <c r="DP409" s="507"/>
      <c r="DQ409" s="507"/>
      <c r="DR409" s="507"/>
      <c r="DS409" s="507"/>
      <c r="DT409" s="507"/>
      <c r="DU409" s="507"/>
      <c r="DV409" s="507"/>
      <c r="DW409" s="507"/>
      <c r="DX409" s="507"/>
      <c r="DY409" s="507"/>
      <c r="DZ409" s="507"/>
      <c r="EA409" s="507"/>
      <c r="EB409" s="507"/>
      <c r="EC409" s="507"/>
      <c r="ED409" s="507"/>
      <c r="EE409" s="507"/>
      <c r="EF409" s="507"/>
      <c r="EG409" s="507"/>
      <c r="EH409" s="507"/>
      <c r="EI409" s="507"/>
      <c r="EJ409" s="507"/>
      <c r="EK409" s="507"/>
      <c r="EL409" s="507"/>
      <c r="EM409" s="507"/>
      <c r="EN409" s="507"/>
      <c r="EO409" s="507"/>
      <c r="EP409" s="507"/>
      <c r="EQ409" s="507"/>
      <c r="ER409" s="507"/>
      <c r="ES409" s="507"/>
      <c r="ET409" s="507"/>
      <c r="EU409" s="507"/>
      <c r="EV409" s="507"/>
      <c r="EW409" s="507"/>
      <c r="EX409" s="507"/>
      <c r="EY409" s="507"/>
      <c r="EZ409" s="507"/>
      <c r="FA409" s="507"/>
      <c r="FB409" s="507"/>
      <c r="FC409" s="507"/>
      <c r="FD409" s="507"/>
      <c r="FE409" s="507"/>
      <c r="FF409" s="507"/>
      <c r="FG409" s="507"/>
      <c r="FH409" s="507"/>
      <c r="FI409" s="507"/>
      <c r="FJ409" s="507"/>
      <c r="FK409" s="507"/>
      <c r="FL409" s="507"/>
      <c r="FM409" s="507"/>
      <c r="FN409" s="507"/>
      <c r="FO409" s="507"/>
      <c r="FP409" s="507"/>
      <c r="FQ409" s="507"/>
      <c r="FR409" s="507"/>
      <c r="FS409" s="507"/>
      <c r="FT409" s="507"/>
      <c r="FU409" s="507"/>
      <c r="FV409" s="507"/>
      <c r="FW409" s="507"/>
      <c r="FX409" s="507"/>
      <c r="FY409" s="507"/>
      <c r="FZ409" s="507"/>
      <c r="GA409" s="507"/>
      <c r="GB409" s="507"/>
      <c r="GC409" s="507"/>
      <c r="GD409" s="507"/>
      <c r="GE409" s="507"/>
      <c r="GF409" s="507"/>
      <c r="GG409" s="507"/>
      <c r="GH409" s="507"/>
      <c r="GI409" s="507"/>
      <c r="GJ409" s="507"/>
      <c r="GK409" s="507"/>
      <c r="GL409" s="507"/>
      <c r="GM409" s="507"/>
      <c r="GN409" s="507"/>
      <c r="GO409" s="507"/>
      <c r="GP409" s="507"/>
      <c r="GQ409" s="507"/>
      <c r="GR409" s="507"/>
      <c r="GS409" s="507"/>
      <c r="GT409" s="507"/>
      <c r="GU409" s="507"/>
      <c r="GV409" s="507"/>
      <c r="GW409" s="507"/>
      <c r="GX409" s="507"/>
      <c r="GY409" s="507"/>
      <c r="GZ409" s="507"/>
      <c r="HA409" s="507"/>
      <c r="HB409" s="507"/>
      <c r="HC409" s="507"/>
      <c r="HD409" s="507"/>
      <c r="HE409" s="507"/>
      <c r="HF409" s="507"/>
      <c r="HG409" s="507"/>
      <c r="HH409" s="507"/>
      <c r="HI409" s="507"/>
      <c r="HJ409" s="507"/>
      <c r="HK409" s="507"/>
      <c r="HL409" s="507"/>
      <c r="HM409" s="507"/>
      <c r="HN409" s="507"/>
      <c r="HO409" s="507"/>
      <c r="HP409" s="507"/>
      <c r="HQ409" s="507"/>
      <c r="HR409" s="507"/>
      <c r="HS409" s="507"/>
      <c r="HT409" s="507"/>
      <c r="HU409" s="507"/>
      <c r="HV409" s="507"/>
      <c r="HW409" s="507"/>
      <c r="HX409" s="507"/>
      <c r="HY409" s="507"/>
      <c r="HZ409" s="507"/>
    </row>
    <row r="410" spans="1:234" s="206" customFormat="1" ht="13.5" hidden="1" customHeight="1" x14ac:dyDescent="0.25">
      <c r="A410" s="541" t="s">
        <v>5702</v>
      </c>
      <c r="B410" s="523" t="s">
        <v>5701</v>
      </c>
      <c r="C410" s="524" t="s">
        <v>5703</v>
      </c>
      <c r="D410" s="551" t="s">
        <v>189</v>
      </c>
      <c r="E410" s="569" t="s">
        <v>3228</v>
      </c>
      <c r="F410" s="543">
        <v>41638</v>
      </c>
      <c r="G410" s="544">
        <v>41561</v>
      </c>
      <c r="H410" s="544">
        <v>41627</v>
      </c>
      <c r="I410" s="616">
        <v>43707</v>
      </c>
      <c r="J410" s="579">
        <v>10</v>
      </c>
      <c r="K410" s="553" t="s">
        <v>3229</v>
      </c>
      <c r="L410" s="552" t="s">
        <v>3229</v>
      </c>
      <c r="M410" s="560">
        <v>-0.05</v>
      </c>
      <c r="N410" s="606">
        <v>0.8</v>
      </c>
      <c r="O410" s="613">
        <v>0.8</v>
      </c>
      <c r="P410" s="575" t="s">
        <v>3229</v>
      </c>
      <c r="Q410" s="575" t="s">
        <v>3229</v>
      </c>
      <c r="R410" s="575" t="s">
        <v>3229</v>
      </c>
      <c r="S410" s="570"/>
      <c r="T410" s="563" t="s">
        <v>3229</v>
      </c>
      <c r="U410" s="563" t="s">
        <v>3229</v>
      </c>
      <c r="V410" s="563" t="s">
        <v>3229</v>
      </c>
      <c r="W410" s="563" t="s">
        <v>3229</v>
      </c>
      <c r="X410" s="563" t="s">
        <v>3229</v>
      </c>
      <c r="Y410" s="598" t="s">
        <v>3229</v>
      </c>
      <c r="Z410" s="598" t="s">
        <v>3229</v>
      </c>
      <c r="AA410" s="598" t="s">
        <v>3229</v>
      </c>
      <c r="AB410" s="598" t="s">
        <v>3229</v>
      </c>
      <c r="AC410" s="598" t="s">
        <v>3229</v>
      </c>
      <c r="AD410" s="598" t="s">
        <v>3229</v>
      </c>
      <c r="AE410" s="598" t="s">
        <v>3229</v>
      </c>
      <c r="AF410" s="3764" t="s">
        <v>781</v>
      </c>
      <c r="AG410" s="3765"/>
      <c r="AH410" s="1301" t="s">
        <v>3229</v>
      </c>
      <c r="AI410" s="1301" t="s">
        <v>3229</v>
      </c>
      <c r="AJ410" s="1301" t="s">
        <v>3229</v>
      </c>
      <c r="AK410" s="530" t="s">
        <v>3229</v>
      </c>
      <c r="AL410" s="530" t="s">
        <v>3229</v>
      </c>
      <c r="AM410" s="659">
        <v>1</v>
      </c>
      <c r="AN410" s="638">
        <f>'klikací hodnoty'!F12371</f>
        <v>0.15015879999999998</v>
      </c>
      <c r="AO410" s="625">
        <v>11.5</v>
      </c>
      <c r="AP410" s="688">
        <f>+'klikací hodnoty'!L12359</f>
        <v>0.18769849999999996</v>
      </c>
      <c r="AQ410" s="606">
        <f>'klikací hodnoty'!F12370</f>
        <v>0.24844892500234139</v>
      </c>
      <c r="AR410" s="600">
        <f>O410</f>
        <v>0.8</v>
      </c>
      <c r="AS410" s="548">
        <f t="shared" si="98"/>
        <v>0.10926056524503536</v>
      </c>
      <c r="AT410" s="548"/>
      <c r="AU410" s="549"/>
      <c r="AV410" s="558">
        <f t="shared" si="100"/>
        <v>-0.05</v>
      </c>
      <c r="AW410" s="558">
        <f t="shared" si="95"/>
        <v>-9.0080236505842848E-3</v>
      </c>
      <c r="AX410" s="589">
        <f t="shared" si="88"/>
        <v>-0.17391304347826086</v>
      </c>
      <c r="AY410" s="587" t="e">
        <f t="shared" si="89"/>
        <v>#DIV/0!</v>
      </c>
      <c r="AZ410" s="676">
        <f t="shared" si="99"/>
        <v>9.5</v>
      </c>
      <c r="BA410" s="581"/>
      <c r="BB410" s="570"/>
      <c r="BC410" s="581"/>
      <c r="BD410" s="3691"/>
      <c r="BE410" s="3743"/>
      <c r="BF410" s="3743"/>
      <c r="BG410" s="3708"/>
      <c r="BH410" s="3762"/>
      <c r="BI410" s="3762"/>
      <c r="BJ410" s="39"/>
      <c r="BK410" s="39"/>
      <c r="BL410" s="39"/>
      <c r="BM410" s="39"/>
      <c r="BN410" s="39"/>
      <c r="BO410" s="39"/>
      <c r="BP410" s="39"/>
      <c r="BQ410" s="39"/>
      <c r="BR410" s="39"/>
      <c r="BS410" s="507"/>
      <c r="BT410" s="507"/>
      <c r="BU410" s="507"/>
      <c r="BV410" s="507"/>
      <c r="BW410" s="507"/>
      <c r="BX410" s="507"/>
      <c r="BY410" s="507"/>
      <c r="BZ410" s="507"/>
      <c r="CA410" s="507"/>
      <c r="CB410" s="507"/>
      <c r="CC410" s="507"/>
      <c r="CD410" s="507"/>
      <c r="CE410" s="507"/>
      <c r="CF410" s="507"/>
      <c r="CG410" s="507"/>
      <c r="CH410" s="507"/>
      <c r="CI410" s="507"/>
      <c r="CJ410" s="507"/>
      <c r="CK410" s="507"/>
      <c r="CL410" s="507"/>
      <c r="CM410" s="507"/>
      <c r="CN410" s="507"/>
      <c r="CO410" s="507"/>
      <c r="CP410" s="507"/>
      <c r="CQ410" s="507"/>
      <c r="CR410" s="507"/>
      <c r="CS410" s="507"/>
      <c r="CT410" s="507"/>
      <c r="CU410" s="507"/>
      <c r="CV410" s="507"/>
      <c r="CW410" s="507"/>
      <c r="CX410" s="507"/>
      <c r="CY410" s="507"/>
      <c r="CZ410" s="507"/>
      <c r="DA410" s="507"/>
      <c r="DB410" s="507"/>
      <c r="DC410" s="507"/>
      <c r="DD410" s="507"/>
      <c r="DE410" s="507"/>
      <c r="DF410" s="507"/>
      <c r="DG410" s="507"/>
      <c r="DH410" s="507"/>
      <c r="DI410" s="507"/>
      <c r="DJ410" s="507"/>
      <c r="DK410" s="507"/>
      <c r="DL410" s="507"/>
      <c r="DM410" s="507"/>
      <c r="DN410" s="507"/>
      <c r="DO410" s="507"/>
      <c r="DP410" s="507"/>
      <c r="DQ410" s="507"/>
      <c r="DR410" s="507"/>
      <c r="DS410" s="507"/>
      <c r="DT410" s="507"/>
      <c r="DU410" s="507"/>
      <c r="DV410" s="507"/>
      <c r="DW410" s="507"/>
      <c r="DX410" s="507"/>
      <c r="DY410" s="507"/>
      <c r="DZ410" s="507"/>
      <c r="EA410" s="507"/>
      <c r="EB410" s="507"/>
      <c r="EC410" s="507"/>
      <c r="ED410" s="507"/>
      <c r="EE410" s="507"/>
      <c r="EF410" s="507"/>
      <c r="EG410" s="507"/>
      <c r="EH410" s="507"/>
      <c r="EI410" s="507"/>
      <c r="EJ410" s="507"/>
      <c r="EK410" s="507"/>
      <c r="EL410" s="507"/>
      <c r="EM410" s="507"/>
      <c r="EN410" s="507"/>
      <c r="EO410" s="507"/>
      <c r="EP410" s="507"/>
      <c r="EQ410" s="507"/>
      <c r="ER410" s="507"/>
      <c r="ES410" s="507"/>
      <c r="ET410" s="507"/>
      <c r="EU410" s="507"/>
      <c r="EV410" s="507"/>
      <c r="EW410" s="507"/>
      <c r="EX410" s="507"/>
      <c r="EY410" s="507"/>
      <c r="EZ410" s="507"/>
      <c r="FA410" s="507"/>
      <c r="FB410" s="507"/>
      <c r="FC410" s="507"/>
      <c r="FD410" s="507"/>
      <c r="FE410" s="507"/>
      <c r="FF410" s="507"/>
      <c r="FG410" s="507"/>
      <c r="FH410" s="507"/>
      <c r="FI410" s="507"/>
      <c r="FJ410" s="507"/>
      <c r="FK410" s="507"/>
      <c r="FL410" s="507"/>
      <c r="FM410" s="507"/>
      <c r="FN410" s="507"/>
      <c r="FO410" s="507"/>
      <c r="FP410" s="507"/>
      <c r="FQ410" s="507"/>
      <c r="FR410" s="507"/>
      <c r="FS410" s="507"/>
      <c r="FT410" s="507"/>
      <c r="FU410" s="507"/>
      <c r="FV410" s="507"/>
      <c r="FW410" s="507"/>
      <c r="FX410" s="507"/>
      <c r="FY410" s="507"/>
      <c r="FZ410" s="507"/>
      <c r="GA410" s="507"/>
      <c r="GB410" s="507"/>
      <c r="GC410" s="507"/>
      <c r="GD410" s="507"/>
      <c r="GE410" s="507"/>
      <c r="GF410" s="507"/>
      <c r="GG410" s="507"/>
      <c r="GH410" s="507"/>
      <c r="GI410" s="507"/>
      <c r="GJ410" s="507"/>
      <c r="GK410" s="507"/>
      <c r="GL410" s="507"/>
      <c r="GM410" s="507"/>
      <c r="GN410" s="507"/>
      <c r="GO410" s="507"/>
      <c r="GP410" s="507"/>
      <c r="GQ410" s="507"/>
      <c r="GR410" s="507"/>
      <c r="GS410" s="507"/>
      <c r="GT410" s="507"/>
      <c r="GU410" s="507"/>
      <c r="GV410" s="507"/>
      <c r="GW410" s="507"/>
      <c r="GX410" s="507"/>
      <c r="GY410" s="507"/>
      <c r="GZ410" s="507"/>
      <c r="HA410" s="507"/>
      <c r="HB410" s="507"/>
      <c r="HC410" s="507"/>
      <c r="HD410" s="507"/>
      <c r="HE410" s="507"/>
      <c r="HF410" s="507"/>
      <c r="HG410" s="507"/>
      <c r="HH410" s="507"/>
      <c r="HI410" s="507"/>
      <c r="HJ410" s="507"/>
      <c r="HK410" s="507"/>
      <c r="HL410" s="507"/>
      <c r="HM410" s="507"/>
      <c r="HN410" s="507"/>
      <c r="HO410" s="507"/>
      <c r="HP410" s="507"/>
      <c r="HQ410" s="507"/>
      <c r="HR410" s="507"/>
      <c r="HS410" s="507"/>
      <c r="HT410" s="507"/>
      <c r="HU410" s="507"/>
      <c r="HV410" s="507"/>
      <c r="HW410" s="507"/>
      <c r="HX410" s="507"/>
      <c r="HY410" s="507"/>
      <c r="HZ410" s="507"/>
    </row>
    <row r="411" spans="1:234" s="206" customFormat="1" ht="13.5" hidden="1" customHeight="1" x14ac:dyDescent="0.25">
      <c r="A411" s="541" t="s">
        <v>5802</v>
      </c>
      <c r="B411" s="523" t="s">
        <v>5801</v>
      </c>
      <c r="C411" s="524" t="s">
        <v>5803</v>
      </c>
      <c r="D411" s="551" t="s">
        <v>189</v>
      </c>
      <c r="E411" s="569" t="s">
        <v>3228</v>
      </c>
      <c r="F411" s="543">
        <v>41638</v>
      </c>
      <c r="G411" s="544">
        <v>41579</v>
      </c>
      <c r="H411" s="544">
        <v>41627</v>
      </c>
      <c r="I411" s="616">
        <v>43707</v>
      </c>
      <c r="J411" s="579">
        <v>10</v>
      </c>
      <c r="K411" s="553" t="s">
        <v>3229</v>
      </c>
      <c r="L411" s="552" t="s">
        <v>3229</v>
      </c>
      <c r="M411" s="560">
        <v>-0.05</v>
      </c>
      <c r="N411" s="606">
        <v>0.55000000000000004</v>
      </c>
      <c r="O411" s="613">
        <v>0.8</v>
      </c>
      <c r="P411" s="575" t="s">
        <v>3229</v>
      </c>
      <c r="Q411" s="575" t="s">
        <v>3229</v>
      </c>
      <c r="R411" s="575" t="s">
        <v>3229</v>
      </c>
      <c r="S411" s="570"/>
      <c r="T411" s="563" t="s">
        <v>3229</v>
      </c>
      <c r="U411" s="563" t="s">
        <v>3229</v>
      </c>
      <c r="V411" s="563" t="s">
        <v>3229</v>
      </c>
      <c r="W411" s="563" t="s">
        <v>3229</v>
      </c>
      <c r="X411" s="563" t="s">
        <v>3229</v>
      </c>
      <c r="Y411" s="598" t="s">
        <v>3229</v>
      </c>
      <c r="Z411" s="598" t="s">
        <v>3229</v>
      </c>
      <c r="AA411" s="598" t="s">
        <v>3229</v>
      </c>
      <c r="AB411" s="598" t="s">
        <v>3229</v>
      </c>
      <c r="AC411" s="598" t="s">
        <v>3229</v>
      </c>
      <c r="AD411" s="598" t="s">
        <v>3229</v>
      </c>
      <c r="AE411" s="598" t="s">
        <v>3229</v>
      </c>
      <c r="AF411" s="3764" t="s">
        <v>781</v>
      </c>
      <c r="AG411" s="3765"/>
      <c r="AH411" s="1301" t="s">
        <v>3229</v>
      </c>
      <c r="AI411" s="1301" t="s">
        <v>3229</v>
      </c>
      <c r="AJ411" s="1301" t="s">
        <v>3229</v>
      </c>
      <c r="AK411" s="530" t="s">
        <v>3229</v>
      </c>
      <c r="AL411" s="530" t="s">
        <v>3229</v>
      </c>
      <c r="AM411" s="659">
        <v>1</v>
      </c>
      <c r="AN411" s="638">
        <f>'klikací hodnoty'!F12646</f>
        <v>0.11970160277777778</v>
      </c>
      <c r="AO411" s="625">
        <v>11.2</v>
      </c>
      <c r="AP411" s="688">
        <f>+'klikací hodnoty'!E12645</f>
        <v>0.21763927777777775</v>
      </c>
      <c r="AQ411" s="606">
        <f>'klikací hodnoty'!F12626</f>
        <v>0.31886270083413482</v>
      </c>
      <c r="AR411" s="600">
        <f>O411</f>
        <v>0.8</v>
      </c>
      <c r="AS411" s="548">
        <f>POWER(1+AR411,1/((I411-F411)/365))-1</f>
        <v>0.10926056524503536</v>
      </c>
      <c r="AT411" s="548">
        <f>J411*(1+AR411)/AO411-1</f>
        <v>0.60714285714285721</v>
      </c>
      <c r="AU411" s="549" t="e">
        <f>POWER(1+AT411,1/AG411)-1</f>
        <v>#DIV/0!</v>
      </c>
      <c r="AV411" s="558">
        <f t="shared" si="100"/>
        <v>-0.05</v>
      </c>
      <c r="AW411" s="558">
        <f t="shared" si="95"/>
        <v>-9.0080236505842848E-3</v>
      </c>
      <c r="AX411" s="589">
        <f t="shared" si="88"/>
        <v>-0.15178571428571419</v>
      </c>
      <c r="AY411" s="587" t="e">
        <f t="shared" si="89"/>
        <v>#DIV/0!</v>
      </c>
      <c r="AZ411" s="676">
        <f t="shared" si="99"/>
        <v>9.5</v>
      </c>
      <c r="BA411" s="581"/>
      <c r="BB411" s="570"/>
      <c r="BC411" s="581"/>
      <c r="BD411" s="3691"/>
      <c r="BE411" s="3743"/>
      <c r="BF411" s="3743"/>
      <c r="BG411" s="3708"/>
      <c r="BH411" s="3762"/>
      <c r="BI411" s="3762"/>
      <c r="BJ411" s="39"/>
      <c r="BK411" s="39"/>
      <c r="BL411" s="39"/>
      <c r="BM411" s="39"/>
      <c r="BN411" s="39"/>
      <c r="BO411" s="39"/>
      <c r="BP411" s="39"/>
      <c r="BQ411" s="39"/>
      <c r="BR411" s="39"/>
      <c r="BS411" s="507"/>
      <c r="BT411" s="507"/>
      <c r="BU411" s="507"/>
      <c r="BV411" s="507"/>
      <c r="BW411" s="507"/>
      <c r="BX411" s="507"/>
      <c r="BY411" s="507"/>
      <c r="BZ411" s="507"/>
      <c r="CA411" s="507"/>
      <c r="CB411" s="507"/>
      <c r="CC411" s="507"/>
      <c r="CD411" s="507"/>
      <c r="CE411" s="507"/>
      <c r="CF411" s="507"/>
      <c r="CG411" s="507"/>
      <c r="CH411" s="507"/>
      <c r="CI411" s="507"/>
      <c r="CJ411" s="507"/>
      <c r="CK411" s="507"/>
      <c r="CL411" s="507"/>
      <c r="CM411" s="507"/>
      <c r="CN411" s="507"/>
      <c r="CO411" s="507"/>
      <c r="CP411" s="507"/>
      <c r="CQ411" s="507"/>
      <c r="CR411" s="507"/>
      <c r="CS411" s="507"/>
      <c r="CT411" s="507"/>
      <c r="CU411" s="507"/>
      <c r="CV411" s="507"/>
      <c r="CW411" s="507"/>
      <c r="CX411" s="507"/>
      <c r="CY411" s="507"/>
      <c r="CZ411" s="507"/>
      <c r="DA411" s="507"/>
      <c r="DB411" s="507"/>
      <c r="DC411" s="507"/>
      <c r="DD411" s="507"/>
      <c r="DE411" s="507"/>
      <c r="DF411" s="507"/>
      <c r="DG411" s="507"/>
      <c r="DH411" s="507"/>
      <c r="DI411" s="507"/>
      <c r="DJ411" s="507"/>
      <c r="DK411" s="507"/>
      <c r="DL411" s="507"/>
      <c r="DM411" s="507"/>
      <c r="DN411" s="507"/>
      <c r="DO411" s="507"/>
      <c r="DP411" s="507"/>
      <c r="DQ411" s="507"/>
      <c r="DR411" s="507"/>
      <c r="DS411" s="507"/>
      <c r="DT411" s="507"/>
      <c r="DU411" s="507"/>
      <c r="DV411" s="507"/>
      <c r="DW411" s="507"/>
      <c r="DX411" s="507"/>
      <c r="DY411" s="507"/>
      <c r="DZ411" s="507"/>
      <c r="EA411" s="507"/>
      <c r="EB411" s="507"/>
      <c r="EC411" s="507"/>
      <c r="ED411" s="507"/>
      <c r="EE411" s="507"/>
      <c r="EF411" s="507"/>
      <c r="EG411" s="507"/>
      <c r="EH411" s="507"/>
      <c r="EI411" s="507"/>
      <c r="EJ411" s="507"/>
      <c r="EK411" s="507"/>
      <c r="EL411" s="507"/>
      <c r="EM411" s="507"/>
      <c r="EN411" s="507"/>
      <c r="EO411" s="507"/>
      <c r="EP411" s="507"/>
      <c r="EQ411" s="507"/>
      <c r="ER411" s="507"/>
      <c r="ES411" s="507"/>
      <c r="ET411" s="507"/>
      <c r="EU411" s="507"/>
      <c r="EV411" s="507"/>
      <c r="EW411" s="507"/>
      <c r="EX411" s="507"/>
      <c r="EY411" s="507"/>
      <c r="EZ411" s="507"/>
      <c r="FA411" s="507"/>
      <c r="FB411" s="507"/>
      <c r="FC411" s="507"/>
      <c r="FD411" s="507"/>
      <c r="FE411" s="507"/>
      <c r="FF411" s="507"/>
      <c r="FG411" s="507"/>
      <c r="FH411" s="507"/>
      <c r="FI411" s="507"/>
      <c r="FJ411" s="507"/>
      <c r="FK411" s="507"/>
      <c r="FL411" s="507"/>
      <c r="FM411" s="507"/>
      <c r="FN411" s="507"/>
      <c r="FO411" s="507"/>
      <c r="FP411" s="507"/>
      <c r="FQ411" s="507"/>
      <c r="FR411" s="507"/>
      <c r="FS411" s="507"/>
      <c r="FT411" s="507"/>
      <c r="FU411" s="507"/>
      <c r="FV411" s="507"/>
      <c r="FW411" s="507"/>
      <c r="FX411" s="507"/>
      <c r="FY411" s="507"/>
      <c r="FZ411" s="507"/>
      <c r="GA411" s="507"/>
      <c r="GB411" s="507"/>
      <c r="GC411" s="507"/>
      <c r="GD411" s="507"/>
      <c r="GE411" s="507"/>
      <c r="GF411" s="507"/>
      <c r="GG411" s="507"/>
      <c r="GH411" s="507"/>
      <c r="GI411" s="507"/>
      <c r="GJ411" s="507"/>
      <c r="GK411" s="507"/>
      <c r="GL411" s="507"/>
      <c r="GM411" s="507"/>
      <c r="GN411" s="507"/>
      <c r="GO411" s="507"/>
      <c r="GP411" s="507"/>
      <c r="GQ411" s="507"/>
      <c r="GR411" s="507"/>
      <c r="GS411" s="507"/>
      <c r="GT411" s="507"/>
      <c r="GU411" s="507"/>
      <c r="GV411" s="507"/>
      <c r="GW411" s="507"/>
      <c r="GX411" s="507"/>
      <c r="GY411" s="507"/>
      <c r="GZ411" s="507"/>
      <c r="HA411" s="507"/>
      <c r="HB411" s="507"/>
      <c r="HC411" s="507"/>
      <c r="HD411" s="507"/>
      <c r="HE411" s="507"/>
      <c r="HF411" s="507"/>
      <c r="HG411" s="507"/>
      <c r="HH411" s="507"/>
      <c r="HI411" s="507"/>
      <c r="HJ411" s="507"/>
      <c r="HK411" s="507"/>
      <c r="HL411" s="507"/>
      <c r="HM411" s="507"/>
      <c r="HN411" s="507"/>
      <c r="HO411" s="507"/>
      <c r="HP411" s="507"/>
      <c r="HQ411" s="507"/>
      <c r="HR411" s="507"/>
      <c r="HS411" s="507"/>
      <c r="HT411" s="507"/>
      <c r="HU411" s="507"/>
      <c r="HV411" s="507"/>
      <c r="HW411" s="507"/>
      <c r="HX411" s="507"/>
      <c r="HY411" s="507"/>
      <c r="HZ411" s="507"/>
    </row>
    <row r="412" spans="1:234" s="206" customFormat="1" ht="13.5" hidden="1" customHeight="1" x14ac:dyDescent="0.25">
      <c r="A412" s="541" t="s">
        <v>5805</v>
      </c>
      <c r="B412" s="523" t="s">
        <v>5804</v>
      </c>
      <c r="C412" s="524" t="s">
        <v>5806</v>
      </c>
      <c r="D412" s="551" t="s">
        <v>189</v>
      </c>
      <c r="E412" s="569" t="s">
        <v>905</v>
      </c>
      <c r="F412" s="543">
        <v>41638</v>
      </c>
      <c r="G412" s="544">
        <v>41579</v>
      </c>
      <c r="H412" s="544">
        <v>41627</v>
      </c>
      <c r="I412" s="616">
        <v>43707</v>
      </c>
      <c r="J412" s="579">
        <v>10</v>
      </c>
      <c r="K412" s="553" t="s">
        <v>3229</v>
      </c>
      <c r="L412" s="552" t="s">
        <v>3229</v>
      </c>
      <c r="M412" s="560">
        <v>0</v>
      </c>
      <c r="N412" s="606">
        <v>0.5</v>
      </c>
      <c r="O412" s="613" t="s">
        <v>3229</v>
      </c>
      <c r="P412" s="575" t="s">
        <v>3229</v>
      </c>
      <c r="Q412" s="575" t="s">
        <v>3229</v>
      </c>
      <c r="R412" s="575" t="s">
        <v>3229</v>
      </c>
      <c r="S412" s="570"/>
      <c r="T412" s="563" t="s">
        <v>3229</v>
      </c>
      <c r="U412" s="563" t="s">
        <v>3229</v>
      </c>
      <c r="V412" s="563" t="s">
        <v>3229</v>
      </c>
      <c r="W412" s="563" t="s">
        <v>3229</v>
      </c>
      <c r="X412" s="563" t="s">
        <v>3229</v>
      </c>
      <c r="Y412" s="598" t="s">
        <v>3229</v>
      </c>
      <c r="Z412" s="598" t="s">
        <v>3229</v>
      </c>
      <c r="AA412" s="598" t="s">
        <v>3229</v>
      </c>
      <c r="AB412" s="598" t="s">
        <v>3229</v>
      </c>
      <c r="AC412" s="598" t="s">
        <v>3229</v>
      </c>
      <c r="AD412" s="598" t="s">
        <v>3229</v>
      </c>
      <c r="AE412" s="598" t="s">
        <v>3229</v>
      </c>
      <c r="AF412" s="3764" t="s">
        <v>781</v>
      </c>
      <c r="AG412" s="3765"/>
      <c r="AH412" s="1301" t="s">
        <v>3229</v>
      </c>
      <c r="AI412" s="1301" t="s">
        <v>3229</v>
      </c>
      <c r="AJ412" s="1301" t="s">
        <v>3229</v>
      </c>
      <c r="AK412" s="530" t="s">
        <v>3229</v>
      </c>
      <c r="AL412" s="530" t="s">
        <v>3229</v>
      </c>
      <c r="AM412" s="659">
        <v>1</v>
      </c>
      <c r="AN412" s="638">
        <f>'klikací hodnoty'!F12702</f>
        <v>4.4850805555555547E-2</v>
      </c>
      <c r="AO412" s="625">
        <v>10.45</v>
      </c>
      <c r="AP412" s="688">
        <f>+'klikací hodnoty'!E12701</f>
        <v>8.9701611111111093E-2</v>
      </c>
      <c r="AQ412" s="606">
        <f>'klikací hodnoty'!F12682</f>
        <v>6.9238978280218633E-2</v>
      </c>
      <c r="AR412" s="600" t="s">
        <v>3660</v>
      </c>
      <c r="AS412" s="548"/>
      <c r="AT412" s="548"/>
      <c r="AU412" s="549"/>
      <c r="AV412" s="558">
        <f t="shared" si="100"/>
        <v>0</v>
      </c>
      <c r="AW412" s="558">
        <f t="shared" si="95"/>
        <v>0</v>
      </c>
      <c r="AX412" s="589">
        <f t="shared" si="88"/>
        <v>-4.3062200956937691E-2</v>
      </c>
      <c r="AY412" s="587" t="e">
        <f t="shared" si="89"/>
        <v>#DIV/0!</v>
      </c>
      <c r="AZ412" s="676">
        <f t="shared" si="99"/>
        <v>10</v>
      </c>
      <c r="BA412" s="581"/>
      <c r="BB412" s="570"/>
      <c r="BC412" s="581"/>
      <c r="BD412" s="3691"/>
      <c r="BE412" s="3743"/>
      <c r="BF412" s="3743"/>
      <c r="BG412" s="3708"/>
      <c r="BH412" s="3762"/>
      <c r="BI412" s="3762"/>
      <c r="BJ412" s="39"/>
      <c r="BK412" s="39"/>
      <c r="BL412" s="39"/>
      <c r="BM412" s="39"/>
      <c r="BN412" s="39"/>
      <c r="BO412" s="39"/>
      <c r="BP412" s="39"/>
      <c r="BQ412" s="39"/>
      <c r="BR412" s="39"/>
      <c r="BS412" s="507"/>
      <c r="BT412" s="507"/>
      <c r="BU412" s="507"/>
      <c r="BV412" s="507"/>
      <c r="BW412" s="507"/>
      <c r="BX412" s="507"/>
      <c r="BY412" s="507"/>
      <c r="BZ412" s="507"/>
      <c r="CA412" s="507"/>
      <c r="CB412" s="507"/>
      <c r="CC412" s="507"/>
      <c r="CD412" s="507"/>
      <c r="CE412" s="507"/>
      <c r="CF412" s="507"/>
      <c r="CG412" s="507"/>
      <c r="CH412" s="507"/>
      <c r="CI412" s="507"/>
      <c r="CJ412" s="507"/>
      <c r="CK412" s="507"/>
      <c r="CL412" s="507"/>
      <c r="CM412" s="507"/>
      <c r="CN412" s="507"/>
      <c r="CO412" s="507"/>
      <c r="CP412" s="507"/>
      <c r="CQ412" s="507"/>
      <c r="CR412" s="507"/>
      <c r="CS412" s="507"/>
      <c r="CT412" s="507"/>
      <c r="CU412" s="507"/>
      <c r="CV412" s="507"/>
      <c r="CW412" s="507"/>
      <c r="CX412" s="507"/>
      <c r="CY412" s="507"/>
      <c r="CZ412" s="507"/>
      <c r="DA412" s="507"/>
      <c r="DB412" s="507"/>
      <c r="DC412" s="507"/>
      <c r="DD412" s="507"/>
      <c r="DE412" s="507"/>
      <c r="DF412" s="507"/>
      <c r="DG412" s="507"/>
      <c r="DH412" s="507"/>
      <c r="DI412" s="507"/>
      <c r="DJ412" s="507"/>
      <c r="DK412" s="507"/>
      <c r="DL412" s="507"/>
      <c r="DM412" s="507"/>
      <c r="DN412" s="507"/>
      <c r="DO412" s="507"/>
      <c r="DP412" s="507"/>
      <c r="DQ412" s="507"/>
      <c r="DR412" s="507"/>
      <c r="DS412" s="507"/>
      <c r="DT412" s="507"/>
      <c r="DU412" s="507"/>
      <c r="DV412" s="507"/>
      <c r="DW412" s="507"/>
      <c r="DX412" s="507"/>
      <c r="DY412" s="507"/>
      <c r="DZ412" s="507"/>
      <c r="EA412" s="507"/>
      <c r="EB412" s="507"/>
      <c r="EC412" s="507"/>
      <c r="ED412" s="507"/>
      <c r="EE412" s="507"/>
      <c r="EF412" s="507"/>
      <c r="EG412" s="507"/>
      <c r="EH412" s="507"/>
      <c r="EI412" s="507"/>
      <c r="EJ412" s="507"/>
      <c r="EK412" s="507"/>
      <c r="EL412" s="507"/>
      <c r="EM412" s="507"/>
      <c r="EN412" s="507"/>
      <c r="EO412" s="507"/>
      <c r="EP412" s="507"/>
      <c r="EQ412" s="507"/>
      <c r="ER412" s="507"/>
      <c r="ES412" s="507"/>
      <c r="ET412" s="507"/>
      <c r="EU412" s="507"/>
      <c r="EV412" s="507"/>
      <c r="EW412" s="507"/>
      <c r="EX412" s="507"/>
      <c r="EY412" s="507"/>
      <c r="EZ412" s="507"/>
      <c r="FA412" s="507"/>
      <c r="FB412" s="507"/>
      <c r="FC412" s="507"/>
      <c r="FD412" s="507"/>
      <c r="FE412" s="507"/>
      <c r="FF412" s="507"/>
      <c r="FG412" s="507"/>
      <c r="FH412" s="507"/>
      <c r="FI412" s="507"/>
      <c r="FJ412" s="507"/>
      <c r="FK412" s="507"/>
      <c r="FL412" s="507"/>
      <c r="FM412" s="507"/>
      <c r="FN412" s="507"/>
      <c r="FO412" s="507"/>
      <c r="FP412" s="507"/>
      <c r="FQ412" s="507"/>
      <c r="FR412" s="507"/>
      <c r="FS412" s="507"/>
      <c r="FT412" s="507"/>
      <c r="FU412" s="507"/>
      <c r="FV412" s="507"/>
      <c r="FW412" s="507"/>
      <c r="FX412" s="507"/>
      <c r="FY412" s="507"/>
      <c r="FZ412" s="507"/>
      <c r="GA412" s="507"/>
      <c r="GB412" s="507"/>
      <c r="GC412" s="507"/>
      <c r="GD412" s="507"/>
      <c r="GE412" s="507"/>
      <c r="GF412" s="507"/>
      <c r="GG412" s="507"/>
      <c r="GH412" s="507"/>
      <c r="GI412" s="507"/>
      <c r="GJ412" s="507"/>
      <c r="GK412" s="507"/>
      <c r="GL412" s="507"/>
      <c r="GM412" s="507"/>
      <c r="GN412" s="507"/>
      <c r="GO412" s="507"/>
      <c r="GP412" s="507"/>
      <c r="GQ412" s="507"/>
      <c r="GR412" s="507"/>
      <c r="GS412" s="507"/>
      <c r="GT412" s="507"/>
      <c r="GU412" s="507"/>
      <c r="GV412" s="507"/>
      <c r="GW412" s="507"/>
      <c r="GX412" s="507"/>
      <c r="GY412" s="507"/>
      <c r="GZ412" s="507"/>
      <c r="HA412" s="507"/>
      <c r="HB412" s="507"/>
      <c r="HC412" s="507"/>
      <c r="HD412" s="507"/>
      <c r="HE412" s="507"/>
      <c r="HF412" s="507"/>
      <c r="HG412" s="507"/>
      <c r="HH412" s="507"/>
      <c r="HI412" s="507"/>
      <c r="HJ412" s="507"/>
      <c r="HK412" s="507"/>
      <c r="HL412" s="507"/>
      <c r="HM412" s="507"/>
      <c r="HN412" s="507"/>
      <c r="HO412" s="507"/>
      <c r="HP412" s="507"/>
      <c r="HQ412" s="507"/>
      <c r="HR412" s="507"/>
      <c r="HS412" s="507"/>
      <c r="HT412" s="507"/>
      <c r="HU412" s="507"/>
      <c r="HV412" s="507"/>
      <c r="HW412" s="507"/>
      <c r="HX412" s="507"/>
      <c r="HY412" s="507"/>
      <c r="HZ412" s="507"/>
    </row>
    <row r="413" spans="1:234" s="206" customFormat="1" ht="13.5" hidden="1" customHeight="1" x14ac:dyDescent="0.25">
      <c r="A413" s="541" t="s">
        <v>5807</v>
      </c>
      <c r="B413" s="523" t="s">
        <v>5808</v>
      </c>
      <c r="C413" s="524" t="s">
        <v>5809</v>
      </c>
      <c r="D413" s="551" t="s">
        <v>6656</v>
      </c>
      <c r="E413" s="569" t="s">
        <v>3228</v>
      </c>
      <c r="F413" s="543">
        <v>41638</v>
      </c>
      <c r="G413" s="544">
        <v>41579</v>
      </c>
      <c r="H413" s="544">
        <v>41627</v>
      </c>
      <c r="I413" s="616">
        <v>43677</v>
      </c>
      <c r="J413" s="579">
        <v>10</v>
      </c>
      <c r="K413" s="553" t="s">
        <v>3229</v>
      </c>
      <c r="L413" s="552" t="s">
        <v>3229</v>
      </c>
      <c r="M413" s="560">
        <v>-1</v>
      </c>
      <c r="N413" s="606">
        <v>0.75</v>
      </c>
      <c r="O413" s="613">
        <v>0.8</v>
      </c>
      <c r="P413" s="575" t="s">
        <v>3229</v>
      </c>
      <c r="Q413" s="575" t="s">
        <v>3229</v>
      </c>
      <c r="R413" s="575" t="s">
        <v>3229</v>
      </c>
      <c r="S413" s="570"/>
      <c r="T413" s="563" t="s">
        <v>3229</v>
      </c>
      <c r="U413" s="563" t="s">
        <v>3229</v>
      </c>
      <c r="V413" s="563" t="s">
        <v>3229</v>
      </c>
      <c r="W413" s="563" t="s">
        <v>3229</v>
      </c>
      <c r="X413" s="563" t="s">
        <v>3229</v>
      </c>
      <c r="Y413" s="598" t="s">
        <v>3229</v>
      </c>
      <c r="Z413" s="598" t="s">
        <v>3229</v>
      </c>
      <c r="AA413" s="598" t="s">
        <v>3229</v>
      </c>
      <c r="AB413" s="598" t="s">
        <v>3229</v>
      </c>
      <c r="AC413" s="598" t="s">
        <v>3229</v>
      </c>
      <c r="AD413" s="598" t="s">
        <v>3229</v>
      </c>
      <c r="AE413" s="598" t="s">
        <v>3229</v>
      </c>
      <c r="AF413" s="3764" t="s">
        <v>781</v>
      </c>
      <c r="AG413" s="3765"/>
      <c r="AH413" s="1301">
        <v>1</v>
      </c>
      <c r="AI413" s="1301" t="s">
        <v>3229</v>
      </c>
      <c r="AJ413" s="1301" t="s">
        <v>3229</v>
      </c>
      <c r="AK413" s="530" t="s">
        <v>3229</v>
      </c>
      <c r="AL413" s="530" t="s">
        <v>3229</v>
      </c>
      <c r="AM413" s="659" t="s">
        <v>3229</v>
      </c>
      <c r="AN413" s="638">
        <f>'klikací hodnoty'!F12708</f>
        <v>6.7854633772309714E-2</v>
      </c>
      <c r="AO413" s="625">
        <v>10.68</v>
      </c>
      <c r="AP413" s="688">
        <f>+'klikací hodnoty'!F12706</f>
        <v>9.0472845029746285E-2</v>
      </c>
      <c r="AQ413" s="606">
        <f>+'klikací hodnoty'!F12706</f>
        <v>9.0472845029746285E-2</v>
      </c>
      <c r="AR413" s="600">
        <f>O413</f>
        <v>0.8</v>
      </c>
      <c r="AS413" s="548">
        <f>POWER(1+AR413,1/((I413-F413)/365))-1</f>
        <v>0.11095420500003406</v>
      </c>
      <c r="AT413" s="548">
        <f>J413*(1+AR413)/AO413-1</f>
        <v>0.68539325842696641</v>
      </c>
      <c r="AU413" s="549" t="e">
        <f>POWER(1+AT413,1/AG413)-1</f>
        <v>#DIV/0!</v>
      </c>
      <c r="AV413" s="558">
        <f t="shared" si="100"/>
        <v>-1</v>
      </c>
      <c r="AW413" s="558">
        <f t="shared" si="95"/>
        <v>-1</v>
      </c>
      <c r="AX413" s="589">
        <f t="shared" si="88"/>
        <v>-1</v>
      </c>
      <c r="AY413" s="587" t="e">
        <f t="shared" si="89"/>
        <v>#DIV/0!</v>
      </c>
      <c r="AZ413" s="676">
        <f t="shared" si="99"/>
        <v>0</v>
      </c>
      <c r="BA413" s="581"/>
      <c r="BB413" s="570"/>
      <c r="BC413" s="581"/>
      <c r="BD413" s="3691"/>
      <c r="BE413" s="3743"/>
      <c r="BF413" s="3743"/>
      <c r="BG413" s="3708"/>
      <c r="BH413" s="3762"/>
      <c r="BI413" s="3762"/>
      <c r="BJ413" s="39"/>
      <c r="BK413" s="39"/>
      <c r="BL413" s="39"/>
      <c r="BM413" s="39"/>
      <c r="BN413" s="39"/>
      <c r="BO413" s="39"/>
      <c r="BP413" s="39"/>
      <c r="BQ413" s="39"/>
      <c r="BR413" s="39"/>
      <c r="BS413" s="507"/>
      <c r="BT413" s="507"/>
      <c r="BU413" s="507"/>
      <c r="BV413" s="507"/>
      <c r="BW413" s="507"/>
      <c r="BX413" s="507"/>
      <c r="BY413" s="507"/>
      <c r="BZ413" s="507"/>
      <c r="CA413" s="507"/>
      <c r="CB413" s="507"/>
      <c r="CC413" s="507"/>
      <c r="CD413" s="507"/>
      <c r="CE413" s="507"/>
      <c r="CF413" s="507"/>
      <c r="CG413" s="507"/>
      <c r="CH413" s="507"/>
      <c r="CI413" s="507"/>
      <c r="CJ413" s="507"/>
      <c r="CK413" s="507"/>
      <c r="CL413" s="507"/>
      <c r="CM413" s="507"/>
      <c r="CN413" s="507"/>
      <c r="CO413" s="507"/>
      <c r="CP413" s="507"/>
      <c r="CQ413" s="507"/>
      <c r="CR413" s="507"/>
      <c r="CS413" s="507"/>
      <c r="CT413" s="507"/>
      <c r="CU413" s="507"/>
      <c r="CV413" s="507"/>
      <c r="CW413" s="507"/>
      <c r="CX413" s="507"/>
      <c r="CY413" s="507"/>
      <c r="CZ413" s="507"/>
      <c r="DA413" s="507"/>
      <c r="DB413" s="507"/>
      <c r="DC413" s="507"/>
      <c r="DD413" s="507"/>
      <c r="DE413" s="507"/>
      <c r="DF413" s="507"/>
      <c r="DG413" s="507"/>
      <c r="DH413" s="507"/>
      <c r="DI413" s="507"/>
      <c r="DJ413" s="507"/>
      <c r="DK413" s="507"/>
      <c r="DL413" s="507"/>
      <c r="DM413" s="507"/>
      <c r="DN413" s="507"/>
      <c r="DO413" s="507"/>
      <c r="DP413" s="507"/>
      <c r="DQ413" s="507"/>
      <c r="DR413" s="507"/>
      <c r="DS413" s="507"/>
      <c r="DT413" s="507"/>
      <c r="DU413" s="507"/>
      <c r="DV413" s="507"/>
      <c r="DW413" s="507"/>
      <c r="DX413" s="507"/>
      <c r="DY413" s="507"/>
      <c r="DZ413" s="507"/>
      <c r="EA413" s="507"/>
      <c r="EB413" s="507"/>
      <c r="EC413" s="507"/>
      <c r="ED413" s="507"/>
      <c r="EE413" s="507"/>
      <c r="EF413" s="507"/>
      <c r="EG413" s="507"/>
      <c r="EH413" s="507"/>
      <c r="EI413" s="507"/>
      <c r="EJ413" s="507"/>
      <c r="EK413" s="507"/>
      <c r="EL413" s="507"/>
      <c r="EM413" s="507"/>
      <c r="EN413" s="507"/>
      <c r="EO413" s="507"/>
      <c r="EP413" s="507"/>
      <c r="EQ413" s="507"/>
      <c r="ER413" s="507"/>
      <c r="ES413" s="507"/>
      <c r="ET413" s="507"/>
      <c r="EU413" s="507"/>
      <c r="EV413" s="507"/>
      <c r="EW413" s="507"/>
      <c r="EX413" s="507"/>
      <c r="EY413" s="507"/>
      <c r="EZ413" s="507"/>
      <c r="FA413" s="507"/>
      <c r="FB413" s="507"/>
      <c r="FC413" s="507"/>
      <c r="FD413" s="507"/>
      <c r="FE413" s="507"/>
      <c r="FF413" s="507"/>
      <c r="FG413" s="507"/>
      <c r="FH413" s="507"/>
      <c r="FI413" s="507"/>
      <c r="FJ413" s="507"/>
      <c r="FK413" s="507"/>
      <c r="FL413" s="507"/>
      <c r="FM413" s="507"/>
      <c r="FN413" s="507"/>
      <c r="FO413" s="507"/>
      <c r="FP413" s="507"/>
      <c r="FQ413" s="507"/>
      <c r="FR413" s="507"/>
      <c r="FS413" s="507"/>
      <c r="FT413" s="507"/>
      <c r="FU413" s="507"/>
      <c r="FV413" s="507"/>
      <c r="FW413" s="507"/>
      <c r="FX413" s="507"/>
      <c r="FY413" s="507"/>
      <c r="FZ413" s="507"/>
      <c r="GA413" s="507"/>
      <c r="GB413" s="507"/>
      <c r="GC413" s="507"/>
      <c r="GD413" s="507"/>
      <c r="GE413" s="507"/>
      <c r="GF413" s="507"/>
      <c r="GG413" s="507"/>
      <c r="GH413" s="507"/>
      <c r="GI413" s="507"/>
      <c r="GJ413" s="507"/>
      <c r="GK413" s="507"/>
      <c r="GL413" s="507"/>
      <c r="GM413" s="507"/>
      <c r="GN413" s="507"/>
      <c r="GO413" s="507"/>
      <c r="GP413" s="507"/>
      <c r="GQ413" s="507"/>
      <c r="GR413" s="507"/>
      <c r="GS413" s="507"/>
      <c r="GT413" s="507"/>
      <c r="GU413" s="507"/>
      <c r="GV413" s="507"/>
      <c r="GW413" s="507"/>
      <c r="GX413" s="507"/>
      <c r="GY413" s="507"/>
      <c r="GZ413" s="507"/>
      <c r="HA413" s="507"/>
      <c r="HB413" s="507"/>
      <c r="HC413" s="507"/>
      <c r="HD413" s="507"/>
      <c r="HE413" s="507"/>
      <c r="HF413" s="507"/>
      <c r="HG413" s="507"/>
      <c r="HH413" s="507"/>
      <c r="HI413" s="507"/>
      <c r="HJ413" s="507"/>
      <c r="HK413" s="507"/>
      <c r="HL413" s="507"/>
      <c r="HM413" s="507"/>
      <c r="HN413" s="507"/>
      <c r="HO413" s="507"/>
      <c r="HP413" s="507"/>
      <c r="HQ413" s="507"/>
      <c r="HR413" s="507"/>
      <c r="HS413" s="507"/>
      <c r="HT413" s="507"/>
      <c r="HU413" s="507"/>
      <c r="HV413" s="507"/>
      <c r="HW413" s="507"/>
      <c r="HX413" s="507"/>
      <c r="HY413" s="507"/>
      <c r="HZ413" s="507"/>
    </row>
    <row r="414" spans="1:234" s="206" customFormat="1" ht="13.5" hidden="1" customHeight="1" x14ac:dyDescent="0.25">
      <c r="A414" s="541" t="s">
        <v>5811</v>
      </c>
      <c r="B414" s="523" t="s">
        <v>5810</v>
      </c>
      <c r="C414" s="524" t="s">
        <v>5812</v>
      </c>
      <c r="D414" s="551" t="s">
        <v>4384</v>
      </c>
      <c r="E414" s="569" t="s">
        <v>905</v>
      </c>
      <c r="F414" s="543">
        <v>41621</v>
      </c>
      <c r="G414" s="544">
        <v>41582</v>
      </c>
      <c r="H414" s="544">
        <v>41614</v>
      </c>
      <c r="I414" s="616">
        <v>42035</v>
      </c>
      <c r="J414" s="579">
        <v>10</v>
      </c>
      <c r="K414" s="553" t="s">
        <v>3229</v>
      </c>
      <c r="L414" s="552" t="s">
        <v>3229</v>
      </c>
      <c r="M414" s="560">
        <v>-1</v>
      </c>
      <c r="N414" s="606" t="s">
        <v>3229</v>
      </c>
      <c r="O414" s="613">
        <v>0.8</v>
      </c>
      <c r="P414" s="575" t="s">
        <v>3229</v>
      </c>
      <c r="Q414" s="575" t="s">
        <v>3229</v>
      </c>
      <c r="R414" s="575" t="s">
        <v>3229</v>
      </c>
      <c r="S414" s="570"/>
      <c r="T414" s="563" t="s">
        <v>3229</v>
      </c>
      <c r="U414" s="563" t="s">
        <v>3229</v>
      </c>
      <c r="V414" s="563" t="s">
        <v>3229</v>
      </c>
      <c r="W414" s="563" t="s">
        <v>3229</v>
      </c>
      <c r="X414" s="563" t="s">
        <v>3229</v>
      </c>
      <c r="Y414" s="598" t="s">
        <v>3229</v>
      </c>
      <c r="Z414" s="598" t="s">
        <v>3229</v>
      </c>
      <c r="AA414" s="598" t="s">
        <v>3229</v>
      </c>
      <c r="AB414" s="598" t="s">
        <v>3229</v>
      </c>
      <c r="AC414" s="598" t="s">
        <v>3229</v>
      </c>
      <c r="AD414" s="598" t="s">
        <v>3229</v>
      </c>
      <c r="AE414" s="598" t="s">
        <v>3229</v>
      </c>
      <c r="AF414" s="3764" t="s">
        <v>781</v>
      </c>
      <c r="AG414" s="3765"/>
      <c r="AH414" s="1301">
        <v>1</v>
      </c>
      <c r="AI414" s="1301" t="s">
        <v>3229</v>
      </c>
      <c r="AJ414" s="1301" t="s">
        <v>3229</v>
      </c>
      <c r="AK414" s="530" t="s">
        <v>3229</v>
      </c>
      <c r="AL414" s="530" t="s">
        <v>3229</v>
      </c>
      <c r="AM414" s="659" t="s">
        <v>3229</v>
      </c>
      <c r="AN414" s="638">
        <f>'klikací hodnoty'!F12334</f>
        <v>0.09</v>
      </c>
      <c r="AO414" s="625">
        <v>10</v>
      </c>
      <c r="AP414" s="688">
        <f>AQ414</f>
        <v>3.2579524385817127E-2</v>
      </c>
      <c r="AQ414" s="606">
        <f>'klikací hodnoty'!F12331</f>
        <v>3.2579524385817127E-2</v>
      </c>
      <c r="AR414" s="600">
        <f>O414</f>
        <v>0.8</v>
      </c>
      <c r="AS414" s="548">
        <f>POWER(1+AR414,1/((I414-F414)/365))-1</f>
        <v>0.67903246162033826</v>
      </c>
      <c r="AT414" s="548">
        <f>J414*(1+AR414)/AO414-1</f>
        <v>0.8</v>
      </c>
      <c r="AU414" s="549" t="e">
        <f>POWER(1+AT414,1/AG414)-1</f>
        <v>#DIV/0!</v>
      </c>
      <c r="AV414" s="558">
        <f t="shared" si="100"/>
        <v>-1</v>
      </c>
      <c r="AW414" s="558">
        <f t="shared" si="95"/>
        <v>-1</v>
      </c>
      <c r="AX414" s="589">
        <f t="shared" si="88"/>
        <v>-1</v>
      </c>
      <c r="AY414" s="587" t="e">
        <f t="shared" si="89"/>
        <v>#DIV/0!</v>
      </c>
      <c r="AZ414" s="676">
        <f t="shared" si="99"/>
        <v>0</v>
      </c>
      <c r="BA414" s="581"/>
      <c r="BB414" s="570"/>
      <c r="BC414" s="581"/>
      <c r="BD414" s="3691"/>
      <c r="BE414" s="3743"/>
      <c r="BF414" s="3743"/>
      <c r="BG414" s="3708"/>
      <c r="BH414" s="3762"/>
      <c r="BI414" s="3762"/>
      <c r="BJ414" s="39"/>
      <c r="BK414" s="39"/>
      <c r="BL414" s="39"/>
      <c r="BM414" s="39"/>
      <c r="BN414" s="39"/>
      <c r="BO414" s="39"/>
      <c r="BP414" s="39"/>
      <c r="BQ414" s="39"/>
      <c r="BR414" s="39"/>
      <c r="BS414" s="507"/>
      <c r="BT414" s="507"/>
      <c r="BU414" s="507"/>
      <c r="BV414" s="507"/>
      <c r="BW414" s="507"/>
      <c r="BX414" s="507"/>
      <c r="BY414" s="507"/>
      <c r="BZ414" s="507"/>
      <c r="CA414" s="507"/>
      <c r="CB414" s="507"/>
      <c r="CC414" s="507"/>
      <c r="CD414" s="507"/>
      <c r="CE414" s="507"/>
      <c r="CF414" s="507"/>
      <c r="CG414" s="507"/>
      <c r="CH414" s="507"/>
      <c r="CI414" s="507"/>
      <c r="CJ414" s="507"/>
      <c r="CK414" s="507"/>
      <c r="CL414" s="507"/>
      <c r="CM414" s="507"/>
      <c r="CN414" s="507"/>
      <c r="CO414" s="507"/>
      <c r="CP414" s="507"/>
      <c r="CQ414" s="507"/>
      <c r="CR414" s="507"/>
      <c r="CS414" s="507"/>
      <c r="CT414" s="507"/>
      <c r="CU414" s="507"/>
      <c r="CV414" s="507"/>
      <c r="CW414" s="507"/>
      <c r="CX414" s="507"/>
      <c r="CY414" s="507"/>
      <c r="CZ414" s="507"/>
      <c r="DA414" s="507"/>
      <c r="DB414" s="507"/>
      <c r="DC414" s="507"/>
      <c r="DD414" s="507"/>
      <c r="DE414" s="507"/>
      <c r="DF414" s="507"/>
      <c r="DG414" s="507"/>
      <c r="DH414" s="507"/>
      <c r="DI414" s="507"/>
      <c r="DJ414" s="507"/>
      <c r="DK414" s="507"/>
      <c r="DL414" s="507"/>
      <c r="DM414" s="507"/>
      <c r="DN414" s="507"/>
      <c r="DO414" s="507"/>
      <c r="DP414" s="507"/>
      <c r="DQ414" s="507"/>
      <c r="DR414" s="507"/>
      <c r="DS414" s="507"/>
      <c r="DT414" s="507"/>
      <c r="DU414" s="507"/>
      <c r="DV414" s="507"/>
      <c r="DW414" s="507"/>
      <c r="DX414" s="507"/>
      <c r="DY414" s="507"/>
      <c r="DZ414" s="507"/>
      <c r="EA414" s="507"/>
      <c r="EB414" s="507"/>
      <c r="EC414" s="507"/>
      <c r="ED414" s="507"/>
      <c r="EE414" s="507"/>
      <c r="EF414" s="507"/>
      <c r="EG414" s="507"/>
      <c r="EH414" s="507"/>
      <c r="EI414" s="507"/>
      <c r="EJ414" s="507"/>
      <c r="EK414" s="507"/>
      <c r="EL414" s="507"/>
      <c r="EM414" s="507"/>
      <c r="EN414" s="507"/>
      <c r="EO414" s="507"/>
      <c r="EP414" s="507"/>
      <c r="EQ414" s="507"/>
      <c r="ER414" s="507"/>
      <c r="ES414" s="507"/>
      <c r="ET414" s="507"/>
      <c r="EU414" s="507"/>
      <c r="EV414" s="507"/>
      <c r="EW414" s="507"/>
      <c r="EX414" s="507"/>
      <c r="EY414" s="507"/>
      <c r="EZ414" s="507"/>
      <c r="FA414" s="507"/>
      <c r="FB414" s="507"/>
      <c r="FC414" s="507"/>
      <c r="FD414" s="507"/>
      <c r="FE414" s="507"/>
      <c r="FF414" s="507"/>
      <c r="FG414" s="507"/>
      <c r="FH414" s="507"/>
      <c r="FI414" s="507"/>
      <c r="FJ414" s="507"/>
      <c r="FK414" s="507"/>
      <c r="FL414" s="507"/>
      <c r="FM414" s="507"/>
      <c r="FN414" s="507"/>
      <c r="FO414" s="507"/>
      <c r="FP414" s="507"/>
      <c r="FQ414" s="507"/>
      <c r="FR414" s="507"/>
      <c r="FS414" s="507"/>
      <c r="FT414" s="507"/>
      <c r="FU414" s="507"/>
      <c r="FV414" s="507"/>
      <c r="FW414" s="507"/>
      <c r="FX414" s="507"/>
      <c r="FY414" s="507"/>
      <c r="FZ414" s="507"/>
      <c r="GA414" s="507"/>
      <c r="GB414" s="507"/>
      <c r="GC414" s="507"/>
      <c r="GD414" s="507"/>
      <c r="GE414" s="507"/>
      <c r="GF414" s="507"/>
      <c r="GG414" s="507"/>
      <c r="GH414" s="507"/>
      <c r="GI414" s="507"/>
      <c r="GJ414" s="507"/>
      <c r="GK414" s="507"/>
      <c r="GL414" s="507"/>
      <c r="GM414" s="507"/>
      <c r="GN414" s="507"/>
      <c r="GO414" s="507"/>
      <c r="GP414" s="507"/>
      <c r="GQ414" s="507"/>
      <c r="GR414" s="507"/>
      <c r="GS414" s="507"/>
      <c r="GT414" s="507"/>
      <c r="GU414" s="507"/>
      <c r="GV414" s="507"/>
      <c r="GW414" s="507"/>
      <c r="GX414" s="507"/>
      <c r="GY414" s="507"/>
      <c r="GZ414" s="507"/>
      <c r="HA414" s="507"/>
      <c r="HB414" s="507"/>
      <c r="HC414" s="507"/>
      <c r="HD414" s="507"/>
      <c r="HE414" s="507"/>
      <c r="HF414" s="507"/>
      <c r="HG414" s="507"/>
      <c r="HH414" s="507"/>
      <c r="HI414" s="507"/>
      <c r="HJ414" s="507"/>
      <c r="HK414" s="507"/>
      <c r="HL414" s="507"/>
      <c r="HM414" s="507"/>
      <c r="HN414" s="507"/>
      <c r="HO414" s="507"/>
      <c r="HP414" s="507"/>
      <c r="HQ414" s="507"/>
      <c r="HR414" s="507"/>
      <c r="HS414" s="507"/>
      <c r="HT414" s="507"/>
      <c r="HU414" s="507"/>
      <c r="HV414" s="507"/>
      <c r="HW414" s="507"/>
      <c r="HX414" s="507"/>
      <c r="HY414" s="507"/>
      <c r="HZ414" s="507"/>
    </row>
    <row r="415" spans="1:234" s="206" customFormat="1" ht="13.5" hidden="1" customHeight="1" x14ac:dyDescent="0.25">
      <c r="A415" s="541" t="s">
        <v>5816</v>
      </c>
      <c r="B415" s="523" t="s">
        <v>5813</v>
      </c>
      <c r="C415" s="524" t="s">
        <v>5814</v>
      </c>
      <c r="D415" s="551" t="s">
        <v>5815</v>
      </c>
      <c r="E415" s="569" t="s">
        <v>3228</v>
      </c>
      <c r="F415" s="543">
        <v>41682</v>
      </c>
      <c r="G415" s="544">
        <v>41610</v>
      </c>
      <c r="H415" s="544">
        <v>41670</v>
      </c>
      <c r="I415" s="616">
        <v>43769</v>
      </c>
      <c r="J415" s="579">
        <v>10</v>
      </c>
      <c r="K415" s="553" t="s">
        <v>3229</v>
      </c>
      <c r="L415" s="552" t="s">
        <v>3229</v>
      </c>
      <c r="M415" s="560">
        <v>-0.05</v>
      </c>
      <c r="N415" s="606">
        <v>0.8</v>
      </c>
      <c r="O415" s="613">
        <v>0.8</v>
      </c>
      <c r="P415" s="575" t="s">
        <v>3229</v>
      </c>
      <c r="Q415" s="575" t="s">
        <v>3229</v>
      </c>
      <c r="R415" s="575" t="s">
        <v>3229</v>
      </c>
      <c r="S415" s="570"/>
      <c r="T415" s="563" t="s">
        <v>3229</v>
      </c>
      <c r="U415" s="563" t="s">
        <v>3229</v>
      </c>
      <c r="V415" s="563" t="s">
        <v>3229</v>
      </c>
      <c r="W415" s="563" t="s">
        <v>3229</v>
      </c>
      <c r="X415" s="563" t="s">
        <v>3229</v>
      </c>
      <c r="Y415" s="598" t="s">
        <v>3229</v>
      </c>
      <c r="Z415" s="598" t="s">
        <v>3229</v>
      </c>
      <c r="AA415" s="598" t="s">
        <v>3229</v>
      </c>
      <c r="AB415" s="598" t="s">
        <v>3229</v>
      </c>
      <c r="AC415" s="598" t="s">
        <v>3229</v>
      </c>
      <c r="AD415" s="598" t="s">
        <v>3229</v>
      </c>
      <c r="AE415" s="598" t="s">
        <v>3229</v>
      </c>
      <c r="AF415" s="3764" t="s">
        <v>781</v>
      </c>
      <c r="AG415" s="3765"/>
      <c r="AH415" s="1301" t="s">
        <v>3229</v>
      </c>
      <c r="AI415" s="1301" t="s">
        <v>3229</v>
      </c>
      <c r="AJ415" s="1301" t="s">
        <v>3229</v>
      </c>
      <c r="AK415" s="530" t="s">
        <v>3229</v>
      </c>
      <c r="AL415" s="530" t="s">
        <v>3229</v>
      </c>
      <c r="AM415" s="659">
        <v>1</v>
      </c>
      <c r="AN415" s="638">
        <f>'klikací hodnoty'!F12754</f>
        <v>9.8936177777777787E-2</v>
      </c>
      <c r="AO415" s="625">
        <v>10.99</v>
      </c>
      <c r="AP415" s="688">
        <f>+'klikací hodnoty'!E12753</f>
        <v>0.12367022222222222</v>
      </c>
      <c r="AQ415" s="606">
        <f>'klikací hodnoty'!F12734</f>
        <v>0.20214278503424718</v>
      </c>
      <c r="AR415" s="600">
        <f>O415</f>
        <v>0.8</v>
      </c>
      <c r="AS415" s="548">
        <f>POWER(1+AR415,1/((I415-F415)/365))-1</f>
        <v>0.10826895376968393</v>
      </c>
      <c r="AT415" s="548">
        <f>J415*(1+AR415)/AO415-1</f>
        <v>0.63785259326660593</v>
      </c>
      <c r="AU415" s="549" t="e">
        <f>POWER(1+AT415,1/AG415)-1</f>
        <v>#DIV/0!</v>
      </c>
      <c r="AV415" s="558">
        <v>9.8900000000000002E-2</v>
      </c>
      <c r="AW415" s="558">
        <f t="shared" si="95"/>
        <v>1.6630803778315828E-2</v>
      </c>
      <c r="AX415" s="589">
        <f t="shared" si="88"/>
        <v>-9.0991810737017786E-5</v>
      </c>
      <c r="AY415" s="587" t="e">
        <f t="shared" si="89"/>
        <v>#DIV/0!</v>
      </c>
      <c r="AZ415" s="676">
        <f t="shared" si="99"/>
        <v>10.989000000000001</v>
      </c>
      <c r="BA415" s="581"/>
      <c r="BB415" s="570"/>
      <c r="BC415" s="581"/>
      <c r="BD415" s="3691"/>
      <c r="BE415" s="3743"/>
      <c r="BF415" s="3743"/>
      <c r="BG415" s="3708"/>
      <c r="BH415" s="3762"/>
      <c r="BI415" s="3762"/>
      <c r="BJ415" s="39"/>
      <c r="BK415" s="39"/>
      <c r="BL415" s="39"/>
      <c r="BM415" s="39"/>
      <c r="BN415" s="39"/>
      <c r="BO415" s="39"/>
      <c r="BP415" s="39"/>
      <c r="BQ415" s="39"/>
      <c r="BR415" s="39"/>
      <c r="BS415" s="507"/>
      <c r="BT415" s="507"/>
      <c r="BU415" s="507"/>
      <c r="BV415" s="507"/>
      <c r="BW415" s="507"/>
      <c r="BX415" s="507"/>
      <c r="BY415" s="507"/>
      <c r="BZ415" s="507"/>
      <c r="CA415" s="507"/>
      <c r="CB415" s="507"/>
      <c r="CC415" s="507"/>
      <c r="CD415" s="507"/>
      <c r="CE415" s="507"/>
      <c r="CF415" s="507"/>
      <c r="CG415" s="507"/>
      <c r="CH415" s="507"/>
      <c r="CI415" s="507"/>
      <c r="CJ415" s="507"/>
      <c r="CK415" s="507"/>
      <c r="CL415" s="507"/>
      <c r="CM415" s="507"/>
      <c r="CN415" s="507"/>
      <c r="CO415" s="507"/>
      <c r="CP415" s="507"/>
      <c r="CQ415" s="507"/>
      <c r="CR415" s="507"/>
      <c r="CS415" s="507"/>
      <c r="CT415" s="507"/>
      <c r="CU415" s="507"/>
      <c r="CV415" s="507"/>
      <c r="CW415" s="507"/>
      <c r="CX415" s="507"/>
      <c r="CY415" s="507"/>
      <c r="CZ415" s="507"/>
      <c r="DA415" s="507"/>
      <c r="DB415" s="507"/>
      <c r="DC415" s="507"/>
      <c r="DD415" s="507"/>
      <c r="DE415" s="507"/>
      <c r="DF415" s="507"/>
      <c r="DG415" s="507"/>
      <c r="DH415" s="507"/>
      <c r="DI415" s="507"/>
      <c r="DJ415" s="507"/>
      <c r="DK415" s="507"/>
      <c r="DL415" s="507"/>
      <c r="DM415" s="507"/>
      <c r="DN415" s="507"/>
      <c r="DO415" s="507"/>
      <c r="DP415" s="507"/>
      <c r="DQ415" s="507"/>
      <c r="DR415" s="507"/>
      <c r="DS415" s="507"/>
      <c r="DT415" s="507"/>
      <c r="DU415" s="507"/>
      <c r="DV415" s="507"/>
      <c r="DW415" s="507"/>
      <c r="DX415" s="507"/>
      <c r="DY415" s="507"/>
      <c r="DZ415" s="507"/>
      <c r="EA415" s="507"/>
      <c r="EB415" s="507"/>
      <c r="EC415" s="507"/>
      <c r="ED415" s="507"/>
      <c r="EE415" s="507"/>
      <c r="EF415" s="507"/>
      <c r="EG415" s="507"/>
      <c r="EH415" s="507"/>
      <c r="EI415" s="507"/>
      <c r="EJ415" s="507"/>
      <c r="EK415" s="507"/>
      <c r="EL415" s="507"/>
      <c r="EM415" s="507"/>
      <c r="EN415" s="507"/>
      <c r="EO415" s="507"/>
      <c r="EP415" s="507"/>
      <c r="EQ415" s="507"/>
      <c r="ER415" s="507"/>
      <c r="ES415" s="507"/>
      <c r="ET415" s="507"/>
      <c r="EU415" s="507"/>
      <c r="EV415" s="507"/>
      <c r="EW415" s="507"/>
      <c r="EX415" s="507"/>
      <c r="EY415" s="507"/>
      <c r="EZ415" s="507"/>
      <c r="FA415" s="507"/>
      <c r="FB415" s="507"/>
      <c r="FC415" s="507"/>
      <c r="FD415" s="507"/>
      <c r="FE415" s="507"/>
      <c r="FF415" s="507"/>
      <c r="FG415" s="507"/>
      <c r="FH415" s="507"/>
      <c r="FI415" s="507"/>
      <c r="FJ415" s="507"/>
      <c r="FK415" s="507"/>
      <c r="FL415" s="507"/>
      <c r="FM415" s="507"/>
      <c r="FN415" s="507"/>
      <c r="FO415" s="507"/>
      <c r="FP415" s="507"/>
      <c r="FQ415" s="507"/>
      <c r="FR415" s="507"/>
      <c r="FS415" s="507"/>
      <c r="FT415" s="507"/>
      <c r="FU415" s="507"/>
      <c r="FV415" s="507"/>
      <c r="FW415" s="507"/>
      <c r="FX415" s="507"/>
      <c r="FY415" s="507"/>
      <c r="FZ415" s="507"/>
      <c r="GA415" s="507"/>
      <c r="GB415" s="507"/>
      <c r="GC415" s="507"/>
      <c r="GD415" s="507"/>
      <c r="GE415" s="507"/>
      <c r="GF415" s="507"/>
      <c r="GG415" s="507"/>
      <c r="GH415" s="507"/>
      <c r="GI415" s="507"/>
      <c r="GJ415" s="507"/>
      <c r="GK415" s="507"/>
      <c r="GL415" s="507"/>
      <c r="GM415" s="507"/>
      <c r="GN415" s="507"/>
      <c r="GO415" s="507"/>
      <c r="GP415" s="507"/>
      <c r="GQ415" s="507"/>
      <c r="GR415" s="507"/>
      <c r="GS415" s="507"/>
      <c r="GT415" s="507"/>
      <c r="GU415" s="507"/>
      <c r="GV415" s="507"/>
      <c r="GW415" s="507"/>
      <c r="GX415" s="507"/>
      <c r="GY415" s="507"/>
      <c r="GZ415" s="507"/>
      <c r="HA415" s="507"/>
      <c r="HB415" s="507"/>
      <c r="HC415" s="507"/>
      <c r="HD415" s="507"/>
      <c r="HE415" s="507"/>
      <c r="HF415" s="507"/>
      <c r="HG415" s="507"/>
      <c r="HH415" s="507"/>
      <c r="HI415" s="507"/>
      <c r="HJ415" s="507"/>
      <c r="HK415" s="507"/>
      <c r="HL415" s="507"/>
      <c r="HM415" s="507"/>
      <c r="HN415" s="507"/>
      <c r="HO415" s="507"/>
      <c r="HP415" s="507"/>
      <c r="HQ415" s="507"/>
      <c r="HR415" s="507"/>
      <c r="HS415" s="507"/>
      <c r="HT415" s="507"/>
      <c r="HU415" s="507"/>
      <c r="HV415" s="507"/>
      <c r="HW415" s="507"/>
      <c r="HX415" s="507"/>
      <c r="HY415" s="507"/>
      <c r="HZ415" s="507"/>
    </row>
    <row r="416" spans="1:234" s="206" customFormat="1" ht="13.5" hidden="1" customHeight="1" x14ac:dyDescent="0.25">
      <c r="A416" s="541" t="s">
        <v>5826</v>
      </c>
      <c r="B416" s="523" t="s">
        <v>5825</v>
      </c>
      <c r="C416" s="524" t="s">
        <v>5827</v>
      </c>
      <c r="D416" s="551" t="s">
        <v>189</v>
      </c>
      <c r="E416" s="569" t="s">
        <v>3228</v>
      </c>
      <c r="F416" s="543">
        <v>41705</v>
      </c>
      <c r="G416" s="544">
        <v>41641</v>
      </c>
      <c r="H416" s="544">
        <v>41698</v>
      </c>
      <c r="I416" s="616">
        <v>43798</v>
      </c>
      <c r="J416" s="579">
        <v>10</v>
      </c>
      <c r="K416" s="553" t="s">
        <v>3229</v>
      </c>
      <c r="L416" s="552" t="s">
        <v>3229</v>
      </c>
      <c r="M416" s="560">
        <v>-0.1</v>
      </c>
      <c r="N416" s="606">
        <v>0.5</v>
      </c>
      <c r="O416" s="613">
        <v>0.8</v>
      </c>
      <c r="P416" s="575" t="s">
        <v>3229</v>
      </c>
      <c r="Q416" s="575" t="s">
        <v>3229</v>
      </c>
      <c r="R416" s="575" t="s">
        <v>3229</v>
      </c>
      <c r="S416" s="570"/>
      <c r="T416" s="563" t="s">
        <v>3229</v>
      </c>
      <c r="U416" s="563" t="s">
        <v>3229</v>
      </c>
      <c r="V416" s="563" t="s">
        <v>3229</v>
      </c>
      <c r="W416" s="563" t="s">
        <v>3229</v>
      </c>
      <c r="X416" s="563" t="s">
        <v>3229</v>
      </c>
      <c r="Y416" s="598" t="s">
        <v>3229</v>
      </c>
      <c r="Z416" s="598" t="s">
        <v>3229</v>
      </c>
      <c r="AA416" s="598" t="s">
        <v>3229</v>
      </c>
      <c r="AB416" s="598" t="s">
        <v>3229</v>
      </c>
      <c r="AC416" s="598" t="s">
        <v>3229</v>
      </c>
      <c r="AD416" s="598" t="s">
        <v>3229</v>
      </c>
      <c r="AE416" s="598" t="s">
        <v>3229</v>
      </c>
      <c r="AF416" s="3764" t="s">
        <v>781</v>
      </c>
      <c r="AG416" s="3765"/>
      <c r="AH416" s="1301">
        <v>1</v>
      </c>
      <c r="AI416" s="1301" t="s">
        <v>3229</v>
      </c>
      <c r="AJ416" s="1301" t="s">
        <v>3229</v>
      </c>
      <c r="AK416" s="530" t="s">
        <v>3229</v>
      </c>
      <c r="AL416" s="530" t="s">
        <v>3229</v>
      </c>
      <c r="AM416" s="659" t="s">
        <v>3229</v>
      </c>
      <c r="AN416" s="638">
        <f>'klikací hodnoty'!F13054</f>
        <v>5.7799999999999997E-2</v>
      </c>
      <c r="AO416" s="625">
        <v>10.58</v>
      </c>
      <c r="AP416" s="688">
        <f>+'klikací hodnoty'!E13053</f>
        <v>0.11547092294735112</v>
      </c>
      <c r="AQ416" s="606">
        <f>'klikací hodnoty'!F13033</f>
        <v>0.17359955629506385</v>
      </c>
      <c r="AR416" s="600">
        <f>O416</f>
        <v>0.8</v>
      </c>
      <c r="AS416" s="548">
        <f>POWER(1+AR416,1/((I416-F416)/365))-1</f>
        <v>0.10794240102128239</v>
      </c>
      <c r="AT416" s="548">
        <f>J416*(1+AR416)/AO416-1</f>
        <v>0.70132325141776941</v>
      </c>
      <c r="AU416" s="549" t="e">
        <f>POWER(1+AT416,1/AG416)-1</f>
        <v>#DIV/0!</v>
      </c>
      <c r="AV416" s="558">
        <f t="shared" si="100"/>
        <v>-0.1</v>
      </c>
      <c r="AW416" s="558">
        <f t="shared" si="95"/>
        <v>-1.8206136284499519E-2</v>
      </c>
      <c r="AX416" s="589">
        <f t="shared" si="88"/>
        <v>-0.14933837429111529</v>
      </c>
      <c r="AY416" s="587" t="e">
        <f t="shared" si="89"/>
        <v>#DIV/0!</v>
      </c>
      <c r="AZ416" s="676">
        <f t="shared" si="99"/>
        <v>9</v>
      </c>
      <c r="BA416" s="581"/>
      <c r="BB416" s="570"/>
      <c r="BC416" s="581"/>
      <c r="BD416" s="3691"/>
      <c r="BE416" s="3743"/>
      <c r="BF416" s="3743"/>
      <c r="BG416" s="3708"/>
      <c r="BH416" s="3762"/>
      <c r="BI416" s="3762"/>
      <c r="BJ416" s="39"/>
      <c r="BK416" s="39"/>
      <c r="BL416" s="39"/>
      <c r="BM416" s="39"/>
      <c r="BN416" s="39"/>
      <c r="BO416" s="39"/>
      <c r="BP416" s="39"/>
      <c r="BQ416" s="39"/>
      <c r="BR416" s="39"/>
      <c r="BS416" s="507"/>
      <c r="BT416" s="507"/>
      <c r="BU416" s="507"/>
      <c r="BV416" s="507"/>
      <c r="BW416" s="507"/>
      <c r="BX416" s="507"/>
      <c r="BY416" s="507"/>
      <c r="BZ416" s="507"/>
      <c r="CA416" s="507"/>
      <c r="CB416" s="507"/>
      <c r="CC416" s="507"/>
      <c r="CD416" s="507"/>
      <c r="CE416" s="507"/>
      <c r="CF416" s="507"/>
      <c r="CG416" s="507"/>
      <c r="CH416" s="507"/>
      <c r="CI416" s="507"/>
      <c r="CJ416" s="507"/>
      <c r="CK416" s="507"/>
      <c r="CL416" s="507"/>
      <c r="CM416" s="507"/>
      <c r="CN416" s="507"/>
      <c r="CO416" s="507"/>
      <c r="CP416" s="507"/>
      <c r="CQ416" s="507"/>
      <c r="CR416" s="507"/>
      <c r="CS416" s="507"/>
      <c r="CT416" s="507"/>
      <c r="CU416" s="507"/>
      <c r="CV416" s="507"/>
      <c r="CW416" s="507"/>
      <c r="CX416" s="507"/>
      <c r="CY416" s="507"/>
      <c r="CZ416" s="507"/>
      <c r="DA416" s="507"/>
      <c r="DB416" s="507"/>
      <c r="DC416" s="507"/>
      <c r="DD416" s="507"/>
      <c r="DE416" s="507"/>
      <c r="DF416" s="507"/>
      <c r="DG416" s="507"/>
      <c r="DH416" s="507"/>
      <c r="DI416" s="507"/>
      <c r="DJ416" s="507"/>
      <c r="DK416" s="507"/>
      <c r="DL416" s="507"/>
      <c r="DM416" s="507"/>
      <c r="DN416" s="507"/>
      <c r="DO416" s="507"/>
      <c r="DP416" s="507"/>
      <c r="DQ416" s="507"/>
      <c r="DR416" s="507"/>
      <c r="DS416" s="507"/>
      <c r="DT416" s="507"/>
      <c r="DU416" s="507"/>
      <c r="DV416" s="507"/>
      <c r="DW416" s="507"/>
      <c r="DX416" s="507"/>
      <c r="DY416" s="507"/>
      <c r="DZ416" s="507"/>
      <c r="EA416" s="507"/>
      <c r="EB416" s="507"/>
      <c r="EC416" s="507"/>
      <c r="ED416" s="507"/>
      <c r="EE416" s="507"/>
      <c r="EF416" s="507"/>
      <c r="EG416" s="507"/>
      <c r="EH416" s="507"/>
      <c r="EI416" s="507"/>
      <c r="EJ416" s="507"/>
      <c r="EK416" s="507"/>
      <c r="EL416" s="507"/>
      <c r="EM416" s="507"/>
      <c r="EN416" s="507"/>
      <c r="EO416" s="507"/>
      <c r="EP416" s="507"/>
      <c r="EQ416" s="507"/>
      <c r="ER416" s="507"/>
      <c r="ES416" s="507"/>
      <c r="ET416" s="507"/>
      <c r="EU416" s="507"/>
      <c r="EV416" s="507"/>
      <c r="EW416" s="507"/>
      <c r="EX416" s="507"/>
      <c r="EY416" s="507"/>
      <c r="EZ416" s="507"/>
      <c r="FA416" s="507"/>
      <c r="FB416" s="507"/>
      <c r="FC416" s="507"/>
      <c r="FD416" s="507"/>
      <c r="FE416" s="507"/>
      <c r="FF416" s="507"/>
      <c r="FG416" s="507"/>
      <c r="FH416" s="507"/>
      <c r="FI416" s="507"/>
      <c r="FJ416" s="507"/>
      <c r="FK416" s="507"/>
      <c r="FL416" s="507"/>
      <c r="FM416" s="507"/>
      <c r="FN416" s="507"/>
      <c r="FO416" s="507"/>
      <c r="FP416" s="507"/>
      <c r="FQ416" s="507"/>
      <c r="FR416" s="507"/>
      <c r="FS416" s="507"/>
      <c r="FT416" s="507"/>
      <c r="FU416" s="507"/>
      <c r="FV416" s="507"/>
      <c r="FW416" s="507"/>
      <c r="FX416" s="507"/>
      <c r="FY416" s="507"/>
      <c r="FZ416" s="507"/>
      <c r="GA416" s="507"/>
      <c r="GB416" s="507"/>
      <c r="GC416" s="507"/>
      <c r="GD416" s="507"/>
      <c r="GE416" s="507"/>
      <c r="GF416" s="507"/>
      <c r="GG416" s="507"/>
      <c r="GH416" s="507"/>
      <c r="GI416" s="507"/>
      <c r="GJ416" s="507"/>
      <c r="GK416" s="507"/>
      <c r="GL416" s="507"/>
      <c r="GM416" s="507"/>
      <c r="GN416" s="507"/>
      <c r="GO416" s="507"/>
      <c r="GP416" s="507"/>
      <c r="GQ416" s="507"/>
      <c r="GR416" s="507"/>
      <c r="GS416" s="507"/>
      <c r="GT416" s="507"/>
      <c r="GU416" s="507"/>
      <c r="GV416" s="507"/>
      <c r="GW416" s="507"/>
      <c r="GX416" s="507"/>
      <c r="GY416" s="507"/>
      <c r="GZ416" s="507"/>
      <c r="HA416" s="507"/>
      <c r="HB416" s="507"/>
      <c r="HC416" s="507"/>
      <c r="HD416" s="507"/>
      <c r="HE416" s="507"/>
      <c r="HF416" s="507"/>
      <c r="HG416" s="507"/>
      <c r="HH416" s="507"/>
      <c r="HI416" s="507"/>
      <c r="HJ416" s="507"/>
      <c r="HK416" s="507"/>
      <c r="HL416" s="507"/>
      <c r="HM416" s="507"/>
      <c r="HN416" s="507"/>
      <c r="HO416" s="507"/>
      <c r="HP416" s="507"/>
      <c r="HQ416" s="507"/>
      <c r="HR416" s="507"/>
      <c r="HS416" s="507"/>
      <c r="HT416" s="507"/>
      <c r="HU416" s="507"/>
      <c r="HV416" s="507"/>
      <c r="HW416" s="507"/>
      <c r="HX416" s="507"/>
      <c r="HY416" s="507"/>
      <c r="HZ416" s="507"/>
    </row>
    <row r="417" spans="1:234" s="206" customFormat="1" ht="13.5" hidden="1" customHeight="1" x14ac:dyDescent="0.25">
      <c r="A417" s="541" t="s">
        <v>5829</v>
      </c>
      <c r="B417" s="523" t="s">
        <v>5828</v>
      </c>
      <c r="C417" s="524" t="s">
        <v>5830</v>
      </c>
      <c r="D417" s="551" t="s">
        <v>189</v>
      </c>
      <c r="E417" s="569" t="s">
        <v>3228</v>
      </c>
      <c r="F417" s="543">
        <v>41705</v>
      </c>
      <c r="G417" s="544">
        <v>41641</v>
      </c>
      <c r="H417" s="544">
        <v>41698</v>
      </c>
      <c r="I417" s="616">
        <v>43707</v>
      </c>
      <c r="J417" s="579">
        <v>10</v>
      </c>
      <c r="K417" s="553" t="s">
        <v>3229</v>
      </c>
      <c r="L417" s="552" t="s">
        <v>3229</v>
      </c>
      <c r="M417" s="560">
        <v>-0.05</v>
      </c>
      <c r="N417" s="606">
        <v>0.9</v>
      </c>
      <c r="O417" s="613" t="s">
        <v>3229</v>
      </c>
      <c r="P417" s="575" t="s">
        <v>3229</v>
      </c>
      <c r="Q417" s="575" t="s">
        <v>3229</v>
      </c>
      <c r="R417" s="575" t="s">
        <v>3229</v>
      </c>
      <c r="S417" s="570"/>
      <c r="T417" s="563" t="s">
        <v>3229</v>
      </c>
      <c r="U417" s="563" t="s">
        <v>3229</v>
      </c>
      <c r="V417" s="563" t="s">
        <v>3229</v>
      </c>
      <c r="W417" s="563" t="s">
        <v>3229</v>
      </c>
      <c r="X417" s="563" t="s">
        <v>3229</v>
      </c>
      <c r="Y417" s="598" t="s">
        <v>3229</v>
      </c>
      <c r="Z417" s="598" t="s">
        <v>3229</v>
      </c>
      <c r="AA417" s="598" t="s">
        <v>3229</v>
      </c>
      <c r="AB417" s="598" t="s">
        <v>3229</v>
      </c>
      <c r="AC417" s="598" t="s">
        <v>3229</v>
      </c>
      <c r="AD417" s="598" t="s">
        <v>3229</v>
      </c>
      <c r="AE417" s="598" t="s">
        <v>3229</v>
      </c>
      <c r="AF417" s="3764" t="s">
        <v>781</v>
      </c>
      <c r="AG417" s="3765"/>
      <c r="AH417" s="1301" t="s">
        <v>3229</v>
      </c>
      <c r="AI417" s="1301" t="s">
        <v>3229</v>
      </c>
      <c r="AJ417" s="1301" t="s">
        <v>3229</v>
      </c>
      <c r="AK417" s="530" t="s">
        <v>3229</v>
      </c>
      <c r="AL417" s="530" t="s">
        <v>3229</v>
      </c>
      <c r="AM417" s="659">
        <v>1</v>
      </c>
      <c r="AN417" s="638">
        <f>'klikací hodnoty'!F12872</f>
        <v>0.10619619999999995</v>
      </c>
      <c r="AO417" s="625">
        <v>11.06</v>
      </c>
      <c r="AP417" s="688">
        <f>+'klikací hodnoty'!E12871</f>
        <v>0.17355133333333328</v>
      </c>
      <c r="AQ417" s="606">
        <f>'klikací hodnoty'!F12852</f>
        <v>0.20484148729143173</v>
      </c>
      <c r="AR417" s="600" t="s">
        <v>3660</v>
      </c>
      <c r="AS417" s="548"/>
      <c r="AT417" s="548"/>
      <c r="AU417" s="549"/>
      <c r="AV417" s="558">
        <f t="shared" si="100"/>
        <v>-0.05</v>
      </c>
      <c r="AW417" s="558">
        <f t="shared" si="95"/>
        <v>-9.3080836312482429E-3</v>
      </c>
      <c r="AX417" s="589">
        <f t="shared" si="88"/>
        <v>-0.1410488245931284</v>
      </c>
      <c r="AY417" s="587" t="e">
        <f t="shared" si="89"/>
        <v>#DIV/0!</v>
      </c>
      <c r="AZ417" s="676">
        <f t="shared" si="99"/>
        <v>9.5</v>
      </c>
      <c r="BA417" s="581"/>
      <c r="BB417" s="570"/>
      <c r="BC417" s="581"/>
      <c r="BD417" s="3691"/>
      <c r="BE417" s="3743"/>
      <c r="BF417" s="3743"/>
      <c r="BG417" s="3708"/>
      <c r="BH417" s="3762"/>
      <c r="BI417" s="3762"/>
      <c r="BJ417" s="39"/>
      <c r="BK417" s="39"/>
      <c r="BL417" s="39"/>
      <c r="BM417" s="39"/>
      <c r="BN417" s="39"/>
      <c r="BO417" s="39"/>
      <c r="BP417" s="39"/>
      <c r="BQ417" s="39"/>
      <c r="BR417" s="39"/>
      <c r="BS417" s="507"/>
      <c r="BT417" s="507"/>
      <c r="BU417" s="507"/>
      <c r="BV417" s="507"/>
      <c r="BW417" s="507"/>
      <c r="BX417" s="507"/>
      <c r="BY417" s="507"/>
      <c r="BZ417" s="507"/>
      <c r="CA417" s="507"/>
      <c r="CB417" s="507"/>
      <c r="CC417" s="507"/>
      <c r="CD417" s="507"/>
      <c r="CE417" s="507"/>
      <c r="CF417" s="507"/>
      <c r="CG417" s="507"/>
      <c r="CH417" s="507"/>
      <c r="CI417" s="507"/>
      <c r="CJ417" s="507"/>
      <c r="CK417" s="507"/>
      <c r="CL417" s="507"/>
      <c r="CM417" s="507"/>
      <c r="CN417" s="507"/>
      <c r="CO417" s="507"/>
      <c r="CP417" s="507"/>
      <c r="CQ417" s="507"/>
      <c r="CR417" s="507"/>
      <c r="CS417" s="507"/>
      <c r="CT417" s="507"/>
      <c r="CU417" s="507"/>
      <c r="CV417" s="507"/>
      <c r="CW417" s="507"/>
      <c r="CX417" s="507"/>
      <c r="CY417" s="507"/>
      <c r="CZ417" s="507"/>
      <c r="DA417" s="507"/>
      <c r="DB417" s="507"/>
      <c r="DC417" s="507"/>
      <c r="DD417" s="507"/>
      <c r="DE417" s="507"/>
      <c r="DF417" s="507"/>
      <c r="DG417" s="507"/>
      <c r="DH417" s="507"/>
      <c r="DI417" s="507"/>
      <c r="DJ417" s="507"/>
      <c r="DK417" s="507"/>
      <c r="DL417" s="507"/>
      <c r="DM417" s="507"/>
      <c r="DN417" s="507"/>
      <c r="DO417" s="507"/>
      <c r="DP417" s="507"/>
      <c r="DQ417" s="507"/>
      <c r="DR417" s="507"/>
      <c r="DS417" s="507"/>
      <c r="DT417" s="507"/>
      <c r="DU417" s="507"/>
      <c r="DV417" s="507"/>
      <c r="DW417" s="507"/>
      <c r="DX417" s="507"/>
      <c r="DY417" s="507"/>
      <c r="DZ417" s="507"/>
      <c r="EA417" s="507"/>
      <c r="EB417" s="507"/>
      <c r="EC417" s="507"/>
      <c r="ED417" s="507"/>
      <c r="EE417" s="507"/>
      <c r="EF417" s="507"/>
      <c r="EG417" s="507"/>
      <c r="EH417" s="507"/>
      <c r="EI417" s="507"/>
      <c r="EJ417" s="507"/>
      <c r="EK417" s="507"/>
      <c r="EL417" s="507"/>
      <c r="EM417" s="507"/>
      <c r="EN417" s="507"/>
      <c r="EO417" s="507"/>
      <c r="EP417" s="507"/>
      <c r="EQ417" s="507"/>
      <c r="ER417" s="507"/>
      <c r="ES417" s="507"/>
      <c r="ET417" s="507"/>
      <c r="EU417" s="507"/>
      <c r="EV417" s="507"/>
      <c r="EW417" s="507"/>
      <c r="EX417" s="507"/>
      <c r="EY417" s="507"/>
      <c r="EZ417" s="507"/>
      <c r="FA417" s="507"/>
      <c r="FB417" s="507"/>
      <c r="FC417" s="507"/>
      <c r="FD417" s="507"/>
      <c r="FE417" s="507"/>
      <c r="FF417" s="507"/>
      <c r="FG417" s="507"/>
      <c r="FH417" s="507"/>
      <c r="FI417" s="507"/>
      <c r="FJ417" s="507"/>
      <c r="FK417" s="507"/>
      <c r="FL417" s="507"/>
      <c r="FM417" s="507"/>
      <c r="FN417" s="507"/>
      <c r="FO417" s="507"/>
      <c r="FP417" s="507"/>
      <c r="FQ417" s="507"/>
      <c r="FR417" s="507"/>
      <c r="FS417" s="507"/>
      <c r="FT417" s="507"/>
      <c r="FU417" s="507"/>
      <c r="FV417" s="507"/>
      <c r="FW417" s="507"/>
      <c r="FX417" s="507"/>
      <c r="FY417" s="507"/>
      <c r="FZ417" s="507"/>
      <c r="GA417" s="507"/>
      <c r="GB417" s="507"/>
      <c r="GC417" s="507"/>
      <c r="GD417" s="507"/>
      <c r="GE417" s="507"/>
      <c r="GF417" s="507"/>
      <c r="GG417" s="507"/>
      <c r="GH417" s="507"/>
      <c r="GI417" s="507"/>
      <c r="GJ417" s="507"/>
      <c r="GK417" s="507"/>
      <c r="GL417" s="507"/>
      <c r="GM417" s="507"/>
      <c r="GN417" s="507"/>
      <c r="GO417" s="507"/>
      <c r="GP417" s="507"/>
      <c r="GQ417" s="507"/>
      <c r="GR417" s="507"/>
      <c r="GS417" s="507"/>
      <c r="GT417" s="507"/>
      <c r="GU417" s="507"/>
      <c r="GV417" s="507"/>
      <c r="GW417" s="507"/>
      <c r="GX417" s="507"/>
      <c r="GY417" s="507"/>
      <c r="GZ417" s="507"/>
      <c r="HA417" s="507"/>
      <c r="HB417" s="507"/>
      <c r="HC417" s="507"/>
      <c r="HD417" s="507"/>
      <c r="HE417" s="507"/>
      <c r="HF417" s="507"/>
      <c r="HG417" s="507"/>
      <c r="HH417" s="507"/>
      <c r="HI417" s="507"/>
      <c r="HJ417" s="507"/>
      <c r="HK417" s="507"/>
      <c r="HL417" s="507"/>
      <c r="HM417" s="507"/>
      <c r="HN417" s="507"/>
      <c r="HO417" s="507"/>
      <c r="HP417" s="507"/>
      <c r="HQ417" s="507"/>
      <c r="HR417" s="507"/>
      <c r="HS417" s="507"/>
      <c r="HT417" s="507"/>
      <c r="HU417" s="507"/>
      <c r="HV417" s="507"/>
      <c r="HW417" s="507"/>
      <c r="HX417" s="507"/>
      <c r="HY417" s="507"/>
      <c r="HZ417" s="507"/>
    </row>
    <row r="418" spans="1:234" ht="13.5" hidden="1" customHeight="1" x14ac:dyDescent="0.25">
      <c r="A418" s="1270" t="s">
        <v>5832</v>
      </c>
      <c r="B418" s="1271" t="s">
        <v>5831</v>
      </c>
      <c r="C418" s="1272" t="s">
        <v>5833</v>
      </c>
      <c r="D418" s="1273" t="s">
        <v>189</v>
      </c>
      <c r="E418" s="1272" t="s">
        <v>3228</v>
      </c>
      <c r="F418" s="1274">
        <v>41705</v>
      </c>
      <c r="G418" s="1275">
        <v>41641</v>
      </c>
      <c r="H418" s="1274">
        <v>41698</v>
      </c>
      <c r="I418" s="1276">
        <v>42094</v>
      </c>
      <c r="J418" s="1277">
        <v>10</v>
      </c>
      <c r="K418" s="1278" t="s">
        <v>3229</v>
      </c>
      <c r="L418" s="1279" t="s">
        <v>3229</v>
      </c>
      <c r="M418" s="1280">
        <v>-1</v>
      </c>
      <c r="N418" s="1281">
        <v>0.75</v>
      </c>
      <c r="O418" s="1282">
        <v>0.8</v>
      </c>
      <c r="P418" s="1283" t="s">
        <v>3229</v>
      </c>
      <c r="Q418" s="1283" t="s">
        <v>3229</v>
      </c>
      <c r="R418" s="1284" t="s">
        <v>3229</v>
      </c>
      <c r="S418" s="1285"/>
      <c r="T418" s="1286" t="s">
        <v>3229</v>
      </c>
      <c r="U418" s="1286" t="s">
        <v>3229</v>
      </c>
      <c r="V418" s="1286" t="s">
        <v>3229</v>
      </c>
      <c r="W418" s="1286" t="s">
        <v>3229</v>
      </c>
      <c r="X418" s="1286" t="s">
        <v>3229</v>
      </c>
      <c r="Y418" s="1286" t="s">
        <v>3229</v>
      </c>
      <c r="Z418" s="1286" t="s">
        <v>3229</v>
      </c>
      <c r="AA418" s="1286" t="s">
        <v>3229</v>
      </c>
      <c r="AB418" s="1286" t="s">
        <v>3229</v>
      </c>
      <c r="AC418" s="1286" t="s">
        <v>3229</v>
      </c>
      <c r="AD418" s="1286" t="s">
        <v>3229</v>
      </c>
      <c r="AE418" s="1286" t="s">
        <v>3229</v>
      </c>
      <c r="AF418" s="3764" t="s">
        <v>781</v>
      </c>
      <c r="AG418" s="3765"/>
      <c r="AH418" s="1287">
        <v>1</v>
      </c>
      <c r="AI418" s="1288" t="s">
        <v>3229</v>
      </c>
      <c r="AJ418" s="1288" t="s">
        <v>3229</v>
      </c>
      <c r="AK418" s="1288" t="s">
        <v>3229</v>
      </c>
      <c r="AL418" s="1288" t="s">
        <v>3229</v>
      </c>
      <c r="AM418" s="1288" t="s">
        <v>3229</v>
      </c>
      <c r="AN418" s="1289">
        <f>'klikací hodnoty'!F12816</f>
        <v>7.0000000000000007E-2</v>
      </c>
      <c r="AO418" s="1290">
        <v>13.84</v>
      </c>
      <c r="AP418" s="1371">
        <f>AQ418</f>
        <v>0.65415065421898833</v>
      </c>
      <c r="AQ418" s="1281">
        <f>IF('klikací hodnoty'!F12814="",'klikací hodnoty'!F12813,'klikací hodnoty'!F12814)</f>
        <v>0.65415065421898833</v>
      </c>
      <c r="AR418" s="1291">
        <f>O418</f>
        <v>0.8</v>
      </c>
      <c r="AS418" s="1292">
        <f>POWER(1+AR418,1/((I418-F418)/365))-1</f>
        <v>0.73589337080308193</v>
      </c>
      <c r="AT418" s="1292">
        <f>J418*(1+AR418)/AO418-1</f>
        <v>0.300578034682081</v>
      </c>
      <c r="AU418" s="1293" t="e">
        <f>POWER(1+AT418,1/AG418)-1</f>
        <v>#DIV/0!</v>
      </c>
      <c r="AV418" s="1294">
        <f t="shared" si="100"/>
        <v>-1</v>
      </c>
      <c r="AW418" s="1295">
        <f t="shared" si="95"/>
        <v>-1</v>
      </c>
      <c r="AX418" s="1296">
        <f t="shared" si="88"/>
        <v>-1</v>
      </c>
      <c r="AY418" s="1297" t="e">
        <f t="shared" si="89"/>
        <v>#DIV/0!</v>
      </c>
      <c r="AZ418" s="1298">
        <f t="shared" si="99"/>
        <v>0</v>
      </c>
      <c r="BA418" s="1299"/>
      <c r="BB418" s="1285"/>
      <c r="BC418" s="1300"/>
      <c r="BH418" s="3763"/>
      <c r="BI418" s="3763"/>
      <c r="BJ418" s="1639"/>
      <c r="BK418" s="1639"/>
      <c r="BL418" s="1639"/>
      <c r="BM418" s="1639"/>
      <c r="BN418" s="1639"/>
      <c r="BO418" s="1639"/>
      <c r="BP418" s="1639"/>
      <c r="BQ418" s="1639"/>
      <c r="BR418" s="1639"/>
      <c r="BS418" s="509"/>
      <c r="BT418" s="509"/>
      <c r="BU418" s="509"/>
      <c r="BV418" s="509"/>
      <c r="BW418" s="509"/>
      <c r="BX418" s="509"/>
      <c r="BY418" s="509"/>
      <c r="BZ418" s="509"/>
      <c r="CA418" s="509"/>
      <c r="CB418" s="509"/>
      <c r="CC418" s="509"/>
      <c r="CD418" s="509"/>
      <c r="CE418" s="509"/>
      <c r="CF418" s="509"/>
      <c r="CG418" s="509"/>
      <c r="CH418" s="509"/>
      <c r="CI418" s="509"/>
      <c r="CJ418" s="509"/>
      <c r="CK418" s="509"/>
      <c r="CL418" s="509"/>
      <c r="CM418" s="509"/>
      <c r="CN418" s="509"/>
      <c r="CO418" s="509"/>
      <c r="CP418" s="509"/>
      <c r="CQ418" s="509"/>
      <c r="CR418" s="509"/>
      <c r="CS418" s="509"/>
      <c r="CT418" s="509"/>
      <c r="CU418" s="509"/>
      <c r="CV418" s="509"/>
      <c r="CW418" s="509"/>
      <c r="CX418" s="509"/>
      <c r="CY418" s="509"/>
      <c r="CZ418" s="509"/>
      <c r="DA418" s="509"/>
      <c r="DB418" s="509"/>
      <c r="DC418" s="509"/>
      <c r="DD418" s="509"/>
      <c r="DE418" s="509"/>
      <c r="DF418" s="509"/>
      <c r="DG418" s="509"/>
      <c r="DH418" s="509"/>
      <c r="DI418" s="509"/>
      <c r="DJ418" s="509"/>
      <c r="DK418" s="509"/>
      <c r="DL418" s="509"/>
      <c r="DM418" s="509"/>
      <c r="DN418" s="509"/>
      <c r="DO418" s="509"/>
      <c r="DP418" s="509"/>
      <c r="DQ418" s="509"/>
      <c r="DR418" s="509"/>
      <c r="DS418" s="509"/>
      <c r="DT418" s="509"/>
      <c r="DU418" s="509"/>
      <c r="DV418" s="509"/>
      <c r="DW418" s="509"/>
      <c r="DX418" s="509"/>
      <c r="DY418" s="509"/>
      <c r="DZ418" s="509"/>
      <c r="EA418" s="509"/>
      <c r="EB418" s="509"/>
      <c r="EC418" s="509"/>
      <c r="ED418" s="509"/>
      <c r="EE418" s="509"/>
      <c r="EF418" s="509"/>
      <c r="EG418" s="509"/>
      <c r="EH418" s="509"/>
      <c r="EI418" s="509"/>
      <c r="EJ418" s="509"/>
      <c r="EK418" s="509"/>
      <c r="EL418" s="509"/>
      <c r="EM418" s="509"/>
      <c r="EN418" s="509"/>
      <c r="EO418" s="509"/>
      <c r="EP418" s="509"/>
      <c r="EQ418" s="509"/>
      <c r="ER418" s="509"/>
      <c r="ES418" s="509"/>
      <c r="ET418" s="509"/>
      <c r="EU418" s="509"/>
      <c r="EV418" s="509"/>
      <c r="EW418" s="509"/>
      <c r="EX418" s="509"/>
      <c r="EY418" s="509"/>
      <c r="EZ418" s="509"/>
      <c r="FA418" s="509"/>
      <c r="FB418" s="509"/>
      <c r="FC418" s="509"/>
      <c r="FD418" s="509"/>
      <c r="FE418" s="509"/>
      <c r="FF418" s="509"/>
      <c r="FG418" s="509"/>
      <c r="FH418" s="509"/>
      <c r="FI418" s="509"/>
      <c r="FJ418" s="509"/>
      <c r="FK418" s="509"/>
      <c r="FL418" s="509"/>
      <c r="FM418" s="509"/>
      <c r="FN418" s="509"/>
      <c r="FO418" s="509"/>
      <c r="FP418" s="509"/>
      <c r="FQ418" s="509"/>
      <c r="FR418" s="509"/>
      <c r="FS418" s="509"/>
      <c r="FT418" s="509"/>
      <c r="FU418" s="509"/>
      <c r="FV418" s="509"/>
      <c r="FW418" s="509"/>
      <c r="FX418" s="509"/>
      <c r="FY418" s="509"/>
      <c r="FZ418" s="509"/>
      <c r="GA418" s="509"/>
      <c r="GB418" s="509"/>
      <c r="GC418" s="509"/>
      <c r="GD418" s="509"/>
      <c r="GE418" s="509"/>
      <c r="GF418" s="509"/>
      <c r="GG418" s="509"/>
      <c r="GH418" s="509"/>
      <c r="GI418" s="509"/>
      <c r="GJ418" s="509"/>
      <c r="GK418" s="509"/>
      <c r="GL418" s="509"/>
      <c r="GM418" s="509"/>
      <c r="GN418" s="509"/>
      <c r="GO418" s="509"/>
      <c r="GP418" s="509"/>
      <c r="GQ418" s="509"/>
      <c r="GR418" s="509"/>
      <c r="GS418" s="509"/>
      <c r="GT418" s="509"/>
      <c r="GU418" s="509"/>
      <c r="GV418" s="509"/>
      <c r="GW418" s="509"/>
      <c r="GX418" s="509"/>
      <c r="GY418" s="509"/>
      <c r="GZ418" s="509"/>
      <c r="HA418" s="509"/>
      <c r="HB418" s="509"/>
      <c r="HC418" s="509"/>
      <c r="HD418" s="509"/>
      <c r="HE418" s="509"/>
      <c r="HF418" s="509"/>
      <c r="HG418" s="509"/>
      <c r="HH418" s="509"/>
      <c r="HI418" s="509"/>
      <c r="HJ418" s="509"/>
      <c r="HK418" s="509"/>
      <c r="HL418" s="509"/>
      <c r="HM418" s="509"/>
      <c r="HN418" s="509"/>
      <c r="HO418" s="509"/>
      <c r="HP418" s="509"/>
      <c r="HQ418" s="509"/>
      <c r="HR418" s="509"/>
      <c r="HS418" s="509"/>
      <c r="HT418" s="509"/>
      <c r="HU418" s="509"/>
      <c r="HV418" s="509"/>
      <c r="HW418" s="509"/>
      <c r="HX418" s="509"/>
      <c r="HY418" s="509"/>
      <c r="HZ418" s="509"/>
    </row>
    <row r="419" spans="1:234" ht="13.5" hidden="1" customHeight="1" x14ac:dyDescent="0.25">
      <c r="A419" s="1270" t="s">
        <v>5836</v>
      </c>
      <c r="B419" s="1271" t="s">
        <v>5835</v>
      </c>
      <c r="C419" s="1272" t="s">
        <v>5834</v>
      </c>
      <c r="D419" s="1273" t="s">
        <v>189</v>
      </c>
      <c r="E419" s="1272" t="s">
        <v>905</v>
      </c>
      <c r="F419" s="1274">
        <v>41705</v>
      </c>
      <c r="G419" s="1275">
        <v>41641</v>
      </c>
      <c r="H419" s="1274">
        <v>41698</v>
      </c>
      <c r="I419" s="1276">
        <v>43829</v>
      </c>
      <c r="J419" s="1277">
        <v>10</v>
      </c>
      <c r="K419" s="1278" t="s">
        <v>3229</v>
      </c>
      <c r="L419" s="1279" t="s">
        <v>3229</v>
      </c>
      <c r="M419" s="1280">
        <v>0</v>
      </c>
      <c r="N419" s="1281">
        <v>0.6</v>
      </c>
      <c r="O419" s="1282">
        <v>0.6</v>
      </c>
      <c r="P419" s="1283" t="s">
        <v>3229</v>
      </c>
      <c r="Q419" s="1283" t="s">
        <v>3229</v>
      </c>
      <c r="R419" s="1284" t="s">
        <v>3229</v>
      </c>
      <c r="S419" s="1285"/>
      <c r="T419" s="1286" t="s">
        <v>3229</v>
      </c>
      <c r="U419" s="1286" t="s">
        <v>3229</v>
      </c>
      <c r="V419" s="1286" t="s">
        <v>3229</v>
      </c>
      <c r="W419" s="1286" t="s">
        <v>3229</v>
      </c>
      <c r="X419" s="1286" t="s">
        <v>3229</v>
      </c>
      <c r="Y419" s="1286" t="s">
        <v>3229</v>
      </c>
      <c r="Z419" s="1286" t="s">
        <v>3229</v>
      </c>
      <c r="AA419" s="1286" t="s">
        <v>3229</v>
      </c>
      <c r="AB419" s="1286" t="s">
        <v>3229</v>
      </c>
      <c r="AC419" s="1286" t="s">
        <v>3229</v>
      </c>
      <c r="AD419" s="1286" t="s">
        <v>3229</v>
      </c>
      <c r="AE419" s="1286" t="s">
        <v>3229</v>
      </c>
      <c r="AF419" s="3764" t="s">
        <v>781</v>
      </c>
      <c r="AG419" s="3765"/>
      <c r="AH419" s="1287" t="s">
        <v>3229</v>
      </c>
      <c r="AI419" s="1288" t="s">
        <v>3229</v>
      </c>
      <c r="AJ419" s="1288" t="s">
        <v>3229</v>
      </c>
      <c r="AK419" s="1288" t="s">
        <v>3229</v>
      </c>
      <c r="AL419" s="1288" t="s">
        <v>3229</v>
      </c>
      <c r="AM419" s="1288">
        <v>1</v>
      </c>
      <c r="AN419" s="1289">
        <f>'klikací hodnoty'!F12810</f>
        <v>0.11398739999999995</v>
      </c>
      <c r="AO419" s="1290">
        <v>11.14</v>
      </c>
      <c r="AP419" s="1371">
        <f>+'klikací hodnoty'!E12809</f>
        <v>0.18997899999999993</v>
      </c>
      <c r="AQ419" s="1281">
        <f>'klikací hodnoty'!F12790</f>
        <v>0.25242769440017154</v>
      </c>
      <c r="AR419" s="1291">
        <f>O419</f>
        <v>0.6</v>
      </c>
      <c r="AS419" s="1292">
        <f>POWER(1+AR419,1/((I419-F419)/365))-1</f>
        <v>8.4119399001552519E-2</v>
      </c>
      <c r="AT419" s="1292">
        <f>J419*(1+AR419)/AO419-1</f>
        <v>0.43626570915619389</v>
      </c>
      <c r="AU419" s="1293" t="e">
        <f>POWER(1+AT419,1/AG419)-1</f>
        <v>#DIV/0!</v>
      </c>
      <c r="AV419" s="1294">
        <f t="shared" si="100"/>
        <v>0</v>
      </c>
      <c r="AW419" s="1295">
        <f t="shared" si="95"/>
        <v>0</v>
      </c>
      <c r="AX419" s="1296">
        <f t="shared" si="88"/>
        <v>-0.10233393177737882</v>
      </c>
      <c r="AY419" s="1297" t="e">
        <f t="shared" si="89"/>
        <v>#DIV/0!</v>
      </c>
      <c r="AZ419" s="1298">
        <f t="shared" si="99"/>
        <v>10</v>
      </c>
      <c r="BA419" s="1299"/>
      <c r="BB419" s="1285"/>
      <c r="BC419" s="1300"/>
      <c r="BH419" s="3763"/>
      <c r="BI419" s="3763"/>
      <c r="BJ419" s="1639"/>
      <c r="BK419" s="1639"/>
      <c r="BL419" s="1639"/>
      <c r="BM419" s="1639"/>
      <c r="BN419" s="1639"/>
      <c r="BO419" s="1639"/>
      <c r="BP419" s="1639"/>
      <c r="BQ419" s="1639"/>
      <c r="BR419" s="1639"/>
      <c r="BS419" s="509"/>
      <c r="BT419" s="509"/>
      <c r="BU419" s="509"/>
      <c r="BV419" s="509"/>
      <c r="BW419" s="509"/>
      <c r="BX419" s="509"/>
      <c r="BY419" s="509"/>
      <c r="BZ419" s="509"/>
      <c r="CA419" s="509"/>
      <c r="CB419" s="509"/>
      <c r="CC419" s="509"/>
      <c r="CD419" s="509"/>
      <c r="CE419" s="509"/>
      <c r="CF419" s="509"/>
      <c r="CG419" s="509"/>
      <c r="CH419" s="509"/>
      <c r="CI419" s="509"/>
      <c r="CJ419" s="509"/>
      <c r="CK419" s="509"/>
      <c r="CL419" s="509"/>
      <c r="CM419" s="509"/>
      <c r="CN419" s="509"/>
      <c r="CO419" s="509"/>
      <c r="CP419" s="509"/>
      <c r="CQ419" s="509"/>
      <c r="CR419" s="509"/>
      <c r="CS419" s="509"/>
      <c r="CT419" s="509"/>
      <c r="CU419" s="509"/>
      <c r="CV419" s="509"/>
      <c r="CW419" s="509"/>
      <c r="CX419" s="509"/>
      <c r="CY419" s="509"/>
      <c r="CZ419" s="509"/>
      <c r="DA419" s="509"/>
      <c r="DB419" s="509"/>
      <c r="DC419" s="509"/>
      <c r="DD419" s="509"/>
      <c r="DE419" s="509"/>
      <c r="DF419" s="509"/>
      <c r="DG419" s="509"/>
      <c r="DH419" s="509"/>
      <c r="DI419" s="509"/>
      <c r="DJ419" s="509"/>
      <c r="DK419" s="509"/>
      <c r="DL419" s="509"/>
      <c r="DM419" s="509"/>
      <c r="DN419" s="509"/>
      <c r="DO419" s="509"/>
      <c r="DP419" s="509"/>
      <c r="DQ419" s="509"/>
      <c r="DR419" s="509"/>
      <c r="DS419" s="509"/>
      <c r="DT419" s="509"/>
      <c r="DU419" s="509"/>
      <c r="DV419" s="509"/>
      <c r="DW419" s="509"/>
      <c r="DX419" s="509"/>
      <c r="DY419" s="509"/>
      <c r="DZ419" s="509"/>
      <c r="EA419" s="509"/>
      <c r="EB419" s="509"/>
      <c r="EC419" s="509"/>
      <c r="ED419" s="509"/>
      <c r="EE419" s="509"/>
      <c r="EF419" s="509"/>
      <c r="EG419" s="509"/>
      <c r="EH419" s="509"/>
      <c r="EI419" s="509"/>
      <c r="EJ419" s="509"/>
      <c r="EK419" s="509"/>
      <c r="EL419" s="509"/>
      <c r="EM419" s="509"/>
      <c r="EN419" s="509"/>
      <c r="EO419" s="509"/>
      <c r="EP419" s="509"/>
      <c r="EQ419" s="509"/>
      <c r="ER419" s="509"/>
      <c r="ES419" s="509"/>
      <c r="ET419" s="509"/>
      <c r="EU419" s="509"/>
      <c r="EV419" s="509"/>
      <c r="EW419" s="509"/>
      <c r="EX419" s="509"/>
      <c r="EY419" s="509"/>
      <c r="EZ419" s="509"/>
      <c r="FA419" s="509"/>
      <c r="FB419" s="509"/>
      <c r="FC419" s="509"/>
      <c r="FD419" s="509"/>
      <c r="FE419" s="509"/>
      <c r="FF419" s="509"/>
      <c r="FG419" s="509"/>
      <c r="FH419" s="509"/>
      <c r="FI419" s="509"/>
      <c r="FJ419" s="509"/>
      <c r="FK419" s="509"/>
      <c r="FL419" s="509"/>
      <c r="FM419" s="509"/>
      <c r="FN419" s="509"/>
      <c r="FO419" s="509"/>
      <c r="FP419" s="509"/>
      <c r="FQ419" s="509"/>
      <c r="FR419" s="509"/>
      <c r="FS419" s="509"/>
      <c r="FT419" s="509"/>
      <c r="FU419" s="509"/>
      <c r="FV419" s="509"/>
      <c r="FW419" s="509"/>
      <c r="FX419" s="509"/>
      <c r="FY419" s="509"/>
      <c r="FZ419" s="509"/>
      <c r="GA419" s="509"/>
      <c r="GB419" s="509"/>
      <c r="GC419" s="509"/>
      <c r="GD419" s="509"/>
      <c r="GE419" s="509"/>
      <c r="GF419" s="509"/>
      <c r="GG419" s="509"/>
      <c r="GH419" s="509"/>
      <c r="GI419" s="509"/>
      <c r="GJ419" s="509"/>
      <c r="GK419" s="509"/>
      <c r="GL419" s="509"/>
      <c r="GM419" s="509"/>
      <c r="GN419" s="509"/>
      <c r="GO419" s="509"/>
      <c r="GP419" s="509"/>
      <c r="GQ419" s="509"/>
      <c r="GR419" s="509"/>
      <c r="GS419" s="509"/>
      <c r="GT419" s="509"/>
      <c r="GU419" s="509"/>
      <c r="GV419" s="509"/>
      <c r="GW419" s="509"/>
      <c r="GX419" s="509"/>
      <c r="GY419" s="509"/>
      <c r="GZ419" s="509"/>
      <c r="HA419" s="509"/>
      <c r="HB419" s="509"/>
      <c r="HC419" s="509"/>
      <c r="HD419" s="509"/>
      <c r="HE419" s="509"/>
      <c r="HF419" s="509"/>
      <c r="HG419" s="509"/>
      <c r="HH419" s="509"/>
      <c r="HI419" s="509"/>
      <c r="HJ419" s="509"/>
      <c r="HK419" s="509"/>
      <c r="HL419" s="509"/>
      <c r="HM419" s="509"/>
      <c r="HN419" s="509"/>
      <c r="HO419" s="509"/>
      <c r="HP419" s="509"/>
      <c r="HQ419" s="509"/>
      <c r="HR419" s="509"/>
      <c r="HS419" s="509"/>
      <c r="HT419" s="509"/>
      <c r="HU419" s="509"/>
      <c r="HV419" s="509"/>
      <c r="HW419" s="509"/>
      <c r="HX419" s="509"/>
      <c r="HY419" s="509"/>
      <c r="HZ419" s="509"/>
    </row>
    <row r="420" spans="1:234" ht="13.5" hidden="1" customHeight="1" x14ac:dyDescent="0.25">
      <c r="A420" s="1270" t="s">
        <v>6029</v>
      </c>
      <c r="B420" s="1271" t="s">
        <v>6028</v>
      </c>
      <c r="C420" s="1272" t="s">
        <v>6030</v>
      </c>
      <c r="D420" s="1273" t="s">
        <v>4384</v>
      </c>
      <c r="E420" s="1272" t="s">
        <v>3228</v>
      </c>
      <c r="F420" s="1274">
        <v>41736</v>
      </c>
      <c r="G420" s="1275">
        <v>41687</v>
      </c>
      <c r="H420" s="1274">
        <v>41729</v>
      </c>
      <c r="I420" s="1276">
        <v>43829</v>
      </c>
      <c r="J420" s="1277">
        <v>10</v>
      </c>
      <c r="K420" s="1278" t="s">
        <v>3229</v>
      </c>
      <c r="L420" s="1279" t="s">
        <v>3229</v>
      </c>
      <c r="M420" s="1280">
        <v>0</v>
      </c>
      <c r="N420" s="1281">
        <v>0.75</v>
      </c>
      <c r="O420" s="1282">
        <v>0.8</v>
      </c>
      <c r="P420" s="1283" t="s">
        <v>3229</v>
      </c>
      <c r="Q420" s="1283" t="s">
        <v>3229</v>
      </c>
      <c r="R420" s="1284" t="s">
        <v>3229</v>
      </c>
      <c r="S420" s="1285"/>
      <c r="T420" s="1286" t="s">
        <v>3229</v>
      </c>
      <c r="U420" s="1286" t="s">
        <v>3229</v>
      </c>
      <c r="V420" s="1286" t="s">
        <v>3229</v>
      </c>
      <c r="W420" s="1286" t="s">
        <v>3229</v>
      </c>
      <c r="X420" s="1286" t="s">
        <v>3229</v>
      </c>
      <c r="Y420" s="1286" t="s">
        <v>3229</v>
      </c>
      <c r="Z420" s="1286" t="s">
        <v>3229</v>
      </c>
      <c r="AA420" s="1286" t="s">
        <v>3229</v>
      </c>
      <c r="AB420" s="1286" t="s">
        <v>3229</v>
      </c>
      <c r="AC420" s="1286" t="s">
        <v>3229</v>
      </c>
      <c r="AD420" s="1286" t="s">
        <v>3229</v>
      </c>
      <c r="AE420" s="1286" t="s">
        <v>3229</v>
      </c>
      <c r="AF420" s="3764" t="s">
        <v>781</v>
      </c>
      <c r="AG420" s="3765"/>
      <c r="AH420" s="1287" t="s">
        <v>3229</v>
      </c>
      <c r="AI420" s="1288" t="s">
        <v>3229</v>
      </c>
      <c r="AJ420" s="1288" t="s">
        <v>3229</v>
      </c>
      <c r="AK420" s="1288" t="s">
        <v>3229</v>
      </c>
      <c r="AL420" s="1288" t="s">
        <v>3229</v>
      </c>
      <c r="AM420" s="1288">
        <v>1</v>
      </c>
      <c r="AN420" s="1289">
        <f>'klikací hodnoty'!F13110</f>
        <v>0.18194345833333336</v>
      </c>
      <c r="AO420" s="1290">
        <v>11.82</v>
      </c>
      <c r="AP420" s="1371">
        <f>'klikací hodnoty'!F13109</f>
        <v>0.24259127777777781</v>
      </c>
      <c r="AQ420" s="1281">
        <f>'klikací hodnoty'!F13090</f>
        <v>0.35024938538083861</v>
      </c>
      <c r="AR420" s="1291">
        <f>O420</f>
        <v>0.8</v>
      </c>
      <c r="AS420" s="1292">
        <f>POWER(1+AR420,1/((I420-F420)/365))-1</f>
        <v>0.10794240102128239</v>
      </c>
      <c r="AT420" s="1292">
        <f>J420*(1+AR420)/AO420-1</f>
        <v>0.52284263959390853</v>
      </c>
      <c r="AU420" s="1293" t="e">
        <f>POWER(1+AT420,1/AG420)-1</f>
        <v>#DIV/0!</v>
      </c>
      <c r="AV420" s="1294">
        <f t="shared" si="100"/>
        <v>0</v>
      </c>
      <c r="AW420" s="1295">
        <f t="shared" si="95"/>
        <v>0</v>
      </c>
      <c r="AX420" s="1296">
        <f t="shared" si="88"/>
        <v>-0.15397631133671741</v>
      </c>
      <c r="AY420" s="1297" t="e">
        <f t="shared" si="89"/>
        <v>#DIV/0!</v>
      </c>
      <c r="AZ420" s="1298">
        <f t="shared" si="99"/>
        <v>10</v>
      </c>
      <c r="BA420" s="1299"/>
      <c r="BB420" s="1285"/>
      <c r="BC420" s="1300"/>
      <c r="BH420" s="3763"/>
      <c r="BI420" s="3763"/>
      <c r="BJ420" s="1639"/>
      <c r="BK420" s="1639"/>
      <c r="BL420" s="1639"/>
      <c r="BM420" s="1639"/>
      <c r="BN420" s="1639"/>
      <c r="BO420" s="1639"/>
      <c r="BP420" s="1639"/>
      <c r="BQ420" s="1639"/>
      <c r="BR420" s="1639"/>
      <c r="BS420" s="509"/>
      <c r="BT420" s="509"/>
      <c r="BU420" s="509"/>
      <c r="BV420" s="509"/>
      <c r="BW420" s="509"/>
      <c r="BX420" s="509"/>
      <c r="BY420" s="509"/>
      <c r="BZ420" s="509"/>
      <c r="CA420" s="509"/>
      <c r="CB420" s="509"/>
      <c r="CC420" s="509"/>
      <c r="CD420" s="509"/>
      <c r="CE420" s="509"/>
      <c r="CF420" s="509"/>
      <c r="CG420" s="509"/>
      <c r="CH420" s="509"/>
      <c r="CI420" s="509"/>
      <c r="CJ420" s="509"/>
      <c r="CK420" s="509"/>
      <c r="CL420" s="509"/>
      <c r="CM420" s="509"/>
      <c r="CN420" s="509"/>
      <c r="CO420" s="509"/>
      <c r="CP420" s="509"/>
      <c r="CQ420" s="509"/>
      <c r="CR420" s="509"/>
      <c r="CS420" s="509"/>
      <c r="CT420" s="509"/>
      <c r="CU420" s="509"/>
      <c r="CV420" s="509"/>
      <c r="CW420" s="509"/>
      <c r="CX420" s="509"/>
      <c r="CY420" s="509"/>
      <c r="CZ420" s="509"/>
      <c r="DA420" s="509"/>
      <c r="DB420" s="509"/>
      <c r="DC420" s="509"/>
      <c r="DD420" s="509"/>
      <c r="DE420" s="509"/>
      <c r="DF420" s="509"/>
      <c r="DG420" s="509"/>
      <c r="DH420" s="509"/>
      <c r="DI420" s="509"/>
      <c r="DJ420" s="509"/>
      <c r="DK420" s="509"/>
      <c r="DL420" s="509"/>
      <c r="DM420" s="509"/>
      <c r="DN420" s="509"/>
      <c r="DO420" s="509"/>
      <c r="DP420" s="509"/>
      <c r="DQ420" s="509"/>
      <c r="DR420" s="509"/>
      <c r="DS420" s="509"/>
      <c r="DT420" s="509"/>
      <c r="DU420" s="509"/>
      <c r="DV420" s="509"/>
      <c r="DW420" s="509"/>
      <c r="DX420" s="509"/>
      <c r="DY420" s="509"/>
      <c r="DZ420" s="509"/>
      <c r="EA420" s="509"/>
      <c r="EB420" s="509"/>
      <c r="EC420" s="509"/>
      <c r="ED420" s="509"/>
      <c r="EE420" s="509"/>
      <c r="EF420" s="509"/>
      <c r="EG420" s="509"/>
      <c r="EH420" s="509"/>
      <c r="EI420" s="509"/>
      <c r="EJ420" s="509"/>
      <c r="EK420" s="509"/>
      <c r="EL420" s="509"/>
      <c r="EM420" s="509"/>
      <c r="EN420" s="509"/>
      <c r="EO420" s="509"/>
      <c r="EP420" s="509"/>
      <c r="EQ420" s="509"/>
      <c r="ER420" s="509"/>
      <c r="ES420" s="509"/>
      <c r="ET420" s="509"/>
      <c r="EU420" s="509"/>
      <c r="EV420" s="509"/>
      <c r="EW420" s="509"/>
      <c r="EX420" s="509"/>
      <c r="EY420" s="509"/>
      <c r="EZ420" s="509"/>
      <c r="FA420" s="509"/>
      <c r="FB420" s="509"/>
      <c r="FC420" s="509"/>
      <c r="FD420" s="509"/>
      <c r="FE420" s="509"/>
      <c r="FF420" s="509"/>
      <c r="FG420" s="509"/>
      <c r="FH420" s="509"/>
      <c r="FI420" s="509"/>
      <c r="FJ420" s="509"/>
      <c r="FK420" s="509"/>
      <c r="FL420" s="509"/>
      <c r="FM420" s="509"/>
      <c r="FN420" s="509"/>
      <c r="FO420" s="509"/>
      <c r="FP420" s="509"/>
      <c r="FQ420" s="509"/>
      <c r="FR420" s="509"/>
      <c r="FS420" s="509"/>
      <c r="FT420" s="509"/>
      <c r="FU420" s="509"/>
      <c r="FV420" s="509"/>
      <c r="FW420" s="509"/>
      <c r="FX420" s="509"/>
      <c r="FY420" s="509"/>
      <c r="FZ420" s="509"/>
      <c r="GA420" s="509"/>
      <c r="GB420" s="509"/>
      <c r="GC420" s="509"/>
      <c r="GD420" s="509"/>
      <c r="GE420" s="509"/>
      <c r="GF420" s="509"/>
      <c r="GG420" s="509"/>
      <c r="GH420" s="509"/>
      <c r="GI420" s="509"/>
      <c r="GJ420" s="509"/>
      <c r="GK420" s="509"/>
      <c r="GL420" s="509"/>
      <c r="GM420" s="509"/>
      <c r="GN420" s="509"/>
      <c r="GO420" s="509"/>
      <c r="GP420" s="509"/>
      <c r="GQ420" s="509"/>
      <c r="GR420" s="509"/>
      <c r="GS420" s="509"/>
      <c r="GT420" s="509"/>
      <c r="GU420" s="509"/>
      <c r="GV420" s="509"/>
      <c r="GW420" s="509"/>
      <c r="GX420" s="509"/>
      <c r="GY420" s="509"/>
      <c r="GZ420" s="509"/>
      <c r="HA420" s="509"/>
      <c r="HB420" s="509"/>
      <c r="HC420" s="509"/>
      <c r="HD420" s="509"/>
      <c r="HE420" s="509"/>
      <c r="HF420" s="509"/>
      <c r="HG420" s="509"/>
      <c r="HH420" s="509"/>
      <c r="HI420" s="509"/>
      <c r="HJ420" s="509"/>
      <c r="HK420" s="509"/>
      <c r="HL420" s="509"/>
      <c r="HM420" s="509"/>
      <c r="HN420" s="509"/>
      <c r="HO420" s="509"/>
      <c r="HP420" s="509"/>
      <c r="HQ420" s="509"/>
      <c r="HR420" s="509"/>
      <c r="HS420" s="509"/>
      <c r="HT420" s="509"/>
      <c r="HU420" s="509"/>
      <c r="HV420" s="509"/>
      <c r="HW420" s="509"/>
      <c r="HX420" s="509"/>
      <c r="HY420" s="509"/>
      <c r="HZ420" s="509"/>
    </row>
    <row r="421" spans="1:234" ht="13.5" hidden="1" customHeight="1" x14ac:dyDescent="0.25">
      <c r="A421" s="1270" t="s">
        <v>6032</v>
      </c>
      <c r="B421" s="1271" t="s">
        <v>6031</v>
      </c>
      <c r="C421" s="524" t="s">
        <v>6033</v>
      </c>
      <c r="D421" s="1273" t="s">
        <v>2158</v>
      </c>
      <c r="E421" s="1272" t="s">
        <v>3228</v>
      </c>
      <c r="F421" s="1274">
        <v>41768</v>
      </c>
      <c r="G421" s="1275">
        <v>41701</v>
      </c>
      <c r="H421" s="1274">
        <v>41759</v>
      </c>
      <c r="I421" s="1276">
        <v>43861</v>
      </c>
      <c r="J421" s="1277">
        <v>10</v>
      </c>
      <c r="K421" s="1278" t="s">
        <v>3229</v>
      </c>
      <c r="L421" s="1279" t="s">
        <v>3229</v>
      </c>
      <c r="M421" s="1280">
        <v>-0.05</v>
      </c>
      <c r="N421" s="1281">
        <v>0.8</v>
      </c>
      <c r="O421" s="1282" t="s">
        <v>3229</v>
      </c>
      <c r="P421" s="1283" t="s">
        <v>3229</v>
      </c>
      <c r="Q421" s="1283" t="s">
        <v>3229</v>
      </c>
      <c r="R421" s="1284" t="s">
        <v>3229</v>
      </c>
      <c r="S421" s="1285"/>
      <c r="T421" s="1286" t="s">
        <v>3229</v>
      </c>
      <c r="U421" s="1286" t="s">
        <v>3229</v>
      </c>
      <c r="V421" s="1286" t="s">
        <v>3229</v>
      </c>
      <c r="W421" s="1286" t="s">
        <v>3229</v>
      </c>
      <c r="X421" s="1286" t="s">
        <v>3229</v>
      </c>
      <c r="Y421" s="1286" t="s">
        <v>3229</v>
      </c>
      <c r="Z421" s="1286" t="s">
        <v>3229</v>
      </c>
      <c r="AA421" s="1286" t="s">
        <v>3229</v>
      </c>
      <c r="AB421" s="1286" t="s">
        <v>3229</v>
      </c>
      <c r="AC421" s="1286" t="s">
        <v>3229</v>
      </c>
      <c r="AD421" s="1286" t="s">
        <v>3229</v>
      </c>
      <c r="AE421" s="1286" t="s">
        <v>3229</v>
      </c>
      <c r="AF421" s="3764" t="s">
        <v>781</v>
      </c>
      <c r="AG421" s="3765"/>
      <c r="AH421" s="1287" t="s">
        <v>3229</v>
      </c>
      <c r="AI421" s="1288" t="s">
        <v>3229</v>
      </c>
      <c r="AJ421" s="1288" t="s">
        <v>3229</v>
      </c>
      <c r="AK421" s="1288" t="s">
        <v>3229</v>
      </c>
      <c r="AL421" s="1288" t="s">
        <v>3229</v>
      </c>
      <c r="AM421" s="1288">
        <v>1</v>
      </c>
      <c r="AN421" s="1289">
        <f>'klikací hodnoty'!F13166</f>
        <v>0.15612582222222221</v>
      </c>
      <c r="AO421" s="1290">
        <v>11.56</v>
      </c>
      <c r="AP421" s="1371">
        <f>'klikací hodnoty'!F13165</f>
        <v>0.25765727777777775</v>
      </c>
      <c r="AQ421" s="1281">
        <f>'klikací hodnoty'!F13146</f>
        <v>0.36805443870787585</v>
      </c>
      <c r="AR421" s="1291" t="s">
        <v>3660</v>
      </c>
      <c r="AS421" s="1292"/>
      <c r="AT421" s="1292"/>
      <c r="AU421" s="1293"/>
      <c r="AV421" s="1294">
        <f t="shared" si="100"/>
        <v>-0.05</v>
      </c>
      <c r="AW421" s="1295">
        <f t="shared" si="95"/>
        <v>-8.9051918003203445E-3</v>
      </c>
      <c r="AX421" s="1296">
        <f t="shared" si="88"/>
        <v>-0.17820069204152256</v>
      </c>
      <c r="AY421" s="1297" t="e">
        <f t="shared" si="89"/>
        <v>#DIV/0!</v>
      </c>
      <c r="AZ421" s="1298">
        <f t="shared" si="99"/>
        <v>9.5</v>
      </c>
      <c r="BA421" s="1299"/>
      <c r="BB421" s="1285"/>
      <c r="BC421" s="1300"/>
      <c r="BH421" s="3763"/>
      <c r="BI421" s="3763"/>
      <c r="BJ421" s="1639"/>
      <c r="BK421" s="1639"/>
      <c r="BL421" s="1639"/>
      <c r="BM421" s="1639"/>
      <c r="BN421" s="1639"/>
      <c r="BO421" s="1639"/>
      <c r="BP421" s="1639"/>
      <c r="BQ421" s="1639"/>
      <c r="BR421" s="1639"/>
      <c r="BS421" s="509"/>
      <c r="BT421" s="509"/>
      <c r="BU421" s="509"/>
      <c r="BV421" s="509"/>
      <c r="BW421" s="509"/>
      <c r="BX421" s="509"/>
      <c r="BY421" s="509"/>
      <c r="BZ421" s="509"/>
      <c r="CA421" s="509"/>
      <c r="CB421" s="509"/>
      <c r="CC421" s="509"/>
      <c r="CD421" s="509"/>
      <c r="CE421" s="509"/>
      <c r="CF421" s="509"/>
      <c r="CG421" s="509"/>
      <c r="CH421" s="509"/>
      <c r="CI421" s="509"/>
      <c r="CJ421" s="509"/>
      <c r="CK421" s="509"/>
      <c r="CL421" s="509"/>
      <c r="CM421" s="509"/>
      <c r="CN421" s="509"/>
      <c r="CO421" s="509"/>
      <c r="CP421" s="509"/>
      <c r="CQ421" s="509"/>
      <c r="CR421" s="509"/>
      <c r="CS421" s="509"/>
      <c r="CT421" s="509"/>
      <c r="CU421" s="509"/>
      <c r="CV421" s="509"/>
      <c r="CW421" s="509"/>
      <c r="CX421" s="509"/>
      <c r="CY421" s="509"/>
      <c r="CZ421" s="509"/>
      <c r="DA421" s="509"/>
      <c r="DB421" s="509"/>
      <c r="DC421" s="509"/>
      <c r="DD421" s="509"/>
      <c r="DE421" s="509"/>
      <c r="DF421" s="509"/>
      <c r="DG421" s="509"/>
      <c r="DH421" s="509"/>
      <c r="DI421" s="509"/>
      <c r="DJ421" s="509"/>
      <c r="DK421" s="509"/>
      <c r="DL421" s="509"/>
      <c r="DM421" s="509"/>
      <c r="DN421" s="509"/>
      <c r="DO421" s="509"/>
      <c r="DP421" s="509"/>
      <c r="DQ421" s="509"/>
      <c r="DR421" s="509"/>
      <c r="DS421" s="509"/>
      <c r="DT421" s="509"/>
      <c r="DU421" s="509"/>
      <c r="DV421" s="509"/>
      <c r="DW421" s="509"/>
      <c r="DX421" s="509"/>
      <c r="DY421" s="509"/>
      <c r="DZ421" s="509"/>
      <c r="EA421" s="509"/>
      <c r="EB421" s="509"/>
      <c r="EC421" s="509"/>
      <c r="ED421" s="509"/>
      <c r="EE421" s="509"/>
      <c r="EF421" s="509"/>
      <c r="EG421" s="509"/>
      <c r="EH421" s="509"/>
      <c r="EI421" s="509"/>
      <c r="EJ421" s="509"/>
      <c r="EK421" s="509"/>
      <c r="EL421" s="509"/>
      <c r="EM421" s="509"/>
      <c r="EN421" s="509"/>
      <c r="EO421" s="509"/>
      <c r="EP421" s="509"/>
      <c r="EQ421" s="509"/>
      <c r="ER421" s="509"/>
      <c r="ES421" s="509"/>
      <c r="ET421" s="509"/>
      <c r="EU421" s="509"/>
      <c r="EV421" s="509"/>
      <c r="EW421" s="509"/>
      <c r="EX421" s="509"/>
      <c r="EY421" s="509"/>
      <c r="EZ421" s="509"/>
      <c r="FA421" s="509"/>
      <c r="FB421" s="509"/>
      <c r="FC421" s="509"/>
      <c r="FD421" s="509"/>
      <c r="FE421" s="509"/>
      <c r="FF421" s="509"/>
      <c r="FG421" s="509"/>
      <c r="FH421" s="509"/>
      <c r="FI421" s="509"/>
      <c r="FJ421" s="509"/>
      <c r="FK421" s="509"/>
      <c r="FL421" s="509"/>
      <c r="FM421" s="509"/>
      <c r="FN421" s="509"/>
      <c r="FO421" s="509"/>
      <c r="FP421" s="509"/>
      <c r="FQ421" s="509"/>
      <c r="FR421" s="509"/>
      <c r="FS421" s="509"/>
      <c r="FT421" s="509"/>
      <c r="FU421" s="509"/>
      <c r="FV421" s="509"/>
      <c r="FW421" s="509"/>
      <c r="FX421" s="509"/>
      <c r="FY421" s="509"/>
      <c r="FZ421" s="509"/>
      <c r="GA421" s="509"/>
      <c r="GB421" s="509"/>
      <c r="GC421" s="509"/>
      <c r="GD421" s="509"/>
      <c r="GE421" s="509"/>
      <c r="GF421" s="509"/>
      <c r="GG421" s="509"/>
      <c r="GH421" s="509"/>
      <c r="GI421" s="509"/>
      <c r="GJ421" s="509"/>
      <c r="GK421" s="509"/>
      <c r="GL421" s="509"/>
      <c r="GM421" s="509"/>
      <c r="GN421" s="509"/>
      <c r="GO421" s="509"/>
      <c r="GP421" s="509"/>
      <c r="GQ421" s="509"/>
      <c r="GR421" s="509"/>
      <c r="GS421" s="509"/>
      <c r="GT421" s="509"/>
      <c r="GU421" s="509"/>
      <c r="GV421" s="509"/>
      <c r="GW421" s="509"/>
      <c r="GX421" s="509"/>
      <c r="GY421" s="509"/>
      <c r="GZ421" s="509"/>
      <c r="HA421" s="509"/>
      <c r="HB421" s="509"/>
      <c r="HC421" s="509"/>
      <c r="HD421" s="509"/>
      <c r="HE421" s="509"/>
      <c r="HF421" s="509"/>
      <c r="HG421" s="509"/>
      <c r="HH421" s="509"/>
      <c r="HI421" s="509"/>
      <c r="HJ421" s="509"/>
      <c r="HK421" s="509"/>
      <c r="HL421" s="509"/>
      <c r="HM421" s="509"/>
      <c r="HN421" s="509"/>
      <c r="HO421" s="509"/>
      <c r="HP421" s="509"/>
      <c r="HQ421" s="509"/>
      <c r="HR421" s="509"/>
      <c r="HS421" s="509"/>
      <c r="HT421" s="509"/>
      <c r="HU421" s="509"/>
      <c r="HV421" s="509"/>
      <c r="HW421" s="509"/>
      <c r="HX421" s="509"/>
      <c r="HY421" s="509"/>
      <c r="HZ421" s="509"/>
    </row>
    <row r="422" spans="1:234" ht="13.5" hidden="1" customHeight="1" x14ac:dyDescent="0.25">
      <c r="A422" s="1270" t="s">
        <v>6035</v>
      </c>
      <c r="B422" s="1271" t="s">
        <v>6034</v>
      </c>
      <c r="C422" s="524" t="s">
        <v>6036</v>
      </c>
      <c r="D422" s="1273" t="s">
        <v>189</v>
      </c>
      <c r="E422" s="1272" t="s">
        <v>3228</v>
      </c>
      <c r="F422" s="1274">
        <v>41768</v>
      </c>
      <c r="G422" s="1275">
        <v>41701</v>
      </c>
      <c r="H422" s="1274">
        <v>41759</v>
      </c>
      <c r="I422" s="1276">
        <v>43921</v>
      </c>
      <c r="J422" s="1277">
        <v>10</v>
      </c>
      <c r="K422" s="1278" t="s">
        <v>3229</v>
      </c>
      <c r="L422" s="1279" t="s">
        <v>3229</v>
      </c>
      <c r="M422" s="1280">
        <v>0</v>
      </c>
      <c r="N422" s="1281">
        <v>0.7</v>
      </c>
      <c r="O422" s="1282" t="s">
        <v>3229</v>
      </c>
      <c r="P422" s="1283" t="s">
        <v>3229</v>
      </c>
      <c r="Q422" s="1283" t="s">
        <v>3229</v>
      </c>
      <c r="R422" s="1284" t="s">
        <v>3229</v>
      </c>
      <c r="S422" s="1285"/>
      <c r="T422" s="1286" t="s">
        <v>3229</v>
      </c>
      <c r="U422" s="1286" t="s">
        <v>3229</v>
      </c>
      <c r="V422" s="1286" t="s">
        <v>3229</v>
      </c>
      <c r="W422" s="1286" t="s">
        <v>3229</v>
      </c>
      <c r="X422" s="1286" t="s">
        <v>3229</v>
      </c>
      <c r="Y422" s="1286" t="s">
        <v>3229</v>
      </c>
      <c r="Z422" s="1286" t="s">
        <v>3229</v>
      </c>
      <c r="AA422" s="1286" t="s">
        <v>3229</v>
      </c>
      <c r="AB422" s="1286" t="s">
        <v>3229</v>
      </c>
      <c r="AC422" s="1286" t="s">
        <v>3229</v>
      </c>
      <c r="AD422" s="1286" t="s">
        <v>3229</v>
      </c>
      <c r="AE422" s="1286" t="s">
        <v>3229</v>
      </c>
      <c r="AF422" s="3764" t="s">
        <v>781</v>
      </c>
      <c r="AG422" s="3765"/>
      <c r="AH422" s="1287" t="s">
        <v>3229</v>
      </c>
      <c r="AI422" s="1288" t="s">
        <v>3229</v>
      </c>
      <c r="AJ422" s="1288" t="s">
        <v>3229</v>
      </c>
      <c r="AK422" s="1288" t="s">
        <v>3229</v>
      </c>
      <c r="AL422" s="1288" t="s">
        <v>3229</v>
      </c>
      <c r="AM422" s="1288">
        <v>1</v>
      </c>
      <c r="AN422" s="1289">
        <f>'klikací hodnoty'!F13222</f>
        <v>0.12748154999999997</v>
      </c>
      <c r="AO422" s="1290">
        <v>11.27</v>
      </c>
      <c r="AP422" s="1371">
        <f>+'klikací hodnoty'!F13202</f>
        <v>0.14525687330800457</v>
      </c>
      <c r="AQ422" s="1281">
        <f>'klikací hodnoty'!F13202</f>
        <v>0.14525687330800457</v>
      </c>
      <c r="AR422" s="1291" t="s">
        <v>3660</v>
      </c>
      <c r="AS422" s="1292"/>
      <c r="AT422" s="1292"/>
      <c r="AU422" s="1293"/>
      <c r="AV422" s="1294">
        <f t="shared" si="100"/>
        <v>0</v>
      </c>
      <c r="AW422" s="1295">
        <f t="shared" si="95"/>
        <v>0</v>
      </c>
      <c r="AX422" s="1296">
        <f t="shared" si="88"/>
        <v>-0.11268855368234243</v>
      </c>
      <c r="AY422" s="1297" t="e">
        <f t="shared" si="89"/>
        <v>#DIV/0!</v>
      </c>
      <c r="AZ422" s="1298">
        <f t="shared" si="99"/>
        <v>10</v>
      </c>
      <c r="BA422" s="1299"/>
      <c r="BB422" s="1285"/>
      <c r="BC422" s="1300"/>
      <c r="BH422" s="3763"/>
      <c r="BI422" s="3763"/>
      <c r="BJ422" s="1639"/>
      <c r="BK422" s="1639"/>
      <c r="BL422" s="1639"/>
      <c r="BM422" s="1639"/>
      <c r="BN422" s="1639"/>
      <c r="BO422" s="1639"/>
      <c r="BP422" s="1639"/>
      <c r="BQ422" s="1639"/>
      <c r="BR422" s="1639"/>
      <c r="BS422" s="509"/>
      <c r="BT422" s="509"/>
      <c r="BU422" s="509"/>
      <c r="BV422" s="509"/>
      <c r="BW422" s="509"/>
      <c r="BX422" s="509"/>
      <c r="BY422" s="509"/>
      <c r="BZ422" s="509"/>
      <c r="CA422" s="509"/>
      <c r="CB422" s="509"/>
      <c r="CC422" s="509"/>
      <c r="CD422" s="509"/>
      <c r="CE422" s="509"/>
      <c r="CF422" s="509"/>
      <c r="CG422" s="509"/>
      <c r="CH422" s="509"/>
      <c r="CI422" s="509"/>
      <c r="CJ422" s="509"/>
      <c r="CK422" s="509"/>
      <c r="CL422" s="509"/>
      <c r="CM422" s="509"/>
      <c r="CN422" s="509"/>
      <c r="CO422" s="509"/>
      <c r="CP422" s="509"/>
      <c r="CQ422" s="509"/>
      <c r="CR422" s="509"/>
      <c r="CS422" s="509"/>
      <c r="CT422" s="509"/>
      <c r="CU422" s="509"/>
      <c r="CV422" s="509"/>
      <c r="CW422" s="509"/>
      <c r="CX422" s="509"/>
      <c r="CY422" s="509"/>
      <c r="CZ422" s="509"/>
      <c r="DA422" s="509"/>
      <c r="DB422" s="509"/>
      <c r="DC422" s="509"/>
      <c r="DD422" s="509"/>
      <c r="DE422" s="509"/>
      <c r="DF422" s="509"/>
      <c r="DG422" s="509"/>
      <c r="DH422" s="509"/>
      <c r="DI422" s="509"/>
      <c r="DJ422" s="509"/>
      <c r="DK422" s="509"/>
      <c r="DL422" s="509"/>
      <c r="DM422" s="509"/>
      <c r="DN422" s="509"/>
      <c r="DO422" s="509"/>
      <c r="DP422" s="509"/>
      <c r="DQ422" s="509"/>
      <c r="DR422" s="509"/>
      <c r="DS422" s="509"/>
      <c r="DT422" s="509"/>
      <c r="DU422" s="509"/>
      <c r="DV422" s="509"/>
      <c r="DW422" s="509"/>
      <c r="DX422" s="509"/>
      <c r="DY422" s="509"/>
      <c r="DZ422" s="509"/>
      <c r="EA422" s="509"/>
      <c r="EB422" s="509"/>
      <c r="EC422" s="509"/>
      <c r="ED422" s="509"/>
      <c r="EE422" s="509"/>
      <c r="EF422" s="509"/>
      <c r="EG422" s="509"/>
      <c r="EH422" s="509"/>
      <c r="EI422" s="509"/>
      <c r="EJ422" s="509"/>
      <c r="EK422" s="509"/>
      <c r="EL422" s="509"/>
      <c r="EM422" s="509"/>
      <c r="EN422" s="509"/>
      <c r="EO422" s="509"/>
      <c r="EP422" s="509"/>
      <c r="EQ422" s="509"/>
      <c r="ER422" s="509"/>
      <c r="ES422" s="509"/>
      <c r="ET422" s="509"/>
      <c r="EU422" s="509"/>
      <c r="EV422" s="509"/>
      <c r="EW422" s="509"/>
      <c r="EX422" s="509"/>
      <c r="EY422" s="509"/>
      <c r="EZ422" s="509"/>
      <c r="FA422" s="509"/>
      <c r="FB422" s="509"/>
      <c r="FC422" s="509"/>
      <c r="FD422" s="509"/>
      <c r="FE422" s="509"/>
      <c r="FF422" s="509"/>
      <c r="FG422" s="509"/>
      <c r="FH422" s="509"/>
      <c r="FI422" s="509"/>
      <c r="FJ422" s="509"/>
      <c r="FK422" s="509"/>
      <c r="FL422" s="509"/>
      <c r="FM422" s="509"/>
      <c r="FN422" s="509"/>
      <c r="FO422" s="509"/>
      <c r="FP422" s="509"/>
      <c r="FQ422" s="509"/>
      <c r="FR422" s="509"/>
      <c r="FS422" s="509"/>
      <c r="FT422" s="509"/>
      <c r="FU422" s="509"/>
      <c r="FV422" s="509"/>
      <c r="FW422" s="509"/>
      <c r="FX422" s="509"/>
      <c r="FY422" s="509"/>
      <c r="FZ422" s="509"/>
      <c r="GA422" s="509"/>
      <c r="GB422" s="509"/>
      <c r="GC422" s="509"/>
      <c r="GD422" s="509"/>
      <c r="GE422" s="509"/>
      <c r="GF422" s="509"/>
      <c r="GG422" s="509"/>
      <c r="GH422" s="509"/>
      <c r="GI422" s="509"/>
      <c r="GJ422" s="509"/>
      <c r="GK422" s="509"/>
      <c r="GL422" s="509"/>
      <c r="GM422" s="509"/>
      <c r="GN422" s="509"/>
      <c r="GO422" s="509"/>
      <c r="GP422" s="509"/>
      <c r="GQ422" s="509"/>
      <c r="GR422" s="509"/>
      <c r="GS422" s="509"/>
      <c r="GT422" s="509"/>
      <c r="GU422" s="509"/>
      <c r="GV422" s="509"/>
      <c r="GW422" s="509"/>
      <c r="GX422" s="509"/>
      <c r="GY422" s="509"/>
      <c r="GZ422" s="509"/>
      <c r="HA422" s="509"/>
      <c r="HB422" s="509"/>
      <c r="HC422" s="509"/>
      <c r="HD422" s="509"/>
      <c r="HE422" s="509"/>
      <c r="HF422" s="509"/>
      <c r="HG422" s="509"/>
      <c r="HH422" s="509"/>
      <c r="HI422" s="509"/>
      <c r="HJ422" s="509"/>
      <c r="HK422" s="509"/>
      <c r="HL422" s="509"/>
      <c r="HM422" s="509"/>
      <c r="HN422" s="509"/>
      <c r="HO422" s="509"/>
      <c r="HP422" s="509"/>
      <c r="HQ422" s="509"/>
      <c r="HR422" s="509"/>
      <c r="HS422" s="509"/>
      <c r="HT422" s="509"/>
      <c r="HU422" s="509"/>
      <c r="HV422" s="509"/>
      <c r="HW422" s="509"/>
      <c r="HX422" s="509"/>
      <c r="HY422" s="509"/>
      <c r="HZ422" s="509"/>
    </row>
    <row r="423" spans="1:234" ht="13.5" hidden="1" customHeight="1" x14ac:dyDescent="0.25">
      <c r="A423" s="1270" t="s">
        <v>6038</v>
      </c>
      <c r="B423" s="1271" t="s">
        <v>6037</v>
      </c>
      <c r="C423" s="1272" t="s">
        <v>6039</v>
      </c>
      <c r="D423" s="1273" t="s">
        <v>189</v>
      </c>
      <c r="E423" s="1272" t="s">
        <v>905</v>
      </c>
      <c r="F423" s="1274">
        <v>41740</v>
      </c>
      <c r="G423" s="1275">
        <v>41701</v>
      </c>
      <c r="H423" s="1274">
        <v>41759</v>
      </c>
      <c r="I423" s="1276">
        <v>43889</v>
      </c>
      <c r="J423" s="1277">
        <v>10</v>
      </c>
      <c r="K423" s="1278" t="s">
        <v>3229</v>
      </c>
      <c r="L423" s="1279" t="s">
        <v>3229</v>
      </c>
      <c r="M423" s="1280">
        <v>0</v>
      </c>
      <c r="N423" s="1281">
        <v>1</v>
      </c>
      <c r="O423" s="1282">
        <v>0.8</v>
      </c>
      <c r="P423" s="1283" t="s">
        <v>3229</v>
      </c>
      <c r="Q423" s="1283" t="s">
        <v>3229</v>
      </c>
      <c r="R423" s="1284" t="s">
        <v>3229</v>
      </c>
      <c r="S423" s="1285"/>
      <c r="T423" s="1286" t="s">
        <v>3229</v>
      </c>
      <c r="U423" s="1286" t="s">
        <v>3229</v>
      </c>
      <c r="V423" s="1286" t="s">
        <v>3229</v>
      </c>
      <c r="W423" s="1286" t="s">
        <v>3229</v>
      </c>
      <c r="X423" s="1286" t="s">
        <v>3229</v>
      </c>
      <c r="Y423" s="1286" t="s">
        <v>3229</v>
      </c>
      <c r="Z423" s="1286" t="s">
        <v>3229</v>
      </c>
      <c r="AA423" s="1286" t="s">
        <v>3229</v>
      </c>
      <c r="AB423" s="1286" t="s">
        <v>3229</v>
      </c>
      <c r="AC423" s="1286" t="s">
        <v>3229</v>
      </c>
      <c r="AD423" s="1286" t="s">
        <v>3229</v>
      </c>
      <c r="AE423" s="1286" t="s">
        <v>3229</v>
      </c>
      <c r="AF423" s="3764" t="s">
        <v>781</v>
      </c>
      <c r="AG423" s="3765"/>
      <c r="AH423" s="1287" t="s">
        <v>3229</v>
      </c>
      <c r="AI423" s="1288" t="s">
        <v>3229</v>
      </c>
      <c r="AJ423" s="1288" t="s">
        <v>3229</v>
      </c>
      <c r="AK423" s="1288" t="s">
        <v>3229</v>
      </c>
      <c r="AL423" s="1288" t="s">
        <v>3229</v>
      </c>
      <c r="AM423" s="1288">
        <v>1</v>
      </c>
      <c r="AN423" s="1289">
        <f>'klikací hodnoty'!F12928</f>
        <v>0.25685838888888884</v>
      </c>
      <c r="AO423" s="1290">
        <v>12.57</v>
      </c>
      <c r="AP423" s="1371">
        <f>'klikací hodnoty'!F12927</f>
        <v>0.25685838888888884</v>
      </c>
      <c r="AQ423" s="1281">
        <f>'klikací hodnoty'!F12908</f>
        <v>0.40674114964218389</v>
      </c>
      <c r="AR423" s="1291">
        <v>0.25685838888888884</v>
      </c>
      <c r="AS423" s="1292">
        <f>POWER(1+AR423,1/((I423-F423)/365))-1</f>
        <v>3.9593206439208606E-2</v>
      </c>
      <c r="AT423" s="1292">
        <f>J423*(1+AR423)/AO423-1</f>
        <v>-1.1265800406623505E-4</v>
      </c>
      <c r="AU423" s="1293" t="e">
        <f>POWER(1+AT423,1/AG423)-1</f>
        <v>#DIV/0!</v>
      </c>
      <c r="AV423" s="1294">
        <f t="shared" si="100"/>
        <v>0</v>
      </c>
      <c r="AW423" s="1295">
        <f t="shared" si="95"/>
        <v>0</v>
      </c>
      <c r="AX423" s="1296">
        <f t="shared" si="88"/>
        <v>-0.20445505171042166</v>
      </c>
      <c r="AY423" s="1297" t="e">
        <f t="shared" si="89"/>
        <v>#DIV/0!</v>
      </c>
      <c r="AZ423" s="1298">
        <f t="shared" si="99"/>
        <v>10</v>
      </c>
      <c r="BA423" s="1299"/>
      <c r="BB423" s="1285"/>
      <c r="BC423" s="1300"/>
      <c r="BH423" s="3763"/>
      <c r="BI423" s="3763"/>
      <c r="BJ423" s="1639"/>
      <c r="BK423" s="1639"/>
      <c r="BL423" s="1639"/>
      <c r="BM423" s="1639"/>
      <c r="BN423" s="1639"/>
      <c r="BO423" s="1639"/>
      <c r="BP423" s="1639"/>
      <c r="BQ423" s="1639"/>
      <c r="BR423" s="1639"/>
      <c r="BS423" s="509"/>
      <c r="BT423" s="509"/>
      <c r="BU423" s="509"/>
      <c r="BV423" s="509"/>
      <c r="BW423" s="509"/>
      <c r="BX423" s="509"/>
      <c r="BY423" s="509"/>
      <c r="BZ423" s="509"/>
      <c r="CA423" s="509"/>
      <c r="CB423" s="509"/>
      <c r="CC423" s="509"/>
      <c r="CD423" s="509"/>
      <c r="CE423" s="509"/>
      <c r="CF423" s="509"/>
      <c r="CG423" s="509"/>
      <c r="CH423" s="509"/>
      <c r="CI423" s="509"/>
      <c r="CJ423" s="509"/>
      <c r="CK423" s="509"/>
      <c r="CL423" s="509"/>
      <c r="CM423" s="509"/>
      <c r="CN423" s="509"/>
      <c r="CO423" s="509"/>
      <c r="CP423" s="509"/>
      <c r="CQ423" s="509"/>
      <c r="CR423" s="509"/>
      <c r="CS423" s="509"/>
      <c r="CT423" s="509"/>
      <c r="CU423" s="509"/>
      <c r="CV423" s="509"/>
      <c r="CW423" s="509"/>
      <c r="CX423" s="509"/>
      <c r="CY423" s="509"/>
      <c r="CZ423" s="509"/>
      <c r="DA423" s="509"/>
      <c r="DB423" s="509"/>
      <c r="DC423" s="509"/>
      <c r="DD423" s="509"/>
      <c r="DE423" s="509"/>
      <c r="DF423" s="509"/>
      <c r="DG423" s="509"/>
      <c r="DH423" s="509"/>
      <c r="DI423" s="509"/>
      <c r="DJ423" s="509"/>
      <c r="DK423" s="509"/>
      <c r="DL423" s="509"/>
      <c r="DM423" s="509"/>
      <c r="DN423" s="509"/>
      <c r="DO423" s="509"/>
      <c r="DP423" s="509"/>
      <c r="DQ423" s="509"/>
      <c r="DR423" s="509"/>
      <c r="DS423" s="509"/>
      <c r="DT423" s="509"/>
      <c r="DU423" s="509"/>
      <c r="DV423" s="509"/>
      <c r="DW423" s="509"/>
      <c r="DX423" s="509"/>
      <c r="DY423" s="509"/>
      <c r="DZ423" s="509"/>
      <c r="EA423" s="509"/>
      <c r="EB423" s="509"/>
      <c r="EC423" s="509"/>
      <c r="ED423" s="509"/>
      <c r="EE423" s="509"/>
      <c r="EF423" s="509"/>
      <c r="EG423" s="509"/>
      <c r="EH423" s="509"/>
      <c r="EI423" s="509"/>
      <c r="EJ423" s="509"/>
      <c r="EK423" s="509"/>
      <c r="EL423" s="509"/>
      <c r="EM423" s="509"/>
      <c r="EN423" s="509"/>
      <c r="EO423" s="509"/>
      <c r="EP423" s="509"/>
      <c r="EQ423" s="509"/>
      <c r="ER423" s="509"/>
      <c r="ES423" s="509"/>
      <c r="ET423" s="509"/>
      <c r="EU423" s="509"/>
      <c r="EV423" s="509"/>
      <c r="EW423" s="509"/>
      <c r="EX423" s="509"/>
      <c r="EY423" s="509"/>
      <c r="EZ423" s="509"/>
      <c r="FA423" s="509"/>
      <c r="FB423" s="509"/>
      <c r="FC423" s="509"/>
      <c r="FD423" s="509"/>
      <c r="FE423" s="509"/>
      <c r="FF423" s="509"/>
      <c r="FG423" s="509"/>
      <c r="FH423" s="509"/>
      <c r="FI423" s="509"/>
      <c r="FJ423" s="509"/>
      <c r="FK423" s="509"/>
      <c r="FL423" s="509"/>
      <c r="FM423" s="509"/>
      <c r="FN423" s="509"/>
      <c r="FO423" s="509"/>
      <c r="FP423" s="509"/>
      <c r="FQ423" s="509"/>
      <c r="FR423" s="509"/>
      <c r="FS423" s="509"/>
      <c r="FT423" s="509"/>
      <c r="FU423" s="509"/>
      <c r="FV423" s="509"/>
      <c r="FW423" s="509"/>
      <c r="FX423" s="509"/>
      <c r="FY423" s="509"/>
      <c r="FZ423" s="509"/>
      <c r="GA423" s="509"/>
      <c r="GB423" s="509"/>
      <c r="GC423" s="509"/>
      <c r="GD423" s="509"/>
      <c r="GE423" s="509"/>
      <c r="GF423" s="509"/>
      <c r="GG423" s="509"/>
      <c r="GH423" s="509"/>
      <c r="GI423" s="509"/>
      <c r="GJ423" s="509"/>
      <c r="GK423" s="509"/>
      <c r="GL423" s="509"/>
      <c r="GM423" s="509"/>
      <c r="GN423" s="509"/>
      <c r="GO423" s="509"/>
      <c r="GP423" s="509"/>
      <c r="GQ423" s="509"/>
      <c r="GR423" s="509"/>
      <c r="GS423" s="509"/>
      <c r="GT423" s="509"/>
      <c r="GU423" s="509"/>
      <c r="GV423" s="509"/>
      <c r="GW423" s="509"/>
      <c r="GX423" s="509"/>
      <c r="GY423" s="509"/>
      <c r="GZ423" s="509"/>
      <c r="HA423" s="509"/>
      <c r="HB423" s="509"/>
      <c r="HC423" s="509"/>
      <c r="HD423" s="509"/>
      <c r="HE423" s="509"/>
      <c r="HF423" s="509"/>
      <c r="HG423" s="509"/>
      <c r="HH423" s="509"/>
      <c r="HI423" s="509"/>
      <c r="HJ423" s="509"/>
      <c r="HK423" s="509"/>
      <c r="HL423" s="509"/>
      <c r="HM423" s="509"/>
      <c r="HN423" s="509"/>
      <c r="HO423" s="509"/>
      <c r="HP423" s="509"/>
      <c r="HQ423" s="509"/>
      <c r="HR423" s="509"/>
      <c r="HS423" s="509"/>
      <c r="HT423" s="509"/>
      <c r="HU423" s="509"/>
      <c r="HV423" s="509"/>
      <c r="HW423" s="509"/>
      <c r="HX423" s="509"/>
      <c r="HY423" s="509"/>
      <c r="HZ423" s="509"/>
    </row>
    <row r="424" spans="1:234" ht="13.5" hidden="1" customHeight="1" x14ac:dyDescent="0.25">
      <c r="A424" s="1270" t="s">
        <v>6095</v>
      </c>
      <c r="B424" s="1271" t="s">
        <v>6096</v>
      </c>
      <c r="C424" s="1272" t="s">
        <v>6097</v>
      </c>
      <c r="D424" s="1273" t="s">
        <v>2158</v>
      </c>
      <c r="E424" s="1272" t="s">
        <v>3228</v>
      </c>
      <c r="F424" s="1274">
        <v>41800</v>
      </c>
      <c r="G424" s="1275">
        <v>41730</v>
      </c>
      <c r="H424" s="1274">
        <v>41789</v>
      </c>
      <c r="I424" s="1276">
        <v>43889</v>
      </c>
      <c r="J424" s="1277">
        <v>10</v>
      </c>
      <c r="K424" s="1278" t="s">
        <v>3229</v>
      </c>
      <c r="L424" s="1279" t="s">
        <v>3229</v>
      </c>
      <c r="M424" s="1280">
        <v>0</v>
      </c>
      <c r="N424" s="1281">
        <v>0.65</v>
      </c>
      <c r="O424" s="1282">
        <v>0.8</v>
      </c>
      <c r="P424" s="1283" t="s">
        <v>3229</v>
      </c>
      <c r="Q424" s="1283" t="s">
        <v>3229</v>
      </c>
      <c r="R424" s="1284" t="s">
        <v>3229</v>
      </c>
      <c r="S424" s="1285"/>
      <c r="T424" s="1286" t="s">
        <v>3229</v>
      </c>
      <c r="U424" s="1286" t="s">
        <v>3229</v>
      </c>
      <c r="V424" s="1286" t="s">
        <v>3229</v>
      </c>
      <c r="W424" s="1286" t="s">
        <v>3229</v>
      </c>
      <c r="X424" s="1286" t="s">
        <v>3229</v>
      </c>
      <c r="Y424" s="1286" t="s">
        <v>3229</v>
      </c>
      <c r="Z424" s="1286" t="s">
        <v>3229</v>
      </c>
      <c r="AA424" s="1286" t="s">
        <v>3229</v>
      </c>
      <c r="AB424" s="1286" t="s">
        <v>3229</v>
      </c>
      <c r="AC424" s="1286" t="s">
        <v>3229</v>
      </c>
      <c r="AD424" s="1286" t="s">
        <v>3229</v>
      </c>
      <c r="AE424" s="1286" t="s">
        <v>3229</v>
      </c>
      <c r="AF424" s="3764" t="s">
        <v>781</v>
      </c>
      <c r="AG424" s="3765"/>
      <c r="AH424" s="1287" t="s">
        <v>3229</v>
      </c>
      <c r="AI424" s="1288" t="s">
        <v>3229</v>
      </c>
      <c r="AJ424" s="1288" t="s">
        <v>3229</v>
      </c>
      <c r="AK424" s="1288" t="s">
        <v>3229</v>
      </c>
      <c r="AL424" s="1288" t="s">
        <v>3229</v>
      </c>
      <c r="AM424" s="1288">
        <v>1</v>
      </c>
      <c r="AN424" s="1289">
        <f>'klikací hodnoty'!F12984</f>
        <v>0.11115501944444442</v>
      </c>
      <c r="AO424" s="1290">
        <v>11.11</v>
      </c>
      <c r="AP424" s="1371">
        <f>+'klikací hodnoty'!E12983</f>
        <v>0.17100772222222219</v>
      </c>
      <c r="AQ424" s="1281">
        <f>'klikací hodnoty'!F12964</f>
        <v>0.29750650545525242</v>
      </c>
      <c r="AR424" s="1291">
        <v>0.11115501944444442</v>
      </c>
      <c r="AS424" s="1292">
        <f>POWER(1+AR424,1/((I424-F424)/365))-1</f>
        <v>1.858661435972242E-2</v>
      </c>
      <c r="AT424" s="1292">
        <f>J424*(1+AR424)/AO424-1</f>
        <v>1.3953145314538062E-4</v>
      </c>
      <c r="AU424" s="1293" t="e">
        <f>POWER(1+AT424,1/AG424)-1</f>
        <v>#DIV/0!</v>
      </c>
      <c r="AV424" s="1294">
        <f t="shared" si="100"/>
        <v>0</v>
      </c>
      <c r="AW424" s="1295">
        <f t="shared" si="95"/>
        <v>0</v>
      </c>
      <c r="AX424" s="1296">
        <f t="shared" si="88"/>
        <v>-9.9909990999099918E-2</v>
      </c>
      <c r="AY424" s="1297" t="e">
        <f t="shared" si="89"/>
        <v>#DIV/0!</v>
      </c>
      <c r="AZ424" s="1298">
        <f t="shared" si="99"/>
        <v>10</v>
      </c>
      <c r="BA424" s="1299"/>
      <c r="BB424" s="1285"/>
      <c r="BC424" s="1300"/>
      <c r="BH424" s="3763"/>
      <c r="BI424" s="3763"/>
      <c r="BJ424" s="1639"/>
      <c r="BK424" s="1639"/>
      <c r="BL424" s="1639"/>
      <c r="BM424" s="1639"/>
      <c r="BN424" s="1639"/>
      <c r="BO424" s="1639"/>
      <c r="BP424" s="1639"/>
      <c r="BQ424" s="1639"/>
      <c r="BR424" s="1639"/>
      <c r="BS424" s="509"/>
      <c r="BT424" s="509"/>
      <c r="BU424" s="509"/>
      <c r="BV424" s="509"/>
      <c r="BW424" s="509"/>
      <c r="BX424" s="509"/>
      <c r="BY424" s="509"/>
      <c r="BZ424" s="509"/>
      <c r="CA424" s="509"/>
      <c r="CB424" s="509"/>
      <c r="CC424" s="509"/>
      <c r="CD424" s="509"/>
      <c r="CE424" s="509"/>
      <c r="CF424" s="509"/>
      <c r="CG424" s="509"/>
      <c r="CH424" s="509"/>
      <c r="CI424" s="509"/>
      <c r="CJ424" s="509"/>
      <c r="CK424" s="509"/>
      <c r="CL424" s="509"/>
      <c r="CM424" s="509"/>
      <c r="CN424" s="509"/>
      <c r="CO424" s="509"/>
      <c r="CP424" s="509"/>
      <c r="CQ424" s="509"/>
      <c r="CR424" s="509"/>
      <c r="CS424" s="509"/>
      <c r="CT424" s="509"/>
      <c r="CU424" s="509"/>
      <c r="CV424" s="509"/>
      <c r="CW424" s="509"/>
      <c r="CX424" s="509"/>
      <c r="CY424" s="509"/>
      <c r="CZ424" s="509"/>
      <c r="DA424" s="509"/>
      <c r="DB424" s="509"/>
      <c r="DC424" s="509"/>
      <c r="DD424" s="509"/>
      <c r="DE424" s="509"/>
      <c r="DF424" s="509"/>
      <c r="DG424" s="509"/>
      <c r="DH424" s="509"/>
      <c r="DI424" s="509"/>
      <c r="DJ424" s="509"/>
      <c r="DK424" s="509"/>
      <c r="DL424" s="509"/>
      <c r="DM424" s="509"/>
      <c r="DN424" s="509"/>
      <c r="DO424" s="509"/>
      <c r="DP424" s="509"/>
      <c r="DQ424" s="509"/>
      <c r="DR424" s="509"/>
      <c r="DS424" s="509"/>
      <c r="DT424" s="509"/>
      <c r="DU424" s="509"/>
      <c r="DV424" s="509"/>
      <c r="DW424" s="509"/>
      <c r="DX424" s="509"/>
      <c r="DY424" s="509"/>
      <c r="DZ424" s="509"/>
      <c r="EA424" s="509"/>
      <c r="EB424" s="509"/>
      <c r="EC424" s="509"/>
      <c r="ED424" s="509"/>
      <c r="EE424" s="509"/>
      <c r="EF424" s="509"/>
      <c r="EG424" s="509"/>
      <c r="EH424" s="509"/>
      <c r="EI424" s="509"/>
      <c r="EJ424" s="509"/>
      <c r="EK424" s="509"/>
      <c r="EL424" s="509"/>
      <c r="EM424" s="509"/>
      <c r="EN424" s="509"/>
      <c r="EO424" s="509"/>
      <c r="EP424" s="509"/>
      <c r="EQ424" s="509"/>
      <c r="ER424" s="509"/>
      <c r="ES424" s="509"/>
      <c r="ET424" s="509"/>
      <c r="EU424" s="509"/>
      <c r="EV424" s="509"/>
      <c r="EW424" s="509"/>
      <c r="EX424" s="509"/>
      <c r="EY424" s="509"/>
      <c r="EZ424" s="509"/>
      <c r="FA424" s="509"/>
      <c r="FB424" s="509"/>
      <c r="FC424" s="509"/>
      <c r="FD424" s="509"/>
      <c r="FE424" s="509"/>
      <c r="FF424" s="509"/>
      <c r="FG424" s="509"/>
      <c r="FH424" s="509"/>
      <c r="FI424" s="509"/>
      <c r="FJ424" s="509"/>
      <c r="FK424" s="509"/>
      <c r="FL424" s="509"/>
      <c r="FM424" s="509"/>
      <c r="FN424" s="509"/>
      <c r="FO424" s="509"/>
      <c r="FP424" s="509"/>
      <c r="FQ424" s="509"/>
      <c r="FR424" s="509"/>
      <c r="FS424" s="509"/>
      <c r="FT424" s="509"/>
      <c r="FU424" s="509"/>
      <c r="FV424" s="509"/>
      <c r="FW424" s="509"/>
      <c r="FX424" s="509"/>
      <c r="FY424" s="509"/>
      <c r="FZ424" s="509"/>
      <c r="GA424" s="509"/>
      <c r="GB424" s="509"/>
      <c r="GC424" s="509"/>
      <c r="GD424" s="509"/>
      <c r="GE424" s="509"/>
      <c r="GF424" s="509"/>
      <c r="GG424" s="509"/>
      <c r="GH424" s="509"/>
      <c r="GI424" s="509"/>
      <c r="GJ424" s="509"/>
      <c r="GK424" s="509"/>
      <c r="GL424" s="509"/>
      <c r="GM424" s="509"/>
      <c r="GN424" s="509"/>
      <c r="GO424" s="509"/>
      <c r="GP424" s="509"/>
      <c r="GQ424" s="509"/>
      <c r="GR424" s="509"/>
      <c r="GS424" s="509"/>
      <c r="GT424" s="509"/>
      <c r="GU424" s="509"/>
      <c r="GV424" s="509"/>
      <c r="GW424" s="509"/>
      <c r="GX424" s="509"/>
      <c r="GY424" s="509"/>
      <c r="GZ424" s="509"/>
      <c r="HA424" s="509"/>
      <c r="HB424" s="509"/>
      <c r="HC424" s="509"/>
      <c r="HD424" s="509"/>
      <c r="HE424" s="509"/>
      <c r="HF424" s="509"/>
      <c r="HG424" s="509"/>
      <c r="HH424" s="509"/>
      <c r="HI424" s="509"/>
      <c r="HJ424" s="509"/>
      <c r="HK424" s="509"/>
      <c r="HL424" s="509"/>
      <c r="HM424" s="509"/>
      <c r="HN424" s="509"/>
      <c r="HO424" s="509"/>
      <c r="HP424" s="509"/>
      <c r="HQ424" s="509"/>
      <c r="HR424" s="509"/>
      <c r="HS424" s="509"/>
      <c r="HT424" s="509"/>
      <c r="HU424" s="509"/>
      <c r="HV424" s="509"/>
      <c r="HW424" s="509"/>
      <c r="HX424" s="509"/>
      <c r="HY424" s="509"/>
      <c r="HZ424" s="509"/>
    </row>
    <row r="425" spans="1:234" ht="13.5" hidden="1" customHeight="1" x14ac:dyDescent="0.25">
      <c r="A425" s="1270" t="s">
        <v>6098</v>
      </c>
      <c r="B425" s="1271" t="s">
        <v>6099</v>
      </c>
      <c r="C425" s="1272" t="s">
        <v>6100</v>
      </c>
      <c r="D425" s="1273" t="s">
        <v>189</v>
      </c>
      <c r="E425" s="1272" t="s">
        <v>905</v>
      </c>
      <c r="F425" s="1274">
        <v>41782</v>
      </c>
      <c r="G425" s="1275">
        <v>41736</v>
      </c>
      <c r="H425" s="1274">
        <v>41775</v>
      </c>
      <c r="I425" s="1276">
        <v>43861</v>
      </c>
      <c r="J425" s="1277">
        <v>10</v>
      </c>
      <c r="K425" s="1278" t="s">
        <v>3229</v>
      </c>
      <c r="L425" s="1279" t="s">
        <v>3229</v>
      </c>
      <c r="M425" s="1280">
        <v>0</v>
      </c>
      <c r="N425" s="1281">
        <v>0.9</v>
      </c>
      <c r="O425" s="1282" t="s">
        <v>3229</v>
      </c>
      <c r="P425" s="1283" t="s">
        <v>3229</v>
      </c>
      <c r="Q425" s="1283" t="s">
        <v>3229</v>
      </c>
      <c r="R425" s="1284" t="s">
        <v>3229</v>
      </c>
      <c r="S425" s="1285"/>
      <c r="T425" s="1286" t="s">
        <v>3229</v>
      </c>
      <c r="U425" s="1286" t="s">
        <v>3229</v>
      </c>
      <c r="V425" s="1286" t="s">
        <v>3229</v>
      </c>
      <c r="W425" s="1286" t="s">
        <v>3229</v>
      </c>
      <c r="X425" s="1286" t="s">
        <v>3229</v>
      </c>
      <c r="Y425" s="1286" t="s">
        <v>3229</v>
      </c>
      <c r="Z425" s="1286" t="s">
        <v>3229</v>
      </c>
      <c r="AA425" s="1286" t="s">
        <v>3229</v>
      </c>
      <c r="AB425" s="1286" t="s">
        <v>3229</v>
      </c>
      <c r="AC425" s="1286" t="s">
        <v>3229</v>
      </c>
      <c r="AD425" s="1286" t="s">
        <v>3229</v>
      </c>
      <c r="AE425" s="1286" t="s">
        <v>3229</v>
      </c>
      <c r="AF425" s="3764" t="s">
        <v>781</v>
      </c>
      <c r="AG425" s="3765"/>
      <c r="AH425" s="1287" t="s">
        <v>3229</v>
      </c>
      <c r="AI425" s="1288" t="s">
        <v>3229</v>
      </c>
      <c r="AJ425" s="1288" t="s">
        <v>3229</v>
      </c>
      <c r="AK425" s="1288" t="s">
        <v>3229</v>
      </c>
      <c r="AL425" s="1288" t="s">
        <v>3229</v>
      </c>
      <c r="AM425" s="1288">
        <v>1</v>
      </c>
      <c r="AN425" s="1289">
        <f>'klikací hodnoty'!F13272</f>
        <v>0.14472389999999999</v>
      </c>
      <c r="AO425" s="1290">
        <v>11.45</v>
      </c>
      <c r="AP425" s="1371">
        <f>+AQ425</f>
        <v>0.2272553085138701</v>
      </c>
      <c r="AQ425" s="1281">
        <f>'klikací hodnoty'!F13258</f>
        <v>0.2272553085138701</v>
      </c>
      <c r="AR425" s="1291" t="s">
        <v>3660</v>
      </c>
      <c r="AS425" s="1292"/>
      <c r="AT425" s="1292"/>
      <c r="AU425" s="1293"/>
      <c r="AV425" s="1294">
        <f t="shared" si="100"/>
        <v>0</v>
      </c>
      <c r="AW425" s="1295">
        <f t="shared" si="95"/>
        <v>0</v>
      </c>
      <c r="AX425" s="1296">
        <f t="shared" si="88"/>
        <v>-0.1266375545851528</v>
      </c>
      <c r="AY425" s="1297" t="e">
        <f t="shared" si="89"/>
        <v>#DIV/0!</v>
      </c>
      <c r="AZ425" s="1298">
        <f t="shared" si="99"/>
        <v>10</v>
      </c>
      <c r="BA425" s="1299"/>
      <c r="BB425" s="1285"/>
      <c r="BC425" s="1300"/>
      <c r="BH425" s="3763"/>
      <c r="BI425" s="3763"/>
      <c r="BJ425" s="1639"/>
      <c r="BK425" s="1639"/>
      <c r="BL425" s="1639"/>
      <c r="BM425" s="1639"/>
      <c r="BN425" s="1639"/>
      <c r="BO425" s="1639"/>
      <c r="BP425" s="1639"/>
      <c r="BQ425" s="1639"/>
      <c r="BR425" s="1639"/>
      <c r="BS425" s="509"/>
      <c r="BT425" s="509"/>
      <c r="BU425" s="509"/>
      <c r="BV425" s="509"/>
      <c r="BW425" s="509"/>
      <c r="BX425" s="509"/>
      <c r="BY425" s="509"/>
      <c r="BZ425" s="509"/>
      <c r="CA425" s="509"/>
      <c r="CB425" s="509"/>
      <c r="CC425" s="509"/>
      <c r="CD425" s="509"/>
      <c r="CE425" s="509"/>
      <c r="CF425" s="509"/>
      <c r="CG425" s="509"/>
      <c r="CH425" s="509"/>
      <c r="CI425" s="509"/>
      <c r="CJ425" s="509"/>
      <c r="CK425" s="509"/>
      <c r="CL425" s="509"/>
      <c r="CM425" s="509"/>
      <c r="CN425" s="509"/>
      <c r="CO425" s="509"/>
      <c r="CP425" s="509"/>
      <c r="CQ425" s="509"/>
      <c r="CR425" s="509"/>
      <c r="CS425" s="509"/>
      <c r="CT425" s="509"/>
      <c r="CU425" s="509"/>
      <c r="CV425" s="509"/>
      <c r="CW425" s="509"/>
      <c r="CX425" s="509"/>
      <c r="CY425" s="509"/>
      <c r="CZ425" s="509"/>
      <c r="DA425" s="509"/>
      <c r="DB425" s="509"/>
      <c r="DC425" s="509"/>
      <c r="DD425" s="509"/>
      <c r="DE425" s="509"/>
      <c r="DF425" s="509"/>
      <c r="DG425" s="509"/>
      <c r="DH425" s="509"/>
      <c r="DI425" s="509"/>
      <c r="DJ425" s="509"/>
      <c r="DK425" s="509"/>
      <c r="DL425" s="509"/>
      <c r="DM425" s="509"/>
      <c r="DN425" s="509"/>
      <c r="DO425" s="509"/>
      <c r="DP425" s="509"/>
      <c r="DQ425" s="509"/>
      <c r="DR425" s="509"/>
      <c r="DS425" s="509"/>
      <c r="DT425" s="509"/>
      <c r="DU425" s="509"/>
      <c r="DV425" s="509"/>
      <c r="DW425" s="509"/>
      <c r="DX425" s="509"/>
      <c r="DY425" s="509"/>
      <c r="DZ425" s="509"/>
      <c r="EA425" s="509"/>
      <c r="EB425" s="509"/>
      <c r="EC425" s="509"/>
      <c r="ED425" s="509"/>
      <c r="EE425" s="509"/>
      <c r="EF425" s="509"/>
      <c r="EG425" s="509"/>
      <c r="EH425" s="509"/>
      <c r="EI425" s="509"/>
      <c r="EJ425" s="509"/>
      <c r="EK425" s="509"/>
      <c r="EL425" s="509"/>
      <c r="EM425" s="509"/>
      <c r="EN425" s="509"/>
      <c r="EO425" s="509"/>
      <c r="EP425" s="509"/>
      <c r="EQ425" s="509"/>
      <c r="ER425" s="509"/>
      <c r="ES425" s="509"/>
      <c r="ET425" s="509"/>
      <c r="EU425" s="509"/>
      <c r="EV425" s="509"/>
      <c r="EW425" s="509"/>
      <c r="EX425" s="509"/>
      <c r="EY425" s="509"/>
      <c r="EZ425" s="509"/>
      <c r="FA425" s="509"/>
      <c r="FB425" s="509"/>
      <c r="FC425" s="509"/>
      <c r="FD425" s="509"/>
      <c r="FE425" s="509"/>
      <c r="FF425" s="509"/>
      <c r="FG425" s="509"/>
      <c r="FH425" s="509"/>
      <c r="FI425" s="509"/>
      <c r="FJ425" s="509"/>
      <c r="FK425" s="509"/>
      <c r="FL425" s="509"/>
      <c r="FM425" s="509"/>
      <c r="FN425" s="509"/>
      <c r="FO425" s="509"/>
      <c r="FP425" s="509"/>
      <c r="FQ425" s="509"/>
      <c r="FR425" s="509"/>
      <c r="FS425" s="509"/>
      <c r="FT425" s="509"/>
      <c r="FU425" s="509"/>
      <c r="FV425" s="509"/>
      <c r="FW425" s="509"/>
      <c r="FX425" s="509"/>
      <c r="FY425" s="509"/>
      <c r="FZ425" s="509"/>
      <c r="GA425" s="509"/>
      <c r="GB425" s="509"/>
      <c r="GC425" s="509"/>
      <c r="GD425" s="509"/>
      <c r="GE425" s="509"/>
      <c r="GF425" s="509"/>
      <c r="GG425" s="509"/>
      <c r="GH425" s="509"/>
      <c r="GI425" s="509"/>
      <c r="GJ425" s="509"/>
      <c r="GK425" s="509"/>
      <c r="GL425" s="509"/>
      <c r="GM425" s="509"/>
      <c r="GN425" s="509"/>
      <c r="GO425" s="509"/>
      <c r="GP425" s="509"/>
      <c r="GQ425" s="509"/>
      <c r="GR425" s="509"/>
      <c r="GS425" s="509"/>
      <c r="GT425" s="509"/>
      <c r="GU425" s="509"/>
      <c r="GV425" s="509"/>
      <c r="GW425" s="509"/>
      <c r="GX425" s="509"/>
      <c r="GY425" s="509"/>
      <c r="GZ425" s="509"/>
      <c r="HA425" s="509"/>
      <c r="HB425" s="509"/>
      <c r="HC425" s="509"/>
      <c r="HD425" s="509"/>
      <c r="HE425" s="509"/>
      <c r="HF425" s="509"/>
      <c r="HG425" s="509"/>
      <c r="HH425" s="509"/>
      <c r="HI425" s="509"/>
      <c r="HJ425" s="509"/>
      <c r="HK425" s="509"/>
      <c r="HL425" s="509"/>
      <c r="HM425" s="509"/>
      <c r="HN425" s="509"/>
      <c r="HO425" s="509"/>
      <c r="HP425" s="509"/>
      <c r="HQ425" s="509"/>
      <c r="HR425" s="509"/>
      <c r="HS425" s="509"/>
      <c r="HT425" s="509"/>
      <c r="HU425" s="509"/>
      <c r="HV425" s="509"/>
      <c r="HW425" s="509"/>
      <c r="HX425" s="509"/>
      <c r="HY425" s="509"/>
      <c r="HZ425" s="509"/>
    </row>
    <row r="426" spans="1:234" ht="13.5" hidden="1" customHeight="1" x14ac:dyDescent="0.25">
      <c r="A426" s="1270" t="s">
        <v>6101</v>
      </c>
      <c r="B426" s="1271" t="s">
        <v>6102</v>
      </c>
      <c r="C426" s="1272" t="s">
        <v>6103</v>
      </c>
      <c r="D426" s="1273" t="s">
        <v>6104</v>
      </c>
      <c r="E426" s="1272" t="s">
        <v>3228</v>
      </c>
      <c r="F426" s="1274">
        <v>41739</v>
      </c>
      <c r="G426" s="1275">
        <v>41673</v>
      </c>
      <c r="H426" s="1274">
        <v>41729</v>
      </c>
      <c r="I426" s="1276">
        <v>43829</v>
      </c>
      <c r="J426" s="1277">
        <v>10</v>
      </c>
      <c r="K426" s="1278" t="s">
        <v>3229</v>
      </c>
      <c r="L426" s="1279" t="s">
        <v>3229</v>
      </c>
      <c r="M426" s="1280">
        <v>-0.05</v>
      </c>
      <c r="N426" s="1281">
        <v>0.7</v>
      </c>
      <c r="O426" s="1282">
        <v>0.8</v>
      </c>
      <c r="P426" s="1283" t="s">
        <v>3229</v>
      </c>
      <c r="Q426" s="1283" t="s">
        <v>3229</v>
      </c>
      <c r="R426" s="1284" t="s">
        <v>3229</v>
      </c>
      <c r="S426" s="1285"/>
      <c r="T426" s="1286" t="s">
        <v>3229</v>
      </c>
      <c r="U426" s="1286" t="s">
        <v>3229</v>
      </c>
      <c r="V426" s="1286" t="s">
        <v>3229</v>
      </c>
      <c r="W426" s="1286" t="s">
        <v>3229</v>
      </c>
      <c r="X426" s="1286" t="s">
        <v>3229</v>
      </c>
      <c r="Y426" s="1286" t="s">
        <v>3229</v>
      </c>
      <c r="Z426" s="1286" t="s">
        <v>3229</v>
      </c>
      <c r="AA426" s="1286" t="s">
        <v>3229</v>
      </c>
      <c r="AB426" s="1286" t="s">
        <v>3229</v>
      </c>
      <c r="AC426" s="1286" t="s">
        <v>3229</v>
      </c>
      <c r="AD426" s="1286" t="s">
        <v>3229</v>
      </c>
      <c r="AE426" s="1286" t="s">
        <v>3229</v>
      </c>
      <c r="AF426" s="3764" t="s">
        <v>781</v>
      </c>
      <c r="AG426" s="3765"/>
      <c r="AH426" s="1287" t="s">
        <v>3229</v>
      </c>
      <c r="AI426" s="1288" t="s">
        <v>3229</v>
      </c>
      <c r="AJ426" s="1288" t="s">
        <v>3229</v>
      </c>
      <c r="AK426" s="1288" t="s">
        <v>3229</v>
      </c>
      <c r="AL426" s="1288" t="s">
        <v>3229</v>
      </c>
      <c r="AM426" s="1288">
        <v>1</v>
      </c>
      <c r="AN426" s="1289">
        <f>'klikací hodnoty'!F13392</f>
        <v>0.16464427777777776</v>
      </c>
      <c r="AO426" s="1290">
        <v>11.65</v>
      </c>
      <c r="AP426" s="1371">
        <f>+'klikací hodnoty'!E13391</f>
        <v>0.23520611111111112</v>
      </c>
      <c r="AQ426" s="1281">
        <f>'klikací hodnoty'!F13372</f>
        <v>0.3016756094397961</v>
      </c>
      <c r="AR426" s="1291">
        <f>O426</f>
        <v>0.8</v>
      </c>
      <c r="AS426" s="1292">
        <f>POWER(1+AR426,1/((I426-F426)/365))-1</f>
        <v>0.10810543099834136</v>
      </c>
      <c r="AT426" s="1292">
        <f>J426*(1+AR426)/AO426-1</f>
        <v>0.54506437768240334</v>
      </c>
      <c r="AU426" s="1293" t="e">
        <f>POWER(1+AT426,1/AG426)-1</f>
        <v>#DIV/0!</v>
      </c>
      <c r="AV426" s="1294">
        <f t="shared" si="100"/>
        <v>-0.05</v>
      </c>
      <c r="AW426" s="1295">
        <f t="shared" si="95"/>
        <v>-8.9179172052543665E-3</v>
      </c>
      <c r="AX426" s="1296">
        <f t="shared" si="88"/>
        <v>-0.18454935622317603</v>
      </c>
      <c r="AY426" s="1297" t="e">
        <f t="shared" si="89"/>
        <v>#DIV/0!</v>
      </c>
      <c r="AZ426" s="1298">
        <f t="shared" si="99"/>
        <v>9.5</v>
      </c>
      <c r="BA426" s="1299"/>
      <c r="BB426" s="1285"/>
      <c r="BC426" s="1300"/>
      <c r="BH426" s="3763"/>
      <c r="BI426" s="3763"/>
      <c r="BJ426" s="1639"/>
      <c r="BK426" s="1639"/>
      <c r="BL426" s="1639"/>
      <c r="BM426" s="1639"/>
      <c r="BN426" s="1639"/>
      <c r="BO426" s="1639"/>
      <c r="BP426" s="1639"/>
      <c r="BQ426" s="1639"/>
      <c r="BR426" s="1639"/>
      <c r="BS426" s="509"/>
      <c r="BT426" s="509"/>
      <c r="BU426" s="509"/>
      <c r="BV426" s="509"/>
      <c r="BW426" s="509"/>
      <c r="BX426" s="509"/>
      <c r="BY426" s="509"/>
      <c r="BZ426" s="509"/>
      <c r="CA426" s="509"/>
      <c r="CB426" s="509"/>
      <c r="CC426" s="509"/>
      <c r="CD426" s="509"/>
      <c r="CE426" s="509"/>
      <c r="CF426" s="509"/>
      <c r="CG426" s="509"/>
      <c r="CH426" s="509"/>
      <c r="CI426" s="509"/>
      <c r="CJ426" s="509"/>
      <c r="CK426" s="509"/>
      <c r="CL426" s="509"/>
      <c r="CM426" s="509"/>
      <c r="CN426" s="509"/>
      <c r="CO426" s="509"/>
      <c r="CP426" s="509"/>
      <c r="CQ426" s="509"/>
      <c r="CR426" s="509"/>
      <c r="CS426" s="509"/>
      <c r="CT426" s="509"/>
      <c r="CU426" s="509"/>
      <c r="CV426" s="509"/>
      <c r="CW426" s="509"/>
      <c r="CX426" s="509"/>
      <c r="CY426" s="509"/>
      <c r="CZ426" s="509"/>
      <c r="DA426" s="509"/>
      <c r="DB426" s="509"/>
      <c r="DC426" s="509"/>
      <c r="DD426" s="509"/>
      <c r="DE426" s="509"/>
      <c r="DF426" s="509"/>
      <c r="DG426" s="509"/>
      <c r="DH426" s="509"/>
      <c r="DI426" s="509"/>
      <c r="DJ426" s="509"/>
      <c r="DK426" s="509"/>
      <c r="DL426" s="509"/>
      <c r="DM426" s="509"/>
      <c r="DN426" s="509"/>
      <c r="DO426" s="509"/>
      <c r="DP426" s="509"/>
      <c r="DQ426" s="509"/>
      <c r="DR426" s="509"/>
      <c r="DS426" s="509"/>
      <c r="DT426" s="509"/>
      <c r="DU426" s="509"/>
      <c r="DV426" s="509"/>
      <c r="DW426" s="509"/>
      <c r="DX426" s="509"/>
      <c r="DY426" s="509"/>
      <c r="DZ426" s="509"/>
      <c r="EA426" s="509"/>
      <c r="EB426" s="509"/>
      <c r="EC426" s="509"/>
      <c r="ED426" s="509"/>
      <c r="EE426" s="509"/>
      <c r="EF426" s="509"/>
      <c r="EG426" s="509"/>
      <c r="EH426" s="509"/>
      <c r="EI426" s="509"/>
      <c r="EJ426" s="509"/>
      <c r="EK426" s="509"/>
      <c r="EL426" s="509"/>
      <c r="EM426" s="509"/>
      <c r="EN426" s="509"/>
      <c r="EO426" s="509"/>
      <c r="EP426" s="509"/>
      <c r="EQ426" s="509"/>
      <c r="ER426" s="509"/>
      <c r="ES426" s="509"/>
      <c r="ET426" s="509"/>
      <c r="EU426" s="509"/>
      <c r="EV426" s="509"/>
      <c r="EW426" s="509"/>
      <c r="EX426" s="509"/>
      <c r="EY426" s="509"/>
      <c r="EZ426" s="509"/>
      <c r="FA426" s="509"/>
      <c r="FB426" s="509"/>
      <c r="FC426" s="509"/>
      <c r="FD426" s="509"/>
      <c r="FE426" s="509"/>
      <c r="FF426" s="509"/>
      <c r="FG426" s="509"/>
      <c r="FH426" s="509"/>
      <c r="FI426" s="509"/>
      <c r="FJ426" s="509"/>
      <c r="FK426" s="509"/>
      <c r="FL426" s="509"/>
      <c r="FM426" s="509"/>
      <c r="FN426" s="509"/>
      <c r="FO426" s="509"/>
      <c r="FP426" s="509"/>
      <c r="FQ426" s="509"/>
      <c r="FR426" s="509"/>
      <c r="FS426" s="509"/>
      <c r="FT426" s="509"/>
      <c r="FU426" s="509"/>
      <c r="FV426" s="509"/>
      <c r="FW426" s="509"/>
      <c r="FX426" s="509"/>
      <c r="FY426" s="509"/>
      <c r="FZ426" s="509"/>
      <c r="GA426" s="509"/>
      <c r="GB426" s="509"/>
      <c r="GC426" s="509"/>
      <c r="GD426" s="509"/>
      <c r="GE426" s="509"/>
      <c r="GF426" s="509"/>
      <c r="GG426" s="509"/>
      <c r="GH426" s="509"/>
      <c r="GI426" s="509"/>
      <c r="GJ426" s="509"/>
      <c r="GK426" s="509"/>
      <c r="GL426" s="509"/>
      <c r="GM426" s="509"/>
      <c r="GN426" s="509"/>
      <c r="GO426" s="509"/>
      <c r="GP426" s="509"/>
      <c r="GQ426" s="509"/>
      <c r="GR426" s="509"/>
      <c r="GS426" s="509"/>
      <c r="GT426" s="509"/>
      <c r="GU426" s="509"/>
      <c r="GV426" s="509"/>
      <c r="GW426" s="509"/>
      <c r="GX426" s="509"/>
      <c r="GY426" s="509"/>
      <c r="GZ426" s="509"/>
      <c r="HA426" s="509"/>
      <c r="HB426" s="509"/>
      <c r="HC426" s="509"/>
      <c r="HD426" s="509"/>
      <c r="HE426" s="509"/>
      <c r="HF426" s="509"/>
      <c r="HG426" s="509"/>
      <c r="HH426" s="509"/>
      <c r="HI426" s="509"/>
      <c r="HJ426" s="509"/>
      <c r="HK426" s="509"/>
      <c r="HL426" s="509"/>
      <c r="HM426" s="509"/>
      <c r="HN426" s="509"/>
      <c r="HO426" s="509"/>
      <c r="HP426" s="509"/>
      <c r="HQ426" s="509"/>
      <c r="HR426" s="509"/>
      <c r="HS426" s="509"/>
      <c r="HT426" s="509"/>
      <c r="HU426" s="509"/>
      <c r="HV426" s="509"/>
      <c r="HW426" s="509"/>
      <c r="HX426" s="509"/>
      <c r="HY426" s="509"/>
      <c r="HZ426" s="509"/>
    </row>
    <row r="427" spans="1:234" ht="13.5" hidden="1" customHeight="1" x14ac:dyDescent="0.25">
      <c r="A427" s="1270" t="s">
        <v>6106</v>
      </c>
      <c r="B427" s="1271" t="s">
        <v>6249</v>
      </c>
      <c r="C427" s="1272" t="s">
        <v>6107</v>
      </c>
      <c r="D427" s="1273" t="s">
        <v>6105</v>
      </c>
      <c r="E427" s="1272" t="s">
        <v>3228</v>
      </c>
      <c r="F427" s="1274">
        <v>41773</v>
      </c>
      <c r="G427" s="1275">
        <v>41730</v>
      </c>
      <c r="H427" s="1274">
        <v>41761</v>
      </c>
      <c r="I427" s="1276">
        <v>44286</v>
      </c>
      <c r="J427" s="1277">
        <v>10</v>
      </c>
      <c r="K427" s="1278" t="s">
        <v>3229</v>
      </c>
      <c r="L427" s="1279" t="s">
        <v>3229</v>
      </c>
      <c r="M427" s="1280">
        <v>0</v>
      </c>
      <c r="N427" s="1281">
        <v>0.6</v>
      </c>
      <c r="O427" s="1282">
        <v>1</v>
      </c>
      <c r="P427" s="1283" t="s">
        <v>3229</v>
      </c>
      <c r="Q427" s="1283" t="s">
        <v>3229</v>
      </c>
      <c r="R427" s="1284" t="s">
        <v>3229</v>
      </c>
      <c r="S427" s="1285"/>
      <c r="T427" s="1286" t="s">
        <v>3229</v>
      </c>
      <c r="U427" s="1286" t="s">
        <v>3229</v>
      </c>
      <c r="V427" s="1286" t="s">
        <v>3229</v>
      </c>
      <c r="W427" s="1286" t="s">
        <v>3229</v>
      </c>
      <c r="X427" s="1286" t="s">
        <v>3229</v>
      </c>
      <c r="Y427" s="1286" t="s">
        <v>3229</v>
      </c>
      <c r="Z427" s="1286" t="s">
        <v>3229</v>
      </c>
      <c r="AA427" s="1286" t="s">
        <v>3229</v>
      </c>
      <c r="AB427" s="1286" t="s">
        <v>3229</v>
      </c>
      <c r="AC427" s="1286" t="s">
        <v>3229</v>
      </c>
      <c r="AD427" s="1286" t="s">
        <v>3229</v>
      </c>
      <c r="AE427" s="1286" t="s">
        <v>3229</v>
      </c>
      <c r="AF427" s="3764" t="s">
        <v>781</v>
      </c>
      <c r="AG427" s="3765"/>
      <c r="AH427" s="1287" t="s">
        <v>3229</v>
      </c>
      <c r="AI427" s="1288" t="s">
        <v>3229</v>
      </c>
      <c r="AJ427" s="1288" t="s">
        <v>3229</v>
      </c>
      <c r="AK427" s="1288" t="s">
        <v>3229</v>
      </c>
      <c r="AL427" s="1288" t="s">
        <v>3229</v>
      </c>
      <c r="AM427" s="1288">
        <v>1</v>
      </c>
      <c r="AN427" s="1289">
        <f>'klikací hodnoty'!F13438</f>
        <v>1.5946899999999993E-2</v>
      </c>
      <c r="AO427" s="1290">
        <v>10.16</v>
      </c>
      <c r="AP427" s="1371">
        <f>+'klikací hodnoty'!F13437</f>
        <v>2.6578166666666656E-2</v>
      </c>
      <c r="AQ427" s="1281">
        <f>'klikací hodnoty'!F13418</f>
        <v>-2.893882636202573E-2</v>
      </c>
      <c r="AR427" s="1291">
        <f>O427</f>
        <v>1</v>
      </c>
      <c r="AS427" s="1292">
        <f>POWER(1+AR427,1/((I427-F427)/365))-1</f>
        <v>0.10591823666410383</v>
      </c>
      <c r="AT427" s="1292">
        <f>J427*(1+AR427)/AO427-1</f>
        <v>0.96850393700787407</v>
      </c>
      <c r="AU427" s="1293" t="e">
        <f>POWER(1+AT427,1/AG427)-1</f>
        <v>#DIV/0!</v>
      </c>
      <c r="AV427" s="1294">
        <f t="shared" si="100"/>
        <v>0</v>
      </c>
      <c r="AW427" s="1295">
        <f t="shared" si="95"/>
        <v>0</v>
      </c>
      <c r="AX427" s="1296">
        <f t="shared" si="88"/>
        <v>-1.5748031496062964E-2</v>
      </c>
      <c r="AY427" s="1297" t="e">
        <f t="shared" si="89"/>
        <v>#DIV/0!</v>
      </c>
      <c r="AZ427" s="1298">
        <f t="shared" si="99"/>
        <v>10</v>
      </c>
      <c r="BA427" s="1299"/>
      <c r="BB427" s="1285"/>
      <c r="BC427" s="1300"/>
      <c r="BH427" s="3763"/>
      <c r="BI427" s="3763"/>
      <c r="BJ427" s="1639"/>
      <c r="BK427" s="1639"/>
      <c r="BL427" s="1639"/>
      <c r="BM427" s="1639"/>
      <c r="BN427" s="1639"/>
      <c r="BO427" s="1639"/>
      <c r="BP427" s="1639"/>
      <c r="BQ427" s="1639"/>
      <c r="BR427" s="1639"/>
      <c r="BS427" s="509"/>
      <c r="BT427" s="509"/>
      <c r="BU427" s="509"/>
      <c r="BV427" s="509"/>
      <c r="BW427" s="509"/>
      <c r="BX427" s="509"/>
      <c r="BY427" s="509"/>
      <c r="BZ427" s="509"/>
      <c r="CA427" s="509"/>
      <c r="CB427" s="509"/>
      <c r="CC427" s="509"/>
      <c r="CD427" s="509"/>
      <c r="CE427" s="509"/>
      <c r="CF427" s="509"/>
      <c r="CG427" s="509"/>
      <c r="CH427" s="509"/>
      <c r="CI427" s="509"/>
      <c r="CJ427" s="509"/>
      <c r="CK427" s="509"/>
      <c r="CL427" s="509"/>
      <c r="CM427" s="509"/>
      <c r="CN427" s="509"/>
      <c r="CO427" s="509"/>
      <c r="CP427" s="509"/>
      <c r="CQ427" s="509"/>
      <c r="CR427" s="509"/>
      <c r="CS427" s="509"/>
      <c r="CT427" s="509"/>
      <c r="CU427" s="509"/>
      <c r="CV427" s="509"/>
      <c r="CW427" s="509"/>
      <c r="CX427" s="509"/>
      <c r="CY427" s="509"/>
      <c r="CZ427" s="509"/>
      <c r="DA427" s="509"/>
      <c r="DB427" s="509"/>
      <c r="DC427" s="509"/>
      <c r="DD427" s="509"/>
      <c r="DE427" s="509"/>
      <c r="DF427" s="509"/>
      <c r="DG427" s="509"/>
      <c r="DH427" s="509"/>
      <c r="DI427" s="509"/>
      <c r="DJ427" s="509"/>
      <c r="DK427" s="509"/>
      <c r="DL427" s="509"/>
      <c r="DM427" s="509"/>
      <c r="DN427" s="509"/>
      <c r="DO427" s="509"/>
      <c r="DP427" s="509"/>
      <c r="DQ427" s="509"/>
      <c r="DR427" s="509"/>
      <c r="DS427" s="509"/>
      <c r="DT427" s="509"/>
      <c r="DU427" s="509"/>
      <c r="DV427" s="509"/>
      <c r="DW427" s="509"/>
      <c r="DX427" s="509"/>
      <c r="DY427" s="509"/>
      <c r="DZ427" s="509"/>
      <c r="EA427" s="509"/>
      <c r="EB427" s="509"/>
      <c r="EC427" s="509"/>
      <c r="ED427" s="509"/>
      <c r="EE427" s="509"/>
      <c r="EF427" s="509"/>
      <c r="EG427" s="509"/>
      <c r="EH427" s="509"/>
      <c r="EI427" s="509"/>
      <c r="EJ427" s="509"/>
      <c r="EK427" s="509"/>
      <c r="EL427" s="509"/>
      <c r="EM427" s="509"/>
      <c r="EN427" s="509"/>
      <c r="EO427" s="509"/>
      <c r="EP427" s="509"/>
      <c r="EQ427" s="509"/>
      <c r="ER427" s="509"/>
      <c r="ES427" s="509"/>
      <c r="ET427" s="509"/>
      <c r="EU427" s="509"/>
      <c r="EV427" s="509"/>
      <c r="EW427" s="509"/>
      <c r="EX427" s="509"/>
      <c r="EY427" s="509"/>
      <c r="EZ427" s="509"/>
      <c r="FA427" s="509"/>
      <c r="FB427" s="509"/>
      <c r="FC427" s="509"/>
      <c r="FD427" s="509"/>
      <c r="FE427" s="509"/>
      <c r="FF427" s="509"/>
      <c r="FG427" s="509"/>
      <c r="FH427" s="509"/>
      <c r="FI427" s="509"/>
      <c r="FJ427" s="509"/>
      <c r="FK427" s="509"/>
      <c r="FL427" s="509"/>
      <c r="FM427" s="509"/>
      <c r="FN427" s="509"/>
      <c r="FO427" s="509"/>
      <c r="FP427" s="509"/>
      <c r="FQ427" s="509"/>
      <c r="FR427" s="509"/>
      <c r="FS427" s="509"/>
      <c r="FT427" s="509"/>
      <c r="FU427" s="509"/>
      <c r="FV427" s="509"/>
      <c r="FW427" s="509"/>
      <c r="FX427" s="509"/>
      <c r="FY427" s="509"/>
      <c r="FZ427" s="509"/>
      <c r="GA427" s="509"/>
      <c r="GB427" s="509"/>
      <c r="GC427" s="509"/>
      <c r="GD427" s="509"/>
      <c r="GE427" s="509"/>
      <c r="GF427" s="509"/>
      <c r="GG427" s="509"/>
      <c r="GH427" s="509"/>
      <c r="GI427" s="509"/>
      <c r="GJ427" s="509"/>
      <c r="GK427" s="509"/>
      <c r="GL427" s="509"/>
      <c r="GM427" s="509"/>
      <c r="GN427" s="509"/>
      <c r="GO427" s="509"/>
      <c r="GP427" s="509"/>
      <c r="GQ427" s="509"/>
      <c r="GR427" s="509"/>
      <c r="GS427" s="509"/>
      <c r="GT427" s="509"/>
      <c r="GU427" s="509"/>
      <c r="GV427" s="509"/>
      <c r="GW427" s="509"/>
      <c r="GX427" s="509"/>
      <c r="GY427" s="509"/>
      <c r="GZ427" s="509"/>
      <c r="HA427" s="509"/>
      <c r="HB427" s="509"/>
      <c r="HC427" s="509"/>
      <c r="HD427" s="509"/>
      <c r="HE427" s="509"/>
      <c r="HF427" s="509"/>
      <c r="HG427" s="509"/>
      <c r="HH427" s="509"/>
      <c r="HI427" s="509"/>
      <c r="HJ427" s="509"/>
      <c r="HK427" s="509"/>
      <c r="HL427" s="509"/>
      <c r="HM427" s="509"/>
      <c r="HN427" s="509"/>
      <c r="HO427" s="509"/>
      <c r="HP427" s="509"/>
      <c r="HQ427" s="509"/>
      <c r="HR427" s="509"/>
      <c r="HS427" s="509"/>
      <c r="HT427" s="509"/>
      <c r="HU427" s="509"/>
      <c r="HV427" s="509"/>
      <c r="HW427" s="509"/>
      <c r="HX427" s="509"/>
      <c r="HY427" s="509"/>
      <c r="HZ427" s="509"/>
    </row>
    <row r="428" spans="1:234" ht="13.5" hidden="1" customHeight="1" x14ac:dyDescent="0.25">
      <c r="A428" s="1270" t="s">
        <v>6185</v>
      </c>
      <c r="B428" s="1271" t="s">
        <v>6250</v>
      </c>
      <c r="C428" s="1272" t="s">
        <v>6187</v>
      </c>
      <c r="D428" s="1273" t="s">
        <v>6186</v>
      </c>
      <c r="E428" s="1272" t="s">
        <v>3228</v>
      </c>
      <c r="F428" s="1274">
        <v>41830</v>
      </c>
      <c r="G428" s="1275">
        <v>41764</v>
      </c>
      <c r="H428" s="1274">
        <v>41820</v>
      </c>
      <c r="I428" s="1276">
        <v>44377</v>
      </c>
      <c r="J428" s="1277">
        <v>10</v>
      </c>
      <c r="K428" s="1278" t="s">
        <v>3229</v>
      </c>
      <c r="L428" s="1279" t="s">
        <v>3229</v>
      </c>
      <c r="M428" s="1280">
        <v>0</v>
      </c>
      <c r="N428" s="1281">
        <v>0.5</v>
      </c>
      <c r="O428" s="1282">
        <v>0.8</v>
      </c>
      <c r="P428" s="1283" t="s">
        <v>3229</v>
      </c>
      <c r="Q428" s="1283" t="s">
        <v>3229</v>
      </c>
      <c r="R428" s="1284" t="s">
        <v>3229</v>
      </c>
      <c r="S428" s="1285"/>
      <c r="T428" s="1286" t="s">
        <v>3229</v>
      </c>
      <c r="U428" s="1286" t="s">
        <v>3229</v>
      </c>
      <c r="V428" s="1286" t="s">
        <v>3229</v>
      </c>
      <c r="W428" s="1286" t="s">
        <v>3229</v>
      </c>
      <c r="X428" s="1286" t="s">
        <v>3229</v>
      </c>
      <c r="Y428" s="1286" t="s">
        <v>3229</v>
      </c>
      <c r="Z428" s="1286" t="s">
        <v>3229</v>
      </c>
      <c r="AA428" s="1286" t="s">
        <v>3229</v>
      </c>
      <c r="AB428" s="1286" t="s">
        <v>3229</v>
      </c>
      <c r="AC428" s="1286" t="s">
        <v>3229</v>
      </c>
      <c r="AD428" s="1286" t="s">
        <v>3229</v>
      </c>
      <c r="AE428" s="1286" t="s">
        <v>3229</v>
      </c>
      <c r="AF428" s="3764" t="s">
        <v>781</v>
      </c>
      <c r="AG428" s="3765"/>
      <c r="AH428" s="1287" t="s">
        <v>3229</v>
      </c>
      <c r="AI428" s="1288" t="s">
        <v>3229</v>
      </c>
      <c r="AJ428" s="1288" t="s">
        <v>3229</v>
      </c>
      <c r="AK428" s="1288" t="s">
        <v>3229</v>
      </c>
      <c r="AL428" s="1288" t="s">
        <v>3229</v>
      </c>
      <c r="AM428" s="1288">
        <v>1</v>
      </c>
      <c r="AN428" s="1289">
        <f>'klikací hodnoty'!F13030</f>
        <v>0</v>
      </c>
      <c r="AO428" s="1290">
        <v>10</v>
      </c>
      <c r="AP428" s="1371">
        <f>+'klikací hodnoty'!E13029</f>
        <v>-1.3852833333333314E-2</v>
      </c>
      <c r="AQ428" s="1281">
        <f>'klikací hodnoty'!F13010</f>
        <v>5.5432931493733004E-2</v>
      </c>
      <c r="AR428" s="1291">
        <f>O428</f>
        <v>0.8</v>
      </c>
      <c r="AS428" s="1292">
        <f>POWER(1+AR428,1/((I428-F428)/365))-1</f>
        <v>8.7882632031741847E-2</v>
      </c>
      <c r="AT428" s="1292">
        <f>J428*(1+AR428)/AO428-1</f>
        <v>0.8</v>
      </c>
      <c r="AU428" s="1293" t="e">
        <f>POWER(1+AT428,1/AG428)-1</f>
        <v>#DIV/0!</v>
      </c>
      <c r="AV428" s="1294">
        <f t="shared" si="100"/>
        <v>0</v>
      </c>
      <c r="AW428" s="1295">
        <f t="shared" si="95"/>
        <v>0</v>
      </c>
      <c r="AX428" s="1296">
        <f t="shared" si="88"/>
        <v>0</v>
      </c>
      <c r="AY428" s="1297" t="e">
        <f t="shared" si="89"/>
        <v>#DIV/0!</v>
      </c>
      <c r="AZ428" s="1298">
        <f t="shared" si="99"/>
        <v>10</v>
      </c>
      <c r="BA428" s="1299"/>
      <c r="BB428" s="1285"/>
      <c r="BC428" s="1300"/>
      <c r="BH428" s="3763"/>
      <c r="BI428" s="3763"/>
      <c r="BJ428" s="1639"/>
      <c r="BK428" s="1639"/>
      <c r="BL428" s="1639"/>
      <c r="BM428" s="1639"/>
      <c r="BN428" s="1639"/>
      <c r="BO428" s="1639"/>
      <c r="BP428" s="1639"/>
      <c r="BQ428" s="1639"/>
      <c r="BR428" s="1639"/>
      <c r="BS428" s="509"/>
      <c r="BT428" s="509"/>
      <c r="BU428" s="509"/>
      <c r="BV428" s="509"/>
      <c r="BW428" s="509"/>
      <c r="BX428" s="509"/>
      <c r="BY428" s="509"/>
      <c r="BZ428" s="509"/>
      <c r="CA428" s="509"/>
      <c r="CB428" s="509"/>
      <c r="CC428" s="509"/>
      <c r="CD428" s="509"/>
      <c r="CE428" s="509"/>
      <c r="CF428" s="509"/>
      <c r="CG428" s="509"/>
      <c r="CH428" s="509"/>
      <c r="CI428" s="509"/>
      <c r="CJ428" s="509"/>
      <c r="CK428" s="509"/>
      <c r="CL428" s="509"/>
      <c r="CM428" s="509"/>
      <c r="CN428" s="509"/>
      <c r="CO428" s="509"/>
      <c r="CP428" s="509"/>
      <c r="CQ428" s="509"/>
      <c r="CR428" s="509"/>
      <c r="CS428" s="509"/>
      <c r="CT428" s="509"/>
      <c r="CU428" s="509"/>
      <c r="CV428" s="509"/>
      <c r="CW428" s="509"/>
      <c r="CX428" s="509"/>
      <c r="CY428" s="509"/>
      <c r="CZ428" s="509"/>
      <c r="DA428" s="509"/>
      <c r="DB428" s="509"/>
      <c r="DC428" s="509"/>
      <c r="DD428" s="509"/>
      <c r="DE428" s="509"/>
      <c r="DF428" s="509"/>
      <c r="DG428" s="509"/>
      <c r="DH428" s="509"/>
      <c r="DI428" s="509"/>
      <c r="DJ428" s="509"/>
      <c r="DK428" s="509"/>
      <c r="DL428" s="509"/>
      <c r="DM428" s="509"/>
      <c r="DN428" s="509"/>
      <c r="DO428" s="509"/>
      <c r="DP428" s="509"/>
      <c r="DQ428" s="509"/>
      <c r="DR428" s="509"/>
      <c r="DS428" s="509"/>
      <c r="DT428" s="509"/>
      <c r="DU428" s="509"/>
      <c r="DV428" s="509"/>
      <c r="DW428" s="509"/>
      <c r="DX428" s="509"/>
      <c r="DY428" s="509"/>
      <c r="DZ428" s="509"/>
      <c r="EA428" s="509"/>
      <c r="EB428" s="509"/>
      <c r="EC428" s="509"/>
      <c r="ED428" s="509"/>
      <c r="EE428" s="509"/>
      <c r="EF428" s="509"/>
      <c r="EG428" s="509"/>
      <c r="EH428" s="509"/>
      <c r="EI428" s="509"/>
      <c r="EJ428" s="509"/>
      <c r="EK428" s="509"/>
      <c r="EL428" s="509"/>
      <c r="EM428" s="509"/>
      <c r="EN428" s="509"/>
      <c r="EO428" s="509"/>
      <c r="EP428" s="509"/>
      <c r="EQ428" s="509"/>
      <c r="ER428" s="509"/>
      <c r="ES428" s="509"/>
      <c r="ET428" s="509"/>
      <c r="EU428" s="509"/>
      <c r="EV428" s="509"/>
      <c r="EW428" s="509"/>
      <c r="EX428" s="509"/>
      <c r="EY428" s="509"/>
      <c r="EZ428" s="509"/>
      <c r="FA428" s="509"/>
      <c r="FB428" s="509"/>
      <c r="FC428" s="509"/>
      <c r="FD428" s="509"/>
      <c r="FE428" s="509"/>
      <c r="FF428" s="509"/>
      <c r="FG428" s="509"/>
      <c r="FH428" s="509"/>
      <c r="FI428" s="509"/>
      <c r="FJ428" s="509"/>
      <c r="FK428" s="509"/>
      <c r="FL428" s="509"/>
      <c r="FM428" s="509"/>
      <c r="FN428" s="509"/>
      <c r="FO428" s="509"/>
      <c r="FP428" s="509"/>
      <c r="FQ428" s="509"/>
      <c r="FR428" s="509"/>
      <c r="FS428" s="509"/>
      <c r="FT428" s="509"/>
      <c r="FU428" s="509"/>
      <c r="FV428" s="509"/>
      <c r="FW428" s="509"/>
      <c r="FX428" s="509"/>
      <c r="FY428" s="509"/>
      <c r="FZ428" s="509"/>
      <c r="GA428" s="509"/>
      <c r="GB428" s="509"/>
      <c r="GC428" s="509"/>
      <c r="GD428" s="509"/>
      <c r="GE428" s="509"/>
      <c r="GF428" s="509"/>
      <c r="GG428" s="509"/>
      <c r="GH428" s="509"/>
      <c r="GI428" s="509"/>
      <c r="GJ428" s="509"/>
      <c r="GK428" s="509"/>
      <c r="GL428" s="509"/>
      <c r="GM428" s="509"/>
      <c r="GN428" s="509"/>
      <c r="GO428" s="509"/>
      <c r="GP428" s="509"/>
      <c r="GQ428" s="509"/>
      <c r="GR428" s="509"/>
      <c r="GS428" s="509"/>
      <c r="GT428" s="509"/>
      <c r="GU428" s="509"/>
      <c r="GV428" s="509"/>
      <c r="GW428" s="509"/>
      <c r="GX428" s="509"/>
      <c r="GY428" s="509"/>
      <c r="GZ428" s="509"/>
      <c r="HA428" s="509"/>
      <c r="HB428" s="509"/>
      <c r="HC428" s="509"/>
      <c r="HD428" s="509"/>
      <c r="HE428" s="509"/>
      <c r="HF428" s="509"/>
      <c r="HG428" s="509"/>
      <c r="HH428" s="509"/>
      <c r="HI428" s="509"/>
      <c r="HJ428" s="509"/>
      <c r="HK428" s="509"/>
      <c r="HL428" s="509"/>
      <c r="HM428" s="509"/>
      <c r="HN428" s="509"/>
      <c r="HO428" s="509"/>
      <c r="HP428" s="509"/>
      <c r="HQ428" s="509"/>
      <c r="HR428" s="509"/>
      <c r="HS428" s="509"/>
      <c r="HT428" s="509"/>
      <c r="HU428" s="509"/>
      <c r="HV428" s="509"/>
      <c r="HW428" s="509"/>
      <c r="HX428" s="509"/>
      <c r="HY428" s="509"/>
      <c r="HZ428" s="509"/>
    </row>
    <row r="429" spans="1:234" ht="13.5" hidden="1" customHeight="1" x14ac:dyDescent="0.25">
      <c r="A429" s="1270" t="s">
        <v>6188</v>
      </c>
      <c r="B429" s="1271" t="s">
        <v>6189</v>
      </c>
      <c r="C429" s="1272" t="s">
        <v>6190</v>
      </c>
      <c r="D429" s="1273" t="s">
        <v>189</v>
      </c>
      <c r="E429" s="1272" t="s">
        <v>1743</v>
      </c>
      <c r="F429" s="1274">
        <v>41842</v>
      </c>
      <c r="G429" s="1275">
        <v>41771</v>
      </c>
      <c r="H429" s="1274">
        <v>41831</v>
      </c>
      <c r="I429" s="1276">
        <v>43980</v>
      </c>
      <c r="J429" s="1277">
        <v>10</v>
      </c>
      <c r="K429" s="1278" t="s">
        <v>3229</v>
      </c>
      <c r="L429" s="1279" t="s">
        <v>3229</v>
      </c>
      <c r="M429" s="1280">
        <v>0</v>
      </c>
      <c r="N429" s="1281">
        <v>1</v>
      </c>
      <c r="O429" s="1282">
        <v>0.8</v>
      </c>
      <c r="P429" s="1283" t="s">
        <v>3229</v>
      </c>
      <c r="Q429" s="1283" t="s">
        <v>3229</v>
      </c>
      <c r="R429" s="1284" t="s">
        <v>3229</v>
      </c>
      <c r="S429" s="1285"/>
      <c r="T429" s="1286" t="s">
        <v>3229</v>
      </c>
      <c r="U429" s="1286" t="s">
        <v>3229</v>
      </c>
      <c r="V429" s="1286" t="s">
        <v>3229</v>
      </c>
      <c r="W429" s="1286" t="s">
        <v>3229</v>
      </c>
      <c r="X429" s="1286" t="s">
        <v>3229</v>
      </c>
      <c r="Y429" s="1286" t="s">
        <v>3229</v>
      </c>
      <c r="Z429" s="1286" t="s">
        <v>3229</v>
      </c>
      <c r="AA429" s="1286" t="s">
        <v>3229</v>
      </c>
      <c r="AB429" s="1286" t="s">
        <v>3229</v>
      </c>
      <c r="AC429" s="1286" t="s">
        <v>3229</v>
      </c>
      <c r="AD429" s="1286" t="s">
        <v>3229</v>
      </c>
      <c r="AE429" s="1286" t="s">
        <v>3229</v>
      </c>
      <c r="AF429" s="3764" t="s">
        <v>781</v>
      </c>
      <c r="AG429" s="3765"/>
      <c r="AH429" s="1287" t="s">
        <v>3229</v>
      </c>
      <c r="AI429" s="1288" t="s">
        <v>3229</v>
      </c>
      <c r="AJ429" s="1288" t="s">
        <v>3229</v>
      </c>
      <c r="AK429" s="1288" t="s">
        <v>3229</v>
      </c>
      <c r="AL429" s="1288" t="s">
        <v>3229</v>
      </c>
      <c r="AM429" s="1288">
        <v>1</v>
      </c>
      <c r="AN429" s="1289">
        <f>'klikací hodnoty'!F13494</f>
        <v>3.8732499999999975E-2</v>
      </c>
      <c r="AO429" s="1290">
        <v>10.39</v>
      </c>
      <c r="AP429" s="1371">
        <f>'klikací hodnoty'!F13493</f>
        <v>3.8732499999999975E-2</v>
      </c>
      <c r="AQ429" s="1281">
        <f>'klikací hodnoty'!F13474</f>
        <v>0.17870409731947304</v>
      </c>
      <c r="AR429" s="1291">
        <f>O429</f>
        <v>0.8</v>
      </c>
      <c r="AS429" s="1292">
        <f>POWER(1+AR429,1/((I429-F429)/365))-1</f>
        <v>0.10555460649059589</v>
      </c>
      <c r="AT429" s="1292">
        <f>J429*(1+AR429)/AO429-1</f>
        <v>0.73243503368623664</v>
      </c>
      <c r="AU429" s="1293" t="e">
        <f>POWER(1+AT429,1/AG429)-1</f>
        <v>#DIV/0!</v>
      </c>
      <c r="AV429" s="1294">
        <f t="shared" si="100"/>
        <v>0</v>
      </c>
      <c r="AW429" s="1295">
        <f t="shared" si="95"/>
        <v>0</v>
      </c>
      <c r="AX429" s="1296">
        <f t="shared" si="88"/>
        <v>-3.7536092396535214E-2</v>
      </c>
      <c r="AY429" s="1297" t="e">
        <f t="shared" si="89"/>
        <v>#DIV/0!</v>
      </c>
      <c r="AZ429" s="1298">
        <f t="shared" si="99"/>
        <v>10</v>
      </c>
      <c r="BA429" s="1299"/>
      <c r="BB429" s="1285"/>
      <c r="BC429" s="1300"/>
      <c r="BH429" s="3763"/>
      <c r="BI429" s="3763"/>
      <c r="BJ429" s="1639"/>
      <c r="BK429" s="1639"/>
      <c r="BL429" s="1639"/>
      <c r="BM429" s="1639"/>
      <c r="BN429" s="1639"/>
      <c r="BO429" s="1639"/>
      <c r="BP429" s="1639"/>
      <c r="BQ429" s="1639"/>
      <c r="BR429" s="1639"/>
      <c r="BS429" s="509"/>
      <c r="BT429" s="509"/>
      <c r="BU429" s="509"/>
      <c r="BV429" s="509"/>
      <c r="BW429" s="509"/>
      <c r="BX429" s="509"/>
      <c r="BY429" s="509"/>
      <c r="BZ429" s="509"/>
      <c r="CA429" s="509"/>
      <c r="CB429" s="509"/>
      <c r="CC429" s="509"/>
      <c r="CD429" s="509"/>
      <c r="CE429" s="509"/>
      <c r="CF429" s="509"/>
      <c r="CG429" s="509"/>
      <c r="CH429" s="509"/>
      <c r="CI429" s="509"/>
      <c r="CJ429" s="509"/>
      <c r="CK429" s="509"/>
      <c r="CL429" s="509"/>
      <c r="CM429" s="509"/>
      <c r="CN429" s="509"/>
      <c r="CO429" s="509"/>
      <c r="CP429" s="509"/>
      <c r="CQ429" s="509"/>
      <c r="CR429" s="509"/>
      <c r="CS429" s="509"/>
      <c r="CT429" s="509"/>
      <c r="CU429" s="509"/>
      <c r="CV429" s="509"/>
      <c r="CW429" s="509"/>
      <c r="CX429" s="509"/>
      <c r="CY429" s="509"/>
      <c r="CZ429" s="509"/>
      <c r="DA429" s="509"/>
      <c r="DB429" s="509"/>
      <c r="DC429" s="509"/>
      <c r="DD429" s="509"/>
      <c r="DE429" s="509"/>
      <c r="DF429" s="509"/>
      <c r="DG429" s="509"/>
      <c r="DH429" s="509"/>
      <c r="DI429" s="509"/>
      <c r="DJ429" s="509"/>
      <c r="DK429" s="509"/>
      <c r="DL429" s="509"/>
      <c r="DM429" s="509"/>
      <c r="DN429" s="509"/>
      <c r="DO429" s="509"/>
      <c r="DP429" s="509"/>
      <c r="DQ429" s="509"/>
      <c r="DR429" s="509"/>
      <c r="DS429" s="509"/>
      <c r="DT429" s="509"/>
      <c r="DU429" s="509"/>
      <c r="DV429" s="509"/>
      <c r="DW429" s="509"/>
      <c r="DX429" s="509"/>
      <c r="DY429" s="509"/>
      <c r="DZ429" s="509"/>
      <c r="EA429" s="509"/>
      <c r="EB429" s="509"/>
      <c r="EC429" s="509"/>
      <c r="ED429" s="509"/>
      <c r="EE429" s="509"/>
      <c r="EF429" s="509"/>
      <c r="EG429" s="509"/>
      <c r="EH429" s="509"/>
      <c r="EI429" s="509"/>
      <c r="EJ429" s="509"/>
      <c r="EK429" s="509"/>
      <c r="EL429" s="509"/>
      <c r="EM429" s="509"/>
      <c r="EN429" s="509"/>
      <c r="EO429" s="509"/>
      <c r="EP429" s="509"/>
      <c r="EQ429" s="509"/>
      <c r="ER429" s="509"/>
      <c r="ES429" s="509"/>
      <c r="ET429" s="509"/>
      <c r="EU429" s="509"/>
      <c r="EV429" s="509"/>
      <c r="EW429" s="509"/>
      <c r="EX429" s="509"/>
      <c r="EY429" s="509"/>
      <c r="EZ429" s="509"/>
      <c r="FA429" s="509"/>
      <c r="FB429" s="509"/>
      <c r="FC429" s="509"/>
      <c r="FD429" s="509"/>
      <c r="FE429" s="509"/>
      <c r="FF429" s="509"/>
      <c r="FG429" s="509"/>
      <c r="FH429" s="509"/>
      <c r="FI429" s="509"/>
      <c r="FJ429" s="509"/>
      <c r="FK429" s="509"/>
      <c r="FL429" s="509"/>
      <c r="FM429" s="509"/>
      <c r="FN429" s="509"/>
      <c r="FO429" s="509"/>
      <c r="FP429" s="509"/>
      <c r="FQ429" s="509"/>
      <c r="FR429" s="509"/>
      <c r="FS429" s="509"/>
      <c r="FT429" s="509"/>
      <c r="FU429" s="509"/>
      <c r="FV429" s="509"/>
      <c r="FW429" s="509"/>
      <c r="FX429" s="509"/>
      <c r="FY429" s="509"/>
      <c r="FZ429" s="509"/>
      <c r="GA429" s="509"/>
      <c r="GB429" s="509"/>
      <c r="GC429" s="509"/>
      <c r="GD429" s="509"/>
      <c r="GE429" s="509"/>
      <c r="GF429" s="509"/>
      <c r="GG429" s="509"/>
      <c r="GH429" s="509"/>
      <c r="GI429" s="509"/>
      <c r="GJ429" s="509"/>
      <c r="GK429" s="509"/>
      <c r="GL429" s="509"/>
      <c r="GM429" s="509"/>
      <c r="GN429" s="509"/>
      <c r="GO429" s="509"/>
      <c r="GP429" s="509"/>
      <c r="GQ429" s="509"/>
      <c r="GR429" s="509"/>
      <c r="GS429" s="509"/>
      <c r="GT429" s="509"/>
      <c r="GU429" s="509"/>
      <c r="GV429" s="509"/>
      <c r="GW429" s="509"/>
      <c r="GX429" s="509"/>
      <c r="GY429" s="509"/>
      <c r="GZ429" s="509"/>
      <c r="HA429" s="509"/>
      <c r="HB429" s="509"/>
      <c r="HC429" s="509"/>
      <c r="HD429" s="509"/>
      <c r="HE429" s="509"/>
      <c r="HF429" s="509"/>
      <c r="HG429" s="509"/>
      <c r="HH429" s="509"/>
      <c r="HI429" s="509"/>
      <c r="HJ429" s="509"/>
      <c r="HK429" s="509"/>
      <c r="HL429" s="509"/>
      <c r="HM429" s="509"/>
      <c r="HN429" s="509"/>
      <c r="HO429" s="509"/>
      <c r="HP429" s="509"/>
      <c r="HQ429" s="509"/>
      <c r="HR429" s="509"/>
      <c r="HS429" s="509"/>
      <c r="HT429" s="509"/>
      <c r="HU429" s="509"/>
      <c r="HV429" s="509"/>
      <c r="HW429" s="509"/>
      <c r="HX429" s="509"/>
      <c r="HY429" s="509"/>
      <c r="HZ429" s="509"/>
    </row>
    <row r="430" spans="1:234" ht="13.5" hidden="1" customHeight="1" x14ac:dyDescent="0.25">
      <c r="A430" s="1270" t="s">
        <v>6214</v>
      </c>
      <c r="B430" s="1271" t="s">
        <v>6213</v>
      </c>
      <c r="C430" s="1272" t="s">
        <v>6215</v>
      </c>
      <c r="D430" s="1273" t="s">
        <v>189</v>
      </c>
      <c r="E430" s="1272" t="s">
        <v>905</v>
      </c>
      <c r="F430" s="1274">
        <v>41827</v>
      </c>
      <c r="G430" s="1275">
        <v>41778</v>
      </c>
      <c r="H430" s="1274">
        <v>41817</v>
      </c>
      <c r="I430" s="1276">
        <v>43921</v>
      </c>
      <c r="J430" s="1277">
        <v>10</v>
      </c>
      <c r="K430" s="1278" t="s">
        <v>3229</v>
      </c>
      <c r="L430" s="1279" t="s">
        <v>3229</v>
      </c>
      <c r="M430" s="1280">
        <f>IF('klikací hodnoty'!N13510&gt;0%,0%,-5%)</f>
        <v>0</v>
      </c>
      <c r="N430" s="1281">
        <v>0.7</v>
      </c>
      <c r="O430" s="1282" t="s">
        <v>3229</v>
      </c>
      <c r="P430" s="1283" t="s">
        <v>3229</v>
      </c>
      <c r="Q430" s="1283" t="s">
        <v>3229</v>
      </c>
      <c r="R430" s="1284" t="s">
        <v>3229</v>
      </c>
      <c r="S430" s="1285"/>
      <c r="T430" s="1286" t="s">
        <v>3229</v>
      </c>
      <c r="U430" s="1286" t="s">
        <v>3229</v>
      </c>
      <c r="V430" s="1286" t="s">
        <v>3229</v>
      </c>
      <c r="W430" s="1286" t="s">
        <v>3229</v>
      </c>
      <c r="X430" s="1286" t="s">
        <v>3229</v>
      </c>
      <c r="Y430" s="1286" t="s">
        <v>3229</v>
      </c>
      <c r="Z430" s="1286" t="s">
        <v>3229</v>
      </c>
      <c r="AA430" s="1286" t="s">
        <v>3229</v>
      </c>
      <c r="AB430" s="1286" t="s">
        <v>3229</v>
      </c>
      <c r="AC430" s="1286" t="s">
        <v>3229</v>
      </c>
      <c r="AD430" s="1286" t="s">
        <v>3229</v>
      </c>
      <c r="AE430" s="1286" t="s">
        <v>3229</v>
      </c>
      <c r="AF430" s="3764" t="s">
        <v>781</v>
      </c>
      <c r="AG430" s="3765"/>
      <c r="AH430" s="1287" t="s">
        <v>3229</v>
      </c>
      <c r="AI430" s="1288" t="s">
        <v>3229</v>
      </c>
      <c r="AJ430" s="1288" t="s">
        <v>3229</v>
      </c>
      <c r="AK430" s="1288" t="s">
        <v>3229</v>
      </c>
      <c r="AL430" s="1288" t="s">
        <v>3229</v>
      </c>
      <c r="AM430" s="1288">
        <v>1</v>
      </c>
      <c r="AN430" s="1289">
        <f>'klikací hodnoty'!F13550</f>
        <v>4.810897777777777E-2</v>
      </c>
      <c r="AO430" s="1290">
        <v>10.48</v>
      </c>
      <c r="AP430" s="1371">
        <f>'klikací hodnoty'!F13549</f>
        <v>6.87271111111111E-2</v>
      </c>
      <c r="AQ430" s="1281">
        <f>'klikací hodnoty'!F13530</f>
        <v>4.7965141378853222E-2</v>
      </c>
      <c r="AR430" s="1291" t="s">
        <v>3660</v>
      </c>
      <c r="AS430" s="1292"/>
      <c r="AT430" s="1292"/>
      <c r="AU430" s="1293"/>
      <c r="AV430" s="1294">
        <f t="shared" si="100"/>
        <v>0</v>
      </c>
      <c r="AW430" s="1295">
        <f t="shared" si="95"/>
        <v>0</v>
      </c>
      <c r="AX430" s="1296">
        <f t="shared" ref="AX430:AX438" si="101">J430*(1+AV430)/AO430-1</f>
        <v>-4.5801526717557328E-2</v>
      </c>
      <c r="AY430" s="1297" t="e">
        <f t="shared" ref="AY430:AY438" si="102">POWER(1+AX430,1/AG430)-1</f>
        <v>#DIV/0!</v>
      </c>
      <c r="AZ430" s="1298">
        <f t="shared" si="99"/>
        <v>10</v>
      </c>
      <c r="BA430" s="1299"/>
      <c r="BB430" s="1285"/>
      <c r="BC430" s="1300"/>
      <c r="BH430" s="3763"/>
      <c r="BI430" s="3763"/>
      <c r="BJ430" s="1639"/>
      <c r="BK430" s="1639"/>
      <c r="BL430" s="1639"/>
      <c r="BM430" s="1639"/>
      <c r="BN430" s="1639"/>
      <c r="BO430" s="1639"/>
      <c r="BP430" s="1639"/>
      <c r="BQ430" s="1639"/>
      <c r="BR430" s="1639"/>
      <c r="BS430" s="509"/>
      <c r="BT430" s="509"/>
      <c r="BU430" s="509"/>
      <c r="BV430" s="509"/>
      <c r="BW430" s="509"/>
      <c r="BX430" s="509"/>
      <c r="BY430" s="509"/>
      <c r="BZ430" s="509"/>
      <c r="CA430" s="509"/>
      <c r="CB430" s="509"/>
      <c r="CC430" s="509"/>
      <c r="CD430" s="509"/>
      <c r="CE430" s="509"/>
      <c r="CF430" s="509"/>
      <c r="CG430" s="509"/>
      <c r="CH430" s="509"/>
      <c r="CI430" s="509"/>
      <c r="CJ430" s="509"/>
      <c r="CK430" s="509"/>
      <c r="CL430" s="509"/>
      <c r="CM430" s="509"/>
      <c r="CN430" s="509"/>
      <c r="CO430" s="509"/>
      <c r="CP430" s="509"/>
      <c r="CQ430" s="509"/>
      <c r="CR430" s="509"/>
      <c r="CS430" s="509"/>
      <c r="CT430" s="509"/>
      <c r="CU430" s="509"/>
      <c r="CV430" s="509"/>
      <c r="CW430" s="509"/>
      <c r="CX430" s="509"/>
      <c r="CY430" s="509"/>
      <c r="CZ430" s="509"/>
      <c r="DA430" s="509"/>
      <c r="DB430" s="509"/>
      <c r="DC430" s="509"/>
      <c r="DD430" s="509"/>
      <c r="DE430" s="509"/>
      <c r="DF430" s="509"/>
      <c r="DG430" s="509"/>
      <c r="DH430" s="509"/>
      <c r="DI430" s="509"/>
      <c r="DJ430" s="509"/>
      <c r="DK430" s="509"/>
      <c r="DL430" s="509"/>
      <c r="DM430" s="509"/>
      <c r="DN430" s="509"/>
      <c r="DO430" s="509"/>
      <c r="DP430" s="509"/>
      <c r="DQ430" s="509"/>
      <c r="DR430" s="509"/>
      <c r="DS430" s="509"/>
      <c r="DT430" s="509"/>
      <c r="DU430" s="509"/>
      <c r="DV430" s="509"/>
      <c r="DW430" s="509"/>
      <c r="DX430" s="509"/>
      <c r="DY430" s="509"/>
      <c r="DZ430" s="509"/>
      <c r="EA430" s="509"/>
      <c r="EB430" s="509"/>
      <c r="EC430" s="509"/>
      <c r="ED430" s="509"/>
      <c r="EE430" s="509"/>
      <c r="EF430" s="509"/>
      <c r="EG430" s="509"/>
      <c r="EH430" s="509"/>
      <c r="EI430" s="509"/>
      <c r="EJ430" s="509"/>
      <c r="EK430" s="509"/>
      <c r="EL430" s="509"/>
      <c r="EM430" s="509"/>
      <c r="EN430" s="509"/>
      <c r="EO430" s="509"/>
      <c r="EP430" s="509"/>
      <c r="EQ430" s="509"/>
      <c r="ER430" s="509"/>
      <c r="ES430" s="509"/>
      <c r="ET430" s="509"/>
      <c r="EU430" s="509"/>
      <c r="EV430" s="509"/>
      <c r="EW430" s="509"/>
      <c r="EX430" s="509"/>
      <c r="EY430" s="509"/>
      <c r="EZ430" s="509"/>
      <c r="FA430" s="509"/>
      <c r="FB430" s="509"/>
      <c r="FC430" s="509"/>
      <c r="FD430" s="509"/>
      <c r="FE430" s="509"/>
      <c r="FF430" s="509"/>
      <c r="FG430" s="509"/>
      <c r="FH430" s="509"/>
      <c r="FI430" s="509"/>
      <c r="FJ430" s="509"/>
      <c r="FK430" s="509"/>
      <c r="FL430" s="509"/>
      <c r="FM430" s="509"/>
      <c r="FN430" s="509"/>
      <c r="FO430" s="509"/>
      <c r="FP430" s="509"/>
      <c r="FQ430" s="509"/>
      <c r="FR430" s="509"/>
      <c r="FS430" s="509"/>
      <c r="FT430" s="509"/>
      <c r="FU430" s="509"/>
      <c r="FV430" s="509"/>
      <c r="FW430" s="509"/>
      <c r="FX430" s="509"/>
      <c r="FY430" s="509"/>
      <c r="FZ430" s="509"/>
      <c r="GA430" s="509"/>
      <c r="GB430" s="509"/>
      <c r="GC430" s="509"/>
      <c r="GD430" s="509"/>
      <c r="GE430" s="509"/>
      <c r="GF430" s="509"/>
      <c r="GG430" s="509"/>
      <c r="GH430" s="509"/>
      <c r="GI430" s="509"/>
      <c r="GJ430" s="509"/>
      <c r="GK430" s="509"/>
      <c r="GL430" s="509"/>
      <c r="GM430" s="509"/>
      <c r="GN430" s="509"/>
      <c r="GO430" s="509"/>
      <c r="GP430" s="509"/>
      <c r="GQ430" s="509"/>
      <c r="GR430" s="509"/>
      <c r="GS430" s="509"/>
      <c r="GT430" s="509"/>
      <c r="GU430" s="509"/>
      <c r="GV430" s="509"/>
      <c r="GW430" s="509"/>
      <c r="GX430" s="509"/>
      <c r="GY430" s="509"/>
      <c r="GZ430" s="509"/>
      <c r="HA430" s="509"/>
      <c r="HB430" s="509"/>
      <c r="HC430" s="509"/>
      <c r="HD430" s="509"/>
      <c r="HE430" s="509"/>
      <c r="HF430" s="509"/>
      <c r="HG430" s="509"/>
      <c r="HH430" s="509"/>
      <c r="HI430" s="509"/>
      <c r="HJ430" s="509"/>
      <c r="HK430" s="509"/>
      <c r="HL430" s="509"/>
      <c r="HM430" s="509"/>
      <c r="HN430" s="509"/>
      <c r="HO430" s="509"/>
      <c r="HP430" s="509"/>
      <c r="HQ430" s="509"/>
      <c r="HR430" s="509"/>
      <c r="HS430" s="509"/>
      <c r="HT430" s="509"/>
      <c r="HU430" s="509"/>
      <c r="HV430" s="509"/>
      <c r="HW430" s="509"/>
      <c r="HX430" s="509"/>
      <c r="HY430" s="509"/>
      <c r="HZ430" s="509"/>
    </row>
    <row r="431" spans="1:234" ht="13.5" hidden="1" customHeight="1" x14ac:dyDescent="0.25">
      <c r="A431" s="1270" t="s">
        <v>6217</v>
      </c>
      <c r="B431" s="1271" t="s">
        <v>6216</v>
      </c>
      <c r="C431" s="1272" t="s">
        <v>6218</v>
      </c>
      <c r="D431" s="1273" t="s">
        <v>2158</v>
      </c>
      <c r="E431" s="1272" t="s">
        <v>3228</v>
      </c>
      <c r="F431" s="1274">
        <v>41858</v>
      </c>
      <c r="G431" s="1275">
        <v>41792</v>
      </c>
      <c r="H431" s="1274">
        <v>41851</v>
      </c>
      <c r="I431" s="1276">
        <v>43951</v>
      </c>
      <c r="J431" s="1277">
        <v>10</v>
      </c>
      <c r="K431" s="1278" t="s">
        <v>3229</v>
      </c>
      <c r="L431" s="1279" t="s">
        <v>3229</v>
      </c>
      <c r="M431" s="1280">
        <v>-0.1</v>
      </c>
      <c r="N431" s="1281">
        <v>0.5</v>
      </c>
      <c r="O431" s="1282">
        <v>0.8</v>
      </c>
      <c r="P431" s="1283" t="s">
        <v>3229</v>
      </c>
      <c r="Q431" s="1283" t="s">
        <v>3229</v>
      </c>
      <c r="R431" s="1284" t="s">
        <v>3229</v>
      </c>
      <c r="S431" s="1285"/>
      <c r="T431" s="1286" t="s">
        <v>3229</v>
      </c>
      <c r="U431" s="1286" t="s">
        <v>3229</v>
      </c>
      <c r="V431" s="1286" t="s">
        <v>3229</v>
      </c>
      <c r="W431" s="1286" t="s">
        <v>3229</v>
      </c>
      <c r="X431" s="1286" t="s">
        <v>3229</v>
      </c>
      <c r="Y431" s="1286" t="s">
        <v>3229</v>
      </c>
      <c r="Z431" s="1286" t="s">
        <v>3229</v>
      </c>
      <c r="AA431" s="1286" t="s">
        <v>3229</v>
      </c>
      <c r="AB431" s="1286" t="s">
        <v>3229</v>
      </c>
      <c r="AC431" s="1286" t="s">
        <v>3229</v>
      </c>
      <c r="AD431" s="1286" t="s">
        <v>3229</v>
      </c>
      <c r="AE431" s="1286" t="s">
        <v>3229</v>
      </c>
      <c r="AF431" s="3764" t="s">
        <v>781</v>
      </c>
      <c r="AG431" s="3765"/>
      <c r="AH431" s="1287" t="s">
        <v>3229</v>
      </c>
      <c r="AI431" s="1288" t="s">
        <v>3229</v>
      </c>
      <c r="AJ431" s="1288" t="s">
        <v>3229</v>
      </c>
      <c r="AK431" s="1288" t="s">
        <v>3229</v>
      </c>
      <c r="AL431" s="1288" t="s">
        <v>3229</v>
      </c>
      <c r="AM431" s="1288">
        <v>1</v>
      </c>
      <c r="AN431" s="1289">
        <f>'klikací hodnoty'!F13328</f>
        <v>0.11119274999999999</v>
      </c>
      <c r="AO431" s="1290">
        <v>11.11</v>
      </c>
      <c r="AP431" s="1371">
        <f>+AQ431</f>
        <v>8.5000000000000006E-3</v>
      </c>
      <c r="AQ431" s="1281">
        <f>'klikací hodnoty'!F13308</f>
        <v>8.5000000000000006E-3</v>
      </c>
      <c r="AR431" s="1291">
        <f>O431</f>
        <v>0.8</v>
      </c>
      <c r="AS431" s="1292">
        <f>POWER(1+AR431,1/((I431-F431)/365))-1</f>
        <v>0.10794240102128239</v>
      </c>
      <c r="AT431" s="1292">
        <f>J431*(1+AR431)/AO431-1</f>
        <v>0.62016201620162015</v>
      </c>
      <c r="AU431" s="1293" t="e">
        <f>POWER(1+AT431,1/AG431)-1</f>
        <v>#DIV/0!</v>
      </c>
      <c r="AV431" s="1294">
        <f t="shared" si="100"/>
        <v>-0.1</v>
      </c>
      <c r="AW431" s="1295">
        <f t="shared" si="95"/>
        <v>-1.8206136284499519E-2</v>
      </c>
      <c r="AX431" s="1296">
        <f t="shared" si="101"/>
        <v>-0.18991899189918993</v>
      </c>
      <c r="AY431" s="1297" t="e">
        <f t="shared" si="102"/>
        <v>#DIV/0!</v>
      </c>
      <c r="AZ431" s="1298">
        <f t="shared" si="99"/>
        <v>9</v>
      </c>
      <c r="BA431" s="1299"/>
      <c r="BB431" s="1285"/>
      <c r="BC431" s="1300"/>
      <c r="BE431" s="3744"/>
      <c r="BF431" s="3744"/>
      <c r="BH431" s="3763"/>
      <c r="BI431" s="3763"/>
      <c r="BJ431" s="1639"/>
      <c r="BK431" s="1639"/>
      <c r="BL431" s="1639"/>
      <c r="BM431" s="1639"/>
      <c r="BN431" s="1639"/>
      <c r="BO431" s="1639"/>
      <c r="BP431" s="1639"/>
      <c r="BQ431" s="1639"/>
      <c r="BR431" s="1639"/>
      <c r="BS431" s="509"/>
      <c r="BT431" s="509"/>
      <c r="BU431" s="509"/>
      <c r="BV431" s="509"/>
      <c r="BW431" s="509"/>
      <c r="BX431" s="509"/>
      <c r="BY431" s="509"/>
      <c r="BZ431" s="509"/>
      <c r="CA431" s="509"/>
      <c r="CB431" s="509"/>
      <c r="CC431" s="509"/>
      <c r="CD431" s="509"/>
      <c r="CE431" s="509"/>
      <c r="CF431" s="509"/>
      <c r="CG431" s="509"/>
      <c r="CH431" s="509"/>
      <c r="CI431" s="509"/>
      <c r="CJ431" s="509"/>
      <c r="CK431" s="509"/>
      <c r="CL431" s="509"/>
      <c r="CM431" s="509"/>
      <c r="CN431" s="509"/>
      <c r="CO431" s="509"/>
      <c r="CP431" s="509"/>
      <c r="CQ431" s="509"/>
      <c r="CR431" s="509"/>
      <c r="CS431" s="509"/>
      <c r="CT431" s="509"/>
      <c r="CU431" s="509"/>
      <c r="CV431" s="509"/>
      <c r="CW431" s="509"/>
      <c r="CX431" s="509"/>
      <c r="CY431" s="509"/>
      <c r="CZ431" s="509"/>
      <c r="DA431" s="509"/>
      <c r="DB431" s="509"/>
      <c r="DC431" s="509"/>
      <c r="DD431" s="509"/>
      <c r="DE431" s="509"/>
      <c r="DF431" s="509"/>
      <c r="DG431" s="509"/>
      <c r="DH431" s="509"/>
      <c r="DI431" s="509"/>
      <c r="DJ431" s="509"/>
      <c r="DK431" s="509"/>
      <c r="DL431" s="509"/>
      <c r="DM431" s="509"/>
      <c r="DN431" s="509"/>
      <c r="DO431" s="509"/>
      <c r="DP431" s="509"/>
      <c r="DQ431" s="509"/>
      <c r="DR431" s="509"/>
      <c r="DS431" s="509"/>
      <c r="DT431" s="509"/>
      <c r="DU431" s="509"/>
      <c r="DV431" s="509"/>
      <c r="DW431" s="509"/>
      <c r="DX431" s="509"/>
      <c r="DY431" s="509"/>
      <c r="DZ431" s="509"/>
      <c r="EA431" s="509"/>
      <c r="EB431" s="509"/>
      <c r="EC431" s="509"/>
      <c r="ED431" s="509"/>
      <c r="EE431" s="509"/>
      <c r="EF431" s="509"/>
      <c r="EG431" s="509"/>
      <c r="EH431" s="509"/>
      <c r="EI431" s="509"/>
      <c r="EJ431" s="509"/>
      <c r="EK431" s="509"/>
      <c r="EL431" s="509"/>
      <c r="EM431" s="509"/>
      <c r="EN431" s="509"/>
      <c r="EO431" s="509"/>
      <c r="EP431" s="509"/>
      <c r="EQ431" s="509"/>
      <c r="ER431" s="509"/>
      <c r="ES431" s="509"/>
      <c r="ET431" s="509"/>
      <c r="EU431" s="509"/>
      <c r="EV431" s="509"/>
      <c r="EW431" s="509"/>
      <c r="EX431" s="509"/>
      <c r="EY431" s="509"/>
      <c r="EZ431" s="509"/>
      <c r="FA431" s="509"/>
      <c r="FB431" s="509"/>
      <c r="FC431" s="509"/>
      <c r="FD431" s="509"/>
      <c r="FE431" s="509"/>
      <c r="FF431" s="509"/>
      <c r="FG431" s="509"/>
      <c r="FH431" s="509"/>
      <c r="FI431" s="509"/>
      <c r="FJ431" s="509"/>
      <c r="FK431" s="509"/>
      <c r="FL431" s="509"/>
      <c r="FM431" s="509"/>
      <c r="FN431" s="509"/>
      <c r="FO431" s="509"/>
      <c r="FP431" s="509"/>
      <c r="FQ431" s="509"/>
      <c r="FR431" s="509"/>
      <c r="FS431" s="509"/>
      <c r="FT431" s="509"/>
      <c r="FU431" s="509"/>
      <c r="FV431" s="509"/>
      <c r="FW431" s="509"/>
      <c r="FX431" s="509"/>
      <c r="FY431" s="509"/>
      <c r="FZ431" s="509"/>
      <c r="GA431" s="509"/>
      <c r="GB431" s="509"/>
      <c r="GC431" s="509"/>
      <c r="GD431" s="509"/>
      <c r="GE431" s="509"/>
      <c r="GF431" s="509"/>
      <c r="GG431" s="509"/>
      <c r="GH431" s="509"/>
      <c r="GI431" s="509"/>
      <c r="GJ431" s="509"/>
      <c r="GK431" s="509"/>
      <c r="GL431" s="509"/>
      <c r="GM431" s="509"/>
      <c r="GN431" s="509"/>
      <c r="GO431" s="509"/>
      <c r="GP431" s="509"/>
      <c r="GQ431" s="509"/>
      <c r="GR431" s="509"/>
      <c r="GS431" s="509"/>
      <c r="GT431" s="509"/>
      <c r="GU431" s="509"/>
      <c r="GV431" s="509"/>
      <c r="GW431" s="509"/>
      <c r="GX431" s="509"/>
      <c r="GY431" s="509"/>
      <c r="GZ431" s="509"/>
      <c r="HA431" s="509"/>
      <c r="HB431" s="509"/>
      <c r="HC431" s="509"/>
      <c r="HD431" s="509"/>
      <c r="HE431" s="509"/>
      <c r="HF431" s="509"/>
      <c r="HG431" s="509"/>
      <c r="HH431" s="509"/>
      <c r="HI431" s="509"/>
      <c r="HJ431" s="509"/>
      <c r="HK431" s="509"/>
      <c r="HL431" s="509"/>
      <c r="HM431" s="509"/>
      <c r="HN431" s="509"/>
      <c r="HO431" s="509"/>
      <c r="HP431" s="509"/>
      <c r="HQ431" s="509"/>
      <c r="HR431" s="509"/>
      <c r="HS431" s="509"/>
      <c r="HT431" s="509"/>
      <c r="HU431" s="509"/>
      <c r="HV431" s="509"/>
      <c r="HW431" s="509"/>
    </row>
    <row r="432" spans="1:234" ht="13.5" hidden="1" customHeight="1" x14ac:dyDescent="0.25">
      <c r="A432" s="1270" t="s">
        <v>6254</v>
      </c>
      <c r="B432" s="1271" t="s">
        <v>6255</v>
      </c>
      <c r="C432" s="1272" t="s">
        <v>6219</v>
      </c>
      <c r="D432" s="1273" t="s">
        <v>189</v>
      </c>
      <c r="E432" s="1272" t="s">
        <v>3228</v>
      </c>
      <c r="F432" s="1274">
        <v>41858</v>
      </c>
      <c r="G432" s="1275">
        <v>41792</v>
      </c>
      <c r="H432" s="1274">
        <v>41851</v>
      </c>
      <c r="I432" s="1276">
        <v>42247</v>
      </c>
      <c r="J432" s="1277">
        <v>10</v>
      </c>
      <c r="K432" s="1278" t="s">
        <v>3229</v>
      </c>
      <c r="L432" s="1279" t="s">
        <v>3229</v>
      </c>
      <c r="M432" s="1280">
        <v>-1</v>
      </c>
      <c r="N432" s="1281">
        <v>0.7</v>
      </c>
      <c r="O432" s="1282">
        <v>0.8</v>
      </c>
      <c r="P432" s="1283" t="s">
        <v>3229</v>
      </c>
      <c r="Q432" s="1283" t="s">
        <v>3229</v>
      </c>
      <c r="R432" s="1284" t="s">
        <v>3229</v>
      </c>
      <c r="S432" s="1285"/>
      <c r="T432" s="1286" t="s">
        <v>3229</v>
      </c>
      <c r="U432" s="1286" t="s">
        <v>3229</v>
      </c>
      <c r="V432" s="1286" t="s">
        <v>3229</v>
      </c>
      <c r="W432" s="1286" t="s">
        <v>3229</v>
      </c>
      <c r="X432" s="1286" t="s">
        <v>3229</v>
      </c>
      <c r="Y432" s="1286" t="s">
        <v>3229</v>
      </c>
      <c r="Z432" s="1286" t="s">
        <v>3229</v>
      </c>
      <c r="AA432" s="1286" t="s">
        <v>3229</v>
      </c>
      <c r="AB432" s="1286" t="s">
        <v>3229</v>
      </c>
      <c r="AC432" s="1286" t="s">
        <v>3229</v>
      </c>
      <c r="AD432" s="1286" t="s">
        <v>3229</v>
      </c>
      <c r="AE432" s="1286" t="s">
        <v>3229</v>
      </c>
      <c r="AF432" s="3764" t="s">
        <v>781</v>
      </c>
      <c r="AG432" s="3765"/>
      <c r="AH432" s="1287">
        <v>1</v>
      </c>
      <c r="AI432" s="1288" t="s">
        <v>3229</v>
      </c>
      <c r="AJ432" s="1288" t="s">
        <v>3229</v>
      </c>
      <c r="AK432" s="1288" t="s">
        <v>3229</v>
      </c>
      <c r="AL432" s="1288" t="s">
        <v>3229</v>
      </c>
      <c r="AM432" s="1288" t="s">
        <v>3229</v>
      </c>
      <c r="AN432" s="1289">
        <f>'klikací hodnoty'!F13334</f>
        <v>7.0000000000000007E-2</v>
      </c>
      <c r="AO432" s="1290">
        <v>10.7</v>
      </c>
      <c r="AP432" s="1371">
        <f>AQ432</f>
        <v>0.67800538845107461</v>
      </c>
      <c r="AQ432" s="1281">
        <f>IF('klikací hodnoty'!F13332="",'klikací hodnoty'!F13331,'klikací hodnoty'!F13332)</f>
        <v>0.67800538845107461</v>
      </c>
      <c r="AR432" s="1291">
        <f>O432</f>
        <v>0.8</v>
      </c>
      <c r="AS432" s="1292">
        <f>POWER(1+AR432,1/((I432-F432)/365))-1</f>
        <v>0.73589337080308193</v>
      </c>
      <c r="AT432" s="1292">
        <f>J432*(1+AR432)/AO432-1</f>
        <v>0.68224299065420579</v>
      </c>
      <c r="AU432" s="1293" t="e">
        <f>POWER(1+AT432,1/AG432)-1</f>
        <v>#DIV/0!</v>
      </c>
      <c r="AV432" s="1294">
        <f t="shared" si="100"/>
        <v>-1</v>
      </c>
      <c r="AW432" s="1295">
        <f t="shared" si="95"/>
        <v>-1</v>
      </c>
      <c r="AX432" s="1296">
        <f t="shared" si="101"/>
        <v>-1</v>
      </c>
      <c r="AY432" s="1297" t="e">
        <f t="shared" si="102"/>
        <v>#DIV/0!</v>
      </c>
      <c r="AZ432" s="1298">
        <f t="shared" si="99"/>
        <v>0</v>
      </c>
      <c r="BA432" s="1299"/>
      <c r="BB432" s="1285"/>
      <c r="BC432" s="1300"/>
      <c r="BH432" s="3763"/>
      <c r="BI432" s="3763"/>
      <c r="BJ432" s="1639"/>
      <c r="BK432" s="1639"/>
      <c r="BL432" s="1639"/>
      <c r="BM432" s="1639"/>
      <c r="BN432" s="1639"/>
      <c r="BO432" s="1639"/>
      <c r="BP432" s="1639"/>
      <c r="BQ432" s="1639"/>
      <c r="BR432" s="1639"/>
      <c r="BS432" s="509"/>
      <c r="BT432" s="509"/>
      <c r="BU432" s="509"/>
      <c r="BV432" s="509"/>
      <c r="BW432" s="509"/>
      <c r="BX432" s="509"/>
      <c r="BY432" s="509"/>
      <c r="BZ432" s="509"/>
      <c r="CA432" s="509"/>
      <c r="CB432" s="509"/>
      <c r="CC432" s="509"/>
      <c r="CD432" s="509"/>
      <c r="CE432" s="509"/>
      <c r="CF432" s="509"/>
      <c r="CG432" s="509"/>
      <c r="CH432" s="509"/>
      <c r="CI432" s="509"/>
      <c r="CJ432" s="509"/>
      <c r="CK432" s="509"/>
      <c r="CL432" s="509"/>
      <c r="CM432" s="509"/>
      <c r="CN432" s="509"/>
      <c r="CO432" s="509"/>
      <c r="CP432" s="509"/>
      <c r="CQ432" s="509"/>
      <c r="CR432" s="509"/>
      <c r="CS432" s="509"/>
      <c r="CT432" s="509"/>
      <c r="CU432" s="509"/>
      <c r="CV432" s="509"/>
      <c r="CW432" s="509"/>
      <c r="CX432" s="509"/>
      <c r="CY432" s="509"/>
      <c r="CZ432" s="509"/>
      <c r="DA432" s="509"/>
      <c r="DB432" s="509"/>
      <c r="DC432" s="509"/>
      <c r="DD432" s="509"/>
      <c r="DE432" s="509"/>
      <c r="DF432" s="509"/>
      <c r="DG432" s="509"/>
      <c r="DH432" s="509"/>
      <c r="DI432" s="509"/>
      <c r="DJ432" s="509"/>
      <c r="DK432" s="509"/>
      <c r="DL432" s="509"/>
      <c r="DM432" s="509"/>
      <c r="DN432" s="509"/>
      <c r="DO432" s="509"/>
      <c r="DP432" s="509"/>
      <c r="DQ432" s="509"/>
      <c r="DR432" s="509"/>
      <c r="DS432" s="509"/>
      <c r="DT432" s="509"/>
      <c r="DU432" s="509"/>
      <c r="DV432" s="509"/>
      <c r="DW432" s="509"/>
      <c r="DX432" s="509"/>
      <c r="DY432" s="509"/>
      <c r="DZ432" s="509"/>
      <c r="EA432" s="509"/>
      <c r="EB432" s="509"/>
      <c r="EC432" s="509"/>
      <c r="ED432" s="509"/>
      <c r="EE432" s="509"/>
      <c r="EF432" s="509"/>
      <c r="EG432" s="509"/>
      <c r="EH432" s="509"/>
      <c r="EI432" s="509"/>
      <c r="EJ432" s="509"/>
      <c r="EK432" s="509"/>
      <c r="EL432" s="509"/>
      <c r="EM432" s="509"/>
      <c r="EN432" s="509"/>
      <c r="EO432" s="509"/>
      <c r="EP432" s="509"/>
      <c r="EQ432" s="509"/>
      <c r="ER432" s="509"/>
      <c r="ES432" s="509"/>
      <c r="ET432" s="509"/>
      <c r="EU432" s="509"/>
      <c r="EV432" s="509"/>
      <c r="EW432" s="509"/>
      <c r="EX432" s="509"/>
      <c r="EY432" s="509"/>
      <c r="EZ432" s="509"/>
      <c r="FA432" s="509"/>
      <c r="FB432" s="509"/>
      <c r="FC432" s="509"/>
      <c r="FD432" s="509"/>
      <c r="FE432" s="509"/>
      <c r="FF432" s="509"/>
      <c r="FG432" s="509"/>
      <c r="FH432" s="509"/>
      <c r="FI432" s="509"/>
      <c r="FJ432" s="509"/>
      <c r="FK432" s="509"/>
      <c r="FL432" s="509"/>
      <c r="FM432" s="509"/>
      <c r="FN432" s="509"/>
      <c r="FO432" s="509"/>
      <c r="FP432" s="509"/>
      <c r="FQ432" s="509"/>
      <c r="FR432" s="509"/>
      <c r="FS432" s="509"/>
      <c r="FT432" s="509"/>
      <c r="FU432" s="509"/>
      <c r="FV432" s="509"/>
      <c r="FW432" s="509"/>
      <c r="FX432" s="509"/>
      <c r="FY432" s="509"/>
      <c r="FZ432" s="509"/>
      <c r="GA432" s="509"/>
      <c r="GB432" s="509"/>
      <c r="GC432" s="509"/>
      <c r="GD432" s="509"/>
      <c r="GE432" s="509"/>
      <c r="GF432" s="509"/>
      <c r="GG432" s="509"/>
      <c r="GH432" s="509"/>
      <c r="GI432" s="509"/>
      <c r="GJ432" s="509"/>
      <c r="GK432" s="509"/>
      <c r="GL432" s="509"/>
      <c r="GM432" s="509"/>
      <c r="GN432" s="509"/>
      <c r="GO432" s="509"/>
      <c r="GP432" s="509"/>
      <c r="GQ432" s="509"/>
      <c r="GR432" s="509"/>
      <c r="GS432" s="509"/>
      <c r="GT432" s="509"/>
      <c r="GU432" s="509"/>
      <c r="GV432" s="509"/>
      <c r="GW432" s="509"/>
      <c r="GX432" s="509"/>
      <c r="GY432" s="509"/>
      <c r="GZ432" s="509"/>
      <c r="HA432" s="509"/>
      <c r="HB432" s="509"/>
      <c r="HC432" s="509"/>
      <c r="HD432" s="509"/>
      <c r="HE432" s="509"/>
      <c r="HF432" s="509"/>
      <c r="HG432" s="509"/>
      <c r="HH432" s="509"/>
      <c r="HI432" s="509"/>
      <c r="HJ432" s="509"/>
      <c r="HK432" s="509"/>
      <c r="HL432" s="509"/>
      <c r="HM432" s="509"/>
      <c r="HN432" s="509"/>
      <c r="HO432" s="509"/>
      <c r="HP432" s="509"/>
      <c r="HQ432" s="509"/>
      <c r="HR432" s="509"/>
      <c r="HS432" s="509"/>
      <c r="HT432" s="509"/>
      <c r="HU432" s="509"/>
      <c r="HV432" s="509"/>
      <c r="HW432" s="509"/>
      <c r="HX432" s="509"/>
      <c r="HY432" s="509"/>
      <c r="HZ432" s="509"/>
    </row>
    <row r="433" spans="1:234" ht="13.5" hidden="1" customHeight="1" x14ac:dyDescent="0.25">
      <c r="A433" s="1270" t="s">
        <v>6221</v>
      </c>
      <c r="B433" s="1271" t="s">
        <v>6220</v>
      </c>
      <c r="C433" s="1272" t="s">
        <v>6222</v>
      </c>
      <c r="D433" s="1273" t="s">
        <v>189</v>
      </c>
      <c r="E433" s="1272" t="s">
        <v>905</v>
      </c>
      <c r="F433" s="1274">
        <v>41862</v>
      </c>
      <c r="G433" s="1275">
        <v>41820</v>
      </c>
      <c r="H433" s="1274">
        <v>41852</v>
      </c>
      <c r="I433" s="1276">
        <v>44074</v>
      </c>
      <c r="J433" s="1277">
        <v>10</v>
      </c>
      <c r="K433" s="1278" t="s">
        <v>3229</v>
      </c>
      <c r="L433" s="1279" t="s">
        <v>3229</v>
      </c>
      <c r="M433" s="1280">
        <f>-10%+IF('klikací hodnoty'!N13566&lt;0%,0%,10%)</f>
        <v>0</v>
      </c>
      <c r="N433" s="1281">
        <v>0.8</v>
      </c>
      <c r="O433" s="1282" t="s">
        <v>3229</v>
      </c>
      <c r="P433" s="1283" t="s">
        <v>3229</v>
      </c>
      <c r="Q433" s="1283" t="s">
        <v>3229</v>
      </c>
      <c r="R433" s="1284" t="s">
        <v>3229</v>
      </c>
      <c r="S433" s="1285"/>
      <c r="T433" s="1286" t="s">
        <v>3229</v>
      </c>
      <c r="U433" s="1286" t="s">
        <v>3229</v>
      </c>
      <c r="V433" s="1286" t="s">
        <v>3229</v>
      </c>
      <c r="W433" s="1286" t="s">
        <v>3229</v>
      </c>
      <c r="X433" s="1286" t="s">
        <v>3229</v>
      </c>
      <c r="Y433" s="1286" t="s">
        <v>3229</v>
      </c>
      <c r="Z433" s="1286" t="s">
        <v>3229</v>
      </c>
      <c r="AA433" s="1286" t="s">
        <v>3229</v>
      </c>
      <c r="AB433" s="1286" t="s">
        <v>3229</v>
      </c>
      <c r="AC433" s="1286" t="s">
        <v>3229</v>
      </c>
      <c r="AD433" s="1286" t="s">
        <v>3229</v>
      </c>
      <c r="AE433" s="1286" t="s">
        <v>3229</v>
      </c>
      <c r="AF433" s="3764" t="s">
        <v>781</v>
      </c>
      <c r="AG433" s="3765"/>
      <c r="AH433" s="1287" t="s">
        <v>3229</v>
      </c>
      <c r="AI433" s="1288" t="s">
        <v>3229</v>
      </c>
      <c r="AJ433" s="1288" t="s">
        <v>3229</v>
      </c>
      <c r="AK433" s="1288" t="s">
        <v>3229</v>
      </c>
      <c r="AL433" s="1288" t="s">
        <v>3229</v>
      </c>
      <c r="AM433" s="1288">
        <v>1</v>
      </c>
      <c r="AN433" s="1289">
        <f>'klikací hodnoty'!F13606</f>
        <v>0</v>
      </c>
      <c r="AO433" s="1290">
        <v>10</v>
      </c>
      <c r="AP433" s="1371">
        <f>'klikací hodnoty'!F13605</f>
        <v>0</v>
      </c>
      <c r="AQ433" s="1281">
        <f>'klikací hodnoty'!F13586</f>
        <v>-0.11419675156525699</v>
      </c>
      <c r="AR433" s="1291" t="s">
        <v>3660</v>
      </c>
      <c r="AS433" s="1292"/>
      <c r="AT433" s="1292"/>
      <c r="AU433" s="1293"/>
      <c r="AV433" s="1294">
        <f>M433</f>
        <v>0</v>
      </c>
      <c r="AW433" s="1295">
        <f t="shared" si="95"/>
        <v>0</v>
      </c>
      <c r="AX433" s="1296">
        <f t="shared" si="101"/>
        <v>0</v>
      </c>
      <c r="AY433" s="1297" t="e">
        <f t="shared" si="102"/>
        <v>#DIV/0!</v>
      </c>
      <c r="AZ433" s="1298">
        <f>J433*(1+AV433)</f>
        <v>10</v>
      </c>
      <c r="BA433" s="1299"/>
      <c r="BB433" s="1285"/>
      <c r="BC433" s="1300"/>
      <c r="BE433" s="3745"/>
      <c r="BH433" s="3763"/>
      <c r="BI433" s="3763"/>
      <c r="BJ433" s="1639"/>
      <c r="BK433" s="1639"/>
      <c r="BL433" s="1639"/>
      <c r="BM433" s="1639"/>
      <c r="BN433" s="1639"/>
      <c r="BO433" s="1639"/>
      <c r="BP433" s="1639"/>
      <c r="BQ433" s="1639"/>
      <c r="BR433" s="1639"/>
      <c r="BS433" s="509"/>
      <c r="BT433" s="509"/>
      <c r="BU433" s="509"/>
      <c r="BV433" s="509"/>
      <c r="BW433" s="509"/>
      <c r="BX433" s="509"/>
      <c r="BY433" s="509"/>
      <c r="BZ433" s="509"/>
      <c r="CA433" s="509"/>
      <c r="CB433" s="509"/>
      <c r="CC433" s="509"/>
      <c r="CD433" s="509"/>
      <c r="CE433" s="509"/>
      <c r="CF433" s="509"/>
      <c r="CG433" s="509"/>
      <c r="CH433" s="509"/>
      <c r="CI433" s="509"/>
      <c r="CJ433" s="509"/>
      <c r="CK433" s="509"/>
      <c r="CL433" s="509"/>
      <c r="CM433" s="509"/>
      <c r="CN433" s="509"/>
      <c r="CO433" s="509"/>
      <c r="CP433" s="509"/>
      <c r="CQ433" s="509"/>
      <c r="CR433" s="509"/>
      <c r="CS433" s="509"/>
      <c r="CT433" s="509"/>
      <c r="CU433" s="509"/>
      <c r="CV433" s="509"/>
      <c r="CW433" s="509"/>
      <c r="CX433" s="509"/>
      <c r="CY433" s="509"/>
      <c r="CZ433" s="509"/>
      <c r="DA433" s="509"/>
      <c r="DB433" s="509"/>
      <c r="DC433" s="509"/>
      <c r="DD433" s="509"/>
      <c r="DE433" s="509"/>
      <c r="DF433" s="509"/>
      <c r="DG433" s="509"/>
      <c r="DH433" s="509"/>
      <c r="DI433" s="509"/>
      <c r="DJ433" s="509"/>
      <c r="DK433" s="509"/>
      <c r="DL433" s="509"/>
      <c r="DM433" s="509"/>
      <c r="DN433" s="509"/>
      <c r="DO433" s="509"/>
      <c r="DP433" s="509"/>
      <c r="DQ433" s="509"/>
      <c r="DR433" s="509"/>
      <c r="DS433" s="509"/>
      <c r="DT433" s="509"/>
      <c r="DU433" s="509"/>
      <c r="DV433" s="509"/>
      <c r="DW433" s="509"/>
      <c r="DX433" s="509"/>
      <c r="DY433" s="509"/>
      <c r="DZ433" s="509"/>
      <c r="EA433" s="509"/>
      <c r="EB433" s="509"/>
      <c r="EC433" s="509"/>
      <c r="ED433" s="509"/>
      <c r="EE433" s="509"/>
      <c r="EF433" s="509"/>
      <c r="EG433" s="509"/>
      <c r="EH433" s="509"/>
      <c r="EI433" s="509"/>
      <c r="EJ433" s="509"/>
      <c r="EK433" s="509"/>
      <c r="EL433" s="509"/>
      <c r="EM433" s="509"/>
      <c r="EN433" s="509"/>
      <c r="EO433" s="509"/>
      <c r="EP433" s="509"/>
      <c r="EQ433" s="509"/>
      <c r="ER433" s="509"/>
      <c r="ES433" s="509"/>
      <c r="ET433" s="509"/>
      <c r="EU433" s="509"/>
      <c r="EV433" s="509"/>
      <c r="EW433" s="509"/>
      <c r="EX433" s="509"/>
      <c r="EY433" s="509"/>
      <c r="EZ433" s="509"/>
      <c r="FA433" s="509"/>
      <c r="FB433" s="509"/>
      <c r="FC433" s="509"/>
      <c r="FD433" s="509"/>
      <c r="FE433" s="509"/>
      <c r="FF433" s="509"/>
      <c r="FG433" s="509"/>
      <c r="FH433" s="509"/>
      <c r="FI433" s="509"/>
      <c r="FJ433" s="509"/>
      <c r="FK433" s="509"/>
      <c r="FL433" s="509"/>
      <c r="FM433" s="509"/>
      <c r="FN433" s="509"/>
      <c r="FO433" s="509"/>
      <c r="FP433" s="509"/>
      <c r="FQ433" s="509"/>
      <c r="FR433" s="509"/>
      <c r="FS433" s="509"/>
      <c r="FT433" s="509"/>
      <c r="FU433" s="509"/>
      <c r="FV433" s="509"/>
      <c r="FW433" s="509"/>
      <c r="FX433" s="509"/>
      <c r="FY433" s="509"/>
      <c r="FZ433" s="509"/>
      <c r="GA433" s="509"/>
      <c r="GB433" s="509"/>
      <c r="GC433" s="509"/>
      <c r="GD433" s="509"/>
      <c r="GE433" s="509"/>
      <c r="GF433" s="509"/>
      <c r="GG433" s="509"/>
      <c r="GH433" s="509"/>
      <c r="GI433" s="509"/>
      <c r="GJ433" s="509"/>
      <c r="GK433" s="509"/>
      <c r="GL433" s="509"/>
      <c r="GM433" s="509"/>
      <c r="GN433" s="509"/>
      <c r="GO433" s="509"/>
      <c r="GP433" s="509"/>
      <c r="GQ433" s="509"/>
      <c r="GR433" s="509"/>
      <c r="GS433" s="509"/>
      <c r="GT433" s="509"/>
      <c r="GU433" s="509"/>
      <c r="GV433" s="509"/>
      <c r="GW433" s="509"/>
      <c r="GX433" s="509"/>
      <c r="GY433" s="509"/>
      <c r="GZ433" s="509"/>
      <c r="HA433" s="509"/>
      <c r="HB433" s="509"/>
      <c r="HC433" s="509"/>
      <c r="HD433" s="509"/>
      <c r="HE433" s="509"/>
      <c r="HF433" s="509"/>
      <c r="HG433" s="509"/>
      <c r="HH433" s="509"/>
      <c r="HI433" s="509"/>
      <c r="HJ433" s="509"/>
      <c r="HK433" s="509"/>
      <c r="HL433" s="509"/>
      <c r="HM433" s="509"/>
      <c r="HN433" s="509"/>
      <c r="HO433" s="509"/>
      <c r="HP433" s="509"/>
      <c r="HQ433" s="509"/>
      <c r="HR433" s="509"/>
      <c r="HS433" s="509"/>
      <c r="HT433" s="509"/>
      <c r="HU433" s="509"/>
      <c r="HV433" s="509"/>
      <c r="HW433" s="509"/>
      <c r="HX433" s="509"/>
      <c r="HY433" s="509"/>
      <c r="HZ433" s="509"/>
    </row>
    <row r="434" spans="1:234" ht="13.5" hidden="1" customHeight="1" x14ac:dyDescent="0.25">
      <c r="A434" s="1270" t="s">
        <v>6248</v>
      </c>
      <c r="B434" s="1271" t="s">
        <v>6251</v>
      </c>
      <c r="C434" s="1272" t="s">
        <v>6252</v>
      </c>
      <c r="D434" s="1273" t="s">
        <v>6253</v>
      </c>
      <c r="E434" s="1272" t="s">
        <v>3228</v>
      </c>
      <c r="F434" s="1274">
        <v>41892</v>
      </c>
      <c r="G434" s="1275">
        <v>41821</v>
      </c>
      <c r="H434" s="1274">
        <v>41880</v>
      </c>
      <c r="I434" s="1276">
        <v>44771</v>
      </c>
      <c r="J434" s="1277">
        <v>10</v>
      </c>
      <c r="K434" s="1278" t="s">
        <v>3229</v>
      </c>
      <c r="L434" s="1279" t="s">
        <v>3229</v>
      </c>
      <c r="M434" s="1280">
        <v>0</v>
      </c>
      <c r="N434" s="1281">
        <v>0.5</v>
      </c>
      <c r="O434" s="1282">
        <v>1</v>
      </c>
      <c r="P434" s="1283" t="s">
        <v>3229</v>
      </c>
      <c r="Q434" s="1283" t="s">
        <v>3229</v>
      </c>
      <c r="R434" s="1284" t="s">
        <v>3229</v>
      </c>
      <c r="S434" s="1285"/>
      <c r="T434" s="1286" t="s">
        <v>3229</v>
      </c>
      <c r="U434" s="1286" t="s">
        <v>3229</v>
      </c>
      <c r="V434" s="1286" t="s">
        <v>3229</v>
      </c>
      <c r="W434" s="1286" t="s">
        <v>3229</v>
      </c>
      <c r="X434" s="1286" t="s">
        <v>3229</v>
      </c>
      <c r="Y434" s="1286" t="s">
        <v>3229</v>
      </c>
      <c r="Z434" s="1286" t="s">
        <v>3229</v>
      </c>
      <c r="AA434" s="1286" t="s">
        <v>3229</v>
      </c>
      <c r="AB434" s="1286" t="s">
        <v>3229</v>
      </c>
      <c r="AC434" s="1286" t="s">
        <v>3229</v>
      </c>
      <c r="AD434" s="1286" t="s">
        <v>3229</v>
      </c>
      <c r="AE434" s="1286" t="s">
        <v>3229</v>
      </c>
      <c r="AF434" s="3764" t="s">
        <v>781</v>
      </c>
      <c r="AG434" s="3765">
        <f>(I434-indexy!$B$1)/365</f>
        <v>-1.6657534246575343</v>
      </c>
      <c r="AH434" s="1287" t="s">
        <v>3229</v>
      </c>
      <c r="AI434" s="1288" t="s">
        <v>3229</v>
      </c>
      <c r="AJ434" s="1288" t="s">
        <v>3229</v>
      </c>
      <c r="AK434" s="1288" t="s">
        <v>3229</v>
      </c>
      <c r="AL434" s="1288" t="s">
        <v>3229</v>
      </c>
      <c r="AM434" s="1288">
        <v>1</v>
      </c>
      <c r="AN434" s="1289">
        <f>'klikací hodnoty'!F13652</f>
        <v>5.1774138888888897E-2</v>
      </c>
      <c r="AO434" s="1290">
        <v>10.52</v>
      </c>
      <c r="AP434" s="1371">
        <f>+'klikací hodnoty'!F13632</f>
        <v>0.1507</v>
      </c>
      <c r="AQ434" s="1281">
        <f>'klikací hodnoty'!F13632</f>
        <v>0.1507</v>
      </c>
      <c r="AR434" s="1291">
        <f t="shared" ref="AR434:AR439" si="103">O434</f>
        <v>1</v>
      </c>
      <c r="AS434" s="1292">
        <f t="shared" ref="AS434:AS439" si="104">POWER(1+AR434,1/((I434-F434)/365))-1</f>
        <v>9.1854133522457637E-2</v>
      </c>
      <c r="AT434" s="1292">
        <f t="shared" ref="AT434:AT440" si="105">J434*(1+AR434)/AO434-1</f>
        <v>0.90114068441064643</v>
      </c>
      <c r="AU434" s="1293">
        <f t="shared" ref="AU434:AU440" si="106">POWER(1+AT434,1/AG434)-1</f>
        <v>-0.32001447875203903</v>
      </c>
      <c r="AV434" s="1294">
        <f t="shared" si="100"/>
        <v>0</v>
      </c>
      <c r="AW434" s="1295">
        <f t="shared" si="95"/>
        <v>0</v>
      </c>
      <c r="AX434" s="1296">
        <f t="shared" si="101"/>
        <v>-4.9429657794676785E-2</v>
      </c>
      <c r="AY434" s="1297">
        <f t="shared" si="102"/>
        <v>3.0900347243940418E-2</v>
      </c>
      <c r="AZ434" s="1298">
        <f t="shared" si="99"/>
        <v>10</v>
      </c>
      <c r="BA434" s="1299"/>
      <c r="BB434" s="1285"/>
      <c r="BC434" s="1300"/>
      <c r="BH434" s="3763"/>
      <c r="BI434" s="3763"/>
      <c r="BJ434" s="1639"/>
      <c r="BK434" s="1639"/>
      <c r="BL434" s="1639"/>
      <c r="BM434" s="1639"/>
      <c r="BN434" s="1639"/>
      <c r="BO434" s="1639"/>
      <c r="BP434" s="1639"/>
      <c r="BQ434" s="1639"/>
      <c r="BR434" s="1639"/>
      <c r="BS434" s="509"/>
      <c r="BT434" s="509"/>
      <c r="BU434" s="509"/>
      <c r="BV434" s="509"/>
      <c r="BW434" s="509"/>
      <c r="BX434" s="509"/>
      <c r="BY434" s="509"/>
      <c r="BZ434" s="509"/>
      <c r="CA434" s="509"/>
      <c r="CB434" s="509"/>
      <c r="CC434" s="509"/>
      <c r="CD434" s="509"/>
      <c r="CE434" s="509"/>
      <c r="CF434" s="509"/>
      <c r="CG434" s="509"/>
      <c r="CH434" s="509"/>
      <c r="CI434" s="509"/>
      <c r="CJ434" s="509"/>
      <c r="CK434" s="509"/>
      <c r="CL434" s="509"/>
      <c r="CM434" s="509"/>
      <c r="CN434" s="509"/>
      <c r="CO434" s="509"/>
      <c r="CP434" s="509"/>
      <c r="CQ434" s="509"/>
      <c r="CR434" s="509"/>
      <c r="CS434" s="509"/>
      <c r="CT434" s="509"/>
      <c r="CU434" s="509"/>
      <c r="CV434" s="509"/>
      <c r="CW434" s="509"/>
      <c r="CX434" s="509"/>
      <c r="CY434" s="509"/>
      <c r="CZ434" s="509"/>
      <c r="DA434" s="509"/>
      <c r="DB434" s="509"/>
      <c r="DC434" s="509"/>
      <c r="DD434" s="509"/>
      <c r="DE434" s="509"/>
      <c r="DF434" s="509"/>
      <c r="DG434" s="509"/>
      <c r="DH434" s="509"/>
      <c r="DI434" s="509"/>
      <c r="DJ434" s="509"/>
      <c r="DK434" s="509"/>
      <c r="DL434" s="509"/>
      <c r="DM434" s="509"/>
      <c r="DN434" s="509"/>
      <c r="DO434" s="509"/>
      <c r="DP434" s="509"/>
      <c r="DQ434" s="509"/>
      <c r="DR434" s="509"/>
      <c r="DS434" s="509"/>
      <c r="DT434" s="509"/>
      <c r="DU434" s="509"/>
      <c r="DV434" s="509"/>
      <c r="DW434" s="509"/>
      <c r="DX434" s="509"/>
      <c r="DY434" s="509"/>
      <c r="DZ434" s="509"/>
      <c r="EA434" s="509"/>
      <c r="EB434" s="509"/>
      <c r="EC434" s="509"/>
      <c r="ED434" s="509"/>
      <c r="EE434" s="509"/>
      <c r="EF434" s="509"/>
      <c r="EG434" s="509"/>
      <c r="EH434" s="509"/>
      <c r="EI434" s="509"/>
      <c r="EJ434" s="509"/>
      <c r="EK434" s="509"/>
      <c r="EL434" s="509"/>
      <c r="EM434" s="509"/>
      <c r="EN434" s="509"/>
      <c r="EO434" s="509"/>
      <c r="EP434" s="509"/>
      <c r="EQ434" s="509"/>
      <c r="ER434" s="509"/>
      <c r="ES434" s="509"/>
      <c r="ET434" s="509"/>
      <c r="EU434" s="509"/>
      <c r="EV434" s="509"/>
      <c r="EW434" s="509"/>
      <c r="EX434" s="509"/>
      <c r="EY434" s="509"/>
      <c r="EZ434" s="509"/>
      <c r="FA434" s="509"/>
      <c r="FB434" s="509"/>
      <c r="FC434" s="509"/>
      <c r="FD434" s="509"/>
      <c r="FE434" s="509"/>
      <c r="FF434" s="509"/>
      <c r="FG434" s="509"/>
      <c r="FH434" s="509"/>
      <c r="FI434" s="509"/>
      <c r="FJ434" s="509"/>
      <c r="FK434" s="509"/>
      <c r="FL434" s="509"/>
      <c r="FM434" s="509"/>
      <c r="FN434" s="509"/>
      <c r="FO434" s="509"/>
      <c r="FP434" s="509"/>
      <c r="FQ434" s="509"/>
      <c r="FR434" s="509"/>
      <c r="FS434" s="509"/>
      <c r="FT434" s="509"/>
      <c r="FU434" s="509"/>
      <c r="FV434" s="509"/>
      <c r="FW434" s="509"/>
      <c r="FX434" s="509"/>
      <c r="FY434" s="509"/>
      <c r="FZ434" s="509"/>
      <c r="GA434" s="509"/>
      <c r="GB434" s="509"/>
      <c r="GC434" s="509"/>
      <c r="GD434" s="509"/>
      <c r="GE434" s="509"/>
      <c r="GF434" s="509"/>
      <c r="GG434" s="509"/>
      <c r="GH434" s="509"/>
      <c r="GI434" s="509"/>
      <c r="GJ434" s="509"/>
      <c r="GK434" s="509"/>
      <c r="GL434" s="509"/>
      <c r="GM434" s="509"/>
      <c r="GN434" s="509"/>
      <c r="GO434" s="509"/>
      <c r="GP434" s="509"/>
      <c r="GQ434" s="509"/>
      <c r="GR434" s="509"/>
      <c r="GS434" s="509"/>
      <c r="GT434" s="509"/>
      <c r="GU434" s="509"/>
      <c r="GV434" s="509"/>
      <c r="GW434" s="509"/>
      <c r="GX434" s="509"/>
      <c r="GY434" s="509"/>
      <c r="GZ434" s="509"/>
      <c r="HA434" s="509"/>
      <c r="HB434" s="509"/>
      <c r="HC434" s="509"/>
      <c r="HD434" s="509"/>
      <c r="HE434" s="509"/>
      <c r="HF434" s="509"/>
      <c r="HG434" s="509"/>
      <c r="HH434" s="509"/>
      <c r="HI434" s="509"/>
      <c r="HJ434" s="509"/>
      <c r="HK434" s="509"/>
      <c r="HL434" s="509"/>
      <c r="HM434" s="509"/>
      <c r="HN434" s="509"/>
      <c r="HO434" s="509"/>
      <c r="HP434" s="509"/>
      <c r="HQ434" s="509"/>
      <c r="HR434" s="509"/>
      <c r="HS434" s="509"/>
      <c r="HT434" s="509"/>
      <c r="HU434" s="509"/>
      <c r="HV434" s="509"/>
      <c r="HW434" s="509"/>
      <c r="HX434" s="509"/>
      <c r="HY434" s="509"/>
      <c r="HZ434" s="509"/>
    </row>
    <row r="435" spans="1:234" ht="13.5" hidden="1" customHeight="1" x14ac:dyDescent="0.25">
      <c r="A435" s="1270" t="s">
        <v>6256</v>
      </c>
      <c r="B435" s="1271" t="s">
        <v>6257</v>
      </c>
      <c r="C435" s="1272" t="s">
        <v>6258</v>
      </c>
      <c r="D435" s="1273" t="s">
        <v>2158</v>
      </c>
      <c r="E435" s="1272" t="s">
        <v>3228</v>
      </c>
      <c r="F435" s="1274">
        <v>41919</v>
      </c>
      <c r="G435" s="1275">
        <v>41852</v>
      </c>
      <c r="H435" s="1274">
        <v>41912</v>
      </c>
      <c r="I435" s="1276">
        <v>42308</v>
      </c>
      <c r="J435" s="1277">
        <v>10</v>
      </c>
      <c r="K435" s="1278" t="s">
        <v>3229</v>
      </c>
      <c r="L435" s="1279" t="s">
        <v>3229</v>
      </c>
      <c r="M435" s="1280">
        <v>-1</v>
      </c>
      <c r="N435" s="1281">
        <v>0.6</v>
      </c>
      <c r="O435" s="1282">
        <v>0.8</v>
      </c>
      <c r="P435" s="1283" t="s">
        <v>3229</v>
      </c>
      <c r="Q435" s="1283" t="s">
        <v>3229</v>
      </c>
      <c r="R435" s="1284" t="s">
        <v>3229</v>
      </c>
      <c r="S435" s="1285"/>
      <c r="T435" s="1286" t="s">
        <v>3229</v>
      </c>
      <c r="U435" s="1286" t="s">
        <v>3229</v>
      </c>
      <c r="V435" s="1286" t="s">
        <v>3229</v>
      </c>
      <c r="W435" s="1286" t="s">
        <v>3229</v>
      </c>
      <c r="X435" s="1286" t="s">
        <v>3229</v>
      </c>
      <c r="Y435" s="1286" t="s">
        <v>3229</v>
      </c>
      <c r="Z435" s="1286" t="s">
        <v>3229</v>
      </c>
      <c r="AA435" s="1286" t="s">
        <v>3229</v>
      </c>
      <c r="AB435" s="1286" t="s">
        <v>3229</v>
      </c>
      <c r="AC435" s="1286" t="s">
        <v>3229</v>
      </c>
      <c r="AD435" s="1286" t="s">
        <v>3229</v>
      </c>
      <c r="AE435" s="1286" t="s">
        <v>3229</v>
      </c>
      <c r="AF435" s="3764" t="s">
        <v>781</v>
      </c>
      <c r="AG435" s="3765"/>
      <c r="AH435" s="1287">
        <v>1</v>
      </c>
      <c r="AI435" s="1288" t="s">
        <v>3229</v>
      </c>
      <c r="AJ435" s="1288" t="s">
        <v>3229</v>
      </c>
      <c r="AK435" s="1288" t="s">
        <v>3229</v>
      </c>
      <c r="AL435" s="1288" t="s">
        <v>3229</v>
      </c>
      <c r="AM435" s="1288" t="s">
        <v>3229</v>
      </c>
      <c r="AN435" s="1289">
        <f>'klikací hodnoty'!F13340</f>
        <v>7.0000000000000007E-2</v>
      </c>
      <c r="AO435" s="1290">
        <v>10.7</v>
      </c>
      <c r="AP435" s="1371">
        <f>AQ435</f>
        <v>0.67574078567058371</v>
      </c>
      <c r="AQ435" s="1281">
        <f>IF('klikací hodnoty'!F13338="",'klikací hodnoty'!F13337,'klikací hodnoty'!F13338)</f>
        <v>0.67574078567058371</v>
      </c>
      <c r="AR435" s="1291">
        <f t="shared" si="103"/>
        <v>0.8</v>
      </c>
      <c r="AS435" s="1292">
        <f t="shared" si="104"/>
        <v>0.73589337080308193</v>
      </c>
      <c r="AT435" s="1292">
        <f t="shared" si="105"/>
        <v>0.68224299065420579</v>
      </c>
      <c r="AU435" s="1293" t="e">
        <f t="shared" si="106"/>
        <v>#DIV/0!</v>
      </c>
      <c r="AV435" s="1294">
        <f t="shared" si="100"/>
        <v>-1</v>
      </c>
      <c r="AW435" s="1295">
        <f t="shared" si="95"/>
        <v>-1</v>
      </c>
      <c r="AX435" s="1296">
        <f t="shared" si="101"/>
        <v>-1</v>
      </c>
      <c r="AY435" s="1297" t="e">
        <f t="shared" si="102"/>
        <v>#DIV/0!</v>
      </c>
      <c r="AZ435" s="1298">
        <f t="shared" si="99"/>
        <v>0</v>
      </c>
      <c r="BA435" s="1299"/>
      <c r="BB435" s="1285"/>
      <c r="BC435" s="1300"/>
      <c r="BH435" s="3763"/>
      <c r="BI435" s="3763"/>
      <c r="BJ435" s="1639"/>
      <c r="BK435" s="1639"/>
      <c r="BL435" s="1639"/>
      <c r="BM435" s="1639"/>
      <c r="BN435" s="1639"/>
      <c r="BO435" s="1639"/>
      <c r="BP435" s="1639"/>
      <c r="BQ435" s="1639"/>
      <c r="BR435" s="1639"/>
      <c r="BS435" s="509"/>
      <c r="BT435" s="509"/>
      <c r="BU435" s="509"/>
      <c r="BV435" s="509"/>
      <c r="BW435" s="509"/>
      <c r="BX435" s="509"/>
      <c r="BY435" s="509"/>
      <c r="BZ435" s="509"/>
      <c r="CA435" s="509"/>
      <c r="CB435" s="509"/>
      <c r="CC435" s="509"/>
      <c r="CD435" s="509"/>
      <c r="CE435" s="509"/>
      <c r="CF435" s="509"/>
      <c r="CG435" s="509"/>
      <c r="CH435" s="509"/>
      <c r="CI435" s="509"/>
      <c r="CJ435" s="509"/>
      <c r="CK435" s="509"/>
      <c r="CL435" s="509"/>
      <c r="CM435" s="509"/>
      <c r="CN435" s="509"/>
      <c r="CO435" s="509"/>
      <c r="CP435" s="509"/>
      <c r="CQ435" s="509"/>
      <c r="CR435" s="509"/>
      <c r="CS435" s="509"/>
      <c r="CT435" s="509"/>
      <c r="CU435" s="509"/>
      <c r="CV435" s="509"/>
      <c r="CW435" s="509"/>
      <c r="CX435" s="509"/>
      <c r="CY435" s="509"/>
      <c r="CZ435" s="509"/>
      <c r="DA435" s="509"/>
      <c r="DB435" s="509"/>
      <c r="DC435" s="509"/>
      <c r="DD435" s="509"/>
      <c r="DE435" s="509"/>
      <c r="DF435" s="509"/>
      <c r="DG435" s="509"/>
      <c r="DH435" s="509"/>
      <c r="DI435" s="509"/>
      <c r="DJ435" s="509"/>
      <c r="DK435" s="509"/>
      <c r="DL435" s="509"/>
      <c r="DM435" s="509"/>
      <c r="DN435" s="509"/>
      <c r="DO435" s="509"/>
      <c r="DP435" s="509"/>
      <c r="DQ435" s="509"/>
      <c r="DR435" s="509"/>
      <c r="DS435" s="509"/>
      <c r="DT435" s="509"/>
      <c r="DU435" s="509"/>
      <c r="DV435" s="509"/>
      <c r="DW435" s="509"/>
      <c r="DX435" s="509"/>
      <c r="DY435" s="509"/>
      <c r="DZ435" s="509"/>
      <c r="EA435" s="509"/>
      <c r="EB435" s="509"/>
      <c r="EC435" s="509"/>
      <c r="ED435" s="509"/>
      <c r="EE435" s="509"/>
      <c r="EF435" s="509"/>
      <c r="EG435" s="509"/>
      <c r="EH435" s="509"/>
      <c r="EI435" s="509"/>
      <c r="EJ435" s="509"/>
      <c r="EK435" s="509"/>
      <c r="EL435" s="509"/>
      <c r="EM435" s="509"/>
      <c r="EN435" s="509"/>
      <c r="EO435" s="509"/>
      <c r="EP435" s="509"/>
      <c r="EQ435" s="509"/>
      <c r="ER435" s="509"/>
      <c r="ES435" s="509"/>
      <c r="ET435" s="509"/>
      <c r="EU435" s="509"/>
      <c r="EV435" s="509"/>
      <c r="EW435" s="509"/>
      <c r="EX435" s="509"/>
      <c r="EY435" s="509"/>
      <c r="EZ435" s="509"/>
      <c r="FA435" s="509"/>
      <c r="FB435" s="509"/>
      <c r="FC435" s="509"/>
      <c r="FD435" s="509"/>
      <c r="FE435" s="509"/>
      <c r="FF435" s="509"/>
      <c r="FG435" s="509"/>
      <c r="FH435" s="509"/>
      <c r="FI435" s="509"/>
      <c r="FJ435" s="509"/>
      <c r="FK435" s="509"/>
      <c r="FL435" s="509"/>
      <c r="FM435" s="509"/>
      <c r="FN435" s="509"/>
      <c r="FO435" s="509"/>
      <c r="FP435" s="509"/>
      <c r="FQ435" s="509"/>
      <c r="FR435" s="509"/>
      <c r="FS435" s="509"/>
      <c r="FT435" s="509"/>
      <c r="FU435" s="509"/>
      <c r="FV435" s="509"/>
      <c r="FW435" s="509"/>
      <c r="FX435" s="509"/>
      <c r="FY435" s="509"/>
      <c r="FZ435" s="509"/>
      <c r="GA435" s="509"/>
      <c r="GB435" s="509"/>
      <c r="GC435" s="509"/>
      <c r="GD435" s="509"/>
      <c r="GE435" s="509"/>
      <c r="GF435" s="509"/>
      <c r="GG435" s="509"/>
      <c r="GH435" s="509"/>
      <c r="GI435" s="509"/>
      <c r="GJ435" s="509"/>
      <c r="GK435" s="509"/>
      <c r="GL435" s="509"/>
      <c r="GM435" s="509"/>
      <c r="GN435" s="509"/>
      <c r="GO435" s="509"/>
      <c r="GP435" s="509"/>
      <c r="GQ435" s="509"/>
      <c r="GR435" s="509"/>
      <c r="GS435" s="509"/>
      <c r="GT435" s="509"/>
      <c r="GU435" s="509"/>
      <c r="GV435" s="509"/>
      <c r="GW435" s="509"/>
      <c r="GX435" s="509"/>
      <c r="GY435" s="509"/>
      <c r="GZ435" s="509"/>
      <c r="HA435" s="509"/>
      <c r="HB435" s="509"/>
      <c r="HC435" s="509"/>
      <c r="HD435" s="509"/>
      <c r="HE435" s="509"/>
      <c r="HF435" s="509"/>
      <c r="HG435" s="509"/>
      <c r="HH435" s="509"/>
      <c r="HI435" s="509"/>
      <c r="HJ435" s="509"/>
      <c r="HK435" s="509"/>
      <c r="HL435" s="509"/>
      <c r="HM435" s="509"/>
      <c r="HN435" s="509"/>
      <c r="HO435" s="509"/>
      <c r="HP435" s="509"/>
      <c r="HQ435" s="509"/>
      <c r="HR435" s="509"/>
      <c r="HS435" s="509"/>
      <c r="HT435" s="509"/>
      <c r="HU435" s="509"/>
      <c r="HV435" s="509"/>
      <c r="HW435" s="509"/>
      <c r="HX435" s="509"/>
      <c r="HY435" s="509"/>
      <c r="HZ435" s="509"/>
    </row>
    <row r="436" spans="1:234" ht="13.5" hidden="1" customHeight="1" x14ac:dyDescent="0.25">
      <c r="A436" s="1270" t="s">
        <v>6259</v>
      </c>
      <c r="B436" s="1271" t="s">
        <v>6260</v>
      </c>
      <c r="C436" s="1272" t="s">
        <v>6261</v>
      </c>
      <c r="D436" s="1273" t="s">
        <v>189</v>
      </c>
      <c r="E436" s="1272" t="s">
        <v>3228</v>
      </c>
      <c r="F436" s="1274">
        <v>41919</v>
      </c>
      <c r="G436" s="1275">
        <v>41852</v>
      </c>
      <c r="H436" s="1274">
        <v>41911</v>
      </c>
      <c r="I436" s="1276">
        <v>44074</v>
      </c>
      <c r="J436" s="1277">
        <v>10</v>
      </c>
      <c r="K436" s="1278" t="s">
        <v>3229</v>
      </c>
      <c r="L436" s="1279" t="s">
        <v>3229</v>
      </c>
      <c r="M436" s="1280">
        <v>-0.1</v>
      </c>
      <c r="N436" s="1281">
        <v>0.5</v>
      </c>
      <c r="O436" s="1282">
        <v>0.9</v>
      </c>
      <c r="P436" s="1283" t="s">
        <v>3229</v>
      </c>
      <c r="Q436" s="1283" t="s">
        <v>3229</v>
      </c>
      <c r="R436" s="1284" t="s">
        <v>3229</v>
      </c>
      <c r="S436" s="1285"/>
      <c r="T436" s="1286" t="s">
        <v>3229</v>
      </c>
      <c r="U436" s="1286" t="s">
        <v>3229</v>
      </c>
      <c r="V436" s="1286" t="s">
        <v>3229</v>
      </c>
      <c r="W436" s="1286" t="s">
        <v>3229</v>
      </c>
      <c r="X436" s="1286" t="s">
        <v>3229</v>
      </c>
      <c r="Y436" s="1286" t="s">
        <v>3229</v>
      </c>
      <c r="Z436" s="1286" t="s">
        <v>3229</v>
      </c>
      <c r="AA436" s="1286" t="s">
        <v>3229</v>
      </c>
      <c r="AB436" s="1286" t="s">
        <v>3229</v>
      </c>
      <c r="AC436" s="1286" t="s">
        <v>3229</v>
      </c>
      <c r="AD436" s="1286" t="s">
        <v>3229</v>
      </c>
      <c r="AE436" s="1286" t="s">
        <v>3229</v>
      </c>
      <c r="AF436" s="3764" t="s">
        <v>781</v>
      </c>
      <c r="AG436" s="3765"/>
      <c r="AH436" s="1287" t="s">
        <v>3229</v>
      </c>
      <c r="AI436" s="1288" t="s">
        <v>3229</v>
      </c>
      <c r="AJ436" s="1288" t="s">
        <v>3229</v>
      </c>
      <c r="AK436" s="1288" t="s">
        <v>3229</v>
      </c>
      <c r="AL436" s="1288" t="s">
        <v>3229</v>
      </c>
      <c r="AM436" s="1288">
        <v>1</v>
      </c>
      <c r="AN436" s="1289">
        <f>'klikací hodnoty'!F13708</f>
        <v>-1.057888888888889E-3</v>
      </c>
      <c r="AO436" s="1290">
        <v>9.99</v>
      </c>
      <c r="AP436" s="1371">
        <f>+'klikací hodnoty'!F13707</f>
        <v>-1.057888888888889E-3</v>
      </c>
      <c r="AQ436" s="1281">
        <f>'klikací hodnoty'!F13688</f>
        <v>-8.1873852987710369E-2</v>
      </c>
      <c r="AR436" s="1291">
        <f t="shared" si="103"/>
        <v>0.9</v>
      </c>
      <c r="AS436" s="1292">
        <f t="shared" si="104"/>
        <v>0.11484242405544332</v>
      </c>
      <c r="AT436" s="1292">
        <f t="shared" si="105"/>
        <v>0.90190190190190189</v>
      </c>
      <c r="AU436" s="1293" t="e">
        <f t="shared" si="106"/>
        <v>#DIV/0!</v>
      </c>
      <c r="AV436" s="1294">
        <f t="shared" si="100"/>
        <v>-0.1</v>
      </c>
      <c r="AW436" s="1295">
        <f t="shared" si="95"/>
        <v>-1.7687000404561504E-2</v>
      </c>
      <c r="AX436" s="1296">
        <f t="shared" si="101"/>
        <v>-9.9099099099099086E-2</v>
      </c>
      <c r="AY436" s="1297" t="e">
        <f t="shared" si="102"/>
        <v>#DIV/0!</v>
      </c>
      <c r="AZ436" s="1298">
        <f t="shared" si="99"/>
        <v>9</v>
      </c>
      <c r="BA436" s="1299"/>
      <c r="BB436" s="1285"/>
      <c r="BC436" s="1300"/>
      <c r="BE436" s="3745"/>
      <c r="BH436" s="3763"/>
      <c r="BI436" s="3763"/>
      <c r="BJ436" s="1639"/>
      <c r="BK436" s="1639"/>
      <c r="BL436" s="1639"/>
      <c r="BM436" s="1639"/>
      <c r="BN436" s="1639"/>
      <c r="BO436" s="1639"/>
      <c r="BP436" s="1639"/>
      <c r="BQ436" s="1639"/>
      <c r="BR436" s="1639"/>
      <c r="BS436" s="509"/>
      <c r="BT436" s="509"/>
      <c r="BU436" s="509"/>
      <c r="BV436" s="509"/>
      <c r="BW436" s="509"/>
      <c r="BX436" s="509"/>
      <c r="BY436" s="509"/>
      <c r="BZ436" s="509"/>
      <c r="CA436" s="509"/>
      <c r="CB436" s="509"/>
      <c r="CC436" s="509"/>
      <c r="CD436" s="509"/>
      <c r="CE436" s="509"/>
      <c r="CF436" s="509"/>
      <c r="CG436" s="509"/>
      <c r="CH436" s="509"/>
      <c r="CI436" s="509"/>
      <c r="CJ436" s="509"/>
      <c r="CK436" s="509"/>
      <c r="CL436" s="509"/>
      <c r="CM436" s="509"/>
      <c r="CN436" s="509"/>
      <c r="CO436" s="509"/>
      <c r="CP436" s="509"/>
      <c r="CQ436" s="509"/>
      <c r="CR436" s="509"/>
      <c r="CS436" s="509"/>
      <c r="CT436" s="509"/>
      <c r="CU436" s="509"/>
      <c r="CV436" s="509"/>
      <c r="CW436" s="509"/>
      <c r="CX436" s="509"/>
      <c r="CY436" s="509"/>
      <c r="CZ436" s="509"/>
      <c r="DA436" s="509"/>
      <c r="DB436" s="509"/>
      <c r="DC436" s="509"/>
      <c r="DD436" s="509"/>
      <c r="DE436" s="509"/>
      <c r="DF436" s="509"/>
      <c r="DG436" s="509"/>
      <c r="DH436" s="509"/>
      <c r="DI436" s="509"/>
      <c r="DJ436" s="509"/>
      <c r="DK436" s="509"/>
      <c r="DL436" s="509"/>
      <c r="DM436" s="509"/>
      <c r="DN436" s="509"/>
      <c r="DO436" s="509"/>
      <c r="DP436" s="509"/>
      <c r="DQ436" s="509"/>
      <c r="DR436" s="509"/>
      <c r="DS436" s="509"/>
      <c r="DT436" s="509"/>
      <c r="DU436" s="509"/>
      <c r="DV436" s="509"/>
      <c r="DW436" s="509"/>
      <c r="DX436" s="509"/>
      <c r="DY436" s="509"/>
      <c r="DZ436" s="509"/>
      <c r="EA436" s="509"/>
      <c r="EB436" s="509"/>
      <c r="EC436" s="509"/>
      <c r="ED436" s="509"/>
      <c r="EE436" s="509"/>
      <c r="EF436" s="509"/>
      <c r="EG436" s="509"/>
      <c r="EH436" s="509"/>
      <c r="EI436" s="509"/>
      <c r="EJ436" s="509"/>
      <c r="EK436" s="509"/>
      <c r="EL436" s="509"/>
      <c r="EM436" s="509"/>
      <c r="EN436" s="509"/>
      <c r="EO436" s="509"/>
      <c r="EP436" s="509"/>
      <c r="EQ436" s="509"/>
      <c r="ER436" s="509"/>
      <c r="ES436" s="509"/>
      <c r="ET436" s="509"/>
      <c r="EU436" s="509"/>
      <c r="EV436" s="509"/>
      <c r="EW436" s="509"/>
      <c r="EX436" s="509"/>
      <c r="EY436" s="509"/>
      <c r="EZ436" s="509"/>
      <c r="FA436" s="509"/>
      <c r="FB436" s="509"/>
      <c r="FC436" s="509"/>
      <c r="FD436" s="509"/>
      <c r="FE436" s="509"/>
      <c r="FF436" s="509"/>
      <c r="FG436" s="509"/>
      <c r="FH436" s="509"/>
      <c r="FI436" s="509"/>
      <c r="FJ436" s="509"/>
      <c r="FK436" s="509"/>
      <c r="FL436" s="509"/>
      <c r="FM436" s="509"/>
      <c r="FN436" s="509"/>
      <c r="FO436" s="509"/>
      <c r="FP436" s="509"/>
      <c r="FQ436" s="509"/>
      <c r="FR436" s="509"/>
      <c r="FS436" s="509"/>
      <c r="FT436" s="509"/>
      <c r="FU436" s="509"/>
      <c r="FV436" s="509"/>
      <c r="FW436" s="509"/>
      <c r="FX436" s="509"/>
      <c r="FY436" s="509"/>
      <c r="FZ436" s="509"/>
      <c r="GA436" s="509"/>
      <c r="GB436" s="509"/>
      <c r="GC436" s="509"/>
      <c r="GD436" s="509"/>
      <c r="GE436" s="509"/>
      <c r="GF436" s="509"/>
      <c r="GG436" s="509"/>
      <c r="GH436" s="509"/>
      <c r="GI436" s="509"/>
      <c r="GJ436" s="509"/>
      <c r="GK436" s="509"/>
      <c r="GL436" s="509"/>
      <c r="GM436" s="509"/>
      <c r="GN436" s="509"/>
      <c r="GO436" s="509"/>
      <c r="GP436" s="509"/>
      <c r="GQ436" s="509"/>
      <c r="GR436" s="509"/>
      <c r="GS436" s="509"/>
      <c r="GT436" s="509"/>
      <c r="GU436" s="509"/>
      <c r="GV436" s="509"/>
      <c r="GW436" s="509"/>
      <c r="GX436" s="509"/>
      <c r="GY436" s="509"/>
      <c r="GZ436" s="509"/>
      <c r="HA436" s="509"/>
      <c r="HB436" s="509"/>
      <c r="HC436" s="509"/>
      <c r="HD436" s="509"/>
      <c r="HE436" s="509"/>
      <c r="HF436" s="509"/>
      <c r="HG436" s="509"/>
      <c r="HH436" s="509"/>
      <c r="HI436" s="509"/>
      <c r="HJ436" s="509"/>
      <c r="HK436" s="509"/>
      <c r="HL436" s="509"/>
      <c r="HM436" s="509"/>
      <c r="HN436" s="509"/>
      <c r="HO436" s="509"/>
      <c r="HP436" s="509"/>
      <c r="HQ436" s="509"/>
      <c r="HR436" s="509"/>
      <c r="HS436" s="509"/>
      <c r="HT436" s="509"/>
      <c r="HU436" s="509"/>
      <c r="HV436" s="509"/>
      <c r="HW436" s="509"/>
      <c r="HX436" s="509"/>
      <c r="HY436" s="509"/>
      <c r="HZ436" s="509"/>
    </row>
    <row r="437" spans="1:234" ht="13.5" hidden="1" customHeight="1" x14ac:dyDescent="0.25">
      <c r="A437" s="1270" t="s">
        <v>6262</v>
      </c>
      <c r="B437" s="1271" t="s">
        <v>6263</v>
      </c>
      <c r="C437" s="1272" t="s">
        <v>6264</v>
      </c>
      <c r="D437" s="1273" t="s">
        <v>189</v>
      </c>
      <c r="E437" s="1272" t="s">
        <v>905</v>
      </c>
      <c r="F437" s="1274">
        <v>41911</v>
      </c>
      <c r="G437" s="1275">
        <v>41855</v>
      </c>
      <c r="H437" s="1274">
        <v>41901</v>
      </c>
      <c r="I437" s="1276">
        <v>44012</v>
      </c>
      <c r="J437" s="1277">
        <v>10</v>
      </c>
      <c r="K437" s="1278" t="s">
        <v>3229</v>
      </c>
      <c r="L437" s="1279" t="s">
        <v>3229</v>
      </c>
      <c r="M437" s="1280">
        <v>-0.85</v>
      </c>
      <c r="N437" s="1281">
        <v>0.7</v>
      </c>
      <c r="O437" s="1282">
        <v>0.8</v>
      </c>
      <c r="P437" s="1283" t="s">
        <v>3229</v>
      </c>
      <c r="Q437" s="1283" t="s">
        <v>3229</v>
      </c>
      <c r="R437" s="1284" t="s">
        <v>3229</v>
      </c>
      <c r="S437" s="1285"/>
      <c r="T437" s="1286" t="s">
        <v>3229</v>
      </c>
      <c r="U437" s="1286" t="s">
        <v>3229</v>
      </c>
      <c r="V437" s="1286" t="s">
        <v>3229</v>
      </c>
      <c r="W437" s="1286" t="s">
        <v>3229</v>
      </c>
      <c r="X437" s="1286" t="s">
        <v>3229</v>
      </c>
      <c r="Y437" s="1286" t="s">
        <v>3229</v>
      </c>
      <c r="Z437" s="1286" t="s">
        <v>3229</v>
      </c>
      <c r="AA437" s="1286" t="s">
        <v>3229</v>
      </c>
      <c r="AB437" s="1286" t="s">
        <v>3229</v>
      </c>
      <c r="AC437" s="1286" t="s">
        <v>3229</v>
      </c>
      <c r="AD437" s="1286" t="s">
        <v>3229</v>
      </c>
      <c r="AE437" s="1286" t="s">
        <v>3229</v>
      </c>
      <c r="AF437" s="3764" t="s">
        <v>781</v>
      </c>
      <c r="AG437" s="3765"/>
      <c r="AH437" s="1287" t="s">
        <v>3229</v>
      </c>
      <c r="AI437" s="1288" t="s">
        <v>3229</v>
      </c>
      <c r="AJ437" s="1288" t="s">
        <v>3229</v>
      </c>
      <c r="AK437" s="1288" t="s">
        <v>3229</v>
      </c>
      <c r="AL437" s="1288" t="s">
        <v>3229</v>
      </c>
      <c r="AM437" s="1288">
        <v>1</v>
      </c>
      <c r="AN437" s="1289">
        <f>+'klikací hodnoty'!F13346</f>
        <v>8.4187585846111843E-3</v>
      </c>
      <c r="AO437" s="1290">
        <v>10.08</v>
      </c>
      <c r="AP437" s="1371">
        <f>AQ437</f>
        <v>1.2026797978015979E-2</v>
      </c>
      <c r="AQ437" s="1281">
        <f>IF('klikací hodnoty'!F13344="",'klikací hodnoty'!F13343,'klikací hodnoty'!F13344)</f>
        <v>1.2026797978015979E-2</v>
      </c>
      <c r="AR437" s="1291">
        <f t="shared" si="103"/>
        <v>0.8</v>
      </c>
      <c r="AS437" s="1292">
        <f t="shared" si="104"/>
        <v>0.10751004677231046</v>
      </c>
      <c r="AT437" s="1292">
        <f t="shared" si="105"/>
        <v>0.78571428571428581</v>
      </c>
      <c r="AU437" s="1293" t="e">
        <f t="shared" si="106"/>
        <v>#DIV/0!</v>
      </c>
      <c r="AV437" s="1294">
        <f t="shared" si="100"/>
        <v>-0.85</v>
      </c>
      <c r="AW437" s="1295">
        <f t="shared" si="95"/>
        <v>-0.28077467093050412</v>
      </c>
      <c r="AX437" s="1296">
        <f t="shared" si="101"/>
        <v>-0.85119047619047616</v>
      </c>
      <c r="AY437" s="1297" t="e">
        <f t="shared" si="102"/>
        <v>#DIV/0!</v>
      </c>
      <c r="AZ437" s="1298">
        <f t="shared" si="99"/>
        <v>1.5000000000000002</v>
      </c>
      <c r="BA437" s="1299"/>
      <c r="BB437" s="1285"/>
      <c r="BC437" s="1300"/>
      <c r="BH437" s="3763"/>
      <c r="BI437" s="3763"/>
      <c r="BJ437" s="1639"/>
      <c r="BK437" s="1639"/>
      <c r="BL437" s="1639"/>
      <c r="BM437" s="1639"/>
      <c r="BN437" s="1639"/>
      <c r="BO437" s="1639"/>
      <c r="BP437" s="1639"/>
      <c r="BQ437" s="1639"/>
      <c r="BR437" s="1639"/>
      <c r="BS437" s="509"/>
      <c r="BT437" s="509"/>
      <c r="BU437" s="509"/>
      <c r="BV437" s="509"/>
      <c r="BW437" s="509"/>
      <c r="BX437" s="509"/>
      <c r="BY437" s="509"/>
      <c r="BZ437" s="509"/>
      <c r="CA437" s="509"/>
      <c r="CB437" s="509"/>
      <c r="CC437" s="509"/>
      <c r="CD437" s="509"/>
      <c r="CE437" s="509"/>
      <c r="CF437" s="509"/>
      <c r="CG437" s="509"/>
      <c r="CH437" s="509"/>
      <c r="CI437" s="509"/>
      <c r="CJ437" s="509"/>
      <c r="CK437" s="509"/>
      <c r="CL437" s="509"/>
      <c r="CM437" s="509"/>
      <c r="CN437" s="509"/>
      <c r="CO437" s="509"/>
      <c r="CP437" s="509"/>
      <c r="CQ437" s="509"/>
      <c r="CR437" s="509"/>
      <c r="CS437" s="509"/>
      <c r="CT437" s="509"/>
      <c r="CU437" s="509"/>
      <c r="CV437" s="509"/>
      <c r="CW437" s="509"/>
      <c r="CX437" s="509"/>
      <c r="CY437" s="509"/>
      <c r="CZ437" s="509"/>
      <c r="DA437" s="509"/>
      <c r="DB437" s="509"/>
      <c r="DC437" s="509"/>
      <c r="DD437" s="509"/>
      <c r="DE437" s="509"/>
      <c r="DF437" s="509"/>
      <c r="DG437" s="509"/>
      <c r="DH437" s="509"/>
      <c r="DI437" s="509"/>
      <c r="DJ437" s="509"/>
      <c r="DK437" s="509"/>
      <c r="DL437" s="509"/>
      <c r="DM437" s="509"/>
      <c r="DN437" s="509"/>
      <c r="DO437" s="509"/>
      <c r="DP437" s="509"/>
      <c r="DQ437" s="509"/>
      <c r="DR437" s="509"/>
      <c r="DS437" s="509"/>
      <c r="DT437" s="509"/>
      <c r="DU437" s="509"/>
      <c r="DV437" s="509"/>
      <c r="DW437" s="509"/>
      <c r="DX437" s="509"/>
      <c r="DY437" s="509"/>
      <c r="DZ437" s="509"/>
      <c r="EA437" s="509"/>
      <c r="EB437" s="509"/>
      <c r="EC437" s="509"/>
      <c r="ED437" s="509"/>
      <c r="EE437" s="509"/>
      <c r="EF437" s="509"/>
      <c r="EG437" s="509"/>
      <c r="EH437" s="509"/>
      <c r="EI437" s="509"/>
      <c r="EJ437" s="509"/>
      <c r="EK437" s="509"/>
      <c r="EL437" s="509"/>
      <c r="EM437" s="509"/>
      <c r="EN437" s="509"/>
      <c r="EO437" s="509"/>
      <c r="EP437" s="509"/>
      <c r="EQ437" s="509"/>
      <c r="ER437" s="509"/>
      <c r="ES437" s="509"/>
      <c r="ET437" s="509"/>
      <c r="EU437" s="509"/>
      <c r="EV437" s="509"/>
      <c r="EW437" s="509"/>
      <c r="EX437" s="509"/>
      <c r="EY437" s="509"/>
      <c r="EZ437" s="509"/>
      <c r="FA437" s="509"/>
      <c r="FB437" s="509"/>
      <c r="FC437" s="509"/>
      <c r="FD437" s="509"/>
      <c r="FE437" s="509"/>
      <c r="FF437" s="509"/>
      <c r="FG437" s="509"/>
      <c r="FH437" s="509"/>
      <c r="FI437" s="509"/>
      <c r="FJ437" s="509"/>
      <c r="FK437" s="509"/>
      <c r="FL437" s="509"/>
      <c r="FM437" s="509"/>
      <c r="FN437" s="509"/>
      <c r="FO437" s="509"/>
      <c r="FP437" s="509"/>
      <c r="FQ437" s="509"/>
      <c r="FR437" s="509"/>
      <c r="FS437" s="509"/>
      <c r="FT437" s="509"/>
      <c r="FU437" s="509"/>
      <c r="FV437" s="509"/>
      <c r="FW437" s="509"/>
      <c r="FX437" s="509"/>
      <c r="FY437" s="509"/>
      <c r="FZ437" s="509"/>
      <c r="GA437" s="509"/>
      <c r="GB437" s="509"/>
      <c r="GC437" s="509"/>
      <c r="GD437" s="509"/>
      <c r="GE437" s="509"/>
      <c r="GF437" s="509"/>
      <c r="GG437" s="509"/>
      <c r="GH437" s="509"/>
      <c r="GI437" s="509"/>
      <c r="GJ437" s="509"/>
      <c r="GK437" s="509"/>
      <c r="GL437" s="509"/>
      <c r="GM437" s="509"/>
      <c r="GN437" s="509"/>
      <c r="GO437" s="509"/>
      <c r="GP437" s="509"/>
      <c r="GQ437" s="509"/>
      <c r="GR437" s="509"/>
      <c r="GS437" s="509"/>
      <c r="GT437" s="509"/>
      <c r="GU437" s="509"/>
      <c r="GV437" s="509"/>
      <c r="GW437" s="509"/>
      <c r="GX437" s="509"/>
      <c r="GY437" s="509"/>
      <c r="GZ437" s="509"/>
      <c r="HA437" s="509"/>
      <c r="HB437" s="509"/>
      <c r="HC437" s="509"/>
      <c r="HD437" s="509"/>
      <c r="HE437" s="509"/>
      <c r="HF437" s="509"/>
      <c r="HG437" s="509"/>
      <c r="HH437" s="509"/>
      <c r="HI437" s="509"/>
      <c r="HJ437" s="509"/>
      <c r="HK437" s="509"/>
      <c r="HL437" s="509"/>
      <c r="HM437" s="509"/>
      <c r="HN437" s="509"/>
      <c r="HO437" s="509"/>
      <c r="HP437" s="509"/>
      <c r="HQ437" s="509"/>
      <c r="HR437" s="509"/>
      <c r="HS437" s="509"/>
      <c r="HT437" s="509"/>
      <c r="HU437" s="509"/>
      <c r="HV437" s="509"/>
      <c r="HW437" s="509"/>
      <c r="HX437" s="509"/>
      <c r="HY437" s="509"/>
      <c r="HZ437" s="509"/>
    </row>
    <row r="438" spans="1:234" ht="13.5" hidden="1" customHeight="1" x14ac:dyDescent="0.25">
      <c r="A438" s="1270" t="s">
        <v>6274</v>
      </c>
      <c r="B438" s="1271" t="s">
        <v>6273</v>
      </c>
      <c r="C438" s="1272" t="s">
        <v>6275</v>
      </c>
      <c r="D438" s="1273" t="s">
        <v>189</v>
      </c>
      <c r="E438" s="1272" t="s">
        <v>3228</v>
      </c>
      <c r="F438" s="1274">
        <v>41950</v>
      </c>
      <c r="G438" s="1275">
        <v>41883</v>
      </c>
      <c r="H438" s="1274">
        <v>41943</v>
      </c>
      <c r="I438" s="1276">
        <v>43951</v>
      </c>
      <c r="J438" s="1277">
        <v>10</v>
      </c>
      <c r="K438" s="1278" t="s">
        <v>3229</v>
      </c>
      <c r="L438" s="1279" t="s">
        <v>3229</v>
      </c>
      <c r="M438" s="1280">
        <v>0</v>
      </c>
      <c r="N438" s="1281">
        <v>1</v>
      </c>
      <c r="O438" s="1282">
        <v>1</v>
      </c>
      <c r="P438" s="1283" t="s">
        <v>3229</v>
      </c>
      <c r="Q438" s="1283" t="s">
        <v>3229</v>
      </c>
      <c r="R438" s="1284" t="s">
        <v>3229</v>
      </c>
      <c r="S438" s="1285"/>
      <c r="T438" s="1286" t="s">
        <v>3229</v>
      </c>
      <c r="U438" s="1286" t="s">
        <v>3229</v>
      </c>
      <c r="V438" s="1286" t="s">
        <v>3229</v>
      </c>
      <c r="W438" s="1286" t="s">
        <v>3229</v>
      </c>
      <c r="X438" s="1286" t="s">
        <v>3229</v>
      </c>
      <c r="Y438" s="1286" t="s">
        <v>3229</v>
      </c>
      <c r="Z438" s="1286" t="s">
        <v>3229</v>
      </c>
      <c r="AA438" s="1286" t="s">
        <v>3229</v>
      </c>
      <c r="AB438" s="1286" t="s">
        <v>3229</v>
      </c>
      <c r="AC438" s="1286" t="s">
        <v>3229</v>
      </c>
      <c r="AD438" s="1286" t="s">
        <v>3229</v>
      </c>
      <c r="AE438" s="1286" t="s">
        <v>3229</v>
      </c>
      <c r="AF438" s="3764" t="s">
        <v>781</v>
      </c>
      <c r="AG438" s="3765"/>
      <c r="AH438" s="1287" t="s">
        <v>3229</v>
      </c>
      <c r="AI438" s="1288" t="s">
        <v>3229</v>
      </c>
      <c r="AJ438" s="1288" t="s">
        <v>3229</v>
      </c>
      <c r="AK438" s="1288" t="s">
        <v>3229</v>
      </c>
      <c r="AL438" s="1288" t="s">
        <v>3229</v>
      </c>
      <c r="AM438" s="1288">
        <v>1</v>
      </c>
      <c r="AN438" s="1289">
        <f>'klikací hodnoty'!F13763</f>
        <v>2.4925555555555565E-2</v>
      </c>
      <c r="AO438" s="1290">
        <v>10.25</v>
      </c>
      <c r="AP438" s="1371">
        <f>'klikací hodnoty'!E13762</f>
        <v>2.4925555555555565E-2</v>
      </c>
      <c r="AQ438" s="1281">
        <f>'klikací hodnoty'!F13743</f>
        <v>-0.1173</v>
      </c>
      <c r="AR438" s="1291">
        <f t="shared" si="103"/>
        <v>1</v>
      </c>
      <c r="AS438" s="1292">
        <f t="shared" si="104"/>
        <v>0.13477698470598809</v>
      </c>
      <c r="AT438" s="1292">
        <f t="shared" si="105"/>
        <v>0.95121951219512191</v>
      </c>
      <c r="AU438" s="1293" t="e">
        <f t="shared" si="106"/>
        <v>#DIV/0!</v>
      </c>
      <c r="AV438" s="1294">
        <f t="shared" si="100"/>
        <v>0</v>
      </c>
      <c r="AW438" s="1295">
        <f t="shared" si="95"/>
        <v>0</v>
      </c>
      <c r="AX438" s="1296">
        <f t="shared" si="101"/>
        <v>-2.4390243902439046E-2</v>
      </c>
      <c r="AY438" s="1297" t="e">
        <f t="shared" si="102"/>
        <v>#DIV/0!</v>
      </c>
      <c r="AZ438" s="1298">
        <f t="shared" si="99"/>
        <v>10</v>
      </c>
      <c r="BA438" s="1299"/>
      <c r="BB438" s="1285"/>
      <c r="BC438" s="1300"/>
      <c r="BH438" s="3763"/>
      <c r="BI438" s="3763"/>
      <c r="BJ438" s="1639"/>
      <c r="BK438" s="1639"/>
      <c r="BL438" s="1639"/>
      <c r="BM438" s="1639"/>
      <c r="BN438" s="1639"/>
      <c r="BO438" s="1639"/>
      <c r="BP438" s="1639"/>
      <c r="BQ438" s="1639"/>
      <c r="BR438" s="1639"/>
      <c r="BS438" s="509"/>
      <c r="BT438" s="509"/>
      <c r="BU438" s="509"/>
      <c r="BV438" s="509"/>
      <c r="BW438" s="509"/>
      <c r="BX438" s="509"/>
      <c r="BY438" s="509"/>
      <c r="BZ438" s="509"/>
      <c r="CA438" s="509"/>
      <c r="CB438" s="509"/>
      <c r="CC438" s="509"/>
      <c r="CD438" s="509"/>
      <c r="CE438" s="509"/>
      <c r="CF438" s="509"/>
      <c r="CG438" s="509"/>
      <c r="CH438" s="509"/>
      <c r="CI438" s="509"/>
      <c r="CJ438" s="509"/>
      <c r="CK438" s="509"/>
      <c r="CL438" s="509"/>
      <c r="CM438" s="509"/>
      <c r="CN438" s="509"/>
      <c r="CO438" s="509"/>
      <c r="CP438" s="509"/>
      <c r="CQ438" s="509"/>
      <c r="CR438" s="509"/>
      <c r="CS438" s="509"/>
      <c r="CT438" s="509"/>
      <c r="CU438" s="509"/>
      <c r="CV438" s="509"/>
      <c r="CW438" s="509"/>
      <c r="CX438" s="509"/>
      <c r="CY438" s="509"/>
      <c r="CZ438" s="509"/>
      <c r="DA438" s="509"/>
      <c r="DB438" s="509"/>
      <c r="DC438" s="509"/>
      <c r="DD438" s="509"/>
      <c r="DE438" s="509"/>
      <c r="DF438" s="509"/>
      <c r="DG438" s="509"/>
      <c r="DH438" s="509"/>
      <c r="DI438" s="509"/>
      <c r="DJ438" s="509"/>
      <c r="DK438" s="509"/>
      <c r="DL438" s="509"/>
      <c r="DM438" s="509"/>
      <c r="DN438" s="509"/>
      <c r="DO438" s="509"/>
      <c r="DP438" s="509"/>
      <c r="DQ438" s="509"/>
      <c r="DR438" s="509"/>
      <c r="DS438" s="509"/>
      <c r="DT438" s="509"/>
      <c r="DU438" s="509"/>
      <c r="DV438" s="509"/>
      <c r="DW438" s="509"/>
      <c r="DX438" s="509"/>
      <c r="DY438" s="509"/>
      <c r="DZ438" s="509"/>
      <c r="EA438" s="509"/>
      <c r="EB438" s="509"/>
      <c r="EC438" s="509"/>
      <c r="ED438" s="509"/>
      <c r="EE438" s="509"/>
      <c r="EF438" s="509"/>
      <c r="EG438" s="509"/>
      <c r="EH438" s="509"/>
      <c r="EI438" s="509"/>
      <c r="EJ438" s="509"/>
      <c r="EK438" s="509"/>
      <c r="EL438" s="509"/>
      <c r="EM438" s="509"/>
      <c r="EN438" s="509"/>
      <c r="EO438" s="509"/>
      <c r="EP438" s="509"/>
      <c r="EQ438" s="509"/>
      <c r="ER438" s="509"/>
      <c r="ES438" s="509"/>
      <c r="ET438" s="509"/>
      <c r="EU438" s="509"/>
      <c r="EV438" s="509"/>
      <c r="EW438" s="509"/>
      <c r="EX438" s="509"/>
      <c r="EY438" s="509"/>
      <c r="EZ438" s="509"/>
      <c r="FA438" s="509"/>
      <c r="FB438" s="509"/>
      <c r="FC438" s="509"/>
      <c r="FD438" s="509"/>
      <c r="FE438" s="509"/>
      <c r="FF438" s="509"/>
      <c r="FG438" s="509"/>
      <c r="FH438" s="509"/>
      <c r="FI438" s="509"/>
      <c r="FJ438" s="509"/>
      <c r="FK438" s="509"/>
      <c r="FL438" s="509"/>
      <c r="FM438" s="509"/>
      <c r="FN438" s="509"/>
      <c r="FO438" s="509"/>
      <c r="FP438" s="509"/>
      <c r="FQ438" s="509"/>
      <c r="FR438" s="509"/>
      <c r="FS438" s="509"/>
      <c r="FT438" s="509"/>
      <c r="FU438" s="509"/>
      <c r="FV438" s="509"/>
      <c r="FW438" s="509"/>
      <c r="FX438" s="509"/>
      <c r="FY438" s="509"/>
      <c r="FZ438" s="509"/>
      <c r="GA438" s="509"/>
      <c r="GB438" s="509"/>
      <c r="GC438" s="509"/>
      <c r="GD438" s="509"/>
      <c r="GE438" s="509"/>
      <c r="GF438" s="509"/>
      <c r="GG438" s="509"/>
      <c r="GH438" s="509"/>
      <c r="GI438" s="509"/>
      <c r="GJ438" s="509"/>
      <c r="GK438" s="509"/>
      <c r="GL438" s="509"/>
      <c r="GM438" s="509"/>
      <c r="GN438" s="509"/>
      <c r="GO438" s="509"/>
      <c r="GP438" s="509"/>
      <c r="GQ438" s="509"/>
      <c r="GR438" s="509"/>
      <c r="GS438" s="509"/>
      <c r="GT438" s="509"/>
      <c r="GU438" s="509"/>
      <c r="GV438" s="509"/>
      <c r="GW438" s="509"/>
      <c r="GX438" s="509"/>
      <c r="GY438" s="509"/>
      <c r="GZ438" s="509"/>
      <c r="HA438" s="509"/>
      <c r="HB438" s="509"/>
      <c r="HC438" s="509"/>
      <c r="HD438" s="509"/>
      <c r="HE438" s="509"/>
      <c r="HF438" s="509"/>
      <c r="HG438" s="509"/>
      <c r="HH438" s="509"/>
      <c r="HI438" s="509"/>
      <c r="HJ438" s="509"/>
      <c r="HK438" s="509"/>
      <c r="HL438" s="509"/>
      <c r="HM438" s="509"/>
      <c r="HN438" s="509"/>
      <c r="HO438" s="509"/>
      <c r="HP438" s="509"/>
      <c r="HQ438" s="509"/>
      <c r="HR438" s="509"/>
      <c r="HS438" s="509"/>
      <c r="HT438" s="509"/>
      <c r="HU438" s="509"/>
      <c r="HV438" s="509"/>
      <c r="HW438" s="509"/>
      <c r="HX438" s="509"/>
      <c r="HY438" s="509"/>
      <c r="HZ438" s="509"/>
    </row>
    <row r="439" spans="1:234" ht="13.5" hidden="1" customHeight="1" x14ac:dyDescent="0.25">
      <c r="A439" s="1270" t="s">
        <v>6278</v>
      </c>
      <c r="B439" s="1271" t="s">
        <v>6277</v>
      </c>
      <c r="C439" s="1272" t="s">
        <v>6279</v>
      </c>
      <c r="D439" s="1273" t="s">
        <v>6276</v>
      </c>
      <c r="E439" s="1272" t="s">
        <v>3228</v>
      </c>
      <c r="F439" s="1274">
        <v>41956</v>
      </c>
      <c r="G439" s="1275">
        <v>41883</v>
      </c>
      <c r="H439" s="1274">
        <v>41943</v>
      </c>
      <c r="I439" s="1276">
        <v>44469</v>
      </c>
      <c r="J439" s="1277">
        <v>10</v>
      </c>
      <c r="K439" s="1278" t="s">
        <v>3229</v>
      </c>
      <c r="L439" s="1279" t="s">
        <v>3229</v>
      </c>
      <c r="M439" s="1280">
        <v>-0.1</v>
      </c>
      <c r="N439" s="1281">
        <v>0.5</v>
      </c>
      <c r="O439" s="1282">
        <v>0.8</v>
      </c>
      <c r="P439" s="1283" t="s">
        <v>3229</v>
      </c>
      <c r="Q439" s="1283" t="s">
        <v>3229</v>
      </c>
      <c r="R439" s="1284" t="s">
        <v>3229</v>
      </c>
      <c r="S439" s="1285"/>
      <c r="T439" s="1286" t="s">
        <v>3229</v>
      </c>
      <c r="U439" s="1286" t="s">
        <v>3229</v>
      </c>
      <c r="V439" s="1286" t="s">
        <v>3229</v>
      </c>
      <c r="W439" s="1286" t="s">
        <v>3229</v>
      </c>
      <c r="X439" s="1286" t="s">
        <v>3229</v>
      </c>
      <c r="Y439" s="1286" t="s">
        <v>3229</v>
      </c>
      <c r="Z439" s="1286" t="s">
        <v>3229</v>
      </c>
      <c r="AA439" s="1286" t="s">
        <v>3229</v>
      </c>
      <c r="AB439" s="1286" t="s">
        <v>3229</v>
      </c>
      <c r="AC439" s="1286" t="s">
        <v>3229</v>
      </c>
      <c r="AD439" s="1286" t="s">
        <v>3229</v>
      </c>
      <c r="AE439" s="1286" t="s">
        <v>3229</v>
      </c>
      <c r="AF439" s="3764" t="s">
        <v>781</v>
      </c>
      <c r="AG439" s="3765">
        <f>(I439-indexy!$B$1)/365</f>
        <v>-2.493150684931507</v>
      </c>
      <c r="AH439" s="1287" t="s">
        <v>3229</v>
      </c>
      <c r="AI439" s="1288" t="s">
        <v>3229</v>
      </c>
      <c r="AJ439" s="1288" t="s">
        <v>3229</v>
      </c>
      <c r="AK439" s="1288" t="s">
        <v>3229</v>
      </c>
      <c r="AL439" s="1288" t="s">
        <v>3229</v>
      </c>
      <c r="AM439" s="1288">
        <v>1</v>
      </c>
      <c r="AN439" s="1289">
        <f>'klikací hodnoty'!F13865</f>
        <v>7.236016666666667E-2</v>
      </c>
      <c r="AO439" s="1290">
        <v>10.72</v>
      </c>
      <c r="AP439" s="1371">
        <f>+AQ439</f>
        <v>0.27476816528886905</v>
      </c>
      <c r="AQ439" s="1281">
        <f>'klikací hodnoty'!F13845</f>
        <v>0.27476816528886905</v>
      </c>
      <c r="AR439" s="1291">
        <f t="shared" si="103"/>
        <v>0.8</v>
      </c>
      <c r="AS439" s="1292">
        <f t="shared" si="104"/>
        <v>8.9123140161632142E-2</v>
      </c>
      <c r="AT439" s="1292">
        <f t="shared" si="105"/>
        <v>0.67910447761194015</v>
      </c>
      <c r="AU439" s="1293">
        <f t="shared" si="106"/>
        <v>-0.18769042221293586</v>
      </c>
      <c r="AV439" s="1294">
        <f t="shared" si="100"/>
        <v>-0.1</v>
      </c>
      <c r="AW439" s="1295">
        <f t="shared" si="95"/>
        <v>-1.5186562573678786E-2</v>
      </c>
      <c r="AX439" s="1296">
        <f t="shared" ref="AX439:AX446" si="107">J439*(1+AV439)/AO439-1</f>
        <v>-0.16044776119402993</v>
      </c>
      <c r="AY439" s="1297">
        <f t="shared" ref="AY439:AY446" si="108">POWER(1+AX439,1/AG439)-1</f>
        <v>7.2665652432469585E-2</v>
      </c>
      <c r="AZ439" s="1298">
        <f t="shared" si="99"/>
        <v>9</v>
      </c>
      <c r="BA439" s="1299"/>
      <c r="BB439" s="1285"/>
      <c r="BC439" s="1300"/>
      <c r="BH439" s="3763"/>
      <c r="BI439" s="3763"/>
      <c r="BJ439" s="1639"/>
      <c r="BK439" s="1639"/>
      <c r="BL439" s="1639"/>
      <c r="BM439" s="1639"/>
      <c r="BN439" s="1639"/>
      <c r="BO439" s="1639"/>
      <c r="BP439" s="1639"/>
      <c r="BQ439" s="1639"/>
      <c r="BR439" s="1639"/>
      <c r="BS439" s="509"/>
      <c r="BT439" s="509"/>
      <c r="BU439" s="509"/>
      <c r="BV439" s="509"/>
      <c r="BW439" s="509"/>
      <c r="BX439" s="509"/>
      <c r="BY439" s="509"/>
      <c r="BZ439" s="509"/>
      <c r="CA439" s="509"/>
      <c r="CB439" s="509"/>
      <c r="CC439" s="509"/>
      <c r="CD439" s="509"/>
      <c r="CE439" s="509"/>
      <c r="CF439" s="509"/>
      <c r="CG439" s="509"/>
      <c r="CH439" s="509"/>
      <c r="CI439" s="509"/>
      <c r="CJ439" s="509"/>
      <c r="CK439" s="509"/>
      <c r="CL439" s="509"/>
      <c r="CM439" s="509"/>
      <c r="CN439" s="509"/>
      <c r="CO439" s="509"/>
      <c r="CP439" s="509"/>
      <c r="CQ439" s="509"/>
      <c r="CR439" s="509"/>
      <c r="CS439" s="509"/>
      <c r="CT439" s="509"/>
      <c r="CU439" s="509"/>
      <c r="CV439" s="509"/>
      <c r="CW439" s="509"/>
      <c r="CX439" s="509"/>
      <c r="CY439" s="509"/>
      <c r="CZ439" s="509"/>
      <c r="DA439" s="509"/>
      <c r="DB439" s="509"/>
      <c r="DC439" s="509"/>
      <c r="DD439" s="509"/>
      <c r="DE439" s="509"/>
      <c r="DF439" s="509"/>
      <c r="DG439" s="509"/>
      <c r="DH439" s="509"/>
      <c r="DI439" s="509"/>
      <c r="DJ439" s="509"/>
      <c r="DK439" s="509"/>
      <c r="DL439" s="509"/>
      <c r="DM439" s="509"/>
      <c r="DN439" s="509"/>
      <c r="DO439" s="509"/>
      <c r="DP439" s="509"/>
      <c r="DQ439" s="509"/>
      <c r="DR439" s="509"/>
      <c r="DS439" s="509"/>
      <c r="DT439" s="509"/>
      <c r="DU439" s="509"/>
      <c r="DV439" s="509"/>
      <c r="DW439" s="509"/>
      <c r="DX439" s="509"/>
      <c r="DY439" s="509"/>
      <c r="DZ439" s="509"/>
      <c r="EA439" s="509"/>
      <c r="EB439" s="509"/>
      <c r="EC439" s="509"/>
      <c r="ED439" s="509"/>
      <c r="EE439" s="509"/>
      <c r="EF439" s="509"/>
      <c r="EG439" s="509"/>
      <c r="EH439" s="509"/>
      <c r="EI439" s="509"/>
      <c r="EJ439" s="509"/>
      <c r="EK439" s="509"/>
      <c r="EL439" s="509"/>
      <c r="EM439" s="509"/>
      <c r="EN439" s="509"/>
      <c r="EO439" s="509"/>
      <c r="EP439" s="509"/>
      <c r="EQ439" s="509"/>
      <c r="ER439" s="509"/>
      <c r="ES439" s="509"/>
      <c r="ET439" s="509"/>
      <c r="EU439" s="509"/>
      <c r="EV439" s="509"/>
      <c r="EW439" s="509"/>
      <c r="EX439" s="509"/>
      <c r="EY439" s="509"/>
      <c r="EZ439" s="509"/>
      <c r="FA439" s="509"/>
      <c r="FB439" s="509"/>
      <c r="FC439" s="509"/>
      <c r="FD439" s="509"/>
      <c r="FE439" s="509"/>
      <c r="FF439" s="509"/>
      <c r="FG439" s="509"/>
      <c r="FH439" s="509"/>
      <c r="FI439" s="509"/>
      <c r="FJ439" s="509"/>
      <c r="FK439" s="509"/>
      <c r="FL439" s="509"/>
      <c r="FM439" s="509"/>
      <c r="FN439" s="509"/>
      <c r="FO439" s="509"/>
      <c r="FP439" s="509"/>
      <c r="FQ439" s="509"/>
      <c r="FR439" s="509"/>
      <c r="FS439" s="509"/>
      <c r="FT439" s="509"/>
      <c r="FU439" s="509"/>
      <c r="FV439" s="509"/>
      <c r="FW439" s="509"/>
      <c r="FX439" s="509"/>
      <c r="FY439" s="509"/>
      <c r="FZ439" s="509"/>
      <c r="GA439" s="509"/>
      <c r="GB439" s="509"/>
      <c r="GC439" s="509"/>
      <c r="GD439" s="509"/>
      <c r="GE439" s="509"/>
      <c r="GF439" s="509"/>
      <c r="GG439" s="509"/>
      <c r="GH439" s="509"/>
      <c r="GI439" s="509"/>
      <c r="GJ439" s="509"/>
      <c r="GK439" s="509"/>
      <c r="GL439" s="509"/>
      <c r="GM439" s="509"/>
      <c r="GN439" s="509"/>
      <c r="GO439" s="509"/>
      <c r="GP439" s="509"/>
      <c r="GQ439" s="509"/>
      <c r="GR439" s="509"/>
      <c r="GS439" s="509"/>
      <c r="GT439" s="509"/>
      <c r="GU439" s="509"/>
      <c r="GV439" s="509"/>
      <c r="GW439" s="509"/>
      <c r="GX439" s="509"/>
      <c r="GY439" s="509"/>
      <c r="GZ439" s="509"/>
      <c r="HA439" s="509"/>
      <c r="HB439" s="509"/>
      <c r="HC439" s="509"/>
      <c r="HD439" s="509"/>
      <c r="HE439" s="509"/>
      <c r="HF439" s="509"/>
      <c r="HG439" s="509"/>
      <c r="HH439" s="509"/>
      <c r="HI439" s="509"/>
      <c r="HJ439" s="509"/>
      <c r="HK439" s="509"/>
      <c r="HL439" s="509"/>
      <c r="HM439" s="509"/>
      <c r="HN439" s="509"/>
      <c r="HO439" s="509"/>
      <c r="HP439" s="509"/>
      <c r="HQ439" s="509"/>
      <c r="HR439" s="509"/>
      <c r="HS439" s="509"/>
      <c r="HT439" s="509"/>
      <c r="HU439" s="509"/>
      <c r="HV439" s="509"/>
      <c r="HW439" s="509"/>
      <c r="HX439" s="509"/>
      <c r="HY439" s="509"/>
      <c r="HZ439" s="509"/>
    </row>
    <row r="440" spans="1:234" ht="13.5" hidden="1" customHeight="1" x14ac:dyDescent="0.25">
      <c r="A440" s="1270" t="s">
        <v>6452</v>
      </c>
      <c r="B440" s="1271" t="s">
        <v>6453</v>
      </c>
      <c r="C440" s="1272" t="s">
        <v>6454</v>
      </c>
      <c r="D440" s="1273" t="s">
        <v>189</v>
      </c>
      <c r="E440" s="1272" t="s">
        <v>905</v>
      </c>
      <c r="F440" s="1274">
        <v>41953</v>
      </c>
      <c r="G440" s="1275">
        <v>41904</v>
      </c>
      <c r="H440" s="1274">
        <v>41943</v>
      </c>
      <c r="I440" s="1276">
        <v>44165</v>
      </c>
      <c r="J440" s="1277">
        <v>10</v>
      </c>
      <c r="K440" s="1278" t="s">
        <v>3229</v>
      </c>
      <c r="L440" s="1279" t="s">
        <v>3229</v>
      </c>
      <c r="M440" s="1280">
        <f>IF('klikací hodnoty'!N13881&gt;0%,0%,-10%)</f>
        <v>0</v>
      </c>
      <c r="N440" s="1281">
        <v>0.7</v>
      </c>
      <c r="O440" s="1282">
        <v>0.8</v>
      </c>
      <c r="P440" s="1283" t="s">
        <v>3229</v>
      </c>
      <c r="Q440" s="1283" t="s">
        <v>3229</v>
      </c>
      <c r="R440" s="1284" t="s">
        <v>3229</v>
      </c>
      <c r="S440" s="1285"/>
      <c r="T440" s="1286" t="s">
        <v>3229</v>
      </c>
      <c r="U440" s="1286" t="s">
        <v>3229</v>
      </c>
      <c r="V440" s="1286" t="s">
        <v>3229</v>
      </c>
      <c r="W440" s="1286" t="s">
        <v>3229</v>
      </c>
      <c r="X440" s="1286" t="s">
        <v>3229</v>
      </c>
      <c r="Y440" s="1286" t="s">
        <v>3229</v>
      </c>
      <c r="Z440" s="1286" t="s">
        <v>3229</v>
      </c>
      <c r="AA440" s="1286" t="s">
        <v>3229</v>
      </c>
      <c r="AB440" s="1286" t="s">
        <v>3229</v>
      </c>
      <c r="AC440" s="1286" t="s">
        <v>3229</v>
      </c>
      <c r="AD440" s="1286" t="s">
        <v>3229</v>
      </c>
      <c r="AE440" s="1286" t="s">
        <v>3229</v>
      </c>
      <c r="AF440" s="3764" t="s">
        <v>781</v>
      </c>
      <c r="AG440" s="3765"/>
      <c r="AH440" s="1287" t="s">
        <v>3229</v>
      </c>
      <c r="AI440" s="1288" t="s">
        <v>3229</v>
      </c>
      <c r="AJ440" s="1288" t="s">
        <v>3229</v>
      </c>
      <c r="AK440" s="1288" t="s">
        <v>3229</v>
      </c>
      <c r="AL440" s="1288" t="s">
        <v>3229</v>
      </c>
      <c r="AM440" s="1288">
        <v>1</v>
      </c>
      <c r="AN440" s="1289">
        <f>'klikací hodnoty'!F13921</f>
        <v>0</v>
      </c>
      <c r="AO440" s="1290">
        <v>9.9700000000000006</v>
      </c>
      <c r="AP440" s="1371">
        <f>+'klikací hodnoty'!F13920</f>
        <v>-7.7193444444444398E-2</v>
      </c>
      <c r="AQ440" s="1281">
        <f>'klikací hodnoty'!F13901</f>
        <v>-0.18495579979691243</v>
      </c>
      <c r="AR440" s="1291">
        <f>O440</f>
        <v>0.8</v>
      </c>
      <c r="AS440" s="1292">
        <f>POWER(1+AR440,1/((I440-F440)/365))-1</f>
        <v>0.10184948094285939</v>
      </c>
      <c r="AT440" s="1292">
        <f t="shared" si="105"/>
        <v>0.80541624874623863</v>
      </c>
      <c r="AU440" s="1293" t="e">
        <f t="shared" si="106"/>
        <v>#DIV/0!</v>
      </c>
      <c r="AV440" s="1294">
        <f>M440</f>
        <v>0</v>
      </c>
      <c r="AW440" s="1295">
        <f t="shared" si="95"/>
        <v>0</v>
      </c>
      <c r="AX440" s="1296">
        <f t="shared" si="107"/>
        <v>3.0090270812437314E-3</v>
      </c>
      <c r="AY440" s="1297" t="e">
        <f t="shared" si="108"/>
        <v>#DIV/0!</v>
      </c>
      <c r="AZ440" s="1298">
        <f>J440*(1+AV440)</f>
        <v>10</v>
      </c>
      <c r="BA440" s="1299"/>
      <c r="BB440" s="1285"/>
      <c r="BC440" s="1300"/>
      <c r="BH440" s="3763"/>
      <c r="BI440" s="3763"/>
      <c r="BJ440" s="1639"/>
      <c r="BK440" s="1639"/>
      <c r="BL440" s="1639"/>
      <c r="BM440" s="1639"/>
      <c r="BN440" s="1639"/>
      <c r="BO440" s="1639"/>
      <c r="BP440" s="1639"/>
      <c r="BQ440" s="1639"/>
      <c r="BR440" s="1639"/>
      <c r="BS440" s="509"/>
      <c r="BT440" s="509"/>
      <c r="BU440" s="509"/>
      <c r="BV440" s="509"/>
      <c r="BW440" s="509"/>
      <c r="BX440" s="509"/>
      <c r="BY440" s="509"/>
      <c r="BZ440" s="509"/>
      <c r="CA440" s="509"/>
      <c r="CB440" s="509"/>
      <c r="CC440" s="509"/>
      <c r="CD440" s="509"/>
      <c r="CE440" s="509"/>
      <c r="CF440" s="509"/>
      <c r="CG440" s="509"/>
      <c r="CH440" s="509"/>
      <c r="CI440" s="509"/>
      <c r="CJ440" s="509"/>
      <c r="CK440" s="509"/>
      <c r="CL440" s="509"/>
      <c r="CM440" s="509"/>
      <c r="CN440" s="509"/>
      <c r="CO440" s="509"/>
      <c r="CP440" s="509"/>
      <c r="CQ440" s="509"/>
      <c r="CR440" s="509"/>
      <c r="CS440" s="509"/>
      <c r="CT440" s="509"/>
      <c r="CU440" s="509"/>
      <c r="CV440" s="509"/>
      <c r="CW440" s="509"/>
      <c r="CX440" s="509"/>
      <c r="CY440" s="509"/>
      <c r="CZ440" s="509"/>
      <c r="DA440" s="509"/>
      <c r="DB440" s="509"/>
      <c r="DC440" s="509"/>
      <c r="DD440" s="509"/>
      <c r="DE440" s="509"/>
      <c r="DF440" s="509"/>
      <c r="DG440" s="509"/>
      <c r="DH440" s="509"/>
      <c r="DI440" s="509"/>
      <c r="DJ440" s="509"/>
      <c r="DK440" s="509"/>
      <c r="DL440" s="509"/>
      <c r="DM440" s="509"/>
      <c r="DN440" s="509"/>
      <c r="DO440" s="509"/>
      <c r="DP440" s="509"/>
      <c r="DQ440" s="509"/>
      <c r="DR440" s="509"/>
      <c r="DS440" s="509"/>
      <c r="DT440" s="509"/>
      <c r="DU440" s="509"/>
      <c r="DV440" s="509"/>
      <c r="DW440" s="509"/>
      <c r="DX440" s="509"/>
      <c r="DY440" s="509"/>
      <c r="DZ440" s="509"/>
      <c r="EA440" s="509"/>
      <c r="EB440" s="509"/>
      <c r="EC440" s="509"/>
      <c r="ED440" s="509"/>
      <c r="EE440" s="509"/>
      <c r="EF440" s="509"/>
      <c r="EG440" s="509"/>
      <c r="EH440" s="509"/>
      <c r="EI440" s="509"/>
      <c r="EJ440" s="509"/>
      <c r="EK440" s="509"/>
      <c r="EL440" s="509"/>
      <c r="EM440" s="509"/>
      <c r="EN440" s="509"/>
      <c r="EO440" s="509"/>
      <c r="EP440" s="509"/>
      <c r="EQ440" s="509"/>
      <c r="ER440" s="509"/>
      <c r="ES440" s="509"/>
      <c r="ET440" s="509"/>
      <c r="EU440" s="509"/>
      <c r="EV440" s="509"/>
      <c r="EW440" s="509"/>
      <c r="EX440" s="509"/>
      <c r="EY440" s="509"/>
      <c r="EZ440" s="509"/>
      <c r="FA440" s="509"/>
      <c r="FB440" s="509"/>
      <c r="FC440" s="509"/>
      <c r="FD440" s="509"/>
      <c r="FE440" s="509"/>
      <c r="FF440" s="509"/>
      <c r="FG440" s="509"/>
      <c r="FH440" s="509"/>
      <c r="FI440" s="509"/>
      <c r="FJ440" s="509"/>
      <c r="FK440" s="509"/>
      <c r="FL440" s="509"/>
      <c r="FM440" s="509"/>
      <c r="FN440" s="509"/>
      <c r="FO440" s="509"/>
      <c r="FP440" s="509"/>
      <c r="FQ440" s="509"/>
      <c r="FR440" s="509"/>
      <c r="FS440" s="509"/>
      <c r="FT440" s="509"/>
      <c r="FU440" s="509"/>
      <c r="FV440" s="509"/>
      <c r="FW440" s="509"/>
      <c r="FX440" s="509"/>
      <c r="FY440" s="509"/>
      <c r="FZ440" s="509"/>
      <c r="GA440" s="509"/>
      <c r="GB440" s="509"/>
      <c r="GC440" s="509"/>
      <c r="GD440" s="509"/>
      <c r="GE440" s="509"/>
      <c r="GF440" s="509"/>
      <c r="GG440" s="509"/>
      <c r="GH440" s="509"/>
      <c r="GI440" s="509"/>
      <c r="GJ440" s="509"/>
      <c r="GK440" s="509"/>
      <c r="GL440" s="509"/>
      <c r="GM440" s="509"/>
      <c r="GN440" s="509"/>
      <c r="GO440" s="509"/>
      <c r="GP440" s="509"/>
      <c r="GQ440" s="509"/>
      <c r="GR440" s="509"/>
      <c r="GS440" s="509"/>
      <c r="GT440" s="509"/>
      <c r="GU440" s="509"/>
      <c r="GV440" s="509"/>
      <c r="GW440" s="509"/>
      <c r="GX440" s="509"/>
      <c r="GY440" s="509"/>
      <c r="GZ440" s="509"/>
      <c r="HA440" s="509"/>
      <c r="HB440" s="509"/>
      <c r="HC440" s="509"/>
      <c r="HD440" s="509"/>
      <c r="HE440" s="509"/>
      <c r="HF440" s="509"/>
      <c r="HG440" s="509"/>
      <c r="HH440" s="509"/>
      <c r="HI440" s="509"/>
      <c r="HJ440" s="509"/>
      <c r="HK440" s="509"/>
      <c r="HL440" s="509"/>
      <c r="HM440" s="509"/>
      <c r="HN440" s="509"/>
      <c r="HO440" s="509"/>
      <c r="HP440" s="509"/>
      <c r="HQ440" s="509"/>
      <c r="HR440" s="509"/>
      <c r="HS440" s="509"/>
      <c r="HT440" s="509"/>
      <c r="HU440" s="509"/>
      <c r="HV440" s="509"/>
      <c r="HW440" s="509"/>
      <c r="HX440" s="509"/>
      <c r="HY440" s="509"/>
      <c r="HZ440" s="509"/>
    </row>
    <row r="441" spans="1:234" ht="13.5" hidden="1" customHeight="1" x14ac:dyDescent="0.25">
      <c r="A441" s="1270" t="s">
        <v>6456</v>
      </c>
      <c r="B441" s="1271" t="s">
        <v>6455</v>
      </c>
      <c r="C441" s="1272" t="s">
        <v>6457</v>
      </c>
      <c r="D441" s="1273" t="s">
        <v>189</v>
      </c>
      <c r="E441" s="1272" t="s">
        <v>3228</v>
      </c>
      <c r="F441" s="1274">
        <v>41978</v>
      </c>
      <c r="G441" s="1275">
        <v>41913</v>
      </c>
      <c r="H441" s="1274">
        <v>41971</v>
      </c>
      <c r="I441" s="1276">
        <v>44134</v>
      </c>
      <c r="J441" s="1277">
        <v>10</v>
      </c>
      <c r="K441" s="1278" t="s">
        <v>3229</v>
      </c>
      <c r="L441" s="1279" t="s">
        <v>3229</v>
      </c>
      <c r="M441" s="1280">
        <v>-0.1</v>
      </c>
      <c r="N441" s="1281">
        <v>0.5</v>
      </c>
      <c r="O441" s="1282" t="s">
        <v>3229</v>
      </c>
      <c r="P441" s="1283" t="s">
        <v>3229</v>
      </c>
      <c r="Q441" s="1283" t="s">
        <v>3229</v>
      </c>
      <c r="R441" s="1284" t="s">
        <v>3229</v>
      </c>
      <c r="S441" s="1285"/>
      <c r="T441" s="1286" t="s">
        <v>3229</v>
      </c>
      <c r="U441" s="1286" t="s">
        <v>3229</v>
      </c>
      <c r="V441" s="1286" t="s">
        <v>3229</v>
      </c>
      <c r="W441" s="1286" t="s">
        <v>3229</v>
      </c>
      <c r="X441" s="1286" t="s">
        <v>3229</v>
      </c>
      <c r="Y441" s="1286" t="s">
        <v>3229</v>
      </c>
      <c r="Z441" s="1286" t="s">
        <v>3229</v>
      </c>
      <c r="AA441" s="1286" t="s">
        <v>3229</v>
      </c>
      <c r="AB441" s="1286" t="s">
        <v>3229</v>
      </c>
      <c r="AC441" s="1286" t="s">
        <v>3229</v>
      </c>
      <c r="AD441" s="1286" t="s">
        <v>3229</v>
      </c>
      <c r="AE441" s="1286" t="s">
        <v>3229</v>
      </c>
      <c r="AF441" s="3764" t="s">
        <v>781</v>
      </c>
      <c r="AG441" s="3765"/>
      <c r="AH441" s="1287" t="s">
        <v>3229</v>
      </c>
      <c r="AI441" s="1288" t="s">
        <v>3229</v>
      </c>
      <c r="AJ441" s="1288" t="s">
        <v>3229</v>
      </c>
      <c r="AK441" s="1288" t="s">
        <v>3229</v>
      </c>
      <c r="AL441" s="1288" t="s">
        <v>3229</v>
      </c>
      <c r="AM441" s="1288">
        <v>1</v>
      </c>
      <c r="AN441" s="1289">
        <f>'klikací hodnoty'!F13977</f>
        <v>1.1926861111111128E-2</v>
      </c>
      <c r="AO441" s="1290">
        <v>10.119999999999999</v>
      </c>
      <c r="AP441" s="1371">
        <f>+'klikací hodnoty'!E13976</f>
        <v>2.3853722222222255E-2</v>
      </c>
      <c r="AQ441" s="1281">
        <f>'klikací hodnoty'!F13957</f>
        <v>-7.6017389677911149E-2</v>
      </c>
      <c r="AR441" s="1291" t="s">
        <v>3660</v>
      </c>
      <c r="AS441" s="1292"/>
      <c r="AT441" s="1292"/>
      <c r="AU441" s="1293"/>
      <c r="AV441" s="1294">
        <f t="shared" si="100"/>
        <v>-0.1</v>
      </c>
      <c r="AW441" s="1295">
        <f t="shared" si="95"/>
        <v>-1.7678869733157798E-2</v>
      </c>
      <c r="AX441" s="1296">
        <f t="shared" si="107"/>
        <v>-0.1106719367588932</v>
      </c>
      <c r="AY441" s="1297" t="e">
        <f t="shared" si="108"/>
        <v>#DIV/0!</v>
      </c>
      <c r="AZ441" s="1298">
        <f t="shared" si="99"/>
        <v>9</v>
      </c>
      <c r="BA441" s="1299"/>
      <c r="BB441" s="1285"/>
      <c r="BC441" s="1300"/>
      <c r="BH441" s="3763"/>
      <c r="BI441" s="3763"/>
      <c r="BJ441" s="1639"/>
      <c r="BK441" s="1639"/>
      <c r="BL441" s="1639"/>
      <c r="BM441" s="1639"/>
      <c r="BN441" s="1639"/>
      <c r="BO441" s="1639"/>
      <c r="BP441" s="1639"/>
      <c r="BQ441" s="1639"/>
      <c r="BR441" s="1639"/>
      <c r="BS441" s="509"/>
      <c r="BT441" s="509"/>
      <c r="BU441" s="509"/>
      <c r="BV441" s="509"/>
      <c r="BW441" s="509"/>
      <c r="BX441" s="509"/>
      <c r="BY441" s="509"/>
      <c r="BZ441" s="509"/>
      <c r="CA441" s="509"/>
      <c r="CB441" s="509"/>
      <c r="CC441" s="509"/>
      <c r="CD441" s="509"/>
      <c r="CE441" s="509"/>
      <c r="CF441" s="509"/>
      <c r="CG441" s="509"/>
      <c r="CH441" s="509"/>
      <c r="CI441" s="509"/>
      <c r="CJ441" s="509"/>
      <c r="CK441" s="509"/>
      <c r="CL441" s="509"/>
      <c r="CM441" s="509"/>
      <c r="CN441" s="509"/>
      <c r="CO441" s="509"/>
      <c r="CP441" s="509"/>
      <c r="CQ441" s="509"/>
      <c r="CR441" s="509"/>
      <c r="CS441" s="509"/>
      <c r="CT441" s="509"/>
      <c r="CU441" s="509"/>
      <c r="CV441" s="509"/>
      <c r="CW441" s="509"/>
      <c r="CX441" s="509"/>
      <c r="CY441" s="509"/>
      <c r="CZ441" s="509"/>
      <c r="DA441" s="509"/>
      <c r="DB441" s="509"/>
      <c r="DC441" s="509"/>
      <c r="DD441" s="509"/>
      <c r="DE441" s="509"/>
      <c r="DF441" s="509"/>
      <c r="DG441" s="509"/>
      <c r="DH441" s="509"/>
      <c r="DI441" s="509"/>
      <c r="DJ441" s="509"/>
      <c r="DK441" s="509"/>
      <c r="DL441" s="509"/>
      <c r="DM441" s="509"/>
      <c r="DN441" s="509"/>
      <c r="DO441" s="509"/>
      <c r="DP441" s="509"/>
      <c r="DQ441" s="509"/>
      <c r="DR441" s="509"/>
      <c r="DS441" s="509"/>
      <c r="DT441" s="509"/>
      <c r="DU441" s="509"/>
      <c r="DV441" s="509"/>
      <c r="DW441" s="509"/>
      <c r="DX441" s="509"/>
      <c r="DY441" s="509"/>
      <c r="DZ441" s="509"/>
      <c r="EA441" s="509"/>
      <c r="EB441" s="509"/>
      <c r="EC441" s="509"/>
      <c r="ED441" s="509"/>
      <c r="EE441" s="509"/>
      <c r="EF441" s="509"/>
      <c r="EG441" s="509"/>
      <c r="EH441" s="509"/>
      <c r="EI441" s="509"/>
      <c r="EJ441" s="509"/>
      <c r="EK441" s="509"/>
      <c r="EL441" s="509"/>
      <c r="EM441" s="509"/>
      <c r="EN441" s="509"/>
      <c r="EO441" s="509"/>
      <c r="EP441" s="509"/>
      <c r="EQ441" s="509"/>
      <c r="ER441" s="509"/>
      <c r="ES441" s="509"/>
      <c r="ET441" s="509"/>
      <c r="EU441" s="509"/>
      <c r="EV441" s="509"/>
      <c r="EW441" s="509"/>
      <c r="EX441" s="509"/>
      <c r="EY441" s="509"/>
      <c r="EZ441" s="509"/>
      <c r="FA441" s="509"/>
      <c r="FB441" s="509"/>
      <c r="FC441" s="509"/>
      <c r="FD441" s="509"/>
      <c r="FE441" s="509"/>
      <c r="FF441" s="509"/>
      <c r="FG441" s="509"/>
      <c r="FH441" s="509"/>
      <c r="FI441" s="509"/>
      <c r="FJ441" s="509"/>
      <c r="FK441" s="509"/>
      <c r="FL441" s="509"/>
      <c r="FM441" s="509"/>
      <c r="FN441" s="509"/>
      <c r="FO441" s="509"/>
      <c r="FP441" s="509"/>
      <c r="FQ441" s="509"/>
      <c r="FR441" s="509"/>
      <c r="FS441" s="509"/>
      <c r="FT441" s="509"/>
      <c r="FU441" s="509"/>
      <c r="FV441" s="509"/>
      <c r="FW441" s="509"/>
      <c r="FX441" s="509"/>
      <c r="FY441" s="509"/>
      <c r="FZ441" s="509"/>
      <c r="GA441" s="509"/>
      <c r="GB441" s="509"/>
      <c r="GC441" s="509"/>
      <c r="GD441" s="509"/>
      <c r="GE441" s="509"/>
      <c r="GF441" s="509"/>
      <c r="GG441" s="509"/>
      <c r="GH441" s="509"/>
      <c r="GI441" s="509"/>
      <c r="GJ441" s="509"/>
      <c r="GK441" s="509"/>
      <c r="GL441" s="509"/>
      <c r="GM441" s="509"/>
      <c r="GN441" s="509"/>
      <c r="GO441" s="509"/>
      <c r="GP441" s="509"/>
      <c r="GQ441" s="509"/>
      <c r="GR441" s="509"/>
      <c r="GS441" s="509"/>
      <c r="GT441" s="509"/>
      <c r="GU441" s="509"/>
      <c r="GV441" s="509"/>
      <c r="GW441" s="509"/>
      <c r="GX441" s="509"/>
      <c r="GY441" s="509"/>
      <c r="GZ441" s="509"/>
      <c r="HA441" s="509"/>
      <c r="HB441" s="509"/>
      <c r="HC441" s="509"/>
      <c r="HD441" s="509"/>
      <c r="HE441" s="509"/>
      <c r="HF441" s="509"/>
      <c r="HG441" s="509"/>
      <c r="HH441" s="509"/>
      <c r="HI441" s="509"/>
      <c r="HJ441" s="509"/>
      <c r="HK441" s="509"/>
      <c r="HL441" s="509"/>
      <c r="HM441" s="509"/>
      <c r="HN441" s="509"/>
      <c r="HO441" s="509"/>
      <c r="HP441" s="509"/>
      <c r="HQ441" s="509"/>
      <c r="HR441" s="509"/>
      <c r="HS441" s="509"/>
      <c r="HT441" s="509"/>
      <c r="HU441" s="509"/>
      <c r="HV441" s="509"/>
      <c r="HW441" s="509"/>
      <c r="HX441" s="509"/>
      <c r="HY441" s="509"/>
      <c r="HZ441" s="509"/>
    </row>
    <row r="442" spans="1:234" ht="13.5" hidden="1" customHeight="1" x14ac:dyDescent="0.25">
      <c r="A442" s="1270" t="s">
        <v>6459</v>
      </c>
      <c r="B442" s="1271" t="s">
        <v>6458</v>
      </c>
      <c r="C442" s="1272" t="s">
        <v>6460</v>
      </c>
      <c r="D442" s="1273" t="s">
        <v>189</v>
      </c>
      <c r="E442" s="1272" t="s">
        <v>1743</v>
      </c>
      <c r="F442" s="1274">
        <v>41978</v>
      </c>
      <c r="G442" s="1275">
        <v>41913</v>
      </c>
      <c r="H442" s="1274">
        <v>41971</v>
      </c>
      <c r="I442" s="1276">
        <v>44012</v>
      </c>
      <c r="J442" s="1277">
        <v>10</v>
      </c>
      <c r="K442" s="1278">
        <v>0</v>
      </c>
      <c r="L442" s="1279">
        <v>0.09</v>
      </c>
      <c r="M442" s="1280">
        <v>0.04</v>
      </c>
      <c r="N442" s="1281" t="s">
        <v>3229</v>
      </c>
      <c r="O442" s="1282">
        <v>0.4</v>
      </c>
      <c r="P442" s="1283" t="s">
        <v>3229</v>
      </c>
      <c r="Q442" s="1283">
        <v>0.04</v>
      </c>
      <c r="R442" s="1284" t="s">
        <v>3229</v>
      </c>
      <c r="S442" s="1285">
        <v>5</v>
      </c>
      <c r="T442" s="1286" t="s">
        <v>3229</v>
      </c>
      <c r="U442" s="1286" t="s">
        <v>3229</v>
      </c>
      <c r="V442" s="1286" t="s">
        <v>3229</v>
      </c>
      <c r="W442" s="1286" t="s">
        <v>3229</v>
      </c>
      <c r="X442" s="1286" t="s">
        <v>3229</v>
      </c>
      <c r="Y442" s="1286" t="s">
        <v>3229</v>
      </c>
      <c r="Z442" s="1286" t="s">
        <v>3229</v>
      </c>
      <c r="AA442" s="1286" t="s">
        <v>3229</v>
      </c>
      <c r="AB442" s="1286" t="s">
        <v>3229</v>
      </c>
      <c r="AC442" s="1286" t="s">
        <v>3229</v>
      </c>
      <c r="AD442" s="1286" t="s">
        <v>3229</v>
      </c>
      <c r="AE442" s="1286" t="s">
        <v>3229</v>
      </c>
      <c r="AF442" s="3764" t="s">
        <v>781</v>
      </c>
      <c r="AG442" s="3765"/>
      <c r="AH442" s="1287" t="s">
        <v>3229</v>
      </c>
      <c r="AI442" s="1288" t="s">
        <v>3229</v>
      </c>
      <c r="AJ442" s="1288" t="s">
        <v>3229</v>
      </c>
      <c r="AK442" s="1288" t="s">
        <v>3229</v>
      </c>
      <c r="AL442" s="1288" t="s">
        <v>3229</v>
      </c>
      <c r="AM442" s="1288">
        <v>1</v>
      </c>
      <c r="AN442" s="1289">
        <f>'klikací hodnoty'!F14020</f>
        <v>0.04</v>
      </c>
      <c r="AO442" s="1290">
        <v>10.4</v>
      </c>
      <c r="AP442" s="1371">
        <f>AQ442</f>
        <v>-0.18358152608477263</v>
      </c>
      <c r="AQ442" s="1281">
        <f>'klikací hodnoty'!F14012</f>
        <v>-0.18358152608477263</v>
      </c>
      <c r="AR442" s="1291">
        <f>O442</f>
        <v>0.4</v>
      </c>
      <c r="AS442" s="1292">
        <f>POWER(1+AR442,1/((I442-F442)/365))-1</f>
        <v>6.2239831976886206E-2</v>
      </c>
      <c r="AT442" s="1292">
        <f>J442*(1+AR442)/AO442-1</f>
        <v>0.34615384615384603</v>
      </c>
      <c r="AU442" s="1293" t="e">
        <f>POWER(1+AT442,1/AG442)-1</f>
        <v>#DIV/0!</v>
      </c>
      <c r="AV442" s="1294">
        <f>M442</f>
        <v>0.04</v>
      </c>
      <c r="AW442" s="1295">
        <f t="shared" si="95"/>
        <v>7.0629577667948862E-3</v>
      </c>
      <c r="AX442" s="1296">
        <f t="shared" si="107"/>
        <v>0</v>
      </c>
      <c r="AY442" s="1297" t="e">
        <f t="shared" si="108"/>
        <v>#DIV/0!</v>
      </c>
      <c r="AZ442" s="1298">
        <f>J442*(1+AV442)</f>
        <v>10.4</v>
      </c>
      <c r="BA442" s="1299"/>
      <c r="BB442" s="1285"/>
      <c r="BC442" s="1300"/>
      <c r="BH442" s="3763"/>
      <c r="BI442" s="3763"/>
      <c r="BJ442" s="1639"/>
      <c r="BK442" s="1639"/>
      <c r="BL442" s="1639"/>
      <c r="BM442" s="1639"/>
      <c r="BN442" s="1639"/>
      <c r="BO442" s="1639"/>
      <c r="BP442" s="1639"/>
      <c r="BQ442" s="1639"/>
      <c r="BR442" s="1639"/>
      <c r="BS442" s="509"/>
      <c r="BT442" s="509"/>
      <c r="BU442" s="509"/>
      <c r="BV442" s="509"/>
      <c r="BW442" s="509"/>
      <c r="BX442" s="509"/>
      <c r="BY442" s="509"/>
      <c r="BZ442" s="509"/>
      <c r="CA442" s="509"/>
      <c r="CB442" s="509"/>
      <c r="CC442" s="509"/>
      <c r="CD442" s="509"/>
      <c r="CE442" s="509"/>
      <c r="CF442" s="509"/>
      <c r="CG442" s="509"/>
      <c r="CH442" s="509"/>
      <c r="CI442" s="509"/>
      <c r="CJ442" s="509"/>
      <c r="CK442" s="509"/>
      <c r="CL442" s="509"/>
      <c r="CM442" s="509"/>
      <c r="CN442" s="509"/>
      <c r="CO442" s="509"/>
      <c r="CP442" s="509"/>
      <c r="CQ442" s="509"/>
      <c r="CR442" s="509"/>
      <c r="CS442" s="509"/>
      <c r="CT442" s="509"/>
      <c r="CU442" s="509"/>
      <c r="CV442" s="509"/>
      <c r="CW442" s="509"/>
      <c r="CX442" s="509"/>
      <c r="CY442" s="509"/>
      <c r="CZ442" s="509"/>
      <c r="DA442" s="509"/>
      <c r="DB442" s="509"/>
      <c r="DC442" s="509"/>
      <c r="DD442" s="509"/>
      <c r="DE442" s="509"/>
      <c r="DF442" s="509"/>
      <c r="DG442" s="509"/>
      <c r="DH442" s="509"/>
      <c r="DI442" s="509"/>
      <c r="DJ442" s="509"/>
      <c r="DK442" s="509"/>
      <c r="DL442" s="509"/>
      <c r="DM442" s="509"/>
      <c r="DN442" s="509"/>
      <c r="DO442" s="509"/>
      <c r="DP442" s="509"/>
      <c r="DQ442" s="509"/>
      <c r="DR442" s="509"/>
      <c r="DS442" s="509"/>
      <c r="DT442" s="509"/>
      <c r="DU442" s="509"/>
      <c r="DV442" s="509"/>
      <c r="DW442" s="509"/>
      <c r="DX442" s="509"/>
      <c r="DY442" s="509"/>
      <c r="DZ442" s="509"/>
      <c r="EA442" s="509"/>
      <c r="EB442" s="509"/>
      <c r="EC442" s="509"/>
      <c r="ED442" s="509"/>
      <c r="EE442" s="509"/>
      <c r="EF442" s="509"/>
      <c r="EG442" s="509"/>
      <c r="EH442" s="509"/>
      <c r="EI442" s="509"/>
      <c r="EJ442" s="509"/>
      <c r="EK442" s="509"/>
      <c r="EL442" s="509"/>
      <c r="EM442" s="509"/>
      <c r="EN442" s="509"/>
      <c r="EO442" s="509"/>
      <c r="EP442" s="509"/>
      <c r="EQ442" s="509"/>
      <c r="ER442" s="509"/>
      <c r="ES442" s="509"/>
      <c r="ET442" s="509"/>
      <c r="EU442" s="509"/>
      <c r="EV442" s="509"/>
      <c r="EW442" s="509"/>
      <c r="EX442" s="509"/>
      <c r="EY442" s="509"/>
      <c r="EZ442" s="509"/>
      <c r="FA442" s="509"/>
      <c r="FB442" s="509"/>
      <c r="FC442" s="509"/>
      <c r="FD442" s="509"/>
      <c r="FE442" s="509"/>
      <c r="FF442" s="509"/>
      <c r="FG442" s="509"/>
      <c r="FH442" s="509"/>
      <c r="FI442" s="509"/>
      <c r="FJ442" s="509"/>
      <c r="FK442" s="509"/>
      <c r="FL442" s="509"/>
      <c r="FM442" s="509"/>
      <c r="FN442" s="509"/>
      <c r="FO442" s="509"/>
      <c r="FP442" s="509"/>
      <c r="FQ442" s="509"/>
      <c r="FR442" s="509"/>
      <c r="FS442" s="509"/>
      <c r="FT442" s="509"/>
      <c r="FU442" s="509"/>
      <c r="FV442" s="509"/>
      <c r="FW442" s="509"/>
      <c r="FX442" s="509"/>
      <c r="FY442" s="509"/>
      <c r="FZ442" s="509"/>
      <c r="GA442" s="509"/>
      <c r="GB442" s="509"/>
      <c r="GC442" s="509"/>
      <c r="GD442" s="509"/>
      <c r="GE442" s="509"/>
      <c r="GF442" s="509"/>
      <c r="GG442" s="509"/>
      <c r="GH442" s="509"/>
      <c r="GI442" s="509"/>
      <c r="GJ442" s="509"/>
      <c r="GK442" s="509"/>
      <c r="GL442" s="509"/>
      <c r="GM442" s="509"/>
      <c r="GN442" s="509"/>
      <c r="GO442" s="509"/>
      <c r="GP442" s="509"/>
      <c r="GQ442" s="509"/>
      <c r="GR442" s="509"/>
      <c r="GS442" s="509"/>
      <c r="GT442" s="509"/>
      <c r="GU442" s="509"/>
      <c r="GV442" s="509"/>
      <c r="GW442" s="509"/>
      <c r="GX442" s="509"/>
      <c r="GY442" s="509"/>
      <c r="GZ442" s="509"/>
      <c r="HA442" s="509"/>
      <c r="HB442" s="509"/>
      <c r="HC442" s="509"/>
      <c r="HD442" s="509"/>
      <c r="HE442" s="509"/>
      <c r="HF442" s="509"/>
      <c r="HG442" s="509"/>
      <c r="HH442" s="509"/>
      <c r="HI442" s="509"/>
      <c r="HJ442" s="509"/>
      <c r="HK442" s="509"/>
      <c r="HL442" s="509"/>
      <c r="HM442" s="509"/>
      <c r="HN442" s="509"/>
      <c r="HO442" s="509"/>
      <c r="HP442" s="509"/>
      <c r="HQ442" s="509"/>
      <c r="HR442" s="509"/>
      <c r="HS442" s="509"/>
      <c r="HT442" s="509"/>
      <c r="HU442" s="509"/>
      <c r="HV442" s="509"/>
      <c r="HW442" s="509"/>
      <c r="HX442" s="509"/>
      <c r="HY442" s="509"/>
      <c r="HZ442" s="509"/>
    </row>
    <row r="443" spans="1:234" ht="13.5" hidden="1" customHeight="1" x14ac:dyDescent="0.25">
      <c r="A443" s="1270" t="s">
        <v>6462</v>
      </c>
      <c r="B443" s="1271" t="s">
        <v>6463</v>
      </c>
      <c r="C443" s="1272" t="s">
        <v>6464</v>
      </c>
      <c r="D443" s="1273" t="s">
        <v>189</v>
      </c>
      <c r="E443" s="1272" t="s">
        <v>3228</v>
      </c>
      <c r="F443" s="1274">
        <v>42003</v>
      </c>
      <c r="G443" s="1275">
        <v>41932</v>
      </c>
      <c r="H443" s="1274">
        <v>41992</v>
      </c>
      <c r="I443" s="1276">
        <v>42398</v>
      </c>
      <c r="J443" s="1277">
        <v>10</v>
      </c>
      <c r="K443" s="1278" t="s">
        <v>3229</v>
      </c>
      <c r="L443" s="1279" t="s">
        <v>3229</v>
      </c>
      <c r="M443" s="1280">
        <v>-1</v>
      </c>
      <c r="N443" s="1281">
        <v>0.6</v>
      </c>
      <c r="O443" s="1282">
        <v>0.8</v>
      </c>
      <c r="P443" s="1283" t="s">
        <v>3229</v>
      </c>
      <c r="Q443" s="1283" t="s">
        <v>3229</v>
      </c>
      <c r="R443" s="1284" t="s">
        <v>3229</v>
      </c>
      <c r="S443" s="1285"/>
      <c r="T443" s="1286" t="s">
        <v>3229</v>
      </c>
      <c r="U443" s="1286" t="s">
        <v>3229</v>
      </c>
      <c r="V443" s="1286" t="s">
        <v>3229</v>
      </c>
      <c r="W443" s="1286" t="s">
        <v>3229</v>
      </c>
      <c r="X443" s="1286" t="s">
        <v>3229</v>
      </c>
      <c r="Y443" s="1286" t="s">
        <v>3229</v>
      </c>
      <c r="Z443" s="1286" t="s">
        <v>3229</v>
      </c>
      <c r="AA443" s="1286" t="s">
        <v>3229</v>
      </c>
      <c r="AB443" s="1286" t="s">
        <v>3229</v>
      </c>
      <c r="AC443" s="1286" t="s">
        <v>3229</v>
      </c>
      <c r="AD443" s="1286" t="s">
        <v>3229</v>
      </c>
      <c r="AE443" s="1286" t="s">
        <v>3229</v>
      </c>
      <c r="AF443" s="3764" t="s">
        <v>781</v>
      </c>
      <c r="AG443" s="3765"/>
      <c r="AH443" s="1287">
        <v>1</v>
      </c>
      <c r="AI443" s="1288" t="s">
        <v>3229</v>
      </c>
      <c r="AJ443" s="1288" t="s">
        <v>3229</v>
      </c>
      <c r="AK443" s="1288" t="s">
        <v>3229</v>
      </c>
      <c r="AL443" s="1288" t="s">
        <v>3229</v>
      </c>
      <c r="AM443" s="1288" t="s">
        <v>3229</v>
      </c>
      <c r="AN443" s="1289">
        <f>'klikací hodnoty'!F14026</f>
        <v>0.08</v>
      </c>
      <c r="AO443" s="1290">
        <v>10.8</v>
      </c>
      <c r="AP443" s="1371">
        <f>AQ443</f>
        <v>9.5367397771415341E-3</v>
      </c>
      <c r="AQ443" s="1281">
        <f>IF('klikací hodnoty'!F14024="",'klikací hodnoty'!F14023,'klikací hodnoty'!F14024)</f>
        <v>9.5367397771415341E-3</v>
      </c>
      <c r="AR443" s="1291">
        <f>O443</f>
        <v>0.8</v>
      </c>
      <c r="AS443" s="1292">
        <f>POWER(1+AR443,1/((I443-F443)/365))-1</f>
        <v>0.72141157901270514</v>
      </c>
      <c r="AT443" s="1292">
        <f>J443*(1+AR443)/AO443-1</f>
        <v>0.66666666666666652</v>
      </c>
      <c r="AU443" s="1293" t="e">
        <f>POWER(1+AT443,1/AG443)-1</f>
        <v>#DIV/0!</v>
      </c>
      <c r="AV443" s="1294">
        <f t="shared" si="100"/>
        <v>-1</v>
      </c>
      <c r="AW443" s="1295">
        <f t="shared" si="95"/>
        <v>-1</v>
      </c>
      <c r="AX443" s="1296">
        <f t="shared" si="107"/>
        <v>-1</v>
      </c>
      <c r="AY443" s="1297" t="e">
        <f t="shared" si="108"/>
        <v>#DIV/0!</v>
      </c>
      <c r="AZ443" s="1298">
        <f t="shared" si="99"/>
        <v>0</v>
      </c>
      <c r="BA443" s="1299"/>
      <c r="BB443" s="1285"/>
      <c r="BC443" s="1300"/>
      <c r="BH443" s="3763"/>
      <c r="BI443" s="3763"/>
      <c r="BJ443" s="1639"/>
      <c r="BK443" s="1639"/>
      <c r="BL443" s="1639"/>
      <c r="BM443" s="1639"/>
      <c r="BN443" s="1639"/>
      <c r="BO443" s="1639"/>
      <c r="BP443" s="1639"/>
      <c r="BQ443" s="1639"/>
      <c r="BR443" s="1639"/>
      <c r="BS443" s="509"/>
      <c r="BT443" s="509"/>
      <c r="BU443" s="509"/>
      <c r="BV443" s="509"/>
      <c r="BW443" s="509"/>
      <c r="BX443" s="509"/>
      <c r="BY443" s="509"/>
      <c r="BZ443" s="509"/>
      <c r="CA443" s="509"/>
      <c r="CB443" s="509"/>
      <c r="CC443" s="509"/>
      <c r="CD443" s="509"/>
      <c r="CE443" s="509"/>
      <c r="CF443" s="509"/>
      <c r="CG443" s="509"/>
      <c r="CH443" s="509"/>
      <c r="CI443" s="509"/>
      <c r="CJ443" s="509"/>
      <c r="CK443" s="509"/>
      <c r="CL443" s="509"/>
      <c r="CM443" s="509"/>
      <c r="CN443" s="509"/>
      <c r="CO443" s="509"/>
      <c r="CP443" s="509"/>
      <c r="CQ443" s="509"/>
      <c r="CR443" s="509"/>
      <c r="CS443" s="509"/>
      <c r="CT443" s="509"/>
      <c r="CU443" s="509"/>
      <c r="CV443" s="509"/>
      <c r="CW443" s="509"/>
      <c r="CX443" s="509"/>
      <c r="CY443" s="509"/>
      <c r="CZ443" s="509"/>
      <c r="DA443" s="509"/>
      <c r="DB443" s="509"/>
      <c r="DC443" s="509"/>
      <c r="DD443" s="509"/>
      <c r="DE443" s="509"/>
      <c r="DF443" s="509"/>
      <c r="DG443" s="509"/>
      <c r="DH443" s="509"/>
      <c r="DI443" s="509"/>
      <c r="DJ443" s="509"/>
      <c r="DK443" s="509"/>
      <c r="DL443" s="509"/>
      <c r="DM443" s="509"/>
      <c r="DN443" s="509"/>
      <c r="DO443" s="509"/>
      <c r="DP443" s="509"/>
      <c r="DQ443" s="509"/>
      <c r="DR443" s="509"/>
      <c r="DS443" s="509"/>
      <c r="DT443" s="509"/>
      <c r="DU443" s="509"/>
      <c r="DV443" s="509"/>
      <c r="DW443" s="509"/>
      <c r="DX443" s="509"/>
      <c r="DY443" s="509"/>
      <c r="DZ443" s="509"/>
      <c r="EA443" s="509"/>
      <c r="EB443" s="509"/>
      <c r="EC443" s="509"/>
      <c r="ED443" s="509"/>
      <c r="EE443" s="509"/>
      <c r="EF443" s="509"/>
      <c r="EG443" s="509"/>
      <c r="EH443" s="509"/>
      <c r="EI443" s="509"/>
      <c r="EJ443" s="509"/>
      <c r="EK443" s="509"/>
      <c r="EL443" s="509"/>
      <c r="EM443" s="509"/>
      <c r="EN443" s="509"/>
      <c r="EO443" s="509"/>
      <c r="EP443" s="509"/>
      <c r="EQ443" s="509"/>
      <c r="ER443" s="509"/>
      <c r="ES443" s="509"/>
      <c r="ET443" s="509"/>
      <c r="EU443" s="509"/>
      <c r="EV443" s="509"/>
      <c r="EW443" s="509"/>
      <c r="EX443" s="509"/>
      <c r="EY443" s="509"/>
      <c r="EZ443" s="509"/>
      <c r="FA443" s="509"/>
      <c r="FB443" s="509"/>
      <c r="FC443" s="509"/>
      <c r="FD443" s="509"/>
      <c r="FE443" s="509"/>
      <c r="FF443" s="509"/>
      <c r="FG443" s="509"/>
      <c r="FH443" s="509"/>
      <c r="FI443" s="509"/>
      <c r="FJ443" s="509"/>
      <c r="FK443" s="509"/>
      <c r="FL443" s="509"/>
      <c r="FM443" s="509"/>
      <c r="FN443" s="509"/>
      <c r="FO443" s="509"/>
      <c r="FP443" s="509"/>
      <c r="FQ443" s="509"/>
      <c r="FR443" s="509"/>
      <c r="FS443" s="509"/>
      <c r="FT443" s="509"/>
      <c r="FU443" s="509"/>
      <c r="FV443" s="509"/>
      <c r="FW443" s="509"/>
      <c r="FX443" s="509"/>
      <c r="FY443" s="509"/>
      <c r="FZ443" s="509"/>
      <c r="GA443" s="509"/>
      <c r="GB443" s="509"/>
      <c r="GC443" s="509"/>
      <c r="GD443" s="509"/>
      <c r="GE443" s="509"/>
      <c r="GF443" s="509"/>
      <c r="GG443" s="509"/>
      <c r="GH443" s="509"/>
      <c r="GI443" s="509"/>
      <c r="GJ443" s="509"/>
      <c r="GK443" s="509"/>
      <c r="GL443" s="509"/>
      <c r="GM443" s="509"/>
      <c r="GN443" s="509"/>
      <c r="GO443" s="509"/>
      <c r="GP443" s="509"/>
      <c r="GQ443" s="509"/>
      <c r="GR443" s="509"/>
      <c r="GS443" s="509"/>
      <c r="GT443" s="509"/>
      <c r="GU443" s="509"/>
      <c r="GV443" s="509"/>
      <c r="GW443" s="509"/>
      <c r="GX443" s="509"/>
      <c r="GY443" s="509"/>
      <c r="GZ443" s="509"/>
      <c r="HA443" s="509"/>
      <c r="HB443" s="509"/>
      <c r="HC443" s="509"/>
      <c r="HD443" s="509"/>
      <c r="HE443" s="509"/>
      <c r="HF443" s="509"/>
      <c r="HG443" s="509"/>
      <c r="HH443" s="509"/>
      <c r="HI443" s="509"/>
      <c r="HJ443" s="509"/>
      <c r="HK443" s="509"/>
      <c r="HL443" s="509"/>
      <c r="HM443" s="509"/>
      <c r="HN443" s="509"/>
      <c r="HO443" s="509"/>
      <c r="HP443" s="509"/>
      <c r="HQ443" s="509"/>
      <c r="HR443" s="509"/>
      <c r="HS443" s="509"/>
      <c r="HT443" s="509"/>
      <c r="HU443" s="509"/>
      <c r="HV443" s="509"/>
      <c r="HW443" s="509"/>
      <c r="HX443" s="509"/>
      <c r="HY443" s="509"/>
      <c r="HZ443" s="509"/>
    </row>
    <row r="444" spans="1:234" ht="13.5" hidden="1" customHeight="1" x14ac:dyDescent="0.25">
      <c r="A444" s="1270" t="s">
        <v>6623</v>
      </c>
      <c r="B444" s="1271" t="s">
        <v>6626</v>
      </c>
      <c r="C444" s="1272" t="s">
        <v>6625</v>
      </c>
      <c r="D444" s="1273" t="s">
        <v>189</v>
      </c>
      <c r="E444" s="1272" t="s">
        <v>3228</v>
      </c>
      <c r="F444" s="1274">
        <v>41992</v>
      </c>
      <c r="G444" s="1275">
        <v>41946</v>
      </c>
      <c r="H444" s="1274">
        <v>41992</v>
      </c>
      <c r="I444" s="1276">
        <v>44134</v>
      </c>
      <c r="J444" s="1277">
        <v>10</v>
      </c>
      <c r="K444" s="1278" t="s">
        <v>3229</v>
      </c>
      <c r="L444" s="1279" t="s">
        <v>3229</v>
      </c>
      <c r="M444" s="1280">
        <v>0</v>
      </c>
      <c r="N444" s="1281">
        <v>1</v>
      </c>
      <c r="O444" s="1282" t="s">
        <v>3229</v>
      </c>
      <c r="P444" s="1283" t="s">
        <v>3229</v>
      </c>
      <c r="Q444" s="1283" t="s">
        <v>3229</v>
      </c>
      <c r="R444" s="1284" t="s">
        <v>3229</v>
      </c>
      <c r="S444" s="1285"/>
      <c r="T444" s="1286" t="s">
        <v>3229</v>
      </c>
      <c r="U444" s="1286" t="s">
        <v>3229</v>
      </c>
      <c r="V444" s="1286" t="s">
        <v>3229</v>
      </c>
      <c r="W444" s="1286" t="s">
        <v>3229</v>
      </c>
      <c r="X444" s="1286" t="s">
        <v>3229</v>
      </c>
      <c r="Y444" s="1286" t="s">
        <v>3229</v>
      </c>
      <c r="Z444" s="1286" t="s">
        <v>3229</v>
      </c>
      <c r="AA444" s="1286" t="s">
        <v>3229</v>
      </c>
      <c r="AB444" s="1286" t="s">
        <v>3229</v>
      </c>
      <c r="AC444" s="1286" t="s">
        <v>3229</v>
      </c>
      <c r="AD444" s="1286" t="s">
        <v>3229</v>
      </c>
      <c r="AE444" s="1286" t="s">
        <v>3229</v>
      </c>
      <c r="AF444" s="3764" t="s">
        <v>781</v>
      </c>
      <c r="AG444" s="3765"/>
      <c r="AH444" s="1287" t="s">
        <v>3229</v>
      </c>
      <c r="AI444" s="1288" t="s">
        <v>3229</v>
      </c>
      <c r="AJ444" s="1288" t="s">
        <v>3229</v>
      </c>
      <c r="AK444" s="1288" t="s">
        <v>3229</v>
      </c>
      <c r="AL444" s="1288" t="s">
        <v>3229</v>
      </c>
      <c r="AM444" s="1288">
        <v>1</v>
      </c>
      <c r="AN444" s="1289">
        <f>'klikací hodnoty'!F14081</f>
        <v>1.8150944444444435E-2</v>
      </c>
      <c r="AO444" s="1290">
        <v>10.18</v>
      </c>
      <c r="AP444" s="1371">
        <f>'klikací hodnoty'!F14080</f>
        <v>1.8150944444444435E-2</v>
      </c>
      <c r="AQ444" s="1281">
        <f>'klikací hodnoty'!F14061</f>
        <v>-8.1162568072355556E-2</v>
      </c>
      <c r="AR444" s="1291" t="s">
        <v>3660</v>
      </c>
      <c r="AS444" s="1292"/>
      <c r="AT444" s="1292"/>
      <c r="AU444" s="1293"/>
      <c r="AV444" s="1294">
        <f t="shared" si="100"/>
        <v>0</v>
      </c>
      <c r="AW444" s="1295">
        <f t="shared" si="95"/>
        <v>0</v>
      </c>
      <c r="AX444" s="1296">
        <f t="shared" si="107"/>
        <v>-1.7681728880157177E-2</v>
      </c>
      <c r="AY444" s="1297" t="e">
        <f t="shared" si="108"/>
        <v>#DIV/0!</v>
      </c>
      <c r="AZ444" s="1298">
        <f t="shared" si="99"/>
        <v>10</v>
      </c>
      <c r="BA444" s="1299"/>
      <c r="BB444" s="1285"/>
      <c r="BC444" s="1300"/>
      <c r="BH444" s="3763"/>
      <c r="BI444" s="3763"/>
      <c r="BJ444" s="1639"/>
      <c r="BK444" s="1639"/>
      <c r="BL444" s="1639"/>
      <c r="BM444" s="1639"/>
      <c r="BN444" s="1639"/>
      <c r="BO444" s="1639"/>
      <c r="BP444" s="1639"/>
      <c r="BQ444" s="1639"/>
      <c r="BR444" s="1639"/>
      <c r="BS444" s="509"/>
      <c r="BT444" s="509"/>
      <c r="BU444" s="509"/>
      <c r="BV444" s="509"/>
      <c r="BW444" s="509"/>
      <c r="BX444" s="509"/>
      <c r="BY444" s="509"/>
      <c r="BZ444" s="509"/>
      <c r="CA444" s="509"/>
      <c r="CB444" s="509"/>
      <c r="CC444" s="509"/>
      <c r="CD444" s="509"/>
      <c r="CE444" s="509"/>
      <c r="CF444" s="509"/>
      <c r="CG444" s="509"/>
      <c r="CH444" s="509"/>
      <c r="CI444" s="509"/>
      <c r="CJ444" s="509"/>
      <c r="CK444" s="509"/>
      <c r="CL444" s="509"/>
      <c r="CM444" s="509"/>
      <c r="CN444" s="509"/>
      <c r="CO444" s="509"/>
      <c r="CP444" s="509"/>
      <c r="CQ444" s="509"/>
      <c r="CR444" s="509"/>
      <c r="CS444" s="509"/>
      <c r="CT444" s="509"/>
      <c r="CU444" s="509"/>
      <c r="CV444" s="509"/>
      <c r="CW444" s="509"/>
      <c r="CX444" s="509"/>
      <c r="CY444" s="509"/>
      <c r="CZ444" s="509"/>
      <c r="DA444" s="509"/>
      <c r="DB444" s="509"/>
      <c r="DC444" s="509"/>
      <c r="DD444" s="509"/>
      <c r="DE444" s="509"/>
      <c r="DF444" s="509"/>
      <c r="DG444" s="509"/>
      <c r="DH444" s="509"/>
      <c r="DI444" s="509"/>
      <c r="DJ444" s="509"/>
      <c r="DK444" s="509"/>
      <c r="DL444" s="509"/>
      <c r="DM444" s="509"/>
      <c r="DN444" s="509"/>
      <c r="DO444" s="509"/>
      <c r="DP444" s="509"/>
      <c r="DQ444" s="509"/>
      <c r="DR444" s="509"/>
      <c r="DS444" s="509"/>
      <c r="DT444" s="509"/>
      <c r="DU444" s="509"/>
      <c r="DV444" s="509"/>
      <c r="DW444" s="509"/>
      <c r="DX444" s="509"/>
      <c r="DY444" s="509"/>
      <c r="DZ444" s="509"/>
      <c r="EA444" s="509"/>
      <c r="EB444" s="509"/>
      <c r="EC444" s="509"/>
      <c r="ED444" s="509"/>
      <c r="EE444" s="509"/>
      <c r="EF444" s="509"/>
      <c r="EG444" s="509"/>
      <c r="EH444" s="509"/>
      <c r="EI444" s="509"/>
      <c r="EJ444" s="509"/>
      <c r="EK444" s="509"/>
      <c r="EL444" s="509"/>
      <c r="EM444" s="509"/>
      <c r="EN444" s="509"/>
      <c r="EO444" s="509"/>
      <c r="EP444" s="509"/>
      <c r="EQ444" s="509"/>
      <c r="ER444" s="509"/>
      <c r="ES444" s="509"/>
      <c r="ET444" s="509"/>
      <c r="EU444" s="509"/>
      <c r="EV444" s="509"/>
      <c r="EW444" s="509"/>
      <c r="EX444" s="509"/>
      <c r="EY444" s="509"/>
      <c r="EZ444" s="509"/>
      <c r="FA444" s="509"/>
      <c r="FB444" s="509"/>
      <c r="FC444" s="509"/>
      <c r="FD444" s="509"/>
      <c r="FE444" s="509"/>
      <c r="FF444" s="509"/>
      <c r="FG444" s="509"/>
      <c r="FH444" s="509"/>
      <c r="FI444" s="509"/>
      <c r="FJ444" s="509"/>
      <c r="FK444" s="509"/>
      <c r="FL444" s="509"/>
      <c r="FM444" s="509"/>
      <c r="FN444" s="509"/>
      <c r="FO444" s="509"/>
      <c r="FP444" s="509"/>
      <c r="FQ444" s="509"/>
      <c r="FR444" s="509"/>
      <c r="FS444" s="509"/>
      <c r="FT444" s="509"/>
      <c r="FU444" s="509"/>
      <c r="FV444" s="509"/>
      <c r="FW444" s="509"/>
      <c r="FX444" s="509"/>
      <c r="FY444" s="509"/>
      <c r="FZ444" s="509"/>
      <c r="GA444" s="509"/>
      <c r="GB444" s="509"/>
      <c r="GC444" s="509"/>
      <c r="GD444" s="509"/>
      <c r="GE444" s="509"/>
      <c r="GF444" s="509"/>
      <c r="GG444" s="509"/>
      <c r="GH444" s="509"/>
      <c r="GI444" s="509"/>
      <c r="GJ444" s="509"/>
      <c r="GK444" s="509"/>
      <c r="GL444" s="509"/>
      <c r="GM444" s="509"/>
      <c r="GN444" s="509"/>
      <c r="GO444" s="509"/>
      <c r="GP444" s="509"/>
      <c r="GQ444" s="509"/>
      <c r="GR444" s="509"/>
      <c r="GS444" s="509"/>
      <c r="GT444" s="509"/>
      <c r="GU444" s="509"/>
      <c r="GV444" s="509"/>
      <c r="GW444" s="509"/>
      <c r="GX444" s="509"/>
      <c r="GY444" s="509"/>
      <c r="GZ444" s="509"/>
      <c r="HA444" s="509"/>
      <c r="HB444" s="509"/>
      <c r="HC444" s="509"/>
      <c r="HD444" s="509"/>
      <c r="HE444" s="509"/>
      <c r="HF444" s="509"/>
      <c r="HG444" s="509"/>
      <c r="HH444" s="509"/>
      <c r="HI444" s="509"/>
      <c r="HJ444" s="509"/>
      <c r="HK444" s="509"/>
      <c r="HL444" s="509"/>
      <c r="HM444" s="509"/>
      <c r="HN444" s="509"/>
      <c r="HO444" s="509"/>
      <c r="HP444" s="509"/>
      <c r="HQ444" s="509"/>
      <c r="HR444" s="509"/>
      <c r="HS444" s="509"/>
      <c r="HT444" s="509"/>
      <c r="HU444" s="509"/>
      <c r="HV444" s="509"/>
      <c r="HW444" s="509"/>
      <c r="HX444" s="509"/>
      <c r="HY444" s="509"/>
      <c r="HZ444" s="509"/>
    </row>
    <row r="445" spans="1:234" ht="13.5" hidden="1" customHeight="1" x14ac:dyDescent="0.25">
      <c r="A445" s="1270" t="s">
        <v>6624</v>
      </c>
      <c r="B445" s="1271" t="s">
        <v>6628</v>
      </c>
      <c r="C445" s="1272" t="s">
        <v>6629</v>
      </c>
      <c r="D445" s="1273" t="s">
        <v>6627</v>
      </c>
      <c r="E445" s="1272" t="s">
        <v>3228</v>
      </c>
      <c r="F445" s="1274">
        <v>41991</v>
      </c>
      <c r="G445" s="1275">
        <v>41946</v>
      </c>
      <c r="H445" s="1274">
        <v>41988</v>
      </c>
      <c r="I445" s="1276">
        <v>44498</v>
      </c>
      <c r="J445" s="1277">
        <v>10</v>
      </c>
      <c r="K445" s="1278" t="s">
        <v>3229</v>
      </c>
      <c r="L445" s="1279" t="s">
        <v>3229</v>
      </c>
      <c r="M445" s="1280">
        <v>-0.1</v>
      </c>
      <c r="N445" s="1281">
        <v>0.7</v>
      </c>
      <c r="O445" s="1282">
        <v>0.8</v>
      </c>
      <c r="P445" s="1283" t="s">
        <v>3229</v>
      </c>
      <c r="Q445" s="1283" t="s">
        <v>3229</v>
      </c>
      <c r="R445" s="1284" t="s">
        <v>3229</v>
      </c>
      <c r="S445" s="1285"/>
      <c r="T445" s="1286" t="s">
        <v>3229</v>
      </c>
      <c r="U445" s="1286" t="s">
        <v>3229</v>
      </c>
      <c r="V445" s="1286" t="s">
        <v>3229</v>
      </c>
      <c r="W445" s="1286" t="s">
        <v>3229</v>
      </c>
      <c r="X445" s="1286" t="s">
        <v>3229</v>
      </c>
      <c r="Y445" s="1286" t="s">
        <v>3229</v>
      </c>
      <c r="Z445" s="1286" t="s">
        <v>3229</v>
      </c>
      <c r="AA445" s="1286" t="s">
        <v>3229</v>
      </c>
      <c r="AB445" s="1286" t="s">
        <v>3229</v>
      </c>
      <c r="AC445" s="1286" t="s">
        <v>3229</v>
      </c>
      <c r="AD445" s="1286" t="s">
        <v>3229</v>
      </c>
      <c r="AE445" s="1286" t="s">
        <v>3229</v>
      </c>
      <c r="AF445" s="3764" t="s">
        <v>781</v>
      </c>
      <c r="AG445" s="3765">
        <f>(I445-indexy!$B$1)/365</f>
        <v>-2.4136986301369863</v>
      </c>
      <c r="AH445" s="1287" t="s">
        <v>3229</v>
      </c>
      <c r="AI445" s="1288" t="s">
        <v>3229</v>
      </c>
      <c r="AJ445" s="1288" t="s">
        <v>3229</v>
      </c>
      <c r="AK445" s="1288" t="s">
        <v>3229</v>
      </c>
      <c r="AL445" s="1288" t="s">
        <v>3229</v>
      </c>
      <c r="AM445" s="1288">
        <v>1</v>
      </c>
      <c r="AN445" s="1289">
        <f>'klikací hodnoty'!F14127</f>
        <v>-0.1</v>
      </c>
      <c r="AO445" s="1290">
        <v>9</v>
      </c>
      <c r="AP445" s="1371">
        <f>+'klikací hodnoty'!E14126</f>
        <v>-0.12977272222222219</v>
      </c>
      <c r="AQ445" s="1281">
        <f>'klikací hodnoty'!F14107</f>
        <v>-7.8316329229207032E-2</v>
      </c>
      <c r="AR445" s="1291">
        <f>O445</f>
        <v>0.8</v>
      </c>
      <c r="AS445" s="1292">
        <f>POWER(1+AR445,1/((I445-F445)/365))-1</f>
        <v>8.9345695684280857E-2</v>
      </c>
      <c r="AT445" s="1292">
        <f>J445*(1+AR445)/AO445-1</f>
        <v>1</v>
      </c>
      <c r="AU445" s="1293">
        <f>POWER(1+AT445,1/AG445)-1</f>
        <v>-0.24961750897669666</v>
      </c>
      <c r="AV445" s="1294">
        <f t="shared" si="100"/>
        <v>-0.1</v>
      </c>
      <c r="AW445" s="1295">
        <f t="shared" si="95"/>
        <v>-1.5222630501557366E-2</v>
      </c>
      <c r="AX445" s="1296">
        <f t="shared" si="107"/>
        <v>0</v>
      </c>
      <c r="AY445" s="1297">
        <f t="shared" si="108"/>
        <v>0</v>
      </c>
      <c r="AZ445" s="1298">
        <f t="shared" si="99"/>
        <v>9</v>
      </c>
      <c r="BA445" s="1299"/>
      <c r="BB445" s="1285"/>
      <c r="BC445" s="1300"/>
      <c r="BH445" s="3763"/>
      <c r="BI445" s="3763"/>
      <c r="BJ445" s="1639"/>
      <c r="BK445" s="1639"/>
      <c r="BL445" s="1639"/>
      <c r="BM445" s="1639"/>
      <c r="BN445" s="1639"/>
      <c r="BO445" s="1639"/>
      <c r="BP445" s="1639"/>
      <c r="BQ445" s="1639"/>
      <c r="BR445" s="1639"/>
      <c r="BS445" s="509"/>
      <c r="BT445" s="509"/>
      <c r="BU445" s="509"/>
      <c r="BV445" s="509"/>
      <c r="BW445" s="509"/>
      <c r="BX445" s="509"/>
      <c r="BY445" s="509"/>
      <c r="BZ445" s="509"/>
      <c r="CA445" s="509"/>
      <c r="CB445" s="509"/>
      <c r="CC445" s="509"/>
      <c r="CD445" s="509"/>
      <c r="CE445" s="509"/>
      <c r="CF445" s="509"/>
      <c r="CG445" s="509"/>
      <c r="CH445" s="509"/>
      <c r="CI445" s="509"/>
      <c r="CJ445" s="509"/>
      <c r="CK445" s="509"/>
      <c r="CL445" s="509"/>
      <c r="CM445" s="509"/>
      <c r="CN445" s="509"/>
      <c r="CO445" s="509"/>
      <c r="CP445" s="509"/>
      <c r="CQ445" s="509"/>
      <c r="CR445" s="509"/>
      <c r="CS445" s="509"/>
      <c r="CT445" s="509"/>
      <c r="CU445" s="509"/>
      <c r="CV445" s="509"/>
      <c r="CW445" s="509"/>
      <c r="CX445" s="509"/>
      <c r="CY445" s="509"/>
      <c r="CZ445" s="509"/>
      <c r="DA445" s="509"/>
      <c r="DB445" s="509"/>
      <c r="DC445" s="509"/>
      <c r="DD445" s="509"/>
      <c r="DE445" s="509"/>
      <c r="DF445" s="509"/>
      <c r="DG445" s="509"/>
      <c r="DH445" s="509"/>
      <c r="DI445" s="509"/>
      <c r="DJ445" s="509"/>
      <c r="DK445" s="509"/>
      <c r="DL445" s="509"/>
      <c r="DM445" s="509"/>
      <c r="DN445" s="509"/>
      <c r="DO445" s="509"/>
      <c r="DP445" s="509"/>
      <c r="DQ445" s="509"/>
      <c r="DR445" s="509"/>
      <c r="DS445" s="509"/>
      <c r="DT445" s="509"/>
      <c r="DU445" s="509"/>
      <c r="DV445" s="509"/>
      <c r="DW445" s="509"/>
      <c r="DX445" s="509"/>
      <c r="DY445" s="509"/>
      <c r="DZ445" s="509"/>
      <c r="EA445" s="509"/>
      <c r="EB445" s="509"/>
      <c r="EC445" s="509"/>
      <c r="ED445" s="509"/>
      <c r="EE445" s="509"/>
      <c r="EF445" s="509"/>
      <c r="EG445" s="509"/>
      <c r="EH445" s="509"/>
      <c r="EI445" s="509"/>
      <c r="EJ445" s="509"/>
      <c r="EK445" s="509"/>
      <c r="EL445" s="509"/>
      <c r="EM445" s="509"/>
      <c r="EN445" s="509"/>
      <c r="EO445" s="509"/>
      <c r="EP445" s="509"/>
      <c r="EQ445" s="509"/>
      <c r="ER445" s="509"/>
      <c r="ES445" s="509"/>
      <c r="ET445" s="509"/>
      <c r="EU445" s="509"/>
      <c r="EV445" s="509"/>
      <c r="EW445" s="509"/>
      <c r="EX445" s="509"/>
      <c r="EY445" s="509"/>
      <c r="EZ445" s="509"/>
      <c r="FA445" s="509"/>
      <c r="FB445" s="509"/>
      <c r="FC445" s="509"/>
      <c r="FD445" s="509"/>
      <c r="FE445" s="509"/>
      <c r="FF445" s="509"/>
      <c r="FG445" s="509"/>
      <c r="FH445" s="509"/>
      <c r="FI445" s="509"/>
      <c r="FJ445" s="509"/>
      <c r="FK445" s="509"/>
      <c r="FL445" s="509"/>
      <c r="FM445" s="509"/>
      <c r="FN445" s="509"/>
      <c r="FO445" s="509"/>
      <c r="FP445" s="509"/>
      <c r="FQ445" s="509"/>
      <c r="FR445" s="509"/>
      <c r="FS445" s="509"/>
      <c r="FT445" s="509"/>
      <c r="FU445" s="509"/>
      <c r="FV445" s="509"/>
      <c r="FW445" s="509"/>
      <c r="FX445" s="509"/>
      <c r="FY445" s="509"/>
      <c r="FZ445" s="509"/>
      <c r="GA445" s="509"/>
      <c r="GB445" s="509"/>
      <c r="GC445" s="509"/>
      <c r="GD445" s="509"/>
      <c r="GE445" s="509"/>
      <c r="GF445" s="509"/>
      <c r="GG445" s="509"/>
      <c r="GH445" s="509"/>
      <c r="GI445" s="509"/>
      <c r="GJ445" s="509"/>
      <c r="GK445" s="509"/>
      <c r="GL445" s="509"/>
      <c r="GM445" s="509"/>
      <c r="GN445" s="509"/>
      <c r="GO445" s="509"/>
      <c r="GP445" s="509"/>
      <c r="GQ445" s="509"/>
      <c r="GR445" s="509"/>
      <c r="GS445" s="509"/>
      <c r="GT445" s="509"/>
      <c r="GU445" s="509"/>
      <c r="GV445" s="509"/>
      <c r="GW445" s="509"/>
      <c r="GX445" s="509"/>
      <c r="GY445" s="509"/>
      <c r="GZ445" s="509"/>
      <c r="HA445" s="509"/>
      <c r="HB445" s="509"/>
      <c r="HC445" s="509"/>
      <c r="HD445" s="509"/>
      <c r="HE445" s="509"/>
      <c r="HF445" s="509"/>
      <c r="HG445" s="509"/>
      <c r="HH445" s="509"/>
      <c r="HI445" s="509"/>
      <c r="HJ445" s="509"/>
      <c r="HK445" s="509"/>
      <c r="HL445" s="509"/>
      <c r="HM445" s="509"/>
      <c r="HN445" s="509"/>
      <c r="HO445" s="509"/>
      <c r="HP445" s="509"/>
      <c r="HQ445" s="509"/>
      <c r="HR445" s="509"/>
      <c r="HS445" s="509"/>
      <c r="HT445" s="509"/>
      <c r="HU445" s="509"/>
      <c r="HV445" s="509"/>
      <c r="HW445" s="509"/>
      <c r="HX445" s="509"/>
      <c r="HY445" s="509"/>
      <c r="HZ445" s="509"/>
    </row>
    <row r="446" spans="1:234" ht="13.5" hidden="1" customHeight="1" x14ac:dyDescent="0.25">
      <c r="A446" s="1270" t="s">
        <v>6632</v>
      </c>
      <c r="B446" s="1271" t="s">
        <v>6633</v>
      </c>
      <c r="C446" s="1272" t="s">
        <v>6634</v>
      </c>
      <c r="D446" s="1273" t="s">
        <v>189</v>
      </c>
      <c r="E446" s="1272" t="s">
        <v>3228</v>
      </c>
      <c r="F446" s="1274">
        <v>42041</v>
      </c>
      <c r="G446" s="1275">
        <v>41974</v>
      </c>
      <c r="H446" s="1274">
        <v>42034</v>
      </c>
      <c r="I446" s="1276">
        <v>44165</v>
      </c>
      <c r="J446" s="1277">
        <v>10</v>
      </c>
      <c r="K446" s="1278" t="s">
        <v>3229</v>
      </c>
      <c r="L446" s="1279" t="s">
        <v>3229</v>
      </c>
      <c r="M446" s="1280">
        <v>-0.1</v>
      </c>
      <c r="N446" s="1281">
        <v>0.5</v>
      </c>
      <c r="O446" s="1282">
        <v>0.9</v>
      </c>
      <c r="P446" s="1283" t="s">
        <v>3229</v>
      </c>
      <c r="Q446" s="1283" t="s">
        <v>3229</v>
      </c>
      <c r="R446" s="1284" t="s">
        <v>3229</v>
      </c>
      <c r="S446" s="1285"/>
      <c r="T446" s="1286" t="s">
        <v>3229</v>
      </c>
      <c r="U446" s="1286" t="s">
        <v>3229</v>
      </c>
      <c r="V446" s="1286" t="s">
        <v>3229</v>
      </c>
      <c r="W446" s="1286" t="s">
        <v>3229</v>
      </c>
      <c r="X446" s="1286" t="s">
        <v>3229</v>
      </c>
      <c r="Y446" s="1286" t="s">
        <v>3229</v>
      </c>
      <c r="Z446" s="1286" t="s">
        <v>3229</v>
      </c>
      <c r="AA446" s="1286" t="s">
        <v>3229</v>
      </c>
      <c r="AB446" s="1286" t="s">
        <v>3229</v>
      </c>
      <c r="AC446" s="1286" t="s">
        <v>3229</v>
      </c>
      <c r="AD446" s="1286" t="s">
        <v>3229</v>
      </c>
      <c r="AE446" s="1286" t="s">
        <v>3229</v>
      </c>
      <c r="AF446" s="3764" t="s">
        <v>781</v>
      </c>
      <c r="AG446" s="3765"/>
      <c r="AH446" s="1287" t="s">
        <v>3229</v>
      </c>
      <c r="AI446" s="1288" t="s">
        <v>3229</v>
      </c>
      <c r="AJ446" s="1288" t="s">
        <v>3229</v>
      </c>
      <c r="AK446" s="1288" t="s">
        <v>3229</v>
      </c>
      <c r="AL446" s="1288" t="s">
        <v>3229</v>
      </c>
      <c r="AM446" s="1288">
        <v>1</v>
      </c>
      <c r="AN446" s="1289">
        <f>'klikací hodnoty'!F13819</f>
        <v>-0.1</v>
      </c>
      <c r="AO446" s="1290">
        <v>8.85</v>
      </c>
      <c r="AP446" s="1371">
        <f>+'klikací hodnoty'!F13818</f>
        <v>-0.11882022222222223</v>
      </c>
      <c r="AQ446" s="1281">
        <f>'klikací hodnoty'!F13799</f>
        <v>-0.2444867246033364</v>
      </c>
      <c r="AR446" s="1291">
        <f>O446</f>
        <v>0.9</v>
      </c>
      <c r="AS446" s="1292">
        <f>POWER(1+AR446,1/((I446-F446)/365))-1</f>
        <v>0.11661272467672523</v>
      </c>
      <c r="AT446" s="1292">
        <f>J446*(1+AR446)/AO446-1</f>
        <v>1.1468926553672318</v>
      </c>
      <c r="AU446" s="1293" t="e">
        <f>POWER(1+AT446,1/AG446)-1</f>
        <v>#DIV/0!</v>
      </c>
      <c r="AV446" s="1294">
        <f t="shared" si="100"/>
        <v>-0.1</v>
      </c>
      <c r="AW446" s="1295">
        <f t="shared" si="95"/>
        <v>-1.7942814219684355E-2</v>
      </c>
      <c r="AX446" s="1296">
        <f t="shared" si="107"/>
        <v>1.6949152542372836E-2</v>
      </c>
      <c r="AY446" s="1297" t="e">
        <f t="shared" si="108"/>
        <v>#DIV/0!</v>
      </c>
      <c r="AZ446" s="1298">
        <f t="shared" ref="AZ446:AZ453" si="109">J446*(1+AV446)</f>
        <v>9</v>
      </c>
      <c r="BA446" s="1299"/>
      <c r="BB446" s="1285"/>
      <c r="BC446" s="1300"/>
      <c r="BH446" s="3763"/>
      <c r="BI446" s="3763"/>
      <c r="BJ446" s="1639"/>
      <c r="BK446" s="1639"/>
      <c r="BL446" s="1639"/>
      <c r="BM446" s="1639"/>
      <c r="BN446" s="1639"/>
      <c r="BO446" s="1639"/>
      <c r="BP446" s="1639"/>
      <c r="BQ446" s="1639"/>
      <c r="BR446" s="1639"/>
      <c r="BS446" s="509"/>
      <c r="BT446" s="509"/>
      <c r="BU446" s="509"/>
      <c r="BV446" s="509"/>
      <c r="BW446" s="509"/>
      <c r="BX446" s="509"/>
      <c r="BY446" s="509"/>
      <c r="BZ446" s="509"/>
      <c r="CA446" s="509"/>
      <c r="CB446" s="509"/>
      <c r="CC446" s="509"/>
      <c r="CD446" s="509"/>
      <c r="CE446" s="509"/>
      <c r="CF446" s="509"/>
      <c r="CG446" s="509"/>
      <c r="CH446" s="509"/>
      <c r="CI446" s="509"/>
      <c r="CJ446" s="509"/>
      <c r="CK446" s="509"/>
      <c r="CL446" s="509"/>
      <c r="CM446" s="509"/>
      <c r="CN446" s="509"/>
      <c r="CO446" s="509"/>
      <c r="CP446" s="509"/>
      <c r="CQ446" s="509"/>
      <c r="CR446" s="509"/>
      <c r="CS446" s="509"/>
      <c r="CT446" s="509"/>
      <c r="CU446" s="509"/>
      <c r="CV446" s="509"/>
      <c r="CW446" s="509"/>
      <c r="CX446" s="509"/>
      <c r="CY446" s="509"/>
      <c r="CZ446" s="509"/>
      <c r="DA446" s="509"/>
      <c r="DB446" s="509"/>
      <c r="DC446" s="509"/>
      <c r="DD446" s="509"/>
      <c r="DE446" s="509"/>
      <c r="DF446" s="509"/>
      <c r="DG446" s="509"/>
      <c r="DH446" s="509"/>
      <c r="DI446" s="509"/>
      <c r="DJ446" s="509"/>
      <c r="DK446" s="509"/>
      <c r="DL446" s="509"/>
      <c r="DM446" s="509"/>
      <c r="DN446" s="509"/>
      <c r="DO446" s="509"/>
      <c r="DP446" s="509"/>
      <c r="DQ446" s="509"/>
      <c r="DR446" s="509"/>
      <c r="DS446" s="509"/>
      <c r="DT446" s="509"/>
      <c r="DU446" s="509"/>
      <c r="DV446" s="509"/>
      <c r="DW446" s="509"/>
      <c r="DX446" s="509"/>
      <c r="DY446" s="509"/>
      <c r="DZ446" s="509"/>
      <c r="EA446" s="509"/>
      <c r="EB446" s="509"/>
      <c r="EC446" s="509"/>
      <c r="ED446" s="509"/>
      <c r="EE446" s="509"/>
      <c r="EF446" s="509"/>
      <c r="EG446" s="509"/>
      <c r="EH446" s="509"/>
      <c r="EI446" s="509"/>
      <c r="EJ446" s="509"/>
      <c r="EK446" s="509"/>
      <c r="EL446" s="509"/>
      <c r="EM446" s="509"/>
      <c r="EN446" s="509"/>
      <c r="EO446" s="509"/>
      <c r="EP446" s="509"/>
      <c r="EQ446" s="509"/>
      <c r="ER446" s="509"/>
      <c r="ES446" s="509"/>
      <c r="ET446" s="509"/>
      <c r="EU446" s="509"/>
      <c r="EV446" s="509"/>
      <c r="EW446" s="509"/>
      <c r="EX446" s="509"/>
      <c r="EY446" s="509"/>
      <c r="EZ446" s="509"/>
      <c r="FA446" s="509"/>
      <c r="FB446" s="509"/>
      <c r="FC446" s="509"/>
      <c r="FD446" s="509"/>
      <c r="FE446" s="509"/>
      <c r="FF446" s="509"/>
      <c r="FG446" s="509"/>
      <c r="FH446" s="509"/>
      <c r="FI446" s="509"/>
      <c r="FJ446" s="509"/>
      <c r="FK446" s="509"/>
      <c r="FL446" s="509"/>
      <c r="FM446" s="509"/>
      <c r="FN446" s="509"/>
      <c r="FO446" s="509"/>
      <c r="FP446" s="509"/>
      <c r="FQ446" s="509"/>
      <c r="FR446" s="509"/>
      <c r="FS446" s="509"/>
      <c r="FT446" s="509"/>
      <c r="FU446" s="509"/>
      <c r="FV446" s="509"/>
      <c r="FW446" s="509"/>
      <c r="FX446" s="509"/>
      <c r="FY446" s="509"/>
      <c r="FZ446" s="509"/>
      <c r="GA446" s="509"/>
      <c r="GB446" s="509"/>
      <c r="GC446" s="509"/>
      <c r="GD446" s="509"/>
      <c r="GE446" s="509"/>
      <c r="GF446" s="509"/>
      <c r="GG446" s="509"/>
      <c r="GH446" s="509"/>
      <c r="GI446" s="509"/>
      <c r="GJ446" s="509"/>
      <c r="GK446" s="509"/>
      <c r="GL446" s="509"/>
      <c r="GM446" s="509"/>
      <c r="GN446" s="509"/>
      <c r="GO446" s="509"/>
      <c r="GP446" s="509"/>
      <c r="GQ446" s="509"/>
      <c r="GR446" s="509"/>
      <c r="GS446" s="509"/>
      <c r="GT446" s="509"/>
      <c r="GU446" s="509"/>
      <c r="GV446" s="509"/>
      <c r="GW446" s="509"/>
      <c r="GX446" s="509"/>
      <c r="GY446" s="509"/>
      <c r="GZ446" s="509"/>
      <c r="HA446" s="509"/>
      <c r="HB446" s="509"/>
      <c r="HC446" s="509"/>
      <c r="HD446" s="509"/>
      <c r="HE446" s="509"/>
      <c r="HF446" s="509"/>
      <c r="HG446" s="509"/>
      <c r="HH446" s="509"/>
      <c r="HI446" s="509"/>
      <c r="HJ446" s="509"/>
      <c r="HK446" s="509"/>
      <c r="HL446" s="509"/>
      <c r="HM446" s="509"/>
      <c r="HN446" s="509"/>
      <c r="HO446" s="509"/>
      <c r="HP446" s="509"/>
      <c r="HQ446" s="509"/>
      <c r="HR446" s="509"/>
      <c r="HS446" s="509"/>
      <c r="HT446" s="509"/>
      <c r="HU446" s="509"/>
      <c r="HV446" s="509"/>
      <c r="HW446" s="509"/>
      <c r="HX446" s="509"/>
      <c r="HY446" s="509"/>
      <c r="HZ446" s="509"/>
    </row>
    <row r="447" spans="1:234" ht="13.5" hidden="1" customHeight="1" x14ac:dyDescent="0.25">
      <c r="A447" s="1270" t="s">
        <v>6658</v>
      </c>
      <c r="B447" s="1271" t="s">
        <v>6659</v>
      </c>
      <c r="C447" s="1272" t="s">
        <v>6660</v>
      </c>
      <c r="D447" s="1273" t="s">
        <v>189</v>
      </c>
      <c r="E447" s="1272" t="s">
        <v>3228</v>
      </c>
      <c r="F447" s="1274">
        <v>42069</v>
      </c>
      <c r="G447" s="1275">
        <v>42005</v>
      </c>
      <c r="H447" s="1274">
        <v>42062</v>
      </c>
      <c r="I447" s="1276">
        <v>44225</v>
      </c>
      <c r="J447" s="1277">
        <v>10</v>
      </c>
      <c r="K447" s="1278" t="s">
        <v>3229</v>
      </c>
      <c r="L447" s="1279" t="s">
        <v>3229</v>
      </c>
      <c r="M447" s="1280">
        <v>-1</v>
      </c>
      <c r="N447" s="1281">
        <v>1</v>
      </c>
      <c r="O447" s="1282" t="s">
        <v>3229</v>
      </c>
      <c r="P447" s="1283" t="s">
        <v>3229</v>
      </c>
      <c r="Q447" s="1283" t="s">
        <v>3229</v>
      </c>
      <c r="R447" s="1284" t="s">
        <v>3229</v>
      </c>
      <c r="S447" s="1285"/>
      <c r="T447" s="1286" t="s">
        <v>3229</v>
      </c>
      <c r="U447" s="1286" t="s">
        <v>3229</v>
      </c>
      <c r="V447" s="1286" t="s">
        <v>3229</v>
      </c>
      <c r="W447" s="1286" t="s">
        <v>3229</v>
      </c>
      <c r="X447" s="1286" t="s">
        <v>3229</v>
      </c>
      <c r="Y447" s="1286" t="s">
        <v>3229</v>
      </c>
      <c r="Z447" s="1286" t="s">
        <v>3229</v>
      </c>
      <c r="AA447" s="1286" t="s">
        <v>3229</v>
      </c>
      <c r="AB447" s="1286" t="s">
        <v>3229</v>
      </c>
      <c r="AC447" s="1286" t="s">
        <v>3229</v>
      </c>
      <c r="AD447" s="1286" t="s">
        <v>3229</v>
      </c>
      <c r="AE447" s="1286" t="s">
        <v>3229</v>
      </c>
      <c r="AF447" s="3764" t="s">
        <v>781</v>
      </c>
      <c r="AG447" s="3765"/>
      <c r="AH447" s="1287" t="s">
        <v>3229</v>
      </c>
      <c r="AI447" s="1288" t="s">
        <v>3229</v>
      </c>
      <c r="AJ447" s="1288" t="s">
        <v>3229</v>
      </c>
      <c r="AK447" s="1288" t="s">
        <v>3229</v>
      </c>
      <c r="AL447" s="1288" t="s">
        <v>3229</v>
      </c>
      <c r="AM447" s="1288">
        <v>1</v>
      </c>
      <c r="AN447" s="1289">
        <f>'klikací hodnoty'!F14251</f>
        <v>-1.1445666666666625E-2</v>
      </c>
      <c r="AO447" s="1290">
        <v>9.89</v>
      </c>
      <c r="AP447" s="1371">
        <f>'klikací hodnoty'!F14250</f>
        <v>-1.1445666666666625E-2</v>
      </c>
      <c r="AQ447" s="1281">
        <f>'klikací hodnoty'!F14231</f>
        <v>-0.17703571714752508</v>
      </c>
      <c r="AR447" s="1291" t="s">
        <v>3660</v>
      </c>
      <c r="AS447" s="1292"/>
      <c r="AT447" s="1292"/>
      <c r="AU447" s="1293"/>
      <c r="AV447" s="1294">
        <f>M447</f>
        <v>-1</v>
      </c>
      <c r="AW447" s="1295">
        <f>POWER(1+AV447,1/((I447-F447)/365))-1</f>
        <v>-1</v>
      </c>
      <c r="AX447" s="1296">
        <f>J447*(1+AV447)/AO447-1</f>
        <v>-1</v>
      </c>
      <c r="AY447" s="1297" t="e">
        <f>POWER(1+AX447,1/AG447)-1</f>
        <v>#DIV/0!</v>
      </c>
      <c r="AZ447" s="1298">
        <f t="shared" si="109"/>
        <v>0</v>
      </c>
      <c r="BA447" s="1299"/>
      <c r="BB447" s="1285"/>
      <c r="BC447" s="1300"/>
      <c r="BH447" s="3763"/>
      <c r="BI447" s="3763"/>
      <c r="BJ447" s="1639"/>
      <c r="BK447" s="1639"/>
      <c r="BL447" s="1639"/>
      <c r="BM447" s="1639"/>
      <c r="BN447" s="1639"/>
      <c r="BO447" s="1639"/>
      <c r="BP447" s="1639"/>
      <c r="BQ447" s="1639"/>
      <c r="BR447" s="1639"/>
      <c r="BS447" s="509"/>
      <c r="BT447" s="509"/>
      <c r="BU447" s="509"/>
      <c r="BV447" s="509"/>
      <c r="BW447" s="509"/>
      <c r="BX447" s="509"/>
      <c r="BY447" s="509"/>
      <c r="BZ447" s="509"/>
      <c r="CA447" s="509"/>
      <c r="CB447" s="509"/>
      <c r="CC447" s="509"/>
      <c r="CD447" s="509"/>
      <c r="CE447" s="509"/>
      <c r="CF447" s="509"/>
      <c r="CG447" s="509"/>
      <c r="CH447" s="509"/>
      <c r="CI447" s="509"/>
      <c r="CJ447" s="509"/>
      <c r="CK447" s="509"/>
      <c r="CL447" s="509"/>
      <c r="CM447" s="509"/>
      <c r="CN447" s="509"/>
      <c r="CO447" s="509"/>
      <c r="CP447" s="509"/>
      <c r="CQ447" s="509"/>
      <c r="CR447" s="509"/>
      <c r="CS447" s="509"/>
      <c r="CT447" s="509"/>
      <c r="CU447" s="509"/>
      <c r="CV447" s="509"/>
      <c r="CW447" s="509"/>
      <c r="CX447" s="509"/>
      <c r="CY447" s="509"/>
      <c r="CZ447" s="509"/>
      <c r="DA447" s="509"/>
      <c r="DB447" s="509"/>
      <c r="DC447" s="509"/>
      <c r="DD447" s="509"/>
      <c r="DE447" s="509"/>
      <c r="DF447" s="509"/>
      <c r="DG447" s="509"/>
      <c r="DH447" s="509"/>
      <c r="DI447" s="509"/>
      <c r="DJ447" s="509"/>
      <c r="DK447" s="509"/>
      <c r="DL447" s="509"/>
      <c r="DM447" s="509"/>
      <c r="DN447" s="509"/>
      <c r="DO447" s="509"/>
      <c r="DP447" s="509"/>
      <c r="DQ447" s="509"/>
      <c r="DR447" s="509"/>
      <c r="DS447" s="509"/>
      <c r="DT447" s="509"/>
      <c r="DU447" s="509"/>
      <c r="DV447" s="509"/>
      <c r="DW447" s="509"/>
      <c r="DX447" s="509"/>
      <c r="DY447" s="509"/>
      <c r="DZ447" s="509"/>
      <c r="EA447" s="509"/>
      <c r="EB447" s="509"/>
      <c r="EC447" s="509"/>
      <c r="ED447" s="509"/>
      <c r="EE447" s="509"/>
      <c r="EF447" s="509"/>
      <c r="EG447" s="509"/>
      <c r="EH447" s="509"/>
      <c r="EI447" s="509"/>
      <c r="EJ447" s="509"/>
      <c r="EK447" s="509"/>
      <c r="EL447" s="509"/>
      <c r="EM447" s="509"/>
      <c r="EN447" s="509"/>
      <c r="EO447" s="509"/>
      <c r="EP447" s="509"/>
      <c r="EQ447" s="509"/>
      <c r="ER447" s="509"/>
      <c r="ES447" s="509"/>
      <c r="ET447" s="509"/>
      <c r="EU447" s="509"/>
      <c r="EV447" s="509"/>
      <c r="EW447" s="509"/>
      <c r="EX447" s="509"/>
      <c r="EY447" s="509"/>
      <c r="EZ447" s="509"/>
      <c r="FA447" s="509"/>
      <c r="FB447" s="509"/>
      <c r="FC447" s="509"/>
      <c r="FD447" s="509"/>
      <c r="FE447" s="509"/>
      <c r="FF447" s="509"/>
      <c r="FG447" s="509"/>
      <c r="FH447" s="509"/>
      <c r="FI447" s="509"/>
      <c r="FJ447" s="509"/>
      <c r="FK447" s="509"/>
      <c r="FL447" s="509"/>
      <c r="FM447" s="509"/>
      <c r="FN447" s="509"/>
      <c r="FO447" s="509"/>
      <c r="FP447" s="509"/>
      <c r="FQ447" s="509"/>
      <c r="FR447" s="509"/>
      <c r="FS447" s="509"/>
      <c r="FT447" s="509"/>
      <c r="FU447" s="509"/>
      <c r="FV447" s="509"/>
      <c r="FW447" s="509"/>
      <c r="FX447" s="509"/>
      <c r="FY447" s="509"/>
      <c r="FZ447" s="509"/>
      <c r="GA447" s="509"/>
      <c r="GB447" s="509"/>
      <c r="GC447" s="509"/>
      <c r="GD447" s="509"/>
      <c r="GE447" s="509"/>
      <c r="GF447" s="509"/>
      <c r="GG447" s="509"/>
      <c r="GH447" s="509"/>
      <c r="GI447" s="509"/>
      <c r="GJ447" s="509"/>
      <c r="GK447" s="509"/>
      <c r="GL447" s="509"/>
      <c r="GM447" s="509"/>
      <c r="GN447" s="509"/>
      <c r="GO447" s="509"/>
      <c r="GP447" s="509"/>
      <c r="GQ447" s="509"/>
      <c r="GR447" s="509"/>
      <c r="GS447" s="509"/>
      <c r="GT447" s="509"/>
      <c r="GU447" s="509"/>
      <c r="GV447" s="509"/>
      <c r="GW447" s="509"/>
      <c r="GX447" s="509"/>
      <c r="GY447" s="509"/>
      <c r="GZ447" s="509"/>
      <c r="HA447" s="509"/>
      <c r="HB447" s="509"/>
      <c r="HC447" s="509"/>
      <c r="HD447" s="509"/>
      <c r="HE447" s="509"/>
      <c r="HF447" s="509"/>
      <c r="HG447" s="509"/>
      <c r="HH447" s="509"/>
      <c r="HI447" s="509"/>
      <c r="HJ447" s="509"/>
      <c r="HK447" s="509"/>
      <c r="HL447" s="509"/>
      <c r="HM447" s="509"/>
      <c r="HN447" s="509"/>
      <c r="HO447" s="509"/>
      <c r="HP447" s="509"/>
      <c r="HQ447" s="509"/>
      <c r="HR447" s="509"/>
      <c r="HS447" s="509"/>
      <c r="HT447" s="509"/>
      <c r="HU447" s="509"/>
      <c r="HV447" s="509"/>
      <c r="HW447" s="509"/>
      <c r="HX447" s="509"/>
      <c r="HY447" s="509"/>
      <c r="HZ447" s="509"/>
    </row>
    <row r="448" spans="1:234" ht="13.5" hidden="1" customHeight="1" x14ac:dyDescent="0.25">
      <c r="A448" s="1270" t="s">
        <v>6661</v>
      </c>
      <c r="B448" s="1271" t="s">
        <v>6662</v>
      </c>
      <c r="C448" s="1272" t="s">
        <v>6663</v>
      </c>
      <c r="D448" s="1273" t="s">
        <v>6934</v>
      </c>
      <c r="E448" s="1272" t="s">
        <v>3228</v>
      </c>
      <c r="F448" s="1274">
        <v>42067</v>
      </c>
      <c r="G448" s="1275">
        <v>42005</v>
      </c>
      <c r="H448" s="1274">
        <v>42062</v>
      </c>
      <c r="I448" s="1276">
        <v>44439</v>
      </c>
      <c r="J448" s="1277">
        <v>10</v>
      </c>
      <c r="K448" s="1278" t="s">
        <v>3229</v>
      </c>
      <c r="L448" s="1279" t="s">
        <v>3229</v>
      </c>
      <c r="M448" s="1280">
        <v>-0.05</v>
      </c>
      <c r="N448" s="1281">
        <v>0.5</v>
      </c>
      <c r="O448" s="1282">
        <v>0.8</v>
      </c>
      <c r="P448" s="1283" t="s">
        <v>3229</v>
      </c>
      <c r="Q448" s="1283" t="s">
        <v>3229</v>
      </c>
      <c r="R448" s="1284" t="s">
        <v>3229</v>
      </c>
      <c r="S448" s="1285"/>
      <c r="T448" s="1286" t="s">
        <v>3229</v>
      </c>
      <c r="U448" s="1286" t="s">
        <v>3229</v>
      </c>
      <c r="V448" s="1286" t="s">
        <v>3229</v>
      </c>
      <c r="W448" s="1286" t="s">
        <v>3229</v>
      </c>
      <c r="X448" s="1286" t="s">
        <v>3229</v>
      </c>
      <c r="Y448" s="1286" t="s">
        <v>3229</v>
      </c>
      <c r="Z448" s="1286" t="s">
        <v>3229</v>
      </c>
      <c r="AA448" s="1286" t="s">
        <v>3229</v>
      </c>
      <c r="AB448" s="1286" t="s">
        <v>3229</v>
      </c>
      <c r="AC448" s="1286" t="s">
        <v>3229</v>
      </c>
      <c r="AD448" s="1286" t="s">
        <v>3229</v>
      </c>
      <c r="AE448" s="1286" t="s">
        <v>3229</v>
      </c>
      <c r="AF448" s="3764" t="s">
        <v>781</v>
      </c>
      <c r="AG448" s="3765">
        <f>(I448-indexy!$B$1)/365</f>
        <v>-2.5753424657534247</v>
      </c>
      <c r="AH448" s="1287" t="s">
        <v>3229</v>
      </c>
      <c r="AI448" s="1288" t="s">
        <v>3229</v>
      </c>
      <c r="AJ448" s="1288" t="s">
        <v>3229</v>
      </c>
      <c r="AK448" s="1288" t="s">
        <v>3229</v>
      </c>
      <c r="AL448" s="1288" t="s">
        <v>3229</v>
      </c>
      <c r="AM448" s="1288">
        <v>1</v>
      </c>
      <c r="AN448" s="1289">
        <f>'klikací hodnoty'!F14297</f>
        <v>-0.05</v>
      </c>
      <c r="AO448" s="1290">
        <v>9.5</v>
      </c>
      <c r="AP448" s="1371">
        <f>+'klikací hodnoty'!E14296</f>
        <v>-0.20771227777777776</v>
      </c>
      <c r="AQ448" s="1281">
        <f>'klikací hodnoty'!F14277</f>
        <v>-0.1575146294371545</v>
      </c>
      <c r="AR448" s="1291">
        <f>O448</f>
        <v>0.8</v>
      </c>
      <c r="AS448" s="1292">
        <f>POWER(1+AR448,1/((I448-F448)/365))-1</f>
        <v>9.4664342098373266E-2</v>
      </c>
      <c r="AT448" s="1292">
        <f>J448*(1+AR448)/AO448-1</f>
        <v>0.89473684210526305</v>
      </c>
      <c r="AU448" s="1293">
        <f>POWER(1+AT448,1/AG448)-1</f>
        <v>-0.2197597457425311</v>
      </c>
      <c r="AV448" s="1294">
        <f t="shared" si="100"/>
        <v>-0.05</v>
      </c>
      <c r="AW448" s="1295">
        <f t="shared" si="95"/>
        <v>-7.8618720268126552E-3</v>
      </c>
      <c r="AX448" s="1296">
        <f>J448*(1+AV448)/AO448-1</f>
        <v>0</v>
      </c>
      <c r="AY448" s="1297">
        <f>POWER(1+AX448,1/AG448)-1</f>
        <v>0</v>
      </c>
      <c r="AZ448" s="1298">
        <f t="shared" si="109"/>
        <v>9.5</v>
      </c>
      <c r="BA448" s="1299"/>
      <c r="BB448" s="1285"/>
      <c r="BC448" s="1300"/>
      <c r="BH448" s="3763"/>
      <c r="BI448" s="3763"/>
      <c r="BJ448" s="1639"/>
      <c r="BK448" s="1639"/>
      <c r="BL448" s="1639"/>
      <c r="BM448" s="1639"/>
      <c r="BN448" s="1639"/>
      <c r="BO448" s="1639"/>
      <c r="BP448" s="1639"/>
      <c r="BQ448" s="1639"/>
      <c r="BR448" s="1639"/>
      <c r="BS448" s="509"/>
      <c r="BT448" s="509"/>
      <c r="BU448" s="509"/>
      <c r="BV448" s="509"/>
      <c r="BW448" s="509"/>
      <c r="BX448" s="509"/>
      <c r="BY448" s="509"/>
      <c r="BZ448" s="509"/>
      <c r="CA448" s="509"/>
      <c r="CB448" s="509"/>
      <c r="CC448" s="509"/>
      <c r="CD448" s="509"/>
      <c r="CE448" s="509"/>
      <c r="CF448" s="509"/>
      <c r="CG448" s="509"/>
      <c r="CH448" s="509"/>
      <c r="CI448" s="509"/>
      <c r="CJ448" s="509"/>
      <c r="CK448" s="509"/>
      <c r="CL448" s="509"/>
      <c r="CM448" s="509"/>
      <c r="CN448" s="509"/>
      <c r="CO448" s="509"/>
      <c r="CP448" s="509"/>
      <c r="CQ448" s="509"/>
      <c r="CR448" s="509"/>
      <c r="CS448" s="509"/>
      <c r="CT448" s="509"/>
      <c r="CU448" s="509"/>
      <c r="CV448" s="509"/>
      <c r="CW448" s="509"/>
      <c r="CX448" s="509"/>
      <c r="CY448" s="509"/>
      <c r="CZ448" s="509"/>
      <c r="DA448" s="509"/>
      <c r="DB448" s="509"/>
      <c r="DC448" s="509"/>
      <c r="DD448" s="509"/>
      <c r="DE448" s="509"/>
      <c r="DF448" s="509"/>
      <c r="DG448" s="509"/>
      <c r="DH448" s="509"/>
      <c r="DI448" s="509"/>
      <c r="DJ448" s="509"/>
      <c r="DK448" s="509"/>
      <c r="DL448" s="509"/>
      <c r="DM448" s="509"/>
      <c r="DN448" s="509"/>
      <c r="DO448" s="509"/>
      <c r="DP448" s="509"/>
      <c r="DQ448" s="509"/>
      <c r="DR448" s="509"/>
      <c r="DS448" s="509"/>
      <c r="DT448" s="509"/>
      <c r="DU448" s="509"/>
      <c r="DV448" s="509"/>
      <c r="DW448" s="509"/>
      <c r="DX448" s="509"/>
      <c r="DY448" s="509"/>
      <c r="DZ448" s="509"/>
      <c r="EA448" s="509"/>
      <c r="EB448" s="509"/>
      <c r="EC448" s="509"/>
      <c r="ED448" s="509"/>
      <c r="EE448" s="509"/>
      <c r="EF448" s="509"/>
      <c r="EG448" s="509"/>
      <c r="EH448" s="509"/>
      <c r="EI448" s="509"/>
      <c r="EJ448" s="509"/>
      <c r="EK448" s="509"/>
      <c r="EL448" s="509"/>
      <c r="EM448" s="509"/>
      <c r="EN448" s="509"/>
      <c r="EO448" s="509"/>
      <c r="EP448" s="509"/>
      <c r="EQ448" s="509"/>
      <c r="ER448" s="509"/>
      <c r="ES448" s="509"/>
      <c r="ET448" s="509"/>
      <c r="EU448" s="509"/>
      <c r="EV448" s="509"/>
      <c r="EW448" s="509"/>
      <c r="EX448" s="509"/>
      <c r="EY448" s="509"/>
      <c r="EZ448" s="509"/>
      <c r="FA448" s="509"/>
      <c r="FB448" s="509"/>
      <c r="FC448" s="509"/>
      <c r="FD448" s="509"/>
      <c r="FE448" s="509"/>
      <c r="FF448" s="509"/>
      <c r="FG448" s="509"/>
      <c r="FH448" s="509"/>
      <c r="FI448" s="509"/>
      <c r="FJ448" s="509"/>
      <c r="FK448" s="509"/>
      <c r="FL448" s="509"/>
      <c r="FM448" s="509"/>
      <c r="FN448" s="509"/>
      <c r="FO448" s="509"/>
      <c r="FP448" s="509"/>
      <c r="FQ448" s="509"/>
      <c r="FR448" s="509"/>
      <c r="FS448" s="509"/>
      <c r="FT448" s="509"/>
      <c r="FU448" s="509"/>
      <c r="FV448" s="509"/>
      <c r="FW448" s="509"/>
      <c r="FX448" s="509"/>
      <c r="FY448" s="509"/>
      <c r="FZ448" s="509"/>
      <c r="GA448" s="509"/>
      <c r="GB448" s="509"/>
      <c r="GC448" s="509"/>
      <c r="GD448" s="509"/>
      <c r="GE448" s="509"/>
      <c r="GF448" s="509"/>
      <c r="GG448" s="509"/>
      <c r="GH448" s="509"/>
      <c r="GI448" s="509"/>
      <c r="GJ448" s="509"/>
      <c r="GK448" s="509"/>
      <c r="GL448" s="509"/>
      <c r="GM448" s="509"/>
      <c r="GN448" s="509"/>
      <c r="GO448" s="509"/>
      <c r="GP448" s="509"/>
      <c r="GQ448" s="509"/>
      <c r="GR448" s="509"/>
      <c r="GS448" s="509"/>
      <c r="GT448" s="509"/>
      <c r="GU448" s="509"/>
      <c r="GV448" s="509"/>
      <c r="GW448" s="509"/>
      <c r="GX448" s="509"/>
      <c r="GY448" s="509"/>
      <c r="GZ448" s="509"/>
      <c r="HA448" s="509"/>
      <c r="HB448" s="509"/>
      <c r="HC448" s="509"/>
      <c r="HD448" s="509"/>
      <c r="HE448" s="509"/>
      <c r="HF448" s="509"/>
      <c r="HG448" s="509"/>
      <c r="HH448" s="509"/>
      <c r="HI448" s="509"/>
      <c r="HJ448" s="509"/>
      <c r="HK448" s="509"/>
      <c r="HL448" s="509"/>
      <c r="HM448" s="509"/>
      <c r="HN448" s="509"/>
      <c r="HO448" s="509"/>
      <c r="HP448" s="509"/>
      <c r="HQ448" s="509"/>
      <c r="HR448" s="509"/>
      <c r="HS448" s="509"/>
      <c r="HT448" s="509"/>
      <c r="HU448" s="509"/>
      <c r="HV448" s="509"/>
      <c r="HW448" s="509"/>
      <c r="HX448" s="509"/>
      <c r="HY448" s="509"/>
      <c r="HZ448" s="509"/>
    </row>
    <row r="449" spans="1:234" ht="13.5" hidden="1" customHeight="1" x14ac:dyDescent="0.25">
      <c r="A449" s="1270" t="s">
        <v>6664</v>
      </c>
      <c r="B449" s="1271" t="s">
        <v>6665</v>
      </c>
      <c r="C449" s="1272" t="s">
        <v>6666</v>
      </c>
      <c r="D449" s="1273" t="s">
        <v>189</v>
      </c>
      <c r="E449" s="1272" t="s">
        <v>905</v>
      </c>
      <c r="F449" s="1274">
        <v>42072</v>
      </c>
      <c r="G449" s="1275">
        <v>42016</v>
      </c>
      <c r="H449" s="1274">
        <v>42062</v>
      </c>
      <c r="I449" s="1276">
        <v>44253</v>
      </c>
      <c r="J449" s="1277">
        <v>10</v>
      </c>
      <c r="K449" s="1278" t="s">
        <v>3229</v>
      </c>
      <c r="L449" s="1279" t="s">
        <v>3229</v>
      </c>
      <c r="M449" s="1280">
        <v>-0.85</v>
      </c>
      <c r="N449" s="1281">
        <v>0.7</v>
      </c>
      <c r="O449" s="1282">
        <v>0.7</v>
      </c>
      <c r="P449" s="1283" t="s">
        <v>3229</v>
      </c>
      <c r="Q449" s="1283" t="s">
        <v>3229</v>
      </c>
      <c r="R449" s="1284" t="s">
        <v>3229</v>
      </c>
      <c r="S449" s="1285"/>
      <c r="T449" s="1286" t="s">
        <v>3229</v>
      </c>
      <c r="U449" s="1286" t="s">
        <v>3229</v>
      </c>
      <c r="V449" s="1286" t="s">
        <v>3229</v>
      </c>
      <c r="W449" s="1286" t="s">
        <v>3229</v>
      </c>
      <c r="X449" s="1286" t="s">
        <v>3229</v>
      </c>
      <c r="Y449" s="1286" t="s">
        <v>3229</v>
      </c>
      <c r="Z449" s="1286" t="s">
        <v>3229</v>
      </c>
      <c r="AA449" s="1286" t="s">
        <v>3229</v>
      </c>
      <c r="AB449" s="1286" t="s">
        <v>3229</v>
      </c>
      <c r="AC449" s="1286" t="s">
        <v>3229</v>
      </c>
      <c r="AD449" s="1286" t="s">
        <v>3229</v>
      </c>
      <c r="AE449" s="1286" t="s">
        <v>3229</v>
      </c>
      <c r="AF449" s="3764" t="s">
        <v>781</v>
      </c>
      <c r="AG449" s="3765"/>
      <c r="AH449" s="1287" t="s">
        <v>3229</v>
      </c>
      <c r="AI449" s="1288" t="s">
        <v>3229</v>
      </c>
      <c r="AJ449" s="1288" t="s">
        <v>3229</v>
      </c>
      <c r="AK449" s="1288" t="s">
        <v>3229</v>
      </c>
      <c r="AL449" s="1288" t="s">
        <v>3229</v>
      </c>
      <c r="AM449" s="1288">
        <v>1</v>
      </c>
      <c r="AN449" s="1289">
        <f>'klikací hodnoty'!F14195</f>
        <v>0</v>
      </c>
      <c r="AO449" s="1290">
        <v>10</v>
      </c>
      <c r="AP449" s="1371">
        <f>+'klikací hodnoty'!F14193</f>
        <v>-7.7889381773329602E-2</v>
      </c>
      <c r="AQ449" s="1281">
        <f>+'klikací hodnoty'!H14193</f>
        <v>-3.9581563179325374E-2</v>
      </c>
      <c r="AR449" s="1291">
        <f>O449</f>
        <v>0.7</v>
      </c>
      <c r="AS449" s="1292">
        <f>POWER(1+AR449,1/((I449-F449)/365))-1</f>
        <v>9.2865324931157955E-2</v>
      </c>
      <c r="AT449" s="1292">
        <f>J449*(1+AR449)/AO449-1</f>
        <v>0.7</v>
      </c>
      <c r="AU449" s="1293" t="e">
        <f>POWER(1+AT449,1/AG449)-1</f>
        <v>#DIV/0!</v>
      </c>
      <c r="AV449" s="1294">
        <f t="shared" ref="AV449:AV454" si="110">M449</f>
        <v>-0.85</v>
      </c>
      <c r="AW449" s="1295">
        <f t="shared" ref="AW449:AW454" si="111">POWER(1+AV449,1/((I449-F449)/365))-1</f>
        <v>-0.27202707573588369</v>
      </c>
      <c r="AX449" s="1296">
        <f>J449*(1+AV449)/AO449-1</f>
        <v>-0.85</v>
      </c>
      <c r="AY449" s="1297" t="e">
        <f>POWER(1+AX449,1/AG449)-1</f>
        <v>#DIV/0!</v>
      </c>
      <c r="AZ449" s="1298">
        <f t="shared" si="109"/>
        <v>1.5000000000000002</v>
      </c>
      <c r="BA449" s="1299"/>
      <c r="BB449" s="1285"/>
      <c r="BC449" s="1300"/>
      <c r="BH449" s="3763"/>
      <c r="BI449" s="3763"/>
      <c r="BJ449" s="1639"/>
      <c r="BK449" s="1639"/>
      <c r="BL449" s="1639"/>
      <c r="BM449" s="1639"/>
      <c r="BN449" s="1639"/>
      <c r="BO449" s="1639"/>
      <c r="BP449" s="1639"/>
      <c r="BQ449" s="1639"/>
      <c r="BR449" s="1639"/>
      <c r="BS449" s="509"/>
      <c r="BT449" s="509"/>
      <c r="BU449" s="509"/>
      <c r="BV449" s="509"/>
      <c r="BW449" s="509"/>
      <c r="BX449" s="509"/>
      <c r="BY449" s="509"/>
      <c r="BZ449" s="509"/>
      <c r="CA449" s="509"/>
      <c r="CB449" s="509"/>
      <c r="CC449" s="509"/>
      <c r="CD449" s="509"/>
      <c r="CE449" s="509"/>
      <c r="CF449" s="509"/>
      <c r="CG449" s="509"/>
      <c r="CH449" s="509"/>
      <c r="CI449" s="509"/>
      <c r="CJ449" s="509"/>
      <c r="CK449" s="509"/>
      <c r="CL449" s="509"/>
      <c r="CM449" s="509"/>
      <c r="CN449" s="509"/>
      <c r="CO449" s="509"/>
      <c r="CP449" s="509"/>
      <c r="CQ449" s="509"/>
      <c r="CR449" s="509"/>
      <c r="CS449" s="509"/>
      <c r="CT449" s="509"/>
      <c r="CU449" s="509"/>
      <c r="CV449" s="509"/>
      <c r="CW449" s="509"/>
      <c r="CX449" s="509"/>
      <c r="CY449" s="509"/>
      <c r="CZ449" s="509"/>
      <c r="DA449" s="509"/>
      <c r="DB449" s="509"/>
      <c r="DC449" s="509"/>
      <c r="DD449" s="509"/>
      <c r="DE449" s="509"/>
      <c r="DF449" s="509"/>
      <c r="DG449" s="509"/>
      <c r="DH449" s="509"/>
      <c r="DI449" s="509"/>
      <c r="DJ449" s="509"/>
      <c r="DK449" s="509"/>
      <c r="DL449" s="509"/>
      <c r="DM449" s="509"/>
      <c r="DN449" s="509"/>
      <c r="DO449" s="509"/>
      <c r="DP449" s="509"/>
      <c r="DQ449" s="509"/>
      <c r="DR449" s="509"/>
      <c r="DS449" s="509"/>
      <c r="DT449" s="509"/>
      <c r="DU449" s="509"/>
      <c r="DV449" s="509"/>
      <c r="DW449" s="509"/>
      <c r="DX449" s="509"/>
      <c r="DY449" s="509"/>
      <c r="DZ449" s="509"/>
      <c r="EA449" s="509"/>
      <c r="EB449" s="509"/>
      <c r="EC449" s="509"/>
      <c r="ED449" s="509"/>
      <c r="EE449" s="509"/>
      <c r="EF449" s="509"/>
      <c r="EG449" s="509"/>
      <c r="EH449" s="509"/>
      <c r="EI449" s="509"/>
      <c r="EJ449" s="509"/>
      <c r="EK449" s="509"/>
      <c r="EL449" s="509"/>
      <c r="EM449" s="509"/>
      <c r="EN449" s="509"/>
      <c r="EO449" s="509"/>
      <c r="EP449" s="509"/>
      <c r="EQ449" s="509"/>
      <c r="ER449" s="509"/>
      <c r="ES449" s="509"/>
      <c r="ET449" s="509"/>
      <c r="EU449" s="509"/>
      <c r="EV449" s="509"/>
      <c r="EW449" s="509"/>
      <c r="EX449" s="509"/>
      <c r="EY449" s="509"/>
      <c r="EZ449" s="509"/>
      <c r="FA449" s="509"/>
      <c r="FB449" s="509"/>
      <c r="FC449" s="509"/>
      <c r="FD449" s="509"/>
      <c r="FE449" s="509"/>
      <c r="FF449" s="509"/>
      <c r="FG449" s="509"/>
      <c r="FH449" s="509"/>
      <c r="FI449" s="509"/>
      <c r="FJ449" s="509"/>
      <c r="FK449" s="509"/>
      <c r="FL449" s="509"/>
      <c r="FM449" s="509"/>
      <c r="FN449" s="509"/>
      <c r="FO449" s="509"/>
      <c r="FP449" s="509"/>
      <c r="FQ449" s="509"/>
      <c r="FR449" s="509"/>
      <c r="FS449" s="509"/>
      <c r="FT449" s="509"/>
      <c r="FU449" s="509"/>
      <c r="FV449" s="509"/>
      <c r="FW449" s="509"/>
      <c r="FX449" s="509"/>
      <c r="FY449" s="509"/>
      <c r="FZ449" s="509"/>
      <c r="GA449" s="509"/>
      <c r="GB449" s="509"/>
      <c r="GC449" s="509"/>
      <c r="GD449" s="509"/>
      <c r="GE449" s="509"/>
      <c r="GF449" s="509"/>
      <c r="GG449" s="509"/>
      <c r="GH449" s="509"/>
      <c r="GI449" s="509"/>
      <c r="GJ449" s="509"/>
      <c r="GK449" s="509"/>
      <c r="GL449" s="509"/>
      <c r="GM449" s="509"/>
      <c r="GN449" s="509"/>
      <c r="GO449" s="509"/>
      <c r="GP449" s="509"/>
      <c r="GQ449" s="509"/>
      <c r="GR449" s="509"/>
      <c r="GS449" s="509"/>
      <c r="GT449" s="509"/>
      <c r="GU449" s="509"/>
      <c r="GV449" s="509"/>
      <c r="GW449" s="509"/>
      <c r="GX449" s="509"/>
      <c r="GY449" s="509"/>
      <c r="GZ449" s="509"/>
      <c r="HA449" s="509"/>
      <c r="HB449" s="509"/>
      <c r="HC449" s="509"/>
      <c r="HD449" s="509"/>
      <c r="HE449" s="509"/>
      <c r="HF449" s="509"/>
      <c r="HG449" s="509"/>
      <c r="HH449" s="509"/>
      <c r="HI449" s="509"/>
      <c r="HJ449" s="509"/>
      <c r="HK449" s="509"/>
      <c r="HL449" s="509"/>
      <c r="HM449" s="509"/>
      <c r="HN449" s="509"/>
      <c r="HO449" s="509"/>
      <c r="HP449" s="509"/>
      <c r="HQ449" s="509"/>
      <c r="HR449" s="509"/>
      <c r="HS449" s="509"/>
      <c r="HT449" s="509"/>
      <c r="HU449" s="509"/>
      <c r="HV449" s="509"/>
      <c r="HW449" s="509"/>
      <c r="HX449" s="509"/>
      <c r="HY449" s="509"/>
      <c r="HZ449" s="509"/>
    </row>
    <row r="450" spans="1:234" ht="13.5" hidden="1" customHeight="1" x14ac:dyDescent="0.25">
      <c r="A450" s="1270" t="s">
        <v>6690</v>
      </c>
      <c r="B450" s="1271" t="s">
        <v>6689</v>
      </c>
      <c r="C450" s="1272" t="s">
        <v>6691</v>
      </c>
      <c r="D450" s="1273" t="s">
        <v>189</v>
      </c>
      <c r="E450" s="1272" t="s">
        <v>3228</v>
      </c>
      <c r="F450" s="1274">
        <v>42102</v>
      </c>
      <c r="G450" s="1275">
        <v>42041</v>
      </c>
      <c r="H450" s="1274">
        <v>42094</v>
      </c>
      <c r="I450" s="1276">
        <v>44253</v>
      </c>
      <c r="J450" s="1277">
        <v>10</v>
      </c>
      <c r="K450" s="1278" t="s">
        <v>3229</v>
      </c>
      <c r="L450" s="1279" t="s">
        <v>3229</v>
      </c>
      <c r="M450" s="1280">
        <v>-1</v>
      </c>
      <c r="N450" s="1281">
        <v>0.6</v>
      </c>
      <c r="O450" s="1282">
        <v>0.8</v>
      </c>
      <c r="P450" s="1283" t="s">
        <v>3229</v>
      </c>
      <c r="Q450" s="1283" t="s">
        <v>3229</v>
      </c>
      <c r="R450" s="1284" t="s">
        <v>3229</v>
      </c>
      <c r="S450" s="1285"/>
      <c r="T450" s="1286" t="s">
        <v>3229</v>
      </c>
      <c r="U450" s="1286" t="s">
        <v>3229</v>
      </c>
      <c r="V450" s="1286" t="s">
        <v>3229</v>
      </c>
      <c r="W450" s="1286" t="s">
        <v>3229</v>
      </c>
      <c r="X450" s="1286" t="s">
        <v>3229</v>
      </c>
      <c r="Y450" s="1286" t="s">
        <v>3229</v>
      </c>
      <c r="Z450" s="1286" t="s">
        <v>3229</v>
      </c>
      <c r="AA450" s="1286" t="s">
        <v>3229</v>
      </c>
      <c r="AB450" s="1286" t="s">
        <v>3229</v>
      </c>
      <c r="AC450" s="1286" t="s">
        <v>3229</v>
      </c>
      <c r="AD450" s="1286" t="s">
        <v>3229</v>
      </c>
      <c r="AE450" s="1286" t="s">
        <v>3229</v>
      </c>
      <c r="AF450" s="3764" t="s">
        <v>781</v>
      </c>
      <c r="AG450" s="3765"/>
      <c r="AH450" s="1287">
        <v>1</v>
      </c>
      <c r="AI450" s="1288" t="s">
        <v>3229</v>
      </c>
      <c r="AJ450" s="1288" t="s">
        <v>3229</v>
      </c>
      <c r="AK450" s="1288" t="s">
        <v>3229</v>
      </c>
      <c r="AL450" s="1288" t="s">
        <v>3229</v>
      </c>
      <c r="AM450" s="1288" t="s">
        <v>3229</v>
      </c>
      <c r="AN450" s="1289">
        <f>'klikací hodnoty'!F14133</f>
        <v>-1.8262421668369305E-2</v>
      </c>
      <c r="AO450" s="1290">
        <v>9.82</v>
      </c>
      <c r="AP450" s="1371">
        <f>+'klikací hodnoty'!F14131</f>
        <v>-0.11826242166836931</v>
      </c>
      <c r="AQ450" s="1281">
        <f>+'klikací hodnoty'!G14130</f>
        <v>0.34095404307897503</v>
      </c>
      <c r="AR450" s="1291">
        <f>O450</f>
        <v>0.8</v>
      </c>
      <c r="AS450" s="1292">
        <f>POWER(1+AR450,1/((I450-F450)/365))-1</f>
        <v>0.1048843263581074</v>
      </c>
      <c r="AT450" s="1292"/>
      <c r="AU450" s="1293"/>
      <c r="AV450" s="1294">
        <f t="shared" si="110"/>
        <v>-1</v>
      </c>
      <c r="AW450" s="1295">
        <f t="shared" si="111"/>
        <v>-1</v>
      </c>
      <c r="AX450" s="1296">
        <f t="shared" ref="AX450:AX458" si="112">J450*(1+AV450)/AO450-1</f>
        <v>-1</v>
      </c>
      <c r="AY450" s="1297" t="e">
        <f t="shared" ref="AY450:AY458" si="113">POWER(1+AX450,1/AG450)-1</f>
        <v>#DIV/0!</v>
      </c>
      <c r="AZ450" s="1298">
        <f t="shared" si="109"/>
        <v>0</v>
      </c>
      <c r="BA450" s="1299"/>
      <c r="BB450" s="1285"/>
      <c r="BC450" s="1300"/>
      <c r="BH450" s="3763"/>
      <c r="BI450" s="3763"/>
      <c r="BJ450" s="1639"/>
      <c r="BK450" s="1639"/>
      <c r="BL450" s="1639"/>
      <c r="BM450" s="1639"/>
      <c r="BN450" s="1639"/>
      <c r="BO450" s="1639"/>
      <c r="BP450" s="1639"/>
      <c r="BQ450" s="1639"/>
      <c r="BR450" s="1639"/>
      <c r="BS450" s="509"/>
      <c r="BT450" s="509"/>
      <c r="BU450" s="509"/>
      <c r="BV450" s="509"/>
      <c r="BW450" s="509"/>
      <c r="BX450" s="509"/>
      <c r="BY450" s="509"/>
      <c r="BZ450" s="509"/>
      <c r="CA450" s="509"/>
      <c r="CB450" s="509"/>
      <c r="CC450" s="509"/>
      <c r="CD450" s="509"/>
      <c r="CE450" s="509"/>
      <c r="CF450" s="509"/>
      <c r="CG450" s="509"/>
      <c r="CH450" s="509"/>
      <c r="CI450" s="509"/>
      <c r="CJ450" s="509"/>
      <c r="CK450" s="509"/>
      <c r="CL450" s="509"/>
      <c r="CM450" s="509"/>
      <c r="CN450" s="509"/>
      <c r="CO450" s="509"/>
      <c r="CP450" s="509"/>
      <c r="CQ450" s="509"/>
      <c r="CR450" s="509"/>
      <c r="CS450" s="509"/>
      <c r="CT450" s="509"/>
      <c r="CU450" s="509"/>
      <c r="CV450" s="509"/>
      <c r="CW450" s="509"/>
      <c r="CX450" s="509"/>
      <c r="CY450" s="509"/>
      <c r="CZ450" s="509"/>
      <c r="DA450" s="509"/>
      <c r="DB450" s="509"/>
      <c r="DC450" s="509"/>
      <c r="DD450" s="509"/>
      <c r="DE450" s="509"/>
      <c r="DF450" s="509"/>
      <c r="DG450" s="509"/>
      <c r="DH450" s="509"/>
      <c r="DI450" s="509"/>
      <c r="DJ450" s="509"/>
      <c r="DK450" s="509"/>
      <c r="DL450" s="509"/>
      <c r="DM450" s="509"/>
      <c r="DN450" s="509"/>
      <c r="DO450" s="509"/>
      <c r="DP450" s="509"/>
      <c r="DQ450" s="509"/>
      <c r="DR450" s="509"/>
      <c r="DS450" s="509"/>
      <c r="DT450" s="509"/>
      <c r="DU450" s="509"/>
      <c r="DV450" s="509"/>
      <c r="DW450" s="509"/>
      <c r="DX450" s="509"/>
      <c r="DY450" s="509"/>
      <c r="DZ450" s="509"/>
      <c r="EA450" s="509"/>
      <c r="EB450" s="509"/>
      <c r="EC450" s="509"/>
      <c r="ED450" s="509"/>
      <c r="EE450" s="509"/>
      <c r="EF450" s="509"/>
      <c r="EG450" s="509"/>
      <c r="EH450" s="509"/>
      <c r="EI450" s="509"/>
      <c r="EJ450" s="509"/>
      <c r="EK450" s="509"/>
      <c r="EL450" s="509"/>
      <c r="EM450" s="509"/>
      <c r="EN450" s="509"/>
      <c r="EO450" s="509"/>
      <c r="EP450" s="509"/>
      <c r="EQ450" s="509"/>
      <c r="ER450" s="509"/>
      <c r="ES450" s="509"/>
      <c r="ET450" s="509"/>
      <c r="EU450" s="509"/>
      <c r="EV450" s="509"/>
      <c r="EW450" s="509"/>
      <c r="EX450" s="509"/>
      <c r="EY450" s="509"/>
      <c r="EZ450" s="509"/>
      <c r="FA450" s="509"/>
      <c r="FB450" s="509"/>
      <c r="FC450" s="509"/>
      <c r="FD450" s="509"/>
      <c r="FE450" s="509"/>
      <c r="FF450" s="509"/>
      <c r="FG450" s="509"/>
      <c r="FH450" s="509"/>
      <c r="FI450" s="509"/>
      <c r="FJ450" s="509"/>
      <c r="FK450" s="509"/>
      <c r="FL450" s="509"/>
      <c r="FM450" s="509"/>
      <c r="FN450" s="509"/>
      <c r="FO450" s="509"/>
      <c r="FP450" s="509"/>
      <c r="FQ450" s="509"/>
      <c r="FR450" s="509"/>
      <c r="FS450" s="509"/>
      <c r="FT450" s="509"/>
      <c r="FU450" s="509"/>
      <c r="FV450" s="509"/>
      <c r="FW450" s="509"/>
      <c r="FX450" s="509"/>
      <c r="FY450" s="509"/>
      <c r="FZ450" s="509"/>
      <c r="GA450" s="509"/>
      <c r="GB450" s="509"/>
      <c r="GC450" s="509"/>
      <c r="GD450" s="509"/>
      <c r="GE450" s="509"/>
      <c r="GF450" s="509"/>
      <c r="GG450" s="509"/>
      <c r="GH450" s="509"/>
      <c r="GI450" s="509"/>
      <c r="GJ450" s="509"/>
      <c r="GK450" s="509"/>
      <c r="GL450" s="509"/>
      <c r="GM450" s="509"/>
      <c r="GN450" s="509"/>
      <c r="GO450" s="509"/>
      <c r="GP450" s="509"/>
      <c r="GQ450" s="509"/>
      <c r="GR450" s="509"/>
      <c r="GS450" s="509"/>
      <c r="GT450" s="509"/>
      <c r="GU450" s="509"/>
      <c r="GV450" s="509"/>
      <c r="GW450" s="509"/>
      <c r="GX450" s="509"/>
      <c r="GY450" s="509"/>
      <c r="GZ450" s="509"/>
      <c r="HA450" s="509"/>
      <c r="HB450" s="509"/>
      <c r="HC450" s="509"/>
      <c r="HD450" s="509"/>
      <c r="HE450" s="509"/>
      <c r="HF450" s="509"/>
      <c r="HG450" s="509"/>
      <c r="HH450" s="509"/>
      <c r="HI450" s="509"/>
      <c r="HJ450" s="509"/>
      <c r="HK450" s="509"/>
      <c r="HL450" s="509"/>
      <c r="HM450" s="509"/>
      <c r="HN450" s="509"/>
      <c r="HO450" s="509"/>
      <c r="HP450" s="509"/>
      <c r="HQ450" s="509"/>
      <c r="HR450" s="509"/>
      <c r="HS450" s="509"/>
      <c r="HT450" s="509"/>
      <c r="HU450" s="509"/>
      <c r="HV450" s="509"/>
      <c r="HW450" s="509"/>
      <c r="HX450" s="509"/>
      <c r="HY450" s="509"/>
      <c r="HZ450" s="509"/>
    </row>
    <row r="451" spans="1:234" ht="13.5" hidden="1" customHeight="1" x14ac:dyDescent="0.25">
      <c r="A451" s="1270" t="s">
        <v>6694</v>
      </c>
      <c r="B451" s="1271" t="s">
        <v>6693</v>
      </c>
      <c r="C451" s="1272" t="s">
        <v>6692</v>
      </c>
      <c r="D451" s="1273" t="s">
        <v>189</v>
      </c>
      <c r="E451" s="1272" t="s">
        <v>3228</v>
      </c>
      <c r="F451" s="1274">
        <v>42135</v>
      </c>
      <c r="G451" s="1275">
        <v>42065</v>
      </c>
      <c r="H451" s="1274">
        <v>42124</v>
      </c>
      <c r="I451" s="1276">
        <v>44407</v>
      </c>
      <c r="J451" s="1277">
        <v>10</v>
      </c>
      <c r="K451" s="1278" t="s">
        <v>3229</v>
      </c>
      <c r="L451" s="1279" t="s">
        <v>3229</v>
      </c>
      <c r="M451" s="1280">
        <v>-1</v>
      </c>
      <c r="N451" s="1281">
        <v>0.8</v>
      </c>
      <c r="O451" s="1282" t="s">
        <v>3229</v>
      </c>
      <c r="P451" s="1283" t="s">
        <v>3229</v>
      </c>
      <c r="Q451" s="1283" t="s">
        <v>3229</v>
      </c>
      <c r="R451" s="1284" t="s">
        <v>3229</v>
      </c>
      <c r="S451" s="1285"/>
      <c r="T451" s="1286" t="s">
        <v>3229</v>
      </c>
      <c r="U451" s="1286" t="s">
        <v>3229</v>
      </c>
      <c r="V451" s="1286" t="s">
        <v>3229</v>
      </c>
      <c r="W451" s="1286" t="s">
        <v>3229</v>
      </c>
      <c r="X451" s="1286" t="s">
        <v>3229</v>
      </c>
      <c r="Y451" s="1286" t="s">
        <v>3229</v>
      </c>
      <c r="Z451" s="1286" t="s">
        <v>3229</v>
      </c>
      <c r="AA451" s="1286" t="s">
        <v>3229</v>
      </c>
      <c r="AB451" s="1286" t="s">
        <v>3229</v>
      </c>
      <c r="AC451" s="1286" t="s">
        <v>3229</v>
      </c>
      <c r="AD451" s="1286" t="s">
        <v>3229</v>
      </c>
      <c r="AE451" s="1286" t="s">
        <v>3229</v>
      </c>
      <c r="AF451" s="3764" t="s">
        <v>781</v>
      </c>
      <c r="AG451" s="3765"/>
      <c r="AH451" s="1287" t="s">
        <v>3229</v>
      </c>
      <c r="AI451" s="1288" t="s">
        <v>3229</v>
      </c>
      <c r="AJ451" s="1288" t="s">
        <v>3229</v>
      </c>
      <c r="AK451" s="1288" t="s">
        <v>3229</v>
      </c>
      <c r="AL451" s="1288" t="s">
        <v>3229</v>
      </c>
      <c r="AM451" s="1288">
        <v>1</v>
      </c>
      <c r="AN451" s="1289">
        <f>'klikací hodnoty'!F14409</f>
        <v>-8.6378444444444452E-2</v>
      </c>
      <c r="AO451" s="1290">
        <v>9.14</v>
      </c>
      <c r="AP451" s="1371">
        <f>+'klikací hodnoty'!F14408</f>
        <v>-8.6378444444444452E-2</v>
      </c>
      <c r="AQ451" s="1281">
        <f>'klikací hodnoty'!F14389</f>
        <v>-3.7432878531366523E-2</v>
      </c>
      <c r="AR451" s="1291" t="s">
        <v>3660</v>
      </c>
      <c r="AS451" s="1292"/>
      <c r="AT451" s="1292"/>
      <c r="AU451" s="1293"/>
      <c r="AV451" s="1294">
        <f t="shared" si="110"/>
        <v>-1</v>
      </c>
      <c r="AW451" s="1295">
        <f t="shared" si="111"/>
        <v>-1</v>
      </c>
      <c r="AX451" s="1296">
        <f t="shared" si="112"/>
        <v>-1</v>
      </c>
      <c r="AY451" s="1297" t="e">
        <f t="shared" si="113"/>
        <v>#DIV/0!</v>
      </c>
      <c r="AZ451" s="1298">
        <f t="shared" si="109"/>
        <v>0</v>
      </c>
      <c r="BA451" s="1299"/>
      <c r="BB451" s="1285"/>
      <c r="BC451" s="1300"/>
      <c r="BH451" s="3763"/>
      <c r="BI451" s="3763"/>
      <c r="BJ451" s="1639"/>
      <c r="BK451" s="1639"/>
      <c r="BL451" s="1639"/>
      <c r="BM451" s="1639"/>
      <c r="BN451" s="1639"/>
      <c r="BO451" s="1639"/>
      <c r="BP451" s="1639"/>
      <c r="BQ451" s="1639"/>
      <c r="BR451" s="1639"/>
      <c r="BS451" s="509"/>
      <c r="BT451" s="509"/>
      <c r="BU451" s="509"/>
      <c r="BV451" s="509"/>
      <c r="BW451" s="509"/>
      <c r="BX451" s="509"/>
      <c r="BY451" s="509"/>
      <c r="BZ451" s="509"/>
      <c r="CA451" s="509"/>
      <c r="CB451" s="509"/>
      <c r="CC451" s="509"/>
      <c r="CD451" s="509"/>
      <c r="CE451" s="509"/>
      <c r="CF451" s="509"/>
      <c r="CG451" s="509"/>
      <c r="CH451" s="509"/>
      <c r="CI451" s="509"/>
      <c r="CJ451" s="509"/>
      <c r="CK451" s="509"/>
      <c r="CL451" s="509"/>
      <c r="CM451" s="509"/>
      <c r="CN451" s="509"/>
      <c r="CO451" s="509"/>
      <c r="CP451" s="509"/>
      <c r="CQ451" s="509"/>
      <c r="CR451" s="509"/>
      <c r="CS451" s="509"/>
      <c r="CT451" s="509"/>
      <c r="CU451" s="509"/>
      <c r="CV451" s="509"/>
      <c r="CW451" s="509"/>
      <c r="CX451" s="509"/>
      <c r="CY451" s="509"/>
      <c r="CZ451" s="509"/>
      <c r="DA451" s="509"/>
      <c r="DB451" s="509"/>
      <c r="DC451" s="509"/>
      <c r="DD451" s="509"/>
      <c r="DE451" s="509"/>
      <c r="DF451" s="509"/>
      <c r="DG451" s="509"/>
      <c r="DH451" s="509"/>
      <c r="DI451" s="509"/>
      <c r="DJ451" s="509"/>
      <c r="DK451" s="509"/>
      <c r="DL451" s="509"/>
      <c r="DM451" s="509"/>
      <c r="DN451" s="509"/>
      <c r="DO451" s="509"/>
      <c r="DP451" s="509"/>
      <c r="DQ451" s="509"/>
      <c r="DR451" s="509"/>
      <c r="DS451" s="509"/>
      <c r="DT451" s="509"/>
      <c r="DU451" s="509"/>
      <c r="DV451" s="509"/>
      <c r="DW451" s="509"/>
      <c r="DX451" s="509"/>
      <c r="DY451" s="509"/>
      <c r="DZ451" s="509"/>
      <c r="EA451" s="509"/>
      <c r="EB451" s="509"/>
      <c r="EC451" s="509"/>
      <c r="ED451" s="509"/>
      <c r="EE451" s="509"/>
      <c r="EF451" s="509"/>
      <c r="EG451" s="509"/>
      <c r="EH451" s="509"/>
      <c r="EI451" s="509"/>
      <c r="EJ451" s="509"/>
      <c r="EK451" s="509"/>
      <c r="EL451" s="509"/>
      <c r="EM451" s="509"/>
      <c r="EN451" s="509"/>
      <c r="EO451" s="509"/>
      <c r="EP451" s="509"/>
      <c r="EQ451" s="509"/>
      <c r="ER451" s="509"/>
      <c r="ES451" s="509"/>
      <c r="ET451" s="509"/>
      <c r="EU451" s="509"/>
      <c r="EV451" s="509"/>
      <c r="EW451" s="509"/>
      <c r="EX451" s="509"/>
      <c r="EY451" s="509"/>
      <c r="EZ451" s="509"/>
      <c r="FA451" s="509"/>
      <c r="FB451" s="509"/>
      <c r="FC451" s="509"/>
      <c r="FD451" s="509"/>
      <c r="FE451" s="509"/>
      <c r="FF451" s="509"/>
      <c r="FG451" s="509"/>
      <c r="FH451" s="509"/>
      <c r="FI451" s="509"/>
      <c r="FJ451" s="509"/>
      <c r="FK451" s="509"/>
      <c r="FL451" s="509"/>
      <c r="FM451" s="509"/>
      <c r="FN451" s="509"/>
      <c r="FO451" s="509"/>
      <c r="FP451" s="509"/>
      <c r="FQ451" s="509"/>
      <c r="FR451" s="509"/>
      <c r="FS451" s="509"/>
      <c r="FT451" s="509"/>
      <c r="FU451" s="509"/>
      <c r="FV451" s="509"/>
      <c r="FW451" s="509"/>
      <c r="FX451" s="509"/>
      <c r="FY451" s="509"/>
      <c r="FZ451" s="509"/>
      <c r="GA451" s="509"/>
      <c r="GB451" s="509"/>
      <c r="GC451" s="509"/>
      <c r="GD451" s="509"/>
      <c r="GE451" s="509"/>
      <c r="GF451" s="509"/>
      <c r="GG451" s="509"/>
      <c r="GH451" s="509"/>
      <c r="GI451" s="509"/>
      <c r="GJ451" s="509"/>
      <c r="GK451" s="509"/>
      <c r="GL451" s="509"/>
      <c r="GM451" s="509"/>
      <c r="GN451" s="509"/>
      <c r="GO451" s="509"/>
      <c r="GP451" s="509"/>
      <c r="GQ451" s="509"/>
      <c r="GR451" s="509"/>
      <c r="GS451" s="509"/>
      <c r="GT451" s="509"/>
      <c r="GU451" s="509"/>
      <c r="GV451" s="509"/>
      <c r="GW451" s="509"/>
      <c r="GX451" s="509"/>
      <c r="GY451" s="509"/>
      <c r="GZ451" s="509"/>
      <c r="HA451" s="509"/>
      <c r="HB451" s="509"/>
      <c r="HC451" s="509"/>
      <c r="HD451" s="509"/>
      <c r="HE451" s="509"/>
      <c r="HF451" s="509"/>
      <c r="HG451" s="509"/>
      <c r="HH451" s="509"/>
      <c r="HI451" s="509"/>
      <c r="HJ451" s="509"/>
      <c r="HK451" s="509"/>
      <c r="HL451" s="509"/>
      <c r="HM451" s="509"/>
      <c r="HN451" s="509"/>
      <c r="HO451" s="509"/>
      <c r="HP451" s="509"/>
      <c r="HQ451" s="509"/>
      <c r="HR451" s="509"/>
      <c r="HS451" s="509"/>
      <c r="HT451" s="509"/>
      <c r="HU451" s="509"/>
      <c r="HV451" s="509"/>
      <c r="HW451" s="509"/>
      <c r="HX451" s="509"/>
      <c r="HY451" s="509"/>
      <c r="HZ451" s="509"/>
    </row>
    <row r="452" spans="1:234" ht="13.5" hidden="1" customHeight="1" x14ac:dyDescent="0.25">
      <c r="A452" s="1270" t="s">
        <v>6696</v>
      </c>
      <c r="B452" s="1271" t="s">
        <v>6695</v>
      </c>
      <c r="C452" s="1272" t="s">
        <v>6697</v>
      </c>
      <c r="D452" s="1273" t="s">
        <v>189</v>
      </c>
      <c r="E452" s="1272" t="s">
        <v>3228</v>
      </c>
      <c r="F452" s="1274">
        <v>42135</v>
      </c>
      <c r="G452" s="1275">
        <v>42065</v>
      </c>
      <c r="H452" s="1274">
        <v>42124</v>
      </c>
      <c r="I452" s="1276">
        <v>44253</v>
      </c>
      <c r="J452" s="1277">
        <v>10</v>
      </c>
      <c r="K452" s="1278" t="s">
        <v>3229</v>
      </c>
      <c r="L452" s="1279" t="s">
        <v>3229</v>
      </c>
      <c r="M452" s="1280">
        <v>-1</v>
      </c>
      <c r="N452" s="1281">
        <v>0.7</v>
      </c>
      <c r="O452" s="1282" t="s">
        <v>3229</v>
      </c>
      <c r="P452" s="1283" t="s">
        <v>3229</v>
      </c>
      <c r="Q452" s="1283" t="s">
        <v>3229</v>
      </c>
      <c r="R452" s="1284" t="s">
        <v>3229</v>
      </c>
      <c r="S452" s="1285"/>
      <c r="T452" s="1286" t="s">
        <v>3229</v>
      </c>
      <c r="U452" s="1286" t="s">
        <v>3229</v>
      </c>
      <c r="V452" s="1286" t="s">
        <v>3229</v>
      </c>
      <c r="W452" s="1286" t="s">
        <v>3229</v>
      </c>
      <c r="X452" s="1286" t="s">
        <v>3229</v>
      </c>
      <c r="Y452" s="1286" t="s">
        <v>3229</v>
      </c>
      <c r="Z452" s="1286" t="s">
        <v>3229</v>
      </c>
      <c r="AA452" s="1286" t="s">
        <v>3229</v>
      </c>
      <c r="AB452" s="1286" t="s">
        <v>3229</v>
      </c>
      <c r="AC452" s="1286" t="s">
        <v>3229</v>
      </c>
      <c r="AD452" s="1286" t="s">
        <v>3229</v>
      </c>
      <c r="AE452" s="1286" t="s">
        <v>3229</v>
      </c>
      <c r="AF452" s="3764" t="s">
        <v>781</v>
      </c>
      <c r="AG452" s="3765"/>
      <c r="AH452" s="1287" t="s">
        <v>3229</v>
      </c>
      <c r="AI452" s="1288" t="s">
        <v>3229</v>
      </c>
      <c r="AJ452" s="1288" t="s">
        <v>3229</v>
      </c>
      <c r="AK452" s="1288" t="s">
        <v>3229</v>
      </c>
      <c r="AL452" s="1288" t="s">
        <v>3229</v>
      </c>
      <c r="AM452" s="1288">
        <v>1</v>
      </c>
      <c r="AN452" s="1289">
        <f>'klikací hodnoty'!F14189</f>
        <v>0</v>
      </c>
      <c r="AO452" s="1290">
        <v>10</v>
      </c>
      <c r="AP452" s="1371">
        <f>'klikací hodnoty'!E14188</f>
        <v>-0.12552477777777779</v>
      </c>
      <c r="AQ452" s="1281">
        <f>'klikací hodnoty'!F14169</f>
        <v>-0.14274844382404192</v>
      </c>
      <c r="AR452" s="1291" t="s">
        <v>3660</v>
      </c>
      <c r="AS452" s="1292"/>
      <c r="AT452" s="1292"/>
      <c r="AU452" s="1293"/>
      <c r="AV452" s="1294">
        <f t="shared" si="110"/>
        <v>-1</v>
      </c>
      <c r="AW452" s="1295">
        <f t="shared" si="111"/>
        <v>-1</v>
      </c>
      <c r="AX452" s="1296">
        <f t="shared" si="112"/>
        <v>-1</v>
      </c>
      <c r="AY452" s="1297" t="e">
        <f t="shared" si="113"/>
        <v>#DIV/0!</v>
      </c>
      <c r="AZ452" s="1298">
        <f t="shared" si="109"/>
        <v>0</v>
      </c>
      <c r="BA452" s="1299"/>
      <c r="BB452" s="1285"/>
      <c r="BC452" s="1300"/>
      <c r="BH452" s="3763"/>
      <c r="BI452" s="3763"/>
      <c r="BJ452" s="1639"/>
      <c r="BK452" s="1639"/>
      <c r="BL452" s="1639"/>
      <c r="BM452" s="1639"/>
      <c r="BN452" s="1639"/>
      <c r="BO452" s="1639"/>
      <c r="BP452" s="1639"/>
      <c r="BQ452" s="1639"/>
      <c r="BR452" s="1639"/>
      <c r="BS452" s="509"/>
      <c r="BT452" s="509"/>
      <c r="BU452" s="509"/>
      <c r="BV452" s="509"/>
      <c r="BW452" s="509"/>
      <c r="BX452" s="509"/>
      <c r="BY452" s="509"/>
      <c r="BZ452" s="509"/>
      <c r="CA452" s="509"/>
      <c r="CB452" s="509"/>
      <c r="CC452" s="509"/>
      <c r="CD452" s="509"/>
      <c r="CE452" s="509"/>
      <c r="CF452" s="509"/>
      <c r="CG452" s="509"/>
      <c r="CH452" s="509"/>
      <c r="CI452" s="509"/>
      <c r="CJ452" s="509"/>
      <c r="CK452" s="509"/>
      <c r="CL452" s="509"/>
      <c r="CM452" s="509"/>
      <c r="CN452" s="509"/>
      <c r="CO452" s="509"/>
      <c r="CP452" s="509"/>
      <c r="CQ452" s="509"/>
      <c r="CR452" s="509"/>
      <c r="CS452" s="509"/>
      <c r="CT452" s="509"/>
      <c r="CU452" s="509"/>
      <c r="CV452" s="509"/>
      <c r="CW452" s="509"/>
      <c r="CX452" s="509"/>
      <c r="CY452" s="509"/>
      <c r="CZ452" s="509"/>
      <c r="DA452" s="509"/>
      <c r="DB452" s="509"/>
      <c r="DC452" s="509"/>
      <c r="DD452" s="509"/>
      <c r="DE452" s="509"/>
      <c r="DF452" s="509"/>
      <c r="DG452" s="509"/>
      <c r="DH452" s="509"/>
      <c r="DI452" s="509"/>
      <c r="DJ452" s="509"/>
      <c r="DK452" s="509"/>
      <c r="DL452" s="509"/>
      <c r="DM452" s="509"/>
      <c r="DN452" s="509"/>
      <c r="DO452" s="509"/>
      <c r="DP452" s="509"/>
      <c r="DQ452" s="509"/>
      <c r="DR452" s="509"/>
      <c r="DS452" s="509"/>
      <c r="DT452" s="509"/>
      <c r="DU452" s="509"/>
      <c r="DV452" s="509"/>
      <c r="DW452" s="509"/>
      <c r="DX452" s="509"/>
      <c r="DY452" s="509"/>
      <c r="DZ452" s="509"/>
      <c r="EA452" s="509"/>
      <c r="EB452" s="509"/>
      <c r="EC452" s="509"/>
      <c r="ED452" s="509"/>
      <c r="EE452" s="509"/>
      <c r="EF452" s="509"/>
      <c r="EG452" s="509"/>
      <c r="EH452" s="509"/>
      <c r="EI452" s="509"/>
      <c r="EJ452" s="509"/>
      <c r="EK452" s="509"/>
      <c r="EL452" s="509"/>
      <c r="EM452" s="509"/>
      <c r="EN452" s="509"/>
      <c r="EO452" s="509"/>
      <c r="EP452" s="509"/>
      <c r="EQ452" s="509"/>
      <c r="ER452" s="509"/>
      <c r="ES452" s="509"/>
      <c r="ET452" s="509"/>
      <c r="EU452" s="509"/>
      <c r="EV452" s="509"/>
      <c r="EW452" s="509"/>
      <c r="EX452" s="509"/>
      <c r="EY452" s="509"/>
      <c r="EZ452" s="509"/>
      <c r="FA452" s="509"/>
      <c r="FB452" s="509"/>
      <c r="FC452" s="509"/>
      <c r="FD452" s="509"/>
      <c r="FE452" s="509"/>
      <c r="FF452" s="509"/>
      <c r="FG452" s="509"/>
      <c r="FH452" s="509"/>
      <c r="FI452" s="509"/>
      <c r="FJ452" s="509"/>
      <c r="FK452" s="509"/>
      <c r="FL452" s="509"/>
      <c r="FM452" s="509"/>
      <c r="FN452" s="509"/>
      <c r="FO452" s="509"/>
      <c r="FP452" s="509"/>
      <c r="FQ452" s="509"/>
      <c r="FR452" s="509"/>
      <c r="FS452" s="509"/>
      <c r="FT452" s="509"/>
      <c r="FU452" s="509"/>
      <c r="FV452" s="509"/>
      <c r="FW452" s="509"/>
      <c r="FX452" s="509"/>
      <c r="FY452" s="509"/>
      <c r="FZ452" s="509"/>
      <c r="GA452" s="509"/>
      <c r="GB452" s="509"/>
      <c r="GC452" s="509"/>
      <c r="GD452" s="509"/>
      <c r="GE452" s="509"/>
      <c r="GF452" s="509"/>
      <c r="GG452" s="509"/>
      <c r="GH452" s="509"/>
      <c r="GI452" s="509"/>
      <c r="GJ452" s="509"/>
      <c r="GK452" s="509"/>
      <c r="GL452" s="509"/>
      <c r="GM452" s="509"/>
      <c r="GN452" s="509"/>
      <c r="GO452" s="509"/>
      <c r="GP452" s="509"/>
      <c r="GQ452" s="509"/>
      <c r="GR452" s="509"/>
      <c r="GS452" s="509"/>
      <c r="GT452" s="509"/>
      <c r="GU452" s="509"/>
      <c r="GV452" s="509"/>
      <c r="GW452" s="509"/>
      <c r="GX452" s="509"/>
      <c r="GY452" s="509"/>
      <c r="GZ452" s="509"/>
      <c r="HA452" s="509"/>
      <c r="HB452" s="509"/>
      <c r="HC452" s="509"/>
      <c r="HD452" s="509"/>
      <c r="HE452" s="509"/>
      <c r="HF452" s="509"/>
      <c r="HG452" s="509"/>
      <c r="HH452" s="509"/>
      <c r="HI452" s="509"/>
      <c r="HJ452" s="509"/>
      <c r="HK452" s="509"/>
      <c r="HL452" s="509"/>
      <c r="HM452" s="509"/>
      <c r="HN452" s="509"/>
      <c r="HO452" s="509"/>
      <c r="HP452" s="509"/>
      <c r="HQ452" s="509"/>
      <c r="HR452" s="509"/>
      <c r="HS452" s="509"/>
      <c r="HT452" s="509"/>
      <c r="HU452" s="509"/>
      <c r="HV452" s="509"/>
      <c r="HW452" s="509"/>
      <c r="HX452" s="509"/>
      <c r="HY452" s="509"/>
      <c r="HZ452" s="509"/>
    </row>
    <row r="453" spans="1:234" ht="13.5" hidden="1" customHeight="1" x14ac:dyDescent="0.25">
      <c r="A453" s="1270" t="s">
        <v>6699</v>
      </c>
      <c r="B453" s="1271" t="s">
        <v>6698</v>
      </c>
      <c r="C453" s="1272" t="s">
        <v>9330</v>
      </c>
      <c r="D453" s="1273" t="s">
        <v>6934</v>
      </c>
      <c r="E453" s="1272" t="s">
        <v>3228</v>
      </c>
      <c r="F453" s="1274">
        <v>42137</v>
      </c>
      <c r="G453" s="1275">
        <v>42066</v>
      </c>
      <c r="H453" s="1274">
        <v>42123</v>
      </c>
      <c r="I453" s="1276">
        <v>44651</v>
      </c>
      <c r="J453" s="1277">
        <v>10</v>
      </c>
      <c r="K453" s="1278" t="s">
        <v>3229</v>
      </c>
      <c r="L453" s="1279" t="s">
        <v>3229</v>
      </c>
      <c r="M453" s="1280">
        <v>-0.1</v>
      </c>
      <c r="N453" s="1281">
        <v>0.5</v>
      </c>
      <c r="O453" s="1282" t="s">
        <v>3229</v>
      </c>
      <c r="P453" s="1283" t="s">
        <v>3229</v>
      </c>
      <c r="Q453" s="1283" t="s">
        <v>3229</v>
      </c>
      <c r="R453" s="1284" t="s">
        <v>3229</v>
      </c>
      <c r="S453" s="1285"/>
      <c r="T453" s="1286" t="s">
        <v>3229</v>
      </c>
      <c r="U453" s="1286" t="s">
        <v>3229</v>
      </c>
      <c r="V453" s="1286" t="s">
        <v>3229</v>
      </c>
      <c r="W453" s="1286" t="s">
        <v>3229</v>
      </c>
      <c r="X453" s="1286" t="s">
        <v>3229</v>
      </c>
      <c r="Y453" s="1286" t="s">
        <v>3229</v>
      </c>
      <c r="Z453" s="1286" t="s">
        <v>3229</v>
      </c>
      <c r="AA453" s="1286" t="s">
        <v>3229</v>
      </c>
      <c r="AB453" s="1286" t="s">
        <v>3229</v>
      </c>
      <c r="AC453" s="1286" t="s">
        <v>3229</v>
      </c>
      <c r="AD453" s="1286" t="s">
        <v>3229</v>
      </c>
      <c r="AE453" s="1286" t="s">
        <v>3229</v>
      </c>
      <c r="AF453" s="3764" t="s">
        <v>781</v>
      </c>
      <c r="AG453" s="3765">
        <f>(I453-indexy!$B$1)/365</f>
        <v>-1.9945205479452055</v>
      </c>
      <c r="AH453" s="1287" t="s">
        <v>3229</v>
      </c>
      <c r="AI453" s="1288" t="s">
        <v>3229</v>
      </c>
      <c r="AJ453" s="1288" t="s">
        <v>3229</v>
      </c>
      <c r="AK453" s="1288" t="s">
        <v>3229</v>
      </c>
      <c r="AL453" s="1288" t="s">
        <v>3229</v>
      </c>
      <c r="AM453" s="1288">
        <v>1</v>
      </c>
      <c r="AN453" s="1289">
        <f>'klikací hodnoty'!F14353</f>
        <v>-6.8099999999999994E-2</v>
      </c>
      <c r="AO453" s="1290">
        <v>9.32</v>
      </c>
      <c r="AP453" s="1371">
        <f>+'klikací hodnoty'!F14333</f>
        <v>2.5608885176106617E-3</v>
      </c>
      <c r="AQ453" s="1281">
        <f>'klikací hodnoty'!F14333</f>
        <v>2.5608885176106617E-3</v>
      </c>
      <c r="AR453" s="1291" t="s">
        <v>3660</v>
      </c>
      <c r="AS453" s="1292"/>
      <c r="AT453" s="1292"/>
      <c r="AU453" s="1293"/>
      <c r="AV453" s="1294">
        <f t="shared" si="110"/>
        <v>-0.1</v>
      </c>
      <c r="AW453" s="1295">
        <f t="shared" si="111"/>
        <v>-1.5180567862311589E-2</v>
      </c>
      <c r="AX453" s="1296">
        <f t="shared" si="112"/>
        <v>-3.4334763948497882E-2</v>
      </c>
      <c r="AY453" s="1297">
        <f t="shared" si="113"/>
        <v>1.7671340235038357E-2</v>
      </c>
      <c r="AZ453" s="1298">
        <f t="shared" si="109"/>
        <v>9</v>
      </c>
      <c r="BA453" s="1299"/>
      <c r="BB453" s="1285"/>
      <c r="BC453" s="1300"/>
      <c r="BH453" s="3763"/>
      <c r="BI453" s="3763"/>
      <c r="BJ453" s="1639"/>
      <c r="BK453" s="1639"/>
      <c r="BL453" s="1639"/>
      <c r="BM453" s="1639"/>
      <c r="BN453" s="1639"/>
      <c r="BO453" s="1639"/>
      <c r="BP453" s="1639"/>
      <c r="BQ453" s="1639"/>
      <c r="BR453" s="1639"/>
      <c r="BS453" s="509"/>
      <c r="BT453" s="509"/>
      <c r="BU453" s="509"/>
      <c r="BV453" s="509"/>
      <c r="BW453" s="509"/>
      <c r="BX453" s="509"/>
      <c r="BY453" s="509"/>
      <c r="BZ453" s="509"/>
      <c r="CA453" s="509"/>
      <c r="CB453" s="509"/>
      <c r="CC453" s="509"/>
      <c r="CD453" s="509"/>
      <c r="CE453" s="509"/>
      <c r="CF453" s="509"/>
      <c r="CG453" s="509"/>
      <c r="CH453" s="509"/>
      <c r="CI453" s="509"/>
      <c r="CJ453" s="509"/>
      <c r="CK453" s="509"/>
      <c r="CL453" s="509"/>
      <c r="CM453" s="509"/>
      <c r="CN453" s="509"/>
      <c r="CO453" s="509"/>
      <c r="CP453" s="509"/>
      <c r="CQ453" s="509"/>
      <c r="CR453" s="509"/>
      <c r="CS453" s="509"/>
      <c r="CT453" s="509"/>
      <c r="CU453" s="509"/>
      <c r="CV453" s="509"/>
      <c r="CW453" s="509"/>
      <c r="CX453" s="509"/>
      <c r="CY453" s="509"/>
      <c r="CZ453" s="509"/>
      <c r="DA453" s="509"/>
      <c r="DB453" s="509"/>
      <c r="DC453" s="509"/>
      <c r="DD453" s="509"/>
      <c r="DE453" s="509"/>
      <c r="DF453" s="509"/>
      <c r="DG453" s="509"/>
      <c r="DH453" s="509"/>
      <c r="DI453" s="509"/>
      <c r="DJ453" s="509"/>
      <c r="DK453" s="509"/>
      <c r="DL453" s="509"/>
      <c r="DM453" s="509"/>
      <c r="DN453" s="509"/>
      <c r="DO453" s="509"/>
      <c r="DP453" s="509"/>
      <c r="DQ453" s="509"/>
      <c r="DR453" s="509"/>
      <c r="DS453" s="509"/>
      <c r="DT453" s="509"/>
      <c r="DU453" s="509"/>
      <c r="DV453" s="509"/>
      <c r="DW453" s="509"/>
      <c r="DX453" s="509"/>
      <c r="DY453" s="509"/>
      <c r="DZ453" s="509"/>
      <c r="EA453" s="509"/>
      <c r="EB453" s="509"/>
      <c r="EC453" s="509"/>
      <c r="ED453" s="509"/>
      <c r="EE453" s="509"/>
      <c r="EF453" s="509"/>
      <c r="EG453" s="509"/>
      <c r="EH453" s="509"/>
      <c r="EI453" s="509"/>
      <c r="EJ453" s="509"/>
      <c r="EK453" s="509"/>
      <c r="EL453" s="509"/>
      <c r="EM453" s="509"/>
      <c r="EN453" s="509"/>
      <c r="EO453" s="509"/>
      <c r="EP453" s="509"/>
      <c r="EQ453" s="509"/>
      <c r="ER453" s="509"/>
      <c r="ES453" s="509"/>
      <c r="ET453" s="509"/>
      <c r="EU453" s="509"/>
      <c r="EV453" s="509"/>
      <c r="EW453" s="509"/>
      <c r="EX453" s="509"/>
      <c r="EY453" s="509"/>
      <c r="EZ453" s="509"/>
      <c r="FA453" s="509"/>
      <c r="FB453" s="509"/>
      <c r="FC453" s="509"/>
      <c r="FD453" s="509"/>
      <c r="FE453" s="509"/>
      <c r="FF453" s="509"/>
      <c r="FG453" s="509"/>
      <c r="FH453" s="509"/>
      <c r="FI453" s="509"/>
      <c r="FJ453" s="509"/>
      <c r="FK453" s="509"/>
      <c r="FL453" s="509"/>
      <c r="FM453" s="509"/>
      <c r="FN453" s="509"/>
      <c r="FO453" s="509"/>
      <c r="FP453" s="509"/>
      <c r="FQ453" s="509"/>
      <c r="FR453" s="509"/>
      <c r="FS453" s="509"/>
      <c r="FT453" s="509"/>
      <c r="FU453" s="509"/>
      <c r="FV453" s="509"/>
      <c r="FW453" s="509"/>
      <c r="FX453" s="509"/>
      <c r="FY453" s="509"/>
      <c r="FZ453" s="509"/>
      <c r="GA453" s="509"/>
      <c r="GB453" s="509"/>
      <c r="GC453" s="509"/>
      <c r="GD453" s="509"/>
      <c r="GE453" s="509"/>
      <c r="GF453" s="509"/>
      <c r="GG453" s="509"/>
      <c r="GH453" s="509"/>
      <c r="GI453" s="509"/>
      <c r="GJ453" s="509"/>
      <c r="GK453" s="509"/>
      <c r="GL453" s="509"/>
      <c r="GM453" s="509"/>
      <c r="GN453" s="509"/>
      <c r="GO453" s="509"/>
      <c r="GP453" s="509"/>
      <c r="GQ453" s="509"/>
      <c r="GR453" s="509"/>
      <c r="GS453" s="509"/>
      <c r="GT453" s="509"/>
      <c r="GU453" s="509"/>
      <c r="GV453" s="509"/>
      <c r="GW453" s="509"/>
      <c r="GX453" s="509"/>
      <c r="GY453" s="509"/>
      <c r="GZ453" s="509"/>
      <c r="HA453" s="509"/>
      <c r="HB453" s="509"/>
      <c r="HC453" s="509"/>
      <c r="HD453" s="509"/>
      <c r="HE453" s="509"/>
      <c r="HF453" s="509"/>
      <c r="HG453" s="509"/>
      <c r="HH453" s="509"/>
      <c r="HI453" s="509"/>
      <c r="HJ453" s="509"/>
      <c r="HK453" s="509"/>
      <c r="HL453" s="509"/>
      <c r="HM453" s="509"/>
      <c r="HN453" s="509"/>
      <c r="HO453" s="509"/>
      <c r="HP453" s="509"/>
      <c r="HQ453" s="509"/>
      <c r="HR453" s="509"/>
      <c r="HS453" s="509"/>
      <c r="HT453" s="509"/>
      <c r="HU453" s="509"/>
      <c r="HV453" s="509"/>
      <c r="HW453" s="509"/>
      <c r="HX453" s="509"/>
      <c r="HY453" s="509"/>
      <c r="HZ453" s="509"/>
    </row>
    <row r="454" spans="1:234" ht="13.5" hidden="1" customHeight="1" x14ac:dyDescent="0.25">
      <c r="A454" s="1270" t="s">
        <v>6738</v>
      </c>
      <c r="B454" s="1271" t="s">
        <v>6739</v>
      </c>
      <c r="C454" s="1272" t="s">
        <v>6740</v>
      </c>
      <c r="D454" s="1273" t="s">
        <v>189</v>
      </c>
      <c r="E454" s="1272" t="s">
        <v>905</v>
      </c>
      <c r="F454" s="1274">
        <v>42131</v>
      </c>
      <c r="G454" s="1275">
        <v>42073</v>
      </c>
      <c r="H454" s="1274">
        <v>42124</v>
      </c>
      <c r="I454" s="1276">
        <v>44316</v>
      </c>
      <c r="J454" s="1277">
        <v>10</v>
      </c>
      <c r="K454" s="1278" t="s">
        <v>3229</v>
      </c>
      <c r="L454" s="1279" t="s">
        <v>3229</v>
      </c>
      <c r="M454" s="1280">
        <v>-0.1</v>
      </c>
      <c r="N454" s="1281">
        <v>0.5</v>
      </c>
      <c r="O454" s="1282" t="s">
        <v>3229</v>
      </c>
      <c r="P454" s="1283" t="s">
        <v>3229</v>
      </c>
      <c r="Q454" s="1283" t="s">
        <v>3229</v>
      </c>
      <c r="R454" s="1284" t="s">
        <v>3229</v>
      </c>
      <c r="S454" s="1285"/>
      <c r="T454" s="1286" t="s">
        <v>3229</v>
      </c>
      <c r="U454" s="1286" t="s">
        <v>3229</v>
      </c>
      <c r="V454" s="1286" t="s">
        <v>3229</v>
      </c>
      <c r="W454" s="1286" t="s">
        <v>3229</v>
      </c>
      <c r="X454" s="1286" t="s">
        <v>3229</v>
      </c>
      <c r="Y454" s="1286" t="s">
        <v>3229</v>
      </c>
      <c r="Z454" s="1286" t="s">
        <v>3229</v>
      </c>
      <c r="AA454" s="1286" t="s">
        <v>3229</v>
      </c>
      <c r="AB454" s="1286" t="s">
        <v>3229</v>
      </c>
      <c r="AC454" s="1286" t="s">
        <v>3229</v>
      </c>
      <c r="AD454" s="1286" t="s">
        <v>3229</v>
      </c>
      <c r="AE454" s="1286" t="s">
        <v>3229</v>
      </c>
      <c r="AF454" s="3764" t="s">
        <v>781</v>
      </c>
      <c r="AG454" s="3765"/>
      <c r="AH454" s="1287" t="s">
        <v>3229</v>
      </c>
      <c r="AI454" s="1288" t="s">
        <v>3229</v>
      </c>
      <c r="AJ454" s="1288" t="s">
        <v>3229</v>
      </c>
      <c r="AK454" s="1288" t="s">
        <v>3229</v>
      </c>
      <c r="AL454" s="1288" t="s">
        <v>3229</v>
      </c>
      <c r="AM454" s="1288">
        <v>1</v>
      </c>
      <c r="AN454" s="1289">
        <f>'klikací hodnoty'!F14494</f>
        <v>6.4730833333333298E-3</v>
      </c>
      <c r="AO454" s="1290">
        <v>10.06</v>
      </c>
      <c r="AP454" s="1371">
        <f>'klikací hodnoty'!E14493</f>
        <v>1.294616666666666E-2</v>
      </c>
      <c r="AQ454" s="1281">
        <f>'klikací hodnoty'!F14474</f>
        <v>0.11270922279096054</v>
      </c>
      <c r="AR454" s="1291" t="s">
        <v>3660</v>
      </c>
      <c r="AS454" s="1292"/>
      <c r="AT454" s="1292"/>
      <c r="AU454" s="1293"/>
      <c r="AV454" s="1294">
        <f t="shared" si="110"/>
        <v>-0.1</v>
      </c>
      <c r="AW454" s="1295">
        <f t="shared" si="111"/>
        <v>-1.74462891547843E-2</v>
      </c>
      <c r="AX454" s="1296">
        <f t="shared" si="112"/>
        <v>-0.10536779324055667</v>
      </c>
      <c r="AY454" s="1297" t="e">
        <f t="shared" si="113"/>
        <v>#DIV/0!</v>
      </c>
      <c r="AZ454" s="1298">
        <f t="shared" ref="AZ454:AZ461" si="114">J454*(1+AV454)</f>
        <v>9</v>
      </c>
      <c r="BA454" s="1299"/>
      <c r="BB454" s="1285"/>
      <c r="BC454" s="1300"/>
      <c r="BH454" s="3763"/>
      <c r="BI454" s="3763"/>
      <c r="BJ454" s="1639"/>
      <c r="BK454" s="1639"/>
      <c r="BL454" s="1639"/>
      <c r="BM454" s="1639"/>
      <c r="BN454" s="1639"/>
      <c r="BO454" s="1639"/>
      <c r="BP454" s="1639"/>
      <c r="BQ454" s="1639"/>
      <c r="BR454" s="1639"/>
      <c r="BS454" s="509"/>
      <c r="BT454" s="509"/>
      <c r="BU454" s="509"/>
      <c r="BV454" s="509"/>
      <c r="BW454" s="509"/>
      <c r="BX454" s="509"/>
      <c r="BY454" s="509"/>
      <c r="BZ454" s="509"/>
      <c r="CA454" s="509"/>
      <c r="CB454" s="509"/>
      <c r="CC454" s="509"/>
      <c r="CD454" s="509"/>
      <c r="CE454" s="509"/>
      <c r="CF454" s="509"/>
      <c r="CG454" s="509"/>
      <c r="CH454" s="509"/>
      <c r="CI454" s="509"/>
      <c r="CJ454" s="509"/>
      <c r="CK454" s="509"/>
      <c r="CL454" s="509"/>
      <c r="CM454" s="509"/>
      <c r="CN454" s="509"/>
      <c r="CO454" s="509"/>
      <c r="CP454" s="509"/>
      <c r="CQ454" s="509"/>
      <c r="CR454" s="509"/>
      <c r="CS454" s="509"/>
      <c r="CT454" s="509"/>
      <c r="CU454" s="509"/>
      <c r="CV454" s="509"/>
      <c r="CW454" s="509"/>
      <c r="CX454" s="509"/>
      <c r="CY454" s="509"/>
      <c r="CZ454" s="509"/>
      <c r="DA454" s="509"/>
      <c r="DB454" s="509"/>
      <c r="DC454" s="509"/>
      <c r="DD454" s="509"/>
      <c r="DE454" s="509"/>
      <c r="DF454" s="509"/>
      <c r="DG454" s="509"/>
      <c r="DH454" s="509"/>
      <c r="DI454" s="509"/>
      <c r="DJ454" s="509"/>
      <c r="DK454" s="509"/>
      <c r="DL454" s="509"/>
      <c r="DM454" s="509"/>
      <c r="DN454" s="509"/>
      <c r="DO454" s="509"/>
      <c r="DP454" s="509"/>
      <c r="DQ454" s="509"/>
      <c r="DR454" s="509"/>
      <c r="DS454" s="509"/>
      <c r="DT454" s="509"/>
      <c r="DU454" s="509"/>
      <c r="DV454" s="509"/>
      <c r="DW454" s="509"/>
      <c r="DX454" s="509"/>
      <c r="DY454" s="509"/>
      <c r="DZ454" s="509"/>
      <c r="EA454" s="509"/>
      <c r="EB454" s="509"/>
      <c r="EC454" s="509"/>
      <c r="ED454" s="509"/>
      <c r="EE454" s="509"/>
      <c r="EF454" s="509"/>
      <c r="EG454" s="509"/>
      <c r="EH454" s="509"/>
      <c r="EI454" s="509"/>
      <c r="EJ454" s="509"/>
      <c r="EK454" s="509"/>
      <c r="EL454" s="509"/>
      <c r="EM454" s="509"/>
      <c r="EN454" s="509"/>
      <c r="EO454" s="509"/>
      <c r="EP454" s="509"/>
      <c r="EQ454" s="509"/>
      <c r="ER454" s="509"/>
      <c r="ES454" s="509"/>
      <c r="ET454" s="509"/>
      <c r="EU454" s="509"/>
      <c r="EV454" s="509"/>
      <c r="EW454" s="509"/>
      <c r="EX454" s="509"/>
      <c r="EY454" s="509"/>
      <c r="EZ454" s="509"/>
      <c r="FA454" s="509"/>
      <c r="FB454" s="509"/>
      <c r="FC454" s="509"/>
      <c r="FD454" s="509"/>
      <c r="FE454" s="509"/>
      <c r="FF454" s="509"/>
      <c r="FG454" s="509"/>
      <c r="FH454" s="509"/>
      <c r="FI454" s="509"/>
      <c r="FJ454" s="509"/>
      <c r="FK454" s="509"/>
      <c r="FL454" s="509"/>
      <c r="FM454" s="509"/>
      <c r="FN454" s="509"/>
      <c r="FO454" s="509"/>
      <c r="FP454" s="509"/>
      <c r="FQ454" s="509"/>
      <c r="FR454" s="509"/>
      <c r="FS454" s="509"/>
      <c r="FT454" s="509"/>
      <c r="FU454" s="509"/>
      <c r="FV454" s="509"/>
      <c r="FW454" s="509"/>
      <c r="FX454" s="509"/>
      <c r="FY454" s="509"/>
      <c r="FZ454" s="509"/>
      <c r="GA454" s="509"/>
      <c r="GB454" s="509"/>
      <c r="GC454" s="509"/>
      <c r="GD454" s="509"/>
      <c r="GE454" s="509"/>
      <c r="GF454" s="509"/>
      <c r="GG454" s="509"/>
      <c r="GH454" s="509"/>
      <c r="GI454" s="509"/>
      <c r="GJ454" s="509"/>
      <c r="GK454" s="509"/>
      <c r="GL454" s="509"/>
      <c r="GM454" s="509"/>
      <c r="GN454" s="509"/>
      <c r="GO454" s="509"/>
      <c r="GP454" s="509"/>
      <c r="GQ454" s="509"/>
      <c r="GR454" s="509"/>
      <c r="GS454" s="509"/>
      <c r="GT454" s="509"/>
      <c r="GU454" s="509"/>
      <c r="GV454" s="509"/>
      <c r="GW454" s="509"/>
      <c r="GX454" s="509"/>
      <c r="GY454" s="509"/>
      <c r="GZ454" s="509"/>
      <c r="HA454" s="509"/>
      <c r="HB454" s="509"/>
      <c r="HC454" s="509"/>
      <c r="HD454" s="509"/>
      <c r="HE454" s="509"/>
      <c r="HF454" s="509"/>
      <c r="HG454" s="509"/>
      <c r="HH454" s="509"/>
      <c r="HI454" s="509"/>
      <c r="HJ454" s="509"/>
      <c r="HK454" s="509"/>
      <c r="HL454" s="509"/>
      <c r="HM454" s="509"/>
      <c r="HN454" s="509"/>
      <c r="HO454" s="509"/>
      <c r="HP454" s="509"/>
      <c r="HQ454" s="509"/>
      <c r="HR454" s="509"/>
      <c r="HS454" s="509"/>
      <c r="HT454" s="509"/>
      <c r="HU454" s="509"/>
      <c r="HV454" s="509"/>
      <c r="HW454" s="509"/>
      <c r="HX454" s="509"/>
      <c r="HY454" s="509"/>
      <c r="HZ454" s="509"/>
    </row>
    <row r="455" spans="1:234" ht="13.5" hidden="1" customHeight="1" x14ac:dyDescent="0.25">
      <c r="A455" s="1270" t="s">
        <v>6862</v>
      </c>
      <c r="B455" s="1271" t="s">
        <v>6861</v>
      </c>
      <c r="C455" s="1272" t="s">
        <v>6863</v>
      </c>
      <c r="D455" s="1273" t="s">
        <v>189</v>
      </c>
      <c r="E455" s="1272" t="s">
        <v>3228</v>
      </c>
      <c r="F455" s="1274">
        <v>42160</v>
      </c>
      <c r="G455" s="1275">
        <v>42095</v>
      </c>
      <c r="H455" s="1274">
        <v>42153</v>
      </c>
      <c r="I455" s="1276">
        <v>42916</v>
      </c>
      <c r="J455" s="1277">
        <v>10</v>
      </c>
      <c r="K455" s="1278" t="s">
        <v>3229</v>
      </c>
      <c r="L455" s="1279" t="s">
        <v>3229</v>
      </c>
      <c r="M455" s="1280">
        <v>-1</v>
      </c>
      <c r="N455" s="1281" t="s">
        <v>3229</v>
      </c>
      <c r="O455" s="1282">
        <v>0.3</v>
      </c>
      <c r="P455" s="1283" t="s">
        <v>3229</v>
      </c>
      <c r="Q455" s="1283" t="s">
        <v>3229</v>
      </c>
      <c r="R455" s="1284" t="s">
        <v>3229</v>
      </c>
      <c r="S455" s="1285"/>
      <c r="T455" s="1286" t="s">
        <v>3229</v>
      </c>
      <c r="U455" s="1286" t="s">
        <v>3229</v>
      </c>
      <c r="V455" s="1286" t="s">
        <v>3229</v>
      </c>
      <c r="W455" s="1286" t="s">
        <v>3229</v>
      </c>
      <c r="X455" s="1286" t="s">
        <v>3229</v>
      </c>
      <c r="Y455" s="1286" t="s">
        <v>3229</v>
      </c>
      <c r="Z455" s="1286" t="s">
        <v>3229</v>
      </c>
      <c r="AA455" s="1286" t="s">
        <v>3229</v>
      </c>
      <c r="AB455" s="1286" t="s">
        <v>3229</v>
      </c>
      <c r="AC455" s="1286" t="s">
        <v>3229</v>
      </c>
      <c r="AD455" s="1286" t="s">
        <v>3229</v>
      </c>
      <c r="AE455" s="1286" t="s">
        <v>3229</v>
      </c>
      <c r="AF455" s="3764" t="s">
        <v>781</v>
      </c>
      <c r="AG455" s="3765"/>
      <c r="AH455" s="1287">
        <v>1</v>
      </c>
      <c r="AI455" s="1288" t="s">
        <v>3229</v>
      </c>
      <c r="AJ455" s="1288" t="s">
        <v>3229</v>
      </c>
      <c r="AK455" s="1288" t="s">
        <v>3229</v>
      </c>
      <c r="AL455" s="1288" t="s">
        <v>3229</v>
      </c>
      <c r="AM455" s="1288" t="s">
        <v>3229</v>
      </c>
      <c r="AN455" s="1289">
        <f>AP455</f>
        <v>0.1</v>
      </c>
      <c r="AO455" s="1290">
        <v>11</v>
      </c>
      <c r="AP455" s="1371">
        <f>'klikací hodnoty'!F14418</f>
        <v>0.1</v>
      </c>
      <c r="AQ455" s="1281">
        <f>'klikací hodnoty'!H14417</f>
        <v>1.8723270619807719E-2</v>
      </c>
      <c r="AR455" s="1291">
        <f>O455</f>
        <v>0.3</v>
      </c>
      <c r="AS455" s="1292">
        <f>POWER(1+AR455,1/((I455-F455)/365))-1</f>
        <v>0.13504304738031525</v>
      </c>
      <c r="AT455" s="1292">
        <f>J455*(1+AR455)/AO455-1</f>
        <v>0.18181818181818188</v>
      </c>
      <c r="AU455" s="1293" t="e">
        <f>POWER(1+AT455,1/AG455)-1</f>
        <v>#DIV/0!</v>
      </c>
      <c r="AV455" s="1294">
        <f t="shared" ref="AV455:AV461" si="115">M455</f>
        <v>-1</v>
      </c>
      <c r="AW455" s="1295">
        <f t="shared" ref="AW455:AW461" si="116">POWER(1+AV455,1/((I455-F455)/365))-1</f>
        <v>-1</v>
      </c>
      <c r="AX455" s="1296">
        <f t="shared" si="112"/>
        <v>-1</v>
      </c>
      <c r="AY455" s="1297" t="e">
        <f t="shared" si="113"/>
        <v>#DIV/0!</v>
      </c>
      <c r="AZ455" s="1298">
        <f t="shared" si="114"/>
        <v>0</v>
      </c>
      <c r="BA455" s="1299"/>
      <c r="BB455" s="1285"/>
      <c r="BC455" s="1300"/>
      <c r="BH455" s="3763"/>
      <c r="BI455" s="3763"/>
      <c r="BJ455" s="1639"/>
      <c r="BK455" s="1639"/>
      <c r="BL455" s="1639"/>
      <c r="BM455" s="1639"/>
      <c r="BN455" s="1639"/>
      <c r="BO455" s="1639"/>
      <c r="BP455" s="1639"/>
      <c r="BQ455" s="1639"/>
      <c r="BR455" s="1639"/>
      <c r="BS455" s="509"/>
      <c r="BT455" s="509"/>
      <c r="BU455" s="509"/>
      <c r="BV455" s="509"/>
      <c r="BW455" s="509"/>
      <c r="BX455" s="509"/>
      <c r="BY455" s="509"/>
      <c r="BZ455" s="509"/>
      <c r="CA455" s="509"/>
      <c r="CB455" s="509"/>
      <c r="CC455" s="509"/>
      <c r="CD455" s="509"/>
      <c r="CE455" s="509"/>
      <c r="CF455" s="509"/>
      <c r="CG455" s="509"/>
      <c r="CH455" s="509"/>
      <c r="CI455" s="509"/>
      <c r="CJ455" s="509"/>
      <c r="CK455" s="509"/>
      <c r="CL455" s="509"/>
      <c r="CM455" s="509"/>
      <c r="CN455" s="509"/>
      <c r="CO455" s="509"/>
      <c r="CP455" s="509"/>
      <c r="CQ455" s="509"/>
      <c r="CR455" s="509"/>
      <c r="CS455" s="509"/>
      <c r="CT455" s="509"/>
      <c r="CU455" s="509"/>
      <c r="CV455" s="509"/>
      <c r="CW455" s="509"/>
      <c r="CX455" s="509"/>
      <c r="CY455" s="509"/>
      <c r="CZ455" s="509"/>
      <c r="DA455" s="509"/>
      <c r="DB455" s="509"/>
      <c r="DC455" s="509"/>
      <c r="DD455" s="509"/>
      <c r="DE455" s="509"/>
      <c r="DF455" s="509"/>
      <c r="DG455" s="509"/>
      <c r="DH455" s="509"/>
      <c r="DI455" s="509"/>
      <c r="DJ455" s="509"/>
      <c r="DK455" s="509"/>
      <c r="DL455" s="509"/>
      <c r="DM455" s="509"/>
      <c r="DN455" s="509"/>
      <c r="DO455" s="509"/>
      <c r="DP455" s="509"/>
      <c r="DQ455" s="509"/>
      <c r="DR455" s="509"/>
      <c r="DS455" s="509"/>
      <c r="DT455" s="509"/>
      <c r="DU455" s="509"/>
      <c r="DV455" s="509"/>
      <c r="DW455" s="509"/>
      <c r="DX455" s="509"/>
      <c r="DY455" s="509"/>
      <c r="DZ455" s="509"/>
      <c r="EA455" s="509"/>
      <c r="EB455" s="509"/>
      <c r="EC455" s="509"/>
      <c r="ED455" s="509"/>
      <c r="EE455" s="509"/>
      <c r="EF455" s="509"/>
      <c r="EG455" s="509"/>
      <c r="EH455" s="509"/>
      <c r="EI455" s="509"/>
      <c r="EJ455" s="509"/>
      <c r="EK455" s="509"/>
      <c r="EL455" s="509"/>
      <c r="EM455" s="509"/>
      <c r="EN455" s="509"/>
      <c r="EO455" s="509"/>
      <c r="EP455" s="509"/>
      <c r="EQ455" s="509"/>
      <c r="ER455" s="509"/>
      <c r="ES455" s="509"/>
      <c r="ET455" s="509"/>
      <c r="EU455" s="509"/>
      <c r="EV455" s="509"/>
      <c r="EW455" s="509"/>
      <c r="EX455" s="509"/>
      <c r="EY455" s="509"/>
      <c r="EZ455" s="509"/>
      <c r="FA455" s="509"/>
      <c r="FB455" s="509"/>
      <c r="FC455" s="509"/>
      <c r="FD455" s="509"/>
      <c r="FE455" s="509"/>
      <c r="FF455" s="509"/>
      <c r="FG455" s="509"/>
      <c r="FH455" s="509"/>
      <c r="FI455" s="509"/>
      <c r="FJ455" s="509"/>
      <c r="FK455" s="509"/>
      <c r="FL455" s="509"/>
      <c r="FM455" s="509"/>
      <c r="FN455" s="509"/>
      <c r="FO455" s="509"/>
      <c r="FP455" s="509"/>
      <c r="FQ455" s="509"/>
      <c r="FR455" s="509"/>
      <c r="FS455" s="509"/>
      <c r="FT455" s="509"/>
      <c r="FU455" s="509"/>
      <c r="FV455" s="509"/>
      <c r="FW455" s="509"/>
      <c r="FX455" s="509"/>
      <c r="FY455" s="509"/>
      <c r="FZ455" s="509"/>
      <c r="GA455" s="509"/>
      <c r="GB455" s="509"/>
      <c r="GC455" s="509"/>
      <c r="GD455" s="509"/>
      <c r="GE455" s="509"/>
      <c r="GF455" s="509"/>
      <c r="GG455" s="509"/>
      <c r="GH455" s="509"/>
      <c r="GI455" s="509"/>
      <c r="GJ455" s="509"/>
      <c r="GK455" s="509"/>
      <c r="GL455" s="509"/>
      <c r="GM455" s="509"/>
      <c r="GN455" s="509"/>
      <c r="GO455" s="509"/>
      <c r="GP455" s="509"/>
      <c r="GQ455" s="509"/>
      <c r="GR455" s="509"/>
      <c r="GS455" s="509"/>
      <c r="GT455" s="509"/>
      <c r="GU455" s="509"/>
      <c r="GV455" s="509"/>
      <c r="GW455" s="509"/>
      <c r="GX455" s="509"/>
      <c r="GY455" s="509"/>
      <c r="GZ455" s="509"/>
      <c r="HA455" s="509"/>
      <c r="HB455" s="509"/>
      <c r="HC455" s="509"/>
      <c r="HD455" s="509"/>
      <c r="HE455" s="509"/>
      <c r="HF455" s="509"/>
      <c r="HG455" s="509"/>
      <c r="HH455" s="509"/>
      <c r="HI455" s="509"/>
      <c r="HJ455" s="509"/>
      <c r="HK455" s="509"/>
      <c r="HL455" s="509"/>
      <c r="HM455" s="509"/>
      <c r="HN455" s="509"/>
      <c r="HO455" s="509"/>
      <c r="HP455" s="509"/>
      <c r="HQ455" s="509"/>
      <c r="HR455" s="509"/>
      <c r="HS455" s="509"/>
      <c r="HT455" s="509"/>
      <c r="HU455" s="509"/>
      <c r="HV455" s="509"/>
      <c r="HW455" s="509"/>
      <c r="HX455" s="509"/>
      <c r="HY455" s="509"/>
      <c r="HZ455" s="509"/>
    </row>
    <row r="456" spans="1:234" ht="13.5" hidden="1" customHeight="1" x14ac:dyDescent="0.25">
      <c r="A456" s="1270" t="s">
        <v>6865</v>
      </c>
      <c r="B456" s="1271" t="s">
        <v>6864</v>
      </c>
      <c r="C456" s="1272" t="s">
        <v>6866</v>
      </c>
      <c r="D456" s="1273" t="s">
        <v>189</v>
      </c>
      <c r="E456" s="1272" t="s">
        <v>1743</v>
      </c>
      <c r="F456" s="1274">
        <v>42160</v>
      </c>
      <c r="G456" s="1275">
        <v>42095</v>
      </c>
      <c r="H456" s="1274">
        <v>42153</v>
      </c>
      <c r="I456" s="1276">
        <v>44316</v>
      </c>
      <c r="J456" s="1277">
        <v>10</v>
      </c>
      <c r="K456" s="1278" t="s">
        <v>3229</v>
      </c>
      <c r="L456" s="1279" t="s">
        <v>3229</v>
      </c>
      <c r="M456" s="1280">
        <v>0</v>
      </c>
      <c r="N456" s="1281">
        <v>1</v>
      </c>
      <c r="O456" s="1282">
        <v>0.8</v>
      </c>
      <c r="P456" s="1283" t="s">
        <v>3229</v>
      </c>
      <c r="Q456" s="1283" t="s">
        <v>3229</v>
      </c>
      <c r="R456" s="1284" t="s">
        <v>3229</v>
      </c>
      <c r="S456" s="1285"/>
      <c r="T456" s="1286" t="s">
        <v>3229</v>
      </c>
      <c r="U456" s="1286" t="s">
        <v>3229</v>
      </c>
      <c r="V456" s="1286" t="s">
        <v>3229</v>
      </c>
      <c r="W456" s="1286" t="s">
        <v>3229</v>
      </c>
      <c r="X456" s="1286" t="s">
        <v>3229</v>
      </c>
      <c r="Y456" s="1286" t="s">
        <v>3229</v>
      </c>
      <c r="Z456" s="1286" t="s">
        <v>3229</v>
      </c>
      <c r="AA456" s="1286" t="s">
        <v>3229</v>
      </c>
      <c r="AB456" s="1286" t="s">
        <v>3229</v>
      </c>
      <c r="AC456" s="1286" t="s">
        <v>3229</v>
      </c>
      <c r="AD456" s="1286" t="s">
        <v>3229</v>
      </c>
      <c r="AE456" s="1286" t="s">
        <v>3229</v>
      </c>
      <c r="AF456" s="3764" t="s">
        <v>781</v>
      </c>
      <c r="AG456" s="3765"/>
      <c r="AH456" s="1287" t="s">
        <v>3229</v>
      </c>
      <c r="AI456" s="1288" t="s">
        <v>3229</v>
      </c>
      <c r="AJ456" s="1288" t="s">
        <v>3229</v>
      </c>
      <c r="AK456" s="1288" t="s">
        <v>3229</v>
      </c>
      <c r="AL456" s="1288" t="s">
        <v>3229</v>
      </c>
      <c r="AM456" s="1288">
        <v>1</v>
      </c>
      <c r="AN456" s="1289">
        <f>'klikací hodnoty'!F14677</f>
        <v>4.1885777777777786E-2</v>
      </c>
      <c r="AO456" s="1290">
        <v>10.42</v>
      </c>
      <c r="AP456" s="1371">
        <f>'klikací hodnoty'!F14676</f>
        <v>4.1885777777777786E-2</v>
      </c>
      <c r="AQ456" s="1281">
        <f>'klikací hodnoty'!F14657</f>
        <v>0.10389705148964951</v>
      </c>
      <c r="AR456" s="1291">
        <f>O456</f>
        <v>0.8</v>
      </c>
      <c r="AS456" s="1292">
        <f>POWER(1+AR456,1/((I456-F456)/365))-1</f>
        <v>0.10462878569555167</v>
      </c>
      <c r="AT456" s="1292">
        <f>J456*(1+AR456)/AO456-1</f>
        <v>0.72744721689059499</v>
      </c>
      <c r="AU456" s="1293" t="e">
        <f>POWER(1+AT456,1/AG456)-1</f>
        <v>#DIV/0!</v>
      </c>
      <c r="AV456" s="1294">
        <f t="shared" si="115"/>
        <v>0</v>
      </c>
      <c r="AW456" s="1295">
        <f t="shared" si="116"/>
        <v>0</v>
      </c>
      <c r="AX456" s="1296">
        <f t="shared" si="112"/>
        <v>-4.0307101727447225E-2</v>
      </c>
      <c r="AY456" s="1297" t="e">
        <f t="shared" si="113"/>
        <v>#DIV/0!</v>
      </c>
      <c r="AZ456" s="1298">
        <f t="shared" si="114"/>
        <v>10</v>
      </c>
      <c r="BA456" s="1299"/>
      <c r="BB456" s="1285"/>
      <c r="BC456" s="1300"/>
      <c r="BH456" s="3763"/>
      <c r="BI456" s="3763"/>
      <c r="BJ456" s="1639"/>
      <c r="BK456" s="1639"/>
      <c r="BL456" s="1639"/>
      <c r="BM456" s="1639"/>
      <c r="BN456" s="1639"/>
      <c r="BO456" s="1639"/>
      <c r="BP456" s="1639"/>
      <c r="BQ456" s="1639"/>
      <c r="BR456" s="1639"/>
      <c r="BS456" s="509"/>
      <c r="BT456" s="509"/>
      <c r="BU456" s="509"/>
      <c r="BV456" s="509"/>
      <c r="BW456" s="509"/>
      <c r="BX456" s="509"/>
      <c r="BY456" s="509"/>
      <c r="BZ456" s="509"/>
      <c r="CA456" s="509"/>
      <c r="CB456" s="509"/>
      <c r="CC456" s="509"/>
      <c r="CD456" s="509"/>
      <c r="CE456" s="509"/>
      <c r="CF456" s="509"/>
      <c r="CG456" s="509"/>
      <c r="CH456" s="509"/>
      <c r="CI456" s="509"/>
      <c r="CJ456" s="509"/>
      <c r="CK456" s="509"/>
      <c r="CL456" s="509"/>
      <c r="CM456" s="509"/>
      <c r="CN456" s="509"/>
      <c r="CO456" s="509"/>
      <c r="CP456" s="509"/>
      <c r="CQ456" s="509"/>
      <c r="CR456" s="509"/>
      <c r="CS456" s="509"/>
      <c r="CT456" s="509"/>
      <c r="CU456" s="509"/>
      <c r="CV456" s="509"/>
      <c r="CW456" s="509"/>
      <c r="CX456" s="509"/>
      <c r="CY456" s="509"/>
      <c r="CZ456" s="509"/>
      <c r="DA456" s="509"/>
      <c r="DB456" s="509"/>
      <c r="DC456" s="509"/>
      <c r="DD456" s="509"/>
      <c r="DE456" s="509"/>
      <c r="DF456" s="509"/>
      <c r="DG456" s="509"/>
      <c r="DH456" s="509"/>
      <c r="DI456" s="509"/>
      <c r="DJ456" s="509"/>
      <c r="DK456" s="509"/>
      <c r="DL456" s="509"/>
      <c r="DM456" s="509"/>
      <c r="DN456" s="509"/>
      <c r="DO456" s="509"/>
      <c r="DP456" s="509"/>
      <c r="DQ456" s="509"/>
      <c r="DR456" s="509"/>
      <c r="DS456" s="509"/>
      <c r="DT456" s="509"/>
      <c r="DU456" s="509"/>
      <c r="DV456" s="509"/>
      <c r="DW456" s="509"/>
      <c r="DX456" s="509"/>
      <c r="DY456" s="509"/>
      <c r="DZ456" s="509"/>
      <c r="EA456" s="509"/>
      <c r="EB456" s="509"/>
      <c r="EC456" s="509"/>
      <c r="ED456" s="509"/>
      <c r="EE456" s="509"/>
      <c r="EF456" s="509"/>
      <c r="EG456" s="509"/>
      <c r="EH456" s="509"/>
      <c r="EI456" s="509"/>
      <c r="EJ456" s="509"/>
      <c r="EK456" s="509"/>
      <c r="EL456" s="509"/>
      <c r="EM456" s="509"/>
      <c r="EN456" s="509"/>
      <c r="EO456" s="509"/>
      <c r="EP456" s="509"/>
      <c r="EQ456" s="509"/>
      <c r="ER456" s="509"/>
      <c r="ES456" s="509"/>
      <c r="ET456" s="509"/>
      <c r="EU456" s="509"/>
      <c r="EV456" s="509"/>
      <c r="EW456" s="509"/>
      <c r="EX456" s="509"/>
      <c r="EY456" s="509"/>
      <c r="EZ456" s="509"/>
      <c r="FA456" s="509"/>
      <c r="FB456" s="509"/>
      <c r="FC456" s="509"/>
      <c r="FD456" s="509"/>
      <c r="FE456" s="509"/>
      <c r="FF456" s="509"/>
      <c r="FG456" s="509"/>
      <c r="FH456" s="509"/>
      <c r="FI456" s="509"/>
      <c r="FJ456" s="509"/>
      <c r="FK456" s="509"/>
      <c r="FL456" s="509"/>
      <c r="FM456" s="509"/>
      <c r="FN456" s="509"/>
      <c r="FO456" s="509"/>
      <c r="FP456" s="509"/>
      <c r="FQ456" s="509"/>
      <c r="FR456" s="509"/>
      <c r="FS456" s="509"/>
      <c r="FT456" s="509"/>
      <c r="FU456" s="509"/>
      <c r="FV456" s="509"/>
      <c r="FW456" s="509"/>
      <c r="FX456" s="509"/>
      <c r="FY456" s="509"/>
      <c r="FZ456" s="509"/>
      <c r="GA456" s="509"/>
      <c r="GB456" s="509"/>
      <c r="GC456" s="509"/>
      <c r="GD456" s="509"/>
      <c r="GE456" s="509"/>
      <c r="GF456" s="509"/>
      <c r="GG456" s="509"/>
      <c r="GH456" s="509"/>
      <c r="GI456" s="509"/>
      <c r="GJ456" s="509"/>
      <c r="GK456" s="509"/>
      <c r="GL456" s="509"/>
      <c r="GM456" s="509"/>
      <c r="GN456" s="509"/>
      <c r="GO456" s="509"/>
      <c r="GP456" s="509"/>
      <c r="GQ456" s="509"/>
      <c r="GR456" s="509"/>
      <c r="GS456" s="509"/>
      <c r="GT456" s="509"/>
      <c r="GU456" s="509"/>
      <c r="GV456" s="509"/>
      <c r="GW456" s="509"/>
      <c r="GX456" s="509"/>
      <c r="GY456" s="509"/>
      <c r="GZ456" s="509"/>
      <c r="HA456" s="509"/>
      <c r="HB456" s="509"/>
      <c r="HC456" s="509"/>
      <c r="HD456" s="509"/>
      <c r="HE456" s="509"/>
      <c r="HF456" s="509"/>
      <c r="HG456" s="509"/>
      <c r="HH456" s="509"/>
      <c r="HI456" s="509"/>
      <c r="HJ456" s="509"/>
      <c r="HK456" s="509"/>
      <c r="HL456" s="509"/>
      <c r="HM456" s="509"/>
      <c r="HN456" s="509"/>
      <c r="HO456" s="509"/>
      <c r="HP456" s="509"/>
      <c r="HQ456" s="509"/>
      <c r="HR456" s="509"/>
      <c r="HS456" s="509"/>
      <c r="HT456" s="509"/>
      <c r="HU456" s="509"/>
      <c r="HV456" s="509"/>
      <c r="HW456" s="509"/>
      <c r="HX456" s="509"/>
      <c r="HY456" s="509"/>
      <c r="HZ456" s="509"/>
    </row>
    <row r="457" spans="1:234" ht="13.5" hidden="1" customHeight="1" x14ac:dyDescent="0.25">
      <c r="A457" s="1270" t="s">
        <v>6868</v>
      </c>
      <c r="B457" s="1271" t="s">
        <v>6867</v>
      </c>
      <c r="C457" s="1272" t="s">
        <v>6869</v>
      </c>
      <c r="D457" s="1273" t="s">
        <v>189</v>
      </c>
      <c r="E457" s="1272" t="s">
        <v>3228</v>
      </c>
      <c r="F457" s="1274">
        <v>42160</v>
      </c>
      <c r="G457" s="1275">
        <v>42101</v>
      </c>
      <c r="H457" s="1274">
        <v>42152</v>
      </c>
      <c r="I457" s="1276">
        <v>44316</v>
      </c>
      <c r="J457" s="1277">
        <v>10</v>
      </c>
      <c r="K457" s="1278" t="s">
        <v>3229</v>
      </c>
      <c r="L457" s="1279" t="s">
        <v>3229</v>
      </c>
      <c r="M457" s="1280">
        <v>-1</v>
      </c>
      <c r="N457" s="1281">
        <v>1</v>
      </c>
      <c r="O457" s="1282" t="s">
        <v>3229</v>
      </c>
      <c r="P457" s="1283" t="s">
        <v>3229</v>
      </c>
      <c r="Q457" s="1283" t="s">
        <v>3229</v>
      </c>
      <c r="R457" s="1284" t="s">
        <v>3229</v>
      </c>
      <c r="S457" s="1285"/>
      <c r="T457" s="1286" t="s">
        <v>3229</v>
      </c>
      <c r="U457" s="1286" t="s">
        <v>3229</v>
      </c>
      <c r="V457" s="1286" t="s">
        <v>3229</v>
      </c>
      <c r="W457" s="1286" t="s">
        <v>3229</v>
      </c>
      <c r="X457" s="1286" t="s">
        <v>3229</v>
      </c>
      <c r="Y457" s="1286" t="s">
        <v>3229</v>
      </c>
      <c r="Z457" s="1286" t="s">
        <v>3229</v>
      </c>
      <c r="AA457" s="1286" t="s">
        <v>3229</v>
      </c>
      <c r="AB457" s="1286" t="s">
        <v>3229</v>
      </c>
      <c r="AC457" s="1286" t="s">
        <v>3229</v>
      </c>
      <c r="AD457" s="1286" t="s">
        <v>3229</v>
      </c>
      <c r="AE457" s="1286" t="s">
        <v>3229</v>
      </c>
      <c r="AF457" s="3764" t="s">
        <v>781</v>
      </c>
      <c r="AG457" s="3765"/>
      <c r="AH457" s="1287" t="s">
        <v>3229</v>
      </c>
      <c r="AI457" s="1288" t="s">
        <v>3229</v>
      </c>
      <c r="AJ457" s="1288" t="s">
        <v>3229</v>
      </c>
      <c r="AK457" s="1288" t="s">
        <v>3229</v>
      </c>
      <c r="AL457" s="1288" t="s">
        <v>3229</v>
      </c>
      <c r="AM457" s="1288">
        <v>1</v>
      </c>
      <c r="AN457" s="1289">
        <f>'klikací hodnoty'!F14733</f>
        <v>0.12188577777777779</v>
      </c>
      <c r="AO457" s="1290">
        <v>11.22</v>
      </c>
      <c r="AP457" s="1371">
        <f>'klikací hodnoty'!F14732</f>
        <v>4.1885777777777786E-2</v>
      </c>
      <c r="AQ457" s="1281">
        <f>'klikací hodnoty'!F14713</f>
        <v>0.10400512407461307</v>
      </c>
      <c r="AR457" s="1291" t="s">
        <v>3660</v>
      </c>
      <c r="AS457" s="1292"/>
      <c r="AT457" s="1292"/>
      <c r="AU457" s="1293"/>
      <c r="AV457" s="1294">
        <f t="shared" si="115"/>
        <v>-1</v>
      </c>
      <c r="AW457" s="1295">
        <f t="shared" si="116"/>
        <v>-1</v>
      </c>
      <c r="AX457" s="1296">
        <f t="shared" si="112"/>
        <v>-1</v>
      </c>
      <c r="AY457" s="1297" t="e">
        <f t="shared" si="113"/>
        <v>#DIV/0!</v>
      </c>
      <c r="AZ457" s="1298">
        <f t="shared" si="114"/>
        <v>0</v>
      </c>
      <c r="BA457" s="1299"/>
      <c r="BB457" s="1285"/>
      <c r="BC457" s="1300"/>
      <c r="BH457" s="3763"/>
      <c r="BI457" s="3763"/>
      <c r="BJ457" s="1639"/>
      <c r="BK457" s="1639"/>
      <c r="BL457" s="1639"/>
      <c r="BM457" s="1639"/>
      <c r="BN457" s="1639"/>
      <c r="BO457" s="1639"/>
      <c r="BP457" s="1639"/>
      <c r="BQ457" s="1639"/>
      <c r="BR457" s="1639"/>
      <c r="BS457" s="509"/>
      <c r="BT457" s="509"/>
      <c r="BU457" s="509"/>
      <c r="BV457" s="509"/>
      <c r="BW457" s="509"/>
      <c r="BX457" s="509"/>
      <c r="BY457" s="509"/>
      <c r="BZ457" s="509"/>
      <c r="CA457" s="509"/>
      <c r="CB457" s="509"/>
      <c r="CC457" s="509"/>
      <c r="CD457" s="509"/>
      <c r="CE457" s="509"/>
      <c r="CF457" s="509"/>
      <c r="CG457" s="509"/>
      <c r="CH457" s="509"/>
      <c r="CI457" s="509"/>
      <c r="CJ457" s="509"/>
      <c r="CK457" s="509"/>
      <c r="CL457" s="509"/>
      <c r="CM457" s="509"/>
      <c r="CN457" s="509"/>
      <c r="CO457" s="509"/>
      <c r="CP457" s="509"/>
      <c r="CQ457" s="509"/>
      <c r="CR457" s="509"/>
      <c r="CS457" s="509"/>
      <c r="CT457" s="509"/>
      <c r="CU457" s="509"/>
      <c r="CV457" s="509"/>
      <c r="CW457" s="509"/>
      <c r="CX457" s="509"/>
      <c r="CY457" s="509"/>
      <c r="CZ457" s="509"/>
      <c r="DA457" s="509"/>
      <c r="DB457" s="509"/>
      <c r="DC457" s="509"/>
      <c r="DD457" s="509"/>
      <c r="DE457" s="509"/>
      <c r="DF457" s="509"/>
      <c r="DG457" s="509"/>
      <c r="DH457" s="509"/>
      <c r="DI457" s="509"/>
      <c r="DJ457" s="509"/>
      <c r="DK457" s="509"/>
      <c r="DL457" s="509"/>
      <c r="DM457" s="509"/>
      <c r="DN457" s="509"/>
      <c r="DO457" s="509"/>
      <c r="DP457" s="509"/>
      <c r="DQ457" s="509"/>
      <c r="DR457" s="509"/>
      <c r="DS457" s="509"/>
      <c r="DT457" s="509"/>
      <c r="DU457" s="509"/>
      <c r="DV457" s="509"/>
      <c r="DW457" s="509"/>
      <c r="DX457" s="509"/>
      <c r="DY457" s="509"/>
      <c r="DZ457" s="509"/>
      <c r="EA457" s="509"/>
      <c r="EB457" s="509"/>
      <c r="EC457" s="509"/>
      <c r="ED457" s="509"/>
      <c r="EE457" s="509"/>
      <c r="EF457" s="509"/>
      <c r="EG457" s="509"/>
      <c r="EH457" s="509"/>
      <c r="EI457" s="509"/>
      <c r="EJ457" s="509"/>
      <c r="EK457" s="509"/>
      <c r="EL457" s="509"/>
      <c r="EM457" s="509"/>
      <c r="EN457" s="509"/>
      <c r="EO457" s="509"/>
      <c r="EP457" s="509"/>
      <c r="EQ457" s="509"/>
      <c r="ER457" s="509"/>
      <c r="ES457" s="509"/>
      <c r="ET457" s="509"/>
      <c r="EU457" s="509"/>
      <c r="EV457" s="509"/>
      <c r="EW457" s="509"/>
      <c r="EX457" s="509"/>
      <c r="EY457" s="509"/>
      <c r="EZ457" s="509"/>
      <c r="FA457" s="509"/>
      <c r="FB457" s="509"/>
      <c r="FC457" s="509"/>
      <c r="FD457" s="509"/>
      <c r="FE457" s="509"/>
      <c r="FF457" s="509"/>
      <c r="FG457" s="509"/>
      <c r="FH457" s="509"/>
      <c r="FI457" s="509"/>
      <c r="FJ457" s="509"/>
      <c r="FK457" s="509"/>
      <c r="FL457" s="509"/>
      <c r="FM457" s="509"/>
      <c r="FN457" s="509"/>
      <c r="FO457" s="509"/>
      <c r="FP457" s="509"/>
      <c r="FQ457" s="509"/>
      <c r="FR457" s="509"/>
      <c r="FS457" s="509"/>
      <c r="FT457" s="509"/>
      <c r="FU457" s="509"/>
      <c r="FV457" s="509"/>
      <c r="FW457" s="509"/>
      <c r="FX457" s="509"/>
      <c r="FY457" s="509"/>
      <c r="FZ457" s="509"/>
      <c r="GA457" s="509"/>
      <c r="GB457" s="509"/>
      <c r="GC457" s="509"/>
      <c r="GD457" s="509"/>
      <c r="GE457" s="509"/>
      <c r="GF457" s="509"/>
      <c r="GG457" s="509"/>
      <c r="GH457" s="509"/>
      <c r="GI457" s="509"/>
      <c r="GJ457" s="509"/>
      <c r="GK457" s="509"/>
      <c r="GL457" s="509"/>
      <c r="GM457" s="509"/>
      <c r="GN457" s="509"/>
      <c r="GO457" s="509"/>
      <c r="GP457" s="509"/>
      <c r="GQ457" s="509"/>
      <c r="GR457" s="509"/>
      <c r="GS457" s="509"/>
      <c r="GT457" s="509"/>
      <c r="GU457" s="509"/>
      <c r="GV457" s="509"/>
      <c r="GW457" s="509"/>
      <c r="GX457" s="509"/>
      <c r="GY457" s="509"/>
      <c r="GZ457" s="509"/>
      <c r="HA457" s="509"/>
      <c r="HB457" s="509"/>
      <c r="HC457" s="509"/>
      <c r="HD457" s="509"/>
      <c r="HE457" s="509"/>
      <c r="HF457" s="509"/>
      <c r="HG457" s="509"/>
      <c r="HH457" s="509"/>
      <c r="HI457" s="509"/>
      <c r="HJ457" s="509"/>
      <c r="HK457" s="509"/>
      <c r="HL457" s="509"/>
      <c r="HM457" s="509"/>
      <c r="HN457" s="509"/>
      <c r="HO457" s="509"/>
      <c r="HP457" s="509"/>
      <c r="HQ457" s="509"/>
      <c r="HR457" s="509"/>
      <c r="HS457" s="509"/>
      <c r="HT457" s="509"/>
      <c r="HU457" s="509"/>
      <c r="HV457" s="509"/>
      <c r="HW457" s="509"/>
      <c r="HX457" s="509"/>
      <c r="HY457" s="509"/>
      <c r="HZ457" s="509"/>
    </row>
    <row r="458" spans="1:234" ht="13.5" hidden="1" customHeight="1" x14ac:dyDescent="0.25">
      <c r="A458" s="1270" t="s">
        <v>6870</v>
      </c>
      <c r="B458" s="1271" t="s">
        <v>6871</v>
      </c>
      <c r="C458" s="1272" t="s">
        <v>7258</v>
      </c>
      <c r="D458" s="1273" t="s">
        <v>189</v>
      </c>
      <c r="E458" s="1272" t="s">
        <v>3228</v>
      </c>
      <c r="F458" s="1274">
        <v>42192</v>
      </c>
      <c r="G458" s="1275">
        <v>42128</v>
      </c>
      <c r="H458" s="1274">
        <v>42185</v>
      </c>
      <c r="I458" s="1276">
        <v>44347</v>
      </c>
      <c r="J458" s="1277">
        <v>10</v>
      </c>
      <c r="K458" s="1278" t="s">
        <v>3229</v>
      </c>
      <c r="L458" s="1279" t="s">
        <v>3229</v>
      </c>
      <c r="M458" s="1280">
        <v>-1</v>
      </c>
      <c r="N458" s="1281">
        <v>1</v>
      </c>
      <c r="O458" s="1282" t="s">
        <v>3229</v>
      </c>
      <c r="P458" s="1283" t="s">
        <v>3229</v>
      </c>
      <c r="Q458" s="1283" t="s">
        <v>3229</v>
      </c>
      <c r="R458" s="1284" t="s">
        <v>3229</v>
      </c>
      <c r="S458" s="1285"/>
      <c r="T458" s="1286" t="s">
        <v>3229</v>
      </c>
      <c r="U458" s="1286" t="s">
        <v>3229</v>
      </c>
      <c r="V458" s="1286" t="s">
        <v>3229</v>
      </c>
      <c r="W458" s="1286" t="s">
        <v>3229</v>
      </c>
      <c r="X458" s="1286" t="s">
        <v>3229</v>
      </c>
      <c r="Y458" s="1286" t="s">
        <v>3229</v>
      </c>
      <c r="Z458" s="1286" t="s">
        <v>3229</v>
      </c>
      <c r="AA458" s="1286" t="s">
        <v>3229</v>
      </c>
      <c r="AB458" s="1286" t="s">
        <v>3229</v>
      </c>
      <c r="AC458" s="1286" t="s">
        <v>3229</v>
      </c>
      <c r="AD458" s="1286" t="s">
        <v>3229</v>
      </c>
      <c r="AE458" s="1286" t="s">
        <v>3229</v>
      </c>
      <c r="AF458" s="3764" t="s">
        <v>781</v>
      </c>
      <c r="AG458" s="3765">
        <f>(I458-indexy!$B$1)/365</f>
        <v>-2.8273972602739725</v>
      </c>
      <c r="AH458" s="1287" t="s">
        <v>3229</v>
      </c>
      <c r="AI458" s="1288" t="s">
        <v>3229</v>
      </c>
      <c r="AJ458" s="1288" t="s">
        <v>3229</v>
      </c>
      <c r="AK458" s="1288" t="s">
        <v>3229</v>
      </c>
      <c r="AL458" s="1288" t="s">
        <v>3229</v>
      </c>
      <c r="AM458" s="1288">
        <v>1</v>
      </c>
      <c r="AN458" s="1289">
        <f>'klikací hodnoty'!F14788</f>
        <v>1.6853777777777783E-2</v>
      </c>
      <c r="AO458" s="1290">
        <v>10.17</v>
      </c>
      <c r="AP458" s="1371">
        <f>'klikací hodnoty'!F14787</f>
        <v>1.6853777777777783E-2</v>
      </c>
      <c r="AQ458" s="1281">
        <f>'klikací hodnoty'!F14768</f>
        <v>5.3073831607405836E-2</v>
      </c>
      <c r="AR458" s="1291" t="s">
        <v>3660</v>
      </c>
      <c r="AS458" s="1292"/>
      <c r="AT458" s="1292"/>
      <c r="AU458" s="1293"/>
      <c r="AV458" s="1294">
        <f t="shared" si="115"/>
        <v>-1</v>
      </c>
      <c r="AW458" s="1295">
        <f t="shared" si="116"/>
        <v>-1</v>
      </c>
      <c r="AX458" s="1296">
        <f t="shared" si="112"/>
        <v>-1</v>
      </c>
      <c r="AY458" s="1297" t="e">
        <f t="shared" si="113"/>
        <v>#DIV/0!</v>
      </c>
      <c r="AZ458" s="1298">
        <f t="shared" si="114"/>
        <v>0</v>
      </c>
      <c r="BA458" s="1299"/>
      <c r="BB458" s="1285"/>
      <c r="BC458" s="1300"/>
      <c r="BH458" s="3763"/>
      <c r="BI458" s="3763"/>
      <c r="BJ458" s="1639"/>
      <c r="BK458" s="1639"/>
      <c r="BL458" s="1639"/>
      <c r="BM458" s="1639"/>
      <c r="BN458" s="1639"/>
      <c r="BO458" s="1639"/>
      <c r="BP458" s="1639"/>
      <c r="BQ458" s="1639"/>
      <c r="BR458" s="1639"/>
      <c r="BS458" s="509"/>
      <c r="BT458" s="509"/>
      <c r="BU458" s="509"/>
      <c r="BV458" s="509"/>
      <c r="BW458" s="509"/>
      <c r="BX458" s="509"/>
      <c r="BY458" s="509"/>
      <c r="BZ458" s="509"/>
      <c r="CA458" s="509"/>
      <c r="CB458" s="509"/>
      <c r="CC458" s="509"/>
      <c r="CD458" s="509"/>
      <c r="CE458" s="509"/>
      <c r="CF458" s="509"/>
      <c r="CG458" s="509"/>
      <c r="CH458" s="509"/>
      <c r="CI458" s="509"/>
      <c r="CJ458" s="509"/>
      <c r="CK458" s="509"/>
      <c r="CL458" s="509"/>
      <c r="CM458" s="509"/>
      <c r="CN458" s="509"/>
      <c r="CO458" s="509"/>
      <c r="CP458" s="509"/>
      <c r="CQ458" s="509"/>
      <c r="CR458" s="509"/>
      <c r="CS458" s="509"/>
      <c r="CT458" s="509"/>
      <c r="CU458" s="509"/>
      <c r="CV458" s="509"/>
      <c r="CW458" s="509"/>
      <c r="CX458" s="509"/>
      <c r="CY458" s="509"/>
      <c r="CZ458" s="509"/>
      <c r="DA458" s="509"/>
      <c r="DB458" s="509"/>
      <c r="DC458" s="509"/>
      <c r="DD458" s="509"/>
      <c r="DE458" s="509"/>
      <c r="DF458" s="509"/>
      <c r="DG458" s="509"/>
      <c r="DH458" s="509"/>
      <c r="DI458" s="509"/>
      <c r="DJ458" s="509"/>
      <c r="DK458" s="509"/>
      <c r="DL458" s="509"/>
      <c r="DM458" s="509"/>
      <c r="DN458" s="509"/>
      <c r="DO458" s="509"/>
      <c r="DP458" s="509"/>
      <c r="DQ458" s="509"/>
      <c r="DR458" s="509"/>
      <c r="DS458" s="509"/>
      <c r="DT458" s="509"/>
      <c r="DU458" s="509"/>
      <c r="DV458" s="509"/>
      <c r="DW458" s="509"/>
      <c r="DX458" s="509"/>
      <c r="DY458" s="509"/>
      <c r="DZ458" s="509"/>
      <c r="EA458" s="509"/>
      <c r="EB458" s="509"/>
      <c r="EC458" s="509"/>
      <c r="ED458" s="509"/>
      <c r="EE458" s="509"/>
      <c r="EF458" s="509"/>
      <c r="EG458" s="509"/>
      <c r="EH458" s="509"/>
      <c r="EI458" s="509"/>
      <c r="EJ458" s="509"/>
      <c r="EK458" s="509"/>
      <c r="EL458" s="509"/>
      <c r="EM458" s="509"/>
      <c r="EN458" s="509"/>
      <c r="EO458" s="509"/>
      <c r="EP458" s="509"/>
      <c r="EQ458" s="509"/>
      <c r="ER458" s="509"/>
      <c r="ES458" s="509"/>
      <c r="ET458" s="509"/>
      <c r="EU458" s="509"/>
      <c r="EV458" s="509"/>
      <c r="EW458" s="509"/>
      <c r="EX458" s="509"/>
      <c r="EY458" s="509"/>
      <c r="EZ458" s="509"/>
      <c r="FA458" s="509"/>
      <c r="FB458" s="509"/>
      <c r="FC458" s="509"/>
      <c r="FD458" s="509"/>
      <c r="FE458" s="509"/>
      <c r="FF458" s="509"/>
      <c r="FG458" s="509"/>
      <c r="FH458" s="509"/>
      <c r="FI458" s="509"/>
      <c r="FJ458" s="509"/>
      <c r="FK458" s="509"/>
      <c r="FL458" s="509"/>
      <c r="FM458" s="509"/>
      <c r="FN458" s="509"/>
      <c r="FO458" s="509"/>
      <c r="FP458" s="509"/>
      <c r="FQ458" s="509"/>
      <c r="FR458" s="509"/>
      <c r="FS458" s="509"/>
      <c r="FT458" s="509"/>
      <c r="FU458" s="509"/>
      <c r="FV458" s="509"/>
      <c r="FW458" s="509"/>
      <c r="FX458" s="509"/>
      <c r="FY458" s="509"/>
      <c r="FZ458" s="509"/>
      <c r="GA458" s="509"/>
      <c r="GB458" s="509"/>
      <c r="GC458" s="509"/>
      <c r="GD458" s="509"/>
      <c r="GE458" s="509"/>
      <c r="GF458" s="509"/>
      <c r="GG458" s="509"/>
      <c r="GH458" s="509"/>
      <c r="GI458" s="509"/>
      <c r="GJ458" s="509"/>
      <c r="GK458" s="509"/>
      <c r="GL458" s="509"/>
      <c r="GM458" s="509"/>
      <c r="GN458" s="509"/>
      <c r="GO458" s="509"/>
      <c r="GP458" s="509"/>
      <c r="GQ458" s="509"/>
      <c r="GR458" s="509"/>
      <c r="GS458" s="509"/>
      <c r="GT458" s="509"/>
      <c r="GU458" s="509"/>
      <c r="GV458" s="509"/>
      <c r="GW458" s="509"/>
      <c r="GX458" s="509"/>
      <c r="GY458" s="509"/>
      <c r="GZ458" s="509"/>
      <c r="HA458" s="509"/>
      <c r="HB458" s="509"/>
      <c r="HC458" s="509"/>
      <c r="HD458" s="509"/>
      <c r="HE458" s="509"/>
      <c r="HF458" s="509"/>
      <c r="HG458" s="509"/>
      <c r="HH458" s="509"/>
      <c r="HI458" s="509"/>
      <c r="HJ458" s="509"/>
      <c r="HK458" s="509"/>
      <c r="HL458" s="509"/>
      <c r="HM458" s="509"/>
      <c r="HN458" s="509"/>
      <c r="HO458" s="509"/>
      <c r="HP458" s="509"/>
      <c r="HQ458" s="509"/>
      <c r="HR458" s="509"/>
      <c r="HS458" s="509"/>
      <c r="HT458" s="509"/>
      <c r="HU458" s="509"/>
      <c r="HV458" s="509"/>
      <c r="HW458" s="509"/>
      <c r="HX458" s="509"/>
      <c r="HY458" s="509"/>
      <c r="HZ458" s="509"/>
    </row>
    <row r="459" spans="1:234" ht="13.5" hidden="1" customHeight="1" x14ac:dyDescent="0.25">
      <c r="A459" s="1270" t="s">
        <v>6875</v>
      </c>
      <c r="B459" s="1271" t="s">
        <v>6876</v>
      </c>
      <c r="C459" s="1272" t="s">
        <v>6877</v>
      </c>
      <c r="D459" s="1273" t="s">
        <v>189</v>
      </c>
      <c r="E459" s="1272" t="s">
        <v>905</v>
      </c>
      <c r="F459" s="1274">
        <v>42226</v>
      </c>
      <c r="G459" s="1275">
        <v>42156</v>
      </c>
      <c r="H459" s="1274">
        <v>42216</v>
      </c>
      <c r="I459" s="1276">
        <v>44439</v>
      </c>
      <c r="J459" s="1277">
        <v>10</v>
      </c>
      <c r="K459" s="1278" t="s">
        <v>3229</v>
      </c>
      <c r="L459" s="1279" t="s">
        <v>3229</v>
      </c>
      <c r="M459" s="1280">
        <v>-0.85</v>
      </c>
      <c r="N459" s="1281">
        <v>0.7</v>
      </c>
      <c r="O459" s="1282">
        <v>0.7</v>
      </c>
      <c r="P459" s="1283" t="s">
        <v>3229</v>
      </c>
      <c r="Q459" s="1283" t="s">
        <v>3229</v>
      </c>
      <c r="R459" s="1284" t="s">
        <v>3229</v>
      </c>
      <c r="S459" s="1285"/>
      <c r="T459" s="1286" t="s">
        <v>3229</v>
      </c>
      <c r="U459" s="1286" t="s">
        <v>3229</v>
      </c>
      <c r="V459" s="1286" t="s">
        <v>3229</v>
      </c>
      <c r="W459" s="1286" t="s">
        <v>3229</v>
      </c>
      <c r="X459" s="1286" t="s">
        <v>3229</v>
      </c>
      <c r="Y459" s="1286" t="s">
        <v>3229</v>
      </c>
      <c r="Z459" s="1286" t="s">
        <v>3229</v>
      </c>
      <c r="AA459" s="1286" t="s">
        <v>3229</v>
      </c>
      <c r="AB459" s="1286" t="s">
        <v>3229</v>
      </c>
      <c r="AC459" s="1286" t="s">
        <v>3229</v>
      </c>
      <c r="AD459" s="1286" t="s">
        <v>3229</v>
      </c>
      <c r="AE459" s="1286" t="s">
        <v>3229</v>
      </c>
      <c r="AF459" s="3764" t="s">
        <v>781</v>
      </c>
      <c r="AG459" s="3765">
        <f>(I459-indexy!$B$1)/365</f>
        <v>-2.5753424657534247</v>
      </c>
      <c r="AH459" s="1287" t="s">
        <v>3229</v>
      </c>
      <c r="AI459" s="1288" t="s">
        <v>3229</v>
      </c>
      <c r="AJ459" s="1288" t="s">
        <v>3229</v>
      </c>
      <c r="AK459" s="1288" t="s">
        <v>3229</v>
      </c>
      <c r="AL459" s="1288" t="s">
        <v>3229</v>
      </c>
      <c r="AM459" s="1288">
        <v>1</v>
      </c>
      <c r="AN459" s="1289">
        <f>'klikací hodnoty'!F14500</f>
        <v>-2.06E-2</v>
      </c>
      <c r="AO459" s="1290">
        <v>9.7899999999999991</v>
      </c>
      <c r="AP459" s="1371">
        <f>+'klikací hodnoty'!F14498</f>
        <v>-0.1706</v>
      </c>
      <c r="AQ459" s="1281">
        <f>+'klikací hodnoty'!Z14498</f>
        <v>-2.1307960471767085E-2</v>
      </c>
      <c r="AR459" s="1291">
        <f>O459</f>
        <v>0.7</v>
      </c>
      <c r="AS459" s="1292">
        <f>POWER(1+AR459,1/((I459-F459)/365))-1</f>
        <v>9.1462885961085982E-2</v>
      </c>
      <c r="AT459" s="1292">
        <f>J459*(1+AR459)/AO459-1</f>
        <v>0.73646578140960184</v>
      </c>
      <c r="AU459" s="1293">
        <f>POWER(1+AT459,1/AG459)-1</f>
        <v>-0.19287999264442657</v>
      </c>
      <c r="AV459" s="1294">
        <f>M459</f>
        <v>-0.85</v>
      </c>
      <c r="AW459" s="1295">
        <f>POWER(1+AV459,1/((I459-F459)/365))-1</f>
        <v>-0.26867732047381576</v>
      </c>
      <c r="AX459" s="1296">
        <f t="shared" ref="AX459:AX464" si="117">J459*(1+AV459)/AO459-1</f>
        <v>-0.84678243105209394</v>
      </c>
      <c r="AY459" s="1297">
        <f t="shared" ref="AY459:AY464" si="118">POWER(1+AX459,1/AG459)-1</f>
        <v>1.0717767259155666</v>
      </c>
      <c r="AZ459" s="1298">
        <f t="shared" si="114"/>
        <v>1.5000000000000002</v>
      </c>
      <c r="BA459" s="1299"/>
      <c r="BB459" s="1285"/>
      <c r="BC459" s="1300"/>
      <c r="BH459" s="3763"/>
      <c r="BI459" s="3763"/>
      <c r="BJ459" s="1639"/>
      <c r="BK459" s="1639"/>
      <c r="BL459" s="1639"/>
      <c r="BM459" s="1639"/>
      <c r="BN459" s="1639"/>
      <c r="BO459" s="1639"/>
      <c r="BP459" s="1639"/>
      <c r="BQ459" s="1639"/>
      <c r="BR459" s="1639"/>
      <c r="BS459" s="509"/>
      <c r="BT459" s="509"/>
      <c r="BU459" s="509"/>
      <c r="BV459" s="509"/>
      <c r="BW459" s="509"/>
      <c r="BX459" s="509"/>
      <c r="BY459" s="509"/>
      <c r="BZ459" s="509"/>
      <c r="CA459" s="509"/>
      <c r="CB459" s="509"/>
      <c r="CC459" s="509"/>
      <c r="CD459" s="509"/>
      <c r="CE459" s="509"/>
      <c r="CF459" s="509"/>
      <c r="CG459" s="509"/>
      <c r="CH459" s="509"/>
      <c r="CI459" s="509"/>
      <c r="CJ459" s="509"/>
      <c r="CK459" s="509"/>
      <c r="CL459" s="509"/>
      <c r="CM459" s="509"/>
      <c r="CN459" s="509"/>
      <c r="CO459" s="509"/>
      <c r="CP459" s="509"/>
      <c r="CQ459" s="509"/>
      <c r="CR459" s="509"/>
      <c r="CS459" s="509"/>
      <c r="CT459" s="509"/>
      <c r="CU459" s="509"/>
      <c r="CV459" s="509"/>
      <c r="CW459" s="509"/>
      <c r="CX459" s="509"/>
      <c r="CY459" s="509"/>
      <c r="CZ459" s="509"/>
      <c r="DA459" s="509"/>
      <c r="DB459" s="509"/>
      <c r="DC459" s="509"/>
      <c r="DD459" s="509"/>
      <c r="DE459" s="509"/>
      <c r="DF459" s="509"/>
      <c r="DG459" s="509"/>
      <c r="DH459" s="509"/>
      <c r="DI459" s="509"/>
      <c r="DJ459" s="509"/>
      <c r="DK459" s="509"/>
      <c r="DL459" s="509"/>
      <c r="DM459" s="509"/>
      <c r="DN459" s="509"/>
      <c r="DO459" s="509"/>
      <c r="DP459" s="509"/>
      <c r="DQ459" s="509"/>
      <c r="DR459" s="509"/>
      <c r="DS459" s="509"/>
      <c r="DT459" s="509"/>
      <c r="DU459" s="509"/>
      <c r="DV459" s="509"/>
      <c r="DW459" s="509"/>
      <c r="DX459" s="509"/>
      <c r="DY459" s="509"/>
      <c r="DZ459" s="509"/>
      <c r="EA459" s="509"/>
      <c r="EB459" s="509"/>
      <c r="EC459" s="509"/>
      <c r="ED459" s="509"/>
      <c r="EE459" s="509"/>
      <c r="EF459" s="509"/>
      <c r="EG459" s="509"/>
      <c r="EH459" s="509"/>
      <c r="EI459" s="509"/>
      <c r="EJ459" s="509"/>
      <c r="EK459" s="509"/>
      <c r="EL459" s="509"/>
      <c r="EM459" s="509"/>
      <c r="EN459" s="509"/>
      <c r="EO459" s="509"/>
      <c r="EP459" s="509"/>
      <c r="EQ459" s="509"/>
      <c r="ER459" s="509"/>
      <c r="ES459" s="509"/>
      <c r="ET459" s="509"/>
      <c r="EU459" s="509"/>
      <c r="EV459" s="509"/>
      <c r="EW459" s="509"/>
      <c r="EX459" s="509"/>
      <c r="EY459" s="509"/>
      <c r="EZ459" s="509"/>
      <c r="FA459" s="509"/>
      <c r="FB459" s="509"/>
      <c r="FC459" s="509"/>
      <c r="FD459" s="509"/>
      <c r="FE459" s="509"/>
      <c r="FF459" s="509"/>
      <c r="FG459" s="509"/>
      <c r="FH459" s="509"/>
      <c r="FI459" s="509"/>
      <c r="FJ459" s="509"/>
      <c r="FK459" s="509"/>
      <c r="FL459" s="509"/>
      <c r="FM459" s="509"/>
      <c r="FN459" s="509"/>
      <c r="FO459" s="509"/>
      <c r="FP459" s="509"/>
      <c r="FQ459" s="509"/>
      <c r="FR459" s="509"/>
      <c r="FS459" s="509"/>
      <c r="FT459" s="509"/>
      <c r="FU459" s="509"/>
      <c r="FV459" s="509"/>
      <c r="FW459" s="509"/>
      <c r="FX459" s="509"/>
      <c r="FY459" s="509"/>
      <c r="FZ459" s="509"/>
      <c r="GA459" s="509"/>
      <c r="GB459" s="509"/>
      <c r="GC459" s="509"/>
      <c r="GD459" s="509"/>
      <c r="GE459" s="509"/>
      <c r="GF459" s="509"/>
      <c r="GG459" s="509"/>
      <c r="GH459" s="509"/>
      <c r="GI459" s="509"/>
      <c r="GJ459" s="509"/>
      <c r="GK459" s="509"/>
      <c r="GL459" s="509"/>
      <c r="GM459" s="509"/>
      <c r="GN459" s="509"/>
      <c r="GO459" s="509"/>
      <c r="GP459" s="509"/>
      <c r="GQ459" s="509"/>
      <c r="GR459" s="509"/>
      <c r="GS459" s="509"/>
      <c r="GT459" s="509"/>
      <c r="GU459" s="509"/>
      <c r="GV459" s="509"/>
      <c r="GW459" s="509"/>
      <c r="GX459" s="509"/>
      <c r="GY459" s="509"/>
      <c r="GZ459" s="509"/>
      <c r="HA459" s="509"/>
      <c r="HB459" s="509"/>
      <c r="HC459" s="509"/>
      <c r="HD459" s="509"/>
      <c r="HE459" s="509"/>
      <c r="HF459" s="509"/>
      <c r="HG459" s="509"/>
      <c r="HH459" s="509"/>
      <c r="HI459" s="509"/>
      <c r="HJ459" s="509"/>
      <c r="HK459" s="509"/>
      <c r="HL459" s="509"/>
      <c r="HM459" s="509"/>
      <c r="HN459" s="509"/>
      <c r="HO459" s="509"/>
      <c r="HP459" s="509"/>
      <c r="HQ459" s="509"/>
      <c r="HR459" s="509"/>
      <c r="HS459" s="509"/>
      <c r="HT459" s="509"/>
      <c r="HU459" s="509"/>
      <c r="HV459" s="509"/>
      <c r="HW459" s="509"/>
      <c r="HX459" s="509"/>
      <c r="HY459" s="509"/>
      <c r="HZ459" s="509"/>
    </row>
    <row r="460" spans="1:234" ht="13.5" hidden="1" customHeight="1" x14ac:dyDescent="0.25">
      <c r="A460" s="1270" t="s">
        <v>6929</v>
      </c>
      <c r="B460" s="1271" t="s">
        <v>6930</v>
      </c>
      <c r="C460" s="1272" t="s">
        <v>6928</v>
      </c>
      <c r="D460" s="1273" t="s">
        <v>189</v>
      </c>
      <c r="E460" s="1272" t="s">
        <v>3228</v>
      </c>
      <c r="F460" s="1274">
        <v>42254</v>
      </c>
      <c r="G460" s="1275">
        <v>42186</v>
      </c>
      <c r="H460" s="1274">
        <v>42247</v>
      </c>
      <c r="I460" s="1276">
        <v>44407</v>
      </c>
      <c r="J460" s="1277">
        <v>10</v>
      </c>
      <c r="K460" s="1278" t="s">
        <v>3229</v>
      </c>
      <c r="L460" s="1279" t="s">
        <v>3229</v>
      </c>
      <c r="M460" s="1280">
        <v>-1</v>
      </c>
      <c r="N460" s="1281">
        <v>1</v>
      </c>
      <c r="O460" s="1282" t="s">
        <v>3229</v>
      </c>
      <c r="P460" s="1283" t="s">
        <v>3229</v>
      </c>
      <c r="Q460" s="1283" t="s">
        <v>3229</v>
      </c>
      <c r="R460" s="1284" t="s">
        <v>3229</v>
      </c>
      <c r="S460" s="1285"/>
      <c r="T460" s="1286" t="s">
        <v>3229</v>
      </c>
      <c r="U460" s="1286" t="s">
        <v>3229</v>
      </c>
      <c r="V460" s="1286" t="s">
        <v>3229</v>
      </c>
      <c r="W460" s="1286" t="s">
        <v>3229</v>
      </c>
      <c r="X460" s="1286" t="s">
        <v>3229</v>
      </c>
      <c r="Y460" s="1286" t="s">
        <v>3229</v>
      </c>
      <c r="Z460" s="1286" t="s">
        <v>3229</v>
      </c>
      <c r="AA460" s="1286" t="s">
        <v>3229</v>
      </c>
      <c r="AB460" s="1286" t="s">
        <v>3229</v>
      </c>
      <c r="AC460" s="1286" t="s">
        <v>3229</v>
      </c>
      <c r="AD460" s="1286" t="s">
        <v>3229</v>
      </c>
      <c r="AE460" s="1286" t="s">
        <v>3229</v>
      </c>
      <c r="AF460" s="3764" t="s">
        <v>781</v>
      </c>
      <c r="AG460" s="3765">
        <f>(I460-indexy!$B$1)/365</f>
        <v>-2.6630136986301371</v>
      </c>
      <c r="AH460" s="1287" t="s">
        <v>3229</v>
      </c>
      <c r="AI460" s="1288" t="s">
        <v>3229</v>
      </c>
      <c r="AJ460" s="1288" t="s">
        <v>3229</v>
      </c>
      <c r="AK460" s="1288" t="s">
        <v>3229</v>
      </c>
      <c r="AL460" s="1288" t="s">
        <v>3229</v>
      </c>
      <c r="AM460" s="1288">
        <v>1</v>
      </c>
      <c r="AN460" s="1289">
        <f>'klikací hodnoty'!F14612</f>
        <v>3.6872722222222196E-2</v>
      </c>
      <c r="AO460" s="1290">
        <v>10.37</v>
      </c>
      <c r="AP460" s="1371">
        <f>+'klikací hodnoty'!I14563</f>
        <v>3.6872722222222196E-2</v>
      </c>
      <c r="AQ460" s="1281">
        <f>'klikací hodnoty'!F14592</f>
        <v>6.8194777712032112E-2</v>
      </c>
      <c r="AR460" s="1291" t="s">
        <v>3660</v>
      </c>
      <c r="AS460" s="1292"/>
      <c r="AT460" s="1292"/>
      <c r="AU460" s="1293"/>
      <c r="AV460" s="1294">
        <f t="shared" si="115"/>
        <v>-1</v>
      </c>
      <c r="AW460" s="1295">
        <f t="shared" si="116"/>
        <v>-1</v>
      </c>
      <c r="AX460" s="1296">
        <f t="shared" si="117"/>
        <v>-1</v>
      </c>
      <c r="AY460" s="1297" t="e">
        <f t="shared" si="118"/>
        <v>#DIV/0!</v>
      </c>
      <c r="AZ460" s="1298">
        <f t="shared" si="114"/>
        <v>0</v>
      </c>
      <c r="BA460" s="1299"/>
      <c r="BB460" s="1285"/>
      <c r="BC460" s="1300"/>
      <c r="BH460" s="3763"/>
      <c r="BI460" s="3763"/>
      <c r="BJ460" s="1639"/>
      <c r="BK460" s="1639"/>
      <c r="BL460" s="1639"/>
      <c r="BM460" s="1639"/>
      <c r="BN460" s="1639"/>
      <c r="BO460" s="1639"/>
      <c r="BP460" s="1639"/>
      <c r="BQ460" s="1639"/>
      <c r="BR460" s="1639"/>
      <c r="BS460" s="509"/>
      <c r="BT460" s="509"/>
      <c r="BU460" s="509"/>
      <c r="BV460" s="509"/>
      <c r="BW460" s="509"/>
      <c r="BX460" s="509"/>
      <c r="BY460" s="509"/>
      <c r="BZ460" s="509"/>
      <c r="CA460" s="509"/>
      <c r="CB460" s="509"/>
      <c r="CC460" s="509"/>
      <c r="CD460" s="509"/>
      <c r="CE460" s="509"/>
      <c r="CF460" s="509"/>
      <c r="CG460" s="509"/>
      <c r="CH460" s="509"/>
      <c r="CI460" s="509"/>
      <c r="CJ460" s="509"/>
      <c r="CK460" s="509"/>
      <c r="CL460" s="509"/>
      <c r="CM460" s="509"/>
      <c r="CN460" s="509"/>
      <c r="CO460" s="509"/>
      <c r="CP460" s="509"/>
      <c r="CQ460" s="509"/>
      <c r="CR460" s="509"/>
      <c r="CS460" s="509"/>
      <c r="CT460" s="509"/>
      <c r="CU460" s="509"/>
      <c r="CV460" s="509"/>
      <c r="CW460" s="509"/>
      <c r="CX460" s="509"/>
      <c r="CY460" s="509"/>
      <c r="CZ460" s="509"/>
      <c r="DA460" s="509"/>
      <c r="DB460" s="509"/>
      <c r="DC460" s="509"/>
      <c r="DD460" s="509"/>
      <c r="DE460" s="509"/>
      <c r="DF460" s="509"/>
      <c r="DG460" s="509"/>
      <c r="DH460" s="509"/>
      <c r="DI460" s="509"/>
      <c r="DJ460" s="509"/>
      <c r="DK460" s="509"/>
      <c r="DL460" s="509"/>
      <c r="DM460" s="509"/>
      <c r="DN460" s="509"/>
      <c r="DO460" s="509"/>
      <c r="DP460" s="509"/>
      <c r="DQ460" s="509"/>
      <c r="DR460" s="509"/>
      <c r="DS460" s="509"/>
      <c r="DT460" s="509"/>
      <c r="DU460" s="509"/>
      <c r="DV460" s="509"/>
      <c r="DW460" s="509"/>
      <c r="DX460" s="509"/>
      <c r="DY460" s="509"/>
      <c r="DZ460" s="509"/>
      <c r="EA460" s="509"/>
      <c r="EB460" s="509"/>
      <c r="EC460" s="509"/>
      <c r="ED460" s="509"/>
      <c r="EE460" s="509"/>
      <c r="EF460" s="509"/>
      <c r="EG460" s="509"/>
      <c r="EH460" s="509"/>
      <c r="EI460" s="509"/>
      <c r="EJ460" s="509"/>
      <c r="EK460" s="509"/>
      <c r="EL460" s="509"/>
      <c r="EM460" s="509"/>
      <c r="EN460" s="509"/>
      <c r="EO460" s="509"/>
      <c r="EP460" s="509"/>
      <c r="EQ460" s="509"/>
      <c r="ER460" s="509"/>
      <c r="ES460" s="509"/>
      <c r="ET460" s="509"/>
      <c r="EU460" s="509"/>
      <c r="EV460" s="509"/>
      <c r="EW460" s="509"/>
      <c r="EX460" s="509"/>
      <c r="EY460" s="509"/>
      <c r="EZ460" s="509"/>
      <c r="FA460" s="509"/>
      <c r="FB460" s="509"/>
      <c r="FC460" s="509"/>
      <c r="FD460" s="509"/>
      <c r="FE460" s="509"/>
      <c r="FF460" s="509"/>
      <c r="FG460" s="509"/>
      <c r="FH460" s="509"/>
      <c r="FI460" s="509"/>
      <c r="FJ460" s="509"/>
      <c r="FK460" s="509"/>
      <c r="FL460" s="509"/>
      <c r="FM460" s="509"/>
      <c r="FN460" s="509"/>
      <c r="FO460" s="509"/>
      <c r="FP460" s="509"/>
      <c r="FQ460" s="509"/>
      <c r="FR460" s="509"/>
      <c r="FS460" s="509"/>
      <c r="FT460" s="509"/>
      <c r="FU460" s="509"/>
      <c r="FV460" s="509"/>
      <c r="FW460" s="509"/>
      <c r="FX460" s="509"/>
      <c r="FY460" s="509"/>
      <c r="FZ460" s="509"/>
      <c r="GA460" s="509"/>
      <c r="GB460" s="509"/>
      <c r="GC460" s="509"/>
      <c r="GD460" s="509"/>
      <c r="GE460" s="509"/>
      <c r="GF460" s="509"/>
      <c r="GG460" s="509"/>
      <c r="GH460" s="509"/>
      <c r="GI460" s="509"/>
      <c r="GJ460" s="509"/>
      <c r="GK460" s="509"/>
      <c r="GL460" s="509"/>
      <c r="GM460" s="509"/>
      <c r="GN460" s="509"/>
      <c r="GO460" s="509"/>
      <c r="GP460" s="509"/>
      <c r="GQ460" s="509"/>
      <c r="GR460" s="509"/>
      <c r="GS460" s="509"/>
      <c r="GT460" s="509"/>
      <c r="GU460" s="509"/>
      <c r="GV460" s="509"/>
      <c r="GW460" s="509"/>
      <c r="GX460" s="509"/>
      <c r="GY460" s="509"/>
      <c r="GZ460" s="509"/>
      <c r="HA460" s="509"/>
      <c r="HB460" s="509"/>
      <c r="HC460" s="509"/>
      <c r="HD460" s="509"/>
      <c r="HE460" s="509"/>
      <c r="HF460" s="509"/>
      <c r="HG460" s="509"/>
      <c r="HH460" s="509"/>
      <c r="HI460" s="509"/>
      <c r="HJ460" s="509"/>
      <c r="HK460" s="509"/>
      <c r="HL460" s="509"/>
      <c r="HM460" s="509"/>
      <c r="HN460" s="509"/>
      <c r="HO460" s="509"/>
      <c r="HP460" s="509"/>
      <c r="HQ460" s="509"/>
      <c r="HR460" s="509"/>
      <c r="HS460" s="509"/>
      <c r="HT460" s="509"/>
      <c r="HU460" s="509"/>
      <c r="HV460" s="509"/>
      <c r="HW460" s="509"/>
      <c r="HX460" s="509"/>
      <c r="HY460" s="509"/>
      <c r="HZ460" s="509"/>
    </row>
    <row r="461" spans="1:234" ht="13.5" hidden="1" customHeight="1" x14ac:dyDescent="0.25">
      <c r="A461" s="1270" t="s">
        <v>6931</v>
      </c>
      <c r="B461" s="1271" t="s">
        <v>6932</v>
      </c>
      <c r="C461" s="1272" t="s">
        <v>6933</v>
      </c>
      <c r="D461" s="1273" t="s">
        <v>6934</v>
      </c>
      <c r="E461" s="1272" t="s">
        <v>3228</v>
      </c>
      <c r="F461" s="1274">
        <v>42258</v>
      </c>
      <c r="G461" s="1275">
        <v>42186</v>
      </c>
      <c r="H461" s="1274">
        <v>42247</v>
      </c>
      <c r="I461" s="1276">
        <v>44742</v>
      </c>
      <c r="J461" s="1277">
        <v>10</v>
      </c>
      <c r="K461" s="1278" t="s">
        <v>3229</v>
      </c>
      <c r="L461" s="1279" t="s">
        <v>3229</v>
      </c>
      <c r="M461" s="1280">
        <v>-0.1</v>
      </c>
      <c r="N461" s="1281">
        <v>0.7</v>
      </c>
      <c r="O461" s="1282" t="s">
        <v>3229</v>
      </c>
      <c r="P461" s="1283" t="s">
        <v>3229</v>
      </c>
      <c r="Q461" s="1283" t="s">
        <v>3229</v>
      </c>
      <c r="R461" s="1284" t="s">
        <v>3229</v>
      </c>
      <c r="S461" s="1285"/>
      <c r="T461" s="1286" t="s">
        <v>3229</v>
      </c>
      <c r="U461" s="1286" t="s">
        <v>3229</v>
      </c>
      <c r="V461" s="1286" t="s">
        <v>3229</v>
      </c>
      <c r="W461" s="1286" t="s">
        <v>3229</v>
      </c>
      <c r="X461" s="1286" t="s">
        <v>3229</v>
      </c>
      <c r="Y461" s="1286" t="s">
        <v>3229</v>
      </c>
      <c r="Z461" s="1286" t="s">
        <v>3229</v>
      </c>
      <c r="AA461" s="1286" t="s">
        <v>3229</v>
      </c>
      <c r="AB461" s="1286" t="s">
        <v>3229</v>
      </c>
      <c r="AC461" s="1286" t="s">
        <v>3229</v>
      </c>
      <c r="AD461" s="1286" t="s">
        <v>3229</v>
      </c>
      <c r="AE461" s="1286" t="s">
        <v>3229</v>
      </c>
      <c r="AF461" s="3764" t="s">
        <v>781</v>
      </c>
      <c r="AG461" s="3765">
        <f>(I461-indexy!$B$1)/365</f>
        <v>-1.7452054794520548</v>
      </c>
      <c r="AH461" s="1287" t="s">
        <v>3229</v>
      </c>
      <c r="AI461" s="1288" t="s">
        <v>3229</v>
      </c>
      <c r="AJ461" s="1288" t="s">
        <v>3229</v>
      </c>
      <c r="AK461" s="1288" t="s">
        <v>3229</v>
      </c>
      <c r="AL461" s="1288" t="s">
        <v>3229</v>
      </c>
      <c r="AM461" s="1288">
        <v>1</v>
      </c>
      <c r="AN461" s="1289">
        <f>'klikací hodnoty'!F14556</f>
        <v>7.5920635893148417E-2</v>
      </c>
      <c r="AO461" s="1290">
        <v>10.76</v>
      </c>
      <c r="AP461" s="1371">
        <f>'klikací hodnoty'!E14555</f>
        <v>0.10845805127592632</v>
      </c>
      <c r="AQ461" s="1281">
        <f>'klikací hodnoty'!F14536</f>
        <v>0.12079979034279975</v>
      </c>
      <c r="AR461" s="1291" t="s">
        <v>3660</v>
      </c>
      <c r="AS461" s="1292"/>
      <c r="AT461" s="1292"/>
      <c r="AU461" s="1293"/>
      <c r="AV461" s="1294">
        <f t="shared" si="115"/>
        <v>-0.1</v>
      </c>
      <c r="AW461" s="1295">
        <f t="shared" si="116"/>
        <v>-1.536249254860389E-2</v>
      </c>
      <c r="AX461" s="1296">
        <f t="shared" si="117"/>
        <v>-0.16356877323420072</v>
      </c>
      <c r="AY461" s="1297">
        <f t="shared" si="118"/>
        <v>0.10776426631366953</v>
      </c>
      <c r="AZ461" s="1298">
        <f t="shared" si="114"/>
        <v>9</v>
      </c>
      <c r="BA461" s="1299"/>
      <c r="BB461" s="1285"/>
      <c r="BC461" s="1300"/>
      <c r="BH461" s="3763"/>
      <c r="BI461" s="3763"/>
      <c r="BJ461" s="1639"/>
      <c r="BK461" s="1639"/>
      <c r="BL461" s="1639"/>
      <c r="BM461" s="1639"/>
      <c r="BN461" s="1639"/>
      <c r="BO461" s="1639"/>
      <c r="BP461" s="1639"/>
      <c r="BQ461" s="1639"/>
      <c r="BR461" s="1639"/>
      <c r="BS461" s="509"/>
      <c r="BT461" s="509"/>
      <c r="BU461" s="509"/>
      <c r="BV461" s="509"/>
      <c r="BW461" s="509"/>
      <c r="BX461" s="509"/>
      <c r="BY461" s="509"/>
      <c r="BZ461" s="509"/>
      <c r="CA461" s="509"/>
      <c r="CB461" s="509"/>
      <c r="CC461" s="509"/>
      <c r="CD461" s="509"/>
      <c r="CE461" s="509"/>
      <c r="CF461" s="509"/>
      <c r="CG461" s="509"/>
      <c r="CH461" s="509"/>
      <c r="CI461" s="509"/>
      <c r="CJ461" s="509"/>
      <c r="CK461" s="509"/>
      <c r="CL461" s="509"/>
      <c r="CM461" s="509"/>
      <c r="CN461" s="509"/>
      <c r="CO461" s="509"/>
      <c r="CP461" s="509"/>
      <c r="CQ461" s="509"/>
      <c r="CR461" s="509"/>
      <c r="CS461" s="509"/>
      <c r="CT461" s="509"/>
      <c r="CU461" s="509"/>
      <c r="CV461" s="509"/>
      <c r="CW461" s="509"/>
      <c r="CX461" s="509"/>
      <c r="CY461" s="509"/>
      <c r="CZ461" s="509"/>
      <c r="DA461" s="509"/>
      <c r="DB461" s="509"/>
      <c r="DC461" s="509"/>
      <c r="DD461" s="509"/>
      <c r="DE461" s="509"/>
      <c r="DF461" s="509"/>
      <c r="DG461" s="509"/>
      <c r="DH461" s="509"/>
      <c r="DI461" s="509"/>
      <c r="DJ461" s="509"/>
      <c r="DK461" s="509"/>
      <c r="DL461" s="509"/>
      <c r="DM461" s="509"/>
      <c r="DN461" s="509"/>
      <c r="DO461" s="509"/>
      <c r="DP461" s="509"/>
      <c r="DQ461" s="509"/>
      <c r="DR461" s="509"/>
      <c r="DS461" s="509"/>
      <c r="DT461" s="509"/>
      <c r="DU461" s="509"/>
      <c r="DV461" s="509"/>
      <c r="DW461" s="509"/>
      <c r="DX461" s="509"/>
      <c r="DY461" s="509"/>
      <c r="DZ461" s="509"/>
      <c r="EA461" s="509"/>
      <c r="EB461" s="509"/>
      <c r="EC461" s="509"/>
      <c r="ED461" s="509"/>
      <c r="EE461" s="509"/>
      <c r="EF461" s="509"/>
      <c r="EG461" s="509"/>
      <c r="EH461" s="509"/>
      <c r="EI461" s="509"/>
      <c r="EJ461" s="509"/>
      <c r="EK461" s="509"/>
      <c r="EL461" s="509"/>
      <c r="EM461" s="509"/>
      <c r="EN461" s="509"/>
      <c r="EO461" s="509"/>
      <c r="EP461" s="509"/>
      <c r="EQ461" s="509"/>
      <c r="ER461" s="509"/>
      <c r="ES461" s="509"/>
      <c r="ET461" s="509"/>
      <c r="EU461" s="509"/>
      <c r="EV461" s="509"/>
      <c r="EW461" s="509"/>
      <c r="EX461" s="509"/>
      <c r="EY461" s="509"/>
      <c r="EZ461" s="509"/>
      <c r="FA461" s="509"/>
      <c r="FB461" s="509"/>
      <c r="FC461" s="509"/>
      <c r="FD461" s="509"/>
      <c r="FE461" s="509"/>
      <c r="FF461" s="509"/>
      <c r="FG461" s="509"/>
      <c r="FH461" s="509"/>
      <c r="FI461" s="509"/>
      <c r="FJ461" s="509"/>
      <c r="FK461" s="509"/>
      <c r="FL461" s="509"/>
      <c r="FM461" s="509"/>
      <c r="FN461" s="509"/>
      <c r="FO461" s="509"/>
      <c r="FP461" s="509"/>
      <c r="FQ461" s="509"/>
      <c r="FR461" s="509"/>
      <c r="FS461" s="509"/>
      <c r="FT461" s="509"/>
      <c r="FU461" s="509"/>
      <c r="FV461" s="509"/>
      <c r="FW461" s="509"/>
      <c r="FX461" s="509"/>
      <c r="FY461" s="509"/>
      <c r="FZ461" s="509"/>
      <c r="GA461" s="509"/>
      <c r="GB461" s="509"/>
      <c r="GC461" s="509"/>
      <c r="GD461" s="509"/>
      <c r="GE461" s="509"/>
      <c r="GF461" s="509"/>
      <c r="GG461" s="509"/>
      <c r="GH461" s="509"/>
      <c r="GI461" s="509"/>
      <c r="GJ461" s="509"/>
      <c r="GK461" s="509"/>
      <c r="GL461" s="509"/>
      <c r="GM461" s="509"/>
      <c r="GN461" s="509"/>
      <c r="GO461" s="509"/>
      <c r="GP461" s="509"/>
      <c r="GQ461" s="509"/>
      <c r="GR461" s="509"/>
      <c r="GS461" s="509"/>
      <c r="GT461" s="509"/>
      <c r="GU461" s="509"/>
      <c r="GV461" s="509"/>
      <c r="GW461" s="509"/>
      <c r="GX461" s="509"/>
      <c r="GY461" s="509"/>
      <c r="GZ461" s="509"/>
      <c r="HA461" s="509"/>
      <c r="HB461" s="509"/>
      <c r="HC461" s="509"/>
      <c r="HD461" s="509"/>
      <c r="HE461" s="509"/>
      <c r="HF461" s="509"/>
      <c r="HG461" s="509"/>
      <c r="HH461" s="509"/>
      <c r="HI461" s="509"/>
      <c r="HJ461" s="509"/>
      <c r="HK461" s="509"/>
      <c r="HL461" s="509"/>
      <c r="HM461" s="509"/>
      <c r="HN461" s="509"/>
      <c r="HO461" s="509"/>
      <c r="HP461" s="509"/>
      <c r="HQ461" s="509"/>
      <c r="HR461" s="509"/>
      <c r="HS461" s="509"/>
      <c r="HT461" s="509"/>
      <c r="HU461" s="509"/>
      <c r="HV461" s="509"/>
      <c r="HW461" s="509"/>
      <c r="HX461" s="509"/>
      <c r="HY461" s="509"/>
      <c r="HZ461" s="509"/>
    </row>
    <row r="462" spans="1:234" ht="13.5" hidden="1" customHeight="1" x14ac:dyDescent="0.25">
      <c r="A462" s="1270" t="s">
        <v>6965</v>
      </c>
      <c r="B462" s="1271" t="s">
        <v>6966</v>
      </c>
      <c r="C462" s="1272" t="s">
        <v>6967</v>
      </c>
      <c r="D462" s="1273" t="s">
        <v>189</v>
      </c>
      <c r="E462" s="1272" t="s">
        <v>3228</v>
      </c>
      <c r="F462" s="1274">
        <v>42284</v>
      </c>
      <c r="G462" s="1275">
        <v>42219</v>
      </c>
      <c r="H462" s="1274">
        <v>42277</v>
      </c>
      <c r="I462" s="1276">
        <v>43404</v>
      </c>
      <c r="J462" s="1277">
        <v>10</v>
      </c>
      <c r="K462" s="1278" t="s">
        <v>3229</v>
      </c>
      <c r="L462" s="1279" t="s">
        <v>3229</v>
      </c>
      <c r="M462" s="1280">
        <v>-1</v>
      </c>
      <c r="N462" s="1281" t="s">
        <v>3229</v>
      </c>
      <c r="O462" s="1282">
        <v>0.27</v>
      </c>
      <c r="P462" s="1283" t="s">
        <v>3229</v>
      </c>
      <c r="Q462" s="1283" t="s">
        <v>3229</v>
      </c>
      <c r="R462" s="1284" t="s">
        <v>3229</v>
      </c>
      <c r="S462" s="1285"/>
      <c r="T462" s="1286" t="s">
        <v>3229</v>
      </c>
      <c r="U462" s="1286" t="s">
        <v>3229</v>
      </c>
      <c r="V462" s="1286" t="s">
        <v>3229</v>
      </c>
      <c r="W462" s="1286" t="s">
        <v>3229</v>
      </c>
      <c r="X462" s="1286" t="s">
        <v>3229</v>
      </c>
      <c r="Y462" s="1286" t="s">
        <v>3229</v>
      </c>
      <c r="Z462" s="1286" t="s">
        <v>3229</v>
      </c>
      <c r="AA462" s="1286" t="s">
        <v>3229</v>
      </c>
      <c r="AB462" s="1286" t="s">
        <v>3229</v>
      </c>
      <c r="AC462" s="1286" t="s">
        <v>3229</v>
      </c>
      <c r="AD462" s="1286" t="s">
        <v>3229</v>
      </c>
      <c r="AE462" s="1286" t="s">
        <v>3229</v>
      </c>
      <c r="AF462" s="3764" t="s">
        <v>781</v>
      </c>
      <c r="AG462" s="3765"/>
      <c r="AH462" s="1287">
        <v>1</v>
      </c>
      <c r="AI462" s="1288" t="s">
        <v>3229</v>
      </c>
      <c r="AJ462" s="1288" t="s">
        <v>3229</v>
      </c>
      <c r="AK462" s="1288" t="s">
        <v>3229</v>
      </c>
      <c r="AL462" s="1288" t="s">
        <v>3229</v>
      </c>
      <c r="AM462" s="1288" t="s">
        <v>3229</v>
      </c>
      <c r="AN462" s="1289">
        <f>+'klikací hodnoty'!F14621</f>
        <v>0.13500000000000001</v>
      </c>
      <c r="AO462" s="1290">
        <v>11.35</v>
      </c>
      <c r="AP462" s="1371">
        <f>'klikací hodnoty'!F14621</f>
        <v>0.13500000000000001</v>
      </c>
      <c r="AQ462" s="1281">
        <f>'klikací hodnoty'!H14619</f>
        <v>4.6934252220740769E-2</v>
      </c>
      <c r="AR462" s="1291">
        <f>O462</f>
        <v>0.27</v>
      </c>
      <c r="AS462" s="1292">
        <f>POWER(1+AR462,1/((I462-F462)/365))-1</f>
        <v>8.100795828934193E-2</v>
      </c>
      <c r="AT462" s="1292">
        <f>J462*(1+AR462)/AO462-1</f>
        <v>0.11894273127753308</v>
      </c>
      <c r="AU462" s="1293" t="e">
        <f>POWER(1+AT462,1/AG462)-1</f>
        <v>#DIV/0!</v>
      </c>
      <c r="AV462" s="1294">
        <f t="shared" ref="AV462:AV468" si="119">M462</f>
        <v>-1</v>
      </c>
      <c r="AW462" s="1295">
        <f t="shared" ref="AW462:AW468" si="120">POWER(1+AV462,1/((I462-F462)/365))-1</f>
        <v>-1</v>
      </c>
      <c r="AX462" s="1296">
        <f t="shared" si="117"/>
        <v>-1</v>
      </c>
      <c r="AY462" s="1297" t="e">
        <f t="shared" si="118"/>
        <v>#DIV/0!</v>
      </c>
      <c r="AZ462" s="1298">
        <f t="shared" ref="AZ462:AZ468" si="121">J462*(1+AV462)</f>
        <v>0</v>
      </c>
      <c r="BA462" s="1299"/>
      <c r="BB462" s="1285"/>
      <c r="BC462" s="1300"/>
      <c r="BH462" s="3763"/>
      <c r="BI462" s="3763"/>
      <c r="BJ462" s="1639"/>
      <c r="BK462" s="1639"/>
      <c r="BL462" s="1639"/>
      <c r="BM462" s="1639"/>
      <c r="BN462" s="1639"/>
      <c r="BO462" s="1639"/>
      <c r="BP462" s="1639"/>
      <c r="BQ462" s="1639"/>
      <c r="BR462" s="1639"/>
      <c r="BS462" s="509"/>
      <c r="BT462" s="509"/>
      <c r="BU462" s="509"/>
      <c r="BV462" s="509"/>
      <c r="BW462" s="509"/>
      <c r="BX462" s="509"/>
      <c r="BY462" s="509"/>
      <c r="BZ462" s="509"/>
      <c r="CA462" s="509"/>
      <c r="CB462" s="509"/>
      <c r="CC462" s="509"/>
      <c r="CD462" s="509"/>
      <c r="CE462" s="509"/>
      <c r="CF462" s="509"/>
      <c r="CG462" s="509"/>
      <c r="CH462" s="509"/>
      <c r="CI462" s="509"/>
      <c r="CJ462" s="509"/>
      <c r="CK462" s="509"/>
      <c r="CL462" s="509"/>
      <c r="CM462" s="509"/>
      <c r="CN462" s="509"/>
      <c r="CO462" s="509"/>
      <c r="CP462" s="509"/>
      <c r="CQ462" s="509"/>
      <c r="CR462" s="509"/>
      <c r="CS462" s="509"/>
      <c r="CT462" s="509"/>
      <c r="CU462" s="509"/>
      <c r="CV462" s="509"/>
      <c r="CW462" s="509"/>
      <c r="CX462" s="509"/>
      <c r="CY462" s="509"/>
      <c r="CZ462" s="509"/>
      <c r="DA462" s="509"/>
      <c r="DB462" s="509"/>
      <c r="DC462" s="509"/>
      <c r="DD462" s="509"/>
      <c r="DE462" s="509"/>
      <c r="DF462" s="509"/>
      <c r="DG462" s="509"/>
      <c r="DH462" s="509"/>
      <c r="DI462" s="509"/>
      <c r="DJ462" s="509"/>
      <c r="DK462" s="509"/>
      <c r="DL462" s="509"/>
      <c r="DM462" s="509"/>
      <c r="DN462" s="509"/>
      <c r="DO462" s="509"/>
      <c r="DP462" s="509"/>
      <c r="DQ462" s="509"/>
      <c r="DR462" s="509"/>
      <c r="DS462" s="509"/>
      <c r="DT462" s="509"/>
      <c r="DU462" s="509"/>
      <c r="DV462" s="509"/>
      <c r="DW462" s="509"/>
      <c r="DX462" s="509"/>
      <c r="DY462" s="509"/>
      <c r="DZ462" s="509"/>
      <c r="EA462" s="509"/>
      <c r="EB462" s="509"/>
      <c r="EC462" s="509"/>
      <c r="ED462" s="509"/>
      <c r="EE462" s="509"/>
      <c r="EF462" s="509"/>
      <c r="EG462" s="509"/>
      <c r="EH462" s="509"/>
      <c r="EI462" s="509"/>
      <c r="EJ462" s="509"/>
      <c r="EK462" s="509"/>
      <c r="EL462" s="509"/>
      <c r="EM462" s="509"/>
      <c r="EN462" s="509"/>
      <c r="EO462" s="509"/>
      <c r="EP462" s="509"/>
      <c r="EQ462" s="509"/>
      <c r="ER462" s="509"/>
      <c r="ES462" s="509"/>
      <c r="ET462" s="509"/>
      <c r="EU462" s="509"/>
      <c r="EV462" s="509"/>
      <c r="EW462" s="509"/>
      <c r="EX462" s="509"/>
      <c r="EY462" s="509"/>
      <c r="EZ462" s="509"/>
      <c r="FA462" s="509"/>
      <c r="FB462" s="509"/>
      <c r="FC462" s="509"/>
      <c r="FD462" s="509"/>
      <c r="FE462" s="509"/>
      <c r="FF462" s="509"/>
      <c r="FG462" s="509"/>
      <c r="FH462" s="509"/>
      <c r="FI462" s="509"/>
      <c r="FJ462" s="509"/>
      <c r="FK462" s="509"/>
      <c r="FL462" s="509"/>
      <c r="FM462" s="509"/>
      <c r="FN462" s="509"/>
      <c r="FO462" s="509"/>
      <c r="FP462" s="509"/>
      <c r="FQ462" s="509"/>
      <c r="FR462" s="509"/>
      <c r="FS462" s="509"/>
      <c r="FT462" s="509"/>
      <c r="FU462" s="509"/>
      <c r="FV462" s="509"/>
      <c r="FW462" s="509"/>
      <c r="FX462" s="509"/>
      <c r="FY462" s="509"/>
      <c r="FZ462" s="509"/>
      <c r="GA462" s="509"/>
      <c r="GB462" s="509"/>
      <c r="GC462" s="509"/>
      <c r="GD462" s="509"/>
      <c r="GE462" s="509"/>
      <c r="GF462" s="509"/>
      <c r="GG462" s="509"/>
      <c r="GH462" s="509"/>
      <c r="GI462" s="509"/>
      <c r="GJ462" s="509"/>
      <c r="GK462" s="509"/>
      <c r="GL462" s="509"/>
      <c r="GM462" s="509"/>
      <c r="GN462" s="509"/>
      <c r="GO462" s="509"/>
      <c r="GP462" s="509"/>
      <c r="GQ462" s="509"/>
      <c r="GR462" s="509"/>
      <c r="GS462" s="509"/>
      <c r="GT462" s="509"/>
      <c r="GU462" s="509"/>
      <c r="GV462" s="509"/>
      <c r="GW462" s="509"/>
      <c r="GX462" s="509"/>
      <c r="GY462" s="509"/>
      <c r="GZ462" s="509"/>
      <c r="HA462" s="509"/>
      <c r="HB462" s="509"/>
      <c r="HC462" s="509"/>
      <c r="HD462" s="509"/>
      <c r="HE462" s="509"/>
      <c r="HF462" s="509"/>
      <c r="HG462" s="509"/>
      <c r="HH462" s="509"/>
      <c r="HI462" s="509"/>
      <c r="HJ462" s="509"/>
      <c r="HK462" s="509"/>
      <c r="HL462" s="509"/>
      <c r="HM462" s="509"/>
      <c r="HN462" s="509"/>
      <c r="HO462" s="509"/>
      <c r="HP462" s="509"/>
      <c r="HQ462" s="509"/>
      <c r="HR462" s="509"/>
      <c r="HS462" s="509"/>
      <c r="HT462" s="509"/>
      <c r="HU462" s="509"/>
      <c r="HV462" s="509"/>
      <c r="HW462" s="509"/>
      <c r="HX462" s="509"/>
      <c r="HY462" s="509"/>
      <c r="HZ462" s="509"/>
    </row>
    <row r="463" spans="1:234" ht="13.5" hidden="1" customHeight="1" x14ac:dyDescent="0.25">
      <c r="A463" s="1270" t="s">
        <v>6968</v>
      </c>
      <c r="B463" s="1271" t="s">
        <v>6969</v>
      </c>
      <c r="C463" s="1272" t="s">
        <v>6970</v>
      </c>
      <c r="D463" s="1273" t="s">
        <v>189</v>
      </c>
      <c r="E463" s="1272" t="s">
        <v>905</v>
      </c>
      <c r="F463" s="1274">
        <v>42285</v>
      </c>
      <c r="G463" s="1275">
        <v>42219</v>
      </c>
      <c r="H463" s="1274">
        <v>42277</v>
      </c>
      <c r="I463" s="1276">
        <v>44498</v>
      </c>
      <c r="J463" s="1277">
        <v>10</v>
      </c>
      <c r="K463" s="1278" t="s">
        <v>3229</v>
      </c>
      <c r="L463" s="1279" t="s">
        <v>3229</v>
      </c>
      <c r="M463" s="1280">
        <v>-0.1</v>
      </c>
      <c r="N463" s="1281">
        <v>0.9</v>
      </c>
      <c r="O463" s="1282">
        <v>0.6</v>
      </c>
      <c r="P463" s="1283" t="s">
        <v>3229</v>
      </c>
      <c r="Q463" s="1283" t="s">
        <v>3229</v>
      </c>
      <c r="R463" s="1284" t="s">
        <v>3229</v>
      </c>
      <c r="S463" s="1285"/>
      <c r="T463" s="1286" t="s">
        <v>3229</v>
      </c>
      <c r="U463" s="1286" t="s">
        <v>3229</v>
      </c>
      <c r="V463" s="1286" t="s">
        <v>3229</v>
      </c>
      <c r="W463" s="1286" t="s">
        <v>3229</v>
      </c>
      <c r="X463" s="1286" t="s">
        <v>3229</v>
      </c>
      <c r="Y463" s="1286" t="s">
        <v>3229</v>
      </c>
      <c r="Z463" s="1286" t="s">
        <v>3229</v>
      </c>
      <c r="AA463" s="1286" t="s">
        <v>3229</v>
      </c>
      <c r="AB463" s="1286" t="s">
        <v>3229</v>
      </c>
      <c r="AC463" s="1286" t="s">
        <v>3229</v>
      </c>
      <c r="AD463" s="1286" t="s">
        <v>3229</v>
      </c>
      <c r="AE463" s="1286" t="s">
        <v>3229</v>
      </c>
      <c r="AF463" s="3764" t="s">
        <v>781</v>
      </c>
      <c r="AG463" s="3765"/>
      <c r="AH463" s="1287" t="s">
        <v>3229</v>
      </c>
      <c r="AI463" s="1288" t="s">
        <v>3229</v>
      </c>
      <c r="AJ463" s="1288" t="s">
        <v>3229</v>
      </c>
      <c r="AK463" s="1288" t="s">
        <v>3229</v>
      </c>
      <c r="AL463" s="1288" t="s">
        <v>3229</v>
      </c>
      <c r="AM463" s="1288">
        <v>1</v>
      </c>
      <c r="AN463" s="1289">
        <f>'klikací hodnoty'!F14844</f>
        <v>1.7600000000000001E-2</v>
      </c>
      <c r="AO463" s="1290">
        <v>10.18</v>
      </c>
      <c r="AP463" s="1371">
        <f>'klikací hodnoty'!F14843</f>
        <v>1.9633888888888902E-2</v>
      </c>
      <c r="AQ463" s="1281">
        <f>'klikací hodnoty'!F14824</f>
        <v>0.1130726134415557</v>
      </c>
      <c r="AR463" s="1291">
        <f>O463</f>
        <v>0.6</v>
      </c>
      <c r="AS463" s="1292">
        <f>POWER(1+AR463,1/((I463-F463)/365))-1</f>
        <v>8.0603631750798543E-2</v>
      </c>
      <c r="AT463" s="1292">
        <f>J463*(1+AR463)/AO463-1</f>
        <v>0.57170923379174865</v>
      </c>
      <c r="AU463" s="1293" t="e">
        <f>POWER(1+AT463,1/AG463)-1</f>
        <v>#DIV/0!</v>
      </c>
      <c r="AV463" s="1294">
        <f>M463</f>
        <v>-0.1</v>
      </c>
      <c r="AW463" s="1295">
        <f>POWER(1+AV463,1/((I463-F463)/365))-1</f>
        <v>-1.722746231668093E-2</v>
      </c>
      <c r="AX463" s="1296">
        <f t="shared" si="117"/>
        <v>-0.11591355599214148</v>
      </c>
      <c r="AY463" s="1297" t="e">
        <f t="shared" si="118"/>
        <v>#DIV/0!</v>
      </c>
      <c r="AZ463" s="1298">
        <f t="shared" si="121"/>
        <v>9</v>
      </c>
      <c r="BA463" s="1299"/>
      <c r="BB463" s="1285"/>
      <c r="BC463" s="1300"/>
      <c r="BH463" s="3763"/>
      <c r="BI463" s="3763"/>
      <c r="BJ463" s="1639"/>
      <c r="BK463" s="1639"/>
      <c r="BL463" s="1639"/>
      <c r="BM463" s="1639"/>
      <c r="BN463" s="1639"/>
      <c r="BO463" s="1639"/>
      <c r="BP463" s="1639"/>
      <c r="BQ463" s="1639"/>
      <c r="BR463" s="1639"/>
      <c r="BS463" s="509"/>
      <c r="BT463" s="509"/>
      <c r="BU463" s="509"/>
      <c r="BV463" s="509"/>
      <c r="BW463" s="509"/>
      <c r="BX463" s="509"/>
      <c r="BY463" s="509"/>
      <c r="BZ463" s="509"/>
      <c r="CA463" s="509"/>
      <c r="CB463" s="509"/>
      <c r="CC463" s="509"/>
      <c r="CD463" s="509"/>
      <c r="CE463" s="509"/>
      <c r="CF463" s="509"/>
      <c r="CG463" s="509"/>
      <c r="CH463" s="509"/>
      <c r="CI463" s="509"/>
      <c r="CJ463" s="509"/>
      <c r="CK463" s="509"/>
      <c r="CL463" s="509"/>
      <c r="CM463" s="509"/>
      <c r="CN463" s="509"/>
      <c r="CO463" s="509"/>
      <c r="CP463" s="509"/>
      <c r="CQ463" s="509"/>
      <c r="CR463" s="509"/>
      <c r="CS463" s="509"/>
      <c r="CT463" s="509"/>
      <c r="CU463" s="509"/>
      <c r="CV463" s="509"/>
      <c r="CW463" s="509"/>
      <c r="CX463" s="509"/>
      <c r="CY463" s="509"/>
      <c r="CZ463" s="509"/>
      <c r="DA463" s="509"/>
      <c r="DB463" s="509"/>
      <c r="DC463" s="509"/>
      <c r="DD463" s="509"/>
      <c r="DE463" s="509"/>
      <c r="DF463" s="509"/>
      <c r="DG463" s="509"/>
      <c r="DH463" s="509"/>
      <c r="DI463" s="509"/>
      <c r="DJ463" s="509"/>
      <c r="DK463" s="509"/>
      <c r="DL463" s="509"/>
      <c r="DM463" s="509"/>
      <c r="DN463" s="509"/>
      <c r="DO463" s="509"/>
      <c r="DP463" s="509"/>
      <c r="DQ463" s="509"/>
      <c r="DR463" s="509"/>
      <c r="DS463" s="509"/>
      <c r="DT463" s="509"/>
      <c r="DU463" s="509"/>
      <c r="DV463" s="509"/>
      <c r="DW463" s="509"/>
      <c r="DX463" s="509"/>
      <c r="DY463" s="509"/>
      <c r="DZ463" s="509"/>
      <c r="EA463" s="509"/>
      <c r="EB463" s="509"/>
      <c r="EC463" s="509"/>
      <c r="ED463" s="509"/>
      <c r="EE463" s="509"/>
      <c r="EF463" s="509"/>
      <c r="EG463" s="509"/>
      <c r="EH463" s="509"/>
      <c r="EI463" s="509"/>
      <c r="EJ463" s="509"/>
      <c r="EK463" s="509"/>
      <c r="EL463" s="509"/>
      <c r="EM463" s="509"/>
      <c r="EN463" s="509"/>
      <c r="EO463" s="509"/>
      <c r="EP463" s="509"/>
      <c r="EQ463" s="509"/>
      <c r="ER463" s="509"/>
      <c r="ES463" s="509"/>
      <c r="ET463" s="509"/>
      <c r="EU463" s="509"/>
      <c r="EV463" s="509"/>
      <c r="EW463" s="509"/>
      <c r="EX463" s="509"/>
      <c r="EY463" s="509"/>
      <c r="EZ463" s="509"/>
      <c r="FA463" s="509"/>
      <c r="FB463" s="509"/>
      <c r="FC463" s="509"/>
      <c r="FD463" s="509"/>
      <c r="FE463" s="509"/>
      <c r="FF463" s="509"/>
      <c r="FG463" s="509"/>
      <c r="FH463" s="509"/>
      <c r="FI463" s="509"/>
      <c r="FJ463" s="509"/>
      <c r="FK463" s="509"/>
      <c r="FL463" s="509"/>
      <c r="FM463" s="509"/>
      <c r="FN463" s="509"/>
      <c r="FO463" s="509"/>
      <c r="FP463" s="509"/>
      <c r="FQ463" s="509"/>
      <c r="FR463" s="509"/>
      <c r="FS463" s="509"/>
      <c r="FT463" s="509"/>
      <c r="FU463" s="509"/>
      <c r="FV463" s="509"/>
      <c r="FW463" s="509"/>
      <c r="FX463" s="509"/>
      <c r="FY463" s="509"/>
      <c r="FZ463" s="509"/>
      <c r="GA463" s="509"/>
      <c r="GB463" s="509"/>
      <c r="GC463" s="509"/>
      <c r="GD463" s="509"/>
      <c r="GE463" s="509"/>
      <c r="GF463" s="509"/>
      <c r="GG463" s="509"/>
      <c r="GH463" s="509"/>
      <c r="GI463" s="509"/>
      <c r="GJ463" s="509"/>
      <c r="GK463" s="509"/>
      <c r="GL463" s="509"/>
      <c r="GM463" s="509"/>
      <c r="GN463" s="509"/>
      <c r="GO463" s="509"/>
      <c r="GP463" s="509"/>
      <c r="GQ463" s="509"/>
      <c r="GR463" s="509"/>
      <c r="GS463" s="509"/>
      <c r="GT463" s="509"/>
      <c r="GU463" s="509"/>
      <c r="GV463" s="509"/>
      <c r="GW463" s="509"/>
      <c r="GX463" s="509"/>
      <c r="GY463" s="509"/>
      <c r="GZ463" s="509"/>
      <c r="HA463" s="509"/>
      <c r="HB463" s="509"/>
      <c r="HC463" s="509"/>
      <c r="HD463" s="509"/>
      <c r="HE463" s="509"/>
      <c r="HF463" s="509"/>
      <c r="HG463" s="509"/>
      <c r="HH463" s="509"/>
      <c r="HI463" s="509"/>
      <c r="HJ463" s="509"/>
      <c r="HK463" s="509"/>
      <c r="HL463" s="509"/>
      <c r="HM463" s="509"/>
      <c r="HN463" s="509"/>
      <c r="HO463" s="509"/>
      <c r="HP463" s="509"/>
      <c r="HQ463" s="509"/>
      <c r="HR463" s="509"/>
      <c r="HS463" s="509"/>
      <c r="HT463" s="509"/>
      <c r="HU463" s="509"/>
      <c r="HV463" s="509"/>
      <c r="HW463" s="509"/>
      <c r="HX463" s="509"/>
      <c r="HY463" s="509"/>
      <c r="HZ463" s="509"/>
    </row>
    <row r="464" spans="1:234" ht="13.5" hidden="1" customHeight="1" x14ac:dyDescent="0.25">
      <c r="A464" s="1270" t="s">
        <v>7123</v>
      </c>
      <c r="B464" s="1271" t="s">
        <v>7122</v>
      </c>
      <c r="C464" s="1272" t="s">
        <v>7124</v>
      </c>
      <c r="D464" s="1273" t="s">
        <v>189</v>
      </c>
      <c r="E464" s="1272" t="s">
        <v>3228</v>
      </c>
      <c r="F464" s="1274">
        <v>42314</v>
      </c>
      <c r="G464" s="1275">
        <v>42248</v>
      </c>
      <c r="H464" s="1274">
        <v>42307</v>
      </c>
      <c r="I464" s="1276">
        <v>44407</v>
      </c>
      <c r="J464" s="1277">
        <v>10</v>
      </c>
      <c r="K464" s="1278" t="s">
        <v>3229</v>
      </c>
      <c r="L464" s="1279" t="s">
        <v>3229</v>
      </c>
      <c r="M464" s="1280">
        <v>0</v>
      </c>
      <c r="N464" s="1281">
        <v>1</v>
      </c>
      <c r="O464" s="1282" t="s">
        <v>3229</v>
      </c>
      <c r="P464" s="1283" t="s">
        <v>3229</v>
      </c>
      <c r="Q464" s="1283" t="s">
        <v>3229</v>
      </c>
      <c r="R464" s="1284" t="s">
        <v>3229</v>
      </c>
      <c r="S464" s="1285"/>
      <c r="T464" s="1286" t="s">
        <v>3229</v>
      </c>
      <c r="U464" s="1286" t="s">
        <v>3229</v>
      </c>
      <c r="V464" s="1286" t="s">
        <v>3229</v>
      </c>
      <c r="W464" s="1286" t="s">
        <v>3229</v>
      </c>
      <c r="X464" s="1286" t="s">
        <v>3229</v>
      </c>
      <c r="Y464" s="1286" t="s">
        <v>3229</v>
      </c>
      <c r="Z464" s="1286" t="s">
        <v>3229</v>
      </c>
      <c r="AA464" s="1286" t="s">
        <v>3229</v>
      </c>
      <c r="AB464" s="1286" t="s">
        <v>3229</v>
      </c>
      <c r="AC464" s="1286" t="s">
        <v>3229</v>
      </c>
      <c r="AD464" s="1286" t="s">
        <v>3229</v>
      </c>
      <c r="AE464" s="1286" t="s">
        <v>3229</v>
      </c>
      <c r="AF464" s="3764" t="s">
        <v>781</v>
      </c>
      <c r="AG464" s="3765"/>
      <c r="AH464" s="1287" t="s">
        <v>3229</v>
      </c>
      <c r="AI464" s="1288" t="s">
        <v>3229</v>
      </c>
      <c r="AJ464" s="1288" t="s">
        <v>3229</v>
      </c>
      <c r="AK464" s="1288" t="s">
        <v>3229</v>
      </c>
      <c r="AL464" s="1288" t="s">
        <v>3229</v>
      </c>
      <c r="AM464" s="1288">
        <v>1</v>
      </c>
      <c r="AN464" s="1289">
        <f>'klikací hodnoty'!F14942</f>
        <v>9.5998333333333508E-3</v>
      </c>
      <c r="AO464" s="1290">
        <v>10.1</v>
      </c>
      <c r="AP464" s="1371">
        <f>'klikací hodnoty'!F14941</f>
        <v>9.5998333333333508E-3</v>
      </c>
      <c r="AQ464" s="1281">
        <f>'klikací hodnoty'!F14922</f>
        <v>6.6457066268537077E-2</v>
      </c>
      <c r="AR464" s="1291" t="s">
        <v>3660</v>
      </c>
      <c r="AS464" s="1292"/>
      <c r="AT464" s="1292"/>
      <c r="AU464" s="1293"/>
      <c r="AV464" s="1294">
        <f t="shared" si="119"/>
        <v>0</v>
      </c>
      <c r="AW464" s="1295">
        <f t="shared" si="120"/>
        <v>0</v>
      </c>
      <c r="AX464" s="1296">
        <f t="shared" si="117"/>
        <v>-9.9009900990099098E-3</v>
      </c>
      <c r="AY464" s="1297" t="e">
        <f t="shared" si="118"/>
        <v>#DIV/0!</v>
      </c>
      <c r="AZ464" s="1298">
        <f t="shared" si="121"/>
        <v>10</v>
      </c>
      <c r="BA464" s="1299"/>
      <c r="BB464" s="1285"/>
      <c r="BC464" s="1300"/>
      <c r="BH464" s="3763"/>
      <c r="BI464" s="3763"/>
      <c r="BJ464" s="1639"/>
      <c r="BK464" s="1639"/>
      <c r="BL464" s="1639"/>
      <c r="BM464" s="1639"/>
      <c r="BN464" s="1639"/>
      <c r="BO464" s="1639"/>
      <c r="BP464" s="1639"/>
      <c r="BQ464" s="1639"/>
      <c r="BR464" s="1639"/>
      <c r="BS464" s="509"/>
      <c r="BT464" s="509"/>
      <c r="BU464" s="509"/>
      <c r="BV464" s="509"/>
      <c r="BW464" s="509"/>
      <c r="BX464" s="509"/>
      <c r="BY464" s="509"/>
      <c r="BZ464" s="509"/>
      <c r="CA464" s="509"/>
      <c r="CB464" s="509"/>
      <c r="CC464" s="509"/>
      <c r="CD464" s="509"/>
      <c r="CE464" s="509"/>
      <c r="CF464" s="509"/>
      <c r="CG464" s="509"/>
      <c r="CH464" s="509"/>
      <c r="CI464" s="509"/>
      <c r="CJ464" s="509"/>
      <c r="CK464" s="509"/>
      <c r="CL464" s="509"/>
      <c r="CM464" s="509"/>
      <c r="CN464" s="509"/>
      <c r="CO464" s="509"/>
      <c r="CP464" s="509"/>
      <c r="CQ464" s="509"/>
      <c r="CR464" s="509"/>
      <c r="CS464" s="509"/>
      <c r="CT464" s="509"/>
      <c r="CU464" s="509"/>
      <c r="CV464" s="509"/>
      <c r="CW464" s="509"/>
      <c r="CX464" s="509"/>
      <c r="CY464" s="509"/>
      <c r="CZ464" s="509"/>
      <c r="DA464" s="509"/>
      <c r="DB464" s="509"/>
      <c r="DC464" s="509"/>
      <c r="DD464" s="509"/>
      <c r="DE464" s="509"/>
      <c r="DF464" s="509"/>
      <c r="DG464" s="509"/>
      <c r="DH464" s="509"/>
      <c r="DI464" s="509"/>
      <c r="DJ464" s="509"/>
      <c r="DK464" s="509"/>
      <c r="DL464" s="509"/>
      <c r="DM464" s="509"/>
      <c r="DN464" s="509"/>
      <c r="DO464" s="509"/>
      <c r="DP464" s="509"/>
      <c r="DQ464" s="509"/>
      <c r="DR464" s="509"/>
      <c r="DS464" s="509"/>
      <c r="DT464" s="509"/>
      <c r="DU464" s="509"/>
      <c r="DV464" s="509"/>
      <c r="DW464" s="509"/>
      <c r="DX464" s="509"/>
      <c r="DY464" s="509"/>
      <c r="DZ464" s="509"/>
      <c r="EA464" s="509"/>
      <c r="EB464" s="509"/>
      <c r="EC464" s="509"/>
      <c r="ED464" s="509"/>
      <c r="EE464" s="509"/>
      <c r="EF464" s="509"/>
      <c r="EG464" s="509"/>
      <c r="EH464" s="509"/>
      <c r="EI464" s="509"/>
      <c r="EJ464" s="509"/>
      <c r="EK464" s="509"/>
      <c r="EL464" s="509"/>
      <c r="EM464" s="509"/>
      <c r="EN464" s="509"/>
      <c r="EO464" s="509"/>
      <c r="EP464" s="509"/>
      <c r="EQ464" s="509"/>
      <c r="ER464" s="509"/>
      <c r="ES464" s="509"/>
      <c r="ET464" s="509"/>
      <c r="EU464" s="509"/>
      <c r="EV464" s="509"/>
      <c r="EW464" s="509"/>
      <c r="EX464" s="509"/>
      <c r="EY464" s="509"/>
      <c r="EZ464" s="509"/>
      <c r="FA464" s="509"/>
      <c r="FB464" s="509"/>
      <c r="FC464" s="509"/>
      <c r="FD464" s="509"/>
      <c r="FE464" s="509"/>
      <c r="FF464" s="509"/>
      <c r="FG464" s="509"/>
      <c r="FH464" s="509"/>
      <c r="FI464" s="509"/>
      <c r="FJ464" s="509"/>
      <c r="FK464" s="509"/>
      <c r="FL464" s="509"/>
      <c r="FM464" s="509"/>
      <c r="FN464" s="509"/>
      <c r="FO464" s="509"/>
      <c r="FP464" s="509"/>
      <c r="FQ464" s="509"/>
      <c r="FR464" s="509"/>
      <c r="FS464" s="509"/>
      <c r="FT464" s="509"/>
      <c r="FU464" s="509"/>
      <c r="FV464" s="509"/>
      <c r="FW464" s="509"/>
      <c r="FX464" s="509"/>
      <c r="FY464" s="509"/>
      <c r="FZ464" s="509"/>
      <c r="GA464" s="509"/>
      <c r="GB464" s="509"/>
      <c r="GC464" s="509"/>
      <c r="GD464" s="509"/>
      <c r="GE464" s="509"/>
      <c r="GF464" s="509"/>
      <c r="GG464" s="509"/>
      <c r="GH464" s="509"/>
      <c r="GI464" s="509"/>
      <c r="GJ464" s="509"/>
      <c r="GK464" s="509"/>
      <c r="GL464" s="509"/>
      <c r="GM464" s="509"/>
      <c r="GN464" s="509"/>
      <c r="GO464" s="509"/>
      <c r="GP464" s="509"/>
      <c r="GQ464" s="509"/>
      <c r="GR464" s="509"/>
      <c r="GS464" s="509"/>
      <c r="GT464" s="509"/>
      <c r="GU464" s="509"/>
      <c r="GV464" s="509"/>
      <c r="GW464" s="509"/>
      <c r="GX464" s="509"/>
      <c r="GY464" s="509"/>
      <c r="GZ464" s="509"/>
      <c r="HA464" s="509"/>
      <c r="HB464" s="509"/>
      <c r="HC464" s="509"/>
      <c r="HD464" s="509"/>
      <c r="HE464" s="509"/>
      <c r="HF464" s="509"/>
      <c r="HG464" s="509"/>
      <c r="HH464" s="509"/>
      <c r="HI464" s="509"/>
      <c r="HJ464" s="509"/>
      <c r="HK464" s="509"/>
      <c r="HL464" s="509"/>
      <c r="HM464" s="509"/>
      <c r="HN464" s="509"/>
      <c r="HO464" s="509"/>
      <c r="HP464" s="509"/>
      <c r="HQ464" s="509"/>
      <c r="HR464" s="509"/>
      <c r="HS464" s="509"/>
      <c r="HT464" s="509"/>
      <c r="HU464" s="509"/>
      <c r="HV464" s="509"/>
      <c r="HW464" s="509"/>
      <c r="HX464" s="509"/>
      <c r="HY464" s="509"/>
      <c r="HZ464" s="509"/>
    </row>
    <row r="465" spans="1:234" ht="13.5" hidden="1" customHeight="1" x14ac:dyDescent="0.25">
      <c r="A465" s="1270" t="s">
        <v>7130</v>
      </c>
      <c r="B465" s="1271" t="s">
        <v>7127</v>
      </c>
      <c r="C465" s="1272" t="s">
        <v>8170</v>
      </c>
      <c r="D465" s="1273" t="s">
        <v>189</v>
      </c>
      <c r="E465" s="1272" t="s">
        <v>3228</v>
      </c>
      <c r="F465" s="1274">
        <v>42345</v>
      </c>
      <c r="G465" s="1275">
        <v>42278</v>
      </c>
      <c r="H465" s="1274">
        <v>42338</v>
      </c>
      <c r="I465" s="1276">
        <v>43830</v>
      </c>
      <c r="J465" s="1277">
        <v>10</v>
      </c>
      <c r="K465" s="1278" t="s">
        <v>3229</v>
      </c>
      <c r="L465" s="1279" t="s">
        <v>3229</v>
      </c>
      <c r="M465" s="1280">
        <v>-1</v>
      </c>
      <c r="N465" s="1281" t="s">
        <v>3229</v>
      </c>
      <c r="O465" s="1282">
        <v>0.27</v>
      </c>
      <c r="P465" s="1283" t="s">
        <v>3229</v>
      </c>
      <c r="Q465" s="1283" t="s">
        <v>3229</v>
      </c>
      <c r="R465" s="1284" t="s">
        <v>3229</v>
      </c>
      <c r="S465" s="1285"/>
      <c r="T465" s="1286" t="s">
        <v>3229</v>
      </c>
      <c r="U465" s="1286" t="s">
        <v>3229</v>
      </c>
      <c r="V465" s="1286" t="s">
        <v>3229</v>
      </c>
      <c r="W465" s="1286" t="s">
        <v>3229</v>
      </c>
      <c r="X465" s="1286" t="s">
        <v>3229</v>
      </c>
      <c r="Y465" s="1286" t="s">
        <v>3229</v>
      </c>
      <c r="Z465" s="1286" t="s">
        <v>3229</v>
      </c>
      <c r="AA465" s="1286" t="s">
        <v>3229</v>
      </c>
      <c r="AB465" s="1286" t="s">
        <v>3229</v>
      </c>
      <c r="AC465" s="1286" t="s">
        <v>3229</v>
      </c>
      <c r="AD465" s="1286" t="s">
        <v>3229</v>
      </c>
      <c r="AE465" s="1286" t="s">
        <v>3229</v>
      </c>
      <c r="AF465" s="3764" t="s">
        <v>781</v>
      </c>
      <c r="AG465" s="3765"/>
      <c r="AH465" s="1287">
        <v>1</v>
      </c>
      <c r="AI465" s="1288" t="s">
        <v>3229</v>
      </c>
      <c r="AJ465" s="1288" t="s">
        <v>3229</v>
      </c>
      <c r="AK465" s="1288" t="s">
        <v>3229</v>
      </c>
      <c r="AL465" s="1288" t="s">
        <v>3229</v>
      </c>
      <c r="AM465" s="1288" t="s">
        <v>3229</v>
      </c>
      <c r="AN465" s="1289">
        <f>'klikací hodnoty'!F14896</f>
        <v>0.18</v>
      </c>
      <c r="AO465" s="1290">
        <v>11.8</v>
      </c>
      <c r="AP465" s="1371">
        <f>AQ465</f>
        <v>0.12858558537694265</v>
      </c>
      <c r="AQ465" s="1281">
        <f>+'klikací hodnoty'!H14894</f>
        <v>0.12858558537694265</v>
      </c>
      <c r="AR465" s="1291">
        <f>O465</f>
        <v>0.27</v>
      </c>
      <c r="AS465" s="1292">
        <f>POWER(1+AR465,1/((I465-F465)/365))-1</f>
        <v>6.0508236627099032E-2</v>
      </c>
      <c r="AT465" s="1292"/>
      <c r="AU465" s="1293"/>
      <c r="AV465" s="1294">
        <f t="shared" si="119"/>
        <v>-1</v>
      </c>
      <c r="AW465" s="1295">
        <f t="shared" si="120"/>
        <v>-1</v>
      </c>
      <c r="AX465" s="1296"/>
      <c r="AY465" s="1297"/>
      <c r="AZ465" s="1298">
        <f t="shared" si="121"/>
        <v>0</v>
      </c>
      <c r="BA465" s="1299"/>
      <c r="BB465" s="1285"/>
      <c r="BC465" s="1300"/>
      <c r="BH465" s="3763"/>
      <c r="BI465" s="3763"/>
      <c r="BJ465" s="1639"/>
      <c r="BK465" s="1639"/>
      <c r="BL465" s="1639"/>
      <c r="BM465" s="1639"/>
      <c r="BN465" s="1639"/>
      <c r="BO465" s="1639"/>
      <c r="BP465" s="1639"/>
      <c r="BQ465" s="1639"/>
      <c r="BR465" s="1639"/>
      <c r="BS465" s="509"/>
      <c r="BT465" s="509"/>
      <c r="BU465" s="509"/>
      <c r="BV465" s="509"/>
      <c r="BW465" s="509"/>
      <c r="BX465" s="509"/>
      <c r="BY465" s="509"/>
      <c r="BZ465" s="509"/>
      <c r="CA465" s="509"/>
      <c r="CB465" s="509"/>
      <c r="CC465" s="509"/>
      <c r="CD465" s="509"/>
      <c r="CE465" s="509"/>
      <c r="CF465" s="509"/>
      <c r="CG465" s="509"/>
      <c r="CH465" s="509"/>
      <c r="CI465" s="509"/>
      <c r="CJ465" s="509"/>
      <c r="CK465" s="509"/>
      <c r="CL465" s="509"/>
      <c r="CM465" s="509"/>
      <c r="CN465" s="509"/>
      <c r="CO465" s="509"/>
      <c r="CP465" s="509"/>
      <c r="CQ465" s="509"/>
      <c r="CR465" s="509"/>
      <c r="CS465" s="509"/>
      <c r="CT465" s="509"/>
      <c r="CU465" s="509"/>
      <c r="CV465" s="509"/>
      <c r="CW465" s="509"/>
      <c r="CX465" s="509"/>
      <c r="CY465" s="509"/>
      <c r="CZ465" s="509"/>
      <c r="DA465" s="509"/>
      <c r="DB465" s="509"/>
      <c r="DC465" s="509"/>
      <c r="DD465" s="509"/>
      <c r="DE465" s="509"/>
      <c r="DF465" s="509"/>
      <c r="DG465" s="509"/>
      <c r="DH465" s="509"/>
      <c r="DI465" s="509"/>
      <c r="DJ465" s="509"/>
      <c r="DK465" s="509"/>
      <c r="DL465" s="509"/>
      <c r="DM465" s="509"/>
      <c r="DN465" s="509"/>
      <c r="DO465" s="509"/>
      <c r="DP465" s="509"/>
      <c r="DQ465" s="509"/>
      <c r="DR465" s="509"/>
      <c r="DS465" s="509"/>
      <c r="DT465" s="509"/>
      <c r="DU465" s="509"/>
      <c r="DV465" s="509"/>
      <c r="DW465" s="509"/>
      <c r="DX465" s="509"/>
      <c r="DY465" s="509"/>
      <c r="DZ465" s="509"/>
      <c r="EA465" s="509"/>
      <c r="EB465" s="509"/>
      <c r="EC465" s="509"/>
      <c r="ED465" s="509"/>
      <c r="EE465" s="509"/>
      <c r="EF465" s="509"/>
      <c r="EG465" s="509"/>
      <c r="EH465" s="509"/>
      <c r="EI465" s="509"/>
      <c r="EJ465" s="509"/>
      <c r="EK465" s="509"/>
      <c r="EL465" s="509"/>
      <c r="EM465" s="509"/>
      <c r="EN465" s="509"/>
      <c r="EO465" s="509"/>
      <c r="EP465" s="509"/>
      <c r="EQ465" s="509"/>
      <c r="ER465" s="509"/>
      <c r="ES465" s="509"/>
      <c r="ET465" s="509"/>
      <c r="EU465" s="509"/>
      <c r="EV465" s="509"/>
      <c r="EW465" s="509"/>
      <c r="EX465" s="509"/>
      <c r="EY465" s="509"/>
      <c r="EZ465" s="509"/>
      <c r="FA465" s="509"/>
      <c r="FB465" s="509"/>
      <c r="FC465" s="509"/>
      <c r="FD465" s="509"/>
      <c r="FE465" s="509"/>
      <c r="FF465" s="509"/>
      <c r="FG465" s="509"/>
      <c r="FH465" s="509"/>
      <c r="FI465" s="509"/>
      <c r="FJ465" s="509"/>
      <c r="FK465" s="509"/>
      <c r="FL465" s="509"/>
      <c r="FM465" s="509"/>
      <c r="FN465" s="509"/>
      <c r="FO465" s="509"/>
      <c r="FP465" s="509"/>
      <c r="FQ465" s="509"/>
      <c r="FR465" s="509"/>
      <c r="FS465" s="509"/>
      <c r="FT465" s="509"/>
      <c r="FU465" s="509"/>
      <c r="FV465" s="509"/>
      <c r="FW465" s="509"/>
      <c r="FX465" s="509"/>
      <c r="FY465" s="509"/>
      <c r="FZ465" s="509"/>
      <c r="GA465" s="509"/>
      <c r="GB465" s="509"/>
      <c r="GC465" s="509"/>
      <c r="GD465" s="509"/>
      <c r="GE465" s="509"/>
      <c r="GF465" s="509"/>
      <c r="GG465" s="509"/>
      <c r="GH465" s="509"/>
      <c r="GI465" s="509"/>
      <c r="GJ465" s="509"/>
      <c r="GK465" s="509"/>
      <c r="GL465" s="509"/>
      <c r="GM465" s="509"/>
      <c r="GN465" s="509"/>
      <c r="GO465" s="509"/>
      <c r="GP465" s="509"/>
      <c r="GQ465" s="509"/>
      <c r="GR465" s="509"/>
      <c r="GS465" s="509"/>
      <c r="GT465" s="509"/>
      <c r="GU465" s="509"/>
      <c r="GV465" s="509"/>
      <c r="GW465" s="509"/>
      <c r="GX465" s="509"/>
      <c r="GY465" s="509"/>
      <c r="GZ465" s="509"/>
      <c r="HA465" s="509"/>
      <c r="HB465" s="509"/>
      <c r="HC465" s="509"/>
      <c r="HD465" s="509"/>
      <c r="HE465" s="509"/>
      <c r="HF465" s="509"/>
      <c r="HG465" s="509"/>
      <c r="HH465" s="509"/>
      <c r="HI465" s="509"/>
      <c r="HJ465" s="509"/>
      <c r="HK465" s="509"/>
      <c r="HL465" s="509"/>
      <c r="HM465" s="509"/>
      <c r="HN465" s="509"/>
      <c r="HO465" s="509"/>
      <c r="HP465" s="509"/>
      <c r="HQ465" s="509"/>
      <c r="HR465" s="509"/>
      <c r="HS465" s="509"/>
      <c r="HT465" s="509"/>
      <c r="HU465" s="509"/>
      <c r="HV465" s="509"/>
      <c r="HW465" s="509"/>
      <c r="HX465" s="509"/>
      <c r="HY465" s="509"/>
      <c r="HZ465" s="509"/>
    </row>
    <row r="466" spans="1:234" ht="13.5" hidden="1" customHeight="1" x14ac:dyDescent="0.25">
      <c r="A466" s="1270" t="s">
        <v>7129</v>
      </c>
      <c r="B466" s="1271" t="s">
        <v>7128</v>
      </c>
      <c r="C466" s="1272" t="s">
        <v>7131</v>
      </c>
      <c r="D466" s="1273" t="s">
        <v>189</v>
      </c>
      <c r="E466" s="1272" t="s">
        <v>1743</v>
      </c>
      <c r="F466" s="1274">
        <v>42345</v>
      </c>
      <c r="G466" s="1275">
        <v>42278</v>
      </c>
      <c r="H466" s="1274">
        <v>42338</v>
      </c>
      <c r="I466" s="1276">
        <v>44347</v>
      </c>
      <c r="J466" s="1277">
        <v>10</v>
      </c>
      <c r="K466" s="1278">
        <v>0</v>
      </c>
      <c r="L466" s="1279">
        <v>0.08</v>
      </c>
      <c r="M466" s="1280">
        <v>0.03</v>
      </c>
      <c r="N466" s="1281" t="s">
        <v>3229</v>
      </c>
      <c r="O466" s="1282">
        <v>0.35</v>
      </c>
      <c r="P466" s="1283" t="s">
        <v>3229</v>
      </c>
      <c r="Q466" s="1283">
        <v>0.03</v>
      </c>
      <c r="R466" s="1284" t="s">
        <v>3229</v>
      </c>
      <c r="S466" s="1285">
        <v>5</v>
      </c>
      <c r="T466" s="1286" t="s">
        <v>3229</v>
      </c>
      <c r="U466" s="1286" t="s">
        <v>3229</v>
      </c>
      <c r="V466" s="1286" t="s">
        <v>3229</v>
      </c>
      <c r="W466" s="1286" t="s">
        <v>3229</v>
      </c>
      <c r="X466" s="1286" t="s">
        <v>3229</v>
      </c>
      <c r="Y466" s="1286" t="s">
        <v>3229</v>
      </c>
      <c r="Z466" s="1286" t="s">
        <v>3229</v>
      </c>
      <c r="AA466" s="1286" t="s">
        <v>3229</v>
      </c>
      <c r="AB466" s="1286" t="s">
        <v>3229</v>
      </c>
      <c r="AC466" s="1286" t="s">
        <v>3229</v>
      </c>
      <c r="AD466" s="1286" t="s">
        <v>3229</v>
      </c>
      <c r="AE466" s="1286" t="s">
        <v>3229</v>
      </c>
      <c r="AF466" s="3764" t="s">
        <v>781</v>
      </c>
      <c r="AG466" s="3765">
        <f>(I466-indexy!$B$1)/365</f>
        <v>-2.8273972602739725</v>
      </c>
      <c r="AH466" s="1287" t="s">
        <v>3229</v>
      </c>
      <c r="AI466" s="1288" t="s">
        <v>3229</v>
      </c>
      <c r="AJ466" s="1288" t="s">
        <v>3229</v>
      </c>
      <c r="AK466" s="1288" t="s">
        <v>3229</v>
      </c>
      <c r="AL466" s="1288" t="s">
        <v>3229</v>
      </c>
      <c r="AM466" s="1288">
        <v>1</v>
      </c>
      <c r="AN466" s="1289">
        <f>'klikací hodnoty'!F14887</f>
        <v>3.78E-2</v>
      </c>
      <c r="AO466" s="1290">
        <v>10.38</v>
      </c>
      <c r="AP466" s="1371">
        <f>'klikací hodnoty'!F14879</f>
        <v>-5.4462276775670775E-2</v>
      </c>
      <c r="AQ466" s="1281">
        <f>'klikací hodnoty'!E14879</f>
        <v>4.400357885226415E-2</v>
      </c>
      <c r="AR466" s="1291">
        <f>O466</f>
        <v>0.35</v>
      </c>
      <c r="AS466" s="1292">
        <f>POWER(1+AR466,1/((I466-F466)/365))-1</f>
        <v>5.6238882033534887E-2</v>
      </c>
      <c r="AT466" s="1292"/>
      <c r="AU466" s="1293"/>
      <c r="AV466" s="1294">
        <f t="shared" si="119"/>
        <v>0.03</v>
      </c>
      <c r="AW466" s="1295">
        <f t="shared" si="120"/>
        <v>5.4036395952332672E-3</v>
      </c>
      <c r="AX466" s="1296"/>
      <c r="AY466" s="1297"/>
      <c r="AZ466" s="1298">
        <f t="shared" si="121"/>
        <v>10.3</v>
      </c>
      <c r="BA466" s="1299"/>
      <c r="BB466" s="1285"/>
      <c r="BC466" s="1300"/>
      <c r="BH466" s="3763"/>
      <c r="BI466" s="3763"/>
      <c r="BJ466" s="1639"/>
      <c r="BK466" s="1639"/>
      <c r="BL466" s="1639"/>
      <c r="BM466" s="1639"/>
      <c r="BN466" s="1639"/>
      <c r="BO466" s="1639"/>
      <c r="BP466" s="1639"/>
      <c r="BQ466" s="1639"/>
      <c r="BR466" s="1639"/>
      <c r="BS466" s="509"/>
      <c r="BT466" s="509"/>
      <c r="BU466" s="509"/>
      <c r="BV466" s="509"/>
      <c r="BW466" s="509"/>
      <c r="BX466" s="509"/>
      <c r="BY466" s="509"/>
      <c r="BZ466" s="509"/>
      <c r="CA466" s="509"/>
      <c r="CB466" s="509"/>
      <c r="CC466" s="509"/>
      <c r="CD466" s="509"/>
      <c r="CE466" s="509"/>
      <c r="CF466" s="509"/>
      <c r="CG466" s="509"/>
      <c r="CH466" s="509"/>
      <c r="CI466" s="509"/>
      <c r="CJ466" s="509"/>
      <c r="CK466" s="509"/>
      <c r="CL466" s="509"/>
      <c r="CM466" s="509"/>
      <c r="CN466" s="509"/>
      <c r="CO466" s="509"/>
      <c r="CP466" s="509"/>
      <c r="CQ466" s="509"/>
      <c r="CR466" s="509"/>
      <c r="CS466" s="509"/>
      <c r="CT466" s="509"/>
      <c r="CU466" s="509"/>
      <c r="CV466" s="509"/>
      <c r="CW466" s="509"/>
      <c r="CX466" s="509"/>
      <c r="CY466" s="509"/>
      <c r="CZ466" s="509"/>
      <c r="DA466" s="509"/>
      <c r="DB466" s="509"/>
      <c r="DC466" s="509"/>
      <c r="DD466" s="509"/>
      <c r="DE466" s="509"/>
      <c r="DF466" s="509"/>
      <c r="DG466" s="509"/>
      <c r="DH466" s="509"/>
      <c r="DI466" s="509"/>
      <c r="DJ466" s="509"/>
      <c r="DK466" s="509"/>
      <c r="DL466" s="509"/>
      <c r="DM466" s="509"/>
      <c r="DN466" s="509"/>
      <c r="DO466" s="509"/>
      <c r="DP466" s="509"/>
      <c r="DQ466" s="509"/>
      <c r="DR466" s="509"/>
      <c r="DS466" s="509"/>
      <c r="DT466" s="509"/>
      <c r="DU466" s="509"/>
      <c r="DV466" s="509"/>
      <c r="DW466" s="509"/>
      <c r="DX466" s="509"/>
      <c r="DY466" s="509"/>
      <c r="DZ466" s="509"/>
      <c r="EA466" s="509"/>
      <c r="EB466" s="509"/>
      <c r="EC466" s="509"/>
      <c r="ED466" s="509"/>
      <c r="EE466" s="509"/>
      <c r="EF466" s="509"/>
      <c r="EG466" s="509"/>
      <c r="EH466" s="509"/>
      <c r="EI466" s="509"/>
      <c r="EJ466" s="509"/>
      <c r="EK466" s="509"/>
      <c r="EL466" s="509"/>
      <c r="EM466" s="509"/>
      <c r="EN466" s="509"/>
      <c r="EO466" s="509"/>
      <c r="EP466" s="509"/>
      <c r="EQ466" s="509"/>
      <c r="ER466" s="509"/>
      <c r="ES466" s="509"/>
      <c r="ET466" s="509"/>
      <c r="EU466" s="509"/>
      <c r="EV466" s="509"/>
      <c r="EW466" s="509"/>
      <c r="EX466" s="509"/>
      <c r="EY466" s="509"/>
      <c r="EZ466" s="509"/>
      <c r="FA466" s="509"/>
      <c r="FB466" s="509"/>
      <c r="FC466" s="509"/>
      <c r="FD466" s="509"/>
      <c r="FE466" s="509"/>
      <c r="FF466" s="509"/>
      <c r="FG466" s="509"/>
      <c r="FH466" s="509"/>
      <c r="FI466" s="509"/>
      <c r="FJ466" s="509"/>
      <c r="FK466" s="509"/>
      <c r="FL466" s="509"/>
      <c r="FM466" s="509"/>
      <c r="FN466" s="509"/>
      <c r="FO466" s="509"/>
      <c r="FP466" s="509"/>
      <c r="FQ466" s="509"/>
      <c r="FR466" s="509"/>
      <c r="FS466" s="509"/>
      <c r="FT466" s="509"/>
      <c r="FU466" s="509"/>
      <c r="FV466" s="509"/>
      <c r="FW466" s="509"/>
      <c r="FX466" s="509"/>
      <c r="FY466" s="509"/>
      <c r="FZ466" s="509"/>
      <c r="GA466" s="509"/>
      <c r="GB466" s="509"/>
      <c r="GC466" s="509"/>
      <c r="GD466" s="509"/>
      <c r="GE466" s="509"/>
      <c r="GF466" s="509"/>
      <c r="GG466" s="509"/>
      <c r="GH466" s="509"/>
      <c r="GI466" s="509"/>
      <c r="GJ466" s="509"/>
      <c r="GK466" s="509"/>
      <c r="GL466" s="509"/>
      <c r="GM466" s="509"/>
      <c r="GN466" s="509"/>
      <c r="GO466" s="509"/>
      <c r="GP466" s="509"/>
      <c r="GQ466" s="509"/>
      <c r="GR466" s="509"/>
      <c r="GS466" s="509"/>
      <c r="GT466" s="509"/>
      <c r="GU466" s="509"/>
      <c r="GV466" s="509"/>
      <c r="GW466" s="509"/>
      <c r="GX466" s="509"/>
      <c r="GY466" s="509"/>
      <c r="GZ466" s="509"/>
      <c r="HA466" s="509"/>
      <c r="HB466" s="509"/>
      <c r="HC466" s="509"/>
      <c r="HD466" s="509"/>
      <c r="HE466" s="509"/>
      <c r="HF466" s="509"/>
      <c r="HG466" s="509"/>
      <c r="HH466" s="509"/>
      <c r="HI466" s="509"/>
      <c r="HJ466" s="509"/>
      <c r="HK466" s="509"/>
      <c r="HL466" s="509"/>
      <c r="HM466" s="509"/>
      <c r="HN466" s="509"/>
      <c r="HO466" s="509"/>
      <c r="HP466" s="509"/>
      <c r="HQ466" s="509"/>
      <c r="HR466" s="509"/>
      <c r="HS466" s="509"/>
      <c r="HT466" s="509"/>
      <c r="HU466" s="509"/>
      <c r="HV466" s="509"/>
      <c r="HW466" s="509"/>
      <c r="HX466" s="509"/>
      <c r="HY466" s="509"/>
      <c r="HZ466" s="509"/>
    </row>
    <row r="467" spans="1:234" ht="13.5" hidden="1" customHeight="1" x14ac:dyDescent="0.25">
      <c r="A467" s="1270" t="s">
        <v>7598</v>
      </c>
      <c r="B467" s="1271" t="s">
        <v>7597</v>
      </c>
      <c r="C467" s="1272" t="s">
        <v>7599</v>
      </c>
      <c r="D467" s="1273" t="s">
        <v>189</v>
      </c>
      <c r="E467" s="1272" t="s">
        <v>3228</v>
      </c>
      <c r="F467" s="1274">
        <v>42367</v>
      </c>
      <c r="G467" s="1275">
        <v>42310</v>
      </c>
      <c r="H467" s="1274">
        <v>42356</v>
      </c>
      <c r="I467" s="1276">
        <v>44469</v>
      </c>
      <c r="J467" s="1277">
        <v>10</v>
      </c>
      <c r="K467" s="1278" t="s">
        <v>3229</v>
      </c>
      <c r="L467" s="1279" t="s">
        <v>3229</v>
      </c>
      <c r="M467" s="1280">
        <v>-1</v>
      </c>
      <c r="N467" s="1281">
        <v>0.75</v>
      </c>
      <c r="O467" s="1282" t="s">
        <v>3229</v>
      </c>
      <c r="P467" s="1283" t="s">
        <v>3229</v>
      </c>
      <c r="Q467" s="1283" t="s">
        <v>3229</v>
      </c>
      <c r="R467" s="1284" t="s">
        <v>3229</v>
      </c>
      <c r="S467" s="1285"/>
      <c r="T467" s="1286" t="s">
        <v>3229</v>
      </c>
      <c r="U467" s="1286" t="s">
        <v>3229</v>
      </c>
      <c r="V467" s="1286" t="s">
        <v>3229</v>
      </c>
      <c r="W467" s="1286" t="s">
        <v>3229</v>
      </c>
      <c r="X467" s="1286" t="s">
        <v>3229</v>
      </c>
      <c r="Y467" s="1286" t="s">
        <v>3229</v>
      </c>
      <c r="Z467" s="1286" t="s">
        <v>3229</v>
      </c>
      <c r="AA467" s="1286" t="s">
        <v>3229</v>
      </c>
      <c r="AB467" s="1286" t="s">
        <v>3229</v>
      </c>
      <c r="AC467" s="1286" t="s">
        <v>3229</v>
      </c>
      <c r="AD467" s="1286" t="s">
        <v>3229</v>
      </c>
      <c r="AE467" s="1286" t="s">
        <v>3229</v>
      </c>
      <c r="AF467" s="3764" t="s">
        <v>10657</v>
      </c>
      <c r="AG467" s="3765">
        <f>(I467-indexy!$B$1)/365</f>
        <v>-2.493150684931507</v>
      </c>
      <c r="AH467" s="1287" t="s">
        <v>3229</v>
      </c>
      <c r="AI467" s="1288" t="s">
        <v>3229</v>
      </c>
      <c r="AJ467" s="1288" t="s">
        <v>3229</v>
      </c>
      <c r="AK467" s="1288" t="s">
        <v>3229</v>
      </c>
      <c r="AL467" s="1288" t="s">
        <v>3229</v>
      </c>
      <c r="AM467" s="1288">
        <v>1</v>
      </c>
      <c r="AN467" s="1289">
        <f>+'klikací hodnoty'!F15054</f>
        <v>4.8503375000000001E-2</v>
      </c>
      <c r="AO467" s="1290">
        <v>10.48</v>
      </c>
      <c r="AP467" s="1371">
        <f>+'klikací hodnoty'!E15053</f>
        <v>6.4671166666666668E-2</v>
      </c>
      <c r="AQ467" s="1281">
        <f>+'klikací hodnoty'!F15034</f>
        <v>0.20298211461417881</v>
      </c>
      <c r="AR467" s="1291" t="s">
        <v>3660</v>
      </c>
      <c r="AS467" s="1292"/>
      <c r="AT467" s="1292"/>
      <c r="AU467" s="1293"/>
      <c r="AV467" s="1294">
        <f t="shared" si="119"/>
        <v>-1</v>
      </c>
      <c r="AW467" s="1295">
        <f t="shared" si="120"/>
        <v>-1</v>
      </c>
      <c r="AX467" s="1296"/>
      <c r="AY467" s="1297"/>
      <c r="AZ467" s="1298">
        <f t="shared" si="121"/>
        <v>0</v>
      </c>
      <c r="BA467" s="1299"/>
      <c r="BB467" s="1285"/>
      <c r="BC467" s="1300"/>
      <c r="BH467" s="3763"/>
      <c r="BI467" s="3763"/>
      <c r="BJ467" s="1639"/>
      <c r="BK467" s="1639"/>
      <c r="BL467" s="1639"/>
      <c r="BM467" s="1639"/>
      <c r="BN467" s="1639"/>
      <c r="BO467" s="1639"/>
      <c r="BP467" s="1639"/>
      <c r="BQ467" s="1639"/>
      <c r="BR467" s="1639"/>
      <c r="BS467" s="509"/>
      <c r="BT467" s="509"/>
      <c r="BU467" s="509"/>
      <c r="BV467" s="509"/>
      <c r="BW467" s="509"/>
      <c r="BX467" s="509"/>
      <c r="BY467" s="509"/>
      <c r="BZ467" s="509"/>
      <c r="CA467" s="509"/>
      <c r="CB467" s="509"/>
      <c r="CC467" s="509"/>
      <c r="CD467" s="509"/>
      <c r="CE467" s="509"/>
      <c r="CF467" s="509"/>
      <c r="CG467" s="509"/>
      <c r="CH467" s="509"/>
      <c r="CI467" s="509"/>
      <c r="CJ467" s="509"/>
      <c r="CK467" s="509"/>
      <c r="CL467" s="509"/>
      <c r="CM467" s="509"/>
      <c r="CN467" s="509"/>
      <c r="CO467" s="509"/>
      <c r="CP467" s="509"/>
      <c r="CQ467" s="509"/>
      <c r="CR467" s="509"/>
      <c r="CS467" s="509"/>
      <c r="CT467" s="509"/>
      <c r="CU467" s="509"/>
      <c r="CV467" s="509"/>
      <c r="CW467" s="509"/>
      <c r="CX467" s="509"/>
      <c r="CY467" s="509"/>
      <c r="CZ467" s="509"/>
      <c r="DA467" s="509"/>
      <c r="DB467" s="509"/>
      <c r="DC467" s="509"/>
      <c r="DD467" s="509"/>
      <c r="DE467" s="509"/>
      <c r="DF467" s="509"/>
      <c r="DG467" s="509"/>
      <c r="DH467" s="509"/>
      <c r="DI467" s="509"/>
      <c r="DJ467" s="509"/>
      <c r="DK467" s="509"/>
      <c r="DL467" s="509"/>
      <c r="DM467" s="509"/>
      <c r="DN467" s="509"/>
      <c r="DO467" s="509"/>
      <c r="DP467" s="509"/>
      <c r="DQ467" s="509"/>
      <c r="DR467" s="509"/>
      <c r="DS467" s="509"/>
      <c r="DT467" s="509"/>
      <c r="DU467" s="509"/>
      <c r="DV467" s="509"/>
      <c r="DW467" s="509"/>
      <c r="DX467" s="509"/>
      <c r="DY467" s="509"/>
      <c r="DZ467" s="509"/>
      <c r="EA467" s="509"/>
      <c r="EB467" s="509"/>
      <c r="EC467" s="509"/>
      <c r="ED467" s="509"/>
      <c r="EE467" s="509"/>
      <c r="EF467" s="509"/>
      <c r="EG467" s="509"/>
      <c r="EH467" s="509"/>
      <c r="EI467" s="509"/>
      <c r="EJ467" s="509"/>
      <c r="EK467" s="509"/>
      <c r="EL467" s="509"/>
      <c r="EM467" s="509"/>
      <c r="EN467" s="509"/>
      <c r="EO467" s="509"/>
      <c r="EP467" s="509"/>
      <c r="EQ467" s="509"/>
      <c r="ER467" s="509"/>
      <c r="ES467" s="509"/>
      <c r="ET467" s="509"/>
      <c r="EU467" s="509"/>
      <c r="EV467" s="509"/>
      <c r="EW467" s="509"/>
      <c r="EX467" s="509"/>
      <c r="EY467" s="509"/>
      <c r="EZ467" s="509"/>
      <c r="FA467" s="509"/>
      <c r="FB467" s="509"/>
      <c r="FC467" s="509"/>
      <c r="FD467" s="509"/>
      <c r="FE467" s="509"/>
      <c r="FF467" s="509"/>
      <c r="FG467" s="509"/>
      <c r="FH467" s="509"/>
      <c r="FI467" s="509"/>
      <c r="FJ467" s="509"/>
      <c r="FK467" s="509"/>
      <c r="FL467" s="509"/>
      <c r="FM467" s="509"/>
      <c r="FN467" s="509"/>
      <c r="FO467" s="509"/>
      <c r="FP467" s="509"/>
      <c r="FQ467" s="509"/>
      <c r="FR467" s="509"/>
      <c r="FS467" s="509"/>
      <c r="FT467" s="509"/>
      <c r="FU467" s="509"/>
      <c r="FV467" s="509"/>
      <c r="FW467" s="509"/>
      <c r="FX467" s="509"/>
      <c r="FY467" s="509"/>
      <c r="FZ467" s="509"/>
      <c r="GA467" s="509"/>
      <c r="GB467" s="509"/>
      <c r="GC467" s="509"/>
      <c r="GD467" s="509"/>
      <c r="GE467" s="509"/>
      <c r="GF467" s="509"/>
      <c r="GG467" s="509"/>
      <c r="GH467" s="509"/>
      <c r="GI467" s="509"/>
      <c r="GJ467" s="509"/>
      <c r="GK467" s="509"/>
      <c r="GL467" s="509"/>
      <c r="GM467" s="509"/>
      <c r="GN467" s="509"/>
      <c r="GO467" s="509"/>
      <c r="GP467" s="509"/>
      <c r="GQ467" s="509"/>
      <c r="GR467" s="509"/>
      <c r="GS467" s="509"/>
      <c r="GT467" s="509"/>
      <c r="GU467" s="509"/>
      <c r="GV467" s="509"/>
      <c r="GW467" s="509"/>
      <c r="GX467" s="509"/>
      <c r="GY467" s="509"/>
      <c r="GZ467" s="509"/>
      <c r="HA467" s="509"/>
      <c r="HB467" s="509"/>
      <c r="HC467" s="509"/>
      <c r="HD467" s="509"/>
      <c r="HE467" s="509"/>
      <c r="HF467" s="509"/>
      <c r="HG467" s="509"/>
      <c r="HH467" s="509"/>
      <c r="HI467" s="509"/>
      <c r="HJ467" s="509"/>
      <c r="HK467" s="509"/>
      <c r="HL467" s="509"/>
      <c r="HM467" s="509"/>
      <c r="HN467" s="509"/>
      <c r="HO467" s="509"/>
      <c r="HP467" s="509"/>
      <c r="HQ467" s="509"/>
      <c r="HR467" s="509"/>
      <c r="HS467" s="509"/>
      <c r="HT467" s="509"/>
      <c r="HU467" s="509"/>
      <c r="HV467" s="509"/>
      <c r="HW467" s="509"/>
      <c r="HX467" s="509"/>
      <c r="HY467" s="509"/>
      <c r="HZ467" s="509"/>
    </row>
    <row r="468" spans="1:234" ht="13.5" hidden="1" customHeight="1" x14ac:dyDescent="0.25">
      <c r="A468" s="1270" t="s">
        <v>7607</v>
      </c>
      <c r="B468" s="1271" t="s">
        <v>7605</v>
      </c>
      <c r="C468" s="1272" t="s">
        <v>7606</v>
      </c>
      <c r="D468" s="1273" t="s">
        <v>8854</v>
      </c>
      <c r="E468" s="1272" t="s">
        <v>3228</v>
      </c>
      <c r="F468" s="1274">
        <v>42437</v>
      </c>
      <c r="G468" s="1275">
        <v>42373</v>
      </c>
      <c r="H468" s="1274">
        <v>42429</v>
      </c>
      <c r="I468" s="1276">
        <v>44592</v>
      </c>
      <c r="J468" s="1277">
        <v>10</v>
      </c>
      <c r="K468" s="1278" t="s">
        <v>3229</v>
      </c>
      <c r="L468" s="1279" t="s">
        <v>3229</v>
      </c>
      <c r="M468" s="1280">
        <v>-1</v>
      </c>
      <c r="N468" s="1281">
        <v>0.8</v>
      </c>
      <c r="O468" s="1282" t="s">
        <v>3229</v>
      </c>
      <c r="P468" s="1283" t="s">
        <v>3229</v>
      </c>
      <c r="Q468" s="1283" t="s">
        <v>3229</v>
      </c>
      <c r="R468" s="1284" t="s">
        <v>3229</v>
      </c>
      <c r="S468" s="1285"/>
      <c r="T468" s="1286" t="s">
        <v>3229</v>
      </c>
      <c r="U468" s="1286" t="s">
        <v>3229</v>
      </c>
      <c r="V468" s="1286" t="s">
        <v>3229</v>
      </c>
      <c r="W468" s="1286" t="s">
        <v>3229</v>
      </c>
      <c r="X468" s="1286" t="s">
        <v>3229</v>
      </c>
      <c r="Y468" s="1286" t="s">
        <v>3229</v>
      </c>
      <c r="Z468" s="1286" t="s">
        <v>3229</v>
      </c>
      <c r="AA468" s="1286" t="s">
        <v>3229</v>
      </c>
      <c r="AB468" s="1286" t="s">
        <v>3229</v>
      </c>
      <c r="AC468" s="1286" t="s">
        <v>3229</v>
      </c>
      <c r="AD468" s="1286" t="s">
        <v>3229</v>
      </c>
      <c r="AE468" s="1286" t="s">
        <v>3229</v>
      </c>
      <c r="AF468" s="3764" t="s">
        <v>781</v>
      </c>
      <c r="AG468" s="3765">
        <f>(I468-indexy!$B$1)/365</f>
        <v>-2.1561643835616437</v>
      </c>
      <c r="AH468" s="1287" t="s">
        <v>3229</v>
      </c>
      <c r="AI468" s="1288" t="s">
        <v>3229</v>
      </c>
      <c r="AJ468" s="1288" t="s">
        <v>3229</v>
      </c>
      <c r="AK468" s="1288" t="s">
        <v>3229</v>
      </c>
      <c r="AL468" s="1288" t="s">
        <v>3229</v>
      </c>
      <c r="AM468" s="1288">
        <v>1</v>
      </c>
      <c r="AN468" s="1289">
        <f>+'klikací hodnoty'!F14998</f>
        <v>6.2638444444444538E-2</v>
      </c>
      <c r="AO468" s="1290">
        <v>10.63</v>
      </c>
      <c r="AP468" s="1371">
        <f>+'klikací hodnoty'!I14950</f>
        <v>7.8298055555555662E-2</v>
      </c>
      <c r="AQ468" s="1281">
        <f>+'klikací hodnoty'!F14978</f>
        <v>0.18298975352031799</v>
      </c>
      <c r="AR468" s="1291" t="s">
        <v>3660</v>
      </c>
      <c r="AS468" s="1292"/>
      <c r="AT468" s="1292"/>
      <c r="AU468" s="1293"/>
      <c r="AV468" s="1294">
        <f t="shared" si="119"/>
        <v>-1</v>
      </c>
      <c r="AW468" s="1295">
        <f t="shared" si="120"/>
        <v>-1</v>
      </c>
      <c r="AX468" s="1296"/>
      <c r="AY468" s="1297"/>
      <c r="AZ468" s="1298">
        <f t="shared" si="121"/>
        <v>0</v>
      </c>
      <c r="BA468" s="1299"/>
      <c r="BB468" s="1285"/>
      <c r="BC468" s="1300"/>
      <c r="BH468" s="3763"/>
      <c r="BI468" s="3763"/>
      <c r="BJ468" s="1639"/>
      <c r="BK468" s="1639"/>
      <c r="BL468" s="1639"/>
      <c r="BM468" s="1639"/>
      <c r="BN468" s="1639"/>
      <c r="BO468" s="1639"/>
      <c r="BP468" s="1639"/>
      <c r="BQ468" s="1639"/>
      <c r="BR468" s="1639"/>
      <c r="BS468" s="509"/>
      <c r="BT468" s="509"/>
      <c r="BU468" s="509"/>
      <c r="BV468" s="509"/>
      <c r="BW468" s="509"/>
      <c r="BX468" s="509"/>
      <c r="BY468" s="509"/>
      <c r="BZ468" s="509"/>
      <c r="CA468" s="509"/>
      <c r="CB468" s="509"/>
      <c r="CC468" s="509"/>
      <c r="CD468" s="509"/>
      <c r="CE468" s="509"/>
      <c r="CF468" s="509"/>
      <c r="CG468" s="509"/>
      <c r="CH468" s="509"/>
      <c r="CI468" s="509"/>
      <c r="CJ468" s="509"/>
      <c r="CK468" s="509"/>
      <c r="CL468" s="509"/>
      <c r="CM468" s="509"/>
      <c r="CN468" s="509"/>
      <c r="CO468" s="509"/>
      <c r="CP468" s="509"/>
      <c r="CQ468" s="509"/>
      <c r="CR468" s="509"/>
      <c r="CS468" s="509"/>
      <c r="CT468" s="509"/>
      <c r="CU468" s="509"/>
      <c r="CV468" s="509"/>
      <c r="CW468" s="509"/>
      <c r="CX468" s="509"/>
      <c r="CY468" s="509"/>
      <c r="CZ468" s="509"/>
      <c r="DA468" s="509"/>
      <c r="DB468" s="509"/>
      <c r="DC468" s="509"/>
      <c r="DD468" s="509"/>
      <c r="DE468" s="509"/>
      <c r="DF468" s="509"/>
      <c r="DG468" s="509"/>
      <c r="DH468" s="509"/>
      <c r="DI468" s="509"/>
      <c r="DJ468" s="509"/>
      <c r="DK468" s="509"/>
      <c r="DL468" s="509"/>
      <c r="DM468" s="509"/>
      <c r="DN468" s="509"/>
      <c r="DO468" s="509"/>
      <c r="DP468" s="509"/>
      <c r="DQ468" s="509"/>
      <c r="DR468" s="509"/>
      <c r="DS468" s="509"/>
      <c r="DT468" s="509"/>
      <c r="DU468" s="509"/>
      <c r="DV468" s="509"/>
      <c r="DW468" s="509"/>
      <c r="DX468" s="509"/>
      <c r="DY468" s="509"/>
      <c r="DZ468" s="509"/>
      <c r="EA468" s="509"/>
      <c r="EB468" s="509"/>
      <c r="EC468" s="509"/>
      <c r="ED468" s="509"/>
      <c r="EE468" s="509"/>
      <c r="EF468" s="509"/>
      <c r="EG468" s="509"/>
      <c r="EH468" s="509"/>
      <c r="EI468" s="509"/>
      <c r="EJ468" s="509"/>
      <c r="EK468" s="509"/>
      <c r="EL468" s="509"/>
      <c r="EM468" s="509"/>
      <c r="EN468" s="509"/>
      <c r="EO468" s="509"/>
      <c r="EP468" s="509"/>
      <c r="EQ468" s="509"/>
      <c r="ER468" s="509"/>
      <c r="ES468" s="509"/>
      <c r="ET468" s="509"/>
      <c r="EU468" s="509"/>
      <c r="EV468" s="509"/>
      <c r="EW468" s="509"/>
      <c r="EX468" s="509"/>
      <c r="EY468" s="509"/>
      <c r="EZ468" s="509"/>
      <c r="FA468" s="509"/>
      <c r="FB468" s="509"/>
      <c r="FC468" s="509"/>
      <c r="FD468" s="509"/>
      <c r="FE468" s="509"/>
      <c r="FF468" s="509"/>
      <c r="FG468" s="509"/>
      <c r="FH468" s="509"/>
      <c r="FI468" s="509"/>
      <c r="FJ468" s="509"/>
      <c r="FK468" s="509"/>
      <c r="FL468" s="509"/>
      <c r="FM468" s="509"/>
      <c r="FN468" s="509"/>
      <c r="FO468" s="509"/>
      <c r="FP468" s="509"/>
      <c r="FQ468" s="509"/>
      <c r="FR468" s="509"/>
      <c r="FS468" s="509"/>
      <c r="FT468" s="509"/>
      <c r="FU468" s="509"/>
      <c r="FV468" s="509"/>
      <c r="FW468" s="509"/>
      <c r="FX468" s="509"/>
      <c r="FY468" s="509"/>
      <c r="FZ468" s="509"/>
      <c r="GA468" s="509"/>
      <c r="GB468" s="509"/>
      <c r="GC468" s="509"/>
      <c r="GD468" s="509"/>
      <c r="GE468" s="509"/>
      <c r="GF468" s="509"/>
      <c r="GG468" s="509"/>
      <c r="GH468" s="509"/>
      <c r="GI468" s="509"/>
      <c r="GJ468" s="509"/>
      <c r="GK468" s="509"/>
      <c r="GL468" s="509"/>
      <c r="GM468" s="509"/>
      <c r="GN468" s="509"/>
      <c r="GO468" s="509"/>
      <c r="GP468" s="509"/>
      <c r="GQ468" s="509"/>
      <c r="GR468" s="509"/>
      <c r="GS468" s="509"/>
      <c r="GT468" s="509"/>
      <c r="GU468" s="509"/>
      <c r="GV468" s="509"/>
      <c r="GW468" s="509"/>
      <c r="GX468" s="509"/>
      <c r="GY468" s="509"/>
      <c r="GZ468" s="509"/>
      <c r="HA468" s="509"/>
      <c r="HB468" s="509"/>
      <c r="HC468" s="509"/>
      <c r="HD468" s="509"/>
      <c r="HE468" s="509"/>
      <c r="HF468" s="509"/>
      <c r="HG468" s="509"/>
      <c r="HH468" s="509"/>
      <c r="HI468" s="509"/>
      <c r="HJ468" s="509"/>
      <c r="HK468" s="509"/>
      <c r="HL468" s="509"/>
      <c r="HM468" s="509"/>
      <c r="HN468" s="509"/>
      <c r="HO468" s="509"/>
      <c r="HP468" s="509"/>
      <c r="HQ468" s="509"/>
      <c r="HR468" s="509"/>
      <c r="HS468" s="509"/>
      <c r="HT468" s="509"/>
      <c r="HU468" s="509"/>
      <c r="HV468" s="509"/>
      <c r="HW468" s="509"/>
      <c r="HX468" s="509"/>
      <c r="HY468" s="509"/>
      <c r="HZ468" s="509"/>
    </row>
    <row r="469" spans="1:234" ht="13.5" hidden="1" customHeight="1" x14ac:dyDescent="0.25">
      <c r="A469" s="1270" t="s">
        <v>7610</v>
      </c>
      <c r="B469" s="1271" t="s">
        <v>7608</v>
      </c>
      <c r="C469" s="1272" t="s">
        <v>7609</v>
      </c>
      <c r="D469" s="1273" t="s">
        <v>189</v>
      </c>
      <c r="E469" s="1272" t="s">
        <v>3228</v>
      </c>
      <c r="F469" s="1274">
        <v>42437</v>
      </c>
      <c r="G469" s="1275">
        <v>42373</v>
      </c>
      <c r="H469" s="1274">
        <v>42429</v>
      </c>
      <c r="I469" s="1276">
        <v>44651</v>
      </c>
      <c r="J469" s="1277">
        <v>10</v>
      </c>
      <c r="K469" s="1278" t="s">
        <v>3229</v>
      </c>
      <c r="L469" s="1279" t="s">
        <v>3229</v>
      </c>
      <c r="M469" s="1280">
        <v>-1</v>
      </c>
      <c r="N469" s="1281" t="s">
        <v>3229</v>
      </c>
      <c r="O469" s="1282">
        <v>0.24</v>
      </c>
      <c r="P469" s="1283" t="s">
        <v>3229</v>
      </c>
      <c r="Q469" s="1283" t="s">
        <v>3229</v>
      </c>
      <c r="R469" s="1284" t="s">
        <v>3229</v>
      </c>
      <c r="S469" s="1285"/>
      <c r="T469" s="1286" t="s">
        <v>3229</v>
      </c>
      <c r="U469" s="1286" t="s">
        <v>3229</v>
      </c>
      <c r="V469" s="1286" t="s">
        <v>3229</v>
      </c>
      <c r="W469" s="1286" t="s">
        <v>3229</v>
      </c>
      <c r="X469" s="1286" t="s">
        <v>3229</v>
      </c>
      <c r="Y469" s="1286" t="s">
        <v>3229</v>
      </c>
      <c r="Z469" s="1286" t="s">
        <v>3229</v>
      </c>
      <c r="AA469" s="1286" t="s">
        <v>3229</v>
      </c>
      <c r="AB469" s="1286" t="s">
        <v>3229</v>
      </c>
      <c r="AC469" s="1286" t="s">
        <v>3229</v>
      </c>
      <c r="AD469" s="1286" t="s">
        <v>3229</v>
      </c>
      <c r="AE469" s="1286" t="s">
        <v>3229</v>
      </c>
      <c r="AF469" s="3764" t="s">
        <v>781</v>
      </c>
      <c r="AG469" s="3765"/>
      <c r="AH469" s="1287">
        <v>1</v>
      </c>
      <c r="AI469" s="1288" t="s">
        <v>3229</v>
      </c>
      <c r="AJ469" s="1288" t="s">
        <v>3229</v>
      </c>
      <c r="AK469" s="1288" t="s">
        <v>3229</v>
      </c>
      <c r="AL469" s="1288" t="s">
        <v>3229</v>
      </c>
      <c r="AM469" s="1288" t="s">
        <v>3229</v>
      </c>
      <c r="AN469" s="1289">
        <f>+'klikací hodnoty'!F15063</f>
        <v>0.12</v>
      </c>
      <c r="AO469" s="1290">
        <v>11.2</v>
      </c>
      <c r="AP469" s="1371">
        <f>+'klikací hodnoty'!H15061</f>
        <v>9.4701661195334852E-2</v>
      </c>
      <c r="AQ469" s="1281">
        <f>+'klikací hodnoty'!H15061</f>
        <v>9.4701661195334852E-2</v>
      </c>
      <c r="AR469" s="1291">
        <f>O469</f>
        <v>0.24</v>
      </c>
      <c r="AS469" s="1292">
        <f>POWER(1+AR469,1/((I469-F469)/365))-1</f>
        <v>3.6099579220910893E-2</v>
      </c>
      <c r="AT469" s="1292"/>
      <c r="AU469" s="1293"/>
      <c r="AV469" s="1294">
        <f t="shared" ref="AV469:AV474" si="122">M469</f>
        <v>-1</v>
      </c>
      <c r="AW469" s="1295">
        <f t="shared" ref="AW469:AW474" si="123">POWER(1+AV469,1/((I469-F469)/365))-1</f>
        <v>-1</v>
      </c>
      <c r="AX469" s="1296"/>
      <c r="AY469" s="1297"/>
      <c r="AZ469" s="1298">
        <f t="shared" ref="AZ469:AZ474" si="124">J469*(1+AV469)</f>
        <v>0</v>
      </c>
      <c r="BA469" s="1299"/>
      <c r="BB469" s="1285"/>
      <c r="BC469" s="1300"/>
      <c r="BH469" s="3763"/>
      <c r="BI469" s="3763"/>
      <c r="BJ469" s="1639"/>
      <c r="BK469" s="1639"/>
      <c r="BL469" s="1639"/>
      <c r="BM469" s="1639"/>
      <c r="BN469" s="1639"/>
      <c r="BO469" s="1639"/>
      <c r="BP469" s="1639"/>
      <c r="BQ469" s="1639"/>
      <c r="BR469" s="1639"/>
      <c r="BS469" s="509"/>
      <c r="BT469" s="509"/>
      <c r="BU469" s="509"/>
      <c r="BV469" s="509"/>
      <c r="BW469" s="509"/>
      <c r="BX469" s="509"/>
      <c r="BY469" s="509"/>
      <c r="BZ469" s="509"/>
      <c r="CA469" s="509"/>
      <c r="CB469" s="509"/>
      <c r="CC469" s="509"/>
      <c r="CD469" s="509"/>
      <c r="CE469" s="509"/>
      <c r="CF469" s="509"/>
      <c r="CG469" s="509"/>
      <c r="CH469" s="509"/>
      <c r="CI469" s="509"/>
      <c r="CJ469" s="509"/>
      <c r="CK469" s="509"/>
      <c r="CL469" s="509"/>
      <c r="CM469" s="509"/>
      <c r="CN469" s="509"/>
      <c r="CO469" s="509"/>
      <c r="CP469" s="509"/>
      <c r="CQ469" s="509"/>
      <c r="CR469" s="509"/>
      <c r="CS469" s="509"/>
      <c r="CT469" s="509"/>
      <c r="CU469" s="509"/>
      <c r="CV469" s="509"/>
      <c r="CW469" s="509"/>
      <c r="CX469" s="509"/>
      <c r="CY469" s="509"/>
      <c r="CZ469" s="509"/>
      <c r="DA469" s="509"/>
      <c r="DB469" s="509"/>
      <c r="DC469" s="509"/>
      <c r="DD469" s="509"/>
      <c r="DE469" s="509"/>
      <c r="DF469" s="509"/>
      <c r="DG469" s="509"/>
      <c r="DH469" s="509"/>
      <c r="DI469" s="509"/>
      <c r="DJ469" s="509"/>
      <c r="DK469" s="509"/>
      <c r="DL469" s="509"/>
      <c r="DM469" s="509"/>
      <c r="DN469" s="509"/>
      <c r="DO469" s="509"/>
      <c r="DP469" s="509"/>
      <c r="DQ469" s="509"/>
      <c r="DR469" s="509"/>
      <c r="DS469" s="509"/>
      <c r="DT469" s="509"/>
      <c r="DU469" s="509"/>
      <c r="DV469" s="509"/>
      <c r="DW469" s="509"/>
      <c r="DX469" s="509"/>
      <c r="DY469" s="509"/>
      <c r="DZ469" s="509"/>
      <c r="EA469" s="509"/>
      <c r="EB469" s="509"/>
      <c r="EC469" s="509"/>
      <c r="ED469" s="509"/>
      <c r="EE469" s="509"/>
      <c r="EF469" s="509"/>
      <c r="EG469" s="509"/>
      <c r="EH469" s="509"/>
      <c r="EI469" s="509"/>
      <c r="EJ469" s="509"/>
      <c r="EK469" s="509"/>
      <c r="EL469" s="509"/>
      <c r="EM469" s="509"/>
      <c r="EN469" s="509"/>
      <c r="EO469" s="509"/>
      <c r="EP469" s="509"/>
      <c r="EQ469" s="509"/>
      <c r="ER469" s="509"/>
      <c r="ES469" s="509"/>
      <c r="ET469" s="509"/>
      <c r="EU469" s="509"/>
      <c r="EV469" s="509"/>
      <c r="EW469" s="509"/>
      <c r="EX469" s="509"/>
      <c r="EY469" s="509"/>
      <c r="EZ469" s="509"/>
      <c r="FA469" s="509"/>
      <c r="FB469" s="509"/>
      <c r="FC469" s="509"/>
      <c r="FD469" s="509"/>
      <c r="FE469" s="509"/>
      <c r="FF469" s="509"/>
      <c r="FG469" s="509"/>
      <c r="FH469" s="509"/>
      <c r="FI469" s="509"/>
      <c r="FJ469" s="509"/>
      <c r="FK469" s="509"/>
      <c r="FL469" s="509"/>
      <c r="FM469" s="509"/>
      <c r="FN469" s="509"/>
      <c r="FO469" s="509"/>
      <c r="FP469" s="509"/>
      <c r="FQ469" s="509"/>
      <c r="FR469" s="509"/>
      <c r="FS469" s="509"/>
      <c r="FT469" s="509"/>
      <c r="FU469" s="509"/>
      <c r="FV469" s="509"/>
      <c r="FW469" s="509"/>
      <c r="FX469" s="509"/>
      <c r="FY469" s="509"/>
      <c r="FZ469" s="509"/>
      <c r="GA469" s="509"/>
      <c r="GB469" s="509"/>
      <c r="GC469" s="509"/>
      <c r="GD469" s="509"/>
      <c r="GE469" s="509"/>
      <c r="GF469" s="509"/>
      <c r="GG469" s="509"/>
      <c r="GH469" s="509"/>
      <c r="GI469" s="509"/>
      <c r="GJ469" s="509"/>
      <c r="GK469" s="509"/>
      <c r="GL469" s="509"/>
      <c r="GM469" s="509"/>
      <c r="GN469" s="509"/>
      <c r="GO469" s="509"/>
      <c r="GP469" s="509"/>
      <c r="GQ469" s="509"/>
      <c r="GR469" s="509"/>
      <c r="GS469" s="509"/>
      <c r="GT469" s="509"/>
      <c r="GU469" s="509"/>
      <c r="GV469" s="509"/>
      <c r="GW469" s="509"/>
      <c r="GX469" s="509"/>
      <c r="GY469" s="509"/>
      <c r="GZ469" s="509"/>
      <c r="HA469" s="509"/>
      <c r="HB469" s="509"/>
      <c r="HC469" s="509"/>
      <c r="HD469" s="509"/>
      <c r="HE469" s="509"/>
      <c r="HF469" s="509"/>
      <c r="HG469" s="509"/>
      <c r="HH469" s="509"/>
      <c r="HI469" s="509"/>
      <c r="HJ469" s="509"/>
      <c r="HK469" s="509"/>
      <c r="HL469" s="509"/>
      <c r="HM469" s="509"/>
      <c r="HN469" s="509"/>
      <c r="HO469" s="509"/>
      <c r="HP469" s="509"/>
      <c r="HQ469" s="509"/>
      <c r="HR469" s="509"/>
      <c r="HS469" s="509"/>
      <c r="HT469" s="509"/>
      <c r="HU469" s="509"/>
      <c r="HV469" s="509"/>
      <c r="HW469" s="509"/>
      <c r="HX469" s="509"/>
      <c r="HY469" s="509"/>
      <c r="HZ469" s="509"/>
    </row>
    <row r="470" spans="1:234" ht="13.5" hidden="1" customHeight="1" x14ac:dyDescent="0.25">
      <c r="A470" s="1270" t="s">
        <v>7613</v>
      </c>
      <c r="B470" s="1271" t="s">
        <v>7611</v>
      </c>
      <c r="C470" s="1272" t="s">
        <v>7612</v>
      </c>
      <c r="D470" s="1273" t="s">
        <v>189</v>
      </c>
      <c r="E470" s="1272" t="s">
        <v>905</v>
      </c>
      <c r="F470" s="1274">
        <v>42436</v>
      </c>
      <c r="G470" s="1275">
        <v>42373</v>
      </c>
      <c r="H470" s="1274">
        <v>42426</v>
      </c>
      <c r="I470" s="1276">
        <v>44651</v>
      </c>
      <c r="J470" s="1277">
        <v>10</v>
      </c>
      <c r="K470" s="1278" t="s">
        <v>3229</v>
      </c>
      <c r="L470" s="1279" t="s">
        <v>3229</v>
      </c>
      <c r="M470" s="1280">
        <v>0</v>
      </c>
      <c r="N470" s="1281">
        <v>0.55000000000000004</v>
      </c>
      <c r="O470" s="1282">
        <v>0.6</v>
      </c>
      <c r="P470" s="1283" t="s">
        <v>3229</v>
      </c>
      <c r="Q470" s="1283" t="s">
        <v>3229</v>
      </c>
      <c r="R470" s="1284" t="s">
        <v>3229</v>
      </c>
      <c r="S470" s="1285"/>
      <c r="T470" s="1286" t="s">
        <v>3229</v>
      </c>
      <c r="U470" s="1286" t="s">
        <v>3229</v>
      </c>
      <c r="V470" s="1286" t="s">
        <v>3229</v>
      </c>
      <c r="W470" s="1286" t="s">
        <v>3229</v>
      </c>
      <c r="X470" s="1286" t="s">
        <v>3229</v>
      </c>
      <c r="Y470" s="1286" t="s">
        <v>3229</v>
      </c>
      <c r="Z470" s="1286" t="s">
        <v>3229</v>
      </c>
      <c r="AA470" s="1286" t="s">
        <v>3229</v>
      </c>
      <c r="AB470" s="1286" t="s">
        <v>3229</v>
      </c>
      <c r="AC470" s="1286" t="s">
        <v>3229</v>
      </c>
      <c r="AD470" s="1286" t="s">
        <v>3229</v>
      </c>
      <c r="AE470" s="1286" t="s">
        <v>3229</v>
      </c>
      <c r="AF470" s="3764" t="s">
        <v>781</v>
      </c>
      <c r="AG470" s="3765"/>
      <c r="AH470" s="1287" t="s">
        <v>3229</v>
      </c>
      <c r="AI470" s="1288" t="s">
        <v>3229</v>
      </c>
      <c r="AJ470" s="1288" t="s">
        <v>3229</v>
      </c>
      <c r="AK470" s="1288" t="s">
        <v>3229</v>
      </c>
      <c r="AL470" s="1288" t="s">
        <v>3229</v>
      </c>
      <c r="AM470" s="1288">
        <v>1</v>
      </c>
      <c r="AN470" s="1289">
        <f>+'klikací hodnoty'!F15221</f>
        <v>5.543043611111112E-2</v>
      </c>
      <c r="AO470" s="1290">
        <v>10.55</v>
      </c>
      <c r="AP470" s="1371">
        <f>+'klikací hodnoty'!E15220</f>
        <v>0.10078261111111111</v>
      </c>
      <c r="AQ470" s="1281">
        <f>+'klikací hodnoty'!F15201</f>
        <v>0.15986512938030689</v>
      </c>
      <c r="AR470" s="1291">
        <f>O470</f>
        <v>0.6</v>
      </c>
      <c r="AS470" s="1292">
        <f>POWER(1+AR470,1/((I470-F470)/365))-1</f>
        <v>8.0527997214145275E-2</v>
      </c>
      <c r="AT470" s="1292">
        <f>J470*(1+AR470)/AO470-1</f>
        <v>0.51658767772511838</v>
      </c>
      <c r="AU470" s="1293" t="e">
        <f>POWER(1+AT470,1/AG470)-1</f>
        <v>#DIV/0!</v>
      </c>
      <c r="AV470" s="1294">
        <f t="shared" si="122"/>
        <v>0</v>
      </c>
      <c r="AW470" s="1295">
        <f t="shared" si="123"/>
        <v>0</v>
      </c>
      <c r="AX470" s="1296">
        <f>J470*(1+AV470)/AO470-1</f>
        <v>-5.2132701421801042E-2</v>
      </c>
      <c r="AY470" s="1297" t="e">
        <f>POWER(1+AX470,1/AG470)-1</f>
        <v>#DIV/0!</v>
      </c>
      <c r="AZ470" s="1298">
        <f t="shared" si="124"/>
        <v>10</v>
      </c>
      <c r="BA470" s="1299"/>
      <c r="BB470" s="1285"/>
      <c r="BC470" s="1300"/>
      <c r="BH470" s="3763"/>
      <c r="BI470" s="3763"/>
      <c r="BJ470" s="1639"/>
      <c r="BK470" s="1639"/>
      <c r="BL470" s="1639"/>
      <c r="BM470" s="1639"/>
      <c r="BN470" s="1639"/>
      <c r="BO470" s="1639"/>
      <c r="BP470" s="1639"/>
      <c r="BQ470" s="1639"/>
      <c r="BR470" s="1639"/>
      <c r="BS470" s="509"/>
      <c r="BT470" s="509"/>
      <c r="BU470" s="509"/>
      <c r="BV470" s="509"/>
      <c r="BW470" s="509"/>
      <c r="BX470" s="509"/>
      <c r="BY470" s="509"/>
      <c r="BZ470" s="509"/>
      <c r="CA470" s="509"/>
      <c r="CB470" s="509"/>
      <c r="CC470" s="509"/>
      <c r="CD470" s="509"/>
      <c r="CE470" s="509"/>
      <c r="CF470" s="509"/>
      <c r="CG470" s="509"/>
      <c r="CH470" s="509"/>
      <c r="CI470" s="509"/>
      <c r="CJ470" s="509"/>
      <c r="CK470" s="509"/>
      <c r="CL470" s="509"/>
      <c r="CM470" s="509"/>
      <c r="CN470" s="509"/>
      <c r="CO470" s="509"/>
      <c r="CP470" s="509"/>
      <c r="CQ470" s="509"/>
      <c r="CR470" s="509"/>
      <c r="CS470" s="509"/>
      <c r="CT470" s="509"/>
      <c r="CU470" s="509"/>
      <c r="CV470" s="509"/>
      <c r="CW470" s="509"/>
      <c r="CX470" s="509"/>
      <c r="CY470" s="509"/>
      <c r="CZ470" s="509"/>
      <c r="DA470" s="509"/>
      <c r="DB470" s="509"/>
      <c r="DC470" s="509"/>
      <c r="DD470" s="509"/>
      <c r="DE470" s="509"/>
      <c r="DF470" s="509"/>
      <c r="DG470" s="509"/>
      <c r="DH470" s="509"/>
      <c r="DI470" s="509"/>
      <c r="DJ470" s="509"/>
      <c r="DK470" s="509"/>
      <c r="DL470" s="509"/>
      <c r="DM470" s="509"/>
      <c r="DN470" s="509"/>
      <c r="DO470" s="509"/>
      <c r="DP470" s="509"/>
      <c r="DQ470" s="509"/>
      <c r="DR470" s="509"/>
      <c r="DS470" s="509"/>
      <c r="DT470" s="509"/>
      <c r="DU470" s="509"/>
      <c r="DV470" s="509"/>
      <c r="DW470" s="509"/>
      <c r="DX470" s="509"/>
      <c r="DY470" s="509"/>
      <c r="DZ470" s="509"/>
      <c r="EA470" s="509"/>
      <c r="EB470" s="509"/>
      <c r="EC470" s="509"/>
      <c r="ED470" s="509"/>
      <c r="EE470" s="509"/>
      <c r="EF470" s="509"/>
      <c r="EG470" s="509"/>
      <c r="EH470" s="509"/>
      <c r="EI470" s="509"/>
      <c r="EJ470" s="509"/>
      <c r="EK470" s="509"/>
      <c r="EL470" s="509"/>
      <c r="EM470" s="509"/>
      <c r="EN470" s="509"/>
      <c r="EO470" s="509"/>
      <c r="EP470" s="509"/>
      <c r="EQ470" s="509"/>
      <c r="ER470" s="509"/>
      <c r="ES470" s="509"/>
      <c r="ET470" s="509"/>
      <c r="EU470" s="509"/>
      <c r="EV470" s="509"/>
      <c r="EW470" s="509"/>
      <c r="EX470" s="509"/>
      <c r="EY470" s="509"/>
      <c r="EZ470" s="509"/>
      <c r="FA470" s="509"/>
      <c r="FB470" s="509"/>
      <c r="FC470" s="509"/>
      <c r="FD470" s="509"/>
      <c r="FE470" s="509"/>
      <c r="FF470" s="509"/>
      <c r="FG470" s="509"/>
      <c r="FH470" s="509"/>
      <c r="FI470" s="509"/>
      <c r="FJ470" s="509"/>
      <c r="FK470" s="509"/>
      <c r="FL470" s="509"/>
      <c r="FM470" s="509"/>
      <c r="FN470" s="509"/>
      <c r="FO470" s="509"/>
      <c r="FP470" s="509"/>
      <c r="FQ470" s="509"/>
      <c r="FR470" s="509"/>
      <c r="FS470" s="509"/>
      <c r="FT470" s="509"/>
      <c r="FU470" s="509"/>
      <c r="FV470" s="509"/>
      <c r="FW470" s="509"/>
      <c r="FX470" s="509"/>
      <c r="FY470" s="509"/>
      <c r="FZ470" s="509"/>
      <c r="GA470" s="509"/>
      <c r="GB470" s="509"/>
      <c r="GC470" s="509"/>
      <c r="GD470" s="509"/>
      <c r="GE470" s="509"/>
      <c r="GF470" s="509"/>
      <c r="GG470" s="509"/>
      <c r="GH470" s="509"/>
      <c r="GI470" s="509"/>
      <c r="GJ470" s="509"/>
      <c r="GK470" s="509"/>
      <c r="GL470" s="509"/>
      <c r="GM470" s="509"/>
      <c r="GN470" s="509"/>
      <c r="GO470" s="509"/>
      <c r="GP470" s="509"/>
      <c r="GQ470" s="509"/>
      <c r="GR470" s="509"/>
      <c r="GS470" s="509"/>
      <c r="GT470" s="509"/>
      <c r="GU470" s="509"/>
      <c r="GV470" s="509"/>
      <c r="GW470" s="509"/>
      <c r="GX470" s="509"/>
      <c r="GY470" s="509"/>
      <c r="GZ470" s="509"/>
      <c r="HA470" s="509"/>
      <c r="HB470" s="509"/>
      <c r="HC470" s="509"/>
      <c r="HD470" s="509"/>
      <c r="HE470" s="509"/>
      <c r="HF470" s="509"/>
      <c r="HG470" s="509"/>
      <c r="HH470" s="509"/>
      <c r="HI470" s="509"/>
      <c r="HJ470" s="509"/>
      <c r="HK470" s="509"/>
      <c r="HL470" s="509"/>
      <c r="HM470" s="509"/>
      <c r="HN470" s="509"/>
      <c r="HO470" s="509"/>
      <c r="HP470" s="509"/>
      <c r="HQ470" s="509"/>
      <c r="HR470" s="509"/>
      <c r="HS470" s="509"/>
      <c r="HT470" s="509"/>
      <c r="HU470" s="509"/>
      <c r="HV470" s="509"/>
      <c r="HW470" s="509"/>
      <c r="HX470" s="509"/>
      <c r="HY470" s="509"/>
      <c r="HZ470" s="509"/>
    </row>
    <row r="471" spans="1:234" ht="13.5" hidden="1" customHeight="1" x14ac:dyDescent="0.25">
      <c r="A471" s="1270" t="s">
        <v>7701</v>
      </c>
      <c r="B471" s="1271" t="s">
        <v>7699</v>
      </c>
      <c r="C471" s="1272" t="s">
        <v>7700</v>
      </c>
      <c r="D471" s="1273" t="s">
        <v>189</v>
      </c>
      <c r="E471" s="1272" t="s">
        <v>3228</v>
      </c>
      <c r="F471" s="1274">
        <v>42468</v>
      </c>
      <c r="G471" s="1275">
        <v>42401</v>
      </c>
      <c r="H471" s="1274">
        <v>42460</v>
      </c>
      <c r="I471" s="1276">
        <v>44592</v>
      </c>
      <c r="J471" s="1277">
        <v>10</v>
      </c>
      <c r="K471" s="1278" t="s">
        <v>3229</v>
      </c>
      <c r="L471" s="1279" t="s">
        <v>3229</v>
      </c>
      <c r="M471" s="1280">
        <v>0</v>
      </c>
      <c r="N471" s="1281">
        <v>0.9</v>
      </c>
      <c r="O471" s="1282" t="s">
        <v>3229</v>
      </c>
      <c r="P471" s="1283" t="s">
        <v>3229</v>
      </c>
      <c r="Q471" s="1283" t="s">
        <v>3229</v>
      </c>
      <c r="R471" s="1284" t="s">
        <v>3229</v>
      </c>
      <c r="S471" s="1285"/>
      <c r="T471" s="1286" t="s">
        <v>3229</v>
      </c>
      <c r="U471" s="1286" t="s">
        <v>3229</v>
      </c>
      <c r="V471" s="1286" t="s">
        <v>3229</v>
      </c>
      <c r="W471" s="1286" t="s">
        <v>3229</v>
      </c>
      <c r="X471" s="1286" t="s">
        <v>3229</v>
      </c>
      <c r="Y471" s="1286" t="s">
        <v>3229</v>
      </c>
      <c r="Z471" s="1286" t="s">
        <v>3229</v>
      </c>
      <c r="AA471" s="1286" t="s">
        <v>3229</v>
      </c>
      <c r="AB471" s="1286" t="s">
        <v>3229</v>
      </c>
      <c r="AC471" s="1286" t="s">
        <v>3229</v>
      </c>
      <c r="AD471" s="1286" t="s">
        <v>3229</v>
      </c>
      <c r="AE471" s="1286" t="s">
        <v>3229</v>
      </c>
      <c r="AF471" s="3764" t="s">
        <v>781</v>
      </c>
      <c r="AG471" s="3765">
        <f>(I471-indexy!$B$1)/365</f>
        <v>-2.1561643835616437</v>
      </c>
      <c r="AH471" s="1287" t="s">
        <v>3229</v>
      </c>
      <c r="AI471" s="1288" t="s">
        <v>3229</v>
      </c>
      <c r="AJ471" s="1288" t="s">
        <v>3229</v>
      </c>
      <c r="AK471" s="1288" t="s">
        <v>3229</v>
      </c>
      <c r="AL471" s="1288" t="s">
        <v>3229</v>
      </c>
      <c r="AM471" s="1288">
        <v>1</v>
      </c>
      <c r="AN471" s="1289">
        <f>+'klikací hodnoty'!F15109</f>
        <v>4.0566200000000011E-2</v>
      </c>
      <c r="AO471" s="1290">
        <v>10.41</v>
      </c>
      <c r="AP471" s="1371">
        <f>+'klikací hodnoty'!E15108</f>
        <v>4.5073555555555568E-2</v>
      </c>
      <c r="AQ471" s="1281">
        <f>+'klikací hodnoty'!F15089</f>
        <v>0.1459099063828625</v>
      </c>
      <c r="AR471" s="1291" t="s">
        <v>3660</v>
      </c>
      <c r="AS471" s="1292"/>
      <c r="AT471" s="1292"/>
      <c r="AU471" s="1293"/>
      <c r="AV471" s="1294">
        <f t="shared" si="122"/>
        <v>0</v>
      </c>
      <c r="AW471" s="1295">
        <f t="shared" si="123"/>
        <v>0</v>
      </c>
      <c r="AX471" s="1296"/>
      <c r="AY471" s="1297"/>
      <c r="AZ471" s="1298">
        <f t="shared" si="124"/>
        <v>10</v>
      </c>
      <c r="BA471" s="1299"/>
      <c r="BB471" s="1285"/>
      <c r="BC471" s="1300"/>
      <c r="BH471" s="3763"/>
      <c r="BI471" s="3763"/>
      <c r="BJ471" s="1639"/>
      <c r="BK471" s="1639"/>
      <c r="BL471" s="1639"/>
      <c r="BM471" s="1639"/>
      <c r="BN471" s="1639"/>
      <c r="BO471" s="1639"/>
      <c r="BP471" s="1639"/>
      <c r="BQ471" s="1639"/>
      <c r="BR471" s="1639"/>
      <c r="BS471" s="509"/>
      <c r="BT471" s="509"/>
      <c r="BU471" s="509"/>
      <c r="BV471" s="509"/>
      <c r="BW471" s="509"/>
      <c r="BX471" s="509"/>
      <c r="BY471" s="509"/>
      <c r="BZ471" s="509"/>
      <c r="CA471" s="509"/>
      <c r="CB471" s="509"/>
      <c r="CC471" s="509"/>
      <c r="CD471" s="509"/>
      <c r="CE471" s="509"/>
      <c r="CF471" s="509"/>
      <c r="CG471" s="509"/>
      <c r="CH471" s="509"/>
      <c r="CI471" s="509"/>
      <c r="CJ471" s="509"/>
      <c r="CK471" s="509"/>
      <c r="CL471" s="509"/>
      <c r="CM471" s="509"/>
      <c r="CN471" s="509"/>
      <c r="CO471" s="509"/>
      <c r="CP471" s="509"/>
      <c r="CQ471" s="509"/>
      <c r="CR471" s="509"/>
      <c r="CS471" s="509"/>
      <c r="CT471" s="509"/>
      <c r="CU471" s="509"/>
      <c r="CV471" s="509"/>
      <c r="CW471" s="509"/>
      <c r="CX471" s="509"/>
      <c r="CY471" s="509"/>
      <c r="CZ471" s="509"/>
      <c r="DA471" s="509"/>
      <c r="DB471" s="509"/>
      <c r="DC471" s="509"/>
      <c r="DD471" s="509"/>
      <c r="DE471" s="509"/>
      <c r="DF471" s="509"/>
      <c r="DG471" s="509"/>
      <c r="DH471" s="509"/>
      <c r="DI471" s="509"/>
      <c r="DJ471" s="509"/>
      <c r="DK471" s="509"/>
      <c r="DL471" s="509"/>
      <c r="DM471" s="509"/>
      <c r="DN471" s="509"/>
      <c r="DO471" s="509"/>
      <c r="DP471" s="509"/>
      <c r="DQ471" s="509"/>
      <c r="DR471" s="509"/>
      <c r="DS471" s="509"/>
      <c r="DT471" s="509"/>
      <c r="DU471" s="509"/>
      <c r="DV471" s="509"/>
      <c r="DW471" s="509"/>
      <c r="DX471" s="509"/>
      <c r="DY471" s="509"/>
      <c r="DZ471" s="509"/>
      <c r="EA471" s="509"/>
      <c r="EB471" s="509"/>
      <c r="EC471" s="509"/>
      <c r="ED471" s="509"/>
      <c r="EE471" s="509"/>
      <c r="EF471" s="509"/>
      <c r="EG471" s="509"/>
      <c r="EH471" s="509"/>
      <c r="EI471" s="509"/>
      <c r="EJ471" s="509"/>
      <c r="EK471" s="509"/>
      <c r="EL471" s="509"/>
      <c r="EM471" s="509"/>
      <c r="EN471" s="509"/>
      <c r="EO471" s="509"/>
      <c r="EP471" s="509"/>
      <c r="EQ471" s="509"/>
      <c r="ER471" s="509"/>
      <c r="ES471" s="509"/>
      <c r="ET471" s="509"/>
      <c r="EU471" s="509"/>
      <c r="EV471" s="509"/>
      <c r="EW471" s="509"/>
      <c r="EX471" s="509"/>
      <c r="EY471" s="509"/>
      <c r="EZ471" s="509"/>
      <c r="FA471" s="509"/>
      <c r="FB471" s="509"/>
      <c r="FC471" s="509"/>
      <c r="FD471" s="509"/>
      <c r="FE471" s="509"/>
      <c r="FF471" s="509"/>
      <c r="FG471" s="509"/>
      <c r="FH471" s="509"/>
      <c r="FI471" s="509"/>
      <c r="FJ471" s="509"/>
      <c r="FK471" s="509"/>
      <c r="FL471" s="509"/>
      <c r="FM471" s="509"/>
      <c r="FN471" s="509"/>
      <c r="FO471" s="509"/>
      <c r="FP471" s="509"/>
      <c r="FQ471" s="509"/>
      <c r="FR471" s="509"/>
      <c r="FS471" s="509"/>
      <c r="FT471" s="509"/>
      <c r="FU471" s="509"/>
      <c r="FV471" s="509"/>
      <c r="FW471" s="509"/>
      <c r="FX471" s="509"/>
      <c r="FY471" s="509"/>
      <c r="FZ471" s="509"/>
      <c r="GA471" s="509"/>
      <c r="GB471" s="509"/>
      <c r="GC471" s="509"/>
      <c r="GD471" s="509"/>
      <c r="GE471" s="509"/>
      <c r="GF471" s="509"/>
      <c r="GG471" s="509"/>
      <c r="GH471" s="509"/>
      <c r="GI471" s="509"/>
      <c r="GJ471" s="509"/>
      <c r="GK471" s="509"/>
      <c r="GL471" s="509"/>
      <c r="GM471" s="509"/>
      <c r="GN471" s="509"/>
      <c r="GO471" s="509"/>
      <c r="GP471" s="509"/>
      <c r="GQ471" s="509"/>
      <c r="GR471" s="509"/>
      <c r="GS471" s="509"/>
      <c r="GT471" s="509"/>
      <c r="GU471" s="509"/>
      <c r="GV471" s="509"/>
      <c r="GW471" s="509"/>
      <c r="GX471" s="509"/>
      <c r="GY471" s="509"/>
      <c r="GZ471" s="509"/>
      <c r="HA471" s="509"/>
      <c r="HB471" s="509"/>
      <c r="HC471" s="509"/>
      <c r="HD471" s="509"/>
      <c r="HE471" s="509"/>
      <c r="HF471" s="509"/>
      <c r="HG471" s="509"/>
      <c r="HH471" s="509"/>
      <c r="HI471" s="509"/>
      <c r="HJ471" s="509"/>
      <c r="HK471" s="509"/>
      <c r="HL471" s="509"/>
      <c r="HM471" s="509"/>
      <c r="HN471" s="509"/>
      <c r="HO471" s="509"/>
      <c r="HP471" s="509"/>
      <c r="HQ471" s="509"/>
      <c r="HR471" s="509"/>
      <c r="HS471" s="509"/>
      <c r="HT471" s="509"/>
      <c r="HU471" s="509"/>
      <c r="HV471" s="509"/>
      <c r="HW471" s="509"/>
      <c r="HX471" s="509"/>
      <c r="HY471" s="509"/>
      <c r="HZ471" s="509"/>
    </row>
    <row r="472" spans="1:234" ht="13.5" hidden="1" customHeight="1" x14ac:dyDescent="0.25">
      <c r="A472" s="1270" t="s">
        <v>7724</v>
      </c>
      <c r="B472" s="1271" t="s">
        <v>7723</v>
      </c>
      <c r="C472" s="1272" t="s">
        <v>7725</v>
      </c>
      <c r="D472" s="1273" t="s">
        <v>189</v>
      </c>
      <c r="E472" s="1272" t="s">
        <v>1743</v>
      </c>
      <c r="F472" s="1274">
        <v>42500</v>
      </c>
      <c r="G472" s="1275">
        <v>42430</v>
      </c>
      <c r="H472" s="1274">
        <v>42489</v>
      </c>
      <c r="I472" s="1276">
        <v>44650</v>
      </c>
      <c r="J472" s="1277">
        <v>10</v>
      </c>
      <c r="K472" s="1278" t="s">
        <v>3229</v>
      </c>
      <c r="L472" s="1279" t="s">
        <v>3229</v>
      </c>
      <c r="M472" s="1280">
        <v>0</v>
      </c>
      <c r="N472" s="1281">
        <v>1</v>
      </c>
      <c r="O472" s="1282">
        <v>0.8</v>
      </c>
      <c r="P472" s="1283" t="s">
        <v>3229</v>
      </c>
      <c r="Q472" s="1283" t="s">
        <v>3229</v>
      </c>
      <c r="R472" s="1284" t="s">
        <v>3229</v>
      </c>
      <c r="S472" s="1285"/>
      <c r="T472" s="1286" t="s">
        <v>3229</v>
      </c>
      <c r="U472" s="1286" t="s">
        <v>3229</v>
      </c>
      <c r="V472" s="1286" t="s">
        <v>3229</v>
      </c>
      <c r="W472" s="1286" t="s">
        <v>3229</v>
      </c>
      <c r="X472" s="1286" t="s">
        <v>3229</v>
      </c>
      <c r="Y472" s="1286" t="s">
        <v>3229</v>
      </c>
      <c r="Z472" s="1286" t="s">
        <v>3229</v>
      </c>
      <c r="AA472" s="1286" t="s">
        <v>3229</v>
      </c>
      <c r="AB472" s="1286" t="s">
        <v>3229</v>
      </c>
      <c r="AC472" s="1286" t="s">
        <v>3229</v>
      </c>
      <c r="AD472" s="1286" t="s">
        <v>3229</v>
      </c>
      <c r="AE472" s="1286" t="s">
        <v>3229</v>
      </c>
      <c r="AF472" s="3764" t="s">
        <v>781</v>
      </c>
      <c r="AG472" s="3765"/>
      <c r="AH472" s="1287" t="s">
        <v>3229</v>
      </c>
      <c r="AI472" s="1288" t="s">
        <v>3229</v>
      </c>
      <c r="AJ472" s="1288" t="s">
        <v>3229</v>
      </c>
      <c r="AK472" s="1288" t="s">
        <v>3229</v>
      </c>
      <c r="AL472" s="1288" t="s">
        <v>3229</v>
      </c>
      <c r="AM472" s="1288">
        <v>1</v>
      </c>
      <c r="AN472" s="1289">
        <f>+'klikací hodnoty'!F15277</f>
        <v>0.11439205555555554</v>
      </c>
      <c r="AO472" s="1290">
        <v>11.14</v>
      </c>
      <c r="AP472" s="1371">
        <f>+'klikací hodnoty'!E15276</f>
        <v>0.11439205555555554</v>
      </c>
      <c r="AQ472" s="1281">
        <f>+'klikací hodnoty'!F15257</f>
        <v>0.17649999999999999</v>
      </c>
      <c r="AR472" s="1291">
        <f>O472</f>
        <v>0.8</v>
      </c>
      <c r="AS472" s="1292">
        <f>POWER(1+AR472,1/((I472-F472)/365))-1</f>
        <v>0.10493558423452964</v>
      </c>
      <c r="AT472" s="1292"/>
      <c r="AU472" s="1293"/>
      <c r="AV472" s="1294">
        <f t="shared" si="122"/>
        <v>0</v>
      </c>
      <c r="AW472" s="1295">
        <f t="shared" si="123"/>
        <v>0</v>
      </c>
      <c r="AX472" s="1296"/>
      <c r="AY472" s="1297"/>
      <c r="AZ472" s="1298">
        <f t="shared" si="124"/>
        <v>10</v>
      </c>
      <c r="BA472" s="1299"/>
      <c r="BB472" s="1285"/>
      <c r="BC472" s="1300"/>
      <c r="BH472" s="3763"/>
      <c r="BI472" s="3763"/>
      <c r="BJ472" s="1639"/>
      <c r="BK472" s="1639"/>
      <c r="BL472" s="1639"/>
      <c r="BM472" s="1639"/>
      <c r="BN472" s="1639"/>
      <c r="BO472" s="1639"/>
      <c r="BP472" s="1639"/>
      <c r="BQ472" s="1639"/>
      <c r="BR472" s="1639"/>
      <c r="BS472" s="509"/>
      <c r="BT472" s="509"/>
      <c r="BU472" s="509"/>
      <c r="BV472" s="509"/>
      <c r="BW472" s="509"/>
      <c r="BX472" s="509"/>
      <c r="BY472" s="509"/>
      <c r="BZ472" s="509"/>
      <c r="CA472" s="509"/>
      <c r="CB472" s="509"/>
      <c r="CC472" s="509"/>
      <c r="CD472" s="509"/>
      <c r="CE472" s="509"/>
      <c r="CF472" s="509"/>
      <c r="CG472" s="509"/>
      <c r="CH472" s="509"/>
      <c r="CI472" s="509"/>
      <c r="CJ472" s="509"/>
      <c r="CK472" s="509"/>
      <c r="CL472" s="509"/>
      <c r="CM472" s="509"/>
      <c r="CN472" s="509"/>
      <c r="CO472" s="509"/>
      <c r="CP472" s="509"/>
      <c r="CQ472" s="509"/>
      <c r="CR472" s="509"/>
      <c r="CS472" s="509"/>
      <c r="CT472" s="509"/>
      <c r="CU472" s="509"/>
      <c r="CV472" s="509"/>
      <c r="CW472" s="509"/>
      <c r="CX472" s="509"/>
      <c r="CY472" s="509"/>
      <c r="CZ472" s="509"/>
      <c r="DA472" s="509"/>
      <c r="DB472" s="509"/>
      <c r="DC472" s="509"/>
      <c r="DD472" s="509"/>
      <c r="DE472" s="509"/>
      <c r="DF472" s="509"/>
      <c r="DG472" s="509"/>
      <c r="DH472" s="509"/>
      <c r="DI472" s="509"/>
      <c r="DJ472" s="509"/>
      <c r="DK472" s="509"/>
      <c r="DL472" s="509"/>
      <c r="DM472" s="509"/>
      <c r="DN472" s="509"/>
      <c r="DO472" s="509"/>
      <c r="DP472" s="509"/>
      <c r="DQ472" s="509"/>
      <c r="DR472" s="509"/>
      <c r="DS472" s="509"/>
      <c r="DT472" s="509"/>
      <c r="DU472" s="509"/>
      <c r="DV472" s="509"/>
      <c r="DW472" s="509"/>
      <c r="DX472" s="509"/>
      <c r="DY472" s="509"/>
      <c r="DZ472" s="509"/>
      <c r="EA472" s="509"/>
      <c r="EB472" s="509"/>
      <c r="EC472" s="509"/>
      <c r="ED472" s="509"/>
      <c r="EE472" s="509"/>
      <c r="EF472" s="509"/>
      <c r="EG472" s="509"/>
      <c r="EH472" s="509"/>
      <c r="EI472" s="509"/>
      <c r="EJ472" s="509"/>
      <c r="EK472" s="509"/>
      <c r="EL472" s="509"/>
      <c r="EM472" s="509"/>
      <c r="EN472" s="509"/>
      <c r="EO472" s="509"/>
      <c r="EP472" s="509"/>
      <c r="EQ472" s="509"/>
      <c r="ER472" s="509"/>
      <c r="ES472" s="509"/>
      <c r="ET472" s="509"/>
      <c r="EU472" s="509"/>
      <c r="EV472" s="509"/>
      <c r="EW472" s="509"/>
      <c r="EX472" s="509"/>
      <c r="EY472" s="509"/>
      <c r="EZ472" s="509"/>
      <c r="FA472" s="509"/>
      <c r="FB472" s="509"/>
      <c r="FC472" s="509"/>
      <c r="FD472" s="509"/>
      <c r="FE472" s="509"/>
      <c r="FF472" s="509"/>
      <c r="FG472" s="509"/>
      <c r="FH472" s="509"/>
      <c r="FI472" s="509"/>
      <c r="FJ472" s="509"/>
      <c r="FK472" s="509"/>
      <c r="FL472" s="509"/>
      <c r="FM472" s="509"/>
      <c r="FN472" s="509"/>
      <c r="FO472" s="509"/>
      <c r="FP472" s="509"/>
      <c r="FQ472" s="509"/>
      <c r="FR472" s="509"/>
      <c r="FS472" s="509"/>
      <c r="FT472" s="509"/>
      <c r="FU472" s="509"/>
      <c r="FV472" s="509"/>
      <c r="FW472" s="509"/>
      <c r="FX472" s="509"/>
      <c r="FY472" s="509"/>
      <c r="FZ472" s="509"/>
      <c r="GA472" s="509"/>
      <c r="GB472" s="509"/>
      <c r="GC472" s="509"/>
      <c r="GD472" s="509"/>
      <c r="GE472" s="509"/>
      <c r="GF472" s="509"/>
      <c r="GG472" s="509"/>
      <c r="GH472" s="509"/>
      <c r="GI472" s="509"/>
      <c r="GJ472" s="509"/>
      <c r="GK472" s="509"/>
      <c r="GL472" s="509"/>
      <c r="GM472" s="509"/>
      <c r="GN472" s="509"/>
      <c r="GO472" s="509"/>
      <c r="GP472" s="509"/>
      <c r="GQ472" s="509"/>
      <c r="GR472" s="509"/>
      <c r="GS472" s="509"/>
      <c r="GT472" s="509"/>
      <c r="GU472" s="509"/>
      <c r="GV472" s="509"/>
      <c r="GW472" s="509"/>
      <c r="GX472" s="509"/>
      <c r="GY472" s="509"/>
      <c r="GZ472" s="509"/>
      <c r="HA472" s="509"/>
      <c r="HB472" s="509"/>
      <c r="HC472" s="509"/>
      <c r="HD472" s="509"/>
      <c r="HE472" s="509"/>
      <c r="HF472" s="509"/>
      <c r="HG472" s="509"/>
      <c r="HH472" s="509"/>
      <c r="HI472" s="509"/>
      <c r="HJ472" s="509"/>
      <c r="HK472" s="509"/>
      <c r="HL472" s="509"/>
      <c r="HM472" s="509"/>
      <c r="HN472" s="509"/>
      <c r="HO472" s="509"/>
      <c r="HP472" s="509"/>
      <c r="HQ472" s="509"/>
      <c r="HR472" s="509"/>
      <c r="HS472" s="509"/>
      <c r="HT472" s="509"/>
      <c r="HU472" s="509"/>
      <c r="HV472" s="509"/>
      <c r="HW472" s="509"/>
      <c r="HX472" s="509"/>
      <c r="HY472" s="509"/>
      <c r="HZ472" s="509"/>
    </row>
    <row r="473" spans="1:234" ht="13.5" hidden="1" customHeight="1" x14ac:dyDescent="0.25">
      <c r="A473" s="1270" t="s">
        <v>7727</v>
      </c>
      <c r="B473" s="1271" t="s">
        <v>7726</v>
      </c>
      <c r="C473" s="1272" t="s">
        <v>7728</v>
      </c>
      <c r="D473" s="1273" t="s">
        <v>8854</v>
      </c>
      <c r="E473" s="1272" t="s">
        <v>3228</v>
      </c>
      <c r="F473" s="1274">
        <v>42499</v>
      </c>
      <c r="G473" s="1275">
        <v>42430</v>
      </c>
      <c r="H473" s="1274">
        <v>42489</v>
      </c>
      <c r="I473" s="1276">
        <v>44651</v>
      </c>
      <c r="J473" s="1277">
        <v>10</v>
      </c>
      <c r="K473" s="1278" t="s">
        <v>3229</v>
      </c>
      <c r="L473" s="1279" t="s">
        <v>3229</v>
      </c>
      <c r="M473" s="1280">
        <v>-1</v>
      </c>
      <c r="N473" s="1281">
        <v>1</v>
      </c>
      <c r="O473" s="1282" t="s">
        <v>3229</v>
      </c>
      <c r="P473" s="1283" t="s">
        <v>3229</v>
      </c>
      <c r="Q473" s="1283" t="s">
        <v>3229</v>
      </c>
      <c r="R473" s="1284" t="s">
        <v>3229</v>
      </c>
      <c r="S473" s="1285"/>
      <c r="T473" s="1286" t="s">
        <v>3229</v>
      </c>
      <c r="U473" s="1286" t="s">
        <v>3229</v>
      </c>
      <c r="V473" s="1286" t="s">
        <v>3229</v>
      </c>
      <c r="W473" s="1286" t="s">
        <v>3229</v>
      </c>
      <c r="X473" s="1286" t="s">
        <v>3229</v>
      </c>
      <c r="Y473" s="1286" t="s">
        <v>3229</v>
      </c>
      <c r="Z473" s="1286" t="s">
        <v>3229</v>
      </c>
      <c r="AA473" s="1286" t="s">
        <v>3229</v>
      </c>
      <c r="AB473" s="1286" t="s">
        <v>3229</v>
      </c>
      <c r="AC473" s="1286" t="s">
        <v>3229</v>
      </c>
      <c r="AD473" s="1286" t="s">
        <v>3229</v>
      </c>
      <c r="AE473" s="1286" t="s">
        <v>3229</v>
      </c>
      <c r="AF473" s="3764" t="s">
        <v>781</v>
      </c>
      <c r="AG473" s="3765"/>
      <c r="AH473" s="1287" t="s">
        <v>3229</v>
      </c>
      <c r="AI473" s="1288" t="s">
        <v>3229</v>
      </c>
      <c r="AJ473" s="1288" t="s">
        <v>3229</v>
      </c>
      <c r="AK473" s="1288" t="s">
        <v>3229</v>
      </c>
      <c r="AL473" s="1288" t="s">
        <v>3229</v>
      </c>
      <c r="AM473" s="1288">
        <v>1</v>
      </c>
      <c r="AN473" s="1289">
        <f>+'klikací hodnoty'!F15323</f>
        <v>9.6362555555555535E-2</v>
      </c>
      <c r="AO473" s="1290">
        <v>10.96</v>
      </c>
      <c r="AP473" s="1371">
        <f>+'klikací hodnoty'!E15322</f>
        <v>9.6362555555555535E-2</v>
      </c>
      <c r="AQ473" s="1281">
        <f>+'klikací hodnoty'!F15303</f>
        <v>0.1726</v>
      </c>
      <c r="AR473" s="1291" t="s">
        <v>3660</v>
      </c>
      <c r="AS473" s="1292"/>
      <c r="AT473" s="1292"/>
      <c r="AU473" s="1293"/>
      <c r="AV473" s="1294">
        <f t="shared" si="122"/>
        <v>-1</v>
      </c>
      <c r="AW473" s="1295">
        <f t="shared" si="123"/>
        <v>-1</v>
      </c>
      <c r="AX473" s="1296"/>
      <c r="AY473" s="1297"/>
      <c r="AZ473" s="1298">
        <f t="shared" si="124"/>
        <v>0</v>
      </c>
      <c r="BA473" s="1299"/>
      <c r="BB473" s="1285"/>
      <c r="BC473" s="1300"/>
      <c r="BH473" s="3763"/>
      <c r="BI473" s="3763"/>
      <c r="BJ473" s="1639"/>
      <c r="BK473" s="1639"/>
      <c r="BL473" s="1639"/>
      <c r="BM473" s="1639"/>
      <c r="BN473" s="1639"/>
      <c r="BO473" s="1639"/>
      <c r="BP473" s="1639"/>
      <c r="BQ473" s="1639"/>
      <c r="BR473" s="1639"/>
      <c r="BS473" s="509"/>
      <c r="BT473" s="509"/>
      <c r="BU473" s="509"/>
      <c r="BV473" s="509"/>
      <c r="BW473" s="509"/>
      <c r="BX473" s="509"/>
      <c r="BY473" s="509"/>
      <c r="BZ473" s="509"/>
      <c r="CA473" s="509"/>
      <c r="CB473" s="509"/>
      <c r="CC473" s="509"/>
      <c r="CD473" s="509"/>
      <c r="CE473" s="509"/>
      <c r="CF473" s="509"/>
      <c r="CG473" s="509"/>
      <c r="CH473" s="509"/>
      <c r="CI473" s="509"/>
      <c r="CJ473" s="509"/>
      <c r="CK473" s="509"/>
      <c r="CL473" s="509"/>
      <c r="CM473" s="509"/>
      <c r="CN473" s="509"/>
      <c r="CO473" s="509"/>
      <c r="CP473" s="509"/>
      <c r="CQ473" s="509"/>
      <c r="CR473" s="509"/>
      <c r="CS473" s="509"/>
      <c r="CT473" s="509"/>
      <c r="CU473" s="509"/>
      <c r="CV473" s="509"/>
      <c r="CW473" s="509"/>
      <c r="CX473" s="509"/>
      <c r="CY473" s="509"/>
      <c r="CZ473" s="509"/>
      <c r="DA473" s="509"/>
      <c r="DB473" s="509"/>
      <c r="DC473" s="509"/>
      <c r="DD473" s="509"/>
      <c r="DE473" s="509"/>
      <c r="DF473" s="509"/>
      <c r="DG473" s="509"/>
      <c r="DH473" s="509"/>
      <c r="DI473" s="509"/>
      <c r="DJ473" s="509"/>
      <c r="DK473" s="509"/>
      <c r="DL473" s="509"/>
      <c r="DM473" s="509"/>
      <c r="DN473" s="509"/>
      <c r="DO473" s="509"/>
      <c r="DP473" s="509"/>
      <c r="DQ473" s="509"/>
      <c r="DR473" s="509"/>
      <c r="DS473" s="509"/>
      <c r="DT473" s="509"/>
      <c r="DU473" s="509"/>
      <c r="DV473" s="509"/>
      <c r="DW473" s="509"/>
      <c r="DX473" s="509"/>
      <c r="DY473" s="509"/>
      <c r="DZ473" s="509"/>
      <c r="EA473" s="509"/>
      <c r="EB473" s="509"/>
      <c r="EC473" s="509"/>
      <c r="ED473" s="509"/>
      <c r="EE473" s="509"/>
      <c r="EF473" s="509"/>
      <c r="EG473" s="509"/>
      <c r="EH473" s="509"/>
      <c r="EI473" s="509"/>
      <c r="EJ473" s="509"/>
      <c r="EK473" s="509"/>
      <c r="EL473" s="509"/>
      <c r="EM473" s="509"/>
      <c r="EN473" s="509"/>
      <c r="EO473" s="509"/>
      <c r="EP473" s="509"/>
      <c r="EQ473" s="509"/>
      <c r="ER473" s="509"/>
      <c r="ES473" s="509"/>
      <c r="ET473" s="509"/>
      <c r="EU473" s="509"/>
      <c r="EV473" s="509"/>
      <c r="EW473" s="509"/>
      <c r="EX473" s="509"/>
      <c r="EY473" s="509"/>
      <c r="EZ473" s="509"/>
      <c r="FA473" s="509"/>
      <c r="FB473" s="509"/>
      <c r="FC473" s="509"/>
      <c r="FD473" s="509"/>
      <c r="FE473" s="509"/>
      <c r="FF473" s="509"/>
      <c r="FG473" s="509"/>
      <c r="FH473" s="509"/>
      <c r="FI473" s="509"/>
      <c r="FJ473" s="509"/>
      <c r="FK473" s="509"/>
      <c r="FL473" s="509"/>
      <c r="FM473" s="509"/>
      <c r="FN473" s="509"/>
      <c r="FO473" s="509"/>
      <c r="FP473" s="509"/>
      <c r="FQ473" s="509"/>
      <c r="FR473" s="509"/>
      <c r="FS473" s="509"/>
      <c r="FT473" s="509"/>
      <c r="FU473" s="509"/>
      <c r="FV473" s="509"/>
      <c r="FW473" s="509"/>
      <c r="FX473" s="509"/>
      <c r="FY473" s="509"/>
      <c r="FZ473" s="509"/>
      <c r="GA473" s="509"/>
      <c r="GB473" s="509"/>
      <c r="GC473" s="509"/>
      <c r="GD473" s="509"/>
      <c r="GE473" s="509"/>
      <c r="GF473" s="509"/>
      <c r="GG473" s="509"/>
      <c r="GH473" s="509"/>
      <c r="GI473" s="509"/>
      <c r="GJ473" s="509"/>
      <c r="GK473" s="509"/>
      <c r="GL473" s="509"/>
      <c r="GM473" s="509"/>
      <c r="GN473" s="509"/>
      <c r="GO473" s="509"/>
      <c r="GP473" s="509"/>
      <c r="GQ473" s="509"/>
      <c r="GR473" s="509"/>
      <c r="GS473" s="509"/>
      <c r="GT473" s="509"/>
      <c r="GU473" s="509"/>
      <c r="GV473" s="509"/>
      <c r="GW473" s="509"/>
      <c r="GX473" s="509"/>
      <c r="GY473" s="509"/>
      <c r="GZ473" s="509"/>
      <c r="HA473" s="509"/>
      <c r="HB473" s="509"/>
      <c r="HC473" s="509"/>
      <c r="HD473" s="509"/>
      <c r="HE473" s="509"/>
      <c r="HF473" s="509"/>
      <c r="HG473" s="509"/>
      <c r="HH473" s="509"/>
      <c r="HI473" s="509"/>
      <c r="HJ473" s="509"/>
      <c r="HK473" s="509"/>
      <c r="HL473" s="509"/>
      <c r="HM473" s="509"/>
      <c r="HN473" s="509"/>
      <c r="HO473" s="509"/>
      <c r="HP473" s="509"/>
      <c r="HQ473" s="509"/>
      <c r="HR473" s="509"/>
      <c r="HS473" s="509"/>
      <c r="HT473" s="509"/>
      <c r="HU473" s="509"/>
      <c r="HV473" s="509"/>
      <c r="HW473" s="509"/>
      <c r="HX473" s="509"/>
      <c r="HY473" s="509"/>
      <c r="HZ473" s="509"/>
    </row>
    <row r="474" spans="1:234" ht="13.5" hidden="1" customHeight="1" x14ac:dyDescent="0.25">
      <c r="A474" s="1270" t="s">
        <v>7731</v>
      </c>
      <c r="B474" s="1271" t="s">
        <v>7729</v>
      </c>
      <c r="C474" s="1272" t="s">
        <v>7730</v>
      </c>
      <c r="D474" s="1273" t="s">
        <v>189</v>
      </c>
      <c r="E474" s="1272" t="s">
        <v>905</v>
      </c>
      <c r="F474" s="1274">
        <v>42501</v>
      </c>
      <c r="G474" s="1275">
        <v>42461</v>
      </c>
      <c r="H474" s="1274">
        <v>42489</v>
      </c>
      <c r="I474" s="1276">
        <v>42886</v>
      </c>
      <c r="J474" s="1277">
        <v>10</v>
      </c>
      <c r="K474" s="1278" t="s">
        <v>3229</v>
      </c>
      <c r="L474" s="1279">
        <v>0.15</v>
      </c>
      <c r="M474" s="1280">
        <v>-0.8</v>
      </c>
      <c r="N474" s="1281">
        <v>0.7</v>
      </c>
      <c r="O474" s="1282">
        <v>0.7</v>
      </c>
      <c r="P474" s="1283" t="s">
        <v>3229</v>
      </c>
      <c r="Q474" s="1283" t="s">
        <v>3229</v>
      </c>
      <c r="R474" s="1284" t="s">
        <v>3229</v>
      </c>
      <c r="S474" s="1285">
        <v>2</v>
      </c>
      <c r="T474" s="1286" t="s">
        <v>3229</v>
      </c>
      <c r="U474" s="1286" t="s">
        <v>3229</v>
      </c>
      <c r="V474" s="1286" t="s">
        <v>3229</v>
      </c>
      <c r="W474" s="1286" t="s">
        <v>3229</v>
      </c>
      <c r="X474" s="1286" t="s">
        <v>3229</v>
      </c>
      <c r="Y474" s="1286" t="s">
        <v>3229</v>
      </c>
      <c r="Z474" s="1286" t="s">
        <v>3229</v>
      </c>
      <c r="AA474" s="1286" t="s">
        <v>3229</v>
      </c>
      <c r="AB474" s="1286" t="s">
        <v>3229</v>
      </c>
      <c r="AC474" s="1286" t="s">
        <v>3229</v>
      </c>
      <c r="AD474" s="1286" t="s">
        <v>3229</v>
      </c>
      <c r="AE474" s="1286" t="s">
        <v>3229</v>
      </c>
      <c r="AF474" s="3764" t="s">
        <v>781</v>
      </c>
      <c r="AG474" s="3765"/>
      <c r="AH474" s="1287" t="s">
        <v>3229</v>
      </c>
      <c r="AI474" s="1288" t="s">
        <v>3229</v>
      </c>
      <c r="AJ474" s="1288" t="s">
        <v>3229</v>
      </c>
      <c r="AK474" s="1288" t="s">
        <v>3229</v>
      </c>
      <c r="AL474" s="1288" t="s">
        <v>3229</v>
      </c>
      <c r="AM474" s="1288">
        <v>1</v>
      </c>
      <c r="AN474" s="1289">
        <f>+'klikací hodnoty'!F15329</f>
        <v>0.15</v>
      </c>
      <c r="AO474" s="1290">
        <v>11.5</v>
      </c>
      <c r="AP474" s="1371">
        <f>IF('klikací hodnoty'!F15327="",'klikací hodnoty'!F15326,'klikací hodnoty'!F15327)</f>
        <v>0.15070111892782578</v>
      </c>
      <c r="AQ474" s="1281">
        <f>IF('klikací hodnoty'!F15327="",'klikací hodnoty'!F15326,'klikací hodnoty'!F15327)</f>
        <v>0.15070111892782578</v>
      </c>
      <c r="AR474" s="1291">
        <f>O474</f>
        <v>0.7</v>
      </c>
      <c r="AS474" s="1292">
        <f>POWER(1+AR474,1/((I474-F474)/365))-1</f>
        <v>0.65377928926972473</v>
      </c>
      <c r="AT474" s="1292"/>
      <c r="AU474" s="1293"/>
      <c r="AV474" s="1294">
        <f t="shared" si="122"/>
        <v>-0.8</v>
      </c>
      <c r="AW474" s="1295">
        <f t="shared" si="123"/>
        <v>-0.78255965635157421</v>
      </c>
      <c r="AX474" s="1296"/>
      <c r="AY474" s="1297"/>
      <c r="AZ474" s="1298">
        <f t="shared" si="124"/>
        <v>1.9999999999999996</v>
      </c>
      <c r="BA474" s="1959"/>
      <c r="BB474" s="1285"/>
      <c r="BC474" s="1300"/>
      <c r="BH474" s="3763"/>
      <c r="BI474" s="3763"/>
      <c r="BJ474" s="1639"/>
      <c r="BK474" s="1639"/>
      <c r="BL474" s="1639"/>
      <c r="BM474" s="1639"/>
      <c r="BN474" s="1639"/>
      <c r="BO474" s="1639"/>
      <c r="BP474" s="1639"/>
      <c r="BQ474" s="1639"/>
      <c r="BR474" s="1639"/>
      <c r="BS474" s="509"/>
      <c r="BT474" s="509"/>
      <c r="BU474" s="509"/>
      <c r="BV474" s="509"/>
      <c r="BW474" s="509"/>
      <c r="BX474" s="509"/>
      <c r="BY474" s="509"/>
      <c r="BZ474" s="509"/>
      <c r="CA474" s="509"/>
      <c r="CB474" s="509"/>
      <c r="CC474" s="509"/>
      <c r="CD474" s="509"/>
      <c r="CE474" s="509"/>
      <c r="CF474" s="509"/>
      <c r="CG474" s="509"/>
      <c r="CH474" s="509"/>
      <c r="CI474" s="509"/>
      <c r="CJ474" s="509"/>
      <c r="CK474" s="509"/>
      <c r="CL474" s="509"/>
      <c r="CM474" s="509"/>
      <c r="CN474" s="509"/>
      <c r="CO474" s="509"/>
      <c r="CP474" s="509"/>
      <c r="CQ474" s="509"/>
      <c r="CR474" s="509"/>
      <c r="CS474" s="509"/>
      <c r="CT474" s="509"/>
      <c r="CU474" s="509"/>
      <c r="CV474" s="509"/>
      <c r="CW474" s="509"/>
      <c r="CX474" s="509"/>
      <c r="CY474" s="509"/>
      <c r="CZ474" s="509"/>
      <c r="DA474" s="509"/>
      <c r="DB474" s="509"/>
      <c r="DC474" s="509"/>
      <c r="DD474" s="509"/>
      <c r="DE474" s="509"/>
      <c r="DF474" s="509"/>
      <c r="DG474" s="509"/>
      <c r="DH474" s="509"/>
      <c r="DI474" s="509"/>
      <c r="DJ474" s="509"/>
      <c r="DK474" s="509"/>
      <c r="DL474" s="509"/>
      <c r="DM474" s="509"/>
      <c r="DN474" s="509"/>
      <c r="DO474" s="509"/>
      <c r="DP474" s="509"/>
      <c r="DQ474" s="509"/>
      <c r="DR474" s="509"/>
      <c r="DS474" s="509"/>
      <c r="DT474" s="509"/>
      <c r="DU474" s="509"/>
      <c r="DV474" s="509"/>
      <c r="DW474" s="509"/>
      <c r="DX474" s="509"/>
      <c r="DY474" s="509"/>
      <c r="DZ474" s="509"/>
      <c r="EA474" s="509"/>
      <c r="EB474" s="509"/>
      <c r="EC474" s="509"/>
      <c r="ED474" s="509"/>
      <c r="EE474" s="509"/>
      <c r="EF474" s="509"/>
      <c r="EG474" s="509"/>
      <c r="EH474" s="509"/>
      <c r="EI474" s="509"/>
      <c r="EJ474" s="509"/>
      <c r="EK474" s="509"/>
      <c r="EL474" s="509"/>
      <c r="EM474" s="509"/>
      <c r="EN474" s="509"/>
      <c r="EO474" s="509"/>
      <c r="EP474" s="509"/>
      <c r="EQ474" s="509"/>
      <c r="ER474" s="509"/>
      <c r="ES474" s="509"/>
      <c r="ET474" s="509"/>
      <c r="EU474" s="509"/>
      <c r="EV474" s="509"/>
      <c r="EW474" s="509"/>
      <c r="EX474" s="509"/>
      <c r="EY474" s="509"/>
      <c r="EZ474" s="509"/>
      <c r="FA474" s="509"/>
      <c r="FB474" s="509"/>
      <c r="FC474" s="509"/>
      <c r="FD474" s="509"/>
      <c r="FE474" s="509"/>
      <c r="FF474" s="509"/>
      <c r="FG474" s="509"/>
      <c r="FH474" s="509"/>
      <c r="FI474" s="509"/>
      <c r="FJ474" s="509"/>
      <c r="FK474" s="509"/>
      <c r="FL474" s="509"/>
      <c r="FM474" s="509"/>
      <c r="FN474" s="509"/>
      <c r="FO474" s="509"/>
      <c r="FP474" s="509"/>
      <c r="FQ474" s="509"/>
      <c r="FR474" s="509"/>
      <c r="FS474" s="509"/>
      <c r="FT474" s="509"/>
      <c r="FU474" s="509"/>
      <c r="FV474" s="509"/>
      <c r="FW474" s="509"/>
      <c r="FX474" s="509"/>
      <c r="FY474" s="509"/>
      <c r="FZ474" s="509"/>
      <c r="GA474" s="509"/>
      <c r="GB474" s="509"/>
      <c r="GC474" s="509"/>
      <c r="GD474" s="509"/>
      <c r="GE474" s="509"/>
      <c r="GF474" s="509"/>
      <c r="GG474" s="509"/>
      <c r="GH474" s="509"/>
      <c r="GI474" s="509"/>
      <c r="GJ474" s="509"/>
      <c r="GK474" s="509"/>
      <c r="GL474" s="509"/>
      <c r="GM474" s="509"/>
      <c r="GN474" s="509"/>
      <c r="GO474" s="509"/>
      <c r="GP474" s="509"/>
      <c r="GQ474" s="509"/>
      <c r="GR474" s="509"/>
      <c r="GS474" s="509"/>
      <c r="GT474" s="509"/>
      <c r="GU474" s="509"/>
      <c r="GV474" s="509"/>
      <c r="GW474" s="509"/>
      <c r="GX474" s="509"/>
      <c r="GY474" s="509"/>
      <c r="GZ474" s="509"/>
      <c r="HA474" s="509"/>
      <c r="HB474" s="509"/>
      <c r="HC474" s="509"/>
      <c r="HD474" s="509"/>
      <c r="HE474" s="509"/>
      <c r="HF474" s="509"/>
      <c r="HG474" s="509"/>
      <c r="HH474" s="509"/>
      <c r="HI474" s="509"/>
      <c r="HJ474" s="509"/>
      <c r="HK474" s="509"/>
      <c r="HL474" s="509"/>
      <c r="HM474" s="509"/>
      <c r="HN474" s="509"/>
      <c r="HO474" s="509"/>
      <c r="HP474" s="509"/>
      <c r="HQ474" s="509"/>
      <c r="HR474" s="509"/>
      <c r="HS474" s="509"/>
      <c r="HT474" s="509"/>
      <c r="HU474" s="509"/>
      <c r="HV474" s="509"/>
      <c r="HW474" s="509"/>
      <c r="HX474" s="509"/>
      <c r="HY474" s="509"/>
      <c r="HZ474" s="509"/>
    </row>
    <row r="475" spans="1:234" ht="13.5" hidden="1" customHeight="1" x14ac:dyDescent="0.25">
      <c r="A475" s="1270" t="s">
        <v>7732</v>
      </c>
      <c r="B475" s="1271" t="s">
        <v>7733</v>
      </c>
      <c r="C475" s="1272" t="s">
        <v>7734</v>
      </c>
      <c r="D475" s="1273" t="s">
        <v>4384</v>
      </c>
      <c r="E475" s="1272" t="s">
        <v>3228</v>
      </c>
      <c r="F475" s="1274">
        <v>42450</v>
      </c>
      <c r="G475" s="1275" t="s">
        <v>7735</v>
      </c>
      <c r="H475" s="1274">
        <v>42440</v>
      </c>
      <c r="I475" s="1276">
        <v>44651</v>
      </c>
      <c r="J475" s="1277">
        <v>10</v>
      </c>
      <c r="K475" s="1278" t="s">
        <v>3229</v>
      </c>
      <c r="L475" s="1279" t="s">
        <v>3229</v>
      </c>
      <c r="M475" s="1280">
        <v>-1</v>
      </c>
      <c r="N475" s="1281">
        <v>1</v>
      </c>
      <c r="O475" s="1282">
        <v>0.4</v>
      </c>
      <c r="P475" s="1283" t="s">
        <v>3229</v>
      </c>
      <c r="Q475" s="1283" t="s">
        <v>3229</v>
      </c>
      <c r="R475" s="1284" t="s">
        <v>3229</v>
      </c>
      <c r="S475" s="1285"/>
      <c r="T475" s="1286" t="s">
        <v>3229</v>
      </c>
      <c r="U475" s="1286" t="s">
        <v>3229</v>
      </c>
      <c r="V475" s="1286" t="s">
        <v>3229</v>
      </c>
      <c r="W475" s="1286" t="s">
        <v>3229</v>
      </c>
      <c r="X475" s="1286" t="s">
        <v>3229</v>
      </c>
      <c r="Y475" s="1286" t="s">
        <v>3229</v>
      </c>
      <c r="Z475" s="1286" t="s">
        <v>3229</v>
      </c>
      <c r="AA475" s="1286" t="s">
        <v>3229</v>
      </c>
      <c r="AB475" s="1286" t="s">
        <v>3229</v>
      </c>
      <c r="AC475" s="1286" t="s">
        <v>3229</v>
      </c>
      <c r="AD475" s="1286" t="s">
        <v>3229</v>
      </c>
      <c r="AE475" s="1286" t="s">
        <v>3229</v>
      </c>
      <c r="AF475" s="3764" t="s">
        <v>781</v>
      </c>
      <c r="AG475" s="3765"/>
      <c r="AH475" s="1287" t="s">
        <v>3229</v>
      </c>
      <c r="AI475" s="1288" t="s">
        <v>3229</v>
      </c>
      <c r="AJ475" s="1288" t="s">
        <v>3229</v>
      </c>
      <c r="AK475" s="1288" t="s">
        <v>3229</v>
      </c>
      <c r="AL475" s="1288" t="s">
        <v>3229</v>
      </c>
      <c r="AM475" s="1288">
        <v>1</v>
      </c>
      <c r="AN475" s="1289">
        <f>+'klikací hodnoty'!F15165</f>
        <v>0.32923172222222219</v>
      </c>
      <c r="AO475" s="1290">
        <v>13.29</v>
      </c>
      <c r="AP475" s="1371">
        <f>+'klikací hodnoty'!E15164</f>
        <v>0.31130972222222225</v>
      </c>
      <c r="AQ475" s="1281">
        <f>+'klikací hodnoty'!F15145</f>
        <v>0.41534923976791477</v>
      </c>
      <c r="AR475" s="1291">
        <f>O475</f>
        <v>0.4</v>
      </c>
      <c r="AS475" s="1292">
        <f>POWER(1+AR475,1/((I475-F475)/365))-1</f>
        <v>5.738453579405145E-2</v>
      </c>
      <c r="AT475" s="1292"/>
      <c r="AU475" s="1293"/>
      <c r="AV475" s="1294">
        <f t="shared" ref="AV475:AV483" si="125">M475</f>
        <v>-1</v>
      </c>
      <c r="AW475" s="1295">
        <f t="shared" ref="AW475:AW483" si="126">POWER(1+AV475,1/((I475-F475)/365))-1</f>
        <v>-1</v>
      </c>
      <c r="AX475" s="1296"/>
      <c r="AY475" s="1297"/>
      <c r="AZ475" s="1298">
        <f t="shared" ref="AZ475:AZ483" si="127">J475*(1+AV475)</f>
        <v>0</v>
      </c>
      <c r="BA475" s="1299"/>
      <c r="BB475" s="1285"/>
      <c r="BC475" s="1300"/>
      <c r="BH475" s="3763"/>
      <c r="BI475" s="3763"/>
      <c r="BJ475" s="1639"/>
      <c r="BK475" s="1639"/>
      <c r="BL475" s="1639"/>
      <c r="BM475" s="1639"/>
      <c r="BN475" s="1639"/>
      <c r="BO475" s="1639"/>
      <c r="BP475" s="1639"/>
      <c r="BQ475" s="1639"/>
      <c r="BR475" s="1639"/>
      <c r="BS475" s="509"/>
      <c r="BT475" s="509"/>
      <c r="BU475" s="509"/>
      <c r="BV475" s="509"/>
      <c r="BW475" s="509"/>
      <c r="BX475" s="509"/>
      <c r="BY475" s="509"/>
      <c r="BZ475" s="509"/>
      <c r="CA475" s="509"/>
      <c r="CB475" s="509"/>
      <c r="CC475" s="509"/>
      <c r="CD475" s="509"/>
      <c r="CE475" s="509"/>
      <c r="CF475" s="509"/>
      <c r="CG475" s="509"/>
      <c r="CH475" s="509"/>
      <c r="CI475" s="509"/>
      <c r="CJ475" s="509"/>
      <c r="CK475" s="509"/>
      <c r="CL475" s="509"/>
      <c r="CM475" s="509"/>
      <c r="CN475" s="509"/>
      <c r="CO475" s="509"/>
      <c r="CP475" s="509"/>
      <c r="CQ475" s="509"/>
      <c r="CR475" s="509"/>
      <c r="CS475" s="509"/>
      <c r="CT475" s="509"/>
      <c r="CU475" s="509"/>
      <c r="CV475" s="509"/>
      <c r="CW475" s="509"/>
      <c r="CX475" s="509"/>
      <c r="CY475" s="509"/>
      <c r="CZ475" s="509"/>
      <c r="DA475" s="509"/>
      <c r="DB475" s="509"/>
      <c r="DC475" s="509"/>
      <c r="DD475" s="509"/>
      <c r="DE475" s="509"/>
      <c r="DF475" s="509"/>
      <c r="DG475" s="509"/>
      <c r="DH475" s="509"/>
      <c r="DI475" s="509"/>
      <c r="DJ475" s="509"/>
      <c r="DK475" s="509"/>
      <c r="DL475" s="509"/>
      <c r="DM475" s="509"/>
      <c r="DN475" s="509"/>
      <c r="DO475" s="509"/>
      <c r="DP475" s="509"/>
      <c r="DQ475" s="509"/>
      <c r="DR475" s="509"/>
      <c r="DS475" s="509"/>
      <c r="DT475" s="509"/>
      <c r="DU475" s="509"/>
      <c r="DV475" s="509"/>
      <c r="DW475" s="509"/>
      <c r="DX475" s="509"/>
      <c r="DY475" s="509"/>
      <c r="DZ475" s="509"/>
      <c r="EA475" s="509"/>
      <c r="EB475" s="509"/>
      <c r="EC475" s="509"/>
      <c r="ED475" s="509"/>
      <c r="EE475" s="509"/>
      <c r="EF475" s="509"/>
      <c r="EG475" s="509"/>
      <c r="EH475" s="509"/>
      <c r="EI475" s="509"/>
      <c r="EJ475" s="509"/>
      <c r="EK475" s="509"/>
      <c r="EL475" s="509"/>
      <c r="EM475" s="509"/>
      <c r="EN475" s="509"/>
      <c r="EO475" s="509"/>
      <c r="EP475" s="509"/>
      <c r="EQ475" s="509"/>
      <c r="ER475" s="509"/>
      <c r="ES475" s="509"/>
      <c r="ET475" s="509"/>
      <c r="EU475" s="509"/>
      <c r="EV475" s="509"/>
      <c r="EW475" s="509"/>
      <c r="EX475" s="509"/>
      <c r="EY475" s="509"/>
      <c r="EZ475" s="509"/>
      <c r="FA475" s="509"/>
      <c r="FB475" s="509"/>
      <c r="FC475" s="509"/>
      <c r="FD475" s="509"/>
      <c r="FE475" s="509"/>
      <c r="FF475" s="509"/>
      <c r="FG475" s="509"/>
      <c r="FH475" s="509"/>
      <c r="FI475" s="509"/>
      <c r="FJ475" s="509"/>
      <c r="FK475" s="509"/>
      <c r="FL475" s="509"/>
      <c r="FM475" s="509"/>
      <c r="FN475" s="509"/>
      <c r="FO475" s="509"/>
      <c r="FP475" s="509"/>
      <c r="FQ475" s="509"/>
      <c r="FR475" s="509"/>
      <c r="FS475" s="509"/>
      <c r="FT475" s="509"/>
      <c r="FU475" s="509"/>
      <c r="FV475" s="509"/>
      <c r="FW475" s="509"/>
      <c r="FX475" s="509"/>
      <c r="FY475" s="509"/>
      <c r="FZ475" s="509"/>
      <c r="GA475" s="509"/>
      <c r="GB475" s="509"/>
      <c r="GC475" s="509"/>
      <c r="GD475" s="509"/>
      <c r="GE475" s="509"/>
      <c r="GF475" s="509"/>
      <c r="GG475" s="509"/>
      <c r="GH475" s="509"/>
      <c r="GI475" s="509"/>
      <c r="GJ475" s="509"/>
      <c r="GK475" s="509"/>
      <c r="GL475" s="509"/>
      <c r="GM475" s="509"/>
      <c r="GN475" s="509"/>
      <c r="GO475" s="509"/>
      <c r="GP475" s="509"/>
      <c r="GQ475" s="509"/>
      <c r="GR475" s="509"/>
      <c r="GS475" s="509"/>
      <c r="GT475" s="509"/>
      <c r="GU475" s="509"/>
      <c r="GV475" s="509"/>
      <c r="GW475" s="509"/>
      <c r="GX475" s="509"/>
      <c r="GY475" s="509"/>
      <c r="GZ475" s="509"/>
      <c r="HA475" s="509"/>
      <c r="HB475" s="509"/>
      <c r="HC475" s="509"/>
      <c r="HD475" s="509"/>
      <c r="HE475" s="509"/>
      <c r="HF475" s="509"/>
      <c r="HG475" s="509"/>
      <c r="HH475" s="509"/>
      <c r="HI475" s="509"/>
      <c r="HJ475" s="509"/>
      <c r="HK475" s="509"/>
      <c r="HL475" s="509"/>
      <c r="HM475" s="509"/>
      <c r="HN475" s="509"/>
      <c r="HO475" s="509"/>
      <c r="HP475" s="509"/>
      <c r="HQ475" s="509"/>
      <c r="HR475" s="509"/>
      <c r="HS475" s="509"/>
      <c r="HT475" s="509"/>
      <c r="HU475" s="509"/>
      <c r="HV475" s="509"/>
      <c r="HW475" s="509"/>
      <c r="HX475" s="509"/>
      <c r="HY475" s="509"/>
      <c r="HZ475" s="509"/>
    </row>
    <row r="476" spans="1:234" ht="13.5" hidden="1" customHeight="1" x14ac:dyDescent="0.25">
      <c r="A476" s="1270" t="s">
        <v>7737</v>
      </c>
      <c r="B476" s="1271" t="s">
        <v>7738</v>
      </c>
      <c r="C476" s="1272" t="s">
        <v>7736</v>
      </c>
      <c r="D476" s="1273" t="s">
        <v>189</v>
      </c>
      <c r="E476" s="1272" t="s">
        <v>3228</v>
      </c>
      <c r="F476" s="1274">
        <v>42529</v>
      </c>
      <c r="G476" s="1275">
        <v>42461</v>
      </c>
      <c r="H476" s="1274">
        <v>42521</v>
      </c>
      <c r="I476" s="1276">
        <v>43644</v>
      </c>
      <c r="J476" s="1277">
        <v>10</v>
      </c>
      <c r="K476" s="1278" t="s">
        <v>3229</v>
      </c>
      <c r="L476" s="1279" t="s">
        <v>3229</v>
      </c>
      <c r="M476" s="1280">
        <v>-1</v>
      </c>
      <c r="N476" s="1281" t="s">
        <v>3229</v>
      </c>
      <c r="O476" s="1282">
        <v>0.3</v>
      </c>
      <c r="P476" s="1283" t="s">
        <v>3229</v>
      </c>
      <c r="Q476" s="1283" t="s">
        <v>3229</v>
      </c>
      <c r="R476" s="1284" t="s">
        <v>3229</v>
      </c>
      <c r="S476" s="1285"/>
      <c r="T476" s="1286" t="s">
        <v>3229</v>
      </c>
      <c r="U476" s="1286" t="s">
        <v>3229</v>
      </c>
      <c r="V476" s="1286" t="s">
        <v>3229</v>
      </c>
      <c r="W476" s="1286" t="s">
        <v>3229</v>
      </c>
      <c r="X476" s="1286" t="s">
        <v>3229</v>
      </c>
      <c r="Y476" s="1286" t="s">
        <v>3229</v>
      </c>
      <c r="Z476" s="1286" t="s">
        <v>3229</v>
      </c>
      <c r="AA476" s="1286" t="s">
        <v>3229</v>
      </c>
      <c r="AB476" s="1286" t="s">
        <v>3229</v>
      </c>
      <c r="AC476" s="1286" t="s">
        <v>3229</v>
      </c>
      <c r="AD476" s="1286" t="s">
        <v>3229</v>
      </c>
      <c r="AE476" s="1286" t="s">
        <v>3229</v>
      </c>
      <c r="AF476" s="3764" t="s">
        <v>781</v>
      </c>
      <c r="AG476" s="3765"/>
      <c r="AH476" s="1287">
        <v>1</v>
      </c>
      <c r="AI476" s="1288" t="s">
        <v>3229</v>
      </c>
      <c r="AJ476" s="1288" t="s">
        <v>3229</v>
      </c>
      <c r="AK476" s="1288" t="s">
        <v>3229</v>
      </c>
      <c r="AL476" s="1288" t="s">
        <v>3229</v>
      </c>
      <c r="AM476" s="1288" t="s">
        <v>3229</v>
      </c>
      <c r="AN476" s="1289">
        <f>+'klikací hodnoty'!F15338</f>
        <v>0.15</v>
      </c>
      <c r="AO476" s="1290">
        <v>11.5</v>
      </c>
      <c r="AP476" s="1371">
        <f>+'klikací hodnoty'!H15336</f>
        <v>0.12570175559002372</v>
      </c>
      <c r="AQ476" s="1281">
        <f>+'klikací hodnoty'!H15336</f>
        <v>0.12570175559002372</v>
      </c>
      <c r="AR476" s="1291">
        <f>O476</f>
        <v>0.3</v>
      </c>
      <c r="AS476" s="1292">
        <f>POWER(1+AR476,1/((I476-F476)/365))-1</f>
        <v>8.9682162484943317E-2</v>
      </c>
      <c r="AT476" s="1292"/>
      <c r="AU476" s="1293"/>
      <c r="AV476" s="1294">
        <f t="shared" si="125"/>
        <v>-1</v>
      </c>
      <c r="AW476" s="1295">
        <f t="shared" si="126"/>
        <v>-1</v>
      </c>
      <c r="AX476" s="1296"/>
      <c r="AY476" s="1297"/>
      <c r="AZ476" s="1298">
        <f t="shared" si="127"/>
        <v>0</v>
      </c>
      <c r="BA476" s="1959"/>
      <c r="BB476" s="1285"/>
      <c r="BC476" s="1300"/>
      <c r="BH476" s="3763"/>
      <c r="BI476" s="3763"/>
      <c r="BJ476" s="1639"/>
      <c r="BK476" s="1639"/>
      <c r="BL476" s="1639"/>
      <c r="BM476" s="1639"/>
      <c r="BN476" s="1639"/>
      <c r="BO476" s="1639"/>
      <c r="BP476" s="1639"/>
      <c r="BQ476" s="1639"/>
      <c r="BR476" s="1639"/>
      <c r="BS476" s="509"/>
      <c r="BT476" s="509"/>
      <c r="BU476" s="509"/>
      <c r="BV476" s="509"/>
      <c r="BW476" s="509"/>
      <c r="BX476" s="509"/>
      <c r="BY476" s="509"/>
      <c r="BZ476" s="509"/>
      <c r="CA476" s="509"/>
      <c r="CB476" s="509"/>
      <c r="CC476" s="509"/>
      <c r="CD476" s="509"/>
      <c r="CE476" s="509"/>
      <c r="CF476" s="509"/>
      <c r="CG476" s="509"/>
      <c r="CH476" s="509"/>
      <c r="CI476" s="509"/>
      <c r="CJ476" s="509"/>
      <c r="CK476" s="509"/>
      <c r="CL476" s="509"/>
      <c r="CM476" s="509"/>
      <c r="CN476" s="509"/>
      <c r="CO476" s="509"/>
      <c r="CP476" s="509"/>
      <c r="CQ476" s="509"/>
      <c r="CR476" s="509"/>
      <c r="CS476" s="509"/>
      <c r="CT476" s="509"/>
      <c r="CU476" s="509"/>
      <c r="CV476" s="509"/>
      <c r="CW476" s="509"/>
      <c r="CX476" s="509"/>
      <c r="CY476" s="509"/>
      <c r="CZ476" s="509"/>
      <c r="DA476" s="509"/>
      <c r="DB476" s="509"/>
      <c r="DC476" s="509"/>
      <c r="DD476" s="509"/>
      <c r="DE476" s="509"/>
      <c r="DF476" s="509"/>
      <c r="DG476" s="509"/>
      <c r="DH476" s="509"/>
      <c r="DI476" s="509"/>
      <c r="DJ476" s="509"/>
      <c r="DK476" s="509"/>
      <c r="DL476" s="509"/>
      <c r="DM476" s="509"/>
      <c r="DN476" s="509"/>
      <c r="DO476" s="509"/>
      <c r="DP476" s="509"/>
      <c r="DQ476" s="509"/>
      <c r="DR476" s="509"/>
      <c r="DS476" s="509"/>
      <c r="DT476" s="509"/>
      <c r="DU476" s="509"/>
      <c r="DV476" s="509"/>
      <c r="DW476" s="509"/>
      <c r="DX476" s="509"/>
      <c r="DY476" s="509"/>
      <c r="DZ476" s="509"/>
      <c r="EA476" s="509"/>
      <c r="EB476" s="509"/>
      <c r="EC476" s="509"/>
      <c r="ED476" s="509"/>
      <c r="EE476" s="509"/>
      <c r="EF476" s="509"/>
      <c r="EG476" s="509"/>
      <c r="EH476" s="509"/>
      <c r="EI476" s="509"/>
      <c r="EJ476" s="509"/>
      <c r="EK476" s="509"/>
      <c r="EL476" s="509"/>
      <c r="EM476" s="509"/>
      <c r="EN476" s="509"/>
      <c r="EO476" s="509"/>
      <c r="EP476" s="509"/>
      <c r="EQ476" s="509"/>
      <c r="ER476" s="509"/>
      <c r="ES476" s="509"/>
      <c r="ET476" s="509"/>
      <c r="EU476" s="509"/>
      <c r="EV476" s="509"/>
      <c r="EW476" s="509"/>
      <c r="EX476" s="509"/>
      <c r="EY476" s="509"/>
      <c r="EZ476" s="509"/>
      <c r="FA476" s="509"/>
      <c r="FB476" s="509"/>
      <c r="FC476" s="509"/>
      <c r="FD476" s="509"/>
      <c r="FE476" s="509"/>
      <c r="FF476" s="509"/>
      <c r="FG476" s="509"/>
      <c r="FH476" s="509"/>
      <c r="FI476" s="509"/>
      <c r="FJ476" s="509"/>
      <c r="FK476" s="509"/>
      <c r="FL476" s="509"/>
      <c r="FM476" s="509"/>
      <c r="FN476" s="509"/>
      <c r="FO476" s="509"/>
      <c r="FP476" s="509"/>
      <c r="FQ476" s="509"/>
      <c r="FR476" s="509"/>
      <c r="FS476" s="509"/>
      <c r="FT476" s="509"/>
      <c r="FU476" s="509"/>
      <c r="FV476" s="509"/>
      <c r="FW476" s="509"/>
      <c r="FX476" s="509"/>
      <c r="FY476" s="509"/>
      <c r="FZ476" s="509"/>
      <c r="GA476" s="509"/>
      <c r="GB476" s="509"/>
      <c r="GC476" s="509"/>
      <c r="GD476" s="509"/>
      <c r="GE476" s="509"/>
      <c r="GF476" s="509"/>
      <c r="GG476" s="509"/>
      <c r="GH476" s="509"/>
      <c r="GI476" s="509"/>
      <c r="GJ476" s="509"/>
      <c r="GK476" s="509"/>
      <c r="GL476" s="509"/>
      <c r="GM476" s="509"/>
      <c r="GN476" s="509"/>
      <c r="GO476" s="509"/>
      <c r="GP476" s="509"/>
      <c r="GQ476" s="509"/>
      <c r="GR476" s="509"/>
      <c r="GS476" s="509"/>
      <c r="GT476" s="509"/>
      <c r="GU476" s="509"/>
      <c r="GV476" s="509"/>
      <c r="GW476" s="509"/>
      <c r="GX476" s="509"/>
      <c r="GY476" s="509"/>
      <c r="GZ476" s="509"/>
      <c r="HA476" s="509"/>
      <c r="HB476" s="509"/>
      <c r="HC476" s="509"/>
      <c r="HD476" s="509"/>
      <c r="HE476" s="509"/>
      <c r="HF476" s="509"/>
      <c r="HG476" s="509"/>
      <c r="HH476" s="509"/>
      <c r="HI476" s="509"/>
      <c r="HJ476" s="509"/>
      <c r="HK476" s="509"/>
      <c r="HL476" s="509"/>
      <c r="HM476" s="509"/>
      <c r="HN476" s="509"/>
      <c r="HO476" s="509"/>
      <c r="HP476" s="509"/>
      <c r="HQ476" s="509"/>
      <c r="HR476" s="509"/>
      <c r="HS476" s="509"/>
      <c r="HT476" s="509"/>
      <c r="HU476" s="509"/>
      <c r="HV476" s="509"/>
      <c r="HW476" s="509"/>
      <c r="HX476" s="509"/>
      <c r="HY476" s="509"/>
      <c r="HZ476" s="509"/>
    </row>
    <row r="477" spans="1:234" ht="13.5" hidden="1" customHeight="1" x14ac:dyDescent="0.25">
      <c r="A477" s="1270" t="s">
        <v>8081</v>
      </c>
      <c r="B477" s="1271" t="s">
        <v>8080</v>
      </c>
      <c r="C477" s="1272" t="s">
        <v>8082</v>
      </c>
      <c r="D477" s="1273" t="s">
        <v>8854</v>
      </c>
      <c r="E477" s="1272" t="s">
        <v>3228</v>
      </c>
      <c r="F477" s="1274">
        <v>42564</v>
      </c>
      <c r="G477" s="1275">
        <v>42492</v>
      </c>
      <c r="H477" s="1274">
        <v>42551</v>
      </c>
      <c r="I477" s="1276">
        <v>44708</v>
      </c>
      <c r="J477" s="1277">
        <v>10</v>
      </c>
      <c r="K477" s="1278" t="s">
        <v>3229</v>
      </c>
      <c r="L477" s="1279" t="s">
        <v>3229</v>
      </c>
      <c r="M477" s="1280">
        <v>-1</v>
      </c>
      <c r="N477" s="1281">
        <v>0.9</v>
      </c>
      <c r="O477" s="1282" t="s">
        <v>3229</v>
      </c>
      <c r="P477" s="1283" t="s">
        <v>3229</v>
      </c>
      <c r="Q477" s="1283" t="s">
        <v>3229</v>
      </c>
      <c r="R477" s="1284" t="s">
        <v>3229</v>
      </c>
      <c r="S477" s="1285"/>
      <c r="T477" s="1286" t="s">
        <v>3229</v>
      </c>
      <c r="U477" s="1286" t="s">
        <v>3229</v>
      </c>
      <c r="V477" s="1286" t="s">
        <v>3229</v>
      </c>
      <c r="W477" s="1286" t="s">
        <v>3229</v>
      </c>
      <c r="X477" s="1286" t="s">
        <v>3229</v>
      </c>
      <c r="Y477" s="1286" t="s">
        <v>3229</v>
      </c>
      <c r="Z477" s="1286" t="s">
        <v>3229</v>
      </c>
      <c r="AA477" s="1286" t="s">
        <v>3229</v>
      </c>
      <c r="AB477" s="1286" t="s">
        <v>3229</v>
      </c>
      <c r="AC477" s="1286" t="s">
        <v>3229</v>
      </c>
      <c r="AD477" s="1286" t="s">
        <v>3229</v>
      </c>
      <c r="AE477" s="1286" t="s">
        <v>3229</v>
      </c>
      <c r="AF477" s="3764" t="s">
        <v>781</v>
      </c>
      <c r="AG477" s="3765">
        <f>(I477-indexy!$B$1)/365</f>
        <v>-1.8383561643835618</v>
      </c>
      <c r="AH477" s="1287" t="s">
        <v>3229</v>
      </c>
      <c r="AI477" s="1288" t="s">
        <v>3229</v>
      </c>
      <c r="AJ477" s="1288" t="s">
        <v>3229</v>
      </c>
      <c r="AK477" s="1288" t="s">
        <v>3229</v>
      </c>
      <c r="AL477" s="1288" t="s">
        <v>3229</v>
      </c>
      <c r="AM477" s="1288">
        <v>1</v>
      </c>
      <c r="AN477" s="1289">
        <f>+'klikací hodnoty'!F15400</f>
        <v>0.12238245</v>
      </c>
      <c r="AO477" s="1290">
        <v>11.22</v>
      </c>
      <c r="AP477" s="1371">
        <f>+'klikací hodnoty'!E15399</f>
        <v>0.10726450000000001</v>
      </c>
      <c r="AQ477" s="1281">
        <f>+'klikací hodnoty'!F15380</f>
        <v>0.14730457784895873</v>
      </c>
      <c r="AR477" s="1291" t="str">
        <f>O477</f>
        <v>-</v>
      </c>
      <c r="AS477" s="1292" t="s">
        <v>3660</v>
      </c>
      <c r="AT477" s="1292"/>
      <c r="AU477" s="1293"/>
      <c r="AV477" s="1294">
        <f t="shared" si="125"/>
        <v>-1</v>
      </c>
      <c r="AW477" s="1295">
        <f t="shared" si="126"/>
        <v>-1</v>
      </c>
      <c r="AX477" s="1296"/>
      <c r="AY477" s="1297"/>
      <c r="AZ477" s="1298">
        <f t="shared" si="127"/>
        <v>0</v>
      </c>
      <c r="BA477" s="1959"/>
      <c r="BB477" s="1285"/>
      <c r="BC477" s="1300"/>
      <c r="BH477" s="3763"/>
      <c r="BI477" s="3763"/>
      <c r="BJ477" s="1639"/>
      <c r="BK477" s="1639"/>
      <c r="BL477" s="1639"/>
      <c r="BM477" s="1639"/>
      <c r="BN477" s="1639"/>
      <c r="BO477" s="1639"/>
      <c r="BP477" s="1639"/>
      <c r="BQ477" s="1639"/>
      <c r="BR477" s="1639"/>
      <c r="BS477" s="509"/>
      <c r="BT477" s="509"/>
      <c r="BU477" s="509"/>
      <c r="BV477" s="509"/>
      <c r="BW477" s="509"/>
      <c r="BX477" s="509"/>
      <c r="BY477" s="509"/>
      <c r="BZ477" s="509"/>
      <c r="CA477" s="509"/>
      <c r="CB477" s="509"/>
      <c r="CC477" s="509"/>
      <c r="CD477" s="509"/>
      <c r="CE477" s="509"/>
      <c r="CF477" s="509"/>
      <c r="CG477" s="509"/>
      <c r="CH477" s="509"/>
      <c r="CI477" s="509"/>
      <c r="CJ477" s="509"/>
      <c r="CK477" s="509"/>
      <c r="CL477" s="509"/>
      <c r="CM477" s="509"/>
      <c r="CN477" s="509"/>
      <c r="CO477" s="509"/>
      <c r="CP477" s="509"/>
      <c r="CQ477" s="509"/>
      <c r="CR477" s="509"/>
      <c r="CS477" s="509"/>
      <c r="CT477" s="509"/>
      <c r="CU477" s="509"/>
      <c r="CV477" s="509"/>
      <c r="CW477" s="509"/>
      <c r="CX477" s="509"/>
      <c r="CY477" s="509"/>
      <c r="CZ477" s="509"/>
      <c r="DA477" s="509"/>
      <c r="DB477" s="509"/>
      <c r="DC477" s="509"/>
      <c r="DD477" s="509"/>
      <c r="DE477" s="509"/>
      <c r="DF477" s="509"/>
      <c r="DG477" s="509"/>
      <c r="DH477" s="509"/>
      <c r="DI477" s="509"/>
      <c r="DJ477" s="509"/>
      <c r="DK477" s="509"/>
      <c r="DL477" s="509"/>
      <c r="DM477" s="509"/>
      <c r="DN477" s="509"/>
      <c r="DO477" s="509"/>
      <c r="DP477" s="509"/>
      <c r="DQ477" s="509"/>
      <c r="DR477" s="509"/>
      <c r="DS477" s="509"/>
      <c r="DT477" s="509"/>
      <c r="DU477" s="509"/>
      <c r="DV477" s="509"/>
      <c r="DW477" s="509"/>
      <c r="DX477" s="509"/>
      <c r="DY477" s="509"/>
      <c r="DZ477" s="509"/>
      <c r="EA477" s="509"/>
      <c r="EB477" s="509"/>
      <c r="EC477" s="509"/>
      <c r="ED477" s="509"/>
      <c r="EE477" s="509"/>
      <c r="EF477" s="509"/>
      <c r="EG477" s="509"/>
      <c r="EH477" s="509"/>
      <c r="EI477" s="509"/>
      <c r="EJ477" s="509"/>
      <c r="EK477" s="509"/>
      <c r="EL477" s="509"/>
      <c r="EM477" s="509"/>
      <c r="EN477" s="509"/>
      <c r="EO477" s="509"/>
      <c r="EP477" s="509"/>
      <c r="EQ477" s="509"/>
      <c r="ER477" s="509"/>
      <c r="ES477" s="509"/>
      <c r="ET477" s="509"/>
      <c r="EU477" s="509"/>
      <c r="EV477" s="509"/>
      <c r="EW477" s="509"/>
      <c r="EX477" s="509"/>
      <c r="EY477" s="509"/>
      <c r="EZ477" s="509"/>
      <c r="FA477" s="509"/>
      <c r="FB477" s="509"/>
      <c r="FC477" s="509"/>
      <c r="FD477" s="509"/>
      <c r="FE477" s="509"/>
      <c r="FF477" s="509"/>
      <c r="FG477" s="509"/>
      <c r="FH477" s="509"/>
      <c r="FI477" s="509"/>
      <c r="FJ477" s="509"/>
      <c r="FK477" s="509"/>
      <c r="FL477" s="509"/>
      <c r="FM477" s="509"/>
      <c r="FN477" s="509"/>
      <c r="FO477" s="509"/>
      <c r="FP477" s="509"/>
      <c r="FQ477" s="509"/>
      <c r="FR477" s="509"/>
      <c r="FS477" s="509"/>
      <c r="FT477" s="509"/>
      <c r="FU477" s="509"/>
      <c r="FV477" s="509"/>
      <c r="FW477" s="509"/>
      <c r="FX477" s="509"/>
      <c r="FY477" s="509"/>
      <c r="FZ477" s="509"/>
      <c r="GA477" s="509"/>
      <c r="GB477" s="509"/>
      <c r="GC477" s="509"/>
      <c r="GD477" s="509"/>
      <c r="GE477" s="509"/>
      <c r="GF477" s="509"/>
      <c r="GG477" s="509"/>
      <c r="GH477" s="509"/>
      <c r="GI477" s="509"/>
      <c r="GJ477" s="509"/>
      <c r="GK477" s="509"/>
      <c r="GL477" s="509"/>
      <c r="GM477" s="509"/>
      <c r="GN477" s="509"/>
      <c r="GO477" s="509"/>
      <c r="GP477" s="509"/>
      <c r="GQ477" s="509"/>
      <c r="GR477" s="509"/>
      <c r="GS477" s="509"/>
      <c r="GT477" s="509"/>
      <c r="GU477" s="509"/>
      <c r="GV477" s="509"/>
      <c r="GW477" s="509"/>
      <c r="GX477" s="509"/>
      <c r="GY477" s="509"/>
      <c r="GZ477" s="509"/>
      <c r="HA477" s="509"/>
      <c r="HB477" s="509"/>
      <c r="HC477" s="509"/>
      <c r="HD477" s="509"/>
      <c r="HE477" s="509"/>
      <c r="HF477" s="509"/>
      <c r="HG477" s="509"/>
      <c r="HH477" s="509"/>
      <c r="HI477" s="509"/>
      <c r="HJ477" s="509"/>
      <c r="HK477" s="509"/>
      <c r="HL477" s="509"/>
      <c r="HM477" s="509"/>
      <c r="HN477" s="509"/>
      <c r="HO477" s="509"/>
      <c r="HP477" s="509"/>
      <c r="HQ477" s="509"/>
      <c r="HR477" s="509"/>
      <c r="HS477" s="509"/>
      <c r="HT477" s="509"/>
      <c r="HU477" s="509"/>
      <c r="HV477" s="509"/>
      <c r="HW477" s="509"/>
      <c r="HX477" s="509"/>
      <c r="HY477" s="509"/>
      <c r="HZ477" s="509"/>
    </row>
    <row r="478" spans="1:234" ht="13.5" hidden="1" customHeight="1" x14ac:dyDescent="0.25">
      <c r="A478" s="1270" t="s">
        <v>8083</v>
      </c>
      <c r="B478" s="1271" t="s">
        <v>8084</v>
      </c>
      <c r="C478" s="1272" t="s">
        <v>8085</v>
      </c>
      <c r="D478" s="1273" t="s">
        <v>189</v>
      </c>
      <c r="E478" s="1272" t="s">
        <v>905</v>
      </c>
      <c r="F478" s="1274">
        <v>42529</v>
      </c>
      <c r="G478" s="1275">
        <v>42492</v>
      </c>
      <c r="H478" s="1274">
        <v>42521</v>
      </c>
      <c r="I478" s="1276">
        <v>42916</v>
      </c>
      <c r="J478" s="1277">
        <v>10</v>
      </c>
      <c r="K478" s="1278" t="s">
        <v>3229</v>
      </c>
      <c r="L478" s="1279">
        <v>0.1</v>
      </c>
      <c r="M478" s="1280">
        <v>-0.8</v>
      </c>
      <c r="N478" s="1281">
        <v>0.7</v>
      </c>
      <c r="O478" s="1282">
        <v>0.7</v>
      </c>
      <c r="P478" s="1283" t="s">
        <v>3229</v>
      </c>
      <c r="Q478" s="1283" t="s">
        <v>3229</v>
      </c>
      <c r="R478" s="1284" t="s">
        <v>3229</v>
      </c>
      <c r="S478" s="1285">
        <v>2</v>
      </c>
      <c r="T478" s="1286" t="s">
        <v>3229</v>
      </c>
      <c r="U478" s="1286" t="s">
        <v>3229</v>
      </c>
      <c r="V478" s="1286" t="s">
        <v>3229</v>
      </c>
      <c r="W478" s="1286" t="s">
        <v>3229</v>
      </c>
      <c r="X478" s="1286" t="s">
        <v>3229</v>
      </c>
      <c r="Y478" s="1286" t="s">
        <v>3229</v>
      </c>
      <c r="Z478" s="1286" t="s">
        <v>3229</v>
      </c>
      <c r="AA478" s="1286" t="s">
        <v>3229</v>
      </c>
      <c r="AB478" s="1286" t="s">
        <v>3229</v>
      </c>
      <c r="AC478" s="1286" t="s">
        <v>3229</v>
      </c>
      <c r="AD478" s="1286" t="s">
        <v>3229</v>
      </c>
      <c r="AE478" s="1286" t="s">
        <v>3229</v>
      </c>
      <c r="AF478" s="3764" t="s">
        <v>781</v>
      </c>
      <c r="AG478" s="3765"/>
      <c r="AH478" s="1287">
        <v>1</v>
      </c>
      <c r="AI478" s="1288" t="s">
        <v>3229</v>
      </c>
      <c r="AJ478" s="1288" t="s">
        <v>3229</v>
      </c>
      <c r="AK478" s="1288" t="s">
        <v>3229</v>
      </c>
      <c r="AL478" s="1288" t="s">
        <v>3229</v>
      </c>
      <c r="AM478" s="1288" t="s">
        <v>3229</v>
      </c>
      <c r="AN478" s="1289">
        <f>+'klikací hodnoty'!F15344</f>
        <v>0.1</v>
      </c>
      <c r="AO478" s="1290">
        <v>11</v>
      </c>
      <c r="AP478" s="1371">
        <f>+'klikací hodnoty'!F15343</f>
        <v>0.22658395098067308</v>
      </c>
      <c r="AQ478" s="1281">
        <f>+'klikací hodnoty'!G15343</f>
        <v>0</v>
      </c>
      <c r="AR478" s="1291">
        <f>O478</f>
        <v>0.7</v>
      </c>
      <c r="AS478" s="1292">
        <f>POWER(1+AR478,1/((I478-F478)/365))-1</f>
        <v>0.64948536220169473</v>
      </c>
      <c r="AT478" s="1292"/>
      <c r="AU478" s="1293"/>
      <c r="AV478" s="1294">
        <f t="shared" si="125"/>
        <v>-0.8</v>
      </c>
      <c r="AW478" s="1295">
        <f t="shared" si="126"/>
        <v>-0.78083826766854914</v>
      </c>
      <c r="AX478" s="1296"/>
      <c r="AY478" s="1297"/>
      <c r="AZ478" s="1298">
        <f t="shared" si="127"/>
        <v>1.9999999999999996</v>
      </c>
      <c r="BA478" s="1959"/>
      <c r="BB478" s="1285"/>
      <c r="BC478" s="1300"/>
      <c r="BH478" s="3763"/>
      <c r="BI478" s="3763"/>
      <c r="BJ478" s="1639"/>
      <c r="BK478" s="1639"/>
      <c r="BL478" s="1639"/>
      <c r="BM478" s="1639"/>
      <c r="BN478" s="1639"/>
      <c r="BO478" s="1639"/>
      <c r="BP478" s="1639"/>
      <c r="BQ478" s="1639"/>
      <c r="BR478" s="1639"/>
      <c r="BS478" s="509"/>
      <c r="BT478" s="509"/>
      <c r="BU478" s="509"/>
      <c r="BV478" s="509"/>
      <c r="BW478" s="509"/>
      <c r="BX478" s="509"/>
      <c r="BY478" s="509"/>
      <c r="BZ478" s="509"/>
      <c r="CA478" s="509"/>
      <c r="CB478" s="509"/>
      <c r="CC478" s="509"/>
      <c r="CD478" s="509"/>
      <c r="CE478" s="509"/>
      <c r="CF478" s="509"/>
      <c r="CG478" s="509"/>
      <c r="CH478" s="509"/>
      <c r="CI478" s="509"/>
      <c r="CJ478" s="509"/>
      <c r="CK478" s="509"/>
      <c r="CL478" s="509"/>
      <c r="CM478" s="509"/>
      <c r="CN478" s="509"/>
      <c r="CO478" s="509"/>
      <c r="CP478" s="509"/>
      <c r="CQ478" s="509"/>
      <c r="CR478" s="509"/>
      <c r="CS478" s="509"/>
      <c r="CT478" s="509"/>
      <c r="CU478" s="509"/>
      <c r="CV478" s="509"/>
      <c r="CW478" s="509"/>
      <c r="CX478" s="509"/>
      <c r="CY478" s="509"/>
      <c r="CZ478" s="509"/>
      <c r="DA478" s="509"/>
      <c r="DB478" s="509"/>
      <c r="DC478" s="509"/>
      <c r="DD478" s="509"/>
      <c r="DE478" s="509"/>
      <c r="DF478" s="509"/>
      <c r="DG478" s="509"/>
      <c r="DH478" s="509"/>
      <c r="DI478" s="509"/>
      <c r="DJ478" s="509"/>
      <c r="DK478" s="509"/>
      <c r="DL478" s="509"/>
      <c r="DM478" s="509"/>
      <c r="DN478" s="509"/>
      <c r="DO478" s="509"/>
      <c r="DP478" s="509"/>
      <c r="DQ478" s="509"/>
      <c r="DR478" s="509"/>
      <c r="DS478" s="509"/>
      <c r="DT478" s="509"/>
      <c r="DU478" s="509"/>
      <c r="DV478" s="509"/>
      <c r="DW478" s="509"/>
      <c r="DX478" s="509"/>
      <c r="DY478" s="509"/>
      <c r="DZ478" s="509"/>
      <c r="EA478" s="509"/>
      <c r="EB478" s="509"/>
      <c r="EC478" s="509"/>
      <c r="ED478" s="509"/>
      <c r="EE478" s="509"/>
      <c r="EF478" s="509"/>
      <c r="EG478" s="509"/>
      <c r="EH478" s="509"/>
      <c r="EI478" s="509"/>
      <c r="EJ478" s="509"/>
      <c r="EK478" s="509"/>
      <c r="EL478" s="509"/>
      <c r="EM478" s="509"/>
      <c r="EN478" s="509"/>
      <c r="EO478" s="509"/>
      <c r="EP478" s="509"/>
      <c r="EQ478" s="509"/>
      <c r="ER478" s="509"/>
      <c r="ES478" s="509"/>
      <c r="ET478" s="509"/>
      <c r="EU478" s="509"/>
      <c r="EV478" s="509"/>
      <c r="EW478" s="509"/>
      <c r="EX478" s="509"/>
      <c r="EY478" s="509"/>
      <c r="EZ478" s="509"/>
      <c r="FA478" s="509"/>
      <c r="FB478" s="509"/>
      <c r="FC478" s="509"/>
      <c r="FD478" s="509"/>
      <c r="FE478" s="509"/>
      <c r="FF478" s="509"/>
      <c r="FG478" s="509"/>
      <c r="FH478" s="509"/>
      <c r="FI478" s="509"/>
      <c r="FJ478" s="509"/>
      <c r="FK478" s="509"/>
      <c r="FL478" s="509"/>
      <c r="FM478" s="509"/>
      <c r="FN478" s="509"/>
      <c r="FO478" s="509"/>
      <c r="FP478" s="509"/>
      <c r="FQ478" s="509"/>
      <c r="FR478" s="509"/>
      <c r="FS478" s="509"/>
      <c r="FT478" s="509"/>
      <c r="FU478" s="509"/>
      <c r="FV478" s="509"/>
      <c r="FW478" s="509"/>
      <c r="FX478" s="509"/>
      <c r="FY478" s="509"/>
      <c r="FZ478" s="509"/>
      <c r="GA478" s="509"/>
      <c r="GB478" s="509"/>
      <c r="GC478" s="509"/>
      <c r="GD478" s="509"/>
      <c r="GE478" s="509"/>
      <c r="GF478" s="509"/>
      <c r="GG478" s="509"/>
      <c r="GH478" s="509"/>
      <c r="GI478" s="509"/>
      <c r="GJ478" s="509"/>
      <c r="GK478" s="509"/>
      <c r="GL478" s="509"/>
      <c r="GM478" s="509"/>
      <c r="GN478" s="509"/>
      <c r="GO478" s="509"/>
      <c r="GP478" s="509"/>
      <c r="GQ478" s="509"/>
      <c r="GR478" s="509"/>
      <c r="GS478" s="509"/>
      <c r="GT478" s="509"/>
      <c r="GU478" s="509"/>
      <c r="GV478" s="509"/>
      <c r="GW478" s="509"/>
      <c r="GX478" s="509"/>
      <c r="GY478" s="509"/>
      <c r="GZ478" s="509"/>
      <c r="HA478" s="509"/>
      <c r="HB478" s="509"/>
      <c r="HC478" s="509"/>
      <c r="HD478" s="509"/>
      <c r="HE478" s="509"/>
      <c r="HF478" s="509"/>
      <c r="HG478" s="509"/>
      <c r="HH478" s="509"/>
      <c r="HI478" s="509"/>
      <c r="HJ478" s="509"/>
      <c r="HK478" s="509"/>
      <c r="HL478" s="509"/>
      <c r="HM478" s="509"/>
      <c r="HN478" s="509"/>
      <c r="HO478" s="509"/>
      <c r="HP478" s="509"/>
      <c r="HQ478" s="509"/>
      <c r="HR478" s="509"/>
      <c r="HS478" s="509"/>
      <c r="HT478" s="509"/>
      <c r="HU478" s="509"/>
      <c r="HV478" s="509"/>
      <c r="HW478" s="509"/>
      <c r="HX478" s="509"/>
      <c r="HY478" s="509"/>
      <c r="HZ478" s="509"/>
    </row>
    <row r="479" spans="1:234" ht="13.5" hidden="1" customHeight="1" x14ac:dyDescent="0.25">
      <c r="A479" s="1270" t="s">
        <v>8088</v>
      </c>
      <c r="B479" s="1271" t="s">
        <v>8089</v>
      </c>
      <c r="C479" s="1272" t="s">
        <v>8090</v>
      </c>
      <c r="D479" s="1273" t="s">
        <v>189</v>
      </c>
      <c r="E479" s="1272" t="s">
        <v>3228</v>
      </c>
      <c r="F479" s="1274">
        <v>42590</v>
      </c>
      <c r="G479" s="1275">
        <v>42522</v>
      </c>
      <c r="H479" s="1274">
        <v>42580</v>
      </c>
      <c r="I479" s="1276">
        <v>42978</v>
      </c>
      <c r="J479" s="1277">
        <v>10</v>
      </c>
      <c r="K479" s="1278" t="s">
        <v>3229</v>
      </c>
      <c r="L479" s="1279">
        <v>0.08</v>
      </c>
      <c r="M479" s="1280">
        <v>-1</v>
      </c>
      <c r="N479" s="1281" t="s">
        <v>3229</v>
      </c>
      <c r="O479" s="1282">
        <v>0.48</v>
      </c>
      <c r="P479" s="1283">
        <v>0.4</v>
      </c>
      <c r="Q479" s="1283" t="s">
        <v>3229</v>
      </c>
      <c r="R479" s="1284" t="s">
        <v>3229</v>
      </c>
      <c r="S479" s="1285">
        <v>6</v>
      </c>
      <c r="T479" s="1286" t="s">
        <v>3229</v>
      </c>
      <c r="U479" s="1286" t="s">
        <v>3229</v>
      </c>
      <c r="V479" s="1286" t="s">
        <v>3229</v>
      </c>
      <c r="W479" s="1286" t="s">
        <v>3229</v>
      </c>
      <c r="X479" s="1286" t="s">
        <v>3229</v>
      </c>
      <c r="Y479" s="1286" t="s">
        <v>3229</v>
      </c>
      <c r="Z479" s="1286" t="s">
        <v>3229</v>
      </c>
      <c r="AA479" s="1286" t="s">
        <v>3229</v>
      </c>
      <c r="AB479" s="1286" t="s">
        <v>3229</v>
      </c>
      <c r="AC479" s="1286" t="s">
        <v>3229</v>
      </c>
      <c r="AD479" s="1286" t="s">
        <v>3229</v>
      </c>
      <c r="AE479" s="1286" t="s">
        <v>3229</v>
      </c>
      <c r="AF479" s="3764" t="s">
        <v>781</v>
      </c>
      <c r="AG479" s="3765"/>
      <c r="AH479" s="1287" t="s">
        <v>3229</v>
      </c>
      <c r="AI479" s="1288" t="s">
        <v>3229</v>
      </c>
      <c r="AJ479" s="1288" t="s">
        <v>3229</v>
      </c>
      <c r="AK479" s="1288" t="s">
        <v>3229</v>
      </c>
      <c r="AL479" s="1288" t="s">
        <v>3229</v>
      </c>
      <c r="AM479" s="1288">
        <v>1</v>
      </c>
      <c r="AN479" s="1289">
        <f>+'klikací hodnoty'!F15409</f>
        <v>0.08</v>
      </c>
      <c r="AO479" s="1290">
        <v>10.8</v>
      </c>
      <c r="AP479" s="1371">
        <f>+'klikací hodnoty'!H15408</f>
        <v>4.4681456200227787E-2</v>
      </c>
      <c r="AQ479" s="1281">
        <f>+'klikací hodnoty'!H15408</f>
        <v>4.4681456200227787E-2</v>
      </c>
      <c r="AR479" s="1291">
        <v>0.08</v>
      </c>
      <c r="AS479" s="1292">
        <f>POWER(1+AR479,1/((I479-F479)/365))-1</f>
        <v>7.5084128474535161E-2</v>
      </c>
      <c r="AT479" s="1292"/>
      <c r="AU479" s="1293"/>
      <c r="AV479" s="1294">
        <f t="shared" si="125"/>
        <v>-1</v>
      </c>
      <c r="AW479" s="1295">
        <f t="shared" si="126"/>
        <v>-1</v>
      </c>
      <c r="AX479" s="1296"/>
      <c r="AY479" s="1297"/>
      <c r="AZ479" s="1298">
        <f t="shared" si="127"/>
        <v>0</v>
      </c>
      <c r="BA479" s="1959"/>
      <c r="BB479" s="1285"/>
      <c r="BC479" s="1300"/>
      <c r="BH479" s="3763"/>
      <c r="BI479" s="3763"/>
      <c r="BJ479" s="1639"/>
      <c r="BK479" s="1639"/>
      <c r="BL479" s="1639"/>
      <c r="BM479" s="1639"/>
      <c r="BN479" s="1639"/>
      <c r="BO479" s="1639"/>
      <c r="BP479" s="1639"/>
      <c r="BQ479" s="1639"/>
      <c r="BR479" s="1639"/>
      <c r="BS479" s="509"/>
      <c r="BT479" s="509"/>
      <c r="BU479" s="509"/>
      <c r="BV479" s="509"/>
      <c r="BW479" s="509"/>
      <c r="BX479" s="509"/>
      <c r="BY479" s="509"/>
      <c r="BZ479" s="509"/>
      <c r="CA479" s="509"/>
      <c r="CB479" s="509"/>
      <c r="CC479" s="509"/>
      <c r="CD479" s="509"/>
      <c r="CE479" s="509"/>
      <c r="CF479" s="509"/>
      <c r="CG479" s="509"/>
      <c r="CH479" s="509"/>
      <c r="CI479" s="509"/>
      <c r="CJ479" s="509"/>
      <c r="CK479" s="509"/>
      <c r="CL479" s="509"/>
      <c r="CM479" s="509"/>
      <c r="CN479" s="509"/>
      <c r="CO479" s="509"/>
      <c r="CP479" s="509"/>
      <c r="CQ479" s="509"/>
      <c r="CR479" s="509"/>
      <c r="CS479" s="509"/>
      <c r="CT479" s="509"/>
      <c r="CU479" s="509"/>
      <c r="CV479" s="509"/>
      <c r="CW479" s="509"/>
      <c r="CX479" s="509"/>
      <c r="CY479" s="509"/>
      <c r="CZ479" s="509"/>
      <c r="DA479" s="509"/>
      <c r="DB479" s="509"/>
      <c r="DC479" s="509"/>
      <c r="DD479" s="509"/>
      <c r="DE479" s="509"/>
      <c r="DF479" s="509"/>
      <c r="DG479" s="509"/>
      <c r="DH479" s="509"/>
      <c r="DI479" s="509"/>
      <c r="DJ479" s="509"/>
      <c r="DK479" s="509"/>
      <c r="DL479" s="509"/>
      <c r="DM479" s="509"/>
      <c r="DN479" s="509"/>
      <c r="DO479" s="509"/>
      <c r="DP479" s="509"/>
      <c r="DQ479" s="509"/>
      <c r="DR479" s="509"/>
      <c r="DS479" s="509"/>
      <c r="DT479" s="509"/>
      <c r="DU479" s="509"/>
      <c r="DV479" s="509"/>
      <c r="DW479" s="509"/>
      <c r="DX479" s="509"/>
      <c r="DY479" s="509"/>
      <c r="DZ479" s="509"/>
      <c r="EA479" s="509"/>
      <c r="EB479" s="509"/>
      <c r="EC479" s="509"/>
      <c r="ED479" s="509"/>
      <c r="EE479" s="509"/>
      <c r="EF479" s="509"/>
      <c r="EG479" s="509"/>
      <c r="EH479" s="509"/>
      <c r="EI479" s="509"/>
      <c r="EJ479" s="509"/>
      <c r="EK479" s="509"/>
      <c r="EL479" s="509"/>
      <c r="EM479" s="509"/>
      <c r="EN479" s="509"/>
      <c r="EO479" s="509"/>
      <c r="EP479" s="509"/>
      <c r="EQ479" s="509"/>
      <c r="ER479" s="509"/>
      <c r="ES479" s="509"/>
      <c r="ET479" s="509"/>
      <c r="EU479" s="509"/>
      <c r="EV479" s="509"/>
      <c r="EW479" s="509"/>
      <c r="EX479" s="509"/>
      <c r="EY479" s="509"/>
      <c r="EZ479" s="509"/>
      <c r="FA479" s="509"/>
      <c r="FB479" s="509"/>
      <c r="FC479" s="509"/>
      <c r="FD479" s="509"/>
      <c r="FE479" s="509"/>
      <c r="FF479" s="509"/>
      <c r="FG479" s="509"/>
      <c r="FH479" s="509"/>
      <c r="FI479" s="509"/>
      <c r="FJ479" s="509"/>
      <c r="FK479" s="509"/>
      <c r="FL479" s="509"/>
      <c r="FM479" s="509"/>
      <c r="FN479" s="509"/>
      <c r="FO479" s="509"/>
      <c r="FP479" s="509"/>
      <c r="FQ479" s="509"/>
      <c r="FR479" s="509"/>
      <c r="FS479" s="509"/>
      <c r="FT479" s="509"/>
      <c r="FU479" s="509"/>
      <c r="FV479" s="509"/>
      <c r="FW479" s="509"/>
      <c r="FX479" s="509"/>
      <c r="FY479" s="509"/>
      <c r="FZ479" s="509"/>
      <c r="GA479" s="509"/>
      <c r="GB479" s="509"/>
      <c r="GC479" s="509"/>
      <c r="GD479" s="509"/>
      <c r="GE479" s="509"/>
      <c r="GF479" s="509"/>
      <c r="GG479" s="509"/>
      <c r="GH479" s="509"/>
      <c r="GI479" s="509"/>
      <c r="GJ479" s="509"/>
      <c r="GK479" s="509"/>
      <c r="GL479" s="509"/>
      <c r="GM479" s="509"/>
      <c r="GN479" s="509"/>
      <c r="GO479" s="509"/>
      <c r="GP479" s="509"/>
      <c r="GQ479" s="509"/>
      <c r="GR479" s="509"/>
      <c r="GS479" s="509"/>
      <c r="GT479" s="509"/>
      <c r="GU479" s="509"/>
      <c r="GV479" s="509"/>
      <c r="GW479" s="509"/>
      <c r="GX479" s="509"/>
      <c r="GY479" s="509"/>
      <c r="GZ479" s="509"/>
      <c r="HA479" s="509"/>
      <c r="HB479" s="509"/>
      <c r="HC479" s="509"/>
      <c r="HD479" s="509"/>
      <c r="HE479" s="509"/>
      <c r="HF479" s="509"/>
      <c r="HG479" s="509"/>
      <c r="HH479" s="509"/>
      <c r="HI479" s="509"/>
      <c r="HJ479" s="509"/>
      <c r="HK479" s="509"/>
      <c r="HL479" s="509"/>
      <c r="HM479" s="509"/>
      <c r="HN479" s="509"/>
      <c r="HO479" s="509"/>
      <c r="HP479" s="509"/>
      <c r="HQ479" s="509"/>
      <c r="HR479" s="509"/>
      <c r="HS479" s="509"/>
      <c r="HT479" s="509"/>
      <c r="HU479" s="509"/>
      <c r="HV479" s="509"/>
      <c r="HW479" s="509"/>
      <c r="HX479" s="509"/>
      <c r="HY479" s="509"/>
      <c r="HZ479" s="509"/>
    </row>
    <row r="480" spans="1:234" ht="13.5" hidden="1" customHeight="1" x14ac:dyDescent="0.25">
      <c r="A480" s="1270" t="s">
        <v>8175</v>
      </c>
      <c r="B480" s="1271" t="s">
        <v>8171</v>
      </c>
      <c r="C480" s="1272" t="s">
        <v>8174</v>
      </c>
      <c r="D480" s="1273" t="s">
        <v>8854</v>
      </c>
      <c r="E480" s="1272" t="s">
        <v>3228</v>
      </c>
      <c r="F480" s="1274">
        <v>42621</v>
      </c>
      <c r="G480" s="1275">
        <v>42552</v>
      </c>
      <c r="H480" s="1274">
        <v>42613</v>
      </c>
      <c r="I480" s="1276">
        <v>44771</v>
      </c>
      <c r="J480" s="1277">
        <v>10</v>
      </c>
      <c r="K480" s="1278" t="s">
        <v>3229</v>
      </c>
      <c r="L480" s="1279" t="s">
        <v>3229</v>
      </c>
      <c r="M480" s="1280">
        <v>-1</v>
      </c>
      <c r="N480" s="1281">
        <v>1</v>
      </c>
      <c r="O480" s="1282" t="s">
        <v>3229</v>
      </c>
      <c r="P480" s="1283">
        <v>0.3</v>
      </c>
      <c r="Q480" s="1283" t="s">
        <v>3229</v>
      </c>
      <c r="R480" s="1284" t="s">
        <v>3229</v>
      </c>
      <c r="S480" s="1285">
        <v>1</v>
      </c>
      <c r="T480" s="1286" t="s">
        <v>3229</v>
      </c>
      <c r="U480" s="1286" t="s">
        <v>3229</v>
      </c>
      <c r="V480" s="1286" t="s">
        <v>3229</v>
      </c>
      <c r="W480" s="1286" t="s">
        <v>3229</v>
      </c>
      <c r="X480" s="1286" t="s">
        <v>3229</v>
      </c>
      <c r="Y480" s="1286" t="s">
        <v>3229</v>
      </c>
      <c r="Z480" s="1286" t="s">
        <v>3229</v>
      </c>
      <c r="AA480" s="1286" t="s">
        <v>3229</v>
      </c>
      <c r="AB480" s="1286" t="s">
        <v>3229</v>
      </c>
      <c r="AC480" s="1286" t="s">
        <v>3229</v>
      </c>
      <c r="AD480" s="1286" t="s">
        <v>3229</v>
      </c>
      <c r="AE480" s="1286" t="s">
        <v>3229</v>
      </c>
      <c r="AF480" s="3764" t="s">
        <v>781</v>
      </c>
      <c r="AG480" s="3765">
        <f>(I480-indexy!$B$1)/365</f>
        <v>-1.6657534246575343</v>
      </c>
      <c r="AH480" s="1287" t="s">
        <v>3229</v>
      </c>
      <c r="AI480" s="1288" t="s">
        <v>3229</v>
      </c>
      <c r="AJ480" s="1288" t="s">
        <v>3229</v>
      </c>
      <c r="AK480" s="1288" t="s">
        <v>3229</v>
      </c>
      <c r="AL480" s="1288" t="s">
        <v>3229</v>
      </c>
      <c r="AM480" s="1288">
        <v>1</v>
      </c>
      <c r="AN480" s="1289">
        <f>+'klikací hodnoty'!F15464</f>
        <v>8.8690777777777743E-2</v>
      </c>
      <c r="AO480" s="1290">
        <v>10.89</v>
      </c>
      <c r="AP480" s="1371">
        <f>+'klikací hodnoty'!E15463</f>
        <v>8.8690777777777743E-2</v>
      </c>
      <c r="AQ480" s="1281">
        <f>+'klikací hodnoty'!F15444</f>
        <v>5.3100000000000001E-2</v>
      </c>
      <c r="AR480" s="1291" t="str">
        <f t="shared" ref="AR480:AR491" si="128">O480</f>
        <v>-</v>
      </c>
      <c r="AS480" s="1292" t="s">
        <v>3660</v>
      </c>
      <c r="AT480" s="1292"/>
      <c r="AU480" s="1293"/>
      <c r="AV480" s="1294">
        <f t="shared" si="125"/>
        <v>-1</v>
      </c>
      <c r="AW480" s="1295">
        <f t="shared" si="126"/>
        <v>-1</v>
      </c>
      <c r="AX480" s="1296"/>
      <c r="AY480" s="1297"/>
      <c r="AZ480" s="1298">
        <f t="shared" si="127"/>
        <v>0</v>
      </c>
      <c r="BA480" s="1959"/>
      <c r="BB480" s="1285"/>
      <c r="BC480" s="1300"/>
      <c r="BH480" s="3763"/>
      <c r="BI480" s="3763"/>
      <c r="BJ480" s="1639"/>
      <c r="BK480" s="1639"/>
      <c r="BL480" s="1639"/>
      <c r="BM480" s="1639"/>
      <c r="BN480" s="1639"/>
      <c r="BO480" s="1639"/>
      <c r="BP480" s="1639"/>
      <c r="BQ480" s="1639"/>
      <c r="BR480" s="1639"/>
      <c r="BS480" s="509"/>
      <c r="BT480" s="509"/>
      <c r="BU480" s="509"/>
      <c r="BV480" s="509"/>
      <c r="BW480" s="509"/>
      <c r="BX480" s="509"/>
      <c r="BY480" s="509"/>
      <c r="BZ480" s="509"/>
      <c r="CA480" s="509"/>
      <c r="CB480" s="509"/>
      <c r="CC480" s="509"/>
      <c r="CD480" s="509"/>
      <c r="CE480" s="509"/>
      <c r="CF480" s="509"/>
      <c r="CG480" s="509"/>
      <c r="CH480" s="509"/>
      <c r="CI480" s="509"/>
      <c r="CJ480" s="509"/>
      <c r="CK480" s="509"/>
      <c r="CL480" s="509"/>
      <c r="CM480" s="509"/>
      <c r="CN480" s="509"/>
      <c r="CO480" s="509"/>
      <c r="CP480" s="509"/>
      <c r="CQ480" s="509"/>
      <c r="CR480" s="509"/>
      <c r="CS480" s="509"/>
      <c r="CT480" s="509"/>
      <c r="CU480" s="509"/>
      <c r="CV480" s="509"/>
      <c r="CW480" s="509"/>
      <c r="CX480" s="509"/>
      <c r="CY480" s="509"/>
      <c r="CZ480" s="509"/>
      <c r="DA480" s="509"/>
      <c r="DB480" s="509"/>
      <c r="DC480" s="509"/>
      <c r="DD480" s="509"/>
      <c r="DE480" s="509"/>
      <c r="DF480" s="509"/>
      <c r="DG480" s="509"/>
      <c r="DH480" s="509"/>
      <c r="DI480" s="509"/>
      <c r="DJ480" s="509"/>
      <c r="DK480" s="509"/>
      <c r="DL480" s="509"/>
      <c r="DM480" s="509"/>
      <c r="DN480" s="509"/>
      <c r="DO480" s="509"/>
      <c r="DP480" s="509"/>
      <c r="DQ480" s="509"/>
      <c r="DR480" s="509"/>
      <c r="DS480" s="509"/>
      <c r="DT480" s="509"/>
      <c r="DU480" s="509"/>
      <c r="DV480" s="509"/>
      <c r="DW480" s="509"/>
      <c r="DX480" s="509"/>
      <c r="DY480" s="509"/>
      <c r="DZ480" s="509"/>
      <c r="EA480" s="509"/>
      <c r="EB480" s="509"/>
      <c r="EC480" s="509"/>
      <c r="ED480" s="509"/>
      <c r="EE480" s="509"/>
      <c r="EF480" s="509"/>
      <c r="EG480" s="509"/>
      <c r="EH480" s="509"/>
      <c r="EI480" s="509"/>
      <c r="EJ480" s="509"/>
      <c r="EK480" s="509"/>
      <c r="EL480" s="509"/>
      <c r="EM480" s="509"/>
      <c r="EN480" s="509"/>
      <c r="EO480" s="509"/>
      <c r="EP480" s="509"/>
      <c r="EQ480" s="509"/>
      <c r="ER480" s="509"/>
      <c r="ES480" s="509"/>
      <c r="ET480" s="509"/>
      <c r="EU480" s="509"/>
      <c r="EV480" s="509"/>
      <c r="EW480" s="509"/>
      <c r="EX480" s="509"/>
      <c r="EY480" s="509"/>
      <c r="EZ480" s="509"/>
      <c r="FA480" s="509"/>
      <c r="FB480" s="509"/>
      <c r="FC480" s="509"/>
      <c r="FD480" s="509"/>
      <c r="FE480" s="509"/>
      <c r="FF480" s="509"/>
      <c r="FG480" s="509"/>
      <c r="FH480" s="509"/>
      <c r="FI480" s="509"/>
      <c r="FJ480" s="509"/>
      <c r="FK480" s="509"/>
      <c r="FL480" s="509"/>
      <c r="FM480" s="509"/>
      <c r="FN480" s="509"/>
      <c r="FO480" s="509"/>
      <c r="FP480" s="509"/>
      <c r="FQ480" s="509"/>
      <c r="FR480" s="509"/>
      <c r="FS480" s="509"/>
      <c r="FT480" s="509"/>
      <c r="FU480" s="509"/>
      <c r="FV480" s="509"/>
      <c r="FW480" s="509"/>
      <c r="FX480" s="509"/>
      <c r="FY480" s="509"/>
      <c r="FZ480" s="509"/>
      <c r="GA480" s="509"/>
      <c r="GB480" s="509"/>
      <c r="GC480" s="509"/>
      <c r="GD480" s="509"/>
      <c r="GE480" s="509"/>
      <c r="GF480" s="509"/>
      <c r="GG480" s="509"/>
      <c r="GH480" s="509"/>
      <c r="GI480" s="509"/>
      <c r="GJ480" s="509"/>
      <c r="GK480" s="509"/>
      <c r="GL480" s="509"/>
      <c r="GM480" s="509"/>
      <c r="GN480" s="509"/>
      <c r="GO480" s="509"/>
      <c r="GP480" s="509"/>
      <c r="GQ480" s="509"/>
      <c r="GR480" s="509"/>
      <c r="GS480" s="509"/>
      <c r="GT480" s="509"/>
      <c r="GU480" s="509"/>
      <c r="GV480" s="509"/>
      <c r="GW480" s="509"/>
      <c r="GX480" s="509"/>
      <c r="GY480" s="509"/>
      <c r="GZ480" s="509"/>
      <c r="HA480" s="509"/>
      <c r="HB480" s="509"/>
      <c r="HC480" s="509"/>
      <c r="HD480" s="509"/>
      <c r="HE480" s="509"/>
      <c r="HF480" s="509"/>
      <c r="HG480" s="509"/>
      <c r="HH480" s="509"/>
      <c r="HI480" s="509"/>
      <c r="HJ480" s="509"/>
      <c r="HK480" s="509"/>
      <c r="HL480" s="509"/>
      <c r="HM480" s="509"/>
      <c r="HN480" s="509"/>
      <c r="HO480" s="509"/>
      <c r="HP480" s="509"/>
      <c r="HQ480" s="509"/>
      <c r="HR480" s="509"/>
      <c r="HS480" s="509"/>
      <c r="HT480" s="509"/>
      <c r="HU480" s="509"/>
      <c r="HV480" s="509"/>
      <c r="HW480" s="509"/>
      <c r="HX480" s="509"/>
      <c r="HY480" s="509"/>
      <c r="HZ480" s="509"/>
    </row>
    <row r="481" spans="1:234" ht="13.5" hidden="1" customHeight="1" x14ac:dyDescent="0.25">
      <c r="A481" s="1270" t="s">
        <v>8177</v>
      </c>
      <c r="B481" s="1271" t="s">
        <v>8173</v>
      </c>
      <c r="C481" s="1272" t="s">
        <v>8182</v>
      </c>
      <c r="D481" s="1273" t="s">
        <v>189</v>
      </c>
      <c r="E481" s="1272" t="s">
        <v>3228</v>
      </c>
      <c r="F481" s="1274">
        <v>42621</v>
      </c>
      <c r="G481" s="1275">
        <v>42552</v>
      </c>
      <c r="H481" s="1274">
        <v>42613</v>
      </c>
      <c r="I481" s="1276">
        <v>44771</v>
      </c>
      <c r="J481" s="1277">
        <v>10</v>
      </c>
      <c r="K481" s="1278" t="s">
        <v>3229</v>
      </c>
      <c r="L481" s="1279" t="s">
        <v>3229</v>
      </c>
      <c r="M481" s="1280">
        <v>-0.85</v>
      </c>
      <c r="N481" s="1281">
        <v>0.6</v>
      </c>
      <c r="O481" s="1282">
        <v>0.6</v>
      </c>
      <c r="P481" s="1283" t="s">
        <v>3229</v>
      </c>
      <c r="Q481" s="1283" t="s">
        <v>3229</v>
      </c>
      <c r="R481" s="1284" t="s">
        <v>3229</v>
      </c>
      <c r="S481" s="1285">
        <v>1</v>
      </c>
      <c r="T481" s="1286" t="s">
        <v>3229</v>
      </c>
      <c r="U481" s="1286" t="s">
        <v>3229</v>
      </c>
      <c r="V481" s="1286" t="s">
        <v>3229</v>
      </c>
      <c r="W481" s="1286" t="s">
        <v>3229</v>
      </c>
      <c r="X481" s="1286" t="s">
        <v>3229</v>
      </c>
      <c r="Y481" s="1286" t="s">
        <v>3229</v>
      </c>
      <c r="Z481" s="1286" t="s">
        <v>3229</v>
      </c>
      <c r="AA481" s="1286" t="s">
        <v>3229</v>
      </c>
      <c r="AB481" s="1286" t="s">
        <v>3229</v>
      </c>
      <c r="AC481" s="1286" t="s">
        <v>3229</v>
      </c>
      <c r="AD481" s="1286" t="s">
        <v>3229</v>
      </c>
      <c r="AE481" s="1286" t="s">
        <v>3229</v>
      </c>
      <c r="AF481" s="3764" t="s">
        <v>781</v>
      </c>
      <c r="AG481" s="3765">
        <f>(I481-indexy!$B$1)/365</f>
        <v>-1.6657534246575343</v>
      </c>
      <c r="AH481" s="1287" t="s">
        <v>3229</v>
      </c>
      <c r="AI481" s="1288" t="s">
        <v>3229</v>
      </c>
      <c r="AJ481" s="1288" t="s">
        <v>3229</v>
      </c>
      <c r="AK481" s="1288" t="s">
        <v>3229</v>
      </c>
      <c r="AL481" s="1288" t="s">
        <v>3229</v>
      </c>
      <c r="AM481" s="1288">
        <v>1</v>
      </c>
      <c r="AN481" s="1289">
        <f>+'klikací hodnoty'!F15520</f>
        <v>0.2087463</v>
      </c>
      <c r="AO481" s="1290">
        <v>12.09</v>
      </c>
      <c r="AP481" s="1371">
        <f>+'klikací hodnoty'!E15519</f>
        <v>0.34791050000000001</v>
      </c>
      <c r="AQ481" s="1281">
        <f>+'klikací hodnoty'!F15500</f>
        <v>0.2099</v>
      </c>
      <c r="AR481" s="1291">
        <f t="shared" si="128"/>
        <v>0.6</v>
      </c>
      <c r="AS481" s="1292">
        <f>POWER(1+AR481,1/((I481-F481)/365))-1</f>
        <v>8.3061024202558009E-2</v>
      </c>
      <c r="AT481" s="1292"/>
      <c r="AU481" s="1293"/>
      <c r="AV481" s="1294">
        <f t="shared" si="125"/>
        <v>-0.85</v>
      </c>
      <c r="AW481" s="1295">
        <f t="shared" si="126"/>
        <v>-0.27535196193129685</v>
      </c>
      <c r="AX481" s="1296"/>
      <c r="AY481" s="1297"/>
      <c r="AZ481" s="1298">
        <f t="shared" si="127"/>
        <v>1.5000000000000002</v>
      </c>
      <c r="BA481" s="1959"/>
      <c r="BB481" s="1285"/>
      <c r="BC481" s="1300"/>
      <c r="BH481" s="3763"/>
      <c r="BI481" s="3763"/>
      <c r="BJ481" s="1639"/>
      <c r="BK481" s="1639"/>
      <c r="BL481" s="1639"/>
      <c r="BM481" s="1639"/>
      <c r="BN481" s="1639"/>
      <c r="BO481" s="1639"/>
      <c r="BP481" s="1639"/>
      <c r="BQ481" s="1639"/>
      <c r="BR481" s="1639"/>
      <c r="BS481" s="509"/>
      <c r="BT481" s="509"/>
      <c r="BU481" s="509"/>
      <c r="BV481" s="509"/>
      <c r="BW481" s="509"/>
      <c r="BX481" s="509"/>
      <c r="BY481" s="509"/>
      <c r="BZ481" s="509"/>
      <c r="CA481" s="509"/>
      <c r="CB481" s="509"/>
      <c r="CC481" s="509"/>
      <c r="CD481" s="509"/>
      <c r="CE481" s="509"/>
      <c r="CF481" s="509"/>
      <c r="CG481" s="509"/>
      <c r="CH481" s="509"/>
      <c r="CI481" s="509"/>
      <c r="CJ481" s="509"/>
      <c r="CK481" s="509"/>
      <c r="CL481" s="509"/>
      <c r="CM481" s="509"/>
      <c r="CN481" s="509"/>
      <c r="CO481" s="509"/>
      <c r="CP481" s="509"/>
      <c r="CQ481" s="509"/>
      <c r="CR481" s="509"/>
      <c r="CS481" s="509"/>
      <c r="CT481" s="509"/>
      <c r="CU481" s="509"/>
      <c r="CV481" s="509"/>
      <c r="CW481" s="509"/>
      <c r="CX481" s="509"/>
      <c r="CY481" s="509"/>
      <c r="CZ481" s="509"/>
      <c r="DA481" s="509"/>
      <c r="DB481" s="509"/>
      <c r="DC481" s="509"/>
      <c r="DD481" s="509"/>
      <c r="DE481" s="509"/>
      <c r="DF481" s="509"/>
      <c r="DG481" s="509"/>
      <c r="DH481" s="509"/>
      <c r="DI481" s="509"/>
      <c r="DJ481" s="509"/>
      <c r="DK481" s="509"/>
      <c r="DL481" s="509"/>
      <c r="DM481" s="509"/>
      <c r="DN481" s="509"/>
      <c r="DO481" s="509"/>
      <c r="DP481" s="509"/>
      <c r="DQ481" s="509"/>
      <c r="DR481" s="509"/>
      <c r="DS481" s="509"/>
      <c r="DT481" s="509"/>
      <c r="DU481" s="509"/>
      <c r="DV481" s="509"/>
      <c r="DW481" s="509"/>
      <c r="DX481" s="509"/>
      <c r="DY481" s="509"/>
      <c r="DZ481" s="509"/>
      <c r="EA481" s="509"/>
      <c r="EB481" s="509"/>
      <c r="EC481" s="509"/>
      <c r="ED481" s="509"/>
      <c r="EE481" s="509"/>
      <c r="EF481" s="509"/>
      <c r="EG481" s="509"/>
      <c r="EH481" s="509"/>
      <c r="EI481" s="509"/>
      <c r="EJ481" s="509"/>
      <c r="EK481" s="509"/>
      <c r="EL481" s="509"/>
      <c r="EM481" s="509"/>
      <c r="EN481" s="509"/>
      <c r="EO481" s="509"/>
      <c r="EP481" s="509"/>
      <c r="EQ481" s="509"/>
      <c r="ER481" s="509"/>
      <c r="ES481" s="509"/>
      <c r="ET481" s="509"/>
      <c r="EU481" s="509"/>
      <c r="EV481" s="509"/>
      <c r="EW481" s="509"/>
      <c r="EX481" s="509"/>
      <c r="EY481" s="509"/>
      <c r="EZ481" s="509"/>
      <c r="FA481" s="509"/>
      <c r="FB481" s="509"/>
      <c r="FC481" s="509"/>
      <c r="FD481" s="509"/>
      <c r="FE481" s="509"/>
      <c r="FF481" s="509"/>
      <c r="FG481" s="509"/>
      <c r="FH481" s="509"/>
      <c r="FI481" s="509"/>
      <c r="FJ481" s="509"/>
      <c r="FK481" s="509"/>
      <c r="FL481" s="509"/>
      <c r="FM481" s="509"/>
      <c r="FN481" s="509"/>
      <c r="FO481" s="509"/>
      <c r="FP481" s="509"/>
      <c r="FQ481" s="509"/>
      <c r="FR481" s="509"/>
      <c r="FS481" s="509"/>
      <c r="FT481" s="509"/>
      <c r="FU481" s="509"/>
      <c r="FV481" s="509"/>
      <c r="FW481" s="509"/>
      <c r="FX481" s="509"/>
      <c r="FY481" s="509"/>
      <c r="FZ481" s="509"/>
      <c r="GA481" s="509"/>
      <c r="GB481" s="509"/>
      <c r="GC481" s="509"/>
      <c r="GD481" s="509"/>
      <c r="GE481" s="509"/>
      <c r="GF481" s="509"/>
      <c r="GG481" s="509"/>
      <c r="GH481" s="509"/>
      <c r="GI481" s="509"/>
      <c r="GJ481" s="509"/>
      <c r="GK481" s="509"/>
      <c r="GL481" s="509"/>
      <c r="GM481" s="509"/>
      <c r="GN481" s="509"/>
      <c r="GO481" s="509"/>
      <c r="GP481" s="509"/>
      <c r="GQ481" s="509"/>
      <c r="GR481" s="509"/>
      <c r="GS481" s="509"/>
      <c r="GT481" s="509"/>
      <c r="GU481" s="509"/>
      <c r="GV481" s="509"/>
      <c r="GW481" s="509"/>
      <c r="GX481" s="509"/>
      <c r="GY481" s="509"/>
      <c r="GZ481" s="509"/>
      <c r="HA481" s="509"/>
      <c r="HB481" s="509"/>
      <c r="HC481" s="509"/>
      <c r="HD481" s="509"/>
      <c r="HE481" s="509"/>
      <c r="HF481" s="509"/>
      <c r="HG481" s="509"/>
      <c r="HH481" s="509"/>
      <c r="HI481" s="509"/>
      <c r="HJ481" s="509"/>
      <c r="HK481" s="509"/>
      <c r="HL481" s="509"/>
      <c r="HM481" s="509"/>
      <c r="HN481" s="509"/>
      <c r="HO481" s="509"/>
      <c r="HP481" s="509"/>
      <c r="HQ481" s="509"/>
      <c r="HR481" s="509"/>
      <c r="HS481" s="509"/>
      <c r="HT481" s="509"/>
      <c r="HU481" s="509"/>
      <c r="HV481" s="509"/>
      <c r="HW481" s="509"/>
      <c r="HX481" s="509"/>
      <c r="HY481" s="509"/>
      <c r="HZ481" s="509"/>
    </row>
    <row r="482" spans="1:234" ht="13.5" hidden="1" customHeight="1" x14ac:dyDescent="0.25">
      <c r="A482" s="1270" t="s">
        <v>8176</v>
      </c>
      <c r="B482" s="1271" t="s">
        <v>8172</v>
      </c>
      <c r="C482" s="1272" t="s">
        <v>8438</v>
      </c>
      <c r="D482" s="1273" t="s">
        <v>189</v>
      </c>
      <c r="E482" s="1272" t="s">
        <v>3228</v>
      </c>
      <c r="F482" s="1274">
        <v>42653</v>
      </c>
      <c r="G482" s="1275">
        <v>42583</v>
      </c>
      <c r="H482" s="1274">
        <v>42643</v>
      </c>
      <c r="I482" s="1276">
        <v>43769</v>
      </c>
      <c r="J482" s="1277">
        <v>10</v>
      </c>
      <c r="K482" s="1278" t="s">
        <v>3229</v>
      </c>
      <c r="L482" s="1279">
        <v>0.05</v>
      </c>
      <c r="M482" s="1280">
        <v>-1</v>
      </c>
      <c r="N482" s="1281" t="s">
        <v>3229</v>
      </c>
      <c r="O482" s="1282">
        <v>0.3</v>
      </c>
      <c r="P482" s="1283">
        <v>0.4</v>
      </c>
      <c r="Q482" s="1283" t="s">
        <v>3229</v>
      </c>
      <c r="R482" s="1284" t="s">
        <v>3229</v>
      </c>
      <c r="S482" s="1285">
        <v>6</v>
      </c>
      <c r="T482" s="1286" t="s">
        <v>3229</v>
      </c>
      <c r="U482" s="1286" t="s">
        <v>3229</v>
      </c>
      <c r="V482" s="1286" t="s">
        <v>3229</v>
      </c>
      <c r="W482" s="1286" t="s">
        <v>3229</v>
      </c>
      <c r="X482" s="1286" t="s">
        <v>3229</v>
      </c>
      <c r="Y482" s="1286" t="s">
        <v>3229</v>
      </c>
      <c r="Z482" s="1286" t="s">
        <v>3229</v>
      </c>
      <c r="AA482" s="1286" t="s">
        <v>3229</v>
      </c>
      <c r="AB482" s="1286" t="s">
        <v>3229</v>
      </c>
      <c r="AC482" s="1286" t="s">
        <v>3229</v>
      </c>
      <c r="AD482" s="1286" t="s">
        <v>3229</v>
      </c>
      <c r="AE482" s="1286" t="s">
        <v>3229</v>
      </c>
      <c r="AF482" s="3764" t="s">
        <v>781</v>
      </c>
      <c r="AG482" s="3765"/>
      <c r="AH482" s="1287">
        <v>1</v>
      </c>
      <c r="AI482" s="1288" t="s">
        <v>3229</v>
      </c>
      <c r="AJ482" s="1288" t="s">
        <v>3229</v>
      </c>
      <c r="AK482" s="1288" t="s">
        <v>3229</v>
      </c>
      <c r="AL482" s="1288" t="s">
        <v>3229</v>
      </c>
      <c r="AM482" s="1288" t="s">
        <v>3229</v>
      </c>
      <c r="AN482" s="1289">
        <f>+'klikací hodnoty'!F15418</f>
        <v>0.15</v>
      </c>
      <c r="AO482" s="1290">
        <v>11.5</v>
      </c>
      <c r="AP482" s="1371">
        <f>+'klikací hodnoty'!H15416</f>
        <v>0.14618070975146558</v>
      </c>
      <c r="AQ482" s="1281">
        <f>+'klikací hodnoty'!H15416</f>
        <v>0.14618070975146558</v>
      </c>
      <c r="AR482" s="1291">
        <v>0.15</v>
      </c>
      <c r="AS482" s="1292">
        <f>POWER(1+AR482,1/((I482-F482)/365))-1</f>
        <v>4.6771505909238398E-2</v>
      </c>
      <c r="AT482" s="1292"/>
      <c r="AU482" s="1293"/>
      <c r="AV482" s="1294">
        <f t="shared" si="125"/>
        <v>-1</v>
      </c>
      <c r="AW482" s="1295">
        <f t="shared" si="126"/>
        <v>-1</v>
      </c>
      <c r="AX482" s="1296"/>
      <c r="AY482" s="1297"/>
      <c r="AZ482" s="1298">
        <f t="shared" si="127"/>
        <v>0</v>
      </c>
      <c r="BA482" s="1959"/>
      <c r="BB482" s="1285"/>
      <c r="BC482" s="1300"/>
      <c r="BH482" s="3763"/>
      <c r="BI482" s="3763"/>
      <c r="BJ482" s="1639"/>
      <c r="BK482" s="1639"/>
      <c r="BL482" s="1639"/>
      <c r="BM482" s="1639"/>
      <c r="BN482" s="1639"/>
      <c r="BO482" s="1639"/>
      <c r="BP482" s="1639"/>
      <c r="BQ482" s="1639"/>
      <c r="BR482" s="1639"/>
      <c r="BS482" s="509"/>
      <c r="BT482" s="509"/>
      <c r="BU482" s="509"/>
      <c r="BV482" s="509"/>
      <c r="BW482" s="509"/>
      <c r="BX482" s="509"/>
      <c r="BY482" s="509"/>
      <c r="BZ482" s="509"/>
      <c r="CA482" s="509"/>
      <c r="CB482" s="509"/>
      <c r="CC482" s="509"/>
      <c r="CD482" s="509"/>
      <c r="CE482" s="509"/>
      <c r="CF482" s="509"/>
      <c r="CG482" s="509"/>
      <c r="CH482" s="509"/>
      <c r="CI482" s="509"/>
      <c r="CJ482" s="509"/>
      <c r="CK482" s="509"/>
      <c r="CL482" s="509"/>
      <c r="CM482" s="509"/>
      <c r="CN482" s="509"/>
      <c r="CO482" s="509"/>
      <c r="CP482" s="509"/>
      <c r="CQ482" s="509"/>
      <c r="CR482" s="509"/>
      <c r="CS482" s="509"/>
      <c r="CT482" s="509"/>
      <c r="CU482" s="509"/>
      <c r="CV482" s="509"/>
      <c r="CW482" s="509"/>
      <c r="CX482" s="509"/>
      <c r="CY482" s="509"/>
      <c r="CZ482" s="509"/>
      <c r="DA482" s="509"/>
      <c r="DB482" s="509"/>
      <c r="DC482" s="509"/>
      <c r="DD482" s="509"/>
      <c r="DE482" s="509"/>
      <c r="DF482" s="509"/>
      <c r="DG482" s="509"/>
      <c r="DH482" s="509"/>
      <c r="DI482" s="509"/>
      <c r="DJ482" s="509"/>
      <c r="DK482" s="509"/>
      <c r="DL482" s="509"/>
      <c r="DM482" s="509"/>
      <c r="DN482" s="509"/>
      <c r="DO482" s="509"/>
      <c r="DP482" s="509"/>
      <c r="DQ482" s="509"/>
      <c r="DR482" s="509"/>
      <c r="DS482" s="509"/>
      <c r="DT482" s="509"/>
      <c r="DU482" s="509"/>
      <c r="DV482" s="509"/>
      <c r="DW482" s="509"/>
      <c r="DX482" s="509"/>
      <c r="DY482" s="509"/>
      <c r="DZ482" s="509"/>
      <c r="EA482" s="509"/>
      <c r="EB482" s="509"/>
      <c r="EC482" s="509"/>
      <c r="ED482" s="509"/>
      <c r="EE482" s="509"/>
      <c r="EF482" s="509"/>
      <c r="EG482" s="509"/>
      <c r="EH482" s="509"/>
      <c r="EI482" s="509"/>
      <c r="EJ482" s="509"/>
      <c r="EK482" s="509"/>
      <c r="EL482" s="509"/>
      <c r="EM482" s="509"/>
      <c r="EN482" s="509"/>
      <c r="EO482" s="509"/>
      <c r="EP482" s="509"/>
      <c r="EQ482" s="509"/>
      <c r="ER482" s="509"/>
      <c r="ES482" s="509"/>
      <c r="ET482" s="509"/>
      <c r="EU482" s="509"/>
      <c r="EV482" s="509"/>
      <c r="EW482" s="509"/>
      <c r="EX482" s="509"/>
      <c r="EY482" s="509"/>
      <c r="EZ482" s="509"/>
      <c r="FA482" s="509"/>
      <c r="FB482" s="509"/>
      <c r="FC482" s="509"/>
      <c r="FD482" s="509"/>
      <c r="FE482" s="509"/>
      <c r="FF482" s="509"/>
      <c r="FG482" s="509"/>
      <c r="FH482" s="509"/>
      <c r="FI482" s="509"/>
      <c r="FJ482" s="509"/>
      <c r="FK482" s="509"/>
      <c r="FL482" s="509"/>
      <c r="FM482" s="509"/>
      <c r="FN482" s="509"/>
      <c r="FO482" s="509"/>
      <c r="FP482" s="509"/>
      <c r="FQ482" s="509"/>
      <c r="FR482" s="509"/>
      <c r="FS482" s="509"/>
      <c r="FT482" s="509"/>
      <c r="FU482" s="509"/>
      <c r="FV482" s="509"/>
      <c r="FW482" s="509"/>
      <c r="FX482" s="509"/>
      <c r="FY482" s="509"/>
      <c r="FZ482" s="509"/>
      <c r="GA482" s="509"/>
      <c r="GB482" s="509"/>
      <c r="GC482" s="509"/>
      <c r="GD482" s="509"/>
      <c r="GE482" s="509"/>
      <c r="GF482" s="509"/>
      <c r="GG482" s="509"/>
      <c r="GH482" s="509"/>
      <c r="GI482" s="509"/>
      <c r="GJ482" s="509"/>
      <c r="GK482" s="509"/>
      <c r="GL482" s="509"/>
      <c r="GM482" s="509"/>
      <c r="GN482" s="509"/>
      <c r="GO482" s="509"/>
      <c r="GP482" s="509"/>
      <c r="GQ482" s="509"/>
      <c r="GR482" s="509"/>
      <c r="GS482" s="509"/>
      <c r="GT482" s="509"/>
      <c r="GU482" s="509"/>
      <c r="GV482" s="509"/>
      <c r="GW482" s="509"/>
      <c r="GX482" s="509"/>
      <c r="GY482" s="509"/>
      <c r="GZ482" s="509"/>
      <c r="HA482" s="509"/>
      <c r="HB482" s="509"/>
      <c r="HC482" s="509"/>
      <c r="HD482" s="509"/>
      <c r="HE482" s="509"/>
      <c r="HF482" s="509"/>
      <c r="HG482" s="509"/>
      <c r="HH482" s="509"/>
      <c r="HI482" s="509"/>
      <c r="HJ482" s="509"/>
      <c r="HK482" s="509"/>
      <c r="HL482" s="509"/>
      <c r="HM482" s="509"/>
      <c r="HN482" s="509"/>
      <c r="HO482" s="509"/>
      <c r="HP482" s="509"/>
      <c r="HQ482" s="509"/>
      <c r="HR482" s="509"/>
      <c r="HS482" s="509"/>
      <c r="HT482" s="509"/>
      <c r="HU482" s="509"/>
      <c r="HV482" s="509"/>
      <c r="HW482" s="509"/>
      <c r="HX482" s="509"/>
      <c r="HY482" s="509"/>
      <c r="HZ482" s="509"/>
    </row>
    <row r="483" spans="1:234" ht="13.5" hidden="1" customHeight="1" x14ac:dyDescent="0.25">
      <c r="A483" s="1270" t="s">
        <v>8255</v>
      </c>
      <c r="B483" s="1271" t="s">
        <v>8256</v>
      </c>
      <c r="C483" s="1272" t="s">
        <v>8431</v>
      </c>
      <c r="D483" s="1273" t="s">
        <v>4384</v>
      </c>
      <c r="E483" s="1272" t="s">
        <v>3228</v>
      </c>
      <c r="F483" s="1274">
        <v>42667</v>
      </c>
      <c r="G483" s="1275">
        <v>42614</v>
      </c>
      <c r="H483" s="1274">
        <v>42657</v>
      </c>
      <c r="I483" s="1276">
        <v>44865</v>
      </c>
      <c r="J483" s="1277">
        <v>10</v>
      </c>
      <c r="K483" s="1278" t="s">
        <v>3229</v>
      </c>
      <c r="L483" s="1279" t="s">
        <v>3229</v>
      </c>
      <c r="M483" s="1280">
        <v>-1</v>
      </c>
      <c r="N483" s="1281">
        <v>1</v>
      </c>
      <c r="O483" s="1282">
        <v>0.6</v>
      </c>
      <c r="P483" s="1283" t="s">
        <v>3229</v>
      </c>
      <c r="Q483" s="1283" t="s">
        <v>3229</v>
      </c>
      <c r="R483" s="1284" t="s">
        <v>3229</v>
      </c>
      <c r="S483" s="1285">
        <v>1</v>
      </c>
      <c r="T483" s="1286" t="s">
        <v>3229</v>
      </c>
      <c r="U483" s="1286" t="s">
        <v>3229</v>
      </c>
      <c r="V483" s="1286" t="s">
        <v>3229</v>
      </c>
      <c r="W483" s="1286" t="s">
        <v>3229</v>
      </c>
      <c r="X483" s="1286" t="s">
        <v>3229</v>
      </c>
      <c r="Y483" s="1286" t="s">
        <v>3229</v>
      </c>
      <c r="Z483" s="1286" t="s">
        <v>3229</v>
      </c>
      <c r="AA483" s="1286" t="s">
        <v>3229</v>
      </c>
      <c r="AB483" s="1286" t="s">
        <v>3229</v>
      </c>
      <c r="AC483" s="1286" t="s">
        <v>3229</v>
      </c>
      <c r="AD483" s="1286" t="s">
        <v>3229</v>
      </c>
      <c r="AE483" s="1286" t="s">
        <v>3229</v>
      </c>
      <c r="AF483" s="3764" t="s">
        <v>781</v>
      </c>
      <c r="AG483" s="3765">
        <f>(I483-indexy!$B$1)/365</f>
        <v>-1.4082191780821918</v>
      </c>
      <c r="AH483" s="1287" t="s">
        <v>3229</v>
      </c>
      <c r="AI483" s="1288" t="s">
        <v>3229</v>
      </c>
      <c r="AJ483" s="1288" t="s">
        <v>3229</v>
      </c>
      <c r="AK483" s="1288" t="s">
        <v>3229</v>
      </c>
      <c r="AL483" s="1288" t="s">
        <v>3229</v>
      </c>
      <c r="AM483" s="1288">
        <v>1</v>
      </c>
      <c r="AN483" s="1289">
        <f>+'klikací hodnoty'!F15576</f>
        <v>0.35712555555555553</v>
      </c>
      <c r="AO483" s="1290">
        <v>13.57</v>
      </c>
      <c r="AP483" s="1371">
        <f>+'klikací hodnoty'!E15575</f>
        <v>0.33841955555555553</v>
      </c>
      <c r="AQ483" s="1281">
        <f>+'klikací hodnoty'!F15556</f>
        <v>0.1588</v>
      </c>
      <c r="AR483" s="1291">
        <f t="shared" si="128"/>
        <v>0.6</v>
      </c>
      <c r="AS483" s="1292">
        <f>POWER(1+AR483,1/((I483-F483)/365))-1</f>
        <v>8.1175449375495035E-2</v>
      </c>
      <c r="AT483" s="1292"/>
      <c r="AU483" s="1293"/>
      <c r="AV483" s="1294">
        <f t="shared" si="125"/>
        <v>-1</v>
      </c>
      <c r="AW483" s="1295">
        <f t="shared" si="126"/>
        <v>-1</v>
      </c>
      <c r="AX483" s="1296"/>
      <c r="AY483" s="1297"/>
      <c r="AZ483" s="1298">
        <f t="shared" si="127"/>
        <v>0</v>
      </c>
      <c r="BA483" s="1959"/>
      <c r="BB483" s="1285"/>
      <c r="BC483" s="1300"/>
      <c r="BE483" s="3746">
        <f>VLOOKUP(C483,[4]NAV_ALL_20221122111753!$A$2:$E$1075,5,0)</f>
        <v>13.57</v>
      </c>
      <c r="BF483" s="3746">
        <f>IFERROR(VLOOKUP(C483,[4]NAV_ALL_20221122111753!$A$2:$E$1075,5,0),+AO483)</f>
        <v>13.57</v>
      </c>
      <c r="BG483" s="3747">
        <f>+BF483/AO483-1</f>
        <v>0</v>
      </c>
      <c r="BH483" s="3763"/>
      <c r="BI483" s="3763"/>
      <c r="BJ483" s="1639"/>
      <c r="BK483" s="1639"/>
      <c r="BL483" s="1639"/>
      <c r="BM483" s="1639"/>
      <c r="BN483" s="1639"/>
      <c r="BO483" s="1639"/>
      <c r="BP483" s="1639"/>
      <c r="BQ483" s="1639"/>
      <c r="BR483" s="1639"/>
      <c r="BS483" s="509"/>
      <c r="BT483" s="509"/>
      <c r="BU483" s="509"/>
      <c r="BV483" s="509"/>
      <c r="BW483" s="509"/>
      <c r="BX483" s="509"/>
      <c r="BY483" s="509"/>
      <c r="BZ483" s="509"/>
      <c r="CA483" s="509"/>
      <c r="CB483" s="509"/>
      <c r="CC483" s="509"/>
      <c r="CD483" s="509"/>
      <c r="CE483" s="509"/>
      <c r="CF483" s="509"/>
      <c r="CG483" s="509"/>
      <c r="CH483" s="509"/>
      <c r="CI483" s="509"/>
      <c r="CJ483" s="509"/>
      <c r="CK483" s="509"/>
      <c r="CL483" s="509"/>
      <c r="CM483" s="509"/>
      <c r="CN483" s="509"/>
      <c r="CO483" s="509"/>
      <c r="CP483" s="509"/>
      <c r="CQ483" s="509"/>
      <c r="CR483" s="509"/>
      <c r="CS483" s="509"/>
      <c r="CT483" s="509"/>
      <c r="CU483" s="509"/>
      <c r="CV483" s="509"/>
      <c r="CW483" s="509"/>
      <c r="CX483" s="509"/>
      <c r="CY483" s="509"/>
      <c r="CZ483" s="509"/>
      <c r="DA483" s="509"/>
      <c r="DB483" s="509"/>
      <c r="DC483" s="509"/>
      <c r="DD483" s="509"/>
      <c r="DE483" s="509"/>
      <c r="DF483" s="509"/>
      <c r="DG483" s="509"/>
      <c r="DH483" s="509"/>
      <c r="DI483" s="509"/>
      <c r="DJ483" s="509"/>
      <c r="DK483" s="509"/>
      <c r="DL483" s="509"/>
      <c r="DM483" s="509"/>
      <c r="DN483" s="509"/>
      <c r="DO483" s="509"/>
      <c r="DP483" s="509"/>
      <c r="DQ483" s="509"/>
      <c r="DR483" s="509"/>
      <c r="DS483" s="509"/>
      <c r="DT483" s="509"/>
      <c r="DU483" s="509"/>
      <c r="DV483" s="509"/>
      <c r="DW483" s="509"/>
      <c r="DX483" s="509"/>
      <c r="DY483" s="509"/>
      <c r="DZ483" s="509"/>
      <c r="EA483" s="509"/>
      <c r="EB483" s="509"/>
      <c r="EC483" s="509"/>
      <c r="ED483" s="509"/>
      <c r="EE483" s="509"/>
      <c r="EF483" s="509"/>
      <c r="EG483" s="509"/>
      <c r="EH483" s="509"/>
      <c r="EI483" s="509"/>
      <c r="EJ483" s="509"/>
      <c r="EK483" s="509"/>
      <c r="EL483" s="509"/>
      <c r="EM483" s="509"/>
      <c r="EN483" s="509"/>
      <c r="EO483" s="509"/>
      <c r="EP483" s="509"/>
      <c r="EQ483" s="509"/>
      <c r="ER483" s="509"/>
      <c r="ES483" s="509"/>
      <c r="ET483" s="509"/>
      <c r="EU483" s="509"/>
      <c r="EV483" s="509"/>
      <c r="EW483" s="509"/>
      <c r="EX483" s="509"/>
      <c r="EY483" s="509"/>
      <c r="EZ483" s="509"/>
      <c r="FA483" s="509"/>
      <c r="FB483" s="509"/>
      <c r="FC483" s="509"/>
      <c r="FD483" s="509"/>
      <c r="FE483" s="509"/>
      <c r="FF483" s="509"/>
      <c r="FG483" s="509"/>
      <c r="FH483" s="509"/>
      <c r="FI483" s="509"/>
      <c r="FJ483" s="509"/>
      <c r="FK483" s="509"/>
      <c r="FL483" s="509"/>
      <c r="FM483" s="509"/>
      <c r="FN483" s="509"/>
      <c r="FO483" s="509"/>
      <c r="FP483" s="509"/>
      <c r="FQ483" s="509"/>
      <c r="FR483" s="509"/>
      <c r="FS483" s="509"/>
      <c r="FT483" s="509"/>
      <c r="FU483" s="509"/>
      <c r="FV483" s="509"/>
      <c r="FW483" s="509"/>
      <c r="FX483" s="509"/>
      <c r="FY483" s="509"/>
      <c r="FZ483" s="509"/>
      <c r="GA483" s="509"/>
      <c r="GB483" s="509"/>
      <c r="GC483" s="509"/>
      <c r="GD483" s="509"/>
      <c r="GE483" s="509"/>
      <c r="GF483" s="509"/>
      <c r="GG483" s="509"/>
      <c r="GH483" s="509"/>
      <c r="GI483" s="509"/>
      <c r="GJ483" s="509"/>
      <c r="GK483" s="509"/>
      <c r="GL483" s="509"/>
      <c r="GM483" s="509"/>
      <c r="GN483" s="509"/>
      <c r="GO483" s="509"/>
      <c r="GP483" s="509"/>
      <c r="GQ483" s="509"/>
      <c r="GR483" s="509"/>
      <c r="GS483" s="509"/>
      <c r="GT483" s="509"/>
      <c r="GU483" s="509"/>
      <c r="GV483" s="509"/>
      <c r="GW483" s="509"/>
      <c r="GX483" s="509"/>
      <c r="GY483" s="509"/>
      <c r="GZ483" s="509"/>
      <c r="HA483" s="509"/>
      <c r="HB483" s="509"/>
      <c r="HC483" s="509"/>
      <c r="HD483" s="509"/>
      <c r="HE483" s="509"/>
      <c r="HF483" s="509"/>
      <c r="HG483" s="509"/>
      <c r="HH483" s="509"/>
      <c r="HI483" s="509"/>
      <c r="HJ483" s="509"/>
      <c r="HK483" s="509"/>
      <c r="HL483" s="509"/>
      <c r="HM483" s="509"/>
      <c r="HN483" s="509"/>
      <c r="HO483" s="509"/>
      <c r="HP483" s="509"/>
      <c r="HQ483" s="509"/>
      <c r="HR483" s="509"/>
      <c r="HS483" s="509"/>
      <c r="HT483" s="509"/>
      <c r="HU483" s="509"/>
      <c r="HV483" s="509"/>
      <c r="HW483" s="509"/>
      <c r="HX483" s="509"/>
      <c r="HY483" s="509"/>
      <c r="HZ483" s="509"/>
    </row>
    <row r="484" spans="1:234" ht="13.5" hidden="1" customHeight="1" x14ac:dyDescent="0.25">
      <c r="A484" s="1270" t="s">
        <v>8257</v>
      </c>
      <c r="B484" s="1271" t="s">
        <v>8258</v>
      </c>
      <c r="C484" s="1272" t="s">
        <v>8432</v>
      </c>
      <c r="D484" s="1273" t="s">
        <v>8854</v>
      </c>
      <c r="E484" s="1272" t="s">
        <v>3228</v>
      </c>
      <c r="F484" s="1274">
        <v>42683</v>
      </c>
      <c r="G484" s="1275">
        <v>42614</v>
      </c>
      <c r="H484" s="1274">
        <v>42674</v>
      </c>
      <c r="I484" s="1276">
        <v>44834</v>
      </c>
      <c r="J484" s="1277">
        <v>10</v>
      </c>
      <c r="K484" s="1278" t="s">
        <v>3229</v>
      </c>
      <c r="L484" s="1279" t="s">
        <v>3229</v>
      </c>
      <c r="M484" s="1280">
        <v>-1</v>
      </c>
      <c r="N484" s="1281">
        <v>1.4</v>
      </c>
      <c r="O484" s="1282" t="s">
        <v>3229</v>
      </c>
      <c r="P484" s="1283">
        <v>0.3</v>
      </c>
      <c r="Q484" s="1283" t="s">
        <v>3229</v>
      </c>
      <c r="R484" s="1284" t="s">
        <v>3229</v>
      </c>
      <c r="S484" s="1285">
        <v>1</v>
      </c>
      <c r="T484" s="1286" t="s">
        <v>3229</v>
      </c>
      <c r="U484" s="1286" t="s">
        <v>3229</v>
      </c>
      <c r="V484" s="1286" t="s">
        <v>3229</v>
      </c>
      <c r="W484" s="1286" t="s">
        <v>3229</v>
      </c>
      <c r="X484" s="1286" t="s">
        <v>3229</v>
      </c>
      <c r="Y484" s="1286" t="s">
        <v>3229</v>
      </c>
      <c r="Z484" s="1286" t="s">
        <v>3229</v>
      </c>
      <c r="AA484" s="1286" t="s">
        <v>3229</v>
      </c>
      <c r="AB484" s="1286" t="s">
        <v>3229</v>
      </c>
      <c r="AC484" s="1286" t="s">
        <v>3229</v>
      </c>
      <c r="AD484" s="1286" t="s">
        <v>3229</v>
      </c>
      <c r="AE484" s="1286" t="s">
        <v>3229</v>
      </c>
      <c r="AF484" s="3764" t="s">
        <v>781</v>
      </c>
      <c r="AG484" s="3765">
        <f>(I484-indexy!$B$1)/365</f>
        <v>-1.4931506849315068</v>
      </c>
      <c r="AH484" s="1287" t="s">
        <v>3229</v>
      </c>
      <c r="AI484" s="1288" t="s">
        <v>3229</v>
      </c>
      <c r="AJ484" s="1288" t="s">
        <v>3229</v>
      </c>
      <c r="AK484" s="1288" t="s">
        <v>3229</v>
      </c>
      <c r="AL484" s="1288" t="s">
        <v>3229</v>
      </c>
      <c r="AM484" s="1288">
        <v>1</v>
      </c>
      <c r="AN484" s="1289">
        <f>+'klikací hodnoty'!F15622</f>
        <v>0</v>
      </c>
      <c r="AO484" s="1290">
        <v>10</v>
      </c>
      <c r="AP484" s="1371">
        <f>+'klikací hodnoty'!E15621</f>
        <v>-4.4962888888888893E-2</v>
      </c>
      <c r="AQ484" s="1281">
        <f>+'klikací hodnoty'!F15602</f>
        <v>-8.8099999999999998E-2</v>
      </c>
      <c r="AR484" s="1291" t="str">
        <f t="shared" si="128"/>
        <v>-</v>
      </c>
      <c r="AS484" s="1292" t="s">
        <v>3660</v>
      </c>
      <c r="AT484" s="1292"/>
      <c r="AU484" s="1293"/>
      <c r="AV484" s="1294">
        <f t="shared" ref="AV484:AV489" si="129">M484</f>
        <v>-1</v>
      </c>
      <c r="AW484" s="1295">
        <f t="shared" ref="AW484:AW489" si="130">POWER(1+AV484,1/((I484-F484)/365))-1</f>
        <v>-1</v>
      </c>
      <c r="AX484" s="1296"/>
      <c r="AY484" s="1297"/>
      <c r="AZ484" s="1298">
        <f t="shared" ref="AZ484:AZ491" si="131">J484*(1+AV484)</f>
        <v>0</v>
      </c>
      <c r="BA484" s="1959"/>
      <c r="BB484" s="1285"/>
      <c r="BC484" s="1300"/>
      <c r="BF484" s="3746">
        <f>IFERROR(VLOOKUP(C484,[4]NAV_ALL_20221122111753!$A$2:$E$1075,5,0),+AO484)</f>
        <v>10</v>
      </c>
      <c r="BG484" s="3747">
        <f>+BF484/AO484-1</f>
        <v>0</v>
      </c>
      <c r="BH484" s="3763"/>
      <c r="BI484" s="3763"/>
      <c r="BJ484" s="1639"/>
      <c r="BK484" s="1639"/>
      <c r="BL484" s="1639"/>
      <c r="BM484" s="1639"/>
      <c r="BN484" s="1639"/>
      <c r="BO484" s="1639"/>
      <c r="BP484" s="1639"/>
      <c r="BQ484" s="1639"/>
      <c r="BR484" s="1639"/>
      <c r="BS484" s="509"/>
      <c r="BT484" s="509"/>
      <c r="BU484" s="509"/>
      <c r="BV484" s="509"/>
      <c r="BW484" s="509"/>
      <c r="BX484" s="509"/>
      <c r="BY484" s="509"/>
      <c r="BZ484" s="509"/>
      <c r="CA484" s="509"/>
      <c r="CB484" s="509"/>
      <c r="CC484" s="509"/>
      <c r="CD484" s="509"/>
      <c r="CE484" s="509"/>
      <c r="CF484" s="509"/>
      <c r="CG484" s="509"/>
      <c r="CH484" s="509"/>
      <c r="CI484" s="509"/>
      <c r="CJ484" s="509"/>
      <c r="CK484" s="509"/>
      <c r="CL484" s="509"/>
      <c r="CM484" s="509"/>
      <c r="CN484" s="509"/>
      <c r="CO484" s="509"/>
      <c r="CP484" s="509"/>
      <c r="CQ484" s="509"/>
      <c r="CR484" s="509"/>
      <c r="CS484" s="509"/>
      <c r="CT484" s="509"/>
      <c r="CU484" s="509"/>
      <c r="CV484" s="509"/>
      <c r="CW484" s="509"/>
      <c r="CX484" s="509"/>
      <c r="CY484" s="509"/>
      <c r="CZ484" s="509"/>
      <c r="DA484" s="509"/>
      <c r="DB484" s="509"/>
      <c r="DC484" s="509"/>
      <c r="DD484" s="509"/>
      <c r="DE484" s="509"/>
      <c r="DF484" s="509"/>
      <c r="DG484" s="509"/>
      <c r="DH484" s="509"/>
      <c r="DI484" s="509"/>
      <c r="DJ484" s="509"/>
      <c r="DK484" s="509"/>
      <c r="DL484" s="509"/>
      <c r="DM484" s="509"/>
      <c r="DN484" s="509"/>
      <c r="DO484" s="509"/>
      <c r="DP484" s="509"/>
      <c r="DQ484" s="509"/>
      <c r="DR484" s="509"/>
      <c r="DS484" s="509"/>
      <c r="DT484" s="509"/>
      <c r="DU484" s="509"/>
      <c r="DV484" s="509"/>
      <c r="DW484" s="509"/>
      <c r="DX484" s="509"/>
      <c r="DY484" s="509"/>
      <c r="DZ484" s="509"/>
      <c r="EA484" s="509"/>
      <c r="EB484" s="509"/>
      <c r="EC484" s="509"/>
      <c r="ED484" s="509"/>
      <c r="EE484" s="509"/>
      <c r="EF484" s="509"/>
      <c r="EG484" s="509"/>
      <c r="EH484" s="509"/>
      <c r="EI484" s="509"/>
      <c r="EJ484" s="509"/>
      <c r="EK484" s="509"/>
      <c r="EL484" s="509"/>
      <c r="EM484" s="509"/>
      <c r="EN484" s="509"/>
      <c r="EO484" s="509"/>
      <c r="EP484" s="509"/>
      <c r="EQ484" s="509"/>
      <c r="ER484" s="509"/>
      <c r="ES484" s="509"/>
      <c r="ET484" s="509"/>
      <c r="EU484" s="509"/>
      <c r="EV484" s="509"/>
      <c r="EW484" s="509"/>
      <c r="EX484" s="509"/>
      <c r="EY484" s="509"/>
      <c r="EZ484" s="509"/>
      <c r="FA484" s="509"/>
      <c r="FB484" s="509"/>
      <c r="FC484" s="509"/>
      <c r="FD484" s="509"/>
      <c r="FE484" s="509"/>
      <c r="FF484" s="509"/>
      <c r="FG484" s="509"/>
      <c r="FH484" s="509"/>
      <c r="FI484" s="509"/>
      <c r="FJ484" s="509"/>
      <c r="FK484" s="509"/>
      <c r="FL484" s="509"/>
      <c r="FM484" s="509"/>
      <c r="FN484" s="509"/>
      <c r="FO484" s="509"/>
      <c r="FP484" s="509"/>
      <c r="FQ484" s="509"/>
      <c r="FR484" s="509"/>
      <c r="FS484" s="509"/>
      <c r="FT484" s="509"/>
      <c r="FU484" s="509"/>
      <c r="FV484" s="509"/>
      <c r="FW484" s="509"/>
      <c r="FX484" s="509"/>
      <c r="FY484" s="509"/>
      <c r="FZ484" s="509"/>
      <c r="GA484" s="509"/>
      <c r="GB484" s="509"/>
      <c r="GC484" s="509"/>
      <c r="GD484" s="509"/>
      <c r="GE484" s="509"/>
      <c r="GF484" s="509"/>
      <c r="GG484" s="509"/>
      <c r="GH484" s="509"/>
      <c r="GI484" s="509"/>
      <c r="GJ484" s="509"/>
      <c r="GK484" s="509"/>
      <c r="GL484" s="509"/>
      <c r="GM484" s="509"/>
      <c r="GN484" s="509"/>
      <c r="GO484" s="509"/>
      <c r="GP484" s="509"/>
      <c r="GQ484" s="509"/>
      <c r="GR484" s="509"/>
      <c r="GS484" s="509"/>
      <c r="GT484" s="509"/>
      <c r="GU484" s="509"/>
      <c r="GV484" s="509"/>
      <c r="GW484" s="509"/>
      <c r="GX484" s="509"/>
      <c r="GY484" s="509"/>
      <c r="GZ484" s="509"/>
      <c r="HA484" s="509"/>
      <c r="HB484" s="509"/>
      <c r="HC484" s="509"/>
      <c r="HD484" s="509"/>
      <c r="HE484" s="509"/>
      <c r="HF484" s="509"/>
      <c r="HG484" s="509"/>
      <c r="HH484" s="509"/>
      <c r="HI484" s="509"/>
      <c r="HJ484" s="509"/>
      <c r="HK484" s="509"/>
      <c r="HL484" s="509"/>
      <c r="HM484" s="509"/>
      <c r="HN484" s="509"/>
      <c r="HO484" s="509"/>
      <c r="HP484" s="509"/>
      <c r="HQ484" s="509"/>
      <c r="HR484" s="509"/>
      <c r="HS484" s="509"/>
      <c r="HT484" s="509"/>
      <c r="HU484" s="509"/>
      <c r="HV484" s="509"/>
      <c r="HW484" s="509"/>
      <c r="HX484" s="509"/>
      <c r="HY484" s="509"/>
      <c r="HZ484" s="509"/>
    </row>
    <row r="485" spans="1:234" ht="13.5" hidden="1" customHeight="1" x14ac:dyDescent="0.25">
      <c r="A485" s="1270" t="s">
        <v>8323</v>
      </c>
      <c r="B485" s="1271" t="s">
        <v>8324</v>
      </c>
      <c r="C485" s="1272" t="s">
        <v>8433</v>
      </c>
      <c r="D485" s="1273" t="s">
        <v>189</v>
      </c>
      <c r="E485" s="1272" t="s">
        <v>3228</v>
      </c>
      <c r="F485" s="1274">
        <v>42712</v>
      </c>
      <c r="G485" s="1275">
        <v>42646</v>
      </c>
      <c r="H485" s="1274">
        <v>42704</v>
      </c>
      <c r="I485" s="1276">
        <v>44895</v>
      </c>
      <c r="J485" s="1277">
        <v>10</v>
      </c>
      <c r="K485" s="1278" t="s">
        <v>3229</v>
      </c>
      <c r="L485" s="1279" t="s">
        <v>3229</v>
      </c>
      <c r="M485" s="1280">
        <v>0</v>
      </c>
      <c r="N485" s="1281">
        <v>0.6</v>
      </c>
      <c r="O485" s="1282" t="s">
        <v>3229</v>
      </c>
      <c r="P485" s="1283" t="s">
        <v>3229</v>
      </c>
      <c r="Q485" s="1283">
        <v>1</v>
      </c>
      <c r="R485" s="1284" t="s">
        <v>3229</v>
      </c>
      <c r="S485" s="1285">
        <v>1</v>
      </c>
      <c r="T485" s="1286" t="s">
        <v>3229</v>
      </c>
      <c r="U485" s="1286" t="s">
        <v>3229</v>
      </c>
      <c r="V485" s="1286" t="s">
        <v>3229</v>
      </c>
      <c r="W485" s="1286" t="s">
        <v>3229</v>
      </c>
      <c r="X485" s="1286" t="s">
        <v>3229</v>
      </c>
      <c r="Y485" s="1286" t="s">
        <v>3229</v>
      </c>
      <c r="Z485" s="1286" t="s">
        <v>3229</v>
      </c>
      <c r="AA485" s="1286" t="s">
        <v>3229</v>
      </c>
      <c r="AB485" s="1286" t="s">
        <v>3229</v>
      </c>
      <c r="AC485" s="1286" t="s">
        <v>3229</v>
      </c>
      <c r="AD485" s="1286" t="s">
        <v>3229</v>
      </c>
      <c r="AE485" s="1286" t="s">
        <v>3229</v>
      </c>
      <c r="AF485" s="3764" t="s">
        <v>781</v>
      </c>
      <c r="AG485" s="3765">
        <f>(I485-indexy!$B$1)/365</f>
        <v>-1.3260273972602741</v>
      </c>
      <c r="AH485" s="1287" t="s">
        <v>3229</v>
      </c>
      <c r="AI485" s="1288" t="s">
        <v>3229</v>
      </c>
      <c r="AJ485" s="1288" t="s">
        <v>3229</v>
      </c>
      <c r="AK485" s="1288" t="s">
        <v>3229</v>
      </c>
      <c r="AL485" s="1288" t="s">
        <v>3229</v>
      </c>
      <c r="AM485" s="1288">
        <v>1</v>
      </c>
      <c r="AN485" s="1289">
        <f>+'klikací hodnoty'!F15678</f>
        <v>0.13318856666666667</v>
      </c>
      <c r="AO485" s="1290">
        <v>11.33</v>
      </c>
      <c r="AP485" s="1371">
        <f>+'klikací hodnoty'!F15677</f>
        <v>0.22198094444444447</v>
      </c>
      <c r="AQ485" s="1281">
        <f>+'klikací hodnoty'!F15658</f>
        <v>0.1411</v>
      </c>
      <c r="AR485" s="1291" t="str">
        <f t="shared" si="128"/>
        <v>-</v>
      </c>
      <c r="AS485" s="1292" t="s">
        <v>3660</v>
      </c>
      <c r="AT485" s="1292"/>
      <c r="AU485" s="1293"/>
      <c r="AV485" s="1294">
        <f t="shared" si="129"/>
        <v>0</v>
      </c>
      <c r="AW485" s="1295">
        <f t="shared" si="130"/>
        <v>0</v>
      </c>
      <c r="AX485" s="1296"/>
      <c r="AY485" s="1297"/>
      <c r="AZ485" s="1298">
        <f t="shared" si="131"/>
        <v>10</v>
      </c>
      <c r="BA485" s="1959"/>
      <c r="BB485" s="1285"/>
      <c r="BC485" s="1300"/>
      <c r="BE485" s="3746"/>
      <c r="BF485" s="3746"/>
      <c r="BG485" s="3747"/>
      <c r="BH485" s="3763"/>
      <c r="BI485" s="3763"/>
      <c r="BJ485" s="1639"/>
      <c r="BK485" s="1639"/>
      <c r="BL485" s="1639"/>
      <c r="BM485" s="1639"/>
      <c r="BN485" s="1639"/>
      <c r="BO485" s="1639"/>
      <c r="BP485" s="1639"/>
      <c r="BQ485" s="1639"/>
      <c r="BR485" s="1639"/>
      <c r="BS485" s="509"/>
      <c r="BT485" s="509"/>
      <c r="BU485" s="509"/>
      <c r="BV485" s="509"/>
      <c r="BW485" s="509"/>
      <c r="BX485" s="509"/>
      <c r="BY485" s="509"/>
      <c r="BZ485" s="509"/>
      <c r="CA485" s="509"/>
      <c r="CB485" s="509"/>
      <c r="CC485" s="509"/>
      <c r="CD485" s="509"/>
      <c r="CE485" s="509"/>
      <c r="CF485" s="509"/>
      <c r="CG485" s="509"/>
      <c r="CH485" s="509"/>
      <c r="CI485" s="509"/>
      <c r="CJ485" s="509"/>
      <c r="CK485" s="509"/>
      <c r="CL485" s="509"/>
      <c r="CM485" s="509"/>
      <c r="CN485" s="509"/>
      <c r="CO485" s="509"/>
      <c r="CP485" s="509"/>
      <c r="CQ485" s="509"/>
      <c r="CR485" s="509"/>
      <c r="CS485" s="509"/>
      <c r="CT485" s="509"/>
      <c r="CU485" s="509"/>
      <c r="CV485" s="509"/>
      <c r="CW485" s="509"/>
      <c r="CX485" s="509"/>
      <c r="CY485" s="509"/>
      <c r="CZ485" s="509"/>
      <c r="DA485" s="509"/>
      <c r="DB485" s="509"/>
      <c r="DC485" s="509"/>
      <c r="DD485" s="509"/>
      <c r="DE485" s="509"/>
      <c r="DF485" s="509"/>
      <c r="DG485" s="509"/>
      <c r="DH485" s="509"/>
      <c r="DI485" s="509"/>
      <c r="DJ485" s="509"/>
      <c r="DK485" s="509"/>
      <c r="DL485" s="509"/>
      <c r="DM485" s="509"/>
      <c r="DN485" s="509"/>
      <c r="DO485" s="509"/>
      <c r="DP485" s="509"/>
      <c r="DQ485" s="509"/>
      <c r="DR485" s="509"/>
      <c r="DS485" s="509"/>
      <c r="DT485" s="509"/>
      <c r="DU485" s="509"/>
      <c r="DV485" s="509"/>
      <c r="DW485" s="509"/>
      <c r="DX485" s="509"/>
      <c r="DY485" s="509"/>
      <c r="DZ485" s="509"/>
      <c r="EA485" s="509"/>
      <c r="EB485" s="509"/>
      <c r="EC485" s="509"/>
      <c r="ED485" s="509"/>
      <c r="EE485" s="509"/>
      <c r="EF485" s="509"/>
      <c r="EG485" s="509"/>
      <c r="EH485" s="509"/>
      <c r="EI485" s="509"/>
      <c r="EJ485" s="509"/>
      <c r="EK485" s="509"/>
      <c r="EL485" s="509"/>
      <c r="EM485" s="509"/>
      <c r="EN485" s="509"/>
      <c r="EO485" s="509"/>
      <c r="EP485" s="509"/>
      <c r="EQ485" s="509"/>
      <c r="ER485" s="509"/>
      <c r="ES485" s="509"/>
      <c r="ET485" s="509"/>
      <c r="EU485" s="509"/>
      <c r="EV485" s="509"/>
      <c r="EW485" s="509"/>
      <c r="EX485" s="509"/>
      <c r="EY485" s="509"/>
      <c r="EZ485" s="509"/>
      <c r="FA485" s="509"/>
      <c r="FB485" s="509"/>
      <c r="FC485" s="509"/>
      <c r="FD485" s="509"/>
      <c r="FE485" s="509"/>
      <c r="FF485" s="509"/>
      <c r="FG485" s="509"/>
      <c r="FH485" s="509"/>
      <c r="FI485" s="509"/>
      <c r="FJ485" s="509"/>
      <c r="FK485" s="509"/>
      <c r="FL485" s="509"/>
      <c r="FM485" s="509"/>
      <c r="FN485" s="509"/>
      <c r="FO485" s="509"/>
      <c r="FP485" s="509"/>
      <c r="FQ485" s="509"/>
      <c r="FR485" s="509"/>
      <c r="FS485" s="509"/>
      <c r="FT485" s="509"/>
      <c r="FU485" s="509"/>
      <c r="FV485" s="509"/>
      <c r="FW485" s="509"/>
      <c r="FX485" s="509"/>
      <c r="FY485" s="509"/>
      <c r="FZ485" s="509"/>
      <c r="GA485" s="509"/>
      <c r="GB485" s="509"/>
      <c r="GC485" s="509"/>
      <c r="GD485" s="509"/>
      <c r="GE485" s="509"/>
      <c r="GF485" s="509"/>
      <c r="GG485" s="509"/>
      <c r="GH485" s="509"/>
      <c r="GI485" s="509"/>
      <c r="GJ485" s="509"/>
      <c r="GK485" s="509"/>
      <c r="GL485" s="509"/>
      <c r="GM485" s="509"/>
      <c r="GN485" s="509"/>
      <c r="GO485" s="509"/>
      <c r="GP485" s="509"/>
      <c r="GQ485" s="509"/>
      <c r="GR485" s="509"/>
      <c r="GS485" s="509"/>
      <c r="GT485" s="509"/>
      <c r="GU485" s="509"/>
      <c r="GV485" s="509"/>
      <c r="GW485" s="509"/>
      <c r="GX485" s="509"/>
      <c r="GY485" s="509"/>
      <c r="GZ485" s="509"/>
      <c r="HA485" s="509"/>
      <c r="HB485" s="509"/>
      <c r="HC485" s="509"/>
      <c r="HD485" s="509"/>
      <c r="HE485" s="509"/>
      <c r="HF485" s="509"/>
      <c r="HG485" s="509"/>
      <c r="HH485" s="509"/>
      <c r="HI485" s="509"/>
      <c r="HJ485" s="509"/>
      <c r="HK485" s="509"/>
      <c r="HL485" s="509"/>
      <c r="HM485" s="509"/>
      <c r="HN485" s="509"/>
      <c r="HO485" s="509"/>
      <c r="HP485" s="509"/>
      <c r="HQ485" s="509"/>
      <c r="HR485" s="509"/>
      <c r="HS485" s="509"/>
      <c r="HT485" s="509"/>
      <c r="HU485" s="509"/>
      <c r="HV485" s="509"/>
      <c r="HW485" s="509"/>
      <c r="HX485" s="509"/>
      <c r="HY485" s="509"/>
      <c r="HZ485" s="509"/>
    </row>
    <row r="486" spans="1:234" ht="13.5" hidden="1" customHeight="1" x14ac:dyDescent="0.25">
      <c r="A486" s="1270" t="s">
        <v>8329</v>
      </c>
      <c r="B486" s="1271" t="s">
        <v>8330</v>
      </c>
      <c r="C486" s="1272" t="s">
        <v>8434</v>
      </c>
      <c r="D486" s="1273" t="s">
        <v>189</v>
      </c>
      <c r="E486" s="1272" t="s">
        <v>1743</v>
      </c>
      <c r="F486" s="1274">
        <v>42712</v>
      </c>
      <c r="G486" s="1275">
        <v>42646</v>
      </c>
      <c r="H486" s="1274">
        <v>42704</v>
      </c>
      <c r="I486" s="1276">
        <v>44712</v>
      </c>
      <c r="J486" s="1277">
        <v>10</v>
      </c>
      <c r="K486" s="1278">
        <v>0</v>
      </c>
      <c r="L486" s="1279">
        <v>0.06</v>
      </c>
      <c r="M486" s="1280">
        <v>0.02</v>
      </c>
      <c r="N486" s="1281" t="s">
        <v>3229</v>
      </c>
      <c r="O486" s="1282">
        <v>0.26</v>
      </c>
      <c r="P486" s="1283" t="s">
        <v>3229</v>
      </c>
      <c r="Q486" s="1283">
        <v>0.02</v>
      </c>
      <c r="R486" s="1284" t="s">
        <v>3229</v>
      </c>
      <c r="S486" s="1285">
        <v>5</v>
      </c>
      <c r="T486" s="1286" t="s">
        <v>3229</v>
      </c>
      <c r="U486" s="1286" t="s">
        <v>3229</v>
      </c>
      <c r="V486" s="1286" t="s">
        <v>3229</v>
      </c>
      <c r="W486" s="1286" t="s">
        <v>3229</v>
      </c>
      <c r="X486" s="1286" t="s">
        <v>3229</v>
      </c>
      <c r="Y486" s="1286" t="s">
        <v>3229</v>
      </c>
      <c r="Z486" s="1286" t="s">
        <v>3229</v>
      </c>
      <c r="AA486" s="1286" t="s">
        <v>3229</v>
      </c>
      <c r="AB486" s="1286" t="s">
        <v>3229</v>
      </c>
      <c r="AC486" s="1286" t="s">
        <v>3229</v>
      </c>
      <c r="AD486" s="1286" t="s">
        <v>3229</v>
      </c>
      <c r="AE486" s="1286" t="s">
        <v>3229</v>
      </c>
      <c r="AF486" s="3764" t="s">
        <v>781</v>
      </c>
      <c r="AG486" s="3765">
        <f>(I486-indexy!$B$1)/365</f>
        <v>-1.8273972602739725</v>
      </c>
      <c r="AH486" s="1287" t="s">
        <v>3229</v>
      </c>
      <c r="AI486" s="1288" t="s">
        <v>3229</v>
      </c>
      <c r="AJ486" s="1288" t="s">
        <v>3229</v>
      </c>
      <c r="AK486" s="1288" t="s">
        <v>3229</v>
      </c>
      <c r="AL486" s="1288" t="s">
        <v>3229</v>
      </c>
      <c r="AM486" s="1288">
        <v>1</v>
      </c>
      <c r="AN486" s="1289">
        <f>+'klikací hodnoty'!F15721</f>
        <v>3.3799999999999997E-2</v>
      </c>
      <c r="AO486" s="1290">
        <v>10.49</v>
      </c>
      <c r="AP486" s="1371">
        <f>+'klikací hodnoty'!F15713</f>
        <v>-7.6183777461220278E-3</v>
      </c>
      <c r="AQ486" s="1281">
        <f>+'klikací hodnoty'!F15713</f>
        <v>-7.6183777461220278E-3</v>
      </c>
      <c r="AR486" s="1291">
        <f t="shared" si="128"/>
        <v>0.26</v>
      </c>
      <c r="AS486" s="1292">
        <f>POWER(1+AR486,1/((I486-F486)/365))-1</f>
        <v>4.3080014787691745E-2</v>
      </c>
      <c r="AT486" s="1292"/>
      <c r="AU486" s="1293"/>
      <c r="AV486" s="1294">
        <f t="shared" si="129"/>
        <v>0.02</v>
      </c>
      <c r="AW486" s="1295">
        <f t="shared" si="130"/>
        <v>3.6205177794514931E-3</v>
      </c>
      <c r="AX486" s="1296"/>
      <c r="AY486" s="1297"/>
      <c r="AZ486" s="1298">
        <f t="shared" si="131"/>
        <v>10.199999999999999</v>
      </c>
      <c r="BA486" s="1959"/>
      <c r="BB486" s="1285"/>
      <c r="BC486" s="1300"/>
      <c r="BF486" s="3746"/>
      <c r="BG486" s="3747"/>
      <c r="BH486" s="3763"/>
      <c r="BI486" s="3763"/>
      <c r="BJ486" s="1639"/>
      <c r="BK486" s="1639"/>
      <c r="BL486" s="1639"/>
      <c r="BM486" s="1639"/>
      <c r="BN486" s="1639"/>
      <c r="BO486" s="1639"/>
      <c r="BP486" s="1639"/>
      <c r="BQ486" s="1639"/>
      <c r="BR486" s="1639"/>
      <c r="BS486" s="509"/>
      <c r="BT486" s="509"/>
      <c r="BU486" s="509"/>
      <c r="BV486" s="509"/>
      <c r="BW486" s="509"/>
      <c r="BX486" s="509"/>
      <c r="BY486" s="509"/>
      <c r="BZ486" s="509"/>
      <c r="CA486" s="509"/>
      <c r="CB486" s="509"/>
      <c r="CC486" s="509"/>
      <c r="CD486" s="509"/>
      <c r="CE486" s="509"/>
      <c r="CF486" s="509"/>
      <c r="CG486" s="509"/>
      <c r="CH486" s="509"/>
      <c r="CI486" s="509"/>
      <c r="CJ486" s="509"/>
      <c r="CK486" s="509"/>
      <c r="CL486" s="509"/>
      <c r="CM486" s="509"/>
      <c r="CN486" s="509"/>
      <c r="CO486" s="509"/>
      <c r="CP486" s="509"/>
      <c r="CQ486" s="509"/>
      <c r="CR486" s="509"/>
      <c r="CS486" s="509"/>
      <c r="CT486" s="509"/>
      <c r="CU486" s="509"/>
      <c r="CV486" s="509"/>
      <c r="CW486" s="509"/>
      <c r="CX486" s="509"/>
      <c r="CY486" s="509"/>
      <c r="CZ486" s="509"/>
      <c r="DA486" s="509"/>
      <c r="DB486" s="509"/>
      <c r="DC486" s="509"/>
      <c r="DD486" s="509"/>
      <c r="DE486" s="509"/>
      <c r="DF486" s="509"/>
      <c r="DG486" s="509"/>
      <c r="DH486" s="509"/>
      <c r="DI486" s="509"/>
      <c r="DJ486" s="509"/>
      <c r="DK486" s="509"/>
      <c r="DL486" s="509"/>
      <c r="DM486" s="509"/>
      <c r="DN486" s="509"/>
      <c r="DO486" s="509"/>
      <c r="DP486" s="509"/>
      <c r="DQ486" s="509"/>
      <c r="DR486" s="509"/>
      <c r="DS486" s="509"/>
      <c r="DT486" s="509"/>
      <c r="DU486" s="509"/>
      <c r="DV486" s="509"/>
      <c r="DW486" s="509"/>
      <c r="DX486" s="509"/>
      <c r="DY486" s="509"/>
      <c r="DZ486" s="509"/>
      <c r="EA486" s="509"/>
      <c r="EB486" s="509"/>
      <c r="EC486" s="509"/>
      <c r="ED486" s="509"/>
      <c r="EE486" s="509"/>
      <c r="EF486" s="509"/>
      <c r="EG486" s="509"/>
      <c r="EH486" s="509"/>
      <c r="EI486" s="509"/>
      <c r="EJ486" s="509"/>
      <c r="EK486" s="509"/>
      <c r="EL486" s="509"/>
      <c r="EM486" s="509"/>
      <c r="EN486" s="509"/>
      <c r="EO486" s="509"/>
      <c r="EP486" s="509"/>
      <c r="EQ486" s="509"/>
      <c r="ER486" s="509"/>
      <c r="ES486" s="509"/>
      <c r="ET486" s="509"/>
      <c r="EU486" s="509"/>
      <c r="EV486" s="509"/>
      <c r="EW486" s="509"/>
      <c r="EX486" s="509"/>
      <c r="EY486" s="509"/>
      <c r="EZ486" s="509"/>
      <c r="FA486" s="509"/>
      <c r="FB486" s="509"/>
      <c r="FC486" s="509"/>
      <c r="FD486" s="509"/>
      <c r="FE486" s="509"/>
      <c r="FF486" s="509"/>
      <c r="FG486" s="509"/>
      <c r="FH486" s="509"/>
      <c r="FI486" s="509"/>
      <c r="FJ486" s="509"/>
      <c r="FK486" s="509"/>
      <c r="FL486" s="509"/>
      <c r="FM486" s="509"/>
      <c r="FN486" s="509"/>
      <c r="FO486" s="509"/>
      <c r="FP486" s="509"/>
      <c r="FQ486" s="509"/>
      <c r="FR486" s="509"/>
      <c r="FS486" s="509"/>
      <c r="FT486" s="509"/>
      <c r="FU486" s="509"/>
      <c r="FV486" s="509"/>
      <c r="FW486" s="509"/>
      <c r="FX486" s="509"/>
      <c r="FY486" s="509"/>
      <c r="FZ486" s="509"/>
      <c r="GA486" s="509"/>
      <c r="GB486" s="509"/>
      <c r="GC486" s="509"/>
      <c r="GD486" s="509"/>
      <c r="GE486" s="509"/>
      <c r="GF486" s="509"/>
      <c r="GG486" s="509"/>
      <c r="GH486" s="509"/>
      <c r="GI486" s="509"/>
      <c r="GJ486" s="509"/>
      <c r="GK486" s="509"/>
      <c r="GL486" s="509"/>
      <c r="GM486" s="509"/>
      <c r="GN486" s="509"/>
      <c r="GO486" s="509"/>
      <c r="GP486" s="509"/>
      <c r="GQ486" s="509"/>
      <c r="GR486" s="509"/>
      <c r="GS486" s="509"/>
      <c r="GT486" s="509"/>
      <c r="GU486" s="509"/>
      <c r="GV486" s="509"/>
      <c r="GW486" s="509"/>
      <c r="GX486" s="509"/>
      <c r="GY486" s="509"/>
      <c r="GZ486" s="509"/>
      <c r="HA486" s="509"/>
      <c r="HB486" s="509"/>
      <c r="HC486" s="509"/>
      <c r="HD486" s="509"/>
      <c r="HE486" s="509"/>
      <c r="HF486" s="509"/>
      <c r="HG486" s="509"/>
      <c r="HH486" s="509"/>
      <c r="HI486" s="509"/>
      <c r="HJ486" s="509"/>
      <c r="HK486" s="509"/>
      <c r="HL486" s="509"/>
      <c r="HM486" s="509"/>
      <c r="HN486" s="509"/>
      <c r="HO486" s="509"/>
      <c r="HP486" s="509"/>
      <c r="HQ486" s="509"/>
      <c r="HR486" s="509"/>
      <c r="HS486" s="509"/>
      <c r="HT486" s="509"/>
      <c r="HU486" s="509"/>
      <c r="HV486" s="509"/>
      <c r="HW486" s="509"/>
      <c r="HX486" s="509"/>
      <c r="HY486" s="509"/>
      <c r="HZ486" s="509"/>
    </row>
    <row r="487" spans="1:234" ht="13.5" hidden="1" customHeight="1" x14ac:dyDescent="0.25">
      <c r="A487" s="1270" t="s">
        <v>8325</v>
      </c>
      <c r="B487" s="1271" t="s">
        <v>8326</v>
      </c>
      <c r="C487" s="1272" t="s">
        <v>8435</v>
      </c>
      <c r="D487" s="1273" t="s">
        <v>8854</v>
      </c>
      <c r="E487" s="1272" t="s">
        <v>3228</v>
      </c>
      <c r="F487" s="1274">
        <v>42732</v>
      </c>
      <c r="G487" s="1275">
        <v>42675</v>
      </c>
      <c r="H487" s="1274">
        <v>42723</v>
      </c>
      <c r="I487" s="1276">
        <v>44895</v>
      </c>
      <c r="J487" s="1277">
        <v>10</v>
      </c>
      <c r="K487" s="1278" t="s">
        <v>3229</v>
      </c>
      <c r="L487" s="1279" t="s">
        <v>3229</v>
      </c>
      <c r="M487" s="1280">
        <v>-1</v>
      </c>
      <c r="N487" s="1281">
        <v>1</v>
      </c>
      <c r="O487" s="1282" t="s">
        <v>3229</v>
      </c>
      <c r="P487" s="1283">
        <v>0.3</v>
      </c>
      <c r="Q487" s="1283" t="s">
        <v>3229</v>
      </c>
      <c r="R487" s="1284" t="s">
        <v>3229</v>
      </c>
      <c r="S487" s="1285">
        <v>1</v>
      </c>
      <c r="T487" s="1286" t="s">
        <v>3229</v>
      </c>
      <c r="U487" s="1286" t="s">
        <v>3229</v>
      </c>
      <c r="V487" s="1286" t="s">
        <v>3229</v>
      </c>
      <c r="W487" s="1286" t="s">
        <v>3229</v>
      </c>
      <c r="X487" s="1286" t="s">
        <v>3229</v>
      </c>
      <c r="Y487" s="1286" t="s">
        <v>3229</v>
      </c>
      <c r="Z487" s="1286" t="s">
        <v>3229</v>
      </c>
      <c r="AA487" s="1286" t="s">
        <v>3229</v>
      </c>
      <c r="AB487" s="1286" t="s">
        <v>3229</v>
      </c>
      <c r="AC487" s="1286" t="s">
        <v>3229</v>
      </c>
      <c r="AD487" s="1286" t="s">
        <v>3229</v>
      </c>
      <c r="AE487" s="1286" t="s">
        <v>3229</v>
      </c>
      <c r="AF487" s="3764" t="s">
        <v>781</v>
      </c>
      <c r="AG487" s="3765">
        <f>(I487-indexy!$B$1)/365</f>
        <v>-1.3260273972602741</v>
      </c>
      <c r="AH487" s="1287" t="s">
        <v>3229</v>
      </c>
      <c r="AI487" s="1288" t="s">
        <v>3229</v>
      </c>
      <c r="AJ487" s="1288" t="s">
        <v>3229</v>
      </c>
      <c r="AK487" s="1288" t="s">
        <v>3229</v>
      </c>
      <c r="AL487" s="1288" t="s">
        <v>3229</v>
      </c>
      <c r="AM487" s="1288">
        <v>1</v>
      </c>
      <c r="AN487" s="1289">
        <f>+'klikací hodnoty'!F15767</f>
        <v>0.27829355555555557</v>
      </c>
      <c r="AO487" s="1290">
        <v>12.78</v>
      </c>
      <c r="AP487" s="1371">
        <f>+'klikací hodnoty'!E15766</f>
        <v>0.27829355555555557</v>
      </c>
      <c r="AQ487" s="1281">
        <f>+'klikací hodnoty'!F15747</f>
        <v>0.15659999999999999</v>
      </c>
      <c r="AR487" s="1291" t="str">
        <f t="shared" si="128"/>
        <v>-</v>
      </c>
      <c r="AS487" s="1292" t="s">
        <v>3660</v>
      </c>
      <c r="AT487" s="1292"/>
      <c r="AU487" s="1293"/>
      <c r="AV487" s="1294">
        <f t="shared" si="129"/>
        <v>-1</v>
      </c>
      <c r="AW487" s="1295">
        <f t="shared" si="130"/>
        <v>-1</v>
      </c>
      <c r="AX487" s="1296"/>
      <c r="AY487" s="1297"/>
      <c r="AZ487" s="1298">
        <f t="shared" si="131"/>
        <v>0</v>
      </c>
      <c r="BA487" s="1959"/>
      <c r="BB487" s="1285"/>
      <c r="BC487" s="1300"/>
      <c r="BF487" s="3746"/>
      <c r="BG487" s="3747"/>
      <c r="BH487" s="3763"/>
      <c r="BI487" s="3763"/>
      <c r="BJ487" s="1639"/>
      <c r="BK487" s="1639"/>
      <c r="BL487" s="1639"/>
      <c r="BM487" s="1639"/>
      <c r="BN487" s="1639"/>
      <c r="BO487" s="1639"/>
      <c r="BP487" s="1639"/>
      <c r="BQ487" s="1639"/>
      <c r="BR487" s="1639"/>
      <c r="BS487" s="509"/>
      <c r="BT487" s="509"/>
      <c r="BU487" s="509"/>
      <c r="BV487" s="509"/>
      <c r="BW487" s="509"/>
      <c r="BX487" s="509"/>
      <c r="BY487" s="509"/>
      <c r="BZ487" s="509"/>
      <c r="CA487" s="509"/>
      <c r="CB487" s="509"/>
      <c r="CC487" s="509"/>
      <c r="CD487" s="509"/>
      <c r="CE487" s="509"/>
      <c r="CF487" s="509"/>
      <c r="CG487" s="509"/>
      <c r="CH487" s="509"/>
      <c r="CI487" s="509"/>
      <c r="CJ487" s="509"/>
      <c r="CK487" s="509"/>
      <c r="CL487" s="509"/>
      <c r="CM487" s="509"/>
      <c r="CN487" s="509"/>
      <c r="CO487" s="509"/>
      <c r="CP487" s="509"/>
      <c r="CQ487" s="509"/>
      <c r="CR487" s="509"/>
      <c r="CS487" s="509"/>
      <c r="CT487" s="509"/>
      <c r="CU487" s="509"/>
      <c r="CV487" s="509"/>
      <c r="CW487" s="509"/>
      <c r="CX487" s="509"/>
      <c r="CY487" s="509"/>
      <c r="CZ487" s="509"/>
      <c r="DA487" s="509"/>
      <c r="DB487" s="509"/>
      <c r="DC487" s="509"/>
      <c r="DD487" s="509"/>
      <c r="DE487" s="509"/>
      <c r="DF487" s="509"/>
      <c r="DG487" s="509"/>
      <c r="DH487" s="509"/>
      <c r="DI487" s="509"/>
      <c r="DJ487" s="509"/>
      <c r="DK487" s="509"/>
      <c r="DL487" s="509"/>
      <c r="DM487" s="509"/>
      <c r="DN487" s="509"/>
      <c r="DO487" s="509"/>
      <c r="DP487" s="509"/>
      <c r="DQ487" s="509"/>
      <c r="DR487" s="509"/>
      <c r="DS487" s="509"/>
      <c r="DT487" s="509"/>
      <c r="DU487" s="509"/>
      <c r="DV487" s="509"/>
      <c r="DW487" s="509"/>
      <c r="DX487" s="509"/>
      <c r="DY487" s="509"/>
      <c r="DZ487" s="509"/>
      <c r="EA487" s="509"/>
      <c r="EB487" s="509"/>
      <c r="EC487" s="509"/>
      <c r="ED487" s="509"/>
      <c r="EE487" s="509"/>
      <c r="EF487" s="509"/>
      <c r="EG487" s="509"/>
      <c r="EH487" s="509"/>
      <c r="EI487" s="509"/>
      <c r="EJ487" s="509"/>
      <c r="EK487" s="509"/>
      <c r="EL487" s="509"/>
      <c r="EM487" s="509"/>
      <c r="EN487" s="509"/>
      <c r="EO487" s="509"/>
      <c r="EP487" s="509"/>
      <c r="EQ487" s="509"/>
      <c r="ER487" s="509"/>
      <c r="ES487" s="509"/>
      <c r="ET487" s="509"/>
      <c r="EU487" s="509"/>
      <c r="EV487" s="509"/>
      <c r="EW487" s="509"/>
      <c r="EX487" s="509"/>
      <c r="EY487" s="509"/>
      <c r="EZ487" s="509"/>
      <c r="FA487" s="509"/>
      <c r="FB487" s="509"/>
      <c r="FC487" s="509"/>
      <c r="FD487" s="509"/>
      <c r="FE487" s="509"/>
      <c r="FF487" s="509"/>
      <c r="FG487" s="509"/>
      <c r="FH487" s="509"/>
      <c r="FI487" s="509"/>
      <c r="FJ487" s="509"/>
      <c r="FK487" s="509"/>
      <c r="FL487" s="509"/>
      <c r="FM487" s="509"/>
      <c r="FN487" s="509"/>
      <c r="FO487" s="509"/>
      <c r="FP487" s="509"/>
      <c r="FQ487" s="509"/>
      <c r="FR487" s="509"/>
      <c r="FS487" s="509"/>
      <c r="FT487" s="509"/>
      <c r="FU487" s="509"/>
      <c r="FV487" s="509"/>
      <c r="FW487" s="509"/>
      <c r="FX487" s="509"/>
      <c r="FY487" s="509"/>
      <c r="FZ487" s="509"/>
      <c r="GA487" s="509"/>
      <c r="GB487" s="509"/>
      <c r="GC487" s="509"/>
      <c r="GD487" s="509"/>
      <c r="GE487" s="509"/>
      <c r="GF487" s="509"/>
      <c r="GG487" s="509"/>
      <c r="GH487" s="509"/>
      <c r="GI487" s="509"/>
      <c r="GJ487" s="509"/>
      <c r="GK487" s="509"/>
      <c r="GL487" s="509"/>
      <c r="GM487" s="509"/>
      <c r="GN487" s="509"/>
      <c r="GO487" s="509"/>
      <c r="GP487" s="509"/>
      <c r="GQ487" s="509"/>
      <c r="GR487" s="509"/>
      <c r="GS487" s="509"/>
      <c r="GT487" s="509"/>
      <c r="GU487" s="509"/>
      <c r="GV487" s="509"/>
      <c r="GW487" s="509"/>
      <c r="GX487" s="509"/>
      <c r="GY487" s="509"/>
      <c r="GZ487" s="509"/>
      <c r="HA487" s="509"/>
      <c r="HB487" s="509"/>
      <c r="HC487" s="509"/>
      <c r="HD487" s="509"/>
      <c r="HE487" s="509"/>
      <c r="HF487" s="509"/>
      <c r="HG487" s="509"/>
      <c r="HH487" s="509"/>
      <c r="HI487" s="509"/>
      <c r="HJ487" s="509"/>
      <c r="HK487" s="509"/>
      <c r="HL487" s="509"/>
      <c r="HM487" s="509"/>
      <c r="HN487" s="509"/>
      <c r="HO487" s="509"/>
      <c r="HP487" s="509"/>
      <c r="HQ487" s="509"/>
      <c r="HR487" s="509"/>
      <c r="HS487" s="509"/>
      <c r="HT487" s="509"/>
      <c r="HU487" s="509"/>
      <c r="HV487" s="509"/>
      <c r="HW487" s="509"/>
      <c r="HX487" s="509"/>
      <c r="HY487" s="509"/>
      <c r="HZ487" s="509"/>
    </row>
    <row r="488" spans="1:234" ht="13.5" hidden="1" customHeight="1" x14ac:dyDescent="0.25">
      <c r="A488" s="1270" t="s">
        <v>8327</v>
      </c>
      <c r="B488" s="1271" t="s">
        <v>8328</v>
      </c>
      <c r="C488" s="1272" t="s">
        <v>8436</v>
      </c>
      <c r="D488" s="1273" t="s">
        <v>189</v>
      </c>
      <c r="E488" s="1272" t="s">
        <v>3228</v>
      </c>
      <c r="F488" s="1274">
        <v>42732</v>
      </c>
      <c r="G488" s="1275">
        <v>42675</v>
      </c>
      <c r="H488" s="1274">
        <v>42723</v>
      </c>
      <c r="I488" s="1276">
        <v>43861</v>
      </c>
      <c r="J488" s="1277">
        <v>10</v>
      </c>
      <c r="K488" s="1278" t="s">
        <v>3229</v>
      </c>
      <c r="L488" s="1279">
        <v>0.06</v>
      </c>
      <c r="M488" s="1280">
        <v>-1</v>
      </c>
      <c r="N488" s="1281" t="s">
        <v>3229</v>
      </c>
      <c r="O488" s="1282">
        <v>0.36</v>
      </c>
      <c r="P488" s="1283">
        <v>0.4</v>
      </c>
      <c r="Q488" s="1283">
        <v>1</v>
      </c>
      <c r="R488" s="1284" t="s">
        <v>3229</v>
      </c>
      <c r="S488" s="1285">
        <v>6</v>
      </c>
      <c r="T488" s="1286" t="s">
        <v>3229</v>
      </c>
      <c r="U488" s="1286" t="s">
        <v>3229</v>
      </c>
      <c r="V488" s="1286" t="s">
        <v>3229</v>
      </c>
      <c r="W488" s="1286" t="s">
        <v>3229</v>
      </c>
      <c r="X488" s="1286" t="s">
        <v>3229</v>
      </c>
      <c r="Y488" s="1286" t="s">
        <v>3229</v>
      </c>
      <c r="Z488" s="1286" t="s">
        <v>3229</v>
      </c>
      <c r="AA488" s="1286" t="s">
        <v>3229</v>
      </c>
      <c r="AB488" s="1286" t="s">
        <v>3229</v>
      </c>
      <c r="AC488" s="1286" t="s">
        <v>3229</v>
      </c>
      <c r="AD488" s="1286" t="s">
        <v>3229</v>
      </c>
      <c r="AE488" s="1286" t="s">
        <v>3229</v>
      </c>
      <c r="AF488" s="3764" t="s">
        <v>781</v>
      </c>
      <c r="AG488" s="3765"/>
      <c r="AH488" s="1287" t="s">
        <v>8846</v>
      </c>
      <c r="AI488" s="1288"/>
      <c r="AJ488" s="1288"/>
      <c r="AK488" s="1288"/>
      <c r="AL488" s="1288"/>
      <c r="AM488" s="1288"/>
      <c r="AN488" s="1289">
        <f>+'klikací hodnoty'!F15775</f>
        <v>0.18</v>
      </c>
      <c r="AO488" s="1290">
        <v>10.43</v>
      </c>
      <c r="AP488" s="1371">
        <f>+'klikací hodnoty'!H15774</f>
        <v>3.7646652225165056E-3</v>
      </c>
      <c r="AQ488" s="1281">
        <f>+'klikací hodnoty'!H15774</f>
        <v>3.7646652225165056E-3</v>
      </c>
      <c r="AR488" s="1291">
        <v>0.18</v>
      </c>
      <c r="AS488" s="1292">
        <f>POWER(1+AR488,1/((I488-F488)/365))-1</f>
        <v>5.4967522743135211E-2</v>
      </c>
      <c r="AT488" s="1292"/>
      <c r="AU488" s="1293"/>
      <c r="AV488" s="1294">
        <f t="shared" si="129"/>
        <v>-1</v>
      </c>
      <c r="AW488" s="1295">
        <f t="shared" si="130"/>
        <v>-1</v>
      </c>
      <c r="AX488" s="1296"/>
      <c r="AY488" s="1297"/>
      <c r="AZ488" s="1298">
        <f t="shared" si="131"/>
        <v>0</v>
      </c>
      <c r="BA488" s="1959"/>
      <c r="BB488" s="1285"/>
      <c r="BC488" s="1300"/>
      <c r="BF488" s="3746"/>
      <c r="BG488" s="3747"/>
      <c r="BH488" s="3763"/>
      <c r="BI488" s="3763"/>
      <c r="BJ488" s="1639"/>
      <c r="BK488" s="1639"/>
      <c r="BL488" s="1639"/>
      <c r="BM488" s="1639"/>
      <c r="BN488" s="1639"/>
      <c r="BO488" s="1639"/>
      <c r="BP488" s="1639"/>
      <c r="BQ488" s="1639"/>
      <c r="BR488" s="1639"/>
      <c r="BS488" s="509"/>
      <c r="BT488" s="509"/>
      <c r="BU488" s="509"/>
      <c r="BV488" s="509"/>
      <c r="BW488" s="509"/>
      <c r="BX488" s="509"/>
      <c r="BY488" s="509"/>
      <c r="BZ488" s="509"/>
      <c r="CA488" s="509"/>
      <c r="CB488" s="509"/>
      <c r="CC488" s="509"/>
      <c r="CD488" s="509"/>
      <c r="CE488" s="509"/>
      <c r="CF488" s="509"/>
      <c r="CG488" s="509"/>
      <c r="CH488" s="509"/>
      <c r="CI488" s="509"/>
      <c r="CJ488" s="509"/>
      <c r="CK488" s="509"/>
      <c r="CL488" s="509"/>
      <c r="CM488" s="509"/>
      <c r="CN488" s="509"/>
      <c r="CO488" s="509"/>
      <c r="CP488" s="509"/>
      <c r="CQ488" s="509"/>
      <c r="CR488" s="509"/>
      <c r="CS488" s="509"/>
      <c r="CT488" s="509"/>
      <c r="CU488" s="509"/>
      <c r="CV488" s="509"/>
      <c r="CW488" s="509"/>
      <c r="CX488" s="509"/>
      <c r="CY488" s="509"/>
      <c r="CZ488" s="509"/>
      <c r="DA488" s="509"/>
      <c r="DB488" s="509"/>
      <c r="DC488" s="509"/>
      <c r="DD488" s="509"/>
      <c r="DE488" s="509"/>
      <c r="DF488" s="509"/>
      <c r="DG488" s="509"/>
      <c r="DH488" s="509"/>
      <c r="DI488" s="509"/>
      <c r="DJ488" s="509"/>
      <c r="DK488" s="509"/>
      <c r="DL488" s="509"/>
      <c r="DM488" s="509"/>
      <c r="DN488" s="509"/>
      <c r="DO488" s="509"/>
      <c r="DP488" s="509"/>
      <c r="DQ488" s="509"/>
      <c r="DR488" s="509"/>
      <c r="DS488" s="509"/>
      <c r="DT488" s="509"/>
      <c r="DU488" s="509"/>
      <c r="DV488" s="509"/>
      <c r="DW488" s="509"/>
      <c r="DX488" s="509"/>
      <c r="DY488" s="509"/>
      <c r="DZ488" s="509"/>
      <c r="EA488" s="509"/>
      <c r="EB488" s="509"/>
      <c r="EC488" s="509"/>
      <c r="ED488" s="509"/>
      <c r="EE488" s="509"/>
      <c r="EF488" s="509"/>
      <c r="EG488" s="509"/>
      <c r="EH488" s="509"/>
      <c r="EI488" s="509"/>
      <c r="EJ488" s="509"/>
      <c r="EK488" s="509"/>
      <c r="EL488" s="509"/>
      <c r="EM488" s="509"/>
      <c r="EN488" s="509"/>
      <c r="EO488" s="509"/>
      <c r="EP488" s="509"/>
      <c r="EQ488" s="509"/>
      <c r="ER488" s="509"/>
      <c r="ES488" s="509"/>
      <c r="ET488" s="509"/>
      <c r="EU488" s="509"/>
      <c r="EV488" s="509"/>
      <c r="EW488" s="509"/>
      <c r="EX488" s="509"/>
      <c r="EY488" s="509"/>
      <c r="EZ488" s="509"/>
      <c r="FA488" s="509"/>
      <c r="FB488" s="509"/>
      <c r="FC488" s="509"/>
      <c r="FD488" s="509"/>
      <c r="FE488" s="509"/>
      <c r="FF488" s="509"/>
      <c r="FG488" s="509"/>
      <c r="FH488" s="509"/>
      <c r="FI488" s="509"/>
      <c r="FJ488" s="509"/>
      <c r="FK488" s="509"/>
      <c r="FL488" s="509"/>
      <c r="FM488" s="509"/>
      <c r="FN488" s="509"/>
      <c r="FO488" s="509"/>
      <c r="FP488" s="509"/>
      <c r="FQ488" s="509"/>
      <c r="FR488" s="509"/>
      <c r="FS488" s="509"/>
      <c r="FT488" s="509"/>
      <c r="FU488" s="509"/>
      <c r="FV488" s="509"/>
      <c r="FW488" s="509"/>
      <c r="FX488" s="509"/>
      <c r="FY488" s="509"/>
      <c r="FZ488" s="509"/>
      <c r="GA488" s="509"/>
      <c r="GB488" s="509"/>
      <c r="GC488" s="509"/>
      <c r="GD488" s="509"/>
      <c r="GE488" s="509"/>
      <c r="GF488" s="509"/>
      <c r="GG488" s="509"/>
      <c r="GH488" s="509"/>
      <c r="GI488" s="509"/>
      <c r="GJ488" s="509"/>
      <c r="GK488" s="509"/>
      <c r="GL488" s="509"/>
      <c r="GM488" s="509"/>
      <c r="GN488" s="509"/>
      <c r="GO488" s="509"/>
      <c r="GP488" s="509"/>
      <c r="GQ488" s="509"/>
      <c r="GR488" s="509"/>
      <c r="GS488" s="509"/>
      <c r="GT488" s="509"/>
      <c r="GU488" s="509"/>
      <c r="GV488" s="509"/>
      <c r="GW488" s="509"/>
      <c r="GX488" s="509"/>
      <c r="GY488" s="509"/>
      <c r="GZ488" s="509"/>
      <c r="HA488" s="509"/>
      <c r="HB488" s="509"/>
      <c r="HC488" s="509"/>
      <c r="HD488" s="509"/>
      <c r="HE488" s="509"/>
      <c r="HF488" s="509"/>
      <c r="HG488" s="509"/>
      <c r="HH488" s="509"/>
      <c r="HI488" s="509"/>
      <c r="HJ488" s="509"/>
      <c r="HK488" s="509"/>
      <c r="HL488" s="509"/>
      <c r="HM488" s="509"/>
      <c r="HN488" s="509"/>
      <c r="HO488" s="509"/>
      <c r="HP488" s="509"/>
      <c r="HQ488" s="509"/>
      <c r="HR488" s="509"/>
      <c r="HS488" s="509"/>
      <c r="HT488" s="509"/>
      <c r="HU488" s="509"/>
      <c r="HV488" s="509"/>
      <c r="HW488" s="509"/>
      <c r="HX488" s="509"/>
      <c r="HY488" s="509"/>
      <c r="HZ488" s="509"/>
    </row>
    <row r="489" spans="1:234" ht="13.5" hidden="1" customHeight="1" x14ac:dyDescent="0.25">
      <c r="A489" s="1270" t="s">
        <v>8331</v>
      </c>
      <c r="B489" s="1271" t="s">
        <v>8332</v>
      </c>
      <c r="C489" s="1272" t="s">
        <v>8437</v>
      </c>
      <c r="D489" s="1273" t="s">
        <v>4384</v>
      </c>
      <c r="E489" s="1272" t="s">
        <v>3228</v>
      </c>
      <c r="F489" s="1274">
        <v>42733</v>
      </c>
      <c r="G489" s="1275">
        <v>42688</v>
      </c>
      <c r="H489" s="1274">
        <v>42733</v>
      </c>
      <c r="I489" s="1276">
        <v>43098</v>
      </c>
      <c r="J489" s="1277">
        <v>10</v>
      </c>
      <c r="K489" s="1278">
        <v>0</v>
      </c>
      <c r="L489" s="1279">
        <v>7.0000000000000007E-2</v>
      </c>
      <c r="M489" s="1280">
        <v>-1</v>
      </c>
      <c r="N489" s="1281" t="s">
        <v>3229</v>
      </c>
      <c r="O489" s="1282">
        <v>0.19500000000000001</v>
      </c>
      <c r="P489" s="1283">
        <v>0.4</v>
      </c>
      <c r="Q489" s="1283">
        <v>2.5000000000000001E-2</v>
      </c>
      <c r="R489" s="1284" t="s">
        <v>3229</v>
      </c>
      <c r="S489" s="1285">
        <v>6</v>
      </c>
      <c r="T489" s="1286" t="s">
        <v>3229</v>
      </c>
      <c r="U489" s="1286" t="s">
        <v>3229</v>
      </c>
      <c r="V489" s="1286" t="s">
        <v>3229</v>
      </c>
      <c r="W489" s="1286" t="s">
        <v>3229</v>
      </c>
      <c r="X489" s="1286" t="s">
        <v>3229</v>
      </c>
      <c r="Y489" s="1286" t="s">
        <v>3229</v>
      </c>
      <c r="Z489" s="1286" t="s">
        <v>3229</v>
      </c>
      <c r="AA489" s="1286" t="s">
        <v>3229</v>
      </c>
      <c r="AB489" s="1286" t="s">
        <v>3229</v>
      </c>
      <c r="AC489" s="1286" t="s">
        <v>3229</v>
      </c>
      <c r="AD489" s="1286" t="s">
        <v>3229</v>
      </c>
      <c r="AE489" s="1286" t="s">
        <v>3229</v>
      </c>
      <c r="AF489" s="3764" t="s">
        <v>781</v>
      </c>
      <c r="AG489" s="3765"/>
      <c r="AH489" s="1287" t="s">
        <v>8333</v>
      </c>
      <c r="AI489" s="1288"/>
      <c r="AJ489" s="1288"/>
      <c r="AK489" s="1288"/>
      <c r="AL489" s="1288"/>
      <c r="AM489" s="1288"/>
      <c r="AN489" s="1289">
        <f>+'klikací hodnoty'!F15785</f>
        <v>7.0000000000000007E-2</v>
      </c>
      <c r="AO489" s="1290">
        <v>10.7</v>
      </c>
      <c r="AP489" s="1371">
        <f>+'klikací hodnoty'!I15778</f>
        <v>9.8649377544706374E-2</v>
      </c>
      <c r="AQ489" s="1281">
        <f>+'klikací hodnoty'!I15778</f>
        <v>9.8649377544706374E-2</v>
      </c>
      <c r="AR489" s="1291">
        <f t="shared" si="128"/>
        <v>0.19500000000000001</v>
      </c>
      <c r="AS489" s="1292">
        <f>POWER(1+AR489,1/((I489-F489)/365))-1</f>
        <v>0.19500000000000006</v>
      </c>
      <c r="AT489" s="1292"/>
      <c r="AU489" s="1293"/>
      <c r="AV489" s="1294">
        <f t="shared" si="129"/>
        <v>-1</v>
      </c>
      <c r="AW489" s="1295">
        <f t="shared" si="130"/>
        <v>-1</v>
      </c>
      <c r="AX489" s="1296"/>
      <c r="AY489" s="1297"/>
      <c r="AZ489" s="1298">
        <f t="shared" si="131"/>
        <v>0</v>
      </c>
      <c r="BA489" s="1959"/>
      <c r="BB489" s="1285"/>
      <c r="BC489" s="1300"/>
      <c r="BF489" s="3746"/>
      <c r="BG489" s="3747"/>
      <c r="BH489" s="3763"/>
      <c r="BI489" s="3763"/>
      <c r="BJ489" s="1639"/>
      <c r="BK489" s="1639"/>
      <c r="BL489" s="1639"/>
      <c r="BM489" s="1639"/>
      <c r="BN489" s="1639"/>
      <c r="BO489" s="1639"/>
      <c r="BP489" s="1639"/>
      <c r="BQ489" s="1639"/>
      <c r="BR489" s="1639"/>
      <c r="BS489" s="509"/>
      <c r="BT489" s="509"/>
      <c r="BU489" s="509"/>
      <c r="BV489" s="509"/>
      <c r="BW489" s="509"/>
      <c r="BX489" s="509"/>
      <c r="BY489" s="509"/>
      <c r="BZ489" s="509"/>
      <c r="CA489" s="509"/>
      <c r="CB489" s="509"/>
      <c r="CC489" s="509"/>
      <c r="CD489" s="509"/>
      <c r="CE489" s="509"/>
      <c r="CF489" s="509"/>
      <c r="CG489" s="509"/>
      <c r="CH489" s="509"/>
      <c r="CI489" s="509"/>
      <c r="CJ489" s="509"/>
      <c r="CK489" s="509"/>
      <c r="CL489" s="509"/>
      <c r="CM489" s="509"/>
      <c r="CN489" s="509"/>
      <c r="CO489" s="509"/>
      <c r="CP489" s="509"/>
      <c r="CQ489" s="509"/>
      <c r="CR489" s="509"/>
      <c r="CS489" s="509"/>
      <c r="CT489" s="509"/>
      <c r="CU489" s="509"/>
      <c r="CV489" s="509"/>
      <c r="CW489" s="509"/>
      <c r="CX489" s="509"/>
      <c r="CY489" s="509"/>
      <c r="CZ489" s="509"/>
      <c r="DA489" s="509"/>
      <c r="DB489" s="509"/>
      <c r="DC489" s="509"/>
      <c r="DD489" s="509"/>
      <c r="DE489" s="509"/>
      <c r="DF489" s="509"/>
      <c r="DG489" s="509"/>
      <c r="DH489" s="509"/>
      <c r="DI489" s="509"/>
      <c r="DJ489" s="509"/>
      <c r="DK489" s="509"/>
      <c r="DL489" s="509"/>
      <c r="DM489" s="509"/>
      <c r="DN489" s="509"/>
      <c r="DO489" s="509"/>
      <c r="DP489" s="509"/>
      <c r="DQ489" s="509"/>
      <c r="DR489" s="509"/>
      <c r="DS489" s="509"/>
      <c r="DT489" s="509"/>
      <c r="DU489" s="509"/>
      <c r="DV489" s="509"/>
      <c r="DW489" s="509"/>
      <c r="DX489" s="509"/>
      <c r="DY489" s="509"/>
      <c r="DZ489" s="509"/>
      <c r="EA489" s="509"/>
      <c r="EB489" s="509"/>
      <c r="EC489" s="509"/>
      <c r="ED489" s="509"/>
      <c r="EE489" s="509"/>
      <c r="EF489" s="509"/>
      <c r="EG489" s="509"/>
      <c r="EH489" s="509"/>
      <c r="EI489" s="509"/>
      <c r="EJ489" s="509"/>
      <c r="EK489" s="509"/>
      <c r="EL489" s="509"/>
      <c r="EM489" s="509"/>
      <c r="EN489" s="509"/>
      <c r="EO489" s="509"/>
      <c r="EP489" s="509"/>
      <c r="EQ489" s="509"/>
      <c r="ER489" s="509"/>
      <c r="ES489" s="509"/>
      <c r="ET489" s="509"/>
      <c r="EU489" s="509"/>
      <c r="EV489" s="509"/>
      <c r="EW489" s="509"/>
      <c r="EX489" s="509"/>
      <c r="EY489" s="509"/>
      <c r="EZ489" s="509"/>
      <c r="FA489" s="509"/>
      <c r="FB489" s="509"/>
      <c r="FC489" s="509"/>
      <c r="FD489" s="509"/>
      <c r="FE489" s="509"/>
      <c r="FF489" s="509"/>
      <c r="FG489" s="509"/>
      <c r="FH489" s="509"/>
      <c r="FI489" s="509"/>
      <c r="FJ489" s="509"/>
      <c r="FK489" s="509"/>
      <c r="FL489" s="509"/>
      <c r="FM489" s="509"/>
      <c r="FN489" s="509"/>
      <c r="FO489" s="509"/>
      <c r="FP489" s="509"/>
      <c r="FQ489" s="509"/>
      <c r="FR489" s="509"/>
      <c r="FS489" s="509"/>
      <c r="FT489" s="509"/>
      <c r="FU489" s="509"/>
      <c r="FV489" s="509"/>
      <c r="FW489" s="509"/>
      <c r="FX489" s="509"/>
      <c r="FY489" s="509"/>
      <c r="FZ489" s="509"/>
      <c r="GA489" s="509"/>
      <c r="GB489" s="509"/>
      <c r="GC489" s="509"/>
      <c r="GD489" s="509"/>
      <c r="GE489" s="509"/>
      <c r="GF489" s="509"/>
      <c r="GG489" s="509"/>
      <c r="GH489" s="509"/>
      <c r="GI489" s="509"/>
      <c r="GJ489" s="509"/>
      <c r="GK489" s="509"/>
      <c r="GL489" s="509"/>
      <c r="GM489" s="509"/>
      <c r="GN489" s="509"/>
      <c r="GO489" s="509"/>
      <c r="GP489" s="509"/>
      <c r="GQ489" s="509"/>
      <c r="GR489" s="509"/>
      <c r="GS489" s="509"/>
      <c r="GT489" s="509"/>
      <c r="GU489" s="509"/>
      <c r="GV489" s="509"/>
      <c r="GW489" s="509"/>
      <c r="GX489" s="509"/>
      <c r="GY489" s="509"/>
      <c r="GZ489" s="509"/>
      <c r="HA489" s="509"/>
      <c r="HB489" s="509"/>
      <c r="HC489" s="509"/>
      <c r="HD489" s="509"/>
      <c r="HE489" s="509"/>
      <c r="HF489" s="509"/>
      <c r="HG489" s="509"/>
      <c r="HH489" s="509"/>
      <c r="HI489" s="509"/>
      <c r="HJ489" s="509"/>
      <c r="HK489" s="509"/>
      <c r="HL489" s="509"/>
      <c r="HM489" s="509"/>
      <c r="HN489" s="509"/>
      <c r="HO489" s="509"/>
      <c r="HP489" s="509"/>
      <c r="HQ489" s="509"/>
      <c r="HR489" s="509"/>
      <c r="HS489" s="509"/>
      <c r="HT489" s="509"/>
      <c r="HU489" s="509"/>
      <c r="HV489" s="509"/>
      <c r="HW489" s="509"/>
      <c r="HX489" s="509"/>
      <c r="HY489" s="509"/>
      <c r="HZ489" s="509"/>
    </row>
    <row r="490" spans="1:234" ht="13.5" hidden="1" customHeight="1" x14ac:dyDescent="0.25">
      <c r="A490" s="1270" t="s">
        <v>8444</v>
      </c>
      <c r="B490" s="1271" t="s">
        <v>8448</v>
      </c>
      <c r="C490" s="1272" t="s">
        <v>8452</v>
      </c>
      <c r="D490" s="1273" t="s">
        <v>189</v>
      </c>
      <c r="E490" s="1272" t="s">
        <v>3228</v>
      </c>
      <c r="F490" s="1274">
        <v>42802</v>
      </c>
      <c r="G490" s="1275">
        <v>42723</v>
      </c>
      <c r="H490" s="1274">
        <v>42794</v>
      </c>
      <c r="I490" s="1276">
        <v>44957</v>
      </c>
      <c r="J490" s="1277">
        <v>10</v>
      </c>
      <c r="K490" s="1278" t="s">
        <v>3229</v>
      </c>
      <c r="L490" s="1279" t="s">
        <v>3229</v>
      </c>
      <c r="M490" s="1280">
        <v>-1</v>
      </c>
      <c r="N490" s="1281">
        <v>0.8</v>
      </c>
      <c r="O490" s="1282" t="s">
        <v>3229</v>
      </c>
      <c r="P490" s="1283" t="s">
        <v>3229</v>
      </c>
      <c r="Q490" s="1283" t="s">
        <v>3229</v>
      </c>
      <c r="R490" s="1284" t="s">
        <v>3229</v>
      </c>
      <c r="S490" s="1285">
        <v>1</v>
      </c>
      <c r="T490" s="1286" t="s">
        <v>3229</v>
      </c>
      <c r="U490" s="1286" t="s">
        <v>3229</v>
      </c>
      <c r="V490" s="1286" t="s">
        <v>3229</v>
      </c>
      <c r="W490" s="1286" t="s">
        <v>3229</v>
      </c>
      <c r="X490" s="1286" t="s">
        <v>3229</v>
      </c>
      <c r="Y490" s="1286" t="s">
        <v>3229</v>
      </c>
      <c r="Z490" s="1286" t="s">
        <v>3229</v>
      </c>
      <c r="AA490" s="1286" t="s">
        <v>3229</v>
      </c>
      <c r="AB490" s="1286" t="s">
        <v>3229</v>
      </c>
      <c r="AC490" s="1286" t="s">
        <v>3229</v>
      </c>
      <c r="AD490" s="1286" t="s">
        <v>3229</v>
      </c>
      <c r="AE490" s="1286" t="s">
        <v>3229</v>
      </c>
      <c r="AF490" s="3764" t="s">
        <v>781</v>
      </c>
      <c r="AG490" s="3765">
        <f>(I490-indexy!$B$1)/365</f>
        <v>-1.1561643835616437</v>
      </c>
      <c r="AH490" s="1287" t="s">
        <v>3229</v>
      </c>
      <c r="AI490" s="1288" t="s">
        <v>3229</v>
      </c>
      <c r="AJ490" s="1288" t="s">
        <v>3229</v>
      </c>
      <c r="AK490" s="1288" t="s">
        <v>3229</v>
      </c>
      <c r="AL490" s="1288" t="s">
        <v>3229</v>
      </c>
      <c r="AM490" s="1288">
        <v>1</v>
      </c>
      <c r="AN490" s="1289">
        <f>+'klikací hodnoty'!F15841</f>
        <v>1.9638888888888803E-2</v>
      </c>
      <c r="AO490" s="1290">
        <v>10.199999999999999</v>
      </c>
      <c r="AP490" s="1371">
        <f>+'klikací hodnoty'!F15840</f>
        <v>2.4548611111111E-2</v>
      </c>
      <c r="AQ490" s="1281">
        <f>+'klikací hodnoty'!F15821</f>
        <v>4.7658014593073464E-2</v>
      </c>
      <c r="AR490" s="1291" t="str">
        <f>O490</f>
        <v>-</v>
      </c>
      <c r="AS490" s="1292" t="s">
        <v>3660</v>
      </c>
      <c r="AT490" s="1292"/>
      <c r="AU490" s="1293"/>
      <c r="AV490" s="1294">
        <f t="shared" ref="AV490:AV498" si="132">M490</f>
        <v>-1</v>
      </c>
      <c r="AW490" s="1295">
        <f t="shared" ref="AW490:AW498" si="133">POWER(1+AV490,1/((I490-F490)/365))-1</f>
        <v>-1</v>
      </c>
      <c r="AX490" s="1296"/>
      <c r="AY490" s="1297"/>
      <c r="AZ490" s="1298">
        <f t="shared" si="131"/>
        <v>0</v>
      </c>
      <c r="BA490" s="1959"/>
      <c r="BB490" s="1285"/>
      <c r="BC490" s="1300"/>
      <c r="BE490" s="3744">
        <f>VLOOKUP(C490,[5]NAV_ALL_20230306111935!$A:$E,5,0)</f>
        <v>10.199999999999999</v>
      </c>
      <c r="BF490" s="3746">
        <f>IFERROR(VLOOKUP(C490,[5]NAV_ALL_20230306111935!$A$2:$E$1074,5,0),+AO490)</f>
        <v>10.199999999999999</v>
      </c>
      <c r="BG490" s="3747">
        <f t="shared" ref="BG490:BG521" si="134">+BF490/AO490-1</f>
        <v>0</v>
      </c>
      <c r="BH490" s="3763"/>
      <c r="BI490" s="3763"/>
      <c r="BJ490" s="1639"/>
      <c r="BK490" s="1639"/>
      <c r="BL490" s="1639"/>
      <c r="BM490" s="1639"/>
      <c r="BN490" s="1639"/>
      <c r="BO490" s="1639"/>
      <c r="BP490" s="1639"/>
      <c r="BQ490" s="1639"/>
      <c r="BR490" s="1639"/>
      <c r="BS490" s="509"/>
      <c r="BT490" s="509"/>
      <c r="BU490" s="509"/>
      <c r="BV490" s="509"/>
      <c r="BW490" s="509"/>
      <c r="BX490" s="509"/>
      <c r="BY490" s="509"/>
      <c r="BZ490" s="509"/>
      <c r="CA490" s="509"/>
      <c r="CB490" s="509"/>
      <c r="CC490" s="509"/>
      <c r="CD490" s="509"/>
      <c r="CE490" s="509"/>
      <c r="CF490" s="509"/>
      <c r="CG490" s="509"/>
      <c r="CH490" s="509"/>
      <c r="CI490" s="509"/>
      <c r="CJ490" s="509"/>
      <c r="CK490" s="509"/>
      <c r="CL490" s="509"/>
      <c r="CM490" s="509"/>
      <c r="CN490" s="509"/>
      <c r="CO490" s="509"/>
      <c r="CP490" s="509"/>
      <c r="CQ490" s="509"/>
      <c r="CR490" s="509"/>
      <c r="CS490" s="509"/>
      <c r="CT490" s="509"/>
      <c r="CU490" s="509"/>
      <c r="CV490" s="509"/>
      <c r="CW490" s="509"/>
      <c r="CX490" s="509"/>
      <c r="CY490" s="509"/>
      <c r="CZ490" s="509"/>
      <c r="DA490" s="509"/>
      <c r="DB490" s="509"/>
      <c r="DC490" s="509"/>
      <c r="DD490" s="509"/>
      <c r="DE490" s="509"/>
      <c r="DF490" s="509"/>
      <c r="DG490" s="509"/>
      <c r="DH490" s="509"/>
      <c r="DI490" s="509"/>
      <c r="DJ490" s="509"/>
      <c r="DK490" s="509"/>
      <c r="DL490" s="509"/>
      <c r="DM490" s="509"/>
      <c r="DN490" s="509"/>
      <c r="DO490" s="509"/>
      <c r="DP490" s="509"/>
      <c r="DQ490" s="509"/>
      <c r="DR490" s="509"/>
      <c r="DS490" s="509"/>
      <c r="DT490" s="509"/>
      <c r="DU490" s="509"/>
      <c r="DV490" s="509"/>
      <c r="DW490" s="509"/>
      <c r="DX490" s="509"/>
      <c r="DY490" s="509"/>
      <c r="DZ490" s="509"/>
      <c r="EA490" s="509"/>
      <c r="EB490" s="509"/>
      <c r="EC490" s="509"/>
      <c r="ED490" s="509"/>
      <c r="EE490" s="509"/>
      <c r="EF490" s="509"/>
      <c r="EG490" s="509"/>
      <c r="EH490" s="509"/>
      <c r="EI490" s="509"/>
      <c r="EJ490" s="509"/>
      <c r="EK490" s="509"/>
      <c r="EL490" s="509"/>
      <c r="EM490" s="509"/>
      <c r="EN490" s="509"/>
      <c r="EO490" s="509"/>
      <c r="EP490" s="509"/>
      <c r="EQ490" s="509"/>
      <c r="ER490" s="509"/>
      <c r="ES490" s="509"/>
      <c r="ET490" s="509"/>
      <c r="EU490" s="509"/>
      <c r="EV490" s="509"/>
      <c r="EW490" s="509"/>
      <c r="EX490" s="509"/>
      <c r="EY490" s="509"/>
      <c r="EZ490" s="509"/>
      <c r="FA490" s="509"/>
      <c r="FB490" s="509"/>
      <c r="FC490" s="509"/>
      <c r="FD490" s="509"/>
      <c r="FE490" s="509"/>
      <c r="FF490" s="509"/>
      <c r="FG490" s="509"/>
      <c r="FH490" s="509"/>
      <c r="FI490" s="509"/>
      <c r="FJ490" s="509"/>
      <c r="FK490" s="509"/>
      <c r="FL490" s="509"/>
      <c r="FM490" s="509"/>
      <c r="FN490" s="509"/>
      <c r="FO490" s="509"/>
      <c r="FP490" s="509"/>
      <c r="FQ490" s="509"/>
      <c r="FR490" s="509"/>
      <c r="FS490" s="509"/>
      <c r="FT490" s="509"/>
      <c r="FU490" s="509"/>
      <c r="FV490" s="509"/>
      <c r="FW490" s="509"/>
      <c r="FX490" s="509"/>
      <c r="FY490" s="509"/>
      <c r="FZ490" s="509"/>
      <c r="GA490" s="509"/>
      <c r="GB490" s="509"/>
      <c r="GC490" s="509"/>
      <c r="GD490" s="509"/>
      <c r="GE490" s="509"/>
      <c r="GF490" s="509"/>
      <c r="GG490" s="509"/>
      <c r="GH490" s="509"/>
      <c r="GI490" s="509"/>
      <c r="GJ490" s="509"/>
      <c r="GK490" s="509"/>
      <c r="GL490" s="509"/>
      <c r="GM490" s="509"/>
      <c r="GN490" s="509"/>
      <c r="GO490" s="509"/>
      <c r="GP490" s="509"/>
      <c r="GQ490" s="509"/>
      <c r="GR490" s="509"/>
      <c r="GS490" s="509"/>
      <c r="GT490" s="509"/>
      <c r="GU490" s="509"/>
      <c r="GV490" s="509"/>
      <c r="GW490" s="509"/>
      <c r="GX490" s="509"/>
      <c r="GY490" s="509"/>
      <c r="GZ490" s="509"/>
      <c r="HA490" s="509"/>
      <c r="HB490" s="509"/>
      <c r="HC490" s="509"/>
      <c r="HD490" s="509"/>
      <c r="HE490" s="509"/>
      <c r="HF490" s="509"/>
      <c r="HG490" s="509"/>
      <c r="HH490" s="509"/>
      <c r="HI490" s="509"/>
      <c r="HJ490" s="509"/>
      <c r="HK490" s="509"/>
      <c r="HL490" s="509"/>
      <c r="HM490" s="509"/>
      <c r="HN490" s="509"/>
      <c r="HO490" s="509"/>
      <c r="HP490" s="509"/>
      <c r="HQ490" s="509"/>
      <c r="HR490" s="509"/>
      <c r="HS490" s="509"/>
      <c r="HT490" s="509"/>
      <c r="HU490" s="509"/>
      <c r="HV490" s="509"/>
      <c r="HW490" s="509"/>
      <c r="HX490" s="509"/>
      <c r="HY490" s="509"/>
      <c r="HZ490" s="509"/>
    </row>
    <row r="491" spans="1:234" ht="13.2" hidden="1" customHeight="1" x14ac:dyDescent="0.25">
      <c r="A491" s="1270" t="s">
        <v>8443</v>
      </c>
      <c r="B491" s="1271" t="s">
        <v>8449</v>
      </c>
      <c r="C491" s="1272" t="s">
        <v>8453</v>
      </c>
      <c r="D491" s="1273" t="s">
        <v>189</v>
      </c>
      <c r="E491" s="1272" t="s">
        <v>3228</v>
      </c>
      <c r="F491" s="1274">
        <v>42802</v>
      </c>
      <c r="G491" s="1275">
        <v>42737</v>
      </c>
      <c r="H491" s="1274">
        <v>42794</v>
      </c>
      <c r="I491" s="1276">
        <v>45016</v>
      </c>
      <c r="J491" s="1277">
        <v>10</v>
      </c>
      <c r="K491" s="1278" t="s">
        <v>3229</v>
      </c>
      <c r="L491" s="1279" t="s">
        <v>3229</v>
      </c>
      <c r="M491" s="1280">
        <v>-1</v>
      </c>
      <c r="N491" s="1281">
        <v>1.4</v>
      </c>
      <c r="O491" s="1282">
        <v>0.6</v>
      </c>
      <c r="P491" s="1283">
        <v>0.3</v>
      </c>
      <c r="Q491" s="1283" t="s">
        <v>3229</v>
      </c>
      <c r="R491" s="1284" t="s">
        <v>3229</v>
      </c>
      <c r="S491" s="1285">
        <v>1</v>
      </c>
      <c r="T491" s="1286" t="s">
        <v>3229</v>
      </c>
      <c r="U491" s="1286" t="s">
        <v>3229</v>
      </c>
      <c r="V491" s="1286" t="s">
        <v>3229</v>
      </c>
      <c r="W491" s="1286" t="s">
        <v>3229</v>
      </c>
      <c r="X491" s="1286" t="s">
        <v>3229</v>
      </c>
      <c r="Y491" s="1286" t="s">
        <v>3229</v>
      </c>
      <c r="Z491" s="1286" t="s">
        <v>3229</v>
      </c>
      <c r="AA491" s="1286" t="s">
        <v>3229</v>
      </c>
      <c r="AB491" s="1286" t="s">
        <v>3229</v>
      </c>
      <c r="AC491" s="1286" t="s">
        <v>3229</v>
      </c>
      <c r="AD491" s="1286" t="s">
        <v>3229</v>
      </c>
      <c r="AE491" s="1286" t="s">
        <v>3229</v>
      </c>
      <c r="AF491" s="3764" t="s">
        <v>781</v>
      </c>
      <c r="AG491" s="3765">
        <f>(I491-indexy!$B$1)/365</f>
        <v>-0.9945205479452055</v>
      </c>
      <c r="AH491" s="1287" t="s">
        <v>3229</v>
      </c>
      <c r="AI491" s="1288" t="s">
        <v>3229</v>
      </c>
      <c r="AJ491" s="1288" t="s">
        <v>3229</v>
      </c>
      <c r="AK491" s="1288" t="s">
        <v>3229</v>
      </c>
      <c r="AL491" s="1288" t="s">
        <v>3229</v>
      </c>
      <c r="AM491" s="1288">
        <v>1</v>
      </c>
      <c r="AN491" s="1289">
        <f>+'klikací hodnoty'!F15887</f>
        <v>0.16256885555555553</v>
      </c>
      <c r="AO491" s="1290">
        <v>11.63</v>
      </c>
      <c r="AP491" s="1371">
        <f>+'klikací hodnoty'!E15886</f>
        <v>0.11612061111111111</v>
      </c>
      <c r="AQ491" s="1281">
        <f>+'klikací hodnoty'!F15867</f>
        <v>0.18679999999999999</v>
      </c>
      <c r="AR491" s="1291">
        <f t="shared" si="128"/>
        <v>0.6</v>
      </c>
      <c r="AS491" s="1292">
        <f>POWER(1+AR491,1/((I491-F491)/365))-1</f>
        <v>8.0565796739743734E-2</v>
      </c>
      <c r="AT491" s="1292"/>
      <c r="AU491" s="1293"/>
      <c r="AV491" s="1294">
        <f t="shared" si="132"/>
        <v>-1</v>
      </c>
      <c r="AW491" s="1295">
        <f t="shared" si="133"/>
        <v>-1</v>
      </c>
      <c r="AX491" s="1296"/>
      <c r="AY491" s="1297"/>
      <c r="AZ491" s="1298">
        <f t="shared" si="131"/>
        <v>0</v>
      </c>
      <c r="BA491" s="1959"/>
      <c r="BB491" s="1285"/>
      <c r="BC491" s="1300"/>
      <c r="BE491" s="3746"/>
      <c r="BF491" s="3746"/>
      <c r="BG491" s="3747">
        <f t="shared" si="134"/>
        <v>-1</v>
      </c>
      <c r="BH491" s="3763"/>
      <c r="BI491" s="3763"/>
      <c r="BJ491" s="1639"/>
      <c r="BK491" s="1639"/>
      <c r="BL491" s="1639"/>
      <c r="BM491" s="1639"/>
      <c r="BN491" s="1639"/>
      <c r="BO491" s="1639"/>
      <c r="BP491" s="1639"/>
      <c r="BQ491" s="1639"/>
      <c r="BR491" s="1639"/>
      <c r="BS491" s="509"/>
      <c r="BT491" s="509"/>
      <c r="BU491" s="509"/>
      <c r="BV491" s="509"/>
      <c r="BW491" s="509"/>
      <c r="BX491" s="509"/>
      <c r="BY491" s="509"/>
      <c r="BZ491" s="509"/>
      <c r="CA491" s="509"/>
      <c r="CB491" s="509"/>
      <c r="CC491" s="509"/>
      <c r="CD491" s="509"/>
      <c r="CE491" s="509"/>
      <c r="CF491" s="509"/>
      <c r="CG491" s="509"/>
      <c r="CH491" s="509"/>
      <c r="CI491" s="509"/>
      <c r="CJ491" s="509"/>
      <c r="CK491" s="509"/>
      <c r="CL491" s="509"/>
      <c r="CM491" s="509"/>
      <c r="CN491" s="509"/>
      <c r="CO491" s="509"/>
      <c r="CP491" s="509"/>
      <c r="CQ491" s="509"/>
      <c r="CR491" s="509"/>
      <c r="CS491" s="509"/>
      <c r="CT491" s="509"/>
      <c r="CU491" s="509"/>
      <c r="CV491" s="509"/>
      <c r="CW491" s="509"/>
      <c r="CX491" s="509"/>
      <c r="CY491" s="509"/>
      <c r="CZ491" s="509"/>
      <c r="DA491" s="509"/>
      <c r="DB491" s="509"/>
      <c r="DC491" s="509"/>
      <c r="DD491" s="509"/>
      <c r="DE491" s="509"/>
      <c r="DF491" s="509"/>
      <c r="DG491" s="509"/>
      <c r="DH491" s="509"/>
      <c r="DI491" s="509"/>
      <c r="DJ491" s="509"/>
      <c r="DK491" s="509"/>
      <c r="DL491" s="509"/>
      <c r="DM491" s="509"/>
      <c r="DN491" s="509"/>
      <c r="DO491" s="509"/>
      <c r="DP491" s="509"/>
      <c r="DQ491" s="509"/>
      <c r="DR491" s="509"/>
      <c r="DS491" s="509"/>
      <c r="DT491" s="509"/>
      <c r="DU491" s="509"/>
      <c r="DV491" s="509"/>
      <c r="DW491" s="509"/>
      <c r="DX491" s="509"/>
      <c r="DY491" s="509"/>
      <c r="DZ491" s="509"/>
      <c r="EA491" s="509"/>
      <c r="EB491" s="509"/>
      <c r="EC491" s="509"/>
      <c r="ED491" s="509"/>
      <c r="EE491" s="509"/>
      <c r="EF491" s="509"/>
      <c r="EG491" s="509"/>
      <c r="EH491" s="509"/>
      <c r="EI491" s="509"/>
      <c r="EJ491" s="509"/>
      <c r="EK491" s="509"/>
      <c r="EL491" s="509"/>
      <c r="EM491" s="509"/>
      <c r="EN491" s="509"/>
      <c r="EO491" s="509"/>
      <c r="EP491" s="509"/>
      <c r="EQ491" s="509"/>
      <c r="ER491" s="509"/>
      <c r="ES491" s="509"/>
      <c r="ET491" s="509"/>
      <c r="EU491" s="509"/>
      <c r="EV491" s="509"/>
      <c r="EW491" s="509"/>
      <c r="EX491" s="509"/>
      <c r="EY491" s="509"/>
      <c r="EZ491" s="509"/>
      <c r="FA491" s="509"/>
      <c r="FB491" s="509"/>
      <c r="FC491" s="509"/>
      <c r="FD491" s="509"/>
      <c r="FE491" s="509"/>
      <c r="FF491" s="509"/>
      <c r="FG491" s="509"/>
      <c r="FH491" s="509"/>
      <c r="FI491" s="509"/>
      <c r="FJ491" s="509"/>
      <c r="FK491" s="509"/>
      <c r="FL491" s="509"/>
      <c r="FM491" s="509"/>
      <c r="FN491" s="509"/>
      <c r="FO491" s="509"/>
      <c r="FP491" s="509"/>
      <c r="FQ491" s="509"/>
      <c r="FR491" s="509"/>
      <c r="FS491" s="509"/>
      <c r="FT491" s="509"/>
      <c r="FU491" s="509"/>
      <c r="FV491" s="509"/>
      <c r="FW491" s="509"/>
      <c r="FX491" s="509"/>
      <c r="FY491" s="509"/>
      <c r="FZ491" s="509"/>
      <c r="GA491" s="509"/>
      <c r="GB491" s="509"/>
      <c r="GC491" s="509"/>
      <c r="GD491" s="509"/>
      <c r="GE491" s="509"/>
      <c r="GF491" s="509"/>
      <c r="GG491" s="509"/>
      <c r="GH491" s="509"/>
      <c r="GI491" s="509"/>
      <c r="GJ491" s="509"/>
      <c r="GK491" s="509"/>
      <c r="GL491" s="509"/>
      <c r="GM491" s="509"/>
      <c r="GN491" s="509"/>
      <c r="GO491" s="509"/>
      <c r="GP491" s="509"/>
      <c r="GQ491" s="509"/>
      <c r="GR491" s="509"/>
      <c r="GS491" s="509"/>
      <c r="GT491" s="509"/>
      <c r="GU491" s="509"/>
      <c r="GV491" s="509"/>
      <c r="GW491" s="509"/>
      <c r="GX491" s="509"/>
      <c r="GY491" s="509"/>
      <c r="GZ491" s="509"/>
      <c r="HA491" s="509"/>
      <c r="HB491" s="509"/>
      <c r="HC491" s="509"/>
      <c r="HD491" s="509"/>
      <c r="HE491" s="509"/>
      <c r="HF491" s="509"/>
      <c r="HG491" s="509"/>
      <c r="HH491" s="509"/>
      <c r="HI491" s="509"/>
      <c r="HJ491" s="509"/>
      <c r="HK491" s="509"/>
      <c r="HL491" s="509"/>
      <c r="HM491" s="509"/>
      <c r="HN491" s="509"/>
      <c r="HO491" s="509"/>
      <c r="HP491" s="509"/>
      <c r="HQ491" s="509"/>
      <c r="HR491" s="509"/>
      <c r="HS491" s="509"/>
      <c r="HT491" s="509"/>
      <c r="HU491" s="509"/>
      <c r="HV491" s="509"/>
      <c r="HW491" s="509"/>
      <c r="HX491" s="509"/>
      <c r="HY491" s="509"/>
      <c r="HZ491" s="509"/>
    </row>
    <row r="492" spans="1:234" ht="13.5" hidden="1" customHeight="1" x14ac:dyDescent="0.25">
      <c r="A492" s="1270" t="s">
        <v>8445</v>
      </c>
      <c r="B492" s="1271" t="s">
        <v>8450</v>
      </c>
      <c r="C492" s="1272" t="s">
        <v>8454</v>
      </c>
      <c r="D492" s="1273" t="s">
        <v>189</v>
      </c>
      <c r="E492" s="1272" t="s">
        <v>905</v>
      </c>
      <c r="F492" s="1274">
        <v>42802</v>
      </c>
      <c r="G492" s="1275">
        <v>42737</v>
      </c>
      <c r="H492" s="1274">
        <v>42794</v>
      </c>
      <c r="I492" s="1276">
        <v>44286</v>
      </c>
      <c r="J492" s="1277">
        <v>10</v>
      </c>
      <c r="K492" s="1278" t="s">
        <v>3229</v>
      </c>
      <c r="L492" s="1279">
        <v>0.06</v>
      </c>
      <c r="M492" s="1280">
        <v>-0.8</v>
      </c>
      <c r="N492" s="1281" t="s">
        <v>3229</v>
      </c>
      <c r="O492" s="1282">
        <v>0.36</v>
      </c>
      <c r="P492" s="1283" t="s">
        <v>3229</v>
      </c>
      <c r="Q492" s="1283" t="s">
        <v>3229</v>
      </c>
      <c r="R492" s="1284">
        <v>0.2</v>
      </c>
      <c r="S492" s="1285">
        <v>2</v>
      </c>
      <c r="T492" s="1286" t="s">
        <v>3229</v>
      </c>
      <c r="U492" s="1286" t="s">
        <v>3229</v>
      </c>
      <c r="V492" s="1286" t="s">
        <v>3229</v>
      </c>
      <c r="W492" s="1286" t="s">
        <v>3229</v>
      </c>
      <c r="X492" s="1286" t="s">
        <v>3229</v>
      </c>
      <c r="Y492" s="1286" t="s">
        <v>3229</v>
      </c>
      <c r="Z492" s="1286" t="s">
        <v>3229</v>
      </c>
      <c r="AA492" s="1286" t="s">
        <v>3229</v>
      </c>
      <c r="AB492" s="1286" t="s">
        <v>3229</v>
      </c>
      <c r="AC492" s="1286" t="s">
        <v>3229</v>
      </c>
      <c r="AD492" s="1286" t="s">
        <v>3229</v>
      </c>
      <c r="AE492" s="1286" t="s">
        <v>3229</v>
      </c>
      <c r="AF492" s="3764" t="s">
        <v>781</v>
      </c>
      <c r="AG492" s="3765"/>
      <c r="AH492" s="1287">
        <v>1</v>
      </c>
      <c r="AI492" s="1288" t="s">
        <v>3229</v>
      </c>
      <c r="AJ492" s="1288" t="s">
        <v>3229</v>
      </c>
      <c r="AK492" s="1288" t="s">
        <v>3229</v>
      </c>
      <c r="AL492" s="1288" t="s">
        <v>3229</v>
      </c>
      <c r="AM492" s="1288" t="s">
        <v>3229</v>
      </c>
      <c r="AN492" s="1289">
        <f>+'klikací hodnoty'!F15897</f>
        <v>0.24</v>
      </c>
      <c r="AO492" s="1290">
        <v>10.199999999999999</v>
      </c>
      <c r="AP492" s="1371">
        <f>+'klikací hodnoty'!H15896</f>
        <v>9.8089835823379046E-2</v>
      </c>
      <c r="AQ492" s="1281">
        <f>+'klikací hodnoty'!H15896</f>
        <v>9.8089835823379046E-2</v>
      </c>
      <c r="AR492" s="1291">
        <f t="shared" ref="AR492:AR513" si="135">O492</f>
        <v>0.36</v>
      </c>
      <c r="AS492" s="1292">
        <f>POWER(1+AR492,1/((I492-F492)/365))-1</f>
        <v>7.8561248131203021E-2</v>
      </c>
      <c r="AT492" s="1292"/>
      <c r="AU492" s="1293"/>
      <c r="AV492" s="1294">
        <f t="shared" si="132"/>
        <v>-0.8</v>
      </c>
      <c r="AW492" s="1295">
        <f t="shared" si="133"/>
        <v>-0.32689390489845593</v>
      </c>
      <c r="AX492" s="1296"/>
      <c r="AY492" s="1297"/>
      <c r="AZ492" s="1298">
        <f t="shared" ref="AZ492:AZ506" si="136">J492*(1+AV492)</f>
        <v>1.9999999999999996</v>
      </c>
      <c r="BA492" s="1959"/>
      <c r="BB492" s="1285"/>
      <c r="BC492" s="1300"/>
      <c r="BF492" s="3746"/>
      <c r="BG492" s="3747">
        <f t="shared" si="134"/>
        <v>-1</v>
      </c>
      <c r="BH492" s="3763"/>
      <c r="BI492" s="3763"/>
      <c r="BJ492" s="1639"/>
      <c r="BK492" s="1639"/>
      <c r="BL492" s="1639"/>
      <c r="BM492" s="1639"/>
      <c r="BN492" s="1639"/>
      <c r="BO492" s="1639"/>
      <c r="BP492" s="1639"/>
      <c r="BQ492" s="1639"/>
      <c r="BR492" s="1639"/>
      <c r="BS492" s="509"/>
      <c r="BT492" s="509"/>
      <c r="BU492" s="509"/>
      <c r="BV492" s="509"/>
      <c r="BW492" s="509"/>
      <c r="BX492" s="509"/>
      <c r="BY492" s="509"/>
      <c r="BZ492" s="509"/>
      <c r="CA492" s="509"/>
      <c r="CB492" s="509"/>
      <c r="CC492" s="509"/>
      <c r="CD492" s="509"/>
      <c r="CE492" s="509"/>
      <c r="CF492" s="509"/>
      <c r="CG492" s="509"/>
      <c r="CH492" s="509"/>
      <c r="CI492" s="509"/>
      <c r="CJ492" s="509"/>
      <c r="CK492" s="509"/>
      <c r="CL492" s="509"/>
      <c r="CM492" s="509"/>
      <c r="CN492" s="509"/>
      <c r="CO492" s="509"/>
      <c r="CP492" s="509"/>
      <c r="CQ492" s="509"/>
      <c r="CR492" s="509"/>
      <c r="CS492" s="509"/>
      <c r="CT492" s="509"/>
      <c r="CU492" s="509"/>
      <c r="CV492" s="509"/>
      <c r="CW492" s="509"/>
      <c r="CX492" s="509"/>
      <c r="CY492" s="509"/>
      <c r="CZ492" s="509"/>
      <c r="DA492" s="509"/>
      <c r="DB492" s="509"/>
      <c r="DC492" s="509"/>
      <c r="DD492" s="509"/>
      <c r="DE492" s="509"/>
      <c r="DF492" s="509"/>
      <c r="DG492" s="509"/>
      <c r="DH492" s="509"/>
      <c r="DI492" s="509"/>
      <c r="DJ492" s="509"/>
      <c r="DK492" s="509"/>
      <c r="DL492" s="509"/>
      <c r="DM492" s="509"/>
      <c r="DN492" s="509"/>
      <c r="DO492" s="509"/>
      <c r="DP492" s="509"/>
      <c r="DQ492" s="509"/>
      <c r="DR492" s="509"/>
      <c r="DS492" s="509"/>
      <c r="DT492" s="509"/>
      <c r="DU492" s="509"/>
      <c r="DV492" s="509"/>
      <c r="DW492" s="509"/>
      <c r="DX492" s="509"/>
      <c r="DY492" s="509"/>
      <c r="DZ492" s="509"/>
      <c r="EA492" s="509"/>
      <c r="EB492" s="509"/>
      <c r="EC492" s="509"/>
      <c r="ED492" s="509"/>
      <c r="EE492" s="509"/>
      <c r="EF492" s="509"/>
      <c r="EG492" s="509"/>
      <c r="EH492" s="509"/>
      <c r="EI492" s="509"/>
      <c r="EJ492" s="509"/>
      <c r="EK492" s="509"/>
      <c r="EL492" s="509"/>
      <c r="EM492" s="509"/>
      <c r="EN492" s="509"/>
      <c r="EO492" s="509"/>
      <c r="EP492" s="509"/>
      <c r="EQ492" s="509"/>
      <c r="ER492" s="509"/>
      <c r="ES492" s="509"/>
      <c r="ET492" s="509"/>
      <c r="EU492" s="509"/>
      <c r="EV492" s="509"/>
      <c r="EW492" s="509"/>
      <c r="EX492" s="509"/>
      <c r="EY492" s="509"/>
      <c r="EZ492" s="509"/>
      <c r="FA492" s="509"/>
      <c r="FB492" s="509"/>
      <c r="FC492" s="509"/>
      <c r="FD492" s="509"/>
      <c r="FE492" s="509"/>
      <c r="FF492" s="509"/>
      <c r="FG492" s="509"/>
      <c r="FH492" s="509"/>
      <c r="FI492" s="509"/>
      <c r="FJ492" s="509"/>
      <c r="FK492" s="509"/>
      <c r="FL492" s="509"/>
      <c r="FM492" s="509"/>
      <c r="FN492" s="509"/>
      <c r="FO492" s="509"/>
      <c r="FP492" s="509"/>
      <c r="FQ492" s="509"/>
      <c r="FR492" s="509"/>
      <c r="FS492" s="509"/>
      <c r="FT492" s="509"/>
      <c r="FU492" s="509"/>
      <c r="FV492" s="509"/>
      <c r="FW492" s="509"/>
      <c r="FX492" s="509"/>
      <c r="FY492" s="509"/>
      <c r="FZ492" s="509"/>
      <c r="GA492" s="509"/>
      <c r="GB492" s="509"/>
      <c r="GC492" s="509"/>
      <c r="GD492" s="509"/>
      <c r="GE492" s="509"/>
      <c r="GF492" s="509"/>
      <c r="GG492" s="509"/>
      <c r="GH492" s="509"/>
      <c r="GI492" s="509"/>
      <c r="GJ492" s="509"/>
      <c r="GK492" s="509"/>
      <c r="GL492" s="509"/>
      <c r="GM492" s="509"/>
      <c r="GN492" s="509"/>
      <c r="GO492" s="509"/>
      <c r="GP492" s="509"/>
      <c r="GQ492" s="509"/>
      <c r="GR492" s="509"/>
      <c r="GS492" s="509"/>
      <c r="GT492" s="509"/>
      <c r="GU492" s="509"/>
      <c r="GV492" s="509"/>
      <c r="GW492" s="509"/>
      <c r="GX492" s="509"/>
      <c r="GY492" s="509"/>
      <c r="GZ492" s="509"/>
      <c r="HA492" s="509"/>
      <c r="HB492" s="509"/>
      <c r="HC492" s="509"/>
      <c r="HD492" s="509"/>
      <c r="HE492" s="509"/>
      <c r="HF492" s="509"/>
      <c r="HG492" s="509"/>
      <c r="HH492" s="509"/>
      <c r="HI492" s="509"/>
      <c r="HJ492" s="509"/>
      <c r="HK492" s="509"/>
      <c r="HL492" s="509"/>
      <c r="HM492" s="509"/>
      <c r="HN492" s="509"/>
      <c r="HO492" s="509"/>
      <c r="HP492" s="509"/>
      <c r="HQ492" s="509"/>
      <c r="HR492" s="509"/>
      <c r="HS492" s="509"/>
      <c r="HT492" s="509"/>
      <c r="HU492" s="509"/>
      <c r="HV492" s="509"/>
      <c r="HW492" s="509"/>
      <c r="HX492" s="509"/>
      <c r="HY492" s="509"/>
      <c r="HZ492" s="509"/>
    </row>
    <row r="493" spans="1:234" ht="13.5" hidden="1" customHeight="1" x14ac:dyDescent="0.25">
      <c r="A493" s="1270" t="s">
        <v>8447</v>
      </c>
      <c r="B493" s="1271" t="s">
        <v>8451</v>
      </c>
      <c r="C493" s="1272" t="s">
        <v>8455</v>
      </c>
      <c r="D493" s="1273" t="s">
        <v>189</v>
      </c>
      <c r="E493" s="1272" t="s">
        <v>3228</v>
      </c>
      <c r="F493" s="1274">
        <v>42835</v>
      </c>
      <c r="G493" s="1275">
        <v>42767</v>
      </c>
      <c r="H493" s="1274">
        <v>42825</v>
      </c>
      <c r="I493" s="1276">
        <v>45044</v>
      </c>
      <c r="J493" s="1277">
        <v>10</v>
      </c>
      <c r="K493" s="1278" t="s">
        <v>3229</v>
      </c>
      <c r="L493" s="1279" t="s">
        <v>3229</v>
      </c>
      <c r="M493" s="1280">
        <v>0</v>
      </c>
      <c r="N493" s="1281">
        <v>0.9</v>
      </c>
      <c r="O493" s="1282" t="s">
        <v>3229</v>
      </c>
      <c r="P493" s="1283" t="s">
        <v>3229</v>
      </c>
      <c r="Q493" s="1283">
        <v>1</v>
      </c>
      <c r="R493" s="1284" t="s">
        <v>3229</v>
      </c>
      <c r="S493" s="1285">
        <v>1</v>
      </c>
      <c r="T493" s="1286" t="s">
        <v>3229</v>
      </c>
      <c r="U493" s="1286" t="s">
        <v>3229</v>
      </c>
      <c r="V493" s="1286" t="s">
        <v>3229</v>
      </c>
      <c r="W493" s="1286" t="s">
        <v>3229</v>
      </c>
      <c r="X493" s="1286" t="s">
        <v>3229</v>
      </c>
      <c r="Y493" s="1286" t="s">
        <v>3229</v>
      </c>
      <c r="Z493" s="1286" t="s">
        <v>3229</v>
      </c>
      <c r="AA493" s="1286" t="s">
        <v>3229</v>
      </c>
      <c r="AB493" s="1286" t="s">
        <v>3229</v>
      </c>
      <c r="AC493" s="1286" t="s">
        <v>3229</v>
      </c>
      <c r="AD493" s="1286" t="s">
        <v>3229</v>
      </c>
      <c r="AE493" s="1286" t="s">
        <v>3229</v>
      </c>
      <c r="AF493" s="3764" t="s">
        <v>781</v>
      </c>
      <c r="AG493" s="3765">
        <f>(I493-indexy!$B$1)/365</f>
        <v>-0.9178082191780822</v>
      </c>
      <c r="AH493" s="1287" t="s">
        <v>3229</v>
      </c>
      <c r="AI493" s="1288" t="s">
        <v>3229</v>
      </c>
      <c r="AJ493" s="1288" t="s">
        <v>3229</v>
      </c>
      <c r="AK493" s="1288" t="s">
        <v>3229</v>
      </c>
      <c r="AL493" s="1288" t="s">
        <v>3229</v>
      </c>
      <c r="AM493" s="1288">
        <v>1</v>
      </c>
      <c r="AN493" s="1289">
        <f>+'klikací hodnoty'!F15952</f>
        <v>9.1770100000000007E-2</v>
      </c>
      <c r="AO493" s="1290">
        <v>10.92</v>
      </c>
      <c r="AP493" s="1371">
        <f>+'klikací hodnoty'!E15951</f>
        <v>0.10196677777777778</v>
      </c>
      <c r="AQ493" s="1281">
        <f>+'klikací hodnoty'!F15932</f>
        <v>0.1096</v>
      </c>
      <c r="AR493" s="1291" t="str">
        <f t="shared" si="135"/>
        <v>-</v>
      </c>
      <c r="AS493" s="1292" t="s">
        <v>3660</v>
      </c>
      <c r="AT493" s="1292"/>
      <c r="AU493" s="1293"/>
      <c r="AV493" s="1294">
        <f t="shared" si="132"/>
        <v>0</v>
      </c>
      <c r="AW493" s="1295">
        <f t="shared" si="133"/>
        <v>0</v>
      </c>
      <c r="AX493" s="1296"/>
      <c r="AY493" s="1297"/>
      <c r="AZ493" s="1298">
        <f t="shared" si="136"/>
        <v>10</v>
      </c>
      <c r="BA493" s="1959"/>
      <c r="BB493" s="1285"/>
      <c r="BC493" s="1300"/>
      <c r="BF493" s="3746"/>
      <c r="BG493" s="3747">
        <f t="shared" si="134"/>
        <v>-1</v>
      </c>
      <c r="BH493" s="3763"/>
      <c r="BI493" s="3763"/>
      <c r="BJ493" s="1639"/>
      <c r="BK493" s="1639"/>
      <c r="BL493" s="1639"/>
      <c r="BM493" s="1639"/>
      <c r="BN493" s="1639"/>
      <c r="BO493" s="1639"/>
      <c r="BP493" s="1639"/>
      <c r="BQ493" s="1639"/>
      <c r="BR493" s="1639"/>
      <c r="BS493" s="509"/>
      <c r="BT493" s="509"/>
      <c r="BU493" s="509"/>
      <c r="BV493" s="509"/>
      <c r="BW493" s="509"/>
      <c r="BX493" s="509"/>
      <c r="BY493" s="509"/>
      <c r="BZ493" s="509"/>
      <c r="CA493" s="509"/>
      <c r="CB493" s="509"/>
      <c r="CC493" s="509"/>
      <c r="CD493" s="509"/>
      <c r="CE493" s="509"/>
      <c r="CF493" s="509"/>
      <c r="CG493" s="509"/>
      <c r="CH493" s="509"/>
      <c r="CI493" s="509"/>
      <c r="CJ493" s="509"/>
      <c r="CK493" s="509"/>
      <c r="CL493" s="509"/>
      <c r="CM493" s="509"/>
      <c r="CN493" s="509"/>
      <c r="CO493" s="509"/>
      <c r="CP493" s="509"/>
      <c r="CQ493" s="509"/>
      <c r="CR493" s="509"/>
      <c r="CS493" s="509"/>
      <c r="CT493" s="509"/>
      <c r="CU493" s="509"/>
      <c r="CV493" s="509"/>
      <c r="CW493" s="509"/>
      <c r="CX493" s="509"/>
      <c r="CY493" s="509"/>
      <c r="CZ493" s="509"/>
      <c r="DA493" s="509"/>
      <c r="DB493" s="509"/>
      <c r="DC493" s="509"/>
      <c r="DD493" s="509"/>
      <c r="DE493" s="509"/>
      <c r="DF493" s="509"/>
      <c r="DG493" s="509"/>
      <c r="DH493" s="509"/>
      <c r="DI493" s="509"/>
      <c r="DJ493" s="509"/>
      <c r="DK493" s="509"/>
      <c r="DL493" s="509"/>
      <c r="DM493" s="509"/>
      <c r="DN493" s="509"/>
      <c r="DO493" s="509"/>
      <c r="DP493" s="509"/>
      <c r="DQ493" s="509"/>
      <c r="DR493" s="509"/>
      <c r="DS493" s="509"/>
      <c r="DT493" s="509"/>
      <c r="DU493" s="509"/>
      <c r="DV493" s="509"/>
      <c r="DW493" s="509"/>
      <c r="DX493" s="509"/>
      <c r="DY493" s="509"/>
      <c r="DZ493" s="509"/>
      <c r="EA493" s="509"/>
      <c r="EB493" s="509"/>
      <c r="EC493" s="509"/>
      <c r="ED493" s="509"/>
      <c r="EE493" s="509"/>
      <c r="EF493" s="509"/>
      <c r="EG493" s="509"/>
      <c r="EH493" s="509"/>
      <c r="EI493" s="509"/>
      <c r="EJ493" s="509"/>
      <c r="EK493" s="509"/>
      <c r="EL493" s="509"/>
      <c r="EM493" s="509"/>
      <c r="EN493" s="509"/>
      <c r="EO493" s="509"/>
      <c r="EP493" s="509"/>
      <c r="EQ493" s="509"/>
      <c r="ER493" s="509"/>
      <c r="ES493" s="509"/>
      <c r="ET493" s="509"/>
      <c r="EU493" s="509"/>
      <c r="EV493" s="509"/>
      <c r="EW493" s="509"/>
      <c r="EX493" s="509"/>
      <c r="EY493" s="509"/>
      <c r="EZ493" s="509"/>
      <c r="FA493" s="509"/>
      <c r="FB493" s="509"/>
      <c r="FC493" s="509"/>
      <c r="FD493" s="509"/>
      <c r="FE493" s="509"/>
      <c r="FF493" s="509"/>
      <c r="FG493" s="509"/>
      <c r="FH493" s="509"/>
      <c r="FI493" s="509"/>
      <c r="FJ493" s="509"/>
      <c r="FK493" s="509"/>
      <c r="FL493" s="509"/>
      <c r="FM493" s="509"/>
      <c r="FN493" s="509"/>
      <c r="FO493" s="509"/>
      <c r="FP493" s="509"/>
      <c r="FQ493" s="509"/>
      <c r="FR493" s="509"/>
      <c r="FS493" s="509"/>
      <c r="FT493" s="509"/>
      <c r="FU493" s="509"/>
      <c r="FV493" s="509"/>
      <c r="FW493" s="509"/>
      <c r="FX493" s="509"/>
      <c r="FY493" s="509"/>
      <c r="FZ493" s="509"/>
      <c r="GA493" s="509"/>
      <c r="GB493" s="509"/>
      <c r="GC493" s="509"/>
      <c r="GD493" s="509"/>
      <c r="GE493" s="509"/>
      <c r="GF493" s="509"/>
      <c r="GG493" s="509"/>
      <c r="GH493" s="509"/>
      <c r="GI493" s="509"/>
      <c r="GJ493" s="509"/>
      <c r="GK493" s="509"/>
      <c r="GL493" s="509"/>
      <c r="GM493" s="509"/>
      <c r="GN493" s="509"/>
      <c r="GO493" s="509"/>
      <c r="GP493" s="509"/>
      <c r="GQ493" s="509"/>
      <c r="GR493" s="509"/>
      <c r="GS493" s="509"/>
      <c r="GT493" s="509"/>
      <c r="GU493" s="509"/>
      <c r="GV493" s="509"/>
      <c r="GW493" s="509"/>
      <c r="GX493" s="509"/>
      <c r="GY493" s="509"/>
      <c r="GZ493" s="509"/>
      <c r="HA493" s="509"/>
      <c r="HB493" s="509"/>
      <c r="HC493" s="509"/>
      <c r="HD493" s="509"/>
      <c r="HE493" s="509"/>
      <c r="HF493" s="509"/>
      <c r="HG493" s="509"/>
      <c r="HH493" s="509"/>
      <c r="HI493" s="509"/>
      <c r="HJ493" s="509"/>
      <c r="HK493" s="509"/>
      <c r="HL493" s="509"/>
      <c r="HM493" s="509"/>
      <c r="HN493" s="509"/>
      <c r="HO493" s="509"/>
      <c r="HP493" s="509"/>
      <c r="HQ493" s="509"/>
      <c r="HR493" s="509"/>
      <c r="HS493" s="509"/>
      <c r="HT493" s="509"/>
      <c r="HU493" s="509"/>
      <c r="HV493" s="509"/>
      <c r="HW493" s="509"/>
      <c r="HX493" s="509"/>
      <c r="HY493" s="509"/>
      <c r="HZ493" s="509"/>
    </row>
    <row r="494" spans="1:234" ht="13.5" hidden="1" customHeight="1" x14ac:dyDescent="0.25">
      <c r="A494" s="1270" t="s">
        <v>8598</v>
      </c>
      <c r="B494" s="1271" t="s">
        <v>8599</v>
      </c>
      <c r="C494" s="1272" t="s">
        <v>8603</v>
      </c>
      <c r="D494" s="1273" t="s">
        <v>189</v>
      </c>
      <c r="E494" s="1272" t="s">
        <v>3228</v>
      </c>
      <c r="F494" s="1274">
        <v>42865</v>
      </c>
      <c r="G494" s="1275">
        <v>42795</v>
      </c>
      <c r="H494" s="1274">
        <v>42853</v>
      </c>
      <c r="I494" s="1276">
        <v>45077</v>
      </c>
      <c r="J494" s="1277">
        <v>10</v>
      </c>
      <c r="K494" s="1278" t="s">
        <v>3229</v>
      </c>
      <c r="L494" s="1279" t="s">
        <v>3229</v>
      </c>
      <c r="M494" s="1280">
        <v>-1</v>
      </c>
      <c r="N494" s="1281">
        <v>0.6</v>
      </c>
      <c r="O494" s="1282">
        <v>0.4</v>
      </c>
      <c r="P494" s="1283">
        <v>0.3</v>
      </c>
      <c r="Q494" s="1283" t="s">
        <v>3229</v>
      </c>
      <c r="R494" s="1284" t="s">
        <v>3229</v>
      </c>
      <c r="S494" s="1285">
        <v>1</v>
      </c>
      <c r="T494" s="1286" t="s">
        <v>3229</v>
      </c>
      <c r="U494" s="1286" t="s">
        <v>3229</v>
      </c>
      <c r="V494" s="1286" t="s">
        <v>3229</v>
      </c>
      <c r="W494" s="1286" t="s">
        <v>3229</v>
      </c>
      <c r="X494" s="1286" t="s">
        <v>3229</v>
      </c>
      <c r="Y494" s="1286" t="s">
        <v>3229</v>
      </c>
      <c r="Z494" s="1286" t="s">
        <v>3229</v>
      </c>
      <c r="AA494" s="1286" t="s">
        <v>3229</v>
      </c>
      <c r="AB494" s="1286" t="s">
        <v>3229</v>
      </c>
      <c r="AC494" s="1286" t="s">
        <v>3229</v>
      </c>
      <c r="AD494" s="1286" t="s">
        <v>3229</v>
      </c>
      <c r="AE494" s="1286" t="s">
        <v>3229</v>
      </c>
      <c r="AF494" s="3764" t="s">
        <v>781</v>
      </c>
      <c r="AG494" s="3765">
        <f>(I494-indexy!$B$1)/365</f>
        <v>-0.82739726027397265</v>
      </c>
      <c r="AH494" s="1287" t="s">
        <v>3229</v>
      </c>
      <c r="AI494" s="1288" t="s">
        <v>3229</v>
      </c>
      <c r="AJ494" s="1288" t="s">
        <v>3229</v>
      </c>
      <c r="AK494" s="1288" t="s">
        <v>3229</v>
      </c>
      <c r="AL494" s="1288" t="s">
        <v>3229</v>
      </c>
      <c r="AM494" s="1288">
        <v>1</v>
      </c>
      <c r="AN494" s="1289">
        <f>+'klikací hodnoty'!F15998</f>
        <v>0.4</v>
      </c>
      <c r="AO494" s="1290">
        <v>14</v>
      </c>
      <c r="AP494" s="1371">
        <f>+'klikací hodnoty'!E15997</f>
        <v>0.94506872222222205</v>
      </c>
      <c r="AQ494" s="1281">
        <f>+'klikací hodnoty'!F15978</f>
        <v>1.0058</v>
      </c>
      <c r="AR494" s="1291">
        <f t="shared" si="135"/>
        <v>0.4</v>
      </c>
      <c r="AS494" s="1292">
        <f>POWER(1+AR494,1/((I494-F494)/365))-1</f>
        <v>5.709117483164694E-2</v>
      </c>
      <c r="AT494" s="1292"/>
      <c r="AU494" s="1293"/>
      <c r="AV494" s="1294">
        <f t="shared" si="132"/>
        <v>-1</v>
      </c>
      <c r="AW494" s="1295">
        <f t="shared" si="133"/>
        <v>-1</v>
      </c>
      <c r="AX494" s="1296"/>
      <c r="AY494" s="1297"/>
      <c r="AZ494" s="1298">
        <f t="shared" si="136"/>
        <v>0</v>
      </c>
      <c r="BA494" s="1959"/>
      <c r="BB494" s="1285"/>
      <c r="BC494" s="1300"/>
      <c r="BF494" s="3746"/>
      <c r="BG494" s="3747">
        <f t="shared" si="134"/>
        <v>-1</v>
      </c>
      <c r="BH494" s="3763"/>
      <c r="BI494" s="3763"/>
      <c r="BJ494" s="1639"/>
      <c r="BK494" s="1639"/>
      <c r="BL494" s="1639"/>
      <c r="BM494" s="1639"/>
      <c r="BN494" s="1639"/>
      <c r="BO494" s="1639"/>
      <c r="BP494" s="1639"/>
      <c r="BQ494" s="1639"/>
      <c r="BR494" s="1639"/>
      <c r="BS494" s="509"/>
      <c r="BT494" s="509"/>
      <c r="BU494" s="509"/>
      <c r="BV494" s="509"/>
      <c r="BW494" s="509"/>
      <c r="BX494" s="509"/>
      <c r="BY494" s="509"/>
      <c r="BZ494" s="509"/>
      <c r="CA494" s="509"/>
      <c r="CB494" s="509"/>
      <c r="CC494" s="509"/>
      <c r="CD494" s="509"/>
      <c r="CE494" s="509"/>
      <c r="CF494" s="509"/>
      <c r="CG494" s="509"/>
      <c r="CH494" s="509"/>
      <c r="CI494" s="509"/>
      <c r="CJ494" s="509"/>
      <c r="CK494" s="509"/>
      <c r="CL494" s="509"/>
      <c r="CM494" s="509"/>
      <c r="CN494" s="509"/>
      <c r="CO494" s="509"/>
      <c r="CP494" s="509"/>
      <c r="CQ494" s="509"/>
      <c r="CR494" s="509"/>
      <c r="CS494" s="509"/>
      <c r="CT494" s="509"/>
      <c r="CU494" s="509"/>
      <c r="CV494" s="509"/>
      <c r="CW494" s="509"/>
      <c r="CX494" s="509"/>
      <c r="CY494" s="509"/>
      <c r="CZ494" s="509"/>
      <c r="DA494" s="509"/>
      <c r="DB494" s="509"/>
      <c r="DC494" s="509"/>
      <c r="DD494" s="509"/>
      <c r="DE494" s="509"/>
      <c r="DF494" s="509"/>
      <c r="DG494" s="509"/>
      <c r="DH494" s="509"/>
      <c r="DI494" s="509"/>
      <c r="DJ494" s="509"/>
      <c r="DK494" s="509"/>
      <c r="DL494" s="509"/>
      <c r="DM494" s="509"/>
      <c r="DN494" s="509"/>
      <c r="DO494" s="509"/>
      <c r="DP494" s="509"/>
      <c r="DQ494" s="509"/>
      <c r="DR494" s="509"/>
      <c r="DS494" s="509"/>
      <c r="DT494" s="509"/>
      <c r="DU494" s="509"/>
      <c r="DV494" s="509"/>
      <c r="DW494" s="509"/>
      <c r="DX494" s="509"/>
      <c r="DY494" s="509"/>
      <c r="DZ494" s="509"/>
      <c r="EA494" s="509"/>
      <c r="EB494" s="509"/>
      <c r="EC494" s="509"/>
      <c r="ED494" s="509"/>
      <c r="EE494" s="509"/>
      <c r="EF494" s="509"/>
      <c r="EG494" s="509"/>
      <c r="EH494" s="509"/>
      <c r="EI494" s="509"/>
      <c r="EJ494" s="509"/>
      <c r="EK494" s="509"/>
      <c r="EL494" s="509"/>
      <c r="EM494" s="509"/>
      <c r="EN494" s="509"/>
      <c r="EO494" s="509"/>
      <c r="EP494" s="509"/>
      <c r="EQ494" s="509"/>
      <c r="ER494" s="509"/>
      <c r="ES494" s="509"/>
      <c r="ET494" s="509"/>
      <c r="EU494" s="509"/>
      <c r="EV494" s="509"/>
      <c r="EW494" s="509"/>
      <c r="EX494" s="509"/>
      <c r="EY494" s="509"/>
      <c r="EZ494" s="509"/>
      <c r="FA494" s="509"/>
      <c r="FB494" s="509"/>
      <c r="FC494" s="509"/>
      <c r="FD494" s="509"/>
      <c r="FE494" s="509"/>
      <c r="FF494" s="509"/>
      <c r="FG494" s="509"/>
      <c r="FH494" s="509"/>
      <c r="FI494" s="509"/>
      <c r="FJ494" s="509"/>
      <c r="FK494" s="509"/>
      <c r="FL494" s="509"/>
      <c r="FM494" s="509"/>
      <c r="FN494" s="509"/>
      <c r="FO494" s="509"/>
      <c r="FP494" s="509"/>
      <c r="FQ494" s="509"/>
      <c r="FR494" s="509"/>
      <c r="FS494" s="509"/>
      <c r="FT494" s="509"/>
      <c r="FU494" s="509"/>
      <c r="FV494" s="509"/>
      <c r="FW494" s="509"/>
      <c r="FX494" s="509"/>
      <c r="FY494" s="509"/>
      <c r="FZ494" s="509"/>
      <c r="GA494" s="509"/>
      <c r="GB494" s="509"/>
      <c r="GC494" s="509"/>
      <c r="GD494" s="509"/>
      <c r="GE494" s="509"/>
      <c r="GF494" s="509"/>
      <c r="GG494" s="509"/>
      <c r="GH494" s="509"/>
      <c r="GI494" s="509"/>
      <c r="GJ494" s="509"/>
      <c r="GK494" s="509"/>
      <c r="GL494" s="509"/>
      <c r="GM494" s="509"/>
      <c r="GN494" s="509"/>
      <c r="GO494" s="509"/>
      <c r="GP494" s="509"/>
      <c r="GQ494" s="509"/>
      <c r="GR494" s="509"/>
      <c r="GS494" s="509"/>
      <c r="GT494" s="509"/>
      <c r="GU494" s="509"/>
      <c r="GV494" s="509"/>
      <c r="GW494" s="509"/>
      <c r="GX494" s="509"/>
      <c r="GY494" s="509"/>
      <c r="GZ494" s="509"/>
      <c r="HA494" s="509"/>
      <c r="HB494" s="509"/>
      <c r="HC494" s="509"/>
      <c r="HD494" s="509"/>
      <c r="HE494" s="509"/>
      <c r="HF494" s="509"/>
      <c r="HG494" s="509"/>
      <c r="HH494" s="509"/>
      <c r="HI494" s="509"/>
      <c r="HJ494" s="509"/>
      <c r="HK494" s="509"/>
      <c r="HL494" s="509"/>
      <c r="HM494" s="509"/>
      <c r="HN494" s="509"/>
      <c r="HO494" s="509"/>
      <c r="HP494" s="509"/>
      <c r="HQ494" s="509"/>
      <c r="HR494" s="509"/>
      <c r="HS494" s="509"/>
      <c r="HT494" s="509"/>
      <c r="HU494" s="509"/>
      <c r="HV494" s="509"/>
      <c r="HW494" s="509"/>
      <c r="HX494" s="509"/>
      <c r="HY494" s="509"/>
      <c r="HZ494" s="509"/>
    </row>
    <row r="495" spans="1:234" ht="13.5" hidden="1" customHeight="1" x14ac:dyDescent="0.25">
      <c r="A495" s="1270" t="s">
        <v>8600</v>
      </c>
      <c r="B495" s="1271" t="s">
        <v>8601</v>
      </c>
      <c r="C495" s="1272" t="s">
        <v>8602</v>
      </c>
      <c r="D495" s="1273" t="s">
        <v>189</v>
      </c>
      <c r="E495" s="1272" t="s">
        <v>905</v>
      </c>
      <c r="F495" s="1274">
        <v>42865</v>
      </c>
      <c r="G495" s="1275">
        <v>42795</v>
      </c>
      <c r="H495" s="1274">
        <v>42853</v>
      </c>
      <c r="I495" s="1276">
        <v>44742</v>
      </c>
      <c r="J495" s="1277">
        <v>10</v>
      </c>
      <c r="K495" s="1278" t="s">
        <v>3229</v>
      </c>
      <c r="L495" s="1279" t="s">
        <v>3229</v>
      </c>
      <c r="M495" s="1280">
        <v>-0.85</v>
      </c>
      <c r="N495" s="1281">
        <v>0.7</v>
      </c>
      <c r="O495" s="1282" t="s">
        <v>3229</v>
      </c>
      <c r="P495" s="1283" t="s">
        <v>3229</v>
      </c>
      <c r="Q495" s="1283" t="s">
        <v>3229</v>
      </c>
      <c r="R495" s="1284">
        <v>0.15</v>
      </c>
      <c r="S495" s="1285">
        <v>1</v>
      </c>
      <c r="T495" s="1286" t="s">
        <v>3229</v>
      </c>
      <c r="U495" s="1286" t="s">
        <v>3229</v>
      </c>
      <c r="V495" s="1286" t="s">
        <v>3229</v>
      </c>
      <c r="W495" s="1286" t="s">
        <v>3229</v>
      </c>
      <c r="X495" s="1286" t="s">
        <v>3229</v>
      </c>
      <c r="Y495" s="1286" t="s">
        <v>3229</v>
      </c>
      <c r="Z495" s="1286" t="s">
        <v>3229</v>
      </c>
      <c r="AA495" s="1286" t="s">
        <v>3229</v>
      </c>
      <c r="AB495" s="1286" t="s">
        <v>3229</v>
      </c>
      <c r="AC495" s="1286" t="s">
        <v>3229</v>
      </c>
      <c r="AD495" s="1286" t="s">
        <v>3229</v>
      </c>
      <c r="AE495" s="1286" t="s">
        <v>3229</v>
      </c>
      <c r="AF495" s="3764" t="s">
        <v>781</v>
      </c>
      <c r="AG495" s="3765">
        <f>(I495-indexy!$B$1)/365</f>
        <v>-1.7452054794520548</v>
      </c>
      <c r="AH495" s="1287" t="s">
        <v>3229</v>
      </c>
      <c r="AI495" s="1288" t="s">
        <v>3229</v>
      </c>
      <c r="AJ495" s="1288" t="s">
        <v>3229</v>
      </c>
      <c r="AK495" s="1288" t="s">
        <v>3229</v>
      </c>
      <c r="AL495" s="1288" t="s">
        <v>3229</v>
      </c>
      <c r="AM495" s="1288">
        <v>1</v>
      </c>
      <c r="AN495" s="1289">
        <f>+'klikací hodnoty'!F16042</f>
        <v>0.15</v>
      </c>
      <c r="AO495" s="1290">
        <v>10.199999999999999</v>
      </c>
      <c r="AP495" s="1371">
        <f>+'klikací hodnoty'!E16041</f>
        <v>0.12515533333333329</v>
      </c>
      <c r="AQ495" s="1281">
        <f>+'klikací hodnoty'!F16034</f>
        <v>0.11784574923072015</v>
      </c>
      <c r="AR495" s="1291" t="str">
        <f t="shared" si="135"/>
        <v>-</v>
      </c>
      <c r="AS495" s="1292" t="s">
        <v>3660</v>
      </c>
      <c r="AT495" s="1292"/>
      <c r="AU495" s="1293"/>
      <c r="AV495" s="1294">
        <f t="shared" si="132"/>
        <v>-0.85</v>
      </c>
      <c r="AW495" s="1295">
        <f t="shared" si="133"/>
        <v>-0.30851409896198667</v>
      </c>
      <c r="AX495" s="1296"/>
      <c r="AY495" s="1297"/>
      <c r="AZ495" s="1298">
        <f t="shared" si="136"/>
        <v>1.5000000000000002</v>
      </c>
      <c r="BA495" s="1959"/>
      <c r="BB495" s="1285"/>
      <c r="BC495" s="1300"/>
      <c r="BF495" s="3746"/>
      <c r="BG495" s="3747">
        <f t="shared" si="134"/>
        <v>-1</v>
      </c>
      <c r="BH495" s="3763"/>
      <c r="BI495" s="3763"/>
      <c r="BJ495" s="1639"/>
      <c r="BK495" s="1639"/>
      <c r="BL495" s="1639"/>
      <c r="BM495" s="1639"/>
      <c r="BN495" s="1639"/>
      <c r="BO495" s="1639"/>
      <c r="BP495" s="1639"/>
      <c r="BQ495" s="1639"/>
      <c r="BR495" s="1639"/>
      <c r="BS495" s="509"/>
      <c r="BT495" s="509"/>
      <c r="BU495" s="509"/>
      <c r="BV495" s="509"/>
      <c r="BW495" s="509"/>
      <c r="BX495" s="509"/>
      <c r="BY495" s="509"/>
      <c r="BZ495" s="509"/>
      <c r="CA495" s="509"/>
      <c r="CB495" s="509"/>
      <c r="CC495" s="509"/>
      <c r="CD495" s="509"/>
      <c r="CE495" s="509"/>
      <c r="CF495" s="509"/>
      <c r="CG495" s="509"/>
      <c r="CH495" s="509"/>
      <c r="CI495" s="509"/>
      <c r="CJ495" s="509"/>
      <c r="CK495" s="509"/>
      <c r="CL495" s="509"/>
      <c r="CM495" s="509"/>
      <c r="CN495" s="509"/>
      <c r="CO495" s="509"/>
      <c r="CP495" s="509"/>
      <c r="CQ495" s="509"/>
      <c r="CR495" s="509"/>
      <c r="CS495" s="509"/>
      <c r="CT495" s="509"/>
      <c r="CU495" s="509"/>
      <c r="CV495" s="509"/>
      <c r="CW495" s="509"/>
      <c r="CX495" s="509"/>
      <c r="CY495" s="509"/>
      <c r="CZ495" s="509"/>
      <c r="DA495" s="509"/>
      <c r="DB495" s="509"/>
      <c r="DC495" s="509"/>
      <c r="DD495" s="509"/>
      <c r="DE495" s="509"/>
      <c r="DF495" s="509"/>
      <c r="DG495" s="509"/>
      <c r="DH495" s="509"/>
      <c r="DI495" s="509"/>
      <c r="DJ495" s="509"/>
      <c r="DK495" s="509"/>
      <c r="DL495" s="509"/>
      <c r="DM495" s="509"/>
      <c r="DN495" s="509"/>
      <c r="DO495" s="509"/>
      <c r="DP495" s="509"/>
      <c r="DQ495" s="509"/>
      <c r="DR495" s="509"/>
      <c r="DS495" s="509"/>
      <c r="DT495" s="509"/>
      <c r="DU495" s="509"/>
      <c r="DV495" s="509"/>
      <c r="DW495" s="509"/>
      <c r="DX495" s="509"/>
      <c r="DY495" s="509"/>
      <c r="DZ495" s="509"/>
      <c r="EA495" s="509"/>
      <c r="EB495" s="509"/>
      <c r="EC495" s="509"/>
      <c r="ED495" s="509"/>
      <c r="EE495" s="509"/>
      <c r="EF495" s="509"/>
      <c r="EG495" s="509"/>
      <c r="EH495" s="509"/>
      <c r="EI495" s="509"/>
      <c r="EJ495" s="509"/>
      <c r="EK495" s="509"/>
      <c r="EL495" s="509"/>
      <c r="EM495" s="509"/>
      <c r="EN495" s="509"/>
      <c r="EO495" s="509"/>
      <c r="EP495" s="509"/>
      <c r="EQ495" s="509"/>
      <c r="ER495" s="509"/>
      <c r="ES495" s="509"/>
      <c r="ET495" s="509"/>
      <c r="EU495" s="509"/>
      <c r="EV495" s="509"/>
      <c r="EW495" s="509"/>
      <c r="EX495" s="509"/>
      <c r="EY495" s="509"/>
      <c r="EZ495" s="509"/>
      <c r="FA495" s="509"/>
      <c r="FB495" s="509"/>
      <c r="FC495" s="509"/>
      <c r="FD495" s="509"/>
      <c r="FE495" s="509"/>
      <c r="FF495" s="509"/>
      <c r="FG495" s="509"/>
      <c r="FH495" s="509"/>
      <c r="FI495" s="509"/>
      <c r="FJ495" s="509"/>
      <c r="FK495" s="509"/>
      <c r="FL495" s="509"/>
      <c r="FM495" s="509"/>
      <c r="FN495" s="509"/>
      <c r="FO495" s="509"/>
      <c r="FP495" s="509"/>
      <c r="FQ495" s="509"/>
      <c r="FR495" s="509"/>
      <c r="FS495" s="509"/>
      <c r="FT495" s="509"/>
      <c r="FU495" s="509"/>
      <c r="FV495" s="509"/>
      <c r="FW495" s="509"/>
      <c r="FX495" s="509"/>
      <c r="FY495" s="509"/>
      <c r="FZ495" s="509"/>
      <c r="GA495" s="509"/>
      <c r="GB495" s="509"/>
      <c r="GC495" s="509"/>
      <c r="GD495" s="509"/>
      <c r="GE495" s="509"/>
      <c r="GF495" s="509"/>
      <c r="GG495" s="509"/>
      <c r="GH495" s="509"/>
      <c r="GI495" s="509"/>
      <c r="GJ495" s="509"/>
      <c r="GK495" s="509"/>
      <c r="GL495" s="509"/>
      <c r="GM495" s="509"/>
      <c r="GN495" s="509"/>
      <c r="GO495" s="509"/>
      <c r="GP495" s="509"/>
      <c r="GQ495" s="509"/>
      <c r="GR495" s="509"/>
      <c r="GS495" s="509"/>
      <c r="GT495" s="509"/>
      <c r="GU495" s="509"/>
      <c r="GV495" s="509"/>
      <c r="GW495" s="509"/>
      <c r="GX495" s="509"/>
      <c r="GY495" s="509"/>
      <c r="GZ495" s="509"/>
      <c r="HA495" s="509"/>
      <c r="HB495" s="509"/>
      <c r="HC495" s="509"/>
      <c r="HD495" s="509"/>
      <c r="HE495" s="509"/>
      <c r="HF495" s="509"/>
      <c r="HG495" s="509"/>
      <c r="HH495" s="509"/>
      <c r="HI495" s="509"/>
      <c r="HJ495" s="509"/>
      <c r="HK495" s="509"/>
      <c r="HL495" s="509"/>
      <c r="HM495" s="509"/>
      <c r="HN495" s="509"/>
      <c r="HO495" s="509"/>
      <c r="HP495" s="509"/>
      <c r="HQ495" s="509"/>
      <c r="HR495" s="509"/>
      <c r="HS495" s="509"/>
      <c r="HT495" s="509"/>
      <c r="HU495" s="509"/>
      <c r="HV495" s="509"/>
      <c r="HW495" s="509"/>
      <c r="HX495" s="509"/>
      <c r="HY495" s="509"/>
      <c r="HZ495" s="509"/>
    </row>
    <row r="496" spans="1:234" ht="13.5" hidden="1" customHeight="1" x14ac:dyDescent="0.25">
      <c r="A496" s="1270" t="s">
        <v>8604</v>
      </c>
      <c r="B496" s="1271" t="s">
        <v>8605</v>
      </c>
      <c r="C496" s="1272" t="s">
        <v>8606</v>
      </c>
      <c r="D496" s="1273" t="s">
        <v>189</v>
      </c>
      <c r="E496" s="1272" t="s">
        <v>3228</v>
      </c>
      <c r="F496" s="1274">
        <v>42884</v>
      </c>
      <c r="G496" s="1275">
        <v>42828</v>
      </c>
      <c r="H496" s="1274">
        <v>42874</v>
      </c>
      <c r="I496" s="1276">
        <v>45077</v>
      </c>
      <c r="J496" s="1277">
        <v>10</v>
      </c>
      <c r="K496" s="1278" t="s">
        <v>3229</v>
      </c>
      <c r="L496" s="1279" t="s">
        <v>3229</v>
      </c>
      <c r="M496" s="1280">
        <v>-1</v>
      </c>
      <c r="N496" s="1281">
        <v>0.8</v>
      </c>
      <c r="O496" s="1282">
        <v>0.6</v>
      </c>
      <c r="P496" s="1283" t="s">
        <v>3229</v>
      </c>
      <c r="Q496" s="1283" t="s">
        <v>3229</v>
      </c>
      <c r="R496" s="1284" t="s">
        <v>3229</v>
      </c>
      <c r="S496" s="1285">
        <v>1</v>
      </c>
      <c r="T496" s="1286" t="s">
        <v>3229</v>
      </c>
      <c r="U496" s="1286" t="s">
        <v>3229</v>
      </c>
      <c r="V496" s="1286" t="s">
        <v>3229</v>
      </c>
      <c r="W496" s="1286" t="s">
        <v>3229</v>
      </c>
      <c r="X496" s="1286" t="s">
        <v>3229</v>
      </c>
      <c r="Y496" s="1286" t="s">
        <v>3229</v>
      </c>
      <c r="Z496" s="1286" t="s">
        <v>3229</v>
      </c>
      <c r="AA496" s="1286" t="s">
        <v>3229</v>
      </c>
      <c r="AB496" s="1286" t="s">
        <v>3229</v>
      </c>
      <c r="AC496" s="1286" t="s">
        <v>3229</v>
      </c>
      <c r="AD496" s="1286" t="s">
        <v>3229</v>
      </c>
      <c r="AE496" s="1286" t="s">
        <v>3229</v>
      </c>
      <c r="AF496" s="3764" t="s">
        <v>781</v>
      </c>
      <c r="AG496" s="3765">
        <f>(I496-indexy!$B$1)/365</f>
        <v>-0.82739726027397265</v>
      </c>
      <c r="AH496" s="1287" t="s">
        <v>3229</v>
      </c>
      <c r="AI496" s="1288" t="s">
        <v>3229</v>
      </c>
      <c r="AJ496" s="1288" t="s">
        <v>3229</v>
      </c>
      <c r="AK496" s="1288" t="s">
        <v>3229</v>
      </c>
      <c r="AL496" s="1288" t="s">
        <v>3229</v>
      </c>
      <c r="AM496" s="1288">
        <v>1</v>
      </c>
      <c r="AN496" s="1289">
        <f>+'klikací hodnoty'!F16086</f>
        <v>0.13118240000000003</v>
      </c>
      <c r="AO496" s="1290">
        <v>11.31</v>
      </c>
      <c r="AP496" s="1371">
        <f>+'klikací hodnoty'!E16085</f>
        <v>0.16397799999999998</v>
      </c>
      <c r="AQ496" s="1281">
        <f>+'klikací hodnoty'!F16078</f>
        <v>0.13880000000000001</v>
      </c>
      <c r="AR496" s="1291">
        <f t="shared" si="135"/>
        <v>0.6</v>
      </c>
      <c r="AS496" s="1292">
        <f t="shared" ref="AS496:AS513" si="137">POWER(1+AR496,1/((I496-F496)/365))-1</f>
        <v>8.1367861563355737E-2</v>
      </c>
      <c r="AT496" s="1292"/>
      <c r="AU496" s="1293"/>
      <c r="AV496" s="1294">
        <f t="shared" si="132"/>
        <v>-1</v>
      </c>
      <c r="AW496" s="1295">
        <f t="shared" si="133"/>
        <v>-1</v>
      </c>
      <c r="AX496" s="1296"/>
      <c r="AY496" s="1297"/>
      <c r="AZ496" s="1298">
        <f t="shared" si="136"/>
        <v>0</v>
      </c>
      <c r="BA496" s="1959"/>
      <c r="BB496" s="1285"/>
      <c r="BC496" s="1300"/>
      <c r="BF496" s="3746"/>
      <c r="BG496" s="3747">
        <f t="shared" si="134"/>
        <v>-1</v>
      </c>
      <c r="BH496" s="3763"/>
      <c r="BI496" s="3763"/>
      <c r="BJ496" s="1639"/>
      <c r="BK496" s="1639"/>
      <c r="BL496" s="1639"/>
      <c r="BM496" s="1639"/>
      <c r="BN496" s="1639"/>
      <c r="BO496" s="1639"/>
      <c r="BP496" s="1639"/>
      <c r="BQ496" s="1639"/>
      <c r="BR496" s="1639"/>
      <c r="BS496" s="509"/>
      <c r="BT496" s="509"/>
      <c r="BU496" s="509"/>
      <c r="BV496" s="509"/>
      <c r="BW496" s="509"/>
      <c r="BX496" s="509"/>
      <c r="BY496" s="509"/>
      <c r="BZ496" s="509"/>
      <c r="CA496" s="509"/>
      <c r="CB496" s="509"/>
      <c r="CC496" s="509"/>
      <c r="CD496" s="509"/>
      <c r="CE496" s="509"/>
      <c r="CF496" s="509"/>
      <c r="CG496" s="509"/>
      <c r="CH496" s="509"/>
      <c r="CI496" s="509"/>
      <c r="CJ496" s="509"/>
      <c r="CK496" s="509"/>
      <c r="CL496" s="509"/>
      <c r="CM496" s="509"/>
      <c r="CN496" s="509"/>
      <c r="CO496" s="509"/>
      <c r="CP496" s="509"/>
      <c r="CQ496" s="509"/>
      <c r="CR496" s="509"/>
      <c r="CS496" s="509"/>
      <c r="CT496" s="509"/>
      <c r="CU496" s="509"/>
      <c r="CV496" s="509"/>
      <c r="CW496" s="509"/>
      <c r="CX496" s="509"/>
      <c r="CY496" s="509"/>
      <c r="CZ496" s="509"/>
      <c r="DA496" s="509"/>
      <c r="DB496" s="509"/>
      <c r="DC496" s="509"/>
      <c r="DD496" s="509"/>
      <c r="DE496" s="509"/>
      <c r="DF496" s="509"/>
      <c r="DG496" s="509"/>
      <c r="DH496" s="509"/>
      <c r="DI496" s="509"/>
      <c r="DJ496" s="509"/>
      <c r="DK496" s="509"/>
      <c r="DL496" s="509"/>
      <c r="DM496" s="509"/>
      <c r="DN496" s="509"/>
      <c r="DO496" s="509"/>
      <c r="DP496" s="509"/>
      <c r="DQ496" s="509"/>
      <c r="DR496" s="509"/>
      <c r="DS496" s="509"/>
      <c r="DT496" s="509"/>
      <c r="DU496" s="509"/>
      <c r="DV496" s="509"/>
      <c r="DW496" s="509"/>
      <c r="DX496" s="509"/>
      <c r="DY496" s="509"/>
      <c r="DZ496" s="509"/>
      <c r="EA496" s="509"/>
      <c r="EB496" s="509"/>
      <c r="EC496" s="509"/>
      <c r="ED496" s="509"/>
      <c r="EE496" s="509"/>
      <c r="EF496" s="509"/>
      <c r="EG496" s="509"/>
      <c r="EH496" s="509"/>
      <c r="EI496" s="509"/>
      <c r="EJ496" s="509"/>
      <c r="EK496" s="509"/>
      <c r="EL496" s="509"/>
      <c r="EM496" s="509"/>
      <c r="EN496" s="509"/>
      <c r="EO496" s="509"/>
      <c r="EP496" s="509"/>
      <c r="EQ496" s="509"/>
      <c r="ER496" s="509"/>
      <c r="ES496" s="509"/>
      <c r="ET496" s="509"/>
      <c r="EU496" s="509"/>
      <c r="EV496" s="509"/>
      <c r="EW496" s="509"/>
      <c r="EX496" s="509"/>
      <c r="EY496" s="509"/>
      <c r="EZ496" s="509"/>
      <c r="FA496" s="509"/>
      <c r="FB496" s="509"/>
      <c r="FC496" s="509"/>
      <c r="FD496" s="509"/>
      <c r="FE496" s="509"/>
      <c r="FF496" s="509"/>
      <c r="FG496" s="509"/>
      <c r="FH496" s="509"/>
      <c r="FI496" s="509"/>
      <c r="FJ496" s="509"/>
      <c r="FK496" s="509"/>
      <c r="FL496" s="509"/>
      <c r="FM496" s="509"/>
      <c r="FN496" s="509"/>
      <c r="FO496" s="509"/>
      <c r="FP496" s="509"/>
      <c r="FQ496" s="509"/>
      <c r="FR496" s="509"/>
      <c r="FS496" s="509"/>
      <c r="FT496" s="509"/>
      <c r="FU496" s="509"/>
      <c r="FV496" s="509"/>
      <c r="FW496" s="509"/>
      <c r="FX496" s="509"/>
      <c r="FY496" s="509"/>
      <c r="FZ496" s="509"/>
      <c r="GA496" s="509"/>
      <c r="GB496" s="509"/>
      <c r="GC496" s="509"/>
      <c r="GD496" s="509"/>
      <c r="GE496" s="509"/>
      <c r="GF496" s="509"/>
      <c r="GG496" s="509"/>
      <c r="GH496" s="509"/>
      <c r="GI496" s="509"/>
      <c r="GJ496" s="509"/>
      <c r="GK496" s="509"/>
      <c r="GL496" s="509"/>
      <c r="GM496" s="509"/>
      <c r="GN496" s="509"/>
      <c r="GO496" s="509"/>
      <c r="GP496" s="509"/>
      <c r="GQ496" s="509"/>
      <c r="GR496" s="509"/>
      <c r="GS496" s="509"/>
      <c r="GT496" s="509"/>
      <c r="GU496" s="509"/>
      <c r="GV496" s="509"/>
      <c r="GW496" s="509"/>
      <c r="GX496" s="509"/>
      <c r="GY496" s="509"/>
      <c r="GZ496" s="509"/>
      <c r="HA496" s="509"/>
      <c r="HB496" s="509"/>
      <c r="HC496" s="509"/>
      <c r="HD496" s="509"/>
      <c r="HE496" s="509"/>
      <c r="HF496" s="509"/>
      <c r="HG496" s="509"/>
      <c r="HH496" s="509"/>
      <c r="HI496" s="509"/>
      <c r="HJ496" s="509"/>
      <c r="HK496" s="509"/>
      <c r="HL496" s="509"/>
      <c r="HM496" s="509"/>
      <c r="HN496" s="509"/>
      <c r="HO496" s="509"/>
      <c r="HP496" s="509"/>
      <c r="HQ496" s="509"/>
      <c r="HR496" s="509"/>
      <c r="HS496" s="509"/>
      <c r="HT496" s="509"/>
      <c r="HU496" s="509"/>
      <c r="HV496" s="509"/>
      <c r="HW496" s="509"/>
      <c r="HX496" s="509"/>
      <c r="HY496" s="509"/>
      <c r="HZ496" s="509"/>
    </row>
    <row r="497" spans="1:234" ht="13.2" hidden="1" customHeight="1" x14ac:dyDescent="0.25">
      <c r="A497" s="1270" t="s">
        <v>8611</v>
      </c>
      <c r="B497" s="1271" t="s">
        <v>8612</v>
      </c>
      <c r="C497" s="1272" t="s">
        <v>8613</v>
      </c>
      <c r="D497" s="1273" t="s">
        <v>4384</v>
      </c>
      <c r="E497" s="1272" t="s">
        <v>3228</v>
      </c>
      <c r="F497" s="1274">
        <v>42912</v>
      </c>
      <c r="G497" s="1275">
        <v>42870</v>
      </c>
      <c r="H497" s="1274">
        <v>42902</v>
      </c>
      <c r="I497" s="1276">
        <v>45107</v>
      </c>
      <c r="J497" s="1277">
        <v>10</v>
      </c>
      <c r="K497" s="1278">
        <v>0</v>
      </c>
      <c r="L497" s="1279">
        <v>7.4999999999999997E-2</v>
      </c>
      <c r="M497" s="1280">
        <v>-1</v>
      </c>
      <c r="N497" s="1281" t="s">
        <v>3229</v>
      </c>
      <c r="O497" s="1282">
        <v>0.17499999999999999</v>
      </c>
      <c r="P497" s="1283">
        <v>0.4</v>
      </c>
      <c r="Q497" s="1283">
        <v>2.5000000000000001E-2</v>
      </c>
      <c r="R497" s="1284" t="s">
        <v>3229</v>
      </c>
      <c r="S497" s="1285">
        <v>6</v>
      </c>
      <c r="T497" s="1286" t="s">
        <v>3229</v>
      </c>
      <c r="U497" s="1286" t="s">
        <v>3229</v>
      </c>
      <c r="V497" s="1286" t="s">
        <v>3229</v>
      </c>
      <c r="W497" s="1286" t="s">
        <v>3229</v>
      </c>
      <c r="X497" s="1286" t="s">
        <v>3229</v>
      </c>
      <c r="Y497" s="1286" t="s">
        <v>3229</v>
      </c>
      <c r="Z497" s="1286" t="s">
        <v>3229</v>
      </c>
      <c r="AA497" s="1286" t="s">
        <v>3229</v>
      </c>
      <c r="AB497" s="1286" t="s">
        <v>3229</v>
      </c>
      <c r="AC497" s="1286" t="s">
        <v>3229</v>
      </c>
      <c r="AD497" s="1286" t="s">
        <v>3229</v>
      </c>
      <c r="AE497" s="1286" t="s">
        <v>3229</v>
      </c>
      <c r="AF497" s="3764" t="s">
        <v>781</v>
      </c>
      <c r="AG497" s="3765">
        <f>(I497-indexy!$B$1)/365</f>
        <v>-0.74520547945205484</v>
      </c>
      <c r="AH497" s="1287" t="s">
        <v>8614</v>
      </c>
      <c r="AI497" s="1288"/>
      <c r="AJ497" s="1288"/>
      <c r="AK497" s="1288"/>
      <c r="AL497" s="1288"/>
      <c r="AM497" s="1288"/>
      <c r="AN497" s="1289">
        <f>+'klikací hodnoty'!F16096</f>
        <v>0.1</v>
      </c>
      <c r="AO497" s="1290">
        <v>10.199999999999999</v>
      </c>
      <c r="AP497" s="1371">
        <f>+'klikací hodnoty'!I16089</f>
        <v>-0.18621997129160694</v>
      </c>
      <c r="AQ497" s="1281">
        <f>+'klikací hodnoty'!I16089</f>
        <v>-0.18621997129160694</v>
      </c>
      <c r="AR497" s="1291">
        <f t="shared" si="135"/>
        <v>0.17499999999999999</v>
      </c>
      <c r="AS497" s="1292">
        <f t="shared" si="137"/>
        <v>2.7179605225800207E-2</v>
      </c>
      <c r="AT497" s="1292"/>
      <c r="AU497" s="1293"/>
      <c r="AV497" s="1294">
        <f t="shared" si="132"/>
        <v>-1</v>
      </c>
      <c r="AW497" s="1295">
        <f t="shared" si="133"/>
        <v>-1</v>
      </c>
      <c r="AX497" s="1296"/>
      <c r="AY497" s="1297"/>
      <c r="AZ497" s="1298">
        <f t="shared" si="136"/>
        <v>0</v>
      </c>
      <c r="BA497" s="1959"/>
      <c r="BB497" s="1285"/>
      <c r="BC497" s="1300"/>
      <c r="BE497" s="3746"/>
      <c r="BF497" s="3746"/>
      <c r="BG497" s="3747"/>
      <c r="BH497" s="3763"/>
      <c r="BI497" s="3763"/>
      <c r="BJ497" s="1639"/>
      <c r="BK497" s="1639"/>
      <c r="BL497" s="1639"/>
      <c r="BM497" s="1639"/>
      <c r="BN497" s="1639"/>
      <c r="BO497" s="1639"/>
      <c r="BP497" s="1639"/>
      <c r="BQ497" s="1639"/>
      <c r="BR497" s="1639"/>
      <c r="BS497" s="509"/>
      <c r="BT497" s="509"/>
      <c r="BU497" s="509"/>
      <c r="BV497" s="509"/>
      <c r="BW497" s="509"/>
      <c r="BX497" s="509"/>
      <c r="BY497" s="509"/>
      <c r="BZ497" s="509"/>
      <c r="CA497" s="509"/>
      <c r="CB497" s="509"/>
      <c r="CC497" s="509"/>
      <c r="CD497" s="509"/>
      <c r="CE497" s="509"/>
      <c r="CF497" s="509"/>
      <c r="CG497" s="509"/>
      <c r="CH497" s="509"/>
      <c r="CI497" s="509"/>
      <c r="CJ497" s="509"/>
      <c r="CK497" s="509"/>
      <c r="CL497" s="509"/>
      <c r="CM497" s="509"/>
      <c r="CN497" s="509"/>
      <c r="CO497" s="509"/>
      <c r="CP497" s="509"/>
      <c r="CQ497" s="509"/>
      <c r="CR497" s="509"/>
      <c r="CS497" s="509"/>
      <c r="CT497" s="509"/>
      <c r="CU497" s="509"/>
      <c r="CV497" s="509"/>
      <c r="CW497" s="509"/>
      <c r="CX497" s="509"/>
      <c r="CY497" s="509"/>
      <c r="CZ497" s="509"/>
      <c r="DA497" s="509"/>
      <c r="DB497" s="509"/>
      <c r="DC497" s="509"/>
      <c r="DD497" s="509"/>
      <c r="DE497" s="509"/>
      <c r="DF497" s="509"/>
      <c r="DG497" s="509"/>
      <c r="DH497" s="509"/>
      <c r="DI497" s="509"/>
      <c r="DJ497" s="509"/>
      <c r="DK497" s="509"/>
      <c r="DL497" s="509"/>
      <c r="DM497" s="509"/>
      <c r="DN497" s="509"/>
      <c r="DO497" s="509"/>
      <c r="DP497" s="509"/>
      <c r="DQ497" s="509"/>
      <c r="DR497" s="509"/>
      <c r="DS497" s="509"/>
      <c r="DT497" s="509"/>
      <c r="DU497" s="509"/>
      <c r="DV497" s="509"/>
      <c r="DW497" s="509"/>
      <c r="DX497" s="509"/>
      <c r="DY497" s="509"/>
      <c r="DZ497" s="509"/>
      <c r="EA497" s="509"/>
      <c r="EB497" s="509"/>
      <c r="EC497" s="509"/>
      <c r="ED497" s="509"/>
      <c r="EE497" s="509"/>
      <c r="EF497" s="509"/>
      <c r="EG497" s="509"/>
      <c r="EH497" s="509"/>
      <c r="EI497" s="509"/>
      <c r="EJ497" s="509"/>
      <c r="EK497" s="509"/>
      <c r="EL497" s="509"/>
      <c r="EM497" s="509"/>
      <c r="EN497" s="509"/>
      <c r="EO497" s="509"/>
      <c r="EP497" s="509"/>
      <c r="EQ497" s="509"/>
      <c r="ER497" s="509"/>
      <c r="ES497" s="509"/>
      <c r="ET497" s="509"/>
      <c r="EU497" s="509"/>
      <c r="EV497" s="509"/>
      <c r="EW497" s="509"/>
      <c r="EX497" s="509"/>
      <c r="EY497" s="509"/>
      <c r="EZ497" s="509"/>
      <c r="FA497" s="509"/>
      <c r="FB497" s="509"/>
      <c r="FC497" s="509"/>
      <c r="FD497" s="509"/>
      <c r="FE497" s="509"/>
      <c r="FF497" s="509"/>
      <c r="FG497" s="509"/>
      <c r="FH497" s="509"/>
      <c r="FI497" s="509"/>
      <c r="FJ497" s="509"/>
      <c r="FK497" s="509"/>
      <c r="FL497" s="509"/>
      <c r="FM497" s="509"/>
      <c r="FN497" s="509"/>
      <c r="FO497" s="509"/>
      <c r="FP497" s="509"/>
      <c r="FQ497" s="509"/>
      <c r="FR497" s="509"/>
      <c r="FS497" s="509"/>
      <c r="FT497" s="509"/>
      <c r="FU497" s="509"/>
      <c r="FV497" s="509"/>
      <c r="FW497" s="509"/>
      <c r="FX497" s="509"/>
      <c r="FY497" s="509"/>
      <c r="FZ497" s="509"/>
      <c r="GA497" s="509"/>
      <c r="GB497" s="509"/>
      <c r="GC497" s="509"/>
      <c r="GD497" s="509"/>
      <c r="GE497" s="509"/>
      <c r="GF497" s="509"/>
      <c r="GG497" s="509"/>
      <c r="GH497" s="509"/>
      <c r="GI497" s="509"/>
      <c r="GJ497" s="509"/>
      <c r="GK497" s="509"/>
      <c r="GL497" s="509"/>
      <c r="GM497" s="509"/>
      <c r="GN497" s="509"/>
      <c r="GO497" s="509"/>
      <c r="GP497" s="509"/>
      <c r="GQ497" s="509"/>
      <c r="GR497" s="509"/>
      <c r="GS497" s="509"/>
      <c r="GT497" s="509"/>
      <c r="GU497" s="509"/>
      <c r="GV497" s="509"/>
      <c r="GW497" s="509"/>
      <c r="GX497" s="509"/>
      <c r="GY497" s="509"/>
      <c r="GZ497" s="509"/>
      <c r="HA497" s="509"/>
      <c r="HB497" s="509"/>
      <c r="HC497" s="509"/>
      <c r="HD497" s="509"/>
      <c r="HE497" s="509"/>
      <c r="HF497" s="509"/>
      <c r="HG497" s="509"/>
      <c r="HH497" s="509"/>
      <c r="HI497" s="509"/>
      <c r="HJ497" s="509"/>
      <c r="HK497" s="509"/>
      <c r="HL497" s="509"/>
      <c r="HM497" s="509"/>
      <c r="HN497" s="509"/>
      <c r="HO497" s="509"/>
      <c r="HP497" s="509"/>
      <c r="HQ497" s="509"/>
      <c r="HR497" s="509"/>
      <c r="HS497" s="509"/>
      <c r="HT497" s="509"/>
      <c r="HU497" s="509"/>
      <c r="HV497" s="509"/>
      <c r="HW497" s="509"/>
      <c r="HX497" s="509"/>
      <c r="HY497" s="509"/>
      <c r="HZ497" s="509"/>
    </row>
    <row r="498" spans="1:234" ht="13.5" hidden="1" customHeight="1" x14ac:dyDescent="0.25">
      <c r="A498" s="1270" t="s">
        <v>8615</v>
      </c>
      <c r="B498" s="1271" t="s">
        <v>8616</v>
      </c>
      <c r="C498" s="1272" t="s">
        <v>8617</v>
      </c>
      <c r="D498" s="1273" t="s">
        <v>8854</v>
      </c>
      <c r="E498" s="1272" t="s">
        <v>3228</v>
      </c>
      <c r="F498" s="1274">
        <v>42926</v>
      </c>
      <c r="G498" s="1275">
        <v>42857</v>
      </c>
      <c r="H498" s="1274">
        <v>42916</v>
      </c>
      <c r="I498" s="1276">
        <v>45107</v>
      </c>
      <c r="J498" s="1277">
        <v>10</v>
      </c>
      <c r="K498" s="1278" t="s">
        <v>3229</v>
      </c>
      <c r="L498" s="1279" t="s">
        <v>3229</v>
      </c>
      <c r="M498" s="1280">
        <v>-1</v>
      </c>
      <c r="N498" s="1281">
        <v>1</v>
      </c>
      <c r="O498" s="1282">
        <v>0.6</v>
      </c>
      <c r="P498" s="1283">
        <v>0.4</v>
      </c>
      <c r="Q498" s="1283" t="s">
        <v>3229</v>
      </c>
      <c r="R498" s="1284" t="s">
        <v>3229</v>
      </c>
      <c r="S498" s="1285">
        <v>1</v>
      </c>
      <c r="T498" s="1286" t="s">
        <v>3229</v>
      </c>
      <c r="U498" s="1286" t="s">
        <v>3229</v>
      </c>
      <c r="V498" s="1286" t="s">
        <v>3229</v>
      </c>
      <c r="W498" s="1286" t="s">
        <v>3229</v>
      </c>
      <c r="X498" s="1286" t="s">
        <v>3229</v>
      </c>
      <c r="Y498" s="1286" t="s">
        <v>3229</v>
      </c>
      <c r="Z498" s="1286" t="s">
        <v>3229</v>
      </c>
      <c r="AA498" s="1286" t="s">
        <v>3229</v>
      </c>
      <c r="AB498" s="1286" t="s">
        <v>3229</v>
      </c>
      <c r="AC498" s="1286" t="s">
        <v>3229</v>
      </c>
      <c r="AD498" s="1286" t="s">
        <v>3229</v>
      </c>
      <c r="AE498" s="1286" t="s">
        <v>3229</v>
      </c>
      <c r="AF498" s="3764" t="s">
        <v>781</v>
      </c>
      <c r="AG498" s="3765">
        <f>(I498-indexy!$B$1)/365</f>
        <v>-0.74520547945205484</v>
      </c>
      <c r="AH498" s="1287" t="s">
        <v>3229</v>
      </c>
      <c r="AI498" s="1288" t="s">
        <v>3229</v>
      </c>
      <c r="AJ498" s="1288" t="s">
        <v>3229</v>
      </c>
      <c r="AK498" s="1288" t="s">
        <v>3229</v>
      </c>
      <c r="AL498" s="1288" t="s">
        <v>3229</v>
      </c>
      <c r="AM498" s="1288">
        <v>1</v>
      </c>
      <c r="AN498" s="1289">
        <f>+'klikací hodnoty'!F16174</f>
        <v>0.15381133333333333</v>
      </c>
      <c r="AO498" s="1290">
        <v>11.54</v>
      </c>
      <c r="AP498" s="1371">
        <f>+'klikací hodnoty'!F16173</f>
        <v>0.15381133333333333</v>
      </c>
      <c r="AQ498" s="1281">
        <f>+'klikací hodnoty'!F16173</f>
        <v>0.15381133333333333</v>
      </c>
      <c r="AR498" s="1291">
        <f t="shared" si="135"/>
        <v>0.6</v>
      </c>
      <c r="AS498" s="1292">
        <f t="shared" si="137"/>
        <v>8.1833391858051607E-2</v>
      </c>
      <c r="AT498" s="1292"/>
      <c r="AU498" s="1293"/>
      <c r="AV498" s="1294">
        <f t="shared" si="132"/>
        <v>-1</v>
      </c>
      <c r="AW498" s="1295">
        <f t="shared" si="133"/>
        <v>-1</v>
      </c>
      <c r="AX498" s="1296"/>
      <c r="AY498" s="1297"/>
      <c r="AZ498" s="1298">
        <f t="shared" si="136"/>
        <v>0</v>
      </c>
      <c r="BA498" s="1959"/>
      <c r="BB498" s="1285"/>
      <c r="BC498" s="1300"/>
      <c r="BF498" s="3746"/>
      <c r="BG498" s="3747"/>
      <c r="BH498" s="3763"/>
      <c r="BI498" s="3763"/>
      <c r="BJ498" s="1639"/>
      <c r="BK498" s="1639"/>
      <c r="BL498" s="1639"/>
      <c r="BM498" s="1639"/>
      <c r="BN498" s="1639"/>
      <c r="BO498" s="1639"/>
      <c r="BP498" s="1639"/>
      <c r="BQ498" s="1639"/>
      <c r="BR498" s="1639"/>
      <c r="BS498" s="509"/>
      <c r="BT498" s="509"/>
      <c r="BU498" s="509"/>
      <c r="BV498" s="509"/>
      <c r="BW498" s="509"/>
      <c r="BX498" s="509"/>
      <c r="BY498" s="509"/>
      <c r="BZ498" s="509"/>
      <c r="CA498" s="509"/>
      <c r="CB498" s="509"/>
      <c r="CC498" s="509"/>
      <c r="CD498" s="509"/>
      <c r="CE498" s="509"/>
      <c r="CF498" s="509"/>
      <c r="CG498" s="509"/>
      <c r="CH498" s="509"/>
      <c r="CI498" s="509"/>
      <c r="CJ498" s="509"/>
      <c r="CK498" s="509"/>
      <c r="CL498" s="509"/>
      <c r="CM498" s="509"/>
      <c r="CN498" s="509"/>
      <c r="CO498" s="509"/>
      <c r="CP498" s="509"/>
      <c r="CQ498" s="509"/>
      <c r="CR498" s="509"/>
      <c r="CS498" s="509"/>
      <c r="CT498" s="509"/>
      <c r="CU498" s="509"/>
      <c r="CV498" s="509"/>
      <c r="CW498" s="509"/>
      <c r="CX498" s="509"/>
      <c r="CY498" s="509"/>
      <c r="CZ498" s="509"/>
      <c r="DA498" s="509"/>
      <c r="DB498" s="509"/>
      <c r="DC498" s="509"/>
      <c r="DD498" s="509"/>
      <c r="DE498" s="509"/>
      <c r="DF498" s="509"/>
      <c r="DG498" s="509"/>
      <c r="DH498" s="509"/>
      <c r="DI498" s="509"/>
      <c r="DJ498" s="509"/>
      <c r="DK498" s="509"/>
      <c r="DL498" s="509"/>
      <c r="DM498" s="509"/>
      <c r="DN498" s="509"/>
      <c r="DO498" s="509"/>
      <c r="DP498" s="509"/>
      <c r="DQ498" s="509"/>
      <c r="DR498" s="509"/>
      <c r="DS498" s="509"/>
      <c r="DT498" s="509"/>
      <c r="DU498" s="509"/>
      <c r="DV498" s="509"/>
      <c r="DW498" s="509"/>
      <c r="DX498" s="509"/>
      <c r="DY498" s="509"/>
      <c r="DZ498" s="509"/>
      <c r="EA498" s="509"/>
      <c r="EB498" s="509"/>
      <c r="EC498" s="509"/>
      <c r="ED498" s="509"/>
      <c r="EE498" s="509"/>
      <c r="EF498" s="509"/>
      <c r="EG498" s="509"/>
      <c r="EH498" s="509"/>
      <c r="EI498" s="509"/>
      <c r="EJ498" s="509"/>
      <c r="EK498" s="509"/>
      <c r="EL498" s="509"/>
      <c r="EM498" s="509"/>
      <c r="EN498" s="509"/>
      <c r="EO498" s="509"/>
      <c r="EP498" s="509"/>
      <c r="EQ498" s="509"/>
      <c r="ER498" s="509"/>
      <c r="ES498" s="509"/>
      <c r="ET498" s="509"/>
      <c r="EU498" s="509"/>
      <c r="EV498" s="509"/>
      <c r="EW498" s="509"/>
      <c r="EX498" s="509"/>
      <c r="EY498" s="509"/>
      <c r="EZ498" s="509"/>
      <c r="FA498" s="509"/>
      <c r="FB498" s="509"/>
      <c r="FC498" s="509"/>
      <c r="FD498" s="509"/>
      <c r="FE498" s="509"/>
      <c r="FF498" s="509"/>
      <c r="FG498" s="509"/>
      <c r="FH498" s="509"/>
      <c r="FI498" s="509"/>
      <c r="FJ498" s="509"/>
      <c r="FK498" s="509"/>
      <c r="FL498" s="509"/>
      <c r="FM498" s="509"/>
      <c r="FN498" s="509"/>
      <c r="FO498" s="509"/>
      <c r="FP498" s="509"/>
      <c r="FQ498" s="509"/>
      <c r="FR498" s="509"/>
      <c r="FS498" s="509"/>
      <c r="FT498" s="509"/>
      <c r="FU498" s="509"/>
      <c r="FV498" s="509"/>
      <c r="FW498" s="509"/>
      <c r="FX498" s="509"/>
      <c r="FY498" s="509"/>
      <c r="FZ498" s="509"/>
      <c r="GA498" s="509"/>
      <c r="GB498" s="509"/>
      <c r="GC498" s="509"/>
      <c r="GD498" s="509"/>
      <c r="GE498" s="509"/>
      <c r="GF498" s="509"/>
      <c r="GG498" s="509"/>
      <c r="GH498" s="509"/>
      <c r="GI498" s="509"/>
      <c r="GJ498" s="509"/>
      <c r="GK498" s="509"/>
      <c r="GL498" s="509"/>
      <c r="GM498" s="509"/>
      <c r="GN498" s="509"/>
      <c r="GO498" s="509"/>
      <c r="GP498" s="509"/>
      <c r="GQ498" s="509"/>
      <c r="GR498" s="509"/>
      <c r="GS498" s="509"/>
      <c r="GT498" s="509"/>
      <c r="GU498" s="509"/>
      <c r="GV498" s="509"/>
      <c r="GW498" s="509"/>
      <c r="GX498" s="509"/>
      <c r="GY498" s="509"/>
      <c r="GZ498" s="509"/>
      <c r="HA498" s="509"/>
      <c r="HB498" s="509"/>
      <c r="HC498" s="509"/>
      <c r="HD498" s="509"/>
      <c r="HE498" s="509"/>
      <c r="HF498" s="509"/>
      <c r="HG498" s="509"/>
      <c r="HH498" s="509"/>
      <c r="HI498" s="509"/>
      <c r="HJ498" s="509"/>
      <c r="HK498" s="509"/>
      <c r="HL498" s="509"/>
      <c r="HM498" s="509"/>
      <c r="HN498" s="509"/>
      <c r="HO498" s="509"/>
      <c r="HP498" s="509"/>
      <c r="HQ498" s="509"/>
      <c r="HR498" s="509"/>
      <c r="HS498" s="509"/>
      <c r="HT498" s="509"/>
      <c r="HU498" s="509"/>
      <c r="HV498" s="509"/>
      <c r="HW498" s="509"/>
      <c r="HX498" s="509"/>
      <c r="HY498" s="509"/>
      <c r="HZ498" s="509"/>
    </row>
    <row r="499" spans="1:234" ht="13.5" hidden="1" customHeight="1" x14ac:dyDescent="0.25">
      <c r="A499" s="1270" t="s">
        <v>8618</v>
      </c>
      <c r="B499" s="1271" t="s">
        <v>8619</v>
      </c>
      <c r="C499" s="1272" t="s">
        <v>8620</v>
      </c>
      <c r="D499" s="1273" t="s">
        <v>189</v>
      </c>
      <c r="E499" s="1272" t="s">
        <v>3228</v>
      </c>
      <c r="F499" s="1274">
        <v>42926</v>
      </c>
      <c r="G499" s="1275">
        <v>42857</v>
      </c>
      <c r="H499" s="1274">
        <v>42916</v>
      </c>
      <c r="I499" s="1276">
        <v>45138</v>
      </c>
      <c r="J499" s="1277">
        <v>10</v>
      </c>
      <c r="K499" s="1278" t="s">
        <v>3229</v>
      </c>
      <c r="L499" s="1279" t="s">
        <v>3229</v>
      </c>
      <c r="M499" s="1280">
        <v>-1</v>
      </c>
      <c r="N499" s="1281">
        <v>1</v>
      </c>
      <c r="O499" s="1282">
        <v>0.6</v>
      </c>
      <c r="P499" s="1283">
        <v>0.3</v>
      </c>
      <c r="Q499" s="1283" t="s">
        <v>3229</v>
      </c>
      <c r="R499" s="1284" t="s">
        <v>3229</v>
      </c>
      <c r="S499" s="1285">
        <v>1</v>
      </c>
      <c r="T499" s="1286" t="s">
        <v>3229</v>
      </c>
      <c r="U499" s="1286" t="s">
        <v>3229</v>
      </c>
      <c r="V499" s="1286" t="s">
        <v>3229</v>
      </c>
      <c r="W499" s="1286" t="s">
        <v>3229</v>
      </c>
      <c r="X499" s="1286" t="s">
        <v>3229</v>
      </c>
      <c r="Y499" s="1286" t="s">
        <v>3229</v>
      </c>
      <c r="Z499" s="1286" t="s">
        <v>3229</v>
      </c>
      <c r="AA499" s="1286" t="s">
        <v>3229</v>
      </c>
      <c r="AB499" s="1286" t="s">
        <v>3229</v>
      </c>
      <c r="AC499" s="1286" t="s">
        <v>3229</v>
      </c>
      <c r="AD499" s="1286" t="s">
        <v>3229</v>
      </c>
      <c r="AE499" s="1286" t="s">
        <v>3229</v>
      </c>
      <c r="AF499" s="3764" t="s">
        <v>781</v>
      </c>
      <c r="AG499" s="3765">
        <f>(I499-indexy!$B$1)/365</f>
        <v>-0.66027397260273968</v>
      </c>
      <c r="AH499" s="1287" t="s">
        <v>3229</v>
      </c>
      <c r="AI499" s="1288" t="s">
        <v>3229</v>
      </c>
      <c r="AJ499" s="1288" t="s">
        <v>3229</v>
      </c>
      <c r="AK499" s="1288" t="s">
        <v>3229</v>
      </c>
      <c r="AL499" s="1288" t="s">
        <v>3229</v>
      </c>
      <c r="AM499" s="1288">
        <v>1</v>
      </c>
      <c r="AN499" s="1289">
        <f>+'klikací hodnoty'!F16140</f>
        <v>7.5963999999999962E-2</v>
      </c>
      <c r="AO499" s="1290">
        <v>10.76</v>
      </c>
      <c r="AP499" s="1371">
        <f>+'klikací hodnoty'!F16139</f>
        <v>7.5963999999999962E-2</v>
      </c>
      <c r="AQ499" s="1281">
        <f>+'klikací hodnoty'!F16132</f>
        <v>7.6799999999999993E-2</v>
      </c>
      <c r="AR499" s="1291">
        <f t="shared" si="135"/>
        <v>0.6</v>
      </c>
      <c r="AS499" s="1292">
        <f t="shared" si="137"/>
        <v>8.0641502297279066E-2</v>
      </c>
      <c r="AT499" s="1292"/>
      <c r="AU499" s="1293"/>
      <c r="AV499" s="1294">
        <f t="shared" ref="AV499:AV506" si="138">M499</f>
        <v>-1</v>
      </c>
      <c r="AW499" s="1295">
        <f t="shared" ref="AW499:AW506" si="139">POWER(1+AV499,1/((I499-F499)/365))-1</f>
        <v>-1</v>
      </c>
      <c r="AX499" s="1296"/>
      <c r="AY499" s="1297"/>
      <c r="AZ499" s="1298">
        <f t="shared" si="136"/>
        <v>0</v>
      </c>
      <c r="BA499" s="1959"/>
      <c r="BB499" s="1285"/>
      <c r="BC499" s="1300"/>
      <c r="BF499" s="3746"/>
      <c r="BG499" s="3747"/>
      <c r="BH499" s="3763"/>
      <c r="BI499" s="3763"/>
      <c r="BJ499" s="1639"/>
      <c r="BK499" s="1639"/>
      <c r="BL499" s="1639"/>
      <c r="BM499" s="1639"/>
      <c r="BN499" s="1639"/>
      <c r="BO499" s="1639"/>
      <c r="BP499" s="1639"/>
      <c r="BQ499" s="1639"/>
      <c r="BR499" s="1639"/>
      <c r="BS499" s="509"/>
      <c r="BT499" s="509"/>
      <c r="BU499" s="509"/>
      <c r="BV499" s="509"/>
      <c r="BW499" s="509"/>
      <c r="BX499" s="509"/>
      <c r="BY499" s="509"/>
      <c r="BZ499" s="509"/>
      <c r="CA499" s="509"/>
      <c r="CB499" s="509"/>
      <c r="CC499" s="509"/>
      <c r="CD499" s="509"/>
      <c r="CE499" s="509"/>
      <c r="CF499" s="509"/>
      <c r="CG499" s="509"/>
      <c r="CH499" s="509"/>
      <c r="CI499" s="509"/>
      <c r="CJ499" s="509"/>
      <c r="CK499" s="509"/>
      <c r="CL499" s="509"/>
      <c r="CM499" s="509"/>
      <c r="CN499" s="509"/>
      <c r="CO499" s="509"/>
      <c r="CP499" s="509"/>
      <c r="CQ499" s="509"/>
      <c r="CR499" s="509"/>
      <c r="CS499" s="509"/>
      <c r="CT499" s="509"/>
      <c r="CU499" s="509"/>
      <c r="CV499" s="509"/>
      <c r="CW499" s="509"/>
      <c r="CX499" s="509"/>
      <c r="CY499" s="509"/>
      <c r="CZ499" s="509"/>
      <c r="DA499" s="509"/>
      <c r="DB499" s="509"/>
      <c r="DC499" s="509"/>
      <c r="DD499" s="509"/>
      <c r="DE499" s="509"/>
      <c r="DF499" s="509"/>
      <c r="DG499" s="509"/>
      <c r="DH499" s="509"/>
      <c r="DI499" s="509"/>
      <c r="DJ499" s="509"/>
      <c r="DK499" s="509"/>
      <c r="DL499" s="509"/>
      <c r="DM499" s="509"/>
      <c r="DN499" s="509"/>
      <c r="DO499" s="509"/>
      <c r="DP499" s="509"/>
      <c r="DQ499" s="509"/>
      <c r="DR499" s="509"/>
      <c r="DS499" s="509"/>
      <c r="DT499" s="509"/>
      <c r="DU499" s="509"/>
      <c r="DV499" s="509"/>
      <c r="DW499" s="509"/>
      <c r="DX499" s="509"/>
      <c r="DY499" s="509"/>
      <c r="DZ499" s="509"/>
      <c r="EA499" s="509"/>
      <c r="EB499" s="509"/>
      <c r="EC499" s="509"/>
      <c r="ED499" s="509"/>
      <c r="EE499" s="509"/>
      <c r="EF499" s="509"/>
      <c r="EG499" s="509"/>
      <c r="EH499" s="509"/>
      <c r="EI499" s="509"/>
      <c r="EJ499" s="509"/>
      <c r="EK499" s="509"/>
      <c r="EL499" s="509"/>
      <c r="EM499" s="509"/>
      <c r="EN499" s="509"/>
      <c r="EO499" s="509"/>
      <c r="EP499" s="509"/>
      <c r="EQ499" s="509"/>
      <c r="ER499" s="509"/>
      <c r="ES499" s="509"/>
      <c r="ET499" s="509"/>
      <c r="EU499" s="509"/>
      <c r="EV499" s="509"/>
      <c r="EW499" s="509"/>
      <c r="EX499" s="509"/>
      <c r="EY499" s="509"/>
      <c r="EZ499" s="509"/>
      <c r="FA499" s="509"/>
      <c r="FB499" s="509"/>
      <c r="FC499" s="509"/>
      <c r="FD499" s="509"/>
      <c r="FE499" s="509"/>
      <c r="FF499" s="509"/>
      <c r="FG499" s="509"/>
      <c r="FH499" s="509"/>
      <c r="FI499" s="509"/>
      <c r="FJ499" s="509"/>
      <c r="FK499" s="509"/>
      <c r="FL499" s="509"/>
      <c r="FM499" s="509"/>
      <c r="FN499" s="509"/>
      <c r="FO499" s="509"/>
      <c r="FP499" s="509"/>
      <c r="FQ499" s="509"/>
      <c r="FR499" s="509"/>
      <c r="FS499" s="509"/>
      <c r="FT499" s="509"/>
      <c r="FU499" s="509"/>
      <c r="FV499" s="509"/>
      <c r="FW499" s="509"/>
      <c r="FX499" s="509"/>
      <c r="FY499" s="509"/>
      <c r="FZ499" s="509"/>
      <c r="GA499" s="509"/>
      <c r="GB499" s="509"/>
      <c r="GC499" s="509"/>
      <c r="GD499" s="509"/>
      <c r="GE499" s="509"/>
      <c r="GF499" s="509"/>
      <c r="GG499" s="509"/>
      <c r="GH499" s="509"/>
      <c r="GI499" s="509"/>
      <c r="GJ499" s="509"/>
      <c r="GK499" s="509"/>
      <c r="GL499" s="509"/>
      <c r="GM499" s="509"/>
      <c r="GN499" s="509"/>
      <c r="GO499" s="509"/>
      <c r="GP499" s="509"/>
      <c r="GQ499" s="509"/>
      <c r="GR499" s="509"/>
      <c r="GS499" s="509"/>
      <c r="GT499" s="509"/>
      <c r="GU499" s="509"/>
      <c r="GV499" s="509"/>
      <c r="GW499" s="509"/>
      <c r="GX499" s="509"/>
      <c r="GY499" s="509"/>
      <c r="GZ499" s="509"/>
      <c r="HA499" s="509"/>
      <c r="HB499" s="509"/>
      <c r="HC499" s="509"/>
      <c r="HD499" s="509"/>
      <c r="HE499" s="509"/>
      <c r="HF499" s="509"/>
      <c r="HG499" s="509"/>
      <c r="HH499" s="509"/>
      <c r="HI499" s="509"/>
      <c r="HJ499" s="509"/>
      <c r="HK499" s="509"/>
      <c r="HL499" s="509"/>
      <c r="HM499" s="509"/>
      <c r="HN499" s="509"/>
      <c r="HO499" s="509"/>
      <c r="HP499" s="509"/>
      <c r="HQ499" s="509"/>
      <c r="HR499" s="509"/>
      <c r="HS499" s="509"/>
      <c r="HT499" s="509"/>
      <c r="HU499" s="509"/>
      <c r="HV499" s="509"/>
      <c r="HW499" s="509"/>
      <c r="HX499" s="509"/>
      <c r="HY499" s="509"/>
      <c r="HZ499" s="509"/>
    </row>
    <row r="500" spans="1:234" ht="13.5" hidden="1" customHeight="1" x14ac:dyDescent="0.25">
      <c r="A500" s="1270" t="s">
        <v>8832</v>
      </c>
      <c r="B500" s="1271" t="s">
        <v>8825</v>
      </c>
      <c r="C500" s="1272" t="s">
        <v>8831</v>
      </c>
      <c r="D500" s="1273" t="s">
        <v>189</v>
      </c>
      <c r="E500" s="1272" t="s">
        <v>905</v>
      </c>
      <c r="F500" s="1274">
        <v>42968</v>
      </c>
      <c r="G500" s="1275">
        <v>42950</v>
      </c>
      <c r="H500" s="1274">
        <v>42958</v>
      </c>
      <c r="I500" s="1276">
        <v>45198</v>
      </c>
      <c r="J500" s="1277">
        <v>10</v>
      </c>
      <c r="K500" s="1278" t="s">
        <v>3229</v>
      </c>
      <c r="L500" s="1279">
        <v>0.08</v>
      </c>
      <c r="M500" s="1280">
        <v>-0.85</v>
      </c>
      <c r="N500" s="1281">
        <v>1</v>
      </c>
      <c r="O500" s="1282">
        <v>0.6</v>
      </c>
      <c r="P500" s="1283" t="s">
        <v>3229</v>
      </c>
      <c r="Q500" s="1283" t="s">
        <v>3229</v>
      </c>
      <c r="R500" s="1284">
        <v>0.15</v>
      </c>
      <c r="S500" s="1285">
        <v>2</v>
      </c>
      <c r="T500" s="1286" t="s">
        <v>3229</v>
      </c>
      <c r="U500" s="1286" t="s">
        <v>3229</v>
      </c>
      <c r="V500" s="1286" t="s">
        <v>3229</v>
      </c>
      <c r="W500" s="1286" t="s">
        <v>3229</v>
      </c>
      <c r="X500" s="1286" t="s">
        <v>3229</v>
      </c>
      <c r="Y500" s="1286" t="s">
        <v>3229</v>
      </c>
      <c r="Z500" s="1286" t="s">
        <v>3229</v>
      </c>
      <c r="AA500" s="1286" t="s">
        <v>3229</v>
      </c>
      <c r="AB500" s="1286" t="s">
        <v>3229</v>
      </c>
      <c r="AC500" s="1286" t="s">
        <v>3229</v>
      </c>
      <c r="AD500" s="1286" t="s">
        <v>3229</v>
      </c>
      <c r="AE500" s="1286" t="s">
        <v>3229</v>
      </c>
      <c r="AF500" s="3764" t="s">
        <v>781</v>
      </c>
      <c r="AG500" s="3765">
        <f>(I500-indexy!$B$1)/365</f>
        <v>-0.49589041095890413</v>
      </c>
      <c r="AH500" s="1287">
        <v>1</v>
      </c>
      <c r="AI500" s="1288" t="s">
        <v>3229</v>
      </c>
      <c r="AJ500" s="1288" t="s">
        <v>3229</v>
      </c>
      <c r="AK500" s="1288" t="s">
        <v>3229</v>
      </c>
      <c r="AL500" s="1288" t="s">
        <v>3229</v>
      </c>
      <c r="AM500" s="1288" t="s">
        <v>3229</v>
      </c>
      <c r="AN500" s="1289">
        <f>+'klikací hodnoty'!F16180</f>
        <v>0.26703674380350773</v>
      </c>
      <c r="AO500" s="1290">
        <v>12.67</v>
      </c>
      <c r="AP500" s="1371">
        <f>+'klikací hodnoty'!F16179</f>
        <v>0.26703674380350773</v>
      </c>
      <c r="AQ500" s="1281">
        <f>+'klikací hodnoty'!F16179</f>
        <v>0.26703674380350773</v>
      </c>
      <c r="AR500" s="1291">
        <f t="shared" si="135"/>
        <v>0.6</v>
      </c>
      <c r="AS500" s="1292">
        <f t="shared" si="137"/>
        <v>7.9965228889980144E-2</v>
      </c>
      <c r="AT500" s="1292"/>
      <c r="AU500" s="1293"/>
      <c r="AV500" s="1294">
        <f t="shared" si="138"/>
        <v>-0.85</v>
      </c>
      <c r="AW500" s="1295">
        <f t="shared" si="139"/>
        <v>-0.26693078495284905</v>
      </c>
      <c r="AX500" s="1296"/>
      <c r="AY500" s="1297"/>
      <c r="AZ500" s="1298">
        <f t="shared" si="136"/>
        <v>1.5000000000000002</v>
      </c>
      <c r="BA500" s="1959"/>
      <c r="BB500" s="1285"/>
      <c r="BC500" s="1300"/>
      <c r="BF500" s="3746"/>
      <c r="BG500" s="3747"/>
      <c r="BH500" s="3763"/>
      <c r="BI500" s="3763"/>
      <c r="BJ500" s="1639"/>
      <c r="BK500" s="1639"/>
      <c r="BL500" s="1639"/>
      <c r="BM500" s="1639"/>
      <c r="BN500" s="1639"/>
      <c r="BO500" s="1639"/>
      <c r="BP500" s="1639"/>
      <c r="BQ500" s="1639"/>
      <c r="BR500" s="1639"/>
      <c r="BS500" s="509"/>
      <c r="BT500" s="509"/>
      <c r="BU500" s="509"/>
      <c r="BV500" s="509"/>
      <c r="BW500" s="509"/>
      <c r="BX500" s="509"/>
      <c r="BY500" s="509"/>
      <c r="BZ500" s="509"/>
      <c r="CA500" s="509"/>
      <c r="CB500" s="509"/>
      <c r="CC500" s="509"/>
      <c r="CD500" s="509"/>
      <c r="CE500" s="509"/>
      <c r="CF500" s="509"/>
      <c r="CG500" s="509"/>
      <c r="CH500" s="509"/>
      <c r="CI500" s="509"/>
      <c r="CJ500" s="509"/>
      <c r="CK500" s="509"/>
      <c r="CL500" s="509"/>
      <c r="CM500" s="509"/>
      <c r="CN500" s="509"/>
      <c r="CO500" s="509"/>
      <c r="CP500" s="509"/>
      <c r="CQ500" s="509"/>
      <c r="CR500" s="509"/>
      <c r="CS500" s="509"/>
      <c r="CT500" s="509"/>
      <c r="CU500" s="509"/>
      <c r="CV500" s="509"/>
      <c r="CW500" s="509"/>
      <c r="CX500" s="509"/>
      <c r="CY500" s="509"/>
      <c r="CZ500" s="509"/>
      <c r="DA500" s="509"/>
      <c r="DB500" s="509"/>
      <c r="DC500" s="509"/>
      <c r="DD500" s="509"/>
      <c r="DE500" s="509"/>
      <c r="DF500" s="509"/>
      <c r="DG500" s="509"/>
      <c r="DH500" s="509"/>
      <c r="DI500" s="509"/>
      <c r="DJ500" s="509"/>
      <c r="DK500" s="509"/>
      <c r="DL500" s="509"/>
      <c r="DM500" s="509"/>
      <c r="DN500" s="509"/>
      <c r="DO500" s="509"/>
      <c r="DP500" s="509"/>
      <c r="DQ500" s="509"/>
      <c r="DR500" s="509"/>
      <c r="DS500" s="509"/>
      <c r="DT500" s="509"/>
      <c r="DU500" s="509"/>
      <c r="DV500" s="509"/>
      <c r="DW500" s="509"/>
      <c r="DX500" s="509"/>
      <c r="DY500" s="509"/>
      <c r="DZ500" s="509"/>
      <c r="EA500" s="509"/>
      <c r="EB500" s="509"/>
      <c r="EC500" s="509"/>
      <c r="ED500" s="509"/>
      <c r="EE500" s="509"/>
      <c r="EF500" s="509"/>
      <c r="EG500" s="509"/>
      <c r="EH500" s="509"/>
      <c r="EI500" s="509"/>
      <c r="EJ500" s="509"/>
      <c r="EK500" s="509"/>
      <c r="EL500" s="509"/>
      <c r="EM500" s="509"/>
      <c r="EN500" s="509"/>
      <c r="EO500" s="509"/>
      <c r="EP500" s="509"/>
      <c r="EQ500" s="509"/>
      <c r="ER500" s="509"/>
      <c r="ES500" s="509"/>
      <c r="ET500" s="509"/>
      <c r="EU500" s="509"/>
      <c r="EV500" s="509"/>
      <c r="EW500" s="509"/>
      <c r="EX500" s="509"/>
      <c r="EY500" s="509"/>
      <c r="EZ500" s="509"/>
      <c r="FA500" s="509"/>
      <c r="FB500" s="509"/>
      <c r="FC500" s="509"/>
      <c r="FD500" s="509"/>
      <c r="FE500" s="509"/>
      <c r="FF500" s="509"/>
      <c r="FG500" s="509"/>
      <c r="FH500" s="509"/>
      <c r="FI500" s="509"/>
      <c r="FJ500" s="509"/>
      <c r="FK500" s="509"/>
      <c r="FL500" s="509"/>
      <c r="FM500" s="509"/>
      <c r="FN500" s="509"/>
      <c r="FO500" s="509"/>
      <c r="FP500" s="509"/>
      <c r="FQ500" s="509"/>
      <c r="FR500" s="509"/>
      <c r="FS500" s="509"/>
      <c r="FT500" s="509"/>
      <c r="FU500" s="509"/>
      <c r="FV500" s="509"/>
      <c r="FW500" s="509"/>
      <c r="FX500" s="509"/>
      <c r="FY500" s="509"/>
      <c r="FZ500" s="509"/>
      <c r="GA500" s="509"/>
      <c r="GB500" s="509"/>
      <c r="GC500" s="509"/>
      <c r="GD500" s="509"/>
      <c r="GE500" s="509"/>
      <c r="GF500" s="509"/>
      <c r="GG500" s="509"/>
      <c r="GH500" s="509"/>
      <c r="GI500" s="509"/>
      <c r="GJ500" s="509"/>
      <c r="GK500" s="509"/>
      <c r="GL500" s="509"/>
      <c r="GM500" s="509"/>
      <c r="GN500" s="509"/>
      <c r="GO500" s="509"/>
      <c r="GP500" s="509"/>
      <c r="GQ500" s="509"/>
      <c r="GR500" s="509"/>
      <c r="GS500" s="509"/>
      <c r="GT500" s="509"/>
      <c r="GU500" s="509"/>
      <c r="GV500" s="509"/>
      <c r="GW500" s="509"/>
      <c r="GX500" s="509"/>
      <c r="GY500" s="509"/>
      <c r="GZ500" s="509"/>
      <c r="HA500" s="509"/>
      <c r="HB500" s="509"/>
      <c r="HC500" s="509"/>
      <c r="HD500" s="509"/>
      <c r="HE500" s="509"/>
      <c r="HF500" s="509"/>
      <c r="HG500" s="509"/>
      <c r="HH500" s="509"/>
      <c r="HI500" s="509"/>
      <c r="HJ500" s="509"/>
      <c r="HK500" s="509"/>
      <c r="HL500" s="509"/>
      <c r="HM500" s="509"/>
      <c r="HN500" s="509"/>
      <c r="HO500" s="509"/>
      <c r="HP500" s="509"/>
      <c r="HQ500" s="509"/>
      <c r="HR500" s="509"/>
      <c r="HS500" s="509"/>
      <c r="HT500" s="509"/>
      <c r="HU500" s="509"/>
      <c r="HV500" s="509"/>
      <c r="HW500" s="509"/>
      <c r="HX500" s="509"/>
      <c r="HY500" s="509"/>
      <c r="HZ500" s="509"/>
    </row>
    <row r="501" spans="1:234" ht="13.5" hidden="1" customHeight="1" x14ac:dyDescent="0.25">
      <c r="A501" s="1270" t="s">
        <v>8834</v>
      </c>
      <c r="B501" s="1271" t="s">
        <v>8826</v>
      </c>
      <c r="C501" s="1272" t="s">
        <v>8833</v>
      </c>
      <c r="D501" s="1273" t="s">
        <v>8854</v>
      </c>
      <c r="E501" s="1272" t="s">
        <v>3228</v>
      </c>
      <c r="F501" s="1274">
        <v>42986</v>
      </c>
      <c r="G501" s="1275">
        <v>42919</v>
      </c>
      <c r="H501" s="1274">
        <v>42978</v>
      </c>
      <c r="I501" s="1276">
        <v>45107</v>
      </c>
      <c r="J501" s="1277">
        <v>10</v>
      </c>
      <c r="K501" s="1278" t="s">
        <v>3229</v>
      </c>
      <c r="L501" s="1279" t="s">
        <v>3229</v>
      </c>
      <c r="M501" s="1280">
        <v>-1</v>
      </c>
      <c r="N501" s="1281">
        <v>1.3</v>
      </c>
      <c r="O501" s="1282">
        <v>0.8</v>
      </c>
      <c r="P501" s="1283">
        <v>0.4</v>
      </c>
      <c r="Q501" s="1283" t="s">
        <v>3229</v>
      </c>
      <c r="R501" s="1284" t="s">
        <v>3229</v>
      </c>
      <c r="S501" s="1285">
        <v>1</v>
      </c>
      <c r="T501" s="1286" t="s">
        <v>3229</v>
      </c>
      <c r="U501" s="1286" t="s">
        <v>3229</v>
      </c>
      <c r="V501" s="1286" t="s">
        <v>3229</v>
      </c>
      <c r="W501" s="1286" t="s">
        <v>3229</v>
      </c>
      <c r="X501" s="1286" t="s">
        <v>3229</v>
      </c>
      <c r="Y501" s="1286" t="s">
        <v>3229</v>
      </c>
      <c r="Z501" s="1286" t="s">
        <v>3229</v>
      </c>
      <c r="AA501" s="1286" t="s">
        <v>3229</v>
      </c>
      <c r="AB501" s="1286" t="s">
        <v>3229</v>
      </c>
      <c r="AC501" s="1286" t="s">
        <v>3229</v>
      </c>
      <c r="AD501" s="1286" t="s">
        <v>3229</v>
      </c>
      <c r="AE501" s="1286" t="s">
        <v>3229</v>
      </c>
      <c r="AF501" s="3764" t="s">
        <v>781</v>
      </c>
      <c r="AG501" s="3765">
        <f>(I501-indexy!$B$1)/365</f>
        <v>-0.74520547945205484</v>
      </c>
      <c r="AH501" s="1287" t="s">
        <v>3229</v>
      </c>
      <c r="AI501" s="1288" t="s">
        <v>3229</v>
      </c>
      <c r="AJ501" s="1288" t="s">
        <v>3229</v>
      </c>
      <c r="AK501" s="1288" t="s">
        <v>3229</v>
      </c>
      <c r="AL501" s="1288" t="s">
        <v>3229</v>
      </c>
      <c r="AM501" s="1288">
        <v>1</v>
      </c>
      <c r="AN501" s="1289">
        <f>+'klikací hodnoty'!F16214</f>
        <v>0</v>
      </c>
      <c r="AO501" s="1290">
        <v>10</v>
      </c>
      <c r="AP501" s="1371">
        <f>+'klikací hodnoty'!E16213</f>
        <v>-3.9746999999999977E-2</v>
      </c>
      <c r="AQ501" s="1281">
        <f>+'klikací hodnoty'!F16206</f>
        <v>-8.0379380819668583E-2</v>
      </c>
      <c r="AR501" s="1291">
        <f t="shared" si="135"/>
        <v>0.8</v>
      </c>
      <c r="AS501" s="1292">
        <f t="shared" si="137"/>
        <v>0.10644415165914389</v>
      </c>
      <c r="AT501" s="1292"/>
      <c r="AU501" s="1293"/>
      <c r="AV501" s="1294">
        <f t="shared" si="138"/>
        <v>-1</v>
      </c>
      <c r="AW501" s="1295">
        <f t="shared" si="139"/>
        <v>-1</v>
      </c>
      <c r="AX501" s="1296"/>
      <c r="AY501" s="1297"/>
      <c r="AZ501" s="1298">
        <f t="shared" si="136"/>
        <v>0</v>
      </c>
      <c r="BA501" s="1959"/>
      <c r="BB501" s="1285"/>
      <c r="BC501" s="1300"/>
      <c r="BF501" s="3746"/>
      <c r="BG501" s="3747"/>
      <c r="BH501" s="3763"/>
      <c r="BI501" s="3763"/>
      <c r="BJ501" s="1639"/>
      <c r="BK501" s="1639"/>
      <c r="BL501" s="1639"/>
      <c r="BM501" s="1639"/>
      <c r="BN501" s="1639"/>
      <c r="BO501" s="1639"/>
      <c r="BP501" s="1639"/>
      <c r="BQ501" s="1639"/>
      <c r="BR501" s="1639"/>
      <c r="BS501" s="509"/>
      <c r="BT501" s="509"/>
      <c r="BU501" s="509"/>
      <c r="BV501" s="509"/>
      <c r="BW501" s="509"/>
      <c r="BX501" s="509"/>
      <c r="BY501" s="509"/>
      <c r="BZ501" s="509"/>
      <c r="CA501" s="509"/>
      <c r="CB501" s="509"/>
      <c r="CC501" s="509"/>
      <c r="CD501" s="509"/>
      <c r="CE501" s="509"/>
      <c r="CF501" s="509"/>
      <c r="CG501" s="509"/>
      <c r="CH501" s="509"/>
      <c r="CI501" s="509"/>
      <c r="CJ501" s="509"/>
      <c r="CK501" s="509"/>
      <c r="CL501" s="509"/>
      <c r="CM501" s="509"/>
      <c r="CN501" s="509"/>
      <c r="CO501" s="509"/>
      <c r="CP501" s="509"/>
      <c r="CQ501" s="509"/>
      <c r="CR501" s="509"/>
      <c r="CS501" s="509"/>
      <c r="CT501" s="509"/>
      <c r="CU501" s="509"/>
      <c r="CV501" s="509"/>
      <c r="CW501" s="509"/>
      <c r="CX501" s="509"/>
      <c r="CY501" s="509"/>
      <c r="CZ501" s="509"/>
      <c r="DA501" s="509"/>
      <c r="DB501" s="509"/>
      <c r="DC501" s="509"/>
      <c r="DD501" s="509"/>
      <c r="DE501" s="509"/>
      <c r="DF501" s="509"/>
      <c r="DG501" s="509"/>
      <c r="DH501" s="509"/>
      <c r="DI501" s="509"/>
      <c r="DJ501" s="509"/>
      <c r="DK501" s="509"/>
      <c r="DL501" s="509"/>
      <c r="DM501" s="509"/>
      <c r="DN501" s="509"/>
      <c r="DO501" s="509"/>
      <c r="DP501" s="509"/>
      <c r="DQ501" s="509"/>
      <c r="DR501" s="509"/>
      <c r="DS501" s="509"/>
      <c r="DT501" s="509"/>
      <c r="DU501" s="509"/>
      <c r="DV501" s="509"/>
      <c r="DW501" s="509"/>
      <c r="DX501" s="509"/>
      <c r="DY501" s="509"/>
      <c r="DZ501" s="509"/>
      <c r="EA501" s="509"/>
      <c r="EB501" s="509"/>
      <c r="EC501" s="509"/>
      <c r="ED501" s="509"/>
      <c r="EE501" s="509"/>
      <c r="EF501" s="509"/>
      <c r="EG501" s="509"/>
      <c r="EH501" s="509"/>
      <c r="EI501" s="509"/>
      <c r="EJ501" s="509"/>
      <c r="EK501" s="509"/>
      <c r="EL501" s="509"/>
      <c r="EM501" s="509"/>
      <c r="EN501" s="509"/>
      <c r="EO501" s="509"/>
      <c r="EP501" s="509"/>
      <c r="EQ501" s="509"/>
      <c r="ER501" s="509"/>
      <c r="ES501" s="509"/>
      <c r="ET501" s="509"/>
      <c r="EU501" s="509"/>
      <c r="EV501" s="509"/>
      <c r="EW501" s="509"/>
      <c r="EX501" s="509"/>
      <c r="EY501" s="509"/>
      <c r="EZ501" s="509"/>
      <c r="FA501" s="509"/>
      <c r="FB501" s="509"/>
      <c r="FC501" s="509"/>
      <c r="FD501" s="509"/>
      <c r="FE501" s="509"/>
      <c r="FF501" s="509"/>
      <c r="FG501" s="509"/>
      <c r="FH501" s="509"/>
      <c r="FI501" s="509"/>
      <c r="FJ501" s="509"/>
      <c r="FK501" s="509"/>
      <c r="FL501" s="509"/>
      <c r="FM501" s="509"/>
      <c r="FN501" s="509"/>
      <c r="FO501" s="509"/>
      <c r="FP501" s="509"/>
      <c r="FQ501" s="509"/>
      <c r="FR501" s="509"/>
      <c r="FS501" s="509"/>
      <c r="FT501" s="509"/>
      <c r="FU501" s="509"/>
      <c r="FV501" s="509"/>
      <c r="FW501" s="509"/>
      <c r="FX501" s="509"/>
      <c r="FY501" s="509"/>
      <c r="FZ501" s="509"/>
      <c r="GA501" s="509"/>
      <c r="GB501" s="509"/>
      <c r="GC501" s="509"/>
      <c r="GD501" s="509"/>
      <c r="GE501" s="509"/>
      <c r="GF501" s="509"/>
      <c r="GG501" s="509"/>
      <c r="GH501" s="509"/>
      <c r="GI501" s="509"/>
      <c r="GJ501" s="509"/>
      <c r="GK501" s="509"/>
      <c r="GL501" s="509"/>
      <c r="GM501" s="509"/>
      <c r="GN501" s="509"/>
      <c r="GO501" s="509"/>
      <c r="GP501" s="509"/>
      <c r="GQ501" s="509"/>
      <c r="GR501" s="509"/>
      <c r="GS501" s="509"/>
      <c r="GT501" s="509"/>
      <c r="GU501" s="509"/>
      <c r="GV501" s="509"/>
      <c r="GW501" s="509"/>
      <c r="GX501" s="509"/>
      <c r="GY501" s="509"/>
      <c r="GZ501" s="509"/>
      <c r="HA501" s="509"/>
      <c r="HB501" s="509"/>
      <c r="HC501" s="509"/>
      <c r="HD501" s="509"/>
      <c r="HE501" s="509"/>
      <c r="HF501" s="509"/>
      <c r="HG501" s="509"/>
      <c r="HH501" s="509"/>
      <c r="HI501" s="509"/>
      <c r="HJ501" s="509"/>
      <c r="HK501" s="509"/>
      <c r="HL501" s="509"/>
      <c r="HM501" s="509"/>
      <c r="HN501" s="509"/>
      <c r="HO501" s="509"/>
      <c r="HP501" s="509"/>
      <c r="HQ501" s="509"/>
      <c r="HR501" s="509"/>
      <c r="HS501" s="509"/>
      <c r="HT501" s="509"/>
      <c r="HU501" s="509"/>
      <c r="HV501" s="509"/>
      <c r="HW501" s="509"/>
      <c r="HX501" s="509"/>
      <c r="HY501" s="509"/>
      <c r="HZ501" s="509"/>
    </row>
    <row r="502" spans="1:234" ht="13.5" hidden="1" customHeight="1" x14ac:dyDescent="0.25">
      <c r="A502" s="1270" t="s">
        <v>8844</v>
      </c>
      <c r="B502" s="1271" t="s">
        <v>8827</v>
      </c>
      <c r="C502" s="1272" t="s">
        <v>8845</v>
      </c>
      <c r="D502" s="1273" t="s">
        <v>189</v>
      </c>
      <c r="E502" s="1272" t="s">
        <v>3228</v>
      </c>
      <c r="F502" s="1274">
        <v>43017</v>
      </c>
      <c r="G502" s="1275">
        <v>42948</v>
      </c>
      <c r="H502" s="1274">
        <v>43007</v>
      </c>
      <c r="I502" s="1276">
        <v>44865</v>
      </c>
      <c r="J502" s="1277">
        <v>10</v>
      </c>
      <c r="K502" s="1278" t="s">
        <v>3229</v>
      </c>
      <c r="L502" s="1279">
        <v>7.0000000000000007E-2</v>
      </c>
      <c r="M502" s="1280">
        <v>-1</v>
      </c>
      <c r="N502" s="1281" t="s">
        <v>3229</v>
      </c>
      <c r="O502" s="1282">
        <v>0.42</v>
      </c>
      <c r="P502" s="1283">
        <v>0.4</v>
      </c>
      <c r="Q502" s="1283"/>
      <c r="R502" s="1284" t="s">
        <v>3229</v>
      </c>
      <c r="S502" s="1285">
        <v>4</v>
      </c>
      <c r="T502" s="1286" t="s">
        <v>3229</v>
      </c>
      <c r="U502" s="1286" t="s">
        <v>3229</v>
      </c>
      <c r="V502" s="1286" t="s">
        <v>3229</v>
      </c>
      <c r="W502" s="1286" t="s">
        <v>3229</v>
      </c>
      <c r="X502" s="1286" t="s">
        <v>3229</v>
      </c>
      <c r="Y502" s="1286" t="s">
        <v>3229</v>
      </c>
      <c r="Z502" s="1286" t="s">
        <v>3229</v>
      </c>
      <c r="AA502" s="1286" t="s">
        <v>3229</v>
      </c>
      <c r="AB502" s="1286" t="s">
        <v>3229</v>
      </c>
      <c r="AC502" s="1286" t="s">
        <v>3229</v>
      </c>
      <c r="AD502" s="1286" t="s">
        <v>3229</v>
      </c>
      <c r="AE502" s="1286" t="s">
        <v>3229</v>
      </c>
      <c r="AF502" s="3764" t="s">
        <v>781</v>
      </c>
      <c r="AG502" s="3765">
        <f>(I502-indexy!$B$1)/365</f>
        <v>-1.4082191780821918</v>
      </c>
      <c r="AH502" s="1287" t="s">
        <v>8846</v>
      </c>
      <c r="AI502" s="1288"/>
      <c r="AJ502" s="1288"/>
      <c r="AK502" s="1288"/>
      <c r="AL502" s="1288"/>
      <c r="AM502" s="1288"/>
      <c r="AN502" s="1289">
        <f>+'klikací hodnoty'!F16222</f>
        <v>0.35</v>
      </c>
      <c r="AO502" s="1290">
        <v>10.199999999999999</v>
      </c>
      <c r="AP502" s="1371">
        <f>+'klikací hodnoty'!H16221</f>
        <v>5.328843878784717E-2</v>
      </c>
      <c r="AQ502" s="1281">
        <f>+'klikací hodnoty'!H16221</f>
        <v>5.328843878784717E-2</v>
      </c>
      <c r="AR502" s="1291">
        <v>0.35</v>
      </c>
      <c r="AS502" s="1292">
        <f t="shared" si="137"/>
        <v>6.1065832065558157E-2</v>
      </c>
      <c r="AT502" s="1292"/>
      <c r="AU502" s="1293"/>
      <c r="AV502" s="1294">
        <f t="shared" si="138"/>
        <v>-1</v>
      </c>
      <c r="AW502" s="1295">
        <f t="shared" si="139"/>
        <v>-1</v>
      </c>
      <c r="AX502" s="1296"/>
      <c r="AY502" s="1297"/>
      <c r="AZ502" s="1298">
        <f t="shared" si="136"/>
        <v>0</v>
      </c>
      <c r="BA502" s="1959"/>
      <c r="BB502" s="1285"/>
      <c r="BC502" s="1300"/>
      <c r="BF502" s="3746"/>
      <c r="BG502" s="3747"/>
      <c r="BH502" s="3763"/>
      <c r="BI502" s="3763"/>
      <c r="BJ502" s="1639"/>
      <c r="BK502" s="1639"/>
      <c r="BL502" s="1639"/>
      <c r="BM502" s="1639"/>
      <c r="BN502" s="1639"/>
      <c r="BO502" s="1639"/>
      <c r="BP502" s="1639"/>
      <c r="BQ502" s="1639"/>
      <c r="BR502" s="1639"/>
      <c r="BS502" s="509"/>
      <c r="BT502" s="509"/>
      <c r="BU502" s="509"/>
      <c r="BV502" s="509"/>
      <c r="BW502" s="509"/>
      <c r="BX502" s="509"/>
      <c r="BY502" s="509"/>
      <c r="BZ502" s="509"/>
      <c r="CA502" s="509"/>
      <c r="CB502" s="509"/>
      <c r="CC502" s="509"/>
      <c r="CD502" s="509"/>
      <c r="CE502" s="509"/>
      <c r="CF502" s="509"/>
      <c r="CG502" s="509"/>
      <c r="CH502" s="509"/>
      <c r="CI502" s="509"/>
      <c r="CJ502" s="509"/>
      <c r="CK502" s="509"/>
      <c r="CL502" s="509"/>
      <c r="CM502" s="509"/>
      <c r="CN502" s="509"/>
      <c r="CO502" s="509"/>
      <c r="CP502" s="509"/>
      <c r="CQ502" s="509"/>
      <c r="CR502" s="509"/>
      <c r="CS502" s="509"/>
      <c r="CT502" s="509"/>
      <c r="CU502" s="509"/>
      <c r="CV502" s="509"/>
      <c r="CW502" s="509"/>
      <c r="CX502" s="509"/>
      <c r="CY502" s="509"/>
      <c r="CZ502" s="509"/>
      <c r="DA502" s="509"/>
      <c r="DB502" s="509"/>
      <c r="DC502" s="509"/>
      <c r="DD502" s="509"/>
      <c r="DE502" s="509"/>
      <c r="DF502" s="509"/>
      <c r="DG502" s="509"/>
      <c r="DH502" s="509"/>
      <c r="DI502" s="509"/>
      <c r="DJ502" s="509"/>
      <c r="DK502" s="509"/>
      <c r="DL502" s="509"/>
      <c r="DM502" s="509"/>
      <c r="DN502" s="509"/>
      <c r="DO502" s="509"/>
      <c r="DP502" s="509"/>
      <c r="DQ502" s="509"/>
      <c r="DR502" s="509"/>
      <c r="DS502" s="509"/>
      <c r="DT502" s="509"/>
      <c r="DU502" s="509"/>
      <c r="DV502" s="509"/>
      <c r="DW502" s="509"/>
      <c r="DX502" s="509"/>
      <c r="DY502" s="509"/>
      <c r="DZ502" s="509"/>
      <c r="EA502" s="509"/>
      <c r="EB502" s="509"/>
      <c r="EC502" s="509"/>
      <c r="ED502" s="509"/>
      <c r="EE502" s="509"/>
      <c r="EF502" s="509"/>
      <c r="EG502" s="509"/>
      <c r="EH502" s="509"/>
      <c r="EI502" s="509"/>
      <c r="EJ502" s="509"/>
      <c r="EK502" s="509"/>
      <c r="EL502" s="509"/>
      <c r="EM502" s="509"/>
      <c r="EN502" s="509"/>
      <c r="EO502" s="509"/>
      <c r="EP502" s="509"/>
      <c r="EQ502" s="509"/>
      <c r="ER502" s="509"/>
      <c r="ES502" s="509"/>
      <c r="ET502" s="509"/>
      <c r="EU502" s="509"/>
      <c r="EV502" s="509"/>
      <c r="EW502" s="509"/>
      <c r="EX502" s="509"/>
      <c r="EY502" s="509"/>
      <c r="EZ502" s="509"/>
      <c r="FA502" s="509"/>
      <c r="FB502" s="509"/>
      <c r="FC502" s="509"/>
      <c r="FD502" s="509"/>
      <c r="FE502" s="509"/>
      <c r="FF502" s="509"/>
      <c r="FG502" s="509"/>
      <c r="FH502" s="509"/>
      <c r="FI502" s="509"/>
      <c r="FJ502" s="509"/>
      <c r="FK502" s="509"/>
      <c r="FL502" s="509"/>
      <c r="FM502" s="509"/>
      <c r="FN502" s="509"/>
      <c r="FO502" s="509"/>
      <c r="FP502" s="509"/>
      <c r="FQ502" s="509"/>
      <c r="FR502" s="509"/>
      <c r="FS502" s="509"/>
      <c r="FT502" s="509"/>
      <c r="FU502" s="509"/>
      <c r="FV502" s="509"/>
      <c r="FW502" s="509"/>
      <c r="FX502" s="509"/>
      <c r="FY502" s="509"/>
      <c r="FZ502" s="509"/>
      <c r="GA502" s="509"/>
      <c r="GB502" s="509"/>
      <c r="GC502" s="509"/>
      <c r="GD502" s="509"/>
      <c r="GE502" s="509"/>
      <c r="GF502" s="509"/>
      <c r="GG502" s="509"/>
      <c r="GH502" s="509"/>
      <c r="GI502" s="509"/>
      <c r="GJ502" s="509"/>
      <c r="GK502" s="509"/>
      <c r="GL502" s="509"/>
      <c r="GM502" s="509"/>
      <c r="GN502" s="509"/>
      <c r="GO502" s="509"/>
      <c r="GP502" s="509"/>
      <c r="GQ502" s="509"/>
      <c r="GR502" s="509"/>
      <c r="GS502" s="509"/>
      <c r="GT502" s="509"/>
      <c r="GU502" s="509"/>
      <c r="GV502" s="509"/>
      <c r="GW502" s="509"/>
      <c r="GX502" s="509"/>
      <c r="GY502" s="509"/>
      <c r="GZ502" s="509"/>
      <c r="HA502" s="509"/>
      <c r="HB502" s="509"/>
      <c r="HC502" s="509"/>
      <c r="HD502" s="509"/>
      <c r="HE502" s="509"/>
      <c r="HF502" s="509"/>
      <c r="HG502" s="509"/>
      <c r="HH502" s="509"/>
      <c r="HI502" s="509"/>
      <c r="HJ502" s="509"/>
      <c r="HK502" s="509"/>
      <c r="HL502" s="509"/>
      <c r="HM502" s="509"/>
      <c r="HN502" s="509"/>
      <c r="HO502" s="509"/>
      <c r="HP502" s="509"/>
      <c r="HQ502" s="509"/>
      <c r="HR502" s="509"/>
      <c r="HS502" s="509"/>
      <c r="HT502" s="509"/>
      <c r="HU502" s="509"/>
      <c r="HV502" s="509"/>
      <c r="HW502" s="509"/>
      <c r="HX502" s="509"/>
      <c r="HY502" s="509"/>
      <c r="HZ502" s="509"/>
    </row>
    <row r="503" spans="1:234" ht="13.5" hidden="1" customHeight="1" x14ac:dyDescent="0.25">
      <c r="A503" s="1270" t="s">
        <v>8847</v>
      </c>
      <c r="B503" s="1271" t="s">
        <v>8835</v>
      </c>
      <c r="C503" s="1272" t="s">
        <v>8848</v>
      </c>
      <c r="D503" s="1273" t="s">
        <v>4384</v>
      </c>
      <c r="E503" s="1272" t="s">
        <v>3228</v>
      </c>
      <c r="F503" s="1274">
        <v>43031</v>
      </c>
      <c r="G503" s="1275">
        <v>42979</v>
      </c>
      <c r="H503" s="1274">
        <v>43021</v>
      </c>
      <c r="I503" s="1276">
        <v>43404</v>
      </c>
      <c r="J503" s="1277">
        <v>10</v>
      </c>
      <c r="K503" s="1278">
        <v>0</v>
      </c>
      <c r="L503" s="1279">
        <v>0.09</v>
      </c>
      <c r="M503" s="1280">
        <v>-1</v>
      </c>
      <c r="N503" s="1281" t="s">
        <v>3229</v>
      </c>
      <c r="O503" s="1282">
        <v>0.19</v>
      </c>
      <c r="P503" s="1283">
        <v>0.4</v>
      </c>
      <c r="Q503" s="1283">
        <v>0.02</v>
      </c>
      <c r="R503" s="1284" t="s">
        <v>3229</v>
      </c>
      <c r="S503" s="1285">
        <v>6</v>
      </c>
      <c r="T503" s="1286" t="s">
        <v>3229</v>
      </c>
      <c r="U503" s="1286" t="s">
        <v>3229</v>
      </c>
      <c r="V503" s="1286" t="s">
        <v>3229</v>
      </c>
      <c r="W503" s="1286" t="s">
        <v>3229</v>
      </c>
      <c r="X503" s="1286" t="s">
        <v>3229</v>
      </c>
      <c r="Y503" s="1286" t="s">
        <v>3229</v>
      </c>
      <c r="Z503" s="1286" t="s">
        <v>3229</v>
      </c>
      <c r="AA503" s="1286" t="s">
        <v>3229</v>
      </c>
      <c r="AB503" s="1286" t="s">
        <v>3229</v>
      </c>
      <c r="AC503" s="1286" t="s">
        <v>3229</v>
      </c>
      <c r="AD503" s="1286" t="s">
        <v>3229</v>
      </c>
      <c r="AE503" s="1286" t="s">
        <v>3229</v>
      </c>
      <c r="AF503" s="3764" t="s">
        <v>781</v>
      </c>
      <c r="AG503" s="3765"/>
      <c r="AH503" s="1287" t="s">
        <v>8849</v>
      </c>
      <c r="AI503" s="1288"/>
      <c r="AJ503" s="1288"/>
      <c r="AK503" s="1288"/>
      <c r="AL503" s="1288"/>
      <c r="AM503" s="1288"/>
      <c r="AN503" s="1289">
        <f>+'klikací hodnoty'!F16232</f>
        <v>0.09</v>
      </c>
      <c r="AO503" s="1290">
        <v>10.199999999999999</v>
      </c>
      <c r="AP503" s="1371">
        <f>+'klikací hodnoty'!I16225</f>
        <v>1.8431185432594477E-2</v>
      </c>
      <c r="AQ503" s="1281">
        <f>+'klikací hodnoty'!I16225</f>
        <v>1.8431185432594477E-2</v>
      </c>
      <c r="AR503" s="1291">
        <f t="shared" si="135"/>
        <v>0.19</v>
      </c>
      <c r="AS503" s="1292">
        <f t="shared" si="137"/>
        <v>0.18556849847436774</v>
      </c>
      <c r="AT503" s="1292"/>
      <c r="AU503" s="1293"/>
      <c r="AV503" s="1294">
        <f t="shared" si="138"/>
        <v>-1</v>
      </c>
      <c r="AW503" s="1295">
        <f t="shared" si="139"/>
        <v>-1</v>
      </c>
      <c r="AX503" s="1296"/>
      <c r="AY503" s="1297"/>
      <c r="AZ503" s="1298">
        <f t="shared" si="136"/>
        <v>0</v>
      </c>
      <c r="BA503" s="1959"/>
      <c r="BB503" s="1285"/>
      <c r="BC503" s="1300"/>
      <c r="BF503" s="3746"/>
      <c r="BG503" s="3747"/>
      <c r="BH503" s="3763"/>
      <c r="BI503" s="3763"/>
      <c r="BJ503" s="1639"/>
      <c r="BK503" s="1639"/>
      <c r="BL503" s="1639"/>
      <c r="BM503" s="1639"/>
      <c r="BN503" s="1639"/>
      <c r="BO503" s="1639"/>
      <c r="BP503" s="1639"/>
      <c r="BQ503" s="1639"/>
      <c r="BR503" s="1639"/>
      <c r="BS503" s="509"/>
      <c r="BT503" s="509"/>
      <c r="BU503" s="509"/>
      <c r="BV503" s="509"/>
      <c r="BW503" s="509"/>
      <c r="BX503" s="509"/>
      <c r="BY503" s="509"/>
      <c r="BZ503" s="509"/>
      <c r="CA503" s="509"/>
      <c r="CB503" s="509"/>
      <c r="CC503" s="509"/>
      <c r="CD503" s="509"/>
      <c r="CE503" s="509"/>
      <c r="CF503" s="509"/>
      <c r="CG503" s="509"/>
      <c r="CH503" s="509"/>
      <c r="CI503" s="509"/>
      <c r="CJ503" s="509"/>
      <c r="CK503" s="509"/>
      <c r="CL503" s="509"/>
      <c r="CM503" s="509"/>
      <c r="CN503" s="509"/>
      <c r="CO503" s="509"/>
      <c r="CP503" s="509"/>
      <c r="CQ503" s="509"/>
      <c r="CR503" s="509"/>
      <c r="CS503" s="509"/>
      <c r="CT503" s="509"/>
      <c r="CU503" s="509"/>
      <c r="CV503" s="509"/>
      <c r="CW503" s="509"/>
      <c r="CX503" s="509"/>
      <c r="CY503" s="509"/>
      <c r="CZ503" s="509"/>
      <c r="DA503" s="509"/>
      <c r="DB503" s="509"/>
      <c r="DC503" s="509"/>
      <c r="DD503" s="509"/>
      <c r="DE503" s="509"/>
      <c r="DF503" s="509"/>
      <c r="DG503" s="509"/>
      <c r="DH503" s="509"/>
      <c r="DI503" s="509"/>
      <c r="DJ503" s="509"/>
      <c r="DK503" s="509"/>
      <c r="DL503" s="509"/>
      <c r="DM503" s="509"/>
      <c r="DN503" s="509"/>
      <c r="DO503" s="509"/>
      <c r="DP503" s="509"/>
      <c r="DQ503" s="509"/>
      <c r="DR503" s="509"/>
      <c r="DS503" s="509"/>
      <c r="DT503" s="509"/>
      <c r="DU503" s="509"/>
      <c r="DV503" s="509"/>
      <c r="DW503" s="509"/>
      <c r="DX503" s="509"/>
      <c r="DY503" s="509"/>
      <c r="DZ503" s="509"/>
      <c r="EA503" s="509"/>
      <c r="EB503" s="509"/>
      <c r="EC503" s="509"/>
      <c r="ED503" s="509"/>
      <c r="EE503" s="509"/>
      <c r="EF503" s="509"/>
      <c r="EG503" s="509"/>
      <c r="EH503" s="509"/>
      <c r="EI503" s="509"/>
      <c r="EJ503" s="509"/>
      <c r="EK503" s="509"/>
      <c r="EL503" s="509"/>
      <c r="EM503" s="509"/>
      <c r="EN503" s="509"/>
      <c r="EO503" s="509"/>
      <c r="EP503" s="509"/>
      <c r="EQ503" s="509"/>
      <c r="ER503" s="509"/>
      <c r="ES503" s="509"/>
      <c r="ET503" s="509"/>
      <c r="EU503" s="509"/>
      <c r="EV503" s="509"/>
      <c r="EW503" s="509"/>
      <c r="EX503" s="509"/>
      <c r="EY503" s="509"/>
      <c r="EZ503" s="509"/>
      <c r="FA503" s="509"/>
      <c r="FB503" s="509"/>
      <c r="FC503" s="509"/>
      <c r="FD503" s="509"/>
      <c r="FE503" s="509"/>
      <c r="FF503" s="509"/>
      <c r="FG503" s="509"/>
      <c r="FH503" s="509"/>
      <c r="FI503" s="509"/>
      <c r="FJ503" s="509"/>
      <c r="FK503" s="509"/>
      <c r="FL503" s="509"/>
      <c r="FM503" s="509"/>
      <c r="FN503" s="509"/>
      <c r="FO503" s="509"/>
      <c r="FP503" s="509"/>
      <c r="FQ503" s="509"/>
      <c r="FR503" s="509"/>
      <c r="FS503" s="509"/>
      <c r="FT503" s="509"/>
      <c r="FU503" s="509"/>
      <c r="FV503" s="509"/>
      <c r="FW503" s="509"/>
      <c r="FX503" s="509"/>
      <c r="FY503" s="509"/>
      <c r="FZ503" s="509"/>
      <c r="GA503" s="509"/>
      <c r="GB503" s="509"/>
      <c r="GC503" s="509"/>
      <c r="GD503" s="509"/>
      <c r="GE503" s="509"/>
      <c r="GF503" s="509"/>
      <c r="GG503" s="509"/>
      <c r="GH503" s="509"/>
      <c r="GI503" s="509"/>
      <c r="GJ503" s="509"/>
      <c r="GK503" s="509"/>
      <c r="GL503" s="509"/>
      <c r="GM503" s="509"/>
      <c r="GN503" s="509"/>
      <c r="GO503" s="509"/>
      <c r="GP503" s="509"/>
      <c r="GQ503" s="509"/>
      <c r="GR503" s="509"/>
      <c r="GS503" s="509"/>
      <c r="GT503" s="509"/>
      <c r="GU503" s="509"/>
      <c r="GV503" s="509"/>
      <c r="GW503" s="509"/>
      <c r="GX503" s="509"/>
      <c r="GY503" s="509"/>
      <c r="GZ503" s="509"/>
      <c r="HA503" s="509"/>
      <c r="HB503" s="509"/>
      <c r="HC503" s="509"/>
      <c r="HD503" s="509"/>
      <c r="HE503" s="509"/>
      <c r="HF503" s="509"/>
      <c r="HG503" s="509"/>
      <c r="HH503" s="509"/>
      <c r="HI503" s="509"/>
      <c r="HJ503" s="509"/>
      <c r="HK503" s="509"/>
      <c r="HL503" s="509"/>
      <c r="HM503" s="509"/>
      <c r="HN503" s="509"/>
      <c r="HO503" s="509"/>
      <c r="HP503" s="509"/>
      <c r="HQ503" s="509"/>
      <c r="HR503" s="509"/>
      <c r="HS503" s="509"/>
      <c r="HT503" s="509"/>
      <c r="HU503" s="509"/>
      <c r="HV503" s="509"/>
      <c r="HW503" s="509"/>
      <c r="HX503" s="509"/>
      <c r="HY503" s="509"/>
      <c r="HZ503" s="509"/>
    </row>
    <row r="504" spans="1:234" ht="13.5" hidden="1" customHeight="1" x14ac:dyDescent="0.25">
      <c r="A504" s="1270" t="s">
        <v>8851</v>
      </c>
      <c r="B504" s="1271" t="s">
        <v>8836</v>
      </c>
      <c r="C504" s="1272" t="s">
        <v>8850</v>
      </c>
      <c r="D504" s="1273" t="s">
        <v>189</v>
      </c>
      <c r="E504" s="1272" t="s">
        <v>905</v>
      </c>
      <c r="F504" s="1274">
        <v>43048</v>
      </c>
      <c r="G504" s="1275">
        <v>42982</v>
      </c>
      <c r="H504" s="1274">
        <v>43039</v>
      </c>
      <c r="I504" s="1276">
        <v>44165</v>
      </c>
      <c r="J504" s="1277">
        <v>10</v>
      </c>
      <c r="K504" s="1278" t="s">
        <v>3229</v>
      </c>
      <c r="L504" s="1279" t="s">
        <v>3229</v>
      </c>
      <c r="M504" s="1280">
        <v>-0.1</v>
      </c>
      <c r="N504" s="1281">
        <v>0.8</v>
      </c>
      <c r="O504" s="1282">
        <v>0.18</v>
      </c>
      <c r="P504" s="1283" t="s">
        <v>3229</v>
      </c>
      <c r="Q504" s="1283" t="s">
        <v>3229</v>
      </c>
      <c r="R504" s="1284" t="s">
        <v>3229</v>
      </c>
      <c r="S504" s="1285">
        <v>1</v>
      </c>
      <c r="T504" s="1286" t="s">
        <v>3229</v>
      </c>
      <c r="U504" s="1286" t="s">
        <v>3229</v>
      </c>
      <c r="V504" s="1286" t="s">
        <v>3229</v>
      </c>
      <c r="W504" s="1286" t="s">
        <v>3229</v>
      </c>
      <c r="X504" s="1286" t="s">
        <v>3229</v>
      </c>
      <c r="Y504" s="1286" t="s">
        <v>3229</v>
      </c>
      <c r="Z504" s="1286" t="s">
        <v>3229</v>
      </c>
      <c r="AA504" s="1286" t="s">
        <v>3229</v>
      </c>
      <c r="AB504" s="1286" t="s">
        <v>3229</v>
      </c>
      <c r="AC504" s="1286" t="s">
        <v>3229</v>
      </c>
      <c r="AD504" s="1286" t="s">
        <v>3229</v>
      </c>
      <c r="AE504" s="1286" t="s">
        <v>3229</v>
      </c>
      <c r="AF504" s="3764" t="s">
        <v>781</v>
      </c>
      <c r="AG504" s="3765"/>
      <c r="AH504" s="1287" t="s">
        <v>3229</v>
      </c>
      <c r="AI504" s="1288" t="s">
        <v>3229</v>
      </c>
      <c r="AJ504" s="1288" t="s">
        <v>3229</v>
      </c>
      <c r="AK504" s="1288" t="s">
        <v>3229</v>
      </c>
      <c r="AL504" s="1288" t="s">
        <v>3229</v>
      </c>
      <c r="AM504" s="1288">
        <v>1</v>
      </c>
      <c r="AN504" s="1289">
        <f>+'klikací hodnoty'!F16276</f>
        <v>-0.1</v>
      </c>
      <c r="AO504" s="1290">
        <v>10.199999999999999</v>
      </c>
      <c r="AP504" s="1371">
        <f>+'klikací hodnoty'!F16275</f>
        <v>-0.17737116666666664</v>
      </c>
      <c r="AQ504" s="1281">
        <f>+'klikací hodnoty'!F16268</f>
        <v>-0.21268962972498018</v>
      </c>
      <c r="AR504" s="1291">
        <f t="shared" si="135"/>
        <v>0.18</v>
      </c>
      <c r="AS504" s="1292">
        <f t="shared" si="137"/>
        <v>5.5574156824739207E-2</v>
      </c>
      <c r="AT504" s="1292"/>
      <c r="AU504" s="1293"/>
      <c r="AV504" s="1294">
        <f t="shared" si="138"/>
        <v>-0.1</v>
      </c>
      <c r="AW504" s="1295">
        <f t="shared" si="139"/>
        <v>-3.3842542493257466E-2</v>
      </c>
      <c r="AX504" s="1296"/>
      <c r="AY504" s="1297"/>
      <c r="AZ504" s="1298">
        <f t="shared" si="136"/>
        <v>9</v>
      </c>
      <c r="BA504" s="1959"/>
      <c r="BB504" s="1285"/>
      <c r="BC504" s="1300"/>
      <c r="BF504" s="3746"/>
      <c r="BG504" s="3747"/>
      <c r="BH504" s="3763"/>
      <c r="BI504" s="3763"/>
      <c r="BJ504" s="1639"/>
      <c r="BK504" s="1639"/>
      <c r="BL504" s="1639"/>
      <c r="BM504" s="1639"/>
      <c r="BN504" s="1639"/>
      <c r="BO504" s="1639"/>
      <c r="BP504" s="1639"/>
      <c r="BQ504" s="1639"/>
      <c r="BR504" s="1639"/>
      <c r="BS504" s="509"/>
      <c r="BT504" s="509"/>
      <c r="BU504" s="509"/>
      <c r="BV504" s="509"/>
      <c r="BW504" s="509"/>
      <c r="BX504" s="509"/>
      <c r="BY504" s="509"/>
      <c r="BZ504" s="509"/>
      <c r="CA504" s="509"/>
      <c r="CB504" s="509"/>
      <c r="CC504" s="509"/>
      <c r="CD504" s="509"/>
      <c r="CE504" s="509"/>
      <c r="CF504" s="509"/>
      <c r="CG504" s="509"/>
      <c r="CH504" s="509"/>
      <c r="CI504" s="509"/>
      <c r="CJ504" s="509"/>
      <c r="CK504" s="509"/>
      <c r="CL504" s="509"/>
      <c r="CM504" s="509"/>
      <c r="CN504" s="509"/>
      <c r="CO504" s="509"/>
      <c r="CP504" s="509"/>
      <c r="CQ504" s="509"/>
      <c r="CR504" s="509"/>
      <c r="CS504" s="509"/>
      <c r="CT504" s="509"/>
      <c r="CU504" s="509"/>
      <c r="CV504" s="509"/>
      <c r="CW504" s="509"/>
      <c r="CX504" s="509"/>
      <c r="CY504" s="509"/>
      <c r="CZ504" s="509"/>
      <c r="DA504" s="509"/>
      <c r="DB504" s="509"/>
      <c r="DC504" s="509"/>
      <c r="DD504" s="509"/>
      <c r="DE504" s="509"/>
      <c r="DF504" s="509"/>
      <c r="DG504" s="509"/>
      <c r="DH504" s="509"/>
      <c r="DI504" s="509"/>
      <c r="DJ504" s="509"/>
      <c r="DK504" s="509"/>
      <c r="DL504" s="509"/>
      <c r="DM504" s="509"/>
      <c r="DN504" s="509"/>
      <c r="DO504" s="509"/>
      <c r="DP504" s="509"/>
      <c r="DQ504" s="509"/>
      <c r="DR504" s="509"/>
      <c r="DS504" s="509"/>
      <c r="DT504" s="509"/>
      <c r="DU504" s="509"/>
      <c r="DV504" s="509"/>
      <c r="DW504" s="509"/>
      <c r="DX504" s="509"/>
      <c r="DY504" s="509"/>
      <c r="DZ504" s="509"/>
      <c r="EA504" s="509"/>
      <c r="EB504" s="509"/>
      <c r="EC504" s="509"/>
      <c r="ED504" s="509"/>
      <c r="EE504" s="509"/>
      <c r="EF504" s="509"/>
      <c r="EG504" s="509"/>
      <c r="EH504" s="509"/>
      <c r="EI504" s="509"/>
      <c r="EJ504" s="509"/>
      <c r="EK504" s="509"/>
      <c r="EL504" s="509"/>
      <c r="EM504" s="509"/>
      <c r="EN504" s="509"/>
      <c r="EO504" s="509"/>
      <c r="EP504" s="509"/>
      <c r="EQ504" s="509"/>
      <c r="ER504" s="509"/>
      <c r="ES504" s="509"/>
      <c r="ET504" s="509"/>
      <c r="EU504" s="509"/>
      <c r="EV504" s="509"/>
      <c r="EW504" s="509"/>
      <c r="EX504" s="509"/>
      <c r="EY504" s="509"/>
      <c r="EZ504" s="509"/>
      <c r="FA504" s="509"/>
      <c r="FB504" s="509"/>
      <c r="FC504" s="509"/>
      <c r="FD504" s="509"/>
      <c r="FE504" s="509"/>
      <c r="FF504" s="509"/>
      <c r="FG504" s="509"/>
      <c r="FH504" s="509"/>
      <c r="FI504" s="509"/>
      <c r="FJ504" s="509"/>
      <c r="FK504" s="509"/>
      <c r="FL504" s="509"/>
      <c r="FM504" s="509"/>
      <c r="FN504" s="509"/>
      <c r="FO504" s="509"/>
      <c r="FP504" s="509"/>
      <c r="FQ504" s="509"/>
      <c r="FR504" s="509"/>
      <c r="FS504" s="509"/>
      <c r="FT504" s="509"/>
      <c r="FU504" s="509"/>
      <c r="FV504" s="509"/>
      <c r="FW504" s="509"/>
      <c r="FX504" s="509"/>
      <c r="FY504" s="509"/>
      <c r="FZ504" s="509"/>
      <c r="GA504" s="509"/>
      <c r="GB504" s="509"/>
      <c r="GC504" s="509"/>
      <c r="GD504" s="509"/>
      <c r="GE504" s="509"/>
      <c r="GF504" s="509"/>
      <c r="GG504" s="509"/>
      <c r="GH504" s="509"/>
      <c r="GI504" s="509"/>
      <c r="GJ504" s="509"/>
      <c r="GK504" s="509"/>
      <c r="GL504" s="509"/>
      <c r="GM504" s="509"/>
      <c r="GN504" s="509"/>
      <c r="GO504" s="509"/>
      <c r="GP504" s="509"/>
      <c r="GQ504" s="509"/>
      <c r="GR504" s="509"/>
      <c r="GS504" s="509"/>
      <c r="GT504" s="509"/>
      <c r="GU504" s="509"/>
      <c r="GV504" s="509"/>
      <c r="GW504" s="509"/>
      <c r="GX504" s="509"/>
      <c r="GY504" s="509"/>
      <c r="GZ504" s="509"/>
      <c r="HA504" s="509"/>
      <c r="HB504" s="509"/>
      <c r="HC504" s="509"/>
      <c r="HD504" s="509"/>
      <c r="HE504" s="509"/>
      <c r="HF504" s="509"/>
      <c r="HG504" s="509"/>
      <c r="HH504" s="509"/>
      <c r="HI504" s="509"/>
      <c r="HJ504" s="509"/>
      <c r="HK504" s="509"/>
      <c r="HL504" s="509"/>
      <c r="HM504" s="509"/>
      <c r="HN504" s="509"/>
      <c r="HO504" s="509"/>
      <c r="HP504" s="509"/>
      <c r="HQ504" s="509"/>
      <c r="HR504" s="509"/>
      <c r="HS504" s="509"/>
      <c r="HT504" s="509"/>
      <c r="HU504" s="509"/>
      <c r="HV504" s="509"/>
      <c r="HW504" s="509"/>
      <c r="HX504" s="509"/>
      <c r="HY504" s="509"/>
      <c r="HZ504" s="509"/>
    </row>
    <row r="505" spans="1:234" ht="13.5" hidden="1" customHeight="1" x14ac:dyDescent="0.25">
      <c r="A505" s="1270" t="s">
        <v>8852</v>
      </c>
      <c r="B505" s="1271" t="s">
        <v>8837</v>
      </c>
      <c r="C505" s="1272" t="s">
        <v>8853</v>
      </c>
      <c r="D505" s="1273" t="s">
        <v>8854</v>
      </c>
      <c r="E505" s="1272" t="s">
        <v>3228</v>
      </c>
      <c r="F505" s="1274">
        <v>43048</v>
      </c>
      <c r="G505" s="1275">
        <v>42979</v>
      </c>
      <c r="H505" s="1274">
        <v>43039</v>
      </c>
      <c r="I505" s="1276">
        <v>45198</v>
      </c>
      <c r="J505" s="1277">
        <v>10</v>
      </c>
      <c r="K505" s="1278" t="s">
        <v>3229</v>
      </c>
      <c r="L505" s="1279" t="s">
        <v>3229</v>
      </c>
      <c r="M505" s="1280">
        <v>-1</v>
      </c>
      <c r="N505" s="1281">
        <v>0.7</v>
      </c>
      <c r="O505" s="1282">
        <v>0.8</v>
      </c>
      <c r="P505" s="1283">
        <v>0.3</v>
      </c>
      <c r="Q505" s="1283" t="s">
        <v>3229</v>
      </c>
      <c r="R505" s="1284" t="s">
        <v>3229</v>
      </c>
      <c r="S505" s="1285">
        <v>1</v>
      </c>
      <c r="T505" s="1286" t="s">
        <v>3229</v>
      </c>
      <c r="U505" s="1286" t="s">
        <v>3229</v>
      </c>
      <c r="V505" s="1286" t="s">
        <v>3229</v>
      </c>
      <c r="W505" s="1286" t="s">
        <v>3229</v>
      </c>
      <c r="X505" s="1286" t="s">
        <v>3229</v>
      </c>
      <c r="Y505" s="1286" t="s">
        <v>3229</v>
      </c>
      <c r="Z505" s="1286" t="s">
        <v>3229</v>
      </c>
      <c r="AA505" s="1286" t="s">
        <v>3229</v>
      </c>
      <c r="AB505" s="1286" t="s">
        <v>3229</v>
      </c>
      <c r="AC505" s="1286" t="s">
        <v>3229</v>
      </c>
      <c r="AD505" s="1286" t="s">
        <v>3229</v>
      </c>
      <c r="AE505" s="1286" t="s">
        <v>3229</v>
      </c>
      <c r="AF505" s="3764" t="s">
        <v>781</v>
      </c>
      <c r="AG505" s="3765">
        <f>(I505-indexy!$B$1)/365</f>
        <v>-0.49589041095890413</v>
      </c>
      <c r="AH505" s="1287" t="s">
        <v>3229</v>
      </c>
      <c r="AI505" s="1288" t="s">
        <v>3229</v>
      </c>
      <c r="AJ505" s="1288" t="s">
        <v>3229</v>
      </c>
      <c r="AK505" s="1288" t="s">
        <v>3229</v>
      </c>
      <c r="AL505" s="1288" t="s">
        <v>3229</v>
      </c>
      <c r="AM505" s="1288">
        <v>1</v>
      </c>
      <c r="AN505" s="1289">
        <f>+'klikací hodnoty'!F16320</f>
        <v>9.228426666666667E-2</v>
      </c>
      <c r="AO505" s="1290">
        <v>10.78</v>
      </c>
      <c r="AP505" s="1371">
        <f>+'klikací hodnoty'!F16319</f>
        <v>0.13183466666666668</v>
      </c>
      <c r="AQ505" s="1281">
        <f>+'klikací hodnoty'!F16312</f>
        <v>9.343502054205835E-2</v>
      </c>
      <c r="AR505" s="1291">
        <f t="shared" si="135"/>
        <v>0.8</v>
      </c>
      <c r="AS505" s="1292">
        <f t="shared" si="137"/>
        <v>0.10493558423452964</v>
      </c>
      <c r="AT505" s="1292"/>
      <c r="AU505" s="1293"/>
      <c r="AV505" s="1294">
        <f t="shared" si="138"/>
        <v>-1</v>
      </c>
      <c r="AW505" s="1295">
        <f t="shared" si="139"/>
        <v>-1</v>
      </c>
      <c r="AX505" s="1296"/>
      <c r="AY505" s="1297"/>
      <c r="AZ505" s="1298">
        <f t="shared" si="136"/>
        <v>0</v>
      </c>
      <c r="BA505" s="1959"/>
      <c r="BB505" s="1285"/>
      <c r="BC505" s="1300"/>
      <c r="BF505" s="3746"/>
      <c r="BG505" s="3747"/>
      <c r="BH505" s="3763"/>
      <c r="BI505" s="3763"/>
      <c r="BJ505" s="1639"/>
      <c r="BK505" s="1639"/>
      <c r="BL505" s="1639"/>
      <c r="BM505" s="1639"/>
      <c r="BN505" s="1639"/>
      <c r="BO505" s="1639"/>
      <c r="BP505" s="1639"/>
      <c r="BQ505" s="1639"/>
      <c r="BR505" s="1639"/>
      <c r="BS505" s="509"/>
      <c r="BT505" s="509"/>
      <c r="BU505" s="509"/>
      <c r="BV505" s="509"/>
      <c r="BW505" s="509"/>
      <c r="BX505" s="509"/>
      <c r="BY505" s="509"/>
      <c r="BZ505" s="509"/>
      <c r="CA505" s="509"/>
      <c r="CB505" s="509"/>
      <c r="CC505" s="509"/>
      <c r="CD505" s="509"/>
      <c r="CE505" s="509"/>
      <c r="CF505" s="509"/>
      <c r="CG505" s="509"/>
      <c r="CH505" s="509"/>
      <c r="CI505" s="509"/>
      <c r="CJ505" s="509"/>
      <c r="CK505" s="509"/>
      <c r="CL505" s="509"/>
      <c r="CM505" s="509"/>
      <c r="CN505" s="509"/>
      <c r="CO505" s="509"/>
      <c r="CP505" s="509"/>
      <c r="CQ505" s="509"/>
      <c r="CR505" s="509"/>
      <c r="CS505" s="509"/>
      <c r="CT505" s="509"/>
      <c r="CU505" s="509"/>
      <c r="CV505" s="509"/>
      <c r="CW505" s="509"/>
      <c r="CX505" s="509"/>
      <c r="CY505" s="509"/>
      <c r="CZ505" s="509"/>
      <c r="DA505" s="509"/>
      <c r="DB505" s="509"/>
      <c r="DC505" s="509"/>
      <c r="DD505" s="509"/>
      <c r="DE505" s="509"/>
      <c r="DF505" s="509"/>
      <c r="DG505" s="509"/>
      <c r="DH505" s="509"/>
      <c r="DI505" s="509"/>
      <c r="DJ505" s="509"/>
      <c r="DK505" s="509"/>
      <c r="DL505" s="509"/>
      <c r="DM505" s="509"/>
      <c r="DN505" s="509"/>
      <c r="DO505" s="509"/>
      <c r="DP505" s="509"/>
      <c r="DQ505" s="509"/>
      <c r="DR505" s="509"/>
      <c r="DS505" s="509"/>
      <c r="DT505" s="509"/>
      <c r="DU505" s="509"/>
      <c r="DV505" s="509"/>
      <c r="DW505" s="509"/>
      <c r="DX505" s="509"/>
      <c r="DY505" s="509"/>
      <c r="DZ505" s="509"/>
      <c r="EA505" s="509"/>
      <c r="EB505" s="509"/>
      <c r="EC505" s="509"/>
      <c r="ED505" s="509"/>
      <c r="EE505" s="509"/>
      <c r="EF505" s="509"/>
      <c r="EG505" s="509"/>
      <c r="EH505" s="509"/>
      <c r="EI505" s="509"/>
      <c r="EJ505" s="509"/>
      <c r="EK505" s="509"/>
      <c r="EL505" s="509"/>
      <c r="EM505" s="509"/>
      <c r="EN505" s="509"/>
      <c r="EO505" s="509"/>
      <c r="EP505" s="509"/>
      <c r="EQ505" s="509"/>
      <c r="ER505" s="509"/>
      <c r="ES505" s="509"/>
      <c r="ET505" s="509"/>
      <c r="EU505" s="509"/>
      <c r="EV505" s="509"/>
      <c r="EW505" s="509"/>
      <c r="EX505" s="509"/>
      <c r="EY505" s="509"/>
      <c r="EZ505" s="509"/>
      <c r="FA505" s="509"/>
      <c r="FB505" s="509"/>
      <c r="FC505" s="509"/>
      <c r="FD505" s="509"/>
      <c r="FE505" s="509"/>
      <c r="FF505" s="509"/>
      <c r="FG505" s="509"/>
      <c r="FH505" s="509"/>
      <c r="FI505" s="509"/>
      <c r="FJ505" s="509"/>
      <c r="FK505" s="509"/>
      <c r="FL505" s="509"/>
      <c r="FM505" s="509"/>
      <c r="FN505" s="509"/>
      <c r="FO505" s="509"/>
      <c r="FP505" s="509"/>
      <c r="FQ505" s="509"/>
      <c r="FR505" s="509"/>
      <c r="FS505" s="509"/>
      <c r="FT505" s="509"/>
      <c r="FU505" s="509"/>
      <c r="FV505" s="509"/>
      <c r="FW505" s="509"/>
      <c r="FX505" s="509"/>
      <c r="FY505" s="509"/>
      <c r="FZ505" s="509"/>
      <c r="GA505" s="509"/>
      <c r="GB505" s="509"/>
      <c r="GC505" s="509"/>
      <c r="GD505" s="509"/>
      <c r="GE505" s="509"/>
      <c r="GF505" s="509"/>
      <c r="GG505" s="509"/>
      <c r="GH505" s="509"/>
      <c r="GI505" s="509"/>
      <c r="GJ505" s="509"/>
      <c r="GK505" s="509"/>
      <c r="GL505" s="509"/>
      <c r="GM505" s="509"/>
      <c r="GN505" s="509"/>
      <c r="GO505" s="509"/>
      <c r="GP505" s="509"/>
      <c r="GQ505" s="509"/>
      <c r="GR505" s="509"/>
      <c r="GS505" s="509"/>
      <c r="GT505" s="509"/>
      <c r="GU505" s="509"/>
      <c r="GV505" s="509"/>
      <c r="GW505" s="509"/>
      <c r="GX505" s="509"/>
      <c r="GY505" s="509"/>
      <c r="GZ505" s="509"/>
      <c r="HA505" s="509"/>
      <c r="HB505" s="509"/>
      <c r="HC505" s="509"/>
      <c r="HD505" s="509"/>
      <c r="HE505" s="509"/>
      <c r="HF505" s="509"/>
      <c r="HG505" s="509"/>
      <c r="HH505" s="509"/>
      <c r="HI505" s="509"/>
      <c r="HJ505" s="509"/>
      <c r="HK505" s="509"/>
      <c r="HL505" s="509"/>
      <c r="HM505" s="509"/>
      <c r="HN505" s="509"/>
      <c r="HO505" s="509"/>
      <c r="HP505" s="509"/>
      <c r="HQ505" s="509"/>
      <c r="HR505" s="509"/>
      <c r="HS505" s="509"/>
      <c r="HT505" s="509"/>
      <c r="HU505" s="509"/>
      <c r="HV505" s="509"/>
      <c r="HW505" s="509"/>
      <c r="HX505" s="509"/>
      <c r="HY505" s="509"/>
      <c r="HZ505" s="509"/>
    </row>
    <row r="506" spans="1:234" ht="13.5" hidden="1" customHeight="1" x14ac:dyDescent="0.25">
      <c r="A506" s="1270" t="s">
        <v>8856</v>
      </c>
      <c r="B506" s="1271" t="s">
        <v>8855</v>
      </c>
      <c r="C506" s="1272" t="s">
        <v>8857</v>
      </c>
      <c r="D506" s="1273" t="s">
        <v>6934</v>
      </c>
      <c r="E506" s="1272" t="s">
        <v>3228</v>
      </c>
      <c r="F506" s="1274">
        <v>43052</v>
      </c>
      <c r="G506" s="1275">
        <v>42979</v>
      </c>
      <c r="H506" s="1274">
        <v>43042</v>
      </c>
      <c r="I506" s="1276">
        <v>44165</v>
      </c>
      <c r="J506" s="1277">
        <v>10</v>
      </c>
      <c r="K506" s="1278" t="s">
        <v>3229</v>
      </c>
      <c r="L506" s="1279" t="s">
        <v>3229</v>
      </c>
      <c r="M506" s="1280">
        <v>-0.1</v>
      </c>
      <c r="N506" s="1281">
        <v>0.8</v>
      </c>
      <c r="O506" s="1282">
        <v>0.2</v>
      </c>
      <c r="P506" s="1283" t="s">
        <v>3229</v>
      </c>
      <c r="Q506" s="1283" t="s">
        <v>3229</v>
      </c>
      <c r="R506" s="1284" t="s">
        <v>3229</v>
      </c>
      <c r="S506" s="1285">
        <v>1</v>
      </c>
      <c r="T506" s="1286" t="s">
        <v>3229</v>
      </c>
      <c r="U506" s="1286" t="s">
        <v>3229</v>
      </c>
      <c r="V506" s="1286" t="s">
        <v>3229</v>
      </c>
      <c r="W506" s="1286" t="s">
        <v>3229</v>
      </c>
      <c r="X506" s="1286" t="s">
        <v>3229</v>
      </c>
      <c r="Y506" s="1286" t="s">
        <v>3229</v>
      </c>
      <c r="Z506" s="1286" t="s">
        <v>3229</v>
      </c>
      <c r="AA506" s="1286" t="s">
        <v>3229</v>
      </c>
      <c r="AB506" s="1286" t="s">
        <v>3229</v>
      </c>
      <c r="AC506" s="1286" t="s">
        <v>3229</v>
      </c>
      <c r="AD506" s="1286" t="s">
        <v>3229</v>
      </c>
      <c r="AE506" s="1286" t="s">
        <v>3229</v>
      </c>
      <c r="AF506" s="3764" t="s">
        <v>781</v>
      </c>
      <c r="AG506" s="3765"/>
      <c r="AH506" s="1287" t="s">
        <v>3229</v>
      </c>
      <c r="AI506" s="1288" t="s">
        <v>3229</v>
      </c>
      <c r="AJ506" s="1288" t="s">
        <v>3229</v>
      </c>
      <c r="AK506" s="1288" t="s">
        <v>3229</v>
      </c>
      <c r="AL506" s="1288" t="s">
        <v>3229</v>
      </c>
      <c r="AM506" s="1288">
        <v>1</v>
      </c>
      <c r="AN506" s="1289">
        <f>+'klikací hodnoty'!F16364</f>
        <v>-0.1</v>
      </c>
      <c r="AO506" s="1290">
        <v>10.199999999999999</v>
      </c>
      <c r="AP506" s="1371">
        <f>+'klikací hodnoty'!F16363</f>
        <v>-0.18692583333333332</v>
      </c>
      <c r="AQ506" s="1281">
        <f>+'klikací hodnoty'!F16356</f>
        <v>-0.22147511590908386</v>
      </c>
      <c r="AR506" s="1291">
        <f t="shared" si="135"/>
        <v>0.2</v>
      </c>
      <c r="AS506" s="1292">
        <f t="shared" si="137"/>
        <v>6.1614631808266429E-2</v>
      </c>
      <c r="AT506" s="1292"/>
      <c r="AU506" s="1293"/>
      <c r="AV506" s="1294">
        <f t="shared" si="138"/>
        <v>-0.1</v>
      </c>
      <c r="AW506" s="1295">
        <f t="shared" si="139"/>
        <v>-3.3962079794987332E-2</v>
      </c>
      <c r="AX506" s="1296"/>
      <c r="AY506" s="1297"/>
      <c r="AZ506" s="1298">
        <f t="shared" si="136"/>
        <v>9</v>
      </c>
      <c r="BA506" s="1959"/>
      <c r="BB506" s="1285"/>
      <c r="BC506" s="1300"/>
      <c r="BF506" s="3746"/>
      <c r="BG506" s="3747"/>
      <c r="BH506" s="3763"/>
      <c r="BI506" s="3763"/>
      <c r="BJ506" s="1639"/>
      <c r="BK506" s="1639"/>
      <c r="BL506" s="1639"/>
      <c r="BM506" s="1639"/>
      <c r="BN506" s="1639"/>
      <c r="BO506" s="1639"/>
      <c r="BP506" s="1639"/>
      <c r="BQ506" s="1639"/>
      <c r="BR506" s="1639"/>
      <c r="BS506" s="509"/>
      <c r="BT506" s="509"/>
      <c r="BU506" s="509"/>
      <c r="BV506" s="509"/>
      <c r="BW506" s="509"/>
      <c r="BX506" s="509"/>
      <c r="BY506" s="509"/>
      <c r="BZ506" s="509"/>
      <c r="CA506" s="509"/>
      <c r="CB506" s="509"/>
      <c r="CC506" s="509"/>
      <c r="CD506" s="509"/>
      <c r="CE506" s="509"/>
      <c r="CF506" s="509"/>
      <c r="CG506" s="509"/>
      <c r="CH506" s="509"/>
      <c r="CI506" s="509"/>
      <c r="CJ506" s="509"/>
      <c r="CK506" s="509"/>
      <c r="CL506" s="509"/>
      <c r="CM506" s="509"/>
      <c r="CN506" s="509"/>
      <c r="CO506" s="509"/>
      <c r="CP506" s="509"/>
      <c r="CQ506" s="509"/>
      <c r="CR506" s="509"/>
      <c r="CS506" s="509"/>
      <c r="CT506" s="509"/>
      <c r="CU506" s="509"/>
      <c r="CV506" s="509"/>
      <c r="CW506" s="509"/>
      <c r="CX506" s="509"/>
      <c r="CY506" s="509"/>
      <c r="CZ506" s="509"/>
      <c r="DA506" s="509"/>
      <c r="DB506" s="509"/>
      <c r="DC506" s="509"/>
      <c r="DD506" s="509"/>
      <c r="DE506" s="509"/>
      <c r="DF506" s="509"/>
      <c r="DG506" s="509"/>
      <c r="DH506" s="509"/>
      <c r="DI506" s="509"/>
      <c r="DJ506" s="509"/>
      <c r="DK506" s="509"/>
      <c r="DL506" s="509"/>
      <c r="DM506" s="509"/>
      <c r="DN506" s="509"/>
      <c r="DO506" s="509"/>
      <c r="DP506" s="509"/>
      <c r="DQ506" s="509"/>
      <c r="DR506" s="509"/>
      <c r="DS506" s="509"/>
      <c r="DT506" s="509"/>
      <c r="DU506" s="509"/>
      <c r="DV506" s="509"/>
      <c r="DW506" s="509"/>
      <c r="DX506" s="509"/>
      <c r="DY506" s="509"/>
      <c r="DZ506" s="509"/>
      <c r="EA506" s="509"/>
      <c r="EB506" s="509"/>
      <c r="EC506" s="509"/>
      <c r="ED506" s="509"/>
      <c r="EE506" s="509"/>
      <c r="EF506" s="509"/>
      <c r="EG506" s="509"/>
      <c r="EH506" s="509"/>
      <c r="EI506" s="509"/>
      <c r="EJ506" s="509"/>
      <c r="EK506" s="509"/>
      <c r="EL506" s="509"/>
      <c r="EM506" s="509"/>
      <c r="EN506" s="509"/>
      <c r="EO506" s="509"/>
      <c r="EP506" s="509"/>
      <c r="EQ506" s="509"/>
      <c r="ER506" s="509"/>
      <c r="ES506" s="509"/>
      <c r="ET506" s="509"/>
      <c r="EU506" s="509"/>
      <c r="EV506" s="509"/>
      <c r="EW506" s="509"/>
      <c r="EX506" s="509"/>
      <c r="EY506" s="509"/>
      <c r="EZ506" s="509"/>
      <c r="FA506" s="509"/>
      <c r="FB506" s="509"/>
      <c r="FC506" s="509"/>
      <c r="FD506" s="509"/>
      <c r="FE506" s="509"/>
      <c r="FF506" s="509"/>
      <c r="FG506" s="509"/>
      <c r="FH506" s="509"/>
      <c r="FI506" s="509"/>
      <c r="FJ506" s="509"/>
      <c r="FK506" s="509"/>
      <c r="FL506" s="509"/>
      <c r="FM506" s="509"/>
      <c r="FN506" s="509"/>
      <c r="FO506" s="509"/>
      <c r="FP506" s="509"/>
      <c r="FQ506" s="509"/>
      <c r="FR506" s="509"/>
      <c r="FS506" s="509"/>
      <c r="FT506" s="509"/>
      <c r="FU506" s="509"/>
      <c r="FV506" s="509"/>
      <c r="FW506" s="509"/>
      <c r="FX506" s="509"/>
      <c r="FY506" s="509"/>
      <c r="FZ506" s="509"/>
      <c r="GA506" s="509"/>
      <c r="GB506" s="509"/>
      <c r="GC506" s="509"/>
      <c r="GD506" s="509"/>
      <c r="GE506" s="509"/>
      <c r="GF506" s="509"/>
      <c r="GG506" s="509"/>
      <c r="GH506" s="509"/>
      <c r="GI506" s="509"/>
      <c r="GJ506" s="509"/>
      <c r="GK506" s="509"/>
      <c r="GL506" s="509"/>
      <c r="GM506" s="509"/>
      <c r="GN506" s="509"/>
      <c r="GO506" s="509"/>
      <c r="GP506" s="509"/>
      <c r="GQ506" s="509"/>
      <c r="GR506" s="509"/>
      <c r="GS506" s="509"/>
      <c r="GT506" s="509"/>
      <c r="GU506" s="509"/>
      <c r="GV506" s="509"/>
      <c r="GW506" s="509"/>
      <c r="GX506" s="509"/>
      <c r="GY506" s="509"/>
      <c r="GZ506" s="509"/>
      <c r="HA506" s="509"/>
      <c r="HB506" s="509"/>
      <c r="HC506" s="509"/>
      <c r="HD506" s="509"/>
      <c r="HE506" s="509"/>
      <c r="HF506" s="509"/>
      <c r="HG506" s="509"/>
      <c r="HH506" s="509"/>
      <c r="HI506" s="509"/>
      <c r="HJ506" s="509"/>
      <c r="HK506" s="509"/>
      <c r="HL506" s="509"/>
      <c r="HM506" s="509"/>
      <c r="HN506" s="509"/>
      <c r="HO506" s="509"/>
      <c r="HP506" s="509"/>
      <c r="HQ506" s="509"/>
      <c r="HR506" s="509"/>
      <c r="HS506" s="509"/>
      <c r="HT506" s="509"/>
      <c r="HU506" s="509"/>
      <c r="HV506" s="509"/>
      <c r="HW506" s="509"/>
      <c r="HX506" s="509"/>
      <c r="HY506" s="509"/>
      <c r="HZ506" s="509"/>
    </row>
    <row r="507" spans="1:234" ht="13.5" hidden="1" customHeight="1" x14ac:dyDescent="0.25">
      <c r="A507" s="1270" t="s">
        <v>9029</v>
      </c>
      <c r="B507" s="1271" t="s">
        <v>9028</v>
      </c>
      <c r="C507" s="1272" t="s">
        <v>9504</v>
      </c>
      <c r="D507" s="1273" t="s">
        <v>189</v>
      </c>
      <c r="E507" s="1272" t="s">
        <v>3228</v>
      </c>
      <c r="F507" s="1274">
        <v>43077</v>
      </c>
      <c r="G507" s="1275">
        <v>43025</v>
      </c>
      <c r="H507" s="1274">
        <v>43069</v>
      </c>
      <c r="I507" s="1276">
        <v>45260</v>
      </c>
      <c r="J507" s="1277">
        <v>10</v>
      </c>
      <c r="K507" s="1278" t="s">
        <v>3229</v>
      </c>
      <c r="L507" s="1279" t="s">
        <v>3229</v>
      </c>
      <c r="M507" s="1280">
        <v>0</v>
      </c>
      <c r="N507" s="1281">
        <v>1</v>
      </c>
      <c r="O507" s="1282">
        <v>0.6</v>
      </c>
      <c r="P507" s="1283" t="s">
        <v>3229</v>
      </c>
      <c r="Q507" s="1283">
        <v>0.95</v>
      </c>
      <c r="R507" s="1284" t="s">
        <v>3229</v>
      </c>
      <c r="S507" s="1285">
        <v>1</v>
      </c>
      <c r="T507" s="1286" t="s">
        <v>3229</v>
      </c>
      <c r="U507" s="1286" t="s">
        <v>3229</v>
      </c>
      <c r="V507" s="1286" t="s">
        <v>3229</v>
      </c>
      <c r="W507" s="1286" t="s">
        <v>3229</v>
      </c>
      <c r="X507" s="1286" t="s">
        <v>3229</v>
      </c>
      <c r="Y507" s="1286" t="s">
        <v>3229</v>
      </c>
      <c r="Z507" s="1286" t="s">
        <v>3229</v>
      </c>
      <c r="AA507" s="1286" t="s">
        <v>3229</v>
      </c>
      <c r="AB507" s="1286" t="s">
        <v>3229</v>
      </c>
      <c r="AC507" s="1286" t="s">
        <v>3229</v>
      </c>
      <c r="AD507" s="1286" t="s">
        <v>3229</v>
      </c>
      <c r="AE507" s="1286" t="s">
        <v>3229</v>
      </c>
      <c r="AF507" s="3764" t="s">
        <v>781</v>
      </c>
      <c r="AG507" s="3765">
        <f>(I507-indexy!$B$1)/365</f>
        <v>-0.32602739726027397</v>
      </c>
      <c r="AH507" s="1287" t="s">
        <v>3229</v>
      </c>
      <c r="AI507" s="1288" t="s">
        <v>3229</v>
      </c>
      <c r="AJ507" s="1288" t="s">
        <v>3229</v>
      </c>
      <c r="AK507" s="1288" t="s">
        <v>3229</v>
      </c>
      <c r="AL507" s="1288" t="s">
        <v>3229</v>
      </c>
      <c r="AM507" s="1288">
        <v>1</v>
      </c>
      <c r="AN507" s="1289">
        <f>+'klikací hodnoty'!F16403</f>
        <v>0</v>
      </c>
      <c r="AO507" s="1290">
        <v>10</v>
      </c>
      <c r="AP507" s="1371">
        <f>+'klikací hodnoty'!F16402</f>
        <v>-1.3128083333333337E-2</v>
      </c>
      <c r="AQ507" s="1281">
        <f>+'klikací hodnoty'!F16389</f>
        <v>-4.2481361395518072E-2</v>
      </c>
      <c r="AR507" s="1291">
        <f t="shared" si="135"/>
        <v>0.6</v>
      </c>
      <c r="AS507" s="1292">
        <f t="shared" si="137"/>
        <v>8.1755434088638612E-2</v>
      </c>
      <c r="AT507" s="1292"/>
      <c r="AU507" s="1293"/>
      <c r="AV507" s="1294">
        <f t="shared" ref="AV507:AV513" si="140">M507</f>
        <v>0</v>
      </c>
      <c r="AW507" s="1295">
        <f t="shared" ref="AW507:AW513" si="141">POWER(1+AV507,1/((I507-F507)/365))-1</f>
        <v>0</v>
      </c>
      <c r="AX507" s="1296"/>
      <c r="AY507" s="1297"/>
      <c r="AZ507" s="1298">
        <f t="shared" ref="AZ507:AZ513" si="142">J507*(1+AV507)</f>
        <v>10</v>
      </c>
      <c r="BA507" s="1959"/>
      <c r="BB507" s="1285"/>
      <c r="BC507" s="1300"/>
      <c r="BF507" s="3746"/>
      <c r="BG507" s="3747"/>
      <c r="BH507" s="3763"/>
      <c r="BI507" s="3763"/>
      <c r="BJ507" s="1639"/>
      <c r="BK507" s="1639"/>
      <c r="BL507" s="1639"/>
      <c r="BM507" s="1639"/>
      <c r="BN507" s="1639"/>
      <c r="BO507" s="1639"/>
      <c r="BP507" s="1639"/>
      <c r="BQ507" s="1639"/>
      <c r="BR507" s="1639"/>
      <c r="BS507" s="509"/>
      <c r="BT507" s="509"/>
      <c r="BU507" s="509"/>
      <c r="BV507" s="509"/>
      <c r="BW507" s="509"/>
      <c r="BX507" s="509"/>
      <c r="BY507" s="509"/>
      <c r="BZ507" s="509"/>
      <c r="CA507" s="509"/>
      <c r="CB507" s="509"/>
      <c r="CC507" s="509"/>
      <c r="CD507" s="509"/>
      <c r="CE507" s="509"/>
      <c r="CF507" s="509"/>
      <c r="CG507" s="509"/>
      <c r="CH507" s="509"/>
      <c r="CI507" s="509"/>
      <c r="CJ507" s="509"/>
      <c r="CK507" s="509"/>
      <c r="CL507" s="509"/>
      <c r="CM507" s="509"/>
      <c r="CN507" s="509"/>
      <c r="CO507" s="509"/>
      <c r="CP507" s="509"/>
      <c r="CQ507" s="509"/>
      <c r="CR507" s="509"/>
      <c r="CS507" s="509"/>
      <c r="CT507" s="509"/>
      <c r="CU507" s="509"/>
      <c r="CV507" s="509"/>
      <c r="CW507" s="509"/>
      <c r="CX507" s="509"/>
      <c r="CY507" s="509"/>
      <c r="CZ507" s="509"/>
      <c r="DA507" s="509"/>
      <c r="DB507" s="509"/>
      <c r="DC507" s="509"/>
      <c r="DD507" s="509"/>
      <c r="DE507" s="509"/>
      <c r="DF507" s="509"/>
      <c r="DG507" s="509"/>
      <c r="DH507" s="509"/>
      <c r="DI507" s="509"/>
      <c r="DJ507" s="509"/>
      <c r="DK507" s="509"/>
      <c r="DL507" s="509"/>
      <c r="DM507" s="509"/>
      <c r="DN507" s="509"/>
      <c r="DO507" s="509"/>
      <c r="DP507" s="509"/>
      <c r="DQ507" s="509"/>
      <c r="DR507" s="509"/>
      <c r="DS507" s="509"/>
      <c r="DT507" s="509"/>
      <c r="DU507" s="509"/>
      <c r="DV507" s="509"/>
      <c r="DW507" s="509"/>
      <c r="DX507" s="509"/>
      <c r="DY507" s="509"/>
      <c r="DZ507" s="509"/>
      <c r="EA507" s="509"/>
      <c r="EB507" s="509"/>
      <c r="EC507" s="509"/>
      <c r="ED507" s="509"/>
      <c r="EE507" s="509"/>
      <c r="EF507" s="509"/>
      <c r="EG507" s="509"/>
      <c r="EH507" s="509"/>
      <c r="EI507" s="509"/>
      <c r="EJ507" s="509"/>
      <c r="EK507" s="509"/>
      <c r="EL507" s="509"/>
      <c r="EM507" s="509"/>
      <c r="EN507" s="509"/>
      <c r="EO507" s="509"/>
      <c r="EP507" s="509"/>
      <c r="EQ507" s="509"/>
      <c r="ER507" s="509"/>
      <c r="ES507" s="509"/>
      <c r="ET507" s="509"/>
      <c r="EU507" s="509"/>
      <c r="EV507" s="509"/>
      <c r="EW507" s="509"/>
      <c r="EX507" s="509"/>
      <c r="EY507" s="509"/>
      <c r="EZ507" s="509"/>
      <c r="FA507" s="509"/>
      <c r="FB507" s="509"/>
      <c r="FC507" s="509"/>
      <c r="FD507" s="509"/>
      <c r="FE507" s="509"/>
      <c r="FF507" s="509"/>
      <c r="FG507" s="509"/>
      <c r="FH507" s="509"/>
      <c r="FI507" s="509"/>
      <c r="FJ507" s="509"/>
      <c r="FK507" s="509"/>
      <c r="FL507" s="509"/>
      <c r="FM507" s="509"/>
      <c r="FN507" s="509"/>
      <c r="FO507" s="509"/>
      <c r="FP507" s="509"/>
      <c r="FQ507" s="509"/>
      <c r="FR507" s="509"/>
      <c r="FS507" s="509"/>
      <c r="FT507" s="509"/>
      <c r="FU507" s="509"/>
      <c r="FV507" s="509"/>
      <c r="FW507" s="509"/>
      <c r="FX507" s="509"/>
      <c r="FY507" s="509"/>
      <c r="FZ507" s="509"/>
      <c r="GA507" s="509"/>
      <c r="GB507" s="509"/>
      <c r="GC507" s="509"/>
      <c r="GD507" s="509"/>
      <c r="GE507" s="509"/>
      <c r="GF507" s="509"/>
      <c r="GG507" s="509"/>
      <c r="GH507" s="509"/>
      <c r="GI507" s="509"/>
      <c r="GJ507" s="509"/>
      <c r="GK507" s="509"/>
      <c r="GL507" s="509"/>
      <c r="GM507" s="509"/>
      <c r="GN507" s="509"/>
      <c r="GO507" s="509"/>
      <c r="GP507" s="509"/>
      <c r="GQ507" s="509"/>
      <c r="GR507" s="509"/>
      <c r="GS507" s="509"/>
      <c r="GT507" s="509"/>
      <c r="GU507" s="509"/>
      <c r="GV507" s="509"/>
      <c r="GW507" s="509"/>
      <c r="GX507" s="509"/>
      <c r="GY507" s="509"/>
      <c r="GZ507" s="509"/>
      <c r="HA507" s="509"/>
      <c r="HB507" s="509"/>
      <c r="HC507" s="509"/>
      <c r="HD507" s="509"/>
      <c r="HE507" s="509"/>
      <c r="HF507" s="509"/>
      <c r="HG507" s="509"/>
      <c r="HH507" s="509"/>
      <c r="HI507" s="509"/>
      <c r="HJ507" s="509"/>
      <c r="HK507" s="509"/>
      <c r="HL507" s="509"/>
      <c r="HM507" s="509"/>
      <c r="HN507" s="509"/>
      <c r="HO507" s="509"/>
      <c r="HP507" s="509"/>
      <c r="HQ507" s="509"/>
      <c r="HR507" s="509"/>
      <c r="HS507" s="509"/>
      <c r="HT507" s="509"/>
      <c r="HU507" s="509"/>
      <c r="HV507" s="509"/>
      <c r="HW507" s="509"/>
      <c r="HX507" s="509"/>
      <c r="HY507" s="509"/>
      <c r="HZ507" s="509"/>
    </row>
    <row r="508" spans="1:234" ht="13.5" hidden="1" customHeight="1" x14ac:dyDescent="0.25">
      <c r="A508" s="1270" t="s">
        <v>8950</v>
      </c>
      <c r="B508" s="1271" t="s">
        <v>8948</v>
      </c>
      <c r="C508" s="1272" t="s">
        <v>9140</v>
      </c>
      <c r="D508" s="1273" t="s">
        <v>8854</v>
      </c>
      <c r="E508" s="1272" t="s">
        <v>3228</v>
      </c>
      <c r="F508" s="1274">
        <v>43097</v>
      </c>
      <c r="G508" s="1275">
        <v>43040</v>
      </c>
      <c r="H508" s="1274">
        <v>43087</v>
      </c>
      <c r="I508" s="1276">
        <v>45198</v>
      </c>
      <c r="J508" s="1277">
        <v>10</v>
      </c>
      <c r="K508" s="1278" t="s">
        <v>3229</v>
      </c>
      <c r="L508" s="1279" t="s">
        <v>3229</v>
      </c>
      <c r="M508" s="1280">
        <v>-1</v>
      </c>
      <c r="N508" s="1281">
        <v>0.9</v>
      </c>
      <c r="O508" s="1282">
        <v>0.8</v>
      </c>
      <c r="P508" s="1283">
        <v>0.3</v>
      </c>
      <c r="Q508" s="1283" t="s">
        <v>3229</v>
      </c>
      <c r="R508" s="1284" t="s">
        <v>3229</v>
      </c>
      <c r="S508" s="1285">
        <v>1</v>
      </c>
      <c r="T508" s="1286" t="s">
        <v>3229</v>
      </c>
      <c r="U508" s="1286" t="s">
        <v>3229</v>
      </c>
      <c r="V508" s="1286" t="s">
        <v>3229</v>
      </c>
      <c r="W508" s="1286" t="s">
        <v>3229</v>
      </c>
      <c r="X508" s="1286" t="s">
        <v>3229</v>
      </c>
      <c r="Y508" s="1286" t="s">
        <v>3229</v>
      </c>
      <c r="Z508" s="1286" t="s">
        <v>3229</v>
      </c>
      <c r="AA508" s="1286" t="s">
        <v>3229</v>
      </c>
      <c r="AB508" s="1286" t="s">
        <v>3229</v>
      </c>
      <c r="AC508" s="1286" t="s">
        <v>3229</v>
      </c>
      <c r="AD508" s="1286" t="s">
        <v>3229</v>
      </c>
      <c r="AE508" s="1286" t="s">
        <v>3229</v>
      </c>
      <c r="AF508" s="3764" t="s">
        <v>781</v>
      </c>
      <c r="AG508" s="3765">
        <f>(I508-indexy!$B$1)/365</f>
        <v>-0.49589041095890413</v>
      </c>
      <c r="AH508" s="1287" t="s">
        <v>3229</v>
      </c>
      <c r="AI508" s="1288" t="s">
        <v>3229</v>
      </c>
      <c r="AJ508" s="1288" t="s">
        <v>3229</v>
      </c>
      <c r="AK508" s="1288" t="s">
        <v>3229</v>
      </c>
      <c r="AL508" s="1288" t="s">
        <v>3229</v>
      </c>
      <c r="AM508" s="1288">
        <v>1</v>
      </c>
      <c r="AN508" s="1289">
        <f>+'klikací hodnoty'!F16437</f>
        <v>0.37170394514984412</v>
      </c>
      <c r="AO508" s="1290">
        <v>13.6</v>
      </c>
      <c r="AP508" s="1371">
        <f>+'klikací hodnoty'!F16436</f>
        <v>0.41300438349982677</v>
      </c>
      <c r="AQ508" s="1281">
        <f>+'klikací hodnoty'!F16429</f>
        <v>0.40350810033298684</v>
      </c>
      <c r="AR508" s="1291">
        <f t="shared" si="135"/>
        <v>0.8</v>
      </c>
      <c r="AS508" s="1292">
        <f t="shared" si="137"/>
        <v>0.10751004677231046</v>
      </c>
      <c r="AT508" s="1292"/>
      <c r="AU508" s="1293"/>
      <c r="AV508" s="1294">
        <f t="shared" si="140"/>
        <v>-1</v>
      </c>
      <c r="AW508" s="1295">
        <f t="shared" si="141"/>
        <v>-1</v>
      </c>
      <c r="AX508" s="1296"/>
      <c r="AY508" s="1297"/>
      <c r="AZ508" s="1298">
        <f t="shared" si="142"/>
        <v>0</v>
      </c>
      <c r="BA508" s="1959"/>
      <c r="BB508" s="1285"/>
      <c r="BC508" s="1300"/>
      <c r="BF508" s="3746"/>
      <c r="BG508" s="3747"/>
      <c r="BH508" s="3763"/>
      <c r="BI508" s="3763"/>
      <c r="BJ508" s="1639"/>
      <c r="BK508" s="1639"/>
      <c r="BL508" s="1639"/>
      <c r="BM508" s="1639"/>
      <c r="BN508" s="1639"/>
      <c r="BO508" s="1639"/>
      <c r="BP508" s="1639"/>
      <c r="BQ508" s="1639"/>
      <c r="BR508" s="1639"/>
      <c r="BS508" s="509"/>
      <c r="BT508" s="509"/>
      <c r="BU508" s="509"/>
      <c r="BV508" s="509"/>
      <c r="BW508" s="509"/>
      <c r="BX508" s="509"/>
      <c r="BY508" s="509"/>
      <c r="BZ508" s="509"/>
      <c r="CA508" s="509"/>
      <c r="CB508" s="509"/>
      <c r="CC508" s="509"/>
      <c r="CD508" s="509"/>
      <c r="CE508" s="509"/>
      <c r="CF508" s="509"/>
      <c r="CG508" s="509"/>
      <c r="CH508" s="509"/>
      <c r="CI508" s="509"/>
      <c r="CJ508" s="509"/>
      <c r="CK508" s="509"/>
      <c r="CL508" s="509"/>
      <c r="CM508" s="509"/>
      <c r="CN508" s="509"/>
      <c r="CO508" s="509"/>
      <c r="CP508" s="509"/>
      <c r="CQ508" s="509"/>
      <c r="CR508" s="509"/>
      <c r="CS508" s="509"/>
      <c r="CT508" s="509"/>
      <c r="CU508" s="509"/>
      <c r="CV508" s="509"/>
      <c r="CW508" s="509"/>
      <c r="CX508" s="509"/>
      <c r="CY508" s="509"/>
      <c r="CZ508" s="509"/>
      <c r="DA508" s="509"/>
      <c r="DB508" s="509"/>
      <c r="DC508" s="509"/>
      <c r="DD508" s="509"/>
      <c r="DE508" s="509"/>
      <c r="DF508" s="509"/>
      <c r="DG508" s="509"/>
      <c r="DH508" s="509"/>
      <c r="DI508" s="509"/>
      <c r="DJ508" s="509"/>
      <c r="DK508" s="509"/>
      <c r="DL508" s="509"/>
      <c r="DM508" s="509"/>
      <c r="DN508" s="509"/>
      <c r="DO508" s="509"/>
      <c r="DP508" s="509"/>
      <c r="DQ508" s="509"/>
      <c r="DR508" s="509"/>
      <c r="DS508" s="509"/>
      <c r="DT508" s="509"/>
      <c r="DU508" s="509"/>
      <c r="DV508" s="509"/>
      <c r="DW508" s="509"/>
      <c r="DX508" s="509"/>
      <c r="DY508" s="509"/>
      <c r="DZ508" s="509"/>
      <c r="EA508" s="509"/>
      <c r="EB508" s="509"/>
      <c r="EC508" s="509"/>
      <c r="ED508" s="509"/>
      <c r="EE508" s="509"/>
      <c r="EF508" s="509"/>
      <c r="EG508" s="509"/>
      <c r="EH508" s="509"/>
      <c r="EI508" s="509"/>
      <c r="EJ508" s="509"/>
      <c r="EK508" s="509"/>
      <c r="EL508" s="509"/>
      <c r="EM508" s="509"/>
      <c r="EN508" s="509"/>
      <c r="EO508" s="509"/>
      <c r="EP508" s="509"/>
      <c r="EQ508" s="509"/>
      <c r="ER508" s="509"/>
      <c r="ES508" s="509"/>
      <c r="ET508" s="509"/>
      <c r="EU508" s="509"/>
      <c r="EV508" s="509"/>
      <c r="EW508" s="509"/>
      <c r="EX508" s="509"/>
      <c r="EY508" s="509"/>
      <c r="EZ508" s="509"/>
      <c r="FA508" s="509"/>
      <c r="FB508" s="509"/>
      <c r="FC508" s="509"/>
      <c r="FD508" s="509"/>
      <c r="FE508" s="509"/>
      <c r="FF508" s="509"/>
      <c r="FG508" s="509"/>
      <c r="FH508" s="509"/>
      <c r="FI508" s="509"/>
      <c r="FJ508" s="509"/>
      <c r="FK508" s="509"/>
      <c r="FL508" s="509"/>
      <c r="FM508" s="509"/>
      <c r="FN508" s="509"/>
      <c r="FO508" s="509"/>
      <c r="FP508" s="509"/>
      <c r="FQ508" s="509"/>
      <c r="FR508" s="509"/>
      <c r="FS508" s="509"/>
      <c r="FT508" s="509"/>
      <c r="FU508" s="509"/>
      <c r="FV508" s="509"/>
      <c r="FW508" s="509"/>
      <c r="FX508" s="509"/>
      <c r="FY508" s="509"/>
      <c r="FZ508" s="509"/>
      <c r="GA508" s="509"/>
      <c r="GB508" s="509"/>
      <c r="GC508" s="509"/>
      <c r="GD508" s="509"/>
      <c r="GE508" s="509"/>
      <c r="GF508" s="509"/>
      <c r="GG508" s="509"/>
      <c r="GH508" s="509"/>
      <c r="GI508" s="509"/>
      <c r="GJ508" s="509"/>
      <c r="GK508" s="509"/>
      <c r="GL508" s="509"/>
      <c r="GM508" s="509"/>
      <c r="GN508" s="509"/>
      <c r="GO508" s="509"/>
      <c r="GP508" s="509"/>
      <c r="GQ508" s="509"/>
      <c r="GR508" s="509"/>
      <c r="GS508" s="509"/>
      <c r="GT508" s="509"/>
      <c r="GU508" s="509"/>
      <c r="GV508" s="509"/>
      <c r="GW508" s="509"/>
      <c r="GX508" s="509"/>
      <c r="GY508" s="509"/>
      <c r="GZ508" s="509"/>
      <c r="HA508" s="509"/>
      <c r="HB508" s="509"/>
      <c r="HC508" s="509"/>
      <c r="HD508" s="509"/>
      <c r="HE508" s="509"/>
      <c r="HF508" s="509"/>
      <c r="HG508" s="509"/>
      <c r="HH508" s="509"/>
      <c r="HI508" s="509"/>
      <c r="HJ508" s="509"/>
      <c r="HK508" s="509"/>
      <c r="HL508" s="509"/>
      <c r="HM508" s="509"/>
      <c r="HN508" s="509"/>
      <c r="HO508" s="509"/>
      <c r="HP508" s="509"/>
      <c r="HQ508" s="509"/>
      <c r="HR508" s="509"/>
      <c r="HS508" s="509"/>
      <c r="HT508" s="509"/>
      <c r="HU508" s="509"/>
      <c r="HV508" s="509"/>
      <c r="HW508" s="509"/>
      <c r="HX508" s="509"/>
      <c r="HY508" s="509"/>
      <c r="HZ508" s="509"/>
    </row>
    <row r="509" spans="1:234" ht="13.5" hidden="1" customHeight="1" x14ac:dyDescent="0.25">
      <c r="A509" s="1270" t="s">
        <v>9007</v>
      </c>
      <c r="B509" s="1271" t="s">
        <v>8949</v>
      </c>
      <c r="C509" s="1272" t="s">
        <v>9006</v>
      </c>
      <c r="D509" s="1273" t="s">
        <v>6934</v>
      </c>
      <c r="E509" s="1272" t="s">
        <v>3228</v>
      </c>
      <c r="F509" s="1274">
        <v>43096</v>
      </c>
      <c r="G509" s="1275">
        <v>43040</v>
      </c>
      <c r="H509" s="1274">
        <v>43087</v>
      </c>
      <c r="I509" s="1276">
        <v>45260</v>
      </c>
      <c r="J509" s="1277">
        <v>10</v>
      </c>
      <c r="K509" s="1278" t="s">
        <v>3229</v>
      </c>
      <c r="L509" s="1279" t="s">
        <v>3229</v>
      </c>
      <c r="M509" s="1280">
        <v>-1</v>
      </c>
      <c r="N509" s="1281">
        <v>1</v>
      </c>
      <c r="O509" s="1282">
        <v>0.8</v>
      </c>
      <c r="P509" s="1283">
        <v>0.3</v>
      </c>
      <c r="Q509" s="1283" t="s">
        <v>3229</v>
      </c>
      <c r="R509" s="1284" t="s">
        <v>3229</v>
      </c>
      <c r="S509" s="1285">
        <v>1</v>
      </c>
      <c r="T509" s="1286" t="s">
        <v>3229</v>
      </c>
      <c r="U509" s="1286" t="s">
        <v>3229</v>
      </c>
      <c r="V509" s="1286" t="s">
        <v>3229</v>
      </c>
      <c r="W509" s="1286" t="s">
        <v>3229</v>
      </c>
      <c r="X509" s="1286" t="s">
        <v>3229</v>
      </c>
      <c r="Y509" s="1286" t="s">
        <v>3229</v>
      </c>
      <c r="Z509" s="1286" t="s">
        <v>3229</v>
      </c>
      <c r="AA509" s="1286" t="s">
        <v>3229</v>
      </c>
      <c r="AB509" s="1286" t="s">
        <v>3229</v>
      </c>
      <c r="AC509" s="1286" t="s">
        <v>3229</v>
      </c>
      <c r="AD509" s="1286" t="s">
        <v>3229</v>
      </c>
      <c r="AE509" s="1286" t="s">
        <v>3229</v>
      </c>
      <c r="AF509" s="3764" t="s">
        <v>781</v>
      </c>
      <c r="AG509" s="3765">
        <f>(I509-indexy!$B$1)/365</f>
        <v>-0.32602739726027397</v>
      </c>
      <c r="AH509" s="1287" t="s">
        <v>3229</v>
      </c>
      <c r="AI509" s="1288" t="s">
        <v>3229</v>
      </c>
      <c r="AJ509" s="1288" t="s">
        <v>3229</v>
      </c>
      <c r="AK509" s="1288" t="s">
        <v>3229</v>
      </c>
      <c r="AL509" s="1288" t="s">
        <v>3229</v>
      </c>
      <c r="AM509" s="1288">
        <v>1</v>
      </c>
      <c r="AN509" s="1289">
        <f>+'klikací hodnoty'!F16481</f>
        <v>5.0365500000000028E-2</v>
      </c>
      <c r="AO509" s="1290">
        <v>10.5</v>
      </c>
      <c r="AP509" s="1371">
        <f>+'klikací hodnoty'!F16480</f>
        <v>5.0365500000000028E-2</v>
      </c>
      <c r="AQ509" s="1281">
        <f>+'klikací hodnoty'!F16473</f>
        <v>3.5999999999999999E-3</v>
      </c>
      <c r="AR509" s="1291">
        <f t="shared" si="135"/>
        <v>0.8</v>
      </c>
      <c r="AS509" s="1292">
        <f t="shared" si="137"/>
        <v>0.10422249858553179</v>
      </c>
      <c r="AT509" s="1292"/>
      <c r="AU509" s="1293"/>
      <c r="AV509" s="1294">
        <f t="shared" si="140"/>
        <v>-1</v>
      </c>
      <c r="AW509" s="1295">
        <f t="shared" si="141"/>
        <v>-1</v>
      </c>
      <c r="AX509" s="1296"/>
      <c r="AY509" s="1297"/>
      <c r="AZ509" s="1298">
        <f t="shared" si="142"/>
        <v>0</v>
      </c>
      <c r="BA509" s="1959"/>
      <c r="BB509" s="1285"/>
      <c r="BC509" s="1300"/>
      <c r="BF509" s="3746"/>
      <c r="BG509" s="3747"/>
      <c r="BH509" s="3763"/>
      <c r="BI509" s="3763"/>
      <c r="BJ509" s="1639"/>
      <c r="BK509" s="1639"/>
      <c r="BL509" s="1639"/>
      <c r="BM509" s="1639"/>
      <c r="BN509" s="1639"/>
      <c r="BO509" s="1639"/>
      <c r="BP509" s="1639"/>
      <c r="BQ509" s="1639"/>
      <c r="BR509" s="1639"/>
      <c r="BS509" s="509"/>
      <c r="BT509" s="509"/>
      <c r="BU509" s="509"/>
      <c r="BV509" s="509"/>
      <c r="BW509" s="509"/>
      <c r="BX509" s="509"/>
      <c r="BY509" s="509"/>
      <c r="BZ509" s="509"/>
      <c r="CA509" s="509"/>
      <c r="CB509" s="509"/>
      <c r="CC509" s="509"/>
      <c r="CD509" s="509"/>
      <c r="CE509" s="509"/>
      <c r="CF509" s="509"/>
      <c r="CG509" s="509"/>
      <c r="CH509" s="509"/>
      <c r="CI509" s="509"/>
      <c r="CJ509" s="509"/>
      <c r="CK509" s="509"/>
      <c r="CL509" s="509"/>
      <c r="CM509" s="509"/>
      <c r="CN509" s="509"/>
      <c r="CO509" s="509"/>
      <c r="CP509" s="509"/>
      <c r="CQ509" s="509"/>
      <c r="CR509" s="509"/>
      <c r="CS509" s="509"/>
      <c r="CT509" s="509"/>
      <c r="CU509" s="509"/>
      <c r="CV509" s="509"/>
      <c r="CW509" s="509"/>
      <c r="CX509" s="509"/>
      <c r="CY509" s="509"/>
      <c r="CZ509" s="509"/>
      <c r="DA509" s="509"/>
      <c r="DB509" s="509"/>
      <c r="DC509" s="509"/>
      <c r="DD509" s="509"/>
      <c r="DE509" s="509"/>
      <c r="DF509" s="509"/>
      <c r="DG509" s="509"/>
      <c r="DH509" s="509"/>
      <c r="DI509" s="509"/>
      <c r="DJ509" s="509"/>
      <c r="DK509" s="509"/>
      <c r="DL509" s="509"/>
      <c r="DM509" s="509"/>
      <c r="DN509" s="509"/>
      <c r="DO509" s="509"/>
      <c r="DP509" s="509"/>
      <c r="DQ509" s="509"/>
      <c r="DR509" s="509"/>
      <c r="DS509" s="509"/>
      <c r="DT509" s="509"/>
      <c r="DU509" s="509"/>
      <c r="DV509" s="509"/>
      <c r="DW509" s="509"/>
      <c r="DX509" s="509"/>
      <c r="DY509" s="509"/>
      <c r="DZ509" s="509"/>
      <c r="EA509" s="509"/>
      <c r="EB509" s="509"/>
      <c r="EC509" s="509"/>
      <c r="ED509" s="509"/>
      <c r="EE509" s="509"/>
      <c r="EF509" s="509"/>
      <c r="EG509" s="509"/>
      <c r="EH509" s="509"/>
      <c r="EI509" s="509"/>
      <c r="EJ509" s="509"/>
      <c r="EK509" s="509"/>
      <c r="EL509" s="509"/>
      <c r="EM509" s="509"/>
      <c r="EN509" s="509"/>
      <c r="EO509" s="509"/>
      <c r="EP509" s="509"/>
      <c r="EQ509" s="509"/>
      <c r="ER509" s="509"/>
      <c r="ES509" s="509"/>
      <c r="ET509" s="509"/>
      <c r="EU509" s="509"/>
      <c r="EV509" s="509"/>
      <c r="EW509" s="509"/>
      <c r="EX509" s="509"/>
      <c r="EY509" s="509"/>
      <c r="EZ509" s="509"/>
      <c r="FA509" s="509"/>
      <c r="FB509" s="509"/>
      <c r="FC509" s="509"/>
      <c r="FD509" s="509"/>
      <c r="FE509" s="509"/>
      <c r="FF509" s="509"/>
      <c r="FG509" s="509"/>
      <c r="FH509" s="509"/>
      <c r="FI509" s="509"/>
      <c r="FJ509" s="509"/>
      <c r="FK509" s="509"/>
      <c r="FL509" s="509"/>
      <c r="FM509" s="509"/>
      <c r="FN509" s="509"/>
      <c r="FO509" s="509"/>
      <c r="FP509" s="509"/>
      <c r="FQ509" s="509"/>
      <c r="FR509" s="509"/>
      <c r="FS509" s="509"/>
      <c r="FT509" s="509"/>
      <c r="FU509" s="509"/>
      <c r="FV509" s="509"/>
      <c r="FW509" s="509"/>
      <c r="FX509" s="509"/>
      <c r="FY509" s="509"/>
      <c r="FZ509" s="509"/>
      <c r="GA509" s="509"/>
      <c r="GB509" s="509"/>
      <c r="GC509" s="509"/>
      <c r="GD509" s="509"/>
      <c r="GE509" s="509"/>
      <c r="GF509" s="509"/>
      <c r="GG509" s="509"/>
      <c r="GH509" s="509"/>
      <c r="GI509" s="509"/>
      <c r="GJ509" s="509"/>
      <c r="GK509" s="509"/>
      <c r="GL509" s="509"/>
      <c r="GM509" s="509"/>
      <c r="GN509" s="509"/>
      <c r="GO509" s="509"/>
      <c r="GP509" s="509"/>
      <c r="GQ509" s="509"/>
      <c r="GR509" s="509"/>
      <c r="GS509" s="509"/>
      <c r="GT509" s="509"/>
      <c r="GU509" s="509"/>
      <c r="GV509" s="509"/>
      <c r="GW509" s="509"/>
      <c r="GX509" s="509"/>
      <c r="GY509" s="509"/>
      <c r="GZ509" s="509"/>
      <c r="HA509" s="509"/>
      <c r="HB509" s="509"/>
      <c r="HC509" s="509"/>
      <c r="HD509" s="509"/>
      <c r="HE509" s="509"/>
      <c r="HF509" s="509"/>
      <c r="HG509" s="509"/>
      <c r="HH509" s="509"/>
      <c r="HI509" s="509"/>
      <c r="HJ509" s="509"/>
      <c r="HK509" s="509"/>
      <c r="HL509" s="509"/>
      <c r="HM509" s="509"/>
      <c r="HN509" s="509"/>
      <c r="HO509" s="509"/>
      <c r="HP509" s="509"/>
      <c r="HQ509" s="509"/>
      <c r="HR509" s="509"/>
      <c r="HS509" s="509"/>
      <c r="HT509" s="509"/>
      <c r="HU509" s="509"/>
      <c r="HV509" s="509"/>
      <c r="HW509" s="509"/>
      <c r="HX509" s="509"/>
      <c r="HY509" s="509"/>
      <c r="HZ509" s="509"/>
    </row>
    <row r="510" spans="1:234" ht="13.5" hidden="1" customHeight="1" x14ac:dyDescent="0.25">
      <c r="A510" s="1270" t="s">
        <v>9042</v>
      </c>
      <c r="B510" s="1271" t="s">
        <v>9005</v>
      </c>
      <c r="C510" s="1272" t="s">
        <v>9139</v>
      </c>
      <c r="D510" s="1273" t="s">
        <v>189</v>
      </c>
      <c r="E510" s="1272" t="s">
        <v>3228</v>
      </c>
      <c r="F510" s="1274">
        <v>43167</v>
      </c>
      <c r="G510" s="1275">
        <v>43102</v>
      </c>
      <c r="H510" s="1274">
        <v>43159</v>
      </c>
      <c r="I510" s="1276">
        <v>45198</v>
      </c>
      <c r="J510" s="1277">
        <v>10</v>
      </c>
      <c r="K510" s="1278" t="s">
        <v>3229</v>
      </c>
      <c r="L510" s="1279" t="s">
        <v>3229</v>
      </c>
      <c r="M510" s="1280">
        <v>-1</v>
      </c>
      <c r="N510" s="1281">
        <v>1</v>
      </c>
      <c r="O510" s="1282">
        <v>0.8</v>
      </c>
      <c r="P510" s="1283">
        <v>0.4</v>
      </c>
      <c r="Q510" s="1283" t="s">
        <v>3229</v>
      </c>
      <c r="R510" s="1284" t="s">
        <v>3229</v>
      </c>
      <c r="S510" s="1285">
        <v>1</v>
      </c>
      <c r="T510" s="1286" t="s">
        <v>3229</v>
      </c>
      <c r="U510" s="1286" t="s">
        <v>3229</v>
      </c>
      <c r="V510" s="1286" t="s">
        <v>3229</v>
      </c>
      <c r="W510" s="1286" t="s">
        <v>3229</v>
      </c>
      <c r="X510" s="1286" t="s">
        <v>3229</v>
      </c>
      <c r="Y510" s="1286" t="s">
        <v>3229</v>
      </c>
      <c r="Z510" s="1286" t="s">
        <v>3229</v>
      </c>
      <c r="AA510" s="1286" t="s">
        <v>3229</v>
      </c>
      <c r="AB510" s="1286" t="s">
        <v>3229</v>
      </c>
      <c r="AC510" s="1286" t="s">
        <v>3229</v>
      </c>
      <c r="AD510" s="1286" t="s">
        <v>3229</v>
      </c>
      <c r="AE510" s="1286" t="s">
        <v>3229</v>
      </c>
      <c r="AF510" s="3764" t="s">
        <v>781</v>
      </c>
      <c r="AG510" s="3765">
        <f>(I510-indexy!$B$1)/365</f>
        <v>-0.49589041095890413</v>
      </c>
      <c r="AH510" s="1287" t="s">
        <v>3229</v>
      </c>
      <c r="AI510" s="1288" t="s">
        <v>3229</v>
      </c>
      <c r="AJ510" s="1288" t="s">
        <v>3229</v>
      </c>
      <c r="AK510" s="1288" t="s">
        <v>3229</v>
      </c>
      <c r="AL510" s="1288" t="s">
        <v>3229</v>
      </c>
      <c r="AM510" s="1288">
        <v>1</v>
      </c>
      <c r="AN510" s="1289">
        <f>+'klikací hodnoty'!F16515</f>
        <v>8.5258499999999973E-2</v>
      </c>
      <c r="AO510" s="1290">
        <v>10.71</v>
      </c>
      <c r="AP510" s="1371">
        <f>+'klikací hodnoty'!F16514</f>
        <v>8.5258499999999973E-2</v>
      </c>
      <c r="AQ510" s="1281">
        <f>+'klikací hodnoty'!F16507</f>
        <v>0.10879999999999999</v>
      </c>
      <c r="AR510" s="1291">
        <f t="shared" si="135"/>
        <v>0.8</v>
      </c>
      <c r="AS510" s="1292">
        <f t="shared" si="137"/>
        <v>0.11141473888375586</v>
      </c>
      <c r="AT510" s="1292"/>
      <c r="AU510" s="1293"/>
      <c r="AV510" s="1294">
        <f t="shared" si="140"/>
        <v>-1</v>
      </c>
      <c r="AW510" s="1295">
        <f t="shared" si="141"/>
        <v>-1</v>
      </c>
      <c r="AX510" s="1296"/>
      <c r="AY510" s="1297"/>
      <c r="AZ510" s="1298">
        <f t="shared" si="142"/>
        <v>0</v>
      </c>
      <c r="BA510" s="1959"/>
      <c r="BB510" s="1285"/>
      <c r="BC510" s="1300"/>
      <c r="BF510" s="3746"/>
      <c r="BG510" s="3747"/>
      <c r="BH510" s="3763"/>
      <c r="BI510" s="3763"/>
      <c r="BJ510" s="1639"/>
      <c r="BK510" s="1639"/>
      <c r="BL510" s="1639"/>
      <c r="BM510" s="1639"/>
      <c r="BN510" s="1639"/>
      <c r="BO510" s="1639"/>
      <c r="BP510" s="1639"/>
      <c r="BQ510" s="1639"/>
      <c r="BR510" s="1639"/>
      <c r="BS510" s="509"/>
      <c r="BT510" s="509"/>
      <c r="BU510" s="509"/>
      <c r="BV510" s="509"/>
      <c r="BW510" s="509"/>
      <c r="BX510" s="509"/>
      <c r="BY510" s="509"/>
      <c r="BZ510" s="509"/>
      <c r="CA510" s="509"/>
      <c r="CB510" s="509"/>
      <c r="CC510" s="509"/>
      <c r="CD510" s="509"/>
      <c r="CE510" s="509"/>
      <c r="CF510" s="509"/>
      <c r="CG510" s="509"/>
      <c r="CH510" s="509"/>
      <c r="CI510" s="509"/>
      <c r="CJ510" s="509"/>
      <c r="CK510" s="509"/>
      <c r="CL510" s="509"/>
      <c r="CM510" s="509"/>
      <c r="CN510" s="509"/>
      <c r="CO510" s="509"/>
      <c r="CP510" s="509"/>
      <c r="CQ510" s="509"/>
      <c r="CR510" s="509"/>
      <c r="CS510" s="509"/>
      <c r="CT510" s="509"/>
      <c r="CU510" s="509"/>
      <c r="CV510" s="509"/>
      <c r="CW510" s="509"/>
      <c r="CX510" s="509"/>
      <c r="CY510" s="509"/>
      <c r="CZ510" s="509"/>
      <c r="DA510" s="509"/>
      <c r="DB510" s="509"/>
      <c r="DC510" s="509"/>
      <c r="DD510" s="509"/>
      <c r="DE510" s="509"/>
      <c r="DF510" s="509"/>
      <c r="DG510" s="509"/>
      <c r="DH510" s="509"/>
      <c r="DI510" s="509"/>
      <c r="DJ510" s="509"/>
      <c r="DK510" s="509"/>
      <c r="DL510" s="509"/>
      <c r="DM510" s="509"/>
      <c r="DN510" s="509"/>
      <c r="DO510" s="509"/>
      <c r="DP510" s="509"/>
      <c r="DQ510" s="509"/>
      <c r="DR510" s="509"/>
      <c r="DS510" s="509"/>
      <c r="DT510" s="509"/>
      <c r="DU510" s="509"/>
      <c r="DV510" s="509"/>
      <c r="DW510" s="509"/>
      <c r="DX510" s="509"/>
      <c r="DY510" s="509"/>
      <c r="DZ510" s="509"/>
      <c r="EA510" s="509"/>
      <c r="EB510" s="509"/>
      <c r="EC510" s="509"/>
      <c r="ED510" s="509"/>
      <c r="EE510" s="509"/>
      <c r="EF510" s="509"/>
      <c r="EG510" s="509"/>
      <c r="EH510" s="509"/>
      <c r="EI510" s="509"/>
      <c r="EJ510" s="509"/>
      <c r="EK510" s="509"/>
      <c r="EL510" s="509"/>
      <c r="EM510" s="509"/>
      <c r="EN510" s="509"/>
      <c r="EO510" s="509"/>
      <c r="EP510" s="509"/>
      <c r="EQ510" s="509"/>
      <c r="ER510" s="509"/>
      <c r="ES510" s="509"/>
      <c r="ET510" s="509"/>
      <c r="EU510" s="509"/>
      <c r="EV510" s="509"/>
      <c r="EW510" s="509"/>
      <c r="EX510" s="509"/>
      <c r="EY510" s="509"/>
      <c r="EZ510" s="509"/>
      <c r="FA510" s="509"/>
      <c r="FB510" s="509"/>
      <c r="FC510" s="509"/>
      <c r="FD510" s="509"/>
      <c r="FE510" s="509"/>
      <c r="FF510" s="509"/>
      <c r="FG510" s="509"/>
      <c r="FH510" s="509"/>
      <c r="FI510" s="509"/>
      <c r="FJ510" s="509"/>
      <c r="FK510" s="509"/>
      <c r="FL510" s="509"/>
      <c r="FM510" s="509"/>
      <c r="FN510" s="509"/>
      <c r="FO510" s="509"/>
      <c r="FP510" s="509"/>
      <c r="FQ510" s="509"/>
      <c r="FR510" s="509"/>
      <c r="FS510" s="509"/>
      <c r="FT510" s="509"/>
      <c r="FU510" s="509"/>
      <c r="FV510" s="509"/>
      <c r="FW510" s="509"/>
      <c r="FX510" s="509"/>
      <c r="FY510" s="509"/>
      <c r="FZ510" s="509"/>
      <c r="GA510" s="509"/>
      <c r="GB510" s="509"/>
      <c r="GC510" s="509"/>
      <c r="GD510" s="509"/>
      <c r="GE510" s="509"/>
      <c r="GF510" s="509"/>
      <c r="GG510" s="509"/>
      <c r="GH510" s="509"/>
      <c r="GI510" s="509"/>
      <c r="GJ510" s="509"/>
      <c r="GK510" s="509"/>
      <c r="GL510" s="509"/>
      <c r="GM510" s="509"/>
      <c r="GN510" s="509"/>
      <c r="GO510" s="509"/>
      <c r="GP510" s="509"/>
      <c r="GQ510" s="509"/>
      <c r="GR510" s="509"/>
      <c r="GS510" s="509"/>
      <c r="GT510" s="509"/>
      <c r="GU510" s="509"/>
      <c r="GV510" s="509"/>
      <c r="GW510" s="509"/>
      <c r="GX510" s="509"/>
      <c r="GY510" s="509"/>
      <c r="GZ510" s="509"/>
      <c r="HA510" s="509"/>
      <c r="HB510" s="509"/>
      <c r="HC510" s="509"/>
      <c r="HD510" s="509"/>
      <c r="HE510" s="509"/>
      <c r="HF510" s="509"/>
      <c r="HG510" s="509"/>
      <c r="HH510" s="509"/>
      <c r="HI510" s="509"/>
      <c r="HJ510" s="509"/>
      <c r="HK510" s="509"/>
      <c r="HL510" s="509"/>
      <c r="HM510" s="509"/>
      <c r="HN510" s="509"/>
      <c r="HO510" s="509"/>
      <c r="HP510" s="509"/>
      <c r="HQ510" s="509"/>
      <c r="HR510" s="509"/>
      <c r="HS510" s="509"/>
      <c r="HT510" s="509"/>
      <c r="HU510" s="509"/>
      <c r="HV510" s="509"/>
      <c r="HW510" s="509"/>
      <c r="HX510" s="509"/>
      <c r="HY510" s="509"/>
      <c r="HZ510" s="509"/>
    </row>
    <row r="511" spans="1:234" ht="13.5" hidden="1" customHeight="1" x14ac:dyDescent="0.25">
      <c r="A511" s="1270" t="s">
        <v>9044</v>
      </c>
      <c r="B511" s="1271" t="s">
        <v>9043</v>
      </c>
      <c r="C511" s="1272" t="s">
        <v>9045</v>
      </c>
      <c r="D511" s="1273" t="s">
        <v>6934</v>
      </c>
      <c r="E511" s="1272" t="s">
        <v>3228</v>
      </c>
      <c r="F511" s="1274">
        <v>43172</v>
      </c>
      <c r="G511" s="1275">
        <v>43102</v>
      </c>
      <c r="H511" s="1274">
        <v>43165</v>
      </c>
      <c r="I511" s="1276">
        <v>45289</v>
      </c>
      <c r="J511" s="1277">
        <v>10</v>
      </c>
      <c r="K511" s="1278" t="s">
        <v>3229</v>
      </c>
      <c r="L511" s="1279" t="s">
        <v>3229</v>
      </c>
      <c r="M511" s="1280">
        <v>-0.05</v>
      </c>
      <c r="N511" s="1281">
        <v>0.9</v>
      </c>
      <c r="O511" s="1282">
        <v>0.5</v>
      </c>
      <c r="P511" s="1283" t="s">
        <v>3229</v>
      </c>
      <c r="Q511" s="1283" t="s">
        <v>3229</v>
      </c>
      <c r="R511" s="1284" t="s">
        <v>3229</v>
      </c>
      <c r="S511" s="1285">
        <v>1</v>
      </c>
      <c r="T511" s="1286" t="s">
        <v>3229</v>
      </c>
      <c r="U511" s="1286" t="s">
        <v>3229</v>
      </c>
      <c r="V511" s="1286" t="s">
        <v>3229</v>
      </c>
      <c r="W511" s="1286" t="s">
        <v>3229</v>
      </c>
      <c r="X511" s="1286" t="s">
        <v>3229</v>
      </c>
      <c r="Y511" s="1286" t="s">
        <v>3229</v>
      </c>
      <c r="Z511" s="1286" t="s">
        <v>3229</v>
      </c>
      <c r="AA511" s="1286" t="s">
        <v>3229</v>
      </c>
      <c r="AB511" s="1286" t="s">
        <v>3229</v>
      </c>
      <c r="AC511" s="1286" t="s">
        <v>3229</v>
      </c>
      <c r="AD511" s="1286" t="s">
        <v>3229</v>
      </c>
      <c r="AE511" s="1286" t="s">
        <v>3229</v>
      </c>
      <c r="AF511" s="3764" t="s">
        <v>781</v>
      </c>
      <c r="AG511" s="3765">
        <f>(I511-indexy!$B$1)/365</f>
        <v>-0.24657534246575341</v>
      </c>
      <c r="AH511" s="1287" t="s">
        <v>3229</v>
      </c>
      <c r="AI511" s="1288" t="s">
        <v>3229</v>
      </c>
      <c r="AJ511" s="1288" t="s">
        <v>3229</v>
      </c>
      <c r="AK511" s="1288" t="s">
        <v>3229</v>
      </c>
      <c r="AL511" s="1288" t="s">
        <v>3229</v>
      </c>
      <c r="AM511" s="1288">
        <v>1</v>
      </c>
      <c r="AN511" s="1289">
        <f>+'klikací hodnoty'!F16571</f>
        <v>-2.3777611111111128E-2</v>
      </c>
      <c r="AO511" s="1290">
        <v>9.76</v>
      </c>
      <c r="AP511" s="1371">
        <f>+'klikací hodnoty'!F16570</f>
        <v>-2.3777611111111128E-2</v>
      </c>
      <c r="AQ511" s="1281">
        <f>+'klikací hodnoty'!F16551</f>
        <v>-3.0999999999999999E-3</v>
      </c>
      <c r="AR511" s="1291">
        <f t="shared" si="135"/>
        <v>0.5</v>
      </c>
      <c r="AS511" s="1292">
        <f t="shared" si="137"/>
        <v>7.2409276171818249E-2</v>
      </c>
      <c r="AT511" s="1292"/>
      <c r="AU511" s="1293"/>
      <c r="AV511" s="1294">
        <f t="shared" si="140"/>
        <v>-0.05</v>
      </c>
      <c r="AW511" s="1295">
        <f t="shared" si="141"/>
        <v>-8.8046812074163983E-3</v>
      </c>
      <c r="AX511" s="1296"/>
      <c r="AY511" s="1297"/>
      <c r="AZ511" s="1298">
        <f t="shared" si="142"/>
        <v>9.5</v>
      </c>
      <c r="BA511" s="1959"/>
      <c r="BB511" s="1285"/>
      <c r="BC511" s="1300"/>
      <c r="BF511" s="3746"/>
      <c r="BG511" s="3747"/>
      <c r="BH511" s="3763"/>
      <c r="BI511" s="3763"/>
      <c r="BJ511" s="1639"/>
      <c r="BK511" s="1639"/>
      <c r="BL511" s="1639"/>
      <c r="BM511" s="1639"/>
      <c r="BN511" s="1639"/>
      <c r="BO511" s="1639"/>
      <c r="BP511" s="1639"/>
      <c r="BQ511" s="1639"/>
      <c r="BR511" s="1639"/>
      <c r="BS511" s="509"/>
      <c r="BT511" s="509"/>
      <c r="BU511" s="509"/>
      <c r="BV511" s="509"/>
      <c r="BW511" s="509"/>
      <c r="BX511" s="509"/>
      <c r="BY511" s="509"/>
      <c r="BZ511" s="509"/>
      <c r="CA511" s="509"/>
      <c r="CB511" s="509"/>
      <c r="CC511" s="509"/>
      <c r="CD511" s="509"/>
      <c r="CE511" s="509"/>
      <c r="CF511" s="509"/>
      <c r="CG511" s="509"/>
      <c r="CH511" s="509"/>
      <c r="CI511" s="509"/>
      <c r="CJ511" s="509"/>
      <c r="CK511" s="509"/>
      <c r="CL511" s="509"/>
      <c r="CM511" s="509"/>
      <c r="CN511" s="509"/>
      <c r="CO511" s="509"/>
      <c r="CP511" s="509"/>
      <c r="CQ511" s="509"/>
      <c r="CR511" s="509"/>
      <c r="CS511" s="509"/>
      <c r="CT511" s="509"/>
      <c r="CU511" s="509"/>
      <c r="CV511" s="509"/>
      <c r="CW511" s="509"/>
      <c r="CX511" s="509"/>
      <c r="CY511" s="509"/>
      <c r="CZ511" s="509"/>
      <c r="DA511" s="509"/>
      <c r="DB511" s="509"/>
      <c r="DC511" s="509"/>
      <c r="DD511" s="509"/>
      <c r="DE511" s="509"/>
      <c r="DF511" s="509"/>
      <c r="DG511" s="509"/>
      <c r="DH511" s="509"/>
      <c r="DI511" s="509"/>
      <c r="DJ511" s="509"/>
      <c r="DK511" s="509"/>
      <c r="DL511" s="509"/>
      <c r="DM511" s="509"/>
      <c r="DN511" s="509"/>
      <c r="DO511" s="509"/>
      <c r="DP511" s="509"/>
      <c r="DQ511" s="509"/>
      <c r="DR511" s="509"/>
      <c r="DS511" s="509"/>
      <c r="DT511" s="509"/>
      <c r="DU511" s="509"/>
      <c r="DV511" s="509"/>
      <c r="DW511" s="509"/>
      <c r="DX511" s="509"/>
      <c r="DY511" s="509"/>
      <c r="DZ511" s="509"/>
      <c r="EA511" s="509"/>
      <c r="EB511" s="509"/>
      <c r="EC511" s="509"/>
      <c r="ED511" s="509"/>
      <c r="EE511" s="509"/>
      <c r="EF511" s="509"/>
      <c r="EG511" s="509"/>
      <c r="EH511" s="509"/>
      <c r="EI511" s="509"/>
      <c r="EJ511" s="509"/>
      <c r="EK511" s="509"/>
      <c r="EL511" s="509"/>
      <c r="EM511" s="509"/>
      <c r="EN511" s="509"/>
      <c r="EO511" s="509"/>
      <c r="EP511" s="509"/>
      <c r="EQ511" s="509"/>
      <c r="ER511" s="509"/>
      <c r="ES511" s="509"/>
      <c r="ET511" s="509"/>
      <c r="EU511" s="509"/>
      <c r="EV511" s="509"/>
      <c r="EW511" s="509"/>
      <c r="EX511" s="509"/>
      <c r="EY511" s="509"/>
      <c r="EZ511" s="509"/>
      <c r="FA511" s="509"/>
      <c r="FB511" s="509"/>
      <c r="FC511" s="509"/>
      <c r="FD511" s="509"/>
      <c r="FE511" s="509"/>
      <c r="FF511" s="509"/>
      <c r="FG511" s="509"/>
      <c r="FH511" s="509"/>
      <c r="FI511" s="509"/>
      <c r="FJ511" s="509"/>
      <c r="FK511" s="509"/>
      <c r="FL511" s="509"/>
      <c r="FM511" s="509"/>
      <c r="FN511" s="509"/>
      <c r="FO511" s="509"/>
      <c r="FP511" s="509"/>
      <c r="FQ511" s="509"/>
      <c r="FR511" s="509"/>
      <c r="FS511" s="509"/>
      <c r="FT511" s="509"/>
      <c r="FU511" s="509"/>
      <c r="FV511" s="509"/>
      <c r="FW511" s="509"/>
      <c r="FX511" s="509"/>
      <c r="FY511" s="509"/>
      <c r="FZ511" s="509"/>
      <c r="GA511" s="509"/>
      <c r="GB511" s="509"/>
      <c r="GC511" s="509"/>
      <c r="GD511" s="509"/>
      <c r="GE511" s="509"/>
      <c r="GF511" s="509"/>
      <c r="GG511" s="509"/>
      <c r="GH511" s="509"/>
      <c r="GI511" s="509"/>
      <c r="GJ511" s="509"/>
      <c r="GK511" s="509"/>
      <c r="GL511" s="509"/>
      <c r="GM511" s="509"/>
      <c r="GN511" s="509"/>
      <c r="GO511" s="509"/>
      <c r="GP511" s="509"/>
      <c r="GQ511" s="509"/>
      <c r="GR511" s="509"/>
      <c r="GS511" s="509"/>
      <c r="GT511" s="509"/>
      <c r="GU511" s="509"/>
      <c r="GV511" s="509"/>
      <c r="GW511" s="509"/>
      <c r="GX511" s="509"/>
      <c r="GY511" s="509"/>
      <c r="GZ511" s="509"/>
      <c r="HA511" s="509"/>
      <c r="HB511" s="509"/>
      <c r="HC511" s="509"/>
      <c r="HD511" s="509"/>
      <c r="HE511" s="509"/>
      <c r="HF511" s="509"/>
      <c r="HG511" s="509"/>
      <c r="HH511" s="509"/>
      <c r="HI511" s="509"/>
      <c r="HJ511" s="509"/>
      <c r="HK511" s="509"/>
      <c r="HL511" s="509"/>
      <c r="HM511" s="509"/>
      <c r="HN511" s="509"/>
      <c r="HO511" s="509"/>
      <c r="HP511" s="509"/>
      <c r="HQ511" s="509"/>
      <c r="HR511" s="509"/>
      <c r="HS511" s="509"/>
      <c r="HT511" s="509"/>
      <c r="HU511" s="509"/>
      <c r="HV511" s="509"/>
      <c r="HW511" s="509"/>
      <c r="HX511" s="509"/>
      <c r="HY511" s="509"/>
      <c r="HZ511" s="509"/>
    </row>
    <row r="512" spans="1:234" ht="13.5" customHeight="1" x14ac:dyDescent="0.25">
      <c r="A512" s="1270" t="s">
        <v>9161</v>
      </c>
      <c r="B512" s="1271" t="s">
        <v>9158</v>
      </c>
      <c r="C512" s="1272" t="s">
        <v>9162</v>
      </c>
      <c r="D512" s="1273" t="s">
        <v>189</v>
      </c>
      <c r="E512" s="1272" t="s">
        <v>3228</v>
      </c>
      <c r="F512" s="1274">
        <v>43229</v>
      </c>
      <c r="G512" s="3757">
        <v>43160</v>
      </c>
      <c r="H512" s="1274">
        <v>43220</v>
      </c>
      <c r="I512" s="1276">
        <v>45350</v>
      </c>
      <c r="J512" s="1277">
        <v>10</v>
      </c>
      <c r="K512" s="1278" t="s">
        <v>3229</v>
      </c>
      <c r="L512" s="1279" t="s">
        <v>3229</v>
      </c>
      <c r="M512" s="1280">
        <v>-1</v>
      </c>
      <c r="N512" s="1281">
        <v>0.8</v>
      </c>
      <c r="O512" s="1282">
        <v>0.6</v>
      </c>
      <c r="P512" s="1283">
        <v>0.3</v>
      </c>
      <c r="Q512" s="1283" t="s">
        <v>3229</v>
      </c>
      <c r="R512" s="1284" t="s">
        <v>3229</v>
      </c>
      <c r="S512" s="1285">
        <v>1</v>
      </c>
      <c r="T512" s="1286" t="s">
        <v>3229</v>
      </c>
      <c r="U512" s="1286" t="s">
        <v>3229</v>
      </c>
      <c r="V512" s="1286" t="s">
        <v>3229</v>
      </c>
      <c r="W512" s="1286" t="s">
        <v>3229</v>
      </c>
      <c r="X512" s="1286" t="s">
        <v>3229</v>
      </c>
      <c r="Y512" s="1286" t="s">
        <v>3229</v>
      </c>
      <c r="Z512" s="1286" t="s">
        <v>3229</v>
      </c>
      <c r="AA512" s="1286" t="s">
        <v>3229</v>
      </c>
      <c r="AB512" s="1286" t="s">
        <v>3229</v>
      </c>
      <c r="AC512" s="1286" t="s">
        <v>3229</v>
      </c>
      <c r="AD512" s="1286" t="s">
        <v>3229</v>
      </c>
      <c r="AE512" s="1286" t="s">
        <v>3229</v>
      </c>
      <c r="AF512" s="3764" t="s">
        <v>781</v>
      </c>
      <c r="AG512" s="3765">
        <f>(I512-indexy!$B$1)/365</f>
        <v>-7.9452054794520555E-2</v>
      </c>
      <c r="AH512" s="1287" t="s">
        <v>3229</v>
      </c>
      <c r="AI512" s="1288" t="s">
        <v>3229</v>
      </c>
      <c r="AJ512" s="1288" t="s">
        <v>3229</v>
      </c>
      <c r="AK512" s="1288" t="s">
        <v>3229</v>
      </c>
      <c r="AL512" s="1288" t="s">
        <v>3229</v>
      </c>
      <c r="AM512" s="1288">
        <v>1</v>
      </c>
      <c r="AN512" s="1289">
        <f>+'klikací hodnoty'!F16671</f>
        <v>0.56693760000000004</v>
      </c>
      <c r="AO512" s="1290">
        <v>15.67</v>
      </c>
      <c r="AP512" s="1371">
        <f>+'klikací hodnoty'!F16670</f>
        <v>0.70867199999999997</v>
      </c>
      <c r="AQ512" s="1281">
        <f>+'klikací hodnoty'!F16663</f>
        <v>0.91429606390746709</v>
      </c>
      <c r="AR512" s="1291">
        <f t="shared" si="135"/>
        <v>0.6</v>
      </c>
      <c r="AS512" s="1292">
        <f t="shared" si="137"/>
        <v>8.4243256433924607E-2</v>
      </c>
      <c r="AT512" s="1292"/>
      <c r="AU512" s="1293"/>
      <c r="AV512" s="1294">
        <f t="shared" si="140"/>
        <v>-1</v>
      </c>
      <c r="AW512" s="1295">
        <f t="shared" si="141"/>
        <v>-1</v>
      </c>
      <c r="AX512" s="1296"/>
      <c r="AY512" s="1297"/>
      <c r="AZ512" s="1298">
        <f t="shared" si="142"/>
        <v>0</v>
      </c>
      <c r="BA512" s="1959"/>
      <c r="BB512" s="1285"/>
      <c r="BC512" s="1300"/>
      <c r="BE512" s="3743" cm="1">
        <f t="array" ref="BE512">+VLOOKUP(C512,+[6]NAV_ALL_20240408111714!$A$2:$E$1216,5,0)</f>
        <v>15.67</v>
      </c>
      <c r="BF512" s="3746" cm="1">
        <f t="array" ref="BF512">IFERROR(+VLOOKUP(C512,+[6]NAV_ALL_20240408111714!$A$2:$E$1216,5,0),+AO512)</f>
        <v>15.67</v>
      </c>
      <c r="BG512" s="3747">
        <f t="shared" si="134"/>
        <v>0</v>
      </c>
      <c r="BH512" s="3763"/>
      <c r="BI512" s="3763"/>
      <c r="BJ512" s="1639"/>
      <c r="BK512" s="1639"/>
      <c r="BL512" s="1639"/>
      <c r="BM512" s="1639"/>
      <c r="BN512" s="1639"/>
      <c r="BO512" s="1639"/>
      <c r="BP512" s="1639"/>
      <c r="BQ512" s="1639"/>
      <c r="BR512" s="1639"/>
      <c r="BS512" s="509"/>
      <c r="BT512" s="509"/>
      <c r="BU512" s="509"/>
      <c r="BV512" s="509"/>
      <c r="BW512" s="509"/>
      <c r="BX512" s="509"/>
      <c r="BY512" s="509"/>
      <c r="BZ512" s="509"/>
      <c r="CA512" s="509"/>
      <c r="CB512" s="509"/>
      <c r="CC512" s="509"/>
      <c r="CD512" s="509"/>
      <c r="CE512" s="509"/>
      <c r="CF512" s="509"/>
      <c r="CG512" s="509"/>
      <c r="CH512" s="509"/>
      <c r="CI512" s="509"/>
      <c r="CJ512" s="509"/>
      <c r="CK512" s="509"/>
      <c r="CL512" s="509"/>
      <c r="CM512" s="509"/>
      <c r="CN512" s="509"/>
      <c r="CO512" s="509"/>
      <c r="CP512" s="509"/>
      <c r="CQ512" s="509"/>
      <c r="CR512" s="509"/>
      <c r="CS512" s="509"/>
      <c r="CT512" s="509"/>
      <c r="CU512" s="509"/>
      <c r="CV512" s="509"/>
      <c r="CW512" s="509"/>
      <c r="CX512" s="509"/>
      <c r="CY512" s="509"/>
      <c r="CZ512" s="509"/>
      <c r="DA512" s="509"/>
      <c r="DB512" s="509"/>
      <c r="DC512" s="509"/>
      <c r="DD512" s="509"/>
      <c r="DE512" s="509"/>
      <c r="DF512" s="509"/>
      <c r="DG512" s="509"/>
      <c r="DH512" s="509"/>
      <c r="DI512" s="509"/>
      <c r="DJ512" s="509"/>
      <c r="DK512" s="509"/>
      <c r="DL512" s="509"/>
      <c r="DM512" s="509"/>
      <c r="DN512" s="509"/>
      <c r="DO512" s="509"/>
      <c r="DP512" s="509"/>
      <c r="DQ512" s="509"/>
      <c r="DR512" s="509"/>
      <c r="DS512" s="509"/>
      <c r="DT512" s="509"/>
      <c r="DU512" s="509"/>
      <c r="DV512" s="509"/>
      <c r="DW512" s="509"/>
      <c r="DX512" s="509"/>
      <c r="DY512" s="509"/>
      <c r="DZ512" s="509"/>
      <c r="EA512" s="509"/>
      <c r="EB512" s="509"/>
      <c r="EC512" s="509"/>
      <c r="ED512" s="509"/>
      <c r="EE512" s="509"/>
      <c r="EF512" s="509"/>
      <c r="EG512" s="509"/>
      <c r="EH512" s="509"/>
      <c r="EI512" s="509"/>
      <c r="EJ512" s="509"/>
      <c r="EK512" s="509"/>
      <c r="EL512" s="509"/>
      <c r="EM512" s="509"/>
      <c r="EN512" s="509"/>
      <c r="EO512" s="509"/>
      <c r="EP512" s="509"/>
      <c r="EQ512" s="509"/>
      <c r="ER512" s="509"/>
      <c r="ES512" s="509"/>
      <c r="ET512" s="509"/>
      <c r="EU512" s="509"/>
      <c r="EV512" s="509"/>
      <c r="EW512" s="509"/>
      <c r="EX512" s="509"/>
      <c r="EY512" s="509"/>
      <c r="EZ512" s="509"/>
      <c r="FA512" s="509"/>
      <c r="FB512" s="509"/>
      <c r="FC512" s="509"/>
      <c r="FD512" s="509"/>
      <c r="FE512" s="509"/>
      <c r="FF512" s="509"/>
      <c r="FG512" s="509"/>
      <c r="FH512" s="509"/>
      <c r="FI512" s="509"/>
      <c r="FJ512" s="509"/>
      <c r="FK512" s="509"/>
      <c r="FL512" s="509"/>
      <c r="FM512" s="509"/>
      <c r="FN512" s="509"/>
      <c r="FO512" s="509"/>
      <c r="FP512" s="509"/>
      <c r="FQ512" s="509"/>
      <c r="FR512" s="509"/>
      <c r="FS512" s="509"/>
      <c r="FT512" s="509"/>
      <c r="FU512" s="509"/>
      <c r="FV512" s="509"/>
      <c r="FW512" s="509"/>
      <c r="FX512" s="509"/>
      <c r="FY512" s="509"/>
      <c r="FZ512" s="509"/>
      <c r="GA512" s="509"/>
      <c r="GB512" s="509"/>
      <c r="GC512" s="509"/>
      <c r="GD512" s="509"/>
      <c r="GE512" s="509"/>
      <c r="GF512" s="509"/>
      <c r="GG512" s="509"/>
      <c r="GH512" s="509"/>
      <c r="GI512" s="509"/>
      <c r="GJ512" s="509"/>
      <c r="GK512" s="509"/>
      <c r="GL512" s="509"/>
      <c r="GM512" s="509"/>
      <c r="GN512" s="509"/>
      <c r="GO512" s="509"/>
      <c r="GP512" s="509"/>
      <c r="GQ512" s="509"/>
      <c r="GR512" s="509"/>
      <c r="GS512" s="509"/>
      <c r="GT512" s="509"/>
      <c r="GU512" s="509"/>
      <c r="GV512" s="509"/>
      <c r="GW512" s="509"/>
      <c r="GX512" s="509"/>
      <c r="GY512" s="509"/>
      <c r="GZ512" s="509"/>
      <c r="HA512" s="509"/>
      <c r="HB512" s="509"/>
      <c r="HC512" s="509"/>
      <c r="HD512" s="509"/>
      <c r="HE512" s="509"/>
      <c r="HF512" s="509"/>
      <c r="HG512" s="509"/>
      <c r="HH512" s="509"/>
      <c r="HI512" s="509"/>
      <c r="HJ512" s="509"/>
      <c r="HK512" s="509"/>
      <c r="HL512" s="509"/>
      <c r="HM512" s="509"/>
      <c r="HN512" s="509"/>
      <c r="HO512" s="509"/>
      <c r="HP512" s="509"/>
      <c r="HQ512" s="509"/>
      <c r="HR512" s="509"/>
      <c r="HS512" s="509"/>
      <c r="HT512" s="509"/>
      <c r="HU512" s="509"/>
      <c r="HV512" s="509"/>
      <c r="HW512" s="509"/>
      <c r="HX512" s="509"/>
      <c r="HY512" s="509"/>
      <c r="HZ512" s="509"/>
    </row>
    <row r="513" spans="1:234" x14ac:dyDescent="0.25">
      <c r="A513" t="s">
        <v>9163</v>
      </c>
      <c r="B513" s="1640" t="s">
        <v>9159</v>
      </c>
      <c r="C513" s="52" t="s">
        <v>9164</v>
      </c>
      <c r="D513" s="574" t="s">
        <v>6934</v>
      </c>
      <c r="E513" s="52" t="s">
        <v>3228</v>
      </c>
      <c r="F513" s="53">
        <v>43236</v>
      </c>
      <c r="G513" s="53">
        <v>43160</v>
      </c>
      <c r="H513" s="614">
        <v>43224</v>
      </c>
      <c r="I513" s="249">
        <v>45379</v>
      </c>
      <c r="J513" s="103">
        <v>10</v>
      </c>
      <c r="K513" s="46" t="s">
        <v>3229</v>
      </c>
      <c r="L513" s="50" t="s">
        <v>3229</v>
      </c>
      <c r="M513" s="48">
        <v>0</v>
      </c>
      <c r="N513" s="615">
        <v>0.6</v>
      </c>
      <c r="O513" s="241">
        <v>0.5</v>
      </c>
      <c r="P513" s="153" t="s">
        <v>3229</v>
      </c>
      <c r="Q513" s="89" t="s">
        <v>3229</v>
      </c>
      <c r="R513" s="618" t="s">
        <v>3229</v>
      </c>
      <c r="S513" s="1683">
        <v>1</v>
      </c>
      <c r="T513" s="437" t="s">
        <v>3229</v>
      </c>
      <c r="U513" s="196" t="s">
        <v>3229</v>
      </c>
      <c r="V513" s="196" t="s">
        <v>3229</v>
      </c>
      <c r="W513" s="196" t="s">
        <v>3229</v>
      </c>
      <c r="X513" s="196" t="s">
        <v>3229</v>
      </c>
      <c r="Y513" s="196" t="s">
        <v>3229</v>
      </c>
      <c r="Z513" s="196" t="s">
        <v>3229</v>
      </c>
      <c r="AA513" s="196" t="s">
        <v>3229</v>
      </c>
      <c r="AB513" s="196" t="s">
        <v>3229</v>
      </c>
      <c r="AC513" s="196" t="s">
        <v>3229</v>
      </c>
      <c r="AD513" s="196" t="s">
        <v>3229</v>
      </c>
      <c r="AE513" s="1631" t="s">
        <v>3229</v>
      </c>
      <c r="AF513" s="1682">
        <v>1</v>
      </c>
      <c r="AG513" s="55">
        <f>(I513-indexy!$B$1)/365</f>
        <v>0</v>
      </c>
      <c r="AH513" s="259" t="s">
        <v>3229</v>
      </c>
      <c r="AI513" s="259" t="s">
        <v>3229</v>
      </c>
      <c r="AJ513" s="259" t="s">
        <v>3229</v>
      </c>
      <c r="AK513" s="259" t="s">
        <v>3229</v>
      </c>
      <c r="AL513" s="259" t="s">
        <v>3229</v>
      </c>
      <c r="AM513" s="126">
        <v>1</v>
      </c>
      <c r="AN513" s="685">
        <f>+'klikací hodnoty'!F16627</f>
        <v>0</v>
      </c>
      <c r="AO513" s="317">
        <v>10</v>
      </c>
      <c r="AP513" s="1616">
        <f>+'klikací hodnoty'!F16626</f>
        <v>-4.3162666666666669E-2</v>
      </c>
      <c r="AQ513" s="1685">
        <f>+'klikací hodnoty'!F16607</f>
        <v>-5.197114807421549E-3</v>
      </c>
      <c r="AR513" s="1357">
        <f t="shared" si="135"/>
        <v>0.5</v>
      </c>
      <c r="AS513" s="1358">
        <f t="shared" si="137"/>
        <v>7.1500089479147322E-2</v>
      </c>
      <c r="AT513" s="1358"/>
      <c r="AU513" s="1359"/>
      <c r="AV513" s="1360">
        <f t="shared" si="140"/>
        <v>0</v>
      </c>
      <c r="AW513" s="1360">
        <f t="shared" si="141"/>
        <v>0</v>
      </c>
      <c r="AX513" s="1361"/>
      <c r="AY513" s="435"/>
      <c r="AZ513" s="1724">
        <f t="shared" si="142"/>
        <v>10</v>
      </c>
      <c r="BA513" s="657"/>
      <c r="BB513" s="76"/>
      <c r="BC513" s="75"/>
      <c r="BF513" s="3746" cm="1">
        <f t="array" ref="BF513">IFERROR(+VLOOKUP(C513,+[6]NAV_ALL_20240408111714!$A$2:$E$1216,5,0),+AO513)</f>
        <v>10</v>
      </c>
      <c r="BG513" s="3747">
        <f t="shared" si="134"/>
        <v>0</v>
      </c>
    </row>
    <row r="514" spans="1:234" x14ac:dyDescent="0.25">
      <c r="A514" t="s">
        <v>9189</v>
      </c>
      <c r="B514" s="1640" t="s">
        <v>9190</v>
      </c>
      <c r="C514" s="52" t="s">
        <v>9192</v>
      </c>
      <c r="D514" s="574" t="s">
        <v>4384</v>
      </c>
      <c r="E514" s="52" t="s">
        <v>905</v>
      </c>
      <c r="F514" s="53">
        <v>43259</v>
      </c>
      <c r="G514" s="53">
        <v>43193</v>
      </c>
      <c r="H514" s="614">
        <v>43251</v>
      </c>
      <c r="I514" s="249">
        <v>45471</v>
      </c>
      <c r="J514" s="103">
        <v>10</v>
      </c>
      <c r="K514" s="46" t="s">
        <v>3229</v>
      </c>
      <c r="L514" s="50">
        <v>0.06</v>
      </c>
      <c r="M514" s="48">
        <v>-0.8</v>
      </c>
      <c r="N514" s="615">
        <v>0.7</v>
      </c>
      <c r="O514" s="241">
        <v>0.6</v>
      </c>
      <c r="P514" s="153" t="s">
        <v>3229</v>
      </c>
      <c r="Q514" s="89">
        <v>0.06</v>
      </c>
      <c r="R514" s="1684">
        <v>0.2</v>
      </c>
      <c r="S514" s="1683">
        <v>2</v>
      </c>
      <c r="T514" s="437" t="s">
        <v>3229</v>
      </c>
      <c r="U514" s="196" t="s">
        <v>3229</v>
      </c>
      <c r="V514" s="196" t="s">
        <v>3229</v>
      </c>
      <c r="W514" s="196" t="s">
        <v>3229</v>
      </c>
      <c r="X514" s="196" t="s">
        <v>3229</v>
      </c>
      <c r="Y514" s="196" t="s">
        <v>3229</v>
      </c>
      <c r="Z514" s="196" t="s">
        <v>3229</v>
      </c>
      <c r="AA514" s="196" t="s">
        <v>3229</v>
      </c>
      <c r="AB514" s="196" t="s">
        <v>3229</v>
      </c>
      <c r="AC514" s="196" t="s">
        <v>3229</v>
      </c>
      <c r="AD514" s="196" t="s">
        <v>3229</v>
      </c>
      <c r="AE514" s="1631" t="s">
        <v>3229</v>
      </c>
      <c r="AF514" s="1682">
        <v>1</v>
      </c>
      <c r="AG514" s="55">
        <f>(I514-indexy!$B$1)/365</f>
        <v>0.25205479452054796</v>
      </c>
      <c r="AH514" s="88">
        <v>1</v>
      </c>
      <c r="AI514" s="259" t="s">
        <v>3229</v>
      </c>
      <c r="AJ514" s="259" t="s">
        <v>3229</v>
      </c>
      <c r="AK514" s="259" t="s">
        <v>3229</v>
      </c>
      <c r="AL514" s="259" t="s">
        <v>3229</v>
      </c>
      <c r="AM514" s="126" t="s">
        <v>3229</v>
      </c>
      <c r="AN514" s="685">
        <f>+'klikací hodnoty'!F16677</f>
        <v>0.19953878751478868</v>
      </c>
      <c r="AO514" s="317">
        <v>11.86</v>
      </c>
      <c r="AP514" s="1616">
        <f>+'klikací hodnoty'!F16676</f>
        <v>0.28505541073541241</v>
      </c>
      <c r="AQ514" s="1685">
        <f>+'klikací hodnoty'!F16676</f>
        <v>0.28505541073541241</v>
      </c>
      <c r="AR514" s="1357">
        <f t="shared" ref="AR514:AR526" si="143">O514</f>
        <v>0.6</v>
      </c>
      <c r="AS514" s="1358">
        <f t="shared" ref="AS514:AS527" si="144">POWER(1+AR514,1/((I514-F514)/365))-1</f>
        <v>8.0641502297279066E-2</v>
      </c>
      <c r="AT514" s="1358"/>
      <c r="AU514" s="1359"/>
      <c r="AV514" s="1360">
        <f t="shared" ref="AV514:AV526" si="145">M514</f>
        <v>-0.8</v>
      </c>
      <c r="AW514" s="1360">
        <f t="shared" ref="AW514:AW526" si="146">POWER(1+AV514,1/((I514-F514)/365))-1</f>
        <v>-0.23323261868746048</v>
      </c>
      <c r="AX514" s="1361"/>
      <c r="AY514" s="435"/>
      <c r="AZ514" s="1724">
        <f t="shared" ref="AZ514:AZ526" si="147">J514*(1+AV514)</f>
        <v>1.9999999999999996</v>
      </c>
      <c r="BA514" s="657"/>
      <c r="BB514" s="76"/>
      <c r="BC514" s="75"/>
      <c r="BF514" s="3746" cm="1">
        <f t="array" ref="BF514">IFERROR(+VLOOKUP(C514,+[6]NAV_ALL_20240408111714!$A$2:$E$1216,5,0),+AO514)</f>
        <v>11.86</v>
      </c>
      <c r="BG514" s="3747">
        <f t="shared" si="134"/>
        <v>0</v>
      </c>
    </row>
    <row r="515" spans="1:234" x14ac:dyDescent="0.25">
      <c r="A515" t="s">
        <v>9194</v>
      </c>
      <c r="B515" s="1640" t="s">
        <v>9193</v>
      </c>
      <c r="C515" s="52" t="s">
        <v>9547</v>
      </c>
      <c r="D515" s="574" t="s">
        <v>189</v>
      </c>
      <c r="E515" s="52" t="s">
        <v>3228</v>
      </c>
      <c r="F515" s="53">
        <v>43290</v>
      </c>
      <c r="G515" s="53">
        <v>43222</v>
      </c>
      <c r="H515" s="614">
        <v>43280</v>
      </c>
      <c r="I515" s="249">
        <v>45411</v>
      </c>
      <c r="J515" s="103">
        <v>10</v>
      </c>
      <c r="K515" s="46" t="s">
        <v>3229</v>
      </c>
      <c r="L515" s="50" t="s">
        <v>3229</v>
      </c>
      <c r="M515" s="48">
        <v>0</v>
      </c>
      <c r="N515" s="615">
        <v>0.7</v>
      </c>
      <c r="O515" s="241">
        <v>0.6</v>
      </c>
      <c r="P515" s="153" t="s">
        <v>3229</v>
      </c>
      <c r="Q515" s="89">
        <v>0.1</v>
      </c>
      <c r="R515" s="618" t="s">
        <v>3229</v>
      </c>
      <c r="S515" s="1683">
        <v>2</v>
      </c>
      <c r="T515" s="437" t="s">
        <v>3229</v>
      </c>
      <c r="U515" s="196" t="s">
        <v>3229</v>
      </c>
      <c r="V515" s="196" t="s">
        <v>3229</v>
      </c>
      <c r="W515" s="196" t="s">
        <v>3229</v>
      </c>
      <c r="X515" s="196" t="s">
        <v>3229</v>
      </c>
      <c r="Y515" s="196" t="s">
        <v>3229</v>
      </c>
      <c r="Z515" s="196" t="s">
        <v>3229</v>
      </c>
      <c r="AA515" s="196" t="s">
        <v>3229</v>
      </c>
      <c r="AB515" s="196" t="s">
        <v>3229</v>
      </c>
      <c r="AC515" s="196" t="s">
        <v>3229</v>
      </c>
      <c r="AD515" s="196" t="s">
        <v>3229</v>
      </c>
      <c r="AE515" s="1631" t="s">
        <v>3229</v>
      </c>
      <c r="AF515" s="1682">
        <v>1</v>
      </c>
      <c r="AG515" s="55">
        <f>(I515-indexy!$B$1)/365</f>
        <v>8.7671232876712329E-2</v>
      </c>
      <c r="AH515" s="259" t="s">
        <v>3229</v>
      </c>
      <c r="AI515" s="259" t="s">
        <v>3229</v>
      </c>
      <c r="AJ515" s="259" t="s">
        <v>3229</v>
      </c>
      <c r="AK515" s="259" t="s">
        <v>3229</v>
      </c>
      <c r="AL515" s="259" t="s">
        <v>3229</v>
      </c>
      <c r="AM515" s="126">
        <v>1</v>
      </c>
      <c r="AN515" s="685">
        <f>+'klikací hodnoty'!F16733</f>
        <v>0</v>
      </c>
      <c r="AO515" s="317">
        <v>9.83</v>
      </c>
      <c r="AP515" s="1616">
        <f>+'klikací hodnoty'!E16732</f>
        <v>-1.7808055555555553E-2</v>
      </c>
      <c r="AQ515" s="1685">
        <f>+'klikací hodnoty'!F16713</f>
        <v>4.58E-2</v>
      </c>
      <c r="AR515" s="1357">
        <f t="shared" si="143"/>
        <v>0.6</v>
      </c>
      <c r="AS515" s="1358">
        <f t="shared" si="144"/>
        <v>8.4243256433924607E-2</v>
      </c>
      <c r="AT515" s="1358"/>
      <c r="AU515" s="1359"/>
      <c r="AV515" s="1360">
        <f t="shared" si="145"/>
        <v>0</v>
      </c>
      <c r="AW515" s="1360">
        <f t="shared" si="146"/>
        <v>0</v>
      </c>
      <c r="AX515" s="1361"/>
      <c r="AY515" s="435"/>
      <c r="AZ515" s="1724">
        <f t="shared" si="147"/>
        <v>10</v>
      </c>
      <c r="BA515" s="657"/>
      <c r="BB515" s="76"/>
      <c r="BC515" s="75"/>
      <c r="BF515" s="3746" cm="1">
        <f t="array" ref="BF515">IFERROR(+VLOOKUP(C515,+[6]NAV_ALL_20240408111714!$A$2:$E$1216,5,0),+AO515)</f>
        <v>9.83</v>
      </c>
      <c r="BG515" s="3747">
        <f t="shared" si="134"/>
        <v>0</v>
      </c>
    </row>
    <row r="516" spans="1:234" x14ac:dyDescent="0.25">
      <c r="A516" t="s">
        <v>9196</v>
      </c>
      <c r="B516" s="1640" t="s">
        <v>9197</v>
      </c>
      <c r="C516" s="52" t="s">
        <v>9220</v>
      </c>
      <c r="D516" s="574" t="s">
        <v>6934</v>
      </c>
      <c r="E516" s="52" t="s">
        <v>3228</v>
      </c>
      <c r="F516" s="53">
        <v>43290</v>
      </c>
      <c r="G516" s="53">
        <v>43222</v>
      </c>
      <c r="H516" s="614">
        <v>43280</v>
      </c>
      <c r="I516" s="249">
        <v>45503</v>
      </c>
      <c r="J516" s="103">
        <v>10</v>
      </c>
      <c r="K516" s="46" t="s">
        <v>3229</v>
      </c>
      <c r="L516" s="50" t="s">
        <v>3229</v>
      </c>
      <c r="M516" s="48">
        <v>0</v>
      </c>
      <c r="N516" s="615">
        <v>0.5</v>
      </c>
      <c r="O516" s="241">
        <v>0.5</v>
      </c>
      <c r="P516" s="153" t="s">
        <v>3229</v>
      </c>
      <c r="Q516" s="89" t="s">
        <v>3229</v>
      </c>
      <c r="R516" s="618" t="s">
        <v>3229</v>
      </c>
      <c r="S516" s="1683">
        <v>1</v>
      </c>
      <c r="T516" s="437" t="s">
        <v>3229</v>
      </c>
      <c r="U516" s="196" t="s">
        <v>3229</v>
      </c>
      <c r="V516" s="196" t="s">
        <v>3229</v>
      </c>
      <c r="W516" s="196" t="s">
        <v>3229</v>
      </c>
      <c r="X516" s="196" t="s">
        <v>3229</v>
      </c>
      <c r="Y516" s="196" t="s">
        <v>3229</v>
      </c>
      <c r="Z516" s="196" t="s">
        <v>3229</v>
      </c>
      <c r="AA516" s="196" t="s">
        <v>3229</v>
      </c>
      <c r="AB516" s="196" t="s">
        <v>3229</v>
      </c>
      <c r="AC516" s="196" t="s">
        <v>3229</v>
      </c>
      <c r="AD516" s="196" t="s">
        <v>3229</v>
      </c>
      <c r="AE516" s="1631" t="s">
        <v>3229</v>
      </c>
      <c r="AF516" s="1682">
        <v>1</v>
      </c>
      <c r="AG516" s="55">
        <f>(I516-indexy!$B$1)/365</f>
        <v>0.33972602739726027</v>
      </c>
      <c r="AH516" s="259" t="s">
        <v>3229</v>
      </c>
      <c r="AI516" s="259" t="s">
        <v>3229</v>
      </c>
      <c r="AJ516" s="259" t="s">
        <v>3229</v>
      </c>
      <c r="AK516" s="259" t="s">
        <v>3229</v>
      </c>
      <c r="AL516" s="259" t="s">
        <v>3229</v>
      </c>
      <c r="AM516" s="126">
        <v>1</v>
      </c>
      <c r="AN516" s="685">
        <f>+'klikací hodnoty'!F16789</f>
        <v>0</v>
      </c>
      <c r="AO516" s="317">
        <v>9.83</v>
      </c>
      <c r="AP516" s="1616">
        <f>+'klikací hodnoty'!F16788</f>
        <v>-7.5353323228005593E-3</v>
      </c>
      <c r="AQ516" s="1685">
        <f>+'klikací hodnoty'!F16769</f>
        <v>4.0569006063196605E-2</v>
      </c>
      <c r="AR516" s="1357">
        <f t="shared" si="143"/>
        <v>0.5</v>
      </c>
      <c r="AS516" s="1358">
        <f t="shared" si="144"/>
        <v>6.9162012752070012E-2</v>
      </c>
      <c r="AT516" s="1358"/>
      <c r="AU516" s="1359"/>
      <c r="AV516" s="1360">
        <f t="shared" si="145"/>
        <v>0</v>
      </c>
      <c r="AW516" s="1360">
        <f t="shared" si="146"/>
        <v>0</v>
      </c>
      <c r="AX516" s="1361"/>
      <c r="AY516" s="435"/>
      <c r="AZ516" s="1724">
        <f t="shared" si="147"/>
        <v>10</v>
      </c>
      <c r="BA516" s="657"/>
      <c r="BB516" s="76"/>
      <c r="BC516" s="75"/>
      <c r="BF516" s="3746" cm="1">
        <f t="array" ref="BF516">IFERROR(+VLOOKUP(C516,+[6]NAV_ALL_20240408111714!$A$2:$E$1216,5,0),+AO516)</f>
        <v>9.83</v>
      </c>
      <c r="BG516" s="3747">
        <f t="shared" si="134"/>
        <v>0</v>
      </c>
    </row>
    <row r="517" spans="1:234" ht="13.5" customHeight="1" x14ac:dyDescent="0.25">
      <c r="A517" s="1270" t="s">
        <v>9222</v>
      </c>
      <c r="B517" s="1271" t="s">
        <v>9221</v>
      </c>
      <c r="C517" s="1272" t="s">
        <v>9548</v>
      </c>
      <c r="D517" s="1273" t="s">
        <v>4384</v>
      </c>
      <c r="E517" s="1272" t="s">
        <v>3228</v>
      </c>
      <c r="F517" s="1274">
        <v>43320</v>
      </c>
      <c r="G517" s="3757">
        <v>43252</v>
      </c>
      <c r="H517" s="1274">
        <v>43312</v>
      </c>
      <c r="I517" s="1276">
        <v>45169</v>
      </c>
      <c r="J517" s="1277">
        <v>10</v>
      </c>
      <c r="K517" s="1278">
        <v>0</v>
      </c>
      <c r="L517" s="1279">
        <v>0.06</v>
      </c>
      <c r="M517" s="1280">
        <v>-1</v>
      </c>
      <c r="N517" s="1281" t="s">
        <v>3229</v>
      </c>
      <c r="O517" s="1282">
        <v>0.185</v>
      </c>
      <c r="P517" s="1283">
        <v>0.4</v>
      </c>
      <c r="Q517" s="1283">
        <v>2.5000000000000001E-2</v>
      </c>
      <c r="R517" s="1284" t="s">
        <v>3229</v>
      </c>
      <c r="S517" s="1285">
        <v>6</v>
      </c>
      <c r="T517" s="1286" t="s">
        <v>3229</v>
      </c>
      <c r="U517" s="1286" t="s">
        <v>3229</v>
      </c>
      <c r="V517" s="1286" t="s">
        <v>3229</v>
      </c>
      <c r="W517" s="1286" t="s">
        <v>3229</v>
      </c>
      <c r="X517" s="1286" t="s">
        <v>3229</v>
      </c>
      <c r="Y517" s="1286" t="s">
        <v>3229</v>
      </c>
      <c r="Z517" s="1286" t="s">
        <v>3229</v>
      </c>
      <c r="AA517" s="1286" t="s">
        <v>3229</v>
      </c>
      <c r="AB517" s="1286" t="s">
        <v>3229</v>
      </c>
      <c r="AC517" s="1286" t="s">
        <v>3229</v>
      </c>
      <c r="AD517" s="1286" t="s">
        <v>3229</v>
      </c>
      <c r="AE517" s="1286" t="s">
        <v>3229</v>
      </c>
      <c r="AF517" s="3764" t="s">
        <v>10657</v>
      </c>
      <c r="AG517" s="3765">
        <f>(I517-indexy!$B$1)/365</f>
        <v>-0.57534246575342463</v>
      </c>
      <c r="AH517" s="1287" t="s">
        <v>3229</v>
      </c>
      <c r="AI517" s="1288" t="s">
        <v>3229</v>
      </c>
      <c r="AJ517" s="1288" t="s">
        <v>3229</v>
      </c>
      <c r="AK517" s="1288" t="s">
        <v>3229</v>
      </c>
      <c r="AL517" s="1288" t="s">
        <v>3229</v>
      </c>
      <c r="AM517" s="1288">
        <v>1</v>
      </c>
      <c r="AN517" s="1289">
        <f>+'klikací hodnoty'!F16799</f>
        <v>0.13500000000000001</v>
      </c>
      <c r="AO517" s="1290">
        <v>10.6</v>
      </c>
      <c r="AP517" s="1371">
        <f>+'klikací hodnoty'!I16792</f>
        <v>1.0821180925631113E-2</v>
      </c>
      <c r="AQ517" s="1281">
        <f>+'klikací hodnoty'!I16792</f>
        <v>1.0821180925631113E-2</v>
      </c>
      <c r="AR517" s="1291">
        <f t="shared" si="143"/>
        <v>0.185</v>
      </c>
      <c r="AS517" s="1292">
        <f t="shared" si="144"/>
        <v>3.4075616036804091E-2</v>
      </c>
      <c r="AT517" s="1292"/>
      <c r="AU517" s="1293"/>
      <c r="AV517" s="1294">
        <f t="shared" si="145"/>
        <v>-1</v>
      </c>
      <c r="AW517" s="1295">
        <f t="shared" si="146"/>
        <v>-1</v>
      </c>
      <c r="AX517" s="1296"/>
      <c r="AY517" s="1297"/>
      <c r="AZ517" s="1298">
        <f t="shared" si="147"/>
        <v>0</v>
      </c>
      <c r="BA517" s="1959"/>
      <c r="BB517" s="1285"/>
      <c r="BC517" s="1300"/>
      <c r="BF517" s="3746" cm="1">
        <f t="array" ref="BF517">IFERROR(+VLOOKUP(C517,+[6]NAV_ALL_20240408111714!$A$2:$E$1216,5,0),+AO517)</f>
        <v>10.6</v>
      </c>
      <c r="BG517" s="3747">
        <f t="shared" si="134"/>
        <v>0</v>
      </c>
      <c r="BH517" s="3763"/>
      <c r="BI517" s="3763"/>
      <c r="BJ517" s="1639"/>
      <c r="BK517" s="1639"/>
      <c r="BL517" s="1639"/>
      <c r="BM517" s="1639"/>
      <c r="BN517" s="1639"/>
      <c r="BO517" s="1639"/>
      <c r="BP517" s="1639"/>
      <c r="BQ517" s="1639"/>
      <c r="BR517" s="1639"/>
      <c r="BS517" s="509"/>
      <c r="BT517" s="509"/>
      <c r="BU517" s="509"/>
      <c r="BV517" s="509"/>
      <c r="BW517" s="509"/>
      <c r="BX517" s="509"/>
      <c r="BY517" s="509"/>
      <c r="BZ517" s="509"/>
      <c r="CA517" s="509"/>
      <c r="CB517" s="509"/>
      <c r="CC517" s="509"/>
      <c r="CD517" s="509"/>
      <c r="CE517" s="509"/>
      <c r="CF517" s="509"/>
      <c r="CG517" s="509"/>
      <c r="CH517" s="509"/>
      <c r="CI517" s="509"/>
      <c r="CJ517" s="509"/>
      <c r="CK517" s="509"/>
      <c r="CL517" s="509"/>
      <c r="CM517" s="509"/>
      <c r="CN517" s="509"/>
      <c r="CO517" s="509"/>
      <c r="CP517" s="509"/>
      <c r="CQ517" s="509"/>
      <c r="CR517" s="509"/>
      <c r="CS517" s="509"/>
      <c r="CT517" s="509"/>
      <c r="CU517" s="509"/>
      <c r="CV517" s="509"/>
      <c r="CW517" s="509"/>
      <c r="CX517" s="509"/>
      <c r="CY517" s="509"/>
      <c r="CZ517" s="509"/>
      <c r="DA517" s="509"/>
      <c r="DB517" s="509"/>
      <c r="DC517" s="509"/>
      <c r="DD517" s="509"/>
      <c r="DE517" s="509"/>
      <c r="DF517" s="509"/>
      <c r="DG517" s="509"/>
      <c r="DH517" s="509"/>
      <c r="DI517" s="509"/>
      <c r="DJ517" s="509"/>
      <c r="DK517" s="509"/>
      <c r="DL517" s="509"/>
      <c r="DM517" s="509"/>
      <c r="DN517" s="509"/>
      <c r="DO517" s="509"/>
      <c r="DP517" s="509"/>
      <c r="DQ517" s="509"/>
      <c r="DR517" s="509"/>
      <c r="DS517" s="509"/>
      <c r="DT517" s="509"/>
      <c r="DU517" s="509"/>
      <c r="DV517" s="509"/>
      <c r="DW517" s="509"/>
      <c r="DX517" s="509"/>
      <c r="DY517" s="509"/>
      <c r="DZ517" s="509"/>
      <c r="EA517" s="509"/>
      <c r="EB517" s="509"/>
      <c r="EC517" s="509"/>
      <c r="ED517" s="509"/>
      <c r="EE517" s="509"/>
      <c r="EF517" s="509"/>
      <c r="EG517" s="509"/>
      <c r="EH517" s="509"/>
      <c r="EI517" s="509"/>
      <c r="EJ517" s="509"/>
      <c r="EK517" s="509"/>
      <c r="EL517" s="509"/>
      <c r="EM517" s="509"/>
      <c r="EN517" s="509"/>
      <c r="EO517" s="509"/>
      <c r="EP517" s="509"/>
      <c r="EQ517" s="509"/>
      <c r="ER517" s="509"/>
      <c r="ES517" s="509"/>
      <c r="ET517" s="509"/>
      <c r="EU517" s="509"/>
      <c r="EV517" s="509"/>
      <c r="EW517" s="509"/>
      <c r="EX517" s="509"/>
      <c r="EY517" s="509"/>
      <c r="EZ517" s="509"/>
      <c r="FA517" s="509"/>
      <c r="FB517" s="509"/>
      <c r="FC517" s="509"/>
      <c r="FD517" s="509"/>
      <c r="FE517" s="509"/>
      <c r="FF517" s="509"/>
      <c r="FG517" s="509"/>
      <c r="FH517" s="509"/>
      <c r="FI517" s="509"/>
      <c r="FJ517" s="509"/>
      <c r="FK517" s="509"/>
      <c r="FL517" s="509"/>
      <c r="FM517" s="509"/>
      <c r="FN517" s="509"/>
      <c r="FO517" s="509"/>
      <c r="FP517" s="509"/>
      <c r="FQ517" s="509"/>
      <c r="FR517" s="509"/>
      <c r="FS517" s="509"/>
      <c r="FT517" s="509"/>
      <c r="FU517" s="509"/>
      <c r="FV517" s="509"/>
      <c r="FW517" s="509"/>
      <c r="FX517" s="509"/>
      <c r="FY517" s="509"/>
      <c r="FZ517" s="509"/>
      <c r="GA517" s="509"/>
      <c r="GB517" s="509"/>
      <c r="GC517" s="509"/>
      <c r="GD517" s="509"/>
      <c r="GE517" s="509"/>
      <c r="GF517" s="509"/>
      <c r="GG517" s="509"/>
      <c r="GH517" s="509"/>
      <c r="GI517" s="509"/>
      <c r="GJ517" s="509"/>
      <c r="GK517" s="509"/>
      <c r="GL517" s="509"/>
      <c r="GM517" s="509"/>
      <c r="GN517" s="509"/>
      <c r="GO517" s="509"/>
      <c r="GP517" s="509"/>
      <c r="GQ517" s="509"/>
      <c r="GR517" s="509"/>
      <c r="GS517" s="509"/>
      <c r="GT517" s="509"/>
      <c r="GU517" s="509"/>
      <c r="GV517" s="509"/>
      <c r="GW517" s="509"/>
      <c r="GX517" s="509"/>
      <c r="GY517" s="509"/>
      <c r="GZ517" s="509"/>
      <c r="HA517" s="509"/>
      <c r="HB517" s="509"/>
      <c r="HC517" s="509"/>
      <c r="HD517" s="509"/>
      <c r="HE517" s="509"/>
      <c r="HF517" s="509"/>
      <c r="HG517" s="509"/>
      <c r="HH517" s="509"/>
      <c r="HI517" s="509"/>
      <c r="HJ517" s="509"/>
      <c r="HK517" s="509"/>
      <c r="HL517" s="509"/>
      <c r="HM517" s="509"/>
      <c r="HN517" s="509"/>
      <c r="HO517" s="509"/>
      <c r="HP517" s="509"/>
      <c r="HQ517" s="509"/>
      <c r="HR517" s="509"/>
      <c r="HS517" s="509"/>
      <c r="HT517" s="509"/>
      <c r="HU517" s="509"/>
      <c r="HV517" s="509"/>
      <c r="HW517" s="509"/>
      <c r="HX517" s="509"/>
      <c r="HY517" s="509"/>
      <c r="HZ517" s="509"/>
    </row>
    <row r="518" spans="1:234" x14ac:dyDescent="0.25">
      <c r="A518" t="s">
        <v>9223</v>
      </c>
      <c r="B518" s="1640" t="s">
        <v>9224</v>
      </c>
      <c r="C518" s="52" t="s">
        <v>9321</v>
      </c>
      <c r="D518" s="574" t="s">
        <v>4384</v>
      </c>
      <c r="E518" s="52" t="s">
        <v>905</v>
      </c>
      <c r="F518" s="53">
        <v>43320</v>
      </c>
      <c r="G518" s="53">
        <v>43252</v>
      </c>
      <c r="H518" s="614">
        <v>43312</v>
      </c>
      <c r="I518" s="249">
        <v>45534</v>
      </c>
      <c r="J518" s="103">
        <v>10</v>
      </c>
      <c r="K518" s="46" t="s">
        <v>3229</v>
      </c>
      <c r="L518" s="50" t="s">
        <v>3229</v>
      </c>
      <c r="M518" s="48">
        <v>-0.1</v>
      </c>
      <c r="N518" s="615">
        <v>0.75</v>
      </c>
      <c r="O518" s="241">
        <v>0.6</v>
      </c>
      <c r="P518" s="153" t="s">
        <v>3229</v>
      </c>
      <c r="Q518" s="89" t="s">
        <v>3229</v>
      </c>
      <c r="R518" s="618" t="s">
        <v>3229</v>
      </c>
      <c r="S518" s="1683">
        <v>1</v>
      </c>
      <c r="T518" s="437" t="s">
        <v>3229</v>
      </c>
      <c r="U518" s="196" t="s">
        <v>3229</v>
      </c>
      <c r="V518" s="196" t="s">
        <v>3229</v>
      </c>
      <c r="W518" s="196" t="s">
        <v>3229</v>
      </c>
      <c r="X518" s="196" t="s">
        <v>3229</v>
      </c>
      <c r="Y518" s="196" t="s">
        <v>3229</v>
      </c>
      <c r="Z518" s="196" t="s">
        <v>3229</v>
      </c>
      <c r="AA518" s="196" t="s">
        <v>3229</v>
      </c>
      <c r="AB518" s="196" t="s">
        <v>3229</v>
      </c>
      <c r="AC518" s="196" t="s">
        <v>3229</v>
      </c>
      <c r="AD518" s="196" t="s">
        <v>3229</v>
      </c>
      <c r="AE518" s="1631" t="s">
        <v>3229</v>
      </c>
      <c r="AF518" s="1682">
        <v>1</v>
      </c>
      <c r="AG518" s="55">
        <f>(I518-indexy!$B$1)/365</f>
        <v>0.42465753424657532</v>
      </c>
      <c r="AH518" s="259" t="s">
        <v>3229</v>
      </c>
      <c r="AI518" s="259" t="s">
        <v>3229</v>
      </c>
      <c r="AJ518" s="259" t="s">
        <v>3229</v>
      </c>
      <c r="AK518" s="259" t="s">
        <v>3229</v>
      </c>
      <c r="AL518" s="259" t="s">
        <v>3229</v>
      </c>
      <c r="AM518" s="126">
        <v>1</v>
      </c>
      <c r="AN518" s="685">
        <f>+'klikací hodnoty'!F16855</f>
        <v>-3.6564458742791065E-3</v>
      </c>
      <c r="AO518" s="317">
        <v>9.75</v>
      </c>
      <c r="AP518" s="1616">
        <f>+'klikací hodnoty'!F16854</f>
        <v>-3.6564458742791065E-3</v>
      </c>
      <c r="AQ518" s="1685">
        <f>+'klikací hodnoty'!F16835</f>
        <v>3.6268710608996627E-2</v>
      </c>
      <c r="AR518" s="1357">
        <f t="shared" si="143"/>
        <v>0.6</v>
      </c>
      <c r="AS518" s="1358">
        <f t="shared" si="144"/>
        <v>8.0565796739743734E-2</v>
      </c>
      <c r="AT518" s="1358"/>
      <c r="AU518" s="1359"/>
      <c r="AV518" s="1360">
        <f t="shared" si="145"/>
        <v>-0.1</v>
      </c>
      <c r="AW518" s="1360">
        <f t="shared" si="146"/>
        <v>-1.7219748551075331E-2</v>
      </c>
      <c r="AX518" s="1361"/>
      <c r="AY518" s="435"/>
      <c r="AZ518" s="1724">
        <f t="shared" si="147"/>
        <v>9</v>
      </c>
      <c r="BA518" s="657"/>
      <c r="BB518" s="76"/>
      <c r="BC518" s="75"/>
      <c r="BF518" s="3746" cm="1">
        <f t="array" ref="BF518">IFERROR(+VLOOKUP(C518,+[6]NAV_ALL_20240408111714!$A$2:$E$1216,5,0),+AO518)</f>
        <v>9.75</v>
      </c>
      <c r="BG518" s="3747">
        <f t="shared" si="134"/>
        <v>0</v>
      </c>
    </row>
    <row r="519" spans="1:234" x14ac:dyDescent="0.25">
      <c r="A519" t="s">
        <v>9325</v>
      </c>
      <c r="B519" s="1640" t="s">
        <v>1400</v>
      </c>
      <c r="C519" s="52" t="s">
        <v>9483</v>
      </c>
      <c r="D519" s="574" t="s">
        <v>189</v>
      </c>
      <c r="E519" s="52" t="s">
        <v>3228</v>
      </c>
      <c r="F519" s="53">
        <v>43353</v>
      </c>
      <c r="G519" s="53">
        <v>43267</v>
      </c>
      <c r="H519" s="614">
        <v>43343</v>
      </c>
      <c r="I519" s="249">
        <v>45471</v>
      </c>
      <c r="J519" s="103">
        <v>10</v>
      </c>
      <c r="K519" s="46" t="s">
        <v>3229</v>
      </c>
      <c r="L519" s="50" t="s">
        <v>3229</v>
      </c>
      <c r="M519" s="48">
        <v>-0.1</v>
      </c>
      <c r="N519" s="615">
        <v>0.7</v>
      </c>
      <c r="O519" s="241">
        <v>0.5</v>
      </c>
      <c r="P519" s="153" t="s">
        <v>3229</v>
      </c>
      <c r="Q519" s="89" t="s">
        <v>3229</v>
      </c>
      <c r="R519" s="618" t="s">
        <v>3229</v>
      </c>
      <c r="S519" s="1683">
        <v>1</v>
      </c>
      <c r="T519" s="437" t="s">
        <v>3229</v>
      </c>
      <c r="U519" s="196" t="s">
        <v>3229</v>
      </c>
      <c r="V519" s="196" t="s">
        <v>3229</v>
      </c>
      <c r="W519" s="196" t="s">
        <v>3229</v>
      </c>
      <c r="X519" s="196" t="s">
        <v>3229</v>
      </c>
      <c r="Y519" s="196" t="s">
        <v>3229</v>
      </c>
      <c r="Z519" s="196" t="s">
        <v>3229</v>
      </c>
      <c r="AA519" s="196" t="s">
        <v>3229</v>
      </c>
      <c r="AB519" s="196" t="s">
        <v>3229</v>
      </c>
      <c r="AC519" s="196" t="s">
        <v>3229</v>
      </c>
      <c r="AD519" s="196" t="s">
        <v>3229</v>
      </c>
      <c r="AE519" s="1631" t="s">
        <v>3229</v>
      </c>
      <c r="AF519" s="1682">
        <v>1</v>
      </c>
      <c r="AG519" s="55">
        <f>(I519-indexy!$B$1)/365</f>
        <v>0.25205479452054796</v>
      </c>
      <c r="AH519" s="259" t="s">
        <v>3229</v>
      </c>
      <c r="AI519" s="259" t="s">
        <v>3229</v>
      </c>
      <c r="AJ519" s="259" t="s">
        <v>3229</v>
      </c>
      <c r="AK519" s="259" t="s">
        <v>3229</v>
      </c>
      <c r="AL519" s="259" t="s">
        <v>3229</v>
      </c>
      <c r="AM519" s="126">
        <v>1</v>
      </c>
      <c r="AN519" s="685">
        <f>+'klikací hodnoty'!F17010</f>
        <v>0.14899380707132934</v>
      </c>
      <c r="AO519" s="317">
        <v>11.27</v>
      </c>
      <c r="AP519" s="1616">
        <f>+'klikací hodnoty'!F17009</f>
        <v>0.21284829581618478</v>
      </c>
      <c r="AQ519" s="1685">
        <f>+'klikací hodnoty'!F16990</f>
        <v>0.37726116234566315</v>
      </c>
      <c r="AR519" s="1357">
        <f t="shared" si="143"/>
        <v>0.5</v>
      </c>
      <c r="AS519" s="1358">
        <f t="shared" si="144"/>
        <v>7.2373880273999935E-2</v>
      </c>
      <c r="AT519" s="1358"/>
      <c r="AU519" s="1359"/>
      <c r="AV519" s="1360">
        <f t="shared" si="145"/>
        <v>-0.1</v>
      </c>
      <c r="AW519" s="1360">
        <f t="shared" si="146"/>
        <v>-1.7993183665689805E-2</v>
      </c>
      <c r="AX519" s="1361"/>
      <c r="AY519" s="435"/>
      <c r="AZ519" s="1724">
        <f t="shared" si="147"/>
        <v>9</v>
      </c>
      <c r="BA519" s="657"/>
      <c r="BB519" s="76"/>
      <c r="BC519" s="75"/>
      <c r="BF519" s="3746" cm="1">
        <f t="array" ref="BF519">IFERROR(+VLOOKUP(C519,+[6]NAV_ALL_20240408111714!$A$2:$E$1216,5,0),+AO519)</f>
        <v>11.27</v>
      </c>
      <c r="BG519" s="3747">
        <f t="shared" si="134"/>
        <v>0</v>
      </c>
    </row>
    <row r="520" spans="1:234" x14ac:dyDescent="0.25">
      <c r="A520" t="s">
        <v>9326</v>
      </c>
      <c r="B520" s="1640" t="s">
        <v>9322</v>
      </c>
      <c r="C520" s="52" t="s">
        <v>9485</v>
      </c>
      <c r="D520" s="574" t="s">
        <v>189</v>
      </c>
      <c r="E520" s="52" t="s">
        <v>3228</v>
      </c>
      <c r="F520" s="53">
        <v>43353</v>
      </c>
      <c r="G520" s="53">
        <v>43283</v>
      </c>
      <c r="H520" s="614">
        <v>43343</v>
      </c>
      <c r="I520" s="249">
        <v>45503</v>
      </c>
      <c r="J520" s="103">
        <v>10</v>
      </c>
      <c r="K520" s="46" t="s">
        <v>3229</v>
      </c>
      <c r="L520" s="50" t="s">
        <v>3229</v>
      </c>
      <c r="M520" s="48">
        <v>-0.1</v>
      </c>
      <c r="N520" s="615">
        <v>1</v>
      </c>
      <c r="O520" s="241">
        <v>0.5</v>
      </c>
      <c r="P520" s="153" t="s">
        <v>3229</v>
      </c>
      <c r="Q520" s="89" t="s">
        <v>3229</v>
      </c>
      <c r="R520" s="618" t="s">
        <v>3229</v>
      </c>
      <c r="S520" s="1683">
        <v>1</v>
      </c>
      <c r="T520" s="437" t="s">
        <v>3229</v>
      </c>
      <c r="U520" s="196" t="s">
        <v>3229</v>
      </c>
      <c r="V520" s="196" t="s">
        <v>3229</v>
      </c>
      <c r="W520" s="196" t="s">
        <v>3229</v>
      </c>
      <c r="X520" s="196" t="s">
        <v>3229</v>
      </c>
      <c r="Y520" s="196" t="s">
        <v>3229</v>
      </c>
      <c r="Z520" s="196" t="s">
        <v>3229</v>
      </c>
      <c r="AA520" s="196" t="s">
        <v>3229</v>
      </c>
      <c r="AB520" s="196" t="s">
        <v>3229</v>
      </c>
      <c r="AC520" s="196" t="s">
        <v>3229</v>
      </c>
      <c r="AD520" s="196" t="s">
        <v>3229</v>
      </c>
      <c r="AE520" s="1631" t="s">
        <v>3229</v>
      </c>
      <c r="AF520" s="1682">
        <v>1</v>
      </c>
      <c r="AG520" s="55">
        <f>(I520-indexy!$B$1)/365</f>
        <v>0.33972602739726027</v>
      </c>
      <c r="AH520" s="259" t="s">
        <v>3229</v>
      </c>
      <c r="AI520" s="259" t="s">
        <v>3229</v>
      </c>
      <c r="AJ520" s="259" t="s">
        <v>3229</v>
      </c>
      <c r="AK520" s="259" t="s">
        <v>3229</v>
      </c>
      <c r="AL520" s="259" t="s">
        <v>3229</v>
      </c>
      <c r="AM520" s="126">
        <v>1</v>
      </c>
      <c r="AN520" s="685">
        <f>+'klikací hodnoty'!F16954</f>
        <v>0.23210958016460179</v>
      </c>
      <c r="AO520" s="317">
        <v>12.04</v>
      </c>
      <c r="AP520" s="1616">
        <f>+'klikací hodnoty'!E16953</f>
        <v>0.23210958016460179</v>
      </c>
      <c r="AQ520" s="1685">
        <f>+'klikací hodnoty'!F16934</f>
        <v>0.29979681432094368</v>
      </c>
      <c r="AR520" s="1357">
        <f t="shared" si="143"/>
        <v>0.5</v>
      </c>
      <c r="AS520" s="1358">
        <f t="shared" si="144"/>
        <v>7.125919483246923E-2</v>
      </c>
      <c r="AT520" s="1358"/>
      <c r="AU520" s="1359"/>
      <c r="AV520" s="1360">
        <f t="shared" si="145"/>
        <v>-0.1</v>
      </c>
      <c r="AW520" s="1360">
        <f t="shared" si="146"/>
        <v>-1.7727766198185502E-2</v>
      </c>
      <c r="AX520" s="1361"/>
      <c r="AY520" s="435"/>
      <c r="AZ520" s="1724">
        <f t="shared" si="147"/>
        <v>9</v>
      </c>
      <c r="BA520" s="657"/>
      <c r="BB520" s="76"/>
      <c r="BC520" s="75"/>
      <c r="BF520" s="3746" cm="1">
        <f t="array" ref="BF520">IFERROR(+VLOOKUP(C520,+[6]NAV_ALL_20240408111714!$A$2:$E$1216,5,0),+AO520)</f>
        <v>12.04</v>
      </c>
      <c r="BG520" s="3747">
        <f t="shared" si="134"/>
        <v>0</v>
      </c>
    </row>
    <row r="521" spans="1:234" x14ac:dyDescent="0.25">
      <c r="A521" t="s">
        <v>9327</v>
      </c>
      <c r="B521" s="1640" t="s">
        <v>9323</v>
      </c>
      <c r="C521" s="52" t="s">
        <v>9484</v>
      </c>
      <c r="D521" s="574" t="s">
        <v>189</v>
      </c>
      <c r="E521" s="52" t="s">
        <v>1743</v>
      </c>
      <c r="F521" s="53">
        <v>43353</v>
      </c>
      <c r="G521" s="53">
        <v>43283</v>
      </c>
      <c r="H521" s="614">
        <v>43343</v>
      </c>
      <c r="I521" s="249">
        <v>45350</v>
      </c>
      <c r="J521" s="103">
        <v>10</v>
      </c>
      <c r="K521" s="46">
        <v>0</v>
      </c>
      <c r="L521" s="50">
        <v>0.1</v>
      </c>
      <c r="M521" s="48">
        <v>7.0000000000000007E-2</v>
      </c>
      <c r="N521" s="615" t="s">
        <v>3229</v>
      </c>
      <c r="O521" s="241">
        <v>0.47</v>
      </c>
      <c r="P521" s="153" t="s">
        <v>3229</v>
      </c>
      <c r="Q521" s="89">
        <v>7.0000000000000007E-2</v>
      </c>
      <c r="R521" s="618" t="s">
        <v>3229</v>
      </c>
      <c r="S521" s="1683">
        <v>5</v>
      </c>
      <c r="T521" s="437" t="s">
        <v>3229</v>
      </c>
      <c r="U521" s="196" t="s">
        <v>3229</v>
      </c>
      <c r="V521" s="196" t="s">
        <v>3229</v>
      </c>
      <c r="W521" s="196" t="s">
        <v>3229</v>
      </c>
      <c r="X521" s="196" t="s">
        <v>3229</v>
      </c>
      <c r="Y521" s="196" t="s">
        <v>3229</v>
      </c>
      <c r="Z521" s="196" t="s">
        <v>3229</v>
      </c>
      <c r="AA521" s="196" t="s">
        <v>3229</v>
      </c>
      <c r="AB521" s="196" t="s">
        <v>3229</v>
      </c>
      <c r="AC521" s="196" t="s">
        <v>3229</v>
      </c>
      <c r="AD521" s="196" t="s">
        <v>3229</v>
      </c>
      <c r="AE521" s="1631" t="s">
        <v>3229</v>
      </c>
      <c r="AF521" s="1682">
        <v>5</v>
      </c>
      <c r="AG521" s="55">
        <f>(I521-indexy!$B$1)/365</f>
        <v>-7.9452054794520555E-2</v>
      </c>
      <c r="AH521" s="259" t="s">
        <v>3229</v>
      </c>
      <c r="AI521" s="259" t="s">
        <v>3229</v>
      </c>
      <c r="AJ521" s="259" t="s">
        <v>3229</v>
      </c>
      <c r="AK521" s="259" t="s">
        <v>3229</v>
      </c>
      <c r="AL521" s="259" t="s">
        <v>3229</v>
      </c>
      <c r="AM521" s="126">
        <v>1</v>
      </c>
      <c r="AN521" s="685">
        <f>+'klikací hodnoty'!F16898</f>
        <v>7.9000000000000001E-2</v>
      </c>
      <c r="AO521" s="317">
        <v>10.79</v>
      </c>
      <c r="AP521" s="1616">
        <f>+'klikací hodnoty'!F16890</f>
        <v>8.6390468113176563E-3</v>
      </c>
      <c r="AQ521" s="1685">
        <f>+'klikací hodnoty'!F16890</f>
        <v>8.6390468113176563E-3</v>
      </c>
      <c r="AR521" s="1357">
        <f t="shared" si="143"/>
        <v>0.47</v>
      </c>
      <c r="AS521" s="1358">
        <f t="shared" si="144"/>
        <v>7.2954450522323633E-2</v>
      </c>
      <c r="AT521" s="1358"/>
      <c r="AU521" s="1359"/>
      <c r="AV521" s="1360">
        <f t="shared" si="145"/>
        <v>7.0000000000000007E-2</v>
      </c>
      <c r="AW521" s="1360">
        <f t="shared" si="146"/>
        <v>1.2443030988850357E-2</v>
      </c>
      <c r="AX521" s="1361"/>
      <c r="AY521" s="435"/>
      <c r="AZ521" s="1724">
        <f t="shared" si="147"/>
        <v>10.700000000000001</v>
      </c>
      <c r="BA521" s="657"/>
      <c r="BB521" s="76"/>
      <c r="BC521" s="75"/>
      <c r="BF521" s="3746" cm="1">
        <f t="array" ref="BF521">IFERROR(+VLOOKUP(C521,+[6]NAV_ALL_20240408111714!$A$2:$E$1216,5,0),+AO521)</f>
        <v>10.79</v>
      </c>
      <c r="BG521" s="3747">
        <f t="shared" si="134"/>
        <v>0</v>
      </c>
    </row>
    <row r="522" spans="1:234" ht="13.95" customHeight="1" x14ac:dyDescent="0.25">
      <c r="A522" t="s">
        <v>9328</v>
      </c>
      <c r="B522" s="1640" t="s">
        <v>9324</v>
      </c>
      <c r="C522" s="52" t="s">
        <v>9329</v>
      </c>
      <c r="D522" s="574" t="s">
        <v>6934</v>
      </c>
      <c r="E522" s="52" t="s">
        <v>3228</v>
      </c>
      <c r="F522" s="53">
        <v>43356</v>
      </c>
      <c r="G522" s="53">
        <v>43283</v>
      </c>
      <c r="H522" s="614">
        <v>43343</v>
      </c>
      <c r="I522" s="249">
        <v>45687</v>
      </c>
      <c r="J522" s="103">
        <v>10</v>
      </c>
      <c r="K522" s="46" t="s">
        <v>3229</v>
      </c>
      <c r="L522" s="50" t="s">
        <v>3229</v>
      </c>
      <c r="M522" s="48">
        <v>0</v>
      </c>
      <c r="N522" s="615">
        <v>0.6</v>
      </c>
      <c r="O522" s="241">
        <v>0.6</v>
      </c>
      <c r="P522" s="153" t="s">
        <v>3229</v>
      </c>
      <c r="Q522" s="89" t="s">
        <v>3229</v>
      </c>
      <c r="R522" s="618" t="s">
        <v>3229</v>
      </c>
      <c r="S522" s="1683">
        <v>1</v>
      </c>
      <c r="T522" s="437" t="s">
        <v>3229</v>
      </c>
      <c r="U522" s="196" t="s">
        <v>3229</v>
      </c>
      <c r="V522" s="196" t="s">
        <v>3229</v>
      </c>
      <c r="W522" s="196" t="s">
        <v>3229</v>
      </c>
      <c r="X522" s="196" t="s">
        <v>3229</v>
      </c>
      <c r="Y522" s="196" t="s">
        <v>3229</v>
      </c>
      <c r="Z522" s="196" t="s">
        <v>3229</v>
      </c>
      <c r="AA522" s="196" t="s">
        <v>3229</v>
      </c>
      <c r="AB522" s="196" t="s">
        <v>3229</v>
      </c>
      <c r="AC522" s="196" t="s">
        <v>3229</v>
      </c>
      <c r="AD522" s="196" t="s">
        <v>3229</v>
      </c>
      <c r="AE522" s="1631" t="s">
        <v>3229</v>
      </c>
      <c r="AF522" s="1682">
        <v>1</v>
      </c>
      <c r="AG522" s="55">
        <f>(I522-indexy!$B$1)/365</f>
        <v>0.84383561643835614</v>
      </c>
      <c r="AH522" s="259" t="s">
        <v>3229</v>
      </c>
      <c r="AI522" s="259" t="s">
        <v>3229</v>
      </c>
      <c r="AJ522" s="259" t="s">
        <v>3229</v>
      </c>
      <c r="AK522" s="259" t="s">
        <v>3229</v>
      </c>
      <c r="AL522" s="259" t="s">
        <v>3229</v>
      </c>
      <c r="AM522" s="126">
        <v>1</v>
      </c>
      <c r="AN522" s="685">
        <f>+'klikací hodnoty'!F17066</f>
        <v>1.5946166666666626E-2</v>
      </c>
      <c r="AO522" s="317">
        <v>9.94</v>
      </c>
      <c r="AP522" s="1616">
        <f>+'klikací hodnoty'!F17065</f>
        <v>2.6576944444444379E-2</v>
      </c>
      <c r="AQ522" s="1685">
        <f>+'klikací hodnoty'!F17046</f>
        <v>7.6298878316468921E-2</v>
      </c>
      <c r="AR522" s="1357">
        <f t="shared" si="143"/>
        <v>0.6</v>
      </c>
      <c r="AS522" s="1358">
        <f t="shared" si="144"/>
        <v>7.6371424123335752E-2</v>
      </c>
      <c r="AT522" s="1358"/>
      <c r="AU522" s="1359"/>
      <c r="AV522" s="1360">
        <f t="shared" si="145"/>
        <v>0</v>
      </c>
      <c r="AW522" s="1360">
        <f t="shared" si="146"/>
        <v>0</v>
      </c>
      <c r="AX522" s="1361"/>
      <c r="AY522" s="435"/>
      <c r="AZ522" s="1724">
        <f t="shared" si="147"/>
        <v>10</v>
      </c>
      <c r="BA522" s="657"/>
      <c r="BB522" s="76"/>
      <c r="BC522" s="75"/>
      <c r="BF522" s="3746" cm="1">
        <f t="array" ref="BF522">IFERROR(+VLOOKUP(C522,+[6]NAV_ALL_20240408111714!$A$2:$E$1216,5,0),+AO522)</f>
        <v>9.94</v>
      </c>
      <c r="BG522" s="3747">
        <f t="shared" ref="BG522:BG553" si="148">+BF522/AO522-1</f>
        <v>0</v>
      </c>
    </row>
    <row r="523" spans="1:234" x14ac:dyDescent="0.25">
      <c r="A523" t="s">
        <v>9425</v>
      </c>
      <c r="B523" s="1640" t="s">
        <v>9426</v>
      </c>
      <c r="C523" s="52" t="s">
        <v>9427</v>
      </c>
      <c r="D523" s="574" t="s">
        <v>189</v>
      </c>
      <c r="E523" s="52" t="s">
        <v>3228</v>
      </c>
      <c r="F523" s="53">
        <v>43413</v>
      </c>
      <c r="G523" s="53">
        <v>43346</v>
      </c>
      <c r="H523" s="614">
        <v>43404</v>
      </c>
      <c r="I523" s="249">
        <v>45534</v>
      </c>
      <c r="J523" s="103">
        <v>10</v>
      </c>
      <c r="K523" s="46" t="s">
        <v>3229</v>
      </c>
      <c r="L523" s="50" t="s">
        <v>3229</v>
      </c>
      <c r="M523" s="48">
        <v>0</v>
      </c>
      <c r="N523" s="615">
        <v>1</v>
      </c>
      <c r="O523" s="241">
        <v>0.5</v>
      </c>
      <c r="P523" s="153" t="s">
        <v>3229</v>
      </c>
      <c r="Q523" s="89">
        <v>0.9</v>
      </c>
      <c r="R523" s="618" t="s">
        <v>3229</v>
      </c>
      <c r="S523" s="1683">
        <v>1</v>
      </c>
      <c r="T523" s="437" t="s">
        <v>3229</v>
      </c>
      <c r="U523" s="196" t="s">
        <v>3229</v>
      </c>
      <c r="V523" s="196" t="s">
        <v>3229</v>
      </c>
      <c r="W523" s="196" t="s">
        <v>3229</v>
      </c>
      <c r="X523" s="196" t="s">
        <v>3229</v>
      </c>
      <c r="Y523" s="196" t="s">
        <v>3229</v>
      </c>
      <c r="Z523" s="196" t="s">
        <v>3229</v>
      </c>
      <c r="AA523" s="196" t="s">
        <v>3229</v>
      </c>
      <c r="AB523" s="196" t="s">
        <v>3229</v>
      </c>
      <c r="AC523" s="196" t="s">
        <v>3229</v>
      </c>
      <c r="AD523" s="196" t="s">
        <v>3229</v>
      </c>
      <c r="AE523" s="1631" t="s">
        <v>3229</v>
      </c>
      <c r="AF523" s="1682">
        <v>1</v>
      </c>
      <c r="AG523" s="55">
        <f>(I523-indexy!$B$1)/365</f>
        <v>0.42465753424657532</v>
      </c>
      <c r="AH523" s="259" t="s">
        <v>3229</v>
      </c>
      <c r="AI523" s="259" t="s">
        <v>3229</v>
      </c>
      <c r="AJ523" s="259" t="s">
        <v>3229</v>
      </c>
      <c r="AK523" s="259" t="s">
        <v>3229</v>
      </c>
      <c r="AL523" s="259" t="s">
        <v>3229</v>
      </c>
      <c r="AM523" s="126">
        <v>1</v>
      </c>
      <c r="AN523" s="685">
        <f>+'klikací hodnoty'!F17121</f>
        <v>0.21299400966336282</v>
      </c>
      <c r="AO523" s="317">
        <v>11.7</v>
      </c>
      <c r="AP523" s="1616">
        <f>+'klikací hodnoty'!E17120</f>
        <v>0.21299400966336282</v>
      </c>
      <c r="AQ523" s="1685">
        <f>+'klikací hodnoty'!F17101</f>
        <v>0.28428545342007566</v>
      </c>
      <c r="AR523" s="1357">
        <f t="shared" si="143"/>
        <v>0.5</v>
      </c>
      <c r="AS523" s="1358">
        <f t="shared" si="144"/>
        <v>7.2267899826606197E-2</v>
      </c>
      <c r="AT523" s="1358"/>
      <c r="AU523" s="1359"/>
      <c r="AV523" s="1360">
        <f t="shared" si="145"/>
        <v>0</v>
      </c>
      <c r="AW523" s="1360">
        <f t="shared" si="146"/>
        <v>0</v>
      </c>
      <c r="AX523" s="1361"/>
      <c r="AY523" s="435"/>
      <c r="AZ523" s="1724">
        <f t="shared" si="147"/>
        <v>10</v>
      </c>
      <c r="BA523" s="657"/>
      <c r="BB523" s="76"/>
      <c r="BC523" s="75"/>
      <c r="BF523" s="3746" cm="1">
        <f t="array" ref="BF523">IFERROR(+VLOOKUP(C523,+[6]NAV_ALL_20240408111714!$A$2:$E$1216,5,0),+AO523)</f>
        <v>11.7</v>
      </c>
      <c r="BG523" s="3747">
        <f t="shared" si="148"/>
        <v>0</v>
      </c>
    </row>
    <row r="524" spans="1:234" ht="13.5" customHeight="1" x14ac:dyDescent="0.25">
      <c r="A524" s="2742" t="s">
        <v>9509</v>
      </c>
      <c r="B524" s="1271" t="s">
        <v>9506</v>
      </c>
      <c r="C524" s="1272" t="s">
        <v>9510</v>
      </c>
      <c r="D524" s="1273" t="s">
        <v>189</v>
      </c>
      <c r="E524" s="1272" t="s">
        <v>3228</v>
      </c>
      <c r="F524" s="1274">
        <v>43444</v>
      </c>
      <c r="G524" s="3757">
        <v>43374</v>
      </c>
      <c r="H524" s="1274">
        <v>43434</v>
      </c>
      <c r="I524" s="1276">
        <v>44561</v>
      </c>
      <c r="J524" s="1277">
        <v>10</v>
      </c>
      <c r="K524" s="1278" t="s">
        <v>3229</v>
      </c>
      <c r="L524" s="1279">
        <v>7.0000000000000007E-2</v>
      </c>
      <c r="M524" s="1280">
        <v>-1</v>
      </c>
      <c r="N524" s="1281" t="s">
        <v>3229</v>
      </c>
      <c r="O524" s="1282">
        <v>0.42</v>
      </c>
      <c r="P524" s="1283">
        <v>0.4</v>
      </c>
      <c r="Q524" s="1283">
        <v>1</v>
      </c>
      <c r="R524" s="1284" t="s">
        <v>3229</v>
      </c>
      <c r="S524" s="1285">
        <v>4</v>
      </c>
      <c r="T524" s="1286" t="s">
        <v>3229</v>
      </c>
      <c r="U524" s="1286" t="s">
        <v>3229</v>
      </c>
      <c r="V524" s="1286" t="s">
        <v>3229</v>
      </c>
      <c r="W524" s="1286" t="s">
        <v>3229</v>
      </c>
      <c r="X524" s="1286" t="s">
        <v>3229</v>
      </c>
      <c r="Y524" s="1286" t="s">
        <v>3229</v>
      </c>
      <c r="Z524" s="1286" t="s">
        <v>3229</v>
      </c>
      <c r="AA524" s="1286" t="s">
        <v>3229</v>
      </c>
      <c r="AB524" s="1286" t="s">
        <v>3229</v>
      </c>
      <c r="AC524" s="1286" t="s">
        <v>3229</v>
      </c>
      <c r="AD524" s="1286" t="s">
        <v>3229</v>
      </c>
      <c r="AE524" s="1286" t="s">
        <v>3229</v>
      </c>
      <c r="AF524" s="3764" t="s">
        <v>781</v>
      </c>
      <c r="AG524" s="3765">
        <f>(I524-indexy!$B$1)/365</f>
        <v>-2.2410958904109588</v>
      </c>
      <c r="AH524" s="1287">
        <v>1</v>
      </c>
      <c r="AI524" s="1288" t="s">
        <v>3229</v>
      </c>
      <c r="AJ524" s="1288" t="s">
        <v>3229</v>
      </c>
      <c r="AK524" s="1288" t="s">
        <v>3229</v>
      </c>
      <c r="AL524" s="1288" t="s">
        <v>3229</v>
      </c>
      <c r="AM524" s="1288" t="s">
        <v>3229</v>
      </c>
      <c r="AN524" s="1289">
        <f>+'klikací hodnoty'!F17130</f>
        <v>0.21</v>
      </c>
      <c r="AO524" s="1290">
        <v>10.199999999999999</v>
      </c>
      <c r="AP524" s="1371">
        <f>+'klikací hodnoty'!H17128</f>
        <v>0.36084029012916452</v>
      </c>
      <c r="AQ524" s="1281">
        <f>+'klikací hodnoty'!H17128</f>
        <v>0.36084029012916452</v>
      </c>
      <c r="AR524" s="1291">
        <f t="shared" si="143"/>
        <v>0.42</v>
      </c>
      <c r="AS524" s="1292">
        <f t="shared" si="144"/>
        <v>0.12140626317262626</v>
      </c>
      <c r="AT524" s="1292"/>
      <c r="AU524" s="1293"/>
      <c r="AV524" s="1294">
        <f t="shared" si="145"/>
        <v>-1</v>
      </c>
      <c r="AW524" s="1295">
        <f t="shared" si="146"/>
        <v>-1</v>
      </c>
      <c r="AX524" s="1296"/>
      <c r="AY524" s="1297"/>
      <c r="AZ524" s="1298">
        <f t="shared" si="147"/>
        <v>0</v>
      </c>
      <c r="BA524" s="1959"/>
      <c r="BB524" s="1285"/>
      <c r="BC524" s="1300"/>
      <c r="BF524" s="3746" cm="1">
        <f t="array" ref="BF524">IFERROR(+VLOOKUP(C524,+[6]NAV_ALL_20240408111714!$A$2:$E$1216,5,0),+AO524)</f>
        <v>10.199999999999999</v>
      </c>
      <c r="BG524" s="3747">
        <f t="shared" si="148"/>
        <v>0</v>
      </c>
      <c r="BH524" s="3763"/>
      <c r="BI524" s="3763"/>
      <c r="BJ524" s="1639"/>
      <c r="BK524" s="1639"/>
      <c r="BL524" s="1639"/>
      <c r="BM524" s="1639"/>
      <c r="BN524" s="1639"/>
      <c r="BO524" s="1639"/>
      <c r="BP524" s="1639"/>
      <c r="BQ524" s="1639"/>
      <c r="BR524" s="1639"/>
      <c r="BS524" s="509"/>
      <c r="BT524" s="509"/>
      <c r="BU524" s="509"/>
      <c r="BV524" s="509"/>
      <c r="BW524" s="509"/>
      <c r="BX524" s="509"/>
      <c r="BY524" s="509"/>
      <c r="BZ524" s="509"/>
      <c r="CA524" s="509"/>
      <c r="CB524" s="509"/>
      <c r="CC524" s="509"/>
      <c r="CD524" s="509"/>
      <c r="CE524" s="509"/>
      <c r="CF524" s="509"/>
      <c r="CG524" s="509"/>
      <c r="CH524" s="509"/>
      <c r="CI524" s="509"/>
      <c r="CJ524" s="509"/>
      <c r="CK524" s="509"/>
      <c r="CL524" s="509"/>
      <c r="CM524" s="509"/>
      <c r="CN524" s="509"/>
      <c r="CO524" s="509"/>
      <c r="CP524" s="509"/>
      <c r="CQ524" s="509"/>
      <c r="CR524" s="509"/>
      <c r="CS524" s="509"/>
      <c r="CT524" s="509"/>
      <c r="CU524" s="509"/>
      <c r="CV524" s="509"/>
      <c r="CW524" s="509"/>
      <c r="CX524" s="509"/>
      <c r="CY524" s="509"/>
      <c r="CZ524" s="509"/>
      <c r="DA524" s="509"/>
      <c r="DB524" s="509"/>
      <c r="DC524" s="509"/>
      <c r="DD524" s="509"/>
      <c r="DE524" s="509"/>
      <c r="DF524" s="509"/>
      <c r="DG524" s="509"/>
      <c r="DH524" s="509"/>
      <c r="DI524" s="509"/>
      <c r="DJ524" s="509"/>
      <c r="DK524" s="509"/>
      <c r="DL524" s="509"/>
      <c r="DM524" s="509"/>
      <c r="DN524" s="509"/>
      <c r="DO524" s="509"/>
      <c r="DP524" s="509"/>
      <c r="DQ524" s="509"/>
      <c r="DR524" s="509"/>
      <c r="DS524" s="509"/>
      <c r="DT524" s="509"/>
      <c r="DU524" s="509"/>
      <c r="DV524" s="509"/>
      <c r="DW524" s="509"/>
      <c r="DX524" s="509"/>
      <c r="DY524" s="509"/>
      <c r="DZ524" s="509"/>
      <c r="EA524" s="509"/>
      <c r="EB524" s="509"/>
      <c r="EC524" s="509"/>
      <c r="ED524" s="509"/>
      <c r="EE524" s="509"/>
      <c r="EF524" s="509"/>
      <c r="EG524" s="509"/>
      <c r="EH524" s="509"/>
      <c r="EI524" s="509"/>
      <c r="EJ524" s="509"/>
      <c r="EK524" s="509"/>
      <c r="EL524" s="509"/>
      <c r="EM524" s="509"/>
      <c r="EN524" s="509"/>
      <c r="EO524" s="509"/>
      <c r="EP524" s="509"/>
      <c r="EQ524" s="509"/>
      <c r="ER524" s="509"/>
      <c r="ES524" s="509"/>
      <c r="ET524" s="509"/>
      <c r="EU524" s="509"/>
      <c r="EV524" s="509"/>
      <c r="EW524" s="509"/>
      <c r="EX524" s="509"/>
      <c r="EY524" s="509"/>
      <c r="EZ524" s="509"/>
      <c r="FA524" s="509"/>
      <c r="FB524" s="509"/>
      <c r="FC524" s="509"/>
      <c r="FD524" s="509"/>
      <c r="FE524" s="509"/>
      <c r="FF524" s="509"/>
      <c r="FG524" s="509"/>
      <c r="FH524" s="509"/>
      <c r="FI524" s="509"/>
      <c r="FJ524" s="509"/>
      <c r="FK524" s="509"/>
      <c r="FL524" s="509"/>
      <c r="FM524" s="509"/>
      <c r="FN524" s="509"/>
      <c r="FO524" s="509"/>
      <c r="FP524" s="509"/>
      <c r="FQ524" s="509"/>
      <c r="FR524" s="509"/>
      <c r="FS524" s="509"/>
      <c r="FT524" s="509"/>
      <c r="FU524" s="509"/>
      <c r="FV524" s="509"/>
      <c r="FW524" s="509"/>
      <c r="FX524" s="509"/>
      <c r="FY524" s="509"/>
      <c r="FZ524" s="509"/>
      <c r="GA524" s="509"/>
      <c r="GB524" s="509"/>
      <c r="GC524" s="509"/>
      <c r="GD524" s="509"/>
      <c r="GE524" s="509"/>
      <c r="GF524" s="509"/>
      <c r="GG524" s="509"/>
      <c r="GH524" s="509"/>
      <c r="GI524" s="509"/>
      <c r="GJ524" s="509"/>
      <c r="GK524" s="509"/>
      <c r="GL524" s="509"/>
      <c r="GM524" s="509"/>
      <c r="GN524" s="509"/>
      <c r="GO524" s="509"/>
      <c r="GP524" s="509"/>
      <c r="GQ524" s="509"/>
      <c r="GR524" s="509"/>
      <c r="GS524" s="509"/>
      <c r="GT524" s="509"/>
      <c r="GU524" s="509"/>
      <c r="GV524" s="509"/>
      <c r="GW524" s="509"/>
      <c r="GX524" s="509"/>
      <c r="GY524" s="509"/>
      <c r="GZ524" s="509"/>
      <c r="HA524" s="509"/>
      <c r="HB524" s="509"/>
      <c r="HC524" s="509"/>
      <c r="HD524" s="509"/>
      <c r="HE524" s="509"/>
      <c r="HF524" s="509"/>
      <c r="HG524" s="509"/>
      <c r="HH524" s="509"/>
      <c r="HI524" s="509"/>
      <c r="HJ524" s="509"/>
      <c r="HK524" s="509"/>
      <c r="HL524" s="509"/>
      <c r="HM524" s="509"/>
      <c r="HN524" s="509"/>
      <c r="HO524" s="509"/>
      <c r="HP524" s="509"/>
      <c r="HQ524" s="509"/>
      <c r="HR524" s="509"/>
      <c r="HS524" s="509"/>
      <c r="HT524" s="509"/>
      <c r="HU524" s="509"/>
      <c r="HV524" s="509"/>
      <c r="HW524" s="509"/>
      <c r="HX524" s="509"/>
      <c r="HY524" s="509"/>
      <c r="HZ524" s="509"/>
    </row>
    <row r="525" spans="1:234" ht="13.5" customHeight="1" x14ac:dyDescent="0.25">
      <c r="A525" s="2742" t="s">
        <v>9507</v>
      </c>
      <c r="B525" s="1271" t="s">
        <v>9508</v>
      </c>
      <c r="C525" s="1272" t="s">
        <v>9511</v>
      </c>
      <c r="D525" s="1273" t="s">
        <v>189</v>
      </c>
      <c r="E525" s="1272" t="s">
        <v>905</v>
      </c>
      <c r="F525" s="1274">
        <v>43444</v>
      </c>
      <c r="G525" s="3757">
        <v>43374</v>
      </c>
      <c r="H525" s="1274">
        <v>43434</v>
      </c>
      <c r="I525" s="1276">
        <v>43861</v>
      </c>
      <c r="J525" s="1277">
        <v>10</v>
      </c>
      <c r="K525" s="1278" t="s">
        <v>3229</v>
      </c>
      <c r="L525" s="1279">
        <v>0.08</v>
      </c>
      <c r="M525" s="1280">
        <v>-0.8</v>
      </c>
      <c r="N525" s="1281">
        <v>0.7</v>
      </c>
      <c r="O525" s="1282">
        <v>0.6</v>
      </c>
      <c r="P525" s="1283" t="s">
        <v>3229</v>
      </c>
      <c r="Q525" s="1283">
        <v>0.08</v>
      </c>
      <c r="R525" s="1284">
        <v>0.2</v>
      </c>
      <c r="S525" s="1285">
        <v>2</v>
      </c>
      <c r="T525" s="1286" t="s">
        <v>3229</v>
      </c>
      <c r="U525" s="1286" t="s">
        <v>3229</v>
      </c>
      <c r="V525" s="1286" t="s">
        <v>3229</v>
      </c>
      <c r="W525" s="1286" t="s">
        <v>3229</v>
      </c>
      <c r="X525" s="1286" t="s">
        <v>3229</v>
      </c>
      <c r="Y525" s="1286" t="s">
        <v>3229</v>
      </c>
      <c r="Z525" s="1286" t="s">
        <v>3229</v>
      </c>
      <c r="AA525" s="1286" t="s">
        <v>3229</v>
      </c>
      <c r="AB525" s="1286" t="s">
        <v>3229</v>
      </c>
      <c r="AC525" s="1286" t="s">
        <v>3229</v>
      </c>
      <c r="AD525" s="1286" t="s">
        <v>3229</v>
      </c>
      <c r="AE525" s="1286" t="s">
        <v>3229</v>
      </c>
      <c r="AF525" s="3764" t="s">
        <v>781</v>
      </c>
      <c r="AG525" s="3765"/>
      <c r="AH525" s="1287" t="s">
        <v>8846</v>
      </c>
      <c r="AI525" s="1288"/>
      <c r="AJ525" s="1288"/>
      <c r="AK525" s="1288"/>
      <c r="AL525" s="1288"/>
      <c r="AM525" s="1288"/>
      <c r="AN525" s="1289">
        <f>+'klikací hodnoty'!F17136</f>
        <v>0.08</v>
      </c>
      <c r="AO525" s="1290">
        <v>10.199999999999999</v>
      </c>
      <c r="AP525" s="1371">
        <f>+'klikací hodnoty'!F17135</f>
        <v>4.9610749914112295E-2</v>
      </c>
      <c r="AQ525" s="1281">
        <f>+'klikací hodnoty'!F17135</f>
        <v>4.9610749914112295E-2</v>
      </c>
      <c r="AR525" s="1291">
        <f t="shared" si="143"/>
        <v>0.6</v>
      </c>
      <c r="AS525" s="1292">
        <f t="shared" si="144"/>
        <v>0.508919850359834</v>
      </c>
      <c r="AT525" s="1292"/>
      <c r="AU525" s="1293"/>
      <c r="AV525" s="1294">
        <f t="shared" si="145"/>
        <v>-0.8</v>
      </c>
      <c r="AW525" s="1295">
        <f t="shared" si="146"/>
        <v>-0.75554905369304559</v>
      </c>
      <c r="AX525" s="1296"/>
      <c r="AY525" s="1297"/>
      <c r="AZ525" s="1298">
        <f t="shared" si="147"/>
        <v>1.9999999999999996</v>
      </c>
      <c r="BA525" s="1959"/>
      <c r="BB525" s="1285"/>
      <c r="BC525" s="1300"/>
      <c r="BF525" s="3746" cm="1">
        <f t="array" ref="BF525">IFERROR(+VLOOKUP(C525,+[6]NAV_ALL_20240408111714!$A$2:$E$1216,5,0),+AO525)</f>
        <v>10.199999999999999</v>
      </c>
      <c r="BG525" s="3747">
        <f t="shared" si="148"/>
        <v>0</v>
      </c>
      <c r="BH525" s="3763"/>
      <c r="BI525" s="3763"/>
      <c r="BJ525" s="1639"/>
      <c r="BK525" s="1639"/>
      <c r="BL525" s="1639"/>
      <c r="BM525" s="1639"/>
      <c r="BN525" s="1639"/>
      <c r="BO525" s="1639"/>
      <c r="BP525" s="1639"/>
      <c r="BQ525" s="1639"/>
      <c r="BR525" s="1639"/>
      <c r="BS525" s="509"/>
      <c r="BT525" s="509"/>
      <c r="BU525" s="509"/>
      <c r="BV525" s="509"/>
      <c r="BW525" s="509"/>
      <c r="BX525" s="509"/>
      <c r="BY525" s="509"/>
      <c r="BZ525" s="509"/>
      <c r="CA525" s="509"/>
      <c r="CB525" s="509"/>
      <c r="CC525" s="509"/>
      <c r="CD525" s="509"/>
      <c r="CE525" s="509"/>
      <c r="CF525" s="509"/>
      <c r="CG525" s="509"/>
      <c r="CH525" s="509"/>
      <c r="CI525" s="509"/>
      <c r="CJ525" s="509"/>
      <c r="CK525" s="509"/>
      <c r="CL525" s="509"/>
      <c r="CM525" s="509"/>
      <c r="CN525" s="509"/>
      <c r="CO525" s="509"/>
      <c r="CP525" s="509"/>
      <c r="CQ525" s="509"/>
      <c r="CR525" s="509"/>
      <c r="CS525" s="509"/>
      <c r="CT525" s="509"/>
      <c r="CU525" s="509"/>
      <c r="CV525" s="509"/>
      <c r="CW525" s="509"/>
      <c r="CX525" s="509"/>
      <c r="CY525" s="509"/>
      <c r="CZ525" s="509"/>
      <c r="DA525" s="509"/>
      <c r="DB525" s="509"/>
      <c r="DC525" s="509"/>
      <c r="DD525" s="509"/>
      <c r="DE525" s="509"/>
      <c r="DF525" s="509"/>
      <c r="DG525" s="509"/>
      <c r="DH525" s="509"/>
      <c r="DI525" s="509"/>
      <c r="DJ525" s="509"/>
      <c r="DK525" s="509"/>
      <c r="DL525" s="509"/>
      <c r="DM525" s="509"/>
      <c r="DN525" s="509"/>
      <c r="DO525" s="509"/>
      <c r="DP525" s="509"/>
      <c r="DQ525" s="509"/>
      <c r="DR525" s="509"/>
      <c r="DS525" s="509"/>
      <c r="DT525" s="509"/>
      <c r="DU525" s="509"/>
      <c r="DV525" s="509"/>
      <c r="DW525" s="509"/>
      <c r="DX525" s="509"/>
      <c r="DY525" s="509"/>
      <c r="DZ525" s="509"/>
      <c r="EA525" s="509"/>
      <c r="EB525" s="509"/>
      <c r="EC525" s="509"/>
      <c r="ED525" s="509"/>
      <c r="EE525" s="509"/>
      <c r="EF525" s="509"/>
      <c r="EG525" s="509"/>
      <c r="EH525" s="509"/>
      <c r="EI525" s="509"/>
      <c r="EJ525" s="509"/>
      <c r="EK525" s="509"/>
      <c r="EL525" s="509"/>
      <c r="EM525" s="509"/>
      <c r="EN525" s="509"/>
      <c r="EO525" s="509"/>
      <c r="EP525" s="509"/>
      <c r="EQ525" s="509"/>
      <c r="ER525" s="509"/>
      <c r="ES525" s="509"/>
      <c r="ET525" s="509"/>
      <c r="EU525" s="509"/>
      <c r="EV525" s="509"/>
      <c r="EW525" s="509"/>
      <c r="EX525" s="509"/>
      <c r="EY525" s="509"/>
      <c r="EZ525" s="509"/>
      <c r="FA525" s="509"/>
      <c r="FB525" s="509"/>
      <c r="FC525" s="509"/>
      <c r="FD525" s="509"/>
      <c r="FE525" s="509"/>
      <c r="FF525" s="509"/>
      <c r="FG525" s="509"/>
      <c r="FH525" s="509"/>
      <c r="FI525" s="509"/>
      <c r="FJ525" s="509"/>
      <c r="FK525" s="509"/>
      <c r="FL525" s="509"/>
      <c r="FM525" s="509"/>
      <c r="FN525" s="509"/>
      <c r="FO525" s="509"/>
      <c r="FP525" s="509"/>
      <c r="FQ525" s="509"/>
      <c r="FR525" s="509"/>
      <c r="FS525" s="509"/>
      <c r="FT525" s="509"/>
      <c r="FU525" s="509"/>
      <c r="FV525" s="509"/>
      <c r="FW525" s="509"/>
      <c r="FX525" s="509"/>
      <c r="FY525" s="509"/>
      <c r="FZ525" s="509"/>
      <c r="GA525" s="509"/>
      <c r="GB525" s="509"/>
      <c r="GC525" s="509"/>
      <c r="GD525" s="509"/>
      <c r="GE525" s="509"/>
      <c r="GF525" s="509"/>
      <c r="GG525" s="509"/>
      <c r="GH525" s="509"/>
      <c r="GI525" s="509"/>
      <c r="GJ525" s="509"/>
      <c r="GK525" s="509"/>
      <c r="GL525" s="509"/>
      <c r="GM525" s="509"/>
      <c r="GN525" s="509"/>
      <c r="GO525" s="509"/>
      <c r="GP525" s="509"/>
      <c r="GQ525" s="509"/>
      <c r="GR525" s="509"/>
      <c r="GS525" s="509"/>
      <c r="GT525" s="509"/>
      <c r="GU525" s="509"/>
      <c r="GV525" s="509"/>
      <c r="GW525" s="509"/>
      <c r="GX525" s="509"/>
      <c r="GY525" s="509"/>
      <c r="GZ525" s="509"/>
      <c r="HA525" s="509"/>
      <c r="HB525" s="509"/>
      <c r="HC525" s="509"/>
      <c r="HD525" s="509"/>
      <c r="HE525" s="509"/>
      <c r="HF525" s="509"/>
      <c r="HG525" s="509"/>
      <c r="HH525" s="509"/>
      <c r="HI525" s="509"/>
      <c r="HJ525" s="509"/>
      <c r="HK525" s="509"/>
      <c r="HL525" s="509"/>
      <c r="HM525" s="509"/>
      <c r="HN525" s="509"/>
      <c r="HO525" s="509"/>
      <c r="HP525" s="509"/>
      <c r="HQ525" s="509"/>
      <c r="HR525" s="509"/>
      <c r="HS525" s="509"/>
      <c r="HT525" s="509"/>
      <c r="HU525" s="509"/>
      <c r="HV525" s="509"/>
      <c r="HW525" s="509"/>
      <c r="HX525" s="509"/>
      <c r="HY525" s="509"/>
      <c r="HZ525" s="509"/>
    </row>
    <row r="526" spans="1:234" x14ac:dyDescent="0.25">
      <c r="A526" t="s">
        <v>9536</v>
      </c>
      <c r="B526" s="1640" t="s">
        <v>9537</v>
      </c>
      <c r="C526" s="52" t="s">
        <v>9538</v>
      </c>
      <c r="D526" s="574" t="s">
        <v>189</v>
      </c>
      <c r="E526" s="52" t="s">
        <v>3228</v>
      </c>
      <c r="F526" s="53">
        <v>43461</v>
      </c>
      <c r="G526" s="53">
        <v>43405</v>
      </c>
      <c r="H526" s="614">
        <v>43448</v>
      </c>
      <c r="I526" s="249">
        <v>45625</v>
      </c>
      <c r="J526" s="103">
        <v>10</v>
      </c>
      <c r="K526" s="46" t="s">
        <v>3229</v>
      </c>
      <c r="L526" s="50" t="s">
        <v>3229</v>
      </c>
      <c r="M526" s="48">
        <v>-0.05</v>
      </c>
      <c r="N526" s="615">
        <v>0.7</v>
      </c>
      <c r="O526" s="241">
        <v>0.8</v>
      </c>
      <c r="P526" s="153" t="s">
        <v>3229</v>
      </c>
      <c r="Q526" s="89" t="s">
        <v>3229</v>
      </c>
      <c r="R526" s="618" t="s">
        <v>3229</v>
      </c>
      <c r="S526" s="1683">
        <v>1</v>
      </c>
      <c r="T526" s="437" t="s">
        <v>3229</v>
      </c>
      <c r="U526" s="196" t="s">
        <v>3229</v>
      </c>
      <c r="V526" s="196" t="s">
        <v>3229</v>
      </c>
      <c r="W526" s="196" t="s">
        <v>3229</v>
      </c>
      <c r="X526" s="196" t="s">
        <v>3229</v>
      </c>
      <c r="Y526" s="196" t="s">
        <v>3229</v>
      </c>
      <c r="Z526" s="196" t="s">
        <v>3229</v>
      </c>
      <c r="AA526" s="196" t="s">
        <v>3229</v>
      </c>
      <c r="AB526" s="196" t="s">
        <v>3229</v>
      </c>
      <c r="AC526" s="196" t="s">
        <v>3229</v>
      </c>
      <c r="AD526" s="196" t="s">
        <v>3229</v>
      </c>
      <c r="AE526" s="1631" t="s">
        <v>3229</v>
      </c>
      <c r="AF526" s="1682">
        <v>1</v>
      </c>
      <c r="AG526" s="55">
        <f>(I526-indexy!$B$1)/365</f>
        <v>0.67397260273972603</v>
      </c>
      <c r="AH526" s="259" t="s">
        <v>3229</v>
      </c>
      <c r="AI526" s="259" t="s">
        <v>3229</v>
      </c>
      <c r="AJ526" s="259" t="s">
        <v>3229</v>
      </c>
      <c r="AK526" s="259" t="s">
        <v>3229</v>
      </c>
      <c r="AL526" s="259" t="s">
        <v>3229</v>
      </c>
      <c r="AM526" s="126">
        <v>1</v>
      </c>
      <c r="AN526" s="685">
        <f>+'klikací hodnoty'!F17192</f>
        <v>0.28950063321711555</v>
      </c>
      <c r="AO526" s="317">
        <v>12.44</v>
      </c>
      <c r="AP526" s="1616">
        <f>+'klikací hodnoty'!F17191</f>
        <v>0.41357233316730796</v>
      </c>
      <c r="AQ526" s="1685">
        <f>+'klikací hodnoty'!F17172</f>
        <v>0.46119929970115431</v>
      </c>
      <c r="AR526" s="1357">
        <f t="shared" si="143"/>
        <v>0.8</v>
      </c>
      <c r="AS526" s="1358">
        <f t="shared" si="144"/>
        <v>0.10422249858553179</v>
      </c>
      <c r="AT526" s="1358"/>
      <c r="AU526" s="1359"/>
      <c r="AV526" s="1360">
        <f t="shared" si="145"/>
        <v>-0.05</v>
      </c>
      <c r="AW526" s="1360">
        <f t="shared" si="146"/>
        <v>-8.6142780469654623E-3</v>
      </c>
      <c r="AX526" s="1361"/>
      <c r="AY526" s="435"/>
      <c r="AZ526" s="1724">
        <f t="shared" si="147"/>
        <v>9.5</v>
      </c>
      <c r="BA526" s="657"/>
      <c r="BB526" s="76"/>
      <c r="BC526" s="75"/>
      <c r="BF526" s="3746" cm="1">
        <f t="array" ref="BF526">IFERROR(+VLOOKUP(C526,+[6]NAV_ALL_20240408111714!$A$2:$E$1216,5,0),+AO526)</f>
        <v>12.44</v>
      </c>
      <c r="BG526" s="3747">
        <f t="shared" si="148"/>
        <v>0</v>
      </c>
    </row>
    <row r="527" spans="1:234" ht="13.5" customHeight="1" x14ac:dyDescent="0.25">
      <c r="A527" s="2742" t="s">
        <v>9541</v>
      </c>
      <c r="B527" s="1271" t="s">
        <v>9540</v>
      </c>
      <c r="C527" s="1272" t="s">
        <v>9542</v>
      </c>
      <c r="D527" s="1273" t="s">
        <v>4384</v>
      </c>
      <c r="E527" s="1272" t="s">
        <v>3228</v>
      </c>
      <c r="F527" s="1274">
        <v>43461</v>
      </c>
      <c r="G527" s="3757">
        <v>43409</v>
      </c>
      <c r="H527" s="1274">
        <v>43448</v>
      </c>
      <c r="I527" s="1276">
        <v>43861</v>
      </c>
      <c r="J527" s="1277">
        <v>10</v>
      </c>
      <c r="K527" s="1278">
        <v>0</v>
      </c>
      <c r="L527" s="1279">
        <v>0.09</v>
      </c>
      <c r="M527" s="1280">
        <v>-1</v>
      </c>
      <c r="N527" s="1281" t="s">
        <v>3229</v>
      </c>
      <c r="O527" s="1282">
        <v>0.215</v>
      </c>
      <c r="P527" s="1283">
        <v>0.4</v>
      </c>
      <c r="Q527" s="1283">
        <v>1</v>
      </c>
      <c r="R527" s="1284" t="s">
        <v>3229</v>
      </c>
      <c r="S527" s="1285">
        <v>6</v>
      </c>
      <c r="T527" s="1286" t="s">
        <v>3229</v>
      </c>
      <c r="U527" s="1286" t="s">
        <v>3229</v>
      </c>
      <c r="V527" s="1286" t="s">
        <v>3229</v>
      </c>
      <c r="W527" s="1286" t="s">
        <v>3229</v>
      </c>
      <c r="X527" s="1286" t="s">
        <v>3229</v>
      </c>
      <c r="Y527" s="1286" t="s">
        <v>3229</v>
      </c>
      <c r="Z527" s="1286" t="s">
        <v>3229</v>
      </c>
      <c r="AA527" s="1286" t="s">
        <v>3229</v>
      </c>
      <c r="AB527" s="1286" t="s">
        <v>3229</v>
      </c>
      <c r="AC527" s="1286" t="s">
        <v>3229</v>
      </c>
      <c r="AD527" s="1286" t="s">
        <v>3229</v>
      </c>
      <c r="AE527" s="1286" t="s">
        <v>3229</v>
      </c>
      <c r="AF527" s="3764" t="s">
        <v>781</v>
      </c>
      <c r="AG527" s="3765"/>
      <c r="AH527" s="1287" t="s">
        <v>8846</v>
      </c>
      <c r="AI527" s="1288"/>
      <c r="AJ527" s="1288"/>
      <c r="AK527" s="1288"/>
      <c r="AL527" s="1288"/>
      <c r="AM527" s="1288"/>
      <c r="AN527" s="1289">
        <f>+'klikací hodnoty'!F17202</f>
        <v>0.09</v>
      </c>
      <c r="AO527" s="1290">
        <v>10.199999999999999</v>
      </c>
      <c r="AP527" s="1371">
        <f>+'klikací hodnoty'!I17195</f>
        <v>5.3284978790920645E-2</v>
      </c>
      <c r="AQ527" s="1281">
        <f>+'klikací hodnoty'!I17195</f>
        <v>5.3284978790920645E-2</v>
      </c>
      <c r="AR527" s="1291">
        <v>0.09</v>
      </c>
      <c r="AS527" s="1292">
        <f t="shared" si="144"/>
        <v>8.1811713106620054E-2</v>
      </c>
      <c r="AT527" s="1292"/>
      <c r="AU527" s="1293"/>
      <c r="AV527" s="1294">
        <f t="shared" ref="AV527:AV533" si="149">M527</f>
        <v>-1</v>
      </c>
      <c r="AW527" s="1295">
        <f t="shared" ref="AW527:AW533" si="150">POWER(1+AV527,1/((I527-F527)/365))-1</f>
        <v>-1</v>
      </c>
      <c r="AX527" s="1296"/>
      <c r="AY527" s="1297"/>
      <c r="AZ527" s="1298">
        <f t="shared" ref="AZ527:AZ533" si="151">J527*(1+AV527)</f>
        <v>0</v>
      </c>
      <c r="BA527" s="1959"/>
      <c r="BB527" s="1285"/>
      <c r="BC527" s="1300"/>
      <c r="BF527" s="3746" cm="1">
        <f t="array" ref="BF527">IFERROR(+VLOOKUP(C527,+[6]NAV_ALL_20240408111714!$A$2:$E$1216,5,0),+AO527)</f>
        <v>10.199999999999999</v>
      </c>
      <c r="BG527" s="3747">
        <f t="shared" si="148"/>
        <v>0</v>
      </c>
      <c r="BH527" s="3763"/>
      <c r="BI527" s="3763"/>
      <c r="BJ527" s="1639"/>
      <c r="BK527" s="1639"/>
      <c r="BL527" s="1639"/>
      <c r="BM527" s="1639"/>
      <c r="BN527" s="1639"/>
      <c r="BO527" s="1639"/>
      <c r="BP527" s="1639"/>
      <c r="BQ527" s="1639"/>
      <c r="BR527" s="1639"/>
      <c r="BS527" s="509"/>
      <c r="BT527" s="509"/>
      <c r="BU527" s="509"/>
      <c r="BV527" s="509"/>
      <c r="BW527" s="509"/>
      <c r="BX527" s="509"/>
      <c r="BY527" s="509"/>
      <c r="BZ527" s="509"/>
      <c r="CA527" s="509"/>
      <c r="CB527" s="509"/>
      <c r="CC527" s="509"/>
      <c r="CD527" s="509"/>
      <c r="CE527" s="509"/>
      <c r="CF527" s="509"/>
      <c r="CG527" s="509"/>
      <c r="CH527" s="509"/>
      <c r="CI527" s="509"/>
      <c r="CJ527" s="509"/>
      <c r="CK527" s="509"/>
      <c r="CL527" s="509"/>
      <c r="CM527" s="509"/>
      <c r="CN527" s="509"/>
      <c r="CO527" s="509"/>
      <c r="CP527" s="509"/>
      <c r="CQ527" s="509"/>
      <c r="CR527" s="509"/>
      <c r="CS527" s="509"/>
      <c r="CT527" s="509"/>
      <c r="CU527" s="509"/>
      <c r="CV527" s="509"/>
      <c r="CW527" s="509"/>
      <c r="CX527" s="509"/>
      <c r="CY527" s="509"/>
      <c r="CZ527" s="509"/>
      <c r="DA527" s="509"/>
      <c r="DB527" s="509"/>
      <c r="DC527" s="509"/>
      <c r="DD527" s="509"/>
      <c r="DE527" s="509"/>
      <c r="DF527" s="509"/>
      <c r="DG527" s="509"/>
      <c r="DH527" s="509"/>
      <c r="DI527" s="509"/>
      <c r="DJ527" s="509"/>
      <c r="DK527" s="509"/>
      <c r="DL527" s="509"/>
      <c r="DM527" s="509"/>
      <c r="DN527" s="509"/>
      <c r="DO527" s="509"/>
      <c r="DP527" s="509"/>
      <c r="DQ527" s="509"/>
      <c r="DR527" s="509"/>
      <c r="DS527" s="509"/>
      <c r="DT527" s="509"/>
      <c r="DU527" s="509"/>
      <c r="DV527" s="509"/>
      <c r="DW527" s="509"/>
      <c r="DX527" s="509"/>
      <c r="DY527" s="509"/>
      <c r="DZ527" s="509"/>
      <c r="EA527" s="509"/>
      <c r="EB527" s="509"/>
      <c r="EC527" s="509"/>
      <c r="ED527" s="509"/>
      <c r="EE527" s="509"/>
      <c r="EF527" s="509"/>
      <c r="EG527" s="509"/>
      <c r="EH527" s="509"/>
      <c r="EI527" s="509"/>
      <c r="EJ527" s="509"/>
      <c r="EK527" s="509"/>
      <c r="EL527" s="509"/>
      <c r="EM527" s="509"/>
      <c r="EN527" s="509"/>
      <c r="EO527" s="509"/>
      <c r="EP527" s="509"/>
      <c r="EQ527" s="509"/>
      <c r="ER527" s="509"/>
      <c r="ES527" s="509"/>
      <c r="ET527" s="509"/>
      <c r="EU527" s="509"/>
      <c r="EV527" s="509"/>
      <c r="EW527" s="509"/>
      <c r="EX527" s="509"/>
      <c r="EY527" s="509"/>
      <c r="EZ527" s="509"/>
      <c r="FA527" s="509"/>
      <c r="FB527" s="509"/>
      <c r="FC527" s="509"/>
      <c r="FD527" s="509"/>
      <c r="FE527" s="509"/>
      <c r="FF527" s="509"/>
      <c r="FG527" s="509"/>
      <c r="FH527" s="509"/>
      <c r="FI527" s="509"/>
      <c r="FJ527" s="509"/>
      <c r="FK527" s="509"/>
      <c r="FL527" s="509"/>
      <c r="FM527" s="509"/>
      <c r="FN527" s="509"/>
      <c r="FO527" s="509"/>
      <c r="FP527" s="509"/>
      <c r="FQ527" s="509"/>
      <c r="FR527" s="509"/>
      <c r="FS527" s="509"/>
      <c r="FT527" s="509"/>
      <c r="FU527" s="509"/>
      <c r="FV527" s="509"/>
      <c r="FW527" s="509"/>
      <c r="FX527" s="509"/>
      <c r="FY527" s="509"/>
      <c r="FZ527" s="509"/>
      <c r="GA527" s="509"/>
      <c r="GB527" s="509"/>
      <c r="GC527" s="509"/>
      <c r="GD527" s="509"/>
      <c r="GE527" s="509"/>
      <c r="GF527" s="509"/>
      <c r="GG527" s="509"/>
      <c r="GH527" s="509"/>
      <c r="GI527" s="509"/>
      <c r="GJ527" s="509"/>
      <c r="GK527" s="509"/>
      <c r="GL527" s="509"/>
      <c r="GM527" s="509"/>
      <c r="GN527" s="509"/>
      <c r="GO527" s="509"/>
      <c r="GP527" s="509"/>
      <c r="GQ527" s="509"/>
      <c r="GR527" s="509"/>
      <c r="GS527" s="509"/>
      <c r="GT527" s="509"/>
      <c r="GU527" s="509"/>
      <c r="GV527" s="509"/>
      <c r="GW527" s="509"/>
      <c r="GX527" s="509"/>
      <c r="GY527" s="509"/>
      <c r="GZ527" s="509"/>
      <c r="HA527" s="509"/>
      <c r="HB527" s="509"/>
      <c r="HC527" s="509"/>
      <c r="HD527" s="509"/>
      <c r="HE527" s="509"/>
      <c r="HF527" s="509"/>
      <c r="HG527" s="509"/>
      <c r="HH527" s="509"/>
      <c r="HI527" s="509"/>
      <c r="HJ527" s="509"/>
      <c r="HK527" s="509"/>
      <c r="HL527" s="509"/>
      <c r="HM527" s="509"/>
      <c r="HN527" s="509"/>
      <c r="HO527" s="509"/>
      <c r="HP527" s="509"/>
      <c r="HQ527" s="509"/>
      <c r="HR527" s="509"/>
      <c r="HS527" s="509"/>
      <c r="HT527" s="509"/>
      <c r="HU527" s="509"/>
      <c r="HV527" s="509"/>
      <c r="HW527" s="509"/>
      <c r="HX527" s="509"/>
      <c r="HY527" s="509"/>
      <c r="HZ527" s="509"/>
    </row>
    <row r="528" spans="1:234" x14ac:dyDescent="0.25">
      <c r="A528" t="s">
        <v>9543</v>
      </c>
      <c r="B528" s="1640" t="s">
        <v>5399</v>
      </c>
      <c r="C528" s="52" t="s">
        <v>9544</v>
      </c>
      <c r="D528" s="574" t="s">
        <v>4384</v>
      </c>
      <c r="E528" s="52" t="s">
        <v>3228</v>
      </c>
      <c r="F528" s="53">
        <v>43461</v>
      </c>
      <c r="G528" s="53" t="s">
        <v>9545</v>
      </c>
      <c r="H528" s="614">
        <v>43448</v>
      </c>
      <c r="I528" s="249">
        <v>45595</v>
      </c>
      <c r="J528" s="103">
        <v>10</v>
      </c>
      <c r="K528" s="46" t="s">
        <v>3229</v>
      </c>
      <c r="L528" s="50" t="s">
        <v>3229</v>
      </c>
      <c r="M528" s="48">
        <v>0</v>
      </c>
      <c r="N528" s="615">
        <v>0.6</v>
      </c>
      <c r="O528" s="241">
        <v>0.7</v>
      </c>
      <c r="P528" s="153" t="s">
        <v>3229</v>
      </c>
      <c r="Q528" s="89" t="s">
        <v>3229</v>
      </c>
      <c r="R528" s="618" t="s">
        <v>3229</v>
      </c>
      <c r="S528" s="1683">
        <v>1</v>
      </c>
      <c r="T528" s="437" t="s">
        <v>3229</v>
      </c>
      <c r="U528" s="196" t="s">
        <v>3229</v>
      </c>
      <c r="V528" s="196" t="s">
        <v>3229</v>
      </c>
      <c r="W528" s="196" t="s">
        <v>3229</v>
      </c>
      <c r="X528" s="196" t="s">
        <v>3229</v>
      </c>
      <c r="Y528" s="196" t="s">
        <v>3229</v>
      </c>
      <c r="Z528" s="196" t="s">
        <v>3229</v>
      </c>
      <c r="AA528" s="196" t="s">
        <v>3229</v>
      </c>
      <c r="AB528" s="196" t="s">
        <v>3229</v>
      </c>
      <c r="AC528" s="196" t="s">
        <v>3229</v>
      </c>
      <c r="AD528" s="196" t="s">
        <v>3229</v>
      </c>
      <c r="AE528" s="1631" t="s">
        <v>3229</v>
      </c>
      <c r="AF528" s="1682">
        <v>1</v>
      </c>
      <c r="AG528" s="55">
        <f>(I528-indexy!$B$1)/365</f>
        <v>0.59178082191780823</v>
      </c>
      <c r="AH528" s="259" t="s">
        <v>3229</v>
      </c>
      <c r="AI528" s="259" t="s">
        <v>3229</v>
      </c>
      <c r="AJ528" s="259" t="s">
        <v>3229</v>
      </c>
      <c r="AK528" s="259" t="s">
        <v>3229</v>
      </c>
      <c r="AL528" s="259" t="s">
        <v>3229</v>
      </c>
      <c r="AM528" s="126">
        <v>1</v>
      </c>
      <c r="AN528" s="685">
        <f>+'klikací hodnoty'!F17258</f>
        <v>0.21719952526842323</v>
      </c>
      <c r="AO528" s="317">
        <v>11.85</v>
      </c>
      <c r="AP528" s="1616">
        <f>+'klikací hodnoty'!F17257</f>
        <v>0.36199920878070541</v>
      </c>
      <c r="AQ528" s="1685">
        <f>+'klikací hodnoty'!F17238</f>
        <v>0.39732197311696671</v>
      </c>
      <c r="AR528" s="1357">
        <f t="shared" ref="AR528:AR539" si="152">O528</f>
        <v>0.7</v>
      </c>
      <c r="AS528" s="1358">
        <f t="shared" ref="AS528:AS539" si="153">POWER(1+AR528,1/((I528-F528)/365))-1</f>
        <v>9.5004874876340795E-2</v>
      </c>
      <c r="AT528" s="1358"/>
      <c r="AU528" s="1359"/>
      <c r="AV528" s="1360">
        <f t="shared" si="149"/>
        <v>0</v>
      </c>
      <c r="AW528" s="1360">
        <f t="shared" si="150"/>
        <v>0</v>
      </c>
      <c r="AX528" s="1361"/>
      <c r="AY528" s="435"/>
      <c r="AZ528" s="1724">
        <f t="shared" si="151"/>
        <v>10</v>
      </c>
      <c r="BA528" s="657"/>
      <c r="BB528" s="76"/>
      <c r="BC528" s="75"/>
      <c r="BF528" s="3746" cm="1">
        <f t="array" ref="BF528">IFERROR(+VLOOKUP(C528,+[6]NAV_ALL_20240408111714!$A$2:$E$1216,5,0),+AO528)</f>
        <v>11.85</v>
      </c>
      <c r="BG528" s="3747">
        <f t="shared" si="148"/>
        <v>0</v>
      </c>
    </row>
    <row r="529" spans="1:234" x14ac:dyDescent="0.25">
      <c r="A529" t="s">
        <v>9612</v>
      </c>
      <c r="B529" s="1640" t="s">
        <v>9607</v>
      </c>
      <c r="C529" s="52" t="s">
        <v>9613</v>
      </c>
      <c r="D529" s="574" t="s">
        <v>6934</v>
      </c>
      <c r="E529" s="52" t="s">
        <v>3228</v>
      </c>
      <c r="F529" s="53">
        <v>43462</v>
      </c>
      <c r="G529" s="53">
        <v>43388</v>
      </c>
      <c r="H529" s="614">
        <v>43452</v>
      </c>
      <c r="I529" s="249">
        <v>45807</v>
      </c>
      <c r="J529" s="103">
        <v>10</v>
      </c>
      <c r="K529" s="46" t="s">
        <v>3229</v>
      </c>
      <c r="L529" s="50" t="s">
        <v>3229</v>
      </c>
      <c r="M529" s="48">
        <v>0</v>
      </c>
      <c r="N529" s="615">
        <v>1</v>
      </c>
      <c r="O529" s="241">
        <v>0.8</v>
      </c>
      <c r="P529" s="153" t="s">
        <v>3229</v>
      </c>
      <c r="Q529" s="89" t="s">
        <v>3229</v>
      </c>
      <c r="R529" s="618" t="s">
        <v>3229</v>
      </c>
      <c r="S529" s="1683">
        <v>1</v>
      </c>
      <c r="T529" s="437" t="s">
        <v>3229</v>
      </c>
      <c r="U529" s="196" t="s">
        <v>3229</v>
      </c>
      <c r="V529" s="196" t="s">
        <v>3229</v>
      </c>
      <c r="W529" s="196" t="s">
        <v>3229</v>
      </c>
      <c r="X529" s="196" t="s">
        <v>3229</v>
      </c>
      <c r="Y529" s="196" t="s">
        <v>3229</v>
      </c>
      <c r="Z529" s="196" t="s">
        <v>3229</v>
      </c>
      <c r="AA529" s="196" t="s">
        <v>3229</v>
      </c>
      <c r="AB529" s="196" t="s">
        <v>3229</v>
      </c>
      <c r="AC529" s="196" t="s">
        <v>3229</v>
      </c>
      <c r="AD529" s="196" t="s">
        <v>3229</v>
      </c>
      <c r="AE529" s="1631" t="s">
        <v>3229</v>
      </c>
      <c r="AF529" s="1682">
        <v>1</v>
      </c>
      <c r="AG529" s="55">
        <f>(I529-indexy!$B$1)/365</f>
        <v>1.1726027397260275</v>
      </c>
      <c r="AH529" s="259" t="s">
        <v>3229</v>
      </c>
      <c r="AI529" s="259" t="s">
        <v>3229</v>
      </c>
      <c r="AJ529" s="259" t="s">
        <v>3229</v>
      </c>
      <c r="AK529" s="259" t="s">
        <v>3229</v>
      </c>
      <c r="AL529" s="259" t="s">
        <v>3229</v>
      </c>
      <c r="AM529" s="126">
        <v>1</v>
      </c>
      <c r="AN529" s="685">
        <f>+'klikací hodnoty'!F17314</f>
        <v>0.14221150000000005</v>
      </c>
      <c r="AO529" s="317">
        <v>11.46</v>
      </c>
      <c r="AP529" s="1616">
        <f>+'klikací hodnoty'!F17313</f>
        <v>0.14221150000000005</v>
      </c>
      <c r="AQ529" s="1685">
        <f>+'klikací hodnoty'!F17294</f>
        <v>0.21714371343128466</v>
      </c>
      <c r="AR529" s="1357">
        <f t="shared" si="152"/>
        <v>0.8</v>
      </c>
      <c r="AS529" s="1358">
        <f t="shared" si="153"/>
        <v>9.5804922630997158E-2</v>
      </c>
      <c r="AT529" s="1358"/>
      <c r="AU529" s="1359"/>
      <c r="AV529" s="1360">
        <f t="shared" si="149"/>
        <v>0</v>
      </c>
      <c r="AW529" s="1360">
        <f t="shared" si="150"/>
        <v>0</v>
      </c>
      <c r="AX529" s="1361"/>
      <c r="AY529" s="435"/>
      <c r="AZ529" s="1724">
        <f t="shared" si="151"/>
        <v>10</v>
      </c>
      <c r="BA529" s="657"/>
      <c r="BB529" s="76"/>
      <c r="BC529" s="75"/>
      <c r="BF529" s="3746" cm="1">
        <f t="array" ref="BF529">IFERROR(+VLOOKUP(C529,+[6]NAV_ALL_20240408111714!$A$2:$E$1216,5,0),+AO529)</f>
        <v>11.46</v>
      </c>
      <c r="BG529" s="3747">
        <f t="shared" si="148"/>
        <v>0</v>
      </c>
    </row>
    <row r="530" spans="1:234" x14ac:dyDescent="0.25">
      <c r="A530" t="s">
        <v>9614</v>
      </c>
      <c r="B530" s="1640" t="s">
        <v>9608</v>
      </c>
      <c r="C530" s="52" t="s">
        <v>9616</v>
      </c>
      <c r="D530" s="574" t="s">
        <v>189</v>
      </c>
      <c r="E530" s="52" t="s">
        <v>3228</v>
      </c>
      <c r="F530" s="53">
        <v>43504</v>
      </c>
      <c r="G530" s="53">
        <v>43437</v>
      </c>
      <c r="H530" s="614">
        <v>43496</v>
      </c>
      <c r="I530" s="249">
        <v>45625</v>
      </c>
      <c r="J530" s="103">
        <v>10</v>
      </c>
      <c r="K530" s="46" t="s">
        <v>3229</v>
      </c>
      <c r="L530" s="50" t="s">
        <v>3229</v>
      </c>
      <c r="M530" s="48">
        <v>0</v>
      </c>
      <c r="N530" s="615">
        <v>0.6</v>
      </c>
      <c r="O530" s="241">
        <v>0.7</v>
      </c>
      <c r="P530" s="153" t="s">
        <v>3229</v>
      </c>
      <c r="Q530" s="89" t="s">
        <v>3229</v>
      </c>
      <c r="R530" s="618" t="s">
        <v>3229</v>
      </c>
      <c r="S530" s="1683">
        <v>1</v>
      </c>
      <c r="T530" s="437" t="s">
        <v>3229</v>
      </c>
      <c r="U530" s="196" t="s">
        <v>3229</v>
      </c>
      <c r="V530" s="196" t="s">
        <v>3229</v>
      </c>
      <c r="W530" s="196" t="s">
        <v>3229</v>
      </c>
      <c r="X530" s="196" t="s">
        <v>3229</v>
      </c>
      <c r="Y530" s="196" t="s">
        <v>3229</v>
      </c>
      <c r="Z530" s="196" t="s">
        <v>3229</v>
      </c>
      <c r="AA530" s="196" t="s">
        <v>3229</v>
      </c>
      <c r="AB530" s="196" t="s">
        <v>3229</v>
      </c>
      <c r="AC530" s="196" t="s">
        <v>3229</v>
      </c>
      <c r="AD530" s="196" t="s">
        <v>3229</v>
      </c>
      <c r="AE530" s="1631" t="s">
        <v>3229</v>
      </c>
      <c r="AF530" s="1682">
        <v>1</v>
      </c>
      <c r="AG530" s="55">
        <f>(I530-indexy!$B$1)/365</f>
        <v>0.67397260273972603</v>
      </c>
      <c r="AH530" s="259" t="s">
        <v>3229</v>
      </c>
      <c r="AI530" s="259" t="s">
        <v>3229</v>
      </c>
      <c r="AJ530" s="259" t="s">
        <v>3229</v>
      </c>
      <c r="AK530" s="259" t="s">
        <v>3229</v>
      </c>
      <c r="AL530" s="259" t="s">
        <v>3229</v>
      </c>
      <c r="AM530" s="126">
        <v>1</v>
      </c>
      <c r="AN530" s="685">
        <f>+'klikací hodnoty'!F17413</f>
        <v>0.19813586666666669</v>
      </c>
      <c r="AO530" s="317">
        <v>11.93</v>
      </c>
      <c r="AP530" s="1616">
        <f>+'klikací hodnoty'!F17412</f>
        <v>0.33022644444444449</v>
      </c>
      <c r="AQ530" s="1685">
        <f>+'klikací hodnoty'!F17393</f>
        <v>0.55703185311659731</v>
      </c>
      <c r="AR530" s="1357">
        <f t="shared" si="152"/>
        <v>0.7</v>
      </c>
      <c r="AS530" s="1358">
        <f t="shared" si="153"/>
        <v>9.5614170914134045E-2</v>
      </c>
      <c r="AT530" s="1358"/>
      <c r="AU530" s="1359"/>
      <c r="AV530" s="1360">
        <f t="shared" si="149"/>
        <v>0</v>
      </c>
      <c r="AW530" s="1360">
        <f t="shared" si="150"/>
        <v>0</v>
      </c>
      <c r="AX530" s="1361"/>
      <c r="AY530" s="435"/>
      <c r="AZ530" s="1724">
        <f t="shared" si="151"/>
        <v>10</v>
      </c>
      <c r="BA530" s="138"/>
      <c r="BB530" s="76"/>
      <c r="BC530" s="75"/>
      <c r="BF530" s="3746" cm="1">
        <f t="array" ref="BF530">IFERROR(+VLOOKUP(C530,+[6]NAV_ALL_20240408111714!$A$2:$E$1216,5,0),+AO530)</f>
        <v>11.93</v>
      </c>
      <c r="BG530" s="3747">
        <f t="shared" si="148"/>
        <v>0</v>
      </c>
    </row>
    <row r="531" spans="1:234" x14ac:dyDescent="0.25">
      <c r="A531" t="s">
        <v>9611</v>
      </c>
      <c r="B531" s="1640" t="s">
        <v>9609</v>
      </c>
      <c r="C531" s="52" t="s">
        <v>9615</v>
      </c>
      <c r="D531" s="574" t="s">
        <v>6934</v>
      </c>
      <c r="E531" s="52" t="s">
        <v>3228</v>
      </c>
      <c r="F531" s="53">
        <v>43509</v>
      </c>
      <c r="G531" s="53">
        <v>43448</v>
      </c>
      <c r="H531" s="614">
        <v>43501</v>
      </c>
      <c r="I531" s="249">
        <v>45534</v>
      </c>
      <c r="J531" s="103">
        <v>10</v>
      </c>
      <c r="K531" s="46">
        <v>0</v>
      </c>
      <c r="L531" s="50">
        <v>0.06</v>
      </c>
      <c r="M531" s="48">
        <v>0.03</v>
      </c>
      <c r="N531" s="615" t="s">
        <v>3229</v>
      </c>
      <c r="O531" s="241">
        <v>0.27</v>
      </c>
      <c r="P531" s="153" t="s">
        <v>3229</v>
      </c>
      <c r="Q531" s="89">
        <v>0.03</v>
      </c>
      <c r="R531" s="618" t="s">
        <v>3229</v>
      </c>
      <c r="S531" s="1683">
        <v>1</v>
      </c>
      <c r="T531" s="437" t="s">
        <v>3229</v>
      </c>
      <c r="U531" s="196" t="s">
        <v>3229</v>
      </c>
      <c r="V531" s="196" t="s">
        <v>3229</v>
      </c>
      <c r="W531" s="196" t="s">
        <v>3229</v>
      </c>
      <c r="X531" s="196" t="s">
        <v>3229</v>
      </c>
      <c r="Y531" s="196" t="s">
        <v>3229</v>
      </c>
      <c r="Z531" s="196" t="s">
        <v>3229</v>
      </c>
      <c r="AA531" s="196" t="s">
        <v>3229</v>
      </c>
      <c r="AB531" s="196" t="s">
        <v>3229</v>
      </c>
      <c r="AC531" s="196" t="s">
        <v>3229</v>
      </c>
      <c r="AD531" s="196" t="s">
        <v>3229</v>
      </c>
      <c r="AE531" s="1631" t="s">
        <v>3229</v>
      </c>
      <c r="AF531" s="1682">
        <v>1</v>
      </c>
      <c r="AG531" s="55">
        <f>(I531-indexy!$B$1)/365</f>
        <v>0.42465753424657532</v>
      </c>
      <c r="AH531" s="259" t="s">
        <v>3229</v>
      </c>
      <c r="AI531" s="259" t="s">
        <v>3229</v>
      </c>
      <c r="AJ531" s="259" t="s">
        <v>3229</v>
      </c>
      <c r="AK531" s="259" t="s">
        <v>3229</v>
      </c>
      <c r="AL531" s="259" t="s">
        <v>3229</v>
      </c>
      <c r="AM531" s="126">
        <v>1</v>
      </c>
      <c r="AN531" s="685">
        <f>+'klikací hodnoty'!F17357</f>
        <v>3.7999999999999999E-2</v>
      </c>
      <c r="AO531" s="317">
        <v>10.15</v>
      </c>
      <c r="AP531" s="1616">
        <f>+'klikací hodnoty'!F17349</f>
        <v>-3.9087423290277673E-2</v>
      </c>
      <c r="AQ531" s="1685">
        <f>+'klikací hodnoty'!F17349</f>
        <v>-3.9087423290277673E-2</v>
      </c>
      <c r="AR531" s="1357">
        <f t="shared" si="152"/>
        <v>0.27</v>
      </c>
      <c r="AS531" s="1358">
        <f t="shared" si="153"/>
        <v>4.4023562451055431E-2</v>
      </c>
      <c r="AT531" s="1358"/>
      <c r="AU531" s="1359"/>
      <c r="AV531" s="1360">
        <f t="shared" si="149"/>
        <v>0.03</v>
      </c>
      <c r="AW531" s="1360">
        <f t="shared" si="150"/>
        <v>5.3421012812446822E-3</v>
      </c>
      <c r="AX531" s="1361"/>
      <c r="AY531" s="435"/>
      <c r="AZ531" s="1724">
        <f t="shared" si="151"/>
        <v>10.3</v>
      </c>
      <c r="BA531" s="138"/>
      <c r="BB531" s="76"/>
      <c r="BC531" s="75"/>
      <c r="BF531" s="3746" cm="1">
        <f t="array" ref="BF531">IFERROR(+VLOOKUP(C531,+[6]NAV_ALL_20240408111714!$A$2:$E$1216,5,0),+AO531)</f>
        <v>10.15</v>
      </c>
      <c r="BG531" s="3747">
        <f t="shared" si="148"/>
        <v>0</v>
      </c>
    </row>
    <row r="532" spans="1:234" ht="13.5" customHeight="1" x14ac:dyDescent="0.25">
      <c r="A532" s="1270" t="s">
        <v>9617</v>
      </c>
      <c r="B532" s="1271" t="s">
        <v>9610</v>
      </c>
      <c r="C532" s="1272" t="s">
        <v>9618</v>
      </c>
      <c r="D532" s="1273" t="s">
        <v>189</v>
      </c>
      <c r="E532" s="1272" t="s">
        <v>3228</v>
      </c>
      <c r="F532" s="1274">
        <v>43532</v>
      </c>
      <c r="G532" s="3757">
        <v>43467</v>
      </c>
      <c r="H532" s="1274">
        <v>43524</v>
      </c>
      <c r="I532" s="1276">
        <v>43921</v>
      </c>
      <c r="J532" s="1277">
        <v>10</v>
      </c>
      <c r="K532" s="1278" t="s">
        <v>3229</v>
      </c>
      <c r="L532" s="1279">
        <v>7.4999999999999997E-2</v>
      </c>
      <c r="M532" s="1280">
        <v>-0.8</v>
      </c>
      <c r="N532" s="1281">
        <v>0.7</v>
      </c>
      <c r="O532" s="1282">
        <v>0.8</v>
      </c>
      <c r="P532" s="1283" t="s">
        <v>3229</v>
      </c>
      <c r="Q532" s="1283" t="s">
        <v>3229</v>
      </c>
      <c r="R532" s="1284">
        <v>0.2</v>
      </c>
      <c r="S532" s="1285">
        <v>1</v>
      </c>
      <c r="T532" s="1286" t="s">
        <v>3229</v>
      </c>
      <c r="U532" s="1286" t="s">
        <v>3229</v>
      </c>
      <c r="V532" s="1286" t="s">
        <v>3229</v>
      </c>
      <c r="W532" s="1286" t="s">
        <v>3229</v>
      </c>
      <c r="X532" s="1286" t="s">
        <v>3229</v>
      </c>
      <c r="Y532" s="1286" t="s">
        <v>3229</v>
      </c>
      <c r="Z532" s="1286" t="s">
        <v>3229</v>
      </c>
      <c r="AA532" s="1286" t="s">
        <v>3229</v>
      </c>
      <c r="AB532" s="1286" t="s">
        <v>3229</v>
      </c>
      <c r="AC532" s="1286" t="s">
        <v>3229</v>
      </c>
      <c r="AD532" s="1286" t="s">
        <v>3229</v>
      </c>
      <c r="AE532" s="1286" t="s">
        <v>3229</v>
      </c>
      <c r="AF532" s="3764" t="s">
        <v>781</v>
      </c>
      <c r="AG532" s="3765"/>
      <c r="AH532" s="1287" t="s">
        <v>3229</v>
      </c>
      <c r="AI532" s="1288" t="s">
        <v>3229</v>
      </c>
      <c r="AJ532" s="1288" t="s">
        <v>3229</v>
      </c>
      <c r="AK532" s="1288" t="s">
        <v>3229</v>
      </c>
      <c r="AL532" s="1288" t="s">
        <v>3229</v>
      </c>
      <c r="AM532" s="1288">
        <v>1</v>
      </c>
      <c r="AN532" s="1289">
        <f>+'klikací hodnoty'!F17419</f>
        <v>7.4999999999999997E-2</v>
      </c>
      <c r="AO532" s="1290">
        <v>10.199999999999999</v>
      </c>
      <c r="AP532" s="1371">
        <f>+'klikací hodnoty'!G17416</f>
        <v>-7.8404385627717232E-4</v>
      </c>
      <c r="AQ532" s="1281">
        <f>+'klikací hodnoty'!G17418</f>
        <v>-7.8404385627717232E-4</v>
      </c>
      <c r="AR532" s="1291">
        <f t="shared" si="152"/>
        <v>0.8</v>
      </c>
      <c r="AS532" s="1292">
        <f t="shared" si="153"/>
        <v>0.73589337080308193</v>
      </c>
      <c r="AT532" s="1292"/>
      <c r="AU532" s="1293"/>
      <c r="AV532" s="1294">
        <f t="shared" si="149"/>
        <v>-0.8</v>
      </c>
      <c r="AW532" s="1295">
        <f t="shared" si="150"/>
        <v>-0.77912116192756109</v>
      </c>
      <c r="AX532" s="1296"/>
      <c r="AY532" s="1297"/>
      <c r="AZ532" s="1298">
        <f t="shared" si="151"/>
        <v>1.9999999999999996</v>
      </c>
      <c r="BA532" s="1959"/>
      <c r="BB532" s="1285"/>
      <c r="BC532" s="1300"/>
      <c r="BE532" s="3745"/>
      <c r="BF532" s="3746" cm="1">
        <f t="array" ref="BF532">IFERROR(+VLOOKUP(C532,+[6]NAV_ALL_20240408111714!$A$2:$E$1216,5,0),+AO532)</f>
        <v>10.199999999999999</v>
      </c>
      <c r="BG532" s="3747">
        <f t="shared" si="148"/>
        <v>0</v>
      </c>
      <c r="BH532" s="3763"/>
      <c r="BI532" s="3763"/>
      <c r="BJ532" s="1639"/>
      <c r="BK532" s="1639"/>
      <c r="BL532" s="1639"/>
      <c r="BM532" s="1639"/>
      <c r="BN532" s="1639"/>
      <c r="BO532" s="1639"/>
      <c r="BP532" s="1639"/>
      <c r="BQ532" s="1639"/>
      <c r="BR532" s="1639"/>
      <c r="BS532" s="509"/>
      <c r="BT532" s="509"/>
      <c r="BU532" s="509"/>
      <c r="BV532" s="509"/>
      <c r="BW532" s="509"/>
      <c r="BX532" s="509"/>
      <c r="BY532" s="509"/>
      <c r="BZ532" s="509"/>
      <c r="CA532" s="509"/>
      <c r="CB532" s="509"/>
      <c r="CC532" s="509"/>
      <c r="CD532" s="509"/>
      <c r="CE532" s="509"/>
      <c r="CF532" s="509"/>
      <c r="CG532" s="509"/>
      <c r="CH532" s="509"/>
      <c r="CI532" s="509"/>
      <c r="CJ532" s="509"/>
      <c r="CK532" s="509"/>
      <c r="CL532" s="509"/>
      <c r="CM532" s="509"/>
      <c r="CN532" s="509"/>
      <c r="CO532" s="509"/>
      <c r="CP532" s="509"/>
      <c r="CQ532" s="509"/>
      <c r="CR532" s="509"/>
      <c r="CS532" s="509"/>
      <c r="CT532" s="509"/>
      <c r="CU532" s="509"/>
      <c r="CV532" s="509"/>
      <c r="CW532" s="509"/>
      <c r="CX532" s="509"/>
      <c r="CY532" s="509"/>
      <c r="CZ532" s="509"/>
      <c r="DA532" s="509"/>
      <c r="DB532" s="509"/>
      <c r="DC532" s="509"/>
      <c r="DD532" s="509"/>
      <c r="DE532" s="509"/>
      <c r="DF532" s="509"/>
      <c r="DG532" s="509"/>
      <c r="DH532" s="509"/>
      <c r="DI532" s="509"/>
      <c r="DJ532" s="509"/>
      <c r="DK532" s="509"/>
      <c r="DL532" s="509"/>
      <c r="DM532" s="509"/>
      <c r="DN532" s="509"/>
      <c r="DO532" s="509"/>
      <c r="DP532" s="509"/>
      <c r="DQ532" s="509"/>
      <c r="DR532" s="509"/>
      <c r="DS532" s="509"/>
      <c r="DT532" s="509"/>
      <c r="DU532" s="509"/>
      <c r="DV532" s="509"/>
      <c r="DW532" s="509"/>
      <c r="DX532" s="509"/>
      <c r="DY532" s="509"/>
      <c r="DZ532" s="509"/>
      <c r="EA532" s="509"/>
      <c r="EB532" s="509"/>
      <c r="EC532" s="509"/>
      <c r="ED532" s="509"/>
      <c r="EE532" s="509"/>
      <c r="EF532" s="509"/>
      <c r="EG532" s="509"/>
      <c r="EH532" s="509"/>
      <c r="EI532" s="509"/>
      <c r="EJ532" s="509"/>
      <c r="EK532" s="509"/>
      <c r="EL532" s="509"/>
      <c r="EM532" s="509"/>
      <c r="EN532" s="509"/>
      <c r="EO532" s="509"/>
      <c r="EP532" s="509"/>
      <c r="EQ532" s="509"/>
      <c r="ER532" s="509"/>
      <c r="ES532" s="509"/>
      <c r="ET532" s="509"/>
      <c r="EU532" s="509"/>
      <c r="EV532" s="509"/>
      <c r="EW532" s="509"/>
      <c r="EX532" s="509"/>
      <c r="EY532" s="509"/>
      <c r="EZ532" s="509"/>
      <c r="FA532" s="509"/>
      <c r="FB532" s="509"/>
      <c r="FC532" s="509"/>
      <c r="FD532" s="509"/>
      <c r="FE532" s="509"/>
      <c r="FF532" s="509"/>
      <c r="FG532" s="509"/>
      <c r="FH532" s="509"/>
      <c r="FI532" s="509"/>
      <c r="FJ532" s="509"/>
      <c r="FK532" s="509"/>
      <c r="FL532" s="509"/>
      <c r="FM532" s="509"/>
      <c r="FN532" s="509"/>
      <c r="FO532" s="509"/>
      <c r="FP532" s="509"/>
      <c r="FQ532" s="509"/>
      <c r="FR532" s="509"/>
      <c r="FS532" s="509"/>
      <c r="FT532" s="509"/>
      <c r="FU532" s="509"/>
      <c r="FV532" s="509"/>
      <c r="FW532" s="509"/>
      <c r="FX532" s="509"/>
      <c r="FY532" s="509"/>
      <c r="FZ532" s="509"/>
      <c r="GA532" s="509"/>
      <c r="GB532" s="509"/>
      <c r="GC532" s="509"/>
      <c r="GD532" s="509"/>
      <c r="GE532" s="509"/>
      <c r="GF532" s="509"/>
      <c r="GG532" s="509"/>
      <c r="GH532" s="509"/>
      <c r="GI532" s="509"/>
      <c r="GJ532" s="509"/>
      <c r="GK532" s="509"/>
      <c r="GL532" s="509"/>
      <c r="GM532" s="509"/>
      <c r="GN532" s="509"/>
      <c r="GO532" s="509"/>
      <c r="GP532" s="509"/>
      <c r="GQ532" s="509"/>
      <c r="GR532" s="509"/>
      <c r="GS532" s="509"/>
      <c r="GT532" s="509"/>
      <c r="GU532" s="509"/>
      <c r="GV532" s="509"/>
      <c r="GW532" s="509"/>
      <c r="GX532" s="509"/>
      <c r="GY532" s="509"/>
      <c r="GZ532" s="509"/>
      <c r="HA532" s="509"/>
      <c r="HB532" s="509"/>
      <c r="HC532" s="509"/>
      <c r="HD532" s="509"/>
      <c r="HE532" s="509"/>
      <c r="HF532" s="509"/>
      <c r="HG532" s="509"/>
      <c r="HH532" s="509"/>
      <c r="HI532" s="509"/>
      <c r="HJ532" s="509"/>
      <c r="HK532" s="509"/>
      <c r="HL532" s="509"/>
      <c r="HM532" s="509"/>
      <c r="HN532" s="509"/>
      <c r="HO532" s="509"/>
      <c r="HP532" s="509"/>
      <c r="HQ532" s="509"/>
      <c r="HR532" s="509"/>
      <c r="HS532" s="509"/>
      <c r="HT532" s="509"/>
      <c r="HU532" s="509"/>
      <c r="HV532" s="509"/>
      <c r="HW532" s="509"/>
      <c r="HX532" s="509"/>
      <c r="HY532" s="509"/>
      <c r="HZ532" s="509"/>
    </row>
    <row r="533" spans="1:234" x14ac:dyDescent="0.25">
      <c r="A533" t="s">
        <v>9775</v>
      </c>
      <c r="B533" s="1640" t="s">
        <v>9770</v>
      </c>
      <c r="C533" s="52" t="s">
        <v>9776</v>
      </c>
      <c r="D533" s="574" t="s">
        <v>189</v>
      </c>
      <c r="E533" s="52" t="s">
        <v>3228</v>
      </c>
      <c r="F533" s="53">
        <v>43563</v>
      </c>
      <c r="G533" s="53">
        <v>43497</v>
      </c>
      <c r="H533" s="614">
        <v>43553</v>
      </c>
      <c r="I533" s="249">
        <v>45687</v>
      </c>
      <c r="J533" s="103">
        <v>10</v>
      </c>
      <c r="K533" s="46" t="s">
        <v>3229</v>
      </c>
      <c r="L533" s="50" t="s">
        <v>3229</v>
      </c>
      <c r="M533" s="48">
        <v>0</v>
      </c>
      <c r="N533" s="615">
        <v>0.6</v>
      </c>
      <c r="O533" s="241">
        <v>0.8</v>
      </c>
      <c r="P533" s="153" t="s">
        <v>3229</v>
      </c>
      <c r="Q533" s="89" t="s">
        <v>3229</v>
      </c>
      <c r="R533" s="618" t="s">
        <v>3229</v>
      </c>
      <c r="S533" s="1683">
        <v>1</v>
      </c>
      <c r="T533" s="437" t="s">
        <v>3229</v>
      </c>
      <c r="U533" s="196" t="s">
        <v>3229</v>
      </c>
      <c r="V533" s="196" t="s">
        <v>3229</v>
      </c>
      <c r="W533" s="196" t="s">
        <v>3229</v>
      </c>
      <c r="X533" s="196" t="s">
        <v>3229</v>
      </c>
      <c r="Y533" s="196" t="s">
        <v>3229</v>
      </c>
      <c r="Z533" s="196" t="s">
        <v>3229</v>
      </c>
      <c r="AA533" s="196" t="s">
        <v>3229</v>
      </c>
      <c r="AB533" s="196" t="s">
        <v>3229</v>
      </c>
      <c r="AC533" s="196" t="s">
        <v>3229</v>
      </c>
      <c r="AD533" s="196" t="s">
        <v>3229</v>
      </c>
      <c r="AE533" s="1631" t="s">
        <v>3229</v>
      </c>
      <c r="AF533" s="1682">
        <v>1</v>
      </c>
      <c r="AG533" s="55">
        <f>(I533-indexy!$B$1)/365</f>
        <v>0.84383561643835614</v>
      </c>
      <c r="AH533" s="259" t="s">
        <v>3229</v>
      </c>
      <c r="AI533" s="259" t="s">
        <v>3229</v>
      </c>
      <c r="AJ533" s="259" t="s">
        <v>3229</v>
      </c>
      <c r="AK533" s="259" t="s">
        <v>3229</v>
      </c>
      <c r="AL533" s="259" t="s">
        <v>3229</v>
      </c>
      <c r="AM533" s="126">
        <v>1</v>
      </c>
      <c r="AN533" s="685">
        <f>+'klikací hodnoty'!F17472</f>
        <v>0.10186666666666665</v>
      </c>
      <c r="AO533" s="317">
        <v>10.84</v>
      </c>
      <c r="AP533" s="1616">
        <f>+'klikací hodnoty'!F17471</f>
        <v>0.16977777777777775</v>
      </c>
      <c r="AQ533" s="1685">
        <f>+'klikací hodnoty'!F17452</f>
        <v>0.20064363049836903</v>
      </c>
      <c r="AR533" s="1357">
        <f t="shared" si="152"/>
        <v>0.8</v>
      </c>
      <c r="AS533" s="1358">
        <f t="shared" si="153"/>
        <v>0.10628608614017554</v>
      </c>
      <c r="AT533" s="1358"/>
      <c r="AU533" s="1359"/>
      <c r="AV533" s="1360">
        <f t="shared" si="149"/>
        <v>0</v>
      </c>
      <c r="AW533" s="1360">
        <f t="shared" si="150"/>
        <v>0</v>
      </c>
      <c r="AX533" s="1361"/>
      <c r="AY533" s="435"/>
      <c r="AZ533" s="1724">
        <f t="shared" si="151"/>
        <v>10</v>
      </c>
      <c r="BA533" s="138"/>
      <c r="BB533" s="76"/>
      <c r="BC533" s="75"/>
      <c r="BF533" s="3746" cm="1">
        <f t="array" ref="BF533">IFERROR(+VLOOKUP(C533,+[6]NAV_ALL_20240408111714!$A$2:$E$1216,5,0),+AO533)</f>
        <v>10.84</v>
      </c>
      <c r="BG533" s="3747">
        <f t="shared" si="148"/>
        <v>0</v>
      </c>
    </row>
    <row r="534" spans="1:234" x14ac:dyDescent="0.25">
      <c r="A534" t="s">
        <v>9777</v>
      </c>
      <c r="B534" s="1640" t="s">
        <v>9771</v>
      </c>
      <c r="C534" s="52" t="s">
        <v>9778</v>
      </c>
      <c r="D534" s="574" t="s">
        <v>189</v>
      </c>
      <c r="E534" s="52" t="s">
        <v>1743</v>
      </c>
      <c r="F534" s="53">
        <v>43563</v>
      </c>
      <c r="G534" s="53">
        <v>43497</v>
      </c>
      <c r="H534" s="614">
        <v>43553</v>
      </c>
      <c r="I534" s="249">
        <v>45565</v>
      </c>
      <c r="J534" s="103">
        <v>10</v>
      </c>
      <c r="K534" s="46">
        <v>0</v>
      </c>
      <c r="L534" s="50">
        <v>0.1</v>
      </c>
      <c r="M534" s="48">
        <v>7.0000000000000007E-2</v>
      </c>
      <c r="N534" s="615" t="s">
        <v>3229</v>
      </c>
      <c r="O534" s="241">
        <v>0.47</v>
      </c>
      <c r="P534" s="153" t="s">
        <v>3229</v>
      </c>
      <c r="Q534" s="89">
        <v>7.0000000000000007E-2</v>
      </c>
      <c r="R534" s="618" t="s">
        <v>3229</v>
      </c>
      <c r="S534" s="1683">
        <v>5</v>
      </c>
      <c r="T534" s="437" t="s">
        <v>3229</v>
      </c>
      <c r="U534" s="196" t="s">
        <v>3229</v>
      </c>
      <c r="V534" s="196" t="s">
        <v>3229</v>
      </c>
      <c r="W534" s="196" t="s">
        <v>3229</v>
      </c>
      <c r="X534" s="196" t="s">
        <v>3229</v>
      </c>
      <c r="Y534" s="196" t="s">
        <v>3229</v>
      </c>
      <c r="Z534" s="196" t="s">
        <v>3229</v>
      </c>
      <c r="AA534" s="196" t="s">
        <v>3229</v>
      </c>
      <c r="AB534" s="196" t="s">
        <v>3229</v>
      </c>
      <c r="AC534" s="196" t="s">
        <v>3229</v>
      </c>
      <c r="AD534" s="196" t="s">
        <v>3229</v>
      </c>
      <c r="AE534" s="1631" t="s">
        <v>3229</v>
      </c>
      <c r="AF534" s="1682">
        <v>5</v>
      </c>
      <c r="AG534" s="55">
        <f>(I534-indexy!$B$1)/365</f>
        <v>0.50958904109589043</v>
      </c>
      <c r="AH534" s="259" t="s">
        <v>3229</v>
      </c>
      <c r="AI534" s="259" t="s">
        <v>3229</v>
      </c>
      <c r="AJ534" s="259" t="s">
        <v>3229</v>
      </c>
      <c r="AK534" s="259" t="s">
        <v>3229</v>
      </c>
      <c r="AL534" s="259" t="s">
        <v>3229</v>
      </c>
      <c r="AM534" s="126">
        <v>1</v>
      </c>
      <c r="AN534" s="685">
        <f>+'klikací hodnoty'!F17515</f>
        <v>7.0000000000000007E-2</v>
      </c>
      <c r="AO534" s="317">
        <v>10.34</v>
      </c>
      <c r="AP534" s="1616">
        <f>+'klikací hodnoty'!F17507</f>
        <v>-0.14707258554187708</v>
      </c>
      <c r="AQ534" s="1685">
        <f>+'klikací hodnoty'!F17507</f>
        <v>-0.14707258554187708</v>
      </c>
      <c r="AR534" s="1357">
        <f t="shared" si="152"/>
        <v>0.47</v>
      </c>
      <c r="AS534" s="1358">
        <f t="shared" si="153"/>
        <v>7.2765772873773837E-2</v>
      </c>
      <c r="AT534" s="1358"/>
      <c r="AU534" s="1359"/>
      <c r="AV534" s="1360">
        <f t="shared" ref="AV534:AV539" si="154">M534</f>
        <v>7.0000000000000007E-2</v>
      </c>
      <c r="AW534" s="1360">
        <f t="shared" ref="AW534:AW539" si="155">POWER(1+AV534,1/((I534-F534)/365))-1</f>
        <v>1.2411762424782147E-2</v>
      </c>
      <c r="AX534" s="1361"/>
      <c r="AY534" s="435"/>
      <c r="AZ534" s="1724">
        <f t="shared" ref="AZ534:AZ550" si="156">J534*(1+AV534)</f>
        <v>10.700000000000001</v>
      </c>
      <c r="BA534" s="138"/>
      <c r="BB534" s="76"/>
      <c r="BC534" s="75"/>
      <c r="BF534" s="3746" cm="1">
        <f t="array" ref="BF534">IFERROR(+VLOOKUP(C534,+[6]NAV_ALL_20240408111714!$A$2:$E$1216,5,0),+AO534)</f>
        <v>10.34</v>
      </c>
      <c r="BG534" s="3747">
        <f t="shared" si="148"/>
        <v>0</v>
      </c>
    </row>
    <row r="535" spans="1:234" x14ac:dyDescent="0.25">
      <c r="A535" t="s">
        <v>9779</v>
      </c>
      <c r="B535" s="1640" t="s">
        <v>9772</v>
      </c>
      <c r="C535" s="52" t="s">
        <v>9780</v>
      </c>
      <c r="D535" s="574" t="s">
        <v>189</v>
      </c>
      <c r="E535" s="52" t="s">
        <v>3228</v>
      </c>
      <c r="F535" s="53">
        <v>43595</v>
      </c>
      <c r="G535" s="53">
        <v>43525</v>
      </c>
      <c r="H535" s="614">
        <v>43585</v>
      </c>
      <c r="I535" s="249">
        <v>45716</v>
      </c>
      <c r="J535" s="103">
        <v>10</v>
      </c>
      <c r="K535" s="46" t="s">
        <v>3229</v>
      </c>
      <c r="L535" s="50" t="s">
        <v>3229</v>
      </c>
      <c r="M535" s="48">
        <v>0</v>
      </c>
      <c r="N535" s="615">
        <v>0.5</v>
      </c>
      <c r="O535" s="241">
        <v>0.7</v>
      </c>
      <c r="P535" s="153" t="s">
        <v>3229</v>
      </c>
      <c r="Q535" s="89" t="s">
        <v>3229</v>
      </c>
      <c r="R535" s="618" t="s">
        <v>3229</v>
      </c>
      <c r="S535" s="1683">
        <v>1</v>
      </c>
      <c r="T535" s="437" t="s">
        <v>3229</v>
      </c>
      <c r="U535" s="196" t="s">
        <v>3229</v>
      </c>
      <c r="V535" s="196" t="s">
        <v>3229</v>
      </c>
      <c r="W535" s="196" t="s">
        <v>3229</v>
      </c>
      <c r="X535" s="196" t="s">
        <v>3229</v>
      </c>
      <c r="Y535" s="196" t="s">
        <v>3229</v>
      </c>
      <c r="Z535" s="196" t="s">
        <v>3229</v>
      </c>
      <c r="AA535" s="196" t="s">
        <v>3229</v>
      </c>
      <c r="AB535" s="196" t="s">
        <v>3229</v>
      </c>
      <c r="AC535" s="196" t="s">
        <v>3229</v>
      </c>
      <c r="AD535" s="196" t="s">
        <v>3229</v>
      </c>
      <c r="AE535" s="1631" t="s">
        <v>3229</v>
      </c>
      <c r="AF535" s="1682">
        <v>5</v>
      </c>
      <c r="AG535" s="55">
        <f>(I535-indexy!$B$1)/365</f>
        <v>0.92328767123287669</v>
      </c>
      <c r="AH535" s="259" t="s">
        <v>3229</v>
      </c>
      <c r="AI535" s="259" t="s">
        <v>3229</v>
      </c>
      <c r="AJ535" s="259" t="s">
        <v>3229</v>
      </c>
      <c r="AK535" s="259" t="s">
        <v>3229</v>
      </c>
      <c r="AL535" s="259" t="s">
        <v>3229</v>
      </c>
      <c r="AM535" s="126">
        <v>1</v>
      </c>
      <c r="AN535" s="685">
        <f>+'klikací hodnoty'!F17571</f>
        <v>0.18751083805946459</v>
      </c>
      <c r="AO535" s="317">
        <v>11.01</v>
      </c>
      <c r="AP535" s="1616">
        <f>+'klikací hodnoty'!F17570</f>
        <v>0.37502167611892917</v>
      </c>
      <c r="AQ535" s="1685">
        <f>+'klikací hodnoty'!F17551</f>
        <v>0.37502167611892923</v>
      </c>
      <c r="AR535" s="1357">
        <f t="shared" si="152"/>
        <v>0.7</v>
      </c>
      <c r="AS535" s="1358">
        <f t="shared" si="153"/>
        <v>9.5614170914134045E-2</v>
      </c>
      <c r="AT535" s="1358"/>
      <c r="AU535" s="1359"/>
      <c r="AV535" s="1360">
        <f t="shared" si="154"/>
        <v>0</v>
      </c>
      <c r="AW535" s="1360">
        <f t="shared" si="155"/>
        <v>0</v>
      </c>
      <c r="AX535" s="1361"/>
      <c r="AY535" s="435"/>
      <c r="AZ535" s="1724">
        <f t="shared" si="156"/>
        <v>10</v>
      </c>
      <c r="BA535" s="138"/>
      <c r="BB535" s="76"/>
      <c r="BC535" s="75"/>
      <c r="BF535" s="3746" cm="1">
        <f t="array" ref="BF535">IFERROR(+VLOOKUP(C535,+[6]NAV_ALL_20240408111714!$A$2:$E$1216,5,0),+AO535)</f>
        <v>11.01</v>
      </c>
      <c r="BG535" s="3747">
        <f t="shared" si="148"/>
        <v>0</v>
      </c>
    </row>
    <row r="536" spans="1:234" ht="13.5" customHeight="1" x14ac:dyDescent="0.25">
      <c r="A536" s="1270" t="s">
        <v>9782</v>
      </c>
      <c r="B536" s="1271" t="s">
        <v>9781</v>
      </c>
      <c r="C536" s="1272" t="s">
        <v>9783</v>
      </c>
      <c r="D536" s="1273" t="s">
        <v>189</v>
      </c>
      <c r="E536" s="1272" t="s">
        <v>3228</v>
      </c>
      <c r="F536" s="1274">
        <v>43627</v>
      </c>
      <c r="G536" s="3757">
        <v>43556</v>
      </c>
      <c r="H536" s="1274">
        <v>43616</v>
      </c>
      <c r="I536" s="1276">
        <v>44742</v>
      </c>
      <c r="J536" s="1277">
        <v>10</v>
      </c>
      <c r="K536" s="1278" t="s">
        <v>3229</v>
      </c>
      <c r="L536" s="1279">
        <v>0.06</v>
      </c>
      <c r="M536" s="1280">
        <v>-1</v>
      </c>
      <c r="N536" s="1281" t="s">
        <v>3229</v>
      </c>
      <c r="O536" s="1282">
        <v>0.36</v>
      </c>
      <c r="P536" s="1283">
        <v>0.4</v>
      </c>
      <c r="Q536" s="1283">
        <v>1</v>
      </c>
      <c r="R536" s="1284" t="s">
        <v>3229</v>
      </c>
      <c r="S536" s="1285">
        <v>4</v>
      </c>
      <c r="T536" s="1286" t="s">
        <v>3229</v>
      </c>
      <c r="U536" s="1286" t="s">
        <v>3229</v>
      </c>
      <c r="V536" s="1286" t="s">
        <v>3229</v>
      </c>
      <c r="W536" s="1286" t="s">
        <v>3229</v>
      </c>
      <c r="X536" s="1286" t="s">
        <v>3229</v>
      </c>
      <c r="Y536" s="1286" t="s">
        <v>3229</v>
      </c>
      <c r="Z536" s="1286" t="s">
        <v>3229</v>
      </c>
      <c r="AA536" s="1286" t="s">
        <v>3229</v>
      </c>
      <c r="AB536" s="1286" t="s">
        <v>3229</v>
      </c>
      <c r="AC536" s="1286" t="s">
        <v>3229</v>
      </c>
      <c r="AD536" s="1286" t="s">
        <v>3229</v>
      </c>
      <c r="AE536" s="1286" t="s">
        <v>3229</v>
      </c>
      <c r="AF536" s="3764" t="s">
        <v>781</v>
      </c>
      <c r="AG536" s="3765">
        <f>(I536-indexy!$B$1)/365</f>
        <v>-1.7452054794520548</v>
      </c>
      <c r="AH536" s="1287">
        <v>1</v>
      </c>
      <c r="AI536" s="1288" t="s">
        <v>3229</v>
      </c>
      <c r="AJ536" s="1288" t="s">
        <v>3229</v>
      </c>
      <c r="AK536" s="1288" t="s">
        <v>3229</v>
      </c>
      <c r="AL536" s="1288" t="s">
        <v>3229</v>
      </c>
      <c r="AM536" s="1288" t="s">
        <v>3229</v>
      </c>
      <c r="AN536" s="1289">
        <f>+'klikací hodnoty'!F17580</f>
        <v>0.18</v>
      </c>
      <c r="AO536" s="1290">
        <v>10.199999999999999</v>
      </c>
      <c r="AP536" s="1371">
        <f>+'klikací hodnoty'!H17578</f>
        <v>0.10888790170447038</v>
      </c>
      <c r="AQ536" s="1281">
        <f>+'klikací hodnoty'!H17578</f>
        <v>0.10888790170447038</v>
      </c>
      <c r="AR536" s="1291">
        <v>0.18</v>
      </c>
      <c r="AS536" s="1292">
        <f t="shared" si="153"/>
        <v>5.5676566389394111E-2</v>
      </c>
      <c r="AT536" s="1292"/>
      <c r="AU536" s="1293"/>
      <c r="AV536" s="1294">
        <f t="shared" si="154"/>
        <v>-1</v>
      </c>
      <c r="AW536" s="1295">
        <f t="shared" si="155"/>
        <v>-1</v>
      </c>
      <c r="AX536" s="1296"/>
      <c r="AY536" s="1297"/>
      <c r="AZ536" s="1298">
        <f t="shared" si="156"/>
        <v>0</v>
      </c>
      <c r="BA536" s="1959"/>
      <c r="BB536" s="1285"/>
      <c r="BC536" s="1300"/>
      <c r="BE536" s="3745"/>
      <c r="BF536" s="3746" cm="1">
        <f t="array" ref="BF536">IFERROR(+VLOOKUP(C536,+[6]NAV_ALL_20240408111714!$A$2:$E$1216,5,0),+AO536)</f>
        <v>10.199999999999999</v>
      </c>
      <c r="BG536" s="3747">
        <f t="shared" si="148"/>
        <v>0</v>
      </c>
      <c r="BH536" s="3763"/>
      <c r="BI536" s="3763"/>
      <c r="BJ536" s="1639"/>
      <c r="BK536" s="1639"/>
      <c r="BL536" s="1639"/>
      <c r="BM536" s="1639"/>
      <c r="BN536" s="1639"/>
      <c r="BO536" s="1639"/>
      <c r="BP536" s="1639"/>
      <c r="BQ536" s="1639"/>
      <c r="BR536" s="1639"/>
      <c r="BS536" s="509"/>
      <c r="BT536" s="509"/>
      <c r="BU536" s="509"/>
      <c r="BV536" s="509"/>
      <c r="BW536" s="509"/>
      <c r="BX536" s="509"/>
      <c r="BY536" s="509"/>
      <c r="BZ536" s="509"/>
      <c r="CA536" s="509"/>
      <c r="CB536" s="509"/>
      <c r="CC536" s="509"/>
      <c r="CD536" s="509"/>
      <c r="CE536" s="509"/>
      <c r="CF536" s="509"/>
      <c r="CG536" s="509"/>
      <c r="CH536" s="509"/>
      <c r="CI536" s="509"/>
      <c r="CJ536" s="509"/>
      <c r="CK536" s="509"/>
      <c r="CL536" s="509"/>
      <c r="CM536" s="509"/>
      <c r="CN536" s="509"/>
      <c r="CO536" s="509"/>
      <c r="CP536" s="509"/>
      <c r="CQ536" s="509"/>
      <c r="CR536" s="509"/>
      <c r="CS536" s="509"/>
      <c r="CT536" s="509"/>
      <c r="CU536" s="509"/>
      <c r="CV536" s="509"/>
      <c r="CW536" s="509"/>
      <c r="CX536" s="509"/>
      <c r="CY536" s="509"/>
      <c r="CZ536" s="509"/>
      <c r="DA536" s="509"/>
      <c r="DB536" s="509"/>
      <c r="DC536" s="509"/>
      <c r="DD536" s="509"/>
      <c r="DE536" s="509"/>
      <c r="DF536" s="509"/>
      <c r="DG536" s="509"/>
      <c r="DH536" s="509"/>
      <c r="DI536" s="509"/>
      <c r="DJ536" s="509"/>
      <c r="DK536" s="509"/>
      <c r="DL536" s="509"/>
      <c r="DM536" s="509"/>
      <c r="DN536" s="509"/>
      <c r="DO536" s="509"/>
      <c r="DP536" s="509"/>
      <c r="DQ536" s="509"/>
      <c r="DR536" s="509"/>
      <c r="DS536" s="509"/>
      <c r="DT536" s="509"/>
      <c r="DU536" s="509"/>
      <c r="DV536" s="509"/>
      <c r="DW536" s="509"/>
      <c r="DX536" s="509"/>
      <c r="DY536" s="509"/>
      <c r="DZ536" s="509"/>
      <c r="EA536" s="509"/>
      <c r="EB536" s="509"/>
      <c r="EC536" s="509"/>
      <c r="ED536" s="509"/>
      <c r="EE536" s="509"/>
      <c r="EF536" s="509"/>
      <c r="EG536" s="509"/>
      <c r="EH536" s="509"/>
      <c r="EI536" s="509"/>
      <c r="EJ536" s="509"/>
      <c r="EK536" s="509"/>
      <c r="EL536" s="509"/>
      <c r="EM536" s="509"/>
      <c r="EN536" s="509"/>
      <c r="EO536" s="509"/>
      <c r="EP536" s="509"/>
      <c r="EQ536" s="509"/>
      <c r="ER536" s="509"/>
      <c r="ES536" s="509"/>
      <c r="ET536" s="509"/>
      <c r="EU536" s="509"/>
      <c r="EV536" s="509"/>
      <c r="EW536" s="509"/>
      <c r="EX536" s="509"/>
      <c r="EY536" s="509"/>
      <c r="EZ536" s="509"/>
      <c r="FA536" s="509"/>
      <c r="FB536" s="509"/>
      <c r="FC536" s="509"/>
      <c r="FD536" s="509"/>
      <c r="FE536" s="509"/>
      <c r="FF536" s="509"/>
      <c r="FG536" s="509"/>
      <c r="FH536" s="509"/>
      <c r="FI536" s="509"/>
      <c r="FJ536" s="509"/>
      <c r="FK536" s="509"/>
      <c r="FL536" s="509"/>
      <c r="FM536" s="509"/>
      <c r="FN536" s="509"/>
      <c r="FO536" s="509"/>
      <c r="FP536" s="509"/>
      <c r="FQ536" s="509"/>
      <c r="FR536" s="509"/>
      <c r="FS536" s="509"/>
      <c r="FT536" s="509"/>
      <c r="FU536" s="509"/>
      <c r="FV536" s="509"/>
      <c r="FW536" s="509"/>
      <c r="FX536" s="509"/>
      <c r="FY536" s="509"/>
      <c r="FZ536" s="509"/>
      <c r="GA536" s="509"/>
      <c r="GB536" s="509"/>
      <c r="GC536" s="509"/>
      <c r="GD536" s="509"/>
      <c r="GE536" s="509"/>
      <c r="GF536" s="509"/>
      <c r="GG536" s="509"/>
      <c r="GH536" s="509"/>
      <c r="GI536" s="509"/>
      <c r="GJ536" s="509"/>
      <c r="GK536" s="509"/>
      <c r="GL536" s="509"/>
      <c r="GM536" s="509"/>
      <c r="GN536" s="509"/>
      <c r="GO536" s="509"/>
      <c r="GP536" s="509"/>
      <c r="GQ536" s="509"/>
      <c r="GR536" s="509"/>
      <c r="GS536" s="509"/>
      <c r="GT536" s="509"/>
      <c r="GU536" s="509"/>
      <c r="GV536" s="509"/>
      <c r="GW536" s="509"/>
      <c r="GX536" s="509"/>
      <c r="GY536" s="509"/>
      <c r="GZ536" s="509"/>
      <c r="HA536" s="509"/>
      <c r="HB536" s="509"/>
      <c r="HC536" s="509"/>
      <c r="HD536" s="509"/>
      <c r="HE536" s="509"/>
      <c r="HF536" s="509"/>
      <c r="HG536" s="509"/>
      <c r="HH536" s="509"/>
      <c r="HI536" s="509"/>
      <c r="HJ536" s="509"/>
      <c r="HK536" s="509"/>
      <c r="HL536" s="509"/>
      <c r="HM536" s="509"/>
      <c r="HN536" s="509"/>
      <c r="HO536" s="509"/>
      <c r="HP536" s="509"/>
      <c r="HQ536" s="509"/>
      <c r="HR536" s="509"/>
      <c r="HS536" s="509"/>
      <c r="HT536" s="509"/>
      <c r="HU536" s="509"/>
      <c r="HV536" s="509"/>
      <c r="HW536" s="509"/>
      <c r="HX536" s="509"/>
      <c r="HY536" s="509"/>
      <c r="HZ536" s="509"/>
    </row>
    <row r="537" spans="1:234" x14ac:dyDescent="0.25">
      <c r="A537" t="s">
        <v>9785</v>
      </c>
      <c r="B537" s="1640" t="s">
        <v>9773</v>
      </c>
      <c r="C537" s="52" t="s">
        <v>9784</v>
      </c>
      <c r="D537" s="574" t="s">
        <v>189</v>
      </c>
      <c r="E537" s="52" t="s">
        <v>905</v>
      </c>
      <c r="F537" s="53">
        <v>43627</v>
      </c>
      <c r="G537" s="53">
        <v>43556</v>
      </c>
      <c r="H537" s="614">
        <v>43616</v>
      </c>
      <c r="I537" s="249">
        <v>45806</v>
      </c>
      <c r="J537" s="103">
        <v>10</v>
      </c>
      <c r="K537" s="46" t="s">
        <v>3229</v>
      </c>
      <c r="L537" s="50">
        <v>0.08</v>
      </c>
      <c r="M537" s="48">
        <v>-0.85</v>
      </c>
      <c r="N537" s="615">
        <v>0.7</v>
      </c>
      <c r="O537" s="241">
        <v>0.6</v>
      </c>
      <c r="P537" s="153" t="s">
        <v>3229</v>
      </c>
      <c r="Q537" s="89">
        <v>0.08</v>
      </c>
      <c r="R537" s="1679">
        <v>0.15</v>
      </c>
      <c r="S537" s="1683">
        <v>2</v>
      </c>
      <c r="T537" s="437" t="s">
        <v>3229</v>
      </c>
      <c r="U537" s="196" t="s">
        <v>3229</v>
      </c>
      <c r="V537" s="196" t="s">
        <v>3229</v>
      </c>
      <c r="W537" s="196" t="s">
        <v>3229</v>
      </c>
      <c r="X537" s="196" t="s">
        <v>3229</v>
      </c>
      <c r="Y537" s="196" t="s">
        <v>3229</v>
      </c>
      <c r="Z537" s="196" t="s">
        <v>3229</v>
      </c>
      <c r="AA537" s="196" t="s">
        <v>3229</v>
      </c>
      <c r="AB537" s="196" t="s">
        <v>3229</v>
      </c>
      <c r="AC537" s="196" t="s">
        <v>3229</v>
      </c>
      <c r="AD537" s="196" t="s">
        <v>3229</v>
      </c>
      <c r="AE537" s="1631" t="s">
        <v>3229</v>
      </c>
      <c r="AF537" s="1682">
        <v>2</v>
      </c>
      <c r="AG537" s="55">
        <f>(I537-indexy!$B$1)/365</f>
        <v>1.1698630136986301</v>
      </c>
      <c r="AH537" s="3766" t="s">
        <v>9786</v>
      </c>
      <c r="AI537" s="3767"/>
      <c r="AJ537" s="3767"/>
      <c r="AK537" s="3767"/>
      <c r="AL537" s="3767"/>
      <c r="AM537" s="3768"/>
      <c r="AN537" s="685">
        <f>+'klikací hodnoty'!F17586</f>
        <v>-2.5381612810719961E-2</v>
      </c>
      <c r="AO537" s="317">
        <v>9.3000000000000007</v>
      </c>
      <c r="AP537" s="1616">
        <f>+'klikací hodnoty'!F17585</f>
        <v>-0.17538161281071996</v>
      </c>
      <c r="AQ537" s="1685">
        <f>+'klikací hodnoty'!F17585</f>
        <v>-0.17538161281071996</v>
      </c>
      <c r="AR537" s="1357">
        <f t="shared" si="152"/>
        <v>0.6</v>
      </c>
      <c r="AS537" s="1358">
        <f t="shared" si="153"/>
        <v>8.1911498368472113E-2</v>
      </c>
      <c r="AT537" s="1358"/>
      <c r="AU537" s="1359"/>
      <c r="AV537" s="1360">
        <f t="shared" si="154"/>
        <v>-0.85</v>
      </c>
      <c r="AW537" s="1360">
        <f t="shared" si="155"/>
        <v>-0.27223918357167309</v>
      </c>
      <c r="AX537" s="1361"/>
      <c r="AY537" s="435"/>
      <c r="AZ537" s="1724">
        <f t="shared" si="156"/>
        <v>1.5000000000000002</v>
      </c>
      <c r="BA537" s="138"/>
      <c r="BB537" s="76"/>
      <c r="BC537" s="75"/>
      <c r="BF537" s="3746" cm="1">
        <f t="array" ref="BF537">IFERROR(+VLOOKUP(C537,+[6]NAV_ALL_20240408111714!$A$2:$E$1216,5,0),+AO537)</f>
        <v>9.3000000000000007</v>
      </c>
      <c r="BG537" s="3747">
        <f t="shared" si="148"/>
        <v>0</v>
      </c>
    </row>
    <row r="538" spans="1:234" x14ac:dyDescent="0.25">
      <c r="A538" t="s">
        <v>9889</v>
      </c>
      <c r="B538" s="1640" t="s">
        <v>9774</v>
      </c>
      <c r="C538" s="52" t="s">
        <v>9890</v>
      </c>
      <c r="D538" s="574" t="s">
        <v>6934</v>
      </c>
      <c r="E538" s="52" t="s">
        <v>3228</v>
      </c>
      <c r="F538" s="53">
        <v>43630</v>
      </c>
      <c r="G538" s="53">
        <v>43556</v>
      </c>
      <c r="H538" s="614">
        <v>43616</v>
      </c>
      <c r="I538" s="249">
        <v>45806</v>
      </c>
      <c r="J538" s="103">
        <v>10</v>
      </c>
      <c r="K538" s="46" t="s">
        <v>3229</v>
      </c>
      <c r="L538" s="50" t="s">
        <v>3229</v>
      </c>
      <c r="M538" s="48">
        <v>0</v>
      </c>
      <c r="N538" s="615">
        <v>0.8</v>
      </c>
      <c r="O538" s="241">
        <v>0.3</v>
      </c>
      <c r="P538" s="153">
        <v>0.95</v>
      </c>
      <c r="Q538" s="89">
        <v>0.08</v>
      </c>
      <c r="R538" s="618" t="s">
        <v>3229</v>
      </c>
      <c r="S538" s="1683">
        <v>1</v>
      </c>
      <c r="T538" s="437" t="s">
        <v>3229</v>
      </c>
      <c r="U538" s="196" t="s">
        <v>3229</v>
      </c>
      <c r="V538" s="196" t="s">
        <v>3229</v>
      </c>
      <c r="W538" s="196" t="s">
        <v>3229</v>
      </c>
      <c r="X538" s="196" t="s">
        <v>3229</v>
      </c>
      <c r="Y538" s="196" t="s">
        <v>3229</v>
      </c>
      <c r="Z538" s="196" t="s">
        <v>3229</v>
      </c>
      <c r="AA538" s="196" t="s">
        <v>3229</v>
      </c>
      <c r="AB538" s="196" t="s">
        <v>3229</v>
      </c>
      <c r="AC538" s="196" t="s">
        <v>3229</v>
      </c>
      <c r="AD538" s="196" t="s">
        <v>3229</v>
      </c>
      <c r="AE538" s="1631" t="s">
        <v>3229</v>
      </c>
      <c r="AF538" s="1682">
        <v>1</v>
      </c>
      <c r="AG538" s="55">
        <f>(I538-indexy!$B$1)/365</f>
        <v>1.1698630136986301</v>
      </c>
      <c r="AH538" s="259" t="s">
        <v>3229</v>
      </c>
      <c r="AI538" s="259" t="s">
        <v>3229</v>
      </c>
      <c r="AJ538" s="259" t="s">
        <v>3229</v>
      </c>
      <c r="AK538" s="259" t="s">
        <v>3229</v>
      </c>
      <c r="AL538" s="259" t="s">
        <v>3229</v>
      </c>
      <c r="AM538" s="126">
        <v>1</v>
      </c>
      <c r="AN538" s="685">
        <f>+'klikací hodnoty'!F17647</f>
        <v>0.14447021429332124</v>
      </c>
      <c r="AO538" s="317">
        <v>10.81</v>
      </c>
      <c r="AP538" s="1616">
        <f>+'klikací hodnoty'!E17646</f>
        <v>0.18058776786665154</v>
      </c>
      <c r="AQ538" s="1685">
        <f>+'klikací hodnoty'!E17646</f>
        <v>0.18058776786665154</v>
      </c>
      <c r="AR538" s="1357">
        <f t="shared" si="152"/>
        <v>0.3</v>
      </c>
      <c r="AS538" s="1358">
        <f t="shared" si="153"/>
        <v>4.4991458439136878E-2</v>
      </c>
      <c r="AT538" s="1358"/>
      <c r="AU538" s="1359"/>
      <c r="AV538" s="1360">
        <f t="shared" si="154"/>
        <v>0</v>
      </c>
      <c r="AW538" s="1360">
        <f t="shared" si="155"/>
        <v>0</v>
      </c>
      <c r="AX538" s="1361"/>
      <c r="AY538" s="435"/>
      <c r="AZ538" s="1724">
        <f t="shared" si="156"/>
        <v>10</v>
      </c>
      <c r="BA538" s="138"/>
      <c r="BB538" s="76"/>
      <c r="BC538" s="75"/>
      <c r="BF538" s="3746" cm="1">
        <f t="array" ref="BF538">IFERROR(+VLOOKUP(C538,+[6]NAV_ALL_20240408111714!$A$2:$E$1216,5,0),+AO538)</f>
        <v>10.81</v>
      </c>
      <c r="BG538" s="3747">
        <f t="shared" si="148"/>
        <v>0</v>
      </c>
    </row>
    <row r="539" spans="1:234" x14ac:dyDescent="0.25">
      <c r="A539" t="s">
        <v>9892</v>
      </c>
      <c r="B539" s="1640" t="s">
        <v>9888</v>
      </c>
      <c r="C539" s="52" t="s">
        <v>9893</v>
      </c>
      <c r="D539" s="574" t="s">
        <v>189</v>
      </c>
      <c r="E539" s="52" t="s">
        <v>3228</v>
      </c>
      <c r="F539" s="53">
        <v>43655</v>
      </c>
      <c r="G539" s="53">
        <v>43587</v>
      </c>
      <c r="H539" s="614">
        <v>43644</v>
      </c>
      <c r="I539" s="249">
        <v>45776</v>
      </c>
      <c r="J539" s="103">
        <v>10</v>
      </c>
      <c r="K539" s="46" t="s">
        <v>3229</v>
      </c>
      <c r="L539" s="50" t="s">
        <v>3229</v>
      </c>
      <c r="M539" s="48">
        <v>0</v>
      </c>
      <c r="N539" s="615">
        <v>0.7</v>
      </c>
      <c r="O539" s="241">
        <v>0.7</v>
      </c>
      <c r="P539" s="153" t="s">
        <v>3229</v>
      </c>
      <c r="Q539" s="89" t="s">
        <v>3229</v>
      </c>
      <c r="R539" s="618" t="s">
        <v>3229</v>
      </c>
      <c r="S539" s="1683">
        <v>1</v>
      </c>
      <c r="T539" s="437" t="s">
        <v>3229</v>
      </c>
      <c r="U539" s="196" t="s">
        <v>3229</v>
      </c>
      <c r="V539" s="196" t="s">
        <v>3229</v>
      </c>
      <c r="W539" s="196" t="s">
        <v>3229</v>
      </c>
      <c r="X539" s="196" t="s">
        <v>3229</v>
      </c>
      <c r="Y539" s="196" t="s">
        <v>3229</v>
      </c>
      <c r="Z539" s="196" t="s">
        <v>3229</v>
      </c>
      <c r="AA539" s="196" t="s">
        <v>3229</v>
      </c>
      <c r="AB539" s="196" t="s">
        <v>3229</v>
      </c>
      <c r="AC539" s="196" t="s">
        <v>3229</v>
      </c>
      <c r="AD539" s="196" t="s">
        <v>3229</v>
      </c>
      <c r="AE539" s="1631" t="s">
        <v>3229</v>
      </c>
      <c r="AF539" s="1682">
        <v>1</v>
      </c>
      <c r="AG539" s="55">
        <f>(I539-indexy!$B$1)/365</f>
        <v>1.0876712328767124</v>
      </c>
      <c r="AH539" s="259" t="s">
        <v>3229</v>
      </c>
      <c r="AI539" s="259" t="s">
        <v>3229</v>
      </c>
      <c r="AJ539" s="259" t="s">
        <v>3229</v>
      </c>
      <c r="AK539" s="259" t="s">
        <v>3229</v>
      </c>
      <c r="AL539" s="259" t="s">
        <v>3229</v>
      </c>
      <c r="AM539" s="126">
        <v>1</v>
      </c>
      <c r="AN539" s="685">
        <f>+'klikací hodnoty'!F17700</f>
        <v>6.1287541479150359E-2</v>
      </c>
      <c r="AO539" s="317">
        <v>9.9700000000000006</v>
      </c>
      <c r="AP539" s="1616">
        <f>+'klikací hodnoty'!F17699</f>
        <v>8.7553630684500519E-2</v>
      </c>
      <c r="AQ539" s="1685">
        <f>+'klikací hodnoty'!F17680</f>
        <v>7.763615682140064E-2</v>
      </c>
      <c r="AR539" s="1357">
        <f t="shared" si="152"/>
        <v>0.7</v>
      </c>
      <c r="AS539" s="1358">
        <f t="shared" si="153"/>
        <v>9.5614170914134045E-2</v>
      </c>
      <c r="AT539" s="1358"/>
      <c r="AU539" s="1359"/>
      <c r="AV539" s="1360">
        <f t="shared" si="154"/>
        <v>0</v>
      </c>
      <c r="AW539" s="1360">
        <f t="shared" si="155"/>
        <v>0</v>
      </c>
      <c r="AX539" s="1361"/>
      <c r="AY539" s="435"/>
      <c r="AZ539" s="1724">
        <f t="shared" si="156"/>
        <v>10</v>
      </c>
      <c r="BA539" s="138"/>
      <c r="BB539" s="76"/>
      <c r="BC539" s="75"/>
      <c r="BF539" s="3746" cm="1">
        <f t="array" ref="BF539">IFERROR(+VLOOKUP(C539,+[6]NAV_ALL_20240408111714!$A$2:$E$1216,5,0),+AO539)</f>
        <v>9.9700000000000006</v>
      </c>
      <c r="BG539" s="3747">
        <f t="shared" si="148"/>
        <v>0</v>
      </c>
    </row>
    <row r="540" spans="1:234" ht="13.5" customHeight="1" x14ac:dyDescent="0.25">
      <c r="A540" s="1270" t="s">
        <v>9992</v>
      </c>
      <c r="B540" s="1271" t="s">
        <v>9990</v>
      </c>
      <c r="C540" s="1272" t="s">
        <v>9993</v>
      </c>
      <c r="D540" s="1273" t="s">
        <v>189</v>
      </c>
      <c r="E540" s="1272" t="s">
        <v>3228</v>
      </c>
      <c r="F540" s="1274">
        <v>43685</v>
      </c>
      <c r="G540" s="3757">
        <v>43621</v>
      </c>
      <c r="H540" s="1274">
        <v>43677</v>
      </c>
      <c r="I540" s="1276">
        <v>44804</v>
      </c>
      <c r="J540" s="1277">
        <v>10</v>
      </c>
      <c r="K540" s="1278" t="s">
        <v>3229</v>
      </c>
      <c r="L540" s="1279">
        <v>6.5000000000000002E-2</v>
      </c>
      <c r="M540" s="1280">
        <v>-1</v>
      </c>
      <c r="N540" s="1281" t="s">
        <v>3229</v>
      </c>
      <c r="O540" s="1282">
        <v>0.39</v>
      </c>
      <c r="P540" s="1283">
        <v>0.4</v>
      </c>
      <c r="Q540" s="1283">
        <v>1</v>
      </c>
      <c r="R540" s="1284" t="s">
        <v>3229</v>
      </c>
      <c r="S540" s="1285">
        <v>4</v>
      </c>
      <c r="T540" s="1286" t="s">
        <v>3229</v>
      </c>
      <c r="U540" s="1286" t="s">
        <v>3229</v>
      </c>
      <c r="V540" s="1286" t="s">
        <v>3229</v>
      </c>
      <c r="W540" s="1286" t="s">
        <v>3229</v>
      </c>
      <c r="X540" s="1286" t="s">
        <v>3229</v>
      </c>
      <c r="Y540" s="1286" t="s">
        <v>3229</v>
      </c>
      <c r="Z540" s="1286" t="s">
        <v>3229</v>
      </c>
      <c r="AA540" s="1286" t="s">
        <v>3229</v>
      </c>
      <c r="AB540" s="1286" t="s">
        <v>3229</v>
      </c>
      <c r="AC540" s="1286" t="s">
        <v>3229</v>
      </c>
      <c r="AD540" s="1286" t="s">
        <v>3229</v>
      </c>
      <c r="AE540" s="1286" t="s">
        <v>3229</v>
      </c>
      <c r="AF540" s="3764" t="s">
        <v>781</v>
      </c>
      <c r="AG540" s="3765">
        <f>(I540-indexy!$B$1)/365</f>
        <v>-1.5753424657534247</v>
      </c>
      <c r="AH540" s="1287">
        <v>1</v>
      </c>
      <c r="AI540" s="1288" t="s">
        <v>3229</v>
      </c>
      <c r="AJ540" s="1288" t="s">
        <v>3229</v>
      </c>
      <c r="AK540" s="1288" t="s">
        <v>3229</v>
      </c>
      <c r="AL540" s="1288" t="s">
        <v>3229</v>
      </c>
      <c r="AM540" s="1288" t="s">
        <v>3229</v>
      </c>
      <c r="AN540" s="1289">
        <f>+'klikací hodnoty'!F17709</f>
        <v>0.19500000000000001</v>
      </c>
      <c r="AO540" s="1290">
        <v>10.199999999999999</v>
      </c>
      <c r="AP540" s="1371">
        <f>+'klikací hodnoty'!H17707</f>
        <v>0.11374204150540135</v>
      </c>
      <c r="AQ540" s="1281">
        <f>+'klikací hodnoty'!H17707</f>
        <v>0.11374204150540135</v>
      </c>
      <c r="AR540" s="1291">
        <v>0.19500000000000001</v>
      </c>
      <c r="AS540" s="1292">
        <f t="shared" ref="AS540:AS550" si="157">POWER(1+AR540,1/((I540-F540)/365))-1</f>
        <v>5.9829930036798373E-2</v>
      </c>
      <c r="AT540" s="1292"/>
      <c r="AU540" s="1293"/>
      <c r="AV540" s="1294">
        <f t="shared" ref="AV540:AV547" si="158">M540</f>
        <v>-1</v>
      </c>
      <c r="AW540" s="1295">
        <f t="shared" ref="AW540:AW547" si="159">POWER(1+AV540,1/((I540-F540)/365))-1</f>
        <v>-1</v>
      </c>
      <c r="AX540" s="1296"/>
      <c r="AY540" s="1297"/>
      <c r="AZ540" s="1298">
        <f t="shared" si="156"/>
        <v>0</v>
      </c>
      <c r="BA540" s="1959"/>
      <c r="BB540" s="1285"/>
      <c r="BC540" s="1300"/>
      <c r="BE540" s="3745"/>
      <c r="BF540" s="3746" cm="1">
        <f t="array" ref="BF540">IFERROR(+VLOOKUP(C540,+[6]NAV_ALL_20240408111714!$A$2:$E$1216,5,0),+AO540)</f>
        <v>10.199999999999999</v>
      </c>
      <c r="BG540" s="3747">
        <f t="shared" si="148"/>
        <v>0</v>
      </c>
      <c r="BH540" s="3763"/>
      <c r="BI540" s="3763"/>
      <c r="BJ540" s="1639"/>
      <c r="BK540" s="1639"/>
      <c r="BL540" s="1639"/>
      <c r="BM540" s="1639"/>
      <c r="BN540" s="1639"/>
      <c r="BO540" s="1639"/>
      <c r="BP540" s="1639"/>
      <c r="BQ540" s="1639"/>
      <c r="BR540" s="1639"/>
      <c r="BS540" s="509"/>
      <c r="BT540" s="509"/>
      <c r="BU540" s="509"/>
      <c r="BV540" s="509"/>
      <c r="BW540" s="509"/>
      <c r="BX540" s="509"/>
      <c r="BY540" s="509"/>
      <c r="BZ540" s="509"/>
      <c r="CA540" s="509"/>
      <c r="CB540" s="509"/>
      <c r="CC540" s="509"/>
      <c r="CD540" s="509"/>
      <c r="CE540" s="509"/>
      <c r="CF540" s="509"/>
      <c r="CG540" s="509"/>
      <c r="CH540" s="509"/>
      <c r="CI540" s="509"/>
      <c r="CJ540" s="509"/>
      <c r="CK540" s="509"/>
      <c r="CL540" s="509"/>
      <c r="CM540" s="509"/>
      <c r="CN540" s="509"/>
      <c r="CO540" s="509"/>
      <c r="CP540" s="509"/>
      <c r="CQ540" s="509"/>
      <c r="CR540" s="509"/>
      <c r="CS540" s="509"/>
      <c r="CT540" s="509"/>
      <c r="CU540" s="509"/>
      <c r="CV540" s="509"/>
      <c r="CW540" s="509"/>
      <c r="CX540" s="509"/>
      <c r="CY540" s="509"/>
      <c r="CZ540" s="509"/>
      <c r="DA540" s="509"/>
      <c r="DB540" s="509"/>
      <c r="DC540" s="509"/>
      <c r="DD540" s="509"/>
      <c r="DE540" s="509"/>
      <c r="DF540" s="509"/>
      <c r="DG540" s="509"/>
      <c r="DH540" s="509"/>
      <c r="DI540" s="509"/>
      <c r="DJ540" s="509"/>
      <c r="DK540" s="509"/>
      <c r="DL540" s="509"/>
      <c r="DM540" s="509"/>
      <c r="DN540" s="509"/>
      <c r="DO540" s="509"/>
      <c r="DP540" s="509"/>
      <c r="DQ540" s="509"/>
      <c r="DR540" s="509"/>
      <c r="DS540" s="509"/>
      <c r="DT540" s="509"/>
      <c r="DU540" s="509"/>
      <c r="DV540" s="509"/>
      <c r="DW540" s="509"/>
      <c r="DX540" s="509"/>
      <c r="DY540" s="509"/>
      <c r="DZ540" s="509"/>
      <c r="EA540" s="509"/>
      <c r="EB540" s="509"/>
      <c r="EC540" s="509"/>
      <c r="ED540" s="509"/>
      <c r="EE540" s="509"/>
      <c r="EF540" s="509"/>
      <c r="EG540" s="509"/>
      <c r="EH540" s="509"/>
      <c r="EI540" s="509"/>
      <c r="EJ540" s="509"/>
      <c r="EK540" s="509"/>
      <c r="EL540" s="509"/>
      <c r="EM540" s="509"/>
      <c r="EN540" s="509"/>
      <c r="EO540" s="509"/>
      <c r="EP540" s="509"/>
      <c r="EQ540" s="509"/>
      <c r="ER540" s="509"/>
      <c r="ES540" s="509"/>
      <c r="ET540" s="509"/>
      <c r="EU540" s="509"/>
      <c r="EV540" s="509"/>
      <c r="EW540" s="509"/>
      <c r="EX540" s="509"/>
      <c r="EY540" s="509"/>
      <c r="EZ540" s="509"/>
      <c r="FA540" s="509"/>
      <c r="FB540" s="509"/>
      <c r="FC540" s="509"/>
      <c r="FD540" s="509"/>
      <c r="FE540" s="509"/>
      <c r="FF540" s="509"/>
      <c r="FG540" s="509"/>
      <c r="FH540" s="509"/>
      <c r="FI540" s="509"/>
      <c r="FJ540" s="509"/>
      <c r="FK540" s="509"/>
      <c r="FL540" s="509"/>
      <c r="FM540" s="509"/>
      <c r="FN540" s="509"/>
      <c r="FO540" s="509"/>
      <c r="FP540" s="509"/>
      <c r="FQ540" s="509"/>
      <c r="FR540" s="509"/>
      <c r="FS540" s="509"/>
      <c r="FT540" s="509"/>
      <c r="FU540" s="509"/>
      <c r="FV540" s="509"/>
      <c r="FW540" s="509"/>
      <c r="FX540" s="509"/>
      <c r="FY540" s="509"/>
      <c r="FZ540" s="509"/>
      <c r="GA540" s="509"/>
      <c r="GB540" s="509"/>
      <c r="GC540" s="509"/>
      <c r="GD540" s="509"/>
      <c r="GE540" s="509"/>
      <c r="GF540" s="509"/>
      <c r="GG540" s="509"/>
      <c r="GH540" s="509"/>
      <c r="GI540" s="509"/>
      <c r="GJ540" s="509"/>
      <c r="GK540" s="509"/>
      <c r="GL540" s="509"/>
      <c r="GM540" s="509"/>
      <c r="GN540" s="509"/>
      <c r="GO540" s="509"/>
      <c r="GP540" s="509"/>
      <c r="GQ540" s="509"/>
      <c r="GR540" s="509"/>
      <c r="GS540" s="509"/>
      <c r="GT540" s="509"/>
      <c r="GU540" s="509"/>
      <c r="GV540" s="509"/>
      <c r="GW540" s="509"/>
      <c r="GX540" s="509"/>
      <c r="GY540" s="509"/>
      <c r="GZ540" s="509"/>
      <c r="HA540" s="509"/>
      <c r="HB540" s="509"/>
      <c r="HC540" s="509"/>
      <c r="HD540" s="509"/>
      <c r="HE540" s="509"/>
      <c r="HF540" s="509"/>
      <c r="HG540" s="509"/>
      <c r="HH540" s="509"/>
      <c r="HI540" s="509"/>
      <c r="HJ540" s="509"/>
      <c r="HK540" s="509"/>
      <c r="HL540" s="509"/>
      <c r="HM540" s="509"/>
      <c r="HN540" s="509"/>
      <c r="HO540" s="509"/>
      <c r="HP540" s="509"/>
      <c r="HQ540" s="509"/>
      <c r="HR540" s="509"/>
      <c r="HS540" s="509"/>
      <c r="HT540" s="509"/>
      <c r="HU540" s="509"/>
      <c r="HV540" s="509"/>
      <c r="HW540" s="509"/>
      <c r="HX540" s="509"/>
      <c r="HY540" s="509"/>
      <c r="HZ540" s="509"/>
    </row>
    <row r="541" spans="1:234" x14ac:dyDescent="0.25">
      <c r="A541" t="s">
        <v>9994</v>
      </c>
      <c r="B541" s="1640" t="s">
        <v>9988</v>
      </c>
      <c r="C541" s="52" t="s">
        <v>9995</v>
      </c>
      <c r="D541" s="574" t="s">
        <v>6934</v>
      </c>
      <c r="E541" s="52" t="s">
        <v>3228</v>
      </c>
      <c r="F541" s="53">
        <v>43690</v>
      </c>
      <c r="G541" s="53">
        <v>43619</v>
      </c>
      <c r="H541" s="614">
        <v>43677</v>
      </c>
      <c r="I541" s="249">
        <v>45869</v>
      </c>
      <c r="J541" s="103">
        <v>10</v>
      </c>
      <c r="K541" s="46" t="s">
        <v>3229</v>
      </c>
      <c r="L541" s="50" t="s">
        <v>3229</v>
      </c>
      <c r="M541" s="48">
        <v>0</v>
      </c>
      <c r="N541" s="615">
        <v>0.9</v>
      </c>
      <c r="O541" s="241">
        <v>0.5</v>
      </c>
      <c r="P541" s="153">
        <v>0.95</v>
      </c>
      <c r="Q541" s="89">
        <v>0.1</v>
      </c>
      <c r="R541" s="618" t="s">
        <v>3229</v>
      </c>
      <c r="S541" s="1683">
        <v>1</v>
      </c>
      <c r="T541" s="437" t="s">
        <v>3229</v>
      </c>
      <c r="U541" s="196" t="s">
        <v>3229</v>
      </c>
      <c r="V541" s="196" t="s">
        <v>3229</v>
      </c>
      <c r="W541" s="196" t="s">
        <v>3229</v>
      </c>
      <c r="X541" s="196" t="s">
        <v>3229</v>
      </c>
      <c r="Y541" s="196" t="s">
        <v>3229</v>
      </c>
      <c r="Z541" s="196" t="s">
        <v>3229</v>
      </c>
      <c r="AA541" s="196" t="s">
        <v>3229</v>
      </c>
      <c r="AB541" s="196" t="s">
        <v>3229</v>
      </c>
      <c r="AC541" s="196" t="s">
        <v>3229</v>
      </c>
      <c r="AD541" s="196" t="s">
        <v>3229</v>
      </c>
      <c r="AE541" s="1631" t="s">
        <v>3229</v>
      </c>
      <c r="AF541" s="1682">
        <v>1</v>
      </c>
      <c r="AG541" s="55">
        <f>(I541-indexy!$B$1)/365</f>
        <v>1.3424657534246576</v>
      </c>
      <c r="AH541" s="259" t="s">
        <v>3229</v>
      </c>
      <c r="AI541" s="259" t="s">
        <v>3229</v>
      </c>
      <c r="AJ541" s="259" t="s">
        <v>3229</v>
      </c>
      <c r="AK541" s="259" t="s">
        <v>3229</v>
      </c>
      <c r="AL541" s="259" t="s">
        <v>3229</v>
      </c>
      <c r="AM541" s="126">
        <v>1</v>
      </c>
      <c r="AN541" s="685">
        <f>+'klikací hodnoty'!F17770</f>
        <v>0.14280312562166972</v>
      </c>
      <c r="AO541" s="317">
        <v>10.6</v>
      </c>
      <c r="AP541" s="1616">
        <f>+'klikací hodnoty'!E17769</f>
        <v>0.15867013957963302</v>
      </c>
      <c r="AQ541" s="1685">
        <f>+'klikací hodnoty'!F17744</f>
        <v>0.15867013957963297</v>
      </c>
      <c r="AR541" s="1357">
        <f t="shared" ref="AR541:AR550" si="160">O541</f>
        <v>0.5</v>
      </c>
      <c r="AS541" s="1358">
        <f t="shared" si="157"/>
        <v>7.0278250626996108E-2</v>
      </c>
      <c r="AT541" s="1358"/>
      <c r="AU541" s="1359"/>
      <c r="AV541" s="1360">
        <f t="shared" si="158"/>
        <v>0</v>
      </c>
      <c r="AW541" s="1360">
        <f t="shared" si="159"/>
        <v>0</v>
      </c>
      <c r="AX541" s="1361"/>
      <c r="AY541" s="435"/>
      <c r="AZ541" s="1724">
        <f t="shared" si="156"/>
        <v>10</v>
      </c>
      <c r="BA541" s="138"/>
      <c r="BB541" s="76"/>
      <c r="BC541" s="75"/>
      <c r="BF541" s="3746" cm="1">
        <f t="array" ref="BF541">IFERROR(+VLOOKUP(C541,+[6]NAV_ALL_20240408111714!$A$2:$E$1216,5,0),+AO541)</f>
        <v>10.6</v>
      </c>
      <c r="BG541" s="3747">
        <f t="shared" si="148"/>
        <v>0</v>
      </c>
    </row>
    <row r="542" spans="1:234" x14ac:dyDescent="0.25">
      <c r="A542" t="s">
        <v>9999</v>
      </c>
      <c r="B542" s="1640" t="s">
        <v>9989</v>
      </c>
      <c r="C542" s="52" t="s">
        <v>10000</v>
      </c>
      <c r="D542" s="574" t="s">
        <v>189</v>
      </c>
      <c r="E542" s="52" t="s">
        <v>3228</v>
      </c>
      <c r="F542" s="53">
        <v>43717</v>
      </c>
      <c r="G542" s="53">
        <v>43647</v>
      </c>
      <c r="H542" s="614">
        <v>43707</v>
      </c>
      <c r="I542" s="249">
        <v>45838</v>
      </c>
      <c r="J542" s="103">
        <v>10</v>
      </c>
      <c r="K542" s="46" t="s">
        <v>3229</v>
      </c>
      <c r="L542" s="50" t="s">
        <v>3229</v>
      </c>
      <c r="M542" s="48">
        <v>0</v>
      </c>
      <c r="N542" s="615">
        <v>0.7</v>
      </c>
      <c r="O542" s="241">
        <v>0.6</v>
      </c>
      <c r="P542" s="153" t="s">
        <v>3229</v>
      </c>
      <c r="Q542" s="89" t="s">
        <v>3229</v>
      </c>
      <c r="R542" s="618" t="s">
        <v>3229</v>
      </c>
      <c r="S542" s="1683">
        <v>1</v>
      </c>
      <c r="T542" s="437" t="s">
        <v>3229</v>
      </c>
      <c r="U542" s="196" t="s">
        <v>3229</v>
      </c>
      <c r="V542" s="196" t="s">
        <v>3229</v>
      </c>
      <c r="W542" s="196" t="s">
        <v>3229</v>
      </c>
      <c r="X542" s="196" t="s">
        <v>3229</v>
      </c>
      <c r="Y542" s="196" t="s">
        <v>3229</v>
      </c>
      <c r="Z542" s="196" t="s">
        <v>3229</v>
      </c>
      <c r="AA542" s="196" t="s">
        <v>3229</v>
      </c>
      <c r="AB542" s="196" t="s">
        <v>3229</v>
      </c>
      <c r="AC542" s="196" t="s">
        <v>3229</v>
      </c>
      <c r="AD542" s="196" t="s">
        <v>3229</v>
      </c>
      <c r="AE542" s="1631" t="s">
        <v>3229</v>
      </c>
      <c r="AF542" s="1682">
        <v>1</v>
      </c>
      <c r="AG542" s="55">
        <f>(I542-indexy!$B$1)/365</f>
        <v>1.2575342465753425</v>
      </c>
      <c r="AH542" s="259" t="s">
        <v>3229</v>
      </c>
      <c r="AI542" s="259" t="s">
        <v>3229</v>
      </c>
      <c r="AJ542" s="259" t="s">
        <v>3229</v>
      </c>
      <c r="AK542" s="259" t="s">
        <v>3229</v>
      </c>
      <c r="AL542" s="259" t="s">
        <v>3229</v>
      </c>
      <c r="AM542" s="126">
        <v>1</v>
      </c>
      <c r="AN542" s="685">
        <f>+'klikací hodnoty'!F17826</f>
        <v>6.5460500000000732E-3</v>
      </c>
      <c r="AO542" s="317">
        <v>9.36</v>
      </c>
      <c r="AP542" s="1616">
        <f>+'klikací hodnoty'!E17825</f>
        <v>9.3515000000001045E-3</v>
      </c>
      <c r="AQ542" s="1685">
        <f>+'klikací hodnoty'!F17806</f>
        <v>9.778752530375863E-3</v>
      </c>
      <c r="AR542" s="1357">
        <f t="shared" si="160"/>
        <v>0.6</v>
      </c>
      <c r="AS542" s="1358">
        <f t="shared" si="157"/>
        <v>8.4243256433924607E-2</v>
      </c>
      <c r="AT542" s="1358"/>
      <c r="AU542" s="1359"/>
      <c r="AV542" s="1360">
        <f t="shared" si="158"/>
        <v>0</v>
      </c>
      <c r="AW542" s="1360">
        <f t="shared" si="159"/>
        <v>0</v>
      </c>
      <c r="AX542" s="1361"/>
      <c r="AY542" s="435"/>
      <c r="AZ542" s="1724">
        <f t="shared" si="156"/>
        <v>10</v>
      </c>
      <c r="BA542" s="138"/>
      <c r="BB542" s="76"/>
      <c r="BC542" s="75"/>
      <c r="BF542" s="3746" cm="1">
        <f t="array" ref="BF542">IFERROR(+VLOOKUP(C542,+[6]NAV_ALL_20240408111714!$A$2:$E$1216,5,0),+AO542)</f>
        <v>9.36</v>
      </c>
      <c r="BG542" s="3747">
        <f t="shared" si="148"/>
        <v>0</v>
      </c>
    </row>
    <row r="543" spans="1:234" x14ac:dyDescent="0.25">
      <c r="A543" t="s">
        <v>10001</v>
      </c>
      <c r="B543" s="1640" t="s">
        <v>9996</v>
      </c>
      <c r="C543" s="52" t="s">
        <v>10076</v>
      </c>
      <c r="D543" s="574" t="s">
        <v>189</v>
      </c>
      <c r="E543" s="52" t="s">
        <v>3228</v>
      </c>
      <c r="F543" s="53">
        <v>43746</v>
      </c>
      <c r="G543" s="53">
        <v>43682</v>
      </c>
      <c r="H543" s="614">
        <v>43738</v>
      </c>
      <c r="I543" s="249">
        <v>45869</v>
      </c>
      <c r="J543" s="103">
        <v>10</v>
      </c>
      <c r="K543" s="46" t="s">
        <v>3229</v>
      </c>
      <c r="L543" s="50" t="s">
        <v>3229</v>
      </c>
      <c r="M543" s="48">
        <v>0</v>
      </c>
      <c r="N543" s="615">
        <v>0.6</v>
      </c>
      <c r="O543" s="241">
        <v>0.4</v>
      </c>
      <c r="P543" s="153" t="s">
        <v>3229</v>
      </c>
      <c r="Q543" s="89" t="s">
        <v>3229</v>
      </c>
      <c r="R543" s="618" t="s">
        <v>3229</v>
      </c>
      <c r="S543" s="1683">
        <v>1</v>
      </c>
      <c r="T543" s="437" t="s">
        <v>3229</v>
      </c>
      <c r="U543" s="196" t="s">
        <v>3229</v>
      </c>
      <c r="V543" s="196" t="s">
        <v>3229</v>
      </c>
      <c r="W543" s="196" t="s">
        <v>3229</v>
      </c>
      <c r="X543" s="196" t="s">
        <v>3229</v>
      </c>
      <c r="Y543" s="196" t="s">
        <v>3229</v>
      </c>
      <c r="Z543" s="196" t="s">
        <v>3229</v>
      </c>
      <c r="AA543" s="196" t="s">
        <v>3229</v>
      </c>
      <c r="AB543" s="196" t="s">
        <v>3229</v>
      </c>
      <c r="AC543" s="196" t="s">
        <v>3229</v>
      </c>
      <c r="AD543" s="196" t="s">
        <v>3229</v>
      </c>
      <c r="AE543" s="1631" t="s">
        <v>3229</v>
      </c>
      <c r="AF543" s="1682">
        <v>1</v>
      </c>
      <c r="AG543" s="55">
        <f>(I543-indexy!$B$1)/365</f>
        <v>1.3424657534246576</v>
      </c>
      <c r="AH543" s="259" t="s">
        <v>3229</v>
      </c>
      <c r="AI543" s="259" t="s">
        <v>3229</v>
      </c>
      <c r="AJ543" s="259" t="s">
        <v>3229</v>
      </c>
      <c r="AK543" s="259" t="s">
        <v>3229</v>
      </c>
      <c r="AL543" s="259" t="s">
        <v>3229</v>
      </c>
      <c r="AM543" s="126">
        <v>1</v>
      </c>
      <c r="AN543" s="685">
        <f>+'klikací hodnoty'!F17831</f>
        <v>5.5312918930360722E-2</v>
      </c>
      <c r="AO543" s="317">
        <v>9.76</v>
      </c>
      <c r="AP543" s="1616">
        <f>+'klikací hodnoty'!H17830</f>
        <v>9.2188198217267869E-2</v>
      </c>
      <c r="AQ543" s="1685">
        <f>+'klikací hodnoty'!F17829</f>
        <v>9.2188198217267647E-2</v>
      </c>
      <c r="AR543" s="1357">
        <f t="shared" si="160"/>
        <v>0.4</v>
      </c>
      <c r="AS543" s="1358">
        <f t="shared" si="157"/>
        <v>5.9554461481822196E-2</v>
      </c>
      <c r="AT543" s="1358"/>
      <c r="AU543" s="1359"/>
      <c r="AV543" s="1360">
        <f t="shared" si="158"/>
        <v>0</v>
      </c>
      <c r="AW543" s="1360">
        <f t="shared" si="159"/>
        <v>0</v>
      </c>
      <c r="AX543" s="1361"/>
      <c r="AY543" s="435"/>
      <c r="AZ543" s="1724">
        <f t="shared" si="156"/>
        <v>10</v>
      </c>
      <c r="BA543" s="138"/>
      <c r="BB543" s="76"/>
      <c r="BC543" s="75"/>
      <c r="BF543" s="3746" cm="1">
        <f t="array" ref="BF543">IFERROR(+VLOOKUP(C543,+[6]NAV_ALL_20240408111714!$A$2:$E$1216,5,0),+AO543)</f>
        <v>9.76</v>
      </c>
      <c r="BG543" s="3747">
        <f t="shared" si="148"/>
        <v>0</v>
      </c>
    </row>
    <row r="544" spans="1:234" x14ac:dyDescent="0.25">
      <c r="A544" t="s">
        <v>10101</v>
      </c>
      <c r="B544" s="1640" t="s">
        <v>9997</v>
      </c>
      <c r="C544" s="52" t="s">
        <v>10066</v>
      </c>
      <c r="D544" s="574" t="s">
        <v>6934</v>
      </c>
      <c r="E544" s="52" t="s">
        <v>3228</v>
      </c>
      <c r="F544" s="53">
        <v>43749</v>
      </c>
      <c r="G544" s="53">
        <v>43678</v>
      </c>
      <c r="H544" s="614">
        <v>43738</v>
      </c>
      <c r="I544" s="249">
        <v>45777</v>
      </c>
      <c r="J544" s="103">
        <v>10</v>
      </c>
      <c r="K544" s="46">
        <v>0</v>
      </c>
      <c r="L544" s="50">
        <v>0.05</v>
      </c>
      <c r="M544" s="48">
        <v>1.4999999999999999E-2</v>
      </c>
      <c r="N544" s="615" t="s">
        <v>3229</v>
      </c>
      <c r="O544" s="241">
        <v>0.215</v>
      </c>
      <c r="P544" s="153" t="s">
        <v>3229</v>
      </c>
      <c r="Q544" s="89">
        <v>1.4999999999999999E-2</v>
      </c>
      <c r="R544" s="618" t="s">
        <v>3229</v>
      </c>
      <c r="S544" s="1683">
        <v>1</v>
      </c>
      <c r="T544" s="437" t="s">
        <v>3229</v>
      </c>
      <c r="U544" s="196" t="s">
        <v>3229</v>
      </c>
      <c r="V544" s="196" t="s">
        <v>3229</v>
      </c>
      <c r="W544" s="196" t="s">
        <v>3229</v>
      </c>
      <c r="X544" s="196" t="s">
        <v>3229</v>
      </c>
      <c r="Y544" s="196" t="s">
        <v>3229</v>
      </c>
      <c r="Z544" s="196" t="s">
        <v>3229</v>
      </c>
      <c r="AA544" s="196" t="s">
        <v>3229</v>
      </c>
      <c r="AB544" s="196" t="s">
        <v>3229</v>
      </c>
      <c r="AC544" s="196" t="s">
        <v>3229</v>
      </c>
      <c r="AD544" s="196" t="s">
        <v>3229</v>
      </c>
      <c r="AE544" s="1631" t="s">
        <v>3229</v>
      </c>
      <c r="AF544" s="1682">
        <v>1</v>
      </c>
      <c r="AG544" s="55">
        <f>(I544-indexy!$B$1)/365</f>
        <v>1.0904109589041096</v>
      </c>
      <c r="AH544" s="259" t="s">
        <v>3229</v>
      </c>
      <c r="AI544" s="259" t="s">
        <v>3229</v>
      </c>
      <c r="AJ544" s="259" t="s">
        <v>3229</v>
      </c>
      <c r="AK544" s="259" t="s">
        <v>3229</v>
      </c>
      <c r="AL544" s="259" t="s">
        <v>3229</v>
      </c>
      <c r="AM544" s="126">
        <v>1</v>
      </c>
      <c r="AN544" s="685">
        <f>+'klikací hodnoty'!F17874</f>
        <v>1.4999999999999999E-2</v>
      </c>
      <c r="AO544" s="317">
        <v>9.68</v>
      </c>
      <c r="AP544" s="1616">
        <f>+'klikací hodnoty'!F17866</f>
        <v>-7.1163221552415307E-2</v>
      </c>
      <c r="AQ544" s="1685">
        <f>+'klikací hodnoty'!F17866</f>
        <v>-7.1163221552415307E-2</v>
      </c>
      <c r="AR544" s="1357">
        <f t="shared" si="160"/>
        <v>0.215</v>
      </c>
      <c r="AS544" s="1358">
        <f t="shared" si="157"/>
        <v>3.5671587103554225E-2</v>
      </c>
      <c r="AT544" s="1358"/>
      <c r="AU544" s="1359"/>
      <c r="AV544" s="1360">
        <f t="shared" si="158"/>
        <v>1.4999999999999999E-2</v>
      </c>
      <c r="AW544" s="1360">
        <f t="shared" si="159"/>
        <v>2.6832500766487133E-3</v>
      </c>
      <c r="AX544" s="1361"/>
      <c r="AY544" s="435"/>
      <c r="AZ544" s="1724">
        <f t="shared" si="156"/>
        <v>10.149999999999999</v>
      </c>
      <c r="BA544" s="138"/>
      <c r="BB544" s="76"/>
      <c r="BC544" s="75"/>
      <c r="BF544" s="3746" cm="1">
        <f t="array" ref="BF544">IFERROR(+VLOOKUP(C544,+[6]NAV_ALL_20240408111714!$A$2:$E$1216,5,0),+AO544)</f>
        <v>9.68</v>
      </c>
      <c r="BG544" s="3747">
        <f t="shared" si="148"/>
        <v>0</v>
      </c>
    </row>
    <row r="545" spans="1:234" x14ac:dyDescent="0.25">
      <c r="A545" t="s">
        <v>10107</v>
      </c>
      <c r="B545" s="1640" t="s">
        <v>10104</v>
      </c>
      <c r="C545" s="52" t="s">
        <v>10108</v>
      </c>
      <c r="D545" s="574" t="s">
        <v>189</v>
      </c>
      <c r="E545" s="52" t="s">
        <v>3228</v>
      </c>
      <c r="F545" s="53">
        <v>43784</v>
      </c>
      <c r="G545" s="53">
        <v>43710</v>
      </c>
      <c r="H545" s="614">
        <v>43775</v>
      </c>
      <c r="I545" s="249">
        <v>45898</v>
      </c>
      <c r="J545" s="103">
        <v>10</v>
      </c>
      <c r="K545" s="46" t="s">
        <v>3229</v>
      </c>
      <c r="L545" s="50" t="s">
        <v>3229</v>
      </c>
      <c r="M545" s="48">
        <v>-0.05</v>
      </c>
      <c r="N545" s="615">
        <v>1</v>
      </c>
      <c r="O545" s="241">
        <v>0.6</v>
      </c>
      <c r="P545" s="153" t="s">
        <v>3229</v>
      </c>
      <c r="Q545" s="89" t="s">
        <v>3229</v>
      </c>
      <c r="R545" s="618" t="s">
        <v>3229</v>
      </c>
      <c r="S545" s="1683">
        <v>1</v>
      </c>
      <c r="T545" s="437" t="s">
        <v>3229</v>
      </c>
      <c r="U545" s="196" t="s">
        <v>3229</v>
      </c>
      <c r="V545" s="196" t="s">
        <v>3229</v>
      </c>
      <c r="W545" s="196" t="s">
        <v>3229</v>
      </c>
      <c r="X545" s="196" t="s">
        <v>3229</v>
      </c>
      <c r="Y545" s="196" t="s">
        <v>3229</v>
      </c>
      <c r="Z545" s="196" t="s">
        <v>3229</v>
      </c>
      <c r="AA545" s="196" t="s">
        <v>3229</v>
      </c>
      <c r="AB545" s="196" t="s">
        <v>3229</v>
      </c>
      <c r="AC545" s="196" t="s">
        <v>3229</v>
      </c>
      <c r="AD545" s="196" t="s">
        <v>3229</v>
      </c>
      <c r="AE545" s="1631" t="s">
        <v>3229</v>
      </c>
      <c r="AF545" s="1682">
        <v>1</v>
      </c>
      <c r="AG545" s="55">
        <f>(I545-indexy!$B$1)/365</f>
        <v>1.4219178082191781</v>
      </c>
      <c r="AH545" s="259" t="s">
        <v>3229</v>
      </c>
      <c r="AI545" s="259" t="s">
        <v>3229</v>
      </c>
      <c r="AJ545" s="259" t="s">
        <v>3229</v>
      </c>
      <c r="AK545" s="259" t="s">
        <v>3229</v>
      </c>
      <c r="AL545" s="259" t="s">
        <v>3229</v>
      </c>
      <c r="AM545" s="126">
        <v>1</v>
      </c>
      <c r="AN545" s="685">
        <f>+'klikací hodnoty'!F17930</f>
        <v>4.3189200074501811E-2</v>
      </c>
      <c r="AO545" s="317">
        <v>9.4499999999999993</v>
      </c>
      <c r="AP545" s="1616">
        <f>+'klikací hodnoty'!F17929</f>
        <v>4.3189200074501811E-2</v>
      </c>
      <c r="AQ545" s="1685">
        <f>+'klikací hodnoty'!F17910</f>
        <v>4.3189200074501832E-2</v>
      </c>
      <c r="AR545" s="1357">
        <f t="shared" si="160"/>
        <v>0.6</v>
      </c>
      <c r="AS545" s="1358">
        <f t="shared" si="157"/>
        <v>8.45336796646321E-2</v>
      </c>
      <c r="AT545" s="1358"/>
      <c r="AU545" s="1359"/>
      <c r="AV545" s="1360">
        <f t="shared" si="158"/>
        <v>-0.05</v>
      </c>
      <c r="AW545" s="1360">
        <f t="shared" si="159"/>
        <v>-8.8171207779922378E-3</v>
      </c>
      <c r="AX545" s="1361"/>
      <c r="AY545" s="435"/>
      <c r="AZ545" s="1724">
        <f t="shared" si="156"/>
        <v>9.5</v>
      </c>
      <c r="BA545" s="138"/>
      <c r="BB545" s="76"/>
      <c r="BC545" s="75"/>
      <c r="BF545" s="3746" cm="1">
        <f t="array" ref="BF545">IFERROR(+VLOOKUP(C545,+[6]NAV_ALL_20240408111714!$A$2:$E$1216,5,0),+AO545)</f>
        <v>9.4499999999999993</v>
      </c>
      <c r="BG545" s="3747">
        <f t="shared" si="148"/>
        <v>0</v>
      </c>
    </row>
    <row r="546" spans="1:234" x14ac:dyDescent="0.25">
      <c r="A546" t="s">
        <v>10110</v>
      </c>
      <c r="B546" s="1640" t="s">
        <v>10105</v>
      </c>
      <c r="C546" s="52" t="s">
        <v>10109</v>
      </c>
      <c r="D546" s="574" t="s">
        <v>10111</v>
      </c>
      <c r="E546" s="52" t="s">
        <v>3228</v>
      </c>
      <c r="F546" s="53">
        <v>43811</v>
      </c>
      <c r="G546" s="53">
        <v>43739</v>
      </c>
      <c r="H546" s="614">
        <v>43798</v>
      </c>
      <c r="I546" s="249">
        <v>45930</v>
      </c>
      <c r="J546" s="103">
        <v>10</v>
      </c>
      <c r="K546" s="46" t="s">
        <v>3229</v>
      </c>
      <c r="L546" s="50" t="s">
        <v>3229</v>
      </c>
      <c r="M546" s="48">
        <v>-0.05</v>
      </c>
      <c r="N546" s="615">
        <v>0.6</v>
      </c>
      <c r="O546" s="241">
        <v>0.6</v>
      </c>
      <c r="P546" s="153" t="s">
        <v>3229</v>
      </c>
      <c r="Q546" s="89" t="s">
        <v>3229</v>
      </c>
      <c r="R546" s="618" t="s">
        <v>3229</v>
      </c>
      <c r="S546" s="1683">
        <v>1</v>
      </c>
      <c r="T546" s="437" t="s">
        <v>3229</v>
      </c>
      <c r="U546" s="196" t="s">
        <v>3229</v>
      </c>
      <c r="V546" s="196" t="s">
        <v>3229</v>
      </c>
      <c r="W546" s="196" t="s">
        <v>3229</v>
      </c>
      <c r="X546" s="196" t="s">
        <v>3229</v>
      </c>
      <c r="Y546" s="196" t="s">
        <v>3229</v>
      </c>
      <c r="Z546" s="196" t="s">
        <v>3229</v>
      </c>
      <c r="AA546" s="196" t="s">
        <v>3229</v>
      </c>
      <c r="AB546" s="196" t="s">
        <v>3229</v>
      </c>
      <c r="AC546" s="196" t="s">
        <v>3229</v>
      </c>
      <c r="AD546" s="196" t="s">
        <v>3229</v>
      </c>
      <c r="AE546" s="1631" t="s">
        <v>3229</v>
      </c>
      <c r="AF546" s="1682">
        <v>1</v>
      </c>
      <c r="AG546" s="55">
        <f>(I546-indexy!$B$1)/365</f>
        <v>1.5095890410958903</v>
      </c>
      <c r="AH546" s="259" t="s">
        <v>3229</v>
      </c>
      <c r="AI546" s="259" t="s">
        <v>3229</v>
      </c>
      <c r="AJ546" s="259" t="s">
        <v>3229</v>
      </c>
      <c r="AK546" s="259" t="s">
        <v>3229</v>
      </c>
      <c r="AL546" s="259" t="s">
        <v>3229</v>
      </c>
      <c r="AM546" s="126">
        <v>1</v>
      </c>
      <c r="AN546" s="685">
        <f>+'klikací hodnoty'!F18002</f>
        <v>0.17752567955033252</v>
      </c>
      <c r="AO546" s="317">
        <v>11.01</v>
      </c>
      <c r="AP546" s="1616">
        <f>+'klikací hodnoty'!F18001</f>
        <v>0.29587613258388756</v>
      </c>
      <c r="AQ546" s="1685">
        <f>+'klikací hodnoty'!F17982</f>
        <v>6.6021325838874489E-3</v>
      </c>
      <c r="AR546" s="1357">
        <f t="shared" si="160"/>
        <v>0.6</v>
      </c>
      <c r="AS546" s="1358">
        <f t="shared" si="157"/>
        <v>8.4326030778990368E-2</v>
      </c>
      <c r="AT546" s="1358"/>
      <c r="AU546" s="1359"/>
      <c r="AV546" s="1360">
        <f t="shared" si="158"/>
        <v>-0.05</v>
      </c>
      <c r="AW546" s="1360">
        <f t="shared" si="159"/>
        <v>-8.796407642222781E-3</v>
      </c>
      <c r="AX546" s="1361"/>
      <c r="AY546" s="435"/>
      <c r="AZ546" s="1724">
        <f t="shared" si="156"/>
        <v>9.5</v>
      </c>
      <c r="BA546" s="138"/>
      <c r="BB546" s="76"/>
      <c r="BC546" s="75"/>
      <c r="BF546" s="3746" cm="1">
        <f t="array" ref="BF546">IFERROR(+VLOOKUP(C546,+[6]NAV_ALL_20240408111714!$A$2:$E$1216,5,0),+AO546)</f>
        <v>11.01</v>
      </c>
      <c r="BG546" s="3747">
        <f t="shared" si="148"/>
        <v>0</v>
      </c>
    </row>
    <row r="547" spans="1:234" ht="13.5" customHeight="1" x14ac:dyDescent="0.25">
      <c r="A547" s="1270" t="s">
        <v>10112</v>
      </c>
      <c r="B547" s="1271" t="s">
        <v>10106</v>
      </c>
      <c r="C547" s="1272" t="s">
        <v>10113</v>
      </c>
      <c r="D547" s="1273" t="s">
        <v>189</v>
      </c>
      <c r="E547" s="1272" t="s">
        <v>3228</v>
      </c>
      <c r="F547" s="1274">
        <v>43812</v>
      </c>
      <c r="G547" s="3757">
        <v>43739</v>
      </c>
      <c r="H547" s="1274">
        <v>43804</v>
      </c>
      <c r="I547" s="1276">
        <v>44957</v>
      </c>
      <c r="J547" s="1277">
        <v>10</v>
      </c>
      <c r="K547" s="1278" t="s">
        <v>3229</v>
      </c>
      <c r="L547" s="1279">
        <v>0.06</v>
      </c>
      <c r="M547" s="1280">
        <v>-1</v>
      </c>
      <c r="N547" s="1281" t="s">
        <v>3229</v>
      </c>
      <c r="O547" s="1282">
        <v>0.36</v>
      </c>
      <c r="P547" s="1283">
        <v>0.4</v>
      </c>
      <c r="Q547" s="1283">
        <v>1</v>
      </c>
      <c r="R547" s="1284" t="s">
        <v>3229</v>
      </c>
      <c r="S547" s="1285">
        <v>4</v>
      </c>
      <c r="T547" s="1286" t="s">
        <v>3229</v>
      </c>
      <c r="U547" s="1286" t="s">
        <v>3229</v>
      </c>
      <c r="V547" s="1286" t="s">
        <v>3229</v>
      </c>
      <c r="W547" s="1286" t="s">
        <v>3229</v>
      </c>
      <c r="X547" s="1286" t="s">
        <v>3229</v>
      </c>
      <c r="Y547" s="1286" t="s">
        <v>3229</v>
      </c>
      <c r="Z547" s="1286" t="s">
        <v>3229</v>
      </c>
      <c r="AA547" s="1286" t="s">
        <v>3229</v>
      </c>
      <c r="AB547" s="1286" t="s">
        <v>3229</v>
      </c>
      <c r="AC547" s="1286" t="s">
        <v>3229</v>
      </c>
      <c r="AD547" s="1286" t="s">
        <v>3229</v>
      </c>
      <c r="AE547" s="1286" t="s">
        <v>3229</v>
      </c>
      <c r="AF547" s="3764" t="s">
        <v>781</v>
      </c>
      <c r="AG547" s="3765">
        <f>(I547-indexy!$B$1)/365</f>
        <v>-1.1561643835616437</v>
      </c>
      <c r="AH547" s="1287">
        <v>1</v>
      </c>
      <c r="AI547" s="1288" t="s">
        <v>3229</v>
      </c>
      <c r="AJ547" s="1288" t="s">
        <v>3229</v>
      </c>
      <c r="AK547" s="1288" t="s">
        <v>3229</v>
      </c>
      <c r="AL547" s="1288" t="s">
        <v>3229</v>
      </c>
      <c r="AM547" s="1288" t="s">
        <v>3229</v>
      </c>
      <c r="AN547" s="1289">
        <f>+'klikací hodnoty'!F17939</f>
        <v>0.18</v>
      </c>
      <c r="AO547" s="1290">
        <v>11.8</v>
      </c>
      <c r="AP547" s="1371">
        <f>+'klikací hodnoty'!H17937</f>
        <v>4.7723317514335895E-2</v>
      </c>
      <c r="AQ547" s="1281">
        <f>+'klikací hodnoty'!H17937</f>
        <v>4.7723317514335895E-2</v>
      </c>
      <c r="AR547" s="1291">
        <f t="shared" si="160"/>
        <v>0.36</v>
      </c>
      <c r="AS547" s="1292">
        <f t="shared" si="157"/>
        <v>0.10298389612228775</v>
      </c>
      <c r="AT547" s="1292"/>
      <c r="AU547" s="1293"/>
      <c r="AV547" s="1294">
        <f t="shared" si="158"/>
        <v>-1</v>
      </c>
      <c r="AW547" s="1295">
        <f t="shared" si="159"/>
        <v>-1</v>
      </c>
      <c r="AX547" s="1296"/>
      <c r="AY547" s="1297"/>
      <c r="AZ547" s="1298">
        <f t="shared" si="156"/>
        <v>0</v>
      </c>
      <c r="BA547" s="1959"/>
      <c r="BB547" s="1285"/>
      <c r="BC547" s="1300"/>
      <c r="BE547" s="3745"/>
      <c r="BF547" s="3746" cm="1">
        <f t="array" ref="BF547">IFERROR(+VLOOKUP(C547,+[6]NAV_ALL_20240408111714!$A$2:$E$1216,5,0),+AO547)</f>
        <v>11.8</v>
      </c>
      <c r="BG547" s="3747">
        <f t="shared" si="148"/>
        <v>0</v>
      </c>
      <c r="BH547" s="3763"/>
      <c r="BI547" s="3763"/>
      <c r="BJ547" s="1639"/>
      <c r="BK547" s="1639"/>
      <c r="BL547" s="1639"/>
      <c r="BM547" s="1639"/>
      <c r="BN547" s="1639"/>
      <c r="BO547" s="1639"/>
      <c r="BP547" s="1639"/>
      <c r="BQ547" s="1639"/>
      <c r="BR547" s="1639"/>
      <c r="BS547" s="509"/>
      <c r="BT547" s="509"/>
      <c r="BU547" s="509"/>
      <c r="BV547" s="509"/>
      <c r="BW547" s="509"/>
      <c r="BX547" s="509"/>
      <c r="BY547" s="509"/>
      <c r="BZ547" s="509"/>
      <c r="CA547" s="509"/>
      <c r="CB547" s="509"/>
      <c r="CC547" s="509"/>
      <c r="CD547" s="509"/>
      <c r="CE547" s="509"/>
      <c r="CF547" s="509"/>
      <c r="CG547" s="509"/>
      <c r="CH547" s="509"/>
      <c r="CI547" s="509"/>
      <c r="CJ547" s="509"/>
      <c r="CK547" s="509"/>
      <c r="CL547" s="509"/>
      <c r="CM547" s="509"/>
      <c r="CN547" s="509"/>
      <c r="CO547" s="509"/>
      <c r="CP547" s="509"/>
      <c r="CQ547" s="509"/>
      <c r="CR547" s="509"/>
      <c r="CS547" s="509"/>
      <c r="CT547" s="509"/>
      <c r="CU547" s="509"/>
      <c r="CV547" s="509"/>
      <c r="CW547" s="509"/>
      <c r="CX547" s="509"/>
      <c r="CY547" s="509"/>
      <c r="CZ547" s="509"/>
      <c r="DA547" s="509"/>
      <c r="DB547" s="509"/>
      <c r="DC547" s="509"/>
      <c r="DD547" s="509"/>
      <c r="DE547" s="509"/>
      <c r="DF547" s="509"/>
      <c r="DG547" s="509"/>
      <c r="DH547" s="509"/>
      <c r="DI547" s="509"/>
      <c r="DJ547" s="509"/>
      <c r="DK547" s="509"/>
      <c r="DL547" s="509"/>
      <c r="DM547" s="509"/>
      <c r="DN547" s="509"/>
      <c r="DO547" s="509"/>
      <c r="DP547" s="509"/>
      <c r="DQ547" s="509"/>
      <c r="DR547" s="509"/>
      <c r="DS547" s="509"/>
      <c r="DT547" s="509"/>
      <c r="DU547" s="509"/>
      <c r="DV547" s="509"/>
      <c r="DW547" s="509"/>
      <c r="DX547" s="509"/>
      <c r="DY547" s="509"/>
      <c r="DZ547" s="509"/>
      <c r="EA547" s="509"/>
      <c r="EB547" s="509"/>
      <c r="EC547" s="509"/>
      <c r="ED547" s="509"/>
      <c r="EE547" s="509"/>
      <c r="EF547" s="509"/>
      <c r="EG547" s="509"/>
      <c r="EH547" s="509"/>
      <c r="EI547" s="509"/>
      <c r="EJ547" s="509"/>
      <c r="EK547" s="509"/>
      <c r="EL547" s="509"/>
      <c r="EM547" s="509"/>
      <c r="EN547" s="509"/>
      <c r="EO547" s="509"/>
      <c r="EP547" s="509"/>
      <c r="EQ547" s="509"/>
      <c r="ER547" s="509"/>
      <c r="ES547" s="509"/>
      <c r="ET547" s="509"/>
      <c r="EU547" s="509"/>
      <c r="EV547" s="509"/>
      <c r="EW547" s="509"/>
      <c r="EX547" s="509"/>
      <c r="EY547" s="509"/>
      <c r="EZ547" s="509"/>
      <c r="FA547" s="509"/>
      <c r="FB547" s="509"/>
      <c r="FC547" s="509"/>
      <c r="FD547" s="509"/>
      <c r="FE547" s="509"/>
      <c r="FF547" s="509"/>
      <c r="FG547" s="509"/>
      <c r="FH547" s="509"/>
      <c r="FI547" s="509"/>
      <c r="FJ547" s="509"/>
      <c r="FK547" s="509"/>
      <c r="FL547" s="509"/>
      <c r="FM547" s="509"/>
      <c r="FN547" s="509"/>
      <c r="FO547" s="509"/>
      <c r="FP547" s="509"/>
      <c r="FQ547" s="509"/>
      <c r="FR547" s="509"/>
      <c r="FS547" s="509"/>
      <c r="FT547" s="509"/>
      <c r="FU547" s="509"/>
      <c r="FV547" s="509"/>
      <c r="FW547" s="509"/>
      <c r="FX547" s="509"/>
      <c r="FY547" s="509"/>
      <c r="FZ547" s="509"/>
      <c r="GA547" s="509"/>
      <c r="GB547" s="509"/>
      <c r="GC547" s="509"/>
      <c r="GD547" s="509"/>
      <c r="GE547" s="509"/>
      <c r="GF547" s="509"/>
      <c r="GG547" s="509"/>
      <c r="GH547" s="509"/>
      <c r="GI547" s="509"/>
      <c r="GJ547" s="509"/>
      <c r="GK547" s="509"/>
      <c r="GL547" s="509"/>
      <c r="GM547" s="509"/>
      <c r="GN547" s="509"/>
      <c r="GO547" s="509"/>
      <c r="GP547" s="509"/>
      <c r="GQ547" s="509"/>
      <c r="GR547" s="509"/>
      <c r="GS547" s="509"/>
      <c r="GT547" s="509"/>
      <c r="GU547" s="509"/>
      <c r="GV547" s="509"/>
      <c r="GW547" s="509"/>
      <c r="GX547" s="509"/>
      <c r="GY547" s="509"/>
      <c r="GZ547" s="509"/>
      <c r="HA547" s="509"/>
      <c r="HB547" s="509"/>
      <c r="HC547" s="509"/>
      <c r="HD547" s="509"/>
      <c r="HE547" s="509"/>
      <c r="HF547" s="509"/>
      <c r="HG547" s="509"/>
      <c r="HH547" s="509"/>
      <c r="HI547" s="509"/>
      <c r="HJ547" s="509"/>
      <c r="HK547" s="509"/>
      <c r="HL547" s="509"/>
      <c r="HM547" s="509"/>
      <c r="HN547" s="509"/>
      <c r="HO547" s="509"/>
      <c r="HP547" s="509"/>
      <c r="HQ547" s="509"/>
      <c r="HR547" s="509"/>
      <c r="HS547" s="509"/>
      <c r="HT547" s="509"/>
      <c r="HU547" s="509"/>
      <c r="HV547" s="509"/>
      <c r="HW547" s="509"/>
      <c r="HX547" s="509"/>
      <c r="HY547" s="509"/>
      <c r="HZ547" s="509"/>
    </row>
    <row r="548" spans="1:234" x14ac:dyDescent="0.25">
      <c r="A548" t="s">
        <v>10135</v>
      </c>
      <c r="B548" s="1640" t="s">
        <v>10134</v>
      </c>
      <c r="C548" s="52" t="s">
        <v>10133</v>
      </c>
      <c r="D548" s="574" t="s">
        <v>4384</v>
      </c>
      <c r="E548" s="52" t="s">
        <v>3228</v>
      </c>
      <c r="F548" s="53">
        <v>43808</v>
      </c>
      <c r="G548" s="53">
        <v>43752</v>
      </c>
      <c r="H548" s="614">
        <v>43798</v>
      </c>
      <c r="I548" s="249">
        <v>46052</v>
      </c>
      <c r="J548" s="103">
        <v>10</v>
      </c>
      <c r="K548" s="46">
        <v>0</v>
      </c>
      <c r="L548" s="50">
        <v>7.0000000000000007E-2</v>
      </c>
      <c r="M548" s="48">
        <v>-1</v>
      </c>
      <c r="N548" s="615" t="s">
        <v>3229</v>
      </c>
      <c r="O548" s="241">
        <v>0.17</v>
      </c>
      <c r="P548" s="153">
        <v>0.4</v>
      </c>
      <c r="Q548" s="89">
        <v>1</v>
      </c>
      <c r="R548" s="618" t="s">
        <v>3229</v>
      </c>
      <c r="S548" s="1683">
        <v>6</v>
      </c>
      <c r="T548" s="437" t="s">
        <v>3229</v>
      </c>
      <c r="U548" s="196" t="s">
        <v>3229</v>
      </c>
      <c r="V548" s="196" t="s">
        <v>3229</v>
      </c>
      <c r="W548" s="196" t="s">
        <v>3229</v>
      </c>
      <c r="X548" s="196" t="s">
        <v>3229</v>
      </c>
      <c r="Y548" s="196" t="s">
        <v>3229</v>
      </c>
      <c r="Z548" s="196" t="s">
        <v>3229</v>
      </c>
      <c r="AA548" s="196" t="s">
        <v>3229</v>
      </c>
      <c r="AB548" s="196" t="s">
        <v>3229</v>
      </c>
      <c r="AC548" s="196" t="s">
        <v>3229</v>
      </c>
      <c r="AD548" s="196" t="s">
        <v>3229</v>
      </c>
      <c r="AE548" s="1631" t="s">
        <v>3229</v>
      </c>
      <c r="AF548" s="1682">
        <v>6</v>
      </c>
      <c r="AG548" s="55">
        <f>(I548-indexy!$B$1)/365</f>
        <v>1.8438356164383563</v>
      </c>
      <c r="AH548" s="259" t="s">
        <v>3229</v>
      </c>
      <c r="AI548" s="259" t="s">
        <v>3229</v>
      </c>
      <c r="AJ548" s="259" t="s">
        <v>3229</v>
      </c>
      <c r="AK548" s="259" t="s">
        <v>3229</v>
      </c>
      <c r="AL548" s="259" t="s">
        <v>3229</v>
      </c>
      <c r="AM548" s="126">
        <v>1</v>
      </c>
      <c r="AN548" s="685">
        <f>+'klikací hodnoty'!F17949</f>
        <v>0.08</v>
      </c>
      <c r="AO548" s="317">
        <v>9.27</v>
      </c>
      <c r="AP548" s="1616">
        <f>+'klikací hodnoty'!I17942</f>
        <v>-0.19425867229793348</v>
      </c>
      <c r="AQ548" s="1685">
        <f>+'klikací hodnoty'!I17942</f>
        <v>-0.19425867229793348</v>
      </c>
      <c r="AR548" s="1357">
        <f t="shared" si="160"/>
        <v>0.17</v>
      </c>
      <c r="AS548" s="1358">
        <f t="shared" si="157"/>
        <v>2.5866475343290674E-2</v>
      </c>
      <c r="AT548" s="1358"/>
      <c r="AU548" s="1359"/>
      <c r="AV548" s="1360">
        <f t="shared" ref="AV548:AV555" si="161">M548</f>
        <v>-1</v>
      </c>
      <c r="AW548" s="1360">
        <f t="shared" ref="AW548:AW555" si="162">POWER(1+AV548,1/((I548-F548)/365))-1</f>
        <v>-1</v>
      </c>
      <c r="AX548" s="1361"/>
      <c r="AY548" s="435"/>
      <c r="AZ548" s="1724">
        <f t="shared" si="156"/>
        <v>0</v>
      </c>
      <c r="BA548" s="138"/>
      <c r="BB548" s="76"/>
      <c r="BC548" s="75"/>
      <c r="BF548" s="3746" cm="1">
        <f t="array" ref="BF548">IFERROR(+VLOOKUP(C548,+[6]NAV_ALL_20240408111714!$A$2:$E$1216,5,0),+AO548)</f>
        <v>9.27</v>
      </c>
      <c r="BG548" s="3747">
        <f t="shared" si="148"/>
        <v>0</v>
      </c>
    </row>
    <row r="549" spans="1:234" x14ac:dyDescent="0.25">
      <c r="A549" t="s">
        <v>10209</v>
      </c>
      <c r="B549" s="1640" t="s">
        <v>10210</v>
      </c>
      <c r="C549" s="52" t="s">
        <v>10216</v>
      </c>
      <c r="D549" s="574" t="s">
        <v>189</v>
      </c>
      <c r="E549" s="52" t="s">
        <v>3228</v>
      </c>
      <c r="F549" s="53">
        <v>43871</v>
      </c>
      <c r="G549" s="53">
        <v>43801</v>
      </c>
      <c r="H549" s="614">
        <v>43496</v>
      </c>
      <c r="I549" s="249">
        <v>45989</v>
      </c>
      <c r="J549" s="103">
        <v>10</v>
      </c>
      <c r="K549" s="46" t="s">
        <v>3229</v>
      </c>
      <c r="L549" s="50" t="s">
        <v>3229</v>
      </c>
      <c r="M549" s="48">
        <v>0</v>
      </c>
      <c r="N549" s="615">
        <v>0.5</v>
      </c>
      <c r="O549" s="241">
        <v>0.4</v>
      </c>
      <c r="P549" s="153" t="s">
        <v>3229</v>
      </c>
      <c r="Q549" s="89" t="s">
        <v>3229</v>
      </c>
      <c r="R549" s="618" t="s">
        <v>3229</v>
      </c>
      <c r="S549" s="1683">
        <v>1</v>
      </c>
      <c r="T549" s="437" t="s">
        <v>3229</v>
      </c>
      <c r="U549" s="196" t="s">
        <v>3229</v>
      </c>
      <c r="V549" s="196" t="s">
        <v>3229</v>
      </c>
      <c r="W549" s="196" t="s">
        <v>3229</v>
      </c>
      <c r="X549" s="196" t="s">
        <v>3229</v>
      </c>
      <c r="Y549" s="196" t="s">
        <v>3229</v>
      </c>
      <c r="Z549" s="196" t="s">
        <v>3229</v>
      </c>
      <c r="AA549" s="196" t="s">
        <v>3229</v>
      </c>
      <c r="AB549" s="196" t="s">
        <v>3229</v>
      </c>
      <c r="AC549" s="196" t="s">
        <v>3229</v>
      </c>
      <c r="AD549" s="196" t="s">
        <v>3229</v>
      </c>
      <c r="AE549" s="1631" t="s">
        <v>3229</v>
      </c>
      <c r="AF549" s="1682">
        <v>1</v>
      </c>
      <c r="AG549" s="55">
        <f>(I549-indexy!$B$1)/365</f>
        <v>1.6712328767123288</v>
      </c>
      <c r="AH549" s="259" t="s">
        <v>3229</v>
      </c>
      <c r="AI549" s="259" t="s">
        <v>3229</v>
      </c>
      <c r="AJ549" s="259" t="s">
        <v>3229</v>
      </c>
      <c r="AK549" s="259" t="s">
        <v>3229</v>
      </c>
      <c r="AL549" s="259" t="s">
        <v>3229</v>
      </c>
      <c r="AM549" s="126">
        <v>1</v>
      </c>
      <c r="AN549" s="685">
        <f>+'klikací hodnoty'!F18007</f>
        <v>0</v>
      </c>
      <c r="AO549" s="317">
        <v>9.2200000000000006</v>
      </c>
      <c r="AP549" s="1616">
        <f>+'klikací hodnoty'!H18006</f>
        <v>-8.3781770830764213E-2</v>
      </c>
      <c r="AQ549" s="1685">
        <f>+'klikací hodnoty'!F18005</f>
        <v>-8.3781770830764435E-2</v>
      </c>
      <c r="AR549" s="1357">
        <f t="shared" si="160"/>
        <v>0.4</v>
      </c>
      <c r="AS549" s="1358">
        <f t="shared" si="157"/>
        <v>5.9699168332954189E-2</v>
      </c>
      <c r="AT549" s="1358"/>
      <c r="AU549" s="1359"/>
      <c r="AV549" s="1360">
        <f t="shared" si="161"/>
        <v>0</v>
      </c>
      <c r="AW549" s="1360">
        <f t="shared" si="162"/>
        <v>0</v>
      </c>
      <c r="AX549" s="1361"/>
      <c r="AY549" s="435"/>
      <c r="AZ549" s="1724">
        <f t="shared" si="156"/>
        <v>10</v>
      </c>
      <c r="BA549" s="138"/>
      <c r="BB549" s="76"/>
      <c r="BC549" s="75"/>
      <c r="BF549" s="3746" cm="1">
        <f t="array" ref="BF549">IFERROR(+VLOOKUP(C549,+[6]NAV_ALL_20240408111714!$A$2:$E$1216,5,0),+AO549)</f>
        <v>9.2200000000000006</v>
      </c>
      <c r="BG549" s="3747">
        <f t="shared" si="148"/>
        <v>0</v>
      </c>
    </row>
    <row r="550" spans="1:234" x14ac:dyDescent="0.25">
      <c r="A550" t="s">
        <v>10211</v>
      </c>
      <c r="B550" s="1640" t="s">
        <v>10212</v>
      </c>
      <c r="C550" s="52" t="s">
        <v>10217</v>
      </c>
      <c r="D550" s="574" t="s">
        <v>6934</v>
      </c>
      <c r="E550" s="52" t="s">
        <v>3228</v>
      </c>
      <c r="F550" s="53">
        <v>43874</v>
      </c>
      <c r="G550" s="53">
        <v>43801</v>
      </c>
      <c r="H550" s="614">
        <v>43496</v>
      </c>
      <c r="I550" s="249">
        <v>45989</v>
      </c>
      <c r="J550" s="103">
        <v>10</v>
      </c>
      <c r="K550" s="46" t="s">
        <v>3229</v>
      </c>
      <c r="L550" s="50" t="s">
        <v>3229</v>
      </c>
      <c r="M550" s="48">
        <v>0</v>
      </c>
      <c r="N550" s="615">
        <v>0.8</v>
      </c>
      <c r="O550" s="241">
        <v>0.6</v>
      </c>
      <c r="P550" s="153" t="s">
        <v>3229</v>
      </c>
      <c r="Q550" s="89" t="s">
        <v>3229</v>
      </c>
      <c r="R550" s="618" t="s">
        <v>3229</v>
      </c>
      <c r="S550" s="1683">
        <v>1</v>
      </c>
      <c r="T550" s="437" t="s">
        <v>3229</v>
      </c>
      <c r="U550" s="196" t="s">
        <v>3229</v>
      </c>
      <c r="V550" s="196" t="s">
        <v>3229</v>
      </c>
      <c r="W550" s="196" t="s">
        <v>3229</v>
      </c>
      <c r="X550" s="196" t="s">
        <v>3229</v>
      </c>
      <c r="Y550" s="196" t="s">
        <v>3229</v>
      </c>
      <c r="Z550" s="196" t="s">
        <v>3229</v>
      </c>
      <c r="AA550" s="196" t="s">
        <v>3229</v>
      </c>
      <c r="AB550" s="196" t="s">
        <v>3229</v>
      </c>
      <c r="AC550" s="196" t="s">
        <v>3229</v>
      </c>
      <c r="AD550" s="196" t="s">
        <v>3229</v>
      </c>
      <c r="AE550" s="1631" t="s">
        <v>3229</v>
      </c>
      <c r="AF550" s="1682">
        <v>1</v>
      </c>
      <c r="AG550" s="55">
        <f>(I550-indexy!$B$1)/365</f>
        <v>1.6712328767123288</v>
      </c>
      <c r="AH550" s="259" t="s">
        <v>3229</v>
      </c>
      <c r="AI550" s="259" t="s">
        <v>3229</v>
      </c>
      <c r="AJ550" s="259" t="s">
        <v>3229</v>
      </c>
      <c r="AK550" s="259" t="s">
        <v>3229</v>
      </c>
      <c r="AL550" s="259" t="s">
        <v>3229</v>
      </c>
      <c r="AM550" s="126">
        <v>1</v>
      </c>
      <c r="AN550" s="685">
        <f>+'klikací hodnoty'!F18063</f>
        <v>5.6864452675459122E-2</v>
      </c>
      <c r="AO550" s="317">
        <v>9.57</v>
      </c>
      <c r="AP550" s="1616">
        <f>+'klikací hodnoty'!F18062</f>
        <v>7.1080565844323901E-2</v>
      </c>
      <c r="AQ550" s="1685">
        <f>+'klikací hodnoty'!F18043</f>
        <v>7.1080565844323929E-2</v>
      </c>
      <c r="AR550" s="1357">
        <f t="shared" si="160"/>
        <v>0.6</v>
      </c>
      <c r="AS550" s="1358">
        <f t="shared" si="157"/>
        <v>8.4492068158736666E-2</v>
      </c>
      <c r="AT550" s="1358"/>
      <c r="AU550" s="1359"/>
      <c r="AV550" s="1360">
        <f t="shared" si="161"/>
        <v>0</v>
      </c>
      <c r="AW550" s="1360">
        <f t="shared" si="162"/>
        <v>0</v>
      </c>
      <c r="AX550" s="1361"/>
      <c r="AY550" s="435"/>
      <c r="AZ550" s="1724">
        <f t="shared" si="156"/>
        <v>10</v>
      </c>
      <c r="BA550" s="138"/>
      <c r="BB550" s="76"/>
      <c r="BC550" s="75"/>
      <c r="BF550" s="3746" cm="1">
        <f t="array" ref="BF550">IFERROR(+VLOOKUP(C550,+[6]NAV_ALL_20240408111714!$A$2:$E$1216,5,0),+AO550)</f>
        <v>9.57</v>
      </c>
      <c r="BG550" s="3747">
        <f t="shared" si="148"/>
        <v>0</v>
      </c>
    </row>
    <row r="551" spans="1:234" ht="13.5" customHeight="1" x14ac:dyDescent="0.25">
      <c r="A551" s="1270" t="s">
        <v>10285</v>
      </c>
      <c r="B551" s="1271" t="s">
        <v>10284</v>
      </c>
      <c r="C551" s="1272" t="s">
        <v>10286</v>
      </c>
      <c r="D551" s="1273" t="s">
        <v>189</v>
      </c>
      <c r="E551" s="1272" t="s">
        <v>3228</v>
      </c>
      <c r="F551" s="1274">
        <v>43899</v>
      </c>
      <c r="G551" s="3757">
        <v>43832</v>
      </c>
      <c r="H551" s="1274">
        <v>43889</v>
      </c>
      <c r="I551" s="1276">
        <v>45044</v>
      </c>
      <c r="J551" s="1277">
        <v>10</v>
      </c>
      <c r="K551" s="1278" t="s">
        <v>3229</v>
      </c>
      <c r="L551" s="1279">
        <v>7.0000000000000007E-2</v>
      </c>
      <c r="M551" s="1280">
        <v>-1</v>
      </c>
      <c r="N551" s="1281" t="s">
        <v>3229</v>
      </c>
      <c r="O551" s="1282">
        <v>0.42</v>
      </c>
      <c r="P551" s="1283">
        <v>0.4</v>
      </c>
      <c r="Q551" s="1283">
        <v>1</v>
      </c>
      <c r="R551" s="1284" t="s">
        <v>3229</v>
      </c>
      <c r="S551" s="1285">
        <v>4</v>
      </c>
      <c r="T551" s="1286" t="s">
        <v>3229</v>
      </c>
      <c r="U551" s="1286" t="s">
        <v>3229</v>
      </c>
      <c r="V551" s="1286" t="s">
        <v>3229</v>
      </c>
      <c r="W551" s="1286" t="s">
        <v>3229</v>
      </c>
      <c r="X551" s="1286" t="s">
        <v>3229</v>
      </c>
      <c r="Y551" s="1286" t="s">
        <v>3229</v>
      </c>
      <c r="Z551" s="1286" t="s">
        <v>3229</v>
      </c>
      <c r="AA551" s="1286" t="s">
        <v>3229</v>
      </c>
      <c r="AB551" s="1286" t="s">
        <v>3229</v>
      </c>
      <c r="AC551" s="1286" t="s">
        <v>3229</v>
      </c>
      <c r="AD551" s="1286" t="s">
        <v>3229</v>
      </c>
      <c r="AE551" s="1286" t="s">
        <v>3229</v>
      </c>
      <c r="AF551" s="3764" t="s">
        <v>781</v>
      </c>
      <c r="AG551" s="3765">
        <f>(I551-indexy!$B$1)/365</f>
        <v>-0.9178082191780822</v>
      </c>
      <c r="AH551" s="1287">
        <v>1</v>
      </c>
      <c r="AI551" s="1288" t="s">
        <v>3229</v>
      </c>
      <c r="AJ551" s="1288" t="s">
        <v>3229</v>
      </c>
      <c r="AK551" s="1288" t="s">
        <v>3229</v>
      </c>
      <c r="AL551" s="1288" t="s">
        <v>3229</v>
      </c>
      <c r="AM551" s="1288" t="s">
        <v>3229</v>
      </c>
      <c r="AN551" s="1289">
        <f>+'klikací hodnoty'!F18072</f>
        <v>0.21</v>
      </c>
      <c r="AO551" s="1290">
        <v>12.1</v>
      </c>
      <c r="AP551" s="1371">
        <f>+'klikací hodnoty'!H18070</f>
        <v>0.64166169048573241</v>
      </c>
      <c r="AQ551" s="1281">
        <f>+'klikací hodnoty'!H18070</f>
        <v>0.64166169048573241</v>
      </c>
      <c r="AR551" s="1291">
        <f t="shared" ref="AR551:AR556" si="163">O551</f>
        <v>0.42</v>
      </c>
      <c r="AS551" s="1292">
        <f>POWER(1+AR551,1/((I551-F551)/365))-1</f>
        <v>0.11826843430788214</v>
      </c>
      <c r="AT551" s="1292"/>
      <c r="AU551" s="1293"/>
      <c r="AV551" s="1294">
        <f t="shared" si="161"/>
        <v>-1</v>
      </c>
      <c r="AW551" s="1295">
        <f t="shared" si="162"/>
        <v>-1</v>
      </c>
      <c r="AX551" s="1296"/>
      <c r="AY551" s="1297"/>
      <c r="AZ551" s="1298">
        <f t="shared" ref="AZ551:AZ556" si="164">J551*(1+AV551)</f>
        <v>0</v>
      </c>
      <c r="BA551" s="1959"/>
      <c r="BB551" s="1285"/>
      <c r="BC551" s="1300"/>
      <c r="BE551" s="3745"/>
      <c r="BF551" s="3746" cm="1">
        <f t="array" ref="BF551">IFERROR(+VLOOKUP(C551,+[6]NAV_ALL_20240408111714!$A$2:$E$1216,5,0),+AO551)</f>
        <v>12.1</v>
      </c>
      <c r="BG551" s="3747">
        <f t="shared" si="148"/>
        <v>0</v>
      </c>
      <c r="BH551" s="3763"/>
      <c r="BI551" s="3763"/>
      <c r="BJ551" s="1639"/>
      <c r="BK551" s="1639"/>
      <c r="BL551" s="1639"/>
      <c r="BM551" s="1639"/>
      <c r="BN551" s="1639"/>
      <c r="BO551" s="1639"/>
      <c r="BP551" s="1639"/>
      <c r="BQ551" s="1639"/>
      <c r="BR551" s="1639"/>
      <c r="BS551" s="509"/>
      <c r="BT551" s="509"/>
      <c r="BU551" s="509"/>
      <c r="BV551" s="509"/>
      <c r="BW551" s="509"/>
      <c r="BX551" s="509"/>
      <c r="BY551" s="509"/>
      <c r="BZ551" s="509"/>
      <c r="CA551" s="509"/>
      <c r="CB551" s="509"/>
      <c r="CC551" s="509"/>
      <c r="CD551" s="509"/>
      <c r="CE551" s="509"/>
      <c r="CF551" s="509"/>
      <c r="CG551" s="509"/>
      <c r="CH551" s="509"/>
      <c r="CI551" s="509"/>
      <c r="CJ551" s="509"/>
      <c r="CK551" s="509"/>
      <c r="CL551" s="509"/>
      <c r="CM551" s="509"/>
      <c r="CN551" s="509"/>
      <c r="CO551" s="509"/>
      <c r="CP551" s="509"/>
      <c r="CQ551" s="509"/>
      <c r="CR551" s="509"/>
      <c r="CS551" s="509"/>
      <c r="CT551" s="509"/>
      <c r="CU551" s="509"/>
      <c r="CV551" s="509"/>
      <c r="CW551" s="509"/>
      <c r="CX551" s="509"/>
      <c r="CY551" s="509"/>
      <c r="CZ551" s="509"/>
      <c r="DA551" s="509"/>
      <c r="DB551" s="509"/>
      <c r="DC551" s="509"/>
      <c r="DD551" s="509"/>
      <c r="DE551" s="509"/>
      <c r="DF551" s="509"/>
      <c r="DG551" s="509"/>
      <c r="DH551" s="509"/>
      <c r="DI551" s="509"/>
      <c r="DJ551" s="509"/>
      <c r="DK551" s="509"/>
      <c r="DL551" s="509"/>
      <c r="DM551" s="509"/>
      <c r="DN551" s="509"/>
      <c r="DO551" s="509"/>
      <c r="DP551" s="509"/>
      <c r="DQ551" s="509"/>
      <c r="DR551" s="509"/>
      <c r="DS551" s="509"/>
      <c r="DT551" s="509"/>
      <c r="DU551" s="509"/>
      <c r="DV551" s="509"/>
      <c r="DW551" s="509"/>
      <c r="DX551" s="509"/>
      <c r="DY551" s="509"/>
      <c r="DZ551" s="509"/>
      <c r="EA551" s="509"/>
      <c r="EB551" s="509"/>
      <c r="EC551" s="509"/>
      <c r="ED551" s="509"/>
      <c r="EE551" s="509"/>
      <c r="EF551" s="509"/>
      <c r="EG551" s="509"/>
      <c r="EH551" s="509"/>
      <c r="EI551" s="509"/>
      <c r="EJ551" s="509"/>
      <c r="EK551" s="509"/>
      <c r="EL551" s="509"/>
      <c r="EM551" s="509"/>
      <c r="EN551" s="509"/>
      <c r="EO551" s="509"/>
      <c r="EP551" s="509"/>
      <c r="EQ551" s="509"/>
      <c r="ER551" s="509"/>
      <c r="ES551" s="509"/>
      <c r="ET551" s="509"/>
      <c r="EU551" s="509"/>
      <c r="EV551" s="509"/>
      <c r="EW551" s="509"/>
      <c r="EX551" s="509"/>
      <c r="EY551" s="509"/>
      <c r="EZ551" s="509"/>
      <c r="FA551" s="509"/>
      <c r="FB551" s="509"/>
      <c r="FC551" s="509"/>
      <c r="FD551" s="509"/>
      <c r="FE551" s="509"/>
      <c r="FF551" s="509"/>
      <c r="FG551" s="509"/>
      <c r="FH551" s="509"/>
      <c r="FI551" s="509"/>
      <c r="FJ551" s="509"/>
      <c r="FK551" s="509"/>
      <c r="FL551" s="509"/>
      <c r="FM551" s="509"/>
      <c r="FN551" s="509"/>
      <c r="FO551" s="509"/>
      <c r="FP551" s="509"/>
      <c r="FQ551" s="509"/>
      <c r="FR551" s="509"/>
      <c r="FS551" s="509"/>
      <c r="FT551" s="509"/>
      <c r="FU551" s="509"/>
      <c r="FV551" s="509"/>
      <c r="FW551" s="509"/>
      <c r="FX551" s="509"/>
      <c r="FY551" s="509"/>
      <c r="FZ551" s="509"/>
      <c r="GA551" s="509"/>
      <c r="GB551" s="509"/>
      <c r="GC551" s="509"/>
      <c r="GD551" s="509"/>
      <c r="GE551" s="509"/>
      <c r="GF551" s="509"/>
      <c r="GG551" s="509"/>
      <c r="GH551" s="509"/>
      <c r="GI551" s="509"/>
      <c r="GJ551" s="509"/>
      <c r="GK551" s="509"/>
      <c r="GL551" s="509"/>
      <c r="GM551" s="509"/>
      <c r="GN551" s="509"/>
      <c r="GO551" s="509"/>
      <c r="GP551" s="509"/>
      <c r="GQ551" s="509"/>
      <c r="GR551" s="509"/>
      <c r="GS551" s="509"/>
      <c r="GT551" s="509"/>
      <c r="GU551" s="509"/>
      <c r="GV551" s="509"/>
      <c r="GW551" s="509"/>
      <c r="GX551" s="509"/>
      <c r="GY551" s="509"/>
      <c r="GZ551" s="509"/>
      <c r="HA551" s="509"/>
      <c r="HB551" s="509"/>
      <c r="HC551" s="509"/>
      <c r="HD551" s="509"/>
      <c r="HE551" s="509"/>
      <c r="HF551" s="509"/>
      <c r="HG551" s="509"/>
      <c r="HH551" s="509"/>
      <c r="HI551" s="509"/>
      <c r="HJ551" s="509"/>
      <c r="HK551" s="509"/>
      <c r="HL551" s="509"/>
      <c r="HM551" s="509"/>
      <c r="HN551" s="509"/>
      <c r="HO551" s="509"/>
      <c r="HP551" s="509"/>
      <c r="HQ551" s="509"/>
      <c r="HR551" s="509"/>
      <c r="HS551" s="509"/>
      <c r="HT551" s="509"/>
      <c r="HU551" s="509"/>
      <c r="HV551" s="509"/>
      <c r="HW551" s="509"/>
      <c r="HX551" s="509"/>
      <c r="HY551" s="509"/>
      <c r="HZ551" s="509"/>
    </row>
    <row r="552" spans="1:234" x14ac:dyDescent="0.25">
      <c r="A552" t="s">
        <v>10361</v>
      </c>
      <c r="B552" s="1640" t="s">
        <v>10337</v>
      </c>
      <c r="C552" s="52" t="s">
        <v>10360</v>
      </c>
      <c r="D552" s="574" t="s">
        <v>189</v>
      </c>
      <c r="E552" s="52" t="s">
        <v>3228</v>
      </c>
      <c r="F552" s="53">
        <v>43929</v>
      </c>
      <c r="G552" s="53">
        <v>43864</v>
      </c>
      <c r="H552" s="614">
        <v>43921</v>
      </c>
      <c r="I552" s="249">
        <v>46080</v>
      </c>
      <c r="J552" s="103">
        <v>10</v>
      </c>
      <c r="K552" s="46" t="s">
        <v>3229</v>
      </c>
      <c r="L552" s="50" t="s">
        <v>3229</v>
      </c>
      <c r="M552" s="48">
        <v>0</v>
      </c>
      <c r="N552" s="615">
        <v>1</v>
      </c>
      <c r="O552" s="241">
        <v>0.6</v>
      </c>
      <c r="P552" s="153" t="s">
        <v>3229</v>
      </c>
      <c r="Q552" s="89">
        <v>0.9</v>
      </c>
      <c r="R552" s="618" t="s">
        <v>3229</v>
      </c>
      <c r="S552" s="1683">
        <v>1</v>
      </c>
      <c r="T552" s="437" t="s">
        <v>3229</v>
      </c>
      <c r="U552" s="196" t="s">
        <v>3229</v>
      </c>
      <c r="V552" s="196" t="s">
        <v>3229</v>
      </c>
      <c r="W552" s="196" t="s">
        <v>3229</v>
      </c>
      <c r="X552" s="196" t="s">
        <v>3229</v>
      </c>
      <c r="Y552" s="196" t="s">
        <v>3229</v>
      </c>
      <c r="Z552" s="196" t="s">
        <v>3229</v>
      </c>
      <c r="AA552" s="196" t="s">
        <v>3229</v>
      </c>
      <c r="AB552" s="196" t="s">
        <v>3229</v>
      </c>
      <c r="AC552" s="196" t="s">
        <v>3229</v>
      </c>
      <c r="AD552" s="196" t="s">
        <v>3229</v>
      </c>
      <c r="AE552" s="1631" t="s">
        <v>3229</v>
      </c>
      <c r="AF552" s="1682">
        <v>1</v>
      </c>
      <c r="AG552" s="55">
        <f>(I552-indexy!$B$1)/365</f>
        <v>1.9205479452054794</v>
      </c>
      <c r="AH552" s="88" t="s">
        <v>3229</v>
      </c>
      <c r="AI552" s="259" t="s">
        <v>3229</v>
      </c>
      <c r="AJ552" s="259" t="s">
        <v>3229</v>
      </c>
      <c r="AK552" s="259" t="s">
        <v>3229</v>
      </c>
      <c r="AL552" s="259" t="s">
        <v>3229</v>
      </c>
      <c r="AM552" s="126">
        <v>1</v>
      </c>
      <c r="AN552" s="685">
        <f>+'klikací hodnoty'!F18127</f>
        <v>0.38880935318367887</v>
      </c>
      <c r="AO552" s="317">
        <v>12.75</v>
      </c>
      <c r="AP552" s="1616">
        <f>+'klikací hodnoty'!E18126</f>
        <v>0.38880935318367887</v>
      </c>
      <c r="AQ552" s="1685">
        <f>+'klikací hodnoty'!F18107</f>
        <v>0.38880935318367882</v>
      </c>
      <c r="AR552" s="1357">
        <f t="shared" si="163"/>
        <v>0.6</v>
      </c>
      <c r="AS552" s="1358">
        <f>POWER(1+AR552,1/((I552-F552)/365))-1</f>
        <v>8.3020848814731041E-2</v>
      </c>
      <c r="AT552" s="1358"/>
      <c r="AU552" s="1359"/>
      <c r="AV552" s="1360">
        <f t="shared" si="161"/>
        <v>0</v>
      </c>
      <c r="AW552" s="1360">
        <f t="shared" si="162"/>
        <v>0</v>
      </c>
      <c r="AX552" s="1361"/>
      <c r="AY552" s="435"/>
      <c r="AZ552" s="1724">
        <f t="shared" si="164"/>
        <v>10</v>
      </c>
      <c r="BA552" s="138"/>
      <c r="BB552" s="76"/>
      <c r="BC552" s="75"/>
      <c r="BF552" s="3746" cm="1">
        <f t="array" ref="BF552">IFERROR(+VLOOKUP(C552,+[6]NAV_ALL_20240408111714!$A$2:$E$1216,5,0),+AO552)</f>
        <v>12.75</v>
      </c>
      <c r="BG552" s="3747">
        <f t="shared" si="148"/>
        <v>0</v>
      </c>
    </row>
    <row r="553" spans="1:234" ht="13.5" customHeight="1" x14ac:dyDescent="0.25">
      <c r="A553" s="1270" t="s">
        <v>10362</v>
      </c>
      <c r="B553" s="1271" t="s">
        <v>10338</v>
      </c>
      <c r="C553" s="1272" t="s">
        <v>10363</v>
      </c>
      <c r="D553" s="1273" t="s">
        <v>189</v>
      </c>
      <c r="E553" s="1272" t="s">
        <v>905</v>
      </c>
      <c r="F553" s="1274">
        <v>43913</v>
      </c>
      <c r="G553" s="3757">
        <v>43864</v>
      </c>
      <c r="H553" s="1274">
        <v>43903</v>
      </c>
      <c r="I553" s="1276">
        <v>44286</v>
      </c>
      <c r="J553" s="1277">
        <v>10</v>
      </c>
      <c r="K553" s="1278" t="s">
        <v>3229</v>
      </c>
      <c r="L553" s="1279">
        <v>0.06</v>
      </c>
      <c r="M553" s="1280">
        <v>-0.8</v>
      </c>
      <c r="N553" s="1281">
        <v>0.7</v>
      </c>
      <c r="O553" s="1282">
        <v>0.6</v>
      </c>
      <c r="P553" s="1283" t="s">
        <v>3229</v>
      </c>
      <c r="Q553" s="1283">
        <v>0.06</v>
      </c>
      <c r="R553" s="1284">
        <v>0.2</v>
      </c>
      <c r="S553" s="1285">
        <v>2</v>
      </c>
      <c r="T553" s="1286" t="s">
        <v>3229</v>
      </c>
      <c r="U553" s="1286" t="s">
        <v>3229</v>
      </c>
      <c r="V553" s="1286" t="s">
        <v>3229</v>
      </c>
      <c r="W553" s="1286" t="s">
        <v>3229</v>
      </c>
      <c r="X553" s="1286" t="s">
        <v>3229</v>
      </c>
      <c r="Y553" s="1286" t="s">
        <v>3229</v>
      </c>
      <c r="Z553" s="1286" t="s">
        <v>3229</v>
      </c>
      <c r="AA553" s="1286" t="s">
        <v>3229</v>
      </c>
      <c r="AB553" s="1286" t="s">
        <v>3229</v>
      </c>
      <c r="AC553" s="1286" t="s">
        <v>3229</v>
      </c>
      <c r="AD553" s="1286" t="s">
        <v>3229</v>
      </c>
      <c r="AE553" s="1286" t="s">
        <v>3229</v>
      </c>
      <c r="AF553" s="3764" t="s">
        <v>781</v>
      </c>
      <c r="AG553" s="3765"/>
      <c r="AH553" s="1287" t="s">
        <v>9786</v>
      </c>
      <c r="AI553" s="1288"/>
      <c r="AJ553" s="1288"/>
      <c r="AK553" s="1288"/>
      <c r="AL553" s="1288"/>
      <c r="AM553" s="1288"/>
      <c r="AN553" s="1289">
        <f>+'klikací hodnoty'!F18133</f>
        <v>0.06</v>
      </c>
      <c r="AO553" s="1290">
        <v>10.199999999999999</v>
      </c>
      <c r="AP553" s="1371">
        <f>+'klikací hodnoty'!F18132</f>
        <v>9.3812385388675423E-2</v>
      </c>
      <c r="AQ553" s="1281">
        <f>+'klikací hodnoty'!F18132</f>
        <v>9.3812385388675423E-2</v>
      </c>
      <c r="AR553" s="1291">
        <f t="shared" si="163"/>
        <v>0.6</v>
      </c>
      <c r="AS553" s="1292">
        <f>POWER(1+AR553,1/((I553-F553)/365))-1</f>
        <v>0.58395220995202224</v>
      </c>
      <c r="AT553" s="1292"/>
      <c r="AU553" s="1293"/>
      <c r="AV553" s="1294">
        <f t="shared" si="161"/>
        <v>-0.8</v>
      </c>
      <c r="AW553" s="1295">
        <f t="shared" si="162"/>
        <v>-0.79297570735558498</v>
      </c>
      <c r="AX553" s="1296"/>
      <c r="AY553" s="1297"/>
      <c r="AZ553" s="1298">
        <f t="shared" si="164"/>
        <v>1.9999999999999996</v>
      </c>
      <c r="BA553" s="1959"/>
      <c r="BB553" s="1285"/>
      <c r="BC553" s="1300"/>
      <c r="BF553" s="3746" cm="1">
        <f t="array" ref="BF553">IFERROR(+VLOOKUP(C553,+[6]NAV_ALL_20240408111714!$A$2:$E$1216,5,0),+AO553)</f>
        <v>10.199999999999999</v>
      </c>
      <c r="BG553" s="3747">
        <f t="shared" si="148"/>
        <v>0</v>
      </c>
      <c r="BH553" s="3763"/>
      <c r="BI553" s="3763"/>
      <c r="BJ553" s="1639"/>
      <c r="BK553" s="1639"/>
      <c r="BL553" s="1639"/>
      <c r="BM553" s="1639"/>
      <c r="BN553" s="1639"/>
      <c r="BO553" s="1639"/>
      <c r="BP553" s="1639"/>
      <c r="BQ553" s="1639"/>
      <c r="BR553" s="1639"/>
      <c r="BS553" s="509"/>
      <c r="BT553" s="509"/>
      <c r="BU553" s="509"/>
      <c r="BV553" s="509"/>
      <c r="BW553" s="509"/>
      <c r="BX553" s="509"/>
      <c r="BY553" s="509"/>
      <c r="BZ553" s="509"/>
      <c r="CA553" s="509"/>
      <c r="CB553" s="509"/>
      <c r="CC553" s="509"/>
      <c r="CD553" s="509"/>
      <c r="CE553" s="509"/>
      <c r="CF553" s="509"/>
      <c r="CG553" s="509"/>
      <c r="CH553" s="509"/>
      <c r="CI553" s="509"/>
      <c r="CJ553" s="509"/>
      <c r="CK553" s="509"/>
      <c r="CL553" s="509"/>
      <c r="CM553" s="509"/>
      <c r="CN553" s="509"/>
      <c r="CO553" s="509"/>
      <c r="CP553" s="509"/>
      <c r="CQ553" s="509"/>
      <c r="CR553" s="509"/>
      <c r="CS553" s="509"/>
      <c r="CT553" s="509"/>
      <c r="CU553" s="509"/>
      <c r="CV553" s="509"/>
      <c r="CW553" s="509"/>
      <c r="CX553" s="509"/>
      <c r="CY553" s="509"/>
      <c r="CZ553" s="509"/>
      <c r="DA553" s="509"/>
      <c r="DB553" s="509"/>
      <c r="DC553" s="509"/>
      <c r="DD553" s="509"/>
      <c r="DE553" s="509"/>
      <c r="DF553" s="509"/>
      <c r="DG553" s="509"/>
      <c r="DH553" s="509"/>
      <c r="DI553" s="509"/>
      <c r="DJ553" s="509"/>
      <c r="DK553" s="509"/>
      <c r="DL553" s="509"/>
      <c r="DM553" s="509"/>
      <c r="DN553" s="509"/>
      <c r="DO553" s="509"/>
      <c r="DP553" s="509"/>
      <c r="DQ553" s="509"/>
      <c r="DR553" s="509"/>
      <c r="DS553" s="509"/>
      <c r="DT553" s="509"/>
      <c r="DU553" s="509"/>
      <c r="DV553" s="509"/>
      <c r="DW553" s="509"/>
      <c r="DX553" s="509"/>
      <c r="DY553" s="509"/>
      <c r="DZ553" s="509"/>
      <c r="EA553" s="509"/>
      <c r="EB553" s="509"/>
      <c r="EC553" s="509"/>
      <c r="ED553" s="509"/>
      <c r="EE553" s="509"/>
      <c r="EF553" s="509"/>
      <c r="EG553" s="509"/>
      <c r="EH553" s="509"/>
      <c r="EI553" s="509"/>
      <c r="EJ553" s="509"/>
      <c r="EK553" s="509"/>
      <c r="EL553" s="509"/>
      <c r="EM553" s="509"/>
      <c r="EN553" s="509"/>
      <c r="EO553" s="509"/>
      <c r="EP553" s="509"/>
      <c r="EQ553" s="509"/>
      <c r="ER553" s="509"/>
      <c r="ES553" s="509"/>
      <c r="ET553" s="509"/>
      <c r="EU553" s="509"/>
      <c r="EV553" s="509"/>
      <c r="EW553" s="509"/>
      <c r="EX553" s="509"/>
      <c r="EY553" s="509"/>
      <c r="EZ553" s="509"/>
      <c r="FA553" s="509"/>
      <c r="FB553" s="509"/>
      <c r="FC553" s="509"/>
      <c r="FD553" s="509"/>
      <c r="FE553" s="509"/>
      <c r="FF553" s="509"/>
      <c r="FG553" s="509"/>
      <c r="FH553" s="509"/>
      <c r="FI553" s="509"/>
      <c r="FJ553" s="509"/>
      <c r="FK553" s="509"/>
      <c r="FL553" s="509"/>
      <c r="FM553" s="509"/>
      <c r="FN553" s="509"/>
      <c r="FO553" s="509"/>
      <c r="FP553" s="509"/>
      <c r="FQ553" s="509"/>
      <c r="FR553" s="509"/>
      <c r="FS553" s="509"/>
      <c r="FT553" s="509"/>
      <c r="FU553" s="509"/>
      <c r="FV553" s="509"/>
      <c r="FW553" s="509"/>
      <c r="FX553" s="509"/>
      <c r="FY553" s="509"/>
      <c r="FZ553" s="509"/>
      <c r="GA553" s="509"/>
      <c r="GB553" s="509"/>
      <c r="GC553" s="509"/>
      <c r="GD553" s="509"/>
      <c r="GE553" s="509"/>
      <c r="GF553" s="509"/>
      <c r="GG553" s="509"/>
      <c r="GH553" s="509"/>
      <c r="GI553" s="509"/>
      <c r="GJ553" s="509"/>
      <c r="GK553" s="509"/>
      <c r="GL553" s="509"/>
      <c r="GM553" s="509"/>
      <c r="GN553" s="509"/>
      <c r="GO553" s="509"/>
      <c r="GP553" s="509"/>
      <c r="GQ553" s="509"/>
      <c r="GR553" s="509"/>
      <c r="GS553" s="509"/>
      <c r="GT553" s="509"/>
      <c r="GU553" s="509"/>
      <c r="GV553" s="509"/>
      <c r="GW553" s="509"/>
      <c r="GX553" s="509"/>
      <c r="GY553" s="509"/>
      <c r="GZ553" s="509"/>
      <c r="HA553" s="509"/>
      <c r="HB553" s="509"/>
      <c r="HC553" s="509"/>
      <c r="HD553" s="509"/>
      <c r="HE553" s="509"/>
      <c r="HF553" s="509"/>
      <c r="HG553" s="509"/>
      <c r="HH553" s="509"/>
      <c r="HI553" s="509"/>
      <c r="HJ553" s="509"/>
      <c r="HK553" s="509"/>
      <c r="HL553" s="509"/>
      <c r="HM553" s="509"/>
      <c r="HN553" s="509"/>
      <c r="HO553" s="509"/>
      <c r="HP553" s="509"/>
      <c r="HQ553" s="509"/>
      <c r="HR553" s="509"/>
      <c r="HS553" s="509"/>
      <c r="HT553" s="509"/>
      <c r="HU553" s="509"/>
      <c r="HV553" s="509"/>
      <c r="HW553" s="509"/>
      <c r="HX553" s="509"/>
      <c r="HY553" s="509"/>
      <c r="HZ553" s="509"/>
    </row>
    <row r="554" spans="1:234" x14ac:dyDescent="0.25">
      <c r="A554" t="s">
        <v>10364</v>
      </c>
      <c r="B554" s="1640" t="s">
        <v>10339</v>
      </c>
      <c r="C554" s="52" t="s">
        <v>10365</v>
      </c>
      <c r="D554" s="574" t="s">
        <v>6934</v>
      </c>
      <c r="E554" s="52" t="s">
        <v>3228</v>
      </c>
      <c r="F554" s="53">
        <v>43936</v>
      </c>
      <c r="G554" s="53">
        <v>43864</v>
      </c>
      <c r="H554" s="614">
        <v>43921</v>
      </c>
      <c r="I554" s="249">
        <v>46052</v>
      </c>
      <c r="J554" s="103">
        <v>10</v>
      </c>
      <c r="K554" s="46" t="s">
        <v>3229</v>
      </c>
      <c r="L554" s="50" t="s">
        <v>3229</v>
      </c>
      <c r="M554" s="48">
        <v>0</v>
      </c>
      <c r="N554" s="615">
        <v>1</v>
      </c>
      <c r="O554" s="241">
        <v>0.6</v>
      </c>
      <c r="P554" s="153" t="s">
        <v>3229</v>
      </c>
      <c r="Q554" s="89" t="s">
        <v>3229</v>
      </c>
      <c r="R554" s="618" t="s">
        <v>3229</v>
      </c>
      <c r="S554" s="1683">
        <v>1</v>
      </c>
      <c r="T554" s="437" t="s">
        <v>3229</v>
      </c>
      <c r="U554" s="196" t="s">
        <v>3229</v>
      </c>
      <c r="V554" s="196" t="s">
        <v>3229</v>
      </c>
      <c r="W554" s="196" t="s">
        <v>3229</v>
      </c>
      <c r="X554" s="196" t="s">
        <v>3229</v>
      </c>
      <c r="Y554" s="196" t="s">
        <v>3229</v>
      </c>
      <c r="Z554" s="196" t="s">
        <v>3229</v>
      </c>
      <c r="AA554" s="196" t="s">
        <v>3229</v>
      </c>
      <c r="AB554" s="196" t="s">
        <v>3229</v>
      </c>
      <c r="AC554" s="196" t="s">
        <v>3229</v>
      </c>
      <c r="AD554" s="196" t="s">
        <v>3229</v>
      </c>
      <c r="AE554" s="1631" t="s">
        <v>3229</v>
      </c>
      <c r="AF554" s="1682">
        <v>1</v>
      </c>
      <c r="AG554" s="55">
        <f>(I554-indexy!$B$1)/365</f>
        <v>1.8438356164383563</v>
      </c>
      <c r="AH554" s="88" t="s">
        <v>3229</v>
      </c>
      <c r="AI554" s="259" t="s">
        <v>3229</v>
      </c>
      <c r="AJ554" s="259" t="s">
        <v>3229</v>
      </c>
      <c r="AK554" s="259" t="s">
        <v>3229</v>
      </c>
      <c r="AL554" s="259" t="s">
        <v>3229</v>
      </c>
      <c r="AM554" s="126">
        <v>1</v>
      </c>
      <c r="AN554" s="685">
        <f>+'klikací hodnoty'!F18189</f>
        <v>0.42488327031271572</v>
      </c>
      <c r="AO554" s="317">
        <v>12.76</v>
      </c>
      <c r="AP554" s="1616">
        <f>+'klikací hodnoty'!E18188</f>
        <v>0.42488327031271572</v>
      </c>
      <c r="AQ554" s="1685">
        <f>+'klikací hodnoty'!F18169</f>
        <v>0.42488327031271583</v>
      </c>
      <c r="AR554" s="1357">
        <f t="shared" si="163"/>
        <v>0.6</v>
      </c>
      <c r="AS554" s="1358">
        <f>POWER(1+AR554,1/((I554-F554)/365))-1</f>
        <v>8.4450497577479355E-2</v>
      </c>
      <c r="AT554" s="1358"/>
      <c r="AU554" s="1359"/>
      <c r="AV554" s="1360">
        <f t="shared" si="161"/>
        <v>0</v>
      </c>
      <c r="AW554" s="1360">
        <f t="shared" si="162"/>
        <v>0</v>
      </c>
      <c r="AX554" s="1361"/>
      <c r="AY554" s="435"/>
      <c r="AZ554" s="1724">
        <f t="shared" si="164"/>
        <v>10</v>
      </c>
      <c r="BA554" s="138"/>
      <c r="BB554" s="76"/>
      <c r="BC554" s="75"/>
      <c r="BF554" s="3746" cm="1">
        <f t="array" ref="BF554">IFERROR(+VLOOKUP(C554,+[6]NAV_ALL_20240408111714!$A$2:$E$1216,5,0),+AO554)</f>
        <v>12.76</v>
      </c>
      <c r="BG554" s="3747">
        <f t="shared" ref="BG554:BG577" si="165">+BF554/AO554-1</f>
        <v>0</v>
      </c>
    </row>
    <row r="555" spans="1:234" ht="13.5" customHeight="1" x14ac:dyDescent="0.25">
      <c r="A555" s="1270" t="s">
        <v>10366</v>
      </c>
      <c r="B555" s="1271" t="s">
        <v>10340</v>
      </c>
      <c r="C555" s="1272" t="s">
        <v>10367</v>
      </c>
      <c r="D555" s="1273" t="s">
        <v>189</v>
      </c>
      <c r="E555" s="1272" t="s">
        <v>3228</v>
      </c>
      <c r="F555" s="1274">
        <v>43962</v>
      </c>
      <c r="G555" s="3757">
        <v>43892</v>
      </c>
      <c r="H555" s="1274">
        <v>43951</v>
      </c>
      <c r="I555" s="1276">
        <v>44347</v>
      </c>
      <c r="J555" s="1277">
        <v>10</v>
      </c>
      <c r="K555" s="1278" t="s">
        <v>3229</v>
      </c>
      <c r="L555" s="1279">
        <v>0.06</v>
      </c>
      <c r="M555" s="1280">
        <v>-0.8</v>
      </c>
      <c r="N555" s="1281">
        <v>1</v>
      </c>
      <c r="O555" s="1282">
        <v>0.6</v>
      </c>
      <c r="P555" s="1283" t="s">
        <v>3229</v>
      </c>
      <c r="Q555" s="1283">
        <v>0.06</v>
      </c>
      <c r="R555" s="1284">
        <v>0.2</v>
      </c>
      <c r="S555" s="1285">
        <v>2</v>
      </c>
      <c r="T555" s="1286" t="s">
        <v>3229</v>
      </c>
      <c r="U555" s="1286" t="s">
        <v>3229</v>
      </c>
      <c r="V555" s="1286" t="s">
        <v>3229</v>
      </c>
      <c r="W555" s="1286" t="s">
        <v>3229</v>
      </c>
      <c r="X555" s="1286" t="s">
        <v>3229</v>
      </c>
      <c r="Y555" s="1286" t="s">
        <v>3229</v>
      </c>
      <c r="Z555" s="1286" t="s">
        <v>3229</v>
      </c>
      <c r="AA555" s="1286" t="s">
        <v>3229</v>
      </c>
      <c r="AB555" s="1286" t="s">
        <v>3229</v>
      </c>
      <c r="AC555" s="1286" t="s">
        <v>3229</v>
      </c>
      <c r="AD555" s="1286" t="s">
        <v>3229</v>
      </c>
      <c r="AE555" s="1286" t="s">
        <v>3229</v>
      </c>
      <c r="AF555" s="3764" t="s">
        <v>781</v>
      </c>
      <c r="AG555" s="3765">
        <f>(I555-indexy!$B$1)/365</f>
        <v>-2.8273972602739725</v>
      </c>
      <c r="AH555" s="1287">
        <v>1</v>
      </c>
      <c r="AI555" s="1288" t="s">
        <v>3229</v>
      </c>
      <c r="AJ555" s="1288" t="s">
        <v>3229</v>
      </c>
      <c r="AK555" s="1288" t="s">
        <v>3229</v>
      </c>
      <c r="AL555" s="1288" t="s">
        <v>3229</v>
      </c>
      <c r="AM555" s="1288" t="s">
        <v>3229</v>
      </c>
      <c r="AN555" s="1289">
        <f>+'klikací hodnoty'!F18195</f>
        <v>0.06</v>
      </c>
      <c r="AO555" s="1290">
        <v>10.199999999999999</v>
      </c>
      <c r="AP555" s="1371">
        <f>+'klikací hodnoty'!H18192</f>
        <v>0.46544859487851409</v>
      </c>
      <c r="AQ555" s="1281">
        <f>+'klikací hodnoty'!G18192</f>
        <v>0.39217616513458831</v>
      </c>
      <c r="AR555" s="1291">
        <f t="shared" si="163"/>
        <v>0.6</v>
      </c>
      <c r="AS555" s="1292">
        <f>POWER(1+AR555,1/((I555-F555)/365))-1</f>
        <v>0.56140780950817004</v>
      </c>
      <c r="AT555" s="1292"/>
      <c r="AU555" s="1293"/>
      <c r="AV555" s="1294">
        <f t="shared" si="161"/>
        <v>-0.8</v>
      </c>
      <c r="AW555" s="1295">
        <f t="shared" si="162"/>
        <v>-0.78255965635157421</v>
      </c>
      <c r="AX555" s="1296"/>
      <c r="AY555" s="1297"/>
      <c r="AZ555" s="1298">
        <f t="shared" si="164"/>
        <v>1.9999999999999996</v>
      </c>
      <c r="BA555" s="1959"/>
      <c r="BB555" s="1285"/>
      <c r="BC555" s="1300"/>
      <c r="BF555" s="3746" cm="1">
        <f t="array" ref="BF555">IFERROR(+VLOOKUP(C555,+[6]NAV_ALL_20240408111714!$A$2:$E$1216,5,0),+AO555)</f>
        <v>10.199999999999999</v>
      </c>
      <c r="BG555" s="3747">
        <f t="shared" si="165"/>
        <v>0</v>
      </c>
      <c r="BH555" s="3763"/>
      <c r="BI555" s="3763"/>
      <c r="BJ555" s="1639"/>
      <c r="BK555" s="1639"/>
      <c r="BL555" s="1639"/>
      <c r="BM555" s="1639"/>
      <c r="BN555" s="1639"/>
      <c r="BO555" s="1639"/>
      <c r="BP555" s="1639"/>
      <c r="BQ555" s="1639"/>
      <c r="BR555" s="1639"/>
      <c r="BS555" s="509"/>
      <c r="BT555" s="509"/>
      <c r="BU555" s="509"/>
      <c r="BV555" s="509"/>
      <c r="BW555" s="509"/>
      <c r="BX555" s="509"/>
      <c r="BY555" s="509"/>
      <c r="BZ555" s="509"/>
      <c r="CA555" s="509"/>
      <c r="CB555" s="509"/>
      <c r="CC555" s="509"/>
      <c r="CD555" s="509"/>
      <c r="CE555" s="509"/>
      <c r="CF555" s="509"/>
      <c r="CG555" s="509"/>
      <c r="CH555" s="509"/>
      <c r="CI555" s="509"/>
      <c r="CJ555" s="509"/>
      <c r="CK555" s="509"/>
      <c r="CL555" s="509"/>
      <c r="CM555" s="509"/>
      <c r="CN555" s="509"/>
      <c r="CO555" s="509"/>
      <c r="CP555" s="509"/>
      <c r="CQ555" s="509"/>
      <c r="CR555" s="509"/>
      <c r="CS555" s="509"/>
      <c r="CT555" s="509"/>
      <c r="CU555" s="509"/>
      <c r="CV555" s="509"/>
      <c r="CW555" s="509"/>
      <c r="CX555" s="509"/>
      <c r="CY555" s="509"/>
      <c r="CZ555" s="509"/>
      <c r="DA555" s="509"/>
      <c r="DB555" s="509"/>
      <c r="DC555" s="509"/>
      <c r="DD555" s="509"/>
      <c r="DE555" s="509"/>
      <c r="DF555" s="509"/>
      <c r="DG555" s="509"/>
      <c r="DH555" s="509"/>
      <c r="DI555" s="509"/>
      <c r="DJ555" s="509"/>
      <c r="DK555" s="509"/>
      <c r="DL555" s="509"/>
      <c r="DM555" s="509"/>
      <c r="DN555" s="509"/>
      <c r="DO555" s="509"/>
      <c r="DP555" s="509"/>
      <c r="DQ555" s="509"/>
      <c r="DR555" s="509"/>
      <c r="DS555" s="509"/>
      <c r="DT555" s="509"/>
      <c r="DU555" s="509"/>
      <c r="DV555" s="509"/>
      <c r="DW555" s="509"/>
      <c r="DX555" s="509"/>
      <c r="DY555" s="509"/>
      <c r="DZ555" s="509"/>
      <c r="EA555" s="509"/>
      <c r="EB555" s="509"/>
      <c r="EC555" s="509"/>
      <c r="ED555" s="509"/>
      <c r="EE555" s="509"/>
      <c r="EF555" s="509"/>
      <c r="EG555" s="509"/>
      <c r="EH555" s="509"/>
      <c r="EI555" s="509"/>
      <c r="EJ555" s="509"/>
      <c r="EK555" s="509"/>
      <c r="EL555" s="509"/>
      <c r="EM555" s="509"/>
      <c r="EN555" s="509"/>
      <c r="EO555" s="509"/>
      <c r="EP555" s="509"/>
      <c r="EQ555" s="509"/>
      <c r="ER555" s="509"/>
      <c r="ES555" s="509"/>
      <c r="ET555" s="509"/>
      <c r="EU555" s="509"/>
      <c r="EV555" s="509"/>
      <c r="EW555" s="509"/>
      <c r="EX555" s="509"/>
      <c r="EY555" s="509"/>
      <c r="EZ555" s="509"/>
      <c r="FA555" s="509"/>
      <c r="FB555" s="509"/>
      <c r="FC555" s="509"/>
      <c r="FD555" s="509"/>
      <c r="FE555" s="509"/>
      <c r="FF555" s="509"/>
      <c r="FG555" s="509"/>
      <c r="FH555" s="509"/>
      <c r="FI555" s="509"/>
      <c r="FJ555" s="509"/>
      <c r="FK555" s="509"/>
      <c r="FL555" s="509"/>
      <c r="FM555" s="509"/>
      <c r="FN555" s="509"/>
      <c r="FO555" s="509"/>
      <c r="FP555" s="509"/>
      <c r="FQ555" s="509"/>
      <c r="FR555" s="509"/>
      <c r="FS555" s="509"/>
      <c r="FT555" s="509"/>
      <c r="FU555" s="509"/>
      <c r="FV555" s="509"/>
      <c r="FW555" s="509"/>
      <c r="FX555" s="509"/>
      <c r="FY555" s="509"/>
      <c r="FZ555" s="509"/>
      <c r="GA555" s="509"/>
      <c r="GB555" s="509"/>
      <c r="GC555" s="509"/>
      <c r="GD555" s="509"/>
      <c r="GE555" s="509"/>
      <c r="GF555" s="509"/>
      <c r="GG555" s="509"/>
      <c r="GH555" s="509"/>
      <c r="GI555" s="509"/>
      <c r="GJ555" s="509"/>
      <c r="GK555" s="509"/>
      <c r="GL555" s="509"/>
      <c r="GM555" s="509"/>
      <c r="GN555" s="509"/>
      <c r="GO555" s="509"/>
      <c r="GP555" s="509"/>
      <c r="GQ555" s="509"/>
      <c r="GR555" s="509"/>
      <c r="GS555" s="509"/>
      <c r="GT555" s="509"/>
      <c r="GU555" s="509"/>
      <c r="GV555" s="509"/>
      <c r="GW555" s="509"/>
      <c r="GX555" s="509"/>
      <c r="GY555" s="509"/>
      <c r="GZ555" s="509"/>
      <c r="HA555" s="509"/>
      <c r="HB555" s="509"/>
      <c r="HC555" s="509"/>
      <c r="HD555" s="509"/>
      <c r="HE555" s="509"/>
      <c r="HF555" s="509"/>
      <c r="HG555" s="509"/>
      <c r="HH555" s="509"/>
      <c r="HI555" s="509"/>
      <c r="HJ555" s="509"/>
      <c r="HK555" s="509"/>
      <c r="HL555" s="509"/>
      <c r="HM555" s="509"/>
      <c r="HN555" s="509"/>
      <c r="HO555" s="509"/>
      <c r="HP555" s="509"/>
      <c r="HQ555" s="509"/>
      <c r="HR555" s="509"/>
      <c r="HS555" s="509"/>
      <c r="HT555" s="509"/>
      <c r="HU555" s="509"/>
      <c r="HV555" s="509"/>
      <c r="HW555" s="509"/>
      <c r="HX555" s="509"/>
      <c r="HY555" s="509"/>
      <c r="HZ555" s="509"/>
    </row>
    <row r="556" spans="1:234" x14ac:dyDescent="0.25">
      <c r="A556" t="s">
        <v>10433</v>
      </c>
      <c r="B556" s="1640" t="s">
        <v>10404</v>
      </c>
      <c r="C556" s="52" t="s">
        <v>10434</v>
      </c>
      <c r="D556" s="574" t="s">
        <v>189</v>
      </c>
      <c r="E556" s="52" t="s">
        <v>3228</v>
      </c>
      <c r="F556" s="53">
        <v>44021</v>
      </c>
      <c r="G556" s="53">
        <v>43955</v>
      </c>
      <c r="H556" s="614">
        <v>43955</v>
      </c>
      <c r="I556" s="249">
        <v>46142</v>
      </c>
      <c r="J556" s="103">
        <v>10</v>
      </c>
      <c r="K556" s="46" t="s">
        <v>3229</v>
      </c>
      <c r="L556" s="50" t="s">
        <v>3229</v>
      </c>
      <c r="M556" s="48">
        <v>-1</v>
      </c>
      <c r="N556" s="615">
        <v>2.5</v>
      </c>
      <c r="O556" s="241" t="s">
        <v>3229</v>
      </c>
      <c r="P556" s="153">
        <v>0.4</v>
      </c>
      <c r="Q556" s="89" t="s">
        <v>3229</v>
      </c>
      <c r="R556" s="618" t="s">
        <v>3229</v>
      </c>
      <c r="S556" s="1683">
        <v>1</v>
      </c>
      <c r="T556" s="437" t="s">
        <v>3229</v>
      </c>
      <c r="U556" s="196" t="s">
        <v>3229</v>
      </c>
      <c r="V556" s="196" t="s">
        <v>3229</v>
      </c>
      <c r="W556" s="196" t="s">
        <v>3229</v>
      </c>
      <c r="X556" s="196" t="s">
        <v>3229</v>
      </c>
      <c r="Y556" s="196" t="s">
        <v>3229</v>
      </c>
      <c r="Z556" s="196" t="s">
        <v>3229</v>
      </c>
      <c r="AA556" s="196" t="s">
        <v>3229</v>
      </c>
      <c r="AB556" s="196" t="s">
        <v>3229</v>
      </c>
      <c r="AC556" s="196" t="s">
        <v>3229</v>
      </c>
      <c r="AD556" s="196" t="s">
        <v>3229</v>
      </c>
      <c r="AE556" s="1631" t="s">
        <v>3229</v>
      </c>
      <c r="AF556" s="1682">
        <v>1</v>
      </c>
      <c r="AG556" s="55">
        <f>(I556-indexy!$B$1)/365</f>
        <v>2.0904109589041098</v>
      </c>
      <c r="AH556" s="88" t="s">
        <v>3229</v>
      </c>
      <c r="AI556" s="259" t="s">
        <v>3229</v>
      </c>
      <c r="AJ556" s="259" t="s">
        <v>3229</v>
      </c>
      <c r="AK556" s="259" t="s">
        <v>3229</v>
      </c>
      <c r="AL556" s="259" t="s">
        <v>3229</v>
      </c>
      <c r="AM556" s="126">
        <v>1</v>
      </c>
      <c r="AN556" s="685">
        <f>+'klikací hodnoty'!F18248</f>
        <v>0.61475442131830549</v>
      </c>
      <c r="AO556" s="317">
        <v>15.05</v>
      </c>
      <c r="AP556" s="1616">
        <f>+'klikací hodnoty'!F18247</f>
        <v>0.24590176852732221</v>
      </c>
      <c r="AQ556" s="1685">
        <f>+'klikací hodnoty'!F18228</f>
        <v>0.24590176852732221</v>
      </c>
      <c r="AR556" s="1357" t="str">
        <f t="shared" si="163"/>
        <v>-</v>
      </c>
      <c r="AS556" s="1358" t="s">
        <v>3660</v>
      </c>
      <c r="AT556" s="1358"/>
      <c r="AU556" s="1359"/>
      <c r="AV556" s="1360">
        <f t="shared" ref="AV556:AV561" si="166">M556</f>
        <v>-1</v>
      </c>
      <c r="AW556" s="1360">
        <f t="shared" ref="AW556:AW561" si="167">POWER(1+AV556,1/((I556-F556)/365))-1</f>
        <v>-1</v>
      </c>
      <c r="AX556" s="1361"/>
      <c r="AY556" s="435"/>
      <c r="AZ556" s="1724">
        <f t="shared" si="164"/>
        <v>0</v>
      </c>
      <c r="BA556" s="138"/>
      <c r="BB556" s="76"/>
      <c r="BC556" s="75"/>
      <c r="BF556" s="3746" cm="1">
        <f t="array" ref="BF556">IFERROR(+VLOOKUP(C556,+[6]NAV_ALL_20240408111714!$A$2:$E$1216,5,0),+AO556)</f>
        <v>15.05</v>
      </c>
      <c r="BG556" s="3747">
        <f t="shared" si="165"/>
        <v>0</v>
      </c>
    </row>
    <row r="557" spans="1:234" x14ac:dyDescent="0.25">
      <c r="A557" t="s">
        <v>10438</v>
      </c>
      <c r="B557" s="1640" t="s">
        <v>10407</v>
      </c>
      <c r="C557" s="52" t="s">
        <v>10439</v>
      </c>
      <c r="D557" s="574" t="s">
        <v>189</v>
      </c>
      <c r="E557" s="52" t="s">
        <v>3228</v>
      </c>
      <c r="F557" s="53">
        <v>44053</v>
      </c>
      <c r="G557" s="53">
        <v>43983</v>
      </c>
      <c r="H557" s="614">
        <v>44043</v>
      </c>
      <c r="I557" s="249">
        <v>46171</v>
      </c>
      <c r="J557" s="103">
        <v>10</v>
      </c>
      <c r="K557" s="46" t="s">
        <v>3229</v>
      </c>
      <c r="L557" s="50" t="s">
        <v>3229</v>
      </c>
      <c r="M557" s="48">
        <v>-0.8</v>
      </c>
      <c r="N557" s="615">
        <v>1</v>
      </c>
      <c r="O557" s="241">
        <v>0.6</v>
      </c>
      <c r="P557" s="153" t="s">
        <v>3229</v>
      </c>
      <c r="Q557" s="89" t="s">
        <v>3229</v>
      </c>
      <c r="R557" s="618">
        <v>0.2</v>
      </c>
      <c r="S557" s="1683">
        <v>1</v>
      </c>
      <c r="T557" s="437" t="s">
        <v>3229</v>
      </c>
      <c r="U557" s="196" t="s">
        <v>3229</v>
      </c>
      <c r="V557" s="196" t="s">
        <v>3229</v>
      </c>
      <c r="W557" s="196" t="s">
        <v>3229</v>
      </c>
      <c r="X557" s="196" t="s">
        <v>3229</v>
      </c>
      <c r="Y557" s="196" t="s">
        <v>3229</v>
      </c>
      <c r="Z557" s="196" t="s">
        <v>3229</v>
      </c>
      <c r="AA557" s="196" t="s">
        <v>3229</v>
      </c>
      <c r="AB557" s="196" t="s">
        <v>3229</v>
      </c>
      <c r="AC557" s="196" t="s">
        <v>3229</v>
      </c>
      <c r="AD557" s="196" t="s">
        <v>3229</v>
      </c>
      <c r="AE557" s="1631" t="s">
        <v>3229</v>
      </c>
      <c r="AF557" s="1682">
        <v>1</v>
      </c>
      <c r="AG557" s="55">
        <f>(I557-indexy!$B$1)/365</f>
        <v>2.1698630136986301</v>
      </c>
      <c r="AH557" s="88" t="s">
        <v>3229</v>
      </c>
      <c r="AI557" s="259" t="s">
        <v>3229</v>
      </c>
      <c r="AJ557" s="259" t="s">
        <v>3229</v>
      </c>
      <c r="AK557" s="259" t="s">
        <v>3229</v>
      </c>
      <c r="AL557" s="259" t="s">
        <v>3229</v>
      </c>
      <c r="AM557" s="126">
        <v>1</v>
      </c>
      <c r="AN557" s="685">
        <f>+'klikací hodnoty'!F18301</f>
        <v>0.31915945001675122</v>
      </c>
      <c r="AO557" s="317">
        <v>11.78</v>
      </c>
      <c r="AP557" s="1616">
        <f>+'klikací hodnoty'!F18300</f>
        <v>0.31915945001675122</v>
      </c>
      <c r="AQ557" s="1685">
        <f>+'klikací hodnoty'!F18281</f>
        <v>0.31915945001675128</v>
      </c>
      <c r="AR557" s="1357">
        <f t="shared" ref="AR557:AR562" si="168">O557</f>
        <v>0.6</v>
      </c>
      <c r="AS557" s="1358">
        <f>POWER(1+AR557,1/((I557-F557)/365))-1</f>
        <v>8.4367478947742214E-2</v>
      </c>
      <c r="AT557" s="1358"/>
      <c r="AU557" s="1359"/>
      <c r="AV557" s="1360">
        <f t="shared" si="166"/>
        <v>-0.8</v>
      </c>
      <c r="AW557" s="1360">
        <f t="shared" si="167"/>
        <v>-0.24221705036408758</v>
      </c>
      <c r="AX557" s="1361"/>
      <c r="AY557" s="435"/>
      <c r="AZ557" s="1724">
        <f t="shared" ref="AZ557:AZ562" si="169">J557*(1+AV557)</f>
        <v>1.9999999999999996</v>
      </c>
      <c r="BA557" s="138"/>
      <c r="BB557" s="76"/>
      <c r="BC557" s="75"/>
      <c r="BF557" s="3746" cm="1">
        <f t="array" ref="BF557">IFERROR(+VLOOKUP(C557,+[6]NAV_ALL_20240408111714!$A$2:$E$1216,5,0),+AO557)</f>
        <v>11.78</v>
      </c>
      <c r="BG557" s="3747">
        <f t="shared" si="165"/>
        <v>0</v>
      </c>
    </row>
    <row r="558" spans="1:234" ht="13.5" customHeight="1" x14ac:dyDescent="0.25">
      <c r="A558" s="1270" t="s">
        <v>10451</v>
      </c>
      <c r="B558" s="1271" t="s">
        <v>10450</v>
      </c>
      <c r="C558" s="1272" t="s">
        <v>10452</v>
      </c>
      <c r="D558" s="1273" t="s">
        <v>189</v>
      </c>
      <c r="E558" s="1272" t="s">
        <v>3228</v>
      </c>
      <c r="F558" s="1274">
        <v>44082</v>
      </c>
      <c r="G558" s="3757">
        <v>44013</v>
      </c>
      <c r="H558" s="1274">
        <v>44074</v>
      </c>
      <c r="I558" s="1276">
        <v>46295</v>
      </c>
      <c r="J558" s="1277">
        <v>10</v>
      </c>
      <c r="K558" s="1278" t="s">
        <v>3229</v>
      </c>
      <c r="L558" s="1279">
        <v>4.4999999999999998E-2</v>
      </c>
      <c r="M558" s="1280">
        <v>-1</v>
      </c>
      <c r="N558" s="1281" t="s">
        <v>3229</v>
      </c>
      <c r="O558" s="1282">
        <v>0.27</v>
      </c>
      <c r="P558" s="1283">
        <v>0.4</v>
      </c>
      <c r="Q558" s="1283">
        <v>1</v>
      </c>
      <c r="R558" s="1284" t="s">
        <v>3229</v>
      </c>
      <c r="S558" s="1285">
        <v>4</v>
      </c>
      <c r="T558" s="1286" t="s">
        <v>3229</v>
      </c>
      <c r="U558" s="1286" t="s">
        <v>3229</v>
      </c>
      <c r="V558" s="1286" t="s">
        <v>3229</v>
      </c>
      <c r="W558" s="1286" t="s">
        <v>3229</v>
      </c>
      <c r="X558" s="1286" t="s">
        <v>3229</v>
      </c>
      <c r="Y558" s="1286" t="s">
        <v>3229</v>
      </c>
      <c r="Z558" s="1286" t="s">
        <v>3229</v>
      </c>
      <c r="AA558" s="1286" t="s">
        <v>3229</v>
      </c>
      <c r="AB558" s="1286" t="s">
        <v>3229</v>
      </c>
      <c r="AC558" s="1286" t="s">
        <v>3229</v>
      </c>
      <c r="AD558" s="1286" t="s">
        <v>3229</v>
      </c>
      <c r="AE558" s="1286" t="s">
        <v>3229</v>
      </c>
      <c r="AF558" s="3764" t="s">
        <v>781</v>
      </c>
      <c r="AG558" s="3765">
        <f>(I558-indexy!$B$1)/365</f>
        <v>2.5095890410958903</v>
      </c>
      <c r="AH558" s="1287">
        <v>1</v>
      </c>
      <c r="AI558" s="1288" t="s">
        <v>3229</v>
      </c>
      <c r="AJ558" s="1288" t="s">
        <v>3229</v>
      </c>
      <c r="AK558" s="1288" t="s">
        <v>3229</v>
      </c>
      <c r="AL558" s="1288" t="s">
        <v>3229</v>
      </c>
      <c r="AM558" s="1288" t="s">
        <v>3229</v>
      </c>
      <c r="AN558" s="1289">
        <f>+'klikací hodnoty'!F18310</f>
        <v>0.13500000000000001</v>
      </c>
      <c r="AO558" s="1290">
        <v>11.35</v>
      </c>
      <c r="AP558" s="1371">
        <f>+'klikací hodnoty'!H18304</f>
        <v>0.24824900788234605</v>
      </c>
      <c r="AQ558" s="1281">
        <f>+'klikací hodnoty'!H18308</f>
        <v>0.24824900788234605</v>
      </c>
      <c r="AR558" s="1291">
        <f t="shared" si="168"/>
        <v>0.27</v>
      </c>
      <c r="AS558" s="1292">
        <f>POWER(1+AR558,1/((I558-F558)/365))-1</f>
        <v>4.0209492258940438E-2</v>
      </c>
      <c r="AT558" s="1292"/>
      <c r="AU558" s="1293"/>
      <c r="AV558" s="1294">
        <f t="shared" si="166"/>
        <v>-1</v>
      </c>
      <c r="AW558" s="1295">
        <f t="shared" si="167"/>
        <v>-1</v>
      </c>
      <c r="AX558" s="1296"/>
      <c r="AY558" s="1297"/>
      <c r="AZ558" s="1298">
        <f t="shared" si="169"/>
        <v>0</v>
      </c>
      <c r="BA558" s="1959"/>
      <c r="BB558" s="1285"/>
      <c r="BC558" s="1300"/>
      <c r="BF558" s="3746" cm="1">
        <f t="array" ref="BF558">IFERROR(+VLOOKUP(C558,+[6]NAV_ALL_20240408111714!$A$2:$E$1216,5,0),+AO558)</f>
        <v>11.35</v>
      </c>
      <c r="BG558" s="3747">
        <f t="shared" si="165"/>
        <v>0</v>
      </c>
      <c r="BH558" s="3763"/>
      <c r="BI558" s="3763"/>
      <c r="BJ558" s="1639"/>
      <c r="BK558" s="1639"/>
      <c r="BL558" s="1639"/>
      <c r="BM558" s="1639"/>
      <c r="BN558" s="1639"/>
      <c r="BO558" s="1639"/>
      <c r="BP558" s="1639"/>
      <c r="BQ558" s="1639"/>
      <c r="BR558" s="1639"/>
      <c r="BS558" s="509"/>
      <c r="BT558" s="509"/>
      <c r="BU558" s="509"/>
      <c r="BV558" s="509"/>
      <c r="BW558" s="509"/>
      <c r="BX558" s="509"/>
      <c r="BY558" s="509"/>
      <c r="BZ558" s="509"/>
      <c r="CA558" s="509"/>
      <c r="CB558" s="509"/>
      <c r="CC558" s="509"/>
      <c r="CD558" s="509"/>
      <c r="CE558" s="509"/>
      <c r="CF558" s="509"/>
      <c r="CG558" s="509"/>
      <c r="CH558" s="509"/>
      <c r="CI558" s="509"/>
      <c r="CJ558" s="509"/>
      <c r="CK558" s="509"/>
      <c r="CL558" s="509"/>
      <c r="CM558" s="509"/>
      <c r="CN558" s="509"/>
      <c r="CO558" s="509"/>
      <c r="CP558" s="509"/>
      <c r="CQ558" s="509"/>
      <c r="CR558" s="509"/>
      <c r="CS558" s="509"/>
      <c r="CT558" s="509"/>
      <c r="CU558" s="509"/>
      <c r="CV558" s="509"/>
      <c r="CW558" s="509"/>
      <c r="CX558" s="509"/>
      <c r="CY558" s="509"/>
      <c r="CZ558" s="509"/>
      <c r="DA558" s="509"/>
      <c r="DB558" s="509"/>
      <c r="DC558" s="509"/>
      <c r="DD558" s="509"/>
      <c r="DE558" s="509"/>
      <c r="DF558" s="509"/>
      <c r="DG558" s="509"/>
      <c r="DH558" s="509"/>
      <c r="DI558" s="509"/>
      <c r="DJ558" s="509"/>
      <c r="DK558" s="509"/>
      <c r="DL558" s="509"/>
      <c r="DM558" s="509"/>
      <c r="DN558" s="509"/>
      <c r="DO558" s="509"/>
      <c r="DP558" s="509"/>
      <c r="DQ558" s="509"/>
      <c r="DR558" s="509"/>
      <c r="DS558" s="509"/>
      <c r="DT558" s="509"/>
      <c r="DU558" s="509"/>
      <c r="DV558" s="509"/>
      <c r="DW558" s="509"/>
      <c r="DX558" s="509"/>
      <c r="DY558" s="509"/>
      <c r="DZ558" s="509"/>
      <c r="EA558" s="509"/>
      <c r="EB558" s="509"/>
      <c r="EC558" s="509"/>
      <c r="ED558" s="509"/>
      <c r="EE558" s="509"/>
      <c r="EF558" s="509"/>
      <c r="EG558" s="509"/>
      <c r="EH558" s="509"/>
      <c r="EI558" s="509"/>
      <c r="EJ558" s="509"/>
      <c r="EK558" s="509"/>
      <c r="EL558" s="509"/>
      <c r="EM558" s="509"/>
      <c r="EN558" s="509"/>
      <c r="EO558" s="509"/>
      <c r="EP558" s="509"/>
      <c r="EQ558" s="509"/>
      <c r="ER558" s="509"/>
      <c r="ES558" s="509"/>
      <c r="ET558" s="509"/>
      <c r="EU558" s="509"/>
      <c r="EV558" s="509"/>
      <c r="EW558" s="509"/>
      <c r="EX558" s="509"/>
      <c r="EY558" s="509"/>
      <c r="EZ558" s="509"/>
      <c r="FA558" s="509"/>
      <c r="FB558" s="509"/>
      <c r="FC558" s="509"/>
      <c r="FD558" s="509"/>
      <c r="FE558" s="509"/>
      <c r="FF558" s="509"/>
      <c r="FG558" s="509"/>
      <c r="FH558" s="509"/>
      <c r="FI558" s="509"/>
      <c r="FJ558" s="509"/>
      <c r="FK558" s="509"/>
      <c r="FL558" s="509"/>
      <c r="FM558" s="509"/>
      <c r="FN558" s="509"/>
      <c r="FO558" s="509"/>
      <c r="FP558" s="509"/>
      <c r="FQ558" s="509"/>
      <c r="FR558" s="509"/>
      <c r="FS558" s="509"/>
      <c r="FT558" s="509"/>
      <c r="FU558" s="509"/>
      <c r="FV558" s="509"/>
      <c r="FW558" s="509"/>
      <c r="FX558" s="509"/>
      <c r="FY558" s="509"/>
      <c r="FZ558" s="509"/>
      <c r="GA558" s="509"/>
      <c r="GB558" s="509"/>
      <c r="GC558" s="509"/>
      <c r="GD558" s="509"/>
      <c r="GE558" s="509"/>
      <c r="GF558" s="509"/>
      <c r="GG558" s="509"/>
      <c r="GH558" s="509"/>
      <c r="GI558" s="509"/>
      <c r="GJ558" s="509"/>
      <c r="GK558" s="509"/>
      <c r="GL558" s="509"/>
      <c r="GM558" s="509"/>
      <c r="GN558" s="509"/>
      <c r="GO558" s="509"/>
      <c r="GP558" s="509"/>
      <c r="GQ558" s="509"/>
      <c r="GR558" s="509"/>
      <c r="GS558" s="509"/>
      <c r="GT558" s="509"/>
      <c r="GU558" s="509"/>
      <c r="GV558" s="509"/>
      <c r="GW558" s="509"/>
      <c r="GX558" s="509"/>
      <c r="GY558" s="509"/>
      <c r="GZ558" s="509"/>
      <c r="HA558" s="509"/>
      <c r="HB558" s="509"/>
      <c r="HC558" s="509"/>
      <c r="HD558" s="509"/>
      <c r="HE558" s="509"/>
      <c r="HF558" s="509"/>
      <c r="HG558" s="509"/>
      <c r="HH558" s="509"/>
      <c r="HI558" s="509"/>
      <c r="HJ558" s="509"/>
      <c r="HK558" s="509"/>
      <c r="HL558" s="509"/>
      <c r="HM558" s="509"/>
      <c r="HN558" s="509"/>
      <c r="HO558" s="509"/>
      <c r="HP558" s="509"/>
      <c r="HQ558" s="509"/>
      <c r="HR558" s="509"/>
      <c r="HS558" s="509"/>
      <c r="HT558" s="509"/>
      <c r="HU558" s="509"/>
      <c r="HV558" s="509"/>
      <c r="HW558" s="509"/>
      <c r="HX558" s="509"/>
      <c r="HY558" s="509"/>
      <c r="HZ558" s="509"/>
    </row>
    <row r="559" spans="1:234" x14ac:dyDescent="0.25">
      <c r="A559" t="s">
        <v>10447</v>
      </c>
      <c r="B559" s="1640" t="s">
        <v>10448</v>
      </c>
      <c r="C559" s="52" t="s">
        <v>10449</v>
      </c>
      <c r="D559" s="574" t="s">
        <v>189</v>
      </c>
      <c r="E559" s="52" t="s">
        <v>3228</v>
      </c>
      <c r="F559" s="53">
        <v>44112</v>
      </c>
      <c r="G559" s="53">
        <v>44046</v>
      </c>
      <c r="H559" s="614">
        <v>44104</v>
      </c>
      <c r="I559" s="249">
        <v>46234</v>
      </c>
      <c r="J559" s="103">
        <v>10</v>
      </c>
      <c r="K559" s="46" t="s">
        <v>3229</v>
      </c>
      <c r="L559" s="50" t="s">
        <v>3229</v>
      </c>
      <c r="M559" s="48">
        <v>-0.85</v>
      </c>
      <c r="N559" s="615">
        <v>1</v>
      </c>
      <c r="O559" s="241">
        <v>0.6</v>
      </c>
      <c r="P559" s="153" t="s">
        <v>3229</v>
      </c>
      <c r="Q559" s="89" t="s">
        <v>3229</v>
      </c>
      <c r="R559" s="618">
        <v>0.15</v>
      </c>
      <c r="S559" s="1683">
        <v>1</v>
      </c>
      <c r="T559" s="437" t="s">
        <v>3229</v>
      </c>
      <c r="U559" s="196" t="s">
        <v>3229</v>
      </c>
      <c r="V559" s="196" t="s">
        <v>3229</v>
      </c>
      <c r="W559" s="196" t="s">
        <v>3229</v>
      </c>
      <c r="X559" s="196" t="s">
        <v>3229</v>
      </c>
      <c r="Y559" s="196" t="s">
        <v>3229</v>
      </c>
      <c r="Z559" s="196" t="s">
        <v>3229</v>
      </c>
      <c r="AA559" s="196" t="s">
        <v>3229</v>
      </c>
      <c r="AB559" s="196" t="s">
        <v>3229</v>
      </c>
      <c r="AC559" s="196" t="s">
        <v>3229</v>
      </c>
      <c r="AD559" s="196" t="s">
        <v>3229</v>
      </c>
      <c r="AE559" s="1631" t="s">
        <v>3229</v>
      </c>
      <c r="AF559" s="1682">
        <v>1</v>
      </c>
      <c r="AG559" s="55">
        <f>(I559-indexy!$B$1)/365</f>
        <v>2.3424657534246576</v>
      </c>
      <c r="AH559" s="88" t="s">
        <v>3229</v>
      </c>
      <c r="AI559" s="259" t="s">
        <v>3229</v>
      </c>
      <c r="AJ559" s="259" t="s">
        <v>3229</v>
      </c>
      <c r="AK559" s="259" t="s">
        <v>3229</v>
      </c>
      <c r="AL559" s="259" t="s">
        <v>3229</v>
      </c>
      <c r="AM559" s="126">
        <v>1</v>
      </c>
      <c r="AN559" s="685">
        <f>+'klikací hodnoty'!F18363</f>
        <v>0.13476315964399038</v>
      </c>
      <c r="AO559" s="317">
        <v>10.74</v>
      </c>
      <c r="AP559" s="1616">
        <f>+'klikací hodnoty'!F18362</f>
        <v>0.13476315964399038</v>
      </c>
      <c r="AQ559" s="1685">
        <f>+'klikací hodnoty'!F18343</f>
        <v>0.13476315964399033</v>
      </c>
      <c r="AR559" s="1357">
        <f t="shared" si="168"/>
        <v>0.6</v>
      </c>
      <c r="AS559" s="1358">
        <f>POWER(1+AR559,1/((I559-F559)/365))-1</f>
        <v>8.4201930138044334E-2</v>
      </c>
      <c r="AT559" s="1358"/>
      <c r="AU559" s="1359"/>
      <c r="AV559" s="1360">
        <f t="shared" si="166"/>
        <v>-0.85</v>
      </c>
      <c r="AW559" s="1360">
        <f t="shared" si="167"/>
        <v>-0.27842498969997964</v>
      </c>
      <c r="AX559" s="1361"/>
      <c r="AY559" s="435"/>
      <c r="AZ559" s="1724">
        <f t="shared" si="169"/>
        <v>1.5000000000000002</v>
      </c>
      <c r="BA559" s="138"/>
      <c r="BB559" s="76"/>
      <c r="BC559" s="75"/>
      <c r="BF559" s="3746" cm="1">
        <f t="array" ref="BF559">IFERROR(+VLOOKUP(C559,+[6]NAV_ALL_20240408111714!$A$2:$E$1216,5,0),+AO559)</f>
        <v>10.74</v>
      </c>
      <c r="BG559" s="3747">
        <f t="shared" si="165"/>
        <v>0</v>
      </c>
    </row>
    <row r="560" spans="1:234" ht="13.5" customHeight="1" x14ac:dyDescent="0.25">
      <c r="A560" s="1270" t="s">
        <v>10495</v>
      </c>
      <c r="B560" s="1271" t="s">
        <v>10494</v>
      </c>
      <c r="C560" s="1272" t="s">
        <v>10508</v>
      </c>
      <c r="D560" s="1273" t="s">
        <v>189</v>
      </c>
      <c r="E560" s="1272" t="s">
        <v>3228</v>
      </c>
      <c r="F560" s="1274">
        <v>44144</v>
      </c>
      <c r="G560" s="3757">
        <v>44075</v>
      </c>
      <c r="H560" s="1274">
        <v>44134</v>
      </c>
      <c r="I560" s="1276">
        <v>45260</v>
      </c>
      <c r="J560" s="1277">
        <v>10</v>
      </c>
      <c r="K560" s="1278" t="s">
        <v>3229</v>
      </c>
      <c r="L560" s="1279">
        <v>4.4999999999999998E-2</v>
      </c>
      <c r="M560" s="1280">
        <v>-1</v>
      </c>
      <c r="N560" s="1281" t="s">
        <v>3229</v>
      </c>
      <c r="O560" s="1282">
        <v>0.27</v>
      </c>
      <c r="P560" s="1283">
        <v>0.35</v>
      </c>
      <c r="Q560" s="1283">
        <v>1</v>
      </c>
      <c r="R560" s="1284" t="s">
        <v>3229</v>
      </c>
      <c r="S560" s="1285">
        <v>4</v>
      </c>
      <c r="T560" s="1286" t="s">
        <v>3229</v>
      </c>
      <c r="U560" s="1286" t="s">
        <v>3229</v>
      </c>
      <c r="V560" s="1286" t="s">
        <v>3229</v>
      </c>
      <c r="W560" s="1286" t="s">
        <v>3229</v>
      </c>
      <c r="X560" s="1286" t="s">
        <v>3229</v>
      </c>
      <c r="Y560" s="1286" t="s">
        <v>3229</v>
      </c>
      <c r="Z560" s="1286" t="s">
        <v>3229</v>
      </c>
      <c r="AA560" s="1286" t="s">
        <v>3229</v>
      </c>
      <c r="AB560" s="1286" t="s">
        <v>3229</v>
      </c>
      <c r="AC560" s="1286" t="s">
        <v>3229</v>
      </c>
      <c r="AD560" s="1286" t="s">
        <v>3229</v>
      </c>
      <c r="AE560" s="1286" t="s">
        <v>3229</v>
      </c>
      <c r="AF560" s="3764">
        <v>4</v>
      </c>
      <c r="AG560" s="3765">
        <f>(I560-indexy!$B$1)/365</f>
        <v>-0.32602739726027397</v>
      </c>
      <c r="AH560" s="1287">
        <v>1</v>
      </c>
      <c r="AI560" s="1288" t="s">
        <v>3229</v>
      </c>
      <c r="AJ560" s="1288" t="s">
        <v>3229</v>
      </c>
      <c r="AK560" s="1288" t="s">
        <v>3229</v>
      </c>
      <c r="AL560" s="1288" t="s">
        <v>3229</v>
      </c>
      <c r="AM560" s="1288" t="s">
        <v>3229</v>
      </c>
      <c r="AN560" s="1289">
        <f>+'klikací hodnoty'!F18372</f>
        <v>0.13500000000000001</v>
      </c>
      <c r="AO560" s="1290">
        <v>11.35</v>
      </c>
      <c r="AP560" s="1371">
        <f>+'klikací hodnoty'!H18366</f>
        <v>0.20227683818959719</v>
      </c>
      <c r="AQ560" s="1281">
        <f>+'klikací hodnoty'!H18370</f>
        <v>0.20227683818959719</v>
      </c>
      <c r="AR560" s="1291">
        <f t="shared" si="168"/>
        <v>0.27</v>
      </c>
      <c r="AS560" s="1292">
        <f>POWER(1+AR560,1/((I560-F560)/365))-1</f>
        <v>8.1309806611833402E-2</v>
      </c>
      <c r="AT560" s="1292"/>
      <c r="AU560" s="1293"/>
      <c r="AV560" s="1294">
        <f t="shared" si="166"/>
        <v>-1</v>
      </c>
      <c r="AW560" s="1295">
        <f t="shared" si="167"/>
        <v>-1</v>
      </c>
      <c r="AX560" s="1296"/>
      <c r="AY560" s="1297"/>
      <c r="AZ560" s="1298">
        <f t="shared" si="169"/>
        <v>0</v>
      </c>
      <c r="BA560" s="1959"/>
      <c r="BB560" s="1285"/>
      <c r="BC560" s="1300"/>
      <c r="BF560" s="3746" cm="1">
        <f t="array" ref="BF560">IFERROR(+VLOOKUP(C560,+[6]NAV_ALL_20240408111714!$A$2:$E$1216,5,0),+AO560)</f>
        <v>11.35</v>
      </c>
      <c r="BG560" s="3747">
        <f t="shared" si="165"/>
        <v>0</v>
      </c>
      <c r="BH560" s="3763"/>
      <c r="BI560" s="3763"/>
      <c r="BJ560" s="1639"/>
      <c r="BK560" s="1639"/>
      <c r="BL560" s="1639"/>
      <c r="BM560" s="1639"/>
      <c r="BN560" s="1639"/>
      <c r="BO560" s="1639"/>
      <c r="BP560" s="1639"/>
      <c r="BQ560" s="1639"/>
      <c r="BR560" s="1639"/>
      <c r="BS560" s="509"/>
      <c r="BT560" s="509"/>
      <c r="BU560" s="509"/>
      <c r="BV560" s="509"/>
      <c r="BW560" s="509"/>
      <c r="BX560" s="509"/>
      <c r="BY560" s="509"/>
      <c r="BZ560" s="509"/>
      <c r="CA560" s="509"/>
      <c r="CB560" s="509"/>
      <c r="CC560" s="509"/>
      <c r="CD560" s="509"/>
      <c r="CE560" s="509"/>
      <c r="CF560" s="509"/>
      <c r="CG560" s="509"/>
      <c r="CH560" s="509"/>
      <c r="CI560" s="509"/>
      <c r="CJ560" s="509"/>
      <c r="CK560" s="509"/>
      <c r="CL560" s="509"/>
      <c r="CM560" s="509"/>
      <c r="CN560" s="509"/>
      <c r="CO560" s="509"/>
      <c r="CP560" s="509"/>
      <c r="CQ560" s="509"/>
      <c r="CR560" s="509"/>
      <c r="CS560" s="509"/>
      <c r="CT560" s="509"/>
      <c r="CU560" s="509"/>
      <c r="CV560" s="509"/>
      <c r="CW560" s="509"/>
      <c r="CX560" s="509"/>
      <c r="CY560" s="509"/>
      <c r="CZ560" s="509"/>
      <c r="DA560" s="509"/>
      <c r="DB560" s="509"/>
      <c r="DC560" s="509"/>
      <c r="DD560" s="509"/>
      <c r="DE560" s="509"/>
      <c r="DF560" s="509"/>
      <c r="DG560" s="509"/>
      <c r="DH560" s="509"/>
      <c r="DI560" s="509"/>
      <c r="DJ560" s="509"/>
      <c r="DK560" s="509"/>
      <c r="DL560" s="509"/>
      <c r="DM560" s="509"/>
      <c r="DN560" s="509"/>
      <c r="DO560" s="509"/>
      <c r="DP560" s="509"/>
      <c r="DQ560" s="509"/>
      <c r="DR560" s="509"/>
      <c r="DS560" s="509"/>
      <c r="DT560" s="509"/>
      <c r="DU560" s="509"/>
      <c r="DV560" s="509"/>
      <c r="DW560" s="509"/>
      <c r="DX560" s="509"/>
      <c r="DY560" s="509"/>
      <c r="DZ560" s="509"/>
      <c r="EA560" s="509"/>
      <c r="EB560" s="509"/>
      <c r="EC560" s="509"/>
      <c r="ED560" s="509"/>
      <c r="EE560" s="509"/>
      <c r="EF560" s="509"/>
      <c r="EG560" s="509"/>
      <c r="EH560" s="509"/>
      <c r="EI560" s="509"/>
      <c r="EJ560" s="509"/>
      <c r="EK560" s="509"/>
      <c r="EL560" s="509"/>
      <c r="EM560" s="509"/>
      <c r="EN560" s="509"/>
      <c r="EO560" s="509"/>
      <c r="EP560" s="509"/>
      <c r="EQ560" s="509"/>
      <c r="ER560" s="509"/>
      <c r="ES560" s="509"/>
      <c r="ET560" s="509"/>
      <c r="EU560" s="509"/>
      <c r="EV560" s="509"/>
      <c r="EW560" s="509"/>
      <c r="EX560" s="509"/>
      <c r="EY560" s="509"/>
      <c r="EZ560" s="509"/>
      <c r="FA560" s="509"/>
      <c r="FB560" s="509"/>
      <c r="FC560" s="509"/>
      <c r="FD560" s="509"/>
      <c r="FE560" s="509"/>
      <c r="FF560" s="509"/>
      <c r="FG560" s="509"/>
      <c r="FH560" s="509"/>
      <c r="FI560" s="509"/>
      <c r="FJ560" s="509"/>
      <c r="FK560" s="509"/>
      <c r="FL560" s="509"/>
      <c r="FM560" s="509"/>
      <c r="FN560" s="509"/>
      <c r="FO560" s="509"/>
      <c r="FP560" s="509"/>
      <c r="FQ560" s="509"/>
      <c r="FR560" s="509"/>
      <c r="FS560" s="509"/>
      <c r="FT560" s="509"/>
      <c r="FU560" s="509"/>
      <c r="FV560" s="509"/>
      <c r="FW560" s="509"/>
      <c r="FX560" s="509"/>
      <c r="FY560" s="509"/>
      <c r="FZ560" s="509"/>
      <c r="GA560" s="509"/>
      <c r="GB560" s="509"/>
      <c r="GC560" s="509"/>
      <c r="GD560" s="509"/>
      <c r="GE560" s="509"/>
      <c r="GF560" s="509"/>
      <c r="GG560" s="509"/>
      <c r="GH560" s="509"/>
      <c r="GI560" s="509"/>
      <c r="GJ560" s="509"/>
      <c r="GK560" s="509"/>
      <c r="GL560" s="509"/>
      <c r="GM560" s="509"/>
      <c r="GN560" s="509"/>
      <c r="GO560" s="509"/>
      <c r="GP560" s="509"/>
      <c r="GQ560" s="509"/>
      <c r="GR560" s="509"/>
      <c r="GS560" s="509"/>
      <c r="GT560" s="509"/>
      <c r="GU560" s="509"/>
      <c r="GV560" s="509"/>
      <c r="GW560" s="509"/>
      <c r="GX560" s="509"/>
      <c r="GY560" s="509"/>
      <c r="GZ560" s="509"/>
      <c r="HA560" s="509"/>
      <c r="HB560" s="509"/>
      <c r="HC560" s="509"/>
      <c r="HD560" s="509"/>
      <c r="HE560" s="509"/>
      <c r="HF560" s="509"/>
      <c r="HG560" s="509"/>
      <c r="HH560" s="509"/>
      <c r="HI560" s="509"/>
      <c r="HJ560" s="509"/>
      <c r="HK560" s="509"/>
      <c r="HL560" s="509"/>
      <c r="HM560" s="509"/>
      <c r="HN560" s="509"/>
      <c r="HO560" s="509"/>
      <c r="HP560" s="509"/>
      <c r="HQ560" s="509"/>
      <c r="HR560" s="509"/>
      <c r="HS560" s="509"/>
      <c r="HT560" s="509"/>
      <c r="HU560" s="509"/>
      <c r="HV560" s="509"/>
      <c r="HW560" s="509"/>
      <c r="HX560" s="509"/>
      <c r="HY560" s="509"/>
      <c r="HZ560" s="509"/>
    </row>
    <row r="561" spans="1:59" x14ac:dyDescent="0.25">
      <c r="A561" t="s">
        <v>10496</v>
      </c>
      <c r="B561" s="1640" t="s">
        <v>10497</v>
      </c>
      <c r="C561" s="52" t="s">
        <v>10507</v>
      </c>
      <c r="D561" s="574" t="s">
        <v>10498</v>
      </c>
      <c r="E561" s="52" t="s">
        <v>3228</v>
      </c>
      <c r="F561" s="53">
        <v>44144</v>
      </c>
      <c r="G561" s="53">
        <v>44081</v>
      </c>
      <c r="H561" s="614">
        <v>44134</v>
      </c>
      <c r="I561" s="249">
        <v>46265</v>
      </c>
      <c r="J561" s="103">
        <v>10</v>
      </c>
      <c r="K561" s="46" t="s">
        <v>3229</v>
      </c>
      <c r="L561" s="50" t="s">
        <v>3229</v>
      </c>
      <c r="M561" s="48">
        <v>-1</v>
      </c>
      <c r="N561" s="615">
        <v>1</v>
      </c>
      <c r="O561" s="241" t="s">
        <v>3229</v>
      </c>
      <c r="P561" s="153" t="s">
        <v>3229</v>
      </c>
      <c r="Q561" s="89" t="s">
        <v>3229</v>
      </c>
      <c r="R561" s="618" t="s">
        <v>3229</v>
      </c>
      <c r="S561" s="1683">
        <v>1</v>
      </c>
      <c r="T561" s="437" t="s">
        <v>3229</v>
      </c>
      <c r="U561" s="196" t="s">
        <v>3229</v>
      </c>
      <c r="V561" s="196" t="s">
        <v>3229</v>
      </c>
      <c r="W561" s="196" t="s">
        <v>3229</v>
      </c>
      <c r="X561" s="196" t="s">
        <v>3229</v>
      </c>
      <c r="Y561" s="196" t="s">
        <v>3229</v>
      </c>
      <c r="Z561" s="196" t="s">
        <v>3229</v>
      </c>
      <c r="AA561" s="196" t="s">
        <v>3229</v>
      </c>
      <c r="AB561" s="196" t="s">
        <v>3229</v>
      </c>
      <c r="AC561" s="196" t="s">
        <v>3229</v>
      </c>
      <c r="AD561" s="196" t="s">
        <v>3229</v>
      </c>
      <c r="AE561" s="1631" t="s">
        <v>3229</v>
      </c>
      <c r="AF561" s="1682">
        <v>1</v>
      </c>
      <c r="AG561" s="55">
        <f>(I561-indexy!$B$1)/365</f>
        <v>2.4273972602739726</v>
      </c>
      <c r="AH561" s="259" t="s">
        <v>3229</v>
      </c>
      <c r="AI561" s="259" t="s">
        <v>3229</v>
      </c>
      <c r="AJ561" s="259" t="s">
        <v>3229</v>
      </c>
      <c r="AK561" s="259" t="s">
        <v>3229</v>
      </c>
      <c r="AL561" s="259" t="s">
        <v>3229</v>
      </c>
      <c r="AM561" s="126">
        <v>1</v>
      </c>
      <c r="AN561" s="685">
        <f>+'klikací hodnoty'!F18425</f>
        <v>0.28744865749265558</v>
      </c>
      <c r="AO561" s="317">
        <v>11.7</v>
      </c>
      <c r="AP561" s="1616">
        <f>+'klikací hodnoty'!I18376</f>
        <v>0.28744865749265558</v>
      </c>
      <c r="AQ561" s="1685">
        <f>+'klikací hodnoty'!F18405</f>
        <v>0.28744865749265569</v>
      </c>
      <c r="AR561" s="1357" t="str">
        <f t="shared" si="168"/>
        <v>-</v>
      </c>
      <c r="AS561" s="1358" t="s">
        <v>3660</v>
      </c>
      <c r="AT561" s="1358"/>
      <c r="AU561" s="1359"/>
      <c r="AV561" s="1360">
        <f t="shared" si="166"/>
        <v>-1</v>
      </c>
      <c r="AW561" s="1360">
        <f t="shared" si="167"/>
        <v>-1</v>
      </c>
      <c r="AX561" s="1361"/>
      <c r="AY561" s="435"/>
      <c r="AZ561" s="1724">
        <f t="shared" si="169"/>
        <v>0</v>
      </c>
      <c r="BA561" s="138"/>
      <c r="BB561" s="76"/>
      <c r="BC561" s="75"/>
      <c r="BF561" s="3746" cm="1">
        <f t="array" ref="BF561">IFERROR(+VLOOKUP(C561,+[6]NAV_ALL_20240408111714!$A$2:$E$1216,5,0),+AO561)</f>
        <v>11.7</v>
      </c>
      <c r="BG561" s="3747">
        <f t="shared" si="165"/>
        <v>0</v>
      </c>
    </row>
    <row r="562" spans="1:59" x14ac:dyDescent="0.25">
      <c r="A562" t="s">
        <v>10505</v>
      </c>
      <c r="B562" s="1640" t="s">
        <v>10504</v>
      </c>
      <c r="C562" s="52" t="s">
        <v>10506</v>
      </c>
      <c r="D562" s="574" t="s">
        <v>189</v>
      </c>
      <c r="E562" s="52" t="s">
        <v>3228</v>
      </c>
      <c r="F562" s="53">
        <v>44173</v>
      </c>
      <c r="G562" s="53">
        <v>44105</v>
      </c>
      <c r="H562" s="614">
        <v>44165</v>
      </c>
      <c r="I562" s="249">
        <v>46295</v>
      </c>
      <c r="J562" s="103">
        <v>10</v>
      </c>
      <c r="K562" s="46" t="s">
        <v>3229</v>
      </c>
      <c r="L562" s="50" t="s">
        <v>3229</v>
      </c>
      <c r="M562" s="48">
        <v>-1</v>
      </c>
      <c r="N562" s="615">
        <v>1.3</v>
      </c>
      <c r="O562" s="241" t="s">
        <v>3229</v>
      </c>
      <c r="P562" s="153">
        <v>0.35</v>
      </c>
      <c r="Q562" s="89" t="s">
        <v>3229</v>
      </c>
      <c r="R562" s="618" t="s">
        <v>3229</v>
      </c>
      <c r="S562" s="1683">
        <v>1</v>
      </c>
      <c r="T562" s="437" t="s">
        <v>3229</v>
      </c>
      <c r="U562" s="196" t="s">
        <v>3229</v>
      </c>
      <c r="V562" s="196" t="s">
        <v>3229</v>
      </c>
      <c r="W562" s="196" t="s">
        <v>3229</v>
      </c>
      <c r="X562" s="196" t="s">
        <v>3229</v>
      </c>
      <c r="Y562" s="196" t="s">
        <v>3229</v>
      </c>
      <c r="Z562" s="196" t="s">
        <v>3229</v>
      </c>
      <c r="AA562" s="196" t="s">
        <v>3229</v>
      </c>
      <c r="AB562" s="196" t="s">
        <v>3229</v>
      </c>
      <c r="AC562" s="196" t="s">
        <v>3229</v>
      </c>
      <c r="AD562" s="196" t="s">
        <v>3229</v>
      </c>
      <c r="AE562" s="1631" t="s">
        <v>3229</v>
      </c>
      <c r="AF562" s="1682">
        <v>1</v>
      </c>
      <c r="AG562" s="55">
        <f>(I562-indexy!$B$1)/365</f>
        <v>2.5095890410958903</v>
      </c>
      <c r="AH562" s="259" t="s">
        <v>3229</v>
      </c>
      <c r="AI562" s="259" t="s">
        <v>3229</v>
      </c>
      <c r="AJ562" s="259" t="s">
        <v>3229</v>
      </c>
      <c r="AK562" s="259" t="s">
        <v>3229</v>
      </c>
      <c r="AL562" s="259" t="s">
        <v>3229</v>
      </c>
      <c r="AM562" s="126">
        <v>1</v>
      </c>
      <c r="AN562" s="685">
        <f>+'klikací hodnoty'!F18478</f>
        <v>0.21842388994514669</v>
      </c>
      <c r="AO562" s="317">
        <v>10.95</v>
      </c>
      <c r="AP562" s="1616">
        <f>+'klikací hodnoty'!F18477</f>
        <v>0.16801837688088206</v>
      </c>
      <c r="AQ562" s="1685">
        <f>+'klikací hodnoty'!F18458</f>
        <v>0.16801837688088206</v>
      </c>
      <c r="AR562" s="1357" t="str">
        <f t="shared" si="168"/>
        <v>-</v>
      </c>
      <c r="AS562" s="1358" t="s">
        <v>3660</v>
      </c>
      <c r="AT562" s="1358"/>
      <c r="AU562" s="1359"/>
      <c r="AV562" s="1360">
        <f>M562</f>
        <v>-1</v>
      </c>
      <c r="AW562" s="1360">
        <f>POWER(1+AV562,1/((I562-F562)/365))-1</f>
        <v>-1</v>
      </c>
      <c r="AX562" s="1361"/>
      <c r="AY562" s="435"/>
      <c r="AZ562" s="1724">
        <f t="shared" si="169"/>
        <v>0</v>
      </c>
      <c r="BA562" s="138"/>
      <c r="BB562" s="76"/>
      <c r="BC562" s="75"/>
      <c r="BF562" s="3746" cm="1">
        <f t="array" ref="BF562">IFERROR(+VLOOKUP(C562,+[6]NAV_ALL_20240408111714!$A$2:$E$1216,5,0),+AO562)</f>
        <v>10.95</v>
      </c>
      <c r="BG562" s="3747">
        <f t="shared" si="165"/>
        <v>0</v>
      </c>
    </row>
    <row r="563" spans="1:59" x14ac:dyDescent="0.25">
      <c r="A563" t="s">
        <v>10520</v>
      </c>
      <c r="B563" s="1640" t="s">
        <v>10519</v>
      </c>
      <c r="C563" s="52" t="s">
        <v>10521</v>
      </c>
      <c r="D563" s="574" t="s">
        <v>189</v>
      </c>
      <c r="E563" s="52" t="s">
        <v>3228</v>
      </c>
      <c r="F563" s="53">
        <v>44207</v>
      </c>
      <c r="G563" s="53">
        <v>44138</v>
      </c>
      <c r="H563" s="614">
        <v>44196</v>
      </c>
      <c r="I563" s="249">
        <v>46325</v>
      </c>
      <c r="J563" s="103">
        <v>10</v>
      </c>
      <c r="K563" s="46" t="s">
        <v>3229</v>
      </c>
      <c r="L563" s="50" t="s">
        <v>3229</v>
      </c>
      <c r="M563" s="48">
        <v>-1</v>
      </c>
      <c r="N563" s="615">
        <v>0.9</v>
      </c>
      <c r="O563" s="241" t="s">
        <v>3229</v>
      </c>
      <c r="P563" s="153">
        <v>0.4</v>
      </c>
      <c r="Q563" s="89" t="s">
        <v>3229</v>
      </c>
      <c r="R563" s="618" t="s">
        <v>3229</v>
      </c>
      <c r="S563" s="1683">
        <v>1</v>
      </c>
      <c r="T563" s="437" t="s">
        <v>3229</v>
      </c>
      <c r="U563" s="196" t="s">
        <v>3229</v>
      </c>
      <c r="V563" s="196" t="s">
        <v>3229</v>
      </c>
      <c r="W563" s="196" t="s">
        <v>3229</v>
      </c>
      <c r="X563" s="196" t="s">
        <v>3229</v>
      </c>
      <c r="Y563" s="196" t="s">
        <v>3229</v>
      </c>
      <c r="Z563" s="196" t="s">
        <v>3229</v>
      </c>
      <c r="AA563" s="196" t="s">
        <v>3229</v>
      </c>
      <c r="AB563" s="196" t="s">
        <v>3229</v>
      </c>
      <c r="AC563" s="196" t="s">
        <v>3229</v>
      </c>
      <c r="AD563" s="196" t="s">
        <v>3229</v>
      </c>
      <c r="AE563" s="1631" t="s">
        <v>3229</v>
      </c>
      <c r="AF563" s="1682">
        <v>1</v>
      </c>
      <c r="AG563" s="55">
        <f>(I563-indexy!$B$1)/365</f>
        <v>2.591780821917808</v>
      </c>
      <c r="AH563" s="259" t="s">
        <v>3229</v>
      </c>
      <c r="AI563" s="259" t="s">
        <v>3229</v>
      </c>
      <c r="AJ563" s="259" t="s">
        <v>3229</v>
      </c>
      <c r="AK563" s="259" t="s">
        <v>3229</v>
      </c>
      <c r="AL563" s="259" t="s">
        <v>3229</v>
      </c>
      <c r="AM563" s="126">
        <v>1</v>
      </c>
      <c r="AN563" s="685">
        <f>+'klikací hodnoty'!F18531</f>
        <v>0.329886052171802</v>
      </c>
      <c r="AO563" s="317">
        <v>12.22</v>
      </c>
      <c r="AP563" s="1616">
        <f>+'klikací hodnoty'!F18530</f>
        <v>0.3665400579686689</v>
      </c>
      <c r="AQ563" s="1685">
        <f>+'klikací hodnoty'!F18511</f>
        <v>0.36654005796866906</v>
      </c>
      <c r="AR563" s="1357" t="str">
        <f>O563</f>
        <v>-</v>
      </c>
      <c r="AS563" s="1358" t="s">
        <v>3660</v>
      </c>
      <c r="AT563" s="1358"/>
      <c r="AU563" s="1359"/>
      <c r="AV563" s="1360">
        <f>M563</f>
        <v>-1</v>
      </c>
      <c r="AW563" s="1360">
        <f>POWER(1+AV563,1/((I563-F563)/365))-1</f>
        <v>-1</v>
      </c>
      <c r="AX563" s="1361"/>
      <c r="AY563" s="435"/>
      <c r="AZ563" s="1724">
        <f>J563*(1+AV563)</f>
        <v>0</v>
      </c>
      <c r="BA563" s="138"/>
      <c r="BB563" s="76"/>
      <c r="BC563" s="75"/>
      <c r="BF563" s="3746" cm="1">
        <f t="array" ref="BF563">IFERROR(+VLOOKUP(C563,+[6]NAV_ALL_20240408111714!$A$2:$E$1216,5,0),+AO563)</f>
        <v>12.22</v>
      </c>
      <c r="BG563" s="3747">
        <f t="shared" si="165"/>
        <v>0</v>
      </c>
    </row>
    <row r="564" spans="1:59" x14ac:dyDescent="0.25">
      <c r="A564" t="s">
        <v>10523</v>
      </c>
      <c r="B564" s="1640" t="s">
        <v>10522</v>
      </c>
      <c r="C564" s="52" t="s">
        <v>10539</v>
      </c>
      <c r="D564" s="574" t="s">
        <v>8854</v>
      </c>
      <c r="E564" s="52" t="s">
        <v>3228</v>
      </c>
      <c r="F564" s="53">
        <v>44200</v>
      </c>
      <c r="G564" s="53">
        <v>44123</v>
      </c>
      <c r="H564" s="614">
        <v>44188</v>
      </c>
      <c r="I564" s="249">
        <v>46416</v>
      </c>
      <c r="J564" s="103">
        <v>10</v>
      </c>
      <c r="K564" s="46" t="s">
        <v>3229</v>
      </c>
      <c r="L564" s="50" t="s">
        <v>3229</v>
      </c>
      <c r="M564" s="48">
        <v>-0.1</v>
      </c>
      <c r="N564" s="615">
        <v>0.7</v>
      </c>
      <c r="O564" s="241">
        <v>0.4</v>
      </c>
      <c r="P564" s="153" t="s">
        <v>3229</v>
      </c>
      <c r="Q564" s="89" t="s">
        <v>3229</v>
      </c>
      <c r="R564" s="618" t="s">
        <v>3229</v>
      </c>
      <c r="S564" s="1683">
        <v>1</v>
      </c>
      <c r="T564" s="437" t="s">
        <v>3229</v>
      </c>
      <c r="U564" s="196" t="s">
        <v>3229</v>
      </c>
      <c r="V564" s="196" t="s">
        <v>3229</v>
      </c>
      <c r="W564" s="196" t="s">
        <v>3229</v>
      </c>
      <c r="X564" s="196" t="s">
        <v>3229</v>
      </c>
      <c r="Y564" s="196" t="s">
        <v>3229</v>
      </c>
      <c r="Z564" s="196" t="s">
        <v>3229</v>
      </c>
      <c r="AA564" s="196" t="s">
        <v>3229</v>
      </c>
      <c r="AB564" s="196" t="s">
        <v>3229</v>
      </c>
      <c r="AC564" s="196" t="s">
        <v>3229</v>
      </c>
      <c r="AD564" s="196" t="s">
        <v>3229</v>
      </c>
      <c r="AE564" s="1631" t="s">
        <v>3229</v>
      </c>
      <c r="AF564" s="1682">
        <v>1</v>
      </c>
      <c r="AG564" s="55">
        <f>(I564-indexy!$B$1)/365</f>
        <v>2.8410958904109589</v>
      </c>
      <c r="AH564" s="259" t="s">
        <v>3229</v>
      </c>
      <c r="AI564" s="259" t="s">
        <v>3229</v>
      </c>
      <c r="AJ564" s="259" t="s">
        <v>3229</v>
      </c>
      <c r="AK564" s="259" t="s">
        <v>3229</v>
      </c>
      <c r="AL564" s="259" t="s">
        <v>3229</v>
      </c>
      <c r="AM564" s="126">
        <v>1</v>
      </c>
      <c r="AN564" s="685">
        <f>+'klikací hodnoty'!F18584</f>
        <v>0.30431254709077676</v>
      </c>
      <c r="AO564" s="317">
        <v>11.14</v>
      </c>
      <c r="AP564" s="1616">
        <f>+'klikací hodnoty'!F18583</f>
        <v>0.43473221012968111</v>
      </c>
      <c r="AQ564" s="1685">
        <f>+'klikací hodnoty'!F18564</f>
        <v>0.43473221012968111</v>
      </c>
      <c r="AR564" s="1357">
        <f>O564</f>
        <v>0.4</v>
      </c>
      <c r="AS564" s="1358">
        <f>POWER(1+AR564,1/((I564-F564)/365))-1</f>
        <v>5.698524021549245E-2</v>
      </c>
      <c r="AT564" s="1358"/>
      <c r="AU564" s="1359"/>
      <c r="AV564" s="1360">
        <f>M564</f>
        <v>-0.1</v>
      </c>
      <c r="AW564" s="1360">
        <f>POWER(1+AV564,1/((I564-F564)/365))-1</f>
        <v>-1.7204341724284644E-2</v>
      </c>
      <c r="AX564" s="1361"/>
      <c r="AY564" s="435"/>
      <c r="AZ564" s="1724">
        <f>J564*(1+AV564)</f>
        <v>9</v>
      </c>
      <c r="BA564" s="138"/>
      <c r="BB564" s="76"/>
      <c r="BC564" s="75"/>
      <c r="BF564" s="3746" cm="1">
        <f t="array" ref="BF564">IFERROR(+VLOOKUP(C564,+[6]NAV_ALL_20240408111714!$A$2:$E$1216,5,0),+AO564)</f>
        <v>11.14</v>
      </c>
      <c r="BG564" s="3747">
        <f t="shared" si="165"/>
        <v>0</v>
      </c>
    </row>
    <row r="565" spans="1:59" x14ac:dyDescent="0.25">
      <c r="A565" t="s">
        <v>10562</v>
      </c>
      <c r="B565" s="1640" t="s">
        <v>10559</v>
      </c>
      <c r="C565" s="52" t="s">
        <v>10561</v>
      </c>
      <c r="D565" s="574" t="s">
        <v>189</v>
      </c>
      <c r="E565" s="52" t="s">
        <v>3228</v>
      </c>
      <c r="F565" s="53">
        <v>44235</v>
      </c>
      <c r="G565" s="53">
        <v>44166</v>
      </c>
      <c r="H565" s="614">
        <v>44225</v>
      </c>
      <c r="I565" s="249">
        <v>45351</v>
      </c>
      <c r="J565" s="103">
        <v>10</v>
      </c>
      <c r="K565" s="46" t="s">
        <v>3229</v>
      </c>
      <c r="L565" s="50" t="s">
        <v>3229</v>
      </c>
      <c r="M565" s="48">
        <v>-1</v>
      </c>
      <c r="N565" s="615" t="s">
        <v>3229</v>
      </c>
      <c r="O565" s="241">
        <v>0.27</v>
      </c>
      <c r="P565" s="153">
        <v>0.35</v>
      </c>
      <c r="Q565" s="89">
        <v>1</v>
      </c>
      <c r="R565" s="618" t="s">
        <v>3229</v>
      </c>
      <c r="S565" s="1683">
        <v>1</v>
      </c>
      <c r="T565" s="437" t="s">
        <v>3229</v>
      </c>
      <c r="U565" s="196" t="s">
        <v>3229</v>
      </c>
      <c r="V565" s="196" t="s">
        <v>3229</v>
      </c>
      <c r="W565" s="196" t="s">
        <v>3229</v>
      </c>
      <c r="X565" s="196" t="s">
        <v>3229</v>
      </c>
      <c r="Y565" s="196" t="s">
        <v>3229</v>
      </c>
      <c r="Z565" s="196" t="s">
        <v>3229</v>
      </c>
      <c r="AA565" s="196" t="s">
        <v>3229</v>
      </c>
      <c r="AB565" s="196" t="s">
        <v>3229</v>
      </c>
      <c r="AC565" s="196" t="s">
        <v>3229</v>
      </c>
      <c r="AD565" s="196" t="s">
        <v>3229</v>
      </c>
      <c r="AE565" s="1631" t="s">
        <v>3229</v>
      </c>
      <c r="AF565" s="1682">
        <v>4</v>
      </c>
      <c r="AG565" s="55">
        <f>(I565-indexy!$B$1)/365</f>
        <v>-7.6712328767123292E-2</v>
      </c>
      <c r="AH565" s="88">
        <v>1</v>
      </c>
      <c r="AI565" s="259" t="s">
        <v>3229</v>
      </c>
      <c r="AJ565" s="259" t="s">
        <v>3229</v>
      </c>
      <c r="AK565" s="259" t="s">
        <v>3229</v>
      </c>
      <c r="AL565" s="259" t="s">
        <v>3229</v>
      </c>
      <c r="AM565" s="126" t="s">
        <v>3229</v>
      </c>
      <c r="AN565" s="685">
        <f>+'klikací hodnoty'!F18593</f>
        <v>0.13500000000000001</v>
      </c>
      <c r="AO565" s="317">
        <v>11.35</v>
      </c>
      <c r="AP565" s="1616">
        <f>+'klikací hodnoty'!H18591</f>
        <v>0.26395002337572571</v>
      </c>
      <c r="AQ565" s="1685">
        <f>+'klikací hodnoty'!H18591</f>
        <v>0.26395002337572571</v>
      </c>
      <c r="AR565" s="1357">
        <f t="shared" ref="AR565" si="170">O565</f>
        <v>0.27</v>
      </c>
      <c r="AS565" s="1358">
        <f>POWER(1+AR565,1/((I565-F565)/365))-1</f>
        <v>8.1309806611833402E-2</v>
      </c>
      <c r="AT565" s="1358"/>
      <c r="AU565" s="1359"/>
      <c r="AV565" s="1360">
        <f t="shared" ref="AV565" si="171">M565</f>
        <v>-1</v>
      </c>
      <c r="AW565" s="1360">
        <f t="shared" ref="AW565" si="172">POWER(1+AV565,1/((I565-F565)/365))-1</f>
        <v>-1</v>
      </c>
      <c r="AX565" s="1361"/>
      <c r="AY565" s="435"/>
      <c r="AZ565" s="1724">
        <f t="shared" ref="AZ565" si="173">J565*(1+AV565)</f>
        <v>0</v>
      </c>
      <c r="BA565" s="138"/>
      <c r="BB565" s="76"/>
      <c r="BC565" s="75"/>
      <c r="BF565" s="3746" cm="1">
        <f t="array" ref="BF565">IFERROR(+VLOOKUP(C565,+[6]NAV_ALL_20240408111714!$A$2:$E$1216,5,0),+AO565)</f>
        <v>11.35</v>
      </c>
      <c r="BG565" s="3747">
        <f t="shared" si="165"/>
        <v>0</v>
      </c>
    </row>
    <row r="566" spans="1:59" x14ac:dyDescent="0.25">
      <c r="A566" t="s">
        <v>10563</v>
      </c>
      <c r="B566" s="1640" t="s">
        <v>10560</v>
      </c>
      <c r="C566" s="52" t="s">
        <v>10568</v>
      </c>
      <c r="D566" s="574" t="s">
        <v>189</v>
      </c>
      <c r="E566" s="52" t="s">
        <v>3228</v>
      </c>
      <c r="F566" s="53">
        <v>44263</v>
      </c>
      <c r="G566" s="53">
        <v>44200</v>
      </c>
      <c r="H566" s="614">
        <v>44253</v>
      </c>
      <c r="I566" s="249">
        <v>46416</v>
      </c>
      <c r="J566" s="103">
        <v>10</v>
      </c>
      <c r="K566" s="46" t="s">
        <v>3229</v>
      </c>
      <c r="L566" s="50" t="s">
        <v>3229</v>
      </c>
      <c r="M566" s="48">
        <v>0</v>
      </c>
      <c r="N566" s="615">
        <v>1.9</v>
      </c>
      <c r="O566" s="241" t="s">
        <v>3229</v>
      </c>
      <c r="P566" s="153" t="s">
        <v>3229</v>
      </c>
      <c r="Q566" s="89">
        <v>1</v>
      </c>
      <c r="R566" s="618" t="s">
        <v>3229</v>
      </c>
      <c r="S566" s="1683">
        <v>1</v>
      </c>
      <c r="T566" s="437" t="s">
        <v>3229</v>
      </c>
      <c r="U566" s="196" t="s">
        <v>3229</v>
      </c>
      <c r="V566" s="196" t="s">
        <v>3229</v>
      </c>
      <c r="W566" s="196" t="s">
        <v>3229</v>
      </c>
      <c r="X566" s="196" t="s">
        <v>3229</v>
      </c>
      <c r="Y566" s="196" t="s">
        <v>3229</v>
      </c>
      <c r="Z566" s="196" t="s">
        <v>3229</v>
      </c>
      <c r="AA566" s="196" t="s">
        <v>3229</v>
      </c>
      <c r="AB566" s="196" t="s">
        <v>3229</v>
      </c>
      <c r="AC566" s="196" t="s">
        <v>3229</v>
      </c>
      <c r="AD566" s="196" t="s">
        <v>3229</v>
      </c>
      <c r="AE566" s="1631" t="s">
        <v>3229</v>
      </c>
      <c r="AF566" s="1682">
        <v>1</v>
      </c>
      <c r="AG566" s="55">
        <f>(I566-indexy!$B$1)/365</f>
        <v>2.8410958904109589</v>
      </c>
      <c r="AH566" s="88" t="s">
        <v>3229</v>
      </c>
      <c r="AI566" s="259" t="s">
        <v>3229</v>
      </c>
      <c r="AJ566" s="259" t="s">
        <v>3229</v>
      </c>
      <c r="AK566" s="259" t="s">
        <v>3229</v>
      </c>
      <c r="AL566" s="259" t="s">
        <v>3229</v>
      </c>
      <c r="AM566" s="126">
        <v>1</v>
      </c>
      <c r="AN566" s="685">
        <f>+'klikací hodnoty'!F18648</f>
        <v>0.48460795002237794</v>
      </c>
      <c r="AO566" s="317">
        <v>13.64</v>
      </c>
      <c r="AP566" s="1616">
        <f>+'klikací hodnoty'!E18647</f>
        <v>0.2550568158012515</v>
      </c>
      <c r="AQ566" s="1685">
        <f>+'klikací hodnoty'!F18628</f>
        <v>0.25505681580125156</v>
      </c>
      <c r="AR566" s="1357" t="str">
        <f>O566</f>
        <v>-</v>
      </c>
      <c r="AS566" s="1358" t="s">
        <v>3660</v>
      </c>
      <c r="AT566" s="1358"/>
      <c r="AU566" s="1359"/>
      <c r="AV566" s="1360">
        <f>M566</f>
        <v>0</v>
      </c>
      <c r="AW566" s="1360">
        <f>POWER(1+AV566,1/((I566-F566)/365))-1</f>
        <v>0</v>
      </c>
      <c r="AX566" s="1361"/>
      <c r="AY566" s="435"/>
      <c r="AZ566" s="1724">
        <f>J566*(1+AV566)</f>
        <v>10</v>
      </c>
      <c r="BA566" s="138"/>
      <c r="BB566" s="76"/>
      <c r="BC566" s="75"/>
      <c r="BF566" s="3746" cm="1">
        <f t="array" ref="BF566">IFERROR(+VLOOKUP(C566,+[6]NAV_ALL_20240408111714!$A$2:$E$1216,5,0),+AO566)</f>
        <v>13.64</v>
      </c>
      <c r="BG566" s="3747">
        <f t="shared" si="165"/>
        <v>0</v>
      </c>
    </row>
    <row r="567" spans="1:59" x14ac:dyDescent="0.25">
      <c r="A567" t="s">
        <v>10601</v>
      </c>
      <c r="B567" s="1640" t="s">
        <v>10597</v>
      </c>
      <c r="C567" s="52" t="s">
        <v>10602</v>
      </c>
      <c r="D567" s="574" t="s">
        <v>189</v>
      </c>
      <c r="E567" s="52" t="s">
        <v>3228</v>
      </c>
      <c r="F567" s="53">
        <v>44326</v>
      </c>
      <c r="G567" s="53">
        <v>44256</v>
      </c>
      <c r="H567" s="614">
        <v>44316</v>
      </c>
      <c r="I567" s="249">
        <v>46444</v>
      </c>
      <c r="J567" s="103">
        <v>10</v>
      </c>
      <c r="K567" s="46" t="s">
        <v>3229</v>
      </c>
      <c r="L567" s="50" t="s">
        <v>3229</v>
      </c>
      <c r="M567" s="48">
        <v>-1</v>
      </c>
      <c r="N567" s="615">
        <v>0.9</v>
      </c>
      <c r="O567" s="241" t="s">
        <v>3229</v>
      </c>
      <c r="P567" s="153">
        <v>0.4</v>
      </c>
      <c r="Q567" s="89" t="s">
        <v>3229</v>
      </c>
      <c r="R567" s="618" t="s">
        <v>3229</v>
      </c>
      <c r="S567" s="1683">
        <v>1</v>
      </c>
      <c r="T567" s="437" t="s">
        <v>3229</v>
      </c>
      <c r="U567" s="196" t="s">
        <v>3229</v>
      </c>
      <c r="V567" s="196" t="s">
        <v>3229</v>
      </c>
      <c r="W567" s="196" t="s">
        <v>3229</v>
      </c>
      <c r="X567" s="196" t="s">
        <v>3229</v>
      </c>
      <c r="Y567" s="196" t="s">
        <v>3229</v>
      </c>
      <c r="Z567" s="196" t="s">
        <v>3229</v>
      </c>
      <c r="AA567" s="196" t="s">
        <v>3229</v>
      </c>
      <c r="AB567" s="196" t="s">
        <v>3229</v>
      </c>
      <c r="AC567" s="196" t="s">
        <v>3229</v>
      </c>
      <c r="AD567" s="196" t="s">
        <v>3229</v>
      </c>
      <c r="AE567" s="1631" t="s">
        <v>3229</v>
      </c>
      <c r="AF567" s="1682">
        <v>1</v>
      </c>
      <c r="AG567" s="55">
        <f>(I567-indexy!$B$1)/365</f>
        <v>2.9178082191780823</v>
      </c>
      <c r="AH567" s="88" t="s">
        <v>3229</v>
      </c>
      <c r="AI567" s="259" t="s">
        <v>3229</v>
      </c>
      <c r="AJ567" s="259" t="s">
        <v>3229</v>
      </c>
      <c r="AK567" s="259" t="s">
        <v>3229</v>
      </c>
      <c r="AL567" s="259" t="s">
        <v>3229</v>
      </c>
      <c r="AM567" s="126">
        <v>1</v>
      </c>
      <c r="AN567" s="685">
        <f>+'klikací hodnoty'!F18701</f>
        <v>0.19026461582081192</v>
      </c>
      <c r="AO567" s="317">
        <v>11.17</v>
      </c>
      <c r="AP567" s="1616">
        <f>+'klikací hodnoty'!F18700</f>
        <v>0.211405128689791</v>
      </c>
      <c r="AQ567" s="1685">
        <f>+'klikací hodnoty'!F18681</f>
        <v>0.21140512868979108</v>
      </c>
      <c r="AR567" s="1357" t="str">
        <f>O567</f>
        <v>-</v>
      </c>
      <c r="AS567" s="1358" t="s">
        <v>3660</v>
      </c>
      <c r="AT567" s="1358"/>
      <c r="AU567" s="1359"/>
      <c r="AV567" s="1360">
        <f>M567</f>
        <v>-1</v>
      </c>
      <c r="AW567" s="1360">
        <f>POWER(1+AV567,1/((I567-F567)/365))-1</f>
        <v>-1</v>
      </c>
      <c r="AX567" s="1361"/>
      <c r="AY567" s="435"/>
      <c r="AZ567" s="1724">
        <f>J567*(1+AV567)</f>
        <v>0</v>
      </c>
      <c r="BA567" s="138"/>
      <c r="BB567" s="76"/>
      <c r="BC567" s="75"/>
      <c r="BF567" s="3746" cm="1">
        <f t="array" ref="BF567">IFERROR(+VLOOKUP(C567,+[6]NAV_ALL_20240408111714!$A$2:$E$1216,5,0),+AO567)</f>
        <v>11.17</v>
      </c>
      <c r="BG567" s="3747">
        <f t="shared" si="165"/>
        <v>0</v>
      </c>
    </row>
    <row r="568" spans="1:59" x14ac:dyDescent="0.25">
      <c r="A568" t="s">
        <v>10651</v>
      </c>
      <c r="B568" s="1640" t="s">
        <v>10654</v>
      </c>
      <c r="C568" s="52" t="s">
        <v>10652</v>
      </c>
      <c r="D568" s="574" t="s">
        <v>8854</v>
      </c>
      <c r="E568" s="52" t="s">
        <v>3228</v>
      </c>
      <c r="F568" s="53">
        <v>44477</v>
      </c>
      <c r="G568" s="53">
        <v>44410</v>
      </c>
      <c r="H568" s="614">
        <v>44469</v>
      </c>
      <c r="I568" s="249">
        <v>46660</v>
      </c>
      <c r="J568" s="103">
        <v>10</v>
      </c>
      <c r="K568" s="46" t="s">
        <v>3229</v>
      </c>
      <c r="L568" s="50" t="s">
        <v>3229</v>
      </c>
      <c r="M568" s="48">
        <v>0</v>
      </c>
      <c r="N568" s="615">
        <v>0.75</v>
      </c>
      <c r="O568" s="241">
        <v>0.5</v>
      </c>
      <c r="P568" s="153" t="s">
        <v>3229</v>
      </c>
      <c r="Q568" s="89" t="s">
        <v>3229</v>
      </c>
      <c r="R568" s="618" t="s">
        <v>3229</v>
      </c>
      <c r="S568" s="1683">
        <v>1</v>
      </c>
      <c r="T568" s="437" t="s">
        <v>3229</v>
      </c>
      <c r="U568" s="196" t="s">
        <v>3229</v>
      </c>
      <c r="V568" s="196" t="s">
        <v>3229</v>
      </c>
      <c r="W568" s="196" t="s">
        <v>3229</v>
      </c>
      <c r="X568" s="196" t="s">
        <v>3229</v>
      </c>
      <c r="Y568" s="196" t="s">
        <v>3229</v>
      </c>
      <c r="Z568" s="196" t="s">
        <v>3229</v>
      </c>
      <c r="AA568" s="196" t="s">
        <v>3229</v>
      </c>
      <c r="AB568" s="196" t="s">
        <v>3229</v>
      </c>
      <c r="AC568" s="196" t="s">
        <v>3229</v>
      </c>
      <c r="AD568" s="196" t="s">
        <v>3229</v>
      </c>
      <c r="AE568" s="1631" t="s">
        <v>3229</v>
      </c>
      <c r="AF568" s="1682">
        <v>1</v>
      </c>
      <c r="AG568" s="55">
        <f>(I568-indexy!$B$1)/365</f>
        <v>3.5095890410958903</v>
      </c>
      <c r="AH568" s="88" t="s">
        <v>3229</v>
      </c>
      <c r="AI568" s="259" t="s">
        <v>3229</v>
      </c>
      <c r="AJ568" s="259" t="s">
        <v>3229</v>
      </c>
      <c r="AK568" s="259" t="s">
        <v>3229</v>
      </c>
      <c r="AL568" s="259" t="s">
        <v>3229</v>
      </c>
      <c r="AM568" s="126">
        <v>1</v>
      </c>
      <c r="AN568" s="685">
        <f>+'klikací hodnoty'!F18754</f>
        <v>1.8049688756381122E-2</v>
      </c>
      <c r="AO568" s="317">
        <v>9.42</v>
      </c>
      <c r="AP568" s="1616">
        <f>+'klikací hodnoty'!F18753</f>
        <v>2.406625167517483E-2</v>
      </c>
      <c r="AQ568" s="1685">
        <f>+'klikací hodnoty'!F18734</f>
        <v>2.4066251675174819E-2</v>
      </c>
      <c r="AR568" s="1357">
        <f t="shared" ref="AR568" si="174">O568</f>
        <v>0.5</v>
      </c>
      <c r="AS568" s="1358">
        <f>POWER(1+AR568,1/((I568-F568)/365))-1</f>
        <v>7.0145062640440736E-2</v>
      </c>
      <c r="AT568" s="1358"/>
      <c r="AU568" s="1359"/>
      <c r="AV568" s="1360">
        <f>M568</f>
        <v>0</v>
      </c>
      <c r="AW568" s="1360">
        <f>POWER(1+AV568,1/((I568-F568)/365))-1</f>
        <v>0</v>
      </c>
      <c r="AX568" s="1361"/>
      <c r="AY568" s="435"/>
      <c r="AZ568" s="1724">
        <f>J568*(1+AV568)</f>
        <v>10</v>
      </c>
      <c r="BA568" s="138"/>
      <c r="BB568" s="76"/>
      <c r="BC568" s="75"/>
      <c r="BF568" s="3746" cm="1">
        <f t="array" ref="BF568">IFERROR(+VLOOKUP(C568,+[6]NAV_ALL_20240408111714!$A$2:$E$1216,5,0),+AO568)</f>
        <v>9.42</v>
      </c>
      <c r="BG568" s="3747">
        <f t="shared" si="165"/>
        <v>0</v>
      </c>
    </row>
    <row r="569" spans="1:59" x14ac:dyDescent="0.25">
      <c r="A569" t="s">
        <v>10653</v>
      </c>
      <c r="B569" s="1640" t="s">
        <v>10655</v>
      </c>
      <c r="C569" s="52" t="s">
        <v>10656</v>
      </c>
      <c r="D569" s="574" t="s">
        <v>10498</v>
      </c>
      <c r="E569" s="52" t="s">
        <v>3228</v>
      </c>
      <c r="F569" s="53">
        <v>44509</v>
      </c>
      <c r="G569" s="53">
        <v>44448</v>
      </c>
      <c r="H569" s="614">
        <v>44498</v>
      </c>
      <c r="I569" s="249">
        <v>46689</v>
      </c>
      <c r="J569" s="103">
        <v>10</v>
      </c>
      <c r="K569" s="46" t="s">
        <v>3229</v>
      </c>
      <c r="L569" s="50" t="s">
        <v>3229</v>
      </c>
      <c r="M569" s="48">
        <v>-1</v>
      </c>
      <c r="N569" s="615">
        <v>2</v>
      </c>
      <c r="O569" s="241" t="s">
        <v>3229</v>
      </c>
      <c r="P569" s="153">
        <v>0.4</v>
      </c>
      <c r="Q569" s="89" t="s">
        <v>3229</v>
      </c>
      <c r="R569" s="618" t="s">
        <v>3229</v>
      </c>
      <c r="S569" s="1683">
        <v>1</v>
      </c>
      <c r="T569" s="437" t="s">
        <v>3229</v>
      </c>
      <c r="U569" s="196" t="s">
        <v>3229</v>
      </c>
      <c r="V569" s="196" t="s">
        <v>3229</v>
      </c>
      <c r="W569" s="196" t="s">
        <v>3229</v>
      </c>
      <c r="X569" s="196" t="s">
        <v>3229</v>
      </c>
      <c r="Y569" s="196" t="s">
        <v>3229</v>
      </c>
      <c r="Z569" s="196" t="s">
        <v>3229</v>
      </c>
      <c r="AA569" s="196" t="s">
        <v>3229</v>
      </c>
      <c r="AB569" s="196" t="s">
        <v>3229</v>
      </c>
      <c r="AC569" s="196" t="s">
        <v>3229</v>
      </c>
      <c r="AD569" s="196" t="s">
        <v>3229</v>
      </c>
      <c r="AE569" s="1631" t="s">
        <v>3229</v>
      </c>
      <c r="AF569" s="1682">
        <v>1</v>
      </c>
      <c r="AG569" s="55">
        <f>(I569-indexy!$B$1)/365</f>
        <v>3.5890410958904111</v>
      </c>
      <c r="AH569" s="88" t="s">
        <v>3229</v>
      </c>
      <c r="AI569" s="259" t="s">
        <v>3229</v>
      </c>
      <c r="AJ569" s="259" t="s">
        <v>3229</v>
      </c>
      <c r="AK569" s="259" t="s">
        <v>3229</v>
      </c>
      <c r="AL569" s="259" t="s">
        <v>3229</v>
      </c>
      <c r="AM569" s="126">
        <v>1</v>
      </c>
      <c r="AN569" s="685">
        <f>+'klikací hodnoty'!F18807</f>
        <v>0.34600503248812076</v>
      </c>
      <c r="AO569" s="317">
        <v>12.43</v>
      </c>
      <c r="AP569" s="1616">
        <f>+'klikací hodnoty'!F18806</f>
        <v>0.17300251624406038</v>
      </c>
      <c r="AQ569" s="1685">
        <f>+'klikací hodnoty'!F18787</f>
        <v>0.17300251624406046</v>
      </c>
      <c r="AR569" s="1357" t="str">
        <f>O569</f>
        <v>-</v>
      </c>
      <c r="AS569" s="1358" t="s">
        <v>3660</v>
      </c>
      <c r="AT569" s="1358"/>
      <c r="AU569" s="1359"/>
      <c r="AV569" s="1360">
        <f>M569</f>
        <v>-1</v>
      </c>
      <c r="AW569" s="1360">
        <f>POWER(1+AV569,1/((I569-F569)/365))-1</f>
        <v>-1</v>
      </c>
      <c r="AX569" s="1361"/>
      <c r="AY569" s="435"/>
      <c r="AZ569" s="1724">
        <f>J569*(1+AV569)</f>
        <v>0</v>
      </c>
      <c r="BA569" s="138"/>
      <c r="BB569" s="76"/>
      <c r="BC569" s="75"/>
      <c r="BF569" s="3746" cm="1">
        <f t="array" ref="BF569">IFERROR(+VLOOKUP(C569,+[6]NAV_ALL_20240408111714!$A$2:$E$1216,5,0),+AO569)</f>
        <v>12.43</v>
      </c>
      <c r="BG569" s="3747">
        <f t="shared" si="165"/>
        <v>0</v>
      </c>
    </row>
    <row r="570" spans="1:59" x14ac:dyDescent="0.25">
      <c r="A570" t="s">
        <v>10702</v>
      </c>
      <c r="B570" s="1640" t="s">
        <v>10704</v>
      </c>
      <c r="C570" s="52" t="s">
        <v>10703</v>
      </c>
      <c r="D570" s="574" t="s">
        <v>189</v>
      </c>
      <c r="E570" s="52" t="s">
        <v>3228</v>
      </c>
      <c r="F570" s="53">
        <v>44628</v>
      </c>
      <c r="G570" s="53">
        <v>44564</v>
      </c>
      <c r="H570" s="614">
        <v>44620</v>
      </c>
      <c r="I570" s="249">
        <v>46843</v>
      </c>
      <c r="J570" s="103">
        <v>10</v>
      </c>
      <c r="K570" s="46" t="s">
        <v>3229</v>
      </c>
      <c r="L570" s="50">
        <v>7.4999999999999997E-2</v>
      </c>
      <c r="M570" s="48">
        <v>-1</v>
      </c>
      <c r="N570" s="615" t="s">
        <v>3229</v>
      </c>
      <c r="O570" s="241">
        <v>0.45</v>
      </c>
      <c r="P570" s="153">
        <v>0.4</v>
      </c>
      <c r="Q570" s="89">
        <v>1</v>
      </c>
      <c r="R570" s="618" t="s">
        <v>3229</v>
      </c>
      <c r="S570" s="1683">
        <v>1</v>
      </c>
      <c r="T570" s="437" t="s">
        <v>3229</v>
      </c>
      <c r="U570" s="196" t="s">
        <v>3229</v>
      </c>
      <c r="V570" s="196" t="s">
        <v>3229</v>
      </c>
      <c r="W570" s="196" t="s">
        <v>3229</v>
      </c>
      <c r="X570" s="196" t="s">
        <v>3229</v>
      </c>
      <c r="Y570" s="196" t="s">
        <v>3229</v>
      </c>
      <c r="Z570" s="196" t="s">
        <v>3229</v>
      </c>
      <c r="AA570" s="196" t="s">
        <v>3229</v>
      </c>
      <c r="AB570" s="196" t="s">
        <v>3229</v>
      </c>
      <c r="AC570" s="196" t="s">
        <v>3229</v>
      </c>
      <c r="AD570" s="196" t="s">
        <v>3229</v>
      </c>
      <c r="AE570" s="1631" t="s">
        <v>3229</v>
      </c>
      <c r="AF570" s="1682">
        <v>4</v>
      </c>
      <c r="AG570" s="55">
        <f>(I570-indexy!$B$1)/365</f>
        <v>4.0109589041095894</v>
      </c>
      <c r="AH570" s="88">
        <v>1</v>
      </c>
      <c r="AI570" s="259" t="s">
        <v>3229</v>
      </c>
      <c r="AJ570" s="259" t="s">
        <v>3229</v>
      </c>
      <c r="AK570" s="259" t="s">
        <v>3229</v>
      </c>
      <c r="AL570" s="259" t="s">
        <v>3229</v>
      </c>
      <c r="AM570" s="126" t="s">
        <v>3229</v>
      </c>
      <c r="AN570" s="685">
        <f>+'klikací hodnoty'!F18816</f>
        <v>0.22500000000000001</v>
      </c>
      <c r="AO570" s="317">
        <v>11.47</v>
      </c>
      <c r="AP570" s="1616">
        <f>+'klikací hodnoty'!H18814</f>
        <v>0.35025183316802999</v>
      </c>
      <c r="AQ570" s="1685">
        <f>+'klikací hodnoty'!H18814</f>
        <v>0.35025183316802999</v>
      </c>
      <c r="AR570" s="1357">
        <f t="shared" ref="AR570:AR571" si="175">O570</f>
        <v>0.45</v>
      </c>
      <c r="AS570" s="1358">
        <f>POWER(1+AR570,1/((I570-F570)/365))-1</f>
        <v>6.3141608237643476E-2</v>
      </c>
      <c r="AT570" s="1358"/>
      <c r="AU570" s="1359"/>
      <c r="AV570" s="1360">
        <f t="shared" ref="AV570:AV571" si="176">M570</f>
        <v>-1</v>
      </c>
      <c r="AW570" s="1360">
        <f t="shared" ref="AW570:AW571" si="177">POWER(1+AV570,1/((I570-F570)/365))-1</f>
        <v>-1</v>
      </c>
      <c r="AX570" s="1361"/>
      <c r="AY570" s="435"/>
      <c r="AZ570" s="1724">
        <f t="shared" ref="AZ570:AZ571" si="178">J570*(1+AV570)</f>
        <v>0</v>
      </c>
      <c r="BA570" s="138"/>
      <c r="BB570" s="76"/>
      <c r="BC570" s="75"/>
      <c r="BF570" s="3746" cm="1">
        <f t="array" ref="BF570">IFERROR(+VLOOKUP(C570,+[6]NAV_ALL_20240408111714!$A$2:$E$1216,5,0),+AO570)</f>
        <v>11.47</v>
      </c>
      <c r="BG570" s="3747">
        <f t="shared" si="165"/>
        <v>0</v>
      </c>
    </row>
    <row r="571" spans="1:59" x14ac:dyDescent="0.25">
      <c r="A571" t="s">
        <v>10710</v>
      </c>
      <c r="B571" s="1640" t="s">
        <v>10709</v>
      </c>
      <c r="C571" s="52" t="s">
        <v>10711</v>
      </c>
      <c r="D571" s="574" t="s">
        <v>10498</v>
      </c>
      <c r="E571" s="52" t="s">
        <v>3228</v>
      </c>
      <c r="F571" s="53">
        <v>44690</v>
      </c>
      <c r="G571" s="53">
        <v>44627</v>
      </c>
      <c r="H571" s="614">
        <v>44680</v>
      </c>
      <c r="I571" s="249">
        <v>46812</v>
      </c>
      <c r="J571" s="103">
        <v>10</v>
      </c>
      <c r="K571" s="46" t="s">
        <v>3229</v>
      </c>
      <c r="L571" s="50" t="s">
        <v>3229</v>
      </c>
      <c r="M571" s="48">
        <v>0</v>
      </c>
      <c r="N571" s="615">
        <v>1</v>
      </c>
      <c r="O571" s="241">
        <v>1</v>
      </c>
      <c r="P571" s="153" t="s">
        <v>10712</v>
      </c>
      <c r="Q571" s="89" t="s">
        <v>3229</v>
      </c>
      <c r="R571" s="618" t="s">
        <v>3229</v>
      </c>
      <c r="S571" s="1683">
        <v>1</v>
      </c>
      <c r="T571" s="437" t="s">
        <v>3229</v>
      </c>
      <c r="U571" s="196" t="s">
        <v>3229</v>
      </c>
      <c r="V571" s="196" t="s">
        <v>3229</v>
      </c>
      <c r="W571" s="196" t="s">
        <v>3229</v>
      </c>
      <c r="X571" s="196" t="s">
        <v>3229</v>
      </c>
      <c r="Y571" s="196" t="s">
        <v>3229</v>
      </c>
      <c r="Z571" s="196" t="s">
        <v>3229</v>
      </c>
      <c r="AA571" s="196" t="s">
        <v>3229</v>
      </c>
      <c r="AB571" s="196" t="s">
        <v>3229</v>
      </c>
      <c r="AC571" s="196" t="s">
        <v>3229</v>
      </c>
      <c r="AD571" s="196" t="s">
        <v>3229</v>
      </c>
      <c r="AE571" s="1631" t="s">
        <v>3229</v>
      </c>
      <c r="AF571" s="1682">
        <v>1</v>
      </c>
      <c r="AG571" s="55">
        <f>(I571-indexy!$B$1)/365</f>
        <v>3.9260273972602739</v>
      </c>
      <c r="AH571" s="88" t="s">
        <v>3229</v>
      </c>
      <c r="AI571" s="259" t="s">
        <v>3229</v>
      </c>
      <c r="AJ571" s="259" t="s">
        <v>3229</v>
      </c>
      <c r="AK571" s="259" t="s">
        <v>3229</v>
      </c>
      <c r="AL571" s="259" t="s">
        <v>3229</v>
      </c>
      <c r="AM571" s="126">
        <v>1</v>
      </c>
      <c r="AN571" s="685">
        <f>+'klikací hodnoty'!F18869</f>
        <v>0.19111383668174453</v>
      </c>
      <c r="AO571" s="317">
        <v>10.95</v>
      </c>
      <c r="AP571" s="1616">
        <f>+'klikací hodnoty'!F18868</f>
        <v>0.19111383668174453</v>
      </c>
      <c r="AQ571" s="1685">
        <f>+'klikací hodnoty'!F18849</f>
        <v>4.9959836681744613E-2</v>
      </c>
      <c r="AR571" s="1357">
        <f t="shared" si="175"/>
        <v>1</v>
      </c>
      <c r="AS571" s="1358"/>
      <c r="AT571" s="1358"/>
      <c r="AU571" s="1359"/>
      <c r="AV571" s="1360">
        <f t="shared" si="176"/>
        <v>0</v>
      </c>
      <c r="AW571" s="1360">
        <f t="shared" si="177"/>
        <v>0</v>
      </c>
      <c r="AX571" s="1361"/>
      <c r="AY571" s="435"/>
      <c r="AZ571" s="1724">
        <f t="shared" si="178"/>
        <v>10</v>
      </c>
      <c r="BA571" s="138"/>
      <c r="BB571" s="76"/>
      <c r="BC571" s="75"/>
      <c r="BF571" s="3746" cm="1">
        <f t="array" ref="BF571">IFERROR(+VLOOKUP(C571,+[6]NAV_ALL_20240408111714!$A$2:$E$1216,5,0),+AO571)</f>
        <v>10.95</v>
      </c>
      <c r="BG571" s="3747">
        <f t="shared" si="165"/>
        <v>0</v>
      </c>
    </row>
    <row r="572" spans="1:59" x14ac:dyDescent="0.25">
      <c r="A572" t="s">
        <v>10725</v>
      </c>
      <c r="B572" s="1640" t="s">
        <v>10726</v>
      </c>
      <c r="C572" s="52" t="s">
        <v>10727</v>
      </c>
      <c r="D572" s="574" t="s">
        <v>189</v>
      </c>
      <c r="E572" s="52" t="s">
        <v>3228</v>
      </c>
      <c r="F572" s="53">
        <v>44781</v>
      </c>
      <c r="G572" s="53">
        <v>44743</v>
      </c>
      <c r="H572" s="614">
        <v>44771</v>
      </c>
      <c r="I572" s="249">
        <v>46996</v>
      </c>
      <c r="J572" s="103">
        <v>10</v>
      </c>
      <c r="K572" s="46" t="s">
        <v>3229</v>
      </c>
      <c r="L572" s="50">
        <v>0.09</v>
      </c>
      <c r="M572" s="48">
        <v>-1</v>
      </c>
      <c r="N572" s="615" t="s">
        <v>3229</v>
      </c>
      <c r="O572" s="241">
        <v>0.54</v>
      </c>
      <c r="P572" s="153">
        <v>0.4</v>
      </c>
      <c r="Q572" s="89">
        <v>1</v>
      </c>
      <c r="R572" s="618" t="s">
        <v>3229</v>
      </c>
      <c r="S572" s="1683">
        <v>1</v>
      </c>
      <c r="T572" s="437" t="s">
        <v>3229</v>
      </c>
      <c r="U572" s="196" t="s">
        <v>3229</v>
      </c>
      <c r="V572" s="196" t="s">
        <v>3229</v>
      </c>
      <c r="W572" s="196" t="s">
        <v>3229</v>
      </c>
      <c r="X572" s="196" t="s">
        <v>3229</v>
      </c>
      <c r="Y572" s="196" t="s">
        <v>3229</v>
      </c>
      <c r="Z572" s="196" t="s">
        <v>3229</v>
      </c>
      <c r="AA572" s="196" t="s">
        <v>3229</v>
      </c>
      <c r="AB572" s="196" t="s">
        <v>3229</v>
      </c>
      <c r="AC572" s="196" t="s">
        <v>3229</v>
      </c>
      <c r="AD572" s="196" t="s">
        <v>3229</v>
      </c>
      <c r="AE572" s="1631" t="s">
        <v>3229</v>
      </c>
      <c r="AF572" s="1682">
        <v>4</v>
      </c>
      <c r="AG572" s="55">
        <f>(I572-indexy!$B$1)/365</f>
        <v>4.4301369863013695</v>
      </c>
      <c r="AH572" s="88">
        <v>1</v>
      </c>
      <c r="AI572" s="259" t="s">
        <v>3229</v>
      </c>
      <c r="AJ572" s="259" t="s">
        <v>3229</v>
      </c>
      <c r="AK572" s="259" t="s">
        <v>3229</v>
      </c>
      <c r="AL572" s="259" t="s">
        <v>3229</v>
      </c>
      <c r="AM572" s="126" t="s">
        <v>3229</v>
      </c>
      <c r="AN572" s="685">
        <f>+'klikací hodnoty'!F18878</f>
        <v>0.27</v>
      </c>
      <c r="AO572" s="317">
        <v>11.84</v>
      </c>
      <c r="AP572" s="1616">
        <f>+'klikací hodnoty'!H18876</f>
        <v>0.35145582542855935</v>
      </c>
      <c r="AQ572" s="1685">
        <f>+'klikací hodnoty'!H18876</f>
        <v>0.35145582542855935</v>
      </c>
      <c r="AR572" s="1357">
        <f t="shared" ref="AR572" si="179">O572</f>
        <v>0.54</v>
      </c>
      <c r="AS572" s="1358">
        <f>POWER(1+AR572,1/((I572-F572)/365))-1</f>
        <v>7.3743890348205055E-2</v>
      </c>
      <c r="AT572" s="1358"/>
      <c r="AU572" s="1359"/>
      <c r="AV572" s="1360">
        <f t="shared" ref="AV572" si="180">M572</f>
        <v>-1</v>
      </c>
      <c r="AW572" s="1360">
        <f t="shared" ref="AW572" si="181">POWER(1+AV572,1/((I572-F572)/365))-1</f>
        <v>-1</v>
      </c>
      <c r="AX572" s="1361"/>
      <c r="AY572" s="435"/>
      <c r="AZ572" s="1724">
        <f t="shared" ref="AZ572" si="182">J572*(1+AV572)</f>
        <v>0</v>
      </c>
      <c r="BA572" s="138"/>
      <c r="BB572" s="76"/>
      <c r="BC572" s="75"/>
      <c r="BF572" s="3746" cm="1">
        <f t="array" ref="BF572">IFERROR(+VLOOKUP(C572,+[6]NAV_ALL_20240408111714!$A$2:$E$1216,5,0),+AO572)</f>
        <v>11.84</v>
      </c>
      <c r="BG572" s="3747">
        <f t="shared" si="165"/>
        <v>0</v>
      </c>
    </row>
    <row r="573" spans="1:59" x14ac:dyDescent="0.25">
      <c r="A573" t="s">
        <v>10746</v>
      </c>
      <c r="B573" s="1640" t="s">
        <v>10748</v>
      </c>
      <c r="C573" s="52" t="s">
        <v>10747</v>
      </c>
      <c r="D573" s="574" t="s">
        <v>189</v>
      </c>
      <c r="E573" s="52" t="s">
        <v>3228</v>
      </c>
      <c r="F573" s="53">
        <v>44903</v>
      </c>
      <c r="G573" s="53">
        <v>44861</v>
      </c>
      <c r="H573" s="614">
        <v>44895</v>
      </c>
      <c r="I573" s="249">
        <v>47149</v>
      </c>
      <c r="J573" s="103">
        <v>10</v>
      </c>
      <c r="K573" s="46" t="s">
        <v>3229</v>
      </c>
      <c r="L573" s="50">
        <v>0.1</v>
      </c>
      <c r="M573" s="48">
        <v>-1</v>
      </c>
      <c r="N573" s="615" t="s">
        <v>3229</v>
      </c>
      <c r="O573" s="241">
        <v>0.6</v>
      </c>
      <c r="P573" s="153">
        <v>0.4</v>
      </c>
      <c r="Q573" s="89">
        <v>1</v>
      </c>
      <c r="R573" s="618" t="s">
        <v>3229</v>
      </c>
      <c r="S573" s="1683">
        <v>1</v>
      </c>
      <c r="T573" s="437" t="s">
        <v>3229</v>
      </c>
      <c r="U573" s="196" t="s">
        <v>3229</v>
      </c>
      <c r="V573" s="196" t="s">
        <v>3229</v>
      </c>
      <c r="W573" s="196" t="s">
        <v>3229</v>
      </c>
      <c r="X573" s="196" t="s">
        <v>3229</v>
      </c>
      <c r="Y573" s="196" t="s">
        <v>3229</v>
      </c>
      <c r="Z573" s="196" t="s">
        <v>3229</v>
      </c>
      <c r="AA573" s="196" t="s">
        <v>3229</v>
      </c>
      <c r="AB573" s="196" t="s">
        <v>3229</v>
      </c>
      <c r="AC573" s="196" t="s">
        <v>3229</v>
      </c>
      <c r="AD573" s="196" t="s">
        <v>3229</v>
      </c>
      <c r="AE573" s="1631" t="s">
        <v>3229</v>
      </c>
      <c r="AF573" s="1682">
        <v>4</v>
      </c>
      <c r="AG573" s="55">
        <f>(I573-indexy!$B$1)/365</f>
        <v>4.8493150684931505</v>
      </c>
      <c r="AH573" s="88">
        <v>1</v>
      </c>
      <c r="AI573" s="259" t="s">
        <v>3229</v>
      </c>
      <c r="AJ573" s="259" t="s">
        <v>3229</v>
      </c>
      <c r="AK573" s="259" t="s">
        <v>3229</v>
      </c>
      <c r="AL573" s="259" t="s">
        <v>3229</v>
      </c>
      <c r="AM573" s="126" t="s">
        <v>3229</v>
      </c>
      <c r="AN573" s="685">
        <f>+'klikací hodnoty'!F18887</f>
        <v>0.3</v>
      </c>
      <c r="AO573" s="317">
        <v>11.85</v>
      </c>
      <c r="AP573" s="1616">
        <f>+'klikací hodnoty'!H18885</f>
        <v>0.30768597549995613</v>
      </c>
      <c r="AQ573" s="1685">
        <f>+'klikací hodnoty'!H18885</f>
        <v>0.30768597549995613</v>
      </c>
      <c r="AR573" s="1357">
        <f t="shared" ref="AR573" si="183">O573</f>
        <v>0.6</v>
      </c>
      <c r="AS573" s="1358">
        <f>POWER(1+AR573,1/((I573-F573)/365))-1</f>
        <v>7.9373544352326908E-2</v>
      </c>
      <c r="AT573" s="1358"/>
      <c r="AU573" s="1359"/>
      <c r="AV573" s="1360">
        <f t="shared" ref="AV573" si="184">M573</f>
        <v>-1</v>
      </c>
      <c r="AW573" s="1360">
        <f t="shared" ref="AW573" si="185">POWER(1+AV573,1/((I573-F573)/365))-1</f>
        <v>-1</v>
      </c>
      <c r="AX573" s="1361"/>
      <c r="AY573" s="435"/>
      <c r="AZ573" s="1724">
        <f t="shared" ref="AZ573" si="186">J573*(1+AV573)</f>
        <v>0</v>
      </c>
      <c r="BA573" s="138"/>
      <c r="BB573" s="76"/>
      <c r="BC573" s="75"/>
      <c r="BF573" s="3746" cm="1">
        <f t="array" ref="BF573">IFERROR(+VLOOKUP(C573,+[6]NAV_ALL_20240408111714!$A$2:$E$1216,5,0),+AO573)</f>
        <v>11.85</v>
      </c>
      <c r="BG573" s="3747">
        <f t="shared" si="165"/>
        <v>0</v>
      </c>
    </row>
    <row r="574" spans="1:59" x14ac:dyDescent="0.25">
      <c r="A574" t="s">
        <v>10759</v>
      </c>
      <c r="B574" s="1640" t="s">
        <v>10760</v>
      </c>
      <c r="C574" s="52" t="s">
        <v>10761</v>
      </c>
      <c r="D574" s="574" t="s">
        <v>189</v>
      </c>
      <c r="E574" s="52" t="s">
        <v>3228</v>
      </c>
      <c r="F574" s="53">
        <v>44993</v>
      </c>
      <c r="G574" s="53">
        <v>44958</v>
      </c>
      <c r="H574" s="614">
        <v>44985</v>
      </c>
      <c r="I574" s="249">
        <v>47207</v>
      </c>
      <c r="J574" s="103">
        <v>10</v>
      </c>
      <c r="K574" s="46" t="s">
        <v>3229</v>
      </c>
      <c r="L574" s="50">
        <v>0.11</v>
      </c>
      <c r="M574" s="48">
        <v>-1</v>
      </c>
      <c r="N574" s="615" t="s">
        <v>3229</v>
      </c>
      <c r="O574" s="241">
        <v>0.66</v>
      </c>
      <c r="P574" s="153">
        <v>0.4</v>
      </c>
      <c r="Q574" s="89">
        <v>1</v>
      </c>
      <c r="R574" s="618" t="s">
        <v>3229</v>
      </c>
      <c r="S574" s="1683">
        <v>1</v>
      </c>
      <c r="T574" s="437" t="s">
        <v>3229</v>
      </c>
      <c r="U574" s="196" t="s">
        <v>3229</v>
      </c>
      <c r="V574" s="196" t="s">
        <v>3229</v>
      </c>
      <c r="W574" s="196" t="s">
        <v>3229</v>
      </c>
      <c r="X574" s="196" t="s">
        <v>3229</v>
      </c>
      <c r="Y574" s="196" t="s">
        <v>3229</v>
      </c>
      <c r="Z574" s="196" t="s">
        <v>3229</v>
      </c>
      <c r="AA574" s="196" t="s">
        <v>3229</v>
      </c>
      <c r="AB574" s="196" t="s">
        <v>3229</v>
      </c>
      <c r="AC574" s="196" t="s">
        <v>3229</v>
      </c>
      <c r="AD574" s="196" t="s">
        <v>3229</v>
      </c>
      <c r="AE574" s="1631" t="s">
        <v>3229</v>
      </c>
      <c r="AF574" s="1682">
        <v>4</v>
      </c>
      <c r="AG574" s="55">
        <f>(I574-indexy!$B$1)/365</f>
        <v>5.0082191780821921</v>
      </c>
      <c r="AH574" s="88">
        <v>1</v>
      </c>
      <c r="AI574" s="259" t="s">
        <v>3229</v>
      </c>
      <c r="AJ574" s="259" t="s">
        <v>3229</v>
      </c>
      <c r="AK574" s="259" t="s">
        <v>3229</v>
      </c>
      <c r="AL574" s="259" t="s">
        <v>3229</v>
      </c>
      <c r="AM574" s="126" t="s">
        <v>3229</v>
      </c>
      <c r="AN574" s="685">
        <f>+'klikací hodnoty'!F18896</f>
        <v>0.33</v>
      </c>
      <c r="AO574" s="317">
        <v>11.82</v>
      </c>
      <c r="AP574" s="1616">
        <f>+'klikací hodnoty'!H18894</f>
        <v>0.22203412566271186</v>
      </c>
      <c r="AQ574" s="1685">
        <f>+'klikací hodnoty'!H18894</f>
        <v>0.22203412566271186</v>
      </c>
      <c r="AR574" s="1357">
        <f t="shared" ref="AR574" si="187">O574</f>
        <v>0.66</v>
      </c>
      <c r="AS574" s="1358">
        <f>POWER(1+AR574,1/((I574-F574)/365))-1</f>
        <v>8.714385508782474E-2</v>
      </c>
      <c r="AT574" s="1358"/>
      <c r="AU574" s="1359"/>
      <c r="AV574" s="1360">
        <f t="shared" ref="AV574" si="188">M574</f>
        <v>-1</v>
      </c>
      <c r="AW574" s="1360">
        <f t="shared" ref="AW574" si="189">POWER(1+AV574,1/((I574-F574)/365))-1</f>
        <v>-1</v>
      </c>
      <c r="AX574" s="1361"/>
      <c r="AY574" s="435"/>
      <c r="AZ574" s="1724">
        <f t="shared" ref="AZ574" si="190">J574*(1+AV574)</f>
        <v>0</v>
      </c>
      <c r="BA574" s="138"/>
      <c r="BB574" s="76"/>
      <c r="BC574" s="75"/>
      <c r="BF574" s="3746" cm="1">
        <f t="array" ref="BF574">IFERROR(+VLOOKUP(C574,+[6]NAV_ALL_20240408111714!$A$2:$E$1216,5,0),+AO574)</f>
        <v>11.82</v>
      </c>
      <c r="BG574" s="3747">
        <f t="shared" si="165"/>
        <v>0</v>
      </c>
    </row>
    <row r="575" spans="1:59" x14ac:dyDescent="0.25">
      <c r="A575" t="s">
        <v>10772</v>
      </c>
      <c r="B575" s="1640" t="s">
        <v>10774</v>
      </c>
      <c r="C575" s="52" t="s">
        <v>10773</v>
      </c>
      <c r="D575" s="574" t="s">
        <v>189</v>
      </c>
      <c r="E575" s="52" t="s">
        <v>3228</v>
      </c>
      <c r="F575" s="53">
        <v>45085</v>
      </c>
      <c r="G575" s="53">
        <v>45019</v>
      </c>
      <c r="H575" s="614">
        <v>45077</v>
      </c>
      <c r="I575" s="249">
        <v>47298</v>
      </c>
      <c r="J575" s="103">
        <v>10</v>
      </c>
      <c r="K575" s="46" t="s">
        <v>3229</v>
      </c>
      <c r="L575" s="50">
        <v>0.09</v>
      </c>
      <c r="M575" s="48">
        <v>-1</v>
      </c>
      <c r="N575" s="615" t="s">
        <v>3229</v>
      </c>
      <c r="O575" s="241">
        <v>0.54</v>
      </c>
      <c r="P575" s="153">
        <v>0.4</v>
      </c>
      <c r="Q575" s="89">
        <v>1</v>
      </c>
      <c r="R575" s="618" t="s">
        <v>3229</v>
      </c>
      <c r="S575" s="1683">
        <v>1</v>
      </c>
      <c r="T575" s="437" t="s">
        <v>3229</v>
      </c>
      <c r="U575" s="196" t="s">
        <v>3229</v>
      </c>
      <c r="V575" s="196" t="s">
        <v>3229</v>
      </c>
      <c r="W575" s="196" t="s">
        <v>3229</v>
      </c>
      <c r="X575" s="196" t="s">
        <v>3229</v>
      </c>
      <c r="Y575" s="196" t="s">
        <v>3229</v>
      </c>
      <c r="Z575" s="196" t="s">
        <v>3229</v>
      </c>
      <c r="AA575" s="196" t="s">
        <v>3229</v>
      </c>
      <c r="AB575" s="196" t="s">
        <v>3229</v>
      </c>
      <c r="AC575" s="196" t="s">
        <v>3229</v>
      </c>
      <c r="AD575" s="196" t="s">
        <v>3229</v>
      </c>
      <c r="AE575" s="1631" t="s">
        <v>3229</v>
      </c>
      <c r="AF575" s="1682">
        <v>4</v>
      </c>
      <c r="AG575" s="55">
        <f>(I575-indexy!$B$1)/365</f>
        <v>5.2575342465753421</v>
      </c>
      <c r="AH575" s="88">
        <v>1</v>
      </c>
      <c r="AI575" s="259" t="s">
        <v>3229</v>
      </c>
      <c r="AJ575" s="259" t="s">
        <v>3229</v>
      </c>
      <c r="AK575" s="259" t="s">
        <v>3229</v>
      </c>
      <c r="AL575" s="259" t="s">
        <v>3229</v>
      </c>
      <c r="AM575" s="126" t="s">
        <v>3229</v>
      </c>
      <c r="AN575" s="685">
        <f>+'klikací hodnoty'!F18905</f>
        <v>0.27</v>
      </c>
      <c r="AO575" s="317">
        <v>11.22</v>
      </c>
      <c r="AP575" s="1616">
        <f>+'klikací hodnoty'!H18903</f>
        <v>0.17087136680970261</v>
      </c>
      <c r="AQ575" s="1685">
        <f>+'klikací hodnoty'!H18903</f>
        <v>0.17087136680970261</v>
      </c>
      <c r="AR575" s="1357">
        <f t="shared" ref="AR575" si="191">O575</f>
        <v>0.54</v>
      </c>
      <c r="AS575" s="1358">
        <f>POWER(1+AR575,1/((I575-F575)/365))-1</f>
        <v>7.3812937749383467E-2</v>
      </c>
      <c r="AT575" s="1358"/>
      <c r="AU575" s="1359"/>
      <c r="AV575" s="1360">
        <f t="shared" ref="AV575" si="192">M575</f>
        <v>-1</v>
      </c>
      <c r="AW575" s="1360">
        <f t="shared" ref="AW575" si="193">POWER(1+AV575,1/((I575-F575)/365))-1</f>
        <v>-1</v>
      </c>
      <c r="AX575" s="1361"/>
      <c r="AY575" s="435"/>
      <c r="AZ575" s="1724">
        <f t="shared" ref="AZ575" si="194">J575*(1+AV575)</f>
        <v>0</v>
      </c>
      <c r="BA575" s="138"/>
      <c r="BB575" s="76"/>
      <c r="BC575" s="75"/>
      <c r="BF575" s="3746" cm="1">
        <f t="array" ref="BF575">IFERROR(+VLOOKUP(C575,+[6]NAV_ALL_20240408111714!$A$2:$E$1216,5,0),+AO575)</f>
        <v>11.22</v>
      </c>
      <c r="BG575" s="3747">
        <f t="shared" si="165"/>
        <v>0</v>
      </c>
    </row>
    <row r="576" spans="1:59" x14ac:dyDescent="0.25">
      <c r="A576" t="s">
        <v>10776</v>
      </c>
      <c r="B576" s="1640" t="s">
        <v>10775</v>
      </c>
      <c r="C576" s="1615" t="s">
        <v>10777</v>
      </c>
      <c r="D576" s="574" t="s">
        <v>8854</v>
      </c>
      <c r="E576" s="52" t="s">
        <v>3228</v>
      </c>
      <c r="F576" s="53">
        <v>45117</v>
      </c>
      <c r="G576" s="614">
        <v>45048</v>
      </c>
      <c r="H576" s="49">
        <v>45107</v>
      </c>
      <c r="I576" s="249">
        <v>47177</v>
      </c>
      <c r="J576" s="103">
        <v>10</v>
      </c>
      <c r="K576" s="46" t="s">
        <v>3229</v>
      </c>
      <c r="L576" s="50" t="s">
        <v>3229</v>
      </c>
      <c r="M576" s="56">
        <v>0.12</v>
      </c>
      <c r="N576" s="615">
        <v>1</v>
      </c>
      <c r="O576" s="241" t="s">
        <v>3229</v>
      </c>
      <c r="P576" s="89" t="s">
        <v>3229</v>
      </c>
      <c r="Q576" s="3755" t="s">
        <v>3229</v>
      </c>
      <c r="R576" s="618" t="s">
        <v>3229</v>
      </c>
      <c r="S576" s="1683">
        <v>1</v>
      </c>
      <c r="T576" s="437" t="s">
        <v>3229</v>
      </c>
      <c r="U576" s="196" t="s">
        <v>3229</v>
      </c>
      <c r="V576" s="196" t="s">
        <v>3229</v>
      </c>
      <c r="W576" s="196" t="s">
        <v>3229</v>
      </c>
      <c r="X576" s="196" t="s">
        <v>3229</v>
      </c>
      <c r="Y576" s="196" t="s">
        <v>3229</v>
      </c>
      <c r="Z576" s="196" t="s">
        <v>3229</v>
      </c>
      <c r="AA576" s="196" t="s">
        <v>3229</v>
      </c>
      <c r="AB576" s="196" t="s">
        <v>3229</v>
      </c>
      <c r="AC576" s="196" t="s">
        <v>3229</v>
      </c>
      <c r="AD576" s="196" t="s">
        <v>3229</v>
      </c>
      <c r="AE576" s="1631" t="s">
        <v>3229</v>
      </c>
      <c r="AF576" s="1682">
        <v>1</v>
      </c>
      <c r="AG576" s="55">
        <f>(I576-indexy!$B$1)/365</f>
        <v>4.9260273972602739</v>
      </c>
      <c r="AH576" s="88" t="s">
        <v>3229</v>
      </c>
      <c r="AI576" s="259" t="s">
        <v>3229</v>
      </c>
      <c r="AJ576" s="259" t="s">
        <v>3229</v>
      </c>
      <c r="AK576" s="259" t="s">
        <v>3229</v>
      </c>
      <c r="AL576" s="259" t="s">
        <v>3229</v>
      </c>
      <c r="AM576" s="126">
        <v>1</v>
      </c>
      <c r="AN576" s="685">
        <f>+'klikací hodnoty'!F18958</f>
        <v>0.12073718896035457</v>
      </c>
      <c r="AO576" s="317">
        <v>10.87</v>
      </c>
      <c r="AP576" s="3758">
        <f>+'klikací hodnoty'!F18957</f>
        <v>0.12073718896035457</v>
      </c>
      <c r="AQ576" s="3627">
        <f>+'klikací hodnoty'!F18938</f>
        <v>0.12073718896035457</v>
      </c>
      <c r="AR576" s="1357" t="str">
        <f>O576</f>
        <v>-</v>
      </c>
      <c r="AS576" s="1358" t="s">
        <v>3660</v>
      </c>
      <c r="AT576" s="1358"/>
      <c r="AU576" s="1359"/>
      <c r="AV576" s="1360">
        <f t="shared" ref="AV576:AV581" si="195">M576</f>
        <v>0.12</v>
      </c>
      <c r="AW576" s="1360">
        <f t="shared" ref="AW576:AW581" si="196">POWER(1+AV576,1/((I576-F576)/365))-1</f>
        <v>2.0283043664682587E-2</v>
      </c>
      <c r="AX576" s="1361"/>
      <c r="AY576" s="435"/>
      <c r="AZ576" s="1724">
        <f t="shared" ref="AZ576:AZ581" si="197">J576*(1+AV576)</f>
        <v>11.200000000000001</v>
      </c>
      <c r="BA576" s="138"/>
      <c r="BB576" s="76"/>
      <c r="BC576" s="75"/>
      <c r="BF576" s="3746" cm="1">
        <f t="array" ref="BF576">IFERROR(+VLOOKUP(C576,+[6]NAV_ALL_20240408111714!$A$2:$E$1216,5,0),+AO576)</f>
        <v>10.87</v>
      </c>
      <c r="BG576" s="3747">
        <f t="shared" si="165"/>
        <v>0</v>
      </c>
    </row>
    <row r="577" spans="1:59" x14ac:dyDescent="0.25">
      <c r="A577" t="s">
        <v>10793</v>
      </c>
      <c r="B577" s="1640" t="s">
        <v>10794</v>
      </c>
      <c r="C577" s="1615" t="s">
        <v>10795</v>
      </c>
      <c r="D577" s="574" t="s">
        <v>8854</v>
      </c>
      <c r="E577" s="52" t="s">
        <v>3228</v>
      </c>
      <c r="F577" s="53">
        <v>45177</v>
      </c>
      <c r="G577" s="614">
        <v>45110</v>
      </c>
      <c r="H577" s="49">
        <v>45169</v>
      </c>
      <c r="I577" s="249">
        <v>46965</v>
      </c>
      <c r="J577" s="103">
        <v>10</v>
      </c>
      <c r="K577" s="46" t="s">
        <v>3229</v>
      </c>
      <c r="L577" s="50" t="s">
        <v>3229</v>
      </c>
      <c r="M577" s="48">
        <v>0.08</v>
      </c>
      <c r="N577" s="615">
        <v>1</v>
      </c>
      <c r="O577" s="241">
        <v>1.2</v>
      </c>
      <c r="P577" s="89" t="s">
        <v>3229</v>
      </c>
      <c r="Q577" s="3755" t="s">
        <v>3229</v>
      </c>
      <c r="R577" s="618" t="s">
        <v>3229</v>
      </c>
      <c r="S577" s="76">
        <v>1</v>
      </c>
      <c r="T577" s="437" t="s">
        <v>3229</v>
      </c>
      <c r="U577" s="196" t="s">
        <v>3229</v>
      </c>
      <c r="V577" s="196" t="s">
        <v>3229</v>
      </c>
      <c r="W577" s="196" t="s">
        <v>3229</v>
      </c>
      <c r="X577" s="196" t="s">
        <v>3229</v>
      </c>
      <c r="Y577" s="196" t="s">
        <v>3229</v>
      </c>
      <c r="Z577" s="196" t="s">
        <v>3229</v>
      </c>
      <c r="AA577" s="196" t="s">
        <v>3229</v>
      </c>
      <c r="AB577" s="196" t="s">
        <v>3229</v>
      </c>
      <c r="AC577" s="196" t="s">
        <v>3229</v>
      </c>
      <c r="AD577" s="196" t="s">
        <v>3229</v>
      </c>
      <c r="AE577" s="1631" t="s">
        <v>3229</v>
      </c>
      <c r="AF577" s="1682">
        <v>1</v>
      </c>
      <c r="AG577" s="55">
        <f>(I577-indexy!$B$1)/365</f>
        <v>4.3452054794520549</v>
      </c>
      <c r="AH577" s="88" t="s">
        <v>3229</v>
      </c>
      <c r="AI577" s="259" t="s">
        <v>3229</v>
      </c>
      <c r="AJ577" s="259" t="s">
        <v>3229</v>
      </c>
      <c r="AK577" s="259" t="s">
        <v>3229</v>
      </c>
      <c r="AL577" s="259" t="s">
        <v>3229</v>
      </c>
      <c r="AM577" s="3756">
        <v>1</v>
      </c>
      <c r="AN577" s="685">
        <f>+'klikací hodnoty'!F19005</f>
        <v>0.14730058043046099</v>
      </c>
      <c r="AO577" s="317">
        <v>10.71</v>
      </c>
      <c r="AP577" s="3758">
        <f>+'klikací hodnoty'!F19004</f>
        <v>0.14730058043046099</v>
      </c>
      <c r="AQ577" s="3627">
        <f>+'klikací hodnoty'!F18991</f>
        <v>0.12310958043046093</v>
      </c>
      <c r="AR577" s="1357">
        <f t="shared" ref="AR577:AR581" si="198">O577</f>
        <v>1.2</v>
      </c>
      <c r="AS577" s="1358">
        <f>POWER(1+AR577,1/((I577-F577)/365))-1</f>
        <v>0.17463171273016043</v>
      </c>
      <c r="AT577" s="1358"/>
      <c r="AU577" s="1359"/>
      <c r="AV577" s="1360">
        <f t="shared" si="195"/>
        <v>0.08</v>
      </c>
      <c r="AW577" s="1360">
        <f t="shared" si="196"/>
        <v>1.5834789401825144E-2</v>
      </c>
      <c r="AX577" s="1361"/>
      <c r="AY577" s="435"/>
      <c r="AZ577" s="1724">
        <f t="shared" si="197"/>
        <v>10.8</v>
      </c>
      <c r="BA577" s="138"/>
      <c r="BB577" s="76"/>
      <c r="BC577" s="75"/>
      <c r="BF577" s="3746" cm="1">
        <f t="array" ref="BF577">IFERROR(+VLOOKUP(C577,+[6]NAV_ALL_20240408111714!$A$2:$E$1216,5,0),+AO577)</f>
        <v>10.71</v>
      </c>
      <c r="BG577" s="3747">
        <f t="shared" si="165"/>
        <v>0</v>
      </c>
    </row>
    <row r="578" spans="1:59" x14ac:dyDescent="0.25">
      <c r="A578" t="s">
        <v>10796</v>
      </c>
      <c r="B578" s="1640" t="s">
        <v>10797</v>
      </c>
      <c r="C578" s="1615" t="s">
        <v>10798</v>
      </c>
      <c r="D578" s="574" t="s">
        <v>8854</v>
      </c>
      <c r="E578" s="52" t="s">
        <v>3228</v>
      </c>
      <c r="F578" s="53">
        <v>45239</v>
      </c>
      <c r="G578" s="614">
        <v>45194</v>
      </c>
      <c r="H578" s="49">
        <v>45230</v>
      </c>
      <c r="I578" s="249">
        <v>47238</v>
      </c>
      <c r="J578" s="103">
        <v>10</v>
      </c>
      <c r="K578" s="46" t="s">
        <v>3229</v>
      </c>
      <c r="L578" s="50" t="s">
        <v>3229</v>
      </c>
      <c r="M578" s="48">
        <v>0</v>
      </c>
      <c r="N578" s="615">
        <v>0.8</v>
      </c>
      <c r="O578" s="241">
        <v>0.8</v>
      </c>
      <c r="P578" s="89" t="s">
        <v>3229</v>
      </c>
      <c r="Q578" s="153">
        <v>0.2</v>
      </c>
      <c r="R578" s="618" t="s">
        <v>3229</v>
      </c>
      <c r="S578" s="76">
        <v>1</v>
      </c>
      <c r="T578" s="437" t="s">
        <v>3229</v>
      </c>
      <c r="U578" s="196" t="s">
        <v>3229</v>
      </c>
      <c r="V578" s="196" t="s">
        <v>3229</v>
      </c>
      <c r="W578" s="196" t="s">
        <v>3229</v>
      </c>
      <c r="X578" s="196" t="s">
        <v>3229</v>
      </c>
      <c r="Y578" s="196" t="s">
        <v>3229</v>
      </c>
      <c r="Z578" s="196" t="s">
        <v>3229</v>
      </c>
      <c r="AA578" s="196" t="s">
        <v>3229</v>
      </c>
      <c r="AB578" s="196" t="s">
        <v>3229</v>
      </c>
      <c r="AC578" s="196" t="s">
        <v>3229</v>
      </c>
      <c r="AD578" s="196" t="s">
        <v>3229</v>
      </c>
      <c r="AE578" s="1631" t="s">
        <v>3229</v>
      </c>
      <c r="AF578" s="1682">
        <v>1</v>
      </c>
      <c r="AG578" s="55">
        <f>(I578-indexy!$B$1)/365</f>
        <v>5.0931506849315067</v>
      </c>
      <c r="AH578" s="88" t="s">
        <v>3229</v>
      </c>
      <c r="AI578" s="259" t="s">
        <v>3229</v>
      </c>
      <c r="AJ578" s="259" t="s">
        <v>3229</v>
      </c>
      <c r="AK578" s="259" t="s">
        <v>3229</v>
      </c>
      <c r="AL578" s="259" t="s">
        <v>3229</v>
      </c>
      <c r="AM578" s="3756">
        <v>1</v>
      </c>
      <c r="AN578" s="685">
        <f>+'klikací hodnoty'!F19058</f>
        <v>0.2</v>
      </c>
      <c r="AO578" s="317">
        <v>10.32</v>
      </c>
      <c r="AP578" s="3758">
        <f>+'klikací hodnoty'!F19057</f>
        <v>3.3404063734393745E-2</v>
      </c>
      <c r="AQ578" s="3627">
        <f>+'klikací hodnoty'!F19038</f>
        <v>3.3404063734393738E-2</v>
      </c>
      <c r="AR578" s="1357">
        <f t="shared" si="198"/>
        <v>0.8</v>
      </c>
      <c r="AS578" s="1358">
        <f>POWER(1+AR578,1/((I578-F578)/365))-1</f>
        <v>0.1132957148680811</v>
      </c>
      <c r="AT578" s="1358"/>
      <c r="AU578" s="1359"/>
      <c r="AV578" s="1360">
        <f t="shared" si="195"/>
        <v>0</v>
      </c>
      <c r="AW578" s="1360">
        <f t="shared" si="196"/>
        <v>0</v>
      </c>
      <c r="AX578" s="1361"/>
      <c r="AY578" s="3760"/>
      <c r="AZ578" s="3628">
        <f t="shared" si="197"/>
        <v>10</v>
      </c>
      <c r="BA578" s="138"/>
      <c r="BB578" s="76"/>
      <c r="BC578" s="75"/>
      <c r="BF578" s="3746" cm="1">
        <f t="array" ref="BF578">IFERROR(+VLOOKUP(C578,+[6]NAV_ALL_20240408111714!$A$2:$E$1216,5,0),+AO578)</f>
        <v>10.32</v>
      </c>
      <c r="BG578" s="3747">
        <f t="shared" ref="BG578:BG581" si="199">+BF578/AO578-1</f>
        <v>0</v>
      </c>
    </row>
    <row r="579" spans="1:59" x14ac:dyDescent="0.25">
      <c r="A579" t="s">
        <v>10820</v>
      </c>
      <c r="B579" s="1640" t="s">
        <v>10821</v>
      </c>
      <c r="C579" s="1615" t="s">
        <v>10822</v>
      </c>
      <c r="D579" s="574" t="s">
        <v>189</v>
      </c>
      <c r="E579" s="52" t="s">
        <v>3228</v>
      </c>
      <c r="F579" s="53">
        <v>45268</v>
      </c>
      <c r="G579" s="614">
        <v>45201</v>
      </c>
      <c r="H579" s="49">
        <v>45260</v>
      </c>
      <c r="I579" s="249">
        <v>47514</v>
      </c>
      <c r="J579" s="103">
        <v>10</v>
      </c>
      <c r="K579" s="46" t="s">
        <v>3229</v>
      </c>
      <c r="L579" s="50">
        <v>7.4999999999999997E-2</v>
      </c>
      <c r="M579" s="48">
        <v>-1</v>
      </c>
      <c r="N579" s="615" t="s">
        <v>3229</v>
      </c>
      <c r="O579" s="241">
        <v>0.45</v>
      </c>
      <c r="P579" s="89">
        <v>0.4</v>
      </c>
      <c r="Q579" s="3755">
        <v>1</v>
      </c>
      <c r="R579" s="618" t="s">
        <v>3229</v>
      </c>
      <c r="S579" s="76">
        <v>1</v>
      </c>
      <c r="T579" s="437" t="s">
        <v>3229</v>
      </c>
      <c r="U579" s="196" t="s">
        <v>3229</v>
      </c>
      <c r="V579" s="196" t="s">
        <v>3229</v>
      </c>
      <c r="W579" s="196" t="s">
        <v>3229</v>
      </c>
      <c r="X579" s="196" t="s">
        <v>3229</v>
      </c>
      <c r="Y579" s="196" t="s">
        <v>3229</v>
      </c>
      <c r="Z579" s="196" t="s">
        <v>3229</v>
      </c>
      <c r="AA579" s="196" t="s">
        <v>3229</v>
      </c>
      <c r="AB579" s="196" t="s">
        <v>3229</v>
      </c>
      <c r="AC579" s="196" t="s">
        <v>3229</v>
      </c>
      <c r="AD579" s="196" t="s">
        <v>3229</v>
      </c>
      <c r="AE579" s="1631" t="s">
        <v>3229</v>
      </c>
      <c r="AF579" s="1682">
        <v>4</v>
      </c>
      <c r="AG579" s="55">
        <f>(I579-indexy!$B$1)/365</f>
        <v>5.8493150684931505</v>
      </c>
      <c r="AH579" s="88">
        <v>1</v>
      </c>
      <c r="AI579" s="259" t="s">
        <v>3229</v>
      </c>
      <c r="AJ579" s="259" t="s">
        <v>3229</v>
      </c>
      <c r="AK579" s="259" t="s">
        <v>3229</v>
      </c>
      <c r="AL579" s="259" t="s">
        <v>3229</v>
      </c>
      <c r="AM579" s="3756" t="s">
        <v>3229</v>
      </c>
      <c r="AN579" s="685">
        <f>+'klikací hodnoty'!F19067</f>
        <v>0.22500000000000001</v>
      </c>
      <c r="AO579" s="317">
        <v>10.66</v>
      </c>
      <c r="AP579" s="3758">
        <f>+'klikací hodnoty'!H19065</f>
        <v>0.12132343614995422</v>
      </c>
      <c r="AQ579" s="3627">
        <f>+'klikací hodnoty'!H19065</f>
        <v>0.12132343614995422</v>
      </c>
      <c r="AR579" s="1357">
        <f t="shared" si="198"/>
        <v>0.45</v>
      </c>
      <c r="AS579" s="1358">
        <f>POWER(1+AR579,1/((I579-F579)/365))-1</f>
        <v>6.2243534894294683E-2</v>
      </c>
      <c r="AT579" s="1358"/>
      <c r="AU579" s="1359"/>
      <c r="AV579" s="1360">
        <f t="shared" si="195"/>
        <v>-1</v>
      </c>
      <c r="AW579" s="1360">
        <f t="shared" si="196"/>
        <v>-1</v>
      </c>
      <c r="AX579" s="1361"/>
      <c r="AY579" s="3760"/>
      <c r="AZ579" s="3628">
        <f t="shared" si="197"/>
        <v>0</v>
      </c>
      <c r="BA579" s="138"/>
      <c r="BB579" s="76"/>
      <c r="BC579" s="75"/>
      <c r="BF579" s="3746" cm="1">
        <f t="array" ref="BF579">IFERROR(+VLOOKUP(C579,+[6]NAV_ALL_20240408111714!$A$2:$E$1216,5,0),+AO579)</f>
        <v>10.66</v>
      </c>
      <c r="BG579" s="3747">
        <f t="shared" si="199"/>
        <v>0</v>
      </c>
    </row>
    <row r="580" spans="1:59" x14ac:dyDescent="0.25">
      <c r="A580" t="s">
        <v>10835</v>
      </c>
      <c r="B580" s="1640" t="s">
        <v>10836</v>
      </c>
      <c r="C580" s="1615" t="s">
        <v>10837</v>
      </c>
      <c r="D580" s="574" t="s">
        <v>8854</v>
      </c>
      <c r="E580" s="52" t="s">
        <v>3228</v>
      </c>
      <c r="F580" s="53">
        <v>45306</v>
      </c>
      <c r="G580" s="614">
        <v>45231</v>
      </c>
      <c r="H580" s="49">
        <v>45296</v>
      </c>
      <c r="I580" s="249">
        <v>47298</v>
      </c>
      <c r="J580" s="103">
        <v>10</v>
      </c>
      <c r="K580" s="46" t="s">
        <v>3229</v>
      </c>
      <c r="L580" s="50" t="s">
        <v>3229</v>
      </c>
      <c r="M580" s="48">
        <v>0.09</v>
      </c>
      <c r="N580" s="615">
        <v>0.8</v>
      </c>
      <c r="O580" s="241">
        <v>0.8</v>
      </c>
      <c r="P580" s="89" t="s">
        <v>3229</v>
      </c>
      <c r="Q580" s="3755" t="s">
        <v>3229</v>
      </c>
      <c r="R580" s="618" t="s">
        <v>3229</v>
      </c>
      <c r="S580" s="76">
        <v>1</v>
      </c>
      <c r="T580" s="437" t="s">
        <v>3229</v>
      </c>
      <c r="U580" s="196" t="s">
        <v>3229</v>
      </c>
      <c r="V580" s="196" t="s">
        <v>3229</v>
      </c>
      <c r="W580" s="196" t="s">
        <v>3229</v>
      </c>
      <c r="X580" s="196" t="s">
        <v>3229</v>
      </c>
      <c r="Y580" s="196" t="s">
        <v>3229</v>
      </c>
      <c r="Z580" s="196" t="s">
        <v>3229</v>
      </c>
      <c r="AA580" s="196" t="s">
        <v>3229</v>
      </c>
      <c r="AB580" s="196" t="s">
        <v>3229</v>
      </c>
      <c r="AC580" s="196" t="s">
        <v>3229</v>
      </c>
      <c r="AD580" s="196" t="s">
        <v>3229</v>
      </c>
      <c r="AE580" s="1631" t="s">
        <v>3229</v>
      </c>
      <c r="AF580" s="1682">
        <v>4</v>
      </c>
      <c r="AG580" s="55">
        <f>(I580-indexy!$B$1)/365</f>
        <v>5.2575342465753421</v>
      </c>
      <c r="AH580" s="88" t="s">
        <v>3229</v>
      </c>
      <c r="AI580" s="259" t="s">
        <v>3229</v>
      </c>
      <c r="AJ580" s="259" t="s">
        <v>3229</v>
      </c>
      <c r="AK580" s="259" t="s">
        <v>3229</v>
      </c>
      <c r="AL580" s="259" t="s">
        <v>3229</v>
      </c>
      <c r="AM580" s="3756">
        <v>1</v>
      </c>
      <c r="AN580" s="685">
        <f>+'klikací hodnoty'!F19120</f>
        <v>0.09</v>
      </c>
      <c r="AO580" s="317">
        <v>10.1</v>
      </c>
      <c r="AP580" s="3758">
        <f>+'klikací hodnoty'!F19119</f>
        <v>4.0935093482814863E-2</v>
      </c>
      <c r="AQ580" s="3759">
        <f>+'klikací hodnoty'!F19100</f>
        <v>3.8273093482814935E-2</v>
      </c>
      <c r="AR580" s="1358">
        <f t="shared" si="198"/>
        <v>0.8</v>
      </c>
      <c r="AS580" s="1358">
        <f>POWER(1+AR580,1/((I580-F580)/365))-1</f>
        <v>0.11371566811299605</v>
      </c>
      <c r="AT580" s="1358"/>
      <c r="AU580" s="1359"/>
      <c r="AV580" s="1360">
        <f t="shared" si="195"/>
        <v>0.09</v>
      </c>
      <c r="AW580" s="1360">
        <f t="shared" si="196"/>
        <v>1.5915922138908911E-2</v>
      </c>
      <c r="AX580" s="1361"/>
      <c r="AY580" s="3760"/>
      <c r="AZ580" s="3628">
        <f t="shared" si="197"/>
        <v>10.9</v>
      </c>
      <c r="BA580" s="138"/>
      <c r="BB580" s="76"/>
      <c r="BC580" s="75"/>
      <c r="BF580" s="3746" cm="1">
        <f t="array" ref="BF580">IFERROR(+VLOOKUP(C580,+[6]NAV_ALL_20240408111714!$A$2:$E$1216,5,0),+AO580)</f>
        <v>10.1</v>
      </c>
      <c r="BG580" s="3747">
        <f t="shared" si="199"/>
        <v>0</v>
      </c>
    </row>
    <row r="581" spans="1:59" x14ac:dyDescent="0.25">
      <c r="A581" t="s">
        <v>10842</v>
      </c>
      <c r="B581" s="1640" t="s">
        <v>10840</v>
      </c>
      <c r="C581" s="1615" t="s">
        <v>10841</v>
      </c>
      <c r="D581" s="46" t="s">
        <v>8854</v>
      </c>
      <c r="E581" s="52" t="s">
        <v>3228</v>
      </c>
      <c r="F581" s="53">
        <v>45359</v>
      </c>
      <c r="G581" s="614">
        <v>45293</v>
      </c>
      <c r="H581" s="49">
        <v>45351</v>
      </c>
      <c r="I581" s="249">
        <v>46630</v>
      </c>
      <c r="J581" s="103">
        <v>10</v>
      </c>
      <c r="K581" s="46" t="s">
        <v>3229</v>
      </c>
      <c r="L581" s="50" t="s">
        <v>3229</v>
      </c>
      <c r="M581" s="48">
        <v>0</v>
      </c>
      <c r="N581" s="615">
        <v>1</v>
      </c>
      <c r="O581" s="241">
        <v>0.32</v>
      </c>
      <c r="P581" s="89" t="s">
        <v>3229</v>
      </c>
      <c r="Q581" s="3755" t="s">
        <v>3229</v>
      </c>
      <c r="R581" s="618" t="s">
        <v>3229</v>
      </c>
      <c r="S581" s="76">
        <v>1</v>
      </c>
      <c r="T581" s="437" t="s">
        <v>3229</v>
      </c>
      <c r="U581" s="196" t="s">
        <v>3229</v>
      </c>
      <c r="V581" s="196" t="s">
        <v>3229</v>
      </c>
      <c r="W581" s="196" t="s">
        <v>3229</v>
      </c>
      <c r="X581" s="196" t="s">
        <v>3229</v>
      </c>
      <c r="Y581" s="196" t="s">
        <v>3229</v>
      </c>
      <c r="Z581" s="196" t="s">
        <v>3229</v>
      </c>
      <c r="AA581" s="196" t="s">
        <v>3229</v>
      </c>
      <c r="AB581" s="196" t="s">
        <v>3229</v>
      </c>
      <c r="AC581" s="196" t="s">
        <v>3229</v>
      </c>
      <c r="AD581" s="196" t="s">
        <v>3229</v>
      </c>
      <c r="AE581" s="1631" t="s">
        <v>3229</v>
      </c>
      <c r="AF581" s="1682">
        <v>1</v>
      </c>
      <c r="AG581" s="55">
        <f>(I581-indexy!$B$1)/365</f>
        <v>3.4273972602739726</v>
      </c>
      <c r="AH581" s="88" t="s">
        <v>3229</v>
      </c>
      <c r="AI581" s="259" t="s">
        <v>3229</v>
      </c>
      <c r="AJ581" s="259" t="s">
        <v>3229</v>
      </c>
      <c r="AK581" s="259" t="s">
        <v>3229</v>
      </c>
      <c r="AL581" s="259" t="s">
        <v>3229</v>
      </c>
      <c r="AM581" s="3756">
        <v>1</v>
      </c>
      <c r="AN581" s="685"/>
      <c r="AO581" s="317">
        <v>10.02</v>
      </c>
      <c r="AP581" s="3758"/>
      <c r="AQ581" s="3759"/>
      <c r="AR581" s="1358">
        <f t="shared" si="198"/>
        <v>0.32</v>
      </c>
      <c r="AS581" s="1358">
        <f>POWER(1+AR581,1/((I581-F581)/365))-1</f>
        <v>8.2993557836187337E-2</v>
      </c>
      <c r="AT581" s="1358"/>
      <c r="AU581" s="1359"/>
      <c r="AV581" s="1360">
        <f t="shared" si="195"/>
        <v>0</v>
      </c>
      <c r="AW581" s="1360">
        <f t="shared" si="196"/>
        <v>0</v>
      </c>
      <c r="AX581" s="1361"/>
      <c r="AY581" s="3760"/>
      <c r="AZ581" s="3628">
        <f t="shared" si="197"/>
        <v>10</v>
      </c>
      <c r="BA581" s="138"/>
      <c r="BB581" s="76"/>
      <c r="BC581" s="75"/>
      <c r="BF581" s="3746" cm="1">
        <f t="array" ref="BF581">IFERROR(+VLOOKUP(C581,+[6]NAV_ALL_20240408111714!$A$2:$E$1216,5,0),+AO581)</f>
        <v>10.02</v>
      </c>
      <c r="BG581" s="3747">
        <f t="shared" si="199"/>
        <v>0</v>
      </c>
    </row>
    <row r="582" spans="1:59" x14ac:dyDescent="0.25">
      <c r="B582" s="1640"/>
      <c r="C582" s="1615"/>
      <c r="D582" s="46"/>
      <c r="E582" s="1615"/>
      <c r="F582" s="49"/>
      <c r="G582" s="49"/>
      <c r="H582" s="49"/>
      <c r="I582" s="3623"/>
      <c r="J582" s="114"/>
      <c r="K582" s="46"/>
      <c r="L582" s="46"/>
      <c r="M582" s="56"/>
      <c r="N582" s="230"/>
      <c r="O582" s="3624"/>
      <c r="P582" s="153"/>
      <c r="Q582" s="153"/>
      <c r="R582" s="3625"/>
      <c r="S582" s="104"/>
      <c r="T582" s="437"/>
      <c r="U582" s="196"/>
      <c r="V582" s="196"/>
      <c r="W582" s="196"/>
      <c r="X582" s="196"/>
      <c r="Y582" s="196"/>
      <c r="Z582" s="196"/>
      <c r="AA582" s="196"/>
      <c r="AB582" s="196"/>
      <c r="AC582" s="196"/>
      <c r="AD582" s="196"/>
      <c r="AE582" s="196"/>
      <c r="AF582" s="1682"/>
      <c r="AG582" s="3626"/>
      <c r="AH582" s="88"/>
      <c r="AI582" s="259"/>
      <c r="AJ582" s="259"/>
      <c r="AK582" s="259"/>
      <c r="AL582" s="259"/>
      <c r="AM582" s="126"/>
      <c r="AN582" s="469"/>
      <c r="AO582" s="199"/>
      <c r="AP582" s="1616"/>
      <c r="AQ582" s="3627"/>
      <c r="AR582" s="1358"/>
      <c r="AS582" s="1358"/>
      <c r="AT582" s="1358"/>
      <c r="AU582" s="1358"/>
      <c r="AV582" s="1360"/>
      <c r="AW582" s="1360"/>
      <c r="AX582" s="1361"/>
      <c r="AY582" s="435"/>
      <c r="AZ582" s="3628"/>
      <c r="BA582" s="138"/>
      <c r="BB582" s="76"/>
      <c r="BC582" s="75"/>
      <c r="BF582" s="3746"/>
      <c r="BG582" s="3747"/>
    </row>
    <row r="583" spans="1:59" x14ac:dyDescent="0.25">
      <c r="B583" s="3581"/>
      <c r="C583" s="1615"/>
      <c r="D583" s="46"/>
      <c r="E583" s="1615"/>
      <c r="F583" s="49"/>
      <c r="G583" s="49"/>
      <c r="H583" s="49"/>
      <c r="I583" s="3623"/>
      <c r="J583" s="114"/>
      <c r="K583" s="46"/>
      <c r="L583" s="46"/>
      <c r="M583" s="56"/>
      <c r="N583" s="230"/>
      <c r="O583" s="3624"/>
      <c r="P583" s="153"/>
      <c r="Q583" s="153"/>
      <c r="R583" s="3625"/>
      <c r="S583" s="104"/>
      <c r="T583" s="437"/>
      <c r="U583" s="196"/>
      <c r="V583" s="196"/>
      <c r="W583" s="196"/>
      <c r="X583" s="196"/>
      <c r="Y583" s="196"/>
      <c r="Z583" s="196"/>
      <c r="AA583" s="196"/>
      <c r="AB583" s="196"/>
      <c r="AC583" s="196"/>
      <c r="AD583" s="196"/>
      <c r="AE583" s="196"/>
      <c r="AF583" s="1682"/>
      <c r="AG583" s="3626"/>
      <c r="AH583" s="259"/>
      <c r="AI583" s="259"/>
      <c r="AJ583" s="259"/>
      <c r="AK583" s="259"/>
      <c r="AL583" s="259"/>
      <c r="AM583" s="126"/>
      <c r="AN583" s="469"/>
      <c r="AO583" s="199"/>
      <c r="AP583" s="1616"/>
      <c r="AQ583" s="3627"/>
      <c r="AR583" s="1358"/>
      <c r="AS583" s="1358"/>
      <c r="AT583" s="1358"/>
      <c r="AU583" s="1358"/>
      <c r="AV583" s="1360"/>
      <c r="AW583" s="1360"/>
      <c r="AX583" s="1361"/>
      <c r="AY583" s="435"/>
      <c r="AZ583" s="3628"/>
      <c r="BA583" s="138"/>
      <c r="BB583" s="76"/>
      <c r="BC583" s="75"/>
      <c r="BF583" s="3746"/>
      <c r="BG583" s="3747"/>
    </row>
    <row r="584" spans="1:59" x14ac:dyDescent="0.25">
      <c r="A584" s="1"/>
      <c r="B584" s="1"/>
      <c r="C584" s="1731"/>
      <c r="D584" s="46"/>
      <c r="E584" s="1"/>
      <c r="F584" s="1"/>
      <c r="G584" s="1"/>
      <c r="H584" s="1"/>
      <c r="I584" s="1"/>
      <c r="J584" s="1"/>
      <c r="K584" s="1"/>
      <c r="L584" s="1"/>
      <c r="M584" s="1"/>
      <c r="N584" s="2313"/>
      <c r="O584" s="1"/>
      <c r="P584" s="1"/>
      <c r="Q584" s="1"/>
      <c r="R584" s="233"/>
      <c r="S584" s="1"/>
      <c r="T584" s="233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233"/>
      <c r="AH584" s="1"/>
      <c r="AI584" s="1"/>
      <c r="AJ584" s="1"/>
      <c r="AK584" s="1"/>
      <c r="AL584" s="1"/>
      <c r="AM584" s="1"/>
      <c r="AN584" s="39"/>
      <c r="AO584" s="1732"/>
      <c r="AP584" s="1372"/>
      <c r="AQ584" s="1633"/>
      <c r="AR584" s="1"/>
      <c r="AS584" s="1"/>
      <c r="AT584" s="1"/>
      <c r="AU584" s="1"/>
      <c r="AV584" s="1"/>
      <c r="AW584" s="1"/>
      <c r="AX584" s="1"/>
      <c r="AY584" s="1"/>
      <c r="AZ584" s="1"/>
      <c r="BA584" s="1725"/>
      <c r="BB584" s="75"/>
      <c r="BC584" s="75"/>
    </row>
    <row r="585" spans="1:59" x14ac:dyDescent="0.25">
      <c r="B585" s="3787" t="s">
        <v>1952</v>
      </c>
      <c r="C585" s="3787"/>
      <c r="D585" s="3787"/>
      <c r="E585" s="3787"/>
      <c r="F585" s="3787"/>
      <c r="G585" s="3787"/>
      <c r="H585" s="3787"/>
      <c r="I585" s="3787"/>
      <c r="J585" s="3787"/>
      <c r="K585" s="3787"/>
      <c r="L585" s="3787"/>
      <c r="M585" s="3787"/>
      <c r="N585" s="3787"/>
      <c r="O585" s="3787"/>
      <c r="P585" s="1"/>
      <c r="Q585" s="1"/>
      <c r="R585" s="233"/>
      <c r="S585" s="1"/>
      <c r="T585" s="233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233"/>
      <c r="AH585" s="1"/>
      <c r="AI585" s="1"/>
      <c r="AJ585" s="1"/>
      <c r="AK585" s="1"/>
      <c r="AL585" s="1"/>
      <c r="AM585" s="1"/>
      <c r="AN585" s="39"/>
      <c r="AO585" s="461"/>
      <c r="AP585" s="1372"/>
      <c r="AQ585" s="1633"/>
      <c r="AR585" s="1"/>
      <c r="AS585" s="1"/>
      <c r="AT585" s="1"/>
      <c r="AU585" s="1"/>
      <c r="AV585" s="1"/>
      <c r="AW585" s="1"/>
      <c r="AX585" s="1"/>
      <c r="AY585" s="1"/>
      <c r="AZ585" s="1"/>
      <c r="BA585" s="1725"/>
      <c r="BB585" s="75"/>
      <c r="BC585" s="75"/>
    </row>
    <row r="586" spans="1:59" x14ac:dyDescent="0.25">
      <c r="A586" s="363"/>
      <c r="B586" s="3787"/>
      <c r="C586" s="3787"/>
      <c r="D586" s="3787"/>
      <c r="E586" s="3787"/>
      <c r="F586" s="3787"/>
      <c r="G586" s="3787"/>
      <c r="H586" s="3787"/>
      <c r="I586" s="3787"/>
      <c r="J586" s="3787"/>
      <c r="K586" s="3787"/>
      <c r="L586" s="3787"/>
      <c r="M586" s="3787"/>
      <c r="N586" s="3787"/>
      <c r="O586" s="3787"/>
      <c r="P586" s="1"/>
      <c r="Q586" s="1"/>
      <c r="R586" s="233"/>
      <c r="S586" s="1"/>
      <c r="T586" s="233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233"/>
      <c r="AH586" s="1"/>
      <c r="AI586" s="1"/>
      <c r="AJ586" s="1"/>
      <c r="AK586" s="1"/>
      <c r="AL586" s="1"/>
      <c r="AM586" s="1"/>
      <c r="AN586" s="39"/>
      <c r="AO586" s="461"/>
      <c r="AP586" s="1372"/>
      <c r="AQ586" s="1633"/>
      <c r="AR586" s="1"/>
      <c r="AS586" s="1"/>
      <c r="AT586" s="1"/>
      <c r="AU586" s="1"/>
      <c r="AV586" s="1"/>
      <c r="AW586" s="1"/>
      <c r="AX586" s="1"/>
      <c r="AY586" s="1"/>
      <c r="AZ586" s="1"/>
      <c r="BA586" s="1725"/>
      <c r="BB586" s="75"/>
      <c r="BC586" s="75"/>
    </row>
    <row r="587" spans="1:59" x14ac:dyDescent="0.25">
      <c r="AN587" s="39"/>
      <c r="BA587" s="453"/>
      <c r="BB587" s="75"/>
      <c r="BC587" s="75"/>
    </row>
    <row r="588" spans="1:59" x14ac:dyDescent="0.25">
      <c r="F588" s="236"/>
      <c r="AN588" s="39"/>
      <c r="BC588" s="75"/>
    </row>
    <row r="589" spans="1:59" x14ac:dyDescent="0.25">
      <c r="F589" s="236"/>
      <c r="I589" s="236"/>
      <c r="AN589" s="39"/>
      <c r="AR589" s="237"/>
      <c r="AS589" s="45"/>
    </row>
    <row r="590" spans="1:59" x14ac:dyDescent="0.25">
      <c r="F590" s="31"/>
      <c r="AN590" s="39"/>
    </row>
    <row r="591" spans="1:59" x14ac:dyDescent="0.25">
      <c r="G591" s="31"/>
    </row>
    <row r="596" spans="6:45" x14ac:dyDescent="0.25">
      <c r="F596" s="236"/>
      <c r="I596" s="236"/>
      <c r="AR596" s="45">
        <v>0.36</v>
      </c>
      <c r="AS596" s="45" t="e">
        <f>POWER(1+AR596,1/((I596-F596)/365))-1</f>
        <v>#DIV/0!</v>
      </c>
    </row>
    <row r="8259" spans="8:8" x14ac:dyDescent="0.25">
      <c r="H8259" t="e">
        <f>VLOOKUP(B8259,indexy!$A$44:$D$823,3,FALSE)</f>
        <v>#N/A</v>
      </c>
    </row>
  </sheetData>
  <autoFilter ref="A1:BD574" xr:uid="{00000000-0009-0000-0000-000001000000}">
    <filterColumn colId="6" showButton="0"/>
    <filterColumn colId="10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3" showButton="0"/>
    <filterColumn colId="34" showButton="0"/>
    <filterColumn colId="35" showButton="0"/>
    <filterColumn colId="36" showButton="0"/>
    <filterColumn colId="37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</autoFilter>
  <mergeCells count="643">
    <mergeCell ref="AF453:AG453"/>
    <mergeCell ref="AF414:AG414"/>
    <mergeCell ref="AF450:AG450"/>
    <mergeCell ref="AF452:AG452"/>
    <mergeCell ref="AF437:AG437"/>
    <mergeCell ref="AF466:AG466"/>
    <mergeCell ref="AF474:AG474"/>
    <mergeCell ref="AF438:AG438"/>
    <mergeCell ref="AF444:AG444"/>
    <mergeCell ref="AF441:AG441"/>
    <mergeCell ref="AF442:AG442"/>
    <mergeCell ref="AF462:AG462"/>
    <mergeCell ref="AF469:AG469"/>
    <mergeCell ref="AF472:AG472"/>
    <mergeCell ref="AF451:AG451"/>
    <mergeCell ref="AF460:AG460"/>
    <mergeCell ref="AF464:AG464"/>
    <mergeCell ref="AF449:AG449"/>
    <mergeCell ref="AF445:AG445"/>
    <mergeCell ref="AF471:AG471"/>
    <mergeCell ref="AF465:AG465"/>
    <mergeCell ref="AF455:AG455"/>
    <mergeCell ref="AF447:AG447"/>
    <mergeCell ref="AF435:AG435"/>
    <mergeCell ref="AF502:AG502"/>
    <mergeCell ref="AF492:AG492"/>
    <mergeCell ref="AF482:AG482"/>
    <mergeCell ref="AF517:AG517"/>
    <mergeCell ref="AF503:AG503"/>
    <mergeCell ref="AF499:AG499"/>
    <mergeCell ref="AF497:AG497"/>
    <mergeCell ref="AF560:AG560"/>
    <mergeCell ref="AF511:AG511"/>
    <mergeCell ref="AF507:AG507"/>
    <mergeCell ref="AF509:AG509"/>
    <mergeCell ref="AF536:AG536"/>
    <mergeCell ref="AF525:AG525"/>
    <mergeCell ref="AF498:AG498"/>
    <mergeCell ref="AF495:AG495"/>
    <mergeCell ref="AF558:AG558"/>
    <mergeCell ref="AF500:AG500"/>
    <mergeCell ref="AF505:AG505"/>
    <mergeCell ref="AF508:AG508"/>
    <mergeCell ref="AF510:AG510"/>
    <mergeCell ref="AF555:AG555"/>
    <mergeCell ref="AF493:AG493"/>
    <mergeCell ref="AF551:AG551"/>
    <mergeCell ref="AF448:AG448"/>
    <mergeCell ref="AF439:AG439"/>
    <mergeCell ref="AF432:AG432"/>
    <mergeCell ref="AF440:AG440"/>
    <mergeCell ref="AF415:AG415"/>
    <mergeCell ref="AF553:AG553"/>
    <mergeCell ref="AF532:AG532"/>
    <mergeCell ref="AF491:AG491"/>
    <mergeCell ref="AF485:AG485"/>
    <mergeCell ref="AF487:AG487"/>
    <mergeCell ref="AF475:AG475"/>
    <mergeCell ref="AF524:AG524"/>
    <mergeCell ref="AF483:AG483"/>
    <mergeCell ref="AF494:AG494"/>
    <mergeCell ref="AF496:AG496"/>
    <mergeCell ref="AF490:AG490"/>
    <mergeCell ref="AF486:AG486"/>
    <mergeCell ref="AF540:AG540"/>
    <mergeCell ref="AF478:AG478"/>
    <mergeCell ref="AF527:AG527"/>
    <mergeCell ref="AF506:AG506"/>
    <mergeCell ref="AF504:AG504"/>
    <mergeCell ref="AF476:AG476"/>
    <mergeCell ref="AF547:AG547"/>
    <mergeCell ref="AF479:AG479"/>
    <mergeCell ref="AF461:AG461"/>
    <mergeCell ref="AF477:AG477"/>
    <mergeCell ref="AF458:AG458"/>
    <mergeCell ref="AF459:AG459"/>
    <mergeCell ref="AF467:AG467"/>
    <mergeCell ref="AF468:AG468"/>
    <mergeCell ref="AF470:AG470"/>
    <mergeCell ref="AF463:AG463"/>
    <mergeCell ref="AF480:AG480"/>
    <mergeCell ref="AF481:AG481"/>
    <mergeCell ref="AF489:AG489"/>
    <mergeCell ref="AF501:AG501"/>
    <mergeCell ref="AF488:AG488"/>
    <mergeCell ref="AF484:AG484"/>
    <mergeCell ref="AF473:AG473"/>
    <mergeCell ref="AF393:AG393"/>
    <mergeCell ref="AF456:AG456"/>
    <mergeCell ref="AF457:AG457"/>
    <mergeCell ref="AF416:AG416"/>
    <mergeCell ref="AF411:AG411"/>
    <mergeCell ref="AF431:AG431"/>
    <mergeCell ref="AF434:AG434"/>
    <mergeCell ref="AF443:AG443"/>
    <mergeCell ref="AF419:AG419"/>
    <mergeCell ref="AF424:AG424"/>
    <mergeCell ref="AF430:AG430"/>
    <mergeCell ref="AF413:AG413"/>
    <mergeCell ref="AF427:AG427"/>
    <mergeCell ref="AF418:AG418"/>
    <mergeCell ref="AF397:AG397"/>
    <mergeCell ref="AF395:AG395"/>
    <mergeCell ref="AF405:AG405"/>
    <mergeCell ref="AF401:AG401"/>
    <mergeCell ref="AF398:AG398"/>
    <mergeCell ref="AF406:AG406"/>
    <mergeCell ref="AF403:AG403"/>
    <mergeCell ref="AF433:AG433"/>
    <mergeCell ref="AF402:AG402"/>
    <mergeCell ref="AF426:AG426"/>
    <mergeCell ref="AF391:AG391"/>
    <mergeCell ref="AF396:AG396"/>
    <mergeCell ref="AF392:AG392"/>
    <mergeCell ref="AF394:AG394"/>
    <mergeCell ref="AF423:AG423"/>
    <mergeCell ref="AF410:AG410"/>
    <mergeCell ref="AF399:AG399"/>
    <mergeCell ref="AF400:AG400"/>
    <mergeCell ref="AF428:AG428"/>
    <mergeCell ref="AF409:AG409"/>
    <mergeCell ref="AF421:AG421"/>
    <mergeCell ref="AF412:AG412"/>
    <mergeCell ref="AF425:AG425"/>
    <mergeCell ref="AF420:AG420"/>
    <mergeCell ref="AF417:AG417"/>
    <mergeCell ref="AF404:AG404"/>
    <mergeCell ref="AF454:AG454"/>
    <mergeCell ref="AF436:AG436"/>
    <mergeCell ref="AF429:AG429"/>
    <mergeCell ref="AF407:AG407"/>
    <mergeCell ref="AF422:AG422"/>
    <mergeCell ref="AF408:AG408"/>
    <mergeCell ref="AF351:AG351"/>
    <mergeCell ref="AF353:AG353"/>
    <mergeCell ref="AF355:AG355"/>
    <mergeCell ref="AF366:AG366"/>
    <mergeCell ref="AF389:AG389"/>
    <mergeCell ref="AF390:AG390"/>
    <mergeCell ref="AF385:AG385"/>
    <mergeCell ref="AF386:AG386"/>
    <mergeCell ref="AF367:AG367"/>
    <mergeCell ref="AF376:AG376"/>
    <mergeCell ref="AF356:AG356"/>
    <mergeCell ref="AF387:AG387"/>
    <mergeCell ref="AF388:AG388"/>
    <mergeCell ref="AF359:AG359"/>
    <mergeCell ref="AF361:AG361"/>
    <mergeCell ref="AF375:AG375"/>
    <mergeCell ref="AF372:AG372"/>
    <mergeCell ref="AF354:AG354"/>
    <mergeCell ref="AF384:AG384"/>
    <mergeCell ref="AF369:AG369"/>
    <mergeCell ref="AF378:AG378"/>
    <mergeCell ref="AF370:AG370"/>
    <mergeCell ref="AF368:AG368"/>
    <mergeCell ref="AF362:AG362"/>
    <mergeCell ref="AF365:AG365"/>
    <mergeCell ref="AF363:AG363"/>
    <mergeCell ref="AF380:AG380"/>
    <mergeCell ref="AF332:AG332"/>
    <mergeCell ref="AF329:AG329"/>
    <mergeCell ref="AF336:AG336"/>
    <mergeCell ref="AF345:AG345"/>
    <mergeCell ref="AF334:AG334"/>
    <mergeCell ref="AF339:AG339"/>
    <mergeCell ref="AF357:AG357"/>
    <mergeCell ref="AF358:AG358"/>
    <mergeCell ref="AF337:AG337"/>
    <mergeCell ref="AF335:AG335"/>
    <mergeCell ref="AF350:AG350"/>
    <mergeCell ref="AF346:AG346"/>
    <mergeCell ref="AF348:AG348"/>
    <mergeCell ref="AF344:AG344"/>
    <mergeCell ref="AF340:AG340"/>
    <mergeCell ref="AF333:AG333"/>
    <mergeCell ref="AF338:AG338"/>
    <mergeCell ref="AF342:AG342"/>
    <mergeCell ref="AF341:AG341"/>
    <mergeCell ref="AF240:AG240"/>
    <mergeCell ref="AF241:AG241"/>
    <mergeCell ref="AF242:AG242"/>
    <mergeCell ref="AF243:AG243"/>
    <mergeCell ref="AF247:AG247"/>
    <mergeCell ref="AF248:AG248"/>
    <mergeCell ref="AF245:AG245"/>
    <mergeCell ref="AF249:AG249"/>
    <mergeCell ref="AF328:AG328"/>
    <mergeCell ref="AF258:AG258"/>
    <mergeCell ref="AF250:AG250"/>
    <mergeCell ref="AF251:AG251"/>
    <mergeCell ref="AF255:AG255"/>
    <mergeCell ref="AF244:AG244"/>
    <mergeCell ref="AF252:AG252"/>
    <mergeCell ref="AF253:AG253"/>
    <mergeCell ref="AF254:AG254"/>
    <mergeCell ref="AF257:AG257"/>
    <mergeCell ref="AF256:AG256"/>
    <mergeCell ref="AF246:AG246"/>
    <mergeCell ref="AF260:AG260"/>
    <mergeCell ref="AF259:AG259"/>
    <mergeCell ref="AF316:AG316"/>
    <mergeCell ref="AF324:AG324"/>
    <mergeCell ref="AF225:AG225"/>
    <mergeCell ref="AF229:AG229"/>
    <mergeCell ref="AF227:AG227"/>
    <mergeCell ref="AF226:AG226"/>
    <mergeCell ref="AF239:AG239"/>
    <mergeCell ref="AF236:AG236"/>
    <mergeCell ref="AF232:AG232"/>
    <mergeCell ref="AF233:AG233"/>
    <mergeCell ref="AF228:AG228"/>
    <mergeCell ref="AF235:AG235"/>
    <mergeCell ref="AF238:AG238"/>
    <mergeCell ref="AF234:AG234"/>
    <mergeCell ref="AF230:AG230"/>
    <mergeCell ref="AF231:AG231"/>
    <mergeCell ref="AF237:AG237"/>
    <mergeCell ref="AF150:AG150"/>
    <mergeCell ref="AF102:AG102"/>
    <mergeCell ref="AF105:AG105"/>
    <mergeCell ref="AF106:AG106"/>
    <mergeCell ref="AF107:AG107"/>
    <mergeCell ref="AF108:AG108"/>
    <mergeCell ref="AF223:AG223"/>
    <mergeCell ref="AF212:AG212"/>
    <mergeCell ref="AF213:AG213"/>
    <mergeCell ref="AF214:AG214"/>
    <mergeCell ref="AF202:AG202"/>
    <mergeCell ref="AF200:AG200"/>
    <mergeCell ref="AF201:AG201"/>
    <mergeCell ref="AF215:AG215"/>
    <mergeCell ref="AF216:AG216"/>
    <mergeCell ref="AF218:AG218"/>
    <mergeCell ref="AF217:AG217"/>
    <mergeCell ref="AF203:AG203"/>
    <mergeCell ref="AF204:AG204"/>
    <mergeCell ref="AF205:AG205"/>
    <mergeCell ref="AF103:AG103"/>
    <mergeCell ref="AF104:AG104"/>
    <mergeCell ref="AF222:AG222"/>
    <mergeCell ref="AF149:AG149"/>
    <mergeCell ref="AF139:AG139"/>
    <mergeCell ref="AF140:AG140"/>
    <mergeCell ref="AF141:AG141"/>
    <mergeCell ref="AF142:AG142"/>
    <mergeCell ref="AF143:AG143"/>
    <mergeCell ref="AF144:AG144"/>
    <mergeCell ref="AF145:AG145"/>
    <mergeCell ref="AF128:AG128"/>
    <mergeCell ref="AF129:AG129"/>
    <mergeCell ref="AF130:AG130"/>
    <mergeCell ref="AF131:AG131"/>
    <mergeCell ref="AF132:AG132"/>
    <mergeCell ref="AF133:AG133"/>
    <mergeCell ref="AF134:AG134"/>
    <mergeCell ref="AF135:AG135"/>
    <mergeCell ref="AF136:AG136"/>
    <mergeCell ref="AF146:AG146"/>
    <mergeCell ref="AF147:AG147"/>
    <mergeCell ref="AF148:AG148"/>
    <mergeCell ref="AF109:AG109"/>
    <mergeCell ref="AF119:AG119"/>
    <mergeCell ref="AF120:AG120"/>
    <mergeCell ref="AF121:AG121"/>
    <mergeCell ref="AF122:AG122"/>
    <mergeCell ref="AF124:AG124"/>
    <mergeCell ref="AF125:AG125"/>
    <mergeCell ref="AF126:AG126"/>
    <mergeCell ref="AF127:AG127"/>
    <mergeCell ref="AF123:AG123"/>
    <mergeCell ref="AF110:AG110"/>
    <mergeCell ref="AF111:AG111"/>
    <mergeCell ref="AF112:AG112"/>
    <mergeCell ref="AF113:AG113"/>
    <mergeCell ref="AF114:AG114"/>
    <mergeCell ref="AF115:AG115"/>
    <mergeCell ref="AF116:AG116"/>
    <mergeCell ref="AF117:AG117"/>
    <mergeCell ref="AF118:AG118"/>
    <mergeCell ref="AF137:AG137"/>
    <mergeCell ref="AF138:AG138"/>
    <mergeCell ref="AF101:AG101"/>
    <mergeCell ref="AF60:AG60"/>
    <mergeCell ref="AF61:AG61"/>
    <mergeCell ref="AF63:AG63"/>
    <mergeCell ref="AF65:AG65"/>
    <mergeCell ref="AF72:AG72"/>
    <mergeCell ref="AF73:AG73"/>
    <mergeCell ref="AF74:AG74"/>
    <mergeCell ref="AF69:AG69"/>
    <mergeCell ref="AF70:AG70"/>
    <mergeCell ref="AF71:AG71"/>
    <mergeCell ref="AF75:AG75"/>
    <mergeCell ref="AF76:AG76"/>
    <mergeCell ref="AF77:AG77"/>
    <mergeCell ref="AF78:AG78"/>
    <mergeCell ref="AF100:AG100"/>
    <mergeCell ref="AF68:AG68"/>
    <mergeCell ref="AF85:AG85"/>
    <mergeCell ref="AF79:AG79"/>
    <mergeCell ref="AF98:AG98"/>
    <mergeCell ref="AF99:AG99"/>
    <mergeCell ref="AF94:AG94"/>
    <mergeCell ref="AF93:AG93"/>
    <mergeCell ref="AF97:AG97"/>
    <mergeCell ref="AF91:AG91"/>
    <mergeCell ref="AF88:AG88"/>
    <mergeCell ref="AF89:AG89"/>
    <mergeCell ref="AF90:AG90"/>
    <mergeCell ref="AF92:AG92"/>
    <mergeCell ref="AF83:AG83"/>
    <mergeCell ref="AF87:AG87"/>
    <mergeCell ref="AF84:AG84"/>
    <mergeCell ref="AF15:AG15"/>
    <mergeCell ref="AF16:AG16"/>
    <mergeCell ref="AF17:AG17"/>
    <mergeCell ref="AF67:AG67"/>
    <mergeCell ref="AF64:AG64"/>
    <mergeCell ref="AF21:AG21"/>
    <mergeCell ref="AF22:AG22"/>
    <mergeCell ref="AF59:AG59"/>
    <mergeCell ref="AF80:AG80"/>
    <mergeCell ref="AF86:AG86"/>
    <mergeCell ref="AF81:AG81"/>
    <mergeCell ref="AF82:AG82"/>
    <mergeCell ref="AF20:AG20"/>
    <mergeCell ref="AF52:AG52"/>
    <mergeCell ref="AF96:AG96"/>
    <mergeCell ref="AF95:AG95"/>
    <mergeCell ref="AG1:AG2"/>
    <mergeCell ref="AH1:AM1"/>
    <mergeCell ref="AF66:AG66"/>
    <mergeCell ref="AF4:AG4"/>
    <mergeCell ref="AF5:AG5"/>
    <mergeCell ref="AF14:AG14"/>
    <mergeCell ref="AF13:AG13"/>
    <mergeCell ref="AF12:AG12"/>
    <mergeCell ref="AF6:AG6"/>
    <mergeCell ref="AF53:AG53"/>
    <mergeCell ref="AF54:AG54"/>
    <mergeCell ref="AF55:AG55"/>
    <mergeCell ref="AF56:AG56"/>
    <mergeCell ref="AF57:AG57"/>
    <mergeCell ref="AF58:AG58"/>
    <mergeCell ref="AF62:AG62"/>
    <mergeCell ref="AF7:AG7"/>
    <mergeCell ref="AF8:AG8"/>
    <mergeCell ref="AF9:AG9"/>
    <mergeCell ref="AF18:AG18"/>
    <mergeCell ref="AF19:AG19"/>
    <mergeCell ref="AF10:AG10"/>
    <mergeCell ref="BC1:BC2"/>
    <mergeCell ref="AZ1:AZ2"/>
    <mergeCell ref="BA1:BA2"/>
    <mergeCell ref="BB1:BB2"/>
    <mergeCell ref="AQ1:AQ2"/>
    <mergeCell ref="AV1:AY1"/>
    <mergeCell ref="AR1:AU1"/>
    <mergeCell ref="AN1:AN2"/>
    <mergeCell ref="AP1:AP2"/>
    <mergeCell ref="AF3:AG3"/>
    <mergeCell ref="AF11:AG11"/>
    <mergeCell ref="AF42:AG42"/>
    <mergeCell ref="P1:P2"/>
    <mergeCell ref="S1:S2"/>
    <mergeCell ref="AF1:AF2"/>
    <mergeCell ref="T1:AE1"/>
    <mergeCell ref="Q1:Q2"/>
    <mergeCell ref="R1:R2"/>
    <mergeCell ref="B585:O586"/>
    <mergeCell ref="G1:H1"/>
    <mergeCell ref="I1:I2"/>
    <mergeCell ref="M1:M2"/>
    <mergeCell ref="N1:N2"/>
    <mergeCell ref="O1:O2"/>
    <mergeCell ref="J1:J2"/>
    <mergeCell ref="K1:L1"/>
    <mergeCell ref="AF43:AG43"/>
    <mergeCell ref="AF44:AG44"/>
    <mergeCell ref="AF45:AG45"/>
    <mergeCell ref="AF46:AG46"/>
    <mergeCell ref="AF47:AG47"/>
    <mergeCell ref="AF48:AG48"/>
    <mergeCell ref="AF49:AG49"/>
    <mergeCell ref="AF50:AG50"/>
    <mergeCell ref="AF51:AG51"/>
    <mergeCell ref="AF29:AG29"/>
    <mergeCell ref="AF161:AG161"/>
    <mergeCell ref="AF162:AG162"/>
    <mergeCell ref="AF163:AG163"/>
    <mergeCell ref="AF164:AG164"/>
    <mergeCell ref="AF165:AG165"/>
    <mergeCell ref="AF166:AG166"/>
    <mergeCell ref="A1:A2"/>
    <mergeCell ref="B1:B2"/>
    <mergeCell ref="C1:C2"/>
    <mergeCell ref="D1:D2"/>
    <mergeCell ref="E1:E2"/>
    <mergeCell ref="F1:F2"/>
    <mergeCell ref="HQ234:HR234"/>
    <mergeCell ref="HS174:HT174"/>
    <mergeCell ref="HS219:HT219"/>
    <mergeCell ref="HS216:HT216"/>
    <mergeCell ref="HS215:HT215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177:AG177"/>
    <mergeCell ref="HS291:HT291"/>
    <mergeCell ref="HQ235:HR235"/>
    <mergeCell ref="T12:AE12"/>
    <mergeCell ref="T17:AE17"/>
    <mergeCell ref="T30:AE30"/>
    <mergeCell ref="T42:AE42"/>
    <mergeCell ref="T64:AE64"/>
    <mergeCell ref="T69:AE69"/>
    <mergeCell ref="T91:AE91"/>
    <mergeCell ref="T96:AE96"/>
    <mergeCell ref="T116:AE116"/>
    <mergeCell ref="T136:AE136"/>
    <mergeCell ref="T137:AE137"/>
    <mergeCell ref="T172:AE172"/>
    <mergeCell ref="T150:AE150"/>
    <mergeCell ref="T156:AE156"/>
    <mergeCell ref="T169:AE169"/>
    <mergeCell ref="AF23:AG23"/>
    <mergeCell ref="AF24:AG24"/>
    <mergeCell ref="AF25:AG25"/>
    <mergeCell ref="AF26:AG26"/>
    <mergeCell ref="AF27:AG27"/>
    <mergeCell ref="AF28:AG28"/>
    <mergeCell ref="AF160:AG160"/>
    <mergeCell ref="AF184:AG184"/>
    <mergeCell ref="AF190:AG190"/>
    <mergeCell ref="AF191:AG191"/>
    <mergeCell ref="AF173:AG173"/>
    <mergeCell ref="AF151:AG151"/>
    <mergeCell ref="AF152:AG152"/>
    <mergeCell ref="AF153:AG153"/>
    <mergeCell ref="AF154:AG154"/>
    <mergeCell ref="AF155:AG155"/>
    <mergeCell ref="AF156:AG156"/>
    <mergeCell ref="AF157:AG157"/>
    <mergeCell ref="AF158:AG158"/>
    <mergeCell ref="AF159:AG159"/>
    <mergeCell ref="AF187:AG187"/>
    <mergeCell ref="AR180:AU180"/>
    <mergeCell ref="AR181:AU181"/>
    <mergeCell ref="AR185:AU185"/>
    <mergeCell ref="AR189:AU189"/>
    <mergeCell ref="AR190:AU190"/>
    <mergeCell ref="AR191:AU191"/>
    <mergeCell ref="AF167:AG167"/>
    <mergeCell ref="AF168:AG168"/>
    <mergeCell ref="AF174:AG174"/>
    <mergeCell ref="AF175:AG175"/>
    <mergeCell ref="AF176:AG176"/>
    <mergeCell ref="AF189:AG189"/>
    <mergeCell ref="AF178:AG178"/>
    <mergeCell ref="AF179:AG179"/>
    <mergeCell ref="AF182:AG182"/>
    <mergeCell ref="AF183:AG183"/>
    <mergeCell ref="AF180:AG180"/>
    <mergeCell ref="AF181:AG181"/>
    <mergeCell ref="AF186:AG186"/>
    <mergeCell ref="AF169:AG169"/>
    <mergeCell ref="AF170:AG170"/>
    <mergeCell ref="AF171:AG171"/>
    <mergeCell ref="AF172:AG172"/>
    <mergeCell ref="AF188:AG188"/>
    <mergeCell ref="AR71:AU71"/>
    <mergeCell ref="AR72:AU72"/>
    <mergeCell ref="AR82:AU82"/>
    <mergeCell ref="AR85:AU85"/>
    <mergeCell ref="AR94:AU94"/>
    <mergeCell ref="AR97:AU97"/>
    <mergeCell ref="AR100:AU100"/>
    <mergeCell ref="AR101:AU101"/>
    <mergeCell ref="AR123:AU123"/>
    <mergeCell ref="AR218:AU218"/>
    <mergeCell ref="AF224:AG224"/>
    <mergeCell ref="AF194:AG194"/>
    <mergeCell ref="AF197:AG197"/>
    <mergeCell ref="AF206:AG206"/>
    <mergeCell ref="AF221:AG221"/>
    <mergeCell ref="AF207:AG207"/>
    <mergeCell ref="AF219:AG219"/>
    <mergeCell ref="AF211:AG211"/>
    <mergeCell ref="AF210:AG210"/>
    <mergeCell ref="AF208:AG208"/>
    <mergeCell ref="AF209:AG209"/>
    <mergeCell ref="AF196:AG196"/>
    <mergeCell ref="AF199:AG199"/>
    <mergeCell ref="AF195:AG195"/>
    <mergeCell ref="AF272:AG272"/>
    <mergeCell ref="AF192:AG192"/>
    <mergeCell ref="AF193:AG193"/>
    <mergeCell ref="AF185:AG185"/>
    <mergeCell ref="AF220:AG220"/>
    <mergeCell ref="AF198:AG198"/>
    <mergeCell ref="AR273:AU273"/>
    <mergeCell ref="AR227:AU227"/>
    <mergeCell ref="AR271:AU271"/>
    <mergeCell ref="AR231:AU231"/>
    <mergeCell ref="AR272:AU272"/>
    <mergeCell ref="AR239:AU239"/>
    <mergeCell ref="AR242:AU242"/>
    <mergeCell ref="AR229:AU229"/>
    <mergeCell ref="AR243:AU243"/>
    <mergeCell ref="AR228:AU228"/>
    <mergeCell ref="AR249:AU249"/>
    <mergeCell ref="AR225:AU225"/>
    <mergeCell ref="AR223:AU223"/>
    <mergeCell ref="AR224:AU224"/>
    <mergeCell ref="AR194:AU194"/>
    <mergeCell ref="AR195:AU195"/>
    <mergeCell ref="AR204:AU204"/>
    <mergeCell ref="AR219:AU219"/>
    <mergeCell ref="AR289:AU289"/>
    <mergeCell ref="AR274:AU274"/>
    <mergeCell ref="AR287:AU287"/>
    <mergeCell ref="AR286:AU286"/>
    <mergeCell ref="AF274:AG274"/>
    <mergeCell ref="AF270:AG270"/>
    <mergeCell ref="AF273:AG273"/>
    <mergeCell ref="AF261:AG261"/>
    <mergeCell ref="AF262:AG262"/>
    <mergeCell ref="AF287:AG287"/>
    <mergeCell ref="AF275:AG275"/>
    <mergeCell ref="AF276:AG276"/>
    <mergeCell ref="AF265:AG265"/>
    <mergeCell ref="AF281:AG281"/>
    <mergeCell ref="AF278:AG278"/>
    <mergeCell ref="AF279:AG279"/>
    <mergeCell ref="AF280:AG280"/>
    <mergeCell ref="AF277:AG277"/>
    <mergeCell ref="AF266:AG266"/>
    <mergeCell ref="AF267:AG267"/>
    <mergeCell ref="AF269:AG269"/>
    <mergeCell ref="AF271:AG271"/>
    <mergeCell ref="AF268:AG268"/>
    <mergeCell ref="AF264:AG264"/>
    <mergeCell ref="AF310:AG310"/>
    <mergeCell ref="AF309:AG309"/>
    <mergeCell ref="AR311:AU311"/>
    <mergeCell ref="AF291:AG291"/>
    <mergeCell ref="AF305:AG305"/>
    <mergeCell ref="AF263:AG263"/>
    <mergeCell ref="AF322:AG322"/>
    <mergeCell ref="AF306:AG306"/>
    <mergeCell ref="AF293:AG293"/>
    <mergeCell ref="AF303:AG303"/>
    <mergeCell ref="AF302:AG302"/>
    <mergeCell ref="AF290:AG290"/>
    <mergeCell ref="AF282:AG282"/>
    <mergeCell ref="AF283:AG283"/>
    <mergeCell ref="AF286:AG286"/>
    <mergeCell ref="AF289:AG289"/>
    <mergeCell ref="AF292:AG292"/>
    <mergeCell ref="AF300:AG300"/>
    <mergeCell ref="AF288:AG288"/>
    <mergeCell ref="AF315:AG315"/>
    <mergeCell ref="AF284:AG284"/>
    <mergeCell ref="AF285:AG285"/>
    <mergeCell ref="AF318:AG318"/>
    <mergeCell ref="AR275:AU275"/>
    <mergeCell ref="AR292:AU292"/>
    <mergeCell ref="AR329:AU329"/>
    <mergeCell ref="AR330:AU330"/>
    <mergeCell ref="AR331:AU331"/>
    <mergeCell ref="AR342:AU342"/>
    <mergeCell ref="AR328:AU328"/>
    <mergeCell ref="AR333:AU333"/>
    <mergeCell ref="AR334:AU334"/>
    <mergeCell ref="AR327:AU327"/>
    <mergeCell ref="AR326:AU326"/>
    <mergeCell ref="AR293:AU293"/>
    <mergeCell ref="AR298:AU298"/>
    <mergeCell ref="AR332:AU332"/>
    <mergeCell ref="AR319:AU319"/>
    <mergeCell ref="AR321:AU321"/>
    <mergeCell ref="AR316:AU316"/>
    <mergeCell ref="AR320:AU320"/>
    <mergeCell ref="AR315:AU315"/>
    <mergeCell ref="AR318:AU318"/>
    <mergeCell ref="HS294:HT294"/>
    <mergeCell ref="AR317:AU317"/>
    <mergeCell ref="AF294:AG294"/>
    <mergeCell ref="AF296:AG296"/>
    <mergeCell ref="AF297:AG297"/>
    <mergeCell ref="AR325:AU325"/>
    <mergeCell ref="AR323:AU323"/>
    <mergeCell ref="AF298:AG298"/>
    <mergeCell ref="AF299:AG299"/>
    <mergeCell ref="AR324:AU324"/>
    <mergeCell ref="AR322:AU322"/>
    <mergeCell ref="AF295:AG295"/>
    <mergeCell ref="AF307:AG307"/>
    <mergeCell ref="AF311:AG311"/>
    <mergeCell ref="AF312:AG312"/>
    <mergeCell ref="AF304:AG304"/>
    <mergeCell ref="AF301:AG301"/>
    <mergeCell ref="AF313:AG313"/>
    <mergeCell ref="AF314:AG314"/>
    <mergeCell ref="AR297:AU297"/>
    <mergeCell ref="AF317:AG317"/>
    <mergeCell ref="AF319:AG319"/>
    <mergeCell ref="AF325:AG325"/>
    <mergeCell ref="AF308:AG308"/>
    <mergeCell ref="AF320:AG320"/>
    <mergeCell ref="AF321:AG321"/>
    <mergeCell ref="AF323:AG323"/>
    <mergeCell ref="AF343:AG343"/>
    <mergeCell ref="AF347:AG347"/>
    <mergeCell ref="AF512:AG512"/>
    <mergeCell ref="AH537:AM537"/>
    <mergeCell ref="AF327:AG327"/>
    <mergeCell ref="AF349:AG349"/>
    <mergeCell ref="AF352:AG352"/>
    <mergeCell ref="AF379:AG379"/>
    <mergeCell ref="AF374:AG374"/>
    <mergeCell ref="AF360:AG360"/>
    <mergeCell ref="AF383:AG383"/>
    <mergeCell ref="AF382:AG382"/>
    <mergeCell ref="AF371:AG371"/>
    <mergeCell ref="AF364:AG364"/>
    <mergeCell ref="AF373:AG373"/>
    <mergeCell ref="AF377:AG377"/>
    <mergeCell ref="AF381:AG381"/>
    <mergeCell ref="AF446:AG446"/>
    <mergeCell ref="AF326:AG326"/>
    <mergeCell ref="AF331:AG331"/>
    <mergeCell ref="AF330:AG330"/>
  </mergeCells>
  <phoneticPr fontId="0" type="noConversion"/>
  <conditionalFormatting sqref="T82 T101 T93 T123 T242:T275 T180:T181 T59 T189:T191 T213 T236:T237 T278:T282 T193:T211 T218:T219 T185:T187 T222:T231 T239:T240 T215:T216 T312 T297:T298 T335 T418 T432 T443 T435">
    <cfRule type="expression" dxfId="785" priority="478" stopIfTrue="1">
      <formula>IF(T59="-",FALSE,IF(T59&gt;$AO$2,TRUE,FALSE))</formula>
    </cfRule>
  </conditionalFormatting>
  <conditionalFormatting sqref="U123:AE123 U242:AE275 U82:AE82 U93:AE93 U101:AE101 U180:AE181 U59:AE59 U189:AE191 U213:AE213 U193:AE211 U297:AE297 U236:AE237 U215:AE215 U278:AE282 U218:AE219 U185:AE187 U222:AE231 U239:AE240 T435:AE435 U335:AE335 T418:AE418">
    <cfRule type="expression" dxfId="784" priority="477" stopIfTrue="1">
      <formula>IF(T59="-",FALSE,IF(T59&gt;$AO$2,IF(S59&gt;$AO$2,FALSE,TRUE),FALSE))</formula>
    </cfRule>
  </conditionalFormatting>
  <conditionalFormatting sqref="U203:AE203">
    <cfRule type="expression" dxfId="783" priority="475" stopIfTrue="1">
      <formula>IF(U203="-",FALSE,IF(U203&gt;$AO$2,IF(T203&gt;$AO$2,FALSE,TRUE),FALSE))</formula>
    </cfRule>
  </conditionalFormatting>
  <conditionalFormatting sqref="U207:AE207">
    <cfRule type="expression" dxfId="782" priority="474" stopIfTrue="1">
      <formula>IF(U207="-",FALSE,IF(U207&gt;$AO$2,IF(T207&gt;$AO$2,FALSE,TRUE),FALSE))</formula>
    </cfRule>
  </conditionalFormatting>
  <conditionalFormatting sqref="U216:AE216">
    <cfRule type="expression" dxfId="781" priority="472" stopIfTrue="1">
      <formula>IF(U216="-",FALSE,IF(U216&gt;$AO$2,IF(T216&gt;$AO$2,FALSE,TRUE),FALSE))</formula>
    </cfRule>
  </conditionalFormatting>
  <conditionalFormatting sqref="U298:AE298">
    <cfRule type="expression" dxfId="780" priority="463" stopIfTrue="1">
      <formula>IF(U298="-",FALSE,IF(U298&gt;$AO$2,IF(T298&gt;$AO$2,FALSE,TRUE),FALSE))</formula>
    </cfRule>
  </conditionalFormatting>
  <conditionalFormatting sqref="T432:AE432">
    <cfRule type="expression" dxfId="779" priority="461" stopIfTrue="1">
      <formula>IF(T432="-",FALSE,IF(T432&gt;$AO$2,IF(S432&gt;$AO$2,FALSE,TRUE),FALSE))</formula>
    </cfRule>
  </conditionalFormatting>
  <conditionalFormatting sqref="T443:AE443">
    <cfRule type="expression" dxfId="778" priority="459" stopIfTrue="1">
      <formula>IF(T443="-",FALSE,IF(T443&gt;$AO$2,IF(S443&gt;$AO$2,FALSE,TRUE),FALSE))</formula>
    </cfRule>
  </conditionalFormatting>
  <conditionalFormatting sqref="T313">
    <cfRule type="expression" dxfId="777" priority="458" stopIfTrue="1">
      <formula>IF(T313="-",FALSE,IF(T313&gt;$AO$2,TRUE,FALSE))</formula>
    </cfRule>
  </conditionalFormatting>
  <conditionalFormatting sqref="T340">
    <cfRule type="expression" dxfId="776" priority="457" stopIfTrue="1">
      <formula>IF(T340="-",FALSE,IF(T340&gt;$AO$2,TRUE,FALSE))</formula>
    </cfRule>
  </conditionalFormatting>
  <conditionalFormatting sqref="T337">
    <cfRule type="expression" dxfId="775" priority="452" stopIfTrue="1">
      <formula>IF(T337="-",FALSE,IF(T337&gt;$AO$2,TRUE,FALSE))</formula>
    </cfRule>
  </conditionalFormatting>
  <conditionalFormatting sqref="T336">
    <cfRule type="expression" dxfId="774" priority="437" stopIfTrue="1">
      <formula>IF(T336="-",FALSE,IF(T336&gt;$AO$2,TRUE,FALSE))</formula>
    </cfRule>
  </conditionalFormatting>
  <conditionalFormatting sqref="U336:AE336">
    <cfRule type="expression" dxfId="773" priority="436" stopIfTrue="1">
      <formula>IF(U336="-",FALSE,IF(U336&gt;$AO$2,IF(T336&gt;$AO$2,FALSE,TRUE),FALSE))</formula>
    </cfRule>
  </conditionalFormatting>
  <conditionalFormatting sqref="T474">
    <cfRule type="expression" dxfId="772" priority="431" stopIfTrue="1">
      <formula>IF(T474="-",FALSE,IF(T474&gt;$AO$2,TRUE,FALSE))</formula>
    </cfRule>
  </conditionalFormatting>
  <conditionalFormatting sqref="T474:AE474">
    <cfRule type="expression" dxfId="771" priority="430" stopIfTrue="1">
      <formula>IF(T474="-",FALSE,IF(T474&gt;$AO$2,IF(S474&gt;$AO$2,FALSE,TRUE),FALSE))</formula>
    </cfRule>
  </conditionalFormatting>
  <conditionalFormatting sqref="T479">
    <cfRule type="expression" dxfId="770" priority="415" stopIfTrue="1">
      <formula>IF(T479="-",FALSE,IF(T479&gt;$AO$2,TRUE,FALSE))</formula>
    </cfRule>
  </conditionalFormatting>
  <conditionalFormatting sqref="T479:AE479">
    <cfRule type="expression" dxfId="769" priority="414" stopIfTrue="1">
      <formula>IF(T479="-",FALSE,IF(T479&gt;$AO$2,IF(S479&gt;$AO$2,FALSE,TRUE),FALSE))</formula>
    </cfRule>
  </conditionalFormatting>
  <conditionalFormatting sqref="T455">
    <cfRule type="expression" dxfId="768" priority="419" stopIfTrue="1">
      <formula>IF(T455="-",FALSE,IF(T455&gt;$AO$2,TRUE,FALSE))</formula>
    </cfRule>
  </conditionalFormatting>
  <conditionalFormatting sqref="T455:AE455">
    <cfRule type="expression" dxfId="767" priority="418" stopIfTrue="1">
      <formula>IF(T455="-",FALSE,IF(T455&gt;$AO$2,IF(S455&gt;$AO$2,FALSE,TRUE),FALSE))</formula>
    </cfRule>
  </conditionalFormatting>
  <conditionalFormatting sqref="T478">
    <cfRule type="expression" dxfId="766" priority="417" stopIfTrue="1">
      <formula>IF(T478="-",FALSE,IF(T478&gt;$AO$2,TRUE,FALSE))</formula>
    </cfRule>
  </conditionalFormatting>
  <conditionalFormatting sqref="T478:AE478">
    <cfRule type="expression" dxfId="765" priority="416" stopIfTrue="1">
      <formula>IF(T478="-",FALSE,IF(T478&gt;$AO$2,IF(S478&gt;$AO$2,FALSE,TRUE),FALSE))</formula>
    </cfRule>
  </conditionalFormatting>
  <conditionalFormatting sqref="T489">
    <cfRule type="expression" dxfId="764" priority="385" stopIfTrue="1">
      <formula>IF(T489="-",FALSE,IF(T489&gt;$AO$2,TRUE,FALSE))</formula>
    </cfRule>
  </conditionalFormatting>
  <conditionalFormatting sqref="T489:AE489">
    <cfRule type="expression" dxfId="763" priority="384" stopIfTrue="1">
      <formula>IF(T489="-",FALSE,IF(T489&gt;$AO$2,IF(S489&gt;$AO$2,FALSE,TRUE),FALSE))</formula>
    </cfRule>
  </conditionalFormatting>
  <conditionalFormatting sqref="T513">
    <cfRule type="expression" dxfId="762" priority="373" stopIfTrue="1">
      <formula>IF(T513="-",FALSE,IF(T513&gt;$AO$2,TRUE,FALSE))</formula>
    </cfRule>
  </conditionalFormatting>
  <conditionalFormatting sqref="T513:AE513">
    <cfRule type="expression" dxfId="761" priority="372" stopIfTrue="1">
      <formula>IF(T513="-",FALSE,IF(T513&gt;$AO$2,IF(S513&gt;$AO$2,FALSE,TRUE),FALSE))</formula>
    </cfRule>
  </conditionalFormatting>
  <conditionalFormatting sqref="T514">
    <cfRule type="expression" dxfId="760" priority="369" stopIfTrue="1">
      <formula>IF(T514="-",FALSE,IF(T514&gt;$AO$2,TRUE,FALSE))</formula>
    </cfRule>
  </conditionalFormatting>
  <conditionalFormatting sqref="T514:AE514">
    <cfRule type="expression" dxfId="759" priority="368" stopIfTrue="1">
      <formula>IF(T514="-",FALSE,IF(T514&gt;$AO$2,IF(S514&gt;$AO$2,FALSE,TRUE),FALSE))</formula>
    </cfRule>
  </conditionalFormatting>
  <conditionalFormatting sqref="T515">
    <cfRule type="expression" dxfId="758" priority="367" stopIfTrue="1">
      <formula>IF(T515="-",FALSE,IF(T515&gt;$AO$2,TRUE,FALSE))</formula>
    </cfRule>
  </conditionalFormatting>
  <conditionalFormatting sqref="T515:AE515">
    <cfRule type="expression" dxfId="757" priority="366" stopIfTrue="1">
      <formula>IF(T515="-",FALSE,IF(T515&gt;$AO$2,IF(S515&gt;$AO$2,FALSE,TRUE),FALSE))</formula>
    </cfRule>
  </conditionalFormatting>
  <conditionalFormatting sqref="T516 T518:T519">
    <cfRule type="expression" dxfId="756" priority="357" stopIfTrue="1">
      <formula>IF(T516="-",FALSE,IF(T516&gt;$AO$2,TRUE,FALSE))</formula>
    </cfRule>
  </conditionalFormatting>
  <conditionalFormatting sqref="T516:AE516 T518:AE519">
    <cfRule type="expression" dxfId="755" priority="356" stopIfTrue="1">
      <formula>IF(T516="-",FALSE,IF(T516&gt;$AO$2,IF(S516&gt;$AO$2,FALSE,TRUE),FALSE))</formula>
    </cfRule>
  </conditionalFormatting>
  <conditionalFormatting sqref="T520:T523">
    <cfRule type="expression" dxfId="754" priority="347" stopIfTrue="1">
      <formula>IF(T520="-",FALSE,IF(T520&gt;$AO$2,TRUE,FALSE))</formula>
    </cfRule>
  </conditionalFormatting>
  <conditionalFormatting sqref="T520:AE523">
    <cfRule type="expression" dxfId="753" priority="346" stopIfTrue="1">
      <formula>IF(T520="-",FALSE,IF(T520&gt;$AO$2,IF(S520&gt;$AO$2,FALSE,TRUE),FALSE))</formula>
    </cfRule>
  </conditionalFormatting>
  <conditionalFormatting sqref="T503">
    <cfRule type="expression" dxfId="752" priority="345" stopIfTrue="1">
      <formula>IF(T503="-",FALSE,IF(T503&gt;$AO$2,TRUE,FALSE))</formula>
    </cfRule>
  </conditionalFormatting>
  <conditionalFormatting sqref="T503:AE503">
    <cfRule type="expression" dxfId="751" priority="344" stopIfTrue="1">
      <formula>IF(T503="-",FALSE,IF(T503&gt;$AO$2,IF(S503&gt;$AO$2,FALSE,TRUE),FALSE))</formula>
    </cfRule>
  </conditionalFormatting>
  <conditionalFormatting sqref="T462">
    <cfRule type="expression" dxfId="750" priority="343" stopIfTrue="1">
      <formula>IF(T462="-",FALSE,IF(T462&gt;$AO$2,TRUE,FALSE))</formula>
    </cfRule>
  </conditionalFormatting>
  <conditionalFormatting sqref="T462:AE462">
    <cfRule type="expression" dxfId="749" priority="342" stopIfTrue="1">
      <formula>IF(T462="-",FALSE,IF(T462&gt;$AO$2,IF(S462&gt;$AO$2,FALSE,TRUE),FALSE))</formula>
    </cfRule>
  </conditionalFormatting>
  <conditionalFormatting sqref="T526">
    <cfRule type="expression" dxfId="748" priority="337" stopIfTrue="1">
      <formula>IF(T526="-",FALSE,IF(T526&gt;$AO$2,TRUE,FALSE))</formula>
    </cfRule>
  </conditionalFormatting>
  <conditionalFormatting sqref="T526:AE526">
    <cfRule type="expression" dxfId="747" priority="336" stopIfTrue="1">
      <formula>IF(T526="-",FALSE,IF(T526&gt;$AO$2,IF(S526&gt;$AO$2,FALSE,TRUE),FALSE))</formula>
    </cfRule>
  </conditionalFormatting>
  <conditionalFormatting sqref="T528">
    <cfRule type="expression" dxfId="746" priority="335" stopIfTrue="1">
      <formula>IF(T528="-",FALSE,IF(T528&gt;$AO$2,TRUE,FALSE))</formula>
    </cfRule>
  </conditionalFormatting>
  <conditionalFormatting sqref="T528:AE528">
    <cfRule type="expression" dxfId="745" priority="334" stopIfTrue="1">
      <formula>IF(T528="-",FALSE,IF(T528&gt;$AO$2,IF(S528&gt;$AO$2,FALSE,TRUE),FALSE))</formula>
    </cfRule>
  </conditionalFormatting>
  <conditionalFormatting sqref="T529">
    <cfRule type="expression" dxfId="744" priority="333" stopIfTrue="1">
      <formula>IF(T529="-",FALSE,IF(T529&gt;$AO$2,TRUE,FALSE))</formula>
    </cfRule>
  </conditionalFormatting>
  <conditionalFormatting sqref="T529:AE529">
    <cfRule type="expression" dxfId="743" priority="332" stopIfTrue="1">
      <formula>IF(T529="-",FALSE,IF(T529&gt;$AO$2,IF(S529&gt;$AO$2,FALSE,TRUE),FALSE))</formula>
    </cfRule>
  </conditionalFormatting>
  <conditionalFormatting sqref="T530">
    <cfRule type="expression" dxfId="742" priority="331" stopIfTrue="1">
      <formula>IF(T530="-",FALSE,IF(T530&gt;$AO$2,TRUE,FALSE))</formula>
    </cfRule>
  </conditionalFormatting>
  <conditionalFormatting sqref="T530:AE530">
    <cfRule type="expression" dxfId="741" priority="330" stopIfTrue="1">
      <formula>IF(T530="-",FALSE,IF(T530&gt;$AO$2,IF(S530&gt;$AO$2,FALSE,TRUE),FALSE))</formula>
    </cfRule>
  </conditionalFormatting>
  <conditionalFormatting sqref="T531">
    <cfRule type="expression" dxfId="740" priority="327" stopIfTrue="1">
      <formula>IF(T531="-",FALSE,IF(T531&gt;$AO$2,TRUE,FALSE))</formula>
    </cfRule>
  </conditionalFormatting>
  <conditionalFormatting sqref="T531:AE531">
    <cfRule type="expression" dxfId="739" priority="326" stopIfTrue="1">
      <formula>IF(T531="-",FALSE,IF(T531&gt;$AO$2,IF(S531&gt;$AO$2,FALSE,TRUE),FALSE))</formula>
    </cfRule>
  </conditionalFormatting>
  <conditionalFormatting sqref="T469">
    <cfRule type="expression" dxfId="738" priority="323" stopIfTrue="1">
      <formula>IF(T469="-",FALSE,IF(T469&gt;$AO$2,TRUE,FALSE))</formula>
    </cfRule>
  </conditionalFormatting>
  <conditionalFormatting sqref="T469:AE469">
    <cfRule type="expression" dxfId="737" priority="322" stopIfTrue="1">
      <formula>IF(T469="-",FALSE,IF(T469&gt;$AO$2,IF(S469&gt;$AO$2,FALSE,TRUE),FALSE))</formula>
    </cfRule>
  </conditionalFormatting>
  <conditionalFormatting sqref="T533:T535 T537">
    <cfRule type="expression" dxfId="736" priority="311" stopIfTrue="1">
      <formula>IF(T533="-",FALSE,IF(T533&gt;$AO$2,TRUE,FALSE))</formula>
    </cfRule>
  </conditionalFormatting>
  <conditionalFormatting sqref="T533:AE535 T537:AE537">
    <cfRule type="expression" dxfId="735" priority="310" stopIfTrue="1">
      <formula>IF(T533="-",FALSE,IF(T533&gt;$AO$2,IF(S533&gt;$AO$2,FALSE,TRUE),FALSE))</formula>
    </cfRule>
  </conditionalFormatting>
  <conditionalFormatting sqref="T538:T539">
    <cfRule type="expression" dxfId="734" priority="305" stopIfTrue="1">
      <formula>IF(T538="-",FALSE,IF(T538&gt;$AO$2,TRUE,FALSE))</formula>
    </cfRule>
  </conditionalFormatting>
  <conditionalFormatting sqref="T538:AE539">
    <cfRule type="expression" dxfId="733" priority="304" stopIfTrue="1">
      <formula>IF(T538="-",FALSE,IF(T538&gt;$AO$2,IF(S538&gt;$AO$2,FALSE,TRUE),FALSE))</formula>
    </cfRule>
  </conditionalFormatting>
  <conditionalFormatting sqref="T476">
    <cfRule type="expression" dxfId="732" priority="303" stopIfTrue="1">
      <formula>IF(T476="-",FALSE,IF(T476&gt;$AO$2,TRUE,FALSE))</formula>
    </cfRule>
  </conditionalFormatting>
  <conditionalFormatting sqref="T476:AE476">
    <cfRule type="expression" dxfId="731" priority="302" stopIfTrue="1">
      <formula>IF(T476="-",FALSE,IF(T476&gt;$AO$2,IF(S476&gt;$AO$2,FALSE,TRUE),FALSE))</formula>
    </cfRule>
  </conditionalFormatting>
  <conditionalFormatting sqref="T541">
    <cfRule type="expression" dxfId="730" priority="297" stopIfTrue="1">
      <formula>IF(T541="-",FALSE,IF(T541&gt;$AO$2,TRUE,FALSE))</formula>
    </cfRule>
  </conditionalFormatting>
  <conditionalFormatting sqref="T541:AE541">
    <cfRule type="expression" dxfId="729" priority="296" stopIfTrue="1">
      <formula>IF(T541="-",FALSE,IF(T541&gt;$AO$2,IF(S541&gt;$AO$2,FALSE,TRUE),FALSE))</formula>
    </cfRule>
  </conditionalFormatting>
  <conditionalFormatting sqref="T482">
    <cfRule type="expression" dxfId="728" priority="289" stopIfTrue="1">
      <formula>IF(T482="-",FALSE,IF(T482&gt;$AO$2,TRUE,FALSE))</formula>
    </cfRule>
  </conditionalFormatting>
  <conditionalFormatting sqref="T482:AE482">
    <cfRule type="expression" dxfId="727" priority="288" stopIfTrue="1">
      <formula>IF(T482="-",FALSE,IF(T482&gt;$AO$2,IF(S482&gt;$AO$2,FALSE,TRUE),FALSE))</formula>
    </cfRule>
  </conditionalFormatting>
  <conditionalFormatting sqref="T542">
    <cfRule type="expression" dxfId="726" priority="279" stopIfTrue="1">
      <formula>IF(T542="-",FALSE,IF(T542&gt;$AO$2,TRUE,FALSE))</formula>
    </cfRule>
  </conditionalFormatting>
  <conditionalFormatting sqref="T542:AE542">
    <cfRule type="expression" dxfId="725" priority="278" stopIfTrue="1">
      <formula>IF(T542="-",FALSE,IF(T542&gt;$AO$2,IF(S542&gt;$AO$2,FALSE,TRUE),FALSE))</formula>
    </cfRule>
  </conditionalFormatting>
  <conditionalFormatting sqref="T543">
    <cfRule type="expression" dxfId="724" priority="277" stopIfTrue="1">
      <formula>IF(T543="-",FALSE,IF(T543&gt;$AO$2,TRUE,FALSE))</formula>
    </cfRule>
  </conditionalFormatting>
  <conditionalFormatting sqref="T543:AE543">
    <cfRule type="expression" dxfId="723" priority="276" stopIfTrue="1">
      <formula>IF(T543="-",FALSE,IF(T543&gt;$AO$2,IF(S543&gt;$AO$2,FALSE,TRUE),FALSE))</formula>
    </cfRule>
  </conditionalFormatting>
  <conditionalFormatting sqref="T544">
    <cfRule type="expression" dxfId="722" priority="275" stopIfTrue="1">
      <formula>IF(T544="-",FALSE,IF(T544&gt;$AO$2,TRUE,FALSE))</formula>
    </cfRule>
  </conditionalFormatting>
  <conditionalFormatting sqref="T544:AE544">
    <cfRule type="expression" dxfId="721" priority="274" stopIfTrue="1">
      <formula>IF(T544="-",FALSE,IF(T544&gt;$AO$2,IF(S544&gt;$AO$2,FALSE,TRUE),FALSE))</formula>
    </cfRule>
  </conditionalFormatting>
  <conditionalFormatting sqref="T426">
    <cfRule type="expression" dxfId="720" priority="273" stopIfTrue="1">
      <formula>IF(T426="-",FALSE,IF(T426&gt;$AO$2,TRUE,FALSE))</formula>
    </cfRule>
  </conditionalFormatting>
  <conditionalFormatting sqref="T426:AE426">
    <cfRule type="expression" dxfId="719" priority="272" stopIfTrue="1">
      <formula>IF(T426="-",FALSE,IF(T426&gt;$AO$2,IF(S426&gt;$AO$2,FALSE,TRUE),FALSE))</formula>
    </cfRule>
  </conditionalFormatting>
  <conditionalFormatting sqref="T420">
    <cfRule type="expression" dxfId="718" priority="271" stopIfTrue="1">
      <formula>IF(T420="-",FALSE,IF(T420&gt;$AO$2,TRUE,FALSE))</formula>
    </cfRule>
  </conditionalFormatting>
  <conditionalFormatting sqref="T420:AE420">
    <cfRule type="expression" dxfId="717" priority="270" stopIfTrue="1">
      <formula>IF(T420="-",FALSE,IF(T420&gt;$AO$2,IF(S420&gt;$AO$2,FALSE,TRUE),FALSE))</formula>
    </cfRule>
  </conditionalFormatting>
  <conditionalFormatting sqref="T419">
    <cfRule type="expression" dxfId="716" priority="269" stopIfTrue="1">
      <formula>IF(T419="-",FALSE,IF(T419&gt;$AO$2,TRUE,FALSE))</formula>
    </cfRule>
  </conditionalFormatting>
  <conditionalFormatting sqref="T419:AE419">
    <cfRule type="expression" dxfId="715" priority="268" stopIfTrue="1">
      <formula>IF(T419="-",FALSE,IF(T419&gt;$AO$2,IF(S419&gt;$AO$2,FALSE,TRUE),FALSE))</formula>
    </cfRule>
  </conditionalFormatting>
  <conditionalFormatting sqref="T545">
    <cfRule type="expression" dxfId="714" priority="267" stopIfTrue="1">
      <formula>IF(T545="-",FALSE,IF(T545&gt;$AO$2,TRUE,FALSE))</formula>
    </cfRule>
  </conditionalFormatting>
  <conditionalFormatting sqref="T545:AE545">
    <cfRule type="expression" dxfId="713" priority="266" stopIfTrue="1">
      <formula>IF(T545="-",FALSE,IF(T545&gt;$AO$2,IF(S545&gt;$AO$2,FALSE,TRUE),FALSE))</formula>
    </cfRule>
  </conditionalFormatting>
  <conditionalFormatting sqref="T465">
    <cfRule type="expression" dxfId="712" priority="265" stopIfTrue="1">
      <formula>IF(T465="-",FALSE,IF(T465&gt;$AO$2,TRUE,FALSE))</formula>
    </cfRule>
  </conditionalFormatting>
  <conditionalFormatting sqref="T465:AE465">
    <cfRule type="expression" dxfId="711" priority="264" stopIfTrue="1">
      <formula>IF(T465="-",FALSE,IF(T465&gt;$AO$2,IF(S465&gt;$AO$2,FALSE,TRUE),FALSE))</formula>
    </cfRule>
  </conditionalFormatting>
  <conditionalFormatting sqref="T488">
    <cfRule type="expression" dxfId="710" priority="261" stopIfTrue="1">
      <formula>IF(T488="-",FALSE,IF(T488&gt;$AO$2,TRUE,FALSE))</formula>
    </cfRule>
  </conditionalFormatting>
  <conditionalFormatting sqref="T488:AE488">
    <cfRule type="expression" dxfId="709" priority="260" stopIfTrue="1">
      <formula>IF(T488="-",FALSE,IF(T488&gt;$AO$2,IF(S488&gt;$AO$2,FALSE,TRUE),FALSE))</formula>
    </cfRule>
  </conditionalFormatting>
  <conditionalFormatting sqref="T527">
    <cfRule type="expression" dxfId="708" priority="259" stopIfTrue="1">
      <formula>IF(T527="-",FALSE,IF(T527&gt;$AO$2,TRUE,FALSE))</formula>
    </cfRule>
  </conditionalFormatting>
  <conditionalFormatting sqref="T527:AE527">
    <cfRule type="expression" dxfId="707" priority="258" stopIfTrue="1">
      <formula>IF(T527="-",FALSE,IF(T527&gt;$AO$2,IF(S527&gt;$AO$2,FALSE,TRUE),FALSE))</formula>
    </cfRule>
  </conditionalFormatting>
  <conditionalFormatting sqref="T421">
    <cfRule type="expression" dxfId="706" priority="257" stopIfTrue="1">
      <formula>IF(T421="-",FALSE,IF(T421&gt;$AO$2,TRUE,FALSE))</formula>
    </cfRule>
  </conditionalFormatting>
  <conditionalFormatting sqref="T421:AE421">
    <cfRule type="expression" dxfId="705" priority="256" stopIfTrue="1">
      <formula>IF(T421="-",FALSE,IF(T421&gt;$AO$2,IF(S421&gt;$AO$2,FALSE,TRUE),FALSE))</formula>
    </cfRule>
  </conditionalFormatting>
  <conditionalFormatting sqref="T425">
    <cfRule type="expression" dxfId="704" priority="255" stopIfTrue="1">
      <formula>IF(T425="-",FALSE,IF(T425&gt;$AO$2,TRUE,FALSE))</formula>
    </cfRule>
  </conditionalFormatting>
  <conditionalFormatting sqref="T425:AE425">
    <cfRule type="expression" dxfId="703" priority="254" stopIfTrue="1">
      <formula>IF(T425="-",FALSE,IF(T425&gt;$AO$2,IF(S425&gt;$AO$2,FALSE,TRUE),FALSE))</formula>
    </cfRule>
  </conditionalFormatting>
  <conditionalFormatting sqref="T525">
    <cfRule type="expression" dxfId="702" priority="253" stopIfTrue="1">
      <formula>IF(T525="-",FALSE,IF(T525&gt;$AO$2,TRUE,FALSE))</formula>
    </cfRule>
  </conditionalFormatting>
  <conditionalFormatting sqref="T525:AE525">
    <cfRule type="expression" dxfId="701" priority="252" stopIfTrue="1">
      <formula>IF(T525="-",FALSE,IF(T525&gt;$AO$2,IF(S525&gt;$AO$2,FALSE,TRUE),FALSE))</formula>
    </cfRule>
  </conditionalFormatting>
  <conditionalFormatting sqref="T546 T548">
    <cfRule type="expression" dxfId="700" priority="251" stopIfTrue="1">
      <formula>IF(T546="-",FALSE,IF(T546&gt;$AO$2,TRUE,FALSE))</formula>
    </cfRule>
  </conditionalFormatting>
  <conditionalFormatting sqref="T546:AE546 T548:AE548">
    <cfRule type="expression" dxfId="699" priority="250" stopIfTrue="1">
      <formula>IF(T546="-",FALSE,IF(T546&gt;$AO$2,IF(S546&gt;$AO$2,FALSE,TRUE),FALSE))</formula>
    </cfRule>
  </conditionalFormatting>
  <conditionalFormatting sqref="T423">
    <cfRule type="expression" dxfId="698" priority="245" stopIfTrue="1">
      <formula>IF(T423="-",FALSE,IF(T423&gt;$AO$2,TRUE,FALSE))</formula>
    </cfRule>
  </conditionalFormatting>
  <conditionalFormatting sqref="T423:AE423">
    <cfRule type="expression" dxfId="697" priority="244" stopIfTrue="1">
      <formula>IF(T423="-",FALSE,IF(T423&gt;$AO$2,IF(S423&gt;$AO$2,FALSE,TRUE),FALSE))</formula>
    </cfRule>
  </conditionalFormatting>
  <conditionalFormatting sqref="T424">
    <cfRule type="expression" dxfId="696" priority="247" stopIfTrue="1">
      <formula>IF(T424="-",FALSE,IF(T424&gt;$AO$2,TRUE,FALSE))</formula>
    </cfRule>
  </conditionalFormatting>
  <conditionalFormatting sqref="T424:AE424">
    <cfRule type="expression" dxfId="695" priority="246" stopIfTrue="1">
      <formula>IF(T424="-",FALSE,IF(T424&gt;$AO$2,IF(S424&gt;$AO$2,FALSE,TRUE),FALSE))</formula>
    </cfRule>
  </conditionalFormatting>
  <conditionalFormatting sqref="T549">
    <cfRule type="expression" dxfId="694" priority="243" stopIfTrue="1">
      <formula>IF(T549="-",FALSE,IF(T549&gt;$AO$2,TRUE,FALSE))</formula>
    </cfRule>
  </conditionalFormatting>
  <conditionalFormatting sqref="T549:AE549">
    <cfRule type="expression" dxfId="693" priority="242" stopIfTrue="1">
      <formula>IF(T549="-",FALSE,IF(T549&gt;$AO$2,IF(S549&gt;$AO$2,FALSE,TRUE),FALSE))</formula>
    </cfRule>
  </conditionalFormatting>
  <conditionalFormatting sqref="T550">
    <cfRule type="expression" dxfId="692" priority="241" stopIfTrue="1">
      <formula>IF(T550="-",FALSE,IF(T550&gt;$AO$2,TRUE,FALSE))</formula>
    </cfRule>
  </conditionalFormatting>
  <conditionalFormatting sqref="T550:AE550">
    <cfRule type="expression" dxfId="691" priority="240" stopIfTrue="1">
      <formula>IF(T550="-",FALSE,IF(T550&gt;$AO$2,IF(S550&gt;$AO$2,FALSE,TRUE),FALSE))</formula>
    </cfRule>
  </conditionalFormatting>
  <conditionalFormatting sqref="T422">
    <cfRule type="expression" dxfId="690" priority="239" stopIfTrue="1">
      <formula>IF(T422="-",FALSE,IF(T422&gt;$AO$2,TRUE,FALSE))</formula>
    </cfRule>
  </conditionalFormatting>
  <conditionalFormatting sqref="T422:AE422">
    <cfRule type="expression" dxfId="689" priority="238" stopIfTrue="1">
      <formula>IF(T422="-",FALSE,IF(T422&gt;$AO$2,IF(S422&gt;$AO$2,FALSE,TRUE),FALSE))</formula>
    </cfRule>
  </conditionalFormatting>
  <conditionalFormatting sqref="T430">
    <cfRule type="expression" dxfId="688" priority="237" stopIfTrue="1">
      <formula>IF(T430="-",FALSE,IF(T430&gt;$AO$2,TRUE,FALSE))</formula>
    </cfRule>
  </conditionalFormatting>
  <conditionalFormatting sqref="T430:AE430">
    <cfRule type="expression" dxfId="687" priority="236" stopIfTrue="1">
      <formula>IF(T430="-",FALSE,IF(T430&gt;$AO$2,IF(S430&gt;$AO$2,FALSE,TRUE),FALSE))</formula>
    </cfRule>
  </conditionalFormatting>
  <conditionalFormatting sqref="T532">
    <cfRule type="expression" dxfId="686" priority="235" stopIfTrue="1">
      <formula>IF(T532="-",FALSE,IF(T532&gt;$AO$2,TRUE,FALSE))</formula>
    </cfRule>
  </conditionalFormatting>
  <conditionalFormatting sqref="T532:AE532">
    <cfRule type="expression" dxfId="685" priority="234" stopIfTrue="1">
      <formula>IF(T532="-",FALSE,IF(T532&gt;$AO$2,IF(S532&gt;$AO$2,FALSE,TRUE),FALSE))</formula>
    </cfRule>
  </conditionalFormatting>
  <conditionalFormatting sqref="T438">
    <cfRule type="expression" dxfId="684" priority="233" stopIfTrue="1">
      <formula>IF(T438="-",FALSE,IF(T438&gt;$AO$2,TRUE,FALSE))</formula>
    </cfRule>
  </conditionalFormatting>
  <conditionalFormatting sqref="T438:AE438">
    <cfRule type="expression" dxfId="683" priority="232" stopIfTrue="1">
      <formula>IF(T438="-",FALSE,IF(T438&gt;$AO$2,IF(S438&gt;$AO$2,FALSE,TRUE),FALSE))</formula>
    </cfRule>
  </conditionalFormatting>
  <conditionalFormatting sqref="T431">
    <cfRule type="expression" dxfId="682" priority="223" stopIfTrue="1">
      <formula>IF(T431="-",FALSE,IF(T431&gt;$AO$2,TRUE,FALSE))</formula>
    </cfRule>
  </conditionalFormatting>
  <conditionalFormatting sqref="T431:AE431">
    <cfRule type="expression" dxfId="681" priority="222" stopIfTrue="1">
      <formula>IF(T431="-",FALSE,IF(T431&gt;$AO$2,IF(S431&gt;$AO$2,FALSE,TRUE),FALSE))</formula>
    </cfRule>
  </conditionalFormatting>
  <conditionalFormatting sqref="T552">
    <cfRule type="expression" dxfId="680" priority="221" stopIfTrue="1">
      <formula>IF(T552="-",FALSE,IF(T552&gt;$AO$2,TRUE,FALSE))</formula>
    </cfRule>
  </conditionalFormatting>
  <conditionalFormatting sqref="T552:AE552">
    <cfRule type="expression" dxfId="679" priority="220" stopIfTrue="1">
      <formula>IF(T552="-",FALSE,IF(T552&gt;$AO$2,IF(S552&gt;$AO$2,FALSE,TRUE),FALSE))</formula>
    </cfRule>
  </conditionalFormatting>
  <conditionalFormatting sqref="T554">
    <cfRule type="expression" dxfId="678" priority="217" stopIfTrue="1">
      <formula>IF(T554="-",FALSE,IF(T554&gt;$AO$2,TRUE,FALSE))</formula>
    </cfRule>
  </conditionalFormatting>
  <conditionalFormatting sqref="T554:AE554">
    <cfRule type="expression" dxfId="677" priority="216" stopIfTrue="1">
      <formula>IF(T554="-",FALSE,IF(T554&gt;$AO$2,IF(S554&gt;$AO$2,FALSE,TRUE),FALSE))</formula>
    </cfRule>
  </conditionalFormatting>
  <conditionalFormatting sqref="T442">
    <cfRule type="expression" dxfId="676" priority="207" stopIfTrue="1">
      <formula>IF(T442="-",FALSE,IF(T442&gt;$AO$2,TRUE,FALSE))</formula>
    </cfRule>
  </conditionalFormatting>
  <conditionalFormatting sqref="T442:AE442">
    <cfRule type="expression" dxfId="675" priority="206" stopIfTrue="1">
      <formula>IF(T442="-",FALSE,IF(T442&gt;$AO$2,IF(S442&gt;$AO$2,FALSE,TRUE),FALSE))</formula>
    </cfRule>
  </conditionalFormatting>
  <conditionalFormatting sqref="T437">
    <cfRule type="expression" dxfId="674" priority="211" stopIfTrue="1">
      <formula>IF(T437="-",FALSE,IF(T437&gt;$AO$2,TRUE,FALSE))</formula>
    </cfRule>
  </conditionalFormatting>
  <conditionalFormatting sqref="T437:AE437">
    <cfRule type="expression" dxfId="673" priority="210" stopIfTrue="1">
      <formula>IF(T437="-",FALSE,IF(T437&gt;$AO$2,IF(S437&gt;$AO$2,FALSE,TRUE),FALSE))</formula>
    </cfRule>
  </conditionalFormatting>
  <conditionalFormatting sqref="T556:T557">
    <cfRule type="expression" dxfId="672" priority="197" stopIfTrue="1">
      <formula>IF(T556="-",FALSE,IF(T556&gt;$AO$2,TRUE,FALSE))</formula>
    </cfRule>
  </conditionalFormatting>
  <conditionalFormatting sqref="T556:AE557">
    <cfRule type="expression" dxfId="671" priority="196" stopIfTrue="1">
      <formula>IF(T556="-",FALSE,IF(T556&gt;$AO$2,IF(S556&gt;$AO$2,FALSE,TRUE),FALSE))</formula>
    </cfRule>
  </conditionalFormatting>
  <conditionalFormatting sqref="T436">
    <cfRule type="expression" dxfId="670" priority="191" stopIfTrue="1">
      <formula>IF(T436="-",FALSE,IF(T436&gt;$AO$2,TRUE,FALSE))</formula>
    </cfRule>
  </conditionalFormatting>
  <conditionalFormatting sqref="T436:AE436">
    <cfRule type="expression" dxfId="669" priority="190" stopIfTrue="1">
      <formula>IF(T436="-",FALSE,IF(T436&gt;$AO$2,IF(S436&gt;$AO$2,FALSE,TRUE),FALSE))</formula>
    </cfRule>
  </conditionalFormatting>
  <conditionalFormatting sqref="T429">
    <cfRule type="expression" dxfId="668" priority="189" stopIfTrue="1">
      <formula>IF(T429="-",FALSE,IF(T429&gt;$AO$2,TRUE,FALSE))</formula>
    </cfRule>
  </conditionalFormatting>
  <conditionalFormatting sqref="T429:AE429">
    <cfRule type="expression" dxfId="667" priority="188" stopIfTrue="1">
      <formula>IF(T429="-",FALSE,IF(T429&gt;$AO$2,IF(S429&gt;$AO$2,FALSE,TRUE),FALSE))</formula>
    </cfRule>
  </conditionalFormatting>
  <conditionalFormatting sqref="T433">
    <cfRule type="expression" dxfId="666" priority="187" stopIfTrue="1">
      <formula>IF(T433="-",FALSE,IF(T433&gt;$AO$2,TRUE,FALSE))</formula>
    </cfRule>
  </conditionalFormatting>
  <conditionalFormatting sqref="T433:AE433">
    <cfRule type="expression" dxfId="665" priority="186" stopIfTrue="1">
      <formula>IF(T433="-",FALSE,IF(T433&gt;$AO$2,IF(S433&gt;$AO$2,FALSE,TRUE),FALSE))</formula>
    </cfRule>
  </conditionalFormatting>
  <conditionalFormatting sqref="T559">
    <cfRule type="expression" dxfId="664" priority="179" stopIfTrue="1">
      <formula>IF(T559="-",FALSE,IF(T559&gt;$AO$2,TRUE,FALSE))</formula>
    </cfRule>
  </conditionalFormatting>
  <conditionalFormatting sqref="T559:AE559">
    <cfRule type="expression" dxfId="663" priority="178" stopIfTrue="1">
      <formula>IF(T559="-",FALSE,IF(T559&gt;$AO$2,IF(S559&gt;$AO$2,FALSE,TRUE),FALSE))</formula>
    </cfRule>
  </conditionalFormatting>
  <conditionalFormatting sqref="T444">
    <cfRule type="expression" dxfId="662" priority="177" stopIfTrue="1">
      <formula>IF(T444="-",FALSE,IF(T444&gt;$AO$2,TRUE,FALSE))</formula>
    </cfRule>
  </conditionalFormatting>
  <conditionalFormatting sqref="T444:AE444">
    <cfRule type="expression" dxfId="661" priority="176" stopIfTrue="1">
      <formula>IF(T444="-",FALSE,IF(T444&gt;$AO$2,IF(S444&gt;$AO$2,FALSE,TRUE),FALSE))</formula>
    </cfRule>
  </conditionalFormatting>
  <conditionalFormatting sqref="T441">
    <cfRule type="expression" dxfId="660" priority="175" stopIfTrue="1">
      <formula>IF(T441="-",FALSE,IF(T441&gt;$AO$2,TRUE,FALSE))</formula>
    </cfRule>
  </conditionalFormatting>
  <conditionalFormatting sqref="T441:AE441">
    <cfRule type="expression" dxfId="659" priority="174" stopIfTrue="1">
      <formula>IF(T441="-",FALSE,IF(T441&gt;$AO$2,IF(S441&gt;$AO$2,FALSE,TRUE),FALSE))</formula>
    </cfRule>
  </conditionalFormatting>
  <conditionalFormatting sqref="T561">
    <cfRule type="expression" dxfId="658" priority="169" stopIfTrue="1">
      <formula>IF(T561="-",FALSE,IF(T561&gt;$AO$2,TRUE,FALSE))</formula>
    </cfRule>
  </conditionalFormatting>
  <conditionalFormatting sqref="T561:AE561">
    <cfRule type="expression" dxfId="657" priority="168" stopIfTrue="1">
      <formula>IF(T561="-",FALSE,IF(T561&gt;$AO$2,IF(S561&gt;$AO$2,FALSE,TRUE),FALSE))</formula>
    </cfRule>
  </conditionalFormatting>
  <conditionalFormatting sqref="T440">
    <cfRule type="expression" dxfId="656" priority="167" stopIfTrue="1">
      <formula>IF(T440="-",FALSE,IF(T440&gt;$AO$2,TRUE,FALSE))</formula>
    </cfRule>
  </conditionalFormatting>
  <conditionalFormatting sqref="T440:AE440">
    <cfRule type="expression" dxfId="655" priority="166" stopIfTrue="1">
      <formula>IF(T440="-",FALSE,IF(T440&gt;$AO$2,IF(S440&gt;$AO$2,FALSE,TRUE),FALSE))</formula>
    </cfRule>
  </conditionalFormatting>
  <conditionalFormatting sqref="T446">
    <cfRule type="expression" dxfId="654" priority="165" stopIfTrue="1">
      <formula>IF(T446="-",FALSE,IF(T446&gt;$AO$2,TRUE,FALSE))</formula>
    </cfRule>
  </conditionalFormatting>
  <conditionalFormatting sqref="T446:AE446">
    <cfRule type="expression" dxfId="653" priority="164" stopIfTrue="1">
      <formula>IF(T446="-",FALSE,IF(T446&gt;$AO$2,IF(S446&gt;$AO$2,FALSE,TRUE),FALSE))</formula>
    </cfRule>
  </conditionalFormatting>
  <conditionalFormatting sqref="T506">
    <cfRule type="expression" dxfId="652" priority="163" stopIfTrue="1">
      <formula>IF(T506="-",FALSE,IF(T506&gt;$AO$2,TRUE,FALSE))</formula>
    </cfRule>
  </conditionalFormatting>
  <conditionalFormatting sqref="T506:AE506">
    <cfRule type="expression" dxfId="651" priority="162" stopIfTrue="1">
      <formula>IF(T506="-",FALSE,IF(T506&gt;$AO$2,IF(S506&gt;$AO$2,FALSE,TRUE),FALSE))</formula>
    </cfRule>
  </conditionalFormatting>
  <conditionalFormatting sqref="T504:T505">
    <cfRule type="expression" dxfId="650" priority="161" stopIfTrue="1">
      <formula>IF(T504="-",FALSE,IF(T504&gt;$AO$2,TRUE,FALSE))</formula>
    </cfRule>
  </conditionalFormatting>
  <conditionalFormatting sqref="T504:AE504">
    <cfRule type="expression" dxfId="649" priority="160" stopIfTrue="1">
      <formula>IF(T504="-",FALSE,IF(T504&gt;$AO$2,IF(S504&gt;$AO$2,FALSE,TRUE),FALSE))</formula>
    </cfRule>
  </conditionalFormatting>
  <conditionalFormatting sqref="T447">
    <cfRule type="expression" dxfId="648" priority="155" stopIfTrue="1">
      <formula>IF(T447="-",FALSE,IF(T447&gt;$AO$2,TRUE,FALSE))</formula>
    </cfRule>
  </conditionalFormatting>
  <conditionalFormatting sqref="T447:AE447">
    <cfRule type="expression" dxfId="647" priority="154" stopIfTrue="1">
      <formula>IF(T447="-",FALSE,IF(T447&gt;$AO$2,IF(S447&gt;$AO$2,FALSE,TRUE),FALSE))</formula>
    </cfRule>
  </conditionalFormatting>
  <conditionalFormatting sqref="T449:T450">
    <cfRule type="expression" dxfId="646" priority="153" stopIfTrue="1">
      <formula>IF(T449="-",FALSE,IF(T449&gt;$AO$2,TRUE,FALSE))</formula>
    </cfRule>
  </conditionalFormatting>
  <conditionalFormatting sqref="T449:AE450">
    <cfRule type="expression" dxfId="645" priority="152" stopIfTrue="1">
      <formula>IF(T449="-",FALSE,IF(T449&gt;$AO$2,IF(S449&gt;$AO$2,FALSE,TRUE),FALSE))</formula>
    </cfRule>
  </conditionalFormatting>
  <conditionalFormatting sqref="T452">
    <cfRule type="expression" dxfId="644" priority="151" stopIfTrue="1">
      <formula>IF(T452="-",FALSE,IF(T452&gt;$AO$2,TRUE,FALSE))</formula>
    </cfRule>
  </conditionalFormatting>
  <conditionalFormatting sqref="T452:AE452">
    <cfRule type="expression" dxfId="643" priority="150" stopIfTrue="1">
      <formula>IF(T452="-",FALSE,IF(T452&gt;$AO$2,IF(S452&gt;$AO$2,FALSE,TRUE),FALSE))</formula>
    </cfRule>
  </conditionalFormatting>
  <conditionalFormatting sqref="T562:T564">
    <cfRule type="expression" dxfId="642" priority="149" stopIfTrue="1">
      <formula>IF(T562="-",FALSE,IF(T562&gt;$AO$2,TRUE,FALSE))</formula>
    </cfRule>
  </conditionalFormatting>
  <conditionalFormatting sqref="T562:AE564">
    <cfRule type="expression" dxfId="641" priority="148" stopIfTrue="1">
      <formula>IF(T562="-",FALSE,IF(T562&gt;$AO$2,IF(S562&gt;$AO$2,FALSE,TRUE),FALSE))</formula>
    </cfRule>
  </conditionalFormatting>
  <conditionalFormatting sqref="T492">
    <cfRule type="expression" dxfId="640" priority="147" stopIfTrue="1">
      <formula>IF(T492="-",FALSE,IF(T492&gt;$AO$2,TRUE,FALSE))</formula>
    </cfRule>
  </conditionalFormatting>
  <conditionalFormatting sqref="T492:AE492">
    <cfRule type="expression" dxfId="639" priority="146" stopIfTrue="1">
      <formula>IF(T492="-",FALSE,IF(T492&gt;$AO$2,IF(S492&gt;$AO$2,FALSE,TRUE),FALSE))</formula>
    </cfRule>
  </conditionalFormatting>
  <conditionalFormatting sqref="T553">
    <cfRule type="expression" dxfId="638" priority="145" stopIfTrue="1">
      <formula>IF(T553="-",FALSE,IF(T553&gt;$AO$2,TRUE,FALSE))</formula>
    </cfRule>
  </conditionalFormatting>
  <conditionalFormatting sqref="T553:AE553">
    <cfRule type="expression" dxfId="637" priority="144" stopIfTrue="1">
      <formula>IF(T553="-",FALSE,IF(T553&gt;$AO$2,IF(S553&gt;$AO$2,FALSE,TRUE),FALSE))</formula>
    </cfRule>
  </conditionalFormatting>
  <conditionalFormatting sqref="T427">
    <cfRule type="expression" dxfId="636" priority="143" stopIfTrue="1">
      <formula>IF(T427="-",FALSE,IF(T427&gt;$AO$2,TRUE,FALSE))</formula>
    </cfRule>
  </conditionalFormatting>
  <conditionalFormatting sqref="T427:AE427">
    <cfRule type="expression" dxfId="635" priority="142" stopIfTrue="1">
      <formula>IF(T427="-",FALSE,IF(T427&gt;$AO$2,IF(S427&gt;$AO$2,FALSE,TRUE),FALSE))</formula>
    </cfRule>
  </conditionalFormatting>
  <conditionalFormatting sqref="T454">
    <cfRule type="expression" dxfId="634" priority="139" stopIfTrue="1">
      <formula>IF(T454="-",FALSE,IF(T454&gt;$AO$2,TRUE,FALSE))</formula>
    </cfRule>
  </conditionalFormatting>
  <conditionalFormatting sqref="T454:AE454">
    <cfRule type="expression" dxfId="633" priority="138" stopIfTrue="1">
      <formula>IF(T454="-",FALSE,IF(T454&gt;$AO$2,IF(S454&gt;$AO$2,FALSE,TRUE),FALSE))</formula>
    </cfRule>
  </conditionalFormatting>
  <conditionalFormatting sqref="T456">
    <cfRule type="expression" dxfId="632" priority="137" stopIfTrue="1">
      <formula>IF(T456="-",FALSE,IF(T456&gt;$AO$2,TRUE,FALSE))</formula>
    </cfRule>
  </conditionalFormatting>
  <conditionalFormatting sqref="T456:AE456">
    <cfRule type="expression" dxfId="631" priority="136" stopIfTrue="1">
      <formula>IF(T456="-",FALSE,IF(T456&gt;$AO$2,IF(S456&gt;$AO$2,FALSE,TRUE),FALSE))</formula>
    </cfRule>
  </conditionalFormatting>
  <conditionalFormatting sqref="T457">
    <cfRule type="expression" dxfId="630" priority="135" stopIfTrue="1">
      <formula>IF(T457="-",FALSE,IF(T457&gt;$AO$2,TRUE,FALSE))</formula>
    </cfRule>
  </conditionalFormatting>
  <conditionalFormatting sqref="T457:AE457">
    <cfRule type="expression" dxfId="629" priority="134" stopIfTrue="1">
      <formula>IF(T457="-",FALSE,IF(T457&gt;$AO$2,IF(S457&gt;$AO$2,FALSE,TRUE),FALSE))</formula>
    </cfRule>
  </conditionalFormatting>
  <conditionalFormatting sqref="T458">
    <cfRule type="expression" dxfId="628" priority="133" stopIfTrue="1">
      <formula>IF(T458="-",FALSE,IF(T458&gt;$AO$2,TRUE,FALSE))</formula>
    </cfRule>
  </conditionalFormatting>
  <conditionalFormatting sqref="T458:AE458">
    <cfRule type="expression" dxfId="627" priority="132" stopIfTrue="1">
      <formula>IF(T458="-",FALSE,IF(T458&gt;$AO$2,IF(S458&gt;$AO$2,FALSE,TRUE),FALSE))</formula>
    </cfRule>
  </conditionalFormatting>
  <conditionalFormatting sqref="T466">
    <cfRule type="expression" dxfId="626" priority="131" stopIfTrue="1">
      <formula>IF(T466="-",FALSE,IF(T466&gt;$AO$2,TRUE,FALSE))</formula>
    </cfRule>
  </conditionalFormatting>
  <conditionalFormatting sqref="T466:AE466">
    <cfRule type="expression" dxfId="625" priority="130" stopIfTrue="1">
      <formula>IF(T466="-",FALSE,IF(T466&gt;$AO$2,IF(S466&gt;$AO$2,FALSE,TRUE),FALSE))</formula>
    </cfRule>
  </conditionalFormatting>
  <conditionalFormatting sqref="T555">
    <cfRule type="expression" dxfId="624" priority="129" stopIfTrue="1">
      <formula>IF(T555="-",FALSE,IF(T555&gt;$AO$2,TRUE,FALSE))</formula>
    </cfRule>
  </conditionalFormatting>
  <conditionalFormatting sqref="T555:AE555">
    <cfRule type="expression" dxfId="623" priority="128" stopIfTrue="1">
      <formula>IF(T555="-",FALSE,IF(T555&gt;$AO$2,IF(S555&gt;$AO$2,FALSE,TRUE),FALSE))</formula>
    </cfRule>
  </conditionalFormatting>
  <conditionalFormatting sqref="T428">
    <cfRule type="expression" dxfId="622" priority="127" stopIfTrue="1">
      <formula>IF(T428="-",FALSE,IF(T428&gt;$AO$2,TRUE,FALSE))</formula>
    </cfRule>
  </conditionalFormatting>
  <conditionalFormatting sqref="T428:AE428">
    <cfRule type="expression" dxfId="621" priority="126" stopIfTrue="1">
      <formula>IF(T428="-",FALSE,IF(T428&gt;$AO$2,IF(S428&gt;$AO$2,FALSE,TRUE),FALSE))</formula>
    </cfRule>
  </conditionalFormatting>
  <conditionalFormatting sqref="T451">
    <cfRule type="expression" dxfId="620" priority="125" stopIfTrue="1">
      <formula>IF(T451="-",FALSE,IF(T451&gt;$AO$2,TRUE,FALSE))</formula>
    </cfRule>
  </conditionalFormatting>
  <conditionalFormatting sqref="T451:AE451">
    <cfRule type="expression" dxfId="619" priority="124" stopIfTrue="1">
      <formula>IF(T451="-",FALSE,IF(T451&gt;$AO$2,IF(S451&gt;$AO$2,FALSE,TRUE),FALSE))</formula>
    </cfRule>
  </conditionalFormatting>
  <conditionalFormatting sqref="T460">
    <cfRule type="expression" dxfId="618" priority="123" stopIfTrue="1">
      <formula>IF(T460="-",FALSE,IF(T460&gt;$AO$2,TRUE,FALSE))</formula>
    </cfRule>
  </conditionalFormatting>
  <conditionalFormatting sqref="T460:AE460">
    <cfRule type="expression" dxfId="617" priority="122" stopIfTrue="1">
      <formula>IF(T460="-",FALSE,IF(T460&gt;$AO$2,IF(S460&gt;$AO$2,FALSE,TRUE),FALSE))</formula>
    </cfRule>
  </conditionalFormatting>
  <conditionalFormatting sqref="T464">
    <cfRule type="expression" dxfId="616" priority="121" stopIfTrue="1">
      <formula>IF(T464="-",FALSE,IF(T464&gt;$AO$2,TRUE,FALSE))</formula>
    </cfRule>
  </conditionalFormatting>
  <conditionalFormatting sqref="T464:AE464">
    <cfRule type="expression" dxfId="615" priority="120" stopIfTrue="1">
      <formula>IF(T464="-",FALSE,IF(T464&gt;$AO$2,IF(S464&gt;$AO$2,FALSE,TRUE),FALSE))</formula>
    </cfRule>
  </conditionalFormatting>
  <conditionalFormatting sqref="T448">
    <cfRule type="expression" dxfId="614" priority="119" stopIfTrue="1">
      <formula>IF(T448="-",FALSE,IF(T448&gt;$AO$2,TRUE,FALSE))</formula>
    </cfRule>
  </conditionalFormatting>
  <conditionalFormatting sqref="T448:AE448">
    <cfRule type="expression" dxfId="613" priority="118" stopIfTrue="1">
      <formula>IF(T448="-",FALSE,IF(T448&gt;$AO$2,IF(S448&gt;$AO$2,FALSE,TRUE),FALSE))</formula>
    </cfRule>
  </conditionalFormatting>
  <conditionalFormatting sqref="T459">
    <cfRule type="expression" dxfId="612" priority="117" stopIfTrue="1">
      <formula>IF(T459="-",FALSE,IF(T459&gt;$AO$2,TRUE,FALSE))</formula>
    </cfRule>
  </conditionalFormatting>
  <conditionalFormatting sqref="T459:AE459">
    <cfRule type="expression" dxfId="611" priority="116" stopIfTrue="1">
      <formula>IF(T459="-",FALSE,IF(T459&gt;$AO$2,IF(S459&gt;$AO$2,FALSE,TRUE),FALSE))</formula>
    </cfRule>
  </conditionalFormatting>
  <conditionalFormatting sqref="T439">
    <cfRule type="expression" dxfId="610" priority="111" stopIfTrue="1">
      <formula>IF(T439="-",FALSE,IF(T439&gt;$AO$2,TRUE,FALSE))</formula>
    </cfRule>
  </conditionalFormatting>
  <conditionalFormatting sqref="T439:AE439">
    <cfRule type="expression" dxfId="609" priority="110" stopIfTrue="1">
      <formula>IF(T439="-",FALSE,IF(T439&gt;$AO$2,IF(S439&gt;$AO$2,FALSE,TRUE),FALSE))</formula>
    </cfRule>
  </conditionalFormatting>
  <conditionalFormatting sqref="T467">
    <cfRule type="expression" dxfId="608" priority="109" stopIfTrue="1">
      <formula>IF(T467="-",FALSE,IF(T467&gt;$AO$2,TRUE,FALSE))</formula>
    </cfRule>
  </conditionalFormatting>
  <conditionalFormatting sqref="T467:AE467">
    <cfRule type="expression" dxfId="607" priority="108" stopIfTrue="1">
      <formula>IF(T467="-",FALSE,IF(T467&gt;$AO$2,IF(S467&gt;$AO$2,FALSE,TRUE),FALSE))</formula>
    </cfRule>
  </conditionalFormatting>
  <conditionalFormatting sqref="T445">
    <cfRule type="expression" dxfId="606" priority="107" stopIfTrue="1">
      <formula>IF(T445="-",FALSE,IF(T445&gt;$AO$2,TRUE,FALSE))</formula>
    </cfRule>
  </conditionalFormatting>
  <conditionalFormatting sqref="T445:AE445">
    <cfRule type="expression" dxfId="605" priority="106" stopIfTrue="1">
      <formula>IF(T445="-",FALSE,IF(T445&gt;$AO$2,IF(S445&gt;$AO$2,FALSE,TRUE),FALSE))</formula>
    </cfRule>
  </conditionalFormatting>
  <conditionalFormatting sqref="T463">
    <cfRule type="expression" dxfId="604" priority="105" stopIfTrue="1">
      <formula>IF(T463="-",FALSE,IF(T463&gt;$AO$2,TRUE,FALSE))</formula>
    </cfRule>
  </conditionalFormatting>
  <conditionalFormatting sqref="T463:AE463">
    <cfRule type="expression" dxfId="603" priority="104" stopIfTrue="1">
      <formula>IF(T463="-",FALSE,IF(T463&gt;$AO$2,IF(S463&gt;$AO$2,FALSE,TRUE),FALSE))</formula>
    </cfRule>
  </conditionalFormatting>
  <conditionalFormatting sqref="T524">
    <cfRule type="expression" dxfId="602" priority="103" stopIfTrue="1">
      <formula>IF(T524="-",FALSE,IF(T524&gt;$AO$2,TRUE,FALSE))</formula>
    </cfRule>
  </conditionalFormatting>
  <conditionalFormatting sqref="T524:AE524">
    <cfRule type="expression" dxfId="601" priority="102" stopIfTrue="1">
      <formula>IF(T524="-",FALSE,IF(T524&gt;$AO$2,IF(S524&gt;$AO$2,FALSE,TRUE),FALSE))</formula>
    </cfRule>
  </conditionalFormatting>
  <conditionalFormatting sqref="T468">
    <cfRule type="expression" dxfId="600" priority="101" stopIfTrue="1">
      <formula>IF(T468="-",FALSE,IF(T468&gt;$AO$2,TRUE,FALSE))</formula>
    </cfRule>
  </conditionalFormatting>
  <conditionalFormatting sqref="T468:AE468">
    <cfRule type="expression" dxfId="599" priority="100" stopIfTrue="1">
      <formula>IF(T468="-",FALSE,IF(T468&gt;$AO$2,IF(S468&gt;$AO$2,FALSE,TRUE),FALSE))</formula>
    </cfRule>
  </conditionalFormatting>
  <conditionalFormatting sqref="T471">
    <cfRule type="expression" dxfId="598" priority="99" stopIfTrue="1">
      <formula>IF(T471="-",FALSE,IF(T471&gt;$AO$2,TRUE,FALSE))</formula>
    </cfRule>
  </conditionalFormatting>
  <conditionalFormatting sqref="T471:AE471">
    <cfRule type="expression" dxfId="597" priority="98" stopIfTrue="1">
      <formula>IF(T471="-",FALSE,IF(T471&gt;$AO$2,IF(S471&gt;$AO$2,FALSE,TRUE),FALSE))</formula>
    </cfRule>
  </conditionalFormatting>
  <conditionalFormatting sqref="T565:T570">
    <cfRule type="expression" dxfId="596" priority="95" stopIfTrue="1">
      <formula>IF(T565="-",FALSE,IF(T565&gt;$AO$2,TRUE,FALSE))</formula>
    </cfRule>
  </conditionalFormatting>
  <conditionalFormatting sqref="T565:AE570">
    <cfRule type="expression" dxfId="595" priority="94" stopIfTrue="1">
      <formula>IF(T565="-",FALSE,IF(T565&gt;$AO$2,IF(S565&gt;$AO$2,FALSE,TRUE),FALSE))</formula>
    </cfRule>
  </conditionalFormatting>
  <conditionalFormatting sqref="T453">
    <cfRule type="expression" dxfId="594" priority="93" stopIfTrue="1">
      <formula>IF(T453="-",FALSE,IF(T453&gt;$AO$2,TRUE,FALSE))</formula>
    </cfRule>
  </conditionalFormatting>
  <conditionalFormatting sqref="T453:AE453">
    <cfRule type="expression" dxfId="593" priority="92" stopIfTrue="1">
      <formula>IF(T453="-",FALSE,IF(T453&gt;$AO$2,IF(S453&gt;$AO$2,FALSE,TRUE),FALSE))</formula>
    </cfRule>
  </conditionalFormatting>
  <conditionalFormatting sqref="T470">
    <cfRule type="expression" dxfId="592" priority="91" stopIfTrue="1">
      <formula>IF(T470="-",FALSE,IF(T470&gt;$AO$2,TRUE,FALSE))</formula>
    </cfRule>
  </conditionalFormatting>
  <conditionalFormatting sqref="T470:AE470">
    <cfRule type="expression" dxfId="591" priority="90" stopIfTrue="1">
      <formula>IF(T470="-",FALSE,IF(T470&gt;$AO$2,IF(S470&gt;$AO$2,FALSE,TRUE),FALSE))</formula>
    </cfRule>
  </conditionalFormatting>
  <conditionalFormatting sqref="T472:T473">
    <cfRule type="expression" dxfId="590" priority="89" stopIfTrue="1">
      <formula>IF(T472="-",FALSE,IF(T472&gt;$AO$2,TRUE,FALSE))</formula>
    </cfRule>
  </conditionalFormatting>
  <conditionalFormatting sqref="T472:AE473">
    <cfRule type="expression" dxfId="589" priority="88" stopIfTrue="1">
      <formula>IF(T472="-",FALSE,IF(T472&gt;$AO$2,IF(S472&gt;$AO$2,FALSE,TRUE),FALSE))</formula>
    </cfRule>
  </conditionalFormatting>
  <conditionalFormatting sqref="T475">
    <cfRule type="expression" dxfId="588" priority="87" stopIfTrue="1">
      <formula>IF(T475="-",FALSE,IF(T475&gt;$AO$2,TRUE,FALSE))</formula>
    </cfRule>
  </conditionalFormatting>
  <conditionalFormatting sqref="T475:AE475">
    <cfRule type="expression" dxfId="587" priority="86" stopIfTrue="1">
      <formula>IF(T475="-",FALSE,IF(T475&gt;$AO$2,IF(S475&gt;$AO$2,FALSE,TRUE),FALSE))</formula>
    </cfRule>
  </conditionalFormatting>
  <conditionalFormatting sqref="T477">
    <cfRule type="expression" dxfId="586" priority="83" stopIfTrue="1">
      <formula>IF(T477="-",FALSE,IF(T477&gt;$AO$2,TRUE,FALSE))</formula>
    </cfRule>
  </conditionalFormatting>
  <conditionalFormatting sqref="T477:AE477">
    <cfRule type="expression" dxfId="585" priority="82" stopIfTrue="1">
      <formula>IF(T477="-",FALSE,IF(T477&gt;$AO$2,IF(S477&gt;$AO$2,FALSE,TRUE),FALSE))</formula>
    </cfRule>
  </conditionalFormatting>
  <conditionalFormatting sqref="T486">
    <cfRule type="expression" dxfId="584" priority="81" stopIfTrue="1">
      <formula>IF(T486="-",FALSE,IF(T486&gt;$AO$2,TRUE,FALSE))</formula>
    </cfRule>
  </conditionalFormatting>
  <conditionalFormatting sqref="T486:AE486">
    <cfRule type="expression" dxfId="583" priority="80" stopIfTrue="1">
      <formula>IF(T486="-",FALSE,IF(T486&gt;$AO$2,IF(S486&gt;$AO$2,FALSE,TRUE),FALSE))</formula>
    </cfRule>
  </conditionalFormatting>
  <conditionalFormatting sqref="T461">
    <cfRule type="expression" dxfId="582" priority="79" stopIfTrue="1">
      <formula>IF(T461="-",FALSE,IF(T461&gt;$AO$2,TRUE,FALSE))</formula>
    </cfRule>
  </conditionalFormatting>
  <conditionalFormatting sqref="T461:AE461">
    <cfRule type="expression" dxfId="581" priority="78" stopIfTrue="1">
      <formula>IF(T461="-",FALSE,IF(T461&gt;$AO$2,IF(S461&gt;$AO$2,FALSE,TRUE),FALSE))</formula>
    </cfRule>
  </conditionalFormatting>
  <conditionalFormatting sqref="T495">
    <cfRule type="expression" dxfId="580" priority="77" stopIfTrue="1">
      <formula>IF(T495="-",FALSE,IF(T495&gt;$AO$2,TRUE,FALSE))</formula>
    </cfRule>
  </conditionalFormatting>
  <conditionalFormatting sqref="T495:AE495">
    <cfRule type="expression" dxfId="579" priority="76" stopIfTrue="1">
      <formula>IF(T495="-",FALSE,IF(T495&gt;$AO$2,IF(S495&gt;$AO$2,FALSE,TRUE),FALSE))</formula>
    </cfRule>
  </conditionalFormatting>
  <conditionalFormatting sqref="T536">
    <cfRule type="expression" dxfId="578" priority="75" stopIfTrue="1">
      <formula>IF(T536="-",FALSE,IF(T536&gt;$AO$2,TRUE,FALSE))</formula>
    </cfRule>
  </conditionalFormatting>
  <conditionalFormatting sqref="T536:AE536">
    <cfRule type="expression" dxfId="577" priority="74" stopIfTrue="1">
      <formula>IF(T536="-",FALSE,IF(T536&gt;$AO$2,IF(S536&gt;$AO$2,FALSE,TRUE),FALSE))</formula>
    </cfRule>
  </conditionalFormatting>
  <conditionalFormatting sqref="T434">
    <cfRule type="expression" dxfId="576" priority="73" stopIfTrue="1">
      <formula>IF(T434="-",FALSE,IF(T434&gt;$AO$2,TRUE,FALSE))</formula>
    </cfRule>
  </conditionalFormatting>
  <conditionalFormatting sqref="T434:AE434">
    <cfRule type="expression" dxfId="575" priority="72" stopIfTrue="1">
      <formula>IF(T434="-",FALSE,IF(T434&gt;$AO$2,IF(S434&gt;$AO$2,FALSE,TRUE),FALSE))</formula>
    </cfRule>
  </conditionalFormatting>
  <conditionalFormatting sqref="T480:T481">
    <cfRule type="expression" dxfId="574" priority="71" stopIfTrue="1">
      <formula>IF(T480="-",FALSE,IF(T480&gt;$AO$2,TRUE,FALSE))</formula>
    </cfRule>
  </conditionalFormatting>
  <conditionalFormatting sqref="T480:AE481">
    <cfRule type="expression" dxfId="573" priority="70" stopIfTrue="1">
      <formula>IF(T480="-",FALSE,IF(T480&gt;$AO$2,IF(S480&gt;$AO$2,FALSE,TRUE),FALSE))</formula>
    </cfRule>
  </conditionalFormatting>
  <conditionalFormatting sqref="T540">
    <cfRule type="expression" dxfId="572" priority="67" stopIfTrue="1">
      <formula>IF(T540="-",FALSE,IF(T540&gt;$AO$2,TRUE,FALSE))</formula>
    </cfRule>
  </conditionalFormatting>
  <conditionalFormatting sqref="T540:AE540">
    <cfRule type="expression" dxfId="571" priority="66" stopIfTrue="1">
      <formula>IF(T540="-",FALSE,IF(T540&gt;$AO$2,IF(S540&gt;$AO$2,FALSE,TRUE),FALSE))</formula>
    </cfRule>
  </conditionalFormatting>
  <conditionalFormatting sqref="T484">
    <cfRule type="expression" dxfId="570" priority="65" stopIfTrue="1">
      <formula>IF(T484="-",FALSE,IF(T484&gt;$AO$2,TRUE,FALSE))</formula>
    </cfRule>
  </conditionalFormatting>
  <conditionalFormatting sqref="T484:AE484">
    <cfRule type="expression" dxfId="569" priority="64" stopIfTrue="1">
      <formula>IF(T484="-",FALSE,IF(T484&gt;$AO$2,IF(S484&gt;$AO$2,FALSE,TRUE),FALSE))</formula>
    </cfRule>
  </conditionalFormatting>
  <conditionalFormatting sqref="T483">
    <cfRule type="expression" dxfId="568" priority="63" stopIfTrue="1">
      <formula>IF(T483="-",FALSE,IF(T483&gt;$AO$2,TRUE,FALSE))</formula>
    </cfRule>
  </conditionalFormatting>
  <conditionalFormatting sqref="T483:AE483">
    <cfRule type="expression" dxfId="567" priority="62" stopIfTrue="1">
      <formula>IF(T483="-",FALSE,IF(T483&gt;$AO$2,IF(S483&gt;$AO$2,FALSE,TRUE),FALSE))</formula>
    </cfRule>
  </conditionalFormatting>
  <conditionalFormatting sqref="T502">
    <cfRule type="expression" dxfId="566" priority="61" stopIfTrue="1">
      <formula>IF(T502="-",FALSE,IF(T502&gt;$AO$2,TRUE,FALSE))</formula>
    </cfRule>
  </conditionalFormatting>
  <conditionalFormatting sqref="T502:AE502">
    <cfRule type="expression" dxfId="565" priority="60" stopIfTrue="1">
      <formula>IF(T502="-",FALSE,IF(T502&gt;$AO$2,IF(S502&gt;$AO$2,FALSE,TRUE),FALSE))</formula>
    </cfRule>
  </conditionalFormatting>
  <conditionalFormatting sqref="T485">
    <cfRule type="expression" dxfId="564" priority="59" stopIfTrue="1">
      <formula>IF(T485="-",FALSE,IF(T485&gt;$AO$2,TRUE,FALSE))</formula>
    </cfRule>
  </conditionalFormatting>
  <conditionalFormatting sqref="T485:AE485">
    <cfRule type="expression" dxfId="563" priority="58" stopIfTrue="1">
      <formula>IF(T485="-",FALSE,IF(T485&gt;$AO$2,IF(S485&gt;$AO$2,FALSE,TRUE),FALSE))</formula>
    </cfRule>
  </conditionalFormatting>
  <conditionalFormatting sqref="T487">
    <cfRule type="expression" dxfId="562" priority="57" stopIfTrue="1">
      <formula>IF(T487="-",FALSE,IF(T487&gt;$AO$2,TRUE,FALSE))</formula>
    </cfRule>
  </conditionalFormatting>
  <conditionalFormatting sqref="T487:AE487">
    <cfRule type="expression" dxfId="561" priority="56" stopIfTrue="1">
      <formula>IF(T487="-",FALSE,IF(T487&gt;$AO$2,IF(S487&gt;$AO$2,FALSE,TRUE),FALSE))</formula>
    </cfRule>
  </conditionalFormatting>
  <conditionalFormatting sqref="T571">
    <cfRule type="expression" dxfId="560" priority="53" stopIfTrue="1">
      <formula>IF(T571="-",FALSE,IF(T571&gt;$AO$2,TRUE,FALSE))</formula>
    </cfRule>
  </conditionalFormatting>
  <conditionalFormatting sqref="T571:AE571">
    <cfRule type="expression" dxfId="559" priority="52" stopIfTrue="1">
      <formula>IF(T571="-",FALSE,IF(T571&gt;$AO$2,IF(S571&gt;$AO$2,FALSE,TRUE),FALSE))</formula>
    </cfRule>
  </conditionalFormatting>
  <conditionalFormatting sqref="T490">
    <cfRule type="expression" dxfId="558" priority="51" stopIfTrue="1">
      <formula>IF(T490="-",FALSE,IF(T490&gt;$AO$2,TRUE,FALSE))</formula>
    </cfRule>
  </conditionalFormatting>
  <conditionalFormatting sqref="T490:AE490">
    <cfRule type="expression" dxfId="557" priority="50" stopIfTrue="1">
      <formula>IF(T490="-",FALSE,IF(T490&gt;$AO$2,IF(S490&gt;$AO$2,FALSE,TRUE),FALSE))</formula>
    </cfRule>
  </conditionalFormatting>
  <conditionalFormatting sqref="T547">
    <cfRule type="expression" dxfId="556" priority="49" stopIfTrue="1">
      <formula>IF(T547="-",FALSE,IF(T547&gt;$AO$2,TRUE,FALSE))</formula>
    </cfRule>
  </conditionalFormatting>
  <conditionalFormatting sqref="T547:AE547">
    <cfRule type="expression" dxfId="555" priority="48" stopIfTrue="1">
      <formula>IF(T547="-",FALSE,IF(T547&gt;$AO$2,IF(S547&gt;$AO$2,FALSE,TRUE),FALSE))</formula>
    </cfRule>
  </conditionalFormatting>
  <conditionalFormatting sqref="T583">
    <cfRule type="expression" dxfId="554" priority="45" stopIfTrue="1">
      <formula>IF(T583="-",FALSE,IF(T583&gt;$AO$2,TRUE,FALSE))</formula>
    </cfRule>
  </conditionalFormatting>
  <conditionalFormatting sqref="T583:AE583">
    <cfRule type="expression" dxfId="553" priority="44" stopIfTrue="1">
      <formula>IF(T583="-",FALSE,IF(T583&gt;$AO$2,IF(S583&gt;$AO$2,FALSE,TRUE),FALSE))</formula>
    </cfRule>
  </conditionalFormatting>
  <conditionalFormatting sqref="T491">
    <cfRule type="expression" dxfId="552" priority="43" stopIfTrue="1">
      <formula>IF(T491="-",FALSE,IF(T491&gt;$AO$2,TRUE,FALSE))</formula>
    </cfRule>
  </conditionalFormatting>
  <conditionalFormatting sqref="T491:AE491">
    <cfRule type="expression" dxfId="551" priority="42" stopIfTrue="1">
      <formula>IF(T491="-",FALSE,IF(T491&gt;$AO$2,IF(S491&gt;$AO$2,FALSE,TRUE),FALSE))</formula>
    </cfRule>
  </conditionalFormatting>
  <conditionalFormatting sqref="T493">
    <cfRule type="expression" dxfId="550" priority="41" stopIfTrue="1">
      <formula>IF(T493="-",FALSE,IF(T493&gt;$AO$2,TRUE,FALSE))</formula>
    </cfRule>
  </conditionalFormatting>
  <conditionalFormatting sqref="T493:AE493">
    <cfRule type="expression" dxfId="549" priority="40" stopIfTrue="1">
      <formula>IF(T493="-",FALSE,IF(T493&gt;$AO$2,IF(S493&gt;$AO$2,FALSE,TRUE),FALSE))</formula>
    </cfRule>
  </conditionalFormatting>
  <conditionalFormatting sqref="T551">
    <cfRule type="expression" dxfId="548" priority="39" stopIfTrue="1">
      <formula>IF(T551="-",FALSE,IF(T551&gt;$AO$2,TRUE,FALSE))</formula>
    </cfRule>
  </conditionalFormatting>
  <conditionalFormatting sqref="T551:AE551">
    <cfRule type="expression" dxfId="547" priority="38" stopIfTrue="1">
      <formula>IF(T551="-",FALSE,IF(T551&gt;$AO$2,IF(S551&gt;$AO$2,FALSE,TRUE),FALSE))</formula>
    </cfRule>
  </conditionalFormatting>
  <conditionalFormatting sqref="T494">
    <cfRule type="expression" dxfId="546" priority="37" stopIfTrue="1">
      <formula>IF(T494="-",FALSE,IF(T494&gt;$AO$2,TRUE,FALSE))</formula>
    </cfRule>
  </conditionalFormatting>
  <conditionalFormatting sqref="T494:AE494">
    <cfRule type="expression" dxfId="545" priority="36" stopIfTrue="1">
      <formula>IF(T494="-",FALSE,IF(T494&gt;$AO$2,IF(S494&gt;$AO$2,FALSE,TRUE),FALSE))</formula>
    </cfRule>
  </conditionalFormatting>
  <conditionalFormatting sqref="T496">
    <cfRule type="expression" dxfId="544" priority="35" stopIfTrue="1">
      <formula>IF(T496="-",FALSE,IF(T496&gt;$AO$2,TRUE,FALSE))</formula>
    </cfRule>
  </conditionalFormatting>
  <conditionalFormatting sqref="T496:AE496">
    <cfRule type="expression" dxfId="543" priority="34" stopIfTrue="1">
      <formula>IF(T496="-",FALSE,IF(T496&gt;$AO$2,IF(S496&gt;$AO$2,FALSE,TRUE),FALSE))</formula>
    </cfRule>
  </conditionalFormatting>
  <conditionalFormatting sqref="T572:T575">
    <cfRule type="expression" dxfId="542" priority="31" stopIfTrue="1">
      <formula>IF(T572="-",FALSE,IF(T572&gt;$AO$2,TRUE,FALSE))</formula>
    </cfRule>
  </conditionalFormatting>
  <conditionalFormatting sqref="T572:AE575">
    <cfRule type="expression" dxfId="541" priority="30" stopIfTrue="1">
      <formula>IF(T572="-",FALSE,IF(T572&gt;$AO$2,IF(S572&gt;$AO$2,FALSE,TRUE),FALSE))</formula>
    </cfRule>
  </conditionalFormatting>
  <conditionalFormatting sqref="T576:T578">
    <cfRule type="expression" dxfId="540" priority="29" stopIfTrue="1">
      <formula>IF(T576="-",FALSE,IF(T576&gt;$AO$2,TRUE,FALSE))</formula>
    </cfRule>
  </conditionalFormatting>
  <conditionalFormatting sqref="T576:AE578">
    <cfRule type="expression" dxfId="539" priority="28" stopIfTrue="1">
      <formula>IF(T576="-",FALSE,IF(T576&gt;$AO$2,IF(S576&gt;$AO$2,FALSE,TRUE),FALSE))</formula>
    </cfRule>
  </conditionalFormatting>
  <conditionalFormatting sqref="T497">
    <cfRule type="expression" dxfId="538" priority="27" stopIfTrue="1">
      <formula>IF(T497="-",FALSE,IF(T497&gt;$AO$2,TRUE,FALSE))</formula>
    </cfRule>
  </conditionalFormatting>
  <conditionalFormatting sqref="T497:AE497">
    <cfRule type="expression" dxfId="537" priority="26" stopIfTrue="1">
      <formula>IF(T497="-",FALSE,IF(T497&gt;$AO$2,IF(S497&gt;$AO$2,FALSE,TRUE),FALSE))</formula>
    </cfRule>
  </conditionalFormatting>
  <conditionalFormatting sqref="T498:T499">
    <cfRule type="expression" dxfId="536" priority="25" stopIfTrue="1">
      <formula>IF(T498="-",FALSE,IF(T498&gt;$AO$2,TRUE,FALSE))</formula>
    </cfRule>
  </conditionalFormatting>
  <conditionalFormatting sqref="T498:AE498">
    <cfRule type="expression" dxfId="535" priority="24" stopIfTrue="1">
      <formula>IF(T498="-",FALSE,IF(T498&gt;$AO$2,IF(S498&gt;$AO$2,FALSE,TRUE),FALSE))</formula>
    </cfRule>
  </conditionalFormatting>
  <conditionalFormatting sqref="T500:T501">
    <cfRule type="expression" dxfId="534" priority="23" stopIfTrue="1">
      <formula>IF(T500="-",FALSE,IF(T500&gt;$AO$2,TRUE,FALSE))</formula>
    </cfRule>
  </conditionalFormatting>
  <conditionalFormatting sqref="T501:AE501">
    <cfRule type="expression" dxfId="533" priority="22" stopIfTrue="1">
      <formula>IF(T501="-",FALSE,IF(T501&gt;$AO$2,IF(S501&gt;$AO$2,FALSE,TRUE),FALSE))</formula>
    </cfRule>
  </conditionalFormatting>
  <conditionalFormatting sqref="T499:AE499">
    <cfRule type="expression" dxfId="532" priority="21" stopIfTrue="1">
      <formula>IF(T499="-",FALSE,IF(T499&gt;$AO$2,IF(S499&gt;$AO$2,FALSE,TRUE),FALSE))</formula>
    </cfRule>
  </conditionalFormatting>
  <conditionalFormatting sqref="T500:AE500">
    <cfRule type="expression" dxfId="531" priority="20" stopIfTrue="1">
      <formula>IF(T500="-",FALSE,IF(T500&gt;$AO$2,IF(S500&gt;$AO$2,FALSE,TRUE),FALSE))</formula>
    </cfRule>
  </conditionalFormatting>
  <conditionalFormatting sqref="T505:AE505">
    <cfRule type="expression" dxfId="530" priority="19" stopIfTrue="1">
      <formula>IF(T505="-",FALSE,IF(T505&gt;$AO$2,IF(S505&gt;$AO$2,FALSE,TRUE),FALSE))</formula>
    </cfRule>
  </conditionalFormatting>
  <conditionalFormatting sqref="T507:T508">
    <cfRule type="expression" dxfId="529" priority="18" stopIfTrue="1">
      <formula>IF(T507="-",FALSE,IF(T507&gt;$AO$2,TRUE,FALSE))</formula>
    </cfRule>
  </conditionalFormatting>
  <conditionalFormatting sqref="T508:AE508">
    <cfRule type="expression" dxfId="528" priority="17" stopIfTrue="1">
      <formula>IF(T508="-",FALSE,IF(T508&gt;$AO$2,IF(S508&gt;$AO$2,FALSE,TRUE),FALSE))</formula>
    </cfRule>
  </conditionalFormatting>
  <conditionalFormatting sqref="T509:T510">
    <cfRule type="expression" dxfId="527" priority="16" stopIfTrue="1">
      <formula>IF(T509="-",FALSE,IF(T509&gt;$AO$2,TRUE,FALSE))</formula>
    </cfRule>
  </conditionalFormatting>
  <conditionalFormatting sqref="T510:AE510">
    <cfRule type="expression" dxfId="526" priority="15" stopIfTrue="1">
      <formula>IF(T510="-",FALSE,IF(T510&gt;$AO$2,IF(S510&gt;$AO$2,FALSE,TRUE),FALSE))</formula>
    </cfRule>
  </conditionalFormatting>
  <conditionalFormatting sqref="T558">
    <cfRule type="expression" dxfId="525" priority="14" stopIfTrue="1">
      <formula>IF(T558="-",FALSE,IF(T558&gt;$AO$2,TRUE,FALSE))</formula>
    </cfRule>
  </conditionalFormatting>
  <conditionalFormatting sqref="T558:AE558">
    <cfRule type="expression" dxfId="524" priority="13" stopIfTrue="1">
      <formula>IF(T558="-",FALSE,IF(T558&gt;$AO$2,IF(S558&gt;$AO$2,FALSE,TRUE),FALSE))</formula>
    </cfRule>
  </conditionalFormatting>
  <conditionalFormatting sqref="T517">
    <cfRule type="expression" dxfId="523" priority="12" stopIfTrue="1">
      <formula>IF(T517="-",FALSE,IF(T517&gt;$AO$2,TRUE,FALSE))</formula>
    </cfRule>
  </conditionalFormatting>
  <conditionalFormatting sqref="T517:AE517">
    <cfRule type="expression" dxfId="522" priority="11" stopIfTrue="1">
      <formula>IF(T517="-",FALSE,IF(T517&gt;$AO$2,IF(S517&gt;$AO$2,FALSE,TRUE),FALSE))</formula>
    </cfRule>
  </conditionalFormatting>
  <conditionalFormatting sqref="T507:AE507">
    <cfRule type="expression" dxfId="521" priority="10" stopIfTrue="1">
      <formula>IF(T507="-",FALSE,IF(T507&gt;$AO$2,IF(S507&gt;$AO$2,FALSE,TRUE),FALSE))</formula>
    </cfRule>
  </conditionalFormatting>
  <conditionalFormatting sqref="T509:AE509">
    <cfRule type="expression" dxfId="520" priority="9" stopIfTrue="1">
      <formula>IF(T509="-",FALSE,IF(T509&gt;$AO$2,IF(S509&gt;$AO$2,FALSE,TRUE),FALSE))</formula>
    </cfRule>
  </conditionalFormatting>
  <conditionalFormatting sqref="T579:T582">
    <cfRule type="expression" dxfId="519" priority="8" stopIfTrue="1">
      <formula>IF(T579="-",FALSE,IF(T579&gt;$AO$2,TRUE,FALSE))</formula>
    </cfRule>
  </conditionalFormatting>
  <conditionalFormatting sqref="T579:AE582">
    <cfRule type="expression" dxfId="518" priority="7" stopIfTrue="1">
      <formula>IF(T579="-",FALSE,IF(T579&gt;$AO$2,IF(S579&gt;$AO$2,FALSE,TRUE),FALSE))</formula>
    </cfRule>
  </conditionalFormatting>
  <conditionalFormatting sqref="T560">
    <cfRule type="expression" dxfId="517" priority="6" stopIfTrue="1">
      <formula>IF(T560="-",FALSE,IF(T560&gt;$AO$2,TRUE,FALSE))</formula>
    </cfRule>
  </conditionalFormatting>
  <conditionalFormatting sqref="T560:AE560">
    <cfRule type="expression" dxfId="516" priority="5" stopIfTrue="1">
      <formula>IF(T560="-",FALSE,IF(T560&gt;$AO$2,IF(S560&gt;$AO$2,FALSE,TRUE),FALSE))</formula>
    </cfRule>
  </conditionalFormatting>
  <conditionalFormatting sqref="T511">
    <cfRule type="expression" dxfId="515" priority="4" stopIfTrue="1">
      <formula>IF(T511="-",FALSE,IF(T511&gt;$AO$2,TRUE,FALSE))</formula>
    </cfRule>
  </conditionalFormatting>
  <conditionalFormatting sqref="T511:AE511">
    <cfRule type="expression" dxfId="514" priority="3" stopIfTrue="1">
      <formula>IF(T511="-",FALSE,IF(T511&gt;$AO$2,IF(S511&gt;$AO$2,FALSE,TRUE),FALSE))</formula>
    </cfRule>
  </conditionalFormatting>
  <conditionalFormatting sqref="T512">
    <cfRule type="expression" dxfId="513" priority="2" stopIfTrue="1">
      <formula>IF(T512="-",FALSE,IF(T512&gt;$AO$2,TRUE,FALSE))</formula>
    </cfRule>
  </conditionalFormatting>
  <conditionalFormatting sqref="T512:AE512">
    <cfRule type="expression" dxfId="512" priority="1" stopIfTrue="1">
      <formula>IF(T512="-",FALSE,IF(T512&gt;$AO$2,IF(S512&gt;$AO$2,FALSE,TRUE),FALSE))</formula>
    </cfRule>
  </conditionalFormatting>
  <hyperlinks>
    <hyperlink ref="H1" location="'klikací hodnoty'!F53" display="KBC CLICK ČSOB SVĚTOVÉ AKCIE 2" xr:uid="{00000000-0004-0000-0100-000000000000}"/>
    <hyperlink ref="H2" location="'klikací hodnoty'!F59" display="KBC EQUISAFE ČSOB SVĚTOVÉ INVESTICE 1" xr:uid="{00000000-0004-0000-0100-000001000000}"/>
    <hyperlink ref="AT1" location="'klikací hodnoty'!F53" display="KBC CLICK ČSOB SVĚTOVÉ AKCIE 2" xr:uid="{00000000-0004-0000-0100-000002000000}"/>
    <hyperlink ref="AM3" location="'klikací hodnoty'!F12" display="KBC CLICK ČSOB SVĚTOVÉ AKCIE 1" xr:uid="{00000000-0004-0000-0100-000003000000}"/>
    <hyperlink ref="AM4" location="'klikací hodnoty'!F23" display="KBC CLICK ČSOB EVROPSKÉ AKCIE 1" xr:uid="{00000000-0004-0000-0100-000004000000}"/>
    <hyperlink ref="AM5" location="'klikací hodnoty'!F29" display="KBC CLICK ČSOB EVROPSKÉ AKCIE 2" xr:uid="{00000000-0004-0000-0100-000005000000}"/>
    <hyperlink ref="AM6" location="'klikací hodnoty'!F35" display="KBC EQUISAFE ČSOB SVĚTOVÉ INVESTICE 2" xr:uid="{00000000-0004-0000-0100-000006000000}"/>
    <hyperlink ref="AM7" location="'klikací hodnoty'!F53" display="KBC CLICK ČSOB SVĚTOVÉ AKCIE 2" xr:uid="{00000000-0004-0000-0100-000007000000}"/>
    <hyperlink ref="AM8" location="'klikací hodnoty'!F59" display="KBC EQUISAFE ČSOB SVĚTOVÉ INVESTICE 1" xr:uid="{00000000-0004-0000-0100-000008000000}"/>
    <hyperlink ref="AM9" location="'klikací hodnoty'!F70" display="KBC CLICK ČSOB SVĚTOVÉ AKCIE 5" xr:uid="{00000000-0004-0000-0100-000009000000}"/>
    <hyperlink ref="AM10" location="'klikací hodnoty'!F88" display="KBC CLICK ČSOB SVĚTOVÉ AKCIE 6" xr:uid="{00000000-0004-0000-0100-00000A000000}"/>
    <hyperlink ref="AM11" location="'klikací hodnoty'!F126" display="KBC CLICK ČSOB SVĚTOVÉ AKCIE 7" xr:uid="{00000000-0004-0000-0100-00000B000000}"/>
    <hyperlink ref="AM12" location="'klikací hodnoty'!F137" display="FUND PARTN. ČSOB SVĚTOVÝ CLICK+ 1" xr:uid="{00000000-0004-0000-0100-00000C000000}"/>
    <hyperlink ref="AM13" location="'klikací hodnoty'!F268" display="FUND PARTN. ČSOB SVĚTOVÝ CLICK+ USD 1" xr:uid="{00000000-0004-0000-0100-00000D000000}"/>
    <hyperlink ref="AM14" location="'klikací hodnoty'!F279" display="FUND PARTN. ČSOB SVĚTOVÝ CLICK+ 6" xr:uid="{00000000-0004-0000-0100-00000E000000}"/>
    <hyperlink ref="AM15" location="'klikací hodnoty'!F311" display="FUND PARTN. ČSOB SVĚTOVÝ STROM 1" xr:uid="{00000000-0004-0000-0100-00000F000000}"/>
    <hyperlink ref="AM16" location="'klikací hodnoty'!F322" display="FUND PARTN. ČSOB SVĚTOVÝ CLICK+ 8" xr:uid="{00000000-0004-0000-0100-000010000000}"/>
    <hyperlink ref="AM17" location="'klikací hodnoty'!F359" display="FUND PARTN. ČSOB SVĚTOVÉHO RŮSTU 2" xr:uid="{00000000-0004-0000-0100-000011000000}"/>
    <hyperlink ref="AM18" location="'klikací hodnoty'!F378" display="FUND PARTN. ČSOB SVĚTOVÝ CLICK+ 7" xr:uid="{00000000-0004-0000-0100-000012000000}"/>
    <hyperlink ref="AM19" location="'klikací hodnoty'!F396" display="FUND PARTN. ČSOB SVĚTOVÝ CLICK+ 9" xr:uid="{00000000-0004-0000-0100-000013000000}"/>
    <hyperlink ref="AM20" location="'klikací hodnoty'!F409" display="FUND PARTN. ČSOB SVĚTOVÝ CLICK+ USD 2" xr:uid="{00000000-0004-0000-0100-000014000000}"/>
    <hyperlink ref="AM21" location="'klikací hodnoty'!F422" display="FUND PARTN. ČSOB SVĚTOVÝ CLICK+ EUR 1" xr:uid="{00000000-0004-0000-0100-000015000000}"/>
    <hyperlink ref="AM22" location="'klikací hodnoty'!F445" display="FUND PARTN. ČSOB SVĚTOVÝ CLICK+ 11" xr:uid="{00000000-0004-0000-0100-000016000000}"/>
    <hyperlink ref="AM23" location="'klikací hodnoty'!F484" display="FUND PARTN. ČSOB REVERZNÍ CLICK 2" xr:uid="{00000000-0004-0000-0100-000017000000}"/>
    <hyperlink ref="AM24" location="'klikací hodnoty'!F497" display="FUND PARTN. ČSOB SVĚTOVÝ CLICK+ 10" xr:uid="{00000000-0004-0000-0100-000018000000}"/>
    <hyperlink ref="AM25" location="'klikací hodnoty'!F510" display="FUND PARTN. ČSOB DIGITÁLNÍ CLICK 1" xr:uid="{00000000-0004-0000-0100-000019000000}"/>
    <hyperlink ref="AM26" location="'klikací hodnoty'!F515" display="FUND PARTN. ČSOB SVĚTOVÉHO RŮSTU+ 1" xr:uid="{00000000-0004-0000-0100-00001A000000}"/>
    <hyperlink ref="AM27" location="'klikací hodnoty'!F533" display="FUND PARTN. ČSOB SVĚTOVÝ CLICK+ 13" xr:uid="{00000000-0004-0000-0100-00001B000000}"/>
    <hyperlink ref="AM28" location="'klikací hodnoty'!F546" display="FUND PARTN. ČSOB SVĚTOVÝ CLICK+ EUR 2" xr:uid="{00000000-0004-0000-0100-00001C000000}"/>
    <hyperlink ref="AM29" location="'klikací hodnoty'!F559" display="FUND PARTN. ČSOB SVĚTOVÝ CLICK+ USD 3" xr:uid="{00000000-0004-0000-0100-00001D000000}"/>
    <hyperlink ref="AM30" location="'klikací hodnoty'!F570" display="FUND PARTN. ČSOB SVĚTOVÝ CLICK+ 12" xr:uid="{00000000-0004-0000-0100-00001E000000}"/>
    <hyperlink ref="AM31" location="'klikací hodnoty'!F585" display="FUND PARTN. ČSOB SVĚTOVÝ CLICK+ 14" xr:uid="{00000000-0004-0000-0100-00001F000000}"/>
    <hyperlink ref="AM32" location="'klikací hodnoty'!F616" display="FUND PARTN. ČSOB SVĚTOVÝ STROM 2" xr:uid="{00000000-0004-0000-0100-000020000000}"/>
    <hyperlink ref="AM33" location="'klikací hodnoty'!F653" display="FUND PARTN. ČSOB SVĚTOVÉHO RŮSTU+ 2" xr:uid="{00000000-0004-0000-0100-000021000000}"/>
    <hyperlink ref="AM34" location="'klikací hodnoty'!F685" display="FUND PARTN. ČSOB SVĚTOVÝ STROM 3" xr:uid="{00000000-0004-0000-0100-000022000000}"/>
    <hyperlink ref="AM35" location="'klikací hodnoty'!F737" display="FUND PARTN. ČSOB SVĚTOVÝ CLICK+ 15" xr:uid="{00000000-0004-0000-0100-000023000000}"/>
    <hyperlink ref="AM36" location="'klikací hodnoty'!F761" display="FUND PARTN. ČSOB SVĚTOVÝ CLICK+ 16" xr:uid="{00000000-0004-0000-0100-000024000000}"/>
    <hyperlink ref="AM37" location="'klikací hodnoty'!F772" display="FUND PARTN. ČSOB CLICK PROGRAM 3" xr:uid="{00000000-0004-0000-0100-000025000000}"/>
    <hyperlink ref="AM38" location="'klikací hodnoty'!F787" display="FUND PARTN. ČSOB CLICK PROGRAM 1" xr:uid="{00000000-0004-0000-0100-000026000000}"/>
    <hyperlink ref="AM39" location="'klikací hodnoty'!F820" display="FUND PARTN. ČSOB SVĚTOVÝ STROM CZK 1" xr:uid="{00000000-0004-0000-0100-000027000000}"/>
    <hyperlink ref="AM40" location="'klikací hodnoty'!F825" display="FUND PARTN. ČSOB EQUITY+ 2" xr:uid="{00000000-0004-0000-0100-000028000000}"/>
    <hyperlink ref="AM41" location="'klikací hodnoty'!F838" display="FUND PARTN. ČSOB SVĚTOVÝ CLICK+ 17" xr:uid="{00000000-0004-0000-0100-000029000000}"/>
    <hyperlink ref="AM42" location="'klikací hodnoty'!F849" display="FUND PARTN. ČSOB SVĚTOVÝ CLICK+ EUR 3" xr:uid="{00000000-0004-0000-0100-00002A000000}"/>
    <hyperlink ref="AM43" location="'klikací hodnoty'!F874" display="FUND PARTN. ČSOB SVĚTOVÝ CLICK+ 18" xr:uid="{00000000-0004-0000-0100-00002B000000}"/>
    <hyperlink ref="AM44" location="'klikací hodnoty'!F911" display="FUND PARTN. ČSOB FIX UPSIDE 1" xr:uid="{00000000-0004-0000-0100-00002C000000}"/>
    <hyperlink ref="AM45" location="'klikací hodnoty'!F945" display="FUND PARTN. ČSOB SVĚTOVÝ STROM 4" xr:uid="{00000000-0004-0000-0100-00002D000000}"/>
    <hyperlink ref="AM46" location="'klikací hodnoty'!F950" display="FUND PARTN. ČSOB SVĚTOVÉHO RŮSTU+ 3" xr:uid="{00000000-0004-0000-0100-00002E000000}"/>
    <hyperlink ref="AM47" location="'klikací hodnoty'!F963" display="FUND PARTN. ČSOB CLICK PROGRAM 2" xr:uid="{00000000-0004-0000-0100-00002F000000}"/>
    <hyperlink ref="AM48" location="'klikací hodnoty'!F988" display="FUND PARTN. ČSOB SVĚTOVÝ CLICK+ 19" xr:uid="{00000000-0004-0000-0100-000030000000}"/>
    <hyperlink ref="AM49" location="'klikací hodnoty'!F1023" display="FUND PARTN. ČSOB SVĚTOVÝ STROM 5" xr:uid="{00000000-0004-0000-0100-000031000000}"/>
    <hyperlink ref="AM50" location="'klikací hodnoty'!F1050" display="FUND PARTN. ČSOB SVĚTOVÝ CLICK+ 20" xr:uid="{00000000-0004-0000-0100-000032000000}"/>
    <hyperlink ref="AM51" location="'klikací hodnoty'!F1087" display="FUND PARTN. ČSOB SVĚTOVÉHO RŮSTU+ 4" xr:uid="{00000000-0004-0000-0100-000033000000}"/>
    <hyperlink ref="AM52" location="'klikací hodnoty'!F1122" display="FUND PARTN. ČSOB SVĚTOVÝ STROM 6" xr:uid="{00000000-0004-0000-0100-000034000000}"/>
    <hyperlink ref="AM53" location="'klikací hodnoty'!F1135" display="KBC CLICK ČSOB PB STEEPENER 1" xr:uid="{00000000-0004-0000-0100-000035000000}"/>
    <hyperlink ref="AM54" location="'klikací hodnoty'!F1167" display="FUND PARTN. ČSOB SVĚTOVÝ STROM USD 1" xr:uid="{00000000-0004-0000-0100-000036000000}"/>
    <hyperlink ref="AM55" location="'klikací hodnoty'!F1212" display="FUND PARTN. ČSOB REVERZNÍ CLICK 4" xr:uid="{00000000-0004-0000-0100-000037000000}"/>
    <hyperlink ref="AM56" location="'klikací hodnoty'!F1249" display="FUND PARTN. ČSOB SVĚTOVÉHO RŮSTU+ 6" xr:uid="{00000000-0004-0000-0100-000038000000}"/>
    <hyperlink ref="AM57" location="'klikací hodnoty'!F1284" display="FUND PARTN. ČSOB SVĚTOVÝ STROM 7" xr:uid="{00000000-0004-0000-0100-000039000000}"/>
    <hyperlink ref="AM58" location="'klikací hodnoty'!F1321" display="FUND PARTN. ČSOB SVĚTOVÉHO RŮSTU+ 9" xr:uid="{00000000-0004-0000-0100-00003A000000}"/>
    <hyperlink ref="AM59" location="'klikací hodnoty'!F1358" display="KBC CLICK ČSOB PB RŮSTU 1 " xr:uid="{00000000-0004-0000-0100-00003B000000}"/>
    <hyperlink ref="AM60" location="'klikací hodnoty'!F1403" display="FUND PARTN. ČSOB REVERZNÍ CLICK 5" xr:uid="{00000000-0004-0000-0100-00003C000000}"/>
    <hyperlink ref="AM61" location="'klikací hodnoty'!F1426" display="FUND PARTN. ČSOB SVĚTOVÝ CLICK+ EUR 4" xr:uid="{00000000-0004-0000-0100-00003D000000}"/>
    <hyperlink ref="AM62" location="'klikací hodnoty'!F1431" display="FUND PARTN. ČSOB SVĚTOVÉHO RŮSTU+ 7" xr:uid="{00000000-0004-0000-0100-00003E000000}"/>
    <hyperlink ref="AM63" location="'klikací hodnoty'!F1465" display="FUND PARTN. ČSOB SVĚTOVÝ STROM 8" xr:uid="{00000000-0004-0000-0100-00003F000000}"/>
    <hyperlink ref="AM66" location="'klikací hodnoty'!F1562" display="FUND PARTN. ČSOB CLICK PROGRAM 4" xr:uid="{00000000-0004-0000-0100-000040000000}"/>
    <hyperlink ref="AM67" location="'klikací hodnoty'!F1595" display="FUND PARTN. ČSOB SVĚTOVÝ STROM 9" xr:uid="{00000000-0004-0000-0100-000041000000}"/>
    <hyperlink ref="AM68" location="'klikací hodnoty'!F1606" display="FUND PARTN. ČSOB SVĚTOVÝ CLICK+ USD 5" xr:uid="{00000000-0004-0000-0100-000042000000}"/>
    <hyperlink ref="AM69" location="'klikací hodnoty'!F1643" display="FUND PARTN. ČSOB SVĚTOVÉHO RŮSTU+ 8" xr:uid="{00000000-0004-0000-0100-000043000000}"/>
    <hyperlink ref="AM70" location="'klikací hodnoty'!F1651" display="FUND PARTN. ČSOB ASIJSKÉHO RŮSTU 1" xr:uid="{00000000-0004-0000-0100-000044000000}"/>
    <hyperlink ref="AM71" location="'klikací hodnoty'!F1669" display="FUND PARTN. ČSOB SVĚTOVÝ CLICK+ 21" xr:uid="{00000000-0004-0000-0100-000045000000}"/>
    <hyperlink ref="AM72" location="'klikací hodnoty'!F1701" display="FUND PARTN. ČSOB BULL &amp; BEAR 1" xr:uid="{00000000-0004-0000-0100-000046000000}"/>
    <hyperlink ref="AM73" location="'klikací hodnoty'!F1738" display="FUND PARTN. ČSOB GLOBÁLNÍHO RŮSTU+ 1" xr:uid="{00000000-0004-0000-0100-000047000000}"/>
    <hyperlink ref="AM74" location="'klikací hodnoty'!F1790" display="FUND PARTN. ČSOB KRÁTKODOBÉHO RŮSTU 1" xr:uid="{00000000-0004-0000-0100-000048000000}"/>
    <hyperlink ref="AM75" location="'klikací hodnoty'!F1826" display="FUND PARTN. ČSOB SVĚTOVÝ CLICK+ 22" xr:uid="{00000000-0004-0000-0100-000049000000}"/>
    <hyperlink ref="AM76" location="'klikací hodnoty'!F1853" display="KBC CLICK ČSOB SVĚTOVÉHO RŮSTU 9" xr:uid="{00000000-0004-0000-0100-00004A000000}"/>
    <hyperlink ref="AM77" location="'klikací hodnoty'!F1886" display="FUND PARTN. ČSOB SVĚTOVÝ STROM EUR 1" xr:uid="{00000000-0004-0000-0100-00004B000000}"/>
    <hyperlink ref="AM78" location="'klikací hodnoty'!F1890" display="HORIZON CSOB PB EUROPE BOOSTER 1" xr:uid="{00000000-0004-0000-0100-00004C000000}"/>
    <hyperlink ref="AM79" location="'klikací hodnoty'!F1927" display="FUND PARTN. ČSOB SVĚTOVÉHO RŮSTU+ 5" xr:uid="{00000000-0004-0000-0100-00004D000000}"/>
    <hyperlink ref="AM80" location="'klikací hodnoty'!F1964" display="FUND PARTN. ČSOB GLOBÁLNÍHO RŮSTU+ 2" xr:uid="{00000000-0004-0000-0100-00004E000000}"/>
    <hyperlink ref="AM81" location="'klikací hodnoty'!F1968" display="FUND PARTN. ČSOB EVR. NEMOVITOSTNÍHO RŮSTU" xr:uid="{00000000-0004-0000-0100-00004F000000}"/>
    <hyperlink ref="AM82" location="'klikací hodnoty'!F2007" display="FUND PARTN. ČSOB REVERZNÍ CLICK 6" xr:uid="{00000000-0004-0000-0100-000050000000}"/>
    <hyperlink ref="AM84" location="'klikací hodnoty'!F2048" display="FUND PARTN. SVĚTOVÝ STROM 10" xr:uid="{00000000-0004-0000-0100-000051000000}"/>
    <hyperlink ref="AM87" location="'klikací hodnoty'!F2113" display="FUND PARTN. ČSOB DIGITÁLNÍ REVERZNÍ 1" xr:uid="{00000000-0004-0000-0100-000052000000}"/>
    <hyperlink ref="AM88" location="'klikací hodnoty'!F2276" display="HORIZON PB CENTRAL EUROPE WINNERS 1" xr:uid="{00000000-0004-0000-0100-000053000000}"/>
    <hyperlink ref="AM91" location="'klikací hodnoty'!F2249" display="FUND PARTN. ČSOB GLOBÁLNÍHO RŮSTU+ 3" xr:uid="{00000000-0004-0000-0100-000054000000}"/>
    <hyperlink ref="AM92" location="'klikací hodnoty'!F2276" display="FUND PARTN. ČSOB CENTRAL EUROPE  WINNERS 1" xr:uid="{00000000-0004-0000-0100-000055000000}"/>
    <hyperlink ref="AM93" location="'klikací hodnoty'!F2303" display="KBC CLICK CSOB PB REVERSE SPREAD 1" xr:uid="{00000000-0004-0000-0100-000056000000}"/>
    <hyperlink ref="AM85" location="'klikací hodnoty'!F2080" display="FUND PARTN. ČÍNSKÉHO RŮSTU 1" xr:uid="{00000000-0004-0000-0100-000057000000}"/>
    <hyperlink ref="AM90" location="'klikací hodnoty'!F2212" display="FUND PARTN. ČSOB KRÁTKODOBÉHO RŮSTU 3" xr:uid="{00000000-0004-0000-0100-000058000000}"/>
    <hyperlink ref="AM89" location="'klikací hodnoty'!F2158" display="FUND PARTN. ČSOB CLICK PROGRAM 5" xr:uid="{00000000-0004-0000-0100-000059000000}"/>
    <hyperlink ref="AM83" location="'klikací hodnoty'!F2015" display="HORIZON CSOB PB EMERGING MARKETS 1" xr:uid="{00000000-0004-0000-0100-00005A000000}"/>
    <hyperlink ref="AM64" location="'klikací hodnoty'!F1502" display="KBC CLICK ČSOB PB EUROPE SHORT 1 " xr:uid="{00000000-0004-0000-0100-00005B000000}"/>
    <hyperlink ref="AM65" location="'klikací hodnoty'!F1539" display="HORIZON ČSOB PB EUROPE SHORT 2" xr:uid="{00000000-0004-0000-0100-00005C000000}"/>
    <hyperlink ref="AM94" location="'klikací hodnoty'!F2396" display="FUND PARTN. ČSOB KRÁTKODOBÉHO RŮSTU 4" xr:uid="{00000000-0004-0000-0100-00005D000000}"/>
    <hyperlink ref="AM86" location="'klikací hodnoty'!F2450" display="FUND PARTN. KRÁTKODOBÉHO RŮSTU 2" xr:uid="{00000000-0004-0000-0100-00005E000000}"/>
    <hyperlink ref="AM95" location="'klikací hodnoty'!F2656" display="FUND PARTN. ČSOB SVĚTOVÝ STROM 11" xr:uid="{00000000-0004-0000-0100-00005F000000}"/>
    <hyperlink ref="AM96" location="'klikací hodnoty'!F2725" display="FUND PARTN. ČSOB GLOBÁLNÍHO RŮSTU+ 4" xr:uid="{00000000-0004-0000-0100-000060000000}"/>
    <hyperlink ref="AM97" location="'klikací hodnoty'!F2762" display="FUND PARTN. ČSOB SVĚTOVÉHO RŮSTU+ 10" xr:uid="{00000000-0004-0000-0100-000061000000}"/>
    <hyperlink ref="AM100" location="'klikací hodnoty'!F2799" display="FUND PARTN. ČSOB EVROPSKÉHO RŮSTU+ 1" xr:uid="{00000000-0004-0000-0100-000062000000}"/>
    <hyperlink ref="AM101" location="'klikací hodnoty'!F2836" display="FUND PARTN. ČSOB UZAMČENÉHO RŮSTU 1" xr:uid="{00000000-0004-0000-0100-000063000000}"/>
    <hyperlink ref="AM98" location="'klikací hodnoty'!F2882" display="FUND PARTN. ČSOB ASIJSKÉHO RŮSTU 2" xr:uid="{00000000-0004-0000-0100-000064000000}"/>
    <hyperlink ref="AM99" location="'klikací hodnoty'!F2963" display="FUND PARTN. ČSOB SVĚTOVÉHO RŮSTU+ 11" xr:uid="{00000000-0004-0000-0100-000065000000}"/>
    <hyperlink ref="AM156" location="'klikací hodnoty'!F2725" display="FUND PARTN. ČSOB GLOBÁLNÍHO RŮSTU+ 4" xr:uid="{00000000-0004-0000-0100-000066000000}"/>
    <hyperlink ref="AH157:AL157" location="'klikací hodnoty'!F2725" display="FUND PARTN. ČSOB GLOBÁLNÍHO RŮSTU+ 4" xr:uid="{00000000-0004-0000-0100-000067000000}"/>
    <hyperlink ref="AH158:AL158" location="'klikací hodnoty'!F2725" display="FUND PARTN. ČSOB GLOBÁLNÍHO RŮSTU+ 4" xr:uid="{00000000-0004-0000-0100-000068000000}"/>
    <hyperlink ref="AH159:AL159" location="'klikací hodnoty'!F2725" display="FUND PARTN. ČSOB GLOBÁLNÍHO RŮSTU+ 4" xr:uid="{00000000-0004-0000-0100-000069000000}"/>
    <hyperlink ref="AH160:AL160" location="'klikací hodnoty'!F2725" display="FUND PARTN. ČSOB GLOBÁLNÍHO RŮSTU+ 4" xr:uid="{00000000-0004-0000-0100-00006A000000}"/>
    <hyperlink ref="AH162:AL162" location="'klikací hodnoty'!F2725" display="FUND PARTN. ČSOB GLOBÁLNÍHO RŮSTU+ 4" xr:uid="{00000000-0004-0000-0100-00006B000000}"/>
    <hyperlink ref="AH163:AL163" location="'klikací hodnoty'!F2725" display="FUND PARTN. ČSOB GLOBÁLNÍHO RŮSTU+ 4" xr:uid="{00000000-0004-0000-0100-00006C000000}"/>
    <hyperlink ref="AH164:AL164" location="'klikací hodnoty'!F2725" display="FUND PARTN. ČSOB GLOBÁLNÍHO RŮSTU+ 4" xr:uid="{00000000-0004-0000-0100-00006D000000}"/>
    <hyperlink ref="AH166:AL166" location="'klikací hodnoty'!F2725" display="FUND PARTN. ČSOB GLOBÁLNÍHO RŮSTU+ 4" xr:uid="{00000000-0004-0000-0100-00006E000000}"/>
    <hyperlink ref="AH167:AL167" location="'klikací hodnoty'!F2725" display="FUND PARTN. ČSOB GLOBÁLNÍHO RŮSTU+ 4" xr:uid="{00000000-0004-0000-0100-00006F000000}"/>
    <hyperlink ref="AH165:AL165" location="'klikací hodnoty'!F2725" display="FUND PARTN. ČSOB GLOBÁLNÍHO RŮSTU+ 4" xr:uid="{00000000-0004-0000-0100-000070000000}"/>
    <hyperlink ref="AH161:AL161" location="'klikací hodnoty'!F2725" display="FUND PARTN. ČSOB GLOBÁLNÍHO RŮSTU+ 4" xr:uid="{00000000-0004-0000-0100-000071000000}"/>
    <hyperlink ref="AM169" location="'klikací hodnoty'!F2725" display="FUND PARTN. ČSOB GLOBÁLNÍHO RŮSTU+ 4" xr:uid="{00000000-0004-0000-0100-000072000000}"/>
    <hyperlink ref="B3" location="'klikací hodnoty'!F12" display="KBC CLICK ČSOB SVĚTOVÉ AKCIE 1" xr:uid="{00000000-0004-0000-0100-000073000000}"/>
    <hyperlink ref="B4" location="'klikací hodnoty'!F23" display="KBC CLICK ČSOB EVROPSKÉ AKCIE 1" xr:uid="{00000000-0004-0000-0100-000074000000}"/>
    <hyperlink ref="B5" location="'klikací hodnoty'!F29" display="KBC CLICK ČSOB EVROPSKÉ AKCIE 2" xr:uid="{00000000-0004-0000-0100-000075000000}"/>
    <hyperlink ref="B6" location="'klikací hodnoty'!F35" display="KBC EQUISAFE ČSOB SVĚTOVÉ INVESTICE 2" xr:uid="{00000000-0004-0000-0100-000076000000}"/>
    <hyperlink ref="B7" location="'klikací hodnoty'!F53" display="KBC CLICK ČSOB SVĚTOVÉ AKCIE 2" xr:uid="{00000000-0004-0000-0100-000077000000}"/>
    <hyperlink ref="B8" location="'klikací hodnoty'!F59" display="KBC EQUISAFE ČSOB SVĚTOVÉ INVESTICE 1" xr:uid="{00000000-0004-0000-0100-000078000000}"/>
    <hyperlink ref="B9" location="'klikací hodnoty'!F70" display="KBC CLICK ČSOB SVĚTOVÉ AKCIE 5" xr:uid="{00000000-0004-0000-0100-000079000000}"/>
    <hyperlink ref="B10" location="'klikací hodnoty'!F88" display="KBC CLICK ČSOB SVĚTOVÉ AKCIE 6" xr:uid="{00000000-0004-0000-0100-00007A000000}"/>
    <hyperlink ref="B11" location="'klikací hodnoty'!F99" display="FUND PARTN. ČSOB SVĚTOVÉ AKCIE 4" xr:uid="{00000000-0004-0000-0100-00007B000000}"/>
    <hyperlink ref="B12" location="'klikací hodnoty'!F126" display="KBC CLICK ČSOB SVĚTOVÉ AKCIE 7" xr:uid="{00000000-0004-0000-0100-00007C000000}"/>
    <hyperlink ref="B13" location="'klikací hodnoty'!F137" display="FUND PARTN. ČSOB SVĚTOVÝ CLICK+ 1" xr:uid="{00000000-0004-0000-0100-00007D000000}"/>
    <hyperlink ref="B14" location="'klikací hodnoty'!F150" display="FUND PARTN. ČSOB SVĚTOVÝ CLICK+ 2" xr:uid="{00000000-0004-0000-0100-00007E000000}"/>
    <hyperlink ref="B15" location="'klikací hodnoty'!F163" display="FUND PARTN. ČSOB SVĚTOVÝ CLICK+ 3" xr:uid="{00000000-0004-0000-0100-00007F000000}"/>
    <hyperlink ref="B16" location="'klikací hodnoty'!F176" display="FUND PARTN. ČSOB SVĚTOVÝ CLICK+ 4" xr:uid="{00000000-0004-0000-0100-000080000000}"/>
    <hyperlink ref="B17" location="'klikací hodnoty'!F209" display="FUND PARTN. ČSOB REVERZNÍ CLICK 1" xr:uid="{00000000-0004-0000-0100-000081000000}"/>
    <hyperlink ref="B18" location="'klikací hodnoty'!F220" display="FUND PARTN. ČSOB SVĚTOVÝ CLICK+ 5" xr:uid="{00000000-0004-0000-0100-000082000000}"/>
    <hyperlink ref="B19" location="'klikací hodnoty'!A271" display="ČSOB Světového růstu 1" xr:uid="{00000000-0004-0000-0100-000083000000}"/>
    <hyperlink ref="B20" location="'klikací hodnoty'!F282" display="ČSOB Světový click+ USD 1" xr:uid="{00000000-0004-0000-0100-000084000000}"/>
    <hyperlink ref="B21" location="'klikací hodnoty'!F293" display="ČSOB Světový click+ 6" xr:uid="{00000000-0004-0000-0100-000085000000}"/>
    <hyperlink ref="B22" location="'klikací hodnoty'!F325" display="ČSOB Světový strom 1" xr:uid="{00000000-0004-0000-0100-000086000000}"/>
    <hyperlink ref="B23" location="'klikací hodnoty'!F336" display="ČSOB Světový click+ 8" xr:uid="{00000000-0004-0000-0100-000087000000}"/>
    <hyperlink ref="B24" location="'klikací hodnoty'!F373" display="ČSOB Světového růstu 2" xr:uid="{00000000-0004-0000-0100-000088000000}"/>
    <hyperlink ref="B25" location="'klikací hodnoty'!F392" display="ČSOB Světový click+ 7" xr:uid="{00000000-0004-0000-0100-000089000000}"/>
    <hyperlink ref="B26" location="'klikací hodnoty'!F410" display="ČSOB Světový click+ 9" xr:uid="{00000000-0004-0000-0100-00008A000000}"/>
    <hyperlink ref="B27" location="'klikací hodnoty'!F423" display="ČSOB Světový click+ USD 2" xr:uid="{00000000-0004-0000-0100-00008B000000}"/>
    <hyperlink ref="B28" location="'klikací hodnoty'!F436" display="ČSOB Světový click+ EUR 1" xr:uid="{00000000-0004-0000-0100-00008C000000}"/>
    <hyperlink ref="B29" location="'klikací hodnoty'!F459" display="ČSOB Světový click+ 11" xr:uid="{00000000-0004-0000-0100-00008D000000}"/>
    <hyperlink ref="B30" location="'klikací hodnoty'!F498" display="ČSOB Reverzní click 2" xr:uid="{00000000-0004-0000-0100-00008E000000}"/>
    <hyperlink ref="B31" location="'klikací hodnoty'!F511" display="ČSOB Světový click+ 10" xr:uid="{00000000-0004-0000-0100-00008F000000}"/>
    <hyperlink ref="B32" location="'klikací hodnoty'!F524" display="ČSOB Digitální click 1" xr:uid="{00000000-0004-0000-0100-000090000000}"/>
    <hyperlink ref="B33" location="'klikací hodnoty'!F529" display="ČSOB Světového růstu+ 1" xr:uid="{00000000-0004-0000-0100-000091000000}"/>
    <hyperlink ref="B34" location="'klikací hodnoty'!F547" display="ČSOB Světový click+ 13" xr:uid="{00000000-0004-0000-0100-000092000000}"/>
    <hyperlink ref="B35" location="'klikací hodnoty'!F560" display="ČSOB Světový click+ EUR 2" xr:uid="{00000000-0004-0000-0100-000093000000}"/>
    <hyperlink ref="B36" location="'klikací hodnoty'!F573" display="ČSOB Světový click+ USD 3" xr:uid="{00000000-0004-0000-0100-000094000000}"/>
    <hyperlink ref="B37" location="'klikací hodnoty'!F584" display="ČSOB Světový click+ 12" xr:uid="{00000000-0004-0000-0100-000095000000}"/>
    <hyperlink ref="B38" location="'klikací hodnoty'!F599" display="ČSOB Světový click+ 14" xr:uid="{00000000-0004-0000-0100-000096000000}"/>
    <hyperlink ref="B39" location="'klikací hodnoty'!F630" display="ČSOB Světový strom 2" xr:uid="{00000000-0004-0000-0100-000097000000}"/>
    <hyperlink ref="B40" location="'klikací hodnoty'!F681" display="ČSOB Světového růstu+ 2" xr:uid="{00000000-0004-0000-0100-000098000000}"/>
    <hyperlink ref="B41" location="'klikací hodnoty'!F713" display="ČSOB Světový strom 3" xr:uid="{00000000-0004-0000-0100-000099000000}"/>
    <hyperlink ref="B42" location="'klikací hodnoty'!A753" display="ČSOB Reverzní click 3" xr:uid="{00000000-0004-0000-0100-00009A000000}"/>
    <hyperlink ref="B43" location="'klikací hodnoty'!F765" display="ČSOB Světový click+ 15" xr:uid="{00000000-0004-0000-0100-00009B000000}"/>
    <hyperlink ref="B44" location="'klikací hodnoty'!F778" display="ČSOB Světový click+ USD 4" xr:uid="{00000000-0004-0000-0100-00009C000000}"/>
    <hyperlink ref="B45" location="'klikací hodnoty'!F789" display="ČSOB Světový click+ 16" xr:uid="{00000000-0004-0000-0100-00009D000000}"/>
    <hyperlink ref="B46" location="'klikací hodnoty'!F800" display="ČSOB Click Program 3" xr:uid="{00000000-0004-0000-0100-00009E000000}"/>
    <hyperlink ref="B47" location="'klikací hodnoty'!F815" display="ČSOB Click Program 1" xr:uid="{00000000-0004-0000-0100-00009F000000}"/>
    <hyperlink ref="B48" location="'klikací hodnoty'!F848" display="ČSOB Světový strom CZK 1" xr:uid="{00000000-0004-0000-0100-0000A0000000}"/>
    <hyperlink ref="B49" location="'klikací hodnoty'!F865" display="ČSOB Equity+ 2" xr:uid="{00000000-0004-0000-0100-0000A1000000}"/>
    <hyperlink ref="B50" location="'klikací hodnoty'!F879" display="ČSOB Světový click+ 17" xr:uid="{00000000-0004-0000-0100-0000A2000000}"/>
    <hyperlink ref="B51" location="'klikací hodnoty'!F889" display="ČSOB Světový click+ EUR 3" xr:uid="{00000000-0004-0000-0100-0000A3000000}"/>
    <hyperlink ref="B52" location="'klikací hodnoty'!F914" display="ČSOB Světový click+ 18" xr:uid="{00000000-0004-0000-0100-0000A4000000}"/>
    <hyperlink ref="B53" location="'klikací hodnoty'!F951" display="ČSOB Fix Upside 1" xr:uid="{00000000-0004-0000-0100-0000A5000000}"/>
    <hyperlink ref="B54" location="'klikací hodnoty'!F985" display="ČSOB Světový strom 4" xr:uid="{00000000-0004-0000-0100-0000A6000000}"/>
    <hyperlink ref="B55" location="'klikací hodnoty'!F990" display="ČSOB Světového růstu+ 3" xr:uid="{00000000-0004-0000-0100-0000A7000000}"/>
    <hyperlink ref="B56" location="'klikací hodnoty'!F1003" display="ČSOB Click Program 2" xr:uid="{00000000-0004-0000-0100-0000A8000000}"/>
    <hyperlink ref="B57" location="'klikací hodnoty'!F1028" display="ČSOB Světový click+ 19" xr:uid="{00000000-0004-0000-0100-0000A9000000}"/>
    <hyperlink ref="B58" location="'klikací hodnoty'!A1064" display="ČSOB Světový strom 5" xr:uid="{00000000-0004-0000-0100-0000AA000000}"/>
    <hyperlink ref="B59" location="'klikací hodnoty'!F1090" display="ČSOB Světový click+ 20" xr:uid="{00000000-0004-0000-0100-0000AB000000}"/>
    <hyperlink ref="B60" location="'klikací hodnoty'!F1127" display="ČSOB Světového růstu+ 4" xr:uid="{00000000-0004-0000-0100-0000AC000000}"/>
    <hyperlink ref="B61" location="'klikací hodnoty'!F1163" display="ČSOB Světový strom 6" xr:uid="{00000000-0004-0000-0100-0000AD000000}"/>
    <hyperlink ref="B62" location="'klikací hodnoty'!F1175" display="ČSOB PB Steepener 1" xr:uid="{00000000-0004-0000-0100-0000AE000000}"/>
    <hyperlink ref="B63" location="'klikací hodnoty'!F1207" display="ČSOB Světový strom USD 1" xr:uid="{00000000-0004-0000-0100-0000AF000000}"/>
    <hyperlink ref="B64" location="'klikací hodnoty'!F1252" display="ČSOB Reverzní click 4" xr:uid="{00000000-0004-0000-0100-0000B0000000}"/>
    <hyperlink ref="B65" location="'klikací hodnoty'!F1289" display="ČSOB Světového růstu+ 6" xr:uid="{00000000-0004-0000-0100-0000B1000000}"/>
    <hyperlink ref="B66" location="'klikací hodnoty'!A1325" display="ČSOB Světový strom 7" xr:uid="{00000000-0004-0000-0100-0000B2000000}"/>
    <hyperlink ref="B67" location="'klikací hodnoty'!F1361" display="ČSOB Světového růstu+ 9" xr:uid="{00000000-0004-0000-0100-0000B3000000}"/>
    <hyperlink ref="B68" location="'klikací hodnoty'!F1398" display="ČSOB PB Růstu 1 " xr:uid="{00000000-0004-0000-0100-0000B4000000}"/>
    <hyperlink ref="B69" location="'klikací hodnoty'!F1443" display="ČSOB Reverzní click 5" xr:uid="{00000000-0004-0000-0100-0000B5000000}"/>
    <hyperlink ref="B70" location="'klikací hodnoty'!F1466" display="ČSOB Světový click+ EUR 4" xr:uid="{00000000-0004-0000-0100-0000B6000000}"/>
    <hyperlink ref="B71" location="'klikací hodnoty'!F1497" display="ČSOB Světového růstu+ 7" xr:uid="{00000000-0004-0000-0100-0000B7000000}"/>
    <hyperlink ref="B72" location="'klikací hodnoty'!F1531" display="ČSOB Světový strom 8" xr:uid="{00000000-0004-0000-0100-0000B8000000}"/>
    <hyperlink ref="B75" location="'klikací hodnoty'!F1628" display="ČSOB Click Program 4" xr:uid="{00000000-0004-0000-0100-0000B9000000}"/>
    <hyperlink ref="B76" location="'klikací hodnoty'!F1661" display="ČSOB Světový strom 9" xr:uid="{00000000-0004-0000-0100-0000BA000000}"/>
    <hyperlink ref="B77" location="'klikací hodnoty'!F1672" display="ČSOB Světový click+ USD 5" xr:uid="{00000000-0004-0000-0100-0000BB000000}"/>
    <hyperlink ref="B78" location="'klikací hodnoty'!F1709" display="ČSOB Světového růstu+ 8" xr:uid="{00000000-0004-0000-0100-0000BC000000}"/>
    <hyperlink ref="B79" location="'klikací hodnoty'!F1717" display="ČSOB Asijského růstu 1" xr:uid="{00000000-0004-0000-0100-0000BD000000}"/>
    <hyperlink ref="B80" location="'klikací hodnoty'!F1735" display="ČSOB Světový click+ 21" xr:uid="{00000000-0004-0000-0100-0000BE000000}"/>
    <hyperlink ref="B81" location="'klikací hodnoty'!F1767" display="ČSOB Bull &amp; Bear 1" xr:uid="{00000000-0004-0000-0100-0000BF000000}"/>
    <hyperlink ref="B82" location="'klikací hodnoty'!A1805" display="ČSOB Globálního růstu+ 1" xr:uid="{00000000-0004-0000-0100-0000C0000000}"/>
    <hyperlink ref="B83" location="'klikací hodnoty'!F1856" display="ČSOB Krátkodobého růstu 1" xr:uid="{00000000-0004-0000-0100-0000C1000000}"/>
    <hyperlink ref="B84" location="'klikací hodnoty'!F1892" display="ČSOB Světový click+ 22" xr:uid="{00000000-0004-0000-0100-0000C2000000}"/>
    <hyperlink ref="B85" location="'klikací hodnoty'!F1919" display="ČSOB Světového růstu 9" xr:uid="{00000000-0004-0000-0100-0000C3000000}"/>
    <hyperlink ref="B86" location="'klikací hodnoty'!F1952" display="ČSOB Světový strom EUR 1" xr:uid="{00000000-0004-0000-0100-0000C4000000}"/>
    <hyperlink ref="B87" location="'klikací hodnoty'!F1956" display="ČSOB PB Europe Booster 1" xr:uid="{00000000-0004-0000-0100-0000C5000000}"/>
    <hyperlink ref="B88" location="'klikací hodnoty'!F1993" display="ČSOB Světového růstu+ 5" xr:uid="{00000000-0004-0000-0100-0000C6000000}"/>
    <hyperlink ref="B89" location="'klikací hodnoty'!F2030" display="ČSOB Globálního růstu+ 2" xr:uid="{00000000-0004-0000-0100-0000C7000000}"/>
    <hyperlink ref="B90" location="'klikací hodnoty'!A2035" display="ČSOB Evropského Nemovitostního růstu 1" xr:uid="{00000000-0004-0000-0100-0000C8000000}"/>
    <hyperlink ref="B91" location="'klikací hodnoty'!F2073" display="ČSOB Reverzní click 6" xr:uid="{00000000-0004-0000-0100-0000C9000000}"/>
    <hyperlink ref="B93" location="'klikací hodnoty'!F2114" display="ČSOB Světový strom 10" xr:uid="{00000000-0004-0000-0100-0000CA000000}"/>
    <hyperlink ref="B96" location="'klikací hodnoty'!F2179" display="ČSOB Digitální Reverzní 1" xr:uid="{00000000-0004-0000-0100-0000CB000000}"/>
    <hyperlink ref="B97" location="'klikací hodnoty'!F2342" display="ČSOB PB Central Europe Winners 1" xr:uid="{00000000-0004-0000-0100-0000CC000000}"/>
    <hyperlink ref="B100" location="'klikací hodnoty'!F2315" display="ČSOB Globálního růstu+ 3" xr:uid="{00000000-0004-0000-0100-0000CD000000}"/>
    <hyperlink ref="B101" location="'klikací hodnoty'!A2207" display="ČSOB Středoevropských šampionů 1" xr:uid="{00000000-0004-0000-0100-0000CE000000}"/>
    <hyperlink ref="B102" location="'klikací hodnoty'!F2369" display="ČSOB PB Reverse Spread 1" xr:uid="{00000000-0004-0000-0100-0000CF000000}"/>
    <hyperlink ref="B104" location="'klikací hodnoty'!F2373" display="ČSOB PB Commodity 1" xr:uid="{00000000-0004-0000-0100-0000D0000000}"/>
    <hyperlink ref="B94" location="'klikací hodnoty'!F2146" display="ČSOB Čínského růstu 1" xr:uid="{00000000-0004-0000-0100-0000D1000000}"/>
    <hyperlink ref="B99" location="'klikací hodnoty'!F2278" display="ČSOB Krátkodobého růstu 3" xr:uid="{00000000-0004-0000-0100-0000D2000000}"/>
    <hyperlink ref="B98" location="'klikací hodnoty'!F2224" display="ČSOB Click Program 5" xr:uid="{00000000-0004-0000-0100-0000D3000000}"/>
    <hyperlink ref="B92" location="'klikací hodnoty'!A2082" display="ČSOB PB Emerging Markets 1" xr:uid="{00000000-0004-0000-0100-0000D4000000}"/>
    <hyperlink ref="B73" location="'klikací hodnoty'!F1568" display="ČSOB PB Europe Short 1 " xr:uid="{00000000-0004-0000-0100-0000D5000000}"/>
    <hyperlink ref="B74" location="'klikací hodnoty'!F1605" display="ČSOB PB Europe Short 2" xr:uid="{00000000-0004-0000-0100-0000D6000000}"/>
    <hyperlink ref="B107" location="'klikací hodnoty'!A2395" display="ČSOB Světový click+ 23" xr:uid="{00000000-0004-0000-0100-0000D7000000}"/>
    <hyperlink ref="B108" location="'klikací hodnoty'!F2409" display="ČSOB Světový click+ USD 6" xr:uid="{00000000-0004-0000-0100-0000D8000000}"/>
    <hyperlink ref="B103" location="'klikací hodnoty'!F2462" display="ČSOB Krátkodobého růstu 4" xr:uid="{00000000-0004-0000-0100-0000D9000000}"/>
    <hyperlink ref="B95" location="'klikací hodnoty'!F2516" display="ČSOB Krátkodobého růstu 2" xr:uid="{00000000-0004-0000-0100-0000DA000000}"/>
    <hyperlink ref="B105" location="'klikací hodnoty'!F2552" display="ČSOB Fixovaného růstu 2" xr:uid="{00000000-0004-0000-0100-0000DB000000}"/>
    <hyperlink ref="B109" location="'klikací hodnoty'!F2589" display="ČSOB PB Variable Participation 1" xr:uid="{00000000-0004-0000-0100-0000DC000000}"/>
    <hyperlink ref="B106" location="'klikací hodnoty'!F2616" display="ČSOB Středoevrpoských šampionů 2" xr:uid="{00000000-0004-0000-0100-0000DD000000}"/>
    <hyperlink ref="B117" location="'klikací hodnoty'!A2654" display="ČSOB Private Banking Double Safety 1" xr:uid="{00000000-0004-0000-0100-0000DE000000}"/>
    <hyperlink ref="B116" location="'klikací hodnoty'!F2691" display="ČSOB World Growth Short 1" xr:uid="{00000000-0004-0000-0100-0000DF000000}"/>
    <hyperlink ref="B110" location="'klikací hodnoty'!F2722" display="ČSOB Světový strom 11" xr:uid="{00000000-0004-0000-0100-0000E0000000}"/>
    <hyperlink ref="B111" location="'klikací hodnoty'!A2792" display="ČSOB Globálního růstu+ 4" xr:uid="{00000000-0004-0000-0100-0000E1000000}"/>
    <hyperlink ref="B112" location="'klikací hodnoty'!F2843" display="ČSOB Světového růstu+ 10" xr:uid="{00000000-0004-0000-0100-0000E2000000}"/>
    <hyperlink ref="B118" location="'klikací hodnoty'!F2880" display="ČSOB Evropského růstu+ 1" xr:uid="{00000000-0004-0000-0100-0000E3000000}"/>
    <hyperlink ref="B119" location="'klikací hodnoty'!A2918" display="ČSOB Uzamčeného růstu 1" xr:uid="{00000000-0004-0000-0100-0000E4000000}"/>
    <hyperlink ref="B120" location="'klikací hodnoty'!A2755" display="ČSOB Světový strom 12" xr:uid="{00000000-0004-0000-0100-0000E5000000}"/>
    <hyperlink ref="B125" location="'klikací hodnoty'!F2954" display="ČSOB Fixovaného růstu 3" xr:uid="{00000000-0004-0000-0100-0000E6000000}"/>
    <hyperlink ref="B113" location="'klikací hodnoty'!A2964" display="ČSOB Asijského růstu 2" xr:uid="{00000000-0004-0000-0100-0000E7000000}"/>
    <hyperlink ref="B114" location="'klikací hodnoty'!F2990" display="ČSOB Reverzního rozpětí 2" xr:uid="{00000000-0004-0000-0100-0000E8000000}"/>
    <hyperlink ref="B115" location="'klikací hodnoty'!F3044" display="ČSOB Světového růstu+ 11" xr:uid="{00000000-0004-0000-0100-0000E9000000}"/>
    <hyperlink ref="B121" location="'klikací hodnoty'!F3098" display="ČSOB Světového růstu+ 12" xr:uid="{00000000-0004-0000-0100-0000EA000000}"/>
    <hyperlink ref="B126" location="'klikací hodnoty'!F3131" display="ČSOB Stupňovitý click 1" xr:uid="{00000000-0004-0000-0100-0000EB000000}"/>
    <hyperlink ref="B123" location="'klikací hodnoty'!A3139" display="ČSOB Asijského růstu 3" xr:uid="{00000000-0004-0000-0100-0000EC000000}"/>
    <hyperlink ref="B124" location="'klikací hodnoty'!F3188" display="ČSOB Reverzního rozpětí 3" xr:uid="{00000000-0004-0000-0100-0000ED000000}"/>
    <hyperlink ref="B130" location="'klikací hodnoty'!F3212" display="ČSOB Vodního bohatství 1" xr:uid="{00000000-0004-0000-0100-0000EE000000}"/>
    <hyperlink ref="B127" location="'klikací hodnoty'!F3226" display="ČSOB Světový click+ 24" xr:uid="{00000000-0004-0000-0100-0000EF000000}"/>
    <hyperlink ref="B132" location="'klikací hodnoty'!F3232" display="ČSOB Středoevropské měny 1" xr:uid="{00000000-0004-0000-0100-0000F0000000}"/>
    <hyperlink ref="B129" location="'klikací hodnoty'!F3284" display="ČSOB Krátkodobého růstu 5" xr:uid="{00000000-0004-0000-0100-0000F1000000}"/>
    <hyperlink ref="B136" location="'klikací hodnoty'!F3311" display="ČSOB Reverzní click 7" xr:uid="{00000000-0004-0000-0100-0000F2000000}"/>
    <hyperlink ref="B134" location="'klikací hodnoty'!F3342" display="ČSOB PB Asian Click 1" xr:uid="{00000000-0004-0000-0100-0000F3000000}"/>
    <hyperlink ref="B131" location="'klikací hodnoty'!F3395" display="ČSOB Světového růstu +EUR 1" xr:uid="{00000000-0004-0000-0100-0000F4000000}"/>
    <hyperlink ref="B133" location="'klikací hodnoty'!F3449" display="ČSOB Světového růstu+ 13" xr:uid="{00000000-0004-0000-0100-0000F5000000}"/>
    <hyperlink ref="B135" location="'klikací hodnoty'!A3487" display="ČSOB Globálního růstu+ 5" xr:uid="{00000000-0004-0000-0100-0000F6000000}"/>
    <hyperlink ref="B138" location="'klikací hodnoty'!F3542" display="ČSOB Středoevropský region 1" xr:uid="{00000000-0004-0000-0100-0000F7000000}"/>
    <hyperlink ref="B144" location="'klikací hodnoty'!F3565" display="ČSOB PB Attractive Sectors 1" xr:uid="{00000000-0004-0000-0100-0000F8000000}"/>
    <hyperlink ref="B139" location="'klikací hodnoty'!F3610" display="ČSOB Click Program 6" xr:uid="{00000000-0004-0000-0100-0000F9000000}"/>
    <hyperlink ref="B143" location="'klikací hodnoty'!F3592" display="ČSOB Reverzního rozpětí 4" xr:uid="{00000000-0004-0000-0100-0000FA000000}"/>
    <hyperlink ref="B141" location="'klikací hodnoty'!A3687" display="ČSOB Asijských šampionů 1" xr:uid="{00000000-0004-0000-0100-0000FB000000}"/>
    <hyperlink ref="B128" location="'klikací hodnoty'!F3161" display="ČSOB Evropského růstu+ 2" xr:uid="{00000000-0004-0000-0100-0000FC000000}"/>
    <hyperlink ref="B150" location="'klikací hodnoty'!F3723" display="ČSOB Světový Reverzní Swing 1" xr:uid="{00000000-0004-0000-0100-0000FD000000}"/>
    <hyperlink ref="B146" location="'klikací hodnoty'!A3747" display="ČSOB Vodního bohatství 2" xr:uid="{00000000-0004-0000-0100-0000FE000000}"/>
    <hyperlink ref="B147" location="'klikací hodnoty'!A3807" display="ČSOB Harmonického růstu 1" xr:uid="{00000000-0004-0000-0100-0000FF000000}"/>
    <hyperlink ref="B142" location="'klikací hodnoty'!F3861" display="ČSOB Světového růstu+ 14" xr:uid="{00000000-0004-0000-0100-000000010000}"/>
    <hyperlink ref="B148" location="'klikací hodnoty'!F3898" display="ČSOB Růstu USD 1" xr:uid="{00000000-0004-0000-0100-000001010000}"/>
    <hyperlink ref="B149" location="'klikací hodnoty'!F3953" display="ČSOB Krátkodobého růstu 6" xr:uid="{00000000-0004-0000-0100-000002010000}"/>
    <hyperlink ref="B155" location="'klikací hodnoty'!A4003" display="ČSOB Změny klimatu 1" xr:uid="{00000000-0004-0000-0100-000003010000}"/>
    <hyperlink ref="B156" location="'klikací hodnoty'!F4035" display="ČSOB Digitální Reverzní 2" xr:uid="{00000000-0004-0000-0100-000004010000}"/>
    <hyperlink ref="B152" location="'klikací hodnoty'!A4091" display="ČSOB Světového růstu +15" xr:uid="{00000000-0004-0000-0100-000005010000}"/>
    <hyperlink ref="B140" location="'klikací hodnoty'!A3654" display="ČSOB Bankovního růstu 1" xr:uid="{00000000-0004-0000-0100-000006010000}"/>
    <hyperlink ref="B151" location="'klikací hodnoty'!A4095" display="ČSOB Evropského Nemovitostního růstu 2" xr:uid="{00000000-0004-0000-0100-000007010000}"/>
    <hyperlink ref="B154" location="'klikací hodnoty'!A4132" display="CSOB PB CE Winners 2" xr:uid="{00000000-0004-0000-0100-000008010000}"/>
    <hyperlink ref="B161" location="'klikací hodnoty'!F4154" display="ČSOB Private Banking BRIC 1" xr:uid="{00000000-0004-0000-0100-000009010000}"/>
    <hyperlink ref="B157" location="'klikací hodnoty'!A4181" display="ČSOB Reverzního rozpětí 5" xr:uid="{00000000-0004-0000-0100-00000A010000}"/>
    <hyperlink ref="B158" location="'klikací hodnoty'!A4209" display="ČSOB Asijského růstu 4" xr:uid="{00000000-0004-0000-0100-00000B010000}"/>
    <hyperlink ref="B159" location="'klikací hodnoty'!A4258" display="ČSOB Farmacie &amp; Biotechnologie 1" xr:uid="{00000000-0004-0000-0100-00000C010000}"/>
    <hyperlink ref="B122" location="'klikací hodnoty'!F4726" display="ČSOB PB World Jumper 1" xr:uid="{00000000-0004-0000-0100-00000D010000}"/>
    <hyperlink ref="B145" location="'klikací hodnoty'!A4762" display="ČSOB PB Europe Short 3" xr:uid="{00000000-0004-0000-0100-00000E010000}"/>
    <hyperlink ref="B162" location="'klikací hodnoty'!F4311" display="ČSOB Světového růstu +16" xr:uid="{00000000-0004-0000-0100-00000F010000}"/>
    <hyperlink ref="B163" location="'klikací hodnoty'!A4316" display="ČSOB Evropského Nemovitostního růstu 3" xr:uid="{00000000-0004-0000-0100-000010010000}"/>
    <hyperlink ref="B167" location="'klikací hodnoty'!A4431" display="ČSOB Globálního růstu+ 6" xr:uid="{00000000-0004-0000-0100-000011010000}"/>
    <hyperlink ref="B165" location="'klikací hodnoty'!A4481" display="ČSOB PB World Lookback 1" xr:uid="{00000000-0004-0000-0100-000012010000}"/>
    <hyperlink ref="B164" location="'klikací hodnoty'!A4369" display="ČSOB Asijských šampionů 2" xr:uid="{00000000-0004-0000-0100-000013010000}"/>
    <hyperlink ref="B166" location="'klikací hodnoty'!F4374" display="ČSOB Středoevropské měny 2" xr:uid="{00000000-0004-0000-0100-000014010000}"/>
    <hyperlink ref="B171" location="'klikací hodnoty'!A4593" display="ČSOB Vodního bohatství 3" xr:uid="{00000000-0004-0000-0100-000015010000}"/>
    <hyperlink ref="B168" location="'klikací hodnoty'!F4484" display="ČSOB Komodity 1" xr:uid="{00000000-0004-0000-0100-000016010000}"/>
    <hyperlink ref="B176" location="'klikací hodnoty'!A4800" display="ČSOB Světový jumper 1" xr:uid="{00000000-0004-0000-0100-000017010000}"/>
    <hyperlink ref="B174" location="'klikací hodnoty'!A4689" display="ČSOB Private Banking Jumpstart 1" xr:uid="{00000000-0004-0000-0100-000018010000}"/>
    <hyperlink ref="B175" location="'klikací hodnoty'!A4808" display="ČSOB Private Banking Emerging Markets 2" xr:uid="{00000000-0004-0000-0100-000019010000}"/>
    <hyperlink ref="B177" location="'klikací hodnoty'!A4845" display="ČSOB Světový reverzní swing 2" xr:uid="{00000000-0004-0000-0100-00001A010000}"/>
    <hyperlink ref="B170" location="'klikací hodnoty'!F4537" display="ČSOB Krátkodobého růstu 7" xr:uid="{00000000-0004-0000-0100-00001B010000}"/>
    <hyperlink ref="B169" location="'klikací hodnoty'!F4569" display="ČSOB Reverzní click 8" xr:uid="{00000000-0004-0000-0100-00001C010000}"/>
    <hyperlink ref="B172" location="'klikací hodnoty'!F4647" display="ČSOB Světového růstu +17" xr:uid="{00000000-0004-0000-0100-00001D010000}"/>
    <hyperlink ref="B173" location="'klikací hodnoty'!A4652" display="ČSOB Evropského Nemovitostního růstu 4" xr:uid="{00000000-0004-0000-0100-00001E010000}"/>
    <hyperlink ref="B178" location="'klikací hodnoty'!A4898" display="ČSOB Bankovního růstu 2" xr:uid="{00000000-0004-0000-0100-00001F010000}"/>
    <hyperlink ref="B179" location="'klikací hodnoty'!A4948" display="ČSOB Energie a Distribuce 1" xr:uid="{00000000-0004-0000-0100-000020010000}"/>
    <hyperlink ref="B180" location="'klikací hodnoty'!A5032" display="ČSOB Světoví giganti 2" xr:uid="{00000000-0004-0000-0100-000021010000}"/>
    <hyperlink ref="B182" location="'klikací hodnoty'!A5069" display="ČSOB Krátkodobého globálního růstu 1" xr:uid="{00000000-0004-0000-0100-000022010000}"/>
    <hyperlink ref="B181" location="'klikací hodnoty'!A5090" display="ĆSOB Variabilní click 1" xr:uid="{00000000-0004-0000-0100-000023010000}"/>
    <hyperlink ref="B187" location="'klikací hodnoty'!A5191" display="PS Dividendový fond 1" xr:uid="{00000000-0004-0000-0100-000024010000}"/>
    <hyperlink ref="B186" location="'klikací hodnoty'!A5149" display="ČSOB Farmacie a Finance 1 " xr:uid="{00000000-0004-0000-0100-000025010000}"/>
    <hyperlink ref="B189" location="'klikací hodnoty'!A5228" display="ČSOB Býci a medvědi 2" xr:uid="{00000000-0004-0000-0100-000026010000}"/>
    <hyperlink ref="B183" location="'klikací hodnoty'!A5264" display="ČSOB Světového růstu +EUR 2" xr:uid="{00000000-0004-0000-0100-000027010000}"/>
    <hyperlink ref="B185" location="'klikací hodnoty'!A5311" display="ČSOB Private Banking Asian Jumpstart 1" xr:uid="{00000000-0004-0000-0100-000028010000}"/>
    <hyperlink ref="B188" location="'klikací hodnoty'!F5301" display="ČSOB Fixovaného růstu 4" xr:uid="{00000000-0004-0000-0100-000029010000}"/>
    <hyperlink ref="B190" location="'klikací hodnoty'!A5362" display="ČSOB Změny klimatu 2" xr:uid="{00000000-0004-0000-0100-00002A010000}"/>
    <hyperlink ref="B191" location="'klikací hodnoty'!A5416" display="ČSOB Světového růstu +18" xr:uid="{00000000-0004-0000-0100-00002B010000}"/>
    <hyperlink ref="B184" location="'klikací hodnoty'!A4985" display="ČSOB Private Banking Luxury &amp; Growth Stock 1 " xr:uid="{00000000-0004-0000-0100-00002C010000}"/>
    <hyperlink ref="B192" location="'klikací hodnoty'!A5466" display="ČSOB Harmonického růstu 2" xr:uid="{00000000-0004-0000-0100-00002D010000}"/>
    <hyperlink ref="B195" location="'klikací hodnoty'!A5520" display="ČSOB Světového růstu +19" xr:uid="{00000000-0004-0000-0100-00002E010000}"/>
    <hyperlink ref="B196" location="'klikací hodnoty'!A5569" display="ČSOB Asijského růstu 5" xr:uid="{00000000-0004-0000-0100-00002F010000}"/>
    <hyperlink ref="B197" location="'klikací hodnoty'!A5606" display="ČSOB Variabilního růstu 1" xr:uid="{00000000-0004-0000-0100-000030010000}"/>
    <hyperlink ref="B198" location="'klikací hodnoty'!A5633" display="ČSOB Private Banking Energy &amp; Utilities 1" xr:uid="{00000000-0004-0000-0100-000031010000}"/>
    <hyperlink ref="B199" location="'klikací hodnoty'!A5670" display="ČSOB Krátkodobého globálního růstu 2" xr:uid="{00000000-0004-0000-0100-000032010000}"/>
    <hyperlink ref="B200" location="'klikací hodnoty'!A5726" display="ČSOB Středoevropský region 2" xr:uid="{00000000-0004-0000-0100-000033010000}"/>
    <hyperlink ref="B201" location="'klikací hodnoty'!A5763" display="ČSOB Světový jumper 2" xr:uid="{00000000-0004-0000-0100-000034010000}"/>
    <hyperlink ref="B203" location="'klikací hodnoty'!A5831" display="ČSOB BRIC 1" xr:uid="{00000000-0004-0000-0100-000035010000}"/>
    <hyperlink ref="B193" location="'klikací hodnoty'!A5858" display="ČSOB Asijský click+ 1" xr:uid="{00000000-0004-0000-0100-000036010000}"/>
    <hyperlink ref="B205" location="'klikací hodnoty'!A5885" display="ČSOB Private Banking Financial Lookback 1" xr:uid="{00000000-0004-0000-0100-000037010000}"/>
    <hyperlink ref="B209" location="'klikací hodnoty'!A5947" display="ČSOB Krátkodobého růstu 8" xr:uid="{00000000-0004-0000-0100-000038010000}"/>
    <hyperlink ref="B208" location="'klikací hodnoty'!A5954" display="ČSOB Středoevropské měny 3" xr:uid="{00000000-0004-0000-0100-000039010000}"/>
    <hyperlink ref="B210" location="'klikací hodnoty'!A5977" display="ČSOB Energie a Distribuce 2" xr:uid="{00000000-0004-0000-0100-00003A010000}"/>
    <hyperlink ref="B137" location="'klikací hodnoty'!A3320" display="ČSOB Spektrum 1" xr:uid="{00000000-0004-0000-0100-00003B010000}"/>
    <hyperlink ref="B217" location="'klikací hodnoty'!F5893" display="ČSOB Private Banking Europe Index Jumper" xr:uid="{00000000-0004-0000-0100-00003C010000}"/>
    <hyperlink ref="B206" location="'klikací hodnoty'!A6031" display="ČSOB Globálního růstu +8" xr:uid="{00000000-0004-0000-0100-00003D010000}"/>
    <hyperlink ref="B211" location="'klikací hodnoty'!A6073" display="PS Dividendový fond 2" xr:uid="{00000000-0004-0000-0100-00003E010000}"/>
    <hyperlink ref="B194" location="'klikací hodnoty'!A6133" display="ČSOB Globálního růstu +7" xr:uid="{00000000-0004-0000-0100-00003F010000}"/>
    <hyperlink ref="B160" location="'klikací hodnoty'!A6183" display="ČSOB Světoví Giganti 1" xr:uid="{00000000-0004-0000-0100-000040010000}"/>
    <hyperlink ref="B214" location="'klikací hodnoty'!A6205" display="ČSOB Světových pivovarů 2" xr:uid="{00000000-0004-0000-0100-000041010000}"/>
    <hyperlink ref="B215" location="'klikací hodnoty'!A6259" display="ČSOB Globálního růstu +9" xr:uid="{00000000-0004-0000-0100-000042010000}"/>
    <hyperlink ref="B213" location="'klikací hodnoty'!A6296" display="ČSOB Býci a medvědi 3" xr:uid="{00000000-0004-0000-0100-000043010000}"/>
    <hyperlink ref="B212" location="'klikací hodnoty'!A6333" display="ČSOB Krátkodobého evropského růstu 1" xr:uid="{00000000-0004-0000-0100-000044010000}"/>
    <hyperlink ref="B204" location="'klikací hodnoty'!A6370" display="ČSOB Private Banking Family Enterprises" xr:uid="{00000000-0004-0000-0100-000045010000}"/>
    <hyperlink ref="B207" location="'klikací hodnoty'!A6393" display="ČSOB Světových pivovarů 1" xr:uid="{00000000-0004-0000-0100-000046010000}"/>
    <hyperlink ref="B220" location="'klikací hodnoty'!A6430" display="ČSOB Krátkodobého globálního růstu 3" xr:uid="{00000000-0004-0000-0100-000047010000}"/>
    <hyperlink ref="B218" location="'klikací hodnoty'!A6475" display="ČSOB Private Banking Europe Lookback 1" xr:uid="{00000000-0004-0000-0100-000048010000}"/>
    <hyperlink ref="B219" location="'klikací hodnoty'!A6520" display="ČSOB Světový lookback 2" xr:uid="{00000000-0004-0000-0100-000049010000}"/>
    <hyperlink ref="B222" location="'klikací hodnoty'!A6557" display="ČSOB Fixovaného růstu 5" xr:uid="{00000000-0004-0000-0100-00004A010000}"/>
    <hyperlink ref="B221" location="'klikací hodnoty'!A6565" display="ČSOB Rozvojové trhy 1" xr:uid="{00000000-0004-0000-0100-00004B010000}"/>
    <hyperlink ref="B223" location="'klikací hodnoty'!A6619" display="ČSOB Globálního růstu +10" xr:uid="{00000000-0004-0000-0100-00004C010000}"/>
    <hyperlink ref="B216" location="'klikací hodnoty'!A6077" display="ČSOB Komodity 2" xr:uid="{00000000-0004-0000-0100-00004D010000}"/>
    <hyperlink ref="B229" location="'klikací hodnoty'!A6646" display="ČSOB Private Banking New Multinationals 1" xr:uid="{00000000-0004-0000-0100-00004E010000}"/>
    <hyperlink ref="B233" location="'klikací hodnoty'!A6683" display="ČSOB Bonusový fond 1" xr:uid="{00000000-0004-0000-0100-00004F010000}"/>
    <hyperlink ref="B230" location="'klikací hodnoty'!A6720" display="ČSOB Krátkodobého globálního růstu 4" xr:uid="{00000000-0004-0000-0100-000050010000}"/>
    <hyperlink ref="B226" location="'klikací hodnoty'!A6757" display="ČSOB Světového růstu USD 1" xr:uid="{00000000-0004-0000-0100-000051010000}"/>
    <hyperlink ref="B234" location="'klikací hodnoty'!A6794" display="ČSOB Světový Jumper 3" xr:uid="{00000000-0004-0000-0100-000052010000}"/>
    <hyperlink ref="B235" location="'klikací hodnoty'!A6869" display="ČSOB Sponzoři sportu 1" xr:uid="{00000000-0004-0000-0100-000053010000}"/>
    <hyperlink ref="B227" location="'klikací hodnoty'!A6842" display="ČSOB Fotbal a relax 1" xr:uid="{00000000-0004-0000-0100-000054010000}"/>
    <hyperlink ref="B239" location="'klikací hodnoty'!A6914" display="ČSOB Evropský lookback 1" xr:uid="{00000000-0004-0000-0100-000055010000}"/>
    <hyperlink ref="B225" location="'klikací hodnoty'!A6932" display="ČSOB Světový click +25" xr:uid="{00000000-0004-0000-0100-000056010000}"/>
    <hyperlink ref="B228" location="'klikací hodnoty'!A6940" display="ČSOB Private Banking Declining Jumper 1" xr:uid="{00000000-0004-0000-0100-000057010000}"/>
    <hyperlink ref="B237" location="'klikací hodnoty'!A6977" display="ČSOB Bonusový fond 2" xr:uid="{00000000-0004-0000-0100-000058010000}"/>
    <hyperlink ref="B238" location="'klikací hodnoty'!A6986" display="ČSOB Emerging Forex 1" xr:uid="{00000000-0004-0000-0100-000059010000}"/>
    <hyperlink ref="B242" location="'klikací hodnoty'!A7030" display="ČSOB Světový lookback 3" xr:uid="{00000000-0004-0000-0100-00005A010000}"/>
    <hyperlink ref="B236" location="'klikací hodnoty'!A7072" display="ČSOB Fixovaný Click 1" xr:uid="{00000000-0004-0000-0100-00005B010000}"/>
    <hyperlink ref="B243" location="'klikací hodnoty'!A7116" display="ČSOB Fixovaný Click 2" xr:uid="{00000000-0004-0000-0100-00005C010000}"/>
    <hyperlink ref="B231" location="'klikací hodnoty'!A7170" display="ČSOB Světového růstu +20" xr:uid="{00000000-0004-0000-0100-00005D010000}"/>
    <hyperlink ref="B240" location="'klikací hodnoty'!A7224" display="ČSOB Světového růstu +21" xr:uid="{00000000-0004-0000-0100-00005E010000}"/>
    <hyperlink ref="B246" location="'klikací hodnoty'!A7261" display="ČSOB Fixovaného růstu 6" xr:uid="{00000000-0004-0000-0100-00005F010000}"/>
    <hyperlink ref="B245" location="'klikací hodnoty'!A7315" display="ČSOB Světového růstu +22" xr:uid="{00000000-0004-0000-0100-000060010000}"/>
    <hyperlink ref="B247" location="'klikací hodnoty'!A7357" display="ČSOB Fixovaný Click 3" xr:uid="{00000000-0004-0000-0100-000061010000}"/>
    <hyperlink ref="B248" location="'klikací hodnoty'!A7442" display="ČSOB Fixovaný click 4" xr:uid="{00000000-0004-0000-0100-000062010000}"/>
    <hyperlink ref="B251" location="'klikací hodnoty'!A7485" display="ČSOB Fixovaný click 5" xr:uid="{00000000-0004-0000-0100-000063010000}"/>
    <hyperlink ref="B253" location="'klikací hodnoty'!A7524" display="ČSOB Digitální reverzní 3" xr:uid="{00000000-0004-0000-0100-000064010000}"/>
    <hyperlink ref="B252" location="'klikací hodnoty'!A7566" display="ČSOB Fixovaný click 6" xr:uid="{00000000-0004-0000-0100-000065010000}"/>
    <hyperlink ref="B256" location="'klikací hodnoty'!A7603" display="ČSOB Fixovaného růstu 7" xr:uid="{00000000-0004-0000-0100-000066010000}"/>
    <hyperlink ref="B224" location="'klikací hodnoty'!A7630" display="ČSOB Světoví giganti 3" xr:uid="{00000000-0004-0000-0100-000067010000}"/>
    <hyperlink ref="B255" location="'klikací hodnoty'!A7671" display="ČSOB Fixovaný click 7" xr:uid="{00000000-0004-0000-0100-000068010000}"/>
    <hyperlink ref="B254" location="'klikací hodnoty'!A7710" display="ČSOB Reverzny 3" xr:uid="{00000000-0004-0000-0100-000069010000}"/>
    <hyperlink ref="B259" location="'klikací hodnoty'!A7747" display="ČSOB Variabilního růstu 2" xr:uid="{00000000-0004-0000-0100-00006A010000}"/>
    <hyperlink ref="B262" location="'klikací hodnoty'!A7801" display="ČSOB Světového růstu +23" xr:uid="{00000000-0004-0000-0100-00006B010000}"/>
    <hyperlink ref="B263" location="'klikací hodnoty'!A7824" display="ČSOB Alternativní energie plus" xr:uid="{00000000-0004-0000-0100-00006C010000}"/>
    <hyperlink ref="B261" location="'klikací hodnoty'!A7865" display="ČSOB Fixovaný click 8" xr:uid="{00000000-0004-0000-0100-00006D010000}"/>
    <hyperlink ref="B265" location="'klikací hodnoty'!A7902" display="ČSOB Světový jumper 4" xr:uid="{00000000-0004-0000-0100-00006E010000}"/>
    <hyperlink ref="B258" location="'klikací hodnoty'!A7938" display="KBC Reverzny 4" xr:uid="{00000000-0004-0000-0100-00006F010000}"/>
    <hyperlink ref="B264" location="'klikací hodnoty'!A7975" display="ČSOB Rozvoj infrastruktury 1" xr:uid="{00000000-0004-0000-0100-000070010000}"/>
    <hyperlink ref="B268" location="'klikací hodnoty'!A8012" display="ČSOB Bonusový fond 3" xr:uid="{00000000-0004-0000-0100-000071010000}"/>
    <hyperlink ref="B267" location="'klikací hodnoty'!A8048" display="ČSOB Top start 1" xr:uid="{00000000-0004-0000-0100-000072010000}"/>
    <hyperlink ref="B249" location="'klikací hodnoty'!A7399" display="ČSOB Světový strom 14" xr:uid="{00000000-0004-0000-0100-000073010000}"/>
    <hyperlink ref="B232" location="'klikací hodnoty'!A8075" display="ČSOB Nových nadnárodních firem 1" xr:uid="{00000000-0004-0000-0100-000074010000}"/>
    <hyperlink ref="B241" location="'klikací hodnoty'!A8116" display="PS Fixovaný click 1" xr:uid="{00000000-0004-0000-0100-000075010000}"/>
    <hyperlink ref="B273" location="'klikací hodnoty'!A8127" display="ČSOB Světový click+ EUR 5" xr:uid="{00000000-0004-0000-0100-000076010000}"/>
    <hyperlink ref="B271" location="'klikací hodnoty'!A8181" display="ČSOB Světového růstu +24" xr:uid="{00000000-0004-0000-0100-000077010000}"/>
    <hyperlink ref="B270" location="'klikací hodnoty'!A8222" display="ČSOB Fixovaný click 9" xr:uid="{00000000-0004-0000-0100-000078010000}"/>
    <hyperlink ref="B275" location="'klikací hodnoty'!A8259" display="ČSOB Kvalitní akcie 1" xr:uid="{00000000-0004-0000-0100-000079010000}"/>
    <hyperlink ref="B276" location="'klikací hodnoty'!A8300" display="ČSOB Fixovaný click 10" xr:uid="{00000000-0004-0000-0100-00007A010000}"/>
    <hyperlink ref="B283" location="'klikací hodnoty'!A8456" display="ČSOB Krátkodobý globální invest 1" xr:uid="{00000000-0004-0000-0100-00007B010000}"/>
    <hyperlink ref="B284" location="'klikací hodnoty'!A8372" display="ČSOB Variabilního růstu 3" xr:uid="{00000000-0004-0000-0100-00007C010000}"/>
    <hyperlink ref="B279" location="'klikací hodnoty'!A8404" display="ČSOB Světový strom 13" xr:uid="{00000000-0004-0000-0100-00007D010000}"/>
    <hyperlink ref="B277" location="'klikací hodnoty'!A8335" display="ČSOB Top start 2" xr:uid="{00000000-0004-0000-0100-00007E010000}"/>
    <hyperlink ref="B280" location="'klikací hodnoty'!A8496" display="ČSOB Double safety 1" xr:uid="{00000000-0004-0000-0100-00007F010000}"/>
    <hyperlink ref="B281" location="'klikací hodnoty'!A8533" display="KBC Rastový 6 EUR" xr:uid="{00000000-0004-0000-0100-000080010000}"/>
    <hyperlink ref="B286" location="'klikací hodnoty'!A8539" display="KBC Měny 2" xr:uid="{00000000-0004-0000-0100-000081010000}"/>
    <hyperlink ref="B282" location="'klikací hodnoty'!A8581" display="ČSOB Click s pamětí 1" xr:uid="{00000000-0004-0000-0100-000082010000}"/>
    <hyperlink ref="B288" location="'klikací hodnoty'!A8590" display="ČSOB Jumper plus 1" xr:uid="{00000000-0004-0000-0100-000083010000}"/>
    <hyperlink ref="B289" location="'klikací hodnoty'!A8630" display="ČSOB Double safety 2" xr:uid="{00000000-0004-0000-0100-000084010000}"/>
    <hyperlink ref="B292" location="'klikací hodnoty'!A8644" display="ČSOB Private renta 03/2010" xr:uid="{00000000-0004-0000-0100-000085010000}"/>
    <hyperlink ref="B290" location="'klikací hodnoty'!A8685" display="ČSOB Fixovaný click 11" xr:uid="{00000000-0004-0000-0100-000086010000}"/>
    <hyperlink ref="B291" location="'klikací hodnoty'!A8720" display="ČSOB Top start 3" xr:uid="{00000000-0004-0000-0100-000087010000}"/>
    <hyperlink ref="B294" location="'klikací hodnoty'!A8752" display="ČSOB Světový strom 15" xr:uid="{00000000-0004-0000-0100-000088010000}"/>
    <hyperlink ref="B297" location="'klikací hodnoty'!A8812" display="ČSOB Krátkodobý globální invest 2" xr:uid="{00000000-0004-0000-0100-000089010000}"/>
    <hyperlink ref="B299" location="'klikací hodnoty'!A8760" display="ČSOB Private Banking Buffer Jumper 1" xr:uid="{00000000-0004-0000-0100-00008A010000}"/>
    <hyperlink ref="B300" location="'klikací hodnoty'!A8820" display="ČSOB Private Banking Asian Buffer Jumper 1" xr:uid="{00000000-0004-0000-0100-00008B010000}"/>
    <hyperlink ref="B293" location="'klikací hodnoty'!A8863" display="ČSOB Click s pamětí 2" xr:uid="{00000000-0004-0000-0100-00008C010000}"/>
    <hyperlink ref="B302" location="'klikací hodnoty'!A8890" display="ČSOB Asijské investice 1" xr:uid="{00000000-0004-0000-0100-00008D010000}"/>
    <hyperlink ref="B295" location="'klikací hodnoty'!A8927" display="ČSOB Krátký horizont 1" xr:uid="{00000000-0004-0000-0100-00008E010000}"/>
    <hyperlink ref="B298" location="'klikací hodnoty'!A8954" display="ČSOB Energie a Distribuce 3" xr:uid="{00000000-0004-0000-0100-00008F010000}"/>
    <hyperlink ref="B296" location="'klikací hodnoty'!A8991" display="ČSOB Kvalitní akcie 2" xr:uid="{00000000-0004-0000-0100-000090010000}"/>
    <hyperlink ref="B301" location="'klikací hodnoty'!A9034" display="ČSOB Click s pamětí 3" xr:uid="{00000000-0004-0000-0100-000091010000}"/>
    <hyperlink ref="B307" location="'klikací hodnoty'!A9043" display="ČSOB Airbag jumper 1" xr:uid="{00000000-0004-0000-0100-000092010000}"/>
    <hyperlink ref="B305" location="'klikací hodnoty'!A9052" display="ČSOB Jumper plus 2" xr:uid="{00000000-0004-0000-0100-000093010000}"/>
    <hyperlink ref="B304" location="'klikací hodnoty'!A9089" display="ČSOB Růstu USD 2" xr:uid="{00000000-0004-0000-0100-000094010000}"/>
    <hyperlink ref="B306" location="'klikací hodnoty'!A9126" display="ČSOB Fixovaného rustu 8" xr:uid="{00000000-0004-0000-0100-000095010000}"/>
    <hyperlink ref="B309" location="'klikací hodnoty'!A9135" display="ČSOB Airbag jumper Asie 1" xr:uid="{00000000-0004-0000-0100-000096010000}"/>
    <hyperlink ref="B303" location="'klikací hodnoty'!A9174" display="ČSOB Digitální reverzní 4" xr:uid="{00000000-0004-0000-0100-000097010000}"/>
    <hyperlink ref="B285" location="'klikací hodnoty'!A9211" display="ČSOB Globálního růstu USD 1" xr:uid="{00000000-0004-0000-0100-000098010000}"/>
    <hyperlink ref="B314" location="'klikací hodnoty'!A9248" display="ČSOB Top start 4" xr:uid="{00000000-0004-0000-0100-000099010000}"/>
    <hyperlink ref="B310" location="'klikací hodnoty'!A9252" display="ČSOB Exclusive Germany 1" xr:uid="{00000000-0004-0000-0100-00009A010000}"/>
    <hyperlink ref="B317" location="'klikací hodnoty'!A9256" display="ČSOB Private Banking Europe Bull &amp; Bear 1" xr:uid="{00000000-0004-0000-0100-00009B010000}"/>
    <hyperlink ref="B308" location="'klikací hodnoty'!A9299" display="ČSOB Fixovaný click 12" xr:uid="{00000000-0004-0000-0100-00009C010000}"/>
    <hyperlink ref="B315" location="'klikací hodnoty'!A9353" display="ČSOB Globální invest 1" xr:uid="{00000000-0004-0000-0100-00009D010000}"/>
    <hyperlink ref="B312" location="'klikací hodnoty'!A9362" display="ČSOB Airbag jumper 2" xr:uid="{00000000-0004-0000-0100-00009E010000}"/>
    <hyperlink ref="B316" location="'klikací hodnoty'!A9399" display="ČSOB Energie a distribuce 4" xr:uid="{00000000-0004-0000-0100-00009F010000}"/>
    <hyperlink ref="B322" location="'klikací hodnoty'!A9446" display="ČSOB Duo Bonus 1" xr:uid="{00000000-0004-0000-0100-0000A0010000}"/>
    <hyperlink ref="B318" location="'klikací hodnoty'!A9489" display="ČSOB Fixovaný click 14" xr:uid="{00000000-0004-0000-0100-0000A1010000}"/>
    <hyperlink ref="B323" location="'klikací hodnoty'!A9516" display="ČSOB Private Banking Consumer Trends 1" xr:uid="{00000000-0004-0000-0100-0000A2010000}"/>
    <hyperlink ref="B327" location="'klikací hodnoty'!A9543" display="ČSOB Private Banking Global Leaders 1" xr:uid="{00000000-0004-0000-0100-0000A3010000}"/>
    <hyperlink ref="B320" location="'klikací hodnoty'!A9586" display="PS Fixovaný click 2" xr:uid="{00000000-0004-0000-0100-0000A4010000}"/>
    <hyperlink ref="B319" location="'klikací hodnoty'!A9623" display="ČSOB Světové investice 1" xr:uid="{00000000-0004-0000-0100-0000A5010000}"/>
    <hyperlink ref="B324" location="'klikací hodnoty'!A9627" display="ČSOB Býci a medvědi plus 1" xr:uid="{00000000-0004-0000-0100-0000A6010000}"/>
    <hyperlink ref="B311" location="'klikací hodnoty'!A9670" display="ČSOB Fixovaný click 13" xr:uid="{00000000-0004-0000-0100-0000A7010000}"/>
    <hyperlink ref="B333" location="'klikací hodnoty'!A9697" display="ČSOB Sport Event Winners 1" xr:uid="{00000000-0004-0000-0100-0000A8010000}"/>
    <hyperlink ref="B328" location="'klikací hodnoty'!A9740" display="ČSOB Click s pamětí 4" xr:uid="{00000000-0004-0000-0100-0000A9010000}"/>
    <hyperlink ref="B338" location="'klikací hodnoty'!A9749" display="ČSOB Exclusive Airbag Jumper 1" xr:uid="{00000000-0004-0000-0100-0000AA010000}"/>
    <hyperlink ref="B339" location="'klikací hodnoty'!A9776" display="ČSOB Private Banking Strong European Economies" xr:uid="{00000000-0004-0000-0100-0000AB010000}"/>
    <hyperlink ref="B334" location="'klikací hodnoty'!A9785" display="ČSOB Evropský click 1" xr:uid="{00000000-0004-0000-0100-0000AC010000}"/>
    <hyperlink ref="B335" location="'klikací hodnoty'!A9839" display="ČSOB Světového růstu +25" xr:uid="{00000000-0004-0000-0100-0000AD010000}"/>
    <hyperlink ref="B337" location="'klikací hodnoty'!A9871" display="ČSOB Světový strom 16" xr:uid="{00000000-0004-0000-0100-0000AE010000}"/>
    <hyperlink ref="B330" location="'klikací hodnoty'!A9914" display="ČSOB Fixovaný click 15" xr:uid="{00000000-0004-0000-0100-0000AF010000}"/>
    <hyperlink ref="B331" location="'klikací hodnoty'!A9961" display="ČSOB Duo bonus 2" xr:uid="{00000000-0004-0000-0100-0000B0010000}"/>
    <hyperlink ref="B321" location="'klikací hodnoty'!A9988" display="ČSOB Asijské investice 2" xr:uid="{00000000-0004-0000-0100-0000B1010000}"/>
    <hyperlink ref="B329" location="'klikací hodnoty'!A10025" display="ČSOB Růstový fix 1" xr:uid="{00000000-0004-0000-0100-0000B2010000}"/>
    <hyperlink ref="B325" location="'klikací hodnoty'!A10068" display="ČSOB Fixovaný click USD 1" xr:uid="{00000000-0004-0000-0100-0000B3010000}"/>
    <hyperlink ref="B341" location="'klikací hodnoty'!A10122" display="ČSOB Globálních společností 1" xr:uid="{00000000-0004-0000-0100-0000B4010000}"/>
    <hyperlink ref="B340" location="'klikací hodnoty'!A10165" display="ČSOB Fixovaný click 16" xr:uid="{00000000-0004-0000-0100-0000B5010000}"/>
    <hyperlink ref="B344" location="'klikací hodnoty'!A10192" display="ČSOB Spotřební trendy 1" xr:uid="{00000000-0004-0000-0100-0000B6010000}"/>
    <hyperlink ref="B343" location="'klikací hodnoty'!A10201" display="ČSOB Exclusive Buffer Jumper 1" xr:uid="{00000000-0004-0000-0100-0000B7010000}"/>
    <hyperlink ref="B202" location="'klikací hodnoty'!A5808" display="ČSOB Světový Lookback 1" xr:uid="{00000000-0004-0000-0100-0000B8010000}"/>
    <hyperlink ref="B349" location="'klikací hodnoty'!A10240" display="ČSOB Digitální reverzní 5" xr:uid="{00000000-0004-0000-0100-0000B9010000}"/>
    <hyperlink ref="B347" location="'klikací hodnoty'!A10283" display="ČSOB Fixovany click USD 2" xr:uid="{00000000-0004-0000-0100-0000BA010000}"/>
    <hyperlink ref="B336" location="'klikací hodnoty'!A10324" display="ČSOB BRIC šampioni 1" xr:uid="{00000000-0004-0000-0100-0000BB010000}"/>
    <hyperlink ref="B345" location="'klikací hodnoty'!A10367" display="ČSOB Fixovaný click 17" xr:uid="{00000000-0004-0000-0100-0000BC010000}"/>
    <hyperlink ref="B348" location="'klikací hodnoty'!A10414" display="ČSOB Duo bonus 3" xr:uid="{00000000-0004-0000-0100-0000BD010000}"/>
    <hyperlink ref="B353" location="'klikací hodnoty'!A10461" display="ČSOB Duo bonus 1 EUR" xr:uid="{00000000-0004-0000-0100-0000BE010000}"/>
    <hyperlink ref="B352" location="'klikací hodnoty'!A10504" display="ČSOB Fixovany Click 18" xr:uid="{00000000-0004-0000-0100-0000BF010000}"/>
    <hyperlink ref="B351" location="'klikací hodnoty'!A10541" display="ČSOB Duo bonus 4" xr:uid="{00000000-0004-0000-0100-0000C0010000}"/>
    <hyperlink ref="B354" location="'klikací hodnoty'!A10578" display="ČSOB Vitálních firem 1" xr:uid="{00000000-0004-0000-0100-0000C1010000}"/>
    <hyperlink ref="B153" location="'klikací hodnoty'!A10625" display="ČSOB PB Europe Entry Optimizer 1" xr:uid="{00000000-0004-0000-0100-0000C2010000}"/>
    <hyperlink ref="B355" location="'klikací hodnoty'!A10668" display="ČSOB Fixovaný click 19" xr:uid="{00000000-0004-0000-0100-0000C3010000}"/>
    <hyperlink ref="B359" location="'klikací hodnoty'!A10713" display="ČSOB Exclusive Lookback 1" xr:uid="{00000000-0004-0000-0100-0000C4010000}"/>
    <hyperlink ref="B346" location="'klikací hodnoty'!A10750" display="ČSOB Jump start 1" xr:uid="{00000000-0004-0000-0100-0000C5010000}"/>
    <hyperlink ref="B350" location="'klikací hodnoty'!A10787" display="ČSOB Globálního růstu+ 11" xr:uid="{00000000-0004-0000-0100-0000C6010000}"/>
    <hyperlink ref="B356" location="'klikací hodnoty'!A10824" display="ČSOB Globálního růstu+ 12" xr:uid="{00000000-0004-0000-0100-0000C7010000}"/>
    <hyperlink ref="B360" location="'klikací hodnoty'!A10867" display="ČSOB Fixovaný click 20" xr:uid="{00000000-0004-0000-0100-0000C8010000}"/>
    <hyperlink ref="B361" location="'klikací hodnoty'!A10876" display="ČSOB Úrokový click 1" xr:uid="{00000000-0004-0000-0100-0000C9010000}"/>
    <hyperlink ref="B366" location="'klikací hodnoty'!A10883" display="ČSOB Úrokový click 2" xr:uid="{00000000-0004-0000-0100-0000CA010000}"/>
    <hyperlink ref="B364" location="'klikací hodnoty'!A10926" display="ČSOB Fixovaný click 21" xr:uid="{00000000-0004-0000-0100-0000CB010000}"/>
    <hyperlink ref="B367" location="'klikací hodnoty'!A10963" display="ČSOB Life Exclusive Jump Start 1" xr:uid="{00000000-0004-0000-0100-0000CC010000}"/>
    <hyperlink ref="B369" location="'klikací hodnoty'!A11000" display="ČSOB Life Exclusive Head Start 1" xr:uid="{00000000-0004-0000-0100-0000CD010000}"/>
    <hyperlink ref="B365" location="'klikací hodnoty'!A11043" display="ČSOB Click plus 1" xr:uid="{00000000-0004-0000-0100-0000CE010000}"/>
    <hyperlink ref="B368" location="'klikací hodnoty'!A11052" display="ČSOB Life Inflace 1" xr:uid="{00000000-0004-0000-0100-0000CF010000}"/>
    <hyperlink ref="B363" location="'klikací hodnoty'!A11089" display="ČSOB Duo bonus 5" xr:uid="{00000000-0004-0000-0100-0000D0010000}"/>
    <hyperlink ref="B372" location="'klikací hodnoty'!A11098" display="ČSOB Private Banking Buffer Jumper 2" xr:uid="{00000000-0004-0000-0100-0000D1010000}"/>
    <hyperlink ref="B371" location="'klikací hodnoty'!A11125" display="ČSOB Fixovaného růstu plus 1" xr:uid="{00000000-0004-0000-0100-0000D2010000}"/>
    <hyperlink ref="B362" location="'klikací hodnoty'!A11176" display="ČSOB Světového růstu +26" xr:uid="{00000000-0004-0000-0100-0000D3010000}"/>
    <hyperlink ref="B377" location="'klikací hodnoty'!A11185" display="ČSOB Exclusive Buffer Jumper 2" xr:uid="{00000000-0004-0000-0100-0000D4010000}"/>
    <hyperlink ref="B373" location="'klikací hodnoty'!A11194" display="ČSOB Měnových příležitostí 1" xr:uid="{00000000-0004-0000-0100-0000D5010000}"/>
    <hyperlink ref="B370" location="'klikací hodnoty'!A11237" display="ČSOB Click s pamětí 5" xr:uid="{00000000-0004-0000-0100-0000D6010000}"/>
    <hyperlink ref="B376" location="'klikací hodnoty'!A11280" display="ČSOB Memory Click 1 EUR" xr:uid="{00000000-0004-0000-0100-0000D7010000}"/>
    <hyperlink ref="B374" location="'klikací hodnoty'!A11323" display="ČSOB Click s pamětí 6" xr:uid="{00000000-0004-0000-0100-0000D8010000}"/>
    <hyperlink ref="B375" location="'klikací hodnoty'!A11361" display="ČSOB Potravin a nápojů 1" xr:uid="{00000000-0004-0000-0100-0000D9010000}"/>
    <hyperlink ref="B381" location="'klikací hodnoty'!A11393" display="ČSOB Life Světový strom plus 1" xr:uid="{00000000-0004-0000-0100-0000DA010000}"/>
    <hyperlink ref="B379" location="'klikací hodnoty'!A11510" display="ČSOB Exclusive Global Leaders 1" xr:uid="{00000000-0004-0000-0100-0000DB010000}"/>
    <hyperlink ref="B378" location="'klikací hodnoty'!A11473" display="ČSOB Individuálního růstu 1" xr:uid="{00000000-0004-0000-0100-0000DC010000}"/>
    <hyperlink ref="B380" location="'klikací hodnoty'!A11436" display="ČSOB Fixovaný click 22" xr:uid="{00000000-0004-0000-0100-0000DD010000}"/>
    <hyperlink ref="B385" location="'klikací hodnoty'!A11542" display="ČSOB Silných odvětví 1" xr:uid="{00000000-0004-0000-0100-0000DE010000}"/>
    <hyperlink ref="B382" location="'klikací hodnoty'!A11598" display="ČSOB Světového Růstu+ 27" xr:uid="{00000000-0004-0000-0100-0000DF010000}"/>
    <hyperlink ref="B383" location="'klikací hodnoty'!A11641" display="ČSOB Fixovaný click USD 3" xr:uid="{00000000-0004-0000-0100-0000E0010000}"/>
    <hyperlink ref="B384" location="'klikací hodnoty'!A11678" display="ČSOB Exclusive Jumpstart 2" xr:uid="{00000000-0004-0000-0100-0000E1010000}"/>
    <hyperlink ref="B386" location="'klikací hodnoty'!A11715" display="ČSOB Potravin a nápojů 3" xr:uid="{00000000-0004-0000-0100-0000E2010000}"/>
    <hyperlink ref="B388" location="'klikací hodnoty'!A11752" display="ČSOB Globálního růstu+ 14" xr:uid="{00000000-0004-0000-0100-0000E3010000}"/>
    <hyperlink ref="B387" location="'klikací hodnoty'!A11761" display="ČSOB Exclusive Buffer Jumper 3" xr:uid="{00000000-0004-0000-0100-0000E4010000}"/>
    <hyperlink ref="B389" location="'klikací hodnoty'!A11798" display="ČSOB Globálního růstu EUR 1" xr:uid="{00000000-0004-0000-0100-0000E5010000}"/>
    <hyperlink ref="B390" location="'klikací hodnoty'!A11835" display="ČSOB Dobyvatelé nových trhů 1" xr:uid="{00000000-0004-0000-0100-0000E6010000}"/>
    <hyperlink ref="B391" location="'klikací hodnoty'!A11862" display="ČSOB Silných společností 1" xr:uid="{00000000-0004-0000-0100-0000E7010000}"/>
    <hyperlink ref="B392" location="'klikací hodnoty'!A11899" display="ČSOB Světových příležitostí 1" xr:uid="{00000000-0004-0000-0100-0000E8010000}"/>
    <hyperlink ref="B393" location="'klikací hodnoty'!A11936" display="ČSOB Private Banking Global Leaders 2" xr:uid="{00000000-0004-0000-0100-0000E9010000}"/>
    <hyperlink ref="B394" location="'klikací hodnoty'!A11963" display="ČSOB Potravin a nápojů 4" xr:uid="{00000000-0004-0000-0100-0000EA010000}"/>
    <hyperlink ref="B396" location="'klikací hodnoty'!A11972" display="ČSOB Exclusive Buffer Jumper EUR 2" xr:uid="{00000000-0004-0000-0100-0000EB010000}"/>
    <hyperlink ref="B395" location="'klikací hodnoty'!A12009" display="ČSOB Světový jumpstart 1" xr:uid="{00000000-0004-0000-0100-0000EC010000}"/>
    <hyperlink ref="B397" location="'klikací hodnoty'!A12046" display="ČSOB Perspektivních trhů 1" xr:uid="{00000000-0004-0000-0100-0000ED010000}"/>
    <hyperlink ref="B398" location="'klikací hodnoty'!A12130" display="ČSOB Světových firem 1" xr:uid="{00000000-0004-0000-0100-0000EE010000}"/>
    <hyperlink ref="B402" location="'klikací hodnoty'!A12177" display="ČSOB Duo bonus 2 EUR" xr:uid="{00000000-0004-0000-0100-0000EF010000}"/>
    <hyperlink ref="B401" location="'klikací hodnoty'!A12204" display="ČSOB Potravin a nápojů 5" xr:uid="{00000000-0004-0000-0100-0000F0010000}"/>
    <hyperlink ref="B403" location="'klikací hodnoty'!A12260" display="ČSOB Private Banking World Selection 1" xr:uid="{00000000-0004-0000-0100-0000F1010000}"/>
    <hyperlink ref="B406" location="'klikací hodnoty'!A12293" display="ČSOB Life Fixovaný click 23" xr:uid="{00000000-0004-0000-0100-0000F2010000}"/>
    <hyperlink ref="B408" location="'klikací hodnoty'!A12330" display="ČSOB Globálního růstu+ 16" xr:uid="{00000000-0004-0000-0100-0000F3010000}"/>
    <hyperlink ref="B414" location="'klikací hodnoty'!A12336" display="ČSOB Airbag Jumper EUR +1" xr:uid="{00000000-0004-0000-0100-0000F4010000}"/>
    <hyperlink ref="B410" location="'klikací hodnoty'!A12373" display="ČSOB Dobyvatelé nových trhů 2" xr:uid="{00000000-0004-0000-0100-0000F5010000}"/>
    <hyperlink ref="B407" location="'klikací hodnoty'!A12419" display="ČSOB Life Zdravotnictví a farmacie 1" xr:uid="{00000000-0004-0000-0100-0000F6010000}"/>
    <hyperlink ref="B409" location="'klikací hodnoty'!A12475" display="ČSOB Private Banking US Housing Premium 1" xr:uid="{00000000-0004-0000-0100-0000F7010000}"/>
    <hyperlink ref="B400" location="'klikací hodnoty'!A12484" display="ČSOB Exclusive Buffer Jumper 4" xr:uid="{00000000-0004-0000-0100-0000F8010000}"/>
    <hyperlink ref="B405" location="'klikací hodnoty'!A12540" display="ČSOB Světových příležitostí USD 1" xr:uid="{00000000-0004-0000-0100-0000F9010000}"/>
    <hyperlink ref="B404" location="'klikací hodnoty'!A12596" display="ČSOB Šampioni sportu 1" xr:uid="{00000000-0004-0000-0100-0000FA010000}"/>
    <hyperlink ref="B411" location="'klikací hodnoty'!A12652" display="ČSOB Šampioni sportu 2" xr:uid="{00000000-0004-0000-0100-0000FB010000}"/>
    <hyperlink ref="B412" location="'klikací hodnoty'!A12708" display="ČSOB Globálního růstu EUR 2" xr:uid="{00000000-0004-0000-0100-0000FC010000}"/>
    <hyperlink ref="B413" location="'klikací hodnoty'!A12714" display="ČSOB Exclusive Airbag Jumper +1" xr:uid="{00000000-0004-0000-0100-0000FD010000}"/>
    <hyperlink ref="B358" location="'klikací hodnoty'!A10621" display="ČSOB Fixovaný click EUR 1" xr:uid="{00000000-0004-0000-0100-0000FE010000}"/>
    <hyperlink ref="B415" location="'klikací hodnoty'!A12760" display="ČSOB Světových příležitostí 2" xr:uid="{00000000-0004-0000-0100-0000FF010000}"/>
    <hyperlink ref="B419" location="'klikací hodnoty'!A12816" display="ČSOB Silné firmy 1" xr:uid="{00000000-0004-0000-0100-000000020000}"/>
    <hyperlink ref="B418" location="'klikací hodnoty'!A12822" display="ČSOB Exclusive Airbag Jumper+ 2" xr:uid="{00000000-0004-0000-0100-000001020000}"/>
    <hyperlink ref="B417" location="'klikací hodnoty'!F12878" display="ČSOB Perspektivních trhů 2" xr:uid="{00000000-0004-0000-0100-000002020000}"/>
    <hyperlink ref="B423" location="'klikací hodnoty'!A12934" display="ČSOB Svět s bonusem pivovarů 1" xr:uid="{00000000-0004-0000-0100-000003020000}"/>
    <hyperlink ref="B424" location="'klikací hodnoty'!A12990" display="ČSOB Světové trhy 1" xr:uid="{00000000-0004-0000-0100-000004020000}"/>
    <hyperlink ref="B428" location="'klikací hodnoty'!A13036" display="ČSOB Life Světových firem +2" xr:uid="{00000000-0004-0000-0100-000005020000}"/>
    <hyperlink ref="B416" location="'klikací hodnoty'!F13060" display="ČSOB Evropa 1" xr:uid="{00000000-0004-0000-0100-000006020000}"/>
    <hyperlink ref="B420" location="'klikací hodnoty'!A13116" display="ČSOB PB Enhanced World Selection 1" xr:uid="{00000000-0004-0000-0100-000007020000}"/>
    <hyperlink ref="B421" location="'klikací hodnoty'!A13172" display="ČSOB Perspektivních trhů 3" xr:uid="{00000000-0004-0000-0100-000008020000}"/>
    <hyperlink ref="B422" location="'klikací hodnoty'!A13228" display="ČSOB Svět a pivní prémie 1" xr:uid="{00000000-0004-0000-0100-000009020000}"/>
    <hyperlink ref="B425" location="'klikací hodnoty'!A13278" display="ČSOB Světový pokrok 1" xr:uid="{00000000-0004-0000-0100-00000A020000}"/>
    <hyperlink ref="B431" location="'klikací hodnoty'!A13334" display="ČSOB Evropské oživení 1" xr:uid="{00000000-0004-0000-0100-00000B020000}"/>
    <hyperlink ref="B432" location="'klikací hodnoty'!A13340" display="ČSOB Exclusive Airbag Jumper +3" xr:uid="{00000000-0004-0000-0100-00000C020000}"/>
    <hyperlink ref="B435" location="'klikací hodnoty'!A13346" display="ČSOB Exclusive Airbag Jumper +4" xr:uid="{00000000-0004-0000-0100-00000D020000}"/>
    <hyperlink ref="B437" location="'klikací hodnoty'!A13352" display="ČSOB Airbag Jumper EUR 3" xr:uid="{00000000-0004-0000-0100-00000E020000}"/>
    <hyperlink ref="B426" location="'klikací hodnoty'!A13398" display="ČSOB Světový výběr 1" xr:uid="{00000000-0004-0000-0100-00000F020000}"/>
    <hyperlink ref="B427" location="'klikací hodnoty'!A13444" display="ČSOB Life Světových firem +1" xr:uid="{00000000-0004-0000-0100-000010020000}"/>
    <hyperlink ref="B429" location="'klikací hodnoty'!A13500" display="ČSOB Globálních příležitostí USD 1" xr:uid="{00000000-0004-0000-0100-000011020000}"/>
    <hyperlink ref="B430" location="'klikací hodnoty'!A13556" display="ČSOB Svět s high tech bonusem 1" xr:uid="{00000000-0004-0000-0100-000012020000}"/>
    <hyperlink ref="B433" location="'klikací hodnoty'!A13612" display="ČSOB Svět s německým bonusem 1" xr:uid="{00000000-0004-0000-0100-000013020000}"/>
    <hyperlink ref="B434" location="'klikací hodnoty'!A13658" display="ČSOB Life Světových firem +3" xr:uid="{00000000-0004-0000-0100-000014020000}"/>
    <hyperlink ref="B436" location="'klikací hodnoty'!A13714" display="ČSOB Světových příležitostí 3" xr:uid="{00000000-0004-0000-0100-000015020000}"/>
    <hyperlink ref="B438" location="'klikací hodnoty'!A13769" display="ČSOB Světový expres 1" xr:uid="{00000000-0004-0000-0100-000016020000}"/>
    <hyperlink ref="AT71" location="'klikací hodnoty'!F1573" display="FUND PARTN. ČSOB SVĚTOVÝ CLICK+ USD 5" xr:uid="{00000000-0004-0000-0100-000017020000}"/>
    <hyperlink ref="AT79" location="'klikací hodnoty'!F1787" display="KBC CLICK ČSOB SVĚTOVÉHO RŮSTU 9" xr:uid="{00000000-0004-0000-0100-000018020000}"/>
    <hyperlink ref="AT81" location="'klikací hodnoty'!F1824" display="HORIZON CSOB PB EUROPE BOOSTER 1" xr:uid="{00000000-0004-0000-0100-000019020000}"/>
    <hyperlink ref="AT85" location="'klikací hodnoty'!F1941" display="FUND PARTN. ČSOB REVERZNÍ CLICK 6" xr:uid="{00000000-0004-0000-0100-00001A020000}"/>
    <hyperlink ref="AT90" location="'klikací hodnoty'!F2041" display="FUND PARTN. ČSOB DIGITÁLNÍ REVERZNÍ 1" xr:uid="{00000000-0004-0000-0100-00001B020000}"/>
    <hyperlink ref="AT94" location="'klikací hodnoty'!F2160" display="FUND PARTN. ČSOB GLOBÁLNÍHO RŮSTU+ 3" xr:uid="{00000000-0004-0000-0100-00001C020000}"/>
    <hyperlink ref="AT92" location="'klikací hodnoty'!F2086" display="FUND PARTN. ČSOB CLICK PROGRAM 5" xr:uid="{00000000-0004-0000-0100-00001D020000}"/>
    <hyperlink ref="AT101" location="'klikací hodnoty'!F2257" display="FUND PARTN. ČSOB SVĚTOVÝ CLICK+ 23" xr:uid="{00000000-0004-0000-0100-00001E020000}"/>
    <hyperlink ref="AT97" location="'klikací hodnoty'!F2309" display="FUND PARTN. ČSOB KRÁTKODOBÉHO RŮSTU 4" xr:uid="{00000000-0004-0000-0100-00001F020000}"/>
    <hyperlink ref="AX9:AY9" location="'klikací hodnoty'!F150" display="FUND PARTN. ČSOB SVĚTOVÝ CLICK+ 2" xr:uid="{00000000-0004-0000-0100-000020020000}"/>
    <hyperlink ref="AT113" location="'klikací hodnoty'!F2160" display="FUND PARTN. ČSOB GLOBÁLNÍHO RŮSTU+ 3" xr:uid="{00000000-0004-0000-0100-000021020000}"/>
    <hyperlink ref="AT123" location="'klikací hodnoty'!F1476" display="KBC CLICK ČSOB PB EUROPE SHORT 1 " xr:uid="{00000000-0004-0000-0100-000022020000}"/>
    <hyperlink ref="AT131" location="'klikací hodnoty'!F1898" display="FUND PARTN. ČSOB GLOBÁLNÍHO RŮSTU+ 2" xr:uid="{00000000-0004-0000-0100-000023020000}"/>
    <hyperlink ref="AT140" location="'klikací hodnoty'!F1898" display="FUND PARTN. ČSOB GLOBÁLNÍHO RŮSTU+ 2" xr:uid="{00000000-0004-0000-0100-000024020000}"/>
    <hyperlink ref="AX11:AY11" location="'klikací hodnoty'!F150" display="FUND PARTN. ČSOB SVĚTOVÝ CLICK+ 2" xr:uid="{00000000-0004-0000-0100-000025020000}"/>
    <hyperlink ref="AT104" location="'klikací hodnoty'!F2160" display="FUND PARTN. ČSOB GLOBÁLNÍHO RŮSTU+ 3" xr:uid="{00000000-0004-0000-0100-000026020000}"/>
    <hyperlink ref="AT130" location="'klikací hodnoty'!F2160" display="FUND PARTN. ČSOB GLOBÁLNÍHO RŮSTU+ 3" xr:uid="{00000000-0004-0000-0100-000027020000}"/>
    <hyperlink ref="AT138" location="'klikací hodnoty'!F2160" display="FUND PARTN. ČSOB GLOBÁLNÍHO RŮSTU+ 3" xr:uid="{00000000-0004-0000-0100-000028020000}"/>
    <hyperlink ref="AT146" location="'klikací hodnoty'!F2160" display="FUND PARTN. ČSOB GLOBÁLNÍHO RŮSTU+ 3" xr:uid="{00000000-0004-0000-0100-000029020000}"/>
    <hyperlink ref="AT158" location="'klikací hodnoty'!F1898" display="FUND PARTN. ČSOB GLOBÁLNÍHO RŮSTU+ 2" xr:uid="{00000000-0004-0000-0100-00002A020000}"/>
    <hyperlink ref="AT167" location="'klikací hodnoty'!F1898" display="FUND PARTN. ČSOB GLOBÁLNÍHO RŮSTU+ 2" xr:uid="{00000000-0004-0000-0100-00002B020000}"/>
    <hyperlink ref="AT168" location="'klikací hodnoty'!F1898" display="FUND PARTN. ČSOB GLOBÁLNÍHO RŮSTU+ 2" xr:uid="{00000000-0004-0000-0100-00002C020000}"/>
    <hyperlink ref="AT184" location="'klikací hodnoty'!F1898" display="FUND PARTN. ČSOB GLOBÁLNÍHO RŮSTU+ 2" xr:uid="{00000000-0004-0000-0100-00002D020000}"/>
    <hyperlink ref="AT186" location="'klikací hodnoty'!F1898" display="FUND PARTN. ČSOB GLOBÁLNÍHO RŮSTU+ 2" xr:uid="{00000000-0004-0000-0100-00002E020000}"/>
    <hyperlink ref="AT190" location="'klikací hodnoty'!F1898" display="FUND PARTN. ČSOB GLOBÁLNÍHO RŮSTU+ 2" xr:uid="{00000000-0004-0000-0100-00002F020000}"/>
    <hyperlink ref="AT191" location="'klikací hodnoty'!F1898" display="FUND PARTN. ČSOB GLOBÁLNÍHO RŮSTU+ 2" xr:uid="{00000000-0004-0000-0100-000030020000}"/>
    <hyperlink ref="AT170" location="'klikací hodnoty'!F1898" display="FUND PARTN. ČSOB GLOBÁLNÍHO RŮSTU+ 2" xr:uid="{00000000-0004-0000-0100-000031020000}"/>
    <hyperlink ref="AT172" location="'klikací hodnoty'!F1898" display="FUND PARTN. ČSOB GLOBÁLNÍHO RŮSTU+ 2" xr:uid="{00000000-0004-0000-0100-000032020000}"/>
    <hyperlink ref="AT173" location="'klikací hodnoty'!F1898" display="FUND PARTN. ČSOB GLOBÁLNÍHO RŮSTU+ 2" xr:uid="{00000000-0004-0000-0100-000033020000}"/>
    <hyperlink ref="AT174" location="'klikací hodnoty'!F1898" display="FUND PARTN. ČSOB GLOBÁLNÍHO RŮSTU+ 2" xr:uid="{00000000-0004-0000-0100-000034020000}"/>
    <hyperlink ref="AT175" location="'klikací hodnoty'!F1898" display="FUND PARTN. ČSOB GLOBÁLNÍHO RŮSTU+ 2" xr:uid="{00000000-0004-0000-0100-000035020000}"/>
    <hyperlink ref="AT178" location="'klikací hodnoty'!F1898" display="FUND PARTN. ČSOB GLOBÁLNÍHO RŮSTU+ 2" xr:uid="{00000000-0004-0000-0100-000036020000}"/>
    <hyperlink ref="AT179" location="'klikací hodnoty'!F1898" display="FUND PARTN. ČSOB GLOBÁLNÍHO RŮSTU+ 2" xr:uid="{00000000-0004-0000-0100-000037020000}"/>
    <hyperlink ref="AT180" location="'klikací hodnoty'!F1898" display="FUND PARTN. ČSOB GLOBÁLNÍHO RŮSTU+ 2" xr:uid="{00000000-0004-0000-0100-000038020000}"/>
    <hyperlink ref="AT192" location="'klikací hodnoty'!F1898" display="FUND PARTN. ČSOB GLOBÁLNÍHO RŮSTU+ 2" xr:uid="{00000000-0004-0000-0100-000039020000}"/>
    <hyperlink ref="AT194" location="'klikací hodnoty'!F1898" display="FUND PARTN. ČSOB GLOBÁLNÍHO RŮSTU+ 2" xr:uid="{00000000-0004-0000-0100-00003A020000}"/>
    <hyperlink ref="AT195" location="'klikací hodnoty'!F1898" display="FUND PARTN. ČSOB GLOBÁLNÍHO RŮSTU+ 2" xr:uid="{00000000-0004-0000-0100-00003B020000}"/>
    <hyperlink ref="AT196" location="'klikací hodnoty'!F1898" display="FUND PARTN. ČSOB GLOBÁLNÍHO RŮSTU+ 2" xr:uid="{00000000-0004-0000-0100-00003C020000}"/>
    <hyperlink ref="AT197" location="'klikací hodnoty'!F1898" display="FUND PARTN. ČSOB GLOBÁLNÍHO RŮSTU+ 2" xr:uid="{00000000-0004-0000-0100-00003D020000}"/>
    <hyperlink ref="AT198" location="'klikací hodnoty'!F1898" display="FUND PARTN. ČSOB GLOBÁLNÍHO RŮSTU+ 2" xr:uid="{00000000-0004-0000-0100-00003E020000}"/>
    <hyperlink ref="AT200" location="'klikací hodnoty'!F1898" display="FUND PARTN. ČSOB GLOBÁLNÍHO RŮSTU+ 2" xr:uid="{00000000-0004-0000-0100-00003F020000}"/>
    <hyperlink ref="AT202" location="'klikací hodnoty'!F1898" display="FUND PARTN. ČSOB GLOBÁLNÍHO RŮSTU+ 2" xr:uid="{00000000-0004-0000-0100-000040020000}"/>
    <hyperlink ref="AT203" location="'klikací hodnoty'!F1898" display="FUND PARTN. ČSOB GLOBÁLNÍHO RŮSTU+ 2" xr:uid="{00000000-0004-0000-0100-000041020000}"/>
    <hyperlink ref="AT205" location="'klikací hodnoty'!F1898" display="FUND PARTN. ČSOB GLOBÁLNÍHO RŮSTU+ 2" xr:uid="{00000000-0004-0000-0100-000042020000}"/>
    <hyperlink ref="AT206" location="'klikací hodnoty'!F1898" display="FUND PARTN. ČSOB GLOBÁLNÍHO RŮSTU+ 2" xr:uid="{00000000-0004-0000-0100-000043020000}"/>
    <hyperlink ref="AT207" location="'klikací hodnoty'!F1898" display="FUND PARTN. ČSOB GLOBÁLNÍHO RŮSTU+ 2" xr:uid="{00000000-0004-0000-0100-000044020000}"/>
    <hyperlink ref="AT209" location="'klikací hodnoty'!F1898" display="FUND PARTN. ČSOB GLOBÁLNÍHO RŮSTU+ 2" xr:uid="{00000000-0004-0000-0100-000045020000}"/>
    <hyperlink ref="AT210" location="'klikací hodnoty'!F1898" display="FUND PARTN. ČSOB GLOBÁLNÍHO RŮSTU+ 2" xr:uid="{00000000-0004-0000-0100-000046020000}"/>
    <hyperlink ref="AT117" location="'klikací hodnoty'!F2309" display="FUND PARTN. ČSOB KRÁTKODOBÉHO RŮSTU 4" xr:uid="{00000000-0004-0000-0100-000047020000}"/>
    <hyperlink ref="AT212" location="'klikací hodnoty'!F1898" display="FUND PARTN. ČSOB GLOBÁLNÍHO RŮSTU+ 2" xr:uid="{00000000-0004-0000-0100-000048020000}"/>
    <hyperlink ref="AT213" location="'klikací hodnoty'!F1898" display="FUND PARTN. ČSOB GLOBÁLNÍHO RŮSTU+ 2" xr:uid="{00000000-0004-0000-0100-000049020000}"/>
    <hyperlink ref="AT214" location="'klikací hodnoty'!F1898" display="FUND PARTN. ČSOB GLOBÁLNÍHO RŮSTU+ 2" xr:uid="{00000000-0004-0000-0100-00004A020000}"/>
    <hyperlink ref="AT215" location="'klikací hodnoty'!F1898" display="FUND PARTN. ČSOB GLOBÁLNÍHO RŮSTU+ 2" xr:uid="{00000000-0004-0000-0100-00004B020000}"/>
    <hyperlink ref="AT221" location="'klikací hodnoty'!F1898" display="FUND PARTN. ČSOB GLOBÁLNÍHO RŮSTU+ 2" xr:uid="{00000000-0004-0000-0100-00004C020000}"/>
    <hyperlink ref="AT219" location="'klikací hodnoty'!F1898" display="FUND PARTN. ČSOB GLOBÁLNÍHO RŮSTU+ 2" xr:uid="{00000000-0004-0000-0100-00004D020000}"/>
    <hyperlink ref="AT217" location="'klikací hodnoty'!F1898" display="FUND PARTN. ČSOB GLOBÁLNÍHO RŮSTU+ 2" xr:uid="{00000000-0004-0000-0100-00004E020000}"/>
    <hyperlink ref="AT229" location="'klikací hodnoty'!F1898" display="FUND PARTN. ČSOB GLOBÁLNÍHO RŮSTU+ 2" xr:uid="{00000000-0004-0000-0100-00004F020000}"/>
    <hyperlink ref="AT238" location="'klikací hodnoty'!F1898" display="FUND PARTN. ČSOB GLOBÁLNÍHO RŮSTU+ 2" xr:uid="{00000000-0004-0000-0100-000050020000}"/>
    <hyperlink ref="AT224" location="'klikací hodnoty'!F1898" display="FUND PARTN. ČSOB GLOBÁLNÍHO RŮSTU+ 2" xr:uid="{00000000-0004-0000-0100-000051020000}"/>
    <hyperlink ref="AT240" location="'klikací hodnoty'!F1898" display="FUND PARTN. ČSOB GLOBÁLNÍHO RŮSTU+ 2" xr:uid="{00000000-0004-0000-0100-000052020000}"/>
    <hyperlink ref="AT231" location="'klikací hodnoty'!F1898" display="FUND PARTN. ČSOB GLOBÁLNÍHO RŮSTU+ 2" xr:uid="{00000000-0004-0000-0100-000053020000}"/>
    <hyperlink ref="AT242" location="'klikací hodnoty'!F1898" display="FUND PARTN. ČSOB GLOBÁLNÍHO RŮSTU+ 2" xr:uid="{00000000-0004-0000-0100-000054020000}"/>
    <hyperlink ref="AT245" location="'klikací hodnoty'!F1898" display="FUND PARTN. ČSOB GLOBÁLNÍHO RŮSTU+ 2" xr:uid="{00000000-0004-0000-0100-000055020000}"/>
    <hyperlink ref="AT259" location="'klikací hodnoty'!F1898" display="FUND PARTN. ČSOB GLOBÁLNÍHO RŮSTU+ 2" xr:uid="{00000000-0004-0000-0100-000056020000}"/>
    <hyperlink ref="AT271" location="'klikací hodnoty'!F1898" display="FUND PARTN. ČSOB GLOBÁLNÍHO RŮSTU+ 2" xr:uid="{00000000-0004-0000-0100-000057020000}"/>
    <hyperlink ref="AT275" location="'klikací hodnoty'!F1898" display="FUND PARTN. ČSOB GLOBÁLNÍHO RŮSTU+ 2" xr:uid="{00000000-0004-0000-0100-000058020000}"/>
    <hyperlink ref="AT280" location="'klikací hodnoty'!F1898" display="FUND PARTN. ČSOB GLOBÁLNÍHO RŮSTU+ 2" xr:uid="{00000000-0004-0000-0100-000059020000}"/>
    <hyperlink ref="AT283" location="'klikací hodnoty'!F1898" display="FUND PARTN. ČSOB GLOBÁLNÍHO RŮSTU+ 2" xr:uid="{00000000-0004-0000-0100-00005A020000}"/>
    <hyperlink ref="AT284" location="'klikací hodnoty'!F1898" display="FUND PARTN. ČSOB GLOBÁLNÍHO RŮSTU+ 2" xr:uid="{00000000-0004-0000-0100-00005B020000}"/>
    <hyperlink ref="AT285" location="'klikací hodnoty'!F1898" display="FUND PARTN. ČSOB GLOBÁLNÍHO RŮSTU+ 2" xr:uid="{00000000-0004-0000-0100-00005C020000}"/>
    <hyperlink ref="AT289" location="'klikací hodnoty'!F1898" display="FUND PARTN. ČSOB GLOBÁLNÍHO RŮSTU+ 2" xr:uid="{00000000-0004-0000-0100-00005D020000}"/>
    <hyperlink ref="AT296" location="'klikací hodnoty'!F1898" display="FUND PARTN. ČSOB GLOBÁLNÍHO RŮSTU+ 2" xr:uid="{00000000-0004-0000-0100-00005E020000}"/>
    <hyperlink ref="AT297" location="'klikací hodnoty'!F1898" display="FUND PARTN. ČSOB GLOBÁLNÍHO RŮSTU+ 2" xr:uid="{00000000-0004-0000-0100-00005F020000}"/>
    <hyperlink ref="AT298" location="'klikací hodnoty'!F1898" display="FUND PARTN. ČSOB GLOBÁLNÍHO RŮSTU+ 2" xr:uid="{00000000-0004-0000-0100-000060020000}"/>
    <hyperlink ref="AT302" location="'klikací hodnoty'!F1898" display="FUND PARTN. ČSOB GLOBÁLNÍHO RŮSTU+ 2" xr:uid="{00000000-0004-0000-0100-000061020000}"/>
    <hyperlink ref="AT317" location="'klikací hodnoty'!F1898" display="FUND PARTN. ČSOB GLOBÁLNÍHO RŮSTU+ 2" xr:uid="{00000000-0004-0000-0100-000062020000}"/>
    <hyperlink ref="AT316" location="'klikací hodnoty'!F1898" display="FUND PARTN. ČSOB GLOBÁLNÍHO RŮSTU+ 2" xr:uid="{00000000-0004-0000-0100-000063020000}"/>
    <hyperlink ref="AT319" location="'klikací hodnoty'!F1898" display="FUND PARTN. ČSOB GLOBÁLNÍHO RŮSTU+ 2" xr:uid="{00000000-0004-0000-0100-000064020000}"/>
    <hyperlink ref="AT321" location="'klikací hodnoty'!F1898" display="FUND PARTN. ČSOB GLOBÁLNÍHO RŮSTU+ 2" xr:uid="{00000000-0004-0000-0100-000065020000}"/>
    <hyperlink ref="AT323" location="'klikací hodnoty'!F1898" display="FUND PARTN. ČSOB GLOBÁLNÍHO RŮSTU+ 2" xr:uid="{00000000-0004-0000-0100-000066020000}"/>
    <hyperlink ref="AT335" location="'klikací hodnoty'!F1898" display="FUND PARTN. ČSOB GLOBÁLNÍHO RŮSTU+ 2" xr:uid="{00000000-0004-0000-0100-000067020000}"/>
    <hyperlink ref="AX51" location="'klikací hodnoty'!F1898" display="FUND PARTN. ČSOB GLOBÁLNÍHO RŮSTU+ 2" xr:uid="{00000000-0004-0000-0100-000068020000}"/>
    <hyperlink ref="AX52" location="'klikací hodnoty'!F1898" display="FUND PARTN. ČSOB GLOBÁLNÍHO RŮSTU+ 2" xr:uid="{00000000-0004-0000-0100-000069020000}"/>
    <hyperlink ref="B446" location="'klikací hodnoty'!A13825" display="ČSOB Velkých firem 1" xr:uid="{00000000-0004-0000-0100-00006A020000}"/>
    <hyperlink ref="B439" location="'klikací hodnoty'!A13871" display="ČSOB Life Nová infrastruktura 1" xr:uid="{00000000-0004-0000-0100-00006B020000}"/>
    <hyperlink ref="B440" location="'klikací hodnoty'!A13927" display="ČSOB Svět s bonusem rodina 1" xr:uid="{00000000-0004-0000-0100-00006C020000}"/>
    <hyperlink ref="B441" location="'klikací hodnoty'!A13983" display="ČSOB Světových příležitostí 4" xr:uid="{00000000-0004-0000-0100-00006D020000}"/>
    <hyperlink ref="B442" location="'klikací hodnoty'!A14026" display="ČSOB Fixovaný click USD 4" xr:uid="{00000000-0004-0000-0100-00006E020000}"/>
    <hyperlink ref="B443" location="'klikací hodnoty'!A14032" display="ČSOB Exclusive Airbag Jumper +5" xr:uid="{00000000-0004-0000-0100-00006F020000}"/>
    <hyperlink ref="B444" location="'klikací hodnoty'!A14087" display="ČSOB Světový expres 2" xr:uid="{00000000-0004-0000-0100-000070020000}"/>
    <hyperlink ref="B445" location="'klikací hodnoty'!A14133" display="ČSOB Světový výběr 2" xr:uid="{00000000-0004-0000-0100-000071020000}"/>
    <hyperlink ref="B450" location="'klikací hodnoty'!A14139" display="ČSOB Exclusive Airbag Jumper +6" xr:uid="{00000000-0004-0000-0100-000072020000}"/>
    <hyperlink ref="B452" location="'klikací hodnoty'!A14195" display="ČSOB Globální oživení 1" xr:uid="{00000000-0004-0000-0100-000073020000}"/>
    <hyperlink ref="B449" location="'klikací hodnoty'!A14201" display="ČSOB Airbag Jumper EUR 5" xr:uid="{00000000-0004-0000-0100-000074020000}"/>
    <hyperlink ref="B447" location="'klikací hodnoty'!A14257" display="ČSOB Dobrý start 1" xr:uid="{00000000-0004-0000-0100-000075020000}"/>
    <hyperlink ref="B448" location="'klikací hodnoty'!A14303" display="ČSOB Výběr světových akcií 1" xr:uid="{00000000-0004-0000-0100-000076020000}"/>
    <hyperlink ref="B453" location="'klikací hodnoty'!A14359" display="ČSOB Life Zlatý střed 1" xr:uid="{00000000-0004-0000-0100-000077020000}"/>
    <hyperlink ref="B451" location="'klikací hodnoty'!A14415" display="ČSOB Schody k úspěchu 1" xr:uid="{00000000-0004-0000-0100-000078020000}"/>
    <hyperlink ref="B455" location="'klikací hodnoty'!A14424" display="ČSOB Exclusive Buffer Jumper 5" xr:uid="{00000000-0004-0000-0100-000079020000}"/>
    <hyperlink ref="B454" location="'klikací hodnoty'!A14500" display="ČSOB Střední výběr 1" xr:uid="{00000000-0004-0000-0100-00007A020000}"/>
    <hyperlink ref="B459" location="'klikací hodnoty'!A14506" display="ČSOB Airbag Jumper EUR 6" xr:uid="{00000000-0004-0000-0100-00007B020000}"/>
    <hyperlink ref="B461" location="'klikací hodnoty'!A14562" display="ČSOB Life Zlatý střed 2" xr:uid="{00000000-0004-0000-0100-00007C020000}"/>
    <hyperlink ref="B460" location="'klikací hodnoty'!A14618" display="ČSOB Dobrý start 2" xr:uid="{00000000-0004-0000-0100-00007D020000}"/>
    <hyperlink ref="B462" location="'klikací hodnoty'!A14627" display="ČSOB Exkluzivní evropský jumper 1" xr:uid="{00000000-0004-0000-0100-00007E020000}"/>
    <hyperlink ref="B456" location="'klikací hodnoty'!A14683" display="ČSOB Globálních příležitostí USD 2" xr:uid="{00000000-0004-0000-0100-00007F020000}"/>
    <hyperlink ref="B457" location="'klikací hodnoty'!A14739" display="ČSOB Private Banking Delta Headstart 1" xr:uid="{00000000-0004-0000-0100-000080020000}"/>
    <hyperlink ref="B458" location="'klikací hodnoty'!A14794" display="ČSOB Světový expres 3" xr:uid="{00000000-0004-0000-0100-000081020000}"/>
    <hyperlink ref="B463" location="'klikací hodnoty'!A14850" display="ČSOB Globální růst EUR 1" xr:uid="{00000000-0004-0000-0100-000082020000}"/>
    <hyperlink ref="B466" location="'klikací hodnoty'!A14893" display="ČSOB Fixovaný click USD 5" xr:uid="{00000000-0004-0000-0100-000083020000}"/>
    <hyperlink ref="B465" location="'klikací hodnoty'!A14902" display="ČSOB Exkluzivní evropský jumper 2" xr:uid="{00000000-0004-0000-0100-000084020000}"/>
    <hyperlink ref="B464" location="'klikací hodnoty'!A14948" display="ČSOB Světový expres 4" xr:uid="{00000000-0004-0000-0100-000085020000}"/>
    <hyperlink ref="B468" location="'klikací hodnoty'!A15004" display="ČSOB Dobrý start 3" xr:uid="{00000000-0004-0000-0100-000086020000}"/>
    <hyperlink ref="B467" location="'klikací hodnoty'!A15060" display="ČSOB Globální oživení 2" xr:uid="{00000000-0004-0000-0100-000087020000}"/>
    <hyperlink ref="B469" location="'klikací hodnoty'!A15069" display="ČSOB Exkluzivní evropský jumper 3" xr:uid="{00000000-0004-0000-0100-000088020000}"/>
    <hyperlink ref="B471" location="'klikací hodnoty'!A15115" display="ČSOB Světový expres 5" xr:uid="{00000000-0004-0000-0100-000089020000}"/>
    <hyperlink ref="B475" location="'klikací hodnoty'!A15171" display="Patria Selection 1" xr:uid="{00000000-0004-0000-0100-00008A020000}"/>
    <hyperlink ref="B470" location="'klikací hodnoty'!A15227" display="ČSOB Svět s bonusem energie 1" xr:uid="{00000000-0004-0000-0100-00008B020000}"/>
    <hyperlink ref="B472" location="'klikací hodnoty'!A15283" display="ČSOB Globálních příležitostí USD 3" xr:uid="{00000000-0004-0000-0100-00008C020000}"/>
    <hyperlink ref="B473" location="'klikací hodnoty'!A15329" display="ČSOB Světoví hráči 1" xr:uid="{00000000-0004-0000-0100-00008D020000}"/>
    <hyperlink ref="B474" location="'klikací hodnoty'!A15335" display="ČSOB Airbag jumper exclusive EUR 8" xr:uid="{00000000-0004-0000-0100-00008E020000}"/>
    <hyperlink ref="B476" location="'klikací hodnoty'!A15344" display="ČSOB Exkluzivní evropský jumper 4" xr:uid="{00000000-0004-0000-0100-00008F020000}"/>
    <hyperlink ref="B478" location="'klikací hodnoty'!A15350" display="ČSOB Airbag Jumper EUR 7" xr:uid="{00000000-0004-0000-0100-000090020000}"/>
    <hyperlink ref="B477" location="'klikací hodnoty'!A15406" display="ČSOB Dobrý start 4" xr:uid="{00000000-0004-0000-0100-000091020000}"/>
    <hyperlink ref="B479" location="'klikací hodnoty'!A15415" display="ČSOB Energie a ropa 1" xr:uid="{00000000-0004-0000-0100-000092020000}"/>
    <hyperlink ref="B482" location="'klikací hodnoty'!A15424" display="ČSOB Evropský jumper 5" xr:uid="{00000000-0004-0000-0100-000093020000}"/>
    <hyperlink ref="B480" location="'klikací hodnoty'!A15470" display="ČSOB Světoví hráči 2" xr:uid="{00000000-0004-0000-0100-000094020000}"/>
    <hyperlink ref="B481" location="'klikací hodnoty'!A15526" display="ČSOB Patria airbag 1" xr:uid="{00000000-0004-0000-0100-000095020000}"/>
    <hyperlink ref="B483" location="'klikací hodnoty'!A15582" display="Patria Selection 2" xr:uid="{00000000-0004-0000-0100-000096020000}"/>
    <hyperlink ref="B484" location="'klikací hodnoty'!A15628" display="ČSOB Šampioni sportu 3" xr:uid="{00000000-0004-0000-0100-000097020000}"/>
    <hyperlink ref="B485" location="'klikací hodnoty'!A15684" display="ČSOB Patria expres 1" xr:uid="{00000000-0004-0000-0100-000098020000}"/>
    <hyperlink ref="B486" location="'klikací hodnoty'!A15727" display="ČSOB Fixovaný click USD 6" xr:uid="{00000000-0004-0000-0100-000099020000}"/>
    <hyperlink ref="B487" location="'klikací hodnoty'!A15773" display="ČSOB Zpětného odkupu 1 " xr:uid="{00000000-0004-0000-0100-00009A020000}"/>
    <hyperlink ref="B488" location="'klikací hodnoty'!A15782" display="ČSOB Energie a ropa 2" xr:uid="{00000000-0004-0000-0100-00009B020000}"/>
    <hyperlink ref="B489" location="'klikací hodnoty'!A15792" display="ČSOB Automobiles &amp; Parts Conditional Coupon 1 " xr:uid="{00000000-0004-0000-0100-00009C020000}"/>
    <hyperlink ref="B490" location="'klikací hodnoty'!A15847" display="ČSOB Šampioni sportu s dobrým startem 1" xr:uid="{00000000-0004-0000-0100-00009D020000}"/>
    <hyperlink ref="B491" location="'klikací hodnoty'!A15893" display="ČSOB Firmy s tradicí 1" xr:uid="{00000000-0004-0000-0100-00009E020000}"/>
    <hyperlink ref="B492" location="'klikací hodnoty'!A15903" display="ČSOB Airbag Jumper EUR 10" xr:uid="{00000000-0004-0000-0100-00009F020000}"/>
    <hyperlink ref="B493" location="'klikací hodnoty'!A15958" display="ČSOB Světový expres 6" xr:uid="{00000000-0004-0000-0100-0000A0020000}"/>
    <hyperlink ref="B494" location="'klikací hodnoty'!A15998" display="ČSOB Informační technologie 1" xr:uid="{00000000-0004-0000-0100-0000A1020000}"/>
    <hyperlink ref="B495" location="'klikací hodnoty'!A16048" display="ČSOB Airbag Bonus EUR 1" xr:uid="{00000000-0004-0000-0100-0000A2020000}"/>
    <hyperlink ref="B496" location="'klikací hodnoty'!A16092" display="ČSOB Banky a pojišťovny 1 " xr:uid="{00000000-0004-0000-0100-0000A3020000}"/>
    <hyperlink ref="B497" location="'klikací hodnoty'!A16102" display="ČSOB Banks Conditional Coupon 1 " xr:uid="{00000000-0004-0000-0100-0000A4020000}"/>
    <hyperlink ref="B499" location="'klikací hodnoty'!A16146" display="ČSOB Světoví hráči 3 " xr:uid="{00000000-0004-0000-0100-0000A5020000}"/>
    <hyperlink ref="B498" location="'klikací hodnoty'!A16180" display="ČSOB Stříbrná ekonomika 1" xr:uid="{00000000-0004-0000-0100-0000A6020000}"/>
    <hyperlink ref="B500" location="'klikací hodnoty'!A16186" display="ČSOB Airbag Jumper EUR 11" xr:uid="{00000000-0004-0000-0100-0000A7020000}"/>
    <hyperlink ref="B501" location="'klikací hodnoty'!A16220" display="ČSOB Firmy s tradicí 2" xr:uid="{00000000-0004-0000-0100-0000A8020000}"/>
    <hyperlink ref="B502" location="'klikací hodnoty'!A16228" display="ČSOB Energie a ropa 3" xr:uid="{00000000-0004-0000-0100-0000A9020000}"/>
    <hyperlink ref="B503" location="'klikací hodnoty'!A16237" display="ČSOB Basic Resources Conditional Coupon 1 " xr:uid="{00000000-0004-0000-0100-0000AA020000}"/>
    <hyperlink ref="B504" location="'klikací hodnoty'!A16281" display="ČSOB Krátkodobých příležitostí 2" xr:uid="{00000000-0004-0000-0100-0000AB020000}"/>
    <hyperlink ref="B506" location="'klikací hodnoty'!A16369" display="ČSOB Světový výběr 3" xr:uid="{00000000-0004-0000-0100-0000AC020000}"/>
    <hyperlink ref="B505" location="'klikací hodnoty'!A16325" display="ČSOB Potraviny a svět 1" xr:uid="{00000000-0004-0000-0100-0000AD020000}"/>
    <hyperlink ref="B507" location="'klikací hodnoty'!A16407" display="ČSOB Světový expres 7" xr:uid="{00000000-0004-0000-0100-0000AE020000}"/>
    <hyperlink ref="B399" location="'klikací hodnoty'!A12074" display="ČSOB Asijské indexy 1" xr:uid="{00000000-0004-0000-0100-0000AF020000}"/>
    <hyperlink ref="B508" location="'klikací hodnoty'!A16441" display="ČSOB Zdravotnictví 1" xr:uid="{00000000-0004-0000-0100-0000B0020000}"/>
    <hyperlink ref="B509" location="'klikací hodnoty'!A16485" display="ČSOB Potraviny a svět 2" xr:uid="{00000000-0004-0000-0100-0000B1020000}"/>
    <hyperlink ref="B510" location="'klikací hodnoty'!A16516" display="ČSOB Šampioni sportu 4" xr:uid="{00000000-0004-0000-0100-0000B2020000}"/>
    <hyperlink ref="B511" location="'klikací hodnoty'!A16572" display="ČSOB Světový výběr 4 (ČSOB Světové akcie a pojišťovny 1)" xr:uid="{00000000-0004-0000-0100-0000B3020000}"/>
    <hyperlink ref="B513" location="'klikací hodnoty'!A16627" display="ČSOB Globálních firem 1" xr:uid="{00000000-0004-0000-0100-0000B4020000}"/>
    <hyperlink ref="B512" location="'klikací hodnoty'!A16671" display="ČSOB Informační technologie 2" xr:uid="{00000000-0004-0000-0100-0000B5020000}"/>
    <hyperlink ref="B514" location="'klikací hodnoty'!A16677" display="ČSOB Airbag Jumper EUR 13 " xr:uid="{00000000-0004-0000-0100-0000B6020000}"/>
    <hyperlink ref="B515" location="'klikací hodnoty'!A16733" display="ČSOB Svět s bonusem nápojů 1" xr:uid="{00000000-0004-0000-0100-0000B7020000}"/>
    <hyperlink ref="B516" location="'klikací hodnoty'!A16789" display="ČSOB Globálních firem 2" xr:uid="{00000000-0004-0000-0100-0000B8020000}"/>
    <hyperlink ref="B517" location="'klikací hodnoty'!A16799" display="ČSOB Banks Conditional Coupon 2 " xr:uid="{00000000-0004-0000-0100-0000B9020000}"/>
    <hyperlink ref="B518" location="'klikací hodnoty'!A16855" display="ČSOB Globalny rast EUR 2  " xr:uid="{00000000-0004-0000-0100-0000BA020000}"/>
    <hyperlink ref="B521" location="'klikací hodnoty'!A16898" display="ČSOB Fixovaný click USD 7" xr:uid="{00000000-0004-0000-0100-0000BB020000}"/>
    <hyperlink ref="B520" location="'klikací hodnoty'!A16954" display="ČSOB Zpětného odkupu 2" xr:uid="{00000000-0004-0000-0100-0000BC020000}"/>
    <hyperlink ref="B519" location="'klikací hodnoty'!A17010" display="ČSOB Sponzoři sportu 1" xr:uid="{00000000-0004-0000-0100-0000BD020000}"/>
    <hyperlink ref="B522" location="'klikací hodnoty'!A17066" display="ČSOB Evropských firem 1" xr:uid="{00000000-0004-0000-0100-0000BE020000}"/>
    <hyperlink ref="B523" location="'klikací hodnoty'!A17121" display="ČSOB Světové trhy 2" xr:uid="{00000000-0004-0000-0100-0000BF020000}"/>
    <hyperlink ref="B524" location="'klikací hodnoty'!A17130" display="ČSOB Evropský jumper 7" xr:uid="{00000000-0004-0000-0100-0000C0020000}"/>
    <hyperlink ref="B525" location="'klikací hodnoty'!A17136" display="ČSOB Airbag Jumper EUR 14 " xr:uid="{00000000-0004-0000-0100-0000C1020000}"/>
    <hyperlink ref="B526" location="'klikací hodnoty'!A17192" display="ČSOB Zdravotnictví a farmacie 2" xr:uid="{00000000-0004-0000-0100-0000C2020000}"/>
    <hyperlink ref="B527" location="'klikací hodnoty'!A17202" display="ČSOB Energy Conditional Coupon 1" xr:uid="{00000000-0004-0000-0100-0000C3020000}"/>
    <hyperlink ref="B528" location="'klikací hodnoty'!A17258" display="ČSOB Private Banking Family Enterprises 1" xr:uid="{00000000-0004-0000-0100-0000C4020000}"/>
    <hyperlink ref="B529" location="'klikací hodnoty'!A17314" display="ČSOB Evropských firem 2" xr:uid="{00000000-0004-0000-0100-0000C5020000}"/>
    <hyperlink ref="B531" location="'klikací hodnoty'!A17357" display="ČSOB Výběrový click 1" xr:uid="{00000000-0004-0000-0100-0000C6020000}"/>
    <hyperlink ref="B530" location="'klikací hodnoty'!A17413" display="ČSOB Zboží dlouhodobé spotřeby 1" xr:uid="{00000000-0004-0000-0100-0000C7020000}"/>
    <hyperlink ref="B532" location="'klikací hodnoty'!A17419" display="ČSOB Airbag jumper +1" xr:uid="{00000000-0004-0000-0100-0000C8020000}"/>
    <hyperlink ref="B533" location="'klikací hodnoty'!A17472" display="ČSOB Světových firem s lookbackem 1" xr:uid="{00000000-0004-0000-0100-0000C9020000}"/>
    <hyperlink ref="B534" location="'klikací hodnoty'!A17515" display="ČSOB Fixovaný click USD 8" xr:uid="{00000000-0004-0000-0100-0000CA020000}"/>
    <hyperlink ref="B535" location="'klikací hodnoty'!A17571" display="ČSOB Finance 1" xr:uid="{00000000-0004-0000-0100-0000CB020000}"/>
    <hyperlink ref="B536" location="'klikací hodnoty'!A17580" display="ČSOB Evropský jumper 8" xr:uid="{00000000-0004-0000-0100-0000CC020000}"/>
    <hyperlink ref="B537" location="parametry!A17586" display="ČSOB Airbag jumper EUR 15" xr:uid="{00000000-0004-0000-0100-0000CD020000}"/>
    <hyperlink ref="B538" location="'klikací hodnoty'!A17647" display="ČSOB Světových příležitostí +1" xr:uid="{00000000-0004-0000-0100-0000CE020000}"/>
    <hyperlink ref="B539" location="'klikací hodnoty'!A17700" display="ČSOB Světových firem s lookbackem 2" xr:uid="{00000000-0004-0000-0100-0000CF020000}"/>
    <hyperlink ref="B540" location="'klikací hodnoty'!A17709" display="ČSOB Evropský jumper 9" xr:uid="{00000000-0004-0000-0100-0000D0020000}"/>
    <hyperlink ref="B541" location="'klikací hodnoty'!A17770" display="ČSOB Světových příležitostí +2" xr:uid="{00000000-0004-0000-0100-0000D1020000}"/>
    <hyperlink ref="B542" location="'klikací hodnoty'!A17826" display="ČSOB Globálního růstu 1" xr:uid="{00000000-0004-0000-0100-0000D2020000}"/>
    <hyperlink ref="B543" location="'klikací hodnoty'!A17831" display="ČSOB Přírodního bohatství 1" xr:uid="{00000000-0004-0000-0100-0000D3020000}"/>
    <hyperlink ref="B544" location="'klikací hodnoty'!A17874" display="ČSOB Výberový click 2" xr:uid="{00000000-0004-0000-0100-0000D4020000}"/>
    <hyperlink ref="B545" location="'klikací hodnoty'!A17930" display="ČSOB Globálního růstu 2" xr:uid="{00000000-0004-0000-0100-0000D5020000}"/>
    <hyperlink ref="B547" location="'klikací hodnoty'!A17939" display="ČSOB Evropský jumper 10" xr:uid="{00000000-0004-0000-0100-0000D6020000}"/>
    <hyperlink ref="B548" location="'klikací hodnoty'!A17949" display="ČSOB Telecommunications Conditional Coupon 1" xr:uid="{00000000-0004-0000-0100-0000D7020000}"/>
    <hyperlink ref="B546" location="'klikací hodnoty'!A18002" display="ČSOB Světových příležitostí s lookbackem 1" xr:uid="{00000000-0004-0000-0100-0000D8020000}"/>
    <hyperlink ref="B549" location="'klikací hodnoty'!A18007" display="ČSOB Přírodního bohatství 2" xr:uid="{00000000-0004-0000-0100-0000D9020000}"/>
    <hyperlink ref="B550" location="'klikací hodnoty'!A18063" display="ČSOB Globálních firem 3" xr:uid="{00000000-0004-0000-0100-0000DA020000}"/>
    <hyperlink ref="B551" location="'klikací hodnoty'!A18072" display="ČSOB Evropský jumper 11" xr:uid="{00000000-0004-0000-0100-0000DB020000}"/>
    <hyperlink ref="B552" location="'klikací hodnoty'!A18127" display="ČSOB Světové trhy 3" xr:uid="{00000000-0004-0000-0100-0000DC020000}"/>
    <hyperlink ref="B553" location="'klikací hodnoty'!A18133" display="ČSOB Airbag jumper EUR 16" xr:uid="{00000000-0004-0000-0100-0000DD020000}"/>
    <hyperlink ref="B554" location="'klikací hodnoty'!A18189" display="ČSOB Globálních firem 4" xr:uid="{00000000-0004-0000-0100-0000DE020000}"/>
    <hyperlink ref="B555" location="'klikací hodnoty'!A18195" display="ČSOB Airbag jumper +2" xr:uid="{00000000-0004-0000-0100-0000DF020000}"/>
    <hyperlink ref="B556" location="'klikací hodnoty'!A18248" display="ČSOB Sprinter 1" xr:uid="{00000000-0004-0000-0100-0000E0020000}"/>
    <hyperlink ref="B557" location="'klikací hodnoty'!A18301" display="ČSOB Airbag 1" xr:uid="{00000000-0004-0000-0100-0000E1020000}"/>
    <hyperlink ref="B558" location="'klikací hodnoty'!A18310" display="ČSOB Evropský jumper 12" xr:uid="{00000000-0004-0000-0100-0000E2020000}"/>
    <hyperlink ref="B559" location="'klikací hodnoty'!A18363" display="ČSOB Airbag Amerika 1" xr:uid="{00000000-0004-0000-0100-0000E3020000}"/>
    <hyperlink ref="B560" location="'klikací hodnoty'!A18372" display="ČSOB Evropský jumper 13" xr:uid="{00000000-0004-0000-0100-0000E4020000}"/>
    <hyperlink ref="B561" location="'klikací hodnoty'!A18425" display="ČSOB Lookback 1" xr:uid="{00000000-0004-0000-0100-0000E5020000}"/>
    <hyperlink ref="B562" location="'klikací hodnoty'!A18478" display="ČSOB Globální investice 1" xr:uid="{A62BB1BD-B2FC-444F-A7EA-ACC258B55E1F}"/>
    <hyperlink ref="B563" location="'klikací hodnoty'!A18531" display="ČSOB Farmacie a svět 1" xr:uid="{DB4CE622-B598-4E46-8F5C-D1DAEC320F0E}"/>
    <hyperlink ref="B564" location="'klikací hodnoty'!A18584" display="ČSOB Globálních firem 5" xr:uid="{633EBA2C-3CE3-4472-9DCC-C01355B94C95}"/>
    <hyperlink ref="B565" location="'klikací hodnoty'!A18593" display="ČSOB Evropský jumper 14" xr:uid="{2C902828-0524-4298-91D0-122C6F85C123}"/>
    <hyperlink ref="B566" location="'klikací hodnoty'!A18648" display="ČSOB Světový expres 8" xr:uid="{45D79BC5-1D5C-4367-A4F7-B6B02AA1C245}"/>
    <hyperlink ref="B567" location="'klikací hodnoty'!A18701" display="ČSOB Farmacie a svět 2" xr:uid="{85FA7A42-A87D-41A9-A0F8-D5BF8177DBA4}"/>
    <hyperlink ref="B568" location="'klikací hodnoty'!A18754" display="ČSOB Globálních firem 7" xr:uid="{474D0773-45AC-47CA-B046-86D13084E13C}"/>
    <hyperlink ref="B569" location="'klikací hodnoty'!A18807" display="ČSOB Sprinter 2" xr:uid="{A943D39D-4076-41BC-858C-9F970733A76A}"/>
    <hyperlink ref="B570" location="'klikací hodnoty'!A18816" display="ČSOB Světový lookback 15" xr:uid="{C2E11D5B-E71C-4782-A3B9-19AE71E70784}"/>
    <hyperlink ref="B571" location="'klikací hodnoty'!A18869" display="ČSOB Lookback 2" xr:uid="{684DD826-3B17-457D-9EE1-8DDE8A005571}"/>
    <hyperlink ref="B572" location="'klikací hodnoty'!A18878" display="ČSOB Evropský jumper 16" xr:uid="{BA6CBDC4-5703-4C8D-B577-1D7F7B5B15FD}"/>
    <hyperlink ref="B573" location="'klikací hodnoty'!A18887" display="ČSOB Evropský jumper 17" xr:uid="{9767A2A8-CD9B-4247-92E4-768FCDF511CD}"/>
    <hyperlink ref="B574" location="'klikací hodnoty'!A18896" display="ČSOB Evropský jumper 18" xr:uid="{7139D7BF-513B-4CA2-86B8-6978E7DBEF0D}"/>
    <hyperlink ref="B576" location="'klikací hodnoty'!A18958" display="ČSOB Farmacie a zdravotnictví 4" xr:uid="{16E7CE75-3582-45FB-A9CB-C904FDFBC3CD}"/>
    <hyperlink ref="B577" location="'klikací hodnoty'!A19005" display="ČSOB Lookback 3" xr:uid="{2CA45529-E130-4B8D-836F-9254C386BD50}"/>
    <hyperlink ref="B578" location="'klikací hodnoty'!A19058" display="ČSOB Potraviny a zboží základní potřeby 1" xr:uid="{E95EC21E-2913-4F5C-82C4-5F2075EF3285}"/>
    <hyperlink ref="B579" location="'klikací hodnoty'!A19067" display="ČSOB Evropský jumper 20" xr:uid="{39CEA370-D1AA-4A27-85B1-6F17C227E349}"/>
    <hyperlink ref="B580" location="'klikací hodnoty'!A19120" display="ČSOB Lookback farmacie a zdravotnictví 1" xr:uid="{1B3F8EB4-62D2-4B51-AF4A-60351AC7560F}"/>
  </hyperlinks>
  <printOptions gridLines="1"/>
  <pageMargins left="0.24" right="0.17" top="0.13" bottom="0.09" header="0.13" footer="7.0000000000000007E-2"/>
  <pageSetup paperSize="9" scale="24" orientation="portrait" r:id="rId1"/>
  <headerFooter alignWithMargins="0">
    <oddHeader>&amp;L&amp;10&amp;"Arial"Interní
&amp;"Arial"&amp;06 &amp;C&amp;"Calibri"&amp;10&amp;K000000 Public&amp;1#_x000D_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BF19120"/>
  <sheetViews>
    <sheetView topLeftCell="A18702" zoomScale="70" zoomScaleNormal="70" workbookViewId="0">
      <selection activeCell="A18878" sqref="A18878:D18878"/>
    </sheetView>
  </sheetViews>
  <sheetFormatPr defaultRowHeight="13.2" outlineLevelRow="2" x14ac:dyDescent="0.25"/>
  <cols>
    <col min="1" max="1" width="21.6640625" customWidth="1"/>
    <col min="2" max="2" width="52.44140625" customWidth="1"/>
    <col min="3" max="3" width="17.109375" customWidth="1"/>
    <col min="4" max="4" width="15.88671875" customWidth="1"/>
    <col min="5" max="5" width="22.5546875" customWidth="1"/>
    <col min="6" max="6" width="24" style="1872" customWidth="1"/>
    <col min="7" max="7" width="64.44140625" bestFit="1" customWidth="1"/>
    <col min="8" max="8" width="24" customWidth="1"/>
    <col min="9" max="9" width="30" customWidth="1"/>
    <col min="10" max="10" width="29.5546875" customWidth="1"/>
    <col min="11" max="11" width="19.44140625" customWidth="1"/>
    <col min="12" max="12" width="18.88671875" bestFit="1" customWidth="1"/>
    <col min="13" max="13" width="23.44140625" bestFit="1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7" s="17" customFormat="1" x14ac:dyDescent="0.25">
      <c r="A1" s="3799" t="s">
        <v>122</v>
      </c>
      <c r="B1" s="3800"/>
      <c r="C1" s="3800"/>
      <c r="D1" s="3859"/>
      <c r="E1" s="16" t="s">
        <v>117</v>
      </c>
      <c r="F1" s="1847" t="s">
        <v>121</v>
      </c>
      <c r="G1" s="97"/>
    </row>
    <row r="2" spans="1:7" x14ac:dyDescent="0.25">
      <c r="A2" s="1" t="s">
        <v>2734</v>
      </c>
      <c r="B2" s="1"/>
      <c r="C2" s="1"/>
      <c r="D2" s="1"/>
      <c r="E2" s="1"/>
      <c r="F2" s="1848"/>
      <c r="G2" s="78"/>
    </row>
    <row r="3" spans="1:7" hidden="1" outlineLevel="1" x14ac:dyDescent="0.25">
      <c r="A3" s="689" t="s">
        <v>113</v>
      </c>
      <c r="B3" s="689" t="s">
        <v>114</v>
      </c>
      <c r="C3" s="689" t="s">
        <v>112</v>
      </c>
      <c r="D3" s="689" t="s">
        <v>116</v>
      </c>
      <c r="E3" s="689" t="s">
        <v>117</v>
      </c>
      <c r="F3" s="1188" t="s">
        <v>121</v>
      </c>
      <c r="G3" s="78"/>
    </row>
    <row r="4" spans="1:7" hidden="1" outlineLevel="1" x14ac:dyDescent="0.25">
      <c r="A4" s="690">
        <v>1</v>
      </c>
      <c r="B4" s="691" t="s">
        <v>115</v>
      </c>
      <c r="C4" s="692">
        <v>5149.152</v>
      </c>
      <c r="D4" s="692">
        <v>4206.7070000000003</v>
      </c>
      <c r="E4" s="3837">
        <f>(0.6*D4/C4+0.4*D5/C5)-1</f>
        <v>-0.19706812238310478</v>
      </c>
      <c r="F4" s="3839">
        <v>0</v>
      </c>
      <c r="G4" s="78"/>
    </row>
    <row r="5" spans="1:7" hidden="1" outlineLevel="1" x14ac:dyDescent="0.25">
      <c r="A5" s="713"/>
      <c r="B5" s="726" t="s">
        <v>760</v>
      </c>
      <c r="C5" s="727">
        <v>1467.0519999999999</v>
      </c>
      <c r="D5" s="727">
        <v>1147.0490000000002</v>
      </c>
      <c r="E5" s="3838"/>
      <c r="F5" s="3840"/>
      <c r="G5" s="78"/>
    </row>
    <row r="6" spans="1:7" hidden="1" outlineLevel="1" x14ac:dyDescent="0.25">
      <c r="A6" s="690">
        <v>2</v>
      </c>
      <c r="B6" s="691" t="s">
        <v>115</v>
      </c>
      <c r="C6" s="692">
        <v>4206.7070000000003</v>
      </c>
      <c r="D6" s="692">
        <v>3660.49</v>
      </c>
      <c r="E6" s="3837">
        <f>(0.6*D6/C6+0.4*D7/C7)-1</f>
        <v>-8.5733980705990698E-2</v>
      </c>
      <c r="F6" s="3839">
        <v>0</v>
      </c>
      <c r="G6" s="78"/>
    </row>
    <row r="7" spans="1:7" hidden="1" outlineLevel="1" x14ac:dyDescent="0.25">
      <c r="A7" s="713"/>
      <c r="B7" s="726" t="s">
        <v>760</v>
      </c>
      <c r="C7" s="727">
        <v>1147.0490000000002</v>
      </c>
      <c r="D7" s="727">
        <v>1124.6030000000001</v>
      </c>
      <c r="E7" s="3838"/>
      <c r="F7" s="3840"/>
      <c r="G7" s="78"/>
    </row>
    <row r="8" spans="1:7" hidden="1" outlineLevel="1" x14ac:dyDescent="0.25">
      <c r="A8" s="690">
        <v>3</v>
      </c>
      <c r="B8" s="691" t="s">
        <v>115</v>
      </c>
      <c r="C8" s="692">
        <v>3660.49</v>
      </c>
      <c r="D8" s="692">
        <v>2225.373</v>
      </c>
      <c r="E8" s="3837">
        <f>(0.6*D8/C8+0.4*D9/C9)-1</f>
        <v>-0.32422606006666221</v>
      </c>
      <c r="F8" s="3839">
        <v>0</v>
      </c>
      <c r="G8" s="78"/>
    </row>
    <row r="9" spans="1:7" hidden="1" outlineLevel="1" x14ac:dyDescent="0.25">
      <c r="A9" s="713"/>
      <c r="B9" s="726" t="s">
        <v>760</v>
      </c>
      <c r="C9" s="727">
        <v>1124.6030000000001</v>
      </c>
      <c r="D9" s="727">
        <v>874.4</v>
      </c>
      <c r="E9" s="3838"/>
      <c r="F9" s="3840"/>
      <c r="G9" s="78"/>
    </row>
    <row r="10" spans="1:7" hidden="1" outlineLevel="1" x14ac:dyDescent="0.25">
      <c r="A10" s="690">
        <v>4</v>
      </c>
      <c r="B10" s="691" t="s">
        <v>115</v>
      </c>
      <c r="C10" s="692">
        <v>2225.373</v>
      </c>
      <c r="D10" s="692">
        <v>2773.5949999999998</v>
      </c>
      <c r="E10" s="3837">
        <f>(0.6*D10/C10+0.4*D11/C11)-1</f>
        <v>0.2582600468514693</v>
      </c>
      <c r="F10" s="3839">
        <v>0.1225</v>
      </c>
      <c r="G10" s="78"/>
    </row>
    <row r="11" spans="1:7" hidden="1" outlineLevel="1" x14ac:dyDescent="0.25">
      <c r="A11" s="713"/>
      <c r="B11" s="726" t="s">
        <v>760</v>
      </c>
      <c r="C11" s="727">
        <v>874.4</v>
      </c>
      <c r="D11" s="727">
        <v>1115.8430000000001</v>
      </c>
      <c r="E11" s="3838"/>
      <c r="F11" s="3840"/>
      <c r="G11" s="78"/>
    </row>
    <row r="12" spans="1:7" s="17" customFormat="1" collapsed="1" x14ac:dyDescent="0.25">
      <c r="A12" s="3801" t="s">
        <v>4598</v>
      </c>
      <c r="B12" s="3802"/>
      <c r="C12" s="3802"/>
      <c r="D12" s="3802"/>
      <c r="E12" s="721">
        <f>(0.6*D10/C4+0.4*D11/C5)-1</f>
        <v>-0.37256861603278002</v>
      </c>
      <c r="F12" s="722">
        <f>SUM(F4:F11)</f>
        <v>0.1225</v>
      </c>
      <c r="G12" s="97" t="s">
        <v>781</v>
      </c>
    </row>
    <row r="13" spans="1:7" x14ac:dyDescent="0.25">
      <c r="A13" s="1"/>
      <c r="B13" s="1"/>
      <c r="C13" s="1"/>
      <c r="D13" s="1"/>
      <c r="E13" s="1"/>
      <c r="F13" s="1848"/>
      <c r="G13" s="78"/>
    </row>
    <row r="14" spans="1:7" hidden="1" outlineLevel="1" x14ac:dyDescent="0.25">
      <c r="A14" s="689" t="s">
        <v>113</v>
      </c>
      <c r="B14" s="689" t="s">
        <v>114</v>
      </c>
      <c r="C14" s="689" t="s">
        <v>112</v>
      </c>
      <c r="D14" s="689" t="s">
        <v>116</v>
      </c>
      <c r="E14" s="689" t="s">
        <v>117</v>
      </c>
      <c r="F14" s="1188" t="s">
        <v>121</v>
      </c>
      <c r="G14" s="78"/>
    </row>
    <row r="15" spans="1:7" hidden="1" outlineLevel="1" x14ac:dyDescent="0.25">
      <c r="A15" s="690">
        <v>1</v>
      </c>
      <c r="B15" s="691" t="s">
        <v>115</v>
      </c>
      <c r="C15" s="692">
        <v>5247.7390000000005</v>
      </c>
      <c r="D15" s="692">
        <v>4116.5540000000001</v>
      </c>
      <c r="E15" s="3837">
        <f>(0.9*D15/C15+0.1*D16/C16)-1</f>
        <v>-0.20495694645289886</v>
      </c>
      <c r="F15" s="3839">
        <v>-0.03</v>
      </c>
      <c r="G15" s="78"/>
    </row>
    <row r="16" spans="1:7" hidden="1" outlineLevel="1" x14ac:dyDescent="0.25">
      <c r="A16" s="713"/>
      <c r="B16" s="726" t="s">
        <v>3226</v>
      </c>
      <c r="C16" s="727">
        <v>7903.82</v>
      </c>
      <c r="D16" s="727">
        <v>7037.88</v>
      </c>
      <c r="E16" s="3838"/>
      <c r="F16" s="3840"/>
      <c r="G16" s="78"/>
    </row>
    <row r="17" spans="1:7" hidden="1" outlineLevel="1" x14ac:dyDescent="0.25">
      <c r="A17" s="690">
        <v>2</v>
      </c>
      <c r="B17" s="691" t="s">
        <v>115</v>
      </c>
      <c r="C17" s="692">
        <v>4116.5540000000001</v>
      </c>
      <c r="D17" s="692">
        <v>3026.2029999999995</v>
      </c>
      <c r="E17" s="3837">
        <f>(0.9*D17/C17+0.1*D18/C18)-1</f>
        <v>-0.25551656686588997</v>
      </c>
      <c r="F17" s="3839">
        <v>-0.03</v>
      </c>
      <c r="G17" s="78"/>
    </row>
    <row r="18" spans="1:7" hidden="1" outlineLevel="1" x14ac:dyDescent="0.25">
      <c r="A18" s="713"/>
      <c r="B18" s="726" t="s">
        <v>3226</v>
      </c>
      <c r="C18" s="727">
        <v>7037.88</v>
      </c>
      <c r="D18" s="727">
        <v>5832.03</v>
      </c>
      <c r="E18" s="3838"/>
      <c r="F18" s="3840"/>
      <c r="G18" s="78"/>
    </row>
    <row r="19" spans="1:7" hidden="1" outlineLevel="1" x14ac:dyDescent="0.25">
      <c r="A19" s="690">
        <v>3</v>
      </c>
      <c r="B19" s="691" t="s">
        <v>115</v>
      </c>
      <c r="C19" s="692">
        <v>3026.2029999999995</v>
      </c>
      <c r="D19" s="692">
        <v>2450.6890000000003</v>
      </c>
      <c r="E19" s="3837">
        <f>(0.9*D19/C19+0.1*D20/C20)-1</f>
        <v>-0.1878007849292731</v>
      </c>
      <c r="F19" s="3839">
        <v>-0.03</v>
      </c>
      <c r="G19" s="78"/>
    </row>
    <row r="20" spans="1:7" hidden="1" outlineLevel="1" x14ac:dyDescent="0.25">
      <c r="A20" s="713"/>
      <c r="B20" s="726" t="s">
        <v>3226</v>
      </c>
      <c r="C20" s="727">
        <v>5832.03</v>
      </c>
      <c r="D20" s="727">
        <v>4861.49</v>
      </c>
      <c r="E20" s="3838"/>
      <c r="F20" s="3840"/>
      <c r="G20" s="78"/>
    </row>
    <row r="21" spans="1:7" hidden="1" outlineLevel="1" x14ac:dyDescent="0.25">
      <c r="A21" s="690">
        <v>4</v>
      </c>
      <c r="B21" s="691" t="s">
        <v>115</v>
      </c>
      <c r="C21" s="692">
        <v>2450.6890000000003</v>
      </c>
      <c r="D21" s="692">
        <v>2810.288</v>
      </c>
      <c r="E21" s="3837">
        <f>(0.9*D21/C21+0.1*D22/C22)-1</f>
        <v>0.14548802376280356</v>
      </c>
      <c r="F21" s="3839">
        <v>0.13500000000000001</v>
      </c>
      <c r="G21" s="78"/>
    </row>
    <row r="22" spans="1:7" hidden="1" outlineLevel="1" x14ac:dyDescent="0.25">
      <c r="A22" s="713"/>
      <c r="B22" s="726" t="s">
        <v>3226</v>
      </c>
      <c r="C22" s="727">
        <v>4861.49</v>
      </c>
      <c r="D22" s="727">
        <v>5514.27</v>
      </c>
      <c r="E22" s="3838"/>
      <c r="F22" s="3840"/>
      <c r="G22" s="78"/>
    </row>
    <row r="23" spans="1:7" s="17" customFormat="1" collapsed="1" x14ac:dyDescent="0.25">
      <c r="A23" s="3801" t="s">
        <v>4597</v>
      </c>
      <c r="B23" s="3802"/>
      <c r="C23" s="3802"/>
      <c r="D23" s="3802"/>
      <c r="E23" s="721">
        <f>(0.9*D21/C15+0.1*D22/C16)-1</f>
        <v>-0.44826162334807573</v>
      </c>
      <c r="F23" s="722">
        <f>SUM(F15:F22)</f>
        <v>4.5000000000000012E-2</v>
      </c>
      <c r="G23" s="97" t="s">
        <v>781</v>
      </c>
    </row>
    <row r="24" spans="1:7" x14ac:dyDescent="0.25">
      <c r="A24" s="1"/>
      <c r="B24" s="1"/>
      <c r="C24" s="1"/>
      <c r="D24" s="1"/>
      <c r="E24" s="1"/>
      <c r="F24" s="1848"/>
      <c r="G24" s="78"/>
    </row>
    <row r="25" spans="1:7" hidden="1" outlineLevel="1" x14ac:dyDescent="0.25">
      <c r="A25" s="689" t="s">
        <v>113</v>
      </c>
      <c r="B25" s="689" t="s">
        <v>114</v>
      </c>
      <c r="C25" s="689" t="s">
        <v>112</v>
      </c>
      <c r="D25" s="689" t="s">
        <v>116</v>
      </c>
      <c r="E25" s="689" t="s">
        <v>117</v>
      </c>
      <c r="F25" s="1188" t="s">
        <v>121</v>
      </c>
      <c r="G25" s="78"/>
    </row>
    <row r="26" spans="1:7" hidden="1" outlineLevel="1" x14ac:dyDescent="0.25">
      <c r="A26" s="728">
        <v>1</v>
      </c>
      <c r="B26" s="729" t="s">
        <v>115</v>
      </c>
      <c r="C26" s="719">
        <v>4444.6139999999996</v>
      </c>
      <c r="D26" s="719">
        <v>3518.585</v>
      </c>
      <c r="E26" s="730">
        <f>D26/C26-1</f>
        <v>-0.20834857650180638</v>
      </c>
      <c r="F26" s="731">
        <v>-0.03</v>
      </c>
      <c r="G26" s="78"/>
    </row>
    <row r="27" spans="1:7" hidden="1" outlineLevel="1" x14ac:dyDescent="0.25">
      <c r="A27" s="728">
        <v>2</v>
      </c>
      <c r="B27" s="729" t="s">
        <v>115</v>
      </c>
      <c r="C27" s="719">
        <v>3518.585</v>
      </c>
      <c r="D27" s="719">
        <v>2330.6570000000002</v>
      </c>
      <c r="E27" s="730">
        <f>D27/C27-1</f>
        <v>-0.33761526295371569</v>
      </c>
      <c r="F27" s="731">
        <v>-0.03</v>
      </c>
      <c r="G27" s="78"/>
    </row>
    <row r="28" spans="1:7" hidden="1" outlineLevel="1" x14ac:dyDescent="0.25">
      <c r="A28" s="728">
        <v>3</v>
      </c>
      <c r="B28" s="729" t="s">
        <v>115</v>
      </c>
      <c r="C28" s="719">
        <v>2330.6570000000002</v>
      </c>
      <c r="D28" s="719">
        <v>2741.866</v>
      </c>
      <c r="E28" s="730">
        <f>D28/C28-1</f>
        <v>0.17643479928620986</v>
      </c>
      <c r="F28" s="731">
        <v>0.12</v>
      </c>
      <c r="G28" s="78"/>
    </row>
    <row r="29" spans="1:7" s="17" customFormat="1" collapsed="1" x14ac:dyDescent="0.25">
      <c r="A29" s="3801" t="s">
        <v>1558</v>
      </c>
      <c r="B29" s="3802"/>
      <c r="C29" s="3802"/>
      <c r="D29" s="3802"/>
      <c r="E29" s="721">
        <f>D28/C26-1</f>
        <v>-0.38310368459443267</v>
      </c>
      <c r="F29" s="722">
        <f>SUM(F26:F28)</f>
        <v>0.06</v>
      </c>
      <c r="G29" s="97" t="s">
        <v>781</v>
      </c>
    </row>
    <row r="30" spans="1:7" x14ac:dyDescent="0.25">
      <c r="A30" s="1"/>
      <c r="B30" s="1"/>
      <c r="C30" s="1"/>
      <c r="D30" s="1"/>
      <c r="E30" s="1"/>
      <c r="F30" s="1848"/>
      <c r="G30" s="78"/>
    </row>
    <row r="31" spans="1:7" hidden="1" outlineLevel="1" x14ac:dyDescent="0.25">
      <c r="A31" s="689" t="s">
        <v>113</v>
      </c>
      <c r="B31" s="689" t="s">
        <v>114</v>
      </c>
      <c r="C31" s="689" t="s">
        <v>112</v>
      </c>
      <c r="D31" s="689" t="s">
        <v>116</v>
      </c>
      <c r="E31" s="689" t="s">
        <v>117</v>
      </c>
      <c r="F31" s="1188" t="s">
        <v>121</v>
      </c>
      <c r="G31" s="78"/>
    </row>
    <row r="32" spans="1:7" hidden="1" outlineLevel="1" x14ac:dyDescent="0.25">
      <c r="A32" s="690">
        <v>1</v>
      </c>
      <c r="B32" s="691" t="s">
        <v>115</v>
      </c>
      <c r="C32" s="692">
        <v>4193.7930000000006</v>
      </c>
      <c r="D32" s="692">
        <v>2451.4499999999998</v>
      </c>
      <c r="E32" s="3837">
        <f>(0.4*D32/C32+0.3*D33/C33+0.3*D34/C34)-1</f>
        <v>-0.29374001602954114</v>
      </c>
      <c r="F32" s="3839">
        <v>0</v>
      </c>
      <c r="G32" s="78"/>
    </row>
    <row r="33" spans="1:7" hidden="1" outlineLevel="1" x14ac:dyDescent="0.25">
      <c r="A33" s="706"/>
      <c r="B33" s="695" t="s">
        <v>760</v>
      </c>
      <c r="C33" s="696">
        <v>1223.1870000000004</v>
      </c>
      <c r="D33" s="696">
        <v>992.2</v>
      </c>
      <c r="E33" s="3858"/>
      <c r="F33" s="3857"/>
      <c r="G33" s="78"/>
    </row>
    <row r="34" spans="1:7" hidden="1" outlineLevel="1" x14ac:dyDescent="0.25">
      <c r="A34" s="713"/>
      <c r="B34" s="726" t="s">
        <v>761</v>
      </c>
      <c r="C34" s="727">
        <v>12836.032000000001</v>
      </c>
      <c r="D34" s="727">
        <v>9802.24</v>
      </c>
      <c r="E34" s="3838"/>
      <c r="F34" s="3840"/>
      <c r="G34" s="78"/>
    </row>
    <row r="35" spans="1:7" s="17" customFormat="1" collapsed="1" x14ac:dyDescent="0.25">
      <c r="A35" s="3801" t="s">
        <v>1557</v>
      </c>
      <c r="B35" s="3802"/>
      <c r="C35" s="3802"/>
      <c r="D35" s="3802"/>
      <c r="E35" s="721">
        <f>E32</f>
        <v>-0.29374001602954114</v>
      </c>
      <c r="F35" s="722">
        <f>F32</f>
        <v>0</v>
      </c>
      <c r="G35" s="97" t="s">
        <v>781</v>
      </c>
    </row>
    <row r="36" spans="1:7" x14ac:dyDescent="0.25">
      <c r="A36" s="1"/>
      <c r="B36" s="1"/>
      <c r="C36" s="1"/>
      <c r="D36" s="1"/>
      <c r="E36" s="1"/>
      <c r="F36" s="1848"/>
      <c r="G36" s="78"/>
    </row>
    <row r="37" spans="1:7" hidden="1" outlineLevel="1" x14ac:dyDescent="0.25">
      <c r="A37" s="689" t="s">
        <v>113</v>
      </c>
      <c r="B37" s="689" t="s">
        <v>114</v>
      </c>
      <c r="C37" s="689" t="s">
        <v>112</v>
      </c>
      <c r="D37" s="689" t="s">
        <v>116</v>
      </c>
      <c r="E37" s="689" t="s">
        <v>117</v>
      </c>
      <c r="F37" s="1188" t="s">
        <v>121</v>
      </c>
      <c r="G37" s="78"/>
    </row>
    <row r="38" spans="1:7" hidden="1" outlineLevel="1" x14ac:dyDescent="0.25">
      <c r="A38" s="690">
        <v>1</v>
      </c>
      <c r="B38" s="691" t="s">
        <v>115</v>
      </c>
      <c r="C38" s="692">
        <v>4755.8469999999998</v>
      </c>
      <c r="D38" s="692">
        <v>3563.7449999999999</v>
      </c>
      <c r="E38" s="3837">
        <f>(0.4*D38/C38+0.3*D39/C39+0.3*D40/C40)-1</f>
        <v>-0.24470670950150364</v>
      </c>
      <c r="F38" s="3839">
        <v>0</v>
      </c>
      <c r="G38" s="78"/>
    </row>
    <row r="39" spans="1:7" hidden="1" outlineLevel="1" x14ac:dyDescent="0.25">
      <c r="A39" s="706"/>
      <c r="B39" s="695" t="s">
        <v>760</v>
      </c>
      <c r="C39" s="696">
        <v>1317.3330000000001</v>
      </c>
      <c r="D39" s="696">
        <v>1102.0989999999999</v>
      </c>
      <c r="E39" s="3858"/>
      <c r="F39" s="3857"/>
      <c r="G39" s="78"/>
    </row>
    <row r="40" spans="1:7" hidden="1" outlineLevel="1" x14ac:dyDescent="0.25">
      <c r="A40" s="713"/>
      <c r="B40" s="726" t="s">
        <v>761</v>
      </c>
      <c r="C40" s="727">
        <v>14307.54</v>
      </c>
      <c r="D40" s="727">
        <v>9756.4670000000006</v>
      </c>
      <c r="E40" s="3838"/>
      <c r="F40" s="3840"/>
      <c r="G40" s="78"/>
    </row>
    <row r="41" spans="1:7" hidden="1" outlineLevel="1" x14ac:dyDescent="0.25">
      <c r="A41" s="690">
        <v>2</v>
      </c>
      <c r="B41" s="691" t="s">
        <v>115</v>
      </c>
      <c r="C41" s="692">
        <v>3563.7449999999999</v>
      </c>
      <c r="D41" s="692">
        <v>2176.0320000000002</v>
      </c>
      <c r="E41" s="3837">
        <f>(0.4*D41/C41+0.3*D42/C42+0.3*D43/C43)-1</f>
        <v>-0.26481225570130051</v>
      </c>
      <c r="F41" s="3839">
        <v>0</v>
      </c>
      <c r="G41" s="78"/>
    </row>
    <row r="42" spans="1:7" hidden="1" outlineLevel="1" x14ac:dyDescent="0.25">
      <c r="A42" s="706"/>
      <c r="B42" s="695" t="s">
        <v>760</v>
      </c>
      <c r="C42" s="696">
        <v>1102.0989999999999</v>
      </c>
      <c r="D42" s="696">
        <v>835.60600000000011</v>
      </c>
      <c r="E42" s="3858"/>
      <c r="F42" s="3857"/>
      <c r="G42" s="78"/>
    </row>
    <row r="43" spans="1:7" hidden="1" outlineLevel="1" x14ac:dyDescent="0.25">
      <c r="A43" s="713"/>
      <c r="B43" s="726" t="s">
        <v>761</v>
      </c>
      <c r="C43" s="727">
        <v>9756.4670000000006</v>
      </c>
      <c r="D43" s="727">
        <v>8569.0459999999985</v>
      </c>
      <c r="E43" s="3838"/>
      <c r="F43" s="3840"/>
      <c r="G43" s="78"/>
    </row>
    <row r="44" spans="1:7" hidden="1" outlineLevel="1" x14ac:dyDescent="0.25">
      <c r="A44" s="690">
        <v>3</v>
      </c>
      <c r="B44" s="691" t="s">
        <v>115</v>
      </c>
      <c r="C44" s="692">
        <v>2176.0320000000002</v>
      </c>
      <c r="D44" s="692">
        <v>2856.49</v>
      </c>
      <c r="E44" s="3837">
        <f>(0.4*D44/C44+0.3*D45/C45+0.3*D46/C46)-1</f>
        <v>0.30277214811688902</v>
      </c>
      <c r="F44" s="3839">
        <v>0.15</v>
      </c>
      <c r="G44" s="78"/>
    </row>
    <row r="45" spans="1:7" hidden="1" outlineLevel="1" x14ac:dyDescent="0.25">
      <c r="A45" s="706"/>
      <c r="B45" s="695" t="s">
        <v>760</v>
      </c>
      <c r="C45" s="696">
        <v>835.60600000000011</v>
      </c>
      <c r="D45" s="696">
        <v>1141.019</v>
      </c>
      <c r="E45" s="3858"/>
      <c r="F45" s="3857"/>
      <c r="G45" s="78"/>
    </row>
    <row r="46" spans="1:7" hidden="1" outlineLevel="1" x14ac:dyDescent="0.25">
      <c r="A46" s="713"/>
      <c r="B46" s="726" t="s">
        <v>761</v>
      </c>
      <c r="C46" s="727">
        <v>8569.0459999999985</v>
      </c>
      <c r="D46" s="727">
        <v>10512.51</v>
      </c>
      <c r="E46" s="3838"/>
      <c r="F46" s="3840"/>
      <c r="G46" s="78"/>
    </row>
    <row r="47" spans="1:7" hidden="1" outlineLevel="1" x14ac:dyDescent="0.25">
      <c r="A47" s="690">
        <v>4</v>
      </c>
      <c r="B47" s="691" t="s">
        <v>115</v>
      </c>
      <c r="C47" s="692">
        <v>2856.49</v>
      </c>
      <c r="D47" s="692">
        <v>3043.078</v>
      </c>
      <c r="E47" s="3837">
        <v>6.8099999999999994E-2</v>
      </c>
      <c r="F47" s="3839">
        <v>6.8099999999999994E-2</v>
      </c>
      <c r="G47" s="78"/>
    </row>
    <row r="48" spans="1:7" hidden="1" outlineLevel="1" x14ac:dyDescent="0.25">
      <c r="A48" s="706"/>
      <c r="B48" s="695" t="s">
        <v>760</v>
      </c>
      <c r="C48" s="696">
        <v>1141.019</v>
      </c>
      <c r="D48" s="696">
        <v>1197.998</v>
      </c>
      <c r="E48" s="3858"/>
      <c r="F48" s="3857"/>
      <c r="G48" s="78"/>
    </row>
    <row r="49" spans="1:7" hidden="1" outlineLevel="1" x14ac:dyDescent="0.25">
      <c r="A49" s="713"/>
      <c r="B49" s="726" t="s">
        <v>761</v>
      </c>
      <c r="C49" s="727">
        <v>10512.51</v>
      </c>
      <c r="D49" s="727">
        <v>11483.718000000001</v>
      </c>
      <c r="E49" s="3838"/>
      <c r="F49" s="3840"/>
      <c r="G49" s="78"/>
    </row>
    <row r="50" spans="1:7" hidden="1" outlineLevel="1" x14ac:dyDescent="0.25">
      <c r="A50" s="690">
        <v>5</v>
      </c>
      <c r="B50" s="691" t="s">
        <v>115</v>
      </c>
      <c r="C50" s="692">
        <v>3043.078</v>
      </c>
      <c r="D50" s="692">
        <v>3700.2739999999999</v>
      </c>
      <c r="E50" s="3837">
        <v>0.22720000000000001</v>
      </c>
      <c r="F50" s="3839">
        <v>0.15</v>
      </c>
      <c r="G50" s="78"/>
    </row>
    <row r="51" spans="1:7" hidden="1" outlineLevel="1" x14ac:dyDescent="0.25">
      <c r="A51" s="706"/>
      <c r="B51" s="695" t="s">
        <v>760</v>
      </c>
      <c r="C51" s="696">
        <v>1197.998</v>
      </c>
      <c r="D51" s="696">
        <v>1267.194</v>
      </c>
      <c r="E51" s="3858"/>
      <c r="F51" s="3857"/>
      <c r="G51" s="78"/>
    </row>
    <row r="52" spans="1:7" hidden="1" outlineLevel="1" x14ac:dyDescent="0.25">
      <c r="A52" s="713"/>
      <c r="B52" s="726" t="s">
        <v>761</v>
      </c>
      <c r="C52" s="727">
        <v>11483.718000000001</v>
      </c>
      <c r="D52" s="727">
        <v>16435.173999999999</v>
      </c>
      <c r="E52" s="3838"/>
      <c r="F52" s="3840"/>
      <c r="G52" s="78"/>
    </row>
    <row r="53" spans="1:7" s="17" customFormat="1" collapsed="1" x14ac:dyDescent="0.25">
      <c r="A53" s="3801" t="s">
        <v>1241</v>
      </c>
      <c r="B53" s="3802"/>
      <c r="C53" s="3802"/>
      <c r="D53" s="3802"/>
      <c r="E53" s="721">
        <f>(0.4*D50/C38+0.3*D51/C39+0.3*D52/C40)-1</f>
        <v>-5.5587214941385854E-2</v>
      </c>
      <c r="F53" s="722">
        <f>SUM(F38:F52)</f>
        <v>0.36809999999999998</v>
      </c>
      <c r="G53" s="97" t="s">
        <v>781</v>
      </c>
    </row>
    <row r="54" spans="1:7" x14ac:dyDescent="0.25">
      <c r="A54" s="1"/>
      <c r="B54" s="1"/>
      <c r="C54" s="1"/>
      <c r="D54" s="1"/>
      <c r="E54" s="1"/>
      <c r="F54" s="1848"/>
      <c r="G54" s="78"/>
    </row>
    <row r="55" spans="1:7" ht="12.75" hidden="1" customHeight="1" outlineLevel="1" x14ac:dyDescent="0.25">
      <c r="A55" s="689" t="s">
        <v>113</v>
      </c>
      <c r="B55" s="689" t="s">
        <v>114</v>
      </c>
      <c r="C55" s="689" t="s">
        <v>112</v>
      </c>
      <c r="D55" s="689" t="s">
        <v>116</v>
      </c>
      <c r="E55" s="689"/>
      <c r="F55" s="1188" t="s">
        <v>121</v>
      </c>
      <c r="G55" s="78"/>
    </row>
    <row r="56" spans="1:7" hidden="1" outlineLevel="1" x14ac:dyDescent="0.25">
      <c r="A56" s="690">
        <v>1</v>
      </c>
      <c r="B56" s="691" t="s">
        <v>115</v>
      </c>
      <c r="C56" s="692">
        <v>4755.8469999999998</v>
      </c>
      <c r="D56" s="692">
        <v>3454.9749999999999</v>
      </c>
      <c r="E56" s="3837">
        <f>(0.4*D56/C56+0.3*D57/C57+0.3*D58/C58)-1</f>
        <v>-0.12241985325604698</v>
      </c>
      <c r="F56" s="3839">
        <v>0</v>
      </c>
      <c r="G56" s="78"/>
    </row>
    <row r="57" spans="1:7" hidden="1" outlineLevel="1" x14ac:dyDescent="0.25">
      <c r="A57" s="706"/>
      <c r="B57" s="695" t="s">
        <v>760</v>
      </c>
      <c r="C57" s="696">
        <v>1317.3330000000001</v>
      </c>
      <c r="D57" s="696">
        <v>1239</v>
      </c>
      <c r="E57" s="3858"/>
      <c r="F57" s="3857"/>
      <c r="G57" s="78"/>
    </row>
    <row r="58" spans="1:7" hidden="1" outlineLevel="1" x14ac:dyDescent="0.25">
      <c r="A58" s="713"/>
      <c r="B58" s="726" t="s">
        <v>761</v>
      </c>
      <c r="C58" s="727">
        <v>14307.54</v>
      </c>
      <c r="D58" s="727">
        <v>14537.966700000001</v>
      </c>
      <c r="E58" s="3838"/>
      <c r="F58" s="3840"/>
      <c r="G58" s="78"/>
    </row>
    <row r="59" spans="1:7" s="17" customFormat="1" collapsed="1" x14ac:dyDescent="0.25">
      <c r="A59" s="3801" t="s">
        <v>4599</v>
      </c>
      <c r="B59" s="3802"/>
      <c r="C59" s="3802"/>
      <c r="D59" s="3802"/>
      <c r="E59" s="721">
        <f>E56</f>
        <v>-0.12241985325604698</v>
      </c>
      <c r="F59" s="722">
        <f>SUM(F56)</f>
        <v>0</v>
      </c>
      <c r="G59" s="97" t="s">
        <v>781</v>
      </c>
    </row>
    <row r="60" spans="1:7" x14ac:dyDescent="0.25">
      <c r="A60" s="19"/>
      <c r="B60" s="19"/>
      <c r="C60" s="19"/>
      <c r="D60" s="19"/>
      <c r="E60" s="20"/>
      <c r="F60" s="20"/>
      <c r="G60" s="78"/>
    </row>
    <row r="61" spans="1:7" hidden="1" outlineLevel="1" x14ac:dyDescent="0.25">
      <c r="A61" s="689" t="s">
        <v>113</v>
      </c>
      <c r="B61" s="689" t="s">
        <v>114</v>
      </c>
      <c r="C61" s="689" t="s">
        <v>112</v>
      </c>
      <c r="D61" s="689" t="s">
        <v>116</v>
      </c>
      <c r="E61" s="689" t="s">
        <v>117</v>
      </c>
      <c r="F61" s="1188" t="s">
        <v>121</v>
      </c>
      <c r="G61" s="78"/>
    </row>
    <row r="62" spans="1:7" hidden="1" outlineLevel="1" x14ac:dyDescent="0.25">
      <c r="A62" s="690">
        <v>1</v>
      </c>
      <c r="B62" s="691" t="s">
        <v>115</v>
      </c>
      <c r="C62" s="692">
        <v>2629.5919999999996</v>
      </c>
      <c r="D62" s="692">
        <v>2450.6890000000003</v>
      </c>
      <c r="E62" s="3837">
        <f>(0.5*D62/C62+0.5*D63/C63)-1</f>
        <v>4.6299611513647587E-2</v>
      </c>
      <c r="F62" s="3839">
        <v>4.6300000000000001E-2</v>
      </c>
      <c r="G62" s="78"/>
    </row>
    <row r="63" spans="1:7" hidden="1" outlineLevel="1" x14ac:dyDescent="0.25">
      <c r="A63" s="713"/>
      <c r="B63" s="695" t="s">
        <v>760</v>
      </c>
      <c r="C63" s="727">
        <v>858.78600000000006</v>
      </c>
      <c r="D63" s="727">
        <v>996.7360000000001</v>
      </c>
      <c r="E63" s="3838"/>
      <c r="F63" s="3840"/>
      <c r="G63" s="78"/>
    </row>
    <row r="64" spans="1:7" hidden="1" outlineLevel="1" x14ac:dyDescent="0.25">
      <c r="A64" s="690">
        <v>2</v>
      </c>
      <c r="B64" s="691" t="s">
        <v>115</v>
      </c>
      <c r="C64" s="692">
        <v>2450.6890000000003</v>
      </c>
      <c r="D64" s="692">
        <v>2773.5949999999998</v>
      </c>
      <c r="E64" s="3837">
        <f>(0.5*D64/C64+0.5*D65/C65)-1</f>
        <v>0.12562917558603992</v>
      </c>
      <c r="F64" s="3839">
        <v>9.2499999999999999E-2</v>
      </c>
      <c r="G64" s="78"/>
    </row>
    <row r="65" spans="1:7" hidden="1" outlineLevel="1" x14ac:dyDescent="0.25">
      <c r="A65" s="713"/>
      <c r="B65" s="695" t="s">
        <v>760</v>
      </c>
      <c r="C65" s="727">
        <v>996.7360000000001</v>
      </c>
      <c r="D65" s="727">
        <v>1115.8430000000001</v>
      </c>
      <c r="E65" s="3838"/>
      <c r="F65" s="3840"/>
      <c r="G65" s="78"/>
    </row>
    <row r="66" spans="1:7" hidden="1" outlineLevel="1" x14ac:dyDescent="0.25">
      <c r="A66" s="690">
        <v>3</v>
      </c>
      <c r="B66" s="691" t="s">
        <v>115</v>
      </c>
      <c r="C66" s="692">
        <v>2773.5949999999998</v>
      </c>
      <c r="D66" s="692">
        <v>3227.1480000000001</v>
      </c>
      <c r="E66" s="3837">
        <f>(0.5*D66/C66+0.5*D67/C67)-1</f>
        <v>0.12451018251995793</v>
      </c>
      <c r="F66" s="3839">
        <v>9.2499999999999999E-2</v>
      </c>
      <c r="G66" s="78"/>
    </row>
    <row r="67" spans="1:7" hidden="1" outlineLevel="1" x14ac:dyDescent="0.25">
      <c r="A67" s="713"/>
      <c r="B67" s="695" t="s">
        <v>760</v>
      </c>
      <c r="C67" s="727">
        <v>1116.8599999999999</v>
      </c>
      <c r="D67" s="727">
        <v>1212.346</v>
      </c>
      <c r="E67" s="3838"/>
      <c r="F67" s="3840"/>
      <c r="G67" s="78"/>
    </row>
    <row r="68" spans="1:7" hidden="1" outlineLevel="1" x14ac:dyDescent="0.25">
      <c r="A68" s="690">
        <v>4</v>
      </c>
      <c r="B68" s="691" t="s">
        <v>115</v>
      </c>
      <c r="C68" s="692">
        <v>3227.1480000000001</v>
      </c>
      <c r="D68" s="692">
        <v>4026.9650000000001</v>
      </c>
      <c r="E68" s="3837">
        <v>0.2031</v>
      </c>
      <c r="F68" s="3839">
        <v>9.2499999999999999E-2</v>
      </c>
      <c r="G68" s="78"/>
    </row>
    <row r="69" spans="1:7" hidden="1" outlineLevel="1" x14ac:dyDescent="0.25">
      <c r="A69" s="713"/>
      <c r="B69" s="695" t="s">
        <v>760</v>
      </c>
      <c r="C69" s="727">
        <v>1212.346</v>
      </c>
      <c r="D69" s="727">
        <v>1411.3920000000001</v>
      </c>
      <c r="E69" s="3838"/>
      <c r="F69" s="3840"/>
      <c r="G69" s="78"/>
    </row>
    <row r="70" spans="1:7" s="17" customFormat="1" collapsed="1" x14ac:dyDescent="0.25">
      <c r="A70" s="3801" t="s">
        <v>1477</v>
      </c>
      <c r="B70" s="3802"/>
      <c r="C70" s="3802"/>
      <c r="D70" s="3802"/>
      <c r="E70" s="721">
        <f>(0.5*D68/C62+0.5*D69/C63)-1</f>
        <v>0.58743821593669532</v>
      </c>
      <c r="F70" s="722">
        <f>SUM(F62:F69)</f>
        <v>0.32379999999999998</v>
      </c>
      <c r="G70" s="97" t="s">
        <v>781</v>
      </c>
    </row>
    <row r="71" spans="1:7" x14ac:dyDescent="0.25">
      <c r="A71" s="19"/>
      <c r="B71" s="19"/>
      <c r="C71" s="19"/>
      <c r="D71" s="19"/>
      <c r="E71" s="20"/>
      <c r="F71" s="20"/>
      <c r="G71" s="78"/>
    </row>
    <row r="72" spans="1:7" hidden="1" outlineLevel="1" x14ac:dyDescent="0.25">
      <c r="A72" s="689" t="s">
        <v>113</v>
      </c>
      <c r="B72" s="689" t="s">
        <v>114</v>
      </c>
      <c r="C72" s="689" t="s">
        <v>112</v>
      </c>
      <c r="D72" s="689" t="s">
        <v>116</v>
      </c>
      <c r="E72" s="689" t="s">
        <v>117</v>
      </c>
      <c r="F72" s="1188" t="s">
        <v>121</v>
      </c>
      <c r="G72" s="78"/>
    </row>
    <row r="73" spans="1:7" hidden="1" outlineLevel="1" x14ac:dyDescent="0.25">
      <c r="A73" s="690">
        <v>1</v>
      </c>
      <c r="B73" s="691" t="s">
        <v>115</v>
      </c>
      <c r="C73" s="692">
        <v>2508.7530000000002</v>
      </c>
      <c r="D73" s="692">
        <v>2632.5990000000002</v>
      </c>
      <c r="E73" s="3837">
        <f>(0.45*D73/C73+0.45*D74/C74+0.1*D75/C75)-1</f>
        <v>0.12047662242707013</v>
      </c>
      <c r="F73" s="3839">
        <v>0.09</v>
      </c>
      <c r="G73" s="78"/>
    </row>
    <row r="74" spans="1:7" hidden="1" outlineLevel="1" x14ac:dyDescent="0.25">
      <c r="A74" s="706"/>
      <c r="B74" s="695" t="s">
        <v>760</v>
      </c>
      <c r="C74" s="696">
        <v>899.26700000000005</v>
      </c>
      <c r="D74" s="696">
        <v>1053.634</v>
      </c>
      <c r="E74" s="3858"/>
      <c r="F74" s="3857"/>
      <c r="G74" s="78"/>
    </row>
    <row r="75" spans="1:7" hidden="1" outlineLevel="1" x14ac:dyDescent="0.25">
      <c r="A75" s="713"/>
      <c r="B75" s="726" t="s">
        <v>761</v>
      </c>
      <c r="C75" s="727">
        <v>8601.8709999999992</v>
      </c>
      <c r="D75" s="727">
        <v>10409.615</v>
      </c>
      <c r="E75" s="3838"/>
      <c r="F75" s="3840"/>
      <c r="G75" s="78"/>
    </row>
    <row r="76" spans="1:7" hidden="1" outlineLevel="1" x14ac:dyDescent="0.25">
      <c r="A76" s="690">
        <v>2</v>
      </c>
      <c r="B76" s="691" t="s">
        <v>115</v>
      </c>
      <c r="C76" s="692">
        <v>2632.5990000000002</v>
      </c>
      <c r="D76" s="692">
        <v>2870.5639999999999</v>
      </c>
      <c r="E76" s="3837">
        <f>(0.45*D76/C76+0.45*D77/C77+0.1*D78/C78)-1</f>
        <v>9.0672716691863275E-2</v>
      </c>
      <c r="F76" s="3839">
        <v>0.09</v>
      </c>
      <c r="G76" s="78"/>
    </row>
    <row r="77" spans="1:7" hidden="1" outlineLevel="1" x14ac:dyDescent="0.25">
      <c r="A77" s="706"/>
      <c r="B77" s="695" t="s">
        <v>760</v>
      </c>
      <c r="C77" s="696">
        <v>1053.634</v>
      </c>
      <c r="D77" s="696">
        <v>1158.162</v>
      </c>
      <c r="E77" s="3858"/>
      <c r="F77" s="3857"/>
      <c r="G77" s="78"/>
    </row>
    <row r="78" spans="1:7" hidden="1" outlineLevel="1" x14ac:dyDescent="0.25">
      <c r="A78" s="713"/>
      <c r="B78" s="726" t="s">
        <v>761</v>
      </c>
      <c r="C78" s="727">
        <v>10409.615</v>
      </c>
      <c r="D78" s="727">
        <v>10966.869000000001</v>
      </c>
      <c r="E78" s="3838"/>
      <c r="F78" s="3840"/>
      <c r="G78" s="78"/>
    </row>
    <row r="79" spans="1:7" hidden="1" outlineLevel="1" x14ac:dyDescent="0.25">
      <c r="A79" s="690">
        <v>3</v>
      </c>
      <c r="B79" s="691" t="s">
        <v>115</v>
      </c>
      <c r="C79" s="692">
        <v>2870.5639999999999</v>
      </c>
      <c r="D79" s="692">
        <v>3360.9810000000002</v>
      </c>
      <c r="E79" s="3837">
        <v>0.12740000000000001</v>
      </c>
      <c r="F79" s="3839">
        <v>0.09</v>
      </c>
      <c r="G79" s="78"/>
    </row>
    <row r="80" spans="1:7" hidden="1" outlineLevel="1" x14ac:dyDescent="0.25">
      <c r="A80" s="706"/>
      <c r="B80" s="695" t="s">
        <v>760</v>
      </c>
      <c r="C80" s="696">
        <v>1158.162</v>
      </c>
      <c r="D80" s="696">
        <v>1221.9090000000001</v>
      </c>
      <c r="E80" s="3858"/>
      <c r="F80" s="3857"/>
      <c r="G80" s="78"/>
    </row>
    <row r="81" spans="1:7" hidden="1" outlineLevel="1" x14ac:dyDescent="0.25">
      <c r="A81" s="713"/>
      <c r="B81" s="726" t="s">
        <v>761</v>
      </c>
      <c r="C81" s="727">
        <v>10966.869000000001</v>
      </c>
      <c r="D81" s="727">
        <v>14045.288</v>
      </c>
      <c r="E81" s="3838"/>
      <c r="F81" s="3840"/>
      <c r="G81" s="78"/>
    </row>
    <row r="82" spans="1:7" hidden="1" outlineLevel="1" x14ac:dyDescent="0.25">
      <c r="A82" s="690">
        <v>4</v>
      </c>
      <c r="B82" s="691" t="s">
        <v>115</v>
      </c>
      <c r="C82" s="692">
        <v>3360.9810000000002</v>
      </c>
      <c r="D82" s="692">
        <v>4047.8620000000001</v>
      </c>
      <c r="E82" s="3837">
        <v>0.16500000000000001</v>
      </c>
      <c r="F82" s="3839">
        <v>0.09</v>
      </c>
      <c r="G82" s="78"/>
    </row>
    <row r="83" spans="1:7" hidden="1" outlineLevel="1" x14ac:dyDescent="0.25">
      <c r="A83" s="706"/>
      <c r="B83" s="695" t="s">
        <v>760</v>
      </c>
      <c r="C83" s="696">
        <v>1221.9090000000001</v>
      </c>
      <c r="D83" s="696">
        <v>1378.4659999999999</v>
      </c>
      <c r="E83" s="3858"/>
      <c r="F83" s="3857"/>
      <c r="G83" s="78"/>
    </row>
    <row r="84" spans="1:7" hidden="1" outlineLevel="1" x14ac:dyDescent="0.25">
      <c r="A84" s="713"/>
      <c r="B84" s="726" t="s">
        <v>761</v>
      </c>
      <c r="C84" s="727">
        <v>14045.288</v>
      </c>
      <c r="D84" s="727">
        <v>16256.57</v>
      </c>
      <c r="E84" s="3838"/>
      <c r="F84" s="3840"/>
      <c r="G84" s="78"/>
    </row>
    <row r="85" spans="1:7" hidden="1" outlineLevel="1" x14ac:dyDescent="0.25">
      <c r="A85" s="690">
        <v>5</v>
      </c>
      <c r="B85" s="691" t="s">
        <v>115</v>
      </c>
      <c r="C85" s="692">
        <v>4047.8620000000001</v>
      </c>
      <c r="D85" s="692">
        <v>3769.5309999999999</v>
      </c>
      <c r="E85" s="3837">
        <v>-6.0499999999999998E-2</v>
      </c>
      <c r="F85" s="3839">
        <v>-0.03</v>
      </c>
      <c r="G85" s="78"/>
    </row>
    <row r="86" spans="1:7" hidden="1" outlineLevel="1" x14ac:dyDescent="0.25">
      <c r="A86" s="706"/>
      <c r="B86" s="695" t="s">
        <v>760</v>
      </c>
      <c r="C86" s="696">
        <v>1378.4659999999999</v>
      </c>
      <c r="D86" s="696">
        <v>1351.1590000000001</v>
      </c>
      <c r="E86" s="3858"/>
      <c r="F86" s="3857"/>
      <c r="G86" s="78"/>
    </row>
    <row r="87" spans="1:7" hidden="1" outlineLevel="1" x14ac:dyDescent="0.25">
      <c r="A87" s="713"/>
      <c r="B87" s="726" t="s">
        <v>761</v>
      </c>
      <c r="C87" s="727">
        <v>16256.57</v>
      </c>
      <c r="D87" s="727">
        <v>13376.526</v>
      </c>
      <c r="E87" s="3838"/>
      <c r="F87" s="3840"/>
      <c r="G87" s="78"/>
    </row>
    <row r="88" spans="1:7" s="17" customFormat="1" collapsed="1" x14ac:dyDescent="0.25">
      <c r="A88" s="3801" t="s">
        <v>2887</v>
      </c>
      <c r="B88" s="3802"/>
      <c r="C88" s="3802"/>
      <c r="D88" s="3802"/>
      <c r="E88" s="721">
        <f>SUM(E73:E87)</f>
        <v>0.44304933911893341</v>
      </c>
      <c r="F88" s="722">
        <f>SUM(F73:F87)</f>
        <v>0.32999999999999996</v>
      </c>
      <c r="G88" s="97" t="s">
        <v>781</v>
      </c>
    </row>
    <row r="89" spans="1:7" x14ac:dyDescent="0.25">
      <c r="A89" s="1"/>
      <c r="B89" s="1"/>
      <c r="C89" s="1"/>
      <c r="D89" s="1"/>
      <c r="E89" s="1"/>
      <c r="F89" s="1848"/>
      <c r="G89" s="78"/>
    </row>
    <row r="90" spans="1:7" hidden="1" outlineLevel="1" x14ac:dyDescent="0.25">
      <c r="A90" s="689" t="s">
        <v>113</v>
      </c>
      <c r="B90" s="689" t="s">
        <v>114</v>
      </c>
      <c r="C90" s="689" t="s">
        <v>112</v>
      </c>
      <c r="D90" s="689" t="s">
        <v>116</v>
      </c>
      <c r="E90" s="689" t="s">
        <v>117</v>
      </c>
      <c r="F90" s="1188" t="s">
        <v>121</v>
      </c>
      <c r="G90" s="78"/>
    </row>
    <row r="91" spans="1:7" hidden="1" outlineLevel="1" x14ac:dyDescent="0.25">
      <c r="A91" s="690">
        <v>1</v>
      </c>
      <c r="B91" s="691" t="s">
        <v>115</v>
      </c>
      <c r="C91" s="692">
        <v>2236.92</v>
      </c>
      <c r="D91" s="692">
        <v>2856.49</v>
      </c>
      <c r="E91" s="3837">
        <f>(0.5*D91/C91+0.5*D92/C92)-1</f>
        <v>0.29836388107922307</v>
      </c>
      <c r="F91" s="3839">
        <v>7.1499999999999994E-2</v>
      </c>
      <c r="G91" s="78"/>
    </row>
    <row r="92" spans="1:7" hidden="1" outlineLevel="1" x14ac:dyDescent="0.25">
      <c r="A92" s="713"/>
      <c r="B92" s="695" t="s">
        <v>760</v>
      </c>
      <c r="C92" s="727">
        <v>864.57</v>
      </c>
      <c r="D92" s="727">
        <v>1141.019</v>
      </c>
      <c r="E92" s="3838"/>
      <c r="F92" s="3840"/>
      <c r="G92" s="78"/>
    </row>
    <row r="93" spans="1:7" hidden="1" outlineLevel="1" x14ac:dyDescent="0.25">
      <c r="A93" s="690">
        <v>2</v>
      </c>
      <c r="B93" s="691" t="s">
        <v>115</v>
      </c>
      <c r="C93" s="692">
        <v>2856.49</v>
      </c>
      <c r="D93" s="692">
        <v>3043.78</v>
      </c>
      <c r="E93" s="3837">
        <v>5.7500000000000002E-2</v>
      </c>
      <c r="F93" s="3839">
        <v>5.7500000000000002E-2</v>
      </c>
      <c r="G93" s="78"/>
    </row>
    <row r="94" spans="1:7" hidden="1" outlineLevel="1" x14ac:dyDescent="0.25">
      <c r="A94" s="713"/>
      <c r="B94" s="695" t="s">
        <v>760</v>
      </c>
      <c r="C94" s="727">
        <v>1141.019</v>
      </c>
      <c r="D94" s="727">
        <v>1197.998</v>
      </c>
      <c r="E94" s="3838"/>
      <c r="F94" s="3840"/>
      <c r="G94" s="78"/>
    </row>
    <row r="95" spans="1:7" hidden="1" outlineLevel="1" x14ac:dyDescent="0.25">
      <c r="A95" s="690">
        <v>3</v>
      </c>
      <c r="B95" s="691" t="s">
        <v>115</v>
      </c>
      <c r="C95" s="692">
        <v>3043.78</v>
      </c>
      <c r="D95" s="692">
        <v>3700.2739999999999</v>
      </c>
      <c r="E95" s="3837">
        <v>0.1361</v>
      </c>
      <c r="F95" s="3839">
        <v>7.1499999999999994E-2</v>
      </c>
      <c r="G95" s="78"/>
    </row>
    <row r="96" spans="1:7" hidden="1" outlineLevel="1" x14ac:dyDescent="0.25">
      <c r="A96" s="713"/>
      <c r="B96" s="695" t="s">
        <v>760</v>
      </c>
      <c r="C96" s="727">
        <v>1197.998</v>
      </c>
      <c r="D96" s="727">
        <v>1267.194</v>
      </c>
      <c r="E96" s="3838"/>
      <c r="F96" s="3840"/>
      <c r="G96" s="78"/>
    </row>
    <row r="97" spans="1:7" hidden="1" outlineLevel="1" x14ac:dyDescent="0.25">
      <c r="A97" s="690">
        <v>4</v>
      </c>
      <c r="B97" s="691" t="s">
        <v>115</v>
      </c>
      <c r="C97" s="692">
        <v>3700.2739999999999</v>
      </c>
      <c r="D97" s="692">
        <v>4503.45</v>
      </c>
      <c r="E97" s="3837">
        <v>0.21290000000000001</v>
      </c>
      <c r="F97" s="3839">
        <v>7.1499999999999994E-2</v>
      </c>
      <c r="G97" s="78"/>
    </row>
    <row r="98" spans="1:7" hidden="1" outlineLevel="1" x14ac:dyDescent="0.25">
      <c r="A98" s="713"/>
      <c r="B98" s="695" t="s">
        <v>760</v>
      </c>
      <c r="C98" s="727">
        <v>1267.194</v>
      </c>
      <c r="D98" s="727">
        <v>1531.06</v>
      </c>
      <c r="E98" s="3838"/>
      <c r="F98" s="3840"/>
      <c r="G98" s="78"/>
    </row>
    <row r="99" spans="1:7" s="17" customFormat="1" collapsed="1" x14ac:dyDescent="0.25">
      <c r="A99" s="3801" t="s">
        <v>2888</v>
      </c>
      <c r="B99" s="3802"/>
      <c r="C99" s="3802"/>
      <c r="D99" s="3802"/>
      <c r="E99" s="721">
        <f>(0.5*D97/C91+0.5*D98/C92)-1</f>
        <v>0.8920644196302896</v>
      </c>
      <c r="F99" s="722">
        <f>SUM(F91:F98)</f>
        <v>0.27200000000000002</v>
      </c>
      <c r="G99" s="97" t="s">
        <v>781</v>
      </c>
    </row>
    <row r="100" spans="1:7" x14ac:dyDescent="0.25">
      <c r="A100" s="1"/>
      <c r="B100" s="1"/>
      <c r="C100" s="1"/>
      <c r="D100" s="1"/>
      <c r="E100" s="1"/>
      <c r="F100" s="1848"/>
      <c r="G100" s="78"/>
    </row>
    <row r="101" spans="1:7" hidden="1" outlineLevel="1" x14ac:dyDescent="0.25">
      <c r="A101" s="689" t="s">
        <v>113</v>
      </c>
      <c r="B101" s="689" t="s">
        <v>114</v>
      </c>
      <c r="C101" s="689" t="s">
        <v>112</v>
      </c>
      <c r="D101" s="689" t="s">
        <v>116</v>
      </c>
      <c r="E101" s="689" t="s">
        <v>117</v>
      </c>
      <c r="F101" s="1188" t="s">
        <v>121</v>
      </c>
      <c r="G101" s="78"/>
    </row>
    <row r="102" spans="1:7" hidden="1" outlineLevel="1" x14ac:dyDescent="0.25">
      <c r="A102" s="690">
        <v>1</v>
      </c>
      <c r="B102" s="691" t="s">
        <v>115</v>
      </c>
      <c r="C102" s="692">
        <v>2153.09</v>
      </c>
      <c r="D102" s="692">
        <v>2450.6890000000003</v>
      </c>
      <c r="E102" s="3837">
        <f>(0.5*D102/C102+0.5*D103/C103)-1</f>
        <v>0.14187739907810437</v>
      </c>
      <c r="F102" s="3839">
        <v>0.01</v>
      </c>
      <c r="G102" s="78"/>
    </row>
    <row r="103" spans="1:7" hidden="1" outlineLevel="1" x14ac:dyDescent="0.25">
      <c r="A103" s="713"/>
      <c r="B103" s="695" t="s">
        <v>760</v>
      </c>
      <c r="C103" s="727">
        <v>870.10500000000002</v>
      </c>
      <c r="D103" s="727">
        <v>996.7360000000001</v>
      </c>
      <c r="E103" s="3838"/>
      <c r="F103" s="3840"/>
      <c r="G103" s="78"/>
    </row>
    <row r="104" spans="1:7" hidden="1" outlineLevel="1" x14ac:dyDescent="0.25">
      <c r="A104" s="690">
        <v>2</v>
      </c>
      <c r="B104" s="691" t="s">
        <v>115</v>
      </c>
      <c r="C104" s="692">
        <v>2450.6890000000003</v>
      </c>
      <c r="D104" s="692">
        <v>2500.3540000000003</v>
      </c>
      <c r="E104" s="3837">
        <f>(0.5*D104/C104+0.5*D105/C105)-1</f>
        <v>2.9192575572381418E-2</v>
      </c>
      <c r="F104" s="3839">
        <v>0.01</v>
      </c>
      <c r="G104" s="78"/>
    </row>
    <row r="105" spans="1:7" hidden="1" outlineLevel="1" x14ac:dyDescent="0.25">
      <c r="A105" s="713"/>
      <c r="B105" s="695" t="s">
        <v>760</v>
      </c>
      <c r="C105" s="727">
        <v>996.7360000000001</v>
      </c>
      <c r="D105" s="727">
        <v>1034.731</v>
      </c>
      <c r="E105" s="3838"/>
      <c r="F105" s="3840"/>
      <c r="G105" s="78"/>
    </row>
    <row r="106" spans="1:7" hidden="1" outlineLevel="1" x14ac:dyDescent="0.25">
      <c r="A106" s="690">
        <v>3</v>
      </c>
      <c r="B106" s="691" t="s">
        <v>115</v>
      </c>
      <c r="C106" s="692">
        <v>2500.3540000000003</v>
      </c>
      <c r="D106" s="692">
        <v>2808.1640000000002</v>
      </c>
      <c r="E106" s="3837">
        <f>(0.5*D106/C106+0.5*D107/C107)-1</f>
        <v>0.10495538566399509</v>
      </c>
      <c r="F106" s="3839">
        <v>0.01</v>
      </c>
      <c r="G106" s="78"/>
    </row>
    <row r="107" spans="1:7" hidden="1" outlineLevel="1" x14ac:dyDescent="0.25">
      <c r="A107" s="713"/>
      <c r="B107" s="695" t="s">
        <v>760</v>
      </c>
      <c r="C107" s="727">
        <v>1034.731</v>
      </c>
      <c r="D107" s="727">
        <v>1124.55</v>
      </c>
      <c r="E107" s="3838"/>
      <c r="F107" s="3840"/>
      <c r="G107" s="78"/>
    </row>
    <row r="108" spans="1:7" hidden="1" outlineLevel="1" x14ac:dyDescent="0.25">
      <c r="A108" s="690">
        <v>4</v>
      </c>
      <c r="B108" s="691" t="s">
        <v>115</v>
      </c>
      <c r="C108" s="692">
        <v>2808.1640000000002</v>
      </c>
      <c r="D108" s="692">
        <v>2865.4440000000004</v>
      </c>
      <c r="E108" s="3837">
        <f>(0.5*D108/C108+0.5*D109/C109)-1</f>
        <v>1.6366190372223866E-2</v>
      </c>
      <c r="F108" s="3839">
        <v>0.01</v>
      </c>
      <c r="G108" s="78"/>
    </row>
    <row r="109" spans="1:7" hidden="1" outlineLevel="1" x14ac:dyDescent="0.25">
      <c r="A109" s="713"/>
      <c r="B109" s="726" t="s">
        <v>760</v>
      </c>
      <c r="C109" s="727">
        <v>1124.55</v>
      </c>
      <c r="D109" s="727">
        <v>1138.4209999999998</v>
      </c>
      <c r="E109" s="3838"/>
      <c r="F109" s="3840"/>
      <c r="G109" s="78"/>
    </row>
    <row r="110" spans="1:7" hidden="1" outlineLevel="1" x14ac:dyDescent="0.25">
      <c r="A110" s="690">
        <v>5</v>
      </c>
      <c r="B110" s="691" t="s">
        <v>115</v>
      </c>
      <c r="C110" s="692">
        <v>2865.4440000000004</v>
      </c>
      <c r="D110" s="692">
        <v>2773.5949999999998</v>
      </c>
      <c r="E110" s="3837">
        <f>(0.5*D110/C110+0.5*D111/C111)-1</f>
        <v>-2.5943376741351498E-2</v>
      </c>
      <c r="F110" s="3839">
        <v>0</v>
      </c>
      <c r="G110" s="78"/>
    </row>
    <row r="111" spans="1:7" hidden="1" outlineLevel="1" x14ac:dyDescent="0.25">
      <c r="A111" s="713"/>
      <c r="B111" s="695" t="s">
        <v>760</v>
      </c>
      <c r="C111" s="727">
        <v>1138.4209999999998</v>
      </c>
      <c r="D111" s="727">
        <v>1115.8430000000001</v>
      </c>
      <c r="E111" s="3838"/>
      <c r="F111" s="3840"/>
      <c r="G111" s="78"/>
    </row>
    <row r="112" spans="1:7" hidden="1" outlineLevel="1" x14ac:dyDescent="0.25">
      <c r="A112" s="690">
        <v>6</v>
      </c>
      <c r="B112" s="691" t="s">
        <v>115</v>
      </c>
      <c r="C112" s="692">
        <v>2773.5949999999998</v>
      </c>
      <c r="D112" s="692">
        <v>2810.288</v>
      </c>
      <c r="E112" s="3837">
        <f>(0.5*D112/C112+0.5*D113/C113)-1</f>
        <v>1.1128328229117912E-2</v>
      </c>
      <c r="F112" s="3839">
        <v>0.01</v>
      </c>
      <c r="G112" s="78"/>
    </row>
    <row r="113" spans="1:10" hidden="1" outlineLevel="1" x14ac:dyDescent="0.25">
      <c r="A113" s="713"/>
      <c r="B113" s="695" t="s">
        <v>760</v>
      </c>
      <c r="C113" s="727">
        <v>1115.8430000000001</v>
      </c>
      <c r="D113" s="727">
        <v>1125.9159999999999</v>
      </c>
      <c r="E113" s="3838"/>
      <c r="F113" s="3840"/>
      <c r="G113" s="78"/>
    </row>
    <row r="114" spans="1:10" hidden="1" outlineLevel="1" x14ac:dyDescent="0.25">
      <c r="A114" s="690">
        <v>7</v>
      </c>
      <c r="B114" s="691" t="s">
        <v>115</v>
      </c>
      <c r="C114" s="692">
        <v>2810.288</v>
      </c>
      <c r="D114" s="692">
        <v>2956.944</v>
      </c>
      <c r="E114" s="3837">
        <f>(0.5*D114/C114+0.5*D115/C115)-1</f>
        <v>5.3257248083402597E-2</v>
      </c>
      <c r="F114" s="3839">
        <v>0.01</v>
      </c>
      <c r="G114" s="78"/>
    </row>
    <row r="115" spans="1:10" hidden="1" outlineLevel="1" x14ac:dyDescent="0.25">
      <c r="A115" s="713"/>
      <c r="B115" s="695" t="s">
        <v>760</v>
      </c>
      <c r="C115" s="727">
        <v>1125.9159999999999</v>
      </c>
      <c r="D115" s="727">
        <v>1187.086</v>
      </c>
      <c r="E115" s="3838"/>
      <c r="F115" s="3840"/>
      <c r="G115" s="78"/>
    </row>
    <row r="116" spans="1:10" hidden="1" outlineLevel="1" x14ac:dyDescent="0.25">
      <c r="A116" s="690">
        <v>8</v>
      </c>
      <c r="B116" s="691" t="s">
        <v>115</v>
      </c>
      <c r="C116" s="692">
        <v>2956.944</v>
      </c>
      <c r="D116" s="692">
        <v>3072.4870000000001</v>
      </c>
      <c r="E116" s="3837">
        <f>(0.5*D116/C116+0.5*D117/C117)-1</f>
        <v>1.6201248827823367E-2</v>
      </c>
      <c r="F116" s="3839">
        <v>0.01</v>
      </c>
      <c r="G116" s="78"/>
    </row>
    <row r="117" spans="1:10" hidden="1" outlineLevel="1" x14ac:dyDescent="0.25">
      <c r="A117" s="713"/>
      <c r="B117" s="726" t="s">
        <v>760</v>
      </c>
      <c r="C117" s="727">
        <v>1187.086</v>
      </c>
      <c r="D117" s="727">
        <v>1179.165</v>
      </c>
      <c r="E117" s="3838"/>
      <c r="F117" s="3840"/>
      <c r="G117" s="78"/>
    </row>
    <row r="118" spans="1:10" hidden="1" outlineLevel="1" x14ac:dyDescent="0.25">
      <c r="A118" s="690">
        <v>9</v>
      </c>
      <c r="B118" s="691" t="s">
        <v>115</v>
      </c>
      <c r="C118" s="692">
        <v>3072.4870000000001</v>
      </c>
      <c r="D118" s="692">
        <v>3227.16</v>
      </c>
      <c r="E118" s="3837">
        <f>(0.5*D118/C118+0.5*D119/C119)-1</f>
        <v>3.9240353523064098E-2</v>
      </c>
      <c r="F118" s="3839">
        <v>0.01</v>
      </c>
      <c r="G118" s="78"/>
    </row>
    <row r="119" spans="1:10" hidden="1" outlineLevel="1" x14ac:dyDescent="0.25">
      <c r="A119" s="713"/>
      <c r="B119" s="695" t="s">
        <v>760</v>
      </c>
      <c r="C119" s="727">
        <v>1179.165</v>
      </c>
      <c r="D119" s="727">
        <v>1212.346</v>
      </c>
      <c r="E119" s="3838"/>
      <c r="F119" s="3840"/>
      <c r="G119" s="78"/>
    </row>
    <row r="120" spans="1:10" hidden="1" outlineLevel="1" x14ac:dyDescent="0.25">
      <c r="A120" s="690">
        <v>10</v>
      </c>
      <c r="B120" s="691" t="s">
        <v>115</v>
      </c>
      <c r="C120" s="692">
        <v>3227.16</v>
      </c>
      <c r="D120" s="692">
        <v>3390.0140000000001</v>
      </c>
      <c r="E120" s="3837">
        <f>(0.5*D120/C120+0.5*D121/C121)-1</f>
        <v>1.7592874379516843E-2</v>
      </c>
      <c r="F120" s="3839">
        <v>0.01</v>
      </c>
      <c r="G120" s="78"/>
    </row>
    <row r="121" spans="1:10" hidden="1" outlineLevel="1" x14ac:dyDescent="0.25">
      <c r="A121" s="713"/>
      <c r="B121" s="695" t="s">
        <v>760</v>
      </c>
      <c r="C121" s="727">
        <v>1212.346</v>
      </c>
      <c r="D121" s="727">
        <v>1193.8240000000001</v>
      </c>
      <c r="E121" s="3838"/>
      <c r="F121" s="3840"/>
      <c r="G121" s="78"/>
    </row>
    <row r="122" spans="1:10" hidden="1" outlineLevel="1" x14ac:dyDescent="0.25">
      <c r="A122" s="690">
        <v>11</v>
      </c>
      <c r="B122" s="691" t="s">
        <v>115</v>
      </c>
      <c r="C122" s="692">
        <v>3390.0140000000001</v>
      </c>
      <c r="D122" s="692">
        <v>3647.3139999999999</v>
      </c>
      <c r="E122" s="3837">
        <f>(0.5*D122/C122+0.5*D123/C123)-1</f>
        <v>7.5374391550517617E-2</v>
      </c>
      <c r="F122" s="3839">
        <v>0.01</v>
      </c>
      <c r="G122" s="78"/>
    </row>
    <row r="123" spans="1:10" hidden="1" outlineLevel="1" x14ac:dyDescent="0.25">
      <c r="A123" s="713"/>
      <c r="B123" s="695" t="s">
        <v>760</v>
      </c>
      <c r="C123" s="727">
        <v>1193.8240000000001</v>
      </c>
      <c r="D123" s="727">
        <v>1283.181</v>
      </c>
      <c r="E123" s="3838"/>
      <c r="F123" s="3840"/>
      <c r="G123" s="78"/>
    </row>
    <row r="124" spans="1:10" hidden="1" outlineLevel="1" x14ac:dyDescent="0.25">
      <c r="A124" s="690">
        <v>12</v>
      </c>
      <c r="B124" s="691" t="s">
        <v>115</v>
      </c>
      <c r="C124" s="692">
        <v>3647.3139999999999</v>
      </c>
      <c r="D124" s="692">
        <v>3823.7069999999999</v>
      </c>
      <c r="E124" s="3837">
        <v>3.0700000000000002E-2</v>
      </c>
      <c r="F124" s="3839">
        <v>0.01</v>
      </c>
      <c r="G124" s="78"/>
    </row>
    <row r="125" spans="1:10" hidden="1" outlineLevel="1" x14ac:dyDescent="0.25">
      <c r="A125" s="713"/>
      <c r="B125" s="726" t="s">
        <v>760</v>
      </c>
      <c r="C125" s="727">
        <v>1283.181</v>
      </c>
      <c r="D125" s="727">
        <v>1296.558</v>
      </c>
      <c r="E125" s="3838"/>
      <c r="F125" s="3840"/>
      <c r="G125" s="78"/>
    </row>
    <row r="126" spans="1:10" s="17" customFormat="1" collapsed="1" x14ac:dyDescent="0.25">
      <c r="A126" s="3801" t="s">
        <v>3905</v>
      </c>
      <c r="B126" s="3802"/>
      <c r="C126" s="3802"/>
      <c r="D126" s="3802"/>
      <c r="E126" s="721">
        <f>(0.5*D124/C102)+(0.5*D125/C103)-1</f>
        <v>0.63301635956842639</v>
      </c>
      <c r="F126" s="722">
        <f>SUM(F102:F125)</f>
        <v>0.10999999999999999</v>
      </c>
      <c r="G126" s="97" t="s">
        <v>781</v>
      </c>
      <c r="J126" s="218"/>
    </row>
    <row r="127" spans="1:10" x14ac:dyDescent="0.25">
      <c r="A127" s="1"/>
      <c r="B127" s="1"/>
      <c r="C127" s="1"/>
      <c r="D127" s="1"/>
      <c r="E127" s="1"/>
      <c r="F127" s="1848"/>
      <c r="G127" s="78"/>
      <c r="J127" s="21"/>
    </row>
    <row r="128" spans="1:10" hidden="1" outlineLevel="1" x14ac:dyDescent="0.25">
      <c r="A128" s="689" t="s">
        <v>113</v>
      </c>
      <c r="B128" s="689" t="s">
        <v>114</v>
      </c>
      <c r="C128" s="689" t="s">
        <v>112</v>
      </c>
      <c r="D128" s="689" t="s">
        <v>116</v>
      </c>
      <c r="E128" s="689" t="s">
        <v>117</v>
      </c>
      <c r="F128" s="1188" t="s">
        <v>121</v>
      </c>
      <c r="G128" s="78"/>
      <c r="J128" s="21"/>
    </row>
    <row r="129" spans="1:10" hidden="1" outlineLevel="1" x14ac:dyDescent="0.25">
      <c r="A129" s="690">
        <v>1</v>
      </c>
      <c r="B129" s="691" t="s">
        <v>115</v>
      </c>
      <c r="C129" s="692">
        <v>2281.817</v>
      </c>
      <c r="D129" s="692">
        <v>2769.2089999999998</v>
      </c>
      <c r="E129" s="3837">
        <f>(0.5*D129/C129+0.5*D130/C130)-1</f>
        <v>0.20338399907801241</v>
      </c>
      <c r="F129" s="3839">
        <v>7.0000000000000007E-2</v>
      </c>
      <c r="G129" s="78"/>
      <c r="J129" s="21"/>
    </row>
    <row r="130" spans="1:10" hidden="1" outlineLevel="1" x14ac:dyDescent="0.25">
      <c r="A130" s="713"/>
      <c r="B130" s="695" t="s">
        <v>760</v>
      </c>
      <c r="C130" s="727">
        <v>946.47299999999996</v>
      </c>
      <c r="D130" s="727">
        <v>1129.3030000000001</v>
      </c>
      <c r="E130" s="3838"/>
      <c r="F130" s="3840"/>
      <c r="G130" s="78"/>
      <c r="J130" s="21"/>
    </row>
    <row r="131" spans="1:10" hidden="1" outlineLevel="1" x14ac:dyDescent="0.25">
      <c r="A131" s="690">
        <v>2</v>
      </c>
      <c r="B131" s="691" t="s">
        <v>115</v>
      </c>
      <c r="C131" s="692">
        <v>2769.2089999999998</v>
      </c>
      <c r="D131" s="692">
        <v>3132.0259999999998</v>
      </c>
      <c r="E131" s="3837">
        <f>(0.5*D131/C131+0.5*D132/C132)-1</f>
        <v>9.6621693470014147E-2</v>
      </c>
      <c r="F131" s="3839">
        <v>7.0000000000000007E-2</v>
      </c>
      <c r="G131" s="78"/>
      <c r="J131" s="21"/>
    </row>
    <row r="132" spans="1:10" hidden="1" outlineLevel="1" x14ac:dyDescent="0.25">
      <c r="A132" s="713"/>
      <c r="B132" s="695" t="s">
        <v>760</v>
      </c>
      <c r="C132" s="727">
        <v>1129.3030000000001</v>
      </c>
      <c r="D132" s="727">
        <v>1199.5740000000001</v>
      </c>
      <c r="E132" s="3838"/>
      <c r="F132" s="3840"/>
      <c r="G132" s="78"/>
      <c r="J132" s="21"/>
    </row>
    <row r="133" spans="1:10" hidden="1" outlineLevel="1" x14ac:dyDescent="0.25">
      <c r="A133" s="690">
        <v>3</v>
      </c>
      <c r="B133" s="691" t="s">
        <v>115</v>
      </c>
      <c r="C133" s="692">
        <v>3132.0259999999998</v>
      </c>
      <c r="D133" s="692">
        <v>3526.7359999999999</v>
      </c>
      <c r="E133" s="3837">
        <v>8.8099999999999998E-2</v>
      </c>
      <c r="F133" s="3839">
        <v>7.0000000000000007E-2</v>
      </c>
      <c r="G133" s="78"/>
      <c r="J133" s="21"/>
    </row>
    <row r="134" spans="1:10" hidden="1" outlineLevel="1" x14ac:dyDescent="0.25">
      <c r="A134" s="713"/>
      <c r="B134" s="695" t="s">
        <v>760</v>
      </c>
      <c r="C134" s="727">
        <v>1199.5740000000001</v>
      </c>
      <c r="D134" s="727">
        <v>1255.9580000000001</v>
      </c>
      <c r="E134" s="3838"/>
      <c r="F134" s="3840"/>
      <c r="G134" s="78"/>
      <c r="J134" s="21"/>
    </row>
    <row r="135" spans="1:10" hidden="1" outlineLevel="1" x14ac:dyDescent="0.25">
      <c r="A135" s="690">
        <v>4</v>
      </c>
      <c r="B135" s="691" t="s">
        <v>115</v>
      </c>
      <c r="C135" s="692">
        <v>3526.7359999999999</v>
      </c>
      <c r="D135" s="692">
        <v>4228.9129999999996</v>
      </c>
      <c r="E135" s="3837">
        <v>0.18709999999999999</v>
      </c>
      <c r="F135" s="3839">
        <v>7.0000000000000007E-2</v>
      </c>
      <c r="G135" s="78"/>
      <c r="J135" s="21"/>
    </row>
    <row r="136" spans="1:10" hidden="1" outlineLevel="1" x14ac:dyDescent="0.25">
      <c r="A136" s="713"/>
      <c r="B136" s="695" t="s">
        <v>760</v>
      </c>
      <c r="C136" s="727">
        <v>1255.9580000000001</v>
      </c>
      <c r="D136" s="727">
        <v>1473.3409999999999</v>
      </c>
      <c r="E136" s="3838"/>
      <c r="F136" s="3840"/>
      <c r="G136" s="78"/>
      <c r="J136" s="21"/>
    </row>
    <row r="137" spans="1:10" s="17" customFormat="1" collapsed="1" x14ac:dyDescent="0.25">
      <c r="A137" s="3801" t="s">
        <v>3913</v>
      </c>
      <c r="B137" s="3802"/>
      <c r="C137" s="3802"/>
      <c r="D137" s="3802"/>
      <c r="E137" s="721">
        <f>(0.5*D135/C129)+(0.5*D136/C130)-1</f>
        <v>0.70498701559605204</v>
      </c>
      <c r="F137" s="722">
        <f>SUM(F129:F136)</f>
        <v>0.28000000000000003</v>
      </c>
      <c r="G137" s="97" t="s">
        <v>781</v>
      </c>
      <c r="J137" s="218"/>
    </row>
    <row r="138" spans="1:10" x14ac:dyDescent="0.25">
      <c r="A138" s="1"/>
      <c r="B138" s="1"/>
      <c r="C138" s="1"/>
      <c r="D138" s="1"/>
      <c r="E138" s="1"/>
      <c r="F138" s="1848"/>
      <c r="G138" s="78"/>
      <c r="J138" s="21"/>
    </row>
    <row r="139" spans="1:10" hidden="1" outlineLevel="1" x14ac:dyDescent="0.25">
      <c r="A139" s="689" t="s">
        <v>113</v>
      </c>
      <c r="B139" s="689" t="s">
        <v>114</v>
      </c>
      <c r="C139" s="689" t="s">
        <v>112</v>
      </c>
      <c r="D139" s="689" t="s">
        <v>116</v>
      </c>
      <c r="E139" s="689" t="s">
        <v>117</v>
      </c>
      <c r="F139" s="1188" t="s">
        <v>121</v>
      </c>
      <c r="G139" s="78"/>
      <c r="J139" s="21"/>
    </row>
    <row r="140" spans="1:10" hidden="1" outlineLevel="1" x14ac:dyDescent="0.25">
      <c r="A140" s="732" t="s">
        <v>2559</v>
      </c>
      <c r="B140" s="691" t="s">
        <v>115</v>
      </c>
      <c r="C140" s="692">
        <v>2459.5519999999997</v>
      </c>
      <c r="D140" s="692">
        <v>2773.5949999999998</v>
      </c>
      <c r="E140" s="3837">
        <f>(0.5*D140/C140+0.5*D141/C141)-1</f>
        <v>0.12729669792402731</v>
      </c>
      <c r="F140" s="3839">
        <v>0.06</v>
      </c>
      <c r="G140" s="78"/>
      <c r="J140" s="21"/>
    </row>
    <row r="141" spans="1:10" hidden="1" outlineLevel="1" x14ac:dyDescent="0.25">
      <c r="A141" s="732" t="s">
        <v>2559</v>
      </c>
      <c r="B141" s="695" t="s">
        <v>760</v>
      </c>
      <c r="C141" s="727">
        <v>990.17900000000009</v>
      </c>
      <c r="D141" s="727">
        <v>1115.8430000000001</v>
      </c>
      <c r="E141" s="3838"/>
      <c r="F141" s="3840"/>
      <c r="G141" s="78"/>
    </row>
    <row r="142" spans="1:10" hidden="1" outlineLevel="1" x14ac:dyDescent="0.25">
      <c r="A142" s="732" t="s">
        <v>2560</v>
      </c>
      <c r="B142" s="691" t="s">
        <v>115</v>
      </c>
      <c r="C142" s="692">
        <v>2773.5949999999998</v>
      </c>
      <c r="D142" s="692">
        <v>3227.1480000000001</v>
      </c>
      <c r="E142" s="3837">
        <v>0.12501799999999999</v>
      </c>
      <c r="F142" s="3839">
        <v>0.06</v>
      </c>
      <c r="G142" s="78"/>
    </row>
    <row r="143" spans="1:10" hidden="1" outlineLevel="1" x14ac:dyDescent="0.25">
      <c r="A143" s="732" t="s">
        <v>2560</v>
      </c>
      <c r="B143" s="695" t="s">
        <v>760</v>
      </c>
      <c r="C143" s="727">
        <v>1116.8599999999999</v>
      </c>
      <c r="D143" s="727">
        <v>1212.346</v>
      </c>
      <c r="E143" s="3838"/>
      <c r="F143" s="3840"/>
      <c r="G143" s="78"/>
    </row>
    <row r="144" spans="1:10" hidden="1" outlineLevel="1" x14ac:dyDescent="0.25">
      <c r="A144" s="732" t="s">
        <v>3329</v>
      </c>
      <c r="B144" s="691" t="s">
        <v>115</v>
      </c>
      <c r="C144" s="692">
        <v>3227.1480000000001</v>
      </c>
      <c r="D144" s="692">
        <v>3625.163</v>
      </c>
      <c r="E144" s="3837">
        <v>8.2900000000000001E-2</v>
      </c>
      <c r="F144" s="3839">
        <v>0.06</v>
      </c>
      <c r="G144" s="78"/>
    </row>
    <row r="145" spans="1:7" hidden="1" outlineLevel="1" x14ac:dyDescent="0.25">
      <c r="A145" s="732" t="s">
        <v>3329</v>
      </c>
      <c r="B145" s="695" t="s">
        <v>760</v>
      </c>
      <c r="C145" s="727">
        <v>1212.346</v>
      </c>
      <c r="D145" s="727">
        <v>1260.21</v>
      </c>
      <c r="E145" s="3838"/>
      <c r="F145" s="3840"/>
      <c r="G145" s="78"/>
    </row>
    <row r="146" spans="1:7" hidden="1" outlineLevel="1" x14ac:dyDescent="0.25">
      <c r="A146" s="732" t="s">
        <v>3330</v>
      </c>
      <c r="B146" s="691" t="s">
        <v>115</v>
      </c>
      <c r="C146" s="692">
        <v>3625.163</v>
      </c>
      <c r="D146" s="692">
        <v>4503.4530000000004</v>
      </c>
      <c r="E146" s="3853">
        <v>0.2296</v>
      </c>
      <c r="F146" s="3839">
        <v>0.06</v>
      </c>
      <c r="G146" s="78"/>
    </row>
    <row r="147" spans="1:7" hidden="1" outlineLevel="1" x14ac:dyDescent="0.25">
      <c r="A147" s="732" t="s">
        <v>3330</v>
      </c>
      <c r="B147" s="695" t="s">
        <v>760</v>
      </c>
      <c r="C147" s="727">
        <v>1260.21</v>
      </c>
      <c r="D147" s="727">
        <v>1531.059</v>
      </c>
      <c r="E147" s="3854"/>
      <c r="F147" s="3840"/>
      <c r="G147" s="78"/>
    </row>
    <row r="148" spans="1:7" hidden="1" outlineLevel="1" x14ac:dyDescent="0.25">
      <c r="A148" s="732" t="s">
        <v>3331</v>
      </c>
      <c r="B148" s="691" t="s">
        <v>115</v>
      </c>
      <c r="C148" s="692">
        <v>4503.45</v>
      </c>
      <c r="D148" s="692">
        <v>2561.6950000000002</v>
      </c>
      <c r="E148" s="3837">
        <v>-0.41599999999999998</v>
      </c>
      <c r="F148" s="3839">
        <v>-0.03</v>
      </c>
      <c r="G148" s="78"/>
    </row>
    <row r="149" spans="1:7" hidden="1" outlineLevel="1" x14ac:dyDescent="0.25">
      <c r="A149" s="732" t="s">
        <v>3331</v>
      </c>
      <c r="B149" s="695" t="s">
        <v>760</v>
      </c>
      <c r="C149" s="727">
        <v>1531.06</v>
      </c>
      <c r="D149" s="727">
        <v>921.57299999999998</v>
      </c>
      <c r="E149" s="3838"/>
      <c r="F149" s="3840"/>
      <c r="G149" s="78"/>
    </row>
    <row r="150" spans="1:7" s="17" customFormat="1" ht="14.25" customHeight="1" collapsed="1" x14ac:dyDescent="0.25">
      <c r="A150" s="3801" t="s">
        <v>2292</v>
      </c>
      <c r="B150" s="3802"/>
      <c r="C150" s="3802"/>
      <c r="D150" s="3802"/>
      <c r="E150" s="721" t="s">
        <v>2722</v>
      </c>
      <c r="F150" s="722">
        <f>SUM(F140:F149)</f>
        <v>0.21</v>
      </c>
      <c r="G150" s="175" t="s">
        <v>781</v>
      </c>
    </row>
    <row r="151" spans="1:7" x14ac:dyDescent="0.25">
      <c r="A151" s="1"/>
      <c r="B151" s="1"/>
      <c r="C151" s="1"/>
      <c r="D151" s="1"/>
      <c r="E151" s="1"/>
      <c r="F151" s="1848"/>
      <c r="G151" s="78"/>
    </row>
    <row r="152" spans="1:7" ht="24" hidden="1" customHeight="1" outlineLevel="1" x14ac:dyDescent="0.25">
      <c r="A152" s="689" t="s">
        <v>113</v>
      </c>
      <c r="B152" s="689" t="s">
        <v>114</v>
      </c>
      <c r="C152" s="733" t="s">
        <v>112</v>
      </c>
      <c r="D152" s="733" t="s">
        <v>116</v>
      </c>
      <c r="E152" s="733" t="s">
        <v>117</v>
      </c>
      <c r="F152" s="1849" t="s">
        <v>121</v>
      </c>
      <c r="G152" s="78"/>
    </row>
    <row r="153" spans="1:7" hidden="1" outlineLevel="1" x14ac:dyDescent="0.25">
      <c r="A153" s="732" t="s">
        <v>3332</v>
      </c>
      <c r="B153" s="691" t="s">
        <v>115</v>
      </c>
      <c r="C153" s="692">
        <v>2520.0790000000006</v>
      </c>
      <c r="D153" s="692">
        <v>2741.866</v>
      </c>
      <c r="E153" s="3837">
        <f>(0.5*D153/C153+0.5*D154/C154)-1</f>
        <v>9.2691606953705818E-2</v>
      </c>
      <c r="F153" s="3839">
        <v>7.1999999999999995E-2</v>
      </c>
      <c r="G153" s="78"/>
    </row>
    <row r="154" spans="1:7" hidden="1" outlineLevel="1" x14ac:dyDescent="0.25">
      <c r="A154" s="732" t="s">
        <v>3332</v>
      </c>
      <c r="B154" s="695" t="s">
        <v>760</v>
      </c>
      <c r="C154" s="727">
        <v>1019.91</v>
      </c>
      <c r="D154" s="727">
        <v>1119.2239999999999</v>
      </c>
      <c r="E154" s="3838"/>
      <c r="F154" s="3840"/>
      <c r="G154" s="78"/>
    </row>
    <row r="155" spans="1:7" hidden="1" outlineLevel="1" x14ac:dyDescent="0.25">
      <c r="A155" s="732" t="s">
        <v>3333</v>
      </c>
      <c r="B155" s="691" t="s">
        <v>115</v>
      </c>
      <c r="C155" s="692">
        <v>2741.866</v>
      </c>
      <c r="D155" s="692">
        <v>3327.6480000000001</v>
      </c>
      <c r="E155" s="3837">
        <v>0.1565</v>
      </c>
      <c r="F155" s="3839">
        <v>7.1999999999999995E-2</v>
      </c>
      <c r="G155" s="78"/>
    </row>
    <row r="156" spans="1:7" hidden="1" outlineLevel="1" x14ac:dyDescent="0.25">
      <c r="A156" s="732" t="s">
        <v>3333</v>
      </c>
      <c r="B156" s="695" t="s">
        <v>760</v>
      </c>
      <c r="C156" s="727">
        <v>1119.2239999999999</v>
      </c>
      <c r="D156" s="727">
        <v>1230.9159999999999</v>
      </c>
      <c r="E156" s="3838"/>
      <c r="F156" s="3840"/>
      <c r="G156" s="78"/>
    </row>
    <row r="157" spans="1:7" hidden="1" outlineLevel="1" x14ac:dyDescent="0.25">
      <c r="A157" s="732" t="s">
        <v>3334</v>
      </c>
      <c r="B157" s="691" t="s">
        <v>115</v>
      </c>
      <c r="C157" s="692">
        <v>3327.6480000000001</v>
      </c>
      <c r="D157" s="692">
        <v>3787.1410000000001</v>
      </c>
      <c r="E157" s="3837">
        <v>0.1022</v>
      </c>
      <c r="F157" s="3839">
        <v>7.2029999999999997E-2</v>
      </c>
      <c r="G157" s="78"/>
    </row>
    <row r="158" spans="1:7" hidden="1" outlineLevel="1" x14ac:dyDescent="0.25">
      <c r="A158" s="732" t="s">
        <v>3334</v>
      </c>
      <c r="B158" s="695" t="s">
        <v>760</v>
      </c>
      <c r="C158" s="727">
        <v>1230.9159999999999</v>
      </c>
      <c r="D158" s="727">
        <v>1308.433</v>
      </c>
      <c r="E158" s="3838"/>
      <c r="F158" s="3840"/>
      <c r="G158" s="78"/>
    </row>
    <row r="159" spans="1:7" hidden="1" outlineLevel="1" x14ac:dyDescent="0.25">
      <c r="A159" s="732" t="s">
        <v>2640</v>
      </c>
      <c r="B159" s="691" t="s">
        <v>115</v>
      </c>
      <c r="C159" s="692">
        <v>3787.1410000000001</v>
      </c>
      <c r="D159" s="692">
        <v>4228.9129999999996</v>
      </c>
      <c r="E159" s="3837">
        <v>0.121</v>
      </c>
      <c r="F159" s="3839">
        <v>7.1999999999999995E-2</v>
      </c>
      <c r="G159" s="78"/>
    </row>
    <row r="160" spans="1:7" hidden="1" outlineLevel="1" x14ac:dyDescent="0.25">
      <c r="A160" s="732" t="s">
        <v>2640</v>
      </c>
      <c r="B160" s="695" t="s">
        <v>760</v>
      </c>
      <c r="C160" s="727">
        <v>1308.433</v>
      </c>
      <c r="D160" s="727">
        <v>1473.3409999999999</v>
      </c>
      <c r="E160" s="3838"/>
      <c r="F160" s="3840"/>
      <c r="G160" s="78"/>
    </row>
    <row r="161" spans="1:7" hidden="1" outlineLevel="1" x14ac:dyDescent="0.25">
      <c r="A161" s="732" t="s">
        <v>2641</v>
      </c>
      <c r="B161" s="691" t="s">
        <v>115</v>
      </c>
      <c r="C161" s="692">
        <v>4228.9129999999996</v>
      </c>
      <c r="D161" s="692">
        <v>2462.9290000000001</v>
      </c>
      <c r="E161" s="3837">
        <v>-0.40670000000000001</v>
      </c>
      <c r="F161" s="3839">
        <v>-0.03</v>
      </c>
      <c r="G161" s="78"/>
    </row>
    <row r="162" spans="1:7" hidden="1" outlineLevel="1" x14ac:dyDescent="0.25">
      <c r="A162" s="732" t="s">
        <v>2641</v>
      </c>
      <c r="B162" s="695" t="s">
        <v>760</v>
      </c>
      <c r="C162" s="727">
        <v>1473.3409999999999</v>
      </c>
      <c r="D162" s="727">
        <v>892.90899999999999</v>
      </c>
      <c r="E162" s="3838"/>
      <c r="F162" s="3840"/>
      <c r="G162" s="78"/>
    </row>
    <row r="163" spans="1:7" s="17" customFormat="1" ht="14.25" customHeight="1" collapsed="1" x14ac:dyDescent="0.25">
      <c r="A163" s="3801" t="s">
        <v>1306</v>
      </c>
      <c r="B163" s="3802"/>
      <c r="C163" s="3802"/>
      <c r="D163" s="3802"/>
      <c r="E163" s="721" t="s">
        <v>2722</v>
      </c>
      <c r="F163" s="722">
        <f>SUM(F153:F162)</f>
        <v>0.25802999999999998</v>
      </c>
      <c r="G163" s="175" t="s">
        <v>781</v>
      </c>
    </row>
    <row r="164" spans="1:7" x14ac:dyDescent="0.25">
      <c r="A164" s="1"/>
      <c r="B164" s="1"/>
      <c r="C164" s="1"/>
      <c r="D164" s="1"/>
      <c r="E164" s="1"/>
      <c r="F164" s="1848"/>
      <c r="G164" s="78"/>
    </row>
    <row r="165" spans="1:7" hidden="1" outlineLevel="1" x14ac:dyDescent="0.25">
      <c r="A165" s="689" t="s">
        <v>113</v>
      </c>
      <c r="B165" s="689" t="s">
        <v>114</v>
      </c>
      <c r="C165" s="689" t="s">
        <v>112</v>
      </c>
      <c r="D165" s="689" t="s">
        <v>116</v>
      </c>
      <c r="E165" s="689" t="s">
        <v>117</v>
      </c>
      <c r="F165" s="1188" t="s">
        <v>121</v>
      </c>
      <c r="G165" s="78"/>
    </row>
    <row r="166" spans="1:7" hidden="1" outlineLevel="1" x14ac:dyDescent="0.25">
      <c r="A166" s="732" t="s">
        <v>2716</v>
      </c>
      <c r="B166" s="691" t="s">
        <v>115</v>
      </c>
      <c r="C166" s="692">
        <v>2628.0390000000002</v>
      </c>
      <c r="D166" s="692">
        <v>2870.5639999999999</v>
      </c>
      <c r="E166" s="3837">
        <f>(0.5*D166/C166+0.5*D167/C167)-1</f>
        <v>9.5598854776112852E-2</v>
      </c>
      <c r="F166" s="3839">
        <v>7.0999999999999994E-2</v>
      </c>
      <c r="G166" s="78"/>
    </row>
    <row r="167" spans="1:7" hidden="1" outlineLevel="1" x14ac:dyDescent="0.25">
      <c r="A167" s="732" t="s">
        <v>2716</v>
      </c>
      <c r="B167" s="695" t="s">
        <v>760</v>
      </c>
      <c r="C167" s="727">
        <v>1052.095</v>
      </c>
      <c r="D167" s="727">
        <v>1156.162</v>
      </c>
      <c r="E167" s="3838"/>
      <c r="F167" s="3840"/>
      <c r="G167" s="78"/>
    </row>
    <row r="168" spans="1:7" hidden="1" outlineLevel="1" x14ac:dyDescent="0.25">
      <c r="A168" s="732" t="s">
        <v>3931</v>
      </c>
      <c r="B168" s="691" t="s">
        <v>115</v>
      </c>
      <c r="C168" s="692">
        <v>2870.5639999999999</v>
      </c>
      <c r="D168" s="692">
        <v>3360.9810000000002</v>
      </c>
      <c r="E168" s="3837">
        <v>0.11269999999999999</v>
      </c>
      <c r="F168" s="3839">
        <v>7.0999999999999994E-2</v>
      </c>
      <c r="G168" s="78"/>
    </row>
    <row r="169" spans="1:7" hidden="1" outlineLevel="1" x14ac:dyDescent="0.25">
      <c r="A169" s="732" t="s">
        <v>3931</v>
      </c>
      <c r="B169" s="695" t="s">
        <v>760</v>
      </c>
      <c r="C169" s="727">
        <v>1156.162</v>
      </c>
      <c r="D169" s="727">
        <v>1221.9090000000001</v>
      </c>
      <c r="E169" s="3838"/>
      <c r="F169" s="3840"/>
      <c r="G169" s="78"/>
    </row>
    <row r="170" spans="1:7" hidden="1" outlineLevel="1" x14ac:dyDescent="0.25">
      <c r="A170" s="732" t="s">
        <v>3932</v>
      </c>
      <c r="B170" s="691" t="s">
        <v>115</v>
      </c>
      <c r="C170" s="692">
        <v>3360.9810000000002</v>
      </c>
      <c r="D170" s="692">
        <v>4047.8620000000001</v>
      </c>
      <c r="E170" s="3837">
        <v>0.1681</v>
      </c>
      <c r="F170" s="3839">
        <v>7.0999999999999994E-2</v>
      </c>
      <c r="G170" s="78"/>
    </row>
    <row r="171" spans="1:7" hidden="1" outlineLevel="1" x14ac:dyDescent="0.25">
      <c r="A171" s="732" t="s">
        <v>3932</v>
      </c>
      <c r="B171" s="695" t="s">
        <v>760</v>
      </c>
      <c r="C171" s="727">
        <v>1221.9090000000001</v>
      </c>
      <c r="D171" s="727">
        <v>1378.4659999999999</v>
      </c>
      <c r="E171" s="3838"/>
      <c r="F171" s="3840"/>
      <c r="G171" s="78"/>
    </row>
    <row r="172" spans="1:7" hidden="1" outlineLevel="1" x14ac:dyDescent="0.25">
      <c r="A172" s="732" t="s">
        <v>3933</v>
      </c>
      <c r="B172" s="691" t="s">
        <v>115</v>
      </c>
      <c r="C172" s="692">
        <v>4047.8620000000001</v>
      </c>
      <c r="D172" s="692">
        <v>4364.04</v>
      </c>
      <c r="E172" s="3837">
        <v>7.7200000000000005E-2</v>
      </c>
      <c r="F172" s="3839">
        <v>7.0999999999999994E-2</v>
      </c>
      <c r="G172" s="78"/>
    </row>
    <row r="173" spans="1:7" hidden="1" outlineLevel="1" x14ac:dyDescent="0.25">
      <c r="A173" s="732" t="s">
        <v>3933</v>
      </c>
      <c r="B173" s="695" t="s">
        <v>760</v>
      </c>
      <c r="C173" s="727">
        <v>1378.4659999999999</v>
      </c>
      <c r="D173" s="727">
        <v>1483.5429999999999</v>
      </c>
      <c r="E173" s="3838"/>
      <c r="F173" s="3840"/>
      <c r="G173" s="78"/>
    </row>
    <row r="174" spans="1:7" hidden="1" outlineLevel="1" x14ac:dyDescent="0.25">
      <c r="A174" s="732" t="s">
        <v>3141</v>
      </c>
      <c r="B174" s="691" t="s">
        <v>115</v>
      </c>
      <c r="C174" s="692">
        <v>4364.04</v>
      </c>
      <c r="D174" s="692">
        <v>1895.4929999999999</v>
      </c>
      <c r="E174" s="3837">
        <v>-0.54530000000000001</v>
      </c>
      <c r="F174" s="3839">
        <v>-0.03</v>
      </c>
      <c r="G174" s="78"/>
    </row>
    <row r="175" spans="1:7" hidden="1" outlineLevel="1" x14ac:dyDescent="0.25">
      <c r="A175" s="732" t="s">
        <v>3141</v>
      </c>
      <c r="B175" s="695" t="s">
        <v>760</v>
      </c>
      <c r="C175" s="727">
        <v>1483.5429999999999</v>
      </c>
      <c r="D175" s="727">
        <v>710.07299999999998</v>
      </c>
      <c r="E175" s="3838"/>
      <c r="F175" s="3840"/>
      <c r="G175" s="78"/>
    </row>
    <row r="176" spans="1:7" s="17" customFormat="1" ht="12.75" customHeight="1" collapsed="1" x14ac:dyDescent="0.25">
      <c r="A176" s="3801" t="s">
        <v>318</v>
      </c>
      <c r="B176" s="3802"/>
      <c r="C176" s="3802"/>
      <c r="D176" s="3802"/>
      <c r="E176" s="721" t="s">
        <v>2722</v>
      </c>
      <c r="F176" s="722">
        <f>SUM(F166:F175)</f>
        <v>0.254</v>
      </c>
      <c r="G176" s="97" t="s">
        <v>781</v>
      </c>
    </row>
    <row r="177" spans="1:9" x14ac:dyDescent="0.25">
      <c r="A177" s="1"/>
      <c r="B177" s="1"/>
      <c r="C177" s="1"/>
      <c r="D177" s="1"/>
      <c r="E177" s="1"/>
      <c r="F177" s="1848"/>
      <c r="G177" s="78"/>
    </row>
    <row r="178" spans="1:9" hidden="1" outlineLevel="1" x14ac:dyDescent="0.25">
      <c r="A178" s="689" t="s">
        <v>113</v>
      </c>
      <c r="B178" s="689" t="s">
        <v>114</v>
      </c>
      <c r="C178" s="689" t="s">
        <v>112</v>
      </c>
      <c r="D178" s="689" t="s">
        <v>116</v>
      </c>
      <c r="E178" s="689" t="s">
        <v>117</v>
      </c>
      <c r="F178" s="1188" t="s">
        <v>121</v>
      </c>
      <c r="G178" s="78"/>
    </row>
    <row r="179" spans="1:9" hidden="1" outlineLevel="1" x14ac:dyDescent="0.25">
      <c r="A179" s="728">
        <v>1</v>
      </c>
      <c r="B179" s="729" t="s">
        <v>115</v>
      </c>
      <c r="C179" s="719">
        <v>2628.0390000000002</v>
      </c>
      <c r="D179" s="719">
        <v>2685.39</v>
      </c>
      <c r="E179" s="720">
        <f t="shared" ref="E179:E185" si="0">D179/C179-1</f>
        <v>2.18227355073497E-2</v>
      </c>
      <c r="F179" s="731">
        <v>0</v>
      </c>
      <c r="G179" s="78"/>
      <c r="H179" s="37"/>
      <c r="I179" s="37"/>
    </row>
    <row r="180" spans="1:9" hidden="1" outlineLevel="1" x14ac:dyDescent="0.25">
      <c r="A180" s="728">
        <v>2</v>
      </c>
      <c r="B180" s="729" t="s">
        <v>115</v>
      </c>
      <c r="C180" s="719">
        <v>2685.39</v>
      </c>
      <c r="D180" s="719">
        <v>2840.8</v>
      </c>
      <c r="E180" s="720">
        <f t="shared" si="0"/>
        <v>5.7872413317991089E-2</v>
      </c>
      <c r="F180" s="731">
        <v>0</v>
      </c>
      <c r="G180" s="78"/>
      <c r="H180" s="37"/>
      <c r="I180" s="37"/>
    </row>
    <row r="181" spans="1:9" hidden="1" outlineLevel="1" x14ac:dyDescent="0.25">
      <c r="A181" s="728">
        <v>3</v>
      </c>
      <c r="B181" s="729" t="s">
        <v>115</v>
      </c>
      <c r="C181" s="719">
        <f>D180</f>
        <v>2840.8</v>
      </c>
      <c r="D181" s="719">
        <v>2860.88</v>
      </c>
      <c r="E181" s="720">
        <f t="shared" si="0"/>
        <v>7.0684314277666971E-3</v>
      </c>
      <c r="F181" s="731">
        <v>0</v>
      </c>
      <c r="G181" s="78"/>
      <c r="H181" s="37"/>
      <c r="I181" s="37"/>
    </row>
    <row r="182" spans="1:9" hidden="1" outlineLevel="1" x14ac:dyDescent="0.25">
      <c r="A182" s="728">
        <v>4</v>
      </c>
      <c r="B182" s="729" t="s">
        <v>115</v>
      </c>
      <c r="C182" s="719">
        <v>2860.88</v>
      </c>
      <c r="D182" s="719">
        <v>2834.03</v>
      </c>
      <c r="E182" s="720">
        <f t="shared" si="0"/>
        <v>-9.3852241268420622E-3</v>
      </c>
      <c r="F182" s="731">
        <f>E182</f>
        <v>-9.3852241268420622E-3</v>
      </c>
      <c r="G182" s="78"/>
      <c r="H182" s="37"/>
      <c r="I182" s="37"/>
    </row>
    <row r="183" spans="1:9" hidden="1" outlineLevel="1" x14ac:dyDescent="0.25">
      <c r="A183" s="728">
        <v>5</v>
      </c>
      <c r="B183" s="729" t="s">
        <v>115</v>
      </c>
      <c r="C183" s="719">
        <v>2834.03</v>
      </c>
      <c r="D183" s="719">
        <v>2866.95</v>
      </c>
      <c r="E183" s="720">
        <f t="shared" si="0"/>
        <v>1.1615967368023394E-2</v>
      </c>
      <c r="F183" s="731">
        <v>0</v>
      </c>
      <c r="G183" s="78"/>
      <c r="H183" s="37"/>
      <c r="I183" s="37"/>
    </row>
    <row r="184" spans="1:9" hidden="1" outlineLevel="1" x14ac:dyDescent="0.25">
      <c r="A184" s="728">
        <v>6</v>
      </c>
      <c r="B184" s="729" t="s">
        <v>115</v>
      </c>
      <c r="C184" s="719">
        <v>2866.95</v>
      </c>
      <c r="D184" s="719">
        <v>2694.92</v>
      </c>
      <c r="E184" s="720">
        <f t="shared" si="0"/>
        <v>-6.0004534435549872E-2</v>
      </c>
      <c r="F184" s="731">
        <f>E184</f>
        <v>-6.0004534435549872E-2</v>
      </c>
      <c r="G184" s="78"/>
      <c r="H184" s="37"/>
      <c r="I184" s="37"/>
    </row>
    <row r="185" spans="1:9" hidden="1" outlineLevel="1" x14ac:dyDescent="0.25">
      <c r="A185" s="728">
        <v>7</v>
      </c>
      <c r="B185" s="729" t="s">
        <v>115</v>
      </c>
      <c r="C185" s="719">
        <f>D184</f>
        <v>2694.92</v>
      </c>
      <c r="D185" s="719">
        <v>2759.27</v>
      </c>
      <c r="E185" s="720">
        <f t="shared" si="0"/>
        <v>2.3878259837026627E-2</v>
      </c>
      <c r="F185" s="731">
        <v>0</v>
      </c>
      <c r="G185" s="78"/>
      <c r="H185" s="37"/>
      <c r="I185" s="37"/>
    </row>
    <row r="186" spans="1:9" hidden="1" outlineLevel="1" x14ac:dyDescent="0.25">
      <c r="A186" s="728">
        <v>8</v>
      </c>
      <c r="B186" s="729" t="s">
        <v>115</v>
      </c>
      <c r="C186" s="719">
        <f>D185</f>
        <v>2759.27</v>
      </c>
      <c r="D186" s="719">
        <v>2754.77</v>
      </c>
      <c r="E186" s="720">
        <f t="shared" ref="E186:E199" si="1">D186/C186-1</f>
        <v>-1.6308661348835019E-3</v>
      </c>
      <c r="F186" s="731">
        <f>E186</f>
        <v>-1.6308661348835019E-3</v>
      </c>
      <c r="G186" s="78"/>
      <c r="H186" s="37"/>
      <c r="I186" s="37"/>
    </row>
    <row r="187" spans="1:9" hidden="1" outlineLevel="1" x14ac:dyDescent="0.25">
      <c r="A187" s="728">
        <v>9</v>
      </c>
      <c r="B187" s="729" t="s">
        <v>115</v>
      </c>
      <c r="C187" s="719">
        <f>D186</f>
        <v>2754.77</v>
      </c>
      <c r="D187" s="719">
        <v>2580.04</v>
      </c>
      <c r="E187" s="720">
        <f t="shared" si="1"/>
        <v>-6.3428162786729914E-2</v>
      </c>
      <c r="F187" s="731">
        <f>E187</f>
        <v>-6.3428162786729914E-2</v>
      </c>
      <c r="G187" s="78"/>
      <c r="H187" s="37"/>
      <c r="I187" s="37"/>
    </row>
    <row r="188" spans="1:9" hidden="1" outlineLevel="1" x14ac:dyDescent="0.25">
      <c r="A188" s="728">
        <v>10</v>
      </c>
      <c r="B188" s="729" t="s">
        <v>115</v>
      </c>
      <c r="C188" s="719">
        <f>D187</f>
        <v>2580.04</v>
      </c>
      <c r="D188" s="719">
        <v>2771.67</v>
      </c>
      <c r="E188" s="720">
        <f t="shared" si="1"/>
        <v>7.4274042262910678E-2</v>
      </c>
      <c r="F188" s="731">
        <v>0</v>
      </c>
      <c r="G188" s="78"/>
      <c r="H188" s="37"/>
      <c r="I188" s="37"/>
    </row>
    <row r="189" spans="1:9" hidden="1" outlineLevel="1" x14ac:dyDescent="0.25">
      <c r="A189" s="728">
        <v>11</v>
      </c>
      <c r="B189" s="729" t="s">
        <v>115</v>
      </c>
      <c r="C189" s="719">
        <f>D188</f>
        <v>2771.67</v>
      </c>
      <c r="D189" s="719">
        <v>2776.03</v>
      </c>
      <c r="E189" s="720">
        <f t="shared" si="1"/>
        <v>1.5730588417812719E-3</v>
      </c>
      <c r="F189" s="731">
        <v>0</v>
      </c>
      <c r="G189" s="78"/>
      <c r="H189" s="37"/>
      <c r="I189" s="37"/>
    </row>
    <row r="190" spans="1:9" hidden="1" outlineLevel="1" x14ac:dyDescent="0.25">
      <c r="A190" s="728">
        <v>12</v>
      </c>
      <c r="B190" s="729" t="s">
        <v>115</v>
      </c>
      <c r="C190" s="719">
        <v>2776.03</v>
      </c>
      <c r="D190" s="719">
        <v>2907.45</v>
      </c>
      <c r="E190" s="720">
        <f t="shared" si="1"/>
        <v>4.7340986948988251E-2</v>
      </c>
      <c r="F190" s="731">
        <v>0</v>
      </c>
      <c r="G190" s="78"/>
      <c r="H190" s="37"/>
      <c r="I190" s="37"/>
    </row>
    <row r="191" spans="1:9" hidden="1" outlineLevel="1" x14ac:dyDescent="0.25">
      <c r="A191" s="728">
        <v>13</v>
      </c>
      <c r="B191" s="729" t="s">
        <v>115</v>
      </c>
      <c r="C191" s="719">
        <v>2907.45</v>
      </c>
      <c r="D191" s="719">
        <v>2934.1</v>
      </c>
      <c r="E191" s="720">
        <f t="shared" si="1"/>
        <v>9.1661077576570271E-3</v>
      </c>
      <c r="F191" s="731">
        <v>0</v>
      </c>
      <c r="G191" s="78"/>
      <c r="H191" s="37"/>
      <c r="I191" s="37"/>
    </row>
    <row r="192" spans="1:9" hidden="1" outlineLevel="1" x14ac:dyDescent="0.25">
      <c r="A192" s="728">
        <v>14</v>
      </c>
      <c r="B192" s="729" t="s">
        <v>115</v>
      </c>
      <c r="C192" s="719">
        <v>2934.1</v>
      </c>
      <c r="D192" s="719">
        <v>2948.22</v>
      </c>
      <c r="E192" s="720">
        <f t="shared" si="1"/>
        <v>4.8123785828704246E-3</v>
      </c>
      <c r="F192" s="731">
        <v>0</v>
      </c>
      <c r="G192" s="78"/>
      <c r="H192" s="37"/>
      <c r="I192" s="37"/>
    </row>
    <row r="193" spans="1:9" hidden="1" outlineLevel="1" x14ac:dyDescent="0.25">
      <c r="A193" s="728">
        <v>15</v>
      </c>
      <c r="B193" s="729" t="s">
        <v>115</v>
      </c>
      <c r="C193" s="719">
        <v>2948.22</v>
      </c>
      <c r="D193" s="719">
        <v>3075.76</v>
      </c>
      <c r="E193" s="720">
        <f t="shared" si="1"/>
        <v>4.3260000949725708E-2</v>
      </c>
      <c r="F193" s="731">
        <v>0</v>
      </c>
      <c r="G193" s="78"/>
      <c r="H193" s="37"/>
      <c r="I193" s="37"/>
    </row>
    <row r="194" spans="1:9" hidden="1" outlineLevel="1" x14ac:dyDescent="0.25">
      <c r="A194" s="728">
        <v>16</v>
      </c>
      <c r="B194" s="729" t="s">
        <v>115</v>
      </c>
      <c r="C194" s="719">
        <v>3075.76</v>
      </c>
      <c r="D194" s="719">
        <v>3060.72</v>
      </c>
      <c r="E194" s="720">
        <f t="shared" si="1"/>
        <v>-4.8898483626812483E-3</v>
      </c>
      <c r="F194" s="731">
        <f>E194</f>
        <v>-4.8898483626812483E-3</v>
      </c>
      <c r="G194" s="78"/>
      <c r="H194" s="37"/>
      <c r="I194" s="37"/>
    </row>
    <row r="195" spans="1:9" hidden="1" outlineLevel="1" x14ac:dyDescent="0.25">
      <c r="A195" s="728">
        <v>17</v>
      </c>
      <c r="B195" s="729" t="s">
        <v>115</v>
      </c>
      <c r="C195" s="719">
        <v>3060.72</v>
      </c>
      <c r="D195" s="719">
        <v>3075.33</v>
      </c>
      <c r="E195" s="720">
        <f t="shared" si="1"/>
        <v>4.7733866541206371E-3</v>
      </c>
      <c r="F195" s="731">
        <v>0</v>
      </c>
      <c r="G195" s="78"/>
      <c r="H195" s="37"/>
      <c r="I195" s="37"/>
    </row>
    <row r="196" spans="1:9" hidden="1" outlineLevel="1" x14ac:dyDescent="0.25">
      <c r="A196" s="728">
        <v>18</v>
      </c>
      <c r="B196" s="729" t="s">
        <v>115</v>
      </c>
      <c r="C196" s="719">
        <v>3075.33</v>
      </c>
      <c r="D196" s="719">
        <v>2994.52</v>
      </c>
      <c r="E196" s="720">
        <f t="shared" si="1"/>
        <v>-2.6276854841594255E-2</v>
      </c>
      <c r="F196" s="731">
        <f>E196</f>
        <v>-2.6276854841594255E-2</v>
      </c>
      <c r="G196" s="78"/>
      <c r="H196" s="37"/>
      <c r="I196" s="37"/>
    </row>
    <row r="197" spans="1:9" hidden="1" outlineLevel="1" x14ac:dyDescent="0.25">
      <c r="A197" s="728">
        <v>19</v>
      </c>
      <c r="B197" s="729" t="s">
        <v>115</v>
      </c>
      <c r="C197" s="719">
        <v>2994.52</v>
      </c>
      <c r="D197" s="719">
        <v>3162.86</v>
      </c>
      <c r="E197" s="720">
        <f t="shared" si="1"/>
        <v>5.6216021265511618E-2</v>
      </c>
      <c r="F197" s="731">
        <v>0</v>
      </c>
      <c r="G197" s="78"/>
      <c r="H197" s="37"/>
      <c r="I197" s="37"/>
    </row>
    <row r="198" spans="1:9" hidden="1" outlineLevel="1" x14ac:dyDescent="0.25">
      <c r="A198" s="728">
        <v>20</v>
      </c>
      <c r="B198" s="729" t="s">
        <v>115</v>
      </c>
      <c r="C198" s="719">
        <v>3162.86</v>
      </c>
      <c r="D198" s="719">
        <v>3277.2</v>
      </c>
      <c r="E198" s="720">
        <f t="shared" si="1"/>
        <v>3.6150825518675989E-2</v>
      </c>
      <c r="F198" s="731">
        <v>0</v>
      </c>
      <c r="G198" s="78"/>
    </row>
    <row r="199" spans="1:9" hidden="1" outlineLevel="1" x14ac:dyDescent="0.25">
      <c r="A199" s="728">
        <v>21</v>
      </c>
      <c r="B199" s="729" t="s">
        <v>115</v>
      </c>
      <c r="C199" s="719">
        <v>3277.2</v>
      </c>
      <c r="D199" s="719">
        <v>3334.15</v>
      </c>
      <c r="E199" s="720">
        <f t="shared" si="1"/>
        <v>1.7377639448309612E-2</v>
      </c>
      <c r="F199" s="731">
        <v>0</v>
      </c>
      <c r="G199" s="78"/>
    </row>
    <row r="200" spans="1:9" hidden="1" outlineLevel="1" x14ac:dyDescent="0.25">
      <c r="A200" s="728">
        <v>22</v>
      </c>
      <c r="B200" s="729" t="s">
        <v>115</v>
      </c>
      <c r="C200" s="719">
        <v>3334.15</v>
      </c>
      <c r="D200" s="719">
        <v>3338.99</v>
      </c>
      <c r="E200" s="720">
        <f t="shared" ref="E200:E208" si="2">D200/C200-1</f>
        <v>1.4516443471348506E-3</v>
      </c>
      <c r="F200" s="731">
        <v>0</v>
      </c>
      <c r="G200" s="78"/>
    </row>
    <row r="201" spans="1:9" hidden="1" outlineLevel="1" x14ac:dyDescent="0.25">
      <c r="A201" s="728">
        <v>23</v>
      </c>
      <c r="B201" s="729" t="s">
        <v>115</v>
      </c>
      <c r="C201" s="719">
        <v>3338.99</v>
      </c>
      <c r="D201" s="719">
        <v>3349.58</v>
      </c>
      <c r="E201" s="720">
        <f t="shared" si="2"/>
        <v>3.1716177646534671E-3</v>
      </c>
      <c r="F201" s="731">
        <v>0</v>
      </c>
      <c r="G201" s="78"/>
    </row>
    <row r="202" spans="1:9" hidden="1" outlineLevel="1" x14ac:dyDescent="0.25">
      <c r="A202" s="728">
        <v>24</v>
      </c>
      <c r="B202" s="729" t="s">
        <v>115</v>
      </c>
      <c r="C202" s="719">
        <v>3349.58</v>
      </c>
      <c r="D202" s="719">
        <v>3412.19</v>
      </c>
      <c r="E202" s="720">
        <f t="shared" si="2"/>
        <v>1.8691895700356564E-2</v>
      </c>
      <c r="F202" s="731">
        <v>0</v>
      </c>
      <c r="G202" s="78"/>
    </row>
    <row r="203" spans="1:9" hidden="1" outlineLevel="1" x14ac:dyDescent="0.25">
      <c r="A203" s="728">
        <v>25</v>
      </c>
      <c r="B203" s="729" t="s">
        <v>115</v>
      </c>
      <c r="C203" s="719">
        <v>3412.19</v>
      </c>
      <c r="D203" s="719">
        <v>3519.12</v>
      </c>
      <c r="E203" s="720">
        <f t="shared" si="2"/>
        <v>3.1337645324556851E-2</v>
      </c>
      <c r="F203" s="731">
        <v>0</v>
      </c>
      <c r="G203" s="78"/>
    </row>
    <row r="204" spans="1:9" hidden="1" outlineLevel="1" x14ac:dyDescent="0.25">
      <c r="A204" s="728">
        <v>26</v>
      </c>
      <c r="B204" s="729" t="s">
        <v>115</v>
      </c>
      <c r="C204" s="719">
        <v>3519.12</v>
      </c>
      <c r="D204" s="719">
        <v>3629.25</v>
      </c>
      <c r="E204" s="720">
        <f t="shared" si="2"/>
        <v>3.1294755507058625E-2</v>
      </c>
      <c r="F204" s="731">
        <v>0</v>
      </c>
      <c r="G204" s="78"/>
    </row>
    <row r="205" spans="1:9" hidden="1" outlineLevel="1" x14ac:dyDescent="0.25">
      <c r="A205" s="728">
        <v>27</v>
      </c>
      <c r="B205" s="729" t="s">
        <v>115</v>
      </c>
      <c r="C205" s="719">
        <v>3629.25</v>
      </c>
      <c r="D205" s="719">
        <v>3734.48</v>
      </c>
      <c r="E205" s="720">
        <f t="shared" si="2"/>
        <v>2.8994971412826365E-2</v>
      </c>
      <c r="F205" s="731">
        <v>0</v>
      </c>
      <c r="G205" s="78"/>
    </row>
    <row r="206" spans="1:9" hidden="1" outlineLevel="1" x14ac:dyDescent="0.25">
      <c r="A206" s="728">
        <v>28</v>
      </c>
      <c r="B206" s="729" t="s">
        <v>115</v>
      </c>
      <c r="C206" s="719">
        <v>3734.48</v>
      </c>
      <c r="D206" s="719">
        <v>3833.48</v>
      </c>
      <c r="E206" s="720">
        <f t="shared" si="2"/>
        <v>2.6509714873288903E-2</v>
      </c>
      <c r="F206" s="731">
        <v>0</v>
      </c>
      <c r="G206" s="78"/>
    </row>
    <row r="207" spans="1:9" hidden="1" outlineLevel="1" x14ac:dyDescent="0.25">
      <c r="A207" s="728">
        <v>29</v>
      </c>
      <c r="B207" s="729" t="s">
        <v>115</v>
      </c>
      <c r="C207" s="719">
        <v>3833.48</v>
      </c>
      <c r="D207" s="719">
        <v>3770.79</v>
      </c>
      <c r="E207" s="720">
        <f t="shared" si="2"/>
        <v>-1.635328735248387E-2</v>
      </c>
      <c r="F207" s="731">
        <v>-1.6400000000000001E-2</v>
      </c>
      <c r="G207" s="78"/>
    </row>
    <row r="208" spans="1:9" hidden="1" outlineLevel="1" x14ac:dyDescent="0.25">
      <c r="A208" s="728">
        <v>30</v>
      </c>
      <c r="B208" s="729" t="s">
        <v>115</v>
      </c>
      <c r="C208" s="719">
        <v>3770.79</v>
      </c>
      <c r="D208" s="719">
        <v>3833.31</v>
      </c>
      <c r="E208" s="720">
        <f t="shared" si="2"/>
        <v>1.6580080036278755E-2</v>
      </c>
      <c r="F208" s="731">
        <v>0</v>
      </c>
      <c r="G208" s="78"/>
    </row>
    <row r="209" spans="1:11" s="17" customFormat="1" collapsed="1" x14ac:dyDescent="0.25">
      <c r="A209" s="3801" t="s">
        <v>3514</v>
      </c>
      <c r="B209" s="3802"/>
      <c r="C209" s="3802"/>
      <c r="D209" s="3802"/>
      <c r="E209" s="721">
        <f>D208/C179-1</f>
        <v>0.45861990632559091</v>
      </c>
      <c r="F209" s="722">
        <f>0.5+SUM(F179:F208)</f>
        <v>0.31798450931171918</v>
      </c>
      <c r="G209" s="97" t="s">
        <v>781</v>
      </c>
    </row>
    <row r="210" spans="1:11" x14ac:dyDescent="0.25">
      <c r="A210" s="1"/>
      <c r="B210" s="1"/>
      <c r="C210" s="1"/>
      <c r="D210" s="219"/>
      <c r="E210" s="1"/>
      <c r="F210" s="1848"/>
      <c r="G210" s="78"/>
    </row>
    <row r="211" spans="1:11" hidden="1" outlineLevel="1" x14ac:dyDescent="0.25">
      <c r="A211" s="689" t="s">
        <v>113</v>
      </c>
      <c r="B211" s="689" t="s">
        <v>114</v>
      </c>
      <c r="C211" s="689" t="s">
        <v>112</v>
      </c>
      <c r="D211" s="689" t="s">
        <v>116</v>
      </c>
      <c r="E211" s="689" t="s">
        <v>117</v>
      </c>
      <c r="F211" s="1188" t="s">
        <v>121</v>
      </c>
      <c r="G211" s="78"/>
    </row>
    <row r="212" spans="1:11" hidden="1" outlineLevel="1" x14ac:dyDescent="0.25">
      <c r="A212" s="690">
        <v>1</v>
      </c>
      <c r="B212" s="691" t="s">
        <v>115</v>
      </c>
      <c r="C212" s="692">
        <v>2779.21</v>
      </c>
      <c r="D212" s="692">
        <v>2956.944</v>
      </c>
      <c r="E212" s="3837">
        <f>(0.5*D212/C212+0.5*D213/C213)-1</f>
        <v>6.6809878297072745E-2</v>
      </c>
      <c r="F212" s="3839">
        <v>5.7000000000000002E-2</v>
      </c>
      <c r="G212" s="78"/>
    </row>
    <row r="213" spans="1:11" hidden="1" outlineLevel="1" x14ac:dyDescent="0.25">
      <c r="A213" s="713"/>
      <c r="B213" s="695" t="s">
        <v>760</v>
      </c>
      <c r="C213" s="727">
        <v>1109.77</v>
      </c>
      <c r="D213" s="727">
        <v>1187.086</v>
      </c>
      <c r="E213" s="3838"/>
      <c r="F213" s="3840"/>
      <c r="G213" s="78"/>
    </row>
    <row r="214" spans="1:11" hidden="1" outlineLevel="1" x14ac:dyDescent="0.25">
      <c r="A214" s="690">
        <v>2</v>
      </c>
      <c r="B214" s="691" t="s">
        <v>115</v>
      </c>
      <c r="C214" s="692">
        <v>2956.944</v>
      </c>
      <c r="D214" s="692">
        <v>3647.3139999999999</v>
      </c>
      <c r="E214" s="3837">
        <v>0.157</v>
      </c>
      <c r="F214" s="3839">
        <v>5.7000000000000002E-2</v>
      </c>
      <c r="G214" s="78"/>
    </row>
    <row r="215" spans="1:11" hidden="1" outlineLevel="1" x14ac:dyDescent="0.25">
      <c r="A215" s="713"/>
      <c r="B215" s="695" t="s">
        <v>760</v>
      </c>
      <c r="C215" s="727">
        <v>1187.086</v>
      </c>
      <c r="D215" s="727">
        <v>1283.181</v>
      </c>
      <c r="E215" s="3838"/>
      <c r="F215" s="3840"/>
      <c r="G215" s="78"/>
    </row>
    <row r="216" spans="1:11" hidden="1" outlineLevel="1" x14ac:dyDescent="0.25">
      <c r="A216" s="690">
        <v>3</v>
      </c>
      <c r="B216" s="691" t="s">
        <v>115</v>
      </c>
      <c r="C216" s="692">
        <v>3647.3139999999999</v>
      </c>
      <c r="D216" s="692">
        <v>4154.9279999999999</v>
      </c>
      <c r="E216" s="3837">
        <v>0.124</v>
      </c>
      <c r="F216" s="3839">
        <v>5.7000000000000002E-2</v>
      </c>
      <c r="G216" s="78"/>
    </row>
    <row r="217" spans="1:11" hidden="1" outlineLevel="1" x14ac:dyDescent="0.25">
      <c r="A217" s="713"/>
      <c r="B217" s="695" t="s">
        <v>760</v>
      </c>
      <c r="C217" s="727">
        <v>1283.181</v>
      </c>
      <c r="D217" s="696">
        <v>1420.155</v>
      </c>
      <c r="E217" s="3838"/>
      <c r="F217" s="3840"/>
      <c r="G217" s="78"/>
    </row>
    <row r="218" spans="1:11" hidden="1" outlineLevel="1" x14ac:dyDescent="0.25">
      <c r="A218" s="690">
        <v>4</v>
      </c>
      <c r="B218" s="691" t="s">
        <v>115</v>
      </c>
      <c r="C218" s="692">
        <v>4154.9279999999999</v>
      </c>
      <c r="D218" s="692">
        <v>3846.6039999999998</v>
      </c>
      <c r="E218" s="3837">
        <v>-4.5100000000000001E-2</v>
      </c>
      <c r="F218" s="3839">
        <v>-0.03</v>
      </c>
      <c r="G218" s="78"/>
    </row>
    <row r="219" spans="1:11" hidden="1" outlineLevel="1" x14ac:dyDescent="0.25">
      <c r="A219" s="713"/>
      <c r="B219" s="695" t="s">
        <v>760</v>
      </c>
      <c r="C219" s="727">
        <v>1420.155</v>
      </c>
      <c r="D219" s="727">
        <v>1404.28</v>
      </c>
      <c r="E219" s="3838"/>
      <c r="F219" s="3840"/>
      <c r="G219" s="78"/>
      <c r="K219" s="37"/>
    </row>
    <row r="220" spans="1:11" s="17" customFormat="1" ht="12" customHeight="1" collapsed="1" x14ac:dyDescent="0.25">
      <c r="A220" s="3801" t="s">
        <v>3515</v>
      </c>
      <c r="B220" s="3802"/>
      <c r="C220" s="3802"/>
      <c r="D220" s="3860"/>
      <c r="E220" s="721" t="s">
        <v>2722</v>
      </c>
      <c r="F220" s="722">
        <f>SUM(F212:F219)</f>
        <v>0.14100000000000001</v>
      </c>
      <c r="G220" s="97" t="s">
        <v>781</v>
      </c>
    </row>
    <row r="221" spans="1:11" x14ac:dyDescent="0.25">
      <c r="A221" s="1"/>
      <c r="B221" s="1"/>
      <c r="C221" s="1"/>
      <c r="D221" s="1"/>
      <c r="E221" s="1"/>
      <c r="F221" s="1848"/>
      <c r="G221" s="78"/>
    </row>
    <row r="222" spans="1:11" hidden="1" outlineLevel="1" x14ac:dyDescent="0.25">
      <c r="A222" s="689" t="s">
        <v>113</v>
      </c>
      <c r="B222" s="689" t="s">
        <v>114</v>
      </c>
      <c r="C222" s="689" t="s">
        <v>112</v>
      </c>
      <c r="D222" s="689" t="s">
        <v>116</v>
      </c>
      <c r="E222" s="689" t="s">
        <v>117</v>
      </c>
      <c r="F222" s="1188" t="s">
        <v>121</v>
      </c>
      <c r="G222" s="78"/>
      <c r="H222" s="505"/>
    </row>
    <row r="223" spans="1:11" hidden="1" outlineLevel="1" x14ac:dyDescent="0.25">
      <c r="A223" s="690">
        <v>1</v>
      </c>
      <c r="B223" s="691" t="s">
        <v>252</v>
      </c>
      <c r="C223" s="692">
        <v>100</v>
      </c>
      <c r="D223" s="692"/>
      <c r="E223" s="693"/>
      <c r="F223" s="694"/>
      <c r="G223" s="78"/>
    </row>
    <row r="224" spans="1:11" hidden="1" outlineLevel="1" x14ac:dyDescent="0.25">
      <c r="A224" s="695"/>
      <c r="B224" s="695"/>
      <c r="C224" s="696"/>
      <c r="D224" s="697" t="s">
        <v>3702</v>
      </c>
      <c r="E224" s="698">
        <v>39813</v>
      </c>
      <c r="F224" s="699"/>
      <c r="G224" s="78"/>
    </row>
    <row r="225" spans="1:13" hidden="1" outlineLevel="1" x14ac:dyDescent="0.25">
      <c r="A225" s="689" t="s">
        <v>4156</v>
      </c>
      <c r="B225" s="689" t="s">
        <v>4153</v>
      </c>
      <c r="C225" s="700" t="s">
        <v>112</v>
      </c>
      <c r="D225" s="689" t="s">
        <v>116</v>
      </c>
      <c r="E225" s="689" t="s">
        <v>4154</v>
      </c>
      <c r="F225" s="1021" t="s">
        <v>2519</v>
      </c>
      <c r="G225" s="78"/>
    </row>
    <row r="226" spans="1:13" hidden="1" outlineLevel="1" x14ac:dyDescent="0.25">
      <c r="A226" s="734">
        <v>0.04</v>
      </c>
      <c r="B226" s="735" t="s">
        <v>3016</v>
      </c>
      <c r="C226" s="736">
        <v>41.103999999999999</v>
      </c>
      <c r="D226" s="737">
        <v>44.2</v>
      </c>
      <c r="E226" s="738">
        <v>7.5321136629038721E-2</v>
      </c>
      <c r="F226" s="1021">
        <v>3.0128454651615487E-3</v>
      </c>
      <c r="G226" s="78"/>
      <c r="H226" t="s">
        <v>2752</v>
      </c>
      <c r="I226" s="106"/>
      <c r="J226" s="106"/>
      <c r="L226" s="37"/>
      <c r="M226" s="101"/>
    </row>
    <row r="227" spans="1:13" hidden="1" outlineLevel="1" x14ac:dyDescent="0.25">
      <c r="A227" s="739">
        <v>0.02</v>
      </c>
      <c r="B227" s="740" t="s">
        <v>3017</v>
      </c>
      <c r="C227" s="741">
        <v>13.654999999999999</v>
      </c>
      <c r="D227" s="737">
        <v>3.2</v>
      </c>
      <c r="E227" s="742">
        <v>-0.76565360673745875</v>
      </c>
      <c r="F227" s="946">
        <v>-1.5313072134749176E-2</v>
      </c>
      <c r="G227" s="78"/>
      <c r="H227" t="s">
        <v>1793</v>
      </c>
      <c r="I227" s="106"/>
      <c r="J227" s="106"/>
      <c r="L227" s="37"/>
      <c r="M227" s="101"/>
    </row>
    <row r="228" spans="1:13" hidden="1" outlineLevel="1" x14ac:dyDescent="0.25">
      <c r="A228" s="739">
        <v>0.02</v>
      </c>
      <c r="B228" s="740" t="s">
        <v>3018</v>
      </c>
      <c r="C228" s="741">
        <v>34.607999999999997</v>
      </c>
      <c r="D228" s="737">
        <v>35.11</v>
      </c>
      <c r="E228" s="742">
        <v>1.4505316689782832E-2</v>
      </c>
      <c r="F228" s="946">
        <v>2.9010633379565663E-4</v>
      </c>
      <c r="G228" s="78"/>
      <c r="H228" t="s">
        <v>3814</v>
      </c>
      <c r="I228" s="106"/>
      <c r="J228" s="106"/>
      <c r="L228" s="37"/>
      <c r="M228" s="101"/>
    </row>
    <row r="229" spans="1:13" hidden="1" outlineLevel="1" x14ac:dyDescent="0.25">
      <c r="A229" s="739">
        <v>0.02</v>
      </c>
      <c r="B229" s="740" t="s">
        <v>3019</v>
      </c>
      <c r="C229" s="741">
        <v>49.52</v>
      </c>
      <c r="D229" s="737">
        <v>30.25</v>
      </c>
      <c r="E229" s="742">
        <v>-0.38913570274636511</v>
      </c>
      <c r="F229" s="946">
        <v>-7.7827140549273028E-3</v>
      </c>
      <c r="G229" s="78"/>
      <c r="H229" t="s">
        <v>2745</v>
      </c>
      <c r="I229" s="106"/>
      <c r="J229" s="106"/>
      <c r="L229" s="37"/>
      <c r="M229" s="101"/>
    </row>
    <row r="230" spans="1:13" hidden="1" outlineLevel="1" x14ac:dyDescent="0.25">
      <c r="A230" s="739">
        <v>0.03</v>
      </c>
      <c r="B230" s="743" t="s">
        <v>51</v>
      </c>
      <c r="C230" s="741">
        <v>38.676000000000002</v>
      </c>
      <c r="D230" s="737">
        <v>33.594999999999999</v>
      </c>
      <c r="E230" s="742">
        <v>-0.13137346157823981</v>
      </c>
      <c r="F230" s="946">
        <v>-3.941203847347194E-3</v>
      </c>
      <c r="G230" s="78"/>
      <c r="H230" t="s">
        <v>2748</v>
      </c>
      <c r="I230" s="106"/>
      <c r="J230" s="106"/>
      <c r="L230" s="37"/>
      <c r="M230" s="101"/>
    </row>
    <row r="231" spans="1:13" hidden="1" outlineLevel="1" x14ac:dyDescent="0.25">
      <c r="A231" s="739">
        <v>0.03</v>
      </c>
      <c r="B231" s="740" t="s">
        <v>3020</v>
      </c>
      <c r="C231" s="741">
        <v>22.346</v>
      </c>
      <c r="D231" s="737">
        <v>41.55</v>
      </c>
      <c r="E231" s="742">
        <v>0.85939317998746967</v>
      </c>
      <c r="F231" s="946">
        <v>2.578179539962409E-2</v>
      </c>
      <c r="G231" s="78"/>
      <c r="H231" t="s">
        <v>490</v>
      </c>
      <c r="I231" s="106"/>
      <c r="J231" s="106"/>
      <c r="L231" s="37"/>
      <c r="M231" s="101"/>
    </row>
    <row r="232" spans="1:13" hidden="1" outlineLevel="1" x14ac:dyDescent="0.25">
      <c r="A232" s="739">
        <v>0.03</v>
      </c>
      <c r="B232" s="740" t="s">
        <v>3021</v>
      </c>
      <c r="C232" s="741">
        <v>15.0589</v>
      </c>
      <c r="D232" s="737">
        <v>16.739999999999998</v>
      </c>
      <c r="E232" s="742">
        <v>0.11163497997861715</v>
      </c>
      <c r="F232" s="946">
        <v>3.3490493993585143E-3</v>
      </c>
      <c r="G232" s="78"/>
      <c r="H232" t="s">
        <v>4124</v>
      </c>
      <c r="I232" s="106"/>
      <c r="J232" s="106"/>
      <c r="L232" s="37"/>
      <c r="M232" s="101"/>
    </row>
    <row r="233" spans="1:13" hidden="1" outlineLevel="1" x14ac:dyDescent="0.25">
      <c r="A233" s="739">
        <v>0.05</v>
      </c>
      <c r="B233" s="740" t="s">
        <v>44</v>
      </c>
      <c r="C233" s="741">
        <v>3.0773000000000001</v>
      </c>
      <c r="D233" s="737">
        <v>2.5375000000000001</v>
      </c>
      <c r="E233" s="742">
        <v>-0.17541351184479903</v>
      </c>
      <c r="F233" s="946">
        <v>-8.7706755922399519E-3</v>
      </c>
      <c r="G233" s="78"/>
      <c r="H233" t="s">
        <v>204</v>
      </c>
      <c r="I233" s="106"/>
      <c r="J233" s="106"/>
      <c r="L233" s="37"/>
      <c r="M233" s="101"/>
    </row>
    <row r="234" spans="1:13" hidden="1" outlineLevel="1" x14ac:dyDescent="0.25">
      <c r="A234" s="739">
        <v>0.02</v>
      </c>
      <c r="B234" s="740" t="s">
        <v>3022</v>
      </c>
      <c r="C234" s="741">
        <v>4297</v>
      </c>
      <c r="D234" s="737">
        <v>4640</v>
      </c>
      <c r="E234" s="742">
        <v>7.9823132417966125E-2</v>
      </c>
      <c r="F234" s="946">
        <v>1.5964626483593225E-3</v>
      </c>
      <c r="G234" s="78"/>
      <c r="H234" t="s">
        <v>2802</v>
      </c>
      <c r="I234" s="106"/>
      <c r="J234" s="106"/>
      <c r="L234" s="37"/>
      <c r="M234" s="101"/>
    </row>
    <row r="235" spans="1:13" hidden="1" outlineLevel="1" x14ac:dyDescent="0.25">
      <c r="A235" s="739">
        <v>0.03</v>
      </c>
      <c r="B235" s="740" t="s">
        <v>3023</v>
      </c>
      <c r="C235" s="741">
        <v>49.468000000000004</v>
      </c>
      <c r="D235" s="737">
        <v>61.82</v>
      </c>
      <c r="E235" s="742">
        <v>0.24969677367186871</v>
      </c>
      <c r="F235" s="946">
        <v>7.4909032101560611E-3</v>
      </c>
      <c r="G235" s="78"/>
      <c r="H235" t="s">
        <v>2815</v>
      </c>
      <c r="I235" s="106"/>
      <c r="J235" s="106"/>
      <c r="L235" s="37"/>
      <c r="M235" s="101"/>
    </row>
    <row r="236" spans="1:13" hidden="1" outlineLevel="1" x14ac:dyDescent="0.25">
      <c r="A236" s="739">
        <v>0.04</v>
      </c>
      <c r="B236" s="744" t="s">
        <v>157</v>
      </c>
      <c r="C236" s="741">
        <v>6.99</v>
      </c>
      <c r="D236" s="737">
        <v>6.75</v>
      </c>
      <c r="E236" s="742">
        <v>-3.4334763948497882E-2</v>
      </c>
      <c r="F236" s="946">
        <v>-1.3733905579399153E-3</v>
      </c>
      <c r="G236" s="78"/>
      <c r="H236" t="s">
        <v>730</v>
      </c>
      <c r="I236" s="106"/>
      <c r="J236" s="106"/>
      <c r="L236" s="37"/>
      <c r="M236" s="101"/>
    </row>
    <row r="237" spans="1:13" hidden="1" outlineLevel="1" x14ac:dyDescent="0.25">
      <c r="A237" s="739">
        <v>0.03</v>
      </c>
      <c r="B237" s="743" t="s">
        <v>3405</v>
      </c>
      <c r="C237" s="741">
        <v>42.994</v>
      </c>
      <c r="D237" s="737">
        <v>27.52</v>
      </c>
      <c r="E237" s="742">
        <v>-0.35991068521189007</v>
      </c>
      <c r="F237" s="946">
        <v>-1.0797320556356701E-2</v>
      </c>
      <c r="G237" s="78"/>
      <c r="H237" t="s">
        <v>2747</v>
      </c>
      <c r="I237" s="106"/>
      <c r="J237" s="106"/>
      <c r="L237" s="37"/>
      <c r="M237" s="101"/>
    </row>
    <row r="238" spans="1:13" hidden="1" outlineLevel="1" x14ac:dyDescent="0.25">
      <c r="A238" s="739">
        <v>0.04</v>
      </c>
      <c r="B238" s="740" t="s">
        <v>3798</v>
      </c>
      <c r="C238" s="741">
        <v>3.0910000000000002</v>
      </c>
      <c r="D238" s="737">
        <v>4.5225</v>
      </c>
      <c r="E238" s="742">
        <v>0.4631187318020058</v>
      </c>
      <c r="F238" s="946">
        <v>1.8524749272080233E-2</v>
      </c>
      <c r="G238" s="78"/>
      <c r="H238" t="s">
        <v>4122</v>
      </c>
      <c r="I238" s="106"/>
      <c r="J238" s="106"/>
      <c r="L238" s="37"/>
      <c r="M238" s="101"/>
    </row>
    <row r="239" spans="1:13" hidden="1" outlineLevel="1" x14ac:dyDescent="0.25">
      <c r="A239" s="739">
        <v>0.02</v>
      </c>
      <c r="B239" s="743" t="s">
        <v>4387</v>
      </c>
      <c r="C239" s="741">
        <v>16.240333333333332</v>
      </c>
      <c r="D239" s="737">
        <v>28.44</v>
      </c>
      <c r="E239" s="742">
        <v>0.7511955830134851</v>
      </c>
      <c r="F239" s="946">
        <v>1.5023911660269703E-2</v>
      </c>
      <c r="G239" s="78"/>
      <c r="H239" t="s">
        <v>3744</v>
      </c>
      <c r="I239" s="106"/>
      <c r="J239" s="106"/>
      <c r="L239" s="37"/>
      <c r="M239" s="101"/>
    </row>
    <row r="240" spans="1:13" hidden="1" outlineLevel="1" x14ac:dyDescent="0.25">
      <c r="A240" s="739">
        <v>0.05</v>
      </c>
      <c r="B240" s="740" t="s">
        <v>1993</v>
      </c>
      <c r="C240" s="741">
        <v>40.514400000000002</v>
      </c>
      <c r="D240" s="737">
        <v>58.57</v>
      </c>
      <c r="E240" s="742">
        <v>0.44565882747862484</v>
      </c>
      <c r="F240" s="946">
        <v>2.2282941373931244E-2</v>
      </c>
      <c r="G240" s="78"/>
      <c r="H240" t="s">
        <v>2812</v>
      </c>
      <c r="I240" s="39" t="s">
        <v>3533</v>
      </c>
      <c r="J240" s="106"/>
      <c r="L240" s="37"/>
      <c r="M240" s="101"/>
    </row>
    <row r="241" spans="1:13" hidden="1" outlineLevel="1" x14ac:dyDescent="0.25">
      <c r="A241" s="739">
        <v>0.04</v>
      </c>
      <c r="B241" s="740" t="s">
        <v>1994</v>
      </c>
      <c r="C241" s="741">
        <v>39.799500000000002</v>
      </c>
      <c r="D241" s="737">
        <v>14.08</v>
      </c>
      <c r="E241" s="742">
        <v>-0.64622671139084664</v>
      </c>
      <c r="F241" s="946">
        <v>-2.5849068455633867E-2</v>
      </c>
      <c r="G241" s="78"/>
      <c r="H241" t="s">
        <v>3493</v>
      </c>
      <c r="I241" s="106"/>
      <c r="J241" s="106"/>
      <c r="L241" s="37"/>
      <c r="M241" s="101"/>
    </row>
    <row r="242" spans="1:13" hidden="1" outlineLevel="1" x14ac:dyDescent="0.25">
      <c r="A242" s="739">
        <v>0.04</v>
      </c>
      <c r="B242" s="740" t="s">
        <v>1995</v>
      </c>
      <c r="C242" s="741">
        <v>43.93</v>
      </c>
      <c r="D242" s="737">
        <v>53.37</v>
      </c>
      <c r="E242" s="742">
        <v>0.21488732073753702</v>
      </c>
      <c r="F242" s="946">
        <v>8.5954928295014811E-3</v>
      </c>
      <c r="G242" s="78"/>
      <c r="H242" t="s">
        <v>2739</v>
      </c>
      <c r="I242" s="106"/>
      <c r="J242" s="106"/>
      <c r="L242" s="37"/>
      <c r="M242" s="101"/>
    </row>
    <row r="243" spans="1:13" hidden="1" outlineLevel="1" x14ac:dyDescent="0.25">
      <c r="A243" s="739">
        <v>0.03</v>
      </c>
      <c r="B243" s="740" t="s">
        <v>255</v>
      </c>
      <c r="C243" s="741">
        <v>33.86</v>
      </c>
      <c r="D243" s="737">
        <v>33.9</v>
      </c>
      <c r="E243" s="742">
        <v>1.1813349084466296E-3</v>
      </c>
      <c r="F243" s="946">
        <v>3.5440047253398886E-5</v>
      </c>
      <c r="G243" s="78"/>
      <c r="H243" t="s">
        <v>3351</v>
      </c>
      <c r="I243" s="106"/>
      <c r="J243" s="106"/>
      <c r="L243" s="37"/>
      <c r="M243" s="101"/>
    </row>
    <row r="244" spans="1:13" hidden="1" outlineLevel="1" x14ac:dyDescent="0.25">
      <c r="A244" s="739">
        <v>0.04</v>
      </c>
      <c r="B244" s="743" t="s">
        <v>507</v>
      </c>
      <c r="C244" s="741">
        <v>16.920000000000002</v>
      </c>
      <c r="D244" s="737">
        <v>17.34</v>
      </c>
      <c r="E244" s="742">
        <v>2.4822695035460862E-2</v>
      </c>
      <c r="F244" s="946">
        <v>9.9290780141843456E-4</v>
      </c>
      <c r="G244" s="78"/>
      <c r="H244" t="s">
        <v>2810</v>
      </c>
      <c r="I244" s="106"/>
      <c r="J244" s="106"/>
      <c r="L244" s="37"/>
      <c r="M244" s="101"/>
    </row>
    <row r="245" spans="1:13" hidden="1" outlineLevel="1" x14ac:dyDescent="0.25">
      <c r="A245" s="739">
        <v>0.03</v>
      </c>
      <c r="B245" s="740" t="s">
        <v>3425</v>
      </c>
      <c r="C245" s="741">
        <v>40.64</v>
      </c>
      <c r="D245" s="737">
        <v>79.83</v>
      </c>
      <c r="E245" s="742">
        <v>0.96432086614173218</v>
      </c>
      <c r="F245" s="946">
        <v>2.8929625984251965E-2</v>
      </c>
      <c r="G245" s="78"/>
      <c r="H245" t="s">
        <v>4126</v>
      </c>
      <c r="I245" s="106"/>
      <c r="J245" s="106"/>
      <c r="L245" s="37"/>
      <c r="M245" s="101"/>
    </row>
    <row r="246" spans="1:13" hidden="1" outlineLevel="1" x14ac:dyDescent="0.25">
      <c r="A246" s="739">
        <v>0.03</v>
      </c>
      <c r="B246" s="740" t="s">
        <v>3426</v>
      </c>
      <c r="C246" s="741">
        <v>51.328000000000003</v>
      </c>
      <c r="D246" s="737">
        <v>59.83</v>
      </c>
      <c r="E246" s="742">
        <v>0.16564058603491261</v>
      </c>
      <c r="F246" s="946">
        <v>4.9692175810473783E-3</v>
      </c>
      <c r="G246" s="78"/>
      <c r="H246" t="s">
        <v>4145</v>
      </c>
      <c r="I246" s="106"/>
      <c r="J246" s="106"/>
      <c r="L246" s="37"/>
      <c r="M246" s="101"/>
    </row>
    <row r="247" spans="1:13" hidden="1" outlineLevel="1" x14ac:dyDescent="0.25">
      <c r="A247" s="739">
        <v>0.03</v>
      </c>
      <c r="B247" s="743" t="s">
        <v>1204</v>
      </c>
      <c r="C247" s="741">
        <v>46.734000000000002</v>
      </c>
      <c r="D247" s="737">
        <v>54.77</v>
      </c>
      <c r="E247" s="742">
        <v>0.17195189797577792</v>
      </c>
      <c r="F247" s="946">
        <v>5.1585569392733378E-3</v>
      </c>
      <c r="G247" s="78"/>
      <c r="H247" t="s">
        <v>2427</v>
      </c>
      <c r="I247" s="106"/>
      <c r="J247" s="106"/>
      <c r="L247" s="37"/>
      <c r="M247" s="101"/>
    </row>
    <row r="248" spans="1:13" hidden="1" outlineLevel="1" x14ac:dyDescent="0.25">
      <c r="A248" s="739">
        <v>0.03</v>
      </c>
      <c r="B248" s="743" t="s">
        <v>1414</v>
      </c>
      <c r="C248" s="741">
        <v>35.470999999999997</v>
      </c>
      <c r="D248" s="737">
        <v>17.71</v>
      </c>
      <c r="E248" s="742">
        <v>-0.50071889712723061</v>
      </c>
      <c r="F248" s="946">
        <v>-1.5021566913816918E-2</v>
      </c>
      <c r="G248" s="78"/>
      <c r="H248" t="s">
        <v>2428</v>
      </c>
      <c r="I248" s="106"/>
      <c r="J248" s="106"/>
      <c r="L248" s="37"/>
      <c r="M248" s="101"/>
    </row>
    <row r="249" spans="1:13" hidden="1" outlineLevel="1" x14ac:dyDescent="0.25">
      <c r="A249" s="739">
        <v>0.05</v>
      </c>
      <c r="B249" s="740" t="s">
        <v>3427</v>
      </c>
      <c r="C249" s="741">
        <v>30.109000000000002</v>
      </c>
      <c r="D249" s="737">
        <v>37</v>
      </c>
      <c r="E249" s="742">
        <v>0.2288684446511009</v>
      </c>
      <c r="F249" s="946">
        <v>1.1443422232555046E-2</v>
      </c>
      <c r="G249" s="78"/>
      <c r="H249" t="s">
        <v>2800</v>
      </c>
      <c r="I249" s="106"/>
      <c r="J249" s="106"/>
      <c r="L249" s="37"/>
      <c r="M249" s="101"/>
    </row>
    <row r="250" spans="1:13" s="39" customFormat="1" hidden="1" outlineLevel="1" x14ac:dyDescent="0.25">
      <c r="A250" s="739">
        <v>0.05</v>
      </c>
      <c r="B250" s="740" t="s">
        <v>872</v>
      </c>
      <c r="C250" s="741">
        <v>167.85000000000002</v>
      </c>
      <c r="D250" s="737">
        <v>376.75</v>
      </c>
      <c r="E250" s="742">
        <v>1.2445635984509975</v>
      </c>
      <c r="F250" s="946">
        <v>6.2228179922549878E-2</v>
      </c>
      <c r="G250" s="78"/>
      <c r="H250" t="s">
        <v>4312</v>
      </c>
      <c r="I250" s="106"/>
      <c r="J250" s="106"/>
      <c r="K250"/>
      <c r="L250" s="37"/>
      <c r="M250" s="101"/>
    </row>
    <row r="251" spans="1:13" s="39" customFormat="1" hidden="1" outlineLevel="1" x14ac:dyDescent="0.25">
      <c r="A251" s="739">
        <v>0.03</v>
      </c>
      <c r="B251" s="740" t="s">
        <v>873</v>
      </c>
      <c r="C251" s="741">
        <v>501.3</v>
      </c>
      <c r="D251" s="737">
        <v>153.4</v>
      </c>
      <c r="E251" s="742">
        <v>-0.69399561141033317</v>
      </c>
      <c r="F251" s="946">
        <v>-2.0819868342309995E-2</v>
      </c>
      <c r="G251" s="78"/>
      <c r="H251" t="s">
        <v>3495</v>
      </c>
      <c r="I251" s="106"/>
      <c r="J251" s="106"/>
      <c r="K251"/>
      <c r="L251" s="37"/>
      <c r="M251" s="101"/>
    </row>
    <row r="252" spans="1:13" s="39" customFormat="1" hidden="1" outlineLevel="1" x14ac:dyDescent="0.25">
      <c r="A252" s="739">
        <v>0.02</v>
      </c>
      <c r="B252" s="740" t="s">
        <v>874</v>
      </c>
      <c r="C252" s="741">
        <v>283.5</v>
      </c>
      <c r="D252" s="737">
        <v>135</v>
      </c>
      <c r="E252" s="742">
        <v>-0.52380952380952384</v>
      </c>
      <c r="F252" s="946">
        <v>-1.0476190476190477E-2</v>
      </c>
      <c r="G252" s="78"/>
      <c r="H252" t="s">
        <v>4148</v>
      </c>
      <c r="I252" s="106"/>
      <c r="J252" s="106"/>
      <c r="K252"/>
      <c r="L252" s="37"/>
      <c r="M252" s="101"/>
    </row>
    <row r="253" spans="1:13" s="39" customFormat="1" hidden="1" outlineLevel="1" x14ac:dyDescent="0.25">
      <c r="A253" s="739">
        <v>0.05</v>
      </c>
      <c r="B253" s="740" t="s">
        <v>2786</v>
      </c>
      <c r="C253" s="741">
        <v>398.97999999999996</v>
      </c>
      <c r="D253" s="737">
        <v>684</v>
      </c>
      <c r="E253" s="742">
        <v>0.7143716477016393</v>
      </c>
      <c r="F253" s="946">
        <v>3.5718582385081965E-2</v>
      </c>
      <c r="G253" s="78"/>
      <c r="H253" t="s">
        <v>4195</v>
      </c>
      <c r="I253" s="106"/>
      <c r="J253" s="106"/>
      <c r="K253"/>
      <c r="L253" s="37"/>
      <c r="M253" s="101"/>
    </row>
    <row r="254" spans="1:13" hidden="1" outlineLevel="1" x14ac:dyDescent="0.25">
      <c r="A254" s="739">
        <v>0.03</v>
      </c>
      <c r="B254" s="743" t="s">
        <v>1203</v>
      </c>
      <c r="C254" s="741">
        <v>52.8</v>
      </c>
      <c r="D254" s="737">
        <v>54.7</v>
      </c>
      <c r="E254" s="742">
        <v>3.5984848484848619E-2</v>
      </c>
      <c r="F254" s="946">
        <v>1.0795454545454585E-3</v>
      </c>
      <c r="G254" s="78"/>
      <c r="H254" t="s">
        <v>79</v>
      </c>
      <c r="I254" s="106"/>
      <c r="J254" s="106"/>
      <c r="L254" s="37"/>
      <c r="M254" s="101"/>
    </row>
    <row r="255" spans="1:13" hidden="1" outlineLevel="1" x14ac:dyDescent="0.25">
      <c r="A255" s="745">
        <v>0.03</v>
      </c>
      <c r="B255" s="746" t="s">
        <v>2787</v>
      </c>
      <c r="C255" s="747">
        <v>56.865000000000002</v>
      </c>
      <c r="D255" s="715">
        <v>52.7</v>
      </c>
      <c r="E255" s="748">
        <v>-7.3243647234678577E-2</v>
      </c>
      <c r="F255" s="1023">
        <v>-2.1973094170403573E-3</v>
      </c>
      <c r="G255" s="78"/>
      <c r="H255" t="s">
        <v>80</v>
      </c>
      <c r="I255" s="106"/>
      <c r="J255" s="106"/>
      <c r="L255" s="37"/>
      <c r="M255" s="101"/>
    </row>
    <row r="256" spans="1:13" hidden="1" outlineLevel="1" x14ac:dyDescent="0.25">
      <c r="A256" s="749"/>
      <c r="B256" s="750"/>
      <c r="C256" s="727"/>
      <c r="D256" s="727"/>
      <c r="E256" s="716"/>
      <c r="F256" s="770">
        <v>0.1341613555916629</v>
      </c>
      <c r="G256" s="78"/>
      <c r="J256" s="31"/>
      <c r="M256" s="101"/>
    </row>
    <row r="257" spans="1:13" hidden="1" outlineLevel="1" x14ac:dyDescent="0.25">
      <c r="A257" s="749"/>
      <c r="B257" s="750"/>
      <c r="C257" s="727"/>
      <c r="D257" s="727"/>
      <c r="E257" s="716"/>
      <c r="F257" s="770"/>
      <c r="G257" s="78"/>
      <c r="J257" s="31"/>
      <c r="M257" s="101"/>
    </row>
    <row r="258" spans="1:13" hidden="1" outlineLevel="1" x14ac:dyDescent="0.25">
      <c r="A258" s="751" t="s">
        <v>2985</v>
      </c>
      <c r="B258" s="750"/>
      <c r="C258" s="727">
        <v>100</v>
      </c>
      <c r="D258" s="727">
        <v>153.26779999999999</v>
      </c>
      <c r="E258" s="716">
        <v>0.53267799999999998</v>
      </c>
      <c r="F258" s="770">
        <v>0.53267799999999998</v>
      </c>
      <c r="G258" s="78"/>
      <c r="J258" s="31"/>
      <c r="M258" s="101"/>
    </row>
    <row r="259" spans="1:13" hidden="1" outlineLevel="1" x14ac:dyDescent="0.25">
      <c r="A259" s="751" t="s">
        <v>2986</v>
      </c>
      <c r="B259" s="750"/>
      <c r="C259" s="727">
        <v>100</v>
      </c>
      <c r="D259" s="727">
        <v>149.65110000000001</v>
      </c>
      <c r="E259" s="716">
        <v>0.49651100000000015</v>
      </c>
      <c r="F259" s="770">
        <v>0.49651100000000015</v>
      </c>
      <c r="G259" s="78"/>
      <c r="J259" s="31"/>
      <c r="M259" s="101"/>
    </row>
    <row r="260" spans="1:13" hidden="1" outlineLevel="1" x14ac:dyDescent="0.25">
      <c r="A260" s="751" t="s">
        <v>2987</v>
      </c>
      <c r="B260" s="750"/>
      <c r="C260" s="727">
        <v>100</v>
      </c>
      <c r="D260" s="727">
        <v>149.1944</v>
      </c>
      <c r="E260" s="716">
        <v>0.49194399999999994</v>
      </c>
      <c r="F260" s="770">
        <v>0.49194399999999994</v>
      </c>
      <c r="G260" s="78"/>
      <c r="J260" s="31"/>
      <c r="M260" s="101"/>
    </row>
    <row r="261" spans="1:13" hidden="1" outlineLevel="1" x14ac:dyDescent="0.25">
      <c r="A261" s="751" t="s">
        <v>2988</v>
      </c>
      <c r="B261" s="750"/>
      <c r="C261" s="727">
        <v>100</v>
      </c>
      <c r="D261" s="727">
        <v>153.88720000000001</v>
      </c>
      <c r="E261" s="716">
        <v>0.53887200000000002</v>
      </c>
      <c r="F261" s="770">
        <v>0.53887200000000002</v>
      </c>
      <c r="G261" s="78"/>
      <c r="J261" s="31"/>
      <c r="M261" s="101"/>
    </row>
    <row r="262" spans="1:13" hidden="1" outlineLevel="1" x14ac:dyDescent="0.25">
      <c r="A262" s="751" t="s">
        <v>4318</v>
      </c>
      <c r="B262" s="750"/>
      <c r="C262" s="727">
        <v>100</v>
      </c>
      <c r="D262" s="727">
        <v>152.1</v>
      </c>
      <c r="E262" s="716">
        <v>0.52099999999999991</v>
      </c>
      <c r="F262" s="770">
        <v>0.52099999999999991</v>
      </c>
      <c r="G262" s="78"/>
      <c r="J262" s="31"/>
      <c r="M262" s="101"/>
    </row>
    <row r="263" spans="1:13" hidden="1" outlineLevel="1" x14ac:dyDescent="0.25">
      <c r="A263" s="751" t="s">
        <v>4319</v>
      </c>
      <c r="B263" s="750"/>
      <c r="C263" s="719">
        <v>100</v>
      </c>
      <c r="D263" s="719">
        <v>136.51169999999999</v>
      </c>
      <c r="E263" s="716">
        <v>0.36511699999999991</v>
      </c>
      <c r="F263" s="770">
        <v>0.36511699999999991</v>
      </c>
      <c r="G263" s="78"/>
      <c r="J263" s="31"/>
      <c r="M263" s="101"/>
    </row>
    <row r="264" spans="1:13" hidden="1" outlineLevel="1" x14ac:dyDescent="0.25">
      <c r="A264" s="751" t="s">
        <v>344</v>
      </c>
      <c r="B264" s="750"/>
      <c r="C264" s="727">
        <v>100</v>
      </c>
      <c r="D264" s="727">
        <v>138.60409999999999</v>
      </c>
      <c r="E264" s="716">
        <v>0.38604099999999986</v>
      </c>
      <c r="F264" s="770">
        <v>0.38604099999999986</v>
      </c>
      <c r="G264" s="78"/>
      <c r="J264" s="31"/>
      <c r="M264" s="101"/>
    </row>
    <row r="265" spans="1:13" hidden="1" outlineLevel="1" x14ac:dyDescent="0.25">
      <c r="A265" s="751" t="s">
        <v>3653</v>
      </c>
      <c r="B265" s="750"/>
      <c r="C265" s="727">
        <v>100</v>
      </c>
      <c r="D265" s="727">
        <v>142.8501</v>
      </c>
      <c r="E265" s="716">
        <v>0.42850100000000002</v>
      </c>
      <c r="F265" s="770">
        <v>0.42850100000000002</v>
      </c>
      <c r="G265" s="78"/>
      <c r="J265" s="31"/>
      <c r="M265" s="101"/>
    </row>
    <row r="266" spans="1:13" hidden="1" outlineLevel="1" x14ac:dyDescent="0.25">
      <c r="A266" s="751" t="s">
        <v>3654</v>
      </c>
      <c r="B266" s="750"/>
      <c r="C266" s="727">
        <v>100</v>
      </c>
      <c r="D266" s="727">
        <v>135.4631</v>
      </c>
      <c r="E266" s="716">
        <v>0.35463099999999992</v>
      </c>
      <c r="F266" s="770">
        <v>0.35463099999999992</v>
      </c>
      <c r="G266" s="78"/>
      <c r="J266" s="31"/>
      <c r="M266" s="101"/>
    </row>
    <row r="267" spans="1:13" hidden="1" outlineLevel="1" x14ac:dyDescent="0.25">
      <c r="A267" s="751" t="s">
        <v>3655</v>
      </c>
      <c r="B267" s="750"/>
      <c r="C267" s="727">
        <v>100</v>
      </c>
      <c r="D267" s="727">
        <v>118.9165</v>
      </c>
      <c r="E267" s="716">
        <v>0.18916500000000003</v>
      </c>
      <c r="F267" s="770">
        <v>0.18916500000000003</v>
      </c>
      <c r="G267" s="78"/>
      <c r="J267" s="31"/>
      <c r="M267" s="101"/>
    </row>
    <row r="268" spans="1:13" hidden="1" outlineLevel="1" x14ac:dyDescent="0.25">
      <c r="A268" s="751" t="s">
        <v>1032</v>
      </c>
      <c r="B268" s="750"/>
      <c r="C268" s="727">
        <v>100</v>
      </c>
      <c r="D268" s="727">
        <v>114.185</v>
      </c>
      <c r="E268" s="716">
        <v>0.14185000000000003</v>
      </c>
      <c r="F268" s="770">
        <v>0.14185000000000003</v>
      </c>
      <c r="G268" s="78"/>
      <c r="J268" s="31"/>
      <c r="M268" s="101"/>
    </row>
    <row r="269" spans="1:13" hidden="1" outlineLevel="1" x14ac:dyDescent="0.25">
      <c r="A269" s="751" t="s">
        <v>1033</v>
      </c>
      <c r="B269" s="750"/>
      <c r="C269" s="727">
        <v>100</v>
      </c>
      <c r="D269" s="727">
        <v>113.8349</v>
      </c>
      <c r="E269" s="716">
        <v>0.13834900000000006</v>
      </c>
      <c r="F269" s="770">
        <v>0.13834900000000006</v>
      </c>
      <c r="G269" s="78"/>
      <c r="J269" s="31"/>
      <c r="M269" s="101"/>
    </row>
    <row r="270" spans="1:13" hidden="1" outlineLevel="1" x14ac:dyDescent="0.25">
      <c r="A270" s="749"/>
      <c r="B270" s="750"/>
      <c r="C270" s="727"/>
      <c r="D270" s="727"/>
      <c r="E270" s="716"/>
      <c r="F270" s="770">
        <v>0.38205491666666663</v>
      </c>
      <c r="G270" s="78"/>
      <c r="H270" s="101"/>
      <c r="J270" s="31"/>
      <c r="M270" s="101"/>
    </row>
    <row r="271" spans="1:13" s="17" customFormat="1" ht="12" customHeight="1" collapsed="1" x14ac:dyDescent="0.25">
      <c r="A271" s="3801" t="s">
        <v>1065</v>
      </c>
      <c r="B271" s="3802"/>
      <c r="C271" s="3802"/>
      <c r="D271" s="3802"/>
      <c r="E271" s="721" t="s">
        <v>2722</v>
      </c>
      <c r="F271" s="752">
        <v>0.26743844166666664</v>
      </c>
      <c r="G271" s="175" t="s">
        <v>781</v>
      </c>
      <c r="J271" s="31"/>
    </row>
    <row r="272" spans="1:13" x14ac:dyDescent="0.25">
      <c r="A272" s="1"/>
      <c r="B272" s="1"/>
      <c r="C272" s="1"/>
      <c r="D272" s="1"/>
      <c r="E272" s="1"/>
      <c r="F272" s="1848"/>
      <c r="G272" s="97"/>
      <c r="J272" s="31"/>
    </row>
    <row r="273" spans="1:10" hidden="1" outlineLevel="1" x14ac:dyDescent="0.25">
      <c r="A273" s="689" t="s">
        <v>113</v>
      </c>
      <c r="B273" s="689" t="s">
        <v>114</v>
      </c>
      <c r="C273" s="689" t="s">
        <v>112</v>
      </c>
      <c r="D273" s="689" t="s">
        <v>116</v>
      </c>
      <c r="E273" s="689" t="s">
        <v>117</v>
      </c>
      <c r="F273" s="1188" t="s">
        <v>121</v>
      </c>
      <c r="G273" s="97"/>
      <c r="J273" s="31"/>
    </row>
    <row r="274" spans="1:10" hidden="1" outlineLevel="1" x14ac:dyDescent="0.25">
      <c r="A274" s="753" t="s">
        <v>1034</v>
      </c>
      <c r="B274" s="691" t="s">
        <v>115</v>
      </c>
      <c r="C274" s="692">
        <v>2858.84</v>
      </c>
      <c r="D274" s="692">
        <v>3043.078</v>
      </c>
      <c r="E274" s="3837">
        <v>5.62E-2</v>
      </c>
      <c r="F274" s="3839">
        <v>5.62E-2</v>
      </c>
      <c r="G274" s="97"/>
      <c r="J274" s="31"/>
    </row>
    <row r="275" spans="1:10" hidden="1" outlineLevel="1" x14ac:dyDescent="0.25">
      <c r="A275" s="754" t="s">
        <v>1034</v>
      </c>
      <c r="B275" s="695" t="s">
        <v>760</v>
      </c>
      <c r="C275" s="727">
        <v>1143.19</v>
      </c>
      <c r="D275" s="727">
        <v>1197.998</v>
      </c>
      <c r="E275" s="3838"/>
      <c r="F275" s="3840"/>
      <c r="G275" s="97"/>
      <c r="J275" s="31"/>
    </row>
    <row r="276" spans="1:10" hidden="1" outlineLevel="1" x14ac:dyDescent="0.25">
      <c r="A276" s="753" t="s">
        <v>1035</v>
      </c>
      <c r="B276" s="691" t="s">
        <v>115</v>
      </c>
      <c r="C276" s="692">
        <v>3043.078</v>
      </c>
      <c r="D276" s="692">
        <v>3700.2739999999999</v>
      </c>
      <c r="E276" s="3837">
        <v>0.13750000000000001</v>
      </c>
      <c r="F276" s="3839">
        <v>0.06</v>
      </c>
      <c r="G276" s="97"/>
      <c r="J276" s="31"/>
    </row>
    <row r="277" spans="1:10" hidden="1" outlineLevel="1" x14ac:dyDescent="0.25">
      <c r="A277" s="754" t="s">
        <v>1035</v>
      </c>
      <c r="B277" s="695" t="s">
        <v>760</v>
      </c>
      <c r="C277" s="727">
        <v>1197.998</v>
      </c>
      <c r="D277" s="727">
        <v>1267.194</v>
      </c>
      <c r="E277" s="3838"/>
      <c r="F277" s="3840"/>
      <c r="G277" s="97"/>
      <c r="J277" s="31"/>
    </row>
    <row r="278" spans="1:10" hidden="1" outlineLevel="1" x14ac:dyDescent="0.25">
      <c r="A278" s="753" t="s">
        <v>1922</v>
      </c>
      <c r="B278" s="691" t="s">
        <v>115</v>
      </c>
      <c r="C278" s="692">
        <v>3700.2739999999999</v>
      </c>
      <c r="D278" s="692">
        <v>4234.5770000000002</v>
      </c>
      <c r="E278" s="3837">
        <v>0.14280000000000001</v>
      </c>
      <c r="F278" s="3839">
        <v>0.06</v>
      </c>
      <c r="G278" s="97"/>
      <c r="J278" s="31"/>
    </row>
    <row r="279" spans="1:10" hidden="1" outlineLevel="1" x14ac:dyDescent="0.25">
      <c r="A279" s="754" t="s">
        <v>1922</v>
      </c>
      <c r="B279" s="695" t="s">
        <v>760</v>
      </c>
      <c r="C279" s="727">
        <v>1267.194</v>
      </c>
      <c r="D279" s="727">
        <v>1445.864</v>
      </c>
      <c r="E279" s="3838"/>
      <c r="F279" s="3840"/>
      <c r="G279" s="97"/>
      <c r="J279" s="31"/>
    </row>
    <row r="280" spans="1:10" hidden="1" outlineLevel="1" x14ac:dyDescent="0.25">
      <c r="A280" s="732" t="s">
        <v>2896</v>
      </c>
      <c r="B280" s="691" t="s">
        <v>115</v>
      </c>
      <c r="C280" s="692">
        <v>4234.5770000000002</v>
      </c>
      <c r="D280" s="692">
        <v>3622.3110000000001</v>
      </c>
      <c r="E280" s="3837">
        <v>-0.10340000000000001</v>
      </c>
      <c r="F280" s="3839">
        <v>-0.03</v>
      </c>
      <c r="G280" s="97"/>
      <c r="J280" s="31"/>
    </row>
    <row r="281" spans="1:10" hidden="1" outlineLevel="1" x14ac:dyDescent="0.25">
      <c r="A281" s="732" t="s">
        <v>2896</v>
      </c>
      <c r="B281" s="695" t="s">
        <v>760</v>
      </c>
      <c r="C281" s="727">
        <v>1445.864</v>
      </c>
      <c r="D281" s="727">
        <v>1366.0840000000001</v>
      </c>
      <c r="E281" s="3838"/>
      <c r="F281" s="3840"/>
      <c r="G281" s="97"/>
      <c r="J281" s="31"/>
    </row>
    <row r="282" spans="1:10" ht="13.5" customHeight="1" collapsed="1" x14ac:dyDescent="0.25">
      <c r="A282" s="3801" t="s">
        <v>2460</v>
      </c>
      <c r="B282" s="3802"/>
      <c r="C282" s="3802"/>
      <c r="D282" s="3802"/>
      <c r="E282" s="721" t="s">
        <v>2722</v>
      </c>
      <c r="F282" s="722">
        <f>SUM(F274:F281)</f>
        <v>0.1462</v>
      </c>
      <c r="G282" s="97" t="s">
        <v>781</v>
      </c>
      <c r="J282" s="31"/>
    </row>
    <row r="283" spans="1:10" x14ac:dyDescent="0.25">
      <c r="A283" s="19"/>
      <c r="B283" s="19"/>
      <c r="C283" s="19"/>
      <c r="D283" s="19"/>
      <c r="E283" s="20"/>
      <c r="F283" s="20"/>
      <c r="G283" s="97"/>
      <c r="J283" s="31"/>
    </row>
    <row r="284" spans="1:10" hidden="1" outlineLevel="1" x14ac:dyDescent="0.25">
      <c r="A284" s="689" t="s">
        <v>113</v>
      </c>
      <c r="B284" s="689" t="s">
        <v>114</v>
      </c>
      <c r="C284" s="689" t="s">
        <v>112</v>
      </c>
      <c r="D284" s="689" t="s">
        <v>116</v>
      </c>
      <c r="E284" s="689" t="s">
        <v>117</v>
      </c>
      <c r="F284" s="1188" t="s">
        <v>121</v>
      </c>
      <c r="G284" s="97"/>
      <c r="J284" s="31"/>
    </row>
    <row r="285" spans="1:10" hidden="1" outlineLevel="1" x14ac:dyDescent="0.25">
      <c r="A285" s="732" t="s">
        <v>2897</v>
      </c>
      <c r="B285" s="691" t="s">
        <v>115</v>
      </c>
      <c r="C285" s="692">
        <v>2900.127</v>
      </c>
      <c r="D285" s="692">
        <v>3081.473</v>
      </c>
      <c r="E285" s="3837">
        <f>(0.5*D285/C285+0.5*D286/C286)-1</f>
        <v>6.497604582404426E-2</v>
      </c>
      <c r="F285" s="3839">
        <v>0.06</v>
      </c>
      <c r="G285" s="97"/>
      <c r="J285" s="31"/>
    </row>
    <row r="286" spans="1:10" hidden="1" outlineLevel="1" x14ac:dyDescent="0.25">
      <c r="A286" s="732" t="s">
        <v>2897</v>
      </c>
      <c r="B286" s="695" t="s">
        <v>760</v>
      </c>
      <c r="C286" s="727">
        <v>1135.539</v>
      </c>
      <c r="D286" s="727">
        <v>1212.0989999999999</v>
      </c>
      <c r="E286" s="3838"/>
      <c r="F286" s="3840"/>
      <c r="G286" s="97"/>
      <c r="J286" s="31"/>
    </row>
    <row r="287" spans="1:10" hidden="1" outlineLevel="1" x14ac:dyDescent="0.25">
      <c r="A287" s="732" t="s">
        <v>2898</v>
      </c>
      <c r="B287" s="691" t="s">
        <v>115</v>
      </c>
      <c r="C287" s="692">
        <v>3081.473</v>
      </c>
      <c r="D287" s="692">
        <v>3774.558</v>
      </c>
      <c r="E287" s="3837">
        <v>0.14169999999999999</v>
      </c>
      <c r="F287" s="3839">
        <v>0.06</v>
      </c>
      <c r="G287" s="97"/>
      <c r="J287" s="31"/>
    </row>
    <row r="288" spans="1:10" hidden="1" outlineLevel="1" x14ac:dyDescent="0.25">
      <c r="A288" s="732" t="s">
        <v>2898</v>
      </c>
      <c r="B288" s="695" t="s">
        <v>760</v>
      </c>
      <c r="C288" s="727">
        <v>1212.0989999999999</v>
      </c>
      <c r="D288" s="727">
        <v>1283.5640000000001</v>
      </c>
      <c r="E288" s="3838"/>
      <c r="F288" s="3840"/>
      <c r="G288" s="97"/>
      <c r="J288" s="31"/>
    </row>
    <row r="289" spans="1:10" hidden="1" outlineLevel="1" x14ac:dyDescent="0.25">
      <c r="A289" s="732" t="s">
        <v>2899</v>
      </c>
      <c r="B289" s="691" t="s">
        <v>115</v>
      </c>
      <c r="C289" s="692">
        <v>3774.558</v>
      </c>
      <c r="D289" s="692">
        <v>4022.027</v>
      </c>
      <c r="E289" s="3837">
        <v>7.4700000000000003E-2</v>
      </c>
      <c r="F289" s="3839">
        <v>0.06</v>
      </c>
      <c r="G289" s="97"/>
      <c r="J289" s="31"/>
    </row>
    <row r="290" spans="1:10" hidden="1" outlineLevel="1" x14ac:dyDescent="0.25">
      <c r="A290" s="732" t="s">
        <v>2899</v>
      </c>
      <c r="B290" s="695" t="s">
        <v>760</v>
      </c>
      <c r="C290" s="727">
        <v>1283.5640000000001</v>
      </c>
      <c r="D290" s="727">
        <v>1392.83</v>
      </c>
      <c r="E290" s="3838"/>
      <c r="F290" s="3840"/>
      <c r="G290" s="97"/>
      <c r="J290" s="31"/>
    </row>
    <row r="291" spans="1:10" hidden="1" outlineLevel="1" x14ac:dyDescent="0.25">
      <c r="A291" s="732" t="s">
        <v>2863</v>
      </c>
      <c r="B291" s="691" t="s">
        <v>115</v>
      </c>
      <c r="C291" s="692">
        <v>4022.027</v>
      </c>
      <c r="D291" s="692">
        <v>3284.7249999999999</v>
      </c>
      <c r="E291" s="3837">
        <v>-0.1449</v>
      </c>
      <c r="F291" s="3839">
        <v>-0.03</v>
      </c>
      <c r="G291" s="97"/>
      <c r="J291" s="31"/>
    </row>
    <row r="292" spans="1:10" hidden="1" outlineLevel="1" x14ac:dyDescent="0.25">
      <c r="A292" s="732" t="s">
        <v>2863</v>
      </c>
      <c r="B292" s="695" t="s">
        <v>760</v>
      </c>
      <c r="C292" s="727">
        <v>1392.83</v>
      </c>
      <c r="D292" s="727">
        <v>1251.6120000000001</v>
      </c>
      <c r="E292" s="3838"/>
      <c r="F292" s="3840"/>
      <c r="G292" s="97"/>
      <c r="J292" s="31"/>
    </row>
    <row r="293" spans="1:10" ht="14.25" customHeight="1" collapsed="1" x14ac:dyDescent="0.25">
      <c r="A293" s="3801" t="s">
        <v>3916</v>
      </c>
      <c r="B293" s="3802"/>
      <c r="C293" s="3802"/>
      <c r="D293" s="3802"/>
      <c r="E293" s="721" t="s">
        <v>2722</v>
      </c>
      <c r="F293" s="722">
        <f>SUM(F285:F292)</f>
        <v>0.15</v>
      </c>
      <c r="G293" s="97" t="s">
        <v>781</v>
      </c>
      <c r="J293" s="31"/>
    </row>
    <row r="294" spans="1:10" x14ac:dyDescent="0.25">
      <c r="A294" s="19"/>
      <c r="B294" s="19"/>
      <c r="C294" s="19"/>
      <c r="D294" s="19"/>
      <c r="E294" s="20"/>
      <c r="F294" s="20"/>
      <c r="G294" s="97"/>
      <c r="J294" s="31"/>
    </row>
    <row r="295" spans="1:10" hidden="1" outlineLevel="1" x14ac:dyDescent="0.25">
      <c r="A295" s="689" t="s">
        <v>113</v>
      </c>
      <c r="B295" s="689" t="s">
        <v>114</v>
      </c>
      <c r="C295" s="689" t="s">
        <v>112</v>
      </c>
      <c r="D295" s="689" t="s">
        <v>116</v>
      </c>
      <c r="E295" s="689" t="s">
        <v>117</v>
      </c>
      <c r="F295" s="1188" t="s">
        <v>121</v>
      </c>
      <c r="G295" s="97"/>
      <c r="H295" s="505" t="s">
        <v>4475</v>
      </c>
      <c r="J295" s="31"/>
    </row>
    <row r="296" spans="1:10" hidden="1" outlineLevel="1" x14ac:dyDescent="0.25">
      <c r="A296" s="690">
        <v>5</v>
      </c>
      <c r="B296" s="691" t="s">
        <v>252</v>
      </c>
      <c r="C296" s="692"/>
      <c r="D296" s="692"/>
      <c r="E296" s="693"/>
      <c r="F296" s="694"/>
      <c r="G296" s="97"/>
      <c r="J296" s="31"/>
    </row>
    <row r="297" spans="1:10" hidden="1" outlineLevel="1" x14ac:dyDescent="0.25">
      <c r="A297" s="695"/>
      <c r="B297" s="695"/>
      <c r="C297" s="696"/>
      <c r="D297" s="697" t="s">
        <v>3702</v>
      </c>
      <c r="E297" s="698">
        <f>indexy!B2</f>
        <v>45379</v>
      </c>
      <c r="F297" s="699"/>
      <c r="G297" s="97"/>
      <c r="J297" s="31"/>
    </row>
    <row r="298" spans="1:10" hidden="1" outlineLevel="1" x14ac:dyDescent="0.25">
      <c r="A298" s="689" t="s">
        <v>4156</v>
      </c>
      <c r="B298" s="689" t="s">
        <v>4153</v>
      </c>
      <c r="C298" s="700" t="s">
        <v>112</v>
      </c>
      <c r="D298" s="689" t="s">
        <v>4155</v>
      </c>
      <c r="E298" s="689" t="s">
        <v>4154</v>
      </c>
      <c r="F298" s="1021" t="s">
        <v>1332</v>
      </c>
      <c r="G298" s="97"/>
      <c r="J298" s="31"/>
    </row>
    <row r="299" spans="1:10" hidden="1" outlineLevel="1" x14ac:dyDescent="0.25">
      <c r="A299" s="734">
        <v>0.05</v>
      </c>
      <c r="B299" s="755" t="s">
        <v>577</v>
      </c>
      <c r="C299" s="736">
        <v>12.972</v>
      </c>
      <c r="D299" s="737">
        <f>VLOOKUP(H299,indexy!$C$44:$D$585,2,FALSE)</f>
        <v>4.0890000000000004</v>
      </c>
      <c r="E299" s="738">
        <f>D299/C299-1</f>
        <v>-0.68478260869565211</v>
      </c>
      <c r="F299" s="1021" t="s">
        <v>2024</v>
      </c>
      <c r="G299" s="97"/>
      <c r="H299" t="str">
        <f>VLOOKUP(B299,indexy!$A$44:$D$157,3,FALSE)</f>
        <v>TEF SQ Equity</v>
      </c>
      <c r="J299" s="31"/>
    </row>
    <row r="300" spans="1:10" hidden="1" outlineLevel="1" x14ac:dyDescent="0.25">
      <c r="A300" s="739">
        <v>0.05</v>
      </c>
      <c r="B300" s="740" t="s">
        <v>2036</v>
      </c>
      <c r="C300" s="741">
        <v>29.247199999999999</v>
      </c>
      <c r="D300" s="737">
        <f>VLOOKUP(H300,indexy!$C$44:$D$585,2,FALSE)</f>
        <v>114.4</v>
      </c>
      <c r="E300" s="742">
        <f>D300/C300-1</f>
        <v>2.9114855439153153</v>
      </c>
      <c r="F300" s="946" t="s">
        <v>2024</v>
      </c>
      <c r="G300" s="97"/>
      <c r="H300" t="str">
        <f>VLOOKUP(B300,indexy!$A$44:$D$157,3,FALSE)</f>
        <v>UCB BB Equity</v>
      </c>
      <c r="J300" s="31"/>
    </row>
    <row r="301" spans="1:10" hidden="1" outlineLevel="1" x14ac:dyDescent="0.25">
      <c r="A301" s="739">
        <v>0.05</v>
      </c>
      <c r="B301" s="740" t="s">
        <v>2586</v>
      </c>
      <c r="C301" s="741">
        <v>20.212499999999999</v>
      </c>
      <c r="D301" s="737">
        <f>VLOOKUP(H301,indexy!$C$44:$D$585,2,FALSE)</f>
        <v>1894.6</v>
      </c>
      <c r="E301" s="742">
        <f>D301/C301-1</f>
        <v>92.734075448361168</v>
      </c>
      <c r="F301" s="946" t="s">
        <v>2024</v>
      </c>
      <c r="G301" s="97"/>
      <c r="H301" t="str">
        <f>VLOOKUP(B301,indexy!$A$44:$D$157,3,FALSE)</f>
        <v>RDSB LN Equity</v>
      </c>
      <c r="J301" s="31"/>
    </row>
    <row r="302" spans="1:10" hidden="1" outlineLevel="1" x14ac:dyDescent="0.25">
      <c r="A302" s="739">
        <v>0.05</v>
      </c>
      <c r="B302" s="740" t="s">
        <v>1176</v>
      </c>
      <c r="C302" s="741">
        <v>18.565999999999999</v>
      </c>
      <c r="D302" s="737">
        <f>VLOOKUP(H302,indexy!$C$44:$D$585,2,FALSE)</f>
        <v>42.92</v>
      </c>
      <c r="E302" s="742">
        <f t="shared" ref="E302:E317" si="3">D302/C302-1</f>
        <v>1.3117526661639558</v>
      </c>
      <c r="F302" s="946" t="s">
        <v>2024</v>
      </c>
      <c r="G302" s="97"/>
      <c r="H302" t="str">
        <f>VLOOKUP(B302,indexy!$A$44:$D$157,3,FALSE)</f>
        <v>AGS BB Equity</v>
      </c>
      <c r="J302" s="31"/>
    </row>
    <row r="303" spans="1:10" hidden="1" outlineLevel="1" x14ac:dyDescent="0.25">
      <c r="A303" s="739">
        <v>0.05</v>
      </c>
      <c r="B303" s="743" t="s">
        <v>51</v>
      </c>
      <c r="C303" s="741">
        <v>42.194000000000003</v>
      </c>
      <c r="D303" s="737">
        <f>VLOOKUP(H303,indexy!$C$44:$D$585,2,FALSE)</f>
        <v>71.930000000000007</v>
      </c>
      <c r="E303" s="742">
        <f t="shared" si="3"/>
        <v>0.70474475043845097</v>
      </c>
      <c r="F303" s="946" t="s">
        <v>2024</v>
      </c>
      <c r="G303" s="97"/>
      <c r="H303" t="str">
        <f>VLOOKUP(B303,indexy!$A$44:$D$157,3,FALSE)</f>
        <v>SGO FP Equity</v>
      </c>
      <c r="J303" s="31"/>
    </row>
    <row r="304" spans="1:10" hidden="1" outlineLevel="1" x14ac:dyDescent="0.25">
      <c r="A304" s="739">
        <v>0.05</v>
      </c>
      <c r="B304" s="743" t="s">
        <v>1183</v>
      </c>
      <c r="C304" s="741">
        <f>150.39/4</f>
        <v>37.597499999999997</v>
      </c>
      <c r="D304" s="737" t="e">
        <f>VLOOKUP(H304,indexy!$C$44:$D$585,2,FALSE)</f>
        <v>#N/A</v>
      </c>
      <c r="E304" s="742" t="e">
        <f t="shared" si="3"/>
        <v>#N/A</v>
      </c>
      <c r="F304" s="946" t="s">
        <v>2024</v>
      </c>
      <c r="G304" s="97"/>
      <c r="H304" t="e">
        <f>VLOOKUP(B304,indexy!$A$44:$D$157,3,FALSE)</f>
        <v>#N/A</v>
      </c>
      <c r="J304" s="31"/>
    </row>
    <row r="305" spans="1:10" hidden="1" outlineLevel="1" x14ac:dyDescent="0.25">
      <c r="A305" s="739">
        <v>0.05</v>
      </c>
      <c r="B305" s="743" t="s">
        <v>1184</v>
      </c>
      <c r="C305" s="741">
        <f>42.896/2</f>
        <v>21.448</v>
      </c>
      <c r="D305" s="737">
        <f>VLOOKUP(H305,indexy!$C$44:$D$585,2,FALSE)</f>
        <v>52.93</v>
      </c>
      <c r="E305" s="742">
        <f t="shared" si="3"/>
        <v>1.4678291682208129</v>
      </c>
      <c r="F305" s="946" t="s">
        <v>2024</v>
      </c>
      <c r="G305" s="97"/>
      <c r="H305" t="str">
        <f>VLOOKUP(B305,indexy!$A$44:$D$157,3,FALSE)</f>
        <v>BAS GY Equity</v>
      </c>
      <c r="J305" s="31"/>
    </row>
    <row r="306" spans="1:10" hidden="1" outlineLevel="1" x14ac:dyDescent="0.25">
      <c r="A306" s="756">
        <v>0.05</v>
      </c>
      <c r="B306" s="757" t="s">
        <v>1190</v>
      </c>
      <c r="C306" s="758">
        <v>18.032</v>
      </c>
      <c r="D306" s="759">
        <f>VLOOKUP(H306,indexy!$C$44:$D$585,2,FALSE)</f>
        <v>3.2909999999999999</v>
      </c>
      <c r="E306" s="760"/>
      <c r="F306" s="1850" t="s">
        <v>2025</v>
      </c>
      <c r="G306" s="97"/>
      <c r="H306" t="str">
        <f>VLOOKUP(B306,indexy!$A$44:$D$157,3,FALSE)</f>
        <v>NOKIA FH Equity</v>
      </c>
      <c r="J306" s="31"/>
    </row>
    <row r="307" spans="1:10" hidden="1" outlineLevel="1" x14ac:dyDescent="0.25">
      <c r="A307" s="739">
        <v>0.05</v>
      </c>
      <c r="B307" s="743" t="s">
        <v>1186</v>
      </c>
      <c r="C307" s="741">
        <v>17.309000000000001</v>
      </c>
      <c r="D307" s="737"/>
      <c r="E307" s="742"/>
      <c r="F307" s="946"/>
      <c r="G307" s="97"/>
      <c r="H307" t="e">
        <f>VLOOKUP(B307,indexy!$A$44:$D$157,3,FALSE)</f>
        <v>#N/A</v>
      </c>
      <c r="J307" s="31"/>
    </row>
    <row r="308" spans="1:10" s="161" customFormat="1" hidden="1" outlineLevel="1" x14ac:dyDescent="0.25">
      <c r="A308" s="756">
        <v>0.05</v>
      </c>
      <c r="B308" s="761" t="s">
        <v>2587</v>
      </c>
      <c r="C308" s="758">
        <f>(17.269*100)/3</f>
        <v>575.63333333333333</v>
      </c>
      <c r="D308" s="759" t="e">
        <f>VLOOKUP(H308,indexy!$C$44:$D$585,2,FALSE)</f>
        <v>#N/A</v>
      </c>
      <c r="E308" s="760" t="e">
        <f t="shared" si="3"/>
        <v>#N/A</v>
      </c>
      <c r="F308" s="1850" t="s">
        <v>2025</v>
      </c>
      <c r="G308" s="178"/>
      <c r="H308" s="163" t="e">
        <f>VLOOKUP(B308,indexy!$A$44:$D$157,3,FALSE)</f>
        <v>#N/A</v>
      </c>
      <c r="J308" s="162"/>
    </row>
    <row r="309" spans="1:10" s="39" customFormat="1" hidden="1" outlineLevel="1" x14ac:dyDescent="0.25">
      <c r="A309" s="739">
        <v>0.05</v>
      </c>
      <c r="B309" s="740" t="s">
        <v>1187</v>
      </c>
      <c r="C309" s="741">
        <v>53.375100000000003</v>
      </c>
      <c r="D309" s="737">
        <f>VLOOKUP(H309,indexy!$C$44:$D$585,2,FALSE)</f>
        <v>90.96</v>
      </c>
      <c r="E309" s="742">
        <f t="shared" si="3"/>
        <v>0.70416542545119332</v>
      </c>
      <c r="F309" s="946" t="s">
        <v>2024</v>
      </c>
      <c r="G309" s="97"/>
      <c r="H309" t="str">
        <f>VLOOKUP(B309,indexy!$A$44:$D$157,3,FALSE)</f>
        <v>SAN FP Equity</v>
      </c>
      <c r="J309" s="44"/>
    </row>
    <row r="310" spans="1:10" s="39" customFormat="1" hidden="1" outlineLevel="1" x14ac:dyDescent="0.25">
      <c r="A310" s="739">
        <v>0.05</v>
      </c>
      <c r="B310" s="740" t="s">
        <v>2588</v>
      </c>
      <c r="C310" s="741">
        <v>19.356999999999999</v>
      </c>
      <c r="D310" s="737">
        <f>VLOOKUP(H310,indexy!$C$44:$D$585,2,FALSE)</f>
        <v>15.246</v>
      </c>
      <c r="E310" s="742">
        <f t="shared" si="3"/>
        <v>-0.21237795112879054</v>
      </c>
      <c r="F310" s="946" t="s">
        <v>2024</v>
      </c>
      <c r="G310" s="97"/>
      <c r="H310" t="str">
        <f>VLOOKUP(B310,indexy!$A$44:$D$157,3,FALSE)</f>
        <v>INGA NA Equity</v>
      </c>
      <c r="J310" s="44"/>
    </row>
    <row r="311" spans="1:10" s="39" customFormat="1" hidden="1" outlineLevel="1" x14ac:dyDescent="0.25">
      <c r="A311" s="739">
        <v>0.05</v>
      </c>
      <c r="B311" s="743" t="s">
        <v>1188</v>
      </c>
      <c r="C311" s="741">
        <f>4.4713*100</f>
        <v>447.13000000000005</v>
      </c>
      <c r="D311" s="737">
        <f>VLOOKUP(H311,indexy!$C$44:$D$585,2,FALSE)</f>
        <v>495.7</v>
      </c>
      <c r="E311" s="742">
        <f t="shared" si="3"/>
        <v>0.10862612662983895</v>
      </c>
      <c r="F311" s="946" t="s">
        <v>2024</v>
      </c>
      <c r="G311" s="97"/>
      <c r="H311" t="str">
        <f>VLOOKUP(B311,indexy!$A$44:$D$157,3,FALSE)</f>
        <v>BP/ LN Equity</v>
      </c>
      <c r="J311" s="44"/>
    </row>
    <row r="312" spans="1:10" hidden="1" outlineLevel="1" x14ac:dyDescent="0.25">
      <c r="A312" s="739">
        <v>0.05</v>
      </c>
      <c r="B312" s="740" t="s">
        <v>1001</v>
      </c>
      <c r="C312" s="741">
        <v>25.800999999999998</v>
      </c>
      <c r="D312" s="737">
        <f>VLOOKUP(H312,indexy!$C$44:$D$585,2,FALSE)</f>
        <v>420.72</v>
      </c>
      <c r="E312" s="742">
        <f t="shared" si="3"/>
        <v>15.306344715321114</v>
      </c>
      <c r="F312" s="946" t="s">
        <v>2024</v>
      </c>
      <c r="G312" s="97"/>
      <c r="H312" t="str">
        <f>VLOOKUP(B312,indexy!$A$44:$D$157,3,FALSE)</f>
        <v>MSFT UW Equity</v>
      </c>
      <c r="J312" s="31"/>
    </row>
    <row r="313" spans="1:10" hidden="1" outlineLevel="1" x14ac:dyDescent="0.25">
      <c r="A313" s="739">
        <v>0.05</v>
      </c>
      <c r="B313" s="740" t="s">
        <v>1002</v>
      </c>
      <c r="C313" s="741">
        <v>12.46</v>
      </c>
      <c r="D313" s="737">
        <f>VLOOKUP(H313,indexy!$C$44:$D$585,2,FALSE)</f>
        <v>125.61</v>
      </c>
      <c r="E313" s="742">
        <f t="shared" si="3"/>
        <v>9.0810593900481535</v>
      </c>
      <c r="F313" s="946" t="s">
        <v>2024</v>
      </c>
      <c r="G313" s="97"/>
      <c r="H313" t="str">
        <f>VLOOKUP(B313,indexy!$A$44:$D$157,3,FALSE)</f>
        <v>ORCL UN Equity</v>
      </c>
      <c r="J313" s="31"/>
    </row>
    <row r="314" spans="1:10" hidden="1" outlineLevel="1" x14ac:dyDescent="0.25">
      <c r="A314" s="739">
        <v>0.05</v>
      </c>
      <c r="B314" s="740" t="s">
        <v>3425</v>
      </c>
      <c r="C314" s="741">
        <v>42.110999999999997</v>
      </c>
      <c r="D314" s="737">
        <f>VLOOKUP(H314,indexy!$C$44:$D$585,2,FALSE)</f>
        <v>116.24</v>
      </c>
      <c r="E314" s="742">
        <f t="shared" si="3"/>
        <v>1.7603239058678257</v>
      </c>
      <c r="F314" s="946" t="s">
        <v>2024</v>
      </c>
      <c r="G314" s="97"/>
      <c r="H314" t="str">
        <f>VLOOKUP(B314,indexy!$A$44:$D$157,3,FALSE)</f>
        <v>XOM UN Equity</v>
      </c>
      <c r="J314" s="31"/>
    </row>
    <row r="315" spans="1:10" hidden="1" outlineLevel="1" x14ac:dyDescent="0.25">
      <c r="A315" s="739">
        <v>0.05</v>
      </c>
      <c r="B315" s="740" t="s">
        <v>1003</v>
      </c>
      <c r="C315" s="741">
        <v>30.344000000000001</v>
      </c>
      <c r="D315" s="737">
        <f>VLOOKUP(H315,indexy!$C$44:$D$585,2,FALSE)</f>
        <v>174.21</v>
      </c>
      <c r="E315" s="742">
        <f t="shared" si="3"/>
        <v>4.7411679409438436</v>
      </c>
      <c r="F315" s="946" t="s">
        <v>2024</v>
      </c>
      <c r="G315" s="97"/>
      <c r="H315" t="str">
        <f>VLOOKUP(B315,indexy!$A$44:$D$157,3,FALSE)</f>
        <v>TXN UW Equity</v>
      </c>
      <c r="J315" s="31"/>
    </row>
    <row r="316" spans="1:10" hidden="1" outlineLevel="1" x14ac:dyDescent="0.25">
      <c r="A316" s="739">
        <v>0.05</v>
      </c>
      <c r="B316" s="743" t="s">
        <v>1207</v>
      </c>
      <c r="C316" s="741">
        <v>4513</v>
      </c>
      <c r="D316" s="737">
        <f>VLOOKUP(H316,indexy!$C$44:$D$585,2,FALSE)</f>
        <v>12930</v>
      </c>
      <c r="E316" s="742">
        <f t="shared" si="3"/>
        <v>1.8650565034345226</v>
      </c>
      <c r="F316" s="946" t="s">
        <v>2024</v>
      </c>
      <c r="G316" s="97"/>
      <c r="H316" t="str">
        <f>VLOOKUP(B316,indexy!$A$44:$D$157,3,FALSE)</f>
        <v>6758 JT Equity</v>
      </c>
      <c r="J316" s="31"/>
    </row>
    <row r="317" spans="1:10" hidden="1" outlineLevel="1" x14ac:dyDescent="0.25">
      <c r="A317" s="739">
        <v>0.05</v>
      </c>
      <c r="B317" s="743" t="s">
        <v>3551</v>
      </c>
      <c r="C317" s="741">
        <v>3888</v>
      </c>
      <c r="D317" s="737">
        <f>VLOOKUP(H317,indexy!$C$44:$D$585,2,FALSE)</f>
        <v>3806</v>
      </c>
      <c r="E317" s="742">
        <f t="shared" si="3"/>
        <v>-2.1090534979423814E-2</v>
      </c>
      <c r="F317" s="946" t="s">
        <v>2024</v>
      </c>
      <c r="G317" s="97"/>
      <c r="H317" t="str">
        <f>VLOOKUP(B317,indexy!$A$44:$D$157,3,FALSE)</f>
        <v>7203 JT Equity</v>
      </c>
      <c r="J317" s="31"/>
    </row>
    <row r="318" spans="1:10" hidden="1" outlineLevel="1" x14ac:dyDescent="0.25">
      <c r="A318" s="762">
        <v>0.05</v>
      </c>
      <c r="B318" s="763" t="s">
        <v>4273</v>
      </c>
      <c r="C318" s="764">
        <v>232400</v>
      </c>
      <c r="D318" s="765">
        <f>VLOOKUP(H318,indexy!$C$44:$D$585,2,FALSE)</f>
        <v>3880</v>
      </c>
      <c r="E318" s="766"/>
      <c r="F318" s="1851" t="s">
        <v>2025</v>
      </c>
      <c r="G318" s="174"/>
      <c r="H318" t="str">
        <f>VLOOKUP(B318,indexy!$A$44:$D$157,3,FALSE)</f>
        <v>9437 JT Equity</v>
      </c>
      <c r="J318" s="31"/>
    </row>
    <row r="319" spans="1:10" hidden="1" outlineLevel="1" x14ac:dyDescent="0.25">
      <c r="A319" s="767"/>
      <c r="B319" s="750"/>
      <c r="C319" s="727"/>
      <c r="D319" s="768"/>
      <c r="E319" s="716"/>
      <c r="F319" s="770"/>
      <c r="G319" s="97"/>
      <c r="H319" s="417" t="s">
        <v>6670</v>
      </c>
      <c r="I319" s="417" t="s">
        <v>6674</v>
      </c>
      <c r="J319" s="31"/>
    </row>
    <row r="320" spans="1:10" hidden="1" outlineLevel="1" x14ac:dyDescent="0.25">
      <c r="A320" s="769" t="s">
        <v>1327</v>
      </c>
      <c r="B320" s="750"/>
      <c r="C320" s="727"/>
      <c r="D320" s="768"/>
      <c r="E320" s="750"/>
      <c r="F320" s="770">
        <v>3.9E-2</v>
      </c>
      <c r="G320" s="97"/>
      <c r="H320" s="478">
        <f>F320</f>
        <v>3.9E-2</v>
      </c>
      <c r="I320" s="519">
        <f>parametry!R22</f>
        <v>1.5</v>
      </c>
      <c r="J320" s="31"/>
    </row>
    <row r="321" spans="1:10" hidden="1" outlineLevel="1" x14ac:dyDescent="0.25">
      <c r="A321" s="769" t="s">
        <v>1328</v>
      </c>
      <c r="B321" s="750" t="s">
        <v>1326</v>
      </c>
      <c r="C321" s="727"/>
      <c r="D321" s="768"/>
      <c r="E321" s="750" t="s">
        <v>6672</v>
      </c>
      <c r="F321" s="770">
        <f>IF(E321="výnos dělen",F320/$I$320,IF(E321="výnos násoben",F320*I320,""))</f>
        <v>2.5999999999999999E-2</v>
      </c>
      <c r="G321" s="97"/>
      <c r="H321" s="478">
        <f>IF(F321="",H320*$I$8747,F321)</f>
        <v>2.5999999999999999E-2</v>
      </c>
      <c r="I321" s="81" t="s">
        <v>6672</v>
      </c>
      <c r="J321" s="31"/>
    </row>
    <row r="322" spans="1:10" hidden="1" outlineLevel="1" x14ac:dyDescent="0.25">
      <c r="A322" s="769" t="s">
        <v>1329</v>
      </c>
      <c r="B322" s="750" t="s">
        <v>1325</v>
      </c>
      <c r="C322" s="727"/>
      <c r="D322" s="768"/>
      <c r="E322" s="750" t="s">
        <v>6672</v>
      </c>
      <c r="F322" s="770">
        <f>IF(E322="výnos dělen",F321/$I$320,IF(E322="výnos násoben",F321*I321,""))</f>
        <v>1.7333333333333333E-2</v>
      </c>
      <c r="G322" s="97"/>
      <c r="H322" s="478">
        <f>IF(F322="",H321*$I$8747,F322)</f>
        <v>1.7333333333333333E-2</v>
      </c>
      <c r="I322" s="81" t="s">
        <v>6673</v>
      </c>
      <c r="J322" s="31"/>
    </row>
    <row r="323" spans="1:10" hidden="1" outlineLevel="1" x14ac:dyDescent="0.25">
      <c r="A323" s="769" t="s">
        <v>1330</v>
      </c>
      <c r="B323" s="750" t="s">
        <v>3131</v>
      </c>
      <c r="C323" s="727"/>
      <c r="D323" s="768"/>
      <c r="E323" s="750" t="s">
        <v>6672</v>
      </c>
      <c r="F323" s="770">
        <f>IF(E323="výnos dělen",F322/$I$320,IF(E323="výnos násoben",F322*I322,""))</f>
        <v>1.1555555555555555E-2</v>
      </c>
      <c r="G323" s="97"/>
      <c r="H323" s="478">
        <f>IF(F323="",H322*$I$8747,F323)</f>
        <v>1.1555555555555555E-2</v>
      </c>
      <c r="J323" s="31"/>
    </row>
    <row r="324" spans="1:10" hidden="1" outlineLevel="1" x14ac:dyDescent="0.25">
      <c r="A324" s="769" t="s">
        <v>1331</v>
      </c>
      <c r="B324" s="750" t="s">
        <v>4463</v>
      </c>
      <c r="C324" s="727"/>
      <c r="D324" s="727"/>
      <c r="E324" s="750" t="s">
        <v>6672</v>
      </c>
      <c r="F324" s="770">
        <f>IF(E324="výnos dělen",F323/$I$320,IF(E324="výnos násoben",F323*I323,""))</f>
        <v>7.7037037037037031E-3</v>
      </c>
      <c r="G324" s="97"/>
      <c r="H324" s="478">
        <f>IF(F324="",H323*$I$8747,F324)</f>
        <v>7.7037037037037031E-3</v>
      </c>
      <c r="J324" s="31"/>
    </row>
    <row r="325" spans="1:10" collapsed="1" x14ac:dyDescent="0.25">
      <c r="A325" s="3801" t="s">
        <v>3917</v>
      </c>
      <c r="B325" s="3802"/>
      <c r="C325" s="3802"/>
      <c r="D325" s="3802"/>
      <c r="E325" s="721" t="s">
        <v>2722</v>
      </c>
      <c r="F325" s="722">
        <f>SUM(F320:F324)</f>
        <v>0.1015925925925926</v>
      </c>
      <c r="G325" s="97" t="s">
        <v>781</v>
      </c>
      <c r="H325" s="517">
        <f>SUM(H320:H324)</f>
        <v>0.1015925925925926</v>
      </c>
      <c r="J325" s="31"/>
    </row>
    <row r="326" spans="1:10" x14ac:dyDescent="0.25">
      <c r="A326" s="19"/>
      <c r="B326" s="19"/>
      <c r="C326" s="19"/>
      <c r="D326" s="19"/>
      <c r="E326" s="20"/>
      <c r="F326" s="20"/>
      <c r="G326" s="19"/>
      <c r="J326" s="31"/>
    </row>
    <row r="327" spans="1:10" hidden="1" outlineLevel="1" x14ac:dyDescent="0.25">
      <c r="A327" s="689" t="s">
        <v>113</v>
      </c>
      <c r="B327" s="689" t="s">
        <v>114</v>
      </c>
      <c r="C327" s="689" t="s">
        <v>112</v>
      </c>
      <c r="D327" s="689" t="s">
        <v>116</v>
      </c>
      <c r="E327" s="689" t="s">
        <v>117</v>
      </c>
      <c r="F327" s="1188" t="s">
        <v>121</v>
      </c>
      <c r="G327" s="97"/>
      <c r="J327" s="31"/>
    </row>
    <row r="328" spans="1:10" hidden="1" outlineLevel="1" x14ac:dyDescent="0.25">
      <c r="A328" s="753" t="s">
        <v>3633</v>
      </c>
      <c r="B328" s="691" t="s">
        <v>115</v>
      </c>
      <c r="C328" s="692">
        <v>2851.39</v>
      </c>
      <c r="D328" s="692">
        <v>2986.5129999999999</v>
      </c>
      <c r="E328" s="3837">
        <f>(0.5*D328/C328+0.5*D329/C329)-1</f>
        <v>4.2128166272427325E-2</v>
      </c>
      <c r="F328" s="3839">
        <v>4.2099999999999999E-2</v>
      </c>
      <c r="G328" s="97"/>
      <c r="J328" s="31"/>
    </row>
    <row r="329" spans="1:10" hidden="1" outlineLevel="1" x14ac:dyDescent="0.25">
      <c r="A329" s="754" t="s">
        <v>3633</v>
      </c>
      <c r="B329" s="695" t="s">
        <v>760</v>
      </c>
      <c r="C329" s="727">
        <v>1125.75</v>
      </c>
      <c r="D329" s="727">
        <v>1167.2539999999999</v>
      </c>
      <c r="E329" s="3838"/>
      <c r="F329" s="3840"/>
      <c r="G329" s="97"/>
      <c r="J329" s="31"/>
    </row>
    <row r="330" spans="1:10" hidden="1" outlineLevel="1" x14ac:dyDescent="0.25">
      <c r="A330" s="753" t="s">
        <v>2286</v>
      </c>
      <c r="B330" s="691" t="s">
        <v>115</v>
      </c>
      <c r="C330" s="692">
        <v>2986.5129999999999</v>
      </c>
      <c r="D330" s="692">
        <v>3833.31</v>
      </c>
      <c r="E330" s="3837">
        <v>0.20480000000000001</v>
      </c>
      <c r="F330" s="3839">
        <v>6.25E-2</v>
      </c>
      <c r="G330" s="97"/>
      <c r="J330" s="31"/>
    </row>
    <row r="331" spans="1:10" hidden="1" outlineLevel="1" x14ac:dyDescent="0.25">
      <c r="A331" s="754" t="s">
        <v>2286</v>
      </c>
      <c r="B331" s="695" t="s">
        <v>760</v>
      </c>
      <c r="C331" s="727">
        <v>1167.2539999999999</v>
      </c>
      <c r="D331" s="727">
        <v>1313.4069999999999</v>
      </c>
      <c r="E331" s="3838"/>
      <c r="F331" s="3840"/>
      <c r="G331" s="97"/>
      <c r="J331" s="31"/>
    </row>
    <row r="332" spans="1:10" hidden="1" outlineLevel="1" x14ac:dyDescent="0.25">
      <c r="A332" s="753" t="s">
        <v>2287</v>
      </c>
      <c r="B332" s="691" t="s">
        <v>115</v>
      </c>
      <c r="C332" s="692">
        <v>3833.31</v>
      </c>
      <c r="D332" s="692">
        <v>4423.5739999999996</v>
      </c>
      <c r="E332" s="3837">
        <v>0.1492</v>
      </c>
      <c r="F332" s="3839">
        <v>6.25E-2</v>
      </c>
      <c r="G332" s="97"/>
      <c r="J332" s="31"/>
    </row>
    <row r="333" spans="1:10" hidden="1" outlineLevel="1" x14ac:dyDescent="0.25">
      <c r="A333" s="754" t="s">
        <v>2287</v>
      </c>
      <c r="B333" s="695" t="s">
        <v>760</v>
      </c>
      <c r="C333" s="727">
        <v>1313.4069999999999</v>
      </c>
      <c r="D333" s="727">
        <v>1502.048</v>
      </c>
      <c r="E333" s="3838"/>
      <c r="F333" s="3840"/>
      <c r="G333" s="97"/>
      <c r="H333" s="37"/>
      <c r="J333" s="31"/>
    </row>
    <row r="334" spans="1:10" hidden="1" outlineLevel="1" x14ac:dyDescent="0.25">
      <c r="A334" s="753" t="s">
        <v>2288</v>
      </c>
      <c r="B334" s="691" t="s">
        <v>115</v>
      </c>
      <c r="C334" s="692">
        <v>4423.5739999999996</v>
      </c>
      <c r="D334" s="692">
        <v>3289.7809999999999</v>
      </c>
      <c r="E334" s="3837">
        <v>-0.21690000000000001</v>
      </c>
      <c r="F334" s="3839">
        <v>-0.03</v>
      </c>
      <c r="G334" s="97"/>
      <c r="J334" s="31"/>
    </row>
    <row r="335" spans="1:10" hidden="1" outlineLevel="1" x14ac:dyDescent="0.25">
      <c r="A335" s="754" t="s">
        <v>2288</v>
      </c>
      <c r="B335" s="695" t="s">
        <v>760</v>
      </c>
      <c r="C335" s="727">
        <v>1502.048</v>
      </c>
      <c r="D335" s="727">
        <v>1244.9490000000001</v>
      </c>
      <c r="E335" s="3838"/>
      <c r="F335" s="3840"/>
      <c r="G335" s="97"/>
      <c r="J335" s="31"/>
    </row>
    <row r="336" spans="1:10" ht="14.25" customHeight="1" collapsed="1" x14ac:dyDescent="0.25">
      <c r="A336" s="3801" t="s">
        <v>3918</v>
      </c>
      <c r="B336" s="3802"/>
      <c r="C336" s="3802"/>
      <c r="D336" s="3802"/>
      <c r="E336" s="721" t="s">
        <v>2722</v>
      </c>
      <c r="F336" s="722">
        <f>SUM(F328:F335)</f>
        <v>0.1371</v>
      </c>
      <c r="G336" s="97" t="s">
        <v>781</v>
      </c>
      <c r="J336" s="31"/>
    </row>
    <row r="337" spans="1:17" x14ac:dyDescent="0.25">
      <c r="A337" s="19"/>
      <c r="B337" s="19"/>
      <c r="C337" s="19"/>
      <c r="D337" s="19"/>
      <c r="E337" s="20"/>
      <c r="F337" s="20"/>
      <c r="G337" s="19"/>
      <c r="J337" s="31"/>
    </row>
    <row r="338" spans="1:17" hidden="1" outlineLevel="1" x14ac:dyDescent="0.25">
      <c r="A338" s="689" t="s">
        <v>113</v>
      </c>
      <c r="B338" s="689" t="s">
        <v>114</v>
      </c>
      <c r="C338" s="689" t="s">
        <v>112</v>
      </c>
      <c r="D338" s="689" t="s">
        <v>116</v>
      </c>
      <c r="E338" s="689" t="s">
        <v>117</v>
      </c>
      <c r="F338" s="1188" t="s">
        <v>121</v>
      </c>
      <c r="G338" s="97"/>
      <c r="H338" s="505"/>
      <c r="J338" s="31"/>
    </row>
    <row r="339" spans="1:17" hidden="1" outlineLevel="1" x14ac:dyDescent="0.25">
      <c r="A339" s="690">
        <v>1</v>
      </c>
      <c r="B339" s="691" t="s">
        <v>252</v>
      </c>
      <c r="C339" s="692">
        <v>100</v>
      </c>
      <c r="D339" s="692"/>
      <c r="E339" s="693"/>
      <c r="F339" s="694"/>
      <c r="G339" s="97"/>
      <c r="J339" s="31"/>
    </row>
    <row r="340" spans="1:17" hidden="1" outlineLevel="1" x14ac:dyDescent="0.25">
      <c r="A340" s="695"/>
      <c r="B340" s="695"/>
      <c r="C340" s="696"/>
      <c r="D340" s="697"/>
      <c r="E340" s="771">
        <v>40298</v>
      </c>
      <c r="F340" s="699"/>
      <c r="G340" s="97"/>
      <c r="J340" s="31" t="s">
        <v>631</v>
      </c>
    </row>
    <row r="341" spans="1:17" hidden="1" outlineLevel="1" x14ac:dyDescent="0.25">
      <c r="A341" s="689" t="s">
        <v>4156</v>
      </c>
      <c r="B341" s="689" t="s">
        <v>4153</v>
      </c>
      <c r="C341" s="700" t="s">
        <v>112</v>
      </c>
      <c r="D341" s="689" t="s">
        <v>116</v>
      </c>
      <c r="E341" s="689" t="s">
        <v>4154</v>
      </c>
      <c r="F341" s="1021" t="s">
        <v>2519</v>
      </c>
      <c r="G341" s="97"/>
      <c r="J341" s="31"/>
    </row>
    <row r="342" spans="1:17" hidden="1" outlineLevel="1" x14ac:dyDescent="0.25">
      <c r="A342" s="734">
        <v>0.04</v>
      </c>
      <c r="B342" s="735" t="s">
        <v>1995</v>
      </c>
      <c r="C342" s="772">
        <v>41.243699999999997</v>
      </c>
      <c r="D342" s="737">
        <v>44.92</v>
      </c>
      <c r="E342" s="738">
        <v>8.9136037746371022E-2</v>
      </c>
      <c r="F342" s="1021">
        <v>3.565441509854841E-3</v>
      </c>
      <c r="G342" s="97"/>
      <c r="H342" t="s">
        <v>2739</v>
      </c>
      <c r="J342" s="268">
        <v>39934</v>
      </c>
      <c r="K342" s="12">
        <v>107.57729999999999</v>
      </c>
      <c r="L342" s="136">
        <v>7.5772999999999868E-2</v>
      </c>
      <c r="M342" s="114"/>
      <c r="N342" s="12"/>
      <c r="O342" s="12"/>
      <c r="P342" s="136"/>
      <c r="Q342" s="12"/>
    </row>
    <row r="343" spans="1:17" hidden="1" outlineLevel="1" x14ac:dyDescent="0.25">
      <c r="A343" s="739">
        <v>0.05</v>
      </c>
      <c r="B343" s="740" t="s">
        <v>1993</v>
      </c>
      <c r="C343" s="773">
        <v>41.87</v>
      </c>
      <c r="D343" s="737">
        <v>70.27</v>
      </c>
      <c r="E343" s="742">
        <v>0.67828994506806795</v>
      </c>
      <c r="F343" s="946">
        <v>3.3914497253403397E-2</v>
      </c>
      <c r="G343" s="97"/>
      <c r="H343" t="s">
        <v>2812</v>
      </c>
      <c r="I343" s="39" t="s">
        <v>3533</v>
      </c>
      <c r="J343" s="268">
        <v>39965</v>
      </c>
      <c r="K343" s="12">
        <v>107.68770000000001</v>
      </c>
      <c r="L343" s="136">
        <v>7.6877000000000084E-2</v>
      </c>
      <c r="M343" s="114"/>
      <c r="N343" s="12"/>
      <c r="O343" s="12"/>
      <c r="P343" s="136"/>
      <c r="Q343" s="12"/>
    </row>
    <row r="344" spans="1:17" hidden="1" outlineLevel="1" x14ac:dyDescent="0.25">
      <c r="A344" s="739">
        <v>0.05</v>
      </c>
      <c r="B344" s="740" t="s">
        <v>872</v>
      </c>
      <c r="C344" s="773">
        <v>214.18</v>
      </c>
      <c r="D344" s="737">
        <v>344.4</v>
      </c>
      <c r="E344" s="742">
        <v>0.6079932766831635</v>
      </c>
      <c r="F344" s="946">
        <v>3.0399663834158177E-2</v>
      </c>
      <c r="G344" s="97"/>
      <c r="H344" t="s">
        <v>4312</v>
      </c>
      <c r="J344" s="268">
        <v>39995</v>
      </c>
      <c r="K344" s="12">
        <v>114.20059999999999</v>
      </c>
      <c r="L344" s="136">
        <v>0.14200599999999985</v>
      </c>
      <c r="M344" s="267"/>
      <c r="N344" s="12"/>
      <c r="O344" s="12"/>
      <c r="P344" s="136"/>
      <c r="Q344" s="12"/>
    </row>
    <row r="345" spans="1:17" hidden="1" outlineLevel="1" x14ac:dyDescent="0.25">
      <c r="A345" s="739">
        <v>0.04</v>
      </c>
      <c r="B345" s="740" t="s">
        <v>157</v>
      </c>
      <c r="C345" s="773">
        <v>6.42</v>
      </c>
      <c r="D345" s="737">
        <v>9.5500000000000007</v>
      </c>
      <c r="E345" s="742">
        <v>0.48753894080996907</v>
      </c>
      <c r="F345" s="946">
        <v>1.9501557632398765E-2</v>
      </c>
      <c r="G345" s="97"/>
      <c r="H345" t="s">
        <v>730</v>
      </c>
      <c r="J345" s="268">
        <v>40026</v>
      </c>
      <c r="K345" s="12">
        <v>117.7342</v>
      </c>
      <c r="L345" s="136">
        <v>0.17734200000000011</v>
      </c>
      <c r="M345" s="114"/>
      <c r="N345" s="12"/>
      <c r="O345" s="12"/>
      <c r="P345" s="136"/>
      <c r="Q345" s="12"/>
    </row>
    <row r="346" spans="1:17" hidden="1" outlineLevel="1" x14ac:dyDescent="0.25">
      <c r="A346" s="739">
        <v>0.04</v>
      </c>
      <c r="B346" s="740" t="s">
        <v>1994</v>
      </c>
      <c r="C346" s="773">
        <v>40.475000000000001</v>
      </c>
      <c r="D346" s="737">
        <v>17.829999999999998</v>
      </c>
      <c r="E346" s="742">
        <v>-0.55948116121062386</v>
      </c>
      <c r="F346" s="946">
        <v>-2.2379246448424955E-2</v>
      </c>
      <c r="G346" s="97"/>
      <c r="H346" t="s">
        <v>3493</v>
      </c>
      <c r="I346" s="106"/>
      <c r="J346" s="268">
        <v>40057</v>
      </c>
      <c r="K346" s="12">
        <v>121.279</v>
      </c>
      <c r="L346" s="136">
        <v>0.21279000000000003</v>
      </c>
      <c r="M346" s="114"/>
      <c r="N346" s="12"/>
      <c r="O346" s="12"/>
      <c r="P346" s="136"/>
      <c r="Q346" s="12"/>
    </row>
    <row r="347" spans="1:17" hidden="1" outlineLevel="1" x14ac:dyDescent="0.25">
      <c r="A347" s="739">
        <v>0.03</v>
      </c>
      <c r="B347" s="740" t="s">
        <v>873</v>
      </c>
      <c r="C347" s="773">
        <v>494.88</v>
      </c>
      <c r="D347" s="737">
        <v>338.25</v>
      </c>
      <c r="E347" s="742">
        <v>-0.31650096993210475</v>
      </c>
      <c r="F347" s="946">
        <v>-9.4950290979631414E-3</v>
      </c>
      <c r="G347" s="97"/>
      <c r="H347" t="s">
        <v>3495</v>
      </c>
      <c r="J347" s="268">
        <v>40087</v>
      </c>
      <c r="K347" s="12">
        <v>119.26730000000001</v>
      </c>
      <c r="L347" s="136">
        <v>0.19267300000000009</v>
      </c>
      <c r="M347" s="267"/>
      <c r="N347" s="12"/>
      <c r="O347" s="12"/>
      <c r="P347" s="136"/>
      <c r="Q347" s="12"/>
    </row>
    <row r="348" spans="1:17" hidden="1" outlineLevel="1" x14ac:dyDescent="0.25">
      <c r="A348" s="739">
        <v>0.03</v>
      </c>
      <c r="B348" s="740" t="s">
        <v>901</v>
      </c>
      <c r="C348" s="773">
        <v>855.3</v>
      </c>
      <c r="D348" s="737">
        <v>2054</v>
      </c>
      <c r="E348" s="742">
        <v>1.4014965509178068</v>
      </c>
      <c r="F348" s="946">
        <v>4.2044896527534202E-2</v>
      </c>
      <c r="G348" s="97"/>
      <c r="H348" t="s">
        <v>531</v>
      </c>
      <c r="J348" s="268">
        <v>40118</v>
      </c>
      <c r="K348" s="12">
        <v>122.48990000000001</v>
      </c>
      <c r="L348" s="136">
        <v>0.22489899999999996</v>
      </c>
      <c r="M348" s="267"/>
      <c r="N348" s="12"/>
      <c r="O348" s="12"/>
      <c r="P348" s="136"/>
      <c r="Q348" s="12"/>
    </row>
    <row r="349" spans="1:17" hidden="1" outlineLevel="1" x14ac:dyDescent="0.25">
      <c r="A349" s="739">
        <v>0.03</v>
      </c>
      <c r="B349" s="740" t="s">
        <v>3020</v>
      </c>
      <c r="C349" s="773">
        <v>20.79</v>
      </c>
      <c r="D349" s="737">
        <v>48.075000000000003</v>
      </c>
      <c r="E349" s="742">
        <v>1.3124098124098125</v>
      </c>
      <c r="F349" s="946">
        <v>3.9372294372294371E-2</v>
      </c>
      <c r="G349" s="97"/>
      <c r="H349" t="s">
        <v>490</v>
      </c>
      <c r="J349" s="268">
        <v>40148</v>
      </c>
      <c r="K349" s="12">
        <v>127.02460000000001</v>
      </c>
      <c r="L349" s="136">
        <v>0.27024599999999999</v>
      </c>
      <c r="M349" s="114"/>
      <c r="N349" s="12"/>
      <c r="O349" s="12"/>
      <c r="P349" s="136"/>
      <c r="Q349" s="12"/>
    </row>
    <row r="350" spans="1:17" hidden="1" outlineLevel="1" x14ac:dyDescent="0.25">
      <c r="A350" s="739">
        <v>0.02</v>
      </c>
      <c r="B350" s="740" t="s">
        <v>3019</v>
      </c>
      <c r="C350" s="773">
        <v>49.51</v>
      </c>
      <c r="D350" s="737">
        <v>52.13</v>
      </c>
      <c r="E350" s="742">
        <v>5.2918602302565176E-2</v>
      </c>
      <c r="F350" s="946">
        <v>1.0583720460513035E-3</v>
      </c>
      <c r="G350" s="97"/>
      <c r="H350" t="s">
        <v>2745</v>
      </c>
      <c r="J350" s="268">
        <v>40179</v>
      </c>
      <c r="K350" s="12">
        <v>121.6347</v>
      </c>
      <c r="L350" s="136">
        <v>0.21634699999999984</v>
      </c>
      <c r="M350" s="114"/>
      <c r="N350" s="12"/>
      <c r="O350" s="12"/>
      <c r="P350" s="136"/>
      <c r="Q350" s="12"/>
    </row>
    <row r="351" spans="1:17" s="39" customFormat="1" hidden="1" outlineLevel="1" x14ac:dyDescent="0.25">
      <c r="A351" s="739">
        <v>0.03</v>
      </c>
      <c r="B351" s="743" t="s">
        <v>3405</v>
      </c>
      <c r="C351" s="773">
        <v>39.393000000000001</v>
      </c>
      <c r="D351" s="737">
        <v>36.840000000000003</v>
      </c>
      <c r="E351" s="742">
        <v>-6.4808468509633621E-2</v>
      </c>
      <c r="F351" s="946">
        <v>-1.9442540552890085E-3</v>
      </c>
      <c r="G351" s="97"/>
      <c r="H351" t="s">
        <v>2747</v>
      </c>
      <c r="J351" s="268">
        <v>40210</v>
      </c>
      <c r="K351" s="12">
        <v>123.19240000000001</v>
      </c>
      <c r="L351" s="136">
        <v>0.23192400000000002</v>
      </c>
      <c r="M351" s="114"/>
      <c r="N351" s="12"/>
      <c r="O351" s="12"/>
      <c r="P351" s="136"/>
      <c r="Q351" s="12"/>
    </row>
    <row r="352" spans="1:17" s="39" customFormat="1" hidden="1" outlineLevel="1" x14ac:dyDescent="0.25">
      <c r="A352" s="739">
        <v>0.03</v>
      </c>
      <c r="B352" s="743" t="s">
        <v>51</v>
      </c>
      <c r="C352" s="773">
        <v>39.090000000000003</v>
      </c>
      <c r="D352" s="737">
        <v>37.414999999999999</v>
      </c>
      <c r="E352" s="742">
        <v>-4.2849833717063301E-2</v>
      </c>
      <c r="F352" s="946">
        <v>-1.2854950115118991E-3</v>
      </c>
      <c r="G352" s="97"/>
      <c r="H352" t="s">
        <v>2748</v>
      </c>
      <c r="J352" s="268">
        <v>40238</v>
      </c>
      <c r="K352" s="12">
        <v>126.7256</v>
      </c>
      <c r="L352" s="136">
        <v>0.26725599999999994</v>
      </c>
      <c r="M352" s="114"/>
      <c r="N352" s="12"/>
      <c r="O352" s="12"/>
      <c r="P352" s="136"/>
      <c r="Q352" s="12"/>
    </row>
    <row r="353" spans="1:17" s="39" customFormat="1" hidden="1" outlineLevel="1" x14ac:dyDescent="0.25">
      <c r="A353" s="739">
        <v>0.02</v>
      </c>
      <c r="B353" s="743" t="s">
        <v>53</v>
      </c>
      <c r="C353" s="773">
        <v>33.42</v>
      </c>
      <c r="D353" s="737">
        <v>44.38</v>
      </c>
      <c r="E353" s="742">
        <v>0.32794733692399758</v>
      </c>
      <c r="F353" s="946">
        <v>6.5589467384799521E-3</v>
      </c>
      <c r="G353" s="97"/>
      <c r="H353" t="s">
        <v>2751</v>
      </c>
      <c r="J353" s="268">
        <v>40269</v>
      </c>
      <c r="K353" s="12">
        <v>123.8447</v>
      </c>
      <c r="L353" s="136">
        <v>0.23844700000000008</v>
      </c>
      <c r="M353" s="114"/>
      <c r="N353" s="12"/>
      <c r="O353" s="12"/>
      <c r="P353" s="136"/>
      <c r="Q353" s="12"/>
    </row>
    <row r="354" spans="1:17" s="39" customFormat="1" hidden="1" outlineLevel="1" x14ac:dyDescent="0.25">
      <c r="A354" s="739">
        <v>0.04</v>
      </c>
      <c r="B354" s="740" t="s">
        <v>3016</v>
      </c>
      <c r="C354" s="773">
        <v>41.22</v>
      </c>
      <c r="D354" s="737">
        <v>62.29</v>
      </c>
      <c r="E354" s="742">
        <v>0.51115963124696751</v>
      </c>
      <c r="F354" s="946">
        <v>2.0446385249878702E-2</v>
      </c>
      <c r="G354" s="97"/>
      <c r="H354" t="s">
        <v>2752</v>
      </c>
      <c r="J354" s="270" t="s">
        <v>2465</v>
      </c>
      <c r="K354" s="12"/>
      <c r="L354" s="269">
        <v>0.19388166666666665</v>
      </c>
      <c r="M354" s="114"/>
      <c r="N354" s="12"/>
      <c r="O354" s="12"/>
      <c r="P354" s="136"/>
      <c r="Q354" s="12"/>
    </row>
    <row r="355" spans="1:17" s="39" customFormat="1" hidden="1" outlineLevel="1" x14ac:dyDescent="0.25">
      <c r="A355" s="739">
        <v>0.02</v>
      </c>
      <c r="B355" s="740" t="s">
        <v>3017</v>
      </c>
      <c r="C355" s="773">
        <v>13.992000000000001</v>
      </c>
      <c r="D355" s="737">
        <v>4.1130000000000004</v>
      </c>
      <c r="E355" s="742">
        <v>-0.70604631217838765</v>
      </c>
      <c r="F355" s="946">
        <v>-1.4120926243567753E-2</v>
      </c>
      <c r="G355" s="97"/>
      <c r="H355" t="s">
        <v>1793</v>
      </c>
      <c r="J355" s="268"/>
      <c r="K355" s="12"/>
      <c r="L355" s="266"/>
      <c r="M355" s="114"/>
      <c r="N355" s="12"/>
      <c r="O355" s="12"/>
      <c r="P355" s="136"/>
      <c r="Q355" s="12"/>
    </row>
    <row r="356" spans="1:17" s="39" customFormat="1" hidden="1" outlineLevel="1" x14ac:dyDescent="0.25">
      <c r="A356" s="739">
        <v>0.02</v>
      </c>
      <c r="B356" s="743" t="s">
        <v>4387</v>
      </c>
      <c r="C356" s="773">
        <v>18.16</v>
      </c>
      <c r="D356" s="737">
        <v>27.76</v>
      </c>
      <c r="E356" s="742">
        <v>0.52863436123348029</v>
      </c>
      <c r="F356" s="946">
        <v>1.0572687224669607E-2</v>
      </c>
      <c r="G356" s="97"/>
      <c r="H356" t="s">
        <v>3744</v>
      </c>
      <c r="J356" s="268"/>
      <c r="K356" s="12"/>
      <c r="L356" s="266"/>
      <c r="M356" s="114"/>
      <c r="N356" s="12"/>
      <c r="O356" s="12"/>
      <c r="P356" s="136"/>
      <c r="Q356" s="12"/>
    </row>
    <row r="357" spans="1:17" s="39" customFormat="1" hidden="1" outlineLevel="1" x14ac:dyDescent="0.25">
      <c r="A357" s="739">
        <v>0.04</v>
      </c>
      <c r="B357" s="740" t="s">
        <v>3798</v>
      </c>
      <c r="C357" s="773">
        <v>3.12</v>
      </c>
      <c r="D357" s="737">
        <v>3.9525000000000001</v>
      </c>
      <c r="E357" s="742">
        <v>0.26682692307692313</v>
      </c>
      <c r="F357" s="946">
        <v>1.0673076923076926E-2</v>
      </c>
      <c r="G357" s="97"/>
      <c r="H357" t="s">
        <v>4122</v>
      </c>
      <c r="J357" s="268"/>
      <c r="K357" s="12"/>
      <c r="L357" s="266"/>
      <c r="M357" s="114"/>
      <c r="N357" s="12"/>
      <c r="O357" s="12"/>
      <c r="P357" s="136"/>
      <c r="Q357" s="12"/>
    </row>
    <row r="358" spans="1:17" s="39" customFormat="1" hidden="1" outlineLevel="1" x14ac:dyDescent="0.25">
      <c r="A358" s="739">
        <v>0.03</v>
      </c>
      <c r="B358" s="740" t="s">
        <v>3021</v>
      </c>
      <c r="C358" s="773">
        <v>17.228000000000002</v>
      </c>
      <c r="D358" s="737">
        <v>16.86</v>
      </c>
      <c r="E358" s="742">
        <v>-2.1360575806826265E-2</v>
      </c>
      <c r="F358" s="946">
        <v>-6.408172742047879E-4</v>
      </c>
      <c r="G358" s="97"/>
      <c r="H358" t="s">
        <v>4124</v>
      </c>
      <c r="J358" s="268"/>
      <c r="K358" s="12"/>
      <c r="L358" s="266"/>
      <c r="M358" s="114"/>
      <c r="N358" s="12"/>
      <c r="O358" s="12"/>
      <c r="P358" s="136"/>
      <c r="Q358" s="12"/>
    </row>
    <row r="359" spans="1:17" s="39" customFormat="1" hidden="1" outlineLevel="1" x14ac:dyDescent="0.25">
      <c r="A359" s="739">
        <v>0.03</v>
      </c>
      <c r="B359" s="740" t="s">
        <v>3425</v>
      </c>
      <c r="C359" s="773">
        <v>43.06</v>
      </c>
      <c r="D359" s="737">
        <v>67.849999999999994</v>
      </c>
      <c r="E359" s="742">
        <v>0.57570831398049216</v>
      </c>
      <c r="F359" s="946">
        <v>1.7271249419414766E-2</v>
      </c>
      <c r="G359" s="97"/>
      <c r="H359" t="s">
        <v>4126</v>
      </c>
      <c r="J359" s="268"/>
      <c r="K359" s="12"/>
      <c r="L359" s="266"/>
      <c r="M359" s="114"/>
      <c r="N359" s="12"/>
      <c r="O359" s="12"/>
      <c r="P359" s="136"/>
      <c r="Q359" s="12"/>
    </row>
    <row r="360" spans="1:17" s="39" customFormat="1" hidden="1" outlineLevel="1" x14ac:dyDescent="0.25">
      <c r="A360" s="739">
        <v>0.05</v>
      </c>
      <c r="B360" s="740" t="s">
        <v>44</v>
      </c>
      <c r="C360" s="773">
        <v>2.75</v>
      </c>
      <c r="D360" s="737">
        <v>2.4975000000000001</v>
      </c>
      <c r="E360" s="742">
        <v>-9.1818181818181799E-2</v>
      </c>
      <c r="F360" s="946">
        <v>-4.5909090909090899E-3</v>
      </c>
      <c r="G360" s="97"/>
      <c r="H360" t="s">
        <v>204</v>
      </c>
      <c r="J360" s="268"/>
      <c r="K360" s="12"/>
      <c r="L360" s="266"/>
      <c r="M360" s="114"/>
      <c r="N360" s="12"/>
      <c r="O360" s="12"/>
      <c r="P360" s="136"/>
      <c r="Q360" s="12"/>
    </row>
    <row r="361" spans="1:17" s="39" customFormat="1" hidden="1" outlineLevel="1" x14ac:dyDescent="0.25">
      <c r="A361" s="739">
        <v>0.03</v>
      </c>
      <c r="B361" s="740" t="s">
        <v>3426</v>
      </c>
      <c r="C361" s="773">
        <v>53.963999999999999</v>
      </c>
      <c r="D361" s="737">
        <v>64.3</v>
      </c>
      <c r="E361" s="742">
        <v>0.19153509747238906</v>
      </c>
      <c r="F361" s="946">
        <v>5.7460529241716712E-3</v>
      </c>
      <c r="G361" s="97"/>
      <c r="H361" t="s">
        <v>4145</v>
      </c>
      <c r="J361" s="268"/>
      <c r="K361" s="12"/>
      <c r="L361" s="266"/>
      <c r="M361" s="114"/>
      <c r="N361" s="12"/>
      <c r="O361" s="12"/>
      <c r="P361" s="136"/>
      <c r="Q361" s="12"/>
    </row>
    <row r="362" spans="1:17" s="39" customFormat="1" hidden="1" outlineLevel="1" x14ac:dyDescent="0.25">
      <c r="A362" s="739">
        <v>0.02</v>
      </c>
      <c r="B362" s="740" t="s">
        <v>874</v>
      </c>
      <c r="C362" s="773">
        <v>287.43</v>
      </c>
      <c r="D362" s="737">
        <v>250</v>
      </c>
      <c r="E362" s="742">
        <v>-0.13022301082002574</v>
      </c>
      <c r="F362" s="946">
        <v>-2.604460216400515E-3</v>
      </c>
      <c r="G362" s="97"/>
      <c r="H362" t="s">
        <v>4148</v>
      </c>
      <c r="J362" s="268"/>
      <c r="K362" s="12"/>
      <c r="L362" s="266"/>
      <c r="M362" s="267"/>
      <c r="N362" s="12"/>
      <c r="O362" s="12"/>
      <c r="P362" s="136"/>
      <c r="Q362" s="12"/>
    </row>
    <row r="363" spans="1:17" s="39" customFormat="1" hidden="1" outlineLevel="1" x14ac:dyDescent="0.25">
      <c r="A363" s="739">
        <v>0.05</v>
      </c>
      <c r="B363" s="740" t="s">
        <v>2786</v>
      </c>
      <c r="C363" s="773">
        <v>431.29</v>
      </c>
      <c r="D363" s="737">
        <v>629</v>
      </c>
      <c r="E363" s="742">
        <v>0.45841545132045725</v>
      </c>
      <c r="F363" s="946">
        <v>2.2920772566022863E-2</v>
      </c>
      <c r="G363" s="97"/>
      <c r="H363" t="s">
        <v>4195</v>
      </c>
      <c r="J363" s="268"/>
      <c r="K363" s="12"/>
      <c r="L363" s="266"/>
      <c r="M363" s="267"/>
      <c r="N363" s="12"/>
      <c r="O363" s="12"/>
      <c r="P363" s="136"/>
      <c r="Q363" s="12"/>
    </row>
    <row r="364" spans="1:17" s="39" customFormat="1" hidden="1" outlineLevel="1" x14ac:dyDescent="0.25">
      <c r="A364" s="739">
        <v>0.03</v>
      </c>
      <c r="B364" s="743" t="s">
        <v>1203</v>
      </c>
      <c r="C364" s="773">
        <v>42.07</v>
      </c>
      <c r="D364" s="737">
        <v>71.2</v>
      </c>
      <c r="E364" s="742">
        <v>0.69241739957214166</v>
      </c>
      <c r="F364" s="946">
        <v>2.0772521987164248E-2</v>
      </c>
      <c r="G364" s="97"/>
      <c r="H364" t="s">
        <v>79</v>
      </c>
      <c r="J364" s="268"/>
      <c r="K364" s="12"/>
      <c r="L364" s="266"/>
      <c r="M364" s="114"/>
      <c r="N364" s="12"/>
      <c r="O364" s="12"/>
      <c r="P364" s="136"/>
      <c r="Q364" s="12"/>
    </row>
    <row r="365" spans="1:17" s="39" customFormat="1" hidden="1" outlineLevel="1" x14ac:dyDescent="0.25">
      <c r="A365" s="739">
        <v>0.03</v>
      </c>
      <c r="B365" s="740" t="s">
        <v>2787</v>
      </c>
      <c r="C365" s="773">
        <v>57.24</v>
      </c>
      <c r="D365" s="737">
        <v>55.05</v>
      </c>
      <c r="E365" s="742">
        <v>-3.825995807127891E-2</v>
      </c>
      <c r="F365" s="946">
        <v>-1.1477987421383673E-3</v>
      </c>
      <c r="G365" s="97"/>
      <c r="H365" t="s">
        <v>80</v>
      </c>
      <c r="J365" s="268"/>
      <c r="K365" s="12"/>
      <c r="L365" s="266"/>
      <c r="M365" s="114"/>
      <c r="N365" s="12"/>
      <c r="O365" s="12"/>
      <c r="P365" s="136"/>
      <c r="Q365" s="12"/>
    </row>
    <row r="366" spans="1:17" s="39" customFormat="1" hidden="1" outlineLevel="1" x14ac:dyDescent="0.25">
      <c r="A366" s="739">
        <v>0.03</v>
      </c>
      <c r="B366" s="743" t="s">
        <v>1204</v>
      </c>
      <c r="C366" s="773">
        <v>54.540999999999997</v>
      </c>
      <c r="D366" s="737">
        <v>65.22</v>
      </c>
      <c r="E366" s="742">
        <v>0.19579765680863948</v>
      </c>
      <c r="F366" s="946">
        <v>5.8739297042591839E-3</v>
      </c>
      <c r="G366" s="97"/>
      <c r="H366" t="s">
        <v>2427</v>
      </c>
      <c r="J366" s="12"/>
      <c r="K366" s="12"/>
      <c r="L366" s="266"/>
      <c r="M366" s="114"/>
      <c r="N366" s="12"/>
      <c r="O366" s="12"/>
      <c r="P366" s="136"/>
      <c r="Q366" s="12"/>
    </row>
    <row r="367" spans="1:17" s="39" customFormat="1" hidden="1" outlineLevel="1" x14ac:dyDescent="0.25">
      <c r="A367" s="739">
        <v>0.03</v>
      </c>
      <c r="B367" s="743" t="s">
        <v>1414</v>
      </c>
      <c r="C367" s="773">
        <v>36.265999999999998</v>
      </c>
      <c r="D367" s="737">
        <v>16.72</v>
      </c>
      <c r="E367" s="742">
        <v>-0.53896211327414112</v>
      </c>
      <c r="F367" s="946">
        <v>-1.6168863398224233E-2</v>
      </c>
      <c r="G367" s="97"/>
      <c r="H367" t="s">
        <v>2428</v>
      </c>
      <c r="J367" s="12"/>
      <c r="K367" s="12"/>
      <c r="L367" s="266"/>
      <c r="M367" s="114"/>
      <c r="N367" s="12"/>
      <c r="O367" s="12"/>
      <c r="P367" s="136"/>
      <c r="Q367" s="12"/>
    </row>
    <row r="368" spans="1:17" s="39" customFormat="1" hidden="1" outlineLevel="1" x14ac:dyDescent="0.25">
      <c r="A368" s="739">
        <v>0.05</v>
      </c>
      <c r="B368" s="740" t="s">
        <v>3427</v>
      </c>
      <c r="C368" s="773">
        <v>29.071999999999999</v>
      </c>
      <c r="D368" s="737">
        <v>37.414999999999999</v>
      </c>
      <c r="E368" s="742">
        <v>0.28697716015410024</v>
      </c>
      <c r="F368" s="946">
        <v>1.4348858007705013E-2</v>
      </c>
      <c r="G368" s="97"/>
      <c r="H368" t="s">
        <v>2800</v>
      </c>
      <c r="J368" s="12"/>
      <c r="K368" s="12"/>
      <c r="L368" s="266"/>
      <c r="M368" s="114"/>
      <c r="N368" s="12"/>
      <c r="O368" s="12"/>
      <c r="P368" s="136"/>
      <c r="Q368" s="12"/>
    </row>
    <row r="369" spans="1:17" s="39" customFormat="1" hidden="1" outlineLevel="1" x14ac:dyDescent="0.25">
      <c r="A369" s="739">
        <v>0.02</v>
      </c>
      <c r="B369" s="740" t="s">
        <v>3022</v>
      </c>
      <c r="C369" s="773">
        <v>4500</v>
      </c>
      <c r="D369" s="737">
        <v>4050</v>
      </c>
      <c r="E369" s="742">
        <v>-9.9999999999999978E-2</v>
      </c>
      <c r="F369" s="946">
        <v>-1.9999999999999996E-3</v>
      </c>
      <c r="G369" s="97"/>
      <c r="H369" t="s">
        <v>2802</v>
      </c>
      <c r="J369" s="12"/>
      <c r="K369" s="12"/>
      <c r="L369" s="266"/>
      <c r="M369" s="114"/>
      <c r="N369" s="12"/>
      <c r="O369" s="12"/>
      <c r="P369" s="136"/>
      <c r="Q369" s="12"/>
    </row>
    <row r="370" spans="1:17" hidden="1" outlineLevel="1" x14ac:dyDescent="0.25">
      <c r="A370" s="739">
        <v>0.04</v>
      </c>
      <c r="B370" s="743" t="s">
        <v>507</v>
      </c>
      <c r="C370" s="773">
        <v>18.920000000000002</v>
      </c>
      <c r="D370" s="737">
        <v>22.99</v>
      </c>
      <c r="E370" s="742">
        <v>0.21511627906976716</v>
      </c>
      <c r="F370" s="946">
        <v>8.6046511627906868E-3</v>
      </c>
      <c r="G370" s="97"/>
      <c r="H370" t="s">
        <v>2810</v>
      </c>
      <c r="J370" s="12"/>
      <c r="K370" s="12"/>
      <c r="L370" s="266"/>
      <c r="M370" s="114"/>
      <c r="N370" s="12"/>
      <c r="O370" s="12"/>
      <c r="P370" s="136"/>
      <c r="Q370" s="12"/>
    </row>
    <row r="371" spans="1:17" hidden="1" outlineLevel="1" x14ac:dyDescent="0.25">
      <c r="A371" s="745">
        <v>0.03</v>
      </c>
      <c r="B371" s="746" t="s">
        <v>255</v>
      </c>
      <c r="C371" s="774">
        <v>36.14</v>
      </c>
      <c r="D371" s="715">
        <v>28.89</v>
      </c>
      <c r="E371" s="748">
        <v>-0.20060874377421145</v>
      </c>
      <c r="F371" s="1023">
        <v>-6.0182623132263432E-3</v>
      </c>
      <c r="G371" s="97"/>
      <c r="H371" t="s">
        <v>3351</v>
      </c>
      <c r="J371" s="12"/>
      <c r="K371" s="12"/>
      <c r="L371" s="266"/>
      <c r="M371" s="114"/>
      <c r="N371" s="12"/>
      <c r="O371" s="12"/>
      <c r="P371" s="136"/>
      <c r="Q371" s="12"/>
    </row>
    <row r="372" spans="1:17" hidden="1" outlineLevel="1" x14ac:dyDescent="0.25">
      <c r="A372" s="749"/>
      <c r="B372" s="750"/>
      <c r="C372" s="727"/>
      <c r="D372" s="727"/>
      <c r="E372" s="716"/>
      <c r="F372" s="770">
        <v>0.23124979319146863</v>
      </c>
      <c r="G372" s="97"/>
      <c r="J372" s="12"/>
      <c r="K372" s="12"/>
      <c r="L372" s="12"/>
      <c r="M372" s="12"/>
      <c r="N372" s="12"/>
      <c r="O372" s="12"/>
      <c r="P372" s="12"/>
      <c r="Q372" s="12"/>
    </row>
    <row r="373" spans="1:17" collapsed="1" x14ac:dyDescent="0.25">
      <c r="A373" s="3801" t="s">
        <v>3489</v>
      </c>
      <c r="B373" s="3802"/>
      <c r="C373" s="3802"/>
      <c r="D373" s="3802"/>
      <c r="E373" s="721" t="s">
        <v>2722</v>
      </c>
      <c r="F373" s="722">
        <v>0.19388166666666665</v>
      </c>
      <c r="G373" s="97" t="s">
        <v>781</v>
      </c>
      <c r="J373" s="114"/>
      <c r="K373" s="12"/>
      <c r="L373" s="12"/>
      <c r="M373" s="12"/>
      <c r="N373" s="12"/>
      <c r="O373" s="12"/>
      <c r="P373" s="12"/>
      <c r="Q373" s="12"/>
    </row>
    <row r="374" spans="1:17" x14ac:dyDescent="0.25">
      <c r="A374" s="19"/>
      <c r="B374" s="19"/>
      <c r="C374" s="19"/>
      <c r="D374" s="19"/>
      <c r="E374" s="20"/>
      <c r="F374" s="20"/>
      <c r="G374" s="19"/>
      <c r="J374" s="114"/>
      <c r="K374" s="12"/>
      <c r="L374" s="12"/>
      <c r="M374" s="12"/>
      <c r="N374" s="12"/>
      <c r="O374" s="12"/>
      <c r="P374" s="12"/>
      <c r="Q374" s="12"/>
    </row>
    <row r="375" spans="1:17" hidden="1" outlineLevel="1" x14ac:dyDescent="0.25">
      <c r="A375" s="689" t="s">
        <v>113</v>
      </c>
      <c r="B375" s="689" t="s">
        <v>114</v>
      </c>
      <c r="C375" s="689" t="s">
        <v>112</v>
      </c>
      <c r="D375" s="689" t="s">
        <v>116</v>
      </c>
      <c r="E375" s="689" t="s">
        <v>117</v>
      </c>
      <c r="F375" s="1188" t="s">
        <v>121</v>
      </c>
      <c r="G375" s="97"/>
      <c r="J375" s="114"/>
      <c r="K375" s="12"/>
      <c r="L375" s="12"/>
      <c r="M375" s="12"/>
      <c r="N375" s="12"/>
      <c r="O375" s="12"/>
      <c r="P375" s="12"/>
      <c r="Q375" s="12"/>
    </row>
    <row r="376" spans="1:17" hidden="1" outlineLevel="1" x14ac:dyDescent="0.25">
      <c r="A376" s="753" t="s">
        <v>2289</v>
      </c>
      <c r="B376" s="691" t="s">
        <v>115</v>
      </c>
      <c r="C376" s="692">
        <v>2715.8470000000002</v>
      </c>
      <c r="D376" s="692">
        <v>3132.0259999999998</v>
      </c>
      <c r="E376" s="3837">
        <f>(0.5*D376/C376+0.5*D377/C377)-1</f>
        <v>0.11943968931687321</v>
      </c>
      <c r="F376" s="3839">
        <v>0.06</v>
      </c>
      <c r="G376" s="97"/>
      <c r="J376" s="114"/>
      <c r="K376" s="12"/>
      <c r="L376" s="12"/>
      <c r="M376" s="12"/>
      <c r="N376" s="12"/>
      <c r="O376" s="12"/>
      <c r="P376" s="12"/>
      <c r="Q376" s="12"/>
    </row>
    <row r="377" spans="1:17" hidden="1" outlineLevel="1" x14ac:dyDescent="0.25">
      <c r="A377" s="754" t="s">
        <v>2289</v>
      </c>
      <c r="B377" s="695" t="s">
        <v>760</v>
      </c>
      <c r="C377" s="727">
        <v>1104.9480000000001</v>
      </c>
      <c r="D377" s="727">
        <v>1199.5740000000001</v>
      </c>
      <c r="E377" s="3838"/>
      <c r="F377" s="3840"/>
      <c r="G377" s="97"/>
      <c r="J377" s="114"/>
      <c r="K377" s="12"/>
      <c r="L377" s="12"/>
      <c r="M377" s="12"/>
      <c r="N377" s="12"/>
      <c r="O377" s="12"/>
      <c r="P377" s="12"/>
      <c r="Q377" s="12"/>
    </row>
    <row r="378" spans="1:17" hidden="1" outlineLevel="1" x14ac:dyDescent="0.25">
      <c r="A378" s="753" t="s">
        <v>2290</v>
      </c>
      <c r="B378" s="691" t="s">
        <v>115</v>
      </c>
      <c r="C378" s="692">
        <v>3132.0259999999998</v>
      </c>
      <c r="D378" s="692">
        <v>3526.7359999999999</v>
      </c>
      <c r="E378" s="3837">
        <v>8.77E-2</v>
      </c>
      <c r="F378" s="3839">
        <v>0.06</v>
      </c>
      <c r="G378" s="97"/>
      <c r="J378" s="114"/>
      <c r="K378" s="12"/>
      <c r="L378" s="12"/>
      <c r="M378" s="12"/>
      <c r="N378" s="12"/>
      <c r="O378" s="12"/>
      <c r="P378" s="12"/>
      <c r="Q378" s="12"/>
    </row>
    <row r="379" spans="1:17" hidden="1" outlineLevel="1" x14ac:dyDescent="0.25">
      <c r="A379" s="754" t="s">
        <v>2290</v>
      </c>
      <c r="B379" s="695" t="s">
        <v>760</v>
      </c>
      <c r="C379" s="727">
        <v>1199.5740000000001</v>
      </c>
      <c r="D379" s="727">
        <v>1255.9580000000001</v>
      </c>
      <c r="E379" s="3838"/>
      <c r="F379" s="3840"/>
      <c r="G379" s="97"/>
      <c r="J379" s="114"/>
      <c r="K379" s="12"/>
      <c r="L379" s="12"/>
      <c r="M379" s="12"/>
      <c r="N379" s="12"/>
      <c r="O379" s="12"/>
      <c r="P379" s="12"/>
      <c r="Q379" s="12"/>
    </row>
    <row r="380" spans="1:17" hidden="1" outlineLevel="1" x14ac:dyDescent="0.25">
      <c r="A380" s="753" t="s">
        <v>2291</v>
      </c>
      <c r="B380" s="691" t="s">
        <v>115</v>
      </c>
      <c r="C380" s="692">
        <v>3526.7359999999999</v>
      </c>
      <c r="D380" s="692">
        <v>4448.8360000000002</v>
      </c>
      <c r="E380" s="3837">
        <v>0.23619999999999999</v>
      </c>
      <c r="F380" s="3839">
        <v>0.06</v>
      </c>
      <c r="G380" s="97"/>
      <c r="J380" s="114"/>
      <c r="K380" s="12"/>
      <c r="L380" s="12"/>
      <c r="M380" s="12"/>
      <c r="N380" s="12"/>
      <c r="O380" s="12"/>
      <c r="P380" s="12"/>
      <c r="Q380" s="12"/>
    </row>
    <row r="381" spans="1:17" hidden="1" outlineLevel="1" x14ac:dyDescent="0.25">
      <c r="A381" s="754" t="s">
        <v>2291</v>
      </c>
      <c r="B381" s="695" t="s">
        <v>760</v>
      </c>
      <c r="C381" s="727">
        <v>1255.9580000000001</v>
      </c>
      <c r="D381" s="727">
        <v>1516.3</v>
      </c>
      <c r="E381" s="3838"/>
      <c r="F381" s="3840"/>
      <c r="G381" s="97"/>
      <c r="J381" s="114"/>
      <c r="K381" s="12"/>
      <c r="L381" s="12"/>
      <c r="M381" s="12"/>
      <c r="N381" s="12"/>
      <c r="O381" s="12"/>
      <c r="P381" s="12"/>
      <c r="Q381" s="12"/>
    </row>
    <row r="382" spans="1:17" hidden="1" outlineLevel="1" x14ac:dyDescent="0.25">
      <c r="A382" s="753" t="s">
        <v>547</v>
      </c>
      <c r="B382" s="691" t="s">
        <v>115</v>
      </c>
      <c r="C382" s="692">
        <v>4448.8360000000002</v>
      </c>
      <c r="D382" s="692">
        <v>3622.3110000000001</v>
      </c>
      <c r="E382" s="3837">
        <v>-0.14630000000000001</v>
      </c>
      <c r="F382" s="3839">
        <v>0</v>
      </c>
      <c r="G382" s="97"/>
      <c r="J382" s="114"/>
      <c r="K382" s="12"/>
      <c r="L382" s="12"/>
      <c r="M382" s="12"/>
      <c r="N382" s="12"/>
      <c r="O382" s="12"/>
      <c r="P382" s="12"/>
      <c r="Q382" s="12"/>
    </row>
    <row r="383" spans="1:17" hidden="1" outlineLevel="1" x14ac:dyDescent="0.25">
      <c r="A383" s="754" t="s">
        <v>547</v>
      </c>
      <c r="B383" s="695" t="s">
        <v>760</v>
      </c>
      <c r="C383" s="727">
        <v>1516.3</v>
      </c>
      <c r="D383" s="727">
        <v>1366.0840000000001</v>
      </c>
      <c r="E383" s="3838"/>
      <c r="F383" s="3840"/>
      <c r="G383" s="97"/>
      <c r="J383" s="114"/>
      <c r="K383" s="12"/>
      <c r="L383" s="12"/>
      <c r="M383" s="12"/>
      <c r="N383" s="12"/>
      <c r="O383" s="12"/>
      <c r="P383" s="12"/>
      <c r="Q383" s="12"/>
    </row>
    <row r="384" spans="1:17" hidden="1" outlineLevel="1" x14ac:dyDescent="0.25">
      <c r="A384" s="753" t="s">
        <v>548</v>
      </c>
      <c r="B384" s="691" t="s">
        <v>115</v>
      </c>
      <c r="C384" s="692">
        <v>3622.3110000000001</v>
      </c>
      <c r="D384" s="692">
        <v>2502.54</v>
      </c>
      <c r="E384" s="3837">
        <v>-0.31</v>
      </c>
      <c r="F384" s="3839">
        <v>0</v>
      </c>
      <c r="G384" s="97"/>
      <c r="J384" s="114"/>
      <c r="K384" s="12"/>
      <c r="L384" s="12"/>
      <c r="M384" s="12"/>
      <c r="N384" s="12"/>
      <c r="O384" s="12"/>
      <c r="P384" s="12"/>
      <c r="Q384" s="12"/>
    </row>
    <row r="385" spans="1:17" hidden="1" outlineLevel="1" x14ac:dyDescent="0.25">
      <c r="A385" s="754" t="s">
        <v>548</v>
      </c>
      <c r="B385" s="695" t="s">
        <v>760</v>
      </c>
      <c r="C385" s="727">
        <v>1366.0840000000001</v>
      </c>
      <c r="D385" s="727">
        <v>941.37400000000002</v>
      </c>
      <c r="E385" s="3838"/>
      <c r="F385" s="3840"/>
      <c r="G385" s="97"/>
      <c r="J385" s="114"/>
      <c r="K385" s="12"/>
      <c r="L385" s="12"/>
      <c r="M385" s="12"/>
      <c r="N385" s="12"/>
      <c r="O385" s="12"/>
      <c r="P385" s="12"/>
      <c r="Q385" s="12"/>
    </row>
    <row r="386" spans="1:17" hidden="1" outlineLevel="1" x14ac:dyDescent="0.25">
      <c r="A386" s="753" t="s">
        <v>549</v>
      </c>
      <c r="B386" s="691" t="s">
        <v>115</v>
      </c>
      <c r="C386" s="692">
        <v>2502.54</v>
      </c>
      <c r="D386" s="692">
        <v>2592.431</v>
      </c>
      <c r="E386" s="3837">
        <v>8.7999999999999995E-2</v>
      </c>
      <c r="F386" s="3839">
        <v>0.06</v>
      </c>
      <c r="G386" s="97"/>
      <c r="J386" s="114"/>
      <c r="K386" s="12"/>
      <c r="L386" s="12"/>
      <c r="M386" s="12"/>
      <c r="N386" s="12"/>
      <c r="O386" s="12"/>
      <c r="P386" s="12"/>
      <c r="Q386" s="12"/>
    </row>
    <row r="387" spans="1:17" hidden="1" outlineLevel="1" x14ac:dyDescent="0.25">
      <c r="A387" s="754" t="s">
        <v>549</v>
      </c>
      <c r="B387" s="695" t="s">
        <v>760</v>
      </c>
      <c r="C387" s="727">
        <v>941.37400000000002</v>
      </c>
      <c r="D387" s="727">
        <v>1077.3030000000001</v>
      </c>
      <c r="E387" s="3838"/>
      <c r="F387" s="3840"/>
      <c r="G387" s="97"/>
      <c r="J387" s="114"/>
      <c r="K387" s="12"/>
      <c r="L387" s="12"/>
      <c r="M387" s="12"/>
      <c r="N387" s="12"/>
      <c r="O387" s="12"/>
      <c r="P387" s="12"/>
      <c r="Q387" s="12"/>
    </row>
    <row r="388" spans="1:17" hidden="1" outlineLevel="1" x14ac:dyDescent="0.25">
      <c r="A388" s="753" t="s">
        <v>550</v>
      </c>
      <c r="B388" s="691" t="s">
        <v>115</v>
      </c>
      <c r="C388" s="692">
        <v>2592.431</v>
      </c>
      <c r="D388" s="692">
        <v>2771.578</v>
      </c>
      <c r="E388" s="3837">
        <v>0.13389999999999999</v>
      </c>
      <c r="F388" s="3839">
        <v>0.06</v>
      </c>
      <c r="G388" s="97"/>
      <c r="J388" s="114"/>
      <c r="K388" s="12"/>
      <c r="L388" s="12"/>
      <c r="M388" s="12"/>
      <c r="N388" s="12"/>
      <c r="O388" s="12"/>
      <c r="P388" s="12"/>
      <c r="Q388" s="12"/>
    </row>
    <row r="389" spans="1:17" hidden="1" outlineLevel="1" x14ac:dyDescent="0.25">
      <c r="A389" s="754" t="s">
        <v>550</v>
      </c>
      <c r="B389" s="695" t="s">
        <v>760</v>
      </c>
      <c r="C389" s="727">
        <v>1077.3030000000001</v>
      </c>
      <c r="D389" s="727">
        <v>1289.8</v>
      </c>
      <c r="E389" s="3838"/>
      <c r="F389" s="3840"/>
      <c r="G389" s="97"/>
      <c r="J389" s="114"/>
      <c r="K389" s="12"/>
      <c r="L389" s="12"/>
      <c r="M389" s="12"/>
      <c r="N389" s="12"/>
      <c r="O389" s="12"/>
      <c r="P389" s="12"/>
      <c r="Q389" s="12"/>
    </row>
    <row r="390" spans="1:17" hidden="1" outlineLevel="1" x14ac:dyDescent="0.25">
      <c r="A390" s="732" t="s">
        <v>551</v>
      </c>
      <c r="B390" s="691" t="s">
        <v>115</v>
      </c>
      <c r="C390" s="692">
        <v>2771.578</v>
      </c>
      <c r="D390" s="692">
        <v>2123.2429999999999</v>
      </c>
      <c r="E390" s="3837">
        <v>-0.1018</v>
      </c>
      <c r="F390" s="3839">
        <v>0</v>
      </c>
      <c r="G390" s="97"/>
      <c r="J390" s="114"/>
      <c r="K390" s="12"/>
      <c r="L390" s="12"/>
      <c r="M390" s="12"/>
      <c r="N390" s="12"/>
      <c r="O390" s="12"/>
      <c r="P390" s="12"/>
      <c r="Q390" s="12"/>
    </row>
    <row r="391" spans="1:17" hidden="1" outlineLevel="1" x14ac:dyDescent="0.25">
      <c r="A391" s="732" t="s">
        <v>551</v>
      </c>
      <c r="B391" s="695" t="s">
        <v>760</v>
      </c>
      <c r="C391" s="727">
        <v>1289.8</v>
      </c>
      <c r="D391" s="727">
        <v>1307.4590000000001</v>
      </c>
      <c r="E391" s="3838"/>
      <c r="F391" s="3840"/>
      <c r="G391" s="97"/>
      <c r="J391" s="114"/>
      <c r="K391" s="12"/>
      <c r="L391" s="12"/>
      <c r="M391" s="12"/>
      <c r="N391" s="12"/>
      <c r="O391" s="12"/>
      <c r="P391" s="12"/>
      <c r="Q391" s="12"/>
    </row>
    <row r="392" spans="1:17" collapsed="1" x14ac:dyDescent="0.25">
      <c r="A392" s="3801" t="s">
        <v>2495</v>
      </c>
      <c r="B392" s="3802"/>
      <c r="C392" s="3802"/>
      <c r="D392" s="3802"/>
      <c r="E392" s="721"/>
      <c r="F392" s="722">
        <f>MAX(SUM(F376:F391),parametry!M25)</f>
        <v>0.3</v>
      </c>
      <c r="G392" s="97" t="s">
        <v>781</v>
      </c>
      <c r="J392" s="114"/>
      <c r="K392" s="12"/>
      <c r="L392" s="12"/>
      <c r="M392" s="12"/>
      <c r="N392" s="12"/>
      <c r="O392" s="12"/>
      <c r="P392" s="12"/>
      <c r="Q392" s="12"/>
    </row>
    <row r="393" spans="1:17" x14ac:dyDescent="0.25">
      <c r="A393" s="19"/>
      <c r="B393" s="19"/>
      <c r="C393" s="19"/>
      <c r="D393" s="19"/>
      <c r="E393" s="20"/>
      <c r="F393" s="20"/>
      <c r="G393" s="19"/>
      <c r="J393" s="114"/>
      <c r="K393" s="12"/>
      <c r="L393" s="12"/>
      <c r="M393" s="12"/>
      <c r="N393" s="12"/>
      <c r="O393" s="12"/>
      <c r="P393" s="12"/>
      <c r="Q393" s="12"/>
    </row>
    <row r="394" spans="1:17" hidden="1" outlineLevel="1" x14ac:dyDescent="0.25">
      <c r="A394" s="689" t="s">
        <v>113</v>
      </c>
      <c r="B394" s="689" t="s">
        <v>114</v>
      </c>
      <c r="C394" s="689" t="s">
        <v>112</v>
      </c>
      <c r="D394" s="689" t="s">
        <v>116</v>
      </c>
      <c r="E394" s="689" t="s">
        <v>117</v>
      </c>
      <c r="F394" s="1188" t="s">
        <v>121</v>
      </c>
      <c r="G394" s="97"/>
      <c r="J394" s="114"/>
      <c r="K394" s="12"/>
      <c r="L394" s="12"/>
      <c r="M394" s="12"/>
      <c r="N394" s="12"/>
      <c r="O394" s="12"/>
      <c r="P394" s="12"/>
      <c r="Q394" s="12"/>
    </row>
    <row r="395" spans="1:17" hidden="1" outlineLevel="1" x14ac:dyDescent="0.25">
      <c r="A395" s="753" t="s">
        <v>552</v>
      </c>
      <c r="B395" s="691" t="s">
        <v>115</v>
      </c>
      <c r="C395" s="692">
        <v>2776.4479999999999</v>
      </c>
      <c r="D395" s="692">
        <v>3132.0259999999998</v>
      </c>
      <c r="E395" s="3837">
        <f>(0.4*D395/C395+0.4*D396/C396+0.2*D397/C397)-1</f>
        <v>7.3896071920011241E-2</v>
      </c>
      <c r="F395" s="3839">
        <v>7.0000000000000007E-2</v>
      </c>
      <c r="G395" s="97"/>
      <c r="J395" s="114"/>
      <c r="K395" s="12"/>
      <c r="L395" s="12"/>
      <c r="M395" s="12"/>
      <c r="N395" s="12"/>
      <c r="O395" s="12"/>
      <c r="P395" s="12"/>
      <c r="Q395" s="12"/>
    </row>
    <row r="396" spans="1:17" hidden="1" outlineLevel="1" x14ac:dyDescent="0.25">
      <c r="A396" s="732" t="s">
        <v>552</v>
      </c>
      <c r="B396" s="695" t="s">
        <v>760</v>
      </c>
      <c r="C396" s="696">
        <v>1130.539</v>
      </c>
      <c r="D396" s="696">
        <v>1199.5740000000001</v>
      </c>
      <c r="E396" s="3858"/>
      <c r="F396" s="3857"/>
      <c r="G396" s="97"/>
      <c r="J396" s="114"/>
      <c r="K396" s="12"/>
      <c r="L396" s="12"/>
      <c r="M396" s="12"/>
      <c r="N396" s="12"/>
      <c r="O396" s="12"/>
      <c r="P396" s="12"/>
      <c r="Q396" s="12"/>
    </row>
    <row r="397" spans="1:17" hidden="1" outlineLevel="1" x14ac:dyDescent="0.25">
      <c r="A397" s="754" t="s">
        <v>552</v>
      </c>
      <c r="B397" s="726" t="s">
        <v>761</v>
      </c>
      <c r="C397" s="727">
        <v>11379.118</v>
      </c>
      <c r="D397" s="727">
        <v>11279.141</v>
      </c>
      <c r="E397" s="3838"/>
      <c r="F397" s="3840"/>
      <c r="G397" s="97"/>
      <c r="J397" s="114"/>
      <c r="K397" s="12"/>
      <c r="L397" s="12"/>
      <c r="M397" s="12"/>
      <c r="N397" s="12"/>
      <c r="O397" s="12"/>
      <c r="P397" s="12"/>
      <c r="Q397" s="12"/>
    </row>
    <row r="398" spans="1:17" hidden="1" outlineLevel="1" x14ac:dyDescent="0.25">
      <c r="A398" s="753" t="s">
        <v>553</v>
      </c>
      <c r="B398" s="691" t="s">
        <v>115</v>
      </c>
      <c r="C398" s="692">
        <v>3132.0259999999998</v>
      </c>
      <c r="D398" s="692">
        <v>3526.7359999999999</v>
      </c>
      <c r="E398" s="3837">
        <v>0.13270000000000001</v>
      </c>
      <c r="F398" s="3839">
        <v>7.0000000000000007E-2</v>
      </c>
      <c r="G398" s="97"/>
      <c r="J398" s="114"/>
      <c r="K398" s="12"/>
      <c r="L398" s="12"/>
      <c r="M398" s="12"/>
      <c r="N398" s="12"/>
      <c r="O398" s="12"/>
      <c r="P398" s="12"/>
      <c r="Q398" s="12"/>
    </row>
    <row r="399" spans="1:17" hidden="1" outlineLevel="1" x14ac:dyDescent="0.25">
      <c r="A399" s="732" t="s">
        <v>553</v>
      </c>
      <c r="B399" s="695" t="s">
        <v>760</v>
      </c>
      <c r="C399" s="696">
        <v>1199.5740000000001</v>
      </c>
      <c r="D399" s="696">
        <v>1255.9580000000001</v>
      </c>
      <c r="E399" s="3858"/>
      <c r="F399" s="3857"/>
      <c r="G399" s="97"/>
      <c r="J399" s="114"/>
      <c r="K399" s="12"/>
      <c r="L399" s="12"/>
      <c r="M399" s="12"/>
      <c r="N399" s="12"/>
      <c r="O399" s="12"/>
      <c r="P399" s="12"/>
      <c r="Q399" s="12"/>
    </row>
    <row r="400" spans="1:17" hidden="1" outlineLevel="1" x14ac:dyDescent="0.25">
      <c r="A400" s="754" t="s">
        <v>553</v>
      </c>
      <c r="B400" s="726" t="s">
        <v>761</v>
      </c>
      <c r="C400" s="727">
        <v>11279.141</v>
      </c>
      <c r="D400" s="727">
        <v>15018.727000000001</v>
      </c>
      <c r="E400" s="3838"/>
      <c r="F400" s="3840"/>
      <c r="G400" s="97"/>
      <c r="J400" s="114"/>
      <c r="K400" s="12"/>
      <c r="L400" s="12"/>
      <c r="M400" s="12"/>
      <c r="N400" s="12"/>
      <c r="O400" s="12"/>
      <c r="P400" s="12"/>
      <c r="Q400" s="12"/>
    </row>
    <row r="401" spans="1:17" hidden="1" outlineLevel="1" x14ac:dyDescent="0.25">
      <c r="A401" s="753" t="s">
        <v>554</v>
      </c>
      <c r="B401" s="691" t="s">
        <v>115</v>
      </c>
      <c r="C401" s="692">
        <v>3526.7359999999999</v>
      </c>
      <c r="D401" s="692">
        <v>4448.8360000000002</v>
      </c>
      <c r="E401" s="3837">
        <v>0.2266</v>
      </c>
      <c r="F401" s="3839">
        <v>7.0000000000000007E-2</v>
      </c>
      <c r="G401" s="97"/>
      <c r="J401" s="114"/>
      <c r="K401" s="12"/>
      <c r="L401" s="12"/>
      <c r="M401" s="12"/>
      <c r="N401" s="12"/>
      <c r="O401" s="12"/>
      <c r="P401" s="12"/>
      <c r="Q401" s="12"/>
    </row>
    <row r="402" spans="1:17" hidden="1" outlineLevel="1" x14ac:dyDescent="0.25">
      <c r="A402" s="732" t="s">
        <v>554</v>
      </c>
      <c r="B402" s="695" t="s">
        <v>760</v>
      </c>
      <c r="C402" s="696">
        <v>1255.9580000000001</v>
      </c>
      <c r="D402" s="696">
        <v>1516.3</v>
      </c>
      <c r="E402" s="3858"/>
      <c r="F402" s="3857"/>
      <c r="G402" s="97"/>
      <c r="J402" s="114"/>
      <c r="K402" s="12"/>
      <c r="L402" s="12"/>
      <c r="M402" s="12"/>
      <c r="N402" s="12"/>
      <c r="O402" s="12"/>
      <c r="P402" s="12"/>
      <c r="Q402" s="12"/>
    </row>
    <row r="403" spans="1:17" hidden="1" outlineLevel="1" x14ac:dyDescent="0.25">
      <c r="A403" s="754" t="s">
        <v>554</v>
      </c>
      <c r="B403" s="726" t="s">
        <v>761</v>
      </c>
      <c r="C403" s="727">
        <v>15018.727000000001</v>
      </c>
      <c r="D403" s="727">
        <v>17902.995999999999</v>
      </c>
      <c r="E403" s="3838"/>
      <c r="F403" s="3840"/>
      <c r="G403" s="97"/>
      <c r="J403" s="114"/>
      <c r="K403" s="12"/>
      <c r="L403" s="12"/>
      <c r="M403" s="12"/>
      <c r="N403" s="12"/>
      <c r="O403" s="12"/>
      <c r="P403" s="12"/>
      <c r="Q403" s="12"/>
    </row>
    <row r="404" spans="1:17" hidden="1" outlineLevel="1" x14ac:dyDescent="0.25">
      <c r="A404" s="753" t="s">
        <v>555</v>
      </c>
      <c r="B404" s="691" t="s">
        <v>115</v>
      </c>
      <c r="C404" s="692">
        <v>4448.8360000000002</v>
      </c>
      <c r="D404" s="692">
        <v>3622.3110000000001</v>
      </c>
      <c r="E404" s="3837">
        <v>-0.15890000000000001</v>
      </c>
      <c r="F404" s="3839">
        <v>-0.03</v>
      </c>
      <c r="G404" s="97"/>
      <c r="J404" s="114"/>
      <c r="K404" s="12"/>
      <c r="L404" s="12"/>
      <c r="M404" s="12"/>
      <c r="N404" s="12"/>
      <c r="O404" s="12"/>
      <c r="P404" s="12"/>
      <c r="Q404" s="12"/>
    </row>
    <row r="405" spans="1:17" hidden="1" outlineLevel="1" x14ac:dyDescent="0.25">
      <c r="A405" s="732" t="s">
        <v>555</v>
      </c>
      <c r="B405" s="695" t="s">
        <v>760</v>
      </c>
      <c r="C405" s="696">
        <v>1516.3</v>
      </c>
      <c r="D405" s="696">
        <v>1366.0840000000001</v>
      </c>
      <c r="E405" s="3858"/>
      <c r="F405" s="3857"/>
      <c r="G405" s="97"/>
      <c r="J405" s="114"/>
      <c r="K405" s="12"/>
      <c r="L405" s="12"/>
      <c r="M405" s="12"/>
      <c r="N405" s="12"/>
      <c r="O405" s="12"/>
      <c r="P405" s="12"/>
      <c r="Q405" s="12"/>
    </row>
    <row r="406" spans="1:17" hidden="1" outlineLevel="1" x14ac:dyDescent="0.25">
      <c r="A406" s="754" t="s">
        <v>555</v>
      </c>
      <c r="B406" s="726" t="s">
        <v>761</v>
      </c>
      <c r="C406" s="727">
        <v>17902.995999999999</v>
      </c>
      <c r="D406" s="727">
        <v>14216.38</v>
      </c>
      <c r="E406" s="3838"/>
      <c r="F406" s="3840"/>
      <c r="G406" s="97"/>
      <c r="J406" s="114"/>
      <c r="K406" s="12"/>
      <c r="L406" s="12"/>
      <c r="M406" s="12"/>
      <c r="N406" s="12"/>
      <c r="O406" s="12"/>
      <c r="P406" s="12"/>
      <c r="Q406" s="12"/>
    </row>
    <row r="407" spans="1:17" hidden="1" outlineLevel="1" x14ac:dyDescent="0.25">
      <c r="A407" s="732" t="s">
        <v>556</v>
      </c>
      <c r="B407" s="691" t="s">
        <v>115</v>
      </c>
      <c r="C407" s="692">
        <v>3622.3110000000001</v>
      </c>
      <c r="D407" s="692">
        <v>2859.373</v>
      </c>
      <c r="E407" s="3837">
        <v>-0.2346</v>
      </c>
      <c r="F407" s="3839">
        <v>-0.03</v>
      </c>
      <c r="G407" s="97"/>
      <c r="J407" s="114"/>
      <c r="K407" s="12"/>
      <c r="L407" s="12"/>
      <c r="M407" s="12"/>
      <c r="N407" s="12"/>
      <c r="O407" s="12"/>
      <c r="P407" s="12"/>
      <c r="Q407" s="12"/>
    </row>
    <row r="408" spans="1:17" hidden="1" outlineLevel="1" x14ac:dyDescent="0.25">
      <c r="A408" s="732" t="s">
        <v>556</v>
      </c>
      <c r="B408" s="695" t="s">
        <v>760</v>
      </c>
      <c r="C408" s="696">
        <v>1366.0840000000001</v>
      </c>
      <c r="D408" s="696">
        <v>1058.6189999999999</v>
      </c>
      <c r="E408" s="3858"/>
      <c r="F408" s="3857"/>
      <c r="G408" s="97"/>
      <c r="J408" s="114"/>
      <c r="K408" s="12"/>
      <c r="L408" s="12"/>
      <c r="M408" s="12"/>
      <c r="N408" s="12"/>
      <c r="O408" s="12"/>
      <c r="P408" s="12"/>
      <c r="Q408" s="12"/>
    </row>
    <row r="409" spans="1:17" hidden="1" outlineLevel="1" x14ac:dyDescent="0.25">
      <c r="A409" s="732" t="s">
        <v>556</v>
      </c>
      <c r="B409" s="726" t="s">
        <v>761</v>
      </c>
      <c r="C409" s="727">
        <v>14216.38</v>
      </c>
      <c r="D409" s="727">
        <v>9910.0679999999993</v>
      </c>
      <c r="E409" s="3838"/>
      <c r="F409" s="3840"/>
      <c r="G409" s="97"/>
      <c r="J409" s="114"/>
      <c r="K409" s="12"/>
      <c r="L409" s="12"/>
      <c r="M409" s="12"/>
      <c r="N409" s="12"/>
      <c r="O409" s="12"/>
      <c r="P409" s="12"/>
      <c r="Q409" s="12"/>
    </row>
    <row r="410" spans="1:17" collapsed="1" x14ac:dyDescent="0.25">
      <c r="A410" s="3801" t="s">
        <v>2163</v>
      </c>
      <c r="B410" s="3802"/>
      <c r="C410" s="3802"/>
      <c r="D410" s="3802"/>
      <c r="E410" s="721" t="s">
        <v>2722</v>
      </c>
      <c r="F410" s="722">
        <f>SUM(F395:F409)</f>
        <v>0.15000000000000002</v>
      </c>
      <c r="G410" s="97" t="s">
        <v>781</v>
      </c>
      <c r="J410" s="114"/>
      <c r="K410" s="12"/>
      <c r="L410" s="266"/>
      <c r="M410" s="114"/>
      <c r="N410" s="12"/>
      <c r="O410" s="12"/>
      <c r="P410" s="12"/>
      <c r="Q410" s="12"/>
    </row>
    <row r="411" spans="1:17" x14ac:dyDescent="0.25">
      <c r="A411" s="19"/>
      <c r="B411" s="19"/>
      <c r="C411" s="19"/>
      <c r="D411" s="19"/>
      <c r="E411" s="20"/>
      <c r="F411" s="20"/>
      <c r="G411" s="19"/>
      <c r="J411" s="114"/>
      <c r="K411" s="12"/>
      <c r="L411" s="12"/>
      <c r="M411" s="12"/>
      <c r="N411" s="12"/>
      <c r="O411" s="12"/>
      <c r="P411" s="12"/>
      <c r="Q411" s="12"/>
    </row>
    <row r="412" spans="1:17" ht="12.75" hidden="1" customHeight="1" outlineLevel="1" x14ac:dyDescent="0.25">
      <c r="A412" s="689" t="s">
        <v>113</v>
      </c>
      <c r="B412" s="689" t="s">
        <v>114</v>
      </c>
      <c r="C412" s="689" t="s">
        <v>112</v>
      </c>
      <c r="D412" s="689" t="s">
        <v>116</v>
      </c>
      <c r="E412" s="689" t="s">
        <v>117</v>
      </c>
      <c r="F412" s="1188" t="s">
        <v>121</v>
      </c>
      <c r="G412" s="97"/>
      <c r="J412" s="31"/>
    </row>
    <row r="413" spans="1:17" ht="12.75" hidden="1" customHeight="1" outlineLevel="1" x14ac:dyDescent="0.25">
      <c r="A413" s="753" t="s">
        <v>557</v>
      </c>
      <c r="B413" s="691" t="s">
        <v>115</v>
      </c>
      <c r="C413" s="692">
        <v>2776.4479999999999</v>
      </c>
      <c r="D413" s="692">
        <v>3132.0259999999998</v>
      </c>
      <c r="E413" s="3837">
        <f>(0.5*D413/C413+0.5*D414/C414)-1</f>
        <v>9.4566591421485047E-2</v>
      </c>
      <c r="F413" s="3839">
        <v>7.0000000000000007E-2</v>
      </c>
      <c r="G413" s="97"/>
      <c r="J413" s="31"/>
    </row>
    <row r="414" spans="1:17" ht="12.75" hidden="1" customHeight="1" outlineLevel="1" x14ac:dyDescent="0.25">
      <c r="A414" s="732" t="s">
        <v>557</v>
      </c>
      <c r="B414" s="695" t="s">
        <v>760</v>
      </c>
      <c r="C414" s="727">
        <v>1130.539</v>
      </c>
      <c r="D414" s="727">
        <v>1199.5740000000001</v>
      </c>
      <c r="E414" s="3838"/>
      <c r="F414" s="3840"/>
      <c r="G414" s="97"/>
      <c r="J414" s="31"/>
    </row>
    <row r="415" spans="1:17" ht="12.75" hidden="1" customHeight="1" outlineLevel="1" x14ac:dyDescent="0.25">
      <c r="A415" s="753" t="s">
        <v>558</v>
      </c>
      <c r="B415" s="691" t="s">
        <v>115</v>
      </c>
      <c r="C415" s="692">
        <v>3132.0259999999998</v>
      </c>
      <c r="D415" s="692">
        <v>3526.7359999999999</v>
      </c>
      <c r="E415" s="3837">
        <v>8.77E-2</v>
      </c>
      <c r="F415" s="3839">
        <v>7.0000000000000007E-2</v>
      </c>
      <c r="G415" s="97"/>
      <c r="J415" s="31"/>
    </row>
    <row r="416" spans="1:17" ht="12.75" hidden="1" customHeight="1" outlineLevel="1" x14ac:dyDescent="0.25">
      <c r="A416" s="754" t="s">
        <v>558</v>
      </c>
      <c r="B416" s="695" t="s">
        <v>760</v>
      </c>
      <c r="C416" s="727">
        <v>1199.5740000000001</v>
      </c>
      <c r="D416" s="727">
        <v>1255.9580000000001</v>
      </c>
      <c r="E416" s="3838"/>
      <c r="F416" s="3840"/>
      <c r="G416" s="97"/>
      <c r="J416" s="31"/>
    </row>
    <row r="417" spans="1:10" ht="12.75" hidden="1" customHeight="1" outlineLevel="1" x14ac:dyDescent="0.25">
      <c r="A417" s="753" t="s">
        <v>559</v>
      </c>
      <c r="B417" s="691" t="s">
        <v>115</v>
      </c>
      <c r="C417" s="692">
        <v>3526.7359999999999</v>
      </c>
      <c r="D417" s="692">
        <v>4448.8360000000002</v>
      </c>
      <c r="E417" s="3837">
        <v>0.23619999999999999</v>
      </c>
      <c r="F417" s="3839">
        <v>7.0000000000000007E-2</v>
      </c>
      <c r="G417" s="97"/>
      <c r="J417" s="31"/>
    </row>
    <row r="418" spans="1:10" ht="12.75" hidden="1" customHeight="1" outlineLevel="1" x14ac:dyDescent="0.25">
      <c r="A418" s="754" t="s">
        <v>559</v>
      </c>
      <c r="B418" s="695" t="s">
        <v>760</v>
      </c>
      <c r="C418" s="727">
        <v>1255.9580000000001</v>
      </c>
      <c r="D418" s="727">
        <v>1516.3</v>
      </c>
      <c r="E418" s="3838"/>
      <c r="F418" s="3840"/>
      <c r="G418" s="97"/>
      <c r="J418" s="31"/>
    </row>
    <row r="419" spans="1:10" ht="12.75" hidden="1" customHeight="1" outlineLevel="1" x14ac:dyDescent="0.25">
      <c r="A419" s="753" t="s">
        <v>560</v>
      </c>
      <c r="B419" s="691" t="s">
        <v>115</v>
      </c>
      <c r="C419" s="692">
        <v>4448.8360000000002</v>
      </c>
      <c r="D419" s="692">
        <v>3622.3110000000001</v>
      </c>
      <c r="E419" s="3837">
        <v>-0.14630000000000001</v>
      </c>
      <c r="F419" s="3839">
        <v>-0.03</v>
      </c>
      <c r="G419" s="97"/>
      <c r="J419" s="31"/>
    </row>
    <row r="420" spans="1:10" ht="12.75" hidden="1" customHeight="1" outlineLevel="1" x14ac:dyDescent="0.25">
      <c r="A420" s="754" t="s">
        <v>560</v>
      </c>
      <c r="B420" s="695" t="s">
        <v>760</v>
      </c>
      <c r="C420" s="727">
        <v>1516.3</v>
      </c>
      <c r="D420" s="727">
        <v>1366.0840000000001</v>
      </c>
      <c r="E420" s="3838"/>
      <c r="F420" s="3840"/>
      <c r="G420" s="97"/>
      <c r="J420" s="31"/>
    </row>
    <row r="421" spans="1:10" ht="12.75" hidden="1" customHeight="1" outlineLevel="1" x14ac:dyDescent="0.25">
      <c r="A421" s="732" t="s">
        <v>630</v>
      </c>
      <c r="B421" s="691" t="s">
        <v>115</v>
      </c>
      <c r="C421" s="692">
        <v>3622.3110000000001</v>
      </c>
      <c r="D421" s="692">
        <v>2859.373</v>
      </c>
      <c r="E421" s="3837">
        <v>-0.21759999999999999</v>
      </c>
      <c r="F421" s="3839">
        <v>-0.03</v>
      </c>
      <c r="G421" s="97"/>
      <c r="J421" s="31"/>
    </row>
    <row r="422" spans="1:10" ht="12.75" hidden="1" customHeight="1" outlineLevel="1" x14ac:dyDescent="0.25">
      <c r="A422" s="732" t="s">
        <v>630</v>
      </c>
      <c r="B422" s="695" t="s">
        <v>760</v>
      </c>
      <c r="C422" s="727">
        <v>1366.0840000000001</v>
      </c>
      <c r="D422" s="727">
        <v>1058.6189999999999</v>
      </c>
      <c r="E422" s="3838"/>
      <c r="F422" s="3840"/>
      <c r="G422" s="97"/>
      <c r="J422" s="31"/>
    </row>
    <row r="423" spans="1:10" collapsed="1" x14ac:dyDescent="0.25">
      <c r="A423" s="3801" t="s">
        <v>2164</v>
      </c>
      <c r="B423" s="3802"/>
      <c r="C423" s="3802"/>
      <c r="D423" s="3802"/>
      <c r="E423" s="721"/>
      <c r="F423" s="722">
        <f>SUM(F413:F421)</f>
        <v>0.15000000000000002</v>
      </c>
      <c r="G423" s="97" t="s">
        <v>781</v>
      </c>
      <c r="J423" s="31"/>
    </row>
    <row r="424" spans="1:10" x14ac:dyDescent="0.25">
      <c r="A424" s="19"/>
      <c r="B424" s="19"/>
      <c r="C424" s="19"/>
      <c r="D424" s="19"/>
      <c r="E424" s="20"/>
      <c r="F424" s="20"/>
      <c r="G424" s="19"/>
      <c r="J424" s="31"/>
    </row>
    <row r="425" spans="1:10" hidden="1" outlineLevel="1" x14ac:dyDescent="0.25">
      <c r="A425" s="689" t="s">
        <v>113</v>
      </c>
      <c r="B425" s="689" t="s">
        <v>114</v>
      </c>
      <c r="C425" s="689" t="s">
        <v>112</v>
      </c>
      <c r="D425" s="689" t="s">
        <v>116</v>
      </c>
      <c r="E425" s="689" t="s">
        <v>117</v>
      </c>
      <c r="F425" s="1188" t="s">
        <v>121</v>
      </c>
      <c r="G425" s="97"/>
      <c r="J425" s="31"/>
    </row>
    <row r="426" spans="1:10" hidden="1" outlineLevel="1" x14ac:dyDescent="0.25">
      <c r="A426" s="753" t="s">
        <v>3013</v>
      </c>
      <c r="B426" s="691" t="s">
        <v>115</v>
      </c>
      <c r="C426" s="692">
        <v>2776.4479999999999</v>
      </c>
      <c r="D426" s="692">
        <v>3132.0259999999998</v>
      </c>
      <c r="E426" s="3837">
        <f>(0.5*D426/C426+0.5*D427/C427)-1</f>
        <v>9.4566591421485047E-2</v>
      </c>
      <c r="F426" s="3839">
        <v>0.06</v>
      </c>
      <c r="G426" s="97"/>
      <c r="J426" s="31"/>
    </row>
    <row r="427" spans="1:10" hidden="1" outlineLevel="1" x14ac:dyDescent="0.25">
      <c r="A427" s="754" t="s">
        <v>3013</v>
      </c>
      <c r="B427" s="695" t="s">
        <v>760</v>
      </c>
      <c r="C427" s="727">
        <v>1130.539</v>
      </c>
      <c r="D427" s="727">
        <v>1199.5740000000001</v>
      </c>
      <c r="E427" s="3838"/>
      <c r="F427" s="3840"/>
      <c r="G427" s="97"/>
      <c r="J427" s="31"/>
    </row>
    <row r="428" spans="1:10" hidden="1" outlineLevel="1" x14ac:dyDescent="0.25">
      <c r="A428" s="753" t="s">
        <v>3014</v>
      </c>
      <c r="B428" s="691" t="s">
        <v>115</v>
      </c>
      <c r="C428" s="692">
        <v>3132.0259999999998</v>
      </c>
      <c r="D428" s="692">
        <v>3526.7359999999999</v>
      </c>
      <c r="E428" s="3837">
        <v>8.77E-2</v>
      </c>
      <c r="F428" s="3839">
        <v>0.06</v>
      </c>
      <c r="G428" s="97"/>
      <c r="J428" s="31"/>
    </row>
    <row r="429" spans="1:10" hidden="1" outlineLevel="1" x14ac:dyDescent="0.25">
      <c r="A429" s="754" t="s">
        <v>3014</v>
      </c>
      <c r="B429" s="695" t="s">
        <v>760</v>
      </c>
      <c r="C429" s="727">
        <v>1199.5740000000001</v>
      </c>
      <c r="D429" s="727">
        <v>1255.9580000000001</v>
      </c>
      <c r="E429" s="3838"/>
      <c r="F429" s="3840"/>
      <c r="G429" s="97"/>
      <c r="J429" s="31"/>
    </row>
    <row r="430" spans="1:10" hidden="1" outlineLevel="1" x14ac:dyDescent="0.25">
      <c r="A430" s="753" t="s">
        <v>2578</v>
      </c>
      <c r="B430" s="691" t="s">
        <v>115</v>
      </c>
      <c r="C430" s="692">
        <v>3526.7359999999999</v>
      </c>
      <c r="D430" s="692">
        <v>4448.8360000000002</v>
      </c>
      <c r="E430" s="3837">
        <v>0.23619999999999999</v>
      </c>
      <c r="F430" s="3839">
        <v>0.06</v>
      </c>
      <c r="G430" s="97"/>
      <c r="J430" s="31"/>
    </row>
    <row r="431" spans="1:10" hidden="1" outlineLevel="1" x14ac:dyDescent="0.25">
      <c r="A431" s="754" t="s">
        <v>2578</v>
      </c>
      <c r="B431" s="695" t="s">
        <v>760</v>
      </c>
      <c r="C431" s="727">
        <v>1255.9580000000001</v>
      </c>
      <c r="D431" s="727">
        <v>1516.3</v>
      </c>
      <c r="E431" s="3838"/>
      <c r="F431" s="3840"/>
      <c r="G431" s="97"/>
      <c r="J431" s="31"/>
    </row>
    <row r="432" spans="1:10" hidden="1" outlineLevel="1" x14ac:dyDescent="0.25">
      <c r="A432" s="753" t="s">
        <v>2579</v>
      </c>
      <c r="B432" s="691" t="s">
        <v>115</v>
      </c>
      <c r="C432" s="692">
        <v>4448.8360000000002</v>
      </c>
      <c r="D432" s="692">
        <v>3622.3110000000001</v>
      </c>
      <c r="E432" s="3837">
        <v>-0.14630000000000001</v>
      </c>
      <c r="F432" s="3839">
        <v>-0.03</v>
      </c>
      <c r="G432" s="97"/>
      <c r="J432" s="31"/>
    </row>
    <row r="433" spans="1:10" hidden="1" outlineLevel="1" x14ac:dyDescent="0.25">
      <c r="A433" s="754" t="s">
        <v>2579</v>
      </c>
      <c r="B433" s="695" t="s">
        <v>760</v>
      </c>
      <c r="C433" s="727">
        <v>1516.3</v>
      </c>
      <c r="D433" s="727">
        <v>1366.0840000000001</v>
      </c>
      <c r="E433" s="3838"/>
      <c r="F433" s="3840"/>
      <c r="G433" s="97"/>
      <c r="J433" s="31"/>
    </row>
    <row r="434" spans="1:10" hidden="1" outlineLevel="1" x14ac:dyDescent="0.25">
      <c r="A434" s="732" t="s">
        <v>1247</v>
      </c>
      <c r="B434" s="691" t="s">
        <v>115</v>
      </c>
      <c r="C434" s="692">
        <v>3622.3110000000001</v>
      </c>
      <c r="D434" s="692">
        <v>2859.373</v>
      </c>
      <c r="E434" s="3837">
        <v>-0.21759999999999999</v>
      </c>
      <c r="F434" s="3839">
        <v>-0.03</v>
      </c>
      <c r="G434" s="97"/>
      <c r="J434" s="31"/>
    </row>
    <row r="435" spans="1:10" hidden="1" outlineLevel="1" x14ac:dyDescent="0.25">
      <c r="A435" s="732" t="s">
        <v>1247</v>
      </c>
      <c r="B435" s="695" t="s">
        <v>760</v>
      </c>
      <c r="C435" s="727">
        <v>1366.0840000000001</v>
      </c>
      <c r="D435" s="727">
        <v>1058.6189999999999</v>
      </c>
      <c r="E435" s="3838"/>
      <c r="F435" s="3840"/>
      <c r="G435" s="97"/>
      <c r="J435" s="31"/>
    </row>
    <row r="436" spans="1:10" collapsed="1" x14ac:dyDescent="0.25">
      <c r="A436" s="3801" t="s">
        <v>2165</v>
      </c>
      <c r="B436" s="3802"/>
      <c r="C436" s="3802"/>
      <c r="D436" s="3802"/>
      <c r="E436" s="721" t="s">
        <v>2722</v>
      </c>
      <c r="F436" s="722">
        <f>SUM(F426:F434)</f>
        <v>0.12</v>
      </c>
      <c r="G436" s="97" t="s">
        <v>781</v>
      </c>
      <c r="J436" s="31"/>
    </row>
    <row r="437" spans="1:10" x14ac:dyDescent="0.25">
      <c r="A437" s="19"/>
      <c r="B437" s="19"/>
      <c r="C437" s="19"/>
      <c r="D437" s="19"/>
      <c r="E437" s="20"/>
      <c r="F437" s="20"/>
      <c r="G437" s="19"/>
      <c r="J437" s="31"/>
    </row>
    <row r="438" spans="1:10" hidden="1" outlineLevel="1" x14ac:dyDescent="0.25">
      <c r="A438" s="689" t="s">
        <v>113</v>
      </c>
      <c r="B438" s="689" t="s">
        <v>114</v>
      </c>
      <c r="C438" s="689" t="s">
        <v>112</v>
      </c>
      <c r="D438" s="689" t="s">
        <v>116</v>
      </c>
      <c r="E438" s="689" t="s">
        <v>117</v>
      </c>
      <c r="F438" s="1188" t="s">
        <v>121</v>
      </c>
      <c r="G438" s="78"/>
      <c r="J438" s="31"/>
    </row>
    <row r="439" spans="1:10" hidden="1" outlineLevel="1" x14ac:dyDescent="0.25">
      <c r="A439" s="753" t="s">
        <v>1248</v>
      </c>
      <c r="B439" s="691" t="s">
        <v>115</v>
      </c>
      <c r="C439" s="775">
        <v>2690.194</v>
      </c>
      <c r="D439" s="776">
        <v>3328.7939999999999</v>
      </c>
      <c r="E439" s="3861">
        <v>0.1638</v>
      </c>
      <c r="F439" s="3839">
        <v>0.08</v>
      </c>
      <c r="G439" s="78"/>
      <c r="J439" s="31"/>
    </row>
    <row r="440" spans="1:10" hidden="1" outlineLevel="1" x14ac:dyDescent="0.25">
      <c r="A440" s="732" t="s">
        <v>1248</v>
      </c>
      <c r="B440" s="695" t="s">
        <v>760</v>
      </c>
      <c r="C440" s="777">
        <v>1096.8679999999999</v>
      </c>
      <c r="D440" s="778">
        <v>1233.8630000000001</v>
      </c>
      <c r="E440" s="3861"/>
      <c r="F440" s="3857"/>
      <c r="G440" s="78"/>
      <c r="J440" s="31"/>
    </row>
    <row r="441" spans="1:10" hidden="1" outlineLevel="1" x14ac:dyDescent="0.25">
      <c r="A441" s="732" t="s">
        <v>1248</v>
      </c>
      <c r="B441" s="695" t="s">
        <v>761</v>
      </c>
      <c r="C441" s="777">
        <v>11222.492</v>
      </c>
      <c r="D441" s="778">
        <v>11982.109</v>
      </c>
      <c r="E441" s="3861"/>
      <c r="F441" s="3857"/>
      <c r="G441" s="78"/>
      <c r="J441" s="31"/>
    </row>
    <row r="442" spans="1:10" hidden="1" outlineLevel="1" x14ac:dyDescent="0.25">
      <c r="A442" s="754" t="s">
        <v>1248</v>
      </c>
      <c r="B442" s="726" t="s">
        <v>904</v>
      </c>
      <c r="C442" s="779">
        <v>4356.49</v>
      </c>
      <c r="D442" s="778">
        <v>5337.07</v>
      </c>
      <c r="E442" s="3861"/>
      <c r="F442" s="3840"/>
      <c r="G442" s="78"/>
      <c r="J442" s="31"/>
    </row>
    <row r="443" spans="1:10" hidden="1" outlineLevel="1" x14ac:dyDescent="0.25">
      <c r="A443" s="753" t="s">
        <v>1249</v>
      </c>
      <c r="B443" s="691" t="s">
        <v>115</v>
      </c>
      <c r="C443" s="775">
        <v>3328.7939999999999</v>
      </c>
      <c r="D443" s="776">
        <v>3682.61</v>
      </c>
      <c r="E443" s="3855">
        <v>0.12920000000000001</v>
      </c>
      <c r="F443" s="3816">
        <v>0.08</v>
      </c>
      <c r="G443" s="78"/>
      <c r="J443" s="31"/>
    </row>
    <row r="444" spans="1:10" hidden="1" outlineLevel="1" x14ac:dyDescent="0.25">
      <c r="A444" s="732" t="s">
        <v>1249</v>
      </c>
      <c r="B444" s="695" t="s">
        <v>760</v>
      </c>
      <c r="C444" s="777">
        <v>1233.8630000000001</v>
      </c>
      <c r="D444" s="778">
        <v>1272.9059999999999</v>
      </c>
      <c r="E444" s="3855"/>
      <c r="F444" s="3817"/>
      <c r="G444" s="78"/>
      <c r="J444" s="31"/>
    </row>
    <row r="445" spans="1:10" hidden="1" outlineLevel="1" x14ac:dyDescent="0.25">
      <c r="A445" s="732" t="s">
        <v>1249</v>
      </c>
      <c r="B445" s="695" t="s">
        <v>761</v>
      </c>
      <c r="C445" s="777">
        <v>11982.109</v>
      </c>
      <c r="D445" s="778">
        <v>15520.31</v>
      </c>
      <c r="E445" s="3855"/>
      <c r="F445" s="3817"/>
      <c r="G445" s="78"/>
      <c r="J445" s="31"/>
    </row>
    <row r="446" spans="1:10" hidden="1" outlineLevel="1" x14ac:dyDescent="0.25">
      <c r="A446" s="754" t="s">
        <v>1249</v>
      </c>
      <c r="B446" s="726" t="s">
        <v>904</v>
      </c>
      <c r="C446" s="779">
        <v>5337.07</v>
      </c>
      <c r="D446" s="778">
        <v>5856.25</v>
      </c>
      <c r="E446" s="3855"/>
      <c r="F446" s="3818"/>
      <c r="G446" s="78"/>
      <c r="J446" s="31"/>
    </row>
    <row r="447" spans="1:10" hidden="1" outlineLevel="1" x14ac:dyDescent="0.25">
      <c r="A447" s="753" t="s">
        <v>2375</v>
      </c>
      <c r="B447" s="691" t="s">
        <v>115</v>
      </c>
      <c r="C447" s="775">
        <v>3682.61</v>
      </c>
      <c r="D447" s="776">
        <v>4248.6559999999999</v>
      </c>
      <c r="E447" s="3855">
        <v>0.1128</v>
      </c>
      <c r="F447" s="3816">
        <v>0.08</v>
      </c>
      <c r="G447" s="78"/>
      <c r="J447" s="31"/>
    </row>
    <row r="448" spans="1:10" hidden="1" outlineLevel="1" x14ac:dyDescent="0.25">
      <c r="A448" s="732" t="s">
        <v>2375</v>
      </c>
      <c r="B448" s="695" t="s">
        <v>760</v>
      </c>
      <c r="C448" s="777">
        <v>1272.9059999999999</v>
      </c>
      <c r="D448" s="778">
        <v>1459.913</v>
      </c>
      <c r="E448" s="3855"/>
      <c r="F448" s="3817"/>
      <c r="G448" s="78"/>
      <c r="J448" s="31"/>
    </row>
    <row r="449" spans="1:10" hidden="1" outlineLevel="1" x14ac:dyDescent="0.25">
      <c r="A449" s="732" t="s">
        <v>2375</v>
      </c>
      <c r="B449" s="695" t="s">
        <v>761</v>
      </c>
      <c r="C449" s="777">
        <v>15520.31</v>
      </c>
      <c r="D449" s="778">
        <v>16927.981</v>
      </c>
      <c r="E449" s="3855"/>
      <c r="F449" s="3817"/>
      <c r="G449" s="78"/>
      <c r="J449" s="31"/>
    </row>
    <row r="450" spans="1:10" hidden="1" outlineLevel="1" x14ac:dyDescent="0.25">
      <c r="A450" s="754" t="s">
        <v>2375</v>
      </c>
      <c r="B450" s="726" t="s">
        <v>904</v>
      </c>
      <c r="C450" s="779">
        <v>5856.25</v>
      </c>
      <c r="D450" s="778">
        <v>6233.9</v>
      </c>
      <c r="E450" s="3855"/>
      <c r="F450" s="3818"/>
      <c r="G450" s="78"/>
      <c r="J450" s="31"/>
    </row>
    <row r="451" spans="1:10" hidden="1" outlineLevel="1" x14ac:dyDescent="0.25">
      <c r="A451" s="753" t="s">
        <v>2376</v>
      </c>
      <c r="B451" s="691" t="s">
        <v>115</v>
      </c>
      <c r="C451" s="775">
        <v>4248.6559999999999</v>
      </c>
      <c r="D451" s="780">
        <v>3379.4810000000002</v>
      </c>
      <c r="E451" s="3856">
        <v>-0.17130000000000001</v>
      </c>
      <c r="F451" s="3816">
        <v>-0.03</v>
      </c>
      <c r="G451" s="78"/>
      <c r="J451" s="31"/>
    </row>
    <row r="452" spans="1:10" hidden="1" outlineLevel="1" x14ac:dyDescent="0.25">
      <c r="A452" s="732" t="s">
        <v>2376</v>
      </c>
      <c r="B452" s="695" t="s">
        <v>760</v>
      </c>
      <c r="C452" s="777">
        <v>1459.913</v>
      </c>
      <c r="D452" s="777">
        <v>1281.9449999999999</v>
      </c>
      <c r="E452" s="3856"/>
      <c r="F452" s="3817"/>
      <c r="G452" s="78"/>
      <c r="J452" s="31"/>
    </row>
    <row r="453" spans="1:10" hidden="1" outlineLevel="1" x14ac:dyDescent="0.25">
      <c r="A453" s="732" t="s">
        <v>2376</v>
      </c>
      <c r="B453" s="695" t="s">
        <v>761</v>
      </c>
      <c r="C453" s="777">
        <v>16927.981</v>
      </c>
      <c r="D453" s="777">
        <v>13120.508</v>
      </c>
      <c r="E453" s="3856"/>
      <c r="F453" s="3817"/>
      <c r="G453" s="78"/>
      <c r="J453" s="31"/>
    </row>
    <row r="454" spans="1:10" hidden="1" outlineLevel="1" x14ac:dyDescent="0.25">
      <c r="A454" s="754" t="s">
        <v>2376</v>
      </c>
      <c r="B454" s="726" t="s">
        <v>904</v>
      </c>
      <c r="C454" s="779">
        <v>6233.9</v>
      </c>
      <c r="D454" s="779">
        <v>5460.45</v>
      </c>
      <c r="E454" s="3856"/>
      <c r="F454" s="3818"/>
      <c r="G454" s="78"/>
      <c r="J454" s="31"/>
    </row>
    <row r="455" spans="1:10" hidden="1" outlineLevel="1" x14ac:dyDescent="0.25">
      <c r="A455" s="732" t="s">
        <v>2377</v>
      </c>
      <c r="B455" s="690" t="s">
        <v>115</v>
      </c>
      <c r="C455" s="780">
        <v>3379.4810000000002</v>
      </c>
      <c r="D455" s="780">
        <v>2869.8270000000002</v>
      </c>
      <c r="E455" s="3855">
        <v>-0.1391</v>
      </c>
      <c r="F455" s="3816">
        <v>-0.03</v>
      </c>
      <c r="G455" s="78"/>
      <c r="J455" s="31"/>
    </row>
    <row r="456" spans="1:10" hidden="1" outlineLevel="1" x14ac:dyDescent="0.25">
      <c r="A456" s="732" t="s">
        <v>2377</v>
      </c>
      <c r="B456" s="706" t="s">
        <v>760</v>
      </c>
      <c r="C456" s="777">
        <v>1281.9449999999999</v>
      </c>
      <c r="D456" s="777">
        <v>1103.8009999999999</v>
      </c>
      <c r="E456" s="3855"/>
      <c r="F456" s="3817"/>
      <c r="G456" s="78"/>
      <c r="J456" s="31"/>
    </row>
    <row r="457" spans="1:10" hidden="1" outlineLevel="1" x14ac:dyDescent="0.25">
      <c r="A457" s="732" t="s">
        <v>2377</v>
      </c>
      <c r="B457" s="706" t="s">
        <v>761</v>
      </c>
      <c r="C457" s="777">
        <v>13120.508</v>
      </c>
      <c r="D457" s="777">
        <v>9957.0560000000005</v>
      </c>
      <c r="E457" s="3855"/>
      <c r="F457" s="3817"/>
      <c r="G457" s="78"/>
      <c r="J457" s="31"/>
    </row>
    <row r="458" spans="1:10" hidden="1" outlineLevel="1" x14ac:dyDescent="0.25">
      <c r="A458" s="732" t="s">
        <v>2377</v>
      </c>
      <c r="B458" s="713" t="s">
        <v>904</v>
      </c>
      <c r="C458" s="779">
        <v>5460.45</v>
      </c>
      <c r="D458" s="781">
        <v>5283.3879999999999</v>
      </c>
      <c r="E458" s="3855"/>
      <c r="F458" s="3818"/>
      <c r="G458" s="78"/>
      <c r="J458" s="31"/>
    </row>
    <row r="459" spans="1:10" collapsed="1" x14ac:dyDescent="0.25">
      <c r="A459" s="3801" t="s">
        <v>3121</v>
      </c>
      <c r="B459" s="3802"/>
      <c r="C459" s="3802"/>
      <c r="D459" s="3802"/>
      <c r="E459" s="782" t="s">
        <v>1429</v>
      </c>
      <c r="F459" s="752">
        <f>SUM(F439:F455)</f>
        <v>0.18</v>
      </c>
      <c r="G459" s="97" t="s">
        <v>781</v>
      </c>
      <c r="J459" s="31"/>
    </row>
    <row r="460" spans="1:10" x14ac:dyDescent="0.25">
      <c r="A460" s="19"/>
      <c r="B460" s="19"/>
      <c r="C460" s="19"/>
      <c r="D460" s="19"/>
      <c r="E460" s="20"/>
      <c r="F460" s="20"/>
      <c r="G460" s="19"/>
      <c r="J460" s="31"/>
    </row>
    <row r="461" spans="1:10" hidden="1" outlineLevel="1" x14ac:dyDescent="0.25">
      <c r="A461" s="689" t="s">
        <v>113</v>
      </c>
      <c r="B461" s="689" t="s">
        <v>114</v>
      </c>
      <c r="C461" s="689" t="s">
        <v>112</v>
      </c>
      <c r="D461" s="689" t="s">
        <v>116</v>
      </c>
      <c r="E461" s="689" t="s">
        <v>117</v>
      </c>
      <c r="F461" s="1188" t="s">
        <v>121</v>
      </c>
      <c r="G461" s="78"/>
      <c r="J461" s="31"/>
    </row>
    <row r="462" spans="1:10" hidden="1" outlineLevel="1" x14ac:dyDescent="0.25">
      <c r="A462" s="728">
        <v>1</v>
      </c>
      <c r="B462" s="729" t="s">
        <v>115</v>
      </c>
      <c r="C462" s="719">
        <v>2690.19</v>
      </c>
      <c r="D462" s="719">
        <v>2771.67</v>
      </c>
      <c r="E462" s="720">
        <f t="shared" ref="E462:E471" si="4">D462/C462-1</f>
        <v>3.0287823536627512E-2</v>
      </c>
      <c r="F462" s="731">
        <v>0</v>
      </c>
      <c r="G462" s="78"/>
      <c r="J462" s="31"/>
    </row>
    <row r="463" spans="1:10" hidden="1" outlineLevel="1" x14ac:dyDescent="0.25">
      <c r="A463" s="728">
        <v>2</v>
      </c>
      <c r="B463" s="729" t="s">
        <v>115</v>
      </c>
      <c r="C463" s="719">
        <v>2771.67</v>
      </c>
      <c r="D463" s="719">
        <v>2776.03</v>
      </c>
      <c r="E463" s="720">
        <f t="shared" si="4"/>
        <v>1.5730588417812719E-3</v>
      </c>
      <c r="F463" s="731">
        <v>0</v>
      </c>
      <c r="G463" s="78"/>
      <c r="J463" s="31"/>
    </row>
    <row r="464" spans="1:10" hidden="1" outlineLevel="1" x14ac:dyDescent="0.25">
      <c r="A464" s="728">
        <v>3</v>
      </c>
      <c r="B464" s="729" t="s">
        <v>115</v>
      </c>
      <c r="C464" s="719">
        <v>2776.03</v>
      </c>
      <c r="D464" s="719">
        <v>2907.45</v>
      </c>
      <c r="E464" s="720">
        <f t="shared" si="4"/>
        <v>4.7340986948988251E-2</v>
      </c>
      <c r="F464" s="731">
        <v>0</v>
      </c>
      <c r="G464" s="78"/>
      <c r="J464" s="31"/>
    </row>
    <row r="465" spans="1:10" hidden="1" outlineLevel="1" x14ac:dyDescent="0.25">
      <c r="A465" s="728">
        <v>4</v>
      </c>
      <c r="B465" s="729" t="s">
        <v>115</v>
      </c>
      <c r="C465" s="719">
        <v>2907.45</v>
      </c>
      <c r="D465" s="719">
        <v>2934.1</v>
      </c>
      <c r="E465" s="720">
        <f t="shared" si="4"/>
        <v>9.1661077576570271E-3</v>
      </c>
      <c r="F465" s="731">
        <v>0</v>
      </c>
      <c r="G465" s="78"/>
      <c r="J465" s="31"/>
    </row>
    <row r="466" spans="1:10" hidden="1" outlineLevel="1" x14ac:dyDescent="0.25">
      <c r="A466" s="728">
        <v>5</v>
      </c>
      <c r="B466" s="729" t="s">
        <v>115</v>
      </c>
      <c r="C466" s="719">
        <v>2934.1</v>
      </c>
      <c r="D466" s="719">
        <v>2948.22</v>
      </c>
      <c r="E466" s="720">
        <f t="shared" si="4"/>
        <v>4.8123785828704246E-3</v>
      </c>
      <c r="F466" s="731">
        <v>0</v>
      </c>
      <c r="G466" s="78"/>
      <c r="J466" s="31"/>
    </row>
    <row r="467" spans="1:10" hidden="1" outlineLevel="1" x14ac:dyDescent="0.25">
      <c r="A467" s="728">
        <v>6</v>
      </c>
      <c r="B467" s="729" t="s">
        <v>115</v>
      </c>
      <c r="C467" s="719">
        <v>2948.22</v>
      </c>
      <c r="D467" s="719">
        <v>3075.76</v>
      </c>
      <c r="E467" s="720">
        <f t="shared" si="4"/>
        <v>4.3260000949725708E-2</v>
      </c>
      <c r="F467" s="731">
        <v>0</v>
      </c>
      <c r="G467" s="78"/>
      <c r="J467" s="31"/>
    </row>
    <row r="468" spans="1:10" hidden="1" outlineLevel="1" x14ac:dyDescent="0.25">
      <c r="A468" s="728">
        <v>7</v>
      </c>
      <c r="B468" s="729" t="s">
        <v>115</v>
      </c>
      <c r="C468" s="719">
        <v>3075.76</v>
      </c>
      <c r="D468" s="719">
        <v>3060.72</v>
      </c>
      <c r="E468" s="720">
        <f t="shared" si="4"/>
        <v>-4.8898483626812483E-3</v>
      </c>
      <c r="F468" s="731">
        <f>E468</f>
        <v>-4.8898483626812483E-3</v>
      </c>
      <c r="G468" s="78"/>
      <c r="J468" s="31"/>
    </row>
    <row r="469" spans="1:10" hidden="1" outlineLevel="1" x14ac:dyDescent="0.25">
      <c r="A469" s="728">
        <v>8</v>
      </c>
      <c r="B469" s="729" t="s">
        <v>115</v>
      </c>
      <c r="C469" s="719">
        <v>3060.72</v>
      </c>
      <c r="D469" s="719">
        <v>3075.33</v>
      </c>
      <c r="E469" s="720">
        <f t="shared" si="4"/>
        <v>4.7733866541206371E-3</v>
      </c>
      <c r="F469" s="731">
        <v>0</v>
      </c>
      <c r="G469" s="78"/>
      <c r="J469" s="31"/>
    </row>
    <row r="470" spans="1:10" hidden="1" outlineLevel="1" x14ac:dyDescent="0.25">
      <c r="A470" s="728">
        <v>9</v>
      </c>
      <c r="B470" s="729" t="s">
        <v>115</v>
      </c>
      <c r="C470" s="719">
        <v>3075.33</v>
      </c>
      <c r="D470" s="719">
        <v>2994.52</v>
      </c>
      <c r="E470" s="720">
        <f t="shared" si="4"/>
        <v>-2.6276854841594255E-2</v>
      </c>
      <c r="F470" s="731">
        <f>E470</f>
        <v>-2.6276854841594255E-2</v>
      </c>
      <c r="G470" s="78"/>
      <c r="J470" s="31"/>
    </row>
    <row r="471" spans="1:10" hidden="1" outlineLevel="1" x14ac:dyDescent="0.25">
      <c r="A471" s="728">
        <v>10</v>
      </c>
      <c r="B471" s="729" t="s">
        <v>115</v>
      </c>
      <c r="C471" s="719">
        <v>2994.52</v>
      </c>
      <c r="D471" s="719">
        <v>3162.86</v>
      </c>
      <c r="E471" s="720">
        <f t="shared" si="4"/>
        <v>5.6216021265511618E-2</v>
      </c>
      <c r="F471" s="731">
        <v>0</v>
      </c>
      <c r="G471" s="78"/>
      <c r="J471" s="31"/>
    </row>
    <row r="472" spans="1:10" hidden="1" outlineLevel="1" x14ac:dyDescent="0.25">
      <c r="A472" s="728">
        <v>11</v>
      </c>
      <c r="B472" s="729" t="s">
        <v>115</v>
      </c>
      <c r="C472" s="719">
        <v>3162.86</v>
      </c>
      <c r="D472" s="719">
        <v>3277.2</v>
      </c>
      <c r="E472" s="720">
        <f t="shared" ref="E472:E477" si="5">D472/C472-1</f>
        <v>3.6150825518675989E-2</v>
      </c>
      <c r="F472" s="731">
        <v>0</v>
      </c>
      <c r="G472" s="78"/>
      <c r="J472" s="31"/>
    </row>
    <row r="473" spans="1:10" hidden="1" outlineLevel="1" x14ac:dyDescent="0.25">
      <c r="A473" s="728">
        <v>12</v>
      </c>
      <c r="B473" s="729" t="s">
        <v>115</v>
      </c>
      <c r="C473" s="719">
        <v>3277.2</v>
      </c>
      <c r="D473" s="719">
        <v>3334.15</v>
      </c>
      <c r="E473" s="720">
        <f t="shared" si="5"/>
        <v>1.7377639448309612E-2</v>
      </c>
      <c r="F473" s="731">
        <v>0</v>
      </c>
      <c r="G473" s="78"/>
      <c r="J473" s="31"/>
    </row>
    <row r="474" spans="1:10" hidden="1" outlineLevel="1" x14ac:dyDescent="0.25">
      <c r="A474" s="728">
        <v>13</v>
      </c>
      <c r="B474" s="729" t="s">
        <v>115</v>
      </c>
      <c r="C474" s="719">
        <v>3334.15</v>
      </c>
      <c r="D474" s="719">
        <v>3338.99</v>
      </c>
      <c r="E474" s="720">
        <f t="shared" si="5"/>
        <v>1.4516443471348506E-3</v>
      </c>
      <c r="F474" s="731">
        <v>0</v>
      </c>
      <c r="G474" s="78"/>
      <c r="J474" s="31"/>
    </row>
    <row r="475" spans="1:10" hidden="1" outlineLevel="1" x14ac:dyDescent="0.25">
      <c r="A475" s="728">
        <v>14</v>
      </c>
      <c r="B475" s="729" t="s">
        <v>115</v>
      </c>
      <c r="C475" s="719">
        <v>3338.99</v>
      </c>
      <c r="D475" s="719">
        <v>3349.58</v>
      </c>
      <c r="E475" s="720">
        <f t="shared" si="5"/>
        <v>3.1716177646534671E-3</v>
      </c>
      <c r="F475" s="731">
        <v>0</v>
      </c>
      <c r="G475" s="78"/>
      <c r="J475" s="31"/>
    </row>
    <row r="476" spans="1:10" hidden="1" outlineLevel="1" x14ac:dyDescent="0.25">
      <c r="A476" s="728">
        <v>15</v>
      </c>
      <c r="B476" s="729" t="s">
        <v>115</v>
      </c>
      <c r="C476" s="719">
        <v>3349.58</v>
      </c>
      <c r="D476" s="719">
        <v>3412.19</v>
      </c>
      <c r="E476" s="720">
        <f t="shared" si="5"/>
        <v>1.8691895700356564E-2</v>
      </c>
      <c r="F476" s="731">
        <v>0</v>
      </c>
      <c r="G476" s="78"/>
      <c r="J476" s="31"/>
    </row>
    <row r="477" spans="1:10" hidden="1" outlineLevel="1" x14ac:dyDescent="0.25">
      <c r="A477" s="728">
        <v>16</v>
      </c>
      <c r="B477" s="729" t="s">
        <v>115</v>
      </c>
      <c r="C477" s="719">
        <v>3412.19</v>
      </c>
      <c r="D477" s="719">
        <v>3519.12</v>
      </c>
      <c r="E477" s="720">
        <f t="shared" si="5"/>
        <v>3.1337645324556851E-2</v>
      </c>
      <c r="F477" s="731">
        <v>0</v>
      </c>
      <c r="G477" s="78"/>
      <c r="J477" s="31"/>
    </row>
    <row r="478" spans="1:10" hidden="1" outlineLevel="1" x14ac:dyDescent="0.25">
      <c r="A478" s="728">
        <v>17</v>
      </c>
      <c r="B478" s="729" t="s">
        <v>115</v>
      </c>
      <c r="C478" s="719">
        <v>3519.12</v>
      </c>
      <c r="D478" s="719">
        <v>3629.25</v>
      </c>
      <c r="E478" s="720">
        <f t="shared" ref="E478:E497" si="6">D478/C478-1</f>
        <v>3.1294755507058625E-2</v>
      </c>
      <c r="F478" s="731">
        <v>0</v>
      </c>
      <c r="G478" s="78"/>
      <c r="J478" s="31"/>
    </row>
    <row r="479" spans="1:10" hidden="1" outlineLevel="1" x14ac:dyDescent="0.25">
      <c r="A479" s="728">
        <v>18</v>
      </c>
      <c r="B479" s="729" t="s">
        <v>115</v>
      </c>
      <c r="C479" s="719">
        <v>3629.25</v>
      </c>
      <c r="D479" s="719">
        <v>3734.48</v>
      </c>
      <c r="E479" s="720">
        <f t="shared" si="6"/>
        <v>2.8994971412826365E-2</v>
      </c>
      <c r="F479" s="731">
        <v>0</v>
      </c>
      <c r="G479" s="78"/>
      <c r="J479" s="31"/>
    </row>
    <row r="480" spans="1:10" hidden="1" outlineLevel="1" x14ac:dyDescent="0.25">
      <c r="A480" s="728">
        <v>19</v>
      </c>
      <c r="B480" s="729" t="s">
        <v>115</v>
      </c>
      <c r="C480" s="719">
        <v>3734.48</v>
      </c>
      <c r="D480" s="719">
        <v>3833.48</v>
      </c>
      <c r="E480" s="720">
        <f t="shared" si="6"/>
        <v>2.6509714873288903E-2</v>
      </c>
      <c r="F480" s="731">
        <v>0</v>
      </c>
      <c r="G480" s="78"/>
      <c r="J480" s="31"/>
    </row>
    <row r="481" spans="1:10" hidden="1" outlineLevel="1" x14ac:dyDescent="0.25">
      <c r="A481" s="728">
        <v>20</v>
      </c>
      <c r="B481" s="729" t="s">
        <v>115</v>
      </c>
      <c r="C481" s="719">
        <v>3833.48</v>
      </c>
      <c r="D481" s="719">
        <v>3770.79</v>
      </c>
      <c r="E481" s="720">
        <f t="shared" si="6"/>
        <v>-1.635328735248387E-2</v>
      </c>
      <c r="F481" s="731">
        <v>-1.6400000000000001E-2</v>
      </c>
      <c r="G481" s="78"/>
      <c r="J481" s="31"/>
    </row>
    <row r="482" spans="1:10" hidden="1" outlineLevel="1" x14ac:dyDescent="0.25">
      <c r="A482" s="728">
        <v>21</v>
      </c>
      <c r="B482" s="729" t="s">
        <v>115</v>
      </c>
      <c r="C482" s="719">
        <v>3770.79</v>
      </c>
      <c r="D482" s="719">
        <v>3711.16</v>
      </c>
      <c r="E482" s="720">
        <f t="shared" si="6"/>
        <v>-1.5813662389048466E-2</v>
      </c>
      <c r="F482" s="731">
        <v>-1.5800000000000002E-2</v>
      </c>
      <c r="G482" s="78"/>
      <c r="J482" s="31"/>
    </row>
    <row r="483" spans="1:10" hidden="1" outlineLevel="1" x14ac:dyDescent="0.25">
      <c r="A483" s="728">
        <v>22</v>
      </c>
      <c r="B483" s="729" t="s">
        <v>115</v>
      </c>
      <c r="C483" s="719">
        <v>3711.16</v>
      </c>
      <c r="D483" s="719">
        <v>3414.21</v>
      </c>
      <c r="E483" s="720">
        <f t="shared" si="6"/>
        <v>-8.0015412970607547E-2</v>
      </c>
      <c r="F483" s="731">
        <v>-0.08</v>
      </c>
      <c r="G483" s="78"/>
      <c r="J483" s="31"/>
    </row>
    <row r="484" spans="1:10" hidden="1" outlineLevel="1" x14ac:dyDescent="0.25">
      <c r="A484" s="728">
        <v>23</v>
      </c>
      <c r="B484" s="729" t="s">
        <v>115</v>
      </c>
      <c r="C484" s="719">
        <v>3414.21</v>
      </c>
      <c r="D484" s="719">
        <v>3508.25</v>
      </c>
      <c r="E484" s="720">
        <f t="shared" si="6"/>
        <v>2.7543707036181031E-2</v>
      </c>
      <c r="F484" s="731">
        <v>0</v>
      </c>
      <c r="G484" s="78"/>
      <c r="J484" s="31"/>
    </row>
    <row r="485" spans="1:10" hidden="1" outlineLevel="1" x14ac:dyDescent="0.25">
      <c r="A485" s="728">
        <v>24</v>
      </c>
      <c r="B485" s="729" t="s">
        <v>115</v>
      </c>
      <c r="C485" s="719">
        <v>3508.25</v>
      </c>
      <c r="D485" s="719">
        <v>3719.11</v>
      </c>
      <c r="E485" s="720">
        <f t="shared" si="6"/>
        <v>6.0104040476020915E-2</v>
      </c>
      <c r="F485" s="731">
        <v>0</v>
      </c>
      <c r="G485" s="78"/>
      <c r="J485" s="31"/>
    </row>
    <row r="486" spans="1:10" hidden="1" outlineLevel="1" x14ac:dyDescent="0.25">
      <c r="A486" s="728">
        <v>25</v>
      </c>
      <c r="B486" s="729" t="s">
        <v>115</v>
      </c>
      <c r="C486" s="719">
        <v>3719.11</v>
      </c>
      <c r="D486" s="719">
        <v>3796.59</v>
      </c>
      <c r="E486" s="720">
        <f t="shared" si="6"/>
        <v>2.0832941214430356E-2</v>
      </c>
      <c r="F486" s="731">
        <v>0</v>
      </c>
      <c r="G486" s="78"/>
      <c r="J486" s="31"/>
    </row>
    <row r="487" spans="1:10" hidden="1" outlineLevel="1" x14ac:dyDescent="0.25">
      <c r="A487" s="728">
        <v>26</v>
      </c>
      <c r="B487" s="729" t="s">
        <v>115</v>
      </c>
      <c r="C487" s="719">
        <v>3796.59</v>
      </c>
      <c r="D487" s="719">
        <v>3999.07</v>
      </c>
      <c r="E487" s="720">
        <f t="shared" si="6"/>
        <v>5.3332069040902486E-2</v>
      </c>
      <c r="F487" s="731">
        <v>0</v>
      </c>
      <c r="G487" s="78"/>
      <c r="J487" s="31"/>
    </row>
    <row r="488" spans="1:10" hidden="1" outlineLevel="1" x14ac:dyDescent="0.25">
      <c r="A488" s="728">
        <v>27</v>
      </c>
      <c r="B488" s="729" t="s">
        <v>115</v>
      </c>
      <c r="C488" s="719">
        <v>3999.07</v>
      </c>
      <c r="D488" s="719">
        <v>4084.33</v>
      </c>
      <c r="E488" s="720">
        <f t="shared" si="6"/>
        <v>2.1319956889976899E-2</v>
      </c>
      <c r="F488" s="731">
        <v>0</v>
      </c>
      <c r="G488" s="78"/>
      <c r="J488" s="31"/>
    </row>
    <row r="489" spans="1:10" hidden="1" outlineLevel="1" x14ac:dyDescent="0.25">
      <c r="A489" s="728">
        <v>28</v>
      </c>
      <c r="B489" s="729" t="s">
        <v>115</v>
      </c>
      <c r="C489" s="719">
        <v>4084.33</v>
      </c>
      <c r="D489" s="719">
        <v>4118.84</v>
      </c>
      <c r="E489" s="720">
        <f t="shared" si="6"/>
        <v>8.4493662363227529E-3</v>
      </c>
      <c r="F489" s="731">
        <v>0</v>
      </c>
      <c r="G489" s="78"/>
      <c r="J489" s="31"/>
    </row>
    <row r="490" spans="1:10" hidden="1" outlineLevel="1" x14ac:dyDescent="0.25">
      <c r="A490" s="728">
        <v>29</v>
      </c>
      <c r="B490" s="729" t="s">
        <v>115</v>
      </c>
      <c r="C490" s="719">
        <v>4118.84</v>
      </c>
      <c r="D490" s="719">
        <v>4187.3599999999997</v>
      </c>
      <c r="E490" s="720">
        <f t="shared" si="6"/>
        <v>1.6635751813617317E-2</v>
      </c>
      <c r="F490" s="731">
        <v>0</v>
      </c>
      <c r="G490" s="78"/>
      <c r="J490" s="31"/>
    </row>
    <row r="491" spans="1:10" hidden="1" outlineLevel="1" x14ac:dyDescent="0.25">
      <c r="A491" s="728">
        <v>30</v>
      </c>
      <c r="B491" s="729" t="s">
        <v>115</v>
      </c>
      <c r="C491" s="719">
        <v>4187.3599999999997</v>
      </c>
      <c r="D491" s="719">
        <v>4267.0200000000004</v>
      </c>
      <c r="E491" s="720">
        <f t="shared" si="6"/>
        <v>1.9023919605670514E-2</v>
      </c>
      <c r="F491" s="731">
        <v>0</v>
      </c>
      <c r="G491" s="78"/>
      <c r="J491" s="31"/>
    </row>
    <row r="492" spans="1:10" hidden="1" outlineLevel="1" x14ac:dyDescent="0.25">
      <c r="A492" s="728">
        <v>31</v>
      </c>
      <c r="B492" s="729" t="s">
        <v>115</v>
      </c>
      <c r="C492" s="719">
        <v>4267.0200000000004</v>
      </c>
      <c r="D492" s="719">
        <v>3906.15</v>
      </c>
      <c r="E492" s="720">
        <f t="shared" si="6"/>
        <v>-8.4571902639312801E-2</v>
      </c>
      <c r="F492" s="731">
        <f>E492</f>
        <v>-8.4571902639312801E-2</v>
      </c>
      <c r="G492" s="78"/>
      <c r="J492" s="31"/>
    </row>
    <row r="493" spans="1:10" hidden="1" outlineLevel="1" x14ac:dyDescent="0.25">
      <c r="A493" s="728">
        <v>32</v>
      </c>
      <c r="B493" s="729" t="s">
        <v>115</v>
      </c>
      <c r="C493" s="719">
        <v>3906.15</v>
      </c>
      <c r="D493" s="719">
        <v>4384.38</v>
      </c>
      <c r="E493" s="720">
        <f t="shared" si="6"/>
        <v>0.12243001420836364</v>
      </c>
      <c r="F493" s="731">
        <v>0</v>
      </c>
      <c r="G493" s="78"/>
      <c r="J493" s="31"/>
    </row>
    <row r="494" spans="1:10" hidden="1" outlineLevel="1" x14ac:dyDescent="0.25">
      <c r="A494" s="728">
        <v>33</v>
      </c>
      <c r="B494" s="729" t="s">
        <v>115</v>
      </c>
      <c r="C494" s="719">
        <v>4384.38</v>
      </c>
      <c r="D494" s="719">
        <v>4441.03</v>
      </c>
      <c r="E494" s="720">
        <f t="shared" si="6"/>
        <v>1.2920869085252473E-2</v>
      </c>
      <c r="F494" s="731">
        <v>0</v>
      </c>
      <c r="G494" s="78"/>
      <c r="J494" s="31"/>
    </row>
    <row r="495" spans="1:10" hidden="1" outlineLevel="1" x14ac:dyDescent="0.25">
      <c r="A495" s="728">
        <v>34</v>
      </c>
      <c r="B495" s="729" t="s">
        <v>115</v>
      </c>
      <c r="C495" s="719">
        <v>4441.03</v>
      </c>
      <c r="D495" s="719">
        <v>4485.04</v>
      </c>
      <c r="E495" s="720">
        <f t="shared" si="6"/>
        <v>9.9098632524436958E-3</v>
      </c>
      <c r="F495" s="731">
        <v>0</v>
      </c>
      <c r="G495" s="78"/>
      <c r="J495" s="31"/>
    </row>
    <row r="496" spans="1:10" hidden="1" outlineLevel="1" x14ac:dyDescent="0.25">
      <c r="A496" s="728">
        <v>35</v>
      </c>
      <c r="B496" s="729" t="s">
        <v>115</v>
      </c>
      <c r="C496" s="719">
        <v>4485.04</v>
      </c>
      <c r="D496" s="719">
        <v>4542.57</v>
      </c>
      <c r="E496" s="720">
        <f t="shared" si="6"/>
        <v>1.2827087383836089E-2</v>
      </c>
      <c r="F496" s="731">
        <v>0</v>
      </c>
      <c r="G496" s="78"/>
      <c r="J496" s="31"/>
    </row>
    <row r="497" spans="1:10" hidden="1" outlineLevel="1" x14ac:dyDescent="0.25">
      <c r="A497" s="728">
        <v>36</v>
      </c>
      <c r="B497" s="729" t="s">
        <v>115</v>
      </c>
      <c r="C497" s="719">
        <v>4542.57</v>
      </c>
      <c r="D497" s="719">
        <v>4248.6559999999999</v>
      </c>
      <c r="E497" s="720">
        <f t="shared" si="6"/>
        <v>-6.4702139978029982E-2</v>
      </c>
      <c r="F497" s="731">
        <f>E497</f>
        <v>-6.4702139978029982E-2</v>
      </c>
      <c r="G497" s="78"/>
      <c r="J497" s="31"/>
    </row>
    <row r="498" spans="1:10" collapsed="1" x14ac:dyDescent="0.25">
      <c r="A498" s="3801" t="s">
        <v>3122</v>
      </c>
      <c r="B498" s="3802"/>
      <c r="C498" s="3802"/>
      <c r="D498" s="3802"/>
      <c r="E498" s="721" t="s">
        <v>2722</v>
      </c>
      <c r="F498" s="722">
        <f>0.55+SUM(F462:F497)-0.01%</f>
        <v>0.25725925417838175</v>
      </c>
      <c r="G498" s="175" t="s">
        <v>781</v>
      </c>
      <c r="J498" s="31"/>
    </row>
    <row r="499" spans="1:10" x14ac:dyDescent="0.25">
      <c r="A499" s="19"/>
      <c r="B499" s="19"/>
      <c r="C499" s="19"/>
      <c r="D499" s="19"/>
      <c r="E499" s="20"/>
      <c r="F499" s="20"/>
      <c r="G499" s="19"/>
      <c r="J499" s="31"/>
    </row>
    <row r="500" spans="1:10" hidden="1" outlineLevel="1" x14ac:dyDescent="0.25">
      <c r="A500" s="783" t="s">
        <v>113</v>
      </c>
      <c r="B500" s="783" t="s">
        <v>114</v>
      </c>
      <c r="C500" s="783" t="s">
        <v>112</v>
      </c>
      <c r="D500" s="783" t="s">
        <v>116</v>
      </c>
      <c r="E500" s="783" t="s">
        <v>117</v>
      </c>
      <c r="F500" s="1852" t="s">
        <v>121</v>
      </c>
      <c r="G500" s="97"/>
      <c r="J500" s="31"/>
    </row>
    <row r="501" spans="1:10" hidden="1" outlineLevel="1" x14ac:dyDescent="0.25">
      <c r="A501" s="784" t="s">
        <v>2378</v>
      </c>
      <c r="B501" s="785" t="s">
        <v>115</v>
      </c>
      <c r="C501" s="786">
        <v>2628.8649999999998</v>
      </c>
      <c r="D501" s="786">
        <v>3328.7939999999999</v>
      </c>
      <c r="E501" s="3853">
        <f>(0.5*D501/C501+0.5*D502/C502)-1</f>
        <v>0.20592604301570061</v>
      </c>
      <c r="F501" s="3845">
        <v>0.05</v>
      </c>
      <c r="G501" s="97"/>
      <c r="J501" s="31"/>
    </row>
    <row r="502" spans="1:10" hidden="1" outlineLevel="1" x14ac:dyDescent="0.25">
      <c r="A502" s="787" t="s">
        <v>2378</v>
      </c>
      <c r="B502" s="788" t="s">
        <v>760</v>
      </c>
      <c r="C502" s="789">
        <v>1077.0409999999999</v>
      </c>
      <c r="D502" s="789">
        <v>1233.8630000000001</v>
      </c>
      <c r="E502" s="3854"/>
      <c r="F502" s="3846"/>
      <c r="G502" s="97"/>
      <c r="J502" s="31"/>
    </row>
    <row r="503" spans="1:10" hidden="1" outlineLevel="1" x14ac:dyDescent="0.25">
      <c r="A503" s="784" t="s">
        <v>2379</v>
      </c>
      <c r="B503" s="785" t="s">
        <v>115</v>
      </c>
      <c r="C503" s="786">
        <v>3328.7939999999999</v>
      </c>
      <c r="D503" s="786">
        <v>3682.61</v>
      </c>
      <c r="E503" s="3853">
        <v>7.0800000000000002E-2</v>
      </c>
      <c r="F503" s="3845">
        <v>0.05</v>
      </c>
      <c r="G503" s="97"/>
      <c r="J503" s="31"/>
    </row>
    <row r="504" spans="1:10" hidden="1" outlineLevel="1" x14ac:dyDescent="0.25">
      <c r="A504" s="787" t="s">
        <v>2379</v>
      </c>
      <c r="B504" s="788" t="s">
        <v>760</v>
      </c>
      <c r="C504" s="789">
        <v>1233.8630000000001</v>
      </c>
      <c r="D504" s="789">
        <v>1272.9059999999999</v>
      </c>
      <c r="E504" s="3854"/>
      <c r="F504" s="3846"/>
      <c r="G504" s="97"/>
      <c r="J504" s="31"/>
    </row>
    <row r="505" spans="1:10" hidden="1" outlineLevel="1" x14ac:dyDescent="0.25">
      <c r="A505" s="784" t="s">
        <v>2380</v>
      </c>
      <c r="B505" s="785" t="s">
        <v>115</v>
      </c>
      <c r="C505" s="786">
        <v>3682.61</v>
      </c>
      <c r="D505" s="786">
        <v>4248.6559999999999</v>
      </c>
      <c r="E505" s="3853">
        <v>0.15060000000000001</v>
      </c>
      <c r="F505" s="3845">
        <v>0.05</v>
      </c>
      <c r="G505" s="97"/>
      <c r="J505" s="31"/>
    </row>
    <row r="506" spans="1:10" hidden="1" outlineLevel="1" x14ac:dyDescent="0.25">
      <c r="A506" s="787" t="s">
        <v>2380</v>
      </c>
      <c r="B506" s="788" t="s">
        <v>760</v>
      </c>
      <c r="C506" s="789">
        <v>1272.9059999999999</v>
      </c>
      <c r="D506" s="789">
        <v>1459.913</v>
      </c>
      <c r="E506" s="3854"/>
      <c r="F506" s="3846"/>
      <c r="G506" s="97"/>
      <c r="J506" s="31"/>
    </row>
    <row r="507" spans="1:10" hidden="1" outlineLevel="1" x14ac:dyDescent="0.25">
      <c r="A507" s="784" t="s">
        <v>2381</v>
      </c>
      <c r="B507" s="785" t="s">
        <v>115</v>
      </c>
      <c r="C507" s="786">
        <v>4248.66</v>
      </c>
      <c r="D507" s="786">
        <v>3379.4810000000002</v>
      </c>
      <c r="E507" s="3853">
        <v>-0.16689999999999999</v>
      </c>
      <c r="F507" s="3845">
        <v>0</v>
      </c>
      <c r="G507" s="97"/>
      <c r="J507" s="31"/>
    </row>
    <row r="508" spans="1:10" hidden="1" outlineLevel="1" x14ac:dyDescent="0.25">
      <c r="A508" s="787" t="s">
        <v>2381</v>
      </c>
      <c r="B508" s="788" t="s">
        <v>760</v>
      </c>
      <c r="C508" s="789">
        <v>1459.913</v>
      </c>
      <c r="D508" s="789">
        <v>1281.9449999999999</v>
      </c>
      <c r="E508" s="3854"/>
      <c r="F508" s="3846"/>
      <c r="G508" s="97"/>
      <c r="J508" s="31"/>
    </row>
    <row r="509" spans="1:10" hidden="1" outlineLevel="1" x14ac:dyDescent="0.25">
      <c r="A509" s="790" t="s">
        <v>2382</v>
      </c>
      <c r="B509" s="785" t="s">
        <v>115</v>
      </c>
      <c r="C509" s="786">
        <v>3379.4810000000002</v>
      </c>
      <c r="D509" s="786">
        <v>2869.8270000000002</v>
      </c>
      <c r="E509" s="3853">
        <v>-0.14510000000000001</v>
      </c>
      <c r="F509" s="3845">
        <v>0</v>
      </c>
      <c r="G509" s="97"/>
      <c r="J509" s="31"/>
    </row>
    <row r="510" spans="1:10" hidden="1" outlineLevel="1" x14ac:dyDescent="0.25">
      <c r="A510" s="790" t="s">
        <v>2382</v>
      </c>
      <c r="B510" s="788" t="s">
        <v>760</v>
      </c>
      <c r="C510" s="789">
        <v>1281.9449999999999</v>
      </c>
      <c r="D510" s="789">
        <v>1103.8009999999999</v>
      </c>
      <c r="E510" s="3854"/>
      <c r="F510" s="3846"/>
      <c r="G510" s="97"/>
      <c r="J510" s="31"/>
    </row>
    <row r="511" spans="1:10" collapsed="1" x14ac:dyDescent="0.25">
      <c r="A511" s="3803" t="s">
        <v>3123</v>
      </c>
      <c r="B511" s="3804"/>
      <c r="C511" s="3804"/>
      <c r="D511" s="3804"/>
      <c r="E511" s="791" t="s">
        <v>2722</v>
      </c>
      <c r="F511" s="792">
        <f>SUM(F501:F509)</f>
        <v>0.15000000000000002</v>
      </c>
      <c r="G511" s="97" t="s">
        <v>781</v>
      </c>
      <c r="J511" s="31"/>
    </row>
    <row r="512" spans="1:10" x14ac:dyDescent="0.25">
      <c r="A512" s="19"/>
      <c r="B512" s="19"/>
      <c r="C512" s="19"/>
      <c r="D512" s="19"/>
      <c r="E512" s="20"/>
      <c r="F512" s="20"/>
      <c r="G512" s="19"/>
      <c r="J512" s="31"/>
    </row>
    <row r="513" spans="1:20" hidden="1" outlineLevel="1" x14ac:dyDescent="0.25">
      <c r="A513" s="689" t="s">
        <v>113</v>
      </c>
      <c r="B513" s="689" t="s">
        <v>114</v>
      </c>
      <c r="C513" s="689" t="s">
        <v>112</v>
      </c>
      <c r="D513" s="689" t="s">
        <v>116</v>
      </c>
      <c r="E513" s="689" t="s">
        <v>117</v>
      </c>
      <c r="F513" s="1188" t="s">
        <v>121</v>
      </c>
      <c r="G513" s="78"/>
      <c r="J513" s="31"/>
    </row>
    <row r="514" spans="1:20" hidden="1" outlineLevel="1" x14ac:dyDescent="0.25">
      <c r="A514" s="753" t="s">
        <v>1068</v>
      </c>
      <c r="B514" s="691" t="s">
        <v>115</v>
      </c>
      <c r="C514" s="793">
        <v>2757.6849999999999</v>
      </c>
      <c r="D514" s="692">
        <v>3390.0140000000001</v>
      </c>
      <c r="E514" s="3837">
        <f>(0.5*D514/C514+0.5*D515/C515)-1</f>
        <v>0.14899113552257881</v>
      </c>
      <c r="F514" s="3839">
        <v>0.05</v>
      </c>
      <c r="G514" s="78"/>
      <c r="J514" s="31"/>
    </row>
    <row r="515" spans="1:20" hidden="1" outlineLevel="1" x14ac:dyDescent="0.25">
      <c r="A515" s="754" t="s">
        <v>1068</v>
      </c>
      <c r="B515" s="695" t="s">
        <v>760</v>
      </c>
      <c r="C515" s="794">
        <v>1117.096</v>
      </c>
      <c r="D515" s="696">
        <v>1193.8240000000001</v>
      </c>
      <c r="E515" s="3838"/>
      <c r="F515" s="3840"/>
      <c r="G515" s="78"/>
      <c r="J515" s="31"/>
    </row>
    <row r="516" spans="1:20" hidden="1" outlineLevel="1" x14ac:dyDescent="0.25">
      <c r="A516" s="753" t="s">
        <v>983</v>
      </c>
      <c r="B516" s="691" t="s">
        <v>115</v>
      </c>
      <c r="C516" s="793">
        <v>3390.0140000000001</v>
      </c>
      <c r="D516" s="692">
        <v>3943.402</v>
      </c>
      <c r="E516" s="3837">
        <f>(0.5*D516/C516+0.5*D517/C517)-1</f>
        <v>0.14706923903755698</v>
      </c>
      <c r="F516" s="3839">
        <v>0.05</v>
      </c>
      <c r="G516" s="78"/>
      <c r="J516" s="31"/>
    </row>
    <row r="517" spans="1:20" hidden="1" outlineLevel="1" x14ac:dyDescent="0.25">
      <c r="A517" s="754" t="s">
        <v>983</v>
      </c>
      <c r="B517" s="695" t="s">
        <v>760</v>
      </c>
      <c r="C517" s="794">
        <v>1193.8240000000001</v>
      </c>
      <c r="D517" s="727">
        <v>1350.0930000000001</v>
      </c>
      <c r="E517" s="3838"/>
      <c r="F517" s="3840"/>
      <c r="G517" s="78"/>
      <c r="J517" s="31"/>
    </row>
    <row r="518" spans="1:20" hidden="1" outlineLevel="1" x14ac:dyDescent="0.25">
      <c r="A518" s="753" t="s">
        <v>984</v>
      </c>
      <c r="B518" s="691" t="s">
        <v>115</v>
      </c>
      <c r="C518" s="692">
        <v>3943.402</v>
      </c>
      <c r="D518" s="692">
        <v>4440.9589999999998</v>
      </c>
      <c r="E518" s="3813">
        <v>0.13719999999999999</v>
      </c>
      <c r="F518" s="3816">
        <v>0.05</v>
      </c>
      <c r="G518" s="78"/>
      <c r="J518" s="31"/>
    </row>
    <row r="519" spans="1:20" hidden="1" outlineLevel="1" x14ac:dyDescent="0.25">
      <c r="A519" s="754" t="s">
        <v>984</v>
      </c>
      <c r="B519" s="695" t="s">
        <v>760</v>
      </c>
      <c r="C519" s="727">
        <v>1350.0930000000001</v>
      </c>
      <c r="D519" s="727">
        <v>1553.01</v>
      </c>
      <c r="E519" s="3815"/>
      <c r="F519" s="3818"/>
      <c r="G519" s="78"/>
      <c r="J519" s="31"/>
    </row>
    <row r="520" spans="1:20" hidden="1" outlineLevel="1" x14ac:dyDescent="0.25">
      <c r="A520" s="753" t="s">
        <v>985</v>
      </c>
      <c r="B520" s="691" t="s">
        <v>115</v>
      </c>
      <c r="C520" s="692">
        <v>4440.96</v>
      </c>
      <c r="D520" s="692">
        <v>2812.7620000000002</v>
      </c>
      <c r="E520" s="3813">
        <v>-0.35510000000000003</v>
      </c>
      <c r="F520" s="3816">
        <v>0</v>
      </c>
      <c r="G520" s="78"/>
      <c r="J520" s="31"/>
    </row>
    <row r="521" spans="1:20" hidden="1" outlineLevel="1" x14ac:dyDescent="0.25">
      <c r="A521" s="754" t="s">
        <v>985</v>
      </c>
      <c r="B521" s="695" t="s">
        <v>760</v>
      </c>
      <c r="C521" s="727">
        <v>1553.01</v>
      </c>
      <c r="D521" s="727">
        <v>1022.313</v>
      </c>
      <c r="E521" s="3815"/>
      <c r="F521" s="3818"/>
      <c r="G521" s="78"/>
      <c r="J521" s="31"/>
    </row>
    <row r="522" spans="1:20" hidden="1" outlineLevel="1" x14ac:dyDescent="0.25">
      <c r="A522" s="732" t="s">
        <v>986</v>
      </c>
      <c r="B522" s="691" t="s">
        <v>115</v>
      </c>
      <c r="C522" s="692">
        <v>2812.7620000000002</v>
      </c>
      <c r="D522" s="696">
        <v>2859.373</v>
      </c>
      <c r="E522" s="3813">
        <v>2.5499999999999998E-2</v>
      </c>
      <c r="F522" s="3816">
        <v>0.05</v>
      </c>
      <c r="G522" s="78"/>
      <c r="J522" s="31"/>
    </row>
    <row r="523" spans="1:20" hidden="1" outlineLevel="1" x14ac:dyDescent="0.25">
      <c r="A523" s="732" t="s">
        <v>986</v>
      </c>
      <c r="B523" s="695" t="s">
        <v>760</v>
      </c>
      <c r="C523" s="727">
        <v>1022.313</v>
      </c>
      <c r="D523" s="726">
        <v>1058.6189999999999</v>
      </c>
      <c r="E523" s="3815"/>
      <c r="F523" s="3818"/>
      <c r="G523" s="78"/>
      <c r="J523" s="31"/>
    </row>
    <row r="524" spans="1:20" collapsed="1" x14ac:dyDescent="0.25">
      <c r="A524" s="3801" t="s">
        <v>2466</v>
      </c>
      <c r="B524" s="3802"/>
      <c r="C524" s="3802"/>
      <c r="D524" s="3802"/>
      <c r="E524" s="729"/>
      <c r="F524" s="752">
        <f>SUM(F514:F523)</f>
        <v>0.2</v>
      </c>
      <c r="G524" s="175" t="s">
        <v>781</v>
      </c>
      <c r="J524" s="31"/>
    </row>
    <row r="525" spans="1:20" x14ac:dyDescent="0.25">
      <c r="A525" s="19"/>
      <c r="B525" s="19"/>
      <c r="C525" s="19"/>
      <c r="D525" s="19"/>
      <c r="E525" s="20"/>
      <c r="F525" s="20"/>
      <c r="G525" s="19"/>
      <c r="J525" s="31"/>
    </row>
    <row r="526" spans="1:20" hidden="1" outlineLevel="1" x14ac:dyDescent="0.25">
      <c r="A526" s="689" t="s">
        <v>113</v>
      </c>
      <c r="B526" s="689" t="s">
        <v>114</v>
      </c>
      <c r="C526" s="689" t="s">
        <v>112</v>
      </c>
      <c r="D526" s="495" t="s">
        <v>116</v>
      </c>
      <c r="E526" s="689" t="s">
        <v>117</v>
      </c>
      <c r="F526" s="1188" t="s">
        <v>121</v>
      </c>
      <c r="G526" s="78"/>
      <c r="H526" s="15" t="s">
        <v>2040</v>
      </c>
      <c r="J526" s="31"/>
    </row>
    <row r="527" spans="1:20" hidden="1" outlineLevel="1" x14ac:dyDescent="0.25">
      <c r="A527" s="732" t="s">
        <v>4323</v>
      </c>
      <c r="B527" s="695" t="s">
        <v>2153</v>
      </c>
      <c r="C527" s="793">
        <v>2757.6849999999999</v>
      </c>
      <c r="D527" s="795">
        <v>2747.9</v>
      </c>
      <c r="E527" s="3837">
        <f>(0.5*D527/C527+0.5*D528/C528)-1</f>
        <v>9.0145547982281027E-3</v>
      </c>
      <c r="F527" s="3839">
        <v>-3.1277916666666524E-3</v>
      </c>
      <c r="G527" s="78"/>
      <c r="I527" s="271">
        <v>40087</v>
      </c>
      <c r="J527" s="271">
        <v>40118</v>
      </c>
      <c r="K527" s="271">
        <v>40148</v>
      </c>
      <c r="L527" s="271">
        <v>40179</v>
      </c>
      <c r="M527" s="271">
        <v>40210</v>
      </c>
      <c r="N527" s="271">
        <v>40238</v>
      </c>
      <c r="O527" s="271">
        <v>40269</v>
      </c>
      <c r="P527" s="271">
        <v>40299</v>
      </c>
      <c r="Q527" s="271">
        <v>40330</v>
      </c>
      <c r="R527" s="271">
        <v>40360</v>
      </c>
      <c r="S527" s="271">
        <v>40391</v>
      </c>
      <c r="T527" s="271">
        <v>40422</v>
      </c>
    </row>
    <row r="528" spans="1:20" hidden="1" outlineLevel="1" x14ac:dyDescent="0.25">
      <c r="A528" s="732" t="s">
        <v>4323</v>
      </c>
      <c r="B528" s="695" t="s">
        <v>760</v>
      </c>
      <c r="C528" s="794">
        <v>1117.096</v>
      </c>
      <c r="D528" s="796">
        <v>1141.2</v>
      </c>
      <c r="E528" s="3838"/>
      <c r="F528" s="3857"/>
      <c r="G528" s="78"/>
      <c r="H528" s="101">
        <f>H529*parametry!N33</f>
        <v>-4.220999999999993E-3</v>
      </c>
      <c r="I528">
        <v>96.121499999999997</v>
      </c>
      <c r="J528" s="31">
        <v>99.756600000000006</v>
      </c>
      <c r="K528">
        <v>103.6688</v>
      </c>
      <c r="L528">
        <v>98.412400000000005</v>
      </c>
      <c r="M528">
        <v>98.906099999999995</v>
      </c>
      <c r="N528">
        <v>105.4877</v>
      </c>
      <c r="O528">
        <v>104.1879</v>
      </c>
      <c r="P528">
        <v>96.087800000000001</v>
      </c>
      <c r="Q528">
        <v>92.790700000000001</v>
      </c>
      <c r="R528">
        <v>99.024600000000007</v>
      </c>
      <c r="S528">
        <v>94.524000000000001</v>
      </c>
      <c r="T528">
        <v>100.9015</v>
      </c>
    </row>
    <row r="529" spans="1:20" collapsed="1" x14ac:dyDescent="0.25">
      <c r="A529" s="3801" t="s">
        <v>6669</v>
      </c>
      <c r="B529" s="3802"/>
      <c r="C529" s="3802"/>
      <c r="D529" s="3802"/>
      <c r="E529" s="729"/>
      <c r="F529" s="752">
        <f>MAX(SUM(F527:F528),14%)</f>
        <v>0.14000000000000001</v>
      </c>
      <c r="G529" s="97" t="s">
        <v>781</v>
      </c>
      <c r="H529" s="261">
        <f>AVERAGE(I529:T529)</f>
        <v>-8.441999999999986E-3</v>
      </c>
      <c r="I529" s="37">
        <f t="shared" ref="I529:O529" si="7">I528/100-1</f>
        <v>-3.8785000000000069E-2</v>
      </c>
      <c r="J529" s="37">
        <f t="shared" si="7"/>
        <v>-2.4339999999999362E-3</v>
      </c>
      <c r="K529" s="37">
        <f t="shared" si="7"/>
        <v>3.6688000000000054E-2</v>
      </c>
      <c r="L529" s="37">
        <f t="shared" si="7"/>
        <v>-1.5876000000000001E-2</v>
      </c>
      <c r="M529" s="37">
        <f t="shared" si="7"/>
        <v>-1.0939000000000032E-2</v>
      </c>
      <c r="N529" s="37">
        <f t="shared" si="7"/>
        <v>5.4877000000000065E-2</v>
      </c>
      <c r="O529" s="37">
        <f t="shared" si="7"/>
        <v>4.1879E-2</v>
      </c>
      <c r="P529" s="37">
        <f>P528/100-1</f>
        <v>-3.912199999999999E-2</v>
      </c>
      <c r="Q529" s="37">
        <f>Q528/100-1</f>
        <v>-7.2092999999999963E-2</v>
      </c>
      <c r="R529" s="37">
        <f>R528/100-1</f>
        <v>-9.7539999999999294E-3</v>
      </c>
      <c r="S529" s="37">
        <f>S528/100-1</f>
        <v>-5.4760000000000031E-2</v>
      </c>
      <c r="T529" s="37">
        <f>T528/100-1</f>
        <v>9.0149999999999952E-3</v>
      </c>
    </row>
    <row r="530" spans="1:20" x14ac:dyDescent="0.25">
      <c r="A530" s="1"/>
      <c r="B530" s="1"/>
      <c r="C530" s="1"/>
      <c r="D530" s="1"/>
      <c r="E530" s="1"/>
      <c r="F530" s="1848"/>
      <c r="G530" s="78"/>
      <c r="J530" s="31"/>
    </row>
    <row r="531" spans="1:20" hidden="1" outlineLevel="1" x14ac:dyDescent="0.25">
      <c r="A531" s="689" t="s">
        <v>113</v>
      </c>
      <c r="B531" s="689" t="s">
        <v>114</v>
      </c>
      <c r="C531" s="689" t="s">
        <v>112</v>
      </c>
      <c r="D531" s="689" t="s">
        <v>116</v>
      </c>
      <c r="E531" s="689" t="s">
        <v>117</v>
      </c>
      <c r="F531" s="1188" t="s">
        <v>121</v>
      </c>
      <c r="G531" s="78"/>
      <c r="J531" s="31"/>
    </row>
    <row r="532" spans="1:20" hidden="1" outlineLevel="1" x14ac:dyDescent="0.25">
      <c r="A532" s="753" t="s">
        <v>4324</v>
      </c>
      <c r="B532" s="691" t="s">
        <v>115</v>
      </c>
      <c r="C532" s="793">
        <v>2879.3620000000001</v>
      </c>
      <c r="D532" s="793">
        <v>3360.9810000000002</v>
      </c>
      <c r="E532" s="3813">
        <v>0.14000000000000001</v>
      </c>
      <c r="F532" s="3816">
        <v>0.08</v>
      </c>
      <c r="G532" s="78"/>
      <c r="J532" s="31"/>
    </row>
    <row r="533" spans="1:20" hidden="1" outlineLevel="1" x14ac:dyDescent="0.25">
      <c r="A533" s="732" t="s">
        <v>4324</v>
      </c>
      <c r="B533" s="695" t="s">
        <v>760</v>
      </c>
      <c r="C533" s="797">
        <v>1167.981</v>
      </c>
      <c r="D533" s="797">
        <v>1221.9090000000001</v>
      </c>
      <c r="E533" s="3814"/>
      <c r="F533" s="3817"/>
      <c r="G533" s="78"/>
      <c r="J533" s="31"/>
    </row>
    <row r="534" spans="1:20" hidden="1" outlineLevel="1" x14ac:dyDescent="0.25">
      <c r="A534" s="754" t="s">
        <v>4324</v>
      </c>
      <c r="B534" s="726" t="s">
        <v>761</v>
      </c>
      <c r="C534" s="797">
        <v>11033.921</v>
      </c>
      <c r="D534" s="794">
        <v>14045.288</v>
      </c>
      <c r="E534" s="3815"/>
      <c r="F534" s="3818"/>
      <c r="G534" s="78"/>
      <c r="J534" s="31"/>
    </row>
    <row r="535" spans="1:20" hidden="1" outlineLevel="1" x14ac:dyDescent="0.25">
      <c r="A535" s="753" t="s">
        <v>775</v>
      </c>
      <c r="B535" s="691" t="s">
        <v>115</v>
      </c>
      <c r="C535" s="793">
        <v>3360.9810000000002</v>
      </c>
      <c r="D535" s="691">
        <v>4047.8620000000001</v>
      </c>
      <c r="E535" s="3813">
        <v>0.16589999999999999</v>
      </c>
      <c r="F535" s="3816">
        <v>0.08</v>
      </c>
      <c r="G535" s="78"/>
      <c r="J535" s="31"/>
    </row>
    <row r="536" spans="1:20" hidden="1" outlineLevel="1" x14ac:dyDescent="0.25">
      <c r="A536" s="732" t="s">
        <v>775</v>
      </c>
      <c r="B536" s="695" t="s">
        <v>760</v>
      </c>
      <c r="C536" s="797">
        <v>1221.9090000000001</v>
      </c>
      <c r="D536" s="798">
        <v>1378.4659999999999</v>
      </c>
      <c r="E536" s="3814"/>
      <c r="F536" s="3817"/>
      <c r="G536" s="78"/>
      <c r="J536" s="31"/>
    </row>
    <row r="537" spans="1:20" hidden="1" outlineLevel="1" x14ac:dyDescent="0.25">
      <c r="A537" s="754" t="s">
        <v>775</v>
      </c>
      <c r="B537" s="726" t="s">
        <v>761</v>
      </c>
      <c r="C537" s="794">
        <v>14045.288</v>
      </c>
      <c r="D537" s="768">
        <v>16256.57</v>
      </c>
      <c r="E537" s="3815"/>
      <c r="F537" s="3818"/>
      <c r="G537" s="78"/>
      <c r="J537" s="31"/>
    </row>
    <row r="538" spans="1:20" hidden="1" outlineLevel="1" x14ac:dyDescent="0.25">
      <c r="A538" s="753" t="s">
        <v>1016</v>
      </c>
      <c r="B538" s="691" t="s">
        <v>115</v>
      </c>
      <c r="C538" s="691">
        <v>4047.8620000000001</v>
      </c>
      <c r="D538" s="691">
        <v>4364.04</v>
      </c>
      <c r="E538" s="3813">
        <v>5.5500000000000001E-2</v>
      </c>
      <c r="F538" s="3816">
        <v>5.5500000000000001E-2</v>
      </c>
      <c r="G538" s="78"/>
      <c r="J538" s="31"/>
    </row>
    <row r="539" spans="1:20" hidden="1" outlineLevel="1" x14ac:dyDescent="0.25">
      <c r="A539" s="732" t="s">
        <v>1016</v>
      </c>
      <c r="B539" s="695" t="s">
        <v>760</v>
      </c>
      <c r="C539" s="798">
        <v>1378.4659999999999</v>
      </c>
      <c r="D539" s="695">
        <v>1483.5429999999999</v>
      </c>
      <c r="E539" s="3814"/>
      <c r="F539" s="3817"/>
      <c r="G539" s="78"/>
      <c r="J539" s="31"/>
    </row>
    <row r="540" spans="1:20" hidden="1" outlineLevel="1" x14ac:dyDescent="0.25">
      <c r="A540" s="754" t="s">
        <v>1016</v>
      </c>
      <c r="B540" s="726" t="s">
        <v>761</v>
      </c>
      <c r="C540" s="768">
        <v>16256.57</v>
      </c>
      <c r="D540" s="726">
        <v>15918.138000000001</v>
      </c>
      <c r="E540" s="3815"/>
      <c r="F540" s="3818"/>
      <c r="G540" s="78"/>
      <c r="J540" s="31"/>
    </row>
    <row r="541" spans="1:20" hidden="1" outlineLevel="1" x14ac:dyDescent="0.25">
      <c r="A541" s="753" t="s">
        <v>1017</v>
      </c>
      <c r="B541" s="691" t="s">
        <v>115</v>
      </c>
      <c r="C541" s="692">
        <v>4364.04</v>
      </c>
      <c r="D541" s="691">
        <v>2561.6950000000002</v>
      </c>
      <c r="E541" s="3813">
        <v>-0.40770000000000001</v>
      </c>
      <c r="F541" s="3816">
        <v>-0.03</v>
      </c>
      <c r="G541" s="78"/>
      <c r="J541" s="31"/>
    </row>
    <row r="542" spans="1:20" hidden="1" outlineLevel="1" x14ac:dyDescent="0.25">
      <c r="A542" s="732" t="s">
        <v>1017</v>
      </c>
      <c r="B542" s="695" t="s">
        <v>760</v>
      </c>
      <c r="C542" s="696">
        <v>1483.5429999999999</v>
      </c>
      <c r="D542" s="695">
        <v>921.57299999999998</v>
      </c>
      <c r="E542" s="3814"/>
      <c r="F542" s="3817"/>
      <c r="G542" s="78"/>
      <c r="J542" s="31"/>
    </row>
    <row r="543" spans="1:20" hidden="1" outlineLevel="1" x14ac:dyDescent="0.25">
      <c r="A543" s="754" t="s">
        <v>1017</v>
      </c>
      <c r="B543" s="726" t="s">
        <v>761</v>
      </c>
      <c r="C543" s="727">
        <v>15918.138000000001</v>
      </c>
      <c r="D543" s="726">
        <v>8792.7829999999994</v>
      </c>
      <c r="E543" s="3815"/>
      <c r="F543" s="3818"/>
      <c r="G543" s="78"/>
      <c r="J543" s="31"/>
    </row>
    <row r="544" spans="1:20" hidden="1" outlineLevel="1" x14ac:dyDescent="0.25">
      <c r="A544" s="732" t="s">
        <v>2876</v>
      </c>
      <c r="B544" s="691" t="s">
        <v>115</v>
      </c>
      <c r="C544" s="691">
        <v>2561.6950000000002</v>
      </c>
      <c r="D544" s="691">
        <v>2854.866</v>
      </c>
      <c r="E544" s="3813">
        <v>0.17230000000000001</v>
      </c>
      <c r="F544" s="3816">
        <v>0.08</v>
      </c>
      <c r="G544" s="78"/>
      <c r="J544" s="31"/>
    </row>
    <row r="545" spans="1:10" hidden="1" outlineLevel="1" x14ac:dyDescent="0.25">
      <c r="A545" s="732" t="s">
        <v>2876</v>
      </c>
      <c r="B545" s="695" t="s">
        <v>760</v>
      </c>
      <c r="C545" s="695">
        <v>921.57299999999998</v>
      </c>
      <c r="D545" s="695">
        <v>1133.9269999999999</v>
      </c>
      <c r="E545" s="3814"/>
      <c r="F545" s="3817"/>
      <c r="G545" s="78"/>
      <c r="I545" s="37"/>
      <c r="J545" s="31"/>
    </row>
    <row r="546" spans="1:10" hidden="1" outlineLevel="1" x14ac:dyDescent="0.25">
      <c r="A546" s="732" t="s">
        <v>2876</v>
      </c>
      <c r="B546" s="726" t="s">
        <v>761</v>
      </c>
      <c r="C546" s="726">
        <v>8792.7829999999994</v>
      </c>
      <c r="D546" s="726">
        <v>10429.541999999999</v>
      </c>
      <c r="E546" s="3815"/>
      <c r="F546" s="3818"/>
      <c r="G546" s="78"/>
      <c r="I546" s="37"/>
      <c r="J546" s="31"/>
    </row>
    <row r="547" spans="1:10" collapsed="1" x14ac:dyDescent="0.25">
      <c r="A547" s="3801" t="s">
        <v>737</v>
      </c>
      <c r="B547" s="3802"/>
      <c r="C547" s="3802"/>
      <c r="D547" s="3802"/>
      <c r="E547" s="729"/>
      <c r="F547" s="752">
        <f>SUM(F532:F546)</f>
        <v>0.26550000000000001</v>
      </c>
      <c r="G547" s="97" t="s">
        <v>781</v>
      </c>
      <c r="I547" s="37"/>
      <c r="J547" s="31"/>
    </row>
    <row r="548" spans="1:10" x14ac:dyDescent="0.25">
      <c r="A548" s="1"/>
      <c r="B548" s="1"/>
      <c r="C548" s="1"/>
      <c r="D548" s="1"/>
      <c r="E548" s="1"/>
      <c r="F548" s="1848"/>
      <c r="G548" s="78"/>
      <c r="I548" s="101"/>
      <c r="J548" s="31"/>
    </row>
    <row r="549" spans="1:10" hidden="1" outlineLevel="1" x14ac:dyDescent="0.25">
      <c r="A549" s="689" t="s">
        <v>113</v>
      </c>
      <c r="B549" s="689" t="s">
        <v>114</v>
      </c>
      <c r="C549" s="689" t="s">
        <v>112</v>
      </c>
      <c r="D549" s="689" t="s">
        <v>116</v>
      </c>
      <c r="E549" s="689" t="s">
        <v>117</v>
      </c>
      <c r="F549" s="1188" t="s">
        <v>121</v>
      </c>
      <c r="G549" s="78"/>
      <c r="I549" s="37"/>
      <c r="J549" s="31"/>
    </row>
    <row r="550" spans="1:10" hidden="1" outlineLevel="1" x14ac:dyDescent="0.25">
      <c r="A550" s="753" t="s">
        <v>4394</v>
      </c>
      <c r="B550" s="799" t="s">
        <v>115</v>
      </c>
      <c r="C550" s="800">
        <v>2879.3620000000001</v>
      </c>
      <c r="D550" s="800">
        <v>3360.9810000000002</v>
      </c>
      <c r="E550" s="3829">
        <f>(0.5*D550/C550+0.5*D551/C551)-1</f>
        <v>0.10671892872188149</v>
      </c>
      <c r="F550" s="3839">
        <v>5.5E-2</v>
      </c>
      <c r="G550" s="78"/>
      <c r="J550" s="31"/>
    </row>
    <row r="551" spans="1:10" hidden="1" outlineLevel="1" x14ac:dyDescent="0.25">
      <c r="A551" s="754" t="s">
        <v>4394</v>
      </c>
      <c r="B551" s="801" t="s">
        <v>760</v>
      </c>
      <c r="C551" s="802">
        <v>1167.981</v>
      </c>
      <c r="D551" s="802">
        <v>1221.9090000000001</v>
      </c>
      <c r="E551" s="3831"/>
      <c r="F551" s="3840"/>
      <c r="G551" s="78"/>
      <c r="J551" s="31"/>
    </row>
    <row r="552" spans="1:10" hidden="1" outlineLevel="1" x14ac:dyDescent="0.25">
      <c r="A552" s="753" t="s">
        <v>4395</v>
      </c>
      <c r="B552" s="799" t="s">
        <v>115</v>
      </c>
      <c r="C552" s="800">
        <v>3360.9810000000002</v>
      </c>
      <c r="D552" s="803">
        <v>4047.8620000000001</v>
      </c>
      <c r="E552" s="3829">
        <v>0.16830000000000001</v>
      </c>
      <c r="F552" s="3816">
        <v>5.5E-2</v>
      </c>
      <c r="G552" s="78"/>
      <c r="J552" s="31"/>
    </row>
    <row r="553" spans="1:10" hidden="1" outlineLevel="1" x14ac:dyDescent="0.25">
      <c r="A553" s="754" t="s">
        <v>4395</v>
      </c>
      <c r="B553" s="801" t="s">
        <v>760</v>
      </c>
      <c r="C553" s="802">
        <v>1221.9090000000001</v>
      </c>
      <c r="D553" s="715">
        <v>1378.4659999999999</v>
      </c>
      <c r="E553" s="3831"/>
      <c r="F553" s="3818"/>
      <c r="G553" s="78"/>
      <c r="J553" s="31"/>
    </row>
    <row r="554" spans="1:10" hidden="1" outlineLevel="1" x14ac:dyDescent="0.25">
      <c r="A554" s="753" t="s">
        <v>4396</v>
      </c>
      <c r="B554" s="799" t="s">
        <v>115</v>
      </c>
      <c r="C554" s="803">
        <v>4047.8620000000001</v>
      </c>
      <c r="D554" s="799">
        <v>4364.04</v>
      </c>
      <c r="E554" s="3819">
        <v>7.7299999999999994E-2</v>
      </c>
      <c r="F554" s="3816">
        <v>5.5E-2</v>
      </c>
      <c r="G554" s="78"/>
      <c r="J554" s="31"/>
    </row>
    <row r="555" spans="1:10" hidden="1" outlineLevel="1" x14ac:dyDescent="0.25">
      <c r="A555" s="754" t="s">
        <v>4396</v>
      </c>
      <c r="B555" s="801" t="s">
        <v>760</v>
      </c>
      <c r="C555" s="715">
        <v>1378.4659999999999</v>
      </c>
      <c r="D555" s="801">
        <v>1483.5429999999999</v>
      </c>
      <c r="E555" s="3821"/>
      <c r="F555" s="3818"/>
      <c r="G555" s="78"/>
      <c r="J555" s="31"/>
    </row>
    <row r="556" spans="1:10" hidden="1" outlineLevel="1" x14ac:dyDescent="0.25">
      <c r="A556" s="753" t="s">
        <v>374</v>
      </c>
      <c r="B556" s="799" t="s">
        <v>115</v>
      </c>
      <c r="C556" s="799">
        <v>4364.04</v>
      </c>
      <c r="D556" s="799">
        <v>2561.6950000000002</v>
      </c>
      <c r="E556" s="3819">
        <v>-0.39739999999999998</v>
      </c>
      <c r="F556" s="3816">
        <v>-0.03</v>
      </c>
      <c r="G556" s="78"/>
      <c r="J556" s="31"/>
    </row>
    <row r="557" spans="1:10" hidden="1" outlineLevel="1" x14ac:dyDescent="0.25">
      <c r="A557" s="754" t="s">
        <v>374</v>
      </c>
      <c r="B557" s="801" t="s">
        <v>760</v>
      </c>
      <c r="C557" s="801">
        <v>1483.5429999999999</v>
      </c>
      <c r="D557" s="801">
        <v>921.57299999999998</v>
      </c>
      <c r="E557" s="3821"/>
      <c r="F557" s="3818"/>
      <c r="G557" s="78"/>
      <c r="J557" s="31"/>
    </row>
    <row r="558" spans="1:10" hidden="1" outlineLevel="1" x14ac:dyDescent="0.25">
      <c r="A558" s="732" t="s">
        <v>375</v>
      </c>
      <c r="B558" s="799" t="s">
        <v>115</v>
      </c>
      <c r="C558" s="799">
        <v>2561.6950000000002</v>
      </c>
      <c r="D558" s="799">
        <v>2854.866</v>
      </c>
      <c r="E558" s="3819">
        <v>0.16900000000000001</v>
      </c>
      <c r="F558" s="3816">
        <v>5.5E-2</v>
      </c>
      <c r="G558" s="78"/>
      <c r="J558" s="31"/>
    </row>
    <row r="559" spans="1:10" hidden="1" outlineLevel="1" x14ac:dyDescent="0.25">
      <c r="A559" s="732" t="s">
        <v>375</v>
      </c>
      <c r="B559" s="801" t="s">
        <v>760</v>
      </c>
      <c r="C559" s="801">
        <v>921.57299999999998</v>
      </c>
      <c r="D559" s="801">
        <v>1133.9269999999999</v>
      </c>
      <c r="E559" s="3821"/>
      <c r="F559" s="3818"/>
      <c r="G559" s="78"/>
      <c r="J559" s="31"/>
    </row>
    <row r="560" spans="1:10" collapsed="1" x14ac:dyDescent="0.25">
      <c r="A560" s="3801" t="s">
        <v>738</v>
      </c>
      <c r="B560" s="3802"/>
      <c r="C560" s="3802"/>
      <c r="D560" s="3802"/>
      <c r="E560" s="729"/>
      <c r="F560" s="752">
        <f>SUM(F550:F559)</f>
        <v>0.19</v>
      </c>
      <c r="G560" s="97" t="s">
        <v>781</v>
      </c>
      <c r="J560" s="31"/>
    </row>
    <row r="561" spans="1:10" x14ac:dyDescent="0.25">
      <c r="A561" s="1"/>
      <c r="B561" s="1"/>
      <c r="C561" s="1"/>
      <c r="D561" s="1"/>
      <c r="E561" s="1"/>
      <c r="F561" s="1848"/>
      <c r="G561" s="78"/>
      <c r="J561" s="31"/>
    </row>
    <row r="562" spans="1:10" hidden="1" outlineLevel="1" x14ac:dyDescent="0.25">
      <c r="A562" s="689" t="s">
        <v>113</v>
      </c>
      <c r="B562" s="689" t="s">
        <v>114</v>
      </c>
      <c r="C562" s="689" t="s">
        <v>112</v>
      </c>
      <c r="D562" s="689" t="s">
        <v>116</v>
      </c>
      <c r="E562" s="689" t="s">
        <v>117</v>
      </c>
      <c r="F562" s="1188" t="s">
        <v>121</v>
      </c>
      <c r="G562" s="78"/>
      <c r="J562" s="31"/>
    </row>
    <row r="563" spans="1:10" hidden="1" outlineLevel="1" x14ac:dyDescent="0.25">
      <c r="A563" s="753" t="s">
        <v>376</v>
      </c>
      <c r="B563" s="799" t="s">
        <v>115</v>
      </c>
      <c r="C563" s="800">
        <v>2879.3620000000001</v>
      </c>
      <c r="D563" s="800">
        <v>3360.9810000000002</v>
      </c>
      <c r="E563" s="3819">
        <v>0.1067</v>
      </c>
      <c r="F563" s="3816">
        <v>7.0000000000000007E-2</v>
      </c>
      <c r="G563" s="78"/>
      <c r="J563" s="31"/>
    </row>
    <row r="564" spans="1:10" hidden="1" outlineLevel="1" x14ac:dyDescent="0.25">
      <c r="A564" s="754" t="s">
        <v>376</v>
      </c>
      <c r="B564" s="801" t="s">
        <v>760</v>
      </c>
      <c r="C564" s="802">
        <v>1167.981</v>
      </c>
      <c r="D564" s="802">
        <v>1221.9090000000001</v>
      </c>
      <c r="E564" s="3821"/>
      <c r="F564" s="3818"/>
      <c r="G564" s="78"/>
      <c r="J564" s="31"/>
    </row>
    <row r="565" spans="1:10" hidden="1" outlineLevel="1" x14ac:dyDescent="0.25">
      <c r="A565" s="753" t="s">
        <v>377</v>
      </c>
      <c r="B565" s="799" t="s">
        <v>115</v>
      </c>
      <c r="C565" s="800">
        <v>3360.9810000000002</v>
      </c>
      <c r="D565" s="799">
        <v>4047.8620000000001</v>
      </c>
      <c r="E565" s="3819">
        <v>0.16830000000000001</v>
      </c>
      <c r="F565" s="3816">
        <v>7.0000000000000007E-2</v>
      </c>
      <c r="G565" s="78"/>
      <c r="J565" s="31"/>
    </row>
    <row r="566" spans="1:10" hidden="1" outlineLevel="1" x14ac:dyDescent="0.25">
      <c r="A566" s="754" t="s">
        <v>377</v>
      </c>
      <c r="B566" s="801" t="s">
        <v>760</v>
      </c>
      <c r="C566" s="802">
        <v>1221.9090000000001</v>
      </c>
      <c r="D566" s="801">
        <v>1378.4659999999999</v>
      </c>
      <c r="E566" s="3821"/>
      <c r="F566" s="3818"/>
      <c r="G566" s="78"/>
      <c r="J566" s="31"/>
    </row>
    <row r="567" spans="1:10" hidden="1" outlineLevel="1" x14ac:dyDescent="0.25">
      <c r="A567" s="753" t="s">
        <v>1380</v>
      </c>
      <c r="B567" s="799" t="s">
        <v>115</v>
      </c>
      <c r="C567" s="799">
        <v>4047.8620000000001</v>
      </c>
      <c r="D567" s="799">
        <v>4364.04</v>
      </c>
      <c r="E567" s="3819">
        <v>7.7299999999999994E-2</v>
      </c>
      <c r="F567" s="3816">
        <v>7.0000000000000007E-2</v>
      </c>
      <c r="G567" s="78"/>
      <c r="J567" s="31"/>
    </row>
    <row r="568" spans="1:10" hidden="1" outlineLevel="1" x14ac:dyDescent="0.25">
      <c r="A568" s="754" t="s">
        <v>1380</v>
      </c>
      <c r="B568" s="801" t="s">
        <v>760</v>
      </c>
      <c r="C568" s="801">
        <v>1378.4659999999999</v>
      </c>
      <c r="D568" s="801">
        <v>1483.5429999999999</v>
      </c>
      <c r="E568" s="3821"/>
      <c r="F568" s="3818"/>
      <c r="G568" s="78"/>
      <c r="J568" s="31"/>
    </row>
    <row r="569" spans="1:10" hidden="1" outlineLevel="1" x14ac:dyDescent="0.25">
      <c r="A569" s="753" t="s">
        <v>895</v>
      </c>
      <c r="B569" s="799" t="s">
        <v>115</v>
      </c>
      <c r="C569" s="799">
        <v>4364.04</v>
      </c>
      <c r="D569" s="799">
        <v>2561.6950000000002</v>
      </c>
      <c r="E569" s="3819">
        <v>-0.39739999999999998</v>
      </c>
      <c r="F569" s="3816">
        <v>-0.03</v>
      </c>
      <c r="G569" s="78"/>
      <c r="J569" s="31"/>
    </row>
    <row r="570" spans="1:10" hidden="1" outlineLevel="1" x14ac:dyDescent="0.25">
      <c r="A570" s="754" t="s">
        <v>895</v>
      </c>
      <c r="B570" s="801" t="s">
        <v>760</v>
      </c>
      <c r="C570" s="801">
        <v>1483.5429999999999</v>
      </c>
      <c r="D570" s="801">
        <v>921.57299999999998</v>
      </c>
      <c r="E570" s="3821"/>
      <c r="F570" s="3818"/>
      <c r="G570" s="78"/>
      <c r="J570" s="31"/>
    </row>
    <row r="571" spans="1:10" hidden="1" outlineLevel="1" x14ac:dyDescent="0.25">
      <c r="A571" s="732" t="s">
        <v>896</v>
      </c>
      <c r="B571" s="799" t="s">
        <v>115</v>
      </c>
      <c r="C571" s="799">
        <v>2561.6950000000002</v>
      </c>
      <c r="D571" s="799">
        <v>2854.866</v>
      </c>
      <c r="E571" s="3819">
        <v>0.16900000000000001</v>
      </c>
      <c r="F571" s="3816">
        <v>7.0000000000000007E-2</v>
      </c>
      <c r="G571" s="78"/>
      <c r="J571" s="31"/>
    </row>
    <row r="572" spans="1:10" hidden="1" outlineLevel="1" x14ac:dyDescent="0.25">
      <c r="A572" s="732" t="s">
        <v>896</v>
      </c>
      <c r="B572" s="801" t="s">
        <v>760</v>
      </c>
      <c r="C572" s="801">
        <v>921.57299999999998</v>
      </c>
      <c r="D572" s="801">
        <v>1133.9269999999999</v>
      </c>
      <c r="E572" s="3821"/>
      <c r="F572" s="3818"/>
      <c r="G572" s="78"/>
      <c r="J572" s="31"/>
    </row>
    <row r="573" spans="1:10" collapsed="1" x14ac:dyDescent="0.25">
      <c r="A573" s="3801" t="s">
        <v>739</v>
      </c>
      <c r="B573" s="3802"/>
      <c r="C573" s="3802"/>
      <c r="D573" s="3802"/>
      <c r="E573" s="729"/>
      <c r="F573" s="752">
        <f>SUM(F563:F572)</f>
        <v>0.25</v>
      </c>
      <c r="G573" s="97" t="s">
        <v>781</v>
      </c>
      <c r="J573" s="31"/>
    </row>
    <row r="574" spans="1:10" x14ac:dyDescent="0.25">
      <c r="A574" s="1"/>
      <c r="B574" s="1"/>
      <c r="C574" s="1"/>
      <c r="D574" s="1"/>
      <c r="E574" s="1"/>
      <c r="F574" s="1848"/>
      <c r="G574" s="78"/>
      <c r="J574" s="31"/>
    </row>
    <row r="575" spans="1:10" hidden="1" outlineLevel="1" x14ac:dyDescent="0.25">
      <c r="A575" s="689" t="s">
        <v>113</v>
      </c>
      <c r="B575" s="689" t="s">
        <v>114</v>
      </c>
      <c r="C575" s="689" t="s">
        <v>112</v>
      </c>
      <c r="D575" s="689" t="s">
        <v>116</v>
      </c>
      <c r="E575" s="689" t="s">
        <v>117</v>
      </c>
      <c r="F575" s="1188" t="s">
        <v>121</v>
      </c>
      <c r="G575" s="78"/>
      <c r="J575" s="31"/>
    </row>
    <row r="576" spans="1:10" hidden="1" outlineLevel="1" x14ac:dyDescent="0.25">
      <c r="A576" s="753" t="s">
        <v>219</v>
      </c>
      <c r="B576" s="691" t="s">
        <v>115</v>
      </c>
      <c r="C576" s="793">
        <v>2893.91</v>
      </c>
      <c r="D576" s="793">
        <v>3360.9810000000002</v>
      </c>
      <c r="E576" s="3813">
        <v>9.9199999999999997E-2</v>
      </c>
      <c r="F576" s="3816">
        <v>7.0000000000000007E-2</v>
      </c>
      <c r="G576" s="78"/>
      <c r="J576" s="31"/>
    </row>
    <row r="577" spans="1:10" hidden="1" outlineLevel="1" x14ac:dyDescent="0.25">
      <c r="A577" s="754" t="s">
        <v>219</v>
      </c>
      <c r="B577" s="695" t="s">
        <v>760</v>
      </c>
      <c r="C577" s="797">
        <v>1178.2239999999999</v>
      </c>
      <c r="D577" s="797">
        <v>1221.9090000000001</v>
      </c>
      <c r="E577" s="3815"/>
      <c r="F577" s="3818"/>
      <c r="G577" s="78"/>
      <c r="J577" s="31"/>
    </row>
    <row r="578" spans="1:10" hidden="1" outlineLevel="1" x14ac:dyDescent="0.25">
      <c r="A578" s="753" t="s">
        <v>220</v>
      </c>
      <c r="B578" s="691" t="s">
        <v>115</v>
      </c>
      <c r="C578" s="793">
        <v>3360.9810000000002</v>
      </c>
      <c r="D578" s="691">
        <v>4047.8620000000001</v>
      </c>
      <c r="E578" s="3813">
        <v>0.16839999999999999</v>
      </c>
      <c r="F578" s="3816">
        <v>7.0000000000000007E-2</v>
      </c>
      <c r="G578" s="78"/>
      <c r="J578" s="31"/>
    </row>
    <row r="579" spans="1:10" hidden="1" outlineLevel="1" x14ac:dyDescent="0.25">
      <c r="A579" s="754" t="s">
        <v>220</v>
      </c>
      <c r="B579" s="695" t="s">
        <v>760</v>
      </c>
      <c r="C579" s="797">
        <v>1221.9090000000001</v>
      </c>
      <c r="D579" s="695">
        <v>1378.4659999999999</v>
      </c>
      <c r="E579" s="3814"/>
      <c r="F579" s="3817"/>
      <c r="G579" s="78"/>
      <c r="J579" s="31"/>
    </row>
    <row r="580" spans="1:10" hidden="1" outlineLevel="1" x14ac:dyDescent="0.25">
      <c r="A580" s="753" t="s">
        <v>221</v>
      </c>
      <c r="B580" s="691" t="s">
        <v>115</v>
      </c>
      <c r="C580" s="691">
        <v>4047.8620000000001</v>
      </c>
      <c r="D580" s="691">
        <v>4364.04</v>
      </c>
      <c r="E580" s="3813">
        <v>7.7299999999999994E-2</v>
      </c>
      <c r="F580" s="3816">
        <v>7.0000000000000007E-2</v>
      </c>
      <c r="G580" s="78"/>
      <c r="J580" s="31"/>
    </row>
    <row r="581" spans="1:10" hidden="1" outlineLevel="1" x14ac:dyDescent="0.25">
      <c r="A581" s="754" t="s">
        <v>221</v>
      </c>
      <c r="B581" s="695" t="s">
        <v>760</v>
      </c>
      <c r="C581" s="695">
        <v>1378.4659999999999</v>
      </c>
      <c r="D581" s="695">
        <v>1483.5429999999999</v>
      </c>
      <c r="E581" s="3814"/>
      <c r="F581" s="3817"/>
      <c r="G581" s="78"/>
      <c r="J581" s="31"/>
    </row>
    <row r="582" spans="1:10" hidden="1" outlineLevel="1" x14ac:dyDescent="0.25">
      <c r="A582" s="732" t="s">
        <v>222</v>
      </c>
      <c r="B582" s="691" t="s">
        <v>115</v>
      </c>
      <c r="C582" s="691">
        <v>4364.04</v>
      </c>
      <c r="D582" s="691">
        <v>1895.4929999999999</v>
      </c>
      <c r="E582" s="3813">
        <v>-0.54549999999999998</v>
      </c>
      <c r="F582" s="3816">
        <v>-0.03</v>
      </c>
      <c r="G582" s="78"/>
      <c r="J582" s="31"/>
    </row>
    <row r="583" spans="1:10" hidden="1" outlineLevel="1" x14ac:dyDescent="0.25">
      <c r="A583" s="732" t="s">
        <v>222</v>
      </c>
      <c r="B583" s="695" t="s">
        <v>760</v>
      </c>
      <c r="C583" s="695">
        <v>1483.5429999999999</v>
      </c>
      <c r="D583" s="695">
        <v>710.07299999999998</v>
      </c>
      <c r="E583" s="3814"/>
      <c r="F583" s="3817"/>
      <c r="G583" s="78"/>
      <c r="J583" s="31"/>
    </row>
    <row r="584" spans="1:10" collapsed="1" x14ac:dyDescent="0.25">
      <c r="A584" s="3801" t="s">
        <v>3982</v>
      </c>
      <c r="B584" s="3802"/>
      <c r="C584" s="3802"/>
      <c r="D584" s="3802"/>
      <c r="E584" s="782" t="s">
        <v>2722</v>
      </c>
      <c r="F584" s="752">
        <f>SUM(F576:F582)</f>
        <v>0.18000000000000002</v>
      </c>
      <c r="G584" s="175" t="s">
        <v>781</v>
      </c>
      <c r="J584" s="31"/>
    </row>
    <row r="585" spans="1:10" x14ac:dyDescent="0.25">
      <c r="A585" s="1"/>
      <c r="B585" s="1"/>
      <c r="C585" s="1"/>
      <c r="D585" s="1"/>
      <c r="E585" s="1"/>
      <c r="F585" s="1848"/>
      <c r="G585" s="78"/>
      <c r="J585" s="31"/>
    </row>
    <row r="586" spans="1:10" hidden="1" outlineLevel="1" x14ac:dyDescent="0.25">
      <c r="A586" s="689" t="s">
        <v>113</v>
      </c>
      <c r="B586" s="689" t="s">
        <v>114</v>
      </c>
      <c r="C586" s="689" t="s">
        <v>112</v>
      </c>
      <c r="D586" s="689" t="s">
        <v>116</v>
      </c>
      <c r="E586" s="689" t="s">
        <v>117</v>
      </c>
      <c r="F586" s="1188" t="s">
        <v>121</v>
      </c>
      <c r="G586" s="78"/>
      <c r="J586" s="31"/>
    </row>
    <row r="587" spans="1:10" hidden="1" outlineLevel="1" x14ac:dyDescent="0.25">
      <c r="A587" s="753" t="s">
        <v>223</v>
      </c>
      <c r="B587" s="799" t="s">
        <v>115</v>
      </c>
      <c r="C587" s="800">
        <v>2904.1419999999998</v>
      </c>
      <c r="D587" s="800">
        <v>3511.549</v>
      </c>
      <c r="E587" s="3819">
        <v>0.1376</v>
      </c>
      <c r="F587" s="3816">
        <v>0.06</v>
      </c>
      <c r="G587" s="78"/>
      <c r="J587" s="31"/>
    </row>
    <row r="588" spans="1:10" hidden="1" outlineLevel="1" x14ac:dyDescent="0.25">
      <c r="A588" s="754" t="s">
        <v>223</v>
      </c>
      <c r="B588" s="801" t="s">
        <v>760</v>
      </c>
      <c r="C588" s="804">
        <v>1184.7280000000001</v>
      </c>
      <c r="D588" s="804">
        <v>1262.8720000000001</v>
      </c>
      <c r="E588" s="3821"/>
      <c r="F588" s="3817"/>
      <c r="G588" s="78"/>
      <c r="J588" s="31"/>
    </row>
    <row r="589" spans="1:10" hidden="1" outlineLevel="1" x14ac:dyDescent="0.25">
      <c r="A589" s="753" t="s">
        <v>224</v>
      </c>
      <c r="B589" s="799" t="s">
        <v>115</v>
      </c>
      <c r="C589" s="800">
        <v>3511.549</v>
      </c>
      <c r="D589" s="805">
        <v>4026.9650000000001</v>
      </c>
      <c r="E589" s="3819">
        <v>0.1331</v>
      </c>
      <c r="F589" s="3816">
        <v>0.06</v>
      </c>
      <c r="G589" s="78"/>
      <c r="J589" s="31"/>
    </row>
    <row r="590" spans="1:10" hidden="1" outlineLevel="1" x14ac:dyDescent="0.25">
      <c r="A590" s="754" t="s">
        <v>224</v>
      </c>
      <c r="B590" s="801" t="s">
        <v>760</v>
      </c>
      <c r="C590" s="804">
        <v>1262.8720000000001</v>
      </c>
      <c r="D590" s="804">
        <v>1411.3920000000001</v>
      </c>
      <c r="E590" s="3821"/>
      <c r="F590" s="3817"/>
      <c r="G590" s="78"/>
      <c r="J590" s="31"/>
    </row>
    <row r="591" spans="1:10" hidden="1" outlineLevel="1" x14ac:dyDescent="0.25">
      <c r="A591" s="753" t="s">
        <v>225</v>
      </c>
      <c r="B591" s="799" t="s">
        <v>115</v>
      </c>
      <c r="C591" s="800">
        <v>4026.9650000000001</v>
      </c>
      <c r="D591" s="799">
        <v>4412.2120000000004</v>
      </c>
      <c r="E591" s="3819">
        <v>7.6200000000000004E-2</v>
      </c>
      <c r="F591" s="3816">
        <v>0.06</v>
      </c>
      <c r="G591" s="78"/>
      <c r="J591" s="31"/>
    </row>
    <row r="592" spans="1:10" hidden="1" outlineLevel="1" x14ac:dyDescent="0.25">
      <c r="A592" s="754" t="s">
        <v>225</v>
      </c>
      <c r="B592" s="801" t="s">
        <v>760</v>
      </c>
      <c r="C592" s="806">
        <v>1411.3920000000001</v>
      </c>
      <c r="D592" s="804">
        <v>1486.8779999999999</v>
      </c>
      <c r="E592" s="3821"/>
      <c r="F592" s="3817"/>
      <c r="G592" s="78"/>
      <c r="J592" s="31"/>
    </row>
    <row r="593" spans="1:14" hidden="1" outlineLevel="1" x14ac:dyDescent="0.25">
      <c r="A593" s="753" t="s">
        <v>36</v>
      </c>
      <c r="B593" s="799" t="s">
        <v>115</v>
      </c>
      <c r="C593" s="799">
        <v>4412.2120000000004</v>
      </c>
      <c r="D593" s="799">
        <v>2396.2800000000002</v>
      </c>
      <c r="E593" s="3819">
        <v>-0.43759999999999999</v>
      </c>
      <c r="F593" s="3816">
        <v>0</v>
      </c>
      <c r="G593" s="78"/>
      <c r="J593" s="31"/>
    </row>
    <row r="594" spans="1:14" hidden="1" outlineLevel="1" x14ac:dyDescent="0.25">
      <c r="A594" s="754" t="s">
        <v>36</v>
      </c>
      <c r="B594" s="801" t="s">
        <v>760</v>
      </c>
      <c r="C594" s="804">
        <v>1486.8779999999999</v>
      </c>
      <c r="D594" s="804">
        <v>870.798</v>
      </c>
      <c r="E594" s="3821"/>
      <c r="F594" s="3817"/>
      <c r="G594" s="78"/>
      <c r="J594" s="31"/>
    </row>
    <row r="595" spans="1:14" hidden="1" outlineLevel="1" x14ac:dyDescent="0.25">
      <c r="A595" s="753" t="s">
        <v>37</v>
      </c>
      <c r="B595" s="799" t="s">
        <v>115</v>
      </c>
      <c r="C595" s="799">
        <v>2396.2800000000002</v>
      </c>
      <c r="D595" s="799">
        <v>2869.2869999999998</v>
      </c>
      <c r="E595" s="3862">
        <v>0.2306</v>
      </c>
      <c r="F595" s="3864">
        <v>0.06</v>
      </c>
      <c r="G595" s="78"/>
      <c r="J595" s="31"/>
    </row>
    <row r="596" spans="1:14" hidden="1" outlineLevel="1" x14ac:dyDescent="0.25">
      <c r="A596" s="754" t="s">
        <v>37</v>
      </c>
      <c r="B596" s="801" t="s">
        <v>760</v>
      </c>
      <c r="C596" s="804">
        <v>870.798</v>
      </c>
      <c r="D596" s="801">
        <v>1103.8009999999999</v>
      </c>
      <c r="E596" s="3863"/>
      <c r="F596" s="3865"/>
      <c r="G596" s="78"/>
      <c r="J596" s="31"/>
    </row>
    <row r="597" spans="1:14" hidden="1" outlineLevel="1" x14ac:dyDescent="0.25">
      <c r="A597" s="753" t="s">
        <v>38</v>
      </c>
      <c r="B597" s="799" t="s">
        <v>115</v>
      </c>
      <c r="C597" s="691">
        <v>2869.2869999999998</v>
      </c>
      <c r="D597" s="799">
        <v>2771.578</v>
      </c>
      <c r="E597" s="3862">
        <v>6.4199999999999993E-2</v>
      </c>
      <c r="F597" s="3864">
        <v>0.06</v>
      </c>
      <c r="G597" s="78"/>
      <c r="J597" s="31"/>
    </row>
    <row r="598" spans="1:14" hidden="1" outlineLevel="1" x14ac:dyDescent="0.25">
      <c r="A598" s="754" t="s">
        <v>38</v>
      </c>
      <c r="B598" s="801" t="s">
        <v>760</v>
      </c>
      <c r="C598" s="726">
        <v>1103.8009999999999</v>
      </c>
      <c r="D598" s="801">
        <v>1289.8</v>
      </c>
      <c r="E598" s="3863"/>
      <c r="F598" s="3865"/>
      <c r="G598" s="78"/>
      <c r="J598" s="31"/>
    </row>
    <row r="599" spans="1:14" collapsed="1" x14ac:dyDescent="0.25">
      <c r="A599" s="3801" t="s">
        <v>3983</v>
      </c>
      <c r="B599" s="3802"/>
      <c r="C599" s="3802"/>
      <c r="D599" s="3802"/>
      <c r="E599" s="782" t="s">
        <v>2722</v>
      </c>
      <c r="F599" s="752">
        <f>MAX(SUM(F587:F597),parametry!M38)</f>
        <v>0.3</v>
      </c>
      <c r="G599" s="97" t="s">
        <v>781</v>
      </c>
      <c r="J599" s="31"/>
    </row>
    <row r="600" spans="1:14" x14ac:dyDescent="0.25">
      <c r="A600" s="39"/>
      <c r="B600" s="39"/>
      <c r="C600" s="39"/>
      <c r="D600" s="39"/>
      <c r="E600" s="39"/>
      <c r="F600" s="1853"/>
      <c r="G600" s="78"/>
      <c r="J600" s="31"/>
    </row>
    <row r="601" spans="1:14" hidden="1" outlineLevel="1" x14ac:dyDescent="0.25">
      <c r="A601" s="689" t="s">
        <v>113</v>
      </c>
      <c r="B601" s="689" t="s">
        <v>114</v>
      </c>
      <c r="C601" s="689" t="s">
        <v>112</v>
      </c>
      <c r="D601" s="689" t="s">
        <v>116</v>
      </c>
      <c r="E601" s="689" t="s">
        <v>117</v>
      </c>
      <c r="F601" s="1188" t="s">
        <v>121</v>
      </c>
      <c r="G601" s="78"/>
      <c r="J601" s="31"/>
    </row>
    <row r="602" spans="1:14" hidden="1" outlineLevel="1" x14ac:dyDescent="0.25">
      <c r="A602" s="690">
        <v>1</v>
      </c>
      <c r="B602" s="691" t="s">
        <v>252</v>
      </c>
      <c r="C602" s="692"/>
      <c r="D602" s="692"/>
      <c r="E602" s="693"/>
      <c r="F602" s="694"/>
      <c r="G602" s="78"/>
      <c r="J602" s="31"/>
    </row>
    <row r="603" spans="1:14" hidden="1" outlineLevel="1" x14ac:dyDescent="0.25">
      <c r="A603" s="695"/>
      <c r="B603" s="695"/>
      <c r="C603" s="696"/>
      <c r="D603" s="697" t="s">
        <v>3702</v>
      </c>
      <c r="E603" s="698">
        <f>indexy!B2</f>
        <v>45379</v>
      </c>
      <c r="F603" s="699"/>
      <c r="G603" s="78"/>
      <c r="J603" s="31"/>
    </row>
    <row r="604" spans="1:14" hidden="1" outlineLevel="1" x14ac:dyDescent="0.25">
      <c r="A604" s="689" t="s">
        <v>4156</v>
      </c>
      <c r="B604" s="689" t="s">
        <v>4153</v>
      </c>
      <c r="C604" s="700" t="s">
        <v>112</v>
      </c>
      <c r="D604" s="689" t="s">
        <v>4155</v>
      </c>
      <c r="E604" s="689" t="s">
        <v>4154</v>
      </c>
      <c r="F604" s="1021" t="s">
        <v>3374</v>
      </c>
      <c r="G604" s="78"/>
      <c r="J604" s="31"/>
    </row>
    <row r="605" spans="1:14" hidden="1" outlineLevel="1" x14ac:dyDescent="0.25">
      <c r="A605" s="734">
        <v>0.05</v>
      </c>
      <c r="B605" s="755" t="s">
        <v>577</v>
      </c>
      <c r="C605" s="807">
        <v>13.2279</v>
      </c>
      <c r="D605" s="737">
        <f>VLOOKUP(H605,indexy!$C$44:$D$585,2,FALSE)</f>
        <v>4.0890000000000004</v>
      </c>
      <c r="E605" s="738">
        <f>D605/C605-1</f>
        <v>-0.69088063865012583</v>
      </c>
      <c r="F605" s="1021" t="s">
        <v>2024</v>
      </c>
      <c r="G605" s="78"/>
      <c r="H605" t="str">
        <f>VLOOKUP(B605,indexy!$A$44:$D$157,3,FALSE)</f>
        <v>TEF SQ Equity</v>
      </c>
      <c r="J605" s="31"/>
      <c r="L605" s="163"/>
      <c r="M605" s="163"/>
      <c r="N605" s="163"/>
    </row>
    <row r="606" spans="1:14" s="163" customFormat="1" hidden="1" outlineLevel="1" x14ac:dyDescent="0.25">
      <c r="A606" s="756">
        <v>0.05</v>
      </c>
      <c r="B606" s="761" t="s">
        <v>1414</v>
      </c>
      <c r="C606" s="808">
        <v>27.553000000000001</v>
      </c>
      <c r="D606" s="759">
        <f>VLOOKUP(H606,indexy!$C$44:$D$585,2,FALSE)</f>
        <v>27.75</v>
      </c>
      <c r="E606" s="760">
        <f>D606/C606-1</f>
        <v>7.1498566399303964E-3</v>
      </c>
      <c r="F606" s="1850" t="s">
        <v>2025</v>
      </c>
      <c r="G606" s="178"/>
      <c r="H606" s="163" t="str">
        <f>VLOOKUP(B606,indexy!$A$44:$D$157,3,FALSE)</f>
        <v>PFE UN Equity</v>
      </c>
      <c r="J606" s="105"/>
      <c r="L606"/>
      <c r="M606"/>
      <c r="N606"/>
    </row>
    <row r="607" spans="1:14" hidden="1" outlineLevel="1" x14ac:dyDescent="0.25">
      <c r="A607" s="739">
        <v>0.05</v>
      </c>
      <c r="B607" s="740" t="s">
        <v>507</v>
      </c>
      <c r="C607" s="809">
        <f>48.029/3</f>
        <v>16.009666666666668</v>
      </c>
      <c r="D607" s="737">
        <f>VLOOKUP(H607,indexy!$C$44:$D$585,2,FALSE)</f>
        <v>46.52</v>
      </c>
      <c r="E607" s="742">
        <f>D607/C607-1</f>
        <v>1.9057444460638364</v>
      </c>
      <c r="F607" s="946" t="s">
        <v>2024</v>
      </c>
      <c r="G607" s="78"/>
      <c r="H607" t="str">
        <f>VLOOKUP(B607,indexy!$A$44:$D$157,3,FALSE)</f>
        <v>UNA NA Equity</v>
      </c>
      <c r="J607" s="31"/>
    </row>
    <row r="608" spans="1:14" hidden="1" outlineLevel="1" x14ac:dyDescent="0.25">
      <c r="A608" s="739">
        <v>0.05</v>
      </c>
      <c r="B608" s="740" t="s">
        <v>1176</v>
      </c>
      <c r="C608" s="809">
        <v>20.172999999999998</v>
      </c>
      <c r="D608" s="737">
        <f>VLOOKUP(H608,indexy!$C$44:$D$585,2,FALSE)</f>
        <v>42.92</v>
      </c>
      <c r="E608" s="742">
        <f t="shared" ref="E608:E624" si="8">D608/C608-1</f>
        <v>1.127596292073564</v>
      </c>
      <c r="F608" s="946" t="s">
        <v>2024</v>
      </c>
      <c r="G608" s="78"/>
      <c r="H608" t="str">
        <f>VLOOKUP(B608,indexy!$A$44:$D$157,3,FALSE)</f>
        <v>AGS BB Equity</v>
      </c>
      <c r="J608" s="31"/>
    </row>
    <row r="609" spans="1:14" hidden="1" outlineLevel="1" x14ac:dyDescent="0.25">
      <c r="A609" s="739">
        <v>0.05</v>
      </c>
      <c r="B609" s="743" t="s">
        <v>51</v>
      </c>
      <c r="C609" s="809">
        <v>44.064999999999998</v>
      </c>
      <c r="D609" s="737">
        <f>VLOOKUP(H609,indexy!$C$44:$D$585,2,FALSE)</f>
        <v>71.930000000000007</v>
      </c>
      <c r="E609" s="742">
        <f t="shared" si="8"/>
        <v>0.63236128446612971</v>
      </c>
      <c r="F609" s="946" t="s">
        <v>2024</v>
      </c>
      <c r="G609" s="78"/>
      <c r="H609" t="str">
        <f>VLOOKUP(B609,indexy!$A$44:$D$157,3,FALSE)</f>
        <v>SGO FP Equity</v>
      </c>
      <c r="J609" s="31"/>
    </row>
    <row r="610" spans="1:14" hidden="1" outlineLevel="1" x14ac:dyDescent="0.25">
      <c r="A610" s="739">
        <v>0.05</v>
      </c>
      <c r="B610" s="740" t="s">
        <v>1183</v>
      </c>
      <c r="C610" s="809">
        <f>161.05/4</f>
        <v>40.262500000000003</v>
      </c>
      <c r="D610" s="737" t="e">
        <f>VLOOKUP(H610,indexy!$C$44:$D$585,2,FALSE)</f>
        <v>#N/A</v>
      </c>
      <c r="E610" s="742" t="e">
        <f t="shared" si="8"/>
        <v>#N/A</v>
      </c>
      <c r="F610" s="946" t="s">
        <v>2024</v>
      </c>
      <c r="G610" s="78"/>
      <c r="H610" t="e">
        <f>VLOOKUP(B610,indexy!$A$44:$D$157,3,FALSE)</f>
        <v>#N/A</v>
      </c>
      <c r="J610" s="31"/>
    </row>
    <row r="611" spans="1:14" hidden="1" outlineLevel="1" x14ac:dyDescent="0.25">
      <c r="A611" s="739">
        <v>0.05</v>
      </c>
      <c r="B611" s="740" t="s">
        <v>1184</v>
      </c>
      <c r="C611" s="809">
        <f>51.69/2</f>
        <v>25.844999999999999</v>
      </c>
      <c r="D611" s="737">
        <f>VLOOKUP(H611,indexy!$C$44:$D$585,2,FALSE)</f>
        <v>52.93</v>
      </c>
      <c r="E611" s="742">
        <f t="shared" si="8"/>
        <v>1.0479783323660281</v>
      </c>
      <c r="F611" s="946" t="s">
        <v>2024</v>
      </c>
      <c r="G611" s="78"/>
      <c r="H611" t="str">
        <f>VLOOKUP(B611,indexy!$A$44:$D$157,3,FALSE)</f>
        <v>BAS GY Equity</v>
      </c>
      <c r="J611" s="31"/>
    </row>
    <row r="612" spans="1:14" hidden="1" outlineLevel="1" x14ac:dyDescent="0.25">
      <c r="A612" s="756">
        <v>0.05</v>
      </c>
      <c r="B612" s="757" t="s">
        <v>1527</v>
      </c>
      <c r="C612" s="808">
        <v>3.0893999999999999</v>
      </c>
      <c r="D612" s="759">
        <f>VLOOKUP(H612,indexy!$C$44:$D$585,2,FALSE)</f>
        <v>0.22509999999999999</v>
      </c>
      <c r="E612" s="760">
        <f t="shared" si="8"/>
        <v>-0.92713795559008227</v>
      </c>
      <c r="F612" s="1850" t="s">
        <v>2025</v>
      </c>
      <c r="G612" s="78"/>
      <c r="H612" s="163" t="str">
        <f>VLOOKUP(B612,indexy!$A$44:$D$157,3,FALSE)</f>
        <v>TIT IM Equity</v>
      </c>
      <c r="J612" s="31"/>
    </row>
    <row r="613" spans="1:14" hidden="1" outlineLevel="1" x14ac:dyDescent="0.25">
      <c r="A613" s="739">
        <v>0.05</v>
      </c>
      <c r="B613" s="740" t="s">
        <v>4338</v>
      </c>
      <c r="C613" s="809">
        <v>18.304300000000001</v>
      </c>
      <c r="D613" s="737">
        <f>VLOOKUP(H613,indexy!$C$44:$D$585,2,FALSE)</f>
        <v>15.51</v>
      </c>
      <c r="E613" s="742">
        <f t="shared" si="8"/>
        <v>-0.1526581185841579</v>
      </c>
      <c r="F613" s="946" t="s">
        <v>2024</v>
      </c>
      <c r="G613" s="78"/>
      <c r="H613" t="str">
        <f>VLOOKUP(B613,indexy!$A$44:$D$9817,3,FALSE)</f>
        <v>ENGI FP Equity</v>
      </c>
      <c r="J613" s="31"/>
      <c r="L613" s="161"/>
      <c r="M613" s="161"/>
      <c r="N613" s="161"/>
    </row>
    <row r="614" spans="1:14" s="161" customFormat="1" hidden="1" outlineLevel="1" x14ac:dyDescent="0.25">
      <c r="A614" s="756">
        <v>0.05</v>
      </c>
      <c r="B614" s="761" t="s">
        <v>2587</v>
      </c>
      <c r="C614" s="808">
        <f>(16.772*100)/3</f>
        <v>559.06666666666661</v>
      </c>
      <c r="D614" s="759" t="e">
        <f>VLOOKUP(H614,indexy!$C$44:$D$585,2,FALSE)</f>
        <v>#N/A</v>
      </c>
      <c r="E614" s="760" t="e">
        <f t="shared" si="8"/>
        <v>#N/A</v>
      </c>
      <c r="F614" s="1850" t="s">
        <v>2025</v>
      </c>
      <c r="G614" s="178"/>
      <c r="H614" s="161" t="e">
        <f>VLOOKUP(B614,indexy!$A$44:$D$157,3,FALSE)</f>
        <v>#N/A</v>
      </c>
      <c r="J614" s="162"/>
      <c r="L614" s="39"/>
      <c r="M614" s="39"/>
      <c r="N614" s="39"/>
    </row>
    <row r="615" spans="1:14" s="39" customFormat="1" hidden="1" outlineLevel="1" x14ac:dyDescent="0.25">
      <c r="A615" s="739">
        <v>0.05</v>
      </c>
      <c r="B615" s="740" t="s">
        <v>1187</v>
      </c>
      <c r="C615" s="809">
        <v>56.92</v>
      </c>
      <c r="D615" s="737">
        <f>VLOOKUP(H615,indexy!$C$44:$D$585,2,FALSE)</f>
        <v>90.96</v>
      </c>
      <c r="E615" s="742">
        <f t="shared" si="8"/>
        <v>0.59803232607167933</v>
      </c>
      <c r="F615" s="946" t="s">
        <v>2024</v>
      </c>
      <c r="G615" s="78"/>
      <c r="H615" s="39" t="str">
        <f>VLOOKUP(B615,indexy!$A$44:$D$157,3,FALSE)</f>
        <v>SAN FP Equity</v>
      </c>
      <c r="J615" s="44"/>
    </row>
    <row r="616" spans="1:14" s="39" customFormat="1" hidden="1" outlineLevel="1" x14ac:dyDescent="0.25">
      <c r="A616" s="739">
        <v>0.05</v>
      </c>
      <c r="B616" s="740" t="s">
        <v>2588</v>
      </c>
      <c r="C616" s="809">
        <v>21.585000000000001</v>
      </c>
      <c r="D616" s="737">
        <f>VLOOKUP(H616,indexy!$C$44:$D$585,2,FALSE)</f>
        <v>15.246</v>
      </c>
      <c r="E616" s="742">
        <f t="shared" si="8"/>
        <v>-0.29367616400277974</v>
      </c>
      <c r="F616" s="946" t="s">
        <v>2024</v>
      </c>
      <c r="G616" s="78"/>
      <c r="H616" s="39" t="str">
        <f>VLOOKUP(B616,indexy!$A$44:$D$157,3,FALSE)</f>
        <v>INGA NA Equity</v>
      </c>
      <c r="J616" s="44"/>
    </row>
    <row r="617" spans="1:14" s="39" customFormat="1" hidden="1" outlineLevel="1" x14ac:dyDescent="0.25">
      <c r="A617" s="739">
        <v>0.05</v>
      </c>
      <c r="B617" s="740" t="s">
        <v>1188</v>
      </c>
      <c r="C617" s="809">
        <f>5.112*100</f>
        <v>511.2</v>
      </c>
      <c r="D617" s="737">
        <f>VLOOKUP(H617,indexy!$C$44:$D$585,2,FALSE)</f>
        <v>495.7</v>
      </c>
      <c r="E617" s="742">
        <f t="shared" si="8"/>
        <v>-3.0320813771517963E-2</v>
      </c>
      <c r="F617" s="946" t="s">
        <v>2024</v>
      </c>
      <c r="G617" s="78"/>
      <c r="H617" s="39" t="str">
        <f>VLOOKUP(B617,indexy!$A$44:$D$157,3,FALSE)</f>
        <v>BP/ LN Equity</v>
      </c>
      <c r="J617" s="44"/>
      <c r="L617"/>
      <c r="M617"/>
      <c r="N617"/>
    </row>
    <row r="618" spans="1:14" hidden="1" outlineLevel="1" x14ac:dyDescent="0.25">
      <c r="A618" s="739">
        <v>0.05</v>
      </c>
      <c r="B618" s="740" t="s">
        <v>1001</v>
      </c>
      <c r="C618" s="809">
        <v>27.196999999999999</v>
      </c>
      <c r="D618" s="737">
        <f>VLOOKUP(H618,indexy!$C$44:$D$585,2,FALSE)</f>
        <v>420.72</v>
      </c>
      <c r="E618" s="742">
        <f t="shared" si="8"/>
        <v>14.469353237489431</v>
      </c>
      <c r="F618" s="946" t="s">
        <v>2024</v>
      </c>
      <c r="G618" s="78"/>
      <c r="H618" t="str">
        <f>VLOOKUP(B618,indexy!$A$44:$D$157,3,FALSE)</f>
        <v>MSFT UW Equity</v>
      </c>
      <c r="J618" s="31"/>
    </row>
    <row r="619" spans="1:14" hidden="1" outlineLevel="1" x14ac:dyDescent="0.25">
      <c r="A619" s="739">
        <v>0.05</v>
      </c>
      <c r="B619" s="740" t="s">
        <v>1002</v>
      </c>
      <c r="C619" s="809">
        <v>13.513</v>
      </c>
      <c r="D619" s="737">
        <f>VLOOKUP(H619,indexy!$C$44:$D$585,2,FALSE)</f>
        <v>125.61</v>
      </c>
      <c r="E619" s="742">
        <f t="shared" si="8"/>
        <v>8.2954932287426928</v>
      </c>
      <c r="F619" s="946" t="s">
        <v>2024</v>
      </c>
      <c r="G619" s="78"/>
      <c r="H619" t="str">
        <f>VLOOKUP(B619,indexy!$A$44:$D$157,3,FALSE)</f>
        <v>ORCL UN Equity</v>
      </c>
      <c r="J619" s="31"/>
    </row>
    <row r="620" spans="1:14" hidden="1" outlineLevel="1" x14ac:dyDescent="0.25">
      <c r="A620" s="739">
        <v>0.05</v>
      </c>
      <c r="B620" s="740" t="s">
        <v>3425</v>
      </c>
      <c r="C620" s="809">
        <v>50.247</v>
      </c>
      <c r="D620" s="737">
        <f>VLOOKUP(H620,indexy!$C$44:$D$585,2,FALSE)</f>
        <v>116.24</v>
      </c>
      <c r="E620" s="742">
        <f t="shared" si="8"/>
        <v>1.3133719426035384</v>
      </c>
      <c r="F620" s="946" t="s">
        <v>2024</v>
      </c>
      <c r="G620" s="78"/>
      <c r="H620" t="str">
        <f>VLOOKUP(B620,indexy!$A$44:$D$157,3,FALSE)</f>
        <v>XOM UN Equity</v>
      </c>
      <c r="J620" s="31"/>
    </row>
    <row r="621" spans="1:14" hidden="1" outlineLevel="1" x14ac:dyDescent="0.25">
      <c r="A621" s="739">
        <v>0.05</v>
      </c>
      <c r="B621" s="740" t="s">
        <v>1003</v>
      </c>
      <c r="C621" s="809">
        <v>24.413</v>
      </c>
      <c r="D621" s="737">
        <f>VLOOKUP(H621,indexy!$C$44:$D$585,2,FALSE)</f>
        <v>174.21</v>
      </c>
      <c r="E621" s="742">
        <f t="shared" si="8"/>
        <v>6.135952156637857</v>
      </c>
      <c r="F621" s="946" t="s">
        <v>2024</v>
      </c>
      <c r="G621" s="78"/>
      <c r="H621" t="str">
        <f>VLOOKUP(B621,indexy!$A$44:$D$157,3,FALSE)</f>
        <v>TXN UW Equity</v>
      </c>
      <c r="J621" s="31"/>
    </row>
    <row r="622" spans="1:14" hidden="1" outlineLevel="1" x14ac:dyDescent="0.25">
      <c r="A622" s="739">
        <v>0.05</v>
      </c>
      <c r="B622" s="743" t="s">
        <v>1207</v>
      </c>
      <c r="C622" s="809">
        <v>3818</v>
      </c>
      <c r="D622" s="737">
        <f>VLOOKUP(H622,indexy!$C$44:$D$585,2,FALSE)</f>
        <v>12930</v>
      </c>
      <c r="E622" s="742">
        <f t="shared" si="8"/>
        <v>2.3865898376113148</v>
      </c>
      <c r="F622" s="946" t="s">
        <v>2024</v>
      </c>
      <c r="G622" s="78"/>
      <c r="H622" t="str">
        <f>VLOOKUP(B622,indexy!$A$44:$D$157,3,FALSE)</f>
        <v>6758 JT Equity</v>
      </c>
      <c r="J622" s="31"/>
    </row>
    <row r="623" spans="1:14" hidden="1" outlineLevel="1" x14ac:dyDescent="0.25">
      <c r="A623" s="739">
        <v>0.05</v>
      </c>
      <c r="B623" s="743" t="s">
        <v>3551</v>
      </c>
      <c r="C623" s="809">
        <v>3895</v>
      </c>
      <c r="D623" s="737">
        <f>VLOOKUP(H623,indexy!$C$44:$D$585,2,FALSE)</f>
        <v>3806</v>
      </c>
      <c r="E623" s="742">
        <f t="shared" si="8"/>
        <v>-2.2849807445442849E-2</v>
      </c>
      <c r="F623" s="946" t="s">
        <v>2024</v>
      </c>
      <c r="G623" s="78"/>
      <c r="H623" t="str">
        <f>VLOOKUP(B623,indexy!$A$44:$D$157,3,FALSE)</f>
        <v>7203 JT Equity</v>
      </c>
      <c r="J623" s="31"/>
    </row>
    <row r="624" spans="1:14" hidden="1" outlineLevel="1" x14ac:dyDescent="0.25">
      <c r="A624" s="745">
        <v>0.05</v>
      </c>
      <c r="B624" s="746" t="s">
        <v>4273</v>
      </c>
      <c r="C624" s="810">
        <v>183200</v>
      </c>
      <c r="D624" s="715">
        <f>VLOOKUP(H624,indexy!$C$44:$D$585,2,FALSE)</f>
        <v>3880</v>
      </c>
      <c r="E624" s="748">
        <f t="shared" si="8"/>
        <v>-0.97882096069868996</v>
      </c>
      <c r="F624" s="1023" t="s">
        <v>2024</v>
      </c>
      <c r="G624" s="78"/>
      <c r="H624" t="str">
        <f>VLOOKUP(B624,indexy!$A$44:$D$157,3,FALSE)</f>
        <v>9437 JT Equity</v>
      </c>
      <c r="J624" s="31"/>
    </row>
    <row r="625" spans="1:10" hidden="1" outlineLevel="1" x14ac:dyDescent="0.25">
      <c r="A625" s="749"/>
      <c r="B625" s="750"/>
      <c r="C625" s="811"/>
      <c r="D625" s="811"/>
      <c r="E625" s="716"/>
      <c r="F625" s="770"/>
      <c r="G625" s="78"/>
      <c r="H625" s="417" t="s">
        <v>6670</v>
      </c>
      <c r="I625" s="488" t="s">
        <v>6674</v>
      </c>
      <c r="J625" s="31"/>
    </row>
    <row r="626" spans="1:10" hidden="1" outlineLevel="1" x14ac:dyDescent="0.25">
      <c r="A626" s="732" t="s">
        <v>4020</v>
      </c>
      <c r="B626" s="750"/>
      <c r="C626" s="811"/>
      <c r="D626" s="811"/>
      <c r="E626" s="716"/>
      <c r="F626" s="770">
        <v>3.7999999999999999E-2</v>
      </c>
      <c r="G626" s="78"/>
      <c r="H626" s="478">
        <f>F626</f>
        <v>3.7999999999999999E-2</v>
      </c>
      <c r="I626" s="520">
        <f>parametry!R39</f>
        <v>1.5</v>
      </c>
      <c r="J626" s="31"/>
    </row>
    <row r="627" spans="1:10" hidden="1" outlineLevel="1" x14ac:dyDescent="0.25">
      <c r="A627" s="732" t="s">
        <v>4021</v>
      </c>
      <c r="B627" s="750" t="s">
        <v>2162</v>
      </c>
      <c r="C627" s="811"/>
      <c r="D627" s="811"/>
      <c r="E627" s="716" t="s">
        <v>6672</v>
      </c>
      <c r="F627" s="770">
        <f>IF(E627="výnos dělen",F626/$I$626,IF(E627="výnos násoben",F626*$I$626,""))</f>
        <v>2.5333333333333333E-2</v>
      </c>
      <c r="G627" s="78"/>
      <c r="H627" s="478">
        <f>IF(F627="",H626*$I$8747,F627)</f>
        <v>2.5333333333333333E-2</v>
      </c>
      <c r="I627" s="81" t="s">
        <v>6672</v>
      </c>
      <c r="J627" s="31"/>
    </row>
    <row r="628" spans="1:10" hidden="1" outlineLevel="1" x14ac:dyDescent="0.25">
      <c r="A628" s="732" t="s">
        <v>4022</v>
      </c>
      <c r="B628" s="750" t="s">
        <v>1660</v>
      </c>
      <c r="C628" s="811"/>
      <c r="D628" s="811"/>
      <c r="E628" s="716" t="s">
        <v>6672</v>
      </c>
      <c r="F628" s="770">
        <f>IF(E628="výnos dělen",F627/$I$626,IF(E628="výnos násoben",F627*$I$626,""))</f>
        <v>1.6888888888888887E-2</v>
      </c>
      <c r="G628" s="78"/>
      <c r="H628" s="478">
        <f>IF(F628="",H627*$I$8747,F628)</f>
        <v>1.6888888888888887E-2</v>
      </c>
      <c r="I628" s="81" t="s">
        <v>6673</v>
      </c>
      <c r="J628" s="31"/>
    </row>
    <row r="629" spans="1:10" hidden="1" outlineLevel="1" x14ac:dyDescent="0.25">
      <c r="A629" s="732" t="s">
        <v>91</v>
      </c>
      <c r="B629" s="750" t="s">
        <v>538</v>
      </c>
      <c r="C629" s="811"/>
      <c r="D629" s="811"/>
      <c r="E629" s="716" t="s">
        <v>6672</v>
      </c>
      <c r="F629" s="770">
        <f>IF(E629="výnos dělen",F628/$I$626,IF(E629="výnos násoben",F628*$I$626,""))</f>
        <v>1.1259259259259259E-2</v>
      </c>
      <c r="G629" s="78"/>
      <c r="H629" s="478">
        <f>IF(F629="",H628*$I$8747,F629)</f>
        <v>1.1259259259259259E-2</v>
      </c>
      <c r="J629" s="31"/>
    </row>
    <row r="630" spans="1:10" collapsed="1" x14ac:dyDescent="0.25">
      <c r="A630" s="812" t="s">
        <v>3650</v>
      </c>
      <c r="B630" s="729"/>
      <c r="C630" s="729"/>
      <c r="D630" s="729"/>
      <c r="E630" s="729"/>
      <c r="F630" s="722">
        <f>SUM(F626:F629)</f>
        <v>9.1481481481481469E-2</v>
      </c>
      <c r="G630" s="175" t="s">
        <v>781</v>
      </c>
      <c r="H630" s="521">
        <f>SUM(H626:H629)</f>
        <v>9.1481481481481469E-2</v>
      </c>
      <c r="J630" s="31"/>
    </row>
    <row r="631" spans="1:10" x14ac:dyDescent="0.25">
      <c r="A631" s="1"/>
      <c r="B631" s="1"/>
      <c r="C631" s="1"/>
      <c r="D631" s="1"/>
      <c r="E631" s="1"/>
      <c r="F631" s="1848"/>
      <c r="G631" s="78"/>
      <c r="J631" s="31"/>
    </row>
    <row r="632" spans="1:10" hidden="1" outlineLevel="1" x14ac:dyDescent="0.25">
      <c r="A632" s="689" t="s">
        <v>113</v>
      </c>
      <c r="B632" s="689"/>
      <c r="C632" s="733" t="s">
        <v>112</v>
      </c>
      <c r="D632" s="733" t="s">
        <v>116</v>
      </c>
      <c r="E632" s="733" t="s">
        <v>117</v>
      </c>
      <c r="F632" s="1849" t="s">
        <v>121</v>
      </c>
      <c r="G632" s="78"/>
      <c r="J632" s="31"/>
    </row>
    <row r="633" spans="1:10" hidden="1" outlineLevel="1" x14ac:dyDescent="0.25">
      <c r="A633" s="690">
        <v>1</v>
      </c>
      <c r="B633" s="691" t="s">
        <v>252</v>
      </c>
      <c r="C633" s="692">
        <v>100</v>
      </c>
      <c r="D633" s="692"/>
      <c r="E633" s="693"/>
      <c r="F633" s="694"/>
      <c r="G633" s="78"/>
      <c r="J633" s="31"/>
    </row>
    <row r="634" spans="1:10" hidden="1" outlineLevel="1" x14ac:dyDescent="0.25">
      <c r="A634" s="695"/>
      <c r="B634" s="695"/>
      <c r="C634" s="696"/>
      <c r="D634" s="697" t="s">
        <v>3702</v>
      </c>
      <c r="E634" s="698">
        <v>39813</v>
      </c>
      <c r="F634" s="699"/>
      <c r="G634" s="78"/>
      <c r="J634" s="31"/>
    </row>
    <row r="635" spans="1:10" hidden="1" outlineLevel="1" x14ac:dyDescent="0.25">
      <c r="A635" s="689" t="s">
        <v>4156</v>
      </c>
      <c r="B635" s="689" t="s">
        <v>4153</v>
      </c>
      <c r="C635" s="700" t="s">
        <v>112</v>
      </c>
      <c r="D635" s="689" t="s">
        <v>116</v>
      </c>
      <c r="E635" s="689" t="s">
        <v>4154</v>
      </c>
      <c r="F635" s="1021" t="s">
        <v>2519</v>
      </c>
      <c r="G635" s="78"/>
      <c r="J635" s="31"/>
    </row>
    <row r="636" spans="1:10" hidden="1" outlineLevel="1" x14ac:dyDescent="0.25">
      <c r="A636" s="734">
        <v>0.04</v>
      </c>
      <c r="B636" s="735" t="s">
        <v>577</v>
      </c>
      <c r="C636" s="807">
        <v>13.186500000000001</v>
      </c>
      <c r="D636" s="737">
        <v>15.85</v>
      </c>
      <c r="E636" s="738">
        <f>D636/C636-1</f>
        <v>0.20198688052174574</v>
      </c>
      <c r="F636" s="1021">
        <f>E636*A636</f>
        <v>8.0794752208698303E-3</v>
      </c>
      <c r="G636" s="78"/>
      <c r="H636" t="str">
        <f>VLOOKUP(B636,indexy!$A$44:$D$157,3,FALSE)</f>
        <v>TEF SQ Equity</v>
      </c>
      <c r="J636" s="212"/>
    </row>
    <row r="637" spans="1:10" hidden="1" outlineLevel="1" x14ac:dyDescent="0.25">
      <c r="A637" s="739">
        <v>0.02</v>
      </c>
      <c r="B637" s="740" t="s">
        <v>3017</v>
      </c>
      <c r="C637" s="809">
        <v>17.279</v>
      </c>
      <c r="D637" s="737">
        <v>3.2</v>
      </c>
      <c r="E637" s="742">
        <f>D637/C637-1</f>
        <v>-0.81480409745934368</v>
      </c>
      <c r="F637" s="946">
        <f>E637*A637</f>
        <v>-1.6296081949186875E-2</v>
      </c>
      <c r="G637" s="78"/>
      <c r="H637" t="e">
        <f>VLOOKUP(B637,indexy!$A$44:$D$157,3,FALSE)</f>
        <v>#N/A</v>
      </c>
      <c r="J637" s="212"/>
    </row>
    <row r="638" spans="1:10" hidden="1" outlineLevel="1" x14ac:dyDescent="0.25">
      <c r="A638" s="739">
        <v>0.02</v>
      </c>
      <c r="B638" s="740" t="s">
        <v>1176</v>
      </c>
      <c r="C638" s="809">
        <v>17.695599999999999</v>
      </c>
      <c r="D638" s="737">
        <v>0.92900000000000005</v>
      </c>
      <c r="E638" s="742">
        <f>D638/C638-1</f>
        <v>-0.94750107371323944</v>
      </c>
      <c r="F638" s="946">
        <f>E638*A638</f>
        <v>-1.8950021474264788E-2</v>
      </c>
      <c r="G638" s="78"/>
      <c r="H638" t="str">
        <f>VLOOKUP(B638,indexy!$A$44:$D$157,3,FALSE)</f>
        <v>AGS BB Equity</v>
      </c>
      <c r="J638" s="213"/>
    </row>
    <row r="639" spans="1:10" hidden="1" outlineLevel="1" x14ac:dyDescent="0.25">
      <c r="A639" s="739">
        <v>0.02</v>
      </c>
      <c r="B639" s="740" t="s">
        <v>3019</v>
      </c>
      <c r="C639" s="809">
        <v>54.682299999999998</v>
      </c>
      <c r="D639" s="737">
        <v>30.25</v>
      </c>
      <c r="E639" s="742">
        <f t="shared" ref="E639:E665" si="9">D639/C639-1</f>
        <v>-0.44680454187186713</v>
      </c>
      <c r="F639" s="946">
        <f t="shared" ref="F639:F664" si="10">E639*A639</f>
        <v>-8.9360908374373424E-3</v>
      </c>
      <c r="G639" s="78"/>
      <c r="H639" t="str">
        <f>VLOOKUP(B639,indexy!$A$44:$D$157,3,FALSE)</f>
        <v>BNP FP Equity</v>
      </c>
      <c r="J639" s="213"/>
    </row>
    <row r="640" spans="1:10" hidden="1" outlineLevel="1" x14ac:dyDescent="0.25">
      <c r="A640" s="739">
        <v>0.03</v>
      </c>
      <c r="B640" s="743" t="s">
        <v>51</v>
      </c>
      <c r="C640" s="809">
        <v>45.570999999999998</v>
      </c>
      <c r="D640" s="737">
        <v>33.594999999999999</v>
      </c>
      <c r="E640" s="742">
        <f t="shared" si="9"/>
        <v>-0.26279870970573393</v>
      </c>
      <c r="F640" s="946">
        <f t="shared" si="10"/>
        <v>-7.8839612911720171E-3</v>
      </c>
      <c r="G640" s="78"/>
      <c r="H640" t="str">
        <f>VLOOKUP(B640,indexy!$A$44:$D$157,3,FALSE)</f>
        <v>SGO FP Equity</v>
      </c>
      <c r="J640" s="213"/>
    </row>
    <row r="641" spans="1:10" hidden="1" outlineLevel="1" x14ac:dyDescent="0.25">
      <c r="A641" s="739">
        <v>0.03</v>
      </c>
      <c r="B641" s="740" t="s">
        <v>3020</v>
      </c>
      <c r="C641" s="809">
        <v>22.568000000000001</v>
      </c>
      <c r="D641" s="737">
        <v>41.55</v>
      </c>
      <c r="E641" s="742">
        <f t="shared" si="9"/>
        <v>0.84110244594115535</v>
      </c>
      <c r="F641" s="946">
        <f t="shared" si="10"/>
        <v>2.5233073378234661E-2</v>
      </c>
      <c r="G641" s="78"/>
      <c r="H641" t="str">
        <f>VLOOKUP(B641,indexy!$A$44:$D$157,3,FALSE)</f>
        <v>BAYN GR Equity</v>
      </c>
      <c r="J641" s="213"/>
    </row>
    <row r="642" spans="1:10" hidden="1" outlineLevel="1" x14ac:dyDescent="0.25">
      <c r="A642" s="739">
        <v>0.03</v>
      </c>
      <c r="B642" s="740" t="s">
        <v>3021</v>
      </c>
      <c r="C642" s="809">
        <v>18.303799999999999</v>
      </c>
      <c r="D642" s="737">
        <v>16.739999999999998</v>
      </c>
      <c r="E642" s="742">
        <f t="shared" si="9"/>
        <v>-8.5435811143041329E-2</v>
      </c>
      <c r="F642" s="946">
        <f t="shared" si="10"/>
        <v>-2.5630743342912399E-3</v>
      </c>
      <c r="G642" s="78"/>
      <c r="H642" t="str">
        <f>VLOOKUP(B642,indexy!$A$44:$D$157,3,FALSE)</f>
        <v>ENI IM Equity</v>
      </c>
      <c r="I642" s="106"/>
      <c r="J642" s="213"/>
    </row>
    <row r="643" spans="1:10" hidden="1" outlineLevel="1" x14ac:dyDescent="0.25">
      <c r="A643" s="739">
        <v>0.05</v>
      </c>
      <c r="B643" s="740" t="s">
        <v>44</v>
      </c>
      <c r="C643" s="809">
        <v>3.6074000000000002</v>
      </c>
      <c r="D643" s="737">
        <v>2.5375000000000001</v>
      </c>
      <c r="E643" s="742">
        <f t="shared" si="9"/>
        <v>-0.29658479791539616</v>
      </c>
      <c r="F643" s="946">
        <f t="shared" si="10"/>
        <v>-1.4829239895769808E-2</v>
      </c>
      <c r="G643" s="78"/>
      <c r="H643" t="str">
        <f>VLOOKUP(B643,indexy!$A$44:$D$232,3,FALSE)</f>
        <v>ISP IM Equity</v>
      </c>
      <c r="J643" s="213"/>
    </row>
    <row r="644" spans="1:10" hidden="1" outlineLevel="1" x14ac:dyDescent="0.25">
      <c r="A644" s="739">
        <v>0.02</v>
      </c>
      <c r="B644" s="740" t="s">
        <v>3022</v>
      </c>
      <c r="C644" s="809">
        <v>4959</v>
      </c>
      <c r="D644" s="737">
        <v>4640</v>
      </c>
      <c r="E644" s="742">
        <f t="shared" si="9"/>
        <v>-6.4327485380117011E-2</v>
      </c>
      <c r="F644" s="946">
        <f t="shared" si="10"/>
        <v>-1.2865497076023403E-3</v>
      </c>
      <c r="G644" s="78"/>
      <c r="H644" t="str">
        <f>VLOOKUP(B644,indexy!$A$44:$D$157,3,FALSE)</f>
        <v>4502 JT Equity</v>
      </c>
      <c r="J644" s="213"/>
    </row>
    <row r="645" spans="1:10" hidden="1" outlineLevel="1" x14ac:dyDescent="0.25">
      <c r="A645" s="739">
        <v>0.03</v>
      </c>
      <c r="B645" s="743" t="s">
        <v>53</v>
      </c>
      <c r="C645" s="809">
        <f>69.8/2</f>
        <v>34.9</v>
      </c>
      <c r="D645" s="737">
        <v>43.18</v>
      </c>
      <c r="E645" s="742">
        <f t="shared" si="9"/>
        <v>0.23724928366762188</v>
      </c>
      <c r="F645" s="946">
        <f t="shared" si="10"/>
        <v>7.1174785100286565E-3</v>
      </c>
      <c r="G645" s="78"/>
      <c r="H645" t="str">
        <f>VLOOKUP(B645,indexy!$A$44:$D$157,3,FALSE)</f>
        <v>BN FP Equity</v>
      </c>
      <c r="J645" s="213"/>
    </row>
    <row r="646" spans="1:10" hidden="1" outlineLevel="1" x14ac:dyDescent="0.25">
      <c r="A646" s="739">
        <v>0.04</v>
      </c>
      <c r="B646" s="740" t="s">
        <v>157</v>
      </c>
      <c r="C646" s="809">
        <v>7.6486999999999998</v>
      </c>
      <c r="D646" s="737">
        <v>6.75</v>
      </c>
      <c r="E646" s="742">
        <f t="shared" si="9"/>
        <v>-0.11749709100892958</v>
      </c>
      <c r="F646" s="946">
        <f t="shared" si="10"/>
        <v>-4.6998836403571833E-3</v>
      </c>
      <c r="G646" s="78"/>
      <c r="H646" t="str">
        <f>VLOOKUP(B646,indexy!$A$44:$D$157,3,FALSE)</f>
        <v>SAN SM Equity</v>
      </c>
      <c r="J646" s="213"/>
    </row>
    <row r="647" spans="1:10" hidden="1" outlineLevel="1" x14ac:dyDescent="0.25">
      <c r="A647" s="739">
        <v>0.03</v>
      </c>
      <c r="B647" s="743" t="s">
        <v>3405</v>
      </c>
      <c r="C647" s="809">
        <v>37.131999999999998</v>
      </c>
      <c r="D647" s="737">
        <v>27.52</v>
      </c>
      <c r="E647" s="742">
        <f t="shared" si="9"/>
        <v>-0.25886028223634594</v>
      </c>
      <c r="F647" s="946">
        <f t="shared" si="10"/>
        <v>-7.7658084670903776E-3</v>
      </c>
      <c r="G647" s="78"/>
      <c r="H647" t="str">
        <f>VLOOKUP(B647,indexy!$A$44:$D$157,3,FALSE)</f>
        <v>CA FP Equity</v>
      </c>
      <c r="J647" s="213"/>
    </row>
    <row r="648" spans="1:10" hidden="1" outlineLevel="1" x14ac:dyDescent="0.25">
      <c r="A648" s="739">
        <v>0.04</v>
      </c>
      <c r="B648" s="740" t="s">
        <v>3798</v>
      </c>
      <c r="C648" s="809">
        <v>3.46</v>
      </c>
      <c r="D648" s="737">
        <v>4.5225</v>
      </c>
      <c r="E648" s="742">
        <f t="shared" si="9"/>
        <v>0.30708092485549132</v>
      </c>
      <c r="F648" s="946">
        <f t="shared" si="10"/>
        <v>1.2283236994219654E-2</v>
      </c>
      <c r="G648" s="78"/>
      <c r="H648" t="str">
        <f>VLOOKUP(B648,indexy!$A$44:$D$157,3,FALSE)</f>
        <v>ENEL IM Equity</v>
      </c>
      <c r="J648" s="213"/>
    </row>
    <row r="649" spans="1:10" hidden="1" outlineLevel="1" x14ac:dyDescent="0.25">
      <c r="A649" s="739">
        <v>0.02</v>
      </c>
      <c r="B649" s="712" t="s">
        <v>4387</v>
      </c>
      <c r="C649" s="809">
        <f>63.7536/3</f>
        <v>21.251200000000001</v>
      </c>
      <c r="D649" s="737">
        <v>28.44</v>
      </c>
      <c r="E649" s="742">
        <f t="shared" si="9"/>
        <v>0.33827736786628515</v>
      </c>
      <c r="F649" s="946">
        <f t="shared" si="10"/>
        <v>6.7655473573257031E-3</v>
      </c>
      <c r="G649" s="78"/>
      <c r="H649" t="str">
        <f>VLOOKUP(B649,indexy!$A$44:$D$157,3,FALSE)</f>
        <v>EOAN GY Equity</v>
      </c>
      <c r="J649" s="213"/>
    </row>
    <row r="650" spans="1:10" hidden="1" outlineLevel="1" x14ac:dyDescent="0.25">
      <c r="A650" s="739">
        <v>0.05</v>
      </c>
      <c r="B650" s="740" t="s">
        <v>1993</v>
      </c>
      <c r="C650" s="809">
        <v>46.801299999999998</v>
      </c>
      <c r="D650" s="737">
        <f>43.51+15.06</f>
        <v>58.57</v>
      </c>
      <c r="E650" s="742">
        <f t="shared" si="9"/>
        <v>0.25146096369117954</v>
      </c>
      <c r="F650" s="946">
        <f t="shared" si="10"/>
        <v>1.2573048184558977E-2</v>
      </c>
      <c r="G650" s="78"/>
      <c r="H650" t="str">
        <f>VLOOKUP(B650,indexy!$A$44:$D$157,3,FALSE)</f>
        <v>MO UN Equity</v>
      </c>
      <c r="I650" s="39" t="s">
        <v>3533</v>
      </c>
      <c r="J650" s="213"/>
    </row>
    <row r="651" spans="1:10" hidden="1" outlineLevel="1" x14ac:dyDescent="0.25">
      <c r="A651" s="739">
        <v>0.04</v>
      </c>
      <c r="B651" s="740" t="s">
        <v>1994</v>
      </c>
      <c r="C651" s="809">
        <v>45.088000000000001</v>
      </c>
      <c r="D651" s="737">
        <v>14.08</v>
      </c>
      <c r="E651" s="742">
        <f t="shared" si="9"/>
        <v>-0.687721788502484</v>
      </c>
      <c r="F651" s="946">
        <f t="shared" si="10"/>
        <v>-2.7508871540099362E-2</v>
      </c>
      <c r="G651" s="78"/>
      <c r="H651" t="str">
        <f>VLOOKUP(B651,indexy!$A$44:$D$157,3,FALSE)</f>
        <v>BAC UN Equity</v>
      </c>
      <c r="J651" s="213"/>
    </row>
    <row r="652" spans="1:10" hidden="1" outlineLevel="1" x14ac:dyDescent="0.25">
      <c r="A652" s="739">
        <v>0.04</v>
      </c>
      <c r="B652" s="740" t="s">
        <v>1995</v>
      </c>
      <c r="C652" s="809">
        <v>46.628999999999998</v>
      </c>
      <c r="D652" s="737">
        <v>53.37</v>
      </c>
      <c r="E652" s="742">
        <f t="shared" si="9"/>
        <v>0.14456668596795996</v>
      </c>
      <c r="F652" s="946">
        <f t="shared" si="10"/>
        <v>5.7826674387183984E-3</v>
      </c>
      <c r="G652" s="78"/>
      <c r="H652" t="str">
        <f>VLOOKUP(B652,indexy!$A$44:$D$157,3,FALSE)</f>
        <v>ABT UN Equity</v>
      </c>
      <c r="J652" s="213"/>
    </row>
    <row r="653" spans="1:10" hidden="1" outlineLevel="1" x14ac:dyDescent="0.25">
      <c r="A653" s="739">
        <v>0.03</v>
      </c>
      <c r="B653" s="740" t="s">
        <v>255</v>
      </c>
      <c r="C653" s="809">
        <v>36.554400000000001</v>
      </c>
      <c r="D653" s="737">
        <v>33.9</v>
      </c>
      <c r="E653" s="742">
        <f t="shared" si="9"/>
        <v>-7.2615061387958812E-2</v>
      </c>
      <c r="F653" s="946">
        <f t="shared" si="10"/>
        <v>-2.1784518416387644E-3</v>
      </c>
      <c r="G653" s="78"/>
      <c r="H653" t="str">
        <f>VLOOKUP(B653,indexy!$A$44:$D$157,3,FALSE)</f>
        <v>VZ UN Equity</v>
      </c>
      <c r="J653" s="213"/>
    </row>
    <row r="654" spans="1:10" hidden="1" outlineLevel="1" x14ac:dyDescent="0.25">
      <c r="A654" s="739">
        <v>0.04</v>
      </c>
      <c r="B654" s="743" t="s">
        <v>507</v>
      </c>
      <c r="C654" s="809">
        <v>16.198899999999998</v>
      </c>
      <c r="D654" s="737">
        <v>17.34</v>
      </c>
      <c r="E654" s="742">
        <f t="shared" si="9"/>
        <v>7.044305477532431E-2</v>
      </c>
      <c r="F654" s="946">
        <f t="shared" si="10"/>
        <v>2.8177221910129723E-3</v>
      </c>
      <c r="G654" s="78"/>
      <c r="H654" t="str">
        <f>VLOOKUP(B654,indexy!$A$44:$D$157,3,FALSE)</f>
        <v>UNA NA Equity</v>
      </c>
      <c r="J654" s="213"/>
    </row>
    <row r="655" spans="1:10" hidden="1" outlineLevel="1" x14ac:dyDescent="0.25">
      <c r="A655" s="739">
        <v>0.03</v>
      </c>
      <c r="B655" s="740" t="s">
        <v>3425</v>
      </c>
      <c r="C655" s="809">
        <v>50.521999999999998</v>
      </c>
      <c r="D655" s="737">
        <v>79.83</v>
      </c>
      <c r="E655" s="742">
        <f t="shared" si="9"/>
        <v>0.5801037171925103</v>
      </c>
      <c r="F655" s="946">
        <f t="shared" si="10"/>
        <v>1.7403111515775307E-2</v>
      </c>
      <c r="G655" s="78"/>
      <c r="H655" t="str">
        <f>VLOOKUP(B655,indexy!$A$44:$D$157,3,FALSE)</f>
        <v>XOM UN Equity</v>
      </c>
      <c r="J655" s="213"/>
    </row>
    <row r="656" spans="1:10" hidden="1" outlineLevel="1" x14ac:dyDescent="0.25">
      <c r="A656" s="739">
        <v>0.03</v>
      </c>
      <c r="B656" s="740" t="s">
        <v>3426</v>
      </c>
      <c r="C656" s="809">
        <v>62.776000000000003</v>
      </c>
      <c r="D656" s="737">
        <v>59.83</v>
      </c>
      <c r="E656" s="742">
        <f t="shared" si="9"/>
        <v>-4.6928762584427242E-2</v>
      </c>
      <c r="F656" s="946">
        <f t="shared" si="10"/>
        <v>-1.4078628775328172E-3</v>
      </c>
      <c r="G656" s="78"/>
      <c r="H656" t="str">
        <f>VLOOKUP(B656,indexy!$A$44:$D$157,3,FALSE)</f>
        <v>JNJ UN Equity</v>
      </c>
      <c r="J656" s="213"/>
    </row>
    <row r="657" spans="1:14" hidden="1" outlineLevel="1" x14ac:dyDescent="0.25">
      <c r="A657" s="739">
        <v>0.03</v>
      </c>
      <c r="B657" s="743" t="s">
        <v>1204</v>
      </c>
      <c r="C657" s="809">
        <v>53.210999999999999</v>
      </c>
      <c r="D657" s="737">
        <v>54.77</v>
      </c>
      <c r="E657" s="742">
        <f t="shared" si="9"/>
        <v>2.9298453327319729E-2</v>
      </c>
      <c r="F657" s="946">
        <f t="shared" si="10"/>
        <v>8.7895359981959181E-4</v>
      </c>
      <c r="G657" s="78"/>
      <c r="H657" t="str">
        <f>VLOOKUP(B657,indexy!$A$44:$D$157,3,FALSE)</f>
        <v>PEP UW Equity</v>
      </c>
      <c r="J657" s="213"/>
    </row>
    <row r="658" spans="1:14" hidden="1" outlineLevel="1" x14ac:dyDescent="0.25">
      <c r="A658" s="739">
        <v>0.03</v>
      </c>
      <c r="B658" s="743" t="s">
        <v>1414</v>
      </c>
      <c r="C658" s="809">
        <v>25.695</v>
      </c>
      <c r="D658" s="737">
        <v>17.71</v>
      </c>
      <c r="E658" s="742">
        <f t="shared" si="9"/>
        <v>-0.31076084841408835</v>
      </c>
      <c r="F658" s="946">
        <f t="shared" si="10"/>
        <v>-9.3228254524226496E-3</v>
      </c>
      <c r="G658" s="78"/>
      <c r="H658" t="str">
        <f>VLOOKUP(B658,indexy!$A$44:$D$157,3,FALSE)</f>
        <v>PFE UN Equity</v>
      </c>
      <c r="J658" s="213"/>
    </row>
    <row r="659" spans="1:14" hidden="1" outlineLevel="1" x14ac:dyDescent="0.25">
      <c r="A659" s="739">
        <v>0.05</v>
      </c>
      <c r="B659" s="740" t="s">
        <v>3427</v>
      </c>
      <c r="C659" s="809">
        <v>32.918999999999997</v>
      </c>
      <c r="D659" s="737">
        <v>37</v>
      </c>
      <c r="E659" s="742">
        <f t="shared" si="9"/>
        <v>0.12397095902062638</v>
      </c>
      <c r="F659" s="946">
        <f t="shared" si="10"/>
        <v>6.1985479510313192E-3</v>
      </c>
      <c r="G659" s="78"/>
      <c r="H659" t="str">
        <f>VLOOKUP(B659,indexy!$A$44:$D$157,3,FALSE)</f>
        <v>SO UN Equity</v>
      </c>
      <c r="J659" s="213"/>
      <c r="M659" s="39"/>
      <c r="N659" s="39"/>
    </row>
    <row r="660" spans="1:14" s="39" customFormat="1" hidden="1" outlineLevel="1" x14ac:dyDescent="0.25">
      <c r="A660" s="739">
        <v>0.05</v>
      </c>
      <c r="B660" s="740" t="s">
        <v>872</v>
      </c>
      <c r="C660" s="809">
        <f>2.369*100</f>
        <v>236.90000000000003</v>
      </c>
      <c r="D660" s="737">
        <v>376.75</v>
      </c>
      <c r="E660" s="742">
        <f t="shared" si="9"/>
        <v>0.59033347403967906</v>
      </c>
      <c r="F660" s="946">
        <f t="shared" si="10"/>
        <v>2.9516673701983954E-2</v>
      </c>
      <c r="G660" s="78"/>
      <c r="H660" t="str">
        <f>VLOOKUP(B660,indexy!$A$44:$D$157,3,FALSE)</f>
        <v>BA/ LN Equity</v>
      </c>
      <c r="J660" s="214"/>
      <c r="L660"/>
    </row>
    <row r="661" spans="1:14" s="39" customFormat="1" hidden="1" outlineLevel="1" x14ac:dyDescent="0.25">
      <c r="A661" s="739">
        <v>0.03</v>
      </c>
      <c r="B661" s="740" t="s">
        <v>873</v>
      </c>
      <c r="C661" s="809">
        <f>5.927*100</f>
        <v>592.69999999999993</v>
      </c>
      <c r="D661" s="737">
        <v>153.4</v>
      </c>
      <c r="E661" s="742">
        <f t="shared" si="9"/>
        <v>-0.74118441032562843</v>
      </c>
      <c r="F661" s="946">
        <f t="shared" si="10"/>
        <v>-2.2235532309768852E-2</v>
      </c>
      <c r="G661" s="78"/>
      <c r="H661" t="str">
        <f>VLOOKUP(B661,indexy!$A$44:$D$157,3,FALSE)</f>
        <v>BARC LN Equity</v>
      </c>
      <c r="J661" s="214"/>
      <c r="L661"/>
    </row>
    <row r="662" spans="1:14" s="39" customFormat="1" hidden="1" outlineLevel="1" x14ac:dyDescent="0.25">
      <c r="A662" s="739">
        <v>0.02</v>
      </c>
      <c r="B662" s="740" t="s">
        <v>874</v>
      </c>
      <c r="C662" s="809">
        <f>3.0805*100</f>
        <v>308.04999999999995</v>
      </c>
      <c r="D662" s="737">
        <v>135</v>
      </c>
      <c r="E662" s="742">
        <f t="shared" si="9"/>
        <v>-0.56175945463398791</v>
      </c>
      <c r="F662" s="946">
        <f t="shared" si="10"/>
        <v>-1.1235189092679758E-2</v>
      </c>
      <c r="G662" s="78"/>
      <c r="H662" t="str">
        <f>VLOOKUP(B662,indexy!$A$44:$D$157,3,FALSE)</f>
        <v>KGF LN Equity</v>
      </c>
      <c r="J662" s="214"/>
      <c r="L662"/>
    </row>
    <row r="663" spans="1:14" s="39" customFormat="1" hidden="1" outlineLevel="1" x14ac:dyDescent="0.25">
      <c r="A663" s="739">
        <v>0.05</v>
      </c>
      <c r="B663" s="740" t="s">
        <v>2786</v>
      </c>
      <c r="C663" s="809">
        <f>5*100</f>
        <v>500</v>
      </c>
      <c r="D663" s="737">
        <v>684</v>
      </c>
      <c r="E663" s="742">
        <f t="shared" si="9"/>
        <v>0.3680000000000001</v>
      </c>
      <c r="F663" s="946">
        <f t="shared" si="10"/>
        <v>1.8400000000000007E-2</v>
      </c>
      <c r="G663" s="78"/>
      <c r="H663" t="str">
        <f>VLOOKUP(B663,indexy!$A$44:$D$157,3,FALSE)</f>
        <v>NG/ LN Equity</v>
      </c>
      <c r="J663" s="214"/>
      <c r="L663"/>
    </row>
    <row r="664" spans="1:14" s="39" customFormat="1" hidden="1" outlineLevel="1" x14ac:dyDescent="0.25">
      <c r="A664" s="739">
        <v>0.03</v>
      </c>
      <c r="B664" s="743" t="s">
        <v>1203</v>
      </c>
      <c r="C664" s="809">
        <v>67.474999999999994</v>
      </c>
      <c r="D664" s="737">
        <v>54.7</v>
      </c>
      <c r="E664" s="742">
        <f t="shared" si="9"/>
        <v>-0.18932938125231558</v>
      </c>
      <c r="F664" s="946">
        <f t="shared" si="10"/>
        <v>-5.6798814375694671E-3</v>
      </c>
      <c r="G664" s="78"/>
      <c r="H664" t="str">
        <f>VLOOKUP(B664,indexy!$A$44:$D$157,3,FALSE)</f>
        <v>NDA SS Equity</v>
      </c>
      <c r="J664" s="214"/>
      <c r="L664"/>
      <c r="M664"/>
      <c r="N664"/>
    </row>
    <row r="665" spans="1:14" hidden="1" outlineLevel="1" x14ac:dyDescent="0.25">
      <c r="A665" s="745">
        <v>0.03</v>
      </c>
      <c r="B665" s="746" t="s">
        <v>2787</v>
      </c>
      <c r="C665" s="810">
        <v>56.814999999999998</v>
      </c>
      <c r="D665" s="715">
        <v>52.7</v>
      </c>
      <c r="E665" s="748">
        <f t="shared" si="9"/>
        <v>-7.2428055971134331E-2</v>
      </c>
      <c r="F665" s="1023">
        <f>E665*A665</f>
        <v>-2.1728416791340298E-3</v>
      </c>
      <c r="G665" s="78"/>
      <c r="H665" t="str">
        <f>VLOOKUP(B665,indexy!$A$44:$D$157,3,FALSE)</f>
        <v>NOVN SE Equity</v>
      </c>
      <c r="J665" s="213"/>
    </row>
    <row r="666" spans="1:14" hidden="1" outlineLevel="1" x14ac:dyDescent="0.25">
      <c r="A666" s="749"/>
      <c r="B666" s="750"/>
      <c r="C666" s="727"/>
      <c r="D666" s="727"/>
      <c r="E666" s="716"/>
      <c r="F666" s="770">
        <f>SUM(F636:F665)</f>
        <v>-1.1902631784438648E-2</v>
      </c>
      <c r="G666" s="78"/>
      <c r="J666" s="31"/>
    </row>
    <row r="667" spans="1:14" hidden="1" outlineLevel="1" x14ac:dyDescent="0.25">
      <c r="A667" s="751" t="s">
        <v>43</v>
      </c>
      <c r="B667" s="813">
        <v>39478</v>
      </c>
      <c r="C667" s="727">
        <v>100</v>
      </c>
      <c r="D667" s="814">
        <v>135.70519999999999</v>
      </c>
      <c r="E667" s="716">
        <f t="shared" ref="E667:E677" si="11">D667/C667-1</f>
        <v>0.35705199999999992</v>
      </c>
      <c r="F667" s="770">
        <f>E667</f>
        <v>0.35705199999999992</v>
      </c>
      <c r="G667" s="78"/>
      <c r="J667" s="31"/>
    </row>
    <row r="668" spans="1:14" hidden="1" outlineLevel="1" x14ac:dyDescent="0.25">
      <c r="A668" s="751" t="s">
        <v>1484</v>
      </c>
      <c r="B668" s="813">
        <v>39507</v>
      </c>
      <c r="C668" s="727">
        <v>100</v>
      </c>
      <c r="D668" s="814">
        <v>132.16569999999999</v>
      </c>
      <c r="E668" s="716">
        <f t="shared" si="11"/>
        <v>0.32165699999999986</v>
      </c>
      <c r="F668" s="770">
        <f t="shared" ref="F668:F678" si="12">E668</f>
        <v>0.32165699999999986</v>
      </c>
      <c r="G668" s="78"/>
      <c r="J668" s="31"/>
    </row>
    <row r="669" spans="1:14" hidden="1" outlineLevel="1" x14ac:dyDescent="0.25">
      <c r="A669" s="751" t="s">
        <v>1485</v>
      </c>
      <c r="B669" s="813">
        <v>39538</v>
      </c>
      <c r="C669" s="727">
        <v>100</v>
      </c>
      <c r="D669" s="814">
        <v>131.9588</v>
      </c>
      <c r="E669" s="716">
        <f t="shared" si="11"/>
        <v>0.31958799999999998</v>
      </c>
      <c r="F669" s="770">
        <f t="shared" si="12"/>
        <v>0.31958799999999998</v>
      </c>
      <c r="G669" s="78"/>
      <c r="J669" s="31"/>
    </row>
    <row r="670" spans="1:14" hidden="1" outlineLevel="1" x14ac:dyDescent="0.25">
      <c r="A670" s="751" t="s">
        <v>1486</v>
      </c>
      <c r="B670" s="813">
        <v>39568</v>
      </c>
      <c r="C670" s="727">
        <v>100</v>
      </c>
      <c r="D670" s="814">
        <v>135.5993</v>
      </c>
      <c r="E670" s="716">
        <f t="shared" si="11"/>
        <v>0.355993</v>
      </c>
      <c r="F670" s="770">
        <f t="shared" si="12"/>
        <v>0.355993</v>
      </c>
      <c r="G670" s="78"/>
      <c r="J670" s="31"/>
    </row>
    <row r="671" spans="1:14" hidden="1" outlineLevel="1" x14ac:dyDescent="0.25">
      <c r="A671" s="751" t="s">
        <v>1487</v>
      </c>
      <c r="B671" s="813">
        <v>39599</v>
      </c>
      <c r="C671" s="727">
        <v>100</v>
      </c>
      <c r="D671" s="814">
        <v>134.65450000000001</v>
      </c>
      <c r="E671" s="716">
        <f t="shared" si="11"/>
        <v>0.3465450000000001</v>
      </c>
      <c r="F671" s="770">
        <f t="shared" si="12"/>
        <v>0.3465450000000001</v>
      </c>
      <c r="G671" s="78"/>
      <c r="J671" s="31"/>
    </row>
    <row r="672" spans="1:14" hidden="1" outlineLevel="1" x14ac:dyDescent="0.25">
      <c r="A672" s="751" t="s">
        <v>4013</v>
      </c>
      <c r="B672" s="813">
        <v>39629</v>
      </c>
      <c r="C672" s="727">
        <v>100</v>
      </c>
      <c r="D672" s="814">
        <v>119.8573</v>
      </c>
      <c r="E672" s="716">
        <f t="shared" si="11"/>
        <v>0.19857299999999989</v>
      </c>
      <c r="F672" s="770">
        <f t="shared" si="12"/>
        <v>0.19857299999999989</v>
      </c>
      <c r="G672" s="78"/>
      <c r="J672" s="31"/>
    </row>
    <row r="673" spans="1:10" hidden="1" outlineLevel="1" x14ac:dyDescent="0.25">
      <c r="A673" s="751" t="s">
        <v>4014</v>
      </c>
      <c r="B673" s="813">
        <v>39660</v>
      </c>
      <c r="C673" s="727">
        <v>100</v>
      </c>
      <c r="D673" s="814">
        <v>122.262</v>
      </c>
      <c r="E673" s="716">
        <f t="shared" si="11"/>
        <v>0.22262000000000004</v>
      </c>
      <c r="F673" s="770">
        <f t="shared" si="12"/>
        <v>0.22262000000000004</v>
      </c>
      <c r="G673" s="78"/>
      <c r="J673" s="31"/>
    </row>
    <row r="674" spans="1:10" hidden="1" outlineLevel="1" x14ac:dyDescent="0.25">
      <c r="A674" s="751" t="s">
        <v>4015</v>
      </c>
      <c r="B674" s="813">
        <v>39691</v>
      </c>
      <c r="C674" s="727">
        <v>100</v>
      </c>
      <c r="D674" s="814">
        <v>124.8878</v>
      </c>
      <c r="E674" s="716">
        <f t="shared" si="11"/>
        <v>0.24887799999999993</v>
      </c>
      <c r="F674" s="770">
        <f t="shared" si="12"/>
        <v>0.24887799999999993</v>
      </c>
      <c r="G674" s="78"/>
      <c r="J674" s="31"/>
    </row>
    <row r="675" spans="1:10" hidden="1" outlineLevel="1" x14ac:dyDescent="0.25">
      <c r="A675" s="751" t="s">
        <v>4016</v>
      </c>
      <c r="B675" s="813">
        <v>39721</v>
      </c>
      <c r="C675" s="727">
        <v>100</v>
      </c>
      <c r="D675" s="814">
        <v>119.05970000000001</v>
      </c>
      <c r="E675" s="716">
        <f t="shared" si="11"/>
        <v>0.19059700000000013</v>
      </c>
      <c r="F675" s="770">
        <f t="shared" si="12"/>
        <v>0.19059700000000013</v>
      </c>
      <c r="G675" s="78"/>
      <c r="J675" s="31"/>
    </row>
    <row r="676" spans="1:10" hidden="1" outlineLevel="1" x14ac:dyDescent="0.25">
      <c r="A676" s="751" t="s">
        <v>4017</v>
      </c>
      <c r="B676" s="813">
        <v>39752</v>
      </c>
      <c r="C676" s="696">
        <v>100</v>
      </c>
      <c r="D676" s="814">
        <v>103.6358</v>
      </c>
      <c r="E676" s="716">
        <f t="shared" si="11"/>
        <v>3.6358000000000112E-2</v>
      </c>
      <c r="F676" s="770">
        <f t="shared" si="12"/>
        <v>3.6358000000000112E-2</v>
      </c>
      <c r="G676" s="78"/>
      <c r="J676" s="31"/>
    </row>
    <row r="677" spans="1:10" hidden="1" outlineLevel="1" x14ac:dyDescent="0.25">
      <c r="A677" s="751" t="s">
        <v>4018</v>
      </c>
      <c r="B677" s="813">
        <v>39782</v>
      </c>
      <c r="C677" s="727">
        <v>100</v>
      </c>
      <c r="D677" s="814">
        <v>99.628699999999995</v>
      </c>
      <c r="E677" s="716">
        <f t="shared" si="11"/>
        <v>-3.7130000000000773E-3</v>
      </c>
      <c r="F677" s="770">
        <f t="shared" si="12"/>
        <v>-3.7130000000000773E-3</v>
      </c>
      <c r="G677" s="78"/>
      <c r="J677" s="31"/>
    </row>
    <row r="678" spans="1:10" hidden="1" outlineLevel="1" x14ac:dyDescent="0.25">
      <c r="A678" s="751" t="s">
        <v>4019</v>
      </c>
      <c r="B678" s="813">
        <v>39813</v>
      </c>
      <c r="C678" s="727">
        <v>100</v>
      </c>
      <c r="D678" s="814">
        <v>99.142399999999995</v>
      </c>
      <c r="E678" s="716">
        <f>D678/C678-1</f>
        <v>-8.576000000000028E-3</v>
      </c>
      <c r="F678" s="770">
        <f t="shared" si="12"/>
        <v>-8.576000000000028E-3</v>
      </c>
      <c r="G678" s="78"/>
      <c r="J678" s="31"/>
    </row>
    <row r="679" spans="1:10" hidden="1" outlineLevel="1" x14ac:dyDescent="0.25">
      <c r="A679" s="815"/>
      <c r="B679" s="750"/>
      <c r="C679" s="727"/>
      <c r="D679" s="727"/>
      <c r="E679" s="716"/>
      <c r="F679" s="770"/>
      <c r="G679" s="78"/>
      <c r="J679" s="31"/>
    </row>
    <row r="680" spans="1:10" hidden="1" outlineLevel="1" x14ac:dyDescent="0.25">
      <c r="A680" s="749"/>
      <c r="B680" s="750"/>
      <c r="C680" s="727"/>
      <c r="D680" s="727"/>
      <c r="E680" s="816"/>
      <c r="F680" s="1828">
        <f>AVERAGE(F667:F678)</f>
        <v>0.21546433333333329</v>
      </c>
      <c r="G680" s="78"/>
      <c r="J680" s="31"/>
    </row>
    <row r="681" spans="1:10" collapsed="1" x14ac:dyDescent="0.25">
      <c r="A681" s="3801" t="s">
        <v>363</v>
      </c>
      <c r="B681" s="3802"/>
      <c r="C681" s="3802"/>
      <c r="D681" s="3802"/>
      <c r="E681" s="782" t="s">
        <v>2722</v>
      </c>
      <c r="F681" s="722">
        <f>AVERAGE(F667:F678)*parametry!N40</f>
        <v>0.14651574666666664</v>
      </c>
      <c r="G681" s="175" t="s">
        <v>781</v>
      </c>
      <c r="H681" s="37"/>
      <c r="J681" s="31"/>
    </row>
    <row r="682" spans="1:10" x14ac:dyDescent="0.25">
      <c r="A682" s="1"/>
      <c r="B682" s="1"/>
      <c r="C682" s="1"/>
      <c r="D682" s="1"/>
      <c r="E682" s="1"/>
      <c r="F682" s="1848"/>
      <c r="G682" s="78"/>
      <c r="J682" s="31"/>
    </row>
    <row r="683" spans="1:10" hidden="1" outlineLevel="1" x14ac:dyDescent="0.25">
      <c r="A683" s="689" t="s">
        <v>113</v>
      </c>
      <c r="B683" s="689" t="s">
        <v>114</v>
      </c>
      <c r="C683" s="689" t="s">
        <v>112</v>
      </c>
      <c r="D683" s="689" t="s">
        <v>116</v>
      </c>
      <c r="E683" s="689" t="s">
        <v>117</v>
      </c>
      <c r="F683" s="1188" t="s">
        <v>121</v>
      </c>
      <c r="G683" s="78"/>
      <c r="J683" s="31"/>
    </row>
    <row r="684" spans="1:10" hidden="1" outlineLevel="1" x14ac:dyDescent="0.25">
      <c r="A684" s="690">
        <v>1</v>
      </c>
      <c r="B684" s="691" t="s">
        <v>252</v>
      </c>
      <c r="C684" s="692"/>
      <c r="D684" s="692"/>
      <c r="E684" s="693"/>
      <c r="F684" s="694"/>
      <c r="G684" s="78"/>
      <c r="J684" s="31"/>
    </row>
    <row r="685" spans="1:10" hidden="1" outlineLevel="1" x14ac:dyDescent="0.25">
      <c r="A685" s="695"/>
      <c r="B685" s="695"/>
      <c r="C685" s="696"/>
      <c r="D685" s="697" t="s">
        <v>3702</v>
      </c>
      <c r="E685" s="698">
        <f>indexy!B2</f>
        <v>45379</v>
      </c>
      <c r="F685" s="699"/>
      <c r="G685" s="78"/>
      <c r="J685" s="31"/>
    </row>
    <row r="686" spans="1:10" hidden="1" outlineLevel="1" x14ac:dyDescent="0.25">
      <c r="A686" s="689" t="s">
        <v>4156</v>
      </c>
      <c r="B686" s="689" t="s">
        <v>4153</v>
      </c>
      <c r="C686" s="700" t="s">
        <v>112</v>
      </c>
      <c r="D686" s="689" t="s">
        <v>4155</v>
      </c>
      <c r="E686" s="689" t="s">
        <v>4154</v>
      </c>
      <c r="F686" s="1021" t="s">
        <v>2103</v>
      </c>
      <c r="G686" s="78"/>
      <c r="J686" s="31"/>
    </row>
    <row r="687" spans="1:10" hidden="1" outlineLevel="1" x14ac:dyDescent="0.25">
      <c r="A687" s="734">
        <v>0.05</v>
      </c>
      <c r="B687" s="755" t="s">
        <v>577</v>
      </c>
      <c r="C687" s="807">
        <v>13.714</v>
      </c>
      <c r="D687" s="737">
        <f>VLOOKUP(H687,indexy!$C$44:$D$585,2,FALSE)</f>
        <v>4.0890000000000004</v>
      </c>
      <c r="E687" s="817">
        <f>D687/C687-1</f>
        <v>-0.70183753828204753</v>
      </c>
      <c r="F687" s="1021" t="s">
        <v>2024</v>
      </c>
      <c r="G687" s="78"/>
      <c r="H687" t="str">
        <f>VLOOKUP(B687,indexy!$A$44:$D$157,3,FALSE)</f>
        <v>TEF SQ Equity</v>
      </c>
      <c r="J687" s="31"/>
    </row>
    <row r="688" spans="1:10" hidden="1" outlineLevel="1" x14ac:dyDescent="0.25">
      <c r="A688" s="739">
        <v>0.05</v>
      </c>
      <c r="B688" s="740" t="s">
        <v>1414</v>
      </c>
      <c r="C688" s="809">
        <v>25.695</v>
      </c>
      <c r="D688" s="737">
        <f>VLOOKUP(H688,indexy!$C$44:$D$585,2,FALSE)</f>
        <v>27.75</v>
      </c>
      <c r="E688" s="818">
        <f>D688/C688-1</f>
        <v>7.9976649153531865E-2</v>
      </c>
      <c r="F688" s="1666" t="s">
        <v>2024</v>
      </c>
      <c r="G688" s="78"/>
      <c r="H688" t="str">
        <f>VLOOKUP(B688,indexy!$A$44:$D$157,3,FALSE)</f>
        <v>PFE UN Equity</v>
      </c>
      <c r="J688" s="31"/>
    </row>
    <row r="689" spans="1:14" hidden="1" outlineLevel="1" x14ac:dyDescent="0.25">
      <c r="A689" s="739">
        <v>0.05</v>
      </c>
      <c r="B689" s="740" t="s">
        <v>507</v>
      </c>
      <c r="C689" s="809">
        <f>49.248/3</f>
        <v>16.416</v>
      </c>
      <c r="D689" s="737">
        <f>VLOOKUP(H689,indexy!$C$44:$D$585,2,FALSE)</f>
        <v>46.52</v>
      </c>
      <c r="E689" s="818">
        <f t="shared" ref="E689:E706" si="13">D689/C689-1</f>
        <v>1.8338206627680314</v>
      </c>
      <c r="F689" s="1666" t="s">
        <v>2024</v>
      </c>
      <c r="G689" s="78"/>
      <c r="H689" t="str">
        <f>VLOOKUP(B689,indexy!$A$44:$D$157,3,FALSE)</f>
        <v>UNA NA Equity</v>
      </c>
      <c r="J689" s="31"/>
    </row>
    <row r="690" spans="1:14" hidden="1" outlineLevel="1" x14ac:dyDescent="0.25">
      <c r="A690" s="756">
        <v>0.05</v>
      </c>
      <c r="B690" s="761" t="s">
        <v>1176</v>
      </c>
      <c r="C690" s="808">
        <v>21.106999999999999</v>
      </c>
      <c r="D690" s="759">
        <f>VLOOKUP(H690,indexy!$C$44:$D$585,2,FALSE)</f>
        <v>42.92</v>
      </c>
      <c r="E690" s="819">
        <f t="shared" si="13"/>
        <v>1.0334486189415837</v>
      </c>
      <c r="F690" s="1854" t="s">
        <v>2025</v>
      </c>
      <c r="G690" s="178"/>
      <c r="H690" s="163" t="str">
        <f>VLOOKUP(B690,indexy!$A$44:$D$157,3,FALSE)</f>
        <v>AGS BB Equity</v>
      </c>
      <c r="J690" s="31"/>
    </row>
    <row r="691" spans="1:14" hidden="1" outlineLevel="1" x14ac:dyDescent="0.25">
      <c r="A691" s="739">
        <v>0.05</v>
      </c>
      <c r="B691" s="743" t="s">
        <v>51</v>
      </c>
      <c r="C691" s="809">
        <v>45.570999999999998</v>
      </c>
      <c r="D691" s="737">
        <f>VLOOKUP(H691,indexy!$C$44:$D$585,2,FALSE)</f>
        <v>71.930000000000007</v>
      </c>
      <c r="E691" s="818">
        <f t="shared" si="13"/>
        <v>0.5784160979570343</v>
      </c>
      <c r="F691" s="1666" t="s">
        <v>2024</v>
      </c>
      <c r="G691" s="78"/>
      <c r="H691" t="str">
        <f>VLOOKUP(B691,indexy!$A$44:$D$157,3,FALSE)</f>
        <v>SGO FP Equity</v>
      </c>
      <c r="J691" s="31"/>
    </row>
    <row r="692" spans="1:14" hidden="1" outlineLevel="1" x14ac:dyDescent="0.25">
      <c r="A692" s="739">
        <v>0.05</v>
      </c>
      <c r="B692" s="743" t="s">
        <v>1183</v>
      </c>
      <c r="C692" s="809">
        <f>160.69/4</f>
        <v>40.172499999999999</v>
      </c>
      <c r="D692" s="737" t="e">
        <f>VLOOKUP(H692,indexy!$C$44:$D$585,2,FALSE)</f>
        <v>#N/A</v>
      </c>
      <c r="E692" s="818" t="e">
        <f t="shared" si="13"/>
        <v>#N/A</v>
      </c>
      <c r="F692" s="1666" t="s">
        <v>2024</v>
      </c>
      <c r="G692" s="78"/>
      <c r="H692" t="e">
        <f>VLOOKUP(B692,indexy!$A$44:$D$157,3,FALSE)</f>
        <v>#N/A</v>
      </c>
      <c r="J692" s="31"/>
    </row>
    <row r="693" spans="1:14" hidden="1" outlineLevel="1" x14ac:dyDescent="0.25">
      <c r="A693" s="739">
        <v>0.05</v>
      </c>
      <c r="B693" s="743" t="s">
        <v>1184</v>
      </c>
      <c r="C693" s="809">
        <f>52.264/2</f>
        <v>26.132000000000001</v>
      </c>
      <c r="D693" s="737">
        <f>VLOOKUP(H693,indexy!$C$44:$D$585,2,FALSE)</f>
        <v>52.93</v>
      </c>
      <c r="E693" s="818">
        <f t="shared" si="13"/>
        <v>1.0254859941833767</v>
      </c>
      <c r="F693" s="1666" t="s">
        <v>2024</v>
      </c>
      <c r="G693" s="78"/>
      <c r="H693" t="str">
        <f>VLOOKUP(B693,indexy!$A$44:$D$157,3,FALSE)</f>
        <v>BAS GY Equity</v>
      </c>
      <c r="J693" s="31"/>
    </row>
    <row r="694" spans="1:14" hidden="1" outlineLevel="1" x14ac:dyDescent="0.25">
      <c r="A694" s="739">
        <v>0.05</v>
      </c>
      <c r="B694" s="761" t="s">
        <v>3565</v>
      </c>
      <c r="C694" s="808">
        <v>3.2061000000000002</v>
      </c>
      <c r="D694" s="759">
        <f>VLOOKUP(H694,indexy!$C$44:$D$585,2,FALSE)</f>
        <v>0.22509999999999999</v>
      </c>
      <c r="E694" s="819">
        <f t="shared" si="13"/>
        <v>-0.92979008764542592</v>
      </c>
      <c r="F694" s="1854" t="s">
        <v>2025</v>
      </c>
      <c r="G694" s="78"/>
      <c r="H694" t="str">
        <f>VLOOKUP(B694,indexy!$A$44:$D$157,3,FALSE)</f>
        <v>TIT IM Equity</v>
      </c>
      <c r="J694" s="31"/>
    </row>
    <row r="695" spans="1:14" hidden="1" outlineLevel="1" x14ac:dyDescent="0.25">
      <c r="A695" s="739">
        <v>0.05</v>
      </c>
      <c r="B695" s="743" t="s">
        <v>4338</v>
      </c>
      <c r="C695" s="809">
        <f>19.243*0.913785917</f>
        <v>17.583982400830998</v>
      </c>
      <c r="D695" s="737">
        <f>VLOOKUP(H695,indexy!$C$44:$D$585,2,FALSE)</f>
        <v>15.51</v>
      </c>
      <c r="E695" s="818">
        <f t="shared" si="13"/>
        <v>-0.11794725185422072</v>
      </c>
      <c r="F695" s="1666" t="s">
        <v>2024</v>
      </c>
      <c r="G695" s="78"/>
      <c r="H695" t="str">
        <f>VLOOKUP(B695,indexy!$A$44:$D$392,3,FALSE)</f>
        <v>ENGI FP Equity</v>
      </c>
      <c r="J695" s="31"/>
      <c r="L695" s="161"/>
      <c r="M695" s="161"/>
      <c r="N695" s="161"/>
    </row>
    <row r="696" spans="1:14" s="161" customFormat="1" hidden="1" outlineLevel="1" x14ac:dyDescent="0.25">
      <c r="A696" s="756">
        <v>0.05</v>
      </c>
      <c r="B696" s="761" t="s">
        <v>2587</v>
      </c>
      <c r="C696" s="808">
        <f>(17.514*100)/3</f>
        <v>583.79999999999995</v>
      </c>
      <c r="D696" s="759" t="e">
        <f>VLOOKUP(H696,indexy!$C$44:$D$585,2,FALSE)</f>
        <v>#N/A</v>
      </c>
      <c r="E696" s="819" t="e">
        <f t="shared" si="13"/>
        <v>#N/A</v>
      </c>
      <c r="F696" s="1854" t="s">
        <v>2025</v>
      </c>
      <c r="G696" s="178"/>
      <c r="H696" s="163" t="e">
        <f>VLOOKUP(B696,indexy!$A$44:$D$157,3,FALSE)</f>
        <v>#N/A</v>
      </c>
      <c r="J696" s="162"/>
      <c r="L696" s="39"/>
      <c r="M696" s="39"/>
      <c r="N696" s="39"/>
    </row>
    <row r="697" spans="1:14" s="39" customFormat="1" hidden="1" outlineLevel="1" x14ac:dyDescent="0.25">
      <c r="A697" s="739">
        <v>0.05</v>
      </c>
      <c r="B697" s="743" t="s">
        <v>1187</v>
      </c>
      <c r="C697" s="809">
        <v>57.865000000000002</v>
      </c>
      <c r="D697" s="737">
        <f>VLOOKUP(H697,indexy!$C$44:$D$585,2,FALSE)</f>
        <v>90.96</v>
      </c>
      <c r="E697" s="818">
        <f t="shared" si="13"/>
        <v>0.57193467553788979</v>
      </c>
      <c r="F697" s="1666" t="s">
        <v>2024</v>
      </c>
      <c r="G697" s="78"/>
      <c r="H697" t="str">
        <f>VLOOKUP(B697,indexy!$A$44:$D$157,3,FALSE)</f>
        <v>SAN FP Equity</v>
      </c>
      <c r="J697" s="44"/>
    </row>
    <row r="698" spans="1:14" s="39" customFormat="1" hidden="1" outlineLevel="1" x14ac:dyDescent="0.25">
      <c r="A698" s="756">
        <v>0.05</v>
      </c>
      <c r="B698" s="761" t="s">
        <v>2588</v>
      </c>
      <c r="C698" s="808">
        <v>22.262</v>
      </c>
      <c r="D698" s="759">
        <f>VLOOKUP(H698,indexy!$C$44:$D$585,2,FALSE)</f>
        <v>15.246</v>
      </c>
      <c r="E698" s="819">
        <f t="shared" si="13"/>
        <v>-0.31515587099092623</v>
      </c>
      <c r="F698" s="1854" t="s">
        <v>2025</v>
      </c>
      <c r="G698" s="178"/>
      <c r="H698" s="163" t="str">
        <f>VLOOKUP(B698,indexy!$A$44:$D$157,3,FALSE)</f>
        <v>INGA NA Equity</v>
      </c>
      <c r="J698" s="44"/>
    </row>
    <row r="699" spans="1:14" s="39" customFormat="1" hidden="1" outlineLevel="1" x14ac:dyDescent="0.25">
      <c r="A699" s="739">
        <v>0.05</v>
      </c>
      <c r="B699" s="743" t="s">
        <v>1188</v>
      </c>
      <c r="C699" s="809">
        <f>5.124*100</f>
        <v>512.4</v>
      </c>
      <c r="D699" s="737">
        <f>VLOOKUP(H699,indexy!$C$44:$D$585,2,FALSE)</f>
        <v>495.7</v>
      </c>
      <c r="E699" s="818">
        <f t="shared" si="13"/>
        <v>-3.2591725214676015E-2</v>
      </c>
      <c r="F699" s="1666" t="s">
        <v>2024</v>
      </c>
      <c r="G699" s="78"/>
      <c r="H699" t="str">
        <f>VLOOKUP(B699,indexy!$A$44:$D$157,3,FALSE)</f>
        <v>BP/ LN Equity</v>
      </c>
      <c r="J699" s="44"/>
      <c r="L699"/>
      <c r="M699"/>
      <c r="N699"/>
    </row>
    <row r="700" spans="1:14" hidden="1" outlineLevel="1" x14ac:dyDescent="0.25">
      <c r="A700" s="739">
        <v>0.05</v>
      </c>
      <c r="B700" s="740" t="s">
        <v>1001</v>
      </c>
      <c r="C700" s="809">
        <v>26.43</v>
      </c>
      <c r="D700" s="737">
        <f>VLOOKUP(H700,indexy!$C$44:$D$585,2,FALSE)</f>
        <v>420.72</v>
      </c>
      <c r="E700" s="818">
        <f t="shared" si="13"/>
        <v>14.918274687854712</v>
      </c>
      <c r="F700" s="1666" t="s">
        <v>2024</v>
      </c>
      <c r="G700" s="78"/>
      <c r="H700" t="str">
        <f>VLOOKUP(B700,indexy!$A$44:$D$157,3,FALSE)</f>
        <v>MSFT UW Equity</v>
      </c>
      <c r="J700" s="31"/>
    </row>
    <row r="701" spans="1:14" hidden="1" outlineLevel="1" x14ac:dyDescent="0.25">
      <c r="A701" s="739">
        <v>0.05</v>
      </c>
      <c r="B701" s="740" t="s">
        <v>1002</v>
      </c>
      <c r="C701" s="809">
        <v>13.406000000000001</v>
      </c>
      <c r="D701" s="737">
        <f>VLOOKUP(H701,indexy!$C$44:$D$585,2,FALSE)</f>
        <v>125.61</v>
      </c>
      <c r="E701" s="818">
        <f t="shared" si="13"/>
        <v>8.3696852155751156</v>
      </c>
      <c r="F701" s="1666" t="s">
        <v>2024</v>
      </c>
      <c r="G701" s="78"/>
      <c r="H701" t="str">
        <f>VLOOKUP(B701,indexy!$A$44:$D$157,3,FALSE)</f>
        <v>ORCL UN Equity</v>
      </c>
      <c r="J701" s="31"/>
    </row>
    <row r="702" spans="1:14" hidden="1" outlineLevel="1" x14ac:dyDescent="0.25">
      <c r="A702" s="739">
        <v>0.05</v>
      </c>
      <c r="B702" s="740" t="s">
        <v>3425</v>
      </c>
      <c r="C702" s="809">
        <v>50.521999999999998</v>
      </c>
      <c r="D702" s="737">
        <f>VLOOKUP(H702,indexy!$C$44:$D$585,2,FALSE)</f>
        <v>116.24</v>
      </c>
      <c r="E702" s="818">
        <f t="shared" si="13"/>
        <v>1.3007798582795616</v>
      </c>
      <c r="F702" s="1666" t="s">
        <v>2024</v>
      </c>
      <c r="G702" s="78"/>
      <c r="H702" t="str">
        <f>VLOOKUP(B702,indexy!$A$44:$D$157,3,FALSE)</f>
        <v>XOM UN Equity</v>
      </c>
      <c r="J702" s="31"/>
    </row>
    <row r="703" spans="1:14" hidden="1" outlineLevel="1" x14ac:dyDescent="0.25">
      <c r="A703" s="739">
        <v>0.05</v>
      </c>
      <c r="B703" s="740" t="s">
        <v>1003</v>
      </c>
      <c r="C703" s="809">
        <v>22.356000000000002</v>
      </c>
      <c r="D703" s="737">
        <f>VLOOKUP(H703,indexy!$C$44:$D$585,2,FALSE)</f>
        <v>174.21</v>
      </c>
      <c r="E703" s="818">
        <f t="shared" si="13"/>
        <v>6.792538915727321</v>
      </c>
      <c r="F703" s="1666" t="s">
        <v>2024</v>
      </c>
      <c r="G703" s="78"/>
      <c r="H703" t="str">
        <f>VLOOKUP(B703,indexy!$A$44:$D$157,3,FALSE)</f>
        <v>TXN UW Equity</v>
      </c>
      <c r="J703" s="31"/>
    </row>
    <row r="704" spans="1:14" hidden="1" outlineLevel="1" x14ac:dyDescent="0.25">
      <c r="A704" s="739">
        <v>0.05</v>
      </c>
      <c r="B704" s="743" t="s">
        <v>1207</v>
      </c>
      <c r="C704" s="809">
        <v>4007</v>
      </c>
      <c r="D704" s="737">
        <f>VLOOKUP(H704,indexy!$C$44:$D$585,2,FALSE)</f>
        <v>12930</v>
      </c>
      <c r="E704" s="818">
        <f t="shared" si="13"/>
        <v>2.2268530072373345</v>
      </c>
      <c r="F704" s="1666" t="s">
        <v>2024</v>
      </c>
      <c r="G704" s="78"/>
      <c r="H704" t="str">
        <f>VLOOKUP(B704,indexy!$A$44:$D$157,3,FALSE)</f>
        <v>6758 JT Equity</v>
      </c>
      <c r="J704" s="31"/>
    </row>
    <row r="705" spans="1:10" hidden="1" outlineLevel="1" x14ac:dyDescent="0.25">
      <c r="A705" s="739">
        <v>0.05</v>
      </c>
      <c r="B705" s="743" t="s">
        <v>3551</v>
      </c>
      <c r="C705" s="809">
        <v>4132</v>
      </c>
      <c r="D705" s="737">
        <f>VLOOKUP(H705,indexy!$C$44:$D$585,2,FALSE)</f>
        <v>3806</v>
      </c>
      <c r="E705" s="818">
        <f t="shared" si="13"/>
        <v>-7.8896418199419172E-2</v>
      </c>
      <c r="F705" s="1666" t="s">
        <v>2024</v>
      </c>
      <c r="G705" s="78"/>
      <c r="H705" t="str">
        <f>VLOOKUP(B705,indexy!$A$44:$D$157,3,FALSE)</f>
        <v>7203 JT Equity</v>
      </c>
      <c r="J705" s="31"/>
    </row>
    <row r="706" spans="1:10" hidden="1" outlineLevel="1" x14ac:dyDescent="0.25">
      <c r="A706" s="745">
        <v>0.05</v>
      </c>
      <c r="B706" s="746" t="s">
        <v>4273</v>
      </c>
      <c r="C706" s="810">
        <v>182900</v>
      </c>
      <c r="D706" s="715">
        <f>VLOOKUP(H706,indexy!$C$44:$D$585,2,FALSE)</f>
        <v>3880</v>
      </c>
      <c r="E706" s="818">
        <f t="shared" si="13"/>
        <v>-0.9787862219792236</v>
      </c>
      <c r="F706" s="1023" t="s">
        <v>2024</v>
      </c>
      <c r="G706" s="78"/>
      <c r="H706" t="str">
        <f>VLOOKUP(B706,indexy!$A$44:$D$157,3,FALSE)</f>
        <v>9437 JT Equity</v>
      </c>
      <c r="J706" s="31"/>
    </row>
    <row r="707" spans="1:10" hidden="1" outlineLevel="1" x14ac:dyDescent="0.25">
      <c r="A707" s="749"/>
      <c r="B707" s="750"/>
      <c r="C707" s="811"/>
      <c r="D707" s="811"/>
      <c r="E707" s="820"/>
      <c r="F707" s="770"/>
      <c r="G707" s="78"/>
      <c r="H707" s="417" t="s">
        <v>6670</v>
      </c>
      <c r="I707" s="488" t="s">
        <v>6674</v>
      </c>
      <c r="J707" s="31"/>
    </row>
    <row r="708" spans="1:10" hidden="1" outlineLevel="1" x14ac:dyDescent="0.25">
      <c r="A708" s="751" t="s">
        <v>39</v>
      </c>
      <c r="B708" s="750"/>
      <c r="C708" s="727"/>
      <c r="D708" s="768"/>
      <c r="E708" s="750"/>
      <c r="F708" s="770">
        <v>4.5999999999999999E-2</v>
      </c>
      <c r="G708" s="78"/>
      <c r="H708" s="478">
        <f>F708</f>
        <v>4.5999999999999999E-2</v>
      </c>
      <c r="I708" s="520">
        <f>parametry!R41</f>
        <v>1.5</v>
      </c>
      <c r="J708" s="253"/>
    </row>
    <row r="709" spans="1:10" hidden="1" outlineLevel="1" x14ac:dyDescent="0.25">
      <c r="A709" s="751" t="s">
        <v>40</v>
      </c>
      <c r="B709" s="750" t="s">
        <v>1309</v>
      </c>
      <c r="C709" s="727"/>
      <c r="D709" s="768"/>
      <c r="E709" s="750" t="s">
        <v>6672</v>
      </c>
      <c r="F709" s="770">
        <f>IF(E709="výnos dělen",F708/$I$708,IF(E709="výnos násoben",F708*$I$708,""))</f>
        <v>3.0666666666666665E-2</v>
      </c>
      <c r="G709" s="78"/>
      <c r="H709" s="478">
        <f>IF(F709="",H708*$I$8747,F709)</f>
        <v>3.0666666666666665E-2</v>
      </c>
      <c r="I709" s="81" t="s">
        <v>6672</v>
      </c>
      <c r="J709" s="31"/>
    </row>
    <row r="710" spans="1:10" hidden="1" outlineLevel="1" x14ac:dyDescent="0.25">
      <c r="A710" s="751" t="s">
        <v>41</v>
      </c>
      <c r="B710" s="750" t="s">
        <v>3353</v>
      </c>
      <c r="C710" s="727"/>
      <c r="D710" s="768"/>
      <c r="E710" s="750" t="s">
        <v>6672</v>
      </c>
      <c r="F710" s="770">
        <f>IF(E710="výnos dělen",F709/$I$708,IF(E710="výnos násoben",F709*$I$708,""))</f>
        <v>2.0444444444444442E-2</v>
      </c>
      <c r="G710" s="78"/>
      <c r="H710" s="478">
        <f>IF(F710="",H709*$I$8747,F710)</f>
        <v>2.0444444444444442E-2</v>
      </c>
      <c r="I710" s="81" t="s">
        <v>6673</v>
      </c>
      <c r="J710" s="31"/>
    </row>
    <row r="711" spans="1:10" hidden="1" outlineLevel="1" x14ac:dyDescent="0.25">
      <c r="A711" s="751" t="s">
        <v>42</v>
      </c>
      <c r="B711" s="750" t="s">
        <v>3915</v>
      </c>
      <c r="C711" s="727"/>
      <c r="D711" s="768"/>
      <c r="E711" s="750" t="s">
        <v>6672</v>
      </c>
      <c r="F711" s="770">
        <f>IF(E711="výnos dělen",F710/$I$708,IF(E711="výnos násoben",F710*$I$708,""))</f>
        <v>1.3629629629629629E-2</v>
      </c>
      <c r="G711" s="78"/>
      <c r="H711" s="478">
        <f>IF(F711="",H710*$I$8747,F711)</f>
        <v>1.3629629629629629E-2</v>
      </c>
      <c r="J711" s="31"/>
    </row>
    <row r="712" spans="1:10" hidden="1" outlineLevel="1" x14ac:dyDescent="0.25">
      <c r="A712" s="751" t="s">
        <v>92</v>
      </c>
      <c r="B712" s="750" t="s">
        <v>3901</v>
      </c>
      <c r="C712" s="727"/>
      <c r="D712" s="727"/>
      <c r="E712" s="750" t="s">
        <v>6672</v>
      </c>
      <c r="F712" s="770">
        <f>IF(E712="výnos dělen",F711/$I$708,IF(E712="výnos násoben",F711*$I$708,""))</f>
        <v>9.0864197530864197E-3</v>
      </c>
      <c r="G712" s="78"/>
      <c r="H712" s="478">
        <f>IF(F712="",H711*$I$8747,F712)</f>
        <v>9.0864197530864197E-3</v>
      </c>
      <c r="J712" s="31"/>
    </row>
    <row r="713" spans="1:10" hidden="1" outlineLevel="1" x14ac:dyDescent="0.25">
      <c r="A713" s="751" t="s">
        <v>1410</v>
      </c>
      <c r="B713" s="750" t="s">
        <v>538</v>
      </c>
      <c r="C713" s="727"/>
      <c r="D713" s="727"/>
      <c r="E713" s="750" t="s">
        <v>6672</v>
      </c>
      <c r="F713" s="770">
        <f>IF(E713="výnos dělen",F712/$I$708,IF(E713="výnos násoben",F712*$I$708,""))</f>
        <v>6.0576131687242801E-3</v>
      </c>
      <c r="G713" s="78"/>
      <c r="H713" s="478">
        <f>IF(F713="",H712*$I$8747,F713)</f>
        <v>6.0576131687242801E-3</v>
      </c>
      <c r="J713" s="31"/>
    </row>
    <row r="714" spans="1:10" collapsed="1" x14ac:dyDescent="0.25">
      <c r="A714" s="3801" t="s">
        <v>186</v>
      </c>
      <c r="B714" s="3802"/>
      <c r="C714" s="3802"/>
      <c r="D714" s="3802"/>
      <c r="E714" s="821"/>
      <c r="F714" s="752">
        <f>SUM(F708:F713)</f>
        <v>0.12588477366255144</v>
      </c>
      <c r="G714" s="97" t="s">
        <v>781</v>
      </c>
      <c r="H714" s="521">
        <f>SUM(H708:H713)</f>
        <v>0.12588477366255144</v>
      </c>
      <c r="J714" s="31"/>
    </row>
    <row r="715" spans="1:10" x14ac:dyDescent="0.25">
      <c r="A715" s="1"/>
      <c r="B715" s="1"/>
      <c r="C715" s="1"/>
      <c r="D715" s="1"/>
      <c r="E715" s="1"/>
      <c r="F715" s="1848"/>
      <c r="G715" s="78"/>
      <c r="J715" s="31"/>
    </row>
    <row r="716" spans="1:10" hidden="1" outlineLevel="1" x14ac:dyDescent="0.25">
      <c r="A716" s="689" t="s">
        <v>113</v>
      </c>
      <c r="B716" s="689" t="s">
        <v>114</v>
      </c>
      <c r="C716" s="689" t="s">
        <v>112</v>
      </c>
      <c r="D716" s="689" t="s">
        <v>116</v>
      </c>
      <c r="E716" s="689" t="s">
        <v>117</v>
      </c>
      <c r="F716" s="1188" t="s">
        <v>121</v>
      </c>
      <c r="G716" s="78"/>
      <c r="J716" s="31"/>
    </row>
    <row r="717" spans="1:10" hidden="1" outlineLevel="1" x14ac:dyDescent="0.25">
      <c r="A717" s="728">
        <v>1</v>
      </c>
      <c r="B717" s="729" t="s">
        <v>115</v>
      </c>
      <c r="C717" s="719">
        <v>2956.5070000000001</v>
      </c>
      <c r="D717" s="719">
        <v>3060.72</v>
      </c>
      <c r="E717" s="720">
        <f t="shared" ref="E717:E752" si="14">D717/C717-1</f>
        <v>3.524869043097123E-2</v>
      </c>
      <c r="F717" s="731">
        <v>0</v>
      </c>
      <c r="G717" s="78"/>
      <c r="J717" s="31"/>
    </row>
    <row r="718" spans="1:10" hidden="1" outlineLevel="1" x14ac:dyDescent="0.25">
      <c r="A718" s="728">
        <v>2</v>
      </c>
      <c r="B718" s="729" t="s">
        <v>115</v>
      </c>
      <c r="C718" s="719">
        <v>3060.72</v>
      </c>
      <c r="D718" s="719">
        <v>3075.33</v>
      </c>
      <c r="E718" s="720">
        <f t="shared" si="14"/>
        <v>4.7733866541206371E-3</v>
      </c>
      <c r="F718" s="731">
        <v>0</v>
      </c>
      <c r="G718" s="78"/>
      <c r="J718" s="31"/>
    </row>
    <row r="719" spans="1:10" hidden="1" outlineLevel="1" x14ac:dyDescent="0.25">
      <c r="A719" s="728">
        <v>3</v>
      </c>
      <c r="B719" s="729" t="s">
        <v>115</v>
      </c>
      <c r="C719" s="719">
        <v>3075.33</v>
      </c>
      <c r="D719" s="719">
        <v>2994.52</v>
      </c>
      <c r="E719" s="720">
        <f t="shared" si="14"/>
        <v>-2.6276854841594255E-2</v>
      </c>
      <c r="F719" s="731">
        <f>+E719</f>
        <v>-2.6276854841594255E-2</v>
      </c>
      <c r="G719" s="78"/>
      <c r="J719" s="31"/>
    </row>
    <row r="720" spans="1:10" hidden="1" outlineLevel="1" x14ac:dyDescent="0.25">
      <c r="A720" s="728">
        <v>4</v>
      </c>
      <c r="B720" s="729" t="s">
        <v>115</v>
      </c>
      <c r="C720" s="719">
        <v>2994.52</v>
      </c>
      <c r="D720" s="719">
        <v>3162.86</v>
      </c>
      <c r="E720" s="720">
        <f t="shared" si="14"/>
        <v>5.6216021265511618E-2</v>
      </c>
      <c r="F720" s="731">
        <v>0</v>
      </c>
      <c r="G720" s="78"/>
      <c r="J720" s="31"/>
    </row>
    <row r="721" spans="1:10" hidden="1" outlineLevel="1" x14ac:dyDescent="0.25">
      <c r="A721" s="728">
        <v>5</v>
      </c>
      <c r="B721" s="729" t="s">
        <v>115</v>
      </c>
      <c r="C721" s="719">
        <v>3162.86</v>
      </c>
      <c r="D721" s="719">
        <v>3277.2</v>
      </c>
      <c r="E721" s="720">
        <f t="shared" si="14"/>
        <v>3.6150825518675989E-2</v>
      </c>
      <c r="F721" s="731">
        <v>0</v>
      </c>
      <c r="G721" s="78"/>
      <c r="J721" s="31"/>
    </row>
    <row r="722" spans="1:10" hidden="1" outlineLevel="1" x14ac:dyDescent="0.25">
      <c r="A722" s="728">
        <v>6</v>
      </c>
      <c r="B722" s="729" t="s">
        <v>115</v>
      </c>
      <c r="C722" s="719">
        <v>3277.2</v>
      </c>
      <c r="D722" s="719">
        <v>3334.15</v>
      </c>
      <c r="E722" s="720">
        <f t="shared" si="14"/>
        <v>1.7377639448309612E-2</v>
      </c>
      <c r="F722" s="731">
        <v>0</v>
      </c>
      <c r="G722" s="78"/>
      <c r="J722" s="31"/>
    </row>
    <row r="723" spans="1:10" hidden="1" outlineLevel="1" x14ac:dyDescent="0.25">
      <c r="A723" s="728">
        <v>7</v>
      </c>
      <c r="B723" s="729" t="s">
        <v>115</v>
      </c>
      <c r="C723" s="719">
        <v>3334.15</v>
      </c>
      <c r="D723" s="719">
        <v>3338.99</v>
      </c>
      <c r="E723" s="720">
        <f t="shared" si="14"/>
        <v>1.4516443471348506E-3</v>
      </c>
      <c r="F723" s="731">
        <v>0</v>
      </c>
      <c r="G723" s="78"/>
      <c r="J723" s="31"/>
    </row>
    <row r="724" spans="1:10" hidden="1" outlineLevel="1" x14ac:dyDescent="0.25">
      <c r="A724" s="728">
        <v>8</v>
      </c>
      <c r="B724" s="729" t="s">
        <v>115</v>
      </c>
      <c r="C724" s="719">
        <v>3338.99</v>
      </c>
      <c r="D724" s="719">
        <v>3349.58</v>
      </c>
      <c r="E724" s="720">
        <f t="shared" si="14"/>
        <v>3.1716177646534671E-3</v>
      </c>
      <c r="F724" s="731">
        <v>0</v>
      </c>
      <c r="G724" s="78"/>
      <c r="J724" s="31"/>
    </row>
    <row r="725" spans="1:10" hidden="1" outlineLevel="1" x14ac:dyDescent="0.25">
      <c r="A725" s="728">
        <v>9</v>
      </c>
      <c r="B725" s="729" t="s">
        <v>115</v>
      </c>
      <c r="C725" s="719">
        <v>3349.58</v>
      </c>
      <c r="D725" s="719">
        <v>3412.19</v>
      </c>
      <c r="E725" s="720">
        <f t="shared" si="14"/>
        <v>1.8691895700356564E-2</v>
      </c>
      <c r="F725" s="731">
        <v>0</v>
      </c>
      <c r="G725" s="78"/>
      <c r="J725" s="31"/>
    </row>
    <row r="726" spans="1:10" hidden="1" outlineLevel="1" x14ac:dyDescent="0.25">
      <c r="A726" s="728">
        <v>10</v>
      </c>
      <c r="B726" s="729" t="s">
        <v>115</v>
      </c>
      <c r="C726" s="719">
        <v>3412.19</v>
      </c>
      <c r="D726" s="719">
        <v>3519.12</v>
      </c>
      <c r="E726" s="720">
        <f t="shared" si="14"/>
        <v>3.1337645324556851E-2</v>
      </c>
      <c r="F726" s="731">
        <v>0</v>
      </c>
      <c r="G726" s="78"/>
      <c r="J726" s="31"/>
    </row>
    <row r="727" spans="1:10" hidden="1" outlineLevel="1" x14ac:dyDescent="0.25">
      <c r="A727" s="728">
        <v>11</v>
      </c>
      <c r="B727" s="729" t="s">
        <v>115</v>
      </c>
      <c r="C727" s="719">
        <v>3519.12</v>
      </c>
      <c r="D727" s="719">
        <v>3629.25</v>
      </c>
      <c r="E727" s="720">
        <f t="shared" si="14"/>
        <v>3.1294755507058625E-2</v>
      </c>
      <c r="F727" s="731">
        <v>0</v>
      </c>
      <c r="G727" s="78"/>
      <c r="J727" s="31"/>
    </row>
    <row r="728" spans="1:10" hidden="1" outlineLevel="1" x14ac:dyDescent="0.25">
      <c r="A728" s="728">
        <v>12</v>
      </c>
      <c r="B728" s="729" t="s">
        <v>115</v>
      </c>
      <c r="C728" s="719">
        <v>3629.25</v>
      </c>
      <c r="D728" s="719">
        <v>3734.48</v>
      </c>
      <c r="E728" s="720">
        <f t="shared" si="14"/>
        <v>2.8994971412826365E-2</v>
      </c>
      <c r="F728" s="731">
        <v>0</v>
      </c>
      <c r="G728" s="78"/>
      <c r="J728" s="31"/>
    </row>
    <row r="729" spans="1:10" hidden="1" outlineLevel="1" x14ac:dyDescent="0.25">
      <c r="A729" s="728">
        <v>13</v>
      </c>
      <c r="B729" s="729" t="s">
        <v>115</v>
      </c>
      <c r="C729" s="719">
        <v>3734.48</v>
      </c>
      <c r="D729" s="719">
        <v>3833.48</v>
      </c>
      <c r="E729" s="720">
        <f t="shared" si="14"/>
        <v>2.6509714873288903E-2</v>
      </c>
      <c r="F729" s="731">
        <v>0</v>
      </c>
      <c r="G729" s="78"/>
      <c r="J729" s="31"/>
    </row>
    <row r="730" spans="1:10" hidden="1" outlineLevel="1" x14ac:dyDescent="0.25">
      <c r="A730" s="728">
        <v>14</v>
      </c>
      <c r="B730" s="729" t="s">
        <v>115</v>
      </c>
      <c r="C730" s="719">
        <v>3833.48</v>
      </c>
      <c r="D730" s="719">
        <v>3770.79</v>
      </c>
      <c r="E730" s="720">
        <f t="shared" si="14"/>
        <v>-1.635328735248387E-2</v>
      </c>
      <c r="F730" s="731">
        <f>+E730</f>
        <v>-1.635328735248387E-2</v>
      </c>
      <c r="G730" s="78"/>
      <c r="J730" s="31"/>
    </row>
    <row r="731" spans="1:10" hidden="1" outlineLevel="1" x14ac:dyDescent="0.25">
      <c r="A731" s="728">
        <v>15</v>
      </c>
      <c r="B731" s="729" t="s">
        <v>115</v>
      </c>
      <c r="C731" s="719">
        <v>3770.79</v>
      </c>
      <c r="D731" s="719">
        <v>3711.16</v>
      </c>
      <c r="E731" s="720">
        <f t="shared" si="14"/>
        <v>-1.5813662389048466E-2</v>
      </c>
      <c r="F731" s="731">
        <f>+E731</f>
        <v>-1.5813662389048466E-2</v>
      </c>
      <c r="G731" s="78"/>
      <c r="J731" s="31"/>
    </row>
    <row r="732" spans="1:10" hidden="1" outlineLevel="1" x14ac:dyDescent="0.25">
      <c r="A732" s="728">
        <v>16</v>
      </c>
      <c r="B732" s="729" t="s">
        <v>115</v>
      </c>
      <c r="C732" s="719">
        <v>3711.16</v>
      </c>
      <c r="D732" s="719">
        <v>3414.21</v>
      </c>
      <c r="E732" s="720">
        <f t="shared" si="14"/>
        <v>-8.0015412970607547E-2</v>
      </c>
      <c r="F732" s="731">
        <f>+E732</f>
        <v>-8.0015412970607547E-2</v>
      </c>
      <c r="G732" s="78"/>
      <c r="J732" s="31"/>
    </row>
    <row r="733" spans="1:10" hidden="1" outlineLevel="1" x14ac:dyDescent="0.25">
      <c r="A733" s="728">
        <v>17</v>
      </c>
      <c r="B733" s="729" t="s">
        <v>115</v>
      </c>
      <c r="C733" s="719">
        <v>3414.21</v>
      </c>
      <c r="D733" s="719">
        <v>3508.25</v>
      </c>
      <c r="E733" s="720">
        <f t="shared" si="14"/>
        <v>2.7543707036181031E-2</v>
      </c>
      <c r="F733" s="731">
        <v>0</v>
      </c>
      <c r="G733" s="78"/>
      <c r="J733" s="31"/>
    </row>
    <row r="734" spans="1:10" hidden="1" outlineLevel="1" x14ac:dyDescent="0.25">
      <c r="A734" s="728">
        <v>18</v>
      </c>
      <c r="B734" s="729" t="s">
        <v>115</v>
      </c>
      <c r="C734" s="719">
        <v>3508.25</v>
      </c>
      <c r="D734" s="719">
        <v>3719.11</v>
      </c>
      <c r="E734" s="720">
        <f t="shared" si="14"/>
        <v>6.0104040476020915E-2</v>
      </c>
      <c r="F734" s="731">
        <v>0</v>
      </c>
      <c r="G734" s="78"/>
      <c r="J734" s="31"/>
    </row>
    <row r="735" spans="1:10" hidden="1" outlineLevel="1" x14ac:dyDescent="0.25">
      <c r="A735" s="728">
        <v>19</v>
      </c>
      <c r="B735" s="729" t="s">
        <v>115</v>
      </c>
      <c r="C735" s="719">
        <v>3719.11</v>
      </c>
      <c r="D735" s="719">
        <v>3796.59</v>
      </c>
      <c r="E735" s="720">
        <f t="shared" si="14"/>
        <v>2.0832941214430356E-2</v>
      </c>
      <c r="F735" s="731">
        <v>0</v>
      </c>
      <c r="G735" s="78"/>
      <c r="J735" s="31"/>
    </row>
    <row r="736" spans="1:10" hidden="1" outlineLevel="1" x14ac:dyDescent="0.25">
      <c r="A736" s="728">
        <v>20</v>
      </c>
      <c r="B736" s="729" t="s">
        <v>115</v>
      </c>
      <c r="C736" s="719">
        <v>3796.59</v>
      </c>
      <c r="D736" s="719">
        <v>3999.07</v>
      </c>
      <c r="E736" s="720">
        <f t="shared" si="14"/>
        <v>5.3332069040902486E-2</v>
      </c>
      <c r="F736" s="731">
        <v>0</v>
      </c>
      <c r="G736" s="78"/>
      <c r="J736" s="31"/>
    </row>
    <row r="737" spans="1:10" hidden="1" outlineLevel="1" x14ac:dyDescent="0.25">
      <c r="A737" s="728">
        <v>21</v>
      </c>
      <c r="B737" s="729" t="s">
        <v>115</v>
      </c>
      <c r="C737" s="719">
        <v>3999.07</v>
      </c>
      <c r="D737" s="719">
        <v>4084.33</v>
      </c>
      <c r="E737" s="720">
        <f t="shared" si="14"/>
        <v>2.1319956889976899E-2</v>
      </c>
      <c r="F737" s="731">
        <v>0</v>
      </c>
      <c r="G737" s="78"/>
      <c r="J737" s="31"/>
    </row>
    <row r="738" spans="1:10" hidden="1" outlineLevel="1" x14ac:dyDescent="0.25">
      <c r="A738" s="728">
        <v>22</v>
      </c>
      <c r="B738" s="729" t="s">
        <v>115</v>
      </c>
      <c r="C738" s="719">
        <v>4084.33</v>
      </c>
      <c r="D738" s="719">
        <v>4118.84</v>
      </c>
      <c r="E738" s="720">
        <f t="shared" si="14"/>
        <v>8.4493662363227529E-3</v>
      </c>
      <c r="F738" s="731">
        <v>0</v>
      </c>
      <c r="G738" s="78"/>
      <c r="J738" s="31"/>
    </row>
    <row r="739" spans="1:10" hidden="1" outlineLevel="1" x14ac:dyDescent="0.25">
      <c r="A739" s="728">
        <v>23</v>
      </c>
      <c r="B739" s="729" t="s">
        <v>115</v>
      </c>
      <c r="C739" s="719">
        <v>4118.84</v>
      </c>
      <c r="D739" s="719">
        <v>4187.3599999999997</v>
      </c>
      <c r="E739" s="720">
        <f t="shared" si="14"/>
        <v>1.6635751813617317E-2</v>
      </c>
      <c r="F739" s="731">
        <v>0</v>
      </c>
      <c r="G739" s="78"/>
      <c r="J739" s="31"/>
    </row>
    <row r="740" spans="1:10" hidden="1" outlineLevel="1" x14ac:dyDescent="0.25">
      <c r="A740" s="728">
        <v>24</v>
      </c>
      <c r="B740" s="729" t="s">
        <v>115</v>
      </c>
      <c r="C740" s="719">
        <v>4187.3599999999997</v>
      </c>
      <c r="D740" s="719">
        <v>4267.0200000000004</v>
      </c>
      <c r="E740" s="720">
        <f t="shared" si="14"/>
        <v>1.9023919605670514E-2</v>
      </c>
      <c r="F740" s="731">
        <v>0</v>
      </c>
      <c r="G740" s="78"/>
      <c r="J740" s="31"/>
    </row>
    <row r="741" spans="1:10" hidden="1" outlineLevel="1" x14ac:dyDescent="0.25">
      <c r="A741" s="728">
        <v>25</v>
      </c>
      <c r="B741" s="729" t="s">
        <v>115</v>
      </c>
      <c r="C741" s="719">
        <v>4267.0200000000004</v>
      </c>
      <c r="D741" s="719">
        <v>3906.15</v>
      </c>
      <c r="E741" s="720">
        <f t="shared" si="14"/>
        <v>-8.4571902639312801E-2</v>
      </c>
      <c r="F741" s="731">
        <f>+E741</f>
        <v>-8.4571902639312801E-2</v>
      </c>
      <c r="G741" s="78"/>
      <c r="J741" s="31"/>
    </row>
    <row r="742" spans="1:10" hidden="1" outlineLevel="1" x14ac:dyDescent="0.25">
      <c r="A742" s="728">
        <v>26</v>
      </c>
      <c r="B742" s="729" t="s">
        <v>115</v>
      </c>
      <c r="C742" s="719">
        <v>3906.15</v>
      </c>
      <c r="D742" s="719">
        <v>4384.38</v>
      </c>
      <c r="E742" s="720">
        <f t="shared" si="14"/>
        <v>0.12243001420836364</v>
      </c>
      <c r="F742" s="731">
        <v>0</v>
      </c>
      <c r="G742" s="78"/>
      <c r="J742" s="31"/>
    </row>
    <row r="743" spans="1:10" hidden="1" outlineLevel="1" x14ac:dyDescent="0.25">
      <c r="A743" s="728">
        <v>27</v>
      </c>
      <c r="B743" s="729" t="s">
        <v>115</v>
      </c>
      <c r="C743" s="719">
        <v>4384.38</v>
      </c>
      <c r="D743" s="719">
        <v>4441.03</v>
      </c>
      <c r="E743" s="720">
        <f t="shared" si="14"/>
        <v>1.2920869085252473E-2</v>
      </c>
      <c r="F743" s="731">
        <v>0</v>
      </c>
      <c r="G743" s="78"/>
      <c r="J743" s="31"/>
    </row>
    <row r="744" spans="1:10" hidden="1" outlineLevel="1" x14ac:dyDescent="0.25">
      <c r="A744" s="728">
        <v>28</v>
      </c>
      <c r="B744" s="729" t="s">
        <v>115</v>
      </c>
      <c r="C744" s="719">
        <v>4441.03</v>
      </c>
      <c r="D744" s="719">
        <v>4485.04</v>
      </c>
      <c r="E744" s="720">
        <f t="shared" si="14"/>
        <v>9.9098632524436958E-3</v>
      </c>
      <c r="F744" s="731">
        <v>0</v>
      </c>
      <c r="G744" s="78"/>
      <c r="J744" s="31"/>
    </row>
    <row r="745" spans="1:10" hidden="1" outlineLevel="1" x14ac:dyDescent="0.25">
      <c r="A745" s="728">
        <v>29</v>
      </c>
      <c r="B745" s="729" t="s">
        <v>115</v>
      </c>
      <c r="C745" s="719">
        <v>4485.04</v>
      </c>
      <c r="D745" s="719">
        <v>4542.57</v>
      </c>
      <c r="E745" s="720">
        <f t="shared" si="14"/>
        <v>1.2827087383836089E-2</v>
      </c>
      <c r="F745" s="731">
        <v>0</v>
      </c>
      <c r="G745" s="78"/>
      <c r="J745" s="31"/>
    </row>
    <row r="746" spans="1:10" hidden="1" outlineLevel="1" x14ac:dyDescent="0.25">
      <c r="A746" s="728">
        <v>30</v>
      </c>
      <c r="B746" s="729" t="s">
        <v>115</v>
      </c>
      <c r="C746" s="719">
        <v>4542.57</v>
      </c>
      <c r="D746" s="719">
        <v>4195.6000000000004</v>
      </c>
      <c r="E746" s="720">
        <f t="shared" si="14"/>
        <v>-7.6381871935930379E-2</v>
      </c>
      <c r="F746" s="731">
        <f>+E746</f>
        <v>-7.6381871935930379E-2</v>
      </c>
      <c r="G746" s="78"/>
      <c r="J746" s="31"/>
    </row>
    <row r="747" spans="1:10" hidden="1" outlineLevel="1" x14ac:dyDescent="0.25">
      <c r="A747" s="728">
        <v>31</v>
      </c>
      <c r="B747" s="729" t="s">
        <v>115</v>
      </c>
      <c r="C747" s="719">
        <v>4195.6000000000004</v>
      </c>
      <c r="D747" s="719">
        <v>4221.34</v>
      </c>
      <c r="E747" s="720">
        <f t="shared" si="14"/>
        <v>6.1349985699303833E-3</v>
      </c>
      <c r="F747" s="731">
        <v>0</v>
      </c>
      <c r="G747" s="78"/>
      <c r="J747" s="31"/>
    </row>
    <row r="748" spans="1:10" hidden="1" outlineLevel="1" x14ac:dyDescent="0.25">
      <c r="A748" s="728">
        <v>32</v>
      </c>
      <c r="B748" s="729" t="s">
        <v>115</v>
      </c>
      <c r="C748" s="719">
        <v>4221.34</v>
      </c>
      <c r="D748" s="719">
        <v>4476.0200000000004</v>
      </c>
      <c r="E748" s="720">
        <f t="shared" si="14"/>
        <v>6.0331553487755096E-2</v>
      </c>
      <c r="F748" s="731">
        <v>0</v>
      </c>
      <c r="G748" s="78"/>
      <c r="J748" s="31"/>
    </row>
    <row r="749" spans="1:10" hidden="1" outlineLevel="1" x14ac:dyDescent="0.25">
      <c r="A749" s="728">
        <v>33</v>
      </c>
      <c r="B749" s="729" t="s">
        <v>115</v>
      </c>
      <c r="C749" s="719">
        <v>4476.0200000000004</v>
      </c>
      <c r="D749" s="719">
        <v>4338.28</v>
      </c>
      <c r="E749" s="720">
        <f t="shared" si="14"/>
        <v>-3.0772874115844173E-2</v>
      </c>
      <c r="F749" s="731">
        <f>+E749</f>
        <v>-3.0772874115844173E-2</v>
      </c>
      <c r="G749" s="78"/>
      <c r="J749" s="31"/>
    </row>
    <row r="750" spans="1:10" hidden="1" outlineLevel="1" x14ac:dyDescent="0.25">
      <c r="A750" s="728">
        <v>34</v>
      </c>
      <c r="B750" s="729" t="s">
        <v>115</v>
      </c>
      <c r="C750" s="719">
        <v>4338.28</v>
      </c>
      <c r="D750" s="719">
        <v>4384.6400000000003</v>
      </c>
      <c r="E750" s="720">
        <f t="shared" si="14"/>
        <v>1.0686262758512699E-2</v>
      </c>
      <c r="F750" s="731">
        <v>0</v>
      </c>
      <c r="G750" s="78"/>
      <c r="J750" s="31"/>
    </row>
    <row r="751" spans="1:10" hidden="1" outlineLevel="1" x14ac:dyDescent="0.25">
      <c r="A751" s="728">
        <v>35</v>
      </c>
      <c r="B751" s="729" t="s">
        <v>115</v>
      </c>
      <c r="C751" s="719">
        <v>4384.6400000000003</v>
      </c>
      <c r="D751" s="719">
        <v>4140.9399999999996</v>
      </c>
      <c r="E751" s="720">
        <f t="shared" si="14"/>
        <v>-5.5580389724128043E-2</v>
      </c>
      <c r="F751" s="731">
        <f>+E751</f>
        <v>-5.5580389724128043E-2</v>
      </c>
      <c r="G751" s="78"/>
      <c r="J751" s="31"/>
    </row>
    <row r="752" spans="1:10" hidden="1" outlineLevel="1" x14ac:dyDescent="0.25">
      <c r="A752" s="728">
        <v>36</v>
      </c>
      <c r="B752" s="729" t="s">
        <v>115</v>
      </c>
      <c r="C752" s="719">
        <v>4140.9399999999996</v>
      </c>
      <c r="D752" s="719">
        <v>3769.5309999999999</v>
      </c>
      <c r="E752" s="720">
        <f t="shared" si="14"/>
        <v>-8.9691954000782337E-2</v>
      </c>
      <c r="F752" s="731">
        <v>-8.9700000000000002E-2</v>
      </c>
      <c r="G752" s="78"/>
      <c r="J752" s="31"/>
    </row>
    <row r="753" spans="1:10" ht="13.5" customHeight="1" collapsed="1" x14ac:dyDescent="0.25">
      <c r="A753" s="3801" t="s">
        <v>187</v>
      </c>
      <c r="B753" s="3802"/>
      <c r="C753" s="3802"/>
      <c r="D753" s="3802"/>
      <c r="E753" s="822" t="s">
        <v>2722</v>
      </c>
      <c r="F753" s="722">
        <f>0.49+SUM(F717:F752)-0.01%</f>
        <v>1.4433744031050456E-2</v>
      </c>
      <c r="G753" s="175" t="s">
        <v>781</v>
      </c>
      <c r="J753" s="31"/>
    </row>
    <row r="754" spans="1:10" x14ac:dyDescent="0.25">
      <c r="A754" s="1"/>
      <c r="B754" s="1"/>
      <c r="C754" s="1"/>
      <c r="D754" s="1"/>
      <c r="E754" s="1"/>
      <c r="F754" s="1848"/>
      <c r="G754" s="78"/>
      <c r="J754" s="31"/>
    </row>
    <row r="755" spans="1:10" ht="12.75" hidden="1" customHeight="1" outlineLevel="1" x14ac:dyDescent="0.25">
      <c r="A755" s="689" t="s">
        <v>113</v>
      </c>
      <c r="B755" s="689" t="s">
        <v>114</v>
      </c>
      <c r="C755" s="689" t="s">
        <v>112</v>
      </c>
      <c r="D755" s="689" t="s">
        <v>116</v>
      </c>
      <c r="E755" s="689" t="s">
        <v>117</v>
      </c>
      <c r="F755" s="1188" t="s">
        <v>121</v>
      </c>
      <c r="G755" s="78"/>
      <c r="J755" s="31"/>
    </row>
    <row r="756" spans="1:10" ht="12.75" hidden="1" customHeight="1" outlineLevel="1" x14ac:dyDescent="0.25">
      <c r="A756" s="753" t="s">
        <v>93</v>
      </c>
      <c r="B756" s="799" t="s">
        <v>115</v>
      </c>
      <c r="C756" s="800">
        <v>2956.5070000000001</v>
      </c>
      <c r="D756" s="800">
        <v>3700.2739999999999</v>
      </c>
      <c r="E756" s="3829">
        <f>(0.5*D756/C756+0.5*D757/C757)-1</f>
        <v>0.16468143753748388</v>
      </c>
      <c r="F756" s="3839">
        <v>6.2E-2</v>
      </c>
      <c r="G756" s="78"/>
      <c r="J756" s="31"/>
    </row>
    <row r="757" spans="1:10" ht="12.75" hidden="1" customHeight="1" outlineLevel="1" x14ac:dyDescent="0.25">
      <c r="A757" s="754" t="s">
        <v>93</v>
      </c>
      <c r="B757" s="801" t="s">
        <v>760</v>
      </c>
      <c r="C757" s="804">
        <v>1175.73</v>
      </c>
      <c r="D757" s="804">
        <v>1267.194</v>
      </c>
      <c r="E757" s="3831"/>
      <c r="F757" s="3840"/>
      <c r="G757" s="78"/>
      <c r="J757" s="31"/>
    </row>
    <row r="758" spans="1:10" ht="12.75" hidden="1" customHeight="1" outlineLevel="1" x14ac:dyDescent="0.25">
      <c r="A758" s="753" t="s">
        <v>94</v>
      </c>
      <c r="B758" s="799" t="s">
        <v>115</v>
      </c>
      <c r="C758" s="800">
        <v>3700.2739999999999</v>
      </c>
      <c r="D758" s="803">
        <v>4234.5770000000002</v>
      </c>
      <c r="E758" s="3829">
        <v>0.14280000000000001</v>
      </c>
      <c r="F758" s="3839">
        <v>6.2E-2</v>
      </c>
      <c r="G758" s="78"/>
      <c r="J758" s="31"/>
    </row>
    <row r="759" spans="1:10" ht="12.75" hidden="1" customHeight="1" outlineLevel="1" x14ac:dyDescent="0.25">
      <c r="A759" s="754" t="s">
        <v>94</v>
      </c>
      <c r="B759" s="801" t="s">
        <v>760</v>
      </c>
      <c r="C759" s="804">
        <v>1267.194</v>
      </c>
      <c r="D759" s="715">
        <v>1445.864</v>
      </c>
      <c r="E759" s="3831"/>
      <c r="F759" s="3840"/>
      <c r="G759" s="78"/>
      <c r="J759" s="31"/>
    </row>
    <row r="760" spans="1:10" ht="12.75" hidden="1" customHeight="1" outlineLevel="1" x14ac:dyDescent="0.25">
      <c r="A760" s="753" t="s">
        <v>95</v>
      </c>
      <c r="B760" s="799" t="s">
        <v>115</v>
      </c>
      <c r="C760" s="803">
        <v>4234.5770000000002</v>
      </c>
      <c r="D760" s="799">
        <v>3769.53</v>
      </c>
      <c r="E760" s="3819">
        <v>-8.9300000000000004E-2</v>
      </c>
      <c r="F760" s="3816">
        <v>-0.03</v>
      </c>
      <c r="G760" s="78"/>
      <c r="J760" s="31"/>
    </row>
    <row r="761" spans="1:10" ht="12.75" hidden="1" customHeight="1" outlineLevel="1" x14ac:dyDescent="0.25">
      <c r="A761" s="754" t="s">
        <v>95</v>
      </c>
      <c r="B761" s="801" t="s">
        <v>760</v>
      </c>
      <c r="C761" s="715">
        <v>1445.864</v>
      </c>
      <c r="D761" s="801">
        <v>1351.1590000000001</v>
      </c>
      <c r="E761" s="3821"/>
      <c r="F761" s="3818"/>
      <c r="G761" s="78"/>
      <c r="J761" s="31"/>
    </row>
    <row r="762" spans="1:10" ht="12.75" hidden="1" customHeight="1" outlineLevel="1" x14ac:dyDescent="0.25">
      <c r="A762" s="753" t="s">
        <v>96</v>
      </c>
      <c r="B762" s="799" t="s">
        <v>115</v>
      </c>
      <c r="C762" s="799">
        <v>3769.53</v>
      </c>
      <c r="D762" s="799">
        <v>2270.6489999999999</v>
      </c>
      <c r="E762" s="3819">
        <v>-0.38840000000000002</v>
      </c>
      <c r="F762" s="3816">
        <v>-0.03</v>
      </c>
      <c r="G762" s="78"/>
      <c r="J762" s="31"/>
    </row>
    <row r="763" spans="1:10" ht="12.75" hidden="1" customHeight="1" outlineLevel="1" x14ac:dyDescent="0.25">
      <c r="A763" s="754" t="s">
        <v>96</v>
      </c>
      <c r="B763" s="801" t="s">
        <v>760</v>
      </c>
      <c r="C763" s="801">
        <v>1351.1590000000001</v>
      </c>
      <c r="D763" s="801">
        <v>840.34500000000003</v>
      </c>
      <c r="E763" s="3821"/>
      <c r="F763" s="3818"/>
      <c r="G763" s="78"/>
      <c r="J763" s="31"/>
    </row>
    <row r="764" spans="1:10" ht="12.75" hidden="1" customHeight="1" outlineLevel="1" x14ac:dyDescent="0.25">
      <c r="A764" s="732" t="s">
        <v>97</v>
      </c>
      <c r="B764" s="799" t="s">
        <v>115</v>
      </c>
      <c r="C764" s="799">
        <v>2270.6489999999999</v>
      </c>
      <c r="D764" s="799">
        <v>2592.431</v>
      </c>
      <c r="E764" s="3819">
        <v>0.20930000000000001</v>
      </c>
      <c r="F764" s="3816">
        <v>6.2E-2</v>
      </c>
      <c r="G764" s="78"/>
      <c r="J764" s="31"/>
    </row>
    <row r="765" spans="1:10" ht="12.75" hidden="1" customHeight="1" outlineLevel="1" x14ac:dyDescent="0.25">
      <c r="A765" s="732" t="s">
        <v>97</v>
      </c>
      <c r="B765" s="801" t="s">
        <v>760</v>
      </c>
      <c r="C765" s="801">
        <v>840.34500000000003</v>
      </c>
      <c r="D765" s="801">
        <v>1077.3030000000001</v>
      </c>
      <c r="E765" s="3821"/>
      <c r="F765" s="3818"/>
      <c r="G765" s="78"/>
      <c r="J765" s="31"/>
    </row>
    <row r="766" spans="1:10" collapsed="1" x14ac:dyDescent="0.25">
      <c r="A766" s="3801" t="s">
        <v>1530</v>
      </c>
      <c r="B766" s="3802"/>
      <c r="C766" s="3802"/>
      <c r="D766" s="3802"/>
      <c r="E766" s="729"/>
      <c r="F766" s="752">
        <f>MAX(SUM(F756:F765),10%)</f>
        <v>0.126</v>
      </c>
      <c r="G766" s="97" t="s">
        <v>781</v>
      </c>
      <c r="J766" s="31"/>
    </row>
    <row r="767" spans="1:10" x14ac:dyDescent="0.25">
      <c r="A767" s="1"/>
      <c r="B767" s="1"/>
      <c r="C767" s="1"/>
      <c r="D767" s="1"/>
      <c r="E767" s="1"/>
      <c r="F767" s="1848"/>
      <c r="G767" s="78"/>
      <c r="J767" s="31"/>
    </row>
    <row r="768" spans="1:10" hidden="1" outlineLevel="1" x14ac:dyDescent="0.25">
      <c r="A768" s="689" t="s">
        <v>113</v>
      </c>
      <c r="B768" s="689" t="s">
        <v>114</v>
      </c>
      <c r="C768" s="689" t="s">
        <v>112</v>
      </c>
      <c r="D768" s="689" t="s">
        <v>116</v>
      </c>
      <c r="E768" s="689" t="s">
        <v>117</v>
      </c>
      <c r="F768" s="1188" t="s">
        <v>121</v>
      </c>
      <c r="G768" s="78"/>
      <c r="J768" s="31"/>
    </row>
    <row r="769" spans="1:10" hidden="1" outlineLevel="1" x14ac:dyDescent="0.25">
      <c r="A769" s="753" t="s">
        <v>98</v>
      </c>
      <c r="B769" s="691" t="s">
        <v>115</v>
      </c>
      <c r="C769" s="692">
        <v>3082.002</v>
      </c>
      <c r="D769" s="692">
        <v>3774.558</v>
      </c>
      <c r="E769" s="3837">
        <v>0.1424</v>
      </c>
      <c r="F769" s="3839">
        <v>6.5000000000000002E-2</v>
      </c>
      <c r="G769" s="78"/>
      <c r="J769" s="31"/>
    </row>
    <row r="770" spans="1:10" hidden="1" outlineLevel="1" x14ac:dyDescent="0.25">
      <c r="A770" s="754" t="s">
        <v>98</v>
      </c>
      <c r="B770" s="695" t="s">
        <v>760</v>
      </c>
      <c r="C770" s="727">
        <v>1210.8330000000001</v>
      </c>
      <c r="D770" s="727">
        <v>1283.5640000000001</v>
      </c>
      <c r="E770" s="3838"/>
      <c r="F770" s="3840"/>
      <c r="G770" s="78"/>
      <c r="J770" s="31"/>
    </row>
    <row r="771" spans="1:10" hidden="1" outlineLevel="1" x14ac:dyDescent="0.25">
      <c r="A771" s="753" t="s">
        <v>99</v>
      </c>
      <c r="B771" s="691" t="s">
        <v>115</v>
      </c>
      <c r="C771" s="692">
        <v>3774.558</v>
      </c>
      <c r="D771" s="692">
        <v>4022.027</v>
      </c>
      <c r="E771" s="3837">
        <v>7.46E-2</v>
      </c>
      <c r="F771" s="3839">
        <v>6.5000000000000002E-2</v>
      </c>
      <c r="G771" s="78"/>
      <c r="J771" s="31"/>
    </row>
    <row r="772" spans="1:10" hidden="1" outlineLevel="1" x14ac:dyDescent="0.25">
      <c r="A772" s="754" t="s">
        <v>99</v>
      </c>
      <c r="B772" s="695" t="s">
        <v>760</v>
      </c>
      <c r="C772" s="727">
        <v>1283.5640000000001</v>
      </c>
      <c r="D772" s="727">
        <v>1392.83</v>
      </c>
      <c r="E772" s="3838"/>
      <c r="F772" s="3840"/>
      <c r="G772" s="78"/>
      <c r="J772" s="31"/>
    </row>
    <row r="773" spans="1:10" hidden="1" outlineLevel="1" x14ac:dyDescent="0.25">
      <c r="A773" s="753" t="s">
        <v>4576</v>
      </c>
      <c r="B773" s="691" t="s">
        <v>115</v>
      </c>
      <c r="C773" s="692">
        <v>4022.027</v>
      </c>
      <c r="D773" s="692">
        <v>3613.1109999999999</v>
      </c>
      <c r="E773" s="3837">
        <v>-8.2000000000000003E-2</v>
      </c>
      <c r="F773" s="3839">
        <v>-0.03</v>
      </c>
      <c r="G773" s="78"/>
      <c r="J773" s="31"/>
    </row>
    <row r="774" spans="1:10" hidden="1" outlineLevel="1" x14ac:dyDescent="0.25">
      <c r="A774" s="754" t="s">
        <v>4576</v>
      </c>
      <c r="B774" s="695" t="s">
        <v>760</v>
      </c>
      <c r="C774" s="727">
        <v>1392.83</v>
      </c>
      <c r="D774" s="727">
        <v>1309.5909999999999</v>
      </c>
      <c r="E774" s="3838"/>
      <c r="F774" s="3840"/>
      <c r="G774" s="78"/>
      <c r="J774" s="31"/>
    </row>
    <row r="775" spans="1:10" hidden="1" outlineLevel="1" x14ac:dyDescent="0.25">
      <c r="A775" s="753" t="s">
        <v>1715</v>
      </c>
      <c r="B775" s="691" t="s">
        <v>115</v>
      </c>
      <c r="C775" s="692">
        <v>3613.11</v>
      </c>
      <c r="D775" s="692">
        <v>1895.4929999999999</v>
      </c>
      <c r="E775" s="3837">
        <v>-0.46689999999999998</v>
      </c>
      <c r="F775" s="3839">
        <v>-0.03</v>
      </c>
      <c r="G775" s="78"/>
      <c r="J775" s="31"/>
    </row>
    <row r="776" spans="1:10" hidden="1" outlineLevel="1" x14ac:dyDescent="0.25">
      <c r="A776" s="754" t="s">
        <v>1715</v>
      </c>
      <c r="B776" s="695" t="s">
        <v>760</v>
      </c>
      <c r="C776" s="696">
        <v>1309.5899999999999</v>
      </c>
      <c r="D776" s="696">
        <v>710.07299999999998</v>
      </c>
      <c r="E776" s="3858"/>
      <c r="F776" s="3857"/>
      <c r="G776" s="78"/>
      <c r="J776" s="31"/>
    </row>
    <row r="777" spans="1:10" hidden="1" outlineLevel="1" x14ac:dyDescent="0.25">
      <c r="A777" s="732" t="s">
        <v>1716</v>
      </c>
      <c r="B777" s="691" t="s">
        <v>115</v>
      </c>
      <c r="C777" s="692">
        <v>1895.4929999999999</v>
      </c>
      <c r="D777" s="691">
        <v>2715.46</v>
      </c>
      <c r="E777" s="3835">
        <v>0.47360000000000002</v>
      </c>
      <c r="F777" s="3816">
        <v>6.5000000000000002E-2</v>
      </c>
      <c r="G777" s="78"/>
      <c r="J777" s="31"/>
    </row>
    <row r="778" spans="1:10" hidden="1" outlineLevel="1" x14ac:dyDescent="0.25">
      <c r="A778" s="732" t="s">
        <v>1716</v>
      </c>
      <c r="B778" s="695" t="s">
        <v>760</v>
      </c>
      <c r="C778" s="696">
        <v>710.07299999999998</v>
      </c>
      <c r="D778" s="696">
        <v>1076.846</v>
      </c>
      <c r="E778" s="3823"/>
      <c r="F778" s="3818"/>
      <c r="G778" s="78"/>
      <c r="J778" s="31"/>
    </row>
    <row r="779" spans="1:10" collapsed="1" x14ac:dyDescent="0.25">
      <c r="A779" s="3801" t="s">
        <v>2412</v>
      </c>
      <c r="B779" s="3802"/>
      <c r="C779" s="3802"/>
      <c r="D779" s="3802"/>
      <c r="E779" s="782" t="s">
        <v>2722</v>
      </c>
      <c r="F779" s="752">
        <f>MAX(SUM(F769:F778),10%)</f>
        <v>0.13500000000000001</v>
      </c>
      <c r="G779" s="97" t="s">
        <v>781</v>
      </c>
      <c r="J779" s="31"/>
    </row>
    <row r="780" spans="1:10" x14ac:dyDescent="0.25">
      <c r="A780" s="1"/>
      <c r="B780" s="1"/>
      <c r="C780" s="1"/>
      <c r="D780" s="1"/>
      <c r="E780" s="1"/>
      <c r="F780" s="1848"/>
      <c r="G780" s="78"/>
      <c r="J780" s="31"/>
    </row>
    <row r="781" spans="1:10" hidden="1" outlineLevel="1" x14ac:dyDescent="0.25">
      <c r="A781" s="689" t="s">
        <v>113</v>
      </c>
      <c r="B781" s="689" t="s">
        <v>114</v>
      </c>
      <c r="C781" s="689" t="s">
        <v>112</v>
      </c>
      <c r="D781" s="689" t="s">
        <v>116</v>
      </c>
      <c r="E781" s="689" t="s">
        <v>117</v>
      </c>
      <c r="F781" s="1188" t="s">
        <v>121</v>
      </c>
      <c r="G781" s="78"/>
      <c r="J781" s="31"/>
    </row>
    <row r="782" spans="1:10" hidden="1" outlineLevel="1" x14ac:dyDescent="0.25">
      <c r="A782" s="753" t="s">
        <v>1717</v>
      </c>
      <c r="B782" s="691" t="s">
        <v>115</v>
      </c>
      <c r="C782" s="793">
        <v>3082.002</v>
      </c>
      <c r="D782" s="793">
        <v>3774.558</v>
      </c>
      <c r="E782" s="3813">
        <v>0.1424</v>
      </c>
      <c r="F782" s="3816">
        <v>0.06</v>
      </c>
      <c r="G782" s="78"/>
      <c r="J782" s="31"/>
    </row>
    <row r="783" spans="1:10" hidden="1" outlineLevel="1" x14ac:dyDescent="0.25">
      <c r="A783" s="754" t="s">
        <v>1717</v>
      </c>
      <c r="B783" s="695" t="s">
        <v>760</v>
      </c>
      <c r="C783" s="797">
        <v>1210.8330000000001</v>
      </c>
      <c r="D783" s="797">
        <v>1283.5640000000001</v>
      </c>
      <c r="E783" s="3814"/>
      <c r="F783" s="3817"/>
      <c r="G783" s="78"/>
      <c r="J783" s="31"/>
    </row>
    <row r="784" spans="1:10" hidden="1" outlineLevel="1" x14ac:dyDescent="0.25">
      <c r="A784" s="753" t="s">
        <v>2463</v>
      </c>
      <c r="B784" s="691" t="s">
        <v>115</v>
      </c>
      <c r="C784" s="793">
        <v>3774.558</v>
      </c>
      <c r="D784" s="793">
        <v>4022.027</v>
      </c>
      <c r="E784" s="3813">
        <v>7.46E-2</v>
      </c>
      <c r="F784" s="3816">
        <v>0.06</v>
      </c>
      <c r="G784" s="78"/>
      <c r="J784" s="31"/>
    </row>
    <row r="785" spans="1:10" hidden="1" outlineLevel="1" x14ac:dyDescent="0.25">
      <c r="A785" s="754" t="s">
        <v>2463</v>
      </c>
      <c r="B785" s="695" t="s">
        <v>760</v>
      </c>
      <c r="C785" s="797">
        <v>1283.5640000000001</v>
      </c>
      <c r="D785" s="797">
        <v>1392.83</v>
      </c>
      <c r="E785" s="3814"/>
      <c r="F785" s="3817"/>
      <c r="G785" s="78"/>
      <c r="J785" s="31"/>
    </row>
    <row r="786" spans="1:10" hidden="1" outlineLevel="1" x14ac:dyDescent="0.25">
      <c r="A786" s="753" t="s">
        <v>4224</v>
      </c>
      <c r="B786" s="691" t="s">
        <v>115</v>
      </c>
      <c r="C786" s="793">
        <v>4022.027</v>
      </c>
      <c r="D786" s="793">
        <v>3613.1109999999999</v>
      </c>
      <c r="E786" s="3813">
        <v>-8.2000000000000003E-2</v>
      </c>
      <c r="F786" s="3816">
        <v>-0.03</v>
      </c>
      <c r="G786" s="78"/>
      <c r="J786" s="31"/>
    </row>
    <row r="787" spans="1:10" hidden="1" outlineLevel="1" x14ac:dyDescent="0.25">
      <c r="A787" s="754" t="s">
        <v>4224</v>
      </c>
      <c r="B787" s="695" t="s">
        <v>760</v>
      </c>
      <c r="C787" s="797">
        <v>1392.83</v>
      </c>
      <c r="D787" s="797">
        <v>1309.5909999999999</v>
      </c>
      <c r="E787" s="3814"/>
      <c r="F787" s="3817"/>
      <c r="G787" s="78"/>
      <c r="J787" s="31"/>
    </row>
    <row r="788" spans="1:10" hidden="1" outlineLevel="1" x14ac:dyDescent="0.25">
      <c r="A788" s="732" t="s">
        <v>1008</v>
      </c>
      <c r="B788" s="691" t="s">
        <v>115</v>
      </c>
      <c r="C788" s="793">
        <v>3613.11</v>
      </c>
      <c r="D788" s="793">
        <v>2346.3229999999999</v>
      </c>
      <c r="E788" s="3813">
        <v>-0.3332</v>
      </c>
      <c r="F788" s="3816">
        <v>-0.03</v>
      </c>
      <c r="G788" s="78"/>
      <c r="J788" s="31"/>
    </row>
    <row r="789" spans="1:10" hidden="1" outlineLevel="1" x14ac:dyDescent="0.25">
      <c r="A789" s="732" t="s">
        <v>1008</v>
      </c>
      <c r="B789" s="695" t="s">
        <v>760</v>
      </c>
      <c r="C789" s="797">
        <v>1309.5899999999999</v>
      </c>
      <c r="D789" s="797">
        <v>898.04399999999998</v>
      </c>
      <c r="E789" s="3814"/>
      <c r="F789" s="3817"/>
      <c r="G789" s="78"/>
      <c r="J789" s="31"/>
    </row>
    <row r="790" spans="1:10" collapsed="1" x14ac:dyDescent="0.25">
      <c r="A790" s="3801" t="s">
        <v>83</v>
      </c>
      <c r="B790" s="3802"/>
      <c r="C790" s="3802"/>
      <c r="D790" s="3802"/>
      <c r="E790" s="782" t="s">
        <v>2722</v>
      </c>
      <c r="F790" s="752">
        <f>SUM(F782:F789)</f>
        <v>0.06</v>
      </c>
      <c r="G790" s="175" t="s">
        <v>781</v>
      </c>
      <c r="J790" s="31"/>
    </row>
    <row r="791" spans="1:10" x14ac:dyDescent="0.25">
      <c r="A791" s="1"/>
      <c r="B791" s="1"/>
      <c r="C791" s="1"/>
      <c r="D791" s="1"/>
      <c r="E791" s="1"/>
      <c r="F791" s="1848"/>
      <c r="G791" s="78"/>
      <c r="J791" s="31"/>
    </row>
    <row r="792" spans="1:10" hidden="1" outlineLevel="1" x14ac:dyDescent="0.25">
      <c r="A792" s="689" t="s">
        <v>113</v>
      </c>
      <c r="B792" s="689" t="s">
        <v>114</v>
      </c>
      <c r="C792" s="689" t="s">
        <v>112</v>
      </c>
      <c r="D792" s="689" t="s">
        <v>116</v>
      </c>
      <c r="E792" s="689" t="s">
        <v>117</v>
      </c>
      <c r="F792" s="1188" t="s">
        <v>121</v>
      </c>
      <c r="G792" s="78"/>
      <c r="J792" s="31"/>
    </row>
    <row r="793" spans="1:10" hidden="1" outlineLevel="1" x14ac:dyDescent="0.25">
      <c r="A793" s="753" t="s">
        <v>3243</v>
      </c>
      <c r="B793" s="691" t="s">
        <v>115</v>
      </c>
      <c r="C793" s="692">
        <v>3082.002</v>
      </c>
      <c r="D793" s="692">
        <v>3774.558</v>
      </c>
      <c r="E793" s="3837">
        <v>0.1424</v>
      </c>
      <c r="F793" s="3839">
        <v>5.5E-2</v>
      </c>
      <c r="G793" s="78"/>
      <c r="J793" s="31"/>
    </row>
    <row r="794" spans="1:10" hidden="1" outlineLevel="1" x14ac:dyDescent="0.25">
      <c r="A794" s="754" t="s">
        <v>3243</v>
      </c>
      <c r="B794" s="695" t="s">
        <v>760</v>
      </c>
      <c r="C794" s="727">
        <v>1210.8330000000001</v>
      </c>
      <c r="D794" s="727">
        <v>1283.5640000000001</v>
      </c>
      <c r="E794" s="3838"/>
      <c r="F794" s="3840"/>
      <c r="G794" s="78"/>
      <c r="J794" s="31"/>
    </row>
    <row r="795" spans="1:10" hidden="1" outlineLevel="1" x14ac:dyDescent="0.25">
      <c r="A795" s="753" t="s">
        <v>3244</v>
      </c>
      <c r="B795" s="691" t="s">
        <v>115</v>
      </c>
      <c r="C795" s="692">
        <v>3774.558</v>
      </c>
      <c r="D795" s="692">
        <v>4022.027</v>
      </c>
      <c r="E795" s="3837">
        <v>7.46E-2</v>
      </c>
      <c r="F795" s="3839">
        <v>5.5E-2</v>
      </c>
      <c r="G795" s="78"/>
      <c r="J795" s="31"/>
    </row>
    <row r="796" spans="1:10" hidden="1" outlineLevel="1" x14ac:dyDescent="0.25">
      <c r="A796" s="754" t="s">
        <v>3244</v>
      </c>
      <c r="B796" s="695" t="s">
        <v>760</v>
      </c>
      <c r="C796" s="727">
        <v>1283.5640000000001</v>
      </c>
      <c r="D796" s="727">
        <v>1392.83</v>
      </c>
      <c r="E796" s="3838"/>
      <c r="F796" s="3840"/>
      <c r="G796" s="78"/>
      <c r="J796" s="31"/>
    </row>
    <row r="797" spans="1:10" hidden="1" outlineLevel="1" x14ac:dyDescent="0.25">
      <c r="A797" s="753" t="s">
        <v>3245</v>
      </c>
      <c r="B797" s="691" t="s">
        <v>115</v>
      </c>
      <c r="C797" s="692">
        <v>4022.027</v>
      </c>
      <c r="D797" s="692">
        <v>3613.11</v>
      </c>
      <c r="E797" s="3837">
        <v>-8.2000000000000003E-2</v>
      </c>
      <c r="F797" s="3839">
        <v>-0.03</v>
      </c>
      <c r="G797" s="78"/>
      <c r="J797" s="31"/>
    </row>
    <row r="798" spans="1:10" hidden="1" outlineLevel="1" x14ac:dyDescent="0.25">
      <c r="A798" s="754" t="s">
        <v>3245</v>
      </c>
      <c r="B798" s="695" t="s">
        <v>760</v>
      </c>
      <c r="C798" s="727">
        <v>1392.83</v>
      </c>
      <c r="D798" s="727">
        <v>1309.5899999999999</v>
      </c>
      <c r="E798" s="3838"/>
      <c r="F798" s="3840"/>
      <c r="G798" s="78"/>
      <c r="J798" s="31"/>
    </row>
    <row r="799" spans="1:10" hidden="1" outlineLevel="1" x14ac:dyDescent="0.25">
      <c r="A799" s="732" t="s">
        <v>3246</v>
      </c>
      <c r="B799" s="691" t="s">
        <v>115</v>
      </c>
      <c r="C799" s="692">
        <v>3613.11</v>
      </c>
      <c r="D799" s="692">
        <v>2346.3229999999999</v>
      </c>
      <c r="E799" s="3837">
        <v>-0.3332</v>
      </c>
      <c r="F799" s="3839">
        <v>-0.03</v>
      </c>
      <c r="G799" s="78"/>
      <c r="J799" s="31"/>
    </row>
    <row r="800" spans="1:10" hidden="1" outlineLevel="1" x14ac:dyDescent="0.25">
      <c r="A800" s="732" t="s">
        <v>3246</v>
      </c>
      <c r="B800" s="726" t="s">
        <v>760</v>
      </c>
      <c r="C800" s="727">
        <v>1309.5899999999999</v>
      </c>
      <c r="D800" s="727">
        <v>898.04399999999998</v>
      </c>
      <c r="E800" s="3838"/>
      <c r="F800" s="3840"/>
      <c r="G800" s="78"/>
      <c r="J800" s="31"/>
    </row>
    <row r="801" spans="1:10" collapsed="1" x14ac:dyDescent="0.25">
      <c r="A801" s="3801" t="s">
        <v>3651</v>
      </c>
      <c r="B801" s="3802"/>
      <c r="C801" s="3802"/>
      <c r="D801" s="3802"/>
      <c r="E801" s="782" t="s">
        <v>2722</v>
      </c>
      <c r="F801" s="752">
        <f>MAX(parametry!M46,SUM(F793:F800))</f>
        <v>0.08</v>
      </c>
      <c r="G801" s="175" t="s">
        <v>781</v>
      </c>
      <c r="J801" s="31"/>
    </row>
    <row r="802" spans="1:10" x14ac:dyDescent="0.25">
      <c r="A802" s="1"/>
      <c r="B802" s="1"/>
      <c r="C802" s="1"/>
      <c r="D802" s="1"/>
      <c r="E802" s="1"/>
      <c r="F802" s="1848"/>
      <c r="G802" s="78"/>
      <c r="J802" s="31"/>
    </row>
    <row r="803" spans="1:10" hidden="1" outlineLevel="1" x14ac:dyDescent="0.25">
      <c r="A803" s="689" t="s">
        <v>113</v>
      </c>
      <c r="B803" s="689" t="s">
        <v>114</v>
      </c>
      <c r="C803" s="689" t="s">
        <v>112</v>
      </c>
      <c r="D803" s="689" t="s">
        <v>116</v>
      </c>
      <c r="E803" s="689" t="s">
        <v>117</v>
      </c>
      <c r="F803" s="1188" t="s">
        <v>121</v>
      </c>
      <c r="G803" s="78"/>
      <c r="J803" s="31"/>
    </row>
    <row r="804" spans="1:10" hidden="1" outlineLevel="1" x14ac:dyDescent="0.25">
      <c r="A804" s="753" t="s">
        <v>3247</v>
      </c>
      <c r="B804" s="691" t="s">
        <v>115</v>
      </c>
      <c r="C804" s="692">
        <v>3082.002</v>
      </c>
      <c r="D804" s="692">
        <v>3774.558</v>
      </c>
      <c r="E804" s="3837">
        <v>0.1424</v>
      </c>
      <c r="F804" s="3839">
        <v>5.1999999999999998E-2</v>
      </c>
      <c r="G804" s="78"/>
      <c r="J804" s="31"/>
    </row>
    <row r="805" spans="1:10" hidden="1" outlineLevel="1" x14ac:dyDescent="0.25">
      <c r="A805" s="754" t="s">
        <v>3247</v>
      </c>
      <c r="B805" s="695" t="s">
        <v>760</v>
      </c>
      <c r="C805" s="727">
        <v>1210.8330000000001</v>
      </c>
      <c r="D805" s="727">
        <v>1283.5640000000001</v>
      </c>
      <c r="E805" s="3838"/>
      <c r="F805" s="3840"/>
      <c r="G805" s="78"/>
      <c r="J805" s="31"/>
    </row>
    <row r="806" spans="1:10" hidden="1" outlineLevel="1" x14ac:dyDescent="0.25">
      <c r="A806" s="753" t="s">
        <v>3248</v>
      </c>
      <c r="B806" s="691" t="s">
        <v>115</v>
      </c>
      <c r="C806" s="692">
        <v>3774.558</v>
      </c>
      <c r="D806" s="692">
        <v>4022.027</v>
      </c>
      <c r="E806" s="3837">
        <v>7.46E-2</v>
      </c>
      <c r="F806" s="3839">
        <v>5.1999999999999998E-2</v>
      </c>
      <c r="G806" s="78"/>
      <c r="J806" s="31"/>
    </row>
    <row r="807" spans="1:10" hidden="1" outlineLevel="1" x14ac:dyDescent="0.25">
      <c r="A807" s="754" t="s">
        <v>3248</v>
      </c>
      <c r="B807" s="695" t="s">
        <v>760</v>
      </c>
      <c r="C807" s="727">
        <v>1283.5640000000001</v>
      </c>
      <c r="D807" s="727">
        <v>1392.83</v>
      </c>
      <c r="E807" s="3838"/>
      <c r="F807" s="3840"/>
      <c r="G807" s="78"/>
      <c r="J807" s="31"/>
    </row>
    <row r="808" spans="1:10" hidden="1" outlineLevel="1" x14ac:dyDescent="0.25">
      <c r="A808" s="753" t="s">
        <v>544</v>
      </c>
      <c r="B808" s="691" t="s">
        <v>115</v>
      </c>
      <c r="C808" s="692">
        <v>4022.027</v>
      </c>
      <c r="D808" s="692">
        <v>3613.1109999999999</v>
      </c>
      <c r="E808" s="3837">
        <v>-8.2000000000000003E-2</v>
      </c>
      <c r="F808" s="3839">
        <v>-0.03</v>
      </c>
      <c r="G808" s="78"/>
      <c r="J808" s="31"/>
    </row>
    <row r="809" spans="1:10" hidden="1" outlineLevel="1" x14ac:dyDescent="0.25">
      <c r="A809" s="754" t="s">
        <v>544</v>
      </c>
      <c r="B809" s="695" t="s">
        <v>760</v>
      </c>
      <c r="C809" s="727">
        <v>1392.83</v>
      </c>
      <c r="D809" s="727">
        <v>1309.5909999999999</v>
      </c>
      <c r="E809" s="3838"/>
      <c r="F809" s="3840"/>
      <c r="G809" s="78"/>
      <c r="J809" s="31"/>
    </row>
    <row r="810" spans="1:10" hidden="1" outlineLevel="1" x14ac:dyDescent="0.25">
      <c r="A810" s="753" t="s">
        <v>545</v>
      </c>
      <c r="B810" s="691" t="s">
        <v>115</v>
      </c>
      <c r="C810" s="692">
        <v>3613.1109999999999</v>
      </c>
      <c r="D810" s="692">
        <v>1895.4929999999999</v>
      </c>
      <c r="E810" s="3837">
        <v>-0.46689999999999998</v>
      </c>
      <c r="F810" s="3839">
        <v>-0.03</v>
      </c>
      <c r="G810" s="78"/>
      <c r="J810" s="31"/>
    </row>
    <row r="811" spans="1:10" hidden="1" outlineLevel="1" x14ac:dyDescent="0.25">
      <c r="A811" s="754" t="s">
        <v>545</v>
      </c>
      <c r="B811" s="726" t="s">
        <v>760</v>
      </c>
      <c r="C811" s="727">
        <v>1309.5909999999999</v>
      </c>
      <c r="D811" s="727">
        <v>710.07299999999998</v>
      </c>
      <c r="E811" s="3838"/>
      <c r="F811" s="3840"/>
      <c r="G811" s="78"/>
      <c r="J811" s="31"/>
    </row>
    <row r="812" spans="1:10" hidden="1" outlineLevel="1" x14ac:dyDescent="0.25">
      <c r="A812" s="753" t="s">
        <v>546</v>
      </c>
      <c r="B812" s="691" t="s">
        <v>115</v>
      </c>
      <c r="C812" s="692">
        <v>1895.4929999999999</v>
      </c>
      <c r="D812" s="696">
        <v>2854.866</v>
      </c>
      <c r="E812" s="3836">
        <v>55.04</v>
      </c>
      <c r="F812" s="3816">
        <v>5.1999999999999998E-2</v>
      </c>
      <c r="G812" s="78"/>
      <c r="J812" s="31"/>
    </row>
    <row r="813" spans="1:10" hidden="1" outlineLevel="1" x14ac:dyDescent="0.25">
      <c r="A813" s="754" t="s">
        <v>546</v>
      </c>
      <c r="B813" s="726" t="s">
        <v>760</v>
      </c>
      <c r="C813" s="727">
        <v>710.07299999999998</v>
      </c>
      <c r="D813" s="696">
        <v>1133.9269999999999</v>
      </c>
      <c r="E813" s="3823"/>
      <c r="F813" s="3818"/>
      <c r="G813" s="78"/>
      <c r="J813" s="31"/>
    </row>
    <row r="814" spans="1:10" hidden="1" outlineLevel="1" x14ac:dyDescent="0.25">
      <c r="A814" s="753" t="s">
        <v>3662</v>
      </c>
      <c r="B814" s="691" t="s">
        <v>115</v>
      </c>
      <c r="C814" s="691">
        <v>2854.87</v>
      </c>
      <c r="D814" s="692">
        <v>2121.71</v>
      </c>
      <c r="E814" s="3836">
        <v>-10.66</v>
      </c>
      <c r="F814" s="3816">
        <v>-0.03</v>
      </c>
      <c r="G814" s="78"/>
      <c r="J814" s="31"/>
    </row>
    <row r="815" spans="1:10" hidden="1" outlineLevel="1" x14ac:dyDescent="0.25">
      <c r="A815" s="754" t="s">
        <v>3662</v>
      </c>
      <c r="B815" s="726" t="s">
        <v>760</v>
      </c>
      <c r="C815" s="696">
        <v>1133.93</v>
      </c>
      <c r="D815" s="823">
        <v>1181.53</v>
      </c>
      <c r="E815" s="3823"/>
      <c r="F815" s="3818"/>
      <c r="G815" s="78"/>
      <c r="J815" s="31"/>
    </row>
    <row r="816" spans="1:10" collapsed="1" x14ac:dyDescent="0.25">
      <c r="A816" s="3801" t="s">
        <v>2781</v>
      </c>
      <c r="B816" s="3802"/>
      <c r="C816" s="3802"/>
      <c r="D816" s="3802"/>
      <c r="E816" s="729"/>
      <c r="F816" s="752">
        <f>MAX(SUM(F804:F815),13%)</f>
        <v>0.13</v>
      </c>
      <c r="G816" s="97" t="s">
        <v>781</v>
      </c>
      <c r="J816" s="31"/>
    </row>
    <row r="817" spans="1:14" x14ac:dyDescent="0.25">
      <c r="A817" s="1"/>
      <c r="B817" s="1"/>
      <c r="C817" s="1"/>
      <c r="D817" s="1"/>
      <c r="E817" s="1"/>
      <c r="F817" s="1848"/>
      <c r="G817" s="78"/>
      <c r="J817" s="31"/>
    </row>
    <row r="818" spans="1:14" hidden="1" outlineLevel="1" x14ac:dyDescent="0.25">
      <c r="A818" s="689" t="s">
        <v>113</v>
      </c>
      <c r="B818" s="689" t="s">
        <v>114</v>
      </c>
      <c r="C818" s="689" t="s">
        <v>112</v>
      </c>
      <c r="D818" s="689" t="s">
        <v>116</v>
      </c>
      <c r="E818" s="689" t="s">
        <v>117</v>
      </c>
      <c r="F818" s="1188" t="s">
        <v>121</v>
      </c>
      <c r="G818" s="78"/>
      <c r="J818" s="31"/>
    </row>
    <row r="819" spans="1:14" hidden="1" outlineLevel="1" x14ac:dyDescent="0.25">
      <c r="A819" s="690">
        <v>1</v>
      </c>
      <c r="B819" s="691" t="s">
        <v>252</v>
      </c>
      <c r="C819" s="692"/>
      <c r="D819" s="692"/>
      <c r="E819" s="693"/>
      <c r="F819" s="694"/>
      <c r="G819" s="78"/>
      <c r="J819" s="31"/>
    </row>
    <row r="820" spans="1:14" hidden="1" outlineLevel="1" x14ac:dyDescent="0.25">
      <c r="A820" s="695"/>
      <c r="B820" s="695"/>
      <c r="C820" s="696"/>
      <c r="D820" s="697" t="s">
        <v>3702</v>
      </c>
      <c r="E820" s="698">
        <f>indexy!$B$2</f>
        <v>45379</v>
      </c>
      <c r="F820" s="699"/>
      <c r="G820" s="78"/>
      <c r="J820" s="31"/>
    </row>
    <row r="821" spans="1:14" hidden="1" outlineLevel="1" x14ac:dyDescent="0.25">
      <c r="A821" s="689" t="s">
        <v>4156</v>
      </c>
      <c r="B821" s="689" t="s">
        <v>4153</v>
      </c>
      <c r="C821" s="700" t="s">
        <v>112</v>
      </c>
      <c r="D821" s="689" t="s">
        <v>4155</v>
      </c>
      <c r="E821" s="689" t="s">
        <v>4154</v>
      </c>
      <c r="F821" s="1021" t="s">
        <v>1125</v>
      </c>
      <c r="G821" s="78"/>
      <c r="J821" s="31"/>
    </row>
    <row r="822" spans="1:14" hidden="1" outlineLevel="1" x14ac:dyDescent="0.25">
      <c r="A822" s="734">
        <v>0.05</v>
      </c>
      <c r="B822" s="755" t="s">
        <v>577</v>
      </c>
      <c r="C822" s="807">
        <v>12.972</v>
      </c>
      <c r="D822" s="737">
        <f>VLOOKUP(H822,indexy!$C$44:$D$585,2,FALSE)</f>
        <v>4.0890000000000004</v>
      </c>
      <c r="E822" s="817">
        <f>D822/C822-1</f>
        <v>-0.68478260869565211</v>
      </c>
      <c r="F822" s="1021" t="s">
        <v>2024</v>
      </c>
      <c r="G822" s="78"/>
      <c r="H822" t="str">
        <f>VLOOKUP(B822,indexy!$A$44:$D$157,3,FALSE)</f>
        <v>TEF SQ Equity</v>
      </c>
      <c r="J822" s="31"/>
    </row>
    <row r="823" spans="1:14" hidden="1" outlineLevel="1" x14ac:dyDescent="0.25">
      <c r="A823" s="739">
        <v>0.05</v>
      </c>
      <c r="B823" s="743" t="s">
        <v>1414</v>
      </c>
      <c r="C823" s="809">
        <v>26.896999999999998</v>
      </c>
      <c r="D823" s="737">
        <f>VLOOKUP(H823,indexy!$C$44:$D$585,2,FALSE)</f>
        <v>27.75</v>
      </c>
      <c r="E823" s="818">
        <f>D823/C823-1</f>
        <v>3.1713574004535783E-2</v>
      </c>
      <c r="F823" s="946" t="s">
        <v>2024</v>
      </c>
      <c r="G823" s="78"/>
      <c r="H823" t="str">
        <f>VLOOKUP(B823,indexy!$A$44:$D$157,3,FALSE)</f>
        <v>PFE UN Equity</v>
      </c>
      <c r="J823" s="31"/>
    </row>
    <row r="824" spans="1:14" hidden="1" outlineLevel="1" x14ac:dyDescent="0.25">
      <c r="A824" s="739">
        <v>0.05</v>
      </c>
      <c r="B824" s="743" t="s">
        <v>507</v>
      </c>
      <c r="C824" s="809">
        <f>52.585/3</f>
        <v>17.528333333333332</v>
      </c>
      <c r="D824" s="737">
        <f>VLOOKUP(H824,indexy!$C$44:$D$585,2,FALSE)</f>
        <v>46.52</v>
      </c>
      <c r="E824" s="818">
        <f>D824/C824-1</f>
        <v>1.6539887800703625</v>
      </c>
      <c r="F824" s="946" t="s">
        <v>2024</v>
      </c>
      <c r="G824" s="78"/>
      <c r="H824" t="str">
        <f>VLOOKUP(B824,indexy!$A$44:$D$157,3,FALSE)</f>
        <v>UNA NA Equity</v>
      </c>
      <c r="J824" s="31"/>
    </row>
    <row r="825" spans="1:14" hidden="1" outlineLevel="1" x14ac:dyDescent="0.25">
      <c r="A825" s="756">
        <v>0.05</v>
      </c>
      <c r="B825" s="761" t="s">
        <v>1176</v>
      </c>
      <c r="C825" s="808">
        <v>18.565999999999999</v>
      </c>
      <c r="D825" s="759">
        <f>VLOOKUP(H825,indexy!$C$44:$D$585,2,FALSE)</f>
        <v>42.92</v>
      </c>
      <c r="E825" s="819">
        <f t="shared" ref="E825:E841" si="15">D825/C825-1</f>
        <v>1.3117526661639558</v>
      </c>
      <c r="F825" s="1850" t="s">
        <v>2025</v>
      </c>
      <c r="G825" s="178"/>
      <c r="H825" s="163" t="str">
        <f>VLOOKUP(B825,indexy!$A$44:$D$157,3,FALSE)</f>
        <v>AGS BB Equity</v>
      </c>
      <c r="J825" s="31"/>
    </row>
    <row r="826" spans="1:14" hidden="1" outlineLevel="1" x14ac:dyDescent="0.25">
      <c r="A826" s="739">
        <v>0.05</v>
      </c>
      <c r="B826" s="743" t="s">
        <v>51</v>
      </c>
      <c r="C826" s="809">
        <v>42.194000000000003</v>
      </c>
      <c r="D826" s="737">
        <f>VLOOKUP(H826,indexy!$C$44:$D$585,2,FALSE)</f>
        <v>71.930000000000007</v>
      </c>
      <c r="E826" s="818">
        <f t="shared" si="15"/>
        <v>0.70474475043845097</v>
      </c>
      <c r="F826" s="946" t="s">
        <v>2024</v>
      </c>
      <c r="G826" s="78"/>
      <c r="H826" t="str">
        <f>VLOOKUP(B826,indexy!$A$44:$D$157,3,FALSE)</f>
        <v>SGO FP Equity</v>
      </c>
      <c r="J826" s="31"/>
    </row>
    <row r="827" spans="1:14" hidden="1" outlineLevel="1" x14ac:dyDescent="0.25">
      <c r="A827" s="739">
        <v>0.05</v>
      </c>
      <c r="B827" s="743" t="s">
        <v>1183</v>
      </c>
      <c r="C827" s="809">
        <f>150.39/4</f>
        <v>37.597499999999997</v>
      </c>
      <c r="D827" s="737" t="e">
        <f>VLOOKUP(H827,indexy!$C$44:$D$585,2,FALSE)</f>
        <v>#N/A</v>
      </c>
      <c r="E827" s="818" t="e">
        <f t="shared" si="15"/>
        <v>#N/A</v>
      </c>
      <c r="F827" s="946" t="s">
        <v>2024</v>
      </c>
      <c r="G827" s="78"/>
      <c r="H827" t="e">
        <f>VLOOKUP(B827,indexy!$A$44:$D$157,3,FALSE)</f>
        <v>#N/A</v>
      </c>
      <c r="J827" s="31"/>
    </row>
    <row r="828" spans="1:14" hidden="1" outlineLevel="1" x14ac:dyDescent="0.25">
      <c r="A828" s="739">
        <v>0.05</v>
      </c>
      <c r="B828" s="743" t="s">
        <v>1184</v>
      </c>
      <c r="C828" s="809">
        <f>42.896/2</f>
        <v>21.448</v>
      </c>
      <c r="D828" s="737">
        <f>VLOOKUP(H828,indexy!$C$44:$D$585,2,FALSE)</f>
        <v>52.93</v>
      </c>
      <c r="E828" s="818">
        <f t="shared" si="15"/>
        <v>1.4678291682208129</v>
      </c>
      <c r="F828" s="946" t="s">
        <v>2024</v>
      </c>
      <c r="G828" s="78"/>
      <c r="H828" t="str">
        <f>VLOOKUP(B828,indexy!$A$44:$D$157,3,FALSE)</f>
        <v>BAS GY Equity</v>
      </c>
      <c r="J828" s="31"/>
    </row>
    <row r="829" spans="1:14" hidden="1" outlineLevel="1" x14ac:dyDescent="0.25">
      <c r="A829" s="756">
        <v>0.05</v>
      </c>
      <c r="B829" s="761" t="s">
        <v>1527</v>
      </c>
      <c r="C829" s="808">
        <v>2.9173</v>
      </c>
      <c r="D829" s="759">
        <f>VLOOKUP(H829,indexy!$C$44:$D$585,2,FALSE)</f>
        <v>0.22509999999999999</v>
      </c>
      <c r="E829" s="819">
        <f t="shared" si="15"/>
        <v>-0.92283961196997222</v>
      </c>
      <c r="F829" s="1850" t="s">
        <v>2025</v>
      </c>
      <c r="G829" s="78"/>
      <c r="H829" t="str">
        <f>VLOOKUP(B829,indexy!$A$44:$D$157,3,FALSE)</f>
        <v>TIT IM Equity</v>
      </c>
      <c r="J829" s="31"/>
    </row>
    <row r="830" spans="1:14" hidden="1" outlineLevel="1" x14ac:dyDescent="0.25">
      <c r="A830" s="739">
        <v>0.05</v>
      </c>
      <c r="B830" s="743" t="s">
        <v>4338</v>
      </c>
      <c r="C830" s="809">
        <f>17.309*0.913785917</f>
        <v>15.816720437353</v>
      </c>
      <c r="D830" s="737">
        <f>VLOOKUP(H830,indexy!$C$44:$D$585,2,FALSE)</f>
        <v>15.51</v>
      </c>
      <c r="E830" s="818">
        <f t="shared" si="15"/>
        <v>-1.9392164043605664E-2</v>
      </c>
      <c r="F830" s="946" t="s">
        <v>2024</v>
      </c>
      <c r="G830" s="78"/>
      <c r="H830" t="str">
        <f>VLOOKUP(B830,indexy!$A$44:$D$392,3,FALSE)</f>
        <v>ENGI FP Equity</v>
      </c>
      <c r="J830" s="31"/>
      <c r="L830" s="161"/>
      <c r="M830" s="161"/>
      <c r="N830" s="161"/>
    </row>
    <row r="831" spans="1:14" s="161" customFormat="1" hidden="1" outlineLevel="1" x14ac:dyDescent="0.25">
      <c r="A831" s="756">
        <v>0.05</v>
      </c>
      <c r="B831" s="761" t="s">
        <v>2587</v>
      </c>
      <c r="C831" s="808">
        <f>(17.269*100)/3</f>
        <v>575.63333333333333</v>
      </c>
      <c r="D831" s="759" t="e">
        <f>VLOOKUP(H831,indexy!$C$44:$D$585,2,FALSE)</f>
        <v>#N/A</v>
      </c>
      <c r="E831" s="819" t="e">
        <f t="shared" si="15"/>
        <v>#N/A</v>
      </c>
      <c r="F831" s="1850" t="s">
        <v>2025</v>
      </c>
      <c r="G831" s="176"/>
      <c r="H831" s="163" t="e">
        <f>VLOOKUP(B831,indexy!$A$44:$D$157,3,FALSE)</f>
        <v>#N/A</v>
      </c>
      <c r="J831" s="162"/>
      <c r="L831" s="39"/>
      <c r="M831" s="39"/>
      <c r="N831" s="39"/>
    </row>
    <row r="832" spans="1:14" s="39" customFormat="1" hidden="1" outlineLevel="1" x14ac:dyDescent="0.25">
      <c r="A832" s="739">
        <v>0.05</v>
      </c>
      <c r="B832" s="743" t="s">
        <v>1187</v>
      </c>
      <c r="C832" s="809">
        <v>53.375100000000003</v>
      </c>
      <c r="D832" s="737">
        <f>VLOOKUP(H832,indexy!$C$44:$D$585,2,FALSE)</f>
        <v>90.96</v>
      </c>
      <c r="E832" s="818">
        <f t="shared" si="15"/>
        <v>0.70416542545119332</v>
      </c>
      <c r="F832" s="946" t="s">
        <v>2024</v>
      </c>
      <c r="G832" s="12"/>
      <c r="H832" t="str">
        <f>VLOOKUP(B832,indexy!$A$44:$D$157,3,FALSE)</f>
        <v>SAN FP Equity</v>
      </c>
      <c r="J832" s="44"/>
    </row>
    <row r="833" spans="1:14" s="39" customFormat="1" hidden="1" outlineLevel="1" x14ac:dyDescent="0.25">
      <c r="A833" s="756">
        <v>0.05</v>
      </c>
      <c r="B833" s="761" t="s">
        <v>2588</v>
      </c>
      <c r="C833" s="808">
        <v>19.356999999999999</v>
      </c>
      <c r="D833" s="759">
        <f>VLOOKUP(H833,indexy!$C$44:$D$585,2,FALSE)</f>
        <v>15.246</v>
      </c>
      <c r="E833" s="819">
        <f t="shared" si="15"/>
        <v>-0.21237795112879054</v>
      </c>
      <c r="F833" s="1850" t="s">
        <v>2025</v>
      </c>
      <c r="G833" s="176"/>
      <c r="H833" s="163" t="str">
        <f>VLOOKUP(B833,indexy!$A$44:$D$157,3,FALSE)</f>
        <v>INGA NA Equity</v>
      </c>
      <c r="J833" s="44"/>
    </row>
    <row r="834" spans="1:14" s="39" customFormat="1" hidden="1" outlineLevel="1" x14ac:dyDescent="0.25">
      <c r="A834" s="739">
        <v>0.05</v>
      </c>
      <c r="B834" s="743" t="s">
        <v>1188</v>
      </c>
      <c r="C834" s="809">
        <f>4.4713*100</f>
        <v>447.13000000000005</v>
      </c>
      <c r="D834" s="737">
        <f>VLOOKUP(H834,indexy!$C$44:$D$585,2,FALSE)</f>
        <v>495.7</v>
      </c>
      <c r="E834" s="818">
        <f t="shared" si="15"/>
        <v>0.10862612662983895</v>
      </c>
      <c r="F834" s="946" t="s">
        <v>2024</v>
      </c>
      <c r="G834" s="12"/>
      <c r="H834" t="str">
        <f>VLOOKUP(B834,indexy!$A$44:$D$157,3,FALSE)</f>
        <v>BP/ LN Equity</v>
      </c>
      <c r="J834" s="44"/>
      <c r="L834"/>
      <c r="M834"/>
      <c r="N834"/>
    </row>
    <row r="835" spans="1:14" hidden="1" outlineLevel="1" x14ac:dyDescent="0.25">
      <c r="A835" s="739">
        <v>0.05</v>
      </c>
      <c r="B835" s="740" t="s">
        <v>1001</v>
      </c>
      <c r="C835" s="809">
        <v>23.2211</v>
      </c>
      <c r="D835" s="737">
        <f>VLOOKUP(H835,indexy!$C$44:$D$585,2,FALSE)</f>
        <v>420.72</v>
      </c>
      <c r="E835" s="818">
        <f t="shared" si="15"/>
        <v>17.118004745683884</v>
      </c>
      <c r="F835" s="946" t="s">
        <v>2024</v>
      </c>
      <c r="G835" s="78"/>
      <c r="H835" t="str">
        <f>VLOOKUP(B835,indexy!$A$44:$D$157,3,FALSE)</f>
        <v>MSFT UW Equity</v>
      </c>
      <c r="J835" s="31"/>
    </row>
    <row r="836" spans="1:14" hidden="1" outlineLevel="1" x14ac:dyDescent="0.25">
      <c r="A836" s="739">
        <v>0.05</v>
      </c>
      <c r="B836" s="740" t="s">
        <v>1002</v>
      </c>
      <c r="C836" s="809">
        <v>12.46</v>
      </c>
      <c r="D836" s="737">
        <f>VLOOKUP(H836,indexy!$C$44:$D$585,2,FALSE)</f>
        <v>125.61</v>
      </c>
      <c r="E836" s="818">
        <f t="shared" si="15"/>
        <v>9.0810593900481535</v>
      </c>
      <c r="F836" s="946" t="s">
        <v>2024</v>
      </c>
      <c r="G836" s="78"/>
      <c r="H836" t="str">
        <f>VLOOKUP(B836,indexy!$A$44:$D$157,3,FALSE)</f>
        <v>ORCL UN Equity</v>
      </c>
      <c r="J836" s="31"/>
    </row>
    <row r="837" spans="1:14" hidden="1" outlineLevel="1" x14ac:dyDescent="0.25">
      <c r="A837" s="739">
        <v>0.05</v>
      </c>
      <c r="B837" s="740" t="s">
        <v>3425</v>
      </c>
      <c r="C837" s="809">
        <v>42.110999999999997</v>
      </c>
      <c r="D837" s="737">
        <f>VLOOKUP(H837,indexy!$C$44:$D$585,2,FALSE)</f>
        <v>116.24</v>
      </c>
      <c r="E837" s="818">
        <f t="shared" si="15"/>
        <v>1.7603239058678257</v>
      </c>
      <c r="F837" s="946" t="s">
        <v>2024</v>
      </c>
      <c r="G837" s="78"/>
      <c r="H837" t="str">
        <f>VLOOKUP(B837,indexy!$A$44:$D$157,3,FALSE)</f>
        <v>XOM UN Equity</v>
      </c>
      <c r="J837" s="31"/>
    </row>
    <row r="838" spans="1:14" hidden="1" outlineLevel="1" x14ac:dyDescent="0.25">
      <c r="A838" s="739">
        <v>0.05</v>
      </c>
      <c r="B838" s="740" t="s">
        <v>1003</v>
      </c>
      <c r="C838" s="809">
        <v>30.344000000000001</v>
      </c>
      <c r="D838" s="737">
        <f>VLOOKUP(H838,indexy!$C$44:$D$585,2,FALSE)</f>
        <v>174.21</v>
      </c>
      <c r="E838" s="818">
        <f t="shared" si="15"/>
        <v>4.7411679409438436</v>
      </c>
      <c r="F838" s="946" t="s">
        <v>2024</v>
      </c>
      <c r="G838" s="78"/>
      <c r="H838" t="str">
        <f>VLOOKUP(B838,indexy!$A$44:$D$157,3,FALSE)</f>
        <v>TXN UW Equity</v>
      </c>
      <c r="J838" s="31"/>
    </row>
    <row r="839" spans="1:14" hidden="1" outlineLevel="1" x14ac:dyDescent="0.25">
      <c r="A839" s="739">
        <v>0.05</v>
      </c>
      <c r="B839" s="743" t="s">
        <v>1207</v>
      </c>
      <c r="C839" s="809">
        <v>4513</v>
      </c>
      <c r="D839" s="737">
        <f>VLOOKUP(H839,indexy!$C$44:$D$585,2,FALSE)</f>
        <v>12930</v>
      </c>
      <c r="E839" s="818">
        <f t="shared" si="15"/>
        <v>1.8650565034345226</v>
      </c>
      <c r="F839" s="946" t="s">
        <v>2024</v>
      </c>
      <c r="G839" s="78"/>
      <c r="H839" t="str">
        <f>VLOOKUP(B839,indexy!$A$44:$D$157,3,FALSE)</f>
        <v>6758 JT Equity</v>
      </c>
      <c r="J839" s="31"/>
    </row>
    <row r="840" spans="1:14" hidden="1" outlineLevel="1" x14ac:dyDescent="0.25">
      <c r="A840" s="739">
        <v>0.05</v>
      </c>
      <c r="B840" s="743" t="s">
        <v>3551</v>
      </c>
      <c r="C840" s="809">
        <v>3888</v>
      </c>
      <c r="D840" s="737">
        <f>VLOOKUP(H840,indexy!$C$44:$D$585,2,FALSE)</f>
        <v>3806</v>
      </c>
      <c r="E840" s="818">
        <f t="shared" si="15"/>
        <v>-2.1090534979423814E-2</v>
      </c>
      <c r="F840" s="946" t="s">
        <v>2024</v>
      </c>
      <c r="G840" s="78"/>
      <c r="H840" t="str">
        <f>VLOOKUP(B840,indexy!$A$44:$D$157,3,FALSE)</f>
        <v>7203 JT Equity</v>
      </c>
      <c r="J840" s="31"/>
    </row>
    <row r="841" spans="1:14" hidden="1" outlineLevel="1" x14ac:dyDescent="0.25">
      <c r="A841" s="745">
        <v>0.05</v>
      </c>
      <c r="B841" s="824" t="s">
        <v>157</v>
      </c>
      <c r="C841" s="810">
        <v>7.2901999999999996</v>
      </c>
      <c r="D841" s="715">
        <f>VLOOKUP(H841,indexy!$C$44:$D$585,2,FALSE)</f>
        <v>4.5214999999999996</v>
      </c>
      <c r="E841" s="825">
        <f t="shared" si="15"/>
        <v>-0.37978381937395411</v>
      </c>
      <c r="F841" s="1023" t="s">
        <v>2024</v>
      </c>
      <c r="G841" s="78"/>
      <c r="H841" t="str">
        <f>VLOOKUP(B841,indexy!$A$44:$D$157,3,FALSE)</f>
        <v>SAN SM Equity</v>
      </c>
      <c r="J841" s="31"/>
    </row>
    <row r="842" spans="1:14" hidden="1" outlineLevel="1" x14ac:dyDescent="0.25">
      <c r="A842" s="749"/>
      <c r="B842" s="750"/>
      <c r="C842" s="811"/>
      <c r="D842" s="811"/>
      <c r="E842" s="826" t="e">
        <f>SUMPRODUCT(A822:A841,E822:E841)</f>
        <v>#N/A</v>
      </c>
      <c r="F842" s="770"/>
      <c r="G842" s="78"/>
      <c r="H842" s="417" t="s">
        <v>6670</v>
      </c>
      <c r="I842" s="488" t="s">
        <v>6674</v>
      </c>
      <c r="J842" s="31"/>
    </row>
    <row r="843" spans="1:14" hidden="1" outlineLevel="1" x14ac:dyDescent="0.25">
      <c r="A843" s="751" t="s">
        <v>3663</v>
      </c>
      <c r="B843" s="750"/>
      <c r="C843" s="727"/>
      <c r="D843" s="768"/>
      <c r="E843" s="716"/>
      <c r="F843" s="770">
        <v>3.6999999999999998E-2</v>
      </c>
      <c r="G843" s="78"/>
      <c r="H843" s="478">
        <f>F843</f>
        <v>3.6999999999999998E-2</v>
      </c>
      <c r="I843" s="520">
        <f>parametry!R48</f>
        <v>1.5</v>
      </c>
      <c r="J843" s="31"/>
    </row>
    <row r="844" spans="1:14" hidden="1" outlineLevel="1" x14ac:dyDescent="0.25">
      <c r="A844" s="751" t="s">
        <v>4531</v>
      </c>
      <c r="B844" s="750" t="s">
        <v>1338</v>
      </c>
      <c r="C844" s="727"/>
      <c r="D844" s="768"/>
      <c r="E844" s="716" t="s">
        <v>6672</v>
      </c>
      <c r="F844" s="770">
        <f>IF(E844="výnos dělen",F843/$I$843,IF(E844="výnos násoben",F843*$I$843,""))</f>
        <v>2.4666666666666667E-2</v>
      </c>
      <c r="G844" s="78"/>
      <c r="H844" s="478">
        <f>IF(F844="",H843*$I$8747,F844)</f>
        <v>2.4666666666666667E-2</v>
      </c>
      <c r="I844" s="81" t="s">
        <v>6672</v>
      </c>
      <c r="J844" s="31"/>
    </row>
    <row r="845" spans="1:14" hidden="1" outlineLevel="1" x14ac:dyDescent="0.25">
      <c r="A845" s="751" t="s">
        <v>4532</v>
      </c>
      <c r="B845" s="827" t="s">
        <v>481</v>
      </c>
      <c r="C845" s="727"/>
      <c r="D845" s="768"/>
      <c r="E845" s="716" t="s">
        <v>6672</v>
      </c>
      <c r="F845" s="770">
        <f>IF(E845="výnos dělen",F844/$I$843,IF(E845="výnos násoben",F844*$I$843,""))</f>
        <v>1.6444444444444446E-2</v>
      </c>
      <c r="G845" s="78"/>
      <c r="H845" s="478">
        <f>IF(F845="",H844*$I$8747,F845)</f>
        <v>1.6444444444444446E-2</v>
      </c>
      <c r="I845" s="81" t="s">
        <v>6673</v>
      </c>
      <c r="J845" s="31"/>
    </row>
    <row r="846" spans="1:14" hidden="1" outlineLevel="1" x14ac:dyDescent="0.25">
      <c r="A846" s="751" t="s">
        <v>1854</v>
      </c>
      <c r="B846" s="828" t="s">
        <v>948</v>
      </c>
      <c r="C846" s="727"/>
      <c r="D846" s="768"/>
      <c r="E846" s="716" t="s">
        <v>6672</v>
      </c>
      <c r="F846" s="770">
        <f>IF(E846="výnos dělen",F845/$I$843,IF(E846="výnos násoben",F845*$I$843,""))</f>
        <v>1.0962962962962964E-2</v>
      </c>
      <c r="G846" s="78"/>
      <c r="H846" s="478">
        <f>IF(F846="",H845*$I$8747,F846)</f>
        <v>1.0962962962962964E-2</v>
      </c>
      <c r="J846" s="31"/>
    </row>
    <row r="847" spans="1:14" hidden="1" outlineLevel="1" x14ac:dyDescent="0.25">
      <c r="A847" s="751" t="s">
        <v>1787</v>
      </c>
      <c r="B847" s="750" t="s">
        <v>3469</v>
      </c>
      <c r="C847" s="727"/>
      <c r="D847" s="727"/>
      <c r="E847" s="716" t="s">
        <v>6672</v>
      </c>
      <c r="F847" s="770">
        <f>IF(E847="výnos dělen",F846/$I$843,IF(E847="výnos násoben",F846*$I$843,""))</f>
        <v>7.3086419753086431E-3</v>
      </c>
      <c r="G847" s="78"/>
      <c r="H847" s="478">
        <f>IF(F847="",H846*$I$8747,F847)</f>
        <v>7.3086419753086431E-3</v>
      </c>
      <c r="J847" s="31"/>
    </row>
    <row r="848" spans="1:14" hidden="1" outlineLevel="1" x14ac:dyDescent="0.25">
      <c r="A848" s="751" t="s">
        <v>1788</v>
      </c>
      <c r="B848" s="750" t="s">
        <v>6675</v>
      </c>
      <c r="C848" s="727"/>
      <c r="D848" s="727"/>
      <c r="E848" s="716" t="s">
        <v>6672</v>
      </c>
      <c r="F848" s="770">
        <f>IF(E848="výnos dělen",F847/$I$843,IF(E848="výnos násoben",F847*$I$843,""))</f>
        <v>4.8724279835390951E-3</v>
      </c>
      <c r="G848" s="78"/>
      <c r="H848" s="478">
        <f>IF(F848="",H847*$I$8747,F848)</f>
        <v>4.8724279835390951E-3</v>
      </c>
      <c r="J848" s="31"/>
    </row>
    <row r="849" spans="1:10" collapsed="1" x14ac:dyDescent="0.25">
      <c r="A849" s="3801" t="s">
        <v>3498</v>
      </c>
      <c r="B849" s="3802"/>
      <c r="C849" s="3802"/>
      <c r="D849" s="3802"/>
      <c r="E849" s="729"/>
      <c r="F849" s="752">
        <f>SUM(F843:F848)</f>
        <v>0.10125514403292181</v>
      </c>
      <c r="G849" s="97" t="s">
        <v>781</v>
      </c>
      <c r="H849" s="521">
        <f>SUM(H843:H848)</f>
        <v>0.10125514403292181</v>
      </c>
      <c r="J849" s="31"/>
    </row>
    <row r="850" spans="1:10" ht="13.8" thickBot="1" x14ac:dyDescent="0.3">
      <c r="A850" s="1"/>
      <c r="B850" s="1"/>
      <c r="C850" s="1"/>
      <c r="D850" s="1"/>
      <c r="E850" s="1"/>
      <c r="F850" s="1848"/>
      <c r="G850" s="78"/>
      <c r="J850" s="31"/>
    </row>
    <row r="851" spans="1:10" hidden="1" outlineLevel="1" x14ac:dyDescent="0.25">
      <c r="A851" s="829" t="s">
        <v>113</v>
      </c>
      <c r="B851" s="830" t="s">
        <v>114</v>
      </c>
      <c r="C851" s="830" t="s">
        <v>112</v>
      </c>
      <c r="D851" s="831" t="s">
        <v>116</v>
      </c>
      <c r="E851" s="3847" t="s">
        <v>117</v>
      </c>
      <c r="F851" s="3848"/>
      <c r="G851" s="78"/>
      <c r="J851" s="31"/>
    </row>
    <row r="852" spans="1:10" hidden="1" outlineLevel="1" x14ac:dyDescent="0.25">
      <c r="A852" s="832">
        <v>1</v>
      </c>
      <c r="B852" s="799" t="s">
        <v>115</v>
      </c>
      <c r="C852" s="800">
        <v>3058.317</v>
      </c>
      <c r="D852" s="795">
        <v>2071.13</v>
      </c>
      <c r="E852" s="3849">
        <f>(0.5*D852/C852+0.5*D853/C853)-1</f>
        <v>-0.32133087170976249</v>
      </c>
      <c r="F852" s="3850"/>
      <c r="G852" s="78"/>
      <c r="J852" s="31"/>
    </row>
    <row r="853" spans="1:10" ht="13.8" hidden="1" outlineLevel="1" thickBot="1" x14ac:dyDescent="0.3">
      <c r="A853" s="833"/>
      <c r="B853" s="801" t="s">
        <v>760</v>
      </c>
      <c r="C853" s="804">
        <v>1173.1210000000001</v>
      </c>
      <c r="D853" s="796">
        <v>797.87</v>
      </c>
      <c r="E853" s="3851"/>
      <c r="F853" s="3852"/>
      <c r="G853" s="78"/>
      <c r="J853" s="31"/>
    </row>
    <row r="854" spans="1:10" ht="12.75" hidden="1" customHeight="1" outlineLevel="1" x14ac:dyDescent="0.25">
      <c r="A854" s="834" t="s">
        <v>1789</v>
      </c>
      <c r="B854" s="835">
        <v>3825.02</v>
      </c>
      <c r="C854" s="836">
        <v>1385.59</v>
      </c>
      <c r="D854" s="837">
        <v>121.5904</v>
      </c>
      <c r="E854" s="838">
        <f>0.5*B854/C$852+0.5*C854/C$853-1</f>
        <v>0.21590436374207078</v>
      </c>
      <c r="F854" s="3866" t="s">
        <v>2205</v>
      </c>
      <c r="G854" s="78"/>
      <c r="H854" s="101"/>
      <c r="J854" s="31"/>
    </row>
    <row r="855" spans="1:10" hidden="1" outlineLevel="1" x14ac:dyDescent="0.25">
      <c r="A855" s="834" t="s">
        <v>4503</v>
      </c>
      <c r="B855" s="839">
        <v>3777.85</v>
      </c>
      <c r="C855" s="835">
        <v>1400.38</v>
      </c>
      <c r="D855" s="837">
        <v>121.4496</v>
      </c>
      <c r="E855" s="838">
        <f>0.5*B855/C$852+0.5*C855/C$853-1</f>
        <v>0.21449630350795146</v>
      </c>
      <c r="F855" s="3867"/>
      <c r="G855" s="78"/>
      <c r="J855" s="31"/>
    </row>
    <row r="856" spans="1:10" hidden="1" outlineLevel="1" x14ac:dyDescent="0.25">
      <c r="A856" s="834" t="s">
        <v>4504</v>
      </c>
      <c r="B856" s="839">
        <v>3352.81</v>
      </c>
      <c r="C856" s="835">
        <v>1280</v>
      </c>
      <c r="D856" s="837">
        <v>109.37</v>
      </c>
      <c r="E856" s="838">
        <f t="shared" ref="E856:E865" si="16">0.5*B856/C$852+0.5*C856/C$853-1</f>
        <v>9.3699523678624441E-2</v>
      </c>
      <c r="F856" s="3867"/>
      <c r="G856" s="78"/>
      <c r="J856" s="31"/>
    </row>
    <row r="857" spans="1:10" hidden="1" outlineLevel="1" x14ac:dyDescent="0.25">
      <c r="A857" s="834" t="s">
        <v>4505</v>
      </c>
      <c r="B857" s="839">
        <v>3367.82</v>
      </c>
      <c r="C857" s="835">
        <v>1267.3800000000001</v>
      </c>
      <c r="D857" s="837">
        <v>109.0775</v>
      </c>
      <c r="E857" s="838">
        <f t="shared" si="16"/>
        <v>9.0774673446833098E-2</v>
      </c>
      <c r="F857" s="3867"/>
      <c r="G857" s="78"/>
      <c r="J857" s="31"/>
    </row>
    <row r="858" spans="1:10" hidden="1" outlineLevel="1" x14ac:dyDescent="0.25">
      <c r="A858" s="834" t="s">
        <v>4506</v>
      </c>
      <c r="B858" s="839">
        <v>3365.63</v>
      </c>
      <c r="C858" s="835">
        <v>1282.83</v>
      </c>
      <c r="D858" s="837">
        <v>109.7002</v>
      </c>
      <c r="E858" s="838">
        <f t="shared" si="16"/>
        <v>9.7001631865963223E-2</v>
      </c>
      <c r="F858" s="3867"/>
      <c r="G858" s="78"/>
      <c r="J858" s="31"/>
    </row>
    <row r="859" spans="1:10" ht="13.8" hidden="1" outlineLevel="1" thickBot="1" x14ac:dyDescent="0.3">
      <c r="A859" s="834" t="s">
        <v>4507</v>
      </c>
      <c r="B859" s="839">
        <v>3038.2</v>
      </c>
      <c r="C859" s="835">
        <v>1166.3599999999999</v>
      </c>
      <c r="D859" s="837">
        <v>99.382900000000006</v>
      </c>
      <c r="E859" s="838">
        <f t="shared" si="16"/>
        <v>-6.1705298297223266E-3</v>
      </c>
      <c r="F859" s="3868"/>
      <c r="G859" s="78"/>
      <c r="J859" s="31"/>
    </row>
    <row r="860" spans="1:10" hidden="1" outlineLevel="1" x14ac:dyDescent="0.25">
      <c r="A860" s="834" t="s">
        <v>4508</v>
      </c>
      <c r="B860" s="839">
        <v>2591.7600000000002</v>
      </c>
      <c r="C860" s="835">
        <v>968.75</v>
      </c>
      <c r="D860" s="837">
        <v>83.661799999999999</v>
      </c>
      <c r="E860" s="838">
        <f t="shared" si="16"/>
        <v>-0.16338243406836517</v>
      </c>
      <c r="F860" s="3866" t="s">
        <v>2206</v>
      </c>
      <c r="G860" s="78"/>
      <c r="J860" s="31"/>
    </row>
    <row r="861" spans="1:10" hidden="1" outlineLevel="1" x14ac:dyDescent="0.25">
      <c r="A861" s="834" t="s">
        <v>4509</v>
      </c>
      <c r="B861" s="839">
        <v>2430.31</v>
      </c>
      <c r="C861" s="835">
        <v>896.24</v>
      </c>
      <c r="D861" s="837">
        <v>77.931799999999996</v>
      </c>
      <c r="E861" s="838">
        <f t="shared" si="16"/>
        <v>-0.22068241083431761</v>
      </c>
      <c r="F861" s="3869"/>
      <c r="G861" s="78"/>
      <c r="J861" s="31"/>
    </row>
    <row r="862" spans="1:10" hidden="1" outlineLevel="1" x14ac:dyDescent="0.25">
      <c r="A862" s="834" t="s">
        <v>4510</v>
      </c>
      <c r="B862" s="839">
        <v>2747.62</v>
      </c>
      <c r="C862" s="835">
        <v>903.25</v>
      </c>
      <c r="D862" s="837">
        <v>78.510000000000005</v>
      </c>
      <c r="E862" s="838">
        <f t="shared" si="16"/>
        <v>-0.16581808291322142</v>
      </c>
      <c r="F862" s="3869"/>
      <c r="G862" s="78"/>
      <c r="J862" s="31"/>
    </row>
    <row r="863" spans="1:10" hidden="1" outlineLevel="1" x14ac:dyDescent="0.25">
      <c r="A863" s="834" t="s">
        <v>4511</v>
      </c>
      <c r="B863" s="839">
        <v>2236.98</v>
      </c>
      <c r="C863" s="835">
        <v>825.88</v>
      </c>
      <c r="D863" s="837">
        <v>71.772199999999998</v>
      </c>
      <c r="E863" s="838">
        <f t="shared" si="16"/>
        <v>-0.2822780455248225</v>
      </c>
      <c r="F863" s="3869"/>
      <c r="G863" s="78"/>
      <c r="J863" s="31"/>
    </row>
    <row r="864" spans="1:10" hidden="1" outlineLevel="1" x14ac:dyDescent="0.25">
      <c r="A864" s="834" t="s">
        <v>619</v>
      </c>
      <c r="B864" s="839">
        <v>1976.23</v>
      </c>
      <c r="C864" s="835">
        <v>735.09</v>
      </c>
      <c r="D864" s="837">
        <v>63.639600000000002</v>
      </c>
      <c r="E864" s="838">
        <f t="shared" si="16"/>
        <v>-0.36360362408309965</v>
      </c>
      <c r="F864" s="3869"/>
      <c r="G864" s="78"/>
      <c r="J864" s="31"/>
    </row>
    <row r="865" spans="1:10" ht="13.8" hidden="1" outlineLevel="1" thickBot="1" x14ac:dyDescent="0.3">
      <c r="A865" s="834" t="s">
        <v>1730</v>
      </c>
      <c r="B865" s="839">
        <v>2071.13</v>
      </c>
      <c r="C865" s="835">
        <v>797.87</v>
      </c>
      <c r="D865" s="837">
        <v>67.866900000000001</v>
      </c>
      <c r="E865" s="838">
        <f t="shared" si="16"/>
        <v>-0.32133087170976249</v>
      </c>
      <c r="F865" s="3869"/>
      <c r="G865" s="78"/>
      <c r="J865" s="31"/>
    </row>
    <row r="866" spans="1:10" ht="13.8" collapsed="1" thickBot="1" x14ac:dyDescent="0.3">
      <c r="A866" s="840" t="s">
        <v>2782</v>
      </c>
      <c r="B866" s="841"/>
      <c r="C866" s="841"/>
      <c r="D866" s="841" t="s">
        <v>2465</v>
      </c>
      <c r="E866" s="842">
        <f>AVERAGE(D854:D865)%</f>
        <v>0.9282940833333333</v>
      </c>
      <c r="F866" s="1855">
        <v>0</v>
      </c>
      <c r="G866" s="97" t="s">
        <v>781</v>
      </c>
      <c r="J866" s="31"/>
    </row>
    <row r="867" spans="1:10" x14ac:dyDescent="0.25">
      <c r="A867" s="1"/>
      <c r="B867" s="1"/>
      <c r="C867" s="1"/>
      <c r="D867" s="1"/>
      <c r="E867" s="1"/>
      <c r="F867" s="1848"/>
      <c r="G867" s="78"/>
      <c r="J867" s="31"/>
    </row>
    <row r="868" spans="1:10" hidden="1" outlineLevel="1" x14ac:dyDescent="0.25">
      <c r="A868" s="689" t="s">
        <v>113</v>
      </c>
      <c r="B868" s="689" t="s">
        <v>114</v>
      </c>
      <c r="C868" s="689" t="s">
        <v>112</v>
      </c>
      <c r="D868" s="689" t="s">
        <v>116</v>
      </c>
      <c r="E868" s="689" t="s">
        <v>117</v>
      </c>
      <c r="F868" s="1188" t="s">
        <v>121</v>
      </c>
      <c r="G868" s="78"/>
      <c r="J868" s="31"/>
    </row>
    <row r="869" spans="1:10" hidden="1" outlineLevel="1" x14ac:dyDescent="0.25">
      <c r="A869" s="753" t="s">
        <v>1731</v>
      </c>
      <c r="B869" s="691" t="s">
        <v>115</v>
      </c>
      <c r="C869" s="793">
        <v>2955.14</v>
      </c>
      <c r="D869" s="793">
        <v>3823.7069999999999</v>
      </c>
      <c r="E869" s="3813">
        <v>0.20899999999999999</v>
      </c>
      <c r="F869" s="3816">
        <v>4.7E-2</v>
      </c>
      <c r="G869" s="78"/>
      <c r="J869" s="31"/>
    </row>
    <row r="870" spans="1:10" hidden="1" outlineLevel="1" x14ac:dyDescent="0.25">
      <c r="A870" s="754" t="s">
        <v>1731</v>
      </c>
      <c r="B870" s="695" t="s">
        <v>760</v>
      </c>
      <c r="C870" s="797">
        <v>1153.48</v>
      </c>
      <c r="D870" s="797">
        <v>1296.558</v>
      </c>
      <c r="E870" s="3814"/>
      <c r="F870" s="3817"/>
      <c r="G870" s="78"/>
      <c r="J870" s="31"/>
    </row>
    <row r="871" spans="1:10" hidden="1" outlineLevel="1" x14ac:dyDescent="0.25">
      <c r="A871" s="753" t="s">
        <v>1732</v>
      </c>
      <c r="B871" s="691" t="s">
        <v>115</v>
      </c>
      <c r="C871" s="793">
        <v>3823.7069999999999</v>
      </c>
      <c r="D871" s="843">
        <v>4249.4889999999996</v>
      </c>
      <c r="E871" s="3813">
        <v>0.1187</v>
      </c>
      <c r="F871" s="3816">
        <v>4.7E-2</v>
      </c>
      <c r="G871" s="78"/>
      <c r="J871" s="31"/>
    </row>
    <row r="872" spans="1:10" hidden="1" outlineLevel="1" x14ac:dyDescent="0.25">
      <c r="A872" s="754" t="s">
        <v>1732</v>
      </c>
      <c r="B872" s="695" t="s">
        <v>760</v>
      </c>
      <c r="C872" s="797">
        <v>1296.558</v>
      </c>
      <c r="D872" s="798">
        <v>1444.644</v>
      </c>
      <c r="E872" s="3814"/>
      <c r="F872" s="3817"/>
      <c r="G872" s="78"/>
      <c r="J872" s="31"/>
    </row>
    <row r="873" spans="1:10" hidden="1" outlineLevel="1" x14ac:dyDescent="0.25">
      <c r="A873" s="753" t="s">
        <v>1733</v>
      </c>
      <c r="B873" s="691" t="s">
        <v>115</v>
      </c>
      <c r="C873" s="843">
        <v>4249.4889999999996</v>
      </c>
      <c r="D873" s="691">
        <v>3766.5810000000001</v>
      </c>
      <c r="E873" s="3813">
        <v>-9.3200000000000005E-2</v>
      </c>
      <c r="F873" s="3816">
        <v>-0.03</v>
      </c>
      <c r="G873" s="78"/>
      <c r="J873" s="31"/>
    </row>
    <row r="874" spans="1:10" hidden="1" outlineLevel="1" x14ac:dyDescent="0.25">
      <c r="A874" s="754" t="s">
        <v>1733</v>
      </c>
      <c r="B874" s="695" t="s">
        <v>760</v>
      </c>
      <c r="C874" s="798">
        <v>1444.644</v>
      </c>
      <c r="D874" s="695">
        <v>1359.1690000000001</v>
      </c>
      <c r="E874" s="3814"/>
      <c r="F874" s="3817"/>
      <c r="G874" s="78"/>
      <c r="J874" s="31"/>
    </row>
    <row r="875" spans="1:10" hidden="1" outlineLevel="1" x14ac:dyDescent="0.25">
      <c r="A875" s="753" t="s">
        <v>3745</v>
      </c>
      <c r="B875" s="691" t="s">
        <v>115</v>
      </c>
      <c r="C875" s="691">
        <v>3766.5810000000001</v>
      </c>
      <c r="D875" s="691">
        <v>2213.4899999999998</v>
      </c>
      <c r="E875" s="3813">
        <v>-0.3987</v>
      </c>
      <c r="F875" s="3816">
        <v>-0.03</v>
      </c>
      <c r="G875" s="78"/>
      <c r="J875" s="31"/>
    </row>
    <row r="876" spans="1:10" hidden="1" outlineLevel="1" x14ac:dyDescent="0.25">
      <c r="A876" s="754" t="s">
        <v>3745</v>
      </c>
      <c r="B876" s="695" t="s">
        <v>760</v>
      </c>
      <c r="C876" s="695">
        <v>1359.1690000000001</v>
      </c>
      <c r="D876" s="695">
        <v>837.3</v>
      </c>
      <c r="E876" s="3814"/>
      <c r="F876" s="3817"/>
      <c r="G876" s="78"/>
      <c r="J876" s="31"/>
    </row>
    <row r="877" spans="1:10" hidden="1" outlineLevel="1" x14ac:dyDescent="0.25">
      <c r="A877" s="753" t="s">
        <v>3746</v>
      </c>
      <c r="B877" s="691" t="s">
        <v>115</v>
      </c>
      <c r="C877" s="691">
        <v>2213.4899999999998</v>
      </c>
      <c r="D877" s="691">
        <v>2784.5929999999998</v>
      </c>
      <c r="E877" s="3835">
        <v>0.29260000000000003</v>
      </c>
      <c r="F877" s="3816">
        <v>4.7E-2</v>
      </c>
      <c r="G877" s="78"/>
      <c r="J877" s="31"/>
    </row>
    <row r="878" spans="1:10" hidden="1" outlineLevel="1" x14ac:dyDescent="0.25">
      <c r="A878" s="754" t="s">
        <v>3746</v>
      </c>
      <c r="B878" s="726" t="s">
        <v>760</v>
      </c>
      <c r="C878" s="695">
        <v>837.3</v>
      </c>
      <c r="D878" s="726">
        <v>1112.2190000000001</v>
      </c>
      <c r="E878" s="3823"/>
      <c r="F878" s="3818"/>
      <c r="G878" s="78"/>
      <c r="J878" s="31"/>
    </row>
    <row r="879" spans="1:10" collapsed="1" x14ac:dyDescent="0.25">
      <c r="A879" s="3801" t="s">
        <v>3499</v>
      </c>
      <c r="B879" s="3802"/>
      <c r="C879" s="3802"/>
      <c r="D879" s="3802"/>
      <c r="E879" s="782" t="s">
        <v>2722</v>
      </c>
      <c r="F879" s="752">
        <f>MAX(SUM(F869:F877),8%)</f>
        <v>8.1000000000000003E-2</v>
      </c>
      <c r="G879" s="97" t="s">
        <v>781</v>
      </c>
      <c r="J879" s="31"/>
    </row>
    <row r="880" spans="1:10" x14ac:dyDescent="0.25">
      <c r="A880" s="1"/>
      <c r="B880" s="1"/>
      <c r="C880" s="1"/>
      <c r="D880" s="1"/>
      <c r="E880" s="1"/>
      <c r="F880" s="1848"/>
      <c r="G880" s="78"/>
      <c r="J880" s="31"/>
    </row>
    <row r="881" spans="1:10" hidden="1" outlineLevel="1" x14ac:dyDescent="0.25">
      <c r="A881" s="689" t="s">
        <v>113</v>
      </c>
      <c r="B881" s="689" t="s">
        <v>114</v>
      </c>
      <c r="C881" s="689" t="s">
        <v>112</v>
      </c>
      <c r="D881" s="689" t="s">
        <v>116</v>
      </c>
      <c r="E881" s="689" t="s">
        <v>117</v>
      </c>
      <c r="F881" s="1188" t="s">
        <v>121</v>
      </c>
      <c r="G881" s="78"/>
      <c r="J881" s="31"/>
    </row>
    <row r="882" spans="1:10" hidden="1" outlineLevel="1" x14ac:dyDescent="0.25">
      <c r="A882" s="753" t="s">
        <v>3747</v>
      </c>
      <c r="B882" s="691" t="s">
        <v>115</v>
      </c>
      <c r="C882" s="793">
        <v>3149.8139999999999</v>
      </c>
      <c r="D882" s="692">
        <v>3526.7359999999999</v>
      </c>
      <c r="E882" s="3813">
        <v>8.1100000000000005E-2</v>
      </c>
      <c r="F882" s="3816">
        <v>4.4999999999999998E-2</v>
      </c>
      <c r="G882" s="78"/>
      <c r="J882" s="31"/>
    </row>
    <row r="883" spans="1:10" hidden="1" outlineLevel="1" x14ac:dyDescent="0.25">
      <c r="A883" s="754" t="s">
        <v>3747</v>
      </c>
      <c r="B883" s="726" t="s">
        <v>760</v>
      </c>
      <c r="C883" s="794">
        <v>1204.6300000000001</v>
      </c>
      <c r="D883" s="727">
        <v>1255.9580000000001</v>
      </c>
      <c r="E883" s="3815"/>
      <c r="F883" s="3818"/>
      <c r="G883" s="78"/>
      <c r="J883" s="31"/>
    </row>
    <row r="884" spans="1:10" hidden="1" outlineLevel="1" x14ac:dyDescent="0.25">
      <c r="A884" s="753" t="s">
        <v>3748</v>
      </c>
      <c r="B884" s="691" t="s">
        <v>115</v>
      </c>
      <c r="C884" s="793">
        <v>3526.7359999999999</v>
      </c>
      <c r="D884" s="692">
        <v>4448.8360000000002</v>
      </c>
      <c r="E884" s="3813">
        <v>0.23530000000000001</v>
      </c>
      <c r="F884" s="3816">
        <v>4.4999999999999998E-2</v>
      </c>
      <c r="G884" s="78"/>
      <c r="J884" s="31"/>
    </row>
    <row r="885" spans="1:10" hidden="1" outlineLevel="1" x14ac:dyDescent="0.25">
      <c r="A885" s="754" t="s">
        <v>3748</v>
      </c>
      <c r="B885" s="726" t="s">
        <v>760</v>
      </c>
      <c r="C885" s="794">
        <v>1255.9580000000001</v>
      </c>
      <c r="D885" s="727">
        <v>1516.3</v>
      </c>
      <c r="E885" s="3815"/>
      <c r="F885" s="3818"/>
      <c r="G885" s="78"/>
      <c r="J885" s="31"/>
    </row>
    <row r="886" spans="1:10" hidden="1" outlineLevel="1" x14ac:dyDescent="0.25">
      <c r="A886" s="753" t="s">
        <v>3697</v>
      </c>
      <c r="B886" s="691" t="s">
        <v>115</v>
      </c>
      <c r="C886" s="692">
        <v>4448.8360000000002</v>
      </c>
      <c r="D886" s="692">
        <v>3622.3110000000001</v>
      </c>
      <c r="E886" s="3813">
        <v>-0.1449</v>
      </c>
      <c r="F886" s="3816">
        <v>-0.03</v>
      </c>
      <c r="G886" s="78"/>
      <c r="J886" s="31"/>
    </row>
    <row r="887" spans="1:10" hidden="1" outlineLevel="1" x14ac:dyDescent="0.25">
      <c r="A887" s="754" t="s">
        <v>3697</v>
      </c>
      <c r="B887" s="726" t="s">
        <v>760</v>
      </c>
      <c r="C887" s="727">
        <v>1516.3</v>
      </c>
      <c r="D887" s="727">
        <v>1366.0840000000001</v>
      </c>
      <c r="E887" s="3815"/>
      <c r="F887" s="3818"/>
      <c r="G887" s="78"/>
      <c r="J887" s="31"/>
    </row>
    <row r="888" spans="1:10" hidden="1" outlineLevel="1" x14ac:dyDescent="0.25">
      <c r="A888" s="753" t="s">
        <v>3411</v>
      </c>
      <c r="B888" s="691" t="s">
        <v>115</v>
      </c>
      <c r="C888" s="692">
        <v>3622.3110000000001</v>
      </c>
      <c r="D888" s="692">
        <v>2859.373</v>
      </c>
      <c r="E888" s="3813">
        <v>-0.21779999999999999</v>
      </c>
      <c r="F888" s="3816">
        <v>-0.03</v>
      </c>
      <c r="G888" s="78"/>
      <c r="J888" s="31"/>
    </row>
    <row r="889" spans="1:10" hidden="1" outlineLevel="1" x14ac:dyDescent="0.25">
      <c r="A889" s="754" t="s">
        <v>3411</v>
      </c>
      <c r="B889" s="726" t="s">
        <v>760</v>
      </c>
      <c r="C889" s="727">
        <v>1366.0840000000001</v>
      </c>
      <c r="D889" s="727">
        <v>1058.6189999999999</v>
      </c>
      <c r="E889" s="3815"/>
      <c r="F889" s="3818"/>
      <c r="G889" s="78"/>
      <c r="J889" s="31"/>
    </row>
    <row r="890" spans="1:10" collapsed="1" x14ac:dyDescent="0.25">
      <c r="A890" s="3801" t="s">
        <v>3500</v>
      </c>
      <c r="B890" s="3802"/>
      <c r="C890" s="3802"/>
      <c r="D890" s="3802"/>
      <c r="E890" s="729"/>
      <c r="F890" s="752">
        <f>MAX(SUM(F882:F889),6%)</f>
        <v>0.06</v>
      </c>
      <c r="G890" s="97" t="s">
        <v>781</v>
      </c>
      <c r="J890" s="31"/>
    </row>
    <row r="891" spans="1:10" x14ac:dyDescent="0.25">
      <c r="A891" s="1"/>
      <c r="B891" s="1"/>
      <c r="C891" s="1"/>
      <c r="D891" s="1"/>
      <c r="E891" s="1"/>
      <c r="F891" s="1848"/>
      <c r="G891" s="78"/>
      <c r="J891" s="31"/>
    </row>
    <row r="892" spans="1:10" ht="26.4" hidden="1" outlineLevel="1" x14ac:dyDescent="0.25">
      <c r="A892" s="844" t="s">
        <v>113</v>
      </c>
      <c r="B892" s="844" t="s">
        <v>114</v>
      </c>
      <c r="C892" s="844" t="s">
        <v>112</v>
      </c>
      <c r="D892" s="844" t="s">
        <v>116</v>
      </c>
      <c r="E892" s="844" t="s">
        <v>117</v>
      </c>
      <c r="F892" s="1856" t="s">
        <v>121</v>
      </c>
      <c r="G892" s="78"/>
      <c r="J892" s="31"/>
    </row>
    <row r="893" spans="1:10" hidden="1" outlineLevel="1" x14ac:dyDescent="0.25">
      <c r="A893" s="753" t="s">
        <v>3412</v>
      </c>
      <c r="B893" s="691" t="s">
        <v>115</v>
      </c>
      <c r="C893" s="793">
        <v>3149.8139999999999</v>
      </c>
      <c r="D893" s="845">
        <v>3511.549</v>
      </c>
      <c r="E893" s="3843">
        <v>8.1595999999999974E-2</v>
      </c>
      <c r="F893" s="3841">
        <v>3.5000000000000003E-2</v>
      </c>
      <c r="G893" s="78"/>
      <c r="J893" s="31"/>
    </row>
    <row r="894" spans="1:10" hidden="1" outlineLevel="1" x14ac:dyDescent="0.25">
      <c r="A894" s="754" t="s">
        <v>3412</v>
      </c>
      <c r="B894" s="695" t="s">
        <v>760</v>
      </c>
      <c r="C894" s="797">
        <v>1204.6300000000001</v>
      </c>
      <c r="D894" s="794">
        <v>1262.8720000000001</v>
      </c>
      <c r="E894" s="3844"/>
      <c r="F894" s="3842"/>
      <c r="G894" s="78"/>
      <c r="J894" s="31"/>
    </row>
    <row r="895" spans="1:10" hidden="1" outlineLevel="1" x14ac:dyDescent="0.25">
      <c r="A895" s="753" t="s">
        <v>3413</v>
      </c>
      <c r="B895" s="691" t="s">
        <v>115</v>
      </c>
      <c r="C895" s="845">
        <v>3511.549</v>
      </c>
      <c r="D895" s="692">
        <v>3526.7359999999999</v>
      </c>
      <c r="E895" s="3813">
        <v>-4.0000000000000002E-4</v>
      </c>
      <c r="F895" s="3816">
        <v>-4.0000000000000002E-4</v>
      </c>
      <c r="G895" s="78"/>
      <c r="J895" s="31"/>
    </row>
    <row r="896" spans="1:10" hidden="1" outlineLevel="1" x14ac:dyDescent="0.25">
      <c r="A896" s="754" t="s">
        <v>3413</v>
      </c>
      <c r="B896" s="695" t="s">
        <v>760</v>
      </c>
      <c r="C896" s="794">
        <v>1262.8720000000001</v>
      </c>
      <c r="D896" s="696">
        <v>1255.9580000000001</v>
      </c>
      <c r="E896" s="3814"/>
      <c r="F896" s="3817"/>
      <c r="G896" s="78"/>
      <c r="J896" s="31"/>
    </row>
    <row r="897" spans="1:10" hidden="1" outlineLevel="1" x14ac:dyDescent="0.25">
      <c r="A897" s="753" t="s">
        <v>3414</v>
      </c>
      <c r="B897" s="691" t="s">
        <v>115</v>
      </c>
      <c r="C897" s="845">
        <v>3526.7359999999999</v>
      </c>
      <c r="D897" s="692">
        <v>4026.9650000000001</v>
      </c>
      <c r="E897" s="3813">
        <v>0.1331</v>
      </c>
      <c r="F897" s="3816">
        <v>3.5000000000000003E-2</v>
      </c>
      <c r="G897" s="78"/>
      <c r="J897" s="31"/>
    </row>
    <row r="898" spans="1:10" hidden="1" outlineLevel="1" x14ac:dyDescent="0.25">
      <c r="A898" s="754" t="s">
        <v>3414</v>
      </c>
      <c r="B898" s="695" t="s">
        <v>760</v>
      </c>
      <c r="C898" s="794">
        <v>1255.9580000000001</v>
      </c>
      <c r="D898" s="696">
        <v>1411.3920000000001</v>
      </c>
      <c r="E898" s="3814"/>
      <c r="F898" s="3817"/>
      <c r="G898" s="78"/>
      <c r="J898" s="31"/>
    </row>
    <row r="899" spans="1:10" hidden="1" outlineLevel="1" x14ac:dyDescent="0.25">
      <c r="A899" s="753" t="s">
        <v>3415</v>
      </c>
      <c r="B899" s="691" t="s">
        <v>115</v>
      </c>
      <c r="C899" s="692">
        <v>4026.9650000000001</v>
      </c>
      <c r="D899" s="692">
        <v>4448.8360000000002</v>
      </c>
      <c r="E899" s="3813">
        <v>9.0200000000000002E-2</v>
      </c>
      <c r="F899" s="3816">
        <v>3.5000000000000003E-2</v>
      </c>
      <c r="G899" s="78"/>
      <c r="J899" s="31"/>
    </row>
    <row r="900" spans="1:10" hidden="1" outlineLevel="1" x14ac:dyDescent="0.25">
      <c r="A900" s="754" t="s">
        <v>3415</v>
      </c>
      <c r="B900" s="695" t="s">
        <v>760</v>
      </c>
      <c r="C900" s="696">
        <v>1411.3920000000001</v>
      </c>
      <c r="D900" s="696">
        <v>1516.3</v>
      </c>
      <c r="E900" s="3814"/>
      <c r="F900" s="3817"/>
      <c r="G900" s="78"/>
      <c r="J900" s="31"/>
    </row>
    <row r="901" spans="1:10" hidden="1" outlineLevel="1" x14ac:dyDescent="0.25">
      <c r="A901" s="753" t="s">
        <v>3416</v>
      </c>
      <c r="B901" s="691" t="s">
        <v>115</v>
      </c>
      <c r="C901" s="692">
        <v>4448.8360000000002</v>
      </c>
      <c r="D901" s="691">
        <v>4412.2120000000004</v>
      </c>
      <c r="E901" s="3813">
        <v>-1.35E-2</v>
      </c>
      <c r="F901" s="3816">
        <v>-1.35E-2</v>
      </c>
      <c r="G901" s="78"/>
      <c r="J901" s="31"/>
    </row>
    <row r="902" spans="1:10" hidden="1" outlineLevel="1" x14ac:dyDescent="0.25">
      <c r="A902" s="754" t="s">
        <v>3416</v>
      </c>
      <c r="B902" s="695" t="s">
        <v>760</v>
      </c>
      <c r="C902" s="696">
        <v>1516.3</v>
      </c>
      <c r="D902" s="797">
        <v>1486.8779999999999</v>
      </c>
      <c r="E902" s="3814"/>
      <c r="F902" s="3817"/>
      <c r="G902" s="78"/>
      <c r="J902" s="31"/>
    </row>
    <row r="903" spans="1:10" hidden="1" outlineLevel="1" x14ac:dyDescent="0.25">
      <c r="A903" s="753" t="s">
        <v>3417</v>
      </c>
      <c r="B903" s="691" t="s">
        <v>115</v>
      </c>
      <c r="C903" s="691">
        <v>4412.2120000000004</v>
      </c>
      <c r="D903" s="692">
        <v>3622.3110000000001</v>
      </c>
      <c r="E903" s="3813">
        <v>-0.13320000000000001</v>
      </c>
      <c r="F903" s="3816">
        <v>-0.03</v>
      </c>
      <c r="G903" s="78"/>
      <c r="J903" s="31"/>
    </row>
    <row r="904" spans="1:10" hidden="1" outlineLevel="1" x14ac:dyDescent="0.25">
      <c r="A904" s="754" t="s">
        <v>3417</v>
      </c>
      <c r="B904" s="695" t="s">
        <v>760</v>
      </c>
      <c r="C904" s="797">
        <v>1486.8779999999999</v>
      </c>
      <c r="D904" s="696">
        <v>1366.0840000000001</v>
      </c>
      <c r="E904" s="3814"/>
      <c r="F904" s="3817"/>
      <c r="G904" s="78"/>
      <c r="J904" s="31"/>
    </row>
    <row r="905" spans="1:10" hidden="1" outlineLevel="1" x14ac:dyDescent="0.25">
      <c r="A905" s="753" t="s">
        <v>3418</v>
      </c>
      <c r="B905" s="691" t="s">
        <v>115</v>
      </c>
      <c r="C905" s="692">
        <v>3622.3110000000001</v>
      </c>
      <c r="D905" s="692">
        <v>2396.2800000000002</v>
      </c>
      <c r="E905" s="3813">
        <v>-0.35039999999999999</v>
      </c>
      <c r="F905" s="3816">
        <v>-0.03</v>
      </c>
      <c r="G905" s="78"/>
      <c r="J905" s="31"/>
    </row>
    <row r="906" spans="1:10" hidden="1" outlineLevel="1" x14ac:dyDescent="0.25">
      <c r="A906" s="754" t="s">
        <v>3418</v>
      </c>
      <c r="B906" s="695" t="s">
        <v>760</v>
      </c>
      <c r="C906" s="696">
        <v>1366.0840000000001</v>
      </c>
      <c r="D906" s="696">
        <v>870.798</v>
      </c>
      <c r="E906" s="3814"/>
      <c r="F906" s="3817"/>
      <c r="G906" s="78"/>
      <c r="J906" s="31"/>
    </row>
    <row r="907" spans="1:10" hidden="1" outlineLevel="1" x14ac:dyDescent="0.25">
      <c r="A907" s="753" t="s">
        <v>1421</v>
      </c>
      <c r="B907" s="691" t="s">
        <v>115</v>
      </c>
      <c r="C907" s="692">
        <v>2396.2800000000002</v>
      </c>
      <c r="D907" s="692">
        <v>2502.54</v>
      </c>
      <c r="E907" s="3813">
        <v>6.2199999999999998E-2</v>
      </c>
      <c r="F907" s="3816">
        <v>3.5000000000000003E-2</v>
      </c>
      <c r="G907" s="78"/>
      <c r="J907" s="31"/>
    </row>
    <row r="908" spans="1:10" hidden="1" outlineLevel="1" x14ac:dyDescent="0.25">
      <c r="A908" s="754" t="s">
        <v>1421</v>
      </c>
      <c r="B908" s="695" t="s">
        <v>760</v>
      </c>
      <c r="C908" s="696">
        <v>870.798</v>
      </c>
      <c r="D908" s="696">
        <v>941.37400000000002</v>
      </c>
      <c r="E908" s="3814"/>
      <c r="F908" s="3817"/>
      <c r="G908" s="78"/>
      <c r="J908" s="31"/>
    </row>
    <row r="909" spans="1:10" hidden="1" outlineLevel="1" x14ac:dyDescent="0.25">
      <c r="A909" s="753" t="s">
        <v>1422</v>
      </c>
      <c r="B909" s="691" t="s">
        <v>115</v>
      </c>
      <c r="C909" s="692">
        <v>2502.54</v>
      </c>
      <c r="D909" s="692">
        <v>2869.8270000000002</v>
      </c>
      <c r="E909" s="3813">
        <v>0.1595</v>
      </c>
      <c r="F909" s="3816">
        <v>3.5000000000000003E-2</v>
      </c>
      <c r="G909" s="78"/>
      <c r="J909" s="31"/>
    </row>
    <row r="910" spans="1:10" hidden="1" outlineLevel="1" x14ac:dyDescent="0.25">
      <c r="A910" s="754" t="s">
        <v>1422</v>
      </c>
      <c r="B910" s="695" t="s">
        <v>760</v>
      </c>
      <c r="C910" s="696">
        <v>941.37400000000002</v>
      </c>
      <c r="D910" s="696">
        <v>1103.8009999999999</v>
      </c>
      <c r="E910" s="3814"/>
      <c r="F910" s="3817"/>
      <c r="G910" s="78"/>
      <c r="J910" s="31"/>
    </row>
    <row r="911" spans="1:10" hidden="1" outlineLevel="1" x14ac:dyDescent="0.25">
      <c r="A911" s="753" t="s">
        <v>2683</v>
      </c>
      <c r="B911" s="691" t="s">
        <v>115</v>
      </c>
      <c r="C911" s="691">
        <v>2869.83</v>
      </c>
      <c r="D911" s="692">
        <v>2592.431</v>
      </c>
      <c r="E911" s="3813">
        <v>-6.0199999999999997E-2</v>
      </c>
      <c r="F911" s="3816">
        <v>-0.03</v>
      </c>
      <c r="G911" s="78"/>
      <c r="J911" s="31"/>
    </row>
    <row r="912" spans="1:10" hidden="1" outlineLevel="1" x14ac:dyDescent="0.25">
      <c r="A912" s="754" t="s">
        <v>2683</v>
      </c>
      <c r="B912" s="695" t="s">
        <v>760</v>
      </c>
      <c r="C912" s="696">
        <v>1103.8</v>
      </c>
      <c r="D912" s="696">
        <v>1077.3030000000001</v>
      </c>
      <c r="E912" s="3814"/>
      <c r="F912" s="3817"/>
      <c r="G912" s="78"/>
      <c r="J912" s="31"/>
    </row>
    <row r="913" spans="1:14" hidden="1" outlineLevel="1" x14ac:dyDescent="0.25">
      <c r="A913" s="846" t="s">
        <v>3459</v>
      </c>
      <c r="B913" s="691" t="s">
        <v>115</v>
      </c>
      <c r="C913" s="692">
        <v>2592.431</v>
      </c>
      <c r="D913" s="692">
        <v>2807.4580000000001</v>
      </c>
      <c r="E913" s="3813">
        <v>0.11269999999999999</v>
      </c>
      <c r="F913" s="3816">
        <v>3.5000000000000003E-2</v>
      </c>
      <c r="G913" s="78"/>
      <c r="J913" s="31"/>
    </row>
    <row r="914" spans="1:14" hidden="1" outlineLevel="1" x14ac:dyDescent="0.25">
      <c r="A914" s="846" t="s">
        <v>3459</v>
      </c>
      <c r="B914" s="726" t="s">
        <v>760</v>
      </c>
      <c r="C914" s="696">
        <v>1077.3030000000001</v>
      </c>
      <c r="D914" s="726">
        <v>1228.2909999999999</v>
      </c>
      <c r="E914" s="3814"/>
      <c r="F914" s="3817"/>
      <c r="G914" s="78"/>
      <c r="J914" s="31"/>
    </row>
    <row r="915" spans="1:14" collapsed="1" x14ac:dyDescent="0.25">
      <c r="A915" s="3801" t="s">
        <v>4497</v>
      </c>
      <c r="B915" s="3802"/>
      <c r="C915" s="3802"/>
      <c r="D915" s="3802"/>
      <c r="E915" s="782" t="s">
        <v>2722</v>
      </c>
      <c r="F915" s="752">
        <f>MAX(SUM(F893:F913),8%)</f>
        <v>0.10610000000000003</v>
      </c>
      <c r="G915" s="97" t="s">
        <v>781</v>
      </c>
      <c r="J915" s="31"/>
    </row>
    <row r="916" spans="1:14" x14ac:dyDescent="0.25">
      <c r="A916" s="1"/>
      <c r="B916" s="1"/>
      <c r="C916" s="1"/>
      <c r="D916" s="1"/>
      <c r="E916" s="1"/>
      <c r="F916" s="1848"/>
      <c r="G916" s="78"/>
      <c r="J916" s="31"/>
    </row>
    <row r="917" spans="1:14" hidden="1" outlineLevel="1" x14ac:dyDescent="0.25">
      <c r="A917" s="689" t="s">
        <v>113</v>
      </c>
      <c r="B917" s="689" t="s">
        <v>114</v>
      </c>
      <c r="C917" s="689" t="s">
        <v>112</v>
      </c>
      <c r="D917" s="689" t="s">
        <v>116</v>
      </c>
      <c r="E917" s="689" t="s">
        <v>117</v>
      </c>
      <c r="F917" s="1188" t="s">
        <v>121</v>
      </c>
      <c r="G917" s="78"/>
      <c r="J917" s="31"/>
    </row>
    <row r="918" spans="1:14" hidden="1" outlineLevel="1" x14ac:dyDescent="0.25">
      <c r="A918" s="690">
        <v>1</v>
      </c>
      <c r="B918" s="691" t="s">
        <v>252</v>
      </c>
      <c r="C918" s="692"/>
      <c r="D918" s="692"/>
      <c r="E918" s="693"/>
      <c r="F918" s="694"/>
      <c r="G918" s="78"/>
      <c r="J918" s="31"/>
    </row>
    <row r="919" spans="1:14" hidden="1" outlineLevel="1" x14ac:dyDescent="0.25">
      <c r="A919" s="695"/>
      <c r="B919" s="695"/>
      <c r="C919" s="696"/>
      <c r="D919" s="697" t="s">
        <v>3702</v>
      </c>
      <c r="E919" s="698">
        <f>indexy!B2</f>
        <v>45379</v>
      </c>
      <c r="F919" s="699"/>
      <c r="G919" s="78"/>
      <c r="J919" s="31"/>
    </row>
    <row r="920" spans="1:14" hidden="1" outlineLevel="1" x14ac:dyDescent="0.25">
      <c r="A920" s="689" t="s">
        <v>4156</v>
      </c>
      <c r="B920" s="689" t="s">
        <v>4153</v>
      </c>
      <c r="C920" s="700" t="s">
        <v>112</v>
      </c>
      <c r="D920" s="495" t="s">
        <v>116</v>
      </c>
      <c r="E920" s="689" t="s">
        <v>4154</v>
      </c>
      <c r="F920" s="1021" t="s">
        <v>2519</v>
      </c>
      <c r="G920" s="78"/>
      <c r="J920" s="31"/>
    </row>
    <row r="921" spans="1:14" hidden="1" outlineLevel="1" x14ac:dyDescent="0.25">
      <c r="A921" s="734">
        <v>3.3300000000000003E-2</v>
      </c>
      <c r="B921" s="755" t="s">
        <v>157</v>
      </c>
      <c r="C921" s="847">
        <v>6.7869000000000002</v>
      </c>
      <c r="D921" s="848">
        <v>11.5435</v>
      </c>
      <c r="E921" s="838">
        <f t="shared" ref="E921:E950" si="17">D921/C921-1</f>
        <v>0.70085016723393601</v>
      </c>
      <c r="F921" s="1021">
        <f>IF(E921&gt;0,25%,E921)*A921</f>
        <v>8.3250000000000008E-3</v>
      </c>
      <c r="G921" s="78"/>
      <c r="H921" t="s">
        <v>730</v>
      </c>
      <c r="I921" s="300"/>
      <c r="J921" s="301"/>
      <c r="K921" s="302"/>
      <c r="L921" s="21"/>
      <c r="M921" s="21"/>
      <c r="N921" s="21"/>
    </row>
    <row r="922" spans="1:14" hidden="1" outlineLevel="1" x14ac:dyDescent="0.25">
      <c r="A922" s="849">
        <v>3.3300000000000003E-2</v>
      </c>
      <c r="B922" s="740" t="s">
        <v>3404</v>
      </c>
      <c r="C922" s="850">
        <v>27.300899999999999</v>
      </c>
      <c r="D922" s="851">
        <v>13.462999999999999</v>
      </c>
      <c r="E922" s="838">
        <f t="shared" si="17"/>
        <v>-0.50686607401221206</v>
      </c>
      <c r="F922" s="946">
        <f t="shared" ref="F922:F950" si="18">IF(E922&gt;0,25%,E922)*A922</f>
        <v>-1.6878640264606663E-2</v>
      </c>
      <c r="G922" s="78"/>
      <c r="H922" t="s">
        <v>3815</v>
      </c>
      <c r="I922" s="300"/>
      <c r="J922" s="301"/>
      <c r="K922" s="302"/>
      <c r="L922" s="21"/>
      <c r="M922" s="21"/>
      <c r="N922" s="21"/>
    </row>
    <row r="923" spans="1:14" hidden="1" outlineLevel="1" x14ac:dyDescent="0.25">
      <c r="A923" s="849">
        <v>3.3300000000000003E-2</v>
      </c>
      <c r="B923" s="740" t="s">
        <v>1141</v>
      </c>
      <c r="C923" s="850">
        <v>36.751600000000003</v>
      </c>
      <c r="D923" s="851">
        <v>32.022000000000006</v>
      </c>
      <c r="E923" s="838">
        <f>D923/C923-1</f>
        <v>-0.1286909957661706</v>
      </c>
      <c r="F923" s="946">
        <f t="shared" si="18"/>
        <v>-4.2854101590134811E-3</v>
      </c>
      <c r="G923" s="78"/>
      <c r="H923" t="s">
        <v>666</v>
      </c>
      <c r="I923" s="300"/>
      <c r="J923" s="301"/>
      <c r="K923" s="302"/>
      <c r="L923" s="300"/>
      <c r="M923" s="21"/>
      <c r="N923" s="21"/>
    </row>
    <row r="924" spans="1:14" hidden="1" outlineLevel="1" x14ac:dyDescent="0.25">
      <c r="A924" s="849">
        <v>3.3300000000000003E-2</v>
      </c>
      <c r="B924" s="740" t="s">
        <v>3405</v>
      </c>
      <c r="C924" s="850">
        <v>40.259099999999997</v>
      </c>
      <c r="D924" s="851">
        <v>33.126999999999995</v>
      </c>
      <c r="E924" s="838">
        <f t="shared" si="17"/>
        <v>-0.17715497862595042</v>
      </c>
      <c r="F924" s="946">
        <f t="shared" si="18"/>
        <v>-5.8992607882441496E-3</v>
      </c>
      <c r="G924" s="78"/>
      <c r="H924" t="s">
        <v>2747</v>
      </c>
      <c r="I924" s="300"/>
      <c r="J924" s="301"/>
      <c r="K924" s="302"/>
      <c r="L924" s="300"/>
      <c r="M924" s="21"/>
      <c r="N924" s="21"/>
    </row>
    <row r="925" spans="1:14" hidden="1" outlineLevel="1" x14ac:dyDescent="0.25">
      <c r="A925" s="849">
        <v>3.3300000000000003E-2</v>
      </c>
      <c r="B925" s="740" t="s">
        <v>51</v>
      </c>
      <c r="C925" s="850">
        <v>42.3386</v>
      </c>
      <c r="D925" s="851">
        <v>38.116500000000002</v>
      </c>
      <c r="E925" s="838">
        <f t="shared" si="17"/>
        <v>-9.9722239280467417E-2</v>
      </c>
      <c r="F925" s="946">
        <f t="shared" si="18"/>
        <v>-3.3207505680395654E-3</v>
      </c>
      <c r="G925" s="78"/>
      <c r="H925" t="s">
        <v>2748</v>
      </c>
      <c r="I925" s="300"/>
      <c r="J925" s="301"/>
      <c r="K925" s="302"/>
      <c r="L925" s="12"/>
      <c r="M925" s="21"/>
      <c r="N925" s="12"/>
    </row>
    <row r="926" spans="1:14" s="39" customFormat="1" hidden="1" outlineLevel="1" x14ac:dyDescent="0.25">
      <c r="A926" s="849">
        <v>3.3300000000000003E-2</v>
      </c>
      <c r="B926" s="740" t="s">
        <v>3406</v>
      </c>
      <c r="C926" s="850">
        <v>803.45</v>
      </c>
      <c r="D926" s="852">
        <v>1046.2</v>
      </c>
      <c r="E926" s="838">
        <f t="shared" si="17"/>
        <v>0.30213454477565493</v>
      </c>
      <c r="F926" s="946">
        <f t="shared" si="18"/>
        <v>8.3250000000000008E-3</v>
      </c>
      <c r="G926" s="78"/>
      <c r="H926" t="s">
        <v>2105</v>
      </c>
      <c r="I926" s="300"/>
      <c r="J926" s="301"/>
      <c r="K926" s="302"/>
      <c r="L926" s="12"/>
      <c r="M926" s="12"/>
      <c r="N926" s="12"/>
    </row>
    <row r="927" spans="1:14" s="39" customFormat="1" hidden="1" outlineLevel="1" x14ac:dyDescent="0.25">
      <c r="A927" s="849">
        <v>3.3300000000000003E-2</v>
      </c>
      <c r="B927" s="740" t="s">
        <v>4387</v>
      </c>
      <c r="C927" s="850">
        <v>22.800799999999999</v>
      </c>
      <c r="D927" s="852">
        <v>27.401</v>
      </c>
      <c r="E927" s="838">
        <f t="shared" si="17"/>
        <v>0.20175607873407952</v>
      </c>
      <c r="F927" s="946">
        <f t="shared" si="18"/>
        <v>8.3250000000000008E-3</v>
      </c>
      <c r="G927" s="78"/>
      <c r="H927" t="s">
        <v>3744</v>
      </c>
      <c r="I927" s="300"/>
      <c r="J927" s="301"/>
      <c r="K927" s="302"/>
      <c r="L927" s="12"/>
      <c r="M927" s="12"/>
      <c r="N927" s="12"/>
    </row>
    <row r="928" spans="1:14" s="39" customFormat="1" hidden="1" outlineLevel="1" x14ac:dyDescent="0.25">
      <c r="A928" s="849">
        <v>3.3300000000000003E-2</v>
      </c>
      <c r="B928" s="740" t="s">
        <v>3407</v>
      </c>
      <c r="C928" s="850">
        <v>36.618699999999997</v>
      </c>
      <c r="D928" s="852">
        <v>15.937999999999997</v>
      </c>
      <c r="E928" s="838">
        <f t="shared" si="17"/>
        <v>-0.56475789692151834</v>
      </c>
      <c r="F928" s="946">
        <f t="shared" si="18"/>
        <v>-1.8806437967486562E-2</v>
      </c>
      <c r="G928" s="78"/>
      <c r="H928" t="s">
        <v>4127</v>
      </c>
      <c r="I928" s="300"/>
      <c r="J928" s="301"/>
      <c r="K928" s="302"/>
      <c r="L928" s="12"/>
      <c r="M928" s="12"/>
      <c r="N928" s="12"/>
    </row>
    <row r="929" spans="1:14" s="39" customFormat="1" hidden="1" outlineLevel="1" x14ac:dyDescent="0.25">
      <c r="A929" s="849">
        <v>3.3300000000000003E-2</v>
      </c>
      <c r="B929" s="740" t="s">
        <v>1376</v>
      </c>
      <c r="C929" s="850">
        <v>32.799500000000002</v>
      </c>
      <c r="D929" s="852">
        <v>0.59289999999999998</v>
      </c>
      <c r="E929" s="838">
        <f t="shared" si="17"/>
        <v>-0.98192350493147762</v>
      </c>
      <c r="F929" s="946">
        <f t="shared" si="18"/>
        <v>-3.2698052714218211E-2</v>
      </c>
      <c r="G929" s="78"/>
      <c r="H929" t="s">
        <v>1215</v>
      </c>
      <c r="I929" s="300"/>
      <c r="J929" s="301"/>
      <c r="K929" s="302"/>
      <c r="L929" s="12"/>
      <c r="M929" s="12"/>
      <c r="N929" s="12"/>
    </row>
    <row r="930" spans="1:14" s="39" customFormat="1" hidden="1" outlineLevel="1" x14ac:dyDescent="0.25">
      <c r="A930" s="849">
        <v>3.3300000000000003E-2</v>
      </c>
      <c r="B930" s="740" t="s">
        <v>1377</v>
      </c>
      <c r="C930" s="850">
        <v>23.057200000000002</v>
      </c>
      <c r="D930" s="852">
        <v>49.629000000000005</v>
      </c>
      <c r="E930" s="838">
        <f t="shared" si="17"/>
        <v>1.1524296098398765</v>
      </c>
      <c r="F930" s="946">
        <f t="shared" si="18"/>
        <v>8.3250000000000008E-3</v>
      </c>
      <c r="G930" s="78"/>
      <c r="H930" t="s">
        <v>4129</v>
      </c>
      <c r="I930" s="300"/>
      <c r="J930" s="301"/>
      <c r="K930" s="302"/>
      <c r="L930" s="12"/>
      <c r="M930" s="12"/>
      <c r="N930" s="12"/>
    </row>
    <row r="931" spans="1:14" s="39" customFormat="1" hidden="1" outlineLevel="1" x14ac:dyDescent="0.25">
      <c r="A931" s="849">
        <v>3.3300000000000003E-2</v>
      </c>
      <c r="B931" s="740" t="s">
        <v>52</v>
      </c>
      <c r="C931" s="850">
        <v>75.317400000000006</v>
      </c>
      <c r="D931" s="852">
        <v>128.113</v>
      </c>
      <c r="E931" s="838">
        <f t="shared" si="17"/>
        <v>0.70097480794610534</v>
      </c>
      <c r="F931" s="946">
        <f t="shared" si="18"/>
        <v>8.3250000000000008E-3</v>
      </c>
      <c r="G931" s="78"/>
      <c r="H931" t="s">
        <v>4130</v>
      </c>
      <c r="I931" s="300"/>
      <c r="J931" s="301"/>
      <c r="K931" s="302"/>
      <c r="L931" s="12"/>
      <c r="M931" s="12"/>
      <c r="N931" s="12"/>
    </row>
    <row r="932" spans="1:14" s="39" customFormat="1" hidden="1" outlineLevel="1" x14ac:dyDescent="0.25">
      <c r="A932" s="849">
        <v>3.3300000000000003E-2</v>
      </c>
      <c r="B932" s="740" t="s">
        <v>3426</v>
      </c>
      <c r="C932" s="850">
        <v>66.467100000000002</v>
      </c>
      <c r="D932" s="852">
        <v>64.349000000000018</v>
      </c>
      <c r="E932" s="838">
        <f t="shared" si="17"/>
        <v>-3.1866893545829167E-2</v>
      </c>
      <c r="F932" s="946">
        <f t="shared" si="18"/>
        <v>-1.0611675550761114E-3</v>
      </c>
      <c r="G932" s="78"/>
      <c r="H932" t="s">
        <v>4145</v>
      </c>
      <c r="I932" s="300"/>
      <c r="J932" s="301"/>
      <c r="K932" s="302"/>
      <c r="L932" s="12"/>
      <c r="M932" s="12"/>
      <c r="N932" s="12"/>
    </row>
    <row r="933" spans="1:14" s="39" customFormat="1" hidden="1" outlineLevel="1" x14ac:dyDescent="0.25">
      <c r="A933" s="849">
        <v>3.3300000000000003E-2</v>
      </c>
      <c r="B933" s="853" t="s">
        <v>2786</v>
      </c>
      <c r="C933" s="850">
        <v>536.74</v>
      </c>
      <c r="D933" s="852">
        <v>648.20000000000005</v>
      </c>
      <c r="E933" s="838">
        <f t="shared" si="17"/>
        <v>0.20766106494764691</v>
      </c>
      <c r="F933" s="946">
        <f t="shared" si="18"/>
        <v>8.3250000000000008E-3</v>
      </c>
      <c r="G933" s="78"/>
      <c r="H933" t="s">
        <v>4195</v>
      </c>
      <c r="I933" s="300"/>
      <c r="J933" s="301"/>
      <c r="K933" s="302"/>
      <c r="L933" s="12"/>
      <c r="M933" s="12"/>
      <c r="N933" s="12"/>
    </row>
    <row r="934" spans="1:14" s="39" customFormat="1" hidden="1" outlineLevel="1" x14ac:dyDescent="0.25">
      <c r="A934" s="849">
        <v>3.3300000000000003E-2</v>
      </c>
      <c r="B934" s="740" t="s">
        <v>1190</v>
      </c>
      <c r="C934" s="850">
        <v>13.959199999999999</v>
      </c>
      <c r="D934" s="852">
        <v>8.6490000000000009</v>
      </c>
      <c r="E934" s="838">
        <f t="shared" si="17"/>
        <v>-0.38040861940512338</v>
      </c>
      <c r="F934" s="946">
        <f t="shared" si="18"/>
        <v>-1.266760702619061E-2</v>
      </c>
      <c r="G934" s="78"/>
      <c r="H934" t="s">
        <v>7569</v>
      </c>
      <c r="I934" s="300"/>
      <c r="J934" s="301"/>
      <c r="K934" s="302"/>
      <c r="L934" s="12"/>
      <c r="M934" s="12"/>
      <c r="N934" s="12"/>
    </row>
    <row r="935" spans="1:14" s="39" customFormat="1" hidden="1" outlineLevel="1" x14ac:dyDescent="0.25">
      <c r="A935" s="849">
        <v>3.3300000000000003E-2</v>
      </c>
      <c r="B935" s="740" t="s">
        <v>1203</v>
      </c>
      <c r="C935" s="850">
        <v>54.496899999999997</v>
      </c>
      <c r="D935" s="852">
        <v>73.89</v>
      </c>
      <c r="E935" s="838">
        <f t="shared" si="17"/>
        <v>0.35585693865155643</v>
      </c>
      <c r="F935" s="946">
        <f t="shared" si="18"/>
        <v>8.3250000000000008E-3</v>
      </c>
      <c r="G935" s="78"/>
      <c r="H935" t="s">
        <v>79</v>
      </c>
      <c r="I935" s="300"/>
      <c r="J935" s="301"/>
      <c r="K935" s="302"/>
      <c r="L935" s="12"/>
      <c r="M935" s="12"/>
      <c r="N935" s="12"/>
    </row>
    <row r="936" spans="1:14" s="39" customFormat="1" hidden="1" outlineLevel="1" x14ac:dyDescent="0.25">
      <c r="A936" s="849">
        <v>3.3300000000000003E-2</v>
      </c>
      <c r="B936" s="853" t="s">
        <v>2787</v>
      </c>
      <c r="C936" s="850">
        <v>61.594000000000001</v>
      </c>
      <c r="D936" s="852">
        <v>56.24</v>
      </c>
      <c r="E936" s="838">
        <f t="shared" si="17"/>
        <v>-8.692405104393286E-2</v>
      </c>
      <c r="F936" s="946">
        <f t="shared" si="18"/>
        <v>-2.8945708997629646E-3</v>
      </c>
      <c r="G936" s="78"/>
      <c r="H936" t="s">
        <v>80</v>
      </c>
      <c r="I936" s="300"/>
      <c r="J936" s="301"/>
      <c r="K936" s="302"/>
      <c r="L936" s="12"/>
      <c r="M936" s="12"/>
      <c r="N936" s="12"/>
    </row>
    <row r="937" spans="1:14" s="39" customFormat="1" hidden="1" outlineLevel="1" x14ac:dyDescent="0.25">
      <c r="A937" s="849">
        <v>3.3300000000000003E-2</v>
      </c>
      <c r="B937" s="853" t="s">
        <v>1002</v>
      </c>
      <c r="C937" s="850">
        <v>12.634499999999999</v>
      </c>
      <c r="D937" s="852">
        <v>22.559000000000001</v>
      </c>
      <c r="E937" s="838">
        <f t="shared" si="17"/>
        <v>0.78550793462345192</v>
      </c>
      <c r="F937" s="946">
        <f t="shared" si="18"/>
        <v>8.3250000000000008E-3</v>
      </c>
      <c r="G937" s="78"/>
      <c r="H937" t="s">
        <v>6557</v>
      </c>
      <c r="I937" s="300"/>
      <c r="J937" s="301"/>
      <c r="K937" s="302"/>
      <c r="L937" s="12"/>
      <c r="M937" s="12"/>
      <c r="N937" s="12"/>
    </row>
    <row r="938" spans="1:14" s="39" customFormat="1" hidden="1" outlineLevel="1" x14ac:dyDescent="0.25">
      <c r="A938" s="849">
        <v>3.3300000000000003E-2</v>
      </c>
      <c r="B938" s="740" t="s">
        <v>1204</v>
      </c>
      <c r="C938" s="850">
        <v>55.744799999999998</v>
      </c>
      <c r="D938" s="852">
        <v>62.773000000000003</v>
      </c>
      <c r="E938" s="838">
        <f t="shared" si="17"/>
        <v>0.12607812746659786</v>
      </c>
      <c r="F938" s="946">
        <f t="shared" si="18"/>
        <v>8.3250000000000008E-3</v>
      </c>
      <c r="G938" s="78"/>
      <c r="H938" t="s">
        <v>2427</v>
      </c>
      <c r="I938" s="300"/>
      <c r="J938" s="301"/>
      <c r="K938" s="302"/>
      <c r="L938" s="12"/>
      <c r="M938" s="12"/>
      <c r="N938" s="12"/>
    </row>
    <row r="939" spans="1:14" s="39" customFormat="1" hidden="1" outlineLevel="1" x14ac:dyDescent="0.25">
      <c r="A939" s="849">
        <v>3.3300000000000003E-2</v>
      </c>
      <c r="B939" s="740" t="s">
        <v>1414</v>
      </c>
      <c r="C939" s="850">
        <v>27.942299999999999</v>
      </c>
      <c r="D939" s="852">
        <v>18.38</v>
      </c>
      <c r="E939" s="838">
        <f t="shared" si="17"/>
        <v>-0.34221592352812757</v>
      </c>
      <c r="F939" s="946">
        <f t="shared" si="18"/>
        <v>-1.1395790253486649E-2</v>
      </c>
      <c r="G939" s="78"/>
      <c r="H939" t="s">
        <v>2428</v>
      </c>
      <c r="I939" s="300"/>
      <c r="J939" s="301"/>
      <c r="K939" s="302"/>
      <c r="L939" s="12"/>
      <c r="M939" s="12"/>
      <c r="N939" s="12"/>
    </row>
    <row r="940" spans="1:14" s="39" customFormat="1" hidden="1" outlineLevel="1" x14ac:dyDescent="0.25">
      <c r="A940" s="849">
        <v>3.3300000000000003E-2</v>
      </c>
      <c r="B940" s="740" t="s">
        <v>1205</v>
      </c>
      <c r="C940" s="850">
        <v>21.617599999999999</v>
      </c>
      <c r="D940" s="852">
        <v>19.712499999999999</v>
      </c>
      <c r="E940" s="838">
        <f t="shared" si="17"/>
        <v>-8.8127266671600979E-2</v>
      </c>
      <c r="F940" s="946">
        <f t="shared" si="18"/>
        <v>-2.9346379801643129E-3</v>
      </c>
      <c r="G940" s="78"/>
      <c r="H940" t="s">
        <v>1092</v>
      </c>
      <c r="I940" s="300"/>
      <c r="J940" s="301"/>
      <c r="K940" s="302"/>
      <c r="L940" s="12"/>
      <c r="M940" s="12"/>
      <c r="N940" s="12"/>
    </row>
    <row r="941" spans="1:14" s="39" customFormat="1" hidden="1" outlineLevel="1" x14ac:dyDescent="0.25">
      <c r="A941" s="849">
        <v>3.3300000000000003E-2</v>
      </c>
      <c r="B941" s="853" t="s">
        <v>2587</v>
      </c>
      <c r="C941" s="850">
        <v>470.18</v>
      </c>
      <c r="D941" s="852">
        <v>32.423499999999997</v>
      </c>
      <c r="E941" s="838">
        <f t="shared" si="17"/>
        <v>-0.93104023990812035</v>
      </c>
      <c r="F941" s="946">
        <f t="shared" si="18"/>
        <v>-3.1003639988940412E-2</v>
      </c>
      <c r="G941" s="78"/>
      <c r="H941" t="s">
        <v>2818</v>
      </c>
      <c r="I941" s="300"/>
      <c r="J941" s="301"/>
      <c r="K941" s="302"/>
      <c r="L941" s="12"/>
      <c r="M941" s="12"/>
      <c r="N941" s="21"/>
    </row>
    <row r="942" spans="1:14" hidden="1" outlineLevel="1" x14ac:dyDescent="0.25">
      <c r="A942" s="849">
        <v>3.3300000000000003E-2</v>
      </c>
      <c r="B942" s="740" t="s">
        <v>1187</v>
      </c>
      <c r="C942" s="850">
        <v>72.258399999999995</v>
      </c>
      <c r="D942" s="852">
        <v>52.653999999999996</v>
      </c>
      <c r="E942" s="838">
        <f t="shared" si="17"/>
        <v>-0.27130963320527435</v>
      </c>
      <c r="F942" s="946">
        <f t="shared" si="18"/>
        <v>-9.0346107857356365E-3</v>
      </c>
      <c r="G942" s="78"/>
      <c r="H942" t="s">
        <v>3483</v>
      </c>
      <c r="I942" s="300"/>
      <c r="J942" s="301"/>
      <c r="K942" s="302"/>
      <c r="L942" s="21"/>
      <c r="M942" s="21"/>
      <c r="N942" s="21"/>
    </row>
    <row r="943" spans="1:14" hidden="1" outlineLevel="1" x14ac:dyDescent="0.25">
      <c r="A943" s="849">
        <v>3.3300000000000003E-2</v>
      </c>
      <c r="B943" s="740" t="s">
        <v>1206</v>
      </c>
      <c r="C943" s="850">
        <v>34.2408</v>
      </c>
      <c r="D943" s="852">
        <v>30.848999999999997</v>
      </c>
      <c r="E943" s="838">
        <f t="shared" si="17"/>
        <v>-9.9057265017172602E-2</v>
      </c>
      <c r="F943" s="946">
        <f t="shared" si="18"/>
        <v>-3.2986069250718481E-3</v>
      </c>
      <c r="G943" s="78"/>
      <c r="H943" t="s">
        <v>3484</v>
      </c>
      <c r="I943" s="300"/>
      <c r="J943" s="301"/>
      <c r="K943" s="302"/>
      <c r="L943" s="21"/>
      <c r="M943" s="21"/>
      <c r="N943" s="21"/>
    </row>
    <row r="944" spans="1:14" hidden="1" outlineLevel="1" x14ac:dyDescent="0.25">
      <c r="A944" s="849">
        <v>3.3300000000000003E-2</v>
      </c>
      <c r="B944" s="740" t="s">
        <v>1207</v>
      </c>
      <c r="C944" s="850">
        <v>3918.1172000000001</v>
      </c>
      <c r="D944" s="852">
        <v>2504</v>
      </c>
      <c r="E944" s="838">
        <f t="shared" si="17"/>
        <v>-0.36091753457502496</v>
      </c>
      <c r="F944" s="946">
        <f t="shared" si="18"/>
        <v>-1.2018553901348332E-2</v>
      </c>
      <c r="G944" s="78"/>
      <c r="H944" t="s">
        <v>3487</v>
      </c>
      <c r="I944" s="300"/>
      <c r="J944" s="301"/>
      <c r="K944" s="302"/>
      <c r="L944" s="21"/>
      <c r="M944" s="21"/>
      <c r="N944" s="21"/>
    </row>
    <row r="945" spans="1:14" hidden="1" outlineLevel="1" x14ac:dyDescent="0.25">
      <c r="A945" s="849">
        <v>3.3300000000000003E-2</v>
      </c>
      <c r="B945" s="740" t="s">
        <v>181</v>
      </c>
      <c r="C945" s="850">
        <v>78.317400000000006</v>
      </c>
      <c r="D945" s="852">
        <v>49.353999999999999</v>
      </c>
      <c r="E945" s="838">
        <f t="shared" si="17"/>
        <v>-0.3698207550301722</v>
      </c>
      <c r="F945" s="946">
        <f t="shared" si="18"/>
        <v>-1.2315031142504736E-2</v>
      </c>
      <c r="G945" s="78"/>
      <c r="H945" t="e">
        <v>#N/A</v>
      </c>
      <c r="I945" s="300"/>
      <c r="J945" s="301"/>
      <c r="K945" s="302"/>
      <c r="L945" s="21"/>
      <c r="M945" s="21"/>
      <c r="N945" s="21"/>
    </row>
    <row r="946" spans="1:14" hidden="1" outlineLevel="1" x14ac:dyDescent="0.25">
      <c r="A946" s="849">
        <v>3.3300000000000003E-2</v>
      </c>
      <c r="B946" s="853" t="s">
        <v>1527</v>
      </c>
      <c r="C946" s="850">
        <v>2.5983000000000001</v>
      </c>
      <c r="D946" s="852">
        <v>1.0741999999999998</v>
      </c>
      <c r="E946" s="838">
        <f t="shared" si="17"/>
        <v>-0.58657583804795443</v>
      </c>
      <c r="F946" s="946">
        <f t="shared" si="18"/>
        <v>-1.9532975406996885E-2</v>
      </c>
      <c r="G946" s="78"/>
      <c r="H946" t="s">
        <v>2803</v>
      </c>
      <c r="I946" s="300"/>
      <c r="J946" s="301"/>
      <c r="K946" s="302"/>
      <c r="L946" s="21"/>
      <c r="M946" s="21"/>
      <c r="N946" s="21"/>
    </row>
    <row r="947" spans="1:14" hidden="1" outlineLevel="1" x14ac:dyDescent="0.25">
      <c r="A947" s="849">
        <v>3.3300000000000003E-2</v>
      </c>
      <c r="B947" s="740" t="s">
        <v>577</v>
      </c>
      <c r="C947" s="850">
        <v>13.6275</v>
      </c>
      <c r="D947" s="852">
        <v>19.450999999999997</v>
      </c>
      <c r="E947" s="838">
        <f t="shared" si="17"/>
        <v>0.42733443404879812</v>
      </c>
      <c r="F947" s="946">
        <f t="shared" si="18"/>
        <v>8.3250000000000008E-3</v>
      </c>
      <c r="G947" s="78"/>
      <c r="H947" t="s">
        <v>2804</v>
      </c>
      <c r="I947" s="300"/>
      <c r="J947" s="301"/>
      <c r="K947" s="302"/>
      <c r="L947" s="21"/>
      <c r="M947" s="21"/>
      <c r="N947" s="21"/>
    </row>
    <row r="948" spans="1:14" hidden="1" outlineLevel="1" x14ac:dyDescent="0.25">
      <c r="A948" s="849">
        <v>3.3300000000000003E-2</v>
      </c>
      <c r="B948" s="853" t="s">
        <v>1003</v>
      </c>
      <c r="C948" s="850">
        <v>27.559699999999999</v>
      </c>
      <c r="D948" s="852">
        <v>26.169</v>
      </c>
      <c r="E948" s="838">
        <f t="shared" si="17"/>
        <v>-5.0461362061270609E-2</v>
      </c>
      <c r="F948" s="946">
        <f t="shared" si="18"/>
        <v>-1.6803633566403115E-3</v>
      </c>
      <c r="G948" s="78"/>
      <c r="H948" t="s">
        <v>7121</v>
      </c>
      <c r="I948" s="300"/>
      <c r="J948" s="301"/>
      <c r="K948" s="302"/>
      <c r="L948" s="21"/>
      <c r="M948" s="21"/>
      <c r="N948" s="21"/>
    </row>
    <row r="949" spans="1:14" hidden="1" outlineLevel="1" x14ac:dyDescent="0.25">
      <c r="A949" s="849">
        <v>3.3300000000000003E-2</v>
      </c>
      <c r="B949" s="740" t="s">
        <v>3551</v>
      </c>
      <c r="C949" s="850">
        <v>3861.1734999999999</v>
      </c>
      <c r="D949" s="852">
        <v>3689</v>
      </c>
      <c r="E949" s="838">
        <f t="shared" si="17"/>
        <v>-4.4590977328524573E-2</v>
      </c>
      <c r="F949" s="946">
        <f t="shared" si="18"/>
        <v>-1.4848795450398684E-3</v>
      </c>
      <c r="G949" s="78"/>
      <c r="H949" t="s">
        <v>2806</v>
      </c>
      <c r="I949" s="300"/>
      <c r="J949" s="301"/>
      <c r="K949" s="302"/>
      <c r="L949" s="21"/>
      <c r="M949" s="21"/>
      <c r="N949" s="21"/>
    </row>
    <row r="950" spans="1:14" hidden="1" outlineLevel="1" x14ac:dyDescent="0.25">
      <c r="A950" s="739">
        <v>3.3300000000000003E-2</v>
      </c>
      <c r="B950" s="740" t="s">
        <v>182</v>
      </c>
      <c r="C950" s="850">
        <v>45.732100000000003</v>
      </c>
      <c r="D950" s="801">
        <v>15.97</v>
      </c>
      <c r="E950" s="838">
        <f t="shared" si="17"/>
        <v>-0.65079233186317709</v>
      </c>
      <c r="F950" s="1023">
        <f t="shared" si="18"/>
        <v>-2.1671384651043801E-2</v>
      </c>
      <c r="G950" s="78"/>
      <c r="H950" t="s">
        <v>6686</v>
      </c>
      <c r="I950" s="300"/>
      <c r="J950" s="301"/>
      <c r="K950" s="302"/>
      <c r="L950" s="21"/>
      <c r="M950" s="21"/>
      <c r="N950" s="21"/>
    </row>
    <row r="951" spans="1:14" hidden="1" outlineLevel="1" x14ac:dyDescent="0.25">
      <c r="A951" s="854"/>
      <c r="B951" s="718"/>
      <c r="C951" s="855"/>
      <c r="D951" s="811"/>
      <c r="E951" s="820"/>
      <c r="F951" s="770">
        <f>SUM(F921:F950)</f>
        <v>-0.14163237187961111</v>
      </c>
      <c r="G951" s="78"/>
      <c r="H951" s="39"/>
      <c r="I951" s="21"/>
      <c r="J951" s="84"/>
      <c r="K951" s="21"/>
      <c r="L951" s="21"/>
      <c r="M951" s="21"/>
      <c r="N951" s="21"/>
    </row>
    <row r="952" spans="1:14" collapsed="1" x14ac:dyDescent="0.25">
      <c r="A952" s="3801" t="s">
        <v>1111</v>
      </c>
      <c r="B952" s="3802"/>
      <c r="C952" s="3802"/>
      <c r="D952" s="3802"/>
      <c r="E952" s="821" t="s">
        <v>2722</v>
      </c>
      <c r="F952" s="752">
        <f>MAX(F951,0)</f>
        <v>0</v>
      </c>
      <c r="G952" s="97" t="s">
        <v>781</v>
      </c>
      <c r="J952" s="31"/>
    </row>
    <row r="953" spans="1:14" x14ac:dyDescent="0.25">
      <c r="A953" s="1"/>
      <c r="B953" s="1"/>
      <c r="C953" s="1"/>
      <c r="D953" s="1"/>
      <c r="E953" s="1"/>
      <c r="F953" s="1848"/>
      <c r="G953" s="78"/>
      <c r="J953" s="31"/>
    </row>
    <row r="954" spans="1:14" hidden="1" outlineLevel="1" x14ac:dyDescent="0.25">
      <c r="A954" s="689" t="s">
        <v>113</v>
      </c>
      <c r="B954" s="689" t="s">
        <v>114</v>
      </c>
      <c r="C954" s="689" t="s">
        <v>112</v>
      </c>
      <c r="D954" s="689" t="s">
        <v>116</v>
      </c>
      <c r="E954" s="689" t="s">
        <v>117</v>
      </c>
      <c r="F954" s="1188" t="s">
        <v>121</v>
      </c>
      <c r="G954" s="78"/>
      <c r="J954" s="31"/>
    </row>
    <row r="955" spans="1:14" hidden="1" outlineLevel="1" x14ac:dyDescent="0.25">
      <c r="A955" s="690">
        <v>1</v>
      </c>
      <c r="B955" s="691" t="s">
        <v>252</v>
      </c>
      <c r="C955" s="692"/>
      <c r="D955" s="692"/>
      <c r="E955" s="693"/>
      <c r="F955" s="694"/>
      <c r="G955" s="78"/>
      <c r="J955" s="31"/>
    </row>
    <row r="956" spans="1:14" hidden="1" outlineLevel="1" x14ac:dyDescent="0.25">
      <c r="A956" s="695"/>
      <c r="B956" s="695"/>
      <c r="C956" s="696"/>
      <c r="D956" s="697" t="s">
        <v>3702</v>
      </c>
      <c r="E956" s="698">
        <v>41060</v>
      </c>
      <c r="F956" s="856"/>
      <c r="G956" s="78"/>
      <c r="J956" s="31"/>
    </row>
    <row r="957" spans="1:14" hidden="1" outlineLevel="1" x14ac:dyDescent="0.25">
      <c r="A957" s="689" t="s">
        <v>4156</v>
      </c>
      <c r="B957" s="689" t="s">
        <v>4153</v>
      </c>
      <c r="C957" s="700" t="s">
        <v>112</v>
      </c>
      <c r="D957" s="689" t="s">
        <v>4155</v>
      </c>
      <c r="E957" s="689" t="s">
        <v>4154</v>
      </c>
      <c r="F957" s="1021" t="s">
        <v>1332</v>
      </c>
      <c r="G957" s="78"/>
      <c r="J957" s="31"/>
      <c r="K957" s="31"/>
    </row>
    <row r="958" spans="1:14" hidden="1" outlineLevel="1" x14ac:dyDescent="0.25">
      <c r="A958" s="734">
        <v>0.05</v>
      </c>
      <c r="B958" s="755" t="s">
        <v>577</v>
      </c>
      <c r="C958" s="807">
        <v>13.73</v>
      </c>
      <c r="D958" s="737">
        <v>8.9369999999999994</v>
      </c>
      <c r="E958" s="817">
        <v>-0.34908958485069197</v>
      </c>
      <c r="F958" s="1021" t="s">
        <v>2024</v>
      </c>
      <c r="G958" s="78"/>
      <c r="H958" t="str">
        <f>VLOOKUP(B958,indexy!$A$44:$D$157,3,FALSE)</f>
        <v>TEF SQ Equity</v>
      </c>
      <c r="J958" s="31"/>
      <c r="K958" s="31"/>
    </row>
    <row r="959" spans="1:14" hidden="1" outlineLevel="1" x14ac:dyDescent="0.25">
      <c r="A959" s="739">
        <v>0.05</v>
      </c>
      <c r="B959" s="740" t="s">
        <v>1414</v>
      </c>
      <c r="C959" s="809">
        <v>28.167000000000002</v>
      </c>
      <c r="D959" s="737">
        <v>21.87</v>
      </c>
      <c r="E959" s="857">
        <v>-0.223559484503142</v>
      </c>
      <c r="F959" s="1075" t="s">
        <v>2024</v>
      </c>
      <c r="G959" s="78"/>
      <c r="H959" t="str">
        <f>VLOOKUP(B959,indexy!$A$44:$D$157,3,FALSE)</f>
        <v>PFE UN Equity</v>
      </c>
      <c r="J959" s="31"/>
      <c r="K959" s="31"/>
    </row>
    <row r="960" spans="1:14" hidden="1" outlineLevel="1" x14ac:dyDescent="0.25">
      <c r="A960" s="739">
        <v>0.05</v>
      </c>
      <c r="B960" s="740" t="s">
        <v>507</v>
      </c>
      <c r="C960" s="809">
        <v>18.148333333333333</v>
      </c>
      <c r="D960" s="737">
        <v>25.445</v>
      </c>
      <c r="E960" s="857">
        <v>0.40205712186610332</v>
      </c>
      <c r="F960" s="946" t="s">
        <v>2024</v>
      </c>
      <c r="G960" s="78"/>
      <c r="H960" t="str">
        <f>VLOOKUP(B960,indexy!$A$44:$D$157,3,FALSE)</f>
        <v>UNA NA Equity</v>
      </c>
      <c r="J960" s="31"/>
      <c r="K960" s="31"/>
    </row>
    <row r="961" spans="1:14" hidden="1" outlineLevel="1" x14ac:dyDescent="0.25">
      <c r="A961" s="756">
        <v>0.05</v>
      </c>
      <c r="B961" s="761" t="s">
        <v>1176</v>
      </c>
      <c r="C961" s="808">
        <v>22.655999999999999</v>
      </c>
      <c r="D961" s="759">
        <v>1.2789999999999999</v>
      </c>
      <c r="E961" s="858">
        <v>-0.94354696327683618</v>
      </c>
      <c r="F961" s="1850" t="s">
        <v>2025</v>
      </c>
      <c r="G961" s="78"/>
      <c r="H961" t="str">
        <f>VLOOKUP(B961,indexy!$A$44:$D$157,3,FALSE)</f>
        <v>AGS BB Equity</v>
      </c>
      <c r="J961" s="31"/>
      <c r="K961" s="31"/>
      <c r="L961" s="39"/>
      <c r="M961" s="39"/>
      <c r="N961" s="39"/>
    </row>
    <row r="962" spans="1:14" s="39" customFormat="1" hidden="1" outlineLevel="1" x14ac:dyDescent="0.25">
      <c r="A962" s="739">
        <v>0.05</v>
      </c>
      <c r="B962" s="743" t="s">
        <v>51</v>
      </c>
      <c r="C962" s="809">
        <v>46.639000000000003</v>
      </c>
      <c r="D962" s="737">
        <v>28.62</v>
      </c>
      <c r="E962" s="857">
        <v>-0.38635047921267607</v>
      </c>
      <c r="F962" s="946" t="s">
        <v>2024</v>
      </c>
      <c r="G962" s="12"/>
      <c r="H962" t="str">
        <f>VLOOKUP(B962,indexy!$A$44:$D$157,3,FALSE)</f>
        <v>SGO FP Equity</v>
      </c>
      <c r="I962"/>
      <c r="J962" s="44"/>
      <c r="K962" s="31"/>
    </row>
    <row r="963" spans="1:14" s="39" customFormat="1" hidden="1" outlineLevel="1" x14ac:dyDescent="0.25">
      <c r="A963" s="739">
        <v>0.05</v>
      </c>
      <c r="B963" s="743" t="s">
        <v>1183</v>
      </c>
      <c r="C963" s="809">
        <v>47.327500000000001</v>
      </c>
      <c r="D963" s="737">
        <v>34.765000000000001</v>
      </c>
      <c r="E963" s="857">
        <v>-0.26543764196291797</v>
      </c>
      <c r="F963" s="946" t="s">
        <v>2024</v>
      </c>
      <c r="G963" s="12"/>
      <c r="H963" t="e">
        <f>VLOOKUP(B963,indexy!$A$44:$D$157,3,FALSE)</f>
        <v>#N/A</v>
      </c>
      <c r="I963"/>
      <c r="J963" s="44"/>
      <c r="K963" s="31"/>
    </row>
    <row r="964" spans="1:14" s="39" customFormat="1" hidden="1" outlineLevel="1" x14ac:dyDescent="0.25">
      <c r="A964" s="739">
        <v>0.05</v>
      </c>
      <c r="B964" s="743" t="s">
        <v>1184</v>
      </c>
      <c r="C964" s="809">
        <v>28.094999999999999</v>
      </c>
      <c r="D964" s="737">
        <v>56.38</v>
      </c>
      <c r="E964" s="857">
        <v>1.0067627691760102</v>
      </c>
      <c r="F964" s="946" t="s">
        <v>2024</v>
      </c>
      <c r="G964" s="12"/>
      <c r="H964" t="str">
        <f>VLOOKUP(B964,indexy!$A$44:$D$157,3,FALSE)</f>
        <v>BAS GY Equity</v>
      </c>
      <c r="I964"/>
      <c r="J964" s="44"/>
      <c r="K964" s="31"/>
      <c r="L964" s="161"/>
      <c r="M964" s="161"/>
      <c r="N964" s="161"/>
    </row>
    <row r="965" spans="1:14" s="161" customFormat="1" hidden="1" outlineLevel="1" x14ac:dyDescent="0.25">
      <c r="A965" s="756">
        <v>0.05</v>
      </c>
      <c r="B965" s="757" t="s">
        <v>1527</v>
      </c>
      <c r="C965" s="808">
        <v>2.6011000000000002</v>
      </c>
      <c r="D965" s="759">
        <v>0.66749999999999998</v>
      </c>
      <c r="E965" s="858">
        <v>-0.74337780169928114</v>
      </c>
      <c r="F965" s="1850" t="s">
        <v>2025</v>
      </c>
      <c r="G965" s="176"/>
      <c r="H965" t="str">
        <f>VLOOKUP(B965,indexy!$A$44:$D$157,3,FALSE)</f>
        <v>TIT IM Equity</v>
      </c>
      <c r="I965"/>
      <c r="J965" s="162"/>
      <c r="K965" s="31"/>
      <c r="L965" s="39"/>
      <c r="M965" s="39"/>
      <c r="N965" s="39"/>
    </row>
    <row r="966" spans="1:14" s="39" customFormat="1" hidden="1" outlineLevel="1" x14ac:dyDescent="0.25">
      <c r="A966" s="739">
        <v>0.05</v>
      </c>
      <c r="B966" s="740" t="s">
        <v>4387</v>
      </c>
      <c r="C966" s="809">
        <v>23.91333333333333</v>
      </c>
      <c r="D966" s="737">
        <v>14.78</v>
      </c>
      <c r="E966" s="857">
        <v>-0.38193476442709784</v>
      </c>
      <c r="F966" s="946" t="s">
        <v>2024</v>
      </c>
      <c r="G966" s="12"/>
      <c r="H966" t="str">
        <f>VLOOKUP(B966,indexy!$A$44:$D$157,3,FALSE)</f>
        <v>EOAN GY Equity</v>
      </c>
      <c r="I966"/>
      <c r="J966" s="44"/>
      <c r="K966" s="31"/>
    </row>
    <row r="967" spans="1:14" s="39" customFormat="1" hidden="1" outlineLevel="1" x14ac:dyDescent="0.25">
      <c r="A967" s="756">
        <v>0.05</v>
      </c>
      <c r="B967" s="761" t="s">
        <v>2587</v>
      </c>
      <c r="C967" s="808">
        <v>552.4</v>
      </c>
      <c r="D967" s="759">
        <v>19.98</v>
      </c>
      <c r="E967" s="858">
        <v>-0.96383055756698044</v>
      </c>
      <c r="F967" s="1850" t="s">
        <v>2025</v>
      </c>
      <c r="G967" s="12"/>
      <c r="H967" t="e">
        <f>VLOOKUP(B967,indexy!$A$44:$D$157,3,FALSE)</f>
        <v>#N/A</v>
      </c>
      <c r="I967"/>
      <c r="J967" s="44"/>
      <c r="K967" s="31"/>
    </row>
    <row r="968" spans="1:14" s="39" customFormat="1" hidden="1" outlineLevel="1" x14ac:dyDescent="0.25">
      <c r="A968" s="739">
        <v>0.05</v>
      </c>
      <c r="B968" s="740" t="s">
        <v>1187</v>
      </c>
      <c r="C968" s="809">
        <v>70.875</v>
      </c>
      <c r="D968" s="737">
        <v>55</v>
      </c>
      <c r="E968" s="857">
        <v>-0.22398589065255736</v>
      </c>
      <c r="F968" s="946" t="s">
        <v>2024</v>
      </c>
      <c r="G968" s="12"/>
      <c r="H968" t="str">
        <f>VLOOKUP(B968,indexy!$A$44:$D$157,3,FALSE)</f>
        <v>SAN FP Equity</v>
      </c>
      <c r="I968"/>
      <c r="J968" s="44"/>
      <c r="K968" s="31"/>
    </row>
    <row r="969" spans="1:14" s="39" customFormat="1" hidden="1" outlineLevel="1" x14ac:dyDescent="0.25">
      <c r="A969" s="756">
        <v>0.05</v>
      </c>
      <c r="B969" s="761" t="s">
        <v>2588</v>
      </c>
      <c r="C969" s="808">
        <v>22.965</v>
      </c>
      <c r="D969" s="759">
        <v>4.6710000000000003</v>
      </c>
      <c r="E969" s="858">
        <v>-0.79660352710646631</v>
      </c>
      <c r="F969" s="1850" t="s">
        <v>2025</v>
      </c>
      <c r="G969" s="12"/>
      <c r="H969" t="str">
        <f>VLOOKUP(B969,indexy!$A$44:$D$157,3,FALSE)</f>
        <v>INGA NA Equity</v>
      </c>
      <c r="I969"/>
      <c r="J969" s="44"/>
      <c r="K969" s="31"/>
    </row>
    <row r="970" spans="1:14" s="39" customFormat="1" hidden="1" outlineLevel="1" x14ac:dyDescent="0.25">
      <c r="A970" s="739">
        <v>0.05</v>
      </c>
      <c r="B970" s="743" t="s">
        <v>1188</v>
      </c>
      <c r="C970" s="809">
        <v>574.45000000000005</v>
      </c>
      <c r="D970" s="737">
        <v>394.9</v>
      </c>
      <c r="E970" s="857">
        <v>-0.31255983984681013</v>
      </c>
      <c r="F970" s="946" t="s">
        <v>2024</v>
      </c>
      <c r="G970" s="12"/>
      <c r="H970" t="str">
        <f>VLOOKUP(B970,indexy!$A$44:$D$157,3,FALSE)</f>
        <v>BP/ LN Equity</v>
      </c>
      <c r="I970"/>
      <c r="J970" s="44"/>
      <c r="K970" s="31"/>
    </row>
    <row r="971" spans="1:14" s="39" customFormat="1" hidden="1" outlineLevel="1" x14ac:dyDescent="0.25">
      <c r="A971" s="739">
        <v>0.05</v>
      </c>
      <c r="B971" s="740" t="s">
        <v>1001</v>
      </c>
      <c r="C971" s="809">
        <v>25.292999999999999</v>
      </c>
      <c r="D971" s="737">
        <v>29.19</v>
      </c>
      <c r="E971" s="857">
        <v>0.15407424979243278</v>
      </c>
      <c r="F971" s="946" t="s">
        <v>2024</v>
      </c>
      <c r="G971" s="12"/>
      <c r="H971" t="str">
        <f>VLOOKUP(B971,indexy!$A$44:$D$157,3,FALSE)</f>
        <v>MSFT UW Equity</v>
      </c>
      <c r="I971"/>
      <c r="J971" s="44"/>
      <c r="K971" s="31"/>
    </row>
    <row r="972" spans="1:14" s="39" customFormat="1" hidden="1" outlineLevel="1" x14ac:dyDescent="0.25">
      <c r="A972" s="739">
        <v>0.05</v>
      </c>
      <c r="B972" s="740" t="s">
        <v>1002</v>
      </c>
      <c r="C972" s="809">
        <v>12.544</v>
      </c>
      <c r="D972" s="737">
        <v>26.47</v>
      </c>
      <c r="E972" s="857">
        <v>1.1101721938775508</v>
      </c>
      <c r="F972" s="946" t="s">
        <v>2024</v>
      </c>
      <c r="G972" s="12"/>
      <c r="H972" t="str">
        <f>VLOOKUP(B972,indexy!$A$44:$D$157,3,FALSE)</f>
        <v>ORCL UN Equity</v>
      </c>
      <c r="I972"/>
      <c r="J972" s="44"/>
      <c r="K972" s="31"/>
    </row>
    <row r="973" spans="1:14" s="39" customFormat="1" hidden="1" outlineLevel="1" x14ac:dyDescent="0.25">
      <c r="A973" s="739">
        <v>0.05</v>
      </c>
      <c r="B973" s="740" t="s">
        <v>3425</v>
      </c>
      <c r="C973" s="809">
        <v>58.911000000000001</v>
      </c>
      <c r="D973" s="737">
        <v>78.63</v>
      </c>
      <c r="E973" s="857">
        <v>0.33472526353312615</v>
      </c>
      <c r="F973" s="946" t="s">
        <v>2024</v>
      </c>
      <c r="G973" s="12"/>
      <c r="H973" t="str">
        <f>VLOOKUP(B973,indexy!$A$44:$D$157,3,FALSE)</f>
        <v>XOM UN Equity</v>
      </c>
      <c r="I973"/>
      <c r="J973" s="44"/>
      <c r="K973" s="31"/>
    </row>
    <row r="974" spans="1:14" s="39" customFormat="1" hidden="1" outlineLevel="1" x14ac:dyDescent="0.25">
      <c r="A974" s="739">
        <v>0.05</v>
      </c>
      <c r="B974" s="740" t="s">
        <v>1003</v>
      </c>
      <c r="C974" s="809">
        <v>27.428000000000001</v>
      </c>
      <c r="D974" s="737">
        <v>29.11</v>
      </c>
      <c r="E974" s="857">
        <v>6.1324194254047004E-2</v>
      </c>
      <c r="F974" s="946" t="s">
        <v>2024</v>
      </c>
      <c r="G974" s="12"/>
      <c r="H974" t="str">
        <f>VLOOKUP(B974,indexy!$A$44:$D$157,3,FALSE)</f>
        <v>TXN UW Equity</v>
      </c>
      <c r="I974"/>
      <c r="J974" s="44"/>
      <c r="K974" s="31"/>
    </row>
    <row r="975" spans="1:14" s="39" customFormat="1" hidden="1" outlineLevel="1" x14ac:dyDescent="0.25">
      <c r="A975" s="756">
        <v>0.05</v>
      </c>
      <c r="B975" s="757" t="s">
        <v>1207</v>
      </c>
      <c r="C975" s="808">
        <v>3903</v>
      </c>
      <c r="D975" s="759">
        <v>1050</v>
      </c>
      <c r="E975" s="858">
        <v>-0.73097617217524979</v>
      </c>
      <c r="F975" s="1850" t="s">
        <v>2025</v>
      </c>
      <c r="G975" s="12"/>
      <c r="H975" t="str">
        <f>VLOOKUP(B975,indexy!$A$44:$D$157,3,FALSE)</f>
        <v>6758 JT Equity</v>
      </c>
      <c r="I975"/>
      <c r="J975" s="44"/>
      <c r="K975" s="31"/>
    </row>
    <row r="976" spans="1:14" s="39" customFormat="1" hidden="1" outlineLevel="1" x14ac:dyDescent="0.25">
      <c r="A976" s="756">
        <v>0.05</v>
      </c>
      <c r="B976" s="757" t="s">
        <v>3551</v>
      </c>
      <c r="C976" s="808">
        <v>3877</v>
      </c>
      <c r="D976" s="759">
        <v>3040</v>
      </c>
      <c r="E976" s="858">
        <v>-0.21588857363941194</v>
      </c>
      <c r="F976" s="1850" t="s">
        <v>2025</v>
      </c>
      <c r="G976" s="12"/>
      <c r="H976" t="str">
        <f>VLOOKUP(B976,indexy!$A$44:$D$157,3,FALSE)</f>
        <v>7203 JT Equity</v>
      </c>
      <c r="I976"/>
      <c r="J976" s="44"/>
      <c r="K976" s="31"/>
    </row>
    <row r="977" spans="1:26" s="39" customFormat="1" hidden="1" outlineLevel="1" x14ac:dyDescent="0.25">
      <c r="A977" s="745">
        <v>0.05</v>
      </c>
      <c r="B977" s="746" t="s">
        <v>157</v>
      </c>
      <c r="C977" s="810">
        <v>7.3780999999999999</v>
      </c>
      <c r="D977" s="715">
        <v>4.2949999999999999</v>
      </c>
      <c r="E977" s="818">
        <v>-0.41787180981553518</v>
      </c>
      <c r="F977" s="1023" t="s">
        <v>2024</v>
      </c>
      <c r="G977" s="12"/>
      <c r="H977" t="str">
        <f>VLOOKUP(B977,indexy!$A$44:$D$157,3,FALSE)</f>
        <v>SAN SM Equity</v>
      </c>
      <c r="I977"/>
      <c r="J977" s="44"/>
      <c r="L977"/>
      <c r="M977"/>
      <c r="N977"/>
    </row>
    <row r="978" spans="1:26" hidden="1" outlineLevel="1" x14ac:dyDescent="0.25">
      <c r="A978" s="749"/>
      <c r="B978" s="750"/>
      <c r="C978" s="811"/>
      <c r="D978" s="811"/>
      <c r="E978" s="820"/>
      <c r="F978" s="731"/>
      <c r="G978" s="78"/>
      <c r="J978" s="31"/>
    </row>
    <row r="979" spans="1:26" hidden="1" outlineLevel="1" x14ac:dyDescent="0.25">
      <c r="A979" s="751" t="s">
        <v>3460</v>
      </c>
      <c r="B979" s="750"/>
      <c r="C979" s="727"/>
      <c r="D979" s="768"/>
      <c r="E979" s="716"/>
      <c r="F979" s="770">
        <v>3.3000000000000002E-2</v>
      </c>
      <c r="G979" s="78"/>
      <c r="J979" s="252"/>
    </row>
    <row r="980" spans="1:26" hidden="1" outlineLevel="1" x14ac:dyDescent="0.25">
      <c r="A980" s="751" t="s">
        <v>3461</v>
      </c>
      <c r="B980" s="750" t="s">
        <v>2332</v>
      </c>
      <c r="C980" s="727"/>
      <c r="D980" s="768"/>
      <c r="E980" s="716"/>
      <c r="F980" s="770">
        <v>2.2000000000000002E-2</v>
      </c>
      <c r="G980" s="78"/>
      <c r="J980" s="31"/>
    </row>
    <row r="981" spans="1:26" hidden="1" outlineLevel="1" x14ac:dyDescent="0.25">
      <c r="A981" s="751" t="s">
        <v>3077</v>
      </c>
      <c r="B981" s="750" t="s">
        <v>1120</v>
      </c>
      <c r="C981" s="727"/>
      <c r="D981" s="768"/>
      <c r="E981" s="716"/>
      <c r="F981" s="770">
        <v>1.4666666666666668E-2</v>
      </c>
      <c r="G981" s="21"/>
      <c r="J981" s="31"/>
    </row>
    <row r="982" spans="1:26" hidden="1" outlineLevel="1" x14ac:dyDescent="0.25">
      <c r="A982" s="751" t="s">
        <v>3078</v>
      </c>
      <c r="B982" s="750" t="s">
        <v>3468</v>
      </c>
      <c r="C982" s="727"/>
      <c r="D982" s="768"/>
      <c r="E982" s="716"/>
      <c r="F982" s="770">
        <v>9.7777777777777793E-3</v>
      </c>
      <c r="G982" s="177"/>
      <c r="J982" s="31"/>
    </row>
    <row r="983" spans="1:26" hidden="1" outlineLevel="1" x14ac:dyDescent="0.25">
      <c r="A983" s="751" t="s">
        <v>3572</v>
      </c>
      <c r="B983" s="750" t="s">
        <v>3469</v>
      </c>
      <c r="C983" s="727"/>
      <c r="D983" s="768"/>
      <c r="E983" s="716"/>
      <c r="F983" s="770">
        <v>6.4999999999999997E-3</v>
      </c>
      <c r="G983" s="177"/>
      <c r="J983" s="31"/>
    </row>
    <row r="984" spans="1:26" hidden="1" outlineLevel="1" x14ac:dyDescent="0.25">
      <c r="A984" s="751" t="s">
        <v>3573</v>
      </c>
      <c r="B984" s="750" t="s">
        <v>1146</v>
      </c>
      <c r="C984" s="727"/>
      <c r="D984" s="768"/>
      <c r="E984" s="716"/>
      <c r="F984" s="770">
        <v>4.3E-3</v>
      </c>
      <c r="G984" s="177"/>
      <c r="J984" s="31"/>
    </row>
    <row r="985" spans="1:26" hidden="1" outlineLevel="1" x14ac:dyDescent="0.25">
      <c r="A985" s="751" t="s">
        <v>3574</v>
      </c>
      <c r="B985" s="750" t="s">
        <v>5254</v>
      </c>
      <c r="C985" s="727"/>
      <c r="D985" s="768"/>
      <c r="E985" s="716"/>
      <c r="F985" s="770">
        <v>2.8999999999999998E-3</v>
      </c>
      <c r="G985" s="177"/>
      <c r="J985" s="31"/>
    </row>
    <row r="986" spans="1:26" collapsed="1" x14ac:dyDescent="0.25">
      <c r="A986" s="3801" t="s">
        <v>1542</v>
      </c>
      <c r="B986" s="3802"/>
      <c r="C986" s="3802"/>
      <c r="D986" s="3802"/>
      <c r="E986" s="821"/>
      <c r="F986" s="752">
        <v>9.3200000000000005E-2</v>
      </c>
      <c r="G986" s="97" t="s">
        <v>781</v>
      </c>
      <c r="I986" s="254"/>
      <c r="J986" s="31"/>
    </row>
    <row r="987" spans="1:26" x14ac:dyDescent="0.25">
      <c r="A987" s="1"/>
      <c r="B987" s="1"/>
      <c r="C987" s="1"/>
      <c r="D987" s="1"/>
      <c r="E987" s="1"/>
      <c r="F987" s="1848"/>
      <c r="G987" s="78"/>
      <c r="J987" s="31"/>
    </row>
    <row r="988" spans="1:26" hidden="1" outlineLevel="1" x14ac:dyDescent="0.25">
      <c r="A988" s="689" t="s">
        <v>113</v>
      </c>
      <c r="B988" s="495" t="s">
        <v>114</v>
      </c>
      <c r="C988" s="495" t="s">
        <v>112</v>
      </c>
      <c r="D988" s="495" t="s">
        <v>4155</v>
      </c>
      <c r="E988" s="495" t="s">
        <v>117</v>
      </c>
      <c r="F988" s="1021" t="s">
        <v>121</v>
      </c>
      <c r="G988" s="78"/>
      <c r="H988" s="15" t="s">
        <v>631</v>
      </c>
      <c r="I988" s="260">
        <f>AVERAGE(H990:S990)</f>
        <v>79.246724999999984</v>
      </c>
      <c r="J988" s="31"/>
    </row>
    <row r="989" spans="1:26" hidden="1" outlineLevel="1" x14ac:dyDescent="0.25">
      <c r="A989" s="846" t="s">
        <v>1981</v>
      </c>
      <c r="B989" s="799" t="s">
        <v>115</v>
      </c>
      <c r="C989" s="859">
        <v>3234.1579999999999</v>
      </c>
      <c r="D989" s="807">
        <f>VLOOKUP(B989,indexy!A:D,2,0)</f>
        <v>5083.42</v>
      </c>
      <c r="E989" s="3829">
        <f>(0.5*D989/C989+0.5*D990/C990)-1</f>
        <v>1.9481526885265712</v>
      </c>
      <c r="F989" s="3839">
        <f>MAX(MIN((I988/100-1)*45%,40%),0)</f>
        <v>0</v>
      </c>
      <c r="G989" s="78"/>
      <c r="H989" s="256">
        <v>39630</v>
      </c>
      <c r="I989" s="256">
        <v>39661</v>
      </c>
      <c r="J989" s="256">
        <v>39692</v>
      </c>
      <c r="K989" s="256">
        <v>39722</v>
      </c>
      <c r="L989" s="256">
        <v>39753</v>
      </c>
      <c r="M989" s="256">
        <v>39783</v>
      </c>
      <c r="N989" s="256">
        <v>39814</v>
      </c>
      <c r="O989" s="256">
        <v>39845</v>
      </c>
      <c r="P989" s="256">
        <v>39873</v>
      </c>
      <c r="Q989" s="256">
        <v>39904</v>
      </c>
      <c r="R989" s="256">
        <v>39934</v>
      </c>
      <c r="S989" s="256">
        <v>39965</v>
      </c>
      <c r="T989" s="256"/>
      <c r="U989" s="256"/>
      <c r="V989" s="256"/>
      <c r="W989" s="256"/>
      <c r="X989" s="256"/>
      <c r="Y989" s="256"/>
      <c r="Z989" s="256"/>
    </row>
    <row r="990" spans="1:26" hidden="1" outlineLevel="1" x14ac:dyDescent="0.25">
      <c r="A990" s="751" t="s">
        <v>1981</v>
      </c>
      <c r="B990" s="801" t="s">
        <v>760</v>
      </c>
      <c r="C990" s="860">
        <v>1215.0150000000001</v>
      </c>
      <c r="D990" s="810">
        <f>VLOOKUP(B990,indexy!A:D,2,0)</f>
        <v>5254.35</v>
      </c>
      <c r="E990" s="3831"/>
      <c r="F990" s="3840"/>
      <c r="G990" s="78"/>
      <c r="H990">
        <v>104.2213</v>
      </c>
      <c r="I990">
        <v>104.8233</v>
      </c>
      <c r="J990" s="31">
        <v>94.968299999999999</v>
      </c>
      <c r="K990">
        <v>79.934299999999993</v>
      </c>
      <c r="L990">
        <v>74.454400000000007</v>
      </c>
      <c r="M990">
        <v>75.010499999999993</v>
      </c>
      <c r="N990">
        <v>68.570099999999996</v>
      </c>
      <c r="O990">
        <v>60.802700000000002</v>
      </c>
      <c r="P990">
        <v>64.853399999999993</v>
      </c>
      <c r="Q990">
        <v>72.6404</v>
      </c>
      <c r="R990" s="110">
        <v>75.720299999999995</v>
      </c>
      <c r="S990" s="110">
        <v>74.961699999999993</v>
      </c>
    </row>
    <row r="991" spans="1:26" collapsed="1" x14ac:dyDescent="0.25">
      <c r="A991" s="3801" t="s">
        <v>2930</v>
      </c>
      <c r="B991" s="3802"/>
      <c r="C991" s="3802"/>
      <c r="D991" s="3802"/>
      <c r="E991" s="729"/>
      <c r="F991" s="752">
        <f>SUM(F989:F990)</f>
        <v>0</v>
      </c>
      <c r="G991" s="175" t="s">
        <v>781</v>
      </c>
      <c r="I991" s="37"/>
      <c r="J991" s="252"/>
    </row>
    <row r="992" spans="1:26" x14ac:dyDescent="0.25">
      <c r="A992" s="1"/>
      <c r="B992" s="1"/>
      <c r="C992" s="1"/>
      <c r="D992" s="1"/>
      <c r="E992" s="1"/>
      <c r="F992" s="1848"/>
      <c r="G992" s="78"/>
      <c r="J992" s="31"/>
    </row>
    <row r="993" spans="1:10" hidden="1" outlineLevel="1" x14ac:dyDescent="0.25">
      <c r="A993" s="689" t="s">
        <v>113</v>
      </c>
      <c r="B993" s="689" t="s">
        <v>114</v>
      </c>
      <c r="C993" s="689" t="s">
        <v>112</v>
      </c>
      <c r="D993" s="689" t="s">
        <v>116</v>
      </c>
      <c r="E993" s="689" t="s">
        <v>117</v>
      </c>
      <c r="F993" s="1188" t="s">
        <v>121</v>
      </c>
      <c r="G993" s="78"/>
      <c r="J993" s="31"/>
    </row>
    <row r="994" spans="1:10" hidden="1" outlineLevel="1" x14ac:dyDescent="0.25">
      <c r="A994" s="846" t="s">
        <v>1982</v>
      </c>
      <c r="B994" s="691" t="s">
        <v>115</v>
      </c>
      <c r="C994" s="793">
        <v>3234.1579999999999</v>
      </c>
      <c r="D994" s="861">
        <v>3625.163</v>
      </c>
      <c r="E994" s="3837">
        <v>7.9000000000000001E-2</v>
      </c>
      <c r="F994" s="3839">
        <v>5.2499999999999998E-2</v>
      </c>
      <c r="G994" s="78"/>
      <c r="J994" s="31"/>
    </row>
    <row r="995" spans="1:10" hidden="1" outlineLevel="1" x14ac:dyDescent="0.25">
      <c r="A995" s="846" t="s">
        <v>1982</v>
      </c>
      <c r="B995" s="695" t="s">
        <v>760</v>
      </c>
      <c r="C995" s="794">
        <v>1215.0150000000001</v>
      </c>
      <c r="D995" s="837">
        <v>1260.21</v>
      </c>
      <c r="E995" s="3838"/>
      <c r="F995" s="3840"/>
      <c r="G995" s="78"/>
      <c r="J995" s="31"/>
    </row>
    <row r="996" spans="1:10" hidden="1" outlineLevel="1" x14ac:dyDescent="0.25">
      <c r="A996" s="846" t="s">
        <v>1983</v>
      </c>
      <c r="B996" s="691" t="s">
        <v>115</v>
      </c>
      <c r="C996" s="861">
        <v>3625.163</v>
      </c>
      <c r="D996" s="861">
        <v>4503.4530000000004</v>
      </c>
      <c r="E996" s="3837">
        <v>0.2291</v>
      </c>
      <c r="F996" s="3839">
        <v>5.2499999999999998E-2</v>
      </c>
      <c r="G996" s="78"/>
      <c r="H996" s="37"/>
      <c r="J996" s="31"/>
    </row>
    <row r="997" spans="1:10" hidden="1" outlineLevel="1" x14ac:dyDescent="0.25">
      <c r="A997" s="846" t="s">
        <v>1983</v>
      </c>
      <c r="B997" s="695" t="s">
        <v>760</v>
      </c>
      <c r="C997" s="837">
        <v>1260.21</v>
      </c>
      <c r="D997" s="811">
        <v>1531.059</v>
      </c>
      <c r="E997" s="3838"/>
      <c r="F997" s="3840"/>
      <c r="G997" s="78"/>
      <c r="J997" s="31"/>
    </row>
    <row r="998" spans="1:10" hidden="1" outlineLevel="1" x14ac:dyDescent="0.25">
      <c r="A998" s="846" t="s">
        <v>149</v>
      </c>
      <c r="B998" s="691" t="s">
        <v>115</v>
      </c>
      <c r="C998" s="861">
        <v>4503.4530000000004</v>
      </c>
      <c r="D998" s="696">
        <v>3284.7249999999999</v>
      </c>
      <c r="E998" s="3837">
        <v>-0.2288</v>
      </c>
      <c r="F998" s="3839">
        <v>-0.03</v>
      </c>
      <c r="G998" s="78"/>
      <c r="J998" s="31"/>
    </row>
    <row r="999" spans="1:10" hidden="1" outlineLevel="1" x14ac:dyDescent="0.25">
      <c r="A999" s="846" t="s">
        <v>149</v>
      </c>
      <c r="B999" s="695" t="s">
        <v>760</v>
      </c>
      <c r="C999" s="811">
        <v>1531.059</v>
      </c>
      <c r="D999" s="696">
        <v>1251.6120000000001</v>
      </c>
      <c r="E999" s="3838"/>
      <c r="F999" s="3840"/>
      <c r="G999" s="78"/>
      <c r="J999" s="31"/>
    </row>
    <row r="1000" spans="1:10" hidden="1" outlineLevel="1" x14ac:dyDescent="0.25">
      <c r="A1000" s="846" t="s">
        <v>150</v>
      </c>
      <c r="B1000" s="691" t="s">
        <v>115</v>
      </c>
      <c r="C1000" s="696">
        <v>3284.7249999999999</v>
      </c>
      <c r="D1000" s="861">
        <v>2346.3240000000001</v>
      </c>
      <c r="E1000" s="3837">
        <v>-0.28410000000000002</v>
      </c>
      <c r="F1000" s="3839">
        <v>-0.03</v>
      </c>
      <c r="G1000" s="78"/>
      <c r="J1000" s="31"/>
    </row>
    <row r="1001" spans="1:10" hidden="1" outlineLevel="1" x14ac:dyDescent="0.25">
      <c r="A1001" s="846" t="s">
        <v>150</v>
      </c>
      <c r="B1001" s="695" t="s">
        <v>760</v>
      </c>
      <c r="C1001" s="727">
        <v>1251.6120000000001</v>
      </c>
      <c r="D1001" s="811">
        <v>898.04399999999998</v>
      </c>
      <c r="E1001" s="3838"/>
      <c r="F1001" s="3840"/>
      <c r="G1001" s="78"/>
      <c r="J1001" s="31"/>
    </row>
    <row r="1002" spans="1:10" hidden="1" outlineLevel="1" x14ac:dyDescent="0.25">
      <c r="A1002" s="846" t="s">
        <v>151</v>
      </c>
      <c r="B1002" s="691" t="s">
        <v>115</v>
      </c>
      <c r="C1002" s="861">
        <v>2346.3240000000001</v>
      </c>
      <c r="D1002" s="837">
        <v>2758.47</v>
      </c>
      <c r="E1002" s="3837">
        <v>0.20319999999999999</v>
      </c>
      <c r="F1002" s="3839">
        <v>5.2499999999999998E-2</v>
      </c>
      <c r="G1002" s="78"/>
      <c r="J1002" s="31"/>
    </row>
    <row r="1003" spans="1:10" hidden="1" outlineLevel="1" x14ac:dyDescent="0.25">
      <c r="A1003" s="846" t="s">
        <v>151</v>
      </c>
      <c r="B1003" s="695" t="s">
        <v>760</v>
      </c>
      <c r="C1003" s="811">
        <v>898.04399999999998</v>
      </c>
      <c r="D1003" s="837">
        <v>1104.741</v>
      </c>
      <c r="E1003" s="3838"/>
      <c r="F1003" s="3840"/>
      <c r="G1003" s="78"/>
      <c r="J1003" s="31"/>
    </row>
    <row r="1004" spans="1:10" collapsed="1" x14ac:dyDescent="0.25">
      <c r="A1004" s="3801" t="s">
        <v>1112</v>
      </c>
      <c r="B1004" s="3802"/>
      <c r="C1004" s="3802"/>
      <c r="D1004" s="3802"/>
      <c r="E1004" s="729"/>
      <c r="F1004" s="752">
        <f>MAX(SUM(F994:F1003),4%)</f>
        <v>9.7500000000000003E-2</v>
      </c>
      <c r="G1004" s="97" t="s">
        <v>781</v>
      </c>
      <c r="J1004" s="31"/>
    </row>
    <row r="1005" spans="1:10" x14ac:dyDescent="0.25">
      <c r="A1005" s="1"/>
      <c r="B1005" s="1"/>
      <c r="C1005" s="1"/>
      <c r="D1005" s="1"/>
      <c r="E1005" s="1"/>
      <c r="F1005" s="1848"/>
      <c r="G1005" s="78"/>
      <c r="J1005" s="31"/>
    </row>
    <row r="1006" spans="1:10" hidden="1" outlineLevel="1" x14ac:dyDescent="0.25">
      <c r="A1006" s="689" t="s">
        <v>113</v>
      </c>
      <c r="B1006" s="689" t="s">
        <v>114</v>
      </c>
      <c r="C1006" s="689" t="s">
        <v>112</v>
      </c>
      <c r="D1006" s="689" t="s">
        <v>116</v>
      </c>
      <c r="E1006" s="689" t="s">
        <v>117</v>
      </c>
      <c r="F1006" s="1188" t="s">
        <v>121</v>
      </c>
      <c r="G1006" s="78"/>
      <c r="J1006" s="31"/>
    </row>
    <row r="1007" spans="1:10" hidden="1" outlineLevel="1" x14ac:dyDescent="0.25">
      <c r="A1007" s="753" t="s">
        <v>152</v>
      </c>
      <c r="B1007" s="691" t="s">
        <v>115</v>
      </c>
      <c r="C1007" s="793">
        <v>3328.7939999999999</v>
      </c>
      <c r="D1007" s="793">
        <v>3700.2739999999999</v>
      </c>
      <c r="E1007" s="3813">
        <v>6.93E-2</v>
      </c>
      <c r="F1007" s="3816">
        <v>0.03</v>
      </c>
      <c r="G1007" s="78"/>
      <c r="J1007" s="31"/>
    </row>
    <row r="1008" spans="1:10" hidden="1" outlineLevel="1" x14ac:dyDescent="0.25">
      <c r="A1008" s="754" t="s">
        <v>152</v>
      </c>
      <c r="B1008" s="695" t="s">
        <v>760</v>
      </c>
      <c r="C1008" s="797">
        <v>1233.8630000000001</v>
      </c>
      <c r="D1008" s="797">
        <v>1267.194</v>
      </c>
      <c r="E1008" s="3814"/>
      <c r="F1008" s="3817"/>
      <c r="G1008" s="78"/>
      <c r="J1008" s="31"/>
    </row>
    <row r="1009" spans="1:10" hidden="1" outlineLevel="1" x14ac:dyDescent="0.25">
      <c r="A1009" s="753" t="s">
        <v>3536</v>
      </c>
      <c r="B1009" s="691" t="s">
        <v>115</v>
      </c>
      <c r="C1009" s="793">
        <v>3700.2739999999999</v>
      </c>
      <c r="D1009" s="793">
        <v>3682.61</v>
      </c>
      <c r="E1009" s="3813">
        <v>-2.9999999999999997E-4</v>
      </c>
      <c r="F1009" s="3816">
        <v>-2.9999999999999997E-4</v>
      </c>
      <c r="G1009" s="78"/>
      <c r="J1009" s="31"/>
    </row>
    <row r="1010" spans="1:10" hidden="1" outlineLevel="1" x14ac:dyDescent="0.25">
      <c r="A1010" s="754" t="s">
        <v>3536</v>
      </c>
      <c r="B1010" s="695" t="s">
        <v>760</v>
      </c>
      <c r="C1010" s="797">
        <v>1267.194</v>
      </c>
      <c r="D1010" s="797">
        <v>1272.9059999999999</v>
      </c>
      <c r="E1010" s="3814"/>
      <c r="F1010" s="3817"/>
      <c r="G1010" s="78"/>
      <c r="J1010" s="31"/>
    </row>
    <row r="1011" spans="1:10" hidden="1" outlineLevel="1" x14ac:dyDescent="0.25">
      <c r="A1011" s="753" t="s">
        <v>3537</v>
      </c>
      <c r="B1011" s="691" t="s">
        <v>115</v>
      </c>
      <c r="C1011" s="793">
        <v>3682.61</v>
      </c>
      <c r="D1011" s="843">
        <v>4234.5770000000002</v>
      </c>
      <c r="E1011" s="3813">
        <v>0.1431</v>
      </c>
      <c r="F1011" s="3816">
        <v>0.03</v>
      </c>
      <c r="G1011" s="78"/>
      <c r="J1011" s="31"/>
    </row>
    <row r="1012" spans="1:10" hidden="1" outlineLevel="1" x14ac:dyDescent="0.25">
      <c r="A1012" s="754" t="s">
        <v>3537</v>
      </c>
      <c r="B1012" s="695" t="s">
        <v>760</v>
      </c>
      <c r="C1012" s="797">
        <v>1272.9059999999999</v>
      </c>
      <c r="D1012" s="798">
        <v>1445.864</v>
      </c>
      <c r="E1012" s="3814"/>
      <c r="F1012" s="3817"/>
      <c r="G1012" s="78"/>
      <c r="J1012" s="31"/>
    </row>
    <row r="1013" spans="1:10" hidden="1" outlineLevel="1" x14ac:dyDescent="0.25">
      <c r="A1013" s="753" t="s">
        <v>2717</v>
      </c>
      <c r="B1013" s="691" t="s">
        <v>115</v>
      </c>
      <c r="C1013" s="843">
        <v>4234.5770000000002</v>
      </c>
      <c r="D1013" s="691">
        <v>4248.6559999999999</v>
      </c>
      <c r="E1013" s="3813">
        <v>6.4000000000000003E-3</v>
      </c>
      <c r="F1013" s="3816">
        <v>6.4000000000000003E-3</v>
      </c>
      <c r="G1013" s="78"/>
      <c r="J1013" s="31"/>
    </row>
    <row r="1014" spans="1:10" hidden="1" outlineLevel="1" x14ac:dyDescent="0.25">
      <c r="A1014" s="754" t="s">
        <v>2717</v>
      </c>
      <c r="B1014" s="695" t="s">
        <v>760</v>
      </c>
      <c r="C1014" s="798">
        <v>1445.864</v>
      </c>
      <c r="D1014" s="695">
        <v>1459.913</v>
      </c>
      <c r="E1014" s="3814"/>
      <c r="F1014" s="3817"/>
      <c r="G1014" s="78"/>
      <c r="J1014" s="31"/>
    </row>
    <row r="1015" spans="1:10" hidden="1" outlineLevel="1" x14ac:dyDescent="0.25">
      <c r="A1015" s="753" t="s">
        <v>4433</v>
      </c>
      <c r="B1015" s="691" t="s">
        <v>115</v>
      </c>
      <c r="C1015" s="691">
        <v>4248.6559999999999</v>
      </c>
      <c r="D1015" s="691">
        <v>3769.5309999999999</v>
      </c>
      <c r="E1015" s="3813">
        <v>-9.4399999999999998E-2</v>
      </c>
      <c r="F1015" s="3816">
        <v>-0.03</v>
      </c>
      <c r="G1015" s="78"/>
      <c r="J1015" s="31"/>
    </row>
    <row r="1016" spans="1:10" hidden="1" outlineLevel="1" x14ac:dyDescent="0.25">
      <c r="A1016" s="754" t="s">
        <v>4433</v>
      </c>
      <c r="B1016" s="695" t="s">
        <v>760</v>
      </c>
      <c r="C1016" s="695">
        <v>1459.913</v>
      </c>
      <c r="D1016" s="695">
        <v>1351.1590000000001</v>
      </c>
      <c r="E1016" s="3814"/>
      <c r="F1016" s="3817"/>
      <c r="G1016" s="78"/>
      <c r="J1016" s="31"/>
    </row>
    <row r="1017" spans="1:10" hidden="1" outlineLevel="1" x14ac:dyDescent="0.25">
      <c r="A1017" s="753" t="s">
        <v>1080</v>
      </c>
      <c r="B1017" s="691" t="s">
        <v>115</v>
      </c>
      <c r="C1017" s="691">
        <v>3769.5309999999999</v>
      </c>
      <c r="D1017" s="691">
        <v>3379.4810000000002</v>
      </c>
      <c r="E1017" s="3813">
        <v>-7.7799999999999994E-2</v>
      </c>
      <c r="F1017" s="3816">
        <v>-0.03</v>
      </c>
      <c r="G1017" s="78"/>
      <c r="J1017" s="31"/>
    </row>
    <row r="1018" spans="1:10" hidden="1" outlineLevel="1" x14ac:dyDescent="0.25">
      <c r="A1018" s="754" t="s">
        <v>1080</v>
      </c>
      <c r="B1018" s="695" t="s">
        <v>760</v>
      </c>
      <c r="C1018" s="695">
        <v>1351.1590000000001</v>
      </c>
      <c r="D1018" s="695">
        <v>1281.9449999999999</v>
      </c>
      <c r="E1018" s="3814"/>
      <c r="F1018" s="3817"/>
      <c r="G1018" s="78"/>
      <c r="J1018" s="31"/>
    </row>
    <row r="1019" spans="1:10" hidden="1" outlineLevel="1" x14ac:dyDescent="0.25">
      <c r="A1019" s="753" t="s">
        <v>1081</v>
      </c>
      <c r="B1019" s="691" t="s">
        <v>115</v>
      </c>
      <c r="C1019" s="691">
        <v>3379.4810000000002</v>
      </c>
      <c r="D1019" s="691">
        <v>2270.6489999999999</v>
      </c>
      <c r="E1019" s="3813">
        <v>-0.3367</v>
      </c>
      <c r="F1019" s="3816">
        <v>-0.03</v>
      </c>
      <c r="G1019" s="78"/>
      <c r="J1019" s="31"/>
    </row>
    <row r="1020" spans="1:10" hidden="1" outlineLevel="1" x14ac:dyDescent="0.25">
      <c r="A1020" s="754" t="s">
        <v>1081</v>
      </c>
      <c r="B1020" s="695" t="s">
        <v>760</v>
      </c>
      <c r="C1020" s="695">
        <v>1281.9449999999999</v>
      </c>
      <c r="D1020" s="695">
        <v>840.34500000000003</v>
      </c>
      <c r="E1020" s="3814"/>
      <c r="F1020" s="3817"/>
      <c r="G1020" s="78"/>
      <c r="J1020" s="31"/>
    </row>
    <row r="1021" spans="1:10" hidden="1" outlineLevel="1" x14ac:dyDescent="0.25">
      <c r="A1021" s="753" t="s">
        <v>3706</v>
      </c>
      <c r="B1021" s="691" t="s">
        <v>115</v>
      </c>
      <c r="C1021" s="691">
        <v>2270.6489999999999</v>
      </c>
      <c r="D1021" s="691">
        <v>2676.43</v>
      </c>
      <c r="E1021" s="3813">
        <v>0.18690000000000001</v>
      </c>
      <c r="F1021" s="3816">
        <v>0.03</v>
      </c>
      <c r="G1021" s="78"/>
      <c r="J1021" s="31"/>
    </row>
    <row r="1022" spans="1:10" hidden="1" outlineLevel="1" x14ac:dyDescent="0.25">
      <c r="A1022" s="754" t="s">
        <v>3706</v>
      </c>
      <c r="B1022" s="695" t="s">
        <v>760</v>
      </c>
      <c r="C1022" s="695">
        <v>840.34500000000003</v>
      </c>
      <c r="D1022" s="695">
        <v>1004.264</v>
      </c>
      <c r="E1022" s="3814"/>
      <c r="F1022" s="3817"/>
      <c r="G1022" s="78"/>
      <c r="J1022" s="31"/>
    </row>
    <row r="1023" spans="1:10" hidden="1" outlineLevel="1" x14ac:dyDescent="0.25">
      <c r="A1023" s="753" t="s">
        <v>3707</v>
      </c>
      <c r="B1023" s="691" t="s">
        <v>115</v>
      </c>
      <c r="C1023" s="691">
        <v>2676.43</v>
      </c>
      <c r="D1023" s="691">
        <v>2715.46</v>
      </c>
      <c r="E1023" s="3813">
        <v>4.36E-2</v>
      </c>
      <c r="F1023" s="3816">
        <v>0.03</v>
      </c>
      <c r="G1023" s="78"/>
      <c r="J1023" s="31"/>
    </row>
    <row r="1024" spans="1:10" hidden="1" outlineLevel="1" x14ac:dyDescent="0.25">
      <c r="A1024" s="754" t="s">
        <v>3707</v>
      </c>
      <c r="B1024" s="695" t="s">
        <v>760</v>
      </c>
      <c r="C1024" s="691">
        <v>1004.264</v>
      </c>
      <c r="D1024" s="695">
        <v>1076.846</v>
      </c>
      <c r="E1024" s="3814"/>
      <c r="F1024" s="3817"/>
      <c r="G1024" s="78"/>
      <c r="J1024" s="31"/>
    </row>
    <row r="1025" spans="1:10" hidden="1" outlineLevel="1" x14ac:dyDescent="0.25">
      <c r="A1025" s="753" t="s">
        <v>3708</v>
      </c>
      <c r="B1025" s="691" t="s">
        <v>115</v>
      </c>
      <c r="C1025" s="691">
        <v>2715.46</v>
      </c>
      <c r="D1025" s="691">
        <v>2784.5929999999998</v>
      </c>
      <c r="E1025" s="3813">
        <v>2.93E-2</v>
      </c>
      <c r="F1025" s="3816">
        <v>2.93E-2</v>
      </c>
      <c r="G1025" s="78"/>
      <c r="J1025" s="31"/>
    </row>
    <row r="1026" spans="1:10" hidden="1" outlineLevel="1" x14ac:dyDescent="0.25">
      <c r="A1026" s="754" t="s">
        <v>3708</v>
      </c>
      <c r="B1026" s="695" t="s">
        <v>760</v>
      </c>
      <c r="C1026" s="695">
        <v>1076.846</v>
      </c>
      <c r="D1026" s="695">
        <v>1112.2190000000001</v>
      </c>
      <c r="E1026" s="3814"/>
      <c r="F1026" s="3817"/>
      <c r="G1026" s="78"/>
      <c r="J1026" s="31"/>
    </row>
    <row r="1027" spans="1:10" hidden="1" outlineLevel="1" x14ac:dyDescent="0.25">
      <c r="A1027" s="753" t="s">
        <v>2535</v>
      </c>
      <c r="B1027" s="691" t="s">
        <v>115</v>
      </c>
      <c r="C1027" s="691">
        <v>2784.5929999999998</v>
      </c>
      <c r="D1027" s="691">
        <v>3019.192</v>
      </c>
      <c r="E1027" s="3835">
        <v>0.13639999999999999</v>
      </c>
      <c r="F1027" s="3816">
        <v>0.03</v>
      </c>
      <c r="G1027" s="78"/>
      <c r="J1027" s="31"/>
    </row>
    <row r="1028" spans="1:10" hidden="1" outlineLevel="1" x14ac:dyDescent="0.25">
      <c r="A1028" s="754" t="s">
        <v>2535</v>
      </c>
      <c r="B1028" s="726" t="s">
        <v>760</v>
      </c>
      <c r="C1028" s="695">
        <v>1112.2190000000001</v>
      </c>
      <c r="D1028" s="726">
        <v>1317.7429999999999</v>
      </c>
      <c r="E1028" s="3823"/>
      <c r="F1028" s="3818"/>
      <c r="G1028" s="78"/>
      <c r="J1028" s="31"/>
    </row>
    <row r="1029" spans="1:10" collapsed="1" x14ac:dyDescent="0.25">
      <c r="A1029" s="3801" t="s">
        <v>4032</v>
      </c>
      <c r="B1029" s="3802"/>
      <c r="C1029" s="3802"/>
      <c r="D1029" s="3802"/>
      <c r="E1029" s="782" t="s">
        <v>2722</v>
      </c>
      <c r="F1029" s="752">
        <f>MAX(SUM(F1007:F1027),8%)</f>
        <v>9.5399999999999985E-2</v>
      </c>
      <c r="G1029" s="97" t="s">
        <v>781</v>
      </c>
      <c r="J1029" s="31"/>
    </row>
    <row r="1030" spans="1:10" x14ac:dyDescent="0.25">
      <c r="A1030" s="1"/>
      <c r="B1030" s="1"/>
      <c r="C1030" s="1"/>
      <c r="D1030" s="1"/>
      <c r="E1030" s="1"/>
      <c r="F1030" s="1848"/>
      <c r="G1030" s="78"/>
      <c r="J1030" s="31"/>
    </row>
    <row r="1031" spans="1:10" hidden="1" outlineLevel="1" x14ac:dyDescent="0.25">
      <c r="A1031" s="689" t="s">
        <v>113</v>
      </c>
      <c r="B1031" s="689" t="s">
        <v>114</v>
      </c>
      <c r="C1031" s="689" t="s">
        <v>112</v>
      </c>
      <c r="D1031" s="689" t="s">
        <v>116</v>
      </c>
      <c r="E1031" s="689" t="s">
        <v>117</v>
      </c>
      <c r="F1031" s="1188" t="s">
        <v>121</v>
      </c>
      <c r="G1031" s="78"/>
      <c r="J1031" s="31"/>
    </row>
    <row r="1032" spans="1:10" hidden="1" outlineLevel="1" x14ac:dyDescent="0.25">
      <c r="A1032" s="690">
        <v>1</v>
      </c>
      <c r="B1032" s="691" t="s">
        <v>252</v>
      </c>
      <c r="C1032" s="692"/>
      <c r="D1032" s="692"/>
      <c r="E1032" s="693"/>
      <c r="F1032" s="694"/>
      <c r="G1032" s="78"/>
      <c r="J1032" s="31"/>
    </row>
    <row r="1033" spans="1:10" hidden="1" outlineLevel="1" x14ac:dyDescent="0.25">
      <c r="A1033" s="695"/>
      <c r="B1033" s="695"/>
      <c r="C1033" s="696"/>
      <c r="D1033" s="697" t="s">
        <v>3702</v>
      </c>
      <c r="E1033" s="698">
        <v>41471</v>
      </c>
      <c r="F1033" s="699"/>
      <c r="G1033" s="78"/>
      <c r="J1033" s="31"/>
    </row>
    <row r="1034" spans="1:10" hidden="1" outlineLevel="1" x14ac:dyDescent="0.25">
      <c r="A1034" s="689" t="s">
        <v>4156</v>
      </c>
      <c r="B1034" s="689" t="s">
        <v>4153</v>
      </c>
      <c r="C1034" s="700" t="s">
        <v>112</v>
      </c>
      <c r="D1034" s="689" t="s">
        <v>4155</v>
      </c>
      <c r="E1034" s="495" t="s">
        <v>4154</v>
      </c>
      <c r="F1034" s="1021" t="s">
        <v>2212</v>
      </c>
      <c r="G1034" s="78"/>
      <c r="J1034" s="31"/>
    </row>
    <row r="1035" spans="1:10" hidden="1" outlineLevel="1" x14ac:dyDescent="0.25">
      <c r="A1035" s="734">
        <v>0.05</v>
      </c>
      <c r="B1035" s="755" t="s">
        <v>577</v>
      </c>
      <c r="C1035" s="807">
        <v>13.89</v>
      </c>
      <c r="D1035" s="737">
        <v>9.8249999999999993</v>
      </c>
      <c r="E1035" s="817">
        <v>-0.29265658747300227</v>
      </c>
      <c r="F1035" s="1021" t="s">
        <v>2024</v>
      </c>
      <c r="G1035" s="78"/>
      <c r="H1035" t="str">
        <f>VLOOKUP(B1035,indexy!$A$44:$D$157,3,FALSE)</f>
        <v>TEF SQ Equity</v>
      </c>
      <c r="J1035" s="31"/>
    </row>
    <row r="1036" spans="1:10" hidden="1" outlineLevel="1" x14ac:dyDescent="0.25">
      <c r="A1036" s="739">
        <v>0.05</v>
      </c>
      <c r="B1036" s="740" t="s">
        <v>1414</v>
      </c>
      <c r="C1036" s="809">
        <v>26.526</v>
      </c>
      <c r="D1036" s="737">
        <v>28.68</v>
      </c>
      <c r="E1036" s="818">
        <v>8.1203347658900693E-2</v>
      </c>
      <c r="F1036" s="946" t="s">
        <v>2024</v>
      </c>
      <c r="G1036" s="78"/>
      <c r="H1036" t="str">
        <f>VLOOKUP(B1036,indexy!$A$44:$D$157,3,FALSE)</f>
        <v>PFE UN Equity</v>
      </c>
      <c r="J1036" s="31"/>
    </row>
    <row r="1037" spans="1:10" hidden="1" outlineLevel="1" x14ac:dyDescent="0.25">
      <c r="A1037" s="739">
        <v>0.05</v>
      </c>
      <c r="B1037" s="740" t="s">
        <v>507</v>
      </c>
      <c r="C1037" s="809">
        <v>18.688333333333333</v>
      </c>
      <c r="D1037" s="737">
        <v>31.49</v>
      </c>
      <c r="E1037" s="818">
        <v>0.68500847230892714</v>
      </c>
      <c r="F1037" s="946" t="s">
        <v>2024</v>
      </c>
      <c r="G1037" s="78"/>
      <c r="H1037" t="str">
        <f>VLOOKUP(B1037,indexy!$A$44:$D$157,3,FALSE)</f>
        <v>UNA NA Equity</v>
      </c>
      <c r="J1037" s="31"/>
    </row>
    <row r="1038" spans="1:10" hidden="1" outlineLevel="1" x14ac:dyDescent="0.25">
      <c r="A1038" s="739">
        <v>0.05</v>
      </c>
      <c r="B1038" s="740" t="s">
        <v>1176</v>
      </c>
      <c r="C1038" s="809">
        <v>24.143000000000001</v>
      </c>
      <c r="D1038" s="737">
        <v>1.599</v>
      </c>
      <c r="E1038" s="818">
        <v>-0.93376962266495467</v>
      </c>
      <c r="F1038" s="946" t="s">
        <v>2024</v>
      </c>
      <c r="G1038" s="78"/>
      <c r="H1038" t="str">
        <f>VLOOKUP(B1038,indexy!$A$44:$D$157,3,FALSE)</f>
        <v>AGS BB Equity</v>
      </c>
      <c r="J1038" s="31"/>
    </row>
    <row r="1039" spans="1:10" hidden="1" outlineLevel="1" x14ac:dyDescent="0.25">
      <c r="A1039" s="756">
        <v>0.05</v>
      </c>
      <c r="B1039" s="761" t="s">
        <v>51</v>
      </c>
      <c r="C1039" s="808">
        <v>49.895000000000003</v>
      </c>
      <c r="D1039" s="759">
        <v>32.655000000000001</v>
      </c>
      <c r="E1039" s="819">
        <v>-0.34552560376791264</v>
      </c>
      <c r="F1039" s="1850" t="s">
        <v>2025</v>
      </c>
      <c r="G1039" s="78"/>
      <c r="H1039" t="str">
        <f>VLOOKUP(B1039,indexy!$A$44:$D$157,3,FALSE)</f>
        <v>SGO FP Equity</v>
      </c>
      <c r="J1039" s="31"/>
    </row>
    <row r="1040" spans="1:10" hidden="1" outlineLevel="1" x14ac:dyDescent="0.25">
      <c r="A1040" s="739">
        <v>0.05</v>
      </c>
      <c r="B1040" s="743" t="s">
        <v>1183</v>
      </c>
      <c r="C1040" s="809">
        <v>52.494999999999997</v>
      </c>
      <c r="D1040" s="737">
        <v>38.85</v>
      </c>
      <c r="E1040" s="818">
        <v>-0.25992951709686629</v>
      </c>
      <c r="F1040" s="946" t="s">
        <v>2024</v>
      </c>
      <c r="G1040" s="78"/>
      <c r="H1040" t="e">
        <f>VLOOKUP(B1040,indexy!$A$44:$D$157,3,FALSE)</f>
        <v>#N/A</v>
      </c>
      <c r="J1040" s="31"/>
    </row>
    <row r="1041" spans="1:14" hidden="1" outlineLevel="1" x14ac:dyDescent="0.25">
      <c r="A1041" s="739">
        <v>0.05</v>
      </c>
      <c r="B1041" s="743" t="s">
        <v>1184</v>
      </c>
      <c r="C1041" s="809">
        <v>29.358000000000001</v>
      </c>
      <c r="D1041" s="737">
        <v>70.09</v>
      </c>
      <c r="E1041" s="818">
        <v>1.3874242114585464</v>
      </c>
      <c r="F1041" s="946" t="s">
        <v>2024</v>
      </c>
      <c r="G1041" s="78"/>
      <c r="H1041" t="str">
        <f>VLOOKUP(B1041,indexy!$A$44:$D$157,3,FALSE)</f>
        <v>BAS GY Equity</v>
      </c>
      <c r="J1041" s="31"/>
      <c r="L1041" s="163"/>
      <c r="M1041" s="163"/>
      <c r="N1041" s="163"/>
    </row>
    <row r="1042" spans="1:14" s="163" customFormat="1" hidden="1" outlineLevel="1" x14ac:dyDescent="0.25">
      <c r="A1042" s="756">
        <v>0.05</v>
      </c>
      <c r="B1042" s="761" t="s">
        <v>1527</v>
      </c>
      <c r="C1042" s="808">
        <v>2.6779999999999999</v>
      </c>
      <c r="D1042" s="759">
        <v>0.4864</v>
      </c>
      <c r="E1042" s="819">
        <v>-0.81837191934279319</v>
      </c>
      <c r="F1042" s="1850" t="s">
        <v>2025</v>
      </c>
      <c r="G1042" s="178"/>
      <c r="H1042" t="str">
        <f>VLOOKUP(B1042,indexy!$A$44:$D$157,3,FALSE)</f>
        <v>TIT IM Equity</v>
      </c>
      <c r="J1042" s="105"/>
      <c r="L1042"/>
      <c r="M1042"/>
      <c r="N1042"/>
    </row>
    <row r="1043" spans="1:14" hidden="1" outlineLevel="1" x14ac:dyDescent="0.25">
      <c r="A1043" s="862">
        <v>0.05</v>
      </c>
      <c r="B1043" s="863" t="s">
        <v>4387</v>
      </c>
      <c r="C1043" s="864">
        <v>25.483333333333334</v>
      </c>
      <c r="D1043" s="865">
        <v>12.15</v>
      </c>
      <c r="E1043" s="866">
        <v>-0.52321778940483976</v>
      </c>
      <c r="F1043" s="1857" t="s">
        <v>2025</v>
      </c>
      <c r="G1043" s="78"/>
      <c r="H1043" t="str">
        <f>VLOOKUP(B1043,indexy!$A$44:$D$157,3,FALSE)</f>
        <v>EOAN GY Equity</v>
      </c>
      <c r="J1043" s="31"/>
      <c r="L1043" s="39"/>
      <c r="M1043" s="39"/>
      <c r="N1043" s="39"/>
    </row>
    <row r="1044" spans="1:14" s="39" customFormat="1" hidden="1" outlineLevel="1" x14ac:dyDescent="0.25">
      <c r="A1044" s="756">
        <v>0.05</v>
      </c>
      <c r="B1044" s="761" t="s">
        <v>2587</v>
      </c>
      <c r="C1044" s="808">
        <v>548.5333333333333</v>
      </c>
      <c r="D1044" s="759">
        <v>319.10000000000002</v>
      </c>
      <c r="E1044" s="819">
        <v>-0.41826689353427315</v>
      </c>
      <c r="F1044" s="1850" t="s">
        <v>2025</v>
      </c>
      <c r="G1044" s="78"/>
      <c r="H1044" t="e">
        <f>VLOOKUP(B1044,indexy!$A$44:$D$157,3,FALSE)</f>
        <v>#N/A</v>
      </c>
      <c r="J1044" s="44"/>
      <c r="L1044" s="161"/>
      <c r="M1044" s="161"/>
      <c r="N1044" s="161"/>
    </row>
    <row r="1045" spans="1:14" s="161" customFormat="1" hidden="1" outlineLevel="1" x14ac:dyDescent="0.25">
      <c r="A1045" s="756">
        <v>0.05</v>
      </c>
      <c r="B1045" s="761" t="s">
        <v>1187</v>
      </c>
      <c r="C1045" s="808">
        <v>71.27</v>
      </c>
      <c r="D1045" s="759">
        <v>78.94</v>
      </c>
      <c r="E1045" s="819">
        <v>0.10761891398905576</v>
      </c>
      <c r="F1045" s="1850" t="s">
        <v>2025</v>
      </c>
      <c r="G1045" s="178"/>
      <c r="H1045" t="str">
        <f>VLOOKUP(B1045,indexy!$A$44:$D$157,3,FALSE)</f>
        <v>SAN FP Equity</v>
      </c>
      <c r="J1045" s="162"/>
      <c r="L1045" s="39"/>
      <c r="M1045" s="39"/>
      <c r="N1045" s="39"/>
    </row>
    <row r="1046" spans="1:14" s="39" customFormat="1" hidden="1" outlineLevel="1" x14ac:dyDescent="0.25">
      <c r="A1046" s="756">
        <v>0.05</v>
      </c>
      <c r="B1046" s="761" t="s">
        <v>2588</v>
      </c>
      <c r="C1046" s="808">
        <v>24.710999999999999</v>
      </c>
      <c r="D1046" s="759">
        <v>7.21</v>
      </c>
      <c r="E1046" s="819">
        <v>-0.70822710533770383</v>
      </c>
      <c r="F1046" s="1850" t="s">
        <v>2025</v>
      </c>
      <c r="G1046" s="78"/>
      <c r="H1046" t="str">
        <f>VLOOKUP(B1046,indexy!$A$44:$D$157,3,FALSE)</f>
        <v>INGA NA Equity</v>
      </c>
      <c r="J1046" s="44"/>
    </row>
    <row r="1047" spans="1:14" s="39" customFormat="1" hidden="1" outlineLevel="1" x14ac:dyDescent="0.25">
      <c r="A1047" s="739">
        <v>0.05</v>
      </c>
      <c r="B1047" s="740" t="s">
        <v>1188</v>
      </c>
      <c r="C1047" s="809">
        <v>644.54999999999995</v>
      </c>
      <c r="D1047" s="737">
        <v>465.2</v>
      </c>
      <c r="E1047" s="818">
        <v>-0.27825614769994567</v>
      </c>
      <c r="F1047" s="946" t="s">
        <v>2024</v>
      </c>
      <c r="G1047" s="78"/>
      <c r="H1047" t="str">
        <f>VLOOKUP(B1047,indexy!$A$44:$D$157,3,FALSE)</f>
        <v>BP/ LN Equity</v>
      </c>
      <c r="J1047" s="44"/>
      <c r="L1047"/>
      <c r="M1047"/>
      <c r="N1047"/>
    </row>
    <row r="1048" spans="1:14" hidden="1" outlineLevel="1" x14ac:dyDescent="0.25">
      <c r="A1048" s="739">
        <v>0.05</v>
      </c>
      <c r="B1048" s="740" t="s">
        <v>1001</v>
      </c>
      <c r="C1048" s="809">
        <v>27.082000000000001</v>
      </c>
      <c r="D1048" s="737">
        <v>36.25</v>
      </c>
      <c r="E1048" s="818">
        <v>0.33852743519680972</v>
      </c>
      <c r="F1048" s="946" t="s">
        <v>2024</v>
      </c>
      <c r="G1048" s="78"/>
      <c r="H1048" t="str">
        <f>VLOOKUP(B1048,indexy!$A$44:$D$157,3,FALSE)</f>
        <v>MSFT UW Equity</v>
      </c>
      <c r="J1048" s="31"/>
    </row>
    <row r="1049" spans="1:14" hidden="1" outlineLevel="1" x14ac:dyDescent="0.25">
      <c r="A1049" s="739">
        <v>0.05</v>
      </c>
      <c r="B1049" s="740" t="s">
        <v>1002</v>
      </c>
      <c r="C1049" s="809">
        <v>13.375</v>
      </c>
      <c r="D1049" s="737">
        <v>31.25</v>
      </c>
      <c r="E1049" s="818">
        <v>1.3364485981308412</v>
      </c>
      <c r="F1049" s="946" t="s">
        <v>2024</v>
      </c>
      <c r="G1049" s="78"/>
      <c r="H1049" t="str">
        <f>VLOOKUP(B1049,indexy!$A$44:$D$157,3,FALSE)</f>
        <v>ORCL UN Equity</v>
      </c>
      <c r="J1049" s="31"/>
    </row>
    <row r="1050" spans="1:14" hidden="1" outlineLevel="1" x14ac:dyDescent="0.25">
      <c r="A1050" s="739">
        <v>0.05</v>
      </c>
      <c r="B1050" s="740" t="s">
        <v>3425</v>
      </c>
      <c r="C1050" s="809">
        <v>59.485999999999997</v>
      </c>
      <c r="D1050" s="737">
        <v>93.3</v>
      </c>
      <c r="E1050" s="818">
        <v>0.56843627071916081</v>
      </c>
      <c r="F1050" s="946" t="s">
        <v>2024</v>
      </c>
      <c r="G1050" s="78"/>
      <c r="H1050" t="str">
        <f>VLOOKUP(B1050,indexy!$A$44:$D$157,3,FALSE)</f>
        <v>XOM UN Equity</v>
      </c>
      <c r="J1050" s="31"/>
    </row>
    <row r="1051" spans="1:14" hidden="1" outlineLevel="1" x14ac:dyDescent="0.25">
      <c r="A1051" s="739">
        <v>0.05</v>
      </c>
      <c r="B1051" s="740" t="s">
        <v>1003</v>
      </c>
      <c r="C1051" s="809">
        <v>32.134</v>
      </c>
      <c r="D1051" s="737">
        <v>29.11</v>
      </c>
      <c r="E1051" s="818">
        <v>-9.4105931412211352E-2</v>
      </c>
      <c r="F1051" s="946" t="s">
        <v>2024</v>
      </c>
      <c r="G1051" s="78"/>
      <c r="H1051" t="str">
        <f>VLOOKUP(B1051,indexy!$A$44:$D$157,3,FALSE)</f>
        <v>TXN UW Equity</v>
      </c>
      <c r="J1051" s="31"/>
    </row>
    <row r="1052" spans="1:14" hidden="1" outlineLevel="1" x14ac:dyDescent="0.25">
      <c r="A1052" s="756">
        <v>0.05</v>
      </c>
      <c r="B1052" s="761" t="s">
        <v>1207</v>
      </c>
      <c r="C1052" s="808">
        <v>3739</v>
      </c>
      <c r="D1052" s="759">
        <v>2194</v>
      </c>
      <c r="E1052" s="819">
        <v>-0.41321208879379512</v>
      </c>
      <c r="F1052" s="1850" t="s">
        <v>2025</v>
      </c>
      <c r="G1052" s="78"/>
      <c r="H1052" t="str">
        <f>VLOOKUP(B1052,indexy!$A$44:$D$157,3,FALSE)</f>
        <v>6758 JT Equity</v>
      </c>
      <c r="J1052" s="31"/>
    </row>
    <row r="1053" spans="1:14" hidden="1" outlineLevel="1" x14ac:dyDescent="0.25">
      <c r="A1053" s="739">
        <v>0.05</v>
      </c>
      <c r="B1053" s="743" t="s">
        <v>3551</v>
      </c>
      <c r="C1053" s="809">
        <v>4275</v>
      </c>
      <c r="D1053" s="737">
        <v>6460</v>
      </c>
      <c r="E1053" s="818">
        <v>0.51111111111111107</v>
      </c>
      <c r="F1053" s="946" t="s">
        <v>2024</v>
      </c>
      <c r="G1053" s="78"/>
      <c r="H1053" t="str">
        <f>VLOOKUP(B1053,indexy!$A$44:$D$157,3,FALSE)</f>
        <v>7203 JT Equity</v>
      </c>
      <c r="J1053" s="31"/>
    </row>
    <row r="1054" spans="1:14" hidden="1" outlineLevel="1" x14ac:dyDescent="0.25">
      <c r="A1054" s="745">
        <v>0.05</v>
      </c>
      <c r="B1054" s="746" t="s">
        <v>157</v>
      </c>
      <c r="C1054" s="810">
        <v>7.4836</v>
      </c>
      <c r="D1054" s="737">
        <v>4.87</v>
      </c>
      <c r="E1054" s="825">
        <v>-0.3492436795125341</v>
      </c>
      <c r="F1054" s="1023" t="s">
        <v>2024</v>
      </c>
      <c r="G1054" s="78"/>
      <c r="H1054" t="str">
        <f>VLOOKUP(B1054,indexy!$A$44:$D$157,3,FALSE)</f>
        <v>SAN SM Equity</v>
      </c>
      <c r="J1054" s="31"/>
    </row>
    <row r="1055" spans="1:14" hidden="1" outlineLevel="1" x14ac:dyDescent="0.25">
      <c r="A1055" s="749"/>
      <c r="B1055" s="750"/>
      <c r="C1055" s="811"/>
      <c r="D1055" s="867"/>
      <c r="E1055" s="826">
        <v>-2.0950226273373975E-2</v>
      </c>
      <c r="F1055" s="770"/>
      <c r="G1055" s="78"/>
      <c r="J1055" s="31"/>
    </row>
    <row r="1056" spans="1:14" hidden="1" outlineLevel="1" x14ac:dyDescent="0.25">
      <c r="A1056" s="751" t="s">
        <v>2536</v>
      </c>
      <c r="B1056" s="750"/>
      <c r="C1056" s="811"/>
      <c r="D1056" s="811"/>
      <c r="E1056" s="826"/>
      <c r="F1056" s="770">
        <v>3.5999999999999997E-2</v>
      </c>
      <c r="G1056" s="78"/>
      <c r="J1056" s="252"/>
    </row>
    <row r="1057" spans="1:10" hidden="1" outlineLevel="1" x14ac:dyDescent="0.25">
      <c r="A1057" s="751" t="s">
        <v>2537</v>
      </c>
      <c r="B1057" s="750" t="s">
        <v>2332</v>
      </c>
      <c r="C1057" s="811"/>
      <c r="D1057" s="811"/>
      <c r="E1057" s="826"/>
      <c r="F1057" s="770">
        <v>2.3999999999999997E-2</v>
      </c>
      <c r="G1057" s="78"/>
      <c r="J1057" s="31"/>
    </row>
    <row r="1058" spans="1:10" hidden="1" outlineLevel="1" x14ac:dyDescent="0.25">
      <c r="A1058" s="751" t="s">
        <v>2538</v>
      </c>
      <c r="B1058" s="750" t="s">
        <v>1742</v>
      </c>
      <c r="C1058" s="811"/>
      <c r="D1058" s="811"/>
      <c r="E1058" s="826"/>
      <c r="F1058" s="770">
        <v>1.5999999999999997E-2</v>
      </c>
      <c r="G1058" s="78"/>
      <c r="H1058" s="164"/>
      <c r="J1058" s="31"/>
    </row>
    <row r="1059" spans="1:10" hidden="1" outlineLevel="1" x14ac:dyDescent="0.25">
      <c r="A1059" s="751" t="s">
        <v>2539</v>
      </c>
      <c r="B1059" s="750" t="s">
        <v>2213</v>
      </c>
      <c r="C1059" s="811"/>
      <c r="D1059" s="811"/>
      <c r="E1059" s="826"/>
      <c r="F1059" s="770">
        <v>1.06E-2</v>
      </c>
      <c r="G1059" s="78"/>
      <c r="J1059" s="31"/>
    </row>
    <row r="1060" spans="1:10" hidden="1" outlineLevel="1" x14ac:dyDescent="0.25">
      <c r="A1060" s="751" t="s">
        <v>2540</v>
      </c>
      <c r="B1060" s="750" t="s">
        <v>3637</v>
      </c>
      <c r="C1060" s="811"/>
      <c r="D1060" s="811"/>
      <c r="E1060" s="826"/>
      <c r="F1060" s="770">
        <v>7.1000000000000004E-3</v>
      </c>
      <c r="G1060" s="78"/>
      <c r="J1060" s="31"/>
    </row>
    <row r="1061" spans="1:10" hidden="1" outlineLevel="1" x14ac:dyDescent="0.25">
      <c r="A1061" s="751" t="s">
        <v>2541</v>
      </c>
      <c r="B1061" s="750" t="s">
        <v>2254</v>
      </c>
      <c r="C1061" s="811"/>
      <c r="D1061" s="811"/>
      <c r="E1061" s="826"/>
      <c r="F1061" s="770">
        <v>4.7000000000000002E-3</v>
      </c>
      <c r="G1061" s="78"/>
      <c r="J1061" s="31"/>
    </row>
    <row r="1062" spans="1:10" hidden="1" outlineLevel="1" x14ac:dyDescent="0.25">
      <c r="A1062" s="751" t="s">
        <v>2542</v>
      </c>
      <c r="B1062" s="750" t="s">
        <v>5343</v>
      </c>
      <c r="C1062" s="811"/>
      <c r="D1062" s="811"/>
      <c r="E1062" s="826"/>
      <c r="F1062" s="770">
        <v>3.0999999999999999E-3</v>
      </c>
      <c r="G1062" s="78"/>
      <c r="J1062" s="31"/>
    </row>
    <row r="1063" spans="1:10" hidden="1" outlineLevel="1" x14ac:dyDescent="0.25">
      <c r="A1063" s="751" t="s">
        <v>2394</v>
      </c>
      <c r="B1063" s="750" t="s">
        <v>5638</v>
      </c>
      <c r="C1063" s="811"/>
      <c r="D1063" s="811"/>
      <c r="E1063" s="826"/>
      <c r="F1063" s="770">
        <v>2.0999999999999999E-3</v>
      </c>
      <c r="G1063" s="78"/>
      <c r="J1063" s="31"/>
    </row>
    <row r="1064" spans="1:10" collapsed="1" x14ac:dyDescent="0.25">
      <c r="A1064" s="3801" t="s">
        <v>4033</v>
      </c>
      <c r="B1064" s="3802"/>
      <c r="C1064" s="3802"/>
      <c r="D1064" s="3802"/>
      <c r="E1064" s="821"/>
      <c r="F1064" s="752">
        <v>0.1036</v>
      </c>
      <c r="G1064" s="97" t="s">
        <v>781</v>
      </c>
      <c r="J1064" s="31"/>
    </row>
    <row r="1065" spans="1:10" x14ac:dyDescent="0.25">
      <c r="A1065" s="1"/>
      <c r="B1065" s="1"/>
      <c r="C1065" s="1"/>
      <c r="D1065" s="1"/>
      <c r="E1065" s="1"/>
      <c r="F1065" s="1848"/>
      <c r="G1065" s="78"/>
      <c r="J1065" s="31"/>
    </row>
    <row r="1066" spans="1:10" hidden="1" outlineLevel="1" x14ac:dyDescent="0.25">
      <c r="A1066" s="689" t="s">
        <v>113</v>
      </c>
      <c r="B1066" s="689" t="s">
        <v>114</v>
      </c>
      <c r="C1066" s="689" t="s">
        <v>112</v>
      </c>
      <c r="D1066" s="689" t="s">
        <v>116</v>
      </c>
      <c r="E1066" s="689" t="s">
        <v>117</v>
      </c>
      <c r="F1066" s="1188" t="s">
        <v>121</v>
      </c>
      <c r="G1066" s="78"/>
      <c r="J1066" s="31"/>
    </row>
    <row r="1067" spans="1:10" hidden="1" outlineLevel="1" x14ac:dyDescent="0.25">
      <c r="A1067" s="753" t="s">
        <v>1004</v>
      </c>
      <c r="B1067" s="691" t="s">
        <v>115</v>
      </c>
      <c r="C1067" s="793">
        <v>3385.1570000000002</v>
      </c>
      <c r="D1067" s="793">
        <v>3823.7069999999999</v>
      </c>
      <c r="E1067" s="3813">
        <v>9.6500000000000002E-2</v>
      </c>
      <c r="F1067" s="3816">
        <v>0.03</v>
      </c>
      <c r="G1067" s="78"/>
      <c r="J1067" s="31"/>
    </row>
    <row r="1068" spans="1:10" hidden="1" outlineLevel="1" x14ac:dyDescent="0.25">
      <c r="A1068" s="754" t="s">
        <v>1004</v>
      </c>
      <c r="B1068" s="695" t="s">
        <v>760</v>
      </c>
      <c r="C1068" s="797">
        <v>1219.2819999999999</v>
      </c>
      <c r="D1068" s="797">
        <v>1296.558</v>
      </c>
      <c r="E1068" s="3814"/>
      <c r="F1068" s="3817"/>
      <c r="G1068" s="78"/>
      <c r="J1068" s="31"/>
    </row>
    <row r="1069" spans="1:10" hidden="1" outlineLevel="1" x14ac:dyDescent="0.25">
      <c r="A1069" s="753" t="s">
        <v>1005</v>
      </c>
      <c r="B1069" s="691" t="s">
        <v>115</v>
      </c>
      <c r="C1069" s="793">
        <v>3823.7069999999999</v>
      </c>
      <c r="D1069" s="692">
        <v>3943.402</v>
      </c>
      <c r="E1069" s="3813">
        <v>3.61E-2</v>
      </c>
      <c r="F1069" s="3816">
        <v>0.03</v>
      </c>
      <c r="G1069" s="78"/>
      <c r="J1069" s="31"/>
    </row>
    <row r="1070" spans="1:10" hidden="1" outlineLevel="1" x14ac:dyDescent="0.25">
      <c r="A1070" s="754" t="s">
        <v>1005</v>
      </c>
      <c r="B1070" s="695" t="s">
        <v>760</v>
      </c>
      <c r="C1070" s="797">
        <v>1296.558</v>
      </c>
      <c r="D1070" s="696">
        <v>1350.0930000000001</v>
      </c>
      <c r="E1070" s="3814"/>
      <c r="F1070" s="3817"/>
      <c r="G1070" s="78"/>
      <c r="J1070" s="31"/>
    </row>
    <row r="1071" spans="1:10" hidden="1" outlineLevel="1" x14ac:dyDescent="0.25">
      <c r="A1071" s="753" t="s">
        <v>1006</v>
      </c>
      <c r="B1071" s="691" t="s">
        <v>115</v>
      </c>
      <c r="C1071" s="692">
        <v>3943.402</v>
      </c>
      <c r="D1071" s="843">
        <v>4292.4889999999996</v>
      </c>
      <c r="E1071" s="3813">
        <v>7.9500000000000001E-2</v>
      </c>
      <c r="F1071" s="3816">
        <v>0.03</v>
      </c>
      <c r="G1071" s="78"/>
      <c r="J1071" s="31"/>
    </row>
    <row r="1072" spans="1:10" hidden="1" outlineLevel="1" x14ac:dyDescent="0.25">
      <c r="A1072" s="754" t="s">
        <v>1006</v>
      </c>
      <c r="B1072" s="695" t="s">
        <v>760</v>
      </c>
      <c r="C1072" s="696">
        <v>1350.0930000000001</v>
      </c>
      <c r="D1072" s="798">
        <v>1444.644</v>
      </c>
      <c r="E1072" s="3814"/>
      <c r="F1072" s="3817"/>
      <c r="G1072" s="78"/>
      <c r="J1072" s="31"/>
    </row>
    <row r="1073" spans="1:10" hidden="1" outlineLevel="1" x14ac:dyDescent="0.25">
      <c r="A1073" s="753" t="s">
        <v>1007</v>
      </c>
      <c r="B1073" s="691" t="s">
        <v>115</v>
      </c>
      <c r="C1073" s="843">
        <v>4292.4889999999996</v>
      </c>
      <c r="D1073" s="691">
        <v>4440.9589999999998</v>
      </c>
      <c r="E1073" s="3813">
        <v>5.4100000000000002E-2</v>
      </c>
      <c r="F1073" s="3816">
        <v>0.03</v>
      </c>
      <c r="G1073" s="78"/>
      <c r="J1073" s="31"/>
    </row>
    <row r="1074" spans="1:10" hidden="1" outlineLevel="1" x14ac:dyDescent="0.25">
      <c r="A1074" s="754" t="s">
        <v>1007</v>
      </c>
      <c r="B1074" s="695" t="s">
        <v>760</v>
      </c>
      <c r="C1074" s="798">
        <v>1444.644</v>
      </c>
      <c r="D1074" s="695">
        <v>1553.01</v>
      </c>
      <c r="E1074" s="3814"/>
      <c r="F1074" s="3817"/>
      <c r="G1074" s="78"/>
      <c r="J1074" s="31"/>
    </row>
    <row r="1075" spans="1:10" hidden="1" outlineLevel="1" x14ac:dyDescent="0.25">
      <c r="A1075" s="753" t="s">
        <v>3973</v>
      </c>
      <c r="B1075" s="691" t="s">
        <v>115</v>
      </c>
      <c r="C1075" s="691">
        <v>4440.9589999999998</v>
      </c>
      <c r="D1075" s="691">
        <v>3766.5810000000001</v>
      </c>
      <c r="E1075" s="3813">
        <v>-0.13850000000000001</v>
      </c>
      <c r="F1075" s="3816">
        <v>-0.03</v>
      </c>
      <c r="G1075" s="78"/>
      <c r="J1075" s="31"/>
    </row>
    <row r="1076" spans="1:10" hidden="1" outlineLevel="1" x14ac:dyDescent="0.25">
      <c r="A1076" s="754" t="s">
        <v>3973</v>
      </c>
      <c r="B1076" s="695" t="s">
        <v>760</v>
      </c>
      <c r="C1076" s="695">
        <v>1553.01</v>
      </c>
      <c r="D1076" s="695">
        <v>1359.1690000000001</v>
      </c>
      <c r="E1076" s="3814"/>
      <c r="F1076" s="3817"/>
      <c r="G1076" s="78"/>
      <c r="J1076" s="31"/>
    </row>
    <row r="1077" spans="1:10" hidden="1" outlineLevel="1" x14ac:dyDescent="0.25">
      <c r="A1077" s="753" t="s">
        <v>3974</v>
      </c>
      <c r="B1077" s="691" t="s">
        <v>115</v>
      </c>
      <c r="C1077" s="691">
        <v>3766.5810000000001</v>
      </c>
      <c r="D1077" s="691">
        <v>2812.7620000000002</v>
      </c>
      <c r="E1077" s="3813">
        <v>-0.2505</v>
      </c>
      <c r="F1077" s="3816">
        <v>-0.03</v>
      </c>
      <c r="G1077" s="78"/>
      <c r="J1077" s="31"/>
    </row>
    <row r="1078" spans="1:10" hidden="1" outlineLevel="1" x14ac:dyDescent="0.25">
      <c r="A1078" s="754" t="s">
        <v>3974</v>
      </c>
      <c r="B1078" s="695" t="s">
        <v>760</v>
      </c>
      <c r="C1078" s="695">
        <v>1359.1690000000001</v>
      </c>
      <c r="D1078" s="695">
        <v>1022.313</v>
      </c>
      <c r="E1078" s="3814"/>
      <c r="F1078" s="3817"/>
      <c r="G1078" s="78"/>
      <c r="J1078" s="31"/>
    </row>
    <row r="1079" spans="1:10" hidden="1" outlineLevel="1" x14ac:dyDescent="0.25">
      <c r="A1079" s="753" t="s">
        <v>3975</v>
      </c>
      <c r="B1079" s="691" t="s">
        <v>115</v>
      </c>
      <c r="C1079" s="691">
        <v>2812.7620000000002</v>
      </c>
      <c r="D1079" s="691">
        <v>2213.4899999999998</v>
      </c>
      <c r="E1079" s="3813">
        <v>-0.16689999999999999</v>
      </c>
      <c r="F1079" s="3816">
        <v>-0.03</v>
      </c>
      <c r="G1079" s="78"/>
      <c r="J1079" s="31"/>
    </row>
    <row r="1080" spans="1:10" hidden="1" outlineLevel="1" x14ac:dyDescent="0.25">
      <c r="A1080" s="754" t="s">
        <v>3975</v>
      </c>
      <c r="B1080" s="695" t="s">
        <v>760</v>
      </c>
      <c r="C1080" s="695">
        <v>1022.313</v>
      </c>
      <c r="D1080" s="695">
        <v>837.3</v>
      </c>
      <c r="E1080" s="3814"/>
      <c r="F1080" s="3817"/>
      <c r="G1080" s="78"/>
      <c r="J1080" s="31"/>
    </row>
    <row r="1081" spans="1:10" hidden="1" outlineLevel="1" x14ac:dyDescent="0.25">
      <c r="A1081" s="753" t="s">
        <v>3976</v>
      </c>
      <c r="B1081" s="691" t="s">
        <v>115</v>
      </c>
      <c r="C1081" s="691">
        <v>2213.4899999999998</v>
      </c>
      <c r="D1081" s="691">
        <v>2859.373</v>
      </c>
      <c r="E1081" s="3813">
        <v>0.2777</v>
      </c>
      <c r="F1081" s="3816">
        <v>0.03</v>
      </c>
      <c r="G1081" s="78"/>
      <c r="J1081" s="31"/>
    </row>
    <row r="1082" spans="1:10" hidden="1" outlineLevel="1" x14ac:dyDescent="0.25">
      <c r="A1082" s="754" t="s">
        <v>3976</v>
      </c>
      <c r="B1082" s="695" t="s">
        <v>760</v>
      </c>
      <c r="C1082" s="695">
        <v>837.3</v>
      </c>
      <c r="D1082" s="695">
        <v>1058.6189999999999</v>
      </c>
      <c r="E1082" s="3814"/>
      <c r="F1082" s="3817"/>
      <c r="G1082" s="78"/>
      <c r="J1082" s="31"/>
    </row>
    <row r="1083" spans="1:10" hidden="1" outlineLevel="1" x14ac:dyDescent="0.25">
      <c r="A1083" s="753" t="s">
        <v>4501</v>
      </c>
      <c r="B1083" s="691" t="s">
        <v>115</v>
      </c>
      <c r="C1083" s="691">
        <v>2859.373</v>
      </c>
      <c r="D1083" s="691">
        <v>2983.9259999999999</v>
      </c>
      <c r="E1083" s="3813">
        <v>8.5999999999999993E-2</v>
      </c>
      <c r="F1083" s="3816">
        <v>0.03</v>
      </c>
      <c r="G1083" s="78"/>
      <c r="J1083" s="31"/>
    </row>
    <row r="1084" spans="1:10" hidden="1" outlineLevel="1" x14ac:dyDescent="0.25">
      <c r="A1084" s="754" t="s">
        <v>4501</v>
      </c>
      <c r="B1084" s="695" t="s">
        <v>760</v>
      </c>
      <c r="C1084" s="695">
        <v>1058.6189999999999</v>
      </c>
      <c r="D1084" s="695">
        <v>1193.434</v>
      </c>
      <c r="E1084" s="3814"/>
      <c r="F1084" s="3817"/>
      <c r="G1084" s="78"/>
      <c r="J1084" s="31"/>
    </row>
    <row r="1085" spans="1:10" hidden="1" outlineLevel="1" x14ac:dyDescent="0.25">
      <c r="A1085" s="753" t="s">
        <v>4502</v>
      </c>
      <c r="B1085" s="691" t="s">
        <v>115</v>
      </c>
      <c r="C1085" s="691">
        <v>2983.9259999999999</v>
      </c>
      <c r="D1085" s="691">
        <v>2778.6930000000002</v>
      </c>
      <c r="E1085" s="3813">
        <v>-4.6699999999999998E-2</v>
      </c>
      <c r="F1085" s="3816">
        <v>-0.03</v>
      </c>
      <c r="G1085" s="78"/>
      <c r="J1085" s="31"/>
    </row>
    <row r="1086" spans="1:10" hidden="1" outlineLevel="1" x14ac:dyDescent="0.25">
      <c r="A1086" s="754" t="s">
        <v>4502</v>
      </c>
      <c r="B1086" s="695" t="s">
        <v>760</v>
      </c>
      <c r="C1086" s="695">
        <v>1193.434</v>
      </c>
      <c r="D1086" s="695">
        <v>1161.42</v>
      </c>
      <c r="E1086" s="3814"/>
      <c r="F1086" s="3817"/>
      <c r="G1086" s="78"/>
      <c r="J1086" s="31"/>
    </row>
    <row r="1087" spans="1:10" hidden="1" outlineLevel="1" x14ac:dyDescent="0.25">
      <c r="A1087" s="753" t="s">
        <v>919</v>
      </c>
      <c r="B1087" s="691" t="s">
        <v>115</v>
      </c>
      <c r="C1087" s="691">
        <v>2778.6930000000002</v>
      </c>
      <c r="D1087" s="691">
        <v>2956.4160000000002</v>
      </c>
      <c r="E1087" s="3835">
        <v>0.10580000000000001</v>
      </c>
      <c r="F1087" s="3816">
        <v>0.03</v>
      </c>
      <c r="G1087" s="78"/>
      <c r="J1087" s="31"/>
    </row>
    <row r="1088" spans="1:10" hidden="1" outlineLevel="1" x14ac:dyDescent="0.25">
      <c r="A1088" s="754" t="s">
        <v>919</v>
      </c>
      <c r="B1088" s="726" t="s">
        <v>760</v>
      </c>
      <c r="C1088" s="695">
        <v>1161.42</v>
      </c>
      <c r="D1088" s="726">
        <v>1326.268</v>
      </c>
      <c r="E1088" s="3823"/>
      <c r="F1088" s="3817"/>
      <c r="G1088" s="78"/>
      <c r="J1088" s="31"/>
    </row>
    <row r="1089" spans="1:16" hidden="1" outlineLevel="1" x14ac:dyDescent="0.25">
      <c r="A1089" s="753" t="s">
        <v>920</v>
      </c>
      <c r="B1089" s="691" t="s">
        <v>115</v>
      </c>
      <c r="C1089" s="691">
        <v>2956.4160000000002</v>
      </c>
      <c r="D1089" s="691">
        <v>2262.364</v>
      </c>
      <c r="E1089" s="3836">
        <v>-16.93</v>
      </c>
      <c r="F1089" s="3816">
        <v>-0.03</v>
      </c>
      <c r="G1089" s="78"/>
      <c r="J1089" s="31"/>
    </row>
    <row r="1090" spans="1:16" hidden="1" outlineLevel="1" x14ac:dyDescent="0.25">
      <c r="A1090" s="754" t="s">
        <v>920</v>
      </c>
      <c r="B1090" s="726" t="s">
        <v>760</v>
      </c>
      <c r="C1090" s="726">
        <v>1326.268</v>
      </c>
      <c r="D1090" s="726">
        <v>1171.356</v>
      </c>
      <c r="E1090" s="3823"/>
      <c r="F1090" s="3817"/>
      <c r="G1090" s="78"/>
      <c r="J1090" s="31"/>
    </row>
    <row r="1091" spans="1:16" collapsed="1" x14ac:dyDescent="0.25">
      <c r="A1091" s="3801" t="s">
        <v>3961</v>
      </c>
      <c r="B1091" s="3802"/>
      <c r="C1091" s="3802"/>
      <c r="D1091" s="3802"/>
      <c r="E1091" s="729"/>
      <c r="F1091" s="752">
        <f>MAX(SUM(F1067:F1090),7%)</f>
        <v>7.0000000000000007E-2</v>
      </c>
      <c r="G1091" s="97" t="s">
        <v>781</v>
      </c>
      <c r="J1091" s="31"/>
    </row>
    <row r="1092" spans="1:16" x14ac:dyDescent="0.25">
      <c r="A1092" s="1"/>
      <c r="B1092" s="1"/>
      <c r="C1092" s="1"/>
      <c r="D1092" s="1"/>
      <c r="E1092" s="1"/>
      <c r="F1092" s="1848"/>
      <c r="G1092" s="78"/>
      <c r="J1092" s="31"/>
    </row>
    <row r="1093" spans="1:16" hidden="1" outlineLevel="1" x14ac:dyDescent="0.25">
      <c r="A1093" s="689" t="s">
        <v>113</v>
      </c>
      <c r="B1093" s="689" t="s">
        <v>114</v>
      </c>
      <c r="C1093" s="689" t="s">
        <v>112</v>
      </c>
      <c r="D1093" s="689" t="s">
        <v>116</v>
      </c>
      <c r="E1093" s="689" t="s">
        <v>117</v>
      </c>
      <c r="F1093" s="1188" t="s">
        <v>121</v>
      </c>
      <c r="G1093" s="78"/>
      <c r="J1093" s="31"/>
    </row>
    <row r="1094" spans="1:16" hidden="1" outlineLevel="1" x14ac:dyDescent="0.25">
      <c r="A1094" s="690">
        <v>1</v>
      </c>
      <c r="B1094" s="691" t="s">
        <v>252</v>
      </c>
      <c r="C1094" s="692">
        <v>100</v>
      </c>
      <c r="D1094" s="692"/>
      <c r="E1094" s="693"/>
      <c r="F1094" s="694"/>
      <c r="G1094" s="78"/>
      <c r="J1094" s="31"/>
      <c r="O1094" s="21"/>
      <c r="P1094" s="21"/>
    </row>
    <row r="1095" spans="1:16" ht="13.8" hidden="1" outlineLevel="1" thickBot="1" x14ac:dyDescent="0.3">
      <c r="A1095" s="695"/>
      <c r="B1095" s="695"/>
      <c r="C1095" s="696"/>
      <c r="D1095" s="697" t="s">
        <v>3702</v>
      </c>
      <c r="E1095" s="698">
        <v>43861</v>
      </c>
      <c r="F1095" s="699"/>
      <c r="G1095" s="78"/>
      <c r="J1095" s="31"/>
      <c r="O1095" s="21"/>
      <c r="P1095" s="21"/>
    </row>
    <row r="1096" spans="1:16" ht="13.8" hidden="1" outlineLevel="1" thickBot="1" x14ac:dyDescent="0.3">
      <c r="A1096" s="689" t="s">
        <v>4156</v>
      </c>
      <c r="B1096" s="495" t="s">
        <v>4153</v>
      </c>
      <c r="C1096" s="700" t="s">
        <v>112</v>
      </c>
      <c r="D1096" s="689" t="s">
        <v>4155</v>
      </c>
      <c r="E1096" s="689" t="s">
        <v>4154</v>
      </c>
      <c r="F1096" s="1021" t="s">
        <v>2519</v>
      </c>
      <c r="G1096" s="78"/>
      <c r="J1096" s="280" t="s">
        <v>1445</v>
      </c>
      <c r="K1096" s="281" t="s">
        <v>1446</v>
      </c>
      <c r="L1096" s="282" t="s">
        <v>1447</v>
      </c>
      <c r="O1096" s="21"/>
      <c r="P1096" s="21"/>
    </row>
    <row r="1097" spans="1:16" ht="13.8" hidden="1" outlineLevel="1" x14ac:dyDescent="0.3">
      <c r="A1097" s="734">
        <v>0.04</v>
      </c>
      <c r="B1097" s="755" t="s">
        <v>577</v>
      </c>
      <c r="C1097" s="868">
        <v>13.603999999999999</v>
      </c>
      <c r="D1097" s="737">
        <v>6.109</v>
      </c>
      <c r="E1097" s="738">
        <v>-0.55094089973537197</v>
      </c>
      <c r="F1097" s="1021">
        <v>-2.203763598941488E-2</v>
      </c>
      <c r="G1097" s="78"/>
      <c r="H1097" t="s">
        <v>6732</v>
      </c>
      <c r="J1097" s="279" t="s">
        <v>3242</v>
      </c>
      <c r="K1097" s="168">
        <v>84.9876</v>
      </c>
      <c r="L1097" s="82">
        <v>-0.15012400000000004</v>
      </c>
      <c r="O1097" s="287"/>
      <c r="P1097" s="21"/>
    </row>
    <row r="1098" spans="1:16" ht="13.8" hidden="1" outlineLevel="1" x14ac:dyDescent="0.3">
      <c r="A1098" s="739">
        <v>0.02</v>
      </c>
      <c r="B1098" s="740" t="s">
        <v>3017</v>
      </c>
      <c r="C1098" s="869">
        <v>18.715</v>
      </c>
      <c r="D1098" s="737">
        <v>18.5</v>
      </c>
      <c r="E1098" s="742">
        <v>-1.1488111140796176E-2</v>
      </c>
      <c r="F1098" s="946">
        <v>-2.2976222281592351E-4</v>
      </c>
      <c r="G1098" s="78"/>
      <c r="H1098" t="s">
        <v>1793</v>
      </c>
      <c r="J1098" s="274" t="s">
        <v>22</v>
      </c>
      <c r="K1098" s="158">
        <v>81.2136</v>
      </c>
      <c r="L1098" s="72">
        <v>-0.18786400000000003</v>
      </c>
      <c r="M1098" s="39"/>
      <c r="N1098" s="39"/>
      <c r="O1098" s="287"/>
      <c r="P1098" s="21"/>
    </row>
    <row r="1099" spans="1:16" s="39" customFormat="1" ht="13.8" hidden="1" outlineLevel="1" x14ac:dyDescent="0.3">
      <c r="A1099" s="739">
        <v>0.02</v>
      </c>
      <c r="B1099" s="740" t="s">
        <v>1176</v>
      </c>
      <c r="C1099" s="869">
        <v>23.96</v>
      </c>
      <c r="D1099" s="737">
        <v>49.77</v>
      </c>
      <c r="E1099" s="742">
        <v>1.077212020033389</v>
      </c>
      <c r="F1099" s="946">
        <v>2.1544240400667779E-2</v>
      </c>
      <c r="G1099" s="12"/>
      <c r="H1099" t="s">
        <v>3090</v>
      </c>
      <c r="J1099" s="274" t="s">
        <v>23</v>
      </c>
      <c r="K1099" s="195">
        <v>80.331100000000006</v>
      </c>
      <c r="L1099" s="72">
        <v>-0.19668899999999989</v>
      </c>
      <c r="M1099"/>
      <c r="N1099"/>
      <c r="O1099" s="287"/>
      <c r="P1099" s="12"/>
    </row>
    <row r="1100" spans="1:16" ht="13.8" hidden="1" outlineLevel="1" x14ac:dyDescent="0.3">
      <c r="A1100" s="739">
        <v>0.02</v>
      </c>
      <c r="B1100" s="740" t="s">
        <v>3019</v>
      </c>
      <c r="C1100" s="869">
        <v>61.46</v>
      </c>
      <c r="D1100" s="737">
        <v>48.045000000000002</v>
      </c>
      <c r="E1100" s="742">
        <v>-0.2182720468597461</v>
      </c>
      <c r="F1100" s="946">
        <v>-4.3654409371949223E-3</v>
      </c>
      <c r="G1100" s="78"/>
      <c r="H1100" t="s">
        <v>2745</v>
      </c>
      <c r="J1100" s="275" t="s">
        <v>24</v>
      </c>
      <c r="K1100" s="195">
        <v>73.810199999999995</v>
      </c>
      <c r="L1100" s="72">
        <v>-0.26189800000000008</v>
      </c>
      <c r="O1100" s="287"/>
      <c r="P1100" s="21"/>
    </row>
    <row r="1101" spans="1:16" ht="13.8" hidden="1" outlineLevel="1" x14ac:dyDescent="0.3">
      <c r="A1101" s="739">
        <v>0.03</v>
      </c>
      <c r="B1101" s="743" t="s">
        <v>577</v>
      </c>
      <c r="C1101" s="869">
        <v>47.531999999999996</v>
      </c>
      <c r="D1101" s="737">
        <v>6.109</v>
      </c>
      <c r="E1101" s="742">
        <v>-0.87147605823445251</v>
      </c>
      <c r="F1101" s="946">
        <v>-2.6144281747033576E-2</v>
      </c>
      <c r="G1101" s="78"/>
      <c r="H1101" t="s">
        <v>6732</v>
      </c>
      <c r="J1101" s="274" t="s">
        <v>25</v>
      </c>
      <c r="K1101" s="195">
        <v>65.329700000000003</v>
      </c>
      <c r="L1101" s="72">
        <v>-0.34670299999999998</v>
      </c>
      <c r="O1101" s="287"/>
      <c r="P1101" s="21"/>
    </row>
    <row r="1102" spans="1:16" ht="13.8" hidden="1" outlineLevel="1" x14ac:dyDescent="0.3">
      <c r="A1102" s="739">
        <v>0.03</v>
      </c>
      <c r="B1102" s="740" t="s">
        <v>3020</v>
      </c>
      <c r="C1102" s="869">
        <v>30.13</v>
      </c>
      <c r="D1102" s="737">
        <v>72.95</v>
      </c>
      <c r="E1102" s="742">
        <v>1.4211749087288417</v>
      </c>
      <c r="F1102" s="946">
        <v>4.2635247261865246E-2</v>
      </c>
      <c r="G1102" s="78"/>
      <c r="H1102" t="s">
        <v>490</v>
      </c>
      <c r="J1102" s="274" t="s">
        <v>26</v>
      </c>
      <c r="K1102" s="195">
        <v>68.493799999999993</v>
      </c>
      <c r="L1102" s="72">
        <v>-0.31506200000000006</v>
      </c>
      <c r="O1102" s="287"/>
      <c r="P1102" s="21"/>
    </row>
    <row r="1103" spans="1:16" ht="13.8" hidden="1" outlineLevel="1" x14ac:dyDescent="0.3">
      <c r="A1103" s="739">
        <v>0.03</v>
      </c>
      <c r="B1103" s="740" t="s">
        <v>3021</v>
      </c>
      <c r="C1103" s="869">
        <v>24.763999999999999</v>
      </c>
      <c r="D1103" s="737">
        <v>12.657999999999999</v>
      </c>
      <c r="E1103" s="742">
        <v>-0.4888547892101438</v>
      </c>
      <c r="F1103" s="946">
        <v>-1.4665643676304314E-2</v>
      </c>
      <c r="G1103" s="78"/>
      <c r="H1103" t="s">
        <v>4124</v>
      </c>
      <c r="J1103" s="274" t="s">
        <v>27</v>
      </c>
      <c r="K1103" s="195">
        <v>74.567499999999995</v>
      </c>
      <c r="L1103" s="72">
        <v>-0.25432500000000002</v>
      </c>
      <c r="O1103" s="287"/>
      <c r="P1103" s="21"/>
    </row>
    <row r="1104" spans="1:16" ht="13.8" hidden="1" outlineLevel="1" x14ac:dyDescent="0.3">
      <c r="A1104" s="739">
        <v>0.05</v>
      </c>
      <c r="B1104" s="740" t="s">
        <v>44</v>
      </c>
      <c r="C1104" s="869">
        <v>3.9020000000000001</v>
      </c>
      <c r="D1104" s="737">
        <v>2.2454999999999998</v>
      </c>
      <c r="E1104" s="742">
        <v>-0.42452588416196824</v>
      </c>
      <c r="F1104" s="946">
        <v>-2.1226294208098413E-2</v>
      </c>
      <c r="G1104" s="78"/>
      <c r="H1104" t="s">
        <v>204</v>
      </c>
      <c r="J1104" s="274" t="s">
        <v>28</v>
      </c>
      <c r="K1104" s="195">
        <v>77.980400000000003</v>
      </c>
      <c r="L1104" s="72">
        <v>-0.22019599999999995</v>
      </c>
      <c r="O1104" s="287"/>
      <c r="P1104" s="21"/>
    </row>
    <row r="1105" spans="1:16" ht="13.8" hidden="1" outlineLevel="1" x14ac:dyDescent="0.3">
      <c r="A1105" s="739">
        <v>0.02</v>
      </c>
      <c r="B1105" s="740" t="s">
        <v>3022</v>
      </c>
      <c r="C1105" s="869">
        <v>6695</v>
      </c>
      <c r="D1105" s="737">
        <v>4227</v>
      </c>
      <c r="E1105" s="742">
        <v>-0.36863330843913367</v>
      </c>
      <c r="F1105" s="946">
        <v>-7.3726661687826735E-3</v>
      </c>
      <c r="G1105" s="78"/>
      <c r="H1105" t="s">
        <v>2802</v>
      </c>
      <c r="J1105" s="274" t="s">
        <v>29</v>
      </c>
      <c r="K1105" s="195">
        <v>78.143699999999995</v>
      </c>
      <c r="L1105" s="72">
        <v>-0.21856300000000006</v>
      </c>
      <c r="O1105" s="287"/>
      <c r="P1105" s="21"/>
    </row>
    <row r="1106" spans="1:16" ht="13.8" hidden="1" outlineLevel="1" x14ac:dyDescent="0.3">
      <c r="A1106" s="739">
        <v>0.03</v>
      </c>
      <c r="B1106" s="740" t="s">
        <v>53</v>
      </c>
      <c r="C1106" s="869">
        <v>45.97</v>
      </c>
      <c r="D1106" s="737">
        <v>72.400000000000006</v>
      </c>
      <c r="E1106" s="742">
        <v>0.57494017837720279</v>
      </c>
      <c r="F1106" s="946">
        <v>1.7248205351316083E-2</v>
      </c>
      <c r="G1106" s="78"/>
      <c r="H1106" t="s">
        <v>2751</v>
      </c>
      <c r="J1106" s="274" t="s">
        <v>30</v>
      </c>
      <c r="K1106" s="195">
        <v>85.1768</v>
      </c>
      <c r="L1106" s="72">
        <v>-0.14823200000000003</v>
      </c>
      <c r="O1106" s="287"/>
      <c r="P1106" s="21"/>
    </row>
    <row r="1107" spans="1:16" ht="13.8" hidden="1" outlineLevel="1" x14ac:dyDescent="0.3">
      <c r="A1107" s="739">
        <v>0.04</v>
      </c>
      <c r="B1107" s="740" t="s">
        <v>157</v>
      </c>
      <c r="C1107" s="869">
        <v>7.4478999999999997</v>
      </c>
      <c r="D1107" s="737">
        <v>3.5540000000000003</v>
      </c>
      <c r="E1107" s="742">
        <v>-0.52281851260086731</v>
      </c>
      <c r="F1107" s="946">
        <v>-2.0912740504034692E-2</v>
      </c>
      <c r="G1107" s="78"/>
      <c r="H1107" t="s">
        <v>730</v>
      </c>
      <c r="I1107" s="106"/>
      <c r="J1107" s="274" t="s">
        <v>1443</v>
      </c>
      <c r="K1107" s="195">
        <v>88.805899999999994</v>
      </c>
      <c r="L1107" s="72">
        <v>-0.11194100000000007</v>
      </c>
      <c r="O1107" s="287"/>
      <c r="P1107" s="21"/>
    </row>
    <row r="1108" spans="1:16" ht="13.8" hidden="1" outlineLevel="1" x14ac:dyDescent="0.3">
      <c r="A1108" s="739">
        <v>0.03</v>
      </c>
      <c r="B1108" s="743" t="s">
        <v>3405</v>
      </c>
      <c r="C1108" s="869">
        <v>37.78</v>
      </c>
      <c r="D1108" s="737">
        <v>15.305</v>
      </c>
      <c r="E1108" s="742">
        <v>-0.59489147697194289</v>
      </c>
      <c r="F1108" s="946">
        <v>-1.7846744309158287E-2</v>
      </c>
      <c r="G1108" s="78"/>
      <c r="H1108" t="s">
        <v>2747</v>
      </c>
      <c r="J1108" s="274" t="s">
        <v>2530</v>
      </c>
      <c r="K1108" s="195">
        <v>90.929400000000001</v>
      </c>
      <c r="L1108" s="72">
        <v>-9.0705999999999953E-2</v>
      </c>
      <c r="O1108" s="287"/>
      <c r="P1108" s="21"/>
    </row>
    <row r="1109" spans="1:16" ht="13.8" hidden="1" outlineLevel="1" x14ac:dyDescent="0.3">
      <c r="A1109" s="739">
        <v>0.04</v>
      </c>
      <c r="B1109" s="740" t="s">
        <v>3798</v>
      </c>
      <c r="C1109" s="869">
        <v>7.2103999999999999</v>
      </c>
      <c r="D1109" s="737">
        <v>7.8550000000000004</v>
      </c>
      <c r="E1109" s="742">
        <v>8.939864639964501E-2</v>
      </c>
      <c r="F1109" s="946">
        <v>3.5759458559858005E-3</v>
      </c>
      <c r="G1109" s="78"/>
      <c r="H1109" t="s">
        <v>4122</v>
      </c>
      <c r="J1109" s="276" t="s">
        <v>2465</v>
      </c>
      <c r="K1109" s="277">
        <v>79.147475</v>
      </c>
      <c r="L1109" s="278">
        <v>-0.20852525</v>
      </c>
      <c r="M1109" s="39"/>
      <c r="N1109" s="39"/>
      <c r="O1109" s="287"/>
      <c r="P1109" s="21"/>
    </row>
    <row r="1110" spans="1:16" s="39" customFormat="1" ht="14.4" hidden="1" outlineLevel="1" thickBot="1" x14ac:dyDescent="0.35">
      <c r="A1110" s="739">
        <v>0.02</v>
      </c>
      <c r="B1110" s="743" t="s">
        <v>4387</v>
      </c>
      <c r="C1110" s="869">
        <v>25.52933333333333</v>
      </c>
      <c r="D1110" s="737">
        <v>10.24</v>
      </c>
      <c r="E1110" s="742">
        <v>-0.59889277693633458</v>
      </c>
      <c r="F1110" s="946">
        <v>-1.1977855538726693E-2</v>
      </c>
      <c r="G1110" s="12"/>
      <c r="H1110" t="s">
        <v>3744</v>
      </c>
      <c r="J1110" s="286" t="s">
        <v>1444</v>
      </c>
      <c r="K1110" s="137"/>
      <c r="L1110" s="283">
        <v>-0.1043</v>
      </c>
      <c r="O1110" s="287"/>
      <c r="P1110" s="12"/>
    </row>
    <row r="1111" spans="1:16" s="39" customFormat="1" ht="14.4" hidden="1" outlineLevel="1" thickBot="1" x14ac:dyDescent="0.35">
      <c r="A1111" s="739">
        <v>0.05</v>
      </c>
      <c r="B1111" s="740" t="s">
        <v>1993</v>
      </c>
      <c r="C1111" s="869">
        <v>72.930999999999997</v>
      </c>
      <c r="D1111" s="737">
        <v>130.23000000000002</v>
      </c>
      <c r="E1111" s="742">
        <v>0.78566041875197135</v>
      </c>
      <c r="F1111" s="946">
        <v>3.928302093759857E-2</v>
      </c>
      <c r="G1111" s="12"/>
      <c r="H1111" t="s">
        <v>2812</v>
      </c>
      <c r="I1111" s="39" t="s">
        <v>3533</v>
      </c>
      <c r="J1111" s="284" t="s">
        <v>470</v>
      </c>
      <c r="K1111" s="284"/>
      <c r="L1111" s="285"/>
      <c r="M1111" s="159"/>
      <c r="O1111" s="287"/>
      <c r="P1111" s="12"/>
    </row>
    <row r="1112" spans="1:16" s="39" customFormat="1" ht="13.8" hidden="1" outlineLevel="1" x14ac:dyDescent="0.3">
      <c r="A1112" s="739">
        <v>0.04</v>
      </c>
      <c r="B1112" s="740" t="s">
        <v>1994</v>
      </c>
      <c r="C1112" s="869">
        <v>42.145000000000003</v>
      </c>
      <c r="D1112" s="737">
        <v>32.83</v>
      </c>
      <c r="E1112" s="742">
        <v>-0.22102265986475278</v>
      </c>
      <c r="F1112" s="946">
        <v>-8.8409063945901114E-3</v>
      </c>
      <c r="G1112" s="12"/>
      <c r="H1112" t="s">
        <v>3493</v>
      </c>
      <c r="J1112" s="44"/>
      <c r="O1112" s="287"/>
      <c r="P1112" s="12"/>
    </row>
    <row r="1113" spans="1:16" s="39" customFormat="1" ht="13.8" hidden="1" outlineLevel="1" x14ac:dyDescent="0.3">
      <c r="A1113" s="739">
        <v>0.04</v>
      </c>
      <c r="B1113" s="740" t="s">
        <v>3799</v>
      </c>
      <c r="C1113" s="869">
        <v>1419.3</v>
      </c>
      <c r="D1113" s="737">
        <v>1784</v>
      </c>
      <c r="E1113" s="742">
        <v>0.25695765518213198</v>
      </c>
      <c r="F1113" s="946">
        <v>1.027830620728528E-2</v>
      </c>
      <c r="G1113" s="12"/>
      <c r="H1113" t="s">
        <v>4128</v>
      </c>
      <c r="J1113" s="44"/>
      <c r="O1113" s="287"/>
      <c r="P1113" s="12"/>
    </row>
    <row r="1114" spans="1:16" s="39" customFormat="1" ht="13.8" hidden="1" outlineLevel="1" x14ac:dyDescent="0.3">
      <c r="A1114" s="739">
        <v>0.03</v>
      </c>
      <c r="B1114" s="740" t="s">
        <v>255</v>
      </c>
      <c r="C1114" s="869">
        <v>32.219000000000001</v>
      </c>
      <c r="D1114" s="737">
        <v>59.44</v>
      </c>
      <c r="E1114" s="742">
        <v>0.84487414258667237</v>
      </c>
      <c r="F1114" s="946">
        <v>2.5346224277600169E-2</v>
      </c>
      <c r="G1114" s="12"/>
      <c r="H1114" t="s">
        <v>3351</v>
      </c>
      <c r="J1114" s="44"/>
      <c r="O1114" s="287"/>
      <c r="P1114" s="12"/>
    </row>
    <row r="1115" spans="1:16" s="39" customFormat="1" ht="13.8" hidden="1" outlineLevel="1" x14ac:dyDescent="0.3">
      <c r="A1115" s="739">
        <v>0.04</v>
      </c>
      <c r="B1115" s="743" t="s">
        <v>507</v>
      </c>
      <c r="C1115" s="869">
        <v>19.71</v>
      </c>
      <c r="D1115" s="737">
        <v>52.7</v>
      </c>
      <c r="E1115" s="742">
        <v>1.6737696600710299</v>
      </c>
      <c r="F1115" s="946">
        <v>6.6950786402841203E-2</v>
      </c>
      <c r="G1115" s="12"/>
      <c r="H1115" t="s">
        <v>2810</v>
      </c>
      <c r="J1115" s="44"/>
      <c r="O1115" s="287"/>
      <c r="P1115" s="12"/>
    </row>
    <row r="1116" spans="1:16" s="39" customFormat="1" ht="13.8" hidden="1" outlineLevel="1" x14ac:dyDescent="0.3">
      <c r="A1116" s="739">
        <v>0.03</v>
      </c>
      <c r="B1116" s="740" t="s">
        <v>3425</v>
      </c>
      <c r="C1116" s="869">
        <v>64.311000000000007</v>
      </c>
      <c r="D1116" s="737">
        <v>62.12</v>
      </c>
      <c r="E1116" s="742">
        <v>-3.4068821818973527E-2</v>
      </c>
      <c r="F1116" s="946">
        <v>-1.0220646545692057E-3</v>
      </c>
      <c r="G1116" s="12"/>
      <c r="H1116" t="s">
        <v>4126</v>
      </c>
      <c r="J1116" s="44"/>
      <c r="O1116" s="287"/>
      <c r="P1116" s="12"/>
    </row>
    <row r="1117" spans="1:16" s="39" customFormat="1" ht="13.8" hidden="1" outlineLevel="1" x14ac:dyDescent="0.3">
      <c r="A1117" s="739">
        <v>0.03</v>
      </c>
      <c r="B1117" s="740" t="s">
        <v>3800</v>
      </c>
      <c r="C1117" s="869">
        <v>180.67</v>
      </c>
      <c r="D1117" s="737">
        <v>324.3</v>
      </c>
      <c r="E1117" s="742">
        <v>0.79498533237394153</v>
      </c>
      <c r="F1117" s="946">
        <v>2.3849559971218244E-2</v>
      </c>
      <c r="G1117" s="12"/>
      <c r="H1117" t="s">
        <v>8876</v>
      </c>
      <c r="J1117" s="44"/>
      <c r="O1117" s="287"/>
      <c r="P1117" s="12"/>
    </row>
    <row r="1118" spans="1:16" s="39" customFormat="1" ht="13.8" hidden="1" outlineLevel="1" x14ac:dyDescent="0.3">
      <c r="A1118" s="739">
        <v>0.03</v>
      </c>
      <c r="B1118" s="743" t="s">
        <v>1204</v>
      </c>
      <c r="C1118" s="869">
        <v>55.171999999999997</v>
      </c>
      <c r="D1118" s="737">
        <v>142.02000000000001</v>
      </c>
      <c r="E1118" s="742">
        <v>1.5741318059885452</v>
      </c>
      <c r="F1118" s="946">
        <v>4.7223954179656351E-2</v>
      </c>
      <c r="G1118" s="12"/>
      <c r="H1118" t="s">
        <v>9047</v>
      </c>
      <c r="J1118" s="44"/>
      <c r="O1118" s="287"/>
      <c r="P1118" s="12"/>
    </row>
    <row r="1119" spans="1:16" s="39" customFormat="1" ht="13.8" hidden="1" outlineLevel="1" x14ac:dyDescent="0.3">
      <c r="A1119" s="739">
        <v>0.03</v>
      </c>
      <c r="B1119" s="743" t="s">
        <v>1414</v>
      </c>
      <c r="C1119" s="869">
        <v>25.103000000000002</v>
      </c>
      <c r="D1119" s="737">
        <v>37.24</v>
      </c>
      <c r="E1119" s="742">
        <v>0.48348802931920476</v>
      </c>
      <c r="F1119" s="946">
        <v>1.4504640879576142E-2</v>
      </c>
      <c r="G1119" s="12"/>
      <c r="H1119" t="s">
        <v>2428</v>
      </c>
      <c r="J1119" s="44"/>
      <c r="O1119" s="287"/>
      <c r="P1119" s="12"/>
    </row>
    <row r="1120" spans="1:16" s="39" customFormat="1" ht="13.8" hidden="1" outlineLevel="1" x14ac:dyDescent="0.3">
      <c r="A1120" s="739">
        <v>0.05</v>
      </c>
      <c r="B1120" s="740" t="s">
        <v>3801</v>
      </c>
      <c r="C1120" s="869">
        <v>54.81</v>
      </c>
      <c r="D1120" s="737">
        <v>31.34</v>
      </c>
      <c r="E1120" s="742">
        <v>-0.4282065316548076</v>
      </c>
      <c r="F1120" s="946">
        <v>-2.1410326582740381E-2</v>
      </c>
      <c r="G1120" s="12"/>
      <c r="H1120" t="s">
        <v>2819</v>
      </c>
      <c r="J1120" s="44"/>
      <c r="O1120" s="287"/>
      <c r="P1120" s="12"/>
    </row>
    <row r="1121" spans="1:16" s="39" customFormat="1" ht="13.8" hidden="1" outlineLevel="1" x14ac:dyDescent="0.3">
      <c r="A1121" s="739">
        <v>0.05</v>
      </c>
      <c r="B1121" s="743" t="s">
        <v>3407</v>
      </c>
      <c r="C1121" s="869">
        <v>33.503999999999998</v>
      </c>
      <c r="D1121" s="737">
        <v>12.45</v>
      </c>
      <c r="E1121" s="742">
        <v>-0.62840257879656158</v>
      </c>
      <c r="F1121" s="946">
        <v>-3.1420128939828082E-2</v>
      </c>
      <c r="G1121" s="12"/>
      <c r="H1121" t="s">
        <v>4127</v>
      </c>
      <c r="J1121" s="44"/>
      <c r="O1121" s="287"/>
      <c r="P1121" s="12"/>
    </row>
    <row r="1122" spans="1:16" s="39" customFormat="1" ht="13.8" hidden="1" outlineLevel="1" x14ac:dyDescent="0.3">
      <c r="A1122" s="739">
        <v>0.03</v>
      </c>
      <c r="B1122" s="740" t="s">
        <v>873</v>
      </c>
      <c r="C1122" s="869">
        <v>571.85</v>
      </c>
      <c r="D1122" s="737">
        <v>168</v>
      </c>
      <c r="E1122" s="742">
        <v>-0.70621666520940807</v>
      </c>
      <c r="F1122" s="946">
        <v>-2.1186499956282242E-2</v>
      </c>
      <c r="G1122" s="12"/>
      <c r="H1122" t="s">
        <v>3495</v>
      </c>
      <c r="J1122" s="44"/>
      <c r="O1122" s="287"/>
      <c r="P1122" s="12"/>
    </row>
    <row r="1123" spans="1:16" s="39" customFormat="1" ht="13.8" hidden="1" outlineLevel="1" x14ac:dyDescent="0.3">
      <c r="A1123" s="739">
        <v>0.02</v>
      </c>
      <c r="B1123" s="740" t="s">
        <v>874</v>
      </c>
      <c r="C1123" s="869">
        <v>221.8</v>
      </c>
      <c r="D1123" s="737">
        <v>204</v>
      </c>
      <c r="E1123" s="742">
        <v>-8.0252479711451774E-2</v>
      </c>
      <c r="F1123" s="946">
        <v>-1.6050495942290354E-3</v>
      </c>
      <c r="G1123" s="12"/>
      <c r="H1123" t="s">
        <v>4148</v>
      </c>
      <c r="J1123" s="44"/>
      <c r="O1123" s="287"/>
      <c r="P1123" s="12"/>
    </row>
    <row r="1124" spans="1:16" s="39" customFormat="1" ht="13.8" hidden="1" outlineLevel="1" x14ac:dyDescent="0.3">
      <c r="A1124" s="739">
        <v>0.05</v>
      </c>
      <c r="B1124" s="743" t="s">
        <v>1188</v>
      </c>
      <c r="C1124" s="869">
        <v>669.6</v>
      </c>
      <c r="D1124" s="737">
        <v>456.7</v>
      </c>
      <c r="E1124" s="742">
        <v>-0.31795101553166072</v>
      </c>
      <c r="F1124" s="946">
        <v>-1.5897550776583037E-2</v>
      </c>
      <c r="G1124" s="12"/>
      <c r="H1124" t="s">
        <v>2746</v>
      </c>
      <c r="J1124" s="44"/>
      <c r="M1124"/>
      <c r="N1124"/>
      <c r="O1124" s="287"/>
      <c r="P1124" s="12"/>
    </row>
    <row r="1125" spans="1:16" ht="13.8" hidden="1" outlineLevel="1" x14ac:dyDescent="0.3">
      <c r="A1125" s="739">
        <v>0.03</v>
      </c>
      <c r="B1125" s="743" t="s">
        <v>1203</v>
      </c>
      <c r="C1125" s="869">
        <v>75.875</v>
      </c>
      <c r="D1125" s="737">
        <v>76.12</v>
      </c>
      <c r="E1125" s="742">
        <v>3.2289950576607218E-3</v>
      </c>
      <c r="F1125" s="946">
        <v>9.6869851729821651E-5</v>
      </c>
      <c r="G1125" s="78"/>
      <c r="H1125" t="s">
        <v>79</v>
      </c>
      <c r="J1125" s="31"/>
      <c r="O1125" s="287"/>
      <c r="P1125" s="21"/>
    </row>
    <row r="1126" spans="1:16" ht="13.8" hidden="1" outlineLevel="1" x14ac:dyDescent="0.3">
      <c r="A1126" s="745">
        <v>0.03</v>
      </c>
      <c r="B1126" s="746" t="s">
        <v>2787</v>
      </c>
      <c r="C1126" s="870">
        <v>64.45</v>
      </c>
      <c r="D1126" s="715">
        <v>91.17</v>
      </c>
      <c r="E1126" s="748">
        <v>0.41458494957331271</v>
      </c>
      <c r="F1126" s="1023">
        <v>1.2437548487199381E-2</v>
      </c>
      <c r="G1126" s="78"/>
      <c r="H1126" t="s">
        <v>8874</v>
      </c>
      <c r="J1126" s="31"/>
      <c r="O1126" s="287"/>
      <c r="P1126" s="21"/>
    </row>
    <row r="1127" spans="1:16" ht="13.8" hidden="1" outlineLevel="1" x14ac:dyDescent="0.3">
      <c r="A1127" s="749"/>
      <c r="B1127" s="750"/>
      <c r="C1127" s="727"/>
      <c r="D1127" s="871" t="s">
        <v>1444</v>
      </c>
      <c r="E1127" s="872">
        <v>-0.1043</v>
      </c>
      <c r="F1127" s="770">
        <v>7.6812957864153625E-2</v>
      </c>
      <c r="G1127" s="78"/>
      <c r="J1127" s="31"/>
      <c r="O1127" s="287"/>
      <c r="P1127" s="21"/>
    </row>
    <row r="1128" spans="1:16" ht="13.8" collapsed="1" x14ac:dyDescent="0.3">
      <c r="A1128" s="3801" t="s">
        <v>470</v>
      </c>
      <c r="B1128" s="3802"/>
      <c r="C1128" s="3802"/>
      <c r="D1128" s="3802"/>
      <c r="E1128" s="721" t="s">
        <v>2722</v>
      </c>
      <c r="F1128" s="722">
        <f>MAX(AVERAGE(L1097:L1107)*parametry!N60,0)</f>
        <v>0</v>
      </c>
      <c r="G1128" s="175" t="s">
        <v>781</v>
      </c>
      <c r="J1128" s="31"/>
      <c r="O1128" s="287"/>
      <c r="P1128" s="21"/>
    </row>
    <row r="1129" spans="1:16" ht="13.8" x14ac:dyDescent="0.3">
      <c r="A1129" s="1"/>
      <c r="B1129" s="1"/>
      <c r="C1129" s="1"/>
      <c r="D1129" s="1"/>
      <c r="E1129" s="1"/>
      <c r="F1129" s="1848"/>
      <c r="G1129" s="78"/>
      <c r="J1129" s="31"/>
      <c r="O1129" s="287"/>
      <c r="P1129" s="21"/>
    </row>
    <row r="1130" spans="1:16" ht="13.8" hidden="1" outlineLevel="1" x14ac:dyDescent="0.3">
      <c r="A1130" s="689" t="s">
        <v>113</v>
      </c>
      <c r="B1130" s="689" t="s">
        <v>114</v>
      </c>
      <c r="C1130" s="689" t="s">
        <v>112</v>
      </c>
      <c r="D1130" s="689" t="s">
        <v>116</v>
      </c>
      <c r="E1130" s="689" t="s">
        <v>117</v>
      </c>
      <c r="F1130" s="1188" t="s">
        <v>121</v>
      </c>
      <c r="G1130" s="78"/>
      <c r="J1130" s="31"/>
      <c r="O1130" s="287"/>
      <c r="P1130" s="21"/>
    </row>
    <row r="1131" spans="1:16" ht="13.8" hidden="1" outlineLevel="1" x14ac:dyDescent="0.3">
      <c r="A1131" s="690">
        <v>8</v>
      </c>
      <c r="B1131" s="691" t="s">
        <v>252</v>
      </c>
      <c r="C1131" s="692"/>
      <c r="D1131" s="692"/>
      <c r="E1131" s="693"/>
      <c r="F1131" s="694"/>
      <c r="G1131" s="78"/>
      <c r="J1131" s="31"/>
      <c r="O1131" s="287"/>
      <c r="P1131" s="21"/>
    </row>
    <row r="1132" spans="1:16" ht="13.8" hidden="1" outlineLevel="1" x14ac:dyDescent="0.3">
      <c r="A1132" s="695"/>
      <c r="B1132" s="695"/>
      <c r="C1132" s="696"/>
      <c r="D1132" s="697" t="s">
        <v>3702</v>
      </c>
      <c r="E1132" s="698">
        <v>41533</v>
      </c>
      <c r="F1132" s="699"/>
      <c r="G1132" s="78"/>
      <c r="J1132" s="31"/>
      <c r="O1132" s="287"/>
      <c r="P1132" s="21"/>
    </row>
    <row r="1133" spans="1:16" ht="13.8" hidden="1" outlineLevel="1" x14ac:dyDescent="0.3">
      <c r="A1133" s="689" t="s">
        <v>4156</v>
      </c>
      <c r="B1133" s="689" t="s">
        <v>4153</v>
      </c>
      <c r="C1133" s="700" t="s">
        <v>112</v>
      </c>
      <c r="D1133" s="689" t="s">
        <v>4155</v>
      </c>
      <c r="E1133" s="689" t="s">
        <v>4154</v>
      </c>
      <c r="F1133" s="1021" t="s">
        <v>3374</v>
      </c>
      <c r="G1133" s="78"/>
      <c r="J1133" s="31"/>
      <c r="O1133" s="287"/>
      <c r="P1133" s="21"/>
    </row>
    <row r="1134" spans="1:16" hidden="1" outlineLevel="1" x14ac:dyDescent="0.25">
      <c r="A1134" s="734">
        <v>0.05</v>
      </c>
      <c r="B1134" s="755" t="s">
        <v>577</v>
      </c>
      <c r="C1134" s="807">
        <v>13.808999999999999</v>
      </c>
      <c r="D1134" s="737">
        <v>11.31</v>
      </c>
      <c r="E1134" s="817">
        <v>-0.18096893330436659</v>
      </c>
      <c r="F1134" s="1021" t="s">
        <v>2024</v>
      </c>
      <c r="G1134" s="78"/>
      <c r="H1134" t="str">
        <f>VLOOKUP(B1134,indexy!$A$44:$D$232,3,FALSE)</f>
        <v>TEF SQ Equity</v>
      </c>
      <c r="J1134" s="31"/>
      <c r="O1134" s="21"/>
      <c r="P1134" s="21"/>
    </row>
    <row r="1135" spans="1:16" hidden="1" outlineLevel="1" x14ac:dyDescent="0.25">
      <c r="A1135" s="739">
        <v>0.05</v>
      </c>
      <c r="B1135" s="740" t="s">
        <v>1414</v>
      </c>
      <c r="C1135" s="809">
        <v>24.803999999999998</v>
      </c>
      <c r="D1135" s="737">
        <v>28.71</v>
      </c>
      <c r="E1135" s="857">
        <v>0.15747460087082743</v>
      </c>
      <c r="F1135" s="946" t="s">
        <v>2024</v>
      </c>
      <c r="G1135" s="78"/>
      <c r="H1135" t="str">
        <f>VLOOKUP(B1135,indexy!$A$44:$D$232,3,FALSE)</f>
        <v>PFE UN Equity</v>
      </c>
      <c r="J1135" s="31"/>
      <c r="O1135" s="21"/>
      <c r="P1135" s="21"/>
    </row>
    <row r="1136" spans="1:16" hidden="1" outlineLevel="1" x14ac:dyDescent="0.25">
      <c r="A1136" s="739">
        <v>0.05</v>
      </c>
      <c r="B1136" s="740" t="s">
        <v>507</v>
      </c>
      <c r="C1136" s="809">
        <v>19.786666666666665</v>
      </c>
      <c r="D1136" s="737">
        <v>29.035</v>
      </c>
      <c r="E1136" s="857">
        <v>0.46740229110512144</v>
      </c>
      <c r="F1136" s="946" t="s">
        <v>2024</v>
      </c>
      <c r="G1136" s="78"/>
      <c r="H1136" t="str">
        <f>VLOOKUP(B1136,indexy!$A$44:$D$232,3,FALSE)</f>
        <v>UNA NA Equity</v>
      </c>
      <c r="J1136" s="31"/>
      <c r="O1136" s="21"/>
      <c r="P1136" s="21"/>
    </row>
    <row r="1137" spans="1:16" hidden="1" outlineLevel="1" x14ac:dyDescent="0.25">
      <c r="A1137" s="756">
        <v>0.05</v>
      </c>
      <c r="B1137" s="757" t="s">
        <v>1526</v>
      </c>
      <c r="C1137" s="808">
        <v>68.2</v>
      </c>
      <c r="D1137" s="808">
        <v>36</v>
      </c>
      <c r="E1137" s="858">
        <v>-0.47214076246334313</v>
      </c>
      <c r="F1137" s="1850" t="s">
        <v>2025</v>
      </c>
      <c r="G1137" s="178" t="s">
        <v>2103</v>
      </c>
      <c r="H1137" s="163" t="str">
        <f>VLOOKUP(B1137,indexy!$A$44:$D$232,3,FALSE)</f>
        <v>KBC BB Equity</v>
      </c>
      <c r="J1137" s="31"/>
      <c r="O1137" s="21"/>
      <c r="P1137" s="21"/>
    </row>
    <row r="1138" spans="1:16" hidden="1" outlineLevel="1" x14ac:dyDescent="0.25">
      <c r="A1138" s="756">
        <v>0.05</v>
      </c>
      <c r="B1138" s="757" t="s">
        <v>3407</v>
      </c>
      <c r="C1138" s="808">
        <v>33.517000000000003</v>
      </c>
      <c r="D1138" s="759">
        <v>24.14</v>
      </c>
      <c r="E1138" s="858">
        <v>-0.27976847569889907</v>
      </c>
      <c r="F1138" s="1850" t="s">
        <v>2025</v>
      </c>
      <c r="G1138" s="178" t="s">
        <v>2103</v>
      </c>
      <c r="H1138" s="163" t="str">
        <f>VLOOKUP(B1138,indexy!$A$44:$D$232,3,FALSE)</f>
        <v>GE UN Equity</v>
      </c>
      <c r="J1138" s="31"/>
      <c r="O1138" s="21"/>
      <c r="P1138" s="21"/>
    </row>
    <row r="1139" spans="1:16" hidden="1" outlineLevel="1" x14ac:dyDescent="0.25">
      <c r="A1139" s="739">
        <v>0.05</v>
      </c>
      <c r="B1139" s="740" t="s">
        <v>4387</v>
      </c>
      <c r="C1139" s="809">
        <v>25.686000000000003</v>
      </c>
      <c r="D1139" s="737">
        <v>13.625</v>
      </c>
      <c r="E1139" s="857">
        <v>-0.46955539982870054</v>
      </c>
      <c r="F1139" s="946" t="s">
        <v>2024</v>
      </c>
      <c r="G1139" s="78"/>
      <c r="H1139" t="str">
        <f>VLOOKUP(B1139,indexy!$A$44:$D$232,3,FALSE)</f>
        <v>EOAN GY Equity</v>
      </c>
      <c r="J1139" s="31">
        <f>C1139*3</f>
        <v>77.058000000000007</v>
      </c>
      <c r="O1139" s="21"/>
      <c r="P1139" s="21"/>
    </row>
    <row r="1140" spans="1:16" hidden="1" outlineLevel="1" x14ac:dyDescent="0.25">
      <c r="A1140" s="739">
        <v>0.05</v>
      </c>
      <c r="B1140" s="743" t="s">
        <v>1184</v>
      </c>
      <c r="C1140" s="809">
        <v>31.480499999999999</v>
      </c>
      <c r="D1140" s="737">
        <v>72.34</v>
      </c>
      <c r="E1140" s="857">
        <v>1.2979304648909644</v>
      </c>
      <c r="F1140" s="946" t="s">
        <v>2024</v>
      </c>
      <c r="G1140" s="78"/>
      <c r="H1140" t="str">
        <f>VLOOKUP(B1140,indexy!$A$44:$D$232,3,FALSE)</f>
        <v>BAS GY Equity</v>
      </c>
      <c r="J1140" s="31"/>
      <c r="M1140" s="163"/>
      <c r="N1140" s="163"/>
      <c r="O1140" s="21"/>
      <c r="P1140" s="21"/>
    </row>
    <row r="1141" spans="1:16" s="163" customFormat="1" hidden="1" outlineLevel="1" x14ac:dyDescent="0.25">
      <c r="A1141" s="756">
        <v>0.05</v>
      </c>
      <c r="B1141" s="761" t="s">
        <v>1527</v>
      </c>
      <c r="C1141" s="808">
        <v>2.6654</v>
      </c>
      <c r="D1141" s="759">
        <v>0.60199999999999998</v>
      </c>
      <c r="E1141" s="858">
        <v>-0.77414271779095067</v>
      </c>
      <c r="F1141" s="1850" t="s">
        <v>2025</v>
      </c>
      <c r="G1141" s="178" t="s">
        <v>2103</v>
      </c>
      <c r="H1141" s="163" t="str">
        <f>VLOOKUP(B1141,indexy!$A$44:$D$232,3,FALSE)</f>
        <v>TIT IM Equity</v>
      </c>
      <c r="J1141" s="105"/>
      <c r="M1141"/>
      <c r="N1141"/>
      <c r="O1141" s="215"/>
      <c r="P1141" s="215"/>
    </row>
    <row r="1142" spans="1:16" hidden="1" outlineLevel="1" x14ac:dyDescent="0.25">
      <c r="A1142" s="739">
        <v>0.05</v>
      </c>
      <c r="B1142" s="740" t="s">
        <v>3934</v>
      </c>
      <c r="C1142" s="809">
        <v>22.181999999999999</v>
      </c>
      <c r="D1142" s="737">
        <v>18.875</v>
      </c>
      <c r="E1142" s="857">
        <v>-0.14908484356685592</v>
      </c>
      <c r="F1142" s="946" t="s">
        <v>2024</v>
      </c>
      <c r="G1142" s="78"/>
      <c r="H1142" t="str">
        <f>VLOOKUP(B1142,indexy!$A$44:$D$232,3,FALSE)</f>
        <v>ELE SM Equity</v>
      </c>
      <c r="J1142" s="31"/>
      <c r="M1142" s="163"/>
      <c r="N1142" s="163"/>
      <c r="O1142" s="21"/>
      <c r="P1142" s="21"/>
    </row>
    <row r="1143" spans="1:16" s="163" customFormat="1" hidden="1" outlineLevel="1" x14ac:dyDescent="0.25">
      <c r="A1143" s="756">
        <v>0.05</v>
      </c>
      <c r="B1143" s="761" t="s">
        <v>2587</v>
      </c>
      <c r="C1143" s="808">
        <v>536.29999999999995</v>
      </c>
      <c r="D1143" s="759">
        <v>366.5</v>
      </c>
      <c r="E1143" s="858">
        <v>-0.31661383553980971</v>
      </c>
      <c r="F1143" s="1850" t="s">
        <v>2025</v>
      </c>
      <c r="G1143" s="179" t="s">
        <v>2103</v>
      </c>
      <c r="H1143" s="163" t="e">
        <f>VLOOKUP(B1143,indexy!$A$44:$D$232,3,FALSE)</f>
        <v>#N/A</v>
      </c>
      <c r="J1143" s="105"/>
      <c r="M1143"/>
      <c r="N1143"/>
      <c r="O1143" s="215"/>
      <c r="P1143" s="215"/>
    </row>
    <row r="1144" spans="1:16" hidden="1" outlineLevel="1" x14ac:dyDescent="0.25">
      <c r="A1144" s="739">
        <v>0.05</v>
      </c>
      <c r="B1144" s="740" t="s">
        <v>1528</v>
      </c>
      <c r="C1144" s="809">
        <v>68.3</v>
      </c>
      <c r="D1144" s="737">
        <v>144.94999999999999</v>
      </c>
      <c r="E1144" s="857">
        <v>1.1222547584187406</v>
      </c>
      <c r="F1144" s="946" t="s">
        <v>2024</v>
      </c>
      <c r="G1144" s="78"/>
      <c r="H1144" t="str">
        <f>VLOOKUP(B1144,indexy!$A$44:$D$232,3,FALSE)</f>
        <v>MC FP Equity</v>
      </c>
      <c r="J1144" s="31"/>
      <c r="O1144" s="21"/>
      <c r="P1144" s="21"/>
    </row>
    <row r="1145" spans="1:16" hidden="1" outlineLevel="1" x14ac:dyDescent="0.25">
      <c r="A1145" s="756">
        <v>0.05</v>
      </c>
      <c r="B1145" s="761" t="s">
        <v>2588</v>
      </c>
      <c r="C1145" s="808">
        <v>24.513999999999999</v>
      </c>
      <c r="D1145" s="759">
        <v>8.8819999999999997</v>
      </c>
      <c r="E1145" s="858">
        <v>-0.6376764297952191</v>
      </c>
      <c r="F1145" s="1850" t="s">
        <v>2025</v>
      </c>
      <c r="G1145" s="176" t="s">
        <v>2103</v>
      </c>
      <c r="H1145" s="161" t="str">
        <f>VLOOKUP(B1145,indexy!$A$44:$D$232,3,FALSE)</f>
        <v>INGA NA Equity</v>
      </c>
      <c r="J1145" s="31"/>
      <c r="M1145" s="163"/>
      <c r="N1145" s="163"/>
      <c r="O1145" s="21"/>
      <c r="P1145" s="21"/>
    </row>
    <row r="1146" spans="1:16" s="163" customFormat="1" hidden="1" outlineLevel="1" x14ac:dyDescent="0.25">
      <c r="A1146" s="873">
        <v>0.05</v>
      </c>
      <c r="B1146" s="744" t="s">
        <v>1188</v>
      </c>
      <c r="C1146" s="874">
        <v>651.05000000000007</v>
      </c>
      <c r="D1146" s="875">
        <v>443.25</v>
      </c>
      <c r="E1146" s="876">
        <v>-0.31917671453805396</v>
      </c>
      <c r="F1146" s="1075" t="s">
        <v>2024</v>
      </c>
      <c r="G1146" s="178"/>
      <c r="H1146" t="str">
        <f>VLOOKUP(B1146,indexy!$A$44:$D$232,3,FALSE)</f>
        <v>BP/ LN Equity</v>
      </c>
      <c r="J1146" s="105"/>
      <c r="M1146"/>
      <c r="N1146"/>
      <c r="O1146" s="215"/>
      <c r="P1146" s="215"/>
    </row>
    <row r="1147" spans="1:16" hidden="1" outlineLevel="1" x14ac:dyDescent="0.25">
      <c r="A1147" s="739">
        <v>0.05</v>
      </c>
      <c r="B1147" s="740" t="s">
        <v>1001</v>
      </c>
      <c r="C1147" s="809">
        <v>25.068000000000001</v>
      </c>
      <c r="D1147" s="737">
        <v>32.79</v>
      </c>
      <c r="E1147" s="857">
        <v>0.30804212541886056</v>
      </c>
      <c r="F1147" s="946" t="s">
        <v>2024</v>
      </c>
      <c r="G1147" s="78"/>
      <c r="H1147" t="str">
        <f>VLOOKUP(B1147,indexy!$A$44:$D$232,3,FALSE)</f>
        <v>MSFT UW Equity</v>
      </c>
      <c r="J1147" s="31"/>
      <c r="O1147" s="21"/>
      <c r="P1147" s="21"/>
    </row>
    <row r="1148" spans="1:16" hidden="1" outlineLevel="1" x14ac:dyDescent="0.25">
      <c r="A1148" s="739">
        <v>0.05</v>
      </c>
      <c r="B1148" s="740" t="s">
        <v>1002</v>
      </c>
      <c r="C1148" s="809">
        <v>12.178000000000001</v>
      </c>
      <c r="D1148" s="737">
        <v>31.25</v>
      </c>
      <c r="E1148" s="857">
        <v>1.5661028083429134</v>
      </c>
      <c r="F1148" s="946" t="s">
        <v>2024</v>
      </c>
      <c r="G1148" s="78"/>
      <c r="H1148" t="str">
        <f>VLOOKUP(B1148,indexy!$A$44:$D$232,3,FALSE)</f>
        <v>ORCL UN Equity</v>
      </c>
      <c r="J1148" s="31"/>
      <c r="O1148" s="21"/>
      <c r="P1148" s="21"/>
    </row>
    <row r="1149" spans="1:16" hidden="1" outlineLevel="1" x14ac:dyDescent="0.25">
      <c r="A1149" s="739">
        <v>0.05</v>
      </c>
      <c r="B1149" s="740" t="s">
        <v>3425</v>
      </c>
      <c r="C1149" s="809">
        <v>61.11</v>
      </c>
      <c r="D1149" s="737">
        <v>88.67</v>
      </c>
      <c r="E1149" s="857">
        <v>0.45099001800032723</v>
      </c>
      <c r="F1149" s="946" t="s">
        <v>2024</v>
      </c>
      <c r="G1149" s="78"/>
      <c r="H1149" t="str">
        <f>VLOOKUP(B1149,indexy!$A$44:$D$232,3,FALSE)</f>
        <v>XOM UN Equity</v>
      </c>
      <c r="J1149" s="31"/>
      <c r="O1149" s="21"/>
      <c r="P1149" s="21"/>
    </row>
    <row r="1150" spans="1:16" hidden="1" outlineLevel="1" x14ac:dyDescent="0.25">
      <c r="A1150" s="739">
        <v>0.05</v>
      </c>
      <c r="B1150" s="740" t="s">
        <v>1003</v>
      </c>
      <c r="C1150" s="809">
        <v>31.779</v>
      </c>
      <c r="D1150" s="737">
        <v>29.11</v>
      </c>
      <c r="E1150" s="857">
        <v>-8.3986280247962508E-2</v>
      </c>
      <c r="F1150" s="946" t="s">
        <v>2024</v>
      </c>
      <c r="G1150" s="78"/>
      <c r="H1150" t="str">
        <f>VLOOKUP(B1150,indexy!$A$44:$D$232,3,FALSE)</f>
        <v>TXN UW Equity</v>
      </c>
      <c r="J1150" s="31"/>
      <c r="O1150" s="21"/>
      <c r="P1150" s="21"/>
    </row>
    <row r="1151" spans="1:16" hidden="1" outlineLevel="1" x14ac:dyDescent="0.25">
      <c r="A1151" s="739">
        <v>0.05</v>
      </c>
      <c r="B1151" s="740" t="s">
        <v>3797</v>
      </c>
      <c r="C1151" s="809">
        <v>38.094999999999999</v>
      </c>
      <c r="D1151" s="737">
        <v>62.3</v>
      </c>
      <c r="E1151" s="857">
        <v>0.6353852211576323</v>
      </c>
      <c r="F1151" s="946" t="s">
        <v>2024</v>
      </c>
      <c r="G1151" s="78"/>
      <c r="H1151" t="str">
        <f>VLOOKUP(B1151,indexy!$A$44:$D$232,3,FALSE)</f>
        <v>NESN SE Equity</v>
      </c>
      <c r="J1151" s="31"/>
      <c r="O1151" s="21"/>
      <c r="P1151" s="21"/>
    </row>
    <row r="1152" spans="1:16" hidden="1" outlineLevel="1" x14ac:dyDescent="0.25">
      <c r="A1152" s="739">
        <v>0.05</v>
      </c>
      <c r="B1152" s="761" t="s">
        <v>3551</v>
      </c>
      <c r="C1152" s="808">
        <v>5213</v>
      </c>
      <c r="D1152" s="759">
        <v>6280</v>
      </c>
      <c r="E1152" s="858">
        <v>0.20468060617686556</v>
      </c>
      <c r="F1152" s="1850" t="s">
        <v>2025</v>
      </c>
      <c r="G1152" s="176" t="s">
        <v>2103</v>
      </c>
      <c r="H1152" s="161" t="str">
        <f>VLOOKUP(B1152,indexy!$A$44:$D$232,3,FALSE)</f>
        <v>7203 JT Equity</v>
      </c>
      <c r="J1152" s="31"/>
      <c r="O1152" s="21"/>
      <c r="P1152" s="21"/>
    </row>
    <row r="1153" spans="1:16" hidden="1" outlineLevel="1" x14ac:dyDescent="0.25">
      <c r="A1153" s="745">
        <v>0.05</v>
      </c>
      <c r="B1153" s="746" t="s">
        <v>157</v>
      </c>
      <c r="C1153" s="810">
        <v>7.5004</v>
      </c>
      <c r="D1153" s="715">
        <v>5.79</v>
      </c>
      <c r="E1153" s="818">
        <v>-0.2280411711375393</v>
      </c>
      <c r="F1153" s="946" t="s">
        <v>2024</v>
      </c>
      <c r="G1153" s="78"/>
      <c r="H1153" t="str">
        <f>VLOOKUP(B1153,indexy!$A$44:$D$232,3,FALSE)</f>
        <v>SAN SM Equity</v>
      </c>
      <c r="J1153" s="31"/>
      <c r="O1153" s="21"/>
      <c r="P1153" s="21"/>
    </row>
    <row r="1154" spans="1:16" hidden="1" outlineLevel="1" x14ac:dyDescent="0.25">
      <c r="A1154" s="749"/>
      <c r="B1154" s="877"/>
      <c r="C1154" s="837"/>
      <c r="D1154" s="837"/>
      <c r="E1154" s="820">
        <v>0.11495536652352766</v>
      </c>
      <c r="F1154" s="731"/>
      <c r="G1154" s="78"/>
      <c r="J1154" s="31"/>
      <c r="O1154" s="21"/>
      <c r="P1154" s="21"/>
    </row>
    <row r="1155" spans="1:16" hidden="1" outlineLevel="1" x14ac:dyDescent="0.25">
      <c r="A1155" s="751" t="s">
        <v>921</v>
      </c>
      <c r="B1155" s="718"/>
      <c r="C1155" s="867"/>
      <c r="D1155" s="867"/>
      <c r="E1155" s="820"/>
      <c r="F1155" s="731">
        <v>0.03</v>
      </c>
      <c r="G1155" s="78"/>
      <c r="J1155" s="252"/>
      <c r="O1155" s="21"/>
      <c r="P1155" s="21"/>
    </row>
    <row r="1156" spans="1:16" hidden="1" outlineLevel="1" x14ac:dyDescent="0.25">
      <c r="A1156" s="751" t="s">
        <v>922</v>
      </c>
      <c r="B1156" s="750" t="s">
        <v>397</v>
      </c>
      <c r="C1156" s="867"/>
      <c r="D1156" s="867"/>
      <c r="E1156" s="820"/>
      <c r="F1156" s="731">
        <v>0.02</v>
      </c>
      <c r="G1156" s="78"/>
      <c r="J1156" s="31"/>
      <c r="O1156" s="21"/>
      <c r="P1156" s="21"/>
    </row>
    <row r="1157" spans="1:16" hidden="1" outlineLevel="1" x14ac:dyDescent="0.25">
      <c r="A1157" s="751" t="s">
        <v>923</v>
      </c>
      <c r="B1157" s="718" t="s">
        <v>2102</v>
      </c>
      <c r="C1157" s="867"/>
      <c r="D1157" s="867"/>
      <c r="E1157" s="820"/>
      <c r="F1157" s="731">
        <v>1.3333333333333334E-2</v>
      </c>
      <c r="G1157" s="78"/>
      <c r="J1157" s="31"/>
      <c r="O1157" s="21"/>
      <c r="P1157" s="21"/>
    </row>
    <row r="1158" spans="1:16" hidden="1" outlineLevel="1" x14ac:dyDescent="0.25">
      <c r="A1158" s="751" t="s">
        <v>924</v>
      </c>
      <c r="B1158" s="718" t="s">
        <v>699</v>
      </c>
      <c r="C1158" s="867"/>
      <c r="D1158" s="867"/>
      <c r="E1158" s="820"/>
      <c r="F1158" s="731">
        <v>8.8888888888888889E-3</v>
      </c>
      <c r="G1158" s="78"/>
      <c r="J1158" s="31"/>
      <c r="O1158" s="21"/>
      <c r="P1158" s="21"/>
    </row>
    <row r="1159" spans="1:16" hidden="1" outlineLevel="1" x14ac:dyDescent="0.25">
      <c r="A1159" s="751" t="s">
        <v>925</v>
      </c>
      <c r="B1159" s="718" t="s">
        <v>369</v>
      </c>
      <c r="C1159" s="867"/>
      <c r="D1159" s="867"/>
      <c r="E1159" s="820"/>
      <c r="F1159" s="731">
        <v>5.9259259259259256E-3</v>
      </c>
      <c r="G1159" s="78"/>
      <c r="J1159" s="31"/>
      <c r="O1159" s="21"/>
      <c r="P1159" s="21"/>
    </row>
    <row r="1160" spans="1:16" hidden="1" outlineLevel="1" x14ac:dyDescent="0.25">
      <c r="A1160" s="751" t="s">
        <v>1324</v>
      </c>
      <c r="B1160" s="718" t="s">
        <v>4611</v>
      </c>
      <c r="C1160" s="867"/>
      <c r="D1160" s="867"/>
      <c r="E1160" s="820"/>
      <c r="F1160" s="731">
        <v>3.8999999999999998E-3</v>
      </c>
      <c r="G1160" s="78"/>
      <c r="J1160" s="31"/>
      <c r="O1160" s="21"/>
      <c r="P1160" s="21"/>
    </row>
    <row r="1161" spans="1:16" hidden="1" outlineLevel="1" x14ac:dyDescent="0.25">
      <c r="A1161" s="751" t="s">
        <v>3094</v>
      </c>
      <c r="B1161" s="718" t="s">
        <v>5412</v>
      </c>
      <c r="C1161" s="867"/>
      <c r="D1161" s="867"/>
      <c r="E1161" s="820"/>
      <c r="F1161" s="731">
        <v>2.5999999999999999E-3</v>
      </c>
      <c r="G1161" s="78"/>
      <c r="J1161" s="31"/>
      <c r="O1161" s="21"/>
      <c r="P1161" s="21"/>
    </row>
    <row r="1162" spans="1:16" hidden="1" outlineLevel="1" x14ac:dyDescent="0.25">
      <c r="A1162" s="751" t="s">
        <v>3095</v>
      </c>
      <c r="B1162" s="718"/>
      <c r="C1162" s="867"/>
      <c r="D1162" s="867"/>
      <c r="E1162" s="820"/>
      <c r="F1162" s="731">
        <v>1.6999999999999999E-3</v>
      </c>
      <c r="G1162" s="78"/>
      <c r="J1162" s="31"/>
      <c r="O1162" s="21"/>
      <c r="P1162" s="21"/>
    </row>
    <row r="1163" spans="1:16" collapsed="1" x14ac:dyDescent="0.25">
      <c r="A1163" s="3801" t="s">
        <v>871</v>
      </c>
      <c r="B1163" s="3802"/>
      <c r="C1163" s="3802"/>
      <c r="D1163" s="3802"/>
      <c r="E1163" s="821"/>
      <c r="F1163" s="752">
        <v>8.634814814814816E-2</v>
      </c>
      <c r="G1163" s="97" t="s">
        <v>781</v>
      </c>
      <c r="J1163" s="31"/>
      <c r="O1163" s="21"/>
      <c r="P1163" s="21"/>
    </row>
    <row r="1164" spans="1:16" x14ac:dyDescent="0.25">
      <c r="A1164" s="1"/>
      <c r="B1164" s="1"/>
      <c r="C1164" s="1"/>
      <c r="D1164" s="1"/>
      <c r="E1164" s="1"/>
      <c r="F1164" s="1848"/>
      <c r="G1164" s="78"/>
      <c r="J1164" s="31"/>
      <c r="O1164" s="21"/>
      <c r="P1164" s="21"/>
    </row>
    <row r="1165" spans="1:16" hidden="1" outlineLevel="1" x14ac:dyDescent="0.25">
      <c r="A1165" s="689" t="s">
        <v>113</v>
      </c>
      <c r="B1165" s="689" t="s">
        <v>114</v>
      </c>
      <c r="C1165" s="689" t="s">
        <v>3462</v>
      </c>
      <c r="D1165" s="689" t="s">
        <v>1208</v>
      </c>
      <c r="E1165" s="689" t="s">
        <v>1209</v>
      </c>
      <c r="F1165" s="1188" t="s">
        <v>121</v>
      </c>
      <c r="G1165" s="78"/>
      <c r="J1165" s="31"/>
    </row>
    <row r="1166" spans="1:16" hidden="1" outlineLevel="1" x14ac:dyDescent="0.25">
      <c r="A1166" s="751" t="s">
        <v>3096</v>
      </c>
      <c r="B1166" s="691"/>
      <c r="C1166" s="793"/>
      <c r="D1166" s="793"/>
      <c r="E1166" s="1317"/>
      <c r="F1166" s="1829">
        <v>0.05</v>
      </c>
      <c r="G1166" s="78"/>
      <c r="J1166" s="31"/>
    </row>
    <row r="1167" spans="1:16" hidden="1" outlineLevel="1" x14ac:dyDescent="0.25">
      <c r="A1167" s="751" t="s">
        <v>3097</v>
      </c>
      <c r="B1167" s="691"/>
      <c r="C1167" s="691">
        <v>4.45</v>
      </c>
      <c r="D1167" s="691">
        <v>3.93</v>
      </c>
      <c r="E1167" s="1318">
        <f t="shared" ref="E1167:E1174" si="19">+(C1167-D1167)/100</f>
        <v>5.1999999999999998E-3</v>
      </c>
      <c r="F1167" s="1232">
        <f>+E1167*4</f>
        <v>2.0799999999999999E-2</v>
      </c>
      <c r="G1167" s="78"/>
      <c r="J1167" s="31"/>
    </row>
    <row r="1168" spans="1:16" hidden="1" outlineLevel="1" x14ac:dyDescent="0.25">
      <c r="A1168" s="751" t="s">
        <v>603</v>
      </c>
      <c r="B1168" s="691"/>
      <c r="C1168" s="843">
        <v>3.8769999999999998</v>
      </c>
      <c r="D1168" s="691">
        <v>3.49</v>
      </c>
      <c r="E1168" s="1318">
        <f t="shared" si="19"/>
        <v>3.8699999999999958E-3</v>
      </c>
      <c r="F1168" s="1232">
        <f t="shared" ref="F1168:F1173" si="20">+E1168*4</f>
        <v>1.5479999999999983E-2</v>
      </c>
      <c r="G1168" s="78"/>
      <c r="J1168" s="31"/>
    </row>
    <row r="1169" spans="1:10" hidden="1" outlineLevel="1" x14ac:dyDescent="0.25">
      <c r="A1169" s="751" t="s">
        <v>3373</v>
      </c>
      <c r="B1169" s="691"/>
      <c r="C1169" s="691">
        <v>3.8149999999999999</v>
      </c>
      <c r="D1169" s="691">
        <v>2.5649999999999999</v>
      </c>
      <c r="E1169" s="1318">
        <f t="shared" si="19"/>
        <v>1.2500000000000001E-2</v>
      </c>
      <c r="F1169" s="1232">
        <f t="shared" si="20"/>
        <v>0.05</v>
      </c>
      <c r="G1169" s="78"/>
      <c r="J1169" s="31"/>
    </row>
    <row r="1170" spans="1:10" hidden="1" outlineLevel="1" x14ac:dyDescent="0.25">
      <c r="A1170" s="751" t="s">
        <v>1391</v>
      </c>
      <c r="B1170" s="691"/>
      <c r="C1170" s="691">
        <v>2.52</v>
      </c>
      <c r="D1170" s="691">
        <v>1.79</v>
      </c>
      <c r="E1170" s="1318">
        <f t="shared" si="19"/>
        <v>7.3000000000000001E-3</v>
      </c>
      <c r="F1170" s="1232">
        <f t="shared" si="20"/>
        <v>2.92E-2</v>
      </c>
      <c r="G1170" s="78"/>
      <c r="J1170" s="31"/>
    </row>
    <row r="1171" spans="1:10" hidden="1" outlineLevel="1" x14ac:dyDescent="0.25">
      <c r="A1171" s="751" t="s">
        <v>1392</v>
      </c>
      <c r="B1171" s="691"/>
      <c r="C1171" s="691">
        <v>2.1760000000000002</v>
      </c>
      <c r="D1171" s="691">
        <v>1.381</v>
      </c>
      <c r="E1171" s="1318">
        <f t="shared" si="19"/>
        <v>7.9500000000000022E-3</v>
      </c>
      <c r="F1171" s="1232">
        <f t="shared" si="20"/>
        <v>3.1800000000000009E-2</v>
      </c>
      <c r="G1171" s="78"/>
      <c r="J1171" s="31"/>
    </row>
    <row r="1172" spans="1:10" hidden="1" outlineLevel="1" x14ac:dyDescent="0.25">
      <c r="A1172" s="751" t="s">
        <v>1393</v>
      </c>
      <c r="B1172" s="691"/>
      <c r="C1172" s="691">
        <v>1.85</v>
      </c>
      <c r="D1172" s="691">
        <v>0.78500000000000003</v>
      </c>
      <c r="E1172" s="1318">
        <v>7.9500000000000005E-3</v>
      </c>
      <c r="F1172" s="1232">
        <v>3.1800000000000002E-2</v>
      </c>
      <c r="G1172" s="78"/>
      <c r="J1172" s="31"/>
    </row>
    <row r="1173" spans="1:10" hidden="1" outlineLevel="1" x14ac:dyDescent="0.25">
      <c r="A1173" s="751" t="s">
        <v>1394</v>
      </c>
      <c r="B1173" s="691"/>
      <c r="C1173" s="691">
        <v>2.02</v>
      </c>
      <c r="D1173" s="691">
        <v>0.65</v>
      </c>
      <c r="E1173" s="1318">
        <f t="shared" si="19"/>
        <v>1.37E-2</v>
      </c>
      <c r="F1173" s="1232">
        <f t="shared" si="20"/>
        <v>5.4800000000000001E-2</v>
      </c>
      <c r="G1173" s="78"/>
      <c r="J1173" s="31"/>
    </row>
    <row r="1174" spans="1:10" hidden="1" outlineLevel="1" x14ac:dyDescent="0.25">
      <c r="A1174" s="751" t="s">
        <v>1395</v>
      </c>
      <c r="B1174" s="691"/>
      <c r="C1174" s="691">
        <v>1.2</v>
      </c>
      <c r="D1174" s="691">
        <v>0.42</v>
      </c>
      <c r="E1174" s="1318">
        <f t="shared" si="19"/>
        <v>7.8000000000000005E-3</v>
      </c>
      <c r="F1174" s="1829">
        <f>E1174*4</f>
        <v>3.1200000000000002E-2</v>
      </c>
      <c r="G1174" s="78"/>
      <c r="J1174" s="31"/>
    </row>
    <row r="1175" spans="1:10" hidden="1" outlineLevel="1" x14ac:dyDescent="0.25">
      <c r="A1175" s="751" t="s">
        <v>1396</v>
      </c>
      <c r="B1175" s="691"/>
      <c r="C1175" s="691">
        <v>0.96399999999999997</v>
      </c>
      <c r="D1175" s="691">
        <v>0.255</v>
      </c>
      <c r="E1175" s="1318">
        <v>7.1000000000000004E-3</v>
      </c>
      <c r="F1175" s="1829">
        <v>2.8400000000000002E-2</v>
      </c>
      <c r="G1175" s="78"/>
      <c r="J1175" s="31"/>
    </row>
    <row r="1176" spans="1:10" collapsed="1" x14ac:dyDescent="0.25">
      <c r="A1176" s="3801" t="s">
        <v>2392</v>
      </c>
      <c r="B1176" s="3802"/>
      <c r="C1176" s="3802"/>
      <c r="D1176" s="3802"/>
      <c r="E1176" s="729"/>
      <c r="F1176" s="752">
        <f>SUM(F1166:F1175)</f>
        <v>0.34348000000000001</v>
      </c>
      <c r="G1176" s="97" t="s">
        <v>781</v>
      </c>
      <c r="J1176" s="31"/>
    </row>
    <row r="1177" spans="1:10" x14ac:dyDescent="0.25">
      <c r="A1177" s="1"/>
      <c r="B1177" s="1"/>
      <c r="C1177" s="1"/>
      <c r="D1177" s="1"/>
      <c r="E1177" s="1"/>
      <c r="F1177" s="1848"/>
      <c r="G1177" s="78"/>
      <c r="J1177" s="31"/>
    </row>
    <row r="1178" spans="1:10" hidden="1" outlineLevel="1" x14ac:dyDescent="0.25">
      <c r="A1178" s="689" t="s">
        <v>113</v>
      </c>
      <c r="B1178" s="689" t="s">
        <v>114</v>
      </c>
      <c r="C1178" s="689" t="s">
        <v>112</v>
      </c>
      <c r="D1178" s="689" t="s">
        <v>116</v>
      </c>
      <c r="E1178" s="689" t="s">
        <v>117</v>
      </c>
      <c r="F1178" s="1188" t="s">
        <v>121</v>
      </c>
      <c r="G1178" s="97"/>
      <c r="J1178" s="31"/>
    </row>
    <row r="1179" spans="1:10" hidden="1" outlineLevel="1" x14ac:dyDescent="0.25">
      <c r="A1179" s="690">
        <v>1</v>
      </c>
      <c r="B1179" s="691" t="s">
        <v>252</v>
      </c>
      <c r="C1179" s="692"/>
      <c r="D1179" s="692"/>
      <c r="E1179" s="693"/>
      <c r="F1179" s="694"/>
      <c r="G1179" s="97"/>
      <c r="J1179" s="31"/>
    </row>
    <row r="1180" spans="1:10" hidden="1" outlineLevel="1" x14ac:dyDescent="0.25">
      <c r="A1180" s="695"/>
      <c r="B1180" s="695"/>
      <c r="C1180" s="696"/>
      <c r="D1180" s="697" t="s">
        <v>3702</v>
      </c>
      <c r="E1180" s="698">
        <f>indexy!$B$2</f>
        <v>45379</v>
      </c>
      <c r="F1180" s="699"/>
      <c r="G1180" s="97"/>
      <c r="J1180" s="31"/>
    </row>
    <row r="1181" spans="1:10" hidden="1" outlineLevel="1" x14ac:dyDescent="0.25">
      <c r="A1181" s="689" t="s">
        <v>4156</v>
      </c>
      <c r="B1181" s="689" t="s">
        <v>4153</v>
      </c>
      <c r="C1181" s="700" t="s">
        <v>112</v>
      </c>
      <c r="D1181" s="689" t="s">
        <v>4155</v>
      </c>
      <c r="E1181" s="689" t="s">
        <v>4154</v>
      </c>
      <c r="F1181" s="1021" t="s">
        <v>1332</v>
      </c>
      <c r="G1181" s="97"/>
      <c r="J1181" s="31"/>
    </row>
    <row r="1182" spans="1:10" hidden="1" outlineLevel="1" x14ac:dyDescent="0.25">
      <c r="A1182" s="734">
        <v>0.05</v>
      </c>
      <c r="B1182" s="755" t="s">
        <v>577</v>
      </c>
      <c r="C1182" s="736">
        <v>12.718</v>
      </c>
      <c r="D1182" s="737">
        <v>11.465</v>
      </c>
      <c r="E1182" s="738">
        <v>-9.8521780154112282E-2</v>
      </c>
      <c r="F1182" s="1021" t="s">
        <v>2024</v>
      </c>
      <c r="G1182" s="97"/>
      <c r="H1182" t="str">
        <f>VLOOKUP(B1182,indexy!$A$44:$D$232,3,FALSE)</f>
        <v>TEF SQ Equity</v>
      </c>
      <c r="J1182" s="31"/>
    </row>
    <row r="1183" spans="1:10" hidden="1" outlineLevel="1" x14ac:dyDescent="0.25">
      <c r="A1183" s="739">
        <v>0.05</v>
      </c>
      <c r="B1183" s="743" t="s">
        <v>2787</v>
      </c>
      <c r="C1183" s="741">
        <v>52.227400000000003</v>
      </c>
      <c r="D1183" s="737">
        <v>65.650000000000006</v>
      </c>
      <c r="E1183" s="742">
        <v>0.25700302906137384</v>
      </c>
      <c r="F1183" s="946" t="s">
        <v>2024</v>
      </c>
      <c r="G1183" s="97"/>
      <c r="H1183" t="str">
        <f>VLOOKUP(B1183,indexy!$A$44:$D$232,3,FALSE)</f>
        <v>NOVN SE Equity</v>
      </c>
      <c r="J1183" s="31"/>
    </row>
    <row r="1184" spans="1:10" hidden="1" outlineLevel="1" x14ac:dyDescent="0.25">
      <c r="A1184" s="739">
        <v>0.05</v>
      </c>
      <c r="B1184" s="740" t="s">
        <v>4601</v>
      </c>
      <c r="C1184" s="741">
        <v>136.61000000000001</v>
      </c>
      <c r="D1184" s="737">
        <v>174</v>
      </c>
      <c r="E1184" s="742">
        <v>0.27369885074299094</v>
      </c>
      <c r="F1184" s="946" t="s">
        <v>2024</v>
      </c>
      <c r="G1184" s="97"/>
      <c r="H1184" t="str">
        <f>VLOOKUP(B1184,indexy!$A$44:$D$818,3,FALSE)</f>
        <v>UL NA Equity</v>
      </c>
      <c r="J1184" s="31"/>
    </row>
    <row r="1185" spans="1:14" hidden="1" outlineLevel="1" x14ac:dyDescent="0.25">
      <c r="A1185" s="756">
        <v>0.05</v>
      </c>
      <c r="B1185" s="761" t="s">
        <v>1176</v>
      </c>
      <c r="C1185" s="758">
        <v>24.416</v>
      </c>
      <c r="D1185" s="759">
        <v>1.599</v>
      </c>
      <c r="E1185" s="760">
        <v>-0.93451015727391873</v>
      </c>
      <c r="F1185" s="1850" t="s">
        <v>2025</v>
      </c>
      <c r="G1185" s="97"/>
      <c r="H1185" s="163" t="str">
        <f>VLOOKUP(B1185,indexy!$A$44:$D$232,3,FALSE)</f>
        <v>AGS BB Equity</v>
      </c>
      <c r="J1185" s="31"/>
    </row>
    <row r="1186" spans="1:14" hidden="1" outlineLevel="1" x14ac:dyDescent="0.25">
      <c r="A1186" s="739">
        <v>0.05</v>
      </c>
      <c r="B1186" s="743" t="s">
        <v>51</v>
      </c>
      <c r="C1186" s="741">
        <v>45.621000000000002</v>
      </c>
      <c r="D1186" s="737">
        <v>31.47</v>
      </c>
      <c r="E1186" s="742">
        <v>-0.31018609850726642</v>
      </c>
      <c r="F1186" s="946" t="s">
        <v>2024</v>
      </c>
      <c r="G1186" s="97"/>
      <c r="H1186" t="str">
        <f>VLOOKUP(B1186,indexy!$A$44:$D$232,3,FALSE)</f>
        <v>SGO FP Equity</v>
      </c>
      <c r="J1186" s="31"/>
    </row>
    <row r="1187" spans="1:14" hidden="1" outlineLevel="1" x14ac:dyDescent="0.25">
      <c r="A1187" s="739">
        <v>0.05</v>
      </c>
      <c r="B1187" s="740" t="s">
        <v>1183</v>
      </c>
      <c r="C1187" s="741">
        <v>53.292499999999997</v>
      </c>
      <c r="D1187" s="737">
        <v>39.164999999999999</v>
      </c>
      <c r="E1187" s="742">
        <v>-0.26509358727775956</v>
      </c>
      <c r="F1187" s="946" t="s">
        <v>2024</v>
      </c>
      <c r="G1187" s="97"/>
      <c r="H1187" t="e">
        <f>VLOOKUP(B1187,indexy!$A$44:$D$232,3,FALSE)</f>
        <v>#N/A</v>
      </c>
      <c r="J1187" s="31"/>
    </row>
    <row r="1188" spans="1:14" hidden="1" outlineLevel="1" x14ac:dyDescent="0.25">
      <c r="A1188" s="739">
        <v>0.05</v>
      </c>
      <c r="B1188" s="740" t="s">
        <v>1184</v>
      </c>
      <c r="C1188" s="741">
        <v>30.088000000000001</v>
      </c>
      <c r="D1188" s="737">
        <v>75.09</v>
      </c>
      <c r="E1188" s="742">
        <v>1.4956793406009039</v>
      </c>
      <c r="F1188" s="946" t="s">
        <v>2024</v>
      </c>
      <c r="G1188" s="97"/>
      <c r="H1188" t="str">
        <f>VLOOKUP(B1188,indexy!$A$44:$D$232,3,FALSE)</f>
        <v>BAS GY Equity</v>
      </c>
      <c r="J1188" s="31"/>
    </row>
    <row r="1189" spans="1:14" hidden="1" outlineLevel="1" x14ac:dyDescent="0.25">
      <c r="A1189" s="739">
        <v>0.05</v>
      </c>
      <c r="B1189" s="740" t="s">
        <v>1190</v>
      </c>
      <c r="C1189" s="741">
        <v>14.526</v>
      </c>
      <c r="D1189" s="737">
        <v>2.58</v>
      </c>
      <c r="E1189" s="742">
        <v>-0.82238744320528712</v>
      </c>
      <c r="F1189" s="946" t="s">
        <v>2024</v>
      </c>
      <c r="G1189" s="97"/>
      <c r="H1189" t="str">
        <f>VLOOKUP(B1189,indexy!$A$44:$D$232,3,FALSE)</f>
        <v>NOKIA FH Equity</v>
      </c>
      <c r="J1189" s="31"/>
    </row>
    <row r="1190" spans="1:14" hidden="1" outlineLevel="1" x14ac:dyDescent="0.25">
      <c r="A1190" s="739">
        <v>0.05</v>
      </c>
      <c r="B1190" s="740" t="s">
        <v>4338</v>
      </c>
      <c r="C1190" s="741">
        <v>21.258315573087998</v>
      </c>
      <c r="D1190" s="737">
        <v>14.605</v>
      </c>
      <c r="E1190" s="742">
        <v>-0.3129747298281137</v>
      </c>
      <c r="F1190" s="946" t="s">
        <v>2024</v>
      </c>
      <c r="G1190" s="97"/>
      <c r="H1190" t="str">
        <f>VLOOKUP(B1190,indexy!$A$44:$D$392,3,FALSE)</f>
        <v>ENGI FP Equity</v>
      </c>
      <c r="J1190" s="31"/>
      <c r="M1190" s="163"/>
      <c r="N1190" s="163"/>
    </row>
    <row r="1191" spans="1:14" s="163" customFormat="1" hidden="1" outlineLevel="1" x14ac:dyDescent="0.25">
      <c r="A1191" s="756">
        <v>0.05</v>
      </c>
      <c r="B1191" s="761" t="s">
        <v>2587</v>
      </c>
      <c r="C1191" s="758">
        <v>549.5</v>
      </c>
      <c r="D1191" s="759">
        <v>19.98</v>
      </c>
      <c r="E1191" s="760">
        <v>-0.96363967242948134</v>
      </c>
      <c r="F1191" s="1850" t="s">
        <v>2025</v>
      </c>
      <c r="G1191" s="178"/>
      <c r="H1191" s="163" t="e">
        <f>VLOOKUP(B1191,indexy!$A$44:$D$232,3,FALSE)</f>
        <v>#N/A</v>
      </c>
      <c r="J1191" s="105"/>
    </row>
    <row r="1192" spans="1:14" s="163" customFormat="1" hidden="1" outlineLevel="1" x14ac:dyDescent="0.25">
      <c r="A1192" s="756">
        <v>0.05</v>
      </c>
      <c r="B1192" s="761" t="s">
        <v>1187</v>
      </c>
      <c r="C1192" s="758">
        <v>68.16</v>
      </c>
      <c r="D1192" s="759">
        <v>75.88</v>
      </c>
      <c r="E1192" s="760">
        <v>0.11326291079812201</v>
      </c>
      <c r="F1192" s="1850" t="s">
        <v>2025</v>
      </c>
      <c r="G1192" s="178"/>
      <c r="H1192" s="163" t="str">
        <f>VLOOKUP(B1192,indexy!$A$44:$D$232,3,FALSE)</f>
        <v>SAN FP Equity</v>
      </c>
      <c r="J1192" s="105"/>
      <c r="M1192"/>
      <c r="N1192"/>
    </row>
    <row r="1193" spans="1:14" hidden="1" outlineLevel="1" x14ac:dyDescent="0.25">
      <c r="A1193" s="739">
        <v>0.05</v>
      </c>
      <c r="B1193" s="740" t="s">
        <v>2588</v>
      </c>
      <c r="C1193" s="741">
        <v>25.832000000000001</v>
      </c>
      <c r="D1193" s="737">
        <v>6.4160000000000004</v>
      </c>
      <c r="E1193" s="742">
        <v>-0.75162589036853511</v>
      </c>
      <c r="F1193" s="946" t="s">
        <v>2024</v>
      </c>
      <c r="G1193" s="97"/>
      <c r="H1193" t="str">
        <f>VLOOKUP(B1193,indexy!$A$44:$D$232,3,FALSE)</f>
        <v>INGA NA Equity</v>
      </c>
      <c r="J1193" s="31"/>
    </row>
    <row r="1194" spans="1:14" hidden="1" outlineLevel="1" x14ac:dyDescent="0.25">
      <c r="A1194" s="739">
        <v>0.05</v>
      </c>
      <c r="B1194" s="740" t="s">
        <v>1188</v>
      </c>
      <c r="C1194" s="741">
        <v>630.6</v>
      </c>
      <c r="D1194" s="737">
        <v>449.65</v>
      </c>
      <c r="E1194" s="742">
        <v>-0.28694893751982242</v>
      </c>
      <c r="F1194" s="946" t="s">
        <v>2024</v>
      </c>
      <c r="G1194" s="97"/>
      <c r="H1194" t="str">
        <f>VLOOKUP(B1194,indexy!$A$44:$D$232,3,FALSE)</f>
        <v>BP/ LN Equity</v>
      </c>
      <c r="J1194" s="31"/>
    </row>
    <row r="1195" spans="1:14" hidden="1" outlineLevel="1" x14ac:dyDescent="0.25">
      <c r="A1195" s="739">
        <v>0.05</v>
      </c>
      <c r="B1195" s="740" t="s">
        <v>1001</v>
      </c>
      <c r="C1195" s="741">
        <v>27.106999999999999</v>
      </c>
      <c r="D1195" s="737">
        <v>28.07</v>
      </c>
      <c r="E1195" s="742">
        <v>3.5525878924263177E-2</v>
      </c>
      <c r="F1195" s="946" t="s">
        <v>2024</v>
      </c>
      <c r="G1195" s="97"/>
      <c r="H1195" t="str">
        <f>VLOOKUP(B1195,indexy!$A$44:$D$232,3,FALSE)</f>
        <v>MSFT UW Equity</v>
      </c>
      <c r="J1195" s="31"/>
    </row>
    <row r="1196" spans="1:14" hidden="1" outlineLevel="1" x14ac:dyDescent="0.25">
      <c r="A1196" s="739">
        <v>0.05</v>
      </c>
      <c r="B1196" s="740" t="s">
        <v>1002</v>
      </c>
      <c r="C1196" s="741">
        <v>12.603999999999999</v>
      </c>
      <c r="D1196" s="737">
        <v>36.340000000000003</v>
      </c>
      <c r="E1196" s="742">
        <v>1.8832116788321174</v>
      </c>
      <c r="F1196" s="946" t="s">
        <v>2024</v>
      </c>
      <c r="G1196" s="97"/>
      <c r="H1196" t="str">
        <f>VLOOKUP(B1196,indexy!$A$44:$D$232,3,FALSE)</f>
        <v>ORCL UN Equity</v>
      </c>
      <c r="J1196" s="31"/>
    </row>
    <row r="1197" spans="1:14" hidden="1" outlineLevel="1" x14ac:dyDescent="0.25">
      <c r="A1197" s="739">
        <v>0.05</v>
      </c>
      <c r="B1197" s="740" t="s">
        <v>3425</v>
      </c>
      <c r="C1197" s="741">
        <v>57.167000000000002</v>
      </c>
      <c r="D1197" s="737">
        <v>89.37</v>
      </c>
      <c r="E1197" s="742">
        <v>0.563314499623909</v>
      </c>
      <c r="F1197" s="946" t="s">
        <v>2024</v>
      </c>
      <c r="G1197" s="97"/>
      <c r="H1197" t="str">
        <f>VLOOKUP(B1197,indexy!$A$44:$D$232,3,FALSE)</f>
        <v>XOM UN Equity</v>
      </c>
      <c r="J1197" s="31"/>
    </row>
    <row r="1198" spans="1:14" hidden="1" outlineLevel="1" x14ac:dyDescent="0.25">
      <c r="A1198" s="739">
        <v>0.05</v>
      </c>
      <c r="B1198" s="740" t="s">
        <v>1003</v>
      </c>
      <c r="C1198" s="741">
        <v>31.283000000000001</v>
      </c>
      <c r="D1198" s="737">
        <v>29.11</v>
      </c>
      <c r="E1198" s="742">
        <v>-6.9462647444298864E-2</v>
      </c>
      <c r="F1198" s="946" t="s">
        <v>2024</v>
      </c>
      <c r="G1198" s="97"/>
      <c r="H1198" t="str">
        <f>VLOOKUP(B1198,indexy!$A$44:$D$232,3,FALSE)</f>
        <v>TXN UW Equity</v>
      </c>
      <c r="J1198" s="31"/>
    </row>
    <row r="1199" spans="1:14" hidden="1" outlineLevel="1" x14ac:dyDescent="0.25">
      <c r="A1199" s="739">
        <v>0.05</v>
      </c>
      <c r="B1199" s="740" t="s">
        <v>4460</v>
      </c>
      <c r="C1199" s="741">
        <v>988.3</v>
      </c>
      <c r="D1199" s="737">
        <v>1647</v>
      </c>
      <c r="E1199" s="742">
        <v>0.66649802691490456</v>
      </c>
      <c r="F1199" s="946" t="s">
        <v>2024</v>
      </c>
      <c r="G1199" s="97"/>
      <c r="H1199" t="str">
        <f>VLOOKUP(B1199,indexy!$A$44:$D$232,3,FALSE)</f>
        <v>SVT LN Equity</v>
      </c>
      <c r="J1199" s="31"/>
    </row>
    <row r="1200" spans="1:14" hidden="1" outlineLevel="1" x14ac:dyDescent="0.25">
      <c r="A1200" s="739">
        <v>0.05</v>
      </c>
      <c r="B1200" s="740" t="s">
        <v>3551</v>
      </c>
      <c r="C1200" s="741">
        <v>5391</v>
      </c>
      <c r="D1200" s="737">
        <v>5020</v>
      </c>
      <c r="E1200" s="742">
        <v>-6.8818401038768351E-2</v>
      </c>
      <c r="F1200" s="946" t="s">
        <v>2024</v>
      </c>
      <c r="G1200" s="97"/>
      <c r="H1200" t="str">
        <f>VLOOKUP(B1200,indexy!$A$44:$D$232,3,FALSE)</f>
        <v>7203 JT Equity</v>
      </c>
      <c r="J1200" s="31"/>
    </row>
    <row r="1201" spans="1:10" hidden="1" outlineLevel="1" x14ac:dyDescent="0.25">
      <c r="A1201" s="745">
        <v>0.05</v>
      </c>
      <c r="B1201" s="824" t="s">
        <v>507</v>
      </c>
      <c r="C1201" s="747">
        <v>19.036666666666665</v>
      </c>
      <c r="D1201" s="715">
        <v>30.895</v>
      </c>
      <c r="E1201" s="748">
        <v>0.62292067939064966</v>
      </c>
      <c r="F1201" s="946" t="s">
        <v>2024</v>
      </c>
      <c r="G1201" s="97"/>
      <c r="H1201" t="str">
        <f>VLOOKUP(B1201,indexy!$A$44:$D$232,3,FALSE)</f>
        <v>UNA NA Equity</v>
      </c>
      <c r="J1201" s="31"/>
    </row>
    <row r="1202" spans="1:10" hidden="1" outlineLevel="1" x14ac:dyDescent="0.25">
      <c r="A1202" s="749"/>
      <c r="B1202" s="750"/>
      <c r="C1202" s="727"/>
      <c r="D1202" s="768"/>
      <c r="E1202" s="716">
        <v>5.1347277492093502E-2</v>
      </c>
      <c r="F1202" s="731"/>
      <c r="G1202" s="97"/>
      <c r="J1202" s="31"/>
    </row>
    <row r="1203" spans="1:10" hidden="1" outlineLevel="1" x14ac:dyDescent="0.25">
      <c r="A1203" s="751" t="s">
        <v>3621</v>
      </c>
      <c r="B1203" s="750"/>
      <c r="C1203" s="727"/>
      <c r="D1203" s="768"/>
      <c r="E1203" s="716"/>
      <c r="F1203" s="770">
        <v>5.0999999999999997E-2</v>
      </c>
      <c r="G1203" s="97"/>
      <c r="I1203" s="31"/>
      <c r="J1203" s="31"/>
    </row>
    <row r="1204" spans="1:10" hidden="1" outlineLevel="1" x14ac:dyDescent="0.25">
      <c r="A1204" s="751" t="s">
        <v>3622</v>
      </c>
      <c r="B1204" s="750" t="s">
        <v>325</v>
      </c>
      <c r="C1204" s="727"/>
      <c r="D1204" s="768"/>
      <c r="E1204" s="716"/>
      <c r="F1204" s="770">
        <f>F1203/1.5</f>
        <v>3.3999999999999996E-2</v>
      </c>
      <c r="G1204" s="97"/>
      <c r="I1204" s="31"/>
      <c r="J1204" s="31"/>
    </row>
    <row r="1205" spans="1:10" hidden="1" outlineLevel="1" x14ac:dyDescent="0.25">
      <c r="A1205" s="751" t="s">
        <v>3623</v>
      </c>
      <c r="B1205" s="750" t="s">
        <v>2854</v>
      </c>
      <c r="C1205" s="727"/>
      <c r="D1205" s="768"/>
      <c r="E1205" s="716"/>
      <c r="F1205" s="770">
        <f>F1204/1.5</f>
        <v>2.2666666666666665E-2</v>
      </c>
      <c r="G1205" s="97"/>
      <c r="J1205" s="31"/>
    </row>
    <row r="1206" spans="1:10" hidden="1" outlineLevel="1" x14ac:dyDescent="0.25">
      <c r="A1206" s="751" t="s">
        <v>4570</v>
      </c>
      <c r="B1206" s="750" t="s">
        <v>2064</v>
      </c>
      <c r="C1206" s="727"/>
      <c r="D1206" s="768"/>
      <c r="E1206" s="716"/>
      <c r="F1206" s="770">
        <f>F1205/1.5</f>
        <v>1.511111111111111E-2</v>
      </c>
      <c r="G1206" s="97"/>
      <c r="J1206" s="31"/>
    </row>
    <row r="1207" spans="1:10" hidden="1" outlineLevel="1" x14ac:dyDescent="0.25">
      <c r="A1207" s="751" t="s">
        <v>4571</v>
      </c>
      <c r="B1207" s="750" t="s">
        <v>3199</v>
      </c>
      <c r="C1207" s="727"/>
      <c r="D1207" s="727"/>
      <c r="E1207" s="716"/>
      <c r="F1207" s="770">
        <f>F1206/1.5</f>
        <v>1.0074074074074074E-2</v>
      </c>
      <c r="G1207" s="97"/>
      <c r="J1207" s="31"/>
    </row>
    <row r="1208" spans="1:10" collapsed="1" x14ac:dyDescent="0.25">
      <c r="A1208" s="3801" t="s">
        <v>892</v>
      </c>
      <c r="B1208" s="3802"/>
      <c r="C1208" s="3802"/>
      <c r="D1208" s="3802"/>
      <c r="E1208" s="721"/>
      <c r="F1208" s="722">
        <f>SUM(F1203:F1207)</f>
        <v>0.13285185185185183</v>
      </c>
      <c r="G1208" s="97" t="s">
        <v>781</v>
      </c>
      <c r="J1208" s="31"/>
    </row>
    <row r="1209" spans="1:10" x14ac:dyDescent="0.25">
      <c r="A1209" s="1"/>
      <c r="B1209" s="1"/>
      <c r="C1209" s="1"/>
      <c r="D1209" s="1"/>
      <c r="E1209" s="1"/>
      <c r="F1209" s="1848"/>
      <c r="G1209" s="78"/>
      <c r="J1209" s="31"/>
    </row>
    <row r="1210" spans="1:10" hidden="1" outlineLevel="1" x14ac:dyDescent="0.25">
      <c r="A1210" s="689" t="s">
        <v>113</v>
      </c>
      <c r="B1210" s="689" t="s">
        <v>114</v>
      </c>
      <c r="C1210" s="689" t="s">
        <v>112</v>
      </c>
      <c r="D1210" s="689" t="s">
        <v>116</v>
      </c>
      <c r="E1210" s="689" t="s">
        <v>117</v>
      </c>
      <c r="F1210" s="1188" t="s">
        <v>121</v>
      </c>
      <c r="G1210" s="78"/>
      <c r="J1210" s="31"/>
    </row>
    <row r="1211" spans="1:10" hidden="1" outlineLevel="1" x14ac:dyDescent="0.25">
      <c r="A1211" s="751" t="s">
        <v>4572</v>
      </c>
      <c r="B1211" s="729" t="s">
        <v>115</v>
      </c>
      <c r="C1211" s="719">
        <v>3378.2289999999998</v>
      </c>
      <c r="D1211" s="719">
        <v>3519.12</v>
      </c>
      <c r="E1211" s="720">
        <f t="shared" ref="E1211:E1238" si="21">D1211/C1211-1</f>
        <v>4.170558005392766E-2</v>
      </c>
      <c r="F1211" s="731">
        <v>0</v>
      </c>
      <c r="G1211" s="78"/>
      <c r="J1211" s="31"/>
    </row>
    <row r="1212" spans="1:10" hidden="1" outlineLevel="1" x14ac:dyDescent="0.25">
      <c r="A1212" s="751" t="s">
        <v>4573</v>
      </c>
      <c r="B1212" s="729" t="s">
        <v>115</v>
      </c>
      <c r="C1212" s="719">
        <v>3519.12</v>
      </c>
      <c r="D1212" s="719">
        <v>3629.25</v>
      </c>
      <c r="E1212" s="720">
        <f t="shared" si="21"/>
        <v>3.1294755507058625E-2</v>
      </c>
      <c r="F1212" s="731">
        <v>0</v>
      </c>
      <c r="G1212" s="78"/>
      <c r="J1212" s="31"/>
    </row>
    <row r="1213" spans="1:10" hidden="1" outlineLevel="1" x14ac:dyDescent="0.25">
      <c r="A1213" s="751" t="s">
        <v>3009</v>
      </c>
      <c r="B1213" s="729" t="s">
        <v>115</v>
      </c>
      <c r="C1213" s="719">
        <v>3629.25</v>
      </c>
      <c r="D1213" s="719">
        <v>3734.48</v>
      </c>
      <c r="E1213" s="720">
        <f t="shared" si="21"/>
        <v>2.8994971412826365E-2</v>
      </c>
      <c r="F1213" s="731">
        <v>0</v>
      </c>
      <c r="G1213" s="78"/>
      <c r="J1213" s="31"/>
    </row>
    <row r="1214" spans="1:10" hidden="1" outlineLevel="1" x14ac:dyDescent="0.25">
      <c r="A1214" s="751" t="s">
        <v>3010</v>
      </c>
      <c r="B1214" s="729" t="s">
        <v>115</v>
      </c>
      <c r="C1214" s="719">
        <v>3734.48</v>
      </c>
      <c r="D1214" s="719">
        <v>3833.48</v>
      </c>
      <c r="E1214" s="720">
        <f t="shared" si="21"/>
        <v>2.6509714873288903E-2</v>
      </c>
      <c r="F1214" s="731">
        <v>0</v>
      </c>
      <c r="G1214" s="78"/>
      <c r="J1214" s="31"/>
    </row>
    <row r="1215" spans="1:10" hidden="1" outlineLevel="1" x14ac:dyDescent="0.25">
      <c r="A1215" s="751" t="s">
        <v>3011</v>
      </c>
      <c r="B1215" s="729" t="s">
        <v>115</v>
      </c>
      <c r="C1215" s="719">
        <v>3833.48</v>
      </c>
      <c r="D1215" s="719">
        <v>3770.79</v>
      </c>
      <c r="E1215" s="720">
        <f t="shared" si="21"/>
        <v>-1.635328735248387E-2</v>
      </c>
      <c r="F1215" s="731">
        <v>-1.6400000000000001E-2</v>
      </c>
      <c r="G1215" s="78"/>
      <c r="J1215" s="31"/>
    </row>
    <row r="1216" spans="1:10" hidden="1" outlineLevel="1" x14ac:dyDescent="0.25">
      <c r="A1216" s="751" t="s">
        <v>3012</v>
      </c>
      <c r="B1216" s="729" t="s">
        <v>115</v>
      </c>
      <c r="C1216" s="719">
        <f>D1215</f>
        <v>3770.79</v>
      </c>
      <c r="D1216" s="719">
        <v>3711.16</v>
      </c>
      <c r="E1216" s="720">
        <f t="shared" si="21"/>
        <v>-1.5813662389048466E-2</v>
      </c>
      <c r="F1216" s="731">
        <v>-1.5800000000000002E-2</v>
      </c>
      <c r="G1216" s="78"/>
      <c r="J1216" s="31"/>
    </row>
    <row r="1217" spans="1:10" hidden="1" outlineLevel="1" x14ac:dyDescent="0.25">
      <c r="A1217" s="751" t="s">
        <v>795</v>
      </c>
      <c r="B1217" s="729" t="s">
        <v>115</v>
      </c>
      <c r="C1217" s="719">
        <v>3711.16</v>
      </c>
      <c r="D1217" s="719">
        <v>3414.21</v>
      </c>
      <c r="E1217" s="720">
        <f t="shared" si="21"/>
        <v>-8.0015412970607547E-2</v>
      </c>
      <c r="F1217" s="731">
        <v>-0.08</v>
      </c>
      <c r="G1217" s="78"/>
      <c r="J1217" s="31"/>
    </row>
    <row r="1218" spans="1:10" hidden="1" outlineLevel="1" x14ac:dyDescent="0.25">
      <c r="A1218" s="751" t="s">
        <v>2067</v>
      </c>
      <c r="B1218" s="729" t="s">
        <v>115</v>
      </c>
      <c r="C1218" s="719">
        <v>3414.21</v>
      </c>
      <c r="D1218" s="719">
        <v>3508.25</v>
      </c>
      <c r="E1218" s="720">
        <f t="shared" si="21"/>
        <v>2.7543707036181031E-2</v>
      </c>
      <c r="F1218" s="731">
        <v>0</v>
      </c>
      <c r="G1218" s="78"/>
      <c r="J1218" s="31"/>
    </row>
    <row r="1219" spans="1:10" hidden="1" outlineLevel="1" x14ac:dyDescent="0.25">
      <c r="A1219" s="751" t="s">
        <v>2068</v>
      </c>
      <c r="B1219" s="729" t="s">
        <v>115</v>
      </c>
      <c r="C1219" s="719">
        <v>3508.25</v>
      </c>
      <c r="D1219" s="719">
        <v>3719.11</v>
      </c>
      <c r="E1219" s="720">
        <f t="shared" si="21"/>
        <v>6.0104040476020915E-2</v>
      </c>
      <c r="F1219" s="731">
        <v>0</v>
      </c>
      <c r="G1219" s="78"/>
      <c r="J1219" s="31"/>
    </row>
    <row r="1220" spans="1:10" hidden="1" outlineLevel="1" x14ac:dyDescent="0.25">
      <c r="A1220" s="751" t="s">
        <v>4066</v>
      </c>
      <c r="B1220" s="729" t="s">
        <v>115</v>
      </c>
      <c r="C1220" s="719">
        <v>3719.11</v>
      </c>
      <c r="D1220" s="719">
        <v>3796.59</v>
      </c>
      <c r="E1220" s="720">
        <f t="shared" si="21"/>
        <v>2.0832941214430356E-2</v>
      </c>
      <c r="F1220" s="731">
        <v>0</v>
      </c>
      <c r="G1220" s="78"/>
      <c r="J1220" s="31"/>
    </row>
    <row r="1221" spans="1:10" hidden="1" outlineLevel="1" x14ac:dyDescent="0.25">
      <c r="A1221" s="751" t="s">
        <v>4067</v>
      </c>
      <c r="B1221" s="729" t="s">
        <v>115</v>
      </c>
      <c r="C1221" s="719">
        <v>3796.59</v>
      </c>
      <c r="D1221" s="719">
        <v>3999.07</v>
      </c>
      <c r="E1221" s="720">
        <f t="shared" si="21"/>
        <v>5.3332069040902486E-2</v>
      </c>
      <c r="F1221" s="731">
        <v>0</v>
      </c>
      <c r="G1221" s="78"/>
      <c r="J1221" s="31"/>
    </row>
    <row r="1222" spans="1:10" hidden="1" outlineLevel="1" x14ac:dyDescent="0.25">
      <c r="A1222" s="751" t="s">
        <v>4068</v>
      </c>
      <c r="B1222" s="729" t="s">
        <v>115</v>
      </c>
      <c r="C1222" s="719">
        <v>3999.07</v>
      </c>
      <c r="D1222" s="719">
        <v>4084.33</v>
      </c>
      <c r="E1222" s="720">
        <f t="shared" si="21"/>
        <v>2.1319956889976899E-2</v>
      </c>
      <c r="F1222" s="731">
        <v>0</v>
      </c>
      <c r="G1222" s="78"/>
      <c r="J1222" s="31"/>
    </row>
    <row r="1223" spans="1:10" hidden="1" outlineLevel="1" x14ac:dyDescent="0.25">
      <c r="A1223" s="751" t="s">
        <v>4069</v>
      </c>
      <c r="B1223" s="729" t="s">
        <v>115</v>
      </c>
      <c r="C1223" s="719">
        <v>4084.33</v>
      </c>
      <c r="D1223" s="719">
        <v>4118.84</v>
      </c>
      <c r="E1223" s="720">
        <f t="shared" si="21"/>
        <v>8.4493662363227529E-3</v>
      </c>
      <c r="F1223" s="731">
        <v>0</v>
      </c>
      <c r="G1223" s="78"/>
      <c r="J1223" s="31"/>
    </row>
    <row r="1224" spans="1:10" hidden="1" outlineLevel="1" x14ac:dyDescent="0.25">
      <c r="A1224" s="751" t="s">
        <v>4209</v>
      </c>
      <c r="B1224" s="729" t="s">
        <v>115</v>
      </c>
      <c r="C1224" s="719">
        <v>4118.84</v>
      </c>
      <c r="D1224" s="719">
        <v>4187.3599999999997</v>
      </c>
      <c r="E1224" s="720">
        <f t="shared" si="21"/>
        <v>1.6635751813617317E-2</v>
      </c>
      <c r="F1224" s="731">
        <v>0</v>
      </c>
      <c r="G1224" s="78"/>
      <c r="J1224" s="31"/>
    </row>
    <row r="1225" spans="1:10" hidden="1" outlineLevel="1" x14ac:dyDescent="0.25">
      <c r="A1225" s="751" t="s">
        <v>2997</v>
      </c>
      <c r="B1225" s="729" t="s">
        <v>115</v>
      </c>
      <c r="C1225" s="719">
        <v>4187.3599999999997</v>
      </c>
      <c r="D1225" s="719">
        <v>4267.0200000000004</v>
      </c>
      <c r="E1225" s="720">
        <f t="shared" si="21"/>
        <v>1.9023919605670514E-2</v>
      </c>
      <c r="F1225" s="731">
        <v>0</v>
      </c>
      <c r="G1225" s="78"/>
      <c r="J1225" s="31"/>
    </row>
    <row r="1226" spans="1:10" hidden="1" outlineLevel="1" x14ac:dyDescent="0.25">
      <c r="A1226" s="751" t="s">
        <v>2998</v>
      </c>
      <c r="B1226" s="729" t="s">
        <v>115</v>
      </c>
      <c r="C1226" s="719">
        <v>4267.0200000000004</v>
      </c>
      <c r="D1226" s="719">
        <v>3906.15</v>
      </c>
      <c r="E1226" s="720">
        <f t="shared" si="21"/>
        <v>-8.4571902639312801E-2</v>
      </c>
      <c r="F1226" s="731">
        <f>E1226</f>
        <v>-8.4571902639312801E-2</v>
      </c>
      <c r="G1226" s="78"/>
      <c r="J1226" s="31"/>
    </row>
    <row r="1227" spans="1:10" hidden="1" outlineLevel="1" x14ac:dyDescent="0.25">
      <c r="A1227" s="751" t="s">
        <v>2999</v>
      </c>
      <c r="B1227" s="729" t="s">
        <v>115</v>
      </c>
      <c r="C1227" s="719">
        <v>3906.15</v>
      </c>
      <c r="D1227" s="719">
        <v>4384.38</v>
      </c>
      <c r="E1227" s="720">
        <f t="shared" si="21"/>
        <v>0.12243001420836364</v>
      </c>
      <c r="F1227" s="731">
        <v>0</v>
      </c>
      <c r="G1227" s="78"/>
      <c r="J1227" s="31"/>
    </row>
    <row r="1228" spans="1:10" hidden="1" outlineLevel="1" x14ac:dyDescent="0.25">
      <c r="A1228" s="751" t="s">
        <v>3634</v>
      </c>
      <c r="B1228" s="729" t="s">
        <v>115</v>
      </c>
      <c r="C1228" s="719">
        <v>4384.38</v>
      </c>
      <c r="D1228" s="719">
        <v>4441.03</v>
      </c>
      <c r="E1228" s="720">
        <f t="shared" si="21"/>
        <v>1.2920869085252473E-2</v>
      </c>
      <c r="F1228" s="731">
        <v>0</v>
      </c>
      <c r="G1228" s="78"/>
      <c r="J1228" s="31"/>
    </row>
    <row r="1229" spans="1:10" hidden="1" outlineLevel="1" x14ac:dyDescent="0.25">
      <c r="A1229" s="751" t="s">
        <v>4210</v>
      </c>
      <c r="B1229" s="729" t="s">
        <v>115</v>
      </c>
      <c r="C1229" s="719">
        <v>4441.03</v>
      </c>
      <c r="D1229" s="719">
        <v>4485.04</v>
      </c>
      <c r="E1229" s="720">
        <f t="shared" si="21"/>
        <v>9.9098632524436958E-3</v>
      </c>
      <c r="F1229" s="731">
        <v>0</v>
      </c>
      <c r="G1229" s="78"/>
      <c r="J1229" s="31"/>
    </row>
    <row r="1230" spans="1:10" hidden="1" outlineLevel="1" x14ac:dyDescent="0.25">
      <c r="A1230" s="751" t="s">
        <v>1499</v>
      </c>
      <c r="B1230" s="729" t="s">
        <v>115</v>
      </c>
      <c r="C1230" s="719">
        <v>4485.04</v>
      </c>
      <c r="D1230" s="719">
        <v>4542.57</v>
      </c>
      <c r="E1230" s="720">
        <f t="shared" si="21"/>
        <v>1.2827087383836089E-2</v>
      </c>
      <c r="F1230" s="731">
        <v>0</v>
      </c>
      <c r="G1230" s="78"/>
      <c r="J1230" s="31"/>
    </row>
    <row r="1231" spans="1:10" hidden="1" outlineLevel="1" x14ac:dyDescent="0.25">
      <c r="A1231" s="751" t="s">
        <v>1500</v>
      </c>
      <c r="B1231" s="729" t="s">
        <v>115</v>
      </c>
      <c r="C1231" s="719">
        <v>4542.57</v>
      </c>
      <c r="D1231" s="719">
        <v>4195.6000000000004</v>
      </c>
      <c r="E1231" s="720">
        <f t="shared" si="21"/>
        <v>-7.6381871935930379E-2</v>
      </c>
      <c r="F1231" s="731">
        <v>-7.6381871935930379E-2</v>
      </c>
      <c r="G1231" s="78"/>
      <c r="J1231" s="31"/>
    </row>
    <row r="1232" spans="1:10" hidden="1" outlineLevel="1" x14ac:dyDescent="0.25">
      <c r="A1232" s="751" t="s">
        <v>1501</v>
      </c>
      <c r="B1232" s="729" t="s">
        <v>115</v>
      </c>
      <c r="C1232" s="719">
        <v>4195.6000000000004</v>
      </c>
      <c r="D1232" s="719">
        <v>4221.34</v>
      </c>
      <c r="E1232" s="720">
        <f t="shared" si="21"/>
        <v>6.1349985699303833E-3</v>
      </c>
      <c r="F1232" s="731">
        <v>0</v>
      </c>
      <c r="G1232" s="78"/>
      <c r="J1232" s="31"/>
    </row>
    <row r="1233" spans="1:10" hidden="1" outlineLevel="1" x14ac:dyDescent="0.25">
      <c r="A1233" s="751" t="s">
        <v>1502</v>
      </c>
      <c r="B1233" s="729" t="s">
        <v>115</v>
      </c>
      <c r="C1233" s="719">
        <v>4221.34</v>
      </c>
      <c r="D1233" s="719">
        <v>4476.0200000000004</v>
      </c>
      <c r="E1233" s="720">
        <f t="shared" si="21"/>
        <v>6.0331553487755096E-2</v>
      </c>
      <c r="F1233" s="731">
        <v>0</v>
      </c>
      <c r="G1233" s="78"/>
      <c r="J1233" s="31"/>
    </row>
    <row r="1234" spans="1:10" hidden="1" outlineLevel="1" x14ac:dyDescent="0.25">
      <c r="A1234" s="751" t="s">
        <v>1503</v>
      </c>
      <c r="B1234" s="729" t="s">
        <v>115</v>
      </c>
      <c r="C1234" s="719">
        <v>4476.0200000000004</v>
      </c>
      <c r="D1234" s="719">
        <v>4338.28</v>
      </c>
      <c r="E1234" s="720">
        <f t="shared" si="21"/>
        <v>-3.0772874115844173E-2</v>
      </c>
      <c r="F1234" s="731">
        <f>E1234</f>
        <v>-3.0772874115844173E-2</v>
      </c>
      <c r="G1234" s="78"/>
      <c r="J1234" s="31"/>
    </row>
    <row r="1235" spans="1:10" hidden="1" outlineLevel="1" x14ac:dyDescent="0.25">
      <c r="A1235" s="751" t="s">
        <v>1504</v>
      </c>
      <c r="B1235" s="729" t="s">
        <v>115</v>
      </c>
      <c r="C1235" s="719">
        <v>4338.28</v>
      </c>
      <c r="D1235" s="719">
        <v>4384.6499999999996</v>
      </c>
      <c r="E1235" s="720">
        <f t="shared" si="21"/>
        <v>1.0688567819504557E-2</v>
      </c>
      <c r="F1235" s="731">
        <v>0</v>
      </c>
      <c r="G1235" s="78"/>
      <c r="J1235" s="31"/>
    </row>
    <row r="1236" spans="1:10" hidden="1" outlineLevel="1" x14ac:dyDescent="0.25">
      <c r="A1236" s="751" t="s">
        <v>1505</v>
      </c>
      <c r="B1236" s="729" t="s">
        <v>115</v>
      </c>
      <c r="C1236" s="719">
        <v>4384.6499999999996</v>
      </c>
      <c r="D1236" s="719">
        <v>4140.9399999999996</v>
      </c>
      <c r="E1236" s="720">
        <f t="shared" si="21"/>
        <v>-5.5582543646585214E-2</v>
      </c>
      <c r="F1236" s="731">
        <f>E1236</f>
        <v>-5.5582543646585214E-2</v>
      </c>
      <c r="G1236" s="78"/>
      <c r="J1236" s="31"/>
    </row>
    <row r="1237" spans="1:10" hidden="1" outlineLevel="1" x14ac:dyDescent="0.25">
      <c r="A1237" s="751" t="s">
        <v>3419</v>
      </c>
      <c r="B1237" s="729" t="s">
        <v>115</v>
      </c>
      <c r="C1237" s="719">
        <v>4140.9399999999996</v>
      </c>
      <c r="D1237" s="719">
        <v>3797.89</v>
      </c>
      <c r="E1237" s="720">
        <f t="shared" si="21"/>
        <v>-8.2843508961733314E-2</v>
      </c>
      <c r="F1237" s="731">
        <f>E1237</f>
        <v>-8.2843508961733314E-2</v>
      </c>
      <c r="G1237" s="78"/>
      <c r="J1237" s="31"/>
    </row>
    <row r="1238" spans="1:10" hidden="1" outlineLevel="1" x14ac:dyDescent="0.25">
      <c r="A1238" s="751" t="s">
        <v>3420</v>
      </c>
      <c r="B1238" s="729" t="s">
        <v>115</v>
      </c>
      <c r="C1238" s="719">
        <v>3797.89</v>
      </c>
      <c r="D1238" s="719">
        <v>3566.59</v>
      </c>
      <c r="E1238" s="720">
        <f t="shared" si="21"/>
        <v>-6.090223782152715E-2</v>
      </c>
      <c r="F1238" s="731">
        <f>E1238</f>
        <v>-6.090223782152715E-2</v>
      </c>
      <c r="G1238" s="78"/>
      <c r="J1238" s="31"/>
    </row>
    <row r="1239" spans="1:10" hidden="1" outlineLevel="1" x14ac:dyDescent="0.25">
      <c r="A1239" s="751" t="s">
        <v>834</v>
      </c>
      <c r="B1239" s="729" t="s">
        <v>115</v>
      </c>
      <c r="C1239" s="719">
        <v>3566.59</v>
      </c>
      <c r="D1239" s="719"/>
      <c r="E1239" s="729"/>
      <c r="F1239" s="731"/>
      <c r="G1239" s="78"/>
      <c r="J1239" s="31"/>
    </row>
    <row r="1240" spans="1:10" hidden="1" outlineLevel="1" x14ac:dyDescent="0.25">
      <c r="A1240" s="751" t="s">
        <v>3672</v>
      </c>
      <c r="B1240" s="729" t="s">
        <v>115</v>
      </c>
      <c r="C1240" s="719"/>
      <c r="D1240" s="719"/>
      <c r="E1240" s="729"/>
      <c r="F1240" s="731"/>
      <c r="G1240" s="78"/>
      <c r="J1240" s="31"/>
    </row>
    <row r="1241" spans="1:10" hidden="1" outlineLevel="1" x14ac:dyDescent="0.25">
      <c r="A1241" s="751" t="s">
        <v>3673</v>
      </c>
      <c r="B1241" s="729" t="s">
        <v>115</v>
      </c>
      <c r="C1241" s="719"/>
      <c r="D1241" s="719"/>
      <c r="E1241" s="729"/>
      <c r="F1241" s="731"/>
      <c r="G1241" s="78"/>
      <c r="J1241" s="31"/>
    </row>
    <row r="1242" spans="1:10" hidden="1" outlineLevel="1" x14ac:dyDescent="0.25">
      <c r="A1242" s="751" t="s">
        <v>3674</v>
      </c>
      <c r="B1242" s="729" t="s">
        <v>115</v>
      </c>
      <c r="C1242" s="719"/>
      <c r="D1242" s="719"/>
      <c r="E1242" s="729"/>
      <c r="F1242" s="731"/>
      <c r="G1242" s="78"/>
      <c r="J1242" s="31"/>
    </row>
    <row r="1243" spans="1:10" hidden="1" outlineLevel="1" x14ac:dyDescent="0.25">
      <c r="A1243" s="751" t="s">
        <v>3675</v>
      </c>
      <c r="B1243" s="729" t="s">
        <v>115</v>
      </c>
      <c r="C1243" s="719"/>
      <c r="D1243" s="719"/>
      <c r="E1243" s="729"/>
      <c r="F1243" s="731"/>
      <c r="G1243" s="78"/>
      <c r="J1243" s="31"/>
    </row>
    <row r="1244" spans="1:10" hidden="1" outlineLevel="1" x14ac:dyDescent="0.25">
      <c r="A1244" s="751" t="s">
        <v>3676</v>
      </c>
      <c r="B1244" s="729" t="s">
        <v>115</v>
      </c>
      <c r="C1244" s="719"/>
      <c r="D1244" s="719"/>
      <c r="E1244" s="729"/>
      <c r="F1244" s="731"/>
      <c r="G1244" s="78"/>
      <c r="J1244" s="31"/>
    </row>
    <row r="1245" spans="1:10" hidden="1" outlineLevel="1" x14ac:dyDescent="0.25">
      <c r="A1245" s="751" t="s">
        <v>1157</v>
      </c>
      <c r="B1245" s="729" t="s">
        <v>2552</v>
      </c>
      <c r="C1245" s="719"/>
      <c r="D1245" s="719"/>
      <c r="E1245" s="729"/>
      <c r="F1245" s="731"/>
      <c r="G1245" s="78"/>
      <c r="J1245" s="31"/>
    </row>
    <row r="1246" spans="1:10" hidden="1" outlineLevel="1" x14ac:dyDescent="0.25">
      <c r="A1246" s="751" t="s">
        <v>1158</v>
      </c>
      <c r="B1246" s="729" t="s">
        <v>2553</v>
      </c>
      <c r="C1246" s="719"/>
      <c r="D1246" s="719"/>
      <c r="E1246" s="729"/>
      <c r="F1246" s="731"/>
      <c r="G1246" s="78"/>
      <c r="J1246" s="31"/>
    </row>
    <row r="1247" spans="1:10" hidden="1" outlineLevel="1" x14ac:dyDescent="0.25">
      <c r="A1247" s="751" t="s">
        <v>1159</v>
      </c>
      <c r="B1247" s="729" t="s">
        <v>2554</v>
      </c>
      <c r="C1247" s="719"/>
      <c r="D1247" s="719"/>
      <c r="E1247" s="729"/>
      <c r="F1247" s="731"/>
      <c r="G1247" s="78"/>
      <c r="J1247" s="31"/>
    </row>
    <row r="1248" spans="1:10" hidden="1" outlineLevel="1" x14ac:dyDescent="0.25">
      <c r="A1248" s="751" t="s">
        <v>1160</v>
      </c>
      <c r="B1248" s="729" t="s">
        <v>2555</v>
      </c>
      <c r="C1248" s="719"/>
      <c r="D1248" s="719"/>
      <c r="E1248" s="729"/>
      <c r="F1248" s="731"/>
      <c r="G1248" s="78"/>
      <c r="J1248" s="31"/>
    </row>
    <row r="1249" spans="1:14" hidden="1" outlineLevel="1" x14ac:dyDescent="0.25">
      <c r="A1249" s="751" t="s">
        <v>1161</v>
      </c>
      <c r="B1249" s="729" t="s">
        <v>2556</v>
      </c>
      <c r="C1249" s="719"/>
      <c r="D1249" s="719"/>
      <c r="E1249" s="729"/>
      <c r="F1249" s="731"/>
      <c r="G1249" s="78"/>
      <c r="J1249" s="31"/>
    </row>
    <row r="1250" spans="1:14" hidden="1" outlineLevel="1" x14ac:dyDescent="0.25">
      <c r="A1250" s="751" t="s">
        <v>1162</v>
      </c>
      <c r="B1250" s="729" t="s">
        <v>2557</v>
      </c>
      <c r="C1250" s="719"/>
      <c r="D1250" s="719"/>
      <c r="E1250" s="729"/>
      <c r="F1250" s="731"/>
      <c r="G1250" s="78"/>
      <c r="J1250" s="31"/>
    </row>
    <row r="1251" spans="1:14" hidden="1" outlineLevel="1" x14ac:dyDescent="0.25">
      <c r="A1251" s="751" t="s">
        <v>1163</v>
      </c>
      <c r="B1251" s="729" t="s">
        <v>3280</v>
      </c>
      <c r="C1251" s="719"/>
      <c r="D1251" s="719"/>
      <c r="E1251" s="729"/>
      <c r="F1251" s="731"/>
      <c r="G1251" s="78"/>
      <c r="J1251" s="31"/>
    </row>
    <row r="1252" spans="1:14" hidden="1" outlineLevel="1" x14ac:dyDescent="0.25">
      <c r="A1252" s="751" t="s">
        <v>2300</v>
      </c>
      <c r="B1252" s="729" t="s">
        <v>3281</v>
      </c>
      <c r="C1252" s="719"/>
      <c r="D1252" s="719"/>
      <c r="E1252" s="729"/>
      <c r="F1252" s="731"/>
      <c r="G1252" s="78"/>
      <c r="J1252" s="31"/>
    </row>
    <row r="1253" spans="1:14" collapsed="1" x14ac:dyDescent="0.25">
      <c r="A1253" s="3801" t="s">
        <v>499</v>
      </c>
      <c r="B1253" s="3802"/>
      <c r="C1253" s="3802"/>
      <c r="D1253" s="3802"/>
      <c r="E1253" s="721"/>
      <c r="F1253" s="722">
        <f>MAX(0,0.5+SUM(F1211:F1252))</f>
        <v>0</v>
      </c>
      <c r="G1253" s="97" t="s">
        <v>781</v>
      </c>
      <c r="J1253" s="31"/>
    </row>
    <row r="1254" spans="1:14" x14ac:dyDescent="0.25">
      <c r="A1254" s="1"/>
      <c r="B1254" s="1"/>
      <c r="C1254" s="1"/>
      <c r="D1254" s="1"/>
      <c r="E1254" s="1"/>
      <c r="F1254" s="1848"/>
      <c r="G1254" s="78"/>
      <c r="J1254" s="31"/>
    </row>
    <row r="1255" spans="1:14" hidden="1" outlineLevel="1" x14ac:dyDescent="0.25">
      <c r="A1255" s="689" t="s">
        <v>113</v>
      </c>
      <c r="B1255" s="689" t="s">
        <v>114</v>
      </c>
      <c r="C1255" s="689" t="s">
        <v>112</v>
      </c>
      <c r="D1255" s="689" t="s">
        <v>116</v>
      </c>
      <c r="E1255" s="689" t="s">
        <v>117</v>
      </c>
      <c r="F1255" s="1188" t="s">
        <v>121</v>
      </c>
      <c r="G1255" s="78"/>
      <c r="J1255" s="31"/>
    </row>
    <row r="1256" spans="1:14" hidden="1" outlineLevel="1" x14ac:dyDescent="0.25">
      <c r="A1256" s="690">
        <v>1</v>
      </c>
      <c r="B1256" s="691" t="s">
        <v>252</v>
      </c>
      <c r="C1256" s="692">
        <v>100</v>
      </c>
      <c r="D1256" s="692"/>
      <c r="E1256" s="693"/>
      <c r="F1256" s="694"/>
      <c r="G1256" s="78"/>
      <c r="J1256" s="31"/>
    </row>
    <row r="1257" spans="1:14" ht="13.8" hidden="1" outlineLevel="1" thickBot="1" x14ac:dyDescent="0.3">
      <c r="A1257" s="695"/>
      <c r="B1257" s="695"/>
      <c r="C1257" s="696"/>
      <c r="D1257" s="697" t="s">
        <v>3702</v>
      </c>
      <c r="E1257" s="698">
        <v>40116</v>
      </c>
      <c r="F1257" s="699"/>
      <c r="G1257" s="78"/>
      <c r="J1257" s="31"/>
    </row>
    <row r="1258" spans="1:14" ht="14.4" hidden="1" outlineLevel="1" thickBot="1" x14ac:dyDescent="0.3">
      <c r="A1258" s="689" t="s">
        <v>4156</v>
      </c>
      <c r="B1258" s="689" t="s">
        <v>4153</v>
      </c>
      <c r="C1258" s="700" t="s">
        <v>112</v>
      </c>
      <c r="D1258" s="689" t="s">
        <v>116</v>
      </c>
      <c r="E1258" s="689" t="s">
        <v>4154</v>
      </c>
      <c r="F1258" s="1021" t="s">
        <v>2519</v>
      </c>
      <c r="G1258" s="78"/>
      <c r="J1258" s="294" t="s">
        <v>1445</v>
      </c>
      <c r="K1258" s="295" t="s">
        <v>1506</v>
      </c>
      <c r="L1258" s="296" t="s">
        <v>1447</v>
      </c>
    </row>
    <row r="1259" spans="1:14" hidden="1" outlineLevel="1" x14ac:dyDescent="0.25">
      <c r="A1259" s="734">
        <v>0.04</v>
      </c>
      <c r="B1259" s="735" t="s">
        <v>577</v>
      </c>
      <c r="C1259" s="868">
        <v>12.718</v>
      </c>
      <c r="D1259" s="737">
        <f>VLOOKUP(H1259,indexy!$C$44:$D$585,2,FALSE)</f>
        <v>4.0890000000000004</v>
      </c>
      <c r="E1259" s="738">
        <f>D1259/C1259-1</f>
        <v>-0.67848718351942128</v>
      </c>
      <c r="F1259" s="1021">
        <f>E1259*A1259</f>
        <v>-2.7139487340776852E-2</v>
      </c>
      <c r="G1259" s="78"/>
      <c r="H1259" t="str">
        <f>VLOOKUP(B1259,indexy!$A$44:$D$232,3,FALSE)</f>
        <v>TEF SQ Equity</v>
      </c>
      <c r="J1259" s="878" t="s">
        <v>22</v>
      </c>
      <c r="K1259" s="879">
        <v>78.544799999999995</v>
      </c>
      <c r="L1259" s="880">
        <f t="shared" ref="L1259:L1270" si="22">K1259/100-1</f>
        <v>-0.21455200000000008</v>
      </c>
    </row>
    <row r="1260" spans="1:14" hidden="1" outlineLevel="1" x14ac:dyDescent="0.25">
      <c r="A1260" s="739">
        <v>0.02</v>
      </c>
      <c r="B1260" s="740" t="s">
        <v>3017</v>
      </c>
      <c r="C1260" s="869">
        <v>18.297000000000001</v>
      </c>
      <c r="D1260" s="737" t="e">
        <f>VLOOKUP(H1260,indexy!$C$44:$D$585,2,FALSE)</f>
        <v>#N/A</v>
      </c>
      <c r="E1260" s="742" t="e">
        <f>D1260/C1260-1</f>
        <v>#N/A</v>
      </c>
      <c r="F1260" s="946" t="e">
        <f>E1260*A1260</f>
        <v>#N/A</v>
      </c>
      <c r="G1260" s="78"/>
      <c r="H1260" t="e">
        <f>VLOOKUP(B1260,indexy!$A$44:$D$232,3,FALSE)</f>
        <v>#N/A</v>
      </c>
      <c r="J1260" s="881" t="s">
        <v>23</v>
      </c>
      <c r="K1260" s="882">
        <v>78.465400000000002</v>
      </c>
      <c r="L1260" s="883">
        <f t="shared" si="22"/>
        <v>-0.21534599999999993</v>
      </c>
      <c r="M1260" s="39"/>
      <c r="N1260" s="39"/>
    </row>
    <row r="1261" spans="1:14" s="39" customFormat="1" hidden="1" outlineLevel="1" x14ac:dyDescent="0.25">
      <c r="A1261" s="739">
        <v>0.02</v>
      </c>
      <c r="B1261" s="740" t="s">
        <v>1176</v>
      </c>
      <c r="C1261" s="869">
        <v>24.431999999999999</v>
      </c>
      <c r="D1261" s="737">
        <f>VLOOKUP(H1261,indexy!$C$44:$D$585,2,FALSE)</f>
        <v>42.92</v>
      </c>
      <c r="E1261" s="742">
        <f>D1261/C1261-1</f>
        <v>0.75671250818598579</v>
      </c>
      <c r="F1261" s="946">
        <f>E1261*A1261</f>
        <v>1.5134250163719717E-2</v>
      </c>
      <c r="G1261" s="12"/>
      <c r="H1261" t="str">
        <f>VLOOKUP(B1261,indexy!$A$44:$D$232,3,FALSE)</f>
        <v>AGS BB Equity</v>
      </c>
      <c r="J1261" s="881" t="s">
        <v>24</v>
      </c>
      <c r="K1261" s="882">
        <v>71.757099999999994</v>
      </c>
      <c r="L1261" s="883">
        <f t="shared" si="22"/>
        <v>-0.28242900000000004</v>
      </c>
      <c r="M1261"/>
      <c r="N1261"/>
    </row>
    <row r="1262" spans="1:14" hidden="1" outlineLevel="1" x14ac:dyDescent="0.25">
      <c r="A1262" s="739">
        <v>0.02</v>
      </c>
      <c r="B1262" s="740" t="s">
        <v>3019</v>
      </c>
      <c r="C1262" s="869">
        <v>66.31</v>
      </c>
      <c r="D1262" s="737">
        <f>VLOOKUP(H1262,indexy!$C$44:$D$585,2,FALSE)</f>
        <v>65.86</v>
      </c>
      <c r="E1262" s="742">
        <f t="shared" ref="E1262:E1288" si="23">D1262/C1262-1</f>
        <v>-6.7863067410647293E-3</v>
      </c>
      <c r="F1262" s="946">
        <f t="shared" ref="F1262:F1287" si="24">E1262*A1262</f>
        <v>-1.3572613482129459E-4</v>
      </c>
      <c r="G1262" s="78"/>
      <c r="H1262" t="str">
        <f>VLOOKUP(B1262,indexy!$A$44:$D$232,3,FALSE)</f>
        <v>BNP FP Equity</v>
      </c>
      <c r="I1262" s="106"/>
      <c r="J1262" s="881" t="s">
        <v>25</v>
      </c>
      <c r="K1262" s="882">
        <v>65.121700000000004</v>
      </c>
      <c r="L1262" s="883">
        <f t="shared" si="22"/>
        <v>-0.34878299999999995</v>
      </c>
    </row>
    <row r="1263" spans="1:14" hidden="1" outlineLevel="1" x14ac:dyDescent="0.25">
      <c r="A1263" s="739">
        <v>0.03</v>
      </c>
      <c r="B1263" s="743" t="s">
        <v>51</v>
      </c>
      <c r="C1263" s="869">
        <v>45.621000000000002</v>
      </c>
      <c r="D1263" s="737">
        <f>VLOOKUP(H1263,indexy!$C$44:$D$585,2,FALSE)</f>
        <v>71.930000000000007</v>
      </c>
      <c r="E1263" s="742">
        <f t="shared" si="23"/>
        <v>0.57668617522632126</v>
      </c>
      <c r="F1263" s="946">
        <f t="shared" si="24"/>
        <v>1.7300585256789638E-2</v>
      </c>
      <c r="G1263" s="78"/>
      <c r="H1263" t="str">
        <f>VLOOKUP(B1263,indexy!$A$44:$D$232,3,FALSE)</f>
        <v>SGO FP Equity</v>
      </c>
      <c r="J1263" s="881" t="s">
        <v>26</v>
      </c>
      <c r="K1263" s="882">
        <v>66.823700000000002</v>
      </c>
      <c r="L1263" s="883">
        <f t="shared" si="22"/>
        <v>-0.33176300000000003</v>
      </c>
    </row>
    <row r="1264" spans="1:14" hidden="1" outlineLevel="1" x14ac:dyDescent="0.25">
      <c r="A1264" s="739">
        <v>0.03</v>
      </c>
      <c r="B1264" s="740" t="s">
        <v>3020</v>
      </c>
      <c r="C1264" s="869">
        <v>30.858000000000001</v>
      </c>
      <c r="D1264" s="737">
        <f>VLOOKUP(H1264,indexy!$C$44:$D$585,2,FALSE)</f>
        <v>28.4</v>
      </c>
      <c r="E1264" s="742">
        <f t="shared" si="23"/>
        <v>-7.965519476310845E-2</v>
      </c>
      <c r="F1264" s="946">
        <f t="shared" si="24"/>
        <v>-2.3896558428932535E-3</v>
      </c>
      <c r="G1264" s="78"/>
      <c r="H1264" t="str">
        <f>VLOOKUP(B1264,indexy!$A$44:$D$232,3,FALSE)</f>
        <v>BAYN GR Equity</v>
      </c>
      <c r="J1264" s="881" t="s">
        <v>27</v>
      </c>
      <c r="K1264" s="882">
        <v>73.650499999999994</v>
      </c>
      <c r="L1264" s="883">
        <f t="shared" si="22"/>
        <v>-0.26349500000000003</v>
      </c>
    </row>
    <row r="1265" spans="1:12" hidden="1" outlineLevel="1" x14ac:dyDescent="0.25">
      <c r="A1265" s="739">
        <v>0.03</v>
      </c>
      <c r="B1265" s="740" t="s">
        <v>3021</v>
      </c>
      <c r="C1265" s="869">
        <v>22.527000000000001</v>
      </c>
      <c r="D1265" s="737">
        <f>VLOOKUP(H1265,indexy!$C$44:$D$585,2,FALSE)</f>
        <v>14.648</v>
      </c>
      <c r="E1265" s="742">
        <f t="shared" si="23"/>
        <v>-0.34975806809606258</v>
      </c>
      <c r="F1265" s="946">
        <f t="shared" si="24"/>
        <v>-1.0492742042881876E-2</v>
      </c>
      <c r="G1265" s="78"/>
      <c r="H1265" t="str">
        <f>VLOOKUP(B1265,indexy!$A$44:$D$232,3,FALSE)</f>
        <v>ENI IM Equity</v>
      </c>
      <c r="J1265" s="881" t="s">
        <v>28</v>
      </c>
      <c r="K1265" s="882">
        <v>77.176000000000002</v>
      </c>
      <c r="L1265" s="883">
        <f t="shared" si="22"/>
        <v>-0.22824</v>
      </c>
    </row>
    <row r="1266" spans="1:12" hidden="1" outlineLevel="1" x14ac:dyDescent="0.25">
      <c r="A1266" s="739">
        <v>0.05</v>
      </c>
      <c r="B1266" s="740" t="s">
        <v>44</v>
      </c>
      <c r="C1266" s="869">
        <v>3.9897</v>
      </c>
      <c r="D1266" s="737">
        <f>VLOOKUP(H1266,indexy!$C$44:$D$585,2,FALSE)</f>
        <v>3.363</v>
      </c>
      <c r="E1266" s="742">
        <f t="shared" si="23"/>
        <v>-0.15707947966012481</v>
      </c>
      <c r="F1266" s="946">
        <f t="shared" si="24"/>
        <v>-7.8539739830062408E-3</v>
      </c>
      <c r="G1266" s="78"/>
      <c r="H1266" t="str">
        <f>VLOOKUP(B1266,indexy!$A$44:$D$250,3,FALSE)</f>
        <v>ISP IM Equity</v>
      </c>
      <c r="J1266" s="881" t="s">
        <v>29</v>
      </c>
      <c r="K1266" s="882">
        <v>77.562100000000001</v>
      </c>
      <c r="L1266" s="883">
        <f t="shared" si="22"/>
        <v>-0.224379</v>
      </c>
    </row>
    <row r="1267" spans="1:12" hidden="1" outlineLevel="1" x14ac:dyDescent="0.25">
      <c r="A1267" s="739">
        <v>0.02</v>
      </c>
      <c r="B1267" s="740" t="s">
        <v>1184</v>
      </c>
      <c r="C1267" s="869">
        <f>60.176/2</f>
        <v>30.088000000000001</v>
      </c>
      <c r="D1267" s="737">
        <f>VLOOKUP(H1267,indexy!$C$44:$D$585,2,FALSE)</f>
        <v>52.93</v>
      </c>
      <c r="E1267" s="742">
        <f t="shared" si="23"/>
        <v>0.75917309226269603</v>
      </c>
      <c r="F1267" s="946">
        <f t="shared" si="24"/>
        <v>1.5183461845253921E-2</v>
      </c>
      <c r="G1267" s="78"/>
      <c r="H1267" t="str">
        <f>VLOOKUP(B1267,indexy!$A$44:$D$232,3,FALSE)</f>
        <v>BAS GY Equity</v>
      </c>
      <c r="J1267" s="881" t="s">
        <v>30</v>
      </c>
      <c r="K1267" s="882">
        <v>83.361699999999999</v>
      </c>
      <c r="L1267" s="883">
        <f t="shared" si="22"/>
        <v>-0.16638300000000006</v>
      </c>
    </row>
    <row r="1268" spans="1:12" hidden="1" outlineLevel="1" x14ac:dyDescent="0.25">
      <c r="A1268" s="739">
        <v>0.03</v>
      </c>
      <c r="B1268" s="740" t="s">
        <v>53</v>
      </c>
      <c r="C1268" s="869">
        <f>84.595/2</f>
        <v>42.297499999999999</v>
      </c>
      <c r="D1268" s="737">
        <f>VLOOKUP(H1268,indexy!$C$44:$D$585,2,FALSE)</f>
        <v>59.89</v>
      </c>
      <c r="E1268" s="742">
        <f t="shared" si="23"/>
        <v>0.41592292688693178</v>
      </c>
      <c r="F1268" s="946">
        <f t="shared" si="24"/>
        <v>1.2477687806607953E-2</v>
      </c>
      <c r="G1268" s="78"/>
      <c r="H1268" t="str">
        <f>VLOOKUP(B1268,indexy!$A$44:$D$232,3,FALSE)</f>
        <v>BN FP Equity</v>
      </c>
      <c r="J1268" s="881" t="s">
        <v>1443</v>
      </c>
      <c r="K1268" s="882">
        <v>86.8536</v>
      </c>
      <c r="L1268" s="883">
        <f t="shared" si="22"/>
        <v>-0.13146400000000003</v>
      </c>
    </row>
    <row r="1269" spans="1:12" hidden="1" outlineLevel="1" x14ac:dyDescent="0.25">
      <c r="A1269" s="739">
        <v>0.04</v>
      </c>
      <c r="B1269" s="740" t="s">
        <v>157</v>
      </c>
      <c r="C1269" s="869">
        <v>7.6607000000000003</v>
      </c>
      <c r="D1269" s="737">
        <f>VLOOKUP(H1269,indexy!$C$44:$D$585,2,FALSE)</f>
        <v>4.5214999999999996</v>
      </c>
      <c r="E1269" s="742">
        <f t="shared" si="23"/>
        <v>-0.40977978513712854</v>
      </c>
      <c r="F1269" s="946">
        <f t="shared" si="24"/>
        <v>-1.6391191405485141E-2</v>
      </c>
      <c r="G1269" s="78"/>
      <c r="H1269" t="str">
        <f>VLOOKUP(B1269,indexy!$A$44:$D$232,3,FALSE)</f>
        <v>SAN SM Equity</v>
      </c>
      <c r="J1269" s="881" t="s">
        <v>2530</v>
      </c>
      <c r="K1269" s="816">
        <v>89.302999999999997</v>
      </c>
      <c r="L1269" s="883">
        <f t="shared" si="22"/>
        <v>-0.10697000000000001</v>
      </c>
    </row>
    <row r="1270" spans="1:12" ht="13.8" hidden="1" outlineLevel="1" thickBot="1" x14ac:dyDescent="0.3">
      <c r="A1270" s="739">
        <v>0.03</v>
      </c>
      <c r="B1270" s="743" t="s">
        <v>3405</v>
      </c>
      <c r="C1270" s="869">
        <v>37.450000000000003</v>
      </c>
      <c r="D1270" s="737">
        <f>VLOOKUP(H1270,indexy!$C$44:$D$585,2,FALSE)</f>
        <v>15.875</v>
      </c>
      <c r="E1270" s="742">
        <f t="shared" si="23"/>
        <v>-0.57610146862483314</v>
      </c>
      <c r="F1270" s="946">
        <f t="shared" si="24"/>
        <v>-1.7283044058744992E-2</v>
      </c>
      <c r="G1270" s="78"/>
      <c r="H1270" t="str">
        <f>VLOOKUP(B1270,indexy!$A$44:$D$232,3,FALSE)</f>
        <v>CA FP Equity</v>
      </c>
      <c r="J1270" s="884" t="s">
        <v>3241</v>
      </c>
      <c r="K1270" s="885">
        <v>88.459100000000007</v>
      </c>
      <c r="L1270" s="883">
        <f t="shared" si="22"/>
        <v>-0.11540899999999998</v>
      </c>
    </row>
    <row r="1271" spans="1:12" hidden="1" outlineLevel="1" x14ac:dyDescent="0.25">
      <c r="A1271" s="739">
        <v>0.04</v>
      </c>
      <c r="B1271" s="740" t="s">
        <v>54</v>
      </c>
      <c r="C1271" s="869">
        <v>24.974</v>
      </c>
      <c r="D1271" s="737">
        <f>VLOOKUP(H1271,indexy!$C$44:$D$585,2,FALSE)</f>
        <v>15.44</v>
      </c>
      <c r="E1271" s="742">
        <f t="shared" si="23"/>
        <v>-0.38175702730840078</v>
      </c>
      <c r="F1271" s="946">
        <f t="shared" si="24"/>
        <v>-1.5270281092336031E-2</v>
      </c>
      <c r="G1271" s="78"/>
      <c r="H1271" t="str">
        <f>VLOOKUP(B1271,indexy!$A$44:$D$232,3,FALSE)</f>
        <v>REP SQ Equity</v>
      </c>
      <c r="J1271" s="288" t="s">
        <v>2465</v>
      </c>
      <c r="K1271" s="289"/>
      <c r="L1271" s="290">
        <f>AVERAGE(L1259:L1270)</f>
        <v>-0.21910108333333334</v>
      </c>
    </row>
    <row r="1272" spans="1:12" ht="13.8" hidden="1" outlineLevel="1" thickBot="1" x14ac:dyDescent="0.3">
      <c r="A1272" s="739">
        <v>0.02</v>
      </c>
      <c r="B1272" s="740" t="s">
        <v>4387</v>
      </c>
      <c r="C1272" s="869">
        <f>76.304/3</f>
        <v>25.434666666666669</v>
      </c>
      <c r="D1272" s="737">
        <f>VLOOKUP(H1272,indexy!$C$44:$D$585,2,FALSE)</f>
        <v>12.885</v>
      </c>
      <c r="E1272" s="742">
        <f t="shared" si="23"/>
        <v>-0.49340794715873348</v>
      </c>
      <c r="F1272" s="946">
        <f t="shared" si="24"/>
        <v>-9.8681589431746704E-3</v>
      </c>
      <c r="G1272" s="78"/>
      <c r="H1272" t="str">
        <f>VLOOKUP(B1272,indexy!$A$44:$D$232,3,FALSE)</f>
        <v>EOAN GY Equity</v>
      </c>
      <c r="J1272" s="291" t="s">
        <v>1507</v>
      </c>
      <c r="K1272" s="292"/>
      <c r="L1272" s="293">
        <f>L1271*0.5</f>
        <v>-0.10955054166666667</v>
      </c>
    </row>
    <row r="1273" spans="1:12" hidden="1" outlineLevel="1" x14ac:dyDescent="0.25">
      <c r="A1273" s="739">
        <v>0.05</v>
      </c>
      <c r="B1273" s="740" t="s">
        <v>1993</v>
      </c>
      <c r="C1273" s="869">
        <v>74.307000000000002</v>
      </c>
      <c r="D1273" s="737">
        <f>VLOOKUP(H1273,indexy!$C$44:$D$585,2,FALSE)+VLOOKUP(I1273,indexy!C:D,2,0)</f>
        <v>135.24</v>
      </c>
      <c r="E1273" s="742">
        <f t="shared" si="23"/>
        <v>0.82001695667972063</v>
      </c>
      <c r="F1273" s="946">
        <f t="shared" si="24"/>
        <v>4.1000847833986033E-2</v>
      </c>
      <c r="G1273" s="78"/>
      <c r="H1273" t="str">
        <f>VLOOKUP(B1273,indexy!$A$44:$D$232,3,FALSE)</f>
        <v>MO UN Equity</v>
      </c>
      <c r="I1273" s="39" t="s">
        <v>3533</v>
      </c>
      <c r="J1273" s="248"/>
    </row>
    <row r="1274" spans="1:12" hidden="1" outlineLevel="1" x14ac:dyDescent="0.25">
      <c r="A1274" s="739">
        <v>0.04</v>
      </c>
      <c r="B1274" s="740" t="s">
        <v>1994</v>
      </c>
      <c r="C1274" s="869">
        <v>44.823</v>
      </c>
      <c r="D1274" s="737">
        <f>VLOOKUP(H1274,indexy!$C$44:$D$585,2,FALSE)</f>
        <v>37.92</v>
      </c>
      <c r="E1274" s="742">
        <f t="shared" si="23"/>
        <v>-0.15400575597349575</v>
      </c>
      <c r="F1274" s="946">
        <f t="shared" si="24"/>
        <v>-6.1602302389398298E-3</v>
      </c>
      <c r="G1274" s="78"/>
      <c r="H1274" t="str">
        <f>VLOOKUP(B1274,indexy!$A$44:$D$232,3,FALSE)</f>
        <v>BAC UN Equity</v>
      </c>
      <c r="J1274" s="248"/>
    </row>
    <row r="1275" spans="1:12" hidden="1" outlineLevel="1" x14ac:dyDescent="0.25">
      <c r="A1275" s="739">
        <v>0.04</v>
      </c>
      <c r="B1275" s="743" t="s">
        <v>3407</v>
      </c>
      <c r="C1275" s="869">
        <v>34.219000000000001</v>
      </c>
      <c r="D1275" s="737">
        <f>VLOOKUP(H1275,indexy!$C$44:$D$585,2,FALSE)</f>
        <v>139.9906</v>
      </c>
      <c r="E1275" s="742">
        <f t="shared" si="23"/>
        <v>3.091019608989158</v>
      </c>
      <c r="F1275" s="946">
        <f t="shared" si="24"/>
        <v>0.12364078435956632</v>
      </c>
      <c r="G1275" s="78"/>
      <c r="H1275" t="str">
        <f>VLOOKUP(B1275,indexy!$A$44:$D$232,3,FALSE)</f>
        <v>GE UN Equity</v>
      </c>
      <c r="J1275" s="248"/>
    </row>
    <row r="1276" spans="1:12" hidden="1" outlineLevel="1" x14ac:dyDescent="0.25">
      <c r="A1276" s="739">
        <v>0.03</v>
      </c>
      <c r="B1276" s="740" t="s">
        <v>255</v>
      </c>
      <c r="C1276" s="869">
        <v>30.960999999999999</v>
      </c>
      <c r="D1276" s="737">
        <f>VLOOKUP(H1276,indexy!$C$44:$D$585,2,FALSE)</f>
        <v>41.96</v>
      </c>
      <c r="E1276" s="742">
        <f t="shared" si="23"/>
        <v>0.35525338328865352</v>
      </c>
      <c r="F1276" s="946">
        <f t="shared" si="24"/>
        <v>1.0657601498659606E-2</v>
      </c>
      <c r="G1276" s="78"/>
      <c r="H1276" t="str">
        <f>VLOOKUP(B1276,indexy!$A$44:$D$232,3,FALSE)</f>
        <v>VZ UN Equity</v>
      </c>
      <c r="J1276" s="248"/>
    </row>
    <row r="1277" spans="1:12" hidden="1" outlineLevel="1" x14ac:dyDescent="0.25">
      <c r="A1277" s="739">
        <v>0.04</v>
      </c>
      <c r="B1277" s="743" t="s">
        <v>507</v>
      </c>
      <c r="C1277" s="869">
        <f>57.11/3</f>
        <v>19.036666666666665</v>
      </c>
      <c r="D1277" s="737">
        <f>VLOOKUP(H1277,indexy!$C$44:$D$585,2,FALSE)</f>
        <v>46.52</v>
      </c>
      <c r="E1277" s="742">
        <f t="shared" si="23"/>
        <v>1.443705130450009</v>
      </c>
      <c r="F1277" s="946">
        <f t="shared" si="24"/>
        <v>5.7748205218000365E-2</v>
      </c>
      <c r="G1277" s="78"/>
      <c r="H1277" t="str">
        <f>VLOOKUP(B1277,indexy!$A$44:$D$232,3,FALSE)</f>
        <v>UNA NA Equity</v>
      </c>
      <c r="J1277" s="248"/>
    </row>
    <row r="1278" spans="1:12" hidden="1" outlineLevel="1" x14ac:dyDescent="0.25">
      <c r="A1278" s="739">
        <v>0.03</v>
      </c>
      <c r="B1278" s="740" t="s">
        <v>3425</v>
      </c>
      <c r="C1278" s="869">
        <v>57.167000000000002</v>
      </c>
      <c r="D1278" s="737">
        <f>VLOOKUP(H1278,indexy!$C$44:$D$585,2,FALSE)</f>
        <v>116.24</v>
      </c>
      <c r="E1278" s="742">
        <f t="shared" si="23"/>
        <v>1.0333409134640612</v>
      </c>
      <c r="F1278" s="946">
        <f t="shared" si="24"/>
        <v>3.1000227403921835E-2</v>
      </c>
      <c r="G1278" s="78"/>
      <c r="H1278" t="str">
        <f>VLOOKUP(B1278,indexy!$A$44:$D$232,3,FALSE)</f>
        <v>XOM UN Equity</v>
      </c>
      <c r="J1278" s="248"/>
    </row>
    <row r="1279" spans="1:12" hidden="1" outlineLevel="1" x14ac:dyDescent="0.25">
      <c r="A1279" s="739">
        <v>0.03</v>
      </c>
      <c r="B1279" s="740" t="s">
        <v>1846</v>
      </c>
      <c r="C1279" s="869">
        <v>44.113999999999997</v>
      </c>
      <c r="D1279" s="737" t="e">
        <f>VLOOKUP(H1279,indexy!$C$44:$D$585,2,FALSE)</f>
        <v>#N/A</v>
      </c>
      <c r="E1279" s="742" t="e">
        <f t="shared" si="23"/>
        <v>#N/A</v>
      </c>
      <c r="F1279" s="946" t="e">
        <f t="shared" si="24"/>
        <v>#N/A</v>
      </c>
      <c r="G1279" s="78"/>
      <c r="H1279" t="e">
        <f>VLOOKUP(B1279,indexy!$A$44:$D$232,3,FALSE)</f>
        <v>#N/A</v>
      </c>
      <c r="J1279" s="248"/>
    </row>
    <row r="1280" spans="1:12" hidden="1" outlineLevel="1" x14ac:dyDescent="0.25">
      <c r="A1280" s="739">
        <v>0.03</v>
      </c>
      <c r="B1280" s="740" t="s">
        <v>1204</v>
      </c>
      <c r="C1280" s="869">
        <v>58.637999999999998</v>
      </c>
      <c r="D1280" s="737">
        <f>VLOOKUP(H1280,indexy!$C$44:$D$585,2,FALSE)</f>
        <v>175.01</v>
      </c>
      <c r="E1280" s="742">
        <f t="shared" si="23"/>
        <v>1.9845833759678024</v>
      </c>
      <c r="F1280" s="946">
        <f t="shared" si="24"/>
        <v>5.9537501279034073E-2</v>
      </c>
      <c r="G1280" s="78"/>
      <c r="H1280" t="str">
        <f>VLOOKUP(B1280,indexy!$A$44:$D$232,3,FALSE)</f>
        <v>PEP UW Equity</v>
      </c>
      <c r="J1280" s="248"/>
    </row>
    <row r="1281" spans="1:10" hidden="1" outlineLevel="1" x14ac:dyDescent="0.25">
      <c r="A1281" s="739">
        <v>0.03</v>
      </c>
      <c r="B1281" s="740" t="s">
        <v>1414</v>
      </c>
      <c r="C1281" s="869">
        <v>22.062000000000001</v>
      </c>
      <c r="D1281" s="737">
        <f>VLOOKUP(H1281,indexy!$C$44:$D$585,2,FALSE)</f>
        <v>27.75</v>
      </c>
      <c r="E1281" s="742">
        <f t="shared" si="23"/>
        <v>0.25781887408213211</v>
      </c>
      <c r="F1281" s="946">
        <f t="shared" si="24"/>
        <v>7.7345662224639631E-3</v>
      </c>
      <c r="G1281" s="78"/>
      <c r="H1281" t="str">
        <f>VLOOKUP(B1281,indexy!$A$44:$D$232,3,FALSE)</f>
        <v>PFE UN Equity</v>
      </c>
      <c r="J1281" s="248"/>
    </row>
    <row r="1282" spans="1:10" hidden="1" outlineLevel="1" x14ac:dyDescent="0.25">
      <c r="A1282" s="739">
        <v>0.05</v>
      </c>
      <c r="B1282" s="740" t="s">
        <v>1847</v>
      </c>
      <c r="C1282" s="869">
        <v>47.021999999999998</v>
      </c>
      <c r="D1282" s="737">
        <f>VLOOKUP(H1282,indexy!$C$44:$D$585,2,FALSE)</f>
        <v>63.24</v>
      </c>
      <c r="E1282" s="742">
        <f t="shared" si="23"/>
        <v>0.34490238611713675</v>
      </c>
      <c r="F1282" s="946">
        <f t="shared" si="24"/>
        <v>1.724511930585684E-2</v>
      </c>
      <c r="G1282" s="78"/>
      <c r="H1282" t="str">
        <f>VLOOKUP(B1282,indexy!$A$44:$D$232,3,FALSE)</f>
        <v>C UN Equity</v>
      </c>
      <c r="J1282" s="248"/>
    </row>
    <row r="1283" spans="1:10" hidden="1" outlineLevel="1" x14ac:dyDescent="0.25">
      <c r="A1283" s="739">
        <v>0.05</v>
      </c>
      <c r="B1283" s="740" t="s">
        <v>4458</v>
      </c>
      <c r="C1283" s="869">
        <v>944.05</v>
      </c>
      <c r="D1283" s="737">
        <f>VLOOKUP(H1283,indexy!$C$44:$D$585,2,FALSE)</f>
        <v>1641.5</v>
      </c>
      <c r="E1283" s="742">
        <f t="shared" si="23"/>
        <v>0.73878502197976803</v>
      </c>
      <c r="F1283" s="946">
        <f t="shared" si="24"/>
        <v>3.69392510989884E-2</v>
      </c>
      <c r="G1283" s="78"/>
      <c r="H1283" t="str">
        <f>VLOOKUP(B1283,indexy!$A$44:$D$232,3,FALSE)</f>
        <v>SMIN LN Equity</v>
      </c>
      <c r="J1283" s="248"/>
    </row>
    <row r="1284" spans="1:10" hidden="1" outlineLevel="1" x14ac:dyDescent="0.25">
      <c r="A1284" s="739">
        <v>0.03</v>
      </c>
      <c r="B1284" s="740" t="s">
        <v>873</v>
      </c>
      <c r="C1284" s="869">
        <v>589.6</v>
      </c>
      <c r="D1284" s="737">
        <f>VLOOKUP(H1284,indexy!$C$44:$D$585,2,FALSE)</f>
        <v>183.2</v>
      </c>
      <c r="E1284" s="742">
        <f t="shared" si="23"/>
        <v>-0.68928086838534597</v>
      </c>
      <c r="F1284" s="946">
        <f t="shared" si="24"/>
        <v>-2.0678426051560377E-2</v>
      </c>
      <c r="G1284" s="78"/>
      <c r="H1284" t="str">
        <f>VLOOKUP(B1284,indexy!$A$44:$D$232,3,FALSE)</f>
        <v>BARC LN Equity</v>
      </c>
      <c r="J1284" s="248"/>
    </row>
    <row r="1285" spans="1:10" hidden="1" outlineLevel="1" x14ac:dyDescent="0.25">
      <c r="A1285" s="739">
        <v>0.02</v>
      </c>
      <c r="B1285" s="740" t="s">
        <v>874</v>
      </c>
      <c r="C1285" s="869">
        <v>217.88</v>
      </c>
      <c r="D1285" s="737">
        <f>VLOOKUP(H1285,indexy!$C$44:$D$585,2,FALSE)</f>
        <v>249.4</v>
      </c>
      <c r="E1285" s="742">
        <f t="shared" si="23"/>
        <v>0.14466678905819719</v>
      </c>
      <c r="F1285" s="946">
        <f t="shared" si="24"/>
        <v>2.8933357811639438E-3</v>
      </c>
      <c r="G1285" s="78"/>
      <c r="H1285" t="str">
        <f>VLOOKUP(B1285,indexy!$A$44:$D$232,3,FALSE)</f>
        <v>KGF LN Equity</v>
      </c>
      <c r="J1285" s="248"/>
    </row>
    <row r="1286" spans="1:10" hidden="1" outlineLevel="1" x14ac:dyDescent="0.25">
      <c r="A1286" s="739">
        <v>0.05</v>
      </c>
      <c r="B1286" s="740" t="s">
        <v>4460</v>
      </c>
      <c r="C1286" s="869">
        <v>988.3</v>
      </c>
      <c r="D1286" s="737">
        <f>VLOOKUP(H1286,indexy!$C$44:$D$585,2,FALSE)</f>
        <v>2470</v>
      </c>
      <c r="E1286" s="742">
        <f t="shared" si="23"/>
        <v>1.4992411211170698</v>
      </c>
      <c r="F1286" s="946">
        <f t="shared" si="24"/>
        <v>7.4962056055853488E-2</v>
      </c>
      <c r="G1286" s="78"/>
      <c r="H1286" t="str">
        <f>VLOOKUP(B1286,indexy!$A$44:$D$232,3,FALSE)</f>
        <v>SVT LN Equity</v>
      </c>
      <c r="J1286" s="248"/>
    </row>
    <row r="1287" spans="1:10" hidden="1" outlineLevel="1" x14ac:dyDescent="0.25">
      <c r="A1287" s="739">
        <v>0.03</v>
      </c>
      <c r="B1287" s="740" t="s">
        <v>1203</v>
      </c>
      <c r="C1287" s="869">
        <v>80.575000000000003</v>
      </c>
      <c r="D1287" s="737">
        <f>VLOOKUP(H1287,indexy!$C$44:$D$585,2,FALSE)</f>
        <v>119.2</v>
      </c>
      <c r="E1287" s="742">
        <f t="shared" si="23"/>
        <v>0.47936704933291963</v>
      </c>
      <c r="F1287" s="946">
        <f t="shared" si="24"/>
        <v>1.4381011479987589E-2</v>
      </c>
      <c r="G1287" s="78"/>
      <c r="H1287" t="str">
        <f>VLOOKUP(B1287,indexy!$A$44:$D$232,3,FALSE)</f>
        <v>NDA SS Equity</v>
      </c>
      <c r="J1287" s="248"/>
    </row>
    <row r="1288" spans="1:10" hidden="1" outlineLevel="1" x14ac:dyDescent="0.25">
      <c r="A1288" s="745">
        <v>0.03</v>
      </c>
      <c r="B1288" s="746" t="s">
        <v>2787</v>
      </c>
      <c r="C1288" s="870">
        <v>70.635000000000005</v>
      </c>
      <c r="D1288" s="715">
        <f>VLOOKUP(H1288,indexy!$C$44:$D$585,2,FALSE)</f>
        <v>87.37</v>
      </c>
      <c r="E1288" s="748">
        <f t="shared" si="23"/>
        <v>0.2369222057053868</v>
      </c>
      <c r="F1288" s="1023">
        <f>E1288*A1288</f>
        <v>7.1076661711616035E-3</v>
      </c>
      <c r="G1288" s="78"/>
      <c r="H1288" t="str">
        <f>VLOOKUP(B1288,indexy!$A$44:$D$232,3,FALSE)</f>
        <v>NOVN SE Equity</v>
      </c>
      <c r="J1288" s="248"/>
    </row>
    <row r="1289" spans="1:10" hidden="1" outlineLevel="1" x14ac:dyDescent="0.25">
      <c r="A1289" s="749"/>
      <c r="B1289" s="750"/>
      <c r="C1289" s="727"/>
      <c r="D1289" s="727"/>
      <c r="E1289" s="716"/>
      <c r="F1289" s="770">
        <v>-0.1154</v>
      </c>
      <c r="G1289" s="78"/>
      <c r="J1289" s="248"/>
    </row>
    <row r="1290" spans="1:10" collapsed="1" x14ac:dyDescent="0.25">
      <c r="A1290" s="3801" t="s">
        <v>1702</v>
      </c>
      <c r="B1290" s="3802"/>
      <c r="C1290" s="3802"/>
      <c r="D1290" s="3802"/>
      <c r="E1290" s="721" t="s">
        <v>2722</v>
      </c>
      <c r="F1290" s="722">
        <f>MAX(AVERAGE(L1259:L1270)*parametry!N65,0)</f>
        <v>0</v>
      </c>
      <c r="G1290" s="175" t="s">
        <v>781</v>
      </c>
      <c r="J1290" s="248"/>
    </row>
    <row r="1291" spans="1:10" x14ac:dyDescent="0.25">
      <c r="A1291" s="1"/>
      <c r="B1291" s="1"/>
      <c r="C1291" s="1"/>
      <c r="D1291" s="1"/>
      <c r="E1291" s="1"/>
      <c r="F1291" s="1848"/>
      <c r="G1291" s="78"/>
      <c r="J1291" s="31"/>
    </row>
    <row r="1292" spans="1:10" hidden="1" outlineLevel="1" x14ac:dyDescent="0.25">
      <c r="A1292" s="689" t="s">
        <v>113</v>
      </c>
      <c r="B1292" s="689" t="s">
        <v>114</v>
      </c>
      <c r="C1292" s="689" t="s">
        <v>112</v>
      </c>
      <c r="D1292" s="689" t="s">
        <v>116</v>
      </c>
      <c r="E1292" s="689" t="s">
        <v>117</v>
      </c>
      <c r="F1292" s="1188" t="s">
        <v>121</v>
      </c>
      <c r="G1292" s="78"/>
      <c r="J1292" s="31"/>
    </row>
    <row r="1293" spans="1:10" hidden="1" outlineLevel="1" x14ac:dyDescent="0.25">
      <c r="A1293" s="690">
        <v>1</v>
      </c>
      <c r="B1293" s="691" t="s">
        <v>252</v>
      </c>
      <c r="C1293" s="692"/>
      <c r="D1293" s="692"/>
      <c r="E1293" s="693"/>
      <c r="F1293" s="694"/>
      <c r="G1293" s="78"/>
      <c r="J1293" s="31"/>
    </row>
    <row r="1294" spans="1:10" hidden="1" outlineLevel="1" x14ac:dyDescent="0.25">
      <c r="A1294" s="695"/>
      <c r="B1294" s="695"/>
      <c r="C1294" s="696"/>
      <c r="D1294" s="697" t="s">
        <v>3702</v>
      </c>
      <c r="E1294" s="698">
        <v>41578</v>
      </c>
      <c r="F1294" s="699"/>
      <c r="G1294" s="78"/>
      <c r="J1294" s="31"/>
    </row>
    <row r="1295" spans="1:10" hidden="1" outlineLevel="1" x14ac:dyDescent="0.25">
      <c r="A1295" s="689" t="s">
        <v>4156</v>
      </c>
      <c r="B1295" s="689" t="s">
        <v>4153</v>
      </c>
      <c r="C1295" s="700" t="s">
        <v>112</v>
      </c>
      <c r="D1295" s="689" t="s">
        <v>4155</v>
      </c>
      <c r="E1295" s="689" t="s">
        <v>4154</v>
      </c>
      <c r="F1295" s="1021" t="s">
        <v>3374</v>
      </c>
      <c r="G1295" s="78"/>
      <c r="J1295" s="31"/>
    </row>
    <row r="1296" spans="1:10" hidden="1" outlineLevel="1" x14ac:dyDescent="0.25">
      <c r="A1296" s="734">
        <v>0.05</v>
      </c>
      <c r="B1296" s="735" t="s">
        <v>577</v>
      </c>
      <c r="C1296" s="807">
        <v>12.67</v>
      </c>
      <c r="D1296" s="737">
        <v>12.81</v>
      </c>
      <c r="E1296" s="817">
        <v>1.1049723756906049E-2</v>
      </c>
      <c r="F1296" s="1021" t="s">
        <v>2024</v>
      </c>
      <c r="G1296" s="78"/>
      <c r="H1296" t="str">
        <f>VLOOKUP(B1296,indexy!$A$44:$D$232,3,FALSE)</f>
        <v>TEF SQ Equity</v>
      </c>
      <c r="J1296" s="31"/>
    </row>
    <row r="1297" spans="1:14" hidden="1" outlineLevel="1" x14ac:dyDescent="0.25">
      <c r="A1297" s="739">
        <v>0.05</v>
      </c>
      <c r="B1297" s="740" t="s">
        <v>1414</v>
      </c>
      <c r="C1297" s="809">
        <v>22.01</v>
      </c>
      <c r="D1297" s="737">
        <v>30.68</v>
      </c>
      <c r="E1297" s="818">
        <v>0.39391185824625152</v>
      </c>
      <c r="F1297" s="946" t="s">
        <v>2024</v>
      </c>
      <c r="G1297" s="78"/>
      <c r="H1297" t="str">
        <f>VLOOKUP(B1297,indexy!$A$44:$D$232,3,FALSE)</f>
        <v>PFE UN Equity</v>
      </c>
      <c r="J1297" s="31"/>
    </row>
    <row r="1298" spans="1:14" hidden="1" outlineLevel="1" x14ac:dyDescent="0.25">
      <c r="A1298" s="739">
        <v>0.05</v>
      </c>
      <c r="B1298" s="740" t="s">
        <v>507</v>
      </c>
      <c r="C1298" s="809">
        <v>19.028333333333332</v>
      </c>
      <c r="D1298" s="737">
        <v>29.17</v>
      </c>
      <c r="E1298" s="818">
        <v>0.53297713935359559</v>
      </c>
      <c r="F1298" s="946" t="s">
        <v>2024</v>
      </c>
      <c r="G1298" s="78"/>
      <c r="H1298" t="str">
        <f>VLOOKUP(B1298,indexy!$A$44:$D$232,3,FALSE)</f>
        <v>UNA NA Equity</v>
      </c>
      <c r="J1298" s="31"/>
    </row>
    <row r="1299" spans="1:14" hidden="1" outlineLevel="1" x14ac:dyDescent="0.25">
      <c r="A1299" s="756">
        <v>0.05</v>
      </c>
      <c r="B1299" s="761" t="s">
        <v>1526</v>
      </c>
      <c r="C1299" s="808">
        <v>72.254999999999995</v>
      </c>
      <c r="D1299" s="759">
        <v>40.15</v>
      </c>
      <c r="E1299" s="819">
        <v>-0.44432911217216797</v>
      </c>
      <c r="F1299" s="1850" t="s">
        <v>2025</v>
      </c>
      <c r="G1299" s="78"/>
      <c r="H1299" s="163" t="str">
        <f>VLOOKUP(B1299,indexy!$A$44:$D$232,3,FALSE)</f>
        <v>KBC BB Equity</v>
      </c>
      <c r="J1299" s="31"/>
    </row>
    <row r="1300" spans="1:14" hidden="1" outlineLevel="1" x14ac:dyDescent="0.25">
      <c r="A1300" s="739">
        <v>0.05</v>
      </c>
      <c r="B1300" s="761" t="s">
        <v>3407</v>
      </c>
      <c r="C1300" s="808">
        <v>34.286999999999999</v>
      </c>
      <c r="D1300" s="759">
        <v>26.14</v>
      </c>
      <c r="E1300" s="819">
        <v>-0.23761192288622501</v>
      </c>
      <c r="F1300" s="1850" t="s">
        <v>2025</v>
      </c>
      <c r="G1300" s="78"/>
      <c r="H1300" s="163" t="str">
        <f>VLOOKUP(B1300,indexy!$A$44:$D$232,3,FALSE)</f>
        <v>GE UN Equity</v>
      </c>
      <c r="J1300" s="31"/>
    </row>
    <row r="1301" spans="1:14" hidden="1" outlineLevel="1" x14ac:dyDescent="0.25">
      <c r="A1301" s="739">
        <v>0.05</v>
      </c>
      <c r="B1301" s="740" t="s">
        <v>4387</v>
      </c>
      <c r="C1301" s="809">
        <v>25.493333333333336</v>
      </c>
      <c r="D1301" s="737">
        <v>13.455</v>
      </c>
      <c r="E1301" s="818">
        <v>-0.47221495815899583</v>
      </c>
      <c r="F1301" s="946" t="s">
        <v>2024</v>
      </c>
      <c r="G1301" s="78"/>
      <c r="H1301" t="str">
        <f>VLOOKUP(B1301,indexy!$A$44:$D$232,3,FALSE)</f>
        <v>EOAN GY Equity</v>
      </c>
      <c r="J1301" s="31"/>
    </row>
    <row r="1302" spans="1:14" hidden="1" outlineLevel="1" x14ac:dyDescent="0.25">
      <c r="A1302" s="739">
        <v>0.05</v>
      </c>
      <c r="B1302" s="740" t="s">
        <v>1184</v>
      </c>
      <c r="C1302" s="809">
        <v>30.169499999999999</v>
      </c>
      <c r="D1302" s="737">
        <v>76.63</v>
      </c>
      <c r="E1302" s="818">
        <v>1.5399824325892042</v>
      </c>
      <c r="F1302" s="946" t="s">
        <v>2024</v>
      </c>
      <c r="G1302" s="78"/>
      <c r="H1302" t="str">
        <f>VLOOKUP(B1302,indexy!$A$44:$D$232,3,FALSE)</f>
        <v>BAS GY Equity</v>
      </c>
      <c r="J1302" s="31"/>
    </row>
    <row r="1303" spans="1:14" hidden="1" outlineLevel="1" x14ac:dyDescent="0.25">
      <c r="A1303" s="756">
        <v>0.05</v>
      </c>
      <c r="B1303" s="761" t="s">
        <v>1527</v>
      </c>
      <c r="C1303" s="808">
        <v>2.3631000000000002</v>
      </c>
      <c r="D1303" s="759">
        <v>0.71750000000000003</v>
      </c>
      <c r="E1303" s="819">
        <v>-0.6963734078117727</v>
      </c>
      <c r="F1303" s="1850" t="s">
        <v>2025</v>
      </c>
      <c r="G1303" s="78"/>
      <c r="H1303" s="163" t="str">
        <f>VLOOKUP(B1303,indexy!$A$44:$D$232,3,FALSE)</f>
        <v>TIT IM Equity</v>
      </c>
      <c r="J1303" s="31"/>
    </row>
    <row r="1304" spans="1:14" hidden="1" outlineLevel="1" x14ac:dyDescent="0.25">
      <c r="A1304" s="739">
        <v>0.05</v>
      </c>
      <c r="B1304" s="740" t="s">
        <v>4338</v>
      </c>
      <c r="C1304" s="809">
        <v>21.385331815550998</v>
      </c>
      <c r="D1304" s="737">
        <v>18.34</v>
      </c>
      <c r="E1304" s="818">
        <v>-0.14240283208215143</v>
      </c>
      <c r="F1304" s="946" t="s">
        <v>2024</v>
      </c>
      <c r="G1304" s="78"/>
      <c r="H1304" t="str">
        <f>VLOOKUP(B1304,indexy!$A$44:$D$392,3,FALSE)</f>
        <v>ENGI FP Equity</v>
      </c>
      <c r="J1304" s="31"/>
      <c r="M1304" s="161"/>
      <c r="N1304" s="161"/>
    </row>
    <row r="1305" spans="1:14" s="161" customFormat="1" hidden="1" outlineLevel="1" x14ac:dyDescent="0.25">
      <c r="A1305" s="756">
        <v>0.05</v>
      </c>
      <c r="B1305" s="761" t="s">
        <v>2587</v>
      </c>
      <c r="C1305" s="808">
        <v>550.76666666666665</v>
      </c>
      <c r="D1305" s="759">
        <v>367.6</v>
      </c>
      <c r="E1305" s="819">
        <v>-0.33256672517097374</v>
      </c>
      <c r="F1305" s="1850" t="s">
        <v>2025</v>
      </c>
      <c r="G1305" s="176"/>
      <c r="H1305" s="163" t="e">
        <f>VLOOKUP(B1305,indexy!$A$44:$D$232,3,FALSE)</f>
        <v>#N/A</v>
      </c>
      <c r="J1305" s="31"/>
      <c r="K1305"/>
      <c r="L1305"/>
      <c r="M1305"/>
      <c r="N1305"/>
    </row>
    <row r="1306" spans="1:14" hidden="1" outlineLevel="1" x14ac:dyDescent="0.25">
      <c r="A1306" s="739">
        <v>0.05</v>
      </c>
      <c r="B1306" s="740" t="s">
        <v>1528</v>
      </c>
      <c r="C1306" s="809">
        <v>69.3</v>
      </c>
      <c r="D1306" s="737">
        <v>141.80000000000001</v>
      </c>
      <c r="E1306" s="818">
        <v>1.0461760461760465</v>
      </c>
      <c r="F1306" s="946" t="s">
        <v>2024</v>
      </c>
      <c r="G1306" s="78"/>
      <c r="H1306" t="str">
        <f>VLOOKUP(B1306,indexy!$A$44:$D$232,3,FALSE)</f>
        <v>MC FP Equity</v>
      </c>
      <c r="J1306" s="162"/>
      <c r="K1306" s="161"/>
      <c r="L1306" s="161"/>
    </row>
    <row r="1307" spans="1:14" hidden="1" outlineLevel="1" x14ac:dyDescent="0.25">
      <c r="A1307" s="756">
        <v>0.05</v>
      </c>
      <c r="B1307" s="761" t="s">
        <v>2588</v>
      </c>
      <c r="C1307" s="808">
        <v>26.106999999999999</v>
      </c>
      <c r="D1307" s="759">
        <v>9.3829999999999991</v>
      </c>
      <c r="E1307" s="819">
        <v>-0.64059447657716317</v>
      </c>
      <c r="F1307" s="1850" t="s">
        <v>2025</v>
      </c>
      <c r="G1307" s="178"/>
      <c r="H1307" s="163" t="str">
        <f>VLOOKUP(B1307,indexy!$A$44:$D$232,3,FALSE)</f>
        <v>INGA NA Equity</v>
      </c>
      <c r="J1307" s="31"/>
      <c r="M1307" s="39"/>
      <c r="N1307" s="39"/>
    </row>
    <row r="1308" spans="1:14" s="39" customFormat="1" hidden="1" outlineLevel="1" x14ac:dyDescent="0.25">
      <c r="A1308" s="739">
        <v>0.05</v>
      </c>
      <c r="B1308" s="740" t="s">
        <v>1188</v>
      </c>
      <c r="C1308" s="809">
        <v>630.25</v>
      </c>
      <c r="D1308" s="737">
        <v>482.7</v>
      </c>
      <c r="E1308" s="818">
        <v>-0.23411344704482351</v>
      </c>
      <c r="F1308" s="946" t="s">
        <v>2025</v>
      </c>
      <c r="G1308" s="12"/>
      <c r="H1308" t="str">
        <f>VLOOKUP(B1308,indexy!$A$44:$D$232,3,FALSE)</f>
        <v>BP/ LN Equity</v>
      </c>
      <c r="J1308" s="31"/>
      <c r="K1308"/>
      <c r="L1308"/>
      <c r="M1308"/>
      <c r="N1308"/>
    </row>
    <row r="1309" spans="1:14" hidden="1" outlineLevel="1" x14ac:dyDescent="0.25">
      <c r="A1309" s="739">
        <v>0.05</v>
      </c>
      <c r="B1309" s="740" t="s">
        <v>1001</v>
      </c>
      <c r="C1309" s="809">
        <v>27.260999999999999</v>
      </c>
      <c r="D1309" s="737">
        <v>35.35</v>
      </c>
      <c r="E1309" s="818">
        <v>0.2967242580976488</v>
      </c>
      <c r="F1309" s="946" t="s">
        <v>2024</v>
      </c>
      <c r="G1309" s="78"/>
      <c r="H1309" t="str">
        <f>VLOOKUP(B1309,indexy!$A$44:$D$232,3,FALSE)</f>
        <v>MSFT UW Equity</v>
      </c>
      <c r="J1309" s="44"/>
      <c r="K1309" s="39"/>
      <c r="L1309" s="39"/>
    </row>
    <row r="1310" spans="1:14" hidden="1" outlineLevel="1" x14ac:dyDescent="0.25">
      <c r="A1310" s="739">
        <v>0.05</v>
      </c>
      <c r="B1310" s="740" t="s">
        <v>1002</v>
      </c>
      <c r="C1310" s="809">
        <v>12.644</v>
      </c>
      <c r="D1310" s="737">
        <v>31.25</v>
      </c>
      <c r="E1310" s="818">
        <v>1.4715279974691553</v>
      </c>
      <c r="F1310" s="946" t="s">
        <v>2024</v>
      </c>
      <c r="G1310" s="78"/>
      <c r="H1310" t="str">
        <f>VLOOKUP(B1310,indexy!$A$44:$D$232,3,FALSE)</f>
        <v>ORCL UN Equity</v>
      </c>
      <c r="J1310" s="31"/>
    </row>
    <row r="1311" spans="1:14" hidden="1" outlineLevel="1" x14ac:dyDescent="0.25">
      <c r="A1311" s="739">
        <v>0.05</v>
      </c>
      <c r="B1311" s="740" t="s">
        <v>3425</v>
      </c>
      <c r="C1311" s="809">
        <v>57.048000000000002</v>
      </c>
      <c r="D1311" s="737">
        <v>89.62</v>
      </c>
      <c r="E1311" s="818">
        <v>0.57095778993128588</v>
      </c>
      <c r="F1311" s="946" t="s">
        <v>2024</v>
      </c>
      <c r="G1311" s="78"/>
      <c r="H1311" t="str">
        <f>VLOOKUP(B1311,indexy!$A$44:$D$232,3,FALSE)</f>
        <v>XOM UN Equity</v>
      </c>
      <c r="J1311" s="31"/>
    </row>
    <row r="1312" spans="1:14" hidden="1" outlineLevel="1" x14ac:dyDescent="0.25">
      <c r="A1312" s="739">
        <v>0.05</v>
      </c>
      <c r="B1312" s="740" t="s">
        <v>1003</v>
      </c>
      <c r="C1312" s="809">
        <v>31.39</v>
      </c>
      <c r="D1312" s="737">
        <v>29.11</v>
      </c>
      <c r="E1312" s="818">
        <v>-7.2634597005415746E-2</v>
      </c>
      <c r="F1312" s="946" t="s">
        <v>2024</v>
      </c>
      <c r="G1312" s="78"/>
      <c r="H1312" t="str">
        <f>VLOOKUP(B1312,indexy!$A$44:$D$232,3,FALSE)</f>
        <v>TXN UW Equity</v>
      </c>
      <c r="J1312" s="31"/>
    </row>
    <row r="1313" spans="1:10" hidden="1" outlineLevel="1" x14ac:dyDescent="0.25">
      <c r="A1313" s="739">
        <v>0.05</v>
      </c>
      <c r="B1313" s="740" t="s">
        <v>3797</v>
      </c>
      <c r="C1313" s="809">
        <v>39.027499999999996</v>
      </c>
      <c r="D1313" s="737">
        <v>65.5</v>
      </c>
      <c r="E1313" s="818">
        <v>0.67830376016911176</v>
      </c>
      <c r="F1313" s="946" t="s">
        <v>2024</v>
      </c>
      <c r="G1313" s="78"/>
      <c r="H1313" t="str">
        <f>VLOOKUP(B1313,indexy!$A$44:$D$232,3,FALSE)</f>
        <v>NESN SE Equity</v>
      </c>
      <c r="J1313" s="31"/>
    </row>
    <row r="1314" spans="1:10" hidden="1" outlineLevel="1" x14ac:dyDescent="0.25">
      <c r="A1314" s="739">
        <v>0.05</v>
      </c>
      <c r="B1314" s="761" t="s">
        <v>3551</v>
      </c>
      <c r="C1314" s="808">
        <v>5391</v>
      </c>
      <c r="D1314" s="759">
        <v>6360</v>
      </c>
      <c r="E1314" s="819">
        <v>0.17974401780745697</v>
      </c>
      <c r="F1314" s="1850" t="s">
        <v>2025</v>
      </c>
      <c r="G1314" s="78"/>
      <c r="H1314" s="163" t="str">
        <f>VLOOKUP(B1314,indexy!$A$44:$D$232,3,FALSE)</f>
        <v>7203 JT Equity</v>
      </c>
      <c r="J1314" s="31"/>
    </row>
    <row r="1315" spans="1:10" hidden="1" outlineLevel="1" x14ac:dyDescent="0.25">
      <c r="A1315" s="745">
        <v>0.05</v>
      </c>
      <c r="B1315" s="746" t="s">
        <v>157</v>
      </c>
      <c r="C1315" s="809">
        <v>7.6851000000000003</v>
      </c>
      <c r="D1315" s="737">
        <v>6.5389999999999997</v>
      </c>
      <c r="E1315" s="818">
        <v>-0.14913273737492039</v>
      </c>
      <c r="F1315" s="946" t="s">
        <v>2024</v>
      </c>
      <c r="G1315" s="78"/>
      <c r="H1315" t="str">
        <f>VLOOKUP(B1315,indexy!$A$44:$D$232,3,FALSE)</f>
        <v>SAN SM Equity</v>
      </c>
      <c r="J1315" s="31"/>
    </row>
    <row r="1316" spans="1:10" hidden="1" outlineLevel="1" x14ac:dyDescent="0.25">
      <c r="A1316" s="749"/>
      <c r="B1316" s="750"/>
      <c r="C1316" s="867"/>
      <c r="D1316" s="886"/>
      <c r="E1316" s="820">
        <v>0.16496904036560267</v>
      </c>
      <c r="F1316" s="731"/>
      <c r="G1316" s="78"/>
      <c r="J1316" s="31"/>
    </row>
    <row r="1317" spans="1:10" hidden="1" outlineLevel="1" x14ac:dyDescent="0.25">
      <c r="A1317" s="751" t="s">
        <v>3015</v>
      </c>
      <c r="B1317" s="750"/>
      <c r="C1317" s="867"/>
      <c r="D1317" s="886"/>
      <c r="E1317" s="820"/>
      <c r="F1317" s="731">
        <v>3.4000000000000002E-2</v>
      </c>
      <c r="G1317" s="78"/>
      <c r="J1317" s="31"/>
    </row>
    <row r="1318" spans="1:10" hidden="1" outlineLevel="1" x14ac:dyDescent="0.25">
      <c r="A1318" s="751" t="s">
        <v>3751</v>
      </c>
      <c r="B1318" s="750" t="s">
        <v>2431</v>
      </c>
      <c r="C1318" s="867"/>
      <c r="D1318" s="886"/>
      <c r="E1318" s="820"/>
      <c r="F1318" s="731">
        <v>2.2666666666666668E-2</v>
      </c>
      <c r="G1318" s="78"/>
      <c r="J1318" s="31"/>
    </row>
    <row r="1319" spans="1:10" hidden="1" outlineLevel="1" x14ac:dyDescent="0.25">
      <c r="A1319" s="751" t="s">
        <v>3236</v>
      </c>
      <c r="B1319" s="750" t="s">
        <v>3116</v>
      </c>
      <c r="C1319" s="867"/>
      <c r="D1319" s="886"/>
      <c r="E1319" s="820"/>
      <c r="F1319" s="731">
        <v>1.5111111111111112E-2</v>
      </c>
      <c r="G1319" s="78"/>
      <c r="J1319" s="31"/>
    </row>
    <row r="1320" spans="1:10" hidden="1" outlineLevel="1" x14ac:dyDescent="0.25">
      <c r="A1320" s="751" t="s">
        <v>1172</v>
      </c>
      <c r="B1320" s="750" t="s">
        <v>2964</v>
      </c>
      <c r="C1320" s="867"/>
      <c r="D1320" s="886"/>
      <c r="E1320" s="820"/>
      <c r="F1320" s="731">
        <v>1.0074074074074074E-2</v>
      </c>
      <c r="G1320" s="78"/>
      <c r="I1320">
        <f>0.3/1.5</f>
        <v>0.19999999999999998</v>
      </c>
      <c r="J1320" s="31"/>
    </row>
    <row r="1321" spans="1:10" hidden="1" outlineLevel="1" x14ac:dyDescent="0.25">
      <c r="A1321" s="751" t="s">
        <v>1173</v>
      </c>
      <c r="B1321" s="750" t="s">
        <v>2963</v>
      </c>
      <c r="C1321" s="867"/>
      <c r="D1321" s="886"/>
      <c r="E1321" s="820"/>
      <c r="F1321" s="731">
        <v>6.7000000000000002E-3</v>
      </c>
      <c r="G1321" s="78"/>
      <c r="J1321" s="31"/>
    </row>
    <row r="1322" spans="1:10" hidden="1" outlineLevel="1" x14ac:dyDescent="0.25">
      <c r="A1322" s="751" t="s">
        <v>1048</v>
      </c>
      <c r="B1322" s="750" t="s">
        <v>5047</v>
      </c>
      <c r="C1322" s="867"/>
      <c r="D1322" s="886"/>
      <c r="E1322" s="820"/>
      <c r="F1322" s="731">
        <v>4.4999999999999997E-3</v>
      </c>
      <c r="G1322" s="78"/>
      <c r="J1322" s="31"/>
    </row>
    <row r="1323" spans="1:10" hidden="1" outlineLevel="1" x14ac:dyDescent="0.25">
      <c r="A1323" s="751" t="s">
        <v>1049</v>
      </c>
      <c r="B1323" s="750" t="s">
        <v>5444</v>
      </c>
      <c r="C1323" s="867"/>
      <c r="D1323" s="886"/>
      <c r="E1323" s="820"/>
      <c r="F1323" s="731">
        <v>3.0000000000000001E-3</v>
      </c>
      <c r="G1323" s="78"/>
      <c r="J1323" s="31"/>
    </row>
    <row r="1324" spans="1:10" hidden="1" outlineLevel="1" x14ac:dyDescent="0.25">
      <c r="A1324" s="751" t="s">
        <v>1050</v>
      </c>
      <c r="B1324" s="750"/>
      <c r="C1324" s="867"/>
      <c r="D1324" s="886"/>
      <c r="E1324" s="820"/>
      <c r="F1324" s="731">
        <v>2E-3</v>
      </c>
      <c r="G1324" s="78"/>
      <c r="J1324" s="31"/>
    </row>
    <row r="1325" spans="1:10" collapsed="1" x14ac:dyDescent="0.25">
      <c r="A1325" s="3801" t="s">
        <v>500</v>
      </c>
      <c r="B1325" s="3802"/>
      <c r="C1325" s="3802"/>
      <c r="D1325" s="3802"/>
      <c r="E1325" s="821"/>
      <c r="F1325" s="752">
        <v>9.8051851851851862E-2</v>
      </c>
      <c r="G1325" s="97" t="s">
        <v>781</v>
      </c>
      <c r="J1325" s="31"/>
    </row>
    <row r="1326" spans="1:10" x14ac:dyDescent="0.25">
      <c r="A1326" s="1"/>
      <c r="B1326" s="1"/>
      <c r="C1326" s="1"/>
      <c r="D1326" s="1"/>
      <c r="E1326" s="1"/>
      <c r="F1326" s="1848"/>
      <c r="G1326" s="78"/>
      <c r="J1326" s="31"/>
    </row>
    <row r="1327" spans="1:10" hidden="1" outlineLevel="1" x14ac:dyDescent="0.25">
      <c r="A1327" s="689" t="s">
        <v>113</v>
      </c>
      <c r="B1327" s="689" t="s">
        <v>114</v>
      </c>
      <c r="C1327" s="689" t="s">
        <v>112</v>
      </c>
      <c r="D1327" s="689" t="s">
        <v>116</v>
      </c>
      <c r="E1327" s="689" t="s">
        <v>117</v>
      </c>
      <c r="F1327" s="1188" t="s">
        <v>121</v>
      </c>
      <c r="G1327" s="78"/>
      <c r="J1327" s="31"/>
    </row>
    <row r="1328" spans="1:10" hidden="1" outlineLevel="1" x14ac:dyDescent="0.25">
      <c r="A1328" s="690">
        <v>1</v>
      </c>
      <c r="B1328" s="691" t="s">
        <v>252</v>
      </c>
      <c r="C1328" s="692">
        <v>100</v>
      </c>
      <c r="D1328" s="692"/>
      <c r="E1328" s="693"/>
      <c r="F1328" s="694"/>
      <c r="G1328" s="78"/>
      <c r="J1328" s="31"/>
    </row>
    <row r="1329" spans="1:15" hidden="1" outlineLevel="1" x14ac:dyDescent="0.25">
      <c r="A1329" s="695"/>
      <c r="B1329" s="695"/>
      <c r="C1329" s="696"/>
      <c r="D1329" s="697" t="s">
        <v>3702</v>
      </c>
      <c r="E1329" s="698">
        <v>40512</v>
      </c>
      <c r="F1329" s="699"/>
      <c r="G1329" s="78"/>
      <c r="J1329" s="31"/>
    </row>
    <row r="1330" spans="1:15" hidden="1" outlineLevel="1" x14ac:dyDescent="0.25">
      <c r="A1330" s="689" t="s">
        <v>4156</v>
      </c>
      <c r="B1330" s="689" t="s">
        <v>4153</v>
      </c>
      <c r="C1330" s="700" t="s">
        <v>112</v>
      </c>
      <c r="D1330" s="689" t="s">
        <v>116</v>
      </c>
      <c r="E1330" s="689" t="s">
        <v>4154</v>
      </c>
      <c r="F1330" s="1021" t="s">
        <v>2519</v>
      </c>
      <c r="G1330" s="78"/>
      <c r="J1330" s="31"/>
    </row>
    <row r="1331" spans="1:15" hidden="1" outlineLevel="1" x14ac:dyDescent="0.25">
      <c r="A1331" s="734">
        <v>0.04</v>
      </c>
      <c r="B1331" s="735" t="s">
        <v>577</v>
      </c>
      <c r="C1331" s="868">
        <v>12.545</v>
      </c>
      <c r="D1331" s="737">
        <v>16.39</v>
      </c>
      <c r="E1331" s="738">
        <f>D1331/C1331-1</f>
        <v>0.30649661219609414</v>
      </c>
      <c r="F1331" s="1021">
        <f>E1331*A1331</f>
        <v>1.2259864487843766E-2</v>
      </c>
      <c r="G1331" s="78"/>
      <c r="H1331" t="str">
        <f>VLOOKUP(B1331,indexy!$A$44:$D$232,3,FALSE)</f>
        <v>TEF SQ Equity</v>
      </c>
      <c r="J1331" s="31"/>
      <c r="K1331" s="248" t="s">
        <v>3754</v>
      </c>
      <c r="L1331">
        <v>100.1086</v>
      </c>
      <c r="M1331" s="37">
        <f t="shared" ref="M1331:M1342" si="25">L1331/100-1</f>
        <v>1.0859999999999204E-3</v>
      </c>
    </row>
    <row r="1332" spans="1:15" hidden="1" outlineLevel="1" x14ac:dyDescent="0.25">
      <c r="A1332" s="739">
        <v>0.02</v>
      </c>
      <c r="B1332" s="740" t="s">
        <v>3017</v>
      </c>
      <c r="C1332" s="869">
        <v>18.852</v>
      </c>
      <c r="D1332" s="737">
        <v>2.823</v>
      </c>
      <c r="E1332" s="742">
        <f>D1332/C1332-1</f>
        <v>-0.85025461489497134</v>
      </c>
      <c r="F1332" s="946">
        <f>E1332*A1332</f>
        <v>-1.7005092297899427E-2</v>
      </c>
      <c r="G1332" s="78"/>
      <c r="H1332" t="e">
        <f>VLOOKUP(B1332,indexy!$A$44:$D$232,3,FALSE)</f>
        <v>#N/A</v>
      </c>
      <c r="J1332" s="31"/>
      <c r="K1332" s="248" t="s">
        <v>3755</v>
      </c>
      <c r="L1332">
        <v>94.893500000000003</v>
      </c>
      <c r="M1332" s="37">
        <f t="shared" si="25"/>
        <v>-5.1064999999999916E-2</v>
      </c>
      <c r="N1332" s="39"/>
    </row>
    <row r="1333" spans="1:15" s="39" customFormat="1" hidden="1" outlineLevel="1" x14ac:dyDescent="0.25">
      <c r="A1333" s="739">
        <v>0.02</v>
      </c>
      <c r="B1333" s="740" t="s">
        <v>1176</v>
      </c>
      <c r="C1333" s="869">
        <v>21.7</v>
      </c>
      <c r="D1333" s="737">
        <v>1.76</v>
      </c>
      <c r="E1333" s="742">
        <f>D1333/C1333-1</f>
        <v>-0.91889400921658981</v>
      </c>
      <c r="F1333" s="946">
        <f>E1333*A1333</f>
        <v>-1.8377880184331796E-2</v>
      </c>
      <c r="G1333" s="12"/>
      <c r="H1333" t="str">
        <f>VLOOKUP(B1333,indexy!$A$44:$D$232,3,FALSE)</f>
        <v>AGS BB Equity</v>
      </c>
      <c r="I1333" s="106"/>
      <c r="J1333" s="31"/>
      <c r="K1333" s="248" t="s">
        <v>3756</v>
      </c>
      <c r="L1333">
        <v>95.554400000000001</v>
      </c>
      <c r="M1333" s="37">
        <f t="shared" si="25"/>
        <v>-4.445599999999994E-2</v>
      </c>
      <c r="N1333"/>
      <c r="O1333"/>
    </row>
    <row r="1334" spans="1:15" hidden="1" outlineLevel="1" x14ac:dyDescent="0.25">
      <c r="A1334" s="739">
        <v>0.02</v>
      </c>
      <c r="B1334" s="740" t="s">
        <v>3019</v>
      </c>
      <c r="C1334" s="869">
        <v>65.180000000000007</v>
      </c>
      <c r="D1334" s="737">
        <v>45.6</v>
      </c>
      <c r="E1334" s="742">
        <f t="shared" ref="E1334:E1360" si="26">D1334/C1334-1</f>
        <v>-0.30039889536667697</v>
      </c>
      <c r="F1334" s="946">
        <f t="shared" ref="F1334:F1359" si="27">E1334*A1334</f>
        <v>-6.0079779073335393E-3</v>
      </c>
      <c r="G1334" s="78"/>
      <c r="H1334" t="str">
        <f>VLOOKUP(B1334,indexy!$A$44:$D$232,3,FALSE)</f>
        <v>BNP FP Equity</v>
      </c>
      <c r="J1334" s="44"/>
      <c r="K1334" s="303" t="s">
        <v>3757</v>
      </c>
      <c r="L1334" s="39">
        <v>98.147499999999994</v>
      </c>
      <c r="M1334" s="37">
        <f t="shared" si="25"/>
        <v>-1.8525000000000014E-2</v>
      </c>
    </row>
    <row r="1335" spans="1:15" hidden="1" outlineLevel="1" x14ac:dyDescent="0.25">
      <c r="A1335" s="739">
        <v>0.03</v>
      </c>
      <c r="B1335" s="743" t="s">
        <v>51</v>
      </c>
      <c r="C1335" s="869">
        <v>45.17</v>
      </c>
      <c r="D1335" s="737">
        <v>34.515000000000001</v>
      </c>
      <c r="E1335" s="742">
        <f t="shared" si="26"/>
        <v>-0.23588665043170243</v>
      </c>
      <c r="F1335" s="946">
        <f t="shared" si="27"/>
        <v>-7.0765995129510725E-3</v>
      </c>
      <c r="G1335" s="78"/>
      <c r="H1335" t="str">
        <f>VLOOKUP(B1335,indexy!$A$44:$D$232,3,FALSE)</f>
        <v>SGO FP Equity</v>
      </c>
      <c r="J1335" s="31"/>
      <c r="K1335" s="248" t="s">
        <v>3758</v>
      </c>
      <c r="L1335" s="39">
        <v>96.324399999999997</v>
      </c>
      <c r="M1335" s="37">
        <f t="shared" si="25"/>
        <v>-3.6756000000000011E-2</v>
      </c>
    </row>
    <row r="1336" spans="1:15" hidden="1" outlineLevel="1" x14ac:dyDescent="0.25">
      <c r="A1336" s="739">
        <v>0.03</v>
      </c>
      <c r="B1336" s="740" t="s">
        <v>3020</v>
      </c>
      <c r="C1336" s="869">
        <v>34.170999999999999</v>
      </c>
      <c r="D1336" s="737">
        <v>55.95</v>
      </c>
      <c r="E1336" s="742">
        <f t="shared" si="26"/>
        <v>0.63735331128734907</v>
      </c>
      <c r="F1336" s="946">
        <f t="shared" si="27"/>
        <v>1.912059933862047E-2</v>
      </c>
      <c r="G1336" s="78"/>
      <c r="H1336" t="str">
        <f>VLOOKUP(B1336,indexy!$A$44:$D$232,3,FALSE)</f>
        <v>BAYN GR Equity</v>
      </c>
      <c r="J1336" s="31"/>
      <c r="K1336" s="248" t="s">
        <v>3759</v>
      </c>
      <c r="L1336" s="39">
        <v>88.344200000000001</v>
      </c>
      <c r="M1336" s="37">
        <f t="shared" si="25"/>
        <v>-0.11655799999999994</v>
      </c>
    </row>
    <row r="1337" spans="1:15" hidden="1" outlineLevel="1" x14ac:dyDescent="0.25">
      <c r="A1337" s="739">
        <v>0.03</v>
      </c>
      <c r="B1337" s="740" t="s">
        <v>3021</v>
      </c>
      <c r="C1337" s="869">
        <v>23.687999999999999</v>
      </c>
      <c r="D1337" s="737">
        <v>15.5</v>
      </c>
      <c r="E1337" s="742">
        <f t="shared" si="26"/>
        <v>-0.34566024991556898</v>
      </c>
      <c r="F1337" s="946">
        <f t="shared" si="27"/>
        <v>-1.0369807497467069E-2</v>
      </c>
      <c r="G1337" s="78"/>
      <c r="H1337" t="str">
        <f>VLOOKUP(B1337,indexy!$A$44:$D$232,3,FALSE)</f>
        <v>ENI IM Equity</v>
      </c>
      <c r="J1337" s="31"/>
      <c r="K1337" s="248" t="s">
        <v>3760</v>
      </c>
      <c r="L1337" s="39">
        <v>87.273600000000002</v>
      </c>
      <c r="M1337" s="37">
        <f t="shared" si="25"/>
        <v>-0.12726399999999993</v>
      </c>
    </row>
    <row r="1338" spans="1:15" hidden="1" outlineLevel="1" x14ac:dyDescent="0.25">
      <c r="A1338" s="739">
        <v>0.05</v>
      </c>
      <c r="B1338" s="740" t="s">
        <v>44</v>
      </c>
      <c r="C1338" s="869">
        <v>4.16</v>
      </c>
      <c r="D1338" s="737">
        <v>2.0049999999999999</v>
      </c>
      <c r="E1338" s="742">
        <f t="shared" si="26"/>
        <v>-0.51802884615384626</v>
      </c>
      <c r="F1338" s="946">
        <f t="shared" si="27"/>
        <v>-2.5901442307692313E-2</v>
      </c>
      <c r="G1338" s="78"/>
      <c r="H1338" t="str">
        <f>VLOOKUP(B1338,indexy!$A$44:$D$232,3,FALSE)</f>
        <v>ISP IM Equity</v>
      </c>
      <c r="J1338" s="31"/>
      <c r="K1338" s="248" t="s">
        <v>3761</v>
      </c>
      <c r="L1338" s="39">
        <v>92.552199999999999</v>
      </c>
      <c r="M1338" s="37">
        <f t="shared" si="25"/>
        <v>-7.4478000000000044E-2</v>
      </c>
    </row>
    <row r="1339" spans="1:15" hidden="1" outlineLevel="1" x14ac:dyDescent="0.25">
      <c r="A1339" s="739">
        <v>0.02</v>
      </c>
      <c r="B1339" s="740" t="s">
        <v>3022</v>
      </c>
      <c r="C1339" s="869">
        <v>6563</v>
      </c>
      <c r="D1339" s="737">
        <v>3890</v>
      </c>
      <c r="E1339" s="742">
        <f t="shared" si="26"/>
        <v>-0.40728325460917258</v>
      </c>
      <c r="F1339" s="946">
        <f t="shared" si="27"/>
        <v>-8.1456650921834517E-3</v>
      </c>
      <c r="G1339" s="78"/>
      <c r="H1339" t="str">
        <f>VLOOKUP(B1339,indexy!$A$44:$D$232,3,FALSE)</f>
        <v>4502 JT Equity</v>
      </c>
      <c r="J1339" s="31"/>
      <c r="K1339" s="248" t="s">
        <v>3762</v>
      </c>
      <c r="L1339" s="39">
        <v>91.2898</v>
      </c>
      <c r="M1339" s="37">
        <f t="shared" si="25"/>
        <v>-8.7102000000000013E-2</v>
      </c>
    </row>
    <row r="1340" spans="1:15" hidden="1" outlineLevel="1" x14ac:dyDescent="0.25">
      <c r="A1340" s="739">
        <v>0.03</v>
      </c>
      <c r="B1340" s="740" t="s">
        <v>53</v>
      </c>
      <c r="C1340" s="869">
        <v>42.009500000000003</v>
      </c>
      <c r="D1340" s="737">
        <v>45.125</v>
      </c>
      <c r="E1340" s="742">
        <f t="shared" si="26"/>
        <v>7.416179673645229E-2</v>
      </c>
      <c r="F1340" s="946">
        <f t="shared" si="27"/>
        <v>2.2248539020935684E-3</v>
      </c>
      <c r="G1340" s="78"/>
      <c r="H1340" t="str">
        <f>VLOOKUP(B1340,indexy!$A$44:$D$232,3,FALSE)</f>
        <v>BN FP Equity</v>
      </c>
      <c r="J1340" s="31"/>
      <c r="K1340" s="248" t="s">
        <v>3763</v>
      </c>
      <c r="L1340" s="39">
        <v>96.154499999999999</v>
      </c>
      <c r="M1340" s="37">
        <f t="shared" si="25"/>
        <v>-3.8455000000000017E-2</v>
      </c>
    </row>
    <row r="1341" spans="1:15" hidden="1" outlineLevel="1" x14ac:dyDescent="0.25">
      <c r="A1341" s="739">
        <v>0.04</v>
      </c>
      <c r="B1341" s="740" t="s">
        <v>157</v>
      </c>
      <c r="C1341" s="869">
        <v>7.6139999999999999</v>
      </c>
      <c r="D1341" s="737">
        <v>7.3</v>
      </c>
      <c r="E1341" s="742">
        <f t="shared" si="26"/>
        <v>-4.1239821381665376E-2</v>
      </c>
      <c r="F1341" s="946">
        <f t="shared" si="27"/>
        <v>-1.649592855266615E-3</v>
      </c>
      <c r="G1341" s="78"/>
      <c r="H1341" t="str">
        <f>VLOOKUP(B1341,indexy!$A$44:$D$232,3,FALSE)</f>
        <v>SAN SM Equity</v>
      </c>
      <c r="J1341" s="31"/>
      <c r="K1341" s="248" t="s">
        <v>3764</v>
      </c>
      <c r="L1341" s="39">
        <v>98.313500000000005</v>
      </c>
      <c r="M1341" s="37">
        <f t="shared" si="25"/>
        <v>-1.6864999999999908E-2</v>
      </c>
    </row>
    <row r="1342" spans="1:15" hidden="1" outlineLevel="1" x14ac:dyDescent="0.25">
      <c r="A1342" s="739">
        <v>0.03</v>
      </c>
      <c r="B1342" s="740" t="s">
        <v>3405</v>
      </c>
      <c r="C1342" s="869">
        <v>38.619999999999997</v>
      </c>
      <c r="D1342" s="737">
        <v>34.854999999999997</v>
      </c>
      <c r="E1342" s="742">
        <f t="shared" si="26"/>
        <v>-9.748834800621442E-2</v>
      </c>
      <c r="F1342" s="946">
        <f t="shared" si="27"/>
        <v>-2.9246504401864324E-3</v>
      </c>
      <c r="G1342" s="78"/>
      <c r="H1342" t="str">
        <f>VLOOKUP(B1342,indexy!$A$44:$D$232,3,FALSE)</f>
        <v>CA FP Equity</v>
      </c>
      <c r="J1342" s="31"/>
      <c r="K1342" s="248" t="s">
        <v>3765</v>
      </c>
      <c r="L1342" s="39">
        <v>92.975999999999999</v>
      </c>
      <c r="M1342" s="37">
        <f t="shared" si="25"/>
        <v>-7.0239999999999969E-2</v>
      </c>
    </row>
    <row r="1343" spans="1:15" hidden="1" outlineLevel="1" x14ac:dyDescent="0.25">
      <c r="A1343" s="739">
        <v>0.04</v>
      </c>
      <c r="B1343" s="740" t="s">
        <v>3798</v>
      </c>
      <c r="C1343" s="869">
        <v>3.8974000000000002</v>
      </c>
      <c r="D1343" s="737">
        <v>3.62</v>
      </c>
      <c r="E1343" s="742">
        <f t="shared" si="26"/>
        <v>-7.117565556524863E-2</v>
      </c>
      <c r="F1343" s="946">
        <f t="shared" si="27"/>
        <v>-2.8470262226099451E-3</v>
      </c>
      <c r="G1343" s="78"/>
      <c r="H1343" t="str">
        <f>VLOOKUP(B1343,indexy!$A$44:$D$232,3,FALSE)</f>
        <v>ENEL IM Equity</v>
      </c>
      <c r="J1343" s="31"/>
      <c r="K1343" s="248"/>
    </row>
    <row r="1344" spans="1:15" hidden="1" outlineLevel="1" x14ac:dyDescent="0.25">
      <c r="A1344" s="739">
        <v>0.02</v>
      </c>
      <c r="B1344" s="740" t="s">
        <v>4387</v>
      </c>
      <c r="C1344" s="869">
        <v>26.276</v>
      </c>
      <c r="D1344" s="737">
        <v>22.105</v>
      </c>
      <c r="E1344" s="742">
        <f t="shared" si="26"/>
        <v>-0.15873801187395342</v>
      </c>
      <c r="F1344" s="946">
        <f t="shared" si="27"/>
        <v>-3.1747602374790685E-3</v>
      </c>
      <c r="G1344" s="78"/>
      <c r="H1344" t="str">
        <f>VLOOKUP(B1344,indexy!$A$44:$D$232,3,FALSE)</f>
        <v>EOAN GY Equity</v>
      </c>
      <c r="J1344" s="31"/>
      <c r="K1344" s="248" t="s">
        <v>3766</v>
      </c>
      <c r="M1344" s="101">
        <f>AVERAGE(M1331:M1342)</f>
        <v>-5.6723166666666651E-2</v>
      </c>
    </row>
    <row r="1345" spans="1:13" hidden="1" outlineLevel="1" x14ac:dyDescent="0.25">
      <c r="A1345" s="739">
        <v>0.05</v>
      </c>
      <c r="B1345" s="740" t="s">
        <v>1993</v>
      </c>
      <c r="C1345" s="869">
        <v>55.48</v>
      </c>
      <c r="D1345" s="737">
        <f>24+56.89</f>
        <v>80.89</v>
      </c>
      <c r="E1345" s="742">
        <f t="shared" si="26"/>
        <v>0.45800288392213417</v>
      </c>
      <c r="F1345" s="946">
        <f t="shared" si="27"/>
        <v>2.2900144196106711E-2</v>
      </c>
      <c r="G1345" s="78"/>
      <c r="H1345" t="str">
        <f>VLOOKUP(B1345,indexy!$A$44:$D$232,3,FALSE)</f>
        <v>MO UN Equity</v>
      </c>
      <c r="I1345" s="39" t="s">
        <v>3533</v>
      </c>
      <c r="J1345" s="31"/>
      <c r="K1345" s="248" t="s">
        <v>1507</v>
      </c>
      <c r="M1345" s="101">
        <f>M1344*parametry!N67</f>
        <v>-3.119774166666666E-2</v>
      </c>
    </row>
    <row r="1346" spans="1:13" hidden="1" outlineLevel="1" x14ac:dyDescent="0.25">
      <c r="A1346" s="739">
        <v>0.04</v>
      </c>
      <c r="B1346" s="740" t="s">
        <v>1994</v>
      </c>
      <c r="C1346" s="869">
        <v>46.305</v>
      </c>
      <c r="D1346" s="737">
        <v>10.95</v>
      </c>
      <c r="E1346" s="742">
        <f t="shared" si="26"/>
        <v>-0.76352445740200847</v>
      </c>
      <c r="F1346" s="946">
        <f t="shared" si="27"/>
        <v>-3.0540978296080341E-2</v>
      </c>
      <c r="G1346" s="78"/>
      <c r="H1346" t="str">
        <f>VLOOKUP(B1346,indexy!$A$44:$D$232,3,FALSE)</f>
        <v>BAC UN Equity</v>
      </c>
      <c r="J1346" s="31"/>
      <c r="K1346" s="248"/>
    </row>
    <row r="1347" spans="1:13" hidden="1" outlineLevel="1" x14ac:dyDescent="0.25">
      <c r="A1347" s="739">
        <v>0.04</v>
      </c>
      <c r="B1347" s="743" t="s">
        <v>1995</v>
      </c>
      <c r="C1347" s="869">
        <v>39.110999999999997</v>
      </c>
      <c r="D1347" s="737">
        <v>46.51</v>
      </c>
      <c r="E1347" s="742">
        <f t="shared" si="26"/>
        <v>0.18917951471453054</v>
      </c>
      <c r="F1347" s="946">
        <f t="shared" si="27"/>
        <v>7.5671805885812217E-3</v>
      </c>
      <c r="G1347" s="78"/>
      <c r="H1347" t="str">
        <f>VLOOKUP(B1347,indexy!$A$44:$D$232,3,FALSE)</f>
        <v>ABT UN Equity</v>
      </c>
      <c r="J1347" s="31"/>
      <c r="K1347" s="248"/>
    </row>
    <row r="1348" spans="1:13" hidden="1" outlineLevel="1" x14ac:dyDescent="0.25">
      <c r="A1348" s="739">
        <v>0.03</v>
      </c>
      <c r="B1348" s="740" t="s">
        <v>255</v>
      </c>
      <c r="C1348" s="869">
        <v>27.7056</v>
      </c>
      <c r="D1348" s="737">
        <v>32.01</v>
      </c>
      <c r="E1348" s="742">
        <f t="shared" si="26"/>
        <v>0.15536209286209268</v>
      </c>
      <c r="F1348" s="946">
        <f t="shared" si="27"/>
        <v>4.6608627858627802E-3</v>
      </c>
      <c r="G1348" s="78"/>
      <c r="H1348" t="str">
        <f>VLOOKUP(B1348,indexy!$A$44:$D$232,3,FALSE)</f>
        <v>VZ UN Equity</v>
      </c>
      <c r="J1348" s="31"/>
      <c r="K1348" s="248"/>
    </row>
    <row r="1349" spans="1:13" hidden="1" outlineLevel="1" x14ac:dyDescent="0.25">
      <c r="A1349" s="739">
        <v>0.04</v>
      </c>
      <c r="B1349" s="743" t="s">
        <v>507</v>
      </c>
      <c r="C1349" s="869">
        <v>19.12</v>
      </c>
      <c r="D1349" s="737">
        <v>21.73</v>
      </c>
      <c r="E1349" s="742">
        <f t="shared" si="26"/>
        <v>0.13650627615062749</v>
      </c>
      <c r="F1349" s="946">
        <f t="shared" si="27"/>
        <v>5.4602510460250997E-3</v>
      </c>
      <c r="G1349" s="78"/>
      <c r="H1349" t="str">
        <f>VLOOKUP(B1349,indexy!$A$44:$D$232,3,FALSE)</f>
        <v>UNA NA Equity</v>
      </c>
      <c r="J1349" s="31"/>
      <c r="K1349" s="248"/>
    </row>
    <row r="1350" spans="1:13" hidden="1" outlineLevel="1" x14ac:dyDescent="0.25">
      <c r="A1350" s="739">
        <v>0.03</v>
      </c>
      <c r="B1350" s="740" t="s">
        <v>3425</v>
      </c>
      <c r="C1350" s="869">
        <v>58.966000000000001</v>
      </c>
      <c r="D1350" s="737">
        <v>69.56</v>
      </c>
      <c r="E1350" s="742">
        <f t="shared" si="26"/>
        <v>0.17966285656140824</v>
      </c>
      <c r="F1350" s="946">
        <f t="shared" si="27"/>
        <v>5.3898856968422467E-3</v>
      </c>
      <c r="G1350" s="78"/>
      <c r="H1350" t="str">
        <f>VLOOKUP(B1350,indexy!$A$44:$D$232,3,FALSE)</f>
        <v>XOM UN Equity</v>
      </c>
      <c r="J1350" s="31"/>
      <c r="K1350" s="248"/>
    </row>
    <row r="1351" spans="1:13" hidden="1" outlineLevel="1" x14ac:dyDescent="0.25">
      <c r="A1351" s="739">
        <v>0.03</v>
      </c>
      <c r="B1351" s="740" t="s">
        <v>3426</v>
      </c>
      <c r="C1351" s="869">
        <v>60.341000000000001</v>
      </c>
      <c r="D1351" s="737">
        <v>61.55</v>
      </c>
      <c r="E1351" s="742">
        <f t="shared" si="26"/>
        <v>2.0036128005833431E-2</v>
      </c>
      <c r="F1351" s="946">
        <f t="shared" si="27"/>
        <v>6.010838401750029E-4</v>
      </c>
      <c r="G1351" s="78"/>
      <c r="H1351" t="str">
        <f>VLOOKUP(B1351,indexy!$A$44:$D$232,3,FALSE)</f>
        <v>JNJ UN Equity</v>
      </c>
      <c r="J1351" s="31"/>
      <c r="K1351" s="248"/>
    </row>
    <row r="1352" spans="1:13" hidden="1" outlineLevel="1" x14ac:dyDescent="0.25">
      <c r="A1352" s="739">
        <v>0.03</v>
      </c>
      <c r="B1352" s="740" t="s">
        <v>1204</v>
      </c>
      <c r="C1352" s="869">
        <v>59.348999999999997</v>
      </c>
      <c r="D1352" s="737">
        <v>64.63</v>
      </c>
      <c r="E1352" s="742">
        <f t="shared" si="26"/>
        <v>8.8982122697939259E-2</v>
      </c>
      <c r="F1352" s="946">
        <f t="shared" si="27"/>
        <v>2.6694636809381778E-3</v>
      </c>
      <c r="G1352" s="78"/>
      <c r="H1352" t="str">
        <f>VLOOKUP(B1352,indexy!$A$44:$D$232,3,FALSE)</f>
        <v>PEP UW Equity</v>
      </c>
      <c r="J1352" s="31"/>
      <c r="K1352" s="248"/>
    </row>
    <row r="1353" spans="1:13" hidden="1" outlineLevel="1" x14ac:dyDescent="0.25">
      <c r="A1353" s="739">
        <v>0.03</v>
      </c>
      <c r="B1353" s="740" t="s">
        <v>1414</v>
      </c>
      <c r="C1353" s="869">
        <v>21.963000000000001</v>
      </c>
      <c r="D1353" s="737">
        <v>16.29</v>
      </c>
      <c r="E1353" s="742">
        <f t="shared" si="26"/>
        <v>-0.25829804671492973</v>
      </c>
      <c r="F1353" s="946">
        <f t="shared" si="27"/>
        <v>-7.7489414014478919E-3</v>
      </c>
      <c r="G1353" s="78"/>
      <c r="H1353" t="str">
        <f>VLOOKUP(B1353,indexy!$A$44:$D$232,3,FALSE)</f>
        <v>PFE UN Equity</v>
      </c>
      <c r="J1353" s="31"/>
      <c r="K1353" s="248"/>
    </row>
    <row r="1354" spans="1:13" hidden="1" outlineLevel="1" x14ac:dyDescent="0.25">
      <c r="A1354" s="739">
        <v>0.05</v>
      </c>
      <c r="B1354" s="740" t="s">
        <v>3427</v>
      </c>
      <c r="C1354" s="869">
        <v>35.112000000000002</v>
      </c>
      <c r="D1354" s="737">
        <v>37.72</v>
      </c>
      <c r="E1354" s="742">
        <f t="shared" si="26"/>
        <v>7.4276600592390052E-2</v>
      </c>
      <c r="F1354" s="946">
        <f t="shared" si="27"/>
        <v>3.7138300296195026E-3</v>
      </c>
      <c r="G1354" s="78"/>
      <c r="H1354" t="str">
        <f>VLOOKUP(B1354,indexy!$A$44:$D$232,3,FALSE)</f>
        <v>SO UN Equity</v>
      </c>
      <c r="J1354" s="31"/>
      <c r="K1354" s="248"/>
    </row>
    <row r="1355" spans="1:13" hidden="1" outlineLevel="1" x14ac:dyDescent="0.25">
      <c r="A1355" s="739">
        <v>0.05</v>
      </c>
      <c r="B1355" s="740" t="s">
        <v>872</v>
      </c>
      <c r="C1355" s="869">
        <v>344.93</v>
      </c>
      <c r="D1355" s="737">
        <v>330.3</v>
      </c>
      <c r="E1355" s="742">
        <f t="shared" si="26"/>
        <v>-4.2414402922332006E-2</v>
      </c>
      <c r="F1355" s="946">
        <f t="shared" si="27"/>
        <v>-2.1207201461166006E-3</v>
      </c>
      <c r="G1355" s="78"/>
      <c r="H1355" t="str">
        <f>VLOOKUP(B1355,indexy!$A$44:$D$232,3,FALSE)</f>
        <v>BA/ LN Equity</v>
      </c>
      <c r="J1355" s="31"/>
      <c r="K1355" s="248"/>
    </row>
    <row r="1356" spans="1:13" hidden="1" outlineLevel="1" x14ac:dyDescent="0.25">
      <c r="A1356" s="739">
        <v>0.03</v>
      </c>
      <c r="B1356" s="740" t="s">
        <v>873</v>
      </c>
      <c r="C1356" s="869">
        <v>583.88</v>
      </c>
      <c r="D1356" s="737">
        <v>256.14999999999998</v>
      </c>
      <c r="E1356" s="742">
        <f t="shared" si="26"/>
        <v>-0.56129684181681172</v>
      </c>
      <c r="F1356" s="946">
        <f t="shared" si="27"/>
        <v>-1.6838905254504349E-2</v>
      </c>
      <c r="G1356" s="78"/>
      <c r="H1356" t="str">
        <f>VLOOKUP(B1356,indexy!$A$44:$D$232,3,FALSE)</f>
        <v>BARC LN Equity</v>
      </c>
      <c r="J1356" s="31"/>
      <c r="K1356" s="248"/>
    </row>
    <row r="1357" spans="1:13" hidden="1" outlineLevel="1" x14ac:dyDescent="0.25">
      <c r="A1357" s="739">
        <v>0.02</v>
      </c>
      <c r="B1357" s="740" t="s">
        <v>874</v>
      </c>
      <c r="C1357" s="869">
        <v>228.1</v>
      </c>
      <c r="D1357" s="737">
        <v>235</v>
      </c>
      <c r="E1357" s="742">
        <f t="shared" si="26"/>
        <v>3.0249890398947876E-2</v>
      </c>
      <c r="F1357" s="946">
        <f t="shared" si="27"/>
        <v>6.0499780797895752E-4</v>
      </c>
      <c r="G1357" s="78"/>
      <c r="H1357" t="str">
        <f>VLOOKUP(B1357,indexy!$A$44:$D$232,3,FALSE)</f>
        <v>KGF LN Equity</v>
      </c>
      <c r="J1357" s="31"/>
    </row>
    <row r="1358" spans="1:13" hidden="1" outlineLevel="1" x14ac:dyDescent="0.25">
      <c r="A1358" s="739">
        <v>0.05</v>
      </c>
      <c r="B1358" s="740" t="s">
        <v>2786</v>
      </c>
      <c r="C1358" s="869">
        <v>494.82</v>
      </c>
      <c r="D1358" s="737">
        <v>568</v>
      </c>
      <c r="E1358" s="742">
        <f t="shared" si="26"/>
        <v>0.14789216280667716</v>
      </c>
      <c r="F1358" s="946">
        <f t="shared" si="27"/>
        <v>7.3946081403338587E-3</v>
      </c>
      <c r="G1358" s="78"/>
      <c r="H1358" t="str">
        <f>VLOOKUP(B1358,indexy!$A$44:$D$232,3,FALSE)</f>
        <v>NG/ LN Equity</v>
      </c>
      <c r="J1358" s="31"/>
    </row>
    <row r="1359" spans="1:13" hidden="1" outlineLevel="1" x14ac:dyDescent="0.25">
      <c r="A1359" s="739">
        <v>0.03</v>
      </c>
      <c r="B1359" s="740" t="s">
        <v>1203</v>
      </c>
      <c r="C1359" s="869">
        <v>64.518000000000001</v>
      </c>
      <c r="D1359" s="737">
        <v>70.05</v>
      </c>
      <c r="E1359" s="742">
        <f t="shared" si="26"/>
        <v>8.5743513438110153E-2</v>
      </c>
      <c r="F1359" s="946">
        <f t="shared" si="27"/>
        <v>2.5723054031433043E-3</v>
      </c>
      <c r="G1359" s="78"/>
      <c r="H1359" t="str">
        <f>VLOOKUP(B1359,indexy!$A$44:$D$232,3,FALSE)</f>
        <v>NDA SS Equity</v>
      </c>
      <c r="J1359" s="31"/>
    </row>
    <row r="1360" spans="1:13" hidden="1" outlineLevel="1" x14ac:dyDescent="0.25">
      <c r="A1360" s="745">
        <v>0.03</v>
      </c>
      <c r="B1360" s="746" t="s">
        <v>2787</v>
      </c>
      <c r="C1360" s="870">
        <v>68.265000000000001</v>
      </c>
      <c r="D1360" s="715">
        <v>53.25</v>
      </c>
      <c r="E1360" s="748">
        <f t="shared" si="26"/>
        <v>-0.21995165897604918</v>
      </c>
      <c r="F1360" s="1023">
        <f>E1360*A1360</f>
        <v>-6.5985497692814749E-3</v>
      </c>
      <c r="G1360" s="78"/>
      <c r="H1360" t="str">
        <f>VLOOKUP(B1360,indexy!$A$44:$D$232,3,FALSE)</f>
        <v>NOVN SE Equity</v>
      </c>
      <c r="J1360" s="31"/>
    </row>
    <row r="1361" spans="1:12" hidden="1" outlineLevel="1" x14ac:dyDescent="0.25">
      <c r="A1361" s="749"/>
      <c r="B1361" s="750"/>
      <c r="C1361" s="727"/>
      <c r="D1361" s="727"/>
      <c r="E1361" s="716"/>
      <c r="F1361" s="770">
        <f>SUM(F1331:F1360)</f>
        <v>-7.0188658478666718E-2</v>
      </c>
      <c r="G1361" s="78"/>
      <c r="J1361" s="31"/>
    </row>
    <row r="1362" spans="1:12" collapsed="1" x14ac:dyDescent="0.25">
      <c r="A1362" s="3801" t="s">
        <v>2154</v>
      </c>
      <c r="B1362" s="3802"/>
      <c r="C1362" s="3802"/>
      <c r="D1362" s="3802"/>
      <c r="E1362" s="721" t="s">
        <v>2722</v>
      </c>
      <c r="F1362" s="722">
        <f>MAX(F1361*parametry!N85,4%)</f>
        <v>0.04</v>
      </c>
      <c r="G1362" s="97" t="s">
        <v>781</v>
      </c>
      <c r="J1362" s="31"/>
    </row>
    <row r="1363" spans="1:12" x14ac:dyDescent="0.25">
      <c r="A1363" s="94"/>
      <c r="B1363" s="94"/>
      <c r="C1363" s="94"/>
      <c r="D1363" s="94"/>
      <c r="E1363" s="95"/>
      <c r="F1363" s="95"/>
      <c r="G1363" s="78"/>
      <c r="J1363" s="31"/>
    </row>
    <row r="1364" spans="1:12" hidden="1" outlineLevel="1" x14ac:dyDescent="0.25">
      <c r="A1364" s="689" t="s">
        <v>113</v>
      </c>
      <c r="B1364" s="689" t="s">
        <v>114</v>
      </c>
      <c r="C1364" s="689" t="s">
        <v>112</v>
      </c>
      <c r="D1364" s="689" t="s">
        <v>116</v>
      </c>
      <c r="E1364" s="689" t="s">
        <v>117</v>
      </c>
      <c r="F1364" s="1188" t="s">
        <v>121</v>
      </c>
      <c r="G1364" s="78"/>
      <c r="J1364" s="31"/>
    </row>
    <row r="1365" spans="1:12" hidden="1" outlineLevel="1" x14ac:dyDescent="0.25">
      <c r="A1365" s="690">
        <v>1</v>
      </c>
      <c r="B1365" s="691" t="s">
        <v>252</v>
      </c>
      <c r="C1365" s="692">
        <v>100</v>
      </c>
      <c r="D1365" s="692"/>
      <c r="E1365" s="693"/>
      <c r="F1365" s="694"/>
      <c r="G1365" s="78"/>
      <c r="J1365" s="31"/>
    </row>
    <row r="1366" spans="1:12" hidden="1" outlineLevel="1" x14ac:dyDescent="0.25">
      <c r="A1366" s="695"/>
      <c r="B1366" s="695"/>
      <c r="C1366" s="696"/>
      <c r="D1366" s="697" t="s">
        <v>3702</v>
      </c>
      <c r="E1366" s="698">
        <v>40494</v>
      </c>
      <c r="F1366" s="699"/>
      <c r="G1366" s="78"/>
      <c r="J1366" s="31"/>
    </row>
    <row r="1367" spans="1:12" hidden="1" outlineLevel="1" x14ac:dyDescent="0.25">
      <c r="A1367" s="689" t="s">
        <v>4156</v>
      </c>
      <c r="B1367" s="689" t="s">
        <v>4153</v>
      </c>
      <c r="C1367" s="700" t="s">
        <v>112</v>
      </c>
      <c r="D1367" s="689" t="s">
        <v>116</v>
      </c>
      <c r="E1367" s="689" t="s">
        <v>4154</v>
      </c>
      <c r="F1367" s="1021" t="s">
        <v>2519</v>
      </c>
      <c r="G1367" s="78"/>
      <c r="J1367" s="31"/>
    </row>
    <row r="1368" spans="1:12" hidden="1" outlineLevel="1" x14ac:dyDescent="0.25">
      <c r="A1368" s="734">
        <v>3.3300000000000003E-2</v>
      </c>
      <c r="B1368" s="735" t="s">
        <v>577</v>
      </c>
      <c r="C1368" s="807">
        <v>12.47</v>
      </c>
      <c r="D1368" s="737">
        <v>18</v>
      </c>
      <c r="E1368" s="738">
        <f>D1368/C1368-1</f>
        <v>0.44346431435445055</v>
      </c>
      <c r="F1368" s="1021">
        <f>E1368*A1368</f>
        <v>1.4767361668003205E-2</v>
      </c>
      <c r="G1368" s="78"/>
      <c r="H1368" t="str">
        <f>VLOOKUP(B1368,indexy!$A$44:$D$232,3,FALSE)</f>
        <v>TEF SQ Equity</v>
      </c>
      <c r="I1368" s="106"/>
      <c r="J1368" s="31"/>
    </row>
    <row r="1369" spans="1:12" hidden="1" outlineLevel="1" x14ac:dyDescent="0.25">
      <c r="A1369" s="849">
        <v>3.3300000000000003E-2</v>
      </c>
      <c r="B1369" s="740" t="s">
        <v>3017</v>
      </c>
      <c r="C1369" s="809">
        <v>18.469000000000001</v>
      </c>
      <c r="D1369" s="737">
        <v>3.1179999999999999</v>
      </c>
      <c r="E1369" s="742">
        <f>D1369/C1369-1</f>
        <v>-0.83117656613785262</v>
      </c>
      <c r="F1369" s="946">
        <f>E1369*A1369</f>
        <v>-2.7678179652390496E-2</v>
      </c>
      <c r="G1369" s="78"/>
      <c r="H1369" t="e">
        <f>VLOOKUP(B1369,indexy!$A$44:$D$232,3,FALSE)</f>
        <v>#N/A</v>
      </c>
      <c r="I1369" t="s">
        <v>2040</v>
      </c>
      <c r="J1369" s="248" t="s">
        <v>2195</v>
      </c>
      <c r="K1369">
        <v>95.898700000000005</v>
      </c>
      <c r="L1369" s="37">
        <f t="shared" ref="L1369:L1380" si="28">K1369/100-1</f>
        <v>-4.1012999999999966E-2</v>
      </c>
    </row>
    <row r="1370" spans="1:12" hidden="1" outlineLevel="1" x14ac:dyDescent="0.25">
      <c r="A1370" s="849">
        <v>3.3300000000000003E-2</v>
      </c>
      <c r="B1370" s="740" t="s">
        <v>1176</v>
      </c>
      <c r="C1370" s="809">
        <v>21.13</v>
      </c>
      <c r="D1370" s="737">
        <v>2.15</v>
      </c>
      <c r="E1370" s="742">
        <f>D1370/C1370-1</f>
        <v>-0.89824893516327498</v>
      </c>
      <c r="F1370" s="946">
        <f>E1370*A1370</f>
        <v>-2.9911689540937061E-2</v>
      </c>
      <c r="G1370" s="78"/>
      <c r="H1370" t="str">
        <f>VLOOKUP(B1370,indexy!$A$44:$D$232,3,FALSE)</f>
        <v>AGS BB Equity</v>
      </c>
      <c r="J1370" s="248" t="s">
        <v>2878</v>
      </c>
      <c r="K1370">
        <v>96.564599999999999</v>
      </c>
      <c r="L1370" s="37">
        <f t="shared" si="28"/>
        <v>-3.4353999999999996E-2</v>
      </c>
    </row>
    <row r="1371" spans="1:12" hidden="1" outlineLevel="1" x14ac:dyDescent="0.25">
      <c r="A1371" s="849">
        <v>3.3300000000000003E-2</v>
      </c>
      <c r="B1371" s="740" t="s">
        <v>3019</v>
      </c>
      <c r="C1371" s="809">
        <v>65.123000000000005</v>
      </c>
      <c r="D1371" s="737">
        <v>52.98</v>
      </c>
      <c r="E1371" s="742">
        <f t="shared" ref="E1371:E1397" si="29">D1371/C1371-1</f>
        <v>-0.18646254011639518</v>
      </c>
      <c r="F1371" s="946">
        <f t="shared" ref="F1371:F1396" si="30">E1371*A1371</f>
        <v>-6.2092025858759602E-3</v>
      </c>
      <c r="G1371" s="78"/>
      <c r="H1371" t="str">
        <f>VLOOKUP(B1371,indexy!$A$44:$D$232,3,FALSE)</f>
        <v>BNP FP Equity</v>
      </c>
      <c r="J1371" s="248" t="s">
        <v>2879</v>
      </c>
      <c r="K1371">
        <v>89.634299999999996</v>
      </c>
      <c r="L1371" s="37">
        <f t="shared" si="28"/>
        <v>-0.103657</v>
      </c>
    </row>
    <row r="1372" spans="1:12" hidden="1" outlineLevel="1" x14ac:dyDescent="0.25">
      <c r="A1372" s="849">
        <v>3.3300000000000003E-2</v>
      </c>
      <c r="B1372" s="743" t="s">
        <v>51</v>
      </c>
      <c r="C1372" s="809">
        <v>43.52</v>
      </c>
      <c r="D1372" s="737">
        <v>35.57</v>
      </c>
      <c r="E1372" s="742">
        <f t="shared" si="29"/>
        <v>-0.18267463235294124</v>
      </c>
      <c r="F1372" s="946">
        <f t="shared" si="30"/>
        <v>-6.083065257352944E-3</v>
      </c>
      <c r="G1372" s="78"/>
      <c r="H1372" t="str">
        <f>VLOOKUP(B1372,indexy!$A$44:$D$232,3,FALSE)</f>
        <v>SGO FP Equity</v>
      </c>
      <c r="J1372" s="248" t="s">
        <v>2880</v>
      </c>
      <c r="K1372">
        <v>95.193899999999999</v>
      </c>
      <c r="L1372" s="37">
        <f t="shared" si="28"/>
        <v>-4.806100000000002E-2</v>
      </c>
    </row>
    <row r="1373" spans="1:12" hidden="1" outlineLevel="1" x14ac:dyDescent="0.25">
      <c r="A1373" s="849">
        <v>3.3300000000000003E-2</v>
      </c>
      <c r="B1373" s="740" t="s">
        <v>3020</v>
      </c>
      <c r="C1373" s="809">
        <v>33.290999999999997</v>
      </c>
      <c r="D1373" s="737">
        <v>54.04</v>
      </c>
      <c r="E1373" s="742">
        <f t="shared" si="29"/>
        <v>0.62326154215854146</v>
      </c>
      <c r="F1373" s="946">
        <f t="shared" si="30"/>
        <v>2.0754609353879433E-2</v>
      </c>
      <c r="G1373" s="78"/>
      <c r="H1373" t="str">
        <f>VLOOKUP(B1373,indexy!$A$44:$D$232,3,FALSE)</f>
        <v>BAYN GR Equity</v>
      </c>
      <c r="J1373" s="248" t="s">
        <v>2881</v>
      </c>
      <c r="K1373">
        <v>95.896699999999996</v>
      </c>
      <c r="L1373" s="37">
        <f t="shared" si="28"/>
        <v>-4.1033000000000097E-2</v>
      </c>
    </row>
    <row r="1374" spans="1:12" hidden="1" outlineLevel="1" x14ac:dyDescent="0.25">
      <c r="A1374" s="849">
        <v>3.3300000000000003E-2</v>
      </c>
      <c r="B1374" s="740" t="s">
        <v>3021</v>
      </c>
      <c r="C1374" s="809">
        <v>23.271999999999998</v>
      </c>
      <c r="D1374" s="737">
        <v>16.18</v>
      </c>
      <c r="E1374" s="742">
        <f t="shared" si="29"/>
        <v>-0.30474389824682013</v>
      </c>
      <c r="F1374" s="946">
        <f t="shared" si="30"/>
        <v>-1.0147971811619111E-2</v>
      </c>
      <c r="G1374" s="78"/>
      <c r="H1374" t="str">
        <f>VLOOKUP(B1374,indexy!$A$44:$D$232,3,FALSE)</f>
        <v>ENI IM Equity</v>
      </c>
      <c r="J1374" s="248" t="s">
        <v>2882</v>
      </c>
      <c r="K1374">
        <v>87.27</v>
      </c>
      <c r="L1374" s="37">
        <f t="shared" si="28"/>
        <v>-0.12730000000000008</v>
      </c>
    </row>
    <row r="1375" spans="1:12" hidden="1" outlineLevel="1" x14ac:dyDescent="0.25">
      <c r="A1375" s="849">
        <v>3.3300000000000003E-2</v>
      </c>
      <c r="B1375" s="740" t="s">
        <v>44</v>
      </c>
      <c r="C1375" s="809">
        <v>4.0540000000000003</v>
      </c>
      <c r="D1375" s="737">
        <v>2.3374999999999999</v>
      </c>
      <c r="E1375" s="742">
        <f t="shared" si="29"/>
        <v>-0.42340897878638384</v>
      </c>
      <c r="F1375" s="946">
        <f t="shared" si="30"/>
        <v>-1.4099518993586583E-2</v>
      </c>
      <c r="G1375" s="78"/>
      <c r="H1375" t="str">
        <f>VLOOKUP(B1375,indexy!$A$44:$D$232,3,FALSE)</f>
        <v>ISP IM Equity</v>
      </c>
      <c r="J1375" s="248" t="s">
        <v>2883</v>
      </c>
      <c r="K1375">
        <v>87.016099999999994</v>
      </c>
      <c r="L1375" s="37">
        <f t="shared" si="28"/>
        <v>-0.12983900000000004</v>
      </c>
    </row>
    <row r="1376" spans="1:12" hidden="1" outlineLevel="1" x14ac:dyDescent="0.25">
      <c r="A1376" s="849">
        <v>3.3300000000000003E-2</v>
      </c>
      <c r="B1376" s="740" t="s">
        <v>3798</v>
      </c>
      <c r="C1376" s="809">
        <v>5.8585000000000003</v>
      </c>
      <c r="D1376" s="737">
        <v>4.0374999999999996</v>
      </c>
      <c r="E1376" s="742">
        <f t="shared" si="29"/>
        <v>-0.3108304173423232</v>
      </c>
      <c r="F1376" s="946">
        <f t="shared" si="30"/>
        <v>-1.0350652897499363E-2</v>
      </c>
      <c r="G1376" s="78"/>
      <c r="H1376" t="str">
        <f>VLOOKUP(B1376,indexy!$A$44:$D$232,3,FALSE)</f>
        <v>ENEL IM Equity</v>
      </c>
      <c r="J1376" s="248" t="s">
        <v>2884</v>
      </c>
      <c r="K1376">
        <v>88.569699999999997</v>
      </c>
      <c r="L1376" s="37">
        <f t="shared" si="28"/>
        <v>-0.11430300000000004</v>
      </c>
    </row>
    <row r="1377" spans="1:12" hidden="1" outlineLevel="1" x14ac:dyDescent="0.25">
      <c r="A1377" s="849">
        <v>3.3300000000000003E-2</v>
      </c>
      <c r="B1377" s="740" t="s">
        <v>53</v>
      </c>
      <c r="C1377" s="809">
        <v>39.813000000000002</v>
      </c>
      <c r="D1377" s="737">
        <v>46.125</v>
      </c>
      <c r="E1377" s="742">
        <f t="shared" si="29"/>
        <v>0.15854118001657747</v>
      </c>
      <c r="F1377" s="946">
        <f t="shared" si="30"/>
        <v>5.2794212945520298E-3</v>
      </c>
      <c r="G1377" s="78"/>
      <c r="H1377" t="str">
        <f>VLOOKUP(B1377,indexy!$A$44:$D$232,3,FALSE)</f>
        <v>BN FP Equity</v>
      </c>
      <c r="J1377" s="248" t="s">
        <v>2196</v>
      </c>
      <c r="K1377">
        <v>88.536500000000004</v>
      </c>
      <c r="L1377" s="37">
        <f t="shared" si="28"/>
        <v>-0.11463499999999993</v>
      </c>
    </row>
    <row r="1378" spans="1:12" hidden="1" outlineLevel="1" x14ac:dyDescent="0.25">
      <c r="A1378" s="849">
        <v>3.3300000000000003E-2</v>
      </c>
      <c r="B1378" s="740" t="s">
        <v>157</v>
      </c>
      <c r="C1378" s="809">
        <v>7.34</v>
      </c>
      <c r="D1378" s="737">
        <v>8.5259999999999998</v>
      </c>
      <c r="E1378" s="742">
        <f t="shared" si="29"/>
        <v>0.16158038147138964</v>
      </c>
      <c r="F1378" s="946">
        <f t="shared" si="30"/>
        <v>5.3806267029972753E-3</v>
      </c>
      <c r="G1378" s="78"/>
      <c r="H1378" t="str">
        <f>VLOOKUP(B1378,indexy!$A$44:$D$232,3,FALSE)</f>
        <v>SAN SM Equity</v>
      </c>
      <c r="J1378" s="248" t="s">
        <v>2885</v>
      </c>
      <c r="K1378">
        <v>91.989699999999999</v>
      </c>
      <c r="L1378" s="37">
        <f t="shared" si="28"/>
        <v>-8.0103000000000035E-2</v>
      </c>
    </row>
    <row r="1379" spans="1:12" hidden="1" outlineLevel="1" x14ac:dyDescent="0.25">
      <c r="A1379" s="849">
        <v>3.3300000000000003E-2</v>
      </c>
      <c r="B1379" s="740" t="s">
        <v>3405</v>
      </c>
      <c r="C1379" s="809">
        <v>37.323999999999998</v>
      </c>
      <c r="D1379" s="737">
        <v>37.6</v>
      </c>
      <c r="E1379" s="742">
        <f t="shared" si="29"/>
        <v>7.3947058193120085E-3</v>
      </c>
      <c r="F1379" s="946">
        <f t="shared" si="30"/>
        <v>2.462437037830899E-4</v>
      </c>
      <c r="G1379" s="78"/>
      <c r="H1379" t="str">
        <f>VLOOKUP(B1379,indexy!$A$44:$D$232,3,FALSE)</f>
        <v>CA FP Equity</v>
      </c>
      <c r="J1379" s="248" t="s">
        <v>2886</v>
      </c>
      <c r="K1379">
        <v>94.223399999999998</v>
      </c>
      <c r="L1379" s="37">
        <f t="shared" si="28"/>
        <v>-5.7765999999999984E-2</v>
      </c>
    </row>
    <row r="1380" spans="1:12" hidden="1" outlineLevel="1" x14ac:dyDescent="0.25">
      <c r="A1380" s="849">
        <v>3.3300000000000003E-2</v>
      </c>
      <c r="B1380" s="740" t="s">
        <v>1177</v>
      </c>
      <c r="C1380" s="809">
        <v>115.84</v>
      </c>
      <c r="D1380" s="737">
        <v>58.31</v>
      </c>
      <c r="E1380" s="742">
        <f t="shared" si="29"/>
        <v>-0.49663328729281764</v>
      </c>
      <c r="F1380" s="946">
        <f t="shared" si="30"/>
        <v>-1.6537888466850829E-2</v>
      </c>
      <c r="G1380" s="78"/>
      <c r="H1380" t="s">
        <v>1178</v>
      </c>
      <c r="J1380" s="248" t="s">
        <v>1930</v>
      </c>
      <c r="K1380">
        <v>92.7928</v>
      </c>
      <c r="L1380" s="37">
        <f t="shared" si="28"/>
        <v>-7.2072000000000025E-2</v>
      </c>
    </row>
    <row r="1381" spans="1:12" hidden="1" outlineLevel="1" x14ac:dyDescent="0.25">
      <c r="A1381" s="849">
        <v>3.3300000000000003E-2</v>
      </c>
      <c r="B1381" s="740" t="s">
        <v>4387</v>
      </c>
      <c r="C1381" s="809">
        <v>25.297499999999999</v>
      </c>
      <c r="D1381" s="737">
        <v>22.664999999999999</v>
      </c>
      <c r="E1381" s="742">
        <f t="shared" si="29"/>
        <v>-0.10406166617254675</v>
      </c>
      <c r="F1381" s="946">
        <f t="shared" si="30"/>
        <v>-3.4652534835458073E-3</v>
      </c>
      <c r="G1381" s="78"/>
      <c r="H1381" t="str">
        <f>VLOOKUP(B1381,indexy!$A$44:$D$232,3,FALSE)</f>
        <v>EOAN GY Equity</v>
      </c>
      <c r="J1381" s="310" t="s">
        <v>2465</v>
      </c>
      <c r="L1381" s="261">
        <f>AVERAGE(L1369:L1380)</f>
        <v>-8.0344666666666689E-2</v>
      </c>
    </row>
    <row r="1382" spans="1:12" hidden="1" outlineLevel="1" x14ac:dyDescent="0.25">
      <c r="A1382" s="849">
        <v>3.3300000000000003E-2</v>
      </c>
      <c r="B1382" s="740" t="s">
        <v>1993</v>
      </c>
      <c r="C1382" s="809">
        <v>54.69</v>
      </c>
      <c r="D1382" s="737">
        <f>24.85+59.64</f>
        <v>84.490000000000009</v>
      </c>
      <c r="E1382" s="742">
        <f t="shared" si="29"/>
        <v>0.54488937648564661</v>
      </c>
      <c r="F1382" s="946">
        <f t="shared" si="30"/>
        <v>1.8144816236972033E-2</v>
      </c>
      <c r="G1382" s="78"/>
      <c r="H1382" t="str">
        <f>VLOOKUP(B1382,indexy!$A$44:$D$232,3,FALSE)</f>
        <v>MO UN Equity</v>
      </c>
      <c r="I1382" s="39" t="s">
        <v>3533</v>
      </c>
      <c r="J1382" s="310" t="s">
        <v>1932</v>
      </c>
      <c r="L1382" s="261">
        <f>L1381*parametry!N68</f>
        <v>-5.7848160000000017E-2</v>
      </c>
    </row>
    <row r="1383" spans="1:12" hidden="1" outlineLevel="1" x14ac:dyDescent="0.25">
      <c r="A1383" s="849">
        <v>3.3300000000000003E-2</v>
      </c>
      <c r="B1383" s="740" t="s">
        <v>1994</v>
      </c>
      <c r="C1383" s="809">
        <v>46.01</v>
      </c>
      <c r="D1383" s="737">
        <v>12.12</v>
      </c>
      <c r="E1383" s="742">
        <f t="shared" si="29"/>
        <v>-0.73657900456422509</v>
      </c>
      <c r="F1383" s="946">
        <f t="shared" si="30"/>
        <v>-2.4528080851988699E-2</v>
      </c>
      <c r="G1383" s="78"/>
      <c r="H1383" t="str">
        <f>VLOOKUP(B1383,indexy!$A$44:$D$232,3,FALSE)</f>
        <v>BAC UN Equity</v>
      </c>
      <c r="J1383" s="248"/>
    </row>
    <row r="1384" spans="1:12" hidden="1" outlineLevel="1" x14ac:dyDescent="0.25">
      <c r="A1384" s="849">
        <v>3.3300000000000003E-2</v>
      </c>
      <c r="B1384" s="740" t="s">
        <v>1995</v>
      </c>
      <c r="C1384" s="809">
        <v>39.857999999999997</v>
      </c>
      <c r="D1384" s="737">
        <v>48.58</v>
      </c>
      <c r="E1384" s="742">
        <f t="shared" si="29"/>
        <v>0.21882683526519142</v>
      </c>
      <c r="F1384" s="946">
        <f t="shared" si="30"/>
        <v>7.286933614330875E-3</v>
      </c>
      <c r="G1384" s="78"/>
      <c r="H1384" t="str">
        <f>VLOOKUP(B1384,indexy!$A$44:$D$232,3,FALSE)</f>
        <v>ABT UN Equity</v>
      </c>
      <c r="J1384" s="248"/>
    </row>
    <row r="1385" spans="1:12" hidden="1" outlineLevel="1" x14ac:dyDescent="0.25">
      <c r="A1385" s="849">
        <v>3.3300000000000003E-2</v>
      </c>
      <c r="B1385" s="740" t="s">
        <v>255</v>
      </c>
      <c r="C1385" s="809">
        <v>28.42455</v>
      </c>
      <c r="D1385" s="737">
        <v>32.56</v>
      </c>
      <c r="E1385" s="742">
        <f t="shared" si="29"/>
        <v>0.14548867088485129</v>
      </c>
      <c r="F1385" s="946">
        <f t="shared" si="30"/>
        <v>4.844772740465548E-3</v>
      </c>
      <c r="G1385" s="78"/>
      <c r="H1385" t="str">
        <f>VLOOKUP(B1385,indexy!$A$44:$D$232,3,FALSE)</f>
        <v>VZ UN Equity</v>
      </c>
      <c r="J1385" s="248"/>
    </row>
    <row r="1386" spans="1:12" hidden="1" outlineLevel="1" x14ac:dyDescent="0.25">
      <c r="A1386" s="849">
        <v>3.3300000000000003E-2</v>
      </c>
      <c r="B1386" s="740" t="s">
        <v>507</v>
      </c>
      <c r="C1386" s="809">
        <v>18.785</v>
      </c>
      <c r="D1386" s="737">
        <v>22.135000000000002</v>
      </c>
      <c r="E1386" s="742">
        <f t="shared" si="29"/>
        <v>0.17833377694969399</v>
      </c>
      <c r="F1386" s="946">
        <f t="shared" si="30"/>
        <v>5.9385147724248105E-3</v>
      </c>
      <c r="G1386" s="78"/>
      <c r="H1386" t="str">
        <f>VLOOKUP(B1386,indexy!$A$44:$D$232,3,FALSE)</f>
        <v>UNA NA Equity</v>
      </c>
      <c r="J1386" s="248"/>
    </row>
    <row r="1387" spans="1:12" hidden="1" outlineLevel="1" x14ac:dyDescent="0.25">
      <c r="A1387" s="849">
        <v>3.3300000000000003E-2</v>
      </c>
      <c r="B1387" s="740" t="s">
        <v>3425</v>
      </c>
      <c r="C1387" s="809">
        <v>58.533000000000001</v>
      </c>
      <c r="D1387" s="737">
        <v>70.989999999999995</v>
      </c>
      <c r="E1387" s="742">
        <f t="shared" si="29"/>
        <v>0.21282011856559535</v>
      </c>
      <c r="F1387" s="946">
        <f t="shared" si="30"/>
        <v>7.0869099482343259E-3</v>
      </c>
      <c r="G1387" s="78"/>
      <c r="H1387" t="str">
        <f>VLOOKUP(B1387,indexy!$A$44:$D$232,3,FALSE)</f>
        <v>XOM UN Equity</v>
      </c>
      <c r="J1387" s="248"/>
      <c r="K1387" s="248"/>
    </row>
    <row r="1388" spans="1:12" hidden="1" outlineLevel="1" x14ac:dyDescent="0.25">
      <c r="A1388" s="849">
        <v>3.3300000000000003E-2</v>
      </c>
      <c r="B1388" s="740" t="s">
        <v>3426</v>
      </c>
      <c r="C1388" s="809">
        <v>62.378999999999998</v>
      </c>
      <c r="D1388" s="737">
        <v>63.67</v>
      </c>
      <c r="E1388" s="742">
        <f t="shared" si="29"/>
        <v>2.0696067586848166E-2</v>
      </c>
      <c r="F1388" s="946">
        <f t="shared" si="30"/>
        <v>6.8917905064204399E-4</v>
      </c>
      <c r="G1388" s="78"/>
      <c r="H1388" t="str">
        <f>VLOOKUP(B1388,indexy!$A$44:$D$232,3,FALSE)</f>
        <v>JNJ UN Equity</v>
      </c>
      <c r="J1388" s="248"/>
    </row>
    <row r="1389" spans="1:12" hidden="1" outlineLevel="1" x14ac:dyDescent="0.25">
      <c r="A1389" s="849">
        <v>3.3300000000000003E-2</v>
      </c>
      <c r="B1389" s="740" t="s">
        <v>1204</v>
      </c>
      <c r="C1389" s="809">
        <v>59.08</v>
      </c>
      <c r="D1389" s="737">
        <v>64.64</v>
      </c>
      <c r="E1389" s="742">
        <f t="shared" si="29"/>
        <v>9.4109681787406974E-2</v>
      </c>
      <c r="F1389" s="946">
        <f t="shared" si="30"/>
        <v>3.1338524035206526E-3</v>
      </c>
      <c r="G1389" s="78"/>
      <c r="H1389" t="str">
        <f>VLOOKUP(B1389,indexy!$A$44:$D$232,3,FALSE)</f>
        <v>PEP UW Equity</v>
      </c>
      <c r="J1389" s="248"/>
    </row>
    <row r="1390" spans="1:12" hidden="1" outlineLevel="1" x14ac:dyDescent="0.25">
      <c r="A1390" s="849">
        <v>3.3300000000000003E-2</v>
      </c>
      <c r="B1390" s="740" t="s">
        <v>1414</v>
      </c>
      <c r="C1390" s="809">
        <v>21.57</v>
      </c>
      <c r="D1390" s="737">
        <v>16.850000000000001</v>
      </c>
      <c r="E1390" s="742">
        <f t="shared" si="29"/>
        <v>-0.21882243857209083</v>
      </c>
      <c r="F1390" s="946">
        <f t="shared" si="30"/>
        <v>-7.2867872044506251E-3</v>
      </c>
      <c r="G1390" s="78"/>
      <c r="H1390" t="str">
        <f>VLOOKUP(B1390,indexy!$A$44:$D$232,3,FALSE)</f>
        <v>PFE UN Equity</v>
      </c>
      <c r="J1390" s="248"/>
    </row>
    <row r="1391" spans="1:12" hidden="1" outlineLevel="1" x14ac:dyDescent="0.25">
      <c r="A1391" s="849">
        <v>3.3300000000000003E-2</v>
      </c>
      <c r="B1391" s="740" t="s">
        <v>3427</v>
      </c>
      <c r="C1391" s="809">
        <v>34.633000000000003</v>
      </c>
      <c r="D1391" s="737">
        <v>38.090000000000003</v>
      </c>
      <c r="E1391" s="742">
        <f t="shared" si="29"/>
        <v>9.9818092570669537E-2</v>
      </c>
      <c r="F1391" s="946">
        <f t="shared" si="30"/>
        <v>3.3239424826032957E-3</v>
      </c>
      <c r="G1391" s="78"/>
      <c r="H1391" t="str">
        <f>VLOOKUP(B1391,indexy!$A$44:$D$232,3,FALSE)</f>
        <v>SO UN Equity</v>
      </c>
      <c r="J1391" s="248"/>
    </row>
    <row r="1392" spans="1:12" hidden="1" outlineLevel="1" x14ac:dyDescent="0.25">
      <c r="A1392" s="849">
        <v>3.3300000000000003E-2</v>
      </c>
      <c r="B1392" s="740" t="s">
        <v>872</v>
      </c>
      <c r="C1392" s="809">
        <v>345.08</v>
      </c>
      <c r="D1392" s="737">
        <v>350.5</v>
      </c>
      <c r="E1392" s="742">
        <f t="shared" si="29"/>
        <v>1.5706502839921255E-2</v>
      </c>
      <c r="F1392" s="946">
        <f t="shared" si="30"/>
        <v>5.2302654456937788E-4</v>
      </c>
      <c r="G1392" s="78"/>
      <c r="H1392" t="str">
        <f>VLOOKUP(B1392,indexy!$A$44:$D$232,3,FALSE)</f>
        <v>BA/ LN Equity</v>
      </c>
      <c r="J1392" s="248"/>
    </row>
    <row r="1393" spans="1:10" hidden="1" outlineLevel="1" x14ac:dyDescent="0.25">
      <c r="A1393" s="849">
        <v>3.3300000000000003E-2</v>
      </c>
      <c r="B1393" s="740" t="s">
        <v>873</v>
      </c>
      <c r="C1393" s="809">
        <v>589.73</v>
      </c>
      <c r="D1393" s="737">
        <v>280.5</v>
      </c>
      <c r="E1393" s="742">
        <f t="shared" si="29"/>
        <v>-0.52435860478524066</v>
      </c>
      <c r="F1393" s="946">
        <f t="shared" si="30"/>
        <v>-1.7461141539348517E-2</v>
      </c>
      <c r="G1393" s="78"/>
      <c r="H1393" t="str">
        <f>VLOOKUP(B1393,indexy!$A$44:$D$232,3,FALSE)</f>
        <v>BARC LN Equity</v>
      </c>
      <c r="J1393" s="248"/>
    </row>
    <row r="1394" spans="1:10" hidden="1" outlineLevel="1" x14ac:dyDescent="0.25">
      <c r="A1394" s="849">
        <v>3.3300000000000003E-2</v>
      </c>
      <c r="B1394" s="740" t="s">
        <v>874</v>
      </c>
      <c r="C1394" s="809">
        <v>218.75</v>
      </c>
      <c r="D1394" s="737">
        <v>238.7</v>
      </c>
      <c r="E1394" s="742">
        <f t="shared" si="29"/>
        <v>9.1199999999999948E-2</v>
      </c>
      <c r="F1394" s="946">
        <f t="shared" si="30"/>
        <v>3.0369599999999987E-3</v>
      </c>
      <c r="G1394" s="78"/>
      <c r="H1394" t="str">
        <f>VLOOKUP(B1394,indexy!$A$44:$D$232,3,FALSE)</f>
        <v>KGF LN Equity</v>
      </c>
      <c r="J1394" s="248"/>
    </row>
    <row r="1395" spans="1:10" hidden="1" outlineLevel="1" x14ac:dyDescent="0.25">
      <c r="A1395" s="849">
        <v>3.3300000000000003E-2</v>
      </c>
      <c r="B1395" s="740" t="s">
        <v>2786</v>
      </c>
      <c r="C1395" s="809">
        <v>489.92</v>
      </c>
      <c r="D1395" s="737">
        <v>587.5</v>
      </c>
      <c r="E1395" s="742">
        <f t="shared" si="29"/>
        <v>0.19917537557152176</v>
      </c>
      <c r="F1395" s="946">
        <f t="shared" si="30"/>
        <v>6.6325400065316755E-3</v>
      </c>
      <c r="G1395" s="78"/>
      <c r="H1395" t="str">
        <f>VLOOKUP(B1395,indexy!$A$44:$D$232,3,FALSE)</f>
        <v>NG/ LN Equity</v>
      </c>
      <c r="J1395" s="248"/>
    </row>
    <row r="1396" spans="1:10" hidden="1" outlineLevel="1" x14ac:dyDescent="0.25">
      <c r="A1396" s="849">
        <v>3.3300000000000003E-2</v>
      </c>
      <c r="B1396" s="740" t="s">
        <v>1203</v>
      </c>
      <c r="C1396" s="809">
        <v>65.017600000000002</v>
      </c>
      <c r="D1396" s="737">
        <v>71.2</v>
      </c>
      <c r="E1396" s="742">
        <f t="shared" si="29"/>
        <v>9.5088099222364386E-2</v>
      </c>
      <c r="F1396" s="946">
        <f t="shared" si="30"/>
        <v>3.1664337041047343E-3</v>
      </c>
      <c r="G1396" s="78"/>
      <c r="H1396" t="str">
        <f>VLOOKUP(B1396,indexy!$A$44:$D$232,3,FALSE)</f>
        <v>NDA SS Equity</v>
      </c>
      <c r="J1396" s="31"/>
    </row>
    <row r="1397" spans="1:10" hidden="1" outlineLevel="1" x14ac:dyDescent="0.25">
      <c r="A1397" s="739">
        <v>3.3300000000000003E-2</v>
      </c>
      <c r="B1397" s="746" t="s">
        <v>2787</v>
      </c>
      <c r="C1397" s="810">
        <v>70.63</v>
      </c>
      <c r="D1397" s="715">
        <v>54.7</v>
      </c>
      <c r="E1397" s="748">
        <f t="shared" si="29"/>
        <v>-0.22554155458020664</v>
      </c>
      <c r="F1397" s="1023">
        <f>E1397*A1397</f>
        <v>-7.5105337675208817E-3</v>
      </c>
      <c r="G1397" s="78"/>
      <c r="H1397" t="str">
        <f>VLOOKUP(B1397,indexy!$A$44:$D$232,3,FALSE)</f>
        <v>NOVN SE Equity</v>
      </c>
      <c r="J1397" s="31"/>
    </row>
    <row r="1398" spans="1:10" hidden="1" outlineLevel="1" x14ac:dyDescent="0.25">
      <c r="A1398" s="717"/>
      <c r="B1398" s="750"/>
      <c r="C1398" s="727"/>
      <c r="D1398" s="727"/>
      <c r="E1398" s="716"/>
      <c r="F1398" s="770">
        <f>SUM(F1368:F1397)</f>
        <v>-7.1033821825352464E-2</v>
      </c>
      <c r="G1398" s="78"/>
      <c r="J1398" s="31"/>
    </row>
    <row r="1399" spans="1:10" collapsed="1" x14ac:dyDescent="0.25">
      <c r="A1399" s="3801" t="s">
        <v>950</v>
      </c>
      <c r="B1399" s="3802"/>
      <c r="C1399" s="3802"/>
      <c r="D1399" s="3802"/>
      <c r="E1399" s="721"/>
      <c r="F1399" s="722">
        <f>MAX(F1398*parametry!N68,0)</f>
        <v>0</v>
      </c>
      <c r="G1399" s="97" t="s">
        <v>781</v>
      </c>
      <c r="J1399" s="31"/>
    </row>
    <row r="1400" spans="1:10" x14ac:dyDescent="0.25">
      <c r="A1400" s="39"/>
      <c r="B1400" s="1"/>
      <c r="C1400" s="1"/>
      <c r="D1400" s="1"/>
      <c r="E1400" s="1"/>
      <c r="F1400" s="1848"/>
      <c r="G1400" s="78"/>
      <c r="J1400" s="31"/>
    </row>
    <row r="1401" spans="1:10" hidden="1" outlineLevel="1" x14ac:dyDescent="0.25">
      <c r="A1401" s="689" t="s">
        <v>113</v>
      </c>
      <c r="B1401" s="689" t="s">
        <v>114</v>
      </c>
      <c r="C1401" s="689" t="s">
        <v>112</v>
      </c>
      <c r="D1401" s="689" t="s">
        <v>116</v>
      </c>
      <c r="E1401" s="689" t="s">
        <v>117</v>
      </c>
      <c r="F1401" s="1188" t="s">
        <v>121</v>
      </c>
      <c r="G1401" s="78"/>
      <c r="J1401" s="31"/>
    </row>
    <row r="1402" spans="1:10" hidden="1" outlineLevel="1" x14ac:dyDescent="0.25">
      <c r="A1402" s="846" t="s">
        <v>3567</v>
      </c>
      <c r="B1402" s="729" t="s">
        <v>115</v>
      </c>
      <c r="C1402" s="719">
        <v>3636.9639999999999</v>
      </c>
      <c r="D1402" s="719">
        <v>3734.48</v>
      </c>
      <c r="E1402" s="720">
        <f t="shared" ref="E1402:E1431" si="31">D1402/C1402-1</f>
        <v>2.6812473260664715E-2</v>
      </c>
      <c r="F1402" s="731">
        <v>0</v>
      </c>
      <c r="G1402" s="78"/>
      <c r="J1402" s="31"/>
    </row>
    <row r="1403" spans="1:10" hidden="1" outlineLevel="1" x14ac:dyDescent="0.25">
      <c r="A1403" s="846" t="s">
        <v>3568</v>
      </c>
      <c r="B1403" s="729" t="s">
        <v>115</v>
      </c>
      <c r="C1403" s="719">
        <v>3734.48</v>
      </c>
      <c r="D1403" s="719">
        <v>3833.48</v>
      </c>
      <c r="E1403" s="720">
        <f t="shared" si="31"/>
        <v>2.6509714873288903E-2</v>
      </c>
      <c r="F1403" s="731">
        <v>0</v>
      </c>
      <c r="G1403" s="78"/>
      <c r="J1403" s="31"/>
    </row>
    <row r="1404" spans="1:10" hidden="1" outlineLevel="1" x14ac:dyDescent="0.25">
      <c r="A1404" s="846" t="s">
        <v>1560</v>
      </c>
      <c r="B1404" s="729" t="s">
        <v>115</v>
      </c>
      <c r="C1404" s="719">
        <v>3833.48</v>
      </c>
      <c r="D1404" s="719">
        <v>3770.79</v>
      </c>
      <c r="E1404" s="720">
        <f t="shared" si="31"/>
        <v>-1.635328735248387E-2</v>
      </c>
      <c r="F1404" s="731">
        <v>-1.6400000000000001E-2</v>
      </c>
      <c r="G1404" s="78"/>
      <c r="J1404" s="31"/>
    </row>
    <row r="1405" spans="1:10" hidden="1" outlineLevel="1" x14ac:dyDescent="0.25">
      <c r="A1405" s="846" t="s">
        <v>4191</v>
      </c>
      <c r="B1405" s="729" t="s">
        <v>115</v>
      </c>
      <c r="C1405" s="719">
        <f>D1404</f>
        <v>3770.79</v>
      </c>
      <c r="D1405" s="719">
        <v>3711.16</v>
      </c>
      <c r="E1405" s="720">
        <f t="shared" si="31"/>
        <v>-1.5813662389048466E-2</v>
      </c>
      <c r="F1405" s="731">
        <v>-1.5800000000000002E-2</v>
      </c>
      <c r="G1405" s="78"/>
      <c r="J1405" s="31"/>
    </row>
    <row r="1406" spans="1:10" hidden="1" outlineLevel="1" x14ac:dyDescent="0.25">
      <c r="A1406" s="846" t="s">
        <v>4192</v>
      </c>
      <c r="B1406" s="729" t="s">
        <v>115</v>
      </c>
      <c r="C1406" s="719">
        <v>3711.16</v>
      </c>
      <c r="D1406" s="719">
        <v>3414.21</v>
      </c>
      <c r="E1406" s="720">
        <f t="shared" si="31"/>
        <v>-8.0015412970607547E-2</v>
      </c>
      <c r="F1406" s="731">
        <v>-0.08</v>
      </c>
      <c r="G1406" s="78"/>
      <c r="J1406" s="31"/>
    </row>
    <row r="1407" spans="1:10" hidden="1" outlineLevel="1" x14ac:dyDescent="0.25">
      <c r="A1407" s="846" t="s">
        <v>2229</v>
      </c>
      <c r="B1407" s="729" t="s">
        <v>115</v>
      </c>
      <c r="C1407" s="719">
        <v>3414.21</v>
      </c>
      <c r="D1407" s="719">
        <v>3508.25</v>
      </c>
      <c r="E1407" s="720">
        <f t="shared" si="31"/>
        <v>2.7543707036181031E-2</v>
      </c>
      <c r="F1407" s="731">
        <v>0</v>
      </c>
      <c r="G1407" s="78"/>
      <c r="J1407" s="31"/>
    </row>
    <row r="1408" spans="1:10" hidden="1" outlineLevel="1" x14ac:dyDescent="0.25">
      <c r="A1408" s="846" t="s">
        <v>2230</v>
      </c>
      <c r="B1408" s="729" t="s">
        <v>115</v>
      </c>
      <c r="C1408" s="719">
        <v>3508.25</v>
      </c>
      <c r="D1408" s="719">
        <v>3719.11</v>
      </c>
      <c r="E1408" s="720">
        <f t="shared" si="31"/>
        <v>6.0104040476020915E-2</v>
      </c>
      <c r="F1408" s="731">
        <v>0</v>
      </c>
      <c r="G1408" s="78"/>
      <c r="J1408" s="31"/>
    </row>
    <row r="1409" spans="1:10" hidden="1" outlineLevel="1" x14ac:dyDescent="0.25">
      <c r="A1409" s="846" t="s">
        <v>785</v>
      </c>
      <c r="B1409" s="729" t="s">
        <v>115</v>
      </c>
      <c r="C1409" s="719">
        <v>3719.11</v>
      </c>
      <c r="D1409" s="719">
        <v>3796.59</v>
      </c>
      <c r="E1409" s="720">
        <f t="shared" si="31"/>
        <v>2.0832941214430356E-2</v>
      </c>
      <c r="F1409" s="731">
        <v>0</v>
      </c>
      <c r="G1409" s="78"/>
      <c r="J1409" s="31"/>
    </row>
    <row r="1410" spans="1:10" hidden="1" outlineLevel="1" x14ac:dyDescent="0.25">
      <c r="A1410" s="846" t="s">
        <v>786</v>
      </c>
      <c r="B1410" s="729" t="s">
        <v>115</v>
      </c>
      <c r="C1410" s="719">
        <v>3796.59</v>
      </c>
      <c r="D1410" s="719">
        <v>3999.07</v>
      </c>
      <c r="E1410" s="720">
        <f t="shared" si="31"/>
        <v>5.3332069040902486E-2</v>
      </c>
      <c r="F1410" s="731">
        <v>0</v>
      </c>
      <c r="G1410" s="78"/>
      <c r="J1410" s="31"/>
    </row>
    <row r="1411" spans="1:10" hidden="1" outlineLevel="1" x14ac:dyDescent="0.25">
      <c r="A1411" s="846" t="s">
        <v>787</v>
      </c>
      <c r="B1411" s="729" t="s">
        <v>115</v>
      </c>
      <c r="C1411" s="719">
        <v>3999.07</v>
      </c>
      <c r="D1411" s="719">
        <v>4084.33</v>
      </c>
      <c r="E1411" s="720">
        <f t="shared" si="31"/>
        <v>2.1319956889976899E-2</v>
      </c>
      <c r="F1411" s="731">
        <v>0</v>
      </c>
      <c r="G1411" s="78"/>
      <c r="J1411" s="31"/>
    </row>
    <row r="1412" spans="1:10" hidden="1" outlineLevel="1" x14ac:dyDescent="0.25">
      <c r="A1412" s="846" t="s">
        <v>3234</v>
      </c>
      <c r="B1412" s="729" t="s">
        <v>115</v>
      </c>
      <c r="C1412" s="719">
        <v>4084.33</v>
      </c>
      <c r="D1412" s="719">
        <v>4118.84</v>
      </c>
      <c r="E1412" s="720">
        <f t="shared" si="31"/>
        <v>8.4493662363227529E-3</v>
      </c>
      <c r="F1412" s="731">
        <v>0</v>
      </c>
      <c r="G1412" s="78"/>
      <c r="J1412" s="31"/>
    </row>
    <row r="1413" spans="1:10" hidden="1" outlineLevel="1" x14ac:dyDescent="0.25">
      <c r="A1413" s="846" t="s">
        <v>265</v>
      </c>
      <c r="B1413" s="729" t="s">
        <v>115</v>
      </c>
      <c r="C1413" s="719">
        <v>4118.84</v>
      </c>
      <c r="D1413" s="719">
        <v>4187.3599999999997</v>
      </c>
      <c r="E1413" s="720">
        <f t="shared" si="31"/>
        <v>1.6635751813617317E-2</v>
      </c>
      <c r="F1413" s="731">
        <v>0</v>
      </c>
      <c r="G1413" s="78"/>
      <c r="J1413" s="31"/>
    </row>
    <row r="1414" spans="1:10" hidden="1" outlineLevel="1" x14ac:dyDescent="0.25">
      <c r="A1414" s="846" t="s">
        <v>3598</v>
      </c>
      <c r="B1414" s="729" t="s">
        <v>115</v>
      </c>
      <c r="C1414" s="719">
        <v>4187.3599999999997</v>
      </c>
      <c r="D1414" s="719">
        <v>4267.0200000000004</v>
      </c>
      <c r="E1414" s="720">
        <f t="shared" si="31"/>
        <v>1.9023919605670514E-2</v>
      </c>
      <c r="F1414" s="731">
        <v>0</v>
      </c>
      <c r="G1414" s="78"/>
      <c r="J1414" s="31"/>
    </row>
    <row r="1415" spans="1:10" hidden="1" outlineLevel="1" x14ac:dyDescent="0.25">
      <c r="A1415" s="846" t="s">
        <v>798</v>
      </c>
      <c r="B1415" s="729" t="s">
        <v>115</v>
      </c>
      <c r="C1415" s="719">
        <v>4267.0200000000004</v>
      </c>
      <c r="D1415" s="719">
        <v>3906.15</v>
      </c>
      <c r="E1415" s="720">
        <f t="shared" si="31"/>
        <v>-8.4571902639312801E-2</v>
      </c>
      <c r="F1415" s="731">
        <v>-8.4599999999999995E-2</v>
      </c>
      <c r="G1415" s="78"/>
      <c r="J1415" s="31"/>
    </row>
    <row r="1416" spans="1:10" hidden="1" outlineLevel="1" x14ac:dyDescent="0.25">
      <c r="A1416" s="846" t="s">
        <v>2167</v>
      </c>
      <c r="B1416" s="729" t="s">
        <v>115</v>
      </c>
      <c r="C1416" s="719">
        <v>3906.15</v>
      </c>
      <c r="D1416" s="719">
        <v>4384.38</v>
      </c>
      <c r="E1416" s="720">
        <f t="shared" si="31"/>
        <v>0.12243001420836364</v>
      </c>
      <c r="F1416" s="731">
        <v>0</v>
      </c>
      <c r="G1416" s="78"/>
      <c r="J1416" s="31"/>
    </row>
    <row r="1417" spans="1:10" hidden="1" outlineLevel="1" x14ac:dyDescent="0.25">
      <c r="A1417" s="846" t="s">
        <v>3100</v>
      </c>
      <c r="B1417" s="729" t="s">
        <v>115</v>
      </c>
      <c r="C1417" s="719">
        <v>4384.38</v>
      </c>
      <c r="D1417" s="719">
        <v>4441.03</v>
      </c>
      <c r="E1417" s="720">
        <f t="shared" si="31"/>
        <v>1.2920869085252473E-2</v>
      </c>
      <c r="F1417" s="731">
        <v>0</v>
      </c>
      <c r="G1417" s="78"/>
      <c r="J1417" s="31"/>
    </row>
    <row r="1418" spans="1:10" hidden="1" outlineLevel="1" x14ac:dyDescent="0.25">
      <c r="A1418" s="846" t="s">
        <v>3101</v>
      </c>
      <c r="B1418" s="729" t="s">
        <v>115</v>
      </c>
      <c r="C1418" s="719">
        <v>4441.03</v>
      </c>
      <c r="D1418" s="719">
        <v>4485.04</v>
      </c>
      <c r="E1418" s="720">
        <f t="shared" si="31"/>
        <v>9.9098632524436958E-3</v>
      </c>
      <c r="F1418" s="731">
        <v>0</v>
      </c>
      <c r="G1418" s="78"/>
      <c r="J1418" s="31"/>
    </row>
    <row r="1419" spans="1:10" hidden="1" outlineLevel="1" x14ac:dyDescent="0.25">
      <c r="A1419" s="846" t="s">
        <v>3102</v>
      </c>
      <c r="B1419" s="729" t="s">
        <v>115</v>
      </c>
      <c r="C1419" s="719">
        <v>4485.04</v>
      </c>
      <c r="D1419" s="719">
        <v>4542.57</v>
      </c>
      <c r="E1419" s="720">
        <f t="shared" si="31"/>
        <v>1.2827087383836089E-2</v>
      </c>
      <c r="F1419" s="731">
        <v>0</v>
      </c>
      <c r="G1419" s="78"/>
      <c r="J1419" s="31"/>
    </row>
    <row r="1420" spans="1:10" hidden="1" outlineLevel="1" x14ac:dyDescent="0.25">
      <c r="A1420" s="846" t="s">
        <v>3481</v>
      </c>
      <c r="B1420" s="729" t="s">
        <v>115</v>
      </c>
      <c r="C1420" s="719">
        <v>4542.57</v>
      </c>
      <c r="D1420" s="719">
        <v>4195.6000000000004</v>
      </c>
      <c r="E1420" s="720">
        <f t="shared" si="31"/>
        <v>-7.6381871935930379E-2</v>
      </c>
      <c r="F1420" s="731">
        <v>-7.6399999999999996E-2</v>
      </c>
      <c r="G1420" s="78"/>
      <c r="J1420" s="31"/>
    </row>
    <row r="1421" spans="1:10" hidden="1" outlineLevel="1" x14ac:dyDescent="0.25">
      <c r="A1421" s="846" t="s">
        <v>3482</v>
      </c>
      <c r="B1421" s="729" t="s">
        <v>115</v>
      </c>
      <c r="C1421" s="719">
        <v>4195.6000000000004</v>
      </c>
      <c r="D1421" s="719">
        <v>4221.34</v>
      </c>
      <c r="E1421" s="720">
        <f t="shared" si="31"/>
        <v>6.1349985699303833E-3</v>
      </c>
      <c r="F1421" s="731">
        <v>0</v>
      </c>
      <c r="G1421" s="78"/>
      <c r="J1421" s="31"/>
    </row>
    <row r="1422" spans="1:10" hidden="1" outlineLevel="1" x14ac:dyDescent="0.25">
      <c r="A1422" s="846" t="s">
        <v>2062</v>
      </c>
      <c r="B1422" s="729" t="s">
        <v>115</v>
      </c>
      <c r="C1422" s="719">
        <v>4221.34</v>
      </c>
      <c r="D1422" s="719">
        <v>4476.0200000000004</v>
      </c>
      <c r="E1422" s="720">
        <f t="shared" si="31"/>
        <v>6.0331553487755096E-2</v>
      </c>
      <c r="F1422" s="731">
        <v>0</v>
      </c>
      <c r="G1422" s="78"/>
      <c r="J1422" s="31"/>
    </row>
    <row r="1423" spans="1:10" hidden="1" outlineLevel="1" x14ac:dyDescent="0.25">
      <c r="A1423" s="846" t="s">
        <v>2063</v>
      </c>
      <c r="B1423" s="729" t="s">
        <v>115</v>
      </c>
      <c r="C1423" s="719">
        <v>4476.0200000000004</v>
      </c>
      <c r="D1423" s="719">
        <v>4338.28</v>
      </c>
      <c r="E1423" s="720">
        <f t="shared" si="31"/>
        <v>-3.0772874115844173E-2</v>
      </c>
      <c r="F1423" s="731">
        <f>E1423</f>
        <v>-3.0772874115844173E-2</v>
      </c>
      <c r="G1423" s="78"/>
      <c r="J1423" s="31"/>
    </row>
    <row r="1424" spans="1:10" hidden="1" outlineLevel="1" x14ac:dyDescent="0.25">
      <c r="A1424" s="846" t="s">
        <v>4194</v>
      </c>
      <c r="B1424" s="729" t="s">
        <v>115</v>
      </c>
      <c r="C1424" s="719">
        <v>4338.28</v>
      </c>
      <c r="D1424" s="719">
        <v>4384.6499999999996</v>
      </c>
      <c r="E1424" s="720">
        <f t="shared" si="31"/>
        <v>1.0688567819504557E-2</v>
      </c>
      <c r="F1424" s="731">
        <v>0</v>
      </c>
      <c r="G1424" s="78"/>
      <c r="J1424" s="31"/>
    </row>
    <row r="1425" spans="1:10" hidden="1" outlineLevel="1" x14ac:dyDescent="0.25">
      <c r="A1425" s="846" t="s">
        <v>2511</v>
      </c>
      <c r="B1425" s="729" t="s">
        <v>115</v>
      </c>
      <c r="C1425" s="719">
        <v>4384.6499999999996</v>
      </c>
      <c r="D1425" s="719">
        <v>4140.9399999999996</v>
      </c>
      <c r="E1425" s="720">
        <f t="shared" si="31"/>
        <v>-5.5582543646585214E-2</v>
      </c>
      <c r="F1425" s="731">
        <f>E1425</f>
        <v>-5.5582543646585214E-2</v>
      </c>
      <c r="G1425" s="78"/>
      <c r="J1425" s="31"/>
    </row>
    <row r="1426" spans="1:10" hidden="1" outlineLevel="1" x14ac:dyDescent="0.25">
      <c r="A1426" s="846" t="s">
        <v>2512</v>
      </c>
      <c r="B1426" s="729" t="s">
        <v>115</v>
      </c>
      <c r="C1426" s="719">
        <v>4140.9399999999996</v>
      </c>
      <c r="D1426" s="719">
        <v>3797.89</v>
      </c>
      <c r="E1426" s="720">
        <f t="shared" si="31"/>
        <v>-8.2843508961733314E-2</v>
      </c>
      <c r="F1426" s="731">
        <f>E1426</f>
        <v>-8.2843508961733314E-2</v>
      </c>
      <c r="G1426" s="78"/>
      <c r="J1426" s="31"/>
    </row>
    <row r="1427" spans="1:10" hidden="1" outlineLevel="1" x14ac:dyDescent="0.25">
      <c r="A1427" s="846" t="s">
        <v>2513</v>
      </c>
      <c r="B1427" s="729" t="s">
        <v>115</v>
      </c>
      <c r="C1427" s="719">
        <v>3797.89</v>
      </c>
      <c r="D1427" s="719">
        <v>3566.59</v>
      </c>
      <c r="E1427" s="720">
        <f t="shared" si="31"/>
        <v>-6.090223782152715E-2</v>
      </c>
      <c r="F1427" s="731">
        <f>E1427</f>
        <v>-6.090223782152715E-2</v>
      </c>
      <c r="G1427" s="78"/>
      <c r="J1427" s="31"/>
    </row>
    <row r="1428" spans="1:10" hidden="1" outlineLevel="1" x14ac:dyDescent="0.25">
      <c r="A1428" s="846" t="s">
        <v>2514</v>
      </c>
      <c r="B1428" s="729" t="s">
        <v>115</v>
      </c>
      <c r="C1428" s="719">
        <v>3566.59</v>
      </c>
      <c r="D1428" s="719">
        <v>3671.28</v>
      </c>
      <c r="E1428" s="720">
        <f t="shared" si="31"/>
        <v>2.9352967400233743E-2</v>
      </c>
      <c r="F1428" s="731">
        <v>0</v>
      </c>
      <c r="G1428" s="78"/>
      <c r="J1428" s="31"/>
    </row>
    <row r="1429" spans="1:10" hidden="1" outlineLevel="1" x14ac:dyDescent="0.25">
      <c r="A1429" s="846" t="s">
        <v>988</v>
      </c>
      <c r="B1429" s="729" t="s">
        <v>115</v>
      </c>
      <c r="C1429" s="719">
        <v>3671.28</v>
      </c>
      <c r="D1429" s="719">
        <v>3854.86</v>
      </c>
      <c r="E1429" s="720">
        <f t="shared" si="31"/>
        <v>5.0004358153014739E-2</v>
      </c>
      <c r="F1429" s="731">
        <v>0</v>
      </c>
      <c r="G1429" s="78"/>
      <c r="J1429" s="31"/>
    </row>
    <row r="1430" spans="1:10" hidden="1" outlineLevel="1" x14ac:dyDescent="0.25">
      <c r="A1430" s="846" t="s">
        <v>989</v>
      </c>
      <c r="B1430" s="729" t="s">
        <v>115</v>
      </c>
      <c r="C1430" s="719">
        <v>3854.86</v>
      </c>
      <c r="D1430" s="719">
        <v>3562.67</v>
      </c>
      <c r="E1430" s="720">
        <f t="shared" si="31"/>
        <v>-7.5797824045490625E-2</v>
      </c>
      <c r="F1430" s="731">
        <f>E1430</f>
        <v>-7.5797824045490625E-2</v>
      </c>
      <c r="G1430" s="78"/>
      <c r="J1430" s="31"/>
    </row>
    <row r="1431" spans="1:10" hidden="1" outlineLevel="1" x14ac:dyDescent="0.25">
      <c r="A1431" s="846" t="s">
        <v>990</v>
      </c>
      <c r="B1431" s="729" t="s">
        <v>115</v>
      </c>
      <c r="C1431" s="719">
        <v>3562.67</v>
      </c>
      <c r="D1431" s="719">
        <v>3216.24</v>
      </c>
      <c r="E1431" s="720">
        <f t="shared" si="31"/>
        <v>-9.7238868601357997E-2</v>
      </c>
      <c r="F1431" s="731">
        <f>E1431</f>
        <v>-9.7238868601357997E-2</v>
      </c>
      <c r="G1431" s="78"/>
      <c r="J1431" s="31"/>
    </row>
    <row r="1432" spans="1:10" hidden="1" outlineLevel="1" x14ac:dyDescent="0.25">
      <c r="A1432" s="846" t="s">
        <v>991</v>
      </c>
      <c r="B1432" s="729" t="s">
        <v>115</v>
      </c>
      <c r="C1432" s="719">
        <v>3216.24</v>
      </c>
      <c r="D1432" s="719"/>
      <c r="E1432" s="729"/>
      <c r="F1432" s="731"/>
      <c r="G1432" s="78"/>
      <c r="J1432" s="31"/>
    </row>
    <row r="1433" spans="1:10" hidden="1" outlineLevel="1" x14ac:dyDescent="0.25">
      <c r="A1433" s="846" t="s">
        <v>2097</v>
      </c>
      <c r="B1433" s="729" t="s">
        <v>115</v>
      </c>
      <c r="C1433" s="719"/>
      <c r="D1433" s="719"/>
      <c r="E1433" s="729"/>
      <c r="F1433" s="731"/>
      <c r="G1433" s="78"/>
      <c r="J1433" s="31"/>
    </row>
    <row r="1434" spans="1:10" hidden="1" outlineLevel="1" x14ac:dyDescent="0.25">
      <c r="A1434" s="846" t="s">
        <v>2098</v>
      </c>
      <c r="B1434" s="729" t="s">
        <v>115</v>
      </c>
      <c r="C1434" s="719"/>
      <c r="D1434" s="719"/>
      <c r="E1434" s="729"/>
      <c r="F1434" s="731"/>
      <c r="G1434" s="78"/>
      <c r="J1434" s="31"/>
    </row>
    <row r="1435" spans="1:10" hidden="1" outlineLevel="1" x14ac:dyDescent="0.25">
      <c r="A1435" s="846" t="s">
        <v>2099</v>
      </c>
      <c r="B1435" s="729" t="s">
        <v>115</v>
      </c>
      <c r="C1435" s="719"/>
      <c r="D1435" s="719"/>
      <c r="E1435" s="729"/>
      <c r="F1435" s="731"/>
      <c r="G1435" s="78"/>
      <c r="J1435" s="31"/>
    </row>
    <row r="1436" spans="1:10" hidden="1" outlineLevel="1" x14ac:dyDescent="0.25">
      <c r="A1436" s="846" t="s">
        <v>2100</v>
      </c>
      <c r="B1436" s="729" t="s">
        <v>2552</v>
      </c>
      <c r="C1436" s="719"/>
      <c r="D1436" s="719"/>
      <c r="E1436" s="729"/>
      <c r="F1436" s="731"/>
      <c r="G1436" s="78"/>
      <c r="J1436" s="31"/>
    </row>
    <row r="1437" spans="1:10" hidden="1" outlineLevel="1" x14ac:dyDescent="0.25">
      <c r="A1437" s="846" t="s">
        <v>2101</v>
      </c>
      <c r="B1437" s="729" t="s">
        <v>2553</v>
      </c>
      <c r="C1437" s="719"/>
      <c r="D1437" s="719"/>
      <c r="E1437" s="729"/>
      <c r="F1437" s="731"/>
      <c r="G1437" s="78"/>
      <c r="J1437" s="31"/>
    </row>
    <row r="1438" spans="1:10" hidden="1" outlineLevel="1" x14ac:dyDescent="0.25">
      <c r="A1438" s="846" t="s">
        <v>2993</v>
      </c>
      <c r="B1438" s="729" t="s">
        <v>2554</v>
      </c>
      <c r="C1438" s="719"/>
      <c r="D1438" s="719"/>
      <c r="E1438" s="729"/>
      <c r="F1438" s="731"/>
      <c r="G1438" s="78"/>
      <c r="J1438" s="31"/>
    </row>
    <row r="1439" spans="1:10" hidden="1" outlineLevel="1" x14ac:dyDescent="0.25">
      <c r="A1439" s="846" t="s">
        <v>2994</v>
      </c>
      <c r="B1439" s="729" t="s">
        <v>2555</v>
      </c>
      <c r="C1439" s="719"/>
      <c r="D1439" s="719"/>
      <c r="E1439" s="729"/>
      <c r="F1439" s="731"/>
      <c r="G1439" s="78"/>
      <c r="J1439" s="31"/>
    </row>
    <row r="1440" spans="1:10" hidden="1" outlineLevel="1" x14ac:dyDescent="0.25">
      <c r="A1440" s="846" t="s">
        <v>2995</v>
      </c>
      <c r="B1440" s="729" t="s">
        <v>2556</v>
      </c>
      <c r="C1440" s="719"/>
      <c r="D1440" s="719"/>
      <c r="E1440" s="729"/>
      <c r="F1440" s="731"/>
      <c r="G1440" s="78"/>
      <c r="J1440" s="31"/>
    </row>
    <row r="1441" spans="1:10" hidden="1" outlineLevel="1" x14ac:dyDescent="0.25">
      <c r="A1441" s="846" t="s">
        <v>2996</v>
      </c>
      <c r="B1441" s="729" t="s">
        <v>2557</v>
      </c>
      <c r="C1441" s="719"/>
      <c r="D1441" s="719"/>
      <c r="E1441" s="729"/>
      <c r="F1441" s="731"/>
      <c r="G1441" s="78"/>
      <c r="J1441" s="31"/>
    </row>
    <row r="1442" spans="1:10" hidden="1" outlineLevel="1" x14ac:dyDescent="0.25">
      <c r="A1442" s="846" t="s">
        <v>671</v>
      </c>
      <c r="B1442" s="729" t="s">
        <v>3280</v>
      </c>
      <c r="C1442" s="719"/>
      <c r="D1442" s="719"/>
      <c r="E1442" s="729"/>
      <c r="F1442" s="731"/>
      <c r="G1442" s="78"/>
      <c r="J1442" s="31"/>
    </row>
    <row r="1443" spans="1:10" hidden="1" outlineLevel="1" x14ac:dyDescent="0.25">
      <c r="A1443" s="846" t="s">
        <v>672</v>
      </c>
      <c r="B1443" s="729" t="s">
        <v>3281</v>
      </c>
      <c r="C1443" s="719"/>
      <c r="D1443" s="719"/>
      <c r="E1443" s="729"/>
      <c r="F1443" s="731"/>
      <c r="G1443" s="78"/>
      <c r="J1443" s="31"/>
    </row>
    <row r="1444" spans="1:10" collapsed="1" x14ac:dyDescent="0.25">
      <c r="A1444" s="3801" t="s">
        <v>3709</v>
      </c>
      <c r="B1444" s="3802"/>
      <c r="C1444" s="3802"/>
      <c r="D1444" s="3802"/>
      <c r="E1444" s="721"/>
      <c r="F1444" s="722">
        <f>IF(50%+SUM(F1402:F1443)&gt;0,"(50%+SUMA(F2038:F2073)",0)</f>
        <v>0</v>
      </c>
      <c r="G1444" s="97" t="s">
        <v>781</v>
      </c>
      <c r="J1444" s="31"/>
    </row>
    <row r="1445" spans="1:10" x14ac:dyDescent="0.25">
      <c r="A1445" s="1"/>
      <c r="B1445" s="1"/>
      <c r="C1445" s="1"/>
      <c r="D1445" s="1"/>
      <c r="E1445" s="1"/>
      <c r="F1445" s="1848"/>
      <c r="G1445" s="78"/>
      <c r="J1445" s="31"/>
    </row>
    <row r="1446" spans="1:10" hidden="1" outlineLevel="1" x14ac:dyDescent="0.25">
      <c r="A1446" s="689" t="s">
        <v>113</v>
      </c>
      <c r="B1446" s="689" t="s">
        <v>114</v>
      </c>
      <c r="C1446" s="689" t="s">
        <v>112</v>
      </c>
      <c r="D1446" s="689" t="s">
        <v>116</v>
      </c>
      <c r="E1446" s="689" t="s">
        <v>117</v>
      </c>
      <c r="F1446" s="1188" t="s">
        <v>121</v>
      </c>
      <c r="G1446" s="78"/>
      <c r="J1446" s="31"/>
    </row>
    <row r="1447" spans="1:10" hidden="1" outlineLevel="1" x14ac:dyDescent="0.25">
      <c r="A1447" s="753" t="s">
        <v>673</v>
      </c>
      <c r="B1447" s="691" t="s">
        <v>115</v>
      </c>
      <c r="C1447" s="793">
        <v>3636.9639999999999</v>
      </c>
      <c r="D1447" s="692">
        <v>3625.163</v>
      </c>
      <c r="E1447" s="3813">
        <v>-1.09E-2</v>
      </c>
      <c r="F1447" s="3816">
        <v>-1.09E-2</v>
      </c>
      <c r="G1447" s="78"/>
      <c r="J1447" s="31"/>
    </row>
    <row r="1448" spans="1:10" hidden="1" outlineLevel="1" x14ac:dyDescent="0.25">
      <c r="A1448" s="754" t="s">
        <v>673</v>
      </c>
      <c r="B1448" s="726" t="s">
        <v>760</v>
      </c>
      <c r="C1448" s="794">
        <v>1284.0530000000001</v>
      </c>
      <c r="D1448" s="727">
        <v>1260.21</v>
      </c>
      <c r="E1448" s="3815"/>
      <c r="F1448" s="3818"/>
      <c r="G1448" s="78"/>
      <c r="J1448" s="31"/>
    </row>
    <row r="1449" spans="1:10" hidden="1" outlineLevel="1" x14ac:dyDescent="0.25">
      <c r="A1449" s="753" t="s">
        <v>674</v>
      </c>
      <c r="B1449" s="691" t="s">
        <v>115</v>
      </c>
      <c r="C1449" s="692">
        <v>3625.163</v>
      </c>
      <c r="D1449" s="692">
        <v>4154.9279999999999</v>
      </c>
      <c r="E1449" s="3813">
        <v>0.1366</v>
      </c>
      <c r="F1449" s="3816">
        <v>3.5000000000000003E-2</v>
      </c>
      <c r="G1449" s="78"/>
      <c r="J1449" s="31"/>
    </row>
    <row r="1450" spans="1:10" hidden="1" outlineLevel="1" x14ac:dyDescent="0.25">
      <c r="A1450" s="754" t="s">
        <v>674</v>
      </c>
      <c r="B1450" s="726" t="s">
        <v>760</v>
      </c>
      <c r="C1450" s="727">
        <v>1260.21</v>
      </c>
      <c r="D1450" s="727">
        <v>1420.155</v>
      </c>
      <c r="E1450" s="3815"/>
      <c r="F1450" s="3818"/>
      <c r="G1450" s="78"/>
      <c r="J1450" s="31"/>
    </row>
    <row r="1451" spans="1:10" hidden="1" outlineLevel="1" x14ac:dyDescent="0.25">
      <c r="A1451" s="753" t="s">
        <v>419</v>
      </c>
      <c r="B1451" s="691" t="s">
        <v>115</v>
      </c>
      <c r="C1451" s="692">
        <v>4154.9279999999999</v>
      </c>
      <c r="D1451" s="692">
        <v>4503.4530000000004</v>
      </c>
      <c r="E1451" s="3813">
        <f>(0.5*(D1451/C1451)+0.5*(D1452/C1452))-1</f>
        <v>8.0987602104932943E-2</v>
      </c>
      <c r="F1451" s="3816">
        <v>3.5000000000000003E-2</v>
      </c>
      <c r="G1451" s="78"/>
      <c r="J1451" s="31"/>
    </row>
    <row r="1452" spans="1:10" hidden="1" outlineLevel="1" x14ac:dyDescent="0.25">
      <c r="A1452" s="754" t="s">
        <v>419</v>
      </c>
      <c r="B1452" s="726" t="s">
        <v>760</v>
      </c>
      <c r="C1452" s="727">
        <v>1420.155</v>
      </c>
      <c r="D1452" s="727">
        <v>1531.059</v>
      </c>
      <c r="E1452" s="3815"/>
      <c r="F1452" s="3818"/>
      <c r="G1452" s="78"/>
      <c r="J1452" s="31"/>
    </row>
    <row r="1453" spans="1:10" hidden="1" outlineLevel="1" x14ac:dyDescent="0.25">
      <c r="A1453" s="753" t="s">
        <v>420</v>
      </c>
      <c r="B1453" s="691" t="s">
        <v>115</v>
      </c>
      <c r="C1453" s="692">
        <v>4503.4530000000004</v>
      </c>
      <c r="D1453" s="692">
        <v>4262.0649999999996</v>
      </c>
      <c r="E1453" s="3813">
        <f>(0.5*(D1453/C1453)+0.5*(D1454/C1454))-1</f>
        <v>-6.5028439417893935E-2</v>
      </c>
      <c r="F1453" s="3816">
        <v>-0.03</v>
      </c>
      <c r="G1453" s="78"/>
      <c r="J1453" s="31"/>
    </row>
    <row r="1454" spans="1:10" hidden="1" outlineLevel="1" x14ac:dyDescent="0.25">
      <c r="A1454" s="754" t="s">
        <v>420</v>
      </c>
      <c r="B1454" s="726" t="s">
        <v>760</v>
      </c>
      <c r="C1454" s="727">
        <v>1531.059</v>
      </c>
      <c r="D1454" s="727">
        <v>1414</v>
      </c>
      <c r="E1454" s="3815"/>
      <c r="F1454" s="3818"/>
      <c r="G1454" s="78"/>
      <c r="J1454" s="31"/>
    </row>
    <row r="1455" spans="1:10" hidden="1" outlineLevel="1" x14ac:dyDescent="0.25">
      <c r="A1455" s="753" t="s">
        <v>421</v>
      </c>
      <c r="B1455" s="691" t="s">
        <v>115</v>
      </c>
      <c r="C1455" s="696">
        <v>4262.07</v>
      </c>
      <c r="D1455" s="696">
        <v>3284.7249999999999</v>
      </c>
      <c r="E1455" s="3813">
        <v>-0.1739</v>
      </c>
      <c r="F1455" s="3816">
        <v>-0.03</v>
      </c>
      <c r="G1455" s="78"/>
      <c r="J1455" s="31"/>
    </row>
    <row r="1456" spans="1:10" hidden="1" outlineLevel="1" x14ac:dyDescent="0.25">
      <c r="A1456" s="754" t="s">
        <v>421</v>
      </c>
      <c r="B1456" s="695" t="s">
        <v>760</v>
      </c>
      <c r="C1456" s="727">
        <v>1414</v>
      </c>
      <c r="D1456" s="696">
        <v>1251.6120000000001</v>
      </c>
      <c r="E1456" s="3815"/>
      <c r="F1456" s="3818"/>
      <c r="G1456" s="78"/>
      <c r="J1456" s="31"/>
    </row>
    <row r="1457" spans="1:10" hidden="1" outlineLevel="1" x14ac:dyDescent="0.25">
      <c r="A1457" s="753" t="s">
        <v>422</v>
      </c>
      <c r="B1457" s="691" t="s">
        <v>115</v>
      </c>
      <c r="C1457" s="692">
        <v>3284.7249999999999</v>
      </c>
      <c r="D1457" s="691">
        <v>2462.9290000000001</v>
      </c>
      <c r="E1457" s="3813">
        <v>-0.26910000000000001</v>
      </c>
      <c r="F1457" s="3816">
        <v>-0.03</v>
      </c>
      <c r="G1457" s="78"/>
      <c r="J1457" s="31"/>
    </row>
    <row r="1458" spans="1:10" hidden="1" outlineLevel="1" x14ac:dyDescent="0.25">
      <c r="A1458" s="754" t="s">
        <v>422</v>
      </c>
      <c r="B1458" s="726" t="s">
        <v>760</v>
      </c>
      <c r="C1458" s="727">
        <v>1251.6120000000001</v>
      </c>
      <c r="D1458" s="726">
        <v>892.90899999999999</v>
      </c>
      <c r="E1458" s="3815"/>
      <c r="F1458" s="3818"/>
      <c r="G1458" s="78"/>
      <c r="J1458" s="31"/>
    </row>
    <row r="1459" spans="1:10" hidden="1" outlineLevel="1" x14ac:dyDescent="0.25">
      <c r="A1459" s="753" t="s">
        <v>423</v>
      </c>
      <c r="B1459" s="695" t="s">
        <v>115</v>
      </c>
      <c r="C1459" s="691">
        <v>2462.9290000000001</v>
      </c>
      <c r="D1459" s="696">
        <v>2346.3240000000001</v>
      </c>
      <c r="E1459" s="3813">
        <v>-2.0400000000000001E-2</v>
      </c>
      <c r="F1459" s="3816">
        <v>-2.0400000000000001E-2</v>
      </c>
      <c r="G1459" s="78"/>
      <c r="J1459" s="31"/>
    </row>
    <row r="1460" spans="1:10" hidden="1" outlineLevel="1" x14ac:dyDescent="0.25">
      <c r="A1460" s="754" t="s">
        <v>423</v>
      </c>
      <c r="B1460" s="695" t="s">
        <v>760</v>
      </c>
      <c r="C1460" s="726">
        <v>892.90899999999999</v>
      </c>
      <c r="D1460" s="696">
        <v>898.04399999999998</v>
      </c>
      <c r="E1460" s="3815"/>
      <c r="F1460" s="3818"/>
      <c r="G1460" s="78"/>
      <c r="J1460" s="31"/>
    </row>
    <row r="1461" spans="1:10" hidden="1" outlineLevel="1" x14ac:dyDescent="0.25">
      <c r="A1461" s="753" t="s">
        <v>424</v>
      </c>
      <c r="B1461" s="691" t="s">
        <v>115</v>
      </c>
      <c r="C1461" s="691">
        <v>2346.3200000000002</v>
      </c>
      <c r="D1461" s="691">
        <v>2996.0509999999999</v>
      </c>
      <c r="E1461" s="3813">
        <v>27.34</v>
      </c>
      <c r="F1461" s="3816">
        <v>3.5000000000000003E-2</v>
      </c>
      <c r="G1461" s="78"/>
      <c r="J1461" s="31"/>
    </row>
    <row r="1462" spans="1:10" hidden="1" outlineLevel="1" x14ac:dyDescent="0.25">
      <c r="A1462" s="754" t="s">
        <v>424</v>
      </c>
      <c r="B1462" s="726" t="s">
        <v>760</v>
      </c>
      <c r="C1462" s="726">
        <v>898.04</v>
      </c>
      <c r="D1462" s="726">
        <v>1140.6690000000001</v>
      </c>
      <c r="E1462" s="3815"/>
      <c r="F1462" s="3818"/>
      <c r="G1462" s="78"/>
      <c r="J1462" s="31"/>
    </row>
    <row r="1463" spans="1:10" hidden="1" outlineLevel="1" x14ac:dyDescent="0.25">
      <c r="A1463" s="753" t="s">
        <v>4100</v>
      </c>
      <c r="B1463" s="695" t="s">
        <v>115</v>
      </c>
      <c r="C1463" s="691">
        <v>2996.0509999999999</v>
      </c>
      <c r="D1463" s="691">
        <v>2627.2179999999998</v>
      </c>
      <c r="E1463" s="3813">
        <v>-9.35E-2</v>
      </c>
      <c r="F1463" s="3816">
        <v>-0.03</v>
      </c>
      <c r="G1463" s="78"/>
      <c r="J1463" s="31"/>
    </row>
    <row r="1464" spans="1:10" hidden="1" outlineLevel="1" x14ac:dyDescent="0.25">
      <c r="A1464" s="754" t="s">
        <v>4100</v>
      </c>
      <c r="B1464" s="695" t="s">
        <v>760</v>
      </c>
      <c r="C1464" s="726">
        <v>1140.6690000000001</v>
      </c>
      <c r="D1464" s="726">
        <v>1065.223</v>
      </c>
      <c r="E1464" s="3815"/>
      <c r="F1464" s="3818"/>
      <c r="G1464" s="78"/>
      <c r="J1464" s="31"/>
    </row>
    <row r="1465" spans="1:10" hidden="1" outlineLevel="1" x14ac:dyDescent="0.25">
      <c r="A1465" s="753" t="s">
        <v>1250</v>
      </c>
      <c r="B1465" s="691" t="s">
        <v>115</v>
      </c>
      <c r="C1465" s="691">
        <v>2627.2179999999998</v>
      </c>
      <c r="D1465" s="691">
        <v>2843.4430000000002</v>
      </c>
      <c r="E1465" s="3813">
        <v>0.14460000000000001</v>
      </c>
      <c r="F1465" s="3816">
        <v>3.5000000000000003E-2</v>
      </c>
      <c r="G1465" s="78"/>
      <c r="J1465" s="31"/>
    </row>
    <row r="1466" spans="1:10" hidden="1" outlineLevel="1" x14ac:dyDescent="0.25">
      <c r="A1466" s="754" t="s">
        <v>1250</v>
      </c>
      <c r="B1466" s="726" t="s">
        <v>760</v>
      </c>
      <c r="C1466" s="726">
        <v>1065.223</v>
      </c>
      <c r="D1466" s="726">
        <v>1277.117</v>
      </c>
      <c r="E1466" s="3815"/>
      <c r="F1466" s="3818"/>
      <c r="G1466" s="78"/>
      <c r="J1466" s="31"/>
    </row>
    <row r="1467" spans="1:10" collapsed="1" x14ac:dyDescent="0.25">
      <c r="A1467" s="3801" t="s">
        <v>980</v>
      </c>
      <c r="B1467" s="3802"/>
      <c r="C1467" s="3802"/>
      <c r="D1467" s="3802"/>
      <c r="E1467" s="729"/>
      <c r="F1467" s="752">
        <f>MAX(SUM(F1447:F1466),4%)</f>
        <v>0.04</v>
      </c>
      <c r="G1467" s="97" t="s">
        <v>781</v>
      </c>
      <c r="J1467" s="31"/>
    </row>
    <row r="1468" spans="1:10" x14ac:dyDescent="0.25">
      <c r="A1468" s="94"/>
      <c r="B1468" s="94"/>
      <c r="C1468" s="94"/>
      <c r="D1468" s="94"/>
      <c r="E1468" s="78"/>
      <c r="F1468" s="96"/>
      <c r="G1468" s="78"/>
      <c r="J1468" s="31"/>
    </row>
    <row r="1469" spans="1:10" hidden="1" outlineLevel="1" x14ac:dyDescent="0.25">
      <c r="A1469" s="689" t="s">
        <v>113</v>
      </c>
      <c r="B1469" s="689" t="s">
        <v>114</v>
      </c>
      <c r="C1469" s="689" t="s">
        <v>112</v>
      </c>
      <c r="D1469" s="495" t="s">
        <v>116</v>
      </c>
      <c r="E1469" s="689" t="s">
        <v>117</v>
      </c>
      <c r="F1469" s="1188" t="s">
        <v>121</v>
      </c>
      <c r="G1469" s="78"/>
      <c r="J1469" s="31"/>
    </row>
    <row r="1470" spans="1:10" hidden="1" outlineLevel="1" x14ac:dyDescent="0.25">
      <c r="A1470" s="690">
        <v>1</v>
      </c>
      <c r="B1470" s="799" t="s">
        <v>115</v>
      </c>
      <c r="C1470" s="887">
        <v>3650.895</v>
      </c>
      <c r="D1470" s="807">
        <v>2964.96</v>
      </c>
      <c r="E1470" s="3837">
        <f>(0.5*D1470/C1470+0.5*D1471/C1471)-1</f>
        <v>-0.15974347892332474</v>
      </c>
      <c r="F1470" s="3839">
        <f>F1497*parametry!N71</f>
        <v>-9.0656543010408916E-2</v>
      </c>
      <c r="G1470" s="78"/>
      <c r="J1470" s="31"/>
    </row>
    <row r="1471" spans="1:10" hidden="1" outlineLevel="1" x14ac:dyDescent="0.25">
      <c r="A1471" s="713"/>
      <c r="B1471" s="801" t="s">
        <v>760</v>
      </c>
      <c r="C1471" s="888">
        <v>1284.0940000000001</v>
      </c>
      <c r="D1471" s="810">
        <v>1115.0999999999999</v>
      </c>
      <c r="E1471" s="3838"/>
      <c r="F1471" s="3840"/>
      <c r="G1471" s="78"/>
      <c r="J1471" s="31"/>
    </row>
    <row r="1472" spans="1:10" hidden="1" outlineLevel="1" x14ac:dyDescent="0.25">
      <c r="A1472" s="706"/>
      <c r="B1472" s="889" t="s">
        <v>760</v>
      </c>
      <c r="C1472" s="890" t="s">
        <v>115</v>
      </c>
      <c r="D1472" s="837"/>
      <c r="E1472" s="891"/>
      <c r="F1472" s="856"/>
      <c r="G1472" s="78"/>
      <c r="J1472" s="31"/>
    </row>
    <row r="1473" spans="1:10" hidden="1" outlineLevel="1" x14ac:dyDescent="0.25">
      <c r="A1473" s="846" t="s">
        <v>1251</v>
      </c>
      <c r="B1473" s="839">
        <v>1378.55</v>
      </c>
      <c r="C1473" s="835">
        <v>3792.8</v>
      </c>
      <c r="D1473" s="892">
        <v>39478</v>
      </c>
      <c r="E1473" s="838">
        <f>0.5*B1473/C1471+0.5*C1473/C1470-1</f>
        <v>5.6213514608069115E-2</v>
      </c>
      <c r="F1473" s="856">
        <f>E1473</f>
        <v>5.6213514608069115E-2</v>
      </c>
      <c r="G1473" s="78"/>
      <c r="J1473" s="31"/>
    </row>
    <row r="1474" spans="1:10" hidden="1" outlineLevel="1" x14ac:dyDescent="0.25">
      <c r="A1474" s="846" t="s">
        <v>1252</v>
      </c>
      <c r="B1474" s="839">
        <v>1330.63</v>
      </c>
      <c r="C1474" s="835">
        <v>3724.5</v>
      </c>
      <c r="D1474" s="892">
        <v>39506</v>
      </c>
      <c r="E1474" s="838">
        <f>0.5*B1474/C1471+0.5*C1474/C1470-1</f>
        <v>2.8200573714493027E-2</v>
      </c>
      <c r="F1474" s="856">
        <f>E1474</f>
        <v>2.8200573714493027E-2</v>
      </c>
      <c r="G1474" s="78"/>
      <c r="J1474" s="31"/>
    </row>
    <row r="1475" spans="1:10" hidden="1" outlineLevel="1" x14ac:dyDescent="0.25">
      <c r="A1475" s="846" t="s">
        <v>3894</v>
      </c>
      <c r="B1475" s="839">
        <v>1322.7</v>
      </c>
      <c r="C1475" s="835">
        <v>3628.06</v>
      </c>
      <c r="D1475" s="892">
        <v>39538</v>
      </c>
      <c r="E1475" s="893">
        <f t="shared" ref="E1475:E1496" si="32">0.5*B1475/C$1471+0.5*C1475/C$1470-1</f>
        <v>1.1905073237685082E-2</v>
      </c>
      <c r="F1475" s="856">
        <f>E1475</f>
        <v>1.1905073237685082E-2</v>
      </c>
      <c r="G1475" s="78"/>
      <c r="J1475" s="31"/>
    </row>
    <row r="1476" spans="1:10" hidden="1" outlineLevel="1" x14ac:dyDescent="0.25">
      <c r="A1476" s="846" t="s">
        <v>3895</v>
      </c>
      <c r="B1476" s="839">
        <v>1385.59</v>
      </c>
      <c r="C1476" s="835">
        <v>3825.02</v>
      </c>
      <c r="D1476" s="892">
        <v>39568</v>
      </c>
      <c r="E1476" s="893">
        <f t="shared" si="32"/>
        <v>6.3367363580117964E-2</v>
      </c>
      <c r="F1476" s="856">
        <f t="shared" ref="F1476:F1496" si="33">E1476</f>
        <v>6.3367363580117964E-2</v>
      </c>
      <c r="G1476" s="78"/>
      <c r="J1476" s="31"/>
    </row>
    <row r="1477" spans="1:10" hidden="1" outlineLevel="1" x14ac:dyDescent="0.25">
      <c r="A1477" s="846" t="s">
        <v>3003</v>
      </c>
      <c r="B1477" s="839">
        <v>1400.38</v>
      </c>
      <c r="C1477" s="835">
        <v>3777.85</v>
      </c>
      <c r="D1477" s="892">
        <v>39599</v>
      </c>
      <c r="E1477" s="893">
        <f t="shared" si="32"/>
        <v>6.2666227977468569E-2</v>
      </c>
      <c r="F1477" s="856">
        <f t="shared" si="33"/>
        <v>6.2666227977468569E-2</v>
      </c>
      <c r="G1477" s="78"/>
      <c r="J1477" s="31"/>
    </row>
    <row r="1478" spans="1:10" hidden="1" outlineLevel="1" x14ac:dyDescent="0.25">
      <c r="A1478" s="846" t="s">
        <v>3004</v>
      </c>
      <c r="B1478" s="839">
        <v>1280</v>
      </c>
      <c r="C1478" s="835">
        <v>3352.81</v>
      </c>
      <c r="D1478" s="892">
        <v>39629</v>
      </c>
      <c r="E1478" s="893">
        <f t="shared" si="32"/>
        <v>-4.2417671541952195E-2</v>
      </c>
      <c r="F1478" s="856">
        <f t="shared" si="33"/>
        <v>-4.2417671541952195E-2</v>
      </c>
      <c r="G1478" s="78"/>
      <c r="J1478" s="31"/>
    </row>
    <row r="1479" spans="1:10" hidden="1" outlineLevel="1" x14ac:dyDescent="0.25">
      <c r="A1479" s="846" t="s">
        <v>3005</v>
      </c>
      <c r="B1479" s="836">
        <v>1267.3800000000001</v>
      </c>
      <c r="C1479" s="835">
        <v>3367.82</v>
      </c>
      <c r="D1479" s="892">
        <v>39660</v>
      </c>
      <c r="E1479" s="893">
        <f t="shared" si="32"/>
        <v>-4.5275981690132472E-2</v>
      </c>
      <c r="F1479" s="856">
        <f t="shared" si="33"/>
        <v>-4.5275981690132472E-2</v>
      </c>
      <c r="G1479" s="78"/>
      <c r="J1479" s="31"/>
    </row>
    <row r="1480" spans="1:10" hidden="1" outlineLevel="1" x14ac:dyDescent="0.25">
      <c r="A1480" s="846" t="s">
        <v>3006</v>
      </c>
      <c r="B1480" s="839">
        <v>1282.83</v>
      </c>
      <c r="C1480" s="835">
        <v>3365.63</v>
      </c>
      <c r="D1480" s="892">
        <v>39691</v>
      </c>
      <c r="E1480" s="893">
        <f t="shared" si="32"/>
        <v>-3.9559993423768036E-2</v>
      </c>
      <c r="F1480" s="856">
        <f t="shared" si="33"/>
        <v>-3.9559993423768036E-2</v>
      </c>
      <c r="G1480" s="78"/>
      <c r="J1480" s="31"/>
    </row>
    <row r="1481" spans="1:10" hidden="1" outlineLevel="1" x14ac:dyDescent="0.25">
      <c r="A1481" s="846" t="s">
        <v>3007</v>
      </c>
      <c r="B1481" s="839">
        <v>1166.3599999999999</v>
      </c>
      <c r="C1481" s="835">
        <v>3038.2</v>
      </c>
      <c r="D1481" s="892">
        <v>39721</v>
      </c>
      <c r="E1481" s="893">
        <f t="shared" si="32"/>
        <v>-0.12975346375089725</v>
      </c>
      <c r="F1481" s="856">
        <f t="shared" si="33"/>
        <v>-0.12975346375089725</v>
      </c>
      <c r="G1481" s="78"/>
      <c r="J1481" s="31"/>
    </row>
    <row r="1482" spans="1:10" hidden="1" outlineLevel="1" x14ac:dyDescent="0.25">
      <c r="A1482" s="846" t="s">
        <v>3008</v>
      </c>
      <c r="B1482" s="839">
        <v>968.75</v>
      </c>
      <c r="C1482" s="839">
        <v>2591.7600000000002</v>
      </c>
      <c r="D1482" s="892">
        <v>39752</v>
      </c>
      <c r="E1482" s="893">
        <f t="shared" si="32"/>
        <v>-0.26783993749620172</v>
      </c>
      <c r="F1482" s="856">
        <f t="shared" si="33"/>
        <v>-0.26783993749620172</v>
      </c>
      <c r="G1482" s="78"/>
      <c r="J1482" s="31"/>
    </row>
    <row r="1483" spans="1:10" hidden="1" outlineLevel="1" x14ac:dyDescent="0.25">
      <c r="A1483" s="846" t="s">
        <v>829</v>
      </c>
      <c r="B1483" s="839">
        <v>896.24</v>
      </c>
      <c r="C1483" s="835">
        <v>2430.31</v>
      </c>
      <c r="D1483" s="892">
        <v>39782</v>
      </c>
      <c r="E1483" s="893">
        <f t="shared" si="32"/>
        <v>-0.31818486844954064</v>
      </c>
      <c r="F1483" s="856">
        <f t="shared" si="33"/>
        <v>-0.31818486844954064</v>
      </c>
      <c r="G1483" s="78"/>
      <c r="J1483" s="31"/>
    </row>
    <row r="1484" spans="1:10" hidden="1" outlineLevel="1" x14ac:dyDescent="0.25">
      <c r="A1484" s="846" t="s">
        <v>830</v>
      </c>
      <c r="B1484" s="839">
        <v>903.25</v>
      </c>
      <c r="C1484" s="835">
        <v>2447.62</v>
      </c>
      <c r="D1484" s="892">
        <v>39813</v>
      </c>
      <c r="E1484" s="893">
        <f t="shared" si="32"/>
        <v>-0.31308466591770823</v>
      </c>
      <c r="F1484" s="856">
        <f t="shared" si="33"/>
        <v>-0.31308466591770823</v>
      </c>
      <c r="G1484" s="78"/>
      <c r="J1484" s="31"/>
    </row>
    <row r="1485" spans="1:10" hidden="1" outlineLevel="1" x14ac:dyDescent="0.25">
      <c r="A1485" s="846" t="s">
        <v>831</v>
      </c>
      <c r="B1485" s="839">
        <v>825.88</v>
      </c>
      <c r="C1485" s="835">
        <v>2236.98</v>
      </c>
      <c r="D1485" s="892">
        <v>39844</v>
      </c>
      <c r="E1485" s="893">
        <f t="shared" si="32"/>
        <v>-0.37205868598403591</v>
      </c>
      <c r="F1485" s="856">
        <f t="shared" si="33"/>
        <v>-0.37205868598403591</v>
      </c>
      <c r="G1485" s="78"/>
      <c r="J1485" s="31"/>
    </row>
    <row r="1486" spans="1:10" hidden="1" outlineLevel="1" x14ac:dyDescent="0.25">
      <c r="A1486" s="846" t="s">
        <v>832</v>
      </c>
      <c r="B1486" s="839">
        <v>735.09</v>
      </c>
      <c r="C1486" s="835">
        <v>1976.23</v>
      </c>
      <c r="D1486" s="892">
        <v>39872</v>
      </c>
      <c r="E1486" s="893">
        <f t="shared" si="32"/>
        <v>-0.44312088098770108</v>
      </c>
      <c r="F1486" s="856">
        <f t="shared" si="33"/>
        <v>-0.44312088098770108</v>
      </c>
      <c r="G1486" s="78"/>
      <c r="J1486" s="31"/>
    </row>
    <row r="1487" spans="1:10" hidden="1" outlineLevel="1" x14ac:dyDescent="0.25">
      <c r="A1487" s="846" t="s">
        <v>833</v>
      </c>
      <c r="B1487" s="839">
        <v>797.87</v>
      </c>
      <c r="C1487" s="835">
        <v>2071.13</v>
      </c>
      <c r="D1487" s="892">
        <v>39903</v>
      </c>
      <c r="E1487" s="893">
        <f t="shared" si="32"/>
        <v>-0.4056788169846437</v>
      </c>
      <c r="F1487" s="856">
        <f t="shared" si="33"/>
        <v>-0.4056788169846437</v>
      </c>
      <c r="G1487" s="78"/>
      <c r="J1487" s="31"/>
    </row>
    <row r="1488" spans="1:10" hidden="1" outlineLevel="1" x14ac:dyDescent="0.25">
      <c r="A1488" s="846" t="s">
        <v>4585</v>
      </c>
      <c r="B1488" s="839">
        <v>872.81</v>
      </c>
      <c r="C1488" s="835">
        <v>2375.34</v>
      </c>
      <c r="D1488" s="892">
        <v>39933</v>
      </c>
      <c r="E1488" s="893">
        <f t="shared" si="32"/>
        <v>-0.33483632333816171</v>
      </c>
      <c r="F1488" s="856">
        <f t="shared" si="33"/>
        <v>-0.33483632333816171</v>
      </c>
      <c r="G1488" s="78"/>
      <c r="J1488" s="31"/>
    </row>
    <row r="1489" spans="1:10" hidden="1" outlineLevel="1" x14ac:dyDescent="0.25">
      <c r="A1489" s="846" t="s">
        <v>4586</v>
      </c>
      <c r="B1489" s="839">
        <v>919.14</v>
      </c>
      <c r="C1489" s="835">
        <v>2451.2399999999998</v>
      </c>
      <c r="D1489" s="892">
        <v>39964</v>
      </c>
      <c r="E1489" s="893">
        <f t="shared" si="32"/>
        <v>-0.30640165532800245</v>
      </c>
      <c r="F1489" s="856">
        <f t="shared" si="33"/>
        <v>-0.30640165532800245</v>
      </c>
      <c r="G1489" s="78"/>
      <c r="J1489" s="31"/>
    </row>
    <row r="1490" spans="1:10" hidden="1" outlineLevel="1" x14ac:dyDescent="0.25">
      <c r="A1490" s="846" t="s">
        <v>4587</v>
      </c>
      <c r="B1490" s="839">
        <v>919.32</v>
      </c>
      <c r="C1490" s="835">
        <v>2401.69</v>
      </c>
      <c r="D1490" s="892">
        <v>39994</v>
      </c>
      <c r="E1490" s="893">
        <f t="shared" si="32"/>
        <v>-0.31311757426784659</v>
      </c>
      <c r="F1490" s="856">
        <f t="shared" si="33"/>
        <v>-0.31311757426784659</v>
      </c>
      <c r="G1490" s="78"/>
      <c r="J1490" s="31"/>
    </row>
    <row r="1491" spans="1:10" hidden="1" outlineLevel="1" x14ac:dyDescent="0.25">
      <c r="A1491" s="846" t="s">
        <v>4588</v>
      </c>
      <c r="B1491" s="839">
        <v>987.48</v>
      </c>
      <c r="C1491" s="835">
        <v>2638.13</v>
      </c>
      <c r="D1491" s="892">
        <v>40025</v>
      </c>
      <c r="E1491" s="893">
        <f t="shared" si="32"/>
        <v>-0.25419636008838553</v>
      </c>
      <c r="F1491" s="856">
        <f t="shared" si="33"/>
        <v>-0.25419636008838553</v>
      </c>
      <c r="G1491" s="78"/>
      <c r="J1491" s="31"/>
    </row>
    <row r="1492" spans="1:10" hidden="1" outlineLevel="1" x14ac:dyDescent="0.25">
      <c r="A1492" s="846" t="s">
        <v>4589</v>
      </c>
      <c r="B1492" s="839">
        <v>1020.62</v>
      </c>
      <c r="C1492" s="835">
        <v>2775.17</v>
      </c>
      <c r="D1492" s="892">
        <v>40056</v>
      </c>
      <c r="E1492" s="893">
        <f t="shared" si="32"/>
        <v>-0.22252431962986641</v>
      </c>
      <c r="F1492" s="856">
        <f t="shared" si="33"/>
        <v>-0.22252431962986641</v>
      </c>
      <c r="G1492" s="78"/>
      <c r="J1492" s="31"/>
    </row>
    <row r="1493" spans="1:10" hidden="1" outlineLevel="1" x14ac:dyDescent="0.25">
      <c r="A1493" s="846" t="s">
        <v>4590</v>
      </c>
      <c r="B1493" s="839">
        <v>1057.08</v>
      </c>
      <c r="C1493" s="835">
        <v>2872.63</v>
      </c>
      <c r="D1493" s="892">
        <v>40086</v>
      </c>
      <c r="E1493" s="893">
        <f t="shared" si="32"/>
        <v>-0.19498012757042438</v>
      </c>
      <c r="F1493" s="856">
        <f t="shared" si="33"/>
        <v>-0.19498012757042438</v>
      </c>
      <c r="G1493" s="78"/>
      <c r="J1493" s="31"/>
    </row>
    <row r="1494" spans="1:10" hidden="1" outlineLevel="1" x14ac:dyDescent="0.25">
      <c r="A1494" s="846" t="s">
        <v>4591</v>
      </c>
      <c r="B1494" s="839">
        <v>1036.19</v>
      </c>
      <c r="C1494" s="835">
        <v>2743.5</v>
      </c>
      <c r="D1494" s="892">
        <v>40117</v>
      </c>
      <c r="E1494" s="893">
        <f t="shared" si="32"/>
        <v>-0.22079897199233089</v>
      </c>
      <c r="F1494" s="856">
        <f t="shared" si="33"/>
        <v>-0.22079897199233089</v>
      </c>
      <c r="G1494" s="78"/>
      <c r="J1494" s="31"/>
    </row>
    <row r="1495" spans="1:10" hidden="1" outlineLevel="1" x14ac:dyDescent="0.25">
      <c r="A1495" s="846" t="s">
        <v>4592</v>
      </c>
      <c r="B1495" s="839">
        <v>1095.6300000000001</v>
      </c>
      <c r="C1495" s="835">
        <v>2797.25</v>
      </c>
      <c r="D1495" s="892">
        <v>40147</v>
      </c>
      <c r="E1495" s="893">
        <f t="shared" si="32"/>
        <v>-0.19029304025253668</v>
      </c>
      <c r="F1495" s="856">
        <f t="shared" si="33"/>
        <v>-0.19029304025253668</v>
      </c>
      <c r="G1495" s="78"/>
      <c r="J1495" s="31"/>
    </row>
    <row r="1496" spans="1:10" hidden="1" outlineLevel="1" x14ac:dyDescent="0.25">
      <c r="A1496" s="846" t="s">
        <v>4593</v>
      </c>
      <c r="B1496" s="839">
        <v>1115.0999999999999</v>
      </c>
      <c r="C1496" s="835">
        <v>2964.96</v>
      </c>
      <c r="D1496" s="892">
        <v>40178</v>
      </c>
      <c r="E1496" s="893">
        <f t="shared" si="32"/>
        <v>-0.15974347892332474</v>
      </c>
      <c r="F1496" s="856">
        <f t="shared" si="33"/>
        <v>-0.15974347892332474</v>
      </c>
      <c r="G1496" s="78"/>
      <c r="J1496" s="31"/>
    </row>
    <row r="1497" spans="1:10" hidden="1" outlineLevel="1" x14ac:dyDescent="0.25">
      <c r="A1497" s="706"/>
      <c r="B1497" s="695"/>
      <c r="C1497" s="888"/>
      <c r="D1497" s="811"/>
      <c r="E1497" s="894" t="s">
        <v>2465</v>
      </c>
      <c r="F1497" s="856">
        <f>(AVERAGE(F1473:F1496))</f>
        <v>-0.18131308602081783</v>
      </c>
      <c r="G1497" s="78"/>
      <c r="J1497" s="31"/>
    </row>
    <row r="1498" spans="1:10" collapsed="1" x14ac:dyDescent="0.25">
      <c r="A1498" s="3801" t="s">
        <v>2155</v>
      </c>
      <c r="B1498" s="3802"/>
      <c r="C1498" s="3802"/>
      <c r="D1498" s="3802"/>
      <c r="E1498" s="782" t="s">
        <v>1429</v>
      </c>
      <c r="F1498" s="752">
        <v>0</v>
      </c>
      <c r="G1498" s="97" t="s">
        <v>781</v>
      </c>
      <c r="I1498" s="70"/>
      <c r="J1498" s="31"/>
    </row>
    <row r="1499" spans="1:10" x14ac:dyDescent="0.25">
      <c r="A1499" s="94"/>
      <c r="B1499" s="94"/>
      <c r="C1499" s="94"/>
      <c r="D1499" s="94"/>
      <c r="E1499" s="78"/>
      <c r="F1499" s="96"/>
      <c r="G1499" s="78"/>
      <c r="I1499" s="70"/>
      <c r="J1499" s="31"/>
    </row>
    <row r="1500" spans="1:10" hidden="1" outlineLevel="1" x14ac:dyDescent="0.25">
      <c r="A1500" s="689" t="s">
        <v>113</v>
      </c>
      <c r="B1500" s="689" t="s">
        <v>114</v>
      </c>
      <c r="C1500" s="689" t="s">
        <v>112</v>
      </c>
      <c r="D1500" s="689" t="s">
        <v>116</v>
      </c>
      <c r="E1500" s="689" t="s">
        <v>117</v>
      </c>
      <c r="F1500" s="1188" t="s">
        <v>121</v>
      </c>
      <c r="G1500" s="78"/>
      <c r="J1500" s="31"/>
    </row>
    <row r="1501" spans="1:10" hidden="1" outlineLevel="1" x14ac:dyDescent="0.25">
      <c r="A1501" s="690">
        <v>1</v>
      </c>
      <c r="B1501" s="691" t="s">
        <v>252</v>
      </c>
      <c r="C1501" s="692"/>
      <c r="D1501" s="692"/>
      <c r="E1501" s="693"/>
      <c r="F1501" s="694"/>
      <c r="G1501" s="78"/>
      <c r="J1501" s="31"/>
    </row>
    <row r="1502" spans="1:10" hidden="1" outlineLevel="1" x14ac:dyDescent="0.25">
      <c r="A1502" s="695"/>
      <c r="B1502" s="695"/>
      <c r="C1502" s="696"/>
      <c r="D1502" s="697" t="s">
        <v>3702</v>
      </c>
      <c r="E1502" s="698">
        <v>41274</v>
      </c>
      <c r="F1502" s="699"/>
      <c r="G1502" s="78"/>
      <c r="J1502" s="31"/>
    </row>
    <row r="1503" spans="1:10" hidden="1" outlineLevel="1" x14ac:dyDescent="0.25">
      <c r="A1503" s="689" t="s">
        <v>4156</v>
      </c>
      <c r="B1503" s="689" t="s">
        <v>4153</v>
      </c>
      <c r="C1503" s="700" t="s">
        <v>112</v>
      </c>
      <c r="D1503" s="689" t="s">
        <v>4155</v>
      </c>
      <c r="E1503" s="689" t="s">
        <v>4154</v>
      </c>
      <c r="F1503" s="1021" t="s">
        <v>1332</v>
      </c>
      <c r="G1503" s="78"/>
      <c r="J1503" s="31"/>
    </row>
    <row r="1504" spans="1:10" hidden="1" outlineLevel="1" x14ac:dyDescent="0.25">
      <c r="A1504" s="734">
        <v>0.05</v>
      </c>
      <c r="B1504" s="735" t="s">
        <v>577</v>
      </c>
      <c r="C1504" s="807">
        <v>12.86</v>
      </c>
      <c r="D1504" s="737">
        <v>10.19</v>
      </c>
      <c r="E1504" s="817">
        <v>-0.20762052877138415</v>
      </c>
      <c r="F1504" s="1021" t="s">
        <v>2024</v>
      </c>
      <c r="G1504" s="78"/>
      <c r="H1504" t="str">
        <f>VLOOKUP(B1504,indexy!$A$44:$D$232,3,FALSE)</f>
        <v>TEF SQ Equity</v>
      </c>
      <c r="J1504" s="31"/>
    </row>
    <row r="1505" spans="1:10" hidden="1" outlineLevel="1" x14ac:dyDescent="0.25">
      <c r="A1505" s="739">
        <v>0.05</v>
      </c>
      <c r="B1505" s="740" t="s">
        <v>1414</v>
      </c>
      <c r="C1505" s="809">
        <v>24.61</v>
      </c>
      <c r="D1505" s="737">
        <v>25.08</v>
      </c>
      <c r="E1505" s="857">
        <v>1.9097927671678061E-2</v>
      </c>
      <c r="F1505" s="946" t="s">
        <v>2024</v>
      </c>
      <c r="G1505" s="78"/>
      <c r="H1505" t="str">
        <f>VLOOKUP(B1505,indexy!$A$44:$D$232,3,FALSE)</f>
        <v>PFE UN Equity</v>
      </c>
      <c r="J1505" s="31"/>
    </row>
    <row r="1506" spans="1:10" hidden="1" outlineLevel="1" x14ac:dyDescent="0.25">
      <c r="A1506" s="739">
        <v>0.05</v>
      </c>
      <c r="B1506" s="740" t="s">
        <v>507</v>
      </c>
      <c r="C1506" s="809">
        <v>19.265000000000001</v>
      </c>
      <c r="D1506" s="737">
        <v>28.835000000000001</v>
      </c>
      <c r="E1506" s="857">
        <v>0.49675577472099652</v>
      </c>
      <c r="F1506" s="946" t="s">
        <v>2024</v>
      </c>
      <c r="G1506" s="78"/>
      <c r="H1506" t="str">
        <f>VLOOKUP(B1506,indexy!$A$44:$D$232,3,FALSE)</f>
        <v>UNA NA Equity</v>
      </c>
      <c r="J1506" s="31"/>
    </row>
    <row r="1507" spans="1:10" hidden="1" outlineLevel="1" x14ac:dyDescent="0.25">
      <c r="A1507" s="756">
        <v>0.05</v>
      </c>
      <c r="B1507" s="761" t="s">
        <v>1526</v>
      </c>
      <c r="C1507" s="808">
        <v>81.745000000000005</v>
      </c>
      <c r="D1507" s="759">
        <v>26.15</v>
      </c>
      <c r="E1507" s="858">
        <v>-0.68010275857850644</v>
      </c>
      <c r="F1507" s="1850" t="s">
        <v>2025</v>
      </c>
      <c r="G1507" s="179">
        <v>40178</v>
      </c>
      <c r="H1507" s="163" t="str">
        <f>VLOOKUP(B1507,indexy!$A$44:$D$232,3,FALSE)</f>
        <v>KBC BB Equity</v>
      </c>
      <c r="J1507" s="31"/>
    </row>
    <row r="1508" spans="1:10" hidden="1" outlineLevel="1" x14ac:dyDescent="0.25">
      <c r="A1508" s="739">
        <v>0.05</v>
      </c>
      <c r="B1508" s="740" t="s">
        <v>3407</v>
      </c>
      <c r="C1508" s="809">
        <v>34.939</v>
      </c>
      <c r="D1508" s="737">
        <v>20.99</v>
      </c>
      <c r="E1508" s="857">
        <v>-0.39923867311600225</v>
      </c>
      <c r="F1508" s="946" t="s">
        <v>2024</v>
      </c>
      <c r="G1508" s="78"/>
      <c r="H1508" t="str">
        <f>VLOOKUP(B1508,indexy!$A$44:$D$232,3,FALSE)</f>
        <v>GE UN Equity</v>
      </c>
      <c r="J1508" s="31"/>
    </row>
    <row r="1509" spans="1:10" hidden="1" outlineLevel="1" x14ac:dyDescent="0.25">
      <c r="A1509" s="739">
        <v>0.05</v>
      </c>
      <c r="B1509" s="740" t="s">
        <v>4387</v>
      </c>
      <c r="C1509" s="809">
        <v>29.800666666666668</v>
      </c>
      <c r="D1509" s="737">
        <v>14.09</v>
      </c>
      <c r="E1509" s="857">
        <v>-0.52719178541867073</v>
      </c>
      <c r="F1509" s="946" t="s">
        <v>2024</v>
      </c>
      <c r="G1509" s="78"/>
      <c r="H1509" t="str">
        <f>VLOOKUP(B1509,indexy!$A$44:$D$232,3,FALSE)</f>
        <v>EOAN GY Equity</v>
      </c>
      <c r="J1509" s="31"/>
    </row>
    <row r="1510" spans="1:10" hidden="1" outlineLevel="1" x14ac:dyDescent="0.25">
      <c r="A1510" s="739">
        <v>0.05</v>
      </c>
      <c r="B1510" s="740" t="s">
        <v>1184</v>
      </c>
      <c r="C1510" s="809">
        <v>31.548500000000001</v>
      </c>
      <c r="D1510" s="737">
        <v>71.150000000000006</v>
      </c>
      <c r="E1510" s="857">
        <v>1.2552577777073397</v>
      </c>
      <c r="F1510" s="946" t="s">
        <v>2024</v>
      </c>
      <c r="G1510" s="78"/>
      <c r="H1510" t="str">
        <f>VLOOKUP(B1510,indexy!$A$44:$D$232,3,FALSE)</f>
        <v>BAS GY Equity</v>
      </c>
      <c r="J1510" s="31"/>
    </row>
    <row r="1511" spans="1:10" hidden="1" outlineLevel="1" x14ac:dyDescent="0.25">
      <c r="A1511" s="756">
        <v>0.05</v>
      </c>
      <c r="B1511" s="761" t="s">
        <v>1527</v>
      </c>
      <c r="C1511" s="808">
        <v>2.4923999999999999</v>
      </c>
      <c r="D1511" s="759">
        <v>0.68300000000000005</v>
      </c>
      <c r="E1511" s="858">
        <v>-0.72596693949606794</v>
      </c>
      <c r="F1511" s="1850" t="s">
        <v>2025</v>
      </c>
      <c r="G1511" s="179">
        <v>40543</v>
      </c>
      <c r="H1511" s="163" t="str">
        <f>VLOOKUP(B1511,indexy!$A$44:$D$232,3,FALSE)</f>
        <v>TIT IM Equity</v>
      </c>
      <c r="J1511" s="31"/>
    </row>
    <row r="1512" spans="1:10" hidden="1" outlineLevel="1" x14ac:dyDescent="0.25">
      <c r="A1512" s="739">
        <v>0.05</v>
      </c>
      <c r="B1512" s="740" t="s">
        <v>4338</v>
      </c>
      <c r="C1512" s="809">
        <v>25.382231416509001</v>
      </c>
      <c r="D1512" s="737">
        <v>15.574999999999999</v>
      </c>
      <c r="E1512" s="857">
        <v>-0.38638176666099677</v>
      </c>
      <c r="F1512" s="946" t="s">
        <v>2024</v>
      </c>
      <c r="G1512" s="78"/>
      <c r="H1512" t="str">
        <f>VLOOKUP(B1512,indexy!$A$44:$D$392,3,FALSE)</f>
        <v>ENGI FP Equity</v>
      </c>
      <c r="J1512" s="31"/>
    </row>
    <row r="1513" spans="1:10" hidden="1" outlineLevel="1" x14ac:dyDescent="0.25">
      <c r="A1513" s="756">
        <v>0.05</v>
      </c>
      <c r="B1513" s="761" t="s">
        <v>2587</v>
      </c>
      <c r="C1513" s="808">
        <v>592.16666666666663</v>
      </c>
      <c r="D1513" s="759">
        <v>19.98</v>
      </c>
      <c r="E1513" s="858">
        <v>-0.96625949901491692</v>
      </c>
      <c r="F1513" s="1850" t="s">
        <v>2025</v>
      </c>
      <c r="G1513" s="179">
        <v>39447</v>
      </c>
      <c r="H1513" s="163" t="e">
        <f>VLOOKUP(B1513,indexy!$A$44:$D$232,3,FALSE)</f>
        <v>#N/A</v>
      </c>
      <c r="J1513" s="31"/>
    </row>
    <row r="1514" spans="1:10" hidden="1" outlineLevel="1" x14ac:dyDescent="0.25">
      <c r="A1514" s="739">
        <v>0.05</v>
      </c>
      <c r="B1514" s="740" t="s">
        <v>1528</v>
      </c>
      <c r="C1514" s="809">
        <v>76.88</v>
      </c>
      <c r="D1514" s="737">
        <v>138.80000000000001</v>
      </c>
      <c r="E1514" s="857">
        <v>0.8054110301768993</v>
      </c>
      <c r="F1514" s="946" t="s">
        <v>2024</v>
      </c>
      <c r="G1514" s="78"/>
      <c r="H1514" t="str">
        <f>VLOOKUP(B1514,indexy!$A$44:$D$232,3,FALSE)</f>
        <v>MC FP Equity</v>
      </c>
      <c r="J1514" s="31"/>
    </row>
    <row r="1515" spans="1:10" hidden="1" outlineLevel="1" x14ac:dyDescent="0.25">
      <c r="A1515" s="756">
        <v>0.05</v>
      </c>
      <c r="B1515" s="761" t="s">
        <v>2588</v>
      </c>
      <c r="C1515" s="808">
        <v>29.274999999999999</v>
      </c>
      <c r="D1515" s="759">
        <v>7.0609999999999999</v>
      </c>
      <c r="E1515" s="858">
        <v>-0.75880444064901797</v>
      </c>
      <c r="F1515" s="1850" t="s">
        <v>2025</v>
      </c>
      <c r="G1515" s="179">
        <v>39813</v>
      </c>
      <c r="H1515" s="163" t="str">
        <f>VLOOKUP(B1515,indexy!$A$44:$D$232,3,FALSE)</f>
        <v>INGA NA Equity</v>
      </c>
      <c r="J1515" s="31"/>
    </row>
    <row r="1516" spans="1:10" hidden="1" outlineLevel="1" x14ac:dyDescent="0.25">
      <c r="A1516" s="739">
        <v>0.05</v>
      </c>
      <c r="B1516" s="740" t="s">
        <v>1188</v>
      </c>
      <c r="C1516" s="809">
        <v>652.65000000000009</v>
      </c>
      <c r="D1516" s="737">
        <v>424.8</v>
      </c>
      <c r="E1516" s="857">
        <v>-0.34911514594346138</v>
      </c>
      <c r="F1516" s="1858" t="s">
        <v>2024</v>
      </c>
      <c r="G1516" s="78"/>
      <c r="H1516" t="str">
        <f>VLOOKUP(B1516,indexy!$A$44:$D$232,3,FALSE)</f>
        <v>BP/ LN Equity</v>
      </c>
      <c r="J1516" s="31"/>
    </row>
    <row r="1517" spans="1:10" hidden="1" outlineLevel="1" x14ac:dyDescent="0.25">
      <c r="A1517" s="739">
        <v>0.05</v>
      </c>
      <c r="B1517" s="740" t="s">
        <v>1001</v>
      </c>
      <c r="C1517" s="809">
        <v>26.972000000000001</v>
      </c>
      <c r="D1517" s="737">
        <v>26.73</v>
      </c>
      <c r="E1517" s="857">
        <v>-8.97226753670477E-3</v>
      </c>
      <c r="F1517" s="946" t="s">
        <v>2024</v>
      </c>
      <c r="G1517" s="78"/>
      <c r="H1517" t="str">
        <f>VLOOKUP(B1517,indexy!$A$44:$D$232,3,FALSE)</f>
        <v>MSFT UW Equity</v>
      </c>
      <c r="J1517" s="31"/>
    </row>
    <row r="1518" spans="1:10" hidden="1" outlineLevel="1" x14ac:dyDescent="0.25">
      <c r="A1518" s="739">
        <v>0.05</v>
      </c>
      <c r="B1518" s="740" t="s">
        <v>1002</v>
      </c>
      <c r="C1518" s="809">
        <v>12.584</v>
      </c>
      <c r="D1518" s="737">
        <v>33.32</v>
      </c>
      <c r="E1518" s="857">
        <v>1.6478067387158299</v>
      </c>
      <c r="F1518" s="946" t="s">
        <v>2024</v>
      </c>
      <c r="G1518" s="78"/>
      <c r="H1518" t="str">
        <f>VLOOKUP(B1518,indexy!$A$44:$D$232,3,FALSE)</f>
        <v>ORCL UN Equity</v>
      </c>
      <c r="J1518" s="31"/>
    </row>
    <row r="1519" spans="1:10" hidden="1" outlineLevel="1" x14ac:dyDescent="0.25">
      <c r="A1519" s="739">
        <v>0.05</v>
      </c>
      <c r="B1519" s="740" t="s">
        <v>3425</v>
      </c>
      <c r="C1519" s="809">
        <v>60.387999999999998</v>
      </c>
      <c r="D1519" s="737">
        <v>86.55</v>
      </c>
      <c r="E1519" s="857">
        <v>0.43323176790090745</v>
      </c>
      <c r="F1519" s="946" t="s">
        <v>2024</v>
      </c>
      <c r="G1519" s="78"/>
      <c r="H1519" t="str">
        <f>VLOOKUP(B1519,indexy!$A$44:$D$232,3,FALSE)</f>
        <v>XOM UN Equity</v>
      </c>
      <c r="J1519" s="31"/>
    </row>
    <row r="1520" spans="1:10" hidden="1" outlineLevel="1" x14ac:dyDescent="0.25">
      <c r="A1520" s="739">
        <v>0.05</v>
      </c>
      <c r="B1520" s="740" t="s">
        <v>1003</v>
      </c>
      <c r="C1520" s="809">
        <v>33.116999999999997</v>
      </c>
      <c r="D1520" s="737">
        <v>29.11</v>
      </c>
      <c r="E1520" s="857">
        <v>-0.12099525923241838</v>
      </c>
      <c r="F1520" s="946" t="s">
        <v>2024</v>
      </c>
      <c r="G1520" s="78"/>
      <c r="H1520" t="str">
        <f>VLOOKUP(B1520,indexy!$A$44:$D$232,3,FALSE)</f>
        <v>TXN UW Equity</v>
      </c>
      <c r="J1520" s="31"/>
    </row>
    <row r="1521" spans="1:10" hidden="1" outlineLevel="1" x14ac:dyDescent="0.25">
      <c r="A1521" s="739">
        <v>0.05</v>
      </c>
      <c r="B1521" s="740" t="s">
        <v>3797</v>
      </c>
      <c r="C1521" s="809">
        <v>39.377499999999998</v>
      </c>
      <c r="D1521" s="737">
        <v>59.6</v>
      </c>
      <c r="E1521" s="857">
        <v>0.51355469494000383</v>
      </c>
      <c r="F1521" s="946" t="s">
        <v>2024</v>
      </c>
      <c r="G1521" s="78"/>
      <c r="H1521" t="str">
        <f>VLOOKUP(B1521,indexy!$A$44:$D$232,3,FALSE)</f>
        <v>NESN SE Equity</v>
      </c>
      <c r="J1521" s="31"/>
    </row>
    <row r="1522" spans="1:10" hidden="1" outlineLevel="1" x14ac:dyDescent="0.25">
      <c r="A1522" s="739">
        <v>0.05</v>
      </c>
      <c r="B1522" s="761" t="s">
        <v>3551</v>
      </c>
      <c r="C1522" s="808">
        <v>5958</v>
      </c>
      <c r="D1522" s="759">
        <v>4005</v>
      </c>
      <c r="E1522" s="858">
        <v>-0.32779456193353473</v>
      </c>
      <c r="F1522" s="1850" t="s">
        <v>2025</v>
      </c>
      <c r="G1522" s="179">
        <v>40908</v>
      </c>
      <c r="H1522" s="163" t="str">
        <f>VLOOKUP(B1522,indexy!$A$44:$D$232,3,FALSE)</f>
        <v>7203 JT Equity</v>
      </c>
      <c r="J1522" s="31"/>
    </row>
    <row r="1523" spans="1:10" hidden="1" outlineLevel="1" x14ac:dyDescent="0.25">
      <c r="A1523" s="745">
        <v>0.05</v>
      </c>
      <c r="B1523" s="746" t="s">
        <v>157</v>
      </c>
      <c r="C1523" s="810">
        <v>8.3855000000000004</v>
      </c>
      <c r="D1523" s="737">
        <v>6.1</v>
      </c>
      <c r="E1523" s="818">
        <v>-0.27255381312980753</v>
      </c>
      <c r="F1523" s="1023" t="s">
        <v>2024</v>
      </c>
      <c r="G1523" s="78"/>
      <c r="H1523" t="str">
        <f>VLOOKUP(B1523,indexy!$A$44:$D$232,3,FALSE)</f>
        <v>SAN SM Equity</v>
      </c>
      <c r="J1523" s="31"/>
    </row>
    <row r="1524" spans="1:10" hidden="1" outlineLevel="1" x14ac:dyDescent="0.25">
      <c r="A1524" s="749"/>
      <c r="B1524" s="750"/>
      <c r="C1524" s="811"/>
      <c r="D1524" s="886"/>
      <c r="E1524" s="820"/>
      <c r="F1524" s="770"/>
      <c r="G1524" s="78"/>
      <c r="J1524" s="31"/>
    </row>
    <row r="1525" spans="1:10" hidden="1" outlineLevel="1" x14ac:dyDescent="0.25">
      <c r="A1525" s="751" t="s">
        <v>4594</v>
      </c>
      <c r="B1525" s="750"/>
      <c r="C1525" s="811"/>
      <c r="D1525" s="886"/>
      <c r="E1525" s="820"/>
      <c r="F1525" s="770">
        <v>3.5999999999999997E-2</v>
      </c>
      <c r="G1525" s="78"/>
      <c r="J1525" s="31"/>
    </row>
    <row r="1526" spans="1:10" hidden="1" outlineLevel="1" x14ac:dyDescent="0.25">
      <c r="A1526" s="751" t="s">
        <v>4595</v>
      </c>
      <c r="B1526" s="750" t="s">
        <v>391</v>
      </c>
      <c r="C1526" s="811"/>
      <c r="D1526" s="886"/>
      <c r="E1526" s="820"/>
      <c r="F1526" s="770">
        <v>2.4E-2</v>
      </c>
      <c r="G1526" s="78"/>
      <c r="J1526" s="31"/>
    </row>
    <row r="1527" spans="1:10" hidden="1" outlineLevel="1" x14ac:dyDescent="0.25">
      <c r="A1527" s="751" t="s">
        <v>4227</v>
      </c>
      <c r="B1527" s="750" t="s">
        <v>2862</v>
      </c>
      <c r="C1527" s="811"/>
      <c r="D1527" s="886"/>
      <c r="E1527" s="820"/>
      <c r="F1527" s="770">
        <v>1.6E-2</v>
      </c>
      <c r="G1527" s="78"/>
      <c r="J1527" s="31"/>
    </row>
    <row r="1528" spans="1:10" hidden="1" outlineLevel="1" x14ac:dyDescent="0.25">
      <c r="A1528" s="751" t="s">
        <v>2168</v>
      </c>
      <c r="B1528" s="750" t="s">
        <v>3900</v>
      </c>
      <c r="C1528" s="811"/>
      <c r="D1528" s="886"/>
      <c r="E1528" s="820"/>
      <c r="F1528" s="770">
        <v>1.0699999999999999E-2</v>
      </c>
      <c r="G1528" s="78"/>
      <c r="J1528" s="31"/>
    </row>
    <row r="1529" spans="1:10" hidden="1" outlineLevel="1" x14ac:dyDescent="0.25">
      <c r="A1529" s="751" t="s">
        <v>2910</v>
      </c>
      <c r="B1529" s="750" t="s">
        <v>3861</v>
      </c>
      <c r="C1529" s="811"/>
      <c r="D1529" s="886"/>
      <c r="E1529" s="820"/>
      <c r="F1529" s="770">
        <v>7.1000000000000004E-3</v>
      </c>
      <c r="G1529" s="78"/>
      <c r="J1529" s="31"/>
    </row>
    <row r="1530" spans="1:10" hidden="1" outlineLevel="1" x14ac:dyDescent="0.25">
      <c r="A1530" s="751" t="s">
        <v>2911</v>
      </c>
      <c r="B1530" s="750" t="s">
        <v>5146</v>
      </c>
      <c r="C1530" s="811"/>
      <c r="D1530" s="886"/>
      <c r="E1530" s="820"/>
      <c r="F1530" s="770">
        <v>4.7000000000000002E-3</v>
      </c>
      <c r="G1530" s="78"/>
      <c r="J1530" s="31"/>
    </row>
    <row r="1531" spans="1:10" hidden="1" outlineLevel="1" x14ac:dyDescent="0.25">
      <c r="A1531" s="751" t="s">
        <v>2912</v>
      </c>
      <c r="B1531" s="750"/>
      <c r="C1531" s="811"/>
      <c r="D1531" s="886"/>
      <c r="E1531" s="820"/>
      <c r="F1531" s="770">
        <v>3.0999999999999999E-3</v>
      </c>
      <c r="G1531" s="78"/>
      <c r="J1531" s="31"/>
    </row>
    <row r="1532" spans="1:10" collapsed="1" x14ac:dyDescent="0.25">
      <c r="A1532" s="3801" t="s">
        <v>3491</v>
      </c>
      <c r="B1532" s="3802"/>
      <c r="C1532" s="3802"/>
      <c r="D1532" s="3802"/>
      <c r="E1532" s="821"/>
      <c r="F1532" s="752">
        <v>0.1016</v>
      </c>
      <c r="G1532" s="97" t="s">
        <v>781</v>
      </c>
      <c r="J1532" s="31"/>
    </row>
    <row r="1533" spans="1:10" x14ac:dyDescent="0.25">
      <c r="A1533" s="94"/>
      <c r="B1533" s="94"/>
      <c r="C1533" s="94"/>
      <c r="D1533" s="94"/>
      <c r="E1533" s="97"/>
      <c r="F1533" s="96"/>
      <c r="G1533" s="78"/>
      <c r="J1533" s="31"/>
    </row>
    <row r="1534" spans="1:10" hidden="1" outlineLevel="1" x14ac:dyDescent="0.25">
      <c r="A1534" s="689" t="s">
        <v>113</v>
      </c>
      <c r="B1534" s="689" t="s">
        <v>114</v>
      </c>
      <c r="C1534" s="689" t="s">
        <v>112</v>
      </c>
      <c r="D1534" s="689" t="s">
        <v>116</v>
      </c>
      <c r="E1534" s="689" t="s">
        <v>117</v>
      </c>
      <c r="F1534" s="1188" t="s">
        <v>121</v>
      </c>
      <c r="G1534" s="78"/>
      <c r="J1534" s="31"/>
    </row>
    <row r="1535" spans="1:10" hidden="1" outlineLevel="1" x14ac:dyDescent="0.25">
      <c r="A1535" s="690">
        <v>1</v>
      </c>
      <c r="B1535" s="691" t="s">
        <v>252</v>
      </c>
      <c r="C1535" s="692"/>
      <c r="D1535" s="692"/>
      <c r="E1535" s="693"/>
      <c r="F1535" s="694"/>
      <c r="G1535" s="78"/>
      <c r="J1535" s="31"/>
    </row>
    <row r="1536" spans="1:10" hidden="1" outlineLevel="1" x14ac:dyDescent="0.25">
      <c r="A1536" s="706"/>
      <c r="B1536" s="695"/>
      <c r="C1536" s="696"/>
      <c r="D1536" s="697"/>
      <c r="E1536" s="698"/>
      <c r="F1536" s="699"/>
      <c r="G1536" s="78"/>
      <c r="J1536" s="31"/>
    </row>
    <row r="1537" spans="1:10" hidden="1" outlineLevel="1" x14ac:dyDescent="0.25">
      <c r="A1537" s="689" t="s">
        <v>4156</v>
      </c>
      <c r="B1537" s="689" t="s">
        <v>4153</v>
      </c>
      <c r="C1537" s="700" t="s">
        <v>112</v>
      </c>
      <c r="D1537" s="689" t="s">
        <v>116</v>
      </c>
      <c r="E1537" s="689" t="s">
        <v>4154</v>
      </c>
      <c r="F1537" s="1021" t="s">
        <v>2519</v>
      </c>
      <c r="G1537" s="78"/>
      <c r="J1537" s="31"/>
    </row>
    <row r="1538" spans="1:10" hidden="1" outlineLevel="1" x14ac:dyDescent="0.25">
      <c r="A1538" s="734">
        <v>3.3329999999999999E-2</v>
      </c>
      <c r="B1538" s="735" t="s">
        <v>3798</v>
      </c>
      <c r="C1538" s="736">
        <v>6.7786999999999997</v>
      </c>
      <c r="D1538" s="737">
        <v>5.0758000000000001</v>
      </c>
      <c r="E1538" s="895">
        <f t="shared" ref="E1538:E1567" si="34">D1538/C1538-1</f>
        <v>-0.25121335949370815</v>
      </c>
      <c r="F1538" s="1021">
        <f>E1538*A1538</f>
        <v>-8.3729412719252931E-3</v>
      </c>
      <c r="G1538" s="78"/>
      <c r="H1538" t="str">
        <f>VLOOKUP(B1538,indexy!$A$44:$D$232,3,FALSE)</f>
        <v>ENEL IM Equity</v>
      </c>
      <c r="J1538" s="31"/>
    </row>
    <row r="1539" spans="1:10" hidden="1" outlineLevel="1" x14ac:dyDescent="0.25">
      <c r="A1539" s="739">
        <v>3.3329999999999999E-2</v>
      </c>
      <c r="B1539" s="740" t="s">
        <v>3017</v>
      </c>
      <c r="C1539" s="741">
        <v>18.852</v>
      </c>
      <c r="D1539" s="737">
        <v>3.4325000000000001</v>
      </c>
      <c r="E1539" s="896">
        <f t="shared" si="34"/>
        <v>-0.81792382771058769</v>
      </c>
      <c r="F1539" s="1666">
        <f>E1539*A1539</f>
        <v>-2.7261401177593885E-2</v>
      </c>
      <c r="G1539" s="78"/>
      <c r="H1539" t="e">
        <f>VLOOKUP(B1539,indexy!$A$44:$D$232,3,FALSE)</f>
        <v>#N/A</v>
      </c>
      <c r="J1539" s="242"/>
    </row>
    <row r="1540" spans="1:10" hidden="1" outlineLevel="1" x14ac:dyDescent="0.25">
      <c r="A1540" s="739">
        <v>3.3329999999999999E-2</v>
      </c>
      <c r="B1540" s="740" t="s">
        <v>157</v>
      </c>
      <c r="C1540" s="741">
        <v>7.61</v>
      </c>
      <c r="D1540" s="737">
        <v>5.8079999999999998</v>
      </c>
      <c r="E1540" s="896">
        <f t="shared" si="34"/>
        <v>-0.23679369250985549</v>
      </c>
      <c r="F1540" s="1666">
        <f t="shared" ref="F1540:F1567" si="35">E1540*A1540</f>
        <v>-7.8923337713534825E-3</v>
      </c>
      <c r="G1540" s="78"/>
      <c r="H1540" t="str">
        <f>VLOOKUP(B1540,indexy!$A$44:$D$232,3,FALSE)</f>
        <v>SAN SM Equity</v>
      </c>
      <c r="I1540" s="106"/>
      <c r="J1540" s="242"/>
    </row>
    <row r="1541" spans="1:10" hidden="1" outlineLevel="1" x14ac:dyDescent="0.25">
      <c r="A1541" s="739">
        <v>3.3329999999999999E-2</v>
      </c>
      <c r="B1541" s="740" t="s">
        <v>1176</v>
      </c>
      <c r="C1541" s="741">
        <v>21.7</v>
      </c>
      <c r="D1541" s="737">
        <v>0.64949999999999997</v>
      </c>
      <c r="E1541" s="896">
        <f t="shared" si="34"/>
        <v>-0.97006912442396309</v>
      </c>
      <c r="F1541" s="1666">
        <f t="shared" si="35"/>
        <v>-3.2332403917050688E-2</v>
      </c>
      <c r="G1541" s="78"/>
      <c r="H1541" t="str">
        <f>VLOOKUP(B1541,indexy!$A$44:$D$232,3,FALSE)</f>
        <v>AGS BB Equity</v>
      </c>
      <c r="J1541" s="242"/>
    </row>
    <row r="1542" spans="1:10" hidden="1" outlineLevel="1" x14ac:dyDescent="0.25">
      <c r="A1542" s="739">
        <v>3.3329999999999999E-2</v>
      </c>
      <c r="B1542" s="740" t="s">
        <v>4025</v>
      </c>
      <c r="C1542" s="741">
        <v>42.780999999999999</v>
      </c>
      <c r="D1542" s="737">
        <v>23.080500000000001</v>
      </c>
      <c r="E1542" s="896">
        <f t="shared" si="34"/>
        <v>-0.46049648208316774</v>
      </c>
      <c r="F1542" s="1666">
        <f t="shared" si="35"/>
        <v>-1.534834774783198E-2</v>
      </c>
      <c r="G1542" s="78"/>
      <c r="H1542" t="str">
        <f>VLOOKUP(B1542,indexy!$A$44:$D$232,3,FALSE)</f>
        <v>MBG GR Equity</v>
      </c>
      <c r="J1542" s="242"/>
    </row>
    <row r="1543" spans="1:10" hidden="1" outlineLevel="1" x14ac:dyDescent="0.25">
      <c r="A1543" s="739">
        <v>3.3329999999999999E-2</v>
      </c>
      <c r="B1543" s="740" t="s">
        <v>1203</v>
      </c>
      <c r="C1543" s="741">
        <v>80.75</v>
      </c>
      <c r="D1543" s="737">
        <v>58.28</v>
      </c>
      <c r="E1543" s="896">
        <f t="shared" si="34"/>
        <v>-0.27826625386996906</v>
      </c>
      <c r="F1543" s="1666">
        <f t="shared" si="35"/>
        <v>-9.2746142414860677E-3</v>
      </c>
      <c r="G1543" s="78"/>
      <c r="H1543" t="str">
        <f>VLOOKUP(B1543,indexy!$A$44:$D$232,3,FALSE)</f>
        <v>NDA SS Equity</v>
      </c>
      <c r="J1543" s="242"/>
    </row>
    <row r="1544" spans="1:10" hidden="1" outlineLevel="1" x14ac:dyDescent="0.25">
      <c r="A1544" s="739">
        <v>3.3329999999999999E-2</v>
      </c>
      <c r="B1544" s="740" t="s">
        <v>3021</v>
      </c>
      <c r="C1544" s="741">
        <v>23.687999999999999</v>
      </c>
      <c r="D1544" s="737">
        <v>17.556999999999999</v>
      </c>
      <c r="E1544" s="896">
        <f t="shared" si="34"/>
        <v>-0.25882303275920304</v>
      </c>
      <c r="F1544" s="1666">
        <f t="shared" si="35"/>
        <v>-8.6265716818642365E-3</v>
      </c>
      <c r="G1544" s="78"/>
      <c r="H1544" t="str">
        <f>VLOOKUP(B1544,indexy!$A$44:$D$232,3,FALSE)</f>
        <v>ENI IM Equity</v>
      </c>
      <c r="J1544" s="242"/>
    </row>
    <row r="1545" spans="1:10" hidden="1" outlineLevel="1" x14ac:dyDescent="0.25">
      <c r="A1545" s="739">
        <v>3.3329999999999999E-2</v>
      </c>
      <c r="B1545" s="740" t="s">
        <v>218</v>
      </c>
      <c r="C1545" s="741">
        <v>26.17</v>
      </c>
      <c r="D1545" s="737">
        <v>13.189</v>
      </c>
      <c r="E1545" s="896">
        <f t="shared" si="34"/>
        <v>-0.4960259839510891</v>
      </c>
      <c r="F1545" s="1666">
        <f t="shared" si="35"/>
        <v>-1.6532546045089799E-2</v>
      </c>
      <c r="G1545" s="78"/>
      <c r="H1545" t="str">
        <f>VLOOKUP(B1545,indexy!$A$44:$D$232,3,FALSE)</f>
        <v>CS FP Equity</v>
      </c>
      <c r="J1545" s="242"/>
    </row>
    <row r="1546" spans="1:10" hidden="1" outlineLevel="1" x14ac:dyDescent="0.25">
      <c r="A1546" s="739">
        <v>3.3329999999999999E-2</v>
      </c>
      <c r="B1546" s="740" t="s">
        <v>3019</v>
      </c>
      <c r="C1546" s="741">
        <v>67.069999999999993</v>
      </c>
      <c r="D1546" s="737">
        <v>39.923499999999997</v>
      </c>
      <c r="E1546" s="896">
        <f t="shared" si="34"/>
        <v>-0.40474876994185183</v>
      </c>
      <c r="F1546" s="1666">
        <f t="shared" si="35"/>
        <v>-1.349027650216192E-2</v>
      </c>
      <c r="G1546" s="78"/>
      <c r="H1546" t="str">
        <f>VLOOKUP(B1546,indexy!$A$44:$D$232,3,FALSE)</f>
        <v>BNP FP Equity</v>
      </c>
      <c r="J1546" s="242"/>
    </row>
    <row r="1547" spans="1:10" hidden="1" outlineLevel="1" x14ac:dyDescent="0.25">
      <c r="A1547" s="739">
        <v>3.3329999999999999E-2</v>
      </c>
      <c r="B1547" s="740" t="s">
        <v>2629</v>
      </c>
      <c r="C1547" s="741">
        <v>14.010999999999999</v>
      </c>
      <c r="D1547" s="737">
        <v>10.884</v>
      </c>
      <c r="E1547" s="896">
        <f t="shared" si="34"/>
        <v>-0.22318178573977587</v>
      </c>
      <c r="F1547" s="1666">
        <f t="shared" si="35"/>
        <v>-7.4386489187067296E-3</v>
      </c>
      <c r="G1547" s="78"/>
      <c r="H1547" t="str">
        <f>VLOOKUP(B1547,indexy!$A$44:$D$232,3,FALSE)</f>
        <v>DTE GY Equity</v>
      </c>
      <c r="J1547" s="242"/>
    </row>
    <row r="1548" spans="1:10" hidden="1" outlineLevel="1" x14ac:dyDescent="0.25">
      <c r="A1548" s="739">
        <v>3.3329999999999999E-2</v>
      </c>
      <c r="B1548" s="740" t="s">
        <v>1527</v>
      </c>
      <c r="C1548" s="741">
        <v>2.4550000000000001</v>
      </c>
      <c r="D1548" s="737">
        <v>1.0296000000000001</v>
      </c>
      <c r="E1548" s="896">
        <f t="shared" si="34"/>
        <v>-0.58061099796334004</v>
      </c>
      <c r="F1548" s="1666">
        <f t="shared" si="35"/>
        <v>-1.9351764562118123E-2</v>
      </c>
      <c r="G1548" s="78"/>
      <c r="H1548" t="str">
        <f>VLOOKUP(B1548,indexy!$A$44:$D$232,3,FALSE)</f>
        <v>TIT IM Equity</v>
      </c>
      <c r="J1548" s="242"/>
    </row>
    <row r="1549" spans="1:10" hidden="1" outlineLevel="1" x14ac:dyDescent="0.25">
      <c r="A1549" s="739">
        <v>3.3329999999999999E-2</v>
      </c>
      <c r="B1549" s="740" t="s">
        <v>54</v>
      </c>
      <c r="C1549" s="741">
        <v>25.195</v>
      </c>
      <c r="D1549" s="737">
        <v>14.486000000000001</v>
      </c>
      <c r="E1549" s="896">
        <f t="shared" si="34"/>
        <v>-0.42504465171661043</v>
      </c>
      <c r="F1549" s="1666">
        <f t="shared" si="35"/>
        <v>-1.4166738241714626E-2</v>
      </c>
      <c r="G1549" s="78"/>
      <c r="H1549" t="str">
        <f>VLOOKUP(B1549,indexy!$A$44:$D$232,3,FALSE)</f>
        <v>REP SQ Equity</v>
      </c>
      <c r="J1549" s="242"/>
    </row>
    <row r="1550" spans="1:10" hidden="1" outlineLevel="1" x14ac:dyDescent="0.25">
      <c r="A1550" s="739">
        <v>3.3329999999999999E-2</v>
      </c>
      <c r="B1550" s="740" t="s">
        <v>2588</v>
      </c>
      <c r="C1550" s="741">
        <v>28.812999999999999</v>
      </c>
      <c r="D1550" s="737">
        <v>6.3259999999999996</v>
      </c>
      <c r="E1550" s="896">
        <f t="shared" si="34"/>
        <v>-0.78044632631104016</v>
      </c>
      <c r="F1550" s="1666">
        <f t="shared" si="35"/>
        <v>-2.6012276055946967E-2</v>
      </c>
      <c r="G1550" s="78"/>
      <c r="H1550" t="str">
        <f>VLOOKUP(B1550,indexy!$A$44:$D$232,3,FALSE)</f>
        <v>INGA NA Equity</v>
      </c>
      <c r="J1550" s="242"/>
    </row>
    <row r="1551" spans="1:10" hidden="1" outlineLevel="1" x14ac:dyDescent="0.25">
      <c r="A1551" s="739">
        <v>3.3329999999999999E-2</v>
      </c>
      <c r="B1551" s="740" t="s">
        <v>51</v>
      </c>
      <c r="C1551" s="741">
        <v>49.73</v>
      </c>
      <c r="D1551" s="737">
        <v>28.833500000000001</v>
      </c>
      <c r="E1551" s="896">
        <f t="shared" si="34"/>
        <v>-0.42019907500502707</v>
      </c>
      <c r="F1551" s="1666">
        <f t="shared" si="35"/>
        <v>-1.4005235169917552E-2</v>
      </c>
      <c r="G1551" s="78"/>
      <c r="H1551" t="str">
        <f>VLOOKUP(B1551,indexy!$A$44:$D$232,3,FALSE)</f>
        <v>SGO FP Equity</v>
      </c>
      <c r="J1551" s="242"/>
    </row>
    <row r="1552" spans="1:10" hidden="1" outlineLevel="1" x14ac:dyDescent="0.25">
      <c r="A1552" s="739">
        <v>3.3329999999999999E-2</v>
      </c>
      <c r="B1552" s="740" t="s">
        <v>4387</v>
      </c>
      <c r="C1552" s="741">
        <v>26.28</v>
      </c>
      <c r="D1552" s="737">
        <v>26.420999999999999</v>
      </c>
      <c r="E1552" s="896">
        <f t="shared" si="34"/>
        <v>5.3652968036528303E-3</v>
      </c>
      <c r="F1552" s="1666">
        <f t="shared" si="35"/>
        <v>1.7882534246574882E-4</v>
      </c>
      <c r="G1552" s="78"/>
      <c r="H1552" t="str">
        <f>VLOOKUP(B1552,indexy!$A$44:$D$232,3,FALSE)</f>
        <v>EOAN GY Equity</v>
      </c>
      <c r="J1552" s="242"/>
    </row>
    <row r="1553" spans="1:10" hidden="1" outlineLevel="1" x14ac:dyDescent="0.25">
      <c r="A1553" s="739">
        <v>3.3329999999999999E-2</v>
      </c>
      <c r="B1553" s="740" t="s">
        <v>576</v>
      </c>
      <c r="C1553" s="741">
        <v>17.183</v>
      </c>
      <c r="D1553" s="737">
        <v>8.2204999999999995</v>
      </c>
      <c r="E1553" s="896">
        <f t="shared" si="34"/>
        <v>-0.52159110748996107</v>
      </c>
      <c r="F1553" s="1666">
        <f t="shared" si="35"/>
        <v>-1.7384631612640401E-2</v>
      </c>
      <c r="G1553" s="78"/>
      <c r="H1553" t="e">
        <f>VLOOKUP(B1553,indexy!$A$44:$D$232,3,FALSE)</f>
        <v>#N/A</v>
      </c>
      <c r="J1553" s="242"/>
    </row>
    <row r="1554" spans="1:10" hidden="1" outlineLevel="1" x14ac:dyDescent="0.25">
      <c r="A1554" s="739">
        <v>3.3329999999999999E-2</v>
      </c>
      <c r="B1554" s="740" t="s">
        <v>507</v>
      </c>
      <c r="C1554" s="741">
        <v>19.13</v>
      </c>
      <c r="D1554" s="737">
        <v>18.234000000000002</v>
      </c>
      <c r="E1554" s="896">
        <f t="shared" si="34"/>
        <v>-4.6837428123366331E-2</v>
      </c>
      <c r="F1554" s="1666">
        <f t="shared" si="35"/>
        <v>-1.5610914793517997E-3</v>
      </c>
      <c r="G1554" s="78"/>
      <c r="H1554" t="str">
        <f>VLOOKUP(B1554,indexy!$A$44:$D$232,3,FALSE)</f>
        <v>UNA NA Equity</v>
      </c>
      <c r="J1554" s="242"/>
    </row>
    <row r="1555" spans="1:10" hidden="1" outlineLevel="1" x14ac:dyDescent="0.25">
      <c r="A1555" s="739">
        <v>3.3329999999999999E-2</v>
      </c>
      <c r="B1555" s="740" t="s">
        <v>3406</v>
      </c>
      <c r="C1555" s="741">
        <v>840.05</v>
      </c>
      <c r="D1555" s="737">
        <v>894.9</v>
      </c>
      <c r="E1555" s="896">
        <f t="shared" si="34"/>
        <v>6.5293732515921743E-2</v>
      </c>
      <c r="F1555" s="1666">
        <f t="shared" si="35"/>
        <v>2.1762401047556714E-3</v>
      </c>
      <c r="G1555" s="78"/>
      <c r="H1555" t="str">
        <f>VLOOKUP(B1555,indexy!$A$44:$D$232,3,FALSE)</f>
        <v>DGE LN Equity</v>
      </c>
      <c r="J1555" s="242"/>
    </row>
    <row r="1556" spans="1:10" hidden="1" outlineLevel="1" x14ac:dyDescent="0.25">
      <c r="A1556" s="739">
        <v>3.3329999999999999E-2</v>
      </c>
      <c r="B1556" s="740" t="s">
        <v>3801</v>
      </c>
      <c r="C1556" s="741">
        <v>59.781999999999996</v>
      </c>
      <c r="D1556" s="737">
        <v>63.93</v>
      </c>
      <c r="E1556" s="896">
        <f t="shared" si="34"/>
        <v>6.938543374259809E-2</v>
      </c>
      <c r="F1556" s="1666">
        <f t="shared" si="35"/>
        <v>2.3126165066407944E-3</v>
      </c>
      <c r="G1556" s="78"/>
      <c r="H1556" t="str">
        <f>VLOOKUP(B1556,indexy!$A$44:$D$232,3,FALSE)</f>
        <v>RWE GY Equity</v>
      </c>
      <c r="J1556" s="242"/>
    </row>
    <row r="1557" spans="1:10" hidden="1" outlineLevel="1" x14ac:dyDescent="0.25">
      <c r="A1557" s="739">
        <v>3.3329999999999999E-2</v>
      </c>
      <c r="B1557" s="740" t="s">
        <v>1184</v>
      </c>
      <c r="C1557" s="741">
        <f>63.269/2</f>
        <v>31.634499999999999</v>
      </c>
      <c r="D1557" s="737">
        <v>24.125</v>
      </c>
      <c r="E1557" s="896">
        <f t="shared" si="34"/>
        <v>-0.23738323665618233</v>
      </c>
      <c r="F1557" s="1666">
        <f t="shared" si="35"/>
        <v>-7.9119832777505561E-3</v>
      </c>
      <c r="G1557" s="78"/>
      <c r="H1557" t="str">
        <f>VLOOKUP(B1557,indexy!$A$44:$D$232,3,FALSE)</f>
        <v>BAS GY Equity</v>
      </c>
      <c r="J1557" s="242"/>
    </row>
    <row r="1558" spans="1:10" hidden="1" outlineLevel="1" x14ac:dyDescent="0.25">
      <c r="A1558" s="739">
        <v>3.3329999999999999E-2</v>
      </c>
      <c r="B1558" s="740" t="s">
        <v>182</v>
      </c>
      <c r="C1558" s="741">
        <v>58.48</v>
      </c>
      <c r="D1558" s="737">
        <v>13.528</v>
      </c>
      <c r="E1558" s="896">
        <f t="shared" si="34"/>
        <v>-0.76867305061559499</v>
      </c>
      <c r="F1558" s="1666">
        <f t="shared" si="35"/>
        <v>-2.5619872777017778E-2</v>
      </c>
      <c r="G1558" s="78"/>
      <c r="H1558" t="str">
        <f>VLOOKUP(B1558,indexy!$A$44:$D$232,3,FALSE)</f>
        <v>UBS US Equity</v>
      </c>
      <c r="J1558" s="242"/>
    </row>
    <row r="1559" spans="1:10" hidden="1" outlineLevel="1" x14ac:dyDescent="0.25">
      <c r="A1559" s="739">
        <v>3.3329999999999999E-2</v>
      </c>
      <c r="B1559" s="740" t="s">
        <v>1183</v>
      </c>
      <c r="C1559" s="741">
        <v>53.34</v>
      </c>
      <c r="D1559" s="737">
        <v>40.033000000000001</v>
      </c>
      <c r="E1559" s="897">
        <f t="shared" si="34"/>
        <v>-0.24947506561679789</v>
      </c>
      <c r="F1559" s="1666">
        <f t="shared" si="35"/>
        <v>-8.3150039370078737E-3</v>
      </c>
      <c r="G1559" s="78"/>
      <c r="H1559" t="e">
        <f>VLOOKUP(B1559,indexy!$A$44:$D$232,3,FALSE)</f>
        <v>#N/A</v>
      </c>
      <c r="J1559" s="242"/>
    </row>
    <row r="1560" spans="1:10" hidden="1" outlineLevel="1" x14ac:dyDescent="0.25">
      <c r="A1560" s="739">
        <v>3.3329999999999999E-2</v>
      </c>
      <c r="B1560" s="744" t="s">
        <v>3169</v>
      </c>
      <c r="C1560" s="898">
        <v>25.814</v>
      </c>
      <c r="D1560" s="737">
        <v>20.964500000000001</v>
      </c>
      <c r="E1560" s="897">
        <f t="shared" si="34"/>
        <v>-0.18786317502130623</v>
      </c>
      <c r="F1560" s="1666">
        <f t="shared" si="35"/>
        <v>-6.2614796234601363E-3</v>
      </c>
      <c r="G1560" s="78"/>
      <c r="H1560" t="str">
        <f>VLOOKUP(B1560,indexy!$A$44:$D$232,3,FALSE)</f>
        <v>VIV FP Equity</v>
      </c>
      <c r="J1560" s="242"/>
    </row>
    <row r="1561" spans="1:10" hidden="1" outlineLevel="1" x14ac:dyDescent="0.25">
      <c r="A1561" s="739">
        <v>3.3329999999999999E-2</v>
      </c>
      <c r="B1561" s="740" t="s">
        <v>1653</v>
      </c>
      <c r="C1561" s="741">
        <v>11.43</v>
      </c>
      <c r="D1561" s="737">
        <v>9.2301000000000002</v>
      </c>
      <c r="E1561" s="896">
        <f t="shared" si="34"/>
        <v>-0.19246719160104986</v>
      </c>
      <c r="F1561" s="1666">
        <f t="shared" si="35"/>
        <v>-6.4149314960629915E-3</v>
      </c>
      <c r="G1561" s="78"/>
      <c r="H1561" t="str">
        <f>VLOOKUP(B1561,indexy!$A$44:$D$232,3,FALSE)</f>
        <v>REN NA Equity</v>
      </c>
      <c r="J1561" s="242"/>
    </row>
    <row r="1562" spans="1:10" hidden="1" outlineLevel="1" x14ac:dyDescent="0.25">
      <c r="A1562" s="739">
        <v>3.3329999999999999E-2</v>
      </c>
      <c r="B1562" s="740" t="s">
        <v>3385</v>
      </c>
      <c r="C1562" s="741">
        <v>46.101999999999997</v>
      </c>
      <c r="D1562" s="737">
        <v>328.66199999999998</v>
      </c>
      <c r="E1562" s="896">
        <f t="shared" si="34"/>
        <v>6.1290182638497246</v>
      </c>
      <c r="F1562" s="1666">
        <f t="shared" si="35"/>
        <v>0.20428017873411131</v>
      </c>
      <c r="G1562" s="78"/>
      <c r="H1562" t="str">
        <f>VLOOKUP(B1562,indexy!$A$44:$D$232,3,FALSE)</f>
        <v>VOW GY Equity</v>
      </c>
      <c r="J1562" s="242"/>
    </row>
    <row r="1563" spans="1:10" hidden="1" outlineLevel="1" x14ac:dyDescent="0.25">
      <c r="A1563" s="739">
        <v>3.3329999999999999E-2</v>
      </c>
      <c r="B1563" s="740" t="s">
        <v>53</v>
      </c>
      <c r="C1563" s="741">
        <f>89.04/2</f>
        <v>44.52</v>
      </c>
      <c r="D1563" s="737">
        <v>43.713000000000001</v>
      </c>
      <c r="E1563" s="896">
        <f t="shared" si="34"/>
        <v>-1.8126684636118662E-2</v>
      </c>
      <c r="F1563" s="1666">
        <f t="shared" si="35"/>
        <v>-6.0416239892183501E-4</v>
      </c>
      <c r="G1563" s="78"/>
      <c r="H1563" t="str">
        <f>VLOOKUP(B1563,indexy!$A$44:$D$232,3,FALSE)</f>
        <v>BN FP Equity</v>
      </c>
      <c r="J1563" s="242"/>
    </row>
    <row r="1564" spans="1:10" hidden="1" outlineLevel="1" x14ac:dyDescent="0.25">
      <c r="A1564" s="739">
        <v>3.3329999999999999E-2</v>
      </c>
      <c r="B1564" s="740" t="s">
        <v>1190</v>
      </c>
      <c r="C1564" s="741">
        <v>15.367000000000001</v>
      </c>
      <c r="D1564" s="737">
        <v>10.667999999999999</v>
      </c>
      <c r="E1564" s="896">
        <f t="shared" si="34"/>
        <v>-0.30578512396694224</v>
      </c>
      <c r="F1564" s="1666">
        <f t="shared" si="35"/>
        <v>-1.0191818181818184E-2</v>
      </c>
      <c r="G1564" s="78"/>
      <c r="H1564" t="str">
        <f>VLOOKUP(B1564,indexy!$A$44:$D$232,3,FALSE)</f>
        <v>NOKIA FH Equity</v>
      </c>
      <c r="J1564" s="242"/>
    </row>
    <row r="1565" spans="1:10" hidden="1" outlineLevel="1" x14ac:dyDescent="0.25">
      <c r="A1565" s="739">
        <v>3.3329999999999999E-2</v>
      </c>
      <c r="B1565" s="740" t="s">
        <v>3797</v>
      </c>
      <c r="C1565" s="741">
        <f>392.975/10</f>
        <v>39.297499999999999</v>
      </c>
      <c r="D1565" s="737">
        <v>43.23</v>
      </c>
      <c r="E1565" s="896">
        <f t="shared" si="34"/>
        <v>0.10006997900629799</v>
      </c>
      <c r="F1565" s="1666">
        <f t="shared" si="35"/>
        <v>3.335332400279912E-3</v>
      </c>
      <c r="G1565" s="78"/>
      <c r="H1565" t="str">
        <f>VLOOKUP(B1565,indexy!$A$44:$D$232,3,FALSE)</f>
        <v>NESN SE Equity</v>
      </c>
      <c r="J1565" s="242"/>
    </row>
    <row r="1566" spans="1:10" hidden="1" outlineLevel="1" x14ac:dyDescent="0.25">
      <c r="A1566" s="739">
        <v>3.3329999999999999E-2</v>
      </c>
      <c r="B1566" s="740" t="s">
        <v>3405</v>
      </c>
      <c r="C1566" s="741">
        <v>38.619999999999997</v>
      </c>
      <c r="D1566" s="737">
        <v>30.039000000000001</v>
      </c>
      <c r="E1566" s="896">
        <f t="shared" si="34"/>
        <v>-0.22219057483169335</v>
      </c>
      <c r="F1566" s="1666">
        <f t="shared" si="35"/>
        <v>-7.405611859140339E-3</v>
      </c>
      <c r="G1566" s="78"/>
      <c r="H1566" t="str">
        <f>VLOOKUP(B1566,indexy!$A$44:$D$232,3,FALSE)</f>
        <v>CA FP Equity</v>
      </c>
      <c r="J1566" s="242"/>
    </row>
    <row r="1567" spans="1:10" hidden="1" outlineLevel="1" x14ac:dyDescent="0.25">
      <c r="A1567" s="739">
        <v>3.3329999999999999E-2</v>
      </c>
      <c r="B1567" s="740" t="s">
        <v>3020</v>
      </c>
      <c r="C1567" s="741">
        <v>34.170999999999999</v>
      </c>
      <c r="D1567" s="737">
        <v>39.781999999999996</v>
      </c>
      <c r="E1567" s="896">
        <f t="shared" si="34"/>
        <v>0.16420356442597517</v>
      </c>
      <c r="F1567" s="1666">
        <f t="shared" si="35"/>
        <v>5.472904802317752E-3</v>
      </c>
      <c r="G1567" s="78"/>
      <c r="H1567" t="str">
        <f>VLOOKUP(B1567,indexy!$A$44:$D$232,3,FALSE)</f>
        <v>BAYN GR Equity</v>
      </c>
      <c r="J1567" s="242"/>
    </row>
    <row r="1568" spans="1:10" hidden="1" outlineLevel="1" x14ac:dyDescent="0.25">
      <c r="A1568" s="717"/>
      <c r="B1568" s="718"/>
      <c r="C1568" s="719"/>
      <c r="D1568" s="719"/>
      <c r="E1568" s="720"/>
      <c r="F1568" s="934">
        <f>SUM(F1538:F1567)</f>
        <v>-9.402058805736202E-2</v>
      </c>
      <c r="G1568" s="78"/>
      <c r="J1568" s="242"/>
    </row>
    <row r="1569" spans="1:10" ht="14.25" customHeight="1" collapsed="1" x14ac:dyDescent="0.25">
      <c r="A1569" s="723" t="s">
        <v>2156</v>
      </c>
      <c r="B1569" s="724"/>
      <c r="C1569" s="724"/>
      <c r="D1569" s="724"/>
      <c r="E1569" s="721" t="s">
        <v>2722</v>
      </c>
      <c r="F1569" s="752">
        <f>+IF(F1568&gt;0,F1568,0)-0.045</f>
        <v>-4.4999999999999998E-2</v>
      </c>
      <c r="G1569" s="175" t="s">
        <v>781</v>
      </c>
      <c r="J1569" s="31"/>
    </row>
    <row r="1570" spans="1:10" x14ac:dyDescent="0.25">
      <c r="A1570" s="1"/>
      <c r="B1570" s="1"/>
      <c r="C1570" s="1"/>
      <c r="D1570" s="1"/>
      <c r="E1570" s="1"/>
      <c r="F1570" s="1848"/>
      <c r="G1570" s="78"/>
      <c r="J1570" s="31"/>
    </row>
    <row r="1571" spans="1:10" hidden="1" outlineLevel="1" x14ac:dyDescent="0.25">
      <c r="A1571" s="689" t="s">
        <v>113</v>
      </c>
      <c r="B1571" s="689" t="s">
        <v>114</v>
      </c>
      <c r="C1571" s="689" t="s">
        <v>112</v>
      </c>
      <c r="D1571" s="689" t="s">
        <v>116</v>
      </c>
      <c r="E1571" s="689" t="s">
        <v>117</v>
      </c>
      <c r="F1571" s="1188" t="s">
        <v>121</v>
      </c>
      <c r="G1571" s="78"/>
      <c r="H1571" s="21"/>
      <c r="J1571" s="31"/>
    </row>
    <row r="1572" spans="1:10" hidden="1" outlineLevel="1" x14ac:dyDescent="0.25">
      <c r="A1572" s="690">
        <v>1</v>
      </c>
      <c r="B1572" s="691" t="s">
        <v>252</v>
      </c>
      <c r="C1572" s="692"/>
      <c r="D1572" s="692"/>
      <c r="E1572" s="693"/>
      <c r="F1572" s="694"/>
      <c r="G1572" s="78"/>
      <c r="H1572" s="21"/>
      <c r="J1572" s="31"/>
    </row>
    <row r="1573" spans="1:10" hidden="1" outlineLevel="1" x14ac:dyDescent="0.25">
      <c r="A1573" s="706"/>
      <c r="B1573" s="695"/>
      <c r="C1573" s="696"/>
      <c r="D1573" s="697" t="s">
        <v>3702</v>
      </c>
      <c r="E1573" s="698">
        <v>39813</v>
      </c>
      <c r="F1573" s="699"/>
      <c r="G1573" s="78"/>
      <c r="H1573" s="21"/>
      <c r="J1573" s="31"/>
    </row>
    <row r="1574" spans="1:10" hidden="1" outlineLevel="1" x14ac:dyDescent="0.25">
      <c r="A1574" s="689" t="s">
        <v>4156</v>
      </c>
      <c r="B1574" s="689" t="s">
        <v>4153</v>
      </c>
      <c r="C1574" s="700" t="s">
        <v>112</v>
      </c>
      <c r="D1574" s="899" t="s">
        <v>116</v>
      </c>
      <c r="E1574" s="689" t="s">
        <v>4154</v>
      </c>
      <c r="F1574" s="1021" t="s">
        <v>2519</v>
      </c>
      <c r="G1574" s="78"/>
      <c r="H1574" s="21"/>
      <c r="J1574" s="31"/>
    </row>
    <row r="1575" spans="1:10" hidden="1" outlineLevel="1" x14ac:dyDescent="0.25">
      <c r="A1575" s="734">
        <v>3.3329999999999999E-2</v>
      </c>
      <c r="B1575" s="735" t="s">
        <v>3798</v>
      </c>
      <c r="C1575" s="736">
        <v>6.7049000000000003</v>
      </c>
      <c r="D1575" s="737">
        <v>4.5225</v>
      </c>
      <c r="E1575" s="895">
        <f t="shared" ref="E1575:E1604" si="36">D1575/C1575-1</f>
        <v>-0.32549329594773979</v>
      </c>
      <c r="F1575" s="1021">
        <f>E1575*A1575</f>
        <v>-1.0848691553938167E-2</v>
      </c>
      <c r="G1575" s="78"/>
      <c r="H1575" t="str">
        <f>VLOOKUP(B1575,indexy!$A$44:$D$232,3,FALSE)</f>
        <v>ENEL IM Equity</v>
      </c>
      <c r="J1575" s="31"/>
    </row>
    <row r="1576" spans="1:10" hidden="1" outlineLevel="1" x14ac:dyDescent="0.25">
      <c r="A1576" s="739">
        <v>3.3329999999999999E-2</v>
      </c>
      <c r="B1576" s="740" t="s">
        <v>3017</v>
      </c>
      <c r="C1576" s="741">
        <v>19.707000000000001</v>
      </c>
      <c r="D1576" s="737">
        <v>3.2</v>
      </c>
      <c r="E1576" s="896">
        <f t="shared" si="36"/>
        <v>-0.83762114984523262</v>
      </c>
      <c r="F1576" s="1666">
        <f>E1576*A1576</f>
        <v>-2.7917912924341603E-2</v>
      </c>
      <c r="G1576" s="78"/>
      <c r="H1576" t="e">
        <f>VLOOKUP(B1576,indexy!$A$44:$D$232,3,FALSE)</f>
        <v>#N/A</v>
      </c>
      <c r="I1576" s="106"/>
      <c r="J1576" s="31"/>
    </row>
    <row r="1577" spans="1:10" hidden="1" outlineLevel="1" x14ac:dyDescent="0.25">
      <c r="A1577" s="739">
        <v>3.3329999999999999E-2</v>
      </c>
      <c r="B1577" s="740" t="s">
        <v>157</v>
      </c>
      <c r="C1577" s="741">
        <v>8.4103999999999992</v>
      </c>
      <c r="D1577" s="737">
        <v>6.75</v>
      </c>
      <c r="E1577" s="896">
        <f t="shared" si="36"/>
        <v>-0.19742223913250256</v>
      </c>
      <c r="F1577" s="1666">
        <f t="shared" ref="F1577:F1604" si="37">E1577*A1577</f>
        <v>-6.5800832302863104E-3</v>
      </c>
      <c r="G1577" s="78"/>
      <c r="H1577" t="str">
        <f>VLOOKUP(B1577,indexy!$A$44:$D$232,3,FALSE)</f>
        <v>SAN SM Equity</v>
      </c>
      <c r="J1577" s="31"/>
    </row>
    <row r="1578" spans="1:10" hidden="1" outlineLevel="1" x14ac:dyDescent="0.25">
      <c r="A1578" s="739">
        <v>3.3329999999999999E-2</v>
      </c>
      <c r="B1578" s="740" t="s">
        <v>1176</v>
      </c>
      <c r="C1578" s="741">
        <v>27.212</v>
      </c>
      <c r="D1578" s="737">
        <v>0.92900000000000005</v>
      </c>
      <c r="E1578" s="896">
        <f t="shared" si="36"/>
        <v>-0.96586064971336172</v>
      </c>
      <c r="F1578" s="1666">
        <f t="shared" si="37"/>
        <v>-3.2192135454946341E-2</v>
      </c>
      <c r="G1578" s="78"/>
      <c r="H1578" t="str">
        <f>VLOOKUP(B1578,indexy!$A$44:$D$232,3,FALSE)</f>
        <v>AGS BB Equity</v>
      </c>
      <c r="J1578" s="31"/>
    </row>
    <row r="1579" spans="1:10" hidden="1" outlineLevel="1" x14ac:dyDescent="0.25">
      <c r="A1579" s="739">
        <v>3.3329999999999999E-2</v>
      </c>
      <c r="B1579" s="740" t="s">
        <v>4025</v>
      </c>
      <c r="C1579" s="741">
        <v>43.808</v>
      </c>
      <c r="D1579" s="737">
        <v>26.7</v>
      </c>
      <c r="E1579" s="896">
        <f t="shared" si="36"/>
        <v>-0.39052227903579251</v>
      </c>
      <c r="F1579" s="1666">
        <f t="shared" si="37"/>
        <v>-1.3016107560262963E-2</v>
      </c>
      <c r="G1579" s="78"/>
      <c r="H1579" t="str">
        <f>VLOOKUP(B1579,indexy!$A$44:$D$232,3,FALSE)</f>
        <v>MBG GR Equity</v>
      </c>
      <c r="J1579" s="31"/>
    </row>
    <row r="1580" spans="1:10" hidden="1" outlineLevel="1" x14ac:dyDescent="0.25">
      <c r="A1580" s="739">
        <v>3.3329999999999999E-2</v>
      </c>
      <c r="B1580" s="740" t="s">
        <v>1203</v>
      </c>
      <c r="C1580" s="741">
        <v>84.25</v>
      </c>
      <c r="D1580" s="737">
        <v>54.7</v>
      </c>
      <c r="E1580" s="896">
        <f t="shared" si="36"/>
        <v>-0.3507418397626112</v>
      </c>
      <c r="F1580" s="1666">
        <f t="shared" si="37"/>
        <v>-1.169022551928783E-2</v>
      </c>
      <c r="G1580" s="78"/>
      <c r="H1580" t="str">
        <f>VLOOKUP(B1580,indexy!$A$44:$D$232,3,FALSE)</f>
        <v>NDA SS Equity</v>
      </c>
      <c r="J1580" s="31"/>
    </row>
    <row r="1581" spans="1:10" hidden="1" outlineLevel="1" x14ac:dyDescent="0.25">
      <c r="A1581" s="739">
        <v>3.3329999999999999E-2</v>
      </c>
      <c r="B1581" s="740" t="s">
        <v>3021</v>
      </c>
      <c r="C1581" s="741">
        <v>23.715</v>
      </c>
      <c r="D1581" s="737">
        <v>16.739999999999998</v>
      </c>
      <c r="E1581" s="896">
        <f t="shared" si="36"/>
        <v>-0.29411764705882359</v>
      </c>
      <c r="F1581" s="1666">
        <f t="shared" si="37"/>
        <v>-9.8029411764705907E-3</v>
      </c>
      <c r="G1581" s="78"/>
      <c r="H1581" t="str">
        <f>VLOOKUP(B1581,indexy!$A$44:$D$232,3,FALSE)</f>
        <v>ENI IM Equity</v>
      </c>
      <c r="J1581" s="31"/>
    </row>
    <row r="1582" spans="1:10" hidden="1" outlineLevel="1" x14ac:dyDescent="0.25">
      <c r="A1582" s="739">
        <v>3.3329999999999999E-2</v>
      </c>
      <c r="B1582" s="740" t="s">
        <v>218</v>
      </c>
      <c r="C1582" s="741">
        <v>27.905000000000001</v>
      </c>
      <c r="D1582" s="737">
        <v>15.845000000000001</v>
      </c>
      <c r="E1582" s="896">
        <f t="shared" si="36"/>
        <v>-0.43218061279340625</v>
      </c>
      <c r="F1582" s="1666">
        <f t="shared" si="37"/>
        <v>-1.440457982440423E-2</v>
      </c>
      <c r="G1582" s="78"/>
      <c r="H1582" t="str">
        <f>VLOOKUP(B1582,indexy!$A$44:$D$232,3,FALSE)</f>
        <v>CS FP Equity</v>
      </c>
      <c r="J1582" s="31"/>
    </row>
    <row r="1583" spans="1:10" hidden="1" outlineLevel="1" x14ac:dyDescent="0.25">
      <c r="A1583" s="739">
        <v>3.3329999999999999E-2</v>
      </c>
      <c r="B1583" s="740" t="s">
        <v>3019</v>
      </c>
      <c r="C1583" s="741">
        <v>69.52</v>
      </c>
      <c r="D1583" s="737">
        <v>30.25</v>
      </c>
      <c r="E1583" s="896">
        <f t="shared" si="36"/>
        <v>-0.56487341772151889</v>
      </c>
      <c r="F1583" s="1666">
        <f t="shared" si="37"/>
        <v>-1.8827231012658225E-2</v>
      </c>
      <c r="G1583" s="78"/>
      <c r="H1583" t="str">
        <f>VLOOKUP(B1583,indexy!$A$44:$D$232,3,FALSE)</f>
        <v>BNP FP Equity</v>
      </c>
      <c r="J1583" s="31"/>
    </row>
    <row r="1584" spans="1:10" hidden="1" outlineLevel="1" x14ac:dyDescent="0.25">
      <c r="A1584" s="739">
        <v>3.3329999999999999E-2</v>
      </c>
      <c r="B1584" s="740" t="s">
        <v>2629</v>
      </c>
      <c r="C1584" s="741">
        <v>14.162000000000001</v>
      </c>
      <c r="D1584" s="737">
        <v>10.75</v>
      </c>
      <c r="E1584" s="896">
        <f t="shared" si="36"/>
        <v>-0.24092642282163546</v>
      </c>
      <c r="F1584" s="1666">
        <f t="shared" si="37"/>
        <v>-8.0300776726451098E-3</v>
      </c>
      <c r="G1584" s="78"/>
      <c r="H1584" t="str">
        <f>VLOOKUP(B1584,indexy!$A$44:$D$232,3,FALSE)</f>
        <v>DTE GY Equity</v>
      </c>
      <c r="J1584" s="31"/>
    </row>
    <row r="1585" spans="1:10" hidden="1" outlineLevel="1" x14ac:dyDescent="0.25">
      <c r="A1585" s="739">
        <v>3.3329999999999999E-2</v>
      </c>
      <c r="B1585" s="740" t="s">
        <v>1527</v>
      </c>
      <c r="C1585" s="741">
        <v>2.5185</v>
      </c>
      <c r="D1585" s="737">
        <v>1.1499999999999999</v>
      </c>
      <c r="E1585" s="896">
        <f t="shared" si="36"/>
        <v>-0.54337899543378998</v>
      </c>
      <c r="F1585" s="1666">
        <f t="shared" si="37"/>
        <v>-1.8110821917808217E-2</v>
      </c>
      <c r="G1585" s="78"/>
      <c r="H1585" t="str">
        <f>VLOOKUP(B1585,indexy!$A$44:$D$232,3,FALSE)</f>
        <v>TIT IM Equity</v>
      </c>
      <c r="J1585" s="31"/>
    </row>
    <row r="1586" spans="1:10" hidden="1" outlineLevel="1" x14ac:dyDescent="0.25">
      <c r="A1586" s="739">
        <v>3.3329999999999999E-2</v>
      </c>
      <c r="B1586" s="740" t="s">
        <v>54</v>
      </c>
      <c r="C1586" s="741">
        <v>25.349</v>
      </c>
      <c r="D1586" s="737">
        <v>15.1</v>
      </c>
      <c r="E1586" s="896">
        <f t="shared" si="36"/>
        <v>-0.40431575210067461</v>
      </c>
      <c r="F1586" s="1666">
        <f t="shared" si="37"/>
        <v>-1.3475844017515485E-2</v>
      </c>
      <c r="G1586" s="78"/>
      <c r="H1586" t="str">
        <f>VLOOKUP(B1586,indexy!$A$44:$D$232,3,FALSE)</f>
        <v>REP SQ Equity</v>
      </c>
      <c r="J1586" s="31"/>
    </row>
    <row r="1587" spans="1:10" hidden="1" outlineLevel="1" x14ac:dyDescent="0.25">
      <c r="A1587" s="739">
        <v>3.3329999999999999E-2</v>
      </c>
      <c r="B1587" s="740" t="s">
        <v>2588</v>
      </c>
      <c r="C1587" s="741">
        <v>29.798999999999999</v>
      </c>
      <c r="D1587" s="737">
        <v>7.33</v>
      </c>
      <c r="E1587" s="896">
        <f t="shared" si="36"/>
        <v>-0.75401859122789361</v>
      </c>
      <c r="F1587" s="1666">
        <f t="shared" si="37"/>
        <v>-2.5131439645625694E-2</v>
      </c>
      <c r="G1587" s="78"/>
      <c r="H1587" t="str">
        <f>VLOOKUP(B1587,indexy!$A$44:$D$232,3,FALSE)</f>
        <v>INGA NA Equity</v>
      </c>
      <c r="J1587" s="31"/>
    </row>
    <row r="1588" spans="1:10" hidden="1" outlineLevel="1" x14ac:dyDescent="0.25">
      <c r="A1588" s="739">
        <v>3.3329999999999999E-2</v>
      </c>
      <c r="B1588" s="740" t="s">
        <v>51</v>
      </c>
      <c r="C1588" s="741">
        <v>50.875</v>
      </c>
      <c r="D1588" s="737">
        <v>33.594999999999999</v>
      </c>
      <c r="E1588" s="896">
        <f t="shared" si="36"/>
        <v>-0.33965601965601966</v>
      </c>
      <c r="F1588" s="1666">
        <f t="shared" si="37"/>
        <v>-1.1320735135135134E-2</v>
      </c>
      <c r="G1588" s="78"/>
      <c r="H1588" t="str">
        <f>VLOOKUP(B1588,indexy!$A$44:$D$232,3,FALSE)</f>
        <v>SGO FP Equity</v>
      </c>
      <c r="J1588" s="31"/>
    </row>
    <row r="1589" spans="1:10" hidden="1" outlineLevel="1" x14ac:dyDescent="0.25">
      <c r="A1589" s="739">
        <v>3.3329999999999999E-2</v>
      </c>
      <c r="B1589" s="740" t="s">
        <v>4387</v>
      </c>
      <c r="C1589" s="741">
        <f>88.452/3</f>
        <v>29.483999999999998</v>
      </c>
      <c r="D1589" s="737">
        <v>28.44</v>
      </c>
      <c r="E1589" s="896">
        <f t="shared" si="36"/>
        <v>-3.5409035409035283E-2</v>
      </c>
      <c r="F1589" s="1666">
        <f t="shared" si="37"/>
        <v>-1.1801831501831459E-3</v>
      </c>
      <c r="G1589" s="78"/>
      <c r="H1589" t="str">
        <f>VLOOKUP(B1589,indexy!$A$44:$D$232,3,FALSE)</f>
        <v>EOAN GY Equity</v>
      </c>
      <c r="J1589" s="31"/>
    </row>
    <row r="1590" spans="1:10" hidden="1" outlineLevel="1" x14ac:dyDescent="0.25">
      <c r="A1590" s="739">
        <v>3.3329999999999999E-2</v>
      </c>
      <c r="B1590" s="740" t="s">
        <v>576</v>
      </c>
      <c r="C1590" s="741">
        <v>17.835999999999999</v>
      </c>
      <c r="D1590" s="737">
        <v>8.0449999999999999</v>
      </c>
      <c r="E1590" s="896">
        <f t="shared" si="36"/>
        <v>-0.54894595200717644</v>
      </c>
      <c r="F1590" s="1666">
        <f t="shared" si="37"/>
        <v>-1.8296368580399191E-2</v>
      </c>
      <c r="G1590" s="78"/>
      <c r="H1590" t="e">
        <f>VLOOKUP(B1590,indexy!$A$44:$D$232,3,FALSE)</f>
        <v>#N/A</v>
      </c>
      <c r="J1590" s="31"/>
    </row>
    <row r="1591" spans="1:10" hidden="1" outlineLevel="1" x14ac:dyDescent="0.25">
      <c r="A1591" s="739">
        <v>3.3329999999999999E-2</v>
      </c>
      <c r="B1591" s="740" t="s">
        <v>507</v>
      </c>
      <c r="C1591" s="741">
        <f>57.89/3</f>
        <v>19.296666666666667</v>
      </c>
      <c r="D1591" s="737">
        <v>17.34</v>
      </c>
      <c r="E1591" s="896">
        <f t="shared" si="36"/>
        <v>-0.10139920538953184</v>
      </c>
      <c r="F1591" s="1666">
        <f t="shared" si="37"/>
        <v>-3.3796355156330963E-3</v>
      </c>
      <c r="G1591" s="78"/>
      <c r="H1591" t="str">
        <f>VLOOKUP(B1591,indexy!$A$44:$D$232,3,FALSE)</f>
        <v>UNA NA Equity</v>
      </c>
      <c r="J1591" s="31"/>
    </row>
    <row r="1592" spans="1:10" hidden="1" outlineLevel="1" x14ac:dyDescent="0.25">
      <c r="A1592" s="739">
        <v>3.3329999999999999E-2</v>
      </c>
      <c r="B1592" s="740" t="s">
        <v>3406</v>
      </c>
      <c r="C1592" s="741">
        <f>8.438*100</f>
        <v>843.80000000000007</v>
      </c>
      <c r="D1592" s="737">
        <v>961</v>
      </c>
      <c r="E1592" s="896">
        <f t="shared" si="36"/>
        <v>0.13889547286086734</v>
      </c>
      <c r="F1592" s="1666">
        <f t="shared" si="37"/>
        <v>4.6293861104527087E-3</v>
      </c>
      <c r="G1592" s="78"/>
      <c r="H1592" t="str">
        <f>VLOOKUP(B1592,indexy!$A$44:$D$232,3,FALSE)</f>
        <v>DGE LN Equity</v>
      </c>
      <c r="J1592" s="31"/>
    </row>
    <row r="1593" spans="1:10" hidden="1" outlineLevel="1" x14ac:dyDescent="0.25">
      <c r="A1593" s="739">
        <v>3.3329999999999999E-2</v>
      </c>
      <c r="B1593" s="740" t="s">
        <v>3801</v>
      </c>
      <c r="C1593" s="741">
        <v>62.631999999999998</v>
      </c>
      <c r="D1593" s="737">
        <v>63.7</v>
      </c>
      <c r="E1593" s="896">
        <f t="shared" si="36"/>
        <v>1.7051986205134817E-2</v>
      </c>
      <c r="F1593" s="1666">
        <f t="shared" si="37"/>
        <v>5.6834270021714338E-4</v>
      </c>
      <c r="G1593" s="78"/>
      <c r="H1593" t="str">
        <f>VLOOKUP(B1593,indexy!$A$44:$D$232,3,FALSE)</f>
        <v>RWE GY Equity</v>
      </c>
      <c r="J1593" s="31"/>
    </row>
    <row r="1594" spans="1:10" hidden="1" outlineLevel="1" x14ac:dyDescent="0.25">
      <c r="A1594" s="739">
        <v>3.3329999999999999E-2</v>
      </c>
      <c r="B1594" s="740" t="s">
        <v>1184</v>
      </c>
      <c r="C1594" s="741">
        <f>64.177/2</f>
        <v>32.088500000000003</v>
      </c>
      <c r="D1594" s="737">
        <v>27.73</v>
      </c>
      <c r="E1594" s="896">
        <f t="shared" si="36"/>
        <v>-0.13582747713355259</v>
      </c>
      <c r="F1594" s="1666">
        <f t="shared" si="37"/>
        <v>-4.5271298128613073E-3</v>
      </c>
      <c r="G1594" s="78"/>
      <c r="H1594" t="str">
        <f>VLOOKUP(B1594,indexy!$A$44:$D$232,3,FALSE)</f>
        <v>BAS GY Equity</v>
      </c>
      <c r="J1594" s="31"/>
    </row>
    <row r="1595" spans="1:10" hidden="1" outlineLevel="1" x14ac:dyDescent="0.25">
      <c r="A1595" s="739">
        <v>3.3329999999999999E-2</v>
      </c>
      <c r="B1595" s="740" t="s">
        <v>182</v>
      </c>
      <c r="C1595" s="741">
        <f>127.74/2</f>
        <v>63.87</v>
      </c>
      <c r="D1595" s="737">
        <v>14.84</v>
      </c>
      <c r="E1595" s="896">
        <f t="shared" si="36"/>
        <v>-0.76765304524816036</v>
      </c>
      <c r="F1595" s="1666">
        <f t="shared" si="37"/>
        <v>-2.5585875998121184E-2</v>
      </c>
      <c r="G1595" s="78"/>
      <c r="H1595" t="str">
        <f>VLOOKUP(B1595,indexy!$A$44:$D$232,3,FALSE)</f>
        <v>UBS US Equity</v>
      </c>
      <c r="J1595" s="31"/>
    </row>
    <row r="1596" spans="1:10" hidden="1" outlineLevel="1" x14ac:dyDescent="0.25">
      <c r="A1596" s="739">
        <v>3.3329999999999999E-2</v>
      </c>
      <c r="B1596" s="740" t="s">
        <v>1183</v>
      </c>
      <c r="C1596" s="741">
        <f>214.79/4</f>
        <v>53.697499999999998</v>
      </c>
      <c r="D1596" s="737">
        <v>38.909999999999997</v>
      </c>
      <c r="E1596" s="897">
        <f t="shared" si="36"/>
        <v>-0.27538526002141628</v>
      </c>
      <c r="F1596" s="1666">
        <f t="shared" si="37"/>
        <v>-9.1785907165138035E-3</v>
      </c>
      <c r="G1596" s="78"/>
      <c r="H1596" t="e">
        <f>VLOOKUP(B1596,indexy!$A$44:$D$232,3,FALSE)</f>
        <v>#N/A</v>
      </c>
      <c r="J1596" s="31"/>
    </row>
    <row r="1597" spans="1:10" hidden="1" outlineLevel="1" x14ac:dyDescent="0.25">
      <c r="A1597" s="739">
        <v>3.3329999999999999E-2</v>
      </c>
      <c r="B1597" s="744" t="s">
        <v>3169</v>
      </c>
      <c r="C1597" s="898">
        <v>26.599</v>
      </c>
      <c r="D1597" s="737">
        <v>23.364999999999998</v>
      </c>
      <c r="E1597" s="897">
        <f t="shared" si="36"/>
        <v>-0.12158351817737512</v>
      </c>
      <c r="F1597" s="1666">
        <f t="shared" si="37"/>
        <v>-4.0523786608519128E-3</v>
      </c>
      <c r="G1597" s="78"/>
      <c r="H1597" t="str">
        <f>VLOOKUP(B1597,indexy!$A$44:$D$232,3,FALSE)</f>
        <v>VIV FP Equity</v>
      </c>
      <c r="J1597" s="31"/>
    </row>
    <row r="1598" spans="1:10" hidden="1" outlineLevel="1" x14ac:dyDescent="0.25">
      <c r="A1598" s="739">
        <v>3.3329999999999999E-2</v>
      </c>
      <c r="B1598" s="740" t="s">
        <v>1653</v>
      </c>
      <c r="C1598" s="741">
        <v>11.866</v>
      </c>
      <c r="D1598" s="737">
        <v>8.42</v>
      </c>
      <c r="E1598" s="896">
        <f t="shared" si="36"/>
        <v>-0.29040957357154895</v>
      </c>
      <c r="F1598" s="1666">
        <f t="shared" si="37"/>
        <v>-9.679351087139727E-3</v>
      </c>
      <c r="G1598" s="78"/>
      <c r="H1598" t="str">
        <f>VLOOKUP(B1598,indexy!$A$44:$D$232,3,FALSE)</f>
        <v>REN NA Equity</v>
      </c>
      <c r="J1598" s="31"/>
    </row>
    <row r="1599" spans="1:10" hidden="1" outlineLevel="1" x14ac:dyDescent="0.25">
      <c r="A1599" s="739">
        <v>3.3329999999999999E-2</v>
      </c>
      <c r="B1599" s="740" t="s">
        <v>3385</v>
      </c>
      <c r="C1599" s="741">
        <v>45.28</v>
      </c>
      <c r="D1599" s="737">
        <v>250</v>
      </c>
      <c r="E1599" s="896">
        <f t="shared" si="36"/>
        <v>4.521201413427562</v>
      </c>
      <c r="F1599" s="1666">
        <f t="shared" si="37"/>
        <v>0.15069164310954064</v>
      </c>
      <c r="G1599" s="78"/>
      <c r="H1599" t="str">
        <f>VLOOKUP(B1599,indexy!$A$44:$D$232,3,FALSE)</f>
        <v>VOW GY Equity</v>
      </c>
      <c r="J1599" s="31"/>
    </row>
    <row r="1600" spans="1:10" hidden="1" outlineLevel="1" x14ac:dyDescent="0.25">
      <c r="A1600" s="739">
        <v>3.3329999999999999E-2</v>
      </c>
      <c r="B1600" s="740" t="s">
        <v>53</v>
      </c>
      <c r="C1600" s="741">
        <f>88.615/2</f>
        <v>44.307499999999997</v>
      </c>
      <c r="D1600" s="737">
        <v>43.18</v>
      </c>
      <c r="E1600" s="896">
        <f t="shared" si="36"/>
        <v>-2.5447159058849977E-2</v>
      </c>
      <c r="F1600" s="1666">
        <f t="shared" si="37"/>
        <v>-8.4815381143146969E-4</v>
      </c>
      <c r="G1600" s="78"/>
      <c r="H1600" t="str">
        <f>VLOOKUP(B1600,indexy!$A$44:$D$232,3,FALSE)</f>
        <v>BN FP Equity</v>
      </c>
      <c r="J1600" s="31"/>
    </row>
    <row r="1601" spans="1:10" hidden="1" outlineLevel="1" x14ac:dyDescent="0.25">
      <c r="A1601" s="739">
        <v>3.3329999999999999E-2</v>
      </c>
      <c r="B1601" s="740" t="s">
        <v>1190</v>
      </c>
      <c r="C1601" s="741">
        <v>15.739000000000001</v>
      </c>
      <c r="D1601" s="737">
        <v>11.1</v>
      </c>
      <c r="E1601" s="896">
        <f t="shared" si="36"/>
        <v>-0.29474553656522018</v>
      </c>
      <c r="F1601" s="1666">
        <f t="shared" si="37"/>
        <v>-9.8238687337187883E-3</v>
      </c>
      <c r="G1601" s="78"/>
      <c r="H1601" t="str">
        <f>VLOOKUP(B1601,indexy!$A$44:$D$232,3,FALSE)</f>
        <v>NOKIA FH Equity</v>
      </c>
      <c r="J1601" s="31"/>
    </row>
    <row r="1602" spans="1:10" hidden="1" outlineLevel="1" x14ac:dyDescent="0.25">
      <c r="A1602" s="739">
        <v>3.3329999999999999E-2</v>
      </c>
      <c r="B1602" s="740" t="s">
        <v>3797</v>
      </c>
      <c r="C1602" s="741">
        <f>394.225/10</f>
        <v>39.422499999999999</v>
      </c>
      <c r="D1602" s="737">
        <v>41.6</v>
      </c>
      <c r="E1602" s="896">
        <f t="shared" si="36"/>
        <v>5.5234954657873203E-2</v>
      </c>
      <c r="F1602" s="1666">
        <f t="shared" si="37"/>
        <v>1.8409810387469139E-3</v>
      </c>
      <c r="G1602" s="78"/>
      <c r="H1602" t="str">
        <f>VLOOKUP(B1602,indexy!$A$44:$D$232,3,FALSE)</f>
        <v>NESN SE Equity</v>
      </c>
      <c r="J1602" s="31"/>
    </row>
    <row r="1603" spans="1:10" hidden="1" outlineLevel="1" x14ac:dyDescent="0.25">
      <c r="A1603" s="739">
        <v>3.3329999999999999E-2</v>
      </c>
      <c r="B1603" s="740" t="s">
        <v>3405</v>
      </c>
      <c r="C1603" s="741">
        <v>40.335999999999999</v>
      </c>
      <c r="D1603" s="737">
        <v>27.52</v>
      </c>
      <c r="E1603" s="896">
        <f t="shared" si="36"/>
        <v>-0.31773105910353028</v>
      </c>
      <c r="F1603" s="1666">
        <f t="shared" si="37"/>
        <v>-1.0589976199920664E-2</v>
      </c>
      <c r="G1603" s="78"/>
      <c r="H1603" t="str">
        <f>VLOOKUP(B1603,indexy!$A$44:$D$232,3,FALSE)</f>
        <v>CA FP Equity</v>
      </c>
      <c r="J1603" s="31"/>
    </row>
    <row r="1604" spans="1:10" hidden="1" outlineLevel="1" x14ac:dyDescent="0.25">
      <c r="A1604" s="739">
        <v>3.3329999999999999E-2</v>
      </c>
      <c r="B1604" s="740" t="s">
        <v>3020</v>
      </c>
      <c r="C1604" s="741">
        <v>35.927999999999997</v>
      </c>
      <c r="D1604" s="737">
        <v>41.55</v>
      </c>
      <c r="E1604" s="896">
        <f t="shared" si="36"/>
        <v>0.15647962591850373</v>
      </c>
      <c r="F1604" s="1666">
        <f t="shared" si="37"/>
        <v>5.2154659318637293E-3</v>
      </c>
      <c r="G1604" s="78"/>
      <c r="H1604" t="str">
        <f>VLOOKUP(B1604,indexy!$A$44:$D$232,3,FALSE)</f>
        <v>BAYN GR Equity</v>
      </c>
      <c r="J1604" s="31"/>
    </row>
    <row r="1605" spans="1:10" hidden="1" outlineLevel="1" x14ac:dyDescent="0.25">
      <c r="A1605" s="717"/>
      <c r="B1605" s="718"/>
      <c r="C1605" s="719"/>
      <c r="D1605" s="719"/>
      <c r="E1605" s="720"/>
      <c r="F1605" s="934">
        <f>SUM(F1575:F1604)</f>
        <v>-0.15554452002127903</v>
      </c>
      <c r="G1605" s="78"/>
      <c r="J1605" s="31"/>
    </row>
    <row r="1606" spans="1:10" ht="13.5" customHeight="1" collapsed="1" x14ac:dyDescent="0.25">
      <c r="A1606" s="723" t="s">
        <v>2157</v>
      </c>
      <c r="B1606" s="724"/>
      <c r="C1606" s="724"/>
      <c r="D1606" s="724"/>
      <c r="E1606" s="721" t="s">
        <v>2722</v>
      </c>
      <c r="F1606" s="752">
        <f>+IF(F1605&gt;0,F1605,0)-0.045</f>
        <v>-4.4999999999999998E-2</v>
      </c>
      <c r="G1606" s="175" t="s">
        <v>781</v>
      </c>
      <c r="J1606" s="31"/>
    </row>
    <row r="1607" spans="1:10" x14ac:dyDescent="0.25">
      <c r="A1607" s="94"/>
      <c r="B1607" s="94"/>
      <c r="C1607" s="94"/>
      <c r="D1607" s="94"/>
      <c r="E1607" s="97"/>
      <c r="F1607" s="96"/>
      <c r="G1607" s="78"/>
      <c r="J1607" s="31"/>
    </row>
    <row r="1608" spans="1:10" hidden="1" outlineLevel="1" x14ac:dyDescent="0.25">
      <c r="A1608" s="689" t="s">
        <v>113</v>
      </c>
      <c r="B1608" s="689" t="s">
        <v>114</v>
      </c>
      <c r="C1608" s="689" t="s">
        <v>112</v>
      </c>
      <c r="D1608" s="689" t="s">
        <v>116</v>
      </c>
      <c r="E1608" s="689" t="s">
        <v>117</v>
      </c>
      <c r="F1608" s="1188" t="s">
        <v>121</v>
      </c>
      <c r="G1608" s="78"/>
      <c r="J1608" s="31"/>
    </row>
    <row r="1609" spans="1:10" hidden="1" outlineLevel="1" x14ac:dyDescent="0.25">
      <c r="A1609" s="753" t="s">
        <v>2610</v>
      </c>
      <c r="B1609" s="691" t="s">
        <v>115</v>
      </c>
      <c r="C1609" s="692">
        <v>3778.1709999999998</v>
      </c>
      <c r="D1609" s="692">
        <v>3787.1410000000001</v>
      </c>
      <c r="E1609" s="3837">
        <v>1.04E-2</v>
      </c>
      <c r="F1609" s="3839">
        <v>1.04E-2</v>
      </c>
      <c r="G1609" s="78"/>
      <c r="J1609" s="31"/>
    </row>
    <row r="1610" spans="1:10" hidden="1" outlineLevel="1" x14ac:dyDescent="0.25">
      <c r="A1610" s="754" t="s">
        <v>2610</v>
      </c>
      <c r="B1610" s="695" t="s">
        <v>760</v>
      </c>
      <c r="C1610" s="727">
        <v>1284.742</v>
      </c>
      <c r="D1610" s="727">
        <v>1308.433</v>
      </c>
      <c r="E1610" s="3838"/>
      <c r="F1610" s="3840"/>
      <c r="G1610" s="78"/>
      <c r="J1610" s="31"/>
    </row>
    <row r="1611" spans="1:10" hidden="1" outlineLevel="1" x14ac:dyDescent="0.25">
      <c r="A1611" s="753" t="s">
        <v>4244</v>
      </c>
      <c r="B1611" s="691" t="s">
        <v>115</v>
      </c>
      <c r="C1611" s="692">
        <v>3787.1410000000001</v>
      </c>
      <c r="D1611" s="692">
        <v>4022.027</v>
      </c>
      <c r="E1611" s="3837">
        <v>6.3299999999999995E-2</v>
      </c>
      <c r="F1611" s="3839">
        <v>3.3000000000000002E-2</v>
      </c>
      <c r="G1611" s="78"/>
      <c r="I1611" s="227"/>
      <c r="J1611" s="31"/>
    </row>
    <row r="1612" spans="1:10" hidden="1" outlineLevel="1" x14ac:dyDescent="0.25">
      <c r="A1612" s="754" t="s">
        <v>4244</v>
      </c>
      <c r="B1612" s="695" t="s">
        <v>760</v>
      </c>
      <c r="C1612" s="727">
        <v>1308.433</v>
      </c>
      <c r="D1612" s="727">
        <v>1392.83</v>
      </c>
      <c r="E1612" s="3838"/>
      <c r="F1612" s="3840"/>
      <c r="G1612" s="78"/>
      <c r="J1612" s="31"/>
    </row>
    <row r="1613" spans="1:10" hidden="1" outlineLevel="1" x14ac:dyDescent="0.25">
      <c r="A1613" s="753" t="s">
        <v>4245</v>
      </c>
      <c r="B1613" s="691" t="s">
        <v>115</v>
      </c>
      <c r="C1613" s="692">
        <v>4022.027</v>
      </c>
      <c r="D1613" s="692">
        <v>4228.9129999999996</v>
      </c>
      <c r="E1613" s="3837">
        <v>5.4699999999999999E-2</v>
      </c>
      <c r="F1613" s="3839">
        <v>3.3000000000000002E-2</v>
      </c>
      <c r="G1613" s="78"/>
      <c r="I1613" s="37"/>
      <c r="J1613" s="31"/>
    </row>
    <row r="1614" spans="1:10" hidden="1" outlineLevel="1" x14ac:dyDescent="0.25">
      <c r="A1614" s="754" t="s">
        <v>4245</v>
      </c>
      <c r="B1614" s="695" t="s">
        <v>760</v>
      </c>
      <c r="C1614" s="727">
        <v>1392.83</v>
      </c>
      <c r="D1614" s="727">
        <v>1473.3409999999999</v>
      </c>
      <c r="E1614" s="3838"/>
      <c r="F1614" s="3840"/>
      <c r="G1614" s="78"/>
      <c r="I1614" s="37"/>
      <c r="J1614" s="31"/>
    </row>
    <row r="1615" spans="1:10" hidden="1" outlineLevel="1" x14ac:dyDescent="0.25">
      <c r="A1615" s="753" t="s">
        <v>4246</v>
      </c>
      <c r="B1615" s="691" t="s">
        <v>115</v>
      </c>
      <c r="C1615" s="692">
        <v>4228.91</v>
      </c>
      <c r="D1615" s="692">
        <v>3613.11</v>
      </c>
      <c r="E1615" s="3837">
        <v>-0.12820000000000001</v>
      </c>
      <c r="F1615" s="3839">
        <v>-0.03</v>
      </c>
      <c r="G1615" s="78"/>
      <c r="I1615" s="37"/>
      <c r="J1615" s="31"/>
    </row>
    <row r="1616" spans="1:10" hidden="1" outlineLevel="1" x14ac:dyDescent="0.25">
      <c r="A1616" s="754" t="s">
        <v>4246</v>
      </c>
      <c r="B1616" s="695" t="s">
        <v>760</v>
      </c>
      <c r="C1616" s="696">
        <v>1473.34</v>
      </c>
      <c r="D1616" s="696">
        <v>1309.5909999999999</v>
      </c>
      <c r="E1616" s="3838"/>
      <c r="F1616" s="3840"/>
      <c r="G1616" s="78"/>
      <c r="J1616" s="31"/>
    </row>
    <row r="1617" spans="1:10" hidden="1" outlineLevel="1" x14ac:dyDescent="0.25">
      <c r="A1617" s="753" t="s">
        <v>3505</v>
      </c>
      <c r="B1617" s="691" t="s">
        <v>115</v>
      </c>
      <c r="C1617" s="692">
        <v>3613.11</v>
      </c>
      <c r="D1617" s="692">
        <v>3289.7809999999999</v>
      </c>
      <c r="E1617" s="3837">
        <v>-6.88E-2</v>
      </c>
      <c r="F1617" s="3839">
        <v>-0.03</v>
      </c>
      <c r="G1617" s="78"/>
      <c r="J1617" s="31"/>
    </row>
    <row r="1618" spans="1:10" hidden="1" outlineLevel="1" x14ac:dyDescent="0.25">
      <c r="A1618" s="754" t="s">
        <v>3505</v>
      </c>
      <c r="B1618" s="695" t="s">
        <v>760</v>
      </c>
      <c r="C1618" s="696">
        <v>1309.5909999999999</v>
      </c>
      <c r="D1618" s="726">
        <v>1244.9490000000001</v>
      </c>
      <c r="E1618" s="3838"/>
      <c r="F1618" s="3840"/>
      <c r="G1618" s="78"/>
      <c r="J1618" s="31"/>
    </row>
    <row r="1619" spans="1:10" hidden="1" outlineLevel="1" x14ac:dyDescent="0.25">
      <c r="A1619" s="753" t="s">
        <v>3506</v>
      </c>
      <c r="B1619" s="691" t="s">
        <v>115</v>
      </c>
      <c r="C1619" s="692">
        <v>3289.7809999999999</v>
      </c>
      <c r="D1619" s="691">
        <v>1895.4929999999999</v>
      </c>
      <c r="E1619" s="3813">
        <v>-0.4269</v>
      </c>
      <c r="F1619" s="3816">
        <v>-0.03</v>
      </c>
      <c r="G1619" s="78"/>
      <c r="J1619" s="31"/>
    </row>
    <row r="1620" spans="1:10" hidden="1" outlineLevel="1" x14ac:dyDescent="0.25">
      <c r="A1620" s="754" t="s">
        <v>3506</v>
      </c>
      <c r="B1620" s="695" t="s">
        <v>760</v>
      </c>
      <c r="C1620" s="726">
        <v>1244.9490000000001</v>
      </c>
      <c r="D1620" s="726">
        <v>710.07299999999998</v>
      </c>
      <c r="E1620" s="3815"/>
      <c r="F1620" s="3818"/>
      <c r="G1620" s="78"/>
      <c r="J1620" s="31"/>
    </row>
    <row r="1621" spans="1:10" hidden="1" outlineLevel="1" x14ac:dyDescent="0.25">
      <c r="A1621" s="753" t="s">
        <v>174</v>
      </c>
      <c r="B1621" s="691" t="s">
        <v>115</v>
      </c>
      <c r="C1621" s="691">
        <v>1895.4929999999999</v>
      </c>
      <c r="D1621" s="691">
        <v>2773.085</v>
      </c>
      <c r="E1621" s="3813">
        <v>0.45350000000000001</v>
      </c>
      <c r="F1621" s="3816">
        <v>3.3000000000000002E-2</v>
      </c>
      <c r="G1621" s="78"/>
      <c r="J1621" s="31"/>
    </row>
    <row r="1622" spans="1:10" hidden="1" outlineLevel="1" x14ac:dyDescent="0.25">
      <c r="A1622" s="754" t="s">
        <v>174</v>
      </c>
      <c r="B1622" s="695" t="s">
        <v>760</v>
      </c>
      <c r="C1622" s="726">
        <v>710.07299999999998</v>
      </c>
      <c r="D1622" s="726">
        <v>1026.0029999999999</v>
      </c>
      <c r="E1622" s="3815"/>
      <c r="F1622" s="3818"/>
      <c r="G1622" s="78"/>
      <c r="J1622" s="31"/>
    </row>
    <row r="1623" spans="1:10" hidden="1" outlineLevel="1" x14ac:dyDescent="0.25">
      <c r="A1623" s="753" t="s">
        <v>175</v>
      </c>
      <c r="B1623" s="691" t="s">
        <v>115</v>
      </c>
      <c r="C1623" s="691">
        <v>2773.085</v>
      </c>
      <c r="D1623" s="691">
        <v>2854.886</v>
      </c>
      <c r="E1623" s="3813">
        <v>6.8900000000000003E-2</v>
      </c>
      <c r="F1623" s="3816">
        <v>3.3000000000000002E-2</v>
      </c>
      <c r="G1623" s="78"/>
      <c r="J1623" s="31"/>
    </row>
    <row r="1624" spans="1:10" hidden="1" outlineLevel="1" x14ac:dyDescent="0.25">
      <c r="A1624" s="754" t="s">
        <v>175</v>
      </c>
      <c r="B1624" s="695" t="s">
        <v>760</v>
      </c>
      <c r="C1624" s="726">
        <v>1026.0029999999999</v>
      </c>
      <c r="D1624" s="726">
        <v>1133.9269999999999</v>
      </c>
      <c r="E1624" s="3815"/>
      <c r="F1624" s="3818"/>
      <c r="G1624" s="78"/>
      <c r="J1624" s="31"/>
    </row>
    <row r="1625" spans="1:10" hidden="1" outlineLevel="1" x14ac:dyDescent="0.25">
      <c r="A1625" s="753" t="s">
        <v>176</v>
      </c>
      <c r="B1625" s="691" t="s">
        <v>115</v>
      </c>
      <c r="C1625" s="691">
        <v>2854.886</v>
      </c>
      <c r="D1625" s="691">
        <v>2758.47</v>
      </c>
      <c r="E1625" s="3813">
        <v>-2.9399999999999999E-2</v>
      </c>
      <c r="F1625" s="3816">
        <v>-2.9399999999999999E-2</v>
      </c>
      <c r="G1625" s="78"/>
      <c r="J1625" s="31"/>
    </row>
    <row r="1626" spans="1:10" hidden="1" outlineLevel="1" x14ac:dyDescent="0.25">
      <c r="A1626" s="754" t="s">
        <v>176</v>
      </c>
      <c r="B1626" s="695" t="s">
        <v>760</v>
      </c>
      <c r="C1626" s="726">
        <v>1133.9269999999999</v>
      </c>
      <c r="D1626" s="726">
        <v>1104.741</v>
      </c>
      <c r="E1626" s="3815"/>
      <c r="F1626" s="3818"/>
      <c r="G1626" s="78"/>
      <c r="J1626" s="31"/>
    </row>
    <row r="1627" spans="1:10" hidden="1" outlineLevel="1" x14ac:dyDescent="0.25">
      <c r="A1627" s="753" t="s">
        <v>3231</v>
      </c>
      <c r="B1627" s="691" t="s">
        <v>115</v>
      </c>
      <c r="C1627" s="691">
        <v>2758.47</v>
      </c>
      <c r="D1627" s="691">
        <v>2931.8119999999999</v>
      </c>
      <c r="E1627" s="3813">
        <v>0.13009999999999999</v>
      </c>
      <c r="F1627" s="3816">
        <v>3.3000000000000002E-2</v>
      </c>
      <c r="G1627" s="78"/>
      <c r="J1627" s="31"/>
    </row>
    <row r="1628" spans="1:10" hidden="1" outlineLevel="1" x14ac:dyDescent="0.25">
      <c r="A1628" s="754" t="s">
        <v>3231</v>
      </c>
      <c r="B1628" s="695" t="s">
        <v>760</v>
      </c>
      <c r="C1628" s="726">
        <v>1104.741</v>
      </c>
      <c r="D1628" s="726">
        <v>1311.4639999999999</v>
      </c>
      <c r="E1628" s="3815"/>
      <c r="F1628" s="3818"/>
      <c r="G1628" s="78"/>
      <c r="J1628" s="31"/>
    </row>
    <row r="1629" spans="1:10" collapsed="1" x14ac:dyDescent="0.25">
      <c r="A1629" s="3801" t="s">
        <v>2207</v>
      </c>
      <c r="B1629" s="3802"/>
      <c r="C1629" s="3802"/>
      <c r="D1629" s="3802"/>
      <c r="E1629" s="729"/>
      <c r="F1629" s="752">
        <f>MAX(SUM(F1609:F1628),6%)</f>
        <v>0.06</v>
      </c>
      <c r="G1629" s="97" t="s">
        <v>781</v>
      </c>
      <c r="J1629" s="31"/>
    </row>
    <row r="1630" spans="1:10" x14ac:dyDescent="0.25">
      <c r="A1630" s="94"/>
      <c r="B1630" s="94"/>
      <c r="C1630" s="94"/>
      <c r="D1630" s="94"/>
      <c r="E1630" s="78"/>
      <c r="F1630" s="96"/>
      <c r="G1630" s="78"/>
      <c r="J1630" s="31"/>
    </row>
    <row r="1631" spans="1:10" hidden="1" outlineLevel="1" x14ac:dyDescent="0.25">
      <c r="A1631" s="689" t="s">
        <v>113</v>
      </c>
      <c r="B1631" s="689" t="s">
        <v>114</v>
      </c>
      <c r="C1631" s="689" t="s">
        <v>112</v>
      </c>
      <c r="D1631" s="689" t="s">
        <v>116</v>
      </c>
      <c r="E1631" s="689" t="s">
        <v>117</v>
      </c>
      <c r="F1631" s="1188" t="s">
        <v>121</v>
      </c>
      <c r="G1631" s="78"/>
      <c r="J1631" s="31"/>
    </row>
    <row r="1632" spans="1:10" hidden="1" outlineLevel="1" x14ac:dyDescent="0.25">
      <c r="A1632" s="690">
        <v>1</v>
      </c>
      <c r="B1632" s="691" t="s">
        <v>252</v>
      </c>
      <c r="C1632" s="692"/>
      <c r="D1632" s="692"/>
      <c r="E1632" s="693"/>
      <c r="F1632" s="694"/>
      <c r="G1632" s="78"/>
      <c r="J1632" s="31"/>
    </row>
    <row r="1633" spans="1:14" hidden="1" outlineLevel="1" x14ac:dyDescent="0.25">
      <c r="A1633" s="695"/>
      <c r="B1633" s="695"/>
      <c r="C1633" s="696"/>
      <c r="D1633" s="697" t="s">
        <v>3702</v>
      </c>
      <c r="E1633" s="698">
        <v>40968</v>
      </c>
      <c r="F1633" s="699"/>
      <c r="G1633" s="78"/>
      <c r="J1633" s="31"/>
    </row>
    <row r="1634" spans="1:14" hidden="1" outlineLevel="1" x14ac:dyDescent="0.25">
      <c r="A1634" s="689" t="s">
        <v>4156</v>
      </c>
      <c r="B1634" s="689" t="s">
        <v>4153</v>
      </c>
      <c r="C1634" s="700" t="s">
        <v>112</v>
      </c>
      <c r="D1634" s="689" t="s">
        <v>4155</v>
      </c>
      <c r="E1634" s="689" t="s">
        <v>4154</v>
      </c>
      <c r="F1634" s="1021" t="s">
        <v>1332</v>
      </c>
      <c r="G1634" s="78"/>
      <c r="J1634" s="31"/>
    </row>
    <row r="1635" spans="1:14" hidden="1" outlineLevel="1" x14ac:dyDescent="0.25">
      <c r="A1635" s="734">
        <v>0.05</v>
      </c>
      <c r="B1635" s="735" t="s">
        <v>577</v>
      </c>
      <c r="C1635" s="807">
        <v>13.239000000000001</v>
      </c>
      <c r="D1635" s="737">
        <v>12.81</v>
      </c>
      <c r="E1635" s="817">
        <v>-3.2404260140494023E-2</v>
      </c>
      <c r="F1635" s="1021" t="s">
        <v>2024</v>
      </c>
      <c r="G1635" s="78"/>
      <c r="H1635" t="str">
        <f>VLOOKUP(B1635,indexy!$A$44:$D$232,3,FALSE)</f>
        <v>TEF SQ Equity</v>
      </c>
      <c r="J1635" s="31"/>
    </row>
    <row r="1636" spans="1:14" hidden="1" outlineLevel="1" x14ac:dyDescent="0.25">
      <c r="A1636" s="739">
        <v>0.05</v>
      </c>
      <c r="B1636" s="740" t="s">
        <v>1414</v>
      </c>
      <c r="C1636" s="809">
        <v>26.131</v>
      </c>
      <c r="D1636" s="737">
        <v>21.1</v>
      </c>
      <c r="E1636" s="857">
        <v>-0.19252994527572609</v>
      </c>
      <c r="F1636" s="946" t="s">
        <v>2024</v>
      </c>
      <c r="G1636" s="78"/>
      <c r="H1636" t="str">
        <f>VLOOKUP(B1636,indexy!$A$44:$D$232,3,FALSE)</f>
        <v>PFE UN Equity</v>
      </c>
      <c r="J1636" s="31"/>
    </row>
    <row r="1637" spans="1:14" hidden="1" outlineLevel="1" x14ac:dyDescent="0.25">
      <c r="A1637" s="739">
        <v>0.05</v>
      </c>
      <c r="B1637" s="740" t="s">
        <v>507</v>
      </c>
      <c r="C1637" s="809">
        <v>19.45</v>
      </c>
      <c r="D1637" s="737">
        <v>24.93</v>
      </c>
      <c r="E1637" s="857">
        <v>0.28174807197943452</v>
      </c>
      <c r="F1637" s="946" t="s">
        <v>2024</v>
      </c>
      <c r="G1637" s="78"/>
      <c r="H1637" t="str">
        <f>VLOOKUP(B1637,indexy!$A$44:$D$232,3,FALSE)</f>
        <v>UNA NA Equity</v>
      </c>
      <c r="J1637" s="31"/>
    </row>
    <row r="1638" spans="1:14" hidden="1" outlineLevel="1" x14ac:dyDescent="0.25">
      <c r="A1638" s="756">
        <v>0.05</v>
      </c>
      <c r="B1638" s="761" t="s">
        <v>1526</v>
      </c>
      <c r="C1638" s="808">
        <v>86.93</v>
      </c>
      <c r="D1638" s="759">
        <v>17.73</v>
      </c>
      <c r="E1638" s="858">
        <v>-0.79604279305188086</v>
      </c>
      <c r="F1638" s="1850" t="s">
        <v>2025</v>
      </c>
      <c r="G1638" s="178" t="s">
        <v>1329</v>
      </c>
      <c r="H1638" t="str">
        <f>VLOOKUP(B1638,indexy!$A$44:$D$232,3,FALSE)</f>
        <v>KBC BB Equity</v>
      </c>
      <c r="J1638" s="31"/>
    </row>
    <row r="1639" spans="1:14" hidden="1" outlineLevel="1" x14ac:dyDescent="0.25">
      <c r="A1639" s="739">
        <v>0.05</v>
      </c>
      <c r="B1639" s="740" t="s">
        <v>3407</v>
      </c>
      <c r="C1639" s="809">
        <v>33.173999999999999</v>
      </c>
      <c r="D1639" s="737">
        <v>19.05</v>
      </c>
      <c r="E1639" s="857">
        <v>-0.42575510942304207</v>
      </c>
      <c r="F1639" s="946" t="s">
        <v>2024</v>
      </c>
      <c r="G1639" s="78"/>
      <c r="H1639" t="str">
        <f>VLOOKUP(B1639,indexy!$A$44:$D$232,3,FALSE)</f>
        <v>GE UN Equity</v>
      </c>
      <c r="J1639" s="31"/>
    </row>
    <row r="1640" spans="1:14" hidden="1" outlineLevel="1" x14ac:dyDescent="0.25">
      <c r="A1640" s="739">
        <v>0.05</v>
      </c>
      <c r="B1640" s="740" t="s">
        <v>4387</v>
      </c>
      <c r="C1640" s="809">
        <v>30.59866666666667</v>
      </c>
      <c r="D1640" s="737">
        <v>17.265000000000001</v>
      </c>
      <c r="E1640" s="857">
        <v>-0.43575972809272745</v>
      </c>
      <c r="F1640" s="946" t="s">
        <v>2024</v>
      </c>
      <c r="G1640" s="78"/>
      <c r="H1640" t="str">
        <f>VLOOKUP(B1640,indexy!$A$44:$D$232,3,FALSE)</f>
        <v>EOAN GY Equity</v>
      </c>
      <c r="J1640" s="31"/>
    </row>
    <row r="1641" spans="1:14" hidden="1" outlineLevel="1" x14ac:dyDescent="0.25">
      <c r="A1641" s="739">
        <v>0.05</v>
      </c>
      <c r="B1641" s="740" t="s">
        <v>1184</v>
      </c>
      <c r="C1641" s="809">
        <v>31.333500000000001</v>
      </c>
      <c r="D1641" s="737">
        <v>65.900000000000006</v>
      </c>
      <c r="E1641" s="857">
        <v>1.1031803022324351</v>
      </c>
      <c r="F1641" s="946" t="s">
        <v>2024</v>
      </c>
      <c r="G1641" s="78"/>
      <c r="H1641" t="str">
        <f>VLOOKUP(B1641,indexy!$A$44:$D$232,3,FALSE)</f>
        <v>BAS GY Equity</v>
      </c>
      <c r="J1641" s="31"/>
    </row>
    <row r="1642" spans="1:14" hidden="1" outlineLevel="1" x14ac:dyDescent="0.25">
      <c r="A1642" s="756">
        <v>0.05</v>
      </c>
      <c r="B1642" s="761" t="s">
        <v>1527</v>
      </c>
      <c r="C1642" s="808">
        <v>2.37</v>
      </c>
      <c r="D1642" s="759">
        <v>0.86499999999999999</v>
      </c>
      <c r="E1642" s="858">
        <v>-0.63502109704641352</v>
      </c>
      <c r="F1642" s="1850" t="s">
        <v>2025</v>
      </c>
      <c r="G1642" s="178" t="s">
        <v>1331</v>
      </c>
      <c r="H1642" s="163" t="str">
        <f>VLOOKUP(B1642,indexy!$A$44:$D$232,3,FALSE)</f>
        <v>TIT IM Equity</v>
      </c>
      <c r="J1642" s="31"/>
    </row>
    <row r="1643" spans="1:14" hidden="1" outlineLevel="1" x14ac:dyDescent="0.25">
      <c r="A1643" s="739">
        <v>0.05</v>
      </c>
      <c r="B1643" s="740" t="s">
        <v>4338</v>
      </c>
      <c r="C1643" s="809">
        <v>29.903644133825001</v>
      </c>
      <c r="D1643" s="737">
        <v>19.47</v>
      </c>
      <c r="E1643" s="857">
        <v>-0.34890878473313436</v>
      </c>
      <c r="F1643" s="946" t="s">
        <v>2024</v>
      </c>
      <c r="G1643" s="78"/>
      <c r="H1643" t="str">
        <f>VLOOKUP(B1643,indexy!$A$44:$D$392,3,FALSE)</f>
        <v>ENGI FP Equity</v>
      </c>
      <c r="J1643" s="31"/>
      <c r="M1643" s="163"/>
      <c r="N1643" s="163"/>
    </row>
    <row r="1644" spans="1:14" s="163" customFormat="1" hidden="1" outlineLevel="1" x14ac:dyDescent="0.25">
      <c r="A1644" s="756">
        <v>0.05</v>
      </c>
      <c r="B1644" s="761" t="s">
        <v>2587</v>
      </c>
      <c r="C1644" s="808">
        <v>630.6</v>
      </c>
      <c r="D1644" s="759">
        <v>27.92</v>
      </c>
      <c r="E1644" s="858">
        <v>-0.95572470662860765</v>
      </c>
      <c r="F1644" s="1850" t="s">
        <v>2025</v>
      </c>
      <c r="G1644" s="178" t="s">
        <v>1328</v>
      </c>
      <c r="H1644" s="163" t="e">
        <f>VLOOKUP(B1644,indexy!$A$44:$D$232,3,FALSE)</f>
        <v>#N/A</v>
      </c>
      <c r="J1644" s="31"/>
      <c r="K1644"/>
      <c r="L1644"/>
      <c r="M1644"/>
      <c r="N1644"/>
    </row>
    <row r="1645" spans="1:14" hidden="1" outlineLevel="1" x14ac:dyDescent="0.25">
      <c r="A1645" s="739">
        <v>0.05</v>
      </c>
      <c r="B1645" s="740" t="s">
        <v>1528</v>
      </c>
      <c r="C1645" s="809">
        <v>79.165000000000006</v>
      </c>
      <c r="D1645" s="737">
        <v>126.3</v>
      </c>
      <c r="E1645" s="857">
        <v>0.59540200846333602</v>
      </c>
      <c r="F1645" s="946" t="s">
        <v>2024</v>
      </c>
      <c r="G1645" s="78"/>
      <c r="H1645" t="str">
        <f>VLOOKUP(B1645,indexy!$A$44:$D$232,3,FALSE)</f>
        <v>MC FP Equity</v>
      </c>
      <c r="J1645" s="105"/>
      <c r="K1645" s="163"/>
      <c r="L1645" s="163"/>
    </row>
    <row r="1646" spans="1:14" hidden="1" outlineLevel="1" x14ac:dyDescent="0.25">
      <c r="A1646" s="756">
        <v>0.05</v>
      </c>
      <c r="B1646" s="761" t="s">
        <v>2588</v>
      </c>
      <c r="C1646" s="808">
        <v>31.041</v>
      </c>
      <c r="D1646" s="759">
        <v>6.6580000000000004</v>
      </c>
      <c r="E1646" s="858">
        <v>-0.78550948745207949</v>
      </c>
      <c r="F1646" s="1850" t="s">
        <v>2025</v>
      </c>
      <c r="G1646" s="178" t="s">
        <v>1330</v>
      </c>
      <c r="H1646" s="163" t="str">
        <f>VLOOKUP(B1646,indexy!$A$44:$D$232,3,FALSE)</f>
        <v>INGA NA Equity</v>
      </c>
      <c r="J1646" s="31"/>
    </row>
    <row r="1647" spans="1:14" hidden="1" outlineLevel="1" x14ac:dyDescent="0.25">
      <c r="A1647" s="739">
        <v>0.05</v>
      </c>
      <c r="B1647" s="740" t="s">
        <v>1188</v>
      </c>
      <c r="C1647" s="809">
        <v>637</v>
      </c>
      <c r="D1647" s="737">
        <v>492.4</v>
      </c>
      <c r="E1647" s="857">
        <v>-0.22700156985871278</v>
      </c>
      <c r="F1647" s="946" t="s">
        <v>2024</v>
      </c>
      <c r="G1647" s="78"/>
      <c r="H1647" t="str">
        <f>VLOOKUP(B1647,indexy!$A$44:$D$232,3,FALSE)</f>
        <v>BP/ LN Equity</v>
      </c>
      <c r="J1647" s="31"/>
    </row>
    <row r="1648" spans="1:14" hidden="1" outlineLevel="1" x14ac:dyDescent="0.25">
      <c r="A1648" s="739">
        <v>0.05</v>
      </c>
      <c r="B1648" s="740" t="s">
        <v>1001</v>
      </c>
      <c r="C1648" s="809">
        <v>27.045000000000002</v>
      </c>
      <c r="D1648" s="737">
        <v>31.74</v>
      </c>
      <c r="E1648" s="857">
        <v>0.17359955629506363</v>
      </c>
      <c r="F1648" s="946" t="s">
        <v>2024</v>
      </c>
      <c r="G1648" s="78"/>
      <c r="H1648" t="str">
        <f>VLOOKUP(B1648,indexy!$A$44:$D$232,3,FALSE)</f>
        <v>MSFT UW Equity</v>
      </c>
      <c r="J1648" s="31"/>
    </row>
    <row r="1649" spans="1:10" hidden="1" outlineLevel="1" x14ac:dyDescent="0.25">
      <c r="A1649" s="739">
        <v>0.05</v>
      </c>
      <c r="B1649" s="740" t="s">
        <v>1002</v>
      </c>
      <c r="C1649" s="809">
        <v>12.795</v>
      </c>
      <c r="D1649" s="737">
        <v>29.27</v>
      </c>
      <c r="E1649" s="857">
        <v>1.2876123485736617</v>
      </c>
      <c r="F1649" s="946" t="s">
        <v>2024</v>
      </c>
      <c r="G1649" s="78"/>
      <c r="H1649" t="str">
        <f>VLOOKUP(B1649,indexy!$A$44:$D$232,3,FALSE)</f>
        <v>ORCL UN Equity</v>
      </c>
      <c r="J1649" s="31"/>
    </row>
    <row r="1650" spans="1:10" hidden="1" outlineLevel="1" x14ac:dyDescent="0.25">
      <c r="A1650" s="739">
        <v>0.05</v>
      </c>
      <c r="B1650" s="740" t="s">
        <v>3425</v>
      </c>
      <c r="C1650" s="809">
        <v>59.881999999999998</v>
      </c>
      <c r="D1650" s="737">
        <v>86.5</v>
      </c>
      <c r="E1650" s="857">
        <v>0.44450753147857469</v>
      </c>
      <c r="F1650" s="946" t="s">
        <v>2024</v>
      </c>
      <c r="G1650" s="78"/>
      <c r="H1650" t="str">
        <f>VLOOKUP(B1650,indexy!$A$44:$D$232,3,FALSE)</f>
        <v>XOM UN Equity</v>
      </c>
      <c r="J1650" s="31"/>
    </row>
    <row r="1651" spans="1:10" hidden="1" outlineLevel="1" x14ac:dyDescent="0.25">
      <c r="A1651" s="739">
        <v>0.05</v>
      </c>
      <c r="B1651" s="740" t="s">
        <v>1003</v>
      </c>
      <c r="C1651" s="809">
        <v>31.408000000000001</v>
      </c>
      <c r="D1651" s="737">
        <v>29.11</v>
      </c>
      <c r="E1651" s="857">
        <v>-7.3166072338257782E-2</v>
      </c>
      <c r="F1651" s="946" t="s">
        <v>2024</v>
      </c>
      <c r="G1651" s="78"/>
      <c r="H1651" t="str">
        <f>VLOOKUP(B1651,indexy!$A$44:$D$232,3,FALSE)</f>
        <v>TXN UW Equity</v>
      </c>
      <c r="J1651" s="31"/>
    </row>
    <row r="1652" spans="1:10" hidden="1" outlineLevel="1" x14ac:dyDescent="0.25">
      <c r="A1652" s="739">
        <v>0.05</v>
      </c>
      <c r="B1652" s="740" t="s">
        <v>3797</v>
      </c>
      <c r="C1652" s="809">
        <v>38.342500000000001</v>
      </c>
      <c r="D1652" s="737">
        <v>55.3</v>
      </c>
      <c r="E1652" s="857">
        <v>0.44226380648105867</v>
      </c>
      <c r="F1652" s="946" t="s">
        <v>2024</v>
      </c>
      <c r="G1652" s="78"/>
      <c r="H1652" t="str">
        <f>VLOOKUP(B1652,indexy!$A$44:$D$232,3,FALSE)</f>
        <v>NESN SE Equity</v>
      </c>
      <c r="J1652" s="31"/>
    </row>
    <row r="1653" spans="1:10" hidden="1" outlineLevel="1" x14ac:dyDescent="0.25">
      <c r="A1653" s="900">
        <v>0.05</v>
      </c>
      <c r="B1653" s="901" t="s">
        <v>3551</v>
      </c>
      <c r="C1653" s="902">
        <v>6226</v>
      </c>
      <c r="D1653" s="903">
        <v>3355</v>
      </c>
      <c r="E1653" s="904">
        <v>-0.46113074204946991</v>
      </c>
      <c r="F1653" s="1859" t="s">
        <v>2024</v>
      </c>
      <c r="G1653" s="78"/>
      <c r="H1653" t="str">
        <f>VLOOKUP(B1653,indexy!$A$44:$D$232,3,FALSE)</f>
        <v>7203 JT Equity</v>
      </c>
      <c r="J1653" s="31"/>
    </row>
    <row r="1654" spans="1:10" hidden="1" outlineLevel="1" x14ac:dyDescent="0.25">
      <c r="A1654" s="745">
        <v>0.05</v>
      </c>
      <c r="B1654" s="746" t="s">
        <v>157</v>
      </c>
      <c r="C1654" s="810">
        <v>9.1119000000000003</v>
      </c>
      <c r="D1654" s="737">
        <v>6.2270000000000003</v>
      </c>
      <c r="E1654" s="818">
        <v>-0.31660795223828175</v>
      </c>
      <c r="F1654" s="1023" t="s">
        <v>2024</v>
      </c>
      <c r="G1654" s="78"/>
      <c r="H1654" t="str">
        <f>VLOOKUP(B1654,indexy!$A$44:$D$232,3,FALSE)</f>
        <v>SAN SM Equity</v>
      </c>
      <c r="J1654" s="31"/>
    </row>
    <row r="1655" spans="1:10" hidden="1" outlineLevel="1" x14ac:dyDescent="0.25">
      <c r="A1655" s="749"/>
      <c r="B1655" s="750"/>
      <c r="C1655" s="811"/>
      <c r="D1655" s="886"/>
      <c r="E1655" s="820"/>
      <c r="F1655" s="770"/>
      <c r="G1655" s="78"/>
      <c r="J1655" s="31"/>
    </row>
    <row r="1656" spans="1:10" hidden="1" outlineLevel="1" x14ac:dyDescent="0.25">
      <c r="A1656" s="751" t="s">
        <v>1303</v>
      </c>
      <c r="B1656" s="750"/>
      <c r="C1656" s="811"/>
      <c r="D1656" s="886"/>
      <c r="E1656" s="820"/>
      <c r="F1656" s="770">
        <v>3.5999999999999997E-2</v>
      </c>
      <c r="G1656" s="78"/>
      <c r="J1656" s="31"/>
    </row>
    <row r="1657" spans="1:10" hidden="1" outlineLevel="1" x14ac:dyDescent="0.25">
      <c r="A1657" s="751" t="s">
        <v>1759</v>
      </c>
      <c r="B1657" s="750" t="s">
        <v>3131</v>
      </c>
      <c r="C1657" s="811"/>
      <c r="D1657" s="886"/>
      <c r="E1657" s="820"/>
      <c r="F1657" s="770">
        <v>2.3999999999999997E-2</v>
      </c>
      <c r="G1657" s="78"/>
      <c r="J1657" s="31"/>
    </row>
    <row r="1658" spans="1:10" hidden="1" outlineLevel="1" x14ac:dyDescent="0.25">
      <c r="A1658" s="751" t="s">
        <v>3187</v>
      </c>
      <c r="B1658" s="750" t="s">
        <v>3534</v>
      </c>
      <c r="C1658" s="811"/>
      <c r="D1658" s="886"/>
      <c r="E1658" s="820"/>
      <c r="F1658" s="770">
        <v>1.5999999999999997E-2</v>
      </c>
      <c r="G1658" s="78"/>
      <c r="J1658" s="31"/>
    </row>
    <row r="1659" spans="1:10" hidden="1" outlineLevel="1" x14ac:dyDescent="0.25">
      <c r="A1659" s="751" t="s">
        <v>3188</v>
      </c>
      <c r="B1659" s="750" t="s">
        <v>2022</v>
      </c>
      <c r="C1659" s="811"/>
      <c r="D1659" s="886"/>
      <c r="E1659" s="820"/>
      <c r="F1659" s="770">
        <v>1.0699999999999999E-2</v>
      </c>
      <c r="G1659" s="78"/>
      <c r="J1659" s="31"/>
    </row>
    <row r="1660" spans="1:10" hidden="1" outlineLevel="1" x14ac:dyDescent="0.25">
      <c r="A1660" s="751" t="s">
        <v>1744</v>
      </c>
      <c r="B1660" s="750" t="s">
        <v>4351</v>
      </c>
      <c r="C1660" s="811"/>
      <c r="D1660" s="886"/>
      <c r="E1660" s="820"/>
      <c r="F1660" s="770">
        <v>7.1000000000000004E-3</v>
      </c>
      <c r="G1660" s="78"/>
      <c r="J1660" s="31"/>
    </row>
    <row r="1661" spans="1:10" hidden="1" outlineLevel="1" x14ac:dyDescent="0.25">
      <c r="A1661" s="751" t="s">
        <v>1745</v>
      </c>
      <c r="B1661" s="750" t="s">
        <v>5217</v>
      </c>
      <c r="C1661" s="811"/>
      <c r="D1661" s="886"/>
      <c r="E1661" s="820"/>
      <c r="F1661" s="770">
        <v>4.7000000000000002E-3</v>
      </c>
      <c r="G1661" s="78"/>
      <c r="J1661" s="31"/>
    </row>
    <row r="1662" spans="1:10" collapsed="1" x14ac:dyDescent="0.25">
      <c r="A1662" s="3801" t="s">
        <v>489</v>
      </c>
      <c r="B1662" s="3802"/>
      <c r="C1662" s="3802"/>
      <c r="D1662" s="3802"/>
      <c r="E1662" s="821"/>
      <c r="F1662" s="752">
        <v>9.849999999999999E-2</v>
      </c>
      <c r="G1662" s="97" t="s">
        <v>781</v>
      </c>
      <c r="J1662" s="31"/>
    </row>
    <row r="1663" spans="1:10" x14ac:dyDescent="0.25">
      <c r="A1663" s="1"/>
      <c r="B1663" s="1"/>
      <c r="C1663" s="1"/>
      <c r="D1663" s="1"/>
      <c r="E1663" s="1"/>
      <c r="F1663" s="1848"/>
      <c r="G1663" s="78"/>
      <c r="J1663" s="31"/>
    </row>
    <row r="1664" spans="1:10" hidden="1" outlineLevel="1" x14ac:dyDescent="0.25">
      <c r="A1664" s="689" t="s">
        <v>113</v>
      </c>
      <c r="B1664" s="689" t="s">
        <v>114</v>
      </c>
      <c r="C1664" s="689" t="s">
        <v>112</v>
      </c>
      <c r="D1664" s="689" t="s">
        <v>116</v>
      </c>
      <c r="E1664" s="689" t="s">
        <v>117</v>
      </c>
      <c r="F1664" s="1188" t="s">
        <v>121</v>
      </c>
      <c r="G1664" s="78"/>
      <c r="J1664" s="31"/>
    </row>
    <row r="1665" spans="1:14" hidden="1" outlineLevel="1" x14ac:dyDescent="0.25">
      <c r="A1665" s="753" t="s">
        <v>2741</v>
      </c>
      <c r="B1665" s="691" t="s">
        <v>115</v>
      </c>
      <c r="C1665" s="793">
        <v>3814.7170000000001</v>
      </c>
      <c r="D1665" s="843">
        <v>4022.027</v>
      </c>
      <c r="E1665" s="3813">
        <v>6.5699999999999995E-2</v>
      </c>
      <c r="F1665" s="3816">
        <v>6.5699999999999995E-2</v>
      </c>
      <c r="G1665" s="78"/>
      <c r="J1665" s="31"/>
    </row>
    <row r="1666" spans="1:14" hidden="1" outlineLevel="1" x14ac:dyDescent="0.25">
      <c r="A1666" s="754" t="s">
        <v>2741</v>
      </c>
      <c r="B1666" s="726" t="s">
        <v>760</v>
      </c>
      <c r="C1666" s="794">
        <v>1293.18</v>
      </c>
      <c r="D1666" s="726">
        <v>1392.83</v>
      </c>
      <c r="E1666" s="3815"/>
      <c r="F1666" s="3818"/>
      <c r="G1666" s="78"/>
      <c r="J1666" s="31"/>
    </row>
    <row r="1667" spans="1:14" hidden="1" outlineLevel="1" x14ac:dyDescent="0.25">
      <c r="A1667" s="753" t="s">
        <v>147</v>
      </c>
      <c r="B1667" s="691" t="s">
        <v>115</v>
      </c>
      <c r="C1667" s="843">
        <v>4022.027</v>
      </c>
      <c r="D1667" s="691">
        <v>3613.1109999999999</v>
      </c>
      <c r="E1667" s="3813">
        <v>-8.0500000000000002E-2</v>
      </c>
      <c r="F1667" s="3816">
        <v>-0.03</v>
      </c>
      <c r="G1667" s="78"/>
      <c r="J1667" s="31"/>
    </row>
    <row r="1668" spans="1:14" hidden="1" outlineLevel="1" x14ac:dyDescent="0.25">
      <c r="A1668" s="754" t="s">
        <v>147</v>
      </c>
      <c r="B1668" s="726" t="s">
        <v>760</v>
      </c>
      <c r="C1668" s="726">
        <v>1392.83</v>
      </c>
      <c r="D1668" s="726">
        <v>1309.5909999999999</v>
      </c>
      <c r="E1668" s="3815"/>
      <c r="F1668" s="3818"/>
      <c r="G1668" s="78"/>
      <c r="J1668" s="31"/>
    </row>
    <row r="1669" spans="1:14" hidden="1" outlineLevel="1" x14ac:dyDescent="0.25">
      <c r="A1669" s="753" t="s">
        <v>148</v>
      </c>
      <c r="B1669" s="691" t="s">
        <v>115</v>
      </c>
      <c r="C1669" s="691">
        <v>3613.1109999999999</v>
      </c>
      <c r="D1669" s="691">
        <v>1895.4929999999999</v>
      </c>
      <c r="E1669" s="3813">
        <v>-0.46629999999999999</v>
      </c>
      <c r="F1669" s="3816">
        <v>-0.03</v>
      </c>
      <c r="G1669" s="78"/>
      <c r="J1669" s="31"/>
    </row>
    <row r="1670" spans="1:14" hidden="1" outlineLevel="1" x14ac:dyDescent="0.25">
      <c r="A1670" s="754" t="s">
        <v>148</v>
      </c>
      <c r="B1670" s="726" t="s">
        <v>760</v>
      </c>
      <c r="C1670" s="726">
        <v>1309.5909999999999</v>
      </c>
      <c r="D1670" s="726">
        <v>710.07299999999998</v>
      </c>
      <c r="E1670" s="3815"/>
      <c r="F1670" s="3818"/>
      <c r="G1670" s="78"/>
      <c r="J1670" s="31"/>
    </row>
    <row r="1671" spans="1:14" hidden="1" outlineLevel="1" x14ac:dyDescent="0.25">
      <c r="A1671" s="753" t="s">
        <v>663</v>
      </c>
      <c r="B1671" s="691" t="s">
        <v>115</v>
      </c>
      <c r="C1671" s="691">
        <v>1895.4929999999999</v>
      </c>
      <c r="D1671" s="691">
        <v>2627.2179999999998</v>
      </c>
      <c r="E1671" s="3813">
        <v>0.44590000000000002</v>
      </c>
      <c r="F1671" s="3816">
        <v>9.2999999999999999E-2</v>
      </c>
      <c r="G1671" s="78"/>
      <c r="J1671" s="31"/>
    </row>
    <row r="1672" spans="1:14" hidden="1" outlineLevel="1" x14ac:dyDescent="0.25">
      <c r="A1672" s="754" t="s">
        <v>663</v>
      </c>
      <c r="B1672" s="726" t="s">
        <v>760</v>
      </c>
      <c r="C1672" s="726">
        <v>710.07299999999998</v>
      </c>
      <c r="D1672" s="726">
        <v>1065.223</v>
      </c>
      <c r="E1672" s="3815"/>
      <c r="F1672" s="3818"/>
      <c r="G1672" s="78"/>
      <c r="J1672" s="31"/>
    </row>
    <row r="1673" spans="1:14" collapsed="1" x14ac:dyDescent="0.25">
      <c r="A1673" s="3801" t="s">
        <v>2312</v>
      </c>
      <c r="B1673" s="3802"/>
      <c r="C1673" s="3802"/>
      <c r="D1673" s="3802"/>
      <c r="E1673" s="729"/>
      <c r="F1673" s="752">
        <v>0.1</v>
      </c>
      <c r="G1673" s="97" t="s">
        <v>781</v>
      </c>
      <c r="J1673" s="31"/>
    </row>
    <row r="1674" spans="1:14" x14ac:dyDescent="0.25">
      <c r="A1674" s="39"/>
      <c r="B1674" s="39"/>
      <c r="C1674" s="39"/>
      <c r="D1674" s="39"/>
      <c r="E1674" s="39"/>
      <c r="F1674" s="1853"/>
      <c r="G1674" s="78"/>
      <c r="J1674" s="31"/>
    </row>
    <row r="1675" spans="1:14" hidden="1" outlineLevel="1" x14ac:dyDescent="0.25">
      <c r="A1675" s="689" t="s">
        <v>113</v>
      </c>
      <c r="B1675" s="689" t="s">
        <v>114</v>
      </c>
      <c r="C1675" s="689" t="s">
        <v>112</v>
      </c>
      <c r="D1675" s="689" t="s">
        <v>116</v>
      </c>
      <c r="E1675" s="689" t="s">
        <v>117</v>
      </c>
      <c r="F1675" s="1188" t="s">
        <v>121</v>
      </c>
      <c r="G1675" s="78"/>
      <c r="J1675" s="31"/>
    </row>
    <row r="1676" spans="1:14" hidden="1" outlineLevel="1" x14ac:dyDescent="0.25">
      <c r="A1676" s="690">
        <v>1</v>
      </c>
      <c r="B1676" s="691" t="s">
        <v>252</v>
      </c>
      <c r="C1676" s="692">
        <v>100</v>
      </c>
      <c r="D1676" s="692"/>
      <c r="E1676" s="693"/>
      <c r="F1676" s="694"/>
      <c r="G1676" s="78"/>
      <c r="J1676" s="31"/>
    </row>
    <row r="1677" spans="1:14" hidden="1" outlineLevel="1" x14ac:dyDescent="0.25">
      <c r="A1677" s="695"/>
      <c r="B1677" s="695"/>
      <c r="C1677" s="696"/>
      <c r="D1677" s="697" t="s">
        <v>3702</v>
      </c>
      <c r="E1677" s="698">
        <v>43861</v>
      </c>
      <c r="F1677" s="699"/>
      <c r="G1677" s="78"/>
      <c r="J1677" s="31"/>
    </row>
    <row r="1678" spans="1:14" hidden="1" outlineLevel="1" x14ac:dyDescent="0.25">
      <c r="A1678" s="689" t="s">
        <v>4156</v>
      </c>
      <c r="B1678" s="689" t="s">
        <v>4153</v>
      </c>
      <c r="C1678" s="700" t="s">
        <v>112</v>
      </c>
      <c r="D1678" s="689" t="s">
        <v>4155</v>
      </c>
      <c r="E1678" s="689" t="s">
        <v>4154</v>
      </c>
      <c r="F1678" s="1021" t="s">
        <v>2519</v>
      </c>
      <c r="G1678" s="78"/>
      <c r="J1678" s="31"/>
    </row>
    <row r="1679" spans="1:14" hidden="1" outlineLevel="1" x14ac:dyDescent="0.25">
      <c r="A1679" s="734">
        <v>0.04</v>
      </c>
      <c r="B1679" s="735" t="s">
        <v>577</v>
      </c>
      <c r="C1679" s="807">
        <v>13.034000000000001</v>
      </c>
      <c r="D1679" s="737">
        <v>6.109</v>
      </c>
      <c r="E1679" s="738">
        <v>-0.53130274666257482</v>
      </c>
      <c r="F1679" s="1021">
        <v>-2.1252109866502993E-2</v>
      </c>
      <c r="G1679" s="78"/>
      <c r="H1679" t="s">
        <v>6732</v>
      </c>
      <c r="J1679" s="31"/>
    </row>
    <row r="1680" spans="1:14" hidden="1" outlineLevel="1" x14ac:dyDescent="0.25">
      <c r="A1680" s="739">
        <v>0.02</v>
      </c>
      <c r="B1680" s="740" t="s">
        <v>3017</v>
      </c>
      <c r="C1680" s="809">
        <v>20.994</v>
      </c>
      <c r="D1680" s="737">
        <v>18.5</v>
      </c>
      <c r="E1680" s="742">
        <v>-0.118795846432314</v>
      </c>
      <c r="F1680" s="946">
        <v>-2.3759169286462802E-3</v>
      </c>
      <c r="G1680" s="78"/>
      <c r="H1680" t="s">
        <v>1793</v>
      </c>
      <c r="I1680" s="106"/>
      <c r="J1680" s="256">
        <v>39873</v>
      </c>
      <c r="K1680">
        <v>61.120699999999999</v>
      </c>
      <c r="L1680" s="37">
        <v>-0.38879300000000006</v>
      </c>
      <c r="M1680" s="39"/>
      <c r="N1680" s="39"/>
    </row>
    <row r="1681" spans="1:14" s="39" customFormat="1" hidden="1" outlineLevel="1" x14ac:dyDescent="0.25">
      <c r="A1681" s="739">
        <v>0.05</v>
      </c>
      <c r="B1681" s="740" t="s">
        <v>1176</v>
      </c>
      <c r="C1681" s="809">
        <v>30.006</v>
      </c>
      <c r="D1681" s="737">
        <v>49.77</v>
      </c>
      <c r="E1681" s="742">
        <v>0.6586682663467307</v>
      </c>
      <c r="F1681" s="946">
        <v>3.2933413317336534E-2</v>
      </c>
      <c r="G1681" s="12"/>
      <c r="H1681" t="s">
        <v>3090</v>
      </c>
      <c r="J1681" s="256">
        <v>39904</v>
      </c>
      <c r="K1681">
        <v>67.026200000000003</v>
      </c>
      <c r="L1681" s="37">
        <v>-0.32973799999999998</v>
      </c>
      <c r="M1681"/>
      <c r="N1681"/>
    </row>
    <row r="1682" spans="1:14" hidden="1" outlineLevel="1" x14ac:dyDescent="0.25">
      <c r="A1682" s="739">
        <v>0.02</v>
      </c>
      <c r="B1682" s="740" t="s">
        <v>3019</v>
      </c>
      <c r="C1682" s="809">
        <v>77.072000000000003</v>
      </c>
      <c r="D1682" s="737">
        <v>48.045000000000002</v>
      </c>
      <c r="E1682" s="742">
        <v>-0.37662186007888732</v>
      </c>
      <c r="F1682" s="946">
        <v>-7.5324372015777461E-3</v>
      </c>
      <c r="G1682" s="78"/>
      <c r="H1682" t="s">
        <v>2745</v>
      </c>
      <c r="J1682" s="257">
        <v>39934</v>
      </c>
      <c r="K1682" s="39">
        <v>69.919200000000004</v>
      </c>
      <c r="L1682" s="37">
        <v>-0.30080799999999996</v>
      </c>
    </row>
    <row r="1683" spans="1:14" hidden="1" outlineLevel="1" x14ac:dyDescent="0.25">
      <c r="A1683" s="739">
        <v>0.03</v>
      </c>
      <c r="B1683" s="740" t="s">
        <v>51</v>
      </c>
      <c r="C1683" s="809">
        <v>56.09</v>
      </c>
      <c r="D1683" s="737">
        <v>34.234999999999999</v>
      </c>
      <c r="E1683" s="742">
        <v>-0.38964164735246931</v>
      </c>
      <c r="F1683" s="946">
        <v>-1.168924942057408E-2</v>
      </c>
      <c r="G1683" s="78"/>
      <c r="H1683" t="s">
        <v>2748</v>
      </c>
      <c r="J1683" s="256">
        <v>39965</v>
      </c>
      <c r="K1683" s="39">
        <v>70.255499999999998</v>
      </c>
      <c r="L1683" s="37">
        <v>-0.29744500000000007</v>
      </c>
    </row>
    <row r="1684" spans="1:14" hidden="1" outlineLevel="1" x14ac:dyDescent="0.25">
      <c r="A1684" s="739">
        <v>0.03</v>
      </c>
      <c r="B1684" s="740" t="s">
        <v>3020</v>
      </c>
      <c r="C1684" s="809">
        <v>34.091000000000001</v>
      </c>
      <c r="D1684" s="737">
        <v>72.95</v>
      </c>
      <c r="E1684" s="742">
        <v>1.1398609603707723</v>
      </c>
      <c r="F1684" s="946">
        <v>3.4195828811123166E-2</v>
      </c>
      <c r="G1684" s="78"/>
      <c r="H1684" t="s">
        <v>490</v>
      </c>
      <c r="J1684" s="256">
        <v>39995</v>
      </c>
      <c r="K1684" s="39">
        <v>75.331900000000005</v>
      </c>
      <c r="L1684" s="37">
        <v>-0.24668099999999993</v>
      </c>
    </row>
    <row r="1685" spans="1:14" hidden="1" outlineLevel="1" x14ac:dyDescent="0.25">
      <c r="A1685" s="739">
        <v>0.04</v>
      </c>
      <c r="B1685" s="740" t="s">
        <v>3021</v>
      </c>
      <c r="C1685" s="809">
        <v>23.77</v>
      </c>
      <c r="D1685" s="737">
        <v>12.657999999999999</v>
      </c>
      <c r="E1685" s="742">
        <v>-0.46748001682793439</v>
      </c>
      <c r="F1685" s="946">
        <v>-1.8699200673117377E-2</v>
      </c>
      <c r="G1685" s="78"/>
      <c r="H1685" t="s">
        <v>4124</v>
      </c>
      <c r="J1685" s="256">
        <v>40026</v>
      </c>
      <c r="K1685" s="39">
        <v>78.362099999999998</v>
      </c>
      <c r="L1685" s="37">
        <v>-0.21637899999999999</v>
      </c>
    </row>
    <row r="1686" spans="1:14" hidden="1" outlineLevel="1" x14ac:dyDescent="0.25">
      <c r="A1686" s="739">
        <v>0.03</v>
      </c>
      <c r="B1686" s="740" t="s">
        <v>44</v>
      </c>
      <c r="C1686" s="809">
        <v>4.9509999999999996</v>
      </c>
      <c r="D1686" s="737">
        <v>2.2454999999999998</v>
      </c>
      <c r="E1686" s="742">
        <v>-0.54645526156332047</v>
      </c>
      <c r="F1686" s="946">
        <v>-1.6393657846899612E-2</v>
      </c>
      <c r="G1686" s="78"/>
      <c r="H1686" t="s">
        <v>204</v>
      </c>
      <c r="J1686" s="256">
        <v>40057</v>
      </c>
      <c r="K1686" s="39">
        <v>79.899500000000003</v>
      </c>
      <c r="L1686" s="37">
        <v>-0.20100499999999999</v>
      </c>
    </row>
    <row r="1687" spans="1:14" hidden="1" outlineLevel="1" x14ac:dyDescent="0.25">
      <c r="A1687" s="739">
        <v>0.03</v>
      </c>
      <c r="B1687" s="740" t="s">
        <v>3551</v>
      </c>
      <c r="C1687" s="809">
        <v>6251</v>
      </c>
      <c r="D1687" s="737">
        <v>7652</v>
      </c>
      <c r="E1687" s="742">
        <v>0.22412414013757798</v>
      </c>
      <c r="F1687" s="946">
        <v>6.7237242041273387E-3</v>
      </c>
      <c r="G1687" s="78"/>
      <c r="H1687" t="s">
        <v>2806</v>
      </c>
      <c r="J1687" s="256">
        <v>40087</v>
      </c>
      <c r="K1687" s="39">
        <v>79.181299999999993</v>
      </c>
      <c r="L1687" s="37">
        <v>-0.20818700000000012</v>
      </c>
    </row>
    <row r="1688" spans="1:14" hidden="1" outlineLevel="1" x14ac:dyDescent="0.25">
      <c r="A1688" s="739">
        <v>0.03</v>
      </c>
      <c r="B1688" s="740" t="s">
        <v>53</v>
      </c>
      <c r="C1688" s="809">
        <v>48.077500000000001</v>
      </c>
      <c r="D1688" s="737">
        <v>72.400000000000006</v>
      </c>
      <c r="E1688" s="742">
        <v>0.50590192917685006</v>
      </c>
      <c r="F1688" s="946">
        <v>1.5177057875305501E-2</v>
      </c>
      <c r="G1688" s="78"/>
      <c r="H1688" t="s">
        <v>2751</v>
      </c>
      <c r="J1688" s="256">
        <v>40118</v>
      </c>
      <c r="K1688" s="39">
        <v>80.621200000000002</v>
      </c>
      <c r="L1688" s="37">
        <v>-0.19378799999999996</v>
      </c>
    </row>
    <row r="1689" spans="1:14" hidden="1" outlineLevel="1" x14ac:dyDescent="0.25">
      <c r="A1689" s="739">
        <v>0.05</v>
      </c>
      <c r="B1689" s="740" t="s">
        <v>157</v>
      </c>
      <c r="C1689" s="809">
        <v>9.2698999999999998</v>
      </c>
      <c r="D1689" s="737">
        <v>3.5540000000000003</v>
      </c>
      <c r="E1689" s="742">
        <v>-0.61660859340445962</v>
      </c>
      <c r="F1689" s="946">
        <v>-3.0830429670222981E-2</v>
      </c>
      <c r="G1689" s="78"/>
      <c r="H1689" t="s">
        <v>730</v>
      </c>
      <c r="J1689" s="256">
        <v>40148</v>
      </c>
      <c r="K1689" s="39">
        <v>83.411299999999997</v>
      </c>
      <c r="L1689" s="37">
        <v>-0.16588700000000001</v>
      </c>
    </row>
    <row r="1690" spans="1:14" hidden="1" outlineLevel="1" x14ac:dyDescent="0.25">
      <c r="A1690" s="739">
        <v>0.03</v>
      </c>
      <c r="B1690" s="740" t="s">
        <v>3405</v>
      </c>
      <c r="C1690" s="809">
        <v>40.951000000000001</v>
      </c>
      <c r="D1690" s="737">
        <v>15.305</v>
      </c>
      <c r="E1690" s="742">
        <v>-0.62626065297550726</v>
      </c>
      <c r="F1690" s="946">
        <v>-1.8787819589265217E-2</v>
      </c>
      <c r="G1690" s="78"/>
      <c r="H1690" t="s">
        <v>2747</v>
      </c>
      <c r="J1690" s="256">
        <v>40179</v>
      </c>
      <c r="K1690" s="39">
        <v>78.522000000000006</v>
      </c>
      <c r="L1690" s="37">
        <v>-0.21477999999999997</v>
      </c>
    </row>
    <row r="1691" spans="1:14" hidden="1" outlineLevel="1" x14ac:dyDescent="0.25">
      <c r="A1691" s="739">
        <v>0.05</v>
      </c>
      <c r="B1691" s="740" t="s">
        <v>3798</v>
      </c>
      <c r="C1691" s="809">
        <v>7.0269000000000004</v>
      </c>
      <c r="D1691" s="737">
        <v>7.8550000000000004</v>
      </c>
      <c r="E1691" s="742">
        <v>0.11784713031350957</v>
      </c>
      <c r="F1691" s="946">
        <v>5.8923565156754794E-3</v>
      </c>
      <c r="G1691" s="78"/>
      <c r="H1691" t="s">
        <v>4122</v>
      </c>
      <c r="J1691" s="256">
        <v>40210</v>
      </c>
      <c r="K1691" s="39">
        <v>78.296499999999995</v>
      </c>
      <c r="L1691" s="37">
        <v>-0.21703500000000009</v>
      </c>
    </row>
    <row r="1692" spans="1:14" hidden="1" outlineLevel="1" x14ac:dyDescent="0.25">
      <c r="A1692" s="739">
        <v>0.02</v>
      </c>
      <c r="B1692" s="740" t="s">
        <v>4387</v>
      </c>
      <c r="C1692" s="809">
        <v>31.237666666666666</v>
      </c>
      <c r="D1692" s="737">
        <v>10.24</v>
      </c>
      <c r="E1692" s="742">
        <v>-0.67219062456649559</v>
      </c>
      <c r="F1692" s="946">
        <v>-1.3443812491329912E-2</v>
      </c>
      <c r="G1692" s="78"/>
      <c r="H1692" t="s">
        <v>3744</v>
      </c>
      <c r="J1692" s="256" t="s">
        <v>2465</v>
      </c>
      <c r="K1692" s="252">
        <v>75.162283333333349</v>
      </c>
      <c r="L1692" s="37">
        <v>-0.24837716666666668</v>
      </c>
    </row>
    <row r="1693" spans="1:14" hidden="1" outlineLevel="1" x14ac:dyDescent="0.25">
      <c r="A1693" s="739">
        <v>0.02</v>
      </c>
      <c r="B1693" s="740" t="s">
        <v>1993</v>
      </c>
      <c r="C1693" s="809">
        <v>72.33</v>
      </c>
      <c r="D1693" s="737">
        <v>130.23000000000002</v>
      </c>
      <c r="E1693" s="742">
        <v>0.80049771878888465</v>
      </c>
      <c r="F1693" s="946">
        <v>1.6009954375777694E-2</v>
      </c>
      <c r="G1693" s="78"/>
      <c r="H1693" t="s">
        <v>2812</v>
      </c>
      <c r="I1693" s="39" t="s">
        <v>3533</v>
      </c>
      <c r="J1693" s="256" t="s">
        <v>1932</v>
      </c>
      <c r="L1693" s="101">
        <v>-0.16144515833333334</v>
      </c>
    </row>
    <row r="1694" spans="1:14" hidden="1" outlineLevel="1" x14ac:dyDescent="0.25">
      <c r="A1694" s="739">
        <v>0.04</v>
      </c>
      <c r="B1694" s="740" t="s">
        <v>1994</v>
      </c>
      <c r="C1694" s="809">
        <v>45.37</v>
      </c>
      <c r="D1694" s="737">
        <v>32.83</v>
      </c>
      <c r="E1694" s="742">
        <v>-0.27639409301300422</v>
      </c>
      <c r="F1694" s="946">
        <v>-1.1055763720520169E-2</v>
      </c>
      <c r="G1694" s="78"/>
      <c r="H1694" t="s">
        <v>3493</v>
      </c>
      <c r="J1694" s="256"/>
      <c r="L1694" s="37"/>
    </row>
    <row r="1695" spans="1:14" hidden="1" outlineLevel="1" x14ac:dyDescent="0.25">
      <c r="A1695" s="739">
        <v>0.04</v>
      </c>
      <c r="B1695" s="740" t="s">
        <v>1847</v>
      </c>
      <c r="C1695" s="809">
        <v>464.44000000000005</v>
      </c>
      <c r="D1695" s="737">
        <v>74.41</v>
      </c>
      <c r="E1695" s="742">
        <v>-0.83978554818706397</v>
      </c>
      <c r="F1695" s="946">
        <v>-3.3591421927482559E-2</v>
      </c>
      <c r="G1695" s="78"/>
      <c r="H1695" t="s">
        <v>2749</v>
      </c>
      <c r="J1695" s="256"/>
    </row>
    <row r="1696" spans="1:14" hidden="1" outlineLevel="1" x14ac:dyDescent="0.25">
      <c r="A1696" s="739">
        <v>0.03</v>
      </c>
      <c r="B1696" s="740" t="s">
        <v>255</v>
      </c>
      <c r="C1696" s="809">
        <v>33.933999999999997</v>
      </c>
      <c r="D1696" s="737">
        <v>59.44</v>
      </c>
      <c r="E1696" s="742">
        <v>0.75163552778923792</v>
      </c>
      <c r="F1696" s="946">
        <v>2.2549065833677138E-2</v>
      </c>
      <c r="G1696" s="78"/>
      <c r="H1696" t="s">
        <v>3351</v>
      </c>
      <c r="J1696" s="256"/>
    </row>
    <row r="1697" spans="1:10" hidden="1" outlineLevel="1" x14ac:dyDescent="0.25">
      <c r="A1697" s="739">
        <v>0.04</v>
      </c>
      <c r="B1697" s="740" t="s">
        <v>507</v>
      </c>
      <c r="C1697" s="809">
        <v>19.566666666666666</v>
      </c>
      <c r="D1697" s="737">
        <v>52.7</v>
      </c>
      <c r="E1697" s="742">
        <v>1.6933560477001706</v>
      </c>
      <c r="F1697" s="946">
        <v>6.7734241908006823E-2</v>
      </c>
      <c r="G1697" s="78"/>
      <c r="H1697" t="s">
        <v>2810</v>
      </c>
      <c r="J1697" s="256"/>
    </row>
    <row r="1698" spans="1:10" hidden="1" outlineLevel="1" x14ac:dyDescent="0.25">
      <c r="A1698" s="739">
        <v>0.03</v>
      </c>
      <c r="B1698" s="740" t="s">
        <v>3425</v>
      </c>
      <c r="C1698" s="809">
        <v>60.271000000000001</v>
      </c>
      <c r="D1698" s="737">
        <v>62.12</v>
      </c>
      <c r="E1698" s="742">
        <v>3.0678103897396669E-2</v>
      </c>
      <c r="F1698" s="946">
        <v>9.2034311692190001E-4</v>
      </c>
      <c r="G1698" s="78"/>
      <c r="H1698" t="s">
        <v>4126</v>
      </c>
      <c r="J1698" s="256"/>
    </row>
    <row r="1699" spans="1:10" hidden="1" outlineLevel="1" x14ac:dyDescent="0.25">
      <c r="A1699" s="739">
        <v>0.03</v>
      </c>
      <c r="B1699" s="740" t="s">
        <v>3799</v>
      </c>
      <c r="C1699" s="809">
        <v>1470.7</v>
      </c>
      <c r="D1699" s="737">
        <v>1784</v>
      </c>
      <c r="E1699" s="742">
        <v>0.21302780988644865</v>
      </c>
      <c r="F1699" s="946">
        <v>6.3908342965934596E-3</v>
      </c>
      <c r="G1699" s="78"/>
      <c r="H1699" t="s">
        <v>4128</v>
      </c>
      <c r="J1699" s="256"/>
    </row>
    <row r="1700" spans="1:10" hidden="1" outlineLevel="1" x14ac:dyDescent="0.25">
      <c r="A1700" s="739">
        <v>0.03</v>
      </c>
      <c r="B1700" s="740" t="s">
        <v>1204</v>
      </c>
      <c r="C1700" s="809">
        <v>59.335000000000001</v>
      </c>
      <c r="D1700" s="737">
        <v>142.02000000000001</v>
      </c>
      <c r="E1700" s="742">
        <v>1.3935282716777619</v>
      </c>
      <c r="F1700" s="946">
        <v>4.1805848150332857E-2</v>
      </c>
      <c r="G1700" s="78"/>
      <c r="H1700" t="s">
        <v>9047</v>
      </c>
      <c r="J1700" s="256"/>
    </row>
    <row r="1701" spans="1:10" hidden="1" outlineLevel="1" x14ac:dyDescent="0.25">
      <c r="A1701" s="739">
        <v>0.03</v>
      </c>
      <c r="B1701" s="740" t="s">
        <v>1414</v>
      </c>
      <c r="C1701" s="809">
        <v>26.164000000000001</v>
      </c>
      <c r="D1701" s="737">
        <v>37.24</v>
      </c>
      <c r="E1701" s="742">
        <v>0.42332976609081174</v>
      </c>
      <c r="F1701" s="946">
        <v>1.2699892982724352E-2</v>
      </c>
      <c r="G1701" s="78"/>
      <c r="H1701" t="s">
        <v>2428</v>
      </c>
      <c r="J1701" s="256"/>
    </row>
    <row r="1702" spans="1:10" hidden="1" outlineLevel="1" x14ac:dyDescent="0.25">
      <c r="A1702" s="739">
        <v>0.04</v>
      </c>
      <c r="B1702" s="740" t="s">
        <v>4338</v>
      </c>
      <c r="C1702" s="809">
        <v>29.065702447936001</v>
      </c>
      <c r="D1702" s="737">
        <v>15.56</v>
      </c>
      <c r="E1702" s="742">
        <v>-0.46466114046712337</v>
      </c>
      <c r="F1702" s="946">
        <v>-1.8586445618684937E-2</v>
      </c>
      <c r="G1702" s="78"/>
      <c r="H1702" t="s">
        <v>7229</v>
      </c>
      <c r="J1702" s="256"/>
    </row>
    <row r="1703" spans="1:10" hidden="1" outlineLevel="1" x14ac:dyDescent="0.25">
      <c r="A1703" s="739">
        <v>0.05</v>
      </c>
      <c r="B1703" s="740" t="s">
        <v>1183</v>
      </c>
      <c r="C1703" s="809">
        <v>53.252499999999998</v>
      </c>
      <c r="D1703" s="737">
        <v>44.145000000000003</v>
      </c>
      <c r="E1703" s="742">
        <v>-0.17102483451481143</v>
      </c>
      <c r="F1703" s="946">
        <v>-8.5512417257405712E-3</v>
      </c>
      <c r="G1703" s="78"/>
      <c r="H1703" t="s">
        <v>2805</v>
      </c>
      <c r="J1703" s="256"/>
    </row>
    <row r="1704" spans="1:10" hidden="1" outlineLevel="1" x14ac:dyDescent="0.25">
      <c r="A1704" s="739">
        <v>0.03</v>
      </c>
      <c r="B1704" s="740" t="s">
        <v>873</v>
      </c>
      <c r="C1704" s="809">
        <v>660.75</v>
      </c>
      <c r="D1704" s="737">
        <v>168</v>
      </c>
      <c r="E1704" s="742">
        <v>-0.74574347332576618</v>
      </c>
      <c r="F1704" s="946">
        <v>-2.2372304199772985E-2</v>
      </c>
      <c r="G1704" s="78"/>
      <c r="H1704" t="s">
        <v>3495</v>
      </c>
      <c r="J1704" s="256"/>
    </row>
    <row r="1705" spans="1:10" hidden="1" outlineLevel="1" x14ac:dyDescent="0.25">
      <c r="A1705" s="739">
        <v>0.02</v>
      </c>
      <c r="B1705" s="740" t="s">
        <v>874</v>
      </c>
      <c r="C1705" s="809">
        <v>230.05</v>
      </c>
      <c r="D1705" s="737">
        <v>204</v>
      </c>
      <c r="E1705" s="742">
        <v>-0.11323625298848083</v>
      </c>
      <c r="F1705" s="946">
        <v>-2.2647250597696168E-3</v>
      </c>
      <c r="G1705" s="78"/>
      <c r="H1705" t="s">
        <v>4148</v>
      </c>
      <c r="J1705" s="256"/>
    </row>
    <row r="1706" spans="1:10" hidden="1" outlineLevel="1" x14ac:dyDescent="0.25">
      <c r="A1706" s="739">
        <v>0.04</v>
      </c>
      <c r="B1706" s="740" t="s">
        <v>4460</v>
      </c>
      <c r="C1706" s="809">
        <v>1161.5</v>
      </c>
      <c r="D1706" s="737">
        <v>2579</v>
      </c>
      <c r="E1706" s="742">
        <v>1.2204046491605682</v>
      </c>
      <c r="F1706" s="946">
        <v>4.8816185966422732E-2</v>
      </c>
      <c r="G1706" s="78"/>
      <c r="H1706" t="s">
        <v>3485</v>
      </c>
      <c r="J1706" s="256"/>
    </row>
    <row r="1707" spans="1:10" hidden="1" outlineLevel="1" x14ac:dyDescent="0.25">
      <c r="A1707" s="739">
        <v>0.03</v>
      </c>
      <c r="B1707" s="740" t="s">
        <v>1203</v>
      </c>
      <c r="C1707" s="809">
        <v>89.95</v>
      </c>
      <c r="D1707" s="737">
        <v>76.12</v>
      </c>
      <c r="E1707" s="742">
        <v>-0.15375208449138411</v>
      </c>
      <c r="F1707" s="946">
        <v>-4.6125625347415234E-3</v>
      </c>
      <c r="G1707" s="78"/>
      <c r="H1707" t="s">
        <v>79</v>
      </c>
      <c r="J1707" s="256"/>
    </row>
    <row r="1708" spans="1:10" hidden="1" outlineLevel="1" x14ac:dyDescent="0.25">
      <c r="A1708" s="745">
        <v>0.03</v>
      </c>
      <c r="B1708" s="746" t="s">
        <v>2787</v>
      </c>
      <c r="C1708" s="810">
        <v>71.094999999999999</v>
      </c>
      <c r="D1708" s="715">
        <v>91.17</v>
      </c>
      <c r="E1708" s="748">
        <v>0.28236866164990504</v>
      </c>
      <c r="F1708" s="1023">
        <v>8.471059849497151E-3</v>
      </c>
      <c r="G1708" s="78"/>
      <c r="H1708" t="s">
        <v>8874</v>
      </c>
      <c r="J1708" s="256"/>
    </row>
    <row r="1709" spans="1:10" hidden="1" outlineLevel="1" x14ac:dyDescent="0.25">
      <c r="A1709" s="749"/>
      <c r="B1709" s="750"/>
      <c r="C1709" s="727"/>
      <c r="D1709" s="727"/>
      <c r="E1709" s="716"/>
      <c r="F1709" s="770">
        <v>7.8280708728673543E-2</v>
      </c>
      <c r="G1709" s="78"/>
      <c r="J1709" s="256"/>
    </row>
    <row r="1710" spans="1:10" collapsed="1" x14ac:dyDescent="0.25">
      <c r="A1710" s="3801" t="s">
        <v>3972</v>
      </c>
      <c r="B1710" s="3802"/>
      <c r="C1710" s="3802"/>
      <c r="D1710" s="3802"/>
      <c r="E1710" s="721"/>
      <c r="F1710" s="722">
        <v>0</v>
      </c>
      <c r="G1710" s="97" t="s">
        <v>781</v>
      </c>
      <c r="J1710" s="256"/>
    </row>
    <row r="1711" spans="1:10" x14ac:dyDescent="0.25">
      <c r="A1711" s="1"/>
      <c r="B1711" s="1"/>
      <c r="C1711" s="1"/>
      <c r="D1711" s="1"/>
      <c r="E1711" s="1"/>
      <c r="F1711" s="1848"/>
      <c r="G1711" s="78"/>
      <c r="J1711" s="31"/>
    </row>
    <row r="1712" spans="1:10" hidden="1" outlineLevel="1" x14ac:dyDescent="0.25">
      <c r="A1712" s="689" t="s">
        <v>113</v>
      </c>
      <c r="B1712" s="689" t="s">
        <v>114</v>
      </c>
      <c r="C1712" s="689" t="s">
        <v>112</v>
      </c>
      <c r="D1712" s="495" t="s">
        <v>116</v>
      </c>
      <c r="E1712" s="495" t="s">
        <v>117</v>
      </c>
      <c r="F1712" s="1021" t="s">
        <v>121</v>
      </c>
      <c r="G1712" s="78"/>
      <c r="H1712" s="262" t="s">
        <v>631</v>
      </c>
      <c r="I1712" s="263">
        <f>AVERAGE(H1715:AF1715)</f>
        <v>0.17552216666666665</v>
      </c>
      <c r="J1712" s="37"/>
    </row>
    <row r="1713" spans="1:58" hidden="1" outlineLevel="1" x14ac:dyDescent="0.25">
      <c r="A1713" s="905" t="s">
        <v>4397</v>
      </c>
      <c r="B1713" s="799" t="s">
        <v>3153</v>
      </c>
      <c r="C1713" s="800">
        <v>4897.46</v>
      </c>
      <c r="D1713" s="807">
        <v>4831.66</v>
      </c>
      <c r="E1713" s="3819">
        <f>(0.2*D1713/C1713+0.2*D1714/C1714+0.2*D1715/C1715+0.2*D1716/C1716+0.2*D1717/C1717)-1</f>
        <v>0.37949072824096475</v>
      </c>
      <c r="F1713" s="3816">
        <f>I1712*0.62</f>
        <v>0.10882374333333332</v>
      </c>
      <c r="G1713" s="78"/>
      <c r="H1713" s="255">
        <v>39873</v>
      </c>
      <c r="I1713" s="255">
        <v>39904</v>
      </c>
      <c r="J1713" s="256">
        <v>39934</v>
      </c>
      <c r="K1713" s="256">
        <v>39965</v>
      </c>
      <c r="L1713" s="256">
        <v>39995</v>
      </c>
      <c r="M1713" s="256">
        <v>40026</v>
      </c>
      <c r="N1713" s="256">
        <v>40057</v>
      </c>
      <c r="O1713" s="256">
        <v>40087</v>
      </c>
      <c r="P1713" s="256">
        <v>40118</v>
      </c>
      <c r="Q1713" s="256">
        <v>40148</v>
      </c>
      <c r="R1713" s="256">
        <v>40179</v>
      </c>
      <c r="S1713" s="256">
        <v>40210</v>
      </c>
      <c r="T1713" s="256">
        <v>40238</v>
      </c>
      <c r="U1713" s="256">
        <v>40269</v>
      </c>
      <c r="V1713" s="256">
        <v>40299</v>
      </c>
      <c r="W1713" s="256">
        <v>40330</v>
      </c>
      <c r="X1713" s="256">
        <v>40360</v>
      </c>
      <c r="Y1713" s="256">
        <v>40391</v>
      </c>
      <c r="Z1713" s="256">
        <v>40422</v>
      </c>
      <c r="AA1713" s="256">
        <v>40452</v>
      </c>
      <c r="AB1713" s="256">
        <v>40483</v>
      </c>
      <c r="AC1713" s="256">
        <v>40513</v>
      </c>
      <c r="AD1713" s="256">
        <v>40544</v>
      </c>
      <c r="AE1713" s="256">
        <v>40575</v>
      </c>
      <c r="AF1713" s="256"/>
      <c r="AG1713" s="256"/>
      <c r="AH1713" s="256"/>
      <c r="AI1713" s="256"/>
      <c r="AJ1713" s="256"/>
      <c r="AK1713" s="256"/>
      <c r="AL1713" s="256"/>
      <c r="AM1713" s="256"/>
      <c r="AN1713" s="256"/>
      <c r="AO1713" s="256"/>
      <c r="AP1713" s="256"/>
      <c r="AQ1713" s="256"/>
      <c r="AR1713" s="256"/>
      <c r="AS1713" s="256"/>
      <c r="AT1713" s="256"/>
      <c r="AU1713" s="256"/>
      <c r="AV1713" s="256"/>
      <c r="AW1713" s="256"/>
      <c r="AX1713" s="256"/>
      <c r="AY1713" s="256"/>
      <c r="AZ1713" s="256"/>
      <c r="BA1713" s="256"/>
      <c r="BB1713" s="256"/>
      <c r="BC1713" s="256"/>
      <c r="BD1713" s="256"/>
      <c r="BE1713" s="256"/>
      <c r="BF1713" s="256"/>
    </row>
    <row r="1714" spans="1:58" hidden="1" outlineLevel="1" x14ac:dyDescent="0.25">
      <c r="A1714" s="905" t="s">
        <v>4397</v>
      </c>
      <c r="B1714" s="852" t="s">
        <v>1916</v>
      </c>
      <c r="C1714" s="802">
        <v>174.85</v>
      </c>
      <c r="D1714" s="809">
        <v>256.36</v>
      </c>
      <c r="E1714" s="3820"/>
      <c r="F1714" s="3817"/>
      <c r="G1714" s="78"/>
      <c r="H1714">
        <v>84.456299999999999</v>
      </c>
      <c r="I1714">
        <v>93.884799999999998</v>
      </c>
      <c r="J1714" s="242">
        <v>102.654</v>
      </c>
      <c r="K1714" s="242">
        <v>105.68</v>
      </c>
      <c r="L1714" s="242">
        <v>116.41</v>
      </c>
      <c r="M1714">
        <v>114.4045</v>
      </c>
      <c r="N1714" s="305">
        <v>119.7634</v>
      </c>
      <c r="O1714" s="304">
        <v>121.52979999999999</v>
      </c>
      <c r="P1714">
        <v>121.3967</v>
      </c>
      <c r="Q1714">
        <v>125.0476</v>
      </c>
      <c r="R1714">
        <v>115.90900000000001</v>
      </c>
      <c r="S1714">
        <v>116.6246</v>
      </c>
      <c r="T1714">
        <v>123.7092</v>
      </c>
      <c r="U1714">
        <v>123.2955</v>
      </c>
      <c r="V1714">
        <v>114.7944</v>
      </c>
      <c r="W1714">
        <v>114.90689999999999</v>
      </c>
      <c r="X1714">
        <v>119.3192</v>
      </c>
      <c r="Y1714">
        <v>115.6314</v>
      </c>
      <c r="Z1714">
        <v>124.24509999999999</v>
      </c>
      <c r="AA1714">
        <v>127.61360000000001</v>
      </c>
      <c r="AB1714">
        <v>127.8006</v>
      </c>
      <c r="AC1714">
        <v>130.9419</v>
      </c>
      <c r="AD1714">
        <v>131.32980000000001</v>
      </c>
      <c r="AE1714">
        <v>129.9049</v>
      </c>
    </row>
    <row r="1715" spans="1:58" hidden="1" outlineLevel="1" x14ac:dyDescent="0.25">
      <c r="A1715" s="905" t="s">
        <v>4397</v>
      </c>
      <c r="B1715" s="852" t="s">
        <v>3563</v>
      </c>
      <c r="C1715" s="802">
        <v>6576.8969999999999</v>
      </c>
      <c r="D1715" s="809">
        <f>VLOOKUP(B1715,indexy!A:D,2,0)</f>
        <v>5810.79</v>
      </c>
      <c r="E1715" s="3820"/>
      <c r="F1715" s="3817"/>
      <c r="G1715" s="78"/>
      <c r="H1715" s="37">
        <f t="shared" ref="H1715:W1715" si="38">H1714/100-1</f>
        <v>-0.15543700000000005</v>
      </c>
      <c r="I1715" s="37">
        <f t="shared" si="38"/>
        <v>-6.1151999999999984E-2</v>
      </c>
      <c r="J1715" s="37">
        <f t="shared" si="38"/>
        <v>2.6540000000000008E-2</v>
      </c>
      <c r="K1715" s="37">
        <f t="shared" si="38"/>
        <v>5.6799999999999962E-2</v>
      </c>
      <c r="L1715" s="37">
        <f t="shared" si="38"/>
        <v>0.16409999999999991</v>
      </c>
      <c r="M1715" s="37">
        <f t="shared" si="38"/>
        <v>0.14404499999999998</v>
      </c>
      <c r="N1715" s="37">
        <f t="shared" si="38"/>
        <v>0.19763400000000009</v>
      </c>
      <c r="O1715" s="37">
        <f t="shared" si="38"/>
        <v>0.21529799999999999</v>
      </c>
      <c r="P1715" s="37">
        <f t="shared" si="38"/>
        <v>0.21396700000000002</v>
      </c>
      <c r="Q1715" s="37">
        <f t="shared" si="38"/>
        <v>0.25047599999999992</v>
      </c>
      <c r="R1715" s="37">
        <f t="shared" si="38"/>
        <v>0.15908999999999995</v>
      </c>
      <c r="S1715" s="37">
        <f t="shared" si="38"/>
        <v>0.16624600000000012</v>
      </c>
      <c r="T1715" s="37">
        <f t="shared" si="38"/>
        <v>0.23709199999999986</v>
      </c>
      <c r="U1715" s="37">
        <f t="shared" si="38"/>
        <v>0.23295500000000002</v>
      </c>
      <c r="V1715" s="37">
        <f t="shared" si="38"/>
        <v>0.14794399999999985</v>
      </c>
      <c r="W1715" s="37">
        <f t="shared" si="38"/>
        <v>0.1490689999999999</v>
      </c>
      <c r="X1715" s="37">
        <f t="shared" ref="X1715:AE1715" si="39">X1714/100-1</f>
        <v>0.19319200000000003</v>
      </c>
      <c r="Y1715" s="37">
        <f t="shared" si="39"/>
        <v>0.15631400000000006</v>
      </c>
      <c r="Z1715" s="37">
        <f t="shared" si="39"/>
        <v>0.24245099999999997</v>
      </c>
      <c r="AA1715" s="37">
        <f t="shared" si="39"/>
        <v>0.27613600000000016</v>
      </c>
      <c r="AB1715" s="37">
        <f t="shared" si="39"/>
        <v>0.27800599999999998</v>
      </c>
      <c r="AC1715" s="37">
        <f t="shared" si="39"/>
        <v>0.30941900000000011</v>
      </c>
      <c r="AD1715" s="37">
        <f t="shared" si="39"/>
        <v>0.31329800000000008</v>
      </c>
      <c r="AE1715" s="37">
        <f t="shared" si="39"/>
        <v>0.2990489999999999</v>
      </c>
    </row>
    <row r="1716" spans="1:58" hidden="1" outlineLevel="1" x14ac:dyDescent="0.25">
      <c r="A1716" s="905" t="s">
        <v>4397</v>
      </c>
      <c r="B1716" s="852" t="s">
        <v>3564</v>
      </c>
      <c r="C1716" s="741">
        <v>15811.428</v>
      </c>
      <c r="D1716" s="809">
        <f>VLOOKUP(B1716,indexy!A:D,2,0)</f>
        <v>16541.419999999998</v>
      </c>
      <c r="E1716" s="3820"/>
      <c r="F1716" s="3817"/>
      <c r="G1716" s="78"/>
    </row>
    <row r="1717" spans="1:58" hidden="1" outlineLevel="1" x14ac:dyDescent="0.25">
      <c r="A1717" s="905" t="s">
        <v>4397</v>
      </c>
      <c r="B1717" s="801" t="s">
        <v>761</v>
      </c>
      <c r="C1717" s="747">
        <v>15971.183000000001</v>
      </c>
      <c r="D1717" s="810">
        <f>VLOOKUP(B1717,indexy!A:D,2,0)</f>
        <v>40168.07</v>
      </c>
      <c r="E1717" s="3821"/>
      <c r="F1717" s="3818"/>
      <c r="G1717" s="78"/>
      <c r="J1717" s="31"/>
    </row>
    <row r="1718" spans="1:58" collapsed="1" x14ac:dyDescent="0.25">
      <c r="A1718" s="3801" t="s">
        <v>4517</v>
      </c>
      <c r="B1718" s="3802"/>
      <c r="C1718" s="3802"/>
      <c r="D1718" s="3802"/>
      <c r="E1718" s="782" t="s">
        <v>2722</v>
      </c>
      <c r="F1718" s="934">
        <f>MAX(I1712*parametry!N79,0)</f>
        <v>0.10882374333333332</v>
      </c>
      <c r="G1718" s="97" t="s">
        <v>781</v>
      </c>
      <c r="J1718" s="31"/>
    </row>
    <row r="1719" spans="1:58" x14ac:dyDescent="0.25">
      <c r="A1719" s="1"/>
      <c r="B1719" s="1"/>
      <c r="C1719" s="1"/>
      <c r="D1719" s="1"/>
      <c r="E1719" s="1"/>
      <c r="F1719" s="1848"/>
      <c r="G1719" s="78"/>
      <c r="J1719" s="31"/>
    </row>
    <row r="1720" spans="1:58" hidden="1" outlineLevel="1" x14ac:dyDescent="0.25">
      <c r="A1720" s="689" t="s">
        <v>113</v>
      </c>
      <c r="B1720" s="689" t="s">
        <v>114</v>
      </c>
      <c r="C1720" s="689" t="s">
        <v>112</v>
      </c>
      <c r="D1720" s="689" t="s">
        <v>116</v>
      </c>
      <c r="E1720" s="689" t="s">
        <v>117</v>
      </c>
      <c r="F1720" s="1188" t="s">
        <v>121</v>
      </c>
      <c r="G1720" s="78"/>
      <c r="J1720" s="31"/>
    </row>
    <row r="1721" spans="1:58" hidden="1" outlineLevel="1" x14ac:dyDescent="0.25">
      <c r="A1721" s="753" t="s">
        <v>677</v>
      </c>
      <c r="B1721" s="691" t="s">
        <v>115</v>
      </c>
      <c r="C1721" s="793">
        <v>3725.7249999999999</v>
      </c>
      <c r="D1721" s="793">
        <v>4234.5770000000002</v>
      </c>
      <c r="E1721" s="3813">
        <v>0.1268</v>
      </c>
      <c r="F1721" s="3816">
        <v>5.6000000000000001E-2</v>
      </c>
      <c r="G1721" s="78"/>
      <c r="J1721" s="31"/>
    </row>
    <row r="1722" spans="1:58" hidden="1" outlineLevel="1" x14ac:dyDescent="0.25">
      <c r="A1722" s="732" t="s">
        <v>677</v>
      </c>
      <c r="B1722" s="695" t="s">
        <v>760</v>
      </c>
      <c r="C1722" s="797">
        <v>1272.925</v>
      </c>
      <c r="D1722" s="797">
        <v>1445.864</v>
      </c>
      <c r="E1722" s="3814"/>
      <c r="F1722" s="3817"/>
      <c r="G1722" s="78"/>
      <c r="J1722" s="31"/>
    </row>
    <row r="1723" spans="1:58" hidden="1" outlineLevel="1" x14ac:dyDescent="0.25">
      <c r="A1723" s="754" t="s">
        <v>677</v>
      </c>
      <c r="B1723" s="695" t="s">
        <v>761</v>
      </c>
      <c r="C1723" s="797">
        <v>16088.157999999999</v>
      </c>
      <c r="D1723" s="797">
        <v>17517.871999999999</v>
      </c>
      <c r="E1723" s="3815"/>
      <c r="F1723" s="3818"/>
      <c r="G1723" s="78"/>
      <c r="J1723" s="31"/>
    </row>
    <row r="1724" spans="1:58" hidden="1" outlineLevel="1" x14ac:dyDescent="0.25">
      <c r="A1724" s="753" t="s">
        <v>678</v>
      </c>
      <c r="B1724" s="691" t="s">
        <v>115</v>
      </c>
      <c r="C1724" s="793">
        <v>4234.5770000000002</v>
      </c>
      <c r="D1724" s="793">
        <v>3769.5309999999999</v>
      </c>
      <c r="E1724" s="3813">
        <v>-0.12089999999999999</v>
      </c>
      <c r="F1724" s="3816">
        <v>-0.03</v>
      </c>
      <c r="G1724" s="78"/>
      <c r="J1724" s="31"/>
    </row>
    <row r="1725" spans="1:58" hidden="1" outlineLevel="1" x14ac:dyDescent="0.25">
      <c r="A1725" s="732" t="s">
        <v>678</v>
      </c>
      <c r="B1725" s="695" t="s">
        <v>760</v>
      </c>
      <c r="C1725" s="797">
        <v>1445.864</v>
      </c>
      <c r="D1725" s="797">
        <v>1351.1590000000001</v>
      </c>
      <c r="E1725" s="3814"/>
      <c r="F1725" s="3817"/>
      <c r="G1725" s="78"/>
      <c r="J1725" s="31"/>
    </row>
    <row r="1726" spans="1:58" hidden="1" outlineLevel="1" x14ac:dyDescent="0.25">
      <c r="A1726" s="754" t="s">
        <v>678</v>
      </c>
      <c r="B1726" s="695" t="s">
        <v>761</v>
      </c>
      <c r="C1726" s="797">
        <v>17517.871999999999</v>
      </c>
      <c r="D1726" s="797">
        <v>13376.526</v>
      </c>
      <c r="E1726" s="3815"/>
      <c r="F1726" s="3818"/>
      <c r="G1726" s="78"/>
      <c r="J1726" s="31"/>
    </row>
    <row r="1727" spans="1:58" hidden="1" outlineLevel="1" x14ac:dyDescent="0.25">
      <c r="A1727" s="753" t="s">
        <v>679</v>
      </c>
      <c r="B1727" s="691" t="s">
        <v>115</v>
      </c>
      <c r="C1727" s="793">
        <v>3769.5309999999999</v>
      </c>
      <c r="D1727" s="793">
        <v>2270.6489999999999</v>
      </c>
      <c r="E1727" s="3813">
        <v>-0.39340000000000003</v>
      </c>
      <c r="F1727" s="3816">
        <v>-0.03</v>
      </c>
      <c r="G1727" s="78"/>
      <c r="J1727" s="31"/>
    </row>
    <row r="1728" spans="1:58" hidden="1" outlineLevel="1" x14ac:dyDescent="0.25">
      <c r="A1728" s="732" t="s">
        <v>679</v>
      </c>
      <c r="B1728" s="695" t="s">
        <v>760</v>
      </c>
      <c r="C1728" s="797">
        <v>1351.1590000000001</v>
      </c>
      <c r="D1728" s="797">
        <v>840.34500000000003</v>
      </c>
      <c r="E1728" s="3814"/>
      <c r="F1728" s="3817"/>
      <c r="G1728" s="78"/>
      <c r="J1728" s="31"/>
    </row>
    <row r="1729" spans="1:12" hidden="1" outlineLevel="1" x14ac:dyDescent="0.25">
      <c r="A1729" s="754" t="s">
        <v>679</v>
      </c>
      <c r="B1729" s="695" t="s">
        <v>761</v>
      </c>
      <c r="C1729" s="797">
        <v>13376.526</v>
      </c>
      <c r="D1729" s="797">
        <v>7891.46</v>
      </c>
      <c r="E1729" s="3815"/>
      <c r="F1729" s="3818"/>
      <c r="G1729" s="78"/>
      <c r="J1729" s="31"/>
    </row>
    <row r="1730" spans="1:12" hidden="1" outlineLevel="1" x14ac:dyDescent="0.25">
      <c r="A1730" s="753" t="s">
        <v>680</v>
      </c>
      <c r="B1730" s="691" t="s">
        <v>115</v>
      </c>
      <c r="C1730" s="793">
        <v>2270.6489999999999</v>
      </c>
      <c r="D1730" s="793">
        <v>2715.46</v>
      </c>
      <c r="E1730" s="3813">
        <v>0.23849999999999999</v>
      </c>
      <c r="F1730" s="3816">
        <v>5.6000000000000001E-2</v>
      </c>
      <c r="G1730" s="78"/>
      <c r="J1730" s="31"/>
    </row>
    <row r="1731" spans="1:12" hidden="1" outlineLevel="1" x14ac:dyDescent="0.25">
      <c r="A1731" s="732" t="s">
        <v>680</v>
      </c>
      <c r="B1731" s="695" t="s">
        <v>760</v>
      </c>
      <c r="C1731" s="797">
        <v>840.34500000000003</v>
      </c>
      <c r="D1731" s="797">
        <v>1076.846</v>
      </c>
      <c r="E1731" s="3814"/>
      <c r="F1731" s="3817"/>
      <c r="G1731" s="78"/>
      <c r="J1731" s="31"/>
    </row>
    <row r="1732" spans="1:12" hidden="1" outlineLevel="1" x14ac:dyDescent="0.25">
      <c r="A1732" s="754" t="s">
        <v>680</v>
      </c>
      <c r="B1732" s="695" t="s">
        <v>761</v>
      </c>
      <c r="C1732" s="797">
        <v>7891.46</v>
      </c>
      <c r="D1732" s="797">
        <v>10134.771000000001</v>
      </c>
      <c r="E1732" s="3815"/>
      <c r="F1732" s="3818"/>
      <c r="G1732" s="78"/>
      <c r="J1732" s="31"/>
    </row>
    <row r="1733" spans="1:12" hidden="1" outlineLevel="1" x14ac:dyDescent="0.25">
      <c r="A1733" s="753" t="s">
        <v>2599</v>
      </c>
      <c r="B1733" s="691" t="s">
        <v>115</v>
      </c>
      <c r="C1733" s="793">
        <v>2715.46</v>
      </c>
      <c r="D1733" s="793">
        <v>2943.6239999999998</v>
      </c>
      <c r="E1733" s="3813">
        <v>0.1203</v>
      </c>
      <c r="F1733" s="3816">
        <v>5.6000000000000001E-2</v>
      </c>
      <c r="G1733" s="78"/>
      <c r="J1733" s="31"/>
    </row>
    <row r="1734" spans="1:12" hidden="1" outlineLevel="1" x14ac:dyDescent="0.25">
      <c r="A1734" s="732" t="s">
        <v>2599</v>
      </c>
      <c r="B1734" s="695" t="s">
        <v>760</v>
      </c>
      <c r="C1734" s="797">
        <v>1076.846</v>
      </c>
      <c r="D1734" s="797">
        <v>1347.241</v>
      </c>
      <c r="E1734" s="3814"/>
      <c r="F1734" s="3817"/>
      <c r="G1734" s="78"/>
      <c r="J1734" s="31"/>
    </row>
    <row r="1735" spans="1:12" hidden="1" outlineLevel="1" x14ac:dyDescent="0.25">
      <c r="A1735" s="754" t="s">
        <v>2599</v>
      </c>
      <c r="B1735" s="695" t="s">
        <v>761</v>
      </c>
      <c r="C1735" s="797">
        <v>10134.771000000001</v>
      </c>
      <c r="D1735" s="797">
        <v>9749.3619999999992</v>
      </c>
      <c r="E1735" s="3815"/>
      <c r="F1735" s="3818"/>
      <c r="G1735" s="78"/>
      <c r="J1735" s="31"/>
    </row>
    <row r="1736" spans="1:12" collapsed="1" x14ac:dyDescent="0.25">
      <c r="A1736" s="3801" t="s">
        <v>4430</v>
      </c>
      <c r="B1736" s="3802"/>
      <c r="C1736" s="3802"/>
      <c r="D1736" s="3802"/>
      <c r="E1736" s="782" t="s">
        <v>2722</v>
      </c>
      <c r="F1736" s="752">
        <f>MAX(SUM(F1721:F1735),8%)</f>
        <v>0.10800000000000001</v>
      </c>
      <c r="G1736" s="97" t="s">
        <v>781</v>
      </c>
      <c r="J1736" s="31"/>
    </row>
    <row r="1737" spans="1:12" x14ac:dyDescent="0.25">
      <c r="A1737" s="1"/>
      <c r="B1737" s="1"/>
      <c r="C1737" s="1"/>
      <c r="D1737" s="1"/>
      <c r="E1737" s="1"/>
      <c r="F1737" s="1848"/>
      <c r="G1737" s="78"/>
      <c r="J1737" s="31"/>
    </row>
    <row r="1738" spans="1:12" hidden="1" outlineLevel="1" x14ac:dyDescent="0.25">
      <c r="A1738" s="689" t="s">
        <v>113</v>
      </c>
      <c r="B1738" s="689" t="s">
        <v>114</v>
      </c>
      <c r="C1738" s="689" t="s">
        <v>112</v>
      </c>
      <c r="D1738" s="689" t="s">
        <v>116</v>
      </c>
      <c r="E1738" s="689" t="s">
        <v>117</v>
      </c>
      <c r="F1738" s="1188" t="s">
        <v>121</v>
      </c>
      <c r="G1738" s="78"/>
      <c r="J1738" s="31"/>
    </row>
    <row r="1739" spans="1:12" hidden="1" outlineLevel="1" x14ac:dyDescent="0.25">
      <c r="A1739" s="690">
        <v>1</v>
      </c>
      <c r="B1739" s="691" t="s">
        <v>252</v>
      </c>
      <c r="C1739" s="692">
        <v>100</v>
      </c>
      <c r="D1739" s="692"/>
      <c r="E1739" s="693"/>
      <c r="F1739" s="694"/>
      <c r="G1739" s="78"/>
      <c r="J1739" s="31"/>
    </row>
    <row r="1740" spans="1:12" hidden="1" outlineLevel="1" x14ac:dyDescent="0.25">
      <c r="A1740" s="695"/>
      <c r="B1740" s="695"/>
      <c r="C1740" s="696"/>
      <c r="D1740" s="697" t="s">
        <v>3702</v>
      </c>
      <c r="E1740" s="698">
        <f>indexy!$B$2</f>
        <v>45379</v>
      </c>
      <c r="F1740" s="699"/>
      <c r="G1740" s="78"/>
      <c r="J1740" s="31"/>
    </row>
    <row r="1741" spans="1:12" hidden="1" outlineLevel="1" x14ac:dyDescent="0.25">
      <c r="A1741" s="689" t="s">
        <v>4156</v>
      </c>
      <c r="B1741" s="689" t="s">
        <v>4153</v>
      </c>
      <c r="C1741" s="700" t="s">
        <v>112</v>
      </c>
      <c r="D1741" s="689" t="s">
        <v>4155</v>
      </c>
      <c r="E1741" s="689" t="s">
        <v>4154</v>
      </c>
      <c r="F1741" s="1021" t="s">
        <v>2519</v>
      </c>
      <c r="G1741" s="78"/>
      <c r="J1741" s="31"/>
    </row>
    <row r="1742" spans="1:12" hidden="1" outlineLevel="1" x14ac:dyDescent="0.25">
      <c r="A1742" s="734">
        <v>0.04</v>
      </c>
      <c r="B1742" s="735" t="s">
        <v>1526</v>
      </c>
      <c r="C1742" s="807">
        <v>90.42</v>
      </c>
      <c r="D1742" s="737">
        <v>17.5</v>
      </c>
      <c r="E1742" s="738">
        <f>D1742/C1742-1</f>
        <v>-0.80645874806458751</v>
      </c>
      <c r="F1742" s="1021">
        <f>E1742*A1742</f>
        <v>-3.2258349922583501E-2</v>
      </c>
      <c r="G1742" s="366"/>
      <c r="J1742" t="s">
        <v>2040</v>
      </c>
      <c r="K1742" t="s">
        <v>561</v>
      </c>
      <c r="L1742" t="s">
        <v>4577</v>
      </c>
    </row>
    <row r="1743" spans="1:12" hidden="1" outlineLevel="1" x14ac:dyDescent="0.25">
      <c r="A1743" s="849">
        <v>0.04</v>
      </c>
      <c r="B1743" s="740" t="s">
        <v>507</v>
      </c>
      <c r="C1743" s="809">
        <v>18.967556216064452</v>
      </c>
      <c r="D1743" s="737">
        <v>23.754999999999999</v>
      </c>
      <c r="E1743" s="742">
        <f>D1743/C1743-1</f>
        <v>0.25240171846074988</v>
      </c>
      <c r="F1743" s="946">
        <f>E1743*A1743</f>
        <v>1.0096068738429996E-2</v>
      </c>
      <c r="G1743" s="366"/>
      <c r="J1743" s="256">
        <v>40452</v>
      </c>
      <c r="K1743">
        <v>98.914199999999994</v>
      </c>
      <c r="L1743" s="37">
        <f t="shared" ref="L1743:L1754" si="40">K1743/100-1</f>
        <v>-1.0858000000000034E-2</v>
      </c>
    </row>
    <row r="1744" spans="1:12" hidden="1" outlineLevel="1" x14ac:dyDescent="0.25">
      <c r="A1744" s="849">
        <v>0.04</v>
      </c>
      <c r="B1744" s="740" t="s">
        <v>182</v>
      </c>
      <c r="C1744" s="809">
        <v>66.270139288235512</v>
      </c>
      <c r="D1744" s="737">
        <v>10.54</v>
      </c>
      <c r="E1744" s="742">
        <f>D1744/C1744-1</f>
        <v>-0.84095400865000003</v>
      </c>
      <c r="F1744" s="946">
        <f>E1744*A1744</f>
        <v>-3.3638160346E-2</v>
      </c>
      <c r="G1744" s="366"/>
      <c r="J1744" s="256">
        <v>40483</v>
      </c>
      <c r="K1744">
        <v>95.868899999999996</v>
      </c>
      <c r="L1744" s="37">
        <f t="shared" si="40"/>
        <v>-4.1310999999999987E-2</v>
      </c>
    </row>
    <row r="1745" spans="1:13" hidden="1" outlineLevel="1" x14ac:dyDescent="0.25">
      <c r="A1745" s="849">
        <v>0.04</v>
      </c>
      <c r="B1745" s="853" t="s">
        <v>4460</v>
      </c>
      <c r="C1745" s="809">
        <v>1221.3858072806731</v>
      </c>
      <c r="D1745" s="737">
        <v>1541</v>
      </c>
      <c r="E1745" s="742">
        <f t="shared" ref="E1745:E1766" si="41">D1745/C1745-1</f>
        <v>0.26168160037074983</v>
      </c>
      <c r="F1745" s="946">
        <f t="shared" ref="F1745:F1766" si="42">E1745*A1745</f>
        <v>1.0467264014829994E-2</v>
      </c>
      <c r="G1745" s="366"/>
      <c r="J1745" s="256">
        <v>40513</v>
      </c>
      <c r="K1745">
        <v>101.18300000000001</v>
      </c>
      <c r="L1745" s="37">
        <f t="shared" si="40"/>
        <v>1.1830000000000007E-2</v>
      </c>
    </row>
    <row r="1746" spans="1:13" hidden="1" outlineLevel="1" x14ac:dyDescent="0.25">
      <c r="A1746" s="849">
        <v>0.04</v>
      </c>
      <c r="B1746" s="906" t="s">
        <v>4025</v>
      </c>
      <c r="C1746" s="809">
        <v>46.875999999999998</v>
      </c>
      <c r="D1746" s="737">
        <v>33.630000000000003</v>
      </c>
      <c r="E1746" s="742">
        <f t="shared" si="41"/>
        <v>-0.2825753050601586</v>
      </c>
      <c r="F1746" s="946">
        <f t="shared" si="42"/>
        <v>-1.1303012202406345E-2</v>
      </c>
      <c r="G1746" s="366"/>
      <c r="J1746" s="256">
        <v>40544</v>
      </c>
      <c r="K1746">
        <v>101.52679999999999</v>
      </c>
      <c r="L1746" s="37">
        <f t="shared" si="40"/>
        <v>1.5267999999999837E-2</v>
      </c>
    </row>
    <row r="1747" spans="1:13" hidden="1" outlineLevel="1" x14ac:dyDescent="0.25">
      <c r="A1747" s="849">
        <v>0.04</v>
      </c>
      <c r="B1747" s="740" t="s">
        <v>3801</v>
      </c>
      <c r="C1747" s="809">
        <v>71.088999999999999</v>
      </c>
      <c r="D1747" s="737">
        <v>27.72</v>
      </c>
      <c r="E1747" s="742">
        <f t="shared" si="41"/>
        <v>-0.61006625497615663</v>
      </c>
      <c r="F1747" s="946">
        <f t="shared" si="42"/>
        <v>-2.4402650199046267E-2</v>
      </c>
      <c r="G1747" s="366"/>
      <c r="I1747" s="106"/>
      <c r="J1747" s="256">
        <v>40575</v>
      </c>
      <c r="K1747">
        <v>104.5022</v>
      </c>
      <c r="L1747" s="37">
        <f t="shared" si="40"/>
        <v>4.5022000000000117E-2</v>
      </c>
    </row>
    <row r="1748" spans="1:13" hidden="1" outlineLevel="1" x14ac:dyDescent="0.25">
      <c r="A1748" s="849">
        <v>0.04</v>
      </c>
      <c r="B1748" s="740" t="s">
        <v>1993</v>
      </c>
      <c r="C1748" s="809">
        <v>55</v>
      </c>
      <c r="D1748" s="737">
        <v>89.19</v>
      </c>
      <c r="E1748" s="742">
        <f t="shared" si="41"/>
        <v>0.62163636363636354</v>
      </c>
      <c r="F1748" s="946">
        <f t="shared" si="42"/>
        <v>2.4865454545454541E-2</v>
      </c>
      <c r="G1748" s="366"/>
      <c r="I1748" t="s">
        <v>3533</v>
      </c>
      <c r="J1748" s="256">
        <v>40603</v>
      </c>
      <c r="K1748">
        <v>103.3051</v>
      </c>
      <c r="L1748" s="37">
        <f t="shared" si="40"/>
        <v>3.3050999999999942E-2</v>
      </c>
    </row>
    <row r="1749" spans="1:13" hidden="1" outlineLevel="1" x14ac:dyDescent="0.25">
      <c r="A1749" s="849">
        <v>0.04</v>
      </c>
      <c r="B1749" s="740" t="s">
        <v>3019</v>
      </c>
      <c r="C1749" s="809">
        <v>73.543673018505004</v>
      </c>
      <c r="D1749" s="737">
        <v>30.05</v>
      </c>
      <c r="E1749" s="742">
        <f t="shared" si="41"/>
        <v>-0.59139924936249999</v>
      </c>
      <c r="F1749" s="946">
        <f t="shared" si="42"/>
        <v>-2.36559699745E-2</v>
      </c>
      <c r="G1749" s="366"/>
      <c r="I1749" s="112"/>
      <c r="J1749" s="256">
        <v>40634</v>
      </c>
      <c r="K1749">
        <v>107.3343</v>
      </c>
      <c r="L1749" s="37">
        <f t="shared" si="40"/>
        <v>7.3342999999999936E-2</v>
      </c>
    </row>
    <row r="1750" spans="1:13" hidden="1" outlineLevel="1" x14ac:dyDescent="0.25">
      <c r="A1750" s="849">
        <v>0.04</v>
      </c>
      <c r="B1750" s="740" t="s">
        <v>577</v>
      </c>
      <c r="C1750" s="809">
        <v>13.24</v>
      </c>
      <c r="D1750" s="737">
        <v>14.425000000000001</v>
      </c>
      <c r="E1750" s="742">
        <f t="shared" si="41"/>
        <v>8.9501510574018228E-2</v>
      </c>
      <c r="F1750" s="946">
        <f t="shared" si="42"/>
        <v>3.5800604229607293E-3</v>
      </c>
      <c r="G1750" s="366"/>
      <c r="I1750" s="113"/>
      <c r="J1750" s="256">
        <v>40664</v>
      </c>
      <c r="K1750">
        <v>105.7255</v>
      </c>
      <c r="L1750" s="37">
        <f t="shared" si="40"/>
        <v>5.7255000000000056E-2</v>
      </c>
    </row>
    <row r="1751" spans="1:13" hidden="1" outlineLevel="1" x14ac:dyDescent="0.25">
      <c r="A1751" s="849">
        <v>0.04</v>
      </c>
      <c r="B1751" s="740" t="s">
        <v>1188</v>
      </c>
      <c r="C1751" s="809">
        <f>6.588*100</f>
        <v>658.8</v>
      </c>
      <c r="D1751" s="737">
        <v>388.5</v>
      </c>
      <c r="E1751" s="742">
        <f t="shared" si="41"/>
        <v>-0.41029143897996356</v>
      </c>
      <c r="F1751" s="946">
        <f t="shared" si="42"/>
        <v>-1.6411657559198541E-2</v>
      </c>
      <c r="G1751" s="366"/>
      <c r="I1751" s="12"/>
      <c r="J1751" s="256">
        <v>40695</v>
      </c>
      <c r="K1751">
        <v>104.1396</v>
      </c>
      <c r="L1751" s="37">
        <f t="shared" si="40"/>
        <v>4.1395999999999988E-2</v>
      </c>
    </row>
    <row r="1752" spans="1:13" hidden="1" outlineLevel="1" x14ac:dyDescent="0.25">
      <c r="A1752" s="849">
        <v>0.04</v>
      </c>
      <c r="B1752" s="740" t="s">
        <v>581</v>
      </c>
      <c r="C1752" s="809">
        <v>56.999000000000002</v>
      </c>
      <c r="D1752" s="737">
        <v>92.52</v>
      </c>
      <c r="E1752" s="742">
        <f t="shared" si="41"/>
        <v>0.62318637169073132</v>
      </c>
      <c r="F1752" s="946">
        <f t="shared" si="42"/>
        <v>2.4927454867629255E-2</v>
      </c>
      <c r="G1752" s="366"/>
      <c r="I1752" s="110"/>
      <c r="J1752" s="256">
        <v>40725</v>
      </c>
      <c r="K1752">
        <v>100.8544</v>
      </c>
      <c r="L1752" s="37">
        <f t="shared" si="40"/>
        <v>8.543999999999885E-3</v>
      </c>
    </row>
    <row r="1753" spans="1:13" hidden="1" outlineLevel="1" x14ac:dyDescent="0.25">
      <c r="A1753" s="849">
        <v>0.04</v>
      </c>
      <c r="B1753" s="740" t="s">
        <v>1343</v>
      </c>
      <c r="C1753" s="809">
        <v>1619.2378769922022</v>
      </c>
      <c r="D1753" s="737">
        <v>2174</v>
      </c>
      <c r="E1753" s="742">
        <f t="shared" si="41"/>
        <v>0.3426069331074999</v>
      </c>
      <c r="F1753" s="946">
        <f t="shared" si="42"/>
        <v>1.3704277324299996E-2</v>
      </c>
      <c r="G1753" s="366"/>
      <c r="I1753" s="110"/>
      <c r="J1753" s="256">
        <v>40756</v>
      </c>
      <c r="K1753">
        <v>91.411100000000005</v>
      </c>
      <c r="L1753" s="37">
        <f t="shared" si="40"/>
        <v>-8.5888999999999993E-2</v>
      </c>
    </row>
    <row r="1754" spans="1:13" hidden="1" outlineLevel="1" x14ac:dyDescent="0.25">
      <c r="A1754" s="849">
        <v>0.04</v>
      </c>
      <c r="B1754" s="740" t="s">
        <v>583</v>
      </c>
      <c r="C1754" s="809">
        <f>3.3448*100</f>
        <v>334.48</v>
      </c>
      <c r="D1754" s="737">
        <v>378</v>
      </c>
      <c r="E1754" s="742">
        <f t="shared" si="41"/>
        <v>0.13011241329825385</v>
      </c>
      <c r="F1754" s="946">
        <f t="shared" si="42"/>
        <v>5.2044965319301539E-3</v>
      </c>
      <c r="G1754" s="366"/>
      <c r="I1754" s="111"/>
      <c r="J1754" s="256">
        <v>40787</v>
      </c>
      <c r="K1754">
        <v>88.721199999999996</v>
      </c>
      <c r="L1754" s="37">
        <f t="shared" si="40"/>
        <v>-0.112788</v>
      </c>
    </row>
    <row r="1755" spans="1:13" hidden="1" outlineLevel="1" x14ac:dyDescent="0.25">
      <c r="A1755" s="849">
        <v>0.04</v>
      </c>
      <c r="B1755" s="740" t="s">
        <v>1994</v>
      </c>
      <c r="C1755" s="809">
        <v>46.72</v>
      </c>
      <c r="D1755" s="737">
        <v>6.12</v>
      </c>
      <c r="E1755" s="742">
        <f t="shared" si="41"/>
        <v>-0.86900684931506844</v>
      </c>
      <c r="F1755" s="946">
        <f t="shared" si="42"/>
        <v>-3.4760273972602736E-2</v>
      </c>
      <c r="G1755" s="366"/>
      <c r="J1755" s="256" t="s">
        <v>2465</v>
      </c>
      <c r="L1755" s="101">
        <f>AVERAGE(L1743:L1754)</f>
        <v>2.9052499999999795E-3</v>
      </c>
    </row>
    <row r="1756" spans="1:13" hidden="1" outlineLevel="1" x14ac:dyDescent="0.25">
      <c r="A1756" s="849">
        <v>0.04</v>
      </c>
      <c r="B1756" s="740" t="s">
        <v>1184</v>
      </c>
      <c r="C1756" s="809">
        <f>63.737/2</f>
        <v>31.868500000000001</v>
      </c>
      <c r="D1756" s="737">
        <v>46.085000000000001</v>
      </c>
      <c r="E1756" s="742">
        <f t="shared" si="41"/>
        <v>0.44609881230682324</v>
      </c>
      <c r="F1756" s="946">
        <f t="shared" si="42"/>
        <v>1.784395249227293E-2</v>
      </c>
      <c r="G1756" s="366"/>
      <c r="J1756" s="31"/>
      <c r="K1756" s="367"/>
      <c r="M1756" s="37"/>
    </row>
    <row r="1757" spans="1:13" hidden="1" outlineLevel="1" x14ac:dyDescent="0.25">
      <c r="A1757" s="849">
        <v>0.04</v>
      </c>
      <c r="B1757" s="740" t="s">
        <v>873</v>
      </c>
      <c r="C1757" s="809">
        <v>657.70985795448917</v>
      </c>
      <c r="D1757" s="737">
        <v>161.35</v>
      </c>
      <c r="E1757" s="742">
        <f t="shared" si="41"/>
        <v>-0.75467906091326253</v>
      </c>
      <c r="F1757" s="946">
        <f t="shared" si="42"/>
        <v>-3.0187162436530503E-2</v>
      </c>
      <c r="G1757" s="366"/>
      <c r="J1757" s="31"/>
      <c r="K1757" s="367"/>
      <c r="M1757" s="37"/>
    </row>
    <row r="1758" spans="1:13" hidden="1" outlineLevel="1" x14ac:dyDescent="0.25">
      <c r="A1758" s="849">
        <v>0.04</v>
      </c>
      <c r="B1758" s="740" t="s">
        <v>3406</v>
      </c>
      <c r="C1758" s="809">
        <f>9.1495*100</f>
        <v>914.94999999999993</v>
      </c>
      <c r="D1758" s="737">
        <v>1232</v>
      </c>
      <c r="E1758" s="742">
        <f t="shared" si="41"/>
        <v>0.34652166785070238</v>
      </c>
      <c r="F1758" s="946">
        <f t="shared" si="42"/>
        <v>1.3860866714028095E-2</v>
      </c>
      <c r="G1758" s="366"/>
      <c r="J1758" s="31"/>
      <c r="K1758" s="367"/>
      <c r="M1758" s="37"/>
    </row>
    <row r="1759" spans="1:13" hidden="1" outlineLevel="1" x14ac:dyDescent="0.25">
      <c r="A1759" s="849">
        <v>0.04</v>
      </c>
      <c r="B1759" s="740" t="s">
        <v>3998</v>
      </c>
      <c r="C1759" s="809">
        <v>26.055094335947398</v>
      </c>
      <c r="D1759" s="737">
        <v>28.52</v>
      </c>
      <c r="E1759" s="742">
        <f t="shared" si="41"/>
        <v>9.4603597756000024E-2</v>
      </c>
      <c r="F1759" s="946">
        <f t="shared" si="42"/>
        <v>3.7841439102400012E-3</v>
      </c>
      <c r="G1759" s="366"/>
      <c r="J1759" s="31"/>
      <c r="K1759" s="367"/>
      <c r="M1759" s="37"/>
    </row>
    <row r="1760" spans="1:13" hidden="1" outlineLevel="1" x14ac:dyDescent="0.25">
      <c r="A1760" s="849">
        <v>0.04</v>
      </c>
      <c r="B1760" s="740" t="s">
        <v>578</v>
      </c>
      <c r="C1760" s="809">
        <v>13.118</v>
      </c>
      <c r="D1760" s="737">
        <v>4.4219999999999997</v>
      </c>
      <c r="E1760" s="742">
        <f t="shared" si="41"/>
        <v>-0.66290593078213145</v>
      </c>
      <c r="F1760" s="946">
        <f t="shared" si="42"/>
        <v>-2.651623723128526E-2</v>
      </c>
      <c r="G1760" s="366"/>
      <c r="J1760" s="31"/>
      <c r="K1760" s="367"/>
      <c r="M1760" s="37"/>
    </row>
    <row r="1761" spans="1:13" hidden="1" outlineLevel="1" x14ac:dyDescent="0.25">
      <c r="A1761" s="849">
        <v>0.04</v>
      </c>
      <c r="B1761" s="740" t="s">
        <v>157</v>
      </c>
      <c r="C1761" s="809">
        <v>8.8503413138331588</v>
      </c>
      <c r="D1761" s="737">
        <v>6.2240000000000002</v>
      </c>
      <c r="E1761" s="742">
        <f t="shared" si="41"/>
        <v>-0.29675028574639994</v>
      </c>
      <c r="F1761" s="946">
        <f t="shared" si="42"/>
        <v>-1.1870011429855998E-2</v>
      </c>
      <c r="G1761" s="366"/>
      <c r="J1761" s="31"/>
      <c r="K1761" s="367"/>
      <c r="M1761" s="101"/>
    </row>
    <row r="1762" spans="1:13" hidden="1" outlineLevel="1" x14ac:dyDescent="0.25">
      <c r="A1762" s="849">
        <v>0.04</v>
      </c>
      <c r="B1762" s="740" t="s">
        <v>579</v>
      </c>
      <c r="C1762" s="809">
        <v>127.53511499806089</v>
      </c>
      <c r="D1762" s="737">
        <v>166.25</v>
      </c>
      <c r="E1762" s="742">
        <f t="shared" si="41"/>
        <v>0.30356255218437478</v>
      </c>
      <c r="F1762" s="946">
        <f t="shared" si="42"/>
        <v>1.2142502087374992E-2</v>
      </c>
      <c r="G1762" s="366"/>
      <c r="J1762" s="31"/>
      <c r="K1762" s="367"/>
    </row>
    <row r="1763" spans="1:13" hidden="1" outlineLevel="1" x14ac:dyDescent="0.25">
      <c r="A1763" s="849">
        <v>0.04</v>
      </c>
      <c r="B1763" s="740" t="s">
        <v>580</v>
      </c>
      <c r="C1763" s="809">
        <v>67.427194854226201</v>
      </c>
      <c r="D1763" s="737">
        <v>68.25</v>
      </c>
      <c r="E1763" s="742">
        <f t="shared" si="41"/>
        <v>1.2202867812499907E-2</v>
      </c>
      <c r="F1763" s="946">
        <f t="shared" si="42"/>
        <v>4.8811471249999628E-4</v>
      </c>
      <c r="G1763" s="366"/>
      <c r="J1763" s="31"/>
      <c r="K1763" s="367"/>
    </row>
    <row r="1764" spans="1:13" hidden="1" outlineLevel="1" x14ac:dyDescent="0.25">
      <c r="A1764" s="849">
        <v>0.04</v>
      </c>
      <c r="B1764" s="740" t="s">
        <v>901</v>
      </c>
      <c r="C1764" s="809">
        <f>14.362*100</f>
        <v>1436.2</v>
      </c>
      <c r="D1764" s="737">
        <v>2728.5</v>
      </c>
      <c r="E1764" s="742">
        <f t="shared" si="41"/>
        <v>0.89980504108062931</v>
      </c>
      <c r="F1764" s="946">
        <f t="shared" si="42"/>
        <v>3.5992201643225176E-2</v>
      </c>
      <c r="G1764" s="366"/>
      <c r="J1764" s="31"/>
      <c r="K1764" s="367"/>
    </row>
    <row r="1765" spans="1:13" hidden="1" outlineLevel="1" x14ac:dyDescent="0.25">
      <c r="A1765" s="849">
        <v>0.04</v>
      </c>
      <c r="B1765" s="740" t="s">
        <v>44</v>
      </c>
      <c r="C1765" s="809">
        <v>4.7124670276781622</v>
      </c>
      <c r="D1765" s="737">
        <v>1.19</v>
      </c>
      <c r="E1765" s="742">
        <f t="shared" si="41"/>
        <v>-0.74747833926249996</v>
      </c>
      <c r="F1765" s="946">
        <f t="shared" si="42"/>
        <v>-2.9899133570499999E-2</v>
      </c>
      <c r="G1765" s="366"/>
      <c r="J1765" s="31"/>
      <c r="K1765" s="367"/>
    </row>
    <row r="1766" spans="1:13" hidden="1" outlineLevel="1" x14ac:dyDescent="0.25">
      <c r="A1766" s="739">
        <v>0.04</v>
      </c>
      <c r="B1766" s="740" t="s">
        <v>2629</v>
      </c>
      <c r="C1766" s="809">
        <v>14.041</v>
      </c>
      <c r="D1766" s="737">
        <v>8.8309999999999995</v>
      </c>
      <c r="E1766" s="742">
        <f t="shared" si="41"/>
        <v>-0.37105619257887623</v>
      </c>
      <c r="F1766" s="946">
        <f t="shared" si="42"/>
        <v>-1.4842247703155049E-2</v>
      </c>
      <c r="G1766" s="366"/>
      <c r="J1766" s="31"/>
      <c r="K1766" s="367"/>
    </row>
    <row r="1767" spans="1:13" hidden="1" outlineLevel="1" x14ac:dyDescent="0.25">
      <c r="A1767" s="717"/>
      <c r="B1767" s="718"/>
      <c r="C1767" s="719"/>
      <c r="D1767" s="719"/>
      <c r="E1767" s="720"/>
      <c r="F1767" s="1188">
        <f>SUM(F1742:F1766)</f>
        <v>-0.11278800854248834</v>
      </c>
      <c r="G1767" s="78"/>
      <c r="J1767" s="31"/>
    </row>
    <row r="1768" spans="1:13" collapsed="1" x14ac:dyDescent="0.25">
      <c r="A1768" s="3801" t="s">
        <v>2208</v>
      </c>
      <c r="B1768" s="3802"/>
      <c r="C1768" s="3802"/>
      <c r="D1768" s="3802"/>
      <c r="E1768" s="721" t="s">
        <v>2722</v>
      </c>
      <c r="F1768" s="722">
        <f>MAX(IF(+L1755&lt;0,ABS(40%*L1755),L1755*50%),0)</f>
        <v>1.4526249999999897E-3</v>
      </c>
      <c r="G1768" s="97" t="s">
        <v>781</v>
      </c>
      <c r="J1768" s="31"/>
    </row>
    <row r="1769" spans="1:13" x14ac:dyDescent="0.25">
      <c r="A1769" s="1"/>
      <c r="B1769" s="1"/>
      <c r="C1769" s="1"/>
      <c r="D1769" s="1"/>
      <c r="E1769" s="1"/>
      <c r="F1769" s="1848"/>
      <c r="G1769" s="78"/>
      <c r="J1769" s="31"/>
    </row>
    <row r="1770" spans="1:13" hidden="1" outlineLevel="1" x14ac:dyDescent="0.25">
      <c r="A1770" s="689" t="s">
        <v>113</v>
      </c>
      <c r="B1770" s="689" t="s">
        <v>114</v>
      </c>
      <c r="C1770" s="689" t="s">
        <v>112</v>
      </c>
      <c r="D1770" s="689" t="s">
        <v>116</v>
      </c>
      <c r="E1770" s="689" t="s">
        <v>117</v>
      </c>
      <c r="F1770" s="1188" t="s">
        <v>121</v>
      </c>
      <c r="G1770" s="78"/>
      <c r="J1770" s="31"/>
    </row>
    <row r="1771" spans="1:13" hidden="1" outlineLevel="1" x14ac:dyDescent="0.25">
      <c r="A1771" s="690">
        <v>1</v>
      </c>
      <c r="B1771" s="691" t="s">
        <v>252</v>
      </c>
      <c r="C1771" s="692">
        <v>100</v>
      </c>
      <c r="D1771" s="692"/>
      <c r="E1771" s="693"/>
      <c r="F1771" s="694"/>
      <c r="G1771" s="78"/>
      <c r="J1771" s="31"/>
    </row>
    <row r="1772" spans="1:13" hidden="1" outlineLevel="1" x14ac:dyDescent="0.25">
      <c r="A1772" s="695"/>
      <c r="B1772" s="695"/>
      <c r="C1772" s="696"/>
      <c r="D1772" s="697" t="s">
        <v>3702</v>
      </c>
      <c r="E1772" s="698">
        <f>indexy!$B$2</f>
        <v>45379</v>
      </c>
      <c r="F1772" s="699"/>
      <c r="G1772" s="78"/>
      <c r="J1772" s="31"/>
    </row>
    <row r="1773" spans="1:13" hidden="1" outlineLevel="1" x14ac:dyDescent="0.25">
      <c r="A1773" s="689" t="s">
        <v>4156</v>
      </c>
      <c r="B1773" s="689" t="s">
        <v>4153</v>
      </c>
      <c r="C1773" s="700" t="s">
        <v>112</v>
      </c>
      <c r="D1773" s="689" t="s">
        <v>4155</v>
      </c>
      <c r="E1773" s="689" t="s">
        <v>4154</v>
      </c>
      <c r="F1773" s="1021" t="s">
        <v>2519</v>
      </c>
      <c r="G1773" s="78"/>
      <c r="J1773" s="31"/>
    </row>
    <row r="1774" spans="1:13" hidden="1" outlineLevel="1" x14ac:dyDescent="0.25">
      <c r="A1774" s="734">
        <v>0.05</v>
      </c>
      <c r="B1774" s="735" t="s">
        <v>157</v>
      </c>
      <c r="C1774" s="807">
        <v>9.0972000000000008</v>
      </c>
      <c r="D1774" s="803">
        <f>VLOOKUP(H1774,indexy!$C$44:$D$585,2,FALSE)</f>
        <v>4.5214999999999996</v>
      </c>
      <c r="E1774" s="705">
        <f>D1774/C1774-1</f>
        <v>-0.50297893857450648</v>
      </c>
      <c r="F1774" s="1021">
        <f>E1774*A1774</f>
        <v>-2.5148946928725324E-2</v>
      </c>
      <c r="G1774" s="78"/>
      <c r="H1774" t="s">
        <v>730</v>
      </c>
      <c r="I1774" s="106"/>
      <c r="J1774" s="31"/>
      <c r="K1774" t="s">
        <v>2040</v>
      </c>
    </row>
    <row r="1775" spans="1:13" hidden="1" outlineLevel="1" x14ac:dyDescent="0.25">
      <c r="A1775" s="739">
        <v>0.03</v>
      </c>
      <c r="B1775" s="740" t="s">
        <v>1993</v>
      </c>
      <c r="C1775" s="809">
        <v>70.704999999999998</v>
      </c>
      <c r="D1775" s="908">
        <f>VLOOKUP(H1775,indexy!$C$44:$D$585,2,FALSE)+VLOOKUP(I1775,indexy!$C$44:$D$585,2,FALSE)</f>
        <v>135.24</v>
      </c>
      <c r="E1775" s="709">
        <f t="shared" ref="E1775:E1803" si="43">D1775/C1775-1</f>
        <v>0.91273601584046404</v>
      </c>
      <c r="F1775" s="946">
        <f t="shared" ref="F1775:F1803" si="44">E1775*A1775</f>
        <v>2.738208047521392E-2</v>
      </c>
      <c r="G1775" s="78"/>
      <c r="H1775" t="s">
        <v>2812</v>
      </c>
      <c r="I1775" t="s">
        <v>3533</v>
      </c>
      <c r="J1775" s="31"/>
      <c r="K1775" s="256">
        <v>40603</v>
      </c>
      <c r="L1775">
        <v>77.928200000000004</v>
      </c>
      <c r="M1775" s="37">
        <v>-0.22071799999999997</v>
      </c>
    </row>
    <row r="1776" spans="1:13" hidden="1" outlineLevel="1" x14ac:dyDescent="0.25">
      <c r="A1776" s="739">
        <v>0.05</v>
      </c>
      <c r="B1776" s="740" t="s">
        <v>255</v>
      </c>
      <c r="C1776" s="809">
        <v>32.774000000000001</v>
      </c>
      <c r="D1776" s="908">
        <f>VLOOKUP(H1776,indexy!$C$44:$D$585,2,FALSE)</f>
        <v>41.96</v>
      </c>
      <c r="E1776" s="709">
        <f t="shared" si="43"/>
        <v>0.28028315127845249</v>
      </c>
      <c r="F1776" s="946">
        <f t="shared" si="44"/>
        <v>1.4014157563922625E-2</v>
      </c>
      <c r="G1776" s="78"/>
      <c r="H1776" t="s">
        <v>3351</v>
      </c>
      <c r="J1776" s="31"/>
      <c r="K1776" s="256">
        <v>40634</v>
      </c>
      <c r="L1776" s="424">
        <v>80.025999999999996</v>
      </c>
      <c r="M1776" s="37">
        <v>-0.19974000000000003</v>
      </c>
    </row>
    <row r="1777" spans="1:13" hidden="1" outlineLevel="1" x14ac:dyDescent="0.25">
      <c r="A1777" s="739">
        <v>0.05</v>
      </c>
      <c r="B1777" s="740" t="s">
        <v>1994</v>
      </c>
      <c r="C1777" s="809">
        <v>47.146999999999998</v>
      </c>
      <c r="D1777" s="908">
        <f>VLOOKUP(H1777,indexy!$C$44:$D$585,2,FALSE)</f>
        <v>37.92</v>
      </c>
      <c r="E1777" s="709">
        <f t="shared" si="43"/>
        <v>-0.19570704392644278</v>
      </c>
      <c r="F1777" s="946">
        <f t="shared" si="44"/>
        <v>-9.7853521963221397E-3</v>
      </c>
      <c r="G1777" s="78"/>
      <c r="H1777" t="s">
        <v>3493</v>
      </c>
      <c r="J1777" s="31"/>
      <c r="K1777" s="256">
        <v>40664</v>
      </c>
      <c r="L1777" s="424">
        <v>78.260800000000003</v>
      </c>
      <c r="M1777" s="37">
        <v>-0.21739199999999992</v>
      </c>
    </row>
    <row r="1778" spans="1:13" hidden="1" outlineLevel="1" x14ac:dyDescent="0.25">
      <c r="A1778" s="739">
        <v>0.02</v>
      </c>
      <c r="B1778" s="740" t="s">
        <v>873</v>
      </c>
      <c r="C1778" s="809">
        <f>6.805*100</f>
        <v>680.5</v>
      </c>
      <c r="D1778" s="908">
        <f>VLOOKUP(H1778,indexy!$C$44:$D$585,2,FALSE)</f>
        <v>183.2</v>
      </c>
      <c r="E1778" s="709">
        <f t="shared" si="43"/>
        <v>-0.73078618662747985</v>
      </c>
      <c r="F1778" s="946">
        <f t="shared" si="44"/>
        <v>-1.4615723732549598E-2</v>
      </c>
      <c r="G1778" s="78"/>
      <c r="H1778" t="s">
        <v>3495</v>
      </c>
      <c r="J1778" s="31"/>
      <c r="K1778" s="256">
        <v>40695</v>
      </c>
      <c r="L1778" s="424">
        <v>76.665800000000004</v>
      </c>
      <c r="M1778" s="37">
        <v>-0.23334199999999994</v>
      </c>
    </row>
    <row r="1779" spans="1:13" hidden="1" outlineLevel="1" x14ac:dyDescent="0.25">
      <c r="A1779" s="739">
        <v>0.03</v>
      </c>
      <c r="B1779" s="740" t="s">
        <v>1184</v>
      </c>
      <c r="C1779" s="809">
        <f>67.875/2</f>
        <v>33.9375</v>
      </c>
      <c r="D1779" s="908">
        <f>VLOOKUP(H1779,indexy!$C$44:$D$585,2,FALSE)</f>
        <v>52.93</v>
      </c>
      <c r="E1779" s="709">
        <f t="shared" si="43"/>
        <v>0.5596316758747697</v>
      </c>
      <c r="F1779" s="946">
        <f t="shared" si="44"/>
        <v>1.6788950276243091E-2</v>
      </c>
      <c r="G1779" s="78"/>
      <c r="H1779" t="s">
        <v>3497</v>
      </c>
      <c r="J1779" s="31"/>
      <c r="K1779" s="256">
        <v>40725</v>
      </c>
      <c r="L1779" s="424">
        <v>72.090599999999995</v>
      </c>
      <c r="M1779" s="37">
        <v>-0.27909400000000006</v>
      </c>
    </row>
    <row r="1780" spans="1:13" hidden="1" outlineLevel="1" x14ac:dyDescent="0.25">
      <c r="A1780" s="739">
        <v>0.03</v>
      </c>
      <c r="B1780" s="740" t="s">
        <v>3998</v>
      </c>
      <c r="C1780" s="908">
        <v>25.038490565679954</v>
      </c>
      <c r="D1780" s="908">
        <f>VLOOKUP(H1780,indexy!$C$44:$D$585,2,FALSE)</f>
        <v>17.600000000000001</v>
      </c>
      <c r="E1780" s="709">
        <f t="shared" si="43"/>
        <v>-0.29708222810666662</v>
      </c>
      <c r="F1780" s="946">
        <f t="shared" si="44"/>
        <v>-8.9124668431999985E-3</v>
      </c>
      <c r="G1780" s="78"/>
      <c r="H1780" t="s">
        <v>4000</v>
      </c>
      <c r="J1780" s="31"/>
      <c r="K1780" s="256">
        <v>40756</v>
      </c>
      <c r="L1780" s="424">
        <v>65.418599999999998</v>
      </c>
      <c r="M1780" s="37">
        <v>-0.34581400000000007</v>
      </c>
    </row>
    <row r="1781" spans="1:13" hidden="1" outlineLevel="1" x14ac:dyDescent="0.25">
      <c r="A1781" s="739">
        <v>0.03</v>
      </c>
      <c r="B1781" s="740" t="s">
        <v>3019</v>
      </c>
      <c r="C1781" s="809">
        <v>74.674999999999997</v>
      </c>
      <c r="D1781" s="908">
        <f>VLOOKUP(H1781,indexy!$C$44:$D$585,2,FALSE)</f>
        <v>65.86</v>
      </c>
      <c r="E1781" s="709">
        <f t="shared" si="43"/>
        <v>-0.11804486106461332</v>
      </c>
      <c r="F1781" s="946">
        <f t="shared" si="44"/>
        <v>-3.5413458319383992E-3</v>
      </c>
      <c r="G1781" s="78"/>
      <c r="H1781" t="s">
        <v>2745</v>
      </c>
      <c r="J1781" s="31"/>
      <c r="K1781" s="256">
        <v>40787</v>
      </c>
      <c r="L1781" s="424">
        <v>63.070500000000003</v>
      </c>
      <c r="M1781" s="37">
        <v>-0.36929499999999993</v>
      </c>
    </row>
    <row r="1782" spans="1:13" hidden="1" outlineLevel="1" x14ac:dyDescent="0.25">
      <c r="A1782" s="739">
        <v>0.05</v>
      </c>
      <c r="B1782" s="740" t="s">
        <v>1847</v>
      </c>
      <c r="C1782" s="809">
        <f>48.268*10</f>
        <v>482.68</v>
      </c>
      <c r="D1782" s="908">
        <f>VLOOKUP(H1782,indexy!$C$44:$D$585,2,FALSE)</f>
        <v>63.24</v>
      </c>
      <c r="E1782" s="709">
        <f t="shared" si="43"/>
        <v>-0.86898151984751804</v>
      </c>
      <c r="F1782" s="946">
        <f t="shared" si="44"/>
        <v>-4.3449075992375907E-2</v>
      </c>
      <c r="G1782" s="78"/>
      <c r="H1782" t="s">
        <v>2749</v>
      </c>
      <c r="J1782" s="31"/>
      <c r="K1782" s="256">
        <v>40817</v>
      </c>
      <c r="L1782" s="424">
        <v>66.757199999999997</v>
      </c>
      <c r="M1782" s="37">
        <v>-0.33242800000000006</v>
      </c>
    </row>
    <row r="1783" spans="1:13" hidden="1" outlineLevel="1" x14ac:dyDescent="0.25">
      <c r="A1783" s="739">
        <v>0.03</v>
      </c>
      <c r="B1783" s="740" t="s">
        <v>3017</v>
      </c>
      <c r="C1783" s="809">
        <v>20.992999999999999</v>
      </c>
      <c r="D1783" s="908">
        <v>18.5</v>
      </c>
      <c r="E1783" s="709">
        <v>-0.11875387033773155</v>
      </c>
      <c r="F1783" s="946">
        <v>-3.5626161101319463E-3</v>
      </c>
      <c r="G1783" s="78"/>
      <c r="H1783" t="s">
        <v>1793</v>
      </c>
      <c r="J1783" s="31"/>
      <c r="K1783" s="256">
        <v>40848</v>
      </c>
      <c r="L1783" s="424">
        <v>65.276499999999999</v>
      </c>
      <c r="M1783" s="37">
        <v>-0.34723499999999996</v>
      </c>
    </row>
    <row r="1784" spans="1:13" hidden="1" outlineLevel="1" x14ac:dyDescent="0.25">
      <c r="A1784" s="739">
        <v>0.02</v>
      </c>
      <c r="B1784" s="740" t="s">
        <v>3406</v>
      </c>
      <c r="C1784" s="809">
        <f>9.093*100</f>
        <v>909.3</v>
      </c>
      <c r="D1784" s="908">
        <f>VLOOKUP(H1784,indexy!$C$44:$D$585,2,FALSE)</f>
        <v>2925.5</v>
      </c>
      <c r="E1784" s="709">
        <f t="shared" si="43"/>
        <v>2.2173100186957</v>
      </c>
      <c r="F1784" s="946">
        <f t="shared" si="44"/>
        <v>4.4346200373913999E-2</v>
      </c>
      <c r="G1784" s="78"/>
      <c r="H1784" t="s">
        <v>2105</v>
      </c>
      <c r="J1784" s="31"/>
      <c r="K1784" s="256">
        <v>40878</v>
      </c>
      <c r="L1784" s="424">
        <v>66.308099999999996</v>
      </c>
      <c r="M1784" s="37">
        <v>-0.33691900000000008</v>
      </c>
    </row>
    <row r="1785" spans="1:13" hidden="1" outlineLevel="1" x14ac:dyDescent="0.25">
      <c r="A1785" s="739">
        <v>0.03</v>
      </c>
      <c r="B1785" s="740" t="s">
        <v>4387</v>
      </c>
      <c r="C1785" s="809">
        <f>96.26/3</f>
        <v>32.086666666666666</v>
      </c>
      <c r="D1785" s="908">
        <f>VLOOKUP(H1785,indexy!$C$44:$D$585,2,FALSE)</f>
        <v>12.885</v>
      </c>
      <c r="E1785" s="709">
        <f t="shared" si="43"/>
        <v>-0.59843133180968211</v>
      </c>
      <c r="F1785" s="946">
        <f t="shared" si="44"/>
        <v>-1.7952939954290464E-2</v>
      </c>
      <c r="G1785" s="78"/>
      <c r="H1785" t="s">
        <v>3744</v>
      </c>
      <c r="J1785" s="31"/>
      <c r="K1785" s="256">
        <v>40909</v>
      </c>
      <c r="L1785" s="424">
        <v>67.815600000000003</v>
      </c>
      <c r="M1785" s="37">
        <v>-0.32184400000000002</v>
      </c>
    </row>
    <row r="1786" spans="1:13" hidden="1" outlineLevel="1" x14ac:dyDescent="0.25">
      <c r="A1786" s="739">
        <v>0.05</v>
      </c>
      <c r="B1786" s="740" t="s">
        <v>3798</v>
      </c>
      <c r="C1786" s="809">
        <v>6.8662000000000001</v>
      </c>
      <c r="D1786" s="908">
        <f>VLOOKUP(H1786,indexy!$C$44:$D$585,2,FALSE)</f>
        <v>6.1189999999999998</v>
      </c>
      <c r="E1786" s="709">
        <f t="shared" si="43"/>
        <v>-0.10882292971366991</v>
      </c>
      <c r="F1786" s="946">
        <f t="shared" si="44"/>
        <v>-5.441146485683496E-3</v>
      </c>
      <c r="G1786" s="78"/>
      <c r="H1786" t="s">
        <v>4122</v>
      </c>
      <c r="J1786" s="31"/>
      <c r="K1786" s="256">
        <v>40940</v>
      </c>
      <c r="L1786" s="424">
        <v>71.101500000000001</v>
      </c>
      <c r="M1786" s="37">
        <v>-0.28898499999999994</v>
      </c>
    </row>
    <row r="1787" spans="1:13" hidden="1" outlineLevel="1" x14ac:dyDescent="0.25">
      <c r="A1787" s="739">
        <v>0.03</v>
      </c>
      <c r="B1787" s="740" t="s">
        <v>3021</v>
      </c>
      <c r="C1787" s="809">
        <v>24.5</v>
      </c>
      <c r="D1787" s="908">
        <f>VLOOKUP(H1787,indexy!$C$44:$D$585,2,FALSE)</f>
        <v>14.648</v>
      </c>
      <c r="E1787" s="709">
        <f t="shared" si="43"/>
        <v>-0.40212244897959182</v>
      </c>
      <c r="F1787" s="946">
        <f t="shared" si="44"/>
        <v>-1.2063673469387755E-2</v>
      </c>
      <c r="G1787" s="78"/>
      <c r="H1787" t="s">
        <v>4124</v>
      </c>
      <c r="J1787" s="31"/>
      <c r="K1787" s="256">
        <v>40969</v>
      </c>
      <c r="L1787" s="424">
        <v>71.188000000000002</v>
      </c>
      <c r="M1787" s="37">
        <v>-0.28811999999999993</v>
      </c>
    </row>
    <row r="1788" spans="1:13" hidden="1" outlineLevel="1" x14ac:dyDescent="0.25">
      <c r="A1788" s="739">
        <v>0.03</v>
      </c>
      <c r="B1788" s="740" t="s">
        <v>1176</v>
      </c>
      <c r="C1788" s="809">
        <v>29.498000000000001</v>
      </c>
      <c r="D1788" s="908">
        <f>VLOOKUP(H1788,indexy!$C$44:$D$585,2,FALSE)</f>
        <v>42.92</v>
      </c>
      <c r="E1788" s="709">
        <f t="shared" si="43"/>
        <v>0.45501389924740665</v>
      </c>
      <c r="F1788" s="946">
        <f t="shared" si="44"/>
        <v>1.3650416977422199E-2</v>
      </c>
      <c r="G1788" s="78"/>
      <c r="H1788" t="s">
        <v>3090</v>
      </c>
      <c r="J1788" s="31"/>
      <c r="K1788" s="256">
        <v>41000</v>
      </c>
      <c r="L1788" s="424">
        <v>69.098699999999994</v>
      </c>
      <c r="M1788" s="37">
        <v>-0.30901300000000009</v>
      </c>
    </row>
    <row r="1789" spans="1:13" hidden="1" outlineLevel="1" x14ac:dyDescent="0.25">
      <c r="A1789" s="739">
        <v>0.03</v>
      </c>
      <c r="B1789" s="740" t="s">
        <v>2588</v>
      </c>
      <c r="C1789" s="809">
        <v>32.392000000000003</v>
      </c>
      <c r="D1789" s="908">
        <f>VLOOKUP(H1789,indexy!$C$44:$D$585,2,FALSE)</f>
        <v>15.246</v>
      </c>
      <c r="E1789" s="709">
        <f t="shared" si="43"/>
        <v>-0.5293282291923932</v>
      </c>
      <c r="F1789" s="946">
        <f t="shared" si="44"/>
        <v>-1.5879846875771795E-2</v>
      </c>
      <c r="G1789" s="78"/>
      <c r="H1789" t="s">
        <v>4132</v>
      </c>
      <c r="I1789" s="109"/>
      <c r="J1789" s="31"/>
      <c r="K1789" s="256">
        <v>41030</v>
      </c>
      <c r="L1789" s="424">
        <v>64.706699999999998</v>
      </c>
      <c r="M1789" s="37">
        <v>-0.35293300000000005</v>
      </c>
    </row>
    <row r="1790" spans="1:13" hidden="1" outlineLevel="1" x14ac:dyDescent="0.25">
      <c r="A1790" s="739">
        <v>0.03</v>
      </c>
      <c r="B1790" s="740" t="s">
        <v>1526</v>
      </c>
      <c r="C1790" s="809">
        <v>90.314999999999998</v>
      </c>
      <c r="D1790" s="908">
        <f>VLOOKUP(H1790,indexy!$C$44:$D$585,2,FALSE)</f>
        <v>69.42</v>
      </c>
      <c r="E1790" s="709">
        <f t="shared" si="43"/>
        <v>-0.23135691745557208</v>
      </c>
      <c r="F1790" s="946">
        <f t="shared" si="44"/>
        <v>-6.9407075236671617E-3</v>
      </c>
      <c r="G1790" s="78"/>
      <c r="H1790" t="s">
        <v>4146</v>
      </c>
      <c r="J1790" s="31"/>
      <c r="K1790" s="256">
        <v>41061</v>
      </c>
      <c r="L1790" s="424">
        <v>68.932000000000002</v>
      </c>
      <c r="M1790" s="37">
        <v>-0.31067999999999996</v>
      </c>
    </row>
    <row r="1791" spans="1:13" hidden="1" outlineLevel="1" x14ac:dyDescent="0.25">
      <c r="A1791" s="739">
        <v>0.03</v>
      </c>
      <c r="B1791" s="740" t="s">
        <v>1203</v>
      </c>
      <c r="C1791" s="809">
        <v>95.325000000000003</v>
      </c>
      <c r="D1791" s="908">
        <f>VLOOKUP(H1791,indexy!$C$44:$D$585,2,FALSE)</f>
        <v>119.2</v>
      </c>
      <c r="E1791" s="709">
        <f t="shared" si="43"/>
        <v>0.25045895620246528</v>
      </c>
      <c r="F1791" s="946">
        <f t="shared" si="44"/>
        <v>7.5137686860739577E-3</v>
      </c>
      <c r="G1791" s="78"/>
      <c r="H1791" t="s">
        <v>79</v>
      </c>
      <c r="J1791" s="31"/>
      <c r="K1791" s="256">
        <v>41091</v>
      </c>
      <c r="L1791" s="424">
        <v>70.350499999999997</v>
      </c>
      <c r="M1791" s="37">
        <v>-0.29649500000000006</v>
      </c>
    </row>
    <row r="1792" spans="1:13" hidden="1" outlineLevel="1" x14ac:dyDescent="0.25">
      <c r="A1792" s="739">
        <v>0.02</v>
      </c>
      <c r="B1792" s="740" t="s">
        <v>1414</v>
      </c>
      <c r="C1792" s="809">
        <v>24.867999999999999</v>
      </c>
      <c r="D1792" s="908">
        <f>VLOOKUP(H1792,indexy!$C$44:$D$585,2,FALSE)</f>
        <v>27.75</v>
      </c>
      <c r="E1792" s="709">
        <f t="shared" si="43"/>
        <v>0.11589190928100379</v>
      </c>
      <c r="F1792" s="946">
        <f t="shared" si="44"/>
        <v>2.3178381856200757E-3</v>
      </c>
      <c r="G1792" s="78"/>
      <c r="H1792" t="s">
        <v>2428</v>
      </c>
      <c r="J1792" s="31"/>
      <c r="K1792" s="256">
        <v>41122</v>
      </c>
      <c r="L1792" s="424">
        <v>71.908799999999999</v>
      </c>
      <c r="M1792" s="37">
        <v>-0.28091200000000005</v>
      </c>
    </row>
    <row r="1793" spans="1:13" hidden="1" outlineLevel="1" x14ac:dyDescent="0.25">
      <c r="A1793" s="739">
        <v>0.03</v>
      </c>
      <c r="B1793" s="740" t="s">
        <v>1653</v>
      </c>
      <c r="C1793" s="809">
        <v>11.843</v>
      </c>
      <c r="D1793" s="908">
        <f>VLOOKUP(H1793,indexy!$C$44:$D$585,2,FALSE)</f>
        <v>40.15</v>
      </c>
      <c r="E1793" s="709">
        <f t="shared" si="43"/>
        <v>2.3901882968842352</v>
      </c>
      <c r="F1793" s="946">
        <f t="shared" si="44"/>
        <v>7.1705648906527059E-2</v>
      </c>
      <c r="G1793" s="78"/>
      <c r="H1793" t="s">
        <v>285</v>
      </c>
      <c r="J1793" s="31"/>
      <c r="K1793" s="264" t="s">
        <v>2465</v>
      </c>
      <c r="M1793" s="261">
        <v>-0.29616438888888891</v>
      </c>
    </row>
    <row r="1794" spans="1:13" hidden="1" outlineLevel="1" x14ac:dyDescent="0.25">
      <c r="A1794" s="739">
        <v>0.04</v>
      </c>
      <c r="B1794" s="740" t="s">
        <v>2587</v>
      </c>
      <c r="C1794" s="809">
        <f>(18.07*100)/3</f>
        <v>602.33333333333337</v>
      </c>
      <c r="D1794" s="908" t="e">
        <f>VLOOKUP(H1794,indexy!$C$44:$D$585,2,FALSE)</f>
        <v>#N/A</v>
      </c>
      <c r="E1794" s="709" t="e">
        <f t="shared" si="43"/>
        <v>#N/A</v>
      </c>
      <c r="F1794" s="946" t="e">
        <f t="shared" si="44"/>
        <v>#N/A</v>
      </c>
      <c r="G1794" s="78"/>
      <c r="H1794" t="s">
        <v>2818</v>
      </c>
      <c r="J1794" s="31"/>
      <c r="K1794" s="264" t="s">
        <v>5122</v>
      </c>
      <c r="M1794" s="423">
        <v>-0.23693151111111113</v>
      </c>
    </row>
    <row r="1795" spans="1:13" hidden="1" outlineLevel="1" x14ac:dyDescent="0.25">
      <c r="A1795" s="739">
        <v>0.03</v>
      </c>
      <c r="B1795" s="740" t="s">
        <v>4460</v>
      </c>
      <c r="C1795" s="809">
        <f>11.684*100</f>
        <v>1168.3999999999999</v>
      </c>
      <c r="D1795" s="908">
        <f>VLOOKUP(H1795,indexy!$C$44:$D$585,2,FALSE)</f>
        <v>2470</v>
      </c>
      <c r="E1795" s="709">
        <f t="shared" si="43"/>
        <v>1.1140020540910651</v>
      </c>
      <c r="F1795" s="946">
        <f t="shared" si="44"/>
        <v>3.342006162273195E-2</v>
      </c>
      <c r="G1795" s="78"/>
      <c r="H1795" t="s">
        <v>3485</v>
      </c>
      <c r="J1795" s="31"/>
      <c r="K1795" s="256"/>
    </row>
    <row r="1796" spans="1:13" hidden="1" outlineLevel="1" x14ac:dyDescent="0.25">
      <c r="A1796" s="739">
        <v>0.03</v>
      </c>
      <c r="B1796" s="740" t="s">
        <v>578</v>
      </c>
      <c r="C1796" s="809">
        <v>12.611000000000001</v>
      </c>
      <c r="D1796" s="908">
        <f>VLOOKUP(H1796,indexy!$C$44:$D$585,2,FALSE)</f>
        <v>12.885</v>
      </c>
      <c r="E1796" s="709">
        <f t="shared" si="43"/>
        <v>2.1727063674569669E-2</v>
      </c>
      <c r="F1796" s="946">
        <f t="shared" si="44"/>
        <v>6.5181191023708999E-4</v>
      </c>
      <c r="G1796" s="78"/>
      <c r="H1796" t="s">
        <v>276</v>
      </c>
      <c r="J1796" s="31"/>
      <c r="K1796" s="256"/>
    </row>
    <row r="1797" spans="1:13" hidden="1" outlineLevel="1" x14ac:dyDescent="0.25">
      <c r="A1797" s="739">
        <v>0.03</v>
      </c>
      <c r="B1797" s="740" t="s">
        <v>4338</v>
      </c>
      <c r="C1797" s="809">
        <f>31.407*0.913785917</f>
        <v>28.699274295218999</v>
      </c>
      <c r="D1797" s="908">
        <f>VLOOKUP(H1797,indexy!$C$44:$D$585,2,FALSE)</f>
        <v>15.51</v>
      </c>
      <c r="E1797" s="709">
        <f t="shared" si="43"/>
        <v>-0.45956821623939792</v>
      </c>
      <c r="F1797" s="946">
        <f t="shared" si="44"/>
        <v>-1.3787046487181938E-2</v>
      </c>
      <c r="G1797" s="78"/>
      <c r="H1797" t="s">
        <v>7229</v>
      </c>
      <c r="J1797" s="31"/>
      <c r="K1797" s="256"/>
    </row>
    <row r="1798" spans="1:13" hidden="1" outlineLevel="1" x14ac:dyDescent="0.25">
      <c r="A1798" s="739">
        <v>0.03</v>
      </c>
      <c r="B1798" s="740" t="s">
        <v>1527</v>
      </c>
      <c r="C1798" s="809">
        <v>2.3094000000000001</v>
      </c>
      <c r="D1798" s="908">
        <f>VLOOKUP(H1798,indexy!$C$44:$D$585,2,FALSE)</f>
        <v>0.22509999999999999</v>
      </c>
      <c r="E1798" s="709">
        <f t="shared" si="43"/>
        <v>-0.90252879535810171</v>
      </c>
      <c r="F1798" s="946">
        <f t="shared" si="44"/>
        <v>-2.7075863860743052E-2</v>
      </c>
      <c r="G1798" s="78"/>
      <c r="H1798" t="s">
        <v>2803</v>
      </c>
      <c r="J1798" s="31"/>
      <c r="K1798" s="256"/>
    </row>
    <row r="1799" spans="1:13" hidden="1" outlineLevel="1" x14ac:dyDescent="0.25">
      <c r="A1799" s="739">
        <v>0.04</v>
      </c>
      <c r="B1799" s="740" t="s">
        <v>577</v>
      </c>
      <c r="C1799" s="809">
        <v>12.711</v>
      </c>
      <c r="D1799" s="908">
        <f>VLOOKUP(H1799,indexy!$C$44:$D$585,2,FALSE)</f>
        <v>4.0890000000000004</v>
      </c>
      <c r="E1799" s="709">
        <f t="shared" si="43"/>
        <v>-0.67831012508850597</v>
      </c>
      <c r="F1799" s="946">
        <f t="shared" si="44"/>
        <v>-2.7132405003540239E-2</v>
      </c>
      <c r="G1799" s="78"/>
      <c r="H1799" t="s">
        <v>6732</v>
      </c>
      <c r="J1799" s="31"/>
      <c r="K1799" s="256"/>
    </row>
    <row r="1800" spans="1:13" hidden="1" outlineLevel="1" x14ac:dyDescent="0.25">
      <c r="A1800" s="739">
        <v>0.04</v>
      </c>
      <c r="B1800" s="740" t="s">
        <v>3551</v>
      </c>
      <c r="C1800" s="809">
        <v>6705</v>
      </c>
      <c r="D1800" s="908">
        <f>VLOOKUP(H1800,indexy!$C$44:$D$585,2,FALSE)</f>
        <v>3806</v>
      </c>
      <c r="E1800" s="709">
        <f t="shared" si="43"/>
        <v>-0.43236390753169274</v>
      </c>
      <c r="F1800" s="946">
        <f t="shared" si="44"/>
        <v>-1.7294556301267711E-2</v>
      </c>
      <c r="G1800" s="78"/>
      <c r="H1800" t="s">
        <v>2806</v>
      </c>
      <c r="J1800" s="31"/>
    </row>
    <row r="1801" spans="1:13" hidden="1" outlineLevel="1" x14ac:dyDescent="0.25">
      <c r="A1801" s="739">
        <v>0.03</v>
      </c>
      <c r="B1801" s="740" t="s">
        <v>576</v>
      </c>
      <c r="C1801" s="809">
        <v>16.506</v>
      </c>
      <c r="D1801" s="908" t="e">
        <f>VLOOKUP(H1801,indexy!$C$44:$D$585,2,FALSE)</f>
        <v>#N/A</v>
      </c>
      <c r="E1801" s="709" t="e">
        <f t="shared" si="43"/>
        <v>#N/A</v>
      </c>
      <c r="F1801" s="946" t="e">
        <f t="shared" si="44"/>
        <v>#N/A</v>
      </c>
      <c r="G1801" s="78"/>
      <c r="H1801" t="s">
        <v>2080</v>
      </c>
      <c r="J1801" s="31"/>
    </row>
    <row r="1802" spans="1:13" hidden="1" outlineLevel="1" x14ac:dyDescent="0.25">
      <c r="A1802" s="739">
        <v>0.03</v>
      </c>
      <c r="B1802" s="740" t="s">
        <v>507</v>
      </c>
      <c r="C1802" s="809">
        <f>57.105/3</f>
        <v>19.035</v>
      </c>
      <c r="D1802" s="908">
        <f>VLOOKUP(H1802,indexy!$C$44:$D$585,2,FALSE)</f>
        <v>46.52</v>
      </c>
      <c r="E1802" s="709">
        <f t="shared" si="43"/>
        <v>1.4439190964013662</v>
      </c>
      <c r="F1802" s="946">
        <f t="shared" si="44"/>
        <v>4.3317572892040981E-2</v>
      </c>
      <c r="G1802" s="78"/>
      <c r="H1802" t="s">
        <v>2810</v>
      </c>
      <c r="J1802" s="31"/>
    </row>
    <row r="1803" spans="1:13" hidden="1" outlineLevel="1" x14ac:dyDescent="0.25">
      <c r="A1803" s="745">
        <v>0.03</v>
      </c>
      <c r="B1803" s="746" t="s">
        <v>580</v>
      </c>
      <c r="C1803" s="810">
        <f>362.1/5</f>
        <v>72.42</v>
      </c>
      <c r="D1803" s="715">
        <f>VLOOKUP(H1803,indexy!$C$44:$D$585,2,FALSE)</f>
        <v>290.10000000000002</v>
      </c>
      <c r="E1803" s="498">
        <f t="shared" si="43"/>
        <v>3.0057995028997517</v>
      </c>
      <c r="F1803" s="1023">
        <f t="shared" si="44"/>
        <v>9.017398508699255E-2</v>
      </c>
      <c r="G1803" s="78"/>
      <c r="H1803" t="s">
        <v>3612</v>
      </c>
      <c r="J1803" s="31"/>
    </row>
    <row r="1804" spans="1:13" hidden="1" outlineLevel="1" x14ac:dyDescent="0.25">
      <c r="A1804" s="749"/>
      <c r="B1804" s="750"/>
      <c r="C1804" s="727"/>
      <c r="D1804" s="727"/>
      <c r="E1804" s="716"/>
      <c r="F1804" s="770" t="e">
        <f>SUM(F1774:F1803)</f>
        <v>#N/A</v>
      </c>
      <c r="G1804" s="78"/>
      <c r="J1804" s="31"/>
    </row>
    <row r="1805" spans="1:13" collapsed="1" x14ac:dyDescent="0.25">
      <c r="A1805" s="3801" t="s">
        <v>879</v>
      </c>
      <c r="B1805" s="3802"/>
      <c r="C1805" s="3802"/>
      <c r="D1805" s="3802"/>
      <c r="E1805" s="721"/>
      <c r="F1805" s="722">
        <f>MAX(M1793*parametry!N82,4%)</f>
        <v>0.04</v>
      </c>
      <c r="G1805" s="97" t="s">
        <v>781</v>
      </c>
      <c r="J1805" s="31"/>
    </row>
    <row r="1806" spans="1:13" x14ac:dyDescent="0.25">
      <c r="A1806" s="1"/>
      <c r="B1806" s="1"/>
      <c r="C1806" s="1"/>
      <c r="D1806" s="1"/>
      <c r="E1806" s="1"/>
      <c r="F1806" s="1848"/>
      <c r="G1806" s="78"/>
      <c r="J1806" s="31"/>
    </row>
    <row r="1807" spans="1:13" hidden="1" outlineLevel="1" x14ac:dyDescent="0.25">
      <c r="A1807" s="689" t="s">
        <v>113</v>
      </c>
      <c r="B1807" s="689" t="s">
        <v>114</v>
      </c>
      <c r="C1807" s="689" t="s">
        <v>112</v>
      </c>
      <c r="D1807" s="689" t="s">
        <v>116</v>
      </c>
      <c r="E1807" s="689" t="s">
        <v>117</v>
      </c>
      <c r="F1807" s="1188" t="s">
        <v>121</v>
      </c>
      <c r="G1807" s="78"/>
      <c r="J1807" s="31"/>
    </row>
    <row r="1808" spans="1:13" hidden="1" outlineLevel="1" x14ac:dyDescent="0.25">
      <c r="A1808" s="690">
        <v>1</v>
      </c>
      <c r="B1808" s="691" t="s">
        <v>252</v>
      </c>
      <c r="C1808" s="692">
        <v>100</v>
      </c>
      <c r="D1808" s="692"/>
      <c r="E1808" s="693"/>
      <c r="F1808" s="694"/>
      <c r="G1808" s="78"/>
      <c r="J1808" s="31"/>
    </row>
    <row r="1809" spans="1:10" hidden="1" outlineLevel="1" x14ac:dyDescent="0.25">
      <c r="A1809" s="695"/>
      <c r="B1809" s="695"/>
      <c r="C1809" s="696"/>
      <c r="D1809" s="697" t="s">
        <v>3702</v>
      </c>
      <c r="E1809" s="698">
        <f>indexy!B2</f>
        <v>45379</v>
      </c>
      <c r="F1809" s="699"/>
      <c r="G1809" s="78"/>
      <c r="J1809" s="31"/>
    </row>
    <row r="1810" spans="1:10" hidden="1" outlineLevel="1" x14ac:dyDescent="0.25">
      <c r="A1810" s="689" t="s">
        <v>4156</v>
      </c>
      <c r="B1810" s="689" t="s">
        <v>4153</v>
      </c>
      <c r="C1810" s="700" t="s">
        <v>112</v>
      </c>
      <c r="D1810" s="689" t="s">
        <v>4155</v>
      </c>
      <c r="E1810" s="689" t="s">
        <v>4154</v>
      </c>
      <c r="F1810" s="1021" t="s">
        <v>2519</v>
      </c>
      <c r="G1810" s="78"/>
      <c r="J1810" s="31"/>
    </row>
    <row r="1811" spans="1:10" hidden="1" outlineLevel="1" x14ac:dyDescent="0.25">
      <c r="A1811" s="734">
        <v>0.05</v>
      </c>
      <c r="B1811" s="735" t="s">
        <v>157</v>
      </c>
      <c r="C1811" s="807">
        <v>9.1715</v>
      </c>
      <c r="D1811" s="737">
        <v>3.5540000000000003</v>
      </c>
      <c r="E1811" s="738">
        <v>-0.61249522978793003</v>
      </c>
      <c r="F1811" s="1021">
        <v>-3.0624761489396503E-2</v>
      </c>
      <c r="G1811" s="78"/>
      <c r="H1811" t="s">
        <v>730</v>
      </c>
      <c r="I1811" s="106"/>
      <c r="J1811" s="31"/>
    </row>
    <row r="1812" spans="1:10" hidden="1" outlineLevel="1" x14ac:dyDescent="0.25">
      <c r="A1812" s="739">
        <v>0.03</v>
      </c>
      <c r="B1812" s="740" t="s">
        <v>1993</v>
      </c>
      <c r="C1812" s="809">
        <v>69.849999999999994</v>
      </c>
      <c r="D1812" s="737">
        <v>130.23000000000002</v>
      </c>
      <c r="E1812" s="742">
        <v>0.86442376521116726</v>
      </c>
      <c r="F1812" s="946">
        <v>2.5932712956335018E-2</v>
      </c>
      <c r="G1812" s="78"/>
      <c r="H1812" t="s">
        <v>2812</v>
      </c>
      <c r="I1812" t="s">
        <v>3533</v>
      </c>
      <c r="J1812" s="31"/>
    </row>
    <row r="1813" spans="1:10" hidden="1" outlineLevel="1" x14ac:dyDescent="0.25">
      <c r="A1813" s="739">
        <v>0.05</v>
      </c>
      <c r="B1813" s="743" t="s">
        <v>255</v>
      </c>
      <c r="C1813" s="809">
        <v>32.688000000000002</v>
      </c>
      <c r="D1813" s="737">
        <v>59.44</v>
      </c>
      <c r="E1813" s="742">
        <v>0.81840430739109138</v>
      </c>
      <c r="F1813" s="946">
        <v>4.092021536955457E-2</v>
      </c>
      <c r="G1813" s="78"/>
      <c r="H1813" t="s">
        <v>3351</v>
      </c>
      <c r="J1813" s="31"/>
    </row>
    <row r="1814" spans="1:10" hidden="1" outlineLevel="1" x14ac:dyDescent="0.25">
      <c r="A1814" s="739">
        <v>0.05</v>
      </c>
      <c r="B1814" s="740" t="s">
        <v>1994</v>
      </c>
      <c r="C1814" s="809">
        <v>46.180999999999997</v>
      </c>
      <c r="D1814" s="737">
        <v>32.83</v>
      </c>
      <c r="E1814" s="742">
        <v>-0.28910157857127394</v>
      </c>
      <c r="F1814" s="946">
        <v>-1.4455078928563698E-2</v>
      </c>
      <c r="G1814" s="78"/>
      <c r="H1814" t="s">
        <v>3493</v>
      </c>
      <c r="J1814" s="31"/>
    </row>
    <row r="1815" spans="1:10" hidden="1" outlineLevel="1" x14ac:dyDescent="0.25">
      <c r="A1815" s="739">
        <v>0.02</v>
      </c>
      <c r="B1815" s="740" t="s">
        <v>873</v>
      </c>
      <c r="C1815" s="809">
        <v>679.55</v>
      </c>
      <c r="D1815" s="737">
        <v>168</v>
      </c>
      <c r="E1815" s="742">
        <v>-0.75277757339415785</v>
      </c>
      <c r="F1815" s="946">
        <v>-1.5055551467883158E-2</v>
      </c>
      <c r="G1815" s="78"/>
      <c r="H1815" t="s">
        <v>3495</v>
      </c>
      <c r="J1815" s="31"/>
    </row>
    <row r="1816" spans="1:10" hidden="1" outlineLevel="1" x14ac:dyDescent="0.25">
      <c r="A1816" s="739">
        <v>0.03</v>
      </c>
      <c r="B1816" s="740" t="s">
        <v>1184</v>
      </c>
      <c r="C1816" s="809">
        <v>33.2485</v>
      </c>
      <c r="D1816" s="737">
        <v>61.07</v>
      </c>
      <c r="E1816" s="742">
        <v>0.83677459133494736</v>
      </c>
      <c r="F1816" s="946">
        <v>2.5103237740048419E-2</v>
      </c>
      <c r="G1816" s="78"/>
      <c r="H1816" t="s">
        <v>3497</v>
      </c>
      <c r="J1816" s="31"/>
    </row>
    <row r="1817" spans="1:10" hidden="1" outlineLevel="1" x14ac:dyDescent="0.25">
      <c r="A1817" s="739">
        <v>0.03</v>
      </c>
      <c r="B1817" s="740" t="s">
        <v>3998</v>
      </c>
      <c r="C1817" s="737">
        <v>24.847547170322649</v>
      </c>
      <c r="D1817" s="737">
        <v>37.619999999999997</v>
      </c>
      <c r="E1817" s="742">
        <v>0.51403274303599988</v>
      </c>
      <c r="F1817" s="946">
        <v>1.5420982291079997E-2</v>
      </c>
      <c r="G1817" s="78"/>
      <c r="H1817" t="s">
        <v>4000</v>
      </c>
      <c r="J1817" s="31"/>
    </row>
    <row r="1818" spans="1:10" hidden="1" outlineLevel="1" x14ac:dyDescent="0.25">
      <c r="A1818" s="739">
        <v>0.03</v>
      </c>
      <c r="B1818" s="740" t="s">
        <v>3019</v>
      </c>
      <c r="C1818" s="809">
        <v>74.13</v>
      </c>
      <c r="D1818" s="737">
        <v>48.045000000000002</v>
      </c>
      <c r="E1818" s="742">
        <v>-0.35188182921893962</v>
      </c>
      <c r="F1818" s="946">
        <v>-1.0556454876568188E-2</v>
      </c>
      <c r="G1818" s="78"/>
      <c r="H1818" t="s">
        <v>2745</v>
      </c>
      <c r="J1818" s="31"/>
    </row>
    <row r="1819" spans="1:10" hidden="1" outlineLevel="1" x14ac:dyDescent="0.25">
      <c r="A1819" s="739">
        <v>0.05</v>
      </c>
      <c r="B1819" s="740" t="s">
        <v>1847</v>
      </c>
      <c r="C1819" s="809">
        <v>47.994999999999997</v>
      </c>
      <c r="D1819" s="737">
        <v>74.41</v>
      </c>
      <c r="E1819" s="742">
        <v>0.55036983019064478</v>
      </c>
      <c r="F1819" s="946">
        <v>2.7518491509532242E-2</v>
      </c>
      <c r="G1819" s="78"/>
      <c r="H1819" t="s">
        <v>2749</v>
      </c>
      <c r="J1819" s="31"/>
    </row>
    <row r="1820" spans="1:10" hidden="1" outlineLevel="1" x14ac:dyDescent="0.25">
      <c r="A1820" s="739">
        <v>0.03</v>
      </c>
      <c r="B1820" s="740" t="s">
        <v>3017</v>
      </c>
      <c r="C1820" s="809">
        <v>20.97</v>
      </c>
      <c r="D1820" s="737">
        <v>18.5</v>
      </c>
      <c r="E1820" s="742">
        <v>-0.11778731521220787</v>
      </c>
      <c r="F1820" s="946">
        <v>-3.533619456366236E-3</v>
      </c>
      <c r="G1820" s="78"/>
      <c r="H1820" t="s">
        <v>1793</v>
      </c>
      <c r="I1820" s="109"/>
      <c r="J1820" s="31"/>
    </row>
    <row r="1821" spans="1:10" hidden="1" outlineLevel="1" x14ac:dyDescent="0.25">
      <c r="A1821" s="739">
        <v>0.02</v>
      </c>
      <c r="B1821" s="740" t="s">
        <v>3406</v>
      </c>
      <c r="C1821" s="809">
        <v>903.2</v>
      </c>
      <c r="D1821" s="737">
        <v>3010</v>
      </c>
      <c r="E1821" s="742">
        <v>2.3325952170062001</v>
      </c>
      <c r="F1821" s="946">
        <v>4.6651904340124006E-2</v>
      </c>
      <c r="G1821" s="78"/>
      <c r="H1821" t="s">
        <v>2105</v>
      </c>
      <c r="J1821" s="31"/>
    </row>
    <row r="1822" spans="1:10" hidden="1" outlineLevel="1" x14ac:dyDescent="0.25">
      <c r="A1822" s="739">
        <v>0.03</v>
      </c>
      <c r="B1822" s="740" t="s">
        <v>4387</v>
      </c>
      <c r="C1822" s="809">
        <v>31.446333333333332</v>
      </c>
      <c r="D1822" s="737">
        <v>10.24</v>
      </c>
      <c r="E1822" s="742">
        <v>-0.67436585081461531</v>
      </c>
      <c r="F1822" s="946">
        <v>-2.023097552443846E-2</v>
      </c>
      <c r="G1822" s="78"/>
      <c r="H1822" t="s">
        <v>3744</v>
      </c>
      <c r="J1822" s="31"/>
    </row>
    <row r="1823" spans="1:10" hidden="1" outlineLevel="1" x14ac:dyDescent="0.25">
      <c r="A1823" s="739">
        <v>0.05</v>
      </c>
      <c r="B1823" s="740" t="s">
        <v>3798</v>
      </c>
      <c r="C1823" s="809">
        <v>6.8342000000000001</v>
      </c>
      <c r="D1823" s="737">
        <v>7.8550000000000004</v>
      </c>
      <c r="E1823" s="742">
        <v>0.14936642181967175</v>
      </c>
      <c r="F1823" s="946">
        <v>7.4683210909835878E-3</v>
      </c>
      <c r="G1823" s="78"/>
      <c r="H1823" t="s">
        <v>4122</v>
      </c>
      <c r="J1823" s="31"/>
    </row>
    <row r="1824" spans="1:10" hidden="1" outlineLevel="1" x14ac:dyDescent="0.25">
      <c r="A1824" s="739">
        <v>0.03</v>
      </c>
      <c r="B1824" s="740" t="s">
        <v>3021</v>
      </c>
      <c r="C1824" s="809">
        <v>24.398</v>
      </c>
      <c r="D1824" s="737">
        <v>12.657999999999999</v>
      </c>
      <c r="E1824" s="742">
        <v>-0.48118698253955239</v>
      </c>
      <c r="F1824" s="946">
        <v>-1.4435609476186571E-2</v>
      </c>
      <c r="G1824" s="78"/>
      <c r="H1824" t="s">
        <v>4124</v>
      </c>
      <c r="J1824" s="31"/>
    </row>
    <row r="1825" spans="1:10" hidden="1" outlineLevel="1" x14ac:dyDescent="0.25">
      <c r="A1825" s="739">
        <v>0.03</v>
      </c>
      <c r="B1825" s="740" t="s">
        <v>1176</v>
      </c>
      <c r="C1825" s="809">
        <v>29.126000000000001</v>
      </c>
      <c r="D1825" s="737">
        <v>49.77</v>
      </c>
      <c r="E1825" s="742">
        <v>0.70878253107189448</v>
      </c>
      <c r="F1825" s="946">
        <v>2.1263475932156835E-2</v>
      </c>
      <c r="G1825" s="78"/>
      <c r="H1825" t="s">
        <v>3090</v>
      </c>
      <c r="J1825" s="31"/>
    </row>
    <row r="1826" spans="1:10" hidden="1" outlineLevel="1" x14ac:dyDescent="0.25">
      <c r="A1826" s="739">
        <v>0.03</v>
      </c>
      <c r="B1826" s="740" t="s">
        <v>2588</v>
      </c>
      <c r="C1826" s="809">
        <v>32.088000000000001</v>
      </c>
      <c r="D1826" s="737">
        <v>9.8249999999999993</v>
      </c>
      <c r="E1826" s="742">
        <v>-0.69381077038145111</v>
      </c>
      <c r="F1826" s="946">
        <v>-2.0814323111443534E-2</v>
      </c>
      <c r="G1826" s="78"/>
      <c r="H1826" t="s">
        <v>4132</v>
      </c>
      <c r="J1826" s="31"/>
    </row>
    <row r="1827" spans="1:10" hidden="1" outlineLevel="1" x14ac:dyDescent="0.25">
      <c r="A1827" s="739">
        <v>0.03</v>
      </c>
      <c r="B1827" s="740" t="s">
        <v>1526</v>
      </c>
      <c r="C1827" s="809">
        <v>88.9</v>
      </c>
      <c r="D1827" s="737">
        <v>66.260000000000005</v>
      </c>
      <c r="E1827" s="742">
        <v>-0.25466816647919011</v>
      </c>
      <c r="F1827" s="946">
        <v>-7.6400449943757028E-3</v>
      </c>
      <c r="G1827" s="78"/>
      <c r="H1827" t="s">
        <v>4146</v>
      </c>
      <c r="J1827" s="31"/>
    </row>
    <row r="1828" spans="1:10" hidden="1" outlineLevel="1" x14ac:dyDescent="0.25">
      <c r="A1828" s="739">
        <v>0.03</v>
      </c>
      <c r="B1828" s="740" t="s">
        <v>1203</v>
      </c>
      <c r="C1828" s="809">
        <v>94.724999999999994</v>
      </c>
      <c r="D1828" s="737">
        <v>76.12</v>
      </c>
      <c r="E1828" s="742">
        <v>-0.19641066244391647</v>
      </c>
      <c r="F1828" s="946">
        <v>-5.8923198733174939E-3</v>
      </c>
      <c r="G1828" s="78"/>
      <c r="H1828" t="s">
        <v>79</v>
      </c>
      <c r="J1828" s="31"/>
    </row>
    <row r="1829" spans="1:10" hidden="1" outlineLevel="1" x14ac:dyDescent="0.25">
      <c r="A1829" s="739">
        <v>0.02</v>
      </c>
      <c r="B1829" s="740" t="s">
        <v>1414</v>
      </c>
      <c r="C1829" s="809">
        <v>24.678999999999998</v>
      </c>
      <c r="D1829" s="737">
        <v>37.24</v>
      </c>
      <c r="E1829" s="742">
        <v>0.50897524210867551</v>
      </c>
      <c r="F1829" s="946">
        <v>1.017950484217351E-2</v>
      </c>
      <c r="G1829" s="78"/>
      <c r="H1829" t="s">
        <v>2428</v>
      </c>
      <c r="J1829" s="31"/>
    </row>
    <row r="1830" spans="1:10" hidden="1" outlineLevel="1" x14ac:dyDescent="0.25">
      <c r="A1830" s="739">
        <v>0.03</v>
      </c>
      <c r="B1830" s="740" t="s">
        <v>1653</v>
      </c>
      <c r="C1830" s="809">
        <v>11.833</v>
      </c>
      <c r="D1830" s="737">
        <v>23.92</v>
      </c>
      <c r="E1830" s="742">
        <v>1.0214653933913631</v>
      </c>
      <c r="F1830" s="946">
        <v>3.0643961801740893E-2</v>
      </c>
      <c r="G1830" s="78"/>
      <c r="H1830" t="s">
        <v>285</v>
      </c>
      <c r="J1830" s="31"/>
    </row>
    <row r="1831" spans="1:10" hidden="1" outlineLevel="1" x14ac:dyDescent="0.25">
      <c r="A1831" s="739">
        <v>0.04</v>
      </c>
      <c r="B1831" s="740" t="s">
        <v>2587</v>
      </c>
      <c r="C1831" s="809">
        <v>605.6</v>
      </c>
      <c r="D1831" s="737">
        <v>218.3</v>
      </c>
      <c r="E1831" s="742">
        <v>-0.63953104359313073</v>
      </c>
      <c r="F1831" s="946">
        <v>-2.5581241743725228E-2</v>
      </c>
      <c r="G1831" s="78"/>
      <c r="H1831" t="s">
        <v>2818</v>
      </c>
      <c r="J1831" s="31"/>
    </row>
    <row r="1832" spans="1:10" hidden="1" outlineLevel="1" x14ac:dyDescent="0.25">
      <c r="A1832" s="739">
        <v>0.03</v>
      </c>
      <c r="B1832" s="740" t="s">
        <v>4460</v>
      </c>
      <c r="C1832" s="809">
        <v>1164.4000000000001</v>
      </c>
      <c r="D1832" s="737">
        <v>2579</v>
      </c>
      <c r="E1832" s="742">
        <v>1.2148746135348674</v>
      </c>
      <c r="F1832" s="946">
        <v>3.6446238406046022E-2</v>
      </c>
      <c r="G1832" s="78"/>
      <c r="H1832" t="s">
        <v>3485</v>
      </c>
      <c r="J1832" s="31"/>
    </row>
    <row r="1833" spans="1:10" hidden="1" outlineLevel="1" x14ac:dyDescent="0.25">
      <c r="A1833" s="739">
        <v>0.03</v>
      </c>
      <c r="B1833" s="740" t="s">
        <v>578</v>
      </c>
      <c r="C1833" s="809">
        <v>12.497</v>
      </c>
      <c r="D1833" s="737">
        <v>11.76</v>
      </c>
      <c r="E1833" s="742">
        <v>-5.8974153796911288E-2</v>
      </c>
      <c r="F1833" s="946">
        <v>-1.7692246139073386E-3</v>
      </c>
      <c r="G1833" s="78"/>
      <c r="H1833" t="s">
        <v>276</v>
      </c>
      <c r="J1833" s="31"/>
    </row>
    <row r="1834" spans="1:10" hidden="1" outlineLevel="1" x14ac:dyDescent="0.25">
      <c r="A1834" s="739">
        <v>0.03</v>
      </c>
      <c r="B1834" s="740" t="s">
        <v>1186</v>
      </c>
      <c r="C1834" s="809">
        <v>31.329000000000001</v>
      </c>
      <c r="D1834" s="737"/>
      <c r="E1834" s="742"/>
      <c r="F1834" s="946"/>
      <c r="G1834" s="78"/>
      <c r="J1834" s="31"/>
    </row>
    <row r="1835" spans="1:10" hidden="1" outlineLevel="1" x14ac:dyDescent="0.25">
      <c r="A1835" s="739">
        <v>0.03</v>
      </c>
      <c r="B1835" s="740" t="s">
        <v>1527</v>
      </c>
      <c r="C1835" s="809">
        <v>2.3496000000000001</v>
      </c>
      <c r="D1835" s="737">
        <v>0.48680000000000001</v>
      </c>
      <c r="E1835" s="742">
        <v>-0.79281579843377603</v>
      </c>
      <c r="F1835" s="946">
        <v>-2.378447395301328E-2</v>
      </c>
      <c r="G1835" s="78"/>
      <c r="H1835" t="s">
        <v>2803</v>
      </c>
      <c r="J1835" s="31"/>
    </row>
    <row r="1836" spans="1:10" hidden="1" outlineLevel="1" x14ac:dyDescent="0.25">
      <c r="A1836" s="739">
        <v>0.04</v>
      </c>
      <c r="B1836" s="740" t="s">
        <v>577</v>
      </c>
      <c r="C1836" s="809">
        <v>12.686</v>
      </c>
      <c r="D1836" s="737">
        <v>6.109</v>
      </c>
      <c r="E1836" s="742">
        <v>-0.51844553050606967</v>
      </c>
      <c r="F1836" s="946">
        <v>-2.0737821220242786E-2</v>
      </c>
      <c r="G1836" s="78"/>
      <c r="H1836" t="s">
        <v>6732</v>
      </c>
      <c r="J1836" s="31"/>
    </row>
    <row r="1837" spans="1:10" hidden="1" outlineLevel="1" x14ac:dyDescent="0.25">
      <c r="A1837" s="739">
        <v>0.04</v>
      </c>
      <c r="B1837" s="740" t="s">
        <v>3551</v>
      </c>
      <c r="C1837" s="809">
        <v>6725</v>
      </c>
      <c r="D1837" s="737">
        <v>7652</v>
      </c>
      <c r="E1837" s="742">
        <v>0.13784386617100375</v>
      </c>
      <c r="F1837" s="946">
        <v>5.5137546468401501E-3</v>
      </c>
      <c r="G1837" s="78"/>
      <c r="H1837" t="s">
        <v>2806</v>
      </c>
      <c r="J1837" s="31"/>
    </row>
    <row r="1838" spans="1:10" hidden="1" outlineLevel="1" x14ac:dyDescent="0.25">
      <c r="A1838" s="739">
        <v>0.03</v>
      </c>
      <c r="B1838" s="740" t="s">
        <v>576</v>
      </c>
      <c r="C1838" s="809">
        <v>16.207000000000001</v>
      </c>
      <c r="D1838" s="737">
        <v>9.2520000000000007</v>
      </c>
      <c r="E1838" s="742">
        <v>-0.42913555870919973</v>
      </c>
      <c r="F1838" s="946">
        <v>-1.2874066761275992E-2</v>
      </c>
      <c r="G1838" s="78"/>
      <c r="H1838" t="s">
        <v>2080</v>
      </c>
      <c r="J1838" s="31"/>
    </row>
    <row r="1839" spans="1:10" hidden="1" outlineLevel="1" x14ac:dyDescent="0.25">
      <c r="A1839" s="739">
        <v>0.03</v>
      </c>
      <c r="B1839" s="740" t="s">
        <v>507</v>
      </c>
      <c r="C1839" s="809">
        <v>18.89</v>
      </c>
      <c r="D1839" s="737">
        <v>52.7</v>
      </c>
      <c r="E1839" s="742">
        <v>1.7898358920063528</v>
      </c>
      <c r="F1839" s="946">
        <v>5.3695076760190585E-2</v>
      </c>
      <c r="G1839" s="78"/>
      <c r="H1839" t="s">
        <v>2810</v>
      </c>
      <c r="J1839" s="31"/>
    </row>
    <row r="1840" spans="1:10" hidden="1" outlineLevel="1" x14ac:dyDescent="0.25">
      <c r="A1840" s="745">
        <v>0.03</v>
      </c>
      <c r="B1840" s="746" t="s">
        <v>580</v>
      </c>
      <c r="C1840" s="810">
        <v>71.38</v>
      </c>
      <c r="D1840" s="715">
        <v>165.3</v>
      </c>
      <c r="E1840" s="748">
        <v>1.3157747268142339</v>
      </c>
      <c r="F1840" s="1023">
        <v>3.9473241804427017E-2</v>
      </c>
      <c r="G1840" s="78"/>
      <c r="H1840" t="s">
        <v>3612</v>
      </c>
      <c r="J1840" s="31"/>
    </row>
    <row r="1841" spans="1:10" hidden="1" outlineLevel="1" x14ac:dyDescent="0.25">
      <c r="A1841" s="749"/>
      <c r="B1841" s="750"/>
      <c r="C1841" s="727"/>
      <c r="D1841" s="727"/>
      <c r="E1841" s="716"/>
      <c r="F1841" s="770">
        <v>0.15824555200052867</v>
      </c>
      <c r="G1841" s="78"/>
      <c r="J1841" s="31"/>
    </row>
    <row r="1842" spans="1:10" hidden="1" outlineLevel="1" x14ac:dyDescent="0.25">
      <c r="A1842" s="749"/>
      <c r="B1842" s="877" t="s">
        <v>4362</v>
      </c>
      <c r="C1842" s="696" t="s">
        <v>112</v>
      </c>
      <c r="D1842" s="696" t="s">
        <v>4363</v>
      </c>
      <c r="E1842" s="709" t="s">
        <v>1447</v>
      </c>
      <c r="F1842" s="1666"/>
      <c r="G1842" s="78"/>
      <c r="J1842" s="31"/>
    </row>
    <row r="1843" spans="1:10" hidden="1" outlineLevel="1" x14ac:dyDescent="0.25">
      <c r="A1843" s="905" t="s">
        <v>2600</v>
      </c>
      <c r="B1843" s="910" t="s">
        <v>1508</v>
      </c>
      <c r="C1843" s="736">
        <v>100</v>
      </c>
      <c r="D1843" s="736">
        <v>100.20959999999999</v>
      </c>
      <c r="E1843" s="895">
        <v>2.0959999999998757E-3</v>
      </c>
      <c r="F1843" s="1830">
        <v>2.0959999999998757E-3</v>
      </c>
      <c r="G1843" s="78"/>
      <c r="J1843" s="31"/>
    </row>
    <row r="1844" spans="1:10" hidden="1" outlineLevel="1" x14ac:dyDescent="0.25">
      <c r="A1844" s="905" t="s">
        <v>2601</v>
      </c>
      <c r="B1844" s="910" t="s">
        <v>4356</v>
      </c>
      <c r="C1844" s="741">
        <v>100</v>
      </c>
      <c r="D1844" s="741">
        <v>108.51179999999999</v>
      </c>
      <c r="E1844" s="896">
        <v>8.5118000000000027E-2</v>
      </c>
      <c r="F1844" s="1666">
        <v>8.5118000000000027E-2</v>
      </c>
      <c r="G1844" s="78"/>
      <c r="J1844" s="31"/>
    </row>
    <row r="1845" spans="1:10" hidden="1" outlineLevel="1" x14ac:dyDescent="0.25">
      <c r="A1845" s="905" t="s">
        <v>3408</v>
      </c>
      <c r="B1845" s="910" t="s">
        <v>4357</v>
      </c>
      <c r="C1845" s="741">
        <v>100</v>
      </c>
      <c r="D1845" s="741">
        <v>114.4941</v>
      </c>
      <c r="E1845" s="896">
        <v>0.14494099999999999</v>
      </c>
      <c r="F1845" s="1666">
        <v>0.14494099999999999</v>
      </c>
      <c r="G1845" s="78"/>
      <c r="J1845" s="31"/>
    </row>
    <row r="1846" spans="1:10" hidden="1" outlineLevel="1" x14ac:dyDescent="0.25">
      <c r="A1846" s="905" t="s">
        <v>3409</v>
      </c>
      <c r="B1846" s="910" t="s">
        <v>4358</v>
      </c>
      <c r="C1846" s="741">
        <v>100</v>
      </c>
      <c r="D1846" s="741">
        <v>121.0902</v>
      </c>
      <c r="E1846" s="896">
        <v>0.21090199999999992</v>
      </c>
      <c r="F1846" s="1666">
        <v>0.21090199999999992</v>
      </c>
      <c r="G1846" s="78"/>
      <c r="J1846" s="31"/>
    </row>
    <row r="1847" spans="1:10" hidden="1" outlineLevel="1" x14ac:dyDescent="0.25">
      <c r="A1847" s="905" t="s">
        <v>2042</v>
      </c>
      <c r="B1847" s="910" t="s">
        <v>1509</v>
      </c>
      <c r="C1847" s="741">
        <v>100</v>
      </c>
      <c r="D1847" s="741">
        <v>117.0241</v>
      </c>
      <c r="E1847" s="896">
        <v>0.17024100000000009</v>
      </c>
      <c r="F1847" s="1666">
        <v>0.17024100000000009</v>
      </c>
      <c r="G1847" s="78"/>
      <c r="J1847" s="31"/>
    </row>
    <row r="1848" spans="1:10" hidden="1" outlineLevel="1" x14ac:dyDescent="0.25">
      <c r="A1848" s="905" t="s">
        <v>2043</v>
      </c>
      <c r="B1848" s="910" t="s">
        <v>4359</v>
      </c>
      <c r="C1848" s="741">
        <v>100</v>
      </c>
      <c r="D1848" s="741">
        <v>121.5153</v>
      </c>
      <c r="E1848" s="896">
        <v>0.21515299999999993</v>
      </c>
      <c r="F1848" s="1666">
        <v>0.21515299999999993</v>
      </c>
      <c r="G1848" s="78"/>
      <c r="J1848" s="31"/>
    </row>
    <row r="1849" spans="1:10" hidden="1" outlineLevel="1" x14ac:dyDescent="0.25">
      <c r="A1849" s="905" t="s">
        <v>819</v>
      </c>
      <c r="B1849" s="910" t="s">
        <v>4360</v>
      </c>
      <c r="C1849" s="741">
        <v>100</v>
      </c>
      <c r="D1849" s="741">
        <v>102.75960000000001</v>
      </c>
      <c r="E1849" s="896">
        <v>2.7595999999999954E-2</v>
      </c>
      <c r="F1849" s="1666">
        <v>2.7595999999999954E-2</v>
      </c>
      <c r="G1849" s="78"/>
      <c r="J1849" s="31"/>
    </row>
    <row r="1850" spans="1:10" hidden="1" outlineLevel="1" x14ac:dyDescent="0.25">
      <c r="A1850" s="905" t="s">
        <v>820</v>
      </c>
      <c r="B1850" s="910" t="s">
        <v>4361</v>
      </c>
      <c r="C1850" s="741">
        <v>100</v>
      </c>
      <c r="D1850" s="908">
        <v>103.7051</v>
      </c>
      <c r="E1850" s="896">
        <v>3.7050999999999945E-2</v>
      </c>
      <c r="F1850" s="1666">
        <v>3.7050999999999945E-2</v>
      </c>
      <c r="G1850" s="78"/>
      <c r="J1850" s="31"/>
    </row>
    <row r="1851" spans="1:10" hidden="1" outlineLevel="1" x14ac:dyDescent="0.25">
      <c r="A1851" s="905" t="s">
        <v>821</v>
      </c>
      <c r="B1851" s="910" t="s">
        <v>4355</v>
      </c>
      <c r="C1851" s="741">
        <v>100</v>
      </c>
      <c r="D1851" s="741">
        <v>88.121399999999994</v>
      </c>
      <c r="E1851" s="896">
        <v>-0.11878600000000006</v>
      </c>
      <c r="F1851" s="1666">
        <v>-0.11878600000000006</v>
      </c>
      <c r="G1851" s="78"/>
      <c r="J1851" s="31"/>
    </row>
    <row r="1852" spans="1:10" hidden="1" outlineLevel="1" x14ac:dyDescent="0.25">
      <c r="A1852" s="905" t="s">
        <v>822</v>
      </c>
      <c r="B1852" s="910" t="s">
        <v>3242</v>
      </c>
      <c r="C1852" s="741">
        <v>100</v>
      </c>
      <c r="D1852" s="741">
        <v>68.562799999999996</v>
      </c>
      <c r="E1852" s="896">
        <v>-0.3143720000000001</v>
      </c>
      <c r="F1852" s="1666">
        <v>-0.3143720000000001</v>
      </c>
      <c r="G1852" s="78"/>
      <c r="J1852" s="31"/>
    </row>
    <row r="1853" spans="1:10" hidden="1" outlineLevel="1" x14ac:dyDescent="0.25">
      <c r="A1853" s="905" t="s">
        <v>823</v>
      </c>
      <c r="B1853" s="910" t="s">
        <v>24</v>
      </c>
      <c r="C1853" s="741">
        <v>100</v>
      </c>
      <c r="D1853" s="741">
        <v>55.3187</v>
      </c>
      <c r="E1853" s="896">
        <v>-0.44681300000000002</v>
      </c>
      <c r="F1853" s="1666">
        <v>-0.44681300000000002</v>
      </c>
      <c r="G1853" s="78"/>
      <c r="J1853" s="31"/>
    </row>
    <row r="1854" spans="1:10" hidden="1" outlineLevel="1" x14ac:dyDescent="0.25">
      <c r="A1854" s="905" t="s">
        <v>3782</v>
      </c>
      <c r="B1854" s="910" t="s">
        <v>27</v>
      </c>
      <c r="C1854" s="741">
        <v>100</v>
      </c>
      <c r="D1854" s="741">
        <v>59.5914</v>
      </c>
      <c r="E1854" s="896">
        <v>-0.40408599999999995</v>
      </c>
      <c r="F1854" s="1666">
        <v>-0.40408599999999995</v>
      </c>
      <c r="G1854" s="78"/>
      <c r="J1854" s="31"/>
    </row>
    <row r="1855" spans="1:10" hidden="1" outlineLevel="1" x14ac:dyDescent="0.25">
      <c r="A1855" s="905" t="s">
        <v>3783</v>
      </c>
      <c r="B1855" s="910" t="s">
        <v>30</v>
      </c>
      <c r="C1855" s="741">
        <v>100</v>
      </c>
      <c r="D1855" s="741">
        <v>66.374300000000005</v>
      </c>
      <c r="E1855" s="896">
        <v>-0.33625699999999992</v>
      </c>
      <c r="F1855" s="1666">
        <v>-0.33625699999999992</v>
      </c>
      <c r="G1855" s="78"/>
      <c r="J1855" s="31"/>
    </row>
    <row r="1856" spans="1:10" hidden="1" outlineLevel="1" x14ac:dyDescent="0.25">
      <c r="A1856" s="905" t="s">
        <v>3784</v>
      </c>
      <c r="B1856" s="910" t="s">
        <v>3241</v>
      </c>
      <c r="C1856" s="747">
        <v>100</v>
      </c>
      <c r="D1856" s="747">
        <v>69.825100000000006</v>
      </c>
      <c r="E1856" s="896">
        <v>-0.30174899999999993</v>
      </c>
      <c r="F1856" s="770">
        <v>-0.30174899999999993</v>
      </c>
      <c r="G1856" s="78"/>
      <c r="J1856" s="31"/>
    </row>
    <row r="1857" spans="1:10" collapsed="1" x14ac:dyDescent="0.25">
      <c r="A1857" s="723" t="s">
        <v>233</v>
      </c>
      <c r="B1857" s="724"/>
      <c r="C1857" s="724"/>
      <c r="D1857" s="724" t="s">
        <v>2465</v>
      </c>
      <c r="E1857" s="721">
        <v>-7.3497500000000021E-2</v>
      </c>
      <c r="F1857" s="722">
        <v>0</v>
      </c>
      <c r="G1857" s="97" t="s">
        <v>781</v>
      </c>
      <c r="J1857" s="31"/>
    </row>
    <row r="1858" spans="1:10" x14ac:dyDescent="0.25">
      <c r="A1858" s="1"/>
      <c r="B1858" s="1"/>
      <c r="C1858" s="1"/>
      <c r="D1858" s="1"/>
      <c r="E1858" s="1"/>
      <c r="F1858" s="1848"/>
      <c r="G1858" s="78"/>
      <c r="J1858" s="31"/>
    </row>
    <row r="1859" spans="1:10" hidden="1" outlineLevel="1" x14ac:dyDescent="0.25">
      <c r="A1859" s="689" t="s">
        <v>113</v>
      </c>
      <c r="B1859" s="689" t="s">
        <v>114</v>
      </c>
      <c r="C1859" s="689" t="s">
        <v>112</v>
      </c>
      <c r="D1859" s="689" t="s">
        <v>116</v>
      </c>
      <c r="E1859" s="689" t="s">
        <v>117</v>
      </c>
      <c r="F1859" s="1188" t="s">
        <v>121</v>
      </c>
      <c r="G1859" s="78"/>
      <c r="J1859" s="31"/>
    </row>
    <row r="1860" spans="1:10" hidden="1" outlineLevel="1" x14ac:dyDescent="0.25">
      <c r="A1860" s="753" t="s">
        <v>3785</v>
      </c>
      <c r="B1860" s="691" t="s">
        <v>115</v>
      </c>
      <c r="C1860" s="793">
        <v>3830.6260000000002</v>
      </c>
      <c r="D1860" s="793">
        <v>3943.402</v>
      </c>
      <c r="E1860" s="3813">
        <v>1.67E-2</v>
      </c>
      <c r="F1860" s="3816">
        <v>1.67E-2</v>
      </c>
      <c r="G1860" s="78"/>
      <c r="J1860" s="31"/>
    </row>
    <row r="1861" spans="1:10" hidden="1" outlineLevel="1" x14ac:dyDescent="0.25">
      <c r="A1861" s="732" t="s">
        <v>3785</v>
      </c>
      <c r="B1861" s="695" t="s">
        <v>760</v>
      </c>
      <c r="C1861" s="797">
        <v>1299.931</v>
      </c>
      <c r="D1861" s="797">
        <v>1350.0930000000001</v>
      </c>
      <c r="E1861" s="3814"/>
      <c r="F1861" s="3817"/>
      <c r="G1861" s="78"/>
      <c r="H1861" s="915" t="s">
        <v>4362</v>
      </c>
      <c r="I1861" s="916" t="s">
        <v>4616</v>
      </c>
      <c r="J1861" s="31"/>
    </row>
    <row r="1862" spans="1:10" hidden="1" outlineLevel="1" x14ac:dyDescent="0.25">
      <c r="A1862" s="754" t="s">
        <v>3785</v>
      </c>
      <c r="B1862" s="695" t="s">
        <v>761</v>
      </c>
      <c r="C1862" s="797">
        <v>17223.288</v>
      </c>
      <c r="D1862" s="797">
        <v>16394.025000000001</v>
      </c>
      <c r="E1862" s="3815"/>
      <c r="F1862" s="3818"/>
      <c r="G1862" s="78"/>
      <c r="H1862" s="402" t="s">
        <v>1327</v>
      </c>
      <c r="I1862" s="403">
        <v>1.67E-2</v>
      </c>
      <c r="J1862" s="31"/>
    </row>
    <row r="1863" spans="1:10" hidden="1" outlineLevel="1" x14ac:dyDescent="0.25">
      <c r="A1863" s="753" t="s">
        <v>3786</v>
      </c>
      <c r="B1863" s="691" t="s">
        <v>115</v>
      </c>
      <c r="C1863" s="793">
        <v>3943.402</v>
      </c>
      <c r="D1863" s="793">
        <v>4292.4889999999996</v>
      </c>
      <c r="E1863" s="3813">
        <v>7.8700000000000006E-2</v>
      </c>
      <c r="F1863" s="3816">
        <v>3.5000000000000003E-2</v>
      </c>
      <c r="G1863" s="78"/>
      <c r="H1863" s="402" t="s">
        <v>1328</v>
      </c>
      <c r="I1863" s="403">
        <v>3.5000000000000003E-2</v>
      </c>
      <c r="J1863" s="31"/>
    </row>
    <row r="1864" spans="1:10" hidden="1" outlineLevel="1" x14ac:dyDescent="0.25">
      <c r="A1864" s="732" t="s">
        <v>3786</v>
      </c>
      <c r="B1864" s="695" t="s">
        <v>760</v>
      </c>
      <c r="C1864" s="797">
        <v>1350.0930000000001</v>
      </c>
      <c r="D1864" s="797">
        <v>1444.644</v>
      </c>
      <c r="E1864" s="3814"/>
      <c r="F1864" s="3817"/>
      <c r="G1864" s="78"/>
      <c r="H1864" s="402" t="s">
        <v>1329</v>
      </c>
      <c r="I1864" s="403">
        <v>3.5000000000000003E-2</v>
      </c>
      <c r="J1864" s="31"/>
    </row>
    <row r="1865" spans="1:10" hidden="1" outlineLevel="1" x14ac:dyDescent="0.25">
      <c r="A1865" s="754" t="s">
        <v>3786</v>
      </c>
      <c r="B1865" s="695" t="s">
        <v>761</v>
      </c>
      <c r="C1865" s="797">
        <v>16394.025000000001</v>
      </c>
      <c r="D1865" s="797">
        <v>17477.563999999998</v>
      </c>
      <c r="E1865" s="3815"/>
      <c r="F1865" s="3818"/>
      <c r="G1865" s="78"/>
      <c r="H1865" s="402" t="s">
        <v>1330</v>
      </c>
      <c r="I1865" s="403">
        <v>-0.03</v>
      </c>
      <c r="J1865" s="31"/>
    </row>
    <row r="1866" spans="1:10" hidden="1" outlineLevel="1" x14ac:dyDescent="0.25">
      <c r="A1866" s="753" t="s">
        <v>3787</v>
      </c>
      <c r="B1866" s="691" t="s">
        <v>115</v>
      </c>
      <c r="C1866" s="793">
        <v>4292.4889999999996</v>
      </c>
      <c r="D1866" s="793">
        <v>4440.9589999999998</v>
      </c>
      <c r="E1866" s="3813">
        <v>3.73E-2</v>
      </c>
      <c r="F1866" s="3816">
        <v>3.5000000000000003E-2</v>
      </c>
      <c r="G1866" s="78"/>
      <c r="H1866" s="402" t="s">
        <v>1331</v>
      </c>
      <c r="I1866" s="403">
        <v>-0.03</v>
      </c>
      <c r="J1866" s="31"/>
    </row>
    <row r="1867" spans="1:10" hidden="1" outlineLevel="1" x14ac:dyDescent="0.25">
      <c r="A1867" s="732" t="s">
        <v>3787</v>
      </c>
      <c r="B1867" s="695" t="s">
        <v>760</v>
      </c>
      <c r="C1867" s="797">
        <v>1444.644</v>
      </c>
      <c r="D1867" s="797">
        <v>1553.01</v>
      </c>
      <c r="E1867" s="3814"/>
      <c r="F1867" s="3817"/>
      <c r="G1867" s="78"/>
      <c r="H1867" s="402" t="s">
        <v>4617</v>
      </c>
      <c r="I1867" s="403">
        <v>-0.03</v>
      </c>
      <c r="J1867" s="31"/>
    </row>
    <row r="1868" spans="1:10" hidden="1" outlineLevel="1" x14ac:dyDescent="0.25">
      <c r="A1868" s="754" t="s">
        <v>3787</v>
      </c>
      <c r="B1868" s="695" t="s">
        <v>761</v>
      </c>
      <c r="C1868" s="797">
        <v>17477.563999999998</v>
      </c>
      <c r="D1868" s="797">
        <v>17173.625</v>
      </c>
      <c r="E1868" s="3815"/>
      <c r="F1868" s="3818"/>
      <c r="G1868" s="78"/>
      <c r="H1868" s="402" t="s">
        <v>4618</v>
      </c>
      <c r="I1868" s="403">
        <v>3.5000000000000003E-2</v>
      </c>
      <c r="J1868" s="31"/>
    </row>
    <row r="1869" spans="1:10" hidden="1" outlineLevel="1" x14ac:dyDescent="0.25">
      <c r="A1869" s="753" t="s">
        <v>3788</v>
      </c>
      <c r="B1869" s="691" t="s">
        <v>115</v>
      </c>
      <c r="C1869" s="793">
        <v>4440.96</v>
      </c>
      <c r="D1869" s="793">
        <v>3766.5810000000001</v>
      </c>
      <c r="E1869" s="3813">
        <v>-0.1578</v>
      </c>
      <c r="F1869" s="3816">
        <v>-0.03</v>
      </c>
      <c r="G1869" s="78"/>
      <c r="H1869" s="402" t="s">
        <v>4619</v>
      </c>
      <c r="I1869" s="403">
        <v>3.5000000000000003E-2</v>
      </c>
      <c r="J1869" s="31"/>
    </row>
    <row r="1870" spans="1:10" hidden="1" outlineLevel="1" x14ac:dyDescent="0.25">
      <c r="A1870" s="732" t="s">
        <v>3788</v>
      </c>
      <c r="B1870" s="695" t="s">
        <v>760</v>
      </c>
      <c r="C1870" s="797">
        <v>1553.01</v>
      </c>
      <c r="D1870" s="797">
        <v>1359.1690000000001</v>
      </c>
      <c r="E1870" s="3814"/>
      <c r="F1870" s="3817"/>
      <c r="G1870" s="78"/>
      <c r="H1870" s="402" t="s">
        <v>4620</v>
      </c>
      <c r="I1870" s="403">
        <v>-0.03</v>
      </c>
      <c r="J1870" s="31"/>
    </row>
    <row r="1871" spans="1:10" hidden="1" outlineLevel="1" x14ac:dyDescent="0.25">
      <c r="A1871" s="754" t="s">
        <v>3788</v>
      </c>
      <c r="B1871" s="695" t="s">
        <v>761</v>
      </c>
      <c r="C1871" s="797">
        <v>17173.63</v>
      </c>
      <c r="D1871" s="797">
        <v>13152.799000000001</v>
      </c>
      <c r="E1871" s="3815"/>
      <c r="F1871" s="3818"/>
      <c r="G1871" s="78"/>
      <c r="H1871" s="402" t="s">
        <v>4621</v>
      </c>
      <c r="I1871" s="403">
        <v>3.5000000000000003E-2</v>
      </c>
      <c r="J1871" s="31"/>
    </row>
    <row r="1872" spans="1:10" hidden="1" outlineLevel="1" x14ac:dyDescent="0.25">
      <c r="A1872" s="753" t="s">
        <v>2966</v>
      </c>
      <c r="B1872" s="691" t="s">
        <v>115</v>
      </c>
      <c r="C1872" s="793">
        <v>3766.5810000000001</v>
      </c>
      <c r="D1872" s="912">
        <v>2812.7619999999997</v>
      </c>
      <c r="E1872" s="3813">
        <v>-0.24959999999999999</v>
      </c>
      <c r="F1872" s="3816">
        <v>-0.03</v>
      </c>
      <c r="G1872" s="78"/>
      <c r="H1872" s="402" t="s">
        <v>4622</v>
      </c>
      <c r="I1872" s="403">
        <v>-0.03</v>
      </c>
      <c r="J1872" s="31"/>
    </row>
    <row r="1873" spans="1:10" hidden="1" outlineLevel="1" x14ac:dyDescent="0.25">
      <c r="A1873" s="732" t="s">
        <v>2966</v>
      </c>
      <c r="B1873" s="695" t="s">
        <v>760</v>
      </c>
      <c r="C1873" s="797">
        <v>1359.1690000000001</v>
      </c>
      <c r="D1873" s="913">
        <v>1022.3130000000001</v>
      </c>
      <c r="E1873" s="3814"/>
      <c r="F1873" s="3817"/>
      <c r="G1873" s="78"/>
      <c r="H1873" s="404" t="s">
        <v>4623</v>
      </c>
      <c r="I1873" s="405">
        <f>SUM(I1862:I1872)</f>
        <v>4.1700000000000015E-2</v>
      </c>
      <c r="J1873" s="31"/>
    </row>
    <row r="1874" spans="1:10" hidden="1" outlineLevel="1" x14ac:dyDescent="0.25">
      <c r="A1874" s="754" t="s">
        <v>2966</v>
      </c>
      <c r="B1874" s="695" t="s">
        <v>761</v>
      </c>
      <c r="C1874" s="797">
        <v>13152.799000000001</v>
      </c>
      <c r="D1874" s="914">
        <v>9972.2430000000022</v>
      </c>
      <c r="E1874" s="3815"/>
      <c r="F1874" s="3818"/>
      <c r="G1874" s="78"/>
      <c r="H1874" s="917" t="s">
        <v>4624</v>
      </c>
      <c r="I1874" s="918">
        <v>0.06</v>
      </c>
      <c r="J1874" s="31"/>
    </row>
    <row r="1875" spans="1:10" hidden="1" outlineLevel="1" x14ac:dyDescent="0.25">
      <c r="A1875" s="753" t="s">
        <v>2967</v>
      </c>
      <c r="B1875" s="691" t="s">
        <v>115</v>
      </c>
      <c r="C1875" s="912">
        <v>2812.7619999999997</v>
      </c>
      <c r="D1875" s="793">
        <v>2213.4899999999998</v>
      </c>
      <c r="E1875" s="3813">
        <v>-0.1875</v>
      </c>
      <c r="F1875" s="3816">
        <v>-0.03</v>
      </c>
      <c r="G1875" s="78"/>
      <c r="J1875" s="31"/>
    </row>
    <row r="1876" spans="1:10" hidden="1" outlineLevel="1" x14ac:dyDescent="0.25">
      <c r="A1876" s="732" t="s">
        <v>2967</v>
      </c>
      <c r="B1876" s="695" t="s">
        <v>760</v>
      </c>
      <c r="C1876" s="913">
        <v>1022.3130000000001</v>
      </c>
      <c r="D1876" s="797">
        <v>837.3</v>
      </c>
      <c r="E1876" s="3814"/>
      <c r="F1876" s="3817"/>
      <c r="G1876" s="78"/>
      <c r="J1876" s="31"/>
    </row>
    <row r="1877" spans="1:10" hidden="1" outlineLevel="1" x14ac:dyDescent="0.25">
      <c r="A1877" s="754" t="s">
        <v>2967</v>
      </c>
      <c r="B1877" s="695" t="s">
        <v>761</v>
      </c>
      <c r="C1877" s="914">
        <v>9972.2430000000022</v>
      </c>
      <c r="D1877" s="797">
        <v>8775.4599999999991</v>
      </c>
      <c r="E1877" s="3815"/>
      <c r="F1877" s="3818"/>
      <c r="G1877" s="78"/>
      <c r="J1877" s="31"/>
    </row>
    <row r="1878" spans="1:10" hidden="1" outlineLevel="1" x14ac:dyDescent="0.25">
      <c r="A1878" s="753" t="s">
        <v>2968</v>
      </c>
      <c r="B1878" s="691" t="s">
        <v>115</v>
      </c>
      <c r="C1878" s="793">
        <v>2213.4899999999998</v>
      </c>
      <c r="D1878" s="793">
        <v>2859.373</v>
      </c>
      <c r="E1878" s="3813">
        <v>0.25440000000000002</v>
      </c>
      <c r="F1878" s="3816">
        <v>3.5000000000000003E-2</v>
      </c>
      <c r="G1878" s="78"/>
      <c r="J1878" s="31"/>
    </row>
    <row r="1879" spans="1:10" hidden="1" outlineLevel="1" x14ac:dyDescent="0.25">
      <c r="A1879" s="732" t="s">
        <v>2968</v>
      </c>
      <c r="B1879" s="695" t="s">
        <v>760</v>
      </c>
      <c r="C1879" s="797">
        <v>837.3</v>
      </c>
      <c r="D1879" s="797">
        <v>1058.6189999999999</v>
      </c>
      <c r="E1879" s="3814"/>
      <c r="F1879" s="3817"/>
      <c r="G1879" s="78"/>
      <c r="J1879" s="31"/>
    </row>
    <row r="1880" spans="1:10" hidden="1" outlineLevel="1" x14ac:dyDescent="0.25">
      <c r="A1880" s="754" t="s">
        <v>2968</v>
      </c>
      <c r="B1880" s="695" t="s">
        <v>761</v>
      </c>
      <c r="C1880" s="797">
        <v>8775.4599999999991</v>
      </c>
      <c r="D1880" s="797">
        <v>9910.0679999999993</v>
      </c>
      <c r="E1880" s="3815"/>
      <c r="F1880" s="3818"/>
      <c r="G1880" s="78"/>
      <c r="J1880" s="31"/>
    </row>
    <row r="1881" spans="1:10" hidden="1" outlineLevel="1" x14ac:dyDescent="0.25">
      <c r="A1881" s="753" t="s">
        <v>3535</v>
      </c>
      <c r="B1881" s="691" t="s">
        <v>115</v>
      </c>
      <c r="C1881" s="793">
        <v>2859.37</v>
      </c>
      <c r="D1881" s="793">
        <v>2983.9259999999999</v>
      </c>
      <c r="E1881" s="3813">
        <v>8.5800000000000001E-2</v>
      </c>
      <c r="F1881" s="3816">
        <v>3.5000000000000003E-2</v>
      </c>
      <c r="G1881" s="78"/>
      <c r="J1881" s="31"/>
    </row>
    <row r="1882" spans="1:10" hidden="1" outlineLevel="1" x14ac:dyDescent="0.25">
      <c r="A1882" s="732" t="s">
        <v>3535</v>
      </c>
      <c r="B1882" s="695" t="s">
        <v>760</v>
      </c>
      <c r="C1882" s="797">
        <v>1058.6199999999999</v>
      </c>
      <c r="D1882" s="797">
        <v>1193.434</v>
      </c>
      <c r="E1882" s="3814"/>
      <c r="F1882" s="3817"/>
      <c r="G1882" s="78"/>
      <c r="J1882" s="31"/>
    </row>
    <row r="1883" spans="1:10" hidden="1" outlineLevel="1" x14ac:dyDescent="0.25">
      <c r="A1883" s="754" t="s">
        <v>3535</v>
      </c>
      <c r="B1883" s="695" t="s">
        <v>761</v>
      </c>
      <c r="C1883" s="797">
        <v>9910.07</v>
      </c>
      <c r="D1883" s="797">
        <v>11243.550999999999</v>
      </c>
      <c r="E1883" s="3815"/>
      <c r="F1883" s="3818"/>
      <c r="G1883" s="78"/>
      <c r="J1883" s="31"/>
    </row>
    <row r="1884" spans="1:10" hidden="1" outlineLevel="1" x14ac:dyDescent="0.25">
      <c r="A1884" s="753" t="s">
        <v>4455</v>
      </c>
      <c r="B1884" s="691" t="s">
        <v>115</v>
      </c>
      <c r="C1884" s="793">
        <v>2983.9259999999999</v>
      </c>
      <c r="D1884" s="793">
        <v>2778.6930000000002</v>
      </c>
      <c r="E1884" s="3813">
        <v>-6.8199999999999997E-2</v>
      </c>
      <c r="F1884" s="3816">
        <v>-0.03</v>
      </c>
      <c r="G1884" s="78"/>
      <c r="J1884" s="31"/>
    </row>
    <row r="1885" spans="1:10" hidden="1" outlineLevel="1" x14ac:dyDescent="0.25">
      <c r="A1885" s="732" t="s">
        <v>4455</v>
      </c>
      <c r="B1885" s="695" t="s">
        <v>760</v>
      </c>
      <c r="C1885" s="797">
        <v>1193.434</v>
      </c>
      <c r="D1885" s="797">
        <v>1161.42</v>
      </c>
      <c r="E1885" s="3814"/>
      <c r="F1885" s="3817"/>
      <c r="G1885" s="78"/>
      <c r="J1885" s="31"/>
    </row>
    <row r="1886" spans="1:10" hidden="1" outlineLevel="1" x14ac:dyDescent="0.25">
      <c r="A1886" s="754" t="s">
        <v>4455</v>
      </c>
      <c r="B1886" s="695" t="s">
        <v>761</v>
      </c>
      <c r="C1886" s="797">
        <v>11243.550999999999</v>
      </c>
      <c r="D1886" s="797">
        <v>9514.5079999999998</v>
      </c>
      <c r="E1886" s="3815"/>
      <c r="F1886" s="3818"/>
      <c r="G1886" s="78"/>
      <c r="J1886" s="31"/>
    </row>
    <row r="1887" spans="1:10" hidden="1" outlineLevel="1" x14ac:dyDescent="0.25">
      <c r="A1887" s="753" t="s">
        <v>2267</v>
      </c>
      <c r="B1887" s="691" t="s">
        <v>115</v>
      </c>
      <c r="C1887" s="793">
        <v>2778.6930000000002</v>
      </c>
      <c r="D1887" s="793">
        <v>2956.4196000000002</v>
      </c>
      <c r="E1887" s="3813">
        <v>8.48E-2</v>
      </c>
      <c r="F1887" s="3816">
        <v>3.5000000000000003E-2</v>
      </c>
      <c r="G1887" s="78"/>
      <c r="J1887" s="31"/>
    </row>
    <row r="1888" spans="1:10" hidden="1" outlineLevel="1" x14ac:dyDescent="0.25">
      <c r="A1888" s="732" t="s">
        <v>2267</v>
      </c>
      <c r="B1888" s="695" t="s">
        <v>760</v>
      </c>
      <c r="C1888" s="797">
        <v>1161.42</v>
      </c>
      <c r="D1888" s="797">
        <v>1326.268</v>
      </c>
      <c r="E1888" s="3814"/>
      <c r="F1888" s="3817"/>
      <c r="G1888" s="78"/>
      <c r="J1888" s="31"/>
    </row>
    <row r="1889" spans="1:12" hidden="1" outlineLevel="1" x14ac:dyDescent="0.25">
      <c r="A1889" s="754" t="s">
        <v>2267</v>
      </c>
      <c r="B1889" s="695" t="s">
        <v>761</v>
      </c>
      <c r="C1889" s="797">
        <v>9514.5079999999998</v>
      </c>
      <c r="D1889" s="797">
        <v>9655.6270000000004</v>
      </c>
      <c r="E1889" s="3815"/>
      <c r="F1889" s="3818"/>
      <c r="G1889" s="78"/>
      <c r="J1889" s="31"/>
    </row>
    <row r="1890" spans="1:12" hidden="1" outlineLevel="1" x14ac:dyDescent="0.25">
      <c r="A1890" s="753" t="s">
        <v>2268</v>
      </c>
      <c r="B1890" s="691" t="s">
        <v>115</v>
      </c>
      <c r="C1890" s="793">
        <v>2956.4196000000002</v>
      </c>
      <c r="D1890" s="793">
        <v>2262.364</v>
      </c>
      <c r="E1890" s="3813">
        <v>-0.17169999999999999</v>
      </c>
      <c r="F1890" s="3816">
        <v>-0.03</v>
      </c>
      <c r="G1890" s="78"/>
      <c r="H1890" s="199"/>
      <c r="J1890" s="31"/>
    </row>
    <row r="1891" spans="1:12" hidden="1" outlineLevel="1" x14ac:dyDescent="0.25">
      <c r="A1891" s="732" t="s">
        <v>2268</v>
      </c>
      <c r="B1891" s="695" t="s">
        <v>760</v>
      </c>
      <c r="C1891" s="797">
        <v>1326.268</v>
      </c>
      <c r="D1891" s="797">
        <v>1171.356</v>
      </c>
      <c r="E1891" s="3814"/>
      <c r="F1891" s="3817"/>
      <c r="G1891" s="78"/>
      <c r="J1891" s="31"/>
    </row>
    <row r="1892" spans="1:12" hidden="1" outlineLevel="1" x14ac:dyDescent="0.25">
      <c r="A1892" s="754" t="s">
        <v>2268</v>
      </c>
      <c r="B1892" s="695" t="s">
        <v>761</v>
      </c>
      <c r="C1892" s="797">
        <v>9655.6270000000004</v>
      </c>
      <c r="D1892" s="797">
        <v>8647.5609999999997</v>
      </c>
      <c r="E1892" s="3815"/>
      <c r="F1892" s="3818"/>
      <c r="G1892" s="78"/>
      <c r="J1892" s="31"/>
    </row>
    <row r="1893" spans="1:12" collapsed="1" x14ac:dyDescent="0.25">
      <c r="A1893" s="3801" t="s">
        <v>1428</v>
      </c>
      <c r="B1893" s="3802"/>
      <c r="C1893" s="3802"/>
      <c r="D1893" s="3802"/>
      <c r="E1893" s="729"/>
      <c r="F1893" s="752">
        <f>MAX(SUM(F1860:F1892),6%)</f>
        <v>0.06</v>
      </c>
      <c r="G1893" s="97" t="s">
        <v>781</v>
      </c>
      <c r="J1893" s="31"/>
    </row>
    <row r="1894" spans="1:12" x14ac:dyDescent="0.25">
      <c r="A1894" s="1"/>
      <c r="B1894" s="1"/>
      <c r="C1894" s="1"/>
      <c r="D1894" s="1"/>
      <c r="E1894" s="1"/>
      <c r="F1894" s="1848"/>
      <c r="G1894" s="78"/>
      <c r="J1894" s="31"/>
    </row>
    <row r="1895" spans="1:12" hidden="1" outlineLevel="1" x14ac:dyDescent="0.25">
      <c r="A1895" s="689" t="s">
        <v>113</v>
      </c>
      <c r="B1895" s="689" t="s">
        <v>114</v>
      </c>
      <c r="C1895" s="689" t="s">
        <v>112</v>
      </c>
      <c r="D1895" s="689" t="s">
        <v>116</v>
      </c>
      <c r="E1895" s="689" t="s">
        <v>117</v>
      </c>
      <c r="F1895" s="1188" t="s">
        <v>121</v>
      </c>
      <c r="G1895" s="78"/>
      <c r="J1895" s="31"/>
    </row>
    <row r="1896" spans="1:12" hidden="1" outlineLevel="1" x14ac:dyDescent="0.25">
      <c r="A1896" s="690">
        <v>1</v>
      </c>
      <c r="B1896" s="691" t="s">
        <v>252</v>
      </c>
      <c r="C1896" s="692">
        <v>100</v>
      </c>
      <c r="D1896" s="692"/>
      <c r="E1896" s="693"/>
      <c r="F1896" s="694"/>
      <c r="G1896" s="78"/>
      <c r="J1896" s="31"/>
    </row>
    <row r="1897" spans="1:12" hidden="1" outlineLevel="1" x14ac:dyDescent="0.25">
      <c r="A1897" s="695"/>
      <c r="B1897" s="695"/>
      <c r="C1897" s="696"/>
      <c r="D1897" s="697" t="s">
        <v>3702</v>
      </c>
      <c r="E1897" s="698">
        <f>indexy!$B$2</f>
        <v>45379</v>
      </c>
      <c r="F1897" s="699"/>
      <c r="G1897" s="78"/>
      <c r="J1897" s="31"/>
    </row>
    <row r="1898" spans="1:12" hidden="1" outlineLevel="1" x14ac:dyDescent="0.25">
      <c r="A1898" s="689" t="s">
        <v>4156</v>
      </c>
      <c r="B1898" s="689" t="s">
        <v>4153</v>
      </c>
      <c r="C1898" s="700" t="s">
        <v>112</v>
      </c>
      <c r="D1898" s="689" t="s">
        <v>4155</v>
      </c>
      <c r="E1898" s="689" t="s">
        <v>4154</v>
      </c>
      <c r="F1898" s="1021" t="s">
        <v>2519</v>
      </c>
      <c r="G1898" s="78"/>
      <c r="J1898" s="31"/>
    </row>
    <row r="1899" spans="1:12" hidden="1" outlineLevel="1" x14ac:dyDescent="0.25">
      <c r="A1899" s="734">
        <v>0.05</v>
      </c>
      <c r="B1899" s="735" t="s">
        <v>1994</v>
      </c>
      <c r="C1899" s="807">
        <v>45.890999999999998</v>
      </c>
      <c r="D1899" s="737">
        <f>VLOOKUP(H1899,indexy!$C$44:$D$585,2,FALSE)</f>
        <v>37.92</v>
      </c>
      <c r="E1899" s="738">
        <f>D1899/C1899-1</f>
        <v>-0.17369418840295481</v>
      </c>
      <c r="F1899" s="1021">
        <f>E1899*A1899</f>
        <v>-8.68470942014774E-3</v>
      </c>
      <c r="G1899" s="78"/>
      <c r="H1899" t="str">
        <f>VLOOKUP(B1899,indexy!$A$44:$D$157,3,FALSE)</f>
        <v>BAC UN Equity</v>
      </c>
      <c r="J1899" s="31"/>
    </row>
    <row r="1900" spans="1:12" hidden="1" outlineLevel="1" x14ac:dyDescent="0.25">
      <c r="A1900" s="739">
        <v>0.05</v>
      </c>
      <c r="B1900" s="740" t="s">
        <v>3998</v>
      </c>
      <c r="C1900" s="737">
        <v>25.424150944957749</v>
      </c>
      <c r="D1900" s="737">
        <f>VLOOKUP(H1900,indexy!$C$44:$D$585,2,FALSE)</f>
        <v>17.600000000000001</v>
      </c>
      <c r="E1900" s="742">
        <f>D1900/C1900-1</f>
        <v>-0.30774482742399989</v>
      </c>
      <c r="F1900" s="946">
        <f>E1900*A1900</f>
        <v>-1.5387241371199996E-2</v>
      </c>
      <c r="G1900" s="78"/>
      <c r="H1900" t="str">
        <f>VLOOKUP(B1900,indexy!$A$44:$D$232,3,FALSE)</f>
        <v>T UN Equity</v>
      </c>
      <c r="J1900" s="31" t="s">
        <v>631</v>
      </c>
    </row>
    <row r="1901" spans="1:12" hidden="1" outlineLevel="1" x14ac:dyDescent="0.25">
      <c r="A1901" s="739">
        <v>0.05</v>
      </c>
      <c r="B1901" s="740" t="s">
        <v>4460</v>
      </c>
      <c r="C1901" s="809">
        <f>11.644*100</f>
        <v>1164.4000000000001</v>
      </c>
      <c r="D1901" s="737">
        <f>VLOOKUP(H1901,indexy!$C$44:$D$585,2,FALSE)</f>
        <v>2470</v>
      </c>
      <c r="E1901" s="742">
        <f>D1901/C1901-1</f>
        <v>1.1212641703881827</v>
      </c>
      <c r="F1901" s="946">
        <f>E1901*A1901</f>
        <v>5.6063208519409137E-2</v>
      </c>
      <c r="G1901" s="78"/>
      <c r="H1901" t="str">
        <f>VLOOKUP(B1901,indexy!$A$44:$D$232,3,FALSE)</f>
        <v>SVT LN Equity</v>
      </c>
      <c r="I1901" s="106"/>
      <c r="J1901" s="256">
        <v>39904</v>
      </c>
      <c r="K1901">
        <v>68.124799999999993</v>
      </c>
      <c r="L1901" s="37">
        <f t="shared" ref="L1901:L1912" si="45">K1901/100-1</f>
        <v>-0.31875200000000004</v>
      </c>
    </row>
    <row r="1902" spans="1:12" hidden="1" outlineLevel="1" x14ac:dyDescent="0.25">
      <c r="A1902" s="739">
        <v>0.05</v>
      </c>
      <c r="B1902" s="740" t="s">
        <v>1847</v>
      </c>
      <c r="C1902" s="809">
        <f>47.986*10</f>
        <v>479.85999999999996</v>
      </c>
      <c r="D1902" s="737">
        <f>VLOOKUP(H1902,indexy!$C$44:$D$585,2,FALSE)</f>
        <v>63.24</v>
      </c>
      <c r="E1902" s="742">
        <f t="shared" ref="E1902:E1918" si="46">D1902/C1902-1</f>
        <v>-0.8682115617054974</v>
      </c>
      <c r="F1902" s="946">
        <f t="shared" ref="F1902:F1918" si="47">E1902*A1902</f>
        <v>-4.3410578085274876E-2</v>
      </c>
      <c r="G1902" s="78"/>
      <c r="H1902" t="str">
        <f>VLOOKUP(B1902,indexy!$A$44:$D$232,3,FALSE)</f>
        <v>C UN Equity</v>
      </c>
      <c r="J1902" s="256">
        <v>39934</v>
      </c>
      <c r="K1902">
        <v>71.218400000000003</v>
      </c>
      <c r="L1902" s="37">
        <f t="shared" si="45"/>
        <v>-0.28781599999999996</v>
      </c>
    </row>
    <row r="1903" spans="1:12" hidden="1" outlineLevel="1" x14ac:dyDescent="0.25">
      <c r="A1903" s="739">
        <v>0.05</v>
      </c>
      <c r="B1903" s="740" t="s">
        <v>4338</v>
      </c>
      <c r="C1903" s="809">
        <f>31.81*0.913785917</f>
        <v>29.06753001977</v>
      </c>
      <c r="D1903" s="737">
        <f>VLOOKUP(H1903,indexy!$C$44:$D$585,2,FALSE)</f>
        <v>15.51</v>
      </c>
      <c r="E1903" s="742">
        <f t="shared" si="46"/>
        <v>-0.46641493138732382</v>
      </c>
      <c r="F1903" s="946">
        <f t="shared" si="47"/>
        <v>-2.3320746569366193E-2</v>
      </c>
      <c r="G1903" s="78"/>
      <c r="H1903" t="str">
        <f>VLOOKUP(B1903,indexy!$A$44:$D$392,3,FALSE)</f>
        <v>ENGI FP Equity</v>
      </c>
      <c r="J1903" s="256">
        <v>39965</v>
      </c>
      <c r="K1903">
        <v>71.3369</v>
      </c>
      <c r="L1903" s="37">
        <f t="shared" si="45"/>
        <v>-0.28663099999999997</v>
      </c>
    </row>
    <row r="1904" spans="1:12" hidden="1" outlineLevel="1" x14ac:dyDescent="0.25">
      <c r="A1904" s="739">
        <v>0.05</v>
      </c>
      <c r="B1904" s="740" t="s">
        <v>4387</v>
      </c>
      <c r="C1904" s="809">
        <f>91.212/3</f>
        <v>30.404</v>
      </c>
      <c r="D1904" s="737">
        <f>VLOOKUP(H1904,indexy!$C$44:$D$585,2,FALSE)</f>
        <v>12.885</v>
      </c>
      <c r="E1904" s="742">
        <f t="shared" si="46"/>
        <v>-0.57620707801605053</v>
      </c>
      <c r="F1904" s="946">
        <f t="shared" si="47"/>
        <v>-2.8810353900802527E-2</v>
      </c>
      <c r="G1904" s="78"/>
      <c r="H1904" t="str">
        <f>VLOOKUP(B1904,indexy!$A$44:$D$232,3,FALSE)</f>
        <v>EOAN GY Equity</v>
      </c>
      <c r="J1904" s="256">
        <v>39995</v>
      </c>
      <c r="K1904">
        <v>77.041200000000003</v>
      </c>
      <c r="L1904" s="37">
        <f t="shared" si="45"/>
        <v>-0.22958800000000001</v>
      </c>
    </row>
    <row r="1905" spans="1:12" hidden="1" outlineLevel="1" x14ac:dyDescent="0.25">
      <c r="A1905" s="739">
        <v>0.05</v>
      </c>
      <c r="B1905" s="740" t="s">
        <v>54</v>
      </c>
      <c r="C1905" s="809">
        <v>23.388999999999999</v>
      </c>
      <c r="D1905" s="737">
        <f>VLOOKUP(H1905,indexy!$C$44:$D$585,2,FALSE)</f>
        <v>15.44</v>
      </c>
      <c r="E1905" s="742">
        <f t="shared" si="46"/>
        <v>-0.33986061823934333</v>
      </c>
      <c r="F1905" s="946">
        <f t="shared" si="47"/>
        <v>-1.6993030911967168E-2</v>
      </c>
      <c r="G1905" s="78"/>
      <c r="H1905" t="str">
        <f>VLOOKUP(B1905,indexy!$A$44:$D$232,3,FALSE)</f>
        <v>REP SQ Equity</v>
      </c>
      <c r="J1905" s="256">
        <v>40026</v>
      </c>
      <c r="K1905">
        <v>80.7834</v>
      </c>
      <c r="L1905" s="37">
        <f t="shared" si="45"/>
        <v>-0.19216599999999995</v>
      </c>
    </row>
    <row r="1906" spans="1:12" hidden="1" outlineLevel="1" x14ac:dyDescent="0.25">
      <c r="A1906" s="739">
        <v>0.05</v>
      </c>
      <c r="B1906" s="740" t="s">
        <v>1526</v>
      </c>
      <c r="C1906" s="809">
        <v>88.11</v>
      </c>
      <c r="D1906" s="737">
        <f>VLOOKUP(H1906,indexy!$C$44:$D$585,2,FALSE)</f>
        <v>69.42</v>
      </c>
      <c r="E1906" s="742">
        <f t="shared" si="46"/>
        <v>-0.21212121212121204</v>
      </c>
      <c r="F1906" s="946">
        <f t="shared" si="47"/>
        <v>-1.0606060606060603E-2</v>
      </c>
      <c r="G1906" s="78"/>
      <c r="H1906" t="str">
        <f>VLOOKUP(B1906,indexy!$A$44:$D$232,3,FALSE)</f>
        <v>KBC BB Equity</v>
      </c>
      <c r="J1906" s="256">
        <v>40057</v>
      </c>
      <c r="K1906">
        <v>82.6083</v>
      </c>
      <c r="L1906" s="37">
        <f t="shared" si="45"/>
        <v>-0.17391699999999999</v>
      </c>
    </row>
    <row r="1907" spans="1:12" hidden="1" outlineLevel="1" x14ac:dyDescent="0.25">
      <c r="A1907" s="739">
        <v>0.05</v>
      </c>
      <c r="B1907" s="740" t="s">
        <v>577</v>
      </c>
      <c r="C1907" s="809">
        <v>12.78</v>
      </c>
      <c r="D1907" s="737">
        <f>VLOOKUP(H1907,indexy!$C$44:$D$585,2,FALSE)</f>
        <v>4.0890000000000004</v>
      </c>
      <c r="E1907" s="742">
        <f t="shared" si="46"/>
        <v>-0.68004694835680746</v>
      </c>
      <c r="F1907" s="946">
        <f t="shared" si="47"/>
        <v>-3.4002347417840376E-2</v>
      </c>
      <c r="G1907" s="78"/>
      <c r="H1907" t="str">
        <f>VLOOKUP(B1907,indexy!$A$44:$D$232,3,FALSE)</f>
        <v>TEF SQ Equity</v>
      </c>
      <c r="J1907" s="256">
        <v>40087</v>
      </c>
      <c r="K1907">
        <v>81.151600000000002</v>
      </c>
      <c r="L1907" s="37">
        <f t="shared" si="45"/>
        <v>-0.18848399999999998</v>
      </c>
    </row>
    <row r="1908" spans="1:12" hidden="1" outlineLevel="1" x14ac:dyDescent="0.25">
      <c r="A1908" s="739">
        <v>0.05</v>
      </c>
      <c r="B1908" s="740" t="s">
        <v>157</v>
      </c>
      <c r="C1908" s="809">
        <v>9.2097999999999995</v>
      </c>
      <c r="D1908" s="737">
        <f>VLOOKUP(H1908,indexy!$C$44:$D$585,2,FALSE)</f>
        <v>4.5214999999999996</v>
      </c>
      <c r="E1908" s="742">
        <f t="shared" si="46"/>
        <v>-0.50905557123933209</v>
      </c>
      <c r="F1908" s="946">
        <f t="shared" si="47"/>
        <v>-2.5452778561966607E-2</v>
      </c>
      <c r="G1908" s="78"/>
      <c r="H1908" t="str">
        <f>VLOOKUP(B1908,indexy!$A$44:$D$232,3,FALSE)</f>
        <v>SAN SM Equity</v>
      </c>
      <c r="J1908" s="256">
        <v>40118</v>
      </c>
      <c r="K1908">
        <v>83.052099999999996</v>
      </c>
      <c r="L1908" s="37">
        <f t="shared" si="45"/>
        <v>-0.16947900000000005</v>
      </c>
    </row>
    <row r="1909" spans="1:12" hidden="1" outlineLevel="1" x14ac:dyDescent="0.25">
      <c r="A1909" s="739">
        <v>0.05</v>
      </c>
      <c r="B1909" s="740" t="s">
        <v>2587</v>
      </c>
      <c r="C1909" s="809">
        <f>(18.425*100)/3</f>
        <v>614.16666666666663</v>
      </c>
      <c r="D1909" s="737" t="e">
        <f>VLOOKUP(H1909,indexy!$C$44:$D$585,2,FALSE)</f>
        <v>#N/A</v>
      </c>
      <c r="E1909" s="742" t="e">
        <f t="shared" si="46"/>
        <v>#N/A</v>
      </c>
      <c r="F1909" s="946" t="e">
        <f t="shared" si="47"/>
        <v>#N/A</v>
      </c>
      <c r="G1909" s="78"/>
      <c r="H1909" t="e">
        <f>VLOOKUP(B1909,indexy!$A$44:$D$232,3,FALSE)</f>
        <v>#N/A</v>
      </c>
      <c r="J1909" s="256">
        <v>40148</v>
      </c>
      <c r="K1909">
        <v>86.687200000000004</v>
      </c>
      <c r="L1909" s="37">
        <f t="shared" si="45"/>
        <v>-0.13312799999999991</v>
      </c>
    </row>
    <row r="1910" spans="1:12" hidden="1" outlineLevel="1" x14ac:dyDescent="0.25">
      <c r="A1910" s="739">
        <v>0.05</v>
      </c>
      <c r="B1910" s="740" t="s">
        <v>3406</v>
      </c>
      <c r="C1910" s="809">
        <f>8.9515*100</f>
        <v>895.15</v>
      </c>
      <c r="D1910" s="737">
        <f>VLOOKUP(H1910,indexy!$C$44:$D$585,2,FALSE)</f>
        <v>2925.5</v>
      </c>
      <c r="E1910" s="742">
        <f t="shared" si="46"/>
        <v>2.2681673462548178</v>
      </c>
      <c r="F1910" s="946">
        <f t="shared" si="47"/>
        <v>0.1134083673127409</v>
      </c>
      <c r="G1910" s="78"/>
      <c r="H1910" t="str">
        <f>VLOOKUP(B1910,indexy!$A$44:$D$232,3,FALSE)</f>
        <v>DGE LN Equity</v>
      </c>
      <c r="J1910" s="256">
        <v>40179</v>
      </c>
      <c r="K1910">
        <v>81.720399999999998</v>
      </c>
      <c r="L1910" s="37">
        <f t="shared" si="45"/>
        <v>-0.18279600000000007</v>
      </c>
    </row>
    <row r="1911" spans="1:12" hidden="1" outlineLevel="1" x14ac:dyDescent="0.25">
      <c r="A1911" s="739">
        <v>0.05</v>
      </c>
      <c r="B1911" s="740" t="s">
        <v>1653</v>
      </c>
      <c r="C1911" s="809">
        <v>11.757999999999999</v>
      </c>
      <c r="D1911" s="737">
        <f>VLOOKUP(H1911,indexy!$C$44:$D$585,2,FALSE)</f>
        <v>40.15</v>
      </c>
      <c r="E1911" s="742">
        <f t="shared" si="46"/>
        <v>2.4146963769348528</v>
      </c>
      <c r="F1911" s="946">
        <f t="shared" si="47"/>
        <v>0.12073481884674264</v>
      </c>
      <c r="G1911" s="78"/>
      <c r="H1911" t="str">
        <f>VLOOKUP(B1911,indexy!$A$44:$D$232,3,FALSE)</f>
        <v>REN NA Equity</v>
      </c>
      <c r="J1911" s="256">
        <v>40210</v>
      </c>
      <c r="K1911" s="252">
        <v>81.650999999999996</v>
      </c>
      <c r="L1911" s="37">
        <f t="shared" si="45"/>
        <v>-0.18349000000000004</v>
      </c>
    </row>
    <row r="1912" spans="1:12" hidden="1" outlineLevel="1" x14ac:dyDescent="0.25">
      <c r="A1912" s="739">
        <v>0.05</v>
      </c>
      <c r="B1912" s="740" t="s">
        <v>874</v>
      </c>
      <c r="C1912" s="809">
        <f>2.293*100</f>
        <v>229.3</v>
      </c>
      <c r="D1912" s="737">
        <f>VLOOKUP(H1912,indexy!$C$44:$D$585,2,FALSE)</f>
        <v>249.4</v>
      </c>
      <c r="E1912" s="742">
        <f t="shared" si="46"/>
        <v>8.7658089838639208E-2</v>
      </c>
      <c r="F1912" s="946">
        <f t="shared" si="47"/>
        <v>4.3829044919319604E-3</v>
      </c>
      <c r="G1912" s="78"/>
      <c r="H1912" t="str">
        <f>VLOOKUP(B1912,indexy!$A$44:$D$232,3,FALSE)</f>
        <v>KGF LN Equity</v>
      </c>
      <c r="J1912" s="256">
        <v>40238</v>
      </c>
      <c r="K1912">
        <v>85.657300000000006</v>
      </c>
      <c r="L1912" s="37">
        <f t="shared" si="45"/>
        <v>-0.14342699999999997</v>
      </c>
    </row>
    <row r="1913" spans="1:12" hidden="1" outlineLevel="1" x14ac:dyDescent="0.25">
      <c r="A1913" s="739">
        <v>0.05</v>
      </c>
      <c r="B1913" s="740" t="s">
        <v>1993</v>
      </c>
      <c r="C1913" s="809">
        <v>69.853999999999999</v>
      </c>
      <c r="D1913" s="737">
        <f>VLOOKUP(H1913,indexy!$C$44:$D$585,2,FALSE)+VLOOKUP(I1913,indexy!C:D,2,0)</f>
        <v>135.24</v>
      </c>
      <c r="E1913" s="742">
        <f t="shared" si="46"/>
        <v>0.93603802216050624</v>
      </c>
      <c r="F1913" s="946">
        <f t="shared" si="47"/>
        <v>4.6801901108025318E-2</v>
      </c>
      <c r="G1913" s="78"/>
      <c r="H1913" t="str">
        <f>VLOOKUP(B1913,indexy!$A$44:$D$232,3,FALSE)</f>
        <v>MO UN Equity</v>
      </c>
      <c r="I1913" s="39" t="s">
        <v>3533</v>
      </c>
      <c r="J1913" s="264" t="s">
        <v>2465</v>
      </c>
      <c r="K1913" s="69"/>
      <c r="L1913" s="261">
        <f>AVERAGE(L1901:L1912)</f>
        <v>-0.2074728333333333</v>
      </c>
    </row>
    <row r="1914" spans="1:12" hidden="1" outlineLevel="1" x14ac:dyDescent="0.25">
      <c r="A1914" s="739">
        <v>0.05</v>
      </c>
      <c r="B1914" s="740" t="s">
        <v>3019</v>
      </c>
      <c r="C1914" s="809">
        <v>74.944999999999993</v>
      </c>
      <c r="D1914" s="737">
        <f>VLOOKUP(H1914,indexy!$C$44:$D$585,2,FALSE)</f>
        <v>65.86</v>
      </c>
      <c r="E1914" s="742">
        <f t="shared" si="46"/>
        <v>-0.12122222963506568</v>
      </c>
      <c r="F1914" s="946">
        <f t="shared" si="47"/>
        <v>-6.0611114817532841E-3</v>
      </c>
      <c r="G1914" s="78"/>
      <c r="H1914" t="str">
        <f>VLOOKUP(B1914,indexy!$A$44:$D$232,3,FALSE)</f>
        <v>BNP FP Equity</v>
      </c>
      <c r="J1914" s="264" t="s">
        <v>1507</v>
      </c>
      <c r="K1914" s="69"/>
      <c r="L1914" s="261">
        <f>L1913*parametry!N85</f>
        <v>-0.13485734166666666</v>
      </c>
    </row>
    <row r="1915" spans="1:12" hidden="1" outlineLevel="1" x14ac:dyDescent="0.25">
      <c r="A1915" s="739">
        <v>0.05</v>
      </c>
      <c r="B1915" s="740" t="s">
        <v>1184</v>
      </c>
      <c r="C1915" s="809">
        <f>64.21/2</f>
        <v>32.104999999999997</v>
      </c>
      <c r="D1915" s="737">
        <f>VLOOKUP(H1915,indexy!$C$44:$D$585,2,FALSE)</f>
        <v>52.93</v>
      </c>
      <c r="E1915" s="742">
        <f t="shared" si="46"/>
        <v>0.64865285781031012</v>
      </c>
      <c r="F1915" s="946">
        <f t="shared" si="47"/>
        <v>3.2432642890515506E-2</v>
      </c>
      <c r="G1915" s="78"/>
      <c r="H1915" t="str">
        <f>VLOOKUP(B1915,indexy!$A$44:$D$232,3,FALSE)</f>
        <v>BAS GY Equity</v>
      </c>
      <c r="J1915" s="31"/>
    </row>
    <row r="1916" spans="1:12" hidden="1" outlineLevel="1" x14ac:dyDescent="0.25">
      <c r="A1916" s="739">
        <v>0.05</v>
      </c>
      <c r="B1916" s="740" t="s">
        <v>3551</v>
      </c>
      <c r="C1916" s="809">
        <v>6700</v>
      </c>
      <c r="D1916" s="737">
        <f>VLOOKUP(H1916,indexy!$C$44:$D$585,2,FALSE)</f>
        <v>3806</v>
      </c>
      <c r="E1916" s="742">
        <f t="shared" si="46"/>
        <v>-0.43194029850746274</v>
      </c>
      <c r="F1916" s="946">
        <f t="shared" si="47"/>
        <v>-2.1597014925373137E-2</v>
      </c>
      <c r="G1916" s="78"/>
      <c r="H1916" t="str">
        <f>VLOOKUP(B1916,indexy!$A$44:$D$232,3,FALSE)</f>
        <v>7203 JT Equity</v>
      </c>
      <c r="J1916" s="31"/>
    </row>
    <row r="1917" spans="1:12" hidden="1" outlineLevel="1" x14ac:dyDescent="0.25">
      <c r="A1917" s="739">
        <v>0.05</v>
      </c>
      <c r="B1917" s="740" t="s">
        <v>507</v>
      </c>
      <c r="C1917" s="809">
        <f>56.295/3</f>
        <v>18.765000000000001</v>
      </c>
      <c r="D1917" s="737">
        <f>VLOOKUP(H1917,indexy!$C$44:$D$585,2,FALSE)</f>
        <v>46.52</v>
      </c>
      <c r="E1917" s="742">
        <f t="shared" si="46"/>
        <v>1.4790833999467092</v>
      </c>
      <c r="F1917" s="946">
        <f t="shared" si="47"/>
        <v>7.3954169997335464E-2</v>
      </c>
      <c r="G1917" s="78"/>
      <c r="H1917" t="str">
        <f>VLOOKUP(B1917,indexy!$A$44:$D$232,3,FALSE)</f>
        <v>UNA NA Equity</v>
      </c>
      <c r="J1917" s="31"/>
    </row>
    <row r="1918" spans="1:12" hidden="1" outlineLevel="1" x14ac:dyDescent="0.25">
      <c r="A1918" s="739">
        <v>0.05</v>
      </c>
      <c r="B1918" s="740" t="s">
        <v>3798</v>
      </c>
      <c r="C1918" s="809">
        <v>6.8476999999999997</v>
      </c>
      <c r="D1918" s="737">
        <f>VLOOKUP(H1918,indexy!$C$44:$D$585,2,FALSE)</f>
        <v>6.1189999999999998</v>
      </c>
      <c r="E1918" s="742">
        <f t="shared" si="46"/>
        <v>-0.10641529272602479</v>
      </c>
      <c r="F1918" s="946">
        <f t="shared" si="47"/>
        <v>-5.3207646363012395E-3</v>
      </c>
      <c r="G1918" s="78"/>
      <c r="H1918" t="str">
        <f>VLOOKUP(B1918,indexy!$A$44:$D$232,3,FALSE)</f>
        <v>ENEL IM Equity</v>
      </c>
      <c r="J1918" s="31"/>
    </row>
    <row r="1919" spans="1:12" hidden="1" outlineLevel="1" x14ac:dyDescent="0.25">
      <c r="A1919" s="717"/>
      <c r="B1919" s="718"/>
      <c r="C1919" s="719"/>
      <c r="D1919" s="719"/>
      <c r="E1919" s="720"/>
      <c r="F1919" s="731" t="e">
        <f>SUM(F1899:F1918)</f>
        <v>#N/A</v>
      </c>
      <c r="G1919" s="78"/>
      <c r="H1919" s="101"/>
      <c r="J1919" s="31"/>
    </row>
    <row r="1920" spans="1:12" collapsed="1" x14ac:dyDescent="0.25">
      <c r="A1920" s="3801" t="s">
        <v>4454</v>
      </c>
      <c r="B1920" s="3802"/>
      <c r="C1920" s="3802"/>
      <c r="D1920" s="3802"/>
      <c r="E1920" s="721"/>
      <c r="F1920" s="722">
        <f>MAX(L1913*parametry!N85,0)</f>
        <v>0</v>
      </c>
      <c r="G1920" s="97" t="s">
        <v>781</v>
      </c>
      <c r="J1920" s="31"/>
    </row>
    <row r="1921" spans="1:10" x14ac:dyDescent="0.25">
      <c r="A1921" s="1"/>
      <c r="B1921" s="1"/>
      <c r="C1921" s="1"/>
      <c r="D1921" s="1"/>
      <c r="E1921" s="1"/>
      <c r="F1921" s="1848"/>
      <c r="G1921" s="78"/>
      <c r="J1921" s="31"/>
    </row>
    <row r="1922" spans="1:10" hidden="1" outlineLevel="1" x14ac:dyDescent="0.25">
      <c r="A1922" s="689" t="s">
        <v>113</v>
      </c>
      <c r="B1922" s="689" t="s">
        <v>114</v>
      </c>
      <c r="C1922" s="689" t="s">
        <v>112</v>
      </c>
      <c r="D1922" s="689" t="s">
        <v>116</v>
      </c>
      <c r="E1922" s="689" t="s">
        <v>117</v>
      </c>
      <c r="F1922" s="1188" t="s">
        <v>121</v>
      </c>
      <c r="G1922" s="78"/>
      <c r="J1922" s="31"/>
    </row>
    <row r="1923" spans="1:10" hidden="1" outlineLevel="1" x14ac:dyDescent="0.25">
      <c r="A1923" s="690">
        <v>1</v>
      </c>
      <c r="B1923" s="691" t="s">
        <v>252</v>
      </c>
      <c r="C1923" s="692"/>
      <c r="D1923" s="692"/>
      <c r="E1923" s="693"/>
      <c r="F1923" s="694"/>
      <c r="G1923" s="78"/>
      <c r="J1923" s="31"/>
    </row>
    <row r="1924" spans="1:10" hidden="1" outlineLevel="1" x14ac:dyDescent="0.25">
      <c r="A1924" s="695"/>
      <c r="B1924" s="695"/>
      <c r="C1924" s="696"/>
      <c r="D1924" s="697" t="s">
        <v>3702</v>
      </c>
      <c r="E1924" s="698">
        <v>41029</v>
      </c>
      <c r="F1924" s="699"/>
      <c r="G1924" s="78"/>
      <c r="J1924" s="31"/>
    </row>
    <row r="1925" spans="1:10" hidden="1" outlineLevel="1" x14ac:dyDescent="0.25">
      <c r="A1925" s="689" t="s">
        <v>4156</v>
      </c>
      <c r="B1925" s="689" t="s">
        <v>4153</v>
      </c>
      <c r="C1925" s="700" t="s">
        <v>112</v>
      </c>
      <c r="D1925" s="689" t="s">
        <v>4155</v>
      </c>
      <c r="E1925" s="689" t="s">
        <v>4154</v>
      </c>
      <c r="F1925" s="1021" t="s">
        <v>3374</v>
      </c>
      <c r="G1925" s="78"/>
      <c r="J1925" s="31"/>
    </row>
    <row r="1926" spans="1:10" hidden="1" outlineLevel="1" x14ac:dyDescent="0.25">
      <c r="A1926" s="734">
        <v>0.05</v>
      </c>
      <c r="B1926" s="735" t="s">
        <v>1188</v>
      </c>
      <c r="C1926" s="807">
        <v>669.6</v>
      </c>
      <c r="D1926" s="737">
        <v>445</v>
      </c>
      <c r="E1926" s="817">
        <v>-0.3354241338112306</v>
      </c>
      <c r="F1926" s="1021"/>
      <c r="G1926" s="78"/>
      <c r="H1926" t="str">
        <f>VLOOKUP(B1926,indexy!$A$44:$D$232,3,FALSE)</f>
        <v>BP/ LN Equity</v>
      </c>
      <c r="J1926" s="31"/>
    </row>
    <row r="1927" spans="1:10" hidden="1" outlineLevel="1" x14ac:dyDescent="0.25">
      <c r="A1927" s="739">
        <v>0.05</v>
      </c>
      <c r="B1927" s="740" t="s">
        <v>51</v>
      </c>
      <c r="C1927" s="809">
        <v>58.134999999999998</v>
      </c>
      <c r="D1927" s="737">
        <v>31.645</v>
      </c>
      <c r="E1927" s="857">
        <v>-0.45566354175625701</v>
      </c>
      <c r="F1927" s="946"/>
      <c r="G1927" s="78"/>
      <c r="H1927" t="str">
        <f>VLOOKUP(B1927,indexy!$A$44:$D$232,3,FALSE)</f>
        <v>SGO FP Equity</v>
      </c>
      <c r="J1927" s="31"/>
    </row>
    <row r="1928" spans="1:10" hidden="1" outlineLevel="1" x14ac:dyDescent="0.25">
      <c r="A1928" s="739">
        <v>0.05</v>
      </c>
      <c r="B1928" s="740" t="s">
        <v>4387</v>
      </c>
      <c r="C1928" s="809">
        <v>31.173333333333332</v>
      </c>
      <c r="D1928" s="737">
        <v>17.114999999999998</v>
      </c>
      <c r="E1928" s="857">
        <v>-0.45097305389221565</v>
      </c>
      <c r="F1928" s="946"/>
      <c r="G1928" s="78"/>
      <c r="H1928" t="str">
        <f>VLOOKUP(B1928,indexy!$A$44:$D$232,3,FALSE)</f>
        <v>EOAN GY Equity</v>
      </c>
      <c r="J1928" s="31"/>
    </row>
    <row r="1929" spans="1:10" hidden="1" outlineLevel="1" x14ac:dyDescent="0.25">
      <c r="A1929" s="739">
        <v>0.05</v>
      </c>
      <c r="B1929" s="740" t="s">
        <v>3425</v>
      </c>
      <c r="C1929" s="809">
        <v>63.226999999999997</v>
      </c>
      <c r="D1929" s="737">
        <v>86.34</v>
      </c>
      <c r="E1929" s="857">
        <v>0.36555585430275062</v>
      </c>
      <c r="F1929" s="946"/>
      <c r="G1929" s="78"/>
      <c r="H1929" t="str">
        <f>VLOOKUP(B1929,indexy!$A$44:$D$232,3,FALSE)</f>
        <v>XOM UN Equity</v>
      </c>
      <c r="J1929" s="31"/>
    </row>
    <row r="1930" spans="1:10" hidden="1" outlineLevel="1" x14ac:dyDescent="0.25">
      <c r="A1930" s="739">
        <v>0.05</v>
      </c>
      <c r="B1930" s="740" t="s">
        <v>1176</v>
      </c>
      <c r="C1930" s="809">
        <v>29.363</v>
      </c>
      <c r="D1930" s="737">
        <v>1.375</v>
      </c>
      <c r="E1930" s="857">
        <v>-0.95317235977250281</v>
      </c>
      <c r="F1930" s="946"/>
      <c r="G1930" s="78"/>
      <c r="H1930" t="str">
        <f>VLOOKUP(B1930,indexy!$A$44:$D$232,3,FALSE)</f>
        <v>AGS BB Equity</v>
      </c>
      <c r="J1930" s="31"/>
    </row>
    <row r="1931" spans="1:10" hidden="1" outlineLevel="1" x14ac:dyDescent="0.25">
      <c r="A1931" s="739">
        <v>0.05</v>
      </c>
      <c r="B1931" s="740" t="s">
        <v>3799</v>
      </c>
      <c r="C1931" s="809">
        <v>1534.9</v>
      </c>
      <c r="D1931" s="737">
        <v>1425</v>
      </c>
      <c r="E1931" s="857">
        <v>-7.1600755749560263E-2</v>
      </c>
      <c r="F1931" s="946"/>
      <c r="G1931" s="78"/>
      <c r="H1931" t="str">
        <f>VLOOKUP(B1931,indexy!$A$44:$D$232,3,FALSE)</f>
        <v>GSK LN Equity</v>
      </c>
      <c r="J1931" s="31"/>
    </row>
    <row r="1932" spans="1:10" hidden="1" outlineLevel="1" x14ac:dyDescent="0.25">
      <c r="A1932" s="739">
        <v>0.05</v>
      </c>
      <c r="B1932" s="740" t="s">
        <v>2588</v>
      </c>
      <c r="C1932" s="809">
        <v>32.506999999999998</v>
      </c>
      <c r="D1932" s="737">
        <v>5.327</v>
      </c>
      <c r="E1932" s="857">
        <v>-0.83612760328544622</v>
      </c>
      <c r="F1932" s="946"/>
      <c r="G1932" s="78"/>
      <c r="H1932" t="str">
        <f>VLOOKUP(B1932,indexy!$A$44:$D$232,3,FALSE)</f>
        <v>INGA NA Equity</v>
      </c>
      <c r="J1932" s="31"/>
    </row>
    <row r="1933" spans="1:10" hidden="1" outlineLevel="1" x14ac:dyDescent="0.25">
      <c r="A1933" s="739">
        <v>0.05</v>
      </c>
      <c r="B1933" s="743" t="s">
        <v>1528</v>
      </c>
      <c r="C1933" s="809">
        <v>83.13</v>
      </c>
      <c r="D1933" s="737">
        <v>125.15</v>
      </c>
      <c r="E1933" s="857">
        <v>0.5054733549861663</v>
      </c>
      <c r="F1933" s="946"/>
      <c r="G1933" s="78"/>
      <c r="H1933" t="str">
        <f>VLOOKUP(B1933,indexy!$A$44:$D$232,3,FALSE)</f>
        <v>MC FP Equity</v>
      </c>
      <c r="J1933" s="31"/>
    </row>
    <row r="1934" spans="1:10" hidden="1" outlineLevel="1" x14ac:dyDescent="0.25">
      <c r="A1934" s="739">
        <v>0.05</v>
      </c>
      <c r="B1934" s="740" t="s">
        <v>2397</v>
      </c>
      <c r="C1934" s="809">
        <v>90.088713500000011</v>
      </c>
      <c r="D1934" s="737">
        <v>47.87</v>
      </c>
      <c r="E1934" s="857">
        <v>-0.46863488066127179</v>
      </c>
      <c r="F1934" s="946"/>
      <c r="G1934" s="78"/>
      <c r="H1934" t="str">
        <f>VLOOKUP(B1934,indexy!$A$44:$D$232,3,FALSE)</f>
        <v>MSI UN Equity</v>
      </c>
      <c r="J1934" s="31"/>
    </row>
    <row r="1935" spans="1:10" hidden="1" outlineLevel="1" x14ac:dyDescent="0.25">
      <c r="A1935" s="739">
        <v>0.05</v>
      </c>
      <c r="B1935" s="740" t="s">
        <v>1190</v>
      </c>
      <c r="C1935" s="809">
        <v>17.602</v>
      </c>
      <c r="D1935" s="737">
        <v>2.714</v>
      </c>
      <c r="E1935" s="857">
        <v>-0.84581297579820469</v>
      </c>
      <c r="F1935" s="946"/>
      <c r="G1935" s="78"/>
      <c r="H1935" t="str">
        <f>VLOOKUP(B1935,indexy!$A$44:$D$232,3,FALSE)</f>
        <v>NOKIA FH Equity</v>
      </c>
      <c r="J1935" s="31"/>
    </row>
    <row r="1936" spans="1:10" hidden="1" outlineLevel="1" x14ac:dyDescent="0.25">
      <c r="A1936" s="739">
        <v>0.05</v>
      </c>
      <c r="B1936" s="740" t="s">
        <v>4273</v>
      </c>
      <c r="C1936" s="809">
        <v>175600</v>
      </c>
      <c r="D1936" s="737">
        <v>136200</v>
      </c>
      <c r="E1936" s="857">
        <v>-0.22437357630979504</v>
      </c>
      <c r="F1936" s="946"/>
      <c r="G1936" s="78"/>
      <c r="H1936" t="str">
        <f>VLOOKUP(B1936,indexy!$A$44:$D$232,3,FALSE)</f>
        <v>9437 JT Equity</v>
      </c>
      <c r="J1936" s="31"/>
    </row>
    <row r="1937" spans="1:10" hidden="1" outlineLevel="1" x14ac:dyDescent="0.25">
      <c r="A1937" s="739">
        <v>0.05</v>
      </c>
      <c r="B1937" s="740" t="s">
        <v>1002</v>
      </c>
      <c r="C1937" s="809">
        <v>14.169</v>
      </c>
      <c r="D1937" s="737">
        <v>29.39</v>
      </c>
      <c r="E1937" s="857">
        <v>1.0742465946785233</v>
      </c>
      <c r="F1937" s="946"/>
      <c r="G1937" s="78"/>
      <c r="H1937" t="str">
        <f>VLOOKUP(B1937,indexy!$A$44:$D$232,3,FALSE)</f>
        <v>ORCL UN Equity</v>
      </c>
      <c r="J1937" s="31"/>
    </row>
    <row r="1938" spans="1:10" hidden="1" outlineLevel="1" x14ac:dyDescent="0.25">
      <c r="A1938" s="739">
        <v>0.05</v>
      </c>
      <c r="B1938" s="740" t="s">
        <v>1414</v>
      </c>
      <c r="C1938" s="809">
        <v>25.097999999999999</v>
      </c>
      <c r="D1938" s="737">
        <v>22.93</v>
      </c>
      <c r="E1938" s="857">
        <v>-8.6381384970913966E-2</v>
      </c>
      <c r="F1938" s="946"/>
      <c r="G1938" s="78"/>
      <c r="H1938" t="str">
        <f>VLOOKUP(B1938,indexy!$A$44:$D$232,3,FALSE)</f>
        <v>PFE UN Equity</v>
      </c>
      <c r="J1938" s="31"/>
    </row>
    <row r="1939" spans="1:10" hidden="1" outlineLevel="1" x14ac:dyDescent="0.25">
      <c r="A1939" s="739">
        <v>0.05</v>
      </c>
      <c r="B1939" s="740" t="s">
        <v>1187</v>
      </c>
      <c r="C1939" s="809">
        <v>75.245000000000005</v>
      </c>
      <c r="D1939" s="737">
        <v>57.66</v>
      </c>
      <c r="E1939" s="857">
        <v>-0.23370323609542176</v>
      </c>
      <c r="F1939" s="946"/>
      <c r="G1939" s="78"/>
      <c r="H1939" t="str">
        <f>VLOOKUP(B1939,indexy!$A$44:$D$232,3,FALSE)</f>
        <v>SAN FP Equity</v>
      </c>
      <c r="J1939" s="31"/>
    </row>
    <row r="1940" spans="1:10" hidden="1" outlineLevel="1" x14ac:dyDescent="0.25">
      <c r="A1940" s="739">
        <v>0.05</v>
      </c>
      <c r="B1940" s="740" t="s">
        <v>2399</v>
      </c>
      <c r="C1940" s="809">
        <v>14.045</v>
      </c>
      <c r="D1940" s="737">
        <v>4.2850000000000001</v>
      </c>
      <c r="E1940" s="857">
        <v>-0.69490922036311853</v>
      </c>
      <c r="F1940" s="946"/>
      <c r="G1940" s="78"/>
      <c r="H1940" t="e">
        <f>VLOOKUP(B1940,indexy!$A$44:$D$232,3,FALSE)</f>
        <v>#N/A</v>
      </c>
      <c r="J1940" s="31"/>
    </row>
    <row r="1941" spans="1:10" hidden="1" outlineLevel="1" x14ac:dyDescent="0.25">
      <c r="A1941" s="739">
        <v>0.05</v>
      </c>
      <c r="B1941" s="740" t="s">
        <v>1527</v>
      </c>
      <c r="C1941" s="809">
        <v>2.2587999999999999</v>
      </c>
      <c r="D1941" s="737">
        <v>0.85850000000000004</v>
      </c>
      <c r="E1941" s="857">
        <v>-0.61993093678059141</v>
      </c>
      <c r="F1941" s="946"/>
      <c r="G1941" s="78"/>
      <c r="H1941" t="str">
        <f>VLOOKUP(B1941,indexy!$A$44:$D$232,3,FALSE)</f>
        <v>TIT IM Equity</v>
      </c>
      <c r="J1941" s="31"/>
    </row>
    <row r="1942" spans="1:10" hidden="1" outlineLevel="1" x14ac:dyDescent="0.25">
      <c r="A1942" s="739">
        <v>0.05</v>
      </c>
      <c r="B1942" s="740" t="s">
        <v>1003</v>
      </c>
      <c r="C1942" s="809">
        <v>33.936999999999998</v>
      </c>
      <c r="D1942" s="737">
        <v>29.11</v>
      </c>
      <c r="E1942" s="857">
        <v>-0.14223413972949872</v>
      </c>
      <c r="F1942" s="946"/>
      <c r="G1942" s="78"/>
      <c r="H1942" t="str">
        <f>VLOOKUP(B1942,indexy!$A$44:$D$232,3,FALSE)</f>
        <v>TXN UW Equity</v>
      </c>
      <c r="J1942" s="31"/>
    </row>
    <row r="1943" spans="1:10" hidden="1" outlineLevel="1" x14ac:dyDescent="0.25">
      <c r="A1943" s="739">
        <v>0.05</v>
      </c>
      <c r="B1943" s="740" t="s">
        <v>1183</v>
      </c>
      <c r="C1943" s="809">
        <v>54.597000000000001</v>
      </c>
      <c r="D1943" s="737">
        <v>36.07</v>
      </c>
      <c r="E1943" s="857">
        <v>-0.33934098943165381</v>
      </c>
      <c r="F1943" s="946"/>
      <c r="G1943" s="78"/>
      <c r="H1943" t="e">
        <f>VLOOKUP(B1943,indexy!$A$44:$D$232,3,FALSE)</f>
        <v>#N/A</v>
      </c>
      <c r="J1943" s="31"/>
    </row>
    <row r="1944" spans="1:10" hidden="1" outlineLevel="1" x14ac:dyDescent="0.25">
      <c r="A1944" s="739">
        <v>0.05</v>
      </c>
      <c r="B1944" s="740" t="s">
        <v>3551</v>
      </c>
      <c r="C1944" s="809">
        <v>6398</v>
      </c>
      <c r="D1944" s="737">
        <v>3305</v>
      </c>
      <c r="E1944" s="857">
        <v>-0.4834323226008127</v>
      </c>
      <c r="F1944" s="946"/>
      <c r="G1944" s="78"/>
      <c r="H1944" t="str">
        <f>VLOOKUP(B1944,indexy!$A$44:$D$232,3,FALSE)</f>
        <v>7203 JT Equity</v>
      </c>
      <c r="J1944" s="31"/>
    </row>
    <row r="1945" spans="1:10" hidden="1" outlineLevel="1" x14ac:dyDescent="0.25">
      <c r="A1945" s="745">
        <v>0.05</v>
      </c>
      <c r="B1945" s="746" t="s">
        <v>2398</v>
      </c>
      <c r="C1945" s="810">
        <v>31.832999999999998</v>
      </c>
      <c r="D1945" s="715">
        <v>15.54</v>
      </c>
      <c r="E1945" s="818">
        <v>-0.51182734897747628</v>
      </c>
      <c r="F1945" s="1023"/>
      <c r="G1945" s="78"/>
      <c r="H1945" t="e">
        <f>VLOOKUP(B1945,indexy!$A$44:$D$232,3,FALSE)</f>
        <v>#N/A</v>
      </c>
      <c r="J1945" s="31"/>
    </row>
    <row r="1946" spans="1:10" hidden="1" outlineLevel="1" x14ac:dyDescent="0.25">
      <c r="A1946" s="749"/>
      <c r="B1946" s="750"/>
      <c r="C1946" s="811"/>
      <c r="D1946" s="811"/>
      <c r="E1946" s="820"/>
      <c r="F1946" s="770"/>
      <c r="G1946" s="78"/>
      <c r="J1946" s="31"/>
    </row>
    <row r="1947" spans="1:10" hidden="1" outlineLevel="1" x14ac:dyDescent="0.25">
      <c r="A1947" s="751" t="s">
        <v>2269</v>
      </c>
      <c r="B1947" s="750"/>
      <c r="C1947" s="811"/>
      <c r="D1947" s="811"/>
      <c r="E1947" s="820"/>
      <c r="F1947" s="1860">
        <v>0.04</v>
      </c>
      <c r="G1947" s="78"/>
      <c r="J1947" s="31"/>
    </row>
    <row r="1948" spans="1:10" hidden="1" outlineLevel="1" x14ac:dyDescent="0.25">
      <c r="A1948" s="751" t="s">
        <v>2270</v>
      </c>
      <c r="B1948" s="750" t="s">
        <v>3311</v>
      </c>
      <c r="C1948" s="811"/>
      <c r="D1948" s="811"/>
      <c r="E1948" s="820"/>
      <c r="F1948" s="1860">
        <v>2.6700000000000002E-2</v>
      </c>
      <c r="G1948" s="78"/>
      <c r="J1948" s="31"/>
    </row>
    <row r="1949" spans="1:10" hidden="1" outlineLevel="1" x14ac:dyDescent="0.25">
      <c r="A1949" s="751" t="s">
        <v>2271</v>
      </c>
      <c r="B1949" s="750" t="s">
        <v>4432</v>
      </c>
      <c r="C1949" s="811"/>
      <c r="D1949" s="811"/>
      <c r="E1949" s="820"/>
      <c r="F1949" s="1860">
        <v>1.78E-2</v>
      </c>
      <c r="G1949" s="78"/>
      <c r="J1949" s="31"/>
    </row>
    <row r="1950" spans="1:10" hidden="1" outlineLevel="1" x14ac:dyDescent="0.25">
      <c r="A1950" s="751" t="s">
        <v>4435</v>
      </c>
      <c r="B1950" s="750" t="s">
        <v>3469</v>
      </c>
      <c r="C1950" s="811"/>
      <c r="D1950" s="811"/>
      <c r="E1950" s="820"/>
      <c r="F1950" s="1860">
        <v>1.1900000000000001E-2</v>
      </c>
      <c r="G1950" s="78"/>
      <c r="J1950" s="31"/>
    </row>
    <row r="1951" spans="1:10" hidden="1" outlineLevel="1" x14ac:dyDescent="0.25">
      <c r="A1951" s="751" t="s">
        <v>4436</v>
      </c>
      <c r="B1951" s="750" t="s">
        <v>3966</v>
      </c>
      <c r="C1951" s="811"/>
      <c r="D1951" s="811"/>
      <c r="E1951" s="820"/>
      <c r="F1951" s="1860">
        <v>7.9000000000000008E-3</v>
      </c>
      <c r="G1951" s="78"/>
      <c r="J1951" s="31"/>
    </row>
    <row r="1952" spans="1:10" hidden="1" outlineLevel="1" x14ac:dyDescent="0.25">
      <c r="A1952" s="751" t="s">
        <v>256</v>
      </c>
      <c r="B1952" s="750" t="s">
        <v>6675</v>
      </c>
      <c r="C1952" s="811"/>
      <c r="D1952" s="811"/>
      <c r="E1952" s="838"/>
      <c r="F1952" s="1860">
        <v>5.3E-3</v>
      </c>
      <c r="G1952" s="78"/>
      <c r="J1952" s="31"/>
    </row>
    <row r="1953" spans="1:16" collapsed="1" x14ac:dyDescent="0.25">
      <c r="A1953" s="3801" t="s">
        <v>2243</v>
      </c>
      <c r="B1953" s="3802"/>
      <c r="C1953" s="3802"/>
      <c r="D1953" s="3802"/>
      <c r="E1953" s="821"/>
      <c r="F1953" s="752">
        <v>0.10960000000000002</v>
      </c>
      <c r="G1953" s="97" t="s">
        <v>781</v>
      </c>
      <c r="J1953" s="31"/>
    </row>
    <row r="1954" spans="1:16" x14ac:dyDescent="0.25">
      <c r="A1954" s="1"/>
      <c r="B1954" s="1"/>
      <c r="C1954" s="1"/>
      <c r="D1954" s="1"/>
      <c r="E1954" s="1"/>
      <c r="F1954" s="1848"/>
      <c r="G1954" s="78"/>
      <c r="J1954" s="31"/>
    </row>
    <row r="1955" spans="1:16" hidden="1" outlineLevel="1" x14ac:dyDescent="0.25">
      <c r="A1955" s="689" t="s">
        <v>113</v>
      </c>
      <c r="B1955" s="689" t="s">
        <v>114</v>
      </c>
      <c r="C1955" s="689" t="s">
        <v>112</v>
      </c>
      <c r="D1955" s="689" t="s">
        <v>4155</v>
      </c>
      <c r="E1955" s="689" t="s">
        <v>117</v>
      </c>
      <c r="F1955" s="1188" t="s">
        <v>121</v>
      </c>
      <c r="G1955" s="78"/>
      <c r="J1955" s="31"/>
    </row>
    <row r="1956" spans="1:16" hidden="1" outlineLevel="1" x14ac:dyDescent="0.25">
      <c r="A1956" s="690">
        <v>1</v>
      </c>
      <c r="B1956" s="691" t="s">
        <v>115</v>
      </c>
      <c r="C1956" s="692">
        <v>3852.8130000000001</v>
      </c>
      <c r="D1956" s="795">
        <f>VLOOKUP(B1956,indexy!A:D,2,0)</f>
        <v>5083.42</v>
      </c>
      <c r="E1956" s="693">
        <f>D1956/C1956-1</f>
        <v>0.31940480890196321</v>
      </c>
      <c r="F1956" s="694">
        <f>E1956*parametry!N87</f>
        <v>0.46313697290784667</v>
      </c>
      <c r="G1956" s="78"/>
      <c r="J1956" s="31"/>
    </row>
    <row r="1957" spans="1:16" collapsed="1" x14ac:dyDescent="0.25">
      <c r="A1957" s="3801" t="s">
        <v>234</v>
      </c>
      <c r="B1957" s="3802"/>
      <c r="C1957" s="3802"/>
      <c r="D1957" s="3802"/>
      <c r="E1957" s="729"/>
      <c r="F1957" s="752">
        <f>F1956</f>
        <v>0.46313697290784667</v>
      </c>
      <c r="G1957" s="97" t="s">
        <v>781</v>
      </c>
      <c r="J1957" s="31"/>
    </row>
    <row r="1958" spans="1:16" x14ac:dyDescent="0.25">
      <c r="A1958" s="1"/>
      <c r="B1958" s="1"/>
      <c r="C1958" s="1"/>
      <c r="D1958" s="1"/>
      <c r="E1958" s="1"/>
      <c r="F1958" s="1848"/>
      <c r="G1958" s="78"/>
      <c r="J1958" s="31"/>
    </row>
    <row r="1959" spans="1:16" hidden="1" outlineLevel="1" x14ac:dyDescent="0.25">
      <c r="A1959" s="689" t="s">
        <v>113</v>
      </c>
      <c r="B1959" s="689" t="s">
        <v>114</v>
      </c>
      <c r="C1959" s="689" t="s">
        <v>112</v>
      </c>
      <c r="D1959" s="689" t="s">
        <v>116</v>
      </c>
      <c r="E1959" s="689" t="s">
        <v>117</v>
      </c>
      <c r="F1959" s="1188" t="s">
        <v>121</v>
      </c>
      <c r="G1959" s="12"/>
      <c r="H1959" s="39"/>
      <c r="J1959" s="31"/>
    </row>
    <row r="1960" spans="1:16" hidden="1" outlineLevel="1" x14ac:dyDescent="0.25">
      <c r="A1960" s="690">
        <v>1</v>
      </c>
      <c r="B1960" s="691" t="s">
        <v>252</v>
      </c>
      <c r="C1960" s="692">
        <v>100</v>
      </c>
      <c r="D1960" s="692"/>
      <c r="E1960" s="693"/>
      <c r="F1960" s="694"/>
      <c r="G1960" s="12"/>
      <c r="H1960" s="39"/>
      <c r="J1960" s="31"/>
    </row>
    <row r="1961" spans="1:16" hidden="1" outlineLevel="1" x14ac:dyDescent="0.25">
      <c r="A1961" s="695"/>
      <c r="B1961" s="695"/>
      <c r="C1961" s="696"/>
      <c r="D1961" s="697" t="s">
        <v>3702</v>
      </c>
      <c r="E1961" s="698">
        <v>40329</v>
      </c>
      <c r="F1961" s="699"/>
      <c r="G1961" s="12"/>
      <c r="H1961" s="39"/>
      <c r="J1961" s="31"/>
    </row>
    <row r="1962" spans="1:16" hidden="1" outlineLevel="1" x14ac:dyDescent="0.25">
      <c r="A1962" s="689" t="s">
        <v>4156</v>
      </c>
      <c r="B1962" s="689" t="s">
        <v>4153</v>
      </c>
      <c r="C1962" s="700" t="s">
        <v>112</v>
      </c>
      <c r="D1962" s="689" t="s">
        <v>116</v>
      </c>
      <c r="E1962" s="689" t="s">
        <v>4154</v>
      </c>
      <c r="F1962" s="1021" t="s">
        <v>2519</v>
      </c>
      <c r="G1962" s="12"/>
      <c r="H1962" s="39"/>
      <c r="J1962" s="31"/>
    </row>
    <row r="1963" spans="1:16" ht="13.8" hidden="1" outlineLevel="1" thickBot="1" x14ac:dyDescent="0.3">
      <c r="A1963" s="734">
        <v>0.05</v>
      </c>
      <c r="B1963" s="735" t="s">
        <v>157</v>
      </c>
      <c r="C1963" s="807">
        <v>7.5439106847638531</v>
      </c>
      <c r="D1963" s="737">
        <v>8.3249999999999993</v>
      </c>
      <c r="E1963" s="738">
        <v>0.10353904597700003</v>
      </c>
      <c r="F1963" s="1021">
        <v>5.1769522988500023E-3</v>
      </c>
      <c r="G1963" s="12"/>
      <c r="H1963" s="39" t="s">
        <v>730</v>
      </c>
      <c r="J1963" s="31"/>
      <c r="O1963">
        <v>0.66278621380000002</v>
      </c>
      <c r="P1963">
        <f>A1963/O1963*100</f>
        <v>7.5439106847638531</v>
      </c>
    </row>
    <row r="1964" spans="1:16" ht="13.8" hidden="1" outlineLevel="1" x14ac:dyDescent="0.25">
      <c r="A1964" s="739">
        <v>0.03</v>
      </c>
      <c r="B1964" s="740" t="s">
        <v>1993</v>
      </c>
      <c r="C1964" s="809">
        <v>26.97223</v>
      </c>
      <c r="D1964" s="737">
        <v>64.41</v>
      </c>
      <c r="E1964" s="742">
        <v>1.3880116697803628</v>
      </c>
      <c r="F1964" s="946">
        <v>4.1640350093410883E-2</v>
      </c>
      <c r="G1964" s="12"/>
      <c r="H1964" s="39" t="s">
        <v>2812</v>
      </c>
      <c r="I1964" s="39"/>
      <c r="J1964" s="320" t="s">
        <v>1445</v>
      </c>
      <c r="K1964" s="321" t="s">
        <v>561</v>
      </c>
      <c r="L1964" s="322" t="s">
        <v>1447</v>
      </c>
      <c r="O1964" s="39">
        <f>0.0556127433+0.0556127433</f>
        <v>0.11122548660000001</v>
      </c>
      <c r="P1964">
        <f>3%/O1964*100</f>
        <v>26.972235336572574</v>
      </c>
    </row>
    <row r="1965" spans="1:16" hidden="1" outlineLevel="1" x14ac:dyDescent="0.25">
      <c r="A1965" s="739">
        <v>0.04</v>
      </c>
      <c r="B1965" s="740" t="s">
        <v>3407</v>
      </c>
      <c r="C1965" s="809">
        <v>34.282000007320924</v>
      </c>
      <c r="D1965" s="737">
        <v>16.350000000000001</v>
      </c>
      <c r="E1965" s="742">
        <v>-0.52307333304625003</v>
      </c>
      <c r="F1965" s="946">
        <v>-2.0922933321850003E-2</v>
      </c>
      <c r="G1965" s="12"/>
      <c r="H1965" s="39" t="s">
        <v>4127</v>
      </c>
      <c r="J1965" s="919">
        <v>39965</v>
      </c>
      <c r="K1965" s="695">
        <v>61.088500000000003</v>
      </c>
      <c r="L1965" s="920">
        <f t="shared" ref="L1965:L1976" si="48">K1965/100-1</f>
        <v>-0.38911499999999999</v>
      </c>
      <c r="O1965">
        <v>0.1166793069</v>
      </c>
      <c r="P1965">
        <f>A1965/O1965*100</f>
        <v>34.282000007320924</v>
      </c>
    </row>
    <row r="1966" spans="1:16" hidden="1" outlineLevel="1" x14ac:dyDescent="0.25">
      <c r="A1966" s="739">
        <v>0.05</v>
      </c>
      <c r="B1966" s="740" t="s">
        <v>1994</v>
      </c>
      <c r="C1966" s="809">
        <v>48.705999984692674</v>
      </c>
      <c r="D1966" s="737">
        <v>15.74</v>
      </c>
      <c r="E1966" s="742">
        <v>-0.67683652927879989</v>
      </c>
      <c r="F1966" s="946">
        <v>-3.3841826463939996E-2</v>
      </c>
      <c r="G1966" s="12"/>
      <c r="H1966" s="39" t="s">
        <v>3493</v>
      </c>
      <c r="J1966" s="919">
        <v>39995</v>
      </c>
      <c r="K1966" s="695">
        <v>66.044200000000004</v>
      </c>
      <c r="L1966" s="920">
        <f t="shared" si="48"/>
        <v>-0.33955799999999992</v>
      </c>
      <c r="O1966">
        <v>0.10265675690000001</v>
      </c>
      <c r="P1966">
        <f>A1966/O1966*100</f>
        <v>48.705999984692674</v>
      </c>
    </row>
    <row r="1967" spans="1:16" hidden="1" outlineLevel="1" x14ac:dyDescent="0.25">
      <c r="A1967" s="739">
        <v>0.02</v>
      </c>
      <c r="B1967" s="740" t="s">
        <v>873</v>
      </c>
      <c r="C1967" s="809">
        <v>592.31381601470116</v>
      </c>
      <c r="D1967" s="737">
        <v>3.0510000000000002</v>
      </c>
      <c r="E1967" s="742">
        <v>-0.99484901429359152</v>
      </c>
      <c r="F1967" s="946">
        <v>-1.9896980285871831E-2</v>
      </c>
      <c r="G1967" s="12"/>
      <c r="H1967" s="39" t="s">
        <v>3495</v>
      </c>
      <c r="J1967" s="919">
        <v>40026</v>
      </c>
      <c r="K1967" s="695">
        <v>70.434899999999999</v>
      </c>
      <c r="L1967" s="920">
        <f t="shared" si="48"/>
        <v>-0.295651</v>
      </c>
      <c r="O1967">
        <v>0.33765884670000001</v>
      </c>
      <c r="P1967">
        <f>A1967/O1967*100*100</f>
        <v>592.31381601470116</v>
      </c>
    </row>
    <row r="1968" spans="1:16" hidden="1" outlineLevel="1" x14ac:dyDescent="0.25">
      <c r="A1968" s="739">
        <v>0.03</v>
      </c>
      <c r="B1968" s="740" t="s">
        <v>1184</v>
      </c>
      <c r="C1968" s="809">
        <v>31.788999978586929</v>
      </c>
      <c r="D1968" s="737">
        <v>43.06</v>
      </c>
      <c r="E1968" s="742">
        <v>0.35455660854400017</v>
      </c>
      <c r="F1968" s="946">
        <v>1.0636698256320005E-2</v>
      </c>
      <c r="G1968" s="12"/>
      <c r="H1968" s="39" t="s">
        <v>3497</v>
      </c>
      <c r="J1968" s="919">
        <v>40057</v>
      </c>
      <c r="K1968" s="695">
        <v>71.841300000000004</v>
      </c>
      <c r="L1968" s="920">
        <f t="shared" si="48"/>
        <v>-0.28158699999999992</v>
      </c>
      <c r="O1968">
        <v>9.4372267199999998E-2</v>
      </c>
      <c r="P1968">
        <f>A1968/O1968*100</f>
        <v>31.788999978586929</v>
      </c>
    </row>
    <row r="1969" spans="1:16" hidden="1" outlineLevel="1" x14ac:dyDescent="0.25">
      <c r="A1969" s="739">
        <v>0.03</v>
      </c>
      <c r="B1969" s="740" t="s">
        <v>2160</v>
      </c>
      <c r="C1969" s="809">
        <v>32.710000015504534</v>
      </c>
      <c r="D1969" s="737">
        <v>28.6</v>
      </c>
      <c r="E1969" s="742">
        <v>-0.12564964883999974</v>
      </c>
      <c r="F1969" s="946">
        <v>-3.7694894651999922E-3</v>
      </c>
      <c r="G1969" s="12"/>
      <c r="H1969" s="39" t="s">
        <v>5507</v>
      </c>
      <c r="J1969" s="919">
        <v>40087</v>
      </c>
      <c r="K1969" s="695">
        <v>69.700199999999995</v>
      </c>
      <c r="L1969" s="920">
        <f t="shared" si="48"/>
        <v>-0.3029980000000001</v>
      </c>
      <c r="O1969">
        <v>9.1715071800000006E-2</v>
      </c>
      <c r="P1969">
        <f>A1969/O1969*100</f>
        <v>32.710000015504534</v>
      </c>
    </row>
    <row r="1970" spans="1:16" hidden="1" outlineLevel="1" x14ac:dyDescent="0.25">
      <c r="A1970" s="739">
        <v>0.03</v>
      </c>
      <c r="B1970" s="740" t="s">
        <v>3019</v>
      </c>
      <c r="C1970" s="809">
        <v>71.964335454063928</v>
      </c>
      <c r="D1970" s="737">
        <v>46.295000000000002</v>
      </c>
      <c r="E1970" s="742">
        <v>-0.35669523371683332</v>
      </c>
      <c r="F1970" s="946">
        <v>-1.0700857011504999E-2</v>
      </c>
      <c r="G1970" s="12"/>
      <c r="H1970" s="39" t="s">
        <v>2745</v>
      </c>
      <c r="J1970" s="919">
        <v>40118</v>
      </c>
      <c r="K1970" s="695">
        <v>70.340100000000007</v>
      </c>
      <c r="L1970" s="920">
        <f t="shared" si="48"/>
        <v>-0.29659899999999995</v>
      </c>
      <c r="O1970">
        <v>4.1687316100000003E-2</v>
      </c>
      <c r="P1970">
        <f>A1970/O1970*100</f>
        <v>71.964335454063928</v>
      </c>
    </row>
    <row r="1971" spans="1:16" hidden="1" outlineLevel="1" x14ac:dyDescent="0.25">
      <c r="A1971" s="739">
        <v>0.05</v>
      </c>
      <c r="B1971" s="740" t="s">
        <v>1847</v>
      </c>
      <c r="C1971" s="809">
        <v>49.257999998922237</v>
      </c>
      <c r="D1971" s="737">
        <v>3.96</v>
      </c>
      <c r="E1971" s="742">
        <v>-0.91960696739440007</v>
      </c>
      <c r="F1971" s="946">
        <v>-4.5980348369720009E-2</v>
      </c>
      <c r="G1971" s="12"/>
      <c r="H1971" s="39" t="s">
        <v>2749</v>
      </c>
      <c r="J1971" s="919">
        <v>40148</v>
      </c>
      <c r="K1971" s="695">
        <v>72.722700000000003</v>
      </c>
      <c r="L1971" s="920">
        <f t="shared" si="48"/>
        <v>-0.27277299999999993</v>
      </c>
      <c r="O1971">
        <v>0.1015063543</v>
      </c>
      <c r="P1971">
        <f>A1971/O1971*100</f>
        <v>49.257999998922237</v>
      </c>
    </row>
    <row r="1972" spans="1:16" hidden="1" outlineLevel="1" x14ac:dyDescent="0.25">
      <c r="A1972" s="739">
        <v>0.03</v>
      </c>
      <c r="B1972" s="740" t="s">
        <v>3017</v>
      </c>
      <c r="C1972" s="809">
        <v>19.707000002601323</v>
      </c>
      <c r="D1972" s="737">
        <v>3.3809999999999998</v>
      </c>
      <c r="E1972" s="742">
        <v>-0.82843659615599996</v>
      </c>
      <c r="F1972" s="946">
        <v>-2.4853097884679997E-2</v>
      </c>
      <c r="G1972" s="12"/>
      <c r="H1972" s="39" t="s">
        <v>1793</v>
      </c>
      <c r="J1972" s="919">
        <v>40179</v>
      </c>
      <c r="K1972" s="695">
        <v>70.198999999999998</v>
      </c>
      <c r="L1972" s="920">
        <f t="shared" si="48"/>
        <v>-0.29801</v>
      </c>
      <c r="O1972">
        <v>0.152230172</v>
      </c>
      <c r="P1972">
        <f>A1972/O1972*100</f>
        <v>19.707000002601323</v>
      </c>
    </row>
    <row r="1973" spans="1:16" hidden="1" outlineLevel="1" x14ac:dyDescent="0.25">
      <c r="A1973" s="739">
        <v>0.02</v>
      </c>
      <c r="B1973" s="740" t="s">
        <v>3406</v>
      </c>
      <c r="C1973" s="809">
        <v>881.19999983080982</v>
      </c>
      <c r="D1973" s="737">
        <v>10.55</v>
      </c>
      <c r="E1973" s="742">
        <v>-0.98802768951200004</v>
      </c>
      <c r="F1973" s="946">
        <v>-1.9760553790240002E-2</v>
      </c>
      <c r="G1973" s="12"/>
      <c r="H1973" s="39" t="s">
        <v>2105</v>
      </c>
      <c r="J1973" s="919">
        <v>40210</v>
      </c>
      <c r="K1973" s="695">
        <v>69.865899999999996</v>
      </c>
      <c r="L1973" s="920">
        <f t="shared" si="48"/>
        <v>-0.30134100000000008</v>
      </c>
      <c r="O1973">
        <v>0.22696323199999999</v>
      </c>
      <c r="P1973">
        <f>A1973/O1973*100*100</f>
        <v>881.19999983080982</v>
      </c>
    </row>
    <row r="1974" spans="1:16" hidden="1" outlineLevel="1" x14ac:dyDescent="0.25">
      <c r="A1974" s="739">
        <v>0.03</v>
      </c>
      <c r="B1974" s="740" t="s">
        <v>4387</v>
      </c>
      <c r="C1974" s="809">
        <v>29.653333318150825</v>
      </c>
      <c r="D1974" s="737">
        <v>24.73</v>
      </c>
      <c r="E1974" s="742">
        <v>-0.1660296758319999</v>
      </c>
      <c r="F1974" s="946">
        <v>-4.9808902749599966E-3</v>
      </c>
      <c r="G1974" s="12"/>
      <c r="H1974" s="39" t="s">
        <v>3744</v>
      </c>
      <c r="J1974" s="919">
        <v>40238</v>
      </c>
      <c r="K1974" s="695">
        <v>74.361400000000003</v>
      </c>
      <c r="L1974" s="920">
        <f t="shared" si="48"/>
        <v>-0.256386</v>
      </c>
      <c r="O1974">
        <v>0.1011690648</v>
      </c>
      <c r="P1974">
        <f t="shared" ref="P1974:P1982" si="49">A1974/O1974*100</f>
        <v>29.653333318150825</v>
      </c>
    </row>
    <row r="1975" spans="1:16" hidden="1" outlineLevel="1" x14ac:dyDescent="0.25">
      <c r="A1975" s="739">
        <v>0.05</v>
      </c>
      <c r="B1975" s="740" t="s">
        <v>3798</v>
      </c>
      <c r="C1975" s="809">
        <v>6.0904459814360514</v>
      </c>
      <c r="D1975" s="737">
        <v>3.7374999999999998</v>
      </c>
      <c r="E1975" s="742">
        <v>-0.3863339382055001</v>
      </c>
      <c r="F1975" s="946">
        <v>-1.9316696910275006E-2</v>
      </c>
      <c r="G1975" s="12"/>
      <c r="H1975" s="39" t="s">
        <v>4122</v>
      </c>
      <c r="J1975" s="919">
        <v>40269</v>
      </c>
      <c r="K1975" s="695">
        <v>73.243399999999994</v>
      </c>
      <c r="L1975" s="920">
        <f t="shared" si="48"/>
        <v>-0.26756600000000008</v>
      </c>
      <c r="O1975">
        <v>0.82095794219999996</v>
      </c>
      <c r="P1975">
        <f t="shared" si="49"/>
        <v>6.0904459814360514</v>
      </c>
    </row>
    <row r="1976" spans="1:16" hidden="1" outlineLevel="1" x14ac:dyDescent="0.25">
      <c r="A1976" s="739">
        <v>0.03</v>
      </c>
      <c r="B1976" s="740" t="s">
        <v>3021</v>
      </c>
      <c r="C1976" s="809">
        <v>23.206000007838988</v>
      </c>
      <c r="D1976" s="737">
        <v>15.2</v>
      </c>
      <c r="E1976" s="742">
        <v>-0.3449969837600001</v>
      </c>
      <c r="F1976" s="946">
        <v>-1.0349909512800003E-2</v>
      </c>
      <c r="G1976" s="12"/>
      <c r="H1976" s="39" t="s">
        <v>4124</v>
      </c>
      <c r="J1976" s="919">
        <v>40299</v>
      </c>
      <c r="K1976" s="695">
        <v>67.486099999999993</v>
      </c>
      <c r="L1976" s="920">
        <f t="shared" si="48"/>
        <v>-0.32513900000000007</v>
      </c>
      <c r="O1976">
        <v>0.1292769111</v>
      </c>
      <c r="P1976">
        <f t="shared" si="49"/>
        <v>23.206000007838988</v>
      </c>
    </row>
    <row r="1977" spans="1:16" hidden="1" outlineLevel="1" x14ac:dyDescent="0.25">
      <c r="A1977" s="739">
        <v>0.03</v>
      </c>
      <c r="B1977" s="740" t="s">
        <v>1176</v>
      </c>
      <c r="C1977" s="809">
        <v>23.575818294491729</v>
      </c>
      <c r="D1977" s="737">
        <v>2.0750000000000002</v>
      </c>
      <c r="E1977" s="742">
        <v>-0.91198608786000002</v>
      </c>
      <c r="F1977" s="946">
        <v>-2.73595826358E-2</v>
      </c>
      <c r="G1977" s="12"/>
      <c r="H1977" s="39" t="s">
        <v>1175</v>
      </c>
      <c r="J1977" s="323" t="s">
        <v>2465</v>
      </c>
      <c r="K1977" s="315"/>
      <c r="L1977" s="324">
        <f>AVERAGE(L1965:L1976)</f>
        <v>-0.30222691666666673</v>
      </c>
      <c r="O1977">
        <v>0.12724902960000001</v>
      </c>
      <c r="P1977">
        <f t="shared" si="49"/>
        <v>23.575818294491729</v>
      </c>
    </row>
    <row r="1978" spans="1:16" ht="13.8" hidden="1" outlineLevel="1" thickBot="1" x14ac:dyDescent="0.3">
      <c r="A1978" s="739">
        <v>0.03</v>
      </c>
      <c r="B1978" s="740" t="s">
        <v>2588</v>
      </c>
      <c r="C1978" s="809">
        <v>23.475627371645306</v>
      </c>
      <c r="D1978" s="737">
        <v>6.4850000000000003</v>
      </c>
      <c r="E1978" s="742">
        <v>-0.72375605144283328</v>
      </c>
      <c r="F1978" s="946">
        <v>-2.1712681543284998E-2</v>
      </c>
      <c r="G1978" s="12"/>
      <c r="H1978" s="39" t="s">
        <v>4132</v>
      </c>
      <c r="J1978" s="325" t="s">
        <v>1507</v>
      </c>
      <c r="K1978" s="326"/>
      <c r="L1978" s="327">
        <f>L1977*0.65</f>
        <v>-0.19644749583333337</v>
      </c>
      <c r="O1978">
        <v>0.1277921119</v>
      </c>
      <c r="P1978">
        <f t="shared" si="49"/>
        <v>23.475627371645306</v>
      </c>
    </row>
    <row r="1979" spans="1:16" hidden="1" outlineLevel="1" x14ac:dyDescent="0.25">
      <c r="A1979" s="739">
        <v>0.03</v>
      </c>
      <c r="B1979" s="740" t="s">
        <v>1526</v>
      </c>
      <c r="C1979" s="809">
        <v>84.029999920003434</v>
      </c>
      <c r="D1979" s="737">
        <v>31.885000000000002</v>
      </c>
      <c r="E1979" s="742">
        <v>-0.6205521833826666</v>
      </c>
      <c r="F1979" s="946">
        <v>-1.8616565501479998E-2</v>
      </c>
      <c r="G1979" s="12"/>
      <c r="H1979" s="39" t="s">
        <v>4146</v>
      </c>
      <c r="J1979" s="256"/>
      <c r="O1979">
        <v>3.5701535200000002E-2</v>
      </c>
      <c r="P1979">
        <f t="shared" si="49"/>
        <v>84.029999920003434</v>
      </c>
    </row>
    <row r="1980" spans="1:16" hidden="1" outlineLevel="1" x14ac:dyDescent="0.25">
      <c r="A1980" s="739">
        <v>0.03</v>
      </c>
      <c r="B1980" s="740" t="s">
        <v>1203</v>
      </c>
      <c r="C1980" s="809">
        <v>69.551879397152405</v>
      </c>
      <c r="D1980" s="737">
        <v>64.400000000000006</v>
      </c>
      <c r="E1980" s="742">
        <v>-7.4072468519999823E-2</v>
      </c>
      <c r="F1980" s="946">
        <v>-2.2221740555999946E-3</v>
      </c>
      <c r="G1980" s="12"/>
      <c r="H1980" s="39" t="s">
        <v>79</v>
      </c>
      <c r="J1980" s="31"/>
      <c r="O1980">
        <v>4.3133270100000003E-2</v>
      </c>
      <c r="P1980">
        <f t="shared" si="49"/>
        <v>69.551879397152405</v>
      </c>
    </row>
    <row r="1981" spans="1:16" hidden="1" outlineLevel="1" x14ac:dyDescent="0.25">
      <c r="A1981" s="739">
        <v>0.02</v>
      </c>
      <c r="B1981" s="740" t="s">
        <v>1414</v>
      </c>
      <c r="C1981" s="809">
        <v>23.867000006395163</v>
      </c>
      <c r="D1981" s="737">
        <v>15.23</v>
      </c>
      <c r="E1981" s="742">
        <v>-0.36188042083549998</v>
      </c>
      <c r="F1981" s="946">
        <v>-7.2376084167099994E-3</v>
      </c>
      <c r="G1981" s="12"/>
      <c r="H1981" s="39" t="s">
        <v>2428</v>
      </c>
      <c r="J1981" s="31"/>
      <c r="O1981">
        <v>8.3797712299999993E-2</v>
      </c>
      <c r="P1981">
        <f t="shared" si="49"/>
        <v>23.867000006395163</v>
      </c>
    </row>
    <row r="1982" spans="1:16" hidden="1" outlineLevel="1" x14ac:dyDescent="0.25">
      <c r="A1982" s="739">
        <v>0.03</v>
      </c>
      <c r="B1982" s="740" t="s">
        <v>1653</v>
      </c>
      <c r="C1982" s="809">
        <v>11.363180041568761</v>
      </c>
      <c r="D1982" s="737">
        <v>8.5020000000000007</v>
      </c>
      <c r="E1982" s="742">
        <v>-0.25179395478219979</v>
      </c>
      <c r="F1982" s="946">
        <v>-7.5538186434659935E-3</v>
      </c>
      <c r="G1982" s="12"/>
      <c r="H1982" s="39" t="s">
        <v>285</v>
      </c>
      <c r="J1982" s="31"/>
      <c r="O1982">
        <v>0.26401060170000001</v>
      </c>
      <c r="P1982">
        <f t="shared" si="49"/>
        <v>11.363180041568761</v>
      </c>
    </row>
    <row r="1983" spans="1:16" hidden="1" outlineLevel="1" x14ac:dyDescent="0.25">
      <c r="A1983" s="739">
        <v>0.04</v>
      </c>
      <c r="B1983" s="740" t="s">
        <v>2587</v>
      </c>
      <c r="C1983" s="809">
        <v>493.98683082039076</v>
      </c>
      <c r="D1983" s="737">
        <v>0.46729999999999999</v>
      </c>
      <c r="E1983" s="742">
        <v>-0.99905402336490645</v>
      </c>
      <c r="F1983" s="946">
        <v>-3.9962160934596258E-2</v>
      </c>
      <c r="G1983" s="12"/>
      <c r="H1983" s="39" t="s">
        <v>2818</v>
      </c>
      <c r="J1983" s="31"/>
      <c r="O1983">
        <v>0.80973818539999998</v>
      </c>
      <c r="P1983">
        <f>A1983/O1983*100*100</f>
        <v>493.98683082039076</v>
      </c>
    </row>
    <row r="1984" spans="1:16" hidden="1" outlineLevel="1" x14ac:dyDescent="0.25">
      <c r="A1984" s="739">
        <v>0.03</v>
      </c>
      <c r="B1984" s="740" t="s">
        <v>4460</v>
      </c>
      <c r="C1984" s="809">
        <v>1194.0004752456211</v>
      </c>
      <c r="D1984" s="737">
        <v>1198</v>
      </c>
      <c r="E1984" s="742">
        <v>3.3496843906666296E-3</v>
      </c>
      <c r="F1984" s="946">
        <v>1.0049053171999889E-4</v>
      </c>
      <c r="G1984" s="12"/>
      <c r="H1984" s="39" t="s">
        <v>3485</v>
      </c>
      <c r="J1984" s="31"/>
      <c r="O1984">
        <v>0.2512561814</v>
      </c>
      <c r="P1984">
        <f>A1984/O1984*100*100</f>
        <v>1194.0004752456211</v>
      </c>
    </row>
    <row r="1985" spans="1:16" hidden="1" outlineLevel="1" x14ac:dyDescent="0.25">
      <c r="A1985" s="739">
        <v>0.03</v>
      </c>
      <c r="B1985" s="740" t="s">
        <v>1190</v>
      </c>
      <c r="C1985" s="809">
        <v>16.765000004554491</v>
      </c>
      <c r="D1985" s="737">
        <v>8.3699999999999992</v>
      </c>
      <c r="E1985" s="742">
        <v>-0.50074560108999999</v>
      </c>
      <c r="F1985" s="946">
        <v>-1.5022368032699998E-2</v>
      </c>
      <c r="G1985" s="12"/>
      <c r="H1985" s="39" t="s">
        <v>7569</v>
      </c>
      <c r="J1985" s="31"/>
      <c r="O1985">
        <v>0.17894422900000001</v>
      </c>
      <c r="P1985">
        <f t="shared" ref="P1985:P1992" si="50">A1985/O1985*100</f>
        <v>16.765000004554491</v>
      </c>
    </row>
    <row r="1986" spans="1:16" hidden="1" outlineLevel="1" x14ac:dyDescent="0.25">
      <c r="A1986" s="739">
        <v>0.04</v>
      </c>
      <c r="B1986" s="740" t="s">
        <v>3801</v>
      </c>
      <c r="C1986" s="809">
        <v>65.319000049848199</v>
      </c>
      <c r="D1986" s="737">
        <v>58.34</v>
      </c>
      <c r="E1986" s="742">
        <v>-0.10684486970899998</v>
      </c>
      <c r="F1986" s="946">
        <v>-4.2737947883599988E-3</v>
      </c>
      <c r="G1986" s="12"/>
      <c r="H1986" s="39" t="s">
        <v>2819</v>
      </c>
      <c r="J1986" s="31"/>
      <c r="O1986">
        <v>6.12379246E-2</v>
      </c>
      <c r="P1986">
        <f t="shared" si="50"/>
        <v>65.319000049848199</v>
      </c>
    </row>
    <row r="1987" spans="1:16" hidden="1" outlineLevel="1" x14ac:dyDescent="0.25">
      <c r="A1987" s="739">
        <v>0.03</v>
      </c>
      <c r="B1987" s="740" t="s">
        <v>1527</v>
      </c>
      <c r="C1987" s="809">
        <v>2.1616000000302047</v>
      </c>
      <c r="D1987" s="737">
        <v>0.95150000000000001</v>
      </c>
      <c r="E1987" s="742">
        <v>-0.55981680237476672</v>
      </c>
      <c r="F1987" s="946">
        <v>-1.6794504071242999E-2</v>
      </c>
      <c r="G1987" s="12"/>
      <c r="H1987" s="39" t="s">
        <v>2803</v>
      </c>
      <c r="J1987" s="31"/>
      <c r="O1987">
        <v>1.3878608438</v>
      </c>
      <c r="P1987">
        <f t="shared" si="50"/>
        <v>2.1616000000302047</v>
      </c>
    </row>
    <row r="1988" spans="1:16" hidden="1" outlineLevel="1" x14ac:dyDescent="0.25">
      <c r="A1988" s="739">
        <v>0.04</v>
      </c>
      <c r="B1988" s="740" t="s">
        <v>577</v>
      </c>
      <c r="C1988" s="809">
        <v>12.434000001599014</v>
      </c>
      <c r="D1988" s="737">
        <v>15.565</v>
      </c>
      <c r="E1988" s="742">
        <v>0.25180955428649976</v>
      </c>
      <c r="F1988" s="946">
        <v>1.007238217145999E-2</v>
      </c>
      <c r="G1988" s="12"/>
      <c r="H1988" s="39" t="s">
        <v>2804</v>
      </c>
      <c r="J1988" s="31"/>
      <c r="O1988">
        <v>0.3216985684</v>
      </c>
      <c r="P1988">
        <f t="shared" si="50"/>
        <v>12.434000001599014</v>
      </c>
    </row>
    <row r="1989" spans="1:16" hidden="1" outlineLevel="1" x14ac:dyDescent="0.25">
      <c r="A1989" s="739">
        <v>0.04</v>
      </c>
      <c r="B1989" s="740" t="s">
        <v>3551</v>
      </c>
      <c r="C1989" s="809">
        <v>6062.0003206798174</v>
      </c>
      <c r="D1989" s="737">
        <v>3280</v>
      </c>
      <c r="E1989" s="742">
        <v>-0.45892447600000008</v>
      </c>
      <c r="F1989" s="946">
        <v>-1.8356979040000002E-2</v>
      </c>
      <c r="G1989" s="12"/>
      <c r="H1989" s="39" t="s">
        <v>2806</v>
      </c>
      <c r="J1989" s="31"/>
      <c r="O1989">
        <v>6.5984819999999995E-4</v>
      </c>
      <c r="P1989">
        <f t="shared" si="50"/>
        <v>6062.0003206798174</v>
      </c>
    </row>
    <row r="1990" spans="1:16" hidden="1" outlineLevel="1" x14ac:dyDescent="0.25">
      <c r="A1990" s="739">
        <v>0.03</v>
      </c>
      <c r="B1990" s="740" t="s">
        <v>576</v>
      </c>
      <c r="C1990" s="809">
        <v>15.840999996707714</v>
      </c>
      <c r="D1990" s="737">
        <v>7.4</v>
      </c>
      <c r="E1990" s="742">
        <v>-0.53285777403333334</v>
      </c>
      <c r="F1990" s="946">
        <v>-1.5985733220999998E-2</v>
      </c>
      <c r="G1990" s="12"/>
      <c r="H1990" s="39" t="s">
        <v>2080</v>
      </c>
      <c r="J1990" s="31"/>
      <c r="O1990">
        <v>0.18938198349999999</v>
      </c>
      <c r="P1990">
        <f t="shared" si="50"/>
        <v>15.840999996707714</v>
      </c>
    </row>
    <row r="1991" spans="1:16" hidden="1" outlineLevel="1" x14ac:dyDescent="0.25">
      <c r="A1991" s="739">
        <v>0.03</v>
      </c>
      <c r="B1991" s="740" t="s">
        <v>507</v>
      </c>
      <c r="C1991" s="809">
        <v>17.382129697014513</v>
      </c>
      <c r="D1991" s="737">
        <v>22.35</v>
      </c>
      <c r="E1991" s="742">
        <v>0.28580331579500018</v>
      </c>
      <c r="F1991" s="946">
        <v>8.5740994738500043E-3</v>
      </c>
      <c r="G1991" s="12"/>
      <c r="H1991" s="39" t="s">
        <v>2810</v>
      </c>
      <c r="J1991" s="31"/>
      <c r="O1991">
        <v>0.1725910491</v>
      </c>
      <c r="P1991">
        <f t="shared" si="50"/>
        <v>17.382129697014513</v>
      </c>
    </row>
    <row r="1992" spans="1:16" hidden="1" outlineLevel="1" x14ac:dyDescent="0.25">
      <c r="A1992" s="745">
        <v>0.03</v>
      </c>
      <c r="B1992" s="746" t="s">
        <v>580</v>
      </c>
      <c r="C1992" s="810">
        <v>67.600159522856444</v>
      </c>
      <c r="D1992" s="715">
        <v>81.08</v>
      </c>
      <c r="E1992" s="748">
        <v>0.19940545365999984</v>
      </c>
      <c r="F1992" s="1023">
        <v>5.9821636097999948E-3</v>
      </c>
      <c r="G1992" s="12"/>
      <c r="H1992" s="39" t="s">
        <v>3612</v>
      </c>
      <c r="J1992" s="31"/>
      <c r="O1992">
        <v>4.4378593500000001E-2</v>
      </c>
      <c r="P1992">
        <f t="shared" si="50"/>
        <v>67.600159522856444</v>
      </c>
    </row>
    <row r="1993" spans="1:16" hidden="1" outlineLevel="1" x14ac:dyDescent="0.25">
      <c r="A1993" s="749"/>
      <c r="B1993" s="750"/>
      <c r="C1993" s="727"/>
      <c r="D1993" s="727"/>
      <c r="E1993" s="716"/>
      <c r="F1993" s="770">
        <v>-0.32728841773987122</v>
      </c>
      <c r="G1993" s="12"/>
      <c r="H1993" s="39"/>
      <c r="J1993" s="31"/>
    </row>
    <row r="1994" spans="1:16" collapsed="1" x14ac:dyDescent="0.25">
      <c r="A1994" s="3801" t="s">
        <v>3322</v>
      </c>
      <c r="B1994" s="3802"/>
      <c r="C1994" s="3802"/>
      <c r="D1994" s="3802"/>
      <c r="E1994" s="721"/>
      <c r="F1994" s="722">
        <v>0</v>
      </c>
      <c r="G1994" s="97" t="s">
        <v>781</v>
      </c>
      <c r="H1994" s="39"/>
      <c r="J1994" s="31"/>
    </row>
    <row r="1995" spans="1:16" x14ac:dyDescent="0.25">
      <c r="A1995" s="1"/>
      <c r="B1995" s="1"/>
      <c r="C1995" s="1"/>
      <c r="D1995" s="1"/>
      <c r="E1995" s="1"/>
      <c r="F1995" s="1848"/>
      <c r="G1995" s="78"/>
      <c r="J1995" s="31"/>
    </row>
    <row r="1996" spans="1:16" hidden="1" outlineLevel="1" x14ac:dyDescent="0.25">
      <c r="A1996" s="689" t="s">
        <v>113</v>
      </c>
      <c r="B1996" s="689" t="s">
        <v>114</v>
      </c>
      <c r="C1996" s="689" t="s">
        <v>112</v>
      </c>
      <c r="D1996" s="689" t="s">
        <v>116</v>
      </c>
      <c r="E1996" s="689" t="s">
        <v>117</v>
      </c>
      <c r="F1996" s="1188" t="s">
        <v>121</v>
      </c>
      <c r="G1996" s="78"/>
      <c r="J1996" s="31"/>
    </row>
    <row r="1997" spans="1:16" hidden="1" outlineLevel="1" x14ac:dyDescent="0.25">
      <c r="A1997" s="690">
        <v>1</v>
      </c>
      <c r="B1997" s="691" t="s">
        <v>252</v>
      </c>
      <c r="C1997" s="692">
        <v>100</v>
      </c>
      <c r="D1997" s="692"/>
      <c r="E1997" s="693"/>
      <c r="F1997" s="694"/>
      <c r="G1997" s="78"/>
      <c r="J1997" s="31"/>
    </row>
    <row r="1998" spans="1:16" hidden="1" outlineLevel="1" x14ac:dyDescent="0.25">
      <c r="A1998" s="695"/>
      <c r="B1998" s="695"/>
      <c r="C1998" s="696"/>
      <c r="D1998" s="697" t="s">
        <v>3702</v>
      </c>
      <c r="E1998" s="698">
        <v>40694</v>
      </c>
      <c r="F1998" s="699"/>
      <c r="G1998" s="78"/>
      <c r="J1998" s="31"/>
    </row>
    <row r="1999" spans="1:16" hidden="1" outlineLevel="1" x14ac:dyDescent="0.25">
      <c r="A1999" s="689" t="s">
        <v>4156</v>
      </c>
      <c r="B1999" s="689" t="s">
        <v>4153</v>
      </c>
      <c r="C1999" s="700" t="s">
        <v>112</v>
      </c>
      <c r="D1999" s="689" t="s">
        <v>116</v>
      </c>
      <c r="E1999" s="689" t="s">
        <v>4154</v>
      </c>
      <c r="F1999" s="1021" t="s">
        <v>2519</v>
      </c>
      <c r="G1999" s="78"/>
      <c r="J1999" s="31"/>
    </row>
    <row r="2000" spans="1:16" hidden="1" outlineLevel="1" x14ac:dyDescent="0.25">
      <c r="A2000" s="734">
        <v>0.05</v>
      </c>
      <c r="B2000" s="735" t="s">
        <v>157</v>
      </c>
      <c r="C2000" s="807">
        <v>7.5491602052382829</v>
      </c>
      <c r="D2000" s="803">
        <v>8.2639999999999993</v>
      </c>
      <c r="E2000" s="705">
        <v>9.4691300135039791E-2</v>
      </c>
      <c r="F2000" s="1021">
        <v>4.7345650067519901E-3</v>
      </c>
      <c r="G2000" s="78"/>
      <c r="H2000" t="s">
        <v>730</v>
      </c>
      <c r="I2000" s="106"/>
      <c r="J2000" s="31"/>
    </row>
    <row r="2001" spans="1:12" hidden="1" outlineLevel="1" x14ac:dyDescent="0.25">
      <c r="A2001" s="739">
        <v>0.03</v>
      </c>
      <c r="B2001" s="740" t="s">
        <v>1993</v>
      </c>
      <c r="C2001" s="809">
        <v>53.997799999999998</v>
      </c>
      <c r="D2001" s="908">
        <v>99.81</v>
      </c>
      <c r="E2001" s="709">
        <v>0.84840863887047258</v>
      </c>
      <c r="F2001" s="946">
        <v>2.5452259166114176E-2</v>
      </c>
      <c r="G2001" s="78"/>
      <c r="H2001" t="s">
        <v>2812</v>
      </c>
      <c r="I2001" s="39" t="s">
        <v>3533</v>
      </c>
      <c r="J2001" s="31" t="s">
        <v>2040</v>
      </c>
    </row>
    <row r="2002" spans="1:12" hidden="1" outlineLevel="1" x14ac:dyDescent="0.25">
      <c r="A2002" s="739">
        <v>0.04</v>
      </c>
      <c r="B2002" s="740" t="s">
        <v>3407</v>
      </c>
      <c r="C2002" s="809">
        <v>34.400999988220235</v>
      </c>
      <c r="D2002" s="908">
        <v>19.64</v>
      </c>
      <c r="E2002" s="709">
        <v>-0.4290863635729999</v>
      </c>
      <c r="F2002" s="946">
        <v>-1.7163454542919995E-2</v>
      </c>
      <c r="G2002" s="78"/>
      <c r="H2002" t="s">
        <v>4127</v>
      </c>
      <c r="J2002" s="256">
        <v>39965</v>
      </c>
      <c r="K2002">
        <v>60.909100000000002</v>
      </c>
      <c r="L2002" s="37">
        <v>-0.39090899999999995</v>
      </c>
    </row>
    <row r="2003" spans="1:12" hidden="1" outlineLevel="1" x14ac:dyDescent="0.25">
      <c r="A2003" s="739">
        <v>0.05</v>
      </c>
      <c r="B2003" s="740" t="s">
        <v>1994</v>
      </c>
      <c r="C2003" s="809">
        <v>48.850000020468151</v>
      </c>
      <c r="D2003" s="908">
        <v>11.75</v>
      </c>
      <c r="E2003" s="709">
        <v>-0.75946775854500004</v>
      </c>
      <c r="F2003" s="946">
        <v>-3.7973387927250003E-2</v>
      </c>
      <c r="G2003" s="78"/>
      <c r="H2003" t="s">
        <v>3493</v>
      </c>
      <c r="J2003" s="256">
        <v>39995</v>
      </c>
      <c r="K2003">
        <v>65.866299999999995</v>
      </c>
      <c r="L2003" s="37">
        <v>-0.341337</v>
      </c>
    </row>
    <row r="2004" spans="1:12" hidden="1" outlineLevel="1" x14ac:dyDescent="0.25">
      <c r="A2004" s="739">
        <v>0.02</v>
      </c>
      <c r="B2004" s="740" t="s">
        <v>873</v>
      </c>
      <c r="C2004" s="809">
        <v>595</v>
      </c>
      <c r="D2004" s="908">
        <v>276.64999999999998</v>
      </c>
      <c r="E2004" s="709">
        <v>-0.5350420168067227</v>
      </c>
      <c r="F2004" s="946">
        <v>-1.0700840336134455E-2</v>
      </c>
      <c r="G2004" s="78"/>
      <c r="H2004" t="s">
        <v>3495</v>
      </c>
      <c r="J2004" s="256">
        <v>40026</v>
      </c>
      <c r="K2004">
        <v>70.245999999999995</v>
      </c>
      <c r="L2004" s="37">
        <v>-0.29754000000000003</v>
      </c>
    </row>
    <row r="2005" spans="1:12" hidden="1" outlineLevel="1" x14ac:dyDescent="0.25">
      <c r="A2005" s="739">
        <v>0.03</v>
      </c>
      <c r="B2005" s="740" t="s">
        <v>1184</v>
      </c>
      <c r="C2005" s="809">
        <v>31.718999975125961</v>
      </c>
      <c r="D2005" s="908">
        <v>64.260000000000005</v>
      </c>
      <c r="E2005" s="709">
        <v>1.0259150682680001</v>
      </c>
      <c r="F2005" s="946">
        <v>3.0777452048039999E-2</v>
      </c>
      <c r="G2005" s="78"/>
      <c r="H2005" t="s">
        <v>3497</v>
      </c>
      <c r="J2005" s="256">
        <v>40057</v>
      </c>
      <c r="K2005">
        <v>71.642899999999997</v>
      </c>
      <c r="L2005" s="37">
        <v>-0.28357100000000002</v>
      </c>
    </row>
    <row r="2006" spans="1:12" hidden="1" outlineLevel="1" x14ac:dyDescent="0.25">
      <c r="A2006" s="739">
        <v>0.03</v>
      </c>
      <c r="B2006" s="740" t="s">
        <v>2160</v>
      </c>
      <c r="C2006" s="809">
        <v>32.65700000525451</v>
      </c>
      <c r="D2006" s="908">
        <v>34.97</v>
      </c>
      <c r="E2006" s="709">
        <v>7.0827081310999906E-2</v>
      </c>
      <c r="F2006" s="946">
        <v>2.1248124393299971E-3</v>
      </c>
      <c r="G2006" s="78"/>
      <c r="H2006" t="s">
        <v>5507</v>
      </c>
      <c r="J2006" s="256">
        <v>40087</v>
      </c>
      <c r="K2006">
        <v>69.505700000000004</v>
      </c>
      <c r="L2006" s="37">
        <v>-0.30494299999999996</v>
      </c>
    </row>
    <row r="2007" spans="1:12" hidden="1" outlineLevel="1" x14ac:dyDescent="0.25">
      <c r="A2007" s="739">
        <v>0.03</v>
      </c>
      <c r="B2007" s="740" t="s">
        <v>3019</v>
      </c>
      <c r="C2007" s="809">
        <v>71.497823369122187</v>
      </c>
      <c r="D2007" s="908">
        <v>54.22</v>
      </c>
      <c r="E2007" s="709">
        <v>-0.24165523585133331</v>
      </c>
      <c r="F2007" s="946">
        <v>-7.2496570755399992E-3</v>
      </c>
      <c r="G2007" s="78"/>
      <c r="H2007" t="s">
        <v>2745</v>
      </c>
      <c r="J2007" s="256">
        <v>40118</v>
      </c>
      <c r="K2007">
        <v>70.134299999999996</v>
      </c>
      <c r="L2007" s="37">
        <v>-0.29865700000000006</v>
      </c>
    </row>
    <row r="2008" spans="1:12" hidden="1" outlineLevel="1" x14ac:dyDescent="0.25">
      <c r="A2008" s="739">
        <v>0.05</v>
      </c>
      <c r="B2008" s="740" t="s">
        <v>1847</v>
      </c>
      <c r="C2008" s="809">
        <v>496.20999765888126</v>
      </c>
      <c r="D2008" s="908">
        <v>41.15</v>
      </c>
      <c r="E2008" s="709">
        <v>-0.91707140083000005</v>
      </c>
      <c r="F2008" s="946">
        <v>-4.5853570041500008E-2</v>
      </c>
      <c r="G2008" s="78"/>
      <c r="H2008" t="s">
        <v>2749</v>
      </c>
      <c r="J2008" s="256">
        <v>40148</v>
      </c>
      <c r="K2008">
        <v>72.507300000000001</v>
      </c>
      <c r="L2008" s="37">
        <v>-0.27492700000000003</v>
      </c>
    </row>
    <row r="2009" spans="1:12" hidden="1" outlineLevel="1" x14ac:dyDescent="0.25">
      <c r="A2009" s="739">
        <v>0.03</v>
      </c>
      <c r="B2009" s="740" t="s">
        <v>3017</v>
      </c>
      <c r="C2009" s="809">
        <v>19.180999994989921</v>
      </c>
      <c r="D2009" s="908">
        <v>2.4249999999999998</v>
      </c>
      <c r="E2009" s="709">
        <v>-0.87357280639000001</v>
      </c>
      <c r="F2009" s="946">
        <v>-2.6207184191700001E-2</v>
      </c>
      <c r="G2009" s="78"/>
      <c r="H2009" t="s">
        <v>1793</v>
      </c>
      <c r="J2009" s="256">
        <v>40179</v>
      </c>
      <c r="K2009">
        <v>69.996300000000005</v>
      </c>
      <c r="L2009" s="37">
        <v>-0.300037</v>
      </c>
    </row>
    <row r="2010" spans="1:12" hidden="1" outlineLevel="1" x14ac:dyDescent="0.25">
      <c r="A2010" s="739">
        <v>0.02</v>
      </c>
      <c r="B2010" s="740" t="s">
        <v>3406</v>
      </c>
      <c r="C2010" s="809">
        <v>891.4</v>
      </c>
      <c r="D2010" s="908">
        <v>1294</v>
      </c>
      <c r="E2010" s="709">
        <v>0.45164909131702946</v>
      </c>
      <c r="F2010" s="946">
        <v>9.0329818263405887E-3</v>
      </c>
      <c r="G2010" s="78"/>
      <c r="H2010" t="s">
        <v>2105</v>
      </c>
      <c r="J2010" s="256">
        <v>40210</v>
      </c>
      <c r="K2010">
        <v>69.658000000000001</v>
      </c>
      <c r="L2010" s="37">
        <v>-0.30342000000000002</v>
      </c>
    </row>
    <row r="2011" spans="1:12" hidden="1" outlineLevel="1" x14ac:dyDescent="0.25">
      <c r="A2011" s="739">
        <v>0.03</v>
      </c>
      <c r="B2011" s="740" t="s">
        <v>4387</v>
      </c>
      <c r="C2011" s="809">
        <v>29.7030000000297</v>
      </c>
      <c r="D2011" s="908">
        <v>19.734999999999999</v>
      </c>
      <c r="E2011" s="709">
        <v>-0.33558899774499995</v>
      </c>
      <c r="F2011" s="946">
        <v>-1.0067669932349999E-2</v>
      </c>
      <c r="G2011" s="78"/>
      <c r="H2011" t="s">
        <v>3744</v>
      </c>
      <c r="J2011" s="256">
        <v>40238</v>
      </c>
      <c r="K2011">
        <v>74.153099999999995</v>
      </c>
      <c r="L2011" s="37">
        <v>-0.25846900000000006</v>
      </c>
    </row>
    <row r="2012" spans="1:12" hidden="1" outlineLevel="1" x14ac:dyDescent="0.25">
      <c r="A2012" s="739">
        <v>0.05</v>
      </c>
      <c r="B2012" s="740" t="s">
        <v>3798</v>
      </c>
      <c r="C2012" s="809">
        <v>6.1558531331949986</v>
      </c>
      <c r="D2012" s="908">
        <v>4.774</v>
      </c>
      <c r="E2012" s="709">
        <v>-0.22447792422848012</v>
      </c>
      <c r="F2012" s="946">
        <v>-1.1223896211424007E-2</v>
      </c>
      <c r="G2012" s="78"/>
      <c r="H2012" t="s">
        <v>4122</v>
      </c>
      <c r="J2012" s="256">
        <v>40269</v>
      </c>
      <c r="K2012">
        <v>73.038499999999999</v>
      </c>
      <c r="L2012" s="37">
        <v>-0.26961500000000005</v>
      </c>
    </row>
    <row r="2013" spans="1:12" hidden="1" outlineLevel="1" x14ac:dyDescent="0.25">
      <c r="A2013" s="739">
        <v>0.03</v>
      </c>
      <c r="B2013" s="740" t="s">
        <v>3021</v>
      </c>
      <c r="C2013" s="809">
        <v>23.338000005000552</v>
      </c>
      <c r="D2013" s="908">
        <v>16.66</v>
      </c>
      <c r="E2013" s="709">
        <v>-0.28614277159866652</v>
      </c>
      <c r="F2013" s="946">
        <v>-8.5842831479599948E-3</v>
      </c>
      <c r="G2013" s="78"/>
      <c r="H2013" t="s">
        <v>4124</v>
      </c>
      <c r="J2013" s="256">
        <v>40299</v>
      </c>
      <c r="K2013">
        <v>67.2881</v>
      </c>
      <c r="L2013" s="37">
        <v>-0.32711900000000005</v>
      </c>
    </row>
    <row r="2014" spans="1:12" hidden="1" outlineLevel="1" x14ac:dyDescent="0.25">
      <c r="A2014" s="739">
        <v>0.03</v>
      </c>
      <c r="B2014" s="740" t="s">
        <v>1176</v>
      </c>
      <c r="C2014" s="809">
        <v>23.342253466565062</v>
      </c>
      <c r="D2014" s="908">
        <v>1.919</v>
      </c>
      <c r="E2014" s="709">
        <v>-0.91778857158119997</v>
      </c>
      <c r="F2014" s="946">
        <v>-2.7533657147435997E-2</v>
      </c>
      <c r="G2014" s="78"/>
      <c r="H2014" t="s">
        <v>3090</v>
      </c>
      <c r="J2014" s="256">
        <v>40330</v>
      </c>
      <c r="K2014">
        <v>66.146500000000003</v>
      </c>
      <c r="L2014" s="37">
        <v>-0.33853499999999992</v>
      </c>
    </row>
    <row r="2015" spans="1:12" hidden="1" outlineLevel="1" x14ac:dyDescent="0.25">
      <c r="A2015" s="739">
        <v>0.03</v>
      </c>
      <c r="B2015" s="740" t="s">
        <v>2588</v>
      </c>
      <c r="C2015" s="809">
        <v>23.249870637719773</v>
      </c>
      <c r="D2015" s="908">
        <v>8.3789999999999996</v>
      </c>
      <c r="E2015" s="709">
        <v>-0.63961089803200011</v>
      </c>
      <c r="F2015" s="946">
        <v>-1.9188326940960003E-2</v>
      </c>
      <c r="G2015" s="78"/>
      <c r="H2015" t="s">
        <v>4132</v>
      </c>
      <c r="J2015" s="256">
        <v>40360</v>
      </c>
      <c r="K2015">
        <v>71.044399999999996</v>
      </c>
      <c r="L2015" s="37">
        <v>-0.28955600000000004</v>
      </c>
    </row>
    <row r="2016" spans="1:12" hidden="1" outlineLevel="1" x14ac:dyDescent="0.25">
      <c r="A2016" s="739">
        <v>0.03</v>
      </c>
      <c r="B2016" s="740" t="s">
        <v>1526</v>
      </c>
      <c r="C2016" s="809">
        <v>83.914999945539165</v>
      </c>
      <c r="D2016" s="908">
        <v>29.39</v>
      </c>
      <c r="E2016" s="709">
        <v>-0.64976464256599997</v>
      </c>
      <c r="F2016" s="946">
        <v>-1.9492939276979999E-2</v>
      </c>
      <c r="G2016" s="78"/>
      <c r="H2016" t="s">
        <v>4146</v>
      </c>
      <c r="J2016" s="256">
        <v>40391</v>
      </c>
      <c r="K2016">
        <v>68.326700000000002</v>
      </c>
      <c r="L2016" s="37">
        <v>-0.31673299999999993</v>
      </c>
    </row>
    <row r="2017" spans="1:12" hidden="1" outlineLevel="1" x14ac:dyDescent="0.25">
      <c r="A2017" s="739">
        <v>0.03</v>
      </c>
      <c r="B2017" s="740" t="s">
        <v>1203</v>
      </c>
      <c r="C2017" s="809">
        <v>69.032537361254867</v>
      </c>
      <c r="D2017" s="908">
        <v>72.400000000000006</v>
      </c>
      <c r="E2017" s="709">
        <v>4.8780803480000134E-2</v>
      </c>
      <c r="F2017" s="946">
        <v>1.4634241044000039E-3</v>
      </c>
      <c r="G2017" s="78"/>
      <c r="H2017" t="s">
        <v>79</v>
      </c>
      <c r="J2017" s="256">
        <v>40422</v>
      </c>
      <c r="K2017">
        <v>71.327100000000002</v>
      </c>
      <c r="L2017" s="37">
        <v>-0.28672900000000001</v>
      </c>
    </row>
    <row r="2018" spans="1:12" hidden="1" outlineLevel="1" x14ac:dyDescent="0.25">
      <c r="A2018" s="739">
        <v>0.02</v>
      </c>
      <c r="B2018" s="740" t="s">
        <v>1414</v>
      </c>
      <c r="C2018" s="809">
        <v>23.873000013461986</v>
      </c>
      <c r="D2018" s="908">
        <v>21.45</v>
      </c>
      <c r="E2018" s="709">
        <v>-0.10149541373500004</v>
      </c>
      <c r="F2018" s="946">
        <v>-2.029908274700001E-3</v>
      </c>
      <c r="G2018" s="78"/>
      <c r="H2018" t="s">
        <v>2428</v>
      </c>
      <c r="J2018" s="256">
        <v>40452</v>
      </c>
      <c r="K2018">
        <v>72.693899999999999</v>
      </c>
      <c r="L2018" s="37">
        <v>-0.273061</v>
      </c>
    </row>
    <row r="2019" spans="1:12" hidden="1" outlineLevel="1" x14ac:dyDescent="0.25">
      <c r="A2019" s="739">
        <v>0.03</v>
      </c>
      <c r="B2019" s="740" t="s">
        <v>1653</v>
      </c>
      <c r="C2019" s="809">
        <v>11.46045551602073</v>
      </c>
      <c r="D2019" s="908">
        <v>9.3439999999999994</v>
      </c>
      <c r="E2019" s="709">
        <v>-0.18467464168960024</v>
      </c>
      <c r="F2019" s="946">
        <v>-5.5402392506880066E-3</v>
      </c>
      <c r="G2019" s="78"/>
      <c r="H2019" t="s">
        <v>285</v>
      </c>
      <c r="J2019" s="256">
        <v>40483</v>
      </c>
      <c r="K2019">
        <v>69.233000000000004</v>
      </c>
      <c r="L2019" s="37">
        <v>-0.30767</v>
      </c>
    </row>
    <row r="2020" spans="1:12" hidden="1" outlineLevel="1" x14ac:dyDescent="0.25">
      <c r="A2020" s="739">
        <v>0.04</v>
      </c>
      <c r="B2020" s="740" t="s">
        <v>2587</v>
      </c>
      <c r="C2020" s="809">
        <v>499.4</v>
      </c>
      <c r="D2020" s="908">
        <v>42.6</v>
      </c>
      <c r="E2020" s="709">
        <v>-0.91469763716459751</v>
      </c>
      <c r="F2020" s="946">
        <v>-3.6587905486583902E-2</v>
      </c>
      <c r="G2020" s="78"/>
      <c r="H2020" t="s">
        <v>2818</v>
      </c>
      <c r="J2020" s="256">
        <v>40513</v>
      </c>
      <c r="K2020">
        <v>73.414599999999993</v>
      </c>
      <c r="L2020" s="37">
        <v>-0.26585400000000003</v>
      </c>
    </row>
    <row r="2021" spans="1:12" hidden="1" outlineLevel="1" x14ac:dyDescent="0.25">
      <c r="A2021" s="739">
        <v>0.03</v>
      </c>
      <c r="B2021" s="740" t="s">
        <v>4460</v>
      </c>
      <c r="C2021" s="809">
        <v>1223</v>
      </c>
      <c r="D2021" s="908">
        <v>1514</v>
      </c>
      <c r="E2021" s="709">
        <v>0.23793949304987727</v>
      </c>
      <c r="F2021" s="946">
        <v>7.1381847914963178E-3</v>
      </c>
      <c r="G2021" s="78"/>
      <c r="H2021" t="s">
        <v>3485</v>
      </c>
      <c r="J2021" s="256">
        <v>40544</v>
      </c>
      <c r="K2021">
        <v>75.462599999999995</v>
      </c>
      <c r="L2021" s="37">
        <v>-0.24537400000000009</v>
      </c>
    </row>
    <row r="2022" spans="1:12" hidden="1" outlineLevel="1" x14ac:dyDescent="0.25">
      <c r="A2022" s="739">
        <v>0.03</v>
      </c>
      <c r="B2022" s="740" t="s">
        <v>1190</v>
      </c>
      <c r="C2022" s="809">
        <v>16.617000004572997</v>
      </c>
      <c r="D2022" s="908">
        <v>4.75</v>
      </c>
      <c r="E2022" s="709">
        <v>-0.71414816160000005</v>
      </c>
      <c r="F2022" s="946">
        <v>-2.1424444848000001E-2</v>
      </c>
      <c r="G2022" s="78"/>
      <c r="H2022" t="s">
        <v>7569</v>
      </c>
      <c r="J2022" s="256">
        <v>40575</v>
      </c>
      <c r="K2022">
        <v>76.906700000000001</v>
      </c>
      <c r="L2022" s="37">
        <v>-0.23093299999999994</v>
      </c>
    </row>
    <row r="2023" spans="1:12" hidden="1" outlineLevel="1" x14ac:dyDescent="0.25">
      <c r="A2023" s="739">
        <v>0.04</v>
      </c>
      <c r="B2023" s="740" t="s">
        <v>3801</v>
      </c>
      <c r="C2023" s="809">
        <v>65.570999955814983</v>
      </c>
      <c r="D2023" s="908">
        <v>40.53</v>
      </c>
      <c r="E2023" s="709">
        <v>-0.3818913844945</v>
      </c>
      <c r="F2023" s="946">
        <v>-1.527565537978E-2</v>
      </c>
      <c r="G2023" s="78"/>
      <c r="H2023" t="s">
        <v>2819</v>
      </c>
      <c r="J2023" s="256">
        <v>40603</v>
      </c>
      <c r="K2023">
        <v>74.356300000000005</v>
      </c>
      <c r="L2023" s="37">
        <v>-0.25643699999999992</v>
      </c>
    </row>
    <row r="2024" spans="1:12" hidden="1" outlineLevel="1" x14ac:dyDescent="0.25">
      <c r="A2024" s="739">
        <v>0.03</v>
      </c>
      <c r="B2024" s="740" t="s">
        <v>1527</v>
      </c>
      <c r="C2024" s="809">
        <v>2.1867000000644858</v>
      </c>
      <c r="D2024" s="908">
        <v>0.98550000000000004</v>
      </c>
      <c r="E2024" s="709">
        <v>-0.54932089451184996</v>
      </c>
      <c r="F2024" s="946">
        <v>-1.6479626835355497E-2</v>
      </c>
      <c r="G2024" s="78"/>
      <c r="H2024" t="s">
        <v>2803</v>
      </c>
      <c r="J2024" s="256">
        <v>40634</v>
      </c>
      <c r="K2024">
        <v>77.026499999999999</v>
      </c>
      <c r="L2024" s="37">
        <v>-0.22973500000000002</v>
      </c>
    </row>
    <row r="2025" spans="1:12" hidden="1" outlineLevel="1" x14ac:dyDescent="0.25">
      <c r="A2025" s="739">
        <v>0.04</v>
      </c>
      <c r="B2025" s="740" t="s">
        <v>577</v>
      </c>
      <c r="C2025" s="809">
        <v>12.669999998172354</v>
      </c>
      <c r="D2025" s="908">
        <v>16.875</v>
      </c>
      <c r="E2025" s="709">
        <v>0.33188634589062471</v>
      </c>
      <c r="F2025" s="946">
        <v>1.3275453835624989E-2</v>
      </c>
      <c r="G2025" s="78"/>
      <c r="H2025" t="s">
        <v>2804</v>
      </c>
      <c r="J2025" s="256">
        <v>40664</v>
      </c>
      <c r="K2025">
        <v>75.147099999999995</v>
      </c>
      <c r="L2025" s="37">
        <v>-0.248529</v>
      </c>
    </row>
    <row r="2026" spans="1:12" hidden="1" outlineLevel="1" x14ac:dyDescent="0.25">
      <c r="A2026" s="739">
        <v>0.04</v>
      </c>
      <c r="B2026" s="740" t="s">
        <v>3551</v>
      </c>
      <c r="C2026" s="809">
        <v>6042.9998720394779</v>
      </c>
      <c r="D2026" s="908">
        <v>3400</v>
      </c>
      <c r="E2026" s="709">
        <v>-0.43736553499999997</v>
      </c>
      <c r="F2026" s="946">
        <v>-1.74946214E-2</v>
      </c>
      <c r="G2026" s="78"/>
      <c r="H2026" t="s">
        <v>2806</v>
      </c>
      <c r="J2026" s="264" t="s">
        <v>2465</v>
      </c>
      <c r="K2026" s="256"/>
      <c r="L2026" s="261">
        <v>-0.28915375000000004</v>
      </c>
    </row>
    <row r="2027" spans="1:12" hidden="1" outlineLevel="1" x14ac:dyDescent="0.25">
      <c r="A2027" s="739">
        <v>0.03</v>
      </c>
      <c r="B2027" s="740" t="s">
        <v>576</v>
      </c>
      <c r="C2027" s="809">
        <v>15.853999998232807</v>
      </c>
      <c r="D2027" s="908">
        <v>7.6980000000000004</v>
      </c>
      <c r="E2027" s="709">
        <v>-0.51444430422239995</v>
      </c>
      <c r="F2027" s="946">
        <v>-1.5433329126671998E-2</v>
      </c>
      <c r="G2027" s="78"/>
      <c r="H2027" t="s">
        <v>2080</v>
      </c>
      <c r="J2027" s="256"/>
      <c r="K2027" s="256"/>
      <c r="L2027" s="37">
        <v>-0.17349225000000001</v>
      </c>
    </row>
    <row r="2028" spans="1:12" hidden="1" outlineLevel="1" x14ac:dyDescent="0.25">
      <c r="A2028" s="739">
        <v>0.03</v>
      </c>
      <c r="B2028" s="740" t="s">
        <v>507</v>
      </c>
      <c r="C2028" s="809">
        <v>17.331803923344875</v>
      </c>
      <c r="D2028" s="908">
        <v>22.68</v>
      </c>
      <c r="E2028" s="709">
        <v>0.3085770010040001</v>
      </c>
      <c r="F2028" s="946">
        <v>9.2573100301200032E-3</v>
      </c>
      <c r="G2028" s="78"/>
      <c r="H2028" t="s">
        <v>2810</v>
      </c>
      <c r="J2028" s="256"/>
      <c r="K2028" s="256"/>
    </row>
    <row r="2029" spans="1:12" hidden="1" outlineLevel="1" x14ac:dyDescent="0.25">
      <c r="A2029" s="745">
        <v>0.03</v>
      </c>
      <c r="B2029" s="746" t="s">
        <v>580</v>
      </c>
      <c r="C2029" s="810">
        <v>67.263839819793176</v>
      </c>
      <c r="D2029" s="715">
        <v>111.5</v>
      </c>
      <c r="E2029" s="498">
        <v>0.6576514260666666</v>
      </c>
      <c r="F2029" s="1023">
        <v>1.9729542781999999E-2</v>
      </c>
      <c r="G2029" s="78"/>
      <c r="H2029" t="s">
        <v>3612</v>
      </c>
      <c r="J2029" s="256"/>
      <c r="K2029" s="256"/>
    </row>
    <row r="2030" spans="1:12" hidden="1" outlineLevel="1" x14ac:dyDescent="0.25">
      <c r="A2030" s="749"/>
      <c r="B2030" s="750"/>
      <c r="C2030" s="727"/>
      <c r="D2030" s="727"/>
      <c r="E2030" s="716"/>
      <c r="F2030" s="770">
        <v>-0.24851861134371583</v>
      </c>
      <c r="G2030" s="78"/>
      <c r="H2030" s="101">
        <v>0.75148138865628411</v>
      </c>
      <c r="J2030" s="256"/>
    </row>
    <row r="2031" spans="1:12" collapsed="1" x14ac:dyDescent="0.25">
      <c r="A2031" s="3801" t="s">
        <v>3237</v>
      </c>
      <c r="B2031" s="3802"/>
      <c r="C2031" s="3802"/>
      <c r="D2031" s="3802"/>
      <c r="E2031" s="721" t="s">
        <v>2722</v>
      </c>
      <c r="F2031" s="722">
        <v>0.06</v>
      </c>
      <c r="G2031" s="97" t="s">
        <v>781</v>
      </c>
      <c r="J2031" s="31"/>
    </row>
    <row r="2032" spans="1:12" ht="12" customHeight="1" x14ac:dyDescent="0.25">
      <c r="A2032" s="1"/>
      <c r="B2032" s="1"/>
      <c r="C2032" s="1"/>
      <c r="D2032" s="1"/>
      <c r="E2032" s="1"/>
      <c r="F2032" s="1848"/>
      <c r="G2032" s="78"/>
      <c r="I2032" s="70"/>
      <c r="J2032" s="31"/>
    </row>
    <row r="2033" spans="1:20" hidden="1" outlineLevel="1" x14ac:dyDescent="0.25">
      <c r="A2033" s="689" t="s">
        <v>113</v>
      </c>
      <c r="B2033" s="689" t="s">
        <v>114</v>
      </c>
      <c r="C2033" s="689" t="s">
        <v>112</v>
      </c>
      <c r="D2033" s="689" t="s">
        <v>4155</v>
      </c>
      <c r="E2033" s="689" t="s">
        <v>117</v>
      </c>
      <c r="F2033" s="1188" t="s">
        <v>121</v>
      </c>
      <c r="G2033" s="78"/>
      <c r="H2033" s="361" t="s">
        <v>631</v>
      </c>
      <c r="I2033" s="256">
        <v>40695</v>
      </c>
      <c r="J2033" s="256">
        <v>40725</v>
      </c>
      <c r="K2033" s="256">
        <v>40756</v>
      </c>
      <c r="L2033" s="256">
        <v>40787</v>
      </c>
      <c r="M2033" s="256">
        <v>40817</v>
      </c>
      <c r="N2033" s="256">
        <v>40848</v>
      </c>
      <c r="O2033" s="256">
        <v>40878</v>
      </c>
      <c r="P2033" s="256">
        <v>40909</v>
      </c>
      <c r="Q2033" s="256">
        <v>40940</v>
      </c>
      <c r="R2033" s="256">
        <v>40969</v>
      </c>
      <c r="S2033" s="256">
        <v>41000</v>
      </c>
      <c r="T2033" s="256">
        <v>41030</v>
      </c>
    </row>
    <row r="2034" spans="1:20" hidden="1" outlineLevel="1" x14ac:dyDescent="0.25">
      <c r="A2034" s="921" t="s">
        <v>2492</v>
      </c>
      <c r="B2034" s="695" t="s">
        <v>4375</v>
      </c>
      <c r="C2034" s="692">
        <v>2251.931</v>
      </c>
      <c r="D2034" s="795">
        <v>1281.1300000000001</v>
      </c>
      <c r="E2034" s="693">
        <v>-0.43109713397080107</v>
      </c>
      <c r="F2034" s="694">
        <v>-0.28604488621839064</v>
      </c>
      <c r="G2034" s="78"/>
      <c r="H2034">
        <v>1304.6467</v>
      </c>
      <c r="I2034">
        <v>1472.39</v>
      </c>
      <c r="J2034" s="31">
        <v>1443.02</v>
      </c>
      <c r="K2034">
        <v>1323.97</v>
      </c>
      <c r="L2034">
        <v>1215.72</v>
      </c>
      <c r="M2034">
        <v>1285.52</v>
      </c>
      <c r="N2034">
        <v>1226.45</v>
      </c>
      <c r="O2034">
        <v>1217.95</v>
      </c>
      <c r="P2034">
        <v>1272.25</v>
      </c>
      <c r="Q2034">
        <v>1279.33</v>
      </c>
      <c r="R2034">
        <v>1329.46</v>
      </c>
      <c r="S2034">
        <v>1308.57</v>
      </c>
      <c r="T2034">
        <v>1281.1300000000001</v>
      </c>
    </row>
    <row r="2035" spans="1:20" collapsed="1" x14ac:dyDescent="0.25">
      <c r="A2035" s="3801" t="s">
        <v>302</v>
      </c>
      <c r="B2035" s="3802"/>
      <c r="C2035" s="3802"/>
      <c r="D2035" s="3802"/>
      <c r="E2035" s="729"/>
      <c r="F2035" s="752">
        <v>0</v>
      </c>
      <c r="G2035" s="97" t="s">
        <v>781</v>
      </c>
      <c r="H2035" s="261">
        <f>AVERAGE(I2035:T2035)</f>
        <v>-0.42065424443880972</v>
      </c>
      <c r="I2035" s="37">
        <f>IF(I2034="",H2035,I2034/$C$2034-1)</f>
        <v>-0.34616557967362227</v>
      </c>
      <c r="J2035" s="37">
        <f t="shared" ref="J2035:T2035" si="51">IF(J2034="",I2035,J2034/$C$2034-1)</f>
        <v>-0.35920771995234313</v>
      </c>
      <c r="K2035" s="37">
        <f t="shared" si="51"/>
        <v>-0.41207346051011329</v>
      </c>
      <c r="L2035" s="37">
        <f t="shared" si="51"/>
        <v>-0.46014331700216393</v>
      </c>
      <c r="M2035" s="37">
        <f t="shared" si="51"/>
        <v>-0.42914769591075397</v>
      </c>
      <c r="N2035" s="37">
        <f t="shared" si="51"/>
        <v>-0.45537851737020363</v>
      </c>
      <c r="O2035" s="37">
        <f t="shared" si="51"/>
        <v>-0.45915305575526066</v>
      </c>
      <c r="P2035" s="37">
        <f t="shared" si="51"/>
        <v>-0.43504041642483715</v>
      </c>
      <c r="Q2035" s="37">
        <f t="shared" si="51"/>
        <v>-0.43189644798175442</v>
      </c>
      <c r="R2035" s="37">
        <f t="shared" si="51"/>
        <v>-0.40963555277670582</v>
      </c>
      <c r="S2035" s="37">
        <f t="shared" si="51"/>
        <v>-0.41891203593715798</v>
      </c>
      <c r="T2035" s="37">
        <f t="shared" si="51"/>
        <v>-0.43109713397080107</v>
      </c>
    </row>
    <row r="2036" spans="1:20" x14ac:dyDescent="0.25">
      <c r="A2036" s="1"/>
      <c r="B2036" s="1"/>
      <c r="C2036" s="1"/>
      <c r="D2036" s="1"/>
      <c r="E2036" s="1"/>
      <c r="F2036" s="1848"/>
      <c r="G2036" s="78"/>
      <c r="J2036" s="31"/>
    </row>
    <row r="2037" spans="1:20" hidden="1" outlineLevel="1" x14ac:dyDescent="0.25">
      <c r="A2037" s="689" t="s">
        <v>113</v>
      </c>
      <c r="B2037" s="689" t="s">
        <v>114</v>
      </c>
      <c r="C2037" s="689" t="s">
        <v>112</v>
      </c>
      <c r="D2037" s="689" t="s">
        <v>116</v>
      </c>
      <c r="E2037" s="689" t="s">
        <v>117</v>
      </c>
      <c r="F2037" s="1188" t="s">
        <v>121</v>
      </c>
      <c r="G2037" s="78"/>
      <c r="J2037" s="31"/>
    </row>
    <row r="2038" spans="1:20" hidden="1" outlineLevel="1" x14ac:dyDescent="0.25">
      <c r="A2038" s="921" t="s">
        <v>2493</v>
      </c>
      <c r="B2038" s="729" t="s">
        <v>115</v>
      </c>
      <c r="C2038" s="719">
        <v>3605.0830000000001</v>
      </c>
      <c r="D2038" s="719">
        <v>3508.25</v>
      </c>
      <c r="E2038" s="720">
        <f t="shared" ref="E2038:E2062" si="52">D2038/C2038-1</f>
        <v>-2.6860130543457705E-2</v>
      </c>
      <c r="F2038" s="731">
        <v>-2.69E-2</v>
      </c>
      <c r="G2038" s="78"/>
      <c r="J2038" s="31"/>
    </row>
    <row r="2039" spans="1:20" hidden="1" outlineLevel="1" x14ac:dyDescent="0.25">
      <c r="A2039" s="921" t="s">
        <v>2494</v>
      </c>
      <c r="B2039" s="729" t="s">
        <v>115</v>
      </c>
      <c r="C2039" s="719">
        <v>3508.25</v>
      </c>
      <c r="D2039" s="719">
        <v>3719.11</v>
      </c>
      <c r="E2039" s="720">
        <f t="shared" si="52"/>
        <v>6.0104040476020915E-2</v>
      </c>
      <c r="F2039" s="731">
        <v>0</v>
      </c>
      <c r="G2039" s="78"/>
      <c r="J2039" s="31"/>
    </row>
    <row r="2040" spans="1:20" hidden="1" outlineLevel="1" x14ac:dyDescent="0.25">
      <c r="A2040" s="921" t="s">
        <v>3978</v>
      </c>
      <c r="B2040" s="729" t="s">
        <v>115</v>
      </c>
      <c r="C2040" s="719">
        <v>3719.11</v>
      </c>
      <c r="D2040" s="719">
        <v>3796.59</v>
      </c>
      <c r="E2040" s="720">
        <f t="shared" si="52"/>
        <v>2.0832941214430356E-2</v>
      </c>
      <c r="F2040" s="731">
        <v>0</v>
      </c>
      <c r="G2040" s="78"/>
      <c r="J2040" s="31"/>
    </row>
    <row r="2041" spans="1:20" hidden="1" outlineLevel="1" x14ac:dyDescent="0.25">
      <c r="A2041" s="921" t="s">
        <v>3979</v>
      </c>
      <c r="B2041" s="729" t="s">
        <v>115</v>
      </c>
      <c r="C2041" s="719">
        <v>3796.59</v>
      </c>
      <c r="D2041" s="719">
        <v>3999.07</v>
      </c>
      <c r="E2041" s="720">
        <f t="shared" si="52"/>
        <v>5.3332069040902486E-2</v>
      </c>
      <c r="F2041" s="731">
        <v>0</v>
      </c>
      <c r="G2041" s="78"/>
      <c r="J2041" s="31"/>
    </row>
    <row r="2042" spans="1:20" hidden="1" outlineLevel="1" x14ac:dyDescent="0.25">
      <c r="A2042" s="921" t="s">
        <v>3980</v>
      </c>
      <c r="B2042" s="729" t="s">
        <v>115</v>
      </c>
      <c r="C2042" s="719">
        <v>3999.07</v>
      </c>
      <c r="D2042" s="719">
        <v>4084.33</v>
      </c>
      <c r="E2042" s="720">
        <f t="shared" si="52"/>
        <v>2.1319956889976899E-2</v>
      </c>
      <c r="F2042" s="731">
        <v>0</v>
      </c>
      <c r="G2042" s="78"/>
      <c r="J2042" s="31"/>
    </row>
    <row r="2043" spans="1:20" hidden="1" outlineLevel="1" x14ac:dyDescent="0.25">
      <c r="A2043" s="921" t="s">
        <v>3981</v>
      </c>
      <c r="B2043" s="729" t="s">
        <v>115</v>
      </c>
      <c r="C2043" s="719">
        <v>4084.33</v>
      </c>
      <c r="D2043" s="719">
        <v>4118.84</v>
      </c>
      <c r="E2043" s="720">
        <f t="shared" si="52"/>
        <v>8.4493662363227529E-3</v>
      </c>
      <c r="F2043" s="731">
        <v>0</v>
      </c>
      <c r="G2043" s="78"/>
      <c r="J2043" s="31"/>
    </row>
    <row r="2044" spans="1:20" hidden="1" outlineLevel="1" x14ac:dyDescent="0.25">
      <c r="A2044" s="921" t="s">
        <v>4077</v>
      </c>
      <c r="B2044" s="729" t="s">
        <v>115</v>
      </c>
      <c r="C2044" s="719">
        <v>4118.84</v>
      </c>
      <c r="D2044" s="719">
        <v>4187.3599999999997</v>
      </c>
      <c r="E2044" s="720">
        <f t="shared" si="52"/>
        <v>1.6635751813617317E-2</v>
      </c>
      <c r="F2044" s="731">
        <v>0</v>
      </c>
      <c r="G2044" s="78"/>
      <c r="J2044" s="31"/>
    </row>
    <row r="2045" spans="1:20" hidden="1" outlineLevel="1" x14ac:dyDescent="0.25">
      <c r="A2045" s="921" t="s">
        <v>4078</v>
      </c>
      <c r="B2045" s="729" t="s">
        <v>115</v>
      </c>
      <c r="C2045" s="719">
        <v>4187.3599999999997</v>
      </c>
      <c r="D2045" s="719">
        <v>4267.0200000000004</v>
      </c>
      <c r="E2045" s="720">
        <f t="shared" si="52"/>
        <v>1.9023919605670514E-2</v>
      </c>
      <c r="F2045" s="731">
        <v>0</v>
      </c>
      <c r="G2045" s="78"/>
      <c r="J2045" s="31"/>
    </row>
    <row r="2046" spans="1:20" hidden="1" outlineLevel="1" x14ac:dyDescent="0.25">
      <c r="A2046" s="921" t="s">
        <v>944</v>
      </c>
      <c r="B2046" s="729" t="s">
        <v>115</v>
      </c>
      <c r="C2046" s="719">
        <v>4267.0200000000004</v>
      </c>
      <c r="D2046" s="719">
        <v>3906.15</v>
      </c>
      <c r="E2046" s="720">
        <f t="shared" si="52"/>
        <v>-8.4571902639312801E-2</v>
      </c>
      <c r="F2046" s="731">
        <f>E2046</f>
        <v>-8.4571902639312801E-2</v>
      </c>
      <c r="G2046" s="78"/>
      <c r="J2046" s="31"/>
    </row>
    <row r="2047" spans="1:20" hidden="1" outlineLevel="1" x14ac:dyDescent="0.25">
      <c r="A2047" s="921" t="s">
        <v>945</v>
      </c>
      <c r="B2047" s="729" t="s">
        <v>115</v>
      </c>
      <c r="C2047" s="719">
        <v>3906.15</v>
      </c>
      <c r="D2047" s="719">
        <v>4384.38</v>
      </c>
      <c r="E2047" s="720">
        <f t="shared" si="52"/>
        <v>0.12243001420836364</v>
      </c>
      <c r="F2047" s="731">
        <v>0</v>
      </c>
      <c r="G2047" s="78"/>
      <c r="J2047" s="31"/>
    </row>
    <row r="2048" spans="1:20" hidden="1" outlineLevel="1" x14ac:dyDescent="0.25">
      <c r="A2048" s="921" t="s">
        <v>946</v>
      </c>
      <c r="B2048" s="729" t="s">
        <v>115</v>
      </c>
      <c r="C2048" s="719">
        <v>4384.38</v>
      </c>
      <c r="D2048" s="719">
        <v>4441.03</v>
      </c>
      <c r="E2048" s="720">
        <f t="shared" si="52"/>
        <v>1.2920869085252473E-2</v>
      </c>
      <c r="F2048" s="731">
        <v>0</v>
      </c>
      <c r="G2048" s="78"/>
      <c r="J2048" s="31"/>
    </row>
    <row r="2049" spans="1:10" hidden="1" outlineLevel="1" x14ac:dyDescent="0.25">
      <c r="A2049" s="921" t="s">
        <v>2623</v>
      </c>
      <c r="B2049" s="729" t="s">
        <v>115</v>
      </c>
      <c r="C2049" s="719">
        <v>4441.03</v>
      </c>
      <c r="D2049" s="719">
        <v>4485.04</v>
      </c>
      <c r="E2049" s="720">
        <f t="shared" si="52"/>
        <v>9.9098632524436958E-3</v>
      </c>
      <c r="F2049" s="731">
        <v>0</v>
      </c>
      <c r="G2049" s="78"/>
      <c r="J2049" s="31"/>
    </row>
    <row r="2050" spans="1:10" hidden="1" outlineLevel="1" x14ac:dyDescent="0.25">
      <c r="A2050" s="921" t="s">
        <v>2624</v>
      </c>
      <c r="B2050" s="729" t="s">
        <v>115</v>
      </c>
      <c r="C2050" s="719">
        <v>4485.04</v>
      </c>
      <c r="D2050" s="719">
        <v>4542.57</v>
      </c>
      <c r="E2050" s="720">
        <f t="shared" si="52"/>
        <v>1.2827087383836089E-2</v>
      </c>
      <c r="F2050" s="731">
        <v>0</v>
      </c>
      <c r="G2050" s="78"/>
      <c r="J2050" s="31"/>
    </row>
    <row r="2051" spans="1:10" hidden="1" outlineLevel="1" x14ac:dyDescent="0.25">
      <c r="A2051" s="921" t="s">
        <v>2625</v>
      </c>
      <c r="B2051" s="729" t="s">
        <v>115</v>
      </c>
      <c r="C2051" s="719">
        <v>4542.57</v>
      </c>
      <c r="D2051" s="719">
        <v>4195.6000000000004</v>
      </c>
      <c r="E2051" s="720">
        <f t="shared" si="52"/>
        <v>-7.6381871935930379E-2</v>
      </c>
      <c r="F2051" s="731">
        <v>-7.6399999999999996E-2</v>
      </c>
      <c r="G2051" s="78"/>
      <c r="J2051" s="31"/>
    </row>
    <row r="2052" spans="1:10" hidden="1" outlineLevel="1" x14ac:dyDescent="0.25">
      <c r="A2052" s="921" t="s">
        <v>2626</v>
      </c>
      <c r="B2052" s="729" t="s">
        <v>115</v>
      </c>
      <c r="C2052" s="719">
        <v>4195.6000000000004</v>
      </c>
      <c r="D2052" s="719">
        <v>4221.34</v>
      </c>
      <c r="E2052" s="720">
        <f t="shared" si="52"/>
        <v>6.1349985699303833E-3</v>
      </c>
      <c r="F2052" s="731">
        <v>0</v>
      </c>
      <c r="G2052" s="78"/>
      <c r="J2052" s="31"/>
    </row>
    <row r="2053" spans="1:10" hidden="1" outlineLevel="1" x14ac:dyDescent="0.25">
      <c r="A2053" s="921" t="s">
        <v>2627</v>
      </c>
      <c r="B2053" s="729" t="s">
        <v>115</v>
      </c>
      <c r="C2053" s="719">
        <v>4221.34</v>
      </c>
      <c r="D2053" s="719">
        <v>4476.0200000000004</v>
      </c>
      <c r="E2053" s="720">
        <f t="shared" si="52"/>
        <v>6.0331553487755096E-2</v>
      </c>
      <c r="F2053" s="731">
        <v>0</v>
      </c>
      <c r="G2053" s="78"/>
      <c r="J2053" s="31"/>
    </row>
    <row r="2054" spans="1:10" hidden="1" outlineLevel="1" x14ac:dyDescent="0.25">
      <c r="A2054" s="921" t="s">
        <v>1389</v>
      </c>
      <c r="B2054" s="729" t="s">
        <v>115</v>
      </c>
      <c r="C2054" s="719">
        <v>4476.0200000000004</v>
      </c>
      <c r="D2054" s="719">
        <v>4338.28</v>
      </c>
      <c r="E2054" s="720">
        <f t="shared" si="52"/>
        <v>-3.0772874115844173E-2</v>
      </c>
      <c r="F2054" s="731">
        <v>-3.0800000000000001E-2</v>
      </c>
      <c r="G2054" s="78"/>
      <c r="J2054" s="31"/>
    </row>
    <row r="2055" spans="1:10" hidden="1" outlineLevel="1" x14ac:dyDescent="0.25">
      <c r="A2055" s="921" t="s">
        <v>1390</v>
      </c>
      <c r="B2055" s="729" t="s">
        <v>115</v>
      </c>
      <c r="C2055" s="719">
        <v>4338.28</v>
      </c>
      <c r="D2055" s="719">
        <v>4384.6499999999996</v>
      </c>
      <c r="E2055" s="720">
        <f t="shared" si="52"/>
        <v>1.0688567819504557E-2</v>
      </c>
      <c r="F2055" s="731">
        <v>0</v>
      </c>
      <c r="G2055" s="78"/>
      <c r="J2055" s="31"/>
    </row>
    <row r="2056" spans="1:10" hidden="1" outlineLevel="1" x14ac:dyDescent="0.25">
      <c r="A2056" s="921" t="s">
        <v>4095</v>
      </c>
      <c r="B2056" s="729" t="s">
        <v>115</v>
      </c>
      <c r="C2056" s="719">
        <v>4384.6499999999996</v>
      </c>
      <c r="D2056" s="719">
        <v>4140.9399999999996</v>
      </c>
      <c r="E2056" s="720">
        <f t="shared" si="52"/>
        <v>-5.5582543646585214E-2</v>
      </c>
      <c r="F2056" s="731">
        <f>E2056</f>
        <v>-5.5582543646585214E-2</v>
      </c>
      <c r="G2056" s="78"/>
      <c r="J2056" s="31"/>
    </row>
    <row r="2057" spans="1:10" hidden="1" outlineLevel="1" x14ac:dyDescent="0.25">
      <c r="A2057" s="921" t="s">
        <v>749</v>
      </c>
      <c r="B2057" s="729" t="s">
        <v>115</v>
      </c>
      <c r="C2057" s="719">
        <v>4140.9399999999996</v>
      </c>
      <c r="D2057" s="719">
        <v>3797.89</v>
      </c>
      <c r="E2057" s="720">
        <f t="shared" si="52"/>
        <v>-8.2843508961733314E-2</v>
      </c>
      <c r="F2057" s="731">
        <f>E2057</f>
        <v>-8.2843508961733314E-2</v>
      </c>
      <c r="G2057" s="78"/>
      <c r="J2057" s="31"/>
    </row>
    <row r="2058" spans="1:10" hidden="1" outlineLevel="1" x14ac:dyDescent="0.25">
      <c r="A2058" s="921" t="s">
        <v>3401</v>
      </c>
      <c r="B2058" s="729" t="s">
        <v>115</v>
      </c>
      <c r="C2058" s="719">
        <v>3797.89</v>
      </c>
      <c r="D2058" s="719">
        <v>3566.59</v>
      </c>
      <c r="E2058" s="720">
        <f t="shared" si="52"/>
        <v>-6.090223782152715E-2</v>
      </c>
      <c r="F2058" s="731">
        <f>E2058</f>
        <v>-6.090223782152715E-2</v>
      </c>
      <c r="G2058" s="78"/>
      <c r="J2058" s="31"/>
    </row>
    <row r="2059" spans="1:10" hidden="1" outlineLevel="1" x14ac:dyDescent="0.25">
      <c r="A2059" s="921" t="s">
        <v>3364</v>
      </c>
      <c r="B2059" s="729" t="s">
        <v>115</v>
      </c>
      <c r="C2059" s="719">
        <v>3566.59</v>
      </c>
      <c r="D2059" s="719">
        <v>3671.28</v>
      </c>
      <c r="E2059" s="720">
        <f t="shared" si="52"/>
        <v>2.9352967400233743E-2</v>
      </c>
      <c r="F2059" s="731">
        <v>0</v>
      </c>
      <c r="G2059" s="78"/>
      <c r="J2059" s="31"/>
    </row>
    <row r="2060" spans="1:10" hidden="1" outlineLevel="1" x14ac:dyDescent="0.25">
      <c r="A2060" s="921" t="s">
        <v>3365</v>
      </c>
      <c r="B2060" s="729" t="s">
        <v>115</v>
      </c>
      <c r="C2060" s="719">
        <v>3671.28</v>
      </c>
      <c r="D2060" s="719">
        <v>3854.86</v>
      </c>
      <c r="E2060" s="720">
        <f t="shared" si="52"/>
        <v>5.0004358153014739E-2</v>
      </c>
      <c r="F2060" s="731">
        <v>0</v>
      </c>
      <c r="G2060" s="78"/>
      <c r="J2060" s="31"/>
    </row>
    <row r="2061" spans="1:10" hidden="1" outlineLevel="1" x14ac:dyDescent="0.25">
      <c r="A2061" s="921" t="s">
        <v>3366</v>
      </c>
      <c r="B2061" s="729" t="s">
        <v>115</v>
      </c>
      <c r="C2061" s="719">
        <v>3854.86</v>
      </c>
      <c r="D2061" s="719">
        <v>3562.67</v>
      </c>
      <c r="E2061" s="720">
        <f t="shared" si="52"/>
        <v>-7.5797824045490625E-2</v>
      </c>
      <c r="F2061" s="731">
        <f>E2061</f>
        <v>-7.5797824045490625E-2</v>
      </c>
      <c r="G2061" s="78"/>
      <c r="J2061" s="31"/>
    </row>
    <row r="2062" spans="1:10" hidden="1" outlineLevel="1" x14ac:dyDescent="0.25">
      <c r="A2062" s="921" t="s">
        <v>3367</v>
      </c>
      <c r="B2062" s="729" t="s">
        <v>115</v>
      </c>
      <c r="C2062" s="719">
        <v>3562.67</v>
      </c>
      <c r="D2062" s="719">
        <v>3216.24</v>
      </c>
      <c r="E2062" s="720">
        <f t="shared" si="52"/>
        <v>-9.7238868601357997E-2</v>
      </c>
      <c r="F2062" s="731">
        <f>E2062</f>
        <v>-9.7238868601357997E-2</v>
      </c>
      <c r="G2062" s="78"/>
      <c r="J2062" s="31"/>
    </row>
    <row r="2063" spans="1:10" hidden="1" outlineLevel="1" x14ac:dyDescent="0.25">
      <c r="A2063" s="921" t="s">
        <v>3368</v>
      </c>
      <c r="B2063" s="729" t="s">
        <v>115</v>
      </c>
      <c r="C2063" s="719">
        <v>3216.24</v>
      </c>
      <c r="D2063" s="719"/>
      <c r="E2063" s="729"/>
      <c r="F2063" s="731"/>
      <c r="G2063" s="78"/>
      <c r="J2063" s="31"/>
    </row>
    <row r="2064" spans="1:10" hidden="1" outlineLevel="1" x14ac:dyDescent="0.25">
      <c r="A2064" s="921" t="s">
        <v>897</v>
      </c>
      <c r="B2064" s="729" t="s">
        <v>115</v>
      </c>
      <c r="C2064" s="719"/>
      <c r="D2064" s="719"/>
      <c r="E2064" s="729"/>
      <c r="F2064" s="731"/>
      <c r="G2064" s="78"/>
      <c r="J2064" s="31"/>
    </row>
    <row r="2065" spans="1:58" hidden="1" outlineLevel="1" x14ac:dyDescent="0.25">
      <c r="A2065" s="921" t="s">
        <v>2650</v>
      </c>
      <c r="B2065" s="729" t="s">
        <v>115</v>
      </c>
      <c r="C2065" s="719"/>
      <c r="D2065" s="719"/>
      <c r="E2065" s="729"/>
      <c r="F2065" s="731"/>
      <c r="G2065" s="78"/>
      <c r="J2065" s="31"/>
    </row>
    <row r="2066" spans="1:58" hidden="1" outlineLevel="1" x14ac:dyDescent="0.25">
      <c r="A2066" s="921" t="s">
        <v>2651</v>
      </c>
      <c r="B2066" s="729" t="s">
        <v>115</v>
      </c>
      <c r="C2066" s="719"/>
      <c r="D2066" s="719"/>
      <c r="E2066" s="729"/>
      <c r="F2066" s="731"/>
      <c r="G2066" s="78"/>
      <c r="J2066" s="31"/>
    </row>
    <row r="2067" spans="1:58" hidden="1" outlineLevel="1" x14ac:dyDescent="0.25">
      <c r="A2067" s="921" t="s">
        <v>2652</v>
      </c>
      <c r="B2067" s="729" t="s">
        <v>115</v>
      </c>
      <c r="C2067" s="719"/>
      <c r="D2067" s="719"/>
      <c r="E2067" s="729"/>
      <c r="F2067" s="731"/>
      <c r="G2067" s="78"/>
      <c r="J2067" s="31"/>
    </row>
    <row r="2068" spans="1:58" hidden="1" outlineLevel="1" x14ac:dyDescent="0.25">
      <c r="A2068" s="921" t="s">
        <v>2653</v>
      </c>
      <c r="B2068" s="729" t="s">
        <v>115</v>
      </c>
      <c r="C2068" s="719"/>
      <c r="D2068" s="719"/>
      <c r="E2068" s="729"/>
      <c r="F2068" s="731"/>
      <c r="G2068" s="78"/>
      <c r="J2068" s="31"/>
    </row>
    <row r="2069" spans="1:58" hidden="1" outlineLevel="1" x14ac:dyDescent="0.25">
      <c r="A2069" s="921" t="s">
        <v>2654</v>
      </c>
      <c r="B2069" s="729" t="s">
        <v>115</v>
      </c>
      <c r="C2069" s="719"/>
      <c r="D2069" s="719"/>
      <c r="E2069" s="729"/>
      <c r="F2069" s="731"/>
      <c r="G2069" s="78"/>
      <c r="J2069" s="31"/>
    </row>
    <row r="2070" spans="1:58" hidden="1" outlineLevel="1" x14ac:dyDescent="0.25">
      <c r="A2070" s="921" t="s">
        <v>2655</v>
      </c>
      <c r="B2070" s="729" t="s">
        <v>115</v>
      </c>
      <c r="C2070" s="719"/>
      <c r="D2070" s="719"/>
      <c r="E2070" s="729"/>
      <c r="F2070" s="731"/>
      <c r="G2070" s="78"/>
      <c r="J2070" s="31"/>
    </row>
    <row r="2071" spans="1:58" hidden="1" outlineLevel="1" x14ac:dyDescent="0.25">
      <c r="A2071" s="921" t="s">
        <v>2656</v>
      </c>
      <c r="B2071" s="729" t="s">
        <v>115</v>
      </c>
      <c r="C2071" s="719"/>
      <c r="D2071" s="719"/>
      <c r="E2071" s="729"/>
      <c r="F2071" s="731"/>
      <c r="G2071" s="78"/>
      <c r="J2071" s="31"/>
    </row>
    <row r="2072" spans="1:58" hidden="1" outlineLevel="1" x14ac:dyDescent="0.25">
      <c r="A2072" s="921" t="s">
        <v>4070</v>
      </c>
      <c r="B2072" s="729" t="s">
        <v>2552</v>
      </c>
      <c r="C2072" s="719"/>
      <c r="D2072" s="719"/>
      <c r="E2072" s="729"/>
      <c r="F2072" s="731"/>
      <c r="G2072" s="78"/>
      <c r="J2072" s="31"/>
    </row>
    <row r="2073" spans="1:58" hidden="1" outlineLevel="1" x14ac:dyDescent="0.25">
      <c r="A2073" s="921" t="s">
        <v>4071</v>
      </c>
      <c r="B2073" s="729" t="s">
        <v>2553</v>
      </c>
      <c r="C2073" s="719"/>
      <c r="D2073" s="719"/>
      <c r="E2073" s="729"/>
      <c r="F2073" s="731"/>
      <c r="G2073" s="78"/>
      <c r="J2073" s="31"/>
    </row>
    <row r="2074" spans="1:58" collapsed="1" x14ac:dyDescent="0.25">
      <c r="A2074" s="3801" t="s">
        <v>2244</v>
      </c>
      <c r="B2074" s="3802"/>
      <c r="C2074" s="3802"/>
      <c r="D2074" s="3802"/>
      <c r="E2074" s="721"/>
      <c r="F2074" s="722">
        <f>IF(50%+SUM(F2038:F2073)&gt;0,"(50%+SUMA(F2038:F2073)",0)</f>
        <v>0</v>
      </c>
      <c r="G2074" s="97" t="s">
        <v>781</v>
      </c>
      <c r="J2074" s="31"/>
    </row>
    <row r="2075" spans="1:58" x14ac:dyDescent="0.25">
      <c r="A2075" s="1"/>
      <c r="B2075" s="1"/>
      <c r="C2075" s="1"/>
      <c r="D2075" s="1"/>
      <c r="E2075" s="1"/>
      <c r="F2075" s="1848"/>
      <c r="G2075" s="78"/>
      <c r="J2075" s="31"/>
    </row>
    <row r="2076" spans="1:58" hidden="1" outlineLevel="1" x14ac:dyDescent="0.25">
      <c r="A2076" s="922" t="s">
        <v>2015</v>
      </c>
      <c r="B2076" s="923" t="s">
        <v>114</v>
      </c>
      <c r="C2076" s="923" t="s">
        <v>112</v>
      </c>
      <c r="D2076" s="924" t="s">
        <v>4155</v>
      </c>
      <c r="E2076" s="925" t="s">
        <v>117</v>
      </c>
      <c r="F2076" s="1861" t="s">
        <v>121</v>
      </c>
      <c r="G2076" s="78"/>
      <c r="J2076" s="31"/>
    </row>
    <row r="2077" spans="1:58" hidden="1" outlineLevel="1" x14ac:dyDescent="0.25">
      <c r="A2077" s="926">
        <v>0.3</v>
      </c>
      <c r="B2077" s="695" t="s">
        <v>2019</v>
      </c>
      <c r="C2077" s="927">
        <v>293.78800000000001</v>
      </c>
      <c r="D2077" s="807">
        <v>343.1</v>
      </c>
      <c r="E2077" s="3832">
        <v>0.47290734026210224</v>
      </c>
      <c r="F2077" s="3824">
        <v>0.35470449999999998</v>
      </c>
      <c r="G2077" s="78"/>
      <c r="J2077" s="31"/>
    </row>
    <row r="2078" spans="1:58" hidden="1" outlineLevel="1" x14ac:dyDescent="0.25">
      <c r="A2078" s="928">
        <v>0.3</v>
      </c>
      <c r="B2078" s="929" t="s">
        <v>1916</v>
      </c>
      <c r="C2078" s="930">
        <v>174.83500000000001</v>
      </c>
      <c r="D2078" s="809">
        <v>264.35000000000002</v>
      </c>
      <c r="E2078" s="3833"/>
      <c r="F2078" s="3825"/>
      <c r="G2078" s="78"/>
      <c r="H2078" t="s">
        <v>2040</v>
      </c>
      <c r="I2078" s="256">
        <v>40299</v>
      </c>
      <c r="J2078" s="256">
        <v>40330</v>
      </c>
      <c r="K2078" s="256">
        <v>40360</v>
      </c>
      <c r="L2078" s="256">
        <v>40391</v>
      </c>
      <c r="M2078" s="256">
        <v>40422</v>
      </c>
      <c r="N2078" s="256">
        <v>40452</v>
      </c>
      <c r="O2078" s="256">
        <v>40483</v>
      </c>
      <c r="P2078" s="256">
        <v>40513</v>
      </c>
      <c r="Q2078" s="256">
        <v>40544</v>
      </c>
      <c r="R2078" s="256">
        <v>40575</v>
      </c>
      <c r="S2078" s="256">
        <v>40603</v>
      </c>
      <c r="T2078" s="256">
        <v>40634</v>
      </c>
      <c r="U2078" s="256">
        <v>40664</v>
      </c>
      <c r="V2078" s="256">
        <v>40695</v>
      </c>
      <c r="W2078" s="256">
        <v>40725</v>
      </c>
      <c r="X2078" s="256">
        <v>40756</v>
      </c>
      <c r="Y2078" s="256">
        <v>40787</v>
      </c>
      <c r="Z2078" s="256">
        <v>40817</v>
      </c>
      <c r="AA2078" s="256">
        <v>40848</v>
      </c>
      <c r="AB2078" s="256">
        <v>40878</v>
      </c>
      <c r="AC2078" s="256">
        <v>40909</v>
      </c>
      <c r="AD2078" s="256">
        <v>40940</v>
      </c>
      <c r="AE2078" s="256">
        <v>40969</v>
      </c>
      <c r="AF2078" s="256">
        <v>41000</v>
      </c>
      <c r="AG2078" s="256"/>
      <c r="AH2078" s="256"/>
      <c r="AI2078" s="256"/>
      <c r="AJ2078" s="256"/>
      <c r="AK2078" s="256"/>
      <c r="AL2078" s="256"/>
      <c r="AM2078" s="256"/>
      <c r="AN2078" s="256"/>
      <c r="AO2078" s="256"/>
      <c r="AP2078" s="256"/>
      <c r="AQ2078" s="256"/>
      <c r="AR2078" s="256"/>
      <c r="AS2078" s="256"/>
      <c r="AT2078" s="256"/>
      <c r="AU2078" s="256"/>
      <c r="AV2078" s="256"/>
      <c r="AW2078" s="256"/>
      <c r="AX2078" s="256"/>
      <c r="AY2078" s="256"/>
      <c r="AZ2078" s="256"/>
      <c r="BA2078" s="256"/>
      <c r="BB2078" s="256"/>
      <c r="BC2078" s="256"/>
      <c r="BD2078" s="256"/>
      <c r="BE2078" s="256"/>
      <c r="BF2078" s="256"/>
    </row>
    <row r="2079" spans="1:58" hidden="1" outlineLevel="1" x14ac:dyDescent="0.25">
      <c r="A2079" s="928">
        <v>0.2</v>
      </c>
      <c r="B2079" s="929" t="s">
        <v>3563</v>
      </c>
      <c r="C2079" s="930">
        <v>6833.442</v>
      </c>
      <c r="D2079" s="809">
        <v>11081</v>
      </c>
      <c r="E2079" s="3833"/>
      <c r="F2079" s="3825"/>
      <c r="G2079" s="78"/>
      <c r="I2079">
        <v>133.76769999999999</v>
      </c>
      <c r="J2079" s="31">
        <v>134.94990000000001</v>
      </c>
      <c r="K2079">
        <v>142.34989999999999</v>
      </c>
      <c r="L2079">
        <v>138.53020000000001</v>
      </c>
      <c r="M2079">
        <v>148.74610000000001</v>
      </c>
      <c r="N2079">
        <v>152.46770000000001</v>
      </c>
      <c r="O2079">
        <v>151.93100000000001</v>
      </c>
      <c r="P2079">
        <v>157.91800000000001</v>
      </c>
      <c r="Q2079">
        <v>156.79499999999999</v>
      </c>
      <c r="R2079">
        <v>152.53960000000001</v>
      </c>
      <c r="S2079">
        <v>160.64410000000001</v>
      </c>
      <c r="T2079">
        <v>163.3638</v>
      </c>
      <c r="U2079">
        <v>161.00399999999999</v>
      </c>
      <c r="V2079">
        <v>156.0121</v>
      </c>
      <c r="W2079">
        <v>155.53700000000001</v>
      </c>
      <c r="X2079">
        <v>140.46379999999999</v>
      </c>
      <c r="Y2079">
        <v>126.9971</v>
      </c>
      <c r="Z2079">
        <v>140.9666</v>
      </c>
      <c r="AA2079">
        <v>133.92580000000001</v>
      </c>
      <c r="AB2079">
        <v>132.9487</v>
      </c>
      <c r="AC2079">
        <v>146.6694</v>
      </c>
      <c r="AD2079">
        <v>152.2927</v>
      </c>
      <c r="AE2079">
        <v>147.11709999999999</v>
      </c>
    </row>
    <row r="2080" spans="1:58" hidden="1" outlineLevel="1" x14ac:dyDescent="0.25">
      <c r="A2080" s="931">
        <v>0.15</v>
      </c>
      <c r="B2080" s="695" t="s">
        <v>2020</v>
      </c>
      <c r="C2080" s="932">
        <v>18420.437000000002</v>
      </c>
      <c r="D2080" s="809">
        <v>30364.59</v>
      </c>
      <c r="E2080" s="3833"/>
      <c r="F2080" s="3825"/>
      <c r="G2080" s="78"/>
      <c r="I2080" s="37">
        <f>IF(I2079="",H2080,I2079/100-1)</f>
        <v>0.337677</v>
      </c>
      <c r="J2080" s="37">
        <f t="shared" ref="J2080:AF2080" si="53">IF(J2079="",I2080,J2079/100-1)</f>
        <v>0.34949900000000023</v>
      </c>
      <c r="K2080" s="37">
        <f t="shared" si="53"/>
        <v>0.42349899999999985</v>
      </c>
      <c r="L2080" s="37">
        <f t="shared" si="53"/>
        <v>0.38530200000000003</v>
      </c>
      <c r="M2080" s="37">
        <f t="shared" si="53"/>
        <v>0.48746100000000014</v>
      </c>
      <c r="N2080" s="37">
        <f t="shared" si="53"/>
        <v>0.52467700000000006</v>
      </c>
      <c r="O2080" s="37">
        <f t="shared" si="53"/>
        <v>0.51931000000000016</v>
      </c>
      <c r="P2080" s="37">
        <f t="shared" si="53"/>
        <v>0.57918000000000003</v>
      </c>
      <c r="Q2080" s="37">
        <f t="shared" si="53"/>
        <v>0.56794999999999995</v>
      </c>
      <c r="R2080" s="37">
        <f t="shared" si="53"/>
        <v>0.52539599999999997</v>
      </c>
      <c r="S2080" s="37">
        <f t="shared" si="53"/>
        <v>0.60644100000000001</v>
      </c>
      <c r="T2080" s="37">
        <f t="shared" si="53"/>
        <v>0.63363799999999992</v>
      </c>
      <c r="U2080" s="37">
        <f t="shared" si="53"/>
        <v>0.61003999999999992</v>
      </c>
      <c r="V2080" s="37">
        <f t="shared" si="53"/>
        <v>0.56012100000000009</v>
      </c>
      <c r="W2080" s="37">
        <f t="shared" si="53"/>
        <v>0.55537000000000014</v>
      </c>
      <c r="X2080" s="37">
        <f t="shared" si="53"/>
        <v>0.40463799999999983</v>
      </c>
      <c r="Y2080" s="37">
        <f t="shared" si="53"/>
        <v>0.26997099999999996</v>
      </c>
      <c r="Z2080" s="37">
        <f>IF(Z2079="",Y2080,Z2079/100-1)</f>
        <v>0.40966600000000009</v>
      </c>
      <c r="AA2080" s="37">
        <f t="shared" si="53"/>
        <v>0.33925800000000006</v>
      </c>
      <c r="AB2080" s="37">
        <f t="shared" si="53"/>
        <v>0.32948700000000009</v>
      </c>
      <c r="AC2080" s="37">
        <f t="shared" si="53"/>
        <v>0.46669399999999994</v>
      </c>
      <c r="AD2080" s="37">
        <f t="shared" si="53"/>
        <v>0.52292699999999992</v>
      </c>
      <c r="AE2080" s="37">
        <f t="shared" si="53"/>
        <v>0.47117100000000001</v>
      </c>
      <c r="AF2080" s="37">
        <f t="shared" si="53"/>
        <v>0.47117100000000001</v>
      </c>
    </row>
    <row r="2081" spans="1:10" hidden="1" outlineLevel="1" x14ac:dyDescent="0.25">
      <c r="A2081" s="931">
        <v>0.05</v>
      </c>
      <c r="B2081" s="695" t="s">
        <v>2021</v>
      </c>
      <c r="C2081" s="932">
        <v>16784.976999999999</v>
      </c>
      <c r="D2081" s="810">
        <v>32688.400000000001</v>
      </c>
      <c r="E2081" s="3834"/>
      <c r="F2081" s="3826"/>
      <c r="G2081" s="78"/>
      <c r="J2081" s="31"/>
    </row>
    <row r="2082" spans="1:10" collapsed="1" x14ac:dyDescent="0.25">
      <c r="A2082" s="3811" t="s">
        <v>303</v>
      </c>
      <c r="B2082" s="3812"/>
      <c r="C2082" s="3812"/>
      <c r="D2082" s="3812"/>
      <c r="E2082" s="933"/>
      <c r="F2082" s="934">
        <v>0.30470449999999999</v>
      </c>
      <c r="G2082" s="97" t="s">
        <v>781</v>
      </c>
      <c r="H2082" s="69" t="s">
        <v>2272</v>
      </c>
      <c r="I2082" s="261">
        <f>AVERAGE(I2080:AF2080)</f>
        <v>0.47293933333333332</v>
      </c>
      <c r="J2082" s="31"/>
    </row>
    <row r="2083" spans="1:10" x14ac:dyDescent="0.25">
      <c r="A2083" s="1"/>
      <c r="B2083" s="1"/>
      <c r="C2083" s="1"/>
      <c r="D2083" s="1"/>
      <c r="E2083" s="1"/>
      <c r="F2083" s="1848"/>
      <c r="G2083" s="78"/>
      <c r="J2083" s="31"/>
    </row>
    <row r="2084" spans="1:10" hidden="1" outlineLevel="1" x14ac:dyDescent="0.25">
      <c r="A2084" s="689" t="s">
        <v>113</v>
      </c>
      <c r="B2084" s="689" t="s">
        <v>114</v>
      </c>
      <c r="C2084" s="689" t="s">
        <v>112</v>
      </c>
      <c r="D2084" s="689" t="s">
        <v>116</v>
      </c>
      <c r="E2084" s="689" t="s">
        <v>117</v>
      </c>
      <c r="F2084" s="1188" t="s">
        <v>121</v>
      </c>
      <c r="G2084" s="78"/>
      <c r="J2084" s="31"/>
    </row>
    <row r="2085" spans="1:10" hidden="1" outlineLevel="1" x14ac:dyDescent="0.25">
      <c r="A2085" s="690">
        <v>1</v>
      </c>
      <c r="B2085" s="691" t="s">
        <v>252</v>
      </c>
      <c r="C2085" s="692"/>
      <c r="D2085" s="692"/>
      <c r="E2085" s="693"/>
      <c r="F2085" s="694"/>
      <c r="G2085" s="78"/>
      <c r="J2085" s="31"/>
    </row>
    <row r="2086" spans="1:10" hidden="1" outlineLevel="1" x14ac:dyDescent="0.25">
      <c r="A2086" s="695"/>
      <c r="B2086" s="695"/>
      <c r="C2086" s="696"/>
      <c r="D2086" s="697" t="s">
        <v>3702</v>
      </c>
      <c r="E2086" s="698">
        <v>41089</v>
      </c>
      <c r="F2086" s="699"/>
      <c r="G2086" s="78"/>
      <c r="J2086" s="31"/>
    </row>
    <row r="2087" spans="1:10" hidden="1" outlineLevel="1" x14ac:dyDescent="0.25">
      <c r="A2087" s="689" t="s">
        <v>4156</v>
      </c>
      <c r="B2087" s="689" t="s">
        <v>4153</v>
      </c>
      <c r="C2087" s="700" t="s">
        <v>112</v>
      </c>
      <c r="D2087" s="689" t="s">
        <v>4155</v>
      </c>
      <c r="E2087" s="689" t="s">
        <v>4154</v>
      </c>
      <c r="F2087" s="1021" t="s">
        <v>3374</v>
      </c>
      <c r="G2087" s="78"/>
      <c r="J2087" s="31"/>
    </row>
    <row r="2088" spans="1:10" hidden="1" outlineLevel="1" x14ac:dyDescent="0.25">
      <c r="A2088" s="734">
        <v>0.05</v>
      </c>
      <c r="B2088" s="735" t="s">
        <v>1183</v>
      </c>
      <c r="C2088" s="807">
        <v>51.354999999999997</v>
      </c>
      <c r="D2088" s="737">
        <v>35.5</v>
      </c>
      <c r="E2088" s="817">
        <v>-0.30873332684256638</v>
      </c>
      <c r="F2088" s="1021"/>
      <c r="G2088" s="78"/>
      <c r="H2088" t="e">
        <f>VLOOKUP(B2088,indexy!$A$44:$D$232,3,FALSE)</f>
        <v>#N/A</v>
      </c>
      <c r="J2088" s="31"/>
    </row>
    <row r="2089" spans="1:10" hidden="1" outlineLevel="1" x14ac:dyDescent="0.25">
      <c r="A2089" s="739">
        <v>0.05</v>
      </c>
      <c r="B2089" s="853" t="s">
        <v>51</v>
      </c>
      <c r="C2089" s="809">
        <v>53.685000000000002</v>
      </c>
      <c r="D2089" s="737">
        <v>29.1</v>
      </c>
      <c r="E2089" s="857">
        <v>-0.45794914780664986</v>
      </c>
      <c r="F2089" s="946"/>
      <c r="G2089" s="78"/>
      <c r="H2089" t="str">
        <f>VLOOKUP(B2089,indexy!$A$44:$D$232,3,FALSE)</f>
        <v>SGO FP Equity</v>
      </c>
      <c r="J2089" s="31"/>
    </row>
    <row r="2090" spans="1:10" hidden="1" outlineLevel="1" x14ac:dyDescent="0.25">
      <c r="A2090" s="739">
        <v>0.05</v>
      </c>
      <c r="B2090" s="740" t="s">
        <v>4387</v>
      </c>
      <c r="C2090" s="809">
        <v>29.408333333333331</v>
      </c>
      <c r="D2090" s="737">
        <v>17</v>
      </c>
      <c r="E2090" s="857">
        <v>-0.42193255879852642</v>
      </c>
      <c r="F2090" s="946"/>
      <c r="G2090" s="78"/>
      <c r="H2090" t="str">
        <f>VLOOKUP(B2090,indexy!$A$44:$D$232,3,FALSE)</f>
        <v>EOAN GY Equity</v>
      </c>
      <c r="J2090" s="31"/>
    </row>
    <row r="2091" spans="1:10" hidden="1" outlineLevel="1" x14ac:dyDescent="0.25">
      <c r="A2091" s="739">
        <v>0.05</v>
      </c>
      <c r="B2091" s="740" t="s">
        <v>3302</v>
      </c>
      <c r="C2091" s="809">
        <v>65.308000000000007</v>
      </c>
      <c r="D2091" s="737">
        <v>73.040000000000006</v>
      </c>
      <c r="E2091" s="857">
        <v>0.11839284620567159</v>
      </c>
      <c r="F2091" s="946"/>
      <c r="G2091" s="78"/>
      <c r="H2091" t="str">
        <f>VLOOKUP(B2091,indexy!$A$44:$D$232,3,FALSE)</f>
        <v>AMGN UQ Equity</v>
      </c>
      <c r="J2091" s="31"/>
    </row>
    <row r="2092" spans="1:10" hidden="1" outlineLevel="1" x14ac:dyDescent="0.25">
      <c r="A2092" s="756">
        <v>0.05</v>
      </c>
      <c r="B2092" s="761" t="s">
        <v>1176</v>
      </c>
      <c r="C2092" s="808">
        <v>26.783000000000001</v>
      </c>
      <c r="D2092" s="759">
        <v>1.56</v>
      </c>
      <c r="E2092" s="858">
        <v>-0.94175409774857188</v>
      </c>
      <c r="F2092" s="1850" t="s">
        <v>616</v>
      </c>
      <c r="G2092" s="178" t="s">
        <v>3154</v>
      </c>
      <c r="H2092" t="str">
        <f>VLOOKUP(B2092,indexy!$A$44:$D$232,3,FALSE)</f>
        <v>AGS BB Equity</v>
      </c>
      <c r="J2092" s="31"/>
    </row>
    <row r="2093" spans="1:10" hidden="1" outlineLevel="1" x14ac:dyDescent="0.25">
      <c r="A2093" s="739">
        <v>0.05</v>
      </c>
      <c r="B2093" s="740" t="s">
        <v>3799</v>
      </c>
      <c r="C2093" s="809">
        <v>1501.9</v>
      </c>
      <c r="D2093" s="737">
        <v>1447</v>
      </c>
      <c r="E2093" s="857">
        <v>-3.6553698648378763E-2</v>
      </c>
      <c r="F2093" s="946"/>
      <c r="G2093" s="78"/>
      <c r="H2093" t="str">
        <f>VLOOKUP(B2093,indexy!$A$44:$D$232,3,FALSE)</f>
        <v>GSK LN Equity</v>
      </c>
      <c r="J2093" s="31"/>
    </row>
    <row r="2094" spans="1:10" hidden="1" outlineLevel="1" x14ac:dyDescent="0.25">
      <c r="A2094" s="756">
        <v>0.05</v>
      </c>
      <c r="B2094" s="761" t="s">
        <v>2588</v>
      </c>
      <c r="C2094" s="808">
        <v>30.306999999999999</v>
      </c>
      <c r="D2094" s="759">
        <v>5.266</v>
      </c>
      <c r="E2094" s="858">
        <v>-0.82624476193618634</v>
      </c>
      <c r="F2094" s="1850" t="s">
        <v>616</v>
      </c>
      <c r="G2094" s="178" t="s">
        <v>1330</v>
      </c>
      <c r="H2094" s="163" t="str">
        <f>VLOOKUP(B2094,indexy!$A$44:$D$232,3,FALSE)</f>
        <v>INGA NA Equity</v>
      </c>
      <c r="J2094" s="31"/>
    </row>
    <row r="2095" spans="1:10" hidden="1" outlineLevel="1" x14ac:dyDescent="0.25">
      <c r="A2095" s="739">
        <v>0.05</v>
      </c>
      <c r="B2095" s="740" t="s">
        <v>1528</v>
      </c>
      <c r="C2095" s="809">
        <v>74.385000000000005</v>
      </c>
      <c r="D2095" s="737">
        <v>119.85</v>
      </c>
      <c r="E2095" s="857">
        <v>0.61121193789070349</v>
      </c>
      <c r="F2095" s="946"/>
      <c r="G2095" s="78"/>
      <c r="H2095" t="str">
        <f>VLOOKUP(B2095,indexy!$A$44:$D$232,3,FALSE)</f>
        <v>MC FP Equity</v>
      </c>
      <c r="J2095" s="31"/>
    </row>
    <row r="2096" spans="1:10" hidden="1" outlineLevel="1" x14ac:dyDescent="0.25">
      <c r="A2096" s="756">
        <v>0.05</v>
      </c>
      <c r="B2096" s="761" t="s">
        <v>2397</v>
      </c>
      <c r="C2096" s="808">
        <v>19.306999999999999</v>
      </c>
      <c r="D2096" s="759">
        <v>47.87</v>
      </c>
      <c r="E2096" s="858">
        <v>1.4794116123685712</v>
      </c>
      <c r="F2096" s="1850" t="s">
        <v>616</v>
      </c>
      <c r="G2096" s="178" t="s">
        <v>617</v>
      </c>
      <c r="H2096" s="163" t="str">
        <f>VLOOKUP(B2096,indexy!$A$44:$D$232,3,FALSE)</f>
        <v>MSI UN Equity</v>
      </c>
      <c r="J2096" s="31"/>
    </row>
    <row r="2097" spans="1:10" hidden="1" outlineLevel="1" x14ac:dyDescent="0.25">
      <c r="A2097" s="756">
        <v>0.05</v>
      </c>
      <c r="B2097" s="761" t="s">
        <v>1190</v>
      </c>
      <c r="C2097" s="808">
        <v>15.113</v>
      </c>
      <c r="D2097" s="759">
        <v>1.62</v>
      </c>
      <c r="E2097" s="858">
        <v>-0.89280751670747038</v>
      </c>
      <c r="F2097" s="1850" t="s">
        <v>616</v>
      </c>
      <c r="G2097" s="178" t="s">
        <v>1331</v>
      </c>
      <c r="H2097" s="163" t="str">
        <f>VLOOKUP(B2097,indexy!$A$44:$D$232,3,FALSE)</f>
        <v>NOKIA FH Equity</v>
      </c>
      <c r="J2097" s="31"/>
    </row>
    <row r="2098" spans="1:10" hidden="1" outlineLevel="1" x14ac:dyDescent="0.25">
      <c r="A2098" s="739">
        <v>0.05</v>
      </c>
      <c r="B2098" s="740" t="s">
        <v>4273</v>
      </c>
      <c r="C2098" s="809">
        <v>166100</v>
      </c>
      <c r="D2098" s="737">
        <v>132700</v>
      </c>
      <c r="E2098" s="857">
        <v>-0.20108368452739311</v>
      </c>
      <c r="F2098" s="946"/>
      <c r="G2098" s="78"/>
      <c r="H2098" t="str">
        <f>VLOOKUP(B2098,indexy!$A$44:$D$232,3,FALSE)</f>
        <v>9437 JT Equity</v>
      </c>
      <c r="J2098" s="31"/>
    </row>
    <row r="2099" spans="1:10" hidden="1" outlineLevel="1" x14ac:dyDescent="0.25">
      <c r="A2099" s="739">
        <v>0.05</v>
      </c>
      <c r="B2099" s="740" t="s">
        <v>3406</v>
      </c>
      <c r="C2099" s="809">
        <v>908.35000000000014</v>
      </c>
      <c r="D2099" s="737">
        <v>1642</v>
      </c>
      <c r="E2099" s="857">
        <v>0.80767325370176657</v>
      </c>
      <c r="F2099" s="946"/>
      <c r="G2099" s="78"/>
      <c r="H2099" t="str">
        <f>VLOOKUP(B2099,indexy!$A$44:$D$232,3,FALSE)</f>
        <v>DGE LN Equity</v>
      </c>
      <c r="J2099" s="31"/>
    </row>
    <row r="2100" spans="1:10" hidden="1" outlineLevel="1" x14ac:dyDescent="0.25">
      <c r="A2100" s="739">
        <v>0.05</v>
      </c>
      <c r="B2100" s="740" t="s">
        <v>1414</v>
      </c>
      <c r="C2100" s="809">
        <v>23.15</v>
      </c>
      <c r="D2100" s="737">
        <v>23</v>
      </c>
      <c r="E2100" s="857">
        <v>-6.4794816414686096E-3</v>
      </c>
      <c r="F2100" s="946"/>
      <c r="G2100" s="78"/>
      <c r="H2100" t="str">
        <f>VLOOKUP(B2100,indexy!$A$44:$D$232,3,FALSE)</f>
        <v>PFE UN Equity</v>
      </c>
      <c r="J2100" s="31"/>
    </row>
    <row r="2101" spans="1:10" hidden="1" outlineLevel="1" x14ac:dyDescent="0.25">
      <c r="A2101" s="739">
        <v>0.05</v>
      </c>
      <c r="B2101" s="740" t="s">
        <v>1187</v>
      </c>
      <c r="C2101" s="809">
        <v>76.53</v>
      </c>
      <c r="D2101" s="737">
        <v>59.74</v>
      </c>
      <c r="E2101" s="857">
        <v>-0.21939108846204103</v>
      </c>
      <c r="F2101" s="946"/>
      <c r="G2101" s="78"/>
      <c r="H2101" t="str">
        <f>VLOOKUP(B2101,indexy!$A$44:$D$232,3,FALSE)</f>
        <v>SAN FP Equity</v>
      </c>
      <c r="J2101" s="31"/>
    </row>
    <row r="2102" spans="1:10" hidden="1" outlineLevel="1" x14ac:dyDescent="0.25">
      <c r="A2102" s="739">
        <v>0.05</v>
      </c>
      <c r="B2102" s="740" t="s">
        <v>2399</v>
      </c>
      <c r="C2102" s="809">
        <v>11.968999999999999</v>
      </c>
      <c r="D2102" s="737">
        <v>4.3239999999999998</v>
      </c>
      <c r="E2102" s="857">
        <v>-0.63873339460272371</v>
      </c>
      <c r="F2102" s="946"/>
      <c r="G2102" s="78"/>
      <c r="H2102" t="e">
        <f>VLOOKUP(B2102,indexy!$A$44:$D$232,3,FALSE)</f>
        <v>#N/A</v>
      </c>
      <c r="J2102" s="31"/>
    </row>
    <row r="2103" spans="1:10" hidden="1" outlineLevel="1" x14ac:dyDescent="0.25">
      <c r="A2103" s="739">
        <v>0.05</v>
      </c>
      <c r="B2103" s="740" t="s">
        <v>1527</v>
      </c>
      <c r="C2103" s="809">
        <v>2.1294</v>
      </c>
      <c r="D2103" s="737">
        <v>0.78049999999999997</v>
      </c>
      <c r="E2103" s="857">
        <v>-0.63346482577251817</v>
      </c>
      <c r="F2103" s="946"/>
      <c r="G2103" s="78"/>
      <c r="H2103" t="str">
        <f>VLOOKUP(B2103,indexy!$A$44:$D$232,3,FALSE)</f>
        <v>TIT IM Equity</v>
      </c>
      <c r="J2103" s="31"/>
    </row>
    <row r="2104" spans="1:10" hidden="1" outlineLevel="1" x14ac:dyDescent="0.25">
      <c r="A2104" s="739">
        <v>0.05</v>
      </c>
      <c r="B2104" s="740" t="s">
        <v>1003</v>
      </c>
      <c r="C2104" s="809">
        <v>28.669</v>
      </c>
      <c r="D2104" s="737">
        <v>29.11</v>
      </c>
      <c r="E2104" s="857">
        <v>1.5382468868812893E-2</v>
      </c>
      <c r="F2104" s="946"/>
      <c r="G2104" s="78"/>
      <c r="H2104" t="str">
        <f>VLOOKUP(B2104,indexy!$A$44:$D$232,3,FALSE)</f>
        <v>TXN UW Equity</v>
      </c>
      <c r="J2104" s="31"/>
    </row>
    <row r="2105" spans="1:10" hidden="1" outlineLevel="1" x14ac:dyDescent="0.25">
      <c r="A2105" s="739">
        <v>0.05</v>
      </c>
      <c r="B2105" s="740" t="s">
        <v>3798</v>
      </c>
      <c r="C2105" s="809">
        <v>6.7904999999999998</v>
      </c>
      <c r="D2105" s="737">
        <v>2.5419999999999998</v>
      </c>
      <c r="E2105" s="857">
        <v>-0.62565348648847663</v>
      </c>
      <c r="F2105" s="946"/>
      <c r="G2105" s="78"/>
      <c r="H2105" t="str">
        <f>VLOOKUP(B2105,indexy!$A$44:$D$232,3,FALSE)</f>
        <v>ENEL IM Equity</v>
      </c>
      <c r="J2105" s="31"/>
    </row>
    <row r="2106" spans="1:10" hidden="1" outlineLevel="1" x14ac:dyDescent="0.25">
      <c r="A2106" s="739">
        <v>0.05</v>
      </c>
      <c r="B2106" s="740" t="s">
        <v>3551</v>
      </c>
      <c r="C2106" s="809">
        <v>5828</v>
      </c>
      <c r="D2106" s="737">
        <v>3190</v>
      </c>
      <c r="E2106" s="857">
        <v>-0.4526424159231297</v>
      </c>
      <c r="F2106" s="946"/>
      <c r="G2106" s="78"/>
      <c r="H2106" t="str">
        <f>VLOOKUP(B2106,indexy!$A$44:$D$232,3,FALSE)</f>
        <v>7203 JT Equity</v>
      </c>
      <c r="J2106" s="31"/>
    </row>
    <row r="2107" spans="1:10" hidden="1" outlineLevel="1" x14ac:dyDescent="0.25">
      <c r="A2107" s="739">
        <v>0.05</v>
      </c>
      <c r="B2107" s="740" t="s">
        <v>2398</v>
      </c>
      <c r="C2107" s="809">
        <v>31.081</v>
      </c>
      <c r="D2107" s="908">
        <v>15.83</v>
      </c>
      <c r="E2107" s="818">
        <v>-0.49068562787555092</v>
      </c>
      <c r="F2107" s="1023"/>
      <c r="G2107" s="78"/>
      <c r="H2107" t="e">
        <f>VLOOKUP(B2107,indexy!$A$44:$D$232,3,FALSE)</f>
        <v>#N/A</v>
      </c>
      <c r="J2107" s="31"/>
    </row>
    <row r="2108" spans="1:10" hidden="1" outlineLevel="1" x14ac:dyDescent="0.25">
      <c r="A2108" s="717"/>
      <c r="B2108" s="718"/>
      <c r="C2108" s="867"/>
      <c r="D2108" s="886"/>
      <c r="E2108" s="820"/>
      <c r="F2108" s="770"/>
      <c r="G2108" s="78"/>
      <c r="J2108" s="31"/>
    </row>
    <row r="2109" spans="1:10" hidden="1" outlineLevel="1" x14ac:dyDescent="0.25">
      <c r="A2109" s="935" t="s">
        <v>4072</v>
      </c>
      <c r="B2109" s="718"/>
      <c r="C2109" s="867"/>
      <c r="D2109" s="886"/>
      <c r="E2109" s="820"/>
      <c r="F2109" s="770">
        <v>4.3999999999999997E-2</v>
      </c>
      <c r="G2109" s="78"/>
      <c r="J2109" s="31"/>
    </row>
    <row r="2110" spans="1:10" hidden="1" outlineLevel="1" x14ac:dyDescent="0.25">
      <c r="A2110" s="935" t="s">
        <v>4073</v>
      </c>
      <c r="B2110" s="750" t="s">
        <v>2900</v>
      </c>
      <c r="C2110" s="867"/>
      <c r="D2110" s="886"/>
      <c r="E2110" s="820"/>
      <c r="F2110" s="770">
        <v>2.9333333333333333E-2</v>
      </c>
      <c r="G2110" s="78"/>
      <c r="J2110" s="31"/>
    </row>
    <row r="2111" spans="1:10" hidden="1" outlineLevel="1" x14ac:dyDescent="0.25">
      <c r="A2111" s="935" t="s">
        <v>4074</v>
      </c>
      <c r="B2111" s="718" t="s">
        <v>615</v>
      </c>
      <c r="C2111" s="867"/>
      <c r="D2111" s="886"/>
      <c r="E2111" s="820"/>
      <c r="F2111" s="770">
        <v>1.95E-2</v>
      </c>
      <c r="G2111" s="78"/>
      <c r="J2111" s="31"/>
    </row>
    <row r="2112" spans="1:10" hidden="1" outlineLevel="1" x14ac:dyDescent="0.25">
      <c r="A2112" s="935" t="s">
        <v>4075</v>
      </c>
      <c r="B2112" s="718" t="s">
        <v>3093</v>
      </c>
      <c r="C2112" s="867"/>
      <c r="D2112" s="886"/>
      <c r="E2112" s="820"/>
      <c r="F2112" s="770">
        <v>1.2999999999999999E-2</v>
      </c>
      <c r="G2112" s="78"/>
      <c r="J2112" s="31"/>
    </row>
    <row r="2113" spans="1:15" hidden="1" outlineLevel="1" x14ac:dyDescent="0.25">
      <c r="A2113" s="935" t="s">
        <v>4076</v>
      </c>
      <c r="B2113" s="718" t="s">
        <v>3966</v>
      </c>
      <c r="C2113" s="867"/>
      <c r="D2113" s="886"/>
      <c r="E2113" s="820"/>
      <c r="F2113" s="770">
        <v>8.6999999999999994E-3</v>
      </c>
      <c r="G2113" s="78"/>
      <c r="J2113" s="31"/>
    </row>
    <row r="2114" spans="1:15" hidden="1" outlineLevel="1" x14ac:dyDescent="0.25">
      <c r="A2114" s="935" t="s">
        <v>3345</v>
      </c>
      <c r="B2114" s="718" t="s">
        <v>5279</v>
      </c>
      <c r="C2114" s="867"/>
      <c r="D2114" s="886"/>
      <c r="E2114" s="820"/>
      <c r="F2114" s="770">
        <v>5.7999999999999996E-3</v>
      </c>
      <c r="G2114" s="78"/>
      <c r="J2114" s="31"/>
    </row>
    <row r="2115" spans="1:15" collapsed="1" x14ac:dyDescent="0.25">
      <c r="A2115" s="3801" t="s">
        <v>2245</v>
      </c>
      <c r="B2115" s="3802"/>
      <c r="C2115" s="3802"/>
      <c r="D2115" s="3802"/>
      <c r="E2115" s="821"/>
      <c r="F2115" s="752">
        <v>0.12033333333333333</v>
      </c>
      <c r="G2115" s="97" t="s">
        <v>781</v>
      </c>
      <c r="J2115" s="31"/>
    </row>
    <row r="2116" spans="1:15" x14ac:dyDescent="0.25">
      <c r="A2116" s="1"/>
      <c r="B2116" s="1"/>
      <c r="C2116" s="1"/>
      <c r="D2116" s="1"/>
      <c r="E2116" s="1"/>
      <c r="F2116" s="1848"/>
      <c r="G2116" s="78"/>
      <c r="J2116" s="31"/>
    </row>
    <row r="2117" spans="1:15" hidden="1" outlineLevel="1" x14ac:dyDescent="0.25">
      <c r="A2117" s="689" t="s">
        <v>113</v>
      </c>
      <c r="B2117" s="689" t="s">
        <v>114</v>
      </c>
      <c r="C2117" s="689" t="s">
        <v>112</v>
      </c>
      <c r="D2117" s="689" t="s">
        <v>116</v>
      </c>
      <c r="E2117" s="689" t="s">
        <v>117</v>
      </c>
      <c r="F2117" s="1188" t="s">
        <v>121</v>
      </c>
      <c r="G2117" s="78"/>
      <c r="J2117" s="31"/>
    </row>
    <row r="2118" spans="1:15" hidden="1" outlineLevel="1" x14ac:dyDescent="0.25">
      <c r="A2118" s="690">
        <v>1</v>
      </c>
      <c r="B2118" s="691" t="s">
        <v>252</v>
      </c>
      <c r="C2118" s="692">
        <v>100</v>
      </c>
      <c r="D2118" s="692"/>
      <c r="E2118" s="693"/>
      <c r="F2118" s="694"/>
      <c r="G2118" s="78"/>
      <c r="J2118" s="31"/>
    </row>
    <row r="2119" spans="1:15" hidden="1" outlineLevel="1" x14ac:dyDescent="0.25">
      <c r="A2119" s="695"/>
      <c r="B2119" s="695"/>
      <c r="C2119" s="696"/>
      <c r="D2119" s="697" t="s">
        <v>3702</v>
      </c>
      <c r="E2119" s="698">
        <v>42460</v>
      </c>
      <c r="F2119" s="699"/>
      <c r="G2119" s="78"/>
      <c r="J2119" s="31"/>
    </row>
    <row r="2120" spans="1:15" hidden="1" outlineLevel="1" x14ac:dyDescent="0.25">
      <c r="A2120" s="689" t="s">
        <v>4156</v>
      </c>
      <c r="B2120" s="689" t="s">
        <v>4153</v>
      </c>
      <c r="C2120" s="700" t="s">
        <v>112</v>
      </c>
      <c r="D2120" s="689" t="s">
        <v>116</v>
      </c>
      <c r="E2120" s="689" t="s">
        <v>4154</v>
      </c>
      <c r="F2120" s="1021" t="s">
        <v>2519</v>
      </c>
      <c r="G2120" s="78"/>
      <c r="J2120" s="31"/>
    </row>
    <row r="2121" spans="1:15" hidden="1" outlineLevel="1" x14ac:dyDescent="0.25">
      <c r="A2121" s="734">
        <v>0.04</v>
      </c>
      <c r="B2121" s="877" t="s">
        <v>56</v>
      </c>
      <c r="C2121" s="807">
        <v>1076.92</v>
      </c>
      <c r="D2121" s="737">
        <v>28.7</v>
      </c>
      <c r="E2121" s="738">
        <v>-0.97334992385692531</v>
      </c>
      <c r="F2121" s="1021">
        <v>-3.893399695427701E-2</v>
      </c>
      <c r="G2121" s="78"/>
      <c r="H2121" t="s">
        <v>55</v>
      </c>
      <c r="M2121" s="31" t="s">
        <v>2040</v>
      </c>
    </row>
    <row r="2122" spans="1:15" hidden="1" outlineLevel="1" x14ac:dyDescent="0.25">
      <c r="A2122" s="739">
        <v>7.0000000000000007E-2</v>
      </c>
      <c r="B2122" s="740" t="s">
        <v>1993</v>
      </c>
      <c r="C2122" s="809">
        <v>58.2</v>
      </c>
      <c r="D2122" s="737">
        <v>97.47</v>
      </c>
      <c r="E2122" s="742">
        <v>0.67474226804123694</v>
      </c>
      <c r="F2122" s="946">
        <v>4.7231958762886592E-2</v>
      </c>
      <c r="G2122" s="78"/>
      <c r="H2122" t="s">
        <v>2812</v>
      </c>
      <c r="I2122" s="39" t="s">
        <v>3533</v>
      </c>
      <c r="M2122" s="256">
        <v>40391</v>
      </c>
      <c r="N2122">
        <v>91.078100000000006</v>
      </c>
      <c r="O2122" s="37">
        <v>-8.9218999999999937E-2</v>
      </c>
    </row>
    <row r="2123" spans="1:15" hidden="1" outlineLevel="1" x14ac:dyDescent="0.25">
      <c r="A2123" s="739">
        <v>0.03</v>
      </c>
      <c r="B2123" s="740" t="s">
        <v>3020</v>
      </c>
      <c r="C2123" s="809">
        <v>36.585000000000001</v>
      </c>
      <c r="D2123" s="737">
        <v>56.28</v>
      </c>
      <c r="E2123" s="742">
        <v>0.53833538335383357</v>
      </c>
      <c r="F2123" s="946">
        <v>1.6150061500615008E-2</v>
      </c>
      <c r="G2123" s="78"/>
      <c r="H2123" t="s">
        <v>490</v>
      </c>
      <c r="M2123" s="256">
        <v>40422</v>
      </c>
      <c r="N2123">
        <v>98.192700000000002</v>
      </c>
      <c r="O2123" s="37">
        <v>-1.8073000000000006E-2</v>
      </c>
    </row>
    <row r="2124" spans="1:15" hidden="1" outlineLevel="1" x14ac:dyDescent="0.25">
      <c r="A2124" s="739">
        <v>0.03</v>
      </c>
      <c r="B2124" s="740" t="s">
        <v>3405</v>
      </c>
      <c r="C2124" s="809">
        <v>46.823</v>
      </c>
      <c r="D2124" s="737">
        <v>20.6</v>
      </c>
      <c r="E2124" s="742">
        <v>-0.56004527689383421</v>
      </c>
      <c r="F2124" s="946">
        <v>-1.6801358306815027E-2</v>
      </c>
      <c r="G2124" s="78"/>
      <c r="H2124" t="s">
        <v>2747</v>
      </c>
      <c r="M2124" s="256">
        <v>40452</v>
      </c>
      <c r="N2124">
        <v>102.1079</v>
      </c>
      <c r="O2124" s="37">
        <v>2.107900000000007E-2</v>
      </c>
    </row>
    <row r="2125" spans="1:15" hidden="1" outlineLevel="1" x14ac:dyDescent="0.25">
      <c r="A2125" s="739">
        <v>0.06</v>
      </c>
      <c r="B2125" s="740" t="s">
        <v>1847</v>
      </c>
      <c r="C2125" s="809">
        <v>479.61</v>
      </c>
      <c r="D2125" s="737">
        <v>38.340000000000003</v>
      </c>
      <c r="E2125" s="742">
        <v>-0.92006004878964154</v>
      </c>
      <c r="F2125" s="946">
        <v>-5.5203602927378491E-2</v>
      </c>
      <c r="G2125" s="78"/>
      <c r="H2125" t="s">
        <v>2749</v>
      </c>
      <c r="M2125" s="256">
        <v>40483</v>
      </c>
      <c r="N2125">
        <v>104.0031</v>
      </c>
      <c r="O2125" s="37">
        <v>4.0030999999999928E-2</v>
      </c>
    </row>
    <row r="2126" spans="1:15" hidden="1" outlineLevel="1" x14ac:dyDescent="0.25">
      <c r="A2126" s="739">
        <v>0.03</v>
      </c>
      <c r="B2126" s="740" t="s">
        <v>53</v>
      </c>
      <c r="C2126" s="809">
        <v>46.4</v>
      </c>
      <c r="D2126" s="737">
        <v>49.8</v>
      </c>
      <c r="E2126" s="742">
        <v>7.3275862068965525E-2</v>
      </c>
      <c r="F2126" s="946">
        <v>2.1982758620689657E-3</v>
      </c>
      <c r="G2126" s="78"/>
      <c r="H2126" t="s">
        <v>2751</v>
      </c>
      <c r="M2126" s="256">
        <v>40513</v>
      </c>
      <c r="N2126">
        <v>107.611</v>
      </c>
      <c r="O2126" s="37">
        <v>7.6110000000000122E-2</v>
      </c>
    </row>
    <row r="2127" spans="1:15" hidden="1" outlineLevel="1" x14ac:dyDescent="0.25">
      <c r="A2127" s="739">
        <v>0.06</v>
      </c>
      <c r="B2127" s="740" t="s">
        <v>3406</v>
      </c>
      <c r="C2127" s="809">
        <v>908.35000000000014</v>
      </c>
      <c r="D2127" s="737">
        <v>1245</v>
      </c>
      <c r="E2127" s="742">
        <v>0.37061705289811187</v>
      </c>
      <c r="F2127" s="946">
        <v>2.2237023173886712E-2</v>
      </c>
      <c r="G2127" s="78"/>
      <c r="H2127" t="s">
        <v>2105</v>
      </c>
      <c r="M2127" s="256">
        <v>40544</v>
      </c>
      <c r="N2127">
        <v>107.2133</v>
      </c>
      <c r="O2127" s="37">
        <v>7.2133000000000003E-2</v>
      </c>
    </row>
    <row r="2128" spans="1:15" hidden="1" outlineLevel="1" x14ac:dyDescent="0.25">
      <c r="A2128" s="739">
        <v>0.03</v>
      </c>
      <c r="B2128" s="740" t="s">
        <v>160</v>
      </c>
      <c r="C2128" s="809">
        <v>112.2</v>
      </c>
      <c r="D2128" s="737">
        <v>79.3</v>
      </c>
      <c r="E2128" s="742">
        <v>-0.29322638146167557</v>
      </c>
      <c r="F2128" s="946">
        <v>-8.7967914438502673E-3</v>
      </c>
      <c r="G2128" s="78"/>
      <c r="H2128" t="s">
        <v>1056</v>
      </c>
      <c r="M2128" s="256">
        <v>40575</v>
      </c>
      <c r="N2128">
        <v>110.4072</v>
      </c>
      <c r="O2128" s="37">
        <v>0.10407199999999994</v>
      </c>
    </row>
    <row r="2129" spans="1:15" hidden="1" outlineLevel="1" x14ac:dyDescent="0.25">
      <c r="A2129" s="739">
        <v>0.06</v>
      </c>
      <c r="B2129" s="740" t="s">
        <v>3407</v>
      </c>
      <c r="C2129" s="809">
        <v>32.807000000000002</v>
      </c>
      <c r="D2129" s="737">
        <v>17.91</v>
      </c>
      <c r="E2129" s="742">
        <v>-0.45407992196787272</v>
      </c>
      <c r="F2129" s="946">
        <v>-2.7244795318072362E-2</v>
      </c>
      <c r="G2129" s="78"/>
      <c r="H2129" t="s">
        <v>4127</v>
      </c>
      <c r="M2129" s="256">
        <v>40603</v>
      </c>
      <c r="N2129">
        <v>108.4207</v>
      </c>
      <c r="O2129" s="37">
        <v>8.4206999999999921E-2</v>
      </c>
    </row>
    <row r="2130" spans="1:15" hidden="1" outlineLevel="1" x14ac:dyDescent="0.25">
      <c r="A2130" s="739">
        <v>0.06</v>
      </c>
      <c r="B2130" s="740" t="s">
        <v>2160</v>
      </c>
      <c r="C2130" s="809">
        <v>30.321999999999999</v>
      </c>
      <c r="D2130" s="737">
        <v>34.380000000000003</v>
      </c>
      <c r="E2130" s="742">
        <v>0.13383022228085228</v>
      </c>
      <c r="F2130" s="946">
        <v>8.0298133368511375E-3</v>
      </c>
      <c r="G2130" s="78"/>
      <c r="H2130" t="s">
        <v>5507</v>
      </c>
      <c r="M2130" s="256">
        <v>40634</v>
      </c>
      <c r="N2130" s="252">
        <v>112.8813</v>
      </c>
      <c r="O2130" s="37">
        <v>0.12881300000000007</v>
      </c>
    </row>
    <row r="2131" spans="1:15" hidden="1" outlineLevel="1" x14ac:dyDescent="0.25">
      <c r="A2131" s="739">
        <v>0.04</v>
      </c>
      <c r="B2131" s="740" t="s">
        <v>3303</v>
      </c>
      <c r="C2131" s="809">
        <v>80.52</v>
      </c>
      <c r="D2131" s="737">
        <v>37.380000000000003</v>
      </c>
      <c r="E2131" s="742">
        <v>-0.53576751117734722</v>
      </c>
      <c r="F2131" s="946">
        <v>-2.143070044709389E-2</v>
      </c>
      <c r="G2131" s="78"/>
      <c r="H2131" t="e">
        <v>#N/A</v>
      </c>
      <c r="M2131" s="256">
        <v>40664</v>
      </c>
      <c r="N2131" s="252">
        <v>113.0676</v>
      </c>
      <c r="O2131" s="37">
        <v>0.13067600000000001</v>
      </c>
    </row>
    <row r="2132" spans="1:15" hidden="1" outlineLevel="1" x14ac:dyDescent="0.25">
      <c r="A2132" s="739">
        <v>0.03</v>
      </c>
      <c r="B2132" s="740" t="s">
        <v>1528</v>
      </c>
      <c r="C2132" s="809">
        <v>74.385000000000005</v>
      </c>
      <c r="D2132" s="737">
        <v>127.95</v>
      </c>
      <c r="E2132" s="742">
        <v>0.72010485985077621</v>
      </c>
      <c r="F2132" s="946">
        <v>2.1603145795523287E-2</v>
      </c>
      <c r="G2132" s="78"/>
      <c r="H2132" t="s">
        <v>4149</v>
      </c>
      <c r="M2132" s="256">
        <v>40695</v>
      </c>
      <c r="N2132">
        <v>110.2641</v>
      </c>
      <c r="O2132" s="37">
        <v>0.10264099999999998</v>
      </c>
    </row>
    <row r="2133" spans="1:15" hidden="1" outlineLevel="1" x14ac:dyDescent="0.25">
      <c r="A2133" s="739">
        <v>0.03</v>
      </c>
      <c r="B2133" s="740" t="s">
        <v>3384</v>
      </c>
      <c r="C2133" s="809">
        <v>42.878</v>
      </c>
      <c r="D2133" s="737">
        <v>38.534999999999997</v>
      </c>
      <c r="E2133" s="742">
        <v>-0.10128737347824068</v>
      </c>
      <c r="F2133" s="946">
        <v>-3.0386212043472206E-3</v>
      </c>
      <c r="G2133" s="78"/>
      <c r="H2133" t="s">
        <v>3790</v>
      </c>
      <c r="M2133" s="256">
        <v>40725</v>
      </c>
      <c r="N2133">
        <v>107.1069</v>
      </c>
      <c r="O2133" s="37">
        <v>7.1069000000000049E-2</v>
      </c>
    </row>
    <row r="2134" spans="1:15" hidden="1" outlineLevel="1" x14ac:dyDescent="0.25">
      <c r="A2134" s="739">
        <v>0.03</v>
      </c>
      <c r="B2134" s="740" t="s">
        <v>3797</v>
      </c>
      <c r="C2134" s="809">
        <v>38.627499999999998</v>
      </c>
      <c r="D2134" s="737">
        <v>50.25</v>
      </c>
      <c r="E2134" s="742">
        <v>0.3008866740016829</v>
      </c>
      <c r="F2134" s="946">
        <v>9.0266002200504857E-3</v>
      </c>
      <c r="G2134" s="78"/>
      <c r="H2134" t="s">
        <v>3848</v>
      </c>
      <c r="M2134" s="264" t="s">
        <v>2465</v>
      </c>
      <c r="N2134" s="256"/>
      <c r="O2134" s="362">
        <v>6.0294916666666677E-2</v>
      </c>
    </row>
    <row r="2135" spans="1:15" hidden="1" outlineLevel="1" x14ac:dyDescent="0.25">
      <c r="A2135" s="739">
        <v>0.04</v>
      </c>
      <c r="B2135" s="740" t="s">
        <v>3307</v>
      </c>
      <c r="C2135" s="809">
        <v>98.67</v>
      </c>
      <c r="D2135" s="737">
        <v>129</v>
      </c>
      <c r="E2135" s="742">
        <v>0.30738826391000296</v>
      </c>
      <c r="F2135" s="946">
        <v>1.2295530556400119E-2</v>
      </c>
      <c r="G2135" s="78"/>
      <c r="H2135" t="e">
        <v>#N/A</v>
      </c>
      <c r="M2135" s="302"/>
    </row>
    <row r="2136" spans="1:15" hidden="1" outlineLevel="1" x14ac:dyDescent="0.25">
      <c r="A2136" s="739">
        <v>0.03</v>
      </c>
      <c r="B2136" s="740" t="s">
        <v>161</v>
      </c>
      <c r="C2136" s="809">
        <v>596397.76</v>
      </c>
      <c r="D2136" s="737">
        <v>844000</v>
      </c>
      <c r="E2136" s="742">
        <v>0.41516292750663575</v>
      </c>
      <c r="F2136" s="946">
        <v>1.2454887825199072E-2</v>
      </c>
      <c r="G2136" s="78"/>
      <c r="H2136" t="s">
        <v>562</v>
      </c>
      <c r="M2136" s="302"/>
      <c r="N2136" s="31"/>
    </row>
    <row r="2137" spans="1:15" hidden="1" outlineLevel="1" x14ac:dyDescent="0.25">
      <c r="A2137" s="739">
        <v>0.03</v>
      </c>
      <c r="B2137" s="740" t="s">
        <v>279</v>
      </c>
      <c r="C2137" s="809">
        <v>76.56</v>
      </c>
      <c r="D2137" s="737">
        <v>101.15</v>
      </c>
      <c r="E2137" s="742">
        <v>0.32118599791013591</v>
      </c>
      <c r="F2137" s="946">
        <v>9.6355799373040764E-3</v>
      </c>
      <c r="G2137" s="78"/>
      <c r="H2137" t="s">
        <v>1468</v>
      </c>
      <c r="M2137" s="302"/>
      <c r="N2137" s="31"/>
    </row>
    <row r="2138" spans="1:15" hidden="1" outlineLevel="1" x14ac:dyDescent="0.25">
      <c r="A2138" s="739">
        <v>0.02</v>
      </c>
      <c r="B2138" s="740" t="s">
        <v>3304</v>
      </c>
      <c r="C2138" s="809">
        <v>158.52099999999999</v>
      </c>
      <c r="D2138" s="737">
        <v>253</v>
      </c>
      <c r="E2138" s="742">
        <v>0.59600305322323233</v>
      </c>
      <c r="F2138" s="946">
        <v>1.1920061064464646E-2</v>
      </c>
      <c r="G2138" s="78"/>
      <c r="H2138" t="s">
        <v>2012</v>
      </c>
      <c r="M2138" s="302"/>
      <c r="N2138" s="31"/>
    </row>
    <row r="2139" spans="1:15" hidden="1" outlineLevel="1" x14ac:dyDescent="0.25">
      <c r="A2139" s="739">
        <v>0.03</v>
      </c>
      <c r="B2139" s="740" t="s">
        <v>583</v>
      </c>
      <c r="C2139" s="809">
        <v>345.84999999999997</v>
      </c>
      <c r="D2139" s="737">
        <v>383.45</v>
      </c>
      <c r="E2139" s="742">
        <v>0.10871765216134177</v>
      </c>
      <c r="F2139" s="946">
        <v>3.2615295648402531E-3</v>
      </c>
      <c r="G2139" s="78"/>
      <c r="H2139" t="s">
        <v>1594</v>
      </c>
      <c r="M2139" s="302"/>
      <c r="N2139" s="31"/>
    </row>
    <row r="2140" spans="1:15" hidden="1" outlineLevel="1" x14ac:dyDescent="0.25">
      <c r="A2140" s="739">
        <v>7.0000000000000007E-2</v>
      </c>
      <c r="B2140" s="740" t="s">
        <v>1003</v>
      </c>
      <c r="C2140" s="809">
        <v>28.669</v>
      </c>
      <c r="D2140" s="737">
        <v>29.75</v>
      </c>
      <c r="E2140" s="742">
        <v>3.770623321357558E-2</v>
      </c>
      <c r="F2140" s="946">
        <v>2.6394363249502908E-3</v>
      </c>
      <c r="G2140" s="78"/>
      <c r="H2140" t="s">
        <v>7121</v>
      </c>
      <c r="M2140" s="302"/>
      <c r="N2140" s="31"/>
    </row>
    <row r="2141" spans="1:15" hidden="1" outlineLevel="1" x14ac:dyDescent="0.25">
      <c r="A2141" s="739">
        <v>0.03</v>
      </c>
      <c r="B2141" s="740" t="s">
        <v>3551</v>
      </c>
      <c r="C2141" s="809">
        <v>5828</v>
      </c>
      <c r="D2141" s="737">
        <v>3155</v>
      </c>
      <c r="E2141" s="742">
        <v>-0.45864790665751543</v>
      </c>
      <c r="F2141" s="946">
        <v>-1.3759437199725463E-2</v>
      </c>
      <c r="G2141" s="78"/>
      <c r="H2141" t="s">
        <v>2806</v>
      </c>
      <c r="M2141" s="302"/>
      <c r="N2141" s="31"/>
    </row>
    <row r="2142" spans="1:15" hidden="1" outlineLevel="1" x14ac:dyDescent="0.25">
      <c r="A2142" s="739">
        <v>0.06</v>
      </c>
      <c r="B2142" s="740" t="s">
        <v>507</v>
      </c>
      <c r="C2142" s="809">
        <v>17.440000000000001</v>
      </c>
      <c r="D2142" s="737">
        <v>22.65</v>
      </c>
      <c r="E2142" s="742">
        <v>0.29873853211009149</v>
      </c>
      <c r="F2142" s="946">
        <v>1.7924311926605489E-2</v>
      </c>
      <c r="G2142" s="78"/>
      <c r="H2142" t="s">
        <v>2810</v>
      </c>
      <c r="M2142" s="302"/>
      <c r="N2142" s="31"/>
    </row>
    <row r="2143" spans="1:15" hidden="1" outlineLevel="1" x14ac:dyDescent="0.25">
      <c r="A2143" s="739">
        <v>0.03</v>
      </c>
      <c r="B2143" s="740" t="s">
        <v>3385</v>
      </c>
      <c r="C2143" s="809">
        <v>52.85</v>
      </c>
      <c r="D2143" s="737">
        <v>127.7</v>
      </c>
      <c r="E2143" s="742">
        <v>1.4162724692526019</v>
      </c>
      <c r="F2143" s="946">
        <v>4.2488174077578052E-2</v>
      </c>
      <c r="G2143" s="78"/>
      <c r="H2143" t="s">
        <v>3791</v>
      </c>
      <c r="M2143" s="302"/>
      <c r="N2143" s="31"/>
    </row>
    <row r="2144" spans="1:15" hidden="1" outlineLevel="1" x14ac:dyDescent="0.25">
      <c r="A2144" s="739">
        <v>0.04</v>
      </c>
      <c r="B2144" s="740" t="s">
        <v>3305</v>
      </c>
      <c r="C2144" s="809">
        <v>28.93</v>
      </c>
      <c r="D2144" s="737">
        <v>38.619999999999997</v>
      </c>
      <c r="E2144" s="742">
        <v>0.33494642239889383</v>
      </c>
      <c r="F2144" s="946">
        <v>1.3397856895955754E-2</v>
      </c>
      <c r="G2144" s="78"/>
      <c r="H2144" t="s">
        <v>2013</v>
      </c>
      <c r="M2144" s="302"/>
      <c r="N2144" s="31"/>
    </row>
    <row r="2145" spans="1:14" hidden="1" outlineLevel="1" x14ac:dyDescent="0.25">
      <c r="A2145" s="739">
        <v>0.02</v>
      </c>
      <c r="B2145" s="740" t="s">
        <v>3306</v>
      </c>
      <c r="C2145" s="809">
        <v>625.04999999999995</v>
      </c>
      <c r="D2145" s="737">
        <v>694.5</v>
      </c>
      <c r="E2145" s="742">
        <v>0.11111111111111116</v>
      </c>
      <c r="F2145" s="946">
        <v>2.2222222222222231E-3</v>
      </c>
      <c r="G2145" s="78"/>
      <c r="H2145" t="s">
        <v>2014</v>
      </c>
      <c r="M2145" s="302"/>
      <c r="N2145" s="31"/>
    </row>
    <row r="2146" spans="1:14" hidden="1" outlineLevel="1" x14ac:dyDescent="0.25">
      <c r="A2146" s="717"/>
      <c r="B2146" s="718"/>
      <c r="C2146" s="719"/>
      <c r="D2146" s="719"/>
      <c r="E2146" s="720"/>
      <c r="F2146" s="731">
        <v>7.0999999999999994E-2</v>
      </c>
      <c r="G2146" s="78"/>
      <c r="J2146" s="31"/>
      <c r="M2146" s="21"/>
    </row>
    <row r="2147" spans="1:14" collapsed="1" x14ac:dyDescent="0.25">
      <c r="A2147" s="3801" t="s">
        <v>2246</v>
      </c>
      <c r="B2147" s="3802"/>
      <c r="C2147" s="3802"/>
      <c r="D2147" s="3802"/>
      <c r="E2147" s="721" t="s">
        <v>682</v>
      </c>
      <c r="F2147" s="722">
        <v>0.04</v>
      </c>
      <c r="G2147" s="97" t="s">
        <v>781</v>
      </c>
      <c r="J2147" s="31"/>
      <c r="M2147" s="21"/>
    </row>
    <row r="2148" spans="1:14" x14ac:dyDescent="0.25">
      <c r="A2148" s="1"/>
      <c r="B2148" s="1"/>
      <c r="C2148" s="1"/>
      <c r="D2148" s="1"/>
      <c r="E2148" s="1"/>
      <c r="F2148" s="1848"/>
      <c r="G2148" s="78"/>
      <c r="J2148" s="31"/>
      <c r="M2148" s="21"/>
    </row>
    <row r="2149" spans="1:14" hidden="1" outlineLevel="1" x14ac:dyDescent="0.25">
      <c r="A2149" s="689" t="s">
        <v>113</v>
      </c>
      <c r="B2149" s="689" t="s">
        <v>114</v>
      </c>
      <c r="C2149" s="689" t="s">
        <v>112</v>
      </c>
      <c r="D2149" s="689" t="s">
        <v>116</v>
      </c>
      <c r="E2149" s="689" t="s">
        <v>117</v>
      </c>
      <c r="F2149" s="1188" t="s">
        <v>121</v>
      </c>
      <c r="G2149" s="78"/>
      <c r="J2149" s="31"/>
      <c r="M2149" s="21"/>
    </row>
    <row r="2150" spans="1:14" hidden="1" outlineLevel="1" x14ac:dyDescent="0.25">
      <c r="A2150" s="935" t="s">
        <v>3346</v>
      </c>
      <c r="B2150" s="729" t="s">
        <v>115</v>
      </c>
      <c r="C2150" s="719">
        <v>3608.7330000000002</v>
      </c>
      <c r="D2150" s="719">
        <v>3719.11</v>
      </c>
      <c r="E2150" s="720">
        <f t="shared" ref="E2150:E2179" si="54">D2150/C2150-1</f>
        <v>3.058608104284799E-2</v>
      </c>
      <c r="F2150" s="731">
        <v>0</v>
      </c>
      <c r="G2150" s="78"/>
      <c r="J2150" s="31"/>
      <c r="M2150" s="21"/>
    </row>
    <row r="2151" spans="1:14" hidden="1" outlineLevel="1" x14ac:dyDescent="0.25">
      <c r="A2151" s="935" t="s">
        <v>3347</v>
      </c>
      <c r="B2151" s="729" t="s">
        <v>115</v>
      </c>
      <c r="C2151" s="719">
        <v>3719.11</v>
      </c>
      <c r="D2151" s="719">
        <v>3796.59</v>
      </c>
      <c r="E2151" s="720">
        <f t="shared" si="54"/>
        <v>2.0832941214430356E-2</v>
      </c>
      <c r="F2151" s="731">
        <v>0</v>
      </c>
      <c r="G2151" s="78"/>
      <c r="J2151" s="31"/>
      <c r="M2151" s="21"/>
    </row>
    <row r="2152" spans="1:14" hidden="1" outlineLevel="1" x14ac:dyDescent="0.25">
      <c r="A2152" s="935" t="s">
        <v>3348</v>
      </c>
      <c r="B2152" s="729" t="s">
        <v>115</v>
      </c>
      <c r="C2152" s="719">
        <v>3796.59</v>
      </c>
      <c r="D2152" s="719">
        <v>3999.07</v>
      </c>
      <c r="E2152" s="720">
        <f t="shared" si="54"/>
        <v>5.3332069040902486E-2</v>
      </c>
      <c r="F2152" s="731">
        <v>0</v>
      </c>
      <c r="G2152" s="78"/>
      <c r="J2152" s="31"/>
      <c r="M2152" s="21"/>
    </row>
    <row r="2153" spans="1:14" hidden="1" outlineLevel="1" x14ac:dyDescent="0.25">
      <c r="A2153" s="935" t="s">
        <v>3605</v>
      </c>
      <c r="B2153" s="729" t="s">
        <v>115</v>
      </c>
      <c r="C2153" s="719">
        <v>3999.07</v>
      </c>
      <c r="D2153" s="719">
        <v>4084.33</v>
      </c>
      <c r="E2153" s="720">
        <f t="shared" si="54"/>
        <v>2.1319956889976899E-2</v>
      </c>
      <c r="F2153" s="731">
        <v>0</v>
      </c>
      <c r="G2153" s="78"/>
      <c r="J2153" s="31"/>
      <c r="M2153" s="21"/>
    </row>
    <row r="2154" spans="1:14" hidden="1" outlineLevel="1" x14ac:dyDescent="0.25">
      <c r="A2154" s="935" t="s">
        <v>3606</v>
      </c>
      <c r="B2154" s="729" t="s">
        <v>115</v>
      </c>
      <c r="C2154" s="719">
        <v>4084.33</v>
      </c>
      <c r="D2154" s="719">
        <v>4118.84</v>
      </c>
      <c r="E2154" s="720">
        <f t="shared" si="54"/>
        <v>8.4493662363227529E-3</v>
      </c>
      <c r="F2154" s="731">
        <v>0</v>
      </c>
      <c r="G2154" s="78"/>
      <c r="J2154" s="31"/>
      <c r="M2154" s="21"/>
    </row>
    <row r="2155" spans="1:14" hidden="1" outlineLevel="1" x14ac:dyDescent="0.25">
      <c r="A2155" s="935" t="s">
        <v>3607</v>
      </c>
      <c r="B2155" s="729" t="s">
        <v>115</v>
      </c>
      <c r="C2155" s="719">
        <v>4118.84</v>
      </c>
      <c r="D2155" s="719">
        <v>4187.3599999999997</v>
      </c>
      <c r="E2155" s="720">
        <f t="shared" si="54"/>
        <v>1.6635751813617317E-2</v>
      </c>
      <c r="F2155" s="731">
        <v>0</v>
      </c>
      <c r="G2155" s="78"/>
      <c r="J2155" s="31"/>
      <c r="M2155" s="21"/>
    </row>
    <row r="2156" spans="1:14" hidden="1" outlineLevel="1" x14ac:dyDescent="0.25">
      <c r="A2156" s="935" t="s">
        <v>3608</v>
      </c>
      <c r="B2156" s="729" t="s">
        <v>115</v>
      </c>
      <c r="C2156" s="719">
        <v>4187.3599999999997</v>
      </c>
      <c r="D2156" s="719">
        <v>4267.0200000000004</v>
      </c>
      <c r="E2156" s="720">
        <f t="shared" si="54"/>
        <v>1.9023919605670514E-2</v>
      </c>
      <c r="F2156" s="731">
        <v>0</v>
      </c>
      <c r="G2156" s="78"/>
      <c r="J2156" s="31"/>
      <c r="M2156" s="21"/>
    </row>
    <row r="2157" spans="1:14" hidden="1" outlineLevel="1" x14ac:dyDescent="0.25">
      <c r="A2157" s="935" t="s">
        <v>876</v>
      </c>
      <c r="B2157" s="729" t="s">
        <v>115</v>
      </c>
      <c r="C2157" s="719">
        <v>4267.0200000000004</v>
      </c>
      <c r="D2157" s="719">
        <v>3906.15</v>
      </c>
      <c r="E2157" s="720">
        <f t="shared" si="54"/>
        <v>-8.4571902639312801E-2</v>
      </c>
      <c r="F2157" s="731">
        <v>-3.6999999999999998E-2</v>
      </c>
      <c r="G2157" s="78"/>
      <c r="J2157" s="31"/>
      <c r="M2157" s="21"/>
    </row>
    <row r="2158" spans="1:14" hidden="1" outlineLevel="1" x14ac:dyDescent="0.25">
      <c r="A2158" s="935" t="s">
        <v>2143</v>
      </c>
      <c r="B2158" s="729" t="s">
        <v>115</v>
      </c>
      <c r="C2158" s="719">
        <v>3906.15</v>
      </c>
      <c r="D2158" s="719">
        <v>4384.38</v>
      </c>
      <c r="E2158" s="720">
        <f t="shared" si="54"/>
        <v>0.12243001420836364</v>
      </c>
      <c r="F2158" s="731">
        <v>0</v>
      </c>
      <c r="G2158" s="78"/>
      <c r="J2158" s="31"/>
      <c r="M2158" s="21"/>
    </row>
    <row r="2159" spans="1:14" hidden="1" outlineLevel="1" x14ac:dyDescent="0.25">
      <c r="A2159" s="935" t="s">
        <v>2144</v>
      </c>
      <c r="B2159" s="729" t="s">
        <v>115</v>
      </c>
      <c r="C2159" s="719">
        <v>4384.38</v>
      </c>
      <c r="D2159" s="719">
        <v>4441.03</v>
      </c>
      <c r="E2159" s="720">
        <f t="shared" si="54"/>
        <v>1.2920869085252473E-2</v>
      </c>
      <c r="F2159" s="731">
        <v>0</v>
      </c>
      <c r="G2159" s="78"/>
      <c r="J2159" s="31"/>
      <c r="M2159" s="21"/>
    </row>
    <row r="2160" spans="1:14" hidden="1" outlineLevel="1" x14ac:dyDescent="0.25">
      <c r="A2160" s="935" t="s">
        <v>2145</v>
      </c>
      <c r="B2160" s="729" t="s">
        <v>115</v>
      </c>
      <c r="C2160" s="719">
        <v>4441.03</v>
      </c>
      <c r="D2160" s="719">
        <v>4485.04</v>
      </c>
      <c r="E2160" s="720">
        <f t="shared" si="54"/>
        <v>9.9098632524436958E-3</v>
      </c>
      <c r="F2160" s="731">
        <v>0</v>
      </c>
      <c r="G2160" s="78"/>
      <c r="J2160" s="31"/>
      <c r="M2160" s="21"/>
    </row>
    <row r="2161" spans="1:13" hidden="1" outlineLevel="1" x14ac:dyDescent="0.25">
      <c r="A2161" s="935" t="s">
        <v>2146</v>
      </c>
      <c r="B2161" s="729" t="s">
        <v>115</v>
      </c>
      <c r="C2161" s="719">
        <v>4485.04</v>
      </c>
      <c r="D2161" s="719">
        <v>4542.57</v>
      </c>
      <c r="E2161" s="720">
        <f t="shared" si="54"/>
        <v>1.2827087383836089E-2</v>
      </c>
      <c r="F2161" s="731">
        <v>0</v>
      </c>
      <c r="G2161" s="78"/>
      <c r="J2161" s="31"/>
      <c r="M2161" s="21"/>
    </row>
    <row r="2162" spans="1:13" hidden="1" outlineLevel="1" x14ac:dyDescent="0.25">
      <c r="A2162" s="935" t="s">
        <v>2147</v>
      </c>
      <c r="B2162" s="729" t="s">
        <v>115</v>
      </c>
      <c r="C2162" s="719">
        <v>4542.57</v>
      </c>
      <c r="D2162" s="719">
        <v>4195.6000000000004</v>
      </c>
      <c r="E2162" s="720">
        <f t="shared" si="54"/>
        <v>-7.6381871935930379E-2</v>
      </c>
      <c r="F2162" s="731">
        <v>-3.6999999999999998E-2</v>
      </c>
      <c r="G2162" s="78"/>
      <c r="J2162" s="31"/>
      <c r="M2162" s="21"/>
    </row>
    <row r="2163" spans="1:13" hidden="1" outlineLevel="1" x14ac:dyDescent="0.25">
      <c r="A2163" s="935" t="s">
        <v>145</v>
      </c>
      <c r="B2163" s="729" t="s">
        <v>115</v>
      </c>
      <c r="C2163" s="719">
        <v>4195.6000000000004</v>
      </c>
      <c r="D2163" s="719">
        <v>4221.34</v>
      </c>
      <c r="E2163" s="720">
        <f t="shared" si="54"/>
        <v>6.1349985699303833E-3</v>
      </c>
      <c r="F2163" s="731">
        <v>0</v>
      </c>
      <c r="G2163" s="78"/>
      <c r="J2163" s="31"/>
      <c r="M2163" s="21"/>
    </row>
    <row r="2164" spans="1:13" hidden="1" outlineLevel="1" x14ac:dyDescent="0.25">
      <c r="A2164" s="935" t="s">
        <v>146</v>
      </c>
      <c r="B2164" s="729" t="s">
        <v>115</v>
      </c>
      <c r="C2164" s="719">
        <v>4221.34</v>
      </c>
      <c r="D2164" s="719">
        <v>4476.0200000000004</v>
      </c>
      <c r="E2164" s="720">
        <f t="shared" si="54"/>
        <v>6.0331553487755096E-2</v>
      </c>
      <c r="F2164" s="731">
        <v>0</v>
      </c>
      <c r="G2164" s="78"/>
      <c r="J2164" s="31"/>
      <c r="M2164" s="21"/>
    </row>
    <row r="2165" spans="1:13" hidden="1" outlineLevel="1" x14ac:dyDescent="0.25">
      <c r="A2165" s="935" t="s">
        <v>2684</v>
      </c>
      <c r="B2165" s="729" t="s">
        <v>115</v>
      </c>
      <c r="C2165" s="719">
        <v>4476.0200000000004</v>
      </c>
      <c r="D2165" s="719">
        <v>4338.28</v>
      </c>
      <c r="E2165" s="720">
        <f t="shared" si="54"/>
        <v>-3.0772874115844173E-2</v>
      </c>
      <c r="F2165" s="731">
        <v>-3.6999999999999998E-2</v>
      </c>
      <c r="G2165" s="78"/>
      <c r="J2165" s="31"/>
      <c r="M2165" s="21"/>
    </row>
    <row r="2166" spans="1:13" hidden="1" outlineLevel="1" x14ac:dyDescent="0.25">
      <c r="A2166" s="935" t="s">
        <v>2685</v>
      </c>
      <c r="B2166" s="729" t="s">
        <v>115</v>
      </c>
      <c r="C2166" s="719">
        <v>4338.28</v>
      </c>
      <c r="D2166" s="719">
        <v>4384.6499999999996</v>
      </c>
      <c r="E2166" s="720">
        <f t="shared" si="54"/>
        <v>1.0688567819504557E-2</v>
      </c>
      <c r="F2166" s="731">
        <v>0</v>
      </c>
      <c r="G2166" s="78"/>
      <c r="J2166" s="31"/>
      <c r="M2166" s="21"/>
    </row>
    <row r="2167" spans="1:13" hidden="1" outlineLevel="1" x14ac:dyDescent="0.25">
      <c r="A2167" s="935" t="s">
        <v>2686</v>
      </c>
      <c r="B2167" s="729" t="s">
        <v>115</v>
      </c>
      <c r="C2167" s="719">
        <v>4384.6499999999996</v>
      </c>
      <c r="D2167" s="719">
        <v>4140.9399999999996</v>
      </c>
      <c r="E2167" s="720">
        <f t="shared" si="54"/>
        <v>-5.5582543646585214E-2</v>
      </c>
      <c r="F2167" s="731">
        <v>-3.6999999999999998E-2</v>
      </c>
      <c r="G2167" s="78"/>
      <c r="J2167" s="31"/>
      <c r="M2167" s="21"/>
    </row>
    <row r="2168" spans="1:13" hidden="1" outlineLevel="1" x14ac:dyDescent="0.25">
      <c r="A2168" s="935" t="s">
        <v>2687</v>
      </c>
      <c r="B2168" s="729" t="s">
        <v>115</v>
      </c>
      <c r="C2168" s="719">
        <v>4140.9399999999996</v>
      </c>
      <c r="D2168" s="719">
        <v>3797.89</v>
      </c>
      <c r="E2168" s="720">
        <f t="shared" si="54"/>
        <v>-8.2843508961733314E-2</v>
      </c>
      <c r="F2168" s="731">
        <v>-3.6999999999999998E-2</v>
      </c>
      <c r="G2168" s="78"/>
      <c r="J2168" s="31"/>
      <c r="M2168" s="21"/>
    </row>
    <row r="2169" spans="1:13" hidden="1" outlineLevel="1" x14ac:dyDescent="0.25">
      <c r="A2169" s="935" t="s">
        <v>3935</v>
      </c>
      <c r="B2169" s="729" t="s">
        <v>115</v>
      </c>
      <c r="C2169" s="719">
        <v>3797.89</v>
      </c>
      <c r="D2169" s="719">
        <v>3566.59</v>
      </c>
      <c r="E2169" s="720">
        <f t="shared" si="54"/>
        <v>-6.090223782152715E-2</v>
      </c>
      <c r="F2169" s="731">
        <v>-3.6999999999999998E-2</v>
      </c>
      <c r="G2169" s="78"/>
      <c r="J2169" s="31"/>
      <c r="M2169" s="21"/>
    </row>
    <row r="2170" spans="1:13" hidden="1" outlineLevel="1" x14ac:dyDescent="0.25">
      <c r="A2170" s="935" t="s">
        <v>3888</v>
      </c>
      <c r="B2170" s="729" t="s">
        <v>115</v>
      </c>
      <c r="C2170" s="719">
        <v>3566.59</v>
      </c>
      <c r="D2170" s="719">
        <v>3671.28</v>
      </c>
      <c r="E2170" s="720">
        <f t="shared" si="54"/>
        <v>2.9352967400233743E-2</v>
      </c>
      <c r="F2170" s="731">
        <v>0</v>
      </c>
      <c r="G2170" s="78"/>
      <c r="J2170" s="31"/>
      <c r="M2170" s="21"/>
    </row>
    <row r="2171" spans="1:13" hidden="1" outlineLevel="1" x14ac:dyDescent="0.25">
      <c r="A2171" s="935" t="s">
        <v>3889</v>
      </c>
      <c r="B2171" s="729" t="s">
        <v>115</v>
      </c>
      <c r="C2171" s="719">
        <v>3671.28</v>
      </c>
      <c r="D2171" s="719">
        <v>3854.86</v>
      </c>
      <c r="E2171" s="720">
        <f t="shared" si="54"/>
        <v>5.0004358153014739E-2</v>
      </c>
      <c r="F2171" s="731">
        <v>0</v>
      </c>
      <c r="G2171" s="78"/>
      <c r="J2171" s="31"/>
      <c r="M2171" s="21"/>
    </row>
    <row r="2172" spans="1:13" hidden="1" outlineLevel="1" x14ac:dyDescent="0.25">
      <c r="A2172" s="935" t="s">
        <v>3890</v>
      </c>
      <c r="B2172" s="729" t="s">
        <v>115</v>
      </c>
      <c r="C2172" s="719">
        <v>3854.86</v>
      </c>
      <c r="D2172" s="719">
        <v>3562.67</v>
      </c>
      <c r="E2172" s="720">
        <f t="shared" si="54"/>
        <v>-7.5797824045490625E-2</v>
      </c>
      <c r="F2172" s="731">
        <v>-3.6999999999999998E-2</v>
      </c>
      <c r="G2172" s="78"/>
      <c r="H2172" s="74"/>
      <c r="J2172" s="31"/>
      <c r="M2172" s="21"/>
    </row>
    <row r="2173" spans="1:13" hidden="1" outlineLevel="1" x14ac:dyDescent="0.25">
      <c r="A2173" s="935" t="s">
        <v>3891</v>
      </c>
      <c r="B2173" s="729" t="s">
        <v>115</v>
      </c>
      <c r="C2173" s="719">
        <v>3562.67</v>
      </c>
      <c r="D2173" s="719">
        <v>3216.24</v>
      </c>
      <c r="E2173" s="720">
        <f t="shared" si="54"/>
        <v>-9.7238868601357997E-2</v>
      </c>
      <c r="F2173" s="731">
        <v>-3.6999999999999998E-2</v>
      </c>
      <c r="G2173" s="78"/>
      <c r="H2173" s="101"/>
      <c r="J2173" s="31"/>
      <c r="M2173" s="21"/>
    </row>
    <row r="2174" spans="1:13" hidden="1" outlineLevel="1" x14ac:dyDescent="0.25">
      <c r="A2174" s="935" t="s">
        <v>3892</v>
      </c>
      <c r="B2174" s="729" t="s">
        <v>115</v>
      </c>
      <c r="C2174" s="719">
        <v>3216.24</v>
      </c>
      <c r="D2174" s="719">
        <v>3356.84</v>
      </c>
      <c r="E2174" s="720">
        <f t="shared" si="54"/>
        <v>4.3715643111210678E-2</v>
      </c>
      <c r="F2174" s="731">
        <v>0</v>
      </c>
      <c r="G2174" s="78"/>
      <c r="J2174" s="31"/>
      <c r="M2174" s="21"/>
    </row>
    <row r="2175" spans="1:13" hidden="1" outlineLevel="1" x14ac:dyDescent="0.25">
      <c r="A2175" s="935" t="s">
        <v>4364</v>
      </c>
      <c r="B2175" s="729" t="s">
        <v>115</v>
      </c>
      <c r="C2175" s="719">
        <v>3356.84</v>
      </c>
      <c r="D2175" s="719">
        <v>3278.02</v>
      </c>
      <c r="E2175" s="720">
        <f t="shared" si="54"/>
        <v>-2.3480416105623236E-2</v>
      </c>
      <c r="F2175" s="731">
        <v>-3.6999999999999998E-2</v>
      </c>
      <c r="G2175" s="78"/>
      <c r="J2175" s="31"/>
      <c r="M2175" s="21"/>
    </row>
    <row r="2176" spans="1:13" hidden="1" outlineLevel="1" x14ac:dyDescent="0.25">
      <c r="A2176" s="935" t="s">
        <v>4365</v>
      </c>
      <c r="B2176" s="729" t="s">
        <v>115</v>
      </c>
      <c r="C2176" s="719">
        <v>3278.02</v>
      </c>
      <c r="D2176" s="719">
        <v>2756.74</v>
      </c>
      <c r="E2176" s="720">
        <f t="shared" si="54"/>
        <v>-0.15902282475396745</v>
      </c>
      <c r="F2176" s="731">
        <v>-3.6999999999999998E-2</v>
      </c>
      <c r="G2176" s="78"/>
      <c r="J2176" s="31"/>
      <c r="M2176" s="21"/>
    </row>
    <row r="2177" spans="1:13" hidden="1" outlineLevel="1" x14ac:dyDescent="0.25">
      <c r="A2177" s="935" t="s">
        <v>4366</v>
      </c>
      <c r="B2177" s="729" t="s">
        <v>115</v>
      </c>
      <c r="C2177" s="719">
        <v>2756.74</v>
      </c>
      <c r="D2177" s="719">
        <v>2456.4299999999998</v>
      </c>
      <c r="E2177" s="720">
        <f t="shared" si="54"/>
        <v>-0.10893664255606261</v>
      </c>
      <c r="F2177" s="731">
        <v>-3.6999999999999998E-2</v>
      </c>
      <c r="G2177" s="78"/>
      <c r="J2177" s="31"/>
      <c r="M2177" s="21"/>
    </row>
    <row r="2178" spans="1:13" hidden="1" outlineLevel="1" x14ac:dyDescent="0.25">
      <c r="A2178" s="935" t="s">
        <v>4367</v>
      </c>
      <c r="B2178" s="729" t="s">
        <v>115</v>
      </c>
      <c r="C2178" s="719">
        <v>2456.4299999999998</v>
      </c>
      <c r="D2178" s="719">
        <v>2418.91</v>
      </c>
      <c r="E2178" s="720">
        <f t="shared" si="54"/>
        <v>-1.5274198735563349E-2</v>
      </c>
      <c r="F2178" s="731">
        <v>-3.6999999999999998E-2</v>
      </c>
      <c r="G2178" s="78"/>
      <c r="J2178" s="31"/>
      <c r="M2178" s="21"/>
    </row>
    <row r="2179" spans="1:13" hidden="1" outlineLevel="1" x14ac:dyDescent="0.25">
      <c r="A2179" s="935" t="s">
        <v>4368</v>
      </c>
      <c r="B2179" s="729" t="s">
        <v>115</v>
      </c>
      <c r="C2179" s="719">
        <v>2418.91</v>
      </c>
      <c r="D2179" s="719">
        <v>2462.9290000000001</v>
      </c>
      <c r="E2179" s="720">
        <f t="shared" si="54"/>
        <v>1.8197865980958516E-2</v>
      </c>
      <c r="F2179" s="731">
        <v>0</v>
      </c>
      <c r="G2179" s="78"/>
      <c r="H2179" s="101"/>
      <c r="J2179" s="31"/>
      <c r="M2179" s="21"/>
    </row>
    <row r="2180" spans="1:13" ht="12.75" customHeight="1" collapsed="1" x14ac:dyDescent="0.25">
      <c r="A2180" s="3801" t="s">
        <v>2070</v>
      </c>
      <c r="B2180" s="3802"/>
      <c r="C2180" s="3802"/>
      <c r="D2180" s="3802"/>
      <c r="E2180" s="721" t="s">
        <v>2722</v>
      </c>
      <c r="F2180" s="722">
        <f>50%+SUM(F2150:F2179)</f>
        <v>5.6000000000000105E-2</v>
      </c>
      <c r="G2180" s="175" t="s">
        <v>781</v>
      </c>
      <c r="J2180" s="31"/>
      <c r="M2180" s="21"/>
    </row>
    <row r="2181" spans="1:13" x14ac:dyDescent="0.25">
      <c r="A2181" s="1"/>
      <c r="B2181" s="1"/>
      <c r="C2181" s="1"/>
      <c r="D2181" s="1"/>
      <c r="E2181" s="1"/>
      <c r="F2181" s="1848"/>
      <c r="G2181" s="78"/>
      <c r="H2181" s="101"/>
      <c r="J2181" s="31"/>
    </row>
    <row r="2182" spans="1:13" hidden="1" outlineLevel="1" x14ac:dyDescent="0.25">
      <c r="A2182" s="689" t="s">
        <v>113</v>
      </c>
      <c r="B2182" s="689" t="s">
        <v>114</v>
      </c>
      <c r="C2182" s="689" t="s">
        <v>112</v>
      </c>
      <c r="D2182" s="689" t="s">
        <v>116</v>
      </c>
      <c r="E2182" s="689" t="s">
        <v>117</v>
      </c>
      <c r="F2182" s="1188" t="s">
        <v>121</v>
      </c>
      <c r="G2182" s="78"/>
      <c r="J2182" s="31"/>
    </row>
    <row r="2183" spans="1:13" hidden="1" outlineLevel="1" x14ac:dyDescent="0.25">
      <c r="A2183" s="690">
        <v>1</v>
      </c>
      <c r="B2183" s="691" t="s">
        <v>252</v>
      </c>
      <c r="C2183" s="692">
        <v>100</v>
      </c>
      <c r="D2183" s="692"/>
      <c r="E2183" s="693"/>
      <c r="F2183" s="694"/>
      <c r="G2183" s="78"/>
      <c r="J2183" s="31"/>
    </row>
    <row r="2184" spans="1:13" hidden="1" outlineLevel="1" x14ac:dyDescent="0.25">
      <c r="A2184" s="695"/>
      <c r="B2184" s="695"/>
      <c r="C2184" s="696"/>
      <c r="D2184" s="697" t="s">
        <v>3702</v>
      </c>
      <c r="E2184" s="698">
        <v>41152</v>
      </c>
      <c r="F2184" s="699"/>
      <c r="G2184" s="78"/>
      <c r="J2184" s="31"/>
    </row>
    <row r="2185" spans="1:13" hidden="1" outlineLevel="1" x14ac:dyDescent="0.25">
      <c r="A2185" s="689" t="s">
        <v>4156</v>
      </c>
      <c r="B2185" s="689" t="s">
        <v>4153</v>
      </c>
      <c r="C2185" s="700" t="s">
        <v>112</v>
      </c>
      <c r="D2185" s="689" t="s">
        <v>4155</v>
      </c>
      <c r="E2185" s="689" t="s">
        <v>4154</v>
      </c>
      <c r="F2185" s="1021" t="s">
        <v>2519</v>
      </c>
      <c r="G2185" s="78"/>
      <c r="J2185" s="31" t="s">
        <v>2040</v>
      </c>
    </row>
    <row r="2186" spans="1:13" hidden="1" outlineLevel="1" x14ac:dyDescent="0.25">
      <c r="A2186" s="734">
        <v>0.05</v>
      </c>
      <c r="B2186" s="735" t="s">
        <v>44</v>
      </c>
      <c r="C2186" s="807">
        <v>5.0483000000000002</v>
      </c>
      <c r="D2186" s="737">
        <v>1.25</v>
      </c>
      <c r="E2186" s="738">
        <v>-0.75239189430105191</v>
      </c>
      <c r="F2186" s="1021">
        <v>-3.76195947150526E-2</v>
      </c>
      <c r="G2186" s="78"/>
      <c r="H2186" t="str">
        <f>VLOOKUP(B2186,indexy!$A$44:$D$232,3,FALSE)</f>
        <v>ISP IM Equity</v>
      </c>
      <c r="J2186" s="256">
        <v>40603</v>
      </c>
      <c r="K2186" s="424">
        <v>95.209100000000007</v>
      </c>
      <c r="L2186" s="37">
        <f>IF(K2186="",L2185,K2186/100-1)</f>
        <v>-4.7908999999999979E-2</v>
      </c>
    </row>
    <row r="2187" spans="1:13" hidden="1" outlineLevel="1" x14ac:dyDescent="0.25">
      <c r="A2187" s="739">
        <v>0.05</v>
      </c>
      <c r="B2187" s="740" t="s">
        <v>874</v>
      </c>
      <c r="C2187" s="809">
        <v>234.73000000000002</v>
      </c>
      <c r="D2187" s="737">
        <v>275.60000000000002</v>
      </c>
      <c r="E2187" s="742">
        <v>0.17411494057001664</v>
      </c>
      <c r="F2187" s="946">
        <v>8.7057470285008317E-3</v>
      </c>
      <c r="G2187" s="78"/>
      <c r="H2187" t="str">
        <f>VLOOKUP(B2187,indexy!$A$44:$D$232,3,FALSE)</f>
        <v>KGF LN Equity</v>
      </c>
      <c r="J2187" s="256">
        <v>40634</v>
      </c>
      <c r="K2187" s="424">
        <v>98.5364</v>
      </c>
      <c r="L2187" s="37">
        <f t="shared" ref="L2187:L2203" si="55">IF(K2187="",L2186,K2187/100-1)</f>
        <v>-1.4635999999999982E-2</v>
      </c>
    </row>
    <row r="2188" spans="1:13" hidden="1" outlineLevel="1" x14ac:dyDescent="0.25">
      <c r="A2188" s="739">
        <v>0.05</v>
      </c>
      <c r="B2188" s="740" t="s">
        <v>2628</v>
      </c>
      <c r="C2188" s="809">
        <v>6.2153999999999998</v>
      </c>
      <c r="D2188" s="737">
        <v>0.68100000000000005</v>
      </c>
      <c r="E2188" s="742">
        <v>-0.89043343952118925</v>
      </c>
      <c r="F2188" s="946">
        <v>-4.4521671976059468E-2</v>
      </c>
      <c r="G2188" s="78"/>
      <c r="H2188" t="e">
        <f>VLOOKUP(B2188,indexy!$A$44:$D$232,3,FALSE)</f>
        <v>#N/A</v>
      </c>
      <c r="J2188" s="256">
        <v>40664</v>
      </c>
      <c r="K2188" s="424">
        <v>97.671000000000006</v>
      </c>
      <c r="L2188" s="37">
        <f t="shared" si="55"/>
        <v>-2.3289999999999922E-2</v>
      </c>
    </row>
    <row r="2189" spans="1:13" hidden="1" outlineLevel="1" x14ac:dyDescent="0.25">
      <c r="A2189" s="739">
        <v>0.05</v>
      </c>
      <c r="B2189" s="740" t="s">
        <v>2629</v>
      </c>
      <c r="C2189" s="809">
        <v>11.502000000000001</v>
      </c>
      <c r="D2189" s="737">
        <v>9.4849999999999994</v>
      </c>
      <c r="E2189" s="742">
        <v>-0.17536080681620603</v>
      </c>
      <c r="F2189" s="946">
        <v>-8.7680403408103014E-3</v>
      </c>
      <c r="G2189" s="78"/>
      <c r="H2189" t="str">
        <f>VLOOKUP(B2189,indexy!$A$44:$D$232,3,FALSE)</f>
        <v>DTE GY Equity</v>
      </c>
      <c r="J2189" s="256">
        <v>40695</v>
      </c>
      <c r="K2189" s="424">
        <v>95.854299999999995</v>
      </c>
      <c r="L2189" s="37">
        <f t="shared" si="55"/>
        <v>-4.1457000000000077E-2</v>
      </c>
    </row>
    <row r="2190" spans="1:13" hidden="1" outlineLevel="1" x14ac:dyDescent="0.25">
      <c r="A2190" s="739">
        <v>0.05</v>
      </c>
      <c r="B2190" s="740" t="s">
        <v>2630</v>
      </c>
      <c r="C2190" s="809">
        <v>16.544</v>
      </c>
      <c r="D2190" s="737">
        <v>10.994999999999999</v>
      </c>
      <c r="E2190" s="742">
        <v>-0.33540860735009681</v>
      </c>
      <c r="F2190" s="946">
        <v>-1.6770430367504842E-2</v>
      </c>
      <c r="G2190" s="78"/>
      <c r="H2190" t="e">
        <f>VLOOKUP(B2190,indexy!$A$44:$D$232,3,FALSE)</f>
        <v>#N/A</v>
      </c>
      <c r="J2190" s="256">
        <v>40725</v>
      </c>
      <c r="K2190" s="424">
        <v>91.8934</v>
      </c>
      <c r="L2190" s="37">
        <f t="shared" si="55"/>
        <v>-8.1065999999999971E-2</v>
      </c>
    </row>
    <row r="2191" spans="1:13" hidden="1" outlineLevel="1" x14ac:dyDescent="0.25">
      <c r="A2191" s="739">
        <v>0.05</v>
      </c>
      <c r="B2191" s="740" t="s">
        <v>2631</v>
      </c>
      <c r="C2191" s="809">
        <v>26.440999999999999</v>
      </c>
      <c r="D2191" s="737">
        <v>15.84</v>
      </c>
      <c r="E2191" s="742">
        <v>-0.40093037328391512</v>
      </c>
      <c r="F2191" s="946">
        <v>-2.0046518664195757E-2</v>
      </c>
      <c r="G2191" s="78"/>
      <c r="H2191" t="str">
        <f>VLOOKUP(B2191,indexy!$A$44:$D$232,3,FALSE)</f>
        <v>TKA GY Equity</v>
      </c>
      <c r="J2191" s="256">
        <v>40756</v>
      </c>
      <c r="K2191" s="424">
        <v>82.859499999999997</v>
      </c>
      <c r="L2191" s="37">
        <f t="shared" si="55"/>
        <v>-0.17140500000000003</v>
      </c>
    </row>
    <row r="2192" spans="1:13" hidden="1" outlineLevel="1" x14ac:dyDescent="0.25">
      <c r="A2192" s="739">
        <v>0.05</v>
      </c>
      <c r="B2192" s="740" t="s">
        <v>4338</v>
      </c>
      <c r="C2192" s="809">
        <v>30.429071036099998</v>
      </c>
      <c r="D2192" s="737">
        <v>19.574999999999999</v>
      </c>
      <c r="E2192" s="742">
        <v>-0.35670070319343972</v>
      </c>
      <c r="F2192" s="946">
        <v>-1.7835035159671987E-2</v>
      </c>
      <c r="G2192" s="78"/>
      <c r="H2192" t="str">
        <f>VLOOKUP(B2192,indexy!$A$44:$D$392,3,FALSE)</f>
        <v>ENGI FP Equity</v>
      </c>
      <c r="J2192" s="256">
        <v>40787</v>
      </c>
      <c r="K2192" s="424">
        <v>81.385800000000003</v>
      </c>
      <c r="L2192" s="37">
        <f t="shared" si="55"/>
        <v>-0.18614199999999992</v>
      </c>
    </row>
    <row r="2193" spans="1:12" hidden="1" outlineLevel="1" x14ac:dyDescent="0.25">
      <c r="A2193" s="739">
        <v>0.05</v>
      </c>
      <c r="B2193" s="740" t="s">
        <v>3406</v>
      </c>
      <c r="C2193" s="809">
        <v>947.15000000000009</v>
      </c>
      <c r="D2193" s="737">
        <v>1725</v>
      </c>
      <c r="E2193" s="742">
        <v>0.8212532333843634</v>
      </c>
      <c r="F2193" s="946">
        <v>4.1062661669218174E-2</v>
      </c>
      <c r="G2193" s="78"/>
      <c r="H2193" t="str">
        <f>VLOOKUP(B2193,indexy!$A$44:$D$232,3,FALSE)</f>
        <v>DGE LN Equity</v>
      </c>
      <c r="J2193" s="256">
        <v>40817</v>
      </c>
      <c r="K2193" s="424">
        <v>87.010900000000007</v>
      </c>
      <c r="L2193" s="37">
        <f t="shared" si="55"/>
        <v>-0.12989099999999998</v>
      </c>
    </row>
    <row r="2194" spans="1:12" hidden="1" outlineLevel="1" x14ac:dyDescent="0.25">
      <c r="A2194" s="739">
        <v>0.05</v>
      </c>
      <c r="B2194" s="740" t="s">
        <v>4387</v>
      </c>
      <c r="C2194" s="809">
        <v>33.126333333333335</v>
      </c>
      <c r="D2194" s="737">
        <v>18.285</v>
      </c>
      <c r="E2194" s="742">
        <v>-0.44802221797361619</v>
      </c>
      <c r="F2194" s="946">
        <v>-2.2401110898680812E-2</v>
      </c>
      <c r="G2194" s="78"/>
      <c r="H2194" t="str">
        <f>VLOOKUP(B2194,indexy!$A$44:$D$232,3,FALSE)</f>
        <v>EOAN GY Equity</v>
      </c>
      <c r="J2194" s="256">
        <v>40848</v>
      </c>
      <c r="K2194" s="424">
        <v>87.208200000000005</v>
      </c>
      <c r="L2194" s="37">
        <f t="shared" si="55"/>
        <v>-0.12791799999999998</v>
      </c>
    </row>
    <row r="2195" spans="1:12" hidden="1" outlineLevel="1" x14ac:dyDescent="0.25">
      <c r="A2195" s="739">
        <v>0.05</v>
      </c>
      <c r="B2195" s="740" t="s">
        <v>3381</v>
      </c>
      <c r="C2195" s="809">
        <v>173.6</v>
      </c>
      <c r="D2195" s="737">
        <v>148.80000000000001</v>
      </c>
      <c r="E2195" s="742">
        <v>-0.14285714285714279</v>
      </c>
      <c r="F2195" s="946">
        <v>-7.14285714285714E-3</v>
      </c>
      <c r="G2195" s="78"/>
      <c r="H2195" t="str">
        <f>VLOOKUP(B2195,indexy!$A$44:$D$232,3,FALSE)</f>
        <v>EQNR NO Equity</v>
      </c>
      <c r="J2195" s="256">
        <v>40878</v>
      </c>
      <c r="K2195" s="424">
        <v>85.278999999999996</v>
      </c>
      <c r="L2195" s="37">
        <f t="shared" si="55"/>
        <v>-0.14721000000000006</v>
      </c>
    </row>
    <row r="2196" spans="1:12" hidden="1" outlineLevel="1" x14ac:dyDescent="0.25">
      <c r="A2196" s="739">
        <v>0.05</v>
      </c>
      <c r="B2196" s="740" t="s">
        <v>3801</v>
      </c>
      <c r="C2196" s="809">
        <v>71.692999999999998</v>
      </c>
      <c r="D2196" s="737">
        <v>33.344999999999999</v>
      </c>
      <c r="E2196" s="742">
        <v>-0.53489183044369737</v>
      </c>
      <c r="F2196" s="946">
        <v>-2.674459152218487E-2</v>
      </c>
      <c r="G2196" s="78"/>
      <c r="H2196" t="str">
        <f>VLOOKUP(B2196,indexy!$A$44:$D$232,3,FALSE)</f>
        <v>RWE GY Equity</v>
      </c>
      <c r="J2196" s="256">
        <v>40909</v>
      </c>
      <c r="K2196" s="424">
        <v>86.045599999999993</v>
      </c>
      <c r="L2196" s="37">
        <f t="shared" si="55"/>
        <v>-0.13954400000000011</v>
      </c>
    </row>
    <row r="2197" spans="1:12" hidden="1" outlineLevel="1" x14ac:dyDescent="0.25">
      <c r="A2197" s="739">
        <v>0.05</v>
      </c>
      <c r="B2197" s="740" t="s">
        <v>507</v>
      </c>
      <c r="C2197" s="809">
        <v>18.452000000000002</v>
      </c>
      <c r="D2197" s="737">
        <v>27.73</v>
      </c>
      <c r="E2197" s="742">
        <v>0.50281812269672654</v>
      </c>
      <c r="F2197" s="946">
        <v>2.5140906134836327E-2</v>
      </c>
      <c r="G2197" s="78"/>
      <c r="H2197" t="str">
        <f>VLOOKUP(B2197,indexy!$A$44:$D$232,3,FALSE)</f>
        <v>UNA NA Equity</v>
      </c>
      <c r="J2197" s="256">
        <v>40940</v>
      </c>
      <c r="K2197" s="424">
        <v>89.473600000000005</v>
      </c>
      <c r="L2197" s="37">
        <f t="shared" si="55"/>
        <v>-0.10526399999999991</v>
      </c>
    </row>
    <row r="2198" spans="1:12" hidden="1" outlineLevel="1" x14ac:dyDescent="0.25">
      <c r="A2198" s="739">
        <v>0.05</v>
      </c>
      <c r="B2198" s="740" t="s">
        <v>3382</v>
      </c>
      <c r="C2198" s="809">
        <v>138.875</v>
      </c>
      <c r="D2198" s="737">
        <v>239.6</v>
      </c>
      <c r="E2198" s="742">
        <v>0.72529252925292531</v>
      </c>
      <c r="F2198" s="946">
        <v>3.626462646264627E-2</v>
      </c>
      <c r="G2198" s="78"/>
      <c r="H2198" t="str">
        <f>VLOOKUP(B2198,indexy!$A$44:$D$232,3,FALSE)</f>
        <v>HMB SS Equity</v>
      </c>
      <c r="J2198" s="256">
        <v>40969</v>
      </c>
      <c r="K2198" s="424">
        <v>89.652600000000007</v>
      </c>
      <c r="L2198" s="37">
        <f t="shared" si="55"/>
        <v>-0.10347399999999995</v>
      </c>
    </row>
    <row r="2199" spans="1:12" hidden="1" outlineLevel="1" x14ac:dyDescent="0.25">
      <c r="A2199" s="739">
        <v>0.05</v>
      </c>
      <c r="B2199" s="740" t="s">
        <v>3383</v>
      </c>
      <c r="C2199" s="809">
        <v>80.7</v>
      </c>
      <c r="D2199" s="737">
        <v>105.9</v>
      </c>
      <c r="E2199" s="742">
        <v>0.31226765799256517</v>
      </c>
      <c r="F2199" s="946">
        <v>1.5613382899628259E-2</v>
      </c>
      <c r="G2199" s="78"/>
      <c r="H2199" t="str">
        <f>VLOOKUP(B2199,indexy!$A$44:$D$232,3,FALSE)</f>
        <v>TEL NO Equity</v>
      </c>
      <c r="J2199" s="256">
        <v>41000</v>
      </c>
      <c r="K2199" s="424">
        <v>86.930999999999997</v>
      </c>
      <c r="L2199" s="37">
        <f t="shared" si="55"/>
        <v>-0.13068999999999997</v>
      </c>
    </row>
    <row r="2200" spans="1:12" hidden="1" outlineLevel="1" x14ac:dyDescent="0.25">
      <c r="A2200" s="739">
        <v>0.05</v>
      </c>
      <c r="B2200" s="740" t="s">
        <v>3405</v>
      </c>
      <c r="C2200" s="809">
        <v>48.110999999999997</v>
      </c>
      <c r="D2200" s="737">
        <v>16.664999999999999</v>
      </c>
      <c r="E2200" s="742">
        <v>-0.65361351873791862</v>
      </c>
      <c r="F2200" s="946">
        <v>-3.2680675936895935E-2</v>
      </c>
      <c r="G2200" s="78"/>
      <c r="H2200" t="str">
        <f>VLOOKUP(B2200,indexy!$A$44:$D$232,3,FALSE)</f>
        <v>CA FP Equity</v>
      </c>
      <c r="J2200" s="256">
        <v>41030</v>
      </c>
      <c r="K2200" s="424">
        <v>81.236999999999995</v>
      </c>
      <c r="L2200" s="37">
        <f t="shared" si="55"/>
        <v>-0.18763000000000007</v>
      </c>
    </row>
    <row r="2201" spans="1:12" hidden="1" outlineLevel="1" x14ac:dyDescent="0.25">
      <c r="A2201" s="739">
        <v>0.05</v>
      </c>
      <c r="B2201" s="740" t="s">
        <v>1526</v>
      </c>
      <c r="C2201" s="809">
        <v>87.77</v>
      </c>
      <c r="D2201" s="737">
        <v>17.285</v>
      </c>
      <c r="E2201" s="742">
        <v>-0.80306482852911021</v>
      </c>
      <c r="F2201" s="946">
        <v>-4.0153241426455516E-2</v>
      </c>
      <c r="G2201" s="78"/>
      <c r="H2201" t="str">
        <f>VLOOKUP(B2201,indexy!$A$44:$D$232,3,FALSE)</f>
        <v>KBC BB Equity</v>
      </c>
      <c r="J2201" s="256">
        <v>41061</v>
      </c>
      <c r="K2201" s="424">
        <v>85.717500000000001</v>
      </c>
      <c r="L2201" s="37">
        <f t="shared" si="55"/>
        <v>-0.14282499999999998</v>
      </c>
    </row>
    <row r="2202" spans="1:12" hidden="1" outlineLevel="1" x14ac:dyDescent="0.25">
      <c r="A2202" s="739">
        <v>0.05</v>
      </c>
      <c r="B2202" s="740" t="s">
        <v>3384</v>
      </c>
      <c r="C2202" s="809">
        <v>45.771000000000001</v>
      </c>
      <c r="D2202" s="737">
        <v>23.95</v>
      </c>
      <c r="E2202" s="742">
        <v>-0.47674291582006079</v>
      </c>
      <c r="F2202" s="946">
        <v>-2.3837145791003041E-2</v>
      </c>
      <c r="G2202" s="78"/>
      <c r="H2202" t="e">
        <f>VLOOKUP(B2202,indexy!$A$44:$D$232,3,FALSE)</f>
        <v>#N/A</v>
      </c>
      <c r="J2202" s="256">
        <v>41091</v>
      </c>
      <c r="K2202" s="424">
        <v>88.545299999999997</v>
      </c>
      <c r="L2202" s="37">
        <f t="shared" si="55"/>
        <v>-0.11454700000000007</v>
      </c>
    </row>
    <row r="2203" spans="1:12" hidden="1" outlineLevel="1" x14ac:dyDescent="0.25">
      <c r="A2203" s="739">
        <v>0.05</v>
      </c>
      <c r="B2203" s="740" t="s">
        <v>3797</v>
      </c>
      <c r="C2203" s="809">
        <v>42.08</v>
      </c>
      <c r="D2203" s="737">
        <v>59.35</v>
      </c>
      <c r="E2203" s="742">
        <v>0.41040874524714832</v>
      </c>
      <c r="F2203" s="946">
        <v>2.0520437262357416E-2</v>
      </c>
      <c r="G2203" s="78"/>
      <c r="H2203" t="str">
        <f>VLOOKUP(B2203,indexy!$A$44:$D$232,3,FALSE)</f>
        <v>NESN SE Equity</v>
      </c>
      <c r="J2203" s="256">
        <v>41122</v>
      </c>
      <c r="K2203" s="424">
        <v>90.270799999999994</v>
      </c>
      <c r="L2203" s="37">
        <f t="shared" si="55"/>
        <v>-9.7292000000000045E-2</v>
      </c>
    </row>
    <row r="2204" spans="1:12" hidden="1" outlineLevel="1" x14ac:dyDescent="0.25">
      <c r="A2204" s="739">
        <v>0.05</v>
      </c>
      <c r="B2204" s="740" t="s">
        <v>3385</v>
      </c>
      <c r="C2204" s="809">
        <v>62.628</v>
      </c>
      <c r="D2204" s="737">
        <v>129.5</v>
      </c>
      <c r="E2204" s="742">
        <v>1.06776521683592</v>
      </c>
      <c r="F2204" s="946">
        <v>5.3388260841796001E-2</v>
      </c>
      <c r="G2204" s="78"/>
      <c r="H2204" t="str">
        <f>VLOOKUP(B2204,indexy!$A$44:$D$232,3,FALSE)</f>
        <v>VOW GY Equity</v>
      </c>
      <c r="J2204" s="264" t="s">
        <v>2465</v>
      </c>
      <c r="L2204" s="261">
        <f>AVERAGE(L2186:L2203)</f>
        <v>-0.11067722222222222</v>
      </c>
    </row>
    <row r="2205" spans="1:12" hidden="1" outlineLevel="1" x14ac:dyDescent="0.25">
      <c r="A2205" s="739">
        <v>0.05</v>
      </c>
      <c r="B2205" s="740" t="s">
        <v>583</v>
      </c>
      <c r="C2205" s="809">
        <v>373.25</v>
      </c>
      <c r="D2205" s="737">
        <v>336.6</v>
      </c>
      <c r="E2205" s="742">
        <v>-9.8191560616208928E-2</v>
      </c>
      <c r="F2205" s="946">
        <v>-4.9095780308104466E-3</v>
      </c>
      <c r="G2205" s="78"/>
      <c r="H2205" t="str">
        <f>VLOOKUP(B2205,indexy!$A$44:$D$232,3,FALSE)</f>
        <v>TSCO LN Equity</v>
      </c>
      <c r="J2205" s="264" t="s">
        <v>5122</v>
      </c>
      <c r="L2205" s="423">
        <f>L2204*parametry!N101</f>
        <v>-8.8541777777777775E-2</v>
      </c>
    </row>
    <row r="2206" spans="1:12" hidden="1" outlineLevel="1" x14ac:dyDescent="0.25">
      <c r="A2206" s="717"/>
      <c r="B2206" s="718"/>
      <c r="C2206" s="719"/>
      <c r="D2206" s="719"/>
      <c r="E2206" s="720"/>
      <c r="F2206" s="731">
        <v>-0.10273446967319941</v>
      </c>
      <c r="G2206" s="78"/>
      <c r="J2206" s="31"/>
    </row>
    <row r="2207" spans="1:12" collapsed="1" x14ac:dyDescent="0.25">
      <c r="A2207" s="3801" t="s">
        <v>4481</v>
      </c>
      <c r="B2207" s="3802"/>
      <c r="C2207" s="3802"/>
      <c r="D2207" s="3802"/>
      <c r="E2207" s="721"/>
      <c r="F2207" s="722">
        <v>0.04</v>
      </c>
      <c r="G2207" s="97" t="s">
        <v>781</v>
      </c>
      <c r="J2207" s="31"/>
    </row>
    <row r="2208" spans="1:12" x14ac:dyDescent="0.25">
      <c r="A2208" s="1"/>
      <c r="B2208" s="1"/>
      <c r="C2208" s="1"/>
      <c r="D2208" s="1"/>
      <c r="E2208" s="1"/>
      <c r="F2208" s="1848"/>
      <c r="G2208" s="78"/>
      <c r="J2208" s="31"/>
    </row>
    <row r="2209" spans="1:10" hidden="1" outlineLevel="1" x14ac:dyDescent="0.25">
      <c r="A2209" s="689" t="s">
        <v>113</v>
      </c>
      <c r="B2209" s="689" t="s">
        <v>114</v>
      </c>
      <c r="C2209" s="689" t="s">
        <v>112</v>
      </c>
      <c r="D2209" s="689" t="s">
        <v>116</v>
      </c>
      <c r="E2209" s="689" t="s">
        <v>117</v>
      </c>
      <c r="F2209" s="1188" t="s">
        <v>121</v>
      </c>
      <c r="G2209" s="78"/>
      <c r="J2209" s="31"/>
    </row>
    <row r="2210" spans="1:10" hidden="1" outlineLevel="1" x14ac:dyDescent="0.25">
      <c r="A2210" s="936" t="s">
        <v>926</v>
      </c>
      <c r="B2210" s="691" t="s">
        <v>115</v>
      </c>
      <c r="C2210" s="793">
        <v>3673.7469999999998</v>
      </c>
      <c r="D2210" s="793">
        <v>4248.6559999999999</v>
      </c>
      <c r="E2210" s="3813">
        <v>0.1434</v>
      </c>
      <c r="F2210" s="3816">
        <v>7.1999999999999995E-2</v>
      </c>
      <c r="G2210" s="78"/>
      <c r="J2210" s="31"/>
    </row>
    <row r="2211" spans="1:10" hidden="1" outlineLevel="1" x14ac:dyDescent="0.25">
      <c r="A2211" s="937" t="s">
        <v>926</v>
      </c>
      <c r="B2211" s="695" t="s">
        <v>760</v>
      </c>
      <c r="C2211" s="797">
        <v>1274.056</v>
      </c>
      <c r="D2211" s="797">
        <v>1459.913</v>
      </c>
      <c r="E2211" s="3814"/>
      <c r="F2211" s="3817"/>
      <c r="G2211" s="78"/>
      <c r="J2211" s="31"/>
    </row>
    <row r="2212" spans="1:10" hidden="1" outlineLevel="1" x14ac:dyDescent="0.25">
      <c r="A2212" s="938" t="s">
        <v>926</v>
      </c>
      <c r="B2212" s="695" t="s">
        <v>761</v>
      </c>
      <c r="C2212" s="797">
        <v>15289.758</v>
      </c>
      <c r="D2212" s="797">
        <v>16927.981</v>
      </c>
      <c r="E2212" s="3815"/>
      <c r="F2212" s="3818"/>
      <c r="G2212" s="78"/>
      <c r="J2212" s="31"/>
    </row>
    <row r="2213" spans="1:10" hidden="1" outlineLevel="1" x14ac:dyDescent="0.25">
      <c r="A2213" s="936" t="s">
        <v>927</v>
      </c>
      <c r="B2213" s="691" t="s">
        <v>115</v>
      </c>
      <c r="C2213" s="793">
        <v>4248.66</v>
      </c>
      <c r="D2213" s="793">
        <v>3379.4810000000002</v>
      </c>
      <c r="E2213" s="3813">
        <v>-0.1837</v>
      </c>
      <c r="F2213" s="3816">
        <v>-0.03</v>
      </c>
      <c r="G2213" s="78"/>
      <c r="J2213" s="31"/>
    </row>
    <row r="2214" spans="1:10" hidden="1" outlineLevel="1" x14ac:dyDescent="0.25">
      <c r="A2214" s="937" t="s">
        <v>927</v>
      </c>
      <c r="B2214" s="695" t="s">
        <v>760</v>
      </c>
      <c r="C2214" s="797">
        <v>1459.91</v>
      </c>
      <c r="D2214" s="797">
        <v>1281.9449999999999</v>
      </c>
      <c r="E2214" s="3814"/>
      <c r="F2214" s="3817"/>
      <c r="G2214" s="78"/>
      <c r="J2214" s="31"/>
    </row>
    <row r="2215" spans="1:10" hidden="1" outlineLevel="1" x14ac:dyDescent="0.25">
      <c r="A2215" s="938" t="s">
        <v>927</v>
      </c>
      <c r="B2215" s="695" t="s">
        <v>761</v>
      </c>
      <c r="C2215" s="797">
        <v>16927.98</v>
      </c>
      <c r="D2215" s="797">
        <v>13120.508</v>
      </c>
      <c r="E2215" s="3815"/>
      <c r="F2215" s="3818"/>
      <c r="G2215" s="78"/>
      <c r="J2215" s="31"/>
    </row>
    <row r="2216" spans="1:10" hidden="1" outlineLevel="1" x14ac:dyDescent="0.25">
      <c r="A2216" s="936" t="s">
        <v>3703</v>
      </c>
      <c r="B2216" s="691" t="s">
        <v>115</v>
      </c>
      <c r="C2216" s="793">
        <v>3379.4810000000002</v>
      </c>
      <c r="D2216" s="793">
        <v>2676.43</v>
      </c>
      <c r="E2216" s="3813">
        <v>-0.21010000000000001</v>
      </c>
      <c r="F2216" s="3816">
        <v>-0.03</v>
      </c>
      <c r="G2216" s="78"/>
      <c r="J2216" s="31"/>
    </row>
    <row r="2217" spans="1:10" hidden="1" outlineLevel="1" x14ac:dyDescent="0.25">
      <c r="A2217" s="937" t="s">
        <v>3703</v>
      </c>
      <c r="B2217" s="695" t="s">
        <v>760</v>
      </c>
      <c r="C2217" s="797">
        <v>1281.9449999999999</v>
      </c>
      <c r="D2217" s="797">
        <v>1004.264</v>
      </c>
      <c r="E2217" s="3814"/>
      <c r="F2217" s="3817"/>
      <c r="G2217" s="78"/>
      <c r="J2217" s="31"/>
    </row>
    <row r="2218" spans="1:10" hidden="1" outlineLevel="1" x14ac:dyDescent="0.25">
      <c r="A2218" s="938" t="s">
        <v>3703</v>
      </c>
      <c r="B2218" s="695" t="s">
        <v>761</v>
      </c>
      <c r="C2218" s="797">
        <v>13120.508</v>
      </c>
      <c r="D2218" s="797">
        <v>10443.942999999999</v>
      </c>
      <c r="E2218" s="3815"/>
      <c r="F2218" s="3818"/>
      <c r="G2218" s="78"/>
      <c r="J2218" s="31"/>
    </row>
    <row r="2219" spans="1:10" hidden="1" outlineLevel="1" x14ac:dyDescent="0.25">
      <c r="A2219" s="936" t="s">
        <v>3704</v>
      </c>
      <c r="B2219" s="691" t="s">
        <v>115</v>
      </c>
      <c r="C2219" s="793">
        <v>2676.43</v>
      </c>
      <c r="D2219" s="793">
        <v>2784.5929999999998</v>
      </c>
      <c r="E2219" s="3813">
        <v>3.7600000000000001E-2</v>
      </c>
      <c r="F2219" s="3816">
        <v>3.7600000000000001E-2</v>
      </c>
      <c r="G2219" s="78"/>
      <c r="J2219" s="31"/>
    </row>
    <row r="2220" spans="1:10" hidden="1" outlineLevel="1" x14ac:dyDescent="0.25">
      <c r="A2220" s="937" t="s">
        <v>3704</v>
      </c>
      <c r="B2220" s="695" t="s">
        <v>760</v>
      </c>
      <c r="C2220" s="797">
        <v>1004.264</v>
      </c>
      <c r="D2220" s="797">
        <v>1112.2190000000001</v>
      </c>
      <c r="E2220" s="3814"/>
      <c r="F2220" s="3817"/>
      <c r="G2220" s="78"/>
      <c r="J2220" s="31"/>
    </row>
    <row r="2221" spans="1:10" hidden="1" outlineLevel="1" x14ac:dyDescent="0.25">
      <c r="A2221" s="938" t="s">
        <v>3704</v>
      </c>
      <c r="B2221" s="695" t="s">
        <v>761</v>
      </c>
      <c r="C2221" s="797">
        <v>10443.942999999999</v>
      </c>
      <c r="D2221" s="797">
        <v>9493.2139999999999</v>
      </c>
      <c r="E2221" s="3815"/>
      <c r="F2221" s="3818"/>
      <c r="G2221" s="78"/>
      <c r="J2221" s="31"/>
    </row>
    <row r="2222" spans="1:10" hidden="1" outlineLevel="1" x14ac:dyDescent="0.25">
      <c r="A2222" s="936" t="s">
        <v>3705</v>
      </c>
      <c r="B2222" s="691" t="s">
        <v>115</v>
      </c>
      <c r="C2222" s="793">
        <v>2784.5929999999998</v>
      </c>
      <c r="D2222" s="793">
        <v>2309.4349999999999</v>
      </c>
      <c r="E2222" s="3813">
        <v>-5.9299999999999999E-2</v>
      </c>
      <c r="F2222" s="3816">
        <v>-0.03</v>
      </c>
      <c r="G2222" s="78"/>
      <c r="H2222" s="370"/>
      <c r="I2222" s="370"/>
      <c r="J2222" s="370"/>
    </row>
    <row r="2223" spans="1:10" hidden="1" outlineLevel="1" x14ac:dyDescent="0.25">
      <c r="A2223" s="937" t="s">
        <v>3705</v>
      </c>
      <c r="B2223" s="695" t="s">
        <v>760</v>
      </c>
      <c r="C2223" s="797">
        <v>1112.2190000000001</v>
      </c>
      <c r="D2223" s="797">
        <v>1242.8979999999999</v>
      </c>
      <c r="E2223" s="3814"/>
      <c r="F2223" s="3817"/>
      <c r="G2223" s="78"/>
      <c r="J2223" s="31"/>
    </row>
    <row r="2224" spans="1:10" hidden="1" outlineLevel="1" x14ac:dyDescent="0.25">
      <c r="A2224" s="938" t="s">
        <v>3705</v>
      </c>
      <c r="B2224" s="695" t="s">
        <v>761</v>
      </c>
      <c r="C2224" s="797">
        <v>9493.2139999999999</v>
      </c>
      <c r="D2224" s="797">
        <v>8616.1239999999998</v>
      </c>
      <c r="E2224" s="3815"/>
      <c r="F2224" s="3818"/>
      <c r="G2224" s="78"/>
      <c r="J2224" s="31"/>
    </row>
    <row r="2225" spans="1:12" collapsed="1" x14ac:dyDescent="0.25">
      <c r="A2225" s="3801" t="s">
        <v>4184</v>
      </c>
      <c r="B2225" s="3802"/>
      <c r="C2225" s="3802"/>
      <c r="D2225" s="3802"/>
      <c r="E2225" s="729"/>
      <c r="F2225" s="752">
        <v>0.05</v>
      </c>
      <c r="G2225" s="97" t="s">
        <v>781</v>
      </c>
      <c r="J2225" s="31"/>
    </row>
    <row r="2226" spans="1:12" x14ac:dyDescent="0.25">
      <c r="A2226" s="1"/>
      <c r="B2226" s="1"/>
      <c r="C2226" s="1"/>
      <c r="D2226" s="1"/>
      <c r="E2226" s="1"/>
      <c r="F2226" s="1848"/>
      <c r="G2226" s="78"/>
      <c r="J2226" s="31"/>
    </row>
    <row r="2227" spans="1:12" hidden="1" outlineLevel="1" x14ac:dyDescent="0.25">
      <c r="A2227" s="689" t="s">
        <v>113</v>
      </c>
      <c r="B2227" s="689" t="s">
        <v>114</v>
      </c>
      <c r="C2227" s="689" t="s">
        <v>112</v>
      </c>
      <c r="D2227" s="689" t="s">
        <v>116</v>
      </c>
      <c r="E2227" s="689" t="s">
        <v>117</v>
      </c>
      <c r="F2227" s="1188" t="s">
        <v>121</v>
      </c>
      <c r="G2227" s="78"/>
      <c r="J2227" s="31"/>
    </row>
    <row r="2228" spans="1:12" hidden="1" outlineLevel="1" x14ac:dyDescent="0.25">
      <c r="A2228" s="690">
        <v>1</v>
      </c>
      <c r="B2228" s="691" t="s">
        <v>252</v>
      </c>
      <c r="C2228" s="692">
        <v>100</v>
      </c>
      <c r="D2228" s="692"/>
      <c r="E2228" s="693"/>
      <c r="F2228" s="694"/>
      <c r="G2228" s="78"/>
      <c r="J2228" s="31"/>
    </row>
    <row r="2229" spans="1:12" hidden="1" outlineLevel="1" x14ac:dyDescent="0.25">
      <c r="A2229" s="695"/>
      <c r="B2229" s="695"/>
      <c r="C2229" s="696"/>
      <c r="D2229" s="697" t="s">
        <v>3702</v>
      </c>
      <c r="E2229" s="698">
        <v>40421</v>
      </c>
      <c r="F2229" s="699"/>
      <c r="G2229" s="78"/>
      <c r="J2229" s="31"/>
    </row>
    <row r="2230" spans="1:12" hidden="1" outlineLevel="1" x14ac:dyDescent="0.25">
      <c r="A2230" s="689" t="s">
        <v>4156</v>
      </c>
      <c r="B2230" s="689" t="s">
        <v>4153</v>
      </c>
      <c r="C2230" s="700" t="s">
        <v>112</v>
      </c>
      <c r="D2230" s="689" t="s">
        <v>116</v>
      </c>
      <c r="E2230" s="689" t="s">
        <v>4154</v>
      </c>
      <c r="F2230" s="1021" t="s">
        <v>2519</v>
      </c>
      <c r="G2230" s="78"/>
      <c r="J2230" s="31"/>
    </row>
    <row r="2231" spans="1:12" hidden="1" outlineLevel="1" x14ac:dyDescent="0.25">
      <c r="A2231" s="734">
        <v>0.05</v>
      </c>
      <c r="B2231" s="735" t="s">
        <v>3798</v>
      </c>
      <c r="C2231" s="807">
        <v>6.98</v>
      </c>
      <c r="D2231" s="737">
        <v>3.76</v>
      </c>
      <c r="E2231" s="738">
        <f>D2231/C2231-1</f>
        <v>-0.46131805157593131</v>
      </c>
      <c r="F2231" s="1021">
        <f>E2231*A2231</f>
        <v>-2.3065902578796565E-2</v>
      </c>
      <c r="G2231" s="78"/>
      <c r="H2231" t="str">
        <f>VLOOKUP(B2231,indexy!$A$44:$D$232,3,FALSE)</f>
        <v>ENEL IM Equity</v>
      </c>
      <c r="J2231" s="31"/>
    </row>
    <row r="2232" spans="1:12" hidden="1" outlineLevel="1" x14ac:dyDescent="0.25">
      <c r="A2232" s="739">
        <v>0.04</v>
      </c>
      <c r="B2232" s="740" t="s">
        <v>2630</v>
      </c>
      <c r="C2232" s="809">
        <v>16.544</v>
      </c>
      <c r="D2232" s="737">
        <v>16.04</v>
      </c>
      <c r="E2232" s="742">
        <f t="shared" ref="E2232:E2260" si="56">D2232/C2232-1</f>
        <v>-3.0464216634429442E-2</v>
      </c>
      <c r="F2232" s="946">
        <f t="shared" ref="F2232:F2260" si="57">E2232*A2232</f>
        <v>-1.2185686653771778E-3</v>
      </c>
      <c r="G2232" s="78"/>
      <c r="H2232" t="e">
        <f>VLOOKUP(B2232,indexy!$A$44:$D$232,3,FALSE)</f>
        <v>#N/A</v>
      </c>
      <c r="J2232" s="31"/>
    </row>
    <row r="2233" spans="1:12" hidden="1" outlineLevel="1" x14ac:dyDescent="0.25">
      <c r="A2233" s="739">
        <v>0.04</v>
      </c>
      <c r="B2233" s="740" t="s">
        <v>2587</v>
      </c>
      <c r="C2233" s="809">
        <f>(17.829*100)/3</f>
        <v>594.30000000000007</v>
      </c>
      <c r="D2233" s="737">
        <v>44.58</v>
      </c>
      <c r="E2233" s="742">
        <f t="shared" si="56"/>
        <v>-0.92498738011105508</v>
      </c>
      <c r="F2233" s="946">
        <f t="shared" si="57"/>
        <v>-3.6999495204442207E-2</v>
      </c>
      <c r="G2233" s="78"/>
      <c r="H2233" t="e">
        <f>VLOOKUP(B2233,indexy!$A$44:$D$232,3,FALSE)</f>
        <v>#N/A</v>
      </c>
      <c r="J2233" s="31"/>
    </row>
    <row r="2234" spans="1:12" hidden="1" outlineLevel="1" x14ac:dyDescent="0.25">
      <c r="A2234" s="739">
        <v>0.05</v>
      </c>
      <c r="B2234" s="740" t="s">
        <v>2629</v>
      </c>
      <c r="C2234" s="809">
        <v>11.502000000000001</v>
      </c>
      <c r="D2234" s="737">
        <v>10.39</v>
      </c>
      <c r="E2234" s="742">
        <f t="shared" si="56"/>
        <v>-9.667883846287606E-2</v>
      </c>
      <c r="F2234" s="946">
        <f t="shared" si="57"/>
        <v>-4.8339419231438032E-3</v>
      </c>
      <c r="G2234" s="78"/>
      <c r="H2234" t="str">
        <f>VLOOKUP(B2234,indexy!$A$44:$D$232,3,FALSE)</f>
        <v>DTE GY Equity</v>
      </c>
      <c r="J2234" s="31"/>
    </row>
    <row r="2235" spans="1:12" hidden="1" outlineLevel="1" x14ac:dyDescent="0.25">
      <c r="A2235" s="739">
        <v>0.04</v>
      </c>
      <c r="B2235" s="740" t="s">
        <v>1527</v>
      </c>
      <c r="C2235" s="809">
        <v>2.1677</v>
      </c>
      <c r="D2235" s="737">
        <v>1.0669999999999999</v>
      </c>
      <c r="E2235" s="742">
        <f t="shared" si="56"/>
        <v>-0.50777321585090185</v>
      </c>
      <c r="F2235" s="946">
        <f t="shared" si="57"/>
        <v>-2.0310928634036076E-2</v>
      </c>
      <c r="G2235" s="78"/>
      <c r="H2235" t="str">
        <f>VLOOKUP(B2235,indexy!$A$44:$D$232,3,FALSE)</f>
        <v>TIT IM Equity</v>
      </c>
      <c r="J2235" s="31"/>
    </row>
    <row r="2236" spans="1:12" hidden="1" outlineLevel="1" x14ac:dyDescent="0.25">
      <c r="A2236" s="739">
        <v>0.05</v>
      </c>
      <c r="B2236" s="740" t="s">
        <v>576</v>
      </c>
      <c r="C2236" s="809">
        <v>15.045</v>
      </c>
      <c r="D2236" s="737">
        <v>7.9560000000000004</v>
      </c>
      <c r="E2236" s="742">
        <f t="shared" si="56"/>
        <v>-0.47118644067796611</v>
      </c>
      <c r="F2236" s="946">
        <f t="shared" si="57"/>
        <v>-2.3559322033898308E-2</v>
      </c>
      <c r="G2236" s="78"/>
      <c r="H2236" t="e">
        <f>VLOOKUP(B2236,indexy!$A$44:$D$232,3,FALSE)</f>
        <v>#N/A</v>
      </c>
      <c r="J2236" s="31"/>
    </row>
    <row r="2237" spans="1:12" hidden="1" outlineLevel="1" x14ac:dyDescent="0.25">
      <c r="A2237" s="739">
        <v>0.05</v>
      </c>
      <c r="B2237" s="740" t="s">
        <v>157</v>
      </c>
      <c r="C2237" s="809">
        <v>8.2225999999999999</v>
      </c>
      <c r="D2237" s="737">
        <v>9.2469999999999999</v>
      </c>
      <c r="E2237" s="742">
        <f t="shared" si="56"/>
        <v>0.12458346508403673</v>
      </c>
      <c r="F2237" s="946">
        <f t="shared" si="57"/>
        <v>6.2291732542018368E-3</v>
      </c>
      <c r="G2237" s="78"/>
      <c r="H2237" t="str">
        <f>VLOOKUP(B2237,indexy!$A$44:$D$232,3,FALSE)</f>
        <v>SAN SM Equity</v>
      </c>
      <c r="J2237" s="31"/>
    </row>
    <row r="2238" spans="1:12" hidden="1" outlineLevel="1" x14ac:dyDescent="0.25">
      <c r="A2238" s="739">
        <v>0.04</v>
      </c>
      <c r="B2238" s="740" t="s">
        <v>3427</v>
      </c>
      <c r="C2238" s="809">
        <v>33.875999999999998</v>
      </c>
      <c r="D2238" s="737">
        <v>36.69</v>
      </c>
      <c r="E2238" s="742">
        <f t="shared" si="56"/>
        <v>8.3067658519305754E-2</v>
      </c>
      <c r="F2238" s="946">
        <f t="shared" si="57"/>
        <v>3.3227063407722302E-3</v>
      </c>
      <c r="G2238" s="78"/>
      <c r="H2238" t="str">
        <f>VLOOKUP(B2238,indexy!$A$44:$D$232,3,FALSE)</f>
        <v>SO UN Equity</v>
      </c>
      <c r="I2238" s="106"/>
      <c r="J2238" s="31"/>
    </row>
    <row r="2239" spans="1:12" hidden="1" outlineLevel="1" x14ac:dyDescent="0.25">
      <c r="A2239" s="739">
        <v>0.04</v>
      </c>
      <c r="B2239" s="740" t="s">
        <v>1994</v>
      </c>
      <c r="C2239" s="809">
        <v>52.067999999999998</v>
      </c>
      <c r="D2239" s="737">
        <v>12.45</v>
      </c>
      <c r="E2239" s="742">
        <f t="shared" si="56"/>
        <v>-0.76088960589997701</v>
      </c>
      <c r="F2239" s="946">
        <f t="shared" si="57"/>
        <v>-3.043558423599908E-2</v>
      </c>
      <c r="G2239" s="78"/>
      <c r="H2239" t="str">
        <f>VLOOKUP(B2239,indexy!$A$44:$D$232,3,FALSE)</f>
        <v>BAC UN Equity</v>
      </c>
      <c r="J2239" s="115"/>
      <c r="K2239" s="116"/>
      <c r="L2239" s="117"/>
    </row>
    <row r="2240" spans="1:12" hidden="1" outlineLevel="1" x14ac:dyDescent="0.25">
      <c r="A2240" s="739">
        <v>0.04</v>
      </c>
      <c r="B2240" s="740" t="s">
        <v>1847</v>
      </c>
      <c r="C2240" s="809">
        <v>49.04</v>
      </c>
      <c r="D2240" s="737">
        <v>3.72</v>
      </c>
      <c r="E2240" s="742">
        <f t="shared" si="56"/>
        <v>-0.92414355628058731</v>
      </c>
      <c r="F2240" s="946">
        <f t="shared" si="57"/>
        <v>-3.6965742251223496E-2</v>
      </c>
      <c r="G2240" s="78"/>
      <c r="H2240" t="str">
        <f>VLOOKUP(B2240,indexy!$A$44:$D$232,3,FALSE)</f>
        <v>C UN Equity</v>
      </c>
      <c r="J2240" s="31"/>
    </row>
    <row r="2241" spans="1:10" hidden="1" outlineLevel="1" x14ac:dyDescent="0.25">
      <c r="A2241" s="739">
        <v>0.03</v>
      </c>
      <c r="B2241" s="740" t="s">
        <v>44</v>
      </c>
      <c r="C2241" s="908">
        <v>5.1074157294804099</v>
      </c>
      <c r="D2241" s="737">
        <v>2.2149999999999999</v>
      </c>
      <c r="E2241" s="742">
        <f t="shared" si="56"/>
        <v>-0.56631687778716666</v>
      </c>
      <c r="F2241" s="946">
        <f t="shared" si="57"/>
        <v>-1.6989506333614998E-2</v>
      </c>
      <c r="G2241" s="78"/>
      <c r="H2241" t="str">
        <f>VLOOKUP(B2241,indexy!$A$44:$D$232,3,FALSE)</f>
        <v>ISP IM Equity</v>
      </c>
      <c r="J2241" s="31"/>
    </row>
    <row r="2242" spans="1:10" hidden="1" outlineLevel="1" x14ac:dyDescent="0.25">
      <c r="A2242" s="739">
        <v>0.04</v>
      </c>
      <c r="B2242" s="740" t="s">
        <v>3801</v>
      </c>
      <c r="C2242" s="809">
        <v>71.692999999999998</v>
      </c>
      <c r="D2242" s="737">
        <v>51.68</v>
      </c>
      <c r="E2242" s="742">
        <f t="shared" si="56"/>
        <v>-0.279148591912739</v>
      </c>
      <c r="F2242" s="946">
        <f t="shared" si="57"/>
        <v>-1.116594367650956E-2</v>
      </c>
      <c r="G2242" s="78"/>
      <c r="H2242" t="str">
        <f>VLOOKUP(B2242,indexy!$A$44:$D$232,3,FALSE)</f>
        <v>RWE GY Equity</v>
      </c>
      <c r="J2242" s="31"/>
    </row>
    <row r="2243" spans="1:10" hidden="1" outlineLevel="1" x14ac:dyDescent="0.25">
      <c r="A2243" s="739">
        <v>0.04</v>
      </c>
      <c r="B2243" s="740" t="s">
        <v>3792</v>
      </c>
      <c r="C2243" s="809">
        <v>57.148000000000003</v>
      </c>
      <c r="D2243" s="737">
        <v>34.409999999999997</v>
      </c>
      <c r="E2243" s="742">
        <f t="shared" si="56"/>
        <v>-0.39787919087282153</v>
      </c>
      <c r="F2243" s="946">
        <f t="shared" si="57"/>
        <v>-1.5915167634912863E-2</v>
      </c>
      <c r="G2243" s="78"/>
      <c r="H2243" t="str">
        <f>VLOOKUP(B2243,indexy!$A$44:$D$232,3,FALSE)</f>
        <v>CMA UN Equity</v>
      </c>
      <c r="J2243" s="31"/>
    </row>
    <row r="2244" spans="1:10" hidden="1" outlineLevel="1" x14ac:dyDescent="0.25">
      <c r="A2244" s="739">
        <v>0.03</v>
      </c>
      <c r="B2244" s="740" t="s">
        <v>4110</v>
      </c>
      <c r="C2244" s="809">
        <f>80.091/2</f>
        <v>40.045499999999997</v>
      </c>
      <c r="D2244" s="737">
        <v>42.76</v>
      </c>
      <c r="E2244" s="742">
        <f t="shared" si="56"/>
        <v>6.7785394114195041E-2</v>
      </c>
      <c r="F2244" s="946">
        <f t="shared" si="57"/>
        <v>2.0335618234258511E-3</v>
      </c>
      <c r="G2244" s="78"/>
      <c r="H2244" t="e">
        <f>VLOOKUP(B2244,indexy!$A$44:$D$232,3,FALSE)</f>
        <v>#N/A</v>
      </c>
      <c r="J2244" s="31"/>
    </row>
    <row r="2245" spans="1:10" hidden="1" outlineLevel="1" x14ac:dyDescent="0.25">
      <c r="A2245" s="739">
        <v>0.03</v>
      </c>
      <c r="B2245" s="740" t="s">
        <v>1031</v>
      </c>
      <c r="C2245" s="809">
        <v>7.1909999999999998</v>
      </c>
      <c r="D2245" s="737">
        <v>5.56</v>
      </c>
      <c r="E2245" s="742">
        <f t="shared" si="56"/>
        <v>-0.2268112918926436</v>
      </c>
      <c r="F2245" s="946">
        <f t="shared" si="57"/>
        <v>-6.8043387567793077E-3</v>
      </c>
      <c r="G2245" s="78"/>
      <c r="H2245" t="str">
        <f>VLOOKUP(B2245,indexy!$A$44:$D$232,3,FALSE)</f>
        <v>IBE SQ Equity</v>
      </c>
      <c r="J2245" s="31"/>
    </row>
    <row r="2246" spans="1:10" hidden="1" outlineLevel="1" x14ac:dyDescent="0.25">
      <c r="A2246" s="739">
        <v>0.02</v>
      </c>
      <c r="B2246" s="740" t="s">
        <v>281</v>
      </c>
      <c r="C2246" s="809">
        <v>36.954999999999998</v>
      </c>
      <c r="D2246" s="737">
        <v>7.37</v>
      </c>
      <c r="E2246" s="742">
        <f t="shared" si="56"/>
        <v>-0.80056825869300496</v>
      </c>
      <c r="F2246" s="946">
        <f t="shared" si="57"/>
        <v>-1.60113651738601E-2</v>
      </c>
      <c r="G2246" s="78"/>
      <c r="H2246" t="str">
        <f>VLOOKUP(B2246,indexy!$A$44:$D$232,3,FALSE)</f>
        <v>KEY UN Equity</v>
      </c>
      <c r="J2246" s="31"/>
    </row>
    <row r="2247" spans="1:10" hidden="1" outlineLevel="1" x14ac:dyDescent="0.25">
      <c r="A2247" s="739">
        <v>0.03</v>
      </c>
      <c r="B2247" s="740" t="s">
        <v>577</v>
      </c>
      <c r="C2247" s="809">
        <v>13.382999999999999</v>
      </c>
      <c r="D2247" s="737">
        <v>17.5</v>
      </c>
      <c r="E2247" s="742">
        <f t="shared" si="56"/>
        <v>0.30762908167077652</v>
      </c>
      <c r="F2247" s="946">
        <f t="shared" si="57"/>
        <v>9.2288724501232954E-3</v>
      </c>
      <c r="G2247" s="78"/>
      <c r="H2247" t="str">
        <f>VLOOKUP(B2247,indexy!$A$44:$D$232,3,FALSE)</f>
        <v>TEF SQ Equity</v>
      </c>
      <c r="J2247" s="31"/>
    </row>
    <row r="2248" spans="1:10" hidden="1" outlineLevel="1" x14ac:dyDescent="0.25">
      <c r="A2248" s="739">
        <v>0.03</v>
      </c>
      <c r="B2248" s="740" t="s">
        <v>2166</v>
      </c>
      <c r="C2248" s="809">
        <v>126.03</v>
      </c>
      <c r="D2248" s="737">
        <v>40.18</v>
      </c>
      <c r="E2248" s="742">
        <f t="shared" si="56"/>
        <v>-0.68118701896373879</v>
      </c>
      <c r="F2248" s="946">
        <f t="shared" si="57"/>
        <v>-2.0435610568912164E-2</v>
      </c>
      <c r="G2248" s="78"/>
      <c r="H2248" t="str">
        <f>VLOOKUP(B2248,indexy!$A$44:$D$232,3,FALSE)</f>
        <v>GLE FP Equity</v>
      </c>
      <c r="J2248" s="31"/>
    </row>
    <row r="2249" spans="1:10" hidden="1" outlineLevel="1" x14ac:dyDescent="0.25">
      <c r="A2249" s="739">
        <v>0.02</v>
      </c>
      <c r="B2249" s="740" t="s">
        <v>3656</v>
      </c>
      <c r="C2249" s="809">
        <v>105.3</v>
      </c>
      <c r="D2249" s="737">
        <v>132.69999999999999</v>
      </c>
      <c r="E2249" s="742">
        <f t="shared" si="56"/>
        <v>0.26020892687559338</v>
      </c>
      <c r="F2249" s="946">
        <f t="shared" si="57"/>
        <v>5.2041785375118678E-3</v>
      </c>
      <c r="G2249" s="78"/>
      <c r="H2249" t="str">
        <f>VLOOKUP(B2249,indexy!$A$44:$D$232,3,FALSE)</f>
        <v>SKFB SS Equity</v>
      </c>
      <c r="J2249" s="31"/>
    </row>
    <row r="2250" spans="1:10" hidden="1" outlineLevel="1" x14ac:dyDescent="0.25">
      <c r="A2250" s="739">
        <v>0.03</v>
      </c>
      <c r="B2250" s="740" t="s">
        <v>901</v>
      </c>
      <c r="C2250" s="809">
        <f>14.46*100</f>
        <v>1446</v>
      </c>
      <c r="D2250" s="737">
        <v>2216</v>
      </c>
      <c r="E2250" s="742">
        <f t="shared" si="56"/>
        <v>0.53250345781466124</v>
      </c>
      <c r="F2250" s="946">
        <f t="shared" si="57"/>
        <v>1.5975103734439836E-2</v>
      </c>
      <c r="G2250" s="78"/>
      <c r="H2250" t="str">
        <f>VLOOKUP(B2250,indexy!$A$44:$D$232,3,FALSE)</f>
        <v>BATS LN Equity</v>
      </c>
      <c r="J2250" s="31"/>
    </row>
    <row r="2251" spans="1:10" hidden="1" outlineLevel="1" x14ac:dyDescent="0.25">
      <c r="A2251" s="739">
        <v>0.02</v>
      </c>
      <c r="B2251" s="939" t="s">
        <v>4025</v>
      </c>
      <c r="C2251" s="809">
        <v>41.040999999999997</v>
      </c>
      <c r="D2251" s="737">
        <v>38.36</v>
      </c>
      <c r="E2251" s="742">
        <f t="shared" si="56"/>
        <v>-6.5324918983455493E-2</v>
      </c>
      <c r="F2251" s="946">
        <f t="shared" si="57"/>
        <v>-1.3064983796691099E-3</v>
      </c>
      <c r="G2251" s="78"/>
      <c r="H2251" t="str">
        <f>VLOOKUP(B2251,indexy!$A$44:$D$232,3,FALSE)</f>
        <v>MBG GR Equity</v>
      </c>
      <c r="J2251" s="31"/>
    </row>
    <row r="2252" spans="1:10" hidden="1" outlineLevel="1" x14ac:dyDescent="0.25">
      <c r="A2252" s="739">
        <v>0.02</v>
      </c>
      <c r="B2252" s="740" t="s">
        <v>1203</v>
      </c>
      <c r="C2252" s="809">
        <v>90.95</v>
      </c>
      <c r="D2252" s="737">
        <v>66.25</v>
      </c>
      <c r="E2252" s="742">
        <f t="shared" si="56"/>
        <v>-0.27157778999450255</v>
      </c>
      <c r="F2252" s="946">
        <f t="shared" si="57"/>
        <v>-5.4315557998900511E-3</v>
      </c>
      <c r="G2252" s="78"/>
      <c r="H2252" t="str">
        <f>VLOOKUP(B2252,indexy!$A$44:$D$232,3,FALSE)</f>
        <v>NDA SS Equity</v>
      </c>
      <c r="J2252" s="31"/>
    </row>
    <row r="2253" spans="1:10" hidden="1" outlineLevel="1" x14ac:dyDescent="0.25">
      <c r="A2253" s="739">
        <v>0.03</v>
      </c>
      <c r="B2253" s="740" t="s">
        <v>3020</v>
      </c>
      <c r="C2253" s="809">
        <v>38.984000000000002</v>
      </c>
      <c r="D2253" s="737">
        <v>48.18</v>
      </c>
      <c r="E2253" s="742">
        <f t="shared" si="56"/>
        <v>0.23589164785553041</v>
      </c>
      <c r="F2253" s="946">
        <f t="shared" si="57"/>
        <v>7.0767494356659116E-3</v>
      </c>
      <c r="G2253" s="78"/>
      <c r="H2253" t="str">
        <f>VLOOKUP(B2253,indexy!$A$44:$D$232,3,FALSE)</f>
        <v>BAYN GR Equity</v>
      </c>
      <c r="J2253" s="31"/>
    </row>
    <row r="2254" spans="1:10" hidden="1" outlineLevel="1" x14ac:dyDescent="0.25">
      <c r="A2254" s="739">
        <v>0.03</v>
      </c>
      <c r="B2254" s="740" t="s">
        <v>181</v>
      </c>
      <c r="C2254" s="809">
        <v>93.834999999999994</v>
      </c>
      <c r="D2254" s="737">
        <v>42.1</v>
      </c>
      <c r="E2254" s="742">
        <f t="shared" si="56"/>
        <v>-0.55134011829274787</v>
      </c>
      <c r="F2254" s="946">
        <f t="shared" si="57"/>
        <v>-1.6540203548782436E-2</v>
      </c>
      <c r="G2254" s="78"/>
      <c r="H2254" t="e">
        <f>VLOOKUP(B2254,indexy!$A$44:$D$232,3,FALSE)</f>
        <v>#N/A</v>
      </c>
      <c r="J2254" s="31"/>
    </row>
    <row r="2255" spans="1:10" hidden="1" outlineLevel="1" x14ac:dyDescent="0.25">
      <c r="A2255" s="739">
        <v>0.03</v>
      </c>
      <c r="B2255" s="740" t="s">
        <v>279</v>
      </c>
      <c r="C2255" s="809">
        <v>83.545000000000002</v>
      </c>
      <c r="D2255" s="737">
        <v>83.69</v>
      </c>
      <c r="E2255" s="742">
        <f t="shared" si="56"/>
        <v>1.7355915973427116E-3</v>
      </c>
      <c r="F2255" s="946">
        <f t="shared" si="57"/>
        <v>5.2067747920281346E-5</v>
      </c>
      <c r="G2255" s="78"/>
      <c r="H2255" t="str">
        <f>VLOOKUP(B2255,indexy!$A$44:$D$232,3,FALSE)</f>
        <v>SU FP Equity</v>
      </c>
      <c r="J2255" s="31"/>
    </row>
    <row r="2256" spans="1:10" hidden="1" outlineLevel="1" x14ac:dyDescent="0.25">
      <c r="A2256" s="739">
        <v>0.03</v>
      </c>
      <c r="B2256" s="740" t="s">
        <v>1526</v>
      </c>
      <c r="C2256" s="809">
        <v>87.77</v>
      </c>
      <c r="D2256" s="737">
        <v>32.76</v>
      </c>
      <c r="E2256" s="742">
        <f t="shared" si="56"/>
        <v>-0.62675173749572743</v>
      </c>
      <c r="F2256" s="946">
        <f t="shared" si="57"/>
        <v>-1.8802552124871821E-2</v>
      </c>
      <c r="G2256" s="78"/>
      <c r="H2256" t="str">
        <f>VLOOKUP(B2256,indexy!$A$44:$D$232,3,FALSE)</f>
        <v>KBC BB Equity</v>
      </c>
      <c r="J2256" s="31"/>
    </row>
    <row r="2257" spans="1:10" hidden="1" outlineLevel="1" x14ac:dyDescent="0.25">
      <c r="A2257" s="739">
        <v>0.02</v>
      </c>
      <c r="B2257" s="740" t="s">
        <v>1414</v>
      </c>
      <c r="C2257" s="809">
        <v>27.481999999999999</v>
      </c>
      <c r="D2257" s="737">
        <v>15.93</v>
      </c>
      <c r="E2257" s="742">
        <f t="shared" si="56"/>
        <v>-0.42034786405647329</v>
      </c>
      <c r="F2257" s="946">
        <f t="shared" si="57"/>
        <v>-8.4069572811294666E-3</v>
      </c>
      <c r="G2257" s="78"/>
      <c r="H2257" t="str">
        <f>VLOOKUP(B2257,indexy!$A$44:$D$232,3,FALSE)</f>
        <v>PFE UN Equity</v>
      </c>
      <c r="J2257" s="31"/>
    </row>
    <row r="2258" spans="1:10" hidden="1" outlineLevel="1" x14ac:dyDescent="0.25">
      <c r="A2258" s="739">
        <v>0.02</v>
      </c>
      <c r="B2258" s="740" t="s">
        <v>280</v>
      </c>
      <c r="C2258" s="809">
        <v>44.777999999999999</v>
      </c>
      <c r="D2258" s="737">
        <v>41.664999999999999</v>
      </c>
      <c r="E2258" s="742">
        <f t="shared" si="56"/>
        <v>-6.9520746795301291E-2</v>
      </c>
      <c r="F2258" s="946">
        <f t="shared" si="57"/>
        <v>-1.3904149359060258E-3</v>
      </c>
      <c r="G2258" s="78"/>
      <c r="H2258" t="str">
        <f>VLOOKUP(B2258,indexy!$A$44:$D$232,3,FALSE)</f>
        <v>AKZA NA Equity</v>
      </c>
      <c r="J2258" s="31"/>
    </row>
    <row r="2259" spans="1:10" hidden="1" outlineLevel="1" x14ac:dyDescent="0.25">
      <c r="A2259" s="739">
        <v>0.03</v>
      </c>
      <c r="B2259" s="743" t="s">
        <v>51</v>
      </c>
      <c r="C2259" s="809">
        <v>57.494999999999997</v>
      </c>
      <c r="D2259" s="737">
        <v>29.04</v>
      </c>
      <c r="E2259" s="742">
        <f t="shared" si="56"/>
        <v>-0.49491260109574742</v>
      </c>
      <c r="F2259" s="946">
        <f t="shared" si="57"/>
        <v>-1.4847378032872421E-2</v>
      </c>
      <c r="G2259" s="78"/>
      <c r="H2259" t="str">
        <f>VLOOKUP(B2259,indexy!$A$44:$D$232,3,FALSE)</f>
        <v>SGO FP Equity</v>
      </c>
      <c r="J2259" s="31"/>
    </row>
    <row r="2260" spans="1:10" hidden="1" outlineLevel="1" x14ac:dyDescent="0.25">
      <c r="A2260" s="745">
        <v>0.03</v>
      </c>
      <c r="B2260" s="746" t="s">
        <v>3022</v>
      </c>
      <c r="C2260" s="810">
        <v>7709</v>
      </c>
      <c r="D2260" s="715">
        <v>3860</v>
      </c>
      <c r="E2260" s="748">
        <f t="shared" si="56"/>
        <v>-0.49928654819042673</v>
      </c>
      <c r="F2260" s="1023">
        <f t="shared" si="57"/>
        <v>-1.4978596445712802E-2</v>
      </c>
      <c r="G2260" s="78"/>
      <c r="H2260" t="str">
        <f>VLOOKUP(B2260,indexy!$A$44:$D$232,3,FALSE)</f>
        <v>4502 JT Equity</v>
      </c>
      <c r="J2260" s="31"/>
    </row>
    <row r="2261" spans="1:10" hidden="1" outlineLevel="1" x14ac:dyDescent="0.25">
      <c r="A2261" s="749"/>
      <c r="B2261" s="750"/>
      <c r="C2261" s="727"/>
      <c r="D2261" s="727"/>
      <c r="E2261" s="716"/>
      <c r="F2261" s="770">
        <f>SUM(F2231:F2260)</f>
        <v>-0.29729316089627872</v>
      </c>
      <c r="G2261" s="78"/>
      <c r="J2261" s="31"/>
    </row>
    <row r="2262" spans="1:10" hidden="1" outlineLevel="1" x14ac:dyDescent="0.25">
      <c r="A2262" s="940"/>
      <c r="B2262" s="941"/>
      <c r="C2262" s="768"/>
      <c r="D2262" s="768"/>
      <c r="E2262" s="942"/>
      <c r="F2262" s="770"/>
      <c r="G2262" s="78"/>
      <c r="J2262" s="31"/>
    </row>
    <row r="2263" spans="1:10" hidden="1" outlineLevel="1" x14ac:dyDescent="0.25">
      <c r="A2263" s="943" t="s">
        <v>6012</v>
      </c>
      <c r="B2263" s="944">
        <v>39022</v>
      </c>
      <c r="C2263" s="768">
        <v>100</v>
      </c>
      <c r="D2263" s="768">
        <v>105.81319999999999</v>
      </c>
      <c r="E2263" s="716">
        <f t="shared" ref="E2263:E2278" si="58">D2263/C2263-1</f>
        <v>5.813199999999985E-2</v>
      </c>
      <c r="F2263" s="770">
        <v>5.8099999999999999E-2</v>
      </c>
      <c r="G2263" s="78"/>
      <c r="J2263" s="31"/>
    </row>
    <row r="2264" spans="1:10" hidden="1" outlineLevel="1" x14ac:dyDescent="0.25">
      <c r="A2264" s="943" t="s">
        <v>6013</v>
      </c>
      <c r="B2264" s="944">
        <v>39114</v>
      </c>
      <c r="C2264" s="768">
        <v>100</v>
      </c>
      <c r="D2264" s="768">
        <v>110.9725</v>
      </c>
      <c r="E2264" s="716">
        <f t="shared" si="58"/>
        <v>0.10972500000000007</v>
      </c>
      <c r="F2264" s="731">
        <f>E2264</f>
        <v>0.10972500000000007</v>
      </c>
      <c r="G2264" s="78"/>
      <c r="J2264" s="31"/>
    </row>
    <row r="2265" spans="1:10" hidden="1" outlineLevel="1" x14ac:dyDescent="0.25">
      <c r="A2265" s="943" t="s">
        <v>6014</v>
      </c>
      <c r="B2265" s="944">
        <v>39203</v>
      </c>
      <c r="C2265" s="768">
        <v>100</v>
      </c>
      <c r="D2265" s="768">
        <v>114.24939999999999</v>
      </c>
      <c r="E2265" s="716">
        <f t="shared" si="58"/>
        <v>0.1424939999999999</v>
      </c>
      <c r="F2265" s="731">
        <f>E2265</f>
        <v>0.1424939999999999</v>
      </c>
      <c r="G2265" s="78"/>
      <c r="J2265" s="31"/>
    </row>
    <row r="2266" spans="1:10" hidden="1" outlineLevel="1" x14ac:dyDescent="0.25">
      <c r="A2266" s="943" t="s">
        <v>6015</v>
      </c>
      <c r="B2266" s="944">
        <v>39295</v>
      </c>
      <c r="C2266" s="768">
        <v>100</v>
      </c>
      <c r="D2266" s="768">
        <v>108.3561</v>
      </c>
      <c r="E2266" s="716">
        <f t="shared" si="58"/>
        <v>8.3560999999999996E-2</v>
      </c>
      <c r="F2266" s="770">
        <f>E2266</f>
        <v>8.3560999999999996E-2</v>
      </c>
      <c r="G2266" s="78"/>
      <c r="J2266" s="31"/>
    </row>
    <row r="2267" spans="1:10" hidden="1" outlineLevel="1" x14ac:dyDescent="0.25">
      <c r="A2267" s="943" t="s">
        <v>6016</v>
      </c>
      <c r="B2267" s="944">
        <v>39387</v>
      </c>
      <c r="C2267" s="768">
        <v>100</v>
      </c>
      <c r="D2267" s="768">
        <v>116.7521</v>
      </c>
      <c r="E2267" s="716">
        <f t="shared" si="58"/>
        <v>0.16752100000000003</v>
      </c>
      <c r="F2267" s="770">
        <f t="shared" ref="F2267:F2278" si="59">E2267</f>
        <v>0.16752100000000003</v>
      </c>
      <c r="G2267" s="78"/>
      <c r="J2267" s="31"/>
    </row>
    <row r="2268" spans="1:10" hidden="1" outlineLevel="1" x14ac:dyDescent="0.25">
      <c r="A2268" s="943" t="s">
        <v>6017</v>
      </c>
      <c r="B2268" s="944">
        <v>39479</v>
      </c>
      <c r="C2268" s="768">
        <v>100</v>
      </c>
      <c r="D2268" s="768">
        <v>99.1892</v>
      </c>
      <c r="E2268" s="716">
        <f t="shared" si="58"/>
        <v>-8.1080000000000041E-3</v>
      </c>
      <c r="F2268" s="770">
        <f t="shared" si="59"/>
        <v>-8.1080000000000041E-3</v>
      </c>
      <c r="G2268" s="78"/>
      <c r="J2268" s="31"/>
    </row>
    <row r="2269" spans="1:10" hidden="1" outlineLevel="1" x14ac:dyDescent="0.25">
      <c r="A2269" s="943" t="s">
        <v>6018</v>
      </c>
      <c r="B2269" s="944">
        <v>39569</v>
      </c>
      <c r="C2269" s="768">
        <v>100</v>
      </c>
      <c r="D2269" s="768">
        <v>97.779700000000005</v>
      </c>
      <c r="E2269" s="716">
        <f t="shared" si="58"/>
        <v>-2.2202999999999973E-2</v>
      </c>
      <c r="F2269" s="770">
        <f t="shared" si="59"/>
        <v>-2.2202999999999973E-2</v>
      </c>
      <c r="G2269" s="78"/>
      <c r="J2269" s="31"/>
    </row>
    <row r="2270" spans="1:10" hidden="1" outlineLevel="1" x14ac:dyDescent="0.25">
      <c r="A2270" s="943" t="s">
        <v>6019</v>
      </c>
      <c r="B2270" s="944">
        <v>39661</v>
      </c>
      <c r="C2270" s="768">
        <v>100</v>
      </c>
      <c r="D2270" s="768">
        <v>87.706999999999994</v>
      </c>
      <c r="E2270" s="716">
        <f t="shared" si="58"/>
        <v>-0.12293000000000009</v>
      </c>
      <c r="F2270" s="770">
        <f t="shared" si="59"/>
        <v>-0.12293000000000009</v>
      </c>
      <c r="G2270" s="78"/>
      <c r="J2270" s="31"/>
    </row>
    <row r="2271" spans="1:10" hidden="1" outlineLevel="1" x14ac:dyDescent="0.25">
      <c r="A2271" s="943" t="s">
        <v>6020</v>
      </c>
      <c r="B2271" s="944">
        <v>39753</v>
      </c>
      <c r="C2271" s="768">
        <v>100</v>
      </c>
      <c r="D2271" s="768">
        <v>66.133399999999995</v>
      </c>
      <c r="E2271" s="716">
        <f t="shared" si="58"/>
        <v>-0.33866600000000002</v>
      </c>
      <c r="F2271" s="770">
        <f t="shared" si="59"/>
        <v>-0.33866600000000002</v>
      </c>
      <c r="G2271" s="78"/>
      <c r="J2271" s="31"/>
    </row>
    <row r="2272" spans="1:10" hidden="1" outlineLevel="1" x14ac:dyDescent="0.25">
      <c r="A2272" s="943" t="s">
        <v>6021</v>
      </c>
      <c r="B2272" s="944">
        <v>39845</v>
      </c>
      <c r="C2272" s="768">
        <v>100</v>
      </c>
      <c r="D2272" s="768">
        <v>53.040500000000002</v>
      </c>
      <c r="E2272" s="716">
        <f t="shared" si="58"/>
        <v>-0.46959499999999998</v>
      </c>
      <c r="F2272" s="770">
        <f t="shared" si="59"/>
        <v>-0.46959499999999998</v>
      </c>
      <c r="G2272" s="78"/>
      <c r="J2272" s="31"/>
    </row>
    <row r="2273" spans="1:14" hidden="1" outlineLevel="1" x14ac:dyDescent="0.25">
      <c r="A2273" s="943" t="s">
        <v>6022</v>
      </c>
      <c r="B2273" s="944">
        <v>39934</v>
      </c>
      <c r="C2273" s="768">
        <v>100</v>
      </c>
      <c r="D2273" s="768">
        <v>60.616900000000001</v>
      </c>
      <c r="E2273" s="716">
        <f t="shared" si="58"/>
        <v>-0.39383100000000004</v>
      </c>
      <c r="F2273" s="770">
        <f t="shared" si="59"/>
        <v>-0.39383100000000004</v>
      </c>
      <c r="G2273" s="78"/>
      <c r="J2273" s="31"/>
    </row>
    <row r="2274" spans="1:14" hidden="1" outlineLevel="1" x14ac:dyDescent="0.25">
      <c r="A2274" s="943" t="s">
        <v>6023</v>
      </c>
      <c r="B2274" s="944">
        <v>40026</v>
      </c>
      <c r="C2274" s="768">
        <v>100</v>
      </c>
      <c r="D2274" s="768">
        <v>70.933700000000002</v>
      </c>
      <c r="E2274" s="716">
        <f t="shared" si="58"/>
        <v>-0.290663</v>
      </c>
      <c r="F2274" s="770">
        <f t="shared" si="59"/>
        <v>-0.290663</v>
      </c>
      <c r="G2274" s="78"/>
      <c r="J2274" s="31"/>
    </row>
    <row r="2275" spans="1:14" hidden="1" outlineLevel="1" x14ac:dyDescent="0.25">
      <c r="A2275" s="943" t="s">
        <v>6024</v>
      </c>
      <c r="B2275" s="944">
        <v>40118</v>
      </c>
      <c r="C2275" s="768">
        <v>100</v>
      </c>
      <c r="D2275" s="768">
        <v>72.514899999999997</v>
      </c>
      <c r="E2275" s="716">
        <f t="shared" si="58"/>
        <v>-0.27485100000000007</v>
      </c>
      <c r="F2275" s="770">
        <f t="shared" si="59"/>
        <v>-0.27485100000000007</v>
      </c>
      <c r="G2275" s="78"/>
      <c r="J2275" s="31"/>
    </row>
    <row r="2276" spans="1:14" hidden="1" outlineLevel="1" x14ac:dyDescent="0.25">
      <c r="A2276" s="943" t="s">
        <v>6025</v>
      </c>
      <c r="B2276" s="944">
        <v>40210</v>
      </c>
      <c r="C2276" s="768">
        <v>100</v>
      </c>
      <c r="D2276" s="768">
        <v>72.053600000000003</v>
      </c>
      <c r="E2276" s="716">
        <f t="shared" si="58"/>
        <v>-0.27946399999999993</v>
      </c>
      <c r="F2276" s="770">
        <f t="shared" si="59"/>
        <v>-0.27946399999999993</v>
      </c>
      <c r="G2276" s="78"/>
      <c r="J2276" s="31"/>
    </row>
    <row r="2277" spans="1:14" hidden="1" outlineLevel="1" x14ac:dyDescent="0.25">
      <c r="A2277" s="943" t="s">
        <v>6026</v>
      </c>
      <c r="B2277" s="944">
        <v>40299</v>
      </c>
      <c r="C2277" s="768">
        <v>100</v>
      </c>
      <c r="D2277" s="768">
        <v>69.657200000000003</v>
      </c>
      <c r="E2277" s="716">
        <f t="shared" si="58"/>
        <v>-0.30342799999999992</v>
      </c>
      <c r="F2277" s="770">
        <f t="shared" si="59"/>
        <v>-0.30342799999999992</v>
      </c>
      <c r="G2277" s="78"/>
      <c r="H2277" t="s">
        <v>1837</v>
      </c>
      <c r="J2277" s="31"/>
    </row>
    <row r="2278" spans="1:14" hidden="1" outlineLevel="1" x14ac:dyDescent="0.25">
      <c r="A2278" s="943" t="s">
        <v>6027</v>
      </c>
      <c r="B2278" s="944">
        <v>40391</v>
      </c>
      <c r="C2278" s="768">
        <v>100</v>
      </c>
      <c r="D2278" s="768">
        <v>72.073999999999998</v>
      </c>
      <c r="E2278" s="716">
        <f t="shared" si="58"/>
        <v>-0.27926000000000006</v>
      </c>
      <c r="F2278" s="770">
        <f t="shared" si="59"/>
        <v>-0.27926000000000006</v>
      </c>
      <c r="G2278" s="78"/>
      <c r="H2278" s="101">
        <f>AVERAGE(F2263:F2278)</f>
        <v>-0.13884987500000001</v>
      </c>
      <c r="J2278" s="31"/>
    </row>
    <row r="2279" spans="1:14" collapsed="1" x14ac:dyDescent="0.25">
      <c r="A2279" s="3801" t="s">
        <v>4185</v>
      </c>
      <c r="B2279" s="3802"/>
      <c r="C2279" s="3802"/>
      <c r="D2279" s="3802"/>
      <c r="E2279" s="721" t="s">
        <v>2722</v>
      </c>
      <c r="F2279" s="722">
        <f>MAX(AVERAGE(F2263:F2278),4%)</f>
        <v>0.04</v>
      </c>
      <c r="G2279" s="97" t="s">
        <v>781</v>
      </c>
      <c r="J2279" s="31"/>
    </row>
    <row r="2280" spans="1:14" x14ac:dyDescent="0.25">
      <c r="A2280" s="1"/>
      <c r="B2280" s="1"/>
      <c r="C2280" s="1"/>
      <c r="D2280" s="1"/>
      <c r="E2280" s="1"/>
      <c r="F2280" s="1848"/>
      <c r="G2280" s="78"/>
      <c r="J2280" s="31"/>
    </row>
    <row r="2281" spans="1:14" hidden="1" outlineLevel="1" x14ac:dyDescent="0.25">
      <c r="A2281" s="689" t="s">
        <v>113</v>
      </c>
      <c r="B2281" s="689" t="s">
        <v>114</v>
      </c>
      <c r="C2281" s="689" t="s">
        <v>112</v>
      </c>
      <c r="D2281" s="689" t="s">
        <v>116</v>
      </c>
      <c r="E2281" s="689" t="s">
        <v>117</v>
      </c>
      <c r="F2281" s="1188" t="s">
        <v>121</v>
      </c>
      <c r="G2281" s="78"/>
      <c r="J2281" s="31"/>
    </row>
    <row r="2282" spans="1:14" hidden="1" outlineLevel="1" x14ac:dyDescent="0.25">
      <c r="A2282" s="690">
        <v>1</v>
      </c>
      <c r="B2282" s="691" t="s">
        <v>252</v>
      </c>
      <c r="C2282" s="692">
        <v>100</v>
      </c>
      <c r="D2282" s="692"/>
      <c r="E2282" s="693"/>
      <c r="F2282" s="694"/>
      <c r="G2282" s="78"/>
      <c r="J2282" s="31" t="s">
        <v>2040</v>
      </c>
    </row>
    <row r="2283" spans="1:14" hidden="1" outlineLevel="1" x14ac:dyDescent="0.25">
      <c r="A2283" s="695"/>
      <c r="B2283" s="695"/>
      <c r="C2283" s="696"/>
      <c r="D2283" s="697" t="s">
        <v>3702</v>
      </c>
      <c r="E2283" s="698">
        <f>indexy!$B$2</f>
        <v>45379</v>
      </c>
      <c r="F2283" s="699"/>
      <c r="G2283" s="78"/>
      <c r="J2283" s="256">
        <v>40422</v>
      </c>
      <c r="K2283">
        <v>75.346800000000002</v>
      </c>
      <c r="L2283" s="37">
        <f t="shared" ref="L2283:L2294" si="60">K2283/100-1</f>
        <v>-0.24653199999999997</v>
      </c>
      <c r="M2283">
        <v>75.346800000000002</v>
      </c>
      <c r="N2283">
        <f>+M2283-K2283</f>
        <v>0</v>
      </c>
    </row>
    <row r="2284" spans="1:14" hidden="1" outlineLevel="1" x14ac:dyDescent="0.25">
      <c r="A2284" s="689" t="s">
        <v>4156</v>
      </c>
      <c r="B2284" s="689" t="s">
        <v>4153</v>
      </c>
      <c r="C2284" s="700" t="s">
        <v>112</v>
      </c>
      <c r="D2284" s="689" t="s">
        <v>4155</v>
      </c>
      <c r="E2284" s="689" t="s">
        <v>4154</v>
      </c>
      <c r="F2284" s="1021" t="s">
        <v>2519</v>
      </c>
      <c r="G2284" s="78"/>
      <c r="J2284" s="256">
        <v>40452</v>
      </c>
      <c r="K2284">
        <v>77.460700000000003</v>
      </c>
      <c r="L2284" s="37">
        <f t="shared" si="60"/>
        <v>-0.22539299999999995</v>
      </c>
      <c r="M2284">
        <v>77.460700000000003</v>
      </c>
      <c r="N2284">
        <f t="shared" ref="N2284:N2294" si="61">+M2284-K2284</f>
        <v>0</v>
      </c>
    </row>
    <row r="2285" spans="1:14" hidden="1" outlineLevel="1" x14ac:dyDescent="0.25">
      <c r="A2285" s="734">
        <v>0.05</v>
      </c>
      <c r="B2285" s="735" t="s">
        <v>3798</v>
      </c>
      <c r="C2285" s="807">
        <v>7.0153999999999996</v>
      </c>
      <c r="D2285" s="737">
        <v>3.4</v>
      </c>
      <c r="E2285" s="705">
        <f>D2285/C2285-1</f>
        <v>-0.51535194001767537</v>
      </c>
      <c r="F2285" s="1021">
        <f>E2285*A2285</f>
        <v>-2.5767597000883768E-2</v>
      </c>
      <c r="G2285" s="78"/>
      <c r="H2285" t="str">
        <f>VLOOKUP(B2285,indexy!$A$44:$D$157,3,FALSE)</f>
        <v>ENEL IM Equity</v>
      </c>
      <c r="J2285" s="256">
        <v>40483</v>
      </c>
      <c r="K2285">
        <v>73.305300000000003</v>
      </c>
      <c r="L2285" s="37">
        <f t="shared" si="60"/>
        <v>-0.26694699999999993</v>
      </c>
      <c r="M2285">
        <v>73.305300000000003</v>
      </c>
      <c r="N2285">
        <f t="shared" si="61"/>
        <v>0</v>
      </c>
    </row>
    <row r="2286" spans="1:14" hidden="1" outlineLevel="1" x14ac:dyDescent="0.25">
      <c r="A2286" s="739">
        <v>0.04</v>
      </c>
      <c r="B2286" s="740" t="s">
        <v>2630</v>
      </c>
      <c r="C2286" s="809">
        <v>16.648</v>
      </c>
      <c r="D2286" s="737">
        <v>13.3</v>
      </c>
      <c r="E2286" s="709">
        <f t="shared" ref="E2286:E2314" si="62">D2286/C2286-1</f>
        <v>-0.20110523786641032</v>
      </c>
      <c r="F2286" s="946">
        <f t="shared" ref="F2286:F2314" si="63">E2286*A2286</f>
        <v>-8.0442095146564131E-3</v>
      </c>
      <c r="G2286" s="78"/>
      <c r="H2286" t="e">
        <f>VLOOKUP(B2286,indexy!$A$44:$D$157,3,FALSE)</f>
        <v>#N/A</v>
      </c>
      <c r="J2286" s="256">
        <v>40513</v>
      </c>
      <c r="K2286">
        <v>77.195599999999999</v>
      </c>
      <c r="L2286" s="37">
        <f t="shared" si="60"/>
        <v>-0.22804400000000002</v>
      </c>
      <c r="M2286">
        <v>77.195599999999999</v>
      </c>
      <c r="N2286">
        <f t="shared" si="61"/>
        <v>0</v>
      </c>
    </row>
    <row r="2287" spans="1:14" hidden="1" outlineLevel="1" x14ac:dyDescent="0.25">
      <c r="A2287" s="739">
        <v>0.04</v>
      </c>
      <c r="B2287" s="740" t="s">
        <v>2587</v>
      </c>
      <c r="C2287" s="809">
        <f>(17.93*100)/3</f>
        <v>597.66666666666663</v>
      </c>
      <c r="D2287" s="737">
        <v>24.27</v>
      </c>
      <c r="E2287" s="709">
        <f t="shared" si="62"/>
        <v>-0.9593920803123257</v>
      </c>
      <c r="F2287" s="946">
        <f t="shared" si="63"/>
        <v>-3.8375683212493031E-2</v>
      </c>
      <c r="G2287" s="78"/>
      <c r="H2287" t="e">
        <f>VLOOKUP(B2287,indexy!$A$44:$D$157,3,FALSE)</f>
        <v>#N/A</v>
      </c>
      <c r="J2287" s="256">
        <v>40544</v>
      </c>
      <c r="K2287">
        <v>79.348299999999995</v>
      </c>
      <c r="L2287" s="37">
        <f t="shared" si="60"/>
        <v>-0.20651700000000006</v>
      </c>
      <c r="M2287">
        <v>79.348299999999995</v>
      </c>
      <c r="N2287">
        <f t="shared" si="61"/>
        <v>0</v>
      </c>
    </row>
    <row r="2288" spans="1:14" hidden="1" outlineLevel="1" x14ac:dyDescent="0.25">
      <c r="A2288" s="739">
        <v>0.05</v>
      </c>
      <c r="B2288" s="740" t="s">
        <v>2629</v>
      </c>
      <c r="C2288" s="809">
        <v>11.372999999999999</v>
      </c>
      <c r="D2288" s="737">
        <v>8.8060000000000009</v>
      </c>
      <c r="E2288" s="709">
        <f t="shared" si="62"/>
        <v>-0.22571001494768295</v>
      </c>
      <c r="F2288" s="946">
        <f t="shared" si="63"/>
        <v>-1.1285500747384148E-2</v>
      </c>
      <c r="G2288" s="78"/>
      <c r="H2288" t="str">
        <f>VLOOKUP(B2288,indexy!$A$44:$D$157,3,FALSE)</f>
        <v>DTE GY Equity</v>
      </c>
      <c r="J2288" s="256">
        <v>40575</v>
      </c>
      <c r="K2288">
        <v>80.515600000000006</v>
      </c>
      <c r="L2288" s="37">
        <f t="shared" si="60"/>
        <v>-0.19484399999999991</v>
      </c>
      <c r="M2288">
        <v>80.515600000000006</v>
      </c>
      <c r="N2288">
        <f t="shared" si="61"/>
        <v>0</v>
      </c>
    </row>
    <row r="2289" spans="1:14" hidden="1" outlineLevel="1" x14ac:dyDescent="0.25">
      <c r="A2289" s="739">
        <v>0.04</v>
      </c>
      <c r="B2289" s="740" t="s">
        <v>1527</v>
      </c>
      <c r="C2289" s="809">
        <v>2.2079</v>
      </c>
      <c r="D2289" s="737">
        <v>0.84450000000000003</v>
      </c>
      <c r="E2289" s="709">
        <f t="shared" si="62"/>
        <v>-0.61750985098962818</v>
      </c>
      <c r="F2289" s="946">
        <f t="shared" si="63"/>
        <v>-2.4700394039585127E-2</v>
      </c>
      <c r="G2289" s="78"/>
      <c r="H2289" t="str">
        <f>VLOOKUP(B2289,indexy!$A$44:$D$157,3,FALSE)</f>
        <v>TIT IM Equity</v>
      </c>
      <c r="J2289" s="256">
        <v>40603</v>
      </c>
      <c r="K2289">
        <v>78.662800000000004</v>
      </c>
      <c r="L2289" s="37">
        <f t="shared" si="60"/>
        <v>-0.21337200000000001</v>
      </c>
      <c r="M2289">
        <v>78.662800000000004</v>
      </c>
      <c r="N2289">
        <f t="shared" si="61"/>
        <v>0</v>
      </c>
    </row>
    <row r="2290" spans="1:14" hidden="1" outlineLevel="1" x14ac:dyDescent="0.25">
      <c r="A2290" s="739">
        <v>0.05</v>
      </c>
      <c r="B2290" s="740" t="s">
        <v>576</v>
      </c>
      <c r="C2290" s="809">
        <v>15.273999999999999</v>
      </c>
      <c r="D2290" s="737">
        <v>4.78</v>
      </c>
      <c r="E2290" s="709">
        <f t="shared" si="62"/>
        <v>-0.68704988869975114</v>
      </c>
      <c r="F2290" s="946">
        <f t="shared" si="63"/>
        <v>-3.4352494434987557E-2</v>
      </c>
      <c r="G2290" s="78"/>
      <c r="H2290" t="e">
        <f>VLOOKUP(B2290,indexy!$A$44:$D$157,3,FALSE)</f>
        <v>#N/A</v>
      </c>
      <c r="J2290" s="256">
        <v>40634</v>
      </c>
      <c r="K2290">
        <v>81.007199999999997</v>
      </c>
      <c r="L2290" s="37">
        <f t="shared" si="60"/>
        <v>-0.18992799999999999</v>
      </c>
      <c r="M2290">
        <v>81.007199999999997</v>
      </c>
      <c r="N2290">
        <f t="shared" si="61"/>
        <v>0</v>
      </c>
    </row>
    <row r="2291" spans="1:14" hidden="1" outlineLevel="1" x14ac:dyDescent="0.25">
      <c r="A2291" s="739">
        <v>0.05</v>
      </c>
      <c r="B2291" s="740" t="s">
        <v>157</v>
      </c>
      <c r="C2291" s="809">
        <v>8.2447999999999997</v>
      </c>
      <c r="D2291" s="737">
        <v>6.42</v>
      </c>
      <c r="E2291" s="709">
        <f t="shared" si="62"/>
        <v>-0.22132738210751013</v>
      </c>
      <c r="F2291" s="946">
        <f t="shared" si="63"/>
        <v>-1.1066369105375506E-2</v>
      </c>
      <c r="G2291" s="78"/>
      <c r="H2291" t="str">
        <f>VLOOKUP(B2291,indexy!$A$44:$D$157,3,FALSE)</f>
        <v>SAN SM Equity</v>
      </c>
      <c r="I2291" s="106"/>
      <c r="J2291" s="256">
        <v>40664</v>
      </c>
      <c r="K2291">
        <v>78.788499999999999</v>
      </c>
      <c r="L2291" s="37">
        <f t="shared" si="60"/>
        <v>-0.21211500000000005</v>
      </c>
      <c r="M2291">
        <v>78.788499999999999</v>
      </c>
      <c r="N2291">
        <f t="shared" si="61"/>
        <v>0</v>
      </c>
    </row>
    <row r="2292" spans="1:14" hidden="1" outlineLevel="1" x14ac:dyDescent="0.25">
      <c r="A2292" s="739">
        <v>0.04</v>
      </c>
      <c r="B2292" s="740" t="s">
        <v>3427</v>
      </c>
      <c r="C2292" s="809">
        <v>34.042000000000002</v>
      </c>
      <c r="D2292" s="737">
        <v>41.36</v>
      </c>
      <c r="E2292" s="709">
        <f t="shared" si="62"/>
        <v>0.21496974325832796</v>
      </c>
      <c r="F2292" s="946">
        <f t="shared" si="63"/>
        <v>8.5987897303331194E-3</v>
      </c>
      <c r="G2292" s="78"/>
      <c r="H2292" t="str">
        <f>VLOOKUP(B2292,indexy!$A$44:$D$157,3,FALSE)</f>
        <v>SO UN Equity</v>
      </c>
      <c r="J2292" s="256">
        <v>40695</v>
      </c>
      <c r="K2292">
        <v>77.151300000000006</v>
      </c>
      <c r="L2292" s="37">
        <f t="shared" si="60"/>
        <v>-0.22848699999999988</v>
      </c>
      <c r="M2292">
        <v>77.151300000000006</v>
      </c>
      <c r="N2292">
        <f t="shared" si="61"/>
        <v>0</v>
      </c>
    </row>
    <row r="2293" spans="1:14" hidden="1" outlineLevel="1" x14ac:dyDescent="0.25">
      <c r="A2293" s="739">
        <v>0.04</v>
      </c>
      <c r="B2293" s="740" t="s">
        <v>1994</v>
      </c>
      <c r="C2293" s="809">
        <v>51.656999999999996</v>
      </c>
      <c r="D2293" s="737">
        <v>8.17</v>
      </c>
      <c r="E2293" s="709">
        <f t="shared" si="62"/>
        <v>-0.84184137677371895</v>
      </c>
      <c r="F2293" s="946">
        <f t="shared" si="63"/>
        <v>-3.3673655070948758E-2</v>
      </c>
      <c r="G2293" s="78"/>
      <c r="H2293" t="str">
        <f>VLOOKUP(B2293,indexy!$A$44:$D$157,3,FALSE)</f>
        <v>BAC UN Equity</v>
      </c>
      <c r="J2293" s="256">
        <v>40725</v>
      </c>
      <c r="K2293">
        <v>73.209299999999999</v>
      </c>
      <c r="L2293" s="37">
        <f t="shared" si="60"/>
        <v>-0.26790700000000001</v>
      </c>
      <c r="M2293">
        <v>73.209299999999999</v>
      </c>
      <c r="N2293">
        <f t="shared" si="61"/>
        <v>0</v>
      </c>
    </row>
    <row r="2294" spans="1:14" hidden="1" outlineLevel="1" x14ac:dyDescent="0.25">
      <c r="A2294" s="739">
        <v>0.04</v>
      </c>
      <c r="B2294" s="740" t="s">
        <v>1847</v>
      </c>
      <c r="C2294" s="809">
        <f>49.123*10</f>
        <v>491.22999999999996</v>
      </c>
      <c r="D2294" s="737">
        <v>31.05</v>
      </c>
      <c r="E2294" s="709">
        <f t="shared" si="62"/>
        <v>-0.9367913197483867</v>
      </c>
      <c r="F2294" s="946">
        <f t="shared" si="63"/>
        <v>-3.7471652789935465E-2</v>
      </c>
      <c r="G2294" s="78"/>
      <c r="H2294" t="str">
        <f>VLOOKUP(B2294,indexy!$A$44:$D$157,3,FALSE)</f>
        <v>C UN Equity</v>
      </c>
      <c r="J2294" s="256">
        <v>40756</v>
      </c>
      <c r="K2294">
        <v>64.717399999999998</v>
      </c>
      <c r="L2294" s="37">
        <f t="shared" si="60"/>
        <v>-0.35282599999999997</v>
      </c>
      <c r="M2294">
        <v>64.717399999999998</v>
      </c>
      <c r="N2294">
        <f t="shared" si="61"/>
        <v>0</v>
      </c>
    </row>
    <row r="2295" spans="1:14" hidden="1" outlineLevel="1" x14ac:dyDescent="0.25">
      <c r="A2295" s="739">
        <v>0.03</v>
      </c>
      <c r="B2295" s="740" t="s">
        <v>44</v>
      </c>
      <c r="C2295" s="908">
        <v>5.280353131261605</v>
      </c>
      <c r="D2295" s="737">
        <v>1.1339999999999999</v>
      </c>
      <c r="E2295" s="709">
        <f t="shared" si="62"/>
        <v>-0.78524163596440011</v>
      </c>
      <c r="F2295" s="946">
        <f t="shared" si="63"/>
        <v>-2.3557249078932002E-2</v>
      </c>
      <c r="G2295" s="78"/>
      <c r="H2295" t="str">
        <f>VLOOKUP(B2295,indexy!$A$44:$D$232,3,FALSE)</f>
        <v>ISP IM Equity</v>
      </c>
      <c r="J2295" s="264" t="s">
        <v>2465</v>
      </c>
      <c r="K2295" s="256"/>
      <c r="L2295" s="261">
        <f>AVERAGE(L2283:L2294)</f>
        <v>-0.23607599999999998</v>
      </c>
    </row>
    <row r="2296" spans="1:14" hidden="1" outlineLevel="1" x14ac:dyDescent="0.25">
      <c r="A2296" s="739">
        <v>0.04</v>
      </c>
      <c r="B2296" s="740" t="s">
        <v>3801</v>
      </c>
      <c r="C2296" s="809">
        <v>71.034999999999997</v>
      </c>
      <c r="D2296" s="737">
        <v>26.15</v>
      </c>
      <c r="E2296" s="709">
        <f t="shared" si="62"/>
        <v>-0.63187161258534519</v>
      </c>
      <c r="F2296" s="946">
        <f t="shared" si="63"/>
        <v>-2.5274864503413808E-2</v>
      </c>
      <c r="G2296" s="78"/>
      <c r="H2296" t="str">
        <f>VLOOKUP(B2296,indexy!$A$44:$D$157,3,FALSE)</f>
        <v>RWE GY Equity</v>
      </c>
      <c r="J2296" s="256"/>
      <c r="L2296" s="37"/>
    </row>
    <row r="2297" spans="1:14" hidden="1" outlineLevel="1" x14ac:dyDescent="0.25">
      <c r="A2297" s="739">
        <v>0.04</v>
      </c>
      <c r="B2297" s="740" t="s">
        <v>3792</v>
      </c>
      <c r="C2297" s="809">
        <v>57.14</v>
      </c>
      <c r="D2297" s="737">
        <v>25.59</v>
      </c>
      <c r="E2297" s="709">
        <f t="shared" si="62"/>
        <v>-0.55215260763038154</v>
      </c>
      <c r="F2297" s="946">
        <f t="shared" si="63"/>
        <v>-2.2086104305215262E-2</v>
      </c>
      <c r="G2297" s="78"/>
      <c r="H2297" t="str">
        <f>VLOOKUP(B2297,indexy!$A$44:$D$157,3,FALSE)</f>
        <v>CMA UN Equity</v>
      </c>
      <c r="J2297" s="256"/>
      <c r="L2297" s="37"/>
    </row>
    <row r="2298" spans="1:14" hidden="1" outlineLevel="1" x14ac:dyDescent="0.25">
      <c r="A2298" s="739">
        <v>0.03</v>
      </c>
      <c r="B2298" s="740" t="s">
        <v>4110</v>
      </c>
      <c r="C2298" s="809">
        <f>78.739/2</f>
        <v>39.369500000000002</v>
      </c>
      <c r="D2298" s="737">
        <v>48.74</v>
      </c>
      <c r="E2298" s="709">
        <f t="shared" si="62"/>
        <v>0.23801419880872254</v>
      </c>
      <c r="F2298" s="946">
        <f t="shared" si="63"/>
        <v>7.1404259642616763E-3</v>
      </c>
      <c r="G2298" s="78"/>
      <c r="H2298" t="e">
        <f>VLOOKUP(B2298,indexy!$A$44:$D$157,3,FALSE)</f>
        <v>#N/A</v>
      </c>
    </row>
    <row r="2299" spans="1:14" hidden="1" outlineLevel="1" x14ac:dyDescent="0.25">
      <c r="A2299" s="739">
        <v>0.03</v>
      </c>
      <c r="B2299" s="740" t="s">
        <v>1031</v>
      </c>
      <c r="C2299" s="809">
        <v>7.2592499999999998</v>
      </c>
      <c r="D2299" s="737">
        <v>5.1340000000000003</v>
      </c>
      <c r="E2299" s="709">
        <f t="shared" si="62"/>
        <v>-0.29276440403622961</v>
      </c>
      <c r="F2299" s="946">
        <f t="shared" si="63"/>
        <v>-8.7829321210868873E-3</v>
      </c>
      <c r="G2299" s="78"/>
      <c r="H2299" t="str">
        <f>VLOOKUP(B2299,indexy!$A$44:$D$157,3,FALSE)</f>
        <v>IBE SQ Equity</v>
      </c>
    </row>
    <row r="2300" spans="1:14" hidden="1" outlineLevel="1" x14ac:dyDescent="0.25">
      <c r="A2300" s="739">
        <v>0.02</v>
      </c>
      <c r="B2300" s="740" t="s">
        <v>281</v>
      </c>
      <c r="C2300" s="809">
        <v>36.795000000000002</v>
      </c>
      <c r="D2300" s="737">
        <v>6.64</v>
      </c>
      <c r="E2300" s="709">
        <f t="shared" si="62"/>
        <v>-0.81954069846446531</v>
      </c>
      <c r="F2300" s="946">
        <f t="shared" si="63"/>
        <v>-1.6390813969289306E-2</v>
      </c>
      <c r="G2300" s="78"/>
      <c r="H2300" t="str">
        <f>VLOOKUP(B2300,indexy!$A$44:$D$157,3,FALSE)</f>
        <v>KEY UN Equity</v>
      </c>
    </row>
    <row r="2301" spans="1:14" hidden="1" outlineLevel="1" x14ac:dyDescent="0.25">
      <c r="A2301" s="739">
        <v>0.03</v>
      </c>
      <c r="B2301" s="740" t="s">
        <v>577</v>
      </c>
      <c r="C2301" s="809">
        <v>13.282999999999999</v>
      </c>
      <c r="D2301" s="737">
        <v>14.51</v>
      </c>
      <c r="E2301" s="709">
        <f t="shared" si="62"/>
        <v>9.237371075811196E-2</v>
      </c>
      <c r="F2301" s="946">
        <f t="shared" si="63"/>
        <v>2.7712113227433585E-3</v>
      </c>
      <c r="G2301" s="78"/>
      <c r="H2301" t="str">
        <f>VLOOKUP(B2301,indexy!$A$44:$D$157,3,FALSE)</f>
        <v>TEF SQ Equity</v>
      </c>
    </row>
    <row r="2302" spans="1:14" hidden="1" outlineLevel="1" x14ac:dyDescent="0.25">
      <c r="A2302" s="739">
        <v>0.03</v>
      </c>
      <c r="B2302" s="740" t="s">
        <v>2166</v>
      </c>
      <c r="C2302" s="809">
        <v>125.02</v>
      </c>
      <c r="D2302" s="737">
        <v>23.36</v>
      </c>
      <c r="E2302" s="709">
        <f t="shared" si="62"/>
        <v>-0.81314989601663734</v>
      </c>
      <c r="F2302" s="946">
        <f t="shared" si="63"/>
        <v>-2.439449688049912E-2</v>
      </c>
      <c r="G2302" s="78"/>
      <c r="H2302" t="str">
        <f>VLOOKUP(B2302,indexy!$A$44:$D$157,3,FALSE)</f>
        <v>GLE FP Equity</v>
      </c>
    </row>
    <row r="2303" spans="1:14" hidden="1" outlineLevel="1" x14ac:dyDescent="0.25">
      <c r="A2303" s="739">
        <v>0.02</v>
      </c>
      <c r="B2303" s="740" t="s">
        <v>3656</v>
      </c>
      <c r="C2303" s="809">
        <v>104.9</v>
      </c>
      <c r="D2303" s="737">
        <v>149.6</v>
      </c>
      <c r="E2303" s="709">
        <f t="shared" si="62"/>
        <v>0.42612011439466135</v>
      </c>
      <c r="F2303" s="946">
        <f t="shared" si="63"/>
        <v>8.5224022878932267E-3</v>
      </c>
      <c r="G2303" s="78"/>
      <c r="H2303" t="str">
        <f>VLOOKUP(B2303,indexy!$A$44:$D$157,3,FALSE)</f>
        <v>SKFB SS Equity</v>
      </c>
    </row>
    <row r="2304" spans="1:14" hidden="1" outlineLevel="1" x14ac:dyDescent="0.25">
      <c r="A2304" s="739">
        <v>0.03</v>
      </c>
      <c r="B2304" s="740" t="s">
        <v>901</v>
      </c>
      <c r="C2304" s="809">
        <f>14.504*100</f>
        <v>1450.3999999999999</v>
      </c>
      <c r="D2304" s="737">
        <v>2743.5</v>
      </c>
      <c r="E2304" s="709">
        <f t="shared" si="62"/>
        <v>0.89154715940430251</v>
      </c>
      <c r="F2304" s="946">
        <f t="shared" si="63"/>
        <v>2.6746414782129073E-2</v>
      </c>
      <c r="G2304" s="78"/>
      <c r="H2304" t="str">
        <f>VLOOKUP(B2304,indexy!$A$44:$D$157,3,FALSE)</f>
        <v>BATS LN Equity</v>
      </c>
    </row>
    <row r="2305" spans="1:10" hidden="1" outlineLevel="1" x14ac:dyDescent="0.25">
      <c r="A2305" s="739">
        <v>0.02</v>
      </c>
      <c r="B2305" s="939" t="s">
        <v>4025</v>
      </c>
      <c r="C2305" s="809">
        <v>40.786000000000001</v>
      </c>
      <c r="D2305" s="737">
        <v>37.67</v>
      </c>
      <c r="E2305" s="709">
        <f t="shared" si="62"/>
        <v>-7.6398764281861431E-2</v>
      </c>
      <c r="F2305" s="946">
        <f t="shared" si="63"/>
        <v>-1.5279752856372287E-3</v>
      </c>
      <c r="G2305" s="78"/>
      <c r="H2305" t="str">
        <f>VLOOKUP(B2305,indexy!$A$44:$D$157,3,FALSE)</f>
        <v>MBG GR Equity</v>
      </c>
    </row>
    <row r="2306" spans="1:10" hidden="1" outlineLevel="1" x14ac:dyDescent="0.25">
      <c r="A2306" s="739">
        <v>0.02</v>
      </c>
      <c r="B2306" s="740" t="s">
        <v>1203</v>
      </c>
      <c r="C2306" s="809">
        <v>91.55</v>
      </c>
      <c r="D2306" s="737">
        <v>58.5</v>
      </c>
      <c r="E2306" s="709">
        <f t="shared" si="62"/>
        <v>-0.36100491534680501</v>
      </c>
      <c r="F2306" s="946">
        <f t="shared" si="63"/>
        <v>-7.2200983069361001E-3</v>
      </c>
      <c r="G2306" s="78"/>
      <c r="H2306" t="str">
        <f>VLOOKUP(B2306,indexy!$A$44:$D$157,3,FALSE)</f>
        <v>NDA SS Equity</v>
      </c>
    </row>
    <row r="2307" spans="1:10" hidden="1" outlineLevel="1" x14ac:dyDescent="0.25">
      <c r="A2307" s="739">
        <v>0.03</v>
      </c>
      <c r="B2307" s="740" t="s">
        <v>3020</v>
      </c>
      <c r="C2307" s="809">
        <v>38.414000000000001</v>
      </c>
      <c r="D2307" s="737">
        <v>44.98</v>
      </c>
      <c r="E2307" s="709">
        <f t="shared" si="62"/>
        <v>0.17092726610090048</v>
      </c>
      <c r="F2307" s="946">
        <f t="shared" si="63"/>
        <v>5.1278179830270137E-3</v>
      </c>
      <c r="G2307" s="78"/>
      <c r="H2307" t="str">
        <f>VLOOKUP(B2307,indexy!$A$44:$D$157,3,FALSE)</f>
        <v>BAYN GR Equity</v>
      </c>
    </row>
    <row r="2308" spans="1:10" hidden="1" outlineLevel="1" x14ac:dyDescent="0.25">
      <c r="A2308" s="739">
        <v>0.03</v>
      </c>
      <c r="B2308" s="740" t="s">
        <v>181</v>
      </c>
      <c r="C2308" s="809">
        <v>93.14</v>
      </c>
      <c r="D2308" s="737">
        <v>41.76</v>
      </c>
      <c r="E2308" s="709">
        <f t="shared" si="62"/>
        <v>-0.55164268842602537</v>
      </c>
      <c r="F2308" s="946">
        <f t="shared" si="63"/>
        <v>-1.654928065278076E-2</v>
      </c>
      <c r="G2308" s="78"/>
      <c r="H2308" t="e">
        <f>VLOOKUP(B2308,indexy!$A$44:$D$157,3,FALSE)</f>
        <v>#N/A</v>
      </c>
      <c r="J2308" s="31"/>
    </row>
    <row r="2309" spans="1:10" hidden="1" outlineLevel="1" x14ac:dyDescent="0.25">
      <c r="A2309" s="739">
        <v>0.03</v>
      </c>
      <c r="B2309" s="740" t="s">
        <v>279</v>
      </c>
      <c r="C2309" s="809">
        <v>84.11</v>
      </c>
      <c r="D2309" s="737">
        <v>94.74</v>
      </c>
      <c r="E2309" s="709">
        <f t="shared" si="62"/>
        <v>0.12638211865414339</v>
      </c>
      <c r="F2309" s="946">
        <f t="shared" si="63"/>
        <v>3.7914635596243019E-3</v>
      </c>
      <c r="G2309" s="78"/>
      <c r="H2309" t="str">
        <f>VLOOKUP(B2309,indexy!$A$44:$D$157,3,FALSE)</f>
        <v>SU FP Equity</v>
      </c>
      <c r="J2309" s="31"/>
    </row>
    <row r="2310" spans="1:10" hidden="1" outlineLevel="1" x14ac:dyDescent="0.25">
      <c r="A2310" s="739">
        <v>0.03</v>
      </c>
      <c r="B2310" s="740" t="s">
        <v>1526</v>
      </c>
      <c r="C2310" s="809">
        <v>84.185000000000002</v>
      </c>
      <c r="D2310" s="737">
        <v>19.7</v>
      </c>
      <c r="E2310" s="709">
        <f t="shared" si="62"/>
        <v>-0.76599156619350239</v>
      </c>
      <c r="F2310" s="946">
        <f t="shared" si="63"/>
        <v>-2.2979746985805072E-2</v>
      </c>
      <c r="G2310" s="78"/>
      <c r="H2310" t="str">
        <f>VLOOKUP(B2310,indexy!$A$44:$D$157,3,FALSE)</f>
        <v>KBC BB Equity</v>
      </c>
      <c r="J2310" s="31"/>
    </row>
    <row r="2311" spans="1:10" hidden="1" outlineLevel="1" x14ac:dyDescent="0.25">
      <c r="A2311" s="739">
        <v>0.02</v>
      </c>
      <c r="B2311" s="740" t="s">
        <v>1414</v>
      </c>
      <c r="C2311" s="809">
        <v>27.757999999999999</v>
      </c>
      <c r="D2311" s="737">
        <v>18.98</v>
      </c>
      <c r="E2311" s="709">
        <f t="shared" si="62"/>
        <v>-0.31623315800850205</v>
      </c>
      <c r="F2311" s="946">
        <f t="shared" si="63"/>
        <v>-6.3246631601700408E-3</v>
      </c>
      <c r="G2311" s="78"/>
      <c r="H2311" t="str">
        <f>VLOOKUP(B2311,indexy!$A$44:$D$157,3,FALSE)</f>
        <v>PFE UN Equity</v>
      </c>
      <c r="J2311" s="31"/>
    </row>
    <row r="2312" spans="1:10" hidden="1" outlineLevel="1" x14ac:dyDescent="0.25">
      <c r="A2312" s="739">
        <v>0.02</v>
      </c>
      <c r="B2312" s="740" t="s">
        <v>280</v>
      </c>
      <c r="C2312" s="809">
        <v>45.383000000000003</v>
      </c>
      <c r="D2312" s="737">
        <v>35.44</v>
      </c>
      <c r="E2312" s="709">
        <f t="shared" si="62"/>
        <v>-0.21909084899632025</v>
      </c>
      <c r="F2312" s="946">
        <f t="shared" si="63"/>
        <v>-4.381816979926405E-3</v>
      </c>
      <c r="G2312" s="78"/>
      <c r="H2312" t="str">
        <f>VLOOKUP(B2312,indexy!$A$44:$D$157,3,FALSE)</f>
        <v>AKZA NA Equity</v>
      </c>
      <c r="J2312" s="31"/>
    </row>
    <row r="2313" spans="1:10" hidden="1" outlineLevel="1" x14ac:dyDescent="0.25">
      <c r="A2313" s="739">
        <v>0.03</v>
      </c>
      <c r="B2313" s="740" t="s">
        <v>51</v>
      </c>
      <c r="C2313" s="809">
        <v>57.39</v>
      </c>
      <c r="D2313" s="737">
        <v>35.034999999999997</v>
      </c>
      <c r="E2313" s="709">
        <f t="shared" si="62"/>
        <v>-0.38952779229830992</v>
      </c>
      <c r="F2313" s="946">
        <f t="shared" si="63"/>
        <v>-1.1685833768949296E-2</v>
      </c>
      <c r="G2313" s="78"/>
      <c r="H2313" t="str">
        <f>VLOOKUP(B2313,indexy!$A$44:$D$157,3,FALSE)</f>
        <v>SGO FP Equity</v>
      </c>
      <c r="J2313" s="31"/>
    </row>
    <row r="2314" spans="1:10" hidden="1" outlineLevel="1" x14ac:dyDescent="0.25">
      <c r="A2314" s="745">
        <v>0.03</v>
      </c>
      <c r="B2314" s="746" t="s">
        <v>3022</v>
      </c>
      <c r="C2314" s="810">
        <v>7627</v>
      </c>
      <c r="D2314" s="945">
        <v>3695</v>
      </c>
      <c r="E2314" s="498">
        <f t="shared" si="62"/>
        <v>-0.51553690835190769</v>
      </c>
      <c r="F2314" s="1023">
        <f t="shared" si="63"/>
        <v>-1.5466107250557229E-2</v>
      </c>
      <c r="G2314" s="78"/>
      <c r="H2314" t="str">
        <f>VLOOKUP(B2314,indexy!$A$44:$D$157,3,FALSE)</f>
        <v>4502 JT Equity</v>
      </c>
      <c r="J2314" s="31"/>
    </row>
    <row r="2315" spans="1:10" hidden="1" outlineLevel="1" x14ac:dyDescent="0.25">
      <c r="A2315" s="749"/>
      <c r="B2315" s="750"/>
      <c r="C2315" s="727"/>
      <c r="D2315" s="727"/>
      <c r="E2315" s="716"/>
      <c r="F2315" s="770">
        <v>-0.3528</v>
      </c>
      <c r="G2315" s="78"/>
      <c r="J2315" s="31"/>
    </row>
    <row r="2316" spans="1:10" collapsed="1" x14ac:dyDescent="0.25">
      <c r="A2316" s="3801" t="s">
        <v>4186</v>
      </c>
      <c r="B2316" s="3802"/>
      <c r="C2316" s="3802"/>
      <c r="D2316" s="3802"/>
      <c r="E2316" s="782" t="s">
        <v>2209</v>
      </c>
      <c r="F2316" s="722">
        <f>MAX(L2295*parametry!N100,5%)</f>
        <v>0.05</v>
      </c>
      <c r="G2316" s="97" t="s">
        <v>781</v>
      </c>
      <c r="J2316" s="31"/>
    </row>
    <row r="2317" spans="1:10" x14ac:dyDescent="0.25">
      <c r="A2317" s="1"/>
      <c r="B2317" s="1"/>
      <c r="C2317" s="1"/>
      <c r="D2317" s="1"/>
      <c r="E2317" s="1"/>
      <c r="F2317" s="1848"/>
      <c r="G2317" s="78"/>
      <c r="J2317" s="31"/>
    </row>
    <row r="2318" spans="1:10" hidden="1" outlineLevel="1" x14ac:dyDescent="0.25">
      <c r="A2318" s="689" t="s">
        <v>113</v>
      </c>
      <c r="B2318" s="689" t="s">
        <v>114</v>
      </c>
      <c r="C2318" s="689" t="s">
        <v>112</v>
      </c>
      <c r="D2318" s="689" t="s">
        <v>116</v>
      </c>
      <c r="E2318" s="689" t="s">
        <v>117</v>
      </c>
      <c r="F2318" s="1188" t="s">
        <v>121</v>
      </c>
      <c r="G2318" s="78"/>
      <c r="J2318" s="31"/>
    </row>
    <row r="2319" spans="1:10" hidden="1" outlineLevel="1" x14ac:dyDescent="0.25">
      <c r="A2319" s="690">
        <v>1</v>
      </c>
      <c r="B2319" s="691" t="s">
        <v>252</v>
      </c>
      <c r="C2319" s="692">
        <v>100</v>
      </c>
      <c r="D2319" s="692"/>
      <c r="E2319" s="693"/>
      <c r="F2319" s="694"/>
      <c r="G2319" s="78"/>
      <c r="J2319" s="31"/>
    </row>
    <row r="2320" spans="1:10" hidden="1" outlineLevel="1" x14ac:dyDescent="0.25">
      <c r="A2320" s="695"/>
      <c r="B2320" s="695"/>
      <c r="C2320" s="696"/>
      <c r="D2320" s="697" t="s">
        <v>3702</v>
      </c>
      <c r="E2320" s="698">
        <f>indexy!$B$2</f>
        <v>45379</v>
      </c>
      <c r="F2320" s="699"/>
      <c r="G2320" s="78"/>
      <c r="J2320" s="31"/>
    </row>
    <row r="2321" spans="1:11" hidden="1" outlineLevel="1" x14ac:dyDescent="0.25">
      <c r="A2321" s="689" t="s">
        <v>4156</v>
      </c>
      <c r="B2321" s="689" t="s">
        <v>4153</v>
      </c>
      <c r="C2321" s="700" t="s">
        <v>112</v>
      </c>
      <c r="D2321" s="689" t="s">
        <v>4155</v>
      </c>
      <c r="E2321" s="689" t="s">
        <v>4154</v>
      </c>
      <c r="F2321" s="1021" t="s">
        <v>2519</v>
      </c>
      <c r="G2321" s="78"/>
      <c r="J2321" s="31"/>
    </row>
    <row r="2322" spans="1:11" hidden="1" outlineLevel="1" x14ac:dyDescent="0.25">
      <c r="A2322" s="734">
        <v>0.05</v>
      </c>
      <c r="B2322" s="735" t="s">
        <v>720</v>
      </c>
      <c r="C2322" s="807">
        <v>4.1243979203091055</v>
      </c>
      <c r="D2322" s="737">
        <v>1.8359999999999999</v>
      </c>
      <c r="E2322" s="738">
        <f>D2322/C2322-1</f>
        <v>-0.55484411652928012</v>
      </c>
      <c r="F2322" s="1021">
        <f>E2322*A2322</f>
        <v>-2.7742205826464007E-2</v>
      </c>
      <c r="G2322" s="78"/>
      <c r="H2322" t="s">
        <v>204</v>
      </c>
      <c r="I2322" t="s">
        <v>631</v>
      </c>
      <c r="J2322" s="31"/>
    </row>
    <row r="2323" spans="1:11" hidden="1" outlineLevel="1" x14ac:dyDescent="0.25">
      <c r="A2323" s="739">
        <v>0.05</v>
      </c>
      <c r="B2323" s="740" t="s">
        <v>874</v>
      </c>
      <c r="C2323" s="809">
        <v>225.68</v>
      </c>
      <c r="D2323" s="737">
        <v>267.2</v>
      </c>
      <c r="E2323" s="742">
        <f>D2323/C2323-1</f>
        <v>0.18397731300957099</v>
      </c>
      <c r="F2323" s="946">
        <f>E2323*A2323</f>
        <v>9.19886565047855E-3</v>
      </c>
      <c r="G2323" s="78"/>
      <c r="H2323" t="s">
        <v>4148</v>
      </c>
      <c r="I2323" s="256">
        <v>40360</v>
      </c>
      <c r="J2323" s="31">
        <v>99.795599999999993</v>
      </c>
      <c r="K2323" s="37">
        <f t="shared" ref="K2323:K2334" si="64">J2323/100-1</f>
        <v>-2.0440000000000458E-3</v>
      </c>
    </row>
    <row r="2324" spans="1:11" hidden="1" outlineLevel="1" x14ac:dyDescent="0.25">
      <c r="A2324" s="739">
        <v>0.05</v>
      </c>
      <c r="B2324" s="740" t="s">
        <v>2628</v>
      </c>
      <c r="C2324" s="809">
        <v>4.9551960685458534</v>
      </c>
      <c r="D2324" s="737">
        <v>1.46</v>
      </c>
      <c r="E2324" s="742">
        <f>D2324/C2324-1</f>
        <v>-0.70535979206400001</v>
      </c>
      <c r="F2324" s="946">
        <f>E2324*A2324</f>
        <v>-3.5267989603200003E-2</v>
      </c>
      <c r="G2324" s="78"/>
      <c r="H2324" t="s">
        <v>1896</v>
      </c>
      <c r="I2324" s="256">
        <v>40391</v>
      </c>
      <c r="J2324" s="31">
        <v>97.935199999999995</v>
      </c>
      <c r="K2324" s="37">
        <f t="shared" si="64"/>
        <v>-2.0648E-2</v>
      </c>
    </row>
    <row r="2325" spans="1:11" hidden="1" outlineLevel="1" x14ac:dyDescent="0.25">
      <c r="A2325" s="739">
        <v>0.05</v>
      </c>
      <c r="B2325" s="740" t="s">
        <v>2629</v>
      </c>
      <c r="C2325" s="809">
        <v>12.552</v>
      </c>
      <c r="D2325" s="737">
        <v>10.815</v>
      </c>
      <c r="E2325" s="742">
        <f t="shared" ref="E2325:E2341" si="65">D2325/C2325-1</f>
        <v>-0.13838432122370936</v>
      </c>
      <c r="F2325" s="946">
        <f t="shared" ref="F2325:F2341" si="66">E2325*A2325</f>
        <v>-6.9192160611854688E-3</v>
      </c>
      <c r="G2325" s="78"/>
      <c r="H2325" t="s">
        <v>1652</v>
      </c>
      <c r="I2325" s="256">
        <v>40422</v>
      </c>
      <c r="J2325" s="31">
        <v>101.95820000000001</v>
      </c>
      <c r="K2325" s="37">
        <f t="shared" si="64"/>
        <v>1.9581999999999988E-2</v>
      </c>
    </row>
    <row r="2326" spans="1:11" hidden="1" outlineLevel="1" x14ac:dyDescent="0.25">
      <c r="A2326" s="739">
        <v>0.05</v>
      </c>
      <c r="B2326" s="740" t="s">
        <v>2630</v>
      </c>
      <c r="C2326" s="809">
        <v>16.864000000000001</v>
      </c>
      <c r="D2326" s="737">
        <v>14.664999999999999</v>
      </c>
      <c r="E2326" s="742">
        <f t="shared" si="65"/>
        <v>-0.13039611005692608</v>
      </c>
      <c r="F2326" s="946">
        <f t="shared" si="66"/>
        <v>-6.5198055028463046E-3</v>
      </c>
      <c r="G2326" s="78"/>
      <c r="H2326" t="s">
        <v>4530</v>
      </c>
      <c r="I2326" s="256">
        <v>40452</v>
      </c>
      <c r="J2326" s="31">
        <v>105.0904</v>
      </c>
      <c r="K2326" s="37">
        <f t="shared" si="64"/>
        <v>5.090400000000006E-2</v>
      </c>
    </row>
    <row r="2327" spans="1:11" hidden="1" outlineLevel="1" x14ac:dyDescent="0.25">
      <c r="A2327" s="739">
        <v>0.05</v>
      </c>
      <c r="B2327" s="740" t="s">
        <v>721</v>
      </c>
      <c r="C2327" s="809">
        <v>21.735541443279025</v>
      </c>
      <c r="D2327" s="737">
        <v>23.995000000000001</v>
      </c>
      <c r="E2327" s="742">
        <f t="shared" si="65"/>
        <v>0.10395225546219988</v>
      </c>
      <c r="F2327" s="946">
        <f t="shared" si="66"/>
        <v>5.1976127731099943E-3</v>
      </c>
      <c r="G2327" s="78"/>
      <c r="H2327" t="s">
        <v>4417</v>
      </c>
      <c r="I2327" s="256">
        <v>40483</v>
      </c>
      <c r="J2327" s="31">
        <v>103.02160000000001</v>
      </c>
      <c r="K2327" s="37">
        <f t="shared" si="64"/>
        <v>3.0216000000000021E-2</v>
      </c>
    </row>
    <row r="2328" spans="1:11" hidden="1" outlineLevel="1" x14ac:dyDescent="0.25">
      <c r="A2328" s="739">
        <v>0.05</v>
      </c>
      <c r="B2328" s="740" t="s">
        <v>722</v>
      </c>
      <c r="C2328" s="809">
        <v>27.504042329610073</v>
      </c>
      <c r="D2328" s="737">
        <v>25.234999999999999</v>
      </c>
      <c r="E2328" s="742">
        <f t="shared" si="65"/>
        <v>-8.2498503398799938E-2</v>
      </c>
      <c r="F2328" s="946">
        <f t="shared" si="66"/>
        <v>-4.1249251699399967E-3</v>
      </c>
      <c r="G2328" s="78"/>
      <c r="H2328" t="s">
        <v>4339</v>
      </c>
      <c r="I2328" s="256">
        <v>40513</v>
      </c>
      <c r="J2328" s="31">
        <v>105.7993</v>
      </c>
      <c r="K2328" s="37">
        <f t="shared" si="64"/>
        <v>5.7992999999999961E-2</v>
      </c>
    </row>
    <row r="2329" spans="1:11" hidden="1" outlineLevel="1" x14ac:dyDescent="0.25">
      <c r="A2329" s="739">
        <v>0.05</v>
      </c>
      <c r="B2329" s="740" t="s">
        <v>723</v>
      </c>
      <c r="C2329" s="809">
        <v>906</v>
      </c>
      <c r="D2329" s="737">
        <v>1273</v>
      </c>
      <c r="E2329" s="742">
        <f t="shared" si="65"/>
        <v>0.40507726269315669</v>
      </c>
      <c r="F2329" s="946">
        <f t="shared" si="66"/>
        <v>2.0253863134657837E-2</v>
      </c>
      <c r="G2329" s="78"/>
      <c r="H2329" t="s">
        <v>2105</v>
      </c>
      <c r="I2329" s="256">
        <v>40544</v>
      </c>
      <c r="J2329" s="31">
        <v>106.117</v>
      </c>
      <c r="K2329" s="37">
        <f t="shared" si="64"/>
        <v>6.1169999999999947E-2</v>
      </c>
    </row>
    <row r="2330" spans="1:11" hidden="1" outlineLevel="1" x14ac:dyDescent="0.25">
      <c r="A2330" s="739">
        <v>0.05</v>
      </c>
      <c r="B2330" s="740" t="s">
        <v>724</v>
      </c>
      <c r="C2330" s="809">
        <v>27.760333333333335</v>
      </c>
      <c r="D2330" s="737">
        <v>19.579999999999998</v>
      </c>
      <c r="E2330" s="742">
        <f t="shared" si="65"/>
        <v>-0.29467705719191661</v>
      </c>
      <c r="F2330" s="946">
        <f t="shared" si="66"/>
        <v>-1.4733852859595831E-2</v>
      </c>
      <c r="G2330" s="78"/>
      <c r="H2330" t="s">
        <v>3363</v>
      </c>
      <c r="I2330" s="256">
        <v>40575</v>
      </c>
      <c r="J2330" s="31">
        <v>106.7043</v>
      </c>
      <c r="K2330" s="37">
        <f t="shared" si="64"/>
        <v>6.7042999999999964E-2</v>
      </c>
    </row>
    <row r="2331" spans="1:11" hidden="1" outlineLevel="1" x14ac:dyDescent="0.25">
      <c r="A2331" s="739">
        <v>0.05</v>
      </c>
      <c r="B2331" s="740" t="s">
        <v>3381</v>
      </c>
      <c r="C2331" s="809">
        <v>154.97752746813174</v>
      </c>
      <c r="D2331" s="737">
        <v>136.6</v>
      </c>
      <c r="E2331" s="742">
        <f t="shared" si="65"/>
        <v>-0.11858188582800011</v>
      </c>
      <c r="F2331" s="946">
        <f t="shared" si="66"/>
        <v>-5.9290942914000059E-3</v>
      </c>
      <c r="G2331" s="78"/>
      <c r="H2331" t="s">
        <v>1728</v>
      </c>
      <c r="I2331" s="256">
        <v>40603</v>
      </c>
      <c r="J2331" s="31">
        <v>103.631</v>
      </c>
      <c r="K2331" s="37">
        <f t="shared" si="64"/>
        <v>3.6310000000000064E-2</v>
      </c>
    </row>
    <row r="2332" spans="1:11" hidden="1" outlineLevel="1" x14ac:dyDescent="0.25">
      <c r="A2332" s="739">
        <v>0.05</v>
      </c>
      <c r="B2332" s="740" t="s">
        <v>3801</v>
      </c>
      <c r="C2332" s="809">
        <v>62.503999999999998</v>
      </c>
      <c r="D2332" s="737">
        <v>38.234999999999999</v>
      </c>
      <c r="E2332" s="742">
        <f t="shared" si="65"/>
        <v>-0.3882791501343914</v>
      </c>
      <c r="F2332" s="946">
        <f t="shared" si="66"/>
        <v>-1.9413957506719572E-2</v>
      </c>
      <c r="G2332" s="78"/>
      <c r="H2332" t="s">
        <v>2819</v>
      </c>
      <c r="I2332" s="256">
        <v>40634</v>
      </c>
      <c r="J2332" s="31">
        <v>106.70569999999999</v>
      </c>
      <c r="K2332" s="37">
        <f t="shared" si="64"/>
        <v>6.7056999999999922E-2</v>
      </c>
    </row>
    <row r="2333" spans="1:11" hidden="1" outlineLevel="1" x14ac:dyDescent="0.25">
      <c r="A2333" s="739">
        <v>0.05</v>
      </c>
      <c r="B2333" s="740" t="s">
        <v>725</v>
      </c>
      <c r="C2333" s="809">
        <v>16.70026472127358</v>
      </c>
      <c r="D2333" s="737">
        <v>22.605</v>
      </c>
      <c r="E2333" s="742">
        <f t="shared" si="65"/>
        <v>0.35357135813570029</v>
      </c>
      <c r="F2333" s="946">
        <f t="shared" si="66"/>
        <v>1.7678567906785014E-2</v>
      </c>
      <c r="G2333" s="78"/>
      <c r="H2333" t="s">
        <v>2810</v>
      </c>
      <c r="I2333" s="256">
        <v>40664</v>
      </c>
      <c r="J2333" s="31">
        <v>104.8991</v>
      </c>
      <c r="K2333" s="37">
        <f t="shared" si="64"/>
        <v>4.8991000000000007E-2</v>
      </c>
    </row>
    <row r="2334" spans="1:11" hidden="1" outlineLevel="1" x14ac:dyDescent="0.25">
      <c r="A2334" s="739">
        <v>0.05</v>
      </c>
      <c r="B2334" s="740" t="s">
        <v>3643</v>
      </c>
      <c r="C2334" s="809">
        <v>131.69999999999999</v>
      </c>
      <c r="D2334" s="737">
        <v>218.1</v>
      </c>
      <c r="E2334" s="742">
        <f t="shared" si="65"/>
        <v>0.6560364464692483</v>
      </c>
      <c r="F2334" s="946">
        <f t="shared" si="66"/>
        <v>3.2801822323462418E-2</v>
      </c>
      <c r="G2334" s="78"/>
      <c r="H2334" t="s">
        <v>1729</v>
      </c>
      <c r="I2334" s="256">
        <v>40695</v>
      </c>
      <c r="J2334" s="31">
        <v>102.61539999999999</v>
      </c>
      <c r="K2334" s="37">
        <f t="shared" si="64"/>
        <v>2.6154000000000011E-2</v>
      </c>
    </row>
    <row r="2335" spans="1:11" hidden="1" outlineLevel="1" x14ac:dyDescent="0.25">
      <c r="A2335" s="739">
        <v>0.05</v>
      </c>
      <c r="B2335" s="740" t="s">
        <v>3383</v>
      </c>
      <c r="C2335" s="809">
        <v>72.650000000000006</v>
      </c>
      <c r="D2335" s="737">
        <v>88.35</v>
      </c>
      <c r="E2335" s="742">
        <f t="shared" si="65"/>
        <v>0.21610461114934609</v>
      </c>
      <c r="F2335" s="946">
        <f t="shared" si="66"/>
        <v>1.0805230557467306E-2</v>
      </c>
      <c r="G2335" s="78"/>
      <c r="H2335" t="s">
        <v>3789</v>
      </c>
      <c r="I2335" s="264" t="s">
        <v>2465</v>
      </c>
      <c r="J2335" s="31"/>
      <c r="K2335" s="261">
        <f>AVERAGE(K2323:K2334)</f>
        <v>3.6893999999999989E-2</v>
      </c>
    </row>
    <row r="2336" spans="1:11" hidden="1" outlineLevel="1" x14ac:dyDescent="0.25">
      <c r="A2336" s="739">
        <v>0.05</v>
      </c>
      <c r="B2336" s="740" t="s">
        <v>726</v>
      </c>
      <c r="C2336" s="809">
        <v>44.08</v>
      </c>
      <c r="D2336" s="737">
        <v>28.32</v>
      </c>
      <c r="E2336" s="742">
        <f t="shared" si="65"/>
        <v>-0.35753176043557167</v>
      </c>
      <c r="F2336" s="946">
        <f t="shared" si="66"/>
        <v>-1.7876588021778585E-2</v>
      </c>
      <c r="G2336" s="78"/>
      <c r="H2336" t="s">
        <v>2747</v>
      </c>
      <c r="I2336" s="256"/>
      <c r="J2336" s="31"/>
    </row>
    <row r="2337" spans="1:11" hidden="1" outlineLevel="1" x14ac:dyDescent="0.25">
      <c r="A2337" s="739">
        <v>0.05</v>
      </c>
      <c r="B2337" s="740" t="s">
        <v>1526</v>
      </c>
      <c r="C2337" s="809">
        <v>80.37</v>
      </c>
      <c r="D2337" s="737">
        <v>27.1</v>
      </c>
      <c r="E2337" s="742">
        <f t="shared" si="65"/>
        <v>-0.66280950603458999</v>
      </c>
      <c r="F2337" s="946">
        <f t="shared" si="66"/>
        <v>-3.3140475301729498E-2</v>
      </c>
      <c r="G2337" s="78"/>
      <c r="H2337" t="s">
        <v>4146</v>
      </c>
      <c r="I2337" s="256"/>
      <c r="J2337" s="31"/>
    </row>
    <row r="2338" spans="1:11" hidden="1" outlineLevel="1" x14ac:dyDescent="0.25">
      <c r="A2338" s="739">
        <v>0.05</v>
      </c>
      <c r="B2338" s="740" t="s">
        <v>3384</v>
      </c>
      <c r="C2338" s="809">
        <v>42.203000000000003</v>
      </c>
      <c r="D2338" s="737">
        <v>41.79</v>
      </c>
      <c r="E2338" s="742">
        <f t="shared" si="65"/>
        <v>-9.7860341681871299E-3</v>
      </c>
      <c r="F2338" s="946">
        <f t="shared" si="66"/>
        <v>-4.893017084093565E-4</v>
      </c>
      <c r="G2338" s="78"/>
      <c r="H2338" t="s">
        <v>3790</v>
      </c>
      <c r="I2338" s="256"/>
      <c r="J2338" s="31"/>
    </row>
    <row r="2339" spans="1:11" hidden="1" outlineLevel="1" x14ac:dyDescent="0.25">
      <c r="A2339" s="739">
        <v>0.05</v>
      </c>
      <c r="B2339" s="740" t="s">
        <v>3797</v>
      </c>
      <c r="C2339" s="809">
        <v>36.954999999999998</v>
      </c>
      <c r="D2339" s="737">
        <v>52.25</v>
      </c>
      <c r="E2339" s="742">
        <f t="shared" si="65"/>
        <v>0.41388174807197942</v>
      </c>
      <c r="F2339" s="946">
        <f t="shared" si="66"/>
        <v>2.0694087403598974E-2</v>
      </c>
      <c r="G2339" s="78"/>
      <c r="H2339" t="s">
        <v>3848</v>
      </c>
      <c r="I2339" s="256"/>
      <c r="J2339" s="31"/>
    </row>
    <row r="2340" spans="1:11" hidden="1" outlineLevel="1" x14ac:dyDescent="0.25">
      <c r="A2340" s="739">
        <v>0.05</v>
      </c>
      <c r="B2340" s="740" t="s">
        <v>3385</v>
      </c>
      <c r="C2340" s="809">
        <v>52.510204373653693</v>
      </c>
      <c r="D2340" s="737">
        <v>126.7</v>
      </c>
      <c r="E2340" s="742">
        <f t="shared" si="65"/>
        <v>1.4128643472499998</v>
      </c>
      <c r="F2340" s="946">
        <f t="shared" si="66"/>
        <v>7.0643217362499997E-2</v>
      </c>
      <c r="G2340" s="78"/>
      <c r="H2340" t="s">
        <v>3791</v>
      </c>
      <c r="I2340" s="256"/>
      <c r="J2340" s="31"/>
    </row>
    <row r="2341" spans="1:11" hidden="1" outlineLevel="1" x14ac:dyDescent="0.25">
      <c r="A2341" s="739">
        <v>0.05</v>
      </c>
      <c r="B2341" s="740" t="s">
        <v>583</v>
      </c>
      <c r="C2341" s="809">
        <v>329.35</v>
      </c>
      <c r="D2341" s="737">
        <v>402</v>
      </c>
      <c r="E2341" s="742">
        <f t="shared" si="65"/>
        <v>0.22058600273265516</v>
      </c>
      <c r="F2341" s="946">
        <f t="shared" si="66"/>
        <v>1.1029300136632759E-2</v>
      </c>
      <c r="G2341" s="78"/>
      <c r="H2341" t="s">
        <v>1594</v>
      </c>
      <c r="I2341" s="256"/>
      <c r="J2341" s="31"/>
    </row>
    <row r="2342" spans="1:11" hidden="1" outlineLevel="1" x14ac:dyDescent="0.25">
      <c r="A2342" s="717"/>
      <c r="B2342" s="718"/>
      <c r="C2342" s="719"/>
      <c r="D2342" s="719"/>
      <c r="E2342" s="720"/>
      <c r="F2342" s="731">
        <f>SUM(F2322:F2341)</f>
        <v>2.6145155395424231E-2</v>
      </c>
      <c r="G2342" s="78"/>
      <c r="J2342" s="31"/>
    </row>
    <row r="2343" spans="1:11" collapsed="1" x14ac:dyDescent="0.25">
      <c r="A2343" s="3801" t="s">
        <v>4187</v>
      </c>
      <c r="B2343" s="3802"/>
      <c r="C2343" s="3802"/>
      <c r="D2343" s="3802"/>
      <c r="E2343" s="782" t="s">
        <v>2209</v>
      </c>
      <c r="F2343" s="722">
        <f>+IF(K2335-0.04&gt;-0.04,K2335-0.04,-0.04)</f>
        <v>-3.1060000000000115E-3</v>
      </c>
      <c r="G2343" s="97" t="s">
        <v>781</v>
      </c>
      <c r="J2343" s="31"/>
    </row>
    <row r="2344" spans="1:11" x14ac:dyDescent="0.25">
      <c r="A2344" s="1"/>
      <c r="B2344" s="1"/>
      <c r="C2344" s="1"/>
      <c r="D2344" s="1"/>
      <c r="E2344" s="1"/>
      <c r="F2344" s="1848"/>
      <c r="G2344" s="78"/>
      <c r="J2344" s="31"/>
    </row>
    <row r="2345" spans="1:11" hidden="1" outlineLevel="1" x14ac:dyDescent="0.25">
      <c r="A2345" s="689" t="s">
        <v>113</v>
      </c>
      <c r="B2345" s="689" t="s">
        <v>114</v>
      </c>
      <c r="C2345" s="689" t="s">
        <v>112</v>
      </c>
      <c r="D2345" s="689" t="s">
        <v>116</v>
      </c>
      <c r="E2345" s="689" t="s">
        <v>117</v>
      </c>
      <c r="F2345" s="1188" t="s">
        <v>121</v>
      </c>
      <c r="G2345" s="78"/>
      <c r="J2345" s="31"/>
    </row>
    <row r="2346" spans="1:11" hidden="1" outlineLevel="1" x14ac:dyDescent="0.25">
      <c r="A2346" s="690">
        <v>1</v>
      </c>
      <c r="B2346" s="691" t="s">
        <v>252</v>
      </c>
      <c r="C2346" s="692">
        <v>100</v>
      </c>
      <c r="D2346" s="692"/>
      <c r="E2346" s="693"/>
      <c r="F2346" s="694"/>
      <c r="G2346" s="78"/>
      <c r="J2346" s="31"/>
    </row>
    <row r="2347" spans="1:11" hidden="1" outlineLevel="1" x14ac:dyDescent="0.25">
      <c r="A2347" s="695"/>
      <c r="B2347" s="695"/>
      <c r="C2347" s="696"/>
      <c r="D2347" s="697"/>
      <c r="E2347" s="698"/>
      <c r="F2347" s="699"/>
      <c r="G2347" s="78"/>
      <c r="J2347" s="31"/>
    </row>
    <row r="2348" spans="1:11" hidden="1" outlineLevel="1" x14ac:dyDescent="0.25">
      <c r="A2348" s="689" t="s">
        <v>4156</v>
      </c>
      <c r="B2348" s="689" t="s">
        <v>4153</v>
      </c>
      <c r="C2348" s="700" t="s">
        <v>112</v>
      </c>
      <c r="D2348" s="689" t="s">
        <v>116</v>
      </c>
      <c r="E2348" s="689" t="s">
        <v>4154</v>
      </c>
      <c r="F2348" s="1021"/>
      <c r="G2348" s="78"/>
      <c r="J2348" s="31"/>
    </row>
    <row r="2349" spans="1:11" hidden="1" outlineLevel="1" x14ac:dyDescent="0.25">
      <c r="A2349" s="734">
        <v>0.05</v>
      </c>
      <c r="B2349" s="735" t="s">
        <v>6551</v>
      </c>
      <c r="C2349" s="807">
        <v>67.462000000000003</v>
      </c>
      <c r="D2349" s="803">
        <v>122.86499999999999</v>
      </c>
      <c r="E2349" s="895">
        <f t="shared" ref="E2349:E2368" si="67">D2349/C2349-1</f>
        <v>0.82124751712074939</v>
      </c>
      <c r="F2349" s="1021"/>
      <c r="G2349" s="78"/>
      <c r="H2349" t="str">
        <f>VLOOKUP(B2349,indexy!$A$44:$D$232,3,FALSE)</f>
        <v>AAPL UW Equity</v>
      </c>
      <c r="I2349" s="171"/>
      <c r="J2349" s="31"/>
    </row>
    <row r="2350" spans="1:11" hidden="1" outlineLevel="1" x14ac:dyDescent="0.25">
      <c r="A2350" s="739">
        <v>0.05</v>
      </c>
      <c r="B2350" s="740" t="s">
        <v>1190</v>
      </c>
      <c r="C2350" s="809">
        <v>16.390999999999998</v>
      </c>
      <c r="D2350" s="908">
        <v>24.844000000000001</v>
      </c>
      <c r="E2350" s="896">
        <f t="shared" si="67"/>
        <v>0.51570984076627435</v>
      </c>
      <c r="F2350" s="1862" t="s">
        <v>1837</v>
      </c>
      <c r="G2350" s="78"/>
      <c r="H2350" t="str">
        <f>VLOOKUP(B2350,indexy!$A$44:$D$232,3,FALSE)</f>
        <v>NOKIA FH Equity</v>
      </c>
      <c r="I2350" s="171"/>
      <c r="J2350" s="39"/>
      <c r="K2350" s="171"/>
    </row>
    <row r="2351" spans="1:11" hidden="1" outlineLevel="1" x14ac:dyDescent="0.25">
      <c r="A2351" s="739">
        <v>0.05</v>
      </c>
      <c r="B2351" s="740" t="s">
        <v>579</v>
      </c>
      <c r="C2351" s="809">
        <f>1.125*100</f>
        <v>112.5</v>
      </c>
      <c r="D2351" s="908">
        <v>165.35</v>
      </c>
      <c r="E2351" s="896">
        <f t="shared" si="67"/>
        <v>0.46977777777777763</v>
      </c>
      <c r="F2351" s="946">
        <v>0.51259999999999994</v>
      </c>
      <c r="G2351" s="78"/>
      <c r="H2351" t="str">
        <f>VLOOKUP(B2351,indexy!$A$44:$D$232,3,FALSE)</f>
        <v>VOD LN Equity</v>
      </c>
      <c r="I2351" s="171"/>
      <c r="J2351" s="39"/>
      <c r="K2351" s="171"/>
    </row>
    <row r="2352" spans="1:11" hidden="1" outlineLevel="1" x14ac:dyDescent="0.25">
      <c r="A2352" s="739">
        <v>0.05</v>
      </c>
      <c r="B2352" s="740" t="s">
        <v>2630</v>
      </c>
      <c r="C2352" s="809">
        <v>16.523</v>
      </c>
      <c r="D2352" s="908">
        <v>22.963999999999999</v>
      </c>
      <c r="E2352" s="896">
        <f t="shared" si="67"/>
        <v>0.38982025055982561</v>
      </c>
      <c r="F2352" s="946"/>
      <c r="G2352" s="78"/>
      <c r="H2352" t="e">
        <f>VLOOKUP(B2352,indexy!$A$44:$D$232,3,FALSE)</f>
        <v>#N/A</v>
      </c>
      <c r="I2352" s="171"/>
      <c r="J2352" s="208"/>
      <c r="K2352" s="209"/>
    </row>
    <row r="2353" spans="1:11" hidden="1" outlineLevel="1" x14ac:dyDescent="0.25">
      <c r="A2353" s="739">
        <v>0.05</v>
      </c>
      <c r="B2353" s="740" t="s">
        <v>162</v>
      </c>
      <c r="C2353" s="809">
        <v>63.470999999999997</v>
      </c>
      <c r="D2353" s="908">
        <v>86.724999999999994</v>
      </c>
      <c r="E2353" s="896">
        <f t="shared" si="67"/>
        <v>0.36637204392557221</v>
      </c>
      <c r="F2353" s="946"/>
      <c r="G2353" s="78"/>
      <c r="H2353" t="str">
        <f>VLOOKUP(B2353,indexy!$A$44:$D$232,3,FALSE)</f>
        <v>SLB UN Equity</v>
      </c>
      <c r="I2353" s="171"/>
      <c r="J2353" s="39"/>
      <c r="K2353" s="209"/>
    </row>
    <row r="2354" spans="1:11" hidden="1" outlineLevel="1" x14ac:dyDescent="0.25">
      <c r="A2354" s="739">
        <v>0.05</v>
      </c>
      <c r="B2354" s="740" t="s">
        <v>159</v>
      </c>
      <c r="C2354" s="809">
        <v>377.4</v>
      </c>
      <c r="D2354" s="908">
        <v>492.8</v>
      </c>
      <c r="E2354" s="896">
        <f t="shared" si="67"/>
        <v>0.3057763645998941</v>
      </c>
      <c r="F2354" s="946"/>
      <c r="G2354" s="78"/>
      <c r="H2354" t="e">
        <f>VLOOKUP(B2354,indexy!$A$44:$D$232,3,FALSE)</f>
        <v>#N/A</v>
      </c>
      <c r="I2354" s="171"/>
      <c r="J2354" s="44"/>
      <c r="K2354" s="39"/>
    </row>
    <row r="2355" spans="1:11" hidden="1" outlineLevel="1" x14ac:dyDescent="0.25">
      <c r="A2355" s="739">
        <v>0.05</v>
      </c>
      <c r="B2355" s="740" t="s">
        <v>1993</v>
      </c>
      <c r="C2355" s="809">
        <v>62.960099999999997</v>
      </c>
      <c r="D2355" s="908">
        <v>73.531000000000006</v>
      </c>
      <c r="E2355" s="896">
        <f t="shared" si="67"/>
        <v>0.16789839914485549</v>
      </c>
      <c r="F2355" s="946"/>
      <c r="G2355" s="78"/>
      <c r="H2355" t="str">
        <f>VLOOKUP(B2355,indexy!$A$44:$D$232,3,FALSE)</f>
        <v>MO UN Equity</v>
      </c>
      <c r="I2355" s="171"/>
      <c r="J2355" s="44"/>
      <c r="K2355" s="39"/>
    </row>
    <row r="2356" spans="1:11" hidden="1" outlineLevel="1" x14ac:dyDescent="0.25">
      <c r="A2356" s="739">
        <v>0.05</v>
      </c>
      <c r="B2356" s="740" t="s">
        <v>164</v>
      </c>
      <c r="C2356" s="809">
        <v>44.320999999999998</v>
      </c>
      <c r="D2356" s="908">
        <v>50.201000000000001</v>
      </c>
      <c r="E2356" s="896">
        <f t="shared" si="67"/>
        <v>0.13266848672187015</v>
      </c>
      <c r="F2356" s="946"/>
      <c r="G2356" s="78"/>
      <c r="H2356" t="e">
        <f>VLOOKUP(B2356,indexy!$A$44:$D$232,3,FALSE)</f>
        <v>#N/A</v>
      </c>
      <c r="I2356" s="171"/>
      <c r="J2356" s="44"/>
      <c r="K2356" s="39"/>
    </row>
    <row r="2357" spans="1:11" hidden="1" outlineLevel="1" x14ac:dyDescent="0.25">
      <c r="A2357" s="739">
        <v>0.05</v>
      </c>
      <c r="B2357" s="740" t="s">
        <v>158</v>
      </c>
      <c r="C2357" s="809">
        <v>21.437000000000001</v>
      </c>
      <c r="D2357" s="908">
        <v>23.803999999999998</v>
      </c>
      <c r="E2357" s="896">
        <f t="shared" si="67"/>
        <v>0.11041656948266998</v>
      </c>
      <c r="F2357" s="946"/>
      <c r="G2357" s="78"/>
      <c r="H2357" t="str">
        <f>VLOOKUP(B2357,indexy!$A$44:$D$232,3,FALSE)</f>
        <v>CSCO UQ Equity</v>
      </c>
      <c r="I2357" s="171"/>
      <c r="J2357" s="44"/>
      <c r="K2357" s="39"/>
    </row>
    <row r="2358" spans="1:11" hidden="1" outlineLevel="1" x14ac:dyDescent="0.25">
      <c r="A2358" s="739">
        <v>0.05</v>
      </c>
      <c r="B2358" s="740" t="s">
        <v>165</v>
      </c>
      <c r="C2358" s="809">
        <v>33.405999999999999</v>
      </c>
      <c r="D2358" s="908">
        <v>37.067</v>
      </c>
      <c r="E2358" s="896">
        <f t="shared" si="67"/>
        <v>0.109591091420703</v>
      </c>
      <c r="F2358" s="946"/>
      <c r="G2358" s="78"/>
      <c r="H2358" t="str">
        <f>VLOOKUP(B2358,indexy!$A$44:$D$232,3,FALSE)</f>
        <v>HAL UN Equity</v>
      </c>
      <c r="I2358" s="171"/>
      <c r="J2358" s="44"/>
      <c r="K2358" s="39"/>
    </row>
    <row r="2359" spans="1:11" hidden="1" outlineLevel="1" x14ac:dyDescent="0.25">
      <c r="A2359" s="739">
        <v>0.05</v>
      </c>
      <c r="B2359" s="740" t="s">
        <v>583</v>
      </c>
      <c r="C2359" s="809">
        <f>3.73*100</f>
        <v>373</v>
      </c>
      <c r="D2359" s="908">
        <v>406.03</v>
      </c>
      <c r="E2359" s="896">
        <f t="shared" si="67"/>
        <v>8.8552278820375196E-2</v>
      </c>
      <c r="F2359" s="946"/>
      <c r="G2359" s="78"/>
      <c r="H2359" t="str">
        <f>VLOOKUP(B2359,indexy!$A$44:$D$232,3,FALSE)</f>
        <v>TSCO LN Equity</v>
      </c>
      <c r="I2359" s="171"/>
      <c r="J2359" s="44"/>
      <c r="K2359" s="39"/>
    </row>
    <row r="2360" spans="1:11" hidden="1" outlineLevel="1" x14ac:dyDescent="0.25">
      <c r="A2360" s="739">
        <v>0.05</v>
      </c>
      <c r="B2360" s="740" t="s">
        <v>1001</v>
      </c>
      <c r="C2360" s="809">
        <v>25.806999999999999</v>
      </c>
      <c r="D2360" s="908">
        <v>28.024999999999999</v>
      </c>
      <c r="E2360" s="896">
        <f t="shared" si="67"/>
        <v>8.594567365443484E-2</v>
      </c>
      <c r="F2360" s="946"/>
      <c r="G2360" s="78"/>
      <c r="H2360" t="str">
        <f>VLOOKUP(B2360,indexy!$A$44:$D$232,3,FALSE)</f>
        <v>MSFT UW Equity</v>
      </c>
      <c r="I2360" s="171"/>
      <c r="J2360" s="44"/>
      <c r="K2360" s="39"/>
    </row>
    <row r="2361" spans="1:11" hidden="1" outlineLevel="1" x14ac:dyDescent="0.25">
      <c r="A2361" s="739">
        <v>0.05</v>
      </c>
      <c r="B2361" s="740" t="s">
        <v>163</v>
      </c>
      <c r="C2361" s="809">
        <v>16.545999999999999</v>
      </c>
      <c r="D2361" s="908">
        <v>16.393000000000001</v>
      </c>
      <c r="E2361" s="896">
        <f t="shared" si="67"/>
        <v>-9.2469479028163271E-3</v>
      </c>
      <c r="F2361" s="946"/>
      <c r="G2361" s="78"/>
      <c r="H2361" t="str">
        <f>VLOOKUP(B2361,indexy!$A$44:$D$232,3,FALSE)</f>
        <v>TWX UN Equity</v>
      </c>
      <c r="I2361" s="171"/>
      <c r="J2361" s="44"/>
      <c r="K2361" s="39"/>
    </row>
    <row r="2362" spans="1:11" hidden="1" outlineLevel="1" x14ac:dyDescent="0.25">
      <c r="A2362" s="739">
        <v>0.05</v>
      </c>
      <c r="B2362" s="740" t="s">
        <v>157</v>
      </c>
      <c r="C2362" s="809">
        <v>12.064</v>
      </c>
      <c r="D2362" s="908">
        <v>11.948</v>
      </c>
      <c r="E2362" s="896">
        <f t="shared" si="67"/>
        <v>-9.6153846153845812E-3</v>
      </c>
      <c r="F2362" s="946"/>
      <c r="G2362" s="78"/>
      <c r="H2362" t="str">
        <f>VLOOKUP(B2362,indexy!$A$44:$D$232,3,FALSE)</f>
        <v>SAN SM Equity</v>
      </c>
      <c r="I2362" s="171"/>
      <c r="J2362" s="44"/>
      <c r="K2362" s="39"/>
    </row>
    <row r="2363" spans="1:11" hidden="1" outlineLevel="1" x14ac:dyDescent="0.25">
      <c r="A2363" s="739">
        <v>0.05</v>
      </c>
      <c r="B2363" s="740" t="s">
        <v>3551</v>
      </c>
      <c r="C2363" s="809">
        <v>6331</v>
      </c>
      <c r="D2363" s="908">
        <v>6032</v>
      </c>
      <c r="E2363" s="896">
        <f t="shared" si="67"/>
        <v>-4.7227926078028726E-2</v>
      </c>
      <c r="F2363" s="946"/>
      <c r="G2363" s="78"/>
      <c r="H2363" t="str">
        <f>VLOOKUP(B2363,indexy!$A$44:$D$232,3,FALSE)</f>
        <v>7203 JT Equity</v>
      </c>
      <c r="I2363" s="171"/>
      <c r="J2363" s="44"/>
      <c r="K2363" s="39"/>
    </row>
    <row r="2364" spans="1:11" hidden="1" outlineLevel="1" x14ac:dyDescent="0.25">
      <c r="A2364" s="739">
        <v>0.05</v>
      </c>
      <c r="B2364" s="740" t="s">
        <v>161</v>
      </c>
      <c r="C2364" s="809">
        <v>650200</v>
      </c>
      <c r="D2364" s="908">
        <v>578800</v>
      </c>
      <c r="E2364" s="896">
        <f t="shared" si="67"/>
        <v>-0.1098123654260228</v>
      </c>
      <c r="F2364" s="946"/>
      <c r="G2364" s="78"/>
      <c r="H2364" t="e">
        <f>VLOOKUP(B2364,indexy!$A$44:$D$232,3,FALSE)</f>
        <v>#N/A</v>
      </c>
      <c r="I2364" s="171"/>
      <c r="J2364" s="44"/>
      <c r="K2364" s="39"/>
    </row>
    <row r="2365" spans="1:11" hidden="1" outlineLevel="1" x14ac:dyDescent="0.25">
      <c r="A2365" s="739">
        <v>0.05</v>
      </c>
      <c r="B2365" s="740" t="s">
        <v>1206</v>
      </c>
      <c r="C2365" s="809">
        <f>147.469/4</f>
        <v>36.867249999999999</v>
      </c>
      <c r="D2365" s="908">
        <v>32.576000000000001</v>
      </c>
      <c r="E2365" s="896">
        <f t="shared" si="67"/>
        <v>-0.11639734452664618</v>
      </c>
      <c r="F2365" s="1862" t="s">
        <v>1837</v>
      </c>
      <c r="G2365" s="78"/>
      <c r="H2365" t="str">
        <f>VLOOKUP(B2365,indexy!$A$44:$D$232,3,FALSE)</f>
        <v>SAP GY Equity</v>
      </c>
      <c r="I2365" s="171"/>
      <c r="J2365" s="44"/>
      <c r="K2365" s="39"/>
    </row>
    <row r="2366" spans="1:11" hidden="1" outlineLevel="1" x14ac:dyDescent="0.25">
      <c r="A2366" s="739">
        <v>0.05</v>
      </c>
      <c r="B2366" s="740" t="s">
        <v>1414</v>
      </c>
      <c r="C2366" s="809">
        <v>27.361999999999998</v>
      </c>
      <c r="D2366" s="908">
        <v>22.526</v>
      </c>
      <c r="E2366" s="896">
        <f t="shared" si="67"/>
        <v>-0.17674146626708565</v>
      </c>
      <c r="F2366" s="946">
        <v>-0.26879999999999998</v>
      </c>
      <c r="G2366" s="78"/>
      <c r="H2366" t="str">
        <f>VLOOKUP(B2366,indexy!$A$44:$D$232,3,FALSE)</f>
        <v>PFE UN Equity</v>
      </c>
      <c r="I2366" s="171"/>
      <c r="J2366" s="44"/>
      <c r="K2366" s="39"/>
    </row>
    <row r="2367" spans="1:11" hidden="1" outlineLevel="1" x14ac:dyDescent="0.25">
      <c r="A2367" s="739">
        <v>0.05</v>
      </c>
      <c r="B2367" s="740" t="s">
        <v>160</v>
      </c>
      <c r="C2367" s="809">
        <v>23.4</v>
      </c>
      <c r="D2367" s="908">
        <v>13.698</v>
      </c>
      <c r="E2367" s="896">
        <f t="shared" si="67"/>
        <v>-0.41461538461538461</v>
      </c>
      <c r="F2367" s="946"/>
      <c r="G2367" s="78"/>
      <c r="H2367" t="str">
        <f>VLOOKUP(B2367,indexy!$A$44:$D$232,3,FALSE)</f>
        <v>ERICB SS Equity</v>
      </c>
      <c r="I2367" s="171"/>
      <c r="J2367" s="44"/>
      <c r="K2367" s="39"/>
    </row>
    <row r="2368" spans="1:11" hidden="1" outlineLevel="1" x14ac:dyDescent="0.25">
      <c r="A2368" s="739">
        <v>0.05</v>
      </c>
      <c r="B2368" s="740" t="s">
        <v>2397</v>
      </c>
      <c r="C2368" s="809">
        <v>23.238</v>
      </c>
      <c r="D2368" s="715">
        <v>11.01</v>
      </c>
      <c r="E2368" s="947">
        <f t="shared" si="67"/>
        <v>-0.52620707461915828</v>
      </c>
      <c r="F2368" s="946"/>
      <c r="G2368" s="78"/>
      <c r="H2368" t="str">
        <f>VLOOKUP(B2368,indexy!$A$44:$D$232,3,FALSE)</f>
        <v>MSI UN Equity</v>
      </c>
      <c r="I2368" s="171"/>
      <c r="J2368" s="44"/>
      <c r="K2368" s="39"/>
    </row>
    <row r="2369" spans="1:11" hidden="1" outlineLevel="1" x14ac:dyDescent="0.25">
      <c r="A2369" s="948"/>
      <c r="B2369" s="949"/>
      <c r="C2369" s="692"/>
      <c r="D2369" s="692"/>
      <c r="E2369" s="816" t="s">
        <v>205</v>
      </c>
      <c r="F2369" s="1830">
        <f>58%-(F2351-F2366)</f>
        <v>-0.20139999999999991</v>
      </c>
      <c r="G2369" s="78"/>
      <c r="J2369" s="44"/>
      <c r="K2369" s="39"/>
    </row>
    <row r="2370" spans="1:11" collapsed="1" x14ac:dyDescent="0.25">
      <c r="A2370" s="3801" t="s">
        <v>486</v>
      </c>
      <c r="B2370" s="3802"/>
      <c r="C2370" s="3802"/>
      <c r="D2370" s="3802"/>
      <c r="E2370" s="782" t="s">
        <v>2209</v>
      </c>
      <c r="F2370" s="722">
        <v>0</v>
      </c>
      <c r="G2370" s="175" t="s">
        <v>781</v>
      </c>
      <c r="J2370" s="31"/>
    </row>
    <row r="2371" spans="1:11" x14ac:dyDescent="0.25">
      <c r="A2371" s="1"/>
      <c r="B2371" s="1"/>
      <c r="C2371" s="1"/>
      <c r="D2371" s="1"/>
      <c r="E2371" s="1"/>
      <c r="F2371" s="1848"/>
      <c r="G2371" s="78"/>
      <c r="J2371" s="31"/>
    </row>
    <row r="2372" spans="1:11" hidden="1" outlineLevel="1" x14ac:dyDescent="0.25">
      <c r="A2372" s="689" t="s">
        <v>113</v>
      </c>
      <c r="B2372" s="689" t="s">
        <v>114</v>
      </c>
      <c r="C2372" s="689" t="s">
        <v>112</v>
      </c>
      <c r="D2372" s="689" t="s">
        <v>4155</v>
      </c>
      <c r="E2372" s="689" t="s">
        <v>117</v>
      </c>
      <c r="F2372" s="1188" t="s">
        <v>121</v>
      </c>
      <c r="G2372" s="78"/>
      <c r="J2372" s="31"/>
    </row>
    <row r="2373" spans="1:11" hidden="1" outlineLevel="1" x14ac:dyDescent="0.25">
      <c r="A2373" s="950" t="s">
        <v>564</v>
      </c>
      <c r="B2373" s="695" t="s">
        <v>503</v>
      </c>
      <c r="C2373" s="951">
        <v>97.536000000000001</v>
      </c>
      <c r="D2373" s="952">
        <v>100.8875</v>
      </c>
      <c r="E2373" s="693">
        <v>3.4361671587926468E-2</v>
      </c>
      <c r="F2373" s="694">
        <v>3.7797838746719117E-2</v>
      </c>
      <c r="G2373" s="78"/>
      <c r="J2373" s="31"/>
    </row>
    <row r="2374" spans="1:11" collapsed="1" x14ac:dyDescent="0.25">
      <c r="A2374" s="3801" t="s">
        <v>1576</v>
      </c>
      <c r="B2374" s="3802"/>
      <c r="C2374" s="3802"/>
      <c r="D2374" s="3802"/>
      <c r="E2374" s="729"/>
      <c r="F2374" s="752">
        <v>3.7797838746719117E-2</v>
      </c>
      <c r="G2374" s="97" t="s">
        <v>781</v>
      </c>
      <c r="J2374" s="31"/>
    </row>
    <row r="2375" spans="1:11" x14ac:dyDescent="0.25">
      <c r="A2375" s="1"/>
      <c r="B2375" s="1"/>
      <c r="C2375" s="1"/>
      <c r="D2375" s="1"/>
      <c r="E2375" s="1"/>
      <c r="F2375" s="1848"/>
      <c r="G2375" s="78"/>
      <c r="J2375" s="31"/>
    </row>
    <row r="2376" spans="1:11" hidden="1" outlineLevel="1" x14ac:dyDescent="0.25">
      <c r="A2376" s="689" t="s">
        <v>113</v>
      </c>
      <c r="B2376" s="689" t="s">
        <v>114</v>
      </c>
      <c r="C2376" s="689" t="s">
        <v>112</v>
      </c>
      <c r="D2376" s="689" t="s">
        <v>116</v>
      </c>
      <c r="E2376" s="689" t="s">
        <v>117</v>
      </c>
      <c r="F2376" s="1188" t="s">
        <v>121</v>
      </c>
      <c r="G2376" s="78"/>
      <c r="J2376" s="31"/>
    </row>
    <row r="2377" spans="1:11" hidden="1" outlineLevel="1" x14ac:dyDescent="0.25">
      <c r="A2377" s="953" t="s">
        <v>565</v>
      </c>
      <c r="B2377" s="691" t="s">
        <v>115</v>
      </c>
      <c r="C2377" s="793">
        <v>3954.3510000000001</v>
      </c>
      <c r="D2377" s="793">
        <v>4440.9589999999998</v>
      </c>
      <c r="E2377" s="3813">
        <f>0.5*(D2377/C2377-1)+0.3*(D2378/C2378-1)+0.2*(D2379/C2379-1)</f>
        <v>0.11471118437064748</v>
      </c>
      <c r="F2377" s="3816">
        <v>6.5000000000000002E-2</v>
      </c>
      <c r="G2377" s="78"/>
      <c r="J2377" s="31"/>
    </row>
    <row r="2378" spans="1:11" hidden="1" outlineLevel="1" x14ac:dyDescent="0.25">
      <c r="A2378" s="954" t="s">
        <v>565</v>
      </c>
      <c r="B2378" s="695" t="s">
        <v>760</v>
      </c>
      <c r="C2378" s="797">
        <v>1353.866</v>
      </c>
      <c r="D2378" s="797">
        <v>1553.01</v>
      </c>
      <c r="E2378" s="3814"/>
      <c r="F2378" s="3817"/>
      <c r="G2378" s="78"/>
      <c r="J2378" s="31"/>
    </row>
    <row r="2379" spans="1:11" hidden="1" outlineLevel="1" x14ac:dyDescent="0.25">
      <c r="A2379" s="955" t="s">
        <v>565</v>
      </c>
      <c r="B2379" s="695" t="s">
        <v>761</v>
      </c>
      <c r="C2379" s="797">
        <v>16429.755000000001</v>
      </c>
      <c r="D2379" s="797">
        <v>17173.625</v>
      </c>
      <c r="E2379" s="3815"/>
      <c r="F2379" s="3818"/>
      <c r="G2379" s="78"/>
      <c r="J2379" s="31"/>
    </row>
    <row r="2380" spans="1:11" hidden="1" outlineLevel="1" x14ac:dyDescent="0.25">
      <c r="A2380" s="953" t="s">
        <v>566</v>
      </c>
      <c r="B2380" s="691" t="s">
        <v>115</v>
      </c>
      <c r="C2380" s="793">
        <v>4440.96</v>
      </c>
      <c r="D2380" s="912">
        <v>2812.7619999999997</v>
      </c>
      <c r="E2380" s="3813">
        <v>-0.36880000000000002</v>
      </c>
      <c r="F2380" s="3816">
        <v>-0.03</v>
      </c>
      <c r="G2380" s="78"/>
      <c r="J2380" s="31"/>
    </row>
    <row r="2381" spans="1:11" hidden="1" outlineLevel="1" x14ac:dyDescent="0.25">
      <c r="A2381" s="954" t="s">
        <v>566</v>
      </c>
      <c r="B2381" s="695" t="s">
        <v>760</v>
      </c>
      <c r="C2381" s="797">
        <v>1553.01</v>
      </c>
      <c r="D2381" s="913">
        <v>1022.3130000000001</v>
      </c>
      <c r="E2381" s="3814"/>
      <c r="F2381" s="3817"/>
      <c r="G2381" s="78"/>
      <c r="J2381" s="31"/>
    </row>
    <row r="2382" spans="1:11" hidden="1" outlineLevel="1" x14ac:dyDescent="0.25">
      <c r="A2382" s="955" t="s">
        <v>566</v>
      </c>
      <c r="B2382" s="695" t="s">
        <v>761</v>
      </c>
      <c r="C2382" s="797">
        <v>17173.63</v>
      </c>
      <c r="D2382" s="914">
        <v>9972.2430000000022</v>
      </c>
      <c r="E2382" s="3815"/>
      <c r="F2382" s="3818"/>
      <c r="G2382" s="78"/>
      <c r="J2382" s="31"/>
    </row>
    <row r="2383" spans="1:11" hidden="1" outlineLevel="1" x14ac:dyDescent="0.25">
      <c r="A2383" s="953" t="s">
        <v>567</v>
      </c>
      <c r="B2383" s="691" t="s">
        <v>115</v>
      </c>
      <c r="C2383" s="912">
        <v>2812.7619999999997</v>
      </c>
      <c r="D2383" s="956">
        <v>2859.373</v>
      </c>
      <c r="E2383" s="3813">
        <v>1.8700000000000001E-2</v>
      </c>
      <c r="F2383" s="3816">
        <v>1.8700000000000001E-2</v>
      </c>
      <c r="G2383" s="78"/>
      <c r="J2383" s="31"/>
    </row>
    <row r="2384" spans="1:11" hidden="1" outlineLevel="1" x14ac:dyDescent="0.25">
      <c r="A2384" s="954" t="s">
        <v>567</v>
      </c>
      <c r="B2384" s="695" t="s">
        <v>760</v>
      </c>
      <c r="C2384" s="913">
        <v>1022.3130000000001</v>
      </c>
      <c r="D2384" s="797">
        <v>1058.6189999999999</v>
      </c>
      <c r="E2384" s="3814"/>
      <c r="F2384" s="3817"/>
      <c r="G2384" s="78"/>
      <c r="J2384" s="31"/>
    </row>
    <row r="2385" spans="1:10" hidden="1" outlineLevel="1" x14ac:dyDescent="0.25">
      <c r="A2385" s="955" t="s">
        <v>567</v>
      </c>
      <c r="B2385" s="695" t="s">
        <v>761</v>
      </c>
      <c r="C2385" s="914">
        <v>9972.2430000000022</v>
      </c>
      <c r="D2385" s="797">
        <v>9910.0679999999993</v>
      </c>
      <c r="E2385" s="3815"/>
      <c r="F2385" s="3818"/>
      <c r="G2385" s="78"/>
      <c r="J2385" s="31"/>
    </row>
    <row r="2386" spans="1:10" hidden="1" outlineLevel="1" x14ac:dyDescent="0.25">
      <c r="A2386" s="953" t="s">
        <v>568</v>
      </c>
      <c r="B2386" s="691" t="s">
        <v>115</v>
      </c>
      <c r="C2386" s="956">
        <v>2859.373</v>
      </c>
      <c r="D2386" s="793">
        <v>2778.6930000000002</v>
      </c>
      <c r="E2386" s="3813">
        <v>1.0800000000000001E-2</v>
      </c>
      <c r="F2386" s="3816">
        <v>1.0800000000000001E-2</v>
      </c>
      <c r="G2386" s="78"/>
      <c r="J2386" s="31"/>
    </row>
    <row r="2387" spans="1:10" hidden="1" outlineLevel="1" x14ac:dyDescent="0.25">
      <c r="A2387" s="954" t="s">
        <v>568</v>
      </c>
      <c r="B2387" s="695" t="s">
        <v>760</v>
      </c>
      <c r="C2387" s="797">
        <v>1058.6189999999999</v>
      </c>
      <c r="D2387" s="797">
        <v>1161.42</v>
      </c>
      <c r="E2387" s="3814"/>
      <c r="F2387" s="3817"/>
      <c r="G2387" s="78"/>
      <c r="J2387" s="31"/>
    </row>
    <row r="2388" spans="1:10" hidden="1" outlineLevel="1" x14ac:dyDescent="0.25">
      <c r="A2388" s="955" t="s">
        <v>568</v>
      </c>
      <c r="B2388" s="695" t="s">
        <v>761</v>
      </c>
      <c r="C2388" s="797">
        <v>9910.0679999999993</v>
      </c>
      <c r="D2388" s="797">
        <v>9514.5079999999998</v>
      </c>
      <c r="E2388" s="3815"/>
      <c r="F2388" s="3818"/>
      <c r="G2388" s="78"/>
      <c r="J2388" s="31"/>
    </row>
    <row r="2389" spans="1:10" hidden="1" outlineLevel="1" x14ac:dyDescent="0.25">
      <c r="A2389" s="953" t="s">
        <v>569</v>
      </c>
      <c r="B2389" s="691" t="s">
        <v>115</v>
      </c>
      <c r="C2389" s="793">
        <v>2778.6930000000002</v>
      </c>
      <c r="D2389" s="793">
        <v>2262.364</v>
      </c>
      <c r="E2389" s="3813">
        <v>-0.1016352850569066</v>
      </c>
      <c r="F2389" s="3816">
        <v>-0.03</v>
      </c>
      <c r="G2389" s="78"/>
      <c r="J2389" s="31"/>
    </row>
    <row r="2390" spans="1:10" hidden="1" outlineLevel="1" x14ac:dyDescent="0.25">
      <c r="A2390" s="954" t="s">
        <v>569</v>
      </c>
      <c r="B2390" s="695" t="s">
        <v>760</v>
      </c>
      <c r="C2390" s="797">
        <v>1161.42</v>
      </c>
      <c r="D2390" s="797">
        <v>1171.356</v>
      </c>
      <c r="E2390" s="3814"/>
      <c r="F2390" s="3817"/>
      <c r="G2390" s="78"/>
      <c r="J2390" s="31"/>
    </row>
    <row r="2391" spans="1:10" hidden="1" outlineLevel="1" x14ac:dyDescent="0.25">
      <c r="A2391" s="955" t="s">
        <v>569</v>
      </c>
      <c r="B2391" s="695" t="s">
        <v>761</v>
      </c>
      <c r="C2391" s="797">
        <v>9514.5079999999998</v>
      </c>
      <c r="D2391" s="797">
        <v>8647.5609999999997</v>
      </c>
      <c r="E2391" s="3814"/>
      <c r="F2391" s="3817"/>
      <c r="G2391" s="78"/>
      <c r="J2391" s="31"/>
    </row>
    <row r="2392" spans="1:10" hidden="1" outlineLevel="1" x14ac:dyDescent="0.25">
      <c r="A2392" s="953" t="s">
        <v>570</v>
      </c>
      <c r="B2392" s="691" t="s">
        <v>115</v>
      </c>
      <c r="C2392" s="793">
        <v>2262.364</v>
      </c>
      <c r="D2392" s="957">
        <v>2607.8649999999998</v>
      </c>
      <c r="E2392" s="3870">
        <v>0.1676</v>
      </c>
      <c r="F2392" s="3873">
        <v>6.5000000000000002E-2</v>
      </c>
      <c r="G2392" s="78"/>
      <c r="J2392" s="31"/>
    </row>
    <row r="2393" spans="1:10" hidden="1" outlineLevel="1" x14ac:dyDescent="0.25">
      <c r="A2393" s="954" t="s">
        <v>570</v>
      </c>
      <c r="B2393" s="695" t="s">
        <v>760</v>
      </c>
      <c r="C2393" s="797">
        <v>1171.356</v>
      </c>
      <c r="D2393" s="958">
        <v>1416.57</v>
      </c>
      <c r="E2393" s="3871"/>
      <c r="F2393" s="3874"/>
      <c r="G2393" s="78"/>
      <c r="J2393" s="31"/>
    </row>
    <row r="2394" spans="1:10" hidden="1" outlineLevel="1" x14ac:dyDescent="0.25">
      <c r="A2394" s="955" t="s">
        <v>570</v>
      </c>
      <c r="B2394" s="695" t="s">
        <v>761</v>
      </c>
      <c r="C2394" s="794">
        <v>8647.5609999999997</v>
      </c>
      <c r="D2394" s="959">
        <v>9555.2849999999999</v>
      </c>
      <c r="E2394" s="3872"/>
      <c r="F2394" s="3875"/>
      <c r="G2394" s="78"/>
      <c r="J2394" s="31"/>
    </row>
    <row r="2395" spans="1:10" collapsed="1" x14ac:dyDescent="0.25">
      <c r="A2395" s="3801" t="s">
        <v>4152</v>
      </c>
      <c r="B2395" s="3802"/>
      <c r="C2395" s="3860"/>
      <c r="D2395" s="3860"/>
      <c r="E2395" s="726"/>
      <c r="F2395" s="960">
        <f>MAX(SUM(F2377:F2394),parametry!M107)</f>
        <v>0.1</v>
      </c>
      <c r="G2395" s="97" t="s">
        <v>781</v>
      </c>
      <c r="J2395" s="31"/>
    </row>
    <row r="2396" spans="1:10" x14ac:dyDescent="0.25">
      <c r="A2396" s="1"/>
      <c r="B2396" s="1"/>
      <c r="C2396" s="1"/>
      <c r="D2396" s="1"/>
      <c r="E2396" s="1"/>
      <c r="F2396" s="1848"/>
      <c r="G2396" s="78"/>
      <c r="J2396" s="31"/>
    </row>
    <row r="2397" spans="1:10" hidden="1" outlineLevel="1" x14ac:dyDescent="0.25">
      <c r="A2397" s="689" t="s">
        <v>113</v>
      </c>
      <c r="B2397" s="689" t="s">
        <v>114</v>
      </c>
      <c r="C2397" s="689" t="s">
        <v>112</v>
      </c>
      <c r="D2397" s="689" t="s">
        <v>116</v>
      </c>
      <c r="E2397" s="689" t="s">
        <v>117</v>
      </c>
      <c r="F2397" s="1188" t="s">
        <v>121</v>
      </c>
      <c r="G2397" s="78"/>
      <c r="J2397" s="31"/>
    </row>
    <row r="2398" spans="1:10" hidden="1" outlineLevel="1" x14ac:dyDescent="0.25">
      <c r="A2398" s="953" t="s">
        <v>571</v>
      </c>
      <c r="B2398" s="691" t="s">
        <v>115</v>
      </c>
      <c r="C2398" s="793">
        <v>3954.3510000000001</v>
      </c>
      <c r="D2398" s="793">
        <v>4440.96</v>
      </c>
      <c r="E2398" s="3813">
        <f>0.5*(D2398/C2398-1)+0.3*(D2399/C2399-1)+0.2*(D2400/C2400-1)</f>
        <v>0.11471131081364655</v>
      </c>
      <c r="F2398" s="3816">
        <v>7.4999999999999997E-2</v>
      </c>
      <c r="G2398" s="78"/>
      <c r="J2398" s="31"/>
    </row>
    <row r="2399" spans="1:10" hidden="1" outlineLevel="1" x14ac:dyDescent="0.25">
      <c r="A2399" s="954" t="s">
        <v>571</v>
      </c>
      <c r="B2399" s="695" t="s">
        <v>760</v>
      </c>
      <c r="C2399" s="797">
        <v>1353.866</v>
      </c>
      <c r="D2399" s="797">
        <v>1553.01</v>
      </c>
      <c r="E2399" s="3814"/>
      <c r="F2399" s="3817"/>
      <c r="G2399" s="78"/>
      <c r="J2399" s="31"/>
    </row>
    <row r="2400" spans="1:10" hidden="1" outlineLevel="1" x14ac:dyDescent="0.25">
      <c r="A2400" s="955" t="s">
        <v>571</v>
      </c>
      <c r="B2400" s="695" t="s">
        <v>761</v>
      </c>
      <c r="C2400" s="797">
        <v>16429.755000000001</v>
      </c>
      <c r="D2400" s="797">
        <v>17173.625</v>
      </c>
      <c r="E2400" s="3815"/>
      <c r="F2400" s="3818"/>
      <c r="G2400" s="78"/>
      <c r="J2400" s="31"/>
    </row>
    <row r="2401" spans="1:12" hidden="1" outlineLevel="1" x14ac:dyDescent="0.25">
      <c r="A2401" s="953" t="s">
        <v>572</v>
      </c>
      <c r="B2401" s="691" t="s">
        <v>115</v>
      </c>
      <c r="C2401" s="793">
        <v>4440.96</v>
      </c>
      <c r="D2401" s="912">
        <v>2812.7619999999997</v>
      </c>
      <c r="E2401" s="3813">
        <v>-0.36880000000000002</v>
      </c>
      <c r="F2401" s="3816">
        <v>0</v>
      </c>
      <c r="G2401" s="78"/>
      <c r="J2401" s="31"/>
    </row>
    <row r="2402" spans="1:12" hidden="1" outlineLevel="1" x14ac:dyDescent="0.25">
      <c r="A2402" s="954" t="s">
        <v>572</v>
      </c>
      <c r="B2402" s="695" t="s">
        <v>760</v>
      </c>
      <c r="C2402" s="797">
        <v>1553.01</v>
      </c>
      <c r="D2402" s="913">
        <v>1022.3130000000001</v>
      </c>
      <c r="E2402" s="3814"/>
      <c r="F2402" s="3817"/>
      <c r="G2402" s="78"/>
      <c r="J2402" s="31"/>
    </row>
    <row r="2403" spans="1:12" hidden="1" outlineLevel="1" x14ac:dyDescent="0.25">
      <c r="A2403" s="955" t="s">
        <v>572</v>
      </c>
      <c r="B2403" s="695" t="s">
        <v>761</v>
      </c>
      <c r="C2403" s="797">
        <v>17173.63</v>
      </c>
      <c r="D2403" s="914">
        <v>9972.2430000000022</v>
      </c>
      <c r="E2403" s="3815"/>
      <c r="F2403" s="3818"/>
      <c r="G2403" s="78"/>
      <c r="J2403" s="31"/>
    </row>
    <row r="2404" spans="1:12" hidden="1" outlineLevel="1" x14ac:dyDescent="0.25">
      <c r="A2404" s="953" t="s">
        <v>573</v>
      </c>
      <c r="B2404" s="691" t="s">
        <v>115</v>
      </c>
      <c r="C2404" s="912">
        <v>2812.7619999999997</v>
      </c>
      <c r="D2404" s="956">
        <v>2859.373</v>
      </c>
      <c r="E2404" s="3813">
        <v>1.8700000000000001E-2</v>
      </c>
      <c r="F2404" s="3816">
        <v>1.8700000000000001E-2</v>
      </c>
      <c r="G2404" s="78"/>
      <c r="J2404" s="31"/>
    </row>
    <row r="2405" spans="1:12" hidden="1" outlineLevel="1" x14ac:dyDescent="0.25">
      <c r="A2405" s="954" t="s">
        <v>573</v>
      </c>
      <c r="B2405" s="695" t="s">
        <v>760</v>
      </c>
      <c r="C2405" s="913">
        <v>1022.3130000000001</v>
      </c>
      <c r="D2405" s="797">
        <v>1058.6189999999999</v>
      </c>
      <c r="E2405" s="3814"/>
      <c r="F2405" s="3817"/>
      <c r="G2405" s="78"/>
      <c r="J2405" s="31"/>
    </row>
    <row r="2406" spans="1:12" hidden="1" outlineLevel="1" x14ac:dyDescent="0.25">
      <c r="A2406" s="955" t="s">
        <v>573</v>
      </c>
      <c r="B2406" s="695" t="s">
        <v>761</v>
      </c>
      <c r="C2406" s="914">
        <v>9972.2430000000022</v>
      </c>
      <c r="D2406" s="797">
        <v>9910.0679999999993</v>
      </c>
      <c r="E2406" s="3815"/>
      <c r="F2406" s="3818"/>
      <c r="G2406" s="78"/>
      <c r="J2406" s="31"/>
    </row>
    <row r="2407" spans="1:12" hidden="1" outlineLevel="1" x14ac:dyDescent="0.25">
      <c r="A2407" s="953" t="s">
        <v>3599</v>
      </c>
      <c r="B2407" s="691" t="s">
        <v>115</v>
      </c>
      <c r="C2407" s="956">
        <v>2859.373</v>
      </c>
      <c r="D2407" s="793">
        <v>3019.192</v>
      </c>
      <c r="E2407" s="3813">
        <v>0.11940000000000001</v>
      </c>
      <c r="F2407" s="3816">
        <v>7.4999999999999997E-2</v>
      </c>
      <c r="G2407" s="78"/>
      <c r="J2407" s="31"/>
    </row>
    <row r="2408" spans="1:12" hidden="1" outlineLevel="1" x14ac:dyDescent="0.25">
      <c r="A2408" s="954" t="s">
        <v>3599</v>
      </c>
      <c r="B2408" s="695" t="s">
        <v>760</v>
      </c>
      <c r="C2408" s="797">
        <v>1058.6189999999999</v>
      </c>
      <c r="D2408" s="961">
        <v>1317.74</v>
      </c>
      <c r="E2408" s="3814"/>
      <c r="F2408" s="3817"/>
      <c r="G2408" s="78"/>
      <c r="J2408" s="31"/>
    </row>
    <row r="2409" spans="1:12" hidden="1" outlineLevel="1" x14ac:dyDescent="0.25">
      <c r="A2409" s="955" t="s">
        <v>3599</v>
      </c>
      <c r="B2409" s="695" t="s">
        <v>761</v>
      </c>
      <c r="C2409" s="797">
        <v>9910.0679999999993</v>
      </c>
      <c r="D2409" s="797">
        <v>10563.045</v>
      </c>
      <c r="E2409" s="3815"/>
      <c r="F2409" s="3818"/>
      <c r="G2409" s="78"/>
      <c r="J2409" s="31"/>
    </row>
    <row r="2410" spans="1:12" collapsed="1" x14ac:dyDescent="0.25">
      <c r="A2410" s="3801" t="s">
        <v>2543</v>
      </c>
      <c r="B2410" s="3802"/>
      <c r="C2410" s="3802"/>
      <c r="D2410" s="3802"/>
      <c r="E2410" s="782" t="s">
        <v>2722</v>
      </c>
      <c r="F2410" s="752">
        <f>MAX(SUM(F2398:F2409),parametry!M108)</f>
        <v>0.16870000000000002</v>
      </c>
      <c r="G2410" s="97" t="s">
        <v>781</v>
      </c>
      <c r="J2410" s="31"/>
    </row>
    <row r="2411" spans="1:12" x14ac:dyDescent="0.25">
      <c r="A2411" s="1"/>
      <c r="B2411" s="1"/>
      <c r="C2411" s="1"/>
      <c r="D2411" s="1"/>
      <c r="E2411" s="1"/>
      <c r="F2411" s="1848"/>
      <c r="G2411" s="78"/>
      <c r="J2411" s="31"/>
    </row>
    <row r="2412" spans="1:12" hidden="1" outlineLevel="1" x14ac:dyDescent="0.25">
      <c r="A2412" s="689" t="s">
        <v>113</v>
      </c>
      <c r="B2412" s="689" t="s">
        <v>114</v>
      </c>
      <c r="C2412" s="689" t="s">
        <v>112</v>
      </c>
      <c r="D2412" s="689" t="s">
        <v>116</v>
      </c>
      <c r="E2412" s="689" t="s">
        <v>117</v>
      </c>
      <c r="F2412" s="1188" t="s">
        <v>121</v>
      </c>
      <c r="G2412" s="78"/>
      <c r="J2412" s="31"/>
    </row>
    <row r="2413" spans="1:12" hidden="1" outlineLevel="1" x14ac:dyDescent="0.25">
      <c r="A2413" s="690">
        <v>1</v>
      </c>
      <c r="B2413" s="691" t="s">
        <v>252</v>
      </c>
      <c r="C2413" s="692">
        <v>100</v>
      </c>
      <c r="D2413" s="692"/>
      <c r="E2413" s="693"/>
      <c r="F2413" s="694"/>
      <c r="G2413" s="78"/>
      <c r="J2413" s="31"/>
    </row>
    <row r="2414" spans="1:12" hidden="1" outlineLevel="1" x14ac:dyDescent="0.25">
      <c r="A2414" s="695"/>
      <c r="B2414" s="695"/>
      <c r="C2414" s="696"/>
      <c r="D2414" s="697" t="s">
        <v>3702</v>
      </c>
      <c r="E2414" s="698">
        <v>40480</v>
      </c>
      <c r="F2414" s="699"/>
      <c r="G2414" s="78"/>
      <c r="J2414" s="31"/>
    </row>
    <row r="2415" spans="1:12" hidden="1" outlineLevel="1" x14ac:dyDescent="0.25">
      <c r="A2415" s="689" t="s">
        <v>4156</v>
      </c>
      <c r="B2415" s="689" t="s">
        <v>4153</v>
      </c>
      <c r="C2415" s="700" t="s">
        <v>112</v>
      </c>
      <c r="D2415" s="689" t="s">
        <v>116</v>
      </c>
      <c r="E2415" s="689" t="s">
        <v>4154</v>
      </c>
      <c r="F2415" s="1021" t="s">
        <v>2519</v>
      </c>
      <c r="G2415" s="78"/>
      <c r="J2415" s="84"/>
      <c r="K2415" s="21"/>
      <c r="L2415" s="21"/>
    </row>
    <row r="2416" spans="1:12" hidden="1" outlineLevel="1" x14ac:dyDescent="0.25">
      <c r="A2416" s="734">
        <v>0.02</v>
      </c>
      <c r="B2416" s="735" t="s">
        <v>1995</v>
      </c>
      <c r="C2416" s="807">
        <v>47.97</v>
      </c>
      <c r="D2416" s="737">
        <v>51.32</v>
      </c>
      <c r="E2416" s="895">
        <f>D2416/C2416-1</f>
        <v>6.9835313737752758E-2</v>
      </c>
      <c r="F2416" s="1830">
        <f>E2416*A2416</f>
        <v>1.3967062747550552E-3</v>
      </c>
      <c r="G2416" s="78"/>
      <c r="H2416" t="str">
        <f>VLOOKUP(B2416,indexy!$A$44:$D$157,3,FALSE)</f>
        <v>ABT UN Equity</v>
      </c>
      <c r="J2416" s="302"/>
      <c r="K2416" s="21"/>
      <c r="L2416" s="21"/>
    </row>
    <row r="2417" spans="1:12" hidden="1" outlineLevel="1" x14ac:dyDescent="0.25">
      <c r="A2417" s="739">
        <v>0.04</v>
      </c>
      <c r="B2417" s="740" t="s">
        <v>1993</v>
      </c>
      <c r="C2417" s="809">
        <v>60.11</v>
      </c>
      <c r="D2417" s="737">
        <f>25.42+58.5</f>
        <v>83.92</v>
      </c>
      <c r="E2417" s="896">
        <f t="shared" ref="E2417:E2444" si="68">D2417/C2417-1</f>
        <v>0.39610713691565458</v>
      </c>
      <c r="F2417" s="1666">
        <f t="shared" ref="F2417:F2444" si="69">E2417*A2417</f>
        <v>1.5844285476626183E-2</v>
      </c>
      <c r="G2417" s="78"/>
      <c r="H2417" t="str">
        <f>VLOOKUP(B2417,indexy!$A$44:$D$157,3,FALSE)</f>
        <v>MO UN Equity</v>
      </c>
      <c r="I2417" s="39" t="s">
        <v>3533</v>
      </c>
      <c r="J2417" s="302"/>
      <c r="K2417" s="21"/>
      <c r="L2417" s="21"/>
    </row>
    <row r="2418" spans="1:12" hidden="1" outlineLevel="1" x14ac:dyDescent="0.25">
      <c r="A2418" s="739">
        <v>0.08</v>
      </c>
      <c r="B2418" s="740" t="s">
        <v>44</v>
      </c>
      <c r="C2418" s="908">
        <v>5.3366569999999998</v>
      </c>
      <c r="D2418" s="737">
        <v>2.5274999999999999</v>
      </c>
      <c r="E2418" s="896">
        <f t="shared" si="68"/>
        <v>-0.52638889851830462</v>
      </c>
      <c r="F2418" s="1666">
        <f t="shared" si="69"/>
        <v>-4.2111111881464373E-2</v>
      </c>
      <c r="G2418" s="78"/>
      <c r="H2418" t="str">
        <f>VLOOKUP(B2418,indexy!$A$44:$D$232,3,FALSE)</f>
        <v>ISP IM Equity</v>
      </c>
      <c r="J2418" s="302"/>
      <c r="K2418" s="21"/>
      <c r="L2418" s="21"/>
    </row>
    <row r="2419" spans="1:12" hidden="1" outlineLevel="1" x14ac:dyDescent="0.25">
      <c r="A2419" s="739">
        <v>0.02</v>
      </c>
      <c r="B2419" s="740" t="s">
        <v>157</v>
      </c>
      <c r="C2419" s="809">
        <v>12.459</v>
      </c>
      <c r="D2419" s="737">
        <v>9.2309999999999999</v>
      </c>
      <c r="E2419" s="896">
        <f t="shared" si="68"/>
        <v>-0.25908981459186131</v>
      </c>
      <c r="F2419" s="1666">
        <f t="shared" si="69"/>
        <v>-5.1817962918372261E-3</v>
      </c>
      <c r="G2419" s="78"/>
      <c r="H2419" t="str">
        <f>VLOOKUP(B2419,indexy!$A$44:$D$157,3,FALSE)</f>
        <v>SAN SM Equity</v>
      </c>
      <c r="J2419" s="302"/>
      <c r="K2419" s="21"/>
      <c r="L2419" s="21"/>
    </row>
    <row r="2420" spans="1:12" hidden="1" outlineLevel="1" x14ac:dyDescent="0.25">
      <c r="A2420" s="739">
        <v>0.06</v>
      </c>
      <c r="B2420" s="740" t="s">
        <v>4376</v>
      </c>
      <c r="C2420" s="809">
        <v>47.378</v>
      </c>
      <c r="D2420" s="737">
        <v>37.630000000000003</v>
      </c>
      <c r="E2420" s="896">
        <f t="shared" si="68"/>
        <v>-0.20574950398919323</v>
      </c>
      <c r="F2420" s="1666">
        <f t="shared" si="69"/>
        <v>-1.2344970239351593E-2</v>
      </c>
      <c r="G2420" s="78"/>
      <c r="H2420" t="str">
        <f>VLOOKUP(B2420,indexy!$A$44:$D$157,3,FALSE)</f>
        <v>JPM UN Equity</v>
      </c>
      <c r="J2420" s="302"/>
      <c r="K2420" s="21"/>
      <c r="L2420" s="21"/>
    </row>
    <row r="2421" spans="1:12" hidden="1" outlineLevel="1" x14ac:dyDescent="0.25">
      <c r="A2421" s="739">
        <v>0.03</v>
      </c>
      <c r="B2421" s="740" t="s">
        <v>873</v>
      </c>
      <c r="C2421" s="809">
        <v>694.76</v>
      </c>
      <c r="D2421" s="737">
        <v>274.60000000000002</v>
      </c>
      <c r="E2421" s="896">
        <f t="shared" si="68"/>
        <v>-0.60475559905578902</v>
      </c>
      <c r="F2421" s="1666">
        <f t="shared" si="69"/>
        <v>-1.814266797167367E-2</v>
      </c>
      <c r="G2421" s="78"/>
      <c r="H2421" t="str">
        <f>VLOOKUP(B2421,indexy!$A$44:$D$157,3,FALSE)</f>
        <v>BARC LN Equity</v>
      </c>
      <c r="J2421" s="302"/>
      <c r="K2421" s="21"/>
      <c r="L2421" s="21"/>
    </row>
    <row r="2422" spans="1:12" hidden="1" outlineLevel="1" x14ac:dyDescent="0.25">
      <c r="A2422" s="739">
        <v>0.04</v>
      </c>
      <c r="B2422" s="740" t="s">
        <v>4377</v>
      </c>
      <c r="C2422" s="809">
        <v>24.605</v>
      </c>
      <c r="D2422" s="737">
        <v>26.9</v>
      </c>
      <c r="E2422" s="896">
        <f t="shared" si="68"/>
        <v>9.3273724852672046E-2</v>
      </c>
      <c r="F2422" s="1666">
        <f t="shared" si="69"/>
        <v>3.7309489941068819E-3</v>
      </c>
      <c r="G2422" s="78"/>
      <c r="H2422" t="str">
        <f>VLOOKUP(B2422,indexy!$A$44:$D$157,3,FALSE)</f>
        <v>BMY UN Equity</v>
      </c>
      <c r="J2422" s="302"/>
      <c r="K2422" s="21"/>
      <c r="L2422" s="21"/>
    </row>
    <row r="2423" spans="1:12" hidden="1" outlineLevel="1" x14ac:dyDescent="0.25">
      <c r="A2423" s="739">
        <v>0.02</v>
      </c>
      <c r="B2423" s="740" t="s">
        <v>1714</v>
      </c>
      <c r="C2423" s="809">
        <v>30.3599</v>
      </c>
      <c r="D2423" s="737">
        <v>11.775</v>
      </c>
      <c r="E2423" s="896">
        <f t="shared" si="68"/>
        <v>-0.61215287270379681</v>
      </c>
      <c r="F2423" s="1666">
        <f t="shared" si="69"/>
        <v>-1.2243057454075936E-2</v>
      </c>
      <c r="G2423" s="78"/>
      <c r="H2423" t="str">
        <f>VLOOKUP(B2423,indexy!$A$44:$D$157,3,FALSE)</f>
        <v>ACA FP Equity</v>
      </c>
      <c r="J2423" s="302"/>
      <c r="K2423" s="21"/>
      <c r="L2423" s="21"/>
    </row>
    <row r="2424" spans="1:12" hidden="1" outlineLevel="1" x14ac:dyDescent="0.25">
      <c r="A2424" s="739">
        <v>0.06</v>
      </c>
      <c r="B2424" s="740" t="s">
        <v>2629</v>
      </c>
      <c r="C2424" s="809">
        <v>12.955</v>
      </c>
      <c r="D2424" s="737">
        <v>10.41</v>
      </c>
      <c r="E2424" s="896">
        <f t="shared" si="68"/>
        <v>-0.19644924739482827</v>
      </c>
      <c r="F2424" s="1666">
        <f t="shared" si="69"/>
        <v>-1.1786954843689697E-2</v>
      </c>
      <c r="G2424" s="78"/>
      <c r="H2424" t="str">
        <f>VLOOKUP(B2424,indexy!$A$44:$D$157,3,FALSE)</f>
        <v>DTE GY Equity</v>
      </c>
      <c r="J2424" s="302"/>
      <c r="K2424" s="21"/>
      <c r="L2424" s="21"/>
    </row>
    <row r="2425" spans="1:12" hidden="1" outlineLevel="1" x14ac:dyDescent="0.25">
      <c r="A2425" s="739">
        <v>0.02</v>
      </c>
      <c r="B2425" s="740" t="s">
        <v>3017</v>
      </c>
      <c r="C2425" s="809">
        <v>21.181000000000001</v>
      </c>
      <c r="D2425" s="737">
        <v>3.1989999999999998</v>
      </c>
      <c r="E2425" s="896">
        <f t="shared" si="68"/>
        <v>-0.8489684150889949</v>
      </c>
      <c r="F2425" s="1666">
        <f t="shared" si="69"/>
        <v>-1.6979368301779898E-2</v>
      </c>
      <c r="G2425" s="78"/>
      <c r="H2425" t="e">
        <f>VLOOKUP(B2425,indexy!$A$44:$D$157,3,FALSE)</f>
        <v>#N/A</v>
      </c>
      <c r="J2425" s="302"/>
      <c r="K2425" s="21"/>
      <c r="L2425" s="21"/>
    </row>
    <row r="2426" spans="1:12" hidden="1" outlineLevel="1" x14ac:dyDescent="0.25">
      <c r="A2426" s="739">
        <v>0.06</v>
      </c>
      <c r="B2426" s="740" t="s">
        <v>4387</v>
      </c>
      <c r="C2426" s="809">
        <f>94.236/3</f>
        <v>31.412000000000003</v>
      </c>
      <c r="D2426" s="737">
        <v>22.5</v>
      </c>
      <c r="E2426" s="896">
        <f t="shared" si="68"/>
        <v>-0.28371323061250486</v>
      </c>
      <c r="F2426" s="1666">
        <f t="shared" si="69"/>
        <v>-1.7022793836750292E-2</v>
      </c>
      <c r="G2426" s="78"/>
      <c r="H2426" t="str">
        <f>VLOOKUP(B2426,indexy!$A$44:$D$157,3,FALSE)</f>
        <v>EOAN GY Equity</v>
      </c>
      <c r="J2426" s="302"/>
      <c r="K2426" s="21"/>
      <c r="L2426" s="21"/>
    </row>
    <row r="2427" spans="1:12" hidden="1" outlineLevel="1" x14ac:dyDescent="0.25">
      <c r="A2427" s="739">
        <v>0.06</v>
      </c>
      <c r="B2427" s="740" t="s">
        <v>3798</v>
      </c>
      <c r="C2427" s="809">
        <v>6.4292899999999999</v>
      </c>
      <c r="D2427" s="737">
        <v>4.1025</v>
      </c>
      <c r="E2427" s="896">
        <f t="shared" si="68"/>
        <v>-0.36190465821264861</v>
      </c>
      <c r="F2427" s="1666">
        <f t="shared" si="69"/>
        <v>-2.1714279492758917E-2</v>
      </c>
      <c r="G2427" s="78"/>
      <c r="H2427" t="str">
        <f>VLOOKUP(B2427,indexy!$A$44:$D$157,3,FALSE)</f>
        <v>ENEL IM Equity</v>
      </c>
      <c r="J2427" s="302"/>
      <c r="K2427" s="21"/>
      <c r="L2427" s="21"/>
    </row>
    <row r="2428" spans="1:12" hidden="1" outlineLevel="1" x14ac:dyDescent="0.25">
      <c r="A2428" s="739">
        <v>0.03</v>
      </c>
      <c r="B2428" s="740" t="s">
        <v>3092</v>
      </c>
      <c r="C2428" s="809">
        <v>48.128</v>
      </c>
      <c r="D2428" s="737">
        <v>55.05</v>
      </c>
      <c r="E2428" s="896">
        <f t="shared" si="68"/>
        <v>0.14382480053191493</v>
      </c>
      <c r="F2428" s="1666">
        <f t="shared" si="69"/>
        <v>4.3147440159574477E-3</v>
      </c>
      <c r="G2428" s="78"/>
      <c r="H2428" t="e">
        <f>VLOOKUP(B2428,indexy!$A$44:$D$157,3,FALSE)</f>
        <v>#N/A</v>
      </c>
      <c r="J2428" s="302"/>
      <c r="K2428" s="21"/>
      <c r="L2428" s="21"/>
    </row>
    <row r="2429" spans="1:12" hidden="1" outlineLevel="1" x14ac:dyDescent="0.25">
      <c r="A2429" s="739">
        <v>0.06</v>
      </c>
      <c r="B2429" s="740" t="s">
        <v>2630</v>
      </c>
      <c r="C2429" s="809">
        <v>19.265000000000001</v>
      </c>
      <c r="D2429" s="737">
        <v>17.265000000000001</v>
      </c>
      <c r="E2429" s="896">
        <f t="shared" si="68"/>
        <v>-0.10381520892810792</v>
      </c>
      <c r="F2429" s="1666">
        <f t="shared" si="69"/>
        <v>-6.2289125356864749E-3</v>
      </c>
      <c r="G2429" s="78"/>
      <c r="H2429" t="e">
        <f>VLOOKUP(B2429,indexy!$A$44:$D$157,3,FALSE)</f>
        <v>#N/A</v>
      </c>
      <c r="J2429" s="302"/>
      <c r="K2429" s="21"/>
      <c r="L2429" s="21"/>
    </row>
    <row r="2430" spans="1:12" hidden="1" outlineLevel="1" x14ac:dyDescent="0.25">
      <c r="A2430" s="739">
        <v>0.04</v>
      </c>
      <c r="B2430" s="740" t="s">
        <v>1771</v>
      </c>
      <c r="C2430" s="809">
        <v>877.01</v>
      </c>
      <c r="D2430" s="737">
        <v>649.1</v>
      </c>
      <c r="E2430" s="896">
        <f t="shared" si="68"/>
        <v>-0.25987160921768282</v>
      </c>
      <c r="F2430" s="1666">
        <f t="shared" si="69"/>
        <v>-1.0394864368707313E-2</v>
      </c>
      <c r="G2430" s="78"/>
      <c r="H2430" t="str">
        <f>VLOOKUP(B2430,indexy!$A$44:$D$157,3,FALSE)</f>
        <v>HSBA LN Equity</v>
      </c>
      <c r="J2430" s="302"/>
      <c r="K2430" s="21"/>
      <c r="L2430" s="21"/>
    </row>
    <row r="2431" spans="1:12" hidden="1" outlineLevel="1" x14ac:dyDescent="0.25">
      <c r="A2431" s="739">
        <v>0.02</v>
      </c>
      <c r="B2431" s="740" t="s">
        <v>1526</v>
      </c>
      <c r="C2431" s="809">
        <v>87.965000000000003</v>
      </c>
      <c r="D2431" s="737">
        <v>31.254999999999999</v>
      </c>
      <c r="E2431" s="896">
        <f t="shared" si="68"/>
        <v>-0.64468822827260852</v>
      </c>
      <c r="F2431" s="1666">
        <f t="shared" si="69"/>
        <v>-1.2893764565452171E-2</v>
      </c>
      <c r="G2431" s="78"/>
      <c r="H2431" t="str">
        <f>VLOOKUP(B2431,indexy!$A$44:$D$157,3,FALSE)</f>
        <v>KBC BB Equity</v>
      </c>
      <c r="J2431" s="302"/>
      <c r="K2431" s="21"/>
      <c r="L2431" s="21"/>
    </row>
    <row r="2432" spans="1:12" hidden="1" outlineLevel="1" x14ac:dyDescent="0.25">
      <c r="A2432" s="739">
        <v>0.02</v>
      </c>
      <c r="B2432" s="740" t="s">
        <v>874</v>
      </c>
      <c r="C2432" s="809">
        <f>2.6043*100</f>
        <v>260.43</v>
      </c>
      <c r="D2432" s="737">
        <v>237.8</v>
      </c>
      <c r="E2432" s="896">
        <f t="shared" si="68"/>
        <v>-8.6894750988749325E-2</v>
      </c>
      <c r="F2432" s="1666">
        <f t="shared" si="69"/>
        <v>-1.7378950197749865E-3</v>
      </c>
      <c r="G2432" s="78"/>
      <c r="H2432" t="str">
        <f>VLOOKUP(B2432,indexy!$A$44:$D$157,3,FALSE)</f>
        <v>KGF LN Equity</v>
      </c>
      <c r="J2432" s="302"/>
      <c r="K2432" s="21"/>
      <c r="L2432" s="21"/>
    </row>
    <row r="2433" spans="1:12" hidden="1" outlineLevel="1" x14ac:dyDescent="0.25">
      <c r="A2433" s="739">
        <v>0.02</v>
      </c>
      <c r="B2433" s="740" t="s">
        <v>1772</v>
      </c>
      <c r="C2433" s="809">
        <v>127.3819996</v>
      </c>
      <c r="D2433" s="737">
        <v>112.35</v>
      </c>
      <c r="E2433" s="896">
        <f t="shared" si="68"/>
        <v>-0.1180072510025193</v>
      </c>
      <c r="F2433" s="1666">
        <f t="shared" si="69"/>
        <v>-2.360145020050386E-3</v>
      </c>
      <c r="G2433" s="78"/>
      <c r="H2433" t="str">
        <f>VLOOKUP(B2433,indexy!$A$44:$D$157,3,FALSE)</f>
        <v>MUV2 GY Equity</v>
      </c>
      <c r="J2433" s="302"/>
      <c r="K2433" s="21"/>
      <c r="L2433" s="21"/>
    </row>
    <row r="2434" spans="1:12" hidden="1" outlineLevel="1" x14ac:dyDescent="0.25">
      <c r="A2434" s="739">
        <v>0.02</v>
      </c>
      <c r="B2434" s="740" t="s">
        <v>3238</v>
      </c>
      <c r="C2434" s="809">
        <v>68.760000000000005</v>
      </c>
      <c r="D2434" s="737">
        <v>53.9</v>
      </c>
      <c r="E2434" s="896">
        <f t="shared" si="68"/>
        <v>-0.21611401977894129</v>
      </c>
      <c r="F2434" s="1666">
        <f t="shared" si="69"/>
        <v>-4.3222803955788262E-3</v>
      </c>
      <c r="G2434" s="78"/>
      <c r="H2434" t="str">
        <f>VLOOKUP(B2434,indexy!$A$44:$D$157,3,FALSE)</f>
        <v>PNC UN Equity</v>
      </c>
      <c r="J2434" s="302"/>
      <c r="K2434" s="21"/>
      <c r="L2434" s="21"/>
    </row>
    <row r="2435" spans="1:12" hidden="1" outlineLevel="1" x14ac:dyDescent="0.25">
      <c r="A2435" s="739">
        <v>0.02</v>
      </c>
      <c r="B2435" s="740" t="s">
        <v>3239</v>
      </c>
      <c r="C2435" s="809">
        <v>62.841999991000002</v>
      </c>
      <c r="D2435" s="737">
        <v>63.57</v>
      </c>
      <c r="E2435" s="896">
        <f t="shared" si="68"/>
        <v>1.1584609164321025E-2</v>
      </c>
      <c r="F2435" s="1666">
        <f t="shared" si="69"/>
        <v>2.316921832864205E-4</v>
      </c>
      <c r="G2435" s="78"/>
      <c r="H2435" t="str">
        <f>VLOOKUP(B2435,indexy!$A$44:$D$157,3,FALSE)</f>
        <v>PG UN Equity</v>
      </c>
      <c r="J2435" s="302"/>
      <c r="K2435" s="21"/>
      <c r="L2435" s="21"/>
    </row>
    <row r="2436" spans="1:12" hidden="1" outlineLevel="1" x14ac:dyDescent="0.25">
      <c r="A2436" s="739">
        <v>0.02</v>
      </c>
      <c r="B2436" s="740" t="s">
        <v>3801</v>
      </c>
      <c r="C2436" s="809">
        <v>77.603999999999999</v>
      </c>
      <c r="D2436" s="737">
        <v>51.5</v>
      </c>
      <c r="E2436" s="896">
        <f t="shared" si="68"/>
        <v>-0.33637441369001597</v>
      </c>
      <c r="F2436" s="1666">
        <f t="shared" si="69"/>
        <v>-6.7274882738003194E-3</v>
      </c>
      <c r="G2436" s="78"/>
      <c r="H2436" t="str">
        <f>VLOOKUP(B2436,indexy!$A$44:$D$157,3,FALSE)</f>
        <v>RWE GY Equity</v>
      </c>
      <c r="J2436" s="302"/>
      <c r="K2436" s="21"/>
      <c r="L2436" s="21"/>
    </row>
    <row r="2437" spans="1:12" hidden="1" outlineLevel="1" x14ac:dyDescent="0.25">
      <c r="A2437" s="739">
        <v>0.03</v>
      </c>
      <c r="B2437" s="740" t="s">
        <v>2166</v>
      </c>
      <c r="C2437" s="809">
        <v>116.34463</v>
      </c>
      <c r="D2437" s="737">
        <v>43.024999999999999</v>
      </c>
      <c r="E2437" s="896">
        <f t="shared" si="68"/>
        <v>-0.63019350355921033</v>
      </c>
      <c r="F2437" s="1666">
        <f t="shared" si="69"/>
        <v>-1.8905805106776308E-2</v>
      </c>
      <c r="G2437" s="78"/>
      <c r="H2437" t="str">
        <f>VLOOKUP(B2437,indexy!$A$44:$D$157,3,FALSE)</f>
        <v>GLE FP Equity</v>
      </c>
      <c r="J2437" s="302"/>
      <c r="K2437" s="21"/>
      <c r="L2437" s="21"/>
    </row>
    <row r="2438" spans="1:12" hidden="1" outlineLevel="1" x14ac:dyDescent="0.25">
      <c r="A2438" s="739">
        <v>0.06</v>
      </c>
      <c r="B2438" s="740" t="s">
        <v>1527</v>
      </c>
      <c r="C2438" s="809">
        <v>2.3064</v>
      </c>
      <c r="D2438" s="737">
        <v>1.1020000000000001</v>
      </c>
      <c r="E2438" s="896">
        <f t="shared" si="68"/>
        <v>-0.52219909816163712</v>
      </c>
      <c r="F2438" s="1666">
        <f t="shared" si="69"/>
        <v>-3.1331945889698225E-2</v>
      </c>
      <c r="G2438" s="78"/>
      <c r="H2438" t="str">
        <f>VLOOKUP(B2438,indexy!$A$44:$D$157,3,FALSE)</f>
        <v>TIT IM Equity</v>
      </c>
      <c r="J2438" s="302"/>
      <c r="K2438" s="21"/>
      <c r="L2438" s="21"/>
    </row>
    <row r="2439" spans="1:12" hidden="1" outlineLevel="1" x14ac:dyDescent="0.25">
      <c r="A2439" s="739">
        <v>0.03</v>
      </c>
      <c r="B2439" s="740" t="s">
        <v>577</v>
      </c>
      <c r="C2439" s="809">
        <v>14.39</v>
      </c>
      <c r="D2439" s="737">
        <v>19.399999999999999</v>
      </c>
      <c r="E2439" s="896">
        <f t="shared" si="68"/>
        <v>0.34815844336344659</v>
      </c>
      <c r="F2439" s="1666">
        <f t="shared" si="69"/>
        <v>1.0444753300903397E-2</v>
      </c>
      <c r="G2439" s="78"/>
      <c r="H2439" t="str">
        <f>VLOOKUP(B2439,indexy!$A$44:$D$157,3,FALSE)</f>
        <v>TEF SQ Equity</v>
      </c>
      <c r="J2439" s="302"/>
      <c r="K2439" s="21"/>
      <c r="L2439" s="21"/>
    </row>
    <row r="2440" spans="1:12" hidden="1" outlineLevel="1" x14ac:dyDescent="0.25">
      <c r="A2440" s="739">
        <v>0.02</v>
      </c>
      <c r="B2440" s="740" t="s">
        <v>583</v>
      </c>
      <c r="C2440" s="809">
        <f>3.911*100</f>
        <v>391.1</v>
      </c>
      <c r="D2440" s="737">
        <v>426.85</v>
      </c>
      <c r="E2440" s="896">
        <f t="shared" si="68"/>
        <v>9.1408846842239821E-2</v>
      </c>
      <c r="F2440" s="1666">
        <f t="shared" si="69"/>
        <v>1.8281769368447966E-3</v>
      </c>
      <c r="G2440" s="78"/>
      <c r="H2440" t="str">
        <f>VLOOKUP(B2440,indexy!$A$44:$D$157,3,FALSE)</f>
        <v>TSCO LN Equity</v>
      </c>
      <c r="J2440" s="302"/>
      <c r="K2440" s="21"/>
      <c r="L2440" s="21"/>
    </row>
    <row r="2441" spans="1:12" hidden="1" outlineLevel="1" x14ac:dyDescent="0.25">
      <c r="A2441" s="739">
        <v>0.02</v>
      </c>
      <c r="B2441" s="740" t="s">
        <v>3551</v>
      </c>
      <c r="C2441" s="809">
        <v>6935.0003219999999</v>
      </c>
      <c r="D2441" s="737">
        <v>2859</v>
      </c>
      <c r="E2441" s="896">
        <f t="shared" si="68"/>
        <v>-0.58774335007161371</v>
      </c>
      <c r="F2441" s="1666">
        <f t="shared" si="69"/>
        <v>-1.1754867001432275E-2</v>
      </c>
      <c r="G2441" s="78"/>
      <c r="H2441" t="str">
        <f>VLOOKUP(B2441,indexy!$A$44:$D$157,3,FALSE)</f>
        <v>7203 JT Equity</v>
      </c>
      <c r="J2441" s="302"/>
      <c r="K2441" s="21"/>
      <c r="L2441" s="21"/>
    </row>
    <row r="2442" spans="1:12" hidden="1" outlineLevel="1" x14ac:dyDescent="0.25">
      <c r="A2442" s="739">
        <v>0.04</v>
      </c>
      <c r="B2442" s="740" t="s">
        <v>2137</v>
      </c>
      <c r="C2442" s="809">
        <v>33.642000000000003</v>
      </c>
      <c r="D2442" s="737">
        <v>24.18</v>
      </c>
      <c r="E2442" s="896">
        <f t="shared" si="68"/>
        <v>-0.28125557339040497</v>
      </c>
      <c r="F2442" s="1666">
        <f t="shared" si="69"/>
        <v>-1.1250222935616198E-2</v>
      </c>
      <c r="G2442" s="78"/>
      <c r="H2442" t="str">
        <f>VLOOKUP(B2442,indexy!$A$44:$D$157,3,FALSE)</f>
        <v>USB UN Equity</v>
      </c>
      <c r="J2442" s="302"/>
      <c r="K2442" s="21"/>
      <c r="L2442" s="21"/>
    </row>
    <row r="2443" spans="1:12" hidden="1" outlineLevel="1" x14ac:dyDescent="0.25">
      <c r="A2443" s="739">
        <v>0.03</v>
      </c>
      <c r="B2443" s="740" t="s">
        <v>579</v>
      </c>
      <c r="C2443" s="809">
        <f>1.3025*100</f>
        <v>130.25</v>
      </c>
      <c r="D2443" s="737">
        <v>169.85</v>
      </c>
      <c r="E2443" s="896">
        <f t="shared" si="68"/>
        <v>0.30403071017274463</v>
      </c>
      <c r="F2443" s="1666">
        <f t="shared" si="69"/>
        <v>9.1209213051823383E-3</v>
      </c>
      <c r="G2443" s="78"/>
      <c r="H2443" t="str">
        <f>VLOOKUP(B2443,indexy!$A$44:$D$157,3,FALSE)</f>
        <v>VOD LN Equity</v>
      </c>
      <c r="J2443" s="302"/>
      <c r="K2443" s="21"/>
      <c r="L2443" s="21"/>
    </row>
    <row r="2444" spans="1:12" hidden="1" outlineLevel="1" x14ac:dyDescent="0.25">
      <c r="A2444" s="745">
        <v>0.03</v>
      </c>
      <c r="B2444" s="746" t="s">
        <v>3817</v>
      </c>
      <c r="C2444" s="810">
        <v>295.28425729999998</v>
      </c>
      <c r="D2444" s="945">
        <v>26.08</v>
      </c>
      <c r="E2444" s="947">
        <f t="shared" si="68"/>
        <v>-0.91167832569718232</v>
      </c>
      <c r="F2444" s="1666">
        <f t="shared" si="69"/>
        <v>-2.735034977091547E-2</v>
      </c>
      <c r="G2444" s="78"/>
      <c r="H2444" t="str">
        <f>VLOOKUP(B2444,indexy!$A$44:$D$393,3,FALSE)</f>
        <v>WFC UN Equity</v>
      </c>
      <c r="J2444" s="302"/>
      <c r="K2444" s="21"/>
      <c r="L2444" s="21"/>
    </row>
    <row r="2445" spans="1:12" hidden="1" outlineLevel="1" x14ac:dyDescent="0.25">
      <c r="A2445" s="749"/>
      <c r="B2445" s="750"/>
      <c r="C2445" s="727"/>
      <c r="D2445" s="727"/>
      <c r="E2445" s="716"/>
      <c r="F2445" s="731">
        <f>SUM(F2416:F2444)</f>
        <v>-0.2558733127092081</v>
      </c>
      <c r="G2445" s="78"/>
      <c r="J2445" s="31"/>
    </row>
    <row r="2446" spans="1:12" hidden="1" outlineLevel="1" x14ac:dyDescent="0.25">
      <c r="A2446" s="749"/>
      <c r="B2446" s="750"/>
      <c r="C2446" s="727"/>
      <c r="D2446" s="727"/>
      <c r="E2446" s="716"/>
      <c r="F2446" s="731"/>
      <c r="G2446" s="78"/>
      <c r="J2446" s="31"/>
    </row>
    <row r="2447" spans="1:12" hidden="1" outlineLevel="1" x14ac:dyDescent="0.25">
      <c r="A2447" s="962" t="s">
        <v>3600</v>
      </c>
      <c r="B2447" s="944">
        <v>39083</v>
      </c>
      <c r="C2447" s="727">
        <v>100</v>
      </c>
      <c r="D2447" s="727">
        <v>106.7784</v>
      </c>
      <c r="E2447" s="716">
        <f>$D$2447/$C$2447-1</f>
        <v>6.7784000000000066E-2</v>
      </c>
      <c r="F2447" s="731">
        <f>E2447</f>
        <v>6.7784000000000066E-2</v>
      </c>
      <c r="G2447" s="78"/>
      <c r="J2447" s="31"/>
    </row>
    <row r="2448" spans="1:12" hidden="1" outlineLevel="1" x14ac:dyDescent="0.25">
      <c r="A2448" s="962" t="s">
        <v>3601</v>
      </c>
      <c r="B2448" s="944">
        <v>39173</v>
      </c>
      <c r="C2448" s="727">
        <v>100</v>
      </c>
      <c r="D2448" s="727">
        <v>109.0689</v>
      </c>
      <c r="E2448" s="716">
        <f t="shared" ref="E2448:E2462" si="70">D2448/C2448-1</f>
        <v>9.068900000000002E-2</v>
      </c>
      <c r="F2448" s="731">
        <f t="shared" ref="F2448:F2462" si="71">E2448</f>
        <v>9.068900000000002E-2</v>
      </c>
      <c r="G2448" s="78"/>
      <c r="J2448" s="31"/>
    </row>
    <row r="2449" spans="1:10" hidden="1" outlineLevel="1" x14ac:dyDescent="0.25">
      <c r="A2449" s="962" t="s">
        <v>3602</v>
      </c>
      <c r="B2449" s="944">
        <v>39264</v>
      </c>
      <c r="C2449" s="727">
        <v>100</v>
      </c>
      <c r="D2449" s="727">
        <v>101.56959999999999</v>
      </c>
      <c r="E2449" s="716">
        <f t="shared" si="70"/>
        <v>1.5695999999999932E-2</v>
      </c>
      <c r="F2449" s="731">
        <f t="shared" si="71"/>
        <v>1.5695999999999932E-2</v>
      </c>
      <c r="G2449" s="78"/>
      <c r="J2449" s="31"/>
    </row>
    <row r="2450" spans="1:10" hidden="1" outlineLevel="1" x14ac:dyDescent="0.25">
      <c r="A2450" s="962" t="s">
        <v>3603</v>
      </c>
      <c r="B2450" s="944">
        <v>39356</v>
      </c>
      <c r="C2450" s="727">
        <v>100</v>
      </c>
      <c r="D2450" s="727">
        <v>110.83710000000001</v>
      </c>
      <c r="E2450" s="716">
        <f t="shared" si="70"/>
        <v>0.108371</v>
      </c>
      <c r="F2450" s="731">
        <f t="shared" si="71"/>
        <v>0.108371</v>
      </c>
      <c r="G2450" s="78"/>
      <c r="J2450" s="31"/>
    </row>
    <row r="2451" spans="1:10" hidden="1" outlineLevel="1" x14ac:dyDescent="0.25">
      <c r="A2451" s="962" t="s">
        <v>3604</v>
      </c>
      <c r="B2451" s="944">
        <v>39448</v>
      </c>
      <c r="C2451" s="727">
        <v>100</v>
      </c>
      <c r="D2451" s="727">
        <v>99.296099999999996</v>
      </c>
      <c r="E2451" s="716">
        <f t="shared" si="70"/>
        <v>-7.0390000000000175E-3</v>
      </c>
      <c r="F2451" s="731">
        <f t="shared" si="71"/>
        <v>-7.0390000000000175E-3</v>
      </c>
      <c r="G2451" s="78"/>
      <c r="J2451" s="31"/>
    </row>
    <row r="2452" spans="1:10" hidden="1" outlineLevel="1" x14ac:dyDescent="0.25">
      <c r="A2452" s="962" t="s">
        <v>2497</v>
      </c>
      <c r="B2452" s="944">
        <v>39539</v>
      </c>
      <c r="C2452" s="727">
        <v>100</v>
      </c>
      <c r="D2452" s="727">
        <v>94.889700000000005</v>
      </c>
      <c r="E2452" s="716">
        <f t="shared" si="70"/>
        <v>-5.1102999999999899E-2</v>
      </c>
      <c r="F2452" s="731">
        <f t="shared" si="71"/>
        <v>-5.1102999999999899E-2</v>
      </c>
      <c r="G2452" s="78"/>
      <c r="J2452" s="31"/>
    </row>
    <row r="2453" spans="1:10" hidden="1" outlineLevel="1" x14ac:dyDescent="0.25">
      <c r="A2453" s="962" t="s">
        <v>2498</v>
      </c>
      <c r="B2453" s="944">
        <v>39630</v>
      </c>
      <c r="C2453" s="727">
        <v>100</v>
      </c>
      <c r="D2453" s="727">
        <v>84.458500000000001</v>
      </c>
      <c r="E2453" s="716">
        <f t="shared" si="70"/>
        <v>-0.15541499999999997</v>
      </c>
      <c r="F2453" s="731">
        <f t="shared" si="71"/>
        <v>-0.15541499999999997</v>
      </c>
      <c r="G2453" s="78"/>
      <c r="J2453" s="31"/>
    </row>
    <row r="2454" spans="1:10" hidden="1" outlineLevel="1" x14ac:dyDescent="0.25">
      <c r="A2454" s="962" t="s">
        <v>1963</v>
      </c>
      <c r="B2454" s="944">
        <v>39722</v>
      </c>
      <c r="C2454" s="727">
        <v>100</v>
      </c>
      <c r="D2454" s="727">
        <v>72.516000000000005</v>
      </c>
      <c r="E2454" s="716">
        <f t="shared" si="70"/>
        <v>-0.27483999999999997</v>
      </c>
      <c r="F2454" s="731">
        <f t="shared" si="71"/>
        <v>-0.27483999999999997</v>
      </c>
      <c r="G2454" s="78"/>
      <c r="J2454" s="31"/>
    </row>
    <row r="2455" spans="1:10" hidden="1" outlineLevel="1" x14ac:dyDescent="0.25">
      <c r="A2455" s="962" t="s">
        <v>1964</v>
      </c>
      <c r="B2455" s="944">
        <v>39814</v>
      </c>
      <c r="C2455" s="727">
        <v>100</v>
      </c>
      <c r="D2455" s="727">
        <v>61.618499999999997</v>
      </c>
      <c r="E2455" s="716">
        <f t="shared" si="70"/>
        <v>-0.38381500000000002</v>
      </c>
      <c r="F2455" s="731">
        <f t="shared" si="71"/>
        <v>-0.38381500000000002</v>
      </c>
      <c r="G2455" s="78"/>
      <c r="J2455" s="31"/>
    </row>
    <row r="2456" spans="1:10" hidden="1" outlineLevel="1" x14ac:dyDescent="0.25">
      <c r="A2456" s="962" t="s">
        <v>1965</v>
      </c>
      <c r="B2456" s="944">
        <v>39904</v>
      </c>
      <c r="C2456" s="727">
        <v>100</v>
      </c>
      <c r="D2456" s="727">
        <v>63.382399999999997</v>
      </c>
      <c r="E2456" s="716">
        <f t="shared" si="70"/>
        <v>-0.36617600000000006</v>
      </c>
      <c r="F2456" s="731">
        <f t="shared" si="71"/>
        <v>-0.36617600000000006</v>
      </c>
      <c r="G2456" s="78"/>
      <c r="J2456" s="31"/>
    </row>
    <row r="2457" spans="1:10" hidden="1" outlineLevel="1" x14ac:dyDescent="0.25">
      <c r="A2457" s="962" t="s">
        <v>4211</v>
      </c>
      <c r="B2457" s="944">
        <v>39995</v>
      </c>
      <c r="C2457" s="727">
        <v>100</v>
      </c>
      <c r="D2457" s="727">
        <v>69.1417</v>
      </c>
      <c r="E2457" s="716">
        <f t="shared" si="70"/>
        <v>-0.30858300000000005</v>
      </c>
      <c r="F2457" s="731">
        <f t="shared" si="71"/>
        <v>-0.30858300000000005</v>
      </c>
      <c r="G2457" s="78"/>
      <c r="J2457" s="31"/>
    </row>
    <row r="2458" spans="1:10" hidden="1" outlineLevel="1" x14ac:dyDescent="0.25">
      <c r="A2458" s="962" t="s">
        <v>4212</v>
      </c>
      <c r="B2458" s="944">
        <v>40087</v>
      </c>
      <c r="C2458" s="727">
        <v>100</v>
      </c>
      <c r="D2458" s="727">
        <v>72.554400000000001</v>
      </c>
      <c r="E2458" s="716">
        <f t="shared" si="70"/>
        <v>-0.27445600000000003</v>
      </c>
      <c r="F2458" s="731">
        <f t="shared" si="71"/>
        <v>-0.27445600000000003</v>
      </c>
      <c r="G2458" s="78"/>
      <c r="J2458" s="31"/>
    </row>
    <row r="2459" spans="1:10" hidden="1" outlineLevel="1" x14ac:dyDescent="0.25">
      <c r="A2459" s="962" t="s">
        <v>2607</v>
      </c>
      <c r="B2459" s="944">
        <v>40179</v>
      </c>
      <c r="C2459" s="727">
        <v>100</v>
      </c>
      <c r="D2459" s="727">
        <v>72.173299999999998</v>
      </c>
      <c r="E2459" s="716">
        <f t="shared" si="70"/>
        <v>-0.27826700000000004</v>
      </c>
      <c r="F2459" s="731">
        <f t="shared" si="71"/>
        <v>-0.27826700000000004</v>
      </c>
      <c r="G2459" s="78"/>
      <c r="J2459" s="31"/>
    </row>
    <row r="2460" spans="1:10" hidden="1" outlineLevel="1" x14ac:dyDescent="0.25">
      <c r="A2460" s="962" t="s">
        <v>2608</v>
      </c>
      <c r="B2460" s="944">
        <v>40269</v>
      </c>
      <c r="C2460" s="727">
        <v>100</v>
      </c>
      <c r="D2460" s="727">
        <v>74.120699999999999</v>
      </c>
      <c r="E2460" s="716">
        <f t="shared" si="70"/>
        <v>-0.25879300000000005</v>
      </c>
      <c r="F2460" s="731">
        <f t="shared" si="71"/>
        <v>-0.25879300000000005</v>
      </c>
      <c r="G2460" s="78"/>
      <c r="J2460" s="31"/>
    </row>
    <row r="2461" spans="1:10" hidden="1" outlineLevel="1" x14ac:dyDescent="0.25">
      <c r="A2461" s="962" t="s">
        <v>2658</v>
      </c>
      <c r="B2461" s="944">
        <v>40360</v>
      </c>
      <c r="C2461" s="727">
        <v>100</v>
      </c>
      <c r="D2461" s="727">
        <v>71.307500000000005</v>
      </c>
      <c r="E2461" s="716">
        <f t="shared" si="70"/>
        <v>-0.28692499999999999</v>
      </c>
      <c r="F2461" s="731">
        <f t="shared" si="71"/>
        <v>-0.28692499999999999</v>
      </c>
      <c r="G2461" s="78"/>
      <c r="H2461" t="s">
        <v>1837</v>
      </c>
      <c r="J2461" s="31"/>
    </row>
    <row r="2462" spans="1:10" hidden="1" outlineLevel="1" x14ac:dyDescent="0.25">
      <c r="A2462" s="962" t="s">
        <v>2659</v>
      </c>
      <c r="B2462" s="944">
        <v>40452</v>
      </c>
      <c r="C2462" s="727">
        <v>100</v>
      </c>
      <c r="D2462" s="727">
        <v>73.619500000000002</v>
      </c>
      <c r="E2462" s="716">
        <f t="shared" si="70"/>
        <v>-0.26380499999999996</v>
      </c>
      <c r="F2462" s="731">
        <f t="shared" si="71"/>
        <v>-0.26380499999999996</v>
      </c>
      <c r="G2462" s="78"/>
      <c r="H2462" s="101">
        <f>AVERAGE(F2447:F2462)</f>
        <v>-0.16416731250000002</v>
      </c>
      <c r="I2462" s="101"/>
      <c r="J2462" s="31"/>
    </row>
    <row r="2463" spans="1:10" collapsed="1" x14ac:dyDescent="0.25">
      <c r="A2463" s="3801" t="s">
        <v>1577</v>
      </c>
      <c r="B2463" s="3802"/>
      <c r="C2463" s="3802"/>
      <c r="D2463" s="3802"/>
      <c r="E2463" s="721"/>
      <c r="F2463" s="722">
        <f>MAX(AVERAGE(F2447:F2462)*parametry!N103,4%)</f>
        <v>0.04</v>
      </c>
      <c r="G2463" s="97" t="s">
        <v>781</v>
      </c>
      <c r="J2463" s="31"/>
    </row>
    <row r="2464" spans="1:10" x14ac:dyDescent="0.25">
      <c r="A2464" s="1"/>
      <c r="B2464" s="1"/>
      <c r="C2464" s="1"/>
      <c r="D2464" s="1"/>
      <c r="E2464" s="1"/>
      <c r="F2464" s="1848"/>
      <c r="G2464" s="78"/>
      <c r="H2464" s="12"/>
      <c r="J2464" s="31"/>
    </row>
    <row r="2465" spans="1:10" hidden="1" outlineLevel="1" x14ac:dyDescent="0.25">
      <c r="A2465" s="689" t="s">
        <v>113</v>
      </c>
      <c r="B2465" s="689" t="s">
        <v>114</v>
      </c>
      <c r="C2465" s="689" t="s">
        <v>112</v>
      </c>
      <c r="D2465" s="689" t="s">
        <v>116</v>
      </c>
      <c r="E2465" s="689" t="s">
        <v>117</v>
      </c>
      <c r="F2465" s="1188" t="s">
        <v>121</v>
      </c>
      <c r="G2465" s="78"/>
      <c r="H2465" s="12"/>
      <c r="J2465" s="31"/>
    </row>
    <row r="2466" spans="1:10" hidden="1" outlineLevel="1" x14ac:dyDescent="0.25">
      <c r="A2466" s="690">
        <v>1</v>
      </c>
      <c r="B2466" s="691" t="s">
        <v>252</v>
      </c>
      <c r="C2466" s="692">
        <v>100</v>
      </c>
      <c r="D2466" s="692"/>
      <c r="E2466" s="693"/>
      <c r="F2466" s="694"/>
      <c r="G2466" s="78"/>
      <c r="H2466" s="12"/>
      <c r="J2466" s="31"/>
    </row>
    <row r="2467" spans="1:10" hidden="1" outlineLevel="1" x14ac:dyDescent="0.25">
      <c r="A2467" s="695"/>
      <c r="B2467" s="695"/>
      <c r="C2467" s="696"/>
      <c r="D2467" s="697" t="s">
        <v>3702</v>
      </c>
      <c r="E2467" s="698">
        <f>indexy!$B$2</f>
        <v>45379</v>
      </c>
      <c r="F2467" s="699"/>
      <c r="G2467" s="78"/>
      <c r="H2467" s="12"/>
      <c r="J2467" s="31"/>
    </row>
    <row r="2468" spans="1:10" hidden="1" outlineLevel="1" x14ac:dyDescent="0.25">
      <c r="A2468" s="689" t="s">
        <v>4156</v>
      </c>
      <c r="B2468" s="689" t="s">
        <v>4153</v>
      </c>
      <c r="C2468" s="497" t="s">
        <v>112</v>
      </c>
      <c r="D2468" s="689" t="s">
        <v>4155</v>
      </c>
      <c r="E2468" s="689" t="s">
        <v>4154</v>
      </c>
      <c r="F2468" s="1188" t="s">
        <v>2519</v>
      </c>
      <c r="G2468" s="78"/>
      <c r="H2468" s="12"/>
      <c r="J2468" s="31"/>
    </row>
    <row r="2469" spans="1:10" hidden="1" outlineLevel="1" x14ac:dyDescent="0.25">
      <c r="A2469" s="963">
        <v>0.05</v>
      </c>
      <c r="B2469" s="964" t="s">
        <v>3798</v>
      </c>
      <c r="C2469" s="965">
        <v>6.7900999999999998</v>
      </c>
      <c r="D2469" s="737">
        <f>VLOOKUP(H2469,indexy!$C$44:$D$585,2,FALSE)</f>
        <v>6.1189999999999998</v>
      </c>
      <c r="E2469" s="742">
        <f>D2469/C2469-1</f>
        <v>-9.8835068702964657E-2</v>
      </c>
      <c r="F2469" s="946">
        <f>E2469*A2469</f>
        <v>-4.9417534351482335E-3</v>
      </c>
      <c r="G2469" s="78"/>
      <c r="H2469" t="str">
        <f>VLOOKUP(B2469,indexy!$A$44:$D$4817,3,FALSE)</f>
        <v>ENEL IM Equity</v>
      </c>
      <c r="J2469" s="31"/>
    </row>
    <row r="2470" spans="1:10" hidden="1" outlineLevel="1" x14ac:dyDescent="0.25">
      <c r="A2470" s="966">
        <v>0.04</v>
      </c>
      <c r="B2470" s="939" t="s">
        <v>5824</v>
      </c>
      <c r="C2470" s="967">
        <v>16.734999999999999</v>
      </c>
      <c r="D2470" s="737">
        <f>VLOOKUP(H2470,indexy!$C$44:$D$585,2,FALSE)</f>
        <v>10.888</v>
      </c>
      <c r="E2470" s="742">
        <f>D2470/C2470-1</f>
        <v>-0.34938751120406331</v>
      </c>
      <c r="F2470" s="946">
        <f>E2470*A2470</f>
        <v>-1.3975500448162533E-2</v>
      </c>
      <c r="G2470" s="78"/>
      <c r="H2470" t="str">
        <f>VLOOKUP(B2470,indexy!$A$44:$D$4817,3,FALSE)</f>
        <v>ORA FP Equity</v>
      </c>
      <c r="J2470" s="31"/>
    </row>
    <row r="2471" spans="1:10" hidden="1" outlineLevel="1" x14ac:dyDescent="0.25">
      <c r="A2471" s="966">
        <v>0.04</v>
      </c>
      <c r="B2471" s="939" t="s">
        <v>2983</v>
      </c>
      <c r="C2471" s="967">
        <f>6.417*100</f>
        <v>641.69999999999993</v>
      </c>
      <c r="D2471" s="737">
        <f>VLOOKUP(H2471,indexy!$C$44:$D$585,2,FALSE)</f>
        <v>1029</v>
      </c>
      <c r="E2471" s="742">
        <f>D2471/C2471-1</f>
        <v>0.60355306217858828</v>
      </c>
      <c r="F2471" s="946">
        <f>E2471*A2471</f>
        <v>2.4142122487143532E-2</v>
      </c>
      <c r="G2471" s="78"/>
      <c r="H2471" t="str">
        <f>VLOOKUP(B2471,indexy!$A$44:$D$4817,3,FALSE)</f>
        <v>UU/ LN Equity</v>
      </c>
      <c r="J2471" s="31"/>
    </row>
    <row r="2472" spans="1:10" hidden="1" outlineLevel="1" x14ac:dyDescent="0.25">
      <c r="A2472" s="966">
        <v>0.05</v>
      </c>
      <c r="B2472" s="939" t="s">
        <v>2629</v>
      </c>
      <c r="C2472" s="967">
        <v>12.472</v>
      </c>
      <c r="D2472" s="737">
        <f>VLOOKUP(H2472,indexy!$C$44:$D$585,2,FALSE)</f>
        <v>22.5</v>
      </c>
      <c r="E2472" s="742">
        <f>D2472/C2472-1</f>
        <v>0.80404105195638231</v>
      </c>
      <c r="F2472" s="946">
        <f>E2472*A2472</f>
        <v>4.0202052597819116E-2</v>
      </c>
      <c r="G2472" s="78"/>
      <c r="H2472" t="str">
        <f>VLOOKUP(B2472,indexy!$A$44:$D$4817,3,FALSE)</f>
        <v>DTE GY Equity</v>
      </c>
      <c r="J2472" s="31"/>
    </row>
    <row r="2473" spans="1:10" hidden="1" outlineLevel="1" x14ac:dyDescent="0.25">
      <c r="A2473" s="966">
        <v>0.04</v>
      </c>
      <c r="B2473" s="939" t="s">
        <v>1527</v>
      </c>
      <c r="C2473" s="967">
        <v>2.1579000000000002</v>
      </c>
      <c r="D2473" s="737">
        <f>VLOOKUP(H2473,indexy!$C$44:$D$585,2,FALSE)</f>
        <v>0.22509999999999999</v>
      </c>
      <c r="E2473" s="742">
        <f t="shared" ref="E2473:E2498" si="72">D2473/C2473-1</f>
        <v>-0.89568562027897491</v>
      </c>
      <c r="F2473" s="946">
        <f t="shared" ref="F2473:F2498" si="73">E2473*A2473</f>
        <v>-3.5827424811158998E-2</v>
      </c>
      <c r="G2473" s="78"/>
      <c r="H2473" t="str">
        <f>VLOOKUP(B2473,indexy!$A$44:$D$4817,3,FALSE)</f>
        <v>TIT IM Equity</v>
      </c>
      <c r="J2473" s="31"/>
    </row>
    <row r="2474" spans="1:10" hidden="1" outlineLevel="1" x14ac:dyDescent="0.25">
      <c r="A2474" s="966">
        <v>0.05</v>
      </c>
      <c r="B2474" s="939" t="s">
        <v>576</v>
      </c>
      <c r="C2474" s="967">
        <v>15.398999999999999</v>
      </c>
      <c r="D2474" s="737" t="e">
        <f>VLOOKUP(H2474,indexy!$C$44:$D$585,2,FALSE)</f>
        <v>#N/A</v>
      </c>
      <c r="E2474" s="742" t="e">
        <f t="shared" si="72"/>
        <v>#N/A</v>
      </c>
      <c r="F2474" s="946" t="e">
        <f t="shared" si="73"/>
        <v>#N/A</v>
      </c>
      <c r="G2474" s="78"/>
      <c r="H2474" t="e">
        <f>VLOOKUP(B2474,indexy!$A$44:$D$4817,3,FALSE)</f>
        <v>#N/A</v>
      </c>
      <c r="J2474" s="31"/>
    </row>
    <row r="2475" spans="1:10" hidden="1" outlineLevel="1" x14ac:dyDescent="0.25">
      <c r="A2475" s="966">
        <v>0.05</v>
      </c>
      <c r="B2475" s="939" t="s">
        <v>157</v>
      </c>
      <c r="C2475" s="967">
        <v>7.9550000000000001</v>
      </c>
      <c r="D2475" s="737">
        <f>VLOOKUP(H2475,indexy!$C$44:$D$585,2,FALSE)</f>
        <v>4.5214999999999996</v>
      </c>
      <c r="E2475" s="742">
        <f t="shared" si="72"/>
        <v>-0.43161533626649906</v>
      </c>
      <c r="F2475" s="946">
        <f t="shared" si="73"/>
        <v>-2.1580766813324954E-2</v>
      </c>
      <c r="G2475" s="78"/>
      <c r="H2475" t="str">
        <f>VLOOKUP(B2475,indexy!$A$44:$D$4817,3,FALSE)</f>
        <v>SAN SM Equity</v>
      </c>
      <c r="J2475" s="31"/>
    </row>
    <row r="2476" spans="1:10" hidden="1" outlineLevel="1" x14ac:dyDescent="0.25">
      <c r="A2476" s="966">
        <v>0.04</v>
      </c>
      <c r="B2476" s="939" t="s">
        <v>3427</v>
      </c>
      <c r="C2476" s="967">
        <v>32.628999999999998</v>
      </c>
      <c r="D2476" s="737">
        <f>VLOOKUP(H2476,indexy!$C$44:$D$585,2,FALSE)</f>
        <v>71.739999999999995</v>
      </c>
      <c r="E2476" s="742">
        <f t="shared" si="72"/>
        <v>1.1986576358454135</v>
      </c>
      <c r="F2476" s="946">
        <f t="shared" si="73"/>
        <v>4.794630543381654E-2</v>
      </c>
      <c r="G2476" s="78"/>
      <c r="H2476" t="str">
        <f>VLOOKUP(B2476,indexy!$A$44:$D$4817,3,FALSE)</f>
        <v>SO UN Equity</v>
      </c>
      <c r="I2476" s="106"/>
      <c r="J2476" s="31"/>
    </row>
    <row r="2477" spans="1:10" hidden="1" outlineLevel="1" x14ac:dyDescent="0.25">
      <c r="A2477" s="966">
        <v>0.04</v>
      </c>
      <c r="B2477" s="939" t="s">
        <v>1994</v>
      </c>
      <c r="C2477" s="967">
        <v>48.654000000000003</v>
      </c>
      <c r="D2477" s="737">
        <f>VLOOKUP(H2477,indexy!$C$44:$D$585,2,FALSE)</f>
        <v>37.92</v>
      </c>
      <c r="E2477" s="742">
        <f t="shared" si="72"/>
        <v>-0.22061906523615737</v>
      </c>
      <c r="F2477" s="946">
        <f t="shared" si="73"/>
        <v>-8.8247626094462954E-3</v>
      </c>
      <c r="G2477" s="78"/>
      <c r="H2477" t="str">
        <f>VLOOKUP(B2477,indexy!$A$44:$D$4817,3,FALSE)</f>
        <v>BAC UN Equity</v>
      </c>
      <c r="J2477" s="31"/>
    </row>
    <row r="2478" spans="1:10" hidden="1" outlineLevel="1" x14ac:dyDescent="0.25">
      <c r="A2478" s="966">
        <v>0.04</v>
      </c>
      <c r="B2478" s="939" t="s">
        <v>1847</v>
      </c>
      <c r="C2478" s="967">
        <f>48.353*10</f>
        <v>483.53000000000003</v>
      </c>
      <c r="D2478" s="737">
        <f>VLOOKUP(H2478,indexy!$C$44:$D$585,2,FALSE)</f>
        <v>63.24</v>
      </c>
      <c r="E2478" s="742">
        <f t="shared" si="72"/>
        <v>-0.86921183794180301</v>
      </c>
      <c r="F2478" s="946">
        <f t="shared" si="73"/>
        <v>-3.4768473517672122E-2</v>
      </c>
      <c r="G2478" s="78"/>
      <c r="H2478" t="str">
        <f>VLOOKUP(B2478,indexy!$A$44:$D$4817,3,FALSE)</f>
        <v>C UN Equity</v>
      </c>
      <c r="J2478" s="31"/>
    </row>
    <row r="2479" spans="1:10" hidden="1" outlineLevel="1" x14ac:dyDescent="0.25">
      <c r="A2479" s="966">
        <v>0.03</v>
      </c>
      <c r="B2479" s="939" t="s">
        <v>44</v>
      </c>
      <c r="C2479" s="908">
        <v>4.4353130023227605</v>
      </c>
      <c r="D2479" s="737">
        <f>VLOOKUP(H2479,indexy!$C$44:$D$585,2,FALSE)</f>
        <v>3.363</v>
      </c>
      <c r="E2479" s="742">
        <f t="shared" si="72"/>
        <v>-0.24176715414700012</v>
      </c>
      <c r="F2479" s="946">
        <f t="shared" si="73"/>
        <v>-7.2530146244100032E-3</v>
      </c>
      <c r="G2479" s="78"/>
      <c r="H2479" t="str">
        <f>VLOOKUP(B2479,indexy!$A$44:$D$4817,3,FALSE)</f>
        <v>ISP IM Equity</v>
      </c>
      <c r="J2479" s="31"/>
    </row>
    <row r="2480" spans="1:10" hidden="1" outlineLevel="1" x14ac:dyDescent="0.25">
      <c r="A2480" s="966">
        <v>0.04</v>
      </c>
      <c r="B2480" s="939" t="s">
        <v>3801</v>
      </c>
      <c r="C2480" s="967">
        <v>64.665999999999997</v>
      </c>
      <c r="D2480" s="737">
        <f>VLOOKUP(H2480,indexy!$C$44:$D$585,2,FALSE)</f>
        <v>31.46</v>
      </c>
      <c r="E2480" s="742">
        <f t="shared" si="72"/>
        <v>-0.51350013917669246</v>
      </c>
      <c r="F2480" s="946">
        <f t="shared" si="73"/>
        <v>-2.0540005567067698E-2</v>
      </c>
      <c r="G2480" s="78"/>
      <c r="H2480" t="str">
        <f>VLOOKUP(B2480,indexy!$A$44:$D$4817,3,FALSE)</f>
        <v>RWE GY Equity</v>
      </c>
      <c r="J2480" s="31"/>
    </row>
    <row r="2481" spans="1:10" hidden="1" outlineLevel="1" x14ac:dyDescent="0.25">
      <c r="A2481" s="966">
        <v>0.04</v>
      </c>
      <c r="B2481" s="743" t="s">
        <v>3792</v>
      </c>
      <c r="C2481" s="967">
        <v>52.533999999999999</v>
      </c>
      <c r="D2481" s="737">
        <f>VLOOKUP(H2481,indexy!$C$44:$D$585,2,FALSE)</f>
        <v>54.99</v>
      </c>
      <c r="E2481" s="742">
        <f t="shared" si="72"/>
        <v>4.6750675752845749E-2</v>
      </c>
      <c r="F2481" s="946">
        <f t="shared" si="73"/>
        <v>1.8700270301138301E-3</v>
      </c>
      <c r="G2481" s="78"/>
      <c r="H2481" t="str">
        <f>VLOOKUP(B2481,indexy!$A$44:$D$4817,3,FALSE)</f>
        <v>CMA UN Equity</v>
      </c>
      <c r="J2481" s="31"/>
    </row>
    <row r="2482" spans="1:10" hidden="1" outlineLevel="1" x14ac:dyDescent="0.25">
      <c r="A2482" s="966">
        <v>0.03</v>
      </c>
      <c r="B2482" s="939" t="s">
        <v>4110</v>
      </c>
      <c r="C2482" s="967">
        <f>75.342/2</f>
        <v>37.670999999999999</v>
      </c>
      <c r="D2482" s="737" t="e">
        <f>VLOOKUP(H2482,indexy!$C$44:$D$585,2,FALSE)</f>
        <v>#N/A</v>
      </c>
      <c r="E2482" s="742" t="e">
        <f t="shared" si="72"/>
        <v>#N/A</v>
      </c>
      <c r="F2482" s="946" t="e">
        <f t="shared" si="73"/>
        <v>#N/A</v>
      </c>
      <c r="G2482" s="78"/>
      <c r="H2482" t="e">
        <f>VLOOKUP(B2482,indexy!$A$44:$D$4817,3,FALSE)</f>
        <v>#N/A</v>
      </c>
      <c r="J2482" s="31"/>
    </row>
    <row r="2483" spans="1:10" hidden="1" outlineLevel="1" x14ac:dyDescent="0.25">
      <c r="A2483" s="966">
        <v>0.03</v>
      </c>
      <c r="B2483" s="939" t="s">
        <v>1031</v>
      </c>
      <c r="C2483" s="967">
        <v>6.54</v>
      </c>
      <c r="D2483" s="737">
        <f>VLOOKUP(H2483,indexy!$C$44:$D$585,2,FALSE)</f>
        <v>11.494999999999999</v>
      </c>
      <c r="E2483" s="742">
        <f t="shared" si="72"/>
        <v>0.75764525993883769</v>
      </c>
      <c r="F2483" s="946">
        <f t="shared" si="73"/>
        <v>2.272935779816513E-2</v>
      </c>
      <c r="G2483" s="78"/>
      <c r="H2483" t="str">
        <f>VLOOKUP(B2483,indexy!$A$44:$D$4817,3,FALSE)</f>
        <v>IBE SQ Equity</v>
      </c>
      <c r="J2483" s="31"/>
    </row>
    <row r="2484" spans="1:10" hidden="1" outlineLevel="1" x14ac:dyDescent="0.25">
      <c r="A2484" s="966">
        <v>0.02</v>
      </c>
      <c r="B2484" s="939" t="s">
        <v>281</v>
      </c>
      <c r="C2484" s="967">
        <v>35.226999999999997</v>
      </c>
      <c r="D2484" s="737">
        <f>VLOOKUP(H2484,indexy!$C$44:$D$585,2,FALSE)</f>
        <v>15.81</v>
      </c>
      <c r="E2484" s="742">
        <f t="shared" si="72"/>
        <v>-0.55119652539245467</v>
      </c>
      <c r="F2484" s="946">
        <f t="shared" si="73"/>
        <v>-1.1023930507849094E-2</v>
      </c>
      <c r="G2484" s="78"/>
      <c r="H2484" t="str">
        <f>VLOOKUP(B2484,indexy!$A$44:$D$4817,3,FALSE)</f>
        <v>KEY UN Equity</v>
      </c>
      <c r="J2484" s="31"/>
    </row>
    <row r="2485" spans="1:10" hidden="1" outlineLevel="1" x14ac:dyDescent="0.25">
      <c r="A2485" s="966">
        <v>0.03</v>
      </c>
      <c r="B2485" s="939" t="s">
        <v>2984</v>
      </c>
      <c r="C2485" s="967">
        <v>16.443000000000001</v>
      </c>
      <c r="D2485" s="737">
        <f>VLOOKUP(H2485,indexy!$C$44:$D$585,2,FALSE)</f>
        <v>11.04</v>
      </c>
      <c r="E2485" s="742">
        <f t="shared" si="72"/>
        <v>-0.32858967341725975</v>
      </c>
      <c r="F2485" s="946">
        <f t="shared" si="73"/>
        <v>-9.857690202517793E-3</v>
      </c>
      <c r="G2485" s="78"/>
      <c r="H2485" t="str">
        <f>VLOOKUP(B2485,indexy!$A$44:$D$4817,3,FALSE)</f>
        <v>BBVA SM Equity</v>
      </c>
      <c r="J2485" s="31"/>
    </row>
    <row r="2486" spans="1:10" hidden="1" outlineLevel="1" x14ac:dyDescent="0.25">
      <c r="A2486" s="966">
        <v>0.03</v>
      </c>
      <c r="B2486" s="939" t="s">
        <v>2166</v>
      </c>
      <c r="C2486" s="967">
        <v>106.61</v>
      </c>
      <c r="D2486" s="737">
        <f>VLOOKUP(H2486,indexy!$C$44:$D$585,2,FALSE)</f>
        <v>24.81</v>
      </c>
      <c r="E2486" s="742">
        <f t="shared" si="72"/>
        <v>-0.76728261889128602</v>
      </c>
      <c r="F2486" s="946">
        <f t="shared" si="73"/>
        <v>-2.3018478566738578E-2</v>
      </c>
      <c r="G2486" s="78"/>
      <c r="H2486" t="str">
        <f>VLOOKUP(B2486,indexy!$A$44:$D$4817,3,FALSE)</f>
        <v>GLE FP Equity</v>
      </c>
      <c r="J2486" s="31"/>
    </row>
    <row r="2487" spans="1:10" hidden="1" outlineLevel="1" x14ac:dyDescent="0.25">
      <c r="A2487" s="966">
        <v>0.02</v>
      </c>
      <c r="B2487" s="939" t="s">
        <v>3656</v>
      </c>
      <c r="C2487" s="967">
        <v>100.87</v>
      </c>
      <c r="D2487" s="737">
        <f>VLOOKUP(H2487,indexy!$C$44:$D$585,2,FALSE)</f>
        <v>218.5</v>
      </c>
      <c r="E2487" s="742">
        <f t="shared" si="72"/>
        <v>1.1661544562307919</v>
      </c>
      <c r="F2487" s="946">
        <f t="shared" si="73"/>
        <v>2.332308912461584E-2</v>
      </c>
      <c r="G2487" s="78"/>
      <c r="H2487" t="str">
        <f>VLOOKUP(B2487,indexy!$A$44:$D$4817,3,FALSE)</f>
        <v>SKFB SS Equity</v>
      </c>
      <c r="J2487" s="31"/>
    </row>
    <row r="2488" spans="1:10" hidden="1" outlineLevel="1" x14ac:dyDescent="0.25">
      <c r="A2488" s="966">
        <v>0.03</v>
      </c>
      <c r="B2488" s="939" t="s">
        <v>901</v>
      </c>
      <c r="C2488" s="967">
        <f>13.831*100</f>
        <v>1383.1</v>
      </c>
      <c r="D2488" s="737">
        <f>VLOOKUP(H2488,indexy!$C$44:$D$585,2,FALSE)</f>
        <v>2406</v>
      </c>
      <c r="E2488" s="742">
        <f t="shared" si="72"/>
        <v>0.73957052996891059</v>
      </c>
      <c r="F2488" s="946">
        <f t="shared" si="73"/>
        <v>2.2187115899067317E-2</v>
      </c>
      <c r="G2488" s="78"/>
      <c r="H2488" t="str">
        <f>VLOOKUP(B2488,indexy!$A$44:$D$4817,3,FALSE)</f>
        <v>BATS LN Equity</v>
      </c>
      <c r="J2488" s="31"/>
    </row>
    <row r="2489" spans="1:10" hidden="1" outlineLevel="1" x14ac:dyDescent="0.25">
      <c r="A2489" s="966">
        <v>0.02</v>
      </c>
      <c r="B2489" s="939" t="s">
        <v>4025</v>
      </c>
      <c r="C2489" s="967">
        <v>38.204999999999998</v>
      </c>
      <c r="D2489" s="737">
        <f>VLOOKUP(H2489,indexy!$C$44:$D$585,2,FALSE)</f>
        <v>73.94</v>
      </c>
      <c r="E2489" s="742">
        <f t="shared" si="72"/>
        <v>0.93534877633817559</v>
      </c>
      <c r="F2489" s="946">
        <f t="shared" si="73"/>
        <v>1.8706975526763512E-2</v>
      </c>
      <c r="G2489" s="78"/>
      <c r="H2489" t="str">
        <f>VLOOKUP(B2489,indexy!$A$44:$D$4817,3,FALSE)</f>
        <v>MBG GR Equity</v>
      </c>
      <c r="J2489" s="31"/>
    </row>
    <row r="2490" spans="1:10" hidden="1" outlineLevel="1" x14ac:dyDescent="0.25">
      <c r="A2490" s="966">
        <v>0.02</v>
      </c>
      <c r="B2490" s="939" t="s">
        <v>1709</v>
      </c>
      <c r="C2490" s="967">
        <v>81.06</v>
      </c>
      <c r="D2490" s="737">
        <f>VLOOKUP(H2490,indexy!$C$44:$D$585,2,FALSE)</f>
        <v>237.7</v>
      </c>
      <c r="E2490" s="742">
        <f t="shared" si="72"/>
        <v>1.932395756229953</v>
      </c>
      <c r="F2490" s="946">
        <f t="shared" si="73"/>
        <v>3.8647915124599058E-2</v>
      </c>
      <c r="G2490" s="78"/>
      <c r="H2490" t="str">
        <f>VLOOKUP(B2490,indexy!$A$44:$D$4817,3,FALSE)</f>
        <v>SAND SS Equity</v>
      </c>
      <c r="J2490" s="31"/>
    </row>
    <row r="2491" spans="1:10" hidden="1" outlineLevel="1" x14ac:dyDescent="0.25">
      <c r="A2491" s="966">
        <v>0.03</v>
      </c>
      <c r="B2491" s="939" t="s">
        <v>3020</v>
      </c>
      <c r="C2491" s="967">
        <v>36.253</v>
      </c>
      <c r="D2491" s="737">
        <f>VLOOKUP(H2491,indexy!$C$44:$D$585,2,FALSE)</f>
        <v>28.4</v>
      </c>
      <c r="E2491" s="742">
        <f t="shared" si="72"/>
        <v>-0.21661655587123829</v>
      </c>
      <c r="F2491" s="946">
        <f t="shared" si="73"/>
        <v>-6.4984966761371483E-3</v>
      </c>
      <c r="G2491" s="78"/>
      <c r="H2491" t="str">
        <f>VLOOKUP(B2491,indexy!$A$44:$D$4817,3,FALSE)</f>
        <v>BAYN GR Equity</v>
      </c>
      <c r="J2491" s="31"/>
    </row>
    <row r="2492" spans="1:10" hidden="1" outlineLevel="1" x14ac:dyDescent="0.25">
      <c r="A2492" s="966">
        <v>0.03</v>
      </c>
      <c r="B2492" s="939" t="s">
        <v>6118</v>
      </c>
      <c r="C2492" s="967">
        <v>85.86</v>
      </c>
      <c r="D2492" s="737">
        <f>VLOOKUP(H2492,indexy!$C$44:$D$585,2,FALSE)</f>
        <v>115.95</v>
      </c>
      <c r="E2492" s="742">
        <f t="shared" si="72"/>
        <v>0.35045422781271851</v>
      </c>
      <c r="F2492" s="946">
        <f t="shared" si="73"/>
        <v>1.0513626834381555E-2</v>
      </c>
      <c r="G2492" s="78"/>
      <c r="H2492" t="str">
        <f>VLOOKUP(B2492,indexy!$A$44:$D$4817,3,FALSE)</f>
        <v>SREN SE Equity</v>
      </c>
      <c r="J2492" s="31"/>
    </row>
    <row r="2493" spans="1:10" hidden="1" outlineLevel="1" x14ac:dyDescent="0.25">
      <c r="A2493" s="966">
        <v>0.03</v>
      </c>
      <c r="B2493" s="939" t="s">
        <v>279</v>
      </c>
      <c r="C2493" s="967">
        <v>39.174999999999997</v>
      </c>
      <c r="D2493" s="737">
        <f>VLOOKUP(H2493,indexy!$C$44:$D$585,2,FALSE)</f>
        <v>209.65</v>
      </c>
      <c r="E2493" s="742">
        <f t="shared" si="72"/>
        <v>4.3516273133375885</v>
      </c>
      <c r="F2493" s="946">
        <f t="shared" si="73"/>
        <v>0.13054881940012764</v>
      </c>
      <c r="G2493" s="78"/>
      <c r="H2493" t="str">
        <f>VLOOKUP(B2493,indexy!$A$44:$D$4817,3,FALSE)</f>
        <v>SU FP Equity</v>
      </c>
      <c r="J2493" s="31"/>
    </row>
    <row r="2494" spans="1:10" hidden="1" outlineLevel="1" x14ac:dyDescent="0.25">
      <c r="A2494" s="966">
        <v>0.03</v>
      </c>
      <c r="B2494" s="939" t="s">
        <v>1526</v>
      </c>
      <c r="C2494" s="967">
        <v>81.010000000000005</v>
      </c>
      <c r="D2494" s="737">
        <f>VLOOKUP(H2494,indexy!$C$44:$D$585,2,FALSE)</f>
        <v>69.42</v>
      </c>
      <c r="E2494" s="742">
        <f t="shared" si="72"/>
        <v>-0.14306875694358723</v>
      </c>
      <c r="F2494" s="946">
        <f t="shared" si="73"/>
        <v>-4.2920627083076167E-3</v>
      </c>
      <c r="G2494" s="78"/>
      <c r="H2494" t="str">
        <f>VLOOKUP(B2494,indexy!$A$44:$D$4817,3,FALSE)</f>
        <v>KBC BB Equity</v>
      </c>
      <c r="J2494" s="31"/>
    </row>
    <row r="2495" spans="1:10" hidden="1" outlineLevel="1" x14ac:dyDescent="0.25">
      <c r="A2495" s="966">
        <v>0.02</v>
      </c>
      <c r="B2495" s="939" t="s">
        <v>1414</v>
      </c>
      <c r="C2495" s="967">
        <v>23.184999999999999</v>
      </c>
      <c r="D2495" s="737">
        <f>VLOOKUP(H2495,indexy!$C$44:$D$585,2,FALSE)</f>
        <v>27.75</v>
      </c>
      <c r="E2495" s="742">
        <f t="shared" si="72"/>
        <v>0.19689454388613337</v>
      </c>
      <c r="F2495" s="946">
        <f t="shared" si="73"/>
        <v>3.9378908777226674E-3</v>
      </c>
      <c r="G2495" s="78"/>
      <c r="H2495" t="str">
        <f>VLOOKUP(B2495,indexy!$A$44:$D$4817,3,FALSE)</f>
        <v>PFE UN Equity</v>
      </c>
      <c r="J2495" s="31"/>
    </row>
    <row r="2496" spans="1:10" hidden="1" outlineLevel="1" x14ac:dyDescent="0.25">
      <c r="A2496" s="966">
        <v>0.02</v>
      </c>
      <c r="B2496" s="939" t="s">
        <v>280</v>
      </c>
      <c r="C2496" s="967">
        <v>41.866999999999997</v>
      </c>
      <c r="D2496" s="737">
        <f>VLOOKUP(H2496,indexy!$C$44:$D$585,2,FALSE)</f>
        <v>69.180000000000007</v>
      </c>
      <c r="E2496" s="742">
        <f t="shared" si="72"/>
        <v>0.65237537917691757</v>
      </c>
      <c r="F2496" s="946">
        <f t="shared" si="73"/>
        <v>1.3047507583538351E-2</v>
      </c>
      <c r="G2496" s="78"/>
      <c r="H2496" t="str">
        <f>VLOOKUP(B2496,indexy!$A$44:$D$4817,3,FALSE)</f>
        <v>AKZA NA Equity</v>
      </c>
      <c r="J2496" s="31"/>
    </row>
    <row r="2497" spans="1:10" hidden="1" outlineLevel="1" x14ac:dyDescent="0.25">
      <c r="A2497" s="966">
        <v>0.03</v>
      </c>
      <c r="B2497" s="939" t="s">
        <v>51</v>
      </c>
      <c r="C2497" s="967">
        <v>54.505000000000003</v>
      </c>
      <c r="D2497" s="737">
        <f>VLOOKUP(H2497,indexy!$C$44:$D$585,2,FALSE)</f>
        <v>71.930000000000007</v>
      </c>
      <c r="E2497" s="742">
        <f t="shared" si="72"/>
        <v>0.31969544078524903</v>
      </c>
      <c r="F2497" s="946">
        <f t="shared" si="73"/>
        <v>9.590863223557471E-3</v>
      </c>
      <c r="G2497" s="78"/>
      <c r="H2497" t="str">
        <f>VLOOKUP(B2497,indexy!$A$44:$D$4817,3,FALSE)</f>
        <v>SGO FP Equity</v>
      </c>
      <c r="J2497" s="31"/>
    </row>
    <row r="2498" spans="1:10" hidden="1" outlineLevel="1" x14ac:dyDescent="0.25">
      <c r="A2498" s="968">
        <v>0.03</v>
      </c>
      <c r="B2498" s="969" t="s">
        <v>3022</v>
      </c>
      <c r="C2498" s="970">
        <v>7153</v>
      </c>
      <c r="D2498" s="715">
        <f>VLOOKUP(H2498,indexy!$C$44:$D$585,2,FALSE)</f>
        <v>4203</v>
      </c>
      <c r="E2498" s="748">
        <f t="shared" si="72"/>
        <v>-0.41241437159233885</v>
      </c>
      <c r="F2498" s="1023">
        <f t="shared" si="73"/>
        <v>-1.2372431147770166E-2</v>
      </c>
      <c r="G2498" s="78"/>
      <c r="H2498" t="str">
        <f>VLOOKUP(B2498,indexy!$A$44:$D$4817,3,FALSE)</f>
        <v>4502 JT Equity</v>
      </c>
      <c r="J2498" s="31"/>
    </row>
    <row r="2499" spans="1:10" hidden="1" outlineLevel="1" x14ac:dyDescent="0.25">
      <c r="A2499" s="749"/>
      <c r="B2499" s="750"/>
      <c r="C2499" s="727"/>
      <c r="D2499" s="727"/>
      <c r="E2499" s="716"/>
      <c r="F2499" s="770" t="e">
        <f>SUM(F2469:F2498)</f>
        <v>#N/A</v>
      </c>
      <c r="G2499" s="78"/>
      <c r="J2499" s="31"/>
    </row>
    <row r="2500" spans="1:10" hidden="1" outlineLevel="1" x14ac:dyDescent="0.25">
      <c r="A2500" s="749"/>
      <c r="B2500" s="750"/>
      <c r="C2500" s="727"/>
      <c r="D2500" s="727"/>
      <c r="E2500" s="716"/>
      <c r="F2500" s="770"/>
      <c r="G2500" s="78"/>
      <c r="J2500" s="31"/>
    </row>
    <row r="2501" spans="1:10" hidden="1" outlineLevel="1" x14ac:dyDescent="0.25">
      <c r="A2501" s="935" t="s">
        <v>2660</v>
      </c>
      <c r="B2501" s="944">
        <v>38961</v>
      </c>
      <c r="C2501" s="727">
        <v>100</v>
      </c>
      <c r="D2501" s="727">
        <v>108.22920000000001</v>
      </c>
      <c r="E2501" s="716">
        <f>IF(D2501="",E2500,D2501/C2501-1)</f>
        <v>8.2292000000000032E-2</v>
      </c>
      <c r="F2501" s="731">
        <f>E2501</f>
        <v>8.2292000000000032E-2</v>
      </c>
      <c r="G2501" s="78"/>
      <c r="J2501" s="31"/>
    </row>
    <row r="2502" spans="1:10" hidden="1" outlineLevel="1" x14ac:dyDescent="0.25">
      <c r="A2502" s="935" t="s">
        <v>2661</v>
      </c>
      <c r="B2502" s="944">
        <v>39052</v>
      </c>
      <c r="C2502" s="727">
        <v>100</v>
      </c>
      <c r="D2502" s="727">
        <v>114.33799999999999</v>
      </c>
      <c r="E2502" s="716">
        <f t="shared" ref="E2502:E2516" si="74">IF(D2502="",E2501,D2502/C2502-1)</f>
        <v>0.14337999999999984</v>
      </c>
      <c r="F2502" s="731">
        <f t="shared" ref="F2502:F2516" si="75">E2502</f>
        <v>0.14337999999999984</v>
      </c>
      <c r="G2502" s="78"/>
      <c r="J2502" s="31"/>
    </row>
    <row r="2503" spans="1:10" hidden="1" outlineLevel="1" x14ac:dyDescent="0.25">
      <c r="A2503" s="935" t="s">
        <v>2304</v>
      </c>
      <c r="B2503" s="944">
        <v>39142</v>
      </c>
      <c r="C2503" s="727">
        <v>100</v>
      </c>
      <c r="D2503" s="727">
        <v>119.96120000000001</v>
      </c>
      <c r="E2503" s="716">
        <f t="shared" si="74"/>
        <v>0.19961200000000012</v>
      </c>
      <c r="F2503" s="731">
        <f t="shared" si="75"/>
        <v>0.19961200000000012</v>
      </c>
      <c r="G2503" s="78"/>
      <c r="J2503" s="31"/>
    </row>
    <row r="2504" spans="1:10" hidden="1" outlineLevel="1" x14ac:dyDescent="0.25">
      <c r="A2504" s="935" t="s">
        <v>2305</v>
      </c>
      <c r="B2504" s="944">
        <v>39234</v>
      </c>
      <c r="C2504" s="727">
        <v>100</v>
      </c>
      <c r="D2504" s="727">
        <v>124.8314</v>
      </c>
      <c r="E2504" s="716">
        <f t="shared" si="74"/>
        <v>0.24831399999999992</v>
      </c>
      <c r="F2504" s="731">
        <f t="shared" si="75"/>
        <v>0.24831399999999992</v>
      </c>
      <c r="G2504" s="78"/>
      <c r="J2504" s="31"/>
    </row>
    <row r="2505" spans="1:10" hidden="1" outlineLevel="1" x14ac:dyDescent="0.25">
      <c r="A2505" s="935" t="s">
        <v>2306</v>
      </c>
      <c r="B2505" s="944">
        <v>39326</v>
      </c>
      <c r="C2505" s="727">
        <v>100</v>
      </c>
      <c r="D2505" s="727">
        <v>122.7088</v>
      </c>
      <c r="E2505" s="716">
        <f t="shared" si="74"/>
        <v>0.22708799999999996</v>
      </c>
      <c r="F2505" s="731">
        <f t="shared" si="75"/>
        <v>0.22708799999999996</v>
      </c>
      <c r="G2505" s="78"/>
      <c r="J2505" s="31"/>
    </row>
    <row r="2506" spans="1:10" hidden="1" outlineLevel="1" x14ac:dyDescent="0.25">
      <c r="A2506" s="935" t="s">
        <v>2307</v>
      </c>
      <c r="B2506" s="944">
        <v>39417</v>
      </c>
      <c r="C2506" s="727">
        <v>100</v>
      </c>
      <c r="D2506" s="727">
        <v>119.72969999999999</v>
      </c>
      <c r="E2506" s="716">
        <f t="shared" si="74"/>
        <v>0.19729699999999983</v>
      </c>
      <c r="F2506" s="731">
        <f t="shared" si="75"/>
        <v>0.19729699999999983</v>
      </c>
      <c r="G2506" s="78"/>
      <c r="J2506" s="31"/>
    </row>
    <row r="2507" spans="1:10" hidden="1" outlineLevel="1" x14ac:dyDescent="0.25">
      <c r="A2507" s="935" t="s">
        <v>2308</v>
      </c>
      <c r="B2507" s="944">
        <v>39508</v>
      </c>
      <c r="C2507" s="727">
        <v>100</v>
      </c>
      <c r="D2507" s="727">
        <v>101.727</v>
      </c>
      <c r="E2507" s="716">
        <f t="shared" si="74"/>
        <v>1.7270000000000119E-2</v>
      </c>
      <c r="F2507" s="731">
        <f t="shared" si="75"/>
        <v>1.7270000000000119E-2</v>
      </c>
      <c r="G2507" s="78"/>
      <c r="J2507" s="31"/>
    </row>
    <row r="2508" spans="1:10" hidden="1" outlineLevel="1" x14ac:dyDescent="0.25">
      <c r="A2508" s="935" t="s">
        <v>2309</v>
      </c>
      <c r="B2508" s="944">
        <v>39600</v>
      </c>
      <c r="C2508" s="727">
        <v>100</v>
      </c>
      <c r="D2508" s="727">
        <v>90.863500000000002</v>
      </c>
      <c r="E2508" s="716">
        <f t="shared" si="74"/>
        <v>-9.136500000000003E-2</v>
      </c>
      <c r="F2508" s="731">
        <f t="shared" si="75"/>
        <v>-9.136500000000003E-2</v>
      </c>
      <c r="G2508" s="78"/>
      <c r="J2508" s="31"/>
    </row>
    <row r="2509" spans="1:10" hidden="1" outlineLevel="1" x14ac:dyDescent="0.25">
      <c r="A2509" s="935" t="s">
        <v>2310</v>
      </c>
      <c r="B2509" s="944">
        <v>39692</v>
      </c>
      <c r="C2509" s="727">
        <v>100</v>
      </c>
      <c r="D2509" s="727">
        <v>87.571200000000005</v>
      </c>
      <c r="E2509" s="716">
        <f t="shared" si="74"/>
        <v>-0.12428799999999995</v>
      </c>
      <c r="F2509" s="731">
        <f t="shared" si="75"/>
        <v>-0.12428799999999995</v>
      </c>
      <c r="G2509" s="78"/>
      <c r="J2509" s="31"/>
    </row>
    <row r="2510" spans="1:10" hidden="1" outlineLevel="1" x14ac:dyDescent="0.25">
      <c r="A2510" s="935" t="s">
        <v>1543</v>
      </c>
      <c r="B2510" s="944">
        <v>39783</v>
      </c>
      <c r="C2510" s="727">
        <v>100</v>
      </c>
      <c r="D2510" s="727">
        <v>70.880399999999995</v>
      </c>
      <c r="E2510" s="716">
        <f t="shared" si="74"/>
        <v>-0.29119600000000001</v>
      </c>
      <c r="F2510" s="731">
        <f t="shared" si="75"/>
        <v>-0.29119600000000001</v>
      </c>
      <c r="G2510" s="78"/>
      <c r="J2510" s="31"/>
    </row>
    <row r="2511" spans="1:10" hidden="1" outlineLevel="1" x14ac:dyDescent="0.25">
      <c r="A2511" s="935" t="s">
        <v>1544</v>
      </c>
      <c r="B2511" s="944">
        <v>39873</v>
      </c>
      <c r="C2511" s="727">
        <v>100</v>
      </c>
      <c r="D2511" s="727">
        <v>56.420200000000001</v>
      </c>
      <c r="E2511" s="716">
        <f t="shared" si="74"/>
        <v>-0.43579800000000002</v>
      </c>
      <c r="F2511" s="731">
        <f t="shared" si="75"/>
        <v>-0.43579800000000002</v>
      </c>
      <c r="G2511" s="78"/>
      <c r="J2511" s="31"/>
    </row>
    <row r="2512" spans="1:10" hidden="1" outlineLevel="1" x14ac:dyDescent="0.25">
      <c r="A2512" s="935" t="s">
        <v>1545</v>
      </c>
      <c r="B2512" s="944">
        <v>39965</v>
      </c>
      <c r="C2512" s="727">
        <v>100</v>
      </c>
      <c r="D2512" s="727">
        <v>63.846699999999998</v>
      </c>
      <c r="E2512" s="716">
        <f t="shared" si="74"/>
        <v>-0.36153299999999999</v>
      </c>
      <c r="F2512" s="731">
        <f t="shared" si="75"/>
        <v>-0.36153299999999999</v>
      </c>
      <c r="G2512" s="78"/>
      <c r="J2512" s="31"/>
    </row>
    <row r="2513" spans="1:14" hidden="1" outlineLevel="1" x14ac:dyDescent="0.25">
      <c r="A2513" s="935" t="s">
        <v>1546</v>
      </c>
      <c r="B2513" s="944">
        <v>40057</v>
      </c>
      <c r="C2513" s="727">
        <v>100</v>
      </c>
      <c r="D2513" s="727">
        <v>77.266000000000005</v>
      </c>
      <c r="E2513" s="716">
        <f t="shared" si="74"/>
        <v>-0.22733999999999999</v>
      </c>
      <c r="F2513" s="731">
        <f t="shared" si="75"/>
        <v>-0.22733999999999999</v>
      </c>
      <c r="G2513" s="78"/>
      <c r="J2513" s="31"/>
    </row>
    <row r="2514" spans="1:14" hidden="1" outlineLevel="1" x14ac:dyDescent="0.25">
      <c r="A2514" s="935" t="s">
        <v>1547</v>
      </c>
      <c r="B2514" s="944">
        <v>40148</v>
      </c>
      <c r="C2514" s="727">
        <v>100</v>
      </c>
      <c r="D2514" s="727">
        <v>80.294300000000007</v>
      </c>
      <c r="E2514" s="716">
        <f t="shared" si="74"/>
        <v>-0.19705699999999993</v>
      </c>
      <c r="F2514" s="731">
        <f t="shared" si="75"/>
        <v>-0.19705699999999993</v>
      </c>
      <c r="G2514" s="78"/>
      <c r="J2514" s="31"/>
    </row>
    <row r="2515" spans="1:14" hidden="1" outlineLevel="1" x14ac:dyDescent="0.25">
      <c r="A2515" s="935" t="s">
        <v>1548</v>
      </c>
      <c r="B2515" s="944">
        <v>40238</v>
      </c>
      <c r="C2515" s="727">
        <v>100</v>
      </c>
      <c r="D2515" s="727">
        <v>80.705799999999996</v>
      </c>
      <c r="E2515" s="716">
        <f t="shared" si="74"/>
        <v>-0.19294200000000006</v>
      </c>
      <c r="F2515" s="731">
        <f t="shared" si="75"/>
        <v>-0.19294200000000006</v>
      </c>
      <c r="G2515" s="78"/>
      <c r="H2515" s="412" t="s">
        <v>1837</v>
      </c>
      <c r="J2515" s="31"/>
    </row>
    <row r="2516" spans="1:14" hidden="1" outlineLevel="1" x14ac:dyDescent="0.25">
      <c r="A2516" s="935" t="s">
        <v>1549</v>
      </c>
      <c r="B2516" s="944">
        <v>40330</v>
      </c>
      <c r="C2516" s="727">
        <v>100</v>
      </c>
      <c r="D2516" s="727"/>
      <c r="E2516" s="716">
        <f t="shared" si="74"/>
        <v>-0.19294200000000006</v>
      </c>
      <c r="F2516" s="731">
        <f t="shared" si="75"/>
        <v>-0.19294200000000006</v>
      </c>
      <c r="G2516" s="78"/>
      <c r="H2516" s="261">
        <f>AVERAGE(F2501:F2516)</f>
        <v>-6.2450500000000006E-2</v>
      </c>
      <c r="J2516" s="31"/>
    </row>
    <row r="2517" spans="1:14" collapsed="1" x14ac:dyDescent="0.25">
      <c r="A2517" s="3801" t="s">
        <v>1590</v>
      </c>
      <c r="B2517" s="3802"/>
      <c r="C2517" s="3802"/>
      <c r="D2517" s="3802"/>
      <c r="E2517" s="721"/>
      <c r="F2517" s="722">
        <f>MAX(AVERAGE(F2501:F2516),4%)</f>
        <v>0.04</v>
      </c>
      <c r="G2517" s="97" t="s">
        <v>781</v>
      </c>
      <c r="J2517" s="31"/>
    </row>
    <row r="2518" spans="1:14" x14ac:dyDescent="0.25">
      <c r="A2518" s="1"/>
      <c r="B2518" s="1"/>
      <c r="C2518" s="1"/>
      <c r="D2518" s="1"/>
      <c r="E2518" s="1"/>
      <c r="F2518" s="1848"/>
      <c r="G2518" s="78"/>
      <c r="J2518" s="31"/>
    </row>
    <row r="2519" spans="1:14" hidden="1" outlineLevel="1" x14ac:dyDescent="0.25">
      <c r="A2519" s="689" t="s">
        <v>113</v>
      </c>
      <c r="B2519" s="689" t="s">
        <v>114</v>
      </c>
      <c r="C2519" s="689" t="s">
        <v>112</v>
      </c>
      <c r="D2519" s="689" t="s">
        <v>116</v>
      </c>
      <c r="E2519" s="689" t="s">
        <v>117</v>
      </c>
      <c r="F2519" s="1188" t="s">
        <v>121</v>
      </c>
      <c r="G2519" s="78"/>
      <c r="J2519" s="31"/>
    </row>
    <row r="2520" spans="1:14" hidden="1" outlineLevel="1" x14ac:dyDescent="0.25">
      <c r="A2520" s="690">
        <v>1</v>
      </c>
      <c r="B2520" s="691" t="s">
        <v>252</v>
      </c>
      <c r="C2520" s="692"/>
      <c r="D2520" s="692"/>
      <c r="E2520" s="693"/>
      <c r="F2520" s="694"/>
      <c r="G2520" s="78"/>
      <c r="J2520" s="31"/>
    </row>
    <row r="2521" spans="1:14" hidden="1" outlineLevel="1" x14ac:dyDescent="0.25">
      <c r="A2521" s="695"/>
      <c r="B2521" s="695"/>
      <c r="C2521" s="696"/>
      <c r="D2521" s="697"/>
      <c r="E2521" s="698"/>
      <c r="F2521" s="699"/>
      <c r="G2521" s="78"/>
      <c r="J2521" s="31"/>
    </row>
    <row r="2522" spans="1:14" hidden="1" outlineLevel="1" x14ac:dyDescent="0.25">
      <c r="A2522" s="689" t="s">
        <v>4156</v>
      </c>
      <c r="B2522" s="689" t="s">
        <v>4153</v>
      </c>
      <c r="C2522" s="700" t="s">
        <v>112</v>
      </c>
      <c r="D2522" s="689" t="s">
        <v>116</v>
      </c>
      <c r="E2522" s="689" t="s">
        <v>4154</v>
      </c>
      <c r="F2522" s="1021" t="s">
        <v>2519</v>
      </c>
      <c r="G2522" s="78"/>
      <c r="J2522" s="31"/>
    </row>
    <row r="2523" spans="1:14" hidden="1" outlineLevel="1" x14ac:dyDescent="0.25">
      <c r="A2523" s="734">
        <v>0.02</v>
      </c>
      <c r="B2523" s="735" t="s">
        <v>1995</v>
      </c>
      <c r="C2523" s="807">
        <v>46.756</v>
      </c>
      <c r="D2523" s="737">
        <v>52.585999999999999</v>
      </c>
      <c r="E2523" s="817">
        <f>D2523/C2523-1</f>
        <v>0.12468987937377007</v>
      </c>
      <c r="F2523" s="1021">
        <f>IF(E2523&gt;0,27%,E2523)*A2523</f>
        <v>5.4000000000000003E-3</v>
      </c>
      <c r="G2523" s="78"/>
      <c r="H2523" t="str">
        <f>VLOOKUP(B2523,indexy!$A$44:$D$157,3,FALSE)</f>
        <v>ABT UN Equity</v>
      </c>
      <c r="J2523" s="31"/>
      <c r="M2523" s="12"/>
      <c r="N2523" s="12"/>
    </row>
    <row r="2524" spans="1:14" hidden="1" outlineLevel="1" x14ac:dyDescent="0.25">
      <c r="A2524" s="849">
        <v>0.02</v>
      </c>
      <c r="B2524" s="740" t="s">
        <v>3239</v>
      </c>
      <c r="C2524" s="809">
        <v>62.689</v>
      </c>
      <c r="D2524" s="737">
        <v>62.991</v>
      </c>
      <c r="E2524" s="818">
        <f t="shared" ref="E2524:E2551" si="76">D2524/C2524-1</f>
        <v>4.817432085373774E-3</v>
      </c>
      <c r="F2524" s="946">
        <f t="shared" ref="F2524:F2551" si="77">IF(E2524&gt;0,27%,E2524)*A2524</f>
        <v>5.4000000000000003E-3</v>
      </c>
      <c r="G2524" s="78"/>
      <c r="H2524" t="str">
        <f>VLOOKUP(B2524,indexy!$A$44:$D$157,3,FALSE)</f>
        <v>PG UN Equity</v>
      </c>
      <c r="I2524" s="12"/>
      <c r="J2524" s="31"/>
      <c r="M2524" s="12"/>
      <c r="N2524" s="12"/>
    </row>
    <row r="2525" spans="1:14" hidden="1" outlineLevel="1" x14ac:dyDescent="0.25">
      <c r="A2525" s="849">
        <v>0.02</v>
      </c>
      <c r="B2525" s="740" t="s">
        <v>1993</v>
      </c>
      <c r="C2525" s="809">
        <v>78.268000000000001</v>
      </c>
      <c r="D2525" s="737">
        <f>20.959+52.391</f>
        <v>73.349999999999994</v>
      </c>
      <c r="E2525" s="818">
        <f t="shared" si="76"/>
        <v>-6.2835386109265645E-2</v>
      </c>
      <c r="F2525" s="946">
        <f t="shared" si="77"/>
        <v>-1.256707722185313E-3</v>
      </c>
      <c r="G2525" s="78"/>
      <c r="H2525" t="str">
        <f>VLOOKUP(B2525,indexy!$A$44:$D$157,3,FALSE)</f>
        <v>MO UN Equity</v>
      </c>
      <c r="I2525" s="39" t="s">
        <v>3533</v>
      </c>
      <c r="J2525" s="114"/>
      <c r="K2525" s="12"/>
      <c r="L2525" s="12"/>
      <c r="M2525" s="12"/>
      <c r="N2525" s="12"/>
    </row>
    <row r="2526" spans="1:14" hidden="1" outlineLevel="1" x14ac:dyDescent="0.25">
      <c r="A2526" s="849">
        <v>0.08</v>
      </c>
      <c r="B2526" s="740" t="s">
        <v>44</v>
      </c>
      <c r="C2526" s="971">
        <v>5.3647</v>
      </c>
      <c r="D2526" s="737">
        <v>2.8014999999999999</v>
      </c>
      <c r="E2526" s="818">
        <f t="shared" si="76"/>
        <v>-0.47778999757675178</v>
      </c>
      <c r="F2526" s="946">
        <f t="shared" si="77"/>
        <v>-3.822319980614014E-2</v>
      </c>
      <c r="G2526" s="78"/>
      <c r="H2526" t="str">
        <f>VLOOKUP(B2526,indexy!$A$44:$D$232,3,FALSE)</f>
        <v>ISP IM Equity</v>
      </c>
      <c r="I2526" s="12"/>
      <c r="J2526" s="114"/>
      <c r="K2526" s="12"/>
      <c r="L2526" s="12"/>
      <c r="M2526" s="12"/>
      <c r="N2526" s="12"/>
    </row>
    <row r="2527" spans="1:14" hidden="1" outlineLevel="1" x14ac:dyDescent="0.25">
      <c r="A2527" s="849">
        <v>0.02</v>
      </c>
      <c r="B2527" s="740" t="s">
        <v>157</v>
      </c>
      <c r="C2527" s="809">
        <v>12.0954</v>
      </c>
      <c r="D2527" s="737">
        <v>10.44</v>
      </c>
      <c r="E2527" s="818">
        <f t="shared" si="76"/>
        <v>-0.13686194751723801</v>
      </c>
      <c r="F2527" s="946">
        <f t="shared" si="77"/>
        <v>-2.7372389503447603E-3</v>
      </c>
      <c r="G2527" s="78"/>
      <c r="H2527" t="str">
        <f>VLOOKUP(B2527,indexy!$A$44:$D$157,3,FALSE)</f>
        <v>SAN SM Equity</v>
      </c>
      <c r="I2527" s="119"/>
      <c r="J2527" s="114"/>
      <c r="K2527" s="12"/>
      <c r="L2527" s="12"/>
      <c r="M2527" s="12"/>
      <c r="N2527" s="12"/>
    </row>
    <row r="2528" spans="1:14" hidden="1" outlineLevel="1" x14ac:dyDescent="0.25">
      <c r="A2528" s="849">
        <v>0.06</v>
      </c>
      <c r="B2528" s="740" t="s">
        <v>1994</v>
      </c>
      <c r="C2528" s="809">
        <v>54.356000000000002</v>
      </c>
      <c r="D2528" s="737">
        <v>18.672999999999998</v>
      </c>
      <c r="E2528" s="818">
        <f t="shared" si="76"/>
        <v>-0.65646846714254181</v>
      </c>
      <c r="F2528" s="946">
        <f t="shared" si="77"/>
        <v>-3.9388108028552506E-2</v>
      </c>
      <c r="G2528" s="78"/>
      <c r="H2528" t="str">
        <f>VLOOKUP(B2528,indexy!$A$44:$D$157,3,FALSE)</f>
        <v>BAC UN Equity</v>
      </c>
      <c r="I2528" s="120"/>
      <c r="J2528" s="119"/>
      <c r="K2528" s="119"/>
      <c r="L2528" s="119"/>
      <c r="M2528" s="12"/>
      <c r="N2528" s="12"/>
    </row>
    <row r="2529" spans="1:14" hidden="1" outlineLevel="1" x14ac:dyDescent="0.25">
      <c r="A2529" s="849">
        <v>0.03</v>
      </c>
      <c r="B2529" s="740" t="s">
        <v>873</v>
      </c>
      <c r="C2529" s="809">
        <v>6.8575999999999997</v>
      </c>
      <c r="D2529" s="737">
        <v>3.6594500000000001</v>
      </c>
      <c r="E2529" s="818">
        <f t="shared" si="76"/>
        <v>-0.46636578394773676</v>
      </c>
      <c r="F2529" s="946">
        <f t="shared" si="77"/>
        <v>-1.3990973518432101E-2</v>
      </c>
      <c r="G2529" s="78"/>
      <c r="H2529" t="str">
        <f>VLOOKUP(B2529,indexy!$A$44:$D$157,3,FALSE)</f>
        <v>BARC LN Equity</v>
      </c>
      <c r="I2529" s="12"/>
      <c r="J2529" s="121"/>
      <c r="K2529" s="122"/>
      <c r="L2529" s="123"/>
      <c r="M2529" s="12"/>
      <c r="N2529" s="12"/>
    </row>
    <row r="2530" spans="1:14" hidden="1" outlineLevel="1" x14ac:dyDescent="0.25">
      <c r="A2530" s="849">
        <v>0.04</v>
      </c>
      <c r="B2530" s="740" t="s">
        <v>4377</v>
      </c>
      <c r="C2530" s="809">
        <v>24.521999999999998</v>
      </c>
      <c r="D2530" s="737">
        <v>26.238</v>
      </c>
      <c r="E2530" s="818">
        <f t="shared" si="76"/>
        <v>6.9977978957670661E-2</v>
      </c>
      <c r="F2530" s="946">
        <f t="shared" si="77"/>
        <v>1.0800000000000001E-2</v>
      </c>
      <c r="G2530" s="78"/>
      <c r="H2530" t="str">
        <f>VLOOKUP(B2530,indexy!$A$44:$D$157,3,FALSE)</f>
        <v>BMY UN Equity</v>
      </c>
      <c r="I2530" s="12"/>
      <c r="J2530" s="114"/>
      <c r="K2530" s="12"/>
      <c r="L2530" s="12"/>
      <c r="M2530" s="12"/>
      <c r="N2530" s="12"/>
    </row>
    <row r="2531" spans="1:14" hidden="1" outlineLevel="1" x14ac:dyDescent="0.25">
      <c r="A2531" s="849">
        <v>0.02</v>
      </c>
      <c r="B2531" s="740" t="s">
        <v>1714</v>
      </c>
      <c r="C2531" s="809">
        <v>31.499400000000001</v>
      </c>
      <c r="D2531" s="737">
        <v>13.342499999999999</v>
      </c>
      <c r="E2531" s="818">
        <f t="shared" si="76"/>
        <v>-0.57642050324768102</v>
      </c>
      <c r="F2531" s="946">
        <f t="shared" si="77"/>
        <v>-1.152841006495362E-2</v>
      </c>
      <c r="G2531" s="78"/>
      <c r="H2531" t="str">
        <f>VLOOKUP(B2531,indexy!$A$44:$D$157,3,FALSE)</f>
        <v>ACA FP Equity</v>
      </c>
      <c r="I2531" s="12"/>
      <c r="J2531" s="114"/>
      <c r="K2531" s="12"/>
      <c r="L2531" s="12"/>
      <c r="M2531" s="12"/>
      <c r="N2531" s="12"/>
    </row>
    <row r="2532" spans="1:14" hidden="1" outlineLevel="1" x14ac:dyDescent="0.25">
      <c r="A2532" s="849">
        <v>0.06</v>
      </c>
      <c r="B2532" s="740" t="s">
        <v>2629</v>
      </c>
      <c r="C2532" s="809">
        <v>12.648999999999999</v>
      </c>
      <c r="D2532" s="737">
        <v>10.0547</v>
      </c>
      <c r="E2532" s="818">
        <f t="shared" si="76"/>
        <v>-0.20509921732943304</v>
      </c>
      <c r="F2532" s="946">
        <f t="shared" si="77"/>
        <v>-1.2305953039765982E-2</v>
      </c>
      <c r="G2532" s="78"/>
      <c r="H2532" t="str">
        <f>VLOOKUP(B2532,indexy!$A$44:$D$157,3,FALSE)</f>
        <v>DTE GY Equity</v>
      </c>
      <c r="I2532" s="12"/>
      <c r="J2532" s="114"/>
      <c r="K2532" s="12"/>
      <c r="L2532" s="12"/>
      <c r="M2532" s="12"/>
      <c r="N2532" s="12"/>
    </row>
    <row r="2533" spans="1:14" hidden="1" outlineLevel="1" x14ac:dyDescent="0.25">
      <c r="A2533" s="849">
        <v>0.06</v>
      </c>
      <c r="B2533" s="740" t="s">
        <v>4387</v>
      </c>
      <c r="C2533" s="809">
        <f>93.084/3</f>
        <v>31.028000000000002</v>
      </c>
      <c r="D2533" s="737">
        <v>28.083500000000001</v>
      </c>
      <c r="E2533" s="818">
        <f t="shared" si="76"/>
        <v>-9.4898156503803066E-2</v>
      </c>
      <c r="F2533" s="946">
        <f t="shared" si="77"/>
        <v>-5.6938893902281837E-3</v>
      </c>
      <c r="G2533" s="78"/>
      <c r="H2533" t="str">
        <f>VLOOKUP(B2533,indexy!$A$44:$D$157,3,FALSE)</f>
        <v>EOAN GY Equity</v>
      </c>
      <c r="I2533" s="12"/>
      <c r="J2533" s="114"/>
      <c r="K2533" s="12"/>
      <c r="L2533" s="12"/>
      <c r="M2533" s="12"/>
      <c r="N2533" s="12"/>
    </row>
    <row r="2534" spans="1:14" hidden="1" outlineLevel="1" x14ac:dyDescent="0.25">
      <c r="A2534" s="849">
        <v>0.06</v>
      </c>
      <c r="B2534" s="740" t="s">
        <v>3798</v>
      </c>
      <c r="C2534" s="809">
        <v>6.3289</v>
      </c>
      <c r="D2534" s="737">
        <v>4.1717500000000003</v>
      </c>
      <c r="E2534" s="818">
        <f t="shared" si="76"/>
        <v>-0.3408412204332506</v>
      </c>
      <c r="F2534" s="946">
        <f t="shared" si="77"/>
        <v>-2.0450473225995035E-2</v>
      </c>
      <c r="G2534" s="78"/>
      <c r="H2534" t="str">
        <f>VLOOKUP(B2534,indexy!$A$44:$D$157,3,FALSE)</f>
        <v>ENEL IM Equity</v>
      </c>
      <c r="I2534" s="12"/>
      <c r="J2534" s="114"/>
      <c r="K2534" s="12"/>
      <c r="L2534" s="12"/>
      <c r="M2534" s="12"/>
      <c r="N2534" s="12"/>
    </row>
    <row r="2535" spans="1:14" hidden="1" outlineLevel="1" x14ac:dyDescent="0.25">
      <c r="A2535" s="849">
        <v>0.03</v>
      </c>
      <c r="B2535" s="740" t="s">
        <v>3092</v>
      </c>
      <c r="C2535" s="809">
        <v>46.442999999999998</v>
      </c>
      <c r="D2535" s="737">
        <v>49.151000000000003</v>
      </c>
      <c r="E2535" s="818">
        <f t="shared" si="76"/>
        <v>5.8308033503434498E-2</v>
      </c>
      <c r="F2535" s="946">
        <f t="shared" si="77"/>
        <v>8.0999999999999996E-3</v>
      </c>
      <c r="G2535" s="78"/>
      <c r="H2535" t="e">
        <f>VLOOKUP(B2535,indexy!$A$44:$D$157,3,FALSE)</f>
        <v>#N/A</v>
      </c>
      <c r="I2535" s="12"/>
      <c r="J2535" s="114"/>
      <c r="K2535" s="12"/>
      <c r="L2535" s="12"/>
    </row>
    <row r="2536" spans="1:14" hidden="1" outlineLevel="1" x14ac:dyDescent="0.25">
      <c r="A2536" s="849">
        <v>0.06</v>
      </c>
      <c r="B2536" s="740" t="s">
        <v>2630</v>
      </c>
      <c r="C2536" s="809">
        <v>18.611000000000001</v>
      </c>
      <c r="D2536" s="737">
        <v>17.497499999999999</v>
      </c>
      <c r="E2536" s="818">
        <f t="shared" si="76"/>
        <v>-5.9830207941540037E-2</v>
      </c>
      <c r="F2536" s="946">
        <f t="shared" si="77"/>
        <v>-3.5898124764924019E-3</v>
      </c>
      <c r="G2536" s="78"/>
      <c r="H2536" t="e">
        <f>VLOOKUP(B2536,indexy!$A$44:$D$157,3,FALSE)</f>
        <v>#N/A</v>
      </c>
      <c r="J2536" s="114"/>
      <c r="K2536" s="12"/>
      <c r="L2536" s="12"/>
    </row>
    <row r="2537" spans="1:14" hidden="1" outlineLevel="1" x14ac:dyDescent="0.25">
      <c r="A2537" s="849">
        <v>0.04</v>
      </c>
      <c r="B2537" s="740" t="s">
        <v>1771</v>
      </c>
      <c r="C2537" s="809">
        <v>8.7143999999999995</v>
      </c>
      <c r="D2537" s="737">
        <v>6.8845999999999998</v>
      </c>
      <c r="E2537" s="818">
        <f t="shared" si="76"/>
        <v>-0.20997429541907642</v>
      </c>
      <c r="F2537" s="946">
        <f t="shared" si="77"/>
        <v>-8.3989718167630564E-3</v>
      </c>
      <c r="G2537" s="78"/>
      <c r="H2537" t="str">
        <f>VLOOKUP(B2537,indexy!$A$44:$D$157,3,FALSE)</f>
        <v>HSBA LN Equity</v>
      </c>
      <c r="J2537" s="31"/>
    </row>
    <row r="2538" spans="1:14" hidden="1" outlineLevel="1" x14ac:dyDescent="0.25">
      <c r="A2538" s="849">
        <v>0.02</v>
      </c>
      <c r="B2538" s="740" t="s">
        <v>1526</v>
      </c>
      <c r="C2538" s="809">
        <v>86.775000000000006</v>
      </c>
      <c r="D2538" s="737">
        <v>37.243000000000002</v>
      </c>
      <c r="E2538" s="818">
        <f t="shared" si="76"/>
        <v>-0.5708095649668683</v>
      </c>
      <c r="F2538" s="946">
        <f t="shared" si="77"/>
        <v>-1.1416191299337367E-2</v>
      </c>
      <c r="G2538" s="78"/>
      <c r="H2538" t="str">
        <f>VLOOKUP(B2538,indexy!$A$44:$D$157,3,FALSE)</f>
        <v>KBC BB Equity</v>
      </c>
      <c r="J2538" s="31"/>
    </row>
    <row r="2539" spans="1:14" hidden="1" outlineLevel="1" x14ac:dyDescent="0.25">
      <c r="A2539" s="849">
        <v>0.02</v>
      </c>
      <c r="B2539" s="740" t="s">
        <v>874</v>
      </c>
      <c r="C2539" s="809">
        <v>2.6065</v>
      </c>
      <c r="D2539" s="737">
        <v>2.3136000000000001</v>
      </c>
      <c r="E2539" s="818">
        <f t="shared" si="76"/>
        <v>-0.11237291386917314</v>
      </c>
      <c r="F2539" s="946">
        <f t="shared" si="77"/>
        <v>-2.2474582773834629E-3</v>
      </c>
      <c r="G2539" s="78"/>
      <c r="H2539" t="str">
        <f>VLOOKUP(B2539,indexy!$A$44:$D$157,3,FALSE)</f>
        <v>KGF LN Equity</v>
      </c>
      <c r="I2539" s="37"/>
      <c r="J2539" s="31"/>
    </row>
    <row r="2540" spans="1:14" hidden="1" outlineLevel="1" x14ac:dyDescent="0.25">
      <c r="A2540" s="849">
        <v>0.02</v>
      </c>
      <c r="B2540" s="740" t="s">
        <v>1772</v>
      </c>
      <c r="C2540" s="809">
        <v>126.55800000000001</v>
      </c>
      <c r="D2540" s="737">
        <v>121.9</v>
      </c>
      <c r="E2540" s="818">
        <f t="shared" si="76"/>
        <v>-3.6805259248723909E-2</v>
      </c>
      <c r="F2540" s="946">
        <f t="shared" si="77"/>
        <v>-7.3610518497447825E-4</v>
      </c>
      <c r="G2540" s="78"/>
      <c r="H2540" t="str">
        <f>VLOOKUP(B2540,indexy!$A$44:$D$157,3,FALSE)</f>
        <v>MUV2 GY Equity</v>
      </c>
      <c r="I2540" s="37"/>
      <c r="J2540" s="31"/>
    </row>
    <row r="2541" spans="1:14" hidden="1" outlineLevel="1" x14ac:dyDescent="0.25">
      <c r="A2541" s="849">
        <v>0.02</v>
      </c>
      <c r="B2541" s="740" t="s">
        <v>3238</v>
      </c>
      <c r="C2541" s="809">
        <v>71.335999999999999</v>
      </c>
      <c r="D2541" s="737">
        <v>63.408999999999999</v>
      </c>
      <c r="E2541" s="818">
        <f t="shared" si="76"/>
        <v>-0.11112201413031286</v>
      </c>
      <c r="F2541" s="946">
        <f t="shared" si="77"/>
        <v>-2.2224402826062574E-3</v>
      </c>
      <c r="G2541" s="78"/>
      <c r="H2541" t="str">
        <f>VLOOKUP(B2541,indexy!$A$44:$D$157,3,FALSE)</f>
        <v>PNC UN Equity</v>
      </c>
      <c r="J2541" s="31"/>
    </row>
    <row r="2542" spans="1:14" hidden="1" outlineLevel="1" x14ac:dyDescent="0.25">
      <c r="A2542" s="849">
        <v>0.02</v>
      </c>
      <c r="B2542" s="740" t="s">
        <v>3801</v>
      </c>
      <c r="C2542" s="809">
        <v>76.534000000000006</v>
      </c>
      <c r="D2542" s="737">
        <v>67.049000000000007</v>
      </c>
      <c r="E2542" s="818">
        <f t="shared" si="76"/>
        <v>-0.12393184728356021</v>
      </c>
      <c r="F2542" s="946">
        <f t="shared" si="77"/>
        <v>-2.4786369456712043E-3</v>
      </c>
      <c r="G2542" s="78"/>
      <c r="H2542" t="str">
        <f>VLOOKUP(B2542,indexy!$A$44:$D$157,3,FALSE)</f>
        <v>RWE GY Equity</v>
      </c>
      <c r="J2542" s="31"/>
    </row>
    <row r="2543" spans="1:14" hidden="1" outlineLevel="1" x14ac:dyDescent="0.25">
      <c r="A2543" s="849">
        <v>0.03</v>
      </c>
      <c r="B2543" s="740" t="s">
        <v>2166</v>
      </c>
      <c r="C2543" s="809">
        <v>113.94929999999999</v>
      </c>
      <c r="D2543" s="737">
        <v>46.163499999999999</v>
      </c>
      <c r="E2543" s="818">
        <f t="shared" si="76"/>
        <v>-0.59487684435095256</v>
      </c>
      <c r="F2543" s="946">
        <f t="shared" si="77"/>
        <v>-1.7846305330528577E-2</v>
      </c>
      <c r="G2543" s="78"/>
      <c r="H2543" t="str">
        <f>VLOOKUP(B2543,indexy!$A$44:$D$157,3,FALSE)</f>
        <v>GLE FP Equity</v>
      </c>
      <c r="J2543" s="31"/>
    </row>
    <row r="2544" spans="1:14" hidden="1" outlineLevel="1" x14ac:dyDescent="0.25">
      <c r="A2544" s="849">
        <v>0.06</v>
      </c>
      <c r="B2544" s="740" t="s">
        <v>1527</v>
      </c>
      <c r="C2544" s="809">
        <v>2.2837000000000001</v>
      </c>
      <c r="D2544" s="737">
        <v>1.0955999999999999</v>
      </c>
      <c r="E2544" s="818">
        <f t="shared" si="76"/>
        <v>-0.52025222227087631</v>
      </c>
      <c r="F2544" s="946">
        <f t="shared" si="77"/>
        <v>-3.1215133336252577E-2</v>
      </c>
      <c r="G2544" s="78"/>
      <c r="H2544" t="str">
        <f>VLOOKUP(B2544,indexy!$A$44:$D$157,3,FALSE)</f>
        <v>TIT IM Equity</v>
      </c>
      <c r="J2544" s="31"/>
    </row>
    <row r="2545" spans="1:16" hidden="1" outlineLevel="1" x14ac:dyDescent="0.25">
      <c r="A2545" s="849">
        <v>0.03</v>
      </c>
      <c r="B2545" s="740" t="s">
        <v>577</v>
      </c>
      <c r="C2545" s="809">
        <v>13.791</v>
      </c>
      <c r="D2545" s="737">
        <v>17.831</v>
      </c>
      <c r="E2545" s="818">
        <f t="shared" si="76"/>
        <v>0.29294467406279456</v>
      </c>
      <c r="F2545" s="946">
        <f t="shared" si="77"/>
        <v>8.0999999999999996E-3</v>
      </c>
      <c r="G2545" s="78"/>
      <c r="H2545" t="str">
        <f>VLOOKUP(B2545,indexy!$A$44:$D$157,3,FALSE)</f>
        <v>TEF SQ Equity</v>
      </c>
      <c r="J2545" s="31"/>
    </row>
    <row r="2546" spans="1:16" hidden="1" outlineLevel="1" x14ac:dyDescent="0.25">
      <c r="A2546" s="849">
        <v>0.02</v>
      </c>
      <c r="B2546" s="740" t="s">
        <v>583</v>
      </c>
      <c r="C2546" s="809">
        <v>3.8205</v>
      </c>
      <c r="D2546" s="737">
        <v>4.4159499999999996</v>
      </c>
      <c r="E2546" s="818">
        <f t="shared" si="76"/>
        <v>0.15585656327705788</v>
      </c>
      <c r="F2546" s="946">
        <f t="shared" si="77"/>
        <v>5.4000000000000003E-3</v>
      </c>
      <c r="G2546" s="78"/>
      <c r="H2546" t="str">
        <f>VLOOKUP(B2546,indexy!$A$44:$D$157,3,FALSE)</f>
        <v>TSCO LN Equity</v>
      </c>
      <c r="J2546" s="31"/>
    </row>
    <row r="2547" spans="1:16" hidden="1" outlineLevel="1" x14ac:dyDescent="0.25">
      <c r="A2547" s="849">
        <v>0.02</v>
      </c>
      <c r="B2547" s="740" t="s">
        <v>3551</v>
      </c>
      <c r="C2547" s="809">
        <v>6784</v>
      </c>
      <c r="D2547" s="737">
        <v>3741</v>
      </c>
      <c r="E2547" s="818">
        <f t="shared" si="76"/>
        <v>-0.44855542452830188</v>
      </c>
      <c r="F2547" s="946">
        <f t="shared" si="77"/>
        <v>-8.9711084905660377E-3</v>
      </c>
      <c r="G2547" s="78"/>
      <c r="H2547" t="str">
        <f>VLOOKUP(B2547,indexy!$A$44:$D$157,3,FALSE)</f>
        <v>7203 JT Equity</v>
      </c>
      <c r="J2547" s="31"/>
    </row>
    <row r="2548" spans="1:16" hidden="1" outlineLevel="1" x14ac:dyDescent="0.25">
      <c r="A2548" s="849">
        <v>0.04</v>
      </c>
      <c r="B2548" s="740" t="s">
        <v>2137</v>
      </c>
      <c r="C2548" s="809">
        <v>33.640999999999998</v>
      </c>
      <c r="D2548" s="737">
        <v>27.233000000000001</v>
      </c>
      <c r="E2548" s="818">
        <f t="shared" si="76"/>
        <v>-0.19048185250141192</v>
      </c>
      <c r="F2548" s="946">
        <f t="shared" si="77"/>
        <v>-7.6192741000564767E-3</v>
      </c>
      <c r="G2548" s="78"/>
      <c r="H2548" t="str">
        <f>VLOOKUP(B2548,indexy!$A$44:$D$157,3,FALSE)</f>
        <v>USB UN Equity</v>
      </c>
      <c r="J2548" s="31"/>
    </row>
    <row r="2549" spans="1:16" hidden="1" outlineLevel="1" x14ac:dyDescent="0.25">
      <c r="A2549" s="849">
        <v>0.03</v>
      </c>
      <c r="B2549" s="740" t="s">
        <v>579</v>
      </c>
      <c r="C2549" s="809">
        <v>1.2782500000000001</v>
      </c>
      <c r="D2549" s="737">
        <v>1.4998</v>
      </c>
      <c r="E2549" s="818">
        <f t="shared" si="76"/>
        <v>0.17332290240563264</v>
      </c>
      <c r="F2549" s="946">
        <f t="shared" si="77"/>
        <v>8.0999999999999996E-3</v>
      </c>
      <c r="G2549" s="78"/>
      <c r="H2549" t="str">
        <f>VLOOKUP(B2549,indexy!$A$44:$D$157,3,FALSE)</f>
        <v>VOD LN Equity</v>
      </c>
      <c r="J2549" s="31"/>
    </row>
    <row r="2550" spans="1:16" hidden="1" outlineLevel="1" x14ac:dyDescent="0.25">
      <c r="A2550" s="849">
        <v>0.03</v>
      </c>
      <c r="B2550" s="740" t="s">
        <v>3817</v>
      </c>
      <c r="C2550" s="809">
        <f>56.192*5.3213</f>
        <v>299.01448959999999</v>
      </c>
      <c r="D2550" s="737">
        <v>32.304000000000002</v>
      </c>
      <c r="E2550" s="818">
        <f t="shared" si="76"/>
        <v>-0.89196510161359077</v>
      </c>
      <c r="F2550" s="946">
        <f t="shared" si="77"/>
        <v>-2.6758953048407721E-2</v>
      </c>
      <c r="G2550" s="78"/>
      <c r="H2550" t="str">
        <f>VLOOKUP(B2550,indexy!$A$44:$D$393,3,FALSE)</f>
        <v>WFC UN Equity</v>
      </c>
      <c r="J2550" s="31"/>
    </row>
    <row r="2551" spans="1:16" hidden="1" outlineLevel="1" x14ac:dyDescent="0.25">
      <c r="A2551" s="739">
        <v>0.02</v>
      </c>
      <c r="B2551" s="740" t="s">
        <v>3017</v>
      </c>
      <c r="C2551" s="809">
        <v>20.893999999999998</v>
      </c>
      <c r="D2551" s="737">
        <v>4.4816000000000003</v>
      </c>
      <c r="E2551" s="818">
        <f t="shared" si="76"/>
        <v>-0.78550780128266484</v>
      </c>
      <c r="F2551" s="1023">
        <f t="shared" si="77"/>
        <v>-1.5710156025653298E-2</v>
      </c>
      <c r="G2551" s="78"/>
      <c r="H2551" t="e">
        <f>VLOOKUP(B2551,indexy!$A$44:$D$157,3,FALSE)</f>
        <v>#N/A</v>
      </c>
      <c r="J2551" s="31"/>
    </row>
    <row r="2552" spans="1:16" hidden="1" outlineLevel="1" x14ac:dyDescent="0.25">
      <c r="A2552" s="854"/>
      <c r="B2552" s="718"/>
      <c r="C2552" s="855"/>
      <c r="D2552" s="867"/>
      <c r="E2552" s="820"/>
      <c r="F2552" s="1828">
        <f>SUM(F2523:F2551)</f>
        <v>-0.23348550036129059</v>
      </c>
      <c r="G2552" s="78"/>
      <c r="J2552" s="31"/>
    </row>
    <row r="2553" spans="1:16" collapsed="1" x14ac:dyDescent="0.25">
      <c r="A2553" s="3801" t="s">
        <v>1591</v>
      </c>
      <c r="B2553" s="3802"/>
      <c r="C2553" s="3802"/>
      <c r="D2553" s="3802"/>
      <c r="E2553" s="821" t="s">
        <v>2722</v>
      </c>
      <c r="F2553" s="752">
        <f>MAX(F2552,0)</f>
        <v>0</v>
      </c>
      <c r="G2553" s="97" t="s">
        <v>781</v>
      </c>
      <c r="J2553" s="31"/>
    </row>
    <row r="2554" spans="1:16" x14ac:dyDescent="0.25">
      <c r="A2554" s="1"/>
      <c r="B2554" s="1"/>
      <c r="C2554" s="1"/>
      <c r="D2554" s="1"/>
      <c r="E2554" s="1"/>
      <c r="F2554" s="1848"/>
      <c r="G2554" s="78"/>
      <c r="J2554" s="31"/>
    </row>
    <row r="2555" spans="1:16" hidden="1" outlineLevel="1" x14ac:dyDescent="0.25">
      <c r="A2555" s="689" t="s">
        <v>113</v>
      </c>
      <c r="B2555" s="689" t="s">
        <v>114</v>
      </c>
      <c r="C2555" s="689" t="s">
        <v>112</v>
      </c>
      <c r="D2555" s="689" t="s">
        <v>116</v>
      </c>
      <c r="E2555" s="689" t="s">
        <v>117</v>
      </c>
      <c r="F2555" s="1188" t="s">
        <v>121</v>
      </c>
      <c r="G2555" s="78"/>
      <c r="J2555" s="31"/>
    </row>
    <row r="2556" spans="1:16" hidden="1" outlineLevel="1" x14ac:dyDescent="0.25">
      <c r="A2556" s="690">
        <v>1</v>
      </c>
      <c r="B2556" s="691" t="s">
        <v>252</v>
      </c>
      <c r="C2556" s="692"/>
      <c r="D2556" s="692"/>
      <c r="E2556" s="693"/>
      <c r="F2556" s="694"/>
      <c r="G2556" s="78"/>
      <c r="J2556" s="31"/>
    </row>
    <row r="2557" spans="1:16" hidden="1" outlineLevel="1" x14ac:dyDescent="0.25">
      <c r="A2557" s="706"/>
      <c r="B2557" s="695"/>
      <c r="C2557" s="696"/>
      <c r="D2557" s="697" t="s">
        <v>3702</v>
      </c>
      <c r="E2557" s="698">
        <v>42460</v>
      </c>
      <c r="F2557" s="699"/>
      <c r="G2557" s="78"/>
      <c r="J2557" s="31"/>
    </row>
    <row r="2558" spans="1:16" hidden="1" outlineLevel="1" x14ac:dyDescent="0.25">
      <c r="A2558" s="689" t="s">
        <v>4156</v>
      </c>
      <c r="B2558" s="689" t="s">
        <v>4153</v>
      </c>
      <c r="C2558" s="700" t="s">
        <v>112</v>
      </c>
      <c r="D2558" s="689" t="s">
        <v>4155</v>
      </c>
      <c r="E2558" s="689" t="s">
        <v>4154</v>
      </c>
      <c r="F2558" s="1021" t="s">
        <v>2519</v>
      </c>
      <c r="G2558" s="78"/>
      <c r="J2558" s="31"/>
    </row>
    <row r="2559" spans="1:16" hidden="1" outlineLevel="1" x14ac:dyDescent="0.25">
      <c r="A2559" s="734">
        <v>0.02</v>
      </c>
      <c r="B2559" s="735" t="s">
        <v>1995</v>
      </c>
      <c r="C2559" s="807">
        <v>47.414000000000001</v>
      </c>
      <c r="D2559" s="737">
        <v>51.14</v>
      </c>
      <c r="E2559" s="817">
        <v>7.858438435905013E-2</v>
      </c>
      <c r="F2559" s="1021">
        <v>1.5716876871810026E-3</v>
      </c>
      <c r="G2559" s="78"/>
      <c r="H2559" t="s">
        <v>2739</v>
      </c>
      <c r="J2559" t="s">
        <v>2040</v>
      </c>
      <c r="K2559" t="s">
        <v>609</v>
      </c>
      <c r="L2559" t="s">
        <v>1447</v>
      </c>
      <c r="N2559" s="302"/>
      <c r="O2559" s="21"/>
      <c r="P2559" s="21"/>
    </row>
    <row r="2560" spans="1:16" hidden="1" outlineLevel="1" x14ac:dyDescent="0.25">
      <c r="A2560" s="849">
        <v>0.03</v>
      </c>
      <c r="B2560" s="740" t="s">
        <v>1993</v>
      </c>
      <c r="C2560" s="809">
        <v>59.362000000000002</v>
      </c>
      <c r="D2560" s="737">
        <v>89.19</v>
      </c>
      <c r="E2560" s="818">
        <v>0.50247633165998451</v>
      </c>
      <c r="F2560" s="946">
        <v>1.5074289949799535E-2</v>
      </c>
      <c r="G2560" s="78"/>
      <c r="H2560" t="s">
        <v>2812</v>
      </c>
      <c r="I2560" s="39" t="s">
        <v>3533</v>
      </c>
      <c r="J2560" s="248" t="s">
        <v>2065</v>
      </c>
      <c r="K2560">
        <v>72.400300000000001</v>
      </c>
      <c r="L2560" s="37">
        <v>-0.27599699999999994</v>
      </c>
      <c r="N2560" s="302"/>
      <c r="O2560" s="21"/>
      <c r="P2560" s="21"/>
    </row>
    <row r="2561" spans="1:16" hidden="1" outlineLevel="1" x14ac:dyDescent="0.25">
      <c r="A2561" s="849">
        <v>0.03</v>
      </c>
      <c r="B2561" s="740" t="s">
        <v>157</v>
      </c>
      <c r="C2561" s="809">
        <v>12.37</v>
      </c>
      <c r="D2561" s="737">
        <v>6.2240000000000002</v>
      </c>
      <c r="E2561" s="818">
        <v>-0.49684721099434115</v>
      </c>
      <c r="F2561" s="946">
        <v>-1.4905416329830234E-2</v>
      </c>
      <c r="G2561" s="78"/>
      <c r="H2561" t="s">
        <v>730</v>
      </c>
      <c r="J2561" s="248" t="s">
        <v>2066</v>
      </c>
      <c r="K2561">
        <v>67.353099999999998</v>
      </c>
      <c r="L2561" s="37">
        <v>-0.32646900000000001</v>
      </c>
      <c r="N2561" s="302"/>
      <c r="O2561" s="21"/>
      <c r="P2561" s="21"/>
    </row>
    <row r="2562" spans="1:16" hidden="1" outlineLevel="1" x14ac:dyDescent="0.25">
      <c r="A2562" s="849">
        <v>0.05</v>
      </c>
      <c r="B2562" s="740" t="s">
        <v>873</v>
      </c>
      <c r="C2562" s="809">
        <v>696.66</v>
      </c>
      <c r="D2562" s="737">
        <v>161.35</v>
      </c>
      <c r="E2562" s="818">
        <v>-0.76839491286997963</v>
      </c>
      <c r="F2562" s="946">
        <v>-3.8419745643498981E-2</v>
      </c>
      <c r="G2562" s="78"/>
      <c r="H2562" t="s">
        <v>3495</v>
      </c>
      <c r="J2562" s="248" t="s">
        <v>3219</v>
      </c>
      <c r="K2562">
        <v>69.948700000000002</v>
      </c>
      <c r="L2562" s="37">
        <v>-0.30051300000000003</v>
      </c>
      <c r="N2562" s="302"/>
      <c r="O2562" s="21"/>
      <c r="P2562" s="21"/>
    </row>
    <row r="2563" spans="1:16" hidden="1" outlineLevel="1" x14ac:dyDescent="0.25">
      <c r="A2563" s="849">
        <v>0.03</v>
      </c>
      <c r="B2563" s="740" t="s">
        <v>4377</v>
      </c>
      <c r="C2563" s="809">
        <v>24.536000000000001</v>
      </c>
      <c r="D2563" s="737">
        <v>31.38</v>
      </c>
      <c r="E2563" s="818">
        <v>0.27893707205738494</v>
      </c>
      <c r="F2563" s="946">
        <v>8.3681121617215481E-3</v>
      </c>
      <c r="G2563" s="78"/>
      <c r="H2563" t="s">
        <v>4327</v>
      </c>
      <c r="J2563" s="248" t="s">
        <v>3220</v>
      </c>
      <c r="K2563">
        <v>71.502200000000002</v>
      </c>
      <c r="L2563" s="37">
        <v>-0.28497799999999995</v>
      </c>
      <c r="N2563" s="302"/>
      <c r="O2563" s="21"/>
      <c r="P2563" s="21"/>
    </row>
    <row r="2564" spans="1:16" hidden="1" outlineLevel="1" x14ac:dyDescent="0.25">
      <c r="A2564" s="849">
        <v>0.04</v>
      </c>
      <c r="B2564" s="740" t="s">
        <v>901</v>
      </c>
      <c r="C2564" s="809">
        <v>1439</v>
      </c>
      <c r="D2564" s="737">
        <v>2728.5</v>
      </c>
      <c r="E2564" s="818">
        <v>0.89610840861709518</v>
      </c>
      <c r="F2564" s="946">
        <v>3.5844336344683807E-2</v>
      </c>
      <c r="G2564" s="78"/>
      <c r="H2564" t="s">
        <v>531</v>
      </c>
      <c r="J2564" s="248" t="s">
        <v>3221</v>
      </c>
      <c r="K2564">
        <v>73.742000000000004</v>
      </c>
      <c r="L2564" s="37">
        <v>-0.26257999999999992</v>
      </c>
      <c r="N2564" s="302"/>
      <c r="O2564" s="21"/>
      <c r="P2564" s="21"/>
    </row>
    <row r="2565" spans="1:16" hidden="1" outlineLevel="1" x14ac:dyDescent="0.25">
      <c r="A2565" s="849">
        <v>0.02</v>
      </c>
      <c r="B2565" s="740" t="s">
        <v>1714</v>
      </c>
      <c r="C2565" s="809">
        <v>30.556899999999999</v>
      </c>
      <c r="D2565" s="737">
        <v>5.23</v>
      </c>
      <c r="E2565" s="818">
        <v>-0.8288438945050054</v>
      </c>
      <c r="F2565" s="946">
        <v>-1.6576877890100108E-2</v>
      </c>
      <c r="G2565" s="78"/>
      <c r="H2565" t="s">
        <v>4328</v>
      </c>
      <c r="J2565" s="248" t="s">
        <v>3222</v>
      </c>
      <c r="K2565">
        <v>72.147999999999996</v>
      </c>
      <c r="L2565" s="37">
        <v>-0.27851999999999999</v>
      </c>
      <c r="N2565" s="302"/>
      <c r="O2565" s="21"/>
      <c r="P2565" s="21"/>
    </row>
    <row r="2566" spans="1:16" hidden="1" outlineLevel="1" x14ac:dyDescent="0.25">
      <c r="A2566" s="849">
        <v>0.05</v>
      </c>
      <c r="B2566" s="740" t="s">
        <v>2629</v>
      </c>
      <c r="C2566" s="809">
        <v>12.773999999999999</v>
      </c>
      <c r="D2566" s="737">
        <v>8.8309999999999995</v>
      </c>
      <c r="E2566" s="818">
        <v>-0.3086738687959919</v>
      </c>
      <c r="F2566" s="946">
        <v>-1.5433693439799596E-2</v>
      </c>
      <c r="G2566" s="78"/>
      <c r="H2566" t="s">
        <v>1652</v>
      </c>
      <c r="J2566" s="248" t="s">
        <v>3223</v>
      </c>
      <c r="K2566">
        <v>74.347800000000007</v>
      </c>
      <c r="L2566" s="37">
        <v>-0.25652199999999992</v>
      </c>
      <c r="N2566" s="302"/>
      <c r="O2566" s="21"/>
      <c r="P2566" s="21"/>
    </row>
    <row r="2567" spans="1:16" hidden="1" outlineLevel="1" x14ac:dyDescent="0.25">
      <c r="A2567" s="849">
        <v>0.04</v>
      </c>
      <c r="B2567" s="740" t="s">
        <v>3017</v>
      </c>
      <c r="C2567" s="809">
        <v>21.204999999999998</v>
      </c>
      <c r="D2567" s="737">
        <v>1.4470000000000001</v>
      </c>
      <c r="E2567" s="818">
        <v>-0.93176137703371842</v>
      </c>
      <c r="F2567" s="946">
        <v>-3.7270455081348734E-2</v>
      </c>
      <c r="G2567" s="78"/>
      <c r="H2567" t="s">
        <v>1793</v>
      </c>
      <c r="J2567" s="248" t="s">
        <v>604</v>
      </c>
      <c r="K2567">
        <v>73.702600000000004</v>
      </c>
      <c r="L2567" s="37">
        <v>-0.26297399999999993</v>
      </c>
      <c r="N2567" s="302"/>
      <c r="O2567" s="21"/>
      <c r="P2567" s="21"/>
    </row>
    <row r="2568" spans="1:16" hidden="1" outlineLevel="1" x14ac:dyDescent="0.25">
      <c r="A2568" s="849">
        <v>0.02</v>
      </c>
      <c r="B2568" s="740" t="s">
        <v>4387</v>
      </c>
      <c r="C2568" s="809">
        <v>31.289000000000001</v>
      </c>
      <c r="D2568" s="737">
        <v>16.355</v>
      </c>
      <c r="E2568" s="818">
        <v>-0.47729233916072744</v>
      </c>
      <c r="F2568" s="946">
        <v>-9.545846783214549E-3</v>
      </c>
      <c r="G2568" s="78"/>
      <c r="H2568" t="s">
        <v>3744</v>
      </c>
      <c r="J2568" s="248" t="s">
        <v>605</v>
      </c>
      <c r="K2568">
        <v>71.719099999999997</v>
      </c>
      <c r="L2568" s="37">
        <v>-0.28280899999999998</v>
      </c>
      <c r="N2568" s="302"/>
      <c r="O2568" s="21"/>
      <c r="P2568" s="21"/>
    </row>
    <row r="2569" spans="1:16" hidden="1" outlineLevel="1" x14ac:dyDescent="0.25">
      <c r="A2569" s="849">
        <v>0.06</v>
      </c>
      <c r="B2569" s="740" t="s">
        <v>3798</v>
      </c>
      <c r="C2569" s="809">
        <v>6.33</v>
      </c>
      <c r="D2569" s="737">
        <v>3.3220000000000001</v>
      </c>
      <c r="E2569" s="818">
        <v>-0.47519747235387044</v>
      </c>
      <c r="F2569" s="946">
        <v>-2.8511848341232226E-2</v>
      </c>
      <c r="G2569" s="78"/>
      <c r="H2569" t="s">
        <v>4122</v>
      </c>
      <c r="J2569" s="248" t="s">
        <v>606</v>
      </c>
      <c r="K2569">
        <v>69.306600000000003</v>
      </c>
      <c r="L2569" s="37">
        <v>-0.30693399999999993</v>
      </c>
      <c r="M2569" s="39"/>
      <c r="N2569" s="302"/>
      <c r="O2569" s="21"/>
      <c r="P2569" s="21"/>
    </row>
    <row r="2570" spans="1:16" s="39" customFormat="1" hidden="1" outlineLevel="1" x14ac:dyDescent="0.25">
      <c r="A2570" s="849">
        <v>0.05</v>
      </c>
      <c r="B2570" s="740" t="s">
        <v>1176</v>
      </c>
      <c r="C2570" s="809">
        <v>27.759</v>
      </c>
      <c r="D2570" s="737">
        <v>1.3140000000000001</v>
      </c>
      <c r="E2570" s="818">
        <v>-0.95266400086458447</v>
      </c>
      <c r="F2570" s="946">
        <v>-4.7633200043229226E-2</v>
      </c>
      <c r="G2570" s="78"/>
      <c r="H2570" t="s">
        <v>3090</v>
      </c>
      <c r="J2570" s="248" t="s">
        <v>607</v>
      </c>
      <c r="K2570">
        <v>64.025599999999997</v>
      </c>
      <c r="L2570" s="37">
        <v>-0.35974400000000006</v>
      </c>
      <c r="M2570"/>
      <c r="N2570" s="302"/>
      <c r="O2570" s="21"/>
      <c r="P2570" s="12"/>
    </row>
    <row r="2571" spans="1:16" hidden="1" outlineLevel="1" x14ac:dyDescent="0.25">
      <c r="A2571" s="849">
        <v>0.06</v>
      </c>
      <c r="B2571" s="740" t="s">
        <v>2630</v>
      </c>
      <c r="C2571" s="809">
        <v>18.835999999999999</v>
      </c>
      <c r="D2571" s="737">
        <v>12.3</v>
      </c>
      <c r="E2571" s="818">
        <v>-0.34699511573582498</v>
      </c>
      <c r="F2571" s="946">
        <v>-2.0819706944149498E-2</v>
      </c>
      <c r="G2571" s="78"/>
      <c r="H2571" t="e">
        <v>#N/A</v>
      </c>
      <c r="J2571" s="248" t="s">
        <v>608</v>
      </c>
      <c r="K2571" s="39">
        <v>62.904699999999998</v>
      </c>
      <c r="L2571" s="37">
        <v>-0.37095299999999998</v>
      </c>
      <c r="N2571" s="302"/>
      <c r="O2571" s="21"/>
      <c r="P2571" s="21"/>
    </row>
    <row r="2572" spans="1:16" hidden="1" outlineLevel="1" x14ac:dyDescent="0.25">
      <c r="A2572" s="849">
        <v>0.04</v>
      </c>
      <c r="B2572" s="740" t="s">
        <v>1771</v>
      </c>
      <c r="C2572" s="809">
        <v>879.76</v>
      </c>
      <c r="D2572" s="737">
        <v>496.9</v>
      </c>
      <c r="E2572" s="818">
        <v>-0.43518686914613081</v>
      </c>
      <c r="F2572" s="946">
        <v>-1.7407474765845234E-2</v>
      </c>
      <c r="G2572" s="78"/>
      <c r="H2572" t="s">
        <v>4329</v>
      </c>
      <c r="J2572" s="310" t="s">
        <v>2465</v>
      </c>
      <c r="L2572" s="261">
        <v>-0.2974160833333333</v>
      </c>
      <c r="N2572" s="302"/>
      <c r="O2572" s="21"/>
      <c r="P2572" s="21"/>
    </row>
    <row r="2573" spans="1:16" hidden="1" outlineLevel="1" x14ac:dyDescent="0.25">
      <c r="A2573" s="849">
        <v>0.02</v>
      </c>
      <c r="B2573" s="740" t="s">
        <v>2588</v>
      </c>
      <c r="C2573" s="809">
        <v>27.43</v>
      </c>
      <c r="D2573" s="737">
        <v>5.3330000000000002</v>
      </c>
      <c r="E2573" s="818">
        <v>-0.80557783448778708</v>
      </c>
      <c r="F2573" s="946">
        <v>-1.6111556689755741E-2</v>
      </c>
      <c r="G2573" s="78"/>
      <c r="H2573" t="s">
        <v>4132</v>
      </c>
      <c r="J2573" s="248"/>
      <c r="N2573" s="302"/>
      <c r="O2573" s="21"/>
      <c r="P2573" s="21"/>
    </row>
    <row r="2574" spans="1:16" hidden="1" outlineLevel="1" x14ac:dyDescent="0.25">
      <c r="A2574" s="849">
        <v>0.02</v>
      </c>
      <c r="B2574" s="740" t="s">
        <v>1526</v>
      </c>
      <c r="C2574" s="809">
        <v>88.14</v>
      </c>
      <c r="D2574" s="737">
        <v>17.5</v>
      </c>
      <c r="E2574" s="818">
        <v>-0.80145223508055363</v>
      </c>
      <c r="F2574" s="946">
        <v>-1.6029044701611074E-2</v>
      </c>
      <c r="G2574" s="78"/>
      <c r="H2574" t="s">
        <v>4146</v>
      </c>
      <c r="J2574" s="248"/>
      <c r="N2574" s="302"/>
      <c r="O2574" s="21"/>
      <c r="P2574" s="21"/>
    </row>
    <row r="2575" spans="1:16" hidden="1" outlineLevel="1" x14ac:dyDescent="0.25">
      <c r="A2575" s="849">
        <v>0.03</v>
      </c>
      <c r="B2575" s="740" t="s">
        <v>1381</v>
      </c>
      <c r="C2575" s="809">
        <v>66.551000000000002</v>
      </c>
      <c r="D2575" s="737">
        <v>71.010000000000005</v>
      </c>
      <c r="E2575" s="818">
        <v>6.7001247163829269E-2</v>
      </c>
      <c r="F2575" s="946">
        <v>2.0100374149148782E-3</v>
      </c>
      <c r="G2575" s="78"/>
      <c r="H2575" t="s">
        <v>1383</v>
      </c>
      <c r="J2575" s="248"/>
      <c r="N2575" s="302"/>
      <c r="O2575" s="21"/>
      <c r="P2575" s="21"/>
    </row>
    <row r="2576" spans="1:16" hidden="1" outlineLevel="1" x14ac:dyDescent="0.25">
      <c r="A2576" s="849">
        <v>0.03</v>
      </c>
      <c r="B2576" s="740" t="s">
        <v>874</v>
      </c>
      <c r="C2576" s="809">
        <v>260.5</v>
      </c>
      <c r="D2576" s="737">
        <v>248.5</v>
      </c>
      <c r="E2576" s="818">
        <v>-4.606525911708248E-2</v>
      </c>
      <c r="F2576" s="946">
        <v>-1.3819577735124744E-3</v>
      </c>
      <c r="G2576" s="78"/>
      <c r="H2576" t="s">
        <v>4148</v>
      </c>
      <c r="J2576" s="248"/>
      <c r="N2576" s="302"/>
      <c r="O2576" s="21"/>
      <c r="P2576" s="21"/>
    </row>
    <row r="2577" spans="1:16" hidden="1" outlineLevel="1" x14ac:dyDescent="0.25">
      <c r="A2577" s="849">
        <v>0.02</v>
      </c>
      <c r="B2577" s="740" t="s">
        <v>2160</v>
      </c>
      <c r="C2577" s="809">
        <v>35.835999999999999</v>
      </c>
      <c r="D2577" s="737">
        <v>33.58</v>
      </c>
      <c r="E2577" s="818">
        <v>-6.2953454626632488E-2</v>
      </c>
      <c r="F2577" s="946">
        <v>-1.2590690925326498E-3</v>
      </c>
      <c r="G2577" s="78"/>
      <c r="H2577" t="s">
        <v>5507</v>
      </c>
      <c r="J2577" s="248"/>
      <c r="N2577" s="302"/>
      <c r="O2577" s="21"/>
      <c r="P2577" s="21"/>
    </row>
    <row r="2578" spans="1:16" hidden="1" outlineLevel="1" x14ac:dyDescent="0.25">
      <c r="A2578" s="849">
        <v>0.02</v>
      </c>
      <c r="B2578" s="740" t="s">
        <v>1772</v>
      </c>
      <c r="C2578" s="809">
        <v>127.414</v>
      </c>
      <c r="D2578" s="737">
        <v>93.55</v>
      </c>
      <c r="E2578" s="818">
        <v>-0.26577927072378238</v>
      </c>
      <c r="F2578" s="946">
        <v>-5.3155854144756477E-3</v>
      </c>
      <c r="G2578" s="78"/>
      <c r="H2578" t="s">
        <v>4330</v>
      </c>
      <c r="J2578" s="248"/>
      <c r="N2578" s="302"/>
      <c r="O2578" s="21"/>
      <c r="P2578" s="21"/>
    </row>
    <row r="2579" spans="1:16" hidden="1" outlineLevel="1" x14ac:dyDescent="0.25">
      <c r="A2579" s="849">
        <v>0.02</v>
      </c>
      <c r="B2579" s="740" t="s">
        <v>1414</v>
      </c>
      <c r="C2579" s="809">
        <v>27.666</v>
      </c>
      <c r="D2579" s="737">
        <v>17.68</v>
      </c>
      <c r="E2579" s="818">
        <v>-0.3609484565893154</v>
      </c>
      <c r="F2579" s="946">
        <v>-7.218969131786308E-3</v>
      </c>
      <c r="G2579" s="78"/>
      <c r="H2579" t="s">
        <v>2428</v>
      </c>
      <c r="J2579" s="248"/>
      <c r="N2579" s="302"/>
      <c r="O2579" s="21"/>
      <c r="P2579" s="21"/>
    </row>
    <row r="2580" spans="1:16" hidden="1" outlineLevel="1" x14ac:dyDescent="0.25">
      <c r="A2580" s="849">
        <v>0.02</v>
      </c>
      <c r="B2580" s="740" t="s">
        <v>3239</v>
      </c>
      <c r="C2580" s="809">
        <v>62.509</v>
      </c>
      <c r="D2580" s="737">
        <v>63.18</v>
      </c>
      <c r="E2580" s="818">
        <v>1.0734454238589652E-2</v>
      </c>
      <c r="F2580" s="946">
        <v>2.1468908477179305E-4</v>
      </c>
      <c r="G2580" s="78"/>
      <c r="H2580" t="s">
        <v>2815</v>
      </c>
      <c r="J2580" s="248"/>
      <c r="N2580" s="302"/>
      <c r="O2580" s="21"/>
      <c r="P2580" s="21"/>
    </row>
    <row r="2581" spans="1:16" hidden="1" outlineLevel="1" x14ac:dyDescent="0.25">
      <c r="A2581" s="849">
        <v>0.05</v>
      </c>
      <c r="B2581" s="740" t="s">
        <v>3801</v>
      </c>
      <c r="C2581" s="809">
        <v>77.471999999999994</v>
      </c>
      <c r="D2581" s="737">
        <v>27.72</v>
      </c>
      <c r="E2581" s="818">
        <v>-0.64219330855018586</v>
      </c>
      <c r="F2581" s="946">
        <v>-3.2109665427509294E-2</v>
      </c>
      <c r="G2581" s="78"/>
      <c r="H2581" t="s">
        <v>2819</v>
      </c>
      <c r="J2581" s="248"/>
      <c r="N2581" s="302"/>
      <c r="O2581" s="21"/>
      <c r="P2581" s="21"/>
    </row>
    <row r="2582" spans="1:16" hidden="1" outlineLevel="1" x14ac:dyDescent="0.25">
      <c r="A2582" s="849">
        <v>0.03</v>
      </c>
      <c r="B2582" s="740" t="s">
        <v>2166</v>
      </c>
      <c r="C2582" s="809">
        <v>116.273</v>
      </c>
      <c r="D2582" s="737">
        <v>20</v>
      </c>
      <c r="E2582" s="818">
        <v>-0.82799102113130307</v>
      </c>
      <c r="F2582" s="946">
        <v>-2.483973063393909E-2</v>
      </c>
      <c r="G2582" s="78"/>
      <c r="H2582" t="s">
        <v>4160</v>
      </c>
      <c r="J2582" s="248"/>
      <c r="N2582" s="302"/>
      <c r="O2582" s="21"/>
      <c r="P2582" s="21"/>
    </row>
    <row r="2583" spans="1:16" hidden="1" outlineLevel="1" x14ac:dyDescent="0.25">
      <c r="A2583" s="849">
        <v>0.05</v>
      </c>
      <c r="B2583" s="740" t="s">
        <v>1527</v>
      </c>
      <c r="C2583" s="809">
        <v>2.3056000000000001</v>
      </c>
      <c r="D2583" s="737">
        <v>0.81950000000000001</v>
      </c>
      <c r="E2583" s="818">
        <v>-0.64456106870229002</v>
      </c>
      <c r="F2583" s="946">
        <v>-3.22280534351145E-2</v>
      </c>
      <c r="G2583" s="78"/>
      <c r="H2583" t="s">
        <v>2803</v>
      </c>
      <c r="J2583" s="248"/>
      <c r="N2583" s="302"/>
      <c r="O2583" s="21"/>
      <c r="P2583" s="21"/>
    </row>
    <row r="2584" spans="1:16" hidden="1" outlineLevel="1" x14ac:dyDescent="0.25">
      <c r="A2584" s="849">
        <v>0.04</v>
      </c>
      <c r="B2584" s="740" t="s">
        <v>577</v>
      </c>
      <c r="C2584" s="809">
        <v>14.042999999999999</v>
      </c>
      <c r="D2584" s="737">
        <v>14.425000000000001</v>
      </c>
      <c r="E2584" s="818">
        <v>2.7202164779605686E-2</v>
      </c>
      <c r="F2584" s="946">
        <v>1.0880865911842275E-3</v>
      </c>
      <c r="G2584" s="78"/>
      <c r="H2584" t="s">
        <v>2804</v>
      </c>
      <c r="J2584" s="248"/>
      <c r="N2584" s="302"/>
      <c r="O2584" s="21"/>
      <c r="P2584" s="21"/>
    </row>
    <row r="2585" spans="1:16" hidden="1" outlineLevel="1" x14ac:dyDescent="0.25">
      <c r="A2585" s="849">
        <v>0.02</v>
      </c>
      <c r="B2585" s="740" t="s">
        <v>583</v>
      </c>
      <c r="C2585" s="809">
        <v>385.67999999999995</v>
      </c>
      <c r="D2585" s="737">
        <v>378</v>
      </c>
      <c r="E2585" s="818">
        <v>-1.9912881144990568E-2</v>
      </c>
      <c r="F2585" s="946">
        <v>-3.9825762289981138E-4</v>
      </c>
      <c r="G2585" s="78"/>
      <c r="H2585" t="s">
        <v>1594</v>
      </c>
      <c r="J2585" s="248"/>
      <c r="N2585" s="302"/>
      <c r="O2585" s="21"/>
      <c r="P2585" s="21"/>
    </row>
    <row r="2586" spans="1:16" hidden="1" outlineLevel="1" x14ac:dyDescent="0.25">
      <c r="A2586" s="849">
        <v>0.02</v>
      </c>
      <c r="B2586" s="740" t="s">
        <v>3551</v>
      </c>
      <c r="C2586" s="809">
        <v>6864</v>
      </c>
      <c r="D2586" s="737">
        <v>2688</v>
      </c>
      <c r="E2586" s="818">
        <v>-0.60839160839160833</v>
      </c>
      <c r="F2586" s="946">
        <v>-1.2167832167832167E-2</v>
      </c>
      <c r="G2586" s="78"/>
      <c r="H2586" t="s">
        <v>2806</v>
      </c>
      <c r="J2586" s="248"/>
      <c r="N2586" s="302"/>
      <c r="O2586" s="21"/>
      <c r="P2586" s="21"/>
    </row>
    <row r="2587" spans="1:16" hidden="1" outlineLevel="1" x14ac:dyDescent="0.25">
      <c r="A2587" s="849">
        <v>0.04</v>
      </c>
      <c r="B2587" s="740" t="s">
        <v>2137</v>
      </c>
      <c r="C2587" s="809">
        <v>33.564</v>
      </c>
      <c r="D2587" s="737">
        <v>23.54</v>
      </c>
      <c r="E2587" s="818">
        <v>-0.29865331903229653</v>
      </c>
      <c r="F2587" s="946">
        <v>-1.1946132761291861E-2</v>
      </c>
      <c r="G2587" s="78"/>
      <c r="H2587" t="s">
        <v>2123</v>
      </c>
      <c r="J2587" s="248"/>
      <c r="N2587" s="302"/>
      <c r="O2587" s="21"/>
      <c r="P2587" s="21"/>
    </row>
    <row r="2588" spans="1:16" hidden="1" outlineLevel="1" x14ac:dyDescent="0.25">
      <c r="A2588" s="739">
        <v>0.03</v>
      </c>
      <c r="B2588" s="740" t="s">
        <v>3817</v>
      </c>
      <c r="C2588" s="809">
        <v>296.34319699999998</v>
      </c>
      <c r="D2588" s="737">
        <v>24.12</v>
      </c>
      <c r="E2588" s="818">
        <v>-0.91860788354793921</v>
      </c>
      <c r="F2588" s="1023">
        <v>-2.7558236506438176E-2</v>
      </c>
      <c r="G2588" s="78"/>
      <c r="H2588" t="s">
        <v>1914</v>
      </c>
      <c r="J2588" s="31"/>
      <c r="N2588" s="302"/>
      <c r="O2588" s="21"/>
      <c r="P2588" s="21"/>
    </row>
    <row r="2589" spans="1:16" hidden="1" outlineLevel="1" x14ac:dyDescent="0.25">
      <c r="A2589" s="854"/>
      <c r="B2589" s="718"/>
      <c r="C2589" s="855"/>
      <c r="D2589" s="867"/>
      <c r="E2589" s="820"/>
      <c r="F2589" s="770">
        <v>-0.37091711738669036</v>
      </c>
      <c r="G2589" s="78"/>
      <c r="J2589" s="31"/>
      <c r="N2589" s="21"/>
      <c r="O2589" s="21"/>
      <c r="P2589" s="21"/>
    </row>
    <row r="2590" spans="1:16" collapsed="1" x14ac:dyDescent="0.25">
      <c r="A2590" s="3801" t="s">
        <v>1592</v>
      </c>
      <c r="B2590" s="3802"/>
      <c r="C2590" s="3802"/>
      <c r="D2590" s="3802"/>
      <c r="E2590" s="821" t="s">
        <v>2722</v>
      </c>
      <c r="F2590" s="752">
        <v>0</v>
      </c>
      <c r="G2590" s="97" t="s">
        <v>781</v>
      </c>
      <c r="H2590" s="37"/>
      <c r="J2590" s="31"/>
      <c r="N2590" s="21"/>
      <c r="O2590" s="21"/>
      <c r="P2590" s="21"/>
    </row>
    <row r="2591" spans="1:16" x14ac:dyDescent="0.25">
      <c r="A2591" s="1"/>
      <c r="B2591" s="1"/>
      <c r="C2591" s="1"/>
      <c r="D2591" s="1"/>
      <c r="E2591" s="1"/>
      <c r="F2591" s="1848"/>
      <c r="G2591" s="78"/>
      <c r="J2591" s="31"/>
      <c r="N2591" s="21"/>
      <c r="O2591" s="21"/>
      <c r="P2591" s="21"/>
    </row>
    <row r="2592" spans="1:16" hidden="1" outlineLevel="1" x14ac:dyDescent="0.25">
      <c r="A2592" s="689" t="s">
        <v>113</v>
      </c>
      <c r="B2592" s="689" t="s">
        <v>114</v>
      </c>
      <c r="C2592" s="689" t="s">
        <v>112</v>
      </c>
      <c r="D2592" s="689" t="s">
        <v>116</v>
      </c>
      <c r="E2592" s="689" t="s">
        <v>117</v>
      </c>
      <c r="F2592" s="1188" t="s">
        <v>121</v>
      </c>
      <c r="G2592" s="78"/>
      <c r="H2592" s="74"/>
      <c r="J2592" s="31"/>
    </row>
    <row r="2593" spans="1:21" hidden="1" outlineLevel="1" x14ac:dyDescent="0.25">
      <c r="A2593" s="690">
        <v>1</v>
      </c>
      <c r="B2593" s="691" t="s">
        <v>252</v>
      </c>
      <c r="C2593" s="692"/>
      <c r="D2593" s="692"/>
      <c r="E2593" s="693"/>
      <c r="F2593" s="694"/>
      <c r="G2593" s="78"/>
      <c r="J2593" s="31"/>
    </row>
    <row r="2594" spans="1:21" hidden="1" outlineLevel="1" x14ac:dyDescent="0.25">
      <c r="A2594" s="695"/>
      <c r="B2594" s="695"/>
      <c r="C2594" s="696"/>
      <c r="D2594" s="697" t="s">
        <v>3702</v>
      </c>
      <c r="E2594" s="698">
        <f>indexy!$B$2</f>
        <v>45379</v>
      </c>
      <c r="F2594" s="699"/>
      <c r="G2594" s="78"/>
      <c r="H2594" s="74"/>
      <c r="J2594" s="31"/>
    </row>
    <row r="2595" spans="1:21" ht="26.4" hidden="1" outlineLevel="1" x14ac:dyDescent="0.25">
      <c r="A2595" s="689" t="s">
        <v>4156</v>
      </c>
      <c r="B2595" s="689" t="s">
        <v>4153</v>
      </c>
      <c r="C2595" s="700" t="s">
        <v>112</v>
      </c>
      <c r="D2595" s="689" t="s">
        <v>4155</v>
      </c>
      <c r="E2595" s="689" t="s">
        <v>4154</v>
      </c>
      <c r="F2595" s="1021" t="s">
        <v>2519</v>
      </c>
      <c r="G2595" s="78"/>
      <c r="H2595" s="101"/>
      <c r="I2595" t="s">
        <v>2040</v>
      </c>
      <c r="J2595" t="s">
        <v>609</v>
      </c>
      <c r="K2595" t="s">
        <v>1447</v>
      </c>
      <c r="P2595" s="371" t="s">
        <v>4156</v>
      </c>
      <c r="Q2595" s="371" t="s">
        <v>4153</v>
      </c>
      <c r="R2595" s="352" t="s">
        <v>112</v>
      </c>
      <c r="S2595" s="390" t="s">
        <v>4155</v>
      </c>
      <c r="T2595" s="371" t="s">
        <v>4154</v>
      </c>
      <c r="U2595" s="372" t="s">
        <v>2519</v>
      </c>
    </row>
    <row r="2596" spans="1:21" hidden="1" outlineLevel="1" x14ac:dyDescent="0.25">
      <c r="A2596" s="734">
        <v>0.05</v>
      </c>
      <c r="B2596" s="735" t="s">
        <v>44</v>
      </c>
      <c r="C2596" s="807">
        <v>5.0734461166202314</v>
      </c>
      <c r="D2596" s="737">
        <v>1.19</v>
      </c>
      <c r="E2596" s="817">
        <f>D2596/C2596-1</f>
        <v>-0.76544542454059994</v>
      </c>
      <c r="F2596" s="1021">
        <f>E2596*A2596</f>
        <v>-3.8272271227030003E-2</v>
      </c>
      <c r="G2596" s="78"/>
      <c r="H2596" t="str">
        <f>VLOOKUP(B2596,indexy!$A$44:$D$232,3,FALSE)</f>
        <v>ISP IM Equity</v>
      </c>
      <c r="I2596" s="248" t="s">
        <v>2065</v>
      </c>
      <c r="J2596">
        <v>91.309600000000003</v>
      </c>
      <c r="K2596" s="37">
        <f t="shared" ref="K2596:K2607" si="78">J2596/100-1</f>
        <v>-8.6903999999999981E-2</v>
      </c>
      <c r="N2596">
        <v>91.309600000000003</v>
      </c>
      <c r="P2596" s="40">
        <v>0.05</v>
      </c>
      <c r="Q2596" s="375" t="s">
        <v>44</v>
      </c>
      <c r="R2596" s="376">
        <v>5.0734461166202314</v>
      </c>
      <c r="S2596" s="377">
        <v>1.19</v>
      </c>
      <c r="T2596" s="378">
        <f>S2596/R2596-1</f>
        <v>-0.76544542454059994</v>
      </c>
      <c r="U2596" s="379">
        <f>T2596*P2596</f>
        <v>-3.8272271227030003E-2</v>
      </c>
    </row>
    <row r="2597" spans="1:21" hidden="1" outlineLevel="1" x14ac:dyDescent="0.25">
      <c r="A2597" s="849">
        <v>0.05</v>
      </c>
      <c r="B2597" s="740" t="s">
        <v>874</v>
      </c>
      <c r="C2597" s="809">
        <f>2.611*100</f>
        <v>261.10000000000002</v>
      </c>
      <c r="D2597" s="737">
        <v>248.5</v>
      </c>
      <c r="E2597" s="818">
        <f t="shared" ref="E2597:E2615" si="79">D2597/C2597-1</f>
        <v>-4.8257372654155528E-2</v>
      </c>
      <c r="F2597" s="946">
        <f>E2597*A2597</f>
        <v>-2.4128686327077767E-3</v>
      </c>
      <c r="G2597" s="78"/>
      <c r="H2597" t="str">
        <f>VLOOKUP(B2597,indexy!$A$44:$D$232,3,FALSE)</f>
        <v>KGF LN Equity</v>
      </c>
      <c r="I2597" s="248" t="s">
        <v>2066</v>
      </c>
      <c r="J2597">
        <v>89.719200000000001</v>
      </c>
      <c r="K2597" s="37">
        <f t="shared" si="78"/>
        <v>-0.10280800000000001</v>
      </c>
      <c r="N2597">
        <v>89.719200000000001</v>
      </c>
      <c r="P2597" s="41">
        <v>0.05</v>
      </c>
      <c r="Q2597" s="380" t="s">
        <v>874</v>
      </c>
      <c r="R2597" s="381">
        <f>2.611*100</f>
        <v>261.10000000000002</v>
      </c>
      <c r="S2597" s="382">
        <v>248.5</v>
      </c>
      <c r="T2597" s="383">
        <f t="shared" ref="T2597:T2615" si="80">S2597/R2597-1</f>
        <v>-4.8257372654155528E-2</v>
      </c>
      <c r="U2597" s="384">
        <f>T2597*P2597</f>
        <v>-2.4128686327077767E-3</v>
      </c>
    </row>
    <row r="2598" spans="1:21" hidden="1" outlineLevel="1" x14ac:dyDescent="0.25">
      <c r="A2598" s="849">
        <v>0.05</v>
      </c>
      <c r="B2598" s="740" t="s">
        <v>2628</v>
      </c>
      <c r="C2598" s="809">
        <v>5.6493691312544252</v>
      </c>
      <c r="D2598" s="737">
        <v>0.80249999999999999</v>
      </c>
      <c r="E2598" s="818">
        <f t="shared" si="79"/>
        <v>-0.85794874058409998</v>
      </c>
      <c r="F2598" s="946">
        <f t="shared" ref="F2598:F2615" si="81">E2598*A2598</f>
        <v>-4.2897437029205003E-2</v>
      </c>
      <c r="G2598" s="78"/>
      <c r="H2598" t="e">
        <f>VLOOKUP(B2598,indexy!$A$44:$D$232,3,FALSE)</f>
        <v>#N/A</v>
      </c>
      <c r="I2598" s="248" t="s">
        <v>3219</v>
      </c>
      <c r="J2598">
        <v>91.656499999999994</v>
      </c>
      <c r="K2598" s="37">
        <f t="shared" si="78"/>
        <v>-8.3435000000000037E-2</v>
      </c>
      <c r="N2598">
        <v>91.656499999999994</v>
      </c>
      <c r="P2598" s="41">
        <v>0.05</v>
      </c>
      <c r="Q2598" s="380" t="s">
        <v>2628</v>
      </c>
      <c r="R2598" s="381">
        <v>5.6493691312544252</v>
      </c>
      <c r="S2598" s="382">
        <v>0.80249999999999999</v>
      </c>
      <c r="T2598" s="383">
        <f t="shared" si="80"/>
        <v>-0.85794874058409998</v>
      </c>
      <c r="U2598" s="384">
        <f t="shared" ref="U2598:U2615" si="82">T2598*P2598</f>
        <v>-4.2897437029205003E-2</v>
      </c>
    </row>
    <row r="2599" spans="1:21" hidden="1" outlineLevel="1" x14ac:dyDescent="0.25">
      <c r="A2599" s="849">
        <v>0.05</v>
      </c>
      <c r="B2599" s="740" t="s">
        <v>2629</v>
      </c>
      <c r="C2599" s="809">
        <v>12.722</v>
      </c>
      <c r="D2599" s="737">
        <v>8.8309999999999995</v>
      </c>
      <c r="E2599" s="818">
        <f t="shared" si="79"/>
        <v>-0.30584813708536396</v>
      </c>
      <c r="F2599" s="946">
        <f t="shared" si="81"/>
        <v>-1.5292406854268199E-2</v>
      </c>
      <c r="G2599" s="78"/>
      <c r="H2599" t="str">
        <f>VLOOKUP(B2599,indexy!$A$44:$D$232,3,FALSE)</f>
        <v>DTE GY Equity</v>
      </c>
      <c r="I2599" s="248" t="s">
        <v>3220</v>
      </c>
      <c r="J2599">
        <v>91.734300000000005</v>
      </c>
      <c r="K2599" s="37">
        <f t="shared" si="78"/>
        <v>-8.265699999999998E-2</v>
      </c>
      <c r="N2599">
        <v>91.734300000000005</v>
      </c>
      <c r="P2599" s="41">
        <v>0.05</v>
      </c>
      <c r="Q2599" s="380" t="s">
        <v>2629</v>
      </c>
      <c r="R2599" s="381">
        <v>12.722</v>
      </c>
      <c r="S2599" s="382">
        <v>8.8309999999999995</v>
      </c>
      <c r="T2599" s="383">
        <f t="shared" si="80"/>
        <v>-0.30584813708536396</v>
      </c>
      <c r="U2599" s="384">
        <f t="shared" si="82"/>
        <v>-1.5292406854268199E-2</v>
      </c>
    </row>
    <row r="2600" spans="1:21" hidden="1" outlineLevel="1" x14ac:dyDescent="0.25">
      <c r="A2600" s="849">
        <v>0.05</v>
      </c>
      <c r="B2600" s="740" t="s">
        <v>2630</v>
      </c>
      <c r="C2600" s="809">
        <v>18.742000000000001</v>
      </c>
      <c r="D2600" s="737">
        <v>12.3</v>
      </c>
      <c r="E2600" s="818">
        <f t="shared" si="79"/>
        <v>-0.34371998719453634</v>
      </c>
      <c r="F2600" s="946">
        <f t="shared" si="81"/>
        <v>-1.7185999359726818E-2</v>
      </c>
      <c r="G2600" s="78"/>
      <c r="H2600" t="e">
        <f>VLOOKUP(B2600,indexy!$A$44:$D$232,3,FALSE)</f>
        <v>#N/A</v>
      </c>
      <c r="I2600" s="248" t="s">
        <v>3221</v>
      </c>
      <c r="J2600">
        <v>92.396299999999997</v>
      </c>
      <c r="K2600" s="37">
        <f t="shared" si="78"/>
        <v>-7.6037000000000021E-2</v>
      </c>
      <c r="N2600">
        <v>92.396299999999997</v>
      </c>
      <c r="P2600" s="99">
        <v>0.05</v>
      </c>
      <c r="Q2600" s="380" t="s">
        <v>2630</v>
      </c>
      <c r="R2600" s="381">
        <v>18.742000000000001</v>
      </c>
      <c r="S2600" s="382">
        <v>12.3</v>
      </c>
      <c r="T2600" s="383">
        <f t="shared" si="80"/>
        <v>-0.34371998719453634</v>
      </c>
      <c r="U2600" s="384">
        <f t="shared" si="82"/>
        <v>-1.7185999359726818E-2</v>
      </c>
    </row>
    <row r="2601" spans="1:21" hidden="1" outlineLevel="1" x14ac:dyDescent="0.25">
      <c r="A2601" s="849">
        <v>0.05</v>
      </c>
      <c r="B2601" s="740" t="s">
        <v>2631</v>
      </c>
      <c r="C2601" s="809">
        <v>27.887</v>
      </c>
      <c r="D2601" s="737">
        <v>18.545000000000002</v>
      </c>
      <c r="E2601" s="818">
        <f t="shared" si="79"/>
        <v>-0.33499480044465157</v>
      </c>
      <c r="F2601" s="946">
        <f t="shared" si="81"/>
        <v>-1.6749740022232579E-2</v>
      </c>
      <c r="G2601" s="78"/>
      <c r="H2601" t="str">
        <f>VLOOKUP(B2601,indexy!$A$44:$D$232,3,FALSE)</f>
        <v>TKA GY Equity</v>
      </c>
      <c r="I2601" s="248" t="s">
        <v>3222</v>
      </c>
      <c r="J2601">
        <v>89.805099999999996</v>
      </c>
      <c r="K2601" s="37">
        <f t="shared" si="78"/>
        <v>-0.10194900000000007</v>
      </c>
      <c r="N2601">
        <v>89.805099999999996</v>
      </c>
      <c r="P2601" s="41">
        <v>0.05</v>
      </c>
      <c r="Q2601" s="380" t="s">
        <v>2631</v>
      </c>
      <c r="R2601" s="381">
        <v>27.887</v>
      </c>
      <c r="S2601" s="382">
        <v>18.545000000000002</v>
      </c>
      <c r="T2601" s="383">
        <f t="shared" si="80"/>
        <v>-0.33499480044465157</v>
      </c>
      <c r="U2601" s="384">
        <f t="shared" si="82"/>
        <v>-1.6749740022232579E-2</v>
      </c>
    </row>
    <row r="2602" spans="1:21" hidden="1" outlineLevel="1" x14ac:dyDescent="0.25">
      <c r="A2602" s="849">
        <v>0.05</v>
      </c>
      <c r="B2602" s="740" t="s">
        <v>4338</v>
      </c>
      <c r="C2602" s="809">
        <f>34.733*0.913785917</f>
        <v>31.738526255160998</v>
      </c>
      <c r="D2602" s="737">
        <v>22.44</v>
      </c>
      <c r="E2602" s="818">
        <f t="shared" si="79"/>
        <v>-0.29297284254491696</v>
      </c>
      <c r="F2602" s="946">
        <f t="shared" si="81"/>
        <v>-1.4648642127245849E-2</v>
      </c>
      <c r="G2602" s="78"/>
      <c r="H2602" t="str">
        <f>VLOOKUP(B2602,indexy!$A$44:$D$392,3,FALSE)</f>
        <v>ENGI FP Equity</v>
      </c>
      <c r="I2602" s="248" t="s">
        <v>3223</v>
      </c>
      <c r="J2602">
        <v>92.905000000000001</v>
      </c>
      <c r="K2602" s="37">
        <f t="shared" si="78"/>
        <v>-7.0949999999999958E-2</v>
      </c>
      <c r="N2602">
        <v>92.905000000000001</v>
      </c>
      <c r="P2602" s="41">
        <v>0.05</v>
      </c>
      <c r="Q2602" s="380" t="s">
        <v>4338</v>
      </c>
      <c r="R2602" s="381">
        <f>34.733*0.913785917</f>
        <v>31.738526255160998</v>
      </c>
      <c r="S2602" s="382">
        <v>22.44</v>
      </c>
      <c r="T2602" s="383">
        <f t="shared" si="80"/>
        <v>-0.29297284254491696</v>
      </c>
      <c r="U2602" s="384">
        <f t="shared" si="82"/>
        <v>-1.4648642127245849E-2</v>
      </c>
    </row>
    <row r="2603" spans="1:21" hidden="1" outlineLevel="1" x14ac:dyDescent="0.25">
      <c r="A2603" s="849">
        <v>0.05</v>
      </c>
      <c r="B2603" s="740" t="s">
        <v>3406</v>
      </c>
      <c r="C2603" s="809">
        <f>9.533*100</f>
        <v>953.3</v>
      </c>
      <c r="D2603" s="737">
        <v>1232</v>
      </c>
      <c r="E2603" s="818">
        <f t="shared" si="79"/>
        <v>0.29235287947131017</v>
      </c>
      <c r="F2603" s="946">
        <f t="shared" si="81"/>
        <v>1.4617643973565509E-2</v>
      </c>
      <c r="G2603" s="78"/>
      <c r="H2603" t="str">
        <f>VLOOKUP(B2603,indexy!$A$44:$D$232,3,FALSE)</f>
        <v>DGE LN Equity</v>
      </c>
      <c r="I2603" s="248" t="s">
        <v>604</v>
      </c>
      <c r="J2603">
        <v>91.986999999999995</v>
      </c>
      <c r="K2603" s="37">
        <f t="shared" si="78"/>
        <v>-8.0130000000000035E-2</v>
      </c>
      <c r="N2603">
        <v>91.986999999999995</v>
      </c>
      <c r="P2603" s="41">
        <v>0.05</v>
      </c>
      <c r="Q2603" s="380" t="s">
        <v>3406</v>
      </c>
      <c r="R2603" s="381">
        <f>9.533*100</f>
        <v>953.3</v>
      </c>
      <c r="S2603" s="382">
        <v>1232</v>
      </c>
      <c r="T2603" s="383">
        <f t="shared" si="80"/>
        <v>0.29235287947131017</v>
      </c>
      <c r="U2603" s="384">
        <f t="shared" si="82"/>
        <v>1.4617643973565509E-2</v>
      </c>
    </row>
    <row r="2604" spans="1:21" hidden="1" outlineLevel="1" x14ac:dyDescent="0.25">
      <c r="A2604" s="849">
        <v>0.05</v>
      </c>
      <c r="B2604" s="740" t="s">
        <v>4387</v>
      </c>
      <c r="C2604" s="809">
        <f>93.324/3</f>
        <v>31.108000000000001</v>
      </c>
      <c r="D2604" s="737">
        <v>16.355</v>
      </c>
      <c r="E2604" s="818">
        <f t="shared" si="79"/>
        <v>-0.47425099652822422</v>
      </c>
      <c r="F2604" s="946">
        <f t="shared" si="81"/>
        <v>-2.3712549826411213E-2</v>
      </c>
      <c r="G2604" s="78"/>
      <c r="H2604" t="str">
        <f>VLOOKUP(B2604,indexy!$A$44:$D$232,3,FALSE)</f>
        <v>EOAN GY Equity</v>
      </c>
      <c r="I2604" s="248" t="s">
        <v>605</v>
      </c>
      <c r="J2604">
        <v>90.226500000000001</v>
      </c>
      <c r="K2604" s="37">
        <f t="shared" si="78"/>
        <v>-9.7735000000000016E-2</v>
      </c>
      <c r="N2604">
        <v>90.226500000000001</v>
      </c>
      <c r="P2604" s="41">
        <v>0.05</v>
      </c>
      <c r="Q2604" s="380" t="s">
        <v>4387</v>
      </c>
      <c r="R2604" s="381">
        <f>93.324/3</f>
        <v>31.108000000000001</v>
      </c>
      <c r="S2604" s="382">
        <v>16.355</v>
      </c>
      <c r="T2604" s="383">
        <f t="shared" si="80"/>
        <v>-0.47425099652822422</v>
      </c>
      <c r="U2604" s="384">
        <f t="shared" si="82"/>
        <v>-2.3712549826411213E-2</v>
      </c>
    </row>
    <row r="2605" spans="1:21" hidden="1" outlineLevel="1" x14ac:dyDescent="0.25">
      <c r="A2605" s="849">
        <v>0.05</v>
      </c>
      <c r="B2605" s="740" t="s">
        <v>3381</v>
      </c>
      <c r="C2605" s="809">
        <v>154.73590386166688</v>
      </c>
      <c r="D2605" s="737">
        <v>127</v>
      </c>
      <c r="E2605" s="818">
        <f t="shared" si="79"/>
        <v>-0.17924672405999997</v>
      </c>
      <c r="F2605" s="946">
        <f t="shared" si="81"/>
        <v>-8.9623362029999983E-3</v>
      </c>
      <c r="G2605" s="78"/>
      <c r="H2605" t="str">
        <f>VLOOKUP(B2605,indexy!$A$44:$D$232,3,FALSE)</f>
        <v>EQNR NO Equity</v>
      </c>
      <c r="I2605" s="248" t="s">
        <v>606</v>
      </c>
      <c r="J2605">
        <v>86.433300000000003</v>
      </c>
      <c r="K2605" s="37">
        <f t="shared" si="78"/>
        <v>-0.13566699999999998</v>
      </c>
      <c r="N2605">
        <v>86.433300000000003</v>
      </c>
      <c r="P2605" s="41">
        <v>0.05</v>
      </c>
      <c r="Q2605" s="380" t="s">
        <v>3381</v>
      </c>
      <c r="R2605" s="381">
        <v>154.73590386166688</v>
      </c>
      <c r="S2605" s="382">
        <v>127</v>
      </c>
      <c r="T2605" s="383">
        <f t="shared" si="80"/>
        <v>-0.17924672405999997</v>
      </c>
      <c r="U2605" s="384">
        <f t="shared" si="82"/>
        <v>-8.9623362029999983E-3</v>
      </c>
    </row>
    <row r="2606" spans="1:21" hidden="1" outlineLevel="1" x14ac:dyDescent="0.25">
      <c r="A2606" s="849">
        <v>0.05</v>
      </c>
      <c r="B2606" s="740" t="s">
        <v>3801</v>
      </c>
      <c r="C2606" s="809">
        <v>77.302000000000007</v>
      </c>
      <c r="D2606" s="737">
        <v>27.72</v>
      </c>
      <c r="E2606" s="818">
        <f t="shared" si="79"/>
        <v>-0.64140643191637992</v>
      </c>
      <c r="F2606" s="946">
        <f t="shared" si="81"/>
        <v>-3.2070321595818997E-2</v>
      </c>
      <c r="G2606" s="78"/>
      <c r="H2606" t="str">
        <f>VLOOKUP(B2606,indexy!$A$44:$D$232,3,FALSE)</f>
        <v>RWE GY Equity</v>
      </c>
      <c r="I2606" s="248" t="s">
        <v>607</v>
      </c>
      <c r="J2606">
        <v>77.987700000000004</v>
      </c>
      <c r="K2606" s="37">
        <f t="shared" si="78"/>
        <v>-0.22012299999999996</v>
      </c>
      <c r="N2606">
        <v>77.987700000000004</v>
      </c>
      <c r="P2606" s="41">
        <v>0.05</v>
      </c>
      <c r="Q2606" s="380" t="s">
        <v>3801</v>
      </c>
      <c r="R2606" s="381">
        <v>77.302000000000007</v>
      </c>
      <c r="S2606" s="382">
        <v>27.72</v>
      </c>
      <c r="T2606" s="383">
        <f t="shared" si="80"/>
        <v>-0.64140643191637992</v>
      </c>
      <c r="U2606" s="384">
        <f t="shared" si="82"/>
        <v>-3.2070321595818997E-2</v>
      </c>
    </row>
    <row r="2607" spans="1:21" hidden="1" outlineLevel="1" x14ac:dyDescent="0.25">
      <c r="A2607" s="849">
        <v>0.05</v>
      </c>
      <c r="B2607" s="740" t="s">
        <v>507</v>
      </c>
      <c r="C2607" s="809">
        <v>19.31424493681569</v>
      </c>
      <c r="D2607" s="737">
        <v>23.754999999999999</v>
      </c>
      <c r="E2607" s="818">
        <f t="shared" si="79"/>
        <v>0.22992123573620016</v>
      </c>
      <c r="F2607" s="946">
        <f t="shared" si="81"/>
        <v>1.1496061786810008E-2</v>
      </c>
      <c r="G2607" s="78"/>
      <c r="H2607" t="str">
        <f>VLOOKUP(B2607,indexy!$A$44:$D$232,3,FALSE)</f>
        <v>UNA NA Equity</v>
      </c>
      <c r="I2607" s="248" t="s">
        <v>608</v>
      </c>
      <c r="J2607">
        <v>76.636600000000001</v>
      </c>
      <c r="K2607" s="37">
        <f t="shared" si="78"/>
        <v>-0.23363400000000001</v>
      </c>
      <c r="N2607">
        <v>76.636600000000001</v>
      </c>
      <c r="P2607" s="41">
        <v>0.05</v>
      </c>
      <c r="Q2607" s="380" t="s">
        <v>507</v>
      </c>
      <c r="R2607" s="381">
        <v>19.31424493681569</v>
      </c>
      <c r="S2607" s="382">
        <v>23.754999999999999</v>
      </c>
      <c r="T2607" s="383">
        <f t="shared" si="80"/>
        <v>0.22992123573620016</v>
      </c>
      <c r="U2607" s="384">
        <f t="shared" si="82"/>
        <v>1.1496061786810008E-2</v>
      </c>
    </row>
    <row r="2608" spans="1:21" hidden="1" outlineLevel="1" x14ac:dyDescent="0.25">
      <c r="A2608" s="849">
        <v>0.05</v>
      </c>
      <c r="B2608" s="740" t="s">
        <v>3382</v>
      </c>
      <c r="C2608" s="809">
        <f>315.75/2</f>
        <v>157.875</v>
      </c>
      <c r="D2608" s="737">
        <v>206.7</v>
      </c>
      <c r="E2608" s="818">
        <f t="shared" si="79"/>
        <v>0.30926365795724453</v>
      </c>
      <c r="F2608" s="946">
        <f t="shared" si="81"/>
        <v>1.5463182897862228E-2</v>
      </c>
      <c r="G2608" s="78"/>
      <c r="H2608" t="str">
        <f>VLOOKUP(B2608,indexy!$A$44:$D$232,3,FALSE)</f>
        <v>HMB SS Equity</v>
      </c>
      <c r="I2608" s="310" t="s">
        <v>2465</v>
      </c>
      <c r="K2608" s="261">
        <f>AVERAGE(K2596:K2607)</f>
        <v>-0.11433575</v>
      </c>
      <c r="P2608" s="41">
        <v>0.05</v>
      </c>
      <c r="Q2608" s="380" t="s">
        <v>3382</v>
      </c>
      <c r="R2608" s="381">
        <f>315.75/2</f>
        <v>157.875</v>
      </c>
      <c r="S2608" s="382">
        <v>206.7</v>
      </c>
      <c r="T2608" s="383">
        <f t="shared" si="80"/>
        <v>0.30926365795724453</v>
      </c>
      <c r="U2608" s="384">
        <f t="shared" si="82"/>
        <v>1.5463182897862228E-2</v>
      </c>
    </row>
    <row r="2609" spans="1:21" hidden="1" outlineLevel="1" x14ac:dyDescent="0.25">
      <c r="A2609" s="849">
        <v>0.05</v>
      </c>
      <c r="B2609" s="740" t="s">
        <v>3383</v>
      </c>
      <c r="C2609" s="809">
        <v>90.35</v>
      </c>
      <c r="D2609" s="737">
        <v>91.3</v>
      </c>
      <c r="E2609" s="818">
        <f t="shared" si="79"/>
        <v>1.0514665190924255E-2</v>
      </c>
      <c r="F2609" s="946">
        <f t="shared" si="81"/>
        <v>5.2573325954621277E-4</v>
      </c>
      <c r="G2609" s="78"/>
      <c r="H2609" t="str">
        <f>VLOOKUP(B2609,indexy!$A$44:$D$232,3,FALSE)</f>
        <v>TEL NO Equity</v>
      </c>
      <c r="J2609" s="367"/>
      <c r="P2609" s="41">
        <v>0.05</v>
      </c>
      <c r="Q2609" s="380" t="s">
        <v>3383</v>
      </c>
      <c r="R2609" s="381">
        <v>90.35</v>
      </c>
      <c r="S2609" s="382">
        <v>91.3</v>
      </c>
      <c r="T2609" s="383">
        <f t="shared" si="80"/>
        <v>1.0514665190924255E-2</v>
      </c>
      <c r="U2609" s="384">
        <f t="shared" si="82"/>
        <v>5.2573325954621277E-4</v>
      </c>
    </row>
    <row r="2610" spans="1:21" hidden="1" outlineLevel="1" x14ac:dyDescent="0.25">
      <c r="A2610" s="849">
        <v>0.05</v>
      </c>
      <c r="B2610" s="740" t="s">
        <v>3405</v>
      </c>
      <c r="C2610" s="809">
        <v>44.523134117193621</v>
      </c>
      <c r="D2610" s="737">
        <v>17.14</v>
      </c>
      <c r="E2610" s="818">
        <f t="shared" si="79"/>
        <v>-0.61503159335359991</v>
      </c>
      <c r="F2610" s="946">
        <f t="shared" si="81"/>
        <v>-3.0751579667679996E-2</v>
      </c>
      <c r="G2610" s="78"/>
      <c r="H2610" t="str">
        <f>VLOOKUP(B2610,indexy!$A$44:$D$232,3,FALSE)</f>
        <v>CA FP Equity</v>
      </c>
      <c r="J2610" s="367"/>
      <c r="P2610" s="41">
        <v>0.05</v>
      </c>
      <c r="Q2610" s="380" t="s">
        <v>3405</v>
      </c>
      <c r="R2610" s="381">
        <v>44.523134117193621</v>
      </c>
      <c r="S2610" s="382">
        <v>17.14</v>
      </c>
      <c r="T2610" s="383">
        <f t="shared" si="80"/>
        <v>-0.61503159335359991</v>
      </c>
      <c r="U2610" s="384">
        <f t="shared" si="82"/>
        <v>-3.0751579667679996E-2</v>
      </c>
    </row>
    <row r="2611" spans="1:21" hidden="1" outlineLevel="1" x14ac:dyDescent="0.25">
      <c r="A2611" s="849">
        <v>0.05</v>
      </c>
      <c r="B2611" s="740" t="s">
        <v>1526</v>
      </c>
      <c r="C2611" s="809">
        <v>87.784999999999997</v>
      </c>
      <c r="D2611" s="737">
        <v>17.5</v>
      </c>
      <c r="E2611" s="818">
        <f t="shared" si="79"/>
        <v>-0.80064931366406555</v>
      </c>
      <c r="F2611" s="946">
        <f t="shared" si="81"/>
        <v>-4.0032465683203282E-2</v>
      </c>
      <c r="G2611" s="78"/>
      <c r="H2611" t="str">
        <f>VLOOKUP(B2611,indexy!$A$44:$D$232,3,FALSE)</f>
        <v>KBC BB Equity</v>
      </c>
      <c r="J2611" s="367"/>
      <c r="P2611" s="41">
        <v>0.05</v>
      </c>
      <c r="Q2611" s="380" t="s">
        <v>1526</v>
      </c>
      <c r="R2611" s="381">
        <v>87.784999999999997</v>
      </c>
      <c r="S2611" s="382">
        <v>17.5</v>
      </c>
      <c r="T2611" s="383">
        <f t="shared" si="80"/>
        <v>-0.80064931366406555</v>
      </c>
      <c r="U2611" s="384">
        <f t="shared" si="82"/>
        <v>-4.0032465683203282E-2</v>
      </c>
    </row>
    <row r="2612" spans="1:21" hidden="1" outlineLevel="1" x14ac:dyDescent="0.25">
      <c r="A2612" s="849">
        <v>0.05</v>
      </c>
      <c r="B2612" s="740" t="s">
        <v>3384</v>
      </c>
      <c r="C2612" s="809">
        <v>46.497</v>
      </c>
      <c r="D2612" s="737">
        <v>31.93</v>
      </c>
      <c r="E2612" s="818">
        <f t="shared" si="79"/>
        <v>-0.31328902939974623</v>
      </c>
      <c r="F2612" s="946">
        <f t="shared" si="81"/>
        <v>-1.5664451469987312E-2</v>
      </c>
      <c r="G2612" s="78"/>
      <c r="H2612" t="e">
        <f>VLOOKUP(B2612,indexy!$A$44:$D$232,3,FALSE)</f>
        <v>#N/A</v>
      </c>
      <c r="J2612" s="367"/>
      <c r="P2612" s="41">
        <v>0.05</v>
      </c>
      <c r="Q2612" s="380" t="s">
        <v>3384</v>
      </c>
      <c r="R2612" s="381">
        <v>46.497</v>
      </c>
      <c r="S2612" s="382">
        <v>31.93</v>
      </c>
      <c r="T2612" s="383">
        <f t="shared" si="80"/>
        <v>-0.31328902939974623</v>
      </c>
      <c r="U2612" s="384">
        <f t="shared" si="82"/>
        <v>-1.5664451469987312E-2</v>
      </c>
    </row>
    <row r="2613" spans="1:21" hidden="1" outlineLevel="1" x14ac:dyDescent="0.25">
      <c r="A2613" s="849">
        <v>0.05</v>
      </c>
      <c r="B2613" s="740" t="s">
        <v>3797</v>
      </c>
      <c r="C2613" s="809">
        <f>437.425/10</f>
        <v>43.7425</v>
      </c>
      <c r="D2613" s="737">
        <v>50.1</v>
      </c>
      <c r="E2613" s="818">
        <f t="shared" si="79"/>
        <v>0.14533920100588671</v>
      </c>
      <c r="F2613" s="946">
        <f t="shared" si="81"/>
        <v>7.2669600502943358E-3</v>
      </c>
      <c r="G2613" s="78"/>
      <c r="H2613" t="str">
        <f>VLOOKUP(B2613,indexy!$A$44:$D$232,3,FALSE)</f>
        <v>NESN SE Equity</v>
      </c>
      <c r="J2613" s="367"/>
      <c r="P2613" s="41">
        <v>0.05</v>
      </c>
      <c r="Q2613" s="380" t="s">
        <v>3797</v>
      </c>
      <c r="R2613" s="381">
        <f>437.425/10</f>
        <v>43.7425</v>
      </c>
      <c r="S2613" s="382">
        <v>50.1</v>
      </c>
      <c r="T2613" s="383">
        <f t="shared" si="80"/>
        <v>0.14533920100588671</v>
      </c>
      <c r="U2613" s="384">
        <f t="shared" si="82"/>
        <v>7.2669600502943358E-3</v>
      </c>
    </row>
    <row r="2614" spans="1:21" hidden="1" outlineLevel="1" x14ac:dyDescent="0.25">
      <c r="A2614" s="849">
        <v>0.05</v>
      </c>
      <c r="B2614" s="740" t="s">
        <v>3385</v>
      </c>
      <c r="C2614" s="809">
        <v>70.12330455225613</v>
      </c>
      <c r="D2614" s="737">
        <v>93.19</v>
      </c>
      <c r="E2614" s="818">
        <f t="shared" si="79"/>
        <v>0.32894478654460002</v>
      </c>
      <c r="F2614" s="946">
        <f t="shared" si="81"/>
        <v>1.6447239327230002E-2</v>
      </c>
      <c r="G2614" s="78"/>
      <c r="H2614" t="str">
        <f>VLOOKUP(B2614,indexy!$A$44:$D$232,3,FALSE)</f>
        <v>VOW GY Equity</v>
      </c>
      <c r="J2614" s="367"/>
      <c r="P2614" s="41">
        <v>0.05</v>
      </c>
      <c r="Q2614" s="380" t="s">
        <v>3385</v>
      </c>
      <c r="R2614" s="381">
        <v>70.12330455225613</v>
      </c>
      <c r="S2614" s="382">
        <v>93.19</v>
      </c>
      <c r="T2614" s="383">
        <f t="shared" si="80"/>
        <v>0.32894478654460002</v>
      </c>
      <c r="U2614" s="384">
        <f t="shared" si="82"/>
        <v>1.6447239327230002E-2</v>
      </c>
    </row>
    <row r="2615" spans="1:21" hidden="1" outlineLevel="1" x14ac:dyDescent="0.25">
      <c r="A2615" s="849">
        <v>0.05</v>
      </c>
      <c r="B2615" s="740" t="s">
        <v>583</v>
      </c>
      <c r="C2615" s="809">
        <f>3.8413*100</f>
        <v>384.13</v>
      </c>
      <c r="D2615" s="737">
        <v>378</v>
      </c>
      <c r="E2615" s="818">
        <f t="shared" si="79"/>
        <v>-1.5958139171634578E-2</v>
      </c>
      <c r="F2615" s="946">
        <f t="shared" si="81"/>
        <v>-7.9790695858172889E-4</v>
      </c>
      <c r="G2615" s="78"/>
      <c r="H2615" t="str">
        <f>VLOOKUP(B2615,indexy!$A$44:$D$232,3,FALSE)</f>
        <v>TSCO LN Equity</v>
      </c>
      <c r="J2615" s="367"/>
      <c r="P2615" s="41">
        <v>0.05</v>
      </c>
      <c r="Q2615" s="385" t="s">
        <v>583</v>
      </c>
      <c r="R2615" s="386">
        <f>3.8413*100</f>
        <v>384.13</v>
      </c>
      <c r="S2615" s="387">
        <v>378</v>
      </c>
      <c r="T2615" s="388">
        <f t="shared" si="80"/>
        <v>-1.5958139171634578E-2</v>
      </c>
      <c r="U2615" s="389">
        <f t="shared" si="82"/>
        <v>-7.9790695858172889E-4</v>
      </c>
    </row>
    <row r="2616" spans="1:21" hidden="1" outlineLevel="1" x14ac:dyDescent="0.25">
      <c r="A2616" s="854"/>
      <c r="B2616" s="718"/>
      <c r="C2616" s="855"/>
      <c r="D2616" s="867"/>
      <c r="E2616" s="820"/>
      <c r="F2616" s="731">
        <f>SUM(F2596:F2615)</f>
        <v>-0.23363415536179044</v>
      </c>
      <c r="G2616" s="78"/>
      <c r="J2616" s="31"/>
      <c r="P2616" s="42"/>
      <c r="Q2616" s="43"/>
      <c r="R2616" s="3887" t="s">
        <v>815</v>
      </c>
      <c r="S2616" s="3887"/>
      <c r="T2616" s="187">
        <v>-0.23363415536179044</v>
      </c>
      <c r="U2616" s="187">
        <f>SUM(U2596:U2615)</f>
        <v>-0.23363415536179044</v>
      </c>
    </row>
    <row r="2617" spans="1:21" collapsed="1" x14ac:dyDescent="0.25">
      <c r="A2617" s="3801" t="s">
        <v>317</v>
      </c>
      <c r="B2617" s="3802"/>
      <c r="C2617" s="3802"/>
      <c r="D2617" s="3802"/>
      <c r="E2617" s="821" t="s">
        <v>2722</v>
      </c>
      <c r="F2617" s="752">
        <f>MAX(F2616*parametry!N106,4%)</f>
        <v>0.04</v>
      </c>
      <c r="G2617" s="97" t="s">
        <v>781</v>
      </c>
      <c r="J2617" s="31"/>
      <c r="P2617" s="373"/>
      <c r="Q2617" s="374"/>
      <c r="R2617" s="3889" t="s">
        <v>2722</v>
      </c>
      <c r="S2617" s="3889"/>
      <c r="T2617" s="272">
        <v>0.04</v>
      </c>
      <c r="U2617" s="272"/>
    </row>
    <row r="2618" spans="1:21" x14ac:dyDescent="0.25">
      <c r="A2618" s="1"/>
      <c r="B2618" s="1"/>
      <c r="C2618" s="1"/>
      <c r="D2618" s="1"/>
      <c r="E2618" s="1"/>
      <c r="F2618" s="1848"/>
      <c r="G2618" s="78"/>
      <c r="J2618" s="31"/>
    </row>
    <row r="2619" spans="1:21" hidden="1" outlineLevel="1" x14ac:dyDescent="0.25">
      <c r="A2619" s="689" t="s">
        <v>113</v>
      </c>
      <c r="B2619" s="689" t="s">
        <v>114</v>
      </c>
      <c r="C2619" s="689" t="s">
        <v>112</v>
      </c>
      <c r="D2619" s="689" t="s">
        <v>116</v>
      </c>
      <c r="E2619" s="689" t="s">
        <v>117</v>
      </c>
      <c r="F2619" s="1188" t="s">
        <v>121</v>
      </c>
      <c r="G2619" s="78"/>
      <c r="J2619" s="31"/>
    </row>
    <row r="2620" spans="1:21" hidden="1" outlineLevel="1" x14ac:dyDescent="0.25">
      <c r="A2620" s="690">
        <v>1</v>
      </c>
      <c r="B2620" s="691" t="s">
        <v>252</v>
      </c>
      <c r="C2620" s="692">
        <v>106.98480000000001</v>
      </c>
      <c r="D2620" s="692"/>
      <c r="E2620" s="693"/>
      <c r="F2620" s="694"/>
      <c r="G2620" s="78"/>
      <c r="J2620" s="31"/>
    </row>
    <row r="2621" spans="1:21" hidden="1" outlineLevel="1" x14ac:dyDescent="0.25">
      <c r="A2621" s="695"/>
      <c r="B2621" s="695"/>
      <c r="C2621" s="696"/>
      <c r="D2621" s="697" t="s">
        <v>3702</v>
      </c>
      <c r="E2621" s="698">
        <v>41075</v>
      </c>
      <c r="F2621" s="699"/>
      <c r="G2621" s="78"/>
      <c r="J2621" s="31"/>
    </row>
    <row r="2622" spans="1:21" hidden="1" outlineLevel="1" x14ac:dyDescent="0.25">
      <c r="A2622" s="689" t="s">
        <v>4156</v>
      </c>
      <c r="B2622" s="689" t="s">
        <v>4153</v>
      </c>
      <c r="C2622" s="700" t="s">
        <v>112</v>
      </c>
      <c r="D2622" s="689" t="s">
        <v>4155</v>
      </c>
      <c r="E2622" s="495" t="s">
        <v>4154</v>
      </c>
      <c r="F2622" s="1021" t="s">
        <v>2519</v>
      </c>
      <c r="G2622" s="78"/>
      <c r="J2622" s="31" t="s">
        <v>3507</v>
      </c>
      <c r="K2622" t="s">
        <v>4154</v>
      </c>
      <c r="L2622" t="s">
        <v>3508</v>
      </c>
      <c r="N2622" t="s">
        <v>631</v>
      </c>
      <c r="O2622" s="31"/>
    </row>
    <row r="2623" spans="1:21" hidden="1" outlineLevel="1" x14ac:dyDescent="0.25">
      <c r="A2623" s="734">
        <v>0.03</v>
      </c>
      <c r="B2623" s="972" t="s">
        <v>1384</v>
      </c>
      <c r="C2623" s="807">
        <v>14.306000000000001</v>
      </c>
      <c r="D2623" s="737">
        <v>3.399</v>
      </c>
      <c r="E2623" s="973">
        <v>-0.77623436471362739</v>
      </c>
      <c r="F2623" s="1830">
        <v>-2.3287030941408819E-2</v>
      </c>
      <c r="G2623" s="78"/>
      <c r="H2623" t="str">
        <f>VLOOKUP(B2623,indexy!$A$44:$D$823,3,FALSE)</f>
        <v>AGN NA Equity</v>
      </c>
      <c r="J2623" s="226">
        <v>15.19</v>
      </c>
      <c r="K2623" s="37">
        <f t="shared" ref="K2623:K2652" si="83">J2623/C2623-1</f>
        <v>6.1792254997902862E-2</v>
      </c>
      <c r="L2623">
        <f t="shared" ref="L2623:L2652" si="84">+K2623*A2623</f>
        <v>1.8537676499370858E-3</v>
      </c>
      <c r="M2623" s="37"/>
      <c r="N2623" s="256">
        <v>40695</v>
      </c>
      <c r="O2623" s="31">
        <v>73.406400000000005</v>
      </c>
      <c r="P2623" s="37">
        <f>IF(O2623="",P2622,O2623/$C$2620-1)</f>
        <v>-0.3138614083495973</v>
      </c>
    </row>
    <row r="2624" spans="1:21" hidden="1" outlineLevel="1" x14ac:dyDescent="0.25">
      <c r="A2624" s="739">
        <v>0.02</v>
      </c>
      <c r="B2624" s="712" t="s">
        <v>1343</v>
      </c>
      <c r="C2624" s="809">
        <v>1871</v>
      </c>
      <c r="D2624" s="737">
        <v>2378</v>
      </c>
      <c r="E2624" s="857">
        <v>-2.8601278978359734E-2</v>
      </c>
      <c r="F2624" s="1666">
        <v>-5.7202557956719468E-4</v>
      </c>
      <c r="G2624" s="78"/>
      <c r="H2624" t="str">
        <f>VLOOKUP(B2624,indexy!$A$44:$D$823,3,FALSE)</f>
        <v>IMB LN Equity</v>
      </c>
      <c r="J2624" s="226">
        <v>2448.0164</v>
      </c>
      <c r="K2624" s="37">
        <f t="shared" si="83"/>
        <v>0.30840000000000001</v>
      </c>
      <c r="L2624">
        <f t="shared" si="84"/>
        <v>6.1679999999999999E-3</v>
      </c>
      <c r="M2624" s="37"/>
      <c r="N2624" s="256">
        <v>40725</v>
      </c>
      <c r="O2624" s="31">
        <v>70.237799999999993</v>
      </c>
      <c r="P2624" s="37">
        <f t="shared" ref="P2624:P2634" si="85">IF(O2624="",P2623,O2624/$C$2620-1)</f>
        <v>-0.34347869977791246</v>
      </c>
    </row>
    <row r="2625" spans="1:16" hidden="1" outlineLevel="1" x14ac:dyDescent="0.25">
      <c r="A2625" s="739">
        <v>0.03</v>
      </c>
      <c r="B2625" s="712" t="s">
        <v>1993</v>
      </c>
      <c r="C2625" s="809">
        <v>62.73</v>
      </c>
      <c r="D2625" s="737">
        <v>121.5</v>
      </c>
      <c r="E2625" s="857">
        <v>0.71428571428571419</v>
      </c>
      <c r="F2625" s="1666">
        <v>2.1428571428571425E-2</v>
      </c>
      <c r="G2625" s="78"/>
      <c r="H2625" t="str">
        <f>VLOOKUP(B2625,indexy!$A$44:$D$823,3,FALSE)</f>
        <v>MO UN Equity</v>
      </c>
      <c r="I2625" s="39" t="s">
        <v>3533</v>
      </c>
      <c r="J2625" s="226">
        <v>70.875</v>
      </c>
      <c r="K2625" s="37">
        <f t="shared" si="83"/>
        <v>0.12984218077474896</v>
      </c>
      <c r="L2625">
        <f t="shared" si="84"/>
        <v>3.8952654232424686E-3</v>
      </c>
      <c r="M2625" s="37"/>
      <c r="N2625" s="256">
        <v>40756</v>
      </c>
      <c r="O2625" s="31">
        <v>65.403499999999994</v>
      </c>
      <c r="P2625" s="37">
        <f t="shared" si="85"/>
        <v>-0.38866549266811745</v>
      </c>
    </row>
    <row r="2626" spans="1:16" hidden="1" outlineLevel="1" x14ac:dyDescent="0.25">
      <c r="A2626" s="739">
        <v>0.03</v>
      </c>
      <c r="B2626" s="712" t="s">
        <v>1385</v>
      </c>
      <c r="C2626" s="809">
        <v>10.282038236</v>
      </c>
      <c r="D2626" s="737">
        <v>9.4E-2</v>
      </c>
      <c r="E2626" s="857">
        <v>-0.99105689881482939</v>
      </c>
      <c r="F2626" s="1666">
        <v>-2.9731706964444882E-2</v>
      </c>
      <c r="G2626" s="78"/>
      <c r="H2626" t="e">
        <f>VLOOKUP(B2626,indexy!$A$44:$D$823,3,FALSE)</f>
        <v>#N/A</v>
      </c>
      <c r="J2626" s="226">
        <f>16.534*0.635714</f>
        <v>10.510895275999999</v>
      </c>
      <c r="K2626" s="37">
        <f t="shared" si="83"/>
        <v>2.2257944849758848E-2</v>
      </c>
      <c r="L2626">
        <f t="shared" si="84"/>
        <v>6.6773834549276544E-4</v>
      </c>
      <c r="M2626" s="37"/>
      <c r="N2626" s="256">
        <v>40787</v>
      </c>
      <c r="O2626" s="31">
        <v>64.215900000000005</v>
      </c>
      <c r="P2626" s="37">
        <f t="shared" si="85"/>
        <v>-0.39976613500235547</v>
      </c>
    </row>
    <row r="2627" spans="1:16" hidden="1" outlineLevel="1" x14ac:dyDescent="0.25">
      <c r="A2627" s="739">
        <v>0.02</v>
      </c>
      <c r="B2627" s="712" t="s">
        <v>3019</v>
      </c>
      <c r="C2627" s="809">
        <v>84.07</v>
      </c>
      <c r="D2627" s="737">
        <v>29.475000000000001</v>
      </c>
      <c r="E2627" s="857">
        <v>-0.67912779368379794</v>
      </c>
      <c r="F2627" s="1666">
        <v>-1.3582555873675959E-2</v>
      </c>
      <c r="G2627" s="78"/>
      <c r="H2627" t="str">
        <f>VLOOKUP(B2627,indexy!$A$44:$D$823,3,FALSE)</f>
        <v>BNP FP Equity</v>
      </c>
      <c r="J2627" s="226">
        <v>91.858999999999995</v>
      </c>
      <c r="K2627" s="37">
        <f t="shared" si="83"/>
        <v>9.264898299036517E-2</v>
      </c>
      <c r="L2627">
        <f t="shared" si="84"/>
        <v>1.8529796598073035E-3</v>
      </c>
      <c r="M2627" s="37"/>
      <c r="N2627" s="256">
        <v>40817</v>
      </c>
      <c r="O2627" s="31">
        <v>68.092600000000004</v>
      </c>
      <c r="P2627" s="37">
        <f t="shared" si="85"/>
        <v>-0.3635301463385453</v>
      </c>
    </row>
    <row r="2628" spans="1:16" hidden="1" outlineLevel="1" x14ac:dyDescent="0.25">
      <c r="A2628" s="739">
        <v>0.03</v>
      </c>
      <c r="B2628" s="712" t="s">
        <v>1847</v>
      </c>
      <c r="C2628" s="809">
        <v>504.54999999999995</v>
      </c>
      <c r="D2628" s="737">
        <v>28.31</v>
      </c>
      <c r="E2628" s="857">
        <v>-0.4846730741226154</v>
      </c>
      <c r="F2628" s="1666">
        <v>-1.4540192223678462E-2</v>
      </c>
      <c r="G2628" s="78"/>
      <c r="H2628" t="str">
        <f>VLOOKUP(B2628,indexy!$A$44:$D$823,3,FALSE)</f>
        <v>C UN Equity</v>
      </c>
      <c r="J2628" s="226">
        <v>54.935999999999993</v>
      </c>
      <c r="K2628" s="37">
        <f t="shared" si="83"/>
        <v>-0.89111881874938059</v>
      </c>
      <c r="L2628">
        <f t="shared" si="84"/>
        <v>-2.6733564562481417E-2</v>
      </c>
      <c r="M2628" s="37"/>
      <c r="N2628" s="256">
        <v>40848</v>
      </c>
      <c r="O2628" s="31">
        <v>67.469200000000001</v>
      </c>
      <c r="P2628" s="37">
        <f t="shared" si="85"/>
        <v>-0.36935714232302164</v>
      </c>
    </row>
    <row r="2629" spans="1:16" hidden="1" outlineLevel="1" x14ac:dyDescent="0.25">
      <c r="A2629" s="739">
        <v>0.03</v>
      </c>
      <c r="B2629" s="712" t="s">
        <v>4025</v>
      </c>
      <c r="C2629" s="809">
        <v>46.671999999999997</v>
      </c>
      <c r="D2629" s="737">
        <v>34.03</v>
      </c>
      <c r="E2629" s="857">
        <v>-0.48672699849170431</v>
      </c>
      <c r="F2629" s="1666">
        <v>-1.4601809954751129E-2</v>
      </c>
      <c r="G2629" s="78"/>
      <c r="H2629" t="str">
        <f>VLOOKUP(B2629,indexy!$A$44:$D$823,3,FALSE)</f>
        <v>MBG GR Equity</v>
      </c>
      <c r="J2629" s="226">
        <v>66.3</v>
      </c>
      <c r="K2629" s="37">
        <f t="shared" si="83"/>
        <v>0.42055193692149473</v>
      </c>
      <c r="L2629">
        <f t="shared" si="84"/>
        <v>1.2616558107644841E-2</v>
      </c>
      <c r="M2629" s="37"/>
      <c r="N2629" s="256">
        <v>40878</v>
      </c>
      <c r="O2629" s="31">
        <v>68.071700000000007</v>
      </c>
      <c r="P2629" s="37">
        <f t="shared" si="85"/>
        <v>-0.36372550119269276</v>
      </c>
    </row>
    <row r="2630" spans="1:16" hidden="1" outlineLevel="1" x14ac:dyDescent="0.25">
      <c r="A2630" s="739">
        <v>0.04</v>
      </c>
      <c r="B2630" s="712" t="s">
        <v>3406</v>
      </c>
      <c r="C2630" s="809">
        <v>992.8</v>
      </c>
      <c r="D2630" s="737">
        <v>1587.5</v>
      </c>
      <c r="E2630" s="857">
        <v>0.48025548976642263</v>
      </c>
      <c r="F2630" s="1666">
        <v>1.9210219590656906E-2</v>
      </c>
      <c r="G2630" s="78"/>
      <c r="H2630" t="str">
        <f>VLOOKUP(B2630,indexy!$A$44:$D$823,3,FALSE)</f>
        <v>DGE LN Equity</v>
      </c>
      <c r="J2630" s="226">
        <v>1072.45</v>
      </c>
      <c r="K2630" s="37">
        <f t="shared" si="83"/>
        <v>8.0227639000805873E-2</v>
      </c>
      <c r="L2630">
        <f t="shared" si="84"/>
        <v>3.2091055600322349E-3</v>
      </c>
      <c r="M2630" s="37"/>
      <c r="N2630" s="256">
        <v>40909</v>
      </c>
      <c r="O2630" s="31">
        <v>68.255200000000002</v>
      </c>
      <c r="P2630" s="37">
        <f t="shared" si="85"/>
        <v>-0.36201030426752212</v>
      </c>
    </row>
    <row r="2631" spans="1:16" hidden="1" outlineLevel="1" x14ac:dyDescent="0.25">
      <c r="A2631" s="739">
        <v>0.04</v>
      </c>
      <c r="B2631" s="712" t="s">
        <v>4387</v>
      </c>
      <c r="C2631" s="809">
        <v>32.132666666666665</v>
      </c>
      <c r="D2631" s="737">
        <v>15.22</v>
      </c>
      <c r="E2631" s="857">
        <v>-0.60365959515294598</v>
      </c>
      <c r="F2631" s="1666">
        <v>-2.414638380611784E-2</v>
      </c>
      <c r="G2631" s="78"/>
      <c r="H2631" t="str">
        <f>VLOOKUP(B2631,indexy!$A$44:$D$823,3,FALSE)</f>
        <v>EOAN GY Equity</v>
      </c>
      <c r="J2631" s="226">
        <f>115.204/3</f>
        <v>38.401333333333334</v>
      </c>
      <c r="K2631" s="37">
        <f t="shared" si="83"/>
        <v>0.19508703500072611</v>
      </c>
      <c r="L2631">
        <f t="shared" si="84"/>
        <v>7.8034814000290447E-3</v>
      </c>
      <c r="M2631" s="37"/>
      <c r="N2631" s="256">
        <v>40940</v>
      </c>
      <c r="O2631" s="31">
        <v>71.065299999999993</v>
      </c>
      <c r="P2631" s="37">
        <f t="shared" si="85"/>
        <v>-0.33574395615078045</v>
      </c>
    </row>
    <row r="2632" spans="1:16" hidden="1" outlineLevel="1" x14ac:dyDescent="0.25">
      <c r="A2632" s="739">
        <v>0.05</v>
      </c>
      <c r="B2632" s="712" t="s">
        <v>3798</v>
      </c>
      <c r="C2632" s="809">
        <v>7.7462</v>
      </c>
      <c r="D2632" s="737">
        <v>2.488</v>
      </c>
      <c r="E2632" s="857">
        <v>-0.70511893615256072</v>
      </c>
      <c r="F2632" s="1666">
        <v>-3.5255946807628037E-2</v>
      </c>
      <c r="G2632" s="78"/>
      <c r="H2632" t="str">
        <f>VLOOKUP(B2632,indexy!$A$44:$D$823,3,FALSE)</f>
        <v>ENEL IM Equity</v>
      </c>
      <c r="J2632" s="226">
        <v>8.4373000000000005</v>
      </c>
      <c r="K2632" s="37">
        <f t="shared" si="83"/>
        <v>8.9217939118535705E-2</v>
      </c>
      <c r="L2632">
        <f t="shared" si="84"/>
        <v>4.4608969559267854E-3</v>
      </c>
      <c r="M2632" s="37"/>
      <c r="N2632" s="256">
        <v>40969</v>
      </c>
      <c r="O2632" s="31">
        <v>70.884</v>
      </c>
      <c r="P2632" s="37">
        <f t="shared" si="85"/>
        <v>-0.33743858940709337</v>
      </c>
    </row>
    <row r="2633" spans="1:16" hidden="1" outlineLevel="1" x14ac:dyDescent="0.25">
      <c r="A2633" s="739">
        <v>0.05</v>
      </c>
      <c r="B2633" s="712" t="s">
        <v>1176</v>
      </c>
      <c r="C2633" s="809">
        <v>32.03</v>
      </c>
      <c r="D2633" s="737">
        <v>1.3420000000000001</v>
      </c>
      <c r="E2633" s="857">
        <v>-0.95770164213445963</v>
      </c>
      <c r="F2633" s="1666">
        <v>-4.7885082106722987E-2</v>
      </c>
      <c r="G2633" s="78"/>
      <c r="H2633" t="str">
        <f>VLOOKUP(B2633,indexy!$A$44:$D$823,3,FALSE)</f>
        <v>AGS BB Equity</v>
      </c>
      <c r="J2633" s="226">
        <v>31.726999999999997</v>
      </c>
      <c r="K2633" s="37">
        <f t="shared" si="83"/>
        <v>-9.4598813612239985E-3</v>
      </c>
      <c r="L2633">
        <f t="shared" si="84"/>
        <v>-4.7299406806119992E-4</v>
      </c>
      <c r="M2633" s="37"/>
      <c r="N2633" s="256">
        <v>41000</v>
      </c>
      <c r="O2633" s="31">
        <v>69.348600000000005</v>
      </c>
      <c r="P2633" s="37">
        <f t="shared" si="85"/>
        <v>-0.35179016084527892</v>
      </c>
    </row>
    <row r="2634" spans="1:16" ht="14.4" hidden="1" outlineLevel="1" x14ac:dyDescent="0.3">
      <c r="A2634" s="739">
        <v>0.05</v>
      </c>
      <c r="B2634" s="712" t="s">
        <v>1386</v>
      </c>
      <c r="C2634" s="809">
        <v>1355.8</v>
      </c>
      <c r="D2634" s="737">
        <v>1441</v>
      </c>
      <c r="E2634" s="857">
        <v>5.7149145330496642E-2</v>
      </c>
      <c r="F2634" s="1666">
        <v>2.8574572665248325E-3</v>
      </c>
      <c r="G2634" s="78"/>
      <c r="H2634" t="str">
        <f>VLOOKUP(B2634,indexy!$A$44:$D$823,3,FALSE)</f>
        <v>GSK LN Equity</v>
      </c>
      <c r="J2634" s="226">
        <v>1363.1</v>
      </c>
      <c r="K2634" s="37">
        <f t="shared" si="83"/>
        <v>5.384274966809155E-3</v>
      </c>
      <c r="L2634">
        <f t="shared" si="84"/>
        <v>2.6921374834045777E-4</v>
      </c>
      <c r="M2634" s="37"/>
      <c r="N2634" s="256">
        <v>41030</v>
      </c>
      <c r="O2634" s="428">
        <v>65.682054424726346</v>
      </c>
      <c r="P2634" s="37">
        <f t="shared" si="85"/>
        <v>-0.38606181041861698</v>
      </c>
    </row>
    <row r="2635" spans="1:16" hidden="1" outlineLevel="1" x14ac:dyDescent="0.25">
      <c r="A2635" s="739">
        <v>0.04</v>
      </c>
      <c r="B2635" s="712" t="s">
        <v>1771</v>
      </c>
      <c r="C2635" s="809">
        <v>983</v>
      </c>
      <c r="D2635" s="737">
        <v>546.4</v>
      </c>
      <c r="E2635" s="857">
        <v>-0.41486399657314199</v>
      </c>
      <c r="F2635" s="1666">
        <v>-1.6594559862925681E-2</v>
      </c>
      <c r="G2635" s="78"/>
      <c r="H2635" t="str">
        <f>VLOOKUP(B2635,indexy!$A$44:$D$823,3,FALSE)</f>
        <v>HSBA LN Equity</v>
      </c>
      <c r="J2635" s="226">
        <v>933.8</v>
      </c>
      <c r="K2635" s="37">
        <f t="shared" si="83"/>
        <v>-5.0050864699898279E-2</v>
      </c>
      <c r="L2635">
        <f t="shared" si="84"/>
        <v>-2.0020345879959312E-3</v>
      </c>
      <c r="M2635" s="37"/>
      <c r="N2635" s="264" t="s">
        <v>2465</v>
      </c>
      <c r="O2635" s="31"/>
      <c r="P2635" s="261">
        <f>AVERAGE(P2623:P2634)</f>
        <v>-0.35961911222846116</v>
      </c>
    </row>
    <row r="2636" spans="1:16" hidden="1" outlineLevel="1" x14ac:dyDescent="0.25">
      <c r="A2636" s="739">
        <v>0.03</v>
      </c>
      <c r="B2636" s="712" t="s">
        <v>1031</v>
      </c>
      <c r="C2636" s="809">
        <v>8.4324999999999992</v>
      </c>
      <c r="D2636" s="737">
        <v>3.5009999999999999</v>
      </c>
      <c r="E2636" s="857">
        <v>-0.66347055006848821</v>
      </c>
      <c r="F2636" s="1666">
        <v>-1.9904116502054644E-2</v>
      </c>
      <c r="G2636" s="78"/>
      <c r="H2636" t="str">
        <f>VLOOKUP(B2636,indexy!$A$44:$D$823,3,FALSE)</f>
        <v>IBE SQ Equity</v>
      </c>
      <c r="J2636" s="226">
        <f>41.613/4</f>
        <v>10.40325</v>
      </c>
      <c r="K2636" s="37">
        <f t="shared" si="83"/>
        <v>0.23370886451230377</v>
      </c>
      <c r="L2636">
        <f t="shared" si="84"/>
        <v>7.0112659353691129E-3</v>
      </c>
      <c r="M2636" s="37"/>
    </row>
    <row r="2637" spans="1:16" hidden="1" outlineLevel="1" x14ac:dyDescent="0.25">
      <c r="A2637" s="739">
        <v>0.02</v>
      </c>
      <c r="B2637" s="712" t="s">
        <v>2588</v>
      </c>
      <c r="C2637" s="809">
        <v>33.454999999999998</v>
      </c>
      <c r="D2637" s="737">
        <v>4.96</v>
      </c>
      <c r="E2637" s="857">
        <v>-0.8500967117988395</v>
      </c>
      <c r="F2637" s="1666">
        <v>-1.700193423597679E-2</v>
      </c>
      <c r="G2637" s="78"/>
      <c r="H2637" t="str">
        <f>VLOOKUP(B2637,indexy!$A$44:$D$823,3,FALSE)</f>
        <v>INGA NA Equity</v>
      </c>
      <c r="J2637" s="226">
        <v>33.088000000000001</v>
      </c>
      <c r="K2637" s="37">
        <f t="shared" si="83"/>
        <v>-1.0969959647287308E-2</v>
      </c>
      <c r="L2637">
        <f t="shared" si="84"/>
        <v>-2.1939919294574616E-4</v>
      </c>
      <c r="M2637" s="37"/>
    </row>
    <row r="2638" spans="1:16" hidden="1" outlineLevel="1" x14ac:dyDescent="0.25">
      <c r="A2638" s="739">
        <v>0.03</v>
      </c>
      <c r="B2638" s="712" t="s">
        <v>1526</v>
      </c>
      <c r="C2638" s="809">
        <v>86.6</v>
      </c>
      <c r="D2638" s="737">
        <v>15.7</v>
      </c>
      <c r="E2638" s="857">
        <v>-0.84819477480613403</v>
      </c>
      <c r="F2638" s="1666">
        <v>-2.5445843244184019E-2</v>
      </c>
      <c r="G2638" s="78"/>
      <c r="H2638" t="str">
        <f>VLOOKUP(B2638,indexy!$A$44:$D$823,3,FALSE)</f>
        <v>KBC BB Equity</v>
      </c>
      <c r="J2638" s="226">
        <v>103.42199999999998</v>
      </c>
      <c r="K2638" s="37">
        <f t="shared" si="83"/>
        <v>0.19424942263279443</v>
      </c>
      <c r="L2638">
        <f t="shared" si="84"/>
        <v>5.8274826789838328E-3</v>
      </c>
      <c r="M2638" s="37"/>
    </row>
    <row r="2639" spans="1:16" hidden="1" outlineLevel="1" x14ac:dyDescent="0.25">
      <c r="A2639" s="739">
        <v>0.02</v>
      </c>
      <c r="B2639" s="712" t="s">
        <v>2787</v>
      </c>
      <c r="C2639" s="809">
        <v>71.959999999999994</v>
      </c>
      <c r="D2639" s="737">
        <v>51</v>
      </c>
      <c r="E2639" s="857">
        <v>-0.25979680696661833</v>
      </c>
      <c r="F2639" s="1666">
        <v>-5.1959361393323668E-3</v>
      </c>
      <c r="G2639" s="78"/>
      <c r="H2639" t="str">
        <f>VLOOKUP(B2639,indexy!$A$44:$D$823,3,FALSE)</f>
        <v>NOVN SE Equity</v>
      </c>
      <c r="J2639" s="226">
        <v>68.900000000000006</v>
      </c>
      <c r="K2639" s="37">
        <f t="shared" si="83"/>
        <v>-4.2523624235686341E-2</v>
      </c>
      <c r="L2639">
        <f t="shared" si="84"/>
        <v>-8.5047248471372685E-4</v>
      </c>
      <c r="M2639" s="37"/>
    </row>
    <row r="2640" spans="1:16" hidden="1" outlineLevel="1" x14ac:dyDescent="0.25">
      <c r="A2640" s="739">
        <v>0.04</v>
      </c>
      <c r="B2640" s="712" t="s">
        <v>2753</v>
      </c>
      <c r="C2640" s="809">
        <v>32.512999999999998</v>
      </c>
      <c r="D2640" s="737">
        <v>42.68</v>
      </c>
      <c r="E2640" s="857">
        <v>0.29100561109514667</v>
      </c>
      <c r="F2640" s="1666">
        <v>1.1640224443805866E-2</v>
      </c>
      <c r="G2640" s="78"/>
      <c r="H2640" t="str">
        <f>VLOOKUP(B2640,indexy!$A$44:$D$823,3,FALSE)</f>
        <v>RAI UN Equity</v>
      </c>
      <c r="J2640" s="226">
        <f>66.119/2</f>
        <v>33.0595</v>
      </c>
      <c r="K2640" s="37">
        <f t="shared" si="83"/>
        <v>1.6808661150924387E-2</v>
      </c>
      <c r="L2640">
        <f t="shared" si="84"/>
        <v>6.7234644603697546E-4</v>
      </c>
      <c r="M2640" s="37"/>
    </row>
    <row r="2641" spans="1:13" hidden="1" outlineLevel="1" x14ac:dyDescent="0.25">
      <c r="A2641" s="739">
        <v>0.03</v>
      </c>
      <c r="B2641" s="712" t="s">
        <v>2754</v>
      </c>
      <c r="C2641" s="809">
        <v>221.93</v>
      </c>
      <c r="D2641" s="737">
        <v>156.5</v>
      </c>
      <c r="E2641" s="857">
        <v>-0.30892872913538816</v>
      </c>
      <c r="F2641" s="1666">
        <v>-9.2678618740616447E-3</v>
      </c>
      <c r="G2641" s="78"/>
      <c r="H2641" t="str">
        <f>VLOOKUP(B2641,indexy!$A$44:$D$823,3,FALSE)</f>
        <v>ROG SE Equity</v>
      </c>
      <c r="J2641" s="226">
        <v>226.46</v>
      </c>
      <c r="K2641" s="37">
        <f t="shared" si="83"/>
        <v>2.0411841571666756E-2</v>
      </c>
      <c r="L2641">
        <f t="shared" si="84"/>
        <v>6.1235524715000269E-4</v>
      </c>
      <c r="M2641" s="37"/>
    </row>
    <row r="2642" spans="1:13" hidden="1" outlineLevel="1" x14ac:dyDescent="0.25">
      <c r="A2642" s="739">
        <v>0.03</v>
      </c>
      <c r="B2642" s="712" t="s">
        <v>3801</v>
      </c>
      <c r="C2642" s="809">
        <v>82.495000000000005</v>
      </c>
      <c r="D2642" s="737">
        <v>29.73</v>
      </c>
      <c r="E2642" s="857">
        <v>-0.63714254329757236</v>
      </c>
      <c r="F2642" s="1666">
        <v>-1.9114276298927171E-2</v>
      </c>
      <c r="G2642" s="78"/>
      <c r="H2642" t="str">
        <f>VLOOKUP(B2642,indexy!$A$44:$D$823,3,FALSE)</f>
        <v>RWE GY Equity</v>
      </c>
      <c r="J2642" s="226">
        <v>81.933000000000007</v>
      </c>
      <c r="K2642" s="37">
        <f t="shared" si="83"/>
        <v>-6.8125340929753309E-3</v>
      </c>
      <c r="L2642">
        <f t="shared" si="84"/>
        <v>-2.0437602278925991E-4</v>
      </c>
      <c r="M2642" s="37"/>
    </row>
    <row r="2643" spans="1:13" hidden="1" outlineLevel="1" x14ac:dyDescent="0.25">
      <c r="A2643" s="739">
        <v>0.03</v>
      </c>
      <c r="B2643" s="712" t="s">
        <v>1857</v>
      </c>
      <c r="C2643" s="809">
        <v>1462.4</v>
      </c>
      <c r="D2643" s="737">
        <v>1364</v>
      </c>
      <c r="E2643" s="857">
        <v>-0.10014513788098689</v>
      </c>
      <c r="F2643" s="1666">
        <v>-3.0043541364296066E-3</v>
      </c>
      <c r="G2643" s="78"/>
      <c r="H2643" t="str">
        <f>VLOOKUP(B2643,indexy!$A$44:$D$823,3,FALSE)</f>
        <v>SSE LN Equity</v>
      </c>
      <c r="J2643" s="226">
        <v>1515.8</v>
      </c>
      <c r="K2643" s="37">
        <f t="shared" si="83"/>
        <v>3.6515317286651916E-2</v>
      </c>
      <c r="L2643">
        <f t="shared" si="84"/>
        <v>1.0954595185995574E-3</v>
      </c>
      <c r="M2643" s="37"/>
    </row>
    <row r="2644" spans="1:13" hidden="1" outlineLevel="1" x14ac:dyDescent="0.25">
      <c r="A2644" s="739">
        <v>0.03</v>
      </c>
      <c r="B2644" s="712" t="s">
        <v>4460</v>
      </c>
      <c r="C2644" s="809">
        <v>1445.3</v>
      </c>
      <c r="D2644" s="737">
        <v>1671.93</v>
      </c>
      <c r="E2644" s="857">
        <v>7.9779126840609615E-2</v>
      </c>
      <c r="F2644" s="1666">
        <v>2.3933738052182882E-3</v>
      </c>
      <c r="G2644" s="78"/>
      <c r="H2644" t="str">
        <f>VLOOKUP(B2644,indexy!$A$44:$D$823,3,FALSE)</f>
        <v>SVT LN Equity</v>
      </c>
      <c r="J2644" s="226">
        <v>1548.4</v>
      </c>
      <c r="K2644" s="37">
        <f t="shared" si="83"/>
        <v>7.133467100256019E-2</v>
      </c>
      <c r="L2644">
        <f t="shared" si="84"/>
        <v>2.1400401300768058E-3</v>
      </c>
      <c r="M2644" s="37"/>
    </row>
    <row r="2645" spans="1:13" hidden="1" outlineLevel="1" x14ac:dyDescent="0.25">
      <c r="A2645" s="739">
        <v>0.02</v>
      </c>
      <c r="B2645" s="712" t="s">
        <v>578</v>
      </c>
      <c r="C2645" s="809">
        <v>12.231</v>
      </c>
      <c r="D2645" s="737">
        <v>4.6920000000000002</v>
      </c>
      <c r="E2645" s="857">
        <v>-0.66908808801749053</v>
      </c>
      <c r="F2645" s="1666">
        <v>-1.3381761760349812E-2</v>
      </c>
      <c r="G2645" s="78"/>
      <c r="H2645" t="str">
        <f>VLOOKUP(B2645,indexy!$A$44:$D$823,3,FALSE)</f>
        <v>STERV FH Equity</v>
      </c>
      <c r="J2645" s="226">
        <v>14.178999999999998</v>
      </c>
      <c r="K2645" s="37">
        <f t="shared" si="83"/>
        <v>0.15926743520562492</v>
      </c>
      <c r="L2645">
        <f t="shared" si="84"/>
        <v>3.1853487041124985E-3</v>
      </c>
      <c r="M2645" s="37"/>
    </row>
    <row r="2646" spans="1:13" hidden="1" outlineLevel="1" x14ac:dyDescent="0.25">
      <c r="A2646" s="739">
        <v>0.05</v>
      </c>
      <c r="B2646" s="712" t="s">
        <v>1527</v>
      </c>
      <c r="C2646" s="809">
        <v>2.3769</v>
      </c>
      <c r="D2646" s="737">
        <v>0.69750000000000001</v>
      </c>
      <c r="E2646" s="857">
        <v>-0.67784397949286401</v>
      </c>
      <c r="F2646" s="1666">
        <v>-3.3892198974643205E-2</v>
      </c>
      <c r="G2646" s="78"/>
      <c r="H2646" t="str">
        <f>VLOOKUP(B2646,indexy!$A$44:$D$823,3,FALSE)</f>
        <v>TIT IM Equity</v>
      </c>
      <c r="J2646" s="226">
        <v>2.1650999999999998</v>
      </c>
      <c r="K2646" s="37">
        <f t="shared" si="83"/>
        <v>-8.9107661239429592E-2</v>
      </c>
      <c r="L2646">
        <f t="shared" si="84"/>
        <v>-4.4553830619714794E-3</v>
      </c>
      <c r="M2646" s="37"/>
    </row>
    <row r="2647" spans="1:13" hidden="1" outlineLevel="1" x14ac:dyDescent="0.25">
      <c r="A2647" s="739">
        <v>0.05</v>
      </c>
      <c r="B2647" s="712" t="s">
        <v>577</v>
      </c>
      <c r="C2647" s="809">
        <v>15.71</v>
      </c>
      <c r="D2647" s="737">
        <v>9.891</v>
      </c>
      <c r="E2647" s="857">
        <v>-0.40977443609022557</v>
      </c>
      <c r="F2647" s="1666">
        <v>-2.0488721804511278E-2</v>
      </c>
      <c r="G2647" s="78"/>
      <c r="H2647" t="str">
        <f>VLOOKUP(B2647,indexy!$A$44:$D$823,3,FALSE)</f>
        <v>TEF SQ Equity</v>
      </c>
      <c r="J2647" s="226">
        <v>16.757999999999999</v>
      </c>
      <c r="K2647" s="37">
        <f t="shared" si="83"/>
        <v>6.6709102482495064E-2</v>
      </c>
      <c r="L2647">
        <f t="shared" si="84"/>
        <v>3.3354551241247532E-3</v>
      </c>
      <c r="M2647" s="37"/>
    </row>
    <row r="2648" spans="1:13" hidden="1" outlineLevel="1" x14ac:dyDescent="0.25">
      <c r="A2648" s="739">
        <v>0.04</v>
      </c>
      <c r="B2648" s="712" t="s">
        <v>1183</v>
      </c>
      <c r="C2648" s="809">
        <v>54.9</v>
      </c>
      <c r="D2648" s="737">
        <v>35.43</v>
      </c>
      <c r="E2648" s="857">
        <v>-0.37020051194539239</v>
      </c>
      <c r="F2648" s="1666">
        <v>-1.4808020477815695E-2</v>
      </c>
      <c r="G2648" s="78"/>
      <c r="H2648" t="e">
        <f>VLOOKUP(B2648,indexy!$A$44:$D$823,3,FALSE)</f>
        <v>#N/A</v>
      </c>
      <c r="J2648" s="226">
        <v>56.255999999999993</v>
      </c>
      <c r="K2648" s="37">
        <f t="shared" si="83"/>
        <v>2.4699453551912498E-2</v>
      </c>
      <c r="L2648">
        <f t="shared" si="84"/>
        <v>9.879781420764999E-4</v>
      </c>
      <c r="M2648" s="37"/>
    </row>
    <row r="2649" spans="1:13" hidden="1" outlineLevel="1" x14ac:dyDescent="0.25">
      <c r="A2649" s="739">
        <v>0.02</v>
      </c>
      <c r="B2649" s="712" t="s">
        <v>182</v>
      </c>
      <c r="C2649" s="809">
        <v>74.984999999999999</v>
      </c>
      <c r="D2649" s="737">
        <v>11.29</v>
      </c>
      <c r="E2649" s="857">
        <v>-0.856625817512223</v>
      </c>
      <c r="F2649" s="1666">
        <v>-1.7132516350244459E-2</v>
      </c>
      <c r="G2649" s="78"/>
      <c r="H2649" t="str">
        <f>VLOOKUP(B2649,indexy!$A$44:$D$823,3,FALSE)</f>
        <v>UBS US Equity</v>
      </c>
      <c r="J2649" s="226">
        <v>78.745000000000005</v>
      </c>
      <c r="K2649" s="37">
        <f t="shared" si="83"/>
        <v>5.0143362005734549E-2</v>
      </c>
      <c r="L2649">
        <f t="shared" si="84"/>
        <v>1.0028672401146909E-3</v>
      </c>
      <c r="M2649" s="37"/>
    </row>
    <row r="2650" spans="1:13" hidden="1" outlineLevel="1" x14ac:dyDescent="0.25">
      <c r="A2650" s="739">
        <v>0.05</v>
      </c>
      <c r="B2650" s="712" t="s">
        <v>507</v>
      </c>
      <c r="C2650" s="809">
        <v>20.277999999999999</v>
      </c>
      <c r="D2650" s="737">
        <v>25.495000000000001</v>
      </c>
      <c r="E2650" s="857">
        <v>0.14982185540973258</v>
      </c>
      <c r="F2650" s="1666">
        <v>7.4910927704866298E-3</v>
      </c>
      <c r="G2650" s="78"/>
      <c r="H2650" t="str">
        <f>VLOOKUP(B2650,indexy!$A$44:$D$823,3,FALSE)</f>
        <v>UNA NA Equity</v>
      </c>
      <c r="J2650" s="226">
        <v>22.173000000000002</v>
      </c>
      <c r="K2650" s="37">
        <f t="shared" si="83"/>
        <v>9.3451030673636692E-2</v>
      </c>
      <c r="L2650">
        <f t="shared" si="84"/>
        <v>4.6725515336818345E-3</v>
      </c>
      <c r="M2650" s="37"/>
    </row>
    <row r="2651" spans="1:13" hidden="1" outlineLevel="1" x14ac:dyDescent="0.25">
      <c r="A2651" s="739">
        <v>0.02</v>
      </c>
      <c r="B2651" s="712" t="s">
        <v>3169</v>
      </c>
      <c r="C2651" s="809">
        <v>29.631</v>
      </c>
      <c r="D2651" s="737">
        <v>13.88</v>
      </c>
      <c r="E2651" s="857">
        <v>-0.56277956277956276</v>
      </c>
      <c r="F2651" s="1666">
        <v>-1.1255591255591255E-2</v>
      </c>
      <c r="G2651" s="78"/>
      <c r="H2651" t="str">
        <f>VLOOKUP(B2651,indexy!$A$44:$D$823,3,FALSE)</f>
        <v>VIV FP Equity</v>
      </c>
      <c r="J2651" s="226">
        <v>31.745999999999999</v>
      </c>
      <c r="K2651" s="37">
        <f t="shared" si="83"/>
        <v>7.1377948769869359E-2</v>
      </c>
      <c r="L2651">
        <f t="shared" si="84"/>
        <v>1.4275589753973872E-3</v>
      </c>
      <c r="M2651" s="37"/>
    </row>
    <row r="2652" spans="1:13" hidden="1" outlineLevel="1" x14ac:dyDescent="0.25">
      <c r="A2652" s="739">
        <v>0.03</v>
      </c>
      <c r="B2652" s="974" t="s">
        <v>580</v>
      </c>
      <c r="C2652" s="809">
        <v>89.067499999999995</v>
      </c>
      <c r="D2652" s="737">
        <v>77</v>
      </c>
      <c r="E2652" s="975">
        <v>-0.460217315106905</v>
      </c>
      <c r="F2652" s="1666">
        <v>-1.380651945320715E-2</v>
      </c>
      <c r="G2652" s="78"/>
      <c r="H2652" t="str">
        <f>VLOOKUP(B2652,indexy!$A$44:$D$823,3,FALSE)</f>
        <v>VOLVB SS Equity</v>
      </c>
      <c r="J2652" s="226">
        <v>142.65</v>
      </c>
      <c r="K2652" s="37">
        <f t="shared" si="83"/>
        <v>0.60159429646054963</v>
      </c>
      <c r="L2652">
        <f t="shared" si="84"/>
        <v>1.8047828893816488E-2</v>
      </c>
      <c r="M2652" s="37"/>
    </row>
    <row r="2653" spans="1:13" hidden="1" outlineLevel="1" x14ac:dyDescent="0.25">
      <c r="A2653" s="854"/>
      <c r="B2653" s="718"/>
      <c r="C2653" s="855"/>
      <c r="D2653" s="976" t="s">
        <v>3509</v>
      </c>
      <c r="E2653" s="977">
        <v>6.9800000000000001E-2</v>
      </c>
      <c r="F2653" s="731">
        <v>-0.37887600732298615</v>
      </c>
      <c r="G2653" s="78"/>
      <c r="K2653" s="37">
        <f>L2653*0.8</f>
        <v>4.6301857151227747E-2</v>
      </c>
      <c r="L2653" s="227">
        <f>SUM(L2623:L2652)</f>
        <v>5.7877321439034679E-2</v>
      </c>
    </row>
    <row r="2654" spans="1:13" collapsed="1" x14ac:dyDescent="0.25">
      <c r="A2654" s="3801" t="s">
        <v>2096</v>
      </c>
      <c r="B2654" s="3802"/>
      <c r="C2654" s="3802"/>
      <c r="D2654" s="3802"/>
      <c r="E2654" s="821"/>
      <c r="F2654" s="752">
        <v>6.9800000000000001E-2</v>
      </c>
      <c r="G2654" s="97" t="s">
        <v>781</v>
      </c>
    </row>
    <row r="2655" spans="1:13" x14ac:dyDescent="0.25">
      <c r="A2655" s="1"/>
      <c r="B2655" s="1"/>
      <c r="C2655" s="1"/>
      <c r="D2655" s="1"/>
      <c r="E2655" s="1"/>
      <c r="F2655" s="1848"/>
      <c r="G2655" s="12"/>
      <c r="H2655" s="39"/>
    </row>
    <row r="2656" spans="1:13" hidden="1" outlineLevel="1" x14ac:dyDescent="0.25">
      <c r="A2656" s="689" t="s">
        <v>113</v>
      </c>
      <c r="B2656" s="689" t="s">
        <v>114</v>
      </c>
      <c r="C2656" s="689" t="s">
        <v>112</v>
      </c>
      <c r="D2656" s="689" t="s">
        <v>116</v>
      </c>
      <c r="E2656" s="689" t="s">
        <v>117</v>
      </c>
      <c r="F2656" s="1188" t="s">
        <v>121</v>
      </c>
      <c r="G2656" s="12"/>
      <c r="H2656" s="39"/>
    </row>
    <row r="2657" spans="1:9" hidden="1" outlineLevel="1" x14ac:dyDescent="0.25">
      <c r="A2657" s="690">
        <v>1</v>
      </c>
      <c r="B2657" s="691" t="s">
        <v>252</v>
      </c>
      <c r="C2657" s="692"/>
      <c r="D2657" s="692"/>
      <c r="E2657" s="693"/>
      <c r="F2657" s="694"/>
      <c r="G2657" s="12"/>
      <c r="H2657" s="39"/>
    </row>
    <row r="2658" spans="1:9" hidden="1" outlineLevel="1" x14ac:dyDescent="0.25">
      <c r="A2658" s="695"/>
      <c r="B2658" s="695"/>
      <c r="C2658" s="696"/>
      <c r="D2658" s="697"/>
      <c r="E2658" s="698"/>
      <c r="F2658" s="699"/>
      <c r="G2658" s="12"/>
      <c r="H2658" s="39"/>
    </row>
    <row r="2659" spans="1:9" hidden="1" outlineLevel="1" x14ac:dyDescent="0.25">
      <c r="A2659" s="689" t="s">
        <v>4156</v>
      </c>
      <c r="B2659" s="689" t="s">
        <v>4153</v>
      </c>
      <c r="C2659" s="700" t="s">
        <v>112</v>
      </c>
      <c r="D2659" s="689" t="s">
        <v>116</v>
      </c>
      <c r="E2659" s="689" t="s">
        <v>4154</v>
      </c>
      <c r="F2659" s="1021" t="s">
        <v>2519</v>
      </c>
      <c r="G2659" s="12"/>
      <c r="H2659" s="39"/>
    </row>
    <row r="2660" spans="1:9" hidden="1" outlineLevel="1" x14ac:dyDescent="0.25">
      <c r="A2660" s="734">
        <v>0.05</v>
      </c>
      <c r="B2660" s="972" t="s">
        <v>157</v>
      </c>
      <c r="C2660" s="807">
        <v>8.1405999999999992</v>
      </c>
      <c r="D2660" s="737">
        <v>5.8079999999999998</v>
      </c>
      <c r="E2660" s="973">
        <f>D2660/C2660-1</f>
        <v>-0.28653907574380266</v>
      </c>
      <c r="F2660" s="1830">
        <f>A2660*E2660</f>
        <v>-1.4326953787190134E-2</v>
      </c>
      <c r="G2660" s="12"/>
      <c r="H2660" s="39" t="str">
        <f>VLOOKUP(B2660,indexy!$A$44:$D$232,3,FALSE)</f>
        <v>SAN SM Equity</v>
      </c>
    </row>
    <row r="2661" spans="1:9" hidden="1" outlineLevel="1" x14ac:dyDescent="0.25">
      <c r="A2661" s="739">
        <v>0.02</v>
      </c>
      <c r="B2661" s="712" t="s">
        <v>280</v>
      </c>
      <c r="C2661" s="809">
        <v>45.213900000000002</v>
      </c>
      <c r="D2661" s="737">
        <v>25.740500000000001</v>
      </c>
      <c r="E2661" s="857">
        <f t="shared" ref="E2661:E2689" si="86">D2661/C2661-1</f>
        <v>-0.43069498539166051</v>
      </c>
      <c r="F2661" s="1666">
        <f>E2661*A2661</f>
        <v>-8.61389970783321E-3</v>
      </c>
      <c r="G2661" s="12"/>
      <c r="H2661" s="39" t="str">
        <f>VLOOKUP(B2661,indexy!$A$44:$D$232,3,FALSE)</f>
        <v>AKZA NA Equity</v>
      </c>
    </row>
    <row r="2662" spans="1:9" hidden="1" outlineLevel="1" x14ac:dyDescent="0.25">
      <c r="A2662" s="739">
        <v>0.05</v>
      </c>
      <c r="B2662" s="712" t="s">
        <v>1994</v>
      </c>
      <c r="C2662" s="809">
        <v>65.901200000000003</v>
      </c>
      <c r="D2662" s="737">
        <v>14.349</v>
      </c>
      <c r="E2662" s="857">
        <f t="shared" si="86"/>
        <v>-0.78226496634355669</v>
      </c>
      <c r="F2662" s="1666">
        <f t="shared" ref="F2662:F2689" si="87">E2662*A2662</f>
        <v>-3.9113248317177836E-2</v>
      </c>
      <c r="G2662" s="12"/>
      <c r="H2662" s="39" t="str">
        <f>VLOOKUP(B2662,indexy!$A$44:$D$232,3,FALSE)</f>
        <v>BAC UN Equity</v>
      </c>
    </row>
    <row r="2663" spans="1:9" hidden="1" outlineLevel="1" x14ac:dyDescent="0.25">
      <c r="A2663" s="739">
        <v>0.03</v>
      </c>
      <c r="B2663" s="712" t="s">
        <v>3020</v>
      </c>
      <c r="C2663" s="809">
        <v>39.847999999999999</v>
      </c>
      <c r="D2663" s="737">
        <v>39.781999999999996</v>
      </c>
      <c r="E2663" s="857">
        <f t="shared" si="86"/>
        <v>-1.6562939168842661E-3</v>
      </c>
      <c r="F2663" s="1666">
        <f t="shared" si="87"/>
        <v>-4.9688817506527984E-5</v>
      </c>
      <c r="G2663" s="12"/>
      <c r="H2663" s="39" t="str">
        <f>VLOOKUP(B2663,indexy!$A$44:$D$232,3,FALSE)</f>
        <v>BAYN GR Equity</v>
      </c>
      <c r="I2663" s="106"/>
    </row>
    <row r="2664" spans="1:9" hidden="1" outlineLevel="1" x14ac:dyDescent="0.25">
      <c r="A2664" s="739">
        <v>0.03</v>
      </c>
      <c r="B2664" s="712" t="s">
        <v>901</v>
      </c>
      <c r="C2664" s="809">
        <f>14.395*100</f>
        <v>1439.5</v>
      </c>
      <c r="D2664" s="737">
        <v>1700.9</v>
      </c>
      <c r="E2664" s="857">
        <f t="shared" si="86"/>
        <v>0.1815908301493574</v>
      </c>
      <c r="F2664" s="1666">
        <f t="shared" si="87"/>
        <v>5.4477249044807214E-3</v>
      </c>
      <c r="G2664" s="12"/>
      <c r="H2664" s="39" t="str">
        <f>VLOOKUP(B2664,indexy!$A$44:$D$232,3,FALSE)</f>
        <v>BATS LN Equity</v>
      </c>
    </row>
    <row r="2665" spans="1:9" hidden="1" outlineLevel="1" x14ac:dyDescent="0.25">
      <c r="A2665" s="739">
        <v>0.05</v>
      </c>
      <c r="B2665" s="712" t="s">
        <v>1847</v>
      </c>
      <c r="C2665" s="809">
        <v>64.809899999999999</v>
      </c>
      <c r="D2665" s="737">
        <v>6.9020000000000001</v>
      </c>
      <c r="E2665" s="857">
        <f t="shared" si="86"/>
        <v>-0.89350392455473626</v>
      </c>
      <c r="F2665" s="1666">
        <f t="shared" si="87"/>
        <v>-4.4675196227736816E-2</v>
      </c>
      <c r="G2665" s="12"/>
      <c r="H2665" s="39" t="str">
        <f>VLOOKUP(B2665,indexy!$A$44:$D$232,3,FALSE)</f>
        <v>C UN Equity</v>
      </c>
    </row>
    <row r="2666" spans="1:9" hidden="1" outlineLevel="1" x14ac:dyDescent="0.25">
      <c r="A2666" s="739">
        <v>0.03</v>
      </c>
      <c r="B2666" s="712" t="s">
        <v>3792</v>
      </c>
      <c r="C2666" s="809">
        <v>44.2425</v>
      </c>
      <c r="D2666" s="737">
        <v>20.187000000000001</v>
      </c>
      <c r="E2666" s="857">
        <f t="shared" si="86"/>
        <v>-0.54371927445329715</v>
      </c>
      <c r="F2666" s="1666">
        <f t="shared" si="87"/>
        <v>-1.6311578233598915E-2</v>
      </c>
      <c r="G2666" s="12"/>
      <c r="H2666" s="39" t="str">
        <f>VLOOKUP(B2666,indexy!$A$44:$D$232,3,FALSE)</f>
        <v>CMA UN Equity</v>
      </c>
    </row>
    <row r="2667" spans="1:9" hidden="1" outlineLevel="1" x14ac:dyDescent="0.25">
      <c r="A2667" s="739">
        <v>0.02</v>
      </c>
      <c r="B2667" s="712" t="s">
        <v>51</v>
      </c>
      <c r="C2667" s="809">
        <v>40.429900000000004</v>
      </c>
      <c r="D2667" s="737">
        <v>28.833500000000001</v>
      </c>
      <c r="E2667" s="857">
        <f t="shared" si="86"/>
        <v>-0.28682732334237782</v>
      </c>
      <c r="F2667" s="1666">
        <f t="shared" si="87"/>
        <v>-5.7365464668475566E-3</v>
      </c>
      <c r="G2667" s="12"/>
      <c r="H2667" s="39" t="str">
        <f>VLOOKUP(B2667,indexy!$A$44:$D$232,3,FALSE)</f>
        <v>SGO FP Equity</v>
      </c>
    </row>
    <row r="2668" spans="1:9" hidden="1" outlineLevel="1" x14ac:dyDescent="0.25">
      <c r="A2668" s="739">
        <v>0.02</v>
      </c>
      <c r="B2668" s="712" t="s">
        <v>4025</v>
      </c>
      <c r="C2668" s="809">
        <v>44.947899999999997</v>
      </c>
      <c r="D2668" s="737">
        <v>23.080500000000001</v>
      </c>
      <c r="E2668" s="857">
        <f t="shared" si="86"/>
        <v>-0.48650548746437539</v>
      </c>
      <c r="F2668" s="1666">
        <f t="shared" si="87"/>
        <v>-9.7301097492875077E-3</v>
      </c>
      <c r="G2668" s="12"/>
      <c r="H2668" s="39" t="str">
        <f>VLOOKUP(B2668,indexy!$A$44:$D$232,3,FALSE)</f>
        <v>MBG GR Equity</v>
      </c>
    </row>
    <row r="2669" spans="1:9" hidden="1" outlineLevel="1" x14ac:dyDescent="0.25">
      <c r="A2669" s="739">
        <v>0.03</v>
      </c>
      <c r="B2669" s="712" t="s">
        <v>4110</v>
      </c>
      <c r="C2669" s="809">
        <v>40.836399999999998</v>
      </c>
      <c r="D2669" s="737">
        <v>36.143000000000001</v>
      </c>
      <c r="E2669" s="857">
        <f t="shared" si="86"/>
        <v>-0.11493177655229148</v>
      </c>
      <c r="F2669" s="1666">
        <f t="shared" si="87"/>
        <v>-3.4479532965687441E-3</v>
      </c>
      <c r="G2669" s="12"/>
      <c r="H2669" s="39" t="e">
        <f>VLOOKUP(B2669,indexy!$A$44:$D$232,3,FALSE)</f>
        <v>#N/A</v>
      </c>
    </row>
    <row r="2670" spans="1:9" hidden="1" outlineLevel="1" x14ac:dyDescent="0.25">
      <c r="A2670" s="739">
        <v>0.03</v>
      </c>
      <c r="B2670" s="712" t="s">
        <v>2630</v>
      </c>
      <c r="C2670" s="809">
        <v>14.99175</v>
      </c>
      <c r="D2670" s="737">
        <v>19.54</v>
      </c>
      <c r="E2670" s="857">
        <f t="shared" si="86"/>
        <v>0.30338352760685039</v>
      </c>
      <c r="F2670" s="1666">
        <f t="shared" si="87"/>
        <v>9.1015058282055122E-3</v>
      </c>
      <c r="G2670" s="12"/>
      <c r="H2670" s="39" t="e">
        <f>VLOOKUP(B2670,indexy!$A$44:$D$232,3,FALSE)</f>
        <v>#N/A</v>
      </c>
    </row>
    <row r="2671" spans="1:9" hidden="1" outlineLevel="1" x14ac:dyDescent="0.25">
      <c r="A2671" s="739">
        <v>0.05</v>
      </c>
      <c r="B2671" s="712" t="s">
        <v>3798</v>
      </c>
      <c r="C2671" s="809">
        <v>7.7796000000000003</v>
      </c>
      <c r="D2671" s="737">
        <v>5.0758000000000001</v>
      </c>
      <c r="E2671" s="857">
        <f t="shared" si="86"/>
        <v>-0.34755000257082624</v>
      </c>
      <c r="F2671" s="1666">
        <f t="shared" si="87"/>
        <v>-1.7377500128541314E-2</v>
      </c>
      <c r="G2671" s="12"/>
      <c r="H2671" s="39" t="str">
        <f>VLOOKUP(B2671,indexy!$A$44:$D$232,3,FALSE)</f>
        <v>ENEL IM Equity</v>
      </c>
    </row>
    <row r="2672" spans="1:9" hidden="1" outlineLevel="1" x14ac:dyDescent="0.25">
      <c r="A2672" s="739">
        <v>0.04</v>
      </c>
      <c r="B2672" s="712" t="s">
        <v>2629</v>
      </c>
      <c r="C2672" s="809">
        <v>10.836</v>
      </c>
      <c r="D2672" s="737">
        <v>10.884</v>
      </c>
      <c r="E2672" s="857">
        <f t="shared" si="86"/>
        <v>4.4296788482836025E-3</v>
      </c>
      <c r="F2672" s="1666">
        <f t="shared" si="87"/>
        <v>1.7718715393134411E-4</v>
      </c>
      <c r="G2672" s="12"/>
      <c r="H2672" s="39" t="str">
        <f>VLOOKUP(B2672,indexy!$A$44:$D$232,3,FALSE)</f>
        <v>DTE GY Equity</v>
      </c>
    </row>
    <row r="2673" spans="1:8" hidden="1" outlineLevel="1" x14ac:dyDescent="0.25">
      <c r="A2673" s="739">
        <v>0.03</v>
      </c>
      <c r="B2673" s="712" t="s">
        <v>44</v>
      </c>
      <c r="C2673" s="809">
        <v>5.2923999999999998</v>
      </c>
      <c r="D2673" s="737">
        <v>2.2848000000000002</v>
      </c>
      <c r="E2673" s="857">
        <f t="shared" si="86"/>
        <v>-0.56828659965233164</v>
      </c>
      <c r="F2673" s="1666">
        <f t="shared" si="87"/>
        <v>-1.7048597989569949E-2</v>
      </c>
      <c r="G2673" s="12"/>
      <c r="H2673" s="39" t="str">
        <f>VLOOKUP(B2673,indexy!$A$44:$D$232,3,FALSE)</f>
        <v>ISP IM Equity</v>
      </c>
    </row>
    <row r="2674" spans="1:8" hidden="1" outlineLevel="1" x14ac:dyDescent="0.25">
      <c r="A2674" s="739">
        <v>0.03</v>
      </c>
      <c r="B2674" s="712" t="s">
        <v>1031</v>
      </c>
      <c r="C2674" s="809">
        <v>33.462000000000003</v>
      </c>
      <c r="D2674" s="737">
        <v>5.6340000000000003</v>
      </c>
      <c r="E2674" s="857">
        <f t="shared" si="86"/>
        <v>-0.83162990855298546</v>
      </c>
      <c r="F2674" s="1666">
        <f t="shared" si="87"/>
        <v>-2.4948897256589563E-2</v>
      </c>
      <c r="G2674" s="12"/>
      <c r="H2674" s="39" t="str">
        <f>VLOOKUP(B2674,indexy!$A$44:$D$232,3,FALSE)</f>
        <v>IBE SQ Equity</v>
      </c>
    </row>
    <row r="2675" spans="1:8" hidden="1" outlineLevel="1" x14ac:dyDescent="0.25">
      <c r="A2675" s="739">
        <v>0.03</v>
      </c>
      <c r="B2675" s="712" t="s">
        <v>1526</v>
      </c>
      <c r="C2675" s="809">
        <v>90.704899999999995</v>
      </c>
      <c r="D2675" s="737">
        <v>21.520499999999998</v>
      </c>
      <c r="E2675" s="857">
        <f t="shared" si="86"/>
        <v>-0.76274159389404539</v>
      </c>
      <c r="F2675" s="1666">
        <f t="shared" si="87"/>
        <v>-2.2882247816821362E-2</v>
      </c>
      <c r="G2675" s="12"/>
      <c r="H2675" s="39" t="str">
        <f>VLOOKUP(B2675,indexy!$A$44:$D$232,3,FALSE)</f>
        <v>KBC BB Equity</v>
      </c>
    </row>
    <row r="2676" spans="1:8" hidden="1" outlineLevel="1" x14ac:dyDescent="0.25">
      <c r="A2676" s="739">
        <v>0.03</v>
      </c>
      <c r="B2676" s="712" t="s">
        <v>281</v>
      </c>
      <c r="C2676" s="809">
        <v>54.922499999999999</v>
      </c>
      <c r="D2676" s="737">
        <v>8.4499999999999993</v>
      </c>
      <c r="E2676" s="857">
        <f t="shared" si="86"/>
        <v>-0.84614684327916612</v>
      </c>
      <c r="F2676" s="1666">
        <f t="shared" si="87"/>
        <v>-2.5384405298374983E-2</v>
      </c>
      <c r="G2676" s="12"/>
      <c r="H2676" s="39" t="str">
        <f>VLOOKUP(B2676,indexy!$A$44:$D$232,3,FALSE)</f>
        <v>KEY UN Equity</v>
      </c>
    </row>
    <row r="2677" spans="1:8" hidden="1" outlineLevel="1" x14ac:dyDescent="0.25">
      <c r="A2677" s="739">
        <v>0.02</v>
      </c>
      <c r="B2677" s="712" t="s">
        <v>1203</v>
      </c>
      <c r="C2677" s="809">
        <v>101.84999000000001</v>
      </c>
      <c r="D2677" s="737">
        <v>58.28</v>
      </c>
      <c r="E2677" s="857">
        <f t="shared" si="86"/>
        <v>-0.42778590356268076</v>
      </c>
      <c r="F2677" s="1666">
        <f t="shared" si="87"/>
        <v>-8.5557180712536162E-3</v>
      </c>
      <c r="G2677" s="12"/>
      <c r="H2677" s="39" t="str">
        <f>VLOOKUP(B2677,indexy!$A$44:$D$232,3,FALSE)</f>
        <v>NDA SS Equity</v>
      </c>
    </row>
    <row r="2678" spans="1:8" hidden="1" outlineLevel="1" x14ac:dyDescent="0.25">
      <c r="A2678" s="739">
        <v>0.02</v>
      </c>
      <c r="B2678" s="712" t="s">
        <v>1414</v>
      </c>
      <c r="C2678" s="809">
        <v>25.146989999999999</v>
      </c>
      <c r="D2678" s="737">
        <v>15.865</v>
      </c>
      <c r="E2678" s="857">
        <f t="shared" si="86"/>
        <v>-0.3691093844631107</v>
      </c>
      <c r="F2678" s="1666">
        <f t="shared" si="87"/>
        <v>-7.3821876892622143E-3</v>
      </c>
      <c r="G2678" s="12"/>
      <c r="H2678" s="39" t="str">
        <f>VLOOKUP(B2678,indexy!$A$44:$D$232,3,FALSE)</f>
        <v>PFE UN Equity</v>
      </c>
    </row>
    <row r="2679" spans="1:8" hidden="1" outlineLevel="1" x14ac:dyDescent="0.25">
      <c r="A2679" s="739">
        <v>0.04</v>
      </c>
      <c r="B2679" s="712" t="s">
        <v>2587</v>
      </c>
      <c r="C2679" s="809">
        <v>556.64</v>
      </c>
      <c r="D2679" s="737">
        <v>48.98</v>
      </c>
      <c r="E2679" s="857">
        <f t="shared" si="86"/>
        <v>-0.91200776085081925</v>
      </c>
      <c r="F2679" s="1666">
        <f t="shared" si="87"/>
        <v>-3.648031043403277E-2</v>
      </c>
      <c r="G2679" s="12"/>
      <c r="H2679" s="39" t="e">
        <f>VLOOKUP(B2679,indexy!$A$44:$D$232,3,FALSE)</f>
        <v>#N/A</v>
      </c>
    </row>
    <row r="2680" spans="1:8" hidden="1" outlineLevel="1" x14ac:dyDescent="0.25">
      <c r="A2680" s="739">
        <v>0.03</v>
      </c>
      <c r="B2680" s="712" t="s">
        <v>3801</v>
      </c>
      <c r="C2680" s="809">
        <v>66.245999999999995</v>
      </c>
      <c r="D2680" s="737">
        <v>63.93</v>
      </c>
      <c r="E2680" s="857">
        <f t="shared" si="86"/>
        <v>-3.4960601394801172E-2</v>
      </c>
      <c r="F2680" s="1666">
        <f t="shared" si="87"/>
        <v>-1.0488180418440352E-3</v>
      </c>
      <c r="G2680" s="12"/>
      <c r="H2680" s="39" t="str">
        <f>VLOOKUP(B2680,indexy!$A$44:$D$232,3,FALSE)</f>
        <v>RWE GY Equity</v>
      </c>
    </row>
    <row r="2681" spans="1:8" hidden="1" outlineLevel="1" x14ac:dyDescent="0.25">
      <c r="A2681" s="739">
        <v>0.02</v>
      </c>
      <c r="B2681" s="712" t="s">
        <v>279</v>
      </c>
      <c r="C2681" s="809">
        <v>54.675400000000003</v>
      </c>
      <c r="D2681" s="737">
        <v>45.965499999999999</v>
      </c>
      <c r="E2681" s="857">
        <f t="shared" si="86"/>
        <v>-0.15930198956020447</v>
      </c>
      <c r="F2681" s="1666">
        <f t="shared" si="87"/>
        <v>-3.1860397912040895E-3</v>
      </c>
      <c r="G2681" s="12"/>
      <c r="H2681" s="39" t="str">
        <f>VLOOKUP(B2681,indexy!$A$44:$D$232,3,FALSE)</f>
        <v>SU FP Equity</v>
      </c>
    </row>
    <row r="2682" spans="1:8" hidden="1" outlineLevel="1" x14ac:dyDescent="0.25">
      <c r="A2682" s="739">
        <v>0.02</v>
      </c>
      <c r="B2682" s="712" t="s">
        <v>3656</v>
      </c>
      <c r="C2682" s="809">
        <v>104.8755</v>
      </c>
      <c r="D2682" s="737">
        <v>62.125</v>
      </c>
      <c r="E2682" s="857">
        <f t="shared" si="86"/>
        <v>-0.4076309528917621</v>
      </c>
      <c r="F2682" s="1666">
        <f t="shared" si="87"/>
        <v>-8.1526190578352416E-3</v>
      </c>
      <c r="G2682" s="12"/>
      <c r="H2682" s="39" t="str">
        <f>VLOOKUP(B2682,indexy!$A$44:$D$232,3,FALSE)</f>
        <v>SKFB SS Equity</v>
      </c>
    </row>
    <row r="2683" spans="1:8" hidden="1" outlineLevel="1" x14ac:dyDescent="0.25">
      <c r="A2683" s="739">
        <v>0.03</v>
      </c>
      <c r="B2683" s="712" t="s">
        <v>2166</v>
      </c>
      <c r="C2683" s="809">
        <v>117.7831</v>
      </c>
      <c r="D2683" s="737">
        <v>32.253500000000003</v>
      </c>
      <c r="E2683" s="857">
        <f t="shared" si="86"/>
        <v>-0.72616190268383152</v>
      </c>
      <c r="F2683" s="1666">
        <f t="shared" si="87"/>
        <v>-2.1784857080514943E-2</v>
      </c>
      <c r="G2683" s="12"/>
      <c r="H2683" s="39" t="str">
        <f>VLOOKUP(B2683,indexy!$A$44:$D$232,3,FALSE)</f>
        <v>GLE FP Equity</v>
      </c>
    </row>
    <row r="2684" spans="1:8" hidden="1" outlineLevel="1" x14ac:dyDescent="0.25">
      <c r="A2684" s="739">
        <v>0.04</v>
      </c>
      <c r="B2684" s="712" t="s">
        <v>3427</v>
      </c>
      <c r="C2684" s="809">
        <v>36.774999999999999</v>
      </c>
      <c r="D2684" s="737">
        <v>35.326999999999998</v>
      </c>
      <c r="E2684" s="857">
        <f t="shared" si="86"/>
        <v>-3.9374575118966693E-2</v>
      </c>
      <c r="F2684" s="1666">
        <f t="shared" si="87"/>
        <v>-1.5749830047586677E-3</v>
      </c>
      <c r="G2684" s="12"/>
      <c r="H2684" s="39" t="str">
        <f>VLOOKUP(B2684,indexy!$A$44:$D$232,3,FALSE)</f>
        <v>SO UN Equity</v>
      </c>
    </row>
    <row r="2685" spans="1:8" hidden="1" outlineLevel="1" x14ac:dyDescent="0.25">
      <c r="A2685" s="739">
        <v>0.03</v>
      </c>
      <c r="B2685" s="712" t="s">
        <v>181</v>
      </c>
      <c r="C2685" s="809">
        <v>104.07</v>
      </c>
      <c r="D2685" s="737">
        <v>43.281999999999996</v>
      </c>
      <c r="E2685" s="857">
        <f t="shared" si="86"/>
        <v>-0.58410685115787453</v>
      </c>
      <c r="F2685" s="1666">
        <f t="shared" si="87"/>
        <v>-1.7523205534736234E-2</v>
      </c>
      <c r="G2685" s="12"/>
      <c r="H2685" s="39" t="e">
        <f>VLOOKUP(B2685,indexy!$A$44:$D$232,3,FALSE)</f>
        <v>#N/A</v>
      </c>
    </row>
    <row r="2686" spans="1:8" hidden="1" outlineLevel="1" x14ac:dyDescent="0.25">
      <c r="A2686" s="739">
        <v>0.03</v>
      </c>
      <c r="B2686" s="712" t="s">
        <v>3022</v>
      </c>
      <c r="C2686" s="809">
        <v>7654</v>
      </c>
      <c r="D2686" s="737">
        <v>4603</v>
      </c>
      <c r="E2686" s="857">
        <f t="shared" si="86"/>
        <v>-0.39861510321400573</v>
      </c>
      <c r="F2686" s="1666">
        <f t="shared" si="87"/>
        <v>-1.1958453096420171E-2</v>
      </c>
      <c r="G2686" s="12"/>
      <c r="H2686" s="39" t="str">
        <f>VLOOKUP(B2686,indexy!$A$44:$D$232,3,FALSE)</f>
        <v>4502 JT Equity</v>
      </c>
    </row>
    <row r="2687" spans="1:8" hidden="1" outlineLevel="1" x14ac:dyDescent="0.25">
      <c r="A2687" s="739">
        <v>0.05</v>
      </c>
      <c r="B2687" s="712" t="s">
        <v>1527</v>
      </c>
      <c r="C2687" s="809">
        <v>2.8497499999999998</v>
      </c>
      <c r="D2687" s="737">
        <v>1.0296000000000001</v>
      </c>
      <c r="E2687" s="857">
        <f t="shared" si="86"/>
        <v>-0.63870514957452396</v>
      </c>
      <c r="F2687" s="1666">
        <f t="shared" si="87"/>
        <v>-3.1935257478726199E-2</v>
      </c>
      <c r="G2687" s="12"/>
      <c r="H2687" s="39" t="str">
        <f>VLOOKUP(B2687,indexy!$A$44:$D$232,3,FALSE)</f>
        <v>TIT IM Equity</v>
      </c>
    </row>
    <row r="2688" spans="1:8" hidden="1" outlineLevel="1" x14ac:dyDescent="0.25">
      <c r="A2688" s="739">
        <v>0.05</v>
      </c>
      <c r="B2688" s="712" t="s">
        <v>577</v>
      </c>
      <c r="C2688" s="809">
        <v>26.53</v>
      </c>
      <c r="D2688" s="737">
        <v>15.132999999999999</v>
      </c>
      <c r="E2688" s="857">
        <f t="shared" si="86"/>
        <v>-0.42958914436487006</v>
      </c>
      <c r="F2688" s="1666">
        <f t="shared" si="87"/>
        <v>-2.1479457218243504E-2</v>
      </c>
      <c r="G2688" s="12"/>
      <c r="H2688" s="39" t="str">
        <f>VLOOKUP(B2688,indexy!$A$44:$D$232,3,FALSE)</f>
        <v>TEF SQ Equity</v>
      </c>
    </row>
    <row r="2689" spans="1:8" hidden="1" outlineLevel="1" x14ac:dyDescent="0.25">
      <c r="A2689" s="739">
        <v>0.05</v>
      </c>
      <c r="B2689" s="712" t="s">
        <v>576</v>
      </c>
      <c r="C2689" s="809">
        <v>15.875999999999999</v>
      </c>
      <c r="D2689" s="737">
        <v>8.2204999999999995</v>
      </c>
      <c r="E2689" s="975">
        <f t="shared" si="86"/>
        <v>-0.48220584530108346</v>
      </c>
      <c r="F2689" s="1666">
        <f t="shared" si="87"/>
        <v>-2.4110292265054175E-2</v>
      </c>
      <c r="G2689" s="12"/>
      <c r="H2689" s="39" t="e">
        <f>VLOOKUP(B2689,indexy!$A$44:$D$232,3,FALSE)</f>
        <v>#N/A</v>
      </c>
    </row>
    <row r="2690" spans="1:8" hidden="1" outlineLevel="1" x14ac:dyDescent="0.25">
      <c r="A2690" s="854"/>
      <c r="B2690" s="718"/>
      <c r="C2690" s="855"/>
      <c r="D2690" s="867"/>
      <c r="E2690" s="820"/>
      <c r="F2690" s="731">
        <f>SUM(F2660:F2689)</f>
        <v>-0.4300926039709127</v>
      </c>
      <c r="G2690" s="12"/>
      <c r="H2690" s="39"/>
    </row>
    <row r="2691" spans="1:8" collapsed="1" x14ac:dyDescent="0.25">
      <c r="A2691" s="3801" t="s">
        <v>2370</v>
      </c>
      <c r="B2691" s="3802"/>
      <c r="C2691" s="3802"/>
      <c r="D2691" s="3802"/>
      <c r="E2691" s="821" t="s">
        <v>2722</v>
      </c>
      <c r="F2691" s="752">
        <f>F2690*parametry!N116</f>
        <v>-0.4300926039709127</v>
      </c>
      <c r="G2691" s="175" t="s">
        <v>781</v>
      </c>
      <c r="H2691" s="12"/>
    </row>
    <row r="2692" spans="1:8" x14ac:dyDescent="0.25">
      <c r="A2692" s="1"/>
      <c r="B2692" s="1"/>
      <c r="C2692" s="1"/>
      <c r="D2692" s="1"/>
      <c r="E2692" s="1"/>
      <c r="F2692" s="1848"/>
      <c r="G2692" s="78"/>
      <c r="H2692" s="101"/>
    </row>
    <row r="2693" spans="1:8" hidden="1" outlineLevel="1" x14ac:dyDescent="0.25">
      <c r="A2693" s="689" t="s">
        <v>113</v>
      </c>
      <c r="B2693" s="689" t="s">
        <v>114</v>
      </c>
      <c r="C2693" s="689" t="s">
        <v>112</v>
      </c>
      <c r="D2693" s="689" t="s">
        <v>116</v>
      </c>
      <c r="E2693" s="689" t="s">
        <v>117</v>
      </c>
      <c r="F2693" s="1188" t="s">
        <v>121</v>
      </c>
      <c r="G2693" s="78"/>
    </row>
    <row r="2694" spans="1:8" hidden="1" outlineLevel="1" x14ac:dyDescent="0.25">
      <c r="A2694" s="690">
        <v>1</v>
      </c>
      <c r="B2694" s="691" t="s">
        <v>252</v>
      </c>
      <c r="C2694" s="692"/>
      <c r="D2694" s="692"/>
      <c r="E2694" s="693"/>
      <c r="F2694" s="694"/>
      <c r="G2694" s="78"/>
    </row>
    <row r="2695" spans="1:8" hidden="1" outlineLevel="1" x14ac:dyDescent="0.25">
      <c r="A2695" s="695"/>
      <c r="B2695" s="695"/>
      <c r="C2695" s="696"/>
      <c r="D2695" s="697" t="s">
        <v>3702</v>
      </c>
      <c r="E2695" s="698">
        <v>40877</v>
      </c>
      <c r="F2695" s="699"/>
      <c r="G2695" s="78"/>
    </row>
    <row r="2696" spans="1:8" hidden="1" outlineLevel="1" x14ac:dyDescent="0.25">
      <c r="A2696" s="689" t="s">
        <v>4156</v>
      </c>
      <c r="B2696" s="689" t="s">
        <v>4153</v>
      </c>
      <c r="C2696" s="700" t="s">
        <v>112</v>
      </c>
      <c r="D2696" s="689" t="s">
        <v>4155</v>
      </c>
      <c r="E2696" s="689" t="s">
        <v>4154</v>
      </c>
      <c r="F2696" s="1021" t="s">
        <v>1332</v>
      </c>
      <c r="G2696" s="78"/>
    </row>
    <row r="2697" spans="1:8" hidden="1" outlineLevel="1" x14ac:dyDescent="0.25">
      <c r="A2697" s="734">
        <v>0.05</v>
      </c>
      <c r="B2697" s="972" t="s">
        <v>3302</v>
      </c>
      <c r="C2697" s="807">
        <v>69.676000000000002</v>
      </c>
      <c r="D2697" s="823">
        <v>57.91</v>
      </c>
      <c r="E2697" s="817">
        <v>-0.16886732877891963</v>
      </c>
      <c r="F2697" s="1021" t="s">
        <v>2024</v>
      </c>
      <c r="G2697" s="78"/>
      <c r="H2697" t="str">
        <f>VLOOKUP(B2697,indexy!$A$44:$D$232,3,FALSE)</f>
        <v>AMGN UQ Equity</v>
      </c>
    </row>
    <row r="2698" spans="1:8" hidden="1" outlineLevel="1" x14ac:dyDescent="0.25">
      <c r="A2698" s="739">
        <v>0.05</v>
      </c>
      <c r="B2698" s="712" t="s">
        <v>51</v>
      </c>
      <c r="C2698" s="809">
        <v>60.645000000000003</v>
      </c>
      <c r="D2698" s="823">
        <v>31.405000000000001</v>
      </c>
      <c r="E2698" s="818">
        <v>-0.48215021848462358</v>
      </c>
      <c r="F2698" s="946" t="s">
        <v>2024</v>
      </c>
      <c r="G2698" s="78"/>
      <c r="H2698" t="str">
        <f>VLOOKUP(B2698,indexy!$A$44:$D$232,3,FALSE)</f>
        <v>SGO FP Equity</v>
      </c>
    </row>
    <row r="2699" spans="1:8" hidden="1" outlineLevel="1" x14ac:dyDescent="0.25">
      <c r="A2699" s="739">
        <v>0.05</v>
      </c>
      <c r="B2699" s="712" t="s">
        <v>3406</v>
      </c>
      <c r="C2699" s="809">
        <v>985.24999999999989</v>
      </c>
      <c r="D2699" s="823">
        <v>1362</v>
      </c>
      <c r="E2699" s="818">
        <v>0.38239025628013201</v>
      </c>
      <c r="F2699" s="946" t="s">
        <v>2024</v>
      </c>
      <c r="G2699" s="78"/>
      <c r="H2699" t="str">
        <f>VLOOKUP(B2699,indexy!$A$44:$D$232,3,FALSE)</f>
        <v>DGE LN Equity</v>
      </c>
    </row>
    <row r="2700" spans="1:8" hidden="1" outlineLevel="1" x14ac:dyDescent="0.25">
      <c r="A2700" s="739">
        <v>0.05</v>
      </c>
      <c r="B2700" s="712" t="s">
        <v>4387</v>
      </c>
      <c r="C2700" s="809">
        <v>33.402333333333331</v>
      </c>
      <c r="D2700" s="823">
        <v>18.36</v>
      </c>
      <c r="E2700" s="818">
        <v>-0.45033780075244245</v>
      </c>
      <c r="F2700" s="946" t="s">
        <v>2024</v>
      </c>
      <c r="G2700" s="78"/>
      <c r="H2700" t="str">
        <f>VLOOKUP(B2700,indexy!$A$44:$D$232,3,FALSE)</f>
        <v>EOAN GY Equity</v>
      </c>
    </row>
    <row r="2701" spans="1:8" hidden="1" outlineLevel="1" x14ac:dyDescent="0.25">
      <c r="A2701" s="739">
        <v>0.05</v>
      </c>
      <c r="B2701" s="712" t="s">
        <v>4064</v>
      </c>
      <c r="C2701" s="809">
        <v>54.167000000000002</v>
      </c>
      <c r="D2701" s="823">
        <v>37.85</v>
      </c>
      <c r="E2701" s="818">
        <v>-0.30123506932265032</v>
      </c>
      <c r="F2701" s="946" t="s">
        <v>2024</v>
      </c>
      <c r="G2701" s="78"/>
      <c r="H2701" t="str">
        <f>VLOOKUP(B2701,indexy!$A$44:$D$232,3,FALSE)</f>
        <v>LLY UN Equity</v>
      </c>
    </row>
    <row r="2702" spans="1:8" hidden="1" outlineLevel="1" x14ac:dyDescent="0.25">
      <c r="A2702" s="739">
        <v>0.05</v>
      </c>
      <c r="B2702" s="712" t="s">
        <v>3798</v>
      </c>
      <c r="C2702" s="809">
        <v>7.7796000000000003</v>
      </c>
      <c r="D2702" s="823">
        <v>3.1520000000000001</v>
      </c>
      <c r="E2702" s="818">
        <v>-0.59483778086276928</v>
      </c>
      <c r="F2702" s="946" t="s">
        <v>2024</v>
      </c>
      <c r="G2702" s="78"/>
      <c r="H2702" t="str">
        <f>VLOOKUP(B2702,indexy!$A$44:$D$232,3,FALSE)</f>
        <v>ENEL IM Equity</v>
      </c>
    </row>
    <row r="2703" spans="1:8" hidden="1" outlineLevel="1" x14ac:dyDescent="0.25">
      <c r="A2703" s="756">
        <v>0.05</v>
      </c>
      <c r="B2703" s="978" t="s">
        <v>1176</v>
      </c>
      <c r="C2703" s="808">
        <v>31.219000000000001</v>
      </c>
      <c r="D2703" s="979">
        <v>1.3</v>
      </c>
      <c r="E2703" s="819">
        <v>-0.95835869182228772</v>
      </c>
      <c r="F2703" s="1850" t="s">
        <v>2025</v>
      </c>
      <c r="G2703" s="244">
        <v>39753</v>
      </c>
      <c r="H2703" s="163" t="str">
        <f>VLOOKUP(B2703,indexy!$A$44:$D$232,3,FALSE)</f>
        <v>AGS BB Equity</v>
      </c>
    </row>
    <row r="2704" spans="1:8" hidden="1" outlineLevel="1" x14ac:dyDescent="0.25">
      <c r="A2704" s="739">
        <v>0.05</v>
      </c>
      <c r="B2704" s="712" t="s">
        <v>159</v>
      </c>
      <c r="C2704" s="809">
        <v>483.44299999999998</v>
      </c>
      <c r="D2704" s="823">
        <v>599.39</v>
      </c>
      <c r="E2704" s="818">
        <v>0.23983592688279698</v>
      </c>
      <c r="F2704" s="946" t="s">
        <v>2024</v>
      </c>
      <c r="G2704" s="78"/>
      <c r="H2704" t="e">
        <f>VLOOKUP(B2704,indexy!$A$44:$D$232,3,FALSE)</f>
        <v>#N/A</v>
      </c>
    </row>
    <row r="2705" spans="1:8" hidden="1" outlineLevel="1" x14ac:dyDescent="0.25">
      <c r="A2705" s="739">
        <v>0.05</v>
      </c>
      <c r="B2705" s="712" t="s">
        <v>1377</v>
      </c>
      <c r="C2705" s="809">
        <v>39.878</v>
      </c>
      <c r="D2705" s="823">
        <v>27.95</v>
      </c>
      <c r="E2705" s="818">
        <v>-0.29911229249210092</v>
      </c>
      <c r="F2705" s="946" t="s">
        <v>2024</v>
      </c>
      <c r="G2705" s="78"/>
      <c r="H2705" t="str">
        <f>VLOOKUP(B2705,indexy!$A$44:$D$232,3,FALSE)</f>
        <v>HPQ UN Equity</v>
      </c>
    </row>
    <row r="2706" spans="1:8" hidden="1" outlineLevel="1" x14ac:dyDescent="0.25">
      <c r="A2706" s="756">
        <v>0.05</v>
      </c>
      <c r="B2706" s="978" t="s">
        <v>2588</v>
      </c>
      <c r="C2706" s="808">
        <v>32.35</v>
      </c>
      <c r="D2706" s="979">
        <v>5.7389999999999999</v>
      </c>
      <c r="E2706" s="819">
        <v>-0.82259659969088106</v>
      </c>
      <c r="F2706" s="1850" t="s">
        <v>2025</v>
      </c>
      <c r="G2706" s="306" t="s">
        <v>4451</v>
      </c>
      <c r="H2706" s="163" t="str">
        <f>VLOOKUP(B2706,indexy!$A$44:$D$232,3,FALSE)</f>
        <v>INGA NA Equity</v>
      </c>
    </row>
    <row r="2707" spans="1:8" hidden="1" outlineLevel="1" x14ac:dyDescent="0.25">
      <c r="A2707" s="739">
        <v>0.05</v>
      </c>
      <c r="B2707" s="712" t="s">
        <v>1528</v>
      </c>
      <c r="C2707" s="809">
        <v>78.16</v>
      </c>
      <c r="D2707" s="823">
        <v>116.6</v>
      </c>
      <c r="E2707" s="818">
        <v>0.49181166837256907</v>
      </c>
      <c r="F2707" s="946" t="s">
        <v>2024</v>
      </c>
      <c r="G2707" s="78"/>
      <c r="H2707" t="str">
        <f>VLOOKUP(B2707,indexy!$A$44:$D$232,3,FALSE)</f>
        <v>MC FP Equity</v>
      </c>
    </row>
    <row r="2708" spans="1:8" hidden="1" outlineLevel="1" x14ac:dyDescent="0.25">
      <c r="A2708" s="739">
        <v>0.05</v>
      </c>
      <c r="B2708" s="712" t="s">
        <v>2397</v>
      </c>
      <c r="C2708" s="809">
        <v>87.066234500000007</v>
      </c>
      <c r="D2708" s="823">
        <v>47.87</v>
      </c>
      <c r="E2708" s="818">
        <v>-0.45018869513645965</v>
      </c>
      <c r="F2708" s="946" t="s">
        <v>2024</v>
      </c>
      <c r="G2708" s="78"/>
      <c r="H2708" t="str">
        <f>VLOOKUP(B2708,indexy!$A$44:$D$232,3,FALSE)</f>
        <v>MSI UN Equity</v>
      </c>
    </row>
    <row r="2709" spans="1:8" hidden="1" outlineLevel="1" x14ac:dyDescent="0.25">
      <c r="A2709" s="739">
        <v>0.05</v>
      </c>
      <c r="B2709" s="712" t="s">
        <v>1190</v>
      </c>
      <c r="C2709" s="809">
        <v>15.423999999999999</v>
      </c>
      <c r="D2709" s="823">
        <v>4.274</v>
      </c>
      <c r="E2709" s="818">
        <v>-0.72289937759336098</v>
      </c>
      <c r="F2709" s="946" t="s">
        <v>2024</v>
      </c>
      <c r="G2709" s="78"/>
      <c r="H2709" t="str">
        <f>VLOOKUP(B2709,indexy!$A$44:$D$232,3,FALSE)</f>
        <v>NOKIA FH Equity</v>
      </c>
    </row>
    <row r="2710" spans="1:8" hidden="1" outlineLevel="1" x14ac:dyDescent="0.25">
      <c r="A2710" s="739">
        <v>0.05</v>
      </c>
      <c r="B2710" s="712" t="s">
        <v>4273</v>
      </c>
      <c r="C2710" s="809">
        <v>180300</v>
      </c>
      <c r="D2710" s="823">
        <v>135000</v>
      </c>
      <c r="E2710" s="818">
        <v>-0.25124792013311148</v>
      </c>
      <c r="F2710" s="946" t="s">
        <v>2024</v>
      </c>
      <c r="G2710" s="78"/>
      <c r="H2710" t="str">
        <f>VLOOKUP(B2710,indexy!$A$44:$D$232,3,FALSE)</f>
        <v>9437 JT Equity</v>
      </c>
    </row>
    <row r="2711" spans="1:8" hidden="1" outlineLevel="1" x14ac:dyDescent="0.25">
      <c r="A2711" s="739">
        <v>0.05</v>
      </c>
      <c r="B2711" s="712" t="s">
        <v>1414</v>
      </c>
      <c r="C2711" s="809">
        <v>25.146999999999998</v>
      </c>
      <c r="D2711" s="823">
        <v>20.07</v>
      </c>
      <c r="E2711" s="818">
        <v>-0.2018928699248419</v>
      </c>
      <c r="F2711" s="946" t="s">
        <v>2024</v>
      </c>
      <c r="G2711" s="78"/>
      <c r="H2711" t="str">
        <f>VLOOKUP(B2711,indexy!$A$44:$D$232,3,FALSE)</f>
        <v>PFE UN Equity</v>
      </c>
    </row>
    <row r="2712" spans="1:8" hidden="1" outlineLevel="1" x14ac:dyDescent="0.25">
      <c r="A2712" s="739">
        <v>0.05</v>
      </c>
      <c r="B2712" s="712" t="s">
        <v>1187</v>
      </c>
      <c r="C2712" s="809">
        <v>68.569999999999993</v>
      </c>
      <c r="D2712" s="823">
        <v>52.09</v>
      </c>
      <c r="E2712" s="818">
        <v>-0.24033834038209112</v>
      </c>
      <c r="F2712" s="946" t="s">
        <v>2024</v>
      </c>
      <c r="G2712" s="78"/>
      <c r="H2712" t="str">
        <f>VLOOKUP(B2712,indexy!$A$44:$D$232,3,FALSE)</f>
        <v>SAN FP Equity</v>
      </c>
    </row>
    <row r="2713" spans="1:8" hidden="1" outlineLevel="1" x14ac:dyDescent="0.25">
      <c r="A2713" s="739">
        <v>0.05</v>
      </c>
      <c r="B2713" s="712" t="s">
        <v>1527</v>
      </c>
      <c r="C2713" s="809">
        <v>2.2797999999999998</v>
      </c>
      <c r="D2713" s="823">
        <v>0.84250000000000003</v>
      </c>
      <c r="E2713" s="818">
        <v>-0.63045003947714706</v>
      </c>
      <c r="F2713" s="946" t="s">
        <v>2024</v>
      </c>
      <c r="G2713" s="78"/>
      <c r="H2713" t="str">
        <f>VLOOKUP(B2713,indexy!$A$44:$D$232,3,FALSE)</f>
        <v>TIT IM Equity</v>
      </c>
    </row>
    <row r="2714" spans="1:8" hidden="1" outlineLevel="1" x14ac:dyDescent="0.25">
      <c r="A2714" s="739">
        <v>0.05</v>
      </c>
      <c r="B2714" s="712" t="s">
        <v>1003</v>
      </c>
      <c r="C2714" s="809">
        <v>29.667000000000002</v>
      </c>
      <c r="D2714" s="823">
        <v>30.1</v>
      </c>
      <c r="E2714" s="818">
        <v>1.4595341625375013E-2</v>
      </c>
      <c r="F2714" s="946" t="s">
        <v>2024</v>
      </c>
      <c r="G2714" s="78"/>
      <c r="H2714" t="str">
        <f>VLOOKUP(B2714,indexy!$A$44:$D$232,3,FALSE)</f>
        <v>TXN UW Equity</v>
      </c>
    </row>
    <row r="2715" spans="1:8" hidden="1" outlineLevel="1" x14ac:dyDescent="0.25">
      <c r="A2715" s="739">
        <v>0.05</v>
      </c>
      <c r="B2715" s="712" t="s">
        <v>1183</v>
      </c>
      <c r="C2715" s="809">
        <v>54.164999999999999</v>
      </c>
      <c r="D2715" s="823">
        <v>38.335000000000001</v>
      </c>
      <c r="E2715" s="818">
        <v>-0.29225514631219418</v>
      </c>
      <c r="F2715" s="946" t="s">
        <v>2024</v>
      </c>
      <c r="G2715" s="78"/>
      <c r="H2715" t="e">
        <f>VLOOKUP(B2715,indexy!$A$44:$D$232,3,FALSE)</f>
        <v>#N/A</v>
      </c>
    </row>
    <row r="2716" spans="1:8" hidden="1" outlineLevel="1" x14ac:dyDescent="0.25">
      <c r="A2716" s="739">
        <v>0.05</v>
      </c>
      <c r="B2716" s="712" t="s">
        <v>3551</v>
      </c>
      <c r="C2716" s="809">
        <v>7134</v>
      </c>
      <c r="D2716" s="823">
        <v>2509</v>
      </c>
      <c r="E2716" s="818">
        <v>-0.64830389683207179</v>
      </c>
      <c r="F2716" s="1023" t="s">
        <v>2024</v>
      </c>
      <c r="G2716" s="78"/>
      <c r="H2716" t="str">
        <f>VLOOKUP(B2716,indexy!$A$44:$D$232,3,FALSE)</f>
        <v>7203 JT Equity</v>
      </c>
    </row>
    <row r="2717" spans="1:8" hidden="1" outlineLevel="1" x14ac:dyDescent="0.25">
      <c r="A2717" s="717"/>
      <c r="B2717" s="718"/>
      <c r="C2717" s="867"/>
      <c r="D2717" s="886"/>
      <c r="E2717" s="820"/>
      <c r="F2717" s="770"/>
      <c r="G2717" s="78"/>
    </row>
    <row r="2718" spans="1:8" hidden="1" outlineLevel="1" x14ac:dyDescent="0.25">
      <c r="A2718" s="689" t="s">
        <v>1550</v>
      </c>
      <c r="B2718" s="718"/>
      <c r="C2718" s="867"/>
      <c r="D2718" s="886"/>
      <c r="E2718" s="820"/>
      <c r="F2718" s="731">
        <v>0.04</v>
      </c>
      <c r="G2718" s="78"/>
    </row>
    <row r="2719" spans="1:8" hidden="1" outlineLevel="1" x14ac:dyDescent="0.25">
      <c r="A2719" s="689" t="s">
        <v>1551</v>
      </c>
      <c r="B2719" s="718" t="s">
        <v>3235</v>
      </c>
      <c r="C2719" s="867"/>
      <c r="D2719" s="886"/>
      <c r="E2719" s="820"/>
      <c r="F2719" s="731">
        <v>2.6700000000000002E-2</v>
      </c>
      <c r="G2719" s="78"/>
    </row>
    <row r="2720" spans="1:8" hidden="1" outlineLevel="1" x14ac:dyDescent="0.25">
      <c r="A2720" s="689" t="s">
        <v>1552</v>
      </c>
      <c r="B2720" s="718" t="s">
        <v>4317</v>
      </c>
      <c r="C2720" s="867"/>
      <c r="D2720" s="886"/>
      <c r="E2720" s="820"/>
      <c r="F2720" s="731">
        <v>1.78E-2</v>
      </c>
      <c r="G2720" s="78"/>
    </row>
    <row r="2721" spans="1:8" hidden="1" outlineLevel="1" x14ac:dyDescent="0.25">
      <c r="A2721" s="689" t="s">
        <v>3714</v>
      </c>
      <c r="B2721" s="718" t="s">
        <v>4452</v>
      </c>
      <c r="C2721" s="867"/>
      <c r="D2721" s="886"/>
      <c r="E2721" s="820"/>
      <c r="F2721" s="731">
        <v>1.1900000000000001E-2</v>
      </c>
      <c r="G2721" s="78"/>
    </row>
    <row r="2722" spans="1:8" hidden="1" outlineLevel="1" x14ac:dyDescent="0.25">
      <c r="A2722" s="689" t="s">
        <v>3715</v>
      </c>
      <c r="B2722" s="718" t="s">
        <v>6675</v>
      </c>
      <c r="C2722" s="855"/>
      <c r="D2722" s="867"/>
      <c r="E2722" s="820"/>
      <c r="F2722" s="731">
        <v>7.9000000000000008E-3</v>
      </c>
      <c r="G2722" s="78"/>
    </row>
    <row r="2723" spans="1:8" collapsed="1" x14ac:dyDescent="0.25">
      <c r="A2723" s="3801" t="s">
        <v>2544</v>
      </c>
      <c r="B2723" s="3802"/>
      <c r="C2723" s="3802"/>
      <c r="D2723" s="3802"/>
      <c r="E2723" s="821"/>
      <c r="F2723" s="752">
        <v>0.10430000000000002</v>
      </c>
      <c r="G2723" s="97" t="s">
        <v>781</v>
      </c>
    </row>
    <row r="2724" spans="1:8" x14ac:dyDescent="0.25">
      <c r="A2724" s="1"/>
      <c r="B2724" s="1"/>
      <c r="C2724" s="1"/>
      <c r="D2724" s="1"/>
      <c r="E2724" s="1"/>
      <c r="F2724" s="1848"/>
      <c r="G2724" s="78"/>
    </row>
    <row r="2725" spans="1:8" hidden="1" outlineLevel="1" x14ac:dyDescent="0.25">
      <c r="A2725" s="689" t="s">
        <v>113</v>
      </c>
      <c r="B2725" s="689" t="s">
        <v>114</v>
      </c>
      <c r="C2725" s="689" t="s">
        <v>112</v>
      </c>
      <c r="D2725" s="689" t="s">
        <v>116</v>
      </c>
      <c r="E2725" s="689" t="s">
        <v>117</v>
      </c>
      <c r="F2725" s="1188" t="s">
        <v>121</v>
      </c>
      <c r="G2725" s="78"/>
    </row>
    <row r="2726" spans="1:8" hidden="1" outlineLevel="1" x14ac:dyDescent="0.25">
      <c r="A2726" s="690">
        <v>1</v>
      </c>
      <c r="B2726" s="691" t="s">
        <v>252</v>
      </c>
      <c r="C2726" s="692"/>
      <c r="D2726" s="692"/>
      <c r="E2726" s="693"/>
      <c r="F2726" s="694"/>
      <c r="G2726" s="78"/>
    </row>
    <row r="2727" spans="1:8" hidden="1" outlineLevel="1" x14ac:dyDescent="0.25">
      <c r="A2727" s="695"/>
      <c r="B2727" s="695"/>
      <c r="C2727" s="696"/>
      <c r="D2727" s="697" t="s">
        <v>3702</v>
      </c>
      <c r="E2727" s="698">
        <f>indexy!$B$2</f>
        <v>45379</v>
      </c>
      <c r="F2727" s="699"/>
      <c r="G2727" s="78"/>
    </row>
    <row r="2728" spans="1:8" hidden="1" outlineLevel="1" x14ac:dyDescent="0.25">
      <c r="A2728" s="689" t="s">
        <v>4156</v>
      </c>
      <c r="B2728" s="689" t="s">
        <v>4153</v>
      </c>
      <c r="C2728" s="700" t="s">
        <v>112</v>
      </c>
      <c r="D2728" s="689" t="s">
        <v>4155</v>
      </c>
      <c r="E2728" s="689" t="s">
        <v>4154</v>
      </c>
      <c r="F2728" s="1021" t="s">
        <v>1332</v>
      </c>
      <c r="G2728" s="78"/>
    </row>
    <row r="2729" spans="1:8" hidden="1" outlineLevel="1" x14ac:dyDescent="0.25">
      <c r="A2729" s="734">
        <v>0.05</v>
      </c>
      <c r="B2729" s="980" t="s">
        <v>3302</v>
      </c>
      <c r="C2729" s="736">
        <v>69.614000000000004</v>
      </c>
      <c r="D2729" s="737">
        <f>VLOOKUP(H2729,indexy!$C$44:$D$585,2,FALSE)</f>
        <v>284.32</v>
      </c>
      <c r="E2729" s="738">
        <f>D2729/C2729-1</f>
        <v>3.0842359295543993</v>
      </c>
      <c r="F2729" s="1074" t="s">
        <v>2024</v>
      </c>
      <c r="G2729" s="78"/>
      <c r="H2729" t="str">
        <f>VLOOKUP(B2729,indexy!$A$44:$D$232,3,FALSE)</f>
        <v>AMGN UQ Equity</v>
      </c>
    </row>
    <row r="2730" spans="1:8" hidden="1" outlineLevel="1" x14ac:dyDescent="0.25">
      <c r="A2730" s="739">
        <v>0.05</v>
      </c>
      <c r="B2730" s="981" t="s">
        <v>51</v>
      </c>
      <c r="C2730" s="741">
        <v>64.5</v>
      </c>
      <c r="D2730" s="737">
        <f>VLOOKUP(H2730,indexy!$C$44:$D$585,2,FALSE)</f>
        <v>71.930000000000007</v>
      </c>
      <c r="E2730" s="742">
        <f>D2730/C2730-1</f>
        <v>0.11519379844961253</v>
      </c>
      <c r="F2730" s="1075" t="s">
        <v>2024</v>
      </c>
      <c r="G2730" s="78"/>
      <c r="H2730" t="str">
        <f>VLOOKUP(B2730,indexy!$A$44:$D$232,3,FALSE)</f>
        <v>SGO FP Equity</v>
      </c>
    </row>
    <row r="2731" spans="1:8" hidden="1" outlineLevel="1" x14ac:dyDescent="0.25">
      <c r="A2731" s="739">
        <v>0.05</v>
      </c>
      <c r="B2731" s="981" t="s">
        <v>3406</v>
      </c>
      <c r="C2731" s="741">
        <f>10.017*100</f>
        <v>1001.6999999999999</v>
      </c>
      <c r="D2731" s="737">
        <f>VLOOKUP(H2731,indexy!$C$44:$D$585,2,FALSE)</f>
        <v>2925.5</v>
      </c>
      <c r="E2731" s="742">
        <f>D2731/C2731-1</f>
        <v>1.9205350903464113</v>
      </c>
      <c r="F2731" s="1075" t="s">
        <v>2024</v>
      </c>
      <c r="G2731" s="78"/>
      <c r="H2731" t="str">
        <f>VLOOKUP(B2731,indexy!$A$44:$D$232,3,FALSE)</f>
        <v>DGE LN Equity</v>
      </c>
    </row>
    <row r="2732" spans="1:8" hidden="1" outlineLevel="1" x14ac:dyDescent="0.25">
      <c r="A2732" s="739">
        <v>0.05</v>
      </c>
      <c r="B2732" s="981" t="s">
        <v>4387</v>
      </c>
      <c r="C2732" s="741">
        <f>101.03/3</f>
        <v>33.676666666666669</v>
      </c>
      <c r="D2732" s="737">
        <f>VLOOKUP(H2732,indexy!$C$44:$D$585,2,FALSE)</f>
        <v>12.885</v>
      </c>
      <c r="E2732" s="742">
        <f t="shared" ref="E2732:E2748" si="88">D2732/C2732-1</f>
        <v>-0.61739087399782244</v>
      </c>
      <c r="F2732" s="1075" t="s">
        <v>2024</v>
      </c>
      <c r="G2732" s="78"/>
      <c r="H2732" t="str">
        <f>VLOOKUP(B2732,indexy!$A$44:$D$232,3,FALSE)</f>
        <v>EOAN GY Equity</v>
      </c>
    </row>
    <row r="2733" spans="1:8" hidden="1" outlineLevel="1" x14ac:dyDescent="0.25">
      <c r="A2733" s="739">
        <v>0.05</v>
      </c>
      <c r="B2733" s="980" t="s">
        <v>4064</v>
      </c>
      <c r="C2733" s="741">
        <v>51.951999999999998</v>
      </c>
      <c r="D2733" s="737">
        <f>VLOOKUP(H2733,indexy!$C$44:$D$585,2,FALSE)</f>
        <v>777.96</v>
      </c>
      <c r="E2733" s="742">
        <f t="shared" si="88"/>
        <v>13.974591931013244</v>
      </c>
      <c r="F2733" s="946" t="s">
        <v>2024</v>
      </c>
      <c r="G2733" s="78"/>
      <c r="H2733" t="str">
        <f>VLOOKUP(B2733,indexy!$A$44:$D$232,3,FALSE)</f>
        <v>LLY UN Equity</v>
      </c>
    </row>
    <row r="2734" spans="1:8" hidden="1" outlineLevel="1" x14ac:dyDescent="0.25">
      <c r="A2734" s="739">
        <v>0.05</v>
      </c>
      <c r="B2734" s="980" t="s">
        <v>3798</v>
      </c>
      <c r="C2734" s="741">
        <v>7.8029999999999999</v>
      </c>
      <c r="D2734" s="737">
        <f>VLOOKUP(H2734,indexy!$C$44:$D$585,2,FALSE)</f>
        <v>6.1189999999999998</v>
      </c>
      <c r="E2734" s="742">
        <f t="shared" si="88"/>
        <v>-0.2158144303473023</v>
      </c>
      <c r="F2734" s="946" t="s">
        <v>2024</v>
      </c>
      <c r="G2734" s="78"/>
      <c r="H2734" t="str">
        <f>VLOOKUP(B2734,indexy!$A$44:$D$232,3,FALSE)</f>
        <v>ENEL IM Equity</v>
      </c>
    </row>
    <row r="2735" spans="1:8" hidden="1" outlineLevel="1" x14ac:dyDescent="0.25">
      <c r="A2735" s="982">
        <v>0.05</v>
      </c>
      <c r="B2735" s="983" t="s">
        <v>1176</v>
      </c>
      <c r="C2735" s="758">
        <v>32.648000000000003</v>
      </c>
      <c r="D2735" s="759">
        <f>VLOOKUP(H2735,indexy!$C$44:$D$585,2,FALSE)</f>
        <v>42.92</v>
      </c>
      <c r="E2735" s="760">
        <f t="shared" si="88"/>
        <v>0.31462876745895607</v>
      </c>
      <c r="F2735" s="1850" t="s">
        <v>2025</v>
      </c>
      <c r="G2735" s="78"/>
      <c r="H2735" t="str">
        <f>VLOOKUP(B2735,indexy!$A$44:$D$232,3,FALSE)</f>
        <v>AGS BB Equity</v>
      </c>
    </row>
    <row r="2736" spans="1:8" hidden="1" outlineLevel="1" x14ac:dyDescent="0.25">
      <c r="A2736" s="739">
        <v>0.05</v>
      </c>
      <c r="B2736" s="980" t="s">
        <v>159</v>
      </c>
      <c r="C2736" s="741">
        <v>471.13</v>
      </c>
      <c r="D2736" s="737" t="e">
        <f>VLOOKUP(H2736,indexy!$C$44:$D$585,2,FALSE)</f>
        <v>#N/A</v>
      </c>
      <c r="E2736" s="742" t="e">
        <f t="shared" si="88"/>
        <v>#N/A</v>
      </c>
      <c r="F2736" s="946" t="s">
        <v>2024</v>
      </c>
      <c r="G2736" s="78"/>
      <c r="H2736" t="e">
        <f>VLOOKUP(B2736,indexy!$A$44:$D$232,3,FALSE)</f>
        <v>#N/A</v>
      </c>
    </row>
    <row r="2737" spans="1:8" hidden="1" outlineLevel="1" x14ac:dyDescent="0.25">
      <c r="A2737" s="739">
        <v>0.05</v>
      </c>
      <c r="B2737" s="981" t="s">
        <v>1377</v>
      </c>
      <c r="C2737" s="741">
        <v>41.537999999999997</v>
      </c>
      <c r="D2737" s="737">
        <f>VLOOKUP(H2737,indexy!$C$44:$D$585,2,FALSE)</f>
        <v>30.22</v>
      </c>
      <c r="E2737" s="742">
        <f t="shared" si="88"/>
        <v>-0.27247339785256874</v>
      </c>
      <c r="F2737" s="946" t="s">
        <v>2024</v>
      </c>
      <c r="G2737" s="78"/>
      <c r="H2737" t="str">
        <f>VLOOKUP(B2737,indexy!$A$44:$D$232,3,FALSE)</f>
        <v>HPQ UN Equity</v>
      </c>
    </row>
    <row r="2738" spans="1:8" hidden="1" outlineLevel="1" x14ac:dyDescent="0.25">
      <c r="A2738" s="982">
        <v>0.05</v>
      </c>
      <c r="B2738" s="983" t="s">
        <v>2588</v>
      </c>
      <c r="C2738" s="758">
        <v>33.799999999999997</v>
      </c>
      <c r="D2738" s="759">
        <f>VLOOKUP(H2738,indexy!$C$44:$D$585,2,FALSE)</f>
        <v>15.246</v>
      </c>
      <c r="E2738" s="760">
        <f t="shared" si="88"/>
        <v>-0.54893491124260352</v>
      </c>
      <c r="F2738" s="1850" t="s">
        <v>2025</v>
      </c>
      <c r="G2738" s="78"/>
      <c r="H2738" t="str">
        <f>VLOOKUP(B2738,indexy!$A$44:$D$232,3,FALSE)</f>
        <v>INGA NA Equity</v>
      </c>
    </row>
    <row r="2739" spans="1:8" hidden="1" outlineLevel="1" x14ac:dyDescent="0.25">
      <c r="A2739" s="739">
        <v>0.05</v>
      </c>
      <c r="B2739" s="981" t="s">
        <v>1528</v>
      </c>
      <c r="C2739" s="741">
        <v>79.28</v>
      </c>
      <c r="D2739" s="737">
        <f>VLOOKUP(H2739,indexy!$C$44:$D$585,2,FALSE)</f>
        <v>833.7</v>
      </c>
      <c r="E2739" s="742">
        <f t="shared" si="88"/>
        <v>9.5158930373360242</v>
      </c>
      <c r="F2739" s="946" t="s">
        <v>2024</v>
      </c>
      <c r="G2739" s="78"/>
      <c r="H2739" t="str">
        <f>VLOOKUP(B2739,indexy!$A$44:$D$232,3,FALSE)</f>
        <v>MC FP Equity</v>
      </c>
    </row>
    <row r="2740" spans="1:8" hidden="1" outlineLevel="1" x14ac:dyDescent="0.25">
      <c r="A2740" s="739">
        <v>0.05</v>
      </c>
      <c r="B2740" s="980" t="s">
        <v>2397</v>
      </c>
      <c r="C2740" s="741">
        <f>19.932*4.0955</f>
        <v>81.631506000000002</v>
      </c>
      <c r="D2740" s="737">
        <f>VLOOKUP(H2740,indexy!$C$44:$D$585,2,FALSE)</f>
        <v>354.98</v>
      </c>
      <c r="E2740" s="742">
        <f t="shared" si="88"/>
        <v>3.3485661038766086</v>
      </c>
      <c r="F2740" s="1075" t="s">
        <v>2024</v>
      </c>
      <c r="G2740" s="78"/>
      <c r="H2740" t="str">
        <f>VLOOKUP(B2740,indexy!$A$44:$D$232,3,FALSE)</f>
        <v>MSI UN Equity</v>
      </c>
    </row>
    <row r="2741" spans="1:8" hidden="1" outlineLevel="1" x14ac:dyDescent="0.25">
      <c r="A2741" s="739">
        <v>0.05</v>
      </c>
      <c r="B2741" s="981" t="s">
        <v>1190</v>
      </c>
      <c r="C2741" s="741">
        <v>15.483000000000001</v>
      </c>
      <c r="D2741" s="737">
        <f>VLOOKUP(H2741,indexy!$C$44:$D$585,2,FALSE)</f>
        <v>3.2909999999999999</v>
      </c>
      <c r="E2741" s="742">
        <f t="shared" si="88"/>
        <v>-0.78744429374152292</v>
      </c>
      <c r="F2741" s="1075" t="s">
        <v>2024</v>
      </c>
      <c r="G2741" s="78"/>
      <c r="H2741" t="str">
        <f>VLOOKUP(B2741,indexy!$A$44:$D$232,3,FALSE)</f>
        <v>NOKIA FH Equity</v>
      </c>
    </row>
    <row r="2742" spans="1:8" hidden="1" outlineLevel="1" x14ac:dyDescent="0.25">
      <c r="A2742" s="739">
        <v>0.05</v>
      </c>
      <c r="B2742" s="980" t="s">
        <v>4273</v>
      </c>
      <c r="C2742" s="741">
        <v>188500</v>
      </c>
      <c r="D2742" s="737">
        <f>VLOOKUP(H2742,indexy!$C$44:$D$585,2,FALSE)</f>
        <v>3880</v>
      </c>
      <c r="E2742" s="742">
        <f t="shared" si="88"/>
        <v>-0.97941644562334218</v>
      </c>
      <c r="F2742" s="1075" t="s">
        <v>2024</v>
      </c>
      <c r="G2742" s="78"/>
      <c r="H2742" t="str">
        <f>VLOOKUP(B2742,indexy!$A$44:$D$232,3,FALSE)</f>
        <v>9437 JT Equity</v>
      </c>
    </row>
    <row r="2743" spans="1:8" hidden="1" outlineLevel="1" x14ac:dyDescent="0.25">
      <c r="A2743" s="739">
        <v>0.05</v>
      </c>
      <c r="B2743" s="981" t="s">
        <v>1414</v>
      </c>
      <c r="C2743" s="741">
        <v>26.132000000000001</v>
      </c>
      <c r="D2743" s="737">
        <f>VLOOKUP(H2743,indexy!$C$44:$D$585,2,FALSE)</f>
        <v>27.75</v>
      </c>
      <c r="E2743" s="742">
        <f t="shared" si="88"/>
        <v>6.1916424307362661E-2</v>
      </c>
      <c r="F2743" s="1075" t="s">
        <v>2024</v>
      </c>
      <c r="G2743" s="78"/>
      <c r="H2743" t="str">
        <f>VLOOKUP(B2743,indexy!$A$44:$D$232,3,FALSE)</f>
        <v>PFE UN Equity</v>
      </c>
    </row>
    <row r="2744" spans="1:8" hidden="1" outlineLevel="1" x14ac:dyDescent="0.25">
      <c r="A2744" s="739">
        <v>0.05</v>
      </c>
      <c r="B2744" s="980" t="s">
        <v>1187</v>
      </c>
      <c r="C2744" s="741">
        <v>69.864999999999995</v>
      </c>
      <c r="D2744" s="737">
        <f>VLOOKUP(H2744,indexy!$C$44:$D$585,2,FALSE)</f>
        <v>90.96</v>
      </c>
      <c r="E2744" s="742">
        <f t="shared" si="88"/>
        <v>0.30193945466256356</v>
      </c>
      <c r="F2744" s="1075" t="s">
        <v>2024</v>
      </c>
      <c r="G2744" s="78"/>
      <c r="H2744" t="str">
        <f>VLOOKUP(B2744,indexy!$A$44:$D$232,3,FALSE)</f>
        <v>SAN FP Equity</v>
      </c>
    </row>
    <row r="2745" spans="1:8" hidden="1" outlineLevel="1" x14ac:dyDescent="0.25">
      <c r="A2745" s="739">
        <v>0.05</v>
      </c>
      <c r="B2745" s="980" t="s">
        <v>1527</v>
      </c>
      <c r="C2745" s="741">
        <v>2.3224</v>
      </c>
      <c r="D2745" s="737">
        <f>VLOOKUP(H2745,indexy!$C$44:$D$585,2,FALSE)</f>
        <v>0.22509999999999999</v>
      </c>
      <c r="E2745" s="742">
        <f t="shared" si="88"/>
        <v>-0.90307440578711673</v>
      </c>
      <c r="F2745" s="1075" t="s">
        <v>2024</v>
      </c>
      <c r="G2745" s="78"/>
      <c r="H2745" t="str">
        <f>VLOOKUP(B2745,indexy!$A$44:$D$232,3,FALSE)</f>
        <v>TIT IM Equity</v>
      </c>
    </row>
    <row r="2746" spans="1:8" hidden="1" outlineLevel="1" x14ac:dyDescent="0.25">
      <c r="A2746" s="739">
        <v>0.05</v>
      </c>
      <c r="B2746" s="980" t="s">
        <v>1003</v>
      </c>
      <c r="C2746" s="741">
        <v>28.809000000000001</v>
      </c>
      <c r="D2746" s="737">
        <f>VLOOKUP(H2746,indexy!$C$44:$D$585,2,FALSE)</f>
        <v>174.21</v>
      </c>
      <c r="E2746" s="742">
        <f t="shared" si="88"/>
        <v>5.0470686243882117</v>
      </c>
      <c r="F2746" s="1075" t="s">
        <v>2024</v>
      </c>
      <c r="G2746" s="78"/>
      <c r="H2746" t="str">
        <f>VLOOKUP(B2746,indexy!$A$44:$D$232,3,FALSE)</f>
        <v>TXN UW Equity</v>
      </c>
    </row>
    <row r="2747" spans="1:8" hidden="1" outlineLevel="1" x14ac:dyDescent="0.25">
      <c r="A2747" s="739">
        <v>0.05</v>
      </c>
      <c r="B2747" s="981" t="s">
        <v>1183</v>
      </c>
      <c r="C2747" s="741">
        <v>53.825000000000003</v>
      </c>
      <c r="D2747" s="737" t="e">
        <f>VLOOKUP(H2747,indexy!$C$44:$D$585,2,FALSE)</f>
        <v>#N/A</v>
      </c>
      <c r="E2747" s="742" t="e">
        <f t="shared" si="88"/>
        <v>#N/A</v>
      </c>
      <c r="F2747" s="1075" t="s">
        <v>2024</v>
      </c>
      <c r="G2747" s="78"/>
      <c r="H2747" t="e">
        <f>VLOOKUP(B2747,indexy!$A$44:$D$232,3,FALSE)</f>
        <v>#N/A</v>
      </c>
    </row>
    <row r="2748" spans="1:8" hidden="1" outlineLevel="1" x14ac:dyDescent="0.25">
      <c r="A2748" s="745">
        <v>0.05</v>
      </c>
      <c r="B2748" s="984" t="s">
        <v>3551</v>
      </c>
      <c r="C2748" s="747">
        <v>7869</v>
      </c>
      <c r="D2748" s="715">
        <f>VLOOKUP(H2748,indexy!$C$44:$D$585,2,FALSE)</f>
        <v>3806</v>
      </c>
      <c r="E2748" s="748">
        <f t="shared" si="88"/>
        <v>-0.51632990214766805</v>
      </c>
      <c r="F2748" s="1076" t="s">
        <v>2024</v>
      </c>
      <c r="G2748" s="78"/>
      <c r="H2748" t="str">
        <f>VLOOKUP(B2748,indexy!$A$44:$D$232,3,FALSE)</f>
        <v>7203 JT Equity</v>
      </c>
    </row>
    <row r="2749" spans="1:8" hidden="1" outlineLevel="1" x14ac:dyDescent="0.25">
      <c r="A2749" s="749"/>
      <c r="B2749" s="750"/>
      <c r="C2749" s="727"/>
      <c r="D2749" s="768"/>
      <c r="E2749" s="716"/>
      <c r="F2749" s="770"/>
      <c r="G2749" s="78"/>
    </row>
    <row r="2750" spans="1:8" hidden="1" outlineLevel="1" x14ac:dyDescent="0.25">
      <c r="A2750" s="962" t="s">
        <v>3716</v>
      </c>
      <c r="B2750" s="750"/>
      <c r="C2750" s="727"/>
      <c r="D2750" s="768"/>
      <c r="E2750" s="716"/>
      <c r="F2750" s="770">
        <v>3.9E-2</v>
      </c>
      <c r="G2750" s="78"/>
    </row>
    <row r="2751" spans="1:8" hidden="1" outlineLevel="1" x14ac:dyDescent="0.25">
      <c r="A2751" s="962" t="s">
        <v>3717</v>
      </c>
      <c r="B2751" s="750" t="s">
        <v>1099</v>
      </c>
      <c r="C2751" s="727"/>
      <c r="D2751" s="768"/>
      <c r="E2751" s="716"/>
      <c r="F2751" s="770">
        <f>F2750/1.5</f>
        <v>2.5999999999999999E-2</v>
      </c>
      <c r="G2751" s="78"/>
    </row>
    <row r="2752" spans="1:8" hidden="1" outlineLevel="1" x14ac:dyDescent="0.25">
      <c r="A2752" s="962" t="s">
        <v>3718</v>
      </c>
      <c r="B2752" s="750" t="s">
        <v>466</v>
      </c>
      <c r="C2752" s="727"/>
      <c r="D2752" s="768"/>
      <c r="E2752" s="716"/>
      <c r="F2752" s="770">
        <v>1.7299999999999999E-2</v>
      </c>
      <c r="G2752" s="78"/>
    </row>
    <row r="2753" spans="1:12" hidden="1" outlineLevel="1" x14ac:dyDescent="0.25">
      <c r="A2753" s="962" t="s">
        <v>3719</v>
      </c>
      <c r="B2753" s="750" t="s">
        <v>1373</v>
      </c>
      <c r="C2753" s="727"/>
      <c r="D2753" s="768"/>
      <c r="E2753" s="716"/>
      <c r="F2753" s="770">
        <v>1.15E-2</v>
      </c>
      <c r="G2753" s="78"/>
    </row>
    <row r="2754" spans="1:12" hidden="1" outlineLevel="1" x14ac:dyDescent="0.25">
      <c r="A2754" s="962" t="s">
        <v>1668</v>
      </c>
      <c r="B2754" s="750" t="s">
        <v>1373</v>
      </c>
      <c r="C2754" s="727"/>
      <c r="D2754" s="727"/>
      <c r="E2754" s="716"/>
      <c r="F2754" s="770">
        <v>7.7000000000000002E-3</v>
      </c>
      <c r="G2754" s="78"/>
    </row>
    <row r="2755" spans="1:12" collapsed="1" x14ac:dyDescent="0.25">
      <c r="A2755" s="3801" t="s">
        <v>2580</v>
      </c>
      <c r="B2755" s="3802"/>
      <c r="C2755" s="3802"/>
      <c r="D2755" s="3802"/>
      <c r="E2755" s="721"/>
      <c r="F2755" s="722">
        <f>SUM(F2750:F2754)</f>
        <v>0.10149999999999999</v>
      </c>
      <c r="G2755" s="97" t="s">
        <v>781</v>
      </c>
    </row>
    <row r="2756" spans="1:12" x14ac:dyDescent="0.25">
      <c r="A2756" s="1"/>
      <c r="B2756" s="1"/>
      <c r="C2756" s="1"/>
      <c r="D2756" s="1"/>
      <c r="E2756" s="1"/>
      <c r="F2756" s="1848"/>
      <c r="G2756" s="78"/>
    </row>
    <row r="2757" spans="1:12" hidden="1" outlineLevel="1" x14ac:dyDescent="0.25">
      <c r="A2757" s="689" t="s">
        <v>113</v>
      </c>
      <c r="B2757" s="689" t="s">
        <v>114</v>
      </c>
      <c r="C2757" s="689" t="s">
        <v>112</v>
      </c>
      <c r="D2757" s="689" t="s">
        <v>116</v>
      </c>
      <c r="E2757" s="689" t="s">
        <v>117</v>
      </c>
      <c r="F2757" s="1188" t="s">
        <v>121</v>
      </c>
      <c r="G2757" s="78"/>
    </row>
    <row r="2758" spans="1:12" hidden="1" outlineLevel="1" x14ac:dyDescent="0.25">
      <c r="A2758" s="690">
        <v>1</v>
      </c>
      <c r="B2758" s="691" t="s">
        <v>252</v>
      </c>
      <c r="C2758" s="692">
        <v>100</v>
      </c>
      <c r="D2758" s="692"/>
      <c r="E2758" s="693"/>
      <c r="F2758" s="694"/>
      <c r="G2758" s="78"/>
    </row>
    <row r="2759" spans="1:12" hidden="1" outlineLevel="1" x14ac:dyDescent="0.25">
      <c r="A2759" s="695"/>
      <c r="B2759" s="695"/>
      <c r="C2759" s="696"/>
      <c r="D2759" s="697" t="s">
        <v>3702</v>
      </c>
      <c r="E2759" s="698">
        <v>40877</v>
      </c>
      <c r="F2759" s="699"/>
      <c r="G2759" s="78"/>
    </row>
    <row r="2760" spans="1:12" hidden="1" outlineLevel="1" x14ac:dyDescent="0.25">
      <c r="A2760" s="689" t="s">
        <v>4156</v>
      </c>
      <c r="B2760" s="689" t="s">
        <v>4153</v>
      </c>
      <c r="C2760" s="700" t="s">
        <v>112</v>
      </c>
      <c r="D2760" s="689" t="s">
        <v>4155</v>
      </c>
      <c r="E2760" s="689" t="s">
        <v>4154</v>
      </c>
      <c r="F2760" s="1021" t="s">
        <v>2519</v>
      </c>
      <c r="G2760" s="78"/>
    </row>
    <row r="2761" spans="1:12" hidden="1" outlineLevel="1" x14ac:dyDescent="0.25">
      <c r="A2761" s="734">
        <v>0.04</v>
      </c>
      <c r="B2761" s="735" t="s">
        <v>1384</v>
      </c>
      <c r="C2761" s="807">
        <v>13.733000000000001</v>
      </c>
      <c r="D2761" s="803">
        <v>3.23</v>
      </c>
      <c r="E2761" s="705">
        <v>-0.7648001165076822</v>
      </c>
      <c r="F2761" s="1021">
        <v>-3.0592004660307291E-2</v>
      </c>
      <c r="G2761" s="78"/>
      <c r="H2761" t="str">
        <f>VLOOKUP(B2761,indexy!$A$44:$D$823,3,FALSE)</f>
        <v>AGN NA Equity</v>
      </c>
      <c r="J2761" t="s">
        <v>2040</v>
      </c>
    </row>
    <row r="2762" spans="1:12" hidden="1" outlineLevel="1" x14ac:dyDescent="0.25">
      <c r="A2762" s="739">
        <v>0.03</v>
      </c>
      <c r="B2762" s="740" t="s">
        <v>1343</v>
      </c>
      <c r="C2762" s="809">
        <v>1873.37</v>
      </c>
      <c r="D2762" s="908">
        <v>2288</v>
      </c>
      <c r="E2762" s="709">
        <v>0.22132840816282973</v>
      </c>
      <c r="F2762" s="946">
        <v>6.6398522448848918E-3</v>
      </c>
      <c r="G2762" s="78"/>
      <c r="H2762" t="str">
        <f>VLOOKUP(B2762,indexy!$A$44:$D$823,3,FALSE)</f>
        <v>IMB LN Equity</v>
      </c>
      <c r="J2762" s="256">
        <v>40513</v>
      </c>
      <c r="K2762">
        <v>72.456900000000005</v>
      </c>
      <c r="L2762" s="37">
        <f>IF(K2762="",L2761,K2762/100-1)</f>
        <v>-0.27543099999999998</v>
      </c>
    </row>
    <row r="2763" spans="1:12" hidden="1" outlineLevel="1" x14ac:dyDescent="0.25">
      <c r="A2763" s="739">
        <v>0.03</v>
      </c>
      <c r="B2763" s="740" t="s">
        <v>3998</v>
      </c>
      <c r="C2763" s="737">
        <v>33.901132056095598</v>
      </c>
      <c r="D2763" s="908">
        <v>28.98</v>
      </c>
      <c r="E2763" s="709">
        <v>-0.1451612898339999</v>
      </c>
      <c r="F2763" s="946">
        <v>-4.354838695019997E-3</v>
      </c>
      <c r="G2763" s="78"/>
      <c r="H2763" t="str">
        <f>VLOOKUP(B2763,indexy!$A$44:$D$823,3,FALSE)</f>
        <v>T UN Equity</v>
      </c>
      <c r="J2763" s="256">
        <v>40544</v>
      </c>
      <c r="K2763">
        <v>73.538300000000007</v>
      </c>
      <c r="L2763" s="37">
        <f t="shared" ref="L2763:L2773" si="89">IF(K2763="",L2762,K2763/100-1)</f>
        <v>-0.26461699999999988</v>
      </c>
    </row>
    <row r="2764" spans="1:12" hidden="1" outlineLevel="1" x14ac:dyDescent="0.25">
      <c r="A2764" s="739">
        <v>0.03</v>
      </c>
      <c r="B2764" s="740" t="s">
        <v>3019</v>
      </c>
      <c r="C2764" s="809">
        <v>81.069999999999993</v>
      </c>
      <c r="D2764" s="908">
        <v>29.47</v>
      </c>
      <c r="E2764" s="709">
        <v>-0.63648698655482916</v>
      </c>
      <c r="F2764" s="946">
        <v>-1.9094609596644874E-2</v>
      </c>
      <c r="G2764" s="78"/>
      <c r="H2764" t="str">
        <f>VLOOKUP(B2764,indexy!$A$44:$D$823,3,FALSE)</f>
        <v>BNP FP Equity</v>
      </c>
      <c r="J2764" s="256">
        <v>40575</v>
      </c>
      <c r="K2764">
        <v>75.338499999999996</v>
      </c>
      <c r="L2764" s="37">
        <f t="shared" si="89"/>
        <v>-0.24661500000000003</v>
      </c>
    </row>
    <row r="2765" spans="1:12" hidden="1" outlineLevel="1" x14ac:dyDescent="0.25">
      <c r="A2765" s="739">
        <v>0.03</v>
      </c>
      <c r="B2765" s="740" t="s">
        <v>3405</v>
      </c>
      <c r="C2765" s="809">
        <v>46.752000000000002</v>
      </c>
      <c r="D2765" s="908">
        <v>19.75</v>
      </c>
      <c r="E2765" s="709">
        <v>-0.5775581793292266</v>
      </c>
      <c r="F2765" s="946">
        <v>-1.7326745379876798E-2</v>
      </c>
      <c r="G2765" s="78"/>
      <c r="H2765" t="str">
        <f>VLOOKUP(B2765,indexy!$A$44:$D$823,3,FALSE)</f>
        <v>CA FP Equity</v>
      </c>
      <c r="J2765" s="256">
        <v>40603</v>
      </c>
      <c r="K2765">
        <v>74.572299999999998</v>
      </c>
      <c r="L2765" s="37">
        <f t="shared" si="89"/>
        <v>-0.25427699999999998</v>
      </c>
    </row>
    <row r="2766" spans="1:12" hidden="1" outlineLevel="1" x14ac:dyDescent="0.25">
      <c r="A2766" s="739">
        <v>0.03</v>
      </c>
      <c r="B2766" s="740" t="s">
        <v>581</v>
      </c>
      <c r="C2766" s="809">
        <v>72.721999999999994</v>
      </c>
      <c r="D2766" s="908">
        <v>102.82</v>
      </c>
      <c r="E2766" s="709">
        <v>0.41387750611919372</v>
      </c>
      <c r="F2766" s="946">
        <v>1.2416325183575811E-2</v>
      </c>
      <c r="G2766" s="78"/>
      <c r="H2766" t="str">
        <f>VLOOKUP(B2766,indexy!$A$44:$D$823,3,FALSE)</f>
        <v>CVX UN Equity</v>
      </c>
      <c r="J2766" s="256">
        <v>40634</v>
      </c>
      <c r="K2766">
        <v>77.806799999999996</v>
      </c>
      <c r="L2766" s="37">
        <f t="shared" si="89"/>
        <v>-0.22193200000000002</v>
      </c>
    </row>
    <row r="2767" spans="1:12" hidden="1" outlineLevel="1" x14ac:dyDescent="0.25">
      <c r="A2767" s="739">
        <v>0.04</v>
      </c>
      <c r="B2767" s="740" t="s">
        <v>1847</v>
      </c>
      <c r="C2767" s="809">
        <v>505.12</v>
      </c>
      <c r="D2767" s="908">
        <v>27.48</v>
      </c>
      <c r="E2767" s="709">
        <v>-0.94559708584098834</v>
      </c>
      <c r="F2767" s="946">
        <v>-3.7823883433639537E-2</v>
      </c>
      <c r="G2767" s="78"/>
      <c r="H2767" t="str">
        <f>VLOOKUP(B2767,indexy!$A$44:$D$823,3,FALSE)</f>
        <v>C UN Equity</v>
      </c>
      <c r="J2767" s="256">
        <v>40664</v>
      </c>
      <c r="K2767">
        <v>77.530199999999994</v>
      </c>
      <c r="L2767" s="37">
        <f t="shared" si="89"/>
        <v>-0.22469800000000006</v>
      </c>
    </row>
    <row r="2768" spans="1:12" hidden="1" outlineLevel="1" x14ac:dyDescent="0.25">
      <c r="A2768" s="739">
        <v>0.03</v>
      </c>
      <c r="B2768" s="740" t="s">
        <v>4025</v>
      </c>
      <c r="C2768" s="809">
        <v>44.213999999999999</v>
      </c>
      <c r="D2768" s="908">
        <v>33.61</v>
      </c>
      <c r="E2768" s="709">
        <v>-0.2398335368887683</v>
      </c>
      <c r="F2768" s="946">
        <v>-7.1950061066630485E-3</v>
      </c>
      <c r="G2768" s="78"/>
      <c r="H2768" t="str">
        <f>VLOOKUP(B2768,indexy!$A$44:$D$823,3,FALSE)</f>
        <v>MBG GR Equity</v>
      </c>
      <c r="J2768" s="256">
        <v>40695</v>
      </c>
      <c r="K2768">
        <v>75.895899999999997</v>
      </c>
      <c r="L2768" s="37">
        <f t="shared" si="89"/>
        <v>-0.24104100000000006</v>
      </c>
    </row>
    <row r="2769" spans="1:12" hidden="1" outlineLevel="1" x14ac:dyDescent="0.25">
      <c r="A2769" s="739">
        <v>0.04</v>
      </c>
      <c r="B2769" s="740" t="s">
        <v>3406</v>
      </c>
      <c r="C2769" s="809">
        <v>980.34999999999991</v>
      </c>
      <c r="D2769" s="908">
        <v>1362</v>
      </c>
      <c r="E2769" s="709">
        <v>0.38929973988881539</v>
      </c>
      <c r="F2769" s="946">
        <v>1.5571989595552616E-2</v>
      </c>
      <c r="G2769" s="78"/>
      <c r="H2769" t="str">
        <f>VLOOKUP(B2769,indexy!$A$44:$D$823,3,FALSE)</f>
        <v>DGE LN Equity</v>
      </c>
      <c r="J2769" s="256">
        <v>40725</v>
      </c>
      <c r="K2769">
        <v>71.948999999999998</v>
      </c>
      <c r="L2769" s="37">
        <f t="shared" si="89"/>
        <v>-0.28051000000000004</v>
      </c>
    </row>
    <row r="2770" spans="1:12" hidden="1" outlineLevel="1" x14ac:dyDescent="0.25">
      <c r="A2770" s="739">
        <v>0.05</v>
      </c>
      <c r="B2770" s="740" t="s">
        <v>3934</v>
      </c>
      <c r="C2770" s="809">
        <v>35.481000000000002</v>
      </c>
      <c r="D2770" s="908">
        <v>16.155000000000001</v>
      </c>
      <c r="E2770" s="709">
        <v>-0.54468588822186526</v>
      </c>
      <c r="F2770" s="946">
        <v>-2.7234294411093263E-2</v>
      </c>
      <c r="G2770" s="78"/>
      <c r="H2770" t="str">
        <f>VLOOKUP(B2770,indexy!$A$44:$D$823,3,FALSE)</f>
        <v>ELE SM Equity</v>
      </c>
      <c r="J2770" s="256">
        <v>40756</v>
      </c>
      <c r="K2770">
        <v>67.041600000000003</v>
      </c>
      <c r="L2770" s="37">
        <f t="shared" si="89"/>
        <v>-0.32958399999999999</v>
      </c>
    </row>
    <row r="2771" spans="1:12" hidden="1" outlineLevel="1" x14ac:dyDescent="0.25">
      <c r="A2771" s="739">
        <v>0.05</v>
      </c>
      <c r="B2771" s="740" t="s">
        <v>1176</v>
      </c>
      <c r="C2771" s="809">
        <v>30.82</v>
      </c>
      <c r="D2771" s="908">
        <v>1.3</v>
      </c>
      <c r="E2771" s="709">
        <v>-0.9578195976638546</v>
      </c>
      <c r="F2771" s="946">
        <v>-4.7890979883192734E-2</v>
      </c>
      <c r="G2771" s="78"/>
      <c r="H2771" t="str">
        <f>VLOOKUP(B2771,indexy!$A$44:$D$823,3,FALSE)</f>
        <v>AGS BB Equity</v>
      </c>
      <c r="J2771" s="256">
        <v>40787</v>
      </c>
      <c r="K2771">
        <v>64.8078</v>
      </c>
      <c r="L2771" s="37">
        <f t="shared" si="89"/>
        <v>-0.35192199999999996</v>
      </c>
    </row>
    <row r="2772" spans="1:12" hidden="1" outlineLevel="1" x14ac:dyDescent="0.25">
      <c r="A2772" s="739">
        <v>0.04</v>
      </c>
      <c r="B2772" s="740" t="s">
        <v>3407</v>
      </c>
      <c r="C2772" s="809">
        <v>35.253</v>
      </c>
      <c r="D2772" s="908">
        <v>15.91</v>
      </c>
      <c r="E2772" s="709">
        <v>-0.54869089155532857</v>
      </c>
      <c r="F2772" s="946">
        <v>-2.1947635662213142E-2</v>
      </c>
      <c r="G2772" s="78"/>
      <c r="H2772" t="str">
        <f>VLOOKUP(B2772,indexy!$A$44:$D$823,3,FALSE)</f>
        <v>GE UN Equity</v>
      </c>
      <c r="J2772" s="256">
        <v>40817</v>
      </c>
      <c r="K2772">
        <v>68.918599999999998</v>
      </c>
      <c r="L2772" s="37">
        <f t="shared" si="89"/>
        <v>-0.31081400000000003</v>
      </c>
    </row>
    <row r="2773" spans="1:12" hidden="1" outlineLevel="1" x14ac:dyDescent="0.25">
      <c r="A2773" s="739">
        <v>0.04</v>
      </c>
      <c r="B2773" s="740" t="s">
        <v>3799</v>
      </c>
      <c r="C2773" s="809">
        <v>1346</v>
      </c>
      <c r="D2773" s="908">
        <v>1403.5</v>
      </c>
      <c r="E2773" s="709">
        <v>4.2719167904903488E-2</v>
      </c>
      <c r="F2773" s="946">
        <v>1.7087667161961395E-3</v>
      </c>
      <c r="G2773" s="78"/>
      <c r="H2773" t="str">
        <f>VLOOKUP(B2773,indexy!$A$44:$D$823,3,FALSE)</f>
        <v>GSK LN Equity</v>
      </c>
      <c r="J2773" s="256">
        <v>40848</v>
      </c>
      <c r="K2773">
        <v>68.292000000000002</v>
      </c>
      <c r="L2773" s="37">
        <f t="shared" si="89"/>
        <v>-0.31708000000000003</v>
      </c>
    </row>
    <row r="2774" spans="1:12" hidden="1" outlineLevel="1" x14ac:dyDescent="0.25">
      <c r="A2774" s="739">
        <v>0.04</v>
      </c>
      <c r="B2774" s="740" t="s">
        <v>1031</v>
      </c>
      <c r="C2774" s="809">
        <v>8.3264999999999993</v>
      </c>
      <c r="D2774" s="908">
        <v>4.9569999999999999</v>
      </c>
      <c r="E2774" s="709">
        <v>-0.40467183090133907</v>
      </c>
      <c r="F2774" s="946">
        <v>-1.6186873236053563E-2</v>
      </c>
      <c r="G2774" s="78"/>
      <c r="H2774" t="str">
        <f>VLOOKUP(B2774,indexy!$A$44:$D$823,3,FALSE)</f>
        <v>IBE SQ Equity</v>
      </c>
      <c r="J2774" s="264" t="s">
        <v>2465</v>
      </c>
      <c r="L2774" s="261">
        <f>AVERAGE(L2762:L2773)</f>
        <v>-0.27654341666666671</v>
      </c>
    </row>
    <row r="2775" spans="1:12" hidden="1" outlineLevel="1" x14ac:dyDescent="0.25">
      <c r="A2775" s="739">
        <v>0.04</v>
      </c>
      <c r="B2775" s="740" t="s">
        <v>2588</v>
      </c>
      <c r="C2775" s="809">
        <v>31.882000000000001</v>
      </c>
      <c r="D2775" s="908">
        <v>5.7389999999999999</v>
      </c>
      <c r="E2775" s="709">
        <v>-0.81999247224139016</v>
      </c>
      <c r="F2775" s="946">
        <v>-3.2799698889655608E-2</v>
      </c>
      <c r="G2775" s="78"/>
      <c r="H2775" t="str">
        <f>VLOOKUP(B2775,indexy!$A$44:$D$823,3,FALSE)</f>
        <v>INGA NA Equity</v>
      </c>
      <c r="J2775" s="264" t="s">
        <v>1154</v>
      </c>
      <c r="L2775" s="261">
        <f>L2774*parametry!N111</f>
        <v>-0.17145691833333335</v>
      </c>
    </row>
    <row r="2776" spans="1:12" hidden="1" outlineLevel="1" x14ac:dyDescent="0.25">
      <c r="A2776" s="739">
        <v>0.03</v>
      </c>
      <c r="B2776" s="740" t="s">
        <v>1526</v>
      </c>
      <c r="C2776" s="809">
        <v>87.6</v>
      </c>
      <c r="D2776" s="908">
        <v>8.3000000000000007</v>
      </c>
      <c r="E2776" s="709">
        <v>-0.90525114155251141</v>
      </c>
      <c r="F2776" s="946">
        <v>-2.7157534246575341E-2</v>
      </c>
      <c r="G2776" s="78"/>
      <c r="H2776" t="str">
        <f>VLOOKUP(B2776,indexy!$A$44:$D$823,3,FALSE)</f>
        <v>KBC BB Equity</v>
      </c>
      <c r="J2776" s="256"/>
    </row>
    <row r="2777" spans="1:12" hidden="1" outlineLevel="1" x14ac:dyDescent="0.25">
      <c r="A2777" s="739">
        <v>0.03</v>
      </c>
      <c r="B2777" s="740" t="s">
        <v>2787</v>
      </c>
      <c r="C2777" s="809">
        <v>69.375</v>
      </c>
      <c r="D2777" s="908">
        <v>49.21</v>
      </c>
      <c r="E2777" s="709">
        <v>-0.29066666666666663</v>
      </c>
      <c r="F2777" s="946">
        <v>-8.7199999999999986E-3</v>
      </c>
      <c r="G2777" s="78"/>
      <c r="H2777" t="str">
        <f>VLOOKUP(B2777,indexy!$A$44:$D$823,3,FALSE)</f>
        <v>NOVN SE Equity</v>
      </c>
      <c r="J2777" s="256"/>
    </row>
    <row r="2778" spans="1:12" hidden="1" outlineLevel="1" x14ac:dyDescent="0.25">
      <c r="A2778" s="739">
        <v>0.03</v>
      </c>
      <c r="B2778" s="740" t="s">
        <v>1204</v>
      </c>
      <c r="C2778" s="809">
        <v>62.843000000000004</v>
      </c>
      <c r="D2778" s="908">
        <v>64</v>
      </c>
      <c r="E2778" s="709">
        <v>1.8410960647963881E-2</v>
      </c>
      <c r="F2778" s="946">
        <v>5.5232881943891639E-4</v>
      </c>
      <c r="G2778" s="78"/>
      <c r="H2778" t="str">
        <f>VLOOKUP(B2778,indexy!$A$44:$D$823,3,FALSE)</f>
        <v>PEP UW Equity</v>
      </c>
      <c r="J2778" s="256"/>
    </row>
    <row r="2779" spans="1:12" hidden="1" outlineLevel="1" x14ac:dyDescent="0.25">
      <c r="A2779" s="739">
        <v>0.03</v>
      </c>
      <c r="B2779" s="740" t="s">
        <v>1414</v>
      </c>
      <c r="C2779" s="809">
        <v>25.917999999999999</v>
      </c>
      <c r="D2779" s="908">
        <v>20.07</v>
      </c>
      <c r="E2779" s="709">
        <v>-0.22563469403503356</v>
      </c>
      <c r="F2779" s="946">
        <v>-6.7690408210510063E-3</v>
      </c>
      <c r="G2779" s="78"/>
      <c r="H2779" t="str">
        <f>VLOOKUP(B2779,indexy!$A$44:$D$823,3,FALSE)</f>
        <v>PFE UN Equity</v>
      </c>
      <c r="J2779" s="256"/>
    </row>
    <row r="2780" spans="1:12" hidden="1" outlineLevel="1" x14ac:dyDescent="0.25">
      <c r="A2780" s="739">
        <v>0.03</v>
      </c>
      <c r="B2780" s="853" t="s">
        <v>3307</v>
      </c>
      <c r="C2780" s="809">
        <v>114.59</v>
      </c>
      <c r="D2780" s="908">
        <v>111.2</v>
      </c>
      <c r="E2780" s="709">
        <v>-2.9583733310061922E-2</v>
      </c>
      <c r="F2780" s="946">
        <v>-8.8751199930185763E-4</v>
      </c>
      <c r="G2780" s="78"/>
      <c r="H2780" t="e">
        <f>VLOOKUP(B2780,indexy!$A$44:$D$823,3,FALSE)</f>
        <v>#N/A</v>
      </c>
      <c r="J2780" s="256"/>
    </row>
    <row r="2781" spans="1:12" hidden="1" outlineLevel="1" x14ac:dyDescent="0.25">
      <c r="A2781" s="739">
        <v>0.03</v>
      </c>
      <c r="B2781" s="740" t="s">
        <v>3424</v>
      </c>
      <c r="C2781" s="809">
        <v>32.481499999999997</v>
      </c>
      <c r="D2781" s="908">
        <v>41.86</v>
      </c>
      <c r="E2781" s="709">
        <v>0.28873358681095396</v>
      </c>
      <c r="F2781" s="946">
        <v>8.6620076043286177E-3</v>
      </c>
      <c r="G2781" s="78"/>
      <c r="H2781" t="str">
        <f>VLOOKUP(B2781,indexy!$A$44:$D$823,3,FALSE)</f>
        <v>RAI UN Equity</v>
      </c>
      <c r="J2781" s="256"/>
    </row>
    <row r="2782" spans="1:12" hidden="1" outlineLevel="1" x14ac:dyDescent="0.25">
      <c r="A2782" s="739">
        <v>0.02</v>
      </c>
      <c r="B2782" s="740" t="s">
        <v>3800</v>
      </c>
      <c r="C2782" s="809">
        <v>214.32</v>
      </c>
      <c r="D2782" s="908">
        <v>145</v>
      </c>
      <c r="E2782" s="709">
        <v>-0.32344158268010448</v>
      </c>
      <c r="F2782" s="946">
        <v>-6.4688316536020895E-3</v>
      </c>
      <c r="G2782" s="78"/>
      <c r="H2782" t="str">
        <f>VLOOKUP(B2782,indexy!$A$44:$D$823,3,FALSE)</f>
        <v>ROG SE Equity</v>
      </c>
      <c r="J2782" s="256"/>
    </row>
    <row r="2783" spans="1:12" hidden="1" outlineLevel="1" x14ac:dyDescent="0.25">
      <c r="A2783" s="739">
        <v>0.03</v>
      </c>
      <c r="B2783" s="740" t="s">
        <v>1027</v>
      </c>
      <c r="C2783" s="809">
        <v>1474.3</v>
      </c>
      <c r="D2783" s="908">
        <v>1315</v>
      </c>
      <c r="E2783" s="709">
        <v>-0.10805127857288199</v>
      </c>
      <c r="F2783" s="946">
        <v>-3.2415383571864596E-3</v>
      </c>
      <c r="G2783" s="78"/>
      <c r="H2783" t="str">
        <f>VLOOKUP(B2783,indexy!$A$44:$D$823,3,FALSE)</f>
        <v>SSE LN Equity</v>
      </c>
      <c r="J2783" s="256"/>
    </row>
    <row r="2784" spans="1:12" hidden="1" outlineLevel="1" x14ac:dyDescent="0.25">
      <c r="A2784" s="739">
        <v>0.03</v>
      </c>
      <c r="B2784" s="740" t="s">
        <v>4460</v>
      </c>
      <c r="C2784" s="809">
        <v>1464.7</v>
      </c>
      <c r="D2784" s="908">
        <v>1544</v>
      </c>
      <c r="E2784" s="709">
        <v>5.4140779681846052E-2</v>
      </c>
      <c r="F2784" s="946">
        <v>1.6242233904553815E-3</v>
      </c>
      <c r="G2784" s="78"/>
      <c r="H2784" t="str">
        <f>VLOOKUP(B2784,indexy!$A$44:$D$823,3,FALSE)</f>
        <v>SVT LN Equity</v>
      </c>
      <c r="J2784" s="256"/>
    </row>
    <row r="2785" spans="1:9" hidden="1" outlineLevel="1" x14ac:dyDescent="0.25">
      <c r="A2785" s="739">
        <v>0.03</v>
      </c>
      <c r="B2785" s="740" t="s">
        <v>578</v>
      </c>
      <c r="C2785" s="809">
        <v>11.95</v>
      </c>
      <c r="D2785" s="908">
        <v>4.6280000000000001</v>
      </c>
      <c r="E2785" s="709">
        <v>-0.61271966527196642</v>
      </c>
      <c r="F2785" s="946">
        <v>-1.8381589958158993E-2</v>
      </c>
      <c r="G2785" s="78"/>
      <c r="H2785" t="str">
        <f>VLOOKUP(B2785,indexy!$A$44:$D$823,3,FALSE)</f>
        <v>STERV FH Equity</v>
      </c>
    </row>
    <row r="2786" spans="1:9" hidden="1" outlineLevel="1" x14ac:dyDescent="0.25">
      <c r="A2786" s="739">
        <v>0.03</v>
      </c>
      <c r="B2786" s="740" t="s">
        <v>1183</v>
      </c>
      <c r="C2786" s="809">
        <v>53.65</v>
      </c>
      <c r="D2786" s="908">
        <v>38.335000000000001</v>
      </c>
      <c r="E2786" s="709">
        <v>-0.28546132339235786</v>
      </c>
      <c r="F2786" s="946">
        <v>-8.5638397017707354E-3</v>
      </c>
      <c r="G2786" s="78"/>
      <c r="H2786" t="e">
        <f>VLOOKUP(B2786,indexy!$A$44:$D$823,3,FALSE)</f>
        <v>#N/A</v>
      </c>
    </row>
    <row r="2787" spans="1:9" hidden="1" outlineLevel="1" x14ac:dyDescent="0.25">
      <c r="A2787" s="739">
        <v>0.03</v>
      </c>
      <c r="B2787" s="740" t="s">
        <v>182</v>
      </c>
      <c r="C2787" s="809">
        <v>72.155000000000001</v>
      </c>
      <c r="D2787" s="908">
        <v>11.18</v>
      </c>
      <c r="E2787" s="709">
        <v>-0.84505578269004222</v>
      </c>
      <c r="F2787" s="946">
        <v>-2.5351673480701265E-2</v>
      </c>
      <c r="G2787" s="78"/>
      <c r="H2787" t="str">
        <f>VLOOKUP(B2787,indexy!$A$44:$D$823,3,FALSE)</f>
        <v>UBS US Equity</v>
      </c>
    </row>
    <row r="2788" spans="1:9" hidden="1" outlineLevel="1" x14ac:dyDescent="0.25">
      <c r="A2788" s="739">
        <v>0.03</v>
      </c>
      <c r="B2788" s="712" t="s">
        <v>507</v>
      </c>
      <c r="C2788" s="809">
        <v>19.818000000000001</v>
      </c>
      <c r="D2788" s="908">
        <v>25.295000000000002</v>
      </c>
      <c r="E2788" s="709">
        <v>0.2763649207790897</v>
      </c>
      <c r="F2788" s="946">
        <v>8.2909476233726902E-3</v>
      </c>
      <c r="G2788" s="78"/>
      <c r="H2788" t="str">
        <f>VLOOKUP(B2788,indexy!$A$44:$D$823,3,FALSE)</f>
        <v>UNA NA Equity</v>
      </c>
    </row>
    <row r="2789" spans="1:9" hidden="1" outlineLevel="1" x14ac:dyDescent="0.25">
      <c r="A2789" s="739">
        <v>0.03</v>
      </c>
      <c r="B2789" s="740" t="s">
        <v>3169</v>
      </c>
      <c r="C2789" s="809">
        <v>29.135999999999999</v>
      </c>
      <c r="D2789" s="908">
        <v>17.12</v>
      </c>
      <c r="E2789" s="709">
        <v>-0.41241076331685877</v>
      </c>
      <c r="F2789" s="946">
        <v>-1.2372322899505763E-2</v>
      </c>
      <c r="G2789" s="78"/>
      <c r="H2789" t="str">
        <f>VLOOKUP(B2789,indexy!$A$44:$D$823,3,FALSE)</f>
        <v>VIV FP Equity</v>
      </c>
    </row>
    <row r="2790" spans="1:9" hidden="1" outlineLevel="1" x14ac:dyDescent="0.25">
      <c r="A2790" s="745">
        <v>0.03</v>
      </c>
      <c r="B2790" s="746" t="s">
        <v>580</v>
      </c>
      <c r="C2790" s="810">
        <v>90.2</v>
      </c>
      <c r="D2790" s="715">
        <v>77.3</v>
      </c>
      <c r="E2790" s="498">
        <v>-0.1430155210643016</v>
      </c>
      <c r="F2790" s="1023">
        <v>-4.2904656319290475E-3</v>
      </c>
      <c r="G2790" s="78"/>
      <c r="H2790" t="str">
        <f>VLOOKUP(B2790,indexy!$A$44:$D$823,3,FALSE)</f>
        <v>VOLVB SS Equity</v>
      </c>
    </row>
    <row r="2791" spans="1:9" hidden="1" outlineLevel="1" x14ac:dyDescent="0.25">
      <c r="A2791" s="749"/>
      <c r="B2791" s="750"/>
      <c r="C2791" s="727"/>
      <c r="D2791" s="727"/>
      <c r="E2791" s="716"/>
      <c r="F2791" s="770">
        <v>-0.32918447752633728</v>
      </c>
      <c r="G2791" s="78"/>
    </row>
    <row r="2792" spans="1:9" collapsed="1" x14ac:dyDescent="0.25">
      <c r="A2792" s="3801" t="s">
        <v>4412</v>
      </c>
      <c r="B2792" s="3802"/>
      <c r="C2792" s="3802"/>
      <c r="D2792" s="3802"/>
      <c r="E2792" s="721"/>
      <c r="F2792" s="722">
        <v>0.06</v>
      </c>
      <c r="G2792" s="97" t="s">
        <v>781</v>
      </c>
    </row>
    <row r="2793" spans="1:9" x14ac:dyDescent="0.25">
      <c r="A2793" s="1"/>
      <c r="B2793" s="1"/>
      <c r="C2793" s="1"/>
      <c r="D2793" s="1"/>
      <c r="E2793" s="1"/>
      <c r="F2793" s="1848"/>
      <c r="G2793" s="78"/>
    </row>
    <row r="2794" spans="1:9" hidden="1" outlineLevel="1" x14ac:dyDescent="0.25">
      <c r="A2794" s="689" t="s">
        <v>113</v>
      </c>
      <c r="B2794" s="689" t="s">
        <v>114</v>
      </c>
      <c r="C2794" s="689" t="s">
        <v>112</v>
      </c>
      <c r="D2794" s="689" t="s">
        <v>116</v>
      </c>
      <c r="E2794" s="689" t="s">
        <v>117</v>
      </c>
      <c r="F2794" s="1188" t="s">
        <v>121</v>
      </c>
      <c r="G2794" s="78"/>
    </row>
    <row r="2795" spans="1:9" hidden="1" outlineLevel="1" x14ac:dyDescent="0.25">
      <c r="A2795" s="690">
        <v>1</v>
      </c>
      <c r="B2795" s="691" t="s">
        <v>252</v>
      </c>
      <c r="C2795" s="692">
        <v>100</v>
      </c>
      <c r="D2795" s="692"/>
      <c r="E2795" s="693"/>
      <c r="F2795" s="694"/>
      <c r="G2795" s="78"/>
    </row>
    <row r="2796" spans="1:9" hidden="1" outlineLevel="1" x14ac:dyDescent="0.25">
      <c r="A2796" s="695"/>
      <c r="B2796" s="695"/>
      <c r="C2796" s="696"/>
      <c r="D2796" s="697" t="s">
        <v>3702</v>
      </c>
      <c r="E2796" s="698">
        <v>40329</v>
      </c>
      <c r="F2796" s="699"/>
      <c r="G2796" s="78"/>
    </row>
    <row r="2797" spans="1:9" hidden="1" outlineLevel="1" x14ac:dyDescent="0.25">
      <c r="A2797" s="689" t="s">
        <v>4156</v>
      </c>
      <c r="B2797" s="689" t="s">
        <v>4153</v>
      </c>
      <c r="C2797" s="700" t="s">
        <v>112</v>
      </c>
      <c r="D2797" s="689" t="s">
        <v>116</v>
      </c>
      <c r="E2797" s="689" t="s">
        <v>4154</v>
      </c>
      <c r="F2797" s="1021" t="s">
        <v>2519</v>
      </c>
      <c r="G2797" s="78"/>
    </row>
    <row r="2798" spans="1:9" hidden="1" outlineLevel="1" x14ac:dyDescent="0.25">
      <c r="A2798" s="734">
        <v>0.03</v>
      </c>
      <c r="B2798" s="735" t="s">
        <v>1384</v>
      </c>
      <c r="C2798" s="807">
        <v>13.998000000288357</v>
      </c>
      <c r="D2798" s="803">
        <v>4.6369999999999996</v>
      </c>
      <c r="E2798" s="705">
        <f>D2798/C2798-1</f>
        <v>-0.66873839120556666</v>
      </c>
      <c r="F2798" s="1021">
        <f>E2798*A2798</f>
        <v>-2.0062151736166999E-2</v>
      </c>
      <c r="G2798" s="78"/>
      <c r="H2798" t="str">
        <f>VLOOKUP(B2798,indexy!$A$44:$D$823,3,FALSE)</f>
        <v>AGN NA Equity</v>
      </c>
    </row>
    <row r="2799" spans="1:9" hidden="1" outlineLevel="1" x14ac:dyDescent="0.25">
      <c r="A2799" s="739">
        <v>0.02</v>
      </c>
      <c r="B2799" s="740" t="s">
        <v>1343</v>
      </c>
      <c r="C2799" s="809">
        <v>1605.8176074143041</v>
      </c>
      <c r="D2799" s="908">
        <v>1800</v>
      </c>
      <c r="E2799" s="709">
        <f t="shared" ref="E2799:E2827" si="90">D2799/C2799-1</f>
        <v>0.12092431399999981</v>
      </c>
      <c r="F2799" s="946">
        <f t="shared" ref="F2799:F2827" si="91">E2799*A2799</f>
        <v>2.4184862799999964E-3</v>
      </c>
      <c r="G2799" s="78"/>
      <c r="H2799" t="str">
        <f>VLOOKUP(B2799,indexy!$A$44:$D$823,3,FALSE)</f>
        <v>IMB LN Equity</v>
      </c>
    </row>
    <row r="2800" spans="1:9" hidden="1" outlineLevel="1" x14ac:dyDescent="0.25">
      <c r="A2800" s="739">
        <v>0.03</v>
      </c>
      <c r="B2800" s="740" t="s">
        <v>1993</v>
      </c>
      <c r="C2800" s="809">
        <v>84.001999999999995</v>
      </c>
      <c r="D2800" s="908">
        <f>20.29+44.12</f>
        <v>64.41</v>
      </c>
      <c r="E2800" s="709">
        <f t="shared" si="90"/>
        <v>-0.23323254208233135</v>
      </c>
      <c r="F2800" s="946">
        <f t="shared" si="91"/>
        <v>-6.9969762624699401E-3</v>
      </c>
      <c r="G2800" s="78"/>
      <c r="H2800" t="str">
        <f>VLOOKUP(B2800,indexy!$A$44:$D$823,3,FALSE)</f>
        <v>MO UN Equity</v>
      </c>
      <c r="I2800" s="39" t="s">
        <v>3533</v>
      </c>
    </row>
    <row r="2801" spans="1:8" hidden="1" outlineLevel="1" x14ac:dyDescent="0.25">
      <c r="A2801" s="739">
        <v>0.03</v>
      </c>
      <c r="B2801" s="740" t="s">
        <v>1210</v>
      </c>
      <c r="C2801" s="809">
        <v>16.254999996006688</v>
      </c>
      <c r="D2801" s="908">
        <v>0.71499999999999997</v>
      </c>
      <c r="E2801" s="709">
        <f t="shared" si="90"/>
        <v>-0.95601353428633329</v>
      </c>
      <c r="F2801" s="946">
        <f t="shared" si="91"/>
        <v>-2.8680406028589997E-2</v>
      </c>
      <c r="G2801" s="78"/>
      <c r="H2801" t="e">
        <f>VLOOKUP(B2801,indexy!$A$44:$D$823,3,FALSE)</f>
        <v>#N/A</v>
      </c>
    </row>
    <row r="2802" spans="1:8" hidden="1" outlineLevel="1" x14ac:dyDescent="0.25">
      <c r="A2802" s="739">
        <v>0.02</v>
      </c>
      <c r="B2802" s="740" t="s">
        <v>3019</v>
      </c>
      <c r="C2802" s="809">
        <v>79.788130598010042</v>
      </c>
      <c r="D2802" s="908">
        <v>46.295000000000002</v>
      </c>
      <c r="E2802" s="709">
        <f t="shared" si="90"/>
        <v>-0.41977585321249999</v>
      </c>
      <c r="F2802" s="946">
        <f t="shared" si="91"/>
        <v>-8.3955170642499993E-3</v>
      </c>
      <c r="G2802" s="78"/>
      <c r="H2802" t="str">
        <f>VLOOKUP(B2802,indexy!$A$44:$D$823,3,FALSE)</f>
        <v>BNP FP Equity</v>
      </c>
    </row>
    <row r="2803" spans="1:8" hidden="1" outlineLevel="1" x14ac:dyDescent="0.25">
      <c r="A2803" s="739">
        <v>0.04</v>
      </c>
      <c r="B2803" s="740" t="s">
        <v>1188</v>
      </c>
      <c r="C2803" s="809">
        <v>574.29999996908828</v>
      </c>
      <c r="D2803" s="908">
        <v>494.8</v>
      </c>
      <c r="E2803" s="709">
        <f t="shared" si="90"/>
        <v>-0.13842939225729989</v>
      </c>
      <c r="F2803" s="946">
        <f t="shared" si="91"/>
        <v>-5.5371756902919955E-3</v>
      </c>
      <c r="G2803" s="78"/>
      <c r="H2803" t="str">
        <f>VLOOKUP(B2803,indexy!$A$44:$D$823,3,FALSE)</f>
        <v>BP/ LN Equity</v>
      </c>
    </row>
    <row r="2804" spans="1:8" hidden="1" outlineLevel="1" x14ac:dyDescent="0.25">
      <c r="A2804" s="739">
        <v>0.03</v>
      </c>
      <c r="B2804" s="740" t="s">
        <v>1847</v>
      </c>
      <c r="C2804" s="809">
        <v>50.048000035874409</v>
      </c>
      <c r="D2804" s="908">
        <v>3.96</v>
      </c>
      <c r="E2804" s="709">
        <f t="shared" si="90"/>
        <v>-0.92087595913600007</v>
      </c>
      <c r="F2804" s="946">
        <f t="shared" si="91"/>
        <v>-2.7626278774080002E-2</v>
      </c>
      <c r="G2804" s="78"/>
      <c r="H2804" t="str">
        <f>VLOOKUP(B2804,indexy!$A$44:$D$823,3,FALSE)</f>
        <v>C UN Equity</v>
      </c>
    </row>
    <row r="2805" spans="1:8" hidden="1" outlineLevel="1" x14ac:dyDescent="0.25">
      <c r="A2805" s="739">
        <v>0.03</v>
      </c>
      <c r="B2805" s="740" t="s">
        <v>4025</v>
      </c>
      <c r="C2805" s="809">
        <v>44.944999972051697</v>
      </c>
      <c r="D2805" s="908">
        <v>41</v>
      </c>
      <c r="E2805" s="709">
        <f t="shared" si="90"/>
        <v>-8.7773945366666606E-2</v>
      </c>
      <c r="F2805" s="946">
        <f t="shared" si="91"/>
        <v>-2.6332183609999982E-3</v>
      </c>
      <c r="G2805" s="78"/>
      <c r="H2805" t="str">
        <f>VLOOKUP(B2805,indexy!$A$44:$D$823,3,FALSE)</f>
        <v>MBG GR Equity</v>
      </c>
    </row>
    <row r="2806" spans="1:8" hidden="1" outlineLevel="1" x14ac:dyDescent="0.25">
      <c r="A2806" s="739">
        <v>0.04</v>
      </c>
      <c r="B2806" s="740" t="s">
        <v>3406</v>
      </c>
      <c r="C2806" s="809">
        <v>984.59999989198957</v>
      </c>
      <c r="D2806" s="908">
        <v>1055</v>
      </c>
      <c r="E2806" s="709">
        <f t="shared" si="90"/>
        <v>7.1501117322499752E-2</v>
      </c>
      <c r="F2806" s="946">
        <f t="shared" si="91"/>
        <v>2.8600446928999899E-3</v>
      </c>
      <c r="G2806" s="78"/>
      <c r="H2806" t="str">
        <f>VLOOKUP(B2806,indexy!$A$44:$D$823,3,FALSE)</f>
        <v>DGE LN Equity</v>
      </c>
    </row>
    <row r="2807" spans="1:8" hidden="1" outlineLevel="1" x14ac:dyDescent="0.25">
      <c r="A2807" s="739">
        <v>0.04</v>
      </c>
      <c r="B2807" s="740" t="s">
        <v>4387</v>
      </c>
      <c r="C2807" s="809">
        <v>32.115333304346031</v>
      </c>
      <c r="D2807" s="908">
        <v>24.73</v>
      </c>
      <c r="E2807" s="709">
        <f t="shared" si="90"/>
        <v>-0.22996284156099989</v>
      </c>
      <c r="F2807" s="946">
        <f t="shared" si="91"/>
        <v>-9.1985136624399954E-3</v>
      </c>
      <c r="G2807" s="78"/>
      <c r="H2807" t="str">
        <f>VLOOKUP(B2807,indexy!$A$44:$D$823,3,FALSE)</f>
        <v>EOAN GY Equity</v>
      </c>
    </row>
    <row r="2808" spans="1:8" hidden="1" outlineLevel="1" x14ac:dyDescent="0.25">
      <c r="A2808" s="739">
        <v>0.03</v>
      </c>
      <c r="B2808" s="740" t="s">
        <v>1177</v>
      </c>
      <c r="C2808" s="809">
        <v>199.31072637246245</v>
      </c>
      <c r="D2808" s="908">
        <v>64.75</v>
      </c>
      <c r="E2808" s="709">
        <f t="shared" si="90"/>
        <v>-0.67513037969166667</v>
      </c>
      <c r="F2808" s="946">
        <f t="shared" si="91"/>
        <v>-2.0253911390749998E-2</v>
      </c>
      <c r="G2808" s="78"/>
      <c r="H2808" t="s">
        <v>1178</v>
      </c>
    </row>
    <row r="2809" spans="1:8" hidden="1" outlineLevel="1" x14ac:dyDescent="0.25">
      <c r="A2809" s="739">
        <v>0.05</v>
      </c>
      <c r="B2809" s="740" t="s">
        <v>3798</v>
      </c>
      <c r="C2809" s="809">
        <v>6.7603844612795729</v>
      </c>
      <c r="D2809" s="908">
        <f>VLOOKUP(H2809,indexy!$C$44:$D$529,2,FALSE)</f>
        <v>6.1189999999999998</v>
      </c>
      <c r="E2809" s="709">
        <f t="shared" si="90"/>
        <v>-9.4873962413400181E-2</v>
      </c>
      <c r="F2809" s="946">
        <f t="shared" si="91"/>
        <v>-4.7436981206700098E-3</v>
      </c>
      <c r="G2809" s="78"/>
      <c r="H2809" t="str">
        <f>VLOOKUP(B2809,indexy!$A$44:$D$823,3,FALSE)</f>
        <v>ENEL IM Equity</v>
      </c>
    </row>
    <row r="2810" spans="1:8" hidden="1" outlineLevel="1" x14ac:dyDescent="0.25">
      <c r="A2810" s="739">
        <v>0.05</v>
      </c>
      <c r="B2810" s="740" t="s">
        <v>1176</v>
      </c>
      <c r="C2810" s="809">
        <v>31.152999999999999</v>
      </c>
      <c r="D2810" s="908">
        <v>7.25</v>
      </c>
      <c r="E2810" s="709">
        <f t="shared" si="90"/>
        <v>-0.76727762976278369</v>
      </c>
      <c r="F2810" s="946">
        <f t="shared" si="91"/>
        <v>-3.8363881488139184E-2</v>
      </c>
      <c r="G2810" s="78"/>
      <c r="H2810" t="str">
        <f>VLOOKUP(B2810,indexy!$A$44:$D$823,3,FALSE)</f>
        <v>AGS BB Equity</v>
      </c>
    </row>
    <row r="2811" spans="1:8" hidden="1" outlineLevel="1" x14ac:dyDescent="0.25">
      <c r="A2811" s="739">
        <v>0.05</v>
      </c>
      <c r="B2811" s="740" t="s">
        <v>3799</v>
      </c>
      <c r="C2811" s="809">
        <v>1347.2999998602043</v>
      </c>
      <c r="D2811" s="908">
        <v>1157</v>
      </c>
      <c r="E2811" s="709">
        <f t="shared" si="90"/>
        <v>-0.14124545378160003</v>
      </c>
      <c r="F2811" s="946">
        <f t="shared" si="91"/>
        <v>-7.0622726890800019E-3</v>
      </c>
      <c r="G2811" s="78"/>
      <c r="H2811" t="str">
        <f>VLOOKUP(B2811,indexy!$A$44:$D$823,3,FALSE)</f>
        <v>GSK LN Equity</v>
      </c>
    </row>
    <row r="2812" spans="1:8" hidden="1" outlineLevel="1" x14ac:dyDescent="0.25">
      <c r="A2812" s="739">
        <v>0.03</v>
      </c>
      <c r="B2812" s="740" t="s">
        <v>1031</v>
      </c>
      <c r="C2812" s="809">
        <v>8.2967500033941999</v>
      </c>
      <c r="D2812" s="908">
        <v>5.3920000000000003</v>
      </c>
      <c r="E2812" s="709">
        <f t="shared" si="90"/>
        <v>-0.35010696986239986</v>
      </c>
      <c r="F2812" s="946">
        <f t="shared" si="91"/>
        <v>-1.0503209095871996E-2</v>
      </c>
      <c r="G2812" s="78"/>
      <c r="H2812" t="str">
        <f>VLOOKUP(B2812,indexy!$A$44:$D$823,3,FALSE)</f>
        <v>IBE SQ Equity</v>
      </c>
    </row>
    <row r="2813" spans="1:8" hidden="1" outlineLevel="1" x14ac:dyDescent="0.25">
      <c r="A2813" s="739">
        <v>0.02</v>
      </c>
      <c r="B2813" s="740" t="s">
        <v>2588</v>
      </c>
      <c r="C2813" s="809">
        <v>24.935367247571417</v>
      </c>
      <c r="D2813" s="908">
        <v>6.4850000000000003</v>
      </c>
      <c r="E2813" s="709">
        <f t="shared" si="90"/>
        <v>-0.73992763228175007</v>
      </c>
      <c r="F2813" s="946">
        <f t="shared" si="91"/>
        <v>-1.4798552645635002E-2</v>
      </c>
      <c r="G2813" s="78"/>
      <c r="H2813" t="str">
        <f>VLOOKUP(B2813,indexy!$A$44:$D$823,3,FALSE)</f>
        <v>INGA NA Equity</v>
      </c>
    </row>
    <row r="2814" spans="1:8" hidden="1" outlineLevel="1" x14ac:dyDescent="0.25">
      <c r="A2814" s="739">
        <v>0.03</v>
      </c>
      <c r="B2814" s="740" t="s">
        <v>1526</v>
      </c>
      <c r="C2814" s="809">
        <v>85.27000002236916</v>
      </c>
      <c r="D2814" s="908">
        <v>31.885000000000002</v>
      </c>
      <c r="E2814" s="709">
        <f t="shared" si="90"/>
        <v>-0.62607013027283331</v>
      </c>
      <c r="F2814" s="946">
        <f t="shared" si="91"/>
        <v>-1.8782103908184997E-2</v>
      </c>
      <c r="G2814" s="78"/>
      <c r="H2814" t="str">
        <f>VLOOKUP(B2814,indexy!$A$44:$D$823,3,FALSE)</f>
        <v>KBC BB Equity</v>
      </c>
    </row>
    <row r="2815" spans="1:8" hidden="1" outlineLevel="1" x14ac:dyDescent="0.25">
      <c r="A2815" s="739">
        <v>0.02</v>
      </c>
      <c r="B2815" s="740" t="s">
        <v>2787</v>
      </c>
      <c r="C2815" s="809">
        <v>70.554999987846898</v>
      </c>
      <c r="D2815" s="908">
        <v>52.5</v>
      </c>
      <c r="E2815" s="709">
        <f t="shared" si="90"/>
        <v>-0.25589965262499992</v>
      </c>
      <c r="F2815" s="946">
        <f t="shared" si="91"/>
        <v>-5.1179930524999986E-3</v>
      </c>
      <c r="G2815" s="78"/>
      <c r="H2815" t="str">
        <f>VLOOKUP(B2815,indexy!$A$44:$D$823,3,FALSE)</f>
        <v>NOVN SE Equity</v>
      </c>
    </row>
    <row r="2816" spans="1:8" hidden="1" outlineLevel="1" x14ac:dyDescent="0.25">
      <c r="A2816" s="739">
        <v>0.04</v>
      </c>
      <c r="B2816" s="740" t="s">
        <v>3424</v>
      </c>
      <c r="C2816" s="809">
        <v>65.05900000654168</v>
      </c>
      <c r="D2816" s="908">
        <v>52.14</v>
      </c>
      <c r="E2816" s="709">
        <f t="shared" si="90"/>
        <v>-0.19857360250299994</v>
      </c>
      <c r="F2816" s="946">
        <f t="shared" si="91"/>
        <v>-7.9429441001199978E-3</v>
      </c>
      <c r="G2816" s="78"/>
      <c r="H2816" t="str">
        <f>VLOOKUP(B2816,indexy!$A$44:$D$823,3,FALSE)</f>
        <v>RAI UN Equity</v>
      </c>
    </row>
    <row r="2817" spans="1:8" hidden="1" outlineLevel="1" x14ac:dyDescent="0.25">
      <c r="A2817" s="739">
        <v>0.03</v>
      </c>
      <c r="B2817" s="740" t="s">
        <v>3800</v>
      </c>
      <c r="C2817" s="809">
        <v>218.71000044697033</v>
      </c>
      <c r="D2817" s="908">
        <v>158.69999999999999</v>
      </c>
      <c r="E2817" s="709">
        <f t="shared" si="90"/>
        <v>-0.27438160269</v>
      </c>
      <c r="F2817" s="946">
        <f t="shared" si="91"/>
        <v>-8.2314480806999994E-3</v>
      </c>
      <c r="G2817" s="78"/>
      <c r="H2817" t="str">
        <f>VLOOKUP(B2817,indexy!$A$44:$D$823,3,FALSE)</f>
        <v>ROG SE Equity</v>
      </c>
    </row>
    <row r="2818" spans="1:8" hidden="1" outlineLevel="1" x14ac:dyDescent="0.25">
      <c r="A2818" s="739">
        <v>0.03</v>
      </c>
      <c r="B2818" s="740" t="s">
        <v>1027</v>
      </c>
      <c r="C2818" s="809">
        <v>1476.5000001587237</v>
      </c>
      <c r="D2818" s="908">
        <v>1052</v>
      </c>
      <c r="E2818" s="709">
        <f t="shared" si="90"/>
        <v>-0.28750423305999995</v>
      </c>
      <c r="F2818" s="946">
        <f t="shared" si="91"/>
        <v>-8.6251269917999984E-3</v>
      </c>
      <c r="G2818" s="78"/>
      <c r="H2818" t="str">
        <f>VLOOKUP(B2818,indexy!$A$44:$D$823,3,FALSE)</f>
        <v>SSE LN Equity</v>
      </c>
    </row>
    <row r="2819" spans="1:8" hidden="1" outlineLevel="1" x14ac:dyDescent="0.25">
      <c r="A2819" s="739">
        <v>0.03</v>
      </c>
      <c r="B2819" s="740" t="s">
        <v>4460</v>
      </c>
      <c r="C2819" s="809">
        <v>1459.1000000001945</v>
      </c>
      <c r="D2819" s="908">
        <v>1198</v>
      </c>
      <c r="E2819" s="709">
        <f t="shared" si="90"/>
        <v>-0.17894592557066669</v>
      </c>
      <c r="F2819" s="946">
        <f t="shared" si="91"/>
        <v>-5.36837776712E-3</v>
      </c>
      <c r="G2819" s="78"/>
      <c r="H2819" t="str">
        <f>VLOOKUP(B2819,indexy!$A$44:$D$823,3,FALSE)</f>
        <v>SVT LN Equity</v>
      </c>
    </row>
    <row r="2820" spans="1:8" hidden="1" outlineLevel="1" x14ac:dyDescent="0.25">
      <c r="A2820" s="739">
        <v>0.02</v>
      </c>
      <c r="B2820" s="740" t="s">
        <v>578</v>
      </c>
      <c r="C2820" s="809">
        <v>12.009000003346308</v>
      </c>
      <c r="D2820" s="908">
        <v>6.08</v>
      </c>
      <c r="E2820" s="709">
        <f t="shared" si="90"/>
        <v>-0.49371304868800003</v>
      </c>
      <c r="F2820" s="946">
        <f t="shared" si="91"/>
        <v>-9.8742609737600007E-3</v>
      </c>
      <c r="G2820" s="78"/>
      <c r="H2820" t="str">
        <f>VLOOKUP(B2820,indexy!$A$44:$D$823,3,FALSE)</f>
        <v>STERV FH Equity</v>
      </c>
    </row>
    <row r="2821" spans="1:8" hidden="1" outlineLevel="1" x14ac:dyDescent="0.25">
      <c r="A2821" s="739">
        <v>0.05</v>
      </c>
      <c r="B2821" s="740" t="s">
        <v>1527</v>
      </c>
      <c r="C2821" s="809">
        <v>2.3229000000309643</v>
      </c>
      <c r="D2821" s="908">
        <v>0.95150000000000001</v>
      </c>
      <c r="E2821" s="709">
        <f t="shared" si="90"/>
        <v>-0.59038271127155006</v>
      </c>
      <c r="F2821" s="946">
        <f t="shared" si="91"/>
        <v>-2.9519135563577506E-2</v>
      </c>
      <c r="G2821" s="78"/>
      <c r="H2821" t="str">
        <f>VLOOKUP(B2821,indexy!$A$44:$D$823,3,FALSE)</f>
        <v>TIT IM Equity</v>
      </c>
    </row>
    <row r="2822" spans="1:8" hidden="1" outlineLevel="1" x14ac:dyDescent="0.25">
      <c r="A2822" s="739">
        <v>0.05</v>
      </c>
      <c r="B2822" s="740" t="s">
        <v>577</v>
      </c>
      <c r="C2822" s="809">
        <v>15.452000001914811</v>
      </c>
      <c r="D2822" s="908">
        <v>15.565</v>
      </c>
      <c r="E2822" s="709">
        <f t="shared" si="90"/>
        <v>7.3129690700999284E-3</v>
      </c>
      <c r="F2822" s="946">
        <f t="shared" si="91"/>
        <v>3.6564845350499646E-4</v>
      </c>
      <c r="G2822" s="78"/>
      <c r="H2822" t="str">
        <f>VLOOKUP(B2822,indexy!$A$44:$D$823,3,FALSE)</f>
        <v>TEF SQ Equity</v>
      </c>
    </row>
    <row r="2823" spans="1:8" hidden="1" outlineLevel="1" x14ac:dyDescent="0.25">
      <c r="A2823" s="739">
        <v>0.04</v>
      </c>
      <c r="B2823" s="740" t="s">
        <v>1183</v>
      </c>
      <c r="C2823" s="809">
        <v>53.790000034223894</v>
      </c>
      <c r="D2823" s="908">
        <v>37.729999999999997</v>
      </c>
      <c r="E2823" s="709">
        <f t="shared" si="90"/>
        <v>-0.29856850760375009</v>
      </c>
      <c r="F2823" s="946">
        <f t="shared" si="91"/>
        <v>-1.1942740304150004E-2</v>
      </c>
      <c r="G2823" s="78"/>
      <c r="H2823" t="e">
        <f>VLOOKUP(B2823,indexy!$A$44:$D$823,3,FALSE)</f>
        <v>#N/A</v>
      </c>
    </row>
    <row r="2824" spans="1:8" hidden="1" outlineLevel="1" x14ac:dyDescent="0.25">
      <c r="A2824" s="739">
        <v>0.02</v>
      </c>
      <c r="B2824" s="740" t="s">
        <v>182</v>
      </c>
      <c r="C2824" s="809">
        <v>68.494680086692355</v>
      </c>
      <c r="D2824" s="908">
        <v>15.53</v>
      </c>
      <c r="E2824" s="709">
        <f t="shared" si="90"/>
        <v>-0.77326706278000001</v>
      </c>
      <c r="F2824" s="946">
        <f t="shared" si="91"/>
        <v>-1.54653412556E-2</v>
      </c>
      <c r="G2824" s="78"/>
      <c r="H2824" t="str">
        <f>VLOOKUP(B2824,indexy!$A$44:$D$823,3,FALSE)</f>
        <v>UBS US Equity</v>
      </c>
    </row>
    <row r="2825" spans="1:8" hidden="1" outlineLevel="1" x14ac:dyDescent="0.25">
      <c r="A2825" s="739">
        <v>0.05</v>
      </c>
      <c r="B2825" s="740" t="s">
        <v>507</v>
      </c>
      <c r="C2825" s="809">
        <v>19.971999998959859</v>
      </c>
      <c r="D2825" s="908">
        <v>22.35</v>
      </c>
      <c r="E2825" s="709">
        <f t="shared" si="90"/>
        <v>0.11906669342900011</v>
      </c>
      <c r="F2825" s="946">
        <f t="shared" si="91"/>
        <v>5.9533346714500061E-3</v>
      </c>
      <c r="G2825" s="78"/>
      <c r="H2825" t="str">
        <f>VLOOKUP(B2825,indexy!$A$44:$D$823,3,FALSE)</f>
        <v>UNA NA Equity</v>
      </c>
    </row>
    <row r="2826" spans="1:8" hidden="1" outlineLevel="1" x14ac:dyDescent="0.25">
      <c r="A2826" s="739">
        <v>0.02</v>
      </c>
      <c r="B2826" s="740" t="s">
        <v>3169</v>
      </c>
      <c r="C2826" s="809">
        <v>29.21099999444699</v>
      </c>
      <c r="D2826" s="908">
        <v>17.635000000000002</v>
      </c>
      <c r="E2826" s="709">
        <f t="shared" si="90"/>
        <v>-0.39628906907149997</v>
      </c>
      <c r="F2826" s="946">
        <f t="shared" si="91"/>
        <v>-7.9257813814300002E-3</v>
      </c>
      <c r="G2826" s="78"/>
      <c r="H2826" t="str">
        <f>VLOOKUP(B2826,indexy!$A$44:$D$823,3,FALSE)</f>
        <v>VIV FP Equity</v>
      </c>
    </row>
    <row r="2827" spans="1:8" hidden="1" outlineLevel="1" x14ac:dyDescent="0.25">
      <c r="A2827" s="745">
        <v>0.03</v>
      </c>
      <c r="B2827" s="746" t="s">
        <v>580</v>
      </c>
      <c r="C2827" s="810">
        <v>86.664653774159291</v>
      </c>
      <c r="D2827" s="715">
        <v>81.8</v>
      </c>
      <c r="E2827" s="498">
        <f t="shared" si="90"/>
        <v>-5.6131924173333347E-2</v>
      </c>
      <c r="F2827" s="1023">
        <f t="shared" si="91"/>
        <v>-1.6839577252000003E-3</v>
      </c>
      <c r="G2827" s="78"/>
      <c r="H2827" t="str">
        <f>VLOOKUP(B2827,indexy!$A$44:$D$823,3,FALSE)</f>
        <v>VOLVB SS Equity</v>
      </c>
    </row>
    <row r="2828" spans="1:8" hidden="1" outlineLevel="1" x14ac:dyDescent="0.25">
      <c r="A2828" s="749"/>
      <c r="B2828" s="750"/>
      <c r="C2828" s="811"/>
      <c r="D2828" s="768"/>
      <c r="E2828" s="716"/>
      <c r="F2828" s="770">
        <f>SUM(F2798:F2827)</f>
        <v>-0.32373746001572262</v>
      </c>
      <c r="G2828" s="78"/>
    </row>
    <row r="2829" spans="1:8" hidden="1" outlineLevel="1" x14ac:dyDescent="0.25">
      <c r="A2829" s="749"/>
      <c r="B2829" s="750"/>
      <c r="C2829" s="811"/>
      <c r="D2829" s="768"/>
      <c r="E2829" s="716"/>
      <c r="F2829" s="770"/>
      <c r="G2829" s="78"/>
    </row>
    <row r="2830" spans="1:8" hidden="1" outlineLevel="1" x14ac:dyDescent="0.25">
      <c r="A2830" s="935" t="s">
        <v>3206</v>
      </c>
      <c r="B2830" s="985">
        <v>39114</v>
      </c>
      <c r="C2830" s="811">
        <v>100</v>
      </c>
      <c r="D2830" s="768">
        <v>101.7837</v>
      </c>
      <c r="E2830" s="716">
        <f t="shared" ref="E2830:E2843" si="92">D2830/C2830-1</f>
        <v>1.7836999999999881E-2</v>
      </c>
      <c r="F2830" s="770">
        <f>E2830</f>
        <v>1.7836999999999881E-2</v>
      </c>
      <c r="G2830" s="78"/>
    </row>
    <row r="2831" spans="1:8" hidden="1" outlineLevel="1" x14ac:dyDescent="0.25">
      <c r="A2831" s="935" t="s">
        <v>3207</v>
      </c>
      <c r="B2831" s="985">
        <v>39203</v>
      </c>
      <c r="C2831" s="811">
        <v>100</v>
      </c>
      <c r="D2831" s="768">
        <v>110.84529999999999</v>
      </c>
      <c r="E2831" s="716">
        <f t="shared" si="92"/>
        <v>0.10845299999999991</v>
      </c>
      <c r="F2831" s="770">
        <f>E2831</f>
        <v>0.10845299999999991</v>
      </c>
      <c r="G2831" s="78"/>
    </row>
    <row r="2832" spans="1:8" hidden="1" outlineLevel="1" x14ac:dyDescent="0.25">
      <c r="A2832" s="935" t="s">
        <v>3208</v>
      </c>
      <c r="B2832" s="985">
        <v>39295</v>
      </c>
      <c r="C2832" s="811">
        <v>100</v>
      </c>
      <c r="D2832" s="729">
        <v>104.435</v>
      </c>
      <c r="E2832" s="716">
        <f t="shared" si="92"/>
        <v>4.4350000000000112E-2</v>
      </c>
      <c r="F2832" s="770">
        <f>E2832</f>
        <v>4.4350000000000112E-2</v>
      </c>
      <c r="G2832" s="78"/>
    </row>
    <row r="2833" spans="1:9" hidden="1" outlineLevel="1" x14ac:dyDescent="0.25">
      <c r="A2833" s="935" t="s">
        <v>3209</v>
      </c>
      <c r="B2833" s="985">
        <v>39387</v>
      </c>
      <c r="C2833" s="811">
        <v>100</v>
      </c>
      <c r="D2833" s="768">
        <v>107.0993</v>
      </c>
      <c r="E2833" s="716">
        <f t="shared" si="92"/>
        <v>7.0993000000000084E-2</v>
      </c>
      <c r="F2833" s="770">
        <f t="shared" ref="F2833:F2843" si="93">E2833</f>
        <v>7.0993000000000084E-2</v>
      </c>
      <c r="G2833" s="78"/>
    </row>
    <row r="2834" spans="1:9" hidden="1" outlineLevel="1" x14ac:dyDescent="0.25">
      <c r="A2834" s="935" t="s">
        <v>3210</v>
      </c>
      <c r="B2834" s="985">
        <v>39479</v>
      </c>
      <c r="C2834" s="811">
        <v>100</v>
      </c>
      <c r="D2834" s="768">
        <v>91.599000000000004</v>
      </c>
      <c r="E2834" s="716">
        <f t="shared" si="92"/>
        <v>-8.4009999999999918E-2</v>
      </c>
      <c r="F2834" s="770">
        <f t="shared" si="93"/>
        <v>-8.4009999999999918E-2</v>
      </c>
      <c r="G2834" s="78"/>
    </row>
    <row r="2835" spans="1:9" hidden="1" outlineLevel="1" x14ac:dyDescent="0.25">
      <c r="A2835" s="935" t="s">
        <v>3211</v>
      </c>
      <c r="B2835" s="985">
        <v>39569</v>
      </c>
      <c r="C2835" s="811">
        <v>100</v>
      </c>
      <c r="D2835" s="768">
        <v>91.020200000000003</v>
      </c>
      <c r="E2835" s="716">
        <f t="shared" si="92"/>
        <v>-8.9797999999999933E-2</v>
      </c>
      <c r="F2835" s="770">
        <f t="shared" si="93"/>
        <v>-8.9797999999999933E-2</v>
      </c>
      <c r="G2835" s="78"/>
    </row>
    <row r="2836" spans="1:9" hidden="1" outlineLevel="1" x14ac:dyDescent="0.25">
      <c r="A2836" s="935" t="s">
        <v>3212</v>
      </c>
      <c r="B2836" s="985">
        <v>39661</v>
      </c>
      <c r="C2836" s="811">
        <v>100</v>
      </c>
      <c r="D2836" s="768">
        <v>81.694800000000001</v>
      </c>
      <c r="E2836" s="716">
        <f t="shared" si="92"/>
        <v>-0.18305199999999999</v>
      </c>
      <c r="F2836" s="770">
        <f t="shared" si="93"/>
        <v>-0.18305199999999999</v>
      </c>
      <c r="G2836" s="78"/>
    </row>
    <row r="2837" spans="1:9" hidden="1" outlineLevel="1" x14ac:dyDescent="0.25">
      <c r="A2837" s="935" t="s">
        <v>3213</v>
      </c>
      <c r="B2837" s="985">
        <v>39753</v>
      </c>
      <c r="C2837" s="811">
        <v>100</v>
      </c>
      <c r="D2837" s="768">
        <v>62.131500000000003</v>
      </c>
      <c r="E2837" s="716">
        <f t="shared" si="92"/>
        <v>-0.37868499999999994</v>
      </c>
      <c r="F2837" s="770">
        <f t="shared" si="93"/>
        <v>-0.37868499999999994</v>
      </c>
      <c r="G2837" s="78"/>
    </row>
    <row r="2838" spans="1:9" hidden="1" outlineLevel="1" x14ac:dyDescent="0.25">
      <c r="A2838" s="935" t="s">
        <v>3214</v>
      </c>
      <c r="B2838" s="985">
        <v>39845</v>
      </c>
      <c r="C2838" s="837">
        <v>100</v>
      </c>
      <c r="D2838" s="798">
        <v>52.973500000000001</v>
      </c>
      <c r="E2838" s="716">
        <f t="shared" si="92"/>
        <v>-0.47026499999999993</v>
      </c>
      <c r="F2838" s="770">
        <f t="shared" si="93"/>
        <v>-0.47026499999999993</v>
      </c>
      <c r="G2838" s="78"/>
    </row>
    <row r="2839" spans="1:9" hidden="1" outlineLevel="1" x14ac:dyDescent="0.25">
      <c r="A2839" s="935" t="s">
        <v>712</v>
      </c>
      <c r="B2839" s="985">
        <v>39934</v>
      </c>
      <c r="C2839" s="811">
        <v>100</v>
      </c>
      <c r="D2839" s="768">
        <v>59.737200000000001</v>
      </c>
      <c r="E2839" s="716">
        <f t="shared" si="92"/>
        <v>-0.40262799999999999</v>
      </c>
      <c r="F2839" s="770">
        <f t="shared" si="93"/>
        <v>-0.40262799999999999</v>
      </c>
      <c r="G2839" s="78"/>
    </row>
    <row r="2840" spans="1:9" hidden="1" outlineLevel="1" x14ac:dyDescent="0.25">
      <c r="A2840" s="935" t="s">
        <v>713</v>
      </c>
      <c r="B2840" s="985">
        <v>40026</v>
      </c>
      <c r="C2840" s="811">
        <v>100</v>
      </c>
      <c r="D2840" s="768">
        <v>66.8078</v>
      </c>
      <c r="E2840" s="716">
        <f t="shared" si="92"/>
        <v>-0.33192200000000005</v>
      </c>
      <c r="F2840" s="770">
        <f t="shared" si="93"/>
        <v>-0.33192200000000005</v>
      </c>
      <c r="G2840" s="78"/>
    </row>
    <row r="2841" spans="1:9" hidden="1" outlineLevel="1" x14ac:dyDescent="0.25">
      <c r="A2841" s="935" t="s">
        <v>714</v>
      </c>
      <c r="B2841" s="985">
        <v>40118</v>
      </c>
      <c r="C2841" s="811">
        <v>100</v>
      </c>
      <c r="D2841" s="768">
        <v>68.192099999999996</v>
      </c>
      <c r="E2841" s="716">
        <f t="shared" si="92"/>
        <v>-0.318079</v>
      </c>
      <c r="F2841" s="770">
        <f t="shared" si="93"/>
        <v>-0.318079</v>
      </c>
      <c r="G2841" s="78"/>
    </row>
    <row r="2842" spans="1:9" hidden="1" outlineLevel="1" x14ac:dyDescent="0.25">
      <c r="A2842" s="935" t="s">
        <v>2961</v>
      </c>
      <c r="B2842" s="986" t="s">
        <v>2023</v>
      </c>
      <c r="C2842" s="811">
        <v>100</v>
      </c>
      <c r="D2842" s="768">
        <v>68.249499999999998</v>
      </c>
      <c r="E2842" s="716">
        <f t="shared" si="92"/>
        <v>-0.31750500000000004</v>
      </c>
      <c r="F2842" s="770">
        <f t="shared" si="93"/>
        <v>-0.31750500000000004</v>
      </c>
      <c r="G2842" s="78"/>
      <c r="H2842" t="s">
        <v>1837</v>
      </c>
    </row>
    <row r="2843" spans="1:9" hidden="1" outlineLevel="1" x14ac:dyDescent="0.25">
      <c r="A2843" s="935" t="s">
        <v>1902</v>
      </c>
      <c r="B2843" s="985">
        <v>40299</v>
      </c>
      <c r="C2843" s="811">
        <v>100</v>
      </c>
      <c r="D2843" s="768">
        <v>65.863900000000001</v>
      </c>
      <c r="E2843" s="716">
        <f t="shared" si="92"/>
        <v>-0.34136100000000003</v>
      </c>
      <c r="F2843" s="770">
        <f t="shared" si="93"/>
        <v>-0.34136100000000003</v>
      </c>
      <c r="G2843" s="78"/>
      <c r="H2843" s="101">
        <f>AVERAGE(F2830:F2843)</f>
        <v>-0.19111942857142858</v>
      </c>
      <c r="I2843" s="37">
        <f>H2843*1.1</f>
        <v>-0.21023137142857146</v>
      </c>
    </row>
    <row r="2844" spans="1:9" collapsed="1" x14ac:dyDescent="0.25">
      <c r="A2844" s="3801" t="s">
        <v>4413</v>
      </c>
      <c r="B2844" s="3802"/>
      <c r="C2844" s="3802"/>
      <c r="D2844" s="3802"/>
      <c r="E2844" s="721"/>
      <c r="F2844" s="722">
        <f>MAX(AVERAGE(F2830:F2843)*parametry!N112,0)</f>
        <v>0</v>
      </c>
      <c r="G2844" s="97" t="s">
        <v>781</v>
      </c>
    </row>
    <row r="2845" spans="1:9" x14ac:dyDescent="0.25">
      <c r="A2845" s="1"/>
      <c r="B2845" s="1"/>
      <c r="C2845" s="1"/>
      <c r="D2845" s="1"/>
      <c r="E2845" s="1"/>
      <c r="F2845" s="1848"/>
      <c r="G2845" s="78"/>
    </row>
    <row r="2846" spans="1:9" hidden="1" outlineLevel="1" x14ac:dyDescent="0.25">
      <c r="A2846" s="689" t="s">
        <v>113</v>
      </c>
      <c r="B2846" s="689" t="s">
        <v>114</v>
      </c>
      <c r="C2846" s="689" t="s">
        <v>112</v>
      </c>
      <c r="D2846" s="689" t="s">
        <v>116</v>
      </c>
      <c r="E2846" s="689" t="s">
        <v>117</v>
      </c>
      <c r="F2846" s="1188" t="s">
        <v>121</v>
      </c>
      <c r="G2846" s="78"/>
    </row>
    <row r="2847" spans="1:9" hidden="1" outlineLevel="1" x14ac:dyDescent="0.25">
      <c r="A2847" s="690">
        <v>1</v>
      </c>
      <c r="B2847" s="691" t="s">
        <v>252</v>
      </c>
      <c r="C2847" s="692">
        <v>100</v>
      </c>
      <c r="D2847" s="692"/>
      <c r="E2847" s="693"/>
      <c r="F2847" s="694"/>
      <c r="G2847" s="78"/>
    </row>
    <row r="2848" spans="1:9" hidden="1" outlineLevel="1" x14ac:dyDescent="0.25">
      <c r="A2848" s="695"/>
      <c r="B2848" s="695"/>
      <c r="C2848" s="696"/>
      <c r="D2848" s="697" t="s">
        <v>3702</v>
      </c>
      <c r="E2848" s="698">
        <v>42963</v>
      </c>
      <c r="F2848" s="699"/>
      <c r="G2848" s="78"/>
    </row>
    <row r="2849" spans="1:12" ht="13.8" hidden="1" outlineLevel="1" thickBot="1" x14ac:dyDescent="0.3">
      <c r="A2849" s="689" t="s">
        <v>4156</v>
      </c>
      <c r="B2849" s="689" t="s">
        <v>4153</v>
      </c>
      <c r="C2849" s="700" t="s">
        <v>112</v>
      </c>
      <c r="D2849" s="689" t="s">
        <v>4155</v>
      </c>
      <c r="E2849" s="689" t="s">
        <v>4154</v>
      </c>
      <c r="F2849" s="1021" t="s">
        <v>2519</v>
      </c>
      <c r="G2849" s="78"/>
    </row>
    <row r="2850" spans="1:12" ht="13.8" hidden="1" outlineLevel="1" thickBot="1" x14ac:dyDescent="0.3">
      <c r="A2850" s="734">
        <v>0.02</v>
      </c>
      <c r="B2850" s="735" t="s">
        <v>280</v>
      </c>
      <c r="C2850" s="807">
        <v>46.816000000000003</v>
      </c>
      <c r="D2850" s="803">
        <v>77.22</v>
      </c>
      <c r="E2850" s="705">
        <v>0.64943609022556381</v>
      </c>
      <c r="F2850" s="1021">
        <v>1.2988721804511277E-2</v>
      </c>
      <c r="G2850" s="78"/>
      <c r="H2850" t="s">
        <v>1469</v>
      </c>
      <c r="I2850" t="s">
        <v>2040</v>
      </c>
      <c r="J2850" s="332" t="s">
        <v>1445</v>
      </c>
      <c r="K2850" s="333" t="s">
        <v>561</v>
      </c>
      <c r="L2850" s="334" t="s">
        <v>1447</v>
      </c>
    </row>
    <row r="2851" spans="1:12" hidden="1" outlineLevel="1" x14ac:dyDescent="0.25">
      <c r="A2851" s="739">
        <v>0.04</v>
      </c>
      <c r="B2851" s="740" t="s">
        <v>1210</v>
      </c>
      <c r="C2851" s="809">
        <v>11.029637900000001</v>
      </c>
      <c r="D2851" s="908"/>
      <c r="E2851" s="709"/>
      <c r="F2851" s="946"/>
      <c r="G2851" s="78"/>
      <c r="H2851" t="e">
        <v>#N/A</v>
      </c>
      <c r="J2851" s="318">
        <v>39995</v>
      </c>
      <c r="K2851" s="203">
        <v>62.2712</v>
      </c>
      <c r="L2851" s="319">
        <f>K2851/100-1</f>
        <v>-0.37728799999999996</v>
      </c>
    </row>
    <row r="2852" spans="1:12" hidden="1" outlineLevel="1" x14ac:dyDescent="0.25">
      <c r="A2852" s="739">
        <v>0.03</v>
      </c>
      <c r="B2852" s="740" t="s">
        <v>157</v>
      </c>
      <c r="C2852" s="809">
        <v>14.337</v>
      </c>
      <c r="D2852" s="908">
        <v>5.6420000000000003</v>
      </c>
      <c r="E2852" s="709">
        <v>-0.60647276278161399</v>
      </c>
      <c r="F2852" s="946">
        <v>-1.8194182883448418E-2</v>
      </c>
      <c r="G2852" s="78"/>
      <c r="H2852" t="s">
        <v>730</v>
      </c>
      <c r="J2852" s="318">
        <v>40026</v>
      </c>
      <c r="K2852" s="203">
        <v>65.369699999999995</v>
      </c>
      <c r="L2852" s="319">
        <f>K2852/100-1</f>
        <v>-0.34630300000000003</v>
      </c>
    </row>
    <row r="2853" spans="1:12" hidden="1" outlineLevel="1" x14ac:dyDescent="0.25">
      <c r="A2853" s="739">
        <v>0.05</v>
      </c>
      <c r="B2853" s="987" t="s">
        <v>2984</v>
      </c>
      <c r="C2853" s="809">
        <v>18.579000000000001</v>
      </c>
      <c r="D2853" s="908">
        <v>7.665</v>
      </c>
      <c r="E2853" s="709">
        <v>-0.58743742935572429</v>
      </c>
      <c r="F2853" s="946">
        <v>-2.9371871467786217E-2</v>
      </c>
      <c r="G2853" s="78"/>
      <c r="H2853" t="s">
        <v>2326</v>
      </c>
      <c r="J2853" s="318">
        <v>40057</v>
      </c>
      <c r="K2853" s="203">
        <v>68.593299999999999</v>
      </c>
      <c r="L2853" s="319">
        <f>K2853/100-1</f>
        <v>-0.31406699999999999</v>
      </c>
    </row>
    <row r="2854" spans="1:12" hidden="1" outlineLevel="1" x14ac:dyDescent="0.25">
      <c r="A2854" s="739">
        <v>0.04</v>
      </c>
      <c r="B2854" s="740" t="s">
        <v>901</v>
      </c>
      <c r="C2854" s="809">
        <v>1446.4</v>
      </c>
      <c r="D2854" s="908">
        <v>4929</v>
      </c>
      <c r="E2854" s="709">
        <v>2.4077710176991149</v>
      </c>
      <c r="F2854" s="946">
        <v>9.6310840707964598E-2</v>
      </c>
      <c r="G2854" s="78"/>
      <c r="H2854" t="s">
        <v>531</v>
      </c>
      <c r="J2854" s="318">
        <v>40087</v>
      </c>
      <c r="K2854" s="203">
        <v>66.064999999999998</v>
      </c>
      <c r="L2854" s="319">
        <f>K2854/100-1</f>
        <v>-0.33935000000000004</v>
      </c>
    </row>
    <row r="2855" spans="1:12" hidden="1" outlineLevel="1" x14ac:dyDescent="0.25">
      <c r="A2855" s="739">
        <v>0.03</v>
      </c>
      <c r="B2855" s="740" t="s">
        <v>1212</v>
      </c>
      <c r="C2855" s="809">
        <v>84.9</v>
      </c>
      <c r="D2855" s="908">
        <v>14.59</v>
      </c>
      <c r="E2855" s="709">
        <v>-0.82815076560659606</v>
      </c>
      <c r="F2855" s="946">
        <v>-2.484452296819788E-2</v>
      </c>
      <c r="G2855" s="78"/>
      <c r="H2855" t="s">
        <v>4229</v>
      </c>
      <c r="J2855" s="318">
        <v>40118</v>
      </c>
      <c r="K2855" s="203">
        <v>67.084000000000003</v>
      </c>
      <c r="L2855" s="319">
        <f t="shared" ref="L2855:L2862" si="94">K2855/100-1</f>
        <v>-0.32916000000000001</v>
      </c>
    </row>
    <row r="2856" spans="1:12" hidden="1" outlineLevel="1" x14ac:dyDescent="0.25">
      <c r="A2856" s="739">
        <v>0.03</v>
      </c>
      <c r="B2856" s="740" t="s">
        <v>3406</v>
      </c>
      <c r="C2856" s="809">
        <v>1001.6999999999999</v>
      </c>
      <c r="D2856" s="908">
        <v>2594</v>
      </c>
      <c r="E2856" s="709">
        <v>1.5895976839373067</v>
      </c>
      <c r="F2856" s="946">
        <v>4.7687930518119197E-2</v>
      </c>
      <c r="G2856" s="78"/>
      <c r="H2856" t="s">
        <v>2105</v>
      </c>
      <c r="J2856" s="318">
        <v>40148</v>
      </c>
      <c r="K2856" s="203">
        <v>69.681200000000004</v>
      </c>
      <c r="L2856" s="319">
        <f t="shared" si="94"/>
        <v>-0.30318800000000001</v>
      </c>
    </row>
    <row r="2857" spans="1:12" hidden="1" outlineLevel="1" x14ac:dyDescent="0.25">
      <c r="A2857" s="739">
        <v>0.05</v>
      </c>
      <c r="B2857" s="740" t="s">
        <v>1771</v>
      </c>
      <c r="C2857" s="809">
        <v>934.75</v>
      </c>
      <c r="D2857" s="908">
        <v>748</v>
      </c>
      <c r="E2857" s="709">
        <v>-0.19978603904787373</v>
      </c>
      <c r="F2857" s="946">
        <v>-9.9893019523936873E-3</v>
      </c>
      <c r="G2857" s="78"/>
      <c r="H2857" t="s">
        <v>4329</v>
      </c>
      <c r="J2857" s="318">
        <v>39814</v>
      </c>
      <c r="K2857" s="203">
        <v>66.554900000000004</v>
      </c>
      <c r="L2857" s="319">
        <f t="shared" si="94"/>
        <v>-0.33445099999999994</v>
      </c>
    </row>
    <row r="2858" spans="1:12" hidden="1" outlineLevel="1" x14ac:dyDescent="0.25">
      <c r="A2858" s="739">
        <v>0.03</v>
      </c>
      <c r="B2858" s="740" t="s">
        <v>1031</v>
      </c>
      <c r="C2858" s="809">
        <v>8.2432499999999997</v>
      </c>
      <c r="D2858" s="908">
        <v>6.97</v>
      </c>
      <c r="E2858" s="709">
        <v>-0.15445970945925458</v>
      </c>
      <c r="F2858" s="946">
        <v>-4.6337912837776376E-3</v>
      </c>
      <c r="G2858" s="78"/>
      <c r="H2858" t="s">
        <v>7872</v>
      </c>
      <c r="J2858" s="318">
        <v>39845</v>
      </c>
      <c r="K2858" s="203">
        <v>66.102500000000006</v>
      </c>
      <c r="L2858" s="319">
        <f t="shared" si="94"/>
        <v>-0.33897499999999992</v>
      </c>
    </row>
    <row r="2859" spans="1:12" hidden="1" outlineLevel="1" x14ac:dyDescent="0.25">
      <c r="A2859" s="739">
        <v>0.05</v>
      </c>
      <c r="B2859" s="740" t="s">
        <v>2588</v>
      </c>
      <c r="C2859" s="809">
        <v>33.799999999999997</v>
      </c>
      <c r="D2859" s="908">
        <v>15.45</v>
      </c>
      <c r="E2859" s="709">
        <v>-0.54289940828402372</v>
      </c>
      <c r="F2859" s="946">
        <v>-2.7144970414201188E-2</v>
      </c>
      <c r="G2859" s="78"/>
      <c r="H2859" t="s">
        <v>4132</v>
      </c>
      <c r="J2859" s="318">
        <v>40238</v>
      </c>
      <c r="K2859" s="203">
        <v>69.194900000000004</v>
      </c>
      <c r="L2859" s="319">
        <f t="shared" si="94"/>
        <v>-0.30805099999999996</v>
      </c>
    </row>
    <row r="2860" spans="1:12" hidden="1" outlineLevel="1" x14ac:dyDescent="0.25">
      <c r="A2860" s="739">
        <v>0.03</v>
      </c>
      <c r="B2860" s="740" t="s">
        <v>1526</v>
      </c>
      <c r="C2860" s="809">
        <v>94.39</v>
      </c>
      <c r="D2860" s="908">
        <v>70.67</v>
      </c>
      <c r="E2860" s="709">
        <v>-0.2512978069710774</v>
      </c>
      <c r="F2860" s="946">
        <v>-7.5389342091323214E-3</v>
      </c>
      <c r="G2860" s="78"/>
      <c r="H2860" t="s">
        <v>4146</v>
      </c>
      <c r="J2860" s="318">
        <v>40269</v>
      </c>
      <c r="K2860" s="203">
        <v>68.0595</v>
      </c>
      <c r="L2860" s="319">
        <f t="shared" si="94"/>
        <v>-0.31940500000000005</v>
      </c>
    </row>
    <row r="2861" spans="1:12" hidden="1" outlineLevel="1" x14ac:dyDescent="0.25">
      <c r="A2861" s="739">
        <v>0.05</v>
      </c>
      <c r="B2861" s="740" t="s">
        <v>874</v>
      </c>
      <c r="C2861" s="809">
        <v>239.27999999999997</v>
      </c>
      <c r="D2861" s="908">
        <v>307.39999999999998</v>
      </c>
      <c r="E2861" s="709">
        <v>0.28468739551989297</v>
      </c>
      <c r="F2861" s="946">
        <v>1.4234369775994649E-2</v>
      </c>
      <c r="G2861" s="78"/>
      <c r="H2861" t="s">
        <v>4148</v>
      </c>
      <c r="J2861" s="318">
        <v>40300</v>
      </c>
      <c r="K2861" s="203">
        <v>63.301200000000001</v>
      </c>
      <c r="L2861" s="319">
        <f t="shared" si="94"/>
        <v>-0.36698799999999998</v>
      </c>
    </row>
    <row r="2862" spans="1:12" ht="13.8" hidden="1" outlineLevel="1" thickBot="1" x14ac:dyDescent="0.3">
      <c r="A2862" s="739">
        <v>0.02</v>
      </c>
      <c r="B2862" s="740" t="s">
        <v>1772</v>
      </c>
      <c r="C2862" s="809">
        <v>130.69300000000001</v>
      </c>
      <c r="D2862" s="908">
        <v>177.8</v>
      </c>
      <c r="E2862" s="709">
        <v>0.36044011538490972</v>
      </c>
      <c r="F2862" s="946">
        <v>7.2088023076981944E-3</v>
      </c>
      <c r="G2862" s="78"/>
      <c r="H2862" t="s">
        <v>4330</v>
      </c>
      <c r="I2862" s="39"/>
      <c r="J2862" s="318">
        <v>40330</v>
      </c>
      <c r="K2862" s="203">
        <v>62.418300000000002</v>
      </c>
      <c r="L2862" s="319">
        <f t="shared" si="94"/>
        <v>-0.37581699999999996</v>
      </c>
    </row>
    <row r="2863" spans="1:12" hidden="1" outlineLevel="1" x14ac:dyDescent="0.25">
      <c r="A2863" s="739">
        <v>0.03</v>
      </c>
      <c r="B2863" s="740" t="s">
        <v>2787</v>
      </c>
      <c r="C2863" s="809">
        <v>71.375</v>
      </c>
      <c r="D2863" s="908">
        <v>81.95</v>
      </c>
      <c r="E2863" s="709">
        <v>0.1481611208406306</v>
      </c>
      <c r="F2863" s="946">
        <v>4.4448336252189179E-3</v>
      </c>
      <c r="G2863" s="78"/>
      <c r="H2863" t="s">
        <v>80</v>
      </c>
      <c r="J2863" s="335" t="s">
        <v>2465</v>
      </c>
      <c r="K2863" s="336"/>
      <c r="L2863" s="337">
        <f>AVERAGE(L2851:L2862)</f>
        <v>-0.33775358333333333</v>
      </c>
    </row>
    <row r="2864" spans="1:12" ht="13.8" hidden="1" outlineLevel="1" thickBot="1" x14ac:dyDescent="0.3">
      <c r="A2864" s="739">
        <v>0.03</v>
      </c>
      <c r="B2864" s="743" t="s">
        <v>6450</v>
      </c>
      <c r="C2864" s="809">
        <v>113.44</v>
      </c>
      <c r="D2864" s="908">
        <v>307.89999999999998</v>
      </c>
      <c r="E2864" s="709">
        <v>1.7142101551480957</v>
      </c>
      <c r="F2864" s="946">
        <v>5.1426304654442867E-2</v>
      </c>
      <c r="G2864" s="78"/>
      <c r="H2864" t="s">
        <v>6448</v>
      </c>
      <c r="J2864" s="325" t="s">
        <v>1507</v>
      </c>
      <c r="K2864" s="338"/>
      <c r="L2864" s="327">
        <f>L2863*0.68</f>
        <v>-0.22967243666666667</v>
      </c>
    </row>
    <row r="2865" spans="1:11" hidden="1" outlineLevel="1" x14ac:dyDescent="0.25">
      <c r="A2865" s="739">
        <v>0.03</v>
      </c>
      <c r="B2865" s="740" t="s">
        <v>1213</v>
      </c>
      <c r="C2865" s="809">
        <v>51.771000000000001</v>
      </c>
      <c r="D2865" s="908">
        <v>18.324999999999999</v>
      </c>
      <c r="E2865" s="709">
        <v>-0.64603735682138652</v>
      </c>
      <c r="F2865" s="946">
        <v>-1.9381120704641593E-2</v>
      </c>
      <c r="G2865" s="78"/>
      <c r="H2865" t="s">
        <v>4230</v>
      </c>
      <c r="J2865" s="256"/>
    </row>
    <row r="2866" spans="1:11" hidden="1" outlineLevel="1" x14ac:dyDescent="0.25">
      <c r="A2866" s="739">
        <v>0.02</v>
      </c>
      <c r="B2866" s="740" t="s">
        <v>3800</v>
      </c>
      <c r="C2866" s="809">
        <v>223.22</v>
      </c>
      <c r="D2866" s="908">
        <v>245.1</v>
      </c>
      <c r="E2866" s="709">
        <v>9.8019890690798306E-2</v>
      </c>
      <c r="F2866" s="946">
        <v>1.960397813815966E-3</v>
      </c>
      <c r="G2866" s="78"/>
      <c r="H2866" t="s">
        <v>2817</v>
      </c>
      <c r="J2866" s="256"/>
    </row>
    <row r="2867" spans="1:11" hidden="1" outlineLevel="1" x14ac:dyDescent="0.25">
      <c r="A2867" s="739">
        <v>0.05</v>
      </c>
      <c r="B2867" s="740" t="s">
        <v>2587</v>
      </c>
      <c r="C2867" s="809">
        <v>679.6</v>
      </c>
      <c r="D2867" s="908">
        <v>263.89999999999998</v>
      </c>
      <c r="E2867" s="709">
        <v>-0.6116833431430253</v>
      </c>
      <c r="F2867" s="946">
        <v>-3.0584167157151267E-2</v>
      </c>
      <c r="G2867" s="78"/>
      <c r="H2867" t="s">
        <v>2818</v>
      </c>
      <c r="J2867" s="256"/>
    </row>
    <row r="2868" spans="1:11" hidden="1" outlineLevel="1" x14ac:dyDescent="0.25">
      <c r="A2868" s="739">
        <v>0.02</v>
      </c>
      <c r="B2868" s="740" t="s">
        <v>1187</v>
      </c>
      <c r="C2868" s="809">
        <v>69.864999999999995</v>
      </c>
      <c r="D2868" s="908">
        <v>82.58</v>
      </c>
      <c r="E2868" s="709">
        <v>0.18199384527302653</v>
      </c>
      <c r="F2868" s="946">
        <v>3.6398769054605306E-3</v>
      </c>
      <c r="G2868" s="78"/>
      <c r="H2868" t="s">
        <v>3483</v>
      </c>
      <c r="J2868" s="256"/>
    </row>
    <row r="2869" spans="1:11" hidden="1" outlineLevel="1" x14ac:dyDescent="0.25">
      <c r="A2869" s="739">
        <v>0.04</v>
      </c>
      <c r="B2869" s="740" t="s">
        <v>279</v>
      </c>
      <c r="C2869" s="809">
        <v>42.407499999999999</v>
      </c>
      <c r="D2869" s="908">
        <v>68.44</v>
      </c>
      <c r="E2869" s="709">
        <v>0.61386547190945007</v>
      </c>
      <c r="F2869" s="946">
        <v>2.4554618876378002E-2</v>
      </c>
      <c r="G2869" s="78"/>
      <c r="H2869" t="s">
        <v>1468</v>
      </c>
      <c r="I2869" s="237"/>
      <c r="J2869" s="256"/>
      <c r="K2869">
        <f>I2869*J2869</f>
        <v>0</v>
      </c>
    </row>
    <row r="2870" spans="1:11" hidden="1" outlineLevel="1" x14ac:dyDescent="0.25">
      <c r="A2870" s="739">
        <v>0.02</v>
      </c>
      <c r="B2870" s="740" t="s">
        <v>1214</v>
      </c>
      <c r="C2870" s="809">
        <v>75.144999999999996</v>
      </c>
      <c r="D2870" s="908">
        <v>112.35</v>
      </c>
      <c r="E2870" s="709">
        <v>0.49510945505356307</v>
      </c>
      <c r="F2870" s="946">
        <v>9.9021891010712612E-3</v>
      </c>
      <c r="G2870" s="78"/>
      <c r="H2870" t="s">
        <v>3775</v>
      </c>
      <c r="J2870" s="256"/>
    </row>
    <row r="2871" spans="1:11" hidden="1" outlineLevel="1" x14ac:dyDescent="0.25">
      <c r="A2871" s="739">
        <v>0.03</v>
      </c>
      <c r="B2871" s="740" t="s">
        <v>6118</v>
      </c>
      <c r="C2871" s="809">
        <v>103.89</v>
      </c>
      <c r="D2871" s="908">
        <v>88.7</v>
      </c>
      <c r="E2871" s="709">
        <v>-0.14621233997497352</v>
      </c>
      <c r="F2871" s="946">
        <v>-4.3863701992492054E-3</v>
      </c>
      <c r="G2871" s="78"/>
      <c r="H2871" t="s">
        <v>6117</v>
      </c>
      <c r="J2871" s="256"/>
    </row>
    <row r="2872" spans="1:11" hidden="1" outlineLevel="1" x14ac:dyDescent="0.25">
      <c r="A2872" s="739">
        <v>0.05</v>
      </c>
      <c r="B2872" s="740" t="s">
        <v>1527</v>
      </c>
      <c r="C2872" s="809">
        <v>2.3224</v>
      </c>
      <c r="D2872" s="908">
        <v>0.85450000000000004</v>
      </c>
      <c r="E2872" s="709">
        <v>-0.63206166035136069</v>
      </c>
      <c r="F2872" s="946">
        <v>-3.1603083017568034E-2</v>
      </c>
      <c r="G2872" s="78"/>
      <c r="H2872" t="s">
        <v>2803</v>
      </c>
    </row>
    <row r="2873" spans="1:11" hidden="1" outlineLevel="1" x14ac:dyDescent="0.25">
      <c r="A2873" s="739">
        <v>0.05</v>
      </c>
      <c r="B2873" s="740" t="s">
        <v>577</v>
      </c>
      <c r="C2873" s="809">
        <v>16.469000000000001</v>
      </c>
      <c r="D2873" s="908">
        <v>9.375</v>
      </c>
      <c r="E2873" s="709">
        <v>-0.43074867933693606</v>
      </c>
      <c r="F2873" s="946">
        <v>-2.1537433966846806E-2</v>
      </c>
      <c r="G2873" s="78"/>
      <c r="H2873" t="s">
        <v>2804</v>
      </c>
    </row>
    <row r="2874" spans="1:11" hidden="1" outlineLevel="1" x14ac:dyDescent="0.25">
      <c r="A2874" s="739">
        <v>0.02</v>
      </c>
      <c r="B2874" s="740" t="s">
        <v>583</v>
      </c>
      <c r="C2874" s="809">
        <v>412.9</v>
      </c>
      <c r="D2874" s="908">
        <v>180.1</v>
      </c>
      <c r="E2874" s="709">
        <v>-0.56381690481956892</v>
      </c>
      <c r="F2874" s="946">
        <v>-1.1276338096391378E-2</v>
      </c>
      <c r="G2874" s="78"/>
      <c r="H2874" t="s">
        <v>1594</v>
      </c>
    </row>
    <row r="2875" spans="1:11" hidden="1" outlineLevel="1" x14ac:dyDescent="0.25">
      <c r="A2875" s="739">
        <v>0.04</v>
      </c>
      <c r="B2875" s="740" t="s">
        <v>1183</v>
      </c>
      <c r="C2875" s="809">
        <v>53.825000000000003</v>
      </c>
      <c r="D2875" s="908">
        <v>43.045000000000002</v>
      </c>
      <c r="E2875" s="709">
        <v>-0.20027868091035761</v>
      </c>
      <c r="F2875" s="946">
        <v>-8.0111472364143045E-3</v>
      </c>
      <c r="G2875" s="78"/>
      <c r="H2875" t="s">
        <v>2805</v>
      </c>
    </row>
    <row r="2876" spans="1:11" hidden="1" outlineLevel="1" x14ac:dyDescent="0.25">
      <c r="A2876" s="739">
        <v>0.03</v>
      </c>
      <c r="B2876" s="740" t="s">
        <v>182</v>
      </c>
      <c r="C2876" s="809">
        <v>74.45</v>
      </c>
      <c r="D2876" s="908">
        <v>17.079999999999998</v>
      </c>
      <c r="E2876" s="709">
        <v>-0.77058428475486906</v>
      </c>
      <c r="F2876" s="946">
        <v>-2.3117528542646072E-2</v>
      </c>
      <c r="G2876" s="78"/>
      <c r="H2876" t="s">
        <v>6686</v>
      </c>
    </row>
    <row r="2877" spans="1:11" hidden="1" outlineLevel="1" x14ac:dyDescent="0.25">
      <c r="A2877" s="739">
        <v>0.02</v>
      </c>
      <c r="B2877" s="740" t="s">
        <v>3269</v>
      </c>
      <c r="C2877" s="809">
        <v>20.588899999999999</v>
      </c>
      <c r="D2877" s="908">
        <v>20.29</v>
      </c>
      <c r="E2877" s="709">
        <v>-1.4517531291132535E-2</v>
      </c>
      <c r="F2877" s="946">
        <v>-2.9035062582265068E-4</v>
      </c>
      <c r="G2877" s="78"/>
      <c r="H2877" t="s">
        <v>3270</v>
      </c>
    </row>
    <row r="2878" spans="1:11" hidden="1" outlineLevel="1" x14ac:dyDescent="0.25">
      <c r="A2878" s="739">
        <v>0.02</v>
      </c>
      <c r="B2878" s="740" t="s">
        <v>4228</v>
      </c>
      <c r="C2878" s="809">
        <v>54.215000000000003</v>
      </c>
      <c r="D2878" s="908">
        <v>19.504999999999999</v>
      </c>
      <c r="E2878" s="709">
        <v>-0.64022871898920974</v>
      </c>
      <c r="F2878" s="946">
        <v>-1.2804574379784195E-2</v>
      </c>
      <c r="G2878" s="78"/>
      <c r="H2878" t="s">
        <v>3994</v>
      </c>
    </row>
    <row r="2879" spans="1:11" hidden="1" outlineLevel="1" x14ac:dyDescent="0.25">
      <c r="A2879" s="745">
        <v>0.03</v>
      </c>
      <c r="B2879" s="746" t="s">
        <v>3169</v>
      </c>
      <c r="C2879" s="810">
        <v>30.007000000000001</v>
      </c>
      <c r="D2879" s="715">
        <v>19.175000000000001</v>
      </c>
      <c r="E2879" s="498">
        <v>-0.36098243743126601</v>
      </c>
      <c r="F2879" s="1023">
        <v>-1.082947312293798E-2</v>
      </c>
      <c r="G2879" s="78"/>
      <c r="H2879" t="s">
        <v>657</v>
      </c>
    </row>
    <row r="2880" spans="1:11" hidden="1" outlineLevel="1" x14ac:dyDescent="0.25">
      <c r="A2880" s="749"/>
      <c r="B2880" s="750"/>
      <c r="C2880" s="727"/>
      <c r="D2880" s="727"/>
      <c r="E2880" s="716"/>
      <c r="F2880" s="770">
        <v>-0.33779999999999999</v>
      </c>
      <c r="G2880" s="78"/>
    </row>
    <row r="2881" spans="1:12" collapsed="1" x14ac:dyDescent="0.25">
      <c r="A2881" s="3801" t="s">
        <v>1756</v>
      </c>
      <c r="B2881" s="3802"/>
      <c r="C2881" s="3802"/>
      <c r="D2881" s="3802"/>
      <c r="E2881" s="721"/>
      <c r="F2881" s="722">
        <v>0.22969999999999999</v>
      </c>
      <c r="G2881" s="97" t="s">
        <v>781</v>
      </c>
      <c r="H2881" s="237"/>
      <c r="J2881" s="251"/>
    </row>
    <row r="2882" spans="1:12" x14ac:dyDescent="0.25">
      <c r="A2882" s="1"/>
      <c r="B2882" s="1"/>
      <c r="C2882" s="1"/>
      <c r="D2882" s="1"/>
      <c r="E2882" s="1"/>
      <c r="F2882" s="1848"/>
      <c r="G2882" s="78"/>
    </row>
    <row r="2883" spans="1:12" hidden="1" outlineLevel="1" x14ac:dyDescent="0.25">
      <c r="A2883" s="689" t="s">
        <v>113</v>
      </c>
      <c r="B2883" s="689" t="s">
        <v>114</v>
      </c>
      <c r="C2883" s="689" t="s">
        <v>112</v>
      </c>
      <c r="D2883" s="689" t="s">
        <v>116</v>
      </c>
      <c r="E2883" s="689" t="s">
        <v>117</v>
      </c>
      <c r="F2883" s="1188" t="s">
        <v>121</v>
      </c>
      <c r="G2883" s="78"/>
    </row>
    <row r="2884" spans="1:12" hidden="1" outlineLevel="1" x14ac:dyDescent="0.25">
      <c r="A2884" s="690">
        <v>1</v>
      </c>
      <c r="B2884" s="691" t="s">
        <v>252</v>
      </c>
      <c r="C2884" s="692">
        <v>100</v>
      </c>
      <c r="D2884" s="692"/>
      <c r="E2884" s="693"/>
      <c r="F2884" s="694"/>
      <c r="G2884" s="78"/>
    </row>
    <row r="2885" spans="1:12" hidden="1" outlineLevel="1" x14ac:dyDescent="0.25">
      <c r="A2885" s="695"/>
      <c r="B2885" s="695"/>
      <c r="C2885" s="696"/>
      <c r="D2885" s="697" t="s">
        <v>3702</v>
      </c>
      <c r="E2885" s="698">
        <v>41089</v>
      </c>
      <c r="F2885" s="699"/>
      <c r="G2885" s="78"/>
    </row>
    <row r="2886" spans="1:12" hidden="1" outlineLevel="1" x14ac:dyDescent="0.25">
      <c r="A2886" s="689" t="s">
        <v>4156</v>
      </c>
      <c r="B2886" s="689" t="s">
        <v>4153</v>
      </c>
      <c r="C2886" s="700" t="s">
        <v>112</v>
      </c>
      <c r="D2886" s="689" t="s">
        <v>4155</v>
      </c>
      <c r="E2886" s="689" t="s">
        <v>4154</v>
      </c>
      <c r="F2886" s="1021" t="s">
        <v>2519</v>
      </c>
      <c r="G2886" s="78"/>
    </row>
    <row r="2887" spans="1:12" hidden="1" outlineLevel="1" x14ac:dyDescent="0.25">
      <c r="A2887" s="734">
        <v>0.02</v>
      </c>
      <c r="B2887" s="735" t="s">
        <v>1384</v>
      </c>
      <c r="C2887" s="988">
        <v>14.541</v>
      </c>
      <c r="D2887" s="908">
        <v>3.6440000000000001</v>
      </c>
      <c r="E2887" s="705">
        <v>-0.74939825321504716</v>
      </c>
      <c r="F2887" s="1021">
        <v>-1.4987965064300944E-2</v>
      </c>
      <c r="G2887" s="78"/>
      <c r="H2887" t="str">
        <f>VLOOKUP(B2887,indexy!$A$44:$D$397,3,FALSE)</f>
        <v>AGN NA Equity</v>
      </c>
      <c r="J2887" t="s">
        <v>2040</v>
      </c>
    </row>
    <row r="2888" spans="1:12" hidden="1" outlineLevel="1" x14ac:dyDescent="0.25">
      <c r="A2888" s="739">
        <v>0.06</v>
      </c>
      <c r="B2888" s="740" t="s">
        <v>1993</v>
      </c>
      <c r="C2888" s="989">
        <v>86.525000000000006</v>
      </c>
      <c r="D2888" s="908">
        <v>121.81</v>
      </c>
      <c r="E2888" s="709">
        <v>0.40780121352210341</v>
      </c>
      <c r="F2888" s="946">
        <v>3.7199999999999997E-2</v>
      </c>
      <c r="G2888" s="78"/>
      <c r="H2888" t="str">
        <f>VLOOKUP(B2888,indexy!$A$44:$D$397,3,FALSE)</f>
        <v>MO UN Equity</v>
      </c>
      <c r="I2888" s="39" t="s">
        <v>3533</v>
      </c>
      <c r="J2888" s="256">
        <v>40725</v>
      </c>
      <c r="K2888">
        <v>68.515699999999995</v>
      </c>
      <c r="L2888" s="37">
        <f>IF(K2888="",L2887,K2888/100-1)</f>
        <v>-0.3148430000000001</v>
      </c>
    </row>
    <row r="2889" spans="1:12" hidden="1" outlineLevel="1" x14ac:dyDescent="0.25">
      <c r="A2889" s="739">
        <v>0.02</v>
      </c>
      <c r="B2889" s="740" t="s">
        <v>1210</v>
      </c>
      <c r="C2889" s="989">
        <v>11.029637900000001</v>
      </c>
      <c r="D2889" s="908">
        <v>0.1</v>
      </c>
      <c r="E2889" s="709">
        <v>-0.99093351922278428</v>
      </c>
      <c r="F2889" s="946">
        <v>-1.9818670384455686E-2</v>
      </c>
      <c r="G2889" s="78"/>
      <c r="H2889" t="e">
        <f>VLOOKUP(B2889,indexy!$A$44:$D$397,3,FALSE)</f>
        <v>#N/A</v>
      </c>
      <c r="J2889" s="256">
        <v>40756</v>
      </c>
      <c r="K2889">
        <v>63.666200000000003</v>
      </c>
      <c r="L2889" s="37">
        <f t="shared" ref="L2889:L2899" si="95">IF(K2889="",L2888,K2889/100-1)</f>
        <v>-0.36333799999999994</v>
      </c>
    </row>
    <row r="2890" spans="1:12" hidden="1" outlineLevel="1" x14ac:dyDescent="0.25">
      <c r="A2890" s="739">
        <v>0.02</v>
      </c>
      <c r="B2890" s="740" t="s">
        <v>3019</v>
      </c>
      <c r="C2890" s="989">
        <v>83.56</v>
      </c>
      <c r="D2890" s="908">
        <v>30.335000000000001</v>
      </c>
      <c r="E2890" s="709">
        <v>-0.63696744853997123</v>
      </c>
      <c r="F2890" s="946">
        <v>-1.2739348970799425E-2</v>
      </c>
      <c r="G2890" s="78"/>
      <c r="H2890" t="str">
        <f>VLOOKUP(B2890,indexy!$A$44:$D$397,3,FALSE)</f>
        <v>BNP FP Equity</v>
      </c>
      <c r="J2890" s="256">
        <v>40787</v>
      </c>
      <c r="K2890">
        <v>62.116500000000002</v>
      </c>
      <c r="L2890" s="37">
        <f t="shared" si="95"/>
        <v>-0.37883500000000003</v>
      </c>
    </row>
    <row r="2891" spans="1:12" hidden="1" outlineLevel="1" x14ac:dyDescent="0.25">
      <c r="A2891" s="739">
        <v>0.03</v>
      </c>
      <c r="B2891" s="740" t="s">
        <v>1847</v>
      </c>
      <c r="C2891" s="989">
        <v>552.36</v>
      </c>
      <c r="D2891" s="908">
        <v>27.41</v>
      </c>
      <c r="E2891" s="709">
        <v>-0.95037656600767617</v>
      </c>
      <c r="F2891" s="946">
        <v>-2.8511296980230284E-2</v>
      </c>
      <c r="G2891" s="78"/>
      <c r="H2891" t="str">
        <f>VLOOKUP(B2891,indexy!$A$44:$D$397,3,FALSE)</f>
        <v>C UN Equity</v>
      </c>
      <c r="J2891" s="256">
        <v>40817</v>
      </c>
      <c r="K2891">
        <v>65.996099999999998</v>
      </c>
      <c r="L2891" s="37">
        <f t="shared" si="95"/>
        <v>-0.34003899999999998</v>
      </c>
    </row>
    <row r="2892" spans="1:12" hidden="1" outlineLevel="1" x14ac:dyDescent="0.25">
      <c r="A2892" s="739">
        <v>0.03</v>
      </c>
      <c r="B2892" s="740" t="s">
        <v>4025</v>
      </c>
      <c r="C2892" s="989">
        <v>46.994999999999997</v>
      </c>
      <c r="D2892" s="908">
        <v>35.344999999999999</v>
      </c>
      <c r="E2892" s="709">
        <v>-0.24789871262900309</v>
      </c>
      <c r="F2892" s="946">
        <v>-7.4369613788700922E-3</v>
      </c>
      <c r="G2892" s="78"/>
      <c r="H2892" t="str">
        <f>VLOOKUP(B2892,indexy!$A$44:$D$397,3,FALSE)</f>
        <v>MBG GR Equity</v>
      </c>
      <c r="J2892" s="256">
        <v>40848</v>
      </c>
      <c r="K2892">
        <v>65.749099999999999</v>
      </c>
      <c r="L2892" s="37">
        <f t="shared" si="95"/>
        <v>-0.34250900000000006</v>
      </c>
    </row>
    <row r="2893" spans="1:12" hidden="1" outlineLevel="1" x14ac:dyDescent="0.25">
      <c r="A2893" s="739">
        <v>0.04</v>
      </c>
      <c r="B2893" s="740" t="s">
        <v>3406</v>
      </c>
      <c r="C2893" s="989">
        <v>1001.6999999999999</v>
      </c>
      <c r="D2893" s="908">
        <v>1642</v>
      </c>
      <c r="E2893" s="709">
        <v>0.63921333732654495</v>
      </c>
      <c r="F2893" s="946">
        <v>2.4799999999999999E-2</v>
      </c>
      <c r="G2893" s="78"/>
      <c r="H2893" t="str">
        <f>VLOOKUP(B2893,indexy!$A$44:$D$397,3,FALSE)</f>
        <v>DGE LN Equity</v>
      </c>
      <c r="J2893" s="256">
        <v>40878</v>
      </c>
      <c r="K2893">
        <v>65.846599999999995</v>
      </c>
      <c r="L2893" s="37">
        <f t="shared" si="95"/>
        <v>-0.341534</v>
      </c>
    </row>
    <row r="2894" spans="1:12" hidden="1" outlineLevel="1" x14ac:dyDescent="0.25">
      <c r="A2894" s="739">
        <v>0.03</v>
      </c>
      <c r="B2894" s="740" t="s">
        <v>4387</v>
      </c>
      <c r="C2894" s="989">
        <v>33.676666666666669</v>
      </c>
      <c r="D2894" s="908">
        <v>17</v>
      </c>
      <c r="E2894" s="709">
        <v>-0.49519944570919538</v>
      </c>
      <c r="F2894" s="946">
        <v>-1.485598337127586E-2</v>
      </c>
      <c r="G2894" s="78"/>
      <c r="H2894" t="str">
        <f>VLOOKUP(B2894,indexy!$A$44:$D$397,3,FALSE)</f>
        <v>EOAN GY Equity</v>
      </c>
      <c r="J2894" s="256">
        <v>40909</v>
      </c>
      <c r="K2894">
        <v>66.599699999999999</v>
      </c>
      <c r="L2894" s="37">
        <f t="shared" si="95"/>
        <v>-0.33400300000000005</v>
      </c>
    </row>
    <row r="2895" spans="1:12" hidden="1" outlineLevel="1" x14ac:dyDescent="0.25">
      <c r="A2895" s="739">
        <v>0.04</v>
      </c>
      <c r="B2895" s="740" t="s">
        <v>1176</v>
      </c>
      <c r="C2895" s="989">
        <v>32.658999999999999</v>
      </c>
      <c r="D2895" s="908">
        <v>1.56</v>
      </c>
      <c r="E2895" s="709">
        <v>-0.95223368749808623</v>
      </c>
      <c r="F2895" s="946">
        <v>-3.8089347499923452E-2</v>
      </c>
      <c r="G2895" s="78"/>
      <c r="H2895" t="str">
        <f>VLOOKUP(B2895,indexy!$A$44:$D$397,3,FALSE)</f>
        <v>AGS BB Equity</v>
      </c>
      <c r="J2895" s="256">
        <v>40940</v>
      </c>
      <c r="K2895">
        <v>70.490099999999998</v>
      </c>
      <c r="L2895" s="37">
        <f t="shared" si="95"/>
        <v>-0.295099</v>
      </c>
    </row>
    <row r="2896" spans="1:12" hidden="1" outlineLevel="1" x14ac:dyDescent="0.25">
      <c r="A2896" s="739">
        <v>0.04</v>
      </c>
      <c r="B2896" s="740" t="s">
        <v>3799</v>
      </c>
      <c r="C2896" s="989">
        <v>1364.2</v>
      </c>
      <c r="D2896" s="908">
        <v>1447</v>
      </c>
      <c r="E2896" s="709">
        <v>6.0694912769388543E-2</v>
      </c>
      <c r="F2896" s="946">
        <v>2.4277965107755419E-3</v>
      </c>
      <c r="G2896" s="78"/>
      <c r="H2896" t="str">
        <f>VLOOKUP(B2896,indexy!$A$44:$D$397,3,FALSE)</f>
        <v>GSK LN Equity</v>
      </c>
      <c r="J2896" s="256">
        <v>40969</v>
      </c>
      <c r="K2896">
        <v>70.819400000000002</v>
      </c>
      <c r="L2896" s="37">
        <f t="shared" si="95"/>
        <v>-0.29180600000000001</v>
      </c>
    </row>
    <row r="2897" spans="1:12" hidden="1" outlineLevel="1" x14ac:dyDescent="0.25">
      <c r="A2897" s="739">
        <v>0.06</v>
      </c>
      <c r="B2897" s="740" t="s">
        <v>1771</v>
      </c>
      <c r="C2897" s="989">
        <v>934.75</v>
      </c>
      <c r="D2897" s="908">
        <v>561.1</v>
      </c>
      <c r="E2897" s="709">
        <v>-0.39973254880984221</v>
      </c>
      <c r="F2897" s="946">
        <v>-2.3983952928590534E-2</v>
      </c>
      <c r="G2897" s="78"/>
      <c r="H2897" t="str">
        <f>VLOOKUP(B2897,indexy!$A$44:$D$397,3,FALSE)</f>
        <v>HSBA LN Equity</v>
      </c>
      <c r="J2897" s="256">
        <v>41000</v>
      </c>
      <c r="K2897">
        <v>69.384200000000007</v>
      </c>
      <c r="L2897" s="37">
        <f t="shared" si="95"/>
        <v>-0.30615799999999993</v>
      </c>
    </row>
    <row r="2898" spans="1:12" hidden="1" outlineLevel="1" x14ac:dyDescent="0.25">
      <c r="A2898" s="739">
        <v>0.02</v>
      </c>
      <c r="B2898" s="740" t="s">
        <v>1031</v>
      </c>
      <c r="C2898" s="989">
        <v>8.2432499999999997</v>
      </c>
      <c r="D2898" s="908">
        <v>3.7189999999999999</v>
      </c>
      <c r="E2898" s="709">
        <v>-0.54884299275164528</v>
      </c>
      <c r="F2898" s="946">
        <v>-1.0976859855032906E-2</v>
      </c>
      <c r="G2898" s="78"/>
      <c r="H2898" t="str">
        <f>VLOOKUP(B2898,indexy!$A$44:$D$397,3,FALSE)</f>
        <v>IBE SQ Equity</v>
      </c>
      <c r="J2898" s="256">
        <v>41030</v>
      </c>
      <c r="K2898">
        <v>65.624399999999994</v>
      </c>
      <c r="L2898" s="37">
        <f t="shared" si="95"/>
        <v>-0.34375600000000006</v>
      </c>
    </row>
    <row r="2899" spans="1:12" hidden="1" outlineLevel="1" x14ac:dyDescent="0.25">
      <c r="A2899" s="739">
        <v>0.02</v>
      </c>
      <c r="B2899" s="740" t="s">
        <v>2588</v>
      </c>
      <c r="C2899" s="989">
        <v>33.799999999999997</v>
      </c>
      <c r="D2899" s="908">
        <v>5.266</v>
      </c>
      <c r="E2899" s="709">
        <v>-0.84420118343195272</v>
      </c>
      <c r="F2899" s="946">
        <v>-1.6884023668639055E-2</v>
      </c>
      <c r="G2899" s="78"/>
      <c r="H2899" t="str">
        <f>VLOOKUP(B2899,indexy!$A$44:$D$397,3,FALSE)</f>
        <v>INGA NA Equity</v>
      </c>
      <c r="J2899" s="256">
        <v>41061</v>
      </c>
      <c r="K2899" s="242">
        <v>67.66</v>
      </c>
      <c r="L2899" s="37">
        <f t="shared" si="95"/>
        <v>-0.32340000000000002</v>
      </c>
    </row>
    <row r="2900" spans="1:12" hidden="1" outlineLevel="1" x14ac:dyDescent="0.25">
      <c r="A2900" s="739">
        <v>0.02</v>
      </c>
      <c r="B2900" s="743" t="s">
        <v>1526</v>
      </c>
      <c r="C2900" s="989">
        <v>94.39</v>
      </c>
      <c r="D2900" s="908">
        <v>16.664999999999999</v>
      </c>
      <c r="E2900" s="709">
        <v>-0.82344528022036234</v>
      </c>
      <c r="F2900" s="946">
        <v>-1.6468905604407245E-2</v>
      </c>
      <c r="G2900" s="78"/>
      <c r="H2900" t="str">
        <f>VLOOKUP(B2900,indexy!$A$44:$D$397,3,FALSE)</f>
        <v>KBC BB Equity</v>
      </c>
      <c r="J2900" s="264" t="s">
        <v>2465</v>
      </c>
      <c r="L2900" s="261">
        <f>AVERAGE(L2888:L2899)</f>
        <v>-0.33127666666666661</v>
      </c>
    </row>
    <row r="2901" spans="1:12" hidden="1" outlineLevel="1" x14ac:dyDescent="0.25">
      <c r="A2901" s="739">
        <v>0.05</v>
      </c>
      <c r="B2901" s="740" t="s">
        <v>874</v>
      </c>
      <c r="C2901" s="989">
        <v>239.27999999999997</v>
      </c>
      <c r="D2901" s="908">
        <v>287.39999999999998</v>
      </c>
      <c r="E2901" s="709">
        <v>0.20110330992978942</v>
      </c>
      <c r="F2901" s="946">
        <v>1.0055165496489472E-2</v>
      </c>
      <c r="G2901" s="78"/>
      <c r="H2901" t="str">
        <f>VLOOKUP(B2901,indexy!$A$44:$D$397,3,FALSE)</f>
        <v>KGF LN Equity</v>
      </c>
    </row>
    <row r="2902" spans="1:12" hidden="1" outlineLevel="1" x14ac:dyDescent="0.25">
      <c r="A2902" s="739">
        <v>0.02</v>
      </c>
      <c r="B2902" s="740" t="s">
        <v>2787</v>
      </c>
      <c r="C2902" s="989">
        <v>71.375</v>
      </c>
      <c r="D2902" s="908">
        <v>52.9</v>
      </c>
      <c r="E2902" s="709">
        <v>-0.2588441330998249</v>
      </c>
      <c r="F2902" s="946">
        <v>-5.1768826619964983E-3</v>
      </c>
      <c r="G2902" s="78"/>
      <c r="H2902" t="str">
        <f>VLOOKUP(B2902,indexy!$A$44:$D$397,3,FALSE)</f>
        <v>NOVN SE Equity</v>
      </c>
    </row>
    <row r="2903" spans="1:12" hidden="1" outlineLevel="1" x14ac:dyDescent="0.25">
      <c r="A2903" s="739">
        <v>0.05</v>
      </c>
      <c r="B2903" s="740" t="s">
        <v>3424</v>
      </c>
      <c r="C2903" s="989">
        <v>32.572000000000003</v>
      </c>
      <c r="D2903" s="908">
        <v>44.87</v>
      </c>
      <c r="E2903" s="709">
        <v>0.37756355151663978</v>
      </c>
      <c r="F2903" s="946">
        <v>3.1E-2</v>
      </c>
      <c r="G2903" s="78"/>
      <c r="H2903" t="str">
        <f>VLOOKUP(B2903,indexy!$A$44:$D$397,3,FALSE)</f>
        <v>RAI UN Equity</v>
      </c>
    </row>
    <row r="2904" spans="1:12" hidden="1" outlineLevel="1" x14ac:dyDescent="0.25">
      <c r="A2904" s="739">
        <v>0.02</v>
      </c>
      <c r="B2904" s="740" t="s">
        <v>3800</v>
      </c>
      <c r="C2904" s="989">
        <v>223.22</v>
      </c>
      <c r="D2904" s="908">
        <v>163.6</v>
      </c>
      <c r="E2904" s="709">
        <v>-0.26709076247648067</v>
      </c>
      <c r="F2904" s="946">
        <v>-5.3418152495296137E-3</v>
      </c>
      <c r="G2904" s="78"/>
      <c r="H2904" t="str">
        <f>VLOOKUP(B2904,indexy!$A$44:$D$397,3,FALSE)</f>
        <v>ROG SE Equity</v>
      </c>
    </row>
    <row r="2905" spans="1:12" hidden="1" outlineLevel="1" x14ac:dyDescent="0.25">
      <c r="A2905" s="739">
        <v>0.06</v>
      </c>
      <c r="B2905" s="740" t="s">
        <v>2587</v>
      </c>
      <c r="C2905" s="989">
        <v>679.6</v>
      </c>
      <c r="D2905" s="908">
        <v>19.98</v>
      </c>
      <c r="E2905" s="709">
        <v>-0.97060035314891113</v>
      </c>
      <c r="F2905" s="946">
        <v>-5.8236021188934665E-2</v>
      </c>
      <c r="G2905" s="78"/>
      <c r="H2905" t="e">
        <f>VLOOKUP(B2905,indexy!$A$44:$D$397,3,FALSE)</f>
        <v>#N/A</v>
      </c>
    </row>
    <row r="2906" spans="1:12" hidden="1" outlineLevel="1" x14ac:dyDescent="0.25">
      <c r="A2906" s="739">
        <v>0.02</v>
      </c>
      <c r="B2906" s="740" t="s">
        <v>3801</v>
      </c>
      <c r="C2906" s="989">
        <v>83.073999999999998</v>
      </c>
      <c r="D2906" s="908">
        <v>32.174999999999997</v>
      </c>
      <c r="E2906" s="709">
        <v>-0.6126947059248381</v>
      </c>
      <c r="F2906" s="946">
        <v>-1.2253894118496762E-2</v>
      </c>
      <c r="G2906" s="78"/>
      <c r="H2906" t="str">
        <f>VLOOKUP(B2906,indexy!$A$44:$D$397,3,FALSE)</f>
        <v>RWE GY Equity</v>
      </c>
    </row>
    <row r="2907" spans="1:12" hidden="1" outlineLevel="1" x14ac:dyDescent="0.25">
      <c r="A2907" s="739">
        <v>0.05</v>
      </c>
      <c r="B2907" s="740" t="s">
        <v>4460</v>
      </c>
      <c r="C2907" s="989">
        <v>1465.6000000000001</v>
      </c>
      <c r="D2907" s="908">
        <v>1653</v>
      </c>
      <c r="E2907" s="709">
        <v>0.12786572052401746</v>
      </c>
      <c r="F2907" s="946">
        <v>6.3932860262008728E-3</v>
      </c>
      <c r="G2907" s="78"/>
      <c r="H2907" t="str">
        <f>VLOOKUP(B2907,indexy!$A$44:$D$397,3,FALSE)</f>
        <v>SVT LN Equity</v>
      </c>
    </row>
    <row r="2908" spans="1:12" hidden="1" outlineLevel="1" x14ac:dyDescent="0.25">
      <c r="A2908" s="739">
        <v>0.03</v>
      </c>
      <c r="B2908" s="740" t="s">
        <v>2166</v>
      </c>
      <c r="C2908" s="989">
        <v>129.96</v>
      </c>
      <c r="D2908" s="908">
        <v>18.41</v>
      </c>
      <c r="E2908" s="709">
        <v>-0.85834102800861811</v>
      </c>
      <c r="F2908" s="946">
        <v>-2.5750230840258542E-2</v>
      </c>
      <c r="G2908" s="78"/>
      <c r="H2908" t="str">
        <f>VLOOKUP(B2908,indexy!$A$44:$D$397,3,FALSE)</f>
        <v>GLE FP Equity</v>
      </c>
    </row>
    <row r="2909" spans="1:12" hidden="1" outlineLevel="1" x14ac:dyDescent="0.25">
      <c r="A2909" s="739">
        <v>0.02</v>
      </c>
      <c r="B2909" s="740" t="s">
        <v>578</v>
      </c>
      <c r="C2909" s="989">
        <v>12.007999999999999</v>
      </c>
      <c r="D2909" s="908">
        <v>4.84</v>
      </c>
      <c r="E2909" s="709">
        <v>-0.59693537641572281</v>
      </c>
      <c r="F2909" s="946">
        <v>-1.1938707528314456E-2</v>
      </c>
      <c r="G2909" s="78"/>
      <c r="H2909" t="str">
        <f>VLOOKUP(B2909,indexy!$A$44:$D$397,3,FALSE)</f>
        <v>STERV FH Equity</v>
      </c>
    </row>
    <row r="2910" spans="1:12" hidden="1" outlineLevel="1" x14ac:dyDescent="0.25">
      <c r="A2910" s="739">
        <v>0.06</v>
      </c>
      <c r="B2910" s="740" t="s">
        <v>1527</v>
      </c>
      <c r="C2910" s="989">
        <v>2.3224</v>
      </c>
      <c r="D2910" s="908">
        <v>0.78049999999999997</v>
      </c>
      <c r="E2910" s="709">
        <v>-0.66392524974164657</v>
      </c>
      <c r="F2910" s="946">
        <v>-3.983551498449879E-2</v>
      </c>
      <c r="G2910" s="78"/>
      <c r="H2910" t="str">
        <f>VLOOKUP(B2910,indexy!$A$44:$D$397,3,FALSE)</f>
        <v>TIT IM Equity</v>
      </c>
    </row>
    <row r="2911" spans="1:12" hidden="1" outlineLevel="1" x14ac:dyDescent="0.25">
      <c r="A2911" s="739">
        <v>0.05</v>
      </c>
      <c r="B2911" s="740" t="s">
        <v>577</v>
      </c>
      <c r="C2911" s="989">
        <v>16.469000000000001</v>
      </c>
      <c r="D2911" s="908">
        <v>10.37</v>
      </c>
      <c r="E2911" s="709">
        <v>-0.37033213917056296</v>
      </c>
      <c r="F2911" s="946">
        <v>-1.8516606958528147E-2</v>
      </c>
      <c r="G2911" s="78"/>
      <c r="H2911" t="str">
        <f>VLOOKUP(B2911,indexy!$A$44:$D$397,3,FALSE)</f>
        <v>TEF SQ Equity</v>
      </c>
    </row>
    <row r="2912" spans="1:12" hidden="1" outlineLevel="1" x14ac:dyDescent="0.25">
      <c r="A2912" s="739">
        <v>0.03</v>
      </c>
      <c r="B2912" s="740" t="s">
        <v>1183</v>
      </c>
      <c r="C2912" s="989">
        <v>53.825000000000003</v>
      </c>
      <c r="D2912" s="908">
        <v>35.5</v>
      </c>
      <c r="E2912" s="709">
        <v>-0.34045517882025089</v>
      </c>
      <c r="F2912" s="946">
        <v>-1.0213655364607527E-2</v>
      </c>
      <c r="G2912" s="78"/>
      <c r="H2912" t="e">
        <f>VLOOKUP(B2912,indexy!$A$44:$D$397,3,FALSE)</f>
        <v>#N/A</v>
      </c>
    </row>
    <row r="2913" spans="1:9" hidden="1" outlineLevel="1" x14ac:dyDescent="0.25">
      <c r="A2913" s="739">
        <v>0.02</v>
      </c>
      <c r="B2913" s="740" t="s">
        <v>182</v>
      </c>
      <c r="C2913" s="989">
        <v>74.45</v>
      </c>
      <c r="D2913" s="908">
        <v>11.05</v>
      </c>
      <c r="E2913" s="709">
        <v>-0.85157824042981867</v>
      </c>
      <c r="F2913" s="946">
        <v>-1.7031564808596373E-2</v>
      </c>
      <c r="G2913" s="78"/>
      <c r="H2913" t="str">
        <f>VLOOKUP(B2913,indexy!$A$44:$D$397,3,FALSE)</f>
        <v>UBS US Equity</v>
      </c>
    </row>
    <row r="2914" spans="1:9" hidden="1" outlineLevel="1" x14ac:dyDescent="0.25">
      <c r="A2914" s="739">
        <v>0.02</v>
      </c>
      <c r="B2914" s="740" t="s">
        <v>3269</v>
      </c>
      <c r="C2914" s="989">
        <v>20.588799999999999</v>
      </c>
      <c r="D2914" s="908">
        <v>10.105</v>
      </c>
      <c r="E2914" s="709">
        <v>-0.50919917625116562</v>
      </c>
      <c r="F2914" s="946">
        <v>-1.0183983525023312E-2</v>
      </c>
      <c r="G2914" s="78"/>
      <c r="H2914" t="str">
        <f>VLOOKUP(B2914,indexy!$A$44:$D$397,3,FALSE)</f>
        <v>NTGY SM Equity</v>
      </c>
    </row>
    <row r="2915" spans="1:9" hidden="1" outlineLevel="1" x14ac:dyDescent="0.25">
      <c r="A2915" s="739">
        <v>0.02</v>
      </c>
      <c r="B2915" s="740" t="s">
        <v>3169</v>
      </c>
      <c r="C2915" s="989">
        <v>30.007000000000001</v>
      </c>
      <c r="D2915" s="908">
        <v>14.63</v>
      </c>
      <c r="E2915" s="709">
        <v>-0.51244709567767521</v>
      </c>
      <c r="F2915" s="946">
        <v>-1.0248941913553505E-2</v>
      </c>
      <c r="G2915" s="78"/>
      <c r="H2915" t="str">
        <f>VLOOKUP(B2915,indexy!$A$44:$D$397,3,FALSE)</f>
        <v>VIV FP Equity</v>
      </c>
    </row>
    <row r="2916" spans="1:9" hidden="1" outlineLevel="1" x14ac:dyDescent="0.25">
      <c r="A2916" s="990">
        <v>0.03</v>
      </c>
      <c r="B2916" s="746" t="s">
        <v>580</v>
      </c>
      <c r="C2916" s="991">
        <v>93.81</v>
      </c>
      <c r="D2916" s="715">
        <v>78.75</v>
      </c>
      <c r="E2916" s="498">
        <v>-0.16053725615606018</v>
      </c>
      <c r="F2916" s="1023">
        <v>-4.8161176846818051E-3</v>
      </c>
      <c r="G2916" s="78"/>
      <c r="H2916" t="str">
        <f>VLOOKUP(B2916,indexy!$A$44:$D$397,3,FALSE)</f>
        <v>VOLVB SS Equity</v>
      </c>
    </row>
    <row r="2917" spans="1:9" hidden="1" outlineLevel="1" x14ac:dyDescent="0.25">
      <c r="A2917" s="749"/>
      <c r="B2917" s="750"/>
      <c r="C2917" s="727"/>
      <c r="D2917" s="727"/>
      <c r="E2917" s="716"/>
      <c r="F2917" s="770">
        <v>-0.32340000000000002</v>
      </c>
      <c r="G2917" s="78"/>
    </row>
    <row r="2918" spans="1:9" collapsed="1" x14ac:dyDescent="0.25">
      <c r="A2918" s="3801" t="s">
        <v>1662</v>
      </c>
      <c r="B2918" s="3802"/>
      <c r="C2918" s="3802"/>
      <c r="D2918" s="3802"/>
      <c r="E2918" s="721"/>
      <c r="F2918" s="722">
        <v>0</v>
      </c>
      <c r="G2918" s="97" t="s">
        <v>781</v>
      </c>
    </row>
    <row r="2919" spans="1:9" x14ac:dyDescent="0.25">
      <c r="A2919" s="1"/>
      <c r="B2919" s="1"/>
      <c r="C2919" s="1"/>
      <c r="D2919" s="1"/>
      <c r="E2919" s="1"/>
      <c r="F2919" s="1848"/>
      <c r="G2919" s="78"/>
    </row>
    <row r="2920" spans="1:9" hidden="1" outlineLevel="1" x14ac:dyDescent="0.25">
      <c r="A2920" s="689" t="s">
        <v>113</v>
      </c>
      <c r="B2920" s="689" t="s">
        <v>114</v>
      </c>
      <c r="C2920" s="689" t="s">
        <v>112</v>
      </c>
      <c r="D2920" s="689" t="s">
        <v>116</v>
      </c>
      <c r="E2920" s="689" t="s">
        <v>117</v>
      </c>
      <c r="F2920" s="1188" t="s">
        <v>121</v>
      </c>
      <c r="G2920" s="78"/>
    </row>
    <row r="2921" spans="1:9" hidden="1" outlineLevel="1" x14ac:dyDescent="0.25">
      <c r="A2921" s="690">
        <v>1</v>
      </c>
      <c r="B2921" s="691" t="s">
        <v>252</v>
      </c>
      <c r="C2921" s="692"/>
      <c r="D2921" s="692"/>
      <c r="E2921" s="693"/>
      <c r="F2921" s="694"/>
      <c r="G2921" s="78"/>
    </row>
    <row r="2922" spans="1:9" hidden="1" outlineLevel="1" x14ac:dyDescent="0.25">
      <c r="A2922" s="695"/>
      <c r="B2922" s="695"/>
      <c r="C2922" s="696"/>
      <c r="D2922" s="697" t="s">
        <v>3702</v>
      </c>
      <c r="E2922" s="698">
        <f>indexy!B2</f>
        <v>45379</v>
      </c>
      <c r="F2922" s="699"/>
      <c r="G2922" s="78"/>
    </row>
    <row r="2923" spans="1:9" hidden="1" outlineLevel="1" x14ac:dyDescent="0.25">
      <c r="A2923" s="689" t="s">
        <v>4156</v>
      </c>
      <c r="B2923" s="689" t="s">
        <v>4153</v>
      </c>
      <c r="C2923" s="700" t="s">
        <v>112</v>
      </c>
      <c r="D2923" s="689" t="s">
        <v>116</v>
      </c>
      <c r="E2923" s="689" t="s">
        <v>4154</v>
      </c>
      <c r="F2923" s="1021" t="s">
        <v>2519</v>
      </c>
      <c r="G2923" s="78"/>
    </row>
    <row r="2924" spans="1:9" hidden="1" outlineLevel="1" x14ac:dyDescent="0.25">
      <c r="A2924" s="734">
        <v>3.3300000000000003E-2</v>
      </c>
      <c r="B2924" s="735" t="s">
        <v>1995</v>
      </c>
      <c r="C2924" s="992">
        <v>52.557000000000002</v>
      </c>
      <c r="D2924" s="737">
        <v>50.375</v>
      </c>
      <c r="E2924" s="817">
        <f>D2924/C2924-1</f>
        <v>-4.1516829347185036E-2</v>
      </c>
      <c r="F2924" s="1021">
        <f>IF(E2924&gt;0,26%,E2924)*A2924</f>
        <v>-1.3825104172612618E-3</v>
      </c>
      <c r="G2924" s="78"/>
      <c r="H2924" t="s">
        <v>2739</v>
      </c>
    </row>
    <row r="2925" spans="1:9" hidden="1" outlineLevel="1" x14ac:dyDescent="0.25">
      <c r="A2925" s="849">
        <v>3.3300000000000003E-2</v>
      </c>
      <c r="B2925" s="740" t="s">
        <v>157</v>
      </c>
      <c r="C2925" s="993">
        <v>8.8890999999999991</v>
      </c>
      <c r="D2925" s="737">
        <v>10.0891</v>
      </c>
      <c r="E2925" s="818">
        <f t="shared" ref="E2925:E2953" si="96">D2925/C2925-1</f>
        <v>0.13499679382614671</v>
      </c>
      <c r="F2925" s="946">
        <f>IF(E2925&gt;0,26%,E2925)*A2925</f>
        <v>8.6580000000000008E-3</v>
      </c>
      <c r="G2925" s="78"/>
      <c r="H2925" t="s">
        <v>730</v>
      </c>
      <c r="I2925" s="128"/>
    </row>
    <row r="2926" spans="1:9" hidden="1" outlineLevel="1" x14ac:dyDescent="0.25">
      <c r="A2926" s="849">
        <v>3.3300000000000003E-2</v>
      </c>
      <c r="B2926" s="740" t="s">
        <v>2917</v>
      </c>
      <c r="C2926" s="993">
        <v>38.002000000000002</v>
      </c>
      <c r="D2926" s="737">
        <v>42.371499999999997</v>
      </c>
      <c r="E2926" s="818">
        <f t="shared" si="96"/>
        <v>0.1149807904847111</v>
      </c>
      <c r="F2926" s="946">
        <f t="shared" ref="F2926:F2953" si="97">IF(E2926&gt;0,26%,E2926)*A2926</f>
        <v>8.6580000000000008E-3</v>
      </c>
      <c r="G2926" s="78"/>
      <c r="H2926" t="s">
        <v>2929</v>
      </c>
    </row>
    <row r="2927" spans="1:9" hidden="1" outlineLevel="1" x14ac:dyDescent="0.25">
      <c r="A2927" s="849">
        <v>3.3300000000000003E-2</v>
      </c>
      <c r="B2927" s="740" t="s">
        <v>3405</v>
      </c>
      <c r="C2927" s="994">
        <v>47.750999999999998</v>
      </c>
      <c r="D2927" s="737">
        <v>35.9315</v>
      </c>
      <c r="E2927" s="818">
        <f t="shared" si="96"/>
        <v>-0.24752361207095142</v>
      </c>
      <c r="F2927" s="946">
        <f t="shared" si="97"/>
        <v>-8.2425362819626823E-3</v>
      </c>
      <c r="G2927" s="78"/>
      <c r="H2927" t="s">
        <v>2747</v>
      </c>
      <c r="I2927" s="106"/>
    </row>
    <row r="2928" spans="1:9" hidden="1" outlineLevel="1" x14ac:dyDescent="0.25">
      <c r="A2928" s="849">
        <v>3.3300000000000003E-2</v>
      </c>
      <c r="B2928" s="740" t="s">
        <v>2918</v>
      </c>
      <c r="C2928" s="993">
        <v>66.299000000000007</v>
      </c>
      <c r="D2928" s="737">
        <v>70.376999999999995</v>
      </c>
      <c r="E2928" s="818">
        <f t="shared" si="96"/>
        <v>6.1509223366868149E-2</v>
      </c>
      <c r="F2928" s="946">
        <f t="shared" si="97"/>
        <v>8.6580000000000008E-3</v>
      </c>
      <c r="G2928" s="78"/>
      <c r="H2928" t="s">
        <v>2924</v>
      </c>
      <c r="I2928" s="128"/>
    </row>
    <row r="2929" spans="1:9" hidden="1" outlineLevel="1" x14ac:dyDescent="0.25">
      <c r="A2929" s="849">
        <v>3.3300000000000003E-2</v>
      </c>
      <c r="B2929" s="740" t="s">
        <v>3406</v>
      </c>
      <c r="C2929" s="993">
        <v>10.241</v>
      </c>
      <c r="D2929" s="737">
        <v>11.07</v>
      </c>
      <c r="E2929" s="818">
        <f t="shared" si="96"/>
        <v>8.0949126061908183E-2</v>
      </c>
      <c r="F2929" s="946">
        <f t="shared" si="97"/>
        <v>8.6580000000000008E-3</v>
      </c>
      <c r="G2929" s="78"/>
      <c r="H2929" t="s">
        <v>2105</v>
      </c>
      <c r="I2929" s="128"/>
    </row>
    <row r="2930" spans="1:9" hidden="1" outlineLevel="1" x14ac:dyDescent="0.25">
      <c r="A2930" s="849">
        <v>3.3300000000000003E-2</v>
      </c>
      <c r="B2930" s="740" t="s">
        <v>4387</v>
      </c>
      <c r="C2930" s="993">
        <f>109.058/3</f>
        <v>36.352666666666671</v>
      </c>
      <c r="D2930" s="737">
        <v>23.288</v>
      </c>
      <c r="E2930" s="818">
        <f t="shared" si="96"/>
        <v>-0.35938674833574802</v>
      </c>
      <c r="F2930" s="946">
        <f t="shared" si="97"/>
        <v>-1.196757871958041E-2</v>
      </c>
      <c r="G2930" s="78"/>
      <c r="H2930" t="s">
        <v>3744</v>
      </c>
      <c r="I2930" s="128"/>
    </row>
    <row r="2931" spans="1:9" hidden="1" outlineLevel="1" x14ac:dyDescent="0.25">
      <c r="A2931" s="849">
        <v>3.3300000000000003E-2</v>
      </c>
      <c r="B2931" s="740" t="s">
        <v>2919</v>
      </c>
      <c r="C2931" s="993">
        <v>86.572000000000003</v>
      </c>
      <c r="D2931" s="737">
        <v>98.648499999999999</v>
      </c>
      <c r="E2931" s="818">
        <f t="shared" si="96"/>
        <v>0.13949660398281205</v>
      </c>
      <c r="F2931" s="946">
        <f t="shared" si="97"/>
        <v>8.6580000000000008E-3</v>
      </c>
      <c r="G2931" s="78"/>
      <c r="H2931" t="s">
        <v>2925</v>
      </c>
      <c r="I2931" s="128"/>
    </row>
    <row r="2932" spans="1:9" hidden="1" outlineLevel="1" x14ac:dyDescent="0.25">
      <c r="A2932" s="849">
        <v>3.3300000000000003E-2</v>
      </c>
      <c r="B2932" s="740" t="s">
        <v>1376</v>
      </c>
      <c r="C2932" s="993">
        <v>35.640999999999998</v>
      </c>
      <c r="D2932" s="737">
        <v>0.39950000000000002</v>
      </c>
      <c r="E2932" s="818">
        <f t="shared" si="96"/>
        <v>-0.98879099913021518</v>
      </c>
      <c r="F2932" s="946">
        <f t="shared" si="97"/>
        <v>-3.2926740271036169E-2</v>
      </c>
      <c r="G2932" s="78"/>
      <c r="H2932" t="s">
        <v>1215</v>
      </c>
      <c r="I2932" s="128"/>
    </row>
    <row r="2933" spans="1:9" hidden="1" outlineLevel="1" x14ac:dyDescent="0.25">
      <c r="A2933" s="849">
        <v>3.3300000000000003E-2</v>
      </c>
      <c r="B2933" s="981" t="s">
        <v>1377</v>
      </c>
      <c r="C2933" s="993">
        <v>42.42</v>
      </c>
      <c r="D2933" s="737">
        <v>44.064999999999998</v>
      </c>
      <c r="E2933" s="818">
        <f t="shared" si="96"/>
        <v>3.8778877887788665E-2</v>
      </c>
      <c r="F2933" s="946">
        <f t="shared" si="97"/>
        <v>8.6580000000000008E-3</v>
      </c>
      <c r="G2933" s="78"/>
      <c r="H2933" t="s">
        <v>4129</v>
      </c>
      <c r="I2933" s="128"/>
    </row>
    <row r="2934" spans="1:9" hidden="1" outlineLevel="1" x14ac:dyDescent="0.25">
      <c r="A2934" s="849">
        <v>3.3300000000000003E-2</v>
      </c>
      <c r="B2934" s="740" t="s">
        <v>2920</v>
      </c>
      <c r="C2934" s="993">
        <v>21.132999999999999</v>
      </c>
      <c r="D2934" s="737">
        <v>20.257000000000001</v>
      </c>
      <c r="E2934" s="818">
        <f t="shared" si="96"/>
        <v>-4.1451757914162557E-2</v>
      </c>
      <c r="F2934" s="946">
        <f t="shared" si="97"/>
        <v>-1.3803435385416132E-3</v>
      </c>
      <c r="G2934" s="78"/>
      <c r="H2934" t="s">
        <v>2926</v>
      </c>
      <c r="I2934" s="128"/>
    </row>
    <row r="2935" spans="1:9" hidden="1" outlineLevel="1" x14ac:dyDescent="0.25">
      <c r="A2935" s="849">
        <v>3.3300000000000003E-2</v>
      </c>
      <c r="B2935" s="853" t="s">
        <v>3426</v>
      </c>
      <c r="C2935" s="993">
        <v>65.561000000000007</v>
      </c>
      <c r="D2935" s="737">
        <v>59.218000000000004</v>
      </c>
      <c r="E2935" s="818">
        <f t="shared" si="96"/>
        <v>-9.6749591983038785E-2</v>
      </c>
      <c r="F2935" s="946">
        <f t="shared" si="97"/>
        <v>-3.2217614130351921E-3</v>
      </c>
      <c r="G2935" s="78"/>
      <c r="H2935" t="s">
        <v>4145</v>
      </c>
    </row>
    <row r="2936" spans="1:9" hidden="1" outlineLevel="1" x14ac:dyDescent="0.25">
      <c r="A2936" s="849">
        <v>3.3300000000000003E-2</v>
      </c>
      <c r="B2936" s="740" t="s">
        <v>2921</v>
      </c>
      <c r="C2936" s="993">
        <v>102.04</v>
      </c>
      <c r="D2936" s="737">
        <v>74.542000000000002</v>
      </c>
      <c r="E2936" s="818">
        <f t="shared" si="96"/>
        <v>-0.26948255586044689</v>
      </c>
      <c r="F2936" s="946">
        <f t="shared" si="97"/>
        <v>-8.9737691101528828E-3</v>
      </c>
      <c r="G2936" s="78"/>
      <c r="H2936" t="s">
        <v>2927</v>
      </c>
    </row>
    <row r="2937" spans="1:9" hidden="1" outlineLevel="1" x14ac:dyDescent="0.25">
      <c r="A2937" s="849">
        <v>3.3300000000000003E-2</v>
      </c>
      <c r="B2937" s="740" t="s">
        <v>1190</v>
      </c>
      <c r="C2937" s="993">
        <v>17.213000000000001</v>
      </c>
      <c r="D2937" s="737">
        <v>7.1849999999999996</v>
      </c>
      <c r="E2937" s="818">
        <f t="shared" si="96"/>
        <v>-0.58258293150525775</v>
      </c>
      <c r="F2937" s="946">
        <f t="shared" si="97"/>
        <v>-1.9400011619125086E-2</v>
      </c>
      <c r="G2937" s="78"/>
      <c r="H2937" t="s">
        <v>7569</v>
      </c>
    </row>
    <row r="2938" spans="1:9" hidden="1" outlineLevel="1" x14ac:dyDescent="0.25">
      <c r="A2938" s="849">
        <v>3.3300000000000003E-2</v>
      </c>
      <c r="B2938" s="740" t="s">
        <v>1203</v>
      </c>
      <c r="C2938" s="993">
        <v>88.855400000000003</v>
      </c>
      <c r="D2938" s="737">
        <v>73.465000000000003</v>
      </c>
      <c r="E2938" s="818">
        <f t="shared" si="96"/>
        <v>-0.17320725583363528</v>
      </c>
      <c r="F2938" s="946">
        <f t="shared" si="97"/>
        <v>-5.767801619260055E-3</v>
      </c>
      <c r="G2938" s="78"/>
      <c r="H2938" t="s">
        <v>79</v>
      </c>
    </row>
    <row r="2939" spans="1:9" hidden="1" outlineLevel="1" x14ac:dyDescent="0.25">
      <c r="A2939" s="849">
        <v>3.3300000000000003E-2</v>
      </c>
      <c r="B2939" s="740" t="s">
        <v>2787</v>
      </c>
      <c r="C2939" s="993">
        <v>73.400000000000006</v>
      </c>
      <c r="D2939" s="737">
        <v>52.55</v>
      </c>
      <c r="E2939" s="818">
        <f t="shared" si="96"/>
        <v>-0.28405994550408731</v>
      </c>
      <c r="F2939" s="946">
        <f t="shared" si="97"/>
        <v>-9.4591961852861089E-3</v>
      </c>
      <c r="G2939" s="78"/>
      <c r="H2939" t="s">
        <v>80</v>
      </c>
    </row>
    <row r="2940" spans="1:9" hidden="1" outlineLevel="1" x14ac:dyDescent="0.25">
      <c r="A2940" s="849">
        <v>3.3300000000000003E-2</v>
      </c>
      <c r="B2940" s="740" t="s">
        <v>1204</v>
      </c>
      <c r="C2940" s="993">
        <v>64.093000000000004</v>
      </c>
      <c r="D2940" s="737">
        <v>65.783000000000001</v>
      </c>
      <c r="E2940" s="818">
        <f t="shared" si="96"/>
        <v>2.6367934095766987E-2</v>
      </c>
      <c r="F2940" s="946">
        <f t="shared" si="97"/>
        <v>8.6580000000000008E-3</v>
      </c>
      <c r="G2940" s="78"/>
      <c r="H2940" t="s">
        <v>2427</v>
      </c>
    </row>
    <row r="2941" spans="1:9" hidden="1" outlineLevel="1" x14ac:dyDescent="0.25">
      <c r="A2941" s="849">
        <v>3.3300000000000003E-2</v>
      </c>
      <c r="B2941" s="740" t="s">
        <v>1414</v>
      </c>
      <c r="C2941" s="993">
        <v>26.373000000000001</v>
      </c>
      <c r="D2941" s="737">
        <v>16.196000000000002</v>
      </c>
      <c r="E2941" s="818">
        <f t="shared" si="96"/>
        <v>-0.38588708148485185</v>
      </c>
      <c r="F2941" s="946">
        <f t="shared" si="97"/>
        <v>-1.2850039813445568E-2</v>
      </c>
      <c r="G2941" s="78"/>
      <c r="H2941" t="s">
        <v>2428</v>
      </c>
    </row>
    <row r="2942" spans="1:9" hidden="1" outlineLevel="1" x14ac:dyDescent="0.25">
      <c r="A2942" s="849">
        <v>3.3300000000000003E-2</v>
      </c>
      <c r="B2942" s="740" t="s">
        <v>2587</v>
      </c>
      <c r="C2942" s="993">
        <v>5.9870000000000001</v>
      </c>
      <c r="D2942" s="737">
        <v>0.4975</v>
      </c>
      <c r="E2942" s="818">
        <f t="shared" si="96"/>
        <v>-0.91690329046266916</v>
      </c>
      <c r="F2942" s="946">
        <f t="shared" si="97"/>
        <v>-3.0532879572406885E-2</v>
      </c>
      <c r="G2942" s="78"/>
      <c r="H2942" t="s">
        <v>2818</v>
      </c>
    </row>
    <row r="2943" spans="1:9" hidden="1" outlineLevel="1" x14ac:dyDescent="0.25">
      <c r="A2943" s="849">
        <v>3.3300000000000003E-2</v>
      </c>
      <c r="B2943" s="740" t="s">
        <v>51</v>
      </c>
      <c r="C2943" s="993">
        <v>66.692999999999998</v>
      </c>
      <c r="D2943" s="737">
        <v>32.9315</v>
      </c>
      <c r="E2943" s="818">
        <f t="shared" si="96"/>
        <v>-0.50622254209587214</v>
      </c>
      <c r="F2943" s="946">
        <f t="shared" si="97"/>
        <v>-1.6857210651792544E-2</v>
      </c>
      <c r="G2943" s="78"/>
      <c r="H2943" t="s">
        <v>2748</v>
      </c>
    </row>
    <row r="2944" spans="1:9" hidden="1" outlineLevel="1" x14ac:dyDescent="0.25">
      <c r="A2944" s="849">
        <v>3.3300000000000003E-2</v>
      </c>
      <c r="B2944" s="740" t="s">
        <v>1206</v>
      </c>
      <c r="C2944" s="993">
        <v>35.802</v>
      </c>
      <c r="D2944" s="737">
        <v>35.234499999999997</v>
      </c>
      <c r="E2944" s="818">
        <f t="shared" si="96"/>
        <v>-1.5851069772638504E-2</v>
      </c>
      <c r="F2944" s="946">
        <f t="shared" si="97"/>
        <v>-5.2784062342886226E-4</v>
      </c>
      <c r="G2944" s="78"/>
      <c r="H2944" t="s">
        <v>3484</v>
      </c>
    </row>
    <row r="2945" spans="1:32" hidden="1" outlineLevel="1" x14ac:dyDescent="0.25">
      <c r="A2945" s="849">
        <v>3.3300000000000003E-2</v>
      </c>
      <c r="B2945" s="740" t="s">
        <v>1207</v>
      </c>
      <c r="C2945" s="993">
        <v>6121</v>
      </c>
      <c r="D2945" s="737">
        <v>2674.5</v>
      </c>
      <c r="E2945" s="818">
        <f t="shared" si="96"/>
        <v>-0.56306159124326083</v>
      </c>
      <c r="F2945" s="946">
        <f t="shared" si="97"/>
        <v>-1.8749950988400588E-2</v>
      </c>
      <c r="G2945" s="78"/>
      <c r="H2945" t="s">
        <v>3487</v>
      </c>
    </row>
    <row r="2946" spans="1:32" hidden="1" outlineLevel="1" x14ac:dyDescent="0.25">
      <c r="A2946" s="849">
        <v>3.3300000000000003E-2</v>
      </c>
      <c r="B2946" s="740" t="s">
        <v>1186</v>
      </c>
      <c r="C2946" s="993">
        <v>35.390900000000002</v>
      </c>
      <c r="D2946" s="737">
        <v>26.236499999999999</v>
      </c>
      <c r="E2946" s="818">
        <f t="shared" si="96"/>
        <v>-0.25866536313007027</v>
      </c>
      <c r="F2946" s="946">
        <f t="shared" si="97"/>
        <v>-8.61355659223134E-3</v>
      </c>
      <c r="G2946" s="78"/>
      <c r="H2946" t="e">
        <v>#N/A</v>
      </c>
    </row>
    <row r="2947" spans="1:32" hidden="1" outlineLevel="1" x14ac:dyDescent="0.25">
      <c r="A2947" s="849">
        <v>3.3300000000000003E-2</v>
      </c>
      <c r="B2947" s="740" t="s">
        <v>2922</v>
      </c>
      <c r="C2947" s="993">
        <v>17.954000000000001</v>
      </c>
      <c r="D2947" s="737">
        <v>12.86</v>
      </c>
      <c r="E2947" s="818">
        <f t="shared" si="96"/>
        <v>-0.28372507519215784</v>
      </c>
      <c r="F2947" s="946">
        <f t="shared" si="97"/>
        <v>-9.4480450038988573E-3</v>
      </c>
      <c r="G2947" s="78"/>
      <c r="H2947" t="s">
        <v>2928</v>
      </c>
    </row>
    <row r="2948" spans="1:32" hidden="1" outlineLevel="1" x14ac:dyDescent="0.25">
      <c r="A2948" s="849">
        <v>3.3300000000000003E-2</v>
      </c>
      <c r="B2948" s="740" t="s">
        <v>1527</v>
      </c>
      <c r="C2948" s="993">
        <v>2.3504</v>
      </c>
      <c r="D2948" s="737">
        <v>1.0367999999999999</v>
      </c>
      <c r="E2948" s="818">
        <f t="shared" si="96"/>
        <v>-0.55888359428182444</v>
      </c>
      <c r="F2948" s="946">
        <f t="shared" si="97"/>
        <v>-1.8610823689584756E-2</v>
      </c>
      <c r="G2948" s="78"/>
      <c r="H2948" t="s">
        <v>2803</v>
      </c>
    </row>
    <row r="2949" spans="1:32" hidden="1" outlineLevel="1" x14ac:dyDescent="0.25">
      <c r="A2949" s="849">
        <v>3.3300000000000003E-2</v>
      </c>
      <c r="B2949" s="740" t="s">
        <v>577</v>
      </c>
      <c r="C2949" s="993">
        <v>17.103999999999999</v>
      </c>
      <c r="D2949" s="737">
        <v>17.6905</v>
      </c>
      <c r="E2949" s="818">
        <f t="shared" si="96"/>
        <v>3.4290224508886968E-2</v>
      </c>
      <c r="F2949" s="946">
        <f t="shared" si="97"/>
        <v>8.6580000000000008E-3</v>
      </c>
      <c r="G2949" s="78"/>
      <c r="H2949" t="s">
        <v>2804</v>
      </c>
    </row>
    <row r="2950" spans="1:32" hidden="1" outlineLevel="1" x14ac:dyDescent="0.25">
      <c r="A2950" s="849">
        <v>3.3300000000000003E-2</v>
      </c>
      <c r="B2950" s="740" t="s">
        <v>1003</v>
      </c>
      <c r="C2950" s="993">
        <v>30.873999999999999</v>
      </c>
      <c r="D2950" s="737">
        <v>25.067</v>
      </c>
      <c r="E2950" s="818">
        <f t="shared" si="96"/>
        <v>-0.18808706354861693</v>
      </c>
      <c r="F2950" s="946">
        <f t="shared" si="97"/>
        <v>-6.2632992161689447E-3</v>
      </c>
      <c r="G2950" s="78"/>
      <c r="H2950" t="s">
        <v>7121</v>
      </c>
    </row>
    <row r="2951" spans="1:32" hidden="1" outlineLevel="1" x14ac:dyDescent="0.25">
      <c r="A2951" s="849">
        <v>3.3300000000000003E-2</v>
      </c>
      <c r="B2951" s="740" t="s">
        <v>3551</v>
      </c>
      <c r="C2951" s="993">
        <v>8131</v>
      </c>
      <c r="D2951" s="737">
        <v>3078</v>
      </c>
      <c r="E2951" s="818">
        <f t="shared" si="96"/>
        <v>-0.62144877628827944</v>
      </c>
      <c r="F2951" s="946">
        <f t="shared" si="97"/>
        <v>-2.0694244250399708E-2</v>
      </c>
      <c r="G2951" s="78"/>
      <c r="H2951" t="s">
        <v>2806</v>
      </c>
    </row>
    <row r="2952" spans="1:32" hidden="1" outlineLevel="1" x14ac:dyDescent="0.25">
      <c r="A2952" s="739">
        <v>3.3300000000000003E-2</v>
      </c>
      <c r="B2952" s="740" t="s">
        <v>182</v>
      </c>
      <c r="C2952" s="993">
        <v>73.294399999999996</v>
      </c>
      <c r="D2952" s="737">
        <v>17.856999999999999</v>
      </c>
      <c r="E2952" s="818">
        <f>D2952/C2952-1</f>
        <v>-0.7563661070968587</v>
      </c>
      <c r="F2952" s="946">
        <f t="shared" si="97"/>
        <v>-2.5186991366325396E-2</v>
      </c>
      <c r="G2952" s="78"/>
      <c r="H2952" t="s">
        <v>6686</v>
      </c>
    </row>
    <row r="2953" spans="1:32" hidden="1" outlineLevel="1" x14ac:dyDescent="0.25">
      <c r="A2953" s="739">
        <v>3.3300000000000003E-2</v>
      </c>
      <c r="B2953" s="740" t="s">
        <v>181</v>
      </c>
      <c r="C2953" s="993">
        <v>104.26</v>
      </c>
      <c r="D2953" s="737">
        <v>46.476999999999997</v>
      </c>
      <c r="E2953" s="818">
        <f t="shared" si="96"/>
        <v>-0.55422021868405913</v>
      </c>
      <c r="F2953" s="1023">
        <f t="shared" si="97"/>
        <v>-1.8455533282179172E-2</v>
      </c>
      <c r="G2953" s="78"/>
      <c r="H2953" t="e">
        <v>#N/A</v>
      </c>
    </row>
    <row r="2954" spans="1:32" hidden="1" outlineLevel="1" x14ac:dyDescent="0.25">
      <c r="A2954" s="854"/>
      <c r="B2954" s="718"/>
      <c r="C2954" s="855"/>
      <c r="D2954" s="867"/>
      <c r="E2954" s="995" t="s">
        <v>2722</v>
      </c>
      <c r="F2954" s="1828">
        <f>SUM(F2924:F2953)</f>
        <v>-0.22024866422550407</v>
      </c>
      <c r="G2954" s="78"/>
    </row>
    <row r="2955" spans="1:32" collapsed="1" x14ac:dyDescent="0.25">
      <c r="A2955" s="3801" t="s">
        <v>2936</v>
      </c>
      <c r="B2955" s="3802"/>
      <c r="C2955" s="3802"/>
      <c r="D2955" s="3802"/>
      <c r="E2955" s="821"/>
      <c r="F2955" s="752">
        <f>MAX(F2954,0)</f>
        <v>0</v>
      </c>
      <c r="G2955" s="97" t="s">
        <v>781</v>
      </c>
    </row>
    <row r="2956" spans="1:32" x14ac:dyDescent="0.25">
      <c r="A2956" s="1"/>
      <c r="B2956" s="1"/>
      <c r="C2956" s="1"/>
      <c r="D2956" s="1"/>
      <c r="E2956" s="1"/>
      <c r="F2956" s="1848"/>
      <c r="G2956" s="78"/>
    </row>
    <row r="2957" spans="1:32" hidden="1" outlineLevel="1" x14ac:dyDescent="0.25">
      <c r="A2957" s="689" t="s">
        <v>113</v>
      </c>
      <c r="B2957" s="689" t="s">
        <v>114</v>
      </c>
      <c r="C2957" s="689" t="s">
        <v>112</v>
      </c>
      <c r="D2957" s="689" t="s">
        <v>2328</v>
      </c>
      <c r="E2957" s="495" t="s">
        <v>117</v>
      </c>
      <c r="F2957" s="1021" t="s">
        <v>121</v>
      </c>
      <c r="G2957" s="78"/>
    </row>
    <row r="2958" spans="1:32" hidden="1" outlineLevel="1" x14ac:dyDescent="0.25">
      <c r="A2958" s="950" t="s">
        <v>3874</v>
      </c>
      <c r="B2958" s="799" t="s">
        <v>3563</v>
      </c>
      <c r="C2958" s="800">
        <v>8488.8870000000006</v>
      </c>
      <c r="D2958" s="809">
        <v>9686.0300000000007</v>
      </c>
      <c r="E2958" s="3819">
        <v>-0.10918541650212521</v>
      </c>
      <c r="F2958" s="3819">
        <v>-4.3662600000000003E-2</v>
      </c>
      <c r="G2958" s="78"/>
      <c r="H2958" t="s">
        <v>4410</v>
      </c>
      <c r="I2958" t="s">
        <v>631</v>
      </c>
      <c r="J2958" s="256">
        <v>40695</v>
      </c>
      <c r="K2958" s="256">
        <v>40725</v>
      </c>
      <c r="L2958" s="256">
        <v>40756</v>
      </c>
      <c r="M2958" s="256">
        <v>40787</v>
      </c>
      <c r="N2958" s="256">
        <v>40817</v>
      </c>
      <c r="O2958" s="256">
        <v>40848</v>
      </c>
      <c r="P2958" s="256">
        <v>40878</v>
      </c>
      <c r="Q2958" s="256">
        <v>40909</v>
      </c>
      <c r="R2958" s="256">
        <v>40940</v>
      </c>
      <c r="S2958" s="256">
        <v>40969</v>
      </c>
      <c r="T2958" s="256">
        <v>41000</v>
      </c>
      <c r="U2958" s="256">
        <v>41030</v>
      </c>
      <c r="V2958" s="256"/>
      <c r="W2958" s="256"/>
      <c r="X2958" s="256"/>
      <c r="Y2958" s="256"/>
      <c r="Z2958" s="256"/>
      <c r="AA2958" s="256"/>
      <c r="AB2958" s="256"/>
      <c r="AC2958" s="256"/>
      <c r="AD2958" s="256"/>
      <c r="AE2958" s="256"/>
      <c r="AF2958" s="256"/>
    </row>
    <row r="2959" spans="1:32" hidden="1" outlineLevel="1" x14ac:dyDescent="0.25">
      <c r="A2959" s="950" t="s">
        <v>3874</v>
      </c>
      <c r="B2959" s="852" t="s">
        <v>3564</v>
      </c>
      <c r="C2959" s="802">
        <v>18976.321</v>
      </c>
      <c r="D2959" s="809">
        <v>18629.52</v>
      </c>
      <c r="E2959" s="3820"/>
      <c r="F2959" s="3820"/>
      <c r="G2959" s="78"/>
      <c r="H2959" t="s">
        <v>4411</v>
      </c>
      <c r="J2959">
        <v>104.4054</v>
      </c>
      <c r="K2959">
        <v>104.5864</v>
      </c>
      <c r="L2959">
        <v>93.882199999999997</v>
      </c>
      <c r="M2959">
        <v>86.093299999999999</v>
      </c>
      <c r="N2959">
        <v>92.902699999999996</v>
      </c>
      <c r="O2959">
        <v>86.272099999999995</v>
      </c>
      <c r="P2959">
        <v>87.216700000000003</v>
      </c>
      <c r="Q2959">
        <v>94.810400000000001</v>
      </c>
      <c r="R2959">
        <v>100.3657</v>
      </c>
      <c r="S2959">
        <v>98.323700000000002</v>
      </c>
      <c r="T2959">
        <v>96.566000000000003</v>
      </c>
      <c r="U2959">
        <v>89.081500000000005</v>
      </c>
    </row>
    <row r="2960" spans="1:32" hidden="1" outlineLevel="1" x14ac:dyDescent="0.25">
      <c r="A2960" s="950" t="s">
        <v>3874</v>
      </c>
      <c r="B2960" s="852" t="s">
        <v>1916</v>
      </c>
      <c r="C2960" s="802">
        <v>183.90199999999999</v>
      </c>
      <c r="D2960" s="809">
        <v>244.05</v>
      </c>
      <c r="E2960" s="3820"/>
      <c r="F2960" s="3820"/>
      <c r="G2960" s="78"/>
      <c r="H2960" t="s">
        <v>4409</v>
      </c>
      <c r="J2960" s="37">
        <f t="shared" ref="J2960:U2960" si="98">IF(J2959="",I2960,J2959/100-1)</f>
        <v>4.4054000000000038E-2</v>
      </c>
      <c r="K2960" s="37">
        <f t="shared" si="98"/>
        <v>4.5863999999999905E-2</v>
      </c>
      <c r="L2960" s="37">
        <f t="shared" si="98"/>
        <v>-6.1178000000000066E-2</v>
      </c>
      <c r="M2960" s="37">
        <f t="shared" si="98"/>
        <v>-0.13906700000000005</v>
      </c>
      <c r="N2960" s="37">
        <f t="shared" si="98"/>
        <v>-7.0973000000000064E-2</v>
      </c>
      <c r="O2960" s="37">
        <f t="shared" si="98"/>
        <v>-0.13727900000000004</v>
      </c>
      <c r="P2960" s="37">
        <f t="shared" si="98"/>
        <v>-0.12783299999999997</v>
      </c>
      <c r="Q2960" s="37">
        <f t="shared" si="98"/>
        <v>-5.1895999999999942E-2</v>
      </c>
      <c r="R2960" s="37">
        <f t="shared" si="98"/>
        <v>3.6570000000000213E-3</v>
      </c>
      <c r="S2960" s="37">
        <f t="shared" si="98"/>
        <v>-1.6762999999999972E-2</v>
      </c>
      <c r="T2960" s="37">
        <f t="shared" si="98"/>
        <v>-3.4339999999999926E-2</v>
      </c>
      <c r="U2960" s="37">
        <f t="shared" si="98"/>
        <v>-0.10918499999999998</v>
      </c>
    </row>
    <row r="2961" spans="1:11" hidden="1" outlineLevel="1" x14ac:dyDescent="0.25">
      <c r="A2961" s="950" t="s">
        <v>3874</v>
      </c>
      <c r="B2961" s="852" t="s">
        <v>2019</v>
      </c>
      <c r="C2961" s="741">
        <v>344.53</v>
      </c>
      <c r="D2961" s="809">
        <v>318.18</v>
      </c>
      <c r="E2961" s="3820"/>
      <c r="F2961" s="3820"/>
      <c r="G2961" s="78"/>
      <c r="H2961" t="s">
        <v>2016</v>
      </c>
      <c r="I2961" s="412" t="s">
        <v>3766</v>
      </c>
      <c r="J2961" s="261">
        <f>AVERAGE(J2960:U2960)</f>
        <v>-5.4578250000000002E-2</v>
      </c>
    </row>
    <row r="2962" spans="1:11" hidden="1" outlineLevel="1" x14ac:dyDescent="0.25">
      <c r="A2962" s="950" t="s">
        <v>3874</v>
      </c>
      <c r="B2962" s="852" t="s">
        <v>1124</v>
      </c>
      <c r="C2962" s="741">
        <v>307.73200000000003</v>
      </c>
      <c r="D2962" s="809">
        <v>261.14999999999998</v>
      </c>
      <c r="E2962" s="3820"/>
      <c r="F2962" s="3820"/>
      <c r="G2962" s="78"/>
      <c r="H2962" t="s">
        <v>436</v>
      </c>
    </row>
    <row r="2963" spans="1:11" hidden="1" outlineLevel="1" x14ac:dyDescent="0.25">
      <c r="A2963" s="950" t="s">
        <v>3874</v>
      </c>
      <c r="B2963" s="801" t="s">
        <v>761</v>
      </c>
      <c r="C2963" s="747">
        <v>16036.527</v>
      </c>
      <c r="D2963" s="809">
        <v>8542.73</v>
      </c>
      <c r="E2963" s="3821"/>
      <c r="F2963" s="3821"/>
      <c r="G2963" s="78"/>
      <c r="H2963" t="s">
        <v>4406</v>
      </c>
    </row>
    <row r="2964" spans="1:11" collapsed="1" x14ac:dyDescent="0.25">
      <c r="A2964" s="3801" t="s">
        <v>3335</v>
      </c>
      <c r="B2964" s="3802"/>
      <c r="C2964" s="3802"/>
      <c r="D2964" s="3802"/>
      <c r="E2964" s="729"/>
      <c r="F2964" s="934">
        <v>0</v>
      </c>
      <c r="G2964" s="97" t="s">
        <v>781</v>
      </c>
    </row>
    <row r="2965" spans="1:11" x14ac:dyDescent="0.25">
      <c r="A2965" s="1"/>
      <c r="B2965" s="1"/>
      <c r="C2965" s="1"/>
      <c r="D2965" s="1"/>
      <c r="E2965" s="1"/>
      <c r="F2965" s="1848"/>
      <c r="G2965" s="78"/>
    </row>
    <row r="2966" spans="1:11" hidden="1" outlineLevel="1" x14ac:dyDescent="0.25">
      <c r="A2966" s="689" t="s">
        <v>113</v>
      </c>
      <c r="B2966" s="689" t="s">
        <v>114</v>
      </c>
      <c r="C2966" s="689" t="s">
        <v>112</v>
      </c>
      <c r="D2966" s="689" t="s">
        <v>116</v>
      </c>
      <c r="E2966" s="689" t="s">
        <v>117</v>
      </c>
      <c r="F2966" s="1188" t="s">
        <v>121</v>
      </c>
      <c r="G2966" s="78"/>
    </row>
    <row r="2967" spans="1:11" hidden="1" outlineLevel="1" x14ac:dyDescent="0.25">
      <c r="A2967" s="690">
        <v>1</v>
      </c>
      <c r="B2967" s="691" t="s">
        <v>252</v>
      </c>
      <c r="C2967" s="692">
        <v>100</v>
      </c>
      <c r="D2967" s="692"/>
      <c r="E2967" s="693"/>
      <c r="F2967" s="694"/>
      <c r="G2967" s="78"/>
    </row>
    <row r="2968" spans="1:11" hidden="1" outlineLevel="1" x14ac:dyDescent="0.25">
      <c r="A2968" s="695"/>
      <c r="B2968" s="695"/>
      <c r="C2968" s="696"/>
      <c r="D2968" s="697" t="s">
        <v>3702</v>
      </c>
      <c r="E2968" s="698">
        <f>indexy!B2</f>
        <v>45379</v>
      </c>
      <c r="F2968" s="699"/>
      <c r="G2968" s="78"/>
    </row>
    <row r="2969" spans="1:11" hidden="1" outlineLevel="1" x14ac:dyDescent="0.25">
      <c r="A2969" s="689" t="s">
        <v>4156</v>
      </c>
      <c r="B2969" s="689" t="s">
        <v>4153</v>
      </c>
      <c r="C2969" s="700" t="s">
        <v>112</v>
      </c>
      <c r="D2969" s="495" t="s">
        <v>116</v>
      </c>
      <c r="E2969" s="689" t="s">
        <v>4154</v>
      </c>
      <c r="F2969" s="1021"/>
      <c r="G2969" s="78"/>
      <c r="H2969" s="39" t="s">
        <v>3533</v>
      </c>
    </row>
    <row r="2970" spans="1:11" hidden="1" outlineLevel="1" x14ac:dyDescent="0.25">
      <c r="A2970" s="734">
        <v>0.05</v>
      </c>
      <c r="B2970" s="735" t="s">
        <v>6551</v>
      </c>
      <c r="C2970" s="807">
        <v>90.897000000000006</v>
      </c>
      <c r="D2970" s="803">
        <v>184.25399999999999</v>
      </c>
      <c r="E2970" s="503">
        <f t="shared" ref="E2970:E2989" si="99">D2970/C2970-1</f>
        <v>1.0270635994587276</v>
      </c>
      <c r="F2970" s="3827" t="s">
        <v>3968</v>
      </c>
      <c r="G2970" s="78"/>
      <c r="H2970" t="str">
        <f>VLOOKUP(B2970,indexy!$A$44:$D$232,3,FALSE)</f>
        <v>AAPL UW Equity</v>
      </c>
      <c r="I2970" s="171"/>
    </row>
    <row r="2971" spans="1:11" hidden="1" outlineLevel="1" x14ac:dyDescent="0.25">
      <c r="A2971" s="739">
        <v>0.05</v>
      </c>
      <c r="B2971" s="996" t="s">
        <v>162</v>
      </c>
      <c r="C2971" s="809">
        <v>66.753</v>
      </c>
      <c r="D2971" s="908">
        <v>103.066</v>
      </c>
      <c r="E2971" s="504">
        <f t="shared" si="99"/>
        <v>0.54399053226072236</v>
      </c>
      <c r="F2971" s="3828"/>
      <c r="G2971" s="78"/>
      <c r="H2971" t="str">
        <f>VLOOKUP(B2971,indexy!$A$44:$D$232,3,FALSE)</f>
        <v>SLB UN Equity</v>
      </c>
      <c r="I2971" s="171"/>
      <c r="J2971" s="39"/>
      <c r="K2971" s="224"/>
    </row>
    <row r="2972" spans="1:11" hidden="1" outlineLevel="1" x14ac:dyDescent="0.25">
      <c r="A2972" s="739">
        <v>0.05</v>
      </c>
      <c r="B2972" s="996" t="s">
        <v>165</v>
      </c>
      <c r="C2972" s="809">
        <v>32.957000000000001</v>
      </c>
      <c r="D2972" s="908">
        <v>48.698999999999998</v>
      </c>
      <c r="E2972" s="504">
        <f t="shared" si="99"/>
        <v>0.47765269897138696</v>
      </c>
      <c r="F2972" s="3828"/>
      <c r="G2972" s="78"/>
      <c r="H2972" t="str">
        <f>VLOOKUP(B2972,indexy!$A$44:$D$232,3,FALSE)</f>
        <v>HAL UN Equity</v>
      </c>
      <c r="I2972" s="171"/>
      <c r="J2972" s="39"/>
      <c r="K2972" s="224"/>
    </row>
    <row r="2973" spans="1:11" hidden="1" outlineLevel="1" x14ac:dyDescent="0.25">
      <c r="A2973" s="739">
        <v>0.05</v>
      </c>
      <c r="B2973" s="996" t="s">
        <v>579</v>
      </c>
      <c r="C2973" s="809">
        <v>1.3440000000000001</v>
      </c>
      <c r="D2973" s="908">
        <v>1.6282000000000001</v>
      </c>
      <c r="E2973" s="504">
        <f t="shared" si="99"/>
        <v>0.2114583333333333</v>
      </c>
      <c r="F2973" s="3828"/>
      <c r="G2973" s="78"/>
      <c r="H2973" t="str">
        <f>VLOOKUP(B2973,indexy!$A$44:$D$232,3,FALSE)</f>
        <v>VOD LN Equity</v>
      </c>
      <c r="I2973" s="171"/>
      <c r="J2973" s="208"/>
      <c r="K2973" s="225"/>
    </row>
    <row r="2974" spans="1:11" hidden="1" outlineLevel="1" x14ac:dyDescent="0.25">
      <c r="A2974" s="739">
        <v>0.05</v>
      </c>
      <c r="B2974" s="996" t="s">
        <v>164</v>
      </c>
      <c r="C2974" s="809">
        <v>46.869</v>
      </c>
      <c r="D2974" s="908">
        <v>56.558999999999997</v>
      </c>
      <c r="E2974" s="504">
        <f t="shared" si="99"/>
        <v>0.20674646354733395</v>
      </c>
      <c r="F2974" s="3828"/>
      <c r="G2974" s="78"/>
      <c r="H2974" t="e">
        <f>VLOOKUP(B2974,indexy!$A$44:$D$232,3,FALSE)</f>
        <v>#N/A</v>
      </c>
      <c r="I2974" s="171"/>
      <c r="J2974" s="39"/>
      <c r="K2974" s="225"/>
    </row>
    <row r="2975" spans="1:11" hidden="1" outlineLevel="1" x14ac:dyDescent="0.25">
      <c r="A2975" s="739">
        <v>0.05</v>
      </c>
      <c r="B2975" s="740" t="s">
        <v>1993</v>
      </c>
      <c r="C2975" s="809">
        <v>63.042700000000004</v>
      </c>
      <c r="D2975" s="908">
        <v>74.784000000000006</v>
      </c>
      <c r="E2975" s="709">
        <f t="shared" si="99"/>
        <v>0.1862436094900759</v>
      </c>
      <c r="F2975" s="946"/>
      <c r="G2975" s="78"/>
      <c r="H2975" t="str">
        <f>VLOOKUP(B2975,indexy!$A$44:$D$232,3,FALSE)</f>
        <v>MO UN Equity</v>
      </c>
      <c r="I2975" s="171"/>
      <c r="J2975" s="39"/>
      <c r="K2975" s="39"/>
    </row>
    <row r="2976" spans="1:11" hidden="1" outlineLevel="1" x14ac:dyDescent="0.25">
      <c r="A2976" s="739">
        <v>0.05</v>
      </c>
      <c r="B2976" s="996" t="s">
        <v>1190</v>
      </c>
      <c r="C2976" s="809">
        <v>15.53</v>
      </c>
      <c r="D2976" s="908">
        <v>18.384</v>
      </c>
      <c r="E2976" s="709">
        <f t="shared" si="99"/>
        <v>0.18377334191886674</v>
      </c>
      <c r="F2976" s="946"/>
      <c r="G2976" s="78"/>
      <c r="H2976" t="str">
        <f>VLOOKUP(B2976,indexy!$A$44:$D$232,3,FALSE)</f>
        <v>NOKIA FH Equity</v>
      </c>
      <c r="I2976" s="171"/>
      <c r="J2976" s="39"/>
      <c r="K2976" s="39"/>
    </row>
    <row r="2977" spans="1:11" hidden="1" outlineLevel="1" x14ac:dyDescent="0.25">
      <c r="A2977" s="739">
        <v>0.05</v>
      </c>
      <c r="B2977" s="996" t="s">
        <v>159</v>
      </c>
      <c r="C2977" s="809">
        <v>491.90699999999998</v>
      </c>
      <c r="D2977" s="908">
        <v>567.80899999999997</v>
      </c>
      <c r="E2977" s="709">
        <f t="shared" si="99"/>
        <v>0.15430152447515488</v>
      </c>
      <c r="F2977" s="946"/>
      <c r="G2977" s="78"/>
      <c r="H2977" t="e">
        <f>VLOOKUP(B2977,indexy!$A$44:$D$232,3,FALSE)</f>
        <v>#N/A</v>
      </c>
      <c r="I2977" s="171"/>
      <c r="J2977" s="39"/>
      <c r="K2977" s="39"/>
    </row>
    <row r="2978" spans="1:11" hidden="1" outlineLevel="1" x14ac:dyDescent="0.25">
      <c r="A2978" s="739">
        <v>0.05</v>
      </c>
      <c r="B2978" s="996" t="s">
        <v>161</v>
      </c>
      <c r="C2978" s="809">
        <v>643600</v>
      </c>
      <c r="D2978" s="908">
        <v>712300</v>
      </c>
      <c r="E2978" s="709">
        <f t="shared" si="99"/>
        <v>0.10674331883157251</v>
      </c>
      <c r="F2978" s="946"/>
      <c r="G2978" s="78"/>
      <c r="H2978" t="e">
        <f>VLOOKUP(B2978,indexy!$A$44:$D$232,3,FALSE)</f>
        <v>#N/A</v>
      </c>
      <c r="I2978" s="171"/>
      <c r="J2978" s="39"/>
      <c r="K2978" s="39"/>
    </row>
    <row r="2979" spans="1:11" hidden="1" outlineLevel="1" x14ac:dyDescent="0.25">
      <c r="A2979" s="739">
        <v>0.05</v>
      </c>
      <c r="B2979" s="996" t="s">
        <v>583</v>
      </c>
      <c r="C2979" s="809">
        <f>3.95*100</f>
        <v>395</v>
      </c>
      <c r="D2979" s="908">
        <v>419.9</v>
      </c>
      <c r="E2979" s="709">
        <f t="shared" si="99"/>
        <v>6.3037974683544329E-2</v>
      </c>
      <c r="F2979" s="946"/>
      <c r="G2979" s="78"/>
      <c r="H2979" t="str">
        <f>VLOOKUP(B2979,indexy!$A$44:$D$232,3,FALSE)</f>
        <v>TSCO LN Equity</v>
      </c>
      <c r="I2979" s="171"/>
      <c r="J2979" s="39"/>
      <c r="K2979" s="39"/>
    </row>
    <row r="2980" spans="1:11" hidden="1" outlineLevel="1" x14ac:dyDescent="0.25">
      <c r="A2980" s="739">
        <v>0.05</v>
      </c>
      <c r="B2980" s="996" t="s">
        <v>2630</v>
      </c>
      <c r="C2980" s="809">
        <v>19.765999999999998</v>
      </c>
      <c r="D2980" s="908">
        <v>14.164999999999999</v>
      </c>
      <c r="E2980" s="709">
        <f t="shared" si="99"/>
        <v>-0.2833653748861682</v>
      </c>
      <c r="F2980" s="946"/>
      <c r="G2980" s="78"/>
      <c r="H2980" t="e">
        <f>VLOOKUP(B2980,indexy!$A$44:$D$232,3,FALSE)</f>
        <v>#N/A</v>
      </c>
      <c r="I2980" s="171"/>
      <c r="J2980" s="39"/>
      <c r="K2980" s="39"/>
    </row>
    <row r="2981" spans="1:11" hidden="1" outlineLevel="1" x14ac:dyDescent="0.25">
      <c r="A2981" s="739">
        <v>0.05</v>
      </c>
      <c r="B2981" s="996" t="s">
        <v>157</v>
      </c>
      <c r="C2981" s="809">
        <v>13.861000000000001</v>
      </c>
      <c r="D2981" s="908">
        <v>13.507999999999999</v>
      </c>
      <c r="E2981" s="709">
        <f t="shared" si="99"/>
        <v>-2.5467138013130497E-2</v>
      </c>
      <c r="F2981" s="946"/>
      <c r="G2981" s="78"/>
      <c r="H2981" t="str">
        <f>VLOOKUP(B2981,indexy!$A$44:$D$232,3,FALSE)</f>
        <v>SAN SM Equity</v>
      </c>
      <c r="I2981" s="171"/>
      <c r="J2981" s="39"/>
      <c r="K2981" s="39"/>
    </row>
    <row r="2982" spans="1:11" hidden="1" outlineLevel="1" x14ac:dyDescent="0.25">
      <c r="A2982" s="739">
        <v>0.05</v>
      </c>
      <c r="B2982" s="996" t="s">
        <v>1001</v>
      </c>
      <c r="C2982" s="809">
        <v>29.497</v>
      </c>
      <c r="D2982" s="908">
        <v>28.625</v>
      </c>
      <c r="E2982" s="709">
        <f t="shared" si="99"/>
        <v>-2.9562328372376823E-2</v>
      </c>
      <c r="F2982" s="946"/>
      <c r="G2982" s="78"/>
      <c r="H2982" t="str">
        <f>VLOOKUP(B2982,indexy!$A$44:$D$232,3,FALSE)</f>
        <v>MSFT UW Equity</v>
      </c>
      <c r="I2982" s="171"/>
      <c r="J2982" s="39"/>
      <c r="K2982" s="39"/>
    </row>
    <row r="2983" spans="1:11" hidden="1" outlineLevel="1" x14ac:dyDescent="0.25">
      <c r="A2983" s="739">
        <v>0.05</v>
      </c>
      <c r="B2983" s="996" t="s">
        <v>158</v>
      </c>
      <c r="C2983" s="809">
        <v>26.83</v>
      </c>
      <c r="D2983" s="908">
        <v>25.884</v>
      </c>
      <c r="E2983" s="709">
        <f t="shared" si="99"/>
        <v>-3.5259038389861996E-2</v>
      </c>
      <c r="F2983" s="946"/>
      <c r="G2983" s="78"/>
      <c r="H2983" t="str">
        <f>VLOOKUP(B2983,indexy!$A$44:$D$232,3,FALSE)</f>
        <v>CSCO UQ Equity</v>
      </c>
      <c r="I2983" s="171"/>
      <c r="J2983" s="39"/>
      <c r="K2983" s="39"/>
    </row>
    <row r="2984" spans="1:11" hidden="1" outlineLevel="1" x14ac:dyDescent="0.25">
      <c r="A2984" s="739">
        <v>0.05</v>
      </c>
      <c r="B2984" s="996" t="s">
        <v>1206</v>
      </c>
      <c r="C2984" s="809">
        <f>158.848/4</f>
        <v>39.712000000000003</v>
      </c>
      <c r="D2984" s="908">
        <v>33.969000000000001</v>
      </c>
      <c r="E2984" s="709">
        <f t="shared" si="99"/>
        <v>-0.14461623690572123</v>
      </c>
      <c r="F2984" s="946"/>
      <c r="G2984" s="78"/>
      <c r="H2984" t="str">
        <f>VLOOKUP(B2984,indexy!$A$44:$D$232,3,FALSE)</f>
        <v>SAP GY Equity</v>
      </c>
      <c r="I2984" s="171"/>
      <c r="J2984" s="39"/>
      <c r="K2984" s="39"/>
    </row>
    <row r="2985" spans="1:11" hidden="1" outlineLevel="1" x14ac:dyDescent="0.25">
      <c r="A2985" s="739">
        <v>0.05</v>
      </c>
      <c r="B2985" s="996" t="s">
        <v>163</v>
      </c>
      <c r="C2985" s="809">
        <v>20.411000000000001</v>
      </c>
      <c r="D2985" s="908">
        <v>16.181999999999999</v>
      </c>
      <c r="E2985" s="504">
        <f t="shared" si="99"/>
        <v>-0.20719220028416063</v>
      </c>
      <c r="F2985" s="3827" t="s">
        <v>695</v>
      </c>
      <c r="G2985" s="78"/>
      <c r="H2985" t="str">
        <f>VLOOKUP(B2985,indexy!$A$44:$D$232,3,FALSE)</f>
        <v>TWX UN Equity</v>
      </c>
      <c r="I2985" s="171"/>
      <c r="J2985" s="39"/>
      <c r="K2985" s="39"/>
    </row>
    <row r="2986" spans="1:11" hidden="1" outlineLevel="1" x14ac:dyDescent="0.25">
      <c r="A2986" s="739">
        <v>0.05</v>
      </c>
      <c r="B2986" s="996" t="s">
        <v>3551</v>
      </c>
      <c r="C2986" s="809">
        <v>6936</v>
      </c>
      <c r="D2986" s="908">
        <v>5215</v>
      </c>
      <c r="E2986" s="504">
        <f t="shared" si="99"/>
        <v>-0.24812572087658591</v>
      </c>
      <c r="F2986" s="3828"/>
      <c r="G2986" s="78"/>
      <c r="H2986" t="str">
        <f>VLOOKUP(B2986,indexy!$A$44:$D$232,3,FALSE)</f>
        <v>7203 JT Equity</v>
      </c>
      <c r="I2986" s="171"/>
      <c r="J2986" s="39"/>
      <c r="K2986" s="39"/>
    </row>
    <row r="2987" spans="1:11" hidden="1" outlineLevel="1" x14ac:dyDescent="0.25">
      <c r="A2987" s="739">
        <v>0.05</v>
      </c>
      <c r="B2987" s="996" t="s">
        <v>1414</v>
      </c>
      <c r="C2987" s="809">
        <v>26.722000000000001</v>
      </c>
      <c r="D2987" s="908">
        <v>19.702000000000002</v>
      </c>
      <c r="E2987" s="504">
        <f t="shared" si="99"/>
        <v>-0.26270488735873065</v>
      </c>
      <c r="F2987" s="3828"/>
      <c r="G2987" s="78"/>
      <c r="H2987" t="str">
        <f>VLOOKUP(B2987,indexy!$A$44:$D$232,3,FALSE)</f>
        <v>PFE UN Equity</v>
      </c>
      <c r="I2987" s="171"/>
      <c r="J2987" s="39"/>
      <c r="K2987" s="39"/>
    </row>
    <row r="2988" spans="1:11" hidden="1" outlineLevel="1" x14ac:dyDescent="0.25">
      <c r="A2988" s="739">
        <v>0.05</v>
      </c>
      <c r="B2988" s="996" t="s">
        <v>160</v>
      </c>
      <c r="C2988" s="809">
        <v>27.204999999999998</v>
      </c>
      <c r="D2988" s="908">
        <v>16.138000000000002</v>
      </c>
      <c r="E2988" s="504">
        <f t="shared" si="99"/>
        <v>-0.40680022054769338</v>
      </c>
      <c r="F2988" s="3828"/>
      <c r="G2988" s="78"/>
      <c r="H2988" t="str">
        <f>VLOOKUP(B2988,indexy!$A$44:$D$232,3,FALSE)</f>
        <v>ERICB SS Equity</v>
      </c>
      <c r="I2988" s="171"/>
      <c r="J2988" s="39"/>
      <c r="K2988" s="39"/>
    </row>
    <row r="2989" spans="1:11" hidden="1" outlineLevel="1" x14ac:dyDescent="0.25">
      <c r="A2989" s="739">
        <v>0.05</v>
      </c>
      <c r="B2989" s="997" t="s">
        <v>2397</v>
      </c>
      <c r="C2989" s="810">
        <v>22.036999999999999</v>
      </c>
      <c r="D2989" s="715">
        <v>9.4969999999999999</v>
      </c>
      <c r="E2989" s="504">
        <f t="shared" si="99"/>
        <v>-0.56904297318146746</v>
      </c>
      <c r="F2989" s="3828"/>
      <c r="G2989" s="78"/>
      <c r="H2989" t="str">
        <f>VLOOKUP(B2989,indexy!$A$44:$D$232,3,FALSE)</f>
        <v>MSI UN Equity</v>
      </c>
      <c r="I2989" s="171"/>
      <c r="J2989" s="39"/>
      <c r="K2989" s="39"/>
    </row>
    <row r="2990" spans="1:11" hidden="1" outlineLevel="1" x14ac:dyDescent="0.25">
      <c r="A2990" s="717"/>
      <c r="B2990" s="718"/>
      <c r="C2990" s="719"/>
      <c r="D2990" s="816"/>
      <c r="E2990" s="998" t="s">
        <v>694</v>
      </c>
      <c r="F2990" s="934">
        <v>-0.28220000000000001</v>
      </c>
      <c r="G2990" s="78"/>
      <c r="H2990" s="21"/>
      <c r="J2990" s="39"/>
      <c r="K2990" s="39"/>
    </row>
    <row r="2991" spans="1:11" ht="12" customHeight="1" collapsed="1" x14ac:dyDescent="0.25">
      <c r="A2991" s="3801" t="s">
        <v>2616</v>
      </c>
      <c r="B2991" s="3802"/>
      <c r="C2991" s="3802"/>
      <c r="D2991" s="3802"/>
      <c r="E2991" s="721" t="s">
        <v>693</v>
      </c>
      <c r="F2991" s="722">
        <v>0</v>
      </c>
      <c r="G2991" s="175" t="s">
        <v>781</v>
      </c>
      <c r="H2991" s="21"/>
    </row>
    <row r="2992" spans="1:11" x14ac:dyDescent="0.25">
      <c r="A2992" s="1"/>
      <c r="B2992" s="1"/>
      <c r="C2992" s="1"/>
      <c r="D2992" s="1"/>
      <c r="E2992" s="1"/>
      <c r="F2992" s="1848"/>
      <c r="G2992" s="78"/>
      <c r="H2992" s="21"/>
    </row>
    <row r="2993" spans="1:12" hidden="1" outlineLevel="1" x14ac:dyDescent="0.25">
      <c r="A2993" s="689" t="s">
        <v>113</v>
      </c>
      <c r="B2993" s="689" t="s">
        <v>114</v>
      </c>
      <c r="C2993" s="689" t="s">
        <v>112</v>
      </c>
      <c r="D2993" s="689" t="s">
        <v>116</v>
      </c>
      <c r="E2993" s="689" t="s">
        <v>117</v>
      </c>
      <c r="F2993" s="1188" t="s">
        <v>121</v>
      </c>
      <c r="G2993" s="78"/>
      <c r="H2993" s="21"/>
    </row>
    <row r="2994" spans="1:12" hidden="1" outlineLevel="1" x14ac:dyDescent="0.25">
      <c r="A2994" s="690">
        <v>1</v>
      </c>
      <c r="B2994" s="691" t="s">
        <v>252</v>
      </c>
      <c r="C2994" s="692">
        <v>100</v>
      </c>
      <c r="D2994" s="692"/>
      <c r="E2994" s="693"/>
      <c r="F2994" s="694"/>
      <c r="G2994" s="78"/>
    </row>
    <row r="2995" spans="1:12" hidden="1" outlineLevel="1" x14ac:dyDescent="0.25">
      <c r="A2995" s="695"/>
      <c r="B2995" s="695"/>
      <c r="C2995" s="696"/>
      <c r="D2995" s="697" t="s">
        <v>3702</v>
      </c>
      <c r="E2995" s="698">
        <v>40512</v>
      </c>
      <c r="F2995" s="699"/>
      <c r="G2995" s="78"/>
      <c r="H2995" s="110"/>
    </row>
    <row r="2996" spans="1:12" hidden="1" outlineLevel="1" x14ac:dyDescent="0.25">
      <c r="A2996" s="689" t="s">
        <v>4156</v>
      </c>
      <c r="B2996" s="689" t="s">
        <v>4153</v>
      </c>
      <c r="C2996" s="497" t="s">
        <v>112</v>
      </c>
      <c r="D2996" s="495" t="s">
        <v>116</v>
      </c>
      <c r="E2996" s="689" t="s">
        <v>4154</v>
      </c>
      <c r="F2996" s="1021" t="s">
        <v>2519</v>
      </c>
      <c r="G2996" s="78"/>
      <c r="H2996" s="132"/>
      <c r="K2996" s="21"/>
      <c r="L2996" s="21"/>
    </row>
    <row r="2997" spans="1:12" hidden="1" outlineLevel="1" x14ac:dyDescent="0.25">
      <c r="A2997" s="999">
        <v>0.03</v>
      </c>
      <c r="B2997" s="1000" t="s">
        <v>1384</v>
      </c>
      <c r="C2997" s="1001">
        <v>13.733000000000001</v>
      </c>
      <c r="D2997" s="803">
        <v>4.2329999999999997</v>
      </c>
      <c r="E2997" s="705">
        <f>D2997/C2997-1</f>
        <v>-0.6917643632126993</v>
      </c>
      <c r="F2997" s="1021">
        <f>E2997*A2997</f>
        <v>-2.0752930896380979E-2</v>
      </c>
      <c r="G2997" s="78"/>
      <c r="H2997" t="str">
        <f>VLOOKUP(B2997,indexy!$A$44:$D$823,3,FALSE)</f>
        <v>AGN NA Equity</v>
      </c>
      <c r="K2997" s="21"/>
      <c r="L2997" s="21"/>
    </row>
    <row r="2998" spans="1:12" hidden="1" outlineLevel="1" x14ac:dyDescent="0.25">
      <c r="A2998" s="1002">
        <v>0.02</v>
      </c>
      <c r="B2998" s="996" t="s">
        <v>1343</v>
      </c>
      <c r="C2998" s="1003">
        <v>1630</v>
      </c>
      <c r="D2998" s="908">
        <v>1886</v>
      </c>
      <c r="E2998" s="709">
        <f t="shared" ref="E2998:E3026" si="100">D2998/C2998-1</f>
        <v>0.15705521472392636</v>
      </c>
      <c r="F2998" s="946">
        <f t="shared" ref="F2998:F3026" si="101">E2998*A2998</f>
        <v>3.1411042944785271E-3</v>
      </c>
      <c r="G2998" s="78"/>
      <c r="H2998" t="str">
        <f>VLOOKUP(B2998,indexy!$A$44:$D$823,3,FALSE)</f>
        <v>IMB LN Equity</v>
      </c>
      <c r="K2998" s="302"/>
      <c r="L2998" s="21"/>
    </row>
    <row r="2999" spans="1:12" hidden="1" outlineLevel="1" x14ac:dyDescent="0.25">
      <c r="A2999" s="1002">
        <v>0.03</v>
      </c>
      <c r="B2999" s="996" t="s">
        <v>1993</v>
      </c>
      <c r="C2999" s="1003">
        <v>63.31</v>
      </c>
      <c r="D2999" s="908">
        <f>24+56.89</f>
        <v>80.89</v>
      </c>
      <c r="E2999" s="709">
        <f t="shared" si="100"/>
        <v>0.27768125098720575</v>
      </c>
      <c r="F2999" s="946">
        <f t="shared" si="101"/>
        <v>8.3304375296161717E-3</v>
      </c>
      <c r="G2999" s="78"/>
      <c r="H2999" t="str">
        <f>VLOOKUP(B2999,indexy!$A$44:$D$823,3,FALSE)</f>
        <v>MO UN Equity</v>
      </c>
      <c r="I2999" s="39" t="s">
        <v>3533</v>
      </c>
      <c r="K2999" s="302"/>
      <c r="L2999" s="21"/>
    </row>
    <row r="3000" spans="1:12" hidden="1" outlineLevel="1" x14ac:dyDescent="0.25">
      <c r="A3000" s="1002">
        <v>0.03</v>
      </c>
      <c r="B3000" s="996" t="s">
        <v>1210</v>
      </c>
      <c r="C3000" s="1003">
        <f>16.379*0.635714</f>
        <v>10.412359606000001</v>
      </c>
      <c r="D3000" s="908">
        <v>0.313</v>
      </c>
      <c r="E3000" s="709">
        <f t="shared" si="100"/>
        <v>-0.96993957067909586</v>
      </c>
      <c r="F3000" s="946">
        <f t="shared" si="101"/>
        <v>-2.9098187120372876E-2</v>
      </c>
      <c r="G3000" s="78"/>
      <c r="H3000" t="e">
        <f>VLOOKUP(B3000,indexy!$A$44:$D$823,3,FALSE)</f>
        <v>#N/A</v>
      </c>
      <c r="I3000">
        <f>C2998*0.4865</f>
        <v>792.995</v>
      </c>
      <c r="K3000" s="302"/>
      <c r="L3000" s="21"/>
    </row>
    <row r="3001" spans="1:12" hidden="1" outlineLevel="1" x14ac:dyDescent="0.25">
      <c r="A3001" s="1002">
        <v>0.02</v>
      </c>
      <c r="B3001" s="996" t="s">
        <v>3019</v>
      </c>
      <c r="C3001" s="1003">
        <v>78.790000000000006</v>
      </c>
      <c r="D3001" s="908">
        <v>45.6</v>
      </c>
      <c r="E3001" s="709">
        <f t="shared" si="100"/>
        <v>-0.42124635105977914</v>
      </c>
      <c r="F3001" s="946">
        <f t="shared" si="101"/>
        <v>-8.4249270211955839E-3</v>
      </c>
      <c r="G3001" s="78"/>
      <c r="H3001" t="str">
        <f>VLOOKUP(B3001,indexy!$A$44:$D$823,3,FALSE)</f>
        <v>BNP FP Equity</v>
      </c>
      <c r="K3001" s="302"/>
      <c r="L3001" s="21"/>
    </row>
    <row r="3002" spans="1:12" hidden="1" outlineLevel="1" x14ac:dyDescent="0.25">
      <c r="A3002" s="1002">
        <v>0.03</v>
      </c>
      <c r="B3002" s="996" t="s">
        <v>1847</v>
      </c>
      <c r="C3002" s="1003">
        <v>50.512</v>
      </c>
      <c r="D3002" s="908">
        <v>4.2</v>
      </c>
      <c r="E3002" s="709">
        <f t="shared" si="100"/>
        <v>-0.91685144124168516</v>
      </c>
      <c r="F3002" s="946">
        <f t="shared" si="101"/>
        <v>-2.7505543237250553E-2</v>
      </c>
      <c r="G3002" s="78"/>
      <c r="H3002" t="str">
        <f>VLOOKUP(B3002,indexy!$A$44:$D$823,3,FALSE)</f>
        <v>C UN Equity</v>
      </c>
      <c r="K3002" s="21"/>
      <c r="L3002" s="21"/>
    </row>
    <row r="3003" spans="1:12" hidden="1" outlineLevel="1" x14ac:dyDescent="0.25">
      <c r="A3003" s="1002">
        <v>0.03</v>
      </c>
      <c r="B3003" s="996" t="s">
        <v>4025</v>
      </c>
      <c r="C3003" s="1003">
        <v>44.213999999999999</v>
      </c>
      <c r="D3003" s="908">
        <v>49.87</v>
      </c>
      <c r="E3003" s="709">
        <f t="shared" si="100"/>
        <v>0.12792328221830185</v>
      </c>
      <c r="F3003" s="946">
        <f t="shared" si="101"/>
        <v>3.8376984665490551E-3</v>
      </c>
      <c r="G3003" s="78"/>
      <c r="H3003" t="str">
        <f>VLOOKUP(B3003,indexy!$A$44:$D$823,3,FALSE)</f>
        <v>MBG GR Equity</v>
      </c>
      <c r="K3003" s="21"/>
      <c r="L3003" s="21"/>
    </row>
    <row r="3004" spans="1:12" hidden="1" outlineLevel="1" x14ac:dyDescent="0.25">
      <c r="A3004" s="1002">
        <v>0.04</v>
      </c>
      <c r="B3004" s="996" t="s">
        <v>3406</v>
      </c>
      <c r="C3004" s="1003">
        <f>9.8035*100</f>
        <v>980.34999999999991</v>
      </c>
      <c r="D3004" s="908">
        <v>1144</v>
      </c>
      <c r="E3004" s="709">
        <f t="shared" si="100"/>
        <v>0.16693017799765397</v>
      </c>
      <c r="F3004" s="946">
        <f t="shared" si="101"/>
        <v>6.6772071199061589E-3</v>
      </c>
      <c r="G3004" s="78"/>
      <c r="H3004" t="str">
        <f>VLOOKUP(B3004,indexy!$A$44:$D$823,3,FALSE)</f>
        <v>DGE LN Equity</v>
      </c>
      <c r="K3004" s="21"/>
      <c r="L3004" s="21"/>
    </row>
    <row r="3005" spans="1:12" hidden="1" outlineLevel="1" x14ac:dyDescent="0.25">
      <c r="A3005" s="1002">
        <v>0.04</v>
      </c>
      <c r="B3005" s="996" t="s">
        <v>4387</v>
      </c>
      <c r="C3005" s="1003">
        <f>97.737/3</f>
        <v>32.579000000000001</v>
      </c>
      <c r="D3005" s="908">
        <v>22.105</v>
      </c>
      <c r="E3005" s="709">
        <f t="shared" si="100"/>
        <v>-0.32149544184904388</v>
      </c>
      <c r="F3005" s="946">
        <f t="shared" si="101"/>
        <v>-1.2859817673961755E-2</v>
      </c>
      <c r="G3005" s="78"/>
      <c r="H3005" t="str">
        <f>VLOOKUP(B3005,indexy!$A$44:$D$823,3,FALSE)</f>
        <v>EOAN GY Equity</v>
      </c>
      <c r="K3005" s="302"/>
      <c r="L3005" s="21"/>
    </row>
    <row r="3006" spans="1:12" hidden="1" outlineLevel="1" x14ac:dyDescent="0.25">
      <c r="A3006" s="1002">
        <v>0.05</v>
      </c>
      <c r="B3006" s="996" t="s">
        <v>3798</v>
      </c>
      <c r="C3006" s="1003">
        <v>6.7880000000000003</v>
      </c>
      <c r="D3006" s="908">
        <v>3.62</v>
      </c>
      <c r="E3006" s="709">
        <f t="shared" si="100"/>
        <v>-0.46670595167943429</v>
      </c>
      <c r="F3006" s="946">
        <f t="shared" si="101"/>
        <v>-2.3335297583971716E-2</v>
      </c>
      <c r="G3006" s="78"/>
      <c r="H3006" t="str">
        <f>VLOOKUP(B3006,indexy!$A$44:$D$823,3,FALSE)</f>
        <v>ENEL IM Equity</v>
      </c>
      <c r="K3006" s="302"/>
      <c r="L3006" s="21"/>
    </row>
    <row r="3007" spans="1:12" hidden="1" outlineLevel="1" x14ac:dyDescent="0.25">
      <c r="A3007" s="1002">
        <v>0.05</v>
      </c>
      <c r="B3007" s="996" t="s">
        <v>1176</v>
      </c>
      <c r="C3007" s="1003">
        <v>25.8</v>
      </c>
      <c r="D3007" s="908">
        <v>1.76</v>
      </c>
      <c r="E3007" s="709">
        <f t="shared" si="100"/>
        <v>-0.93178294573643416</v>
      </c>
      <c r="F3007" s="946">
        <f t="shared" si="101"/>
        <v>-4.658914728682171E-2</v>
      </c>
      <c r="G3007" s="78"/>
      <c r="H3007" t="str">
        <f>VLOOKUP(B3007,indexy!$A$44:$D$823,3,FALSE)</f>
        <v>AGS BB Equity</v>
      </c>
      <c r="K3007" s="302"/>
      <c r="L3007" s="21"/>
    </row>
    <row r="3008" spans="1:12" hidden="1" outlineLevel="1" x14ac:dyDescent="0.25">
      <c r="A3008" s="1002">
        <v>0.05</v>
      </c>
      <c r="B3008" s="996" t="s">
        <v>3799</v>
      </c>
      <c r="C3008" s="1003">
        <f>13.46*100</f>
        <v>1346</v>
      </c>
      <c r="D3008" s="908">
        <v>1212</v>
      </c>
      <c r="E3008" s="709">
        <f t="shared" si="100"/>
        <v>-9.9554234769687944E-2</v>
      </c>
      <c r="F3008" s="946">
        <f t="shared" si="101"/>
        <v>-4.9777117384843979E-3</v>
      </c>
      <c r="G3008" s="78"/>
      <c r="H3008" t="str">
        <f>VLOOKUP(B3008,indexy!$A$44:$D$823,3,FALSE)</f>
        <v>GSK LN Equity</v>
      </c>
      <c r="K3008" s="21"/>
      <c r="L3008" s="21"/>
    </row>
    <row r="3009" spans="1:12" hidden="1" outlineLevel="1" x14ac:dyDescent="0.25">
      <c r="A3009" s="1002">
        <v>0.04</v>
      </c>
      <c r="B3009" s="996" t="s">
        <v>1771</v>
      </c>
      <c r="C3009" s="1003">
        <v>810.17</v>
      </c>
      <c r="D3009" s="908">
        <v>648.29999999999995</v>
      </c>
      <c r="E3009" s="709">
        <f t="shared" si="100"/>
        <v>-0.19979757334880333</v>
      </c>
      <c r="F3009" s="946">
        <f t="shared" si="101"/>
        <v>-7.991902933952133E-3</v>
      </c>
      <c r="G3009" s="78"/>
      <c r="H3009" t="str">
        <f>VLOOKUP(B3009,indexy!$A$44:$D$823,3,FALSE)</f>
        <v>HSBA LN Equity</v>
      </c>
      <c r="K3009" s="302"/>
      <c r="L3009" s="21"/>
    </row>
    <row r="3010" spans="1:12" hidden="1" outlineLevel="1" x14ac:dyDescent="0.25">
      <c r="A3010" s="1002">
        <v>0.03</v>
      </c>
      <c r="B3010" s="996" t="s">
        <v>1031</v>
      </c>
      <c r="C3010" s="1003">
        <v>8.3264999999999993</v>
      </c>
      <c r="D3010" s="908">
        <v>5.2949999999999999</v>
      </c>
      <c r="E3010" s="709">
        <f t="shared" si="100"/>
        <v>-0.36407854440641318</v>
      </c>
      <c r="F3010" s="946">
        <f t="shared" si="101"/>
        <v>-1.0922356332192395E-2</v>
      </c>
      <c r="G3010" s="78"/>
      <c r="H3010" t="str">
        <f>VLOOKUP(B3010,indexy!$A$44:$D$823,3,FALSE)</f>
        <v>IBE SQ Equity</v>
      </c>
      <c r="K3010" s="302"/>
      <c r="L3010" s="21"/>
    </row>
    <row r="3011" spans="1:12" hidden="1" outlineLevel="1" x14ac:dyDescent="0.25">
      <c r="A3011" s="1002">
        <v>0.02</v>
      </c>
      <c r="B3011" s="996" t="s">
        <v>2588</v>
      </c>
      <c r="C3011" s="1003">
        <v>24.48</v>
      </c>
      <c r="D3011" s="908">
        <v>6.8019999999999996</v>
      </c>
      <c r="E3011" s="709">
        <f t="shared" si="100"/>
        <v>-0.72214052287581709</v>
      </c>
      <c r="F3011" s="946">
        <f t="shared" si="101"/>
        <v>-1.4442810457516343E-2</v>
      </c>
      <c r="G3011" s="78"/>
      <c r="H3011" t="str">
        <f>VLOOKUP(B3011,indexy!$A$44:$D$823,3,FALSE)</f>
        <v>INGA NA Equity</v>
      </c>
      <c r="K3011" s="302"/>
      <c r="L3011" s="21"/>
    </row>
    <row r="3012" spans="1:12" hidden="1" outlineLevel="1" x14ac:dyDescent="0.25">
      <c r="A3012" s="1002">
        <v>0.03</v>
      </c>
      <c r="B3012" s="996" t="s">
        <v>1526</v>
      </c>
      <c r="C3012" s="1003">
        <v>87.6</v>
      </c>
      <c r="D3012" s="908">
        <v>27.024999999999999</v>
      </c>
      <c r="E3012" s="709">
        <f t="shared" si="100"/>
        <v>-0.69149543378995437</v>
      </c>
      <c r="F3012" s="946">
        <f t="shared" si="101"/>
        <v>-2.0744863013698631E-2</v>
      </c>
      <c r="G3012" s="78"/>
      <c r="H3012" t="str">
        <f>VLOOKUP(B3012,indexy!$A$44:$D$823,3,FALSE)</f>
        <v>KBC BB Equity</v>
      </c>
      <c r="K3012" s="21"/>
      <c r="L3012" s="21"/>
    </row>
    <row r="3013" spans="1:12" hidden="1" outlineLevel="1" x14ac:dyDescent="0.25">
      <c r="A3013" s="1002">
        <v>0.02</v>
      </c>
      <c r="B3013" s="996" t="s">
        <v>2787</v>
      </c>
      <c r="C3013" s="1003">
        <v>69.375</v>
      </c>
      <c r="D3013" s="908">
        <v>53.25</v>
      </c>
      <c r="E3013" s="709">
        <f t="shared" si="100"/>
        <v>-0.23243243243243239</v>
      </c>
      <c r="F3013" s="946">
        <f t="shared" si="101"/>
        <v>-4.6486486486486478E-3</v>
      </c>
      <c r="G3013" s="78"/>
      <c r="H3013" t="str">
        <f>VLOOKUP(B3013,indexy!$A$44:$D$823,3,FALSE)</f>
        <v>NOVN SE Equity</v>
      </c>
      <c r="K3013" s="21"/>
      <c r="L3013" s="21"/>
    </row>
    <row r="3014" spans="1:12" hidden="1" outlineLevel="1" x14ac:dyDescent="0.25">
      <c r="A3014" s="1002">
        <v>0.04</v>
      </c>
      <c r="B3014" s="996" t="s">
        <v>3424</v>
      </c>
      <c r="C3014" s="1003">
        <f>64.963/2</f>
        <v>32.481499999999997</v>
      </c>
      <c r="D3014" s="908">
        <v>30.94</v>
      </c>
      <c r="E3014" s="709">
        <f t="shared" si="100"/>
        <v>-4.7457783661468689E-2</v>
      </c>
      <c r="F3014" s="946">
        <f t="shared" si="101"/>
        <v>-1.8983113464587475E-3</v>
      </c>
      <c r="G3014" s="78"/>
      <c r="H3014" t="str">
        <f>VLOOKUP(B3014,indexy!$A$44:$D$823,3,FALSE)</f>
        <v>RAI UN Equity</v>
      </c>
      <c r="K3014" s="302"/>
      <c r="L3014" s="21"/>
    </row>
    <row r="3015" spans="1:12" hidden="1" outlineLevel="1" x14ac:dyDescent="0.25">
      <c r="A3015" s="1002">
        <v>0.03</v>
      </c>
      <c r="B3015" s="996" t="s">
        <v>3800</v>
      </c>
      <c r="C3015" s="1003">
        <v>214.32</v>
      </c>
      <c r="D3015" s="908">
        <v>137.80000000000001</v>
      </c>
      <c r="E3015" s="709">
        <f t="shared" si="100"/>
        <v>-0.35703620754012688</v>
      </c>
      <c r="F3015" s="946">
        <f t="shared" si="101"/>
        <v>-1.0711086226203806E-2</v>
      </c>
      <c r="G3015" s="78"/>
      <c r="H3015" t="str">
        <f>VLOOKUP(B3015,indexy!$A$44:$D$823,3,FALSE)</f>
        <v>ROG SE Equity</v>
      </c>
      <c r="K3015" s="21"/>
      <c r="L3015" s="21"/>
    </row>
    <row r="3016" spans="1:12" hidden="1" outlineLevel="1" x14ac:dyDescent="0.25">
      <c r="A3016" s="1002">
        <v>0.03</v>
      </c>
      <c r="B3016" s="996" t="s">
        <v>3801</v>
      </c>
      <c r="C3016" s="1003">
        <v>86.76</v>
      </c>
      <c r="D3016" s="908">
        <v>47.96</v>
      </c>
      <c r="E3016" s="709">
        <f t="shared" si="100"/>
        <v>-0.44721069617335185</v>
      </c>
      <c r="F3016" s="946">
        <f t="shared" si="101"/>
        <v>-1.3416320885200556E-2</v>
      </c>
      <c r="G3016" s="78"/>
      <c r="H3016" t="str">
        <f>VLOOKUP(B3016,indexy!$A$44:$D$823,3,FALSE)</f>
        <v>RWE GY Equity</v>
      </c>
      <c r="K3016" s="21"/>
      <c r="L3016" s="21"/>
    </row>
    <row r="3017" spans="1:12" hidden="1" outlineLevel="1" x14ac:dyDescent="0.25">
      <c r="A3017" s="1002">
        <v>0.03</v>
      </c>
      <c r="B3017" s="996" t="s">
        <v>1028</v>
      </c>
      <c r="C3017" s="1003">
        <f>14.743*100</f>
        <v>1474.3</v>
      </c>
      <c r="D3017" s="908">
        <v>1120</v>
      </c>
      <c r="E3017" s="709">
        <f t="shared" si="100"/>
        <v>-0.24031743878450784</v>
      </c>
      <c r="F3017" s="946">
        <f t="shared" si="101"/>
        <v>-7.2095231635352346E-3</v>
      </c>
      <c r="G3017" s="78"/>
      <c r="H3017" t="str">
        <f>VLOOKUP(B3017,indexy!$A$44:$D$823,3,FALSE)</f>
        <v>SSE LN Equity</v>
      </c>
      <c r="K3017" s="21"/>
      <c r="L3017" s="21"/>
    </row>
    <row r="3018" spans="1:12" hidden="1" outlineLevel="1" x14ac:dyDescent="0.25">
      <c r="A3018" s="1002">
        <v>0.03</v>
      </c>
      <c r="B3018" s="996" t="s">
        <v>4460</v>
      </c>
      <c r="C3018" s="1003">
        <f>14.647*100</f>
        <v>1464.7</v>
      </c>
      <c r="D3018" s="908">
        <v>1446</v>
      </c>
      <c r="E3018" s="709">
        <f t="shared" si="100"/>
        <v>-1.2767119546664873E-2</v>
      </c>
      <c r="F3018" s="946">
        <f t="shared" si="101"/>
        <v>-3.8301358639994621E-4</v>
      </c>
      <c r="G3018" s="78"/>
      <c r="H3018" t="str">
        <f>VLOOKUP(B3018,indexy!$A$44:$D$823,3,FALSE)</f>
        <v>SVT LN Equity</v>
      </c>
      <c r="K3018" s="21"/>
      <c r="L3018" s="21"/>
    </row>
    <row r="3019" spans="1:12" hidden="1" outlineLevel="1" x14ac:dyDescent="0.25">
      <c r="A3019" s="1002">
        <v>0.02</v>
      </c>
      <c r="B3019" s="996" t="s">
        <v>578</v>
      </c>
      <c r="C3019" s="1003">
        <v>11.95</v>
      </c>
      <c r="D3019" s="908">
        <v>6.63</v>
      </c>
      <c r="E3019" s="709">
        <f t="shared" si="100"/>
        <v>-0.44518828451882841</v>
      </c>
      <c r="F3019" s="946">
        <f t="shared" si="101"/>
        <v>-8.9037656903765677E-3</v>
      </c>
      <c r="G3019" s="78"/>
      <c r="H3019" t="str">
        <f>VLOOKUP(B3019,indexy!$A$44:$D$823,3,FALSE)</f>
        <v>STERV FH Equity</v>
      </c>
      <c r="K3019" s="21"/>
      <c r="L3019" s="21"/>
    </row>
    <row r="3020" spans="1:12" hidden="1" outlineLevel="1" x14ac:dyDescent="0.25">
      <c r="A3020" s="1002">
        <v>0.05</v>
      </c>
      <c r="B3020" s="996" t="s">
        <v>1527</v>
      </c>
      <c r="C3020" s="1003">
        <v>2.2711999999999999</v>
      </c>
      <c r="D3020" s="908">
        <v>0.94899999999999995</v>
      </c>
      <c r="E3020" s="709">
        <f t="shared" si="100"/>
        <v>-0.58215921098978507</v>
      </c>
      <c r="F3020" s="946">
        <f t="shared" si="101"/>
        <v>-2.9107960549489255E-2</v>
      </c>
      <c r="G3020" s="78"/>
      <c r="H3020" t="str">
        <f>VLOOKUP(B3020,indexy!$A$44:$D$823,3,FALSE)</f>
        <v>TIT IM Equity</v>
      </c>
      <c r="K3020" s="21"/>
      <c r="L3020" s="21"/>
    </row>
    <row r="3021" spans="1:12" hidden="1" outlineLevel="1" x14ac:dyDescent="0.25">
      <c r="A3021" s="1002">
        <v>0.05</v>
      </c>
      <c r="B3021" s="996" t="s">
        <v>577</v>
      </c>
      <c r="C3021" s="1003">
        <v>15.513999999999999</v>
      </c>
      <c r="D3021" s="908">
        <v>16.39</v>
      </c>
      <c r="E3021" s="709">
        <f t="shared" si="100"/>
        <v>5.6465128271238951E-2</v>
      </c>
      <c r="F3021" s="946">
        <f t="shared" si="101"/>
        <v>2.8232564135619478E-3</v>
      </c>
      <c r="G3021" s="78"/>
      <c r="H3021" t="str">
        <f>VLOOKUP(B3021,indexy!$A$44:$D$823,3,FALSE)</f>
        <v>TEF SQ Equity</v>
      </c>
      <c r="K3021" s="21"/>
      <c r="L3021" s="21"/>
    </row>
    <row r="3022" spans="1:12" hidden="1" outlineLevel="1" x14ac:dyDescent="0.25">
      <c r="A3022" s="1002">
        <v>0.04</v>
      </c>
      <c r="B3022" s="996" t="s">
        <v>1183</v>
      </c>
      <c r="C3022" s="1003">
        <v>53.65</v>
      </c>
      <c r="D3022" s="908">
        <v>37.314999999999998</v>
      </c>
      <c r="E3022" s="709">
        <f t="shared" si="100"/>
        <v>-0.30447343895619761</v>
      </c>
      <c r="F3022" s="946">
        <f t="shared" si="101"/>
        <v>-1.2178937558247905E-2</v>
      </c>
      <c r="G3022" s="78"/>
      <c r="H3022" t="e">
        <f>VLOOKUP(B3022,indexy!$A$44:$D$823,3,FALSE)</f>
        <v>#N/A</v>
      </c>
      <c r="K3022" s="21"/>
      <c r="L3022" s="21"/>
    </row>
    <row r="3023" spans="1:12" hidden="1" outlineLevel="1" x14ac:dyDescent="0.25">
      <c r="A3023" s="1002">
        <v>0.02</v>
      </c>
      <c r="B3023" s="996" t="s">
        <v>182</v>
      </c>
      <c r="C3023" s="1003">
        <v>67.37</v>
      </c>
      <c r="D3023" s="908">
        <v>15.03</v>
      </c>
      <c r="E3023" s="709">
        <f t="shared" si="100"/>
        <v>-0.7769036663203206</v>
      </c>
      <c r="F3023" s="946">
        <f t="shared" si="101"/>
        <v>-1.5538073326406412E-2</v>
      </c>
      <c r="G3023" s="78"/>
      <c r="H3023" t="str">
        <f>VLOOKUP(B3023,indexy!$A$44:$D$823,3,FALSE)</f>
        <v>UBS US Equity</v>
      </c>
      <c r="K3023" s="302"/>
      <c r="L3023" s="21"/>
    </row>
    <row r="3024" spans="1:12" hidden="1" outlineLevel="1" x14ac:dyDescent="0.25">
      <c r="A3024" s="1002">
        <v>0.05</v>
      </c>
      <c r="B3024" s="996" t="s">
        <v>507</v>
      </c>
      <c r="C3024" s="1003">
        <v>19.818000000000001</v>
      </c>
      <c r="D3024" s="908">
        <v>21.73</v>
      </c>
      <c r="E3024" s="709">
        <f t="shared" si="100"/>
        <v>9.6477949338984681E-2</v>
      </c>
      <c r="F3024" s="946">
        <f t="shared" si="101"/>
        <v>4.8238974669492342E-3</v>
      </c>
      <c r="G3024" s="78"/>
      <c r="H3024" t="str">
        <f>VLOOKUP(B3024,indexy!$A$44:$D$823,3,FALSE)</f>
        <v>UNA NA Equity</v>
      </c>
      <c r="K3024" s="21"/>
      <c r="L3024" s="21"/>
    </row>
    <row r="3025" spans="1:12" hidden="1" outlineLevel="1" x14ac:dyDescent="0.25">
      <c r="A3025" s="1002">
        <v>0.02</v>
      </c>
      <c r="B3025" s="996" t="s">
        <v>3169</v>
      </c>
      <c r="C3025" s="1003">
        <v>29.135999999999999</v>
      </c>
      <c r="D3025" s="908">
        <v>18.795000000000002</v>
      </c>
      <c r="E3025" s="709">
        <f t="shared" si="100"/>
        <v>-0.35492174629324535</v>
      </c>
      <c r="F3025" s="946">
        <f t="shared" si="101"/>
        <v>-7.0984349258649071E-3</v>
      </c>
      <c r="G3025" s="78"/>
      <c r="H3025" t="str">
        <f>VLOOKUP(B3025,indexy!$A$44:$D$823,3,FALSE)</f>
        <v>VIV FP Equity</v>
      </c>
      <c r="K3025" s="21"/>
      <c r="L3025" s="21"/>
    </row>
    <row r="3026" spans="1:12" hidden="1" outlineLevel="1" x14ac:dyDescent="0.25">
      <c r="A3026" s="1004">
        <v>0.03</v>
      </c>
      <c r="B3026" s="997" t="s">
        <v>580</v>
      </c>
      <c r="C3026" s="1005">
        <v>86.67</v>
      </c>
      <c r="D3026" s="715">
        <v>102.1</v>
      </c>
      <c r="E3026" s="716">
        <f t="shared" si="100"/>
        <v>0.17803161416868574</v>
      </c>
      <c r="F3026" s="1023">
        <f t="shared" si="101"/>
        <v>5.3409484250605717E-3</v>
      </c>
      <c r="G3026" s="78"/>
      <c r="H3026" t="str">
        <f>VLOOKUP(B3026,indexy!$A$44:$D$823,3,FALSE)</f>
        <v>VOLVB SS Equity</v>
      </c>
      <c r="K3026" s="302"/>
      <c r="L3026" s="21"/>
    </row>
    <row r="3027" spans="1:12" hidden="1" outlineLevel="1" x14ac:dyDescent="0.25">
      <c r="A3027" s="749"/>
      <c r="B3027" s="750"/>
      <c r="C3027" s="727"/>
      <c r="D3027" s="727"/>
      <c r="E3027" s="716"/>
      <c r="F3027" s="770">
        <f>SUM(F2997:F3026)</f>
        <v>-0.30376502148650941</v>
      </c>
      <c r="G3027" s="78"/>
      <c r="H3027" s="133"/>
      <c r="K3027" s="21"/>
      <c r="L3027" s="21"/>
    </row>
    <row r="3028" spans="1:12" hidden="1" outlineLevel="1" x14ac:dyDescent="0.25">
      <c r="A3028" s="749"/>
      <c r="B3028" s="750"/>
      <c r="C3028" s="727"/>
      <c r="D3028" s="727"/>
      <c r="E3028" s="716"/>
      <c r="F3028" s="770"/>
      <c r="G3028" s="78"/>
      <c r="H3028" s="133"/>
      <c r="K3028" s="21"/>
      <c r="L3028" s="21"/>
    </row>
    <row r="3029" spans="1:12" hidden="1" outlineLevel="1" x14ac:dyDescent="0.25">
      <c r="A3029" s="689" t="s">
        <v>3875</v>
      </c>
      <c r="B3029" s="985">
        <v>39114</v>
      </c>
      <c r="C3029" s="727">
        <v>100</v>
      </c>
      <c r="D3029" s="727">
        <v>101.6555</v>
      </c>
      <c r="E3029" s="716">
        <f t="shared" ref="E3029:E3044" si="102">D3029/C3029-1</f>
        <v>1.6555000000000097E-2</v>
      </c>
      <c r="F3029" s="731">
        <f>E3029</f>
        <v>1.6555000000000097E-2</v>
      </c>
      <c r="G3029" s="78"/>
      <c r="H3029" s="133"/>
      <c r="K3029" s="21"/>
      <c r="L3029" s="21"/>
    </row>
    <row r="3030" spans="1:12" hidden="1" outlineLevel="1" x14ac:dyDescent="0.25">
      <c r="A3030" s="689" t="s">
        <v>3876</v>
      </c>
      <c r="B3030" s="985">
        <v>39203</v>
      </c>
      <c r="C3030" s="727">
        <v>100</v>
      </c>
      <c r="D3030" s="727">
        <v>110.7073</v>
      </c>
      <c r="E3030" s="716">
        <f t="shared" si="102"/>
        <v>0.10707299999999997</v>
      </c>
      <c r="F3030" s="731">
        <f>E3030</f>
        <v>0.10707299999999997</v>
      </c>
      <c r="G3030" s="78"/>
      <c r="H3030" s="133"/>
      <c r="K3030" s="21"/>
      <c r="L3030" s="21"/>
    </row>
    <row r="3031" spans="1:12" hidden="1" outlineLevel="1" x14ac:dyDescent="0.25">
      <c r="A3031" s="689" t="s">
        <v>3877</v>
      </c>
      <c r="B3031" s="985">
        <v>39295</v>
      </c>
      <c r="C3031" s="727">
        <v>100</v>
      </c>
      <c r="D3031" s="727">
        <v>106.5102</v>
      </c>
      <c r="E3031" s="716">
        <f t="shared" si="102"/>
        <v>6.5101999999999993E-2</v>
      </c>
      <c r="F3031" s="731">
        <f t="shared" ref="F3031:F3044" si="103">E3031</f>
        <v>6.5101999999999993E-2</v>
      </c>
      <c r="G3031" s="78"/>
    </row>
    <row r="3032" spans="1:12" hidden="1" outlineLevel="1" x14ac:dyDescent="0.25">
      <c r="A3032" s="689" t="s">
        <v>3878</v>
      </c>
      <c r="B3032" s="985">
        <v>39387</v>
      </c>
      <c r="C3032" s="696">
        <v>100</v>
      </c>
      <c r="D3032" s="696">
        <v>104.0835</v>
      </c>
      <c r="E3032" s="716">
        <f t="shared" si="102"/>
        <v>4.0834999999999955E-2</v>
      </c>
      <c r="F3032" s="731">
        <f t="shared" si="103"/>
        <v>4.0834999999999955E-2</v>
      </c>
      <c r="G3032" s="78"/>
    </row>
    <row r="3033" spans="1:12" hidden="1" outlineLevel="1" x14ac:dyDescent="0.25">
      <c r="A3033" s="689" t="s">
        <v>3879</v>
      </c>
      <c r="B3033" s="985">
        <v>39479</v>
      </c>
      <c r="C3033" s="727">
        <v>100</v>
      </c>
      <c r="D3033" s="727">
        <v>91.461600000000004</v>
      </c>
      <c r="E3033" s="716">
        <f t="shared" si="102"/>
        <v>-8.5383999999999904E-2</v>
      </c>
      <c r="F3033" s="731">
        <f t="shared" si="103"/>
        <v>-8.5383999999999904E-2</v>
      </c>
      <c r="G3033" s="78"/>
    </row>
    <row r="3034" spans="1:12" hidden="1" outlineLevel="1" x14ac:dyDescent="0.25">
      <c r="A3034" s="689" t="s">
        <v>3880</v>
      </c>
      <c r="B3034" s="985">
        <v>39569</v>
      </c>
      <c r="C3034" s="727">
        <v>100</v>
      </c>
      <c r="D3034" s="727">
        <v>90.704499999999996</v>
      </c>
      <c r="E3034" s="716">
        <f t="shared" si="102"/>
        <v>-9.295500000000001E-2</v>
      </c>
      <c r="F3034" s="731">
        <f t="shared" si="103"/>
        <v>-9.295500000000001E-2</v>
      </c>
      <c r="G3034" s="78"/>
    </row>
    <row r="3035" spans="1:12" hidden="1" outlineLevel="1" x14ac:dyDescent="0.25">
      <c r="A3035" s="689" t="s">
        <v>3881</v>
      </c>
      <c r="B3035" s="1006">
        <v>39661</v>
      </c>
      <c r="C3035" s="696">
        <v>100</v>
      </c>
      <c r="D3035" s="696">
        <v>83.302099999999996</v>
      </c>
      <c r="E3035" s="716">
        <f t="shared" si="102"/>
        <v>-0.16697899999999999</v>
      </c>
      <c r="F3035" s="731">
        <f t="shared" si="103"/>
        <v>-0.16697899999999999</v>
      </c>
      <c r="G3035" s="78"/>
    </row>
    <row r="3036" spans="1:12" hidden="1" outlineLevel="1" x14ac:dyDescent="0.25">
      <c r="A3036" s="689" t="s">
        <v>3614</v>
      </c>
      <c r="B3036" s="985">
        <v>39753</v>
      </c>
      <c r="C3036" s="727">
        <v>100</v>
      </c>
      <c r="D3036" s="727">
        <v>62.8658</v>
      </c>
      <c r="E3036" s="716">
        <f t="shared" si="102"/>
        <v>-0.37134199999999995</v>
      </c>
      <c r="F3036" s="731">
        <f t="shared" si="103"/>
        <v>-0.37134199999999995</v>
      </c>
      <c r="G3036" s="78"/>
    </row>
    <row r="3037" spans="1:12" hidden="1" outlineLevel="1" x14ac:dyDescent="0.25">
      <c r="A3037" s="689" t="s">
        <v>3615</v>
      </c>
      <c r="B3037" s="1006">
        <v>39845</v>
      </c>
      <c r="C3037" s="727">
        <v>100</v>
      </c>
      <c r="D3037" s="727">
        <v>52.6038</v>
      </c>
      <c r="E3037" s="716">
        <f t="shared" si="102"/>
        <v>-0.47396199999999999</v>
      </c>
      <c r="F3037" s="731">
        <f t="shared" si="103"/>
        <v>-0.47396199999999999</v>
      </c>
      <c r="G3037" s="78"/>
    </row>
    <row r="3038" spans="1:12" hidden="1" outlineLevel="1" x14ac:dyDescent="0.25">
      <c r="A3038" s="689" t="s">
        <v>3616</v>
      </c>
      <c r="B3038" s="985">
        <v>39934</v>
      </c>
      <c r="C3038" s="727">
        <v>100</v>
      </c>
      <c r="D3038" s="727">
        <v>62.865699999999997</v>
      </c>
      <c r="E3038" s="716">
        <f t="shared" si="102"/>
        <v>-0.37134299999999998</v>
      </c>
      <c r="F3038" s="731">
        <f t="shared" si="103"/>
        <v>-0.37134299999999998</v>
      </c>
      <c r="G3038" s="78"/>
    </row>
    <row r="3039" spans="1:12" hidden="1" outlineLevel="1" x14ac:dyDescent="0.25">
      <c r="A3039" s="689" t="s">
        <v>3617</v>
      </c>
      <c r="B3039" s="985">
        <v>40026</v>
      </c>
      <c r="C3039" s="727">
        <v>100</v>
      </c>
      <c r="D3039" s="727">
        <v>67.424400000000006</v>
      </c>
      <c r="E3039" s="716">
        <f t="shared" si="102"/>
        <v>-0.32575599999999993</v>
      </c>
      <c r="F3039" s="731">
        <f t="shared" si="103"/>
        <v>-0.32575599999999993</v>
      </c>
      <c r="G3039" s="78"/>
    </row>
    <row r="3040" spans="1:12" hidden="1" outlineLevel="1" x14ac:dyDescent="0.25">
      <c r="A3040" s="689" t="s">
        <v>3618</v>
      </c>
      <c r="B3040" s="985">
        <v>40118</v>
      </c>
      <c r="C3040" s="727">
        <v>100</v>
      </c>
      <c r="D3040" s="727">
        <v>68.636700000000005</v>
      </c>
      <c r="E3040" s="716">
        <f t="shared" si="102"/>
        <v>-0.31363299999999994</v>
      </c>
      <c r="F3040" s="731">
        <f t="shared" si="103"/>
        <v>-0.31363299999999994</v>
      </c>
      <c r="G3040" s="78"/>
    </row>
    <row r="3041" spans="1:9" hidden="1" outlineLevel="1" x14ac:dyDescent="0.25">
      <c r="A3041" s="689" t="s">
        <v>3619</v>
      </c>
      <c r="B3041" s="985">
        <v>40210</v>
      </c>
      <c r="C3041" s="727">
        <v>100</v>
      </c>
      <c r="D3041" s="727">
        <v>68.824200000000005</v>
      </c>
      <c r="E3041" s="716">
        <f t="shared" si="102"/>
        <v>-0.31175799999999998</v>
      </c>
      <c r="F3041" s="731">
        <f t="shared" si="103"/>
        <v>-0.31175799999999998</v>
      </c>
      <c r="G3041" s="78"/>
    </row>
    <row r="3042" spans="1:9" hidden="1" outlineLevel="1" x14ac:dyDescent="0.25">
      <c r="A3042" s="689" t="s">
        <v>599</v>
      </c>
      <c r="B3042" s="985">
        <v>40299</v>
      </c>
      <c r="C3042" s="727">
        <v>100</v>
      </c>
      <c r="D3042" s="727">
        <v>66.77</v>
      </c>
      <c r="E3042" s="716">
        <f t="shared" si="102"/>
        <v>-0.33230000000000004</v>
      </c>
      <c r="F3042" s="731">
        <f t="shared" si="103"/>
        <v>-0.33230000000000004</v>
      </c>
      <c r="G3042" s="78"/>
    </row>
    <row r="3043" spans="1:9" hidden="1" outlineLevel="1" x14ac:dyDescent="0.25">
      <c r="A3043" s="689" t="s">
        <v>600</v>
      </c>
      <c r="B3043" s="985">
        <v>40391</v>
      </c>
      <c r="C3043" s="727">
        <v>100</v>
      </c>
      <c r="D3043" s="727">
        <v>67.926599999999993</v>
      </c>
      <c r="E3043" s="716">
        <f t="shared" si="102"/>
        <v>-0.32073400000000007</v>
      </c>
      <c r="F3043" s="731">
        <f t="shared" si="103"/>
        <v>-0.32073400000000007</v>
      </c>
      <c r="G3043" s="78"/>
      <c r="H3043" t="s">
        <v>1837</v>
      </c>
    </row>
    <row r="3044" spans="1:9" hidden="1" outlineLevel="1" x14ac:dyDescent="0.25">
      <c r="A3044" s="689" t="s">
        <v>601</v>
      </c>
      <c r="B3044" s="985">
        <v>40483</v>
      </c>
      <c r="C3044" s="727">
        <v>100</v>
      </c>
      <c r="D3044" s="727">
        <v>69.622799999999998</v>
      </c>
      <c r="E3044" s="716">
        <f t="shared" si="102"/>
        <v>-0.30377200000000004</v>
      </c>
      <c r="F3044" s="731">
        <f t="shared" si="103"/>
        <v>-0.30377200000000004</v>
      </c>
      <c r="G3044" s="78"/>
      <c r="H3044" s="101">
        <f>AVERAGE(F3029:F3044)</f>
        <v>-0.20252206249999996</v>
      </c>
    </row>
    <row r="3045" spans="1:9" collapsed="1" x14ac:dyDescent="0.25">
      <c r="A3045" s="3801" t="s">
        <v>288</v>
      </c>
      <c r="B3045" s="3802"/>
      <c r="C3045" s="3802"/>
      <c r="D3045" s="3802"/>
      <c r="E3045" s="721" t="s">
        <v>2722</v>
      </c>
      <c r="F3045" s="722">
        <f>MAX(AVERAGE(F3029:F3044)*parametry!N115,4%)</f>
        <v>0.04</v>
      </c>
      <c r="G3045" s="97" t="s">
        <v>781</v>
      </c>
    </row>
    <row r="3046" spans="1:9" x14ac:dyDescent="0.25">
      <c r="A3046" s="1"/>
      <c r="B3046" s="1"/>
      <c r="C3046" s="1"/>
      <c r="D3046" s="1"/>
      <c r="E3046" s="1"/>
      <c r="F3046" s="1848"/>
      <c r="G3046" s="78"/>
    </row>
    <row r="3047" spans="1:9" hidden="1" outlineLevel="1" x14ac:dyDescent="0.25">
      <c r="A3047" s="689" t="s">
        <v>113</v>
      </c>
      <c r="B3047" s="689" t="s">
        <v>114</v>
      </c>
      <c r="C3047" s="689" t="s">
        <v>112</v>
      </c>
      <c r="D3047" s="689" t="s">
        <v>116</v>
      </c>
      <c r="E3047" s="689" t="s">
        <v>117</v>
      </c>
      <c r="F3047" s="1188" t="s">
        <v>121</v>
      </c>
      <c r="G3047" s="78"/>
      <c r="H3047" s="21"/>
    </row>
    <row r="3048" spans="1:9" hidden="1" outlineLevel="1" x14ac:dyDescent="0.25">
      <c r="A3048" s="690">
        <v>1</v>
      </c>
      <c r="B3048" s="691" t="s">
        <v>252</v>
      </c>
      <c r="C3048" s="692">
        <v>100</v>
      </c>
      <c r="D3048" s="692"/>
      <c r="E3048" s="693"/>
      <c r="F3048" s="694"/>
      <c r="G3048" s="78"/>
    </row>
    <row r="3049" spans="1:9" hidden="1" outlineLevel="1" x14ac:dyDescent="0.25">
      <c r="A3049" s="695"/>
      <c r="B3049" s="695"/>
      <c r="C3049" s="696"/>
      <c r="D3049" s="697" t="s">
        <v>3702</v>
      </c>
      <c r="E3049" s="698">
        <v>40543</v>
      </c>
      <c r="F3049" s="699"/>
      <c r="G3049" s="78"/>
      <c r="H3049" s="110"/>
    </row>
    <row r="3050" spans="1:9" hidden="1" outlineLevel="1" x14ac:dyDescent="0.25">
      <c r="A3050" s="689" t="s">
        <v>4156</v>
      </c>
      <c r="B3050" s="689" t="s">
        <v>4153</v>
      </c>
      <c r="C3050" s="497" t="s">
        <v>112</v>
      </c>
      <c r="D3050" s="495" t="s">
        <v>116</v>
      </c>
      <c r="E3050" s="689" t="s">
        <v>4154</v>
      </c>
      <c r="F3050" s="1021" t="s">
        <v>2519</v>
      </c>
      <c r="G3050" s="78"/>
      <c r="H3050" s="132"/>
    </row>
    <row r="3051" spans="1:9" hidden="1" outlineLevel="1" x14ac:dyDescent="0.25">
      <c r="A3051" s="999">
        <v>0.02</v>
      </c>
      <c r="B3051" s="1000" t="s">
        <v>1384</v>
      </c>
      <c r="C3051" s="1007">
        <v>15.189</v>
      </c>
      <c r="D3051" s="803">
        <v>4.5759999999999996</v>
      </c>
      <c r="E3051" s="705">
        <f>D3051/C3051-1</f>
        <v>-0.69872934360392391</v>
      </c>
      <c r="F3051" s="1021">
        <f>E3051*A3051</f>
        <v>-1.3974586872078478E-2</v>
      </c>
      <c r="G3051" s="78"/>
      <c r="H3051" t="str">
        <f>VLOOKUP(B3051,indexy!$A$44:$D$232,3,FALSE)</f>
        <v>AGN NA Equity</v>
      </c>
      <c r="I3051" s="130"/>
    </row>
    <row r="3052" spans="1:9" hidden="1" outlineLevel="1" x14ac:dyDescent="0.25">
      <c r="A3052" s="1002">
        <v>0.06</v>
      </c>
      <c r="B3052" s="996" t="s">
        <v>1993</v>
      </c>
      <c r="C3052" s="1008">
        <v>66.319999999999993</v>
      </c>
      <c r="D3052" s="908">
        <f>24.62+58.53</f>
        <v>83.15</v>
      </c>
      <c r="E3052" s="709">
        <f t="shared" ref="E3052:E3080" si="104">D3052/C3052-1</f>
        <v>0.25376960193003639</v>
      </c>
      <c r="F3052" s="946">
        <f t="shared" ref="F3052:F3080" si="105">E3052*A3052</f>
        <v>1.5226176115802183E-2</v>
      </c>
      <c r="G3052" s="78"/>
      <c r="H3052" t="str">
        <f>VLOOKUP(B3052,indexy!$A$44:$D$232,3,FALSE)</f>
        <v>MO UN Equity</v>
      </c>
      <c r="I3052" s="39" t="s">
        <v>3533</v>
      </c>
    </row>
    <row r="3053" spans="1:9" hidden="1" outlineLevel="1" x14ac:dyDescent="0.25">
      <c r="A3053" s="1002">
        <v>0.02</v>
      </c>
      <c r="B3053" s="996" t="s">
        <v>1210</v>
      </c>
      <c r="C3053" s="1008">
        <f>17.244*0.635714</f>
        <v>10.962252216</v>
      </c>
      <c r="D3053" s="908">
        <v>0.375</v>
      </c>
      <c r="E3053" s="709">
        <f t="shared" si="104"/>
        <v>-0.96579170113850621</v>
      </c>
      <c r="F3053" s="946">
        <f t="shared" si="105"/>
        <v>-1.9315834022770123E-2</v>
      </c>
      <c r="G3053" s="78"/>
      <c r="H3053" t="e">
        <f>VLOOKUP(B3053,indexy!$A$44:$D$232,3,FALSE)</f>
        <v>#N/A</v>
      </c>
      <c r="I3053" s="130"/>
    </row>
    <row r="3054" spans="1:9" hidden="1" outlineLevel="1" x14ac:dyDescent="0.25">
      <c r="A3054" s="1002">
        <v>0.02</v>
      </c>
      <c r="B3054" s="996" t="s">
        <v>3019</v>
      </c>
      <c r="C3054" s="1008">
        <v>82.081800000000001</v>
      </c>
      <c r="D3054" s="908">
        <v>47.61</v>
      </c>
      <c r="E3054" s="709">
        <f t="shared" si="104"/>
        <v>-0.41996886033201031</v>
      </c>
      <c r="F3054" s="946">
        <f t="shared" si="105"/>
        <v>-8.3993772066402062E-3</v>
      </c>
      <c r="G3054" s="78"/>
      <c r="H3054" t="str">
        <f>VLOOKUP(B3054,indexy!$A$44:$D$232,3,FALSE)</f>
        <v>BNP FP Equity</v>
      </c>
      <c r="I3054" s="130"/>
    </row>
    <row r="3055" spans="1:9" hidden="1" outlineLevel="1" x14ac:dyDescent="0.25">
      <c r="A3055" s="1002">
        <v>0.03</v>
      </c>
      <c r="B3055" s="996" t="s">
        <v>1847</v>
      </c>
      <c r="C3055" s="1008">
        <v>54.567999999999998</v>
      </c>
      <c r="D3055" s="908">
        <v>4.7300000000000004</v>
      </c>
      <c r="E3055" s="709">
        <f t="shared" si="104"/>
        <v>-0.91331916141328251</v>
      </c>
      <c r="F3055" s="946">
        <f t="shared" si="105"/>
        <v>-2.7399574842398473E-2</v>
      </c>
      <c r="G3055" s="78"/>
      <c r="H3055" t="str">
        <f>VLOOKUP(B3055,indexy!$A$44:$D$232,3,FALSE)</f>
        <v>C UN Equity</v>
      </c>
      <c r="I3055" s="130"/>
    </row>
    <row r="3056" spans="1:9" hidden="1" outlineLevel="1" x14ac:dyDescent="0.25">
      <c r="A3056" s="1002">
        <v>0.03</v>
      </c>
      <c r="B3056" s="996" t="s">
        <v>4025</v>
      </c>
      <c r="C3056" s="1008">
        <v>46.854999999999997</v>
      </c>
      <c r="D3056" s="908">
        <v>50.73</v>
      </c>
      <c r="E3056" s="709">
        <f t="shared" si="104"/>
        <v>8.2701952833208914E-2</v>
      </c>
      <c r="F3056" s="946">
        <f t="shared" si="105"/>
        <v>2.4810585849962675E-3</v>
      </c>
      <c r="G3056" s="78"/>
      <c r="H3056" t="str">
        <f>VLOOKUP(B3056,indexy!$A$44:$D$232,3,FALSE)</f>
        <v>MBG GR Equity</v>
      </c>
      <c r="I3056" s="130"/>
    </row>
    <row r="3057" spans="1:9" hidden="1" outlineLevel="1" x14ac:dyDescent="0.25">
      <c r="A3057" s="1002">
        <v>0.04</v>
      </c>
      <c r="B3057" s="996" t="s">
        <v>3406</v>
      </c>
      <c r="C3057" s="1008">
        <f>9.9665*100</f>
        <v>996.65</v>
      </c>
      <c r="D3057" s="908">
        <v>1185</v>
      </c>
      <c r="E3057" s="709">
        <f t="shared" si="104"/>
        <v>0.1889830933627652</v>
      </c>
      <c r="F3057" s="946">
        <f t="shared" si="105"/>
        <v>7.5593237345106083E-3</v>
      </c>
      <c r="G3057" s="78"/>
      <c r="H3057" t="str">
        <f>VLOOKUP(B3057,indexy!$A$44:$D$232,3,FALSE)</f>
        <v>DGE LN Equity</v>
      </c>
      <c r="I3057" s="130"/>
    </row>
    <row r="3058" spans="1:9" hidden="1" outlineLevel="1" x14ac:dyDescent="0.25">
      <c r="A3058" s="1002">
        <v>0.03</v>
      </c>
      <c r="B3058" s="996" t="s">
        <v>4387</v>
      </c>
      <c r="C3058" s="1008">
        <f>99.025/3</f>
        <v>33.008333333333333</v>
      </c>
      <c r="D3058" s="908">
        <v>22.934999999999999</v>
      </c>
      <c r="E3058" s="709">
        <f t="shared" si="104"/>
        <v>-0.30517546074223689</v>
      </c>
      <c r="F3058" s="946">
        <f t="shared" si="105"/>
        <v>-9.1552638222671071E-3</v>
      </c>
      <c r="G3058" s="78"/>
      <c r="H3058" t="str">
        <f>VLOOKUP(B3058,indexy!$A$44:$D$232,3,FALSE)</f>
        <v>EOAN GY Equity</v>
      </c>
      <c r="I3058" s="130"/>
    </row>
    <row r="3059" spans="1:9" hidden="1" outlineLevel="1" x14ac:dyDescent="0.25">
      <c r="A3059" s="1002">
        <v>0.04</v>
      </c>
      <c r="B3059" s="996" t="s">
        <v>1176</v>
      </c>
      <c r="C3059" s="1008">
        <v>27.32</v>
      </c>
      <c r="D3059" s="908">
        <v>1.71</v>
      </c>
      <c r="E3059" s="709">
        <f t="shared" si="104"/>
        <v>-0.93740849194729137</v>
      </c>
      <c r="F3059" s="946">
        <f t="shared" si="105"/>
        <v>-3.7496339677891656E-2</v>
      </c>
      <c r="G3059" s="78"/>
      <c r="H3059" t="str">
        <f>VLOOKUP(B3059,indexy!$A$44:$D$232,3,FALSE)</f>
        <v>AGS BB Equity</v>
      </c>
      <c r="I3059" s="130"/>
    </row>
    <row r="3060" spans="1:9" hidden="1" outlineLevel="1" x14ac:dyDescent="0.25">
      <c r="A3060" s="1002">
        <v>0.04</v>
      </c>
      <c r="B3060" s="996" t="s">
        <v>3799</v>
      </c>
      <c r="C3060" s="1008">
        <f>13.782*100</f>
        <v>1378.2</v>
      </c>
      <c r="D3060" s="908">
        <v>1240</v>
      </c>
      <c r="E3060" s="709">
        <f t="shared" si="104"/>
        <v>-0.10027572195617473</v>
      </c>
      <c r="F3060" s="946">
        <f t="shared" si="105"/>
        <v>-4.0110288782469897E-3</v>
      </c>
      <c r="G3060" s="78"/>
      <c r="H3060" t="str">
        <f>VLOOKUP(B3060,indexy!$A$44:$D$232,3,FALSE)</f>
        <v>GSK LN Equity</v>
      </c>
      <c r="I3060" s="130"/>
    </row>
    <row r="3061" spans="1:9" hidden="1" outlineLevel="1" x14ac:dyDescent="0.25">
      <c r="A3061" s="1002">
        <v>0.06</v>
      </c>
      <c r="B3061" s="996" t="s">
        <v>1771</v>
      </c>
      <c r="C3061" s="1008">
        <v>806.16</v>
      </c>
      <c r="D3061" s="908">
        <v>651.1</v>
      </c>
      <c r="E3061" s="709">
        <f t="shared" si="104"/>
        <v>-0.19234395157288875</v>
      </c>
      <c r="F3061" s="946">
        <f t="shared" si="105"/>
        <v>-1.1540637094373325E-2</v>
      </c>
      <c r="G3061" s="78"/>
      <c r="H3061" t="str">
        <f>VLOOKUP(B3061,indexy!$A$44:$D$232,3,FALSE)</f>
        <v>HSBA LN Equity</v>
      </c>
      <c r="I3061" s="130"/>
    </row>
    <row r="3062" spans="1:9" hidden="1" outlineLevel="1" x14ac:dyDescent="0.25">
      <c r="A3062" s="1002">
        <v>0.02</v>
      </c>
      <c r="B3062" s="996" t="s">
        <v>1031</v>
      </c>
      <c r="C3062" s="1008">
        <v>8.125</v>
      </c>
      <c r="D3062" s="908">
        <v>5.7679999999999998</v>
      </c>
      <c r="E3062" s="709">
        <f t="shared" si="104"/>
        <v>-0.29009230769230776</v>
      </c>
      <c r="F3062" s="946">
        <f t="shared" si="105"/>
        <v>-5.8018461538461557E-3</v>
      </c>
      <c r="G3062" s="78"/>
      <c r="H3062" t="str">
        <f>VLOOKUP(B3062,indexy!$A$44:$D$232,3,FALSE)</f>
        <v>IBE SQ Equity</v>
      </c>
      <c r="I3062" s="130"/>
    </row>
    <row r="3063" spans="1:9" hidden="1" outlineLevel="1" x14ac:dyDescent="0.25">
      <c r="A3063" s="1002">
        <v>0.02</v>
      </c>
      <c r="B3063" s="996" t="s">
        <v>2588</v>
      </c>
      <c r="C3063" s="1008">
        <v>25.895199999999999</v>
      </c>
      <c r="D3063" s="908">
        <v>7.28</v>
      </c>
      <c r="E3063" s="709">
        <f t="shared" si="104"/>
        <v>-0.71886681701628097</v>
      </c>
      <c r="F3063" s="946">
        <f t="shared" si="105"/>
        <v>-1.4377336340325619E-2</v>
      </c>
      <c r="G3063" s="78"/>
      <c r="H3063" t="str">
        <f>VLOOKUP(B3063,indexy!$A$44:$D$232,3,FALSE)</f>
        <v>INGA NA Equity</v>
      </c>
      <c r="I3063" s="130"/>
    </row>
    <row r="3064" spans="1:9" hidden="1" outlineLevel="1" x14ac:dyDescent="0.25">
      <c r="A3064" s="1002">
        <v>0.02</v>
      </c>
      <c r="B3064" s="996" t="s">
        <v>1526</v>
      </c>
      <c r="C3064" s="1008">
        <v>96.334999999999994</v>
      </c>
      <c r="D3064" s="908">
        <v>25.5</v>
      </c>
      <c r="E3064" s="709">
        <f t="shared" si="104"/>
        <v>-0.73529869725437269</v>
      </c>
      <c r="F3064" s="946">
        <f t="shared" si="105"/>
        <v>-1.4705973945087453E-2</v>
      </c>
      <c r="G3064" s="78"/>
      <c r="H3064" t="str">
        <f>VLOOKUP(B3064,indexy!$A$44:$D$232,3,FALSE)</f>
        <v>KBC BB Equity</v>
      </c>
      <c r="I3064" s="130"/>
    </row>
    <row r="3065" spans="1:9" hidden="1" outlineLevel="1" x14ac:dyDescent="0.25">
      <c r="A3065" s="1002">
        <v>0.05</v>
      </c>
      <c r="B3065" s="996" t="s">
        <v>874</v>
      </c>
      <c r="C3065" s="1008">
        <f>2.3628*100</f>
        <v>236.28</v>
      </c>
      <c r="D3065" s="908">
        <v>263.39999999999998</v>
      </c>
      <c r="E3065" s="709">
        <f t="shared" si="104"/>
        <v>0.11477907567293033</v>
      </c>
      <c r="F3065" s="946">
        <f t="shared" si="105"/>
        <v>5.7389537836465172E-3</v>
      </c>
      <c r="G3065" s="78"/>
      <c r="H3065" t="str">
        <f>VLOOKUP(B3065,indexy!$A$44:$D$232,3,FALSE)</f>
        <v>KGF LN Equity</v>
      </c>
      <c r="I3065" s="130"/>
    </row>
    <row r="3066" spans="1:9" hidden="1" outlineLevel="1" x14ac:dyDescent="0.25">
      <c r="A3066" s="1002">
        <v>0.02</v>
      </c>
      <c r="B3066" s="996" t="s">
        <v>2787</v>
      </c>
      <c r="C3066" s="1008">
        <v>72.64</v>
      </c>
      <c r="D3066" s="908">
        <v>54.95</v>
      </c>
      <c r="E3066" s="709">
        <f t="shared" si="104"/>
        <v>-0.24352973568281933</v>
      </c>
      <c r="F3066" s="946">
        <f t="shared" si="105"/>
        <v>-4.8705947136563864E-3</v>
      </c>
      <c r="G3066" s="78"/>
      <c r="H3066" t="str">
        <f>VLOOKUP(B3066,indexy!$A$44:$D$232,3,FALSE)</f>
        <v>NOVN SE Equity</v>
      </c>
      <c r="I3066" s="130"/>
    </row>
    <row r="3067" spans="1:9" hidden="1" outlineLevel="1" x14ac:dyDescent="0.25">
      <c r="A3067" s="1002">
        <v>0.05</v>
      </c>
      <c r="B3067" s="996" t="s">
        <v>3424</v>
      </c>
      <c r="C3067" s="1008">
        <f>64.37/2</f>
        <v>32.185000000000002</v>
      </c>
      <c r="D3067" s="908">
        <v>32.619999999999997</v>
      </c>
      <c r="E3067" s="709">
        <f t="shared" si="104"/>
        <v>1.3515612863134852E-2</v>
      </c>
      <c r="F3067" s="946">
        <f t="shared" si="105"/>
        <v>6.7578064315674266E-4</v>
      </c>
      <c r="G3067" s="78"/>
      <c r="H3067" t="str">
        <f>VLOOKUP(B3067,indexy!$A$44:$D$232,3,FALSE)</f>
        <v>RAI UN Equity</v>
      </c>
      <c r="I3067" s="130"/>
    </row>
    <row r="3068" spans="1:9" hidden="1" outlineLevel="1" x14ac:dyDescent="0.25">
      <c r="A3068" s="1002">
        <v>0.02</v>
      </c>
      <c r="B3068" s="996" t="s">
        <v>3800</v>
      </c>
      <c r="C3068" s="1008">
        <v>229.86</v>
      </c>
      <c r="D3068" s="908">
        <v>137</v>
      </c>
      <c r="E3068" s="709">
        <f t="shared" si="104"/>
        <v>-0.40398503436874622</v>
      </c>
      <c r="F3068" s="946">
        <f t="shared" si="105"/>
        <v>-8.0797006873749248E-3</v>
      </c>
      <c r="G3068" s="78"/>
      <c r="H3068" t="str">
        <f>VLOOKUP(B3068,indexy!$A$44:$D$232,3,FALSE)</f>
        <v>ROG SE Equity</v>
      </c>
      <c r="I3068" s="130"/>
    </row>
    <row r="3069" spans="1:9" hidden="1" outlineLevel="1" x14ac:dyDescent="0.25">
      <c r="A3069" s="1002">
        <v>0.06</v>
      </c>
      <c r="B3069" s="996" t="s">
        <v>2587</v>
      </c>
      <c r="C3069" s="1008">
        <v>590.54</v>
      </c>
      <c r="D3069" s="908">
        <v>39.07</v>
      </c>
      <c r="E3069" s="709">
        <f t="shared" si="104"/>
        <v>-0.93384021404138584</v>
      </c>
      <c r="F3069" s="946">
        <f t="shared" si="105"/>
        <v>-5.6030412842483147E-2</v>
      </c>
      <c r="G3069" s="78"/>
      <c r="H3069" t="e">
        <f>VLOOKUP(B3069,indexy!$A$44:$D$232,3,FALSE)</f>
        <v>#N/A</v>
      </c>
      <c r="I3069" s="130"/>
    </row>
    <row r="3070" spans="1:9" hidden="1" outlineLevel="1" x14ac:dyDescent="0.25">
      <c r="A3070" s="1002">
        <v>0.02</v>
      </c>
      <c r="B3070" s="996" t="s">
        <v>3801</v>
      </c>
      <c r="C3070" s="1008">
        <v>81.433999999999997</v>
      </c>
      <c r="D3070" s="908">
        <v>49.89</v>
      </c>
      <c r="E3070" s="709">
        <f t="shared" si="104"/>
        <v>-0.38735663236485984</v>
      </c>
      <c r="F3070" s="946">
        <f t="shared" si="105"/>
        <v>-7.7471326472971971E-3</v>
      </c>
      <c r="G3070" s="78"/>
      <c r="H3070" t="str">
        <f>VLOOKUP(B3070,indexy!$A$44:$D$232,3,FALSE)</f>
        <v>RWE GY Equity</v>
      </c>
      <c r="I3070" s="130"/>
    </row>
    <row r="3071" spans="1:9" hidden="1" outlineLevel="1" x14ac:dyDescent="0.25">
      <c r="A3071" s="1002">
        <v>0.05</v>
      </c>
      <c r="B3071" s="996" t="s">
        <v>4460</v>
      </c>
      <c r="C3071" s="1008">
        <f>14.247*100</f>
        <v>1424.7</v>
      </c>
      <c r="D3071" s="908">
        <v>1478</v>
      </c>
      <c r="E3071" s="709">
        <f t="shared" si="104"/>
        <v>3.7411384852951368E-2</v>
      </c>
      <c r="F3071" s="946">
        <f t="shared" si="105"/>
        <v>1.8705692426475686E-3</v>
      </c>
      <c r="G3071" s="78"/>
      <c r="H3071" t="str">
        <f>VLOOKUP(B3071,indexy!$A$44:$D$232,3,FALSE)</f>
        <v>SVT LN Equity</v>
      </c>
      <c r="I3071" s="130"/>
    </row>
    <row r="3072" spans="1:9" hidden="1" outlineLevel="1" x14ac:dyDescent="0.25">
      <c r="A3072" s="1002">
        <v>0.03</v>
      </c>
      <c r="B3072" s="996" t="s">
        <v>2166</v>
      </c>
      <c r="C3072" s="1008">
        <v>116.2026</v>
      </c>
      <c r="D3072" s="908">
        <v>40.22</v>
      </c>
      <c r="E3072" s="709">
        <f t="shared" si="104"/>
        <v>-0.65388037789171671</v>
      </c>
      <c r="F3072" s="946">
        <f t="shared" si="105"/>
        <v>-1.9616411336751502E-2</v>
      </c>
      <c r="G3072" s="78"/>
      <c r="H3072" t="str">
        <f>VLOOKUP(B3072,indexy!$A$44:$D$232,3,FALSE)</f>
        <v>GLE FP Equity</v>
      </c>
      <c r="I3072" s="130"/>
    </row>
    <row r="3073" spans="1:9" hidden="1" outlineLevel="1" x14ac:dyDescent="0.25">
      <c r="A3073" s="1002">
        <v>0.02</v>
      </c>
      <c r="B3073" s="996" t="s">
        <v>578</v>
      </c>
      <c r="C3073" s="1008">
        <v>12.173999999999999</v>
      </c>
      <c r="D3073" s="908">
        <v>7.6849999999999996</v>
      </c>
      <c r="E3073" s="709">
        <f t="shared" si="104"/>
        <v>-0.36873665188105798</v>
      </c>
      <c r="F3073" s="946">
        <f t="shared" si="105"/>
        <v>-7.3747330376211593E-3</v>
      </c>
      <c r="G3073" s="78"/>
      <c r="H3073" t="str">
        <f>VLOOKUP(B3073,indexy!$A$44:$D$232,3,FALSE)</f>
        <v>STERV FH Equity</v>
      </c>
      <c r="I3073" s="130"/>
    </row>
    <row r="3074" spans="1:9" hidden="1" outlineLevel="1" x14ac:dyDescent="0.25">
      <c r="A3074" s="1002">
        <v>0.06</v>
      </c>
      <c r="B3074" s="996" t="s">
        <v>1527</v>
      </c>
      <c r="C3074" s="1008">
        <v>2.3651</v>
      </c>
      <c r="D3074" s="908">
        <v>0.96699999999999997</v>
      </c>
      <c r="E3074" s="709">
        <f t="shared" si="104"/>
        <v>-0.59113779544205314</v>
      </c>
      <c r="F3074" s="946">
        <f t="shared" si="105"/>
        <v>-3.5468267726523187E-2</v>
      </c>
      <c r="G3074" s="78"/>
      <c r="H3074" t="str">
        <f>VLOOKUP(B3074,indexy!$A$44:$D$232,3,FALSE)</f>
        <v>TIT IM Equity</v>
      </c>
      <c r="I3074" s="130"/>
    </row>
    <row r="3075" spans="1:9" hidden="1" outlineLevel="1" x14ac:dyDescent="0.25">
      <c r="A3075" s="1002">
        <v>0.05</v>
      </c>
      <c r="B3075" s="996" t="s">
        <v>577</v>
      </c>
      <c r="C3075" s="1008">
        <v>16.797000000000001</v>
      </c>
      <c r="D3075" s="908">
        <v>16.965</v>
      </c>
      <c r="E3075" s="709">
        <f t="shared" si="104"/>
        <v>1.0001786033220217E-2</v>
      </c>
      <c r="F3075" s="946">
        <f t="shared" si="105"/>
        <v>5.0008930166101084E-4</v>
      </c>
      <c r="G3075" s="78"/>
      <c r="H3075" t="str">
        <f>VLOOKUP(B3075,indexy!$A$44:$D$232,3,FALSE)</f>
        <v>TEF SQ Equity</v>
      </c>
      <c r="I3075" s="130"/>
    </row>
    <row r="3076" spans="1:9" hidden="1" outlineLevel="1" x14ac:dyDescent="0.25">
      <c r="A3076" s="1002">
        <v>0.03</v>
      </c>
      <c r="B3076" s="996" t="s">
        <v>1183</v>
      </c>
      <c r="C3076" s="1008">
        <v>52.18</v>
      </c>
      <c r="D3076" s="908">
        <v>39.65</v>
      </c>
      <c r="E3076" s="709">
        <f t="shared" si="104"/>
        <v>-0.24013031812955155</v>
      </c>
      <c r="F3076" s="946">
        <f t="shared" si="105"/>
        <v>-7.2039095438865457E-3</v>
      </c>
      <c r="G3076" s="78"/>
      <c r="H3076" t="e">
        <f>VLOOKUP(B3076,indexy!$A$44:$D$232,3,FALSE)</f>
        <v>#N/A</v>
      </c>
      <c r="I3076" s="130"/>
    </row>
    <row r="3077" spans="1:9" hidden="1" outlineLevel="1" x14ac:dyDescent="0.25">
      <c r="A3077" s="1002">
        <v>0.02</v>
      </c>
      <c r="B3077" s="996" t="s">
        <v>182</v>
      </c>
      <c r="C3077" s="1008">
        <v>75.59</v>
      </c>
      <c r="D3077" s="908">
        <v>15.35</v>
      </c>
      <c r="E3077" s="709">
        <f t="shared" si="104"/>
        <v>-0.79693081095382989</v>
      </c>
      <c r="F3077" s="946">
        <f t="shared" si="105"/>
        <v>-1.59386162190766E-2</v>
      </c>
      <c r="G3077" s="78"/>
      <c r="H3077" t="str">
        <f>VLOOKUP(B3077,indexy!$A$44:$D$232,3,FALSE)</f>
        <v>UBS US Equity</v>
      </c>
      <c r="I3077" s="130"/>
    </row>
    <row r="3078" spans="1:9" hidden="1" outlineLevel="1" x14ac:dyDescent="0.25">
      <c r="A3078" s="1002">
        <v>0.02</v>
      </c>
      <c r="B3078" s="996" t="s">
        <v>3269</v>
      </c>
      <c r="C3078" s="1008">
        <v>20.490600000000001</v>
      </c>
      <c r="D3078" s="908">
        <v>11.49</v>
      </c>
      <c r="E3078" s="709">
        <f t="shared" si="104"/>
        <v>-0.43925507305788991</v>
      </c>
      <c r="F3078" s="946">
        <f t="shared" si="105"/>
        <v>-8.7851014611577977E-3</v>
      </c>
      <c r="G3078" s="78"/>
      <c r="H3078" t="str">
        <f>VLOOKUP(B3078,indexy!$A$44:$D$397,3,FALSE)</f>
        <v>NTGY SM Equity</v>
      </c>
      <c r="I3078" s="130"/>
    </row>
    <row r="3079" spans="1:9" hidden="1" outlineLevel="1" x14ac:dyDescent="0.25">
      <c r="A3079" s="1002">
        <v>0.02</v>
      </c>
      <c r="B3079" s="996" t="s">
        <v>3169</v>
      </c>
      <c r="C3079" s="1008">
        <v>31.141999999999999</v>
      </c>
      <c r="D3079" s="908">
        <v>20.2</v>
      </c>
      <c r="E3079" s="709">
        <f t="shared" si="104"/>
        <v>-0.35135829426497978</v>
      </c>
      <c r="F3079" s="946">
        <f t="shared" si="105"/>
        <v>-7.0271658852995959E-3</v>
      </c>
      <c r="G3079" s="78"/>
      <c r="H3079" t="str">
        <f>VLOOKUP(B3079,indexy!$A$44:$D$232,3,FALSE)</f>
        <v>VIV FP Equity</v>
      </c>
      <c r="I3079" s="130"/>
    </row>
    <row r="3080" spans="1:9" hidden="1" outlineLevel="1" x14ac:dyDescent="0.25">
      <c r="A3080" s="1004">
        <v>0.03</v>
      </c>
      <c r="B3080" s="997" t="s">
        <v>580</v>
      </c>
      <c r="C3080" s="1009">
        <v>90.604399999999998</v>
      </c>
      <c r="D3080" s="715">
        <v>118.5</v>
      </c>
      <c r="E3080" s="716">
        <f t="shared" si="104"/>
        <v>0.30788350234646433</v>
      </c>
      <c r="F3080" s="1023">
        <f t="shared" si="105"/>
        <v>9.2365050703939293E-3</v>
      </c>
      <c r="G3080" s="78"/>
      <c r="H3080" t="str">
        <f>VLOOKUP(B3080,indexy!$A$44:$D$232,3,FALSE)</f>
        <v>VOLVB SS Equity</v>
      </c>
      <c r="I3080" s="130"/>
    </row>
    <row r="3081" spans="1:9" hidden="1" outlineLevel="1" x14ac:dyDescent="0.25">
      <c r="A3081" s="749"/>
      <c r="B3081" s="750"/>
      <c r="C3081" s="727"/>
      <c r="D3081" s="727"/>
      <c r="E3081" s="716"/>
      <c r="F3081" s="770">
        <f>SUM(F3051:F3080)</f>
        <v>-0.30103138848023886</v>
      </c>
      <c r="G3081" s="78"/>
      <c r="H3081" s="133"/>
    </row>
    <row r="3082" spans="1:9" hidden="1" outlineLevel="1" x14ac:dyDescent="0.25">
      <c r="A3082" s="749"/>
      <c r="B3082" s="750"/>
      <c r="C3082" s="727"/>
      <c r="D3082" s="727"/>
      <c r="E3082" s="716"/>
      <c r="F3082" s="770"/>
      <c r="G3082" s="78"/>
      <c r="H3082" s="133"/>
    </row>
    <row r="3083" spans="1:9" hidden="1" outlineLevel="1" x14ac:dyDescent="0.25">
      <c r="A3083" s="962" t="s">
        <v>602</v>
      </c>
      <c r="B3083" s="985">
        <v>39142</v>
      </c>
      <c r="C3083" s="727">
        <v>100</v>
      </c>
      <c r="D3083" s="727">
        <v>99.644000000000005</v>
      </c>
      <c r="E3083" s="716">
        <f t="shared" ref="E3083:E3098" si="106">D3083/C3083-1</f>
        <v>-3.5599999999998966E-3</v>
      </c>
      <c r="F3083" s="731">
        <f>E3083</f>
        <v>-3.5599999999998966E-3</v>
      </c>
      <c r="G3083" s="78"/>
      <c r="H3083" s="133"/>
      <c r="I3083">
        <f>C3078*1.66667</f>
        <v>34.151068302000006</v>
      </c>
    </row>
    <row r="3084" spans="1:9" hidden="1" outlineLevel="1" x14ac:dyDescent="0.25">
      <c r="A3084" s="962" t="s">
        <v>1781</v>
      </c>
      <c r="B3084" s="985">
        <v>39234</v>
      </c>
      <c r="C3084" s="727">
        <v>100</v>
      </c>
      <c r="D3084" s="727">
        <v>103.02760000000001</v>
      </c>
      <c r="E3084" s="716">
        <f t="shared" si="106"/>
        <v>3.027599999999997E-2</v>
      </c>
      <c r="F3084" s="731">
        <f>E3084</f>
        <v>3.027599999999997E-2</v>
      </c>
      <c r="G3084" s="78"/>
      <c r="H3084" s="133"/>
    </row>
    <row r="3085" spans="1:9" hidden="1" outlineLevel="1" x14ac:dyDescent="0.25">
      <c r="A3085" s="962" t="s">
        <v>1782</v>
      </c>
      <c r="B3085" s="985">
        <v>39326</v>
      </c>
      <c r="C3085" s="727">
        <v>100</v>
      </c>
      <c r="D3085" s="727">
        <v>98.761700000000005</v>
      </c>
      <c r="E3085" s="716">
        <f t="shared" si="106"/>
        <v>-1.2382999999999922E-2</v>
      </c>
      <c r="F3085" s="731">
        <f t="shared" ref="F3085:F3098" si="107">E3085</f>
        <v>-1.2382999999999922E-2</v>
      </c>
      <c r="G3085" s="78"/>
    </row>
    <row r="3086" spans="1:9" hidden="1" outlineLevel="1" x14ac:dyDescent="0.25">
      <c r="A3086" s="962" t="s">
        <v>1783</v>
      </c>
      <c r="B3086" s="985">
        <v>39417</v>
      </c>
      <c r="C3086" s="727">
        <v>100</v>
      </c>
      <c r="D3086" s="727">
        <v>95.864999999999995</v>
      </c>
      <c r="E3086" s="716">
        <f t="shared" si="106"/>
        <v>-4.1349999999999998E-2</v>
      </c>
      <c r="F3086" s="731">
        <f t="shared" si="107"/>
        <v>-4.1349999999999998E-2</v>
      </c>
      <c r="G3086" s="78"/>
    </row>
    <row r="3087" spans="1:9" hidden="1" outlineLevel="1" x14ac:dyDescent="0.25">
      <c r="A3087" s="962" t="s">
        <v>1784</v>
      </c>
      <c r="B3087" s="985">
        <v>39508</v>
      </c>
      <c r="C3087" s="727">
        <v>100</v>
      </c>
      <c r="D3087" s="727">
        <v>81.020200000000003</v>
      </c>
      <c r="E3087" s="716">
        <f t="shared" si="106"/>
        <v>-0.18979800000000002</v>
      </c>
      <c r="F3087" s="731">
        <f t="shared" si="107"/>
        <v>-0.18979800000000002</v>
      </c>
      <c r="G3087" s="78"/>
    </row>
    <row r="3088" spans="1:9" hidden="1" outlineLevel="1" x14ac:dyDescent="0.25">
      <c r="A3088" s="962" t="s">
        <v>1785</v>
      </c>
      <c r="B3088" s="985">
        <v>39600</v>
      </c>
      <c r="C3088" s="727">
        <v>100</v>
      </c>
      <c r="D3088" s="727">
        <v>73.120800000000003</v>
      </c>
      <c r="E3088" s="716">
        <f t="shared" si="106"/>
        <v>-0.26879199999999992</v>
      </c>
      <c r="F3088" s="731">
        <f t="shared" si="107"/>
        <v>-0.26879199999999992</v>
      </c>
      <c r="G3088" s="78"/>
    </row>
    <row r="3089" spans="1:8" hidden="1" outlineLevel="1" x14ac:dyDescent="0.25">
      <c r="A3089" s="962" t="s">
        <v>1786</v>
      </c>
      <c r="B3089" s="985">
        <v>39692</v>
      </c>
      <c r="C3089" s="727">
        <v>100</v>
      </c>
      <c r="D3089" s="727">
        <v>70.731499999999997</v>
      </c>
      <c r="E3089" s="716">
        <f t="shared" si="106"/>
        <v>-0.29268500000000008</v>
      </c>
      <c r="F3089" s="731">
        <f t="shared" si="107"/>
        <v>-0.29268500000000008</v>
      </c>
      <c r="G3089" s="78"/>
    </row>
    <row r="3090" spans="1:8" hidden="1" outlineLevel="1" x14ac:dyDescent="0.25">
      <c r="A3090" s="962" t="s">
        <v>3778</v>
      </c>
      <c r="B3090" s="985">
        <v>39783</v>
      </c>
      <c r="C3090" s="727">
        <v>100</v>
      </c>
      <c r="D3090" s="727">
        <v>58.878399999999999</v>
      </c>
      <c r="E3090" s="716">
        <f t="shared" si="106"/>
        <v>-0.41121600000000003</v>
      </c>
      <c r="F3090" s="731">
        <f t="shared" si="107"/>
        <v>-0.41121600000000003</v>
      </c>
      <c r="G3090" s="78"/>
    </row>
    <row r="3091" spans="1:8" hidden="1" outlineLevel="1" x14ac:dyDescent="0.25">
      <c r="A3091" s="962" t="s">
        <v>3779</v>
      </c>
      <c r="B3091" s="985">
        <v>39873</v>
      </c>
      <c r="C3091" s="727">
        <v>100</v>
      </c>
      <c r="D3091" s="727">
        <v>50.087400000000002</v>
      </c>
      <c r="E3091" s="716">
        <f t="shared" si="106"/>
        <v>-0.49912599999999996</v>
      </c>
      <c r="F3091" s="731">
        <f t="shared" si="107"/>
        <v>-0.49912599999999996</v>
      </c>
      <c r="G3091" s="78"/>
    </row>
    <row r="3092" spans="1:8" hidden="1" outlineLevel="1" x14ac:dyDescent="0.25">
      <c r="A3092" s="962" t="s">
        <v>3215</v>
      </c>
      <c r="B3092" s="985">
        <v>39965</v>
      </c>
      <c r="C3092" s="727">
        <v>100</v>
      </c>
      <c r="D3092" s="727">
        <v>54.469499999999996</v>
      </c>
      <c r="E3092" s="716">
        <f t="shared" si="106"/>
        <v>-0.45530500000000007</v>
      </c>
      <c r="F3092" s="731">
        <f t="shared" si="107"/>
        <v>-0.45530500000000007</v>
      </c>
      <c r="G3092" s="78"/>
    </row>
    <row r="3093" spans="1:8" hidden="1" outlineLevel="1" x14ac:dyDescent="0.25">
      <c r="A3093" s="962" t="s">
        <v>3216</v>
      </c>
      <c r="B3093" s="985">
        <v>40057</v>
      </c>
      <c r="C3093" s="727">
        <v>100</v>
      </c>
      <c r="D3093" s="727">
        <v>64.892499999999998</v>
      </c>
      <c r="E3093" s="716">
        <f t="shared" si="106"/>
        <v>-0.35107500000000003</v>
      </c>
      <c r="F3093" s="731">
        <f t="shared" si="107"/>
        <v>-0.35107500000000003</v>
      </c>
      <c r="G3093" s="78"/>
    </row>
    <row r="3094" spans="1:8" hidden="1" outlineLevel="1" x14ac:dyDescent="0.25">
      <c r="A3094" s="962" t="s">
        <v>3217</v>
      </c>
      <c r="B3094" s="985">
        <v>40148</v>
      </c>
      <c r="C3094" s="727">
        <v>100</v>
      </c>
      <c r="D3094" s="727">
        <v>66.459900000000005</v>
      </c>
      <c r="E3094" s="716">
        <f t="shared" si="106"/>
        <v>-0.33540099999999995</v>
      </c>
      <c r="F3094" s="731">
        <f t="shared" si="107"/>
        <v>-0.33540099999999995</v>
      </c>
      <c r="G3094" s="78"/>
    </row>
    <row r="3095" spans="1:8" hidden="1" outlineLevel="1" x14ac:dyDescent="0.25">
      <c r="A3095" s="962" t="s">
        <v>2138</v>
      </c>
      <c r="B3095" s="985">
        <v>40238</v>
      </c>
      <c r="C3095" s="727">
        <v>100</v>
      </c>
      <c r="D3095" s="727">
        <v>66.142799999999994</v>
      </c>
      <c r="E3095" s="716">
        <f t="shared" si="106"/>
        <v>-0.3385720000000001</v>
      </c>
      <c r="F3095" s="731">
        <f t="shared" si="107"/>
        <v>-0.3385720000000001</v>
      </c>
      <c r="G3095" s="78"/>
    </row>
    <row r="3096" spans="1:8" hidden="1" outlineLevel="1" x14ac:dyDescent="0.25">
      <c r="A3096" s="962" t="s">
        <v>324</v>
      </c>
      <c r="B3096" s="985">
        <v>40330</v>
      </c>
      <c r="C3096" s="727">
        <v>100</v>
      </c>
      <c r="D3096" s="727">
        <v>61.071399999999997</v>
      </c>
      <c r="E3096" s="716">
        <f t="shared" si="106"/>
        <v>-0.38928600000000002</v>
      </c>
      <c r="F3096" s="731">
        <f t="shared" si="107"/>
        <v>-0.38928600000000002</v>
      </c>
      <c r="G3096" s="78"/>
    </row>
    <row r="3097" spans="1:8" hidden="1" outlineLevel="1" x14ac:dyDescent="0.25">
      <c r="A3097" s="962" t="s">
        <v>2662</v>
      </c>
      <c r="B3097" s="985">
        <v>40422</v>
      </c>
      <c r="C3097" s="727">
        <v>100</v>
      </c>
      <c r="D3097" s="727">
        <v>67.320899999999995</v>
      </c>
      <c r="E3097" s="716">
        <f t="shared" si="106"/>
        <v>-0.32679100000000005</v>
      </c>
      <c r="F3097" s="731">
        <f t="shared" si="107"/>
        <v>-0.32679100000000005</v>
      </c>
      <c r="G3097" s="78"/>
      <c r="H3097" t="s">
        <v>1837</v>
      </c>
    </row>
    <row r="3098" spans="1:8" hidden="1" outlineLevel="1" x14ac:dyDescent="0.25">
      <c r="A3098" s="962" t="s">
        <v>2663</v>
      </c>
      <c r="B3098" s="985">
        <v>40513</v>
      </c>
      <c r="C3098" s="727">
        <v>100</v>
      </c>
      <c r="D3098" s="727">
        <v>69.925299999999993</v>
      </c>
      <c r="E3098" s="716">
        <f t="shared" si="106"/>
        <v>-0.3007470000000001</v>
      </c>
      <c r="F3098" s="731">
        <f t="shared" si="107"/>
        <v>-0.3007470000000001</v>
      </c>
      <c r="G3098" s="78"/>
      <c r="H3098" s="101">
        <f>AVERAGE(F3083:F3098)</f>
        <v>-0.26161318750000007</v>
      </c>
    </row>
    <row r="3099" spans="1:8" collapsed="1" x14ac:dyDescent="0.25">
      <c r="A3099" s="3801" t="s">
        <v>2434</v>
      </c>
      <c r="B3099" s="3802"/>
      <c r="C3099" s="3802"/>
      <c r="D3099" s="3802"/>
      <c r="E3099" s="721" t="s">
        <v>2722</v>
      </c>
      <c r="F3099" s="722">
        <f>MAX(AVERAGE(F3083:F3098)*parametry!N121,4%)</f>
        <v>0.04</v>
      </c>
      <c r="G3099" s="97" t="s">
        <v>781</v>
      </c>
    </row>
    <row r="3100" spans="1:8" x14ac:dyDescent="0.25">
      <c r="A3100" s="1"/>
      <c r="B3100" s="1"/>
      <c r="C3100" s="1"/>
      <c r="D3100" s="1"/>
      <c r="E3100" s="1"/>
      <c r="F3100" s="1848"/>
      <c r="G3100" s="78"/>
    </row>
    <row r="3101" spans="1:8" hidden="1" outlineLevel="1" x14ac:dyDescent="0.25">
      <c r="A3101" s="689" t="s">
        <v>113</v>
      </c>
      <c r="B3101" s="689" t="s">
        <v>114</v>
      </c>
      <c r="C3101" s="689" t="s">
        <v>112</v>
      </c>
      <c r="D3101" s="689" t="s">
        <v>116</v>
      </c>
      <c r="E3101" s="689" t="s">
        <v>117</v>
      </c>
      <c r="F3101" s="1188" t="s">
        <v>121</v>
      </c>
      <c r="G3101" s="78"/>
    </row>
    <row r="3102" spans="1:8" hidden="1" outlineLevel="1" x14ac:dyDescent="0.25">
      <c r="A3102" s="690">
        <v>1</v>
      </c>
      <c r="B3102" s="691" t="s">
        <v>252</v>
      </c>
      <c r="C3102" s="692">
        <v>100</v>
      </c>
      <c r="D3102" s="692"/>
      <c r="E3102" s="693"/>
      <c r="F3102" s="694"/>
      <c r="G3102" s="78"/>
    </row>
    <row r="3103" spans="1:8" hidden="1" outlineLevel="1" x14ac:dyDescent="0.25">
      <c r="A3103" s="695"/>
      <c r="B3103" s="695"/>
      <c r="C3103" s="696"/>
      <c r="D3103" s="697" t="s">
        <v>3702</v>
      </c>
      <c r="E3103" s="698">
        <v>42460</v>
      </c>
      <c r="F3103" s="699"/>
      <c r="G3103" s="78"/>
    </row>
    <row r="3104" spans="1:8" hidden="1" outlineLevel="1" x14ac:dyDescent="0.25">
      <c r="A3104" s="689" t="s">
        <v>4156</v>
      </c>
      <c r="B3104" s="689" t="s">
        <v>4153</v>
      </c>
      <c r="C3104" s="700" t="s">
        <v>112</v>
      </c>
      <c r="D3104" s="495" t="s">
        <v>4155</v>
      </c>
      <c r="E3104" s="689" t="s">
        <v>4154</v>
      </c>
      <c r="F3104" s="1021" t="s">
        <v>2519</v>
      </c>
      <c r="G3104" s="78"/>
    </row>
    <row r="3105" spans="1:9" hidden="1" outlineLevel="1" x14ac:dyDescent="0.25">
      <c r="A3105" s="999">
        <v>0.05</v>
      </c>
      <c r="B3105" s="1010" t="s">
        <v>2919</v>
      </c>
      <c r="C3105" s="1011">
        <v>86.572000000000003</v>
      </c>
      <c r="D3105" s="803">
        <v>94.97</v>
      </c>
      <c r="E3105" s="705">
        <v>9.7005960356697285E-2</v>
      </c>
      <c r="F3105" s="1021">
        <v>4.8502980178348649E-3</v>
      </c>
      <c r="G3105" s="78"/>
      <c r="H3105" t="s">
        <v>2925</v>
      </c>
      <c r="I3105" s="21"/>
    </row>
    <row r="3106" spans="1:9" hidden="1" outlineLevel="1" x14ac:dyDescent="0.25">
      <c r="A3106" s="999">
        <v>0.05</v>
      </c>
      <c r="B3106" s="1012" t="s">
        <v>4273</v>
      </c>
      <c r="C3106" s="1013">
        <v>217100</v>
      </c>
      <c r="D3106" s="908">
        <v>136800</v>
      </c>
      <c r="E3106" s="896">
        <v>-0.36987563334868723</v>
      </c>
      <c r="F3106" s="946">
        <v>-1.8493781667434362E-2</v>
      </c>
      <c r="G3106" s="78"/>
      <c r="H3106" t="s">
        <v>82</v>
      </c>
      <c r="I3106" s="21"/>
    </row>
    <row r="3107" spans="1:9" hidden="1" outlineLevel="1" x14ac:dyDescent="0.25">
      <c r="A3107" s="999">
        <v>0.05</v>
      </c>
      <c r="B3107" s="1012" t="s">
        <v>1414</v>
      </c>
      <c r="C3107" s="1013">
        <v>17.581477356000001</v>
      </c>
      <c r="D3107" s="908">
        <v>21.32</v>
      </c>
      <c r="E3107" s="896">
        <v>0.21263984637355637</v>
      </c>
      <c r="F3107" s="946">
        <v>1.063199231867782E-2</v>
      </c>
      <c r="G3107" s="78"/>
      <c r="H3107" t="s">
        <v>2428</v>
      </c>
      <c r="I3107" s="21"/>
    </row>
    <row r="3108" spans="1:9" hidden="1" outlineLevel="1" x14ac:dyDescent="0.25">
      <c r="A3108" s="999">
        <v>0.05</v>
      </c>
      <c r="B3108" s="1012" t="s">
        <v>1207</v>
      </c>
      <c r="C3108" s="1013">
        <v>6121</v>
      </c>
      <c r="D3108" s="908">
        <v>1589</v>
      </c>
      <c r="E3108" s="896">
        <v>-0.74040189511517718</v>
      </c>
      <c r="F3108" s="946">
        <v>-3.7020094755758862E-2</v>
      </c>
      <c r="G3108" s="78"/>
      <c r="H3108" t="s">
        <v>3487</v>
      </c>
      <c r="I3108" s="21"/>
    </row>
    <row r="3109" spans="1:9" hidden="1" outlineLevel="1" x14ac:dyDescent="0.25">
      <c r="A3109" s="999">
        <v>0.05</v>
      </c>
      <c r="B3109" s="1012" t="s">
        <v>4291</v>
      </c>
      <c r="C3109" s="1013">
        <v>19.824000000000002</v>
      </c>
      <c r="D3109" s="908">
        <v>22.45</v>
      </c>
      <c r="E3109" s="896">
        <v>0.13246569814366405</v>
      </c>
      <c r="F3109" s="946">
        <v>6.6232849071832028E-3</v>
      </c>
      <c r="G3109" s="78"/>
      <c r="H3109" t="s">
        <v>1891</v>
      </c>
      <c r="I3109" s="143"/>
    </row>
    <row r="3110" spans="1:9" hidden="1" outlineLevel="1" x14ac:dyDescent="0.25">
      <c r="A3110" s="999">
        <v>0.05</v>
      </c>
      <c r="B3110" s="1012" t="s">
        <v>4292</v>
      </c>
      <c r="C3110" s="1013">
        <v>10914</v>
      </c>
      <c r="D3110" s="908">
        <v>6830</v>
      </c>
      <c r="E3110" s="896">
        <v>-0.37419827744181788</v>
      </c>
      <c r="F3110" s="946">
        <v>-1.8709913872090894E-2</v>
      </c>
      <c r="G3110" s="78"/>
      <c r="H3110" t="s">
        <v>1892</v>
      </c>
      <c r="I3110" s="143"/>
    </row>
    <row r="3111" spans="1:9" hidden="1" outlineLevel="1" x14ac:dyDescent="0.25">
      <c r="A3111" s="999">
        <v>0.05</v>
      </c>
      <c r="B3111" s="1012" t="s">
        <v>2920</v>
      </c>
      <c r="C3111" s="1013">
        <v>21.132999999999999</v>
      </c>
      <c r="D3111" s="908">
        <v>26.84</v>
      </c>
      <c r="E3111" s="896">
        <v>0.27005157810060099</v>
      </c>
      <c r="F3111" s="946">
        <v>1.350257890503005E-2</v>
      </c>
      <c r="G3111" s="78"/>
      <c r="H3111" t="s">
        <v>2926</v>
      </c>
      <c r="I3111" s="21"/>
    </row>
    <row r="3112" spans="1:9" hidden="1" outlineLevel="1" x14ac:dyDescent="0.25">
      <c r="A3112" s="999">
        <v>0.05</v>
      </c>
      <c r="B3112" s="1012" t="s">
        <v>4293</v>
      </c>
      <c r="C3112" s="1013">
        <v>260.95</v>
      </c>
      <c r="D3112" s="908">
        <v>780</v>
      </c>
      <c r="E3112" s="896">
        <v>1.9890783675033532</v>
      </c>
      <c r="F3112" s="946">
        <v>9.9453918375167663E-2</v>
      </c>
      <c r="G3112" s="78"/>
      <c r="H3112" t="s">
        <v>1893</v>
      </c>
      <c r="I3112" s="143"/>
    </row>
    <row r="3113" spans="1:9" hidden="1" outlineLevel="1" x14ac:dyDescent="0.25">
      <c r="A3113" s="999">
        <v>0.05</v>
      </c>
      <c r="B3113" s="1012" t="s">
        <v>51</v>
      </c>
      <c r="C3113" s="1013">
        <v>73.41</v>
      </c>
      <c r="D3113" s="908">
        <v>34.92</v>
      </c>
      <c r="E3113" s="896">
        <v>-0.52431548835308539</v>
      </c>
      <c r="F3113" s="946">
        <v>-2.621577441765427E-2</v>
      </c>
      <c r="G3113" s="78"/>
      <c r="H3113" t="s">
        <v>2748</v>
      </c>
      <c r="I3113" s="21"/>
    </row>
    <row r="3114" spans="1:9" hidden="1" outlineLevel="1" x14ac:dyDescent="0.25">
      <c r="A3114" s="999">
        <v>0.1</v>
      </c>
      <c r="B3114" s="1012" t="s">
        <v>3998</v>
      </c>
      <c r="C3114" s="1013">
        <v>37.206000000000003</v>
      </c>
      <c r="D3114" s="908">
        <v>30.02</v>
      </c>
      <c r="E3114" s="896">
        <v>-0.19314089125409883</v>
      </c>
      <c r="F3114" s="946">
        <v>-1.9314089125409883E-2</v>
      </c>
      <c r="G3114" s="78"/>
      <c r="H3114" t="s">
        <v>4000</v>
      </c>
      <c r="I3114" s="21"/>
    </row>
    <row r="3115" spans="1:9" hidden="1" outlineLevel="1" x14ac:dyDescent="0.25">
      <c r="A3115" s="999">
        <v>0.05</v>
      </c>
      <c r="B3115" s="1012" t="s">
        <v>1205</v>
      </c>
      <c r="C3115" s="1013">
        <v>29.611999999999998</v>
      </c>
      <c r="D3115" s="908">
        <v>15.71</v>
      </c>
      <c r="E3115" s="896">
        <v>-0.46947183574226659</v>
      </c>
      <c r="F3115" s="946">
        <v>-2.3473591787113331E-2</v>
      </c>
      <c r="G3115" s="78"/>
      <c r="H3115" t="s">
        <v>1092</v>
      </c>
      <c r="I3115" s="21"/>
    </row>
    <row r="3116" spans="1:9" hidden="1" outlineLevel="1" x14ac:dyDescent="0.25">
      <c r="A3116" s="999">
        <v>0.05</v>
      </c>
      <c r="B3116" s="1012" t="s">
        <v>3020</v>
      </c>
      <c r="C3116" s="1013">
        <v>44.863999999999997</v>
      </c>
      <c r="D3116" s="908">
        <v>55.99</v>
      </c>
      <c r="E3116" s="896">
        <v>0.24799393723252505</v>
      </c>
      <c r="F3116" s="946">
        <v>1.2399696861626253E-2</v>
      </c>
      <c r="G3116" s="78"/>
      <c r="H3116" t="s">
        <v>490</v>
      </c>
      <c r="I3116" s="21"/>
    </row>
    <row r="3117" spans="1:9" hidden="1" outlineLevel="1" x14ac:dyDescent="0.25">
      <c r="A3117" s="999">
        <v>0.05</v>
      </c>
      <c r="B3117" s="1012" t="s">
        <v>4294</v>
      </c>
      <c r="C3117" s="1013">
        <v>265.45</v>
      </c>
      <c r="D3117" s="908">
        <v>305.39999999999998</v>
      </c>
      <c r="E3117" s="896">
        <v>0.15049915238274614</v>
      </c>
      <c r="F3117" s="946">
        <v>7.524957619137307E-3</v>
      </c>
      <c r="G3117" s="78"/>
      <c r="H3117" t="s">
        <v>1894</v>
      </c>
      <c r="I3117" s="143"/>
    </row>
    <row r="3118" spans="1:9" hidden="1" outlineLevel="1" x14ac:dyDescent="0.25">
      <c r="A3118" s="999">
        <v>0.05</v>
      </c>
      <c r="B3118" s="1012" t="s">
        <v>279</v>
      </c>
      <c r="C3118" s="1013">
        <v>47.421999999999997</v>
      </c>
      <c r="D3118" s="908">
        <v>46.545000000000002</v>
      </c>
      <c r="E3118" s="896">
        <v>-1.8493526211462941E-2</v>
      </c>
      <c r="F3118" s="946">
        <v>-9.246763105731471E-4</v>
      </c>
      <c r="G3118" s="78"/>
      <c r="H3118" t="s">
        <v>1468</v>
      </c>
      <c r="I3118" s="21"/>
    </row>
    <row r="3119" spans="1:9" hidden="1" outlineLevel="1" x14ac:dyDescent="0.25">
      <c r="A3119" s="999">
        <v>0.05</v>
      </c>
      <c r="B3119" s="1012" t="s">
        <v>1176</v>
      </c>
      <c r="C3119" s="1013">
        <v>33.857999999999997</v>
      </c>
      <c r="D3119" s="908">
        <v>1.6890000000000001</v>
      </c>
      <c r="E3119" s="896">
        <v>-0.95011518695729225</v>
      </c>
      <c r="F3119" s="946">
        <v>-4.7505759347864614E-2</v>
      </c>
      <c r="G3119" s="78"/>
      <c r="H3119" t="s">
        <v>3090</v>
      </c>
      <c r="I3119" s="21"/>
    </row>
    <row r="3120" spans="1:9" hidden="1" outlineLevel="1" x14ac:dyDescent="0.25">
      <c r="A3120" s="999">
        <v>0.05</v>
      </c>
      <c r="B3120" s="1012" t="s">
        <v>158</v>
      </c>
      <c r="C3120" s="1013">
        <v>27.626000000000001</v>
      </c>
      <c r="D3120" s="908">
        <v>20.190000000000001</v>
      </c>
      <c r="E3120" s="896">
        <v>-0.26916672699630784</v>
      </c>
      <c r="F3120" s="946">
        <v>-1.3458336349815393E-2</v>
      </c>
      <c r="G3120" s="78"/>
      <c r="H3120" t="s">
        <v>1315</v>
      </c>
      <c r="I3120" s="21"/>
    </row>
    <row r="3121" spans="1:30" hidden="1" outlineLevel="1" x14ac:dyDescent="0.25">
      <c r="A3121" s="999">
        <v>0.05</v>
      </c>
      <c r="B3121" s="1012" t="s">
        <v>1371</v>
      </c>
      <c r="C3121" s="1013">
        <v>101.233</v>
      </c>
      <c r="D3121" s="908">
        <v>106.9</v>
      </c>
      <c r="E3121" s="896">
        <v>5.5979769442770611E-2</v>
      </c>
      <c r="F3121" s="946">
        <v>2.7989884721385306E-3</v>
      </c>
      <c r="G3121" s="78"/>
      <c r="H3121" t="s">
        <v>1895</v>
      </c>
      <c r="I3121" s="143"/>
    </row>
    <row r="3122" spans="1:30" hidden="1" outlineLevel="1" x14ac:dyDescent="0.25">
      <c r="A3122" s="999">
        <v>0.05</v>
      </c>
      <c r="B3122" s="1012" t="s">
        <v>3800</v>
      </c>
      <c r="C3122" s="1013">
        <v>229.38</v>
      </c>
      <c r="D3122" s="908">
        <v>162.4</v>
      </c>
      <c r="E3122" s="896">
        <v>-0.29200453396111248</v>
      </c>
      <c r="F3122" s="946">
        <v>-1.4600226698055625E-2</v>
      </c>
      <c r="G3122" s="78"/>
      <c r="H3122" t="s">
        <v>2817</v>
      </c>
      <c r="I3122" s="21"/>
    </row>
    <row r="3123" spans="1:30" hidden="1" outlineLevel="1" x14ac:dyDescent="0.25">
      <c r="A3123" s="999">
        <v>0.05</v>
      </c>
      <c r="B3123" s="1012" t="s">
        <v>1001</v>
      </c>
      <c r="C3123" s="1013">
        <v>29.140999999999998</v>
      </c>
      <c r="D3123" s="908">
        <v>31.3</v>
      </c>
      <c r="E3123" s="709">
        <v>7.4088054630932376E-2</v>
      </c>
      <c r="F3123" s="946">
        <v>3.7044027315466192E-3</v>
      </c>
      <c r="G3123" s="78"/>
      <c r="H3123" t="s">
        <v>4150</v>
      </c>
      <c r="I3123" s="21"/>
    </row>
    <row r="3124" spans="1:30" hidden="1" outlineLevel="1" x14ac:dyDescent="0.25">
      <c r="A3124" s="1014"/>
      <c r="B3124" s="1015"/>
      <c r="C3124" s="1016"/>
      <c r="D3124" s="843"/>
      <c r="E3124" s="705"/>
      <c r="F3124" s="1830">
        <v>-5.8226126123428069E-2</v>
      </c>
      <c r="G3124" s="78"/>
      <c r="I3124" s="21"/>
    </row>
    <row r="3125" spans="1:30" hidden="1" outlineLevel="1" x14ac:dyDescent="0.25">
      <c r="A3125" s="1017"/>
      <c r="B3125" s="1018"/>
      <c r="C3125" s="837"/>
      <c r="D3125" s="798"/>
      <c r="E3125" s="709"/>
      <c r="F3125" s="1666"/>
      <c r="G3125" s="78"/>
      <c r="I3125" s="21"/>
    </row>
    <row r="3126" spans="1:30" hidden="1" outlineLevel="1" x14ac:dyDescent="0.25">
      <c r="A3126" s="725" t="s">
        <v>113</v>
      </c>
      <c r="B3126" s="725"/>
      <c r="C3126" s="1019"/>
      <c r="D3126" s="1019"/>
      <c r="E3126" s="729"/>
      <c r="F3126" s="1188" t="s">
        <v>1372</v>
      </c>
      <c r="G3126" s="78"/>
      <c r="I3126" s="21"/>
    </row>
    <row r="3127" spans="1:30" hidden="1" outlineLevel="1" x14ac:dyDescent="0.25">
      <c r="A3127" s="1020" t="s">
        <v>2664</v>
      </c>
      <c r="B3127" s="690" t="s">
        <v>1532</v>
      </c>
      <c r="C3127" s="691"/>
      <c r="D3127" s="691"/>
      <c r="E3127" s="691"/>
      <c r="F3127" s="1021">
        <v>0</v>
      </c>
      <c r="G3127" s="78"/>
    </row>
    <row r="3128" spans="1:30" hidden="1" outlineLevel="1" x14ac:dyDescent="0.25">
      <c r="A3128" s="1020" t="s">
        <v>2665</v>
      </c>
      <c r="B3128" s="706" t="s">
        <v>3737</v>
      </c>
      <c r="C3128" s="1022"/>
      <c r="D3128" s="1022"/>
      <c r="E3128" s="1022"/>
      <c r="F3128" s="946">
        <v>0</v>
      </c>
      <c r="G3128" s="78"/>
    </row>
    <row r="3129" spans="1:30" hidden="1" outlineLevel="1" x14ac:dyDescent="0.25">
      <c r="A3129" s="1020" t="s">
        <v>2666</v>
      </c>
      <c r="B3129" s="706" t="s">
        <v>4350</v>
      </c>
      <c r="C3129" s="1022"/>
      <c r="D3129" s="1022"/>
      <c r="E3129" s="1022"/>
      <c r="F3129" s="946">
        <v>0</v>
      </c>
      <c r="G3129" s="78"/>
    </row>
    <row r="3130" spans="1:30" hidden="1" outlineLevel="1" x14ac:dyDescent="0.25">
      <c r="A3130" s="1020" t="s">
        <v>2667</v>
      </c>
      <c r="B3130" s="706"/>
      <c r="C3130" s="1022"/>
      <c r="D3130" s="1022"/>
      <c r="E3130" s="1022"/>
      <c r="F3130" s="946">
        <v>0</v>
      </c>
      <c r="G3130" s="78"/>
    </row>
    <row r="3131" spans="1:30" hidden="1" outlineLevel="1" x14ac:dyDescent="0.25">
      <c r="A3131" s="1020" t="s">
        <v>2668</v>
      </c>
      <c r="B3131" s="706" t="s">
        <v>5206</v>
      </c>
      <c r="C3131" s="1022"/>
      <c r="D3131" s="1022"/>
      <c r="E3131" s="1022"/>
      <c r="F3131" s="1023">
        <v>0</v>
      </c>
      <c r="G3131" s="78"/>
    </row>
    <row r="3132" spans="1:30" collapsed="1" x14ac:dyDescent="0.25">
      <c r="A3132" s="3803" t="s">
        <v>3259</v>
      </c>
      <c r="B3132" s="3804"/>
      <c r="C3132" s="3804"/>
      <c r="D3132" s="1019"/>
      <c r="E3132" s="1019"/>
      <c r="F3132" s="934">
        <v>0</v>
      </c>
      <c r="G3132" s="97" t="s">
        <v>781</v>
      </c>
    </row>
    <row r="3133" spans="1:30" x14ac:dyDescent="0.25">
      <c r="A3133" s="1"/>
      <c r="B3133" s="1"/>
      <c r="C3133" s="1"/>
      <c r="D3133" s="1"/>
      <c r="E3133" s="1"/>
      <c r="F3133" s="1848"/>
      <c r="G3133" s="78"/>
    </row>
    <row r="3134" spans="1:30" hidden="1" outlineLevel="1" x14ac:dyDescent="0.25">
      <c r="A3134" s="689" t="s">
        <v>113</v>
      </c>
      <c r="B3134" s="689" t="s">
        <v>114</v>
      </c>
      <c r="C3134" s="689" t="s">
        <v>112</v>
      </c>
      <c r="D3134" s="689" t="s">
        <v>2328</v>
      </c>
      <c r="E3134" s="495" t="s">
        <v>117</v>
      </c>
      <c r="F3134" s="1021" t="s">
        <v>121</v>
      </c>
      <c r="G3134" s="78"/>
    </row>
    <row r="3135" spans="1:30" hidden="1" outlineLevel="1" x14ac:dyDescent="0.25">
      <c r="A3135" s="753" t="s">
        <v>2669</v>
      </c>
      <c r="B3135" s="799" t="s">
        <v>3563</v>
      </c>
      <c r="C3135" s="793">
        <v>9867.1080000000002</v>
      </c>
      <c r="D3135" s="809">
        <v>9574.84</v>
      </c>
      <c r="E3135" s="3813">
        <v>-0.18522267434400619</v>
      </c>
      <c r="F3135" s="3816">
        <v>-7.7312584999999989E-2</v>
      </c>
      <c r="G3135" s="78"/>
      <c r="H3135" t="s">
        <v>4410</v>
      </c>
    </row>
    <row r="3136" spans="1:30" hidden="1" outlineLevel="1" x14ac:dyDescent="0.25">
      <c r="A3136" s="732" t="s">
        <v>2669</v>
      </c>
      <c r="B3136" s="852" t="s">
        <v>3564</v>
      </c>
      <c r="C3136" s="797">
        <v>20487.002</v>
      </c>
      <c r="D3136" s="809">
        <v>19441.46</v>
      </c>
      <c r="E3136" s="3814"/>
      <c r="F3136" s="3817"/>
      <c r="G3136" s="78"/>
      <c r="H3136" t="s">
        <v>4411</v>
      </c>
      <c r="I3136" s="256">
        <v>40575</v>
      </c>
      <c r="J3136" s="256">
        <v>40603</v>
      </c>
      <c r="K3136" s="256">
        <v>40634</v>
      </c>
      <c r="L3136" s="256">
        <v>40664</v>
      </c>
      <c r="M3136" s="256">
        <v>40695</v>
      </c>
      <c r="N3136" s="256">
        <v>40725</v>
      </c>
      <c r="O3136" s="256">
        <v>40756</v>
      </c>
      <c r="P3136" s="256">
        <v>40787</v>
      </c>
      <c r="Q3136" s="256">
        <v>40817</v>
      </c>
      <c r="R3136" s="256">
        <v>40848</v>
      </c>
      <c r="S3136" s="256">
        <v>40878</v>
      </c>
      <c r="T3136" s="256">
        <v>40909</v>
      </c>
      <c r="U3136" s="256">
        <v>40940</v>
      </c>
      <c r="V3136" s="256">
        <v>40969</v>
      </c>
      <c r="W3136" s="256">
        <v>41000</v>
      </c>
      <c r="X3136" s="256">
        <v>41030</v>
      </c>
      <c r="Y3136" s="256">
        <v>41061</v>
      </c>
      <c r="Z3136" s="256">
        <v>41091</v>
      </c>
      <c r="AA3136" s="256"/>
      <c r="AB3136" s="256"/>
      <c r="AC3136" s="256"/>
      <c r="AD3136" s="256"/>
    </row>
    <row r="3137" spans="1:26" hidden="1" outlineLevel="1" x14ac:dyDescent="0.25">
      <c r="A3137" s="732" t="s">
        <v>2669</v>
      </c>
      <c r="B3137" s="852" t="s">
        <v>761</v>
      </c>
      <c r="C3137" s="797">
        <v>17945.195</v>
      </c>
      <c r="D3137" s="809">
        <v>9006.7800000000007</v>
      </c>
      <c r="E3137" s="3814"/>
      <c r="F3137" s="3817"/>
      <c r="G3137" s="78"/>
      <c r="H3137" t="s">
        <v>4406</v>
      </c>
      <c r="I3137">
        <v>97.863100000000003</v>
      </c>
      <c r="J3137">
        <v>97.095399999999998</v>
      </c>
      <c r="K3137">
        <v>100.6541</v>
      </c>
      <c r="L3137">
        <v>97.055899999999994</v>
      </c>
      <c r="M3137">
        <v>94.334500000000006</v>
      </c>
      <c r="N3137">
        <v>94.223600000000005</v>
      </c>
      <c r="O3137">
        <v>83.616299999999995</v>
      </c>
      <c r="P3137">
        <v>80.634100000000004</v>
      </c>
      <c r="Q3137">
        <v>80.230199999999996</v>
      </c>
      <c r="R3137">
        <v>83.275999999999996</v>
      </c>
      <c r="S3137">
        <v>78.498000000000005</v>
      </c>
      <c r="T3137" s="425">
        <v>81.837699999999998</v>
      </c>
      <c r="U3137">
        <v>88.744900000000001</v>
      </c>
      <c r="V3137">
        <v>90.625100000000003</v>
      </c>
      <c r="W3137">
        <v>88.011399999999995</v>
      </c>
      <c r="X3137">
        <v>82.764300000000006</v>
      </c>
      <c r="Y3137">
        <v>79.096199999999996</v>
      </c>
      <c r="Z3137">
        <v>80.546099999999996</v>
      </c>
    </row>
    <row r="3138" spans="1:26" hidden="1" outlineLevel="1" x14ac:dyDescent="0.25">
      <c r="A3138" s="754" t="s">
        <v>2669</v>
      </c>
      <c r="B3138" s="801" t="s">
        <v>2019</v>
      </c>
      <c r="C3138" s="823">
        <v>396.41500000000002</v>
      </c>
      <c r="D3138" s="809">
        <v>332.14</v>
      </c>
      <c r="E3138" s="3814"/>
      <c r="F3138" s="3817"/>
      <c r="G3138" s="78"/>
      <c r="H3138" t="s">
        <v>2016</v>
      </c>
      <c r="I3138" s="37">
        <f>I3137/100-1</f>
        <v>-2.1368999999999971E-2</v>
      </c>
      <c r="J3138" s="37">
        <f>IF(J3137="",I3138,J3137/100-1)</f>
        <v>-2.9046000000000016E-2</v>
      </c>
      <c r="K3138" s="37">
        <f t="shared" ref="K3138:R3138" si="108">IF(K3137="",J3138,K3137/100-1)</f>
        <v>6.540999999999908E-3</v>
      </c>
      <c r="L3138" s="37">
        <f t="shared" si="108"/>
        <v>-2.944100000000005E-2</v>
      </c>
      <c r="M3138" s="37">
        <f t="shared" si="108"/>
        <v>-5.66549999999999E-2</v>
      </c>
      <c r="N3138" s="37">
        <f t="shared" si="108"/>
        <v>-5.7763999999999927E-2</v>
      </c>
      <c r="O3138" s="37">
        <f t="shared" si="108"/>
        <v>-0.16383700000000001</v>
      </c>
      <c r="P3138" s="37">
        <f t="shared" si="108"/>
        <v>-0.19365899999999991</v>
      </c>
      <c r="Q3138" s="37">
        <f t="shared" si="108"/>
        <v>-0.19769800000000004</v>
      </c>
      <c r="R3138" s="37">
        <f t="shared" si="108"/>
        <v>-0.16724000000000006</v>
      </c>
      <c r="S3138" s="37">
        <f>IF(S3137="",R3138,S3137/100-1)</f>
        <v>-0.21501999999999999</v>
      </c>
      <c r="T3138" s="37">
        <f>IF(T3137="",S3138,T3137/100-1)</f>
        <v>-0.18162299999999998</v>
      </c>
      <c r="U3138" s="37">
        <f>IF(U3137="",T3138,U3137/100-1)</f>
        <v>-0.11255099999999996</v>
      </c>
      <c r="V3138" s="37">
        <f>IF(V3137="",U3138,V3137/100-1)</f>
        <v>-9.3748999999999971E-2</v>
      </c>
      <c r="W3138" s="37">
        <f>IF(W3137="",V3138,W3137/100-1)</f>
        <v>-0.11988600000000005</v>
      </c>
      <c r="X3138" s="37">
        <v>-0.17235700000000001</v>
      </c>
      <c r="Y3138" s="37">
        <v>-0.209038</v>
      </c>
      <c r="Z3138" s="37">
        <v>-0.19453899999999999</v>
      </c>
    </row>
    <row r="3139" spans="1:26" collapsed="1" x14ac:dyDescent="0.25">
      <c r="A3139" s="3801" t="s">
        <v>311</v>
      </c>
      <c r="B3139" s="3802"/>
      <c r="C3139" s="3802"/>
      <c r="D3139" s="3802"/>
      <c r="E3139" s="729"/>
      <c r="F3139" s="934">
        <v>0.04</v>
      </c>
      <c r="G3139" s="97" t="s">
        <v>781</v>
      </c>
      <c r="H3139" s="69" t="s">
        <v>3766</v>
      </c>
      <c r="I3139" s="261">
        <f>AVERAGE(I3138:Z3138)</f>
        <v>-0.12271838888888888</v>
      </c>
    </row>
    <row r="3140" spans="1:26" x14ac:dyDescent="0.25">
      <c r="A3140" s="1"/>
      <c r="B3140" s="1"/>
      <c r="C3140" s="1"/>
      <c r="D3140" s="1"/>
      <c r="E3140" s="1"/>
      <c r="F3140" s="1848"/>
      <c r="G3140" s="78"/>
    </row>
    <row r="3141" spans="1:26" hidden="1" outlineLevel="1" x14ac:dyDescent="0.25">
      <c r="A3141" s="689" t="s">
        <v>113</v>
      </c>
      <c r="B3141" s="689" t="s">
        <v>114</v>
      </c>
      <c r="C3141" s="689" t="s">
        <v>112</v>
      </c>
      <c r="D3141" s="495" t="s">
        <v>2328</v>
      </c>
      <c r="E3141" s="495" t="s">
        <v>117</v>
      </c>
      <c r="F3141" s="1021" t="s">
        <v>121</v>
      </c>
      <c r="G3141" s="78"/>
    </row>
    <row r="3142" spans="1:26" hidden="1" outlineLevel="1" x14ac:dyDescent="0.25">
      <c r="A3142" s="799">
        <v>1</v>
      </c>
      <c r="B3142" s="1024" t="s">
        <v>2153</v>
      </c>
      <c r="C3142" s="1025">
        <v>4090.009</v>
      </c>
      <c r="D3142" s="800">
        <v>3013.09</v>
      </c>
      <c r="E3142" s="3816">
        <v>-0.20478953750532591</v>
      </c>
      <c r="F3142" s="3819">
        <v>-0.18431058375479334</v>
      </c>
      <c r="G3142" s="78"/>
    </row>
    <row r="3143" spans="1:26" hidden="1" outlineLevel="1" x14ac:dyDescent="0.25">
      <c r="A3143" s="852"/>
      <c r="B3143" s="1026" t="s">
        <v>904</v>
      </c>
      <c r="C3143" s="1027">
        <v>6210.74</v>
      </c>
      <c r="D3143" s="1028">
        <v>5994.01</v>
      </c>
      <c r="E3143" s="3817"/>
      <c r="F3143" s="3820"/>
      <c r="G3143" s="78"/>
    </row>
    <row r="3144" spans="1:26" hidden="1" outlineLevel="1" x14ac:dyDescent="0.25">
      <c r="A3144" s="801"/>
      <c r="B3144" s="695" t="s">
        <v>3226</v>
      </c>
      <c r="C3144" s="1027">
        <v>8904.7790000000005</v>
      </c>
      <c r="D3144" s="806">
        <v>6610.44</v>
      </c>
      <c r="E3144" s="3817"/>
      <c r="F3144" s="3820"/>
      <c r="G3144" s="78"/>
    </row>
    <row r="3145" spans="1:26" hidden="1" outlineLevel="1" x14ac:dyDescent="0.25">
      <c r="A3145" s="728"/>
      <c r="B3145" s="729"/>
      <c r="C3145" s="1029"/>
      <c r="D3145" s="1030"/>
      <c r="E3145" s="1031"/>
      <c r="F3145" s="1032"/>
      <c r="G3145" s="78"/>
    </row>
    <row r="3146" spans="1:26" hidden="1" outlineLevel="1" x14ac:dyDescent="0.25">
      <c r="A3146" s="962" t="s">
        <v>2670</v>
      </c>
      <c r="B3146" s="985">
        <v>39203</v>
      </c>
      <c r="C3146" s="1029">
        <v>100</v>
      </c>
      <c r="D3146" s="1033">
        <v>108.35</v>
      </c>
      <c r="E3146" s="1031">
        <v>8.3499999999999908E-2</v>
      </c>
      <c r="F3146" s="1032">
        <v>8.3499999999999908E-2</v>
      </c>
      <c r="G3146" s="78"/>
    </row>
    <row r="3147" spans="1:26" hidden="1" outlineLevel="1" x14ac:dyDescent="0.25">
      <c r="A3147" s="962" t="s">
        <v>2671</v>
      </c>
      <c r="B3147" s="985">
        <v>39295</v>
      </c>
      <c r="C3147" s="1029">
        <v>100</v>
      </c>
      <c r="D3147" s="1033">
        <v>102.81</v>
      </c>
      <c r="E3147" s="1031">
        <v>2.8100000000000014E-2</v>
      </c>
      <c r="F3147" s="1032">
        <v>2.8100000000000014E-2</v>
      </c>
      <c r="G3147" s="78"/>
    </row>
    <row r="3148" spans="1:26" hidden="1" outlineLevel="1" x14ac:dyDescent="0.25">
      <c r="A3148" s="962" t="s">
        <v>2672</v>
      </c>
      <c r="B3148" s="985">
        <v>39387</v>
      </c>
      <c r="C3148" s="1029">
        <v>100</v>
      </c>
      <c r="D3148" s="1033">
        <v>104.4</v>
      </c>
      <c r="E3148" s="1031">
        <v>4.4000000000000039E-2</v>
      </c>
      <c r="F3148" s="1032">
        <v>4.4000000000000039E-2</v>
      </c>
      <c r="G3148" s="78"/>
    </row>
    <row r="3149" spans="1:26" hidden="1" outlineLevel="1" x14ac:dyDescent="0.25">
      <c r="A3149" s="962" t="s">
        <v>2673</v>
      </c>
      <c r="B3149" s="985">
        <v>39479</v>
      </c>
      <c r="C3149" s="1029">
        <v>100</v>
      </c>
      <c r="D3149" s="1033">
        <v>90.37</v>
      </c>
      <c r="E3149" s="1031">
        <v>-9.6299999999999941E-2</v>
      </c>
      <c r="F3149" s="1032">
        <v>-9.6299999999999941E-2</v>
      </c>
      <c r="G3149" s="78"/>
    </row>
    <row r="3150" spans="1:26" hidden="1" outlineLevel="1" x14ac:dyDescent="0.25">
      <c r="A3150" s="962" t="s">
        <v>2674</v>
      </c>
      <c r="B3150" s="985">
        <v>39569</v>
      </c>
      <c r="C3150" s="1029">
        <v>100</v>
      </c>
      <c r="D3150" s="1033">
        <v>91.64</v>
      </c>
      <c r="E3150" s="1031">
        <v>-8.3600000000000008E-2</v>
      </c>
      <c r="F3150" s="1032">
        <v>-8.3600000000000008E-2</v>
      </c>
      <c r="G3150" s="78"/>
      <c r="I3150" s="37"/>
    </row>
    <row r="3151" spans="1:26" hidden="1" outlineLevel="1" x14ac:dyDescent="0.25">
      <c r="A3151" s="962" t="s">
        <v>2675</v>
      </c>
      <c r="B3151" s="985">
        <v>39661</v>
      </c>
      <c r="C3151" s="1029">
        <v>100</v>
      </c>
      <c r="D3151" s="1033">
        <v>84.16</v>
      </c>
      <c r="E3151" s="1031">
        <v>-0.15839999999999999</v>
      </c>
      <c r="F3151" s="1032">
        <v>-0.15839999999999999</v>
      </c>
      <c r="G3151" s="78"/>
    </row>
    <row r="3152" spans="1:26" hidden="1" outlineLevel="1" x14ac:dyDescent="0.25">
      <c r="A3152" s="962" t="s">
        <v>2676</v>
      </c>
      <c r="B3152" s="985">
        <v>39753</v>
      </c>
      <c r="C3152" s="1029">
        <v>100</v>
      </c>
      <c r="D3152" s="1033">
        <v>63.3</v>
      </c>
      <c r="E3152" s="1031">
        <v>-0.36699999999999999</v>
      </c>
      <c r="F3152" s="1032">
        <v>-0.36699999999999999</v>
      </c>
      <c r="G3152" s="78"/>
    </row>
    <row r="3153" spans="1:9" hidden="1" outlineLevel="1" x14ac:dyDescent="0.25">
      <c r="A3153" s="962" t="s">
        <v>2677</v>
      </c>
      <c r="B3153" s="985">
        <v>39845</v>
      </c>
      <c r="C3153" s="1029">
        <v>100</v>
      </c>
      <c r="D3153" s="1033">
        <v>52.75</v>
      </c>
      <c r="E3153" s="1031">
        <v>-0.47250000000000003</v>
      </c>
      <c r="F3153" s="1032">
        <v>-0.47250000000000003</v>
      </c>
      <c r="G3153" s="78"/>
    </row>
    <row r="3154" spans="1:9" hidden="1" outlineLevel="1" x14ac:dyDescent="0.25">
      <c r="A3154" s="962" t="s">
        <v>2678</v>
      </c>
      <c r="B3154" s="985">
        <v>39934</v>
      </c>
      <c r="C3154" s="1029">
        <v>100</v>
      </c>
      <c r="D3154" s="1033">
        <v>62.77</v>
      </c>
      <c r="E3154" s="1031">
        <v>-0.37229999999999996</v>
      </c>
      <c r="F3154" s="1032">
        <v>-0.37229999999999996</v>
      </c>
      <c r="G3154" s="78"/>
    </row>
    <row r="3155" spans="1:9" hidden="1" outlineLevel="1" x14ac:dyDescent="0.25">
      <c r="A3155" s="962" t="s">
        <v>3034</v>
      </c>
      <c r="B3155" s="985">
        <v>40026</v>
      </c>
      <c r="C3155" s="1029">
        <v>100</v>
      </c>
      <c r="D3155" s="1033">
        <v>71.14</v>
      </c>
      <c r="E3155" s="1031">
        <v>-0.28859999999999997</v>
      </c>
      <c r="F3155" s="1032">
        <v>-0.28859999999999997</v>
      </c>
      <c r="G3155" s="78"/>
    </row>
    <row r="3156" spans="1:9" hidden="1" outlineLevel="1" x14ac:dyDescent="0.25">
      <c r="A3156" s="962" t="s">
        <v>3035</v>
      </c>
      <c r="B3156" s="985">
        <v>40118</v>
      </c>
      <c r="C3156" s="1029">
        <v>100</v>
      </c>
      <c r="D3156" s="1033">
        <v>72.67</v>
      </c>
      <c r="E3156" s="1031">
        <v>-0.27329999999999999</v>
      </c>
      <c r="F3156" s="1032">
        <v>-0.27329999999999999</v>
      </c>
      <c r="G3156" s="78"/>
      <c r="H3156" s="101"/>
    </row>
    <row r="3157" spans="1:9" hidden="1" outlineLevel="1" x14ac:dyDescent="0.25">
      <c r="A3157" s="962" t="s">
        <v>2424</v>
      </c>
      <c r="B3157" s="985">
        <v>40210</v>
      </c>
      <c r="C3157" s="1029">
        <v>100</v>
      </c>
      <c r="D3157" s="1033">
        <v>73.75</v>
      </c>
      <c r="E3157" s="1031">
        <v>-0.26249999999999996</v>
      </c>
      <c r="F3157" s="1032">
        <v>-0.26249999999999996</v>
      </c>
      <c r="G3157" s="78"/>
      <c r="H3157" s="101"/>
    </row>
    <row r="3158" spans="1:9" hidden="1" outlineLevel="1" x14ac:dyDescent="0.25">
      <c r="A3158" s="962" t="s">
        <v>2425</v>
      </c>
      <c r="B3158" s="985">
        <v>40299</v>
      </c>
      <c r="C3158" s="1029">
        <v>100</v>
      </c>
      <c r="D3158" s="1033">
        <v>70.52</v>
      </c>
      <c r="E3158" s="1031">
        <v>-0.29480000000000006</v>
      </c>
      <c r="F3158" s="1032">
        <v>-0.29480000000000006</v>
      </c>
      <c r="G3158" s="78"/>
    </row>
    <row r="3159" spans="1:9" hidden="1" outlineLevel="1" x14ac:dyDescent="0.25">
      <c r="A3159" s="962" t="s">
        <v>1482</v>
      </c>
      <c r="B3159" s="985">
        <v>40391</v>
      </c>
      <c r="C3159" s="1029">
        <v>100</v>
      </c>
      <c r="D3159" s="1033">
        <v>70.45</v>
      </c>
      <c r="E3159" s="1031">
        <v>-0.29549999999999998</v>
      </c>
      <c r="F3159" s="1032">
        <v>-0.29549999999999998</v>
      </c>
      <c r="G3159" s="78"/>
      <c r="H3159" t="s">
        <v>1837</v>
      </c>
    </row>
    <row r="3160" spans="1:9" hidden="1" outlineLevel="1" x14ac:dyDescent="0.25">
      <c r="A3160" s="962" t="s">
        <v>1483</v>
      </c>
      <c r="B3160" s="985">
        <v>40483</v>
      </c>
      <c r="C3160" s="1029">
        <v>100</v>
      </c>
      <c r="D3160" s="1033">
        <v>72.38</v>
      </c>
      <c r="E3160" s="1031">
        <v>-0.2762</v>
      </c>
      <c r="F3160" s="1032">
        <v>-0.2762</v>
      </c>
      <c r="G3160" s="78"/>
      <c r="H3160" s="101">
        <f>AVERAGE(F3146:F3161)</f>
        <v>-0.2056375</v>
      </c>
    </row>
    <row r="3161" spans="1:9" hidden="1" outlineLevel="1" x14ac:dyDescent="0.25">
      <c r="A3161" s="962" t="s">
        <v>2234</v>
      </c>
      <c r="B3161" s="985">
        <v>40575</v>
      </c>
      <c r="C3161" s="794">
        <v>100</v>
      </c>
      <c r="D3161" s="956">
        <v>79.52</v>
      </c>
      <c r="E3161" s="1031">
        <v>-0.20480000000000009</v>
      </c>
      <c r="F3161" s="1032">
        <v>-0.20480000000000009</v>
      </c>
      <c r="G3161" s="78"/>
    </row>
    <row r="3162" spans="1:9" collapsed="1" x14ac:dyDescent="0.25">
      <c r="A3162" s="1034" t="s">
        <v>2491</v>
      </c>
      <c r="B3162" s="1035"/>
      <c r="C3162" s="1035"/>
      <c r="D3162" s="1035"/>
      <c r="E3162" s="729"/>
      <c r="F3162" s="934">
        <v>0.02</v>
      </c>
      <c r="G3162" s="97" t="s">
        <v>781</v>
      </c>
    </row>
    <row r="3163" spans="1:9" x14ac:dyDescent="0.25">
      <c r="A3163" s="1"/>
      <c r="B3163" s="1"/>
      <c r="C3163" s="1"/>
      <c r="D3163" s="1"/>
      <c r="E3163" s="1"/>
      <c r="F3163" s="1848"/>
      <c r="G3163" s="78"/>
    </row>
    <row r="3164" spans="1:9" hidden="1" outlineLevel="1" x14ac:dyDescent="0.25">
      <c r="A3164" s="689" t="s">
        <v>113</v>
      </c>
      <c r="B3164" s="689" t="s">
        <v>114</v>
      </c>
      <c r="C3164" s="689" t="s">
        <v>112</v>
      </c>
      <c r="D3164" s="689" t="s">
        <v>116</v>
      </c>
      <c r="E3164" s="689" t="s">
        <v>117</v>
      </c>
      <c r="F3164" s="1188" t="s">
        <v>121</v>
      </c>
      <c r="G3164" s="78"/>
    </row>
    <row r="3165" spans="1:9" hidden="1" outlineLevel="1" x14ac:dyDescent="0.25">
      <c r="A3165" s="690">
        <v>1</v>
      </c>
      <c r="B3165" s="691" t="s">
        <v>252</v>
      </c>
      <c r="C3165" s="692">
        <v>100</v>
      </c>
      <c r="D3165" s="692"/>
      <c r="E3165" s="693"/>
      <c r="F3165" s="694"/>
      <c r="G3165" s="78"/>
    </row>
    <row r="3166" spans="1:9" hidden="1" outlineLevel="1" x14ac:dyDescent="0.25">
      <c r="A3166" s="695"/>
      <c r="B3166" s="695"/>
      <c r="C3166" s="696"/>
      <c r="D3166" s="697" t="s">
        <v>3702</v>
      </c>
      <c r="E3166" s="698">
        <f>indexy!B2</f>
        <v>45379</v>
      </c>
      <c r="F3166" s="699"/>
      <c r="G3166" s="78"/>
    </row>
    <row r="3167" spans="1:9" hidden="1" outlineLevel="1" x14ac:dyDescent="0.25">
      <c r="A3167" s="689" t="s">
        <v>4156</v>
      </c>
      <c r="B3167" s="689" t="s">
        <v>4153</v>
      </c>
      <c r="C3167" s="700" t="s">
        <v>112</v>
      </c>
      <c r="D3167" s="689" t="s">
        <v>116</v>
      </c>
      <c r="E3167" s="689" t="s">
        <v>4154</v>
      </c>
      <c r="F3167" s="1021" t="s">
        <v>2519</v>
      </c>
      <c r="G3167" s="78"/>
      <c r="H3167" s="39" t="s">
        <v>3533</v>
      </c>
    </row>
    <row r="3168" spans="1:9" hidden="1" outlineLevel="1" x14ac:dyDescent="0.25">
      <c r="A3168" s="734">
        <v>0.05</v>
      </c>
      <c r="B3168" s="735" t="s">
        <v>6551</v>
      </c>
      <c r="C3168" s="807">
        <v>84.847999999999999</v>
      </c>
      <c r="D3168" s="803">
        <v>161.11799999999999</v>
      </c>
      <c r="E3168" s="503">
        <f t="shared" ref="E3168:E3187" si="109">D3168/C3168-1</f>
        <v>0.89890156515180086</v>
      </c>
      <c r="F3168" s="3827" t="s">
        <v>1740</v>
      </c>
      <c r="G3168" s="78"/>
      <c r="H3168" t="str">
        <f>VLOOKUP(B3168,indexy!$A$44:$D$234,3,FALSE)</f>
        <v>AAPL UW Equity</v>
      </c>
      <c r="I3168" s="171"/>
    </row>
    <row r="3169" spans="1:11" hidden="1" outlineLevel="1" x14ac:dyDescent="0.25">
      <c r="A3169" s="739">
        <v>0.05</v>
      </c>
      <c r="B3169" s="740" t="s">
        <v>162</v>
      </c>
      <c r="C3169" s="809">
        <v>64.561999999999998</v>
      </c>
      <c r="D3169" s="908">
        <v>100.73699999999999</v>
      </c>
      <c r="E3169" s="504">
        <f t="shared" si="109"/>
        <v>0.56031411666305253</v>
      </c>
      <c r="F3169" s="3828"/>
      <c r="G3169" s="78"/>
      <c r="H3169" t="str">
        <f>VLOOKUP(B3169,indexy!$A$44:$D$234,3,FALSE)</f>
        <v>SLB UN Equity</v>
      </c>
      <c r="I3169" s="171"/>
      <c r="J3169" s="39"/>
      <c r="K3169" s="224"/>
    </row>
    <row r="3170" spans="1:11" hidden="1" outlineLevel="1" x14ac:dyDescent="0.25">
      <c r="A3170" s="739">
        <v>0.05</v>
      </c>
      <c r="B3170" s="740" t="s">
        <v>1002</v>
      </c>
      <c r="C3170" s="809">
        <v>16.884</v>
      </c>
      <c r="D3170" s="908">
        <v>21.225000000000001</v>
      </c>
      <c r="E3170" s="504">
        <f t="shared" si="109"/>
        <v>0.25710732054015639</v>
      </c>
      <c r="F3170" s="3828"/>
      <c r="G3170" s="78"/>
      <c r="H3170" t="str">
        <f>VLOOKUP(B3170,indexy!$A$44:$D$234,3,FALSE)</f>
        <v>ORCL UN Equity</v>
      </c>
      <c r="I3170" s="171"/>
      <c r="J3170" s="39"/>
      <c r="K3170" s="224"/>
    </row>
    <row r="3171" spans="1:11" hidden="1" outlineLevel="1" x14ac:dyDescent="0.25">
      <c r="A3171" s="739">
        <v>0.05</v>
      </c>
      <c r="B3171" s="743" t="s">
        <v>164</v>
      </c>
      <c r="C3171" s="809">
        <v>48.198999999999998</v>
      </c>
      <c r="D3171" s="908">
        <v>57.683</v>
      </c>
      <c r="E3171" s="504">
        <f t="shared" si="109"/>
        <v>0.196767567791863</v>
      </c>
      <c r="F3171" s="3828"/>
      <c r="G3171" s="78"/>
      <c r="H3171" t="e">
        <f>VLOOKUP(B3171,indexy!$A$44:$D$234,3,FALSE)</f>
        <v>#N/A</v>
      </c>
      <c r="I3171" s="171"/>
      <c r="J3171" s="208"/>
      <c r="K3171" s="225"/>
    </row>
    <row r="3172" spans="1:11" hidden="1" outlineLevel="1" x14ac:dyDescent="0.25">
      <c r="A3172" s="739">
        <v>0.05</v>
      </c>
      <c r="B3172" s="743" t="s">
        <v>1993</v>
      </c>
      <c r="C3172" s="809">
        <v>64.554900000000004</v>
      </c>
      <c r="D3172" s="908">
        <v>72.994</v>
      </c>
      <c r="E3172" s="504">
        <f t="shared" si="109"/>
        <v>0.13072748931529588</v>
      </c>
      <c r="F3172" s="3828"/>
      <c r="G3172" s="78"/>
      <c r="H3172" t="str">
        <f>VLOOKUP(B3172,indexy!$A$44:$D$234,3,FALSE)</f>
        <v>MO UN Equity</v>
      </c>
      <c r="I3172" s="171"/>
      <c r="J3172" s="39"/>
      <c r="K3172" s="225"/>
    </row>
    <row r="3173" spans="1:11" hidden="1" outlineLevel="1" x14ac:dyDescent="0.25">
      <c r="A3173" s="739">
        <v>0.05</v>
      </c>
      <c r="B3173" s="743" t="s">
        <v>1204</v>
      </c>
      <c r="C3173" s="809">
        <v>64.093999999999994</v>
      </c>
      <c r="D3173" s="908">
        <v>66.555000000000007</v>
      </c>
      <c r="E3173" s="709">
        <f t="shared" si="109"/>
        <v>3.8396729803101826E-2</v>
      </c>
      <c r="F3173" s="946"/>
      <c r="G3173" s="78"/>
      <c r="H3173" t="str">
        <f>VLOOKUP(B3173,indexy!$A$44:$D$234,3,FALSE)</f>
        <v>PEP UW Equity</v>
      </c>
      <c r="I3173" s="171"/>
      <c r="J3173" s="39"/>
      <c r="K3173" s="39"/>
    </row>
    <row r="3174" spans="1:11" hidden="1" outlineLevel="1" x14ac:dyDescent="0.25">
      <c r="A3174" s="739">
        <v>0.05</v>
      </c>
      <c r="B3174" s="743" t="s">
        <v>1190</v>
      </c>
      <c r="C3174" s="809">
        <v>17.030999999999999</v>
      </c>
      <c r="D3174" s="908">
        <v>17.527000000000001</v>
      </c>
      <c r="E3174" s="709">
        <f t="shared" si="109"/>
        <v>2.912336327872711E-2</v>
      </c>
      <c r="F3174" s="946"/>
      <c r="G3174" s="78"/>
      <c r="H3174" t="str">
        <f>VLOOKUP(B3174,indexy!$A$44:$D$234,3,FALSE)</f>
        <v>NOKIA FH Equity</v>
      </c>
      <c r="I3174" s="171"/>
      <c r="J3174" s="39"/>
      <c r="K3174" s="39"/>
    </row>
    <row r="3175" spans="1:11" hidden="1" outlineLevel="1" x14ac:dyDescent="0.25">
      <c r="A3175" s="739">
        <v>0.05</v>
      </c>
      <c r="B3175" s="740" t="s">
        <v>159</v>
      </c>
      <c r="C3175" s="809">
        <v>466.79</v>
      </c>
      <c r="D3175" s="908">
        <v>480.07299999999998</v>
      </c>
      <c r="E3175" s="709">
        <f t="shared" si="109"/>
        <v>2.8456050900833363E-2</v>
      </c>
      <c r="F3175" s="946"/>
      <c r="G3175" s="78"/>
      <c r="H3175" t="e">
        <f>VLOOKUP(B3175,indexy!$A$44:$D$234,3,FALSE)</f>
        <v>#N/A</v>
      </c>
      <c r="I3175" s="171"/>
      <c r="J3175" s="39"/>
      <c r="K3175" s="39"/>
    </row>
    <row r="3176" spans="1:11" hidden="1" outlineLevel="1" x14ac:dyDescent="0.25">
      <c r="A3176" s="739">
        <v>0.05</v>
      </c>
      <c r="B3176" s="743" t="s">
        <v>161</v>
      </c>
      <c r="C3176" s="809">
        <v>578700</v>
      </c>
      <c r="D3176" s="908">
        <v>576400</v>
      </c>
      <c r="E3176" s="709">
        <f t="shared" si="109"/>
        <v>-3.9744254363227594E-3</v>
      </c>
      <c r="F3176" s="946"/>
      <c r="G3176" s="78"/>
      <c r="H3176" t="e">
        <f>VLOOKUP(B3176,indexy!$A$44:$D$234,3,FALSE)</f>
        <v>#N/A</v>
      </c>
      <c r="I3176" s="171"/>
      <c r="J3176" s="39"/>
      <c r="K3176" s="39"/>
    </row>
    <row r="3177" spans="1:11" hidden="1" outlineLevel="1" x14ac:dyDescent="0.25">
      <c r="A3177" s="739">
        <v>0.05</v>
      </c>
      <c r="B3177" s="743" t="s">
        <v>1206</v>
      </c>
      <c r="C3177" s="809">
        <v>35.718000000000004</v>
      </c>
      <c r="D3177" s="908">
        <v>35.56</v>
      </c>
      <c r="E3177" s="709">
        <f t="shared" si="109"/>
        <v>-4.4235399518450791E-3</v>
      </c>
      <c r="F3177" s="946"/>
      <c r="G3177" s="78"/>
      <c r="H3177" t="str">
        <f>VLOOKUP(B3177,indexy!$A$44:$D$234,3,FALSE)</f>
        <v>SAP GY Equity</v>
      </c>
      <c r="I3177" s="171"/>
      <c r="J3177" s="39"/>
      <c r="K3177" s="39"/>
    </row>
    <row r="3178" spans="1:11" hidden="1" outlineLevel="1" x14ac:dyDescent="0.25">
      <c r="A3178" s="739">
        <v>0.05</v>
      </c>
      <c r="B3178" s="740" t="s">
        <v>583</v>
      </c>
      <c r="C3178" s="809">
        <f>4.3555*100</f>
        <v>435.55</v>
      </c>
      <c r="D3178" s="908">
        <v>375.32</v>
      </c>
      <c r="E3178" s="709">
        <f t="shared" si="109"/>
        <v>-0.13828492710366203</v>
      </c>
      <c r="F3178" s="946"/>
      <c r="G3178" s="78"/>
      <c r="H3178" t="str">
        <f>VLOOKUP(B3178,indexy!$A$44:$D$234,3,FALSE)</f>
        <v>TSCO LN Equity</v>
      </c>
      <c r="I3178" s="171"/>
      <c r="J3178" s="39"/>
      <c r="K3178" s="39"/>
    </row>
    <row r="3179" spans="1:11" hidden="1" outlineLevel="1" x14ac:dyDescent="0.25">
      <c r="A3179" s="739">
        <v>0.05</v>
      </c>
      <c r="B3179" s="740" t="s">
        <v>1003</v>
      </c>
      <c r="C3179" s="809">
        <v>31.013000000000002</v>
      </c>
      <c r="D3179" s="908">
        <v>25.172999999999998</v>
      </c>
      <c r="E3179" s="709">
        <f t="shared" si="109"/>
        <v>-0.18830812884919235</v>
      </c>
      <c r="F3179" s="946"/>
      <c r="G3179" s="78"/>
      <c r="H3179" t="str">
        <f>VLOOKUP(B3179,indexy!$A$44:$D$234,3,FALSE)</f>
        <v>TXN UW Equity</v>
      </c>
      <c r="I3179" s="171"/>
      <c r="J3179" s="39"/>
      <c r="K3179" s="39"/>
    </row>
    <row r="3180" spans="1:11" hidden="1" outlineLevel="1" x14ac:dyDescent="0.25">
      <c r="A3180" s="739">
        <v>0.05</v>
      </c>
      <c r="B3180" s="740" t="s">
        <v>158</v>
      </c>
      <c r="C3180" s="809">
        <v>27.558</v>
      </c>
      <c r="D3180" s="908">
        <v>22.032</v>
      </c>
      <c r="E3180" s="709">
        <f t="shared" si="109"/>
        <v>-0.20052253429131284</v>
      </c>
      <c r="F3180" s="946"/>
      <c r="G3180" s="78"/>
      <c r="H3180" t="str">
        <f>VLOOKUP(B3180,indexy!$A$44:$D$234,3,FALSE)</f>
        <v>CSCO UQ Equity</v>
      </c>
      <c r="I3180" s="171"/>
      <c r="J3180" s="39"/>
      <c r="K3180" s="39"/>
    </row>
    <row r="3181" spans="1:11" hidden="1" outlineLevel="1" x14ac:dyDescent="0.25">
      <c r="A3181" s="739">
        <v>0.05</v>
      </c>
      <c r="B3181" s="740" t="s">
        <v>3800</v>
      </c>
      <c r="C3181" s="809">
        <v>231.69</v>
      </c>
      <c r="D3181" s="908">
        <v>183.52</v>
      </c>
      <c r="E3181" s="709">
        <f t="shared" si="109"/>
        <v>-0.20790711726876421</v>
      </c>
      <c r="F3181" s="946"/>
      <c r="G3181" s="78"/>
      <c r="H3181" t="str">
        <f>VLOOKUP(B3181,indexy!$A$44:$D$234,3,FALSE)</f>
        <v>ROG SE Equity</v>
      </c>
      <c r="I3181" s="171"/>
      <c r="J3181" s="39"/>
      <c r="K3181" s="39"/>
    </row>
    <row r="3182" spans="1:11" hidden="1" outlineLevel="1" x14ac:dyDescent="0.25">
      <c r="A3182" s="739">
        <v>0.05</v>
      </c>
      <c r="B3182" s="740" t="s">
        <v>163</v>
      </c>
      <c r="C3182" s="809">
        <v>21.516999999999999</v>
      </c>
      <c r="D3182" s="908">
        <v>14.488</v>
      </c>
      <c r="E3182" s="709">
        <f t="shared" si="109"/>
        <v>-0.32667193381977044</v>
      </c>
      <c r="F3182" s="946"/>
      <c r="G3182" s="78"/>
      <c r="H3182" t="str">
        <f>VLOOKUP(B3182,indexy!$A$44:$D$234,3,FALSE)</f>
        <v>TWX UN Equity</v>
      </c>
      <c r="I3182" s="171"/>
      <c r="J3182" s="39"/>
      <c r="K3182" s="39"/>
    </row>
    <row r="3183" spans="1:11" hidden="1" outlineLevel="1" x14ac:dyDescent="0.25">
      <c r="A3183" s="739">
        <v>0.05</v>
      </c>
      <c r="B3183" s="740" t="s">
        <v>4228</v>
      </c>
      <c r="C3183" s="809">
        <v>53.7761</v>
      </c>
      <c r="D3183" s="908">
        <v>33.731000000000002</v>
      </c>
      <c r="E3183" s="504">
        <f t="shared" si="109"/>
        <v>-0.37275109202787104</v>
      </c>
      <c r="F3183" s="3827" t="s">
        <v>4370</v>
      </c>
      <c r="G3183" s="78"/>
      <c r="H3183" t="str">
        <f>VLOOKUP(B3183,indexy!$A$44:$D$234,3,FALSE)</f>
        <v>VIE FP Equity</v>
      </c>
      <c r="I3183" s="171"/>
      <c r="J3183" s="39"/>
      <c r="K3183" s="39"/>
    </row>
    <row r="3184" spans="1:11" hidden="1" outlineLevel="1" x14ac:dyDescent="0.25">
      <c r="A3184" s="739">
        <v>0.05</v>
      </c>
      <c r="B3184" s="743" t="s">
        <v>1527</v>
      </c>
      <c r="C3184" s="809">
        <v>2.3128000000000002</v>
      </c>
      <c r="D3184" s="908">
        <v>1.2111000000000001</v>
      </c>
      <c r="E3184" s="504">
        <f t="shared" si="109"/>
        <v>-0.47634901418194397</v>
      </c>
      <c r="F3184" s="3828"/>
      <c r="G3184" s="78"/>
      <c r="H3184" t="str">
        <f>VLOOKUP(B3184,indexy!$A$44:$D$234,3,FALSE)</f>
        <v>TIT IM Equity</v>
      </c>
      <c r="I3184" s="171"/>
      <c r="J3184" s="39"/>
      <c r="K3184" s="39"/>
    </row>
    <row r="3185" spans="1:16" hidden="1" outlineLevel="1" x14ac:dyDescent="0.25">
      <c r="A3185" s="739">
        <v>0.05</v>
      </c>
      <c r="B3185" s="740" t="s">
        <v>160</v>
      </c>
      <c r="C3185" s="809">
        <f>25.855*5</f>
        <v>129.27500000000001</v>
      </c>
      <c r="D3185" s="908">
        <v>66.88</v>
      </c>
      <c r="E3185" s="504">
        <f t="shared" si="109"/>
        <v>-0.48265325855733909</v>
      </c>
      <c r="F3185" s="3828"/>
      <c r="G3185" s="78"/>
      <c r="H3185" t="str">
        <f>VLOOKUP(B3185,indexy!$A$44:$D$234,3,FALSE)</f>
        <v>ERICB SS Equity</v>
      </c>
      <c r="I3185" s="171"/>
      <c r="J3185" s="39"/>
      <c r="K3185" s="39"/>
    </row>
    <row r="3186" spans="1:16" hidden="1" outlineLevel="1" x14ac:dyDescent="0.25">
      <c r="A3186" s="739">
        <v>0.05</v>
      </c>
      <c r="B3186" s="740" t="s">
        <v>1310</v>
      </c>
      <c r="C3186" s="809">
        <v>35.381</v>
      </c>
      <c r="D3186" s="908">
        <v>16.18</v>
      </c>
      <c r="E3186" s="504">
        <f t="shared" si="109"/>
        <v>-0.54269240552839093</v>
      </c>
      <c r="F3186" s="3828"/>
      <c r="G3186" s="78"/>
      <c r="H3186" t="e">
        <f>VLOOKUP(B3186,indexy!$A$44:$D$234,3,FALSE)</f>
        <v>#N/A</v>
      </c>
      <c r="I3186" s="171"/>
      <c r="J3186" s="39"/>
      <c r="K3186" s="39"/>
    </row>
    <row r="3187" spans="1:16" hidden="1" outlineLevel="1" x14ac:dyDescent="0.25">
      <c r="A3187" s="739">
        <v>0.05</v>
      </c>
      <c r="B3187" s="746" t="s">
        <v>2397</v>
      </c>
      <c r="C3187" s="809">
        <v>19.571999999999999</v>
      </c>
      <c r="D3187" s="908">
        <v>7.4829999999999997</v>
      </c>
      <c r="E3187" s="504">
        <f t="shared" si="109"/>
        <v>-0.61766809728183114</v>
      </c>
      <c r="F3187" s="3828"/>
      <c r="G3187" s="78"/>
      <c r="H3187" t="str">
        <f>VLOOKUP(B3187,indexy!$A$44:$D$234,3,FALSE)</f>
        <v>MSI UN Equity</v>
      </c>
      <c r="I3187" s="171"/>
      <c r="J3187" s="39"/>
      <c r="K3187" s="39"/>
    </row>
    <row r="3188" spans="1:16" hidden="1" outlineLevel="1" x14ac:dyDescent="0.25">
      <c r="A3188" s="717"/>
      <c r="B3188" s="718"/>
      <c r="C3188" s="719"/>
      <c r="D3188" s="719"/>
      <c r="E3188" s="998" t="s">
        <v>1593</v>
      </c>
      <c r="F3188" s="934">
        <v>-0.37719999999999998</v>
      </c>
      <c r="G3188" s="78"/>
      <c r="I3188" s="39"/>
      <c r="J3188" s="39"/>
      <c r="K3188" s="39"/>
    </row>
    <row r="3189" spans="1:16" ht="12" customHeight="1" collapsed="1" x14ac:dyDescent="0.25">
      <c r="A3189" s="3801" t="s">
        <v>278</v>
      </c>
      <c r="B3189" s="3802"/>
      <c r="C3189" s="3802"/>
      <c r="D3189" s="3802"/>
      <c r="E3189" s="721" t="s">
        <v>693</v>
      </c>
      <c r="F3189" s="722">
        <v>0</v>
      </c>
      <c r="G3189" s="175" t="s">
        <v>781</v>
      </c>
      <c r="J3189" s="39"/>
      <c r="K3189" s="39"/>
    </row>
    <row r="3190" spans="1:16" x14ac:dyDescent="0.25">
      <c r="A3190" s="1"/>
      <c r="B3190" s="1"/>
      <c r="C3190" s="1"/>
      <c r="D3190" s="1"/>
      <c r="E3190" s="1"/>
      <c r="F3190" s="1848"/>
      <c r="G3190" s="78"/>
    </row>
    <row r="3191" spans="1:16" hidden="1" outlineLevel="1" x14ac:dyDescent="0.25">
      <c r="A3191" s="689" t="s">
        <v>113</v>
      </c>
      <c r="B3191" s="689" t="s">
        <v>114</v>
      </c>
      <c r="C3191" s="689" t="s">
        <v>112</v>
      </c>
      <c r="D3191" s="689" t="s">
        <v>116</v>
      </c>
      <c r="E3191" s="689" t="s">
        <v>117</v>
      </c>
      <c r="F3191" s="1188" t="s">
        <v>121</v>
      </c>
      <c r="G3191" s="78"/>
    </row>
    <row r="3192" spans="1:16" hidden="1" outlineLevel="1" x14ac:dyDescent="0.25">
      <c r="A3192" s="690">
        <v>1</v>
      </c>
      <c r="B3192" s="691" t="s">
        <v>252</v>
      </c>
      <c r="C3192" s="692">
        <v>100</v>
      </c>
      <c r="D3192" s="692"/>
      <c r="E3192" s="693"/>
      <c r="F3192" s="694"/>
      <c r="G3192" s="78"/>
    </row>
    <row r="3193" spans="1:16" hidden="1" outlineLevel="1" x14ac:dyDescent="0.25">
      <c r="A3193" s="695"/>
      <c r="B3193" s="695"/>
      <c r="C3193" s="696"/>
      <c r="D3193" s="697" t="s">
        <v>3702</v>
      </c>
      <c r="E3193" s="698">
        <v>40984</v>
      </c>
      <c r="F3193" s="699"/>
      <c r="G3193" s="78"/>
    </row>
    <row r="3194" spans="1:16" hidden="1" outlineLevel="1" x14ac:dyDescent="0.25">
      <c r="A3194" s="689" t="s">
        <v>4156</v>
      </c>
      <c r="B3194" s="689" t="s">
        <v>4153</v>
      </c>
      <c r="C3194" s="700" t="s">
        <v>112</v>
      </c>
      <c r="D3194" s="689" t="s">
        <v>4155</v>
      </c>
      <c r="E3194" s="689" t="s">
        <v>4154</v>
      </c>
      <c r="F3194" s="1021" t="s">
        <v>2519</v>
      </c>
      <c r="G3194" s="78"/>
    </row>
    <row r="3195" spans="1:16" hidden="1" outlineLevel="1" x14ac:dyDescent="0.25">
      <c r="A3195" s="734">
        <v>0.05</v>
      </c>
      <c r="B3195" s="735" t="s">
        <v>2169</v>
      </c>
      <c r="C3195" s="992">
        <v>21.924768142518388</v>
      </c>
      <c r="D3195" s="803">
        <v>20.122800000000002</v>
      </c>
      <c r="E3195" s="705">
        <v>-8.2188697768887931E-2</v>
      </c>
      <c r="F3195" s="1021">
        <v>-4.1094348884443965E-3</v>
      </c>
      <c r="G3195" s="78"/>
      <c r="H3195" t="s">
        <v>484</v>
      </c>
      <c r="J3195" t="s">
        <v>2040</v>
      </c>
    </row>
    <row r="3196" spans="1:16" hidden="1" outlineLevel="1" x14ac:dyDescent="0.25">
      <c r="A3196" s="739">
        <v>0.06</v>
      </c>
      <c r="B3196" s="740" t="s">
        <v>2170</v>
      </c>
      <c r="C3196" s="993">
        <v>21.756</v>
      </c>
      <c r="D3196" s="908">
        <v>22.04</v>
      </c>
      <c r="E3196" s="709">
        <v>1.3053870196727324E-2</v>
      </c>
      <c r="F3196" s="946">
        <v>7.8323221180363943E-4</v>
      </c>
      <c r="G3196" s="78"/>
      <c r="H3196" t="s">
        <v>485</v>
      </c>
      <c r="J3196" s="256">
        <v>40603</v>
      </c>
      <c r="K3196">
        <v>105.39879999999999</v>
      </c>
      <c r="L3196" s="37">
        <v>5.3987999999999925E-2</v>
      </c>
      <c r="P3196" s="360"/>
    </row>
    <row r="3197" spans="1:16" hidden="1" outlineLevel="1" x14ac:dyDescent="0.25">
      <c r="A3197" s="739">
        <v>0.05</v>
      </c>
      <c r="B3197" s="740" t="s">
        <v>3250</v>
      </c>
      <c r="C3197" s="993">
        <v>35.336500000000001</v>
      </c>
      <c r="D3197" s="908">
        <v>55</v>
      </c>
      <c r="E3197" s="709">
        <v>0.55646427914479357</v>
      </c>
      <c r="F3197" s="946">
        <v>2.7823213957239679E-2</v>
      </c>
      <c r="G3197" s="78"/>
      <c r="H3197" t="s">
        <v>3627</v>
      </c>
      <c r="J3197" s="256">
        <v>40634</v>
      </c>
      <c r="K3197">
        <v>109.93470000000001</v>
      </c>
      <c r="L3197" s="37">
        <v>9.9347000000000074E-2</v>
      </c>
      <c r="P3197" s="360"/>
    </row>
    <row r="3198" spans="1:16" hidden="1" outlineLevel="1" x14ac:dyDescent="0.25">
      <c r="A3198" s="739">
        <v>0.05</v>
      </c>
      <c r="B3198" s="740" t="s">
        <v>3251</v>
      </c>
      <c r="C3198" s="993">
        <v>196.74547491605176</v>
      </c>
      <c r="D3198" s="908">
        <v>193.4</v>
      </c>
      <c r="E3198" s="709">
        <v>-1.7004075532000007E-2</v>
      </c>
      <c r="F3198" s="946">
        <v>-8.5020377660000035E-4</v>
      </c>
      <c r="G3198" s="78"/>
      <c r="H3198" t="s">
        <v>118</v>
      </c>
      <c r="J3198" s="256">
        <v>40664</v>
      </c>
      <c r="K3198">
        <v>110.5245</v>
      </c>
      <c r="L3198" s="37">
        <v>0.10524500000000003</v>
      </c>
      <c r="P3198" s="360"/>
    </row>
    <row r="3199" spans="1:16" hidden="1" outlineLevel="1" x14ac:dyDescent="0.25">
      <c r="A3199" s="739">
        <v>7.0000000000000007E-2</v>
      </c>
      <c r="B3199" s="740" t="s">
        <v>3252</v>
      </c>
      <c r="C3199" s="993">
        <v>918.59205873968529</v>
      </c>
      <c r="D3199" s="908">
        <v>1246.92</v>
      </c>
      <c r="E3199" s="709">
        <v>0.35742519014455998</v>
      </c>
      <c r="F3199" s="946">
        <v>2.5019763310119202E-2</v>
      </c>
      <c r="G3199" s="78"/>
      <c r="H3199" t="s">
        <v>3628</v>
      </c>
      <c r="J3199" s="256">
        <v>40695</v>
      </c>
      <c r="K3199">
        <v>111.6778</v>
      </c>
      <c r="L3199" s="37">
        <v>0.11677800000000005</v>
      </c>
      <c r="P3199" s="360"/>
    </row>
    <row r="3200" spans="1:16" hidden="1" outlineLevel="1" x14ac:dyDescent="0.25">
      <c r="A3200" s="739">
        <v>7.0000000000000007E-2</v>
      </c>
      <c r="B3200" s="740" t="s">
        <v>3253</v>
      </c>
      <c r="C3200" s="993">
        <v>291.75</v>
      </c>
      <c r="D3200" s="908">
        <v>464.2</v>
      </c>
      <c r="E3200" s="709">
        <v>0.59108826049700092</v>
      </c>
      <c r="F3200" s="946">
        <v>4.1376178234790069E-2</v>
      </c>
      <c r="G3200" s="78"/>
      <c r="H3200" t="s">
        <v>3629</v>
      </c>
      <c r="J3200" s="256">
        <v>40725</v>
      </c>
      <c r="K3200">
        <v>109.3103</v>
      </c>
      <c r="L3200" s="37">
        <v>9.3102999999999936E-2</v>
      </c>
      <c r="P3200" s="360"/>
    </row>
    <row r="3201" spans="1:16" hidden="1" outlineLevel="1" x14ac:dyDescent="0.25">
      <c r="A3201" s="739">
        <v>7.0000000000000007E-2</v>
      </c>
      <c r="B3201" s="740" t="s">
        <v>3254</v>
      </c>
      <c r="C3201" s="993">
        <v>1409.9</v>
      </c>
      <c r="D3201" s="908">
        <v>572</v>
      </c>
      <c r="E3201" s="709">
        <v>-0.59429746790552529</v>
      </c>
      <c r="F3201" s="946">
        <v>-4.1600822753386772E-2</v>
      </c>
      <c r="G3201" s="78"/>
      <c r="H3201" t="s">
        <v>3630</v>
      </c>
      <c r="J3201" s="256">
        <v>40756</v>
      </c>
      <c r="K3201">
        <v>103.6863</v>
      </c>
      <c r="L3201" s="37">
        <v>3.686300000000009E-2</v>
      </c>
      <c r="P3201" s="360"/>
    </row>
    <row r="3202" spans="1:16" hidden="1" outlineLevel="1" x14ac:dyDescent="0.25">
      <c r="A3202" s="739">
        <v>7.0000000000000007E-2</v>
      </c>
      <c r="B3202" s="740" t="s">
        <v>3255</v>
      </c>
      <c r="C3202" s="993">
        <v>540.54999999999995</v>
      </c>
      <c r="D3202" s="908">
        <v>728</v>
      </c>
      <c r="E3202" s="709">
        <v>0.3467764314124504</v>
      </c>
      <c r="F3202" s="946">
        <v>2.427435019887153E-2</v>
      </c>
      <c r="G3202" s="78"/>
      <c r="H3202" t="s">
        <v>3631</v>
      </c>
      <c r="J3202" s="256">
        <v>40787</v>
      </c>
      <c r="K3202">
        <v>99.216700000000003</v>
      </c>
      <c r="L3202" s="37">
        <v>-7.8329999999999789E-3</v>
      </c>
      <c r="P3202" s="360"/>
    </row>
    <row r="3203" spans="1:16" hidden="1" outlineLevel="1" x14ac:dyDescent="0.25">
      <c r="A3203" s="739">
        <v>0.06</v>
      </c>
      <c r="B3203" s="740" t="s">
        <v>1897</v>
      </c>
      <c r="C3203" s="993">
        <v>30.091999999999999</v>
      </c>
      <c r="D3203" s="908">
        <v>39.83</v>
      </c>
      <c r="E3203" s="709">
        <v>0.32360760334972749</v>
      </c>
      <c r="F3203" s="946">
        <v>1.9416456200983648E-2</v>
      </c>
      <c r="G3203" s="78"/>
      <c r="H3203" t="s">
        <v>352</v>
      </c>
      <c r="J3203" s="256">
        <v>40817</v>
      </c>
      <c r="K3203">
        <v>105.6891</v>
      </c>
      <c r="L3203" s="37">
        <v>5.6891000000000025E-2</v>
      </c>
      <c r="P3203" s="360"/>
    </row>
    <row r="3204" spans="1:16" hidden="1" outlineLevel="1" x14ac:dyDescent="0.25">
      <c r="A3204" s="739">
        <v>0.06</v>
      </c>
      <c r="B3204" s="740" t="s">
        <v>3801</v>
      </c>
      <c r="C3204" s="993">
        <v>76.328000000000003</v>
      </c>
      <c r="D3204" s="908">
        <v>36.9</v>
      </c>
      <c r="E3204" s="709">
        <v>-0.51656010900324922</v>
      </c>
      <c r="F3204" s="946">
        <v>-3.0993606540194951E-2</v>
      </c>
      <c r="G3204" s="78"/>
      <c r="H3204" t="s">
        <v>2819</v>
      </c>
      <c r="J3204" s="256">
        <v>40848</v>
      </c>
      <c r="K3204">
        <v>107.9744</v>
      </c>
      <c r="L3204" s="37">
        <v>7.9744000000000037E-2</v>
      </c>
      <c r="P3204" s="360"/>
    </row>
    <row r="3205" spans="1:16" hidden="1" outlineLevel="1" x14ac:dyDescent="0.25">
      <c r="A3205" s="739">
        <v>7.0000000000000007E-2</v>
      </c>
      <c r="B3205" s="740" t="s">
        <v>4460</v>
      </c>
      <c r="C3205" s="993">
        <v>1396.1000000000001</v>
      </c>
      <c r="D3205" s="908">
        <v>1592</v>
      </c>
      <c r="E3205" s="709">
        <v>0.14031946135663631</v>
      </c>
      <c r="F3205" s="946">
        <v>9.8223622949645418E-3</v>
      </c>
      <c r="G3205" s="78"/>
      <c r="H3205" t="s">
        <v>3485</v>
      </c>
      <c r="J3205" s="353">
        <v>40878</v>
      </c>
      <c r="K3205">
        <v>105.6698</v>
      </c>
      <c r="L3205" s="37">
        <v>5.6697999999999915E-2</v>
      </c>
      <c r="P3205" s="360"/>
    </row>
    <row r="3206" spans="1:16" hidden="1" outlineLevel="1" x14ac:dyDescent="0.25">
      <c r="A3206" s="739">
        <v>0.06</v>
      </c>
      <c r="B3206" s="740" t="s">
        <v>4338</v>
      </c>
      <c r="C3206" s="993">
        <v>33.585287593417995</v>
      </c>
      <c r="D3206" s="908">
        <v>20.004999999999999</v>
      </c>
      <c r="E3206" s="709">
        <v>-0.40435227942128582</v>
      </c>
      <c r="F3206" s="946">
        <v>-2.426113676527715E-2</v>
      </c>
      <c r="G3206" s="78"/>
      <c r="H3206" t="s">
        <v>7229</v>
      </c>
      <c r="J3206" s="256">
        <v>40909</v>
      </c>
      <c r="K3206">
        <v>106.87909999999999</v>
      </c>
      <c r="L3206" s="37">
        <v>6.8791000000000047E-2</v>
      </c>
      <c r="P3206" s="360"/>
    </row>
    <row r="3207" spans="1:16" ht="14.4" hidden="1" outlineLevel="1" x14ac:dyDescent="0.3">
      <c r="A3207" s="739">
        <v>7.0000000000000007E-2</v>
      </c>
      <c r="B3207" s="740" t="s">
        <v>2983</v>
      </c>
      <c r="C3207" s="993">
        <v>715.24625000406729</v>
      </c>
      <c r="D3207" s="908">
        <v>615</v>
      </c>
      <c r="E3207" s="709">
        <v>-0.14015627485428583</v>
      </c>
      <c r="F3207" s="946">
        <v>-9.8109392398000091E-3</v>
      </c>
      <c r="G3207" s="78"/>
      <c r="H3207" t="s">
        <v>1713</v>
      </c>
      <c r="J3207" s="353">
        <v>40940</v>
      </c>
      <c r="K3207" s="427">
        <v>109.9879</v>
      </c>
      <c r="L3207" s="37">
        <v>9.9879000000000051E-2</v>
      </c>
      <c r="P3207" s="360"/>
    </row>
    <row r="3208" spans="1:16" hidden="1" outlineLevel="1" x14ac:dyDescent="0.25">
      <c r="A3208" s="739">
        <v>7.0000000000000007E-2</v>
      </c>
      <c r="B3208" s="740" t="s">
        <v>1898</v>
      </c>
      <c r="C3208" s="993">
        <v>27.012946033495901</v>
      </c>
      <c r="D3208" s="908">
        <v>8.84</v>
      </c>
      <c r="E3208" s="709">
        <v>-0.6727495035514286</v>
      </c>
      <c r="F3208" s="946">
        <v>-4.7092465248600009E-2</v>
      </c>
      <c r="G3208" s="78"/>
      <c r="H3208" t="s">
        <v>353</v>
      </c>
      <c r="J3208" s="264" t="s">
        <v>2465</v>
      </c>
      <c r="L3208" s="261">
        <v>7.1624500000000021E-2</v>
      </c>
      <c r="P3208" s="360"/>
    </row>
    <row r="3209" spans="1:16" hidden="1" outlineLevel="1" x14ac:dyDescent="0.25">
      <c r="A3209" s="739">
        <v>0.06</v>
      </c>
      <c r="B3209" s="740" t="s">
        <v>4228</v>
      </c>
      <c r="C3209" s="993">
        <v>52.054389285446547</v>
      </c>
      <c r="D3209" s="908">
        <v>12.755000000000001</v>
      </c>
      <c r="E3209" s="709">
        <v>-0.75496782932066664</v>
      </c>
      <c r="F3209" s="946">
        <v>-4.5298069759239994E-2</v>
      </c>
      <c r="G3209" s="78"/>
      <c r="H3209" t="s">
        <v>3994</v>
      </c>
      <c r="J3209" s="264" t="s">
        <v>1507</v>
      </c>
      <c r="L3209" s="261">
        <v>4.2974700000000012E-2</v>
      </c>
      <c r="P3209" s="360"/>
    </row>
    <row r="3210" spans="1:16" hidden="1" outlineLevel="1" x14ac:dyDescent="0.25">
      <c r="A3210" s="739">
        <v>0.06</v>
      </c>
      <c r="B3210" s="740" t="s">
        <v>1899</v>
      </c>
      <c r="C3210" s="993">
        <v>556.20000000000005</v>
      </c>
      <c r="D3210" s="908">
        <v>2001</v>
      </c>
      <c r="E3210" s="709">
        <v>2.5976267529665584</v>
      </c>
      <c r="F3210" s="946">
        <v>0.15585760517799349</v>
      </c>
      <c r="G3210" s="78"/>
      <c r="H3210" t="s">
        <v>354</v>
      </c>
      <c r="P3210" s="360"/>
    </row>
    <row r="3211" spans="1:16" hidden="1" outlineLevel="1" x14ac:dyDescent="0.25">
      <c r="A3211" s="717"/>
      <c r="B3211" s="718"/>
      <c r="C3211" s="719"/>
      <c r="D3211" s="719"/>
      <c r="E3211" s="720"/>
      <c r="F3211" s="731">
        <v>0.10035648261522251</v>
      </c>
      <c r="G3211" s="78"/>
    </row>
    <row r="3212" spans="1:16" collapsed="1" x14ac:dyDescent="0.25">
      <c r="A3212" s="3801" t="s">
        <v>400</v>
      </c>
      <c r="B3212" s="3802"/>
      <c r="C3212" s="3802"/>
      <c r="D3212" s="3802"/>
      <c r="E3212" s="721"/>
      <c r="F3212" s="722">
        <v>4.2974700000000012E-2</v>
      </c>
      <c r="G3212" s="97" t="s">
        <v>781</v>
      </c>
    </row>
    <row r="3213" spans="1:16" x14ac:dyDescent="0.25">
      <c r="A3213" s="1"/>
      <c r="B3213" s="1"/>
      <c r="C3213" s="1"/>
      <c r="D3213" s="1"/>
      <c r="E3213" s="1"/>
      <c r="F3213" s="1848"/>
      <c r="G3213" s="78"/>
    </row>
    <row r="3214" spans="1:16" hidden="1" outlineLevel="1" x14ac:dyDescent="0.25">
      <c r="A3214" s="689" t="s">
        <v>113</v>
      </c>
      <c r="B3214" s="689" t="s">
        <v>114</v>
      </c>
      <c r="C3214" s="689" t="s">
        <v>112</v>
      </c>
      <c r="D3214" s="495" t="s">
        <v>116</v>
      </c>
      <c r="E3214" s="689" t="s">
        <v>117</v>
      </c>
      <c r="F3214" s="1188" t="s">
        <v>121</v>
      </c>
      <c r="G3214" s="78"/>
    </row>
    <row r="3215" spans="1:16" hidden="1" outlineLevel="1" x14ac:dyDescent="0.25">
      <c r="A3215" s="936" t="s">
        <v>2235</v>
      </c>
      <c r="B3215" s="691" t="s">
        <v>115</v>
      </c>
      <c r="C3215" s="1025">
        <v>4043.5830000000001</v>
      </c>
      <c r="D3215" s="800">
        <v>3613.1109999999999</v>
      </c>
      <c r="E3215" s="3813">
        <v>-0.124</v>
      </c>
      <c r="F3215" s="3816">
        <v>0</v>
      </c>
      <c r="G3215" s="78"/>
    </row>
    <row r="3216" spans="1:16" hidden="1" outlineLevel="1" x14ac:dyDescent="0.25">
      <c r="A3216" s="937" t="s">
        <v>2235</v>
      </c>
      <c r="B3216" s="695" t="s">
        <v>760</v>
      </c>
      <c r="C3216" s="1027">
        <v>1403.6379999999999</v>
      </c>
      <c r="D3216" s="802">
        <v>1309.5909999999999</v>
      </c>
      <c r="E3216" s="3814"/>
      <c r="F3216" s="3817"/>
      <c r="G3216" s="78"/>
    </row>
    <row r="3217" spans="1:9" hidden="1" outlineLevel="1" x14ac:dyDescent="0.25">
      <c r="A3217" s="938" t="s">
        <v>2235</v>
      </c>
      <c r="B3217" s="695" t="s">
        <v>761</v>
      </c>
      <c r="C3217" s="1027">
        <v>17098.925999999999</v>
      </c>
      <c r="D3217" s="804">
        <v>12768.152</v>
      </c>
      <c r="E3217" s="3815"/>
      <c r="F3217" s="3818"/>
      <c r="G3217" s="78"/>
    </row>
    <row r="3218" spans="1:9" hidden="1" outlineLevel="1" x14ac:dyDescent="0.25">
      <c r="A3218" s="936" t="s">
        <v>1488</v>
      </c>
      <c r="B3218" s="691" t="s">
        <v>115</v>
      </c>
      <c r="C3218" s="1025">
        <v>3613.1109999999999</v>
      </c>
      <c r="D3218" s="799">
        <v>1895.4929999999999</v>
      </c>
      <c r="E3218" s="3813">
        <v>-0.40479999999999999</v>
      </c>
      <c r="F3218" s="3816">
        <v>0</v>
      </c>
      <c r="G3218" s="78"/>
    </row>
    <row r="3219" spans="1:9" hidden="1" outlineLevel="1" x14ac:dyDescent="0.25">
      <c r="A3219" s="937" t="s">
        <v>1488</v>
      </c>
      <c r="B3219" s="695" t="s">
        <v>760</v>
      </c>
      <c r="C3219" s="1027">
        <v>1309.5909999999999</v>
      </c>
      <c r="D3219" s="852">
        <v>710.07299999999998</v>
      </c>
      <c r="E3219" s="3814"/>
      <c r="F3219" s="3817"/>
      <c r="G3219" s="78"/>
    </row>
    <row r="3220" spans="1:9" hidden="1" outlineLevel="1" x14ac:dyDescent="0.25">
      <c r="A3220" s="938" t="s">
        <v>1488</v>
      </c>
      <c r="B3220" s="695" t="s">
        <v>761</v>
      </c>
      <c r="C3220" s="1027">
        <v>12768.152</v>
      </c>
      <c r="D3220" s="804">
        <v>8775.4599999999991</v>
      </c>
      <c r="E3220" s="3815"/>
      <c r="F3220" s="3818"/>
      <c r="G3220" s="78"/>
    </row>
    <row r="3221" spans="1:9" hidden="1" outlineLevel="1" x14ac:dyDescent="0.25">
      <c r="A3221" s="936" t="s">
        <v>1489</v>
      </c>
      <c r="B3221" s="691" t="s">
        <v>115</v>
      </c>
      <c r="C3221" s="799">
        <v>1895.4929999999999</v>
      </c>
      <c r="D3221" s="1036">
        <v>2854.8660000000004</v>
      </c>
      <c r="E3221" s="3813">
        <v>0.52249999999999996</v>
      </c>
      <c r="F3221" s="3816">
        <v>4.4999999999999998E-2</v>
      </c>
      <c r="G3221" s="78"/>
    </row>
    <row r="3222" spans="1:9" hidden="1" outlineLevel="1" x14ac:dyDescent="0.25">
      <c r="A3222" s="937" t="s">
        <v>1489</v>
      </c>
      <c r="B3222" s="695" t="s">
        <v>760</v>
      </c>
      <c r="C3222" s="852">
        <v>710.07299999999998</v>
      </c>
      <c r="D3222" s="1037">
        <v>1133.9269999999999</v>
      </c>
      <c r="E3222" s="3814"/>
      <c r="F3222" s="3817"/>
      <c r="G3222" s="78"/>
    </row>
    <row r="3223" spans="1:9" hidden="1" outlineLevel="1" x14ac:dyDescent="0.25">
      <c r="A3223" s="938" t="s">
        <v>1489</v>
      </c>
      <c r="B3223" s="695" t="s">
        <v>761</v>
      </c>
      <c r="C3223" s="802">
        <v>8775.4599999999991</v>
      </c>
      <c r="D3223" s="1038">
        <v>10429.541999999998</v>
      </c>
      <c r="E3223" s="3815"/>
      <c r="F3223" s="3818"/>
      <c r="G3223" s="78"/>
    </row>
    <row r="3224" spans="1:9" hidden="1" outlineLevel="1" x14ac:dyDescent="0.25">
      <c r="A3224" s="936" t="s">
        <v>2139</v>
      </c>
      <c r="B3224" s="691" t="s">
        <v>115</v>
      </c>
      <c r="C3224" s="848">
        <v>2854.8660000000004</v>
      </c>
      <c r="D3224" s="1039">
        <v>2787.6610000000001</v>
      </c>
      <c r="E3224" s="3813">
        <v>3.95E-2</v>
      </c>
      <c r="F3224" s="3816">
        <v>3.95E-2</v>
      </c>
      <c r="G3224" s="78"/>
    </row>
    <row r="3225" spans="1:9" hidden="1" outlineLevel="1" x14ac:dyDescent="0.25">
      <c r="A3225" s="937" t="s">
        <v>2139</v>
      </c>
      <c r="B3225" s="695" t="s">
        <v>760</v>
      </c>
      <c r="C3225" s="851">
        <v>1133.9269999999999</v>
      </c>
      <c r="D3225" s="1040">
        <v>1328.9680000000001</v>
      </c>
      <c r="E3225" s="3814"/>
      <c r="F3225" s="3817"/>
      <c r="G3225" s="78"/>
    </row>
    <row r="3226" spans="1:9" hidden="1" outlineLevel="1" x14ac:dyDescent="0.25">
      <c r="A3226" s="938" t="s">
        <v>2139</v>
      </c>
      <c r="B3226" s="695" t="s">
        <v>761</v>
      </c>
      <c r="C3226" s="1041">
        <v>10429.541999999998</v>
      </c>
      <c r="D3226" s="1042">
        <v>9999.1679999999997</v>
      </c>
      <c r="E3226" s="3815"/>
      <c r="F3226" s="3818"/>
      <c r="G3226" s="78"/>
    </row>
    <row r="3227" spans="1:9" collapsed="1" x14ac:dyDescent="0.25">
      <c r="A3227" s="3801" t="s">
        <v>2078</v>
      </c>
      <c r="B3227" s="3802"/>
      <c r="C3227" s="3802"/>
      <c r="D3227" s="3802"/>
      <c r="E3227" s="782" t="s">
        <v>2722</v>
      </c>
      <c r="F3227" s="752">
        <f>MAX(SUM(F3215:F3226),parametry!M127)</f>
        <v>8.4499999999999992E-2</v>
      </c>
      <c r="G3227" s="97" t="s">
        <v>781</v>
      </c>
    </row>
    <row r="3228" spans="1:9" x14ac:dyDescent="0.25">
      <c r="A3228" s="1"/>
      <c r="B3228" s="1"/>
      <c r="C3228" s="1"/>
      <c r="D3228" s="1"/>
      <c r="E3228" s="1"/>
      <c r="F3228" s="1848"/>
      <c r="G3228" s="78"/>
    </row>
    <row r="3229" spans="1:9" hidden="1" outlineLevel="1" x14ac:dyDescent="0.25">
      <c r="A3229" s="689" t="s">
        <v>113</v>
      </c>
      <c r="B3229" s="689" t="s">
        <v>114</v>
      </c>
      <c r="C3229" s="689" t="s">
        <v>112</v>
      </c>
      <c r="D3229" s="689" t="s">
        <v>116</v>
      </c>
      <c r="E3229" s="689" t="s">
        <v>117</v>
      </c>
      <c r="F3229" s="731" t="s">
        <v>121</v>
      </c>
      <c r="G3229" s="78"/>
      <c r="H3229" s="173" t="s">
        <v>1515</v>
      </c>
      <c r="I3229" s="173" t="s">
        <v>1516</v>
      </c>
    </row>
    <row r="3230" spans="1:9" hidden="1" outlineLevel="1" x14ac:dyDescent="0.25">
      <c r="A3230" s="1044" t="s">
        <v>4137</v>
      </c>
      <c r="B3230" s="1045" t="s">
        <v>1989</v>
      </c>
      <c r="C3230" s="1046">
        <v>2.93E-2</v>
      </c>
      <c r="D3230" s="989">
        <v>3.3189999999999997E-2</v>
      </c>
      <c r="E3230" s="3819">
        <v>7.6081999999999997E-2</v>
      </c>
      <c r="F3230" s="3816">
        <f>E3230*parametry!N132</f>
        <v>0.14075170000000001</v>
      </c>
      <c r="G3230" s="78"/>
      <c r="H3230" s="44">
        <f t="shared" ref="H3230:H3232" si="110">1/C3230</f>
        <v>34.129692832764505</v>
      </c>
      <c r="I3230" s="44">
        <f>1/D3230</f>
        <v>30.129557095510698</v>
      </c>
    </row>
    <row r="3231" spans="1:9" hidden="1" outlineLevel="1" x14ac:dyDescent="0.25">
      <c r="A3231" s="1044" t="s">
        <v>4137</v>
      </c>
      <c r="B3231" s="1047" t="s">
        <v>1990</v>
      </c>
      <c r="C3231" s="1048">
        <v>0.25679999999999997</v>
      </c>
      <c r="D3231" s="989">
        <v>0.25622892517090473</v>
      </c>
      <c r="E3231" s="3820"/>
      <c r="F3231" s="3817"/>
      <c r="G3231" s="78"/>
      <c r="H3231" s="44">
        <f t="shared" si="110"/>
        <v>3.8940809968847354</v>
      </c>
      <c r="I3231" s="44">
        <f>1/D3231</f>
        <v>3.9027599999999993</v>
      </c>
    </row>
    <row r="3232" spans="1:9" hidden="1" outlineLevel="1" x14ac:dyDescent="0.25">
      <c r="A3232" s="1044" t="s">
        <v>4137</v>
      </c>
      <c r="B3232" s="1049" t="s">
        <v>1991</v>
      </c>
      <c r="C3232" s="1050">
        <v>3.5499999999999997E-2</v>
      </c>
      <c r="D3232" s="989">
        <v>3.8912019922954198E-2</v>
      </c>
      <c r="E3232" s="3821"/>
      <c r="F3232" s="3818"/>
      <c r="G3232" s="78"/>
      <c r="H3232" s="44">
        <f t="shared" si="110"/>
        <v>28.169014084507044</v>
      </c>
      <c r="I3232" s="44">
        <f>1/D3232</f>
        <v>25.699000000000002</v>
      </c>
    </row>
    <row r="3233" spans="1:8" collapsed="1" x14ac:dyDescent="0.25">
      <c r="A3233" s="3801" t="s">
        <v>1917</v>
      </c>
      <c r="B3233" s="3802"/>
      <c r="C3233" s="3802"/>
      <c r="D3233" s="3802"/>
      <c r="E3233" s="729"/>
      <c r="F3233" s="752">
        <f>F3230</f>
        <v>0.14075170000000001</v>
      </c>
      <c r="G3233" s="97" t="s">
        <v>781</v>
      </c>
    </row>
    <row r="3234" spans="1:8" x14ac:dyDescent="0.25">
      <c r="A3234" s="1"/>
      <c r="B3234" s="1"/>
      <c r="C3234" s="1"/>
      <c r="D3234" s="1"/>
      <c r="E3234" s="1"/>
      <c r="F3234" s="1848"/>
      <c r="G3234" s="78"/>
    </row>
    <row r="3235" spans="1:8" hidden="1" outlineLevel="1" x14ac:dyDescent="0.25">
      <c r="A3235" s="689" t="s">
        <v>113</v>
      </c>
      <c r="B3235" s="689" t="s">
        <v>114</v>
      </c>
      <c r="C3235" s="689" t="s">
        <v>112</v>
      </c>
      <c r="D3235" s="689" t="s">
        <v>116</v>
      </c>
      <c r="E3235" s="689" t="s">
        <v>117</v>
      </c>
      <c r="F3235" s="1188" t="s">
        <v>121</v>
      </c>
      <c r="G3235" s="78"/>
    </row>
    <row r="3236" spans="1:8" hidden="1" outlineLevel="1" x14ac:dyDescent="0.25">
      <c r="A3236" s="690">
        <v>1</v>
      </c>
      <c r="B3236" s="691" t="s">
        <v>252</v>
      </c>
      <c r="C3236" s="692">
        <v>100</v>
      </c>
      <c r="D3236" s="692"/>
      <c r="E3236" s="693"/>
      <c r="F3236" s="694"/>
      <c r="G3236" s="78"/>
    </row>
    <row r="3237" spans="1:8" hidden="1" outlineLevel="1" x14ac:dyDescent="0.25">
      <c r="A3237" s="695"/>
      <c r="B3237" s="695"/>
      <c r="C3237" s="696"/>
      <c r="D3237" s="697" t="s">
        <v>3702</v>
      </c>
      <c r="E3237" s="698">
        <v>40451</v>
      </c>
      <c r="F3237" s="699"/>
      <c r="G3237" s="78"/>
    </row>
    <row r="3238" spans="1:8" hidden="1" outlineLevel="1" x14ac:dyDescent="0.25">
      <c r="A3238" s="689" t="s">
        <v>4156</v>
      </c>
      <c r="B3238" s="689" t="s">
        <v>4153</v>
      </c>
      <c r="C3238" s="497" t="s">
        <v>112</v>
      </c>
      <c r="D3238" s="495" t="s">
        <v>116</v>
      </c>
      <c r="E3238" s="689" t="s">
        <v>4154</v>
      </c>
      <c r="F3238" s="1021" t="s">
        <v>2519</v>
      </c>
      <c r="G3238" s="78"/>
    </row>
    <row r="3239" spans="1:8" hidden="1" outlineLevel="1" x14ac:dyDescent="0.25">
      <c r="A3239" s="999">
        <v>0.05</v>
      </c>
      <c r="B3239" s="1000" t="s">
        <v>3798</v>
      </c>
      <c r="C3239" s="1007">
        <v>6.99</v>
      </c>
      <c r="D3239" s="1051">
        <v>3.91</v>
      </c>
      <c r="E3239" s="705">
        <f>D3239/C3239-1</f>
        <v>-0.44062947067238911</v>
      </c>
      <c r="F3239" s="1021">
        <f>E3239*A3239</f>
        <v>-2.2031473533619457E-2</v>
      </c>
      <c r="G3239" s="78"/>
      <c r="H3239" t="str">
        <f>VLOOKUP(B3239,indexy!$A$44:$D$234,3,FALSE)</f>
        <v>ENEL IM Equity</v>
      </c>
    </row>
    <row r="3240" spans="1:8" hidden="1" outlineLevel="1" x14ac:dyDescent="0.25">
      <c r="A3240" s="1002">
        <v>0.04</v>
      </c>
      <c r="B3240" s="996" t="s">
        <v>2630</v>
      </c>
      <c r="C3240" s="1008">
        <v>19.617999999999999</v>
      </c>
      <c r="D3240" s="1052">
        <v>15.85</v>
      </c>
      <c r="E3240" s="709">
        <f t="shared" ref="E3240:E3268" si="111">D3240/C3240-1</f>
        <v>-0.19206850851259039</v>
      </c>
      <c r="F3240" s="946">
        <f t="shared" ref="F3240:F3268" si="112">E3240*A3240</f>
        <v>-7.6827403405036153E-3</v>
      </c>
      <c r="G3240" s="78"/>
      <c r="H3240" t="e">
        <f>VLOOKUP(B3240,indexy!$A$44:$D$234,3,FALSE)</f>
        <v>#N/A</v>
      </c>
    </row>
    <row r="3241" spans="1:8" hidden="1" outlineLevel="1" x14ac:dyDescent="0.25">
      <c r="A3241" s="1002">
        <v>0.04</v>
      </c>
      <c r="B3241" s="996" t="s">
        <v>2983</v>
      </c>
      <c r="C3241" s="1008">
        <v>725.71</v>
      </c>
      <c r="D3241" s="1052">
        <v>573</v>
      </c>
      <c r="E3241" s="709">
        <f t="shared" si="111"/>
        <v>-0.21042840804177987</v>
      </c>
      <c r="F3241" s="946">
        <f t="shared" si="112"/>
        <v>-8.4171363216711953E-3</v>
      </c>
      <c r="G3241" s="78"/>
      <c r="H3241" t="str">
        <f>VLOOKUP(B3241,indexy!$A$44:$D$234,3,FALSE)</f>
        <v>UU/ LN Equity</v>
      </c>
    </row>
    <row r="3242" spans="1:8" hidden="1" outlineLevel="1" x14ac:dyDescent="0.25">
      <c r="A3242" s="1002">
        <v>0.05</v>
      </c>
      <c r="B3242" s="996" t="s">
        <v>2629</v>
      </c>
      <c r="C3242" s="1008">
        <v>12.478999999999999</v>
      </c>
      <c r="D3242" s="1052">
        <v>10.035</v>
      </c>
      <c r="E3242" s="709">
        <f t="shared" si="111"/>
        <v>-0.19584902636429191</v>
      </c>
      <c r="F3242" s="946">
        <f t="shared" si="112"/>
        <v>-9.7924513182145959E-3</v>
      </c>
      <c r="G3242" s="78"/>
      <c r="H3242" t="str">
        <f>VLOOKUP(B3242,indexy!$A$44:$D$234,3,FALSE)</f>
        <v>DTE GY Equity</v>
      </c>
    </row>
    <row r="3243" spans="1:8" hidden="1" outlineLevel="1" x14ac:dyDescent="0.25">
      <c r="A3243" s="1002">
        <v>0.04</v>
      </c>
      <c r="B3243" s="996" t="s">
        <v>1527</v>
      </c>
      <c r="C3243" s="1008">
        <v>2.1324999999999998</v>
      </c>
      <c r="D3243" s="1052">
        <v>1.0249999999999999</v>
      </c>
      <c r="E3243" s="709">
        <f t="shared" si="111"/>
        <v>-0.5193434935521688</v>
      </c>
      <c r="F3243" s="946">
        <f t="shared" si="112"/>
        <v>-2.0773739742086753E-2</v>
      </c>
      <c r="G3243" s="78"/>
      <c r="H3243" t="str">
        <f>VLOOKUP(B3243,indexy!$A$44:$D$234,3,FALSE)</f>
        <v>TIT IM Equity</v>
      </c>
    </row>
    <row r="3244" spans="1:8" hidden="1" outlineLevel="1" x14ac:dyDescent="0.25">
      <c r="A3244" s="1002">
        <v>0.05</v>
      </c>
      <c r="B3244" s="996" t="s">
        <v>576</v>
      </c>
      <c r="C3244" s="1008">
        <v>17.759</v>
      </c>
      <c r="D3244" s="1052">
        <v>8.9749999999999996</v>
      </c>
      <c r="E3244" s="709">
        <f t="shared" si="111"/>
        <v>-0.49462244495748642</v>
      </c>
      <c r="F3244" s="946">
        <f t="shared" si="112"/>
        <v>-2.4731122247874323E-2</v>
      </c>
      <c r="G3244" s="78"/>
      <c r="H3244" t="e">
        <f>VLOOKUP(B3244,indexy!$A$44:$D$234,3,FALSE)</f>
        <v>#N/A</v>
      </c>
    </row>
    <row r="3245" spans="1:8" hidden="1" outlineLevel="1" x14ac:dyDescent="0.25">
      <c r="A3245" s="1002">
        <v>0.05</v>
      </c>
      <c r="B3245" s="996" t="s">
        <v>157</v>
      </c>
      <c r="C3245" s="1008">
        <v>10.43</v>
      </c>
      <c r="D3245" s="1052">
        <v>9.3170000000000002</v>
      </c>
      <c r="E3245" s="709">
        <f t="shared" si="111"/>
        <v>-0.10671140939597312</v>
      </c>
      <c r="F3245" s="946">
        <f t="shared" si="112"/>
        <v>-5.3355704697986561E-3</v>
      </c>
      <c r="G3245" s="78"/>
      <c r="H3245" t="str">
        <f>VLOOKUP(B3245,indexy!$A$44:$D$234,3,FALSE)</f>
        <v>SAN SM Equity</v>
      </c>
    </row>
    <row r="3246" spans="1:8" hidden="1" outlineLevel="1" x14ac:dyDescent="0.25">
      <c r="A3246" s="1002">
        <v>0.04</v>
      </c>
      <c r="B3246" s="996" t="s">
        <v>3427</v>
      </c>
      <c r="C3246" s="1008">
        <v>36.085000000000001</v>
      </c>
      <c r="D3246" s="1052">
        <v>37.24</v>
      </c>
      <c r="E3246" s="709">
        <f t="shared" si="111"/>
        <v>3.2007759456837981E-2</v>
      </c>
      <c r="F3246" s="946">
        <f t="shared" si="112"/>
        <v>1.2803103782735193E-3</v>
      </c>
      <c r="G3246" s="78"/>
      <c r="H3246" t="str">
        <f>VLOOKUP(B3246,indexy!$A$44:$D$234,3,FALSE)</f>
        <v>SO UN Equity</v>
      </c>
    </row>
    <row r="3247" spans="1:8" hidden="1" outlineLevel="1" x14ac:dyDescent="0.25">
      <c r="A3247" s="1002">
        <v>0.04</v>
      </c>
      <c r="B3247" s="996" t="s">
        <v>1994</v>
      </c>
      <c r="C3247" s="1008">
        <v>50.683</v>
      </c>
      <c r="D3247" s="1052">
        <v>13.11</v>
      </c>
      <c r="E3247" s="709">
        <f t="shared" si="111"/>
        <v>-0.74133338594795095</v>
      </c>
      <c r="F3247" s="946">
        <f t="shared" si="112"/>
        <v>-2.9653335437918038E-2</v>
      </c>
      <c r="G3247" s="78"/>
      <c r="H3247" t="str">
        <f>VLOOKUP(B3247,indexy!$A$44:$D$234,3,FALSE)</f>
        <v>BAC UN Equity</v>
      </c>
    </row>
    <row r="3248" spans="1:8" hidden="1" outlineLevel="1" x14ac:dyDescent="0.25">
      <c r="A3248" s="1002">
        <v>0.04</v>
      </c>
      <c r="B3248" s="996" t="s">
        <v>1847</v>
      </c>
      <c r="C3248" s="1008">
        <v>50.53</v>
      </c>
      <c r="D3248" s="1052">
        <v>3.9</v>
      </c>
      <c r="E3248" s="709">
        <f t="shared" si="111"/>
        <v>-0.92281812784484463</v>
      </c>
      <c r="F3248" s="946">
        <f t="shared" si="112"/>
        <v>-3.6912725113793787E-2</v>
      </c>
      <c r="G3248" s="78"/>
      <c r="H3248" t="str">
        <f>VLOOKUP(B3248,indexy!$A$44:$D$234,3,FALSE)</f>
        <v>C UN Equity</v>
      </c>
    </row>
    <row r="3249" spans="1:9" hidden="1" outlineLevel="1" x14ac:dyDescent="0.25">
      <c r="A3249" s="1002">
        <v>0.03</v>
      </c>
      <c r="B3249" s="996" t="s">
        <v>44</v>
      </c>
      <c r="C3249" s="1008">
        <v>5.44</v>
      </c>
      <c r="D3249" s="1052">
        <v>2.3824999999999998</v>
      </c>
      <c r="E3249" s="709">
        <f t="shared" si="111"/>
        <v>-0.56204044117647067</v>
      </c>
      <c r="F3249" s="946">
        <f t="shared" si="112"/>
        <v>-1.6861213235294121E-2</v>
      </c>
      <c r="G3249" s="78"/>
      <c r="H3249" t="str">
        <f>VLOOKUP(B3249,indexy!$A$44:$D$234,3,FALSE)</f>
        <v>ISP IM Equity</v>
      </c>
      <c r="I3249" s="106"/>
    </row>
    <row r="3250" spans="1:9" hidden="1" outlineLevel="1" x14ac:dyDescent="0.25">
      <c r="A3250" s="1002">
        <v>0.04</v>
      </c>
      <c r="B3250" s="996" t="s">
        <v>3801</v>
      </c>
      <c r="C3250" s="1008">
        <v>77.063000000000002</v>
      </c>
      <c r="D3250" s="1052">
        <v>49.55</v>
      </c>
      <c r="E3250" s="709">
        <f t="shared" si="111"/>
        <v>-0.35701958138146717</v>
      </c>
      <c r="F3250" s="946">
        <f t="shared" si="112"/>
        <v>-1.4280783255258687E-2</v>
      </c>
      <c r="G3250" s="78"/>
      <c r="H3250" t="str">
        <f>VLOOKUP(B3250,indexy!$A$44:$D$234,3,FALSE)</f>
        <v>RWE GY Equity</v>
      </c>
    </row>
    <row r="3251" spans="1:9" hidden="1" outlineLevel="1" x14ac:dyDescent="0.25">
      <c r="A3251" s="1002">
        <v>0.04</v>
      </c>
      <c r="B3251" s="996" t="s">
        <v>3792</v>
      </c>
      <c r="C3251" s="1008">
        <v>59.481000000000002</v>
      </c>
      <c r="D3251" s="1052">
        <v>37.15</v>
      </c>
      <c r="E3251" s="709">
        <f t="shared" si="111"/>
        <v>-0.3754308098384358</v>
      </c>
      <c r="F3251" s="946">
        <f t="shared" si="112"/>
        <v>-1.5017232393537432E-2</v>
      </c>
      <c r="G3251" s="78"/>
      <c r="H3251" t="str">
        <f>VLOOKUP(B3251,indexy!$A$44:$D$234,3,FALSE)</f>
        <v>CMA UN Equity</v>
      </c>
    </row>
    <row r="3252" spans="1:9" hidden="1" outlineLevel="1" x14ac:dyDescent="0.25">
      <c r="A3252" s="1002">
        <v>0.03</v>
      </c>
      <c r="B3252" s="996" t="s">
        <v>4110</v>
      </c>
      <c r="C3252" s="1008">
        <f>86.919/2</f>
        <v>43.459499999999998</v>
      </c>
      <c r="D3252" s="1052">
        <v>43.66</v>
      </c>
      <c r="E3252" s="709">
        <f t="shared" si="111"/>
        <v>4.6134907212462828E-3</v>
      </c>
      <c r="F3252" s="946">
        <f t="shared" si="112"/>
        <v>1.3840472163738847E-4</v>
      </c>
      <c r="G3252" s="78"/>
      <c r="H3252" t="e">
        <f>VLOOKUP(B3252,indexy!$A$44:$D$234,3,FALSE)</f>
        <v>#N/A</v>
      </c>
    </row>
    <row r="3253" spans="1:9" hidden="1" outlineLevel="1" x14ac:dyDescent="0.25">
      <c r="A3253" s="1002">
        <v>0.03</v>
      </c>
      <c r="B3253" s="996" t="s">
        <v>1031</v>
      </c>
      <c r="C3253" s="1008">
        <v>8.5284999999999993</v>
      </c>
      <c r="D3253" s="1052">
        <v>5.6429999999999998</v>
      </c>
      <c r="E3253" s="709">
        <f t="shared" si="111"/>
        <v>-0.33833616696957258</v>
      </c>
      <c r="F3253" s="946">
        <f t="shared" si="112"/>
        <v>-1.0150085009087177E-2</v>
      </c>
      <c r="G3253" s="78"/>
      <c r="H3253" t="str">
        <f>VLOOKUP(B3253,indexy!$A$44:$D$234,3,FALSE)</f>
        <v>IBE SQ Equity</v>
      </c>
    </row>
    <row r="3254" spans="1:9" hidden="1" outlineLevel="1" x14ac:dyDescent="0.25">
      <c r="A3254" s="1002">
        <v>0.02</v>
      </c>
      <c r="B3254" s="996" t="s">
        <v>281</v>
      </c>
      <c r="C3254" s="1008">
        <v>37.677</v>
      </c>
      <c r="D3254" s="1052">
        <v>7.96</v>
      </c>
      <c r="E3254" s="709">
        <f t="shared" si="111"/>
        <v>-0.78873052525413379</v>
      </c>
      <c r="F3254" s="946">
        <f t="shared" si="112"/>
        <v>-1.5774610505082675E-2</v>
      </c>
      <c r="G3254" s="78"/>
      <c r="H3254" t="str">
        <f>VLOOKUP(B3254,indexy!$A$44:$D$234,3,FALSE)</f>
        <v>KEY UN Equity</v>
      </c>
    </row>
    <row r="3255" spans="1:9" hidden="1" outlineLevel="1" x14ac:dyDescent="0.25">
      <c r="A3255" s="1002">
        <v>0.03</v>
      </c>
      <c r="B3255" s="987" t="s">
        <v>2984</v>
      </c>
      <c r="C3255" s="1008">
        <v>18.012</v>
      </c>
      <c r="D3255" s="1052">
        <v>9.9049999999999994</v>
      </c>
      <c r="E3255" s="709">
        <f t="shared" si="111"/>
        <v>-0.45008882966910957</v>
      </c>
      <c r="F3255" s="946">
        <f t="shared" si="112"/>
        <v>-1.3502664890073287E-2</v>
      </c>
      <c r="G3255" s="78"/>
      <c r="H3255" t="str">
        <f>VLOOKUP(B3255,indexy!$A$44:$D$234,3,FALSE)</f>
        <v>BBVA SM Equity</v>
      </c>
    </row>
    <row r="3256" spans="1:9" hidden="1" outlineLevel="1" x14ac:dyDescent="0.25">
      <c r="A3256" s="1002">
        <v>0.03</v>
      </c>
      <c r="B3256" s="996" t="s">
        <v>2166</v>
      </c>
      <c r="C3256" s="1008">
        <v>111.23</v>
      </c>
      <c r="D3256" s="1052">
        <v>42.25</v>
      </c>
      <c r="E3256" s="709">
        <f t="shared" si="111"/>
        <v>-0.62015643261709974</v>
      </c>
      <c r="F3256" s="946">
        <f t="shared" si="112"/>
        <v>-1.8604692978512992E-2</v>
      </c>
      <c r="G3256" s="78"/>
      <c r="H3256" t="str">
        <f>VLOOKUP(B3256,indexy!$A$44:$D$234,3,FALSE)</f>
        <v>GLE FP Equity</v>
      </c>
    </row>
    <row r="3257" spans="1:9" hidden="1" outlineLevel="1" x14ac:dyDescent="0.25">
      <c r="A3257" s="1002">
        <v>0.02</v>
      </c>
      <c r="B3257" s="996" t="s">
        <v>3656</v>
      </c>
      <c r="C3257" s="1008">
        <v>123.62</v>
      </c>
      <c r="D3257" s="1052">
        <v>155</v>
      </c>
      <c r="E3257" s="709">
        <f t="shared" si="111"/>
        <v>0.25384242032033644</v>
      </c>
      <c r="F3257" s="946">
        <f t="shared" si="112"/>
        <v>5.0768484064067287E-3</v>
      </c>
      <c r="G3257" s="78"/>
      <c r="H3257" t="str">
        <f>VLOOKUP(B3257,indexy!$A$44:$D$234,3,FALSE)</f>
        <v>SKFB SS Equity</v>
      </c>
    </row>
    <row r="3258" spans="1:9" hidden="1" outlineLevel="1" x14ac:dyDescent="0.25">
      <c r="A3258" s="1002">
        <v>0.03</v>
      </c>
      <c r="B3258" s="996" t="s">
        <v>901</v>
      </c>
      <c r="C3258" s="1008">
        <f>15.765*100</f>
        <v>1576.5</v>
      </c>
      <c r="D3258" s="1052">
        <v>2374.5</v>
      </c>
      <c r="E3258" s="709">
        <f t="shared" si="111"/>
        <v>0.50618458610846817</v>
      </c>
      <c r="F3258" s="946">
        <f t="shared" si="112"/>
        <v>1.5185537583254045E-2</v>
      </c>
      <c r="G3258" s="78"/>
      <c r="H3258" t="str">
        <f>VLOOKUP(B3258,indexy!$A$44:$D$234,3,FALSE)</f>
        <v>BATS LN Equity</v>
      </c>
    </row>
    <row r="3259" spans="1:9" hidden="1" outlineLevel="1" x14ac:dyDescent="0.25">
      <c r="A3259" s="1002">
        <v>0.02</v>
      </c>
      <c r="B3259" s="996" t="s">
        <v>4025</v>
      </c>
      <c r="C3259" s="1008">
        <v>56.283000000000001</v>
      </c>
      <c r="D3259" s="1052">
        <v>46.46</v>
      </c>
      <c r="E3259" s="709">
        <f t="shared" si="111"/>
        <v>-0.17452872092816663</v>
      </c>
      <c r="F3259" s="946">
        <f t="shared" si="112"/>
        <v>-3.4905744185633326E-3</v>
      </c>
      <c r="G3259" s="78"/>
      <c r="H3259" t="str">
        <f>VLOOKUP(B3259,indexy!$A$44:$D$234,3,FALSE)</f>
        <v>MBG GR Equity</v>
      </c>
    </row>
    <row r="3260" spans="1:9" hidden="1" outlineLevel="1" x14ac:dyDescent="0.25">
      <c r="A3260" s="1002">
        <v>0.02</v>
      </c>
      <c r="B3260" s="996" t="s">
        <v>1709</v>
      </c>
      <c r="C3260" s="1008">
        <v>113.88136</v>
      </c>
      <c r="D3260" s="1052">
        <v>103.3</v>
      </c>
      <c r="E3260" s="709">
        <f t="shared" si="111"/>
        <v>-9.2915644843019063E-2</v>
      </c>
      <c r="F3260" s="946">
        <f t="shared" si="112"/>
        <v>-1.8583128968603813E-3</v>
      </c>
      <c r="G3260" s="78"/>
      <c r="H3260" t="str">
        <f>VLOOKUP(B3260,indexy!$A$44:$D$234,3,FALSE)</f>
        <v>SAND SS Equity</v>
      </c>
    </row>
    <row r="3261" spans="1:9" hidden="1" outlineLevel="1" x14ac:dyDescent="0.25">
      <c r="A3261" s="1002">
        <v>0.03</v>
      </c>
      <c r="B3261" s="996" t="s">
        <v>3020</v>
      </c>
      <c r="C3261" s="1008">
        <v>44.777000000000001</v>
      </c>
      <c r="D3261" s="1052">
        <v>51.15</v>
      </c>
      <c r="E3261" s="709">
        <f t="shared" si="111"/>
        <v>0.1423275342251602</v>
      </c>
      <c r="F3261" s="946">
        <f t="shared" si="112"/>
        <v>4.2698260267548058E-3</v>
      </c>
      <c r="G3261" s="78"/>
      <c r="H3261" t="str">
        <f>VLOOKUP(B3261,indexy!$A$44:$D$234,3,FALSE)</f>
        <v>BAYN GR Equity</v>
      </c>
    </row>
    <row r="3262" spans="1:9" hidden="1" outlineLevel="1" x14ac:dyDescent="0.25">
      <c r="A3262" s="1002">
        <v>0.03</v>
      </c>
      <c r="B3262" s="996" t="s">
        <v>181</v>
      </c>
      <c r="C3262" s="1008">
        <v>106.58</v>
      </c>
      <c r="D3262" s="1052">
        <v>43.09</v>
      </c>
      <c r="E3262" s="709">
        <f t="shared" si="111"/>
        <v>-0.59570275849127419</v>
      </c>
      <c r="F3262" s="946">
        <f t="shared" si="112"/>
        <v>-1.7871082754738223E-2</v>
      </c>
      <c r="G3262" s="78"/>
      <c r="H3262" t="e">
        <f>VLOOKUP(B3262,indexy!$A$44:$D$234,3,FALSE)</f>
        <v>#N/A</v>
      </c>
    </row>
    <row r="3263" spans="1:9" hidden="1" outlineLevel="1" x14ac:dyDescent="0.25">
      <c r="A3263" s="1002">
        <v>0.03</v>
      </c>
      <c r="B3263" s="996" t="s">
        <v>279</v>
      </c>
      <c r="C3263" s="1008">
        <v>92.399000000000001</v>
      </c>
      <c r="D3263" s="1052">
        <v>93.01</v>
      </c>
      <c r="E3263" s="709">
        <f t="shared" si="111"/>
        <v>6.6126256777672143E-3</v>
      </c>
      <c r="F3263" s="946">
        <f t="shared" si="112"/>
        <v>1.9837877033301643E-4</v>
      </c>
      <c r="G3263" s="78"/>
      <c r="H3263" t="str">
        <f>VLOOKUP(B3263,indexy!$A$44:$D$234,3,FALSE)</f>
        <v>SU FP Equity</v>
      </c>
    </row>
    <row r="3264" spans="1:9" hidden="1" outlineLevel="1" x14ac:dyDescent="0.25">
      <c r="A3264" s="1002">
        <v>0.03</v>
      </c>
      <c r="B3264" s="996" t="s">
        <v>1526</v>
      </c>
      <c r="C3264" s="1008">
        <v>90.010999999999996</v>
      </c>
      <c r="D3264" s="1052">
        <v>32.905000000000001</v>
      </c>
      <c r="E3264" s="709">
        <f t="shared" si="111"/>
        <v>-0.63443356923042737</v>
      </c>
      <c r="F3264" s="946">
        <f t="shared" si="112"/>
        <v>-1.9033007076912821E-2</v>
      </c>
      <c r="G3264" s="78"/>
      <c r="H3264" t="str">
        <f>VLOOKUP(B3264,indexy!$A$44:$D$234,3,FALSE)</f>
        <v>KBC BB Equity</v>
      </c>
    </row>
    <row r="3265" spans="1:8" hidden="1" outlineLevel="1" x14ac:dyDescent="0.25">
      <c r="A3265" s="1002">
        <v>0.02</v>
      </c>
      <c r="B3265" s="996" t="s">
        <v>1414</v>
      </c>
      <c r="C3265" s="1008">
        <v>25.364999999999998</v>
      </c>
      <c r="D3265" s="1052">
        <v>17.170000000000002</v>
      </c>
      <c r="E3265" s="709">
        <f t="shared" si="111"/>
        <v>-0.32308298836980076</v>
      </c>
      <c r="F3265" s="946">
        <f t="shared" si="112"/>
        <v>-6.4616597673960155E-3</v>
      </c>
      <c r="G3265" s="78"/>
      <c r="H3265" t="str">
        <f>VLOOKUP(B3265,indexy!$A$44:$D$234,3,FALSE)</f>
        <v>PFE UN Equity</v>
      </c>
    </row>
    <row r="3266" spans="1:8" hidden="1" outlineLevel="1" x14ac:dyDescent="0.25">
      <c r="A3266" s="1002">
        <v>0.02</v>
      </c>
      <c r="B3266" s="996" t="s">
        <v>280</v>
      </c>
      <c r="C3266" s="1008">
        <v>55.639000000000003</v>
      </c>
      <c r="D3266" s="1052">
        <v>45.255000000000003</v>
      </c>
      <c r="E3266" s="709">
        <f t="shared" si="111"/>
        <v>-0.18663167921781487</v>
      </c>
      <c r="F3266" s="946">
        <f t="shared" si="112"/>
        <v>-3.7326335843562977E-3</v>
      </c>
      <c r="G3266" s="78"/>
      <c r="H3266" t="str">
        <f>VLOOKUP(B3266,indexy!$A$44:$D$234,3,FALSE)</f>
        <v>AKZA NA Equity</v>
      </c>
    </row>
    <row r="3267" spans="1:8" hidden="1" outlineLevel="1" x14ac:dyDescent="0.25">
      <c r="A3267" s="1002">
        <v>0.03</v>
      </c>
      <c r="B3267" s="996" t="s">
        <v>51</v>
      </c>
      <c r="C3267" s="1008">
        <v>64.489999999999995</v>
      </c>
      <c r="D3267" s="1052">
        <v>32.630000000000003</v>
      </c>
      <c r="E3267" s="709">
        <f t="shared" si="111"/>
        <v>-0.49403008218328415</v>
      </c>
      <c r="F3267" s="946">
        <f t="shared" si="112"/>
        <v>-1.4820902465498524E-2</v>
      </c>
      <c r="G3267" s="78"/>
      <c r="H3267" t="str">
        <f>VLOOKUP(B3267,indexy!$A$44:$D$234,3,FALSE)</f>
        <v>SGO FP Equity</v>
      </c>
    </row>
    <row r="3268" spans="1:8" hidden="1" outlineLevel="1" x14ac:dyDescent="0.25">
      <c r="A3268" s="1004">
        <v>0.03</v>
      </c>
      <c r="B3268" s="997" t="s">
        <v>3022</v>
      </c>
      <c r="C3268" s="1009">
        <v>7778</v>
      </c>
      <c r="D3268" s="1053">
        <v>3835</v>
      </c>
      <c r="E3268" s="716">
        <f t="shared" si="111"/>
        <v>-0.50694265878117761</v>
      </c>
      <c r="F3268" s="1023">
        <f t="shared" si="112"/>
        <v>-1.5208279763435327E-2</v>
      </c>
      <c r="G3268" s="78"/>
      <c r="H3268" t="str">
        <f>VLOOKUP(B3268,indexy!$A$44:$D$234,3,FALSE)</f>
        <v>4502 JT Equity</v>
      </c>
    </row>
    <row r="3269" spans="1:8" hidden="1" outlineLevel="1" x14ac:dyDescent="0.25">
      <c r="A3269" s="749"/>
      <c r="B3269" s="750"/>
      <c r="C3269" s="727"/>
      <c r="D3269" s="727"/>
      <c r="E3269" s="716"/>
      <c r="F3269" s="770">
        <f>SUM(F3239:F3268)</f>
        <v>-0.32584872363342809</v>
      </c>
      <c r="G3269" s="78"/>
    </row>
    <row r="3270" spans="1:8" hidden="1" outlineLevel="1" x14ac:dyDescent="0.25">
      <c r="A3270" s="749"/>
      <c r="B3270" s="750"/>
      <c r="C3270" s="727"/>
      <c r="D3270" s="727"/>
      <c r="E3270" s="716"/>
      <c r="F3270" s="770"/>
      <c r="G3270" s="78"/>
      <c r="H3270" s="101"/>
    </row>
    <row r="3271" spans="1:8" hidden="1" outlineLevel="1" x14ac:dyDescent="0.25">
      <c r="A3271" s="962" t="s">
        <v>4138</v>
      </c>
      <c r="B3271" s="944">
        <v>39234</v>
      </c>
      <c r="C3271" s="727">
        <v>100</v>
      </c>
      <c r="D3271" s="727">
        <v>106.3266</v>
      </c>
      <c r="E3271" s="716">
        <f t="shared" ref="E3271:E3284" si="113">D3271/C3271-1</f>
        <v>6.3266000000000044E-2</v>
      </c>
      <c r="F3271" s="731">
        <f>E3271</f>
        <v>6.3266000000000044E-2</v>
      </c>
      <c r="G3271" s="78"/>
    </row>
    <row r="3272" spans="1:8" hidden="1" outlineLevel="1" x14ac:dyDescent="0.25">
      <c r="A3272" s="962" t="s">
        <v>4139</v>
      </c>
      <c r="B3272" s="944">
        <v>39326</v>
      </c>
      <c r="C3272" s="727">
        <v>100</v>
      </c>
      <c r="D3272" s="727">
        <v>104.4366</v>
      </c>
      <c r="E3272" s="716">
        <f t="shared" si="113"/>
        <v>4.4365999999999906E-2</v>
      </c>
      <c r="F3272" s="731">
        <f t="shared" ref="F3272:F3284" si="114">E3272</f>
        <v>4.4365999999999906E-2</v>
      </c>
      <c r="G3272" s="78"/>
    </row>
    <row r="3273" spans="1:8" hidden="1" outlineLevel="1" x14ac:dyDescent="0.25">
      <c r="A3273" s="962" t="s">
        <v>715</v>
      </c>
      <c r="B3273" s="944">
        <v>39417</v>
      </c>
      <c r="C3273" s="727">
        <v>100</v>
      </c>
      <c r="D3273" s="727">
        <v>101.7914</v>
      </c>
      <c r="E3273" s="716">
        <f t="shared" si="113"/>
        <v>1.7913999999999985E-2</v>
      </c>
      <c r="F3273" s="731">
        <f t="shared" si="114"/>
        <v>1.7913999999999985E-2</v>
      </c>
      <c r="G3273" s="78"/>
    </row>
    <row r="3274" spans="1:8" hidden="1" outlineLevel="1" x14ac:dyDescent="0.25">
      <c r="A3274" s="962" t="s">
        <v>2413</v>
      </c>
      <c r="B3274" s="944">
        <v>39508</v>
      </c>
      <c r="C3274" s="727">
        <v>100</v>
      </c>
      <c r="D3274" s="727">
        <v>86.100300000000004</v>
      </c>
      <c r="E3274" s="716">
        <f t="shared" si="113"/>
        <v>-0.13899699999999993</v>
      </c>
      <c r="F3274" s="731">
        <f t="shared" si="114"/>
        <v>-0.13899699999999993</v>
      </c>
      <c r="G3274" s="78"/>
    </row>
    <row r="3275" spans="1:8" hidden="1" outlineLevel="1" x14ac:dyDescent="0.25">
      <c r="A3275" s="962" t="s">
        <v>2414</v>
      </c>
      <c r="B3275" s="944">
        <v>39600</v>
      </c>
      <c r="C3275" s="727">
        <v>100</v>
      </c>
      <c r="D3275" s="727">
        <v>77.015000000000001</v>
      </c>
      <c r="E3275" s="716">
        <f t="shared" si="113"/>
        <v>-0.22985</v>
      </c>
      <c r="F3275" s="731">
        <f t="shared" si="114"/>
        <v>-0.22985</v>
      </c>
      <c r="G3275" s="78"/>
    </row>
    <row r="3276" spans="1:8" hidden="1" outlineLevel="1" x14ac:dyDescent="0.25">
      <c r="A3276" s="962" t="s">
        <v>2415</v>
      </c>
      <c r="B3276" s="944">
        <v>39692</v>
      </c>
      <c r="C3276" s="727">
        <v>100</v>
      </c>
      <c r="D3276" s="727">
        <v>74.587299999999999</v>
      </c>
      <c r="E3276" s="716">
        <f t="shared" si="113"/>
        <v>-0.25412699999999999</v>
      </c>
      <c r="F3276" s="731">
        <f t="shared" si="114"/>
        <v>-0.25412699999999999</v>
      </c>
      <c r="G3276" s="78"/>
    </row>
    <row r="3277" spans="1:8" hidden="1" outlineLevel="1" x14ac:dyDescent="0.25">
      <c r="A3277" s="962" t="s">
        <v>2416</v>
      </c>
      <c r="B3277" s="944">
        <v>39783</v>
      </c>
      <c r="C3277" s="727">
        <v>100</v>
      </c>
      <c r="D3277" s="727">
        <v>60.494</v>
      </c>
      <c r="E3277" s="716">
        <f t="shared" si="113"/>
        <v>-0.39505999999999997</v>
      </c>
      <c r="F3277" s="731">
        <f t="shared" si="114"/>
        <v>-0.39505999999999997</v>
      </c>
      <c r="G3277" s="78"/>
    </row>
    <row r="3278" spans="1:8" hidden="1" outlineLevel="1" x14ac:dyDescent="0.25">
      <c r="A3278" s="962" t="s">
        <v>3036</v>
      </c>
      <c r="B3278" s="944">
        <v>39873</v>
      </c>
      <c r="C3278" s="727">
        <v>100</v>
      </c>
      <c r="D3278" s="727">
        <v>48.147799999999997</v>
      </c>
      <c r="E3278" s="716">
        <f t="shared" si="113"/>
        <v>-0.51852200000000004</v>
      </c>
      <c r="F3278" s="731">
        <f t="shared" si="114"/>
        <v>-0.51852200000000004</v>
      </c>
      <c r="G3278" s="78"/>
    </row>
    <row r="3279" spans="1:8" hidden="1" outlineLevel="1" x14ac:dyDescent="0.25">
      <c r="A3279" s="962" t="s">
        <v>3037</v>
      </c>
      <c r="B3279" s="944">
        <v>39965</v>
      </c>
      <c r="C3279" s="727">
        <v>100</v>
      </c>
      <c r="D3279" s="727">
        <v>54.017099999999999</v>
      </c>
      <c r="E3279" s="716">
        <f t="shared" si="113"/>
        <v>-0.45982900000000004</v>
      </c>
      <c r="F3279" s="731">
        <f t="shared" si="114"/>
        <v>-0.45982900000000004</v>
      </c>
      <c r="G3279" s="78"/>
    </row>
    <row r="3280" spans="1:8" hidden="1" outlineLevel="1" x14ac:dyDescent="0.25">
      <c r="A3280" s="962" t="s">
        <v>3038</v>
      </c>
      <c r="B3280" s="944">
        <v>40057</v>
      </c>
      <c r="C3280" s="727">
        <v>100</v>
      </c>
      <c r="D3280" s="727">
        <v>65.1511</v>
      </c>
      <c r="E3280" s="716">
        <f t="shared" si="113"/>
        <v>-0.34848900000000005</v>
      </c>
      <c r="F3280" s="731">
        <f t="shared" si="114"/>
        <v>-0.34848900000000005</v>
      </c>
      <c r="G3280" s="78"/>
    </row>
    <row r="3281" spans="1:8" hidden="1" outlineLevel="1" x14ac:dyDescent="0.25">
      <c r="A3281" s="962" t="s">
        <v>4238</v>
      </c>
      <c r="B3281" s="944">
        <v>40148</v>
      </c>
      <c r="C3281" s="727">
        <v>100</v>
      </c>
      <c r="D3281" s="727">
        <v>67.535899999999998</v>
      </c>
      <c r="E3281" s="716">
        <f t="shared" si="113"/>
        <v>-0.32464100000000007</v>
      </c>
      <c r="F3281" s="731">
        <f t="shared" si="114"/>
        <v>-0.32464100000000007</v>
      </c>
      <c r="G3281" s="78"/>
    </row>
    <row r="3282" spans="1:8" hidden="1" outlineLevel="1" x14ac:dyDescent="0.25">
      <c r="A3282" s="962" t="s">
        <v>4239</v>
      </c>
      <c r="B3282" s="944">
        <v>40238</v>
      </c>
      <c r="C3282" s="727">
        <v>100</v>
      </c>
      <c r="D3282" s="727">
        <v>68.184700000000007</v>
      </c>
      <c r="E3282" s="716">
        <f t="shared" si="113"/>
        <v>-0.31815299999999991</v>
      </c>
      <c r="F3282" s="731">
        <f t="shared" si="114"/>
        <v>-0.31815299999999991</v>
      </c>
      <c r="G3282" s="78"/>
    </row>
    <row r="3283" spans="1:8" hidden="1" outlineLevel="1" x14ac:dyDescent="0.25">
      <c r="A3283" s="962" t="s">
        <v>4240</v>
      </c>
      <c r="B3283" s="944">
        <v>40330</v>
      </c>
      <c r="C3283" s="727">
        <v>100</v>
      </c>
      <c r="D3283" s="727">
        <v>62.014699999999998</v>
      </c>
      <c r="E3283" s="716">
        <f t="shared" si="113"/>
        <v>-0.379853</v>
      </c>
      <c r="F3283" s="731">
        <f t="shared" si="114"/>
        <v>-0.379853</v>
      </c>
      <c r="G3283" s="78"/>
      <c r="H3283" t="s">
        <v>1837</v>
      </c>
    </row>
    <row r="3284" spans="1:8" hidden="1" outlineLevel="1" x14ac:dyDescent="0.25">
      <c r="A3284" s="962" t="s">
        <v>4241</v>
      </c>
      <c r="B3284" s="944">
        <v>40422</v>
      </c>
      <c r="C3284" s="727">
        <v>100</v>
      </c>
      <c r="D3284" s="727">
        <v>67.411000000000001</v>
      </c>
      <c r="E3284" s="716">
        <f t="shared" si="113"/>
        <v>-0.32589000000000001</v>
      </c>
      <c r="F3284" s="731">
        <f t="shared" si="114"/>
        <v>-0.32589000000000001</v>
      </c>
      <c r="G3284" s="78"/>
      <c r="H3284" s="101">
        <f>AVERAGE(F3271:F3284)</f>
        <v>-0.2548475</v>
      </c>
    </row>
    <row r="3285" spans="1:8" collapsed="1" x14ac:dyDescent="0.25">
      <c r="A3285" s="3801" t="s">
        <v>1686</v>
      </c>
      <c r="B3285" s="3802"/>
      <c r="C3285" s="3802"/>
      <c r="D3285" s="3802"/>
      <c r="E3285" s="721" t="s">
        <v>2722</v>
      </c>
      <c r="F3285" s="722">
        <f>MAX(AVERAGE(F3271:F3284)*parametry!N129,2%)</f>
        <v>0.02</v>
      </c>
      <c r="G3285" s="97" t="s">
        <v>781</v>
      </c>
    </row>
    <row r="3286" spans="1:8" x14ac:dyDescent="0.25">
      <c r="A3286" s="1"/>
      <c r="B3286" s="1"/>
      <c r="C3286" s="1"/>
      <c r="D3286" s="1"/>
      <c r="E3286" s="1"/>
      <c r="F3286" s="1848"/>
      <c r="G3286" s="78"/>
    </row>
    <row r="3287" spans="1:8" hidden="1" outlineLevel="1" x14ac:dyDescent="0.25">
      <c r="A3287" s="689" t="s">
        <v>113</v>
      </c>
      <c r="B3287" s="689" t="s">
        <v>114</v>
      </c>
      <c r="C3287" s="689" t="s">
        <v>112</v>
      </c>
      <c r="D3287" s="689" t="s">
        <v>116</v>
      </c>
      <c r="E3287" s="689" t="s">
        <v>117</v>
      </c>
      <c r="F3287" s="1188" t="s">
        <v>121</v>
      </c>
      <c r="G3287" s="78"/>
    </row>
    <row r="3288" spans="1:8" hidden="1" outlineLevel="1" x14ac:dyDescent="0.25">
      <c r="A3288" s="962" t="s">
        <v>4242</v>
      </c>
      <c r="B3288" s="729" t="s">
        <v>115</v>
      </c>
      <c r="C3288" s="719">
        <v>4309.4290000000001</v>
      </c>
      <c r="D3288" s="719">
        <v>4441.03</v>
      </c>
      <c r="E3288" s="720">
        <f t="shared" ref="E3288:E3298" si="115">D3288/C3288-1</f>
        <v>3.0537920453034495E-2</v>
      </c>
      <c r="F3288" s="731">
        <v>0</v>
      </c>
      <c r="G3288" s="78"/>
    </row>
    <row r="3289" spans="1:8" hidden="1" outlineLevel="1" x14ac:dyDescent="0.25">
      <c r="A3289" s="962" t="s">
        <v>1611</v>
      </c>
      <c r="B3289" s="729" t="s">
        <v>115</v>
      </c>
      <c r="C3289" s="719">
        <v>4441.03</v>
      </c>
      <c r="D3289" s="719">
        <v>4485.04</v>
      </c>
      <c r="E3289" s="720">
        <f t="shared" si="115"/>
        <v>9.9098632524436958E-3</v>
      </c>
      <c r="F3289" s="731">
        <v>0</v>
      </c>
      <c r="G3289" s="78"/>
    </row>
    <row r="3290" spans="1:8" hidden="1" outlineLevel="1" x14ac:dyDescent="0.25">
      <c r="A3290" s="962" t="s">
        <v>2258</v>
      </c>
      <c r="B3290" s="729" t="s">
        <v>115</v>
      </c>
      <c r="C3290" s="719">
        <v>4485.04</v>
      </c>
      <c r="D3290" s="719">
        <v>4542.57</v>
      </c>
      <c r="E3290" s="720">
        <f t="shared" si="115"/>
        <v>1.2827087383836089E-2</v>
      </c>
      <c r="F3290" s="731">
        <v>0</v>
      </c>
      <c r="G3290" s="78"/>
    </row>
    <row r="3291" spans="1:8" hidden="1" outlineLevel="1" x14ac:dyDescent="0.25">
      <c r="A3291" s="962" t="s">
        <v>2259</v>
      </c>
      <c r="B3291" s="729" t="s">
        <v>115</v>
      </c>
      <c r="C3291" s="719">
        <v>4542.57</v>
      </c>
      <c r="D3291" s="719">
        <v>4195.6000000000004</v>
      </c>
      <c r="E3291" s="720">
        <f t="shared" si="115"/>
        <v>-7.6381871935930379E-2</v>
      </c>
      <c r="F3291" s="731">
        <v>-7.6399999999999996E-2</v>
      </c>
      <c r="G3291" s="78"/>
    </row>
    <row r="3292" spans="1:8" hidden="1" outlineLevel="1" x14ac:dyDescent="0.25">
      <c r="A3292" s="962" t="s">
        <v>2260</v>
      </c>
      <c r="B3292" s="729" t="s">
        <v>115</v>
      </c>
      <c r="C3292" s="719">
        <v>4195.6000000000004</v>
      </c>
      <c r="D3292" s="719">
        <v>4221.34</v>
      </c>
      <c r="E3292" s="720">
        <f t="shared" si="115"/>
        <v>6.1349985699303833E-3</v>
      </c>
      <c r="F3292" s="731">
        <v>0</v>
      </c>
      <c r="G3292" s="78"/>
    </row>
    <row r="3293" spans="1:8" hidden="1" outlineLevel="1" x14ac:dyDescent="0.25">
      <c r="A3293" s="962" t="s">
        <v>2261</v>
      </c>
      <c r="B3293" s="729" t="s">
        <v>115</v>
      </c>
      <c r="C3293" s="719">
        <v>4221.34</v>
      </c>
      <c r="D3293" s="719">
        <v>4476.0200000000004</v>
      </c>
      <c r="E3293" s="720">
        <f t="shared" si="115"/>
        <v>6.0331553487755096E-2</v>
      </c>
      <c r="F3293" s="731">
        <v>0</v>
      </c>
      <c r="G3293" s="78"/>
    </row>
    <row r="3294" spans="1:8" hidden="1" outlineLevel="1" x14ac:dyDescent="0.25">
      <c r="A3294" s="962" t="s">
        <v>3428</v>
      </c>
      <c r="B3294" s="729" t="s">
        <v>115</v>
      </c>
      <c r="C3294" s="719">
        <v>4476.0200000000004</v>
      </c>
      <c r="D3294" s="719">
        <v>4338.28</v>
      </c>
      <c r="E3294" s="720">
        <f t="shared" si="115"/>
        <v>-3.0772874115844173E-2</v>
      </c>
      <c r="F3294" s="731">
        <v>-3.0800000000000001E-2</v>
      </c>
      <c r="G3294" s="78"/>
    </row>
    <row r="3295" spans="1:8" hidden="1" outlineLevel="1" x14ac:dyDescent="0.25">
      <c r="A3295" s="962" t="s">
        <v>3429</v>
      </c>
      <c r="B3295" s="729" t="s">
        <v>115</v>
      </c>
      <c r="C3295" s="719">
        <v>4338.28</v>
      </c>
      <c r="D3295" s="719">
        <v>4384.6499999999996</v>
      </c>
      <c r="E3295" s="720">
        <f t="shared" si="115"/>
        <v>1.0688567819504557E-2</v>
      </c>
      <c r="F3295" s="731">
        <v>0</v>
      </c>
      <c r="G3295" s="78"/>
    </row>
    <row r="3296" spans="1:8" hidden="1" outlineLevel="1" x14ac:dyDescent="0.25">
      <c r="A3296" s="962" t="s">
        <v>3430</v>
      </c>
      <c r="B3296" s="729" t="s">
        <v>115</v>
      </c>
      <c r="C3296" s="719">
        <v>4384.6499999999996</v>
      </c>
      <c r="D3296" s="719">
        <v>4140.9399999999996</v>
      </c>
      <c r="E3296" s="720">
        <f t="shared" si="115"/>
        <v>-5.5582543646585214E-2</v>
      </c>
      <c r="F3296" s="731">
        <f>E3296</f>
        <v>-5.5582543646585214E-2</v>
      </c>
      <c r="G3296" s="78"/>
    </row>
    <row r="3297" spans="1:14" hidden="1" outlineLevel="1" x14ac:dyDescent="0.25">
      <c r="A3297" s="962" t="s">
        <v>3431</v>
      </c>
      <c r="B3297" s="729" t="s">
        <v>115</v>
      </c>
      <c r="C3297" s="719">
        <v>4140.9399999999996</v>
      </c>
      <c r="D3297" s="719">
        <v>3797.89</v>
      </c>
      <c r="E3297" s="720">
        <f t="shared" si="115"/>
        <v>-8.2843508961733314E-2</v>
      </c>
      <c r="F3297" s="731">
        <f>E3297</f>
        <v>-8.2843508961733314E-2</v>
      </c>
      <c r="G3297" s="78"/>
    </row>
    <row r="3298" spans="1:14" hidden="1" outlineLevel="1" x14ac:dyDescent="0.25">
      <c r="A3298" s="962" t="s">
        <v>4456</v>
      </c>
      <c r="B3298" s="729" t="s">
        <v>115</v>
      </c>
      <c r="C3298" s="719">
        <v>3797.89</v>
      </c>
      <c r="D3298" s="719">
        <v>3566.59</v>
      </c>
      <c r="E3298" s="720">
        <f t="shared" si="115"/>
        <v>-6.090223782152715E-2</v>
      </c>
      <c r="F3298" s="731">
        <f>E3298</f>
        <v>-6.090223782152715E-2</v>
      </c>
      <c r="G3298" s="78"/>
    </row>
    <row r="3299" spans="1:14" hidden="1" outlineLevel="1" x14ac:dyDescent="0.25">
      <c r="A3299" s="962" t="s">
        <v>620</v>
      </c>
      <c r="B3299" s="729" t="s">
        <v>115</v>
      </c>
      <c r="C3299" s="719"/>
      <c r="D3299" s="719"/>
      <c r="E3299" s="729"/>
      <c r="F3299" s="731"/>
      <c r="G3299" s="78"/>
    </row>
    <row r="3300" spans="1:14" ht="13.8" hidden="1" outlineLevel="1" thickBot="1" x14ac:dyDescent="0.3">
      <c r="A3300" s="962" t="s">
        <v>621</v>
      </c>
      <c r="B3300" s="729" t="s">
        <v>115</v>
      </c>
      <c r="C3300" s="719"/>
      <c r="D3300" s="719"/>
      <c r="E3300" s="729"/>
      <c r="F3300" s="1666"/>
      <c r="G3300" s="78"/>
    </row>
    <row r="3301" spans="1:14" ht="13.8" hidden="1" outlineLevel="1" thickBot="1" x14ac:dyDescent="0.3">
      <c r="A3301" s="962" t="s">
        <v>622</v>
      </c>
      <c r="B3301" s="729" t="s">
        <v>115</v>
      </c>
      <c r="C3301" s="719"/>
      <c r="D3301" s="719"/>
      <c r="E3301" s="729"/>
      <c r="F3301" s="1863">
        <f>SUM(F3288:F3298)</f>
        <v>-0.30652829042984564</v>
      </c>
      <c r="G3301" s="78"/>
    </row>
    <row r="3302" spans="1:14" hidden="1" outlineLevel="1" x14ac:dyDescent="0.25">
      <c r="A3302" s="962" t="s">
        <v>623</v>
      </c>
      <c r="B3302" s="729" t="s">
        <v>115</v>
      </c>
      <c r="C3302" s="719"/>
      <c r="D3302" s="719"/>
      <c r="E3302" s="729"/>
      <c r="F3302" s="731"/>
      <c r="G3302" s="78"/>
    </row>
    <row r="3303" spans="1:14" hidden="1" outlineLevel="1" x14ac:dyDescent="0.25">
      <c r="A3303" s="962" t="s">
        <v>624</v>
      </c>
      <c r="B3303" s="729" t="s">
        <v>115</v>
      </c>
      <c r="C3303" s="719"/>
      <c r="D3303" s="719"/>
      <c r="E3303" s="729"/>
      <c r="F3303" s="731"/>
      <c r="G3303" s="78"/>
    </row>
    <row r="3304" spans="1:14" hidden="1" outlineLevel="1" x14ac:dyDescent="0.25">
      <c r="A3304" s="962" t="s">
        <v>625</v>
      </c>
      <c r="B3304" s="729" t="s">
        <v>115</v>
      </c>
      <c r="C3304" s="719"/>
      <c r="D3304" s="719"/>
      <c r="E3304" s="729"/>
      <c r="F3304" s="731"/>
      <c r="G3304" s="78"/>
    </row>
    <row r="3305" spans="1:14" hidden="1" outlineLevel="1" x14ac:dyDescent="0.25">
      <c r="A3305" s="962" t="s">
        <v>626</v>
      </c>
      <c r="B3305" s="729" t="s">
        <v>115</v>
      </c>
      <c r="C3305" s="719"/>
      <c r="D3305" s="719"/>
      <c r="E3305" s="729"/>
      <c r="F3305" s="731"/>
      <c r="G3305" s="78"/>
    </row>
    <row r="3306" spans="1:14" hidden="1" outlineLevel="1" x14ac:dyDescent="0.25">
      <c r="A3306" s="962" t="s">
        <v>627</v>
      </c>
      <c r="B3306" s="729" t="s">
        <v>115</v>
      </c>
      <c r="C3306" s="719"/>
      <c r="D3306" s="719"/>
      <c r="E3306" s="729"/>
      <c r="F3306" s="731"/>
      <c r="G3306" s="78"/>
    </row>
    <row r="3307" spans="1:14" hidden="1" outlineLevel="1" x14ac:dyDescent="0.25">
      <c r="A3307" s="962" t="s">
        <v>628</v>
      </c>
      <c r="B3307" s="729" t="s">
        <v>115</v>
      </c>
      <c r="C3307" s="719"/>
      <c r="D3307" s="719"/>
      <c r="E3307" s="729"/>
      <c r="F3307" s="731"/>
      <c r="G3307" s="78"/>
    </row>
    <row r="3308" spans="1:14" hidden="1" outlineLevel="1" x14ac:dyDescent="0.25">
      <c r="A3308" s="962" t="s">
        <v>629</v>
      </c>
      <c r="B3308" s="729" t="s">
        <v>115</v>
      </c>
      <c r="C3308" s="719"/>
      <c r="D3308" s="719"/>
      <c r="E3308" s="729"/>
      <c r="F3308" s="731"/>
      <c r="G3308" s="78"/>
    </row>
    <row r="3309" spans="1:14" hidden="1" outlineLevel="1" x14ac:dyDescent="0.25">
      <c r="A3309" s="962" t="s">
        <v>124</v>
      </c>
      <c r="B3309" s="729" t="s">
        <v>115</v>
      </c>
      <c r="C3309" s="719"/>
      <c r="D3309" s="719"/>
      <c r="E3309" s="729"/>
      <c r="F3309" s="731"/>
      <c r="G3309" s="78"/>
    </row>
    <row r="3310" spans="1:14" hidden="1" outlineLevel="1" x14ac:dyDescent="0.25">
      <c r="A3310" s="962" t="s">
        <v>125</v>
      </c>
      <c r="B3310" s="729" t="s">
        <v>115</v>
      </c>
      <c r="C3310" s="719"/>
      <c r="D3310" s="719"/>
      <c r="E3310" s="729"/>
      <c r="F3310" s="731"/>
      <c r="G3310" s="78"/>
    </row>
    <row r="3311" spans="1:14" hidden="1" outlineLevel="1" x14ac:dyDescent="0.25">
      <c r="A3311" s="962" t="s">
        <v>126</v>
      </c>
      <c r="B3311" s="729" t="s">
        <v>115</v>
      </c>
      <c r="C3311" s="719"/>
      <c r="D3311" s="719"/>
      <c r="E3311" s="729"/>
      <c r="F3311" s="731"/>
      <c r="G3311" s="78"/>
    </row>
    <row r="3312" spans="1:14" collapsed="1" x14ac:dyDescent="0.25">
      <c r="A3312" s="3801" t="s">
        <v>1687</v>
      </c>
      <c r="B3312" s="3802"/>
      <c r="C3312" s="3802"/>
      <c r="D3312" s="3802"/>
      <c r="E3312" s="721"/>
      <c r="F3312" s="722">
        <f>MAX(0,30%+SUM(F3288:F3311))</f>
        <v>0</v>
      </c>
      <c r="G3312" s="97" t="s">
        <v>781</v>
      </c>
      <c r="M3312" s="39"/>
      <c r="N3312" s="39"/>
    </row>
    <row r="3313" spans="1:31" s="39" customFormat="1" x14ac:dyDescent="0.25">
      <c r="A3313" s="159"/>
      <c r="B3313" s="159"/>
      <c r="C3313" s="159"/>
      <c r="D3313" s="159"/>
      <c r="E3313" s="160"/>
      <c r="F3313" s="160"/>
      <c r="G3313" s="12"/>
      <c r="I3313" s="171"/>
      <c r="J3313"/>
      <c r="K3313"/>
      <c r="L3313"/>
    </row>
    <row r="3314" spans="1:31" s="39" customFormat="1" hidden="1" outlineLevel="1" x14ac:dyDescent="0.25">
      <c r="A3314" s="689" t="s">
        <v>113</v>
      </c>
      <c r="B3314" s="689" t="s">
        <v>114</v>
      </c>
      <c r="C3314" s="689" t="s">
        <v>112</v>
      </c>
      <c r="D3314" s="689" t="s">
        <v>4155</v>
      </c>
      <c r="E3314" s="495" t="s">
        <v>117</v>
      </c>
      <c r="F3314" s="731" t="s">
        <v>121</v>
      </c>
      <c r="G3314" s="12"/>
      <c r="H3314" s="173"/>
      <c r="I3314" s="173" t="s">
        <v>631</v>
      </c>
      <c r="J3314" s="257">
        <v>40634</v>
      </c>
      <c r="K3314" s="257">
        <v>40664</v>
      </c>
      <c r="L3314" s="257">
        <v>40695</v>
      </c>
      <c r="M3314" s="257">
        <v>40725</v>
      </c>
      <c r="N3314" s="257">
        <v>40756</v>
      </c>
      <c r="O3314" s="257">
        <v>40787</v>
      </c>
      <c r="P3314" s="257">
        <v>40817</v>
      </c>
      <c r="Q3314" s="257">
        <v>40848</v>
      </c>
      <c r="R3314" s="257">
        <v>40878</v>
      </c>
      <c r="S3314" s="257">
        <v>40909</v>
      </c>
      <c r="T3314" s="257">
        <v>40940</v>
      </c>
      <c r="U3314" s="257">
        <v>40969</v>
      </c>
      <c r="V3314" s="257">
        <v>41000</v>
      </c>
      <c r="W3314" s="257">
        <v>41030</v>
      </c>
      <c r="X3314" s="257">
        <v>41061</v>
      </c>
      <c r="Y3314" s="257">
        <v>41091</v>
      </c>
      <c r="Z3314" s="257">
        <v>41122</v>
      </c>
      <c r="AA3314" s="257">
        <v>41153</v>
      </c>
      <c r="AB3314" s="257"/>
      <c r="AC3314" s="257"/>
      <c r="AD3314" s="257"/>
      <c r="AE3314" s="257"/>
    </row>
    <row r="3315" spans="1:31" s="39" customFormat="1" hidden="1" outlineLevel="1" x14ac:dyDescent="0.25">
      <c r="A3315" s="1044" t="s">
        <v>127</v>
      </c>
      <c r="B3315" s="1054" t="s">
        <v>1989</v>
      </c>
      <c r="C3315" s="1046">
        <v>2.9899999999999999E-2</v>
      </c>
      <c r="D3315" s="1055">
        <v>3.32E-2</v>
      </c>
      <c r="E3315" s="1056">
        <f>+C3315/D3315-1</f>
        <v>-9.9397590361445798E-2</v>
      </c>
      <c r="F3315" s="3816">
        <v>1.0934861794883101E-2</v>
      </c>
      <c r="G3315" s="12"/>
      <c r="H3315" s="44"/>
      <c r="I3315" s="44"/>
      <c r="J3315" s="239">
        <v>111.15430000000001</v>
      </c>
      <c r="K3315" s="239">
        <v>109.2773</v>
      </c>
      <c r="L3315" s="239">
        <v>107.9533</v>
      </c>
      <c r="M3315" s="239">
        <v>108.4941</v>
      </c>
      <c r="N3315" s="239">
        <v>102.6519</v>
      </c>
      <c r="O3315" s="239">
        <v>93.001999999999995</v>
      </c>
      <c r="P3315" s="239">
        <v>97.842299999999994</v>
      </c>
      <c r="Q3315" s="239">
        <v>95.647300000000001</v>
      </c>
      <c r="R3315" s="239">
        <v>96.078000000000003</v>
      </c>
      <c r="S3315" s="239">
        <v>104.0056</v>
      </c>
      <c r="T3315" s="239">
        <v>106.23860000000001</v>
      </c>
      <c r="U3315" s="239">
        <v>102.027</v>
      </c>
      <c r="V3315" s="239">
        <v>102.30710000000001</v>
      </c>
      <c r="W3315" s="239">
        <v>94.885223589766156</v>
      </c>
      <c r="X3315" s="239">
        <v>94.660899999999998</v>
      </c>
      <c r="Y3315" s="239">
        <v>97.828100000000006</v>
      </c>
      <c r="Z3315" s="239">
        <v>96.989699999999999</v>
      </c>
      <c r="AA3315" s="239">
        <v>100.827</v>
      </c>
    </row>
    <row r="3316" spans="1:31" s="39" customFormat="1" hidden="1" outlineLevel="1" x14ac:dyDescent="0.25">
      <c r="A3316" s="1044" t="s">
        <v>127</v>
      </c>
      <c r="B3316" s="1057" t="s">
        <v>1990</v>
      </c>
      <c r="C3316" s="1048">
        <v>0.2606</v>
      </c>
      <c r="D3316" s="1055">
        <v>0.24357000000000001</v>
      </c>
      <c r="E3316" s="1058">
        <f>+C3316/D3316-1</f>
        <v>6.9918298641047594E-2</v>
      </c>
      <c r="F3316" s="3817"/>
      <c r="G3316" s="12"/>
      <c r="H3316" s="44"/>
      <c r="I3316" s="209">
        <f>AVERAGE(J3316:AA3316)</f>
        <v>1.2149846438759E-2</v>
      </c>
      <c r="J3316" s="171">
        <f>IF(J3315="",I3316,J3315/100-1)</f>
        <v>0.11154300000000017</v>
      </c>
      <c r="K3316" s="171">
        <f t="shared" ref="K3316:AA3316" si="116">IF(K3315="",J3316,K3315/100-1)</f>
        <v>9.2772999999999994E-2</v>
      </c>
      <c r="L3316" s="171">
        <f t="shared" si="116"/>
        <v>7.9533000000000076E-2</v>
      </c>
      <c r="M3316" s="171">
        <f t="shared" si="116"/>
        <v>8.4940999999999933E-2</v>
      </c>
      <c r="N3316" s="171">
        <f t="shared" si="116"/>
        <v>2.6518999999999959E-2</v>
      </c>
      <c r="O3316" s="171">
        <f t="shared" si="116"/>
        <v>-6.9980000000000042E-2</v>
      </c>
      <c r="P3316" s="171">
        <f t="shared" si="116"/>
        <v>-2.1577000000000068E-2</v>
      </c>
      <c r="Q3316" s="171">
        <f t="shared" si="116"/>
        <v>-4.3526999999999982E-2</v>
      </c>
      <c r="R3316" s="171">
        <f t="shared" si="116"/>
        <v>-3.9219999999999922E-2</v>
      </c>
      <c r="S3316" s="171">
        <f t="shared" si="116"/>
        <v>4.0056000000000092E-2</v>
      </c>
      <c r="T3316" s="171">
        <f t="shared" si="116"/>
        <v>6.2386000000000053E-2</v>
      </c>
      <c r="U3316" s="171">
        <f t="shared" si="116"/>
        <v>2.027000000000001E-2</v>
      </c>
      <c r="V3316" s="171">
        <f t="shared" si="116"/>
        <v>2.3071000000000064E-2</v>
      </c>
      <c r="W3316" s="171">
        <f t="shared" si="116"/>
        <v>-5.1147764102338455E-2</v>
      </c>
      <c r="X3316" s="171">
        <f t="shared" si="116"/>
        <v>-5.3390999999999966E-2</v>
      </c>
      <c r="Y3316" s="171">
        <f t="shared" si="116"/>
        <v>-2.1718999999999933E-2</v>
      </c>
      <c r="Z3316" s="171">
        <f>IF(Z3315="",Y3316,Z3315/100-1)</f>
        <v>-3.0102999999999991E-2</v>
      </c>
      <c r="AA3316" s="171">
        <f t="shared" si="116"/>
        <v>8.2699999999999996E-3</v>
      </c>
    </row>
    <row r="3317" spans="1:31" s="39" customFormat="1" hidden="1" outlineLevel="1" x14ac:dyDescent="0.25">
      <c r="A3317" s="1044" t="s">
        <v>127</v>
      </c>
      <c r="B3317" s="1057" t="s">
        <v>1991</v>
      </c>
      <c r="C3317" s="1048">
        <v>3.5700000000000003E-2</v>
      </c>
      <c r="D3317" s="1055">
        <v>3.9899999999999998E-2</v>
      </c>
      <c r="E3317" s="1058">
        <f>+C3317/D3317-1</f>
        <v>-0.10526315789473673</v>
      </c>
      <c r="F3317" s="3817"/>
      <c r="G3317" s="12"/>
      <c r="H3317" s="44"/>
      <c r="I3317" s="44"/>
    </row>
    <row r="3318" spans="1:31" s="39" customFormat="1" hidden="1" outlineLevel="1" x14ac:dyDescent="0.25">
      <c r="A3318" s="1044" t="s">
        <v>127</v>
      </c>
      <c r="B3318" s="1057" t="s">
        <v>2702</v>
      </c>
      <c r="C3318" s="1048">
        <v>2004.586</v>
      </c>
      <c r="D3318" s="1059">
        <v>2235.52</v>
      </c>
      <c r="E3318" s="1058">
        <f>+D3318/C3318-1</f>
        <v>0.1152028398881364</v>
      </c>
      <c r="F3318" s="3817"/>
      <c r="G3318" s="12"/>
    </row>
    <row r="3319" spans="1:31" s="39" customFormat="1" hidden="1" outlineLevel="1" x14ac:dyDescent="0.25">
      <c r="A3319" s="1044" t="s">
        <v>127</v>
      </c>
      <c r="B3319" s="1060" t="s">
        <v>503</v>
      </c>
      <c r="C3319" s="1050">
        <v>119.69589999999999</v>
      </c>
      <c r="D3319" s="1061">
        <v>86.3553</v>
      </c>
      <c r="E3319" s="1062">
        <f>+D3319/C3319-1</f>
        <v>-0.27854421078750402</v>
      </c>
      <c r="F3319" s="3818"/>
      <c r="G3319" s="12"/>
    </row>
    <row r="3320" spans="1:31" s="39" customFormat="1" collapsed="1" x14ac:dyDescent="0.25">
      <c r="A3320" s="3801" t="s">
        <v>1918</v>
      </c>
      <c r="B3320" s="3802"/>
      <c r="C3320" s="3802"/>
      <c r="D3320" s="3802"/>
      <c r="E3320" s="726"/>
      <c r="F3320" s="752">
        <v>1.0934861794883101E-2</v>
      </c>
      <c r="G3320" s="97" t="s">
        <v>781</v>
      </c>
    </row>
    <row r="3321" spans="1:31" s="39" customFormat="1" x14ac:dyDescent="0.25">
      <c r="A3321" s="159"/>
      <c r="B3321" s="159"/>
      <c r="C3321" s="159"/>
      <c r="D3321" s="159"/>
      <c r="E3321" s="160"/>
      <c r="F3321" s="160"/>
      <c r="G3321" s="12"/>
      <c r="M3321"/>
      <c r="N3321"/>
    </row>
    <row r="3322" spans="1:31" hidden="1" outlineLevel="1" x14ac:dyDescent="0.25">
      <c r="A3322" s="689" t="s">
        <v>113</v>
      </c>
      <c r="B3322" s="1063" t="s">
        <v>114</v>
      </c>
      <c r="C3322" s="495" t="s">
        <v>112</v>
      </c>
      <c r="D3322" s="495" t="s">
        <v>116</v>
      </c>
      <c r="E3322" s="495" t="s">
        <v>117</v>
      </c>
      <c r="F3322" s="1864" t="s">
        <v>121</v>
      </c>
      <c r="G3322" s="78"/>
      <c r="H3322" s="12"/>
      <c r="J3322" s="39"/>
      <c r="K3322" s="39"/>
      <c r="L3322" s="39"/>
    </row>
    <row r="3323" spans="1:31" hidden="1" outlineLevel="1" x14ac:dyDescent="0.25">
      <c r="A3323" s="936" t="s">
        <v>128</v>
      </c>
      <c r="B3323" s="799" t="s">
        <v>2019</v>
      </c>
      <c r="C3323" s="1025">
        <v>394.55099999999999</v>
      </c>
      <c r="D3323" s="800">
        <v>387.7</v>
      </c>
      <c r="E3323" s="3829">
        <f>(D3323/C3323*0.25+D3324/C3324*0.25+D3325/C3325*0.25+D3326/C3326*0.25)-1</f>
        <v>8.2285218971686724E-2</v>
      </c>
      <c r="F3323" s="3819">
        <v>7.4999999999999997E-2</v>
      </c>
      <c r="G3323" s="78"/>
      <c r="H3323" s="63" t="s">
        <v>2016</v>
      </c>
    </row>
    <row r="3324" spans="1:31" hidden="1" outlineLevel="1" x14ac:dyDescent="0.25">
      <c r="A3324" s="937" t="s">
        <v>128</v>
      </c>
      <c r="B3324" s="852" t="s">
        <v>3564</v>
      </c>
      <c r="C3324" s="1027">
        <v>19671.511999999999</v>
      </c>
      <c r="D3324" s="1064">
        <v>24071.696</v>
      </c>
      <c r="E3324" s="3830"/>
      <c r="F3324" s="3820"/>
      <c r="G3324" s="78"/>
      <c r="H3324" s="63" t="s">
        <v>4411</v>
      </c>
    </row>
    <row r="3325" spans="1:31" hidden="1" outlineLevel="1" x14ac:dyDescent="0.25">
      <c r="A3325" s="937" t="s">
        <v>128</v>
      </c>
      <c r="B3325" s="852" t="s">
        <v>3563</v>
      </c>
      <c r="C3325" s="1027">
        <v>9492.1759999999995</v>
      </c>
      <c r="D3325" s="1064">
        <v>12934.713</v>
      </c>
      <c r="E3325" s="3830"/>
      <c r="F3325" s="3820"/>
      <c r="G3325" s="78"/>
      <c r="H3325" s="63" t="s">
        <v>4410</v>
      </c>
    </row>
    <row r="3326" spans="1:31" hidden="1" outlineLevel="1" x14ac:dyDescent="0.25">
      <c r="A3326" s="938" t="s">
        <v>128</v>
      </c>
      <c r="B3326" s="801" t="s">
        <v>761</v>
      </c>
      <c r="C3326" s="1065">
        <v>17302.88</v>
      </c>
      <c r="D3326" s="1066">
        <v>13152.799000000001</v>
      </c>
      <c r="E3326" s="3831"/>
      <c r="F3326" s="3821"/>
      <c r="G3326" s="78"/>
      <c r="H3326" s="63" t="s">
        <v>4406</v>
      </c>
    </row>
    <row r="3327" spans="1:31" hidden="1" outlineLevel="1" x14ac:dyDescent="0.25">
      <c r="A3327" s="936" t="s">
        <v>129</v>
      </c>
      <c r="B3327" s="799" t="s">
        <v>326</v>
      </c>
      <c r="C3327" s="1067">
        <v>387.7</v>
      </c>
      <c r="D3327" s="1068">
        <v>220.47</v>
      </c>
      <c r="E3327" s="3829">
        <v>-0.3654</v>
      </c>
      <c r="F3327" s="3833">
        <v>-0.03</v>
      </c>
      <c r="G3327" s="78"/>
      <c r="H3327" s="12"/>
    </row>
    <row r="3328" spans="1:31" hidden="1" outlineLevel="1" x14ac:dyDescent="0.25">
      <c r="A3328" s="937" t="s">
        <v>129</v>
      </c>
      <c r="B3328" s="852" t="s">
        <v>327</v>
      </c>
      <c r="C3328" s="1069">
        <v>24071.696</v>
      </c>
      <c r="D3328" s="1039">
        <v>14872.325000000001</v>
      </c>
      <c r="E3328" s="3830"/>
      <c r="F3328" s="3833"/>
      <c r="G3328" s="78"/>
      <c r="H3328" s="12"/>
    </row>
    <row r="3329" spans="1:8" hidden="1" outlineLevel="1" x14ac:dyDescent="0.25">
      <c r="A3329" s="937" t="s">
        <v>129</v>
      </c>
      <c r="B3329" s="852" t="s">
        <v>328</v>
      </c>
      <c r="C3329" s="1069">
        <v>12934.713</v>
      </c>
      <c r="D3329" s="1040">
        <v>8784.1839999999993</v>
      </c>
      <c r="E3329" s="3830"/>
      <c r="F3329" s="3833"/>
      <c r="G3329" s="78"/>
      <c r="H3329" s="12"/>
    </row>
    <row r="3330" spans="1:8" hidden="1" outlineLevel="1" x14ac:dyDescent="0.25">
      <c r="A3330" s="938" t="s">
        <v>129</v>
      </c>
      <c r="B3330" s="801" t="s">
        <v>761</v>
      </c>
      <c r="C3330" s="1070">
        <v>13152.799000000001</v>
      </c>
      <c r="D3330" s="1040">
        <v>8775.4599999999991</v>
      </c>
      <c r="E3330" s="3831"/>
      <c r="F3330" s="3834"/>
      <c r="G3330" s="78"/>
      <c r="H3330" s="12"/>
    </row>
    <row r="3331" spans="1:8" hidden="1" outlineLevel="1" x14ac:dyDescent="0.25">
      <c r="A3331" s="936" t="s">
        <v>130</v>
      </c>
      <c r="B3331" s="691" t="s">
        <v>326</v>
      </c>
      <c r="C3331" s="1071">
        <v>220.47</v>
      </c>
      <c r="D3331" s="800">
        <v>353.77</v>
      </c>
      <c r="E3331" s="3824">
        <v>0.45889999999999997</v>
      </c>
      <c r="F3331" s="3832">
        <v>7.4999999999999997E-2</v>
      </c>
      <c r="G3331" s="78"/>
      <c r="H3331" s="12"/>
    </row>
    <row r="3332" spans="1:8" hidden="1" outlineLevel="1" x14ac:dyDescent="0.25">
      <c r="A3332" s="937" t="s">
        <v>130</v>
      </c>
      <c r="B3332" s="695" t="s">
        <v>327</v>
      </c>
      <c r="C3332" s="1028">
        <v>14872.325000000001</v>
      </c>
      <c r="D3332" s="1028">
        <v>21933.269</v>
      </c>
      <c r="E3332" s="3825"/>
      <c r="F3332" s="3833"/>
      <c r="G3332" s="78"/>
      <c r="H3332" s="12"/>
    </row>
    <row r="3333" spans="1:8" hidden="1" outlineLevel="1" x14ac:dyDescent="0.25">
      <c r="A3333" s="937" t="s">
        <v>130</v>
      </c>
      <c r="B3333" s="695" t="s">
        <v>328</v>
      </c>
      <c r="C3333" s="802">
        <v>8784.1839999999993</v>
      </c>
      <c r="D3333" s="802">
        <v>12784.673000000001</v>
      </c>
      <c r="E3333" s="3825"/>
      <c r="F3333" s="3833"/>
      <c r="G3333" s="78"/>
      <c r="H3333" s="12"/>
    </row>
    <row r="3334" spans="1:8" hidden="1" outlineLevel="1" x14ac:dyDescent="0.25">
      <c r="A3334" s="938" t="s">
        <v>130</v>
      </c>
      <c r="B3334" s="695" t="s">
        <v>761</v>
      </c>
      <c r="C3334" s="804">
        <v>8775.4599999999991</v>
      </c>
      <c r="D3334" s="804">
        <v>11243.550999999999</v>
      </c>
      <c r="E3334" s="3826"/>
      <c r="F3334" s="3834"/>
      <c r="G3334" s="78"/>
      <c r="H3334" s="12"/>
    </row>
    <row r="3335" spans="1:8" hidden="1" outlineLevel="1" x14ac:dyDescent="0.25">
      <c r="A3335" s="936" t="s">
        <v>131</v>
      </c>
      <c r="B3335" s="691" t="s">
        <v>326</v>
      </c>
      <c r="C3335" s="800">
        <v>353.77</v>
      </c>
      <c r="D3335" s="800">
        <v>274.29399999999998</v>
      </c>
      <c r="E3335" s="3824">
        <v>3.8600000000000002E-2</v>
      </c>
      <c r="F3335" s="3832">
        <v>3.8600000000000002E-2</v>
      </c>
      <c r="G3335" s="78"/>
      <c r="H3335" s="12"/>
    </row>
    <row r="3336" spans="1:8" hidden="1" outlineLevel="1" x14ac:dyDescent="0.25">
      <c r="A3336" s="937" t="s">
        <v>131</v>
      </c>
      <c r="B3336" s="695" t="s">
        <v>327</v>
      </c>
      <c r="C3336" s="1028">
        <v>21933.269</v>
      </c>
      <c r="D3336" s="1028">
        <v>24135.194</v>
      </c>
      <c r="E3336" s="3825"/>
      <c r="F3336" s="3833"/>
      <c r="G3336" s="78"/>
      <c r="H3336" s="12"/>
    </row>
    <row r="3337" spans="1:8" hidden="1" outlineLevel="1" x14ac:dyDescent="0.25">
      <c r="A3337" s="937" t="s">
        <v>131</v>
      </c>
      <c r="B3337" s="695" t="s">
        <v>328</v>
      </c>
      <c r="C3337" s="802">
        <v>12784.673000000001</v>
      </c>
      <c r="D3337" s="802">
        <v>13569.987999999999</v>
      </c>
      <c r="E3337" s="3825"/>
      <c r="F3337" s="3833"/>
      <c r="G3337" s="78"/>
      <c r="H3337" s="12"/>
    </row>
    <row r="3338" spans="1:8" hidden="1" outlineLevel="1" x14ac:dyDescent="0.25">
      <c r="A3338" s="938" t="s">
        <v>131</v>
      </c>
      <c r="B3338" s="695" t="s">
        <v>761</v>
      </c>
      <c r="C3338" s="804">
        <v>11243.550999999999</v>
      </c>
      <c r="D3338" s="804">
        <v>9655.6270000000004</v>
      </c>
      <c r="E3338" s="3826"/>
      <c r="F3338" s="3834"/>
      <c r="G3338" s="78"/>
      <c r="H3338" s="12"/>
    </row>
    <row r="3339" spans="1:8" hidden="1" outlineLevel="1" x14ac:dyDescent="0.25">
      <c r="A3339" s="936" t="s">
        <v>132</v>
      </c>
      <c r="B3339" s="691" t="s">
        <v>326</v>
      </c>
      <c r="C3339" s="800">
        <v>274.29399999999998</v>
      </c>
      <c r="D3339" s="800">
        <v>315.935</v>
      </c>
      <c r="E3339" s="3824">
        <v>-0.2218</v>
      </c>
      <c r="F3339" s="3832">
        <v>-0.03</v>
      </c>
      <c r="G3339" s="78"/>
      <c r="H3339" s="12"/>
    </row>
    <row r="3340" spans="1:8" hidden="1" outlineLevel="1" x14ac:dyDescent="0.25">
      <c r="A3340" s="937" t="s">
        <v>132</v>
      </c>
      <c r="B3340" s="695" t="s">
        <v>327</v>
      </c>
      <c r="C3340" s="1028">
        <v>24135.194</v>
      </c>
      <c r="D3340" s="1028">
        <v>18636.523000000001</v>
      </c>
      <c r="E3340" s="3825"/>
      <c r="F3340" s="3833"/>
      <c r="G3340" s="78"/>
      <c r="H3340" s="12"/>
    </row>
    <row r="3341" spans="1:8" hidden="1" outlineLevel="1" x14ac:dyDescent="0.25">
      <c r="A3341" s="937" t="s">
        <v>132</v>
      </c>
      <c r="B3341" s="695" t="s">
        <v>328</v>
      </c>
      <c r="C3341" s="802">
        <v>13569.987999999999</v>
      </c>
      <c r="D3341" s="802">
        <v>9492.9860000000008</v>
      </c>
      <c r="E3341" s="3825"/>
      <c r="F3341" s="3833"/>
      <c r="G3341" s="78"/>
      <c r="H3341" s="12"/>
    </row>
    <row r="3342" spans="1:8" hidden="1" outlineLevel="1" x14ac:dyDescent="0.25">
      <c r="A3342" s="938" t="s">
        <v>132</v>
      </c>
      <c r="B3342" s="695" t="s">
        <v>761</v>
      </c>
      <c r="C3342" s="804">
        <v>9655.6270000000004</v>
      </c>
      <c r="D3342" s="804">
        <v>8506.8739999999998</v>
      </c>
      <c r="E3342" s="3826"/>
      <c r="F3342" s="3834"/>
      <c r="G3342" s="78"/>
      <c r="H3342" s="12"/>
    </row>
    <row r="3343" spans="1:8" collapsed="1" x14ac:dyDescent="0.25">
      <c r="A3343" s="3801" t="s">
        <v>1919</v>
      </c>
      <c r="B3343" s="3802"/>
      <c r="C3343" s="3802"/>
      <c r="D3343" s="3802"/>
      <c r="E3343" s="729"/>
      <c r="F3343" s="752">
        <f>F3323+F3327+F3331+F3335+F3339</f>
        <v>0.12859999999999999</v>
      </c>
      <c r="G3343" s="97" t="s">
        <v>781</v>
      </c>
      <c r="H3343" s="12"/>
    </row>
    <row r="3344" spans="1:8" x14ac:dyDescent="0.25">
      <c r="A3344" s="1"/>
      <c r="B3344" s="1"/>
      <c r="C3344" s="1"/>
      <c r="D3344" s="1"/>
      <c r="E3344" s="1"/>
      <c r="F3344" s="1848"/>
      <c r="G3344" s="78"/>
    </row>
    <row r="3345" spans="1:9" hidden="1" outlineLevel="1" x14ac:dyDescent="0.25">
      <c r="A3345" s="689" t="s">
        <v>113</v>
      </c>
      <c r="B3345" s="689" t="s">
        <v>114</v>
      </c>
      <c r="C3345" s="689" t="s">
        <v>112</v>
      </c>
      <c r="D3345" s="689" t="s">
        <v>116</v>
      </c>
      <c r="E3345" s="689" t="s">
        <v>117</v>
      </c>
      <c r="F3345" s="1188" t="s">
        <v>121</v>
      </c>
      <c r="G3345" s="78"/>
    </row>
    <row r="3346" spans="1:9" hidden="1" outlineLevel="1" x14ac:dyDescent="0.25">
      <c r="A3346" s="690">
        <v>1</v>
      </c>
      <c r="B3346" s="691" t="s">
        <v>252</v>
      </c>
      <c r="C3346" s="692">
        <v>100</v>
      </c>
      <c r="D3346" s="692"/>
      <c r="E3346" s="693"/>
      <c r="F3346" s="694"/>
      <c r="G3346" s="78"/>
    </row>
    <row r="3347" spans="1:9" hidden="1" outlineLevel="1" x14ac:dyDescent="0.25">
      <c r="A3347" s="695"/>
      <c r="B3347" s="695"/>
      <c r="C3347" s="696"/>
      <c r="D3347" s="697" t="s">
        <v>3702</v>
      </c>
      <c r="E3347" s="698">
        <v>40543</v>
      </c>
      <c r="F3347" s="699"/>
      <c r="G3347" s="78"/>
    </row>
    <row r="3348" spans="1:9" hidden="1" outlineLevel="1" x14ac:dyDescent="0.25">
      <c r="A3348" s="689" t="s">
        <v>4156</v>
      </c>
      <c r="B3348" s="689" t="s">
        <v>4153</v>
      </c>
      <c r="C3348" s="497" t="s">
        <v>112</v>
      </c>
      <c r="D3348" s="495" t="s">
        <v>116</v>
      </c>
      <c r="E3348" s="689" t="s">
        <v>4154</v>
      </c>
      <c r="F3348" s="1021" t="s">
        <v>2519</v>
      </c>
      <c r="G3348" s="78"/>
    </row>
    <row r="3349" spans="1:9" hidden="1" outlineLevel="1" x14ac:dyDescent="0.25">
      <c r="A3349" s="999">
        <v>0.04</v>
      </c>
      <c r="B3349" s="1000" t="s">
        <v>577</v>
      </c>
      <c r="C3349" s="1007">
        <v>16.922999999999998</v>
      </c>
      <c r="D3349" s="803">
        <v>16.965</v>
      </c>
      <c r="E3349" s="705">
        <f>D3349/C3349-1</f>
        <v>2.4818294628612403E-3</v>
      </c>
      <c r="F3349" s="1021">
        <f>E3349*A3349</f>
        <v>9.9273178514449611E-5</v>
      </c>
      <c r="G3349" s="78"/>
      <c r="H3349" t="str">
        <f>VLOOKUP(B3349,indexy!$A$44:$D$234,3,FALSE)</f>
        <v>TEF SQ Equity</v>
      </c>
    </row>
    <row r="3350" spans="1:9" hidden="1" outlineLevel="1" x14ac:dyDescent="0.25">
      <c r="A3350" s="1002">
        <v>0.02</v>
      </c>
      <c r="B3350" s="996" t="s">
        <v>3017</v>
      </c>
      <c r="C3350" s="1008">
        <v>22.963999999999999</v>
      </c>
      <c r="D3350" s="908">
        <v>2.6</v>
      </c>
      <c r="E3350" s="709">
        <f t="shared" ref="E3350:E3378" si="117">D3350/C3350-1</f>
        <v>-0.88677930674098593</v>
      </c>
      <c r="F3350" s="946">
        <f t="shared" ref="F3350:F3378" si="118">E3350*A3350</f>
        <v>-1.7735586134819719E-2</v>
      </c>
      <c r="G3350" s="78"/>
      <c r="H3350" t="e">
        <f>VLOOKUP(B3350,indexy!$A$44:$D$234,3,FALSE)</f>
        <v>#N/A</v>
      </c>
    </row>
    <row r="3351" spans="1:9" hidden="1" outlineLevel="1" x14ac:dyDescent="0.25">
      <c r="A3351" s="1002">
        <v>0.02</v>
      </c>
      <c r="B3351" s="996" t="s">
        <v>1176</v>
      </c>
      <c r="C3351" s="1008">
        <v>29.07338</v>
      </c>
      <c r="D3351" s="908">
        <v>1.71</v>
      </c>
      <c r="E3351" s="709">
        <f t="shared" si="117"/>
        <v>-0.9411833092677907</v>
      </c>
      <c r="F3351" s="946">
        <f t="shared" si="118"/>
        <v>-1.8823666185355813E-2</v>
      </c>
      <c r="G3351" s="78"/>
      <c r="H3351" t="str">
        <f>VLOOKUP(B3351,indexy!$A$44:$D$234,3,FALSE)</f>
        <v>AGS BB Equity</v>
      </c>
    </row>
    <row r="3352" spans="1:9" hidden="1" outlineLevel="1" x14ac:dyDescent="0.25">
      <c r="A3352" s="1002">
        <v>0.02</v>
      </c>
      <c r="B3352" s="996" t="s">
        <v>3019</v>
      </c>
      <c r="C3352" s="1008">
        <v>78.78</v>
      </c>
      <c r="D3352" s="908">
        <v>47.61</v>
      </c>
      <c r="E3352" s="709">
        <f t="shared" si="117"/>
        <v>-0.39565879664889569</v>
      </c>
      <c r="F3352" s="946">
        <f t="shared" si="118"/>
        <v>-7.9131759329779134E-3</v>
      </c>
      <c r="G3352" s="78"/>
      <c r="H3352" t="str">
        <f>VLOOKUP(B3352,indexy!$A$44:$D$234,3,FALSE)</f>
        <v>BNP FP Equity</v>
      </c>
    </row>
    <row r="3353" spans="1:9" hidden="1" outlineLevel="1" x14ac:dyDescent="0.25">
      <c r="A3353" s="1002">
        <v>0.03</v>
      </c>
      <c r="B3353" s="996" t="s">
        <v>51</v>
      </c>
      <c r="C3353" s="1008">
        <v>66.989999999999995</v>
      </c>
      <c r="D3353" s="908">
        <v>38.5</v>
      </c>
      <c r="E3353" s="709">
        <f t="shared" si="117"/>
        <v>-0.42528735632183901</v>
      </c>
      <c r="F3353" s="946">
        <f t="shared" si="118"/>
        <v>-1.275862068965517E-2</v>
      </c>
      <c r="G3353" s="78"/>
      <c r="H3353" t="str">
        <f>VLOOKUP(B3353,indexy!$A$44:$D$234,3,FALSE)</f>
        <v>SGO FP Equity</v>
      </c>
    </row>
    <row r="3354" spans="1:9" hidden="1" outlineLevel="1" x14ac:dyDescent="0.25">
      <c r="A3354" s="1002">
        <v>0.03</v>
      </c>
      <c r="B3354" s="996" t="s">
        <v>3020</v>
      </c>
      <c r="C3354" s="1008">
        <v>49.039000000000001</v>
      </c>
      <c r="D3354" s="908">
        <v>55.3</v>
      </c>
      <c r="E3354" s="709">
        <f t="shared" si="117"/>
        <v>0.12767389220824232</v>
      </c>
      <c r="F3354" s="946">
        <f t="shared" si="118"/>
        <v>3.8302167662472696E-3</v>
      </c>
      <c r="G3354" s="78"/>
      <c r="H3354" t="str">
        <f>VLOOKUP(B3354,indexy!$A$44:$D$234,3,FALSE)</f>
        <v>BAYN GR Equity</v>
      </c>
    </row>
    <row r="3355" spans="1:9" hidden="1" outlineLevel="1" x14ac:dyDescent="0.25">
      <c r="A3355" s="1002">
        <v>0.03</v>
      </c>
      <c r="B3355" s="996" t="s">
        <v>3021</v>
      </c>
      <c r="C3355" s="1008">
        <v>24.475999999999999</v>
      </c>
      <c r="D3355" s="908">
        <v>16.34</v>
      </c>
      <c r="E3355" s="709">
        <f t="shared" si="117"/>
        <v>-0.33240725608759603</v>
      </c>
      <c r="F3355" s="946">
        <f t="shared" si="118"/>
        <v>-9.9722176826278798E-3</v>
      </c>
      <c r="G3355" s="78"/>
      <c r="H3355" t="str">
        <f>VLOOKUP(B3355,indexy!$A$44:$D$234,3,FALSE)</f>
        <v>ENI IM Equity</v>
      </c>
    </row>
    <row r="3356" spans="1:9" hidden="1" outlineLevel="1" x14ac:dyDescent="0.25">
      <c r="A3356" s="1002">
        <v>0.05</v>
      </c>
      <c r="B3356" s="996" t="s">
        <v>44</v>
      </c>
      <c r="C3356" s="1008">
        <v>5.83</v>
      </c>
      <c r="D3356" s="908">
        <v>2.0299999999999998</v>
      </c>
      <c r="E3356" s="709">
        <f t="shared" si="117"/>
        <v>-0.65180102915951976</v>
      </c>
      <c r="F3356" s="946">
        <f t="shared" si="118"/>
        <v>-3.2590051457975992E-2</v>
      </c>
      <c r="G3356" s="78"/>
      <c r="H3356" t="str">
        <f>VLOOKUP(B3356,indexy!$A$44:$D$234,3,FALSE)</f>
        <v>ISP IM Equity</v>
      </c>
    </row>
    <row r="3357" spans="1:9" hidden="1" outlineLevel="1" x14ac:dyDescent="0.25">
      <c r="A3357" s="1002">
        <v>0.02</v>
      </c>
      <c r="B3357" s="996" t="s">
        <v>3022</v>
      </c>
      <c r="C3357" s="1008">
        <v>7829</v>
      </c>
      <c r="D3357" s="908">
        <v>3995</v>
      </c>
      <c r="E3357" s="709">
        <f t="shared" si="117"/>
        <v>-0.48971771618342064</v>
      </c>
      <c r="F3357" s="946">
        <f t="shared" si="118"/>
        <v>-9.7943543236684132E-3</v>
      </c>
      <c r="G3357" s="78"/>
      <c r="H3357" t="str">
        <f>VLOOKUP(B3357,indexy!$A$44:$D$234,3,FALSE)</f>
        <v>4502 JT Equity</v>
      </c>
    </row>
    <row r="3358" spans="1:9" hidden="1" outlineLevel="1" x14ac:dyDescent="0.25">
      <c r="A3358" s="1002">
        <v>0.03</v>
      </c>
      <c r="B3358" s="996" t="s">
        <v>53</v>
      </c>
      <c r="C3358" s="1008">
        <v>57.67</v>
      </c>
      <c r="D3358" s="908">
        <v>47.02</v>
      </c>
      <c r="E3358" s="709">
        <f t="shared" si="117"/>
        <v>-0.18467140627709377</v>
      </c>
      <c r="F3358" s="946">
        <f t="shared" si="118"/>
        <v>-5.5401421883128129E-3</v>
      </c>
      <c r="G3358" s="78"/>
      <c r="H3358" t="str">
        <f>VLOOKUP(B3358,indexy!$A$44:$D$234,3,FALSE)</f>
        <v>BN FP Equity</v>
      </c>
    </row>
    <row r="3359" spans="1:9" hidden="1" outlineLevel="1" x14ac:dyDescent="0.25">
      <c r="A3359" s="1002">
        <v>0.04</v>
      </c>
      <c r="B3359" s="996" t="s">
        <v>157</v>
      </c>
      <c r="C3359" s="1008">
        <v>11.96</v>
      </c>
      <c r="D3359" s="908">
        <v>7.9279999999999999</v>
      </c>
      <c r="E3359" s="709">
        <f t="shared" si="117"/>
        <v>-0.33712374581939808</v>
      </c>
      <c r="F3359" s="946">
        <f t="shared" si="118"/>
        <v>-1.3484949832775924E-2</v>
      </c>
      <c r="G3359" s="78"/>
      <c r="H3359" t="str">
        <f>VLOOKUP(B3359,indexy!$A$44:$D$234,3,FALSE)</f>
        <v>SAN SM Equity</v>
      </c>
      <c r="I3359" s="106"/>
    </row>
    <row r="3360" spans="1:9" hidden="1" outlineLevel="1" x14ac:dyDescent="0.25">
      <c r="A3360" s="1002">
        <v>0.03</v>
      </c>
      <c r="B3360" s="996" t="s">
        <v>3405</v>
      </c>
      <c r="C3360" s="1008">
        <v>56.896000000000001</v>
      </c>
      <c r="D3360" s="908">
        <v>30.85</v>
      </c>
      <c r="E3360" s="709">
        <f t="shared" si="117"/>
        <v>-0.45778262092238464</v>
      </c>
      <c r="F3360" s="946">
        <f t="shared" si="118"/>
        <v>-1.3733478627671538E-2</v>
      </c>
      <c r="G3360" s="78"/>
      <c r="H3360" t="str">
        <f>VLOOKUP(B3360,indexy!$A$44:$D$234,3,FALSE)</f>
        <v>CA FP Equity</v>
      </c>
    </row>
    <row r="3361" spans="1:9" hidden="1" outlineLevel="1" x14ac:dyDescent="0.25">
      <c r="A3361" s="1002">
        <v>0.04</v>
      </c>
      <c r="B3361" s="996" t="s">
        <v>3798</v>
      </c>
      <c r="C3361" s="1008">
        <v>7.64</v>
      </c>
      <c r="D3361" s="908">
        <v>3.74</v>
      </c>
      <c r="E3361" s="709">
        <f t="shared" si="117"/>
        <v>-0.51047120418848158</v>
      </c>
      <c r="F3361" s="946">
        <f t="shared" si="118"/>
        <v>-2.0418848167539264E-2</v>
      </c>
      <c r="G3361" s="78"/>
      <c r="H3361" t="str">
        <f>VLOOKUP(B3361,indexy!$A$44:$D$234,3,FALSE)</f>
        <v>ENEL IM Equity</v>
      </c>
    </row>
    <row r="3362" spans="1:9" hidden="1" outlineLevel="1" x14ac:dyDescent="0.25">
      <c r="A3362" s="1002">
        <v>0.02</v>
      </c>
      <c r="B3362" s="996" t="s">
        <v>4387</v>
      </c>
      <c r="C3362" s="1008">
        <f>108.154/3</f>
        <v>36.051333333333332</v>
      </c>
      <c r="D3362" s="908">
        <v>22.934999999999999</v>
      </c>
      <c r="E3362" s="709">
        <f t="shared" si="117"/>
        <v>-0.36382380679401594</v>
      </c>
      <c r="F3362" s="946">
        <f t="shared" si="118"/>
        <v>-7.2764761358803188E-3</v>
      </c>
      <c r="G3362" s="78"/>
      <c r="H3362" t="str">
        <f>VLOOKUP(B3362,indexy!$A$44:$D$234,3,FALSE)</f>
        <v>EOAN GY Equity</v>
      </c>
    </row>
    <row r="3363" spans="1:9" hidden="1" outlineLevel="1" x14ac:dyDescent="0.25">
      <c r="A3363" s="1002">
        <v>0.05</v>
      </c>
      <c r="B3363" s="996" t="s">
        <v>1993</v>
      </c>
      <c r="C3363" s="1008">
        <v>69.885000000000005</v>
      </c>
      <c r="D3363" s="908">
        <f>24.62+58.53</f>
        <v>83.15</v>
      </c>
      <c r="E3363" s="709">
        <f t="shared" si="117"/>
        <v>0.18981183372683685</v>
      </c>
      <c r="F3363" s="946">
        <f t="shared" si="118"/>
        <v>9.4905916863418441E-3</v>
      </c>
      <c r="G3363" s="78"/>
      <c r="H3363" t="str">
        <f>VLOOKUP(B3363,indexy!$A$44:$D$234,3,FALSE)</f>
        <v>MO UN Equity</v>
      </c>
      <c r="I3363" s="39" t="s">
        <v>3533</v>
      </c>
    </row>
    <row r="3364" spans="1:9" hidden="1" outlineLevel="1" x14ac:dyDescent="0.25">
      <c r="A3364" s="1002">
        <v>0.04</v>
      </c>
      <c r="B3364" s="996" t="s">
        <v>1994</v>
      </c>
      <c r="C3364" s="1008">
        <v>50.826999999999998</v>
      </c>
      <c r="D3364" s="908">
        <v>13.34</v>
      </c>
      <c r="E3364" s="709">
        <f t="shared" si="117"/>
        <v>-0.73754107069077457</v>
      </c>
      <c r="F3364" s="946">
        <f t="shared" si="118"/>
        <v>-2.9501642827630983E-2</v>
      </c>
      <c r="G3364" s="78"/>
      <c r="H3364" t="str">
        <f>VLOOKUP(B3364,indexy!$A$44:$D$234,3,FALSE)</f>
        <v>BAC UN Equity</v>
      </c>
    </row>
    <row r="3365" spans="1:9" hidden="1" outlineLevel="1" x14ac:dyDescent="0.25">
      <c r="A3365" s="1002">
        <v>0.04</v>
      </c>
      <c r="B3365" s="996" t="s">
        <v>1995</v>
      </c>
      <c r="C3365" s="1008">
        <v>57.503</v>
      </c>
      <c r="D3365" s="908">
        <v>47.91</v>
      </c>
      <c r="E3365" s="709">
        <f t="shared" si="117"/>
        <v>-0.16682607863937537</v>
      </c>
      <c r="F3365" s="946">
        <f t="shared" si="118"/>
        <v>-6.6730431455750147E-3</v>
      </c>
      <c r="G3365" s="78"/>
      <c r="H3365" t="str">
        <f>VLOOKUP(B3365,indexy!$A$44:$D$234,3,FALSE)</f>
        <v>ABT UN Equity</v>
      </c>
    </row>
    <row r="3366" spans="1:9" hidden="1" outlineLevel="1" x14ac:dyDescent="0.25">
      <c r="A3366" s="1002">
        <v>0.03</v>
      </c>
      <c r="B3366" s="743" t="s">
        <v>255</v>
      </c>
      <c r="C3366" s="1008">
        <v>35.1</v>
      </c>
      <c r="D3366" s="908">
        <v>35.78</v>
      </c>
      <c r="E3366" s="709">
        <f t="shared" si="117"/>
        <v>1.9373219373219452E-2</v>
      </c>
      <c r="F3366" s="946">
        <f t="shared" si="118"/>
        <v>5.8119658119658356E-4</v>
      </c>
      <c r="G3366" s="78"/>
      <c r="H3366" t="str">
        <f>VLOOKUP(B3366,indexy!$A$44:$D$234,3,FALSE)</f>
        <v>VZ UN Equity</v>
      </c>
    </row>
    <row r="3367" spans="1:9" hidden="1" outlineLevel="1" x14ac:dyDescent="0.25">
      <c r="A3367" s="1002">
        <v>0.04</v>
      </c>
      <c r="B3367" s="996" t="s">
        <v>507</v>
      </c>
      <c r="C3367" s="1008">
        <v>22.045999999999999</v>
      </c>
      <c r="D3367" s="908">
        <v>23.3</v>
      </c>
      <c r="E3367" s="709">
        <f t="shared" si="117"/>
        <v>5.6881066860201557E-2</v>
      </c>
      <c r="F3367" s="946">
        <f t="shared" si="118"/>
        <v>2.2752426744080622E-3</v>
      </c>
      <c r="G3367" s="78"/>
      <c r="H3367" t="str">
        <f>VLOOKUP(B3367,indexy!$A$44:$D$234,3,FALSE)</f>
        <v>UNA NA Equity</v>
      </c>
    </row>
    <row r="3368" spans="1:9" hidden="1" outlineLevel="1" x14ac:dyDescent="0.25">
      <c r="A3368" s="1002">
        <v>0.03</v>
      </c>
      <c r="B3368" s="996" t="s">
        <v>3425</v>
      </c>
      <c r="C3368" s="1008">
        <v>77.364000000000004</v>
      </c>
      <c r="D3368" s="908">
        <v>73.12</v>
      </c>
      <c r="E3368" s="709">
        <f t="shared" si="117"/>
        <v>-5.4857556486220926E-2</v>
      </c>
      <c r="F3368" s="946">
        <f t="shared" si="118"/>
        <v>-1.6457266945866277E-3</v>
      </c>
      <c r="G3368" s="78"/>
      <c r="H3368" t="str">
        <f>VLOOKUP(B3368,indexy!$A$44:$D$234,3,FALSE)</f>
        <v>XOM UN Equity</v>
      </c>
    </row>
    <row r="3369" spans="1:9" hidden="1" outlineLevel="1" x14ac:dyDescent="0.25">
      <c r="A3369" s="1002">
        <v>0.03</v>
      </c>
      <c r="B3369" s="996" t="s">
        <v>2429</v>
      </c>
      <c r="C3369" s="1008">
        <v>62.051000000000002</v>
      </c>
      <c r="D3369" s="908">
        <v>61.85</v>
      </c>
      <c r="E3369" s="709">
        <f t="shared" si="117"/>
        <v>-3.2392709223058036E-3</v>
      </c>
      <c r="F3369" s="946">
        <f t="shared" si="118"/>
        <v>-9.7178127669174098E-5</v>
      </c>
      <c r="G3369" s="78"/>
      <c r="H3369" t="str">
        <f>VLOOKUP(B3369,indexy!$A$44:$D$234,3,FALSE)</f>
        <v>JNJ UN Equity</v>
      </c>
    </row>
    <row r="3370" spans="1:9" hidden="1" outlineLevel="1" x14ac:dyDescent="0.25">
      <c r="A3370" s="1002">
        <v>0.03</v>
      </c>
      <c r="B3370" s="996" t="s">
        <v>1204</v>
      </c>
      <c r="C3370" s="1008">
        <v>63.933999999999997</v>
      </c>
      <c r="D3370" s="908">
        <v>65.33</v>
      </c>
      <c r="E3370" s="709">
        <f t="shared" si="117"/>
        <v>2.1835017361654163E-2</v>
      </c>
      <c r="F3370" s="946">
        <f t="shared" si="118"/>
        <v>6.5505052084962483E-4</v>
      </c>
      <c r="G3370" s="78"/>
      <c r="H3370" t="str">
        <f>VLOOKUP(B3370,indexy!$A$44:$D$234,3,FALSE)</f>
        <v>PEP UW Equity</v>
      </c>
    </row>
    <row r="3371" spans="1:9" hidden="1" outlineLevel="1" x14ac:dyDescent="0.25">
      <c r="A3371" s="1002">
        <v>0.03</v>
      </c>
      <c r="B3371" s="996" t="s">
        <v>1414</v>
      </c>
      <c r="C3371" s="1008">
        <v>26.233000000000001</v>
      </c>
      <c r="D3371" s="908">
        <v>17.510000000000002</v>
      </c>
      <c r="E3371" s="709">
        <f t="shared" si="117"/>
        <v>-0.33252010826058775</v>
      </c>
      <c r="F3371" s="946">
        <f t="shared" si="118"/>
        <v>-9.9756032478176323E-3</v>
      </c>
      <c r="G3371" s="78"/>
      <c r="H3371" t="str">
        <f>VLOOKUP(B3371,indexy!$A$44:$D$234,3,FALSE)</f>
        <v>PFE UN Equity</v>
      </c>
    </row>
    <row r="3372" spans="1:9" hidden="1" outlineLevel="1" x14ac:dyDescent="0.25">
      <c r="A3372" s="1002">
        <v>0.05</v>
      </c>
      <c r="B3372" s="996" t="s">
        <v>3427</v>
      </c>
      <c r="C3372" s="1008">
        <v>37.357999999999997</v>
      </c>
      <c r="D3372" s="908">
        <v>38.229999999999997</v>
      </c>
      <c r="E3372" s="709">
        <f t="shared" si="117"/>
        <v>2.3341720648857089E-2</v>
      </c>
      <c r="F3372" s="946">
        <f t="shared" si="118"/>
        <v>1.1670860324428545E-3</v>
      </c>
      <c r="G3372" s="78"/>
      <c r="H3372" t="str">
        <f>VLOOKUP(B3372,indexy!$A$44:$D$234,3,FALSE)</f>
        <v>SO UN Equity</v>
      </c>
    </row>
    <row r="3373" spans="1:9" hidden="1" outlineLevel="1" x14ac:dyDescent="0.25">
      <c r="A3373" s="1002">
        <v>0.05</v>
      </c>
      <c r="B3373" s="996" t="s">
        <v>872</v>
      </c>
      <c r="C3373" s="1008">
        <f>4.6048*100</f>
        <v>460.48</v>
      </c>
      <c r="D3373" s="908">
        <v>330</v>
      </c>
      <c r="E3373" s="709">
        <f t="shared" si="117"/>
        <v>-0.28335649756775538</v>
      </c>
      <c r="F3373" s="946">
        <f t="shared" si="118"/>
        <v>-1.416782487838777E-2</v>
      </c>
      <c r="G3373" s="78"/>
      <c r="H3373" t="str">
        <f>VLOOKUP(B3373,indexy!$A$44:$D$234,3,FALSE)</f>
        <v>BA/ LN Equity</v>
      </c>
    </row>
    <row r="3374" spans="1:9" hidden="1" outlineLevel="1" x14ac:dyDescent="0.25">
      <c r="A3374" s="1002">
        <v>0.03</v>
      </c>
      <c r="B3374" s="996" t="s">
        <v>873</v>
      </c>
      <c r="C3374" s="1008">
        <v>719.75</v>
      </c>
      <c r="D3374" s="908">
        <v>261.64999999999998</v>
      </c>
      <c r="E3374" s="709">
        <f t="shared" si="117"/>
        <v>-0.63647099687391462</v>
      </c>
      <c r="F3374" s="946">
        <f t="shared" si="118"/>
        <v>-1.9094129906217439E-2</v>
      </c>
      <c r="G3374" s="78"/>
      <c r="H3374" t="str">
        <f>VLOOKUP(B3374,indexy!$A$44:$D$234,3,FALSE)</f>
        <v>BARC LN Equity</v>
      </c>
    </row>
    <row r="3375" spans="1:9" hidden="1" outlineLevel="1" x14ac:dyDescent="0.25">
      <c r="A3375" s="1002">
        <v>0.02</v>
      </c>
      <c r="B3375" s="996" t="s">
        <v>874</v>
      </c>
      <c r="C3375" s="1008">
        <f>2.732*100</f>
        <v>273.20000000000005</v>
      </c>
      <c r="D3375" s="908">
        <v>263.39999999999998</v>
      </c>
      <c r="E3375" s="709">
        <f t="shared" si="117"/>
        <v>-3.587115666178653E-2</v>
      </c>
      <c r="F3375" s="946">
        <f t="shared" si="118"/>
        <v>-7.1742313323573063E-4</v>
      </c>
      <c r="G3375" s="78"/>
      <c r="H3375" t="str">
        <f>VLOOKUP(B3375,indexy!$A$44:$D$234,3,FALSE)</f>
        <v>KGF LN Equity</v>
      </c>
    </row>
    <row r="3376" spans="1:9" hidden="1" outlineLevel="1" x14ac:dyDescent="0.25">
      <c r="A3376" s="1002">
        <v>0.05</v>
      </c>
      <c r="B3376" s="996" t="s">
        <v>2786</v>
      </c>
      <c r="C3376" s="1008">
        <v>723.36</v>
      </c>
      <c r="D3376" s="908">
        <v>553</v>
      </c>
      <c r="E3376" s="709">
        <f t="shared" si="117"/>
        <v>-0.23551205485512061</v>
      </c>
      <c r="F3376" s="946">
        <f t="shared" si="118"/>
        <v>-1.1775602742756032E-2</v>
      </c>
      <c r="G3376" s="78"/>
      <c r="H3376" t="str">
        <f>VLOOKUP(B3376,indexy!$A$44:$D$234,3,FALSE)</f>
        <v>NG/ LN Equity</v>
      </c>
    </row>
    <row r="3377" spans="1:8" hidden="1" outlineLevel="1" x14ac:dyDescent="0.25">
      <c r="A3377" s="1002">
        <v>0.03</v>
      </c>
      <c r="B3377" s="996" t="s">
        <v>1203</v>
      </c>
      <c r="C3377" s="1008">
        <v>91.8</v>
      </c>
      <c r="D3377" s="908">
        <v>73.150000000000006</v>
      </c>
      <c r="E3377" s="709">
        <f t="shared" si="117"/>
        <v>-0.20315904139433538</v>
      </c>
      <c r="F3377" s="946">
        <f t="shared" si="118"/>
        <v>-6.0947712418300609E-3</v>
      </c>
      <c r="G3377" s="78"/>
      <c r="H3377" t="str">
        <f>VLOOKUP(B3377,indexy!$A$44:$D$234,3,FALSE)</f>
        <v>NDA SS Equity</v>
      </c>
    </row>
    <row r="3378" spans="1:8" hidden="1" outlineLevel="1" x14ac:dyDescent="0.25">
      <c r="A3378" s="1004">
        <v>0.03</v>
      </c>
      <c r="B3378" s="997" t="s">
        <v>2787</v>
      </c>
      <c r="C3378" s="1009">
        <v>67.849999999999994</v>
      </c>
      <c r="D3378" s="715">
        <v>54.95</v>
      </c>
      <c r="E3378" s="716">
        <f t="shared" si="117"/>
        <v>-0.1901252763448783</v>
      </c>
      <c r="F3378" s="1023">
        <f t="shared" si="118"/>
        <v>-5.7037582903463491E-3</v>
      </c>
      <c r="G3378" s="78"/>
      <c r="H3378" t="str">
        <f>VLOOKUP(B3378,indexy!$A$44:$D$234,3,FALSE)</f>
        <v>NOVN SE Equity</v>
      </c>
    </row>
    <row r="3379" spans="1:8" hidden="1" outlineLevel="1" x14ac:dyDescent="0.25">
      <c r="A3379" s="749"/>
      <c r="B3379" s="750"/>
      <c r="C3379" s="727"/>
      <c r="D3379" s="727"/>
      <c r="E3379" s="716"/>
      <c r="F3379" s="770">
        <f>SUM(F3349:F3378)</f>
        <v>-0.25738961415531286</v>
      </c>
      <c r="G3379" s="78"/>
    </row>
    <row r="3380" spans="1:8" hidden="1" outlineLevel="1" x14ac:dyDescent="0.25">
      <c r="A3380" s="749"/>
      <c r="B3380" s="750"/>
      <c r="C3380" s="727"/>
      <c r="D3380" s="727"/>
      <c r="E3380" s="716"/>
      <c r="F3380" s="770"/>
      <c r="G3380" s="78"/>
    </row>
    <row r="3381" spans="1:8" hidden="1" outlineLevel="1" x14ac:dyDescent="0.25">
      <c r="A3381" s="962" t="s">
        <v>4457</v>
      </c>
      <c r="B3381" s="944">
        <v>39234</v>
      </c>
      <c r="C3381" s="727">
        <v>100</v>
      </c>
      <c r="D3381" s="727">
        <v>98.880799999999994</v>
      </c>
      <c r="E3381" s="716">
        <f t="shared" ref="E3381:E3395" si="119">D3381/C3381-1</f>
        <v>-1.1192000000000091E-2</v>
      </c>
      <c r="F3381" s="731">
        <f>E3381</f>
        <v>-1.1192000000000091E-2</v>
      </c>
      <c r="G3381" s="78"/>
    </row>
    <row r="3382" spans="1:8" hidden="1" outlineLevel="1" x14ac:dyDescent="0.25">
      <c r="A3382" s="962" t="s">
        <v>4473</v>
      </c>
      <c r="B3382" s="944">
        <v>39326</v>
      </c>
      <c r="C3382" s="727">
        <v>100</v>
      </c>
      <c r="D3382" s="727">
        <v>99.7851</v>
      </c>
      <c r="E3382" s="716">
        <f t="shared" si="119"/>
        <v>-2.1489999999999565E-3</v>
      </c>
      <c r="F3382" s="731">
        <f t="shared" ref="F3382:F3394" si="120">E3382</f>
        <v>-2.1489999999999565E-3</v>
      </c>
      <c r="G3382" s="78"/>
    </row>
    <row r="3383" spans="1:8" hidden="1" outlineLevel="1" x14ac:dyDescent="0.25">
      <c r="A3383" s="962" t="s">
        <v>4474</v>
      </c>
      <c r="B3383" s="944">
        <v>39417</v>
      </c>
      <c r="C3383" s="727">
        <v>100</v>
      </c>
      <c r="D3383" s="727">
        <v>100.5802</v>
      </c>
      <c r="E3383" s="716">
        <f t="shared" si="119"/>
        <v>5.8020000000000849E-3</v>
      </c>
      <c r="F3383" s="731">
        <f t="shared" si="120"/>
        <v>5.8020000000000849E-3</v>
      </c>
      <c r="G3383" s="78"/>
    </row>
    <row r="3384" spans="1:8" hidden="1" outlineLevel="1" x14ac:dyDescent="0.25">
      <c r="A3384" s="962" t="s">
        <v>2499</v>
      </c>
      <c r="B3384" s="944">
        <v>39508</v>
      </c>
      <c r="C3384" s="727">
        <v>100</v>
      </c>
      <c r="D3384" s="727">
        <v>85.306799999999996</v>
      </c>
      <c r="E3384" s="716">
        <f t="shared" si="119"/>
        <v>-0.14693200000000006</v>
      </c>
      <c r="F3384" s="731">
        <f t="shared" si="120"/>
        <v>-0.14693200000000006</v>
      </c>
      <c r="G3384" s="78"/>
    </row>
    <row r="3385" spans="1:8" hidden="1" outlineLevel="1" x14ac:dyDescent="0.25">
      <c r="A3385" s="962" t="s">
        <v>2500</v>
      </c>
      <c r="B3385" s="944">
        <v>39600</v>
      </c>
      <c r="C3385" s="727">
        <v>100</v>
      </c>
      <c r="D3385" s="727">
        <v>80.612200000000001</v>
      </c>
      <c r="E3385" s="716">
        <f t="shared" si="119"/>
        <v>-0.19387799999999999</v>
      </c>
      <c r="F3385" s="731">
        <f t="shared" si="120"/>
        <v>-0.19387799999999999</v>
      </c>
      <c r="G3385" s="78"/>
    </row>
    <row r="3386" spans="1:8" hidden="1" outlineLevel="1" x14ac:dyDescent="0.25">
      <c r="A3386" s="962" t="s">
        <v>2501</v>
      </c>
      <c r="B3386" s="944">
        <v>39692</v>
      </c>
      <c r="C3386" s="727">
        <v>100</v>
      </c>
      <c r="D3386" s="727">
        <v>80.86</v>
      </c>
      <c r="E3386" s="716">
        <f t="shared" si="119"/>
        <v>-0.19140000000000001</v>
      </c>
      <c r="F3386" s="731">
        <f t="shared" si="120"/>
        <v>-0.19140000000000001</v>
      </c>
      <c r="G3386" s="78"/>
    </row>
    <row r="3387" spans="1:8" hidden="1" outlineLevel="1" x14ac:dyDescent="0.25">
      <c r="A3387" s="962" t="s">
        <v>2502</v>
      </c>
      <c r="B3387" s="944">
        <v>39783</v>
      </c>
      <c r="C3387" s="727">
        <v>100</v>
      </c>
      <c r="D3387" s="727">
        <v>57.963999999999999</v>
      </c>
      <c r="E3387" s="716">
        <f t="shared" si="119"/>
        <v>-0.42036000000000007</v>
      </c>
      <c r="F3387" s="731">
        <f t="shared" si="120"/>
        <v>-0.42036000000000007</v>
      </c>
      <c r="G3387" s="78"/>
    </row>
    <row r="3388" spans="1:8" hidden="1" outlineLevel="1" x14ac:dyDescent="0.25">
      <c r="A3388" s="962" t="s">
        <v>2503</v>
      </c>
      <c r="B3388" s="944">
        <v>39873</v>
      </c>
      <c r="C3388" s="727">
        <v>100</v>
      </c>
      <c r="D3388" s="727">
        <v>65.099400000000003</v>
      </c>
      <c r="E3388" s="716">
        <f t="shared" si="119"/>
        <v>-0.34900599999999993</v>
      </c>
      <c r="F3388" s="731">
        <f t="shared" si="120"/>
        <v>-0.34900599999999993</v>
      </c>
      <c r="G3388" s="78"/>
    </row>
    <row r="3389" spans="1:8" hidden="1" outlineLevel="1" x14ac:dyDescent="0.25">
      <c r="A3389" s="962" t="s">
        <v>2504</v>
      </c>
      <c r="B3389" s="944">
        <v>39965</v>
      </c>
      <c r="C3389" s="727">
        <v>100</v>
      </c>
      <c r="D3389" s="727">
        <v>73.317899999999995</v>
      </c>
      <c r="E3389" s="716">
        <f t="shared" si="119"/>
        <v>-0.26682100000000009</v>
      </c>
      <c r="F3389" s="731">
        <f t="shared" si="120"/>
        <v>-0.26682100000000009</v>
      </c>
      <c r="G3389" s="78"/>
    </row>
    <row r="3390" spans="1:8" hidden="1" outlineLevel="1" x14ac:dyDescent="0.25">
      <c r="A3390" s="962" t="s">
        <v>2505</v>
      </c>
      <c r="B3390" s="944">
        <v>40057</v>
      </c>
      <c r="C3390" s="727">
        <v>100</v>
      </c>
      <c r="D3390" s="727">
        <v>76.741799999999998</v>
      </c>
      <c r="E3390" s="716">
        <f t="shared" si="119"/>
        <v>-0.23258200000000007</v>
      </c>
      <c r="F3390" s="731">
        <f t="shared" si="120"/>
        <v>-0.23258200000000007</v>
      </c>
      <c r="G3390" s="78"/>
    </row>
    <row r="3391" spans="1:8" hidden="1" outlineLevel="1" x14ac:dyDescent="0.25">
      <c r="A3391" s="962" t="s">
        <v>2506</v>
      </c>
      <c r="B3391" s="944">
        <v>40148</v>
      </c>
      <c r="C3391" s="727">
        <v>100</v>
      </c>
      <c r="D3391" s="727">
        <v>76.741799999999998</v>
      </c>
      <c r="E3391" s="716">
        <f t="shared" si="119"/>
        <v>-0.23258200000000007</v>
      </c>
      <c r="F3391" s="731">
        <f t="shared" si="120"/>
        <v>-0.23258200000000007</v>
      </c>
      <c r="G3391" s="78"/>
    </row>
    <row r="3392" spans="1:8" hidden="1" outlineLevel="1" x14ac:dyDescent="0.25">
      <c r="A3392" s="962" t="s">
        <v>610</v>
      </c>
      <c r="B3392" s="944">
        <v>40238</v>
      </c>
      <c r="C3392" s="727">
        <v>100</v>
      </c>
      <c r="D3392" s="727">
        <v>75.534800000000004</v>
      </c>
      <c r="E3392" s="716">
        <f t="shared" si="119"/>
        <v>-0.24465199999999998</v>
      </c>
      <c r="F3392" s="731">
        <f t="shared" si="120"/>
        <v>-0.24465199999999998</v>
      </c>
      <c r="G3392" s="78"/>
    </row>
    <row r="3393" spans="1:9" hidden="1" outlineLevel="1" x14ac:dyDescent="0.25">
      <c r="A3393" s="962" t="s">
        <v>611</v>
      </c>
      <c r="B3393" s="944">
        <v>40330</v>
      </c>
      <c r="C3393" s="727">
        <v>100</v>
      </c>
      <c r="D3393" s="727">
        <v>67.394199999999998</v>
      </c>
      <c r="E3393" s="716">
        <f t="shared" si="119"/>
        <v>-0.32605800000000007</v>
      </c>
      <c r="F3393" s="731">
        <f t="shared" si="120"/>
        <v>-0.32605800000000007</v>
      </c>
      <c r="G3393" s="78"/>
    </row>
    <row r="3394" spans="1:9" hidden="1" outlineLevel="1" x14ac:dyDescent="0.25">
      <c r="A3394" s="962" t="s">
        <v>612</v>
      </c>
      <c r="B3394" s="944">
        <v>40422</v>
      </c>
      <c r="C3394" s="727">
        <v>100</v>
      </c>
      <c r="D3394" s="727">
        <v>74.132000000000005</v>
      </c>
      <c r="E3394" s="716">
        <f t="shared" si="119"/>
        <v>-0.25867999999999991</v>
      </c>
      <c r="F3394" s="731">
        <f t="shared" si="120"/>
        <v>-0.25867999999999991</v>
      </c>
      <c r="G3394" s="78"/>
      <c r="H3394" t="s">
        <v>1837</v>
      </c>
    </row>
    <row r="3395" spans="1:9" hidden="1" outlineLevel="1" x14ac:dyDescent="0.25">
      <c r="A3395" s="962" t="s">
        <v>613</v>
      </c>
      <c r="B3395" s="944">
        <v>40513</v>
      </c>
      <c r="C3395" s="727">
        <v>100</v>
      </c>
      <c r="D3395" s="727">
        <v>74.260400000000004</v>
      </c>
      <c r="E3395" s="716">
        <f t="shared" si="119"/>
        <v>-0.25739599999999996</v>
      </c>
      <c r="F3395" s="731">
        <f>E3395</f>
        <v>-0.25739599999999996</v>
      </c>
      <c r="G3395" s="78"/>
      <c r="H3395" s="101">
        <f>AVERAGE(F3381:F3395)*1.4</f>
        <v>-0.29193602666666668</v>
      </c>
    </row>
    <row r="3396" spans="1:9" collapsed="1" x14ac:dyDescent="0.25">
      <c r="A3396" s="3801" t="s">
        <v>1688</v>
      </c>
      <c r="B3396" s="3802"/>
      <c r="C3396" s="3802"/>
      <c r="D3396" s="3802"/>
      <c r="E3396" s="721" t="s">
        <v>2722</v>
      </c>
      <c r="F3396" s="722">
        <f>MAX(AVERAGE(F3381:F3395)*parametry!N131,0)</f>
        <v>0</v>
      </c>
      <c r="G3396" s="97" t="s">
        <v>781</v>
      </c>
    </row>
    <row r="3397" spans="1:9" x14ac:dyDescent="0.25">
      <c r="A3397" s="1"/>
      <c r="B3397" s="1"/>
      <c r="C3397" s="1"/>
      <c r="D3397" s="1"/>
      <c r="E3397" s="1"/>
      <c r="F3397" s="1848"/>
      <c r="G3397" s="78"/>
    </row>
    <row r="3398" spans="1:9" hidden="1" outlineLevel="1" x14ac:dyDescent="0.25">
      <c r="A3398" s="689" t="s">
        <v>113</v>
      </c>
      <c r="B3398" s="689" t="s">
        <v>114</v>
      </c>
      <c r="C3398" s="689" t="s">
        <v>112</v>
      </c>
      <c r="D3398" s="689" t="s">
        <v>116</v>
      </c>
      <c r="E3398" s="689" t="s">
        <v>117</v>
      </c>
      <c r="F3398" s="1188" t="s">
        <v>121</v>
      </c>
      <c r="G3398" s="78"/>
    </row>
    <row r="3399" spans="1:9" hidden="1" outlineLevel="1" x14ac:dyDescent="0.25">
      <c r="A3399" s="690">
        <v>1</v>
      </c>
      <c r="B3399" s="691" t="s">
        <v>252</v>
      </c>
      <c r="C3399" s="692">
        <v>100</v>
      </c>
      <c r="D3399" s="692"/>
      <c r="E3399" s="693"/>
      <c r="F3399" s="694"/>
      <c r="G3399" s="78"/>
    </row>
    <row r="3400" spans="1:9" hidden="1" outlineLevel="1" x14ac:dyDescent="0.25">
      <c r="A3400" s="695"/>
      <c r="B3400" s="695"/>
      <c r="C3400" s="696"/>
      <c r="D3400" s="697" t="s">
        <v>3702</v>
      </c>
      <c r="E3400" s="698">
        <f>indexy!$B$2</f>
        <v>45379</v>
      </c>
      <c r="F3400" s="699"/>
      <c r="G3400" s="78"/>
    </row>
    <row r="3401" spans="1:9" hidden="1" outlineLevel="1" x14ac:dyDescent="0.25">
      <c r="A3401" s="689" t="s">
        <v>4156</v>
      </c>
      <c r="B3401" s="689" t="s">
        <v>4153</v>
      </c>
      <c r="C3401" s="497" t="s">
        <v>112</v>
      </c>
      <c r="D3401" s="495" t="s">
        <v>116</v>
      </c>
      <c r="E3401" s="689" t="s">
        <v>4154</v>
      </c>
      <c r="F3401" s="1021" t="s">
        <v>2519</v>
      </c>
      <c r="G3401" s="78"/>
    </row>
    <row r="3402" spans="1:9" hidden="1" outlineLevel="1" x14ac:dyDescent="0.25">
      <c r="A3402" s="999">
        <v>0.05</v>
      </c>
      <c r="B3402" s="1000" t="s">
        <v>3798</v>
      </c>
      <c r="C3402" s="1007">
        <v>7.28</v>
      </c>
      <c r="D3402" s="803">
        <v>4.4480000000000004</v>
      </c>
      <c r="E3402" s="705">
        <f>D3402/C3402-1</f>
        <v>-0.38901098901098896</v>
      </c>
      <c r="F3402" s="1021">
        <f>E3402*A3402</f>
        <v>-1.9450549450549449E-2</v>
      </c>
      <c r="G3402" s="78"/>
      <c r="H3402" t="str">
        <f>VLOOKUP(B3402,indexy!$A$44:$D$234,3,FALSE)</f>
        <v>ENEL IM Equity</v>
      </c>
    </row>
    <row r="3403" spans="1:9" hidden="1" outlineLevel="1" x14ac:dyDescent="0.25">
      <c r="A3403" s="1002">
        <v>0.04</v>
      </c>
      <c r="B3403" s="996" t="s">
        <v>2630</v>
      </c>
      <c r="C3403" s="1008">
        <v>20.655999999999999</v>
      </c>
      <c r="D3403" s="908">
        <v>15.81</v>
      </c>
      <c r="E3403" s="709">
        <f t="shared" ref="E3403:E3431" si="121">D3403/C3403-1</f>
        <v>-0.23460495739736631</v>
      </c>
      <c r="F3403" s="946">
        <f t="shared" ref="F3403:F3431" si="122">E3403*A3403</f>
        <v>-9.3841982958946524E-3</v>
      </c>
      <c r="G3403" s="78"/>
      <c r="H3403" t="e">
        <f>VLOOKUP(B3403,indexy!$A$44:$D$234,3,FALSE)</f>
        <v>#N/A</v>
      </c>
    </row>
    <row r="3404" spans="1:9" hidden="1" outlineLevel="1" x14ac:dyDescent="0.25">
      <c r="A3404" s="1002">
        <v>0.04</v>
      </c>
      <c r="B3404" s="996" t="s">
        <v>2983</v>
      </c>
      <c r="C3404" s="1008">
        <v>754.15</v>
      </c>
      <c r="D3404" s="908">
        <v>591.5</v>
      </c>
      <c r="E3404" s="709">
        <f t="shared" si="121"/>
        <v>-0.21567327454750373</v>
      </c>
      <c r="F3404" s="946">
        <f t="shared" si="122"/>
        <v>-8.6269309819001494E-3</v>
      </c>
      <c r="G3404" s="78"/>
      <c r="H3404" t="str">
        <f>VLOOKUP(B3404,indexy!$A$44:$D$234,3,FALSE)</f>
        <v>UU/ LN Equity</v>
      </c>
    </row>
    <row r="3405" spans="1:9" hidden="1" outlineLevel="1" x14ac:dyDescent="0.25">
      <c r="A3405" s="1002">
        <v>0.05</v>
      </c>
      <c r="B3405" s="996" t="s">
        <v>2629</v>
      </c>
      <c r="C3405" s="1008">
        <v>13.065</v>
      </c>
      <c r="D3405" s="908">
        <v>10.87</v>
      </c>
      <c r="E3405" s="709">
        <f t="shared" si="121"/>
        <v>-0.16800612323000386</v>
      </c>
      <c r="F3405" s="946">
        <f t="shared" si="122"/>
        <v>-8.4003061615001932E-3</v>
      </c>
      <c r="G3405" s="78"/>
      <c r="H3405" t="str">
        <f>VLOOKUP(B3405,indexy!$A$44:$D$234,3,FALSE)</f>
        <v>DTE GY Equity</v>
      </c>
    </row>
    <row r="3406" spans="1:9" hidden="1" outlineLevel="1" x14ac:dyDescent="0.25">
      <c r="A3406" s="1002">
        <v>0.04</v>
      </c>
      <c r="B3406" s="996" t="s">
        <v>1527</v>
      </c>
      <c r="C3406" s="1008">
        <v>2.3769</v>
      </c>
      <c r="D3406" s="908">
        <v>1.085</v>
      </c>
      <c r="E3406" s="709">
        <f t="shared" si="121"/>
        <v>-0.54352307627582142</v>
      </c>
      <c r="F3406" s="946">
        <f t="shared" si="122"/>
        <v>-2.1740923051032857E-2</v>
      </c>
      <c r="G3406" s="78"/>
      <c r="H3406" t="str">
        <f>VLOOKUP(B3406,indexy!$A$44:$D$234,3,FALSE)</f>
        <v>TIT IM Equity</v>
      </c>
    </row>
    <row r="3407" spans="1:9" hidden="1" outlineLevel="1" x14ac:dyDescent="0.25">
      <c r="A3407" s="1002">
        <v>0.05</v>
      </c>
      <c r="B3407" s="996" t="s">
        <v>576</v>
      </c>
      <c r="C3407" s="1008">
        <v>19.416</v>
      </c>
      <c r="D3407" s="908">
        <v>8.4329999999999998</v>
      </c>
      <c r="E3407" s="709">
        <f t="shared" si="121"/>
        <v>-0.56566749072929545</v>
      </c>
      <c r="F3407" s="946">
        <f t="shared" si="122"/>
        <v>-2.8283374536464775E-2</v>
      </c>
      <c r="G3407" s="78"/>
      <c r="H3407" t="e">
        <f>VLOOKUP(B3407,indexy!$A$44:$D$234,3,FALSE)</f>
        <v>#N/A</v>
      </c>
    </row>
    <row r="3408" spans="1:9" hidden="1" outlineLevel="1" x14ac:dyDescent="0.25">
      <c r="A3408" s="1002">
        <v>0.05</v>
      </c>
      <c r="B3408" s="996" t="s">
        <v>157</v>
      </c>
      <c r="C3408" s="1008">
        <v>11.96</v>
      </c>
      <c r="D3408" s="908">
        <v>8.1920000000000002</v>
      </c>
      <c r="E3408" s="709">
        <f t="shared" si="121"/>
        <v>-0.3150501672240803</v>
      </c>
      <c r="F3408" s="946">
        <f t="shared" si="122"/>
        <v>-1.5752508361204016E-2</v>
      </c>
      <c r="G3408" s="78"/>
      <c r="H3408" t="str">
        <f>VLOOKUP(B3408,indexy!$A$44:$D$234,3,FALSE)</f>
        <v>SAN SM Equity</v>
      </c>
      <c r="I3408" s="106"/>
    </row>
    <row r="3409" spans="1:8" hidden="1" outlineLevel="1" x14ac:dyDescent="0.25">
      <c r="A3409" s="1002">
        <v>0.04</v>
      </c>
      <c r="B3409" s="996" t="s">
        <v>3427</v>
      </c>
      <c r="C3409" s="1008">
        <v>37.357999999999997</v>
      </c>
      <c r="D3409" s="908">
        <v>38.11</v>
      </c>
      <c r="E3409" s="709">
        <f t="shared" si="121"/>
        <v>2.0129557256812536E-2</v>
      </c>
      <c r="F3409" s="946">
        <f t="shared" si="122"/>
        <v>8.0518229027250145E-4</v>
      </c>
      <c r="G3409" s="78"/>
      <c r="H3409" t="str">
        <f>VLOOKUP(B3409,indexy!$A$44:$D$234,3,FALSE)</f>
        <v>SO UN Equity</v>
      </c>
    </row>
    <row r="3410" spans="1:8" hidden="1" outlineLevel="1" x14ac:dyDescent="0.25">
      <c r="A3410" s="1002">
        <v>0.04</v>
      </c>
      <c r="B3410" s="996" t="s">
        <v>1994</v>
      </c>
      <c r="C3410" s="1008">
        <v>50.826999999999998</v>
      </c>
      <c r="D3410" s="908">
        <v>13.33</v>
      </c>
      <c r="E3410" s="709">
        <f t="shared" si="121"/>
        <v>-0.73773781651484449</v>
      </c>
      <c r="F3410" s="946">
        <f t="shared" si="122"/>
        <v>-2.9509512660593779E-2</v>
      </c>
      <c r="G3410" s="78"/>
      <c r="H3410" t="str">
        <f>VLOOKUP(B3410,indexy!$A$44:$D$234,3,FALSE)</f>
        <v>BAC UN Equity</v>
      </c>
    </row>
    <row r="3411" spans="1:8" hidden="1" outlineLevel="1" x14ac:dyDescent="0.25">
      <c r="A3411" s="1002">
        <v>0.04</v>
      </c>
      <c r="B3411" s="996" t="s">
        <v>1847</v>
      </c>
      <c r="C3411" s="1008">
        <f>51.883*10</f>
        <v>518.83000000000004</v>
      </c>
      <c r="D3411" s="908">
        <v>4.42</v>
      </c>
      <c r="E3411" s="709">
        <f t="shared" si="121"/>
        <v>-0.99148083187171132</v>
      </c>
      <c r="F3411" s="946">
        <f t="shared" si="122"/>
        <v>-3.9659233274868456E-2</v>
      </c>
      <c r="G3411" s="78"/>
      <c r="H3411" t="str">
        <f>VLOOKUP(B3411,indexy!$A$44:$D$234,3,FALSE)</f>
        <v>C UN Equity</v>
      </c>
    </row>
    <row r="3412" spans="1:8" hidden="1" outlineLevel="1" x14ac:dyDescent="0.25">
      <c r="A3412" s="1002">
        <v>0.03</v>
      </c>
      <c r="B3412" s="996" t="s">
        <v>44</v>
      </c>
      <c r="C3412" s="1008">
        <v>5.82</v>
      </c>
      <c r="D3412" s="908">
        <v>2.0880000000000001</v>
      </c>
      <c r="E3412" s="709">
        <f t="shared" si="121"/>
        <v>-0.6412371134020618</v>
      </c>
      <c r="F3412" s="946">
        <f t="shared" si="122"/>
        <v>-1.9237113402061853E-2</v>
      </c>
      <c r="G3412" s="78"/>
      <c r="H3412" t="str">
        <f>VLOOKUP(B3412,indexy!$A$44:$D$234,3,FALSE)</f>
        <v>ISP IM Equity</v>
      </c>
    </row>
    <row r="3413" spans="1:8" hidden="1" outlineLevel="1" x14ac:dyDescent="0.25">
      <c r="A3413" s="1002">
        <v>0.04</v>
      </c>
      <c r="B3413" s="996" t="s">
        <v>3801</v>
      </c>
      <c r="C3413" s="1008">
        <v>82.468999999999994</v>
      </c>
      <c r="D3413" s="908">
        <v>44.945</v>
      </c>
      <c r="E3413" s="709">
        <f t="shared" si="121"/>
        <v>-0.45500733608992461</v>
      </c>
      <c r="F3413" s="946">
        <f t="shared" si="122"/>
        <v>-1.8200293443596985E-2</v>
      </c>
      <c r="G3413" s="78"/>
      <c r="H3413" t="str">
        <f>VLOOKUP(B3413,indexy!$A$44:$D$234,3,FALSE)</f>
        <v>RWE GY Equity</v>
      </c>
    </row>
    <row r="3414" spans="1:8" hidden="1" outlineLevel="1" x14ac:dyDescent="0.25">
      <c r="A3414" s="1002">
        <v>0.04</v>
      </c>
      <c r="B3414" s="996" t="s">
        <v>3792</v>
      </c>
      <c r="C3414" s="1008">
        <v>59.905999999999999</v>
      </c>
      <c r="D3414" s="908">
        <v>36.72</v>
      </c>
      <c r="E3414" s="709">
        <f t="shared" si="121"/>
        <v>-0.387039695522986</v>
      </c>
      <c r="F3414" s="946">
        <f t="shared" si="122"/>
        <v>-1.548158782091944E-2</v>
      </c>
      <c r="G3414" s="78"/>
      <c r="H3414" t="str">
        <f>VLOOKUP(B3414,indexy!$A$44:$D$234,3,FALSE)</f>
        <v>CMA UN Equity</v>
      </c>
    </row>
    <row r="3415" spans="1:8" hidden="1" outlineLevel="1" x14ac:dyDescent="0.25">
      <c r="A3415" s="1002">
        <v>0.03</v>
      </c>
      <c r="B3415" s="996" t="s">
        <v>4110</v>
      </c>
      <c r="C3415" s="1008">
        <v>44.88</v>
      </c>
      <c r="D3415" s="908">
        <v>44.7</v>
      </c>
      <c r="E3415" s="709">
        <f t="shared" si="121"/>
        <v>-4.0106951871657914E-3</v>
      </c>
      <c r="F3415" s="946">
        <f t="shared" si="122"/>
        <v>-1.2032085561497374E-4</v>
      </c>
      <c r="G3415" s="78"/>
      <c r="H3415" t="e">
        <f>VLOOKUP(B3415,indexy!$A$44:$D$234,3,FALSE)</f>
        <v>#N/A</v>
      </c>
    </row>
    <row r="3416" spans="1:8" hidden="1" outlineLevel="1" x14ac:dyDescent="0.25">
      <c r="A3416" s="1002">
        <v>0.03</v>
      </c>
      <c r="B3416" s="996" t="s">
        <v>1031</v>
      </c>
      <c r="C3416" s="1008">
        <v>9.1142500000000002</v>
      </c>
      <c r="D3416" s="908">
        <v>6.1360000000000001</v>
      </c>
      <c r="E3416" s="709">
        <f t="shared" si="121"/>
        <v>-0.32676852182022653</v>
      </c>
      <c r="F3416" s="946">
        <f t="shared" si="122"/>
        <v>-9.8030556546067956E-3</v>
      </c>
      <c r="G3416" s="78"/>
      <c r="H3416" t="str">
        <f>VLOOKUP(B3416,indexy!$A$44:$D$234,3,FALSE)</f>
        <v>IBE SQ Equity</v>
      </c>
    </row>
    <row r="3417" spans="1:8" hidden="1" outlineLevel="1" x14ac:dyDescent="0.25">
      <c r="A3417" s="1002">
        <v>0.02</v>
      </c>
      <c r="B3417" s="996" t="s">
        <v>281</v>
      </c>
      <c r="C3417" s="1008">
        <v>37.548000000000002</v>
      </c>
      <c r="D3417" s="908">
        <v>8.8800000000000008</v>
      </c>
      <c r="E3417" s="709">
        <f t="shared" si="121"/>
        <v>-0.76350271652285073</v>
      </c>
      <c r="F3417" s="946">
        <f t="shared" si="122"/>
        <v>-1.5270054330457016E-2</v>
      </c>
      <c r="G3417" s="78"/>
      <c r="H3417" t="str">
        <f>VLOOKUP(B3417,indexy!$A$44:$D$234,3,FALSE)</f>
        <v>KEY UN Equity</v>
      </c>
    </row>
    <row r="3418" spans="1:8" hidden="1" outlineLevel="1" x14ac:dyDescent="0.25">
      <c r="A3418" s="1002">
        <v>0.03</v>
      </c>
      <c r="B3418" s="996" t="s">
        <v>2984</v>
      </c>
      <c r="C3418" s="1008">
        <v>17.84</v>
      </c>
      <c r="D3418" s="908">
        <v>8.5609999999999999</v>
      </c>
      <c r="E3418" s="709">
        <f t="shared" si="121"/>
        <v>-0.52012331838565018</v>
      </c>
      <c r="F3418" s="946">
        <f t="shared" si="122"/>
        <v>-1.5603699551569504E-2</v>
      </c>
      <c r="G3418" s="78"/>
      <c r="H3418" t="str">
        <f>VLOOKUP(B3418,indexy!$A$44:$D$234,3,FALSE)</f>
        <v>BBVA SM Equity</v>
      </c>
    </row>
    <row r="3419" spans="1:8" hidden="1" outlineLevel="1" x14ac:dyDescent="0.25">
      <c r="A3419" s="1002">
        <v>0.03</v>
      </c>
      <c r="B3419" s="996" t="s">
        <v>2166</v>
      </c>
      <c r="C3419" s="1008">
        <v>119.76</v>
      </c>
      <c r="D3419" s="908">
        <v>45.85</v>
      </c>
      <c r="E3419" s="709">
        <f t="shared" si="121"/>
        <v>-0.61715096860387442</v>
      </c>
      <c r="F3419" s="946">
        <f t="shared" si="122"/>
        <v>-1.8514529058116232E-2</v>
      </c>
      <c r="G3419" s="78"/>
      <c r="H3419" t="str">
        <f>VLOOKUP(B3419,indexy!$A$44:$D$234,3,FALSE)</f>
        <v>GLE FP Equity</v>
      </c>
    </row>
    <row r="3420" spans="1:8" hidden="1" outlineLevel="1" x14ac:dyDescent="0.25">
      <c r="A3420" s="1002">
        <v>0.02</v>
      </c>
      <c r="B3420" s="996" t="s">
        <v>3656</v>
      </c>
      <c r="C3420" s="1008">
        <v>135.02000000000001</v>
      </c>
      <c r="D3420" s="908">
        <v>183.8</v>
      </c>
      <c r="E3420" s="709">
        <f t="shared" si="121"/>
        <v>0.36127981039845958</v>
      </c>
      <c r="F3420" s="946">
        <f t="shared" si="122"/>
        <v>7.2255962079691913E-3</v>
      </c>
      <c r="G3420" s="78"/>
      <c r="H3420" t="str">
        <f>VLOOKUP(B3420,indexy!$A$44:$D$234,3,FALSE)</f>
        <v>SKFB SS Equity</v>
      </c>
    </row>
    <row r="3421" spans="1:8" hidden="1" outlineLevel="1" x14ac:dyDescent="0.25">
      <c r="A3421" s="1002">
        <v>0.03</v>
      </c>
      <c r="B3421" s="996" t="s">
        <v>901</v>
      </c>
      <c r="C3421" s="1008">
        <f>15.926*100</f>
        <v>1592.6</v>
      </c>
      <c r="D3421" s="908">
        <v>2502</v>
      </c>
      <c r="E3421" s="709">
        <f t="shared" si="121"/>
        <v>0.57101594876302908</v>
      </c>
      <c r="F3421" s="946">
        <f t="shared" si="122"/>
        <v>1.7130478462890873E-2</v>
      </c>
      <c r="G3421" s="78"/>
      <c r="H3421" t="str">
        <f>VLOOKUP(B3421,indexy!$A$44:$D$234,3,FALSE)</f>
        <v>BATS LN Equity</v>
      </c>
    </row>
    <row r="3422" spans="1:8" hidden="1" outlineLevel="1" x14ac:dyDescent="0.25">
      <c r="A3422" s="1002">
        <v>0.02</v>
      </c>
      <c r="B3422" s="996" t="s">
        <v>4025</v>
      </c>
      <c r="C3422" s="1008">
        <v>61.222999999999999</v>
      </c>
      <c r="D3422" s="908">
        <v>49.85</v>
      </c>
      <c r="E3422" s="709">
        <f t="shared" si="121"/>
        <v>-0.18576352024565923</v>
      </c>
      <c r="F3422" s="946">
        <f t="shared" si="122"/>
        <v>-3.7152704049131847E-3</v>
      </c>
      <c r="G3422" s="78"/>
      <c r="H3422" t="str">
        <f>VLOOKUP(B3422,indexy!$A$44:$D$234,3,FALSE)</f>
        <v>MBG GR Equity</v>
      </c>
    </row>
    <row r="3423" spans="1:8" hidden="1" outlineLevel="1" x14ac:dyDescent="0.25">
      <c r="A3423" s="1002">
        <v>0.02</v>
      </c>
      <c r="B3423" s="996" t="s">
        <v>1709</v>
      </c>
      <c r="C3423" s="1008">
        <v>124.89</v>
      </c>
      <c r="D3423" s="908">
        <v>119.1</v>
      </c>
      <c r="E3423" s="709">
        <f t="shared" si="121"/>
        <v>-4.6360797501801665E-2</v>
      </c>
      <c r="F3423" s="946">
        <f t="shared" si="122"/>
        <v>-9.2721595003603335E-4</v>
      </c>
      <c r="G3423" s="78"/>
      <c r="H3423" t="str">
        <f>VLOOKUP(B3423,indexy!$A$44:$D$234,3,FALSE)</f>
        <v>SAND SS Equity</v>
      </c>
    </row>
    <row r="3424" spans="1:8" hidden="1" outlineLevel="1" x14ac:dyDescent="0.25">
      <c r="A3424" s="1002">
        <v>0.03</v>
      </c>
      <c r="B3424" s="996" t="s">
        <v>3020</v>
      </c>
      <c r="C3424" s="1008">
        <v>49.039000000000001</v>
      </c>
      <c r="D3424" s="908">
        <v>54.64</v>
      </c>
      <c r="E3424" s="709">
        <f t="shared" si="121"/>
        <v>0.11421521646036825</v>
      </c>
      <c r="F3424" s="946">
        <f t="shared" si="122"/>
        <v>3.4264564938110476E-3</v>
      </c>
      <c r="G3424" s="78"/>
      <c r="H3424" t="str">
        <f>VLOOKUP(B3424,indexy!$A$44:$D$234,3,FALSE)</f>
        <v>BAYN GR Equity</v>
      </c>
    </row>
    <row r="3425" spans="1:8" hidden="1" outlineLevel="1" x14ac:dyDescent="0.25">
      <c r="A3425" s="1002">
        <v>0.03</v>
      </c>
      <c r="B3425" s="996" t="s">
        <v>181</v>
      </c>
      <c r="C3425" s="1008">
        <v>115.27</v>
      </c>
      <c r="D3425" s="908">
        <v>52.55</v>
      </c>
      <c r="E3425" s="709">
        <f t="shared" si="121"/>
        <v>-0.54411381972759609</v>
      </c>
      <c r="F3425" s="946">
        <f t="shared" si="122"/>
        <v>-1.6323414591827883E-2</v>
      </c>
      <c r="G3425" s="78"/>
      <c r="H3425" t="e">
        <f>VLOOKUP(B3425,indexy!$A$44:$D$234,3,FALSE)</f>
        <v>#N/A</v>
      </c>
    </row>
    <row r="3426" spans="1:8" hidden="1" outlineLevel="1" x14ac:dyDescent="0.25">
      <c r="A3426" s="1002">
        <v>0.03</v>
      </c>
      <c r="B3426" s="996" t="s">
        <v>279</v>
      </c>
      <c r="C3426" s="1008">
        <v>98.106999999999999</v>
      </c>
      <c r="D3426" s="908">
        <v>120.6</v>
      </c>
      <c r="E3426" s="709">
        <f t="shared" si="121"/>
        <v>0.2292700826648455</v>
      </c>
      <c r="F3426" s="946">
        <f t="shared" si="122"/>
        <v>6.8781024799453644E-3</v>
      </c>
      <c r="G3426" s="78"/>
      <c r="H3426" t="str">
        <f>VLOOKUP(B3426,indexy!$A$44:$D$234,3,FALSE)</f>
        <v>SU FP Equity</v>
      </c>
    </row>
    <row r="3427" spans="1:8" hidden="1" outlineLevel="1" x14ac:dyDescent="0.25">
      <c r="A3427" s="1002">
        <v>0.03</v>
      </c>
      <c r="B3427" s="996" t="s">
        <v>1526</v>
      </c>
      <c r="C3427" s="1008">
        <v>95.165999999999997</v>
      </c>
      <c r="D3427" s="908">
        <v>26.535</v>
      </c>
      <c r="E3427" s="709">
        <f t="shared" si="121"/>
        <v>-0.72117142677006485</v>
      </c>
      <c r="F3427" s="946">
        <f t="shared" si="122"/>
        <v>-2.1635142803101946E-2</v>
      </c>
      <c r="G3427" s="78"/>
      <c r="H3427" t="str">
        <f>VLOOKUP(B3427,indexy!$A$44:$D$234,3,FALSE)</f>
        <v>KBC BB Equity</v>
      </c>
    </row>
    <row r="3428" spans="1:8" hidden="1" outlineLevel="1" x14ac:dyDescent="0.25">
      <c r="A3428" s="1002">
        <v>0.02</v>
      </c>
      <c r="B3428" s="996" t="s">
        <v>4064</v>
      </c>
      <c r="C3428" s="1008">
        <v>56.232999999999997</v>
      </c>
      <c r="D3428" s="908">
        <v>35.17</v>
      </c>
      <c r="E3428" s="709">
        <f t="shared" si="121"/>
        <v>-0.3745665356641118</v>
      </c>
      <c r="F3428" s="946">
        <f t="shared" si="122"/>
        <v>-7.4913307132822363E-3</v>
      </c>
      <c r="G3428" s="78"/>
      <c r="H3428" t="str">
        <f>VLOOKUP(B3428,indexy!$A$44:$D$234,3,FALSE)</f>
        <v>LLY UN Equity</v>
      </c>
    </row>
    <row r="3429" spans="1:8" hidden="1" outlineLevel="1" x14ac:dyDescent="0.25">
      <c r="A3429" s="1002">
        <v>0.02</v>
      </c>
      <c r="B3429" s="996" t="s">
        <v>280</v>
      </c>
      <c r="C3429" s="1008">
        <v>57.012</v>
      </c>
      <c r="D3429" s="908">
        <v>48.48</v>
      </c>
      <c r="E3429" s="709">
        <f t="shared" si="121"/>
        <v>-0.14965270469374869</v>
      </c>
      <c r="F3429" s="946">
        <f t="shared" si="122"/>
        <v>-2.993054093874974E-3</v>
      </c>
      <c r="G3429" s="78"/>
      <c r="H3429" t="str">
        <f>VLOOKUP(B3429,indexy!$A$44:$D$234,3,FALSE)</f>
        <v>AKZA NA Equity</v>
      </c>
    </row>
    <row r="3430" spans="1:8" hidden="1" outlineLevel="1" x14ac:dyDescent="0.25">
      <c r="A3430" s="1002">
        <v>0.03</v>
      </c>
      <c r="B3430" s="996" t="s">
        <v>51</v>
      </c>
      <c r="C3430" s="1008">
        <v>66.989999999999995</v>
      </c>
      <c r="D3430" s="908">
        <v>43.204999999999998</v>
      </c>
      <c r="E3430" s="709">
        <f t="shared" si="121"/>
        <v>-0.35505299298402748</v>
      </c>
      <c r="F3430" s="946">
        <f t="shared" si="122"/>
        <v>-1.0651589789520823E-2</v>
      </c>
      <c r="G3430" s="78"/>
      <c r="H3430" t="str">
        <f>VLOOKUP(B3430,indexy!$A$44:$D$234,3,FALSE)</f>
        <v>SGO FP Equity</v>
      </c>
    </row>
    <row r="3431" spans="1:8" hidden="1" outlineLevel="1" x14ac:dyDescent="0.25">
      <c r="A3431" s="1004">
        <v>0.03</v>
      </c>
      <c r="B3431" s="997" t="s">
        <v>3022</v>
      </c>
      <c r="C3431" s="1009">
        <v>7829</v>
      </c>
      <c r="D3431" s="715">
        <v>3880</v>
      </c>
      <c r="E3431" s="716">
        <f t="shared" si="121"/>
        <v>-0.50440669306424835</v>
      </c>
      <c r="F3431" s="1023">
        <f t="shared" si="122"/>
        <v>-1.5132200791927449E-2</v>
      </c>
      <c r="G3431" s="78"/>
      <c r="H3431" t="str">
        <f>VLOOKUP(B3431,indexy!$A$44:$D$234,3,FALSE)</f>
        <v>4502 JT Equity</v>
      </c>
    </row>
    <row r="3432" spans="1:8" hidden="1" outlineLevel="1" x14ac:dyDescent="0.25">
      <c r="A3432" s="749"/>
      <c r="B3432" s="750"/>
      <c r="C3432" s="727"/>
      <c r="D3432" s="727"/>
      <c r="E3432" s="716"/>
      <c r="F3432" s="770">
        <f>SUM(F3402:F3431)</f>
        <v>-0.3364415940945466</v>
      </c>
      <c r="G3432" s="78"/>
    </row>
    <row r="3433" spans="1:8" hidden="1" outlineLevel="1" x14ac:dyDescent="0.25">
      <c r="A3433" s="749"/>
      <c r="B3433" s="750"/>
      <c r="C3433" s="727"/>
      <c r="D3433" s="727"/>
      <c r="E3433" s="716"/>
      <c r="F3433" s="770"/>
      <c r="G3433" s="78"/>
    </row>
    <row r="3434" spans="1:8" hidden="1" outlineLevel="1" x14ac:dyDescent="0.25">
      <c r="A3434" s="962" t="s">
        <v>614</v>
      </c>
      <c r="B3434" s="944">
        <v>39234</v>
      </c>
      <c r="C3434" s="727">
        <v>100</v>
      </c>
      <c r="D3434" s="727">
        <v>100.71169999999999</v>
      </c>
      <c r="E3434" s="716">
        <f t="shared" ref="E3434:E3449" si="123">D3434/C3434-1</f>
        <v>7.11700000000004E-3</v>
      </c>
      <c r="F3434" s="731">
        <f>E3434</f>
        <v>7.11700000000004E-3</v>
      </c>
      <c r="G3434" s="78"/>
    </row>
    <row r="3435" spans="1:8" hidden="1" outlineLevel="1" x14ac:dyDescent="0.25">
      <c r="A3435" s="962" t="s">
        <v>2865</v>
      </c>
      <c r="B3435" s="944">
        <v>39326</v>
      </c>
      <c r="C3435" s="727">
        <v>100</v>
      </c>
      <c r="D3435" s="727">
        <v>98.983699999999999</v>
      </c>
      <c r="E3435" s="716">
        <f t="shared" si="123"/>
        <v>-1.0163000000000033E-2</v>
      </c>
      <c r="F3435" s="731">
        <f t="shared" ref="F3435:F3449" si="124">E3435</f>
        <v>-1.0163000000000033E-2</v>
      </c>
      <c r="G3435" s="78"/>
      <c r="H3435" s="101"/>
    </row>
    <row r="3436" spans="1:8" hidden="1" outlineLevel="1" x14ac:dyDescent="0.25">
      <c r="A3436" s="962" t="s">
        <v>2866</v>
      </c>
      <c r="B3436" s="944">
        <v>39417</v>
      </c>
      <c r="C3436" s="727">
        <v>100</v>
      </c>
      <c r="D3436" s="727">
        <v>96.365499999999997</v>
      </c>
      <c r="E3436" s="716">
        <f t="shared" si="123"/>
        <v>-3.6345000000000072E-2</v>
      </c>
      <c r="F3436" s="731">
        <f t="shared" si="124"/>
        <v>-3.6345000000000072E-2</v>
      </c>
      <c r="G3436" s="78"/>
    </row>
    <row r="3437" spans="1:8" hidden="1" outlineLevel="1" x14ac:dyDescent="0.25">
      <c r="A3437" s="962" t="s">
        <v>2868</v>
      </c>
      <c r="B3437" s="944">
        <v>39508</v>
      </c>
      <c r="C3437" s="727">
        <v>100</v>
      </c>
      <c r="D3437" s="727">
        <v>81.653400000000005</v>
      </c>
      <c r="E3437" s="716">
        <f t="shared" si="123"/>
        <v>-0.18346599999999991</v>
      </c>
      <c r="F3437" s="731">
        <f t="shared" si="124"/>
        <v>-0.18346599999999991</v>
      </c>
      <c r="G3437" s="78"/>
    </row>
    <row r="3438" spans="1:8" hidden="1" outlineLevel="1" x14ac:dyDescent="0.25">
      <c r="A3438" s="962" t="s">
        <v>4026</v>
      </c>
      <c r="B3438" s="944">
        <v>39600</v>
      </c>
      <c r="C3438" s="727">
        <v>100</v>
      </c>
      <c r="D3438" s="727">
        <v>73.068700000000007</v>
      </c>
      <c r="E3438" s="716">
        <f t="shared" si="123"/>
        <v>-0.26931299999999991</v>
      </c>
      <c r="F3438" s="731">
        <f t="shared" si="124"/>
        <v>-0.26931299999999991</v>
      </c>
      <c r="G3438" s="78"/>
    </row>
    <row r="3439" spans="1:8" hidden="1" outlineLevel="1" x14ac:dyDescent="0.25">
      <c r="A3439" s="962" t="s">
        <v>4027</v>
      </c>
      <c r="B3439" s="944">
        <v>39692</v>
      </c>
      <c r="C3439" s="727">
        <v>100</v>
      </c>
      <c r="D3439" s="727">
        <v>70.810500000000005</v>
      </c>
      <c r="E3439" s="716">
        <f t="shared" si="123"/>
        <v>-0.2918949999999999</v>
      </c>
      <c r="F3439" s="731">
        <f t="shared" si="124"/>
        <v>-0.2918949999999999</v>
      </c>
      <c r="G3439" s="78"/>
    </row>
    <row r="3440" spans="1:8" hidden="1" outlineLevel="1" x14ac:dyDescent="0.25">
      <c r="A3440" s="962" t="s">
        <v>4028</v>
      </c>
      <c r="B3440" s="944">
        <v>39783</v>
      </c>
      <c r="C3440" s="727">
        <v>100</v>
      </c>
      <c r="D3440" s="727">
        <v>57.381999999999998</v>
      </c>
      <c r="E3440" s="716">
        <f t="shared" si="123"/>
        <v>-0.42618</v>
      </c>
      <c r="F3440" s="731">
        <f t="shared" si="124"/>
        <v>-0.42618</v>
      </c>
      <c r="G3440" s="78"/>
    </row>
    <row r="3441" spans="1:12" hidden="1" outlineLevel="1" x14ac:dyDescent="0.25">
      <c r="A3441" s="962" t="s">
        <v>4029</v>
      </c>
      <c r="B3441" s="944">
        <v>39873</v>
      </c>
      <c r="C3441" s="727">
        <v>100</v>
      </c>
      <c r="D3441" s="727">
        <v>45.778399999999998</v>
      </c>
      <c r="E3441" s="716">
        <f t="shared" si="123"/>
        <v>-0.54221600000000003</v>
      </c>
      <c r="F3441" s="731">
        <f t="shared" si="124"/>
        <v>-0.54221600000000003</v>
      </c>
      <c r="G3441" s="78"/>
    </row>
    <row r="3442" spans="1:12" hidden="1" outlineLevel="1" x14ac:dyDescent="0.25">
      <c r="A3442" s="962" t="s">
        <v>4030</v>
      </c>
      <c r="B3442" s="944">
        <v>39965</v>
      </c>
      <c r="C3442" s="727">
        <v>100</v>
      </c>
      <c r="D3442" s="727">
        <v>51.152099999999997</v>
      </c>
      <c r="E3442" s="716">
        <f t="shared" si="123"/>
        <v>-0.488479</v>
      </c>
      <c r="F3442" s="731">
        <f t="shared" si="124"/>
        <v>-0.488479</v>
      </c>
      <c r="G3442" s="78"/>
    </row>
    <row r="3443" spans="1:12" hidden="1" outlineLevel="1" x14ac:dyDescent="0.25">
      <c r="A3443" s="962" t="s">
        <v>4031</v>
      </c>
      <c r="B3443" s="944">
        <v>40057</v>
      </c>
      <c r="C3443" s="727">
        <v>100</v>
      </c>
      <c r="D3443" s="727">
        <v>61.435200000000002</v>
      </c>
      <c r="E3443" s="716">
        <f t="shared" si="123"/>
        <v>-0.38564799999999999</v>
      </c>
      <c r="F3443" s="731">
        <f t="shared" si="124"/>
        <v>-0.38564799999999999</v>
      </c>
      <c r="G3443" s="78"/>
    </row>
    <row r="3444" spans="1:12" hidden="1" outlineLevel="1" x14ac:dyDescent="0.25">
      <c r="A3444" s="962" t="s">
        <v>3926</v>
      </c>
      <c r="B3444" s="944">
        <v>40148</v>
      </c>
      <c r="C3444" s="727">
        <v>100</v>
      </c>
      <c r="D3444" s="727">
        <v>63.640799999999999</v>
      </c>
      <c r="E3444" s="716">
        <f t="shared" si="123"/>
        <v>-0.36359200000000003</v>
      </c>
      <c r="F3444" s="731">
        <f t="shared" si="124"/>
        <v>-0.36359200000000003</v>
      </c>
      <c r="G3444" s="78"/>
    </row>
    <row r="3445" spans="1:12" hidden="1" outlineLevel="1" x14ac:dyDescent="0.25">
      <c r="A3445" s="962" t="s">
        <v>3927</v>
      </c>
      <c r="B3445" s="944">
        <v>40238</v>
      </c>
      <c r="C3445" s="727">
        <v>100</v>
      </c>
      <c r="D3445" s="727">
        <v>64.470699999999994</v>
      </c>
      <c r="E3445" s="716">
        <f t="shared" si="123"/>
        <v>-0.35529300000000008</v>
      </c>
      <c r="F3445" s="731">
        <f t="shared" si="124"/>
        <v>-0.35529300000000008</v>
      </c>
      <c r="G3445" s="78"/>
    </row>
    <row r="3446" spans="1:12" hidden="1" outlineLevel="1" x14ac:dyDescent="0.25">
      <c r="A3446" s="962" t="s">
        <v>3928</v>
      </c>
      <c r="B3446" s="944">
        <v>40330</v>
      </c>
      <c r="C3446" s="727">
        <v>100</v>
      </c>
      <c r="D3446" s="727">
        <v>58.773899999999998</v>
      </c>
      <c r="E3446" s="716">
        <f t="shared" si="123"/>
        <v>-0.41226099999999999</v>
      </c>
      <c r="F3446" s="731">
        <f t="shared" si="124"/>
        <v>-0.41226099999999999</v>
      </c>
      <c r="G3446" s="78"/>
    </row>
    <row r="3447" spans="1:12" hidden="1" outlineLevel="1" x14ac:dyDescent="0.25">
      <c r="A3447" s="962" t="s">
        <v>3929</v>
      </c>
      <c r="B3447" s="944">
        <v>40422</v>
      </c>
      <c r="C3447" s="727">
        <v>100</v>
      </c>
      <c r="D3447" s="727">
        <v>63.743600000000001</v>
      </c>
      <c r="E3447" s="716">
        <f t="shared" si="123"/>
        <v>-0.362564</v>
      </c>
      <c r="F3447" s="731">
        <f t="shared" si="124"/>
        <v>-0.362564</v>
      </c>
      <c r="G3447" s="78"/>
    </row>
    <row r="3448" spans="1:12" hidden="1" outlineLevel="1" x14ac:dyDescent="0.25">
      <c r="A3448" s="962" t="s">
        <v>3930</v>
      </c>
      <c r="B3448" s="944">
        <v>40513</v>
      </c>
      <c r="C3448" s="727">
        <v>100</v>
      </c>
      <c r="D3448" s="727">
        <v>65.653700000000001</v>
      </c>
      <c r="E3448" s="716">
        <f t="shared" si="123"/>
        <v>-0.34346299999999996</v>
      </c>
      <c r="F3448" s="731">
        <f t="shared" si="124"/>
        <v>-0.34346299999999996</v>
      </c>
      <c r="G3448" s="78"/>
      <c r="H3448" t="s">
        <v>1837</v>
      </c>
    </row>
    <row r="3449" spans="1:12" hidden="1" outlineLevel="1" x14ac:dyDescent="0.25">
      <c r="A3449" s="962" t="s">
        <v>928</v>
      </c>
      <c r="B3449" s="944">
        <v>40603</v>
      </c>
      <c r="C3449" s="727">
        <v>100</v>
      </c>
      <c r="D3449" s="727">
        <v>66.650000000000006</v>
      </c>
      <c r="E3449" s="716">
        <f t="shared" si="123"/>
        <v>-0.33349999999999991</v>
      </c>
      <c r="F3449" s="731">
        <f t="shared" si="124"/>
        <v>-0.33349999999999991</v>
      </c>
      <c r="G3449" s="78"/>
      <c r="H3449" s="101">
        <f>AVERAGE(F3434:F3449)</f>
        <v>-0.29982881249999999</v>
      </c>
    </row>
    <row r="3450" spans="1:12" collapsed="1" x14ac:dyDescent="0.25">
      <c r="A3450" s="3801" t="s">
        <v>1920</v>
      </c>
      <c r="B3450" s="3802"/>
      <c r="C3450" s="3802"/>
      <c r="D3450" s="3802"/>
      <c r="E3450" s="721"/>
      <c r="F3450" s="722">
        <f>MAX(AVERAGE(F3434:F3449)*parametry!N133,2%)</f>
        <v>0.02</v>
      </c>
      <c r="G3450" s="97" t="s">
        <v>781</v>
      </c>
    </row>
    <row r="3451" spans="1:12" x14ac:dyDescent="0.25">
      <c r="A3451" s="1"/>
      <c r="B3451" s="1"/>
      <c r="C3451" s="1"/>
      <c r="D3451" s="1"/>
      <c r="E3451" s="1"/>
      <c r="F3451" s="1848"/>
      <c r="G3451" s="78"/>
    </row>
    <row r="3452" spans="1:12" hidden="1" outlineLevel="1" x14ac:dyDescent="0.25">
      <c r="A3452" s="689" t="s">
        <v>113</v>
      </c>
      <c r="B3452" s="689" t="s">
        <v>114</v>
      </c>
      <c r="C3452" s="689" t="s">
        <v>112</v>
      </c>
      <c r="D3452" s="689" t="s">
        <v>116</v>
      </c>
      <c r="E3452" s="689" t="s">
        <v>117</v>
      </c>
      <c r="F3452" s="1188" t="s">
        <v>121</v>
      </c>
      <c r="G3452" s="78"/>
    </row>
    <row r="3453" spans="1:12" hidden="1" outlineLevel="1" x14ac:dyDescent="0.25">
      <c r="A3453" s="690">
        <v>1</v>
      </c>
      <c r="B3453" s="691" t="s">
        <v>252</v>
      </c>
      <c r="C3453" s="692">
        <v>100</v>
      </c>
      <c r="D3453" s="692"/>
      <c r="E3453" s="693"/>
      <c r="F3453" s="694"/>
      <c r="G3453" s="78"/>
    </row>
    <row r="3454" spans="1:12" hidden="1" outlineLevel="1" x14ac:dyDescent="0.25">
      <c r="A3454" s="695"/>
      <c r="B3454" s="695"/>
      <c r="C3454" s="696"/>
      <c r="D3454" s="697" t="s">
        <v>3702</v>
      </c>
      <c r="E3454" s="698">
        <v>41060</v>
      </c>
      <c r="F3454" s="699"/>
      <c r="G3454" s="78"/>
    </row>
    <row r="3455" spans="1:12" hidden="1" outlineLevel="1" x14ac:dyDescent="0.25">
      <c r="A3455" s="689" t="s">
        <v>4156</v>
      </c>
      <c r="B3455" s="689" t="s">
        <v>4153</v>
      </c>
      <c r="C3455" s="497" t="s">
        <v>112</v>
      </c>
      <c r="D3455" s="495" t="s">
        <v>4155</v>
      </c>
      <c r="E3455" s="689" t="s">
        <v>4154</v>
      </c>
      <c r="F3455" s="1021" t="s">
        <v>2519</v>
      </c>
      <c r="G3455" s="78"/>
      <c r="J3455" t="s">
        <v>2040</v>
      </c>
    </row>
    <row r="3456" spans="1:12" hidden="1" outlineLevel="1" x14ac:dyDescent="0.25">
      <c r="A3456" s="999">
        <v>0.05</v>
      </c>
      <c r="B3456" s="1000" t="s">
        <v>3798</v>
      </c>
      <c r="C3456" s="1007">
        <v>8.3094999999999999</v>
      </c>
      <c r="D3456" s="803">
        <v>2.302</v>
      </c>
      <c r="E3456" s="705">
        <v>-0.72296768758649743</v>
      </c>
      <c r="F3456" s="1021">
        <v>-3.6148384379324876E-2</v>
      </c>
      <c r="G3456" s="78"/>
      <c r="H3456" t="str">
        <f>VLOOKUP(B3456,indexy!$A$44:$D$234,3,FALSE)</f>
        <v>ENEL IM Equity</v>
      </c>
      <c r="J3456" s="256">
        <v>40513</v>
      </c>
      <c r="K3456">
        <v>65.209100000000007</v>
      </c>
      <c r="L3456" s="37">
        <f>IF(K3456="",L3455,K3456/100-1)</f>
        <v>-0.34790899999999991</v>
      </c>
    </row>
    <row r="3457" spans="1:12" hidden="1" outlineLevel="1" x14ac:dyDescent="0.25">
      <c r="A3457" s="1002">
        <v>0.04</v>
      </c>
      <c r="B3457" s="996" t="s">
        <v>2630</v>
      </c>
      <c r="C3457" s="1008">
        <v>20.797000000000001</v>
      </c>
      <c r="D3457" s="908">
        <v>10.16</v>
      </c>
      <c r="E3457" s="709">
        <v>-0.51146800019233551</v>
      </c>
      <c r="F3457" s="946">
        <v>-2.0458720007693422E-2</v>
      </c>
      <c r="G3457" s="78"/>
      <c r="H3457" t="e">
        <f>VLOOKUP(B3457,indexy!$A$44:$D$234,3,FALSE)</f>
        <v>#N/A</v>
      </c>
      <c r="J3457" s="256">
        <v>40544</v>
      </c>
      <c r="K3457">
        <v>66.315399999999997</v>
      </c>
      <c r="L3457" s="37">
        <f t="shared" ref="L3457:L3473" si="125">IF(K3457="",L3456,K3457/100-1)</f>
        <v>-0.33684599999999998</v>
      </c>
    </row>
    <row r="3458" spans="1:12" hidden="1" outlineLevel="1" x14ac:dyDescent="0.25">
      <c r="A3458" s="1002">
        <v>0.04</v>
      </c>
      <c r="B3458" s="996" t="s">
        <v>2983</v>
      </c>
      <c r="C3458" s="1008">
        <v>759.19999999999993</v>
      </c>
      <c r="D3458" s="908">
        <v>657</v>
      </c>
      <c r="E3458" s="709">
        <v>-0.13461538461538458</v>
      </c>
      <c r="F3458" s="946">
        <v>-5.3846153846153835E-3</v>
      </c>
      <c r="G3458" s="78"/>
      <c r="H3458" t="str">
        <f>VLOOKUP(B3458,indexy!$A$44:$D$234,3,FALSE)</f>
        <v>UU/ LN Equity</v>
      </c>
      <c r="J3458" s="256">
        <v>40575</v>
      </c>
      <c r="K3458" s="424">
        <v>67.613</v>
      </c>
      <c r="L3458" s="37">
        <f t="shared" si="125"/>
        <v>-0.32386999999999999</v>
      </c>
    </row>
    <row r="3459" spans="1:12" hidden="1" outlineLevel="1" x14ac:dyDescent="0.25">
      <c r="A3459" s="1002">
        <v>0.05</v>
      </c>
      <c r="B3459" s="996" t="s">
        <v>2629</v>
      </c>
      <c r="C3459" s="1008">
        <v>13.182</v>
      </c>
      <c r="D3459" s="908">
        <v>7.9740000000000002</v>
      </c>
      <c r="E3459" s="709">
        <v>-0.39508420573509329</v>
      </c>
      <c r="F3459" s="946">
        <v>-1.9754210286754666E-2</v>
      </c>
      <c r="G3459" s="78"/>
      <c r="H3459" t="str">
        <f>VLOOKUP(B3459,indexy!$A$44:$D$234,3,FALSE)</f>
        <v>DTE GY Equity</v>
      </c>
      <c r="J3459" s="256">
        <v>40603</v>
      </c>
      <c r="K3459" s="424">
        <v>66.216399999999993</v>
      </c>
      <c r="L3459" s="37">
        <f t="shared" si="125"/>
        <v>-0.33783600000000003</v>
      </c>
    </row>
    <row r="3460" spans="1:12" hidden="1" outlineLevel="1" x14ac:dyDescent="0.25">
      <c r="A3460" s="1002">
        <v>0.04</v>
      </c>
      <c r="B3460" s="996" t="s">
        <v>1527</v>
      </c>
      <c r="C3460" s="1008">
        <v>2.3532999999999999</v>
      </c>
      <c r="D3460" s="908">
        <v>0.66749999999999998</v>
      </c>
      <c r="E3460" s="709">
        <v>-0.71635575574724852</v>
      </c>
      <c r="F3460" s="946">
        <v>-2.8654230229889943E-2</v>
      </c>
      <c r="G3460" s="78"/>
      <c r="H3460" t="str">
        <f>VLOOKUP(B3460,indexy!$A$44:$D$234,3,FALSE)</f>
        <v>TIT IM Equity</v>
      </c>
      <c r="J3460" s="256">
        <v>40634</v>
      </c>
      <c r="K3460" s="424">
        <v>68.363299999999995</v>
      </c>
      <c r="L3460" s="37">
        <f t="shared" si="125"/>
        <v>-0.31636700000000006</v>
      </c>
    </row>
    <row r="3461" spans="1:12" hidden="1" outlineLevel="1" x14ac:dyDescent="0.25">
      <c r="A3461" s="1002">
        <v>0.05</v>
      </c>
      <c r="B3461" s="996" t="s">
        <v>576</v>
      </c>
      <c r="C3461" s="1008">
        <v>19.885999999999999</v>
      </c>
      <c r="D3461" s="908">
        <v>4.5179999999999998</v>
      </c>
      <c r="E3461" s="709">
        <v>-0.77280498843407419</v>
      </c>
      <c r="F3461" s="946">
        <v>-3.8640249421703715E-2</v>
      </c>
      <c r="G3461" s="78"/>
      <c r="H3461" t="e">
        <f>VLOOKUP(B3461,indexy!$A$44:$D$234,3,FALSE)</f>
        <v>#N/A</v>
      </c>
      <c r="J3461" s="256">
        <v>40664</v>
      </c>
      <c r="K3461" s="424">
        <v>66.465500000000006</v>
      </c>
      <c r="L3461" s="37">
        <f t="shared" si="125"/>
        <v>-0.33534499999999989</v>
      </c>
    </row>
    <row r="3462" spans="1:12" hidden="1" outlineLevel="1" x14ac:dyDescent="0.25">
      <c r="A3462" s="1002">
        <v>0.05</v>
      </c>
      <c r="B3462" s="996" t="s">
        <v>157</v>
      </c>
      <c r="C3462" s="1008">
        <v>13.178900000000001</v>
      </c>
      <c r="D3462" s="908">
        <v>4.2949999999999999</v>
      </c>
      <c r="E3462" s="709">
        <v>-0.67410026633482312</v>
      </c>
      <c r="F3462" s="946">
        <v>-3.370501331674116E-2</v>
      </c>
      <c r="G3462" s="78"/>
      <c r="H3462" t="str">
        <f>VLOOKUP(B3462,indexy!$A$44:$D$234,3,FALSE)</f>
        <v>SAN SM Equity</v>
      </c>
      <c r="I3462" s="106"/>
      <c r="J3462" s="256">
        <v>40695</v>
      </c>
      <c r="K3462" s="424">
        <v>65.046000000000006</v>
      </c>
      <c r="L3462" s="37">
        <f t="shared" si="125"/>
        <v>-0.34953999999999996</v>
      </c>
    </row>
    <row r="3463" spans="1:12" hidden="1" outlineLevel="1" x14ac:dyDescent="0.25">
      <c r="A3463" s="1002">
        <v>0.04</v>
      </c>
      <c r="B3463" s="996" t="s">
        <v>3427</v>
      </c>
      <c r="C3463" s="1008">
        <v>37.668999999999997</v>
      </c>
      <c r="D3463" s="908">
        <v>45.91</v>
      </c>
      <c r="E3463" s="709">
        <v>0.2187740582441795</v>
      </c>
      <c r="F3463" s="946">
        <v>8.7509623297671799E-3</v>
      </c>
      <c r="G3463" s="78"/>
      <c r="H3463" t="str">
        <f>VLOOKUP(B3463,indexy!$A$44:$D$234,3,FALSE)</f>
        <v>SO UN Equity</v>
      </c>
      <c r="J3463" s="256">
        <v>40725</v>
      </c>
      <c r="K3463" s="424">
        <v>61.934399999999997</v>
      </c>
      <c r="L3463" s="37">
        <f t="shared" si="125"/>
        <v>-0.38065599999999999</v>
      </c>
    </row>
    <row r="3464" spans="1:12" hidden="1" outlineLevel="1" x14ac:dyDescent="0.25">
      <c r="A3464" s="1002">
        <v>0.04</v>
      </c>
      <c r="B3464" s="996" t="s">
        <v>1994</v>
      </c>
      <c r="C3464" s="1008">
        <v>50.908999999999999</v>
      </c>
      <c r="D3464" s="908">
        <v>7.35</v>
      </c>
      <c r="E3464" s="709">
        <v>-0.85562474218703966</v>
      </c>
      <c r="F3464" s="946">
        <v>-3.422498968748159E-2</v>
      </c>
      <c r="G3464" s="78"/>
      <c r="H3464" t="str">
        <f>VLOOKUP(B3464,indexy!$A$44:$D$234,3,FALSE)</f>
        <v>BAC UN Equity</v>
      </c>
      <c r="J3464" s="256">
        <v>40756</v>
      </c>
      <c r="K3464" s="424">
        <v>55.174900000000001</v>
      </c>
      <c r="L3464" s="37">
        <f t="shared" si="125"/>
        <v>-0.44825099999999996</v>
      </c>
    </row>
    <row r="3465" spans="1:12" hidden="1" outlineLevel="1" x14ac:dyDescent="0.25">
      <c r="A3465" s="1002">
        <v>0.04</v>
      </c>
      <c r="B3465" s="996" t="s">
        <v>1847</v>
      </c>
      <c r="C3465" s="1008">
        <v>525.52</v>
      </c>
      <c r="D3465" s="908">
        <v>26.51</v>
      </c>
      <c r="E3465" s="709">
        <v>-0.94955472674684127</v>
      </c>
      <c r="F3465" s="946">
        <v>-3.7982189069873655E-2</v>
      </c>
      <c r="G3465" s="78"/>
      <c r="H3465" t="str">
        <f>VLOOKUP(B3465,indexy!$A$44:$D$234,3,FALSE)</f>
        <v>C UN Equity</v>
      </c>
      <c r="J3465" s="256">
        <v>40787</v>
      </c>
      <c r="K3465" s="424">
        <v>53.011200000000002</v>
      </c>
      <c r="L3465" s="37">
        <f t="shared" si="125"/>
        <v>-0.46988799999999997</v>
      </c>
    </row>
    <row r="3466" spans="1:12" hidden="1" outlineLevel="1" x14ac:dyDescent="0.25">
      <c r="A3466" s="1002">
        <v>0.03</v>
      </c>
      <c r="B3466" s="996" t="s">
        <v>44</v>
      </c>
      <c r="C3466" s="1008">
        <v>5.93</v>
      </c>
      <c r="D3466" s="908">
        <v>1.0029999999999999</v>
      </c>
      <c r="E3466" s="709">
        <v>-0.83086003372681283</v>
      </c>
      <c r="F3466" s="946">
        <v>-2.4925801011804385E-2</v>
      </c>
      <c r="G3466" s="78"/>
      <c r="H3466" t="str">
        <f>VLOOKUP(B3466,indexy!$A$44:$D$234,3,FALSE)</f>
        <v>ISP IM Equity</v>
      </c>
      <c r="J3466" s="256">
        <v>40817</v>
      </c>
      <c r="K3466" s="424">
        <v>56.045900000000003</v>
      </c>
      <c r="L3466" s="37">
        <f t="shared" si="125"/>
        <v>-0.43954099999999996</v>
      </c>
    </row>
    <row r="3467" spans="1:12" hidden="1" outlineLevel="1" x14ac:dyDescent="0.25">
      <c r="A3467" s="1002">
        <v>0.04</v>
      </c>
      <c r="B3467" s="996" t="s">
        <v>3801</v>
      </c>
      <c r="C3467" s="1008">
        <v>81.59</v>
      </c>
      <c r="D3467" s="908">
        <v>29.535</v>
      </c>
      <c r="E3467" s="709">
        <v>-0.63800710871430322</v>
      </c>
      <c r="F3467" s="946">
        <v>-2.552028434857213E-2</v>
      </c>
      <c r="G3467" s="78"/>
      <c r="H3467" t="str">
        <f>VLOOKUP(B3467,indexy!$A$44:$D$234,3,FALSE)</f>
        <v>RWE GY Equity</v>
      </c>
      <c r="J3467" s="256">
        <v>40848</v>
      </c>
      <c r="K3467" s="424">
        <v>54.850999999999999</v>
      </c>
      <c r="L3467" s="37">
        <f t="shared" si="125"/>
        <v>-0.45149000000000006</v>
      </c>
    </row>
    <row r="3468" spans="1:12" hidden="1" outlineLevel="1" x14ac:dyDescent="0.25">
      <c r="A3468" s="1002">
        <v>0.04</v>
      </c>
      <c r="B3468" s="996" t="s">
        <v>3792</v>
      </c>
      <c r="C3468" s="1008">
        <v>61.375999999999998</v>
      </c>
      <c r="D3468" s="908">
        <v>30.42</v>
      </c>
      <c r="E3468" s="709">
        <v>-0.50436652763295098</v>
      </c>
      <c r="F3468" s="946">
        <v>-2.0174661105318039E-2</v>
      </c>
      <c r="G3468" s="78"/>
      <c r="H3468" t="str">
        <f>VLOOKUP(B3468,indexy!$A$44:$D$234,3,FALSE)</f>
        <v>CMA UN Equity</v>
      </c>
      <c r="J3468" s="256">
        <v>40878</v>
      </c>
      <c r="K3468" s="424">
        <v>55.191200000000002</v>
      </c>
      <c r="L3468" s="37">
        <f t="shared" si="125"/>
        <v>-0.44808799999999993</v>
      </c>
    </row>
    <row r="3469" spans="1:12" hidden="1" outlineLevel="1" x14ac:dyDescent="0.25">
      <c r="A3469" s="1002">
        <v>0.03</v>
      </c>
      <c r="B3469" s="996" t="s">
        <v>4110</v>
      </c>
      <c r="C3469" s="1008">
        <v>44.901499999999999</v>
      </c>
      <c r="D3469" s="908">
        <v>52.06</v>
      </c>
      <c r="E3469" s="709">
        <v>0.1594267452089575</v>
      </c>
      <c r="F3469" s="946">
        <v>4.7828023562687247E-3</v>
      </c>
      <c r="G3469" s="78"/>
      <c r="H3469" t="e">
        <f>VLOOKUP(B3469,indexy!$A$44:$D$234,3,FALSE)</f>
        <v>#N/A</v>
      </c>
      <c r="J3469" s="256">
        <v>40909</v>
      </c>
      <c r="K3469">
        <v>56.761200000000002</v>
      </c>
      <c r="L3469" s="37">
        <f t="shared" si="125"/>
        <v>-0.43238799999999999</v>
      </c>
    </row>
    <row r="3470" spans="1:12" hidden="1" outlineLevel="1" x14ac:dyDescent="0.25">
      <c r="A3470" s="1002">
        <v>0.03</v>
      </c>
      <c r="B3470" s="996" t="s">
        <v>1031</v>
      </c>
      <c r="C3470" s="1008">
        <v>9.1456999999999997</v>
      </c>
      <c r="D3470" s="908">
        <v>3.0750000000000002</v>
      </c>
      <c r="E3470" s="709">
        <v>-0.66377641951955568</v>
      </c>
      <c r="F3470" s="946">
        <v>-1.9913292585586669E-2</v>
      </c>
      <c r="G3470" s="78"/>
      <c r="H3470" t="str">
        <f>VLOOKUP(B3470,indexy!$A$44:$D$234,3,FALSE)</f>
        <v>IBE SQ Equity</v>
      </c>
      <c r="J3470" s="256">
        <v>40940</v>
      </c>
      <c r="K3470" s="424">
        <v>59.119</v>
      </c>
      <c r="L3470" s="37">
        <f t="shared" si="125"/>
        <v>-0.40881000000000001</v>
      </c>
    </row>
    <row r="3471" spans="1:12" hidden="1" outlineLevel="1" x14ac:dyDescent="0.25">
      <c r="A3471" s="1002">
        <v>0.02</v>
      </c>
      <c r="B3471" s="996" t="s">
        <v>281</v>
      </c>
      <c r="C3471" s="1008">
        <v>37.128</v>
      </c>
      <c r="D3471" s="908">
        <v>7.5</v>
      </c>
      <c r="E3471" s="709">
        <v>-0.79799612152553334</v>
      </c>
      <c r="F3471" s="946">
        <v>-1.5959922430510667E-2</v>
      </c>
      <c r="G3471" s="78"/>
      <c r="H3471" t="str">
        <f>VLOOKUP(B3471,indexy!$A$44:$D$234,3,FALSE)</f>
        <v>KEY UN Equity</v>
      </c>
      <c r="J3471" s="256">
        <v>40969</v>
      </c>
      <c r="K3471">
        <v>58.5154</v>
      </c>
      <c r="L3471" s="37">
        <f t="shared" si="125"/>
        <v>-0.41484600000000005</v>
      </c>
    </row>
    <row r="3472" spans="1:12" hidden="1" outlineLevel="1" x14ac:dyDescent="0.25">
      <c r="A3472" s="1002">
        <v>0.03</v>
      </c>
      <c r="B3472" s="996" t="s">
        <v>2984</v>
      </c>
      <c r="C3472" s="1008">
        <v>18.475999999999999</v>
      </c>
      <c r="D3472" s="908">
        <v>4.6020000000000003</v>
      </c>
      <c r="E3472" s="709">
        <v>-0.75092011257848013</v>
      </c>
      <c r="F3472" s="946">
        <v>-2.2527603377354401E-2</v>
      </c>
      <c r="G3472" s="78"/>
      <c r="H3472" t="str">
        <f>VLOOKUP(B3472,indexy!$A$44:$D$234,3,FALSE)</f>
        <v>BBVA SM Equity</v>
      </c>
      <c r="J3472" s="256">
        <v>41000</v>
      </c>
      <c r="K3472">
        <v>56.367100000000001</v>
      </c>
      <c r="L3472" s="37">
        <f t="shared" si="125"/>
        <v>-0.43632899999999997</v>
      </c>
    </row>
    <row r="3473" spans="1:12" hidden="1" outlineLevel="1" x14ac:dyDescent="0.25">
      <c r="A3473" s="1002">
        <v>0.03</v>
      </c>
      <c r="B3473" s="996" t="s">
        <v>2166</v>
      </c>
      <c r="C3473" s="1008">
        <v>141.05000000000001</v>
      </c>
      <c r="D3473" s="908">
        <v>16.059999999999999</v>
      </c>
      <c r="E3473" s="709">
        <v>-0.88613966678482814</v>
      </c>
      <c r="F3473" s="946">
        <v>-2.6584190003544842E-2</v>
      </c>
      <c r="G3473" s="78"/>
      <c r="H3473" t="str">
        <f>VLOOKUP(B3473,indexy!$A$44:$D$234,3,FALSE)</f>
        <v>GLE FP Equity</v>
      </c>
      <c r="J3473" s="256">
        <v>41030</v>
      </c>
      <c r="K3473">
        <v>53.112200000000001</v>
      </c>
      <c r="L3473" s="37">
        <f t="shared" si="125"/>
        <v>-0.46887800000000002</v>
      </c>
    </row>
    <row r="3474" spans="1:12" hidden="1" outlineLevel="1" x14ac:dyDescent="0.25">
      <c r="A3474" s="1002">
        <v>0.02</v>
      </c>
      <c r="B3474" s="996" t="s">
        <v>3656</v>
      </c>
      <c r="C3474" s="1008">
        <v>151.52500000000001</v>
      </c>
      <c r="D3474" s="908">
        <v>143.30000000000001</v>
      </c>
      <c r="E3474" s="709">
        <v>-5.4281471704339168E-2</v>
      </c>
      <c r="F3474" s="946">
        <v>-1.0856294340867833E-3</v>
      </c>
      <c r="G3474" s="78"/>
      <c r="H3474" t="str">
        <f>VLOOKUP(B3474,indexy!$A$44:$D$234,3,FALSE)</f>
        <v>SKFB SS Equity</v>
      </c>
      <c r="J3474" s="264" t="s">
        <v>2465</v>
      </c>
      <c r="K3474" s="412"/>
      <c r="L3474" s="261">
        <f>AVERAGE(L3456:L3473)</f>
        <v>-0.39704877777777781</v>
      </c>
    </row>
    <row r="3475" spans="1:12" hidden="1" outlineLevel="1" x14ac:dyDescent="0.25">
      <c r="A3475" s="1002">
        <v>0.03</v>
      </c>
      <c r="B3475" s="996" t="s">
        <v>901</v>
      </c>
      <c r="C3475" s="1008">
        <v>1583.3</v>
      </c>
      <c r="D3475" s="908">
        <v>3058.5</v>
      </c>
      <c r="E3475" s="709">
        <v>0.93172487841849305</v>
      </c>
      <c r="F3475" s="946">
        <v>2.795174635255479E-2</v>
      </c>
      <c r="G3475" s="78"/>
      <c r="H3475" t="str">
        <f>VLOOKUP(B3475,indexy!$A$44:$D$234,3,FALSE)</f>
        <v>BATS LN Equity</v>
      </c>
      <c r="J3475" s="264" t="s">
        <v>1154</v>
      </c>
      <c r="K3475" s="412"/>
      <c r="L3475" s="261">
        <f>L3474*parametry!N135</f>
        <v>-0.33352097333333336</v>
      </c>
    </row>
    <row r="3476" spans="1:12" hidden="1" outlineLevel="1" x14ac:dyDescent="0.25">
      <c r="A3476" s="1002">
        <v>0.02</v>
      </c>
      <c r="B3476" s="996" t="s">
        <v>4025</v>
      </c>
      <c r="C3476" s="1008">
        <v>60.762</v>
      </c>
      <c r="D3476" s="908">
        <v>37.43</v>
      </c>
      <c r="E3476" s="709">
        <v>-0.38398999374609133</v>
      </c>
      <c r="F3476" s="946">
        <v>-7.679799874921827E-3</v>
      </c>
      <c r="G3476" s="78"/>
      <c r="H3476" t="str">
        <f>VLOOKUP(B3476,indexy!$A$44:$D$234,3,FALSE)</f>
        <v>MBG GR Equity</v>
      </c>
      <c r="J3476" s="256"/>
    </row>
    <row r="3477" spans="1:12" hidden="1" outlineLevel="1" x14ac:dyDescent="0.25">
      <c r="A3477" s="1002">
        <v>0.02</v>
      </c>
      <c r="B3477" s="996" t="s">
        <v>1709</v>
      </c>
      <c r="C3477" s="1008">
        <v>128.47499999999999</v>
      </c>
      <c r="D3477" s="908">
        <v>90.5</v>
      </c>
      <c r="E3477" s="709">
        <v>-0.2955827982097684</v>
      </c>
      <c r="F3477" s="946">
        <v>-5.9116559641953685E-3</v>
      </c>
      <c r="G3477" s="78"/>
      <c r="H3477" t="str">
        <f>VLOOKUP(B3477,indexy!$A$44:$D$234,3,FALSE)</f>
        <v>SAND SS Equity</v>
      </c>
      <c r="J3477" s="256"/>
    </row>
    <row r="3478" spans="1:12" hidden="1" outlineLevel="1" x14ac:dyDescent="0.25">
      <c r="A3478" s="1002">
        <v>0.03</v>
      </c>
      <c r="B3478" s="996" t="s">
        <v>3020</v>
      </c>
      <c r="C3478" s="1008">
        <v>49.222999999999999</v>
      </c>
      <c r="D3478" s="908">
        <v>51.07</v>
      </c>
      <c r="E3478" s="709">
        <v>3.7523109115657372E-2</v>
      </c>
      <c r="F3478" s="946">
        <v>1.1256932734697211E-3</v>
      </c>
      <c r="G3478" s="78"/>
      <c r="H3478" t="str">
        <f>VLOOKUP(B3478,indexy!$A$44:$D$234,3,FALSE)</f>
        <v>BAYN GR Equity</v>
      </c>
      <c r="J3478" s="256"/>
    </row>
    <row r="3479" spans="1:12" hidden="1" outlineLevel="1" x14ac:dyDescent="0.25">
      <c r="A3479" s="1002">
        <v>0.03</v>
      </c>
      <c r="B3479" s="996" t="s">
        <v>181</v>
      </c>
      <c r="C3479" s="1008">
        <v>116.43</v>
      </c>
      <c r="D3479" s="908">
        <v>49.04</v>
      </c>
      <c r="E3479" s="709">
        <v>-0.57880271407712791</v>
      </c>
      <c r="F3479" s="946">
        <v>-1.7364081422313837E-2</v>
      </c>
      <c r="G3479" s="78"/>
      <c r="H3479" t="e">
        <f>VLOOKUP(B3479,indexy!$A$44:$D$234,3,FALSE)</f>
        <v>#N/A</v>
      </c>
      <c r="J3479" s="256"/>
    </row>
    <row r="3480" spans="1:12" hidden="1" outlineLevel="1" x14ac:dyDescent="0.25">
      <c r="A3480" s="1002">
        <v>0.03</v>
      </c>
      <c r="B3480" s="996" t="s">
        <v>279</v>
      </c>
      <c r="C3480" s="1008">
        <v>49.858499999999999</v>
      </c>
      <c r="D3480" s="908">
        <v>43.07</v>
      </c>
      <c r="E3480" s="709">
        <v>-0.13615531955433879</v>
      </c>
      <c r="F3480" s="946">
        <v>-4.0846595866301637E-3</v>
      </c>
      <c r="G3480" s="78"/>
      <c r="H3480" t="str">
        <f>VLOOKUP(B3480,indexy!$A$44:$D$234,3,FALSE)</f>
        <v>SU FP Equity</v>
      </c>
      <c r="J3480" s="256"/>
    </row>
    <row r="3481" spans="1:12" hidden="1" outlineLevel="1" x14ac:dyDescent="0.25">
      <c r="A3481" s="1002">
        <v>0.03</v>
      </c>
      <c r="B3481" s="996" t="s">
        <v>1526</v>
      </c>
      <c r="C3481" s="1008">
        <v>95.891000000000005</v>
      </c>
      <c r="D3481" s="908">
        <v>12.39</v>
      </c>
      <c r="E3481" s="709">
        <v>-0.87079079371369572</v>
      </c>
      <c r="F3481" s="946">
        <v>-2.6123723811410871E-2</v>
      </c>
      <c r="G3481" s="78"/>
      <c r="H3481" t="str">
        <f>VLOOKUP(B3481,indexy!$A$44:$D$234,3,FALSE)</f>
        <v>KBC BB Equity</v>
      </c>
      <c r="J3481" s="256"/>
    </row>
    <row r="3482" spans="1:12" hidden="1" outlineLevel="1" x14ac:dyDescent="0.25">
      <c r="A3482" s="1002">
        <v>0.02</v>
      </c>
      <c r="B3482" s="996" t="s">
        <v>4064</v>
      </c>
      <c r="C3482" s="1008">
        <v>58.070999999999998</v>
      </c>
      <c r="D3482" s="908">
        <v>40.950000000000003</v>
      </c>
      <c r="E3482" s="709">
        <v>-0.29482874412357274</v>
      </c>
      <c r="F3482" s="946">
        <v>-5.8965748824714552E-3</v>
      </c>
      <c r="G3482" s="78"/>
      <c r="H3482" t="str">
        <f>VLOOKUP(B3482,indexy!$A$44:$D$234,3,FALSE)</f>
        <v>LLY UN Equity</v>
      </c>
      <c r="J3482" s="256"/>
    </row>
    <row r="3483" spans="1:12" hidden="1" outlineLevel="1" x14ac:dyDescent="0.25">
      <c r="A3483" s="1002">
        <v>0.02</v>
      </c>
      <c r="B3483" s="996" t="s">
        <v>280</v>
      </c>
      <c r="C3483" s="1008">
        <v>56.924999999999997</v>
      </c>
      <c r="D3483" s="908">
        <v>36.94</v>
      </c>
      <c r="E3483" s="709">
        <v>-0.35107597716293371</v>
      </c>
      <c r="F3483" s="946">
        <v>-7.0215195432586745E-3</v>
      </c>
      <c r="G3483" s="78"/>
      <c r="H3483" t="str">
        <f>VLOOKUP(B3483,indexy!$A$44:$D$234,3,FALSE)</f>
        <v>AKZA NA Equity</v>
      </c>
      <c r="J3483" s="256"/>
    </row>
    <row r="3484" spans="1:12" hidden="1" outlineLevel="1" x14ac:dyDescent="0.25">
      <c r="A3484" s="1002">
        <v>0.03</v>
      </c>
      <c r="B3484" s="996" t="s">
        <v>51</v>
      </c>
      <c r="C3484" s="1008">
        <v>74.093999999999994</v>
      </c>
      <c r="D3484" s="908">
        <v>28.62</v>
      </c>
      <c r="E3484" s="709">
        <v>-0.61373390557939911</v>
      </c>
      <c r="F3484" s="946">
        <v>-1.8412017167381972E-2</v>
      </c>
      <c r="G3484" s="78"/>
      <c r="H3484" t="str">
        <f>VLOOKUP(B3484,indexy!$A$44:$D$234,3,FALSE)</f>
        <v>SGO FP Equity</v>
      </c>
      <c r="J3484" s="256"/>
    </row>
    <row r="3485" spans="1:12" hidden="1" outlineLevel="1" x14ac:dyDescent="0.25">
      <c r="A3485" s="1004">
        <v>0.03</v>
      </c>
      <c r="B3485" s="997" t="s">
        <v>3022</v>
      </c>
      <c r="C3485" s="1009">
        <v>7893</v>
      </c>
      <c r="D3485" s="715">
        <v>3275</v>
      </c>
      <c r="E3485" s="716">
        <v>-0.58507538325098185</v>
      </c>
      <c r="F3485" s="1023">
        <v>-1.7552261497529455E-2</v>
      </c>
      <c r="G3485" s="78"/>
      <c r="H3485" t="str">
        <f>VLOOKUP(B3485,indexy!$A$44:$D$234,3,FALSE)</f>
        <v>4502 JT Equity</v>
      </c>
    </row>
    <row r="3486" spans="1:12" hidden="1" outlineLevel="1" x14ac:dyDescent="0.25">
      <c r="A3486" s="749"/>
      <c r="B3486" s="750"/>
      <c r="C3486" s="727"/>
      <c r="D3486" s="727"/>
      <c r="E3486" s="716"/>
      <c r="F3486" s="770">
        <v>-0.47907907551890944</v>
      </c>
      <c r="G3486" s="78"/>
    </row>
    <row r="3487" spans="1:12" collapsed="1" x14ac:dyDescent="0.25">
      <c r="A3487" s="3801" t="s">
        <v>1689</v>
      </c>
      <c r="B3487" s="3802"/>
      <c r="C3487" s="3802"/>
      <c r="D3487" s="3802"/>
      <c r="E3487" s="721"/>
      <c r="F3487" s="722">
        <v>0.02</v>
      </c>
      <c r="G3487" s="97" t="s">
        <v>781</v>
      </c>
    </row>
    <row r="3488" spans="1:12" x14ac:dyDescent="0.25">
      <c r="A3488" s="1"/>
      <c r="B3488" s="1"/>
      <c r="C3488" s="1"/>
      <c r="D3488" s="1"/>
      <c r="E3488" s="1"/>
      <c r="F3488" s="1848"/>
      <c r="G3488" s="78"/>
    </row>
    <row r="3489" spans="1:14" hidden="1" outlineLevel="1" x14ac:dyDescent="0.25">
      <c r="A3489" s="689" t="s">
        <v>113</v>
      </c>
      <c r="B3489" s="689" t="s">
        <v>114</v>
      </c>
      <c r="C3489" s="689" t="s">
        <v>112</v>
      </c>
      <c r="D3489" s="689" t="s">
        <v>116</v>
      </c>
      <c r="E3489" s="689" t="s">
        <v>117</v>
      </c>
      <c r="F3489" s="1188" t="s">
        <v>121</v>
      </c>
      <c r="G3489" s="78"/>
    </row>
    <row r="3490" spans="1:14" hidden="1" outlineLevel="1" x14ac:dyDescent="0.25">
      <c r="A3490" s="690">
        <v>1</v>
      </c>
      <c r="B3490" s="691" t="s">
        <v>252</v>
      </c>
      <c r="C3490" s="692">
        <v>100</v>
      </c>
      <c r="D3490" s="692"/>
      <c r="E3490" s="693"/>
      <c r="F3490" s="694"/>
      <c r="G3490" s="78"/>
    </row>
    <row r="3491" spans="1:14" hidden="1" outlineLevel="1" x14ac:dyDescent="0.25">
      <c r="A3491" s="695"/>
      <c r="B3491" s="695"/>
      <c r="C3491" s="696"/>
      <c r="D3491" s="697" t="s">
        <v>3702</v>
      </c>
      <c r="E3491" s="698">
        <f>indexy!$B$2</f>
        <v>45379</v>
      </c>
      <c r="F3491" s="699"/>
      <c r="G3491" s="78"/>
    </row>
    <row r="3492" spans="1:14" hidden="1" outlineLevel="1" x14ac:dyDescent="0.25">
      <c r="A3492" s="689" t="s">
        <v>4156</v>
      </c>
      <c r="B3492" s="689" t="s">
        <v>4153</v>
      </c>
      <c r="C3492" s="497" t="s">
        <v>112</v>
      </c>
      <c r="D3492" s="495" t="s">
        <v>4155</v>
      </c>
      <c r="E3492" s="689" t="s">
        <v>4154</v>
      </c>
      <c r="F3492" s="1021" t="s">
        <v>2519</v>
      </c>
      <c r="G3492" s="78"/>
      <c r="J3492" s="496" t="s">
        <v>4153</v>
      </c>
      <c r="K3492" s="497" t="s">
        <v>112</v>
      </c>
      <c r="L3492" s="501" t="s">
        <v>4155</v>
      </c>
      <c r="M3492" s="496" t="s">
        <v>4154</v>
      </c>
      <c r="N3492" s="495" t="s">
        <v>2519</v>
      </c>
    </row>
    <row r="3493" spans="1:14" hidden="1" outlineLevel="1" x14ac:dyDescent="0.25">
      <c r="A3493" s="999">
        <v>0.04</v>
      </c>
      <c r="B3493" s="1000" t="s">
        <v>1993</v>
      </c>
      <c r="C3493" s="1007">
        <v>69.885000000000005</v>
      </c>
      <c r="D3493" s="803">
        <v>89.19</v>
      </c>
      <c r="E3493" s="705">
        <f>D3493/C3493-1</f>
        <v>0.27623953638119758</v>
      </c>
      <c r="F3493" s="1021">
        <f>E3493*A3493</f>
        <v>1.1049581455247903E-2</v>
      </c>
      <c r="G3493" s="78"/>
      <c r="H3493" t="s">
        <v>2812</v>
      </c>
      <c r="I3493" s="39" t="s">
        <v>3533</v>
      </c>
      <c r="J3493" s="391" t="s">
        <v>1993</v>
      </c>
      <c r="K3493" s="392">
        <v>69.885000000000005</v>
      </c>
      <c r="L3493" s="377">
        <v>89.19</v>
      </c>
      <c r="M3493" s="393">
        <v>0.27623953638119758</v>
      </c>
      <c r="N3493" s="183" t="e">
        <v>#VALUE!</v>
      </c>
    </row>
    <row r="3494" spans="1:14" hidden="1" outlineLevel="1" x14ac:dyDescent="0.25">
      <c r="A3494" s="1002">
        <v>0.03</v>
      </c>
      <c r="B3494" s="996" t="s">
        <v>901</v>
      </c>
      <c r="C3494" s="1008">
        <f>15.926*100</f>
        <v>1592.6</v>
      </c>
      <c r="D3494" s="908">
        <v>2728.5</v>
      </c>
      <c r="E3494" s="709">
        <f t="shared" ref="E3494:E3522" si="126">D3494/C3494-1</f>
        <v>0.71323621750596522</v>
      </c>
      <c r="F3494" s="946">
        <f t="shared" ref="F3494:F3522" si="127">E3494*A3494</f>
        <v>2.1397086525178955E-2</v>
      </c>
      <c r="G3494" s="78"/>
      <c r="H3494" t="s">
        <v>531</v>
      </c>
      <c r="J3494" s="394" t="s">
        <v>901</v>
      </c>
      <c r="K3494" s="395">
        <v>1592.6</v>
      </c>
      <c r="L3494" s="382">
        <v>2728.5</v>
      </c>
      <c r="M3494" s="369">
        <v>0.71323621750596522</v>
      </c>
      <c r="N3494" s="184">
        <v>0</v>
      </c>
    </row>
    <row r="3495" spans="1:14" hidden="1" outlineLevel="1" x14ac:dyDescent="0.25">
      <c r="A3495" s="1002">
        <v>0.05</v>
      </c>
      <c r="B3495" s="996" t="s">
        <v>3405</v>
      </c>
      <c r="C3495" s="1008">
        <v>56.896000000000001</v>
      </c>
      <c r="D3495" s="908">
        <v>17.14</v>
      </c>
      <c r="E3495" s="709">
        <f t="shared" si="126"/>
        <v>-0.69874859392575928</v>
      </c>
      <c r="F3495" s="946">
        <f t="shared" si="127"/>
        <v>-3.4937429696287964E-2</v>
      </c>
      <c r="G3495" s="78"/>
      <c r="H3495" t="s">
        <v>2747</v>
      </c>
      <c r="J3495" s="394" t="s">
        <v>3405</v>
      </c>
      <c r="K3495" s="395">
        <v>56.896000000000001</v>
      </c>
      <c r="L3495" s="382">
        <v>17.14</v>
      </c>
      <c r="M3495" s="369">
        <v>-0.69874859392575928</v>
      </c>
      <c r="N3495" s="184">
        <v>0</v>
      </c>
    </row>
    <row r="3496" spans="1:14" s="39" customFormat="1" hidden="1" outlineLevel="1" x14ac:dyDescent="0.25">
      <c r="A3496" s="1002">
        <v>0.02</v>
      </c>
      <c r="B3496" s="1012" t="s">
        <v>3824</v>
      </c>
      <c r="C3496" s="1008">
        <v>1869.5</v>
      </c>
      <c r="D3496" s="908">
        <v>143.5</v>
      </c>
      <c r="E3496" s="709">
        <f t="shared" si="126"/>
        <v>-0.92324150842471253</v>
      </c>
      <c r="F3496" s="946">
        <f t="shared" si="127"/>
        <v>-1.8464830168494251E-2</v>
      </c>
      <c r="G3496" s="78"/>
      <c r="H3496" t="e">
        <v>#N/A</v>
      </c>
      <c r="J3496" s="396" t="s">
        <v>3824</v>
      </c>
      <c r="K3496" s="395">
        <v>1869.5</v>
      </c>
      <c r="L3496" s="382">
        <v>143.5</v>
      </c>
      <c r="M3496" s="397">
        <v>-0.92324150842471253</v>
      </c>
      <c r="N3496" s="185">
        <v>0</v>
      </c>
    </row>
    <row r="3497" spans="1:14" s="39" customFormat="1" hidden="1" outlineLevel="1" x14ac:dyDescent="0.25">
      <c r="A3497" s="1002">
        <v>0.03</v>
      </c>
      <c r="B3497" s="996" t="s">
        <v>4437</v>
      </c>
      <c r="C3497" s="1008">
        <v>968.17</v>
      </c>
      <c r="D3497" s="908">
        <v>710</v>
      </c>
      <c r="E3497" s="709">
        <f t="shared" si="126"/>
        <v>-0.26665771507070035</v>
      </c>
      <c r="F3497" s="946">
        <f t="shared" si="127"/>
        <v>-7.9997314521210103E-3</v>
      </c>
      <c r="G3497" s="78"/>
      <c r="H3497" t="s">
        <v>3825</v>
      </c>
      <c r="J3497" s="398" t="s">
        <v>4437</v>
      </c>
      <c r="K3497" s="395">
        <v>968.17</v>
      </c>
      <c r="L3497" s="382">
        <v>710</v>
      </c>
      <c r="M3497" s="397">
        <v>-0.26665771507070035</v>
      </c>
      <c r="N3497" s="185">
        <v>0</v>
      </c>
    </row>
    <row r="3498" spans="1:14" s="39" customFormat="1" hidden="1" outlineLevel="1" x14ac:dyDescent="0.25">
      <c r="A3498" s="1002">
        <v>0.05</v>
      </c>
      <c r="B3498" s="996" t="s">
        <v>3406</v>
      </c>
      <c r="C3498" s="1008">
        <f>10.3885*100</f>
        <v>1038.8500000000001</v>
      </c>
      <c r="D3498" s="908">
        <v>1232</v>
      </c>
      <c r="E3498" s="709">
        <f t="shared" si="126"/>
        <v>0.18592674592097014</v>
      </c>
      <c r="F3498" s="946">
        <f t="shared" si="127"/>
        <v>9.2963372960485069E-3</v>
      </c>
      <c r="G3498" s="78"/>
      <c r="H3498" t="s">
        <v>2105</v>
      </c>
      <c r="J3498" s="398" t="s">
        <v>3406</v>
      </c>
      <c r="K3498" s="395">
        <v>1038.8500000000001</v>
      </c>
      <c r="L3498" s="382">
        <v>1232</v>
      </c>
      <c r="M3498" s="397">
        <v>0.18592674592097014</v>
      </c>
      <c r="N3498" s="185">
        <v>0</v>
      </c>
    </row>
    <row r="3499" spans="1:14" s="39" customFormat="1" hidden="1" outlineLevel="1" x14ac:dyDescent="0.25">
      <c r="A3499" s="1002">
        <v>0.02</v>
      </c>
      <c r="B3499" s="996" t="s">
        <v>4387</v>
      </c>
      <c r="C3499" s="1008">
        <f>108.154/3</f>
        <v>36.051333333333332</v>
      </c>
      <c r="D3499" s="908">
        <v>16.355</v>
      </c>
      <c r="E3499" s="709">
        <f t="shared" si="126"/>
        <v>-0.54634132810621883</v>
      </c>
      <c r="F3499" s="946">
        <f t="shared" si="127"/>
        <v>-1.0926826562124377E-2</v>
      </c>
      <c r="G3499" s="78"/>
      <c r="H3499" t="s">
        <v>3744</v>
      </c>
      <c r="J3499" s="398" t="s">
        <v>4387</v>
      </c>
      <c r="K3499" s="395">
        <v>36.051333333333332</v>
      </c>
      <c r="L3499" s="382">
        <v>16.355</v>
      </c>
      <c r="M3499" s="397">
        <v>-0.54634132810621883</v>
      </c>
      <c r="N3499" s="185">
        <v>0</v>
      </c>
    </row>
    <row r="3500" spans="1:14" s="39" customFormat="1" hidden="1" outlineLevel="1" x14ac:dyDescent="0.25">
      <c r="A3500" s="1002">
        <v>0.05</v>
      </c>
      <c r="B3500" s="996" t="s">
        <v>3798</v>
      </c>
      <c r="C3500" s="1008">
        <v>8.2630999999999997</v>
      </c>
      <c r="D3500" s="908">
        <v>3.3220000000000001</v>
      </c>
      <c r="E3500" s="709">
        <f t="shared" si="126"/>
        <v>-0.59797170553424261</v>
      </c>
      <c r="F3500" s="946">
        <f t="shared" si="127"/>
        <v>-2.9898585276712131E-2</v>
      </c>
      <c r="G3500" s="78"/>
      <c r="H3500" t="s">
        <v>4122</v>
      </c>
      <c r="J3500" s="398" t="s">
        <v>3798</v>
      </c>
      <c r="K3500" s="395">
        <v>8.2630999999999997</v>
      </c>
      <c r="L3500" s="382">
        <v>3.3220000000000001</v>
      </c>
      <c r="M3500" s="397">
        <v>-0.59797170553424261</v>
      </c>
      <c r="N3500" s="185">
        <v>0</v>
      </c>
    </row>
    <row r="3501" spans="1:14" s="39" customFormat="1" hidden="1" outlineLevel="1" x14ac:dyDescent="0.25">
      <c r="A3501" s="1002">
        <v>0.02</v>
      </c>
      <c r="B3501" s="996" t="s">
        <v>4438</v>
      </c>
      <c r="C3501" s="1008">
        <v>44.451999999999998</v>
      </c>
      <c r="D3501" s="908">
        <v>25.24</v>
      </c>
      <c r="E3501" s="709">
        <f t="shared" si="126"/>
        <v>-0.43219652659047958</v>
      </c>
      <c r="F3501" s="946">
        <f t="shared" si="127"/>
        <v>-8.6439305318095922E-3</v>
      </c>
      <c r="G3501" s="78"/>
      <c r="H3501" t="s">
        <v>3826</v>
      </c>
      <c r="J3501" s="398" t="s">
        <v>4438</v>
      </c>
      <c r="K3501" s="395">
        <v>44.451999999999998</v>
      </c>
      <c r="L3501" s="382">
        <v>25.24</v>
      </c>
      <c r="M3501" s="397">
        <v>-0.43219652659047958</v>
      </c>
      <c r="N3501" s="185">
        <v>0</v>
      </c>
    </row>
    <row r="3502" spans="1:14" s="39" customFormat="1" hidden="1" outlineLevel="1" x14ac:dyDescent="0.25">
      <c r="A3502" s="1002">
        <v>0.02</v>
      </c>
      <c r="B3502" s="996" t="s">
        <v>4439</v>
      </c>
      <c r="C3502" s="1008">
        <v>47.466000000000001</v>
      </c>
      <c r="D3502" s="908">
        <v>64.36</v>
      </c>
      <c r="E3502" s="709">
        <f t="shared" si="126"/>
        <v>0.35591792019550827</v>
      </c>
      <c r="F3502" s="946">
        <f t="shared" si="127"/>
        <v>7.1183584039101657E-3</v>
      </c>
      <c r="G3502" s="78"/>
      <c r="H3502" t="s">
        <v>3827</v>
      </c>
      <c r="J3502" s="398" t="s">
        <v>4439</v>
      </c>
      <c r="K3502" s="395">
        <v>47.466000000000001</v>
      </c>
      <c r="L3502" s="382">
        <v>64.36</v>
      </c>
      <c r="M3502" s="397">
        <v>0.35591792019550827</v>
      </c>
      <c r="N3502" s="185">
        <v>0</v>
      </c>
    </row>
    <row r="3503" spans="1:14" s="39" customFormat="1" hidden="1" outlineLevel="1" x14ac:dyDescent="0.25">
      <c r="A3503" s="1002">
        <v>0.05</v>
      </c>
      <c r="B3503" s="996" t="s">
        <v>44</v>
      </c>
      <c r="C3503" s="1008">
        <v>5.8692000000000002</v>
      </c>
      <c r="D3503" s="908">
        <v>1.19</v>
      </c>
      <c r="E3503" s="709">
        <f t="shared" si="126"/>
        <v>-0.79724664349485452</v>
      </c>
      <c r="F3503" s="946">
        <f t="shared" si="127"/>
        <v>-3.9862332174742728E-2</v>
      </c>
      <c r="G3503" s="78"/>
      <c r="H3503" t="s">
        <v>204</v>
      </c>
      <c r="J3503" s="398" t="s">
        <v>44</v>
      </c>
      <c r="K3503" s="395">
        <v>5.8692000000000002</v>
      </c>
      <c r="L3503" s="382">
        <v>1.19</v>
      </c>
      <c r="M3503" s="397">
        <v>-0.79724664349485452</v>
      </c>
      <c r="N3503" s="185">
        <v>0</v>
      </c>
    </row>
    <row r="3504" spans="1:14" s="39" customFormat="1" hidden="1" outlineLevel="1" x14ac:dyDescent="0.25">
      <c r="A3504" s="1002">
        <v>0.02</v>
      </c>
      <c r="B3504" s="996" t="s">
        <v>1526</v>
      </c>
      <c r="C3504" s="1008">
        <v>95.165999999999997</v>
      </c>
      <c r="D3504" s="908">
        <v>17.5</v>
      </c>
      <c r="E3504" s="709">
        <f t="shared" si="126"/>
        <v>-0.81611079587247548</v>
      </c>
      <c r="F3504" s="946">
        <f t="shared" si="127"/>
        <v>-1.632221591744951E-2</v>
      </c>
      <c r="G3504" s="78"/>
      <c r="H3504" t="s">
        <v>4146</v>
      </c>
      <c r="J3504" s="398" t="s">
        <v>1526</v>
      </c>
      <c r="K3504" s="395">
        <v>95.165999999999997</v>
      </c>
      <c r="L3504" s="382">
        <v>17.5</v>
      </c>
      <c r="M3504" s="397">
        <v>-0.81611079587247548</v>
      </c>
      <c r="N3504" s="185">
        <v>0</v>
      </c>
    </row>
    <row r="3505" spans="1:14" s="39" customFormat="1" hidden="1" outlineLevel="1" x14ac:dyDescent="0.25">
      <c r="A3505" s="1002">
        <v>0.05</v>
      </c>
      <c r="B3505" s="996" t="s">
        <v>874</v>
      </c>
      <c r="C3505" s="1008">
        <f>2.732*100</f>
        <v>273.20000000000005</v>
      </c>
      <c r="D3505" s="908">
        <v>248.5</v>
      </c>
      <c r="E3505" s="709">
        <f t="shared" si="126"/>
        <v>-9.040995607613489E-2</v>
      </c>
      <c r="F3505" s="946">
        <f t="shared" si="127"/>
        <v>-4.5204978038067443E-3</v>
      </c>
      <c r="G3505" s="78"/>
      <c r="H3505" t="s">
        <v>4148</v>
      </c>
      <c r="J3505" s="398" t="s">
        <v>874</v>
      </c>
      <c r="K3505" s="395">
        <v>273.20000000000005</v>
      </c>
      <c r="L3505" s="382">
        <v>248.5</v>
      </c>
      <c r="M3505" s="397">
        <v>-9.040995607613489E-2</v>
      </c>
      <c r="N3505" s="185">
        <v>0</v>
      </c>
    </row>
    <row r="3506" spans="1:14" s="39" customFormat="1" hidden="1" outlineLevel="1" x14ac:dyDescent="0.25">
      <c r="A3506" s="1002">
        <v>0.05</v>
      </c>
      <c r="B3506" s="996" t="s">
        <v>4440</v>
      </c>
      <c r="C3506" s="1008">
        <f>3810.4</f>
        <v>3810.4</v>
      </c>
      <c r="D3506" s="908">
        <v>3436</v>
      </c>
      <c r="E3506" s="709">
        <f t="shared" si="126"/>
        <v>-9.825740079781653E-2</v>
      </c>
      <c r="F3506" s="946">
        <f t="shared" si="127"/>
        <v>-4.9128700398908265E-3</v>
      </c>
      <c r="G3506" s="78"/>
      <c r="H3506" t="e">
        <v>#N/A</v>
      </c>
      <c r="J3506" s="398" t="s">
        <v>4440</v>
      </c>
      <c r="K3506" s="395">
        <v>3810.4</v>
      </c>
      <c r="L3506" s="382">
        <v>3436</v>
      </c>
      <c r="M3506" s="397">
        <v>-9.825740079781653E-2</v>
      </c>
      <c r="N3506" s="185">
        <v>0</v>
      </c>
    </row>
    <row r="3507" spans="1:14" s="39" customFormat="1" hidden="1" outlineLevel="1" x14ac:dyDescent="0.25">
      <c r="A3507" s="1002">
        <v>0.02</v>
      </c>
      <c r="B3507" s="996" t="s">
        <v>3384</v>
      </c>
      <c r="C3507" s="1008">
        <v>53.692</v>
      </c>
      <c r="D3507" s="908">
        <v>31.93</v>
      </c>
      <c r="E3507" s="709">
        <f t="shared" si="126"/>
        <v>-0.40531177829099307</v>
      </c>
      <c r="F3507" s="946">
        <f t="shared" si="127"/>
        <v>-8.1062355658198613E-3</v>
      </c>
      <c r="G3507" s="78"/>
      <c r="H3507" t="e">
        <v>#N/A</v>
      </c>
      <c r="J3507" s="398" t="s">
        <v>3384</v>
      </c>
      <c r="K3507" s="395">
        <v>53.692</v>
      </c>
      <c r="L3507" s="382">
        <v>31.93</v>
      </c>
      <c r="M3507" s="397">
        <v>-0.40531177829099307</v>
      </c>
      <c r="N3507" s="185">
        <v>0</v>
      </c>
    </row>
    <row r="3508" spans="1:14" s="39" customFormat="1" hidden="1" outlineLevel="1" x14ac:dyDescent="0.25">
      <c r="A3508" s="1002">
        <v>0.02</v>
      </c>
      <c r="B3508" s="996" t="s">
        <v>4441</v>
      </c>
      <c r="C3508" s="1008">
        <v>21845.5</v>
      </c>
      <c r="D3508" s="908">
        <v>14900</v>
      </c>
      <c r="E3508" s="709">
        <f t="shared" si="126"/>
        <v>-0.31793733263143442</v>
      </c>
      <c r="F3508" s="946">
        <f t="shared" si="127"/>
        <v>-6.3587466526286883E-3</v>
      </c>
      <c r="G3508" s="78"/>
      <c r="H3508" t="s">
        <v>1045</v>
      </c>
      <c r="J3508" s="398" t="s">
        <v>4441</v>
      </c>
      <c r="K3508" s="395">
        <v>21845.5</v>
      </c>
      <c r="L3508" s="382">
        <v>14900</v>
      </c>
      <c r="M3508" s="397">
        <v>-0.31793733263143442</v>
      </c>
      <c r="N3508" s="185">
        <v>0</v>
      </c>
    </row>
    <row r="3509" spans="1:14" s="39" customFormat="1" hidden="1" outlineLevel="1" x14ac:dyDescent="0.25">
      <c r="A3509" s="1002">
        <v>0.04</v>
      </c>
      <c r="B3509" s="996" t="s">
        <v>2374</v>
      </c>
      <c r="C3509" s="1008">
        <v>3528.1</v>
      </c>
      <c r="D3509" s="908">
        <v>106</v>
      </c>
      <c r="E3509" s="709">
        <f t="shared" si="126"/>
        <v>-0.96995550012754739</v>
      </c>
      <c r="F3509" s="946">
        <f t="shared" si="127"/>
        <v>-3.8798220005101899E-2</v>
      </c>
      <c r="G3509" s="78"/>
      <c r="H3509" t="e">
        <v>#N/A</v>
      </c>
      <c r="J3509" s="398" t="s">
        <v>2374</v>
      </c>
      <c r="K3509" s="395">
        <v>3528.1</v>
      </c>
      <c r="L3509" s="382">
        <v>106</v>
      </c>
      <c r="M3509" s="397">
        <v>-0.96995550012754739</v>
      </c>
      <c r="N3509" s="185">
        <v>0</v>
      </c>
    </row>
    <row r="3510" spans="1:14" s="39" customFormat="1" hidden="1" outlineLevel="1" x14ac:dyDescent="0.25">
      <c r="A3510" s="1002">
        <v>0.02</v>
      </c>
      <c r="B3510" s="996" t="s">
        <v>4101</v>
      </c>
      <c r="C3510" s="1008">
        <v>8702.1</v>
      </c>
      <c r="D3510" s="908">
        <v>3248</v>
      </c>
      <c r="E3510" s="709">
        <f t="shared" si="126"/>
        <v>-0.62675675986256185</v>
      </c>
      <c r="F3510" s="946">
        <f t="shared" si="127"/>
        <v>-1.2535135197251237E-2</v>
      </c>
      <c r="G3510" s="78"/>
      <c r="H3510" t="s">
        <v>1046</v>
      </c>
      <c r="J3510" s="398" t="s">
        <v>4101</v>
      </c>
      <c r="K3510" s="395">
        <v>8702.1</v>
      </c>
      <c r="L3510" s="382">
        <v>3248</v>
      </c>
      <c r="M3510" s="397">
        <v>-0.62675675986256185</v>
      </c>
      <c r="N3510" s="185">
        <v>0</v>
      </c>
    </row>
    <row r="3511" spans="1:14" s="39" customFormat="1" hidden="1" outlineLevel="1" x14ac:dyDescent="0.25">
      <c r="A3511" s="1002">
        <v>0.02</v>
      </c>
      <c r="B3511" s="996" t="s">
        <v>3801</v>
      </c>
      <c r="C3511" s="1008">
        <v>82.468999999999994</v>
      </c>
      <c r="D3511" s="908">
        <v>27.72</v>
      </c>
      <c r="E3511" s="709">
        <f t="shared" si="126"/>
        <v>-0.66387369799561047</v>
      </c>
      <c r="F3511" s="946">
        <f t="shared" si="127"/>
        <v>-1.327747395991221E-2</v>
      </c>
      <c r="G3511" s="78"/>
      <c r="H3511" t="s">
        <v>2819</v>
      </c>
      <c r="J3511" s="398" t="s">
        <v>3801</v>
      </c>
      <c r="K3511" s="395">
        <v>82.468999999999994</v>
      </c>
      <c r="L3511" s="382">
        <v>27.72</v>
      </c>
      <c r="M3511" s="397">
        <v>-0.66387369799561047</v>
      </c>
      <c r="N3511" s="185">
        <v>0</v>
      </c>
    </row>
    <row r="3512" spans="1:14" s="39" customFormat="1" hidden="1" outlineLevel="1" x14ac:dyDescent="0.25">
      <c r="A3512" s="1002">
        <v>0.02</v>
      </c>
      <c r="B3512" s="996" t="s">
        <v>1187</v>
      </c>
      <c r="C3512" s="1008">
        <v>66.396000000000001</v>
      </c>
      <c r="D3512" s="908">
        <v>49.35</v>
      </c>
      <c r="E3512" s="709">
        <f t="shared" si="126"/>
        <v>-0.25673233327308875</v>
      </c>
      <c r="F3512" s="946">
        <f t="shared" si="127"/>
        <v>-5.1346466654617747E-3</v>
      </c>
      <c r="G3512" s="78"/>
      <c r="H3512" t="s">
        <v>3483</v>
      </c>
      <c r="J3512" s="398" t="s">
        <v>1187</v>
      </c>
      <c r="K3512" s="395">
        <v>66.396000000000001</v>
      </c>
      <c r="L3512" s="382">
        <v>49.35</v>
      </c>
      <c r="M3512" s="397">
        <v>-0.25673233327308875</v>
      </c>
      <c r="N3512" s="185">
        <v>0</v>
      </c>
    </row>
    <row r="3513" spans="1:14" s="39" customFormat="1" hidden="1" outlineLevel="1" x14ac:dyDescent="0.25">
      <c r="A3513" s="1002">
        <v>0.05</v>
      </c>
      <c r="B3513" s="996" t="s">
        <v>2166</v>
      </c>
      <c r="C3513" s="1008">
        <v>134.99100000000001</v>
      </c>
      <c r="D3513" s="908">
        <v>20</v>
      </c>
      <c r="E3513" s="709">
        <f t="shared" si="126"/>
        <v>-0.85184197465016187</v>
      </c>
      <c r="F3513" s="946">
        <f t="shared" si="127"/>
        <v>-4.2592098732508098E-2</v>
      </c>
      <c r="G3513" s="78"/>
      <c r="H3513" t="s">
        <v>4160</v>
      </c>
      <c r="J3513" s="398" t="s">
        <v>2166</v>
      </c>
      <c r="K3513" s="395">
        <v>134.99100000000001</v>
      </c>
      <c r="L3513" s="382">
        <v>20</v>
      </c>
      <c r="M3513" s="397">
        <v>-0.85184197465016187</v>
      </c>
      <c r="N3513" s="185">
        <v>0</v>
      </c>
    </row>
    <row r="3514" spans="1:14" s="39" customFormat="1" hidden="1" outlineLevel="1" x14ac:dyDescent="0.25">
      <c r="A3514" s="1002">
        <v>0.03</v>
      </c>
      <c r="B3514" s="996" t="s">
        <v>3381</v>
      </c>
      <c r="C3514" s="1008">
        <v>166.15</v>
      </c>
      <c r="D3514" s="908">
        <v>127</v>
      </c>
      <c r="E3514" s="709">
        <f t="shared" si="126"/>
        <v>-0.23563045440866692</v>
      </c>
      <c r="F3514" s="946">
        <f t="shared" si="127"/>
        <v>-7.0689136322600078E-3</v>
      </c>
      <c r="G3514" s="78"/>
      <c r="H3514" t="s">
        <v>1728</v>
      </c>
      <c r="J3514" s="398" t="s">
        <v>3381</v>
      </c>
      <c r="K3514" s="395">
        <v>166.15</v>
      </c>
      <c r="L3514" s="382">
        <v>127</v>
      </c>
      <c r="M3514" s="397">
        <v>-0.23563045440866692</v>
      </c>
      <c r="N3514" s="185">
        <v>0</v>
      </c>
    </row>
    <row r="3515" spans="1:14" s="39" customFormat="1" hidden="1" outlineLevel="1" x14ac:dyDescent="0.25">
      <c r="A3515" s="1002">
        <v>0.02</v>
      </c>
      <c r="B3515" s="996" t="s">
        <v>4338</v>
      </c>
      <c r="C3515" s="1008">
        <f>40.664*0.913785917</f>
        <v>37.158190528887999</v>
      </c>
      <c r="D3515" s="908">
        <v>22.44</v>
      </c>
      <c r="E3515" s="709">
        <f t="shared" si="126"/>
        <v>-0.39609545888531883</v>
      </c>
      <c r="F3515" s="946">
        <f t="shared" si="127"/>
        <v>-7.9219091777063769E-3</v>
      </c>
      <c r="G3515" s="78"/>
      <c r="H3515" t="s">
        <v>7229</v>
      </c>
      <c r="J3515" s="398" t="s">
        <v>4338</v>
      </c>
      <c r="K3515" s="395">
        <v>37.158190528887999</v>
      </c>
      <c r="L3515" s="382">
        <v>22.44</v>
      </c>
      <c r="M3515" s="397">
        <v>-0.39609545888531883</v>
      </c>
      <c r="N3515" s="185">
        <v>0</v>
      </c>
    </row>
    <row r="3516" spans="1:14" s="39" customFormat="1" hidden="1" outlineLevel="1" x14ac:dyDescent="0.25">
      <c r="A3516" s="1002">
        <v>0.05</v>
      </c>
      <c r="B3516" s="996" t="s">
        <v>1301</v>
      </c>
      <c r="C3516" s="1008">
        <v>19.259</v>
      </c>
      <c r="D3516" s="908">
        <v>7.5789999999999997</v>
      </c>
      <c r="E3516" s="709">
        <f t="shared" si="126"/>
        <v>-0.60646970247676413</v>
      </c>
      <c r="F3516" s="946">
        <f t="shared" si="127"/>
        <v>-3.0323485123838208E-2</v>
      </c>
      <c r="G3516" s="78"/>
      <c r="H3516" t="s">
        <v>1047</v>
      </c>
      <c r="J3516" s="398" t="s">
        <v>1301</v>
      </c>
      <c r="K3516" s="395">
        <v>19.259</v>
      </c>
      <c r="L3516" s="382">
        <v>7.5789999999999997</v>
      </c>
      <c r="M3516" s="397">
        <v>-0.60646970247676413</v>
      </c>
      <c r="N3516" s="185">
        <v>0</v>
      </c>
    </row>
    <row r="3517" spans="1:14" s="39" customFormat="1" hidden="1" outlineLevel="1" x14ac:dyDescent="0.25">
      <c r="A3517" s="1002">
        <v>0.05</v>
      </c>
      <c r="B3517" s="996" t="s">
        <v>6737</v>
      </c>
      <c r="C3517" s="1008">
        <v>23.574000000000002</v>
      </c>
      <c r="D3517" s="908">
        <v>17.399999999999999</v>
      </c>
      <c r="E3517" s="709">
        <f t="shared" si="126"/>
        <v>-0.26189870195978626</v>
      </c>
      <c r="F3517" s="946">
        <f t="shared" si="127"/>
        <v>-1.3094935097989313E-2</v>
      </c>
      <c r="G3517" s="78"/>
      <c r="H3517" t="e">
        <v>#N/A</v>
      </c>
      <c r="J3517" s="398" t="s">
        <v>1302</v>
      </c>
      <c r="K3517" s="395">
        <v>23.574000000000002</v>
      </c>
      <c r="L3517" s="382">
        <v>17.399999999999999</v>
      </c>
      <c r="M3517" s="397">
        <v>-0.26189870195978626</v>
      </c>
      <c r="N3517" s="185">
        <v>0</v>
      </c>
    </row>
    <row r="3518" spans="1:14" hidden="1" outlineLevel="1" x14ac:dyDescent="0.25">
      <c r="A3518" s="1002">
        <v>0.02</v>
      </c>
      <c r="B3518" s="996" t="s">
        <v>3383</v>
      </c>
      <c r="C3518" s="1008">
        <v>110.125</v>
      </c>
      <c r="D3518" s="908">
        <v>91.3</v>
      </c>
      <c r="E3518" s="709">
        <f t="shared" si="126"/>
        <v>-0.17094211123723047</v>
      </c>
      <c r="F3518" s="946">
        <f t="shared" si="127"/>
        <v>-3.4188422247446093E-3</v>
      </c>
      <c r="G3518" s="78"/>
      <c r="H3518" t="s">
        <v>3789</v>
      </c>
      <c r="J3518" s="394" t="s">
        <v>3383</v>
      </c>
      <c r="K3518" s="395">
        <v>110.125</v>
      </c>
      <c r="L3518" s="382">
        <v>91.3</v>
      </c>
      <c r="M3518" s="369">
        <v>-0.17094211123723047</v>
      </c>
      <c r="N3518" s="184">
        <v>0</v>
      </c>
    </row>
    <row r="3519" spans="1:14" hidden="1" outlineLevel="1" x14ac:dyDescent="0.25">
      <c r="A3519" s="1002">
        <v>0.02</v>
      </c>
      <c r="B3519" s="996" t="s">
        <v>583</v>
      </c>
      <c r="C3519" s="1008">
        <f>4.564*100</f>
        <v>456.4</v>
      </c>
      <c r="D3519" s="908">
        <v>378</v>
      </c>
      <c r="E3519" s="709">
        <f t="shared" si="126"/>
        <v>-0.17177914110429449</v>
      </c>
      <c r="F3519" s="946">
        <f t="shared" si="127"/>
        <v>-3.4355828220858898E-3</v>
      </c>
      <c r="G3519" s="78"/>
      <c r="H3519" t="s">
        <v>1594</v>
      </c>
      <c r="J3519" s="394" t="s">
        <v>583</v>
      </c>
      <c r="K3519" s="395">
        <v>456.4</v>
      </c>
      <c r="L3519" s="382">
        <v>378</v>
      </c>
      <c r="M3519" s="369">
        <v>-0.17177914110429449</v>
      </c>
      <c r="N3519" s="184">
        <v>0</v>
      </c>
    </row>
    <row r="3520" spans="1:14" s="39" customFormat="1" hidden="1" outlineLevel="1" x14ac:dyDescent="0.25">
      <c r="A3520" s="1002">
        <v>0.02</v>
      </c>
      <c r="B3520" s="996" t="s">
        <v>2631</v>
      </c>
      <c r="C3520" s="1008">
        <v>38.381</v>
      </c>
      <c r="D3520" s="908">
        <v>18.545000000000002</v>
      </c>
      <c r="E3520" s="709">
        <f t="shared" si="126"/>
        <v>-0.51681821734712485</v>
      </c>
      <c r="F3520" s="946">
        <f t="shared" si="127"/>
        <v>-1.0336364346942498E-2</v>
      </c>
      <c r="G3520" s="78"/>
      <c r="H3520" t="s">
        <v>1727</v>
      </c>
      <c r="J3520" s="398" t="s">
        <v>2631</v>
      </c>
      <c r="K3520" s="395">
        <v>38.381</v>
      </c>
      <c r="L3520" s="382">
        <v>18.545000000000002</v>
      </c>
      <c r="M3520" s="397">
        <v>-0.51681821734712485</v>
      </c>
      <c r="N3520" s="185">
        <v>0</v>
      </c>
    </row>
    <row r="3521" spans="1:14" s="39" customFormat="1" hidden="1" outlineLevel="1" x14ac:dyDescent="0.25">
      <c r="A3521" s="1002">
        <v>0.05</v>
      </c>
      <c r="B3521" s="996" t="s">
        <v>2628</v>
      </c>
      <c r="C3521" s="1008">
        <v>7.2438000000000002</v>
      </c>
      <c r="D3521" s="908">
        <v>0.80249999999999999</v>
      </c>
      <c r="E3521" s="709">
        <f t="shared" si="126"/>
        <v>-0.88921560506916264</v>
      </c>
      <c r="F3521" s="946">
        <f t="shared" si="127"/>
        <v>-4.4460780253458135E-2</v>
      </c>
      <c r="G3521" s="78"/>
      <c r="H3521" t="e">
        <v>#N/A</v>
      </c>
      <c r="J3521" s="398" t="s">
        <v>2628</v>
      </c>
      <c r="K3521" s="395">
        <v>7.2438000000000002</v>
      </c>
      <c r="L3521" s="382">
        <v>0.80249999999999999</v>
      </c>
      <c r="M3521" s="397">
        <v>-0.88921560506916264</v>
      </c>
      <c r="N3521" s="185">
        <v>0</v>
      </c>
    </row>
    <row r="3522" spans="1:14" s="39" customFormat="1" hidden="1" outlineLevel="1" x14ac:dyDescent="0.25">
      <c r="A3522" s="1004">
        <v>0.05</v>
      </c>
      <c r="B3522" s="997" t="s">
        <v>507</v>
      </c>
      <c r="C3522" s="1009">
        <v>22.045999999999999</v>
      </c>
      <c r="D3522" s="715">
        <v>23.754999999999999</v>
      </c>
      <c r="E3522" s="716">
        <f t="shared" si="126"/>
        <v>7.751973147056157E-2</v>
      </c>
      <c r="F3522" s="1023">
        <f t="shared" si="127"/>
        <v>3.8759865735280789E-3</v>
      </c>
      <c r="G3522" s="78"/>
      <c r="H3522" t="s">
        <v>2810</v>
      </c>
      <c r="J3522" s="399" t="s">
        <v>507</v>
      </c>
      <c r="K3522" s="400">
        <v>22.045999999999999</v>
      </c>
      <c r="L3522" s="387">
        <v>23.754999999999999</v>
      </c>
      <c r="M3522" s="401">
        <v>7.751973147056157E-2</v>
      </c>
      <c r="N3522" s="191">
        <v>0</v>
      </c>
    </row>
    <row r="3523" spans="1:14" hidden="1" outlineLevel="1" x14ac:dyDescent="0.25">
      <c r="A3523" s="749"/>
      <c r="B3523" s="750"/>
      <c r="C3523" s="727"/>
      <c r="D3523" s="727"/>
      <c r="E3523" s="716"/>
      <c r="F3523" s="770">
        <v>-0.3624</v>
      </c>
      <c r="G3523" s="78"/>
      <c r="J3523" s="502"/>
      <c r="K3523" s="3888" t="s">
        <v>815</v>
      </c>
      <c r="L3523" s="3888"/>
      <c r="M3523" s="491">
        <v>-0.3624</v>
      </c>
      <c r="N3523" s="498">
        <v>-0.3624</v>
      </c>
    </row>
    <row r="3524" spans="1:14" hidden="1" outlineLevel="1" x14ac:dyDescent="0.25">
      <c r="A3524" s="749"/>
      <c r="B3524" s="750"/>
      <c r="C3524" s="727"/>
      <c r="D3524" s="727"/>
      <c r="E3524" s="716"/>
      <c r="F3524" s="770"/>
      <c r="G3524" s="78"/>
    </row>
    <row r="3525" spans="1:14" hidden="1" outlineLevel="1" x14ac:dyDescent="0.25">
      <c r="A3525" s="962" t="s">
        <v>929</v>
      </c>
      <c r="B3525" s="944">
        <v>39234</v>
      </c>
      <c r="C3525" s="727">
        <v>100</v>
      </c>
      <c r="D3525" s="727">
        <v>101.25149999999999</v>
      </c>
      <c r="E3525" s="716">
        <f t="shared" ref="E3525:E3542" si="128">D3525/C3525-1</f>
        <v>1.2514999999999832E-2</v>
      </c>
      <c r="F3525" s="731">
        <f>E3525</f>
        <v>1.2514999999999832E-2</v>
      </c>
      <c r="G3525" s="78"/>
    </row>
    <row r="3526" spans="1:14" hidden="1" outlineLevel="1" x14ac:dyDescent="0.25">
      <c r="A3526" s="962" t="s">
        <v>930</v>
      </c>
      <c r="B3526" s="944">
        <v>39326</v>
      </c>
      <c r="C3526" s="727">
        <v>100</v>
      </c>
      <c r="D3526" s="727">
        <v>98.048500000000004</v>
      </c>
      <c r="E3526" s="716">
        <f t="shared" si="128"/>
        <v>-1.9514999999999949E-2</v>
      </c>
      <c r="F3526" s="731">
        <f t="shared" ref="F3526:F3542" si="129">E3526</f>
        <v>-1.9514999999999949E-2</v>
      </c>
      <c r="G3526" s="78"/>
    </row>
    <row r="3527" spans="1:14" hidden="1" outlineLevel="1" x14ac:dyDescent="0.25">
      <c r="A3527" s="962" t="s">
        <v>931</v>
      </c>
      <c r="B3527" s="944">
        <v>39417</v>
      </c>
      <c r="C3527" s="727">
        <v>100</v>
      </c>
      <c r="D3527" s="727">
        <v>98.761600000000001</v>
      </c>
      <c r="E3527" s="716">
        <f t="shared" si="128"/>
        <v>-1.2383999999999951E-2</v>
      </c>
      <c r="F3527" s="731">
        <f t="shared" si="129"/>
        <v>-1.2383999999999951E-2</v>
      </c>
      <c r="G3527" s="78"/>
    </row>
    <row r="3528" spans="1:14" hidden="1" outlineLevel="1" x14ac:dyDescent="0.25">
      <c r="A3528" s="962" t="s">
        <v>932</v>
      </c>
      <c r="B3528" s="944">
        <v>39508</v>
      </c>
      <c r="C3528" s="727">
        <v>100</v>
      </c>
      <c r="D3528" s="727">
        <v>83.29</v>
      </c>
      <c r="E3528" s="716">
        <f t="shared" si="128"/>
        <v>-0.16709999999999992</v>
      </c>
      <c r="F3528" s="731">
        <f t="shared" si="129"/>
        <v>-0.16709999999999992</v>
      </c>
      <c r="G3528" s="78"/>
    </row>
    <row r="3529" spans="1:14" hidden="1" outlineLevel="1" x14ac:dyDescent="0.25">
      <c r="A3529" s="962" t="s">
        <v>933</v>
      </c>
      <c r="B3529" s="944">
        <v>39600</v>
      </c>
      <c r="C3529" s="727">
        <v>100</v>
      </c>
      <c r="D3529" s="727">
        <v>77.275400000000005</v>
      </c>
      <c r="E3529" s="716">
        <f t="shared" si="128"/>
        <v>-0.22724599999999995</v>
      </c>
      <c r="F3529" s="731">
        <f t="shared" si="129"/>
        <v>-0.22724599999999995</v>
      </c>
      <c r="G3529" s="78"/>
    </row>
    <row r="3530" spans="1:14" hidden="1" outlineLevel="1" x14ac:dyDescent="0.25">
      <c r="A3530" s="962" t="s">
        <v>934</v>
      </c>
      <c r="B3530" s="944">
        <v>39692</v>
      </c>
      <c r="C3530" s="727">
        <v>100</v>
      </c>
      <c r="D3530" s="727">
        <v>72.393500000000003</v>
      </c>
      <c r="E3530" s="716">
        <f t="shared" si="128"/>
        <v>-0.276065</v>
      </c>
      <c r="F3530" s="731">
        <f t="shared" si="129"/>
        <v>-0.276065</v>
      </c>
      <c r="G3530" s="78"/>
    </row>
    <row r="3531" spans="1:14" hidden="1" outlineLevel="1" x14ac:dyDescent="0.25">
      <c r="A3531" s="962" t="s">
        <v>935</v>
      </c>
      <c r="B3531" s="944">
        <v>39783</v>
      </c>
      <c r="C3531" s="727">
        <v>100</v>
      </c>
      <c r="D3531" s="727">
        <v>58.214100000000002</v>
      </c>
      <c r="E3531" s="716">
        <f t="shared" si="128"/>
        <v>-0.41785899999999998</v>
      </c>
      <c r="F3531" s="731">
        <f t="shared" si="129"/>
        <v>-0.41785899999999998</v>
      </c>
      <c r="G3531" s="78"/>
    </row>
    <row r="3532" spans="1:14" hidden="1" outlineLevel="1" x14ac:dyDescent="0.25">
      <c r="A3532" s="962" t="s">
        <v>936</v>
      </c>
      <c r="B3532" s="944">
        <v>39873</v>
      </c>
      <c r="C3532" s="727">
        <v>100</v>
      </c>
      <c r="D3532" s="727">
        <v>51.445999999999998</v>
      </c>
      <c r="E3532" s="716">
        <f t="shared" si="128"/>
        <v>-0.48553999999999997</v>
      </c>
      <c r="F3532" s="731">
        <f t="shared" si="129"/>
        <v>-0.48553999999999997</v>
      </c>
      <c r="G3532" s="78"/>
    </row>
    <row r="3533" spans="1:14" hidden="1" outlineLevel="1" x14ac:dyDescent="0.25">
      <c r="A3533" s="962" t="s">
        <v>937</v>
      </c>
      <c r="B3533" s="944">
        <v>39965</v>
      </c>
      <c r="C3533" s="727">
        <v>100</v>
      </c>
      <c r="D3533" s="727">
        <v>57.514000000000003</v>
      </c>
      <c r="E3533" s="716">
        <f t="shared" si="128"/>
        <v>-0.42486000000000002</v>
      </c>
      <c r="F3533" s="731">
        <f t="shared" si="129"/>
        <v>-0.42486000000000002</v>
      </c>
      <c r="G3533" s="78"/>
    </row>
    <row r="3534" spans="1:14" hidden="1" outlineLevel="1" x14ac:dyDescent="0.25">
      <c r="A3534" s="962" t="s">
        <v>3575</v>
      </c>
      <c r="B3534" s="944">
        <v>40057</v>
      </c>
      <c r="C3534" s="727">
        <v>100</v>
      </c>
      <c r="D3534" s="727">
        <v>68.247299999999996</v>
      </c>
      <c r="E3534" s="716">
        <f t="shared" si="128"/>
        <v>-0.317527</v>
      </c>
      <c r="F3534" s="731">
        <f t="shared" si="129"/>
        <v>-0.317527</v>
      </c>
      <c r="G3534" s="78"/>
    </row>
    <row r="3535" spans="1:14" hidden="1" outlineLevel="1" x14ac:dyDescent="0.25">
      <c r="A3535" s="962" t="s">
        <v>3576</v>
      </c>
      <c r="B3535" s="944">
        <v>40148</v>
      </c>
      <c r="C3535" s="727">
        <v>100</v>
      </c>
      <c r="D3535" s="727">
        <v>71.281199999999998</v>
      </c>
      <c r="E3535" s="716">
        <f t="shared" si="128"/>
        <v>-0.287188</v>
      </c>
      <c r="F3535" s="731">
        <f t="shared" si="129"/>
        <v>-0.287188</v>
      </c>
      <c r="G3535" s="78"/>
    </row>
    <row r="3536" spans="1:14" hidden="1" outlineLevel="1" x14ac:dyDescent="0.25">
      <c r="A3536" s="962" t="s">
        <v>3577</v>
      </c>
      <c r="B3536" s="944">
        <v>40238</v>
      </c>
      <c r="C3536" s="727">
        <v>100</v>
      </c>
      <c r="D3536" s="727">
        <v>72.292500000000004</v>
      </c>
      <c r="E3536" s="716">
        <f t="shared" si="128"/>
        <v>-0.27707499999999996</v>
      </c>
      <c r="F3536" s="731">
        <f t="shared" si="129"/>
        <v>-0.27707499999999996</v>
      </c>
      <c r="G3536" s="78"/>
    </row>
    <row r="3537" spans="1:12" hidden="1" outlineLevel="1" x14ac:dyDescent="0.25">
      <c r="A3537" s="962" t="s">
        <v>3578</v>
      </c>
      <c r="B3537" s="944">
        <v>40330</v>
      </c>
      <c r="C3537" s="727">
        <v>100</v>
      </c>
      <c r="D3537" s="719">
        <v>65.350700000000003</v>
      </c>
      <c r="E3537" s="716">
        <f t="shared" si="128"/>
        <v>-0.34649299999999994</v>
      </c>
      <c r="F3537" s="731">
        <f t="shared" si="129"/>
        <v>-0.34649299999999994</v>
      </c>
      <c r="G3537" s="78"/>
    </row>
    <row r="3538" spans="1:12" hidden="1" outlineLevel="1" x14ac:dyDescent="0.25">
      <c r="A3538" s="962" t="s">
        <v>3579</v>
      </c>
      <c r="B3538" s="944">
        <v>40422</v>
      </c>
      <c r="C3538" s="727">
        <v>100</v>
      </c>
      <c r="D3538" s="727">
        <v>71.970600000000005</v>
      </c>
      <c r="E3538" s="716">
        <f t="shared" si="128"/>
        <v>-0.28029399999999993</v>
      </c>
      <c r="F3538" s="731">
        <f t="shared" si="129"/>
        <v>-0.28029399999999993</v>
      </c>
      <c r="G3538" s="78"/>
    </row>
    <row r="3539" spans="1:12" hidden="1" outlineLevel="1" x14ac:dyDescent="0.25">
      <c r="A3539" s="962" t="s">
        <v>3580</v>
      </c>
      <c r="B3539" s="944">
        <v>40513</v>
      </c>
      <c r="C3539" s="727">
        <v>100</v>
      </c>
      <c r="D3539" s="727">
        <v>72.988699999999994</v>
      </c>
      <c r="E3539" s="716">
        <f t="shared" si="128"/>
        <v>-0.27011300000000005</v>
      </c>
      <c r="F3539" s="731">
        <f t="shared" si="129"/>
        <v>-0.27011300000000005</v>
      </c>
      <c r="G3539" s="78"/>
    </row>
    <row r="3540" spans="1:12" hidden="1" outlineLevel="1" x14ac:dyDescent="0.25">
      <c r="A3540" s="962" t="s">
        <v>3581</v>
      </c>
      <c r="B3540" s="944">
        <v>40603</v>
      </c>
      <c r="C3540" s="727">
        <v>100</v>
      </c>
      <c r="D3540" s="727">
        <v>74.8613</v>
      </c>
      <c r="E3540" s="716">
        <f t="shared" si="128"/>
        <v>-0.25138700000000003</v>
      </c>
      <c r="F3540" s="731">
        <f t="shared" si="129"/>
        <v>-0.25138700000000003</v>
      </c>
      <c r="G3540" s="78"/>
    </row>
    <row r="3541" spans="1:12" hidden="1" outlineLevel="1" x14ac:dyDescent="0.25">
      <c r="A3541" s="962" t="s">
        <v>3582</v>
      </c>
      <c r="B3541" s="944">
        <v>40695</v>
      </c>
      <c r="C3541" s="727">
        <v>100</v>
      </c>
      <c r="D3541" s="727">
        <v>74.150899999999993</v>
      </c>
      <c r="E3541" s="716">
        <f t="shared" si="128"/>
        <v>-0.25849100000000003</v>
      </c>
      <c r="F3541" s="731">
        <f t="shared" si="129"/>
        <v>-0.25849100000000003</v>
      </c>
      <c r="G3541" s="78"/>
      <c r="H3541" t="s">
        <v>1837</v>
      </c>
    </row>
    <row r="3542" spans="1:12" hidden="1" outlineLevel="1" x14ac:dyDescent="0.25">
      <c r="A3542" s="962" t="s">
        <v>3583</v>
      </c>
      <c r="B3542" s="944">
        <v>40787</v>
      </c>
      <c r="C3542" s="727">
        <v>100</v>
      </c>
      <c r="D3542" s="727">
        <v>63.761800000000001</v>
      </c>
      <c r="E3542" s="716">
        <f t="shared" si="128"/>
        <v>-0.36238199999999998</v>
      </c>
      <c r="F3542" s="731">
        <f t="shared" si="129"/>
        <v>-0.36238199999999998</v>
      </c>
      <c r="G3542" s="78"/>
      <c r="H3542" s="101">
        <f>AVERAGE(F3525:F3542)</f>
        <v>-0.25938911111111118</v>
      </c>
    </row>
    <row r="3543" spans="1:12" collapsed="1" x14ac:dyDescent="0.25">
      <c r="A3543" s="3801" t="s">
        <v>1921</v>
      </c>
      <c r="B3543" s="3802"/>
      <c r="C3543" s="3802"/>
      <c r="D3543" s="3802"/>
      <c r="E3543" s="721" t="s">
        <v>2722</v>
      </c>
      <c r="F3543" s="722">
        <f>MAX(AVERAGE(F3525:F3542)*parametry!N138,0)</f>
        <v>0</v>
      </c>
      <c r="G3543" s="97" t="s">
        <v>781</v>
      </c>
    </row>
    <row r="3544" spans="1:12" x14ac:dyDescent="0.25">
      <c r="A3544" s="1"/>
      <c r="B3544" s="1"/>
      <c r="C3544" s="1"/>
      <c r="D3544" s="1"/>
      <c r="E3544" s="1"/>
      <c r="F3544" s="1848"/>
      <c r="G3544" s="78"/>
    </row>
    <row r="3545" spans="1:12" hidden="1" outlineLevel="1" x14ac:dyDescent="0.25">
      <c r="A3545" s="689" t="s">
        <v>113</v>
      </c>
      <c r="B3545" s="689" t="s">
        <v>114</v>
      </c>
      <c r="C3545" s="689" t="s">
        <v>112</v>
      </c>
      <c r="D3545" s="689" t="s">
        <v>116</v>
      </c>
      <c r="E3545" s="689" t="s">
        <v>117</v>
      </c>
      <c r="F3545" s="1188" t="s">
        <v>121</v>
      </c>
      <c r="G3545" s="78"/>
    </row>
    <row r="3546" spans="1:12" hidden="1" outlineLevel="1" x14ac:dyDescent="0.25">
      <c r="A3546" s="690">
        <v>1</v>
      </c>
      <c r="B3546" s="691" t="s">
        <v>252</v>
      </c>
      <c r="C3546" s="692">
        <v>100</v>
      </c>
      <c r="D3546" s="692"/>
      <c r="E3546" s="693"/>
      <c r="F3546" s="694"/>
      <c r="G3546" s="78"/>
    </row>
    <row r="3547" spans="1:12" hidden="1" outlineLevel="1" x14ac:dyDescent="0.25">
      <c r="A3547" s="695"/>
      <c r="B3547" s="695"/>
      <c r="C3547" s="696"/>
      <c r="D3547" s="697"/>
      <c r="E3547" s="698"/>
      <c r="F3547" s="699"/>
      <c r="G3547" s="78"/>
    </row>
    <row r="3548" spans="1:12" hidden="1" outlineLevel="1" x14ac:dyDescent="0.25">
      <c r="A3548" s="689" t="s">
        <v>4156</v>
      </c>
      <c r="B3548" s="689" t="s">
        <v>4153</v>
      </c>
      <c r="C3548" s="497" t="s">
        <v>112</v>
      </c>
      <c r="D3548" s="495" t="s">
        <v>116</v>
      </c>
      <c r="E3548" s="689" t="s">
        <v>4154</v>
      </c>
      <c r="F3548" s="1021" t="s">
        <v>2519</v>
      </c>
      <c r="G3548" s="78"/>
    </row>
    <row r="3549" spans="1:12" hidden="1" outlineLevel="1" x14ac:dyDescent="0.25">
      <c r="A3549" s="1002">
        <v>3.3329999999999999E-2</v>
      </c>
      <c r="B3549" s="1000" t="s">
        <v>901</v>
      </c>
      <c r="C3549" s="1072">
        <v>1573.4</v>
      </c>
      <c r="D3549" s="848">
        <v>2271.5</v>
      </c>
      <c r="E3549" s="705">
        <f t="shared" ref="E3549:E3564" si="130">D3549/C3549-1</f>
        <v>0.44368882674462928</v>
      </c>
      <c r="F3549" s="1021">
        <f t="shared" ref="F3549:F3564" si="131">E3549*A3549</f>
        <v>1.4788148595398494E-2</v>
      </c>
      <c r="G3549" s="78"/>
      <c r="H3549" t="str">
        <f>VLOOKUP(B3549,indexy!$A$44:$D$234,3,FALSE)</f>
        <v>BATS LN Equity</v>
      </c>
      <c r="I3549" t="s">
        <v>2040</v>
      </c>
      <c r="J3549" s="311" t="s">
        <v>3241</v>
      </c>
      <c r="K3549">
        <v>56.795999999999999</v>
      </c>
      <c r="L3549" s="37">
        <f t="shared" ref="L3549:L3554" si="132">K3549/100-1</f>
        <v>-0.43203999999999998</v>
      </c>
    </row>
    <row r="3550" spans="1:12" hidden="1" outlineLevel="1" x14ac:dyDescent="0.25">
      <c r="A3550" s="1002">
        <v>3.3329999999999999E-2</v>
      </c>
      <c r="B3550" s="996" t="s">
        <v>3405</v>
      </c>
      <c r="C3550" s="1073">
        <v>57.328000000000003</v>
      </c>
      <c r="D3550" s="851">
        <v>35.685000000000002</v>
      </c>
      <c r="E3550" s="709">
        <f t="shared" si="130"/>
        <v>-0.37752930505163274</v>
      </c>
      <c r="F3550" s="946">
        <f t="shared" si="131"/>
        <v>-1.2583051737370919E-2</v>
      </c>
      <c r="G3550" s="78"/>
      <c r="H3550" t="str">
        <f>VLOOKUP(B3550,indexy!$A$44:$D$234,3,FALSE)</f>
        <v>CA FP Equity</v>
      </c>
      <c r="J3550" s="311" t="s">
        <v>3024</v>
      </c>
      <c r="K3550">
        <v>56.929699999999997</v>
      </c>
      <c r="L3550" s="37">
        <f t="shared" si="132"/>
        <v>-0.43070300000000006</v>
      </c>
    </row>
    <row r="3551" spans="1:12" hidden="1" outlineLevel="1" x14ac:dyDescent="0.25">
      <c r="A3551" s="1002">
        <v>3.3329999999999999E-2</v>
      </c>
      <c r="B3551" s="996" t="s">
        <v>3406</v>
      </c>
      <c r="C3551" s="1073">
        <v>1040</v>
      </c>
      <c r="D3551" s="851">
        <v>1106</v>
      </c>
      <c r="E3551" s="709">
        <f t="shared" si="130"/>
        <v>6.3461538461538458E-2</v>
      </c>
      <c r="F3551" s="946">
        <f t="shared" si="131"/>
        <v>2.1151730769230766E-3</v>
      </c>
      <c r="G3551" s="78"/>
      <c r="H3551" t="str">
        <f>VLOOKUP(B3551,indexy!$A$44:$D$234,3,FALSE)</f>
        <v>DGE LN Equity</v>
      </c>
      <c r="J3551" s="311" t="s">
        <v>3754</v>
      </c>
      <c r="K3551">
        <v>59.819699999999997</v>
      </c>
      <c r="L3551" s="37">
        <f t="shared" si="132"/>
        <v>-0.40180300000000002</v>
      </c>
    </row>
    <row r="3552" spans="1:12" hidden="1" outlineLevel="1" x14ac:dyDescent="0.25">
      <c r="A3552" s="999">
        <v>0.5</v>
      </c>
      <c r="B3552" s="852" t="s">
        <v>4375</v>
      </c>
      <c r="C3552" s="1073">
        <v>3013.8290000000002</v>
      </c>
      <c r="D3552" s="851">
        <v>1293.3699999999999</v>
      </c>
      <c r="E3552" s="709">
        <f t="shared" si="130"/>
        <v>-0.5708548826094646</v>
      </c>
      <c r="F3552" s="946">
        <f t="shared" si="131"/>
        <v>-0.2854274413047323</v>
      </c>
      <c r="G3552" s="78"/>
      <c r="H3552" t="str">
        <f>VLOOKUP(B3552,indexy!$A$1:$D$234,4,FALSE)</f>
        <v>EPRA Index</v>
      </c>
      <c r="J3552" s="311" t="s">
        <v>3755</v>
      </c>
      <c r="K3552">
        <v>58.616399999999999</v>
      </c>
      <c r="L3552" s="37">
        <f t="shared" si="132"/>
        <v>-0.41383599999999998</v>
      </c>
    </row>
    <row r="3553" spans="1:12" hidden="1" outlineLevel="1" x14ac:dyDescent="0.25">
      <c r="A3553" s="1002">
        <v>3.3329999999999999E-2</v>
      </c>
      <c r="B3553" s="996" t="s">
        <v>44</v>
      </c>
      <c r="C3553" s="1073">
        <v>5.93</v>
      </c>
      <c r="D3553" s="851">
        <v>2.7574999999999998</v>
      </c>
      <c r="E3553" s="709">
        <f t="shared" si="130"/>
        <v>-0.53499156829679595</v>
      </c>
      <c r="F3553" s="946">
        <f t="shared" si="131"/>
        <v>-1.783126897133221E-2</v>
      </c>
      <c r="G3553" s="78"/>
      <c r="H3553" t="str">
        <f>VLOOKUP(B3553,indexy!$A$44:$D$234,3,FALSE)</f>
        <v>ISP IM Equity</v>
      </c>
      <c r="J3553" s="311" t="s">
        <v>3756</v>
      </c>
      <c r="K3553">
        <v>58.569499999999998</v>
      </c>
      <c r="L3553" s="37">
        <f t="shared" si="132"/>
        <v>-0.41430500000000003</v>
      </c>
    </row>
    <row r="3554" spans="1:12" hidden="1" outlineLevel="1" x14ac:dyDescent="0.25">
      <c r="A3554" s="1002">
        <v>3.3329999999999999E-2</v>
      </c>
      <c r="B3554" s="996" t="s">
        <v>1526</v>
      </c>
      <c r="C3554" s="1073">
        <v>96.8</v>
      </c>
      <c r="D3554" s="851">
        <v>35.854999999999997</v>
      </c>
      <c r="E3554" s="709">
        <f t="shared" si="130"/>
        <v>-0.62959710743801656</v>
      </c>
      <c r="F3554" s="946">
        <f t="shared" si="131"/>
        <v>-2.098447159090909E-2</v>
      </c>
      <c r="G3554" s="78"/>
      <c r="H3554" t="str">
        <f>VLOOKUP(B3554,indexy!$A$44:$D$234,3,FALSE)</f>
        <v>KBC BB Equity</v>
      </c>
      <c r="J3554" s="311" t="s">
        <v>3757</v>
      </c>
      <c r="K3554">
        <v>61.167299999999997</v>
      </c>
      <c r="L3554" s="37">
        <f t="shared" si="132"/>
        <v>-0.38832699999999998</v>
      </c>
    </row>
    <row r="3555" spans="1:12" hidden="1" outlineLevel="1" x14ac:dyDescent="0.25">
      <c r="A3555" s="1002">
        <v>3.3329999999999999E-2</v>
      </c>
      <c r="B3555" s="996" t="s">
        <v>874</v>
      </c>
      <c r="C3555" s="1073">
        <v>265.27999999999997</v>
      </c>
      <c r="D3555" s="851">
        <v>214.4</v>
      </c>
      <c r="E3555" s="709">
        <f t="shared" si="130"/>
        <v>-0.19179734620024114</v>
      </c>
      <c r="F3555" s="946">
        <f t="shared" si="131"/>
        <v>-6.3926055488540369E-3</v>
      </c>
      <c r="G3555" s="78"/>
      <c r="H3555" t="str">
        <f>VLOOKUP(B3555,indexy!$A$44:$D$234,3,FALSE)</f>
        <v>KGF LN Equity</v>
      </c>
      <c r="J3555" s="312" t="s">
        <v>2197</v>
      </c>
      <c r="L3555" s="261">
        <f>AVERAGE(L3549:L3554)</f>
        <v>-0.41350233333333336</v>
      </c>
    </row>
    <row r="3556" spans="1:12" hidden="1" outlineLevel="1" x14ac:dyDescent="0.25">
      <c r="A3556" s="1002">
        <v>3.3329999999999999E-2</v>
      </c>
      <c r="B3556" s="996" t="s">
        <v>3384</v>
      </c>
      <c r="C3556" s="1073">
        <v>55.643000000000001</v>
      </c>
      <c r="D3556" s="851">
        <v>43.92</v>
      </c>
      <c r="E3556" s="709">
        <f t="shared" si="130"/>
        <v>-0.21068238592455468</v>
      </c>
      <c r="F3556" s="946">
        <f t="shared" si="131"/>
        <v>-7.0220439228654069E-3</v>
      </c>
      <c r="G3556" s="78"/>
      <c r="H3556" t="e">
        <f>VLOOKUP(B3556,indexy!$A$44:$D$234,3,FALSE)</f>
        <v>#N/A</v>
      </c>
      <c r="J3556" s="312" t="s">
        <v>1507</v>
      </c>
      <c r="K3556" s="69"/>
      <c r="L3556" s="69">
        <v>-33.08</v>
      </c>
    </row>
    <row r="3557" spans="1:12" hidden="1" outlineLevel="1" x14ac:dyDescent="0.25">
      <c r="A3557" s="1002">
        <v>3.3329999999999999E-2</v>
      </c>
      <c r="B3557" s="996" t="s">
        <v>3797</v>
      </c>
      <c r="C3557" s="1073">
        <v>48.387500000000003</v>
      </c>
      <c r="D3557" s="851">
        <v>54</v>
      </c>
      <c r="E3557" s="709">
        <f t="shared" si="130"/>
        <v>0.11599070007749934</v>
      </c>
      <c r="F3557" s="946">
        <f t="shared" si="131"/>
        <v>3.8659700335830528E-3</v>
      </c>
      <c r="G3557" s="78"/>
      <c r="H3557" t="str">
        <f>VLOOKUP(B3557,indexy!$A$44:$D$234,3,FALSE)</f>
        <v>NESN SE Equity</v>
      </c>
      <c r="J3557" s="311"/>
    </row>
    <row r="3558" spans="1:12" hidden="1" outlineLevel="1" x14ac:dyDescent="0.25">
      <c r="A3558" s="1002">
        <v>3.3329999999999999E-2</v>
      </c>
      <c r="B3558" s="996" t="s">
        <v>2787</v>
      </c>
      <c r="C3558" s="1073">
        <v>68.95</v>
      </c>
      <c r="D3558" s="851">
        <v>56.95</v>
      </c>
      <c r="E3558" s="709">
        <f t="shared" si="130"/>
        <v>-0.1740391588107324</v>
      </c>
      <c r="F3558" s="946">
        <f t="shared" si="131"/>
        <v>-5.8007251631617103E-3</v>
      </c>
      <c r="G3558" s="78"/>
      <c r="H3558" t="str">
        <f>VLOOKUP(B3558,indexy!$A$44:$D$234,3,FALSE)</f>
        <v>NOVN SE Equity</v>
      </c>
      <c r="J3558" s="311"/>
    </row>
    <row r="3559" spans="1:12" hidden="1" outlineLevel="1" x14ac:dyDescent="0.25">
      <c r="A3559" s="1002">
        <v>3.3329999999999999E-2</v>
      </c>
      <c r="B3559" s="996" t="s">
        <v>3800</v>
      </c>
      <c r="C3559" s="1073">
        <v>228.65</v>
      </c>
      <c r="D3559" s="851">
        <v>171</v>
      </c>
      <c r="E3559" s="709">
        <f t="shared" si="130"/>
        <v>-0.25213207959763828</v>
      </c>
      <c r="F3559" s="946">
        <f t="shared" si="131"/>
        <v>-8.403562212989284E-3</v>
      </c>
      <c r="G3559" s="78"/>
      <c r="H3559" t="str">
        <f>VLOOKUP(B3559,indexy!$A$44:$D$234,3,FALSE)</f>
        <v>ROG SE Equity</v>
      </c>
      <c r="J3559" s="311"/>
    </row>
    <row r="3560" spans="1:12" hidden="1" outlineLevel="1" x14ac:dyDescent="0.25">
      <c r="A3560" s="1002">
        <v>3.3329999999999999E-2</v>
      </c>
      <c r="B3560" s="996" t="s">
        <v>3801</v>
      </c>
      <c r="C3560" s="1073">
        <v>80.745000000000005</v>
      </c>
      <c r="D3560" s="851">
        <v>65.599999999999994</v>
      </c>
      <c r="E3560" s="709">
        <f t="shared" si="130"/>
        <v>-0.18756579354758818</v>
      </c>
      <c r="F3560" s="946">
        <f t="shared" si="131"/>
        <v>-6.2515678989411138E-3</v>
      </c>
      <c r="G3560" s="78"/>
      <c r="H3560" t="str">
        <f>VLOOKUP(B3560,indexy!$A$44:$D$234,3,FALSE)</f>
        <v>RWE GY Equity</v>
      </c>
      <c r="J3560" s="311"/>
    </row>
    <row r="3561" spans="1:12" hidden="1" outlineLevel="1" x14ac:dyDescent="0.25">
      <c r="A3561" s="1002">
        <v>3.3329999999999999E-2</v>
      </c>
      <c r="B3561" s="996" t="s">
        <v>1187</v>
      </c>
      <c r="C3561" s="1073">
        <v>67.382999999999996</v>
      </c>
      <c r="D3561" s="851">
        <v>55.19</v>
      </c>
      <c r="E3561" s="709">
        <f t="shared" si="130"/>
        <v>-0.18095068489084787</v>
      </c>
      <c r="F3561" s="946">
        <f t="shared" si="131"/>
        <v>-6.0310863274119593E-3</v>
      </c>
      <c r="G3561" s="78"/>
      <c r="H3561" t="str">
        <f>VLOOKUP(B3561,indexy!$A$44:$D$234,3,FALSE)</f>
        <v>SAN FP Equity</v>
      </c>
    </row>
    <row r="3562" spans="1:12" hidden="1" outlineLevel="1" x14ac:dyDescent="0.25">
      <c r="A3562" s="1002">
        <v>3.3329999999999999E-2</v>
      </c>
      <c r="B3562" s="996" t="s">
        <v>3383</v>
      </c>
      <c r="C3562" s="1073">
        <v>109.925</v>
      </c>
      <c r="D3562" s="851">
        <v>80.599999999999994</v>
      </c>
      <c r="E3562" s="709">
        <f t="shared" si="130"/>
        <v>-0.26677279963611555</v>
      </c>
      <c r="F3562" s="946">
        <f t="shared" si="131"/>
        <v>-8.8915374118717309E-3</v>
      </c>
      <c r="G3562" s="78"/>
      <c r="H3562" t="str">
        <f>VLOOKUP(B3562,indexy!$A$44:$D$234,3,FALSE)</f>
        <v>TEL NO Equity</v>
      </c>
    </row>
    <row r="3563" spans="1:12" hidden="1" outlineLevel="1" x14ac:dyDescent="0.25">
      <c r="A3563" s="1002">
        <v>3.3329999999999999E-2</v>
      </c>
      <c r="B3563" s="996" t="s">
        <v>583</v>
      </c>
      <c r="C3563" s="1073">
        <v>460.5</v>
      </c>
      <c r="D3563" s="851">
        <v>435.45</v>
      </c>
      <c r="E3563" s="709">
        <f t="shared" si="130"/>
        <v>-5.4397394136807886E-2</v>
      </c>
      <c r="F3563" s="946">
        <f t="shared" si="131"/>
        <v>-1.8130651465798067E-3</v>
      </c>
      <c r="G3563" s="78"/>
      <c r="H3563" t="str">
        <f>VLOOKUP(B3563,indexy!$A$44:$D$234,3,FALSE)</f>
        <v>TSCO LN Equity</v>
      </c>
    </row>
    <row r="3564" spans="1:12" hidden="1" outlineLevel="1" x14ac:dyDescent="0.25">
      <c r="A3564" s="1002">
        <v>3.3329999999999999E-2</v>
      </c>
      <c r="B3564" s="996" t="s">
        <v>2628</v>
      </c>
      <c r="C3564" s="1073">
        <v>6.24</v>
      </c>
      <c r="D3564" s="1041">
        <v>2.1875</v>
      </c>
      <c r="E3564" s="709">
        <f t="shared" si="130"/>
        <v>-0.64943910256410264</v>
      </c>
      <c r="F3564" s="946">
        <f t="shared" si="131"/>
        <v>-2.164580528846154E-2</v>
      </c>
      <c r="G3564" s="78"/>
      <c r="H3564" t="e">
        <f>VLOOKUP(B3564,indexy!$A$44:$D$234,3,FALSE)</f>
        <v>#N/A</v>
      </c>
    </row>
    <row r="3565" spans="1:12" hidden="1" outlineLevel="1" x14ac:dyDescent="0.25">
      <c r="A3565" s="717"/>
      <c r="B3565" s="718"/>
      <c r="C3565" s="719"/>
      <c r="D3565" s="727"/>
      <c r="E3565" s="720"/>
      <c r="F3565" s="731">
        <f>SUM(F3549:F3564)</f>
        <v>-0.3883089408195764</v>
      </c>
      <c r="G3565" s="78"/>
    </row>
    <row r="3566" spans="1:12" collapsed="1" x14ac:dyDescent="0.25">
      <c r="A3566" s="3801" t="s">
        <v>1638</v>
      </c>
      <c r="B3566" s="3802"/>
      <c r="C3566" s="3802"/>
      <c r="D3566" s="3802"/>
      <c r="E3566" s="721"/>
      <c r="F3566" s="722">
        <f>MAX((F3565*parametry!N144)-5%,-5%)</f>
        <v>-0.05</v>
      </c>
      <c r="G3566" s="97" t="s">
        <v>781</v>
      </c>
    </row>
    <row r="3567" spans="1:12" x14ac:dyDescent="0.25">
      <c r="A3567" s="1"/>
      <c r="B3567" s="1"/>
      <c r="C3567" s="1"/>
      <c r="D3567" s="1"/>
      <c r="E3567" s="1"/>
      <c r="F3567" s="1848"/>
      <c r="G3567" s="78"/>
    </row>
    <row r="3568" spans="1:12" hidden="1" outlineLevel="1" x14ac:dyDescent="0.25">
      <c r="A3568" s="689" t="s">
        <v>113</v>
      </c>
      <c r="B3568" s="689" t="s">
        <v>114</v>
      </c>
      <c r="C3568" s="689" t="s">
        <v>112</v>
      </c>
      <c r="D3568" s="689" t="s">
        <v>116</v>
      </c>
      <c r="E3568" s="689" t="s">
        <v>117</v>
      </c>
      <c r="F3568" s="1188" t="s">
        <v>121</v>
      </c>
      <c r="G3568" s="78"/>
    </row>
    <row r="3569" spans="1:11" hidden="1" outlineLevel="1" x14ac:dyDescent="0.25">
      <c r="A3569" s="690">
        <v>1</v>
      </c>
      <c r="B3569" s="691" t="s">
        <v>252</v>
      </c>
      <c r="C3569" s="692">
        <v>100</v>
      </c>
      <c r="D3569" s="692"/>
      <c r="E3569" s="693"/>
      <c r="F3569" s="694"/>
      <c r="G3569" s="78"/>
    </row>
    <row r="3570" spans="1:11" hidden="1" outlineLevel="1" x14ac:dyDescent="0.25">
      <c r="A3570" s="695"/>
      <c r="B3570" s="695"/>
      <c r="C3570" s="696"/>
      <c r="D3570" s="697" t="s">
        <v>3702</v>
      </c>
      <c r="E3570" s="698"/>
      <c r="F3570" s="699"/>
      <c r="G3570" s="78"/>
    </row>
    <row r="3571" spans="1:11" hidden="1" outlineLevel="1" x14ac:dyDescent="0.25">
      <c r="A3571" s="689" t="s">
        <v>4156</v>
      </c>
      <c r="B3571" s="689" t="s">
        <v>4153</v>
      </c>
      <c r="C3571" s="700" t="s">
        <v>112</v>
      </c>
      <c r="D3571" s="689" t="s">
        <v>116</v>
      </c>
      <c r="E3571" s="689" t="s">
        <v>4154</v>
      </c>
      <c r="F3571" s="1021"/>
      <c r="G3571" s="78"/>
      <c r="H3571" s="39" t="s">
        <v>3533</v>
      </c>
      <c r="I3571" s="39"/>
    </row>
    <row r="3572" spans="1:11" hidden="1" outlineLevel="1" x14ac:dyDescent="0.25">
      <c r="A3572" s="734">
        <v>0.05</v>
      </c>
      <c r="B3572" s="735" t="s">
        <v>1541</v>
      </c>
      <c r="C3572" s="807">
        <v>53.289000000000001</v>
      </c>
      <c r="D3572" s="803">
        <v>53.277999999999999</v>
      </c>
      <c r="E3572" s="705">
        <v>-2.0642158794503818E-4</v>
      </c>
      <c r="F3572" s="1865"/>
      <c r="G3572" s="78"/>
      <c r="H3572" t="s">
        <v>1696</v>
      </c>
      <c r="I3572" s="171"/>
      <c r="J3572" s="39"/>
      <c r="K3572" s="39"/>
    </row>
    <row r="3573" spans="1:11" hidden="1" outlineLevel="1" x14ac:dyDescent="0.25">
      <c r="A3573" s="739">
        <v>0.05</v>
      </c>
      <c r="B3573" s="740" t="s">
        <v>6551</v>
      </c>
      <c r="C3573" s="869">
        <v>105.73699999999999</v>
      </c>
      <c r="D3573" s="908">
        <v>99.602000000000004</v>
      </c>
      <c r="E3573" s="709">
        <v>-5.8021317041338283E-2</v>
      </c>
      <c r="F3573" s="1866"/>
      <c r="G3573" s="78"/>
      <c r="H3573" t="s">
        <v>6550</v>
      </c>
      <c r="I3573" s="171"/>
      <c r="J3573" s="39"/>
      <c r="K3573" s="171"/>
    </row>
    <row r="3574" spans="1:11" ht="13.8" hidden="1" outlineLevel="1" x14ac:dyDescent="0.25">
      <c r="A3574" s="739">
        <v>0.05</v>
      </c>
      <c r="B3574" s="740" t="s">
        <v>1002</v>
      </c>
      <c r="C3574" s="809">
        <v>18.911999999999999</v>
      </c>
      <c r="D3574" s="908">
        <v>17.367000000000001</v>
      </c>
      <c r="E3574" s="709">
        <v>-8.1694162436548146E-2</v>
      </c>
      <c r="F3574" s="499">
        <v>-8.6336612096237927E-2</v>
      </c>
      <c r="G3574" s="78"/>
      <c r="H3574" t="s">
        <v>6557</v>
      </c>
      <c r="I3574" s="171"/>
      <c r="J3574" s="39"/>
      <c r="K3574" s="171"/>
    </row>
    <row r="3575" spans="1:11" hidden="1" outlineLevel="1" x14ac:dyDescent="0.25">
      <c r="A3575" s="739">
        <v>0.05</v>
      </c>
      <c r="B3575" s="740" t="s">
        <v>1993</v>
      </c>
      <c r="C3575" s="809">
        <v>69.040000000000006</v>
      </c>
      <c r="D3575" s="908">
        <v>61.261000000000003</v>
      </c>
      <c r="E3575" s="709">
        <v>-0.11267381228273465</v>
      </c>
      <c r="F3575" s="1866"/>
      <c r="G3575" s="78"/>
      <c r="H3575" t="s">
        <v>2812</v>
      </c>
      <c r="I3575" s="171"/>
      <c r="J3575" s="208"/>
      <c r="K3575" s="225"/>
    </row>
    <row r="3576" spans="1:11" hidden="1" outlineLevel="1" x14ac:dyDescent="0.25">
      <c r="A3576" s="739">
        <v>0.05</v>
      </c>
      <c r="B3576" s="740" t="s">
        <v>3020</v>
      </c>
      <c r="C3576" s="809">
        <v>50.533999999999999</v>
      </c>
      <c r="D3576" s="908">
        <v>41.484000000000002</v>
      </c>
      <c r="E3576" s="709">
        <v>-0.17908734713262353</v>
      </c>
      <c r="F3576" s="1866"/>
      <c r="G3576" s="78"/>
      <c r="H3576" t="s">
        <v>490</v>
      </c>
      <c r="I3576" s="171"/>
      <c r="J3576" s="39"/>
      <c r="K3576" s="225"/>
    </row>
    <row r="3577" spans="1:11" hidden="1" outlineLevel="1" x14ac:dyDescent="0.25">
      <c r="A3577" s="739">
        <v>0.05</v>
      </c>
      <c r="B3577" s="740" t="s">
        <v>1204</v>
      </c>
      <c r="C3577" s="809">
        <v>67.256</v>
      </c>
      <c r="D3577" s="908">
        <v>54.704999999999998</v>
      </c>
      <c r="E3577" s="709">
        <v>-0.1866153205661949</v>
      </c>
      <c r="F3577" s="946"/>
      <c r="G3577" s="78"/>
      <c r="H3577" t="s">
        <v>2427</v>
      </c>
      <c r="I3577" s="171"/>
      <c r="J3577" s="39"/>
      <c r="K3577" s="39"/>
    </row>
    <row r="3578" spans="1:11" hidden="1" outlineLevel="1" x14ac:dyDescent="0.25">
      <c r="A3578" s="739">
        <v>0.05</v>
      </c>
      <c r="B3578" s="740" t="s">
        <v>159</v>
      </c>
      <c r="C3578" s="809">
        <v>466.82799999999997</v>
      </c>
      <c r="D3578" s="908">
        <v>356.47199999999998</v>
      </c>
      <c r="E3578" s="709">
        <v>-0.23639541758420657</v>
      </c>
      <c r="F3578" s="946"/>
      <c r="G3578" s="78"/>
      <c r="H3578" t="s">
        <v>6555</v>
      </c>
      <c r="I3578" s="171"/>
      <c r="J3578" s="39"/>
      <c r="K3578" s="39"/>
    </row>
    <row r="3579" spans="1:11" hidden="1" outlineLevel="1" x14ac:dyDescent="0.25">
      <c r="A3579" s="739">
        <v>0.05</v>
      </c>
      <c r="B3579" s="740" t="s">
        <v>1206</v>
      </c>
      <c r="C3579" s="809">
        <v>34.899000000000001</v>
      </c>
      <c r="D3579" s="908">
        <v>26.439</v>
      </c>
      <c r="E3579" s="709">
        <v>-0.24241382274563739</v>
      </c>
      <c r="F3579" s="946"/>
      <c r="G3579" s="78"/>
      <c r="H3579" t="s">
        <v>3484</v>
      </c>
      <c r="I3579" s="171"/>
      <c r="J3579" s="39"/>
      <c r="K3579" s="39"/>
    </row>
    <row r="3580" spans="1:11" hidden="1" outlineLevel="1" x14ac:dyDescent="0.25">
      <c r="A3580" s="739">
        <v>0.05</v>
      </c>
      <c r="B3580" s="740" t="s">
        <v>1001</v>
      </c>
      <c r="C3580" s="809">
        <v>30.818999999999999</v>
      </c>
      <c r="D3580" s="908">
        <v>22.613</v>
      </c>
      <c r="E3580" s="709">
        <v>-0.26626431746649792</v>
      </c>
      <c r="F3580" s="946"/>
      <c r="G3580" s="78"/>
      <c r="H3580" t="s">
        <v>4150</v>
      </c>
      <c r="I3580" s="171"/>
      <c r="J3580" s="39"/>
      <c r="K3580" s="39"/>
    </row>
    <row r="3581" spans="1:11" hidden="1" outlineLevel="1" x14ac:dyDescent="0.25">
      <c r="A3581" s="739">
        <v>0.05</v>
      </c>
      <c r="B3581" s="740" t="s">
        <v>583</v>
      </c>
      <c r="C3581" s="809">
        <v>469.15</v>
      </c>
      <c r="D3581" s="908">
        <v>329.1</v>
      </c>
      <c r="E3581" s="709">
        <v>-0.29851859746349774</v>
      </c>
      <c r="F3581" s="946"/>
      <c r="G3581" s="78"/>
      <c r="H3581" t="s">
        <v>1594</v>
      </c>
      <c r="I3581" s="171"/>
      <c r="J3581" s="39"/>
      <c r="K3581" s="39"/>
    </row>
    <row r="3582" spans="1:11" hidden="1" outlineLevel="1" x14ac:dyDescent="0.25">
      <c r="A3582" s="739">
        <v>0.05</v>
      </c>
      <c r="B3582" s="740" t="s">
        <v>162</v>
      </c>
      <c r="C3582" s="809">
        <v>74.741</v>
      </c>
      <c r="D3582" s="908">
        <v>50.58</v>
      </c>
      <c r="E3582" s="709">
        <v>-0.32326300156540588</v>
      </c>
      <c r="F3582" s="946"/>
      <c r="G3582" s="78"/>
      <c r="H3582" t="s">
        <v>563</v>
      </c>
      <c r="I3582" s="171"/>
      <c r="J3582" s="39"/>
      <c r="K3582" s="39"/>
    </row>
    <row r="3583" spans="1:11" hidden="1" outlineLevel="1" x14ac:dyDescent="0.25">
      <c r="A3583" s="739">
        <v>0.05</v>
      </c>
      <c r="B3583" s="740" t="s">
        <v>1190</v>
      </c>
      <c r="C3583" s="809">
        <v>18.779</v>
      </c>
      <c r="D3583" s="908">
        <v>12.391</v>
      </c>
      <c r="E3583" s="709">
        <v>-0.34016720805154699</v>
      </c>
      <c r="F3583" s="946"/>
      <c r="G3583" s="78"/>
      <c r="H3583" t="s">
        <v>7569</v>
      </c>
      <c r="I3583" s="171"/>
      <c r="J3583" s="39"/>
      <c r="K3583" s="39"/>
    </row>
    <row r="3584" spans="1:11" hidden="1" outlineLevel="1" x14ac:dyDescent="0.25">
      <c r="A3584" s="739">
        <v>0.05</v>
      </c>
      <c r="B3584" s="740" t="s">
        <v>158</v>
      </c>
      <c r="C3584" s="809">
        <v>27.010999999999999</v>
      </c>
      <c r="D3584" s="908">
        <v>17.555</v>
      </c>
      <c r="E3584" s="709">
        <v>-0.35007959720114024</v>
      </c>
      <c r="F3584" s="946"/>
      <c r="G3584" s="78"/>
      <c r="H3584" t="s">
        <v>1315</v>
      </c>
      <c r="I3584" s="171"/>
      <c r="J3584" s="39"/>
      <c r="K3584" s="39"/>
    </row>
    <row r="3585" spans="1:11" hidden="1" outlineLevel="1" x14ac:dyDescent="0.25">
      <c r="A3585" s="739">
        <v>0.05</v>
      </c>
      <c r="B3585" s="740" t="s">
        <v>163</v>
      </c>
      <c r="C3585" s="809">
        <v>21.469000000000001</v>
      </c>
      <c r="D3585" s="908">
        <v>9.7889999999999997</v>
      </c>
      <c r="E3585" s="709">
        <v>-0.54404024407284934</v>
      </c>
      <c r="F3585" s="946"/>
      <c r="G3585" s="78"/>
      <c r="H3585" t="s">
        <v>2617</v>
      </c>
      <c r="I3585" s="171"/>
      <c r="J3585" s="39"/>
      <c r="K3585" s="39"/>
    </row>
    <row r="3586" spans="1:11" hidden="1" outlineLevel="1" x14ac:dyDescent="0.25">
      <c r="A3586" s="739">
        <v>0.05</v>
      </c>
      <c r="B3586" s="740" t="s">
        <v>719</v>
      </c>
      <c r="C3586" s="809">
        <v>60.353999999999999</v>
      </c>
      <c r="D3586" s="908">
        <v>25.489000000000001</v>
      </c>
      <c r="E3586" s="709">
        <v>-0.57767505053517576</v>
      </c>
      <c r="F3586" s="946"/>
      <c r="G3586" s="78"/>
      <c r="H3586" t="s">
        <v>1697</v>
      </c>
      <c r="I3586" s="171"/>
      <c r="J3586" s="39"/>
      <c r="K3586" s="39"/>
    </row>
    <row r="3587" spans="1:11" hidden="1" outlineLevel="1" x14ac:dyDescent="0.25">
      <c r="A3587" s="739">
        <v>0.05</v>
      </c>
      <c r="B3587" s="740" t="s">
        <v>160</v>
      </c>
      <c r="C3587" s="809">
        <v>129.72499999999999</v>
      </c>
      <c r="D3587" s="908">
        <v>52.99</v>
      </c>
      <c r="E3587" s="709">
        <v>-0.5915205241857775</v>
      </c>
      <c r="F3587" s="1867"/>
      <c r="G3587" s="78"/>
      <c r="H3587" t="s">
        <v>1056</v>
      </c>
      <c r="I3587" s="171"/>
      <c r="J3587" s="39"/>
      <c r="K3587" s="39"/>
    </row>
    <row r="3588" spans="1:11" hidden="1" outlineLevel="1" x14ac:dyDescent="0.25">
      <c r="A3588" s="739">
        <v>0.05</v>
      </c>
      <c r="B3588" s="740" t="s">
        <v>3384</v>
      </c>
      <c r="C3588" s="809">
        <v>58.561999999999998</v>
      </c>
      <c r="D3588" s="908">
        <v>23.823</v>
      </c>
      <c r="E3588" s="709">
        <v>-0.59320036883986194</v>
      </c>
      <c r="F3588" s="1867"/>
      <c r="G3588" s="78"/>
      <c r="H3588" t="s">
        <v>3790</v>
      </c>
      <c r="I3588" s="171"/>
      <c r="J3588" s="39"/>
      <c r="K3588" s="39"/>
    </row>
    <row r="3589" spans="1:11" ht="13.8" hidden="1" outlineLevel="1" x14ac:dyDescent="0.25">
      <c r="A3589" s="739">
        <v>0.05</v>
      </c>
      <c r="B3589" s="740" t="s">
        <v>51</v>
      </c>
      <c r="C3589" s="809">
        <v>80.070999999999998</v>
      </c>
      <c r="D3589" s="908">
        <v>27.122499999999999</v>
      </c>
      <c r="E3589" s="709">
        <v>-0.66126937343107994</v>
      </c>
      <c r="F3589" s="499">
        <v>-0.67376813077348419</v>
      </c>
      <c r="G3589" s="78"/>
      <c r="H3589" t="s">
        <v>2748</v>
      </c>
      <c r="I3589" s="171"/>
      <c r="J3589" s="39"/>
      <c r="K3589" s="39"/>
    </row>
    <row r="3590" spans="1:11" hidden="1" outlineLevel="1" x14ac:dyDescent="0.25">
      <c r="A3590" s="739">
        <v>0.05</v>
      </c>
      <c r="B3590" s="740" t="s">
        <v>4228</v>
      </c>
      <c r="C3590" s="809">
        <v>61.453000000000003</v>
      </c>
      <c r="D3590" s="908">
        <v>18.018999999999998</v>
      </c>
      <c r="E3590" s="709">
        <v>-0.70678404634436076</v>
      </c>
      <c r="F3590" s="1867"/>
      <c r="G3590" s="78"/>
      <c r="H3590" t="s">
        <v>3994</v>
      </c>
      <c r="I3590" s="171"/>
      <c r="J3590" s="39"/>
      <c r="K3590" s="39"/>
    </row>
    <row r="3591" spans="1:11" hidden="1" outlineLevel="1" x14ac:dyDescent="0.25">
      <c r="A3591" s="739">
        <v>0.05</v>
      </c>
      <c r="B3591" s="740" t="s">
        <v>1540</v>
      </c>
      <c r="C3591" s="809">
        <v>9.8279999999999994</v>
      </c>
      <c r="D3591" s="908">
        <v>1.8077000000000001</v>
      </c>
      <c r="E3591" s="709">
        <v>-0.81606634106634102</v>
      </c>
      <c r="F3591" s="1867"/>
      <c r="G3591" s="78"/>
      <c r="H3591" t="s">
        <v>1695</v>
      </c>
      <c r="I3591" s="171"/>
      <c r="J3591" s="39"/>
      <c r="K3591" s="39"/>
    </row>
    <row r="3592" spans="1:11" hidden="1" outlineLevel="1" x14ac:dyDescent="0.25">
      <c r="A3592" s="717"/>
      <c r="B3592" s="718"/>
      <c r="C3592" s="719"/>
      <c r="D3592" s="719"/>
      <c r="E3592" s="720"/>
      <c r="F3592" s="934">
        <v>-8.74315186772463E-2</v>
      </c>
      <c r="G3592" s="78"/>
      <c r="I3592" s="39"/>
      <c r="J3592" s="39"/>
      <c r="K3592" s="39"/>
    </row>
    <row r="3593" spans="1:11" ht="13.5" customHeight="1" collapsed="1" x14ac:dyDescent="0.25">
      <c r="A3593" s="3801" t="s">
        <v>2285</v>
      </c>
      <c r="B3593" s="3802"/>
      <c r="C3593" s="3802"/>
      <c r="D3593" s="3802"/>
      <c r="E3593" s="721" t="s">
        <v>2722</v>
      </c>
      <c r="F3593" s="722">
        <v>0</v>
      </c>
      <c r="G3593" s="175" t="s">
        <v>781</v>
      </c>
      <c r="J3593" s="39"/>
      <c r="K3593" s="39"/>
    </row>
    <row r="3594" spans="1:11" x14ac:dyDescent="0.25">
      <c r="B3594" s="1"/>
      <c r="C3594" s="1"/>
      <c r="D3594" s="1"/>
      <c r="E3594" s="1"/>
      <c r="F3594" s="1848"/>
      <c r="G3594" s="78"/>
    </row>
    <row r="3595" spans="1:11" hidden="1" outlineLevel="1" x14ac:dyDescent="0.25">
      <c r="A3595" s="689" t="s">
        <v>113</v>
      </c>
      <c r="B3595" s="689" t="s">
        <v>114</v>
      </c>
      <c r="C3595" s="689" t="s">
        <v>112</v>
      </c>
      <c r="D3595" s="689" t="s">
        <v>116</v>
      </c>
      <c r="E3595" s="689" t="s">
        <v>117</v>
      </c>
      <c r="F3595" s="1188" t="s">
        <v>121</v>
      </c>
      <c r="G3595" s="78"/>
    </row>
    <row r="3596" spans="1:11" hidden="1" outlineLevel="1" x14ac:dyDescent="0.25">
      <c r="A3596" s="936" t="s">
        <v>2894</v>
      </c>
      <c r="B3596" s="691" t="s">
        <v>115</v>
      </c>
      <c r="C3596" s="793">
        <v>4427.9350000000004</v>
      </c>
      <c r="D3596" s="793">
        <v>3846.6039999999998</v>
      </c>
      <c r="E3596" s="3813">
        <v>-0.12740000000000001</v>
      </c>
      <c r="F3596" s="3816">
        <v>-0.03</v>
      </c>
      <c r="G3596" s="78"/>
    </row>
    <row r="3597" spans="1:11" hidden="1" outlineLevel="1" x14ac:dyDescent="0.25">
      <c r="A3597" s="937" t="s">
        <v>2894</v>
      </c>
      <c r="B3597" s="695" t="s">
        <v>760</v>
      </c>
      <c r="C3597" s="797">
        <v>1508.1079999999999</v>
      </c>
      <c r="D3597" s="797">
        <v>1404.28</v>
      </c>
      <c r="E3597" s="3814"/>
      <c r="F3597" s="3817"/>
      <c r="G3597" s="78"/>
    </row>
    <row r="3598" spans="1:11" hidden="1" outlineLevel="1" x14ac:dyDescent="0.25">
      <c r="A3598" s="938" t="s">
        <v>2894</v>
      </c>
      <c r="B3598" s="695" t="s">
        <v>761</v>
      </c>
      <c r="C3598" s="797">
        <v>17598.357</v>
      </c>
      <c r="D3598" s="797">
        <v>13980.406000000001</v>
      </c>
      <c r="E3598" s="3815"/>
      <c r="F3598" s="3818"/>
      <c r="G3598" s="78"/>
    </row>
    <row r="3599" spans="1:11" hidden="1" outlineLevel="1" x14ac:dyDescent="0.25">
      <c r="A3599" s="936" t="s">
        <v>2442</v>
      </c>
      <c r="B3599" s="691" t="s">
        <v>115</v>
      </c>
      <c r="C3599" s="793">
        <v>3846.6</v>
      </c>
      <c r="D3599" s="793">
        <v>2406.5680000000002</v>
      </c>
      <c r="E3599" s="3813">
        <v>-0.3619</v>
      </c>
      <c r="F3599" s="3816">
        <v>-0.03</v>
      </c>
      <c r="G3599" s="78"/>
    </row>
    <row r="3600" spans="1:11" hidden="1" outlineLevel="1" x14ac:dyDescent="0.25">
      <c r="A3600" s="937" t="s">
        <v>2442</v>
      </c>
      <c r="B3600" s="695" t="s">
        <v>760</v>
      </c>
      <c r="C3600" s="797">
        <v>1404.28</v>
      </c>
      <c r="D3600" s="797">
        <v>903.92899999999997</v>
      </c>
      <c r="E3600" s="3814"/>
      <c r="F3600" s="3817"/>
      <c r="G3600" s="78"/>
    </row>
    <row r="3601" spans="1:8" hidden="1" outlineLevel="1" x14ac:dyDescent="0.25">
      <c r="A3601" s="938" t="s">
        <v>2442</v>
      </c>
      <c r="B3601" s="695" t="s">
        <v>761</v>
      </c>
      <c r="C3601" s="797">
        <v>13980.41</v>
      </c>
      <c r="D3601" s="797">
        <v>9257.4709999999995</v>
      </c>
      <c r="E3601" s="3815"/>
      <c r="F3601" s="3818"/>
      <c r="G3601" s="78"/>
    </row>
    <row r="3602" spans="1:8" hidden="1" outlineLevel="1" x14ac:dyDescent="0.25">
      <c r="A3602" s="936" t="s">
        <v>226</v>
      </c>
      <c r="B3602" s="691" t="s">
        <v>115</v>
      </c>
      <c r="C3602" s="793">
        <v>2406.5680000000002</v>
      </c>
      <c r="D3602" s="793">
        <v>2696.7159999999999</v>
      </c>
      <c r="E3602" s="3813">
        <v>0.1726</v>
      </c>
      <c r="F3602" s="3816">
        <v>6.2E-2</v>
      </c>
      <c r="G3602" s="78"/>
    </row>
    <row r="3603" spans="1:8" hidden="1" outlineLevel="1" x14ac:dyDescent="0.25">
      <c r="A3603" s="937" t="s">
        <v>226</v>
      </c>
      <c r="B3603" s="695" t="s">
        <v>760</v>
      </c>
      <c r="C3603" s="797">
        <v>903.92899999999997</v>
      </c>
      <c r="D3603" s="797">
        <v>1156.1099999999999</v>
      </c>
      <c r="E3603" s="3814"/>
      <c r="F3603" s="3817"/>
      <c r="G3603" s="78"/>
    </row>
    <row r="3604" spans="1:8" hidden="1" outlineLevel="1" x14ac:dyDescent="0.25">
      <c r="A3604" s="938" t="s">
        <v>226</v>
      </c>
      <c r="B3604" s="695" t="s">
        <v>761</v>
      </c>
      <c r="C3604" s="797">
        <v>9257.4709999999995</v>
      </c>
      <c r="D3604" s="797">
        <v>10414.441000000001</v>
      </c>
      <c r="E3604" s="3815"/>
      <c r="F3604" s="3818"/>
      <c r="G3604" s="78"/>
    </row>
    <row r="3605" spans="1:8" hidden="1" outlineLevel="1" x14ac:dyDescent="0.25">
      <c r="A3605" s="936" t="s">
        <v>177</v>
      </c>
      <c r="B3605" s="691" t="s">
        <v>115</v>
      </c>
      <c r="C3605" s="793">
        <v>2696.7159999999999</v>
      </c>
      <c r="D3605" s="793">
        <v>2943.6239999999998</v>
      </c>
      <c r="E3605" s="3813">
        <v>8.9399999999999993E-2</v>
      </c>
      <c r="F3605" s="3816">
        <v>6.2E-2</v>
      </c>
      <c r="G3605" s="78"/>
    </row>
    <row r="3606" spans="1:8" hidden="1" outlineLevel="1" x14ac:dyDescent="0.25">
      <c r="A3606" s="937" t="s">
        <v>177</v>
      </c>
      <c r="B3606" s="695" t="s">
        <v>760</v>
      </c>
      <c r="C3606" s="797">
        <v>1156.1099999999999</v>
      </c>
      <c r="D3606" s="797">
        <v>1347.241</v>
      </c>
      <c r="E3606" s="3814"/>
      <c r="F3606" s="3817"/>
      <c r="G3606" s="78"/>
    </row>
    <row r="3607" spans="1:8" hidden="1" outlineLevel="1" x14ac:dyDescent="0.25">
      <c r="A3607" s="938" t="s">
        <v>177</v>
      </c>
      <c r="B3607" s="695" t="s">
        <v>761</v>
      </c>
      <c r="C3607" s="797">
        <v>10414.441000000001</v>
      </c>
      <c r="D3607" s="797">
        <v>9749.3619999999992</v>
      </c>
      <c r="E3607" s="3815"/>
      <c r="F3607" s="3818"/>
      <c r="G3607" s="78"/>
    </row>
    <row r="3608" spans="1:8" hidden="1" outlineLevel="1" x14ac:dyDescent="0.25">
      <c r="A3608" s="936" t="s">
        <v>178</v>
      </c>
      <c r="B3608" s="691" t="s">
        <v>115</v>
      </c>
      <c r="C3608" s="793">
        <v>2943.6239999999998</v>
      </c>
      <c r="D3608" s="793">
        <v>2123.2429999999999</v>
      </c>
      <c r="E3608" s="3813">
        <v>-0.16120000000000001</v>
      </c>
      <c r="F3608" s="3816">
        <v>-0.03</v>
      </c>
      <c r="G3608" s="78"/>
    </row>
    <row r="3609" spans="1:8" hidden="1" outlineLevel="1" x14ac:dyDescent="0.25">
      <c r="A3609" s="937" t="s">
        <v>178</v>
      </c>
      <c r="B3609" s="695" t="s">
        <v>760</v>
      </c>
      <c r="C3609" s="797">
        <v>1347.241</v>
      </c>
      <c r="D3609" s="797">
        <v>1307.4590000000001</v>
      </c>
      <c r="E3609" s="3814"/>
      <c r="F3609" s="3817"/>
      <c r="G3609" s="78"/>
    </row>
    <row r="3610" spans="1:8" hidden="1" outlineLevel="1" x14ac:dyDescent="0.25">
      <c r="A3610" s="938" t="s">
        <v>178</v>
      </c>
      <c r="B3610" s="695" t="s">
        <v>761</v>
      </c>
      <c r="C3610" s="797">
        <v>9749.3619999999992</v>
      </c>
      <c r="D3610" s="797">
        <v>8506.8739999999998</v>
      </c>
      <c r="E3610" s="3815"/>
      <c r="F3610" s="3818"/>
      <c r="G3610" s="78"/>
    </row>
    <row r="3611" spans="1:8" collapsed="1" x14ac:dyDescent="0.25">
      <c r="A3611" s="3801" t="s">
        <v>911</v>
      </c>
      <c r="B3611" s="3802"/>
      <c r="C3611" s="3802"/>
      <c r="D3611" s="3802"/>
      <c r="E3611" s="729"/>
      <c r="F3611" s="752">
        <f>MAX(SUM(F3596:F3610),5%)</f>
        <v>0.05</v>
      </c>
      <c r="G3611" s="97" t="s">
        <v>781</v>
      </c>
    </row>
    <row r="3612" spans="1:8" x14ac:dyDescent="0.25">
      <c r="A3612" s="159"/>
      <c r="B3612" s="159"/>
      <c r="C3612" s="159"/>
      <c r="D3612" s="159"/>
      <c r="E3612" s="12"/>
      <c r="F3612" s="165"/>
      <c r="G3612" s="78"/>
      <c r="H3612" s="101">
        <f>F3574-F3589</f>
        <v>0.5874315186772463</v>
      </c>
    </row>
    <row r="3613" spans="1:8" hidden="1" outlineLevel="1" x14ac:dyDescent="0.25">
      <c r="A3613" s="689" t="s">
        <v>113</v>
      </c>
      <c r="B3613" s="689" t="s">
        <v>114</v>
      </c>
      <c r="C3613" s="689" t="s">
        <v>112</v>
      </c>
      <c r="D3613" s="689" t="s">
        <v>116</v>
      </c>
      <c r="E3613" s="689" t="s">
        <v>117</v>
      </c>
      <c r="F3613" s="1188" t="s">
        <v>121</v>
      </c>
      <c r="G3613" s="78"/>
    </row>
    <row r="3614" spans="1:8" hidden="1" outlineLevel="1" x14ac:dyDescent="0.25">
      <c r="A3614" s="690">
        <v>1</v>
      </c>
      <c r="B3614" s="691" t="s">
        <v>252</v>
      </c>
      <c r="C3614" s="692">
        <v>100</v>
      </c>
      <c r="D3614" s="692"/>
      <c r="E3614" s="693"/>
      <c r="F3614" s="694"/>
      <c r="G3614" s="78"/>
    </row>
    <row r="3615" spans="1:8" hidden="1" outlineLevel="1" x14ac:dyDescent="0.25">
      <c r="A3615" s="695"/>
      <c r="B3615" s="695"/>
      <c r="C3615" s="696"/>
      <c r="D3615" s="697"/>
      <c r="E3615" s="698"/>
      <c r="F3615" s="699"/>
      <c r="G3615" s="78"/>
    </row>
    <row r="3616" spans="1:8" hidden="1" outlineLevel="1" x14ac:dyDescent="0.25">
      <c r="A3616" s="689" t="s">
        <v>4156</v>
      </c>
      <c r="B3616" s="689" t="s">
        <v>4153</v>
      </c>
      <c r="C3616" s="497" t="s">
        <v>112</v>
      </c>
      <c r="D3616" s="495" t="s">
        <v>116</v>
      </c>
      <c r="E3616" s="689" t="s">
        <v>4154</v>
      </c>
      <c r="F3616" s="1021" t="s">
        <v>2519</v>
      </c>
      <c r="G3616" s="78"/>
    </row>
    <row r="3617" spans="1:8" hidden="1" outlineLevel="1" x14ac:dyDescent="0.25">
      <c r="A3617" s="1074">
        <v>0.05</v>
      </c>
      <c r="B3617" s="755" t="s">
        <v>157</v>
      </c>
      <c r="C3617" s="1007">
        <v>12.31</v>
      </c>
      <c r="D3617" s="803">
        <v>8.6219999999999999</v>
      </c>
      <c r="E3617" s="895">
        <f>D3617/C3617-1</f>
        <v>-0.29959382615759544</v>
      </c>
      <c r="F3617" s="1021">
        <f>E3617*A3617</f>
        <v>-1.4979691307879774E-2</v>
      </c>
      <c r="G3617" s="78"/>
      <c r="H3617" t="str">
        <f>VLOOKUP(B3617,indexy!$A$44:$D$210,3,FALSE)</f>
        <v>SAN SM Equity</v>
      </c>
    </row>
    <row r="3618" spans="1:8" hidden="1" outlineLevel="1" x14ac:dyDescent="0.25">
      <c r="A3618" s="1075">
        <v>0.05</v>
      </c>
      <c r="B3618" s="740" t="s">
        <v>1106</v>
      </c>
      <c r="C3618" s="1008">
        <v>22.382000000000001</v>
      </c>
      <c r="D3618" s="908">
        <v>0.23</v>
      </c>
      <c r="E3618" s="896">
        <f t="shared" ref="E3618:E3636" si="133">D3618/C3618-1</f>
        <v>-0.98972388526494504</v>
      </c>
      <c r="F3618" s="946">
        <f t="shared" ref="F3618:F3636" si="134">E3618*A3618</f>
        <v>-4.9486194263247255E-2</v>
      </c>
      <c r="G3618" s="78"/>
      <c r="H3618" t="e">
        <f>VLOOKUP(B3618,indexy!$A$44:$D$234,3,FALSE)</f>
        <v>#N/A</v>
      </c>
    </row>
    <row r="3619" spans="1:8" hidden="1" outlineLevel="1" x14ac:dyDescent="0.25">
      <c r="A3619" s="1075">
        <v>0.05</v>
      </c>
      <c r="B3619" s="996" t="s">
        <v>218</v>
      </c>
      <c r="C3619" s="1008">
        <v>32.54</v>
      </c>
      <c r="D3619" s="908">
        <v>15.15</v>
      </c>
      <c r="E3619" s="896">
        <f t="shared" si="133"/>
        <v>-0.53441917639827907</v>
      </c>
      <c r="F3619" s="946">
        <f t="shared" si="134"/>
        <v>-2.6720958819913956E-2</v>
      </c>
      <c r="G3619" s="78"/>
      <c r="H3619" t="str">
        <f>VLOOKUP(B3619,indexy!$A$44:$D$210,3,FALSE)</f>
        <v>CS FP Equity</v>
      </c>
    </row>
    <row r="3620" spans="1:8" hidden="1" outlineLevel="1" x14ac:dyDescent="0.25">
      <c r="A3620" s="1075">
        <v>0.05</v>
      </c>
      <c r="B3620" s="743" t="s">
        <v>1994</v>
      </c>
      <c r="C3620" s="1008">
        <v>51.095999999999997</v>
      </c>
      <c r="D3620" s="908">
        <v>12.28</v>
      </c>
      <c r="E3620" s="896">
        <f t="shared" si="133"/>
        <v>-0.75966807577892592</v>
      </c>
      <c r="F3620" s="946">
        <f t="shared" si="134"/>
        <v>-3.7983403788946296E-2</v>
      </c>
      <c r="G3620" s="78"/>
      <c r="H3620" t="str">
        <f>VLOOKUP(B3620,indexy!$A$44:$D$210,3,FALSE)</f>
        <v>BAC UN Equity</v>
      </c>
    </row>
    <row r="3621" spans="1:8" hidden="1" outlineLevel="1" x14ac:dyDescent="0.25">
      <c r="A3621" s="1075">
        <v>0.05</v>
      </c>
      <c r="B3621" s="740" t="s">
        <v>1385</v>
      </c>
      <c r="C3621" s="1008">
        <f>16.261*0.635714</f>
        <v>10.337345354</v>
      </c>
      <c r="D3621" s="908">
        <v>0.28000000000000003</v>
      </c>
      <c r="E3621" s="896">
        <f t="shared" si="133"/>
        <v>-0.9729137423186065</v>
      </c>
      <c r="F3621" s="946">
        <f t="shared" si="134"/>
        <v>-4.8645687115930328E-2</v>
      </c>
      <c r="G3621" s="78"/>
      <c r="H3621" t="e">
        <f>VLOOKUP(B3621,indexy!$A$44:$D$210,3,FALSE)</f>
        <v>#N/A</v>
      </c>
    </row>
    <row r="3622" spans="1:8" hidden="1" outlineLevel="1" x14ac:dyDescent="0.25">
      <c r="A3622" s="1075">
        <v>0.05</v>
      </c>
      <c r="B3622" s="743" t="s">
        <v>873</v>
      </c>
      <c r="C3622" s="1008">
        <v>699</v>
      </c>
      <c r="D3622" s="908">
        <v>2.823</v>
      </c>
      <c r="E3622" s="896">
        <f t="shared" si="133"/>
        <v>-0.9959613733905579</v>
      </c>
      <c r="F3622" s="946">
        <f t="shared" si="134"/>
        <v>-4.9798068669527899E-2</v>
      </c>
      <c r="G3622" s="78"/>
      <c r="H3622" t="str">
        <f>VLOOKUP(B3622,indexy!$A$44:$D$210,3,FALSE)</f>
        <v>BARC LN Equity</v>
      </c>
    </row>
    <row r="3623" spans="1:8" hidden="1" outlineLevel="1" x14ac:dyDescent="0.25">
      <c r="A3623" s="1075">
        <v>0.05</v>
      </c>
      <c r="B3623" s="743" t="s">
        <v>3019</v>
      </c>
      <c r="C3623" s="1008">
        <v>90.49</v>
      </c>
      <c r="D3623" s="908">
        <v>53.43</v>
      </c>
      <c r="E3623" s="896">
        <f t="shared" si="133"/>
        <v>-0.40954801635539839</v>
      </c>
      <c r="F3623" s="946">
        <f t="shared" si="134"/>
        <v>-2.0477400817769921E-2</v>
      </c>
      <c r="G3623" s="78"/>
      <c r="H3623" t="str">
        <f>VLOOKUP(B3623,indexy!$A$44:$D$210,3,FALSE)</f>
        <v>BNP FP Equity</v>
      </c>
    </row>
    <row r="3624" spans="1:8" hidden="1" outlineLevel="1" x14ac:dyDescent="0.25">
      <c r="A3624" s="1075">
        <v>0.05</v>
      </c>
      <c r="B3624" s="743" t="s">
        <v>1847</v>
      </c>
      <c r="C3624" s="1008">
        <v>54.069000000000003</v>
      </c>
      <c r="D3624" s="908">
        <v>4.59</v>
      </c>
      <c r="E3624" s="896">
        <f t="shared" si="133"/>
        <v>-0.91510847250735172</v>
      </c>
      <c r="F3624" s="946">
        <f t="shared" si="134"/>
        <v>-4.5755423625367588E-2</v>
      </c>
      <c r="G3624" s="78"/>
      <c r="H3624" t="str">
        <f>VLOOKUP(B3624,indexy!$A$44:$D$210,3,FALSE)</f>
        <v>C UN Equity</v>
      </c>
    </row>
    <row r="3625" spans="1:8" hidden="1" outlineLevel="1" x14ac:dyDescent="0.25">
      <c r="A3625" s="1075">
        <v>0.05</v>
      </c>
      <c r="B3625" s="996" t="s">
        <v>1108</v>
      </c>
      <c r="C3625" s="1008">
        <v>106.18</v>
      </c>
      <c r="D3625" s="908">
        <v>44.1</v>
      </c>
      <c r="E3625" s="896">
        <f t="shared" si="133"/>
        <v>-0.58466754567715196</v>
      </c>
      <c r="F3625" s="946">
        <f t="shared" si="134"/>
        <v>-2.9233377283857599E-2</v>
      </c>
      <c r="G3625" s="78"/>
      <c r="H3625" t="str">
        <f>VLOOKUP(B3625,indexy!$A$44:$D$234,3,FALSE)</f>
        <v>DBK GY Equity</v>
      </c>
    </row>
    <row r="3626" spans="1:8" hidden="1" outlineLevel="1" x14ac:dyDescent="0.25">
      <c r="A3626" s="1075">
        <v>0.05</v>
      </c>
      <c r="B3626" s="743" t="s">
        <v>3017</v>
      </c>
      <c r="C3626" s="1008">
        <v>24.323</v>
      </c>
      <c r="D3626" s="908">
        <v>2.69</v>
      </c>
      <c r="E3626" s="896">
        <f t="shared" si="133"/>
        <v>-0.88940508983266864</v>
      </c>
      <c r="F3626" s="946">
        <f t="shared" si="134"/>
        <v>-4.4470254491633436E-2</v>
      </c>
      <c r="G3626" s="78"/>
      <c r="H3626" t="e">
        <f>VLOOKUP(B3626,indexy!$A$44:$D$210,3,FALSE)</f>
        <v>#N/A</v>
      </c>
    </row>
    <row r="3627" spans="1:8" hidden="1" outlineLevel="1" x14ac:dyDescent="0.25">
      <c r="A3627" s="1075">
        <v>0.05</v>
      </c>
      <c r="B3627" s="743" t="s">
        <v>1176</v>
      </c>
      <c r="C3627" s="1008">
        <v>27.31</v>
      </c>
      <c r="D3627" s="908">
        <v>2.0489999999999999</v>
      </c>
      <c r="E3627" s="896">
        <f t="shared" si="133"/>
        <v>-0.92497253753203956</v>
      </c>
      <c r="F3627" s="946">
        <f t="shared" si="134"/>
        <v>-4.624862687660198E-2</v>
      </c>
      <c r="G3627" s="78"/>
      <c r="H3627" t="str">
        <f>VLOOKUP(B3627,indexy!$A$44:$D$210,3,FALSE)</f>
        <v>AGS BB Equity</v>
      </c>
    </row>
    <row r="3628" spans="1:8" hidden="1" outlineLevel="1" x14ac:dyDescent="0.25">
      <c r="A3628" s="1075">
        <v>0.05</v>
      </c>
      <c r="B3628" s="743" t="s">
        <v>2588</v>
      </c>
      <c r="C3628" s="1008">
        <v>25.52</v>
      </c>
      <c r="D3628" s="908">
        <v>8.9</v>
      </c>
      <c r="E3628" s="896">
        <f t="shared" si="133"/>
        <v>-0.65125391849529779</v>
      </c>
      <c r="F3628" s="946">
        <f t="shared" si="134"/>
        <v>-3.2562695924764892E-2</v>
      </c>
      <c r="G3628" s="78"/>
      <c r="H3628" t="str">
        <f>VLOOKUP(B3628,indexy!$A$44:$D$210,3,FALSE)</f>
        <v>INGA NA Equity</v>
      </c>
    </row>
    <row r="3629" spans="1:8" hidden="1" outlineLevel="1" x14ac:dyDescent="0.25">
      <c r="A3629" s="1075">
        <v>0.05</v>
      </c>
      <c r="B3629" s="740" t="s">
        <v>44</v>
      </c>
      <c r="C3629" s="1008">
        <v>5.99</v>
      </c>
      <c r="D3629" s="908">
        <v>2.242</v>
      </c>
      <c r="E3629" s="896">
        <f t="shared" si="133"/>
        <v>-0.62570951585976631</v>
      </c>
      <c r="F3629" s="946">
        <f t="shared" si="134"/>
        <v>-3.1285475792988314E-2</v>
      </c>
      <c r="G3629" s="78"/>
      <c r="H3629" t="str">
        <f>VLOOKUP(B3629,indexy!$A$44:$D$210,3,FALSE)</f>
        <v>ISP IM Equity</v>
      </c>
    </row>
    <row r="3630" spans="1:8" hidden="1" outlineLevel="1" x14ac:dyDescent="0.25">
      <c r="A3630" s="1075">
        <v>0.05</v>
      </c>
      <c r="B3630" s="743" t="s">
        <v>1526</v>
      </c>
      <c r="C3630" s="1008">
        <v>101.654</v>
      </c>
      <c r="D3630" s="908">
        <v>27.52</v>
      </c>
      <c r="E3630" s="896">
        <f t="shared" si="133"/>
        <v>-0.72927774607983942</v>
      </c>
      <c r="F3630" s="946">
        <f t="shared" si="134"/>
        <v>-3.6463887303991971E-2</v>
      </c>
      <c r="G3630" s="78"/>
      <c r="H3630" t="str">
        <f>VLOOKUP(B3630,indexy!$A$44:$D$210,3,FALSE)</f>
        <v>KBC BB Equity</v>
      </c>
    </row>
    <row r="3631" spans="1:8" hidden="1" outlineLevel="1" x14ac:dyDescent="0.25">
      <c r="A3631" s="1075">
        <v>0.05</v>
      </c>
      <c r="B3631" s="743" t="s">
        <v>1203</v>
      </c>
      <c r="C3631" s="1008">
        <v>91.59</v>
      </c>
      <c r="D3631" s="908">
        <v>68.95</v>
      </c>
      <c r="E3631" s="896">
        <f t="shared" si="133"/>
        <v>-0.24718855770280601</v>
      </c>
      <c r="F3631" s="946">
        <f t="shared" si="134"/>
        <v>-1.2359427885140301E-2</v>
      </c>
      <c r="G3631" s="78"/>
      <c r="H3631" t="str">
        <f>VLOOKUP(B3631,indexy!$A$44:$D$210,3,FALSE)</f>
        <v>NDA SS Equity</v>
      </c>
    </row>
    <row r="3632" spans="1:8" hidden="1" outlineLevel="1" x14ac:dyDescent="0.25">
      <c r="A3632" s="1075">
        <v>0.05</v>
      </c>
      <c r="B3632" s="743" t="s">
        <v>2587</v>
      </c>
      <c r="C3632" s="1008">
        <v>557.52</v>
      </c>
      <c r="D3632" s="908">
        <v>0.41470000000000001</v>
      </c>
      <c r="E3632" s="896">
        <f t="shared" si="133"/>
        <v>-0.99925617018223567</v>
      </c>
      <c r="F3632" s="946">
        <f t="shared" si="134"/>
        <v>-4.9962808509111785E-2</v>
      </c>
      <c r="G3632" s="78"/>
      <c r="H3632" t="e">
        <f>VLOOKUP(B3632,indexy!$A$44:$D$210,3,FALSE)</f>
        <v>#N/A</v>
      </c>
    </row>
    <row r="3633" spans="1:8" hidden="1" outlineLevel="1" x14ac:dyDescent="0.25">
      <c r="A3633" s="1075">
        <v>0.05</v>
      </c>
      <c r="B3633" s="743" t="s">
        <v>2166</v>
      </c>
      <c r="C3633" s="1008">
        <v>134.22499999999999</v>
      </c>
      <c r="D3633" s="908">
        <v>45.16</v>
      </c>
      <c r="E3633" s="896">
        <f t="shared" si="133"/>
        <v>-0.66355000931272112</v>
      </c>
      <c r="F3633" s="946">
        <f t="shared" si="134"/>
        <v>-3.3177500465636056E-2</v>
      </c>
      <c r="G3633" s="78"/>
      <c r="H3633" t="str">
        <f>VLOOKUP(B3633,indexy!$A$44:$D$210,3,FALSE)</f>
        <v>GLE FP Equity</v>
      </c>
    </row>
    <row r="3634" spans="1:8" hidden="1" outlineLevel="1" x14ac:dyDescent="0.25">
      <c r="A3634" s="1075">
        <v>0.05</v>
      </c>
      <c r="B3634" s="743" t="s">
        <v>182</v>
      </c>
      <c r="C3634" s="1008">
        <v>72.430000000000007</v>
      </c>
      <c r="D3634" s="908">
        <v>17.29</v>
      </c>
      <c r="E3634" s="896">
        <f t="shared" si="133"/>
        <v>-0.7612867596299876</v>
      </c>
      <c r="F3634" s="946">
        <f t="shared" si="134"/>
        <v>-3.8064337981499385E-2</v>
      </c>
      <c r="G3634" s="78"/>
      <c r="H3634" t="str">
        <f>VLOOKUP(B3634,indexy!$A$44:$D$210,3,FALSE)</f>
        <v>UBS US Equity</v>
      </c>
    </row>
    <row r="3635" spans="1:8" hidden="1" outlineLevel="1" x14ac:dyDescent="0.25">
      <c r="A3635" s="1075">
        <v>0.05</v>
      </c>
      <c r="B3635" s="743" t="s">
        <v>2628</v>
      </c>
      <c r="C3635" s="1008">
        <v>6.3</v>
      </c>
      <c r="D3635" s="908">
        <v>1.738</v>
      </c>
      <c r="E3635" s="896">
        <f t="shared" si="133"/>
        <v>-0.72412698412698417</v>
      </c>
      <c r="F3635" s="946">
        <f t="shared" si="134"/>
        <v>-3.6206349206349207E-2</v>
      </c>
      <c r="G3635" s="78"/>
      <c r="H3635" t="e">
        <f>VLOOKUP(B3635,indexy!$A$44:$D$210,3,FALSE)</f>
        <v>#N/A</v>
      </c>
    </row>
    <row r="3636" spans="1:8" hidden="1" outlineLevel="1" x14ac:dyDescent="0.25">
      <c r="A3636" s="1076">
        <v>0.05</v>
      </c>
      <c r="B3636" s="824" t="s">
        <v>2137</v>
      </c>
      <c r="C3636" s="1009">
        <v>34.572000000000003</v>
      </c>
      <c r="D3636" s="715">
        <v>25.82</v>
      </c>
      <c r="E3636" s="947">
        <f t="shared" si="133"/>
        <v>-0.25315284044891828</v>
      </c>
      <c r="F3636" s="1023">
        <f t="shared" si="134"/>
        <v>-1.2657642022445915E-2</v>
      </c>
      <c r="G3636" s="78"/>
      <c r="H3636" t="str">
        <f>VLOOKUP(B3636,indexy!$A$44:$D$210,3,FALSE)</f>
        <v>USB UN Equity</v>
      </c>
    </row>
    <row r="3637" spans="1:8" hidden="1" outlineLevel="1" x14ac:dyDescent="0.25">
      <c r="A3637" s="749"/>
      <c r="B3637" s="750"/>
      <c r="C3637" s="727"/>
      <c r="D3637" s="727"/>
      <c r="E3637" s="716"/>
      <c r="F3637" s="770">
        <f>SUM(F3617:F3636)</f>
        <v>-0.69653921215260395</v>
      </c>
      <c r="G3637" s="78"/>
    </row>
    <row r="3638" spans="1:8" hidden="1" outlineLevel="1" x14ac:dyDescent="0.25">
      <c r="A3638" s="749"/>
      <c r="B3638" s="750"/>
      <c r="C3638" s="727"/>
      <c r="D3638" s="727"/>
      <c r="E3638" s="716"/>
      <c r="F3638" s="770"/>
      <c r="G3638" s="78"/>
    </row>
    <row r="3639" spans="1:8" hidden="1" outlineLevel="1" x14ac:dyDescent="0.25">
      <c r="A3639" s="962" t="s">
        <v>179</v>
      </c>
      <c r="B3639" s="944">
        <v>39264</v>
      </c>
      <c r="C3639" s="727">
        <v>100</v>
      </c>
      <c r="D3639" s="727">
        <v>89.881100000000004</v>
      </c>
      <c r="E3639" s="716">
        <f t="shared" ref="E3639:E3654" si="135">D3639/C3639-1</f>
        <v>-0.10118899999999997</v>
      </c>
      <c r="F3639" s="731">
        <f>E3639</f>
        <v>-0.10118899999999997</v>
      </c>
      <c r="G3639" s="78"/>
    </row>
    <row r="3640" spans="1:8" hidden="1" outlineLevel="1" x14ac:dyDescent="0.25">
      <c r="A3640" s="962" t="s">
        <v>180</v>
      </c>
      <c r="B3640" s="944">
        <v>39356</v>
      </c>
      <c r="C3640" s="727">
        <v>100</v>
      </c>
      <c r="D3640" s="727">
        <v>86.983500000000006</v>
      </c>
      <c r="E3640" s="716">
        <f t="shared" si="135"/>
        <v>-0.13016499999999998</v>
      </c>
      <c r="F3640" s="731">
        <f>E3640</f>
        <v>-0.13016499999999998</v>
      </c>
      <c r="G3640" s="78"/>
    </row>
    <row r="3641" spans="1:8" hidden="1" outlineLevel="1" x14ac:dyDescent="0.25">
      <c r="A3641" s="962" t="s">
        <v>1641</v>
      </c>
      <c r="B3641" s="944">
        <v>39448</v>
      </c>
      <c r="C3641" s="727">
        <v>100</v>
      </c>
      <c r="D3641" s="727">
        <v>69.159899999999993</v>
      </c>
      <c r="E3641" s="716">
        <f t="shared" si="135"/>
        <v>-0.30840100000000004</v>
      </c>
      <c r="F3641" s="731">
        <f t="shared" ref="F3641:F3654" si="136">E3641</f>
        <v>-0.30840100000000004</v>
      </c>
      <c r="G3641" s="78"/>
    </row>
    <row r="3642" spans="1:8" hidden="1" outlineLevel="1" x14ac:dyDescent="0.25">
      <c r="A3642" s="962" t="s">
        <v>2792</v>
      </c>
      <c r="B3642" s="944">
        <v>39539</v>
      </c>
      <c r="C3642" s="727">
        <v>100</v>
      </c>
      <c r="D3642" s="727">
        <v>69.741200000000006</v>
      </c>
      <c r="E3642" s="716">
        <f t="shared" si="135"/>
        <v>-0.30258799999999997</v>
      </c>
      <c r="F3642" s="731">
        <f t="shared" si="136"/>
        <v>-0.30258799999999997</v>
      </c>
      <c r="G3642" s="78"/>
    </row>
    <row r="3643" spans="1:8" hidden="1" outlineLevel="1" x14ac:dyDescent="0.25">
      <c r="A3643" s="962" t="s">
        <v>2793</v>
      </c>
      <c r="B3643" s="944">
        <v>39630</v>
      </c>
      <c r="C3643" s="727">
        <v>100</v>
      </c>
      <c r="D3643" s="727">
        <v>53.420099999999998</v>
      </c>
      <c r="E3643" s="716">
        <f t="shared" si="135"/>
        <v>-0.46579900000000007</v>
      </c>
      <c r="F3643" s="731">
        <f t="shared" si="136"/>
        <v>-0.46579900000000007</v>
      </c>
      <c r="G3643" s="78"/>
    </row>
    <row r="3644" spans="1:8" hidden="1" outlineLevel="1" x14ac:dyDescent="0.25">
      <c r="A3644" s="962" t="s">
        <v>3840</v>
      </c>
      <c r="B3644" s="944">
        <v>39722</v>
      </c>
      <c r="C3644" s="727">
        <v>100</v>
      </c>
      <c r="D3644" s="727">
        <v>34.009</v>
      </c>
      <c r="E3644" s="716">
        <f t="shared" si="135"/>
        <v>-0.65991</v>
      </c>
      <c r="F3644" s="731">
        <f t="shared" si="136"/>
        <v>-0.65991</v>
      </c>
      <c r="G3644" s="78"/>
    </row>
    <row r="3645" spans="1:8" hidden="1" outlineLevel="1" x14ac:dyDescent="0.25">
      <c r="A3645" s="962" t="s">
        <v>3841</v>
      </c>
      <c r="B3645" s="944">
        <v>39814</v>
      </c>
      <c r="C3645" s="727">
        <v>100</v>
      </c>
      <c r="D3645" s="727">
        <v>21.004200000000001</v>
      </c>
      <c r="E3645" s="716">
        <f t="shared" si="135"/>
        <v>-0.78995799999999994</v>
      </c>
      <c r="F3645" s="731">
        <f t="shared" si="136"/>
        <v>-0.78995799999999994</v>
      </c>
      <c r="G3645" s="78"/>
    </row>
    <row r="3646" spans="1:8" hidden="1" outlineLevel="1" x14ac:dyDescent="0.25">
      <c r="A3646" s="962" t="s">
        <v>3842</v>
      </c>
      <c r="B3646" s="944">
        <v>39904</v>
      </c>
      <c r="C3646" s="727">
        <v>100</v>
      </c>
      <c r="D3646" s="727">
        <v>27.495000000000001</v>
      </c>
      <c r="E3646" s="716">
        <f t="shared" si="135"/>
        <v>-0.72504999999999997</v>
      </c>
      <c r="F3646" s="731">
        <f t="shared" si="136"/>
        <v>-0.72504999999999997</v>
      </c>
      <c r="G3646" s="78"/>
    </row>
    <row r="3647" spans="1:8" hidden="1" outlineLevel="1" x14ac:dyDescent="0.25">
      <c r="A3647" s="962" t="s">
        <v>1663</v>
      </c>
      <c r="B3647" s="944">
        <v>39995</v>
      </c>
      <c r="C3647" s="727">
        <v>100</v>
      </c>
      <c r="D3647" s="727">
        <v>33.262799999999999</v>
      </c>
      <c r="E3647" s="716">
        <f t="shared" si="135"/>
        <v>-0.66737200000000008</v>
      </c>
      <c r="F3647" s="731">
        <f t="shared" si="136"/>
        <v>-0.66737200000000008</v>
      </c>
      <c r="G3647" s="78"/>
    </row>
    <row r="3648" spans="1:8" hidden="1" outlineLevel="1" x14ac:dyDescent="0.25">
      <c r="A3648" s="962" t="s">
        <v>1664</v>
      </c>
      <c r="B3648" s="944">
        <v>40087</v>
      </c>
      <c r="C3648" s="727">
        <v>100</v>
      </c>
      <c r="D3648" s="727">
        <v>36.5381</v>
      </c>
      <c r="E3648" s="716">
        <f t="shared" si="135"/>
        <v>-0.63461900000000004</v>
      </c>
      <c r="F3648" s="731">
        <f t="shared" si="136"/>
        <v>-0.63461900000000004</v>
      </c>
      <c r="G3648" s="78"/>
    </row>
    <row r="3649" spans="1:12" hidden="1" outlineLevel="1" x14ac:dyDescent="0.25">
      <c r="A3649" s="962" t="s">
        <v>1665</v>
      </c>
      <c r="B3649" s="944">
        <v>40179</v>
      </c>
      <c r="C3649" s="727">
        <v>100</v>
      </c>
      <c r="D3649" s="727">
        <v>34.108699999999999</v>
      </c>
      <c r="E3649" s="716">
        <f t="shared" si="135"/>
        <v>-0.65891300000000008</v>
      </c>
      <c r="F3649" s="731">
        <f t="shared" si="136"/>
        <v>-0.65891300000000008</v>
      </c>
      <c r="G3649" s="78"/>
    </row>
    <row r="3650" spans="1:12" hidden="1" outlineLevel="1" x14ac:dyDescent="0.25">
      <c r="A3650" s="962" t="s">
        <v>1666</v>
      </c>
      <c r="B3650" s="944">
        <v>40269</v>
      </c>
      <c r="C3650" s="727">
        <v>100</v>
      </c>
      <c r="D3650" s="727">
        <v>35.589500000000001</v>
      </c>
      <c r="E3650" s="716">
        <f t="shared" si="135"/>
        <v>-0.64410499999999993</v>
      </c>
      <c r="F3650" s="731">
        <f t="shared" si="136"/>
        <v>-0.64410499999999993</v>
      </c>
      <c r="G3650" s="78"/>
    </row>
    <row r="3651" spans="1:12" hidden="1" outlineLevel="1" x14ac:dyDescent="0.25">
      <c r="A3651" s="962" t="s">
        <v>1667</v>
      </c>
      <c r="B3651" s="944">
        <v>40360</v>
      </c>
      <c r="C3651" s="727">
        <v>100</v>
      </c>
      <c r="D3651" s="727">
        <v>35.014800000000001</v>
      </c>
      <c r="E3651" s="716">
        <f t="shared" si="135"/>
        <v>-0.64985199999999999</v>
      </c>
      <c r="F3651" s="731">
        <f t="shared" si="136"/>
        <v>-0.64985199999999999</v>
      </c>
      <c r="G3651" s="78"/>
    </row>
    <row r="3652" spans="1:12" hidden="1" outlineLevel="1" x14ac:dyDescent="0.25">
      <c r="A3652" s="962" t="s">
        <v>3025</v>
      </c>
      <c r="B3652" s="944">
        <v>40452</v>
      </c>
      <c r="C3652" s="727">
        <v>100</v>
      </c>
      <c r="D3652" s="727">
        <v>32.777200000000001</v>
      </c>
      <c r="E3652" s="716">
        <f t="shared" si="135"/>
        <v>-0.67222800000000005</v>
      </c>
      <c r="F3652" s="731">
        <f t="shared" si="136"/>
        <v>-0.67222800000000005</v>
      </c>
      <c r="G3652" s="78"/>
      <c r="H3652" t="s">
        <v>1837</v>
      </c>
    </row>
    <row r="3653" spans="1:12" hidden="1" outlineLevel="1" x14ac:dyDescent="0.25">
      <c r="A3653" s="962" t="s">
        <v>3026</v>
      </c>
      <c r="B3653" s="944">
        <v>40544</v>
      </c>
      <c r="C3653" s="727">
        <v>100</v>
      </c>
      <c r="D3653" s="727">
        <v>34.168700000000001</v>
      </c>
      <c r="E3653" s="716">
        <f t="shared" si="135"/>
        <v>-0.65831299999999993</v>
      </c>
      <c r="F3653" s="731">
        <f t="shared" si="136"/>
        <v>-0.65831299999999993</v>
      </c>
      <c r="G3653" s="78"/>
      <c r="H3653" s="101">
        <f>AVERAGE(F3639:F3654)</f>
        <v>-0.54633418750000007</v>
      </c>
    </row>
    <row r="3654" spans="1:12" hidden="1" outlineLevel="1" x14ac:dyDescent="0.25">
      <c r="A3654" s="962" t="s">
        <v>4193</v>
      </c>
      <c r="B3654" s="944">
        <v>40634</v>
      </c>
      <c r="C3654" s="727">
        <v>100</v>
      </c>
      <c r="D3654" s="727">
        <v>32.711500000000001</v>
      </c>
      <c r="E3654" s="716">
        <f t="shared" si="135"/>
        <v>-0.67288499999999996</v>
      </c>
      <c r="F3654" s="731">
        <f t="shared" si="136"/>
        <v>-0.67288499999999996</v>
      </c>
      <c r="G3654" s="78"/>
    </row>
    <row r="3655" spans="1:12" collapsed="1" x14ac:dyDescent="0.25">
      <c r="A3655" s="3801" t="s">
        <v>1690</v>
      </c>
      <c r="B3655" s="3802"/>
      <c r="C3655" s="3802"/>
      <c r="D3655" s="3802"/>
      <c r="E3655" s="721" t="s">
        <v>2722</v>
      </c>
      <c r="F3655" s="722">
        <f>MAX(AVERAGE(F3639:F3654),0)</f>
        <v>0</v>
      </c>
      <c r="G3655" s="97" t="s">
        <v>781</v>
      </c>
    </row>
    <row r="3656" spans="1:12" x14ac:dyDescent="0.25">
      <c r="A3656" s="159"/>
      <c r="B3656" s="159"/>
      <c r="C3656" s="159"/>
      <c r="D3656" s="159"/>
      <c r="E3656" s="12"/>
      <c r="F3656" s="165"/>
      <c r="G3656" s="78"/>
    </row>
    <row r="3657" spans="1:12" hidden="1" outlineLevel="1" x14ac:dyDescent="0.25">
      <c r="A3657" s="689" t="s">
        <v>113</v>
      </c>
      <c r="B3657" s="689" t="s">
        <v>114</v>
      </c>
      <c r="C3657" s="689" t="s">
        <v>112</v>
      </c>
      <c r="D3657" s="689" t="s">
        <v>116</v>
      </c>
      <c r="E3657" s="689" t="s">
        <v>117</v>
      </c>
      <c r="F3657" s="1188" t="s">
        <v>121</v>
      </c>
      <c r="G3657" s="78"/>
    </row>
    <row r="3658" spans="1:12" hidden="1" outlineLevel="1" x14ac:dyDescent="0.25">
      <c r="A3658" s="690">
        <v>1</v>
      </c>
      <c r="B3658" s="691" t="s">
        <v>252</v>
      </c>
      <c r="C3658" s="692">
        <v>100</v>
      </c>
      <c r="D3658" s="692"/>
      <c r="E3658" s="693"/>
      <c r="F3658" s="694"/>
      <c r="G3658" s="78"/>
    </row>
    <row r="3659" spans="1:12" hidden="1" outlineLevel="1" x14ac:dyDescent="0.25">
      <c r="A3659" s="695"/>
      <c r="B3659" s="695"/>
      <c r="C3659" s="696"/>
      <c r="D3659" s="697" t="s">
        <v>3702</v>
      </c>
      <c r="E3659" s="698">
        <v>41089</v>
      </c>
      <c r="F3659" s="699"/>
      <c r="G3659" s="78"/>
    </row>
    <row r="3660" spans="1:12" hidden="1" outlineLevel="1" x14ac:dyDescent="0.25">
      <c r="A3660" s="689" t="s">
        <v>4156</v>
      </c>
      <c r="B3660" s="689" t="s">
        <v>4153</v>
      </c>
      <c r="C3660" s="700" t="s">
        <v>112</v>
      </c>
      <c r="D3660" s="689" t="s">
        <v>4155</v>
      </c>
      <c r="E3660" s="689" t="s">
        <v>4154</v>
      </c>
      <c r="F3660" s="1021" t="s">
        <v>2519</v>
      </c>
      <c r="G3660" s="78"/>
      <c r="J3660" t="s">
        <v>2040</v>
      </c>
    </row>
    <row r="3661" spans="1:12" hidden="1" outlineLevel="1" x14ac:dyDescent="0.25">
      <c r="A3661" s="734">
        <v>0.02</v>
      </c>
      <c r="B3661" s="735" t="s">
        <v>2703</v>
      </c>
      <c r="C3661" s="807">
        <v>86.605999999999995</v>
      </c>
      <c r="D3661" s="803">
        <v>89.6</v>
      </c>
      <c r="E3661" s="705">
        <v>3.4570353093319239E-2</v>
      </c>
      <c r="F3661" s="1021">
        <v>6.9140706186638485E-4</v>
      </c>
      <c r="G3661" s="78"/>
      <c r="H3661" t="str">
        <f>VLOOKUP(B3661,indexy!$A$44:$D$210,3,FALSE)</f>
        <v>MMM UN Equity</v>
      </c>
      <c r="J3661" s="353">
        <v>40544</v>
      </c>
      <c r="K3661">
        <v>97.0428</v>
      </c>
      <c r="L3661" s="37">
        <f>IF(K3661="",L3660,K3661/100-1)</f>
        <v>-2.9572000000000043E-2</v>
      </c>
    </row>
    <row r="3662" spans="1:12" hidden="1" outlineLevel="1" x14ac:dyDescent="0.25">
      <c r="A3662" s="739">
        <v>0.02</v>
      </c>
      <c r="B3662" s="740" t="s">
        <v>2704</v>
      </c>
      <c r="C3662" s="809">
        <v>114.795</v>
      </c>
      <c r="D3662" s="908">
        <v>148.4</v>
      </c>
      <c r="E3662" s="709">
        <v>0.29273923080273545</v>
      </c>
      <c r="F3662" s="946">
        <v>5.854784616054709E-3</v>
      </c>
      <c r="G3662" s="78"/>
      <c r="H3662" t="e">
        <f>VLOOKUP(B3662,indexy!$A$44:$D$210,3,FALSE)</f>
        <v>#N/A</v>
      </c>
      <c r="J3662" s="256">
        <v>40575</v>
      </c>
      <c r="K3662">
        <v>98.566299999999998</v>
      </c>
      <c r="L3662" s="37">
        <f t="shared" ref="L3662:L3678" si="137">IF(K3662="",L3661,K3662/100-1)</f>
        <v>-1.4337000000000044E-2</v>
      </c>
    </row>
    <row r="3663" spans="1:12" hidden="1" outlineLevel="1" x14ac:dyDescent="0.25">
      <c r="A3663" s="739">
        <v>0.05</v>
      </c>
      <c r="B3663" s="740" t="s">
        <v>4002</v>
      </c>
      <c r="C3663" s="809">
        <v>11.565099999999999</v>
      </c>
      <c r="D3663" s="908">
        <v>12.23</v>
      </c>
      <c r="E3663" s="709">
        <v>5.7491936948232292E-2</v>
      </c>
      <c r="F3663" s="946">
        <v>2.8745968474116149E-3</v>
      </c>
      <c r="G3663" s="78"/>
      <c r="H3663" t="e">
        <f>VLOOKUP(B3663,indexy!$A$44:$D$210,3,FALSE)</f>
        <v>#N/A</v>
      </c>
      <c r="J3663" s="256">
        <v>40603</v>
      </c>
      <c r="K3663">
        <v>99.038600000000002</v>
      </c>
      <c r="L3663" s="37">
        <f t="shared" si="137"/>
        <v>-9.6140000000000114E-3</v>
      </c>
    </row>
    <row r="3664" spans="1:12" hidden="1" outlineLevel="1" x14ac:dyDescent="0.25">
      <c r="A3664" s="739">
        <v>7.0000000000000007E-2</v>
      </c>
      <c r="B3664" s="740" t="s">
        <v>4003</v>
      </c>
      <c r="C3664" s="809">
        <v>725.4</v>
      </c>
      <c r="D3664" s="908">
        <v>1043</v>
      </c>
      <c r="E3664" s="709">
        <v>0.43782740556934119</v>
      </c>
      <c r="F3664" s="946">
        <v>3.0647918389853885E-2</v>
      </c>
      <c r="G3664" s="78"/>
      <c r="H3664" t="str">
        <f>VLOOKUP(B3664,indexy!$A$44:$D$210,3,FALSE)</f>
        <v>BNZL LN Equity</v>
      </c>
      <c r="J3664" s="256">
        <v>40634</v>
      </c>
      <c r="K3664">
        <v>102.7296</v>
      </c>
      <c r="L3664" s="37">
        <f t="shared" si="137"/>
        <v>2.7295999999999987E-2</v>
      </c>
    </row>
    <row r="3665" spans="1:12" hidden="1" outlineLevel="1" x14ac:dyDescent="0.25">
      <c r="A3665" s="739">
        <v>0.02</v>
      </c>
      <c r="B3665" s="740" t="s">
        <v>1440</v>
      </c>
      <c r="C3665" s="809">
        <v>66.899000000000001</v>
      </c>
      <c r="D3665" s="908">
        <v>104.1</v>
      </c>
      <c r="E3665" s="709">
        <v>0.55607707140614937</v>
      </c>
      <c r="F3665" s="946">
        <v>1.1121541428122987E-2</v>
      </c>
      <c r="G3665" s="78"/>
      <c r="H3665" t="str">
        <f>VLOOKUP(B3665,indexy!$A$44:$D$210,3,FALSE)</f>
        <v>CL UN Equity</v>
      </c>
      <c r="J3665" s="256">
        <v>40664</v>
      </c>
      <c r="K3665">
        <v>101.77589999999999</v>
      </c>
      <c r="L3665" s="37">
        <f t="shared" si="137"/>
        <v>1.7758999999999858E-2</v>
      </c>
    </row>
    <row r="3666" spans="1:12" hidden="1" outlineLevel="1" x14ac:dyDescent="0.25">
      <c r="A3666" s="739">
        <v>7.0000000000000007E-2</v>
      </c>
      <c r="B3666" s="740" t="s">
        <v>1441</v>
      </c>
      <c r="C3666" s="809">
        <v>21.266999999999999</v>
      </c>
      <c r="D3666" s="908">
        <v>9.1129999999999995</v>
      </c>
      <c r="E3666" s="709">
        <v>-0.57149574458080599</v>
      </c>
      <c r="F3666" s="946">
        <v>-4.0004702120656425E-2</v>
      </c>
      <c r="G3666" s="78"/>
      <c r="H3666" t="str">
        <f>VLOOKUP(B3666,indexy!$A$44:$D$210,3,FALSE)</f>
        <v>LHA GY Equity</v>
      </c>
      <c r="J3666" s="256">
        <v>40695</v>
      </c>
      <c r="K3666">
        <v>101.8614</v>
      </c>
      <c r="L3666" s="37">
        <f t="shared" si="137"/>
        <v>1.861400000000013E-2</v>
      </c>
    </row>
    <row r="3667" spans="1:12" hidden="1" outlineLevel="1" x14ac:dyDescent="0.25">
      <c r="A3667" s="739">
        <v>0.03</v>
      </c>
      <c r="B3667" s="740" t="s">
        <v>1442</v>
      </c>
      <c r="C3667" s="809">
        <v>46.198</v>
      </c>
      <c r="D3667" s="908">
        <v>46.58</v>
      </c>
      <c r="E3667" s="709">
        <v>8.2687562232131029E-3</v>
      </c>
      <c r="F3667" s="946">
        <v>2.4806268669639306E-4</v>
      </c>
      <c r="G3667" s="78"/>
      <c r="H3667" t="str">
        <f>VLOOKUP(B3667,indexy!$A$44:$D$210,3,FALSE)</f>
        <v>EMR UN Equity</v>
      </c>
      <c r="J3667" s="256">
        <v>40725</v>
      </c>
      <c r="K3667">
        <v>97.302899999999994</v>
      </c>
      <c r="L3667" s="37">
        <f t="shared" si="137"/>
        <v>-2.6971000000000078E-2</v>
      </c>
    </row>
    <row r="3668" spans="1:12" hidden="1" outlineLevel="1" x14ac:dyDescent="0.25">
      <c r="A3668" s="739">
        <v>0.02</v>
      </c>
      <c r="B3668" s="740" t="s">
        <v>53</v>
      </c>
      <c r="C3668" s="809">
        <v>58.500500000000002</v>
      </c>
      <c r="D3668" s="908">
        <v>49.015000000000001</v>
      </c>
      <c r="E3668" s="709">
        <v>-0.16214391329988631</v>
      </c>
      <c r="F3668" s="946">
        <v>-3.2428782659977263E-3</v>
      </c>
      <c r="G3668" s="78"/>
      <c r="H3668" t="str">
        <f>VLOOKUP(B3668,indexy!$A$44:$D$210,3,FALSE)</f>
        <v>BN FP Equity</v>
      </c>
      <c r="J3668" s="353">
        <v>40756</v>
      </c>
      <c r="K3668">
        <v>90.178200000000004</v>
      </c>
      <c r="L3668" s="37">
        <f t="shared" si="137"/>
        <v>-9.8217999999999916E-2</v>
      </c>
    </row>
    <row r="3669" spans="1:12" hidden="1" outlineLevel="1" x14ac:dyDescent="0.25">
      <c r="A3669" s="739">
        <v>0.03</v>
      </c>
      <c r="B3669" s="740" t="s">
        <v>4496</v>
      </c>
      <c r="C3669" s="809">
        <v>46.308999999999997</v>
      </c>
      <c r="D3669" s="908">
        <v>54.38</v>
      </c>
      <c r="E3669" s="709">
        <v>0.17428577598307027</v>
      </c>
      <c r="F3669" s="946">
        <v>5.2285732794921077E-3</v>
      </c>
      <c r="G3669" s="78"/>
      <c r="H3669" t="str">
        <f>VLOOKUP(B3669,indexy!$A$44:$D$210,3,FALSE)</f>
        <v>HNZ UN Cash</v>
      </c>
      <c r="J3669" s="256">
        <v>40787</v>
      </c>
      <c r="K3669">
        <v>83.847899999999996</v>
      </c>
      <c r="L3669" s="37">
        <f t="shared" si="137"/>
        <v>-0.16152100000000003</v>
      </c>
    </row>
    <row r="3670" spans="1:12" hidden="1" outlineLevel="1" x14ac:dyDescent="0.25">
      <c r="A3670" s="739">
        <v>0.03</v>
      </c>
      <c r="B3670" s="740" t="s">
        <v>2681</v>
      </c>
      <c r="C3670" s="809">
        <v>133.19999999999999</v>
      </c>
      <c r="D3670" s="908">
        <v>52.35</v>
      </c>
      <c r="E3670" s="709">
        <v>-0.60698198198198194</v>
      </c>
      <c r="F3670" s="946">
        <v>-1.8209459459459457E-2</v>
      </c>
      <c r="G3670" s="78"/>
      <c r="H3670" t="e">
        <f>VLOOKUP(B3670,indexy!$A$44:$D$210,3,FALSE)</f>
        <v>#N/A</v>
      </c>
      <c r="J3670" s="256">
        <v>40817</v>
      </c>
      <c r="K3670">
        <v>90.461600000000004</v>
      </c>
      <c r="L3670" s="37">
        <f t="shared" si="137"/>
        <v>-9.5383999999999913E-2</v>
      </c>
    </row>
    <row r="3671" spans="1:12" hidden="1" outlineLevel="1" x14ac:dyDescent="0.25">
      <c r="A3671" s="739">
        <v>0.02</v>
      </c>
      <c r="B3671" s="740" t="s">
        <v>280</v>
      </c>
      <c r="C3671" s="809">
        <v>44.93</v>
      </c>
      <c r="D3671" s="908">
        <v>37.04</v>
      </c>
      <c r="E3671" s="709">
        <v>-0.17560649899844205</v>
      </c>
      <c r="F3671" s="946">
        <v>-3.512129979968841E-3</v>
      </c>
      <c r="G3671" s="78"/>
      <c r="H3671" t="str">
        <f>VLOOKUP(B3671,indexy!$A$44:$D$210,3,FALSE)</f>
        <v>AKZA NA Equity</v>
      </c>
      <c r="J3671" s="256">
        <v>40848</v>
      </c>
      <c r="K3671" s="424">
        <v>90.36</v>
      </c>
      <c r="L3671" s="37">
        <f t="shared" si="137"/>
        <v>-9.6400000000000041E-2</v>
      </c>
    </row>
    <row r="3672" spans="1:12" hidden="1" outlineLevel="1" x14ac:dyDescent="0.25">
      <c r="A3672" s="739">
        <v>7.0000000000000007E-2</v>
      </c>
      <c r="B3672" s="740" t="s">
        <v>2682</v>
      </c>
      <c r="C3672" s="809">
        <v>413.7</v>
      </c>
      <c r="D3672" s="908">
        <v>330.6</v>
      </c>
      <c r="E3672" s="709">
        <v>-0.20087019579405363</v>
      </c>
      <c r="F3672" s="946">
        <v>-1.4060913705583756E-2</v>
      </c>
      <c r="G3672" s="78"/>
      <c r="H3672" t="str">
        <f>VLOOKUP(B3672,indexy!$A$44:$D$210,3,FALSE)</f>
        <v>INCH LN Equity</v>
      </c>
      <c r="J3672" s="353">
        <v>40878</v>
      </c>
      <c r="K3672" s="424">
        <v>90.063999999999993</v>
      </c>
      <c r="L3672" s="37">
        <f t="shared" si="137"/>
        <v>-9.9360000000000115E-2</v>
      </c>
    </row>
    <row r="3673" spans="1:12" hidden="1" outlineLevel="1" x14ac:dyDescent="0.25">
      <c r="A3673" s="739">
        <v>0.05</v>
      </c>
      <c r="B3673" s="740" t="s">
        <v>64</v>
      </c>
      <c r="C3673" s="809">
        <v>81.460999999999999</v>
      </c>
      <c r="D3673" s="908">
        <v>122.65</v>
      </c>
      <c r="E3673" s="709">
        <v>0.50562846024477981</v>
      </c>
      <c r="F3673" s="946">
        <v>2.5281423012238992E-2</v>
      </c>
      <c r="G3673" s="78"/>
      <c r="H3673" t="str">
        <f>VLOOKUP(B3673,indexy!$A$44:$D$210,3,FALSE)</f>
        <v>LIN GY Equity</v>
      </c>
      <c r="J3673" s="256">
        <v>40909</v>
      </c>
      <c r="K3673">
        <v>93.567599999999999</v>
      </c>
      <c r="L3673" s="37">
        <f t="shared" si="137"/>
        <v>-6.4324000000000048E-2</v>
      </c>
    </row>
    <row r="3674" spans="1:12" hidden="1" outlineLevel="1" x14ac:dyDescent="0.25">
      <c r="A3674" s="739">
        <v>0.02</v>
      </c>
      <c r="B3674" s="740" t="s">
        <v>1528</v>
      </c>
      <c r="C3674" s="809">
        <v>86.094999999999999</v>
      </c>
      <c r="D3674" s="908">
        <v>119.85</v>
      </c>
      <c r="E3674" s="709">
        <v>0.39206690283988621</v>
      </c>
      <c r="F3674" s="946">
        <v>7.8413380567977243E-3</v>
      </c>
      <c r="G3674" s="78"/>
      <c r="H3674" t="str">
        <f>VLOOKUP(B3674,indexy!$A$44:$D$210,3,FALSE)</f>
        <v>MC FP Equity</v>
      </c>
      <c r="J3674" s="256">
        <v>40940</v>
      </c>
      <c r="K3674">
        <v>97.813699999999997</v>
      </c>
      <c r="L3674" s="37">
        <f t="shared" si="137"/>
        <v>-2.1863000000000077E-2</v>
      </c>
    </row>
    <row r="3675" spans="1:12" hidden="1" outlineLevel="1" x14ac:dyDescent="0.25">
      <c r="A3675" s="739">
        <v>0.02</v>
      </c>
      <c r="B3675" s="740" t="s">
        <v>65</v>
      </c>
      <c r="C3675" s="809">
        <v>577.44999999999993</v>
      </c>
      <c r="D3675" s="908">
        <v>76.150000000000006</v>
      </c>
      <c r="E3675" s="709">
        <v>-0.86812711057234393</v>
      </c>
      <c r="F3675" s="946">
        <v>-1.7362542211446879E-2</v>
      </c>
      <c r="G3675" s="78"/>
      <c r="H3675" t="str">
        <f>VLOOKUP(B3675,indexy!$A$44:$D$210,3,FALSE)</f>
        <v>EMG LN Equity</v>
      </c>
      <c r="J3675" s="256">
        <v>40969</v>
      </c>
      <c r="K3675">
        <v>99.930099999999996</v>
      </c>
      <c r="L3675" s="37">
        <f t="shared" si="137"/>
        <v>-6.9900000000000517E-4</v>
      </c>
    </row>
    <row r="3676" spans="1:12" hidden="1" outlineLevel="1" x14ac:dyDescent="0.25">
      <c r="A3676" s="739">
        <v>0.05</v>
      </c>
      <c r="B3676" s="740" t="s">
        <v>3797</v>
      </c>
      <c r="C3676" s="809">
        <v>47.234999999999999</v>
      </c>
      <c r="D3676" s="908">
        <v>56.55</v>
      </c>
      <c r="E3676" s="709">
        <v>0.19720546205144496</v>
      </c>
      <c r="F3676" s="946">
        <v>9.8602731025722486E-3</v>
      </c>
      <c r="G3676" s="78"/>
      <c r="H3676" t="str">
        <f>VLOOKUP(B3676,indexy!$A$44:$D$210,3,FALSE)</f>
        <v>NESN SE Equity</v>
      </c>
      <c r="J3676" s="256">
        <v>41000</v>
      </c>
      <c r="K3676">
        <v>97.139499999999998</v>
      </c>
      <c r="L3676" s="37">
        <f t="shared" si="137"/>
        <v>-2.8604999999999992E-2</v>
      </c>
    </row>
    <row r="3677" spans="1:12" hidden="1" outlineLevel="1" x14ac:dyDescent="0.25">
      <c r="A3677" s="739">
        <v>0.02</v>
      </c>
      <c r="B3677" s="740" t="s">
        <v>3937</v>
      </c>
      <c r="C3677" s="809">
        <v>62.784999999999997</v>
      </c>
      <c r="D3677" s="908">
        <v>61.25</v>
      </c>
      <c r="E3677" s="709">
        <v>-2.4448514772636765E-2</v>
      </c>
      <c r="F3677" s="946">
        <v>-4.8897029545273533E-4</v>
      </c>
      <c r="G3677" s="78"/>
      <c r="H3677" t="str">
        <f>VLOOKUP(B3677,indexy!$A$44:$D$210,3,FALSE)</f>
        <v>PG UN Equity</v>
      </c>
      <c r="J3677" s="256">
        <v>41030</v>
      </c>
      <c r="K3677">
        <v>91.232500000000002</v>
      </c>
      <c r="L3677" s="37">
        <f t="shared" si="137"/>
        <v>-8.7674999999999947E-2</v>
      </c>
    </row>
    <row r="3678" spans="1:12" ht="14.4" hidden="1" outlineLevel="1" x14ac:dyDescent="0.3">
      <c r="A3678" s="739">
        <v>0.02</v>
      </c>
      <c r="B3678" s="740" t="s">
        <v>3938</v>
      </c>
      <c r="C3678" s="809">
        <v>2751.3</v>
      </c>
      <c r="D3678" s="908">
        <v>3365</v>
      </c>
      <c r="E3678" s="709">
        <v>0.22305819067349963</v>
      </c>
      <c r="F3678" s="946">
        <v>4.4611638134699925E-3</v>
      </c>
      <c r="G3678" s="78"/>
      <c r="H3678" t="e">
        <f>VLOOKUP(B3678,indexy!$A$44:$D$210,3,FALSE)</f>
        <v>#N/A</v>
      </c>
      <c r="J3678" s="256">
        <v>41061</v>
      </c>
      <c r="K3678" s="427">
        <v>90.525300000000001</v>
      </c>
      <c r="L3678" s="37">
        <f t="shared" si="137"/>
        <v>-9.4747000000000026E-2</v>
      </c>
    </row>
    <row r="3679" spans="1:12" hidden="1" outlineLevel="1" x14ac:dyDescent="0.25">
      <c r="A3679" s="739">
        <v>0.02</v>
      </c>
      <c r="B3679" s="740" t="s">
        <v>2777</v>
      </c>
      <c r="C3679" s="809">
        <v>3545.5</v>
      </c>
      <c r="D3679" s="908">
        <v>3019</v>
      </c>
      <c r="E3679" s="709">
        <v>-0.14849809617825416</v>
      </c>
      <c r="F3679" s="946">
        <v>-2.969961923565083E-3</v>
      </c>
      <c r="G3679" s="78"/>
      <c r="H3679" t="str">
        <f>VLOOKUP(B3679,indexy!$A$44:$D$210,3,FALSE)</f>
        <v>RIO LN Equity</v>
      </c>
      <c r="J3679" s="264" t="s">
        <v>2465</v>
      </c>
      <c r="K3679" s="412"/>
      <c r="L3679" s="261">
        <f>AVERAGE(L3661:L3678)</f>
        <v>-4.8090055555555573E-2</v>
      </c>
    </row>
    <row r="3680" spans="1:12" hidden="1" outlineLevel="1" x14ac:dyDescent="0.25">
      <c r="A3680" s="739">
        <v>7.0000000000000007E-2</v>
      </c>
      <c r="B3680" s="740" t="s">
        <v>279</v>
      </c>
      <c r="C3680" s="809">
        <v>52.601500000000001</v>
      </c>
      <c r="D3680" s="908">
        <v>43.73</v>
      </c>
      <c r="E3680" s="709">
        <v>-0.16865488626750191</v>
      </c>
      <c r="F3680" s="946">
        <v>-1.1805842038725135E-2</v>
      </c>
      <c r="G3680" s="78"/>
      <c r="H3680" t="str">
        <f>VLOOKUP(B3680,indexy!$A$44:$D$210,3,FALSE)</f>
        <v>SU FP Equity</v>
      </c>
      <c r="J3680" s="264" t="s">
        <v>1154</v>
      </c>
      <c r="K3680" s="412"/>
      <c r="L3680" s="261">
        <f>'klikací hodnoty'!L3679*parametry!N141</f>
        <v>-2.4045027777777787E-2</v>
      </c>
    </row>
    <row r="3681" spans="1:14" hidden="1" outlineLevel="1" x14ac:dyDescent="0.25">
      <c r="A3681" s="739">
        <v>0.04</v>
      </c>
      <c r="B3681" s="740" t="s">
        <v>1214</v>
      </c>
      <c r="C3681" s="837">
        <v>90.656999999999996</v>
      </c>
      <c r="D3681" s="908">
        <v>66.14</v>
      </c>
      <c r="E3681" s="709">
        <v>-0.27043692158355115</v>
      </c>
      <c r="F3681" s="946">
        <v>-1.0817476863342047E-2</v>
      </c>
      <c r="G3681" s="78"/>
      <c r="H3681" t="str">
        <f>VLOOKUP(B3681,indexy!$A$44:$D$210,3,FALSE)</f>
        <v>SIE GY Equity</v>
      </c>
      <c r="J3681" s="256"/>
    </row>
    <row r="3682" spans="1:14" hidden="1" outlineLevel="1" x14ac:dyDescent="0.25">
      <c r="A3682" s="739">
        <v>0.04</v>
      </c>
      <c r="B3682" s="740" t="s">
        <v>2778</v>
      </c>
      <c r="C3682" s="837">
        <v>1606.7</v>
      </c>
      <c r="D3682" s="908">
        <v>1384.5</v>
      </c>
      <c r="E3682" s="709">
        <v>-0.13829588597746933</v>
      </c>
      <c r="F3682" s="946">
        <v>-5.5318354390987735E-3</v>
      </c>
      <c r="G3682" s="78"/>
      <c r="H3682" t="str">
        <f>VLOOKUP(B3682,indexy!$A$44:$D$210,3,FALSE)</f>
        <v>STAN LN Equity</v>
      </c>
      <c r="J3682" s="256"/>
    </row>
    <row r="3683" spans="1:14" hidden="1" outlineLevel="1" x14ac:dyDescent="0.25">
      <c r="A3683" s="739">
        <v>7.0000000000000007E-2</v>
      </c>
      <c r="B3683" s="740" t="s">
        <v>583</v>
      </c>
      <c r="C3683" s="837">
        <v>465.38000000000005</v>
      </c>
      <c r="D3683" s="908">
        <v>310.05</v>
      </c>
      <c r="E3683" s="709">
        <v>-0.33377025226696466</v>
      </c>
      <c r="F3683" s="946">
        <v>-2.336391765868753E-2</v>
      </c>
      <c r="G3683" s="78"/>
      <c r="H3683" t="str">
        <f>VLOOKUP(B3683,indexy!$A$44:$D$210,3,FALSE)</f>
        <v>TSCO LN Equity</v>
      </c>
      <c r="J3683" s="256"/>
    </row>
    <row r="3684" spans="1:14" hidden="1" outlineLevel="1" x14ac:dyDescent="0.25">
      <c r="A3684" s="739">
        <v>7.0000000000000007E-2</v>
      </c>
      <c r="B3684" s="740" t="s">
        <v>1183</v>
      </c>
      <c r="C3684" s="837">
        <v>55.893999999999998</v>
      </c>
      <c r="D3684" s="908">
        <v>35.5</v>
      </c>
      <c r="E3684" s="709">
        <v>-0.36486921673167061</v>
      </c>
      <c r="F3684" s="946">
        <v>-2.5540845171216946E-2</v>
      </c>
      <c r="G3684" s="78"/>
      <c r="H3684" t="e">
        <f>VLOOKUP(B3684,indexy!$A$44:$D$210,3,FALSE)</f>
        <v>#N/A</v>
      </c>
      <c r="J3684" s="256"/>
    </row>
    <row r="3685" spans="1:14" hidden="1" outlineLevel="1" x14ac:dyDescent="0.25">
      <c r="A3685" s="739">
        <v>0.06</v>
      </c>
      <c r="B3685" s="740" t="s">
        <v>2779</v>
      </c>
      <c r="C3685" s="837">
        <v>237.1</v>
      </c>
      <c r="D3685" s="908">
        <v>145</v>
      </c>
      <c r="E3685" s="709">
        <v>-0.38844369464361028</v>
      </c>
      <c r="F3685" s="946">
        <v>-2.3306621678616617E-2</v>
      </c>
      <c r="G3685" s="78"/>
      <c r="H3685" t="e">
        <f>VLOOKUP(B3685,indexy!$A$44:$D$210,3,FALSE)</f>
        <v>#N/A</v>
      </c>
      <c r="J3685" s="256"/>
    </row>
    <row r="3686" spans="1:14" hidden="1" outlineLevel="1" x14ac:dyDescent="0.25">
      <c r="A3686" s="717"/>
      <c r="B3686" s="718"/>
      <c r="C3686" s="719"/>
      <c r="D3686" s="719"/>
      <c r="E3686" s="720"/>
      <c r="F3686" s="731">
        <v>-9.4700000000000006E-2</v>
      </c>
      <c r="G3686" s="78"/>
    </row>
    <row r="3687" spans="1:14" collapsed="1" x14ac:dyDescent="0.25">
      <c r="A3687" s="3801" t="s">
        <v>1691</v>
      </c>
      <c r="B3687" s="3802"/>
      <c r="C3687" s="3802"/>
      <c r="D3687" s="3802"/>
      <c r="E3687" s="721"/>
      <c r="F3687" s="722">
        <v>0.02</v>
      </c>
      <c r="G3687" s="97" t="s">
        <v>781</v>
      </c>
    </row>
    <row r="3688" spans="1:14" x14ac:dyDescent="0.25">
      <c r="A3688" s="39"/>
      <c r="B3688" s="39"/>
      <c r="C3688" s="39"/>
      <c r="D3688" s="39"/>
      <c r="E3688" s="39"/>
      <c r="F3688" s="1853"/>
      <c r="G3688" s="78"/>
    </row>
    <row r="3689" spans="1:14" hidden="1" outlineLevel="1" x14ac:dyDescent="0.25">
      <c r="A3689" s="689" t="s">
        <v>113</v>
      </c>
      <c r="B3689" s="689" t="s">
        <v>114</v>
      </c>
      <c r="C3689" s="689" t="s">
        <v>112</v>
      </c>
      <c r="D3689" s="689" t="s">
        <v>116</v>
      </c>
      <c r="E3689" s="689" t="s">
        <v>117</v>
      </c>
      <c r="F3689" s="1188" t="s">
        <v>121</v>
      </c>
      <c r="G3689" s="78"/>
    </row>
    <row r="3690" spans="1:14" hidden="1" outlineLevel="1" x14ac:dyDescent="0.25">
      <c r="A3690" s="690">
        <v>1</v>
      </c>
      <c r="B3690" s="691" t="s">
        <v>252</v>
      </c>
      <c r="C3690" s="692">
        <v>100</v>
      </c>
      <c r="D3690" s="692"/>
      <c r="E3690" s="693"/>
      <c r="F3690" s="694"/>
      <c r="G3690" s="78"/>
    </row>
    <row r="3691" spans="1:14" hidden="1" outlineLevel="1" x14ac:dyDescent="0.25">
      <c r="A3691" s="695"/>
      <c r="B3691" s="695"/>
      <c r="C3691" s="696"/>
      <c r="D3691" s="697" t="s">
        <v>3702</v>
      </c>
      <c r="E3691" s="698">
        <v>42460</v>
      </c>
      <c r="F3691" s="699"/>
      <c r="G3691" s="78"/>
    </row>
    <row r="3692" spans="1:14" hidden="1" outlineLevel="1" x14ac:dyDescent="0.25">
      <c r="A3692" s="1374" t="s">
        <v>4156</v>
      </c>
      <c r="B3692" s="1374" t="s">
        <v>4153</v>
      </c>
      <c r="C3692" s="1375" t="s">
        <v>112</v>
      </c>
      <c r="D3692" s="1374" t="s">
        <v>4155</v>
      </c>
      <c r="E3692" s="1374" t="s">
        <v>4154</v>
      </c>
      <c r="F3692" s="1868"/>
      <c r="G3692" s="1376" t="s">
        <v>2914</v>
      </c>
      <c r="H3692" s="1377"/>
    </row>
    <row r="3693" spans="1:14" hidden="1" outlineLevel="1" x14ac:dyDescent="0.25">
      <c r="A3693" s="1378">
        <v>3.3300000000000003E-2</v>
      </c>
      <c r="B3693" s="1379" t="s">
        <v>1995</v>
      </c>
      <c r="C3693" s="1380">
        <v>54.462000000000003</v>
      </c>
      <c r="D3693" s="1381">
        <v>41.83</v>
      </c>
      <c r="E3693" s="1335">
        <v>-0.23194153721861122</v>
      </c>
      <c r="F3693" s="1868" t="s">
        <v>259</v>
      </c>
      <c r="G3693" s="1376"/>
      <c r="H3693" s="1377" t="s">
        <v>2739</v>
      </c>
    </row>
    <row r="3694" spans="1:14" hidden="1" outlineLevel="1" x14ac:dyDescent="0.25">
      <c r="A3694" s="1382">
        <v>3.3300000000000003E-2</v>
      </c>
      <c r="B3694" s="1383" t="s">
        <v>306</v>
      </c>
      <c r="C3694" s="1384">
        <v>3013.7</v>
      </c>
      <c r="D3694" s="1385">
        <v>552.1</v>
      </c>
      <c r="E3694" s="1386">
        <v>-0.81680326508942491</v>
      </c>
      <c r="F3694" s="1387">
        <v>-0.04</v>
      </c>
      <c r="G3694" s="1388">
        <v>39721</v>
      </c>
      <c r="H3694" s="1389" t="s">
        <v>1699</v>
      </c>
    </row>
    <row r="3695" spans="1:14" hidden="1" outlineLevel="1" x14ac:dyDescent="0.25">
      <c r="A3695" s="1382">
        <v>3.3300000000000003E-2</v>
      </c>
      <c r="B3695" s="1383" t="s">
        <v>3405</v>
      </c>
      <c r="C3695" s="1384">
        <v>52.832000000000001</v>
      </c>
      <c r="D3695" s="1385">
        <v>24.18</v>
      </c>
      <c r="E3695" s="1386">
        <v>-0.54232283464566933</v>
      </c>
      <c r="F3695" s="1387">
        <v>-0.04</v>
      </c>
      <c r="G3695" s="1388">
        <v>39629</v>
      </c>
      <c r="H3695" s="1389" t="s">
        <v>2747</v>
      </c>
    </row>
    <row r="3696" spans="1:14" hidden="1" outlineLevel="1" x14ac:dyDescent="0.25">
      <c r="A3696" s="1382">
        <v>3.3300000000000003E-2</v>
      </c>
      <c r="B3696" s="1383" t="s">
        <v>2918</v>
      </c>
      <c r="C3696" s="1384">
        <v>79.004999999999995</v>
      </c>
      <c r="D3696" s="1385">
        <v>76.540000000000006</v>
      </c>
      <c r="E3696" s="1386">
        <v>-3.1200556926776701E-2</v>
      </c>
      <c r="F3696" s="1387">
        <v>-0.04</v>
      </c>
      <c r="G3696" s="1388">
        <v>39721</v>
      </c>
      <c r="H3696" s="1389" t="s">
        <v>2924</v>
      </c>
      <c r="M3696" s="163"/>
      <c r="N3696" s="163"/>
    </row>
    <row r="3697" spans="1:14" s="163" customFormat="1" hidden="1" outlineLevel="1" x14ac:dyDescent="0.25">
      <c r="A3697" s="1382">
        <v>3.3300000000000003E-2</v>
      </c>
      <c r="B3697" s="1383" t="s">
        <v>51</v>
      </c>
      <c r="C3697" s="1384">
        <v>80.161000000000001</v>
      </c>
      <c r="D3697" s="1385">
        <v>38.729999999999997</v>
      </c>
      <c r="E3697" s="1386">
        <v>-0.5168473447187536</v>
      </c>
      <c r="F3697" s="1387">
        <v>-0.04</v>
      </c>
      <c r="G3697" s="1388">
        <v>39478</v>
      </c>
      <c r="H3697" s="1389" t="s">
        <v>2748</v>
      </c>
      <c r="J3697"/>
      <c r="K3697"/>
      <c r="L3697"/>
    </row>
    <row r="3698" spans="1:14" s="163" customFormat="1" hidden="1" outlineLevel="1" x14ac:dyDescent="0.25">
      <c r="A3698" s="1382">
        <v>3.3300000000000003E-2</v>
      </c>
      <c r="B3698" s="1383" t="s">
        <v>4025</v>
      </c>
      <c r="C3698" s="1384">
        <v>66.512</v>
      </c>
      <c r="D3698" s="1385">
        <v>67.37</v>
      </c>
      <c r="E3698" s="1386">
        <v>1.2899927832571656E-2</v>
      </c>
      <c r="F3698" s="1387">
        <v>-0.04</v>
      </c>
      <c r="G3698" s="1388">
        <v>39478</v>
      </c>
      <c r="H3698" s="1389" t="s">
        <v>3977</v>
      </c>
      <c r="M3698"/>
      <c r="N3698"/>
    </row>
    <row r="3699" spans="1:14" hidden="1" outlineLevel="1" x14ac:dyDescent="0.25">
      <c r="A3699" s="1382">
        <v>3.3300000000000003E-2</v>
      </c>
      <c r="B3699" s="1383" t="s">
        <v>4387</v>
      </c>
      <c r="C3699" s="1384">
        <v>39.045000000000002</v>
      </c>
      <c r="D3699" s="1385">
        <v>8.4380000000000006</v>
      </c>
      <c r="E3699" s="1386">
        <v>-0.78389038289153534</v>
      </c>
      <c r="F3699" s="1387">
        <v>-0.04</v>
      </c>
      <c r="G3699" s="1388">
        <v>39447</v>
      </c>
      <c r="H3699" s="1389" t="s">
        <v>3744</v>
      </c>
      <c r="J3699" s="163"/>
      <c r="K3699" s="163"/>
      <c r="L3699" s="163"/>
    </row>
    <row r="3700" spans="1:14" hidden="1" outlineLevel="1" x14ac:dyDescent="0.25">
      <c r="A3700" s="1390">
        <v>3.3300000000000003E-2</v>
      </c>
      <c r="B3700" s="1391" t="s">
        <v>3425</v>
      </c>
      <c r="C3700" s="1392">
        <v>83.585999999999999</v>
      </c>
      <c r="D3700" s="1393">
        <v>83.59</v>
      </c>
      <c r="E3700" s="1336">
        <v>4.7854903931332515E-5</v>
      </c>
      <c r="F3700" s="1869" t="s">
        <v>259</v>
      </c>
      <c r="G3700" s="1376"/>
      <c r="H3700" s="1377" t="s">
        <v>4126</v>
      </c>
    </row>
    <row r="3701" spans="1:14" hidden="1" outlineLevel="1" x14ac:dyDescent="0.25">
      <c r="A3701" s="1382">
        <v>3.3300000000000003E-2</v>
      </c>
      <c r="B3701" s="1383" t="s">
        <v>2919</v>
      </c>
      <c r="C3701" s="1384">
        <v>76.584999999999994</v>
      </c>
      <c r="D3701" s="1385">
        <v>94.97</v>
      </c>
      <c r="E3701" s="1386">
        <v>0.24006006398119739</v>
      </c>
      <c r="F3701" s="1387">
        <v>-0.04</v>
      </c>
      <c r="G3701" s="1388">
        <v>39660</v>
      </c>
      <c r="H3701" s="1389" t="s">
        <v>2925</v>
      </c>
      <c r="M3701" s="163"/>
      <c r="N3701" s="163"/>
    </row>
    <row r="3702" spans="1:14" s="163" customFormat="1" hidden="1" outlineLevel="1" x14ac:dyDescent="0.25">
      <c r="A3702" s="1382">
        <v>3.3300000000000003E-2</v>
      </c>
      <c r="B3702" s="1383" t="s">
        <v>1376</v>
      </c>
      <c r="C3702" s="1384">
        <v>31.475999999999999</v>
      </c>
      <c r="D3702" s="1385">
        <v>37.799999999999997</v>
      </c>
      <c r="E3702" s="1386">
        <v>0.20091498284407172</v>
      </c>
      <c r="F3702" s="1387">
        <v>-0.04</v>
      </c>
      <c r="G3702" s="1388">
        <v>39262</v>
      </c>
      <c r="H3702" s="1389" t="s">
        <v>1215</v>
      </c>
      <c r="J3702"/>
      <c r="K3702"/>
      <c r="L3702"/>
    </row>
    <row r="3703" spans="1:14" s="163" customFormat="1" hidden="1" outlineLevel="1" x14ac:dyDescent="0.25">
      <c r="A3703" s="1382">
        <v>3.3300000000000003E-2</v>
      </c>
      <c r="B3703" s="1383" t="s">
        <v>159</v>
      </c>
      <c r="C3703" s="1384">
        <v>510.47899999999998</v>
      </c>
      <c r="D3703" s="1385">
        <v>744.95</v>
      </c>
      <c r="E3703" s="1386">
        <v>0.45931566234850019</v>
      </c>
      <c r="F3703" s="1387">
        <v>-0.04</v>
      </c>
      <c r="G3703" s="1388">
        <v>39385</v>
      </c>
      <c r="H3703" s="1389" t="s">
        <v>6555</v>
      </c>
      <c r="M3703"/>
      <c r="N3703"/>
    </row>
    <row r="3704" spans="1:14" hidden="1" outlineLevel="1" x14ac:dyDescent="0.25">
      <c r="A3704" s="1390">
        <v>3.3300000000000003E-2</v>
      </c>
      <c r="B3704" s="1391" t="s">
        <v>1377</v>
      </c>
      <c r="C3704" s="1392">
        <v>45.695</v>
      </c>
      <c r="D3704" s="1393">
        <v>12.32</v>
      </c>
      <c r="E3704" s="1336">
        <v>-0.73038625670204615</v>
      </c>
      <c r="F3704" s="1869" t="s">
        <v>259</v>
      </c>
      <c r="G3704" s="1376"/>
      <c r="H3704" s="1377" t="s">
        <v>4129</v>
      </c>
      <c r="J3704" s="163"/>
      <c r="K3704" s="163"/>
      <c r="L3704" s="163"/>
      <c r="M3704" s="163"/>
      <c r="N3704" s="163"/>
    </row>
    <row r="3705" spans="1:14" s="163" customFormat="1" hidden="1" outlineLevel="1" x14ac:dyDescent="0.25">
      <c r="A3705" s="1382">
        <v>3.3300000000000003E-2</v>
      </c>
      <c r="B3705" s="1383" t="s">
        <v>307</v>
      </c>
      <c r="C3705" s="1384">
        <v>38.109000000000002</v>
      </c>
      <c r="D3705" s="1385">
        <v>133.43</v>
      </c>
      <c r="E3705" s="1386">
        <v>2.5012726652496786</v>
      </c>
      <c r="F3705" s="1387">
        <v>-0.04</v>
      </c>
      <c r="G3705" s="1388">
        <v>39416</v>
      </c>
      <c r="H3705" s="1389" t="s">
        <v>1700</v>
      </c>
      <c r="J3705"/>
      <c r="K3705"/>
      <c r="L3705"/>
    </row>
    <row r="3706" spans="1:14" s="163" customFormat="1" hidden="1" outlineLevel="1" x14ac:dyDescent="0.25">
      <c r="A3706" s="1382">
        <v>3.3300000000000003E-2</v>
      </c>
      <c r="B3706" s="1383" t="s">
        <v>2920</v>
      </c>
      <c r="C3706" s="1384">
        <v>22.300999999999998</v>
      </c>
      <c r="D3706" s="1385">
        <v>32.35</v>
      </c>
      <c r="E3706" s="1386">
        <v>0.45060759607192513</v>
      </c>
      <c r="F3706" s="1387">
        <v>-0.04</v>
      </c>
      <c r="G3706" s="1388">
        <v>39385</v>
      </c>
      <c r="H3706" s="1389" t="s">
        <v>2926</v>
      </c>
    </row>
    <row r="3707" spans="1:14" s="163" customFormat="1" hidden="1" outlineLevel="1" x14ac:dyDescent="0.25">
      <c r="A3707" s="1382">
        <v>3.3300000000000003E-2</v>
      </c>
      <c r="B3707" s="1383" t="s">
        <v>874</v>
      </c>
      <c r="C3707" s="1384">
        <v>240.23</v>
      </c>
      <c r="D3707" s="1385">
        <v>376.7</v>
      </c>
      <c r="E3707" s="1386">
        <v>0.56808058943512463</v>
      </c>
      <c r="F3707" s="1387">
        <v>-0.04</v>
      </c>
      <c r="G3707" s="1388">
        <v>39353</v>
      </c>
      <c r="H3707" s="1377" t="s">
        <v>4148</v>
      </c>
      <c r="M3707"/>
      <c r="N3707"/>
    </row>
    <row r="3708" spans="1:14" hidden="1" outlineLevel="1" x14ac:dyDescent="0.25">
      <c r="A3708" s="1390">
        <v>3.3300000000000003E-2</v>
      </c>
      <c r="B3708" s="1391" t="s">
        <v>2160</v>
      </c>
      <c r="C3708" s="1392">
        <v>34.744999999999997</v>
      </c>
      <c r="D3708" s="1393">
        <v>88.19</v>
      </c>
      <c r="E3708" s="1336">
        <v>1.5382069362498201</v>
      </c>
      <c r="F3708" s="1869" t="s">
        <v>259</v>
      </c>
      <c r="G3708" s="1376"/>
      <c r="H3708" s="1377" t="s">
        <v>5507</v>
      </c>
      <c r="J3708" s="163"/>
      <c r="K3708" s="163"/>
      <c r="L3708" s="163"/>
      <c r="M3708" s="163"/>
      <c r="N3708" s="163"/>
    </row>
    <row r="3709" spans="1:14" s="163" customFormat="1" hidden="1" outlineLevel="1" x14ac:dyDescent="0.25">
      <c r="A3709" s="1382">
        <v>3.3300000000000003E-2</v>
      </c>
      <c r="B3709" s="1383" t="s">
        <v>308</v>
      </c>
      <c r="C3709" s="1384">
        <v>89.641000000000005</v>
      </c>
      <c r="D3709" s="1385">
        <v>11.64</v>
      </c>
      <c r="E3709" s="1386">
        <v>-0.87014870427594515</v>
      </c>
      <c r="F3709" s="1387">
        <v>-0.04</v>
      </c>
      <c r="G3709" s="1388">
        <v>39353</v>
      </c>
      <c r="H3709" s="1389" t="s">
        <v>304</v>
      </c>
      <c r="J3709"/>
      <c r="K3709"/>
      <c r="L3709"/>
    </row>
    <row r="3710" spans="1:14" s="163" customFormat="1" hidden="1" outlineLevel="1" x14ac:dyDescent="0.25">
      <c r="A3710" s="1382">
        <v>3.3300000000000003E-2</v>
      </c>
      <c r="B3710" s="1383" t="s">
        <v>1190</v>
      </c>
      <c r="C3710" s="1384">
        <v>21.053000000000001</v>
      </c>
      <c r="D3710" s="1385">
        <v>5.2249999999999996</v>
      </c>
      <c r="E3710" s="1386">
        <v>-0.75181684320524389</v>
      </c>
      <c r="F3710" s="1387">
        <v>-0.04</v>
      </c>
      <c r="G3710" s="1388">
        <v>39353</v>
      </c>
      <c r="H3710" s="1389" t="s">
        <v>7569</v>
      </c>
    </row>
    <row r="3711" spans="1:14" s="163" customFormat="1" hidden="1" outlineLevel="1" x14ac:dyDescent="0.25">
      <c r="A3711" s="1382">
        <v>3.3300000000000003E-2</v>
      </c>
      <c r="B3711" s="1383" t="s">
        <v>1203</v>
      </c>
      <c r="C3711" s="1384">
        <v>109.97</v>
      </c>
      <c r="D3711" s="1385">
        <v>78</v>
      </c>
      <c r="E3711" s="1386">
        <v>-0.29071564972265163</v>
      </c>
      <c r="F3711" s="1387">
        <v>-0.04</v>
      </c>
      <c r="G3711" s="1388">
        <v>39478</v>
      </c>
      <c r="H3711" s="1389" t="s">
        <v>79</v>
      </c>
    </row>
    <row r="3712" spans="1:14" s="163" customFormat="1" hidden="1" outlineLevel="1" x14ac:dyDescent="0.25">
      <c r="A3712" s="1382">
        <v>3.3300000000000003E-2</v>
      </c>
      <c r="B3712" s="1383" t="s">
        <v>1414</v>
      </c>
      <c r="C3712" s="1384">
        <v>26.609000000000002</v>
      </c>
      <c r="D3712" s="1385">
        <v>29.64</v>
      </c>
      <c r="E3712" s="1386">
        <v>0.11390882784020429</v>
      </c>
      <c r="F3712" s="1387">
        <v>-0.04</v>
      </c>
      <c r="G3712" s="1388">
        <v>39538</v>
      </c>
      <c r="H3712" s="1389" t="s">
        <v>2428</v>
      </c>
      <c r="M3712"/>
      <c r="N3712"/>
    </row>
    <row r="3713" spans="1:14" hidden="1" outlineLevel="1" x14ac:dyDescent="0.25">
      <c r="A3713" s="1382">
        <v>3.3300000000000003E-2</v>
      </c>
      <c r="B3713" s="1383" t="s">
        <v>309</v>
      </c>
      <c r="C3713" s="1384">
        <v>740</v>
      </c>
      <c r="D3713" s="1385">
        <v>1301</v>
      </c>
      <c r="E3713" s="1386">
        <v>0.75810810810810803</v>
      </c>
      <c r="F3713" s="1387">
        <v>-0.04</v>
      </c>
      <c r="G3713" s="1388">
        <v>39629</v>
      </c>
      <c r="H3713" s="1389" t="s">
        <v>305</v>
      </c>
      <c r="J3713" s="163"/>
      <c r="K3713" s="163"/>
      <c r="L3713" s="163"/>
    </row>
    <row r="3714" spans="1:14" hidden="1" outlineLevel="1" x14ac:dyDescent="0.25">
      <c r="A3714" s="1382">
        <v>3.3300000000000003E-2</v>
      </c>
      <c r="B3714" s="1383" t="s">
        <v>1653</v>
      </c>
      <c r="C3714" s="1384">
        <v>14.384</v>
      </c>
      <c r="D3714" s="1385">
        <v>15.345000000000001</v>
      </c>
      <c r="E3714" s="1386">
        <v>6.6810344827586299E-2</v>
      </c>
      <c r="F3714" s="1387">
        <v>-0.04</v>
      </c>
      <c r="G3714" s="1388">
        <v>39629</v>
      </c>
      <c r="H3714" s="1389" t="s">
        <v>285</v>
      </c>
      <c r="M3714" s="163"/>
      <c r="N3714" s="163"/>
    </row>
    <row r="3715" spans="1:14" s="163" customFormat="1" hidden="1" outlineLevel="1" x14ac:dyDescent="0.25">
      <c r="A3715" s="1382">
        <v>3.3300000000000003E-2</v>
      </c>
      <c r="B3715" s="1383" t="s">
        <v>1187</v>
      </c>
      <c r="C3715" s="1384">
        <v>67.37</v>
      </c>
      <c r="D3715" s="1385">
        <v>70.86</v>
      </c>
      <c r="E3715" s="1386">
        <v>5.1803473356093033E-2</v>
      </c>
      <c r="F3715" s="1387">
        <v>-0.04</v>
      </c>
      <c r="G3715" s="1388">
        <v>39507</v>
      </c>
      <c r="H3715" s="1389" t="s">
        <v>3483</v>
      </c>
      <c r="J3715"/>
      <c r="K3715"/>
      <c r="L3715"/>
      <c r="M3715"/>
      <c r="N3715"/>
    </row>
    <row r="3716" spans="1:14" hidden="1" outlineLevel="1" x14ac:dyDescent="0.25">
      <c r="A3716" s="1390">
        <v>3.3300000000000003E-2</v>
      </c>
      <c r="B3716" s="1391" t="s">
        <v>1206</v>
      </c>
      <c r="C3716" s="1392">
        <v>36.371000000000002</v>
      </c>
      <c r="D3716" s="1393">
        <v>71.099999999999994</v>
      </c>
      <c r="E3716" s="1336">
        <v>0.95485414203623731</v>
      </c>
      <c r="F3716" s="1869" t="s">
        <v>259</v>
      </c>
      <c r="G3716" s="1376"/>
      <c r="H3716" s="1377" t="s">
        <v>3484</v>
      </c>
      <c r="J3716" s="163"/>
      <c r="K3716" s="163"/>
      <c r="L3716" s="163"/>
      <c r="M3716" s="163"/>
      <c r="N3716" s="163"/>
    </row>
    <row r="3717" spans="1:14" s="163" customFormat="1" hidden="1" outlineLevel="1" x14ac:dyDescent="0.25">
      <c r="A3717" s="1382">
        <v>3.3300000000000003E-2</v>
      </c>
      <c r="B3717" s="1383" t="s">
        <v>1207</v>
      </c>
      <c r="C3717" s="1384">
        <v>6720</v>
      </c>
      <c r="D3717" s="1385">
        <v>2893</v>
      </c>
      <c r="E3717" s="1386">
        <v>-0.56949404761904754</v>
      </c>
      <c r="F3717" s="1387">
        <v>-0.04</v>
      </c>
      <c r="G3717" s="1388">
        <v>39478</v>
      </c>
      <c r="H3717" s="1389" t="s">
        <v>3487</v>
      </c>
      <c r="J3717"/>
      <c r="K3717"/>
      <c r="L3717"/>
      <c r="M3717"/>
      <c r="N3717"/>
    </row>
    <row r="3718" spans="1:14" hidden="1" outlineLevel="1" x14ac:dyDescent="0.25">
      <c r="A3718" s="1390">
        <v>3.3300000000000003E-2</v>
      </c>
      <c r="B3718" s="1391" t="s">
        <v>4338</v>
      </c>
      <c r="C3718" s="1392">
        <v>37.095139300614996</v>
      </c>
      <c r="D3718" s="1393">
        <v>17.835000000000001</v>
      </c>
      <c r="E3718" s="1336">
        <v>-0.51920924584034878</v>
      </c>
      <c r="F3718" s="1869" t="s">
        <v>259</v>
      </c>
      <c r="G3718" s="1376"/>
      <c r="H3718" s="1377" t="s">
        <v>7229</v>
      </c>
      <c r="J3718" s="163"/>
      <c r="K3718" s="163"/>
      <c r="L3718" s="163"/>
    </row>
    <row r="3719" spans="1:14" hidden="1" outlineLevel="1" x14ac:dyDescent="0.25">
      <c r="A3719" s="1390">
        <v>3.3300000000000003E-2</v>
      </c>
      <c r="B3719" s="1391" t="s">
        <v>2922</v>
      </c>
      <c r="C3719" s="1392">
        <v>19.782</v>
      </c>
      <c r="D3719" s="1393">
        <v>18.38</v>
      </c>
      <c r="E3719" s="1336">
        <v>-7.0872510362956276E-2</v>
      </c>
      <c r="F3719" s="1869" t="s">
        <v>259</v>
      </c>
      <c r="G3719" s="1376"/>
      <c r="H3719" s="1377" t="s">
        <v>2928</v>
      </c>
    </row>
    <row r="3720" spans="1:14" hidden="1" outlineLevel="1" x14ac:dyDescent="0.25">
      <c r="A3720" s="1382">
        <v>3.3300000000000003E-2</v>
      </c>
      <c r="B3720" s="1383" t="s">
        <v>1527</v>
      </c>
      <c r="C3720" s="1384">
        <v>2.0874999999999999</v>
      </c>
      <c r="D3720" s="1385">
        <v>0.94799999999999995</v>
      </c>
      <c r="E3720" s="1386">
        <v>-0.54586826347305384</v>
      </c>
      <c r="F3720" s="1387">
        <v>-0.04</v>
      </c>
      <c r="G3720" s="1388">
        <v>39507</v>
      </c>
      <c r="H3720" s="1389" t="s">
        <v>2803</v>
      </c>
      <c r="M3720" s="163"/>
      <c r="N3720" s="163"/>
    </row>
    <row r="3721" spans="1:14" s="163" customFormat="1" hidden="1" outlineLevel="1" x14ac:dyDescent="0.25">
      <c r="A3721" s="1382">
        <v>3.3300000000000003E-2</v>
      </c>
      <c r="B3721" s="1383" t="s">
        <v>1003</v>
      </c>
      <c r="C3721" s="1384">
        <v>35.646999999999998</v>
      </c>
      <c r="D3721" s="1385">
        <v>57.42</v>
      </c>
      <c r="E3721" s="1386">
        <v>0.61079473728504508</v>
      </c>
      <c r="F3721" s="1387">
        <v>-0.04</v>
      </c>
      <c r="G3721" s="1388">
        <v>39538</v>
      </c>
      <c r="H3721" s="1389" t="s">
        <v>7121</v>
      </c>
      <c r="J3721"/>
      <c r="K3721"/>
      <c r="L3721"/>
    </row>
    <row r="3722" spans="1:14" s="163" customFormat="1" hidden="1" outlineLevel="1" x14ac:dyDescent="0.25">
      <c r="A3722" s="1394">
        <v>3.3300000000000003E-2</v>
      </c>
      <c r="B3722" s="1395" t="s">
        <v>576</v>
      </c>
      <c r="C3722" s="1396">
        <v>19.283000000000001</v>
      </c>
      <c r="D3722" s="1397">
        <v>13.715</v>
      </c>
      <c r="E3722" s="1386">
        <v>-0.28875175024633104</v>
      </c>
      <c r="F3722" s="1387">
        <v>-0.04</v>
      </c>
      <c r="G3722" s="1388">
        <v>39478</v>
      </c>
      <c r="H3722" s="1389" t="s">
        <v>2080</v>
      </c>
      <c r="M3722"/>
      <c r="N3722"/>
    </row>
    <row r="3723" spans="1:14" hidden="1" outlineLevel="1" x14ac:dyDescent="0.25">
      <c r="A3723" s="1398"/>
      <c r="B3723" s="1399"/>
      <c r="C3723" s="1400"/>
      <c r="D3723" s="1400"/>
      <c r="E3723" s="1401"/>
      <c r="F3723" s="1402">
        <v>-0.92000000000000026</v>
      </c>
      <c r="G3723" s="1376"/>
      <c r="H3723" s="1377"/>
      <c r="J3723" s="163"/>
      <c r="K3723" s="163"/>
      <c r="L3723" s="163"/>
    </row>
    <row r="3724" spans="1:14" collapsed="1" x14ac:dyDescent="0.25">
      <c r="A3724" s="3879" t="s">
        <v>912</v>
      </c>
      <c r="B3724" s="3880"/>
      <c r="C3724" s="3880"/>
      <c r="D3724" s="3880"/>
      <c r="E3724" s="1403"/>
      <c r="F3724" s="1402">
        <v>0</v>
      </c>
      <c r="G3724" s="1404" t="s">
        <v>781</v>
      </c>
      <c r="H3724" s="1377"/>
    </row>
    <row r="3725" spans="1:14" x14ac:dyDescent="0.25">
      <c r="A3725" s="1"/>
      <c r="B3725" s="1"/>
      <c r="C3725" s="1"/>
      <c r="D3725" s="1"/>
      <c r="E3725" s="1"/>
      <c r="F3725" s="1848"/>
      <c r="G3725" s="78"/>
    </row>
    <row r="3726" spans="1:14" hidden="1" outlineLevel="1" x14ac:dyDescent="0.25">
      <c r="A3726" s="689" t="s">
        <v>113</v>
      </c>
      <c r="B3726" s="689" t="s">
        <v>114</v>
      </c>
      <c r="C3726" s="689" t="s">
        <v>112</v>
      </c>
      <c r="D3726" s="689" t="s">
        <v>116</v>
      </c>
      <c r="E3726" s="689" t="s">
        <v>117</v>
      </c>
      <c r="F3726" s="1188" t="s">
        <v>121</v>
      </c>
      <c r="G3726" s="78"/>
    </row>
    <row r="3727" spans="1:14" hidden="1" outlineLevel="1" x14ac:dyDescent="0.25">
      <c r="A3727" s="690">
        <v>1</v>
      </c>
      <c r="B3727" s="691" t="s">
        <v>252</v>
      </c>
      <c r="C3727" s="692">
        <v>100</v>
      </c>
      <c r="D3727" s="692"/>
      <c r="E3727" s="693"/>
      <c r="F3727" s="694"/>
      <c r="G3727" s="78"/>
    </row>
    <row r="3728" spans="1:14" hidden="1" outlineLevel="1" x14ac:dyDescent="0.25">
      <c r="A3728" s="695"/>
      <c r="B3728" s="695"/>
      <c r="C3728" s="696"/>
      <c r="D3728" s="697" t="s">
        <v>3702</v>
      </c>
      <c r="E3728" s="698">
        <v>42460</v>
      </c>
      <c r="F3728" s="699"/>
      <c r="G3728" s="78"/>
    </row>
    <row r="3729" spans="1:12" hidden="1" outlineLevel="1" x14ac:dyDescent="0.25">
      <c r="A3729" s="689" t="s">
        <v>4156</v>
      </c>
      <c r="B3729" s="689" t="s">
        <v>4153</v>
      </c>
      <c r="C3729" s="700" t="s">
        <v>112</v>
      </c>
      <c r="D3729" s="689" t="s">
        <v>4155</v>
      </c>
      <c r="E3729" s="689" t="s">
        <v>4154</v>
      </c>
      <c r="F3729" s="1021" t="s">
        <v>2519</v>
      </c>
      <c r="G3729" s="78"/>
      <c r="J3729" t="s">
        <v>2040</v>
      </c>
    </row>
    <row r="3730" spans="1:12" hidden="1" outlineLevel="1" x14ac:dyDescent="0.25">
      <c r="A3730" s="734">
        <v>0.05</v>
      </c>
      <c r="B3730" s="735" t="s">
        <v>2169</v>
      </c>
      <c r="C3730" s="807">
        <v>24.085800419069034</v>
      </c>
      <c r="D3730" s="803">
        <v>20.1144</v>
      </c>
      <c r="E3730" s="705">
        <v>-0.164885548745344</v>
      </c>
      <c r="F3730" s="1021">
        <v>-8.2442774372672011E-3</v>
      </c>
      <c r="G3730" s="78"/>
      <c r="H3730" t="s">
        <v>484</v>
      </c>
      <c r="J3730" s="256">
        <v>40695</v>
      </c>
      <c r="K3730">
        <v>95.574399999999997</v>
      </c>
      <c r="L3730" s="37">
        <v>-4.4256000000000073E-2</v>
      </c>
    </row>
    <row r="3731" spans="1:12" hidden="1" outlineLevel="1" x14ac:dyDescent="0.25">
      <c r="A3731" s="739">
        <v>0.05</v>
      </c>
      <c r="B3731" s="740" t="s">
        <v>2170</v>
      </c>
      <c r="C3731" s="809">
        <v>22.335999999999999</v>
      </c>
      <c r="D3731" s="908">
        <v>23.1</v>
      </c>
      <c r="E3731" s="709">
        <v>3.4204871060172115E-2</v>
      </c>
      <c r="F3731" s="946">
        <v>1.7102435530086059E-3</v>
      </c>
      <c r="G3731" s="78"/>
      <c r="H3731" t="s">
        <v>485</v>
      </c>
      <c r="J3731" s="256">
        <v>40725</v>
      </c>
      <c r="K3731">
        <v>92.971599999999995</v>
      </c>
      <c r="L3731" s="37">
        <v>-7.0284000000000013E-2</v>
      </c>
    </row>
    <row r="3732" spans="1:12" hidden="1" outlineLevel="1" x14ac:dyDescent="0.25">
      <c r="A3732" s="739">
        <v>0.05</v>
      </c>
      <c r="B3732" s="740" t="s">
        <v>3250</v>
      </c>
      <c r="C3732" s="809">
        <v>36.451000000000001</v>
      </c>
      <c r="D3732" s="908">
        <v>51.97</v>
      </c>
      <c r="E3732" s="709">
        <v>0.42574963649831266</v>
      </c>
      <c r="F3732" s="946">
        <v>2.1287481824915633E-2</v>
      </c>
      <c r="G3732" s="78"/>
      <c r="H3732" t="s">
        <v>3627</v>
      </c>
      <c r="J3732" s="256">
        <v>40756</v>
      </c>
      <c r="K3732">
        <v>88.218900000000005</v>
      </c>
      <c r="L3732" s="37">
        <v>-0.117811</v>
      </c>
    </row>
    <row r="3733" spans="1:12" hidden="1" outlineLevel="1" x14ac:dyDescent="0.25">
      <c r="A3733" s="739">
        <v>0.05</v>
      </c>
      <c r="B3733" s="740" t="s">
        <v>3251</v>
      </c>
      <c r="C3733" s="809">
        <v>208.2128457648104</v>
      </c>
      <c r="D3733" s="908">
        <v>188</v>
      </c>
      <c r="E3733" s="709">
        <v>-9.7077803680000074E-2</v>
      </c>
      <c r="F3733" s="946">
        <v>-4.8538901840000041E-3</v>
      </c>
      <c r="G3733" s="78"/>
      <c r="H3733" t="s">
        <v>118</v>
      </c>
      <c r="J3733" s="256">
        <v>40787</v>
      </c>
      <c r="K3733">
        <v>85.430400000000006</v>
      </c>
      <c r="L3733" s="37">
        <v>-0.14569599999999994</v>
      </c>
    </row>
    <row r="3734" spans="1:12" hidden="1" outlineLevel="1" x14ac:dyDescent="0.25">
      <c r="A3734" s="739">
        <v>0.05</v>
      </c>
      <c r="B3734" s="740" t="s">
        <v>3252</v>
      </c>
      <c r="C3734" s="809">
        <v>987.72</v>
      </c>
      <c r="D3734" s="908">
        <v>1247.67</v>
      </c>
      <c r="E3734" s="709">
        <v>0.26318187340541854</v>
      </c>
      <c r="F3734" s="946">
        <v>1.3159093670270927E-2</v>
      </c>
      <c r="G3734" s="78"/>
      <c r="H3734" t="s">
        <v>3628</v>
      </c>
      <c r="J3734" s="256">
        <v>40817</v>
      </c>
      <c r="K3734">
        <v>90.0107</v>
      </c>
      <c r="L3734" s="37">
        <v>-9.989300000000001E-2</v>
      </c>
    </row>
    <row r="3735" spans="1:12" hidden="1" outlineLevel="1" x14ac:dyDescent="0.25">
      <c r="A3735" s="739">
        <v>0.05</v>
      </c>
      <c r="B3735" s="740" t="s">
        <v>3253</v>
      </c>
      <c r="C3735" s="809">
        <v>319.95</v>
      </c>
      <c r="D3735" s="908">
        <v>464.2</v>
      </c>
      <c r="E3735" s="709">
        <v>0.45085169557743399</v>
      </c>
      <c r="F3735" s="946">
        <v>2.2542584778871701E-2</v>
      </c>
      <c r="G3735" s="78"/>
      <c r="H3735" t="s">
        <v>3629</v>
      </c>
      <c r="J3735" s="256">
        <v>40848</v>
      </c>
      <c r="K3735">
        <v>91.811400000000006</v>
      </c>
      <c r="L3735" s="37">
        <v>-8.1885999999999903E-2</v>
      </c>
    </row>
    <row r="3736" spans="1:12" hidden="1" outlineLevel="1" x14ac:dyDescent="0.25">
      <c r="A3736" s="739">
        <v>0.05</v>
      </c>
      <c r="B3736" s="740" t="s">
        <v>3254</v>
      </c>
      <c r="C3736" s="809">
        <v>2101.4</v>
      </c>
      <c r="D3736" s="908">
        <v>471</v>
      </c>
      <c r="E3736" s="709">
        <v>-0.77586370990768061</v>
      </c>
      <c r="F3736" s="946">
        <v>-3.8793185495384033E-2</v>
      </c>
      <c r="G3736" s="78"/>
      <c r="H3736" t="s">
        <v>3630</v>
      </c>
      <c r="J3736" s="256">
        <v>40878</v>
      </c>
      <c r="K3736">
        <v>89.757400000000004</v>
      </c>
      <c r="L3736" s="37">
        <v>-0.10242599999999991</v>
      </c>
    </row>
    <row r="3737" spans="1:12" hidden="1" outlineLevel="1" x14ac:dyDescent="0.25">
      <c r="A3737" s="739">
        <v>0.05</v>
      </c>
      <c r="B3737" s="740" t="s">
        <v>3255</v>
      </c>
      <c r="C3737" s="809">
        <v>634.6</v>
      </c>
      <c r="D3737" s="908">
        <v>732.5</v>
      </c>
      <c r="E3737" s="709">
        <v>0.15427040655531044</v>
      </c>
      <c r="F3737" s="946">
        <v>7.7135203277655219E-3</v>
      </c>
      <c r="G3737" s="78"/>
      <c r="H3737" t="s">
        <v>3631</v>
      </c>
      <c r="J3737" s="256">
        <v>40909</v>
      </c>
      <c r="K3737">
        <v>91.004900000000006</v>
      </c>
      <c r="L3737" s="37">
        <v>-8.9950999999999892E-2</v>
      </c>
    </row>
    <row r="3738" spans="1:12" hidden="1" outlineLevel="1" x14ac:dyDescent="0.25">
      <c r="A3738" s="739">
        <v>0.05</v>
      </c>
      <c r="B3738" s="740" t="s">
        <v>1897</v>
      </c>
      <c r="C3738" s="809">
        <v>37.064999999999998</v>
      </c>
      <c r="D3738" s="908">
        <v>40.76</v>
      </c>
      <c r="E3738" s="709">
        <v>9.9689734250640871E-2</v>
      </c>
      <c r="F3738" s="946">
        <v>4.9844867125320436E-3</v>
      </c>
      <c r="G3738" s="78"/>
      <c r="H3738" t="s">
        <v>352</v>
      </c>
      <c r="J3738" s="256">
        <v>40940</v>
      </c>
      <c r="K3738">
        <v>93.618600000000001</v>
      </c>
      <c r="L3738" s="37">
        <v>-6.3814000000000037E-2</v>
      </c>
    </row>
    <row r="3739" spans="1:12" hidden="1" outlineLevel="1" x14ac:dyDescent="0.25">
      <c r="A3739" s="739">
        <v>0.1</v>
      </c>
      <c r="B3739" s="740" t="s">
        <v>3801</v>
      </c>
      <c r="C3739" s="809">
        <v>80.974999999999994</v>
      </c>
      <c r="D3739" s="908">
        <v>29.535</v>
      </c>
      <c r="E3739" s="709">
        <v>-0.63525779561593088</v>
      </c>
      <c r="F3739" s="946">
        <v>-6.3525779561593096E-2</v>
      </c>
      <c r="G3739" s="78"/>
      <c r="H3739" t="s">
        <v>2819</v>
      </c>
      <c r="J3739" s="256">
        <v>40969</v>
      </c>
      <c r="K3739">
        <v>92.627099999999999</v>
      </c>
      <c r="L3739" s="37">
        <v>-7.3729000000000045E-2</v>
      </c>
    </row>
    <row r="3740" spans="1:12" hidden="1" outlineLevel="1" x14ac:dyDescent="0.25">
      <c r="A3740" s="739">
        <v>0.1</v>
      </c>
      <c r="B3740" s="740" t="s">
        <v>4460</v>
      </c>
      <c r="C3740" s="809">
        <v>1500.1</v>
      </c>
      <c r="D3740" s="908">
        <v>1721</v>
      </c>
      <c r="E3740" s="709">
        <v>0.14725684954336393</v>
      </c>
      <c r="F3740" s="946">
        <v>1.4725684954336394E-2</v>
      </c>
      <c r="G3740" s="78"/>
      <c r="H3740" t="s">
        <v>3485</v>
      </c>
      <c r="J3740" s="256">
        <v>41000</v>
      </c>
      <c r="K3740">
        <v>92.007900000000006</v>
      </c>
      <c r="L3740" s="37">
        <v>-7.9920999999999909E-2</v>
      </c>
    </row>
    <row r="3741" spans="1:12" hidden="1" outlineLevel="1" x14ac:dyDescent="0.25">
      <c r="A3741" s="739">
        <v>0.1</v>
      </c>
      <c r="B3741" s="740" t="s">
        <v>4338</v>
      </c>
      <c r="C3741" s="809">
        <v>37.028432928674</v>
      </c>
      <c r="D3741" s="908">
        <v>15.975</v>
      </c>
      <c r="E3741" s="709">
        <v>-0.56857477520661392</v>
      </c>
      <c r="F3741" s="946">
        <v>-5.6857477520661392E-2</v>
      </c>
      <c r="G3741" s="78"/>
      <c r="H3741" t="s">
        <v>7229</v>
      </c>
      <c r="J3741" s="256">
        <v>41030</v>
      </c>
      <c r="K3741">
        <v>89.511399999999995</v>
      </c>
      <c r="L3741" s="37">
        <v>-0.10488600000000003</v>
      </c>
    </row>
    <row r="3742" spans="1:12" hidden="1" outlineLevel="1" x14ac:dyDescent="0.25">
      <c r="A3742" s="739">
        <v>0.1</v>
      </c>
      <c r="B3742" s="740" t="s">
        <v>2983</v>
      </c>
      <c r="C3742" s="809">
        <v>756.12875003432566</v>
      </c>
      <c r="D3742" s="908">
        <v>657</v>
      </c>
      <c r="E3742" s="709">
        <v>-0.13110035827869992</v>
      </c>
      <c r="F3742" s="946">
        <v>-1.3110035827869994E-2</v>
      </c>
      <c r="G3742" s="78"/>
      <c r="H3742" t="s">
        <v>1713</v>
      </c>
      <c r="J3742" s="264" t="s">
        <v>2465</v>
      </c>
      <c r="L3742" s="261">
        <v>-8.9546083333333318E-2</v>
      </c>
    </row>
    <row r="3743" spans="1:12" hidden="1" outlineLevel="1" x14ac:dyDescent="0.25">
      <c r="A3743" s="739">
        <v>0.05</v>
      </c>
      <c r="B3743" s="740" t="s">
        <v>1898</v>
      </c>
      <c r="C3743" s="809">
        <v>29.303037938247627</v>
      </c>
      <c r="D3743" s="908">
        <v>8.125</v>
      </c>
      <c r="E3743" s="709">
        <v>-0.72272499468750007</v>
      </c>
      <c r="F3743" s="946">
        <v>-3.6136249734375007E-2</v>
      </c>
      <c r="G3743" s="78"/>
      <c r="H3743" t="s">
        <v>353</v>
      </c>
      <c r="J3743" s="264" t="s">
        <v>1507</v>
      </c>
      <c r="L3743" s="261">
        <v>-5.3727649999999988E-2</v>
      </c>
    </row>
    <row r="3744" spans="1:12" hidden="1" outlineLevel="1" x14ac:dyDescent="0.25">
      <c r="A3744" s="739">
        <v>0.05</v>
      </c>
      <c r="B3744" s="740" t="s">
        <v>4228</v>
      </c>
      <c r="C3744" s="809">
        <v>58.161000000000001</v>
      </c>
      <c r="D3744" s="908">
        <v>9.2360000000000007</v>
      </c>
      <c r="E3744" s="709">
        <v>-0.84119942917075019</v>
      </c>
      <c r="F3744" s="946">
        <v>-4.2059971458537515E-2</v>
      </c>
      <c r="G3744" s="78"/>
      <c r="H3744" t="s">
        <v>3994</v>
      </c>
    </row>
    <row r="3745" spans="1:12" hidden="1" outlineLevel="1" x14ac:dyDescent="0.25">
      <c r="A3745" s="739">
        <v>0.05</v>
      </c>
      <c r="B3745" s="740" t="s">
        <v>1899</v>
      </c>
      <c r="C3745" s="809">
        <v>650.90000000000009</v>
      </c>
      <c r="D3745" s="908">
        <v>1544</v>
      </c>
      <c r="E3745" s="709">
        <v>1.3721001689967736</v>
      </c>
      <c r="F3745" s="946">
        <v>6.8605008449838675E-2</v>
      </c>
      <c r="G3745" s="78"/>
      <c r="H3745" t="s">
        <v>354</v>
      </c>
      <c r="L3745" s="406"/>
    </row>
    <row r="3746" spans="1:12" hidden="1" outlineLevel="1" x14ac:dyDescent="0.25">
      <c r="A3746" s="717"/>
      <c r="B3746" s="718"/>
      <c r="C3746" s="719"/>
      <c r="D3746" s="719"/>
      <c r="E3746" s="720"/>
      <c r="F3746" s="731">
        <v>-0.10885276294814876</v>
      </c>
      <c r="G3746" s="78"/>
      <c r="I3746" s="101"/>
    </row>
    <row r="3747" spans="1:12" collapsed="1" x14ac:dyDescent="0.25">
      <c r="A3747" s="3801" t="s">
        <v>1692</v>
      </c>
      <c r="B3747" s="3802"/>
      <c r="C3747" s="3802"/>
      <c r="D3747" s="3802"/>
      <c r="E3747" s="721"/>
      <c r="F3747" s="722">
        <v>0</v>
      </c>
      <c r="G3747" s="97" t="s">
        <v>781</v>
      </c>
    </row>
    <row r="3748" spans="1:12" x14ac:dyDescent="0.25">
      <c r="A3748" s="1"/>
      <c r="B3748" s="1"/>
      <c r="C3748" s="1"/>
      <c r="D3748" s="1"/>
      <c r="E3748" s="1"/>
      <c r="F3748" s="1848"/>
      <c r="G3748" s="78"/>
    </row>
    <row r="3749" spans="1:12" hidden="1" outlineLevel="1" x14ac:dyDescent="0.25">
      <c r="A3749" s="689" t="s">
        <v>113</v>
      </c>
      <c r="B3749" s="689" t="s">
        <v>114</v>
      </c>
      <c r="C3749" s="689" t="s">
        <v>112</v>
      </c>
      <c r="D3749" s="689" t="s">
        <v>116</v>
      </c>
      <c r="E3749" s="689" t="s">
        <v>117</v>
      </c>
      <c r="F3749" s="1188" t="s">
        <v>121</v>
      </c>
      <c r="G3749" s="21"/>
    </row>
    <row r="3750" spans="1:12" hidden="1" outlineLevel="1" x14ac:dyDescent="0.25">
      <c r="A3750" s="690">
        <v>1</v>
      </c>
      <c r="B3750" s="691" t="s">
        <v>252</v>
      </c>
      <c r="C3750" s="692">
        <v>100</v>
      </c>
      <c r="D3750" s="692"/>
      <c r="E3750" s="693"/>
      <c r="F3750" s="694"/>
      <c r="G3750" s="21"/>
    </row>
    <row r="3751" spans="1:12" hidden="1" outlineLevel="1" x14ac:dyDescent="0.25">
      <c r="A3751" s="695"/>
      <c r="B3751" s="695"/>
      <c r="C3751" s="696"/>
      <c r="D3751" s="697" t="s">
        <v>3702</v>
      </c>
      <c r="E3751" s="698">
        <v>41121</v>
      </c>
      <c r="F3751" s="699"/>
      <c r="G3751" s="21"/>
    </row>
    <row r="3752" spans="1:12" hidden="1" outlineLevel="1" x14ac:dyDescent="0.25">
      <c r="A3752" s="689" t="s">
        <v>4156</v>
      </c>
      <c r="B3752" s="689" t="s">
        <v>4153</v>
      </c>
      <c r="C3752" s="497" t="s">
        <v>112</v>
      </c>
      <c r="D3752" s="689" t="s">
        <v>4155</v>
      </c>
      <c r="E3752" s="689" t="s">
        <v>4154</v>
      </c>
      <c r="F3752" s="1021" t="s">
        <v>2519</v>
      </c>
      <c r="G3752" s="21"/>
    </row>
    <row r="3753" spans="1:12" hidden="1" outlineLevel="1" x14ac:dyDescent="0.25">
      <c r="A3753" s="999">
        <v>0.05</v>
      </c>
      <c r="B3753" s="755" t="s">
        <v>157</v>
      </c>
      <c r="C3753" s="1007">
        <v>13.264900000000001</v>
      </c>
      <c r="D3753" s="908">
        <v>4.95</v>
      </c>
      <c r="E3753" s="705">
        <v>-0.62683472924786465</v>
      </c>
      <c r="F3753" s="1021">
        <v>-3.1341736462393237E-2</v>
      </c>
      <c r="G3753" s="21"/>
      <c r="H3753" t="str">
        <f>VLOOKUP(B3753,indexy!$A$44:$D$234,3,FALSE)</f>
        <v>SAN SM Equity</v>
      </c>
    </row>
    <row r="3754" spans="1:12" hidden="1" outlineLevel="1" x14ac:dyDescent="0.25">
      <c r="A3754" s="1002">
        <v>0.03</v>
      </c>
      <c r="B3754" s="996" t="s">
        <v>3018</v>
      </c>
      <c r="C3754" s="1008">
        <v>40.550391223999995</v>
      </c>
      <c r="D3754" s="908">
        <v>27.065000000000001</v>
      </c>
      <c r="E3754" s="709">
        <v>-0.33255884387173518</v>
      </c>
      <c r="F3754" s="946">
        <v>-9.9767653161520545E-3</v>
      </c>
      <c r="G3754" s="21"/>
      <c r="H3754" t="str">
        <f>VLOOKUP(B3754,indexy!$A$44:$D$234,3,FALSE)</f>
        <v>AC FP Equity</v>
      </c>
    </row>
    <row r="3755" spans="1:12" hidden="1" outlineLevel="1" x14ac:dyDescent="0.25">
      <c r="A3755" s="1002">
        <v>0.03</v>
      </c>
      <c r="B3755" s="996" t="s">
        <v>156</v>
      </c>
      <c r="C3755" s="1008">
        <v>59.585000000000001</v>
      </c>
      <c r="D3755" s="908">
        <v>13.065</v>
      </c>
      <c r="E3755" s="709">
        <v>-0.78073340605857178</v>
      </c>
      <c r="F3755" s="946">
        <v>-2.3422002181757152E-2</v>
      </c>
      <c r="G3755" s="21"/>
      <c r="H3755" t="e">
        <f>VLOOKUP(B3755,indexy!$A$44:$D$234,3,FALSE)</f>
        <v>#N/A</v>
      </c>
    </row>
    <row r="3756" spans="1:12" hidden="1" outlineLevel="1" x14ac:dyDescent="0.25">
      <c r="A3756" s="1002">
        <v>0.03</v>
      </c>
      <c r="B3756" s="996" t="s">
        <v>218</v>
      </c>
      <c r="C3756" s="1008">
        <v>32.347000000000001</v>
      </c>
      <c r="D3756" s="908">
        <v>9.9499999999999993</v>
      </c>
      <c r="E3756" s="709">
        <v>-0.69239805855257064</v>
      </c>
      <c r="F3756" s="946">
        <v>-2.0771941756577119E-2</v>
      </c>
      <c r="G3756" s="21"/>
      <c r="H3756" t="str">
        <f>VLOOKUP(B3756,indexy!$A$44:$D$234,3,FALSE)</f>
        <v>CS FP Equity</v>
      </c>
    </row>
    <row r="3757" spans="1:12" hidden="1" outlineLevel="1" x14ac:dyDescent="0.25">
      <c r="A3757" s="1002">
        <v>0.03</v>
      </c>
      <c r="B3757" s="996" t="s">
        <v>1994</v>
      </c>
      <c r="C3757" s="1008">
        <v>49.831000000000003</v>
      </c>
      <c r="D3757" s="908">
        <v>7.34</v>
      </c>
      <c r="E3757" s="709">
        <v>-0.85270213321025068</v>
      </c>
      <c r="F3757" s="946">
        <v>-2.558106399630752E-2</v>
      </c>
      <c r="G3757" s="21"/>
      <c r="H3757" t="str">
        <f>VLOOKUP(B3757,indexy!$A$44:$D$234,3,FALSE)</f>
        <v>BAC UN Equity</v>
      </c>
    </row>
    <row r="3758" spans="1:12" hidden="1" outlineLevel="1" x14ac:dyDescent="0.25">
      <c r="A3758" s="1002">
        <v>0.03</v>
      </c>
      <c r="B3758" s="743" t="s">
        <v>1184</v>
      </c>
      <c r="C3758" s="1008">
        <v>46.265999999999998</v>
      </c>
      <c r="D3758" s="908">
        <v>59.48</v>
      </c>
      <c r="E3758" s="709">
        <v>0.28560930272770491</v>
      </c>
      <c r="F3758" s="946">
        <v>8.5682790818311476E-3</v>
      </c>
      <c r="G3758" s="21"/>
      <c r="H3758" t="str">
        <f>VLOOKUP(B3758,indexy!$A$44:$D$234,3,FALSE)</f>
        <v>BAS GY Equity</v>
      </c>
    </row>
    <row r="3759" spans="1:12" hidden="1" outlineLevel="1" x14ac:dyDescent="0.25">
      <c r="A3759" s="1002">
        <v>0.03</v>
      </c>
      <c r="B3759" s="996" t="s">
        <v>3019</v>
      </c>
      <c r="C3759" s="1008">
        <v>89.876000000000005</v>
      </c>
      <c r="D3759" s="908">
        <v>30.17</v>
      </c>
      <c r="E3759" s="709">
        <v>-0.6643152788286083</v>
      </c>
      <c r="F3759" s="946">
        <v>-1.9929458364858248E-2</v>
      </c>
      <c r="G3759" s="21"/>
      <c r="H3759" t="str">
        <f>VLOOKUP(B3759,indexy!$A$44:$D$234,3,FALSE)</f>
        <v>BNP FP Equity</v>
      </c>
    </row>
    <row r="3760" spans="1:12" hidden="1" outlineLevel="1" x14ac:dyDescent="0.25">
      <c r="A3760" s="1002">
        <v>0.02</v>
      </c>
      <c r="B3760" s="996" t="s">
        <v>1847</v>
      </c>
      <c r="C3760" s="1008">
        <v>533.35</v>
      </c>
      <c r="D3760" s="908">
        <v>27.13</v>
      </c>
      <c r="E3760" s="709">
        <v>-0.9491328395987626</v>
      </c>
      <c r="F3760" s="946">
        <v>-1.8982656791975253E-2</v>
      </c>
      <c r="G3760" s="21"/>
      <c r="H3760" t="str">
        <f>VLOOKUP(B3760,indexy!$A$44:$D$234,3,FALSE)</f>
        <v>C UN Equity</v>
      </c>
    </row>
    <row r="3761" spans="1:8" hidden="1" outlineLevel="1" x14ac:dyDescent="0.25">
      <c r="A3761" s="1002">
        <v>0.04</v>
      </c>
      <c r="B3761" s="743" t="s">
        <v>3406</v>
      </c>
      <c r="C3761" s="1008">
        <v>1071.1000000000001</v>
      </c>
      <c r="D3761" s="908">
        <v>1707</v>
      </c>
      <c r="E3761" s="709">
        <v>0.59368873121090449</v>
      </c>
      <c r="F3761" s="946">
        <v>2.3747549248436181E-2</v>
      </c>
      <c r="G3761" s="21"/>
      <c r="H3761" t="str">
        <f>VLOOKUP(B3761,indexy!$A$44:$D$234,3,FALSE)</f>
        <v>DGE LN Equity</v>
      </c>
    </row>
    <row r="3762" spans="1:8" hidden="1" outlineLevel="1" x14ac:dyDescent="0.25">
      <c r="A3762" s="1002">
        <v>0.04</v>
      </c>
      <c r="B3762" s="996" t="s">
        <v>310</v>
      </c>
      <c r="C3762" s="1008">
        <v>37.113</v>
      </c>
      <c r="D3762" s="908">
        <v>40.03</v>
      </c>
      <c r="E3762" s="709">
        <v>7.8597795920567037E-2</v>
      </c>
      <c r="F3762" s="946">
        <v>3.1439118368226816E-3</v>
      </c>
      <c r="G3762" s="12"/>
      <c r="H3762" t="e">
        <f>VLOOKUP(B3762,indexy!$A$44:$D$234,3,FALSE)</f>
        <v>#N/A</v>
      </c>
    </row>
    <row r="3763" spans="1:8" hidden="1" outlineLevel="1" x14ac:dyDescent="0.25">
      <c r="A3763" s="1002">
        <v>0.04</v>
      </c>
      <c r="B3763" s="743" t="s">
        <v>3021</v>
      </c>
      <c r="C3763" s="1008">
        <v>26.768000000000001</v>
      </c>
      <c r="D3763" s="908">
        <v>16.84</v>
      </c>
      <c r="E3763" s="709">
        <v>-0.3708906156604902</v>
      </c>
      <c r="F3763" s="946">
        <v>-1.4835624626419608E-2</v>
      </c>
      <c r="G3763" s="21"/>
      <c r="H3763" t="str">
        <f>VLOOKUP(B3763,indexy!$A$44:$D$234,3,FALSE)</f>
        <v>ENI IM Equity</v>
      </c>
    </row>
    <row r="3764" spans="1:8" hidden="1" outlineLevel="1" x14ac:dyDescent="0.25">
      <c r="A3764" s="1002">
        <v>0.03</v>
      </c>
      <c r="B3764" s="743" t="s">
        <v>53</v>
      </c>
      <c r="C3764" s="1008">
        <v>57.942999999999998</v>
      </c>
      <c r="D3764" s="908">
        <v>49.48</v>
      </c>
      <c r="E3764" s="709">
        <v>-0.14605733220578843</v>
      </c>
      <c r="F3764" s="946">
        <v>-4.3817199661736524E-3</v>
      </c>
      <c r="G3764" s="21"/>
      <c r="H3764" t="str">
        <f>VLOOKUP(B3764,indexy!$A$44:$D$234,3,FALSE)</f>
        <v>BN FP Equity</v>
      </c>
    </row>
    <row r="3765" spans="1:8" hidden="1" outlineLevel="1" x14ac:dyDescent="0.25">
      <c r="A3765" s="1002">
        <v>0.03</v>
      </c>
      <c r="B3765" s="743" t="s">
        <v>1377</v>
      </c>
      <c r="C3765" s="1008">
        <v>45.439</v>
      </c>
      <c r="D3765" s="908">
        <v>18.239999999999998</v>
      </c>
      <c r="E3765" s="709">
        <v>-0.59858271528862872</v>
      </c>
      <c r="F3765" s="946">
        <v>-1.7957481458658862E-2</v>
      </c>
      <c r="G3765" s="21"/>
      <c r="H3765" t="str">
        <f>VLOOKUP(B3765,indexy!$A$44:$D$234,3,FALSE)</f>
        <v>HPQ UN Equity</v>
      </c>
    </row>
    <row r="3766" spans="1:8" hidden="1" outlineLevel="1" x14ac:dyDescent="0.25">
      <c r="A3766" s="1002">
        <v>0.04</v>
      </c>
      <c r="B3766" s="996" t="s">
        <v>1031</v>
      </c>
      <c r="C3766" s="1008">
        <v>10.597</v>
      </c>
      <c r="D3766" s="908">
        <v>2.95</v>
      </c>
      <c r="E3766" s="709">
        <v>-0.72161932622440306</v>
      </c>
      <c r="F3766" s="946">
        <v>-2.8864773048976122E-2</v>
      </c>
      <c r="G3766" s="21"/>
      <c r="H3766" t="str">
        <f>VLOOKUP(B3766,indexy!$A$44:$D$234,3,FALSE)</f>
        <v>IBE SQ Equity</v>
      </c>
    </row>
    <row r="3767" spans="1:8" hidden="1" outlineLevel="1" x14ac:dyDescent="0.25">
      <c r="A3767" s="1002">
        <v>0.05</v>
      </c>
      <c r="B3767" s="996" t="s">
        <v>2588</v>
      </c>
      <c r="C3767" s="1008">
        <v>33.042000000000002</v>
      </c>
      <c r="D3767" s="908">
        <v>5.3810000000000002</v>
      </c>
      <c r="E3767" s="709">
        <v>-0.83714666182434483</v>
      </c>
      <c r="F3767" s="946">
        <v>-4.1857333091217246E-2</v>
      </c>
      <c r="G3767" s="21"/>
      <c r="H3767" t="str">
        <f>VLOOKUP(B3767,indexy!$A$44:$D$234,3,FALSE)</f>
        <v>INGA NA Equity</v>
      </c>
    </row>
    <row r="3768" spans="1:8" hidden="1" outlineLevel="1" x14ac:dyDescent="0.25">
      <c r="A3768" s="1002">
        <v>0.03</v>
      </c>
      <c r="B3768" s="996" t="s">
        <v>3303</v>
      </c>
      <c r="C3768" s="1008">
        <v>130.37799999999999</v>
      </c>
      <c r="D3768" s="908">
        <v>37.43</v>
      </c>
      <c r="E3768" s="709">
        <v>-0.71291168755464884</v>
      </c>
      <c r="F3768" s="946">
        <v>-2.1387350626639465E-2</v>
      </c>
      <c r="G3768" s="21"/>
      <c r="H3768" t="e">
        <f>VLOOKUP(B3768,indexy!$A$44:$D$234,3,FALSE)</f>
        <v>#N/A</v>
      </c>
    </row>
    <row r="3769" spans="1:8" hidden="1" outlineLevel="1" x14ac:dyDescent="0.25">
      <c r="A3769" s="1002">
        <v>0.02</v>
      </c>
      <c r="B3769" s="743" t="s">
        <v>1205</v>
      </c>
      <c r="C3769" s="1008">
        <v>31.292999999999999</v>
      </c>
      <c r="D3769" s="908">
        <v>17.88</v>
      </c>
      <c r="E3769" s="709">
        <v>-0.42862621033457959</v>
      </c>
      <c r="F3769" s="946">
        <v>-8.5725242066915924E-3</v>
      </c>
      <c r="G3769" s="21"/>
      <c r="H3769" t="str">
        <f>VLOOKUP(B3769,indexy!$A$44:$D$234,3,FALSE)</f>
        <v>PHIA NA Equity</v>
      </c>
    </row>
    <row r="3770" spans="1:8" hidden="1" outlineLevel="1" x14ac:dyDescent="0.25">
      <c r="A3770" s="1002">
        <v>0.03</v>
      </c>
      <c r="B3770" s="743" t="s">
        <v>2586</v>
      </c>
      <c r="C3770" s="1008">
        <v>29.259</v>
      </c>
      <c r="D3770" s="908">
        <v>27.71</v>
      </c>
      <c r="E3770" s="709">
        <v>-5.2940975426364556E-2</v>
      </c>
      <c r="F3770" s="946">
        <v>-1.5882292627909366E-3</v>
      </c>
      <c r="G3770" s="21"/>
      <c r="H3770" t="str">
        <f>VLOOKUP(B3770,indexy!$A$44:$D$234,3,FALSE)</f>
        <v>RDSB LN Equity</v>
      </c>
    </row>
    <row r="3771" spans="1:8" hidden="1" outlineLevel="1" x14ac:dyDescent="0.25">
      <c r="A3771" s="1002">
        <v>0.03</v>
      </c>
      <c r="B3771" s="996" t="s">
        <v>1187</v>
      </c>
      <c r="C3771" s="1008">
        <v>62.686999999999998</v>
      </c>
      <c r="D3771" s="908">
        <v>66.47</v>
      </c>
      <c r="E3771" s="709">
        <v>6.0347440458149215E-2</v>
      </c>
      <c r="F3771" s="946">
        <v>1.8104232137444764E-3</v>
      </c>
      <c r="G3771" s="21"/>
      <c r="H3771" t="str">
        <f>VLOOKUP(B3771,indexy!$A$44:$D$234,3,FALSE)</f>
        <v>SAN FP Equity</v>
      </c>
    </row>
    <row r="3772" spans="1:8" hidden="1" outlineLevel="1" x14ac:dyDescent="0.25">
      <c r="A3772" s="1002">
        <v>0.03</v>
      </c>
      <c r="B3772" s="996" t="s">
        <v>1214</v>
      </c>
      <c r="C3772" s="1008">
        <v>104.059</v>
      </c>
      <c r="D3772" s="908">
        <v>69.099999999999994</v>
      </c>
      <c r="E3772" s="709">
        <v>-0.33595364168404462</v>
      </c>
      <c r="F3772" s="946">
        <v>-1.0078609250521339E-2</v>
      </c>
      <c r="G3772" s="21"/>
      <c r="H3772" t="str">
        <f>VLOOKUP(B3772,indexy!$A$44:$D$234,3,FALSE)</f>
        <v>SIE GY Equity</v>
      </c>
    </row>
    <row r="3773" spans="1:8" hidden="1" outlineLevel="1" x14ac:dyDescent="0.25">
      <c r="A3773" s="1002">
        <v>0.03</v>
      </c>
      <c r="B3773" s="743" t="s">
        <v>1207</v>
      </c>
      <c r="C3773" s="1008">
        <v>6613</v>
      </c>
      <c r="D3773" s="908">
        <v>963</v>
      </c>
      <c r="E3773" s="709">
        <v>-0.85437774081354911</v>
      </c>
      <c r="F3773" s="946">
        <v>-2.5631332224406472E-2</v>
      </c>
      <c r="G3773" s="21"/>
      <c r="H3773" t="str">
        <f>VLOOKUP(B3773,indexy!$A$44:$D$234,3,FALSE)</f>
        <v>6758 JT Equity</v>
      </c>
    </row>
    <row r="3774" spans="1:8" hidden="1" outlineLevel="1" x14ac:dyDescent="0.25">
      <c r="A3774" s="1002">
        <v>0.02</v>
      </c>
      <c r="B3774" s="743" t="s">
        <v>2399</v>
      </c>
      <c r="C3774" s="1008">
        <v>14.305999999999999</v>
      </c>
      <c r="D3774" s="908">
        <v>4.423</v>
      </c>
      <c r="E3774" s="709">
        <v>-0.69082902278764147</v>
      </c>
      <c r="F3774" s="946">
        <v>-1.381658045575283E-2</v>
      </c>
      <c r="G3774" s="21"/>
      <c r="H3774" t="e">
        <f>VLOOKUP(B3774,indexy!$A$44:$D$234,3,FALSE)</f>
        <v>#N/A</v>
      </c>
    </row>
    <row r="3775" spans="1:8" hidden="1" outlineLevel="1" x14ac:dyDescent="0.25">
      <c r="A3775" s="1002">
        <v>0.04</v>
      </c>
      <c r="B3775" s="996" t="s">
        <v>578</v>
      </c>
      <c r="C3775" s="1008">
        <v>14.145</v>
      </c>
      <c r="D3775" s="908">
        <v>4.6500000000000004</v>
      </c>
      <c r="E3775" s="709">
        <v>-0.67126193001060441</v>
      </c>
      <c r="F3775" s="946">
        <v>-2.6850477200424178E-2</v>
      </c>
      <c r="G3775" s="21"/>
      <c r="H3775" t="str">
        <f>VLOOKUP(B3775,indexy!$A$44:$D$234,3,FALSE)</f>
        <v>STERV FH Equity</v>
      </c>
    </row>
    <row r="3776" spans="1:8" hidden="1" outlineLevel="1" x14ac:dyDescent="0.25">
      <c r="A3776" s="1002">
        <v>0.04</v>
      </c>
      <c r="B3776" s="743" t="s">
        <v>577</v>
      </c>
      <c r="C3776" s="1008">
        <v>16.401</v>
      </c>
      <c r="D3776" s="908">
        <v>9.2270000000000003</v>
      </c>
      <c r="E3776" s="709">
        <v>-0.43741235290531066</v>
      </c>
      <c r="F3776" s="946">
        <v>-1.7496494116212426E-2</v>
      </c>
      <c r="G3776" s="21"/>
      <c r="H3776" t="str">
        <f>VLOOKUP(B3776,indexy!$A$44:$D$234,3,FALSE)</f>
        <v>TEF SQ Equity</v>
      </c>
    </row>
    <row r="3777" spans="1:8" hidden="1" outlineLevel="1" x14ac:dyDescent="0.25">
      <c r="A3777" s="1002">
        <v>0.04</v>
      </c>
      <c r="B3777" s="996" t="s">
        <v>3325</v>
      </c>
      <c r="C3777" s="1008">
        <v>26.344999999999999</v>
      </c>
      <c r="D3777" s="908">
        <v>6.8620000000000001</v>
      </c>
      <c r="E3777" s="709">
        <v>-0.73953311823875501</v>
      </c>
      <c r="F3777" s="946">
        <v>-2.9581324729550201E-2</v>
      </c>
      <c r="G3777" s="21"/>
      <c r="H3777" t="str">
        <f>VLOOKUP(B3777,indexy!$A$44:$D$234,3,FALSE)</f>
        <v>TFI FP Equity</v>
      </c>
    </row>
    <row r="3778" spans="1:8" hidden="1" outlineLevel="1" x14ac:dyDescent="0.25">
      <c r="A3778" s="1002">
        <v>0.03</v>
      </c>
      <c r="B3778" s="996" t="s">
        <v>583</v>
      </c>
      <c r="C3778" s="1008">
        <v>441.18000000000006</v>
      </c>
      <c r="D3778" s="908">
        <v>318.10000000000002</v>
      </c>
      <c r="E3778" s="709">
        <v>-0.27897910150052141</v>
      </c>
      <c r="F3778" s="946">
        <v>-8.3693730450156417E-3</v>
      </c>
      <c r="G3778" s="21"/>
      <c r="H3778" t="str">
        <f>VLOOKUP(B3778,indexy!$A$44:$D$234,3,FALSE)</f>
        <v>TSCO LN Equity</v>
      </c>
    </row>
    <row r="3779" spans="1:8" hidden="1" outlineLevel="1" x14ac:dyDescent="0.25">
      <c r="A3779" s="1002">
        <v>0.03</v>
      </c>
      <c r="B3779" s="996" t="s">
        <v>1622</v>
      </c>
      <c r="C3779" s="1008">
        <v>15.114251320000003</v>
      </c>
      <c r="D3779" s="908">
        <v>3.1156999999999999</v>
      </c>
      <c r="E3779" s="709">
        <v>-0.79385680878039022</v>
      </c>
      <c r="F3779" s="946">
        <v>-2.3815704263411706E-2</v>
      </c>
      <c r="G3779" s="21"/>
      <c r="H3779" t="str">
        <f>VLOOKUP(B3779,indexy!$A$44:$D$234,3,FALSE)</f>
        <v>PNL NA Equity</v>
      </c>
    </row>
    <row r="3780" spans="1:8" hidden="1" outlineLevel="1" x14ac:dyDescent="0.25">
      <c r="A3780" s="1002">
        <v>0.03</v>
      </c>
      <c r="B3780" s="743" t="s">
        <v>3551</v>
      </c>
      <c r="C3780" s="1008">
        <v>7655</v>
      </c>
      <c r="D3780" s="908">
        <v>3020</v>
      </c>
      <c r="E3780" s="709">
        <v>-0.60548661005878512</v>
      </c>
      <c r="F3780" s="946">
        <v>-1.8164598301763552E-2</v>
      </c>
      <c r="G3780" s="21"/>
      <c r="H3780" t="str">
        <f>VLOOKUP(B3780,indexy!$A$44:$D$234,3,FALSE)</f>
        <v>7203 JT Equity</v>
      </c>
    </row>
    <row r="3781" spans="1:8" hidden="1" outlineLevel="1" x14ac:dyDescent="0.25">
      <c r="A3781" s="1002">
        <v>0.04</v>
      </c>
      <c r="B3781" s="743" t="s">
        <v>255</v>
      </c>
      <c r="C3781" s="1008">
        <v>42.591999999999999</v>
      </c>
      <c r="D3781" s="908">
        <v>45.14</v>
      </c>
      <c r="E3781" s="709">
        <v>5.982344102178816E-2</v>
      </c>
      <c r="F3781" s="946">
        <v>2.3929376408715263E-3</v>
      </c>
      <c r="G3781" s="21"/>
      <c r="H3781" t="str">
        <f>VLOOKUP(B3781,indexy!$A$44:$D$234,3,FALSE)</f>
        <v>VZ UN Equity</v>
      </c>
    </row>
    <row r="3782" spans="1:8" hidden="1" outlineLevel="1" x14ac:dyDescent="0.25">
      <c r="A3782" s="1004">
        <v>0.04</v>
      </c>
      <c r="B3782" s="824" t="s">
        <v>3169</v>
      </c>
      <c r="C3782" s="1009">
        <v>31.419</v>
      </c>
      <c r="D3782" s="715">
        <v>15.46</v>
      </c>
      <c r="E3782" s="716">
        <v>-0.50794105477577256</v>
      </c>
      <c r="F3782" s="1023">
        <v>-2.0317642191030903E-2</v>
      </c>
      <c r="G3782" s="21"/>
      <c r="H3782" t="str">
        <f>VLOOKUP(B3782,indexy!$A$44:$D$234,3,FALSE)</f>
        <v>VIV FP Equity</v>
      </c>
    </row>
    <row r="3783" spans="1:8" hidden="1" outlineLevel="1" x14ac:dyDescent="0.25">
      <c r="A3783" s="749"/>
      <c r="B3783" s="750"/>
      <c r="C3783" s="727"/>
      <c r="D3783" s="727"/>
      <c r="E3783" s="716"/>
      <c r="F3783" s="770">
        <v>-0.44390969591397134</v>
      </c>
      <c r="G3783" s="21"/>
    </row>
    <row r="3784" spans="1:8" hidden="1" outlineLevel="1" x14ac:dyDescent="0.25">
      <c r="A3784" s="749"/>
      <c r="B3784" s="750"/>
      <c r="C3784" s="727"/>
      <c r="D3784" s="727"/>
      <c r="E3784" s="716"/>
      <c r="F3784" s="770"/>
      <c r="G3784" s="21"/>
    </row>
    <row r="3785" spans="1:8" hidden="1" outlineLevel="1" x14ac:dyDescent="0.25">
      <c r="A3785" s="1083">
        <v>39295</v>
      </c>
      <c r="B3785" s="1022"/>
      <c r="C3785" s="1084">
        <v>100</v>
      </c>
      <c r="D3785" s="727">
        <v>95.913499999999999</v>
      </c>
      <c r="E3785" s="716">
        <v>-4.086500000000004E-2</v>
      </c>
      <c r="F3785" s="731">
        <v>-4.086500000000004E-2</v>
      </c>
      <c r="G3785" s="21"/>
    </row>
    <row r="3786" spans="1:8" hidden="1" outlineLevel="1" x14ac:dyDescent="0.25">
      <c r="A3786" s="1083">
        <v>39356</v>
      </c>
      <c r="B3786" s="750"/>
      <c r="C3786" s="727">
        <v>100</v>
      </c>
      <c r="D3786" s="727">
        <v>98.302800000000005</v>
      </c>
      <c r="E3786" s="716">
        <v>-1.6971999999999987E-2</v>
      </c>
      <c r="F3786" s="731">
        <v>-1.6971999999999987E-2</v>
      </c>
      <c r="G3786" s="21"/>
    </row>
    <row r="3787" spans="1:8" hidden="1" outlineLevel="1" x14ac:dyDescent="0.25">
      <c r="A3787" s="1083">
        <v>39448</v>
      </c>
      <c r="B3787" s="750"/>
      <c r="C3787" s="727">
        <v>100</v>
      </c>
      <c r="D3787" s="727">
        <v>82.501800000000003</v>
      </c>
      <c r="E3787" s="716">
        <v>-0.17498199999999997</v>
      </c>
      <c r="F3787" s="731">
        <v>-0.17498199999999997</v>
      </c>
      <c r="G3787" s="21"/>
    </row>
    <row r="3788" spans="1:8" hidden="1" outlineLevel="1" x14ac:dyDescent="0.25">
      <c r="A3788" s="1083">
        <v>39539</v>
      </c>
      <c r="B3788" s="750"/>
      <c r="C3788" s="727">
        <v>100</v>
      </c>
      <c r="D3788" s="727">
        <v>83.790599999999998</v>
      </c>
      <c r="E3788" s="716">
        <v>-0.16209400000000007</v>
      </c>
      <c r="F3788" s="731">
        <v>-0.16209400000000007</v>
      </c>
      <c r="G3788" s="21"/>
    </row>
    <row r="3789" spans="1:8" hidden="1" outlineLevel="1" x14ac:dyDescent="0.25">
      <c r="A3789" s="1083">
        <v>39630</v>
      </c>
      <c r="B3789" s="750"/>
      <c r="C3789" s="727">
        <v>100</v>
      </c>
      <c r="D3789" s="727">
        <v>75.220299999999995</v>
      </c>
      <c r="E3789" s="716">
        <v>-0.24779700000000005</v>
      </c>
      <c r="F3789" s="731">
        <v>-0.24779700000000005</v>
      </c>
      <c r="G3789" s="21"/>
    </row>
    <row r="3790" spans="1:8" hidden="1" outlineLevel="1" x14ac:dyDescent="0.25">
      <c r="A3790" s="1083">
        <v>39722</v>
      </c>
      <c r="B3790" s="750"/>
      <c r="C3790" s="727">
        <v>100</v>
      </c>
      <c r="D3790" s="727">
        <v>56.890500000000003</v>
      </c>
      <c r="E3790" s="716">
        <v>-0.43109500000000001</v>
      </c>
      <c r="F3790" s="731">
        <v>-0.43109500000000001</v>
      </c>
      <c r="G3790" s="21"/>
    </row>
    <row r="3791" spans="1:8" hidden="1" outlineLevel="1" x14ac:dyDescent="0.25">
      <c r="A3791" s="1083">
        <v>39814</v>
      </c>
      <c r="B3791" s="750"/>
      <c r="C3791" s="727">
        <v>100</v>
      </c>
      <c r="D3791" s="727">
        <v>49.503500000000003</v>
      </c>
      <c r="E3791" s="716">
        <v>-0.504965</v>
      </c>
      <c r="F3791" s="731">
        <v>-0.504965</v>
      </c>
      <c r="G3791" s="21"/>
    </row>
    <row r="3792" spans="1:8" hidden="1" outlineLevel="1" x14ac:dyDescent="0.25">
      <c r="A3792" s="1083">
        <v>39904</v>
      </c>
      <c r="B3792" s="750"/>
      <c r="C3792" s="727">
        <v>100</v>
      </c>
      <c r="D3792" s="727">
        <v>51.694699999999997</v>
      </c>
      <c r="E3792" s="716">
        <v>-0.48305300000000007</v>
      </c>
      <c r="F3792" s="731">
        <v>-0.48305300000000007</v>
      </c>
      <c r="G3792" s="21"/>
    </row>
    <row r="3793" spans="1:8" hidden="1" outlineLevel="1" x14ac:dyDescent="0.25">
      <c r="A3793" s="1083">
        <v>39995</v>
      </c>
      <c r="B3793" s="750"/>
      <c r="C3793" s="727">
        <v>100</v>
      </c>
      <c r="D3793" s="727">
        <v>58.579900000000002</v>
      </c>
      <c r="E3793" s="716">
        <v>-0.41420099999999993</v>
      </c>
      <c r="F3793" s="731">
        <v>-0.41420099999999993</v>
      </c>
      <c r="G3793" s="21"/>
    </row>
    <row r="3794" spans="1:8" hidden="1" outlineLevel="1" x14ac:dyDescent="0.25">
      <c r="A3794" s="1083">
        <v>40087</v>
      </c>
      <c r="B3794" s="750"/>
      <c r="C3794" s="727">
        <v>100</v>
      </c>
      <c r="D3794" s="727">
        <v>62.102400000000003</v>
      </c>
      <c r="E3794" s="716">
        <v>-0.37897599999999998</v>
      </c>
      <c r="F3794" s="731">
        <v>-0.37897599999999998</v>
      </c>
      <c r="G3794" s="21"/>
    </row>
    <row r="3795" spans="1:8" hidden="1" outlineLevel="1" x14ac:dyDescent="0.25">
      <c r="A3795" s="1083">
        <v>40179</v>
      </c>
      <c r="B3795" s="750"/>
      <c r="C3795" s="727">
        <v>100</v>
      </c>
      <c r="D3795" s="727">
        <v>63.831499999999998</v>
      </c>
      <c r="E3795" s="716">
        <v>-0.36168500000000003</v>
      </c>
      <c r="F3795" s="731">
        <v>-0.36168500000000003</v>
      </c>
      <c r="G3795" s="21"/>
    </row>
    <row r="3796" spans="1:8" hidden="1" outlineLevel="1" x14ac:dyDescent="0.25">
      <c r="A3796" s="1083">
        <v>40269</v>
      </c>
      <c r="B3796" s="750"/>
      <c r="C3796" s="727">
        <v>100</v>
      </c>
      <c r="D3796" s="727">
        <v>66.992999999999995</v>
      </c>
      <c r="E3796" s="716">
        <v>-0.33007000000000009</v>
      </c>
      <c r="F3796" s="731">
        <v>-0.33007000000000009</v>
      </c>
      <c r="G3796" s="21"/>
    </row>
    <row r="3797" spans="1:8" hidden="1" outlineLevel="1" x14ac:dyDescent="0.25">
      <c r="A3797" s="1083">
        <v>40360</v>
      </c>
      <c r="B3797" s="750"/>
      <c r="C3797" s="727">
        <v>100</v>
      </c>
      <c r="D3797" s="727">
        <v>63.865900000000003</v>
      </c>
      <c r="E3797" s="716">
        <v>-0.36134099999999991</v>
      </c>
      <c r="F3797" s="731">
        <v>-0.36134099999999991</v>
      </c>
      <c r="G3797" s="21"/>
    </row>
    <row r="3798" spans="1:8" hidden="1" outlineLevel="1" x14ac:dyDescent="0.25">
      <c r="A3798" s="1083">
        <v>40452</v>
      </c>
      <c r="B3798" s="750"/>
      <c r="C3798" s="727">
        <v>100</v>
      </c>
      <c r="D3798" s="727">
        <v>66.375600000000006</v>
      </c>
      <c r="E3798" s="716">
        <v>-0.33624399999999999</v>
      </c>
      <c r="F3798" s="731">
        <v>-0.33624399999999999</v>
      </c>
      <c r="G3798" s="21"/>
    </row>
    <row r="3799" spans="1:8" hidden="1" outlineLevel="1" x14ac:dyDescent="0.25">
      <c r="A3799" s="1083">
        <v>40544</v>
      </c>
      <c r="B3799" s="750"/>
      <c r="C3799" s="727">
        <v>100</v>
      </c>
      <c r="D3799" s="727">
        <v>70.945400000000006</v>
      </c>
      <c r="E3799" s="716">
        <v>-0.29054599999999997</v>
      </c>
      <c r="F3799" s="731">
        <v>-0.29054599999999997</v>
      </c>
      <c r="G3799" s="21"/>
    </row>
    <row r="3800" spans="1:8" hidden="1" outlineLevel="1" x14ac:dyDescent="0.25">
      <c r="A3800" s="1083">
        <v>40634</v>
      </c>
      <c r="B3800" s="750"/>
      <c r="C3800" s="727">
        <v>100</v>
      </c>
      <c r="D3800" s="727">
        <v>71.094399999999993</v>
      </c>
      <c r="E3800" s="716">
        <v>-0.28905600000000009</v>
      </c>
      <c r="F3800" s="731">
        <v>-0.28905600000000009</v>
      </c>
      <c r="G3800" s="21"/>
    </row>
    <row r="3801" spans="1:8" hidden="1" outlineLevel="1" x14ac:dyDescent="0.25">
      <c r="A3801" s="1083">
        <v>40725</v>
      </c>
      <c r="B3801" s="750"/>
      <c r="C3801" s="727">
        <v>100</v>
      </c>
      <c r="D3801" s="727">
        <v>63.802500000000002</v>
      </c>
      <c r="E3801" s="716">
        <v>-0.36197499999999994</v>
      </c>
      <c r="F3801" s="731">
        <v>-0.36197499999999994</v>
      </c>
      <c r="G3801" s="21"/>
    </row>
    <row r="3802" spans="1:8" hidden="1" outlineLevel="1" x14ac:dyDescent="0.25">
      <c r="A3802" s="1083">
        <v>40817</v>
      </c>
      <c r="B3802" s="750"/>
      <c r="C3802" s="727">
        <v>100</v>
      </c>
      <c r="D3802" s="727">
        <v>57.857300000000002</v>
      </c>
      <c r="E3802" s="716">
        <v>-0.421427</v>
      </c>
      <c r="F3802" s="731">
        <v>-0.421427</v>
      </c>
      <c r="G3802" s="21"/>
    </row>
    <row r="3803" spans="1:8" hidden="1" outlineLevel="1" x14ac:dyDescent="0.25">
      <c r="A3803" s="1083">
        <v>40909</v>
      </c>
      <c r="B3803" s="750"/>
      <c r="C3803" s="727">
        <v>100</v>
      </c>
      <c r="D3803" s="727">
        <v>57.880200000000002</v>
      </c>
      <c r="E3803" s="716">
        <v>-0.42119799999999996</v>
      </c>
      <c r="F3803" s="731">
        <v>-0.42119799999999996</v>
      </c>
      <c r="G3803" s="21"/>
    </row>
    <row r="3804" spans="1:8" hidden="1" outlineLevel="1" x14ac:dyDescent="0.25">
      <c r="A3804" s="1083">
        <v>41000</v>
      </c>
      <c r="B3804" s="750"/>
      <c r="C3804" s="727">
        <v>100</v>
      </c>
      <c r="D3804" s="727">
        <v>57.410800000000002</v>
      </c>
      <c r="E3804" s="716">
        <v>-0.42589199999999994</v>
      </c>
      <c r="F3804" s="731">
        <v>-0.42589199999999994</v>
      </c>
      <c r="G3804" s="21"/>
      <c r="H3804" s="412" t="s">
        <v>1837</v>
      </c>
    </row>
    <row r="3805" spans="1:8" hidden="1" outlineLevel="1" x14ac:dyDescent="0.25">
      <c r="A3805" s="1083">
        <v>41091</v>
      </c>
      <c r="B3805" s="750"/>
      <c r="C3805" s="727">
        <v>100</v>
      </c>
      <c r="D3805" s="727">
        <v>57.406799999999997</v>
      </c>
      <c r="E3805" s="716">
        <v>-0.42593199999999998</v>
      </c>
      <c r="F3805" s="731">
        <v>-0.42593199999999998</v>
      </c>
      <c r="G3805" s="21"/>
      <c r="H3805" s="261">
        <f>AVERAGE(F3785:F3805)</f>
        <v>-0.3276364761904762</v>
      </c>
    </row>
    <row r="3806" spans="1:8" hidden="1" outlineLevel="1" x14ac:dyDescent="0.25">
      <c r="A3806" s="1083"/>
      <c r="B3806" s="750"/>
      <c r="C3806" s="727">
        <v>100</v>
      </c>
      <c r="D3806" s="727"/>
      <c r="E3806" s="716"/>
      <c r="F3806" s="731"/>
      <c r="G3806" s="21"/>
    </row>
    <row r="3807" spans="1:8" collapsed="1" x14ac:dyDescent="0.25">
      <c r="A3807" s="3801" t="s">
        <v>2275</v>
      </c>
      <c r="B3807" s="3802"/>
      <c r="C3807" s="3802"/>
      <c r="D3807" s="3802"/>
      <c r="E3807" s="721"/>
      <c r="F3807" s="722">
        <v>0.02</v>
      </c>
      <c r="G3807" s="97" t="s">
        <v>781</v>
      </c>
    </row>
    <row r="3808" spans="1:8" x14ac:dyDescent="0.25">
      <c r="A3808" s="1"/>
      <c r="B3808" s="1"/>
      <c r="C3808" s="1"/>
      <c r="D3808" s="1"/>
      <c r="E3808" s="1"/>
      <c r="F3808" s="1848"/>
      <c r="G3808" s="78"/>
    </row>
    <row r="3809" spans="1:10" hidden="1" outlineLevel="1" x14ac:dyDescent="0.25">
      <c r="A3809" s="689" t="s">
        <v>113</v>
      </c>
      <c r="B3809" s="689" t="s">
        <v>114</v>
      </c>
      <c r="C3809" s="689" t="s">
        <v>112</v>
      </c>
      <c r="D3809" s="689" t="s">
        <v>116</v>
      </c>
      <c r="E3809" s="689" t="s">
        <v>117</v>
      </c>
      <c r="F3809" s="1188" t="s">
        <v>121</v>
      </c>
      <c r="G3809" s="78"/>
    </row>
    <row r="3810" spans="1:10" hidden="1" outlineLevel="1" x14ac:dyDescent="0.25">
      <c r="A3810" s="690">
        <v>1</v>
      </c>
      <c r="B3810" s="691" t="s">
        <v>252</v>
      </c>
      <c r="C3810" s="692">
        <v>100</v>
      </c>
      <c r="D3810" s="692"/>
      <c r="E3810" s="693"/>
      <c r="F3810" s="694"/>
      <c r="G3810" s="78"/>
    </row>
    <row r="3811" spans="1:10" hidden="1" outlineLevel="1" x14ac:dyDescent="0.25">
      <c r="A3811" s="695"/>
      <c r="B3811" s="695"/>
      <c r="C3811" s="696"/>
      <c r="D3811" s="697"/>
      <c r="E3811" s="698"/>
      <c r="F3811" s="699"/>
      <c r="G3811" s="78"/>
    </row>
    <row r="3812" spans="1:10" hidden="1" outlineLevel="1" x14ac:dyDescent="0.25">
      <c r="A3812" s="689" t="s">
        <v>4156</v>
      </c>
      <c r="B3812" s="689" t="s">
        <v>4153</v>
      </c>
      <c r="C3812" s="497" t="s">
        <v>112</v>
      </c>
      <c r="D3812" s="495" t="s">
        <v>116</v>
      </c>
      <c r="E3812" s="689" t="s">
        <v>4154</v>
      </c>
      <c r="F3812" s="1021" t="s">
        <v>2519</v>
      </c>
      <c r="G3812" s="78"/>
    </row>
    <row r="3813" spans="1:10" hidden="1" outlineLevel="1" x14ac:dyDescent="0.25">
      <c r="A3813" s="999">
        <v>0.05</v>
      </c>
      <c r="B3813" s="755" t="s">
        <v>157</v>
      </c>
      <c r="C3813" s="1007">
        <v>21.52</v>
      </c>
      <c r="D3813" s="803">
        <v>8.6219999999999999</v>
      </c>
      <c r="E3813" s="705">
        <f>D3813/C3813-1</f>
        <v>-0.59934944237918208</v>
      </c>
      <c r="F3813" s="1021">
        <f>E3813*A3813</f>
        <v>-2.9967472118959105E-2</v>
      </c>
      <c r="G3813" s="78"/>
      <c r="H3813" t="str">
        <f>VLOOKUP(B3813,indexy!$A$44:$D$234,3,FALSE)</f>
        <v>SAN SM Equity</v>
      </c>
    </row>
    <row r="3814" spans="1:10" hidden="1" outlineLevel="1" x14ac:dyDescent="0.25">
      <c r="A3814" s="1002">
        <v>0.02</v>
      </c>
      <c r="B3814" s="996" t="s">
        <v>280</v>
      </c>
      <c r="C3814" s="1008">
        <v>60.188000000000002</v>
      </c>
      <c r="D3814" s="908">
        <v>52.44</v>
      </c>
      <c r="E3814" s="709">
        <f t="shared" ref="E3814:E3842" si="138">D3814/C3814-1</f>
        <v>-0.12872997939788666</v>
      </c>
      <c r="F3814" s="946">
        <f t="shared" ref="F3814:F3842" si="139">E3814*A3814</f>
        <v>-2.5745995879577332E-3</v>
      </c>
      <c r="G3814" s="78"/>
      <c r="H3814" t="str">
        <f>VLOOKUP(B3814,indexy!$A$44:$D$234,3,FALSE)</f>
        <v>AKZA NA Equity</v>
      </c>
    </row>
    <row r="3815" spans="1:10" hidden="1" outlineLevel="1" x14ac:dyDescent="0.25">
      <c r="A3815" s="1002">
        <v>0.03</v>
      </c>
      <c r="B3815" s="939" t="s">
        <v>2984</v>
      </c>
      <c r="C3815" s="1008">
        <v>18</v>
      </c>
      <c r="D3815" s="908">
        <v>8.66</v>
      </c>
      <c r="E3815" s="709">
        <f t="shared" si="138"/>
        <v>-0.51888888888888896</v>
      </c>
      <c r="F3815" s="946">
        <f t="shared" si="139"/>
        <v>-1.5566666666666668E-2</v>
      </c>
      <c r="G3815" s="78"/>
      <c r="H3815" t="str">
        <f>VLOOKUP(B3815,indexy!$A$44:$D$234,3,FALSE)</f>
        <v>BBVA SM Equity</v>
      </c>
      <c r="I3815" s="93"/>
      <c r="J3815" s="106"/>
    </row>
    <row r="3816" spans="1:10" hidden="1" outlineLevel="1" x14ac:dyDescent="0.25">
      <c r="A3816" s="1002">
        <v>0.04</v>
      </c>
      <c r="B3816" s="996" t="s">
        <v>1994</v>
      </c>
      <c r="C3816" s="1008">
        <v>51.01</v>
      </c>
      <c r="D3816" s="908">
        <v>12.28</v>
      </c>
      <c r="E3816" s="709">
        <f t="shared" si="138"/>
        <v>-0.75926288962948441</v>
      </c>
      <c r="F3816" s="946">
        <f t="shared" si="139"/>
        <v>-3.0370515585179378E-2</v>
      </c>
      <c r="G3816" s="78"/>
      <c r="H3816" t="str">
        <f>VLOOKUP(B3816,indexy!$A$44:$D$234,3,FALSE)</f>
        <v>BAC UN Equity</v>
      </c>
    </row>
    <row r="3817" spans="1:10" hidden="1" outlineLevel="1" x14ac:dyDescent="0.25">
      <c r="A3817" s="1002">
        <v>0.03</v>
      </c>
      <c r="B3817" s="996" t="s">
        <v>3020</v>
      </c>
      <c r="C3817" s="1008">
        <v>53.261000000000003</v>
      </c>
      <c r="D3817" s="908">
        <v>59.35</v>
      </c>
      <c r="E3817" s="709">
        <f t="shared" si="138"/>
        <v>0.11432380165599598</v>
      </c>
      <c r="F3817" s="946">
        <f t="shared" si="139"/>
        <v>3.4297140496798795E-3</v>
      </c>
      <c r="G3817" s="78"/>
      <c r="H3817" t="str">
        <f>VLOOKUP(B3817,indexy!$A$44:$D$234,3,FALSE)</f>
        <v>BAYN GR Equity</v>
      </c>
    </row>
    <row r="3818" spans="1:10" hidden="1" outlineLevel="1" x14ac:dyDescent="0.25">
      <c r="A3818" s="1002">
        <v>0.03</v>
      </c>
      <c r="B3818" s="996" t="s">
        <v>901</v>
      </c>
      <c r="C3818" s="1008">
        <f>16.784*100</f>
        <v>1678.3999999999999</v>
      </c>
      <c r="D3818" s="908">
        <v>2611</v>
      </c>
      <c r="E3818" s="709">
        <f t="shared" si="138"/>
        <v>0.5556482364156341</v>
      </c>
      <c r="F3818" s="946">
        <f t="shared" si="139"/>
        <v>1.6669447092469022E-2</v>
      </c>
      <c r="G3818" s="78"/>
      <c r="H3818" t="str">
        <f>VLOOKUP(B3818,indexy!$A$44:$D$234,3,FALSE)</f>
        <v>BATS LN Equity</v>
      </c>
      <c r="I3818" s="61"/>
    </row>
    <row r="3819" spans="1:10" hidden="1" outlineLevel="1" x14ac:dyDescent="0.25">
      <c r="A3819" s="1002">
        <v>0.04</v>
      </c>
      <c r="B3819" s="996" t="s">
        <v>1847</v>
      </c>
      <c r="C3819" s="1008">
        <v>54.73</v>
      </c>
      <c r="D3819" s="908">
        <v>4.59</v>
      </c>
      <c r="E3819" s="709">
        <f t="shared" si="138"/>
        <v>-0.91613374748766674</v>
      </c>
      <c r="F3819" s="946">
        <f t="shared" si="139"/>
        <v>-3.6645349899506671E-2</v>
      </c>
      <c r="G3819" s="78"/>
      <c r="H3819" t="str">
        <f>VLOOKUP(B3819,indexy!$A$44:$D$234,3,FALSE)</f>
        <v>C UN Equity</v>
      </c>
    </row>
    <row r="3820" spans="1:10" hidden="1" outlineLevel="1" x14ac:dyDescent="0.25">
      <c r="A3820" s="1002">
        <v>0.04</v>
      </c>
      <c r="B3820" s="996" t="s">
        <v>3792</v>
      </c>
      <c r="C3820" s="1008">
        <v>63.076999999999998</v>
      </c>
      <c r="D3820" s="908">
        <v>37.93</v>
      </c>
      <c r="E3820" s="709">
        <f t="shared" si="138"/>
        <v>-0.39867146503479878</v>
      </c>
      <c r="F3820" s="946">
        <f t="shared" si="139"/>
        <v>-1.5946858601391951E-2</v>
      </c>
      <c r="G3820" s="78"/>
      <c r="H3820" t="str">
        <f>VLOOKUP(B3820,indexy!$A$44:$D$234,3,FALSE)</f>
        <v>CMA UN Equity</v>
      </c>
    </row>
    <row r="3821" spans="1:10" hidden="1" outlineLevel="1" x14ac:dyDescent="0.25">
      <c r="A3821" s="1002">
        <v>0.03</v>
      </c>
      <c r="B3821" s="996" t="s">
        <v>51</v>
      </c>
      <c r="C3821" s="1008">
        <v>73.52</v>
      </c>
      <c r="D3821" s="908">
        <v>46.634999999999998</v>
      </c>
      <c r="E3821" s="709">
        <f t="shared" si="138"/>
        <v>-0.36568280739934711</v>
      </c>
      <c r="F3821" s="946">
        <f t="shared" si="139"/>
        <v>-1.0970484221980412E-2</v>
      </c>
      <c r="G3821" s="78"/>
      <c r="H3821" t="str">
        <f>VLOOKUP(B3821,indexy!$A$44:$D$234,3,FALSE)</f>
        <v>SGO FP Equity</v>
      </c>
    </row>
    <row r="3822" spans="1:10" hidden="1" outlineLevel="1" x14ac:dyDescent="0.25">
      <c r="A3822" s="1002">
        <v>0.02</v>
      </c>
      <c r="B3822" s="939" t="s">
        <v>4025</v>
      </c>
      <c r="C3822" s="1008">
        <v>67.253</v>
      </c>
      <c r="D3822" s="908">
        <v>52.19</v>
      </c>
      <c r="E3822" s="709">
        <f t="shared" si="138"/>
        <v>-0.22397513865552465</v>
      </c>
      <c r="F3822" s="946">
        <f t="shared" si="139"/>
        <v>-4.4795027731104929E-3</v>
      </c>
      <c r="G3822" s="78"/>
      <c r="H3822" t="str">
        <f>VLOOKUP(B3822,indexy!$A$44:$D$234,3,FALSE)</f>
        <v>MBG GR Equity</v>
      </c>
    </row>
    <row r="3823" spans="1:10" hidden="1" outlineLevel="1" x14ac:dyDescent="0.25">
      <c r="A3823" s="1002">
        <v>0.05</v>
      </c>
      <c r="B3823" s="996" t="s">
        <v>2629</v>
      </c>
      <c r="C3823" s="1008">
        <v>13.661</v>
      </c>
      <c r="D3823" s="908">
        <v>11.215</v>
      </c>
      <c r="E3823" s="709">
        <f t="shared" si="138"/>
        <v>-0.17904984993777906</v>
      </c>
      <c r="F3823" s="946">
        <f t="shared" si="139"/>
        <v>-8.952492496888953E-3</v>
      </c>
      <c r="G3823" s="78"/>
      <c r="H3823" t="str">
        <f>VLOOKUP(B3823,indexy!$A$44:$D$234,3,FALSE)</f>
        <v>DTE GY Equity</v>
      </c>
      <c r="I3823" s="61"/>
    </row>
    <row r="3824" spans="1:10" hidden="1" outlineLevel="1" x14ac:dyDescent="0.25">
      <c r="A3824" s="1002">
        <v>0.03</v>
      </c>
      <c r="B3824" s="996" t="s">
        <v>4110</v>
      </c>
      <c r="C3824" s="1008">
        <f>87.871/2</f>
        <v>43.935499999999998</v>
      </c>
      <c r="D3824" s="908">
        <v>46.42</v>
      </c>
      <c r="E3824" s="709">
        <f t="shared" si="138"/>
        <v>5.6548804497502214E-2</v>
      </c>
      <c r="F3824" s="946">
        <f t="shared" si="139"/>
        <v>1.6964641349250663E-3</v>
      </c>
      <c r="G3824" s="78"/>
      <c r="H3824" t="e">
        <f>VLOOKUP(B3824,indexy!$A$44:$D$234,3,FALSE)</f>
        <v>#N/A</v>
      </c>
    </row>
    <row r="3825" spans="1:9" hidden="1" outlineLevel="1" x14ac:dyDescent="0.25">
      <c r="A3825" s="1002">
        <v>0.02</v>
      </c>
      <c r="B3825" s="996" t="s">
        <v>4064</v>
      </c>
      <c r="C3825" s="1008">
        <v>59.19</v>
      </c>
      <c r="D3825" s="908">
        <v>37.01</v>
      </c>
      <c r="E3825" s="709">
        <f t="shared" si="138"/>
        <v>-0.37472546038182131</v>
      </c>
      <c r="F3825" s="946">
        <f t="shared" si="139"/>
        <v>-7.4945092076364262E-3</v>
      </c>
      <c r="G3825" s="78"/>
      <c r="H3825" t="str">
        <f>VLOOKUP(B3825,indexy!$A$44:$D$234,3,FALSE)</f>
        <v>LLY UN Equity</v>
      </c>
    </row>
    <row r="3826" spans="1:9" hidden="1" outlineLevel="1" x14ac:dyDescent="0.25">
      <c r="A3826" s="1002">
        <v>0.05</v>
      </c>
      <c r="B3826" s="996" t="s">
        <v>3798</v>
      </c>
      <c r="C3826" s="1008">
        <v>7.46</v>
      </c>
      <c r="D3826" s="908">
        <v>4.8140000000000001</v>
      </c>
      <c r="E3826" s="709">
        <f t="shared" si="138"/>
        <v>-0.35469168900804293</v>
      </c>
      <c r="F3826" s="946">
        <f t="shared" si="139"/>
        <v>-1.7734584450402147E-2</v>
      </c>
      <c r="G3826" s="78"/>
      <c r="H3826" t="str">
        <f>VLOOKUP(B3826,indexy!$A$44:$D$234,3,FALSE)</f>
        <v>ENEL IM Equity</v>
      </c>
    </row>
    <row r="3827" spans="1:9" hidden="1" outlineLevel="1" x14ac:dyDescent="0.25">
      <c r="A3827" s="1002">
        <v>0.04</v>
      </c>
      <c r="B3827" s="996" t="s">
        <v>2630</v>
      </c>
      <c r="C3827" s="1008">
        <v>22.72</v>
      </c>
      <c r="D3827" s="908">
        <v>15.835000000000001</v>
      </c>
      <c r="E3827" s="709">
        <f t="shared" si="138"/>
        <v>-0.30303697183098588</v>
      </c>
      <c r="F3827" s="946">
        <f t="shared" si="139"/>
        <v>-1.2121478873239435E-2</v>
      </c>
      <c r="G3827" s="78"/>
      <c r="H3827" t="e">
        <f>VLOOKUP(B3827,indexy!$A$44:$D$234,3,FALSE)</f>
        <v>#N/A</v>
      </c>
    </row>
    <row r="3828" spans="1:9" hidden="1" outlineLevel="1" x14ac:dyDescent="0.25">
      <c r="A3828" s="1002">
        <v>0.03</v>
      </c>
      <c r="B3828" s="996" t="s">
        <v>1031</v>
      </c>
      <c r="C3828" s="1008">
        <v>10.610749999999999</v>
      </c>
      <c r="D3828" s="908">
        <v>6.27</v>
      </c>
      <c r="E3828" s="709">
        <f t="shared" si="138"/>
        <v>-0.40908983813585276</v>
      </c>
      <c r="F3828" s="946">
        <f t="shared" si="139"/>
        <v>-1.2272695144075581E-2</v>
      </c>
      <c r="G3828" s="78"/>
      <c r="H3828" t="str">
        <f>VLOOKUP(B3828,indexy!$A$44:$D$234,3,FALSE)</f>
        <v>IBE SQ Equity</v>
      </c>
    </row>
    <row r="3829" spans="1:9" hidden="1" outlineLevel="1" x14ac:dyDescent="0.25">
      <c r="A3829" s="1002">
        <v>0.03</v>
      </c>
      <c r="B3829" s="996" t="s">
        <v>44</v>
      </c>
      <c r="C3829" s="1008">
        <v>5.64</v>
      </c>
      <c r="D3829" s="908">
        <v>2.242</v>
      </c>
      <c r="E3829" s="709">
        <f t="shared" si="138"/>
        <v>-0.60248226950354611</v>
      </c>
      <c r="F3829" s="946">
        <f t="shared" si="139"/>
        <v>-1.8074468085106384E-2</v>
      </c>
      <c r="G3829" s="78"/>
      <c r="H3829" t="str">
        <f>VLOOKUP(B3829,indexy!$A$44:$D$234,3,FALSE)</f>
        <v>ISP IM Equity</v>
      </c>
      <c r="I3829" s="21"/>
    </row>
    <row r="3830" spans="1:9" hidden="1" outlineLevel="1" x14ac:dyDescent="0.25">
      <c r="A3830" s="1002">
        <v>0.03</v>
      </c>
      <c r="B3830" s="996" t="s">
        <v>1526</v>
      </c>
      <c r="C3830" s="1008">
        <v>103.004</v>
      </c>
      <c r="D3830" s="908">
        <v>27.52</v>
      </c>
      <c r="E3830" s="709">
        <f t="shared" si="138"/>
        <v>-0.73282590967341077</v>
      </c>
      <c r="F3830" s="946">
        <f t="shared" si="139"/>
        <v>-2.1984777290202321E-2</v>
      </c>
      <c r="G3830" s="78"/>
      <c r="H3830" t="str">
        <f>VLOOKUP(B3830,indexy!$A$44:$D$234,3,FALSE)</f>
        <v>KBC BB Equity</v>
      </c>
    </row>
    <row r="3831" spans="1:9" hidden="1" outlineLevel="1" x14ac:dyDescent="0.25">
      <c r="A3831" s="1002">
        <v>0.02</v>
      </c>
      <c r="B3831" s="996" t="s">
        <v>281</v>
      </c>
      <c r="C3831" s="1008">
        <v>35.939</v>
      </c>
      <c r="D3831" s="908">
        <v>8.67</v>
      </c>
      <c r="E3831" s="709">
        <f t="shared" si="138"/>
        <v>-0.75875789532263005</v>
      </c>
      <c r="F3831" s="946">
        <f t="shared" si="139"/>
        <v>-1.5175157906452602E-2</v>
      </c>
      <c r="G3831" s="78"/>
      <c r="H3831" t="str">
        <f>VLOOKUP(B3831,indexy!$A$44:$D$234,3,FALSE)</f>
        <v>KEY UN Equity</v>
      </c>
    </row>
    <row r="3832" spans="1:9" hidden="1" outlineLevel="1" x14ac:dyDescent="0.25">
      <c r="A3832" s="1002">
        <v>0.04</v>
      </c>
      <c r="B3832" s="996" t="s">
        <v>3801</v>
      </c>
      <c r="C3832" s="1008">
        <v>82.546000000000006</v>
      </c>
      <c r="D3832" s="908">
        <v>44.055</v>
      </c>
      <c r="E3832" s="709">
        <f t="shared" si="138"/>
        <v>-0.46629757953141282</v>
      </c>
      <c r="F3832" s="946">
        <f t="shared" si="139"/>
        <v>-1.8651903181256514E-2</v>
      </c>
      <c r="G3832" s="78"/>
      <c r="H3832" t="str">
        <f>VLOOKUP(B3832,indexy!$A$44:$D$234,3,FALSE)</f>
        <v>RWE GY Equity</v>
      </c>
    </row>
    <row r="3833" spans="1:9" hidden="1" outlineLevel="1" x14ac:dyDescent="0.25">
      <c r="A3833" s="1002">
        <v>0.02</v>
      </c>
      <c r="B3833" s="939" t="s">
        <v>1709</v>
      </c>
      <c r="C3833" s="1008">
        <v>126.575</v>
      </c>
      <c r="D3833" s="908">
        <v>128.19999999999999</v>
      </c>
      <c r="E3833" s="709">
        <f t="shared" si="138"/>
        <v>1.2838238198696228E-2</v>
      </c>
      <c r="F3833" s="946">
        <f t="shared" si="139"/>
        <v>2.5676476397392458E-4</v>
      </c>
      <c r="G3833" s="78"/>
      <c r="H3833" t="str">
        <f>VLOOKUP(B3833,indexy!$A$44:$D$234,3,FALSE)</f>
        <v>SAND SS Equity</v>
      </c>
      <c r="I3833" s="93"/>
    </row>
    <row r="3834" spans="1:9" hidden="1" outlineLevel="1" x14ac:dyDescent="0.25">
      <c r="A3834" s="1002">
        <v>0.03</v>
      </c>
      <c r="B3834" s="996" t="s">
        <v>279</v>
      </c>
      <c r="C3834" s="1008">
        <v>107.04900000000001</v>
      </c>
      <c r="D3834" s="908">
        <v>119.3</v>
      </c>
      <c r="E3834" s="709">
        <f t="shared" si="138"/>
        <v>0.11444291866341572</v>
      </c>
      <c r="F3834" s="946">
        <f t="shared" si="139"/>
        <v>3.4332875599024713E-3</v>
      </c>
      <c r="G3834" s="78"/>
      <c r="H3834" t="str">
        <f>VLOOKUP(B3834,indexy!$A$44:$D$234,3,FALSE)</f>
        <v>SU FP Equity</v>
      </c>
    </row>
    <row r="3835" spans="1:9" hidden="1" outlineLevel="1" x14ac:dyDescent="0.25">
      <c r="A3835" s="1002">
        <v>0.02</v>
      </c>
      <c r="B3835" s="996" t="s">
        <v>3656</v>
      </c>
      <c r="C3835" s="1008">
        <v>140</v>
      </c>
      <c r="D3835" s="908">
        <v>190.7</v>
      </c>
      <c r="E3835" s="709">
        <f t="shared" si="138"/>
        <v>0.3621428571428571</v>
      </c>
      <c r="F3835" s="946">
        <f t="shared" si="139"/>
        <v>7.242857142857142E-3</v>
      </c>
      <c r="G3835" s="78"/>
      <c r="H3835" t="str">
        <f>VLOOKUP(B3835,indexy!$A$44:$D$234,3,FALSE)</f>
        <v>SKFB SS Equity</v>
      </c>
    </row>
    <row r="3836" spans="1:9" hidden="1" outlineLevel="1" x14ac:dyDescent="0.25">
      <c r="A3836" s="1002">
        <v>0.03</v>
      </c>
      <c r="B3836" s="996" t="s">
        <v>2166</v>
      </c>
      <c r="C3836" s="1008">
        <v>129.07</v>
      </c>
      <c r="D3836" s="908">
        <v>45.16</v>
      </c>
      <c r="E3836" s="709">
        <f t="shared" si="138"/>
        <v>-0.65011234213992408</v>
      </c>
      <c r="F3836" s="946">
        <f t="shared" si="139"/>
        <v>-1.9503370264197722E-2</v>
      </c>
      <c r="G3836" s="78"/>
      <c r="H3836" t="str">
        <f>VLOOKUP(B3836,indexy!$A$44:$D$234,3,FALSE)</f>
        <v>GLE FP Equity</v>
      </c>
    </row>
    <row r="3837" spans="1:9" hidden="1" outlineLevel="1" x14ac:dyDescent="0.25">
      <c r="A3837" s="1002">
        <v>0.04</v>
      </c>
      <c r="B3837" s="743" t="s">
        <v>3427</v>
      </c>
      <c r="C3837" s="1008">
        <v>35.975999999999999</v>
      </c>
      <c r="D3837" s="908">
        <v>39.04</v>
      </c>
      <c r="E3837" s="709">
        <f t="shared" si="138"/>
        <v>8.5167889704247379E-2</v>
      </c>
      <c r="F3837" s="946">
        <f t="shared" si="139"/>
        <v>3.4067155881698954E-3</v>
      </c>
      <c r="G3837" s="78"/>
      <c r="H3837" t="str">
        <f>VLOOKUP(B3837,indexy!$A$44:$D$234,3,FALSE)</f>
        <v>SO UN Equity</v>
      </c>
      <c r="I3837" s="61"/>
    </row>
    <row r="3838" spans="1:9" hidden="1" outlineLevel="1" x14ac:dyDescent="0.25">
      <c r="A3838" s="1002">
        <v>0.03</v>
      </c>
      <c r="B3838" s="743" t="s">
        <v>181</v>
      </c>
      <c r="C3838" s="1008">
        <v>115.47</v>
      </c>
      <c r="D3838" s="908">
        <v>51.55</v>
      </c>
      <c r="E3838" s="709">
        <f t="shared" si="138"/>
        <v>-0.55356369619814672</v>
      </c>
      <c r="F3838" s="946">
        <f t="shared" si="139"/>
        <v>-1.66069108859444E-2</v>
      </c>
      <c r="G3838" s="78"/>
      <c r="H3838" t="e">
        <f>VLOOKUP(B3838,indexy!$A$44:$D$234,3,FALSE)</f>
        <v>#N/A</v>
      </c>
      <c r="I3838" s="61"/>
    </row>
    <row r="3839" spans="1:9" hidden="1" outlineLevel="1" x14ac:dyDescent="0.25">
      <c r="A3839" s="1002">
        <v>0.03</v>
      </c>
      <c r="B3839" s="743" t="s">
        <v>3022</v>
      </c>
      <c r="C3839" s="1008">
        <v>8018</v>
      </c>
      <c r="D3839" s="908">
        <v>3920</v>
      </c>
      <c r="E3839" s="709">
        <f t="shared" si="138"/>
        <v>-0.5111000249438763</v>
      </c>
      <c r="F3839" s="946">
        <f t="shared" si="139"/>
        <v>-1.5333000748316289E-2</v>
      </c>
      <c r="G3839" s="78"/>
      <c r="H3839" t="str">
        <f>VLOOKUP(B3839,indexy!$A$44:$D$234,3,FALSE)</f>
        <v>4502 JT Equity</v>
      </c>
      <c r="I3839" s="61"/>
    </row>
    <row r="3840" spans="1:9" hidden="1" outlineLevel="1" x14ac:dyDescent="0.25">
      <c r="A3840" s="1002">
        <v>0.04</v>
      </c>
      <c r="B3840" s="996" t="s">
        <v>1527</v>
      </c>
      <c r="C3840" s="1008">
        <v>2.1677</v>
      </c>
      <c r="D3840" s="908">
        <v>1.0169999999999999</v>
      </c>
      <c r="E3840" s="709">
        <f t="shared" si="138"/>
        <v>-0.53083913825713891</v>
      </c>
      <c r="F3840" s="946">
        <f t="shared" si="139"/>
        <v>-2.1233565530285558E-2</v>
      </c>
      <c r="G3840" s="78"/>
      <c r="H3840" t="str">
        <f>VLOOKUP(B3840,indexy!$A$44:$D$234,3,FALSE)</f>
        <v>TIT IM Equity</v>
      </c>
    </row>
    <row r="3841" spans="1:9" hidden="1" outlineLevel="1" x14ac:dyDescent="0.25">
      <c r="A3841" s="1002">
        <v>0.05</v>
      </c>
      <c r="B3841" s="996" t="s">
        <v>576</v>
      </c>
      <c r="C3841" s="1008">
        <v>20.779</v>
      </c>
      <c r="D3841" s="908">
        <v>8.6080000000000005</v>
      </c>
      <c r="E3841" s="709">
        <f t="shared" si="138"/>
        <v>-0.58573559844073342</v>
      </c>
      <c r="F3841" s="946">
        <f t="shared" si="139"/>
        <v>-2.9286779922036672E-2</v>
      </c>
      <c r="G3841" s="78"/>
      <c r="H3841" t="e">
        <f>VLOOKUP(B3841,indexy!$A$44:$D$234,3,FALSE)</f>
        <v>#N/A</v>
      </c>
    </row>
    <row r="3842" spans="1:9" hidden="1" outlineLevel="1" x14ac:dyDescent="0.25">
      <c r="A3842" s="1004">
        <v>0.04</v>
      </c>
      <c r="B3842" s="969" t="s">
        <v>2983</v>
      </c>
      <c r="C3842" s="1009">
        <v>764.12</v>
      </c>
      <c r="D3842" s="715">
        <v>631.5</v>
      </c>
      <c r="E3842" s="716">
        <f t="shared" si="138"/>
        <v>-0.17355912683871644</v>
      </c>
      <c r="F3842" s="1023">
        <f t="shared" si="139"/>
        <v>-6.9423650735486574E-3</v>
      </c>
      <c r="G3842" s="78"/>
      <c r="H3842" t="str">
        <f>VLOOKUP(B3842,indexy!$A$44:$D$234,3,FALSE)</f>
        <v>UU/ LN Equity</v>
      </c>
      <c r="I3842" s="91"/>
    </row>
    <row r="3843" spans="1:9" hidden="1" outlineLevel="1" x14ac:dyDescent="0.25">
      <c r="A3843" s="749"/>
      <c r="B3843" s="750"/>
      <c r="C3843" s="727"/>
      <c r="D3843" s="727"/>
      <c r="E3843" s="716"/>
      <c r="F3843" s="770">
        <f>SUM(F3813:F3842)</f>
        <v>-0.35175425818236467</v>
      </c>
      <c r="G3843" s="78"/>
    </row>
    <row r="3844" spans="1:9" hidden="1" outlineLevel="1" x14ac:dyDescent="0.25">
      <c r="A3844" s="749"/>
      <c r="B3844" s="750"/>
      <c r="C3844" s="727"/>
      <c r="D3844" s="727"/>
      <c r="E3844" s="716"/>
      <c r="F3844" s="770"/>
      <c r="G3844" s="78"/>
    </row>
    <row r="3845" spans="1:9" hidden="1" outlineLevel="1" x14ac:dyDescent="0.25">
      <c r="A3845" s="962" t="s">
        <v>3588</v>
      </c>
      <c r="B3845" s="944">
        <v>39264</v>
      </c>
      <c r="C3845" s="727">
        <v>100</v>
      </c>
      <c r="D3845" s="727">
        <v>93.845299999999995</v>
      </c>
      <c r="E3845" s="716">
        <f t="shared" ref="E3845:E3860" si="140">D3845/C3845-1</f>
        <v>-6.1547000000000018E-2</v>
      </c>
      <c r="F3845" s="731">
        <f>E3845</f>
        <v>-6.1547000000000018E-2</v>
      </c>
      <c r="G3845" s="78"/>
    </row>
    <row r="3846" spans="1:9" hidden="1" outlineLevel="1" x14ac:dyDescent="0.25">
      <c r="A3846" s="962" t="s">
        <v>3589</v>
      </c>
      <c r="B3846" s="944">
        <v>39356</v>
      </c>
      <c r="C3846" s="727">
        <v>100</v>
      </c>
      <c r="D3846" s="727">
        <v>96.927099999999996</v>
      </c>
      <c r="E3846" s="716">
        <f t="shared" si="140"/>
        <v>-3.0729000000000006E-2</v>
      </c>
      <c r="F3846" s="731">
        <f t="shared" ref="F3846:F3860" si="141">E3846</f>
        <v>-3.0729000000000006E-2</v>
      </c>
      <c r="G3846" s="78"/>
    </row>
    <row r="3847" spans="1:9" hidden="1" outlineLevel="1" x14ac:dyDescent="0.25">
      <c r="A3847" s="962" t="s">
        <v>3590</v>
      </c>
      <c r="B3847" s="944">
        <v>39448</v>
      </c>
      <c r="C3847" s="727">
        <v>100</v>
      </c>
      <c r="D3847" s="727">
        <v>84.286500000000004</v>
      </c>
      <c r="E3847" s="716">
        <f t="shared" si="140"/>
        <v>-0.15713499999999991</v>
      </c>
      <c r="F3847" s="731">
        <f t="shared" si="141"/>
        <v>-0.15713499999999991</v>
      </c>
      <c r="G3847" s="78"/>
    </row>
    <row r="3848" spans="1:9" hidden="1" outlineLevel="1" x14ac:dyDescent="0.25">
      <c r="A3848" s="962" t="s">
        <v>3591</v>
      </c>
      <c r="B3848" s="944">
        <v>39539</v>
      </c>
      <c r="C3848" s="727">
        <v>100</v>
      </c>
      <c r="D3848" s="727">
        <v>81.182400000000001</v>
      </c>
      <c r="E3848" s="716">
        <f t="shared" si="140"/>
        <v>-0.18817600000000001</v>
      </c>
      <c r="F3848" s="731">
        <f t="shared" si="141"/>
        <v>-0.18817600000000001</v>
      </c>
      <c r="G3848" s="78"/>
    </row>
    <row r="3849" spans="1:9" hidden="1" outlineLevel="1" x14ac:dyDescent="0.25">
      <c r="A3849" s="962" t="s">
        <v>3741</v>
      </c>
      <c r="B3849" s="944">
        <v>39630</v>
      </c>
      <c r="C3849" s="727">
        <v>100</v>
      </c>
      <c r="D3849" s="727">
        <v>72.132999999999996</v>
      </c>
      <c r="E3849" s="716">
        <f t="shared" si="140"/>
        <v>-0.27867000000000008</v>
      </c>
      <c r="F3849" s="731">
        <f t="shared" si="141"/>
        <v>-0.27867000000000008</v>
      </c>
      <c r="G3849" s="78"/>
    </row>
    <row r="3850" spans="1:9" hidden="1" outlineLevel="1" x14ac:dyDescent="0.25">
      <c r="A3850" s="962" t="s">
        <v>3742</v>
      </c>
      <c r="B3850" s="944">
        <v>39722</v>
      </c>
      <c r="C3850" s="727">
        <v>100</v>
      </c>
      <c r="D3850" s="727">
        <v>58.457000000000001</v>
      </c>
      <c r="E3850" s="716">
        <f t="shared" si="140"/>
        <v>-0.41542999999999997</v>
      </c>
      <c r="F3850" s="731">
        <f t="shared" si="141"/>
        <v>-0.41542999999999997</v>
      </c>
      <c r="G3850" s="78"/>
    </row>
    <row r="3851" spans="1:9" hidden="1" outlineLevel="1" x14ac:dyDescent="0.25">
      <c r="A3851" s="962" t="s">
        <v>460</v>
      </c>
      <c r="B3851" s="944">
        <v>39814</v>
      </c>
      <c r="C3851" s="727">
        <v>100</v>
      </c>
      <c r="D3851" s="727">
        <v>49.558300000000003</v>
      </c>
      <c r="E3851" s="716">
        <f t="shared" si="140"/>
        <v>-0.50441699999999989</v>
      </c>
      <c r="F3851" s="731">
        <f t="shared" si="141"/>
        <v>-0.50441699999999989</v>
      </c>
      <c r="G3851" s="78"/>
    </row>
    <row r="3852" spans="1:9" hidden="1" outlineLevel="1" x14ac:dyDescent="0.25">
      <c r="A3852" s="962" t="s">
        <v>461</v>
      </c>
      <c r="B3852" s="944">
        <v>39904</v>
      </c>
      <c r="C3852" s="727">
        <v>100</v>
      </c>
      <c r="D3852" s="727">
        <v>49.204000000000001</v>
      </c>
      <c r="E3852" s="716">
        <f t="shared" si="140"/>
        <v>-0.50795999999999997</v>
      </c>
      <c r="F3852" s="731">
        <f t="shared" si="141"/>
        <v>-0.50795999999999997</v>
      </c>
      <c r="G3852" s="78"/>
    </row>
    <row r="3853" spans="1:9" hidden="1" outlineLevel="1" x14ac:dyDescent="0.25">
      <c r="A3853" s="962" t="s">
        <v>462</v>
      </c>
      <c r="B3853" s="944">
        <v>39995</v>
      </c>
      <c r="C3853" s="727">
        <v>100</v>
      </c>
      <c r="D3853" s="727">
        <v>53.967199999999998</v>
      </c>
      <c r="E3853" s="716">
        <f t="shared" si="140"/>
        <v>-0.46032800000000007</v>
      </c>
      <c r="F3853" s="731">
        <f t="shared" si="141"/>
        <v>-0.46032800000000007</v>
      </c>
      <c r="G3853" s="78"/>
    </row>
    <row r="3854" spans="1:9" hidden="1" outlineLevel="1" x14ac:dyDescent="0.25">
      <c r="A3854" s="962" t="s">
        <v>463</v>
      </c>
      <c r="B3854" s="944">
        <v>40087</v>
      </c>
      <c r="C3854" s="727">
        <v>100</v>
      </c>
      <c r="D3854" s="727">
        <v>56.5627</v>
      </c>
      <c r="E3854" s="716">
        <f t="shared" si="140"/>
        <v>-0.43437300000000001</v>
      </c>
      <c r="F3854" s="731">
        <f t="shared" si="141"/>
        <v>-0.43437300000000001</v>
      </c>
      <c r="G3854" s="78"/>
    </row>
    <row r="3855" spans="1:9" hidden="1" outlineLevel="1" x14ac:dyDescent="0.25">
      <c r="A3855" s="962" t="s">
        <v>464</v>
      </c>
      <c r="B3855" s="944">
        <v>40179</v>
      </c>
      <c r="C3855" s="727">
        <v>100</v>
      </c>
      <c r="D3855" s="727">
        <v>58.9116</v>
      </c>
      <c r="E3855" s="716">
        <f t="shared" si="140"/>
        <v>-0.41088400000000003</v>
      </c>
      <c r="F3855" s="731">
        <f t="shared" si="141"/>
        <v>-0.41088400000000003</v>
      </c>
      <c r="G3855" s="78"/>
    </row>
    <row r="3856" spans="1:9" hidden="1" outlineLevel="1" x14ac:dyDescent="0.25">
      <c r="A3856" s="962" t="s">
        <v>2303</v>
      </c>
      <c r="B3856" s="944">
        <v>40269</v>
      </c>
      <c r="C3856" s="727">
        <v>100</v>
      </c>
      <c r="D3856" s="727">
        <v>61.453899999999997</v>
      </c>
      <c r="E3856" s="716">
        <f t="shared" si="140"/>
        <v>-0.38546100000000005</v>
      </c>
      <c r="F3856" s="731">
        <f t="shared" si="141"/>
        <v>-0.38546100000000005</v>
      </c>
      <c r="G3856" s="78"/>
    </row>
    <row r="3857" spans="1:15" hidden="1" outlineLevel="1" x14ac:dyDescent="0.25">
      <c r="A3857" s="962" t="s">
        <v>3432</v>
      </c>
      <c r="B3857" s="944">
        <v>40360</v>
      </c>
      <c r="C3857" s="727">
        <v>100</v>
      </c>
      <c r="D3857" s="727">
        <v>60.5261</v>
      </c>
      <c r="E3857" s="716">
        <f t="shared" si="140"/>
        <v>-0.39473899999999995</v>
      </c>
      <c r="F3857" s="731">
        <f t="shared" si="141"/>
        <v>-0.39473899999999995</v>
      </c>
      <c r="G3857" s="78"/>
    </row>
    <row r="3858" spans="1:15" hidden="1" outlineLevel="1" x14ac:dyDescent="0.25">
      <c r="A3858" s="962" t="s">
        <v>3433</v>
      </c>
      <c r="B3858" s="944">
        <v>40452</v>
      </c>
      <c r="C3858" s="727">
        <v>100</v>
      </c>
      <c r="D3858" s="727">
        <v>62.8337</v>
      </c>
      <c r="E3858" s="716">
        <f t="shared" si="140"/>
        <v>-0.37166299999999997</v>
      </c>
      <c r="F3858" s="731">
        <f t="shared" si="141"/>
        <v>-0.37166299999999997</v>
      </c>
      <c r="G3858" s="78"/>
    </row>
    <row r="3859" spans="1:15" hidden="1" outlineLevel="1" x14ac:dyDescent="0.25">
      <c r="A3859" s="962" t="s">
        <v>3434</v>
      </c>
      <c r="B3859" s="944">
        <v>40544</v>
      </c>
      <c r="C3859" s="727">
        <v>100</v>
      </c>
      <c r="D3859" s="727">
        <v>64.317599999999999</v>
      </c>
      <c r="E3859" s="716">
        <f t="shared" si="140"/>
        <v>-0.35682400000000003</v>
      </c>
      <c r="F3859" s="731">
        <f t="shared" si="141"/>
        <v>-0.35682400000000003</v>
      </c>
      <c r="G3859" s="78"/>
    </row>
    <row r="3860" spans="1:15" hidden="1" outlineLevel="1" x14ac:dyDescent="0.25">
      <c r="A3860" s="962" t="s">
        <v>3435</v>
      </c>
      <c r="B3860" s="944">
        <v>40634</v>
      </c>
      <c r="C3860" s="727">
        <v>100</v>
      </c>
      <c r="D3860" s="727">
        <v>66.264300000000006</v>
      </c>
      <c r="E3860" s="716">
        <f t="shared" si="140"/>
        <v>-0.33735699999999991</v>
      </c>
      <c r="F3860" s="731">
        <f t="shared" si="141"/>
        <v>-0.33735699999999991</v>
      </c>
      <c r="G3860" s="78"/>
      <c r="H3860" t="s">
        <v>1837</v>
      </c>
    </row>
    <row r="3861" spans="1:15" hidden="1" outlineLevel="1" x14ac:dyDescent="0.25">
      <c r="A3861" s="749"/>
      <c r="B3861" s="944"/>
      <c r="C3861" s="727"/>
      <c r="D3861" s="727"/>
      <c r="E3861" s="720"/>
      <c r="F3861" s="731"/>
      <c r="G3861" s="78"/>
      <c r="H3861" s="101">
        <f>AVERAGE(F3845:F3860)</f>
        <v>-0.33098081249999994</v>
      </c>
    </row>
    <row r="3862" spans="1:15" collapsed="1" x14ac:dyDescent="0.25">
      <c r="A3862" s="3801" t="s">
        <v>260</v>
      </c>
      <c r="B3862" s="3802"/>
      <c r="C3862" s="3802"/>
      <c r="D3862" s="3802"/>
      <c r="E3862" s="721" t="s">
        <v>2722</v>
      </c>
      <c r="F3862" s="722">
        <f>MAX(AVERAGE(F3845:F3861)*parametry!N142,2%)</f>
        <v>0.02</v>
      </c>
      <c r="G3862" s="97" t="s">
        <v>781</v>
      </c>
      <c r="I3862" s="21"/>
    </row>
    <row r="3863" spans="1:15" x14ac:dyDescent="0.25">
      <c r="A3863" s="154" t="s">
        <v>1953</v>
      </c>
      <c r="B3863" s="1"/>
      <c r="C3863" s="1"/>
      <c r="D3863" s="1"/>
      <c r="E3863" s="1"/>
      <c r="F3863" s="1848"/>
      <c r="G3863" s="78"/>
      <c r="I3863" s="21"/>
    </row>
    <row r="3864" spans="1:15" hidden="1" outlineLevel="1" x14ac:dyDescent="0.25">
      <c r="A3864" s="689" t="s">
        <v>113</v>
      </c>
      <c r="B3864" s="689" t="s">
        <v>114</v>
      </c>
      <c r="C3864" s="689" t="s">
        <v>112</v>
      </c>
      <c r="D3864" s="689" t="s">
        <v>116</v>
      </c>
      <c r="E3864" s="689" t="s">
        <v>117</v>
      </c>
      <c r="F3864" s="1188" t="s">
        <v>121</v>
      </c>
      <c r="G3864" s="78"/>
      <c r="I3864" s="21"/>
    </row>
    <row r="3865" spans="1:15" hidden="1" outlineLevel="1" x14ac:dyDescent="0.25">
      <c r="A3865" s="690">
        <v>1</v>
      </c>
      <c r="B3865" s="691" t="s">
        <v>252</v>
      </c>
      <c r="C3865" s="692">
        <v>100</v>
      </c>
      <c r="D3865" s="692"/>
      <c r="E3865" s="693"/>
      <c r="F3865" s="694"/>
      <c r="G3865" s="78"/>
      <c r="I3865" s="21"/>
    </row>
    <row r="3866" spans="1:15" hidden="1" outlineLevel="1" x14ac:dyDescent="0.25">
      <c r="A3866" s="695"/>
      <c r="B3866" s="695"/>
      <c r="C3866" s="696"/>
      <c r="D3866" s="697" t="s">
        <v>3702</v>
      </c>
      <c r="E3866" s="698">
        <v>42460</v>
      </c>
      <c r="F3866" s="699"/>
      <c r="G3866" s="78"/>
      <c r="I3866" s="21"/>
    </row>
    <row r="3867" spans="1:15" hidden="1" outlineLevel="1" x14ac:dyDescent="0.25">
      <c r="A3867" s="689" t="s">
        <v>4156</v>
      </c>
      <c r="B3867" s="689" t="s">
        <v>4153</v>
      </c>
      <c r="C3867" s="497" t="s">
        <v>112</v>
      </c>
      <c r="D3867" s="495" t="s">
        <v>116</v>
      </c>
      <c r="E3867" s="689" t="s">
        <v>4154</v>
      </c>
      <c r="F3867" s="1021" t="s">
        <v>2519</v>
      </c>
      <c r="G3867" s="78"/>
      <c r="I3867" s="21"/>
    </row>
    <row r="3868" spans="1:15" hidden="1" outlineLevel="1" x14ac:dyDescent="0.25">
      <c r="A3868" s="999">
        <v>0.04</v>
      </c>
      <c r="B3868" s="755" t="s">
        <v>2703</v>
      </c>
      <c r="C3868" s="1085">
        <v>89.606999999999999</v>
      </c>
      <c r="D3868" s="803">
        <v>86.3</v>
      </c>
      <c r="E3868" s="705">
        <v>-3.6905598892943647E-2</v>
      </c>
      <c r="F3868" s="1021">
        <v>-1.4762239557177459E-3</v>
      </c>
      <c r="G3868" s="78"/>
      <c r="H3868" t="s">
        <v>2780</v>
      </c>
      <c r="I3868" s="129"/>
      <c r="J3868" t="s">
        <v>2040</v>
      </c>
      <c r="K3868" s="248" t="s">
        <v>2878</v>
      </c>
      <c r="L3868">
        <v>67.462000000000003</v>
      </c>
      <c r="M3868" s="37">
        <f t="shared" ref="M3868:M3874" si="142">L3868/100-1</f>
        <v>-0.32538</v>
      </c>
      <c r="N3868" s="351"/>
      <c r="O3868" s="21"/>
    </row>
    <row r="3869" spans="1:15" hidden="1" outlineLevel="1" x14ac:dyDescent="0.25">
      <c r="A3869" s="1002">
        <v>0.03</v>
      </c>
      <c r="B3869" s="996" t="s">
        <v>1993</v>
      </c>
      <c r="C3869" s="1086">
        <v>71.191000000000003</v>
      </c>
      <c r="D3869" s="908">
        <v>83.15</v>
      </c>
      <c r="E3869" s="709">
        <v>0.16798471716930519</v>
      </c>
      <c r="F3869" s="946">
        <v>5.0395415150791554E-3</v>
      </c>
      <c r="G3869" s="78"/>
      <c r="H3869" t="s">
        <v>2812</v>
      </c>
      <c r="I3869" s="39" t="s">
        <v>3533</v>
      </c>
      <c r="K3869" s="248" t="s">
        <v>2879</v>
      </c>
      <c r="L3869">
        <v>68.317400000000006</v>
      </c>
      <c r="M3869" s="37">
        <f t="shared" si="142"/>
        <v>-0.31682599999999994</v>
      </c>
      <c r="N3869" s="351"/>
      <c r="O3869" s="21"/>
    </row>
    <row r="3870" spans="1:15" hidden="1" outlineLevel="1" x14ac:dyDescent="0.25">
      <c r="A3870" s="1002">
        <v>0.03</v>
      </c>
      <c r="B3870" s="996" t="s">
        <v>3998</v>
      </c>
      <c r="C3870" s="1086">
        <v>40.069000000000003</v>
      </c>
      <c r="D3870" s="908">
        <v>29.38</v>
      </c>
      <c r="E3870" s="709">
        <v>-0.26676483066709933</v>
      </c>
      <c r="F3870" s="946">
        <v>-8.0029449200129804E-3</v>
      </c>
      <c r="G3870" s="78"/>
      <c r="H3870" t="s">
        <v>4000</v>
      </c>
      <c r="I3870" s="129"/>
      <c r="K3870" s="248" t="s">
        <v>2880</v>
      </c>
      <c r="L3870">
        <v>71.748500000000007</v>
      </c>
      <c r="M3870" s="37">
        <f t="shared" si="142"/>
        <v>-0.28251499999999996</v>
      </c>
      <c r="N3870" s="351"/>
      <c r="O3870" s="21"/>
    </row>
    <row r="3871" spans="1:15" hidden="1" outlineLevel="1" x14ac:dyDescent="0.25">
      <c r="A3871" s="1002">
        <v>0.04</v>
      </c>
      <c r="B3871" s="996" t="s">
        <v>1994</v>
      </c>
      <c r="C3871" s="1086">
        <v>49.191000000000003</v>
      </c>
      <c r="D3871" s="908">
        <v>13.34</v>
      </c>
      <c r="E3871" s="709">
        <v>-0.72881218109003676</v>
      </c>
      <c r="F3871" s="946">
        <v>-2.915248724360147E-2</v>
      </c>
      <c r="G3871" s="78"/>
      <c r="H3871" t="s">
        <v>3493</v>
      </c>
      <c r="I3871" s="129"/>
      <c r="K3871" s="248" t="s">
        <v>2881</v>
      </c>
      <c r="L3871">
        <v>72.7941</v>
      </c>
      <c r="M3871" s="37">
        <f t="shared" si="142"/>
        <v>-0.27205900000000005</v>
      </c>
      <c r="N3871" s="351"/>
      <c r="O3871" s="21"/>
    </row>
    <row r="3872" spans="1:15" hidden="1" outlineLevel="1" x14ac:dyDescent="0.25">
      <c r="A3872" s="1002">
        <v>0.02</v>
      </c>
      <c r="B3872" s="996" t="s">
        <v>3516</v>
      </c>
      <c r="C3872" s="1086">
        <v>45.497999999999998</v>
      </c>
      <c r="D3872" s="908">
        <v>30.2</v>
      </c>
      <c r="E3872" s="709">
        <v>-0.33623455976086858</v>
      </c>
      <c r="F3872" s="946">
        <v>-6.7246911952173714E-3</v>
      </c>
      <c r="G3872" s="78"/>
      <c r="H3872" t="s">
        <v>4311</v>
      </c>
      <c r="I3872" s="129"/>
      <c r="K3872" s="248" t="s">
        <v>2882</v>
      </c>
      <c r="L3872">
        <v>67.974199999999996</v>
      </c>
      <c r="M3872" s="37">
        <f t="shared" si="142"/>
        <v>-0.32025800000000004</v>
      </c>
      <c r="N3872" s="351"/>
      <c r="O3872" s="21"/>
    </row>
    <row r="3873" spans="1:15" hidden="1" outlineLevel="1" x14ac:dyDescent="0.25">
      <c r="A3873" s="1002">
        <v>0.03</v>
      </c>
      <c r="B3873" s="996" t="s">
        <v>581</v>
      </c>
      <c r="C3873" s="1086">
        <v>91.286000000000001</v>
      </c>
      <c r="D3873" s="908">
        <v>91.25</v>
      </c>
      <c r="E3873" s="709">
        <v>-3.9436496286393563E-4</v>
      </c>
      <c r="F3873" s="946">
        <v>-1.1830948885918068E-5</v>
      </c>
      <c r="G3873" s="78"/>
      <c r="H3873" t="s">
        <v>589</v>
      </c>
      <c r="I3873" s="129"/>
      <c r="K3873" s="248" t="s">
        <v>2883</v>
      </c>
      <c r="L3873">
        <v>65.908199999999994</v>
      </c>
      <c r="M3873" s="37">
        <f t="shared" si="142"/>
        <v>-0.34091800000000005</v>
      </c>
      <c r="N3873" s="351"/>
      <c r="O3873" s="21"/>
    </row>
    <row r="3874" spans="1:15" hidden="1" outlineLevel="1" x14ac:dyDescent="0.25">
      <c r="A3874" s="1002">
        <v>0.05</v>
      </c>
      <c r="B3874" s="996" t="s">
        <v>1847</v>
      </c>
      <c r="C3874" s="1086">
        <v>518.45000000000005</v>
      </c>
      <c r="D3874" s="908">
        <v>4.7300000000000004</v>
      </c>
      <c r="E3874" s="709">
        <v>-0.99087665155752724</v>
      </c>
      <c r="F3874" s="946">
        <v>-4.9543832577876368E-2</v>
      </c>
      <c r="G3874" s="78"/>
      <c r="H3874" t="s">
        <v>2749</v>
      </c>
      <c r="I3874" s="129"/>
      <c r="K3874" s="248" t="s">
        <v>2884</v>
      </c>
      <c r="L3874">
        <v>70.2928</v>
      </c>
      <c r="M3874" s="37">
        <f t="shared" si="142"/>
        <v>-0.297072</v>
      </c>
      <c r="N3874" s="351"/>
      <c r="O3874" s="21"/>
    </row>
    <row r="3875" spans="1:15" hidden="1" outlineLevel="1" x14ac:dyDescent="0.25">
      <c r="A3875" s="1002">
        <v>0.04</v>
      </c>
      <c r="B3875" s="996" t="s">
        <v>4110</v>
      </c>
      <c r="C3875" s="1086">
        <v>43.8035</v>
      </c>
      <c r="D3875" s="908">
        <v>42.72</v>
      </c>
      <c r="E3875" s="709">
        <v>-2.4735466344013579E-2</v>
      </c>
      <c r="F3875" s="946">
        <v>-9.8941865376054325E-4</v>
      </c>
      <c r="G3875" s="78"/>
      <c r="H3875" t="s">
        <v>2622</v>
      </c>
      <c r="I3875" s="129"/>
      <c r="K3875" s="248" t="s">
        <v>4369</v>
      </c>
      <c r="L3875">
        <v>68.652199999999993</v>
      </c>
      <c r="M3875" s="37">
        <f>L3875/100-1</f>
        <v>-0.31347800000000003</v>
      </c>
      <c r="N3875" s="351"/>
      <c r="O3875" s="21"/>
    </row>
    <row r="3876" spans="1:15" hidden="1" outlineLevel="1" x14ac:dyDescent="0.25">
      <c r="A3876" s="1002">
        <v>0.05</v>
      </c>
      <c r="B3876" s="996" t="s">
        <v>4301</v>
      </c>
      <c r="C3876" s="1086">
        <v>49.868000000000002</v>
      </c>
      <c r="D3876" s="908">
        <v>45.32</v>
      </c>
      <c r="E3876" s="709">
        <v>-9.1200770032886846E-2</v>
      </c>
      <c r="F3876" s="946">
        <v>-4.5600385016443422E-3</v>
      </c>
      <c r="G3876" s="78"/>
      <c r="H3876" t="s">
        <v>2838</v>
      </c>
      <c r="I3876" s="129"/>
      <c r="K3876" s="248" t="s">
        <v>2885</v>
      </c>
      <c r="L3876">
        <v>72.207400000000007</v>
      </c>
      <c r="M3876" s="37">
        <f>L3876/100-1</f>
        <v>-0.2779259999999999</v>
      </c>
      <c r="N3876" s="351"/>
      <c r="O3876" s="21"/>
    </row>
    <row r="3877" spans="1:15" hidden="1" outlineLevel="1" x14ac:dyDescent="0.25">
      <c r="A3877" s="1002">
        <v>0.04</v>
      </c>
      <c r="B3877" s="996" t="s">
        <v>4064</v>
      </c>
      <c r="C3877" s="1086">
        <v>56.331000000000003</v>
      </c>
      <c r="D3877" s="908">
        <v>35.04</v>
      </c>
      <c r="E3877" s="709">
        <v>-0.37796240080950105</v>
      </c>
      <c r="F3877" s="946">
        <v>-1.5118496032380042E-2</v>
      </c>
      <c r="G3877" s="78"/>
      <c r="H3877" t="s">
        <v>170</v>
      </c>
      <c r="I3877" s="129"/>
      <c r="K3877" s="248" t="s">
        <v>2886</v>
      </c>
      <c r="L3877">
        <v>73.4709</v>
      </c>
      <c r="M3877" s="37">
        <f>L3877/100-1</f>
        <v>-0.26529099999999994</v>
      </c>
      <c r="N3877" s="351"/>
      <c r="O3877" s="21"/>
    </row>
    <row r="3878" spans="1:15" hidden="1" outlineLevel="1" x14ac:dyDescent="0.25">
      <c r="A3878" s="1002">
        <v>0.03</v>
      </c>
      <c r="B3878" s="996" t="s">
        <v>4496</v>
      </c>
      <c r="C3878" s="1086">
        <v>46.798999999999999</v>
      </c>
      <c r="D3878" s="908">
        <v>49.46</v>
      </c>
      <c r="E3878" s="709">
        <v>5.6860189320284693E-2</v>
      </c>
      <c r="F3878" s="946">
        <v>1.7058056796085408E-3</v>
      </c>
      <c r="G3878" s="78"/>
      <c r="H3878" t="s">
        <v>2385</v>
      </c>
      <c r="I3878" s="129"/>
      <c r="K3878" s="248" t="s">
        <v>1930</v>
      </c>
      <c r="L3878">
        <v>71.586399999999998</v>
      </c>
      <c r="M3878" s="37">
        <f>L3878/100-1</f>
        <v>-0.28413600000000006</v>
      </c>
      <c r="N3878" s="351"/>
      <c r="O3878" s="21"/>
    </row>
    <row r="3879" spans="1:15" hidden="1" outlineLevel="1" x14ac:dyDescent="0.25">
      <c r="A3879" s="1002">
        <v>0.03</v>
      </c>
      <c r="B3879" s="996" t="s">
        <v>281</v>
      </c>
      <c r="C3879" s="1086">
        <v>35.304000000000002</v>
      </c>
      <c r="D3879" s="908">
        <v>8.85</v>
      </c>
      <c r="E3879" s="709">
        <v>-0.74932019034670294</v>
      </c>
      <c r="F3879" s="946">
        <v>-2.2479605710401088E-2</v>
      </c>
      <c r="G3879" s="78"/>
      <c r="H3879" t="s">
        <v>4159</v>
      </c>
      <c r="I3879" s="129"/>
      <c r="K3879" s="248" t="s">
        <v>1931</v>
      </c>
      <c r="L3879">
        <v>76.384500000000003</v>
      </c>
      <c r="M3879" s="37">
        <f>L3879/100-1</f>
        <v>-0.236155</v>
      </c>
      <c r="N3879" s="351"/>
      <c r="O3879" s="21"/>
    </row>
    <row r="3880" spans="1:15" hidden="1" outlineLevel="1" x14ac:dyDescent="0.25">
      <c r="A3880" s="1002">
        <v>0.03</v>
      </c>
      <c r="B3880" s="740" t="s">
        <v>1381</v>
      </c>
      <c r="C3880" s="1086">
        <v>66.897999999999996</v>
      </c>
      <c r="D3880" s="908">
        <v>63.04</v>
      </c>
      <c r="E3880" s="709">
        <v>-5.7669885497324214E-2</v>
      </c>
      <c r="F3880" s="946">
        <v>-1.7300965649197264E-3</v>
      </c>
      <c r="G3880" s="78"/>
      <c r="H3880" t="s">
        <v>1383</v>
      </c>
      <c r="I3880" s="129"/>
      <c r="K3880" s="310" t="s">
        <v>2465</v>
      </c>
      <c r="M3880" s="261">
        <f>AVERAGE(M3868:M3879)</f>
        <v>-0.2943345</v>
      </c>
      <c r="N3880" s="351"/>
      <c r="O3880" s="21"/>
    </row>
    <row r="3881" spans="1:15" hidden="1" outlineLevel="1" x14ac:dyDescent="0.25">
      <c r="A3881" s="1002">
        <v>0.03</v>
      </c>
      <c r="B3881" s="996" t="s">
        <v>2160</v>
      </c>
      <c r="C3881" s="1086">
        <v>35.204000000000001</v>
      </c>
      <c r="D3881" s="908">
        <v>31.51</v>
      </c>
      <c r="E3881" s="709">
        <v>-0.10493125781161228</v>
      </c>
      <c r="F3881" s="946">
        <v>-3.1479377343483681E-3</v>
      </c>
      <c r="G3881" s="78"/>
      <c r="H3881" t="s">
        <v>5507</v>
      </c>
      <c r="I3881" s="129"/>
      <c r="K3881" s="310" t="s">
        <v>1932</v>
      </c>
      <c r="M3881" s="261">
        <f>M3880*parametry!N148</f>
        <v>-0.3532014</v>
      </c>
      <c r="N3881" s="351"/>
      <c r="O3881" s="21"/>
    </row>
    <row r="3882" spans="1:15" hidden="1" outlineLevel="1" x14ac:dyDescent="0.25">
      <c r="A3882" s="1002">
        <v>0.03</v>
      </c>
      <c r="B3882" s="996" t="s">
        <v>1204</v>
      </c>
      <c r="C3882" s="1086">
        <v>66.302999999999997</v>
      </c>
      <c r="D3882" s="908">
        <v>65.33</v>
      </c>
      <c r="E3882" s="709">
        <v>-1.4675052410901501E-2</v>
      </c>
      <c r="F3882" s="946">
        <v>-4.4025157232704503E-4</v>
      </c>
      <c r="G3882" s="78"/>
      <c r="H3882" t="s">
        <v>2427</v>
      </c>
      <c r="I3882" s="129"/>
      <c r="N3882" s="351"/>
      <c r="O3882" s="21"/>
    </row>
    <row r="3883" spans="1:15" hidden="1" outlineLevel="1" x14ac:dyDescent="0.25">
      <c r="A3883" s="1002">
        <v>7.0000000000000007E-2</v>
      </c>
      <c r="B3883" s="996" t="s">
        <v>1414</v>
      </c>
      <c r="C3883" s="1086">
        <v>23.68</v>
      </c>
      <c r="D3883" s="908">
        <v>17.510000000000002</v>
      </c>
      <c r="E3883" s="709">
        <v>-0.26055743243243235</v>
      </c>
      <c r="F3883" s="946">
        <v>-1.8239020270270266E-2</v>
      </c>
      <c r="G3883" s="78"/>
      <c r="H3883" t="s">
        <v>2428</v>
      </c>
      <c r="I3883" s="129"/>
      <c r="N3883" s="351"/>
      <c r="O3883" s="21"/>
    </row>
    <row r="3884" spans="1:15" hidden="1" outlineLevel="1" x14ac:dyDescent="0.25">
      <c r="A3884" s="1002">
        <v>0.03</v>
      </c>
      <c r="B3884" s="996" t="s">
        <v>4302</v>
      </c>
      <c r="C3884" s="1086">
        <v>75.215999999999994</v>
      </c>
      <c r="D3884" s="908">
        <v>95.47</v>
      </c>
      <c r="E3884" s="709">
        <v>0.26927781323122746</v>
      </c>
      <c r="F3884" s="946">
        <v>8.0783343969368232E-3</v>
      </c>
      <c r="G3884" s="78"/>
      <c r="H3884" t="s">
        <v>2839</v>
      </c>
      <c r="I3884" s="129"/>
      <c r="N3884" s="351"/>
      <c r="O3884" s="21"/>
    </row>
    <row r="3885" spans="1:15" hidden="1" outlineLevel="1" x14ac:dyDescent="0.25">
      <c r="A3885" s="1002">
        <v>0.02</v>
      </c>
      <c r="B3885" s="996" t="s">
        <v>4303</v>
      </c>
      <c r="C3885" s="1086">
        <v>61.267000000000003</v>
      </c>
      <c r="D3885" s="908">
        <v>32.56</v>
      </c>
      <c r="E3885" s="709">
        <v>-0.46855566618244726</v>
      </c>
      <c r="F3885" s="946">
        <v>-9.3711133236489448E-3</v>
      </c>
      <c r="G3885" s="78"/>
      <c r="H3885" t="s">
        <v>2840</v>
      </c>
      <c r="I3885" s="129"/>
      <c r="N3885" s="351"/>
      <c r="O3885" s="21"/>
    </row>
    <row r="3886" spans="1:15" hidden="1" outlineLevel="1" x14ac:dyDescent="0.25">
      <c r="A3886" s="1002">
        <v>0.03</v>
      </c>
      <c r="B3886" s="996" t="s">
        <v>3023</v>
      </c>
      <c r="C3886" s="1086">
        <v>62.238999999999997</v>
      </c>
      <c r="D3886" s="908">
        <v>64.33</v>
      </c>
      <c r="E3886" s="709">
        <v>3.3596298141036929E-2</v>
      </c>
      <c r="F3886" s="946">
        <v>1.0078889442311078E-3</v>
      </c>
      <c r="G3886" s="78"/>
      <c r="H3886" t="s">
        <v>2815</v>
      </c>
      <c r="I3886" s="129"/>
      <c r="N3886" s="351"/>
      <c r="O3886" s="21"/>
    </row>
    <row r="3887" spans="1:15" hidden="1" outlineLevel="1" x14ac:dyDescent="0.25">
      <c r="A3887" s="1002">
        <v>0.03</v>
      </c>
      <c r="B3887" s="996" t="s">
        <v>2831</v>
      </c>
      <c r="C3887" s="1086">
        <v>96.522999999999996</v>
      </c>
      <c r="D3887" s="908">
        <v>58.71</v>
      </c>
      <c r="E3887" s="709">
        <v>-0.3917511888358215</v>
      </c>
      <c r="F3887" s="946">
        <v>-1.1752535665074644E-2</v>
      </c>
      <c r="G3887" s="78"/>
      <c r="H3887" t="s">
        <v>2841</v>
      </c>
      <c r="I3887" s="129"/>
      <c r="N3887" s="351"/>
      <c r="O3887" s="21"/>
    </row>
    <row r="3888" spans="1:15" hidden="1" outlineLevel="1" x14ac:dyDescent="0.25">
      <c r="A3888" s="1002">
        <v>0.02</v>
      </c>
      <c r="B3888" s="996" t="s">
        <v>2834</v>
      </c>
      <c r="C3888" s="1086">
        <v>33.545999999999999</v>
      </c>
      <c r="D3888" s="908">
        <v>7</v>
      </c>
      <c r="E3888" s="709">
        <v>-0.79133130626602277</v>
      </c>
      <c r="F3888" s="946">
        <v>-1.5826626125320455E-2</v>
      </c>
      <c r="G3888" s="78"/>
      <c r="H3888" t="s">
        <v>2877</v>
      </c>
      <c r="I3888" s="156"/>
      <c r="N3888" s="351"/>
      <c r="O3888" s="21"/>
    </row>
    <row r="3889" spans="1:15" hidden="1" outlineLevel="1" x14ac:dyDescent="0.25">
      <c r="A3889" s="1002">
        <v>0.05</v>
      </c>
      <c r="B3889" s="996" t="s">
        <v>3424</v>
      </c>
      <c r="C3889" s="1086">
        <v>32.914000000000001</v>
      </c>
      <c r="D3889" s="908">
        <v>32.619999999999997</v>
      </c>
      <c r="E3889" s="709">
        <v>-8.9323692045939485E-3</v>
      </c>
      <c r="F3889" s="946">
        <v>-4.4661846022969742E-4</v>
      </c>
      <c r="G3889" s="78"/>
      <c r="H3889" t="s">
        <v>3558</v>
      </c>
      <c r="I3889" s="129"/>
      <c r="N3889" s="351"/>
      <c r="O3889" s="21"/>
    </row>
    <row r="3890" spans="1:15" hidden="1" outlineLevel="1" x14ac:dyDescent="0.25">
      <c r="A3890" s="1002">
        <v>0.02</v>
      </c>
      <c r="B3890" s="996" t="s">
        <v>2832</v>
      </c>
      <c r="C3890" s="1086">
        <v>17.183</v>
      </c>
      <c r="D3890" s="908">
        <v>17.510000000000002</v>
      </c>
      <c r="E3890" s="709">
        <v>1.903043705988483E-2</v>
      </c>
      <c r="F3890" s="946">
        <v>3.8060874119769664E-4</v>
      </c>
      <c r="G3890" s="78"/>
      <c r="H3890" t="e">
        <v>#N/A</v>
      </c>
      <c r="I3890" s="129"/>
      <c r="M3890" s="21"/>
      <c r="N3890" s="351"/>
      <c r="O3890" s="21"/>
    </row>
    <row r="3891" spans="1:15" hidden="1" outlineLevel="1" x14ac:dyDescent="0.25">
      <c r="A3891" s="1002">
        <v>0.02</v>
      </c>
      <c r="B3891" s="996" t="s">
        <v>3305</v>
      </c>
      <c r="C3891" s="1086">
        <v>34.366</v>
      </c>
      <c r="D3891" s="908">
        <v>37.51</v>
      </c>
      <c r="E3891" s="709">
        <v>9.1485770819996537E-2</v>
      </c>
      <c r="F3891" s="946">
        <v>1.8297154163999308E-3</v>
      </c>
      <c r="G3891" s="78"/>
      <c r="H3891" t="s">
        <v>2013</v>
      </c>
      <c r="I3891" s="129"/>
      <c r="M3891" s="21"/>
      <c r="N3891" s="351"/>
      <c r="O3891" s="21"/>
    </row>
    <row r="3892" spans="1:15" hidden="1" outlineLevel="1" x14ac:dyDescent="0.25">
      <c r="A3892" s="1002">
        <v>0.05</v>
      </c>
      <c r="B3892" s="996" t="s">
        <v>2137</v>
      </c>
      <c r="C3892" s="1086">
        <v>32.950000000000003</v>
      </c>
      <c r="D3892" s="908">
        <v>26.97</v>
      </c>
      <c r="E3892" s="709">
        <v>-0.1814871016691959</v>
      </c>
      <c r="F3892" s="946">
        <v>-9.0743550834597956E-3</v>
      </c>
      <c r="G3892" s="78"/>
      <c r="H3892" t="s">
        <v>2123</v>
      </c>
      <c r="I3892" s="129"/>
      <c r="J3892" s="344"/>
      <c r="K3892" s="21"/>
      <c r="L3892" s="21"/>
      <c r="M3892" s="21"/>
      <c r="N3892" s="351"/>
      <c r="O3892" s="21"/>
    </row>
    <row r="3893" spans="1:15" hidden="1" outlineLevel="1" x14ac:dyDescent="0.25">
      <c r="A3893" s="1002">
        <v>0.05</v>
      </c>
      <c r="B3893" s="743" t="s">
        <v>255</v>
      </c>
      <c r="C3893" s="1086">
        <v>38.82</v>
      </c>
      <c r="D3893" s="908">
        <v>35.78</v>
      </c>
      <c r="E3893" s="709">
        <v>-7.8310149407521901E-2</v>
      </c>
      <c r="F3893" s="946">
        <v>-3.9155074703760952E-3</v>
      </c>
      <c r="G3893" s="78"/>
      <c r="H3893" t="s">
        <v>3351</v>
      </c>
      <c r="I3893" s="129"/>
      <c r="J3893" s="84"/>
      <c r="K3893" s="81"/>
      <c r="L3893" s="155"/>
      <c r="M3893" s="21"/>
      <c r="N3893" s="351"/>
      <c r="O3893" s="21"/>
    </row>
    <row r="3894" spans="1:15" hidden="1" outlineLevel="1" x14ac:dyDescent="0.25">
      <c r="A3894" s="1002">
        <v>0.05</v>
      </c>
      <c r="B3894" s="996" t="s">
        <v>3817</v>
      </c>
      <c r="C3894" s="1086">
        <v>275.66462519999999</v>
      </c>
      <c r="D3894" s="908">
        <v>30.99</v>
      </c>
      <c r="E3894" s="709">
        <v>-0.88758078778691263</v>
      </c>
      <c r="F3894" s="946">
        <v>-4.4379039389345634E-2</v>
      </c>
      <c r="G3894" s="78"/>
      <c r="H3894" t="s">
        <v>1914</v>
      </c>
      <c r="I3894" s="129"/>
      <c r="J3894" s="84"/>
      <c r="K3894" s="81"/>
      <c r="L3894" s="155"/>
      <c r="M3894" s="21"/>
      <c r="N3894" s="351"/>
      <c r="O3894" s="21"/>
    </row>
    <row r="3895" spans="1:15" hidden="1" outlineLevel="1" x14ac:dyDescent="0.25">
      <c r="A3895" s="1002">
        <v>0.02</v>
      </c>
      <c r="B3895" s="996" t="s">
        <v>164</v>
      </c>
      <c r="C3895" s="1086">
        <v>48.423999999999999</v>
      </c>
      <c r="D3895" s="908">
        <v>68.489999999999995</v>
      </c>
      <c r="E3895" s="709">
        <v>0.41438129852965466</v>
      </c>
      <c r="F3895" s="946">
        <v>8.2876259705930936E-3</v>
      </c>
      <c r="G3895" s="78"/>
      <c r="H3895" t="s">
        <v>2618</v>
      </c>
      <c r="I3895" s="129"/>
      <c r="J3895" s="84"/>
      <c r="K3895" s="81"/>
      <c r="L3895" s="155"/>
      <c r="M3895" s="21"/>
      <c r="N3895" s="351"/>
      <c r="O3895" s="21"/>
    </row>
    <row r="3896" spans="1:15" hidden="1" outlineLevel="1" x14ac:dyDescent="0.25">
      <c r="A3896" s="1002">
        <v>0.02</v>
      </c>
      <c r="B3896" s="996" t="s">
        <v>2833</v>
      </c>
      <c r="C3896" s="1086">
        <v>112.35</v>
      </c>
      <c r="D3896" s="908">
        <v>180.34</v>
      </c>
      <c r="E3896" s="709">
        <v>0.6051624388072987</v>
      </c>
      <c r="F3896" s="946">
        <v>1.2103248776145974E-2</v>
      </c>
      <c r="G3896" s="78"/>
      <c r="H3896" t="s">
        <v>59</v>
      </c>
      <c r="I3896" s="129"/>
      <c r="J3896" s="84"/>
      <c r="K3896" s="81"/>
      <c r="L3896" s="155"/>
      <c r="M3896" s="21"/>
      <c r="N3896" s="351"/>
      <c r="O3896" s="21"/>
    </row>
    <row r="3897" spans="1:15" hidden="1" outlineLevel="1" x14ac:dyDescent="0.25">
      <c r="A3897" s="1004"/>
      <c r="B3897" s="997"/>
      <c r="C3897" s="1087"/>
      <c r="D3897" s="715"/>
      <c r="E3897" s="716"/>
      <c r="F3897" s="1023"/>
      <c r="G3897" s="78"/>
      <c r="I3897" s="129"/>
      <c r="J3897" s="84"/>
      <c r="K3897" s="81"/>
      <c r="L3897" s="155"/>
      <c r="M3897" s="21"/>
      <c r="N3897" s="21"/>
      <c r="O3897" s="21"/>
    </row>
    <row r="3898" spans="1:15" hidden="1" outlineLevel="1" x14ac:dyDescent="0.25">
      <c r="A3898" s="749"/>
      <c r="B3898" s="750"/>
      <c r="C3898" s="727"/>
      <c r="D3898" s="727"/>
      <c r="E3898" s="716"/>
      <c r="F3898" s="770">
        <v>-0.21794990195862629</v>
      </c>
      <c r="G3898" s="78"/>
      <c r="H3898" s="101">
        <v>0.78205009804137371</v>
      </c>
      <c r="I3898" s="21"/>
      <c r="J3898" s="84"/>
      <c r="K3898" s="81"/>
      <c r="L3898" s="155"/>
      <c r="M3898" s="21"/>
    </row>
    <row r="3899" spans="1:15" collapsed="1" x14ac:dyDescent="0.25">
      <c r="A3899" s="3801" t="s">
        <v>284</v>
      </c>
      <c r="B3899" s="3802"/>
      <c r="C3899" s="3802"/>
      <c r="D3899" s="3802"/>
      <c r="E3899" s="721"/>
      <c r="F3899" s="722">
        <f>MAX(F3898*parametry!N148,0)</f>
        <v>0</v>
      </c>
      <c r="G3899" s="97" t="s">
        <v>781</v>
      </c>
      <c r="J3899" s="84"/>
      <c r="K3899" s="81"/>
      <c r="L3899" s="155"/>
      <c r="M3899" s="21"/>
    </row>
    <row r="3900" spans="1:15" x14ac:dyDescent="0.25">
      <c r="A3900" s="1"/>
      <c r="B3900" s="1"/>
      <c r="C3900" s="1"/>
      <c r="D3900" s="1"/>
      <c r="E3900" s="1"/>
      <c r="F3900" s="1848"/>
      <c r="G3900" s="78"/>
      <c r="J3900" s="84"/>
      <c r="K3900" s="81"/>
      <c r="L3900" s="155"/>
      <c r="M3900" s="21"/>
    </row>
    <row r="3901" spans="1:15" hidden="1" outlineLevel="1" x14ac:dyDescent="0.25">
      <c r="A3901" s="689" t="s">
        <v>113</v>
      </c>
      <c r="B3901" s="689" t="s">
        <v>114</v>
      </c>
      <c r="C3901" s="689" t="s">
        <v>112</v>
      </c>
      <c r="D3901" s="689" t="s">
        <v>116</v>
      </c>
      <c r="E3901" s="689" t="s">
        <v>117</v>
      </c>
      <c r="F3901" s="1188" t="s">
        <v>121</v>
      </c>
      <c r="G3901" s="78"/>
      <c r="J3901" s="21"/>
      <c r="K3901" s="21"/>
      <c r="L3901" s="21"/>
    </row>
    <row r="3902" spans="1:15" hidden="1" outlineLevel="1" x14ac:dyDescent="0.25">
      <c r="A3902" s="690">
        <v>1</v>
      </c>
      <c r="B3902" s="691" t="s">
        <v>252</v>
      </c>
      <c r="C3902" s="692">
        <v>100</v>
      </c>
      <c r="D3902" s="692"/>
      <c r="E3902" s="693"/>
      <c r="F3902" s="694"/>
      <c r="G3902" s="78"/>
      <c r="J3902" s="21"/>
      <c r="K3902" s="21"/>
      <c r="L3902" s="21"/>
    </row>
    <row r="3903" spans="1:15" hidden="1" outlineLevel="1" x14ac:dyDescent="0.25">
      <c r="A3903" s="695"/>
      <c r="B3903" s="695"/>
      <c r="C3903" s="696"/>
      <c r="D3903" s="697" t="s">
        <v>3702</v>
      </c>
      <c r="E3903" s="698">
        <f>indexy!$B$2</f>
        <v>45379</v>
      </c>
      <c r="F3903" s="699"/>
      <c r="G3903" s="78"/>
    </row>
    <row r="3904" spans="1:15" hidden="1" outlineLevel="1" x14ac:dyDescent="0.25">
      <c r="A3904" s="689" t="s">
        <v>4156</v>
      </c>
      <c r="B3904" s="689" t="s">
        <v>4153</v>
      </c>
      <c r="C3904" s="497" t="s">
        <v>112</v>
      </c>
      <c r="D3904" s="495" t="s">
        <v>4155</v>
      </c>
      <c r="E3904" s="689" t="s">
        <v>4154</v>
      </c>
      <c r="F3904" s="1021" t="s">
        <v>2519</v>
      </c>
      <c r="G3904" s="78"/>
    </row>
    <row r="3905" spans="1:9" hidden="1" outlineLevel="1" x14ac:dyDescent="0.25">
      <c r="A3905" s="999">
        <v>0.05</v>
      </c>
      <c r="B3905" s="1000" t="s">
        <v>3798</v>
      </c>
      <c r="C3905" s="1007">
        <v>7.9122000000000003</v>
      </c>
      <c r="D3905" s="803">
        <v>4.5039999999999996</v>
      </c>
      <c r="E3905" s="705">
        <f>D3905/C3905-1</f>
        <v>-0.43075250878390337</v>
      </c>
      <c r="F3905" s="1021">
        <f>E3905*A3905</f>
        <v>-2.1537625439195171E-2</v>
      </c>
      <c r="G3905" s="78"/>
      <c r="H3905" t="str">
        <f>VLOOKUP(B3905,indexy!$A$44:$D$234,3,FALSE)</f>
        <v>ENEL IM Equity</v>
      </c>
    </row>
    <row r="3906" spans="1:9" hidden="1" outlineLevel="1" x14ac:dyDescent="0.25">
      <c r="A3906" s="1002">
        <v>0.04</v>
      </c>
      <c r="B3906" s="996" t="s">
        <v>2630</v>
      </c>
      <c r="C3906" s="1008">
        <v>20.457999999999998</v>
      </c>
      <c r="D3906" s="908">
        <v>14.664999999999999</v>
      </c>
      <c r="E3906" s="709">
        <f t="shared" ref="E3906:E3934" si="143">D3906/C3906-1</f>
        <v>-0.28316550982500732</v>
      </c>
      <c r="F3906" s="946">
        <f t="shared" ref="F3906:F3934" si="144">E3906*A3906</f>
        <v>-1.1326620393000293E-2</v>
      </c>
      <c r="G3906" s="78"/>
      <c r="H3906" t="e">
        <f>VLOOKUP(B3906,indexy!$A$44:$D$234,3,FALSE)</f>
        <v>#N/A</v>
      </c>
    </row>
    <row r="3907" spans="1:9" hidden="1" outlineLevel="1" x14ac:dyDescent="0.25">
      <c r="A3907" s="1002">
        <v>0.04</v>
      </c>
      <c r="B3907" s="996" t="s">
        <v>2983</v>
      </c>
      <c r="C3907" s="1008">
        <f>7.0675*100</f>
        <v>706.75</v>
      </c>
      <c r="D3907" s="908">
        <v>599</v>
      </c>
      <c r="E3907" s="709">
        <f t="shared" si="143"/>
        <v>-0.15245843650512914</v>
      </c>
      <c r="F3907" s="946">
        <f t="shared" si="144"/>
        <v>-6.0983374602051653E-3</v>
      </c>
      <c r="G3907" s="78"/>
      <c r="H3907" t="str">
        <f>VLOOKUP(B3907,indexy!$A$44:$D$234,3,FALSE)</f>
        <v>UU/ LN Equity</v>
      </c>
      <c r="I3907" s="93"/>
    </row>
    <row r="3908" spans="1:9" hidden="1" outlineLevel="1" x14ac:dyDescent="0.25">
      <c r="A3908" s="1002">
        <v>0.05</v>
      </c>
      <c r="B3908" s="996" t="s">
        <v>2629</v>
      </c>
      <c r="C3908" s="1008">
        <v>13.493</v>
      </c>
      <c r="D3908" s="908">
        <v>10.815</v>
      </c>
      <c r="E3908" s="709">
        <f t="shared" si="143"/>
        <v>-0.1984732824427482</v>
      </c>
      <c r="F3908" s="946">
        <f t="shared" si="144"/>
        <v>-9.92366412213741E-3</v>
      </c>
      <c r="G3908" s="78"/>
      <c r="H3908" t="str">
        <f>VLOOKUP(B3908,indexy!$A$44:$D$234,3,FALSE)</f>
        <v>DTE GY Equity</v>
      </c>
      <c r="I3908" s="61"/>
    </row>
    <row r="3909" spans="1:9" hidden="1" outlineLevel="1" x14ac:dyDescent="0.25">
      <c r="A3909" s="1002">
        <v>0.04</v>
      </c>
      <c r="B3909" s="996" t="s">
        <v>1527</v>
      </c>
      <c r="C3909" s="1008">
        <v>2.0701999999999998</v>
      </c>
      <c r="D3909" s="908">
        <v>0.95950000000000002</v>
      </c>
      <c r="E3909" s="709">
        <f t="shared" si="143"/>
        <v>-0.5365182108008888</v>
      </c>
      <c r="F3909" s="946">
        <f t="shared" si="144"/>
        <v>-2.1460728432035552E-2</v>
      </c>
      <c r="G3909" s="78"/>
      <c r="H3909" t="str">
        <f>VLOOKUP(B3909,indexy!$A$44:$D$234,3,FALSE)</f>
        <v>TIT IM Equity</v>
      </c>
    </row>
    <row r="3910" spans="1:9" hidden="1" outlineLevel="1" x14ac:dyDescent="0.25">
      <c r="A3910" s="1002">
        <v>0.05</v>
      </c>
      <c r="B3910" s="996" t="s">
        <v>576</v>
      </c>
      <c r="C3910" s="1008">
        <v>20.536999999999999</v>
      </c>
      <c r="D3910" s="908">
        <v>7.48</v>
      </c>
      <c r="E3910" s="709">
        <f t="shared" si="143"/>
        <v>-0.63577932512051416</v>
      </c>
      <c r="F3910" s="946">
        <f t="shared" si="144"/>
        <v>-3.1788966256025709E-2</v>
      </c>
      <c r="G3910" s="78"/>
      <c r="H3910" t="e">
        <f>VLOOKUP(B3910,indexy!$A$44:$D$234,3,FALSE)</f>
        <v>#N/A</v>
      </c>
    </row>
    <row r="3911" spans="1:9" hidden="1" outlineLevel="1" x14ac:dyDescent="0.25">
      <c r="A3911" s="1002">
        <v>0.05</v>
      </c>
      <c r="B3911" s="996" t="s">
        <v>157</v>
      </c>
      <c r="C3911" s="1008">
        <v>13.4979</v>
      </c>
      <c r="D3911" s="908">
        <v>7.9630000000000001</v>
      </c>
      <c r="E3911" s="709">
        <f t="shared" si="143"/>
        <v>-0.41005637914045889</v>
      </c>
      <c r="F3911" s="946">
        <f t="shared" si="144"/>
        <v>-2.0502818957022946E-2</v>
      </c>
      <c r="G3911" s="78"/>
      <c r="H3911" t="str">
        <f>VLOOKUP(B3911,indexy!$A$44:$D$234,3,FALSE)</f>
        <v>SAN SM Equity</v>
      </c>
      <c r="I3911" s="106"/>
    </row>
    <row r="3912" spans="1:9" hidden="1" outlineLevel="1" x14ac:dyDescent="0.25">
      <c r="A3912" s="1002">
        <v>0.04</v>
      </c>
      <c r="B3912" s="996" t="s">
        <v>3427</v>
      </c>
      <c r="C3912" s="1008">
        <v>34.398000000000003</v>
      </c>
      <c r="D3912" s="908">
        <v>40.380000000000003</v>
      </c>
      <c r="E3912" s="709">
        <f t="shared" si="143"/>
        <v>0.17390545961974535</v>
      </c>
      <c r="F3912" s="946">
        <f t="shared" si="144"/>
        <v>6.9562183847898139E-3</v>
      </c>
      <c r="G3912" s="78"/>
      <c r="H3912" t="str">
        <f>VLOOKUP(B3912,indexy!$A$44:$D$234,3,FALSE)</f>
        <v>SO UN Equity</v>
      </c>
      <c r="I3912" s="62"/>
    </row>
    <row r="3913" spans="1:9" hidden="1" outlineLevel="1" x14ac:dyDescent="0.25">
      <c r="A3913" s="1002">
        <v>0.04</v>
      </c>
      <c r="B3913" s="996" t="s">
        <v>1994</v>
      </c>
      <c r="C3913" s="1008">
        <v>49.106999999999999</v>
      </c>
      <c r="D3913" s="908">
        <v>10.96</v>
      </c>
      <c r="E3913" s="709">
        <f t="shared" si="143"/>
        <v>-0.77681389618587982</v>
      </c>
      <c r="F3913" s="946">
        <f t="shared" si="144"/>
        <v>-3.1072555847435193E-2</v>
      </c>
      <c r="G3913" s="78"/>
      <c r="H3913" t="str">
        <f>VLOOKUP(B3913,indexy!$A$44:$D$234,3,FALSE)</f>
        <v>BAC UN Equity</v>
      </c>
    </row>
    <row r="3914" spans="1:9" hidden="1" outlineLevel="1" x14ac:dyDescent="0.25">
      <c r="A3914" s="1002">
        <v>0.04</v>
      </c>
      <c r="B3914" s="996" t="s">
        <v>1847</v>
      </c>
      <c r="C3914" s="1008">
        <f>51.748*10</f>
        <v>517.48</v>
      </c>
      <c r="D3914" s="908">
        <v>41.64</v>
      </c>
      <c r="E3914" s="709">
        <f t="shared" si="143"/>
        <v>-0.91953312205302618</v>
      </c>
      <c r="F3914" s="946">
        <f t="shared" si="144"/>
        <v>-3.6781324882121047E-2</v>
      </c>
      <c r="G3914" s="78"/>
      <c r="H3914" t="str">
        <f>VLOOKUP(B3914,indexy!$A$44:$D$234,3,FALSE)</f>
        <v>C UN Equity</v>
      </c>
    </row>
    <row r="3915" spans="1:9" hidden="1" outlineLevel="1" x14ac:dyDescent="0.25">
      <c r="A3915" s="1002">
        <v>0.03</v>
      </c>
      <c r="B3915" s="996" t="s">
        <v>44</v>
      </c>
      <c r="C3915" s="1008">
        <v>5.4196999999999997</v>
      </c>
      <c r="D3915" s="908">
        <v>1.8359999999999999</v>
      </c>
      <c r="E3915" s="709">
        <f t="shared" si="143"/>
        <v>-0.6612358617635663</v>
      </c>
      <c r="F3915" s="946">
        <f t="shared" si="144"/>
        <v>-1.9837075852906987E-2</v>
      </c>
      <c r="G3915" s="78"/>
      <c r="H3915" t="str">
        <f>VLOOKUP(B3915,indexy!$A$44:$D$234,3,FALSE)</f>
        <v>ISP IM Equity</v>
      </c>
    </row>
    <row r="3916" spans="1:9" hidden="1" outlineLevel="1" x14ac:dyDescent="0.25">
      <c r="A3916" s="1002">
        <v>0.04</v>
      </c>
      <c r="B3916" s="996" t="s">
        <v>3801</v>
      </c>
      <c r="C3916" s="1008">
        <v>80.478999999999999</v>
      </c>
      <c r="D3916" s="908">
        <v>38.234999999999999</v>
      </c>
      <c r="E3916" s="709">
        <f t="shared" si="143"/>
        <v>-0.5249071186272195</v>
      </c>
      <c r="F3916" s="946">
        <f t="shared" si="144"/>
        <v>-2.0996284745088779E-2</v>
      </c>
      <c r="G3916" s="78"/>
      <c r="H3916" t="str">
        <f>VLOOKUP(B3916,indexy!$A$44:$D$234,3,FALSE)</f>
        <v>RWE GY Equity</v>
      </c>
    </row>
    <row r="3917" spans="1:9" hidden="1" outlineLevel="1" x14ac:dyDescent="0.25">
      <c r="A3917" s="1002">
        <v>0.04</v>
      </c>
      <c r="B3917" s="996" t="s">
        <v>3792</v>
      </c>
      <c r="C3917" s="1008">
        <v>59.152999999999999</v>
      </c>
      <c r="D3917" s="908">
        <v>34.57</v>
      </c>
      <c r="E3917" s="709">
        <f t="shared" si="143"/>
        <v>-0.41558331783679614</v>
      </c>
      <c r="F3917" s="946">
        <f t="shared" si="144"/>
        <v>-1.6623332713471845E-2</v>
      </c>
      <c r="G3917" s="78"/>
      <c r="H3917" t="str">
        <f>VLOOKUP(B3917,indexy!$A$44:$D$234,3,FALSE)</f>
        <v>CMA UN Equity</v>
      </c>
    </row>
    <row r="3918" spans="1:9" hidden="1" outlineLevel="1" x14ac:dyDescent="0.25">
      <c r="A3918" s="1002">
        <v>0.03</v>
      </c>
      <c r="B3918" s="996" t="s">
        <v>4110</v>
      </c>
      <c r="C3918" s="1008">
        <f>87.707/2</f>
        <v>43.853499999999997</v>
      </c>
      <c r="D3918" s="908">
        <v>48.27</v>
      </c>
      <c r="E3918" s="709">
        <f t="shared" si="143"/>
        <v>0.10071031958680621</v>
      </c>
      <c r="F3918" s="946">
        <f t="shared" si="144"/>
        <v>3.021309587604186E-3</v>
      </c>
      <c r="G3918" s="78"/>
      <c r="H3918" t="e">
        <f>VLOOKUP(B3918,indexy!$A$44:$D$234,3,FALSE)</f>
        <v>#N/A</v>
      </c>
    </row>
    <row r="3919" spans="1:9" hidden="1" outlineLevel="1" x14ac:dyDescent="0.25">
      <c r="A3919" s="1002">
        <v>0.03</v>
      </c>
      <c r="B3919" s="996" t="s">
        <v>1031</v>
      </c>
      <c r="C3919" s="1008">
        <v>10.177250000000001</v>
      </c>
      <c r="D3919" s="908">
        <v>6.1370000000000005</v>
      </c>
      <c r="E3919" s="709">
        <f t="shared" si="143"/>
        <v>-0.39698838094770195</v>
      </c>
      <c r="F3919" s="946">
        <f t="shared" si="144"/>
        <v>-1.1909651428431058E-2</v>
      </c>
      <c r="G3919" s="78"/>
      <c r="H3919" t="str">
        <f>VLOOKUP(B3919,indexy!$A$44:$D$234,3,FALSE)</f>
        <v>IBE SQ Equity</v>
      </c>
    </row>
    <row r="3920" spans="1:9" hidden="1" outlineLevel="1" x14ac:dyDescent="0.25">
      <c r="A3920" s="1002">
        <v>0.02</v>
      </c>
      <c r="B3920" s="996" t="s">
        <v>281</v>
      </c>
      <c r="C3920" s="1008">
        <v>35.430999999999997</v>
      </c>
      <c r="D3920" s="908">
        <v>8.33</v>
      </c>
      <c r="E3920" s="709">
        <f t="shared" si="143"/>
        <v>-0.76489514831644601</v>
      </c>
      <c r="F3920" s="946">
        <f t="shared" si="144"/>
        <v>-1.529790296632892E-2</v>
      </c>
      <c r="G3920" s="78"/>
      <c r="H3920" t="str">
        <f>VLOOKUP(B3920,indexy!$A$44:$D$234,3,FALSE)</f>
        <v>KEY UN Equity</v>
      </c>
    </row>
    <row r="3921" spans="1:9" hidden="1" outlineLevel="1" x14ac:dyDescent="0.25">
      <c r="A3921" s="1002">
        <v>0.03</v>
      </c>
      <c r="B3921" s="939" t="s">
        <v>2984</v>
      </c>
      <c r="C3921" s="1008">
        <v>18.178999999999998</v>
      </c>
      <c r="D3921" s="908">
        <v>8.09</v>
      </c>
      <c r="E3921" s="709">
        <f t="shared" si="143"/>
        <v>-0.55498102205841904</v>
      </c>
      <c r="F3921" s="946">
        <f t="shared" si="144"/>
        <v>-1.6649430661752569E-2</v>
      </c>
      <c r="G3921" s="78"/>
      <c r="H3921" t="str">
        <f>VLOOKUP(B3921,indexy!$A$44:$D$234,3,FALSE)</f>
        <v>BBVA SM Equity</v>
      </c>
    </row>
    <row r="3922" spans="1:9" hidden="1" outlineLevel="1" x14ac:dyDescent="0.25">
      <c r="A3922" s="1002">
        <v>0.03</v>
      </c>
      <c r="B3922" s="996" t="s">
        <v>2166</v>
      </c>
      <c r="C3922" s="1008">
        <v>136.84399999999999</v>
      </c>
      <c r="D3922" s="908">
        <v>40.92</v>
      </c>
      <c r="E3922" s="709">
        <f t="shared" si="143"/>
        <v>-0.70097337113793801</v>
      </c>
      <c r="F3922" s="946">
        <f t="shared" si="144"/>
        <v>-2.1029201134138139E-2</v>
      </c>
      <c r="G3922" s="78"/>
      <c r="H3922" t="str">
        <f>VLOOKUP(B3922,indexy!$A$44:$D$234,3,FALSE)</f>
        <v>GLE FP Equity</v>
      </c>
    </row>
    <row r="3923" spans="1:9" hidden="1" outlineLevel="1" x14ac:dyDescent="0.25">
      <c r="A3923" s="1002">
        <v>0.02</v>
      </c>
      <c r="B3923" s="996" t="s">
        <v>3656</v>
      </c>
      <c r="C3923" s="1008">
        <v>148.27500000000001</v>
      </c>
      <c r="D3923" s="908">
        <v>183</v>
      </c>
      <c r="E3923" s="709">
        <f t="shared" si="143"/>
        <v>0.23419322205361648</v>
      </c>
      <c r="F3923" s="946">
        <f t="shared" si="144"/>
        <v>4.68386444107233E-3</v>
      </c>
      <c r="G3923" s="78"/>
      <c r="H3923" t="str">
        <f>VLOOKUP(B3923,indexy!$A$44:$D$234,3,FALSE)</f>
        <v>SKFB SS Equity</v>
      </c>
    </row>
    <row r="3924" spans="1:9" hidden="1" outlineLevel="1" x14ac:dyDescent="0.25">
      <c r="A3924" s="1002">
        <v>0.03</v>
      </c>
      <c r="B3924" s="996" t="s">
        <v>901</v>
      </c>
      <c r="C3924" s="1008">
        <f>16.55*100</f>
        <v>1655</v>
      </c>
      <c r="D3924" s="908">
        <v>2731</v>
      </c>
      <c r="E3924" s="709">
        <f t="shared" si="143"/>
        <v>0.65015105740181278</v>
      </c>
      <c r="F3924" s="946">
        <f t="shared" si="144"/>
        <v>1.9504531722054384E-2</v>
      </c>
      <c r="G3924" s="78"/>
      <c r="H3924" t="str">
        <f>VLOOKUP(B3924,indexy!$A$44:$D$234,3,FALSE)</f>
        <v>BATS LN Equity</v>
      </c>
      <c r="I3924" s="61"/>
    </row>
    <row r="3925" spans="1:9" hidden="1" outlineLevel="1" x14ac:dyDescent="0.25">
      <c r="A3925" s="1002">
        <v>0.02</v>
      </c>
      <c r="B3925" s="996" t="s">
        <v>4025</v>
      </c>
      <c r="C3925" s="1008">
        <v>67.835999999999999</v>
      </c>
      <c r="D3925" s="908">
        <v>51.9</v>
      </c>
      <c r="E3925" s="709">
        <f t="shared" si="143"/>
        <v>-0.23491951176366532</v>
      </c>
      <c r="F3925" s="946">
        <f t="shared" si="144"/>
        <v>-4.6983902352733063E-3</v>
      </c>
      <c r="G3925" s="78"/>
      <c r="H3925" t="str">
        <f>VLOOKUP(B3925,indexy!$A$44:$D$234,3,FALSE)</f>
        <v>MBG GR Equity</v>
      </c>
    </row>
    <row r="3926" spans="1:9" hidden="1" outlineLevel="1" x14ac:dyDescent="0.25">
      <c r="A3926" s="1002">
        <v>0.02</v>
      </c>
      <c r="B3926" s="996" t="s">
        <v>1709</v>
      </c>
      <c r="C3926" s="1008">
        <v>146.6</v>
      </c>
      <c r="D3926" s="908">
        <v>110.9</v>
      </c>
      <c r="E3926" s="709">
        <f t="shared" si="143"/>
        <v>-0.24351978171896305</v>
      </c>
      <c r="F3926" s="946">
        <f t="shared" si="144"/>
        <v>-4.8703956343792614E-3</v>
      </c>
      <c r="G3926" s="78"/>
      <c r="H3926" t="str">
        <f>VLOOKUP(B3926,indexy!$A$44:$D$234,3,FALSE)</f>
        <v>SAND SS Equity</v>
      </c>
      <c r="I3926" s="61"/>
    </row>
    <row r="3927" spans="1:9" hidden="1" outlineLevel="1" x14ac:dyDescent="0.25">
      <c r="A3927" s="1002">
        <v>0.03</v>
      </c>
      <c r="B3927" s="996" t="s">
        <v>3020</v>
      </c>
      <c r="C3927" s="1008">
        <v>55.91</v>
      </c>
      <c r="D3927" s="908">
        <v>54.99</v>
      </c>
      <c r="E3927" s="709">
        <f t="shared" si="143"/>
        <v>-1.6455016991593574E-2</v>
      </c>
      <c r="F3927" s="946">
        <f t="shared" si="144"/>
        <v>-4.9365050974780722E-4</v>
      </c>
      <c r="G3927" s="78"/>
      <c r="H3927" t="str">
        <f>VLOOKUP(B3927,indexy!$A$44:$D$234,3,FALSE)</f>
        <v>BAYN GR Equity</v>
      </c>
    </row>
    <row r="3928" spans="1:9" hidden="1" outlineLevel="1" x14ac:dyDescent="0.25">
      <c r="A3928" s="1002">
        <v>0.03</v>
      </c>
      <c r="B3928" s="996" t="s">
        <v>181</v>
      </c>
      <c r="C3928" s="1008">
        <v>109.14</v>
      </c>
      <c r="D3928" s="908">
        <v>46.97</v>
      </c>
      <c r="E3928" s="709">
        <f t="shared" si="143"/>
        <v>-0.56963533076782114</v>
      </c>
      <c r="F3928" s="946">
        <f t="shared" si="144"/>
        <v>-1.7089059923034635E-2</v>
      </c>
      <c r="G3928" s="78"/>
      <c r="H3928" t="e">
        <f>VLOOKUP(B3928,indexy!$A$44:$D$234,3,FALSE)</f>
        <v>#N/A</v>
      </c>
    </row>
    <row r="3929" spans="1:9" hidden="1" outlineLevel="1" x14ac:dyDescent="0.25">
      <c r="A3929" s="1002">
        <v>0.03</v>
      </c>
      <c r="B3929" s="996" t="s">
        <v>279</v>
      </c>
      <c r="C3929" s="1008">
        <v>102.379</v>
      </c>
      <c r="D3929" s="908">
        <v>115.2</v>
      </c>
      <c r="E3929" s="709">
        <f t="shared" si="143"/>
        <v>0.12523076021449708</v>
      </c>
      <c r="F3929" s="946">
        <f t="shared" si="144"/>
        <v>3.7569228064349126E-3</v>
      </c>
      <c r="G3929" s="78"/>
      <c r="H3929" t="str">
        <f>VLOOKUP(B3929,indexy!$A$44:$D$234,3,FALSE)</f>
        <v>SU FP Equity</v>
      </c>
    </row>
    <row r="3930" spans="1:9" hidden="1" outlineLevel="1" x14ac:dyDescent="0.25">
      <c r="A3930" s="1002">
        <v>0.03</v>
      </c>
      <c r="B3930" s="996" t="s">
        <v>1526</v>
      </c>
      <c r="C3930" s="1008">
        <v>98.95</v>
      </c>
      <c r="D3930" s="908">
        <v>27.1</v>
      </c>
      <c r="E3930" s="709">
        <f t="shared" si="143"/>
        <v>-0.72612430520464888</v>
      </c>
      <c r="F3930" s="946">
        <f t="shared" si="144"/>
        <v>-2.1783729156139464E-2</v>
      </c>
      <c r="G3930" s="78"/>
      <c r="H3930" t="str">
        <f>VLOOKUP(B3930,indexy!$A$44:$D$234,3,FALSE)</f>
        <v>KBC BB Equity</v>
      </c>
    </row>
    <row r="3931" spans="1:9" hidden="1" outlineLevel="1" x14ac:dyDescent="0.25">
      <c r="A3931" s="1002">
        <v>0.02</v>
      </c>
      <c r="B3931" s="996" t="s">
        <v>1414</v>
      </c>
      <c r="C3931" s="1008">
        <v>25.585999999999999</v>
      </c>
      <c r="D3931" s="908">
        <v>20.6</v>
      </c>
      <c r="E3931" s="709">
        <f t="shared" si="143"/>
        <v>-0.19487219573204084</v>
      </c>
      <c r="F3931" s="946">
        <f t="shared" si="144"/>
        <v>-3.8974439146408171E-3</v>
      </c>
      <c r="G3931" s="78"/>
      <c r="H3931" t="str">
        <f>VLOOKUP(B3931,indexy!$A$44:$D$234,3,FALSE)</f>
        <v>PFE UN Equity</v>
      </c>
    </row>
    <row r="3932" spans="1:9" hidden="1" outlineLevel="1" x14ac:dyDescent="0.25">
      <c r="A3932" s="1002">
        <v>0.02</v>
      </c>
      <c r="B3932" s="996" t="s">
        <v>280</v>
      </c>
      <c r="C3932" s="1008">
        <v>63.905000000000001</v>
      </c>
      <c r="D3932" s="908">
        <v>43.5</v>
      </c>
      <c r="E3932" s="709">
        <f t="shared" si="143"/>
        <v>-0.31930208903841639</v>
      </c>
      <c r="F3932" s="946">
        <f t="shared" si="144"/>
        <v>-6.3860417807683279E-3</v>
      </c>
      <c r="G3932" s="78"/>
      <c r="H3932" t="str">
        <f>VLOOKUP(B3932,indexy!$A$44:$D$234,3,FALSE)</f>
        <v>AKZA NA Equity</v>
      </c>
    </row>
    <row r="3933" spans="1:9" hidden="1" outlineLevel="1" x14ac:dyDescent="0.25">
      <c r="A3933" s="1002">
        <v>0.03</v>
      </c>
      <c r="B3933" s="996" t="s">
        <v>51</v>
      </c>
      <c r="C3933" s="1008">
        <v>83.846999999999994</v>
      </c>
      <c r="D3933" s="908">
        <v>44.655000000000001</v>
      </c>
      <c r="E3933" s="709">
        <f t="shared" si="143"/>
        <v>-0.46742280582489526</v>
      </c>
      <c r="F3933" s="946">
        <f t="shared" si="144"/>
        <v>-1.4022684174746858E-2</v>
      </c>
      <c r="G3933" s="78"/>
      <c r="H3933" t="str">
        <f>VLOOKUP(B3933,indexy!$A$44:$D$234,3,FALSE)</f>
        <v>SGO FP Equity</v>
      </c>
    </row>
    <row r="3934" spans="1:9" hidden="1" outlineLevel="1" x14ac:dyDescent="0.25">
      <c r="A3934" s="1004">
        <v>0.03</v>
      </c>
      <c r="B3934" s="997" t="s">
        <v>3022</v>
      </c>
      <c r="C3934" s="1009">
        <v>8020</v>
      </c>
      <c r="D3934" s="715">
        <v>3715</v>
      </c>
      <c r="E3934" s="716">
        <f t="shared" si="143"/>
        <v>-0.53678304239401498</v>
      </c>
      <c r="F3934" s="1023">
        <f t="shared" si="144"/>
        <v>-1.6103491271820449E-2</v>
      </c>
      <c r="G3934" s="78"/>
      <c r="H3934" t="str">
        <f>VLOOKUP(B3934,indexy!$A$44:$D$234,3,FALSE)</f>
        <v>4502 JT Equity</v>
      </c>
    </row>
    <row r="3935" spans="1:9" hidden="1" outlineLevel="1" x14ac:dyDescent="0.25">
      <c r="A3935" s="749"/>
      <c r="B3935" s="750"/>
      <c r="C3935" s="727"/>
      <c r="D3935" s="727"/>
      <c r="E3935" s="716"/>
      <c r="F3935" s="770">
        <v>-0.35249999999999998</v>
      </c>
      <c r="G3935" s="78"/>
      <c r="I3935" s="37"/>
    </row>
    <row r="3936" spans="1:9" hidden="1" outlineLevel="1" x14ac:dyDescent="0.25">
      <c r="A3936" s="749"/>
      <c r="B3936" s="750"/>
      <c r="C3936" s="727"/>
      <c r="D3936" s="727"/>
      <c r="E3936" s="716"/>
      <c r="F3936" s="770"/>
      <c r="G3936" s="78"/>
    </row>
    <row r="3937" spans="1:9" hidden="1" outlineLevel="1" x14ac:dyDescent="0.25">
      <c r="A3937" s="962" t="s">
        <v>3436</v>
      </c>
      <c r="B3937" s="985">
        <v>39326</v>
      </c>
      <c r="C3937" s="727">
        <v>100</v>
      </c>
      <c r="D3937" s="814">
        <v>98.029600000000002</v>
      </c>
      <c r="E3937" s="716">
        <f t="shared" ref="E3937:E3952" si="145">D3937/C3937-1</f>
        <v>-1.9703999999999944E-2</v>
      </c>
      <c r="F3937" s="731">
        <f>E3937</f>
        <v>-1.9703999999999944E-2</v>
      </c>
      <c r="G3937" s="78"/>
    </row>
    <row r="3938" spans="1:9" hidden="1" outlineLevel="1" x14ac:dyDescent="0.25">
      <c r="A3938" s="962" t="s">
        <v>3437</v>
      </c>
      <c r="B3938" s="985">
        <v>39417</v>
      </c>
      <c r="C3938" s="727">
        <v>100</v>
      </c>
      <c r="D3938" s="814">
        <v>95.436099999999996</v>
      </c>
      <c r="E3938" s="716">
        <f t="shared" si="145"/>
        <v>-4.5638999999999985E-2</v>
      </c>
      <c r="F3938" s="731">
        <f t="shared" ref="F3938:F3952" si="146">E3938</f>
        <v>-4.5638999999999985E-2</v>
      </c>
      <c r="G3938" s="78"/>
    </row>
    <row r="3939" spans="1:9" hidden="1" outlineLevel="1" x14ac:dyDescent="0.25">
      <c r="A3939" s="962" t="s">
        <v>3438</v>
      </c>
      <c r="B3939" s="985">
        <v>39508</v>
      </c>
      <c r="C3939" s="727">
        <v>100</v>
      </c>
      <c r="D3939" s="814">
        <v>80.686400000000006</v>
      </c>
      <c r="E3939" s="716">
        <f t="shared" si="145"/>
        <v>-0.19313599999999997</v>
      </c>
      <c r="F3939" s="731">
        <f t="shared" si="146"/>
        <v>-0.19313599999999997</v>
      </c>
      <c r="G3939" s="78"/>
    </row>
    <row r="3940" spans="1:9" hidden="1" outlineLevel="1" x14ac:dyDescent="0.25">
      <c r="A3940" s="962" t="s">
        <v>3439</v>
      </c>
      <c r="B3940" s="985">
        <v>39600</v>
      </c>
      <c r="C3940" s="727">
        <v>100</v>
      </c>
      <c r="D3940" s="814">
        <v>72.1477</v>
      </c>
      <c r="E3940" s="716">
        <f t="shared" si="145"/>
        <v>-0.27852299999999997</v>
      </c>
      <c r="F3940" s="731">
        <f t="shared" si="146"/>
        <v>-0.27852299999999997</v>
      </c>
      <c r="G3940" s="78"/>
    </row>
    <row r="3941" spans="1:9" hidden="1" outlineLevel="1" x14ac:dyDescent="0.25">
      <c r="A3941" s="962" t="s">
        <v>3440</v>
      </c>
      <c r="B3941" s="985">
        <v>39692</v>
      </c>
      <c r="C3941" s="727">
        <v>100</v>
      </c>
      <c r="D3941" s="814">
        <v>70.264399999999995</v>
      </c>
      <c r="E3941" s="716">
        <f t="shared" si="145"/>
        <v>-0.29735600000000006</v>
      </c>
      <c r="F3941" s="731">
        <f t="shared" si="146"/>
        <v>-0.29735600000000006</v>
      </c>
      <c r="G3941" s="78"/>
    </row>
    <row r="3942" spans="1:9" hidden="1" outlineLevel="1" x14ac:dyDescent="0.25">
      <c r="A3942" s="962" t="s">
        <v>3441</v>
      </c>
      <c r="B3942" s="985">
        <v>39783</v>
      </c>
      <c r="C3942" s="727">
        <v>100</v>
      </c>
      <c r="D3942" s="814">
        <v>57.087600000000002</v>
      </c>
      <c r="E3942" s="716">
        <f t="shared" si="145"/>
        <v>-0.42912399999999995</v>
      </c>
      <c r="F3942" s="731">
        <f t="shared" si="146"/>
        <v>-0.42912399999999995</v>
      </c>
      <c r="G3942" s="78"/>
    </row>
    <row r="3943" spans="1:9" hidden="1" outlineLevel="1" x14ac:dyDescent="0.25">
      <c r="A3943" s="962" t="s">
        <v>3442</v>
      </c>
      <c r="B3943" s="985">
        <v>39873</v>
      </c>
      <c r="C3943" s="727">
        <v>100</v>
      </c>
      <c r="D3943" s="814">
        <v>45.414200000000001</v>
      </c>
      <c r="E3943" s="716">
        <f t="shared" si="145"/>
        <v>-0.54585799999999995</v>
      </c>
      <c r="F3943" s="731">
        <f t="shared" si="146"/>
        <v>-0.54585799999999995</v>
      </c>
      <c r="G3943" s="78"/>
    </row>
    <row r="3944" spans="1:9" hidden="1" outlineLevel="1" x14ac:dyDescent="0.25">
      <c r="A3944" s="962" t="s">
        <v>3443</v>
      </c>
      <c r="B3944" s="985">
        <v>39965</v>
      </c>
      <c r="C3944" s="727">
        <v>100</v>
      </c>
      <c r="D3944" s="814">
        <v>50.722799999999999</v>
      </c>
      <c r="E3944" s="716">
        <f t="shared" si="145"/>
        <v>-0.49277199999999999</v>
      </c>
      <c r="F3944" s="731">
        <f t="shared" si="146"/>
        <v>-0.49277199999999999</v>
      </c>
      <c r="G3944" s="78"/>
    </row>
    <row r="3945" spans="1:9" hidden="1" outlineLevel="1" x14ac:dyDescent="0.25">
      <c r="A3945" s="962" t="s">
        <v>3444</v>
      </c>
      <c r="B3945" s="985">
        <v>40057</v>
      </c>
      <c r="C3945" s="727">
        <v>100</v>
      </c>
      <c r="D3945" s="814">
        <v>60.898499999999999</v>
      </c>
      <c r="E3945" s="716">
        <f t="shared" si="145"/>
        <v>-0.391015</v>
      </c>
      <c r="F3945" s="731">
        <f t="shared" si="146"/>
        <v>-0.391015</v>
      </c>
      <c r="G3945" s="78"/>
    </row>
    <row r="3946" spans="1:9" hidden="1" outlineLevel="1" x14ac:dyDescent="0.25">
      <c r="A3946" s="962" t="s">
        <v>3445</v>
      </c>
      <c r="B3946" s="985">
        <v>40148</v>
      </c>
      <c r="C3946" s="727">
        <v>100</v>
      </c>
      <c r="D3946" s="814">
        <v>62.991500000000002</v>
      </c>
      <c r="E3946" s="716">
        <f t="shared" si="145"/>
        <v>-0.370085</v>
      </c>
      <c r="F3946" s="731">
        <f t="shared" si="146"/>
        <v>-0.370085</v>
      </c>
      <c r="G3946" s="78"/>
    </row>
    <row r="3947" spans="1:9" hidden="1" outlineLevel="1" x14ac:dyDescent="0.25">
      <c r="A3947" s="962" t="s">
        <v>3735</v>
      </c>
      <c r="B3947" s="985">
        <v>40238</v>
      </c>
      <c r="C3947" s="727">
        <v>100</v>
      </c>
      <c r="D3947" s="814">
        <v>63.798000000000002</v>
      </c>
      <c r="E3947" s="716">
        <f t="shared" si="145"/>
        <v>-0.36202000000000001</v>
      </c>
      <c r="F3947" s="731">
        <f t="shared" si="146"/>
        <v>-0.36202000000000001</v>
      </c>
      <c r="G3947" s="78"/>
    </row>
    <row r="3948" spans="1:9" hidden="1" outlineLevel="1" x14ac:dyDescent="0.25">
      <c r="A3948" s="962" t="s">
        <v>3736</v>
      </c>
      <c r="B3948" s="985">
        <v>40330</v>
      </c>
      <c r="C3948" s="727">
        <v>100</v>
      </c>
      <c r="D3948" s="814">
        <v>57.9559</v>
      </c>
      <c r="E3948" s="716">
        <f t="shared" si="145"/>
        <v>-0.42044099999999995</v>
      </c>
      <c r="F3948" s="731">
        <f t="shared" si="146"/>
        <v>-0.42044099999999995</v>
      </c>
      <c r="G3948" s="78"/>
    </row>
    <row r="3949" spans="1:9" hidden="1" outlineLevel="1" x14ac:dyDescent="0.25">
      <c r="A3949" s="962" t="s">
        <v>3173</v>
      </c>
      <c r="B3949" s="985">
        <v>40422</v>
      </c>
      <c r="C3949" s="727">
        <v>100</v>
      </c>
      <c r="D3949" s="814">
        <v>62.9514</v>
      </c>
      <c r="E3949" s="716">
        <f t="shared" si="145"/>
        <v>-0.37048599999999998</v>
      </c>
      <c r="F3949" s="731">
        <f t="shared" si="146"/>
        <v>-0.37048599999999998</v>
      </c>
      <c r="G3949" s="78"/>
    </row>
    <row r="3950" spans="1:9" hidden="1" outlineLevel="1" x14ac:dyDescent="0.25">
      <c r="A3950" s="962" t="s">
        <v>3174</v>
      </c>
      <c r="B3950" s="985">
        <v>40513</v>
      </c>
      <c r="C3950" s="727">
        <v>100</v>
      </c>
      <c r="D3950" s="814">
        <v>64.745500000000007</v>
      </c>
      <c r="E3950" s="716">
        <f t="shared" si="145"/>
        <v>-0.35254499999999989</v>
      </c>
      <c r="F3950" s="731">
        <f t="shared" si="146"/>
        <v>-0.35254499999999989</v>
      </c>
      <c r="G3950" s="78"/>
      <c r="H3950" t="s">
        <v>1837</v>
      </c>
    </row>
    <row r="3951" spans="1:9" hidden="1" outlineLevel="1" x14ac:dyDescent="0.25">
      <c r="A3951" s="962" t="s">
        <v>2589</v>
      </c>
      <c r="B3951" s="985">
        <v>40603</v>
      </c>
      <c r="C3951" s="727">
        <v>100</v>
      </c>
      <c r="D3951" s="727">
        <v>66.007000000000005</v>
      </c>
      <c r="E3951" s="716">
        <f t="shared" si="145"/>
        <v>-0.33992999999999995</v>
      </c>
      <c r="F3951" s="731">
        <f t="shared" si="146"/>
        <v>-0.33992999999999995</v>
      </c>
      <c r="G3951" s="78"/>
      <c r="H3951" s="101">
        <f>AVERAGE(F3937:F3952)</f>
        <v>-0.32881856249999997</v>
      </c>
    </row>
    <row r="3952" spans="1:9" hidden="1" outlineLevel="1" x14ac:dyDescent="0.25">
      <c r="A3952" s="962" t="s">
        <v>2590</v>
      </c>
      <c r="B3952" s="985">
        <v>40695</v>
      </c>
      <c r="C3952" s="727">
        <v>100</v>
      </c>
      <c r="D3952" s="727">
        <v>64.753699999999995</v>
      </c>
      <c r="E3952" s="716">
        <f t="shared" si="145"/>
        <v>-0.35246300000000008</v>
      </c>
      <c r="F3952" s="731">
        <f t="shared" si="146"/>
        <v>-0.35246300000000008</v>
      </c>
      <c r="G3952" s="78"/>
      <c r="H3952" s="37">
        <f>H3951*1.1</f>
        <v>-0.36170041874999997</v>
      </c>
      <c r="I3952" s="21"/>
    </row>
    <row r="3953" spans="1:10" hidden="1" outlineLevel="1" x14ac:dyDescent="0.25">
      <c r="A3953" s="749"/>
      <c r="B3953" s="750"/>
      <c r="C3953" s="727"/>
      <c r="D3953" s="727"/>
      <c r="E3953" s="720"/>
      <c r="F3953" s="731"/>
      <c r="G3953" s="78"/>
      <c r="I3953" s="21"/>
    </row>
    <row r="3954" spans="1:10" collapsed="1" x14ac:dyDescent="0.25">
      <c r="A3954" s="3801" t="s">
        <v>261</v>
      </c>
      <c r="B3954" s="3802"/>
      <c r="C3954" s="3802"/>
      <c r="D3954" s="3802"/>
      <c r="E3954" s="721" t="s">
        <v>3130</v>
      </c>
      <c r="F3954" s="722">
        <f>MAX(AVERAGE(F3937:F3952)*parametry!N149,0)</f>
        <v>0</v>
      </c>
      <c r="G3954" s="97" t="s">
        <v>781</v>
      </c>
      <c r="I3954" s="21"/>
    </row>
    <row r="3955" spans="1:10" x14ac:dyDescent="0.25">
      <c r="A3955" s="1"/>
      <c r="B3955" s="1"/>
      <c r="C3955" s="1"/>
      <c r="D3955" s="1"/>
      <c r="E3955" s="1"/>
      <c r="F3955" s="1848"/>
      <c r="G3955" s="78"/>
      <c r="I3955" s="21"/>
    </row>
    <row r="3956" spans="1:10" hidden="1" outlineLevel="1" x14ac:dyDescent="0.25">
      <c r="A3956" s="689" t="s">
        <v>113</v>
      </c>
      <c r="B3956" s="689" t="s">
        <v>114</v>
      </c>
      <c r="C3956" s="689" t="s">
        <v>112</v>
      </c>
      <c r="D3956" s="689" t="s">
        <v>116</v>
      </c>
      <c r="E3956" s="689" t="s">
        <v>117</v>
      </c>
      <c r="F3956" s="1188" t="s">
        <v>121</v>
      </c>
      <c r="G3956" s="78"/>
      <c r="I3956" s="21"/>
      <c r="J3956">
        <v>64.753699999999995</v>
      </c>
    </row>
    <row r="3957" spans="1:10" hidden="1" outlineLevel="1" x14ac:dyDescent="0.25">
      <c r="A3957" s="690">
        <v>1</v>
      </c>
      <c r="B3957" s="691" t="s">
        <v>252</v>
      </c>
      <c r="C3957" s="692">
        <v>100</v>
      </c>
      <c r="D3957" s="692"/>
      <c r="E3957" s="693"/>
      <c r="F3957" s="694"/>
      <c r="G3957" s="78"/>
      <c r="I3957" s="21"/>
    </row>
    <row r="3958" spans="1:10" hidden="1" outlineLevel="1" x14ac:dyDescent="0.25">
      <c r="A3958" s="695"/>
      <c r="B3958" s="695"/>
      <c r="C3958" s="696"/>
      <c r="D3958" s="697" t="s">
        <v>3702</v>
      </c>
      <c r="E3958" s="698">
        <v>42460</v>
      </c>
      <c r="F3958" s="699"/>
      <c r="G3958" s="78"/>
      <c r="I3958" s="21"/>
    </row>
    <row r="3959" spans="1:10" hidden="1" outlineLevel="1" x14ac:dyDescent="0.25">
      <c r="A3959" s="689" t="s">
        <v>4156</v>
      </c>
      <c r="B3959" s="689" t="s">
        <v>4153</v>
      </c>
      <c r="C3959" s="497" t="s">
        <v>112</v>
      </c>
      <c r="D3959" s="495" t="s">
        <v>4155</v>
      </c>
      <c r="E3959" s="689" t="s">
        <v>4154</v>
      </c>
      <c r="F3959" s="1021" t="s">
        <v>2519</v>
      </c>
      <c r="G3959" s="78"/>
      <c r="I3959" s="21"/>
    </row>
    <row r="3960" spans="1:10" hidden="1" outlineLevel="1" x14ac:dyDescent="0.25">
      <c r="A3960" s="999">
        <v>0.05</v>
      </c>
      <c r="B3960" s="1000" t="s">
        <v>4266</v>
      </c>
      <c r="C3960" s="1007">
        <v>28.58</v>
      </c>
      <c r="D3960" s="803">
        <v>18.739999999999998</v>
      </c>
      <c r="E3960" s="705">
        <v>-0.344296710986704</v>
      </c>
      <c r="F3960" s="1021">
        <v>-1.72148355493352E-2</v>
      </c>
      <c r="G3960" s="78"/>
      <c r="H3960" t="s">
        <v>2740</v>
      </c>
      <c r="I3960" s="129"/>
    </row>
    <row r="3961" spans="1:10" hidden="1" outlineLevel="1" x14ac:dyDescent="0.25">
      <c r="A3961" s="1002">
        <v>0.05</v>
      </c>
      <c r="B3961" s="996" t="s">
        <v>4267</v>
      </c>
      <c r="C3961" s="1008">
        <v>260.53000000000003</v>
      </c>
      <c r="D3961" s="908">
        <v>350</v>
      </c>
      <c r="E3961" s="709">
        <v>0.34341534564157672</v>
      </c>
      <c r="F3961" s="946">
        <v>1.7170767282078836E-2</v>
      </c>
      <c r="G3961" s="78"/>
      <c r="H3961" t="s">
        <v>1800</v>
      </c>
      <c r="I3961" s="129"/>
    </row>
    <row r="3962" spans="1:10" hidden="1" outlineLevel="1" x14ac:dyDescent="0.25">
      <c r="A3962" s="1002">
        <v>0.05</v>
      </c>
      <c r="B3962" s="996" t="s">
        <v>4387</v>
      </c>
      <c r="C3962" s="1008">
        <v>39.734333333333332</v>
      </c>
      <c r="D3962" s="908">
        <v>8.4380000000000006</v>
      </c>
      <c r="E3962" s="709">
        <v>-0.78763957282954289</v>
      </c>
      <c r="F3962" s="946">
        <v>-3.9381978641477147E-2</v>
      </c>
      <c r="G3962" s="78"/>
      <c r="H3962" t="s">
        <v>3744</v>
      </c>
      <c r="I3962" s="129"/>
    </row>
    <row r="3963" spans="1:10" hidden="1" outlineLevel="1" x14ac:dyDescent="0.25">
      <c r="A3963" s="1002">
        <v>0.05</v>
      </c>
      <c r="B3963" s="996" t="s">
        <v>4268</v>
      </c>
      <c r="C3963" s="1008">
        <v>24.189</v>
      </c>
      <c r="D3963" s="908">
        <v>13.31</v>
      </c>
      <c r="E3963" s="709">
        <v>-0.44974988631196</v>
      </c>
      <c r="F3963" s="946">
        <v>-2.2487494315598003E-2</v>
      </c>
      <c r="G3963" s="78"/>
      <c r="H3963" t="s">
        <v>1801</v>
      </c>
      <c r="I3963" s="129"/>
    </row>
    <row r="3964" spans="1:10" hidden="1" outlineLevel="1" x14ac:dyDescent="0.25">
      <c r="A3964" s="1002">
        <v>0.05</v>
      </c>
      <c r="B3964" s="996" t="s">
        <v>3092</v>
      </c>
      <c r="C3964" s="1008">
        <v>57.93</v>
      </c>
      <c r="D3964" s="908">
        <v>118.34</v>
      </c>
      <c r="E3964" s="709">
        <v>1.0428102882789574</v>
      </c>
      <c r="F3964" s="946">
        <v>5.2140514413947875E-2</v>
      </c>
      <c r="G3964" s="78"/>
      <c r="H3964" t="s">
        <v>3091</v>
      </c>
      <c r="I3964" s="129"/>
    </row>
    <row r="3965" spans="1:10" hidden="1" outlineLevel="1" x14ac:dyDescent="0.25">
      <c r="A3965" s="1002">
        <v>0.05</v>
      </c>
      <c r="B3965" s="996" t="s">
        <v>4269</v>
      </c>
      <c r="C3965" s="1008">
        <v>29.849</v>
      </c>
      <c r="D3965" s="908">
        <v>17.364999999999998</v>
      </c>
      <c r="E3965" s="709">
        <v>-0.41823846695031663</v>
      </c>
      <c r="F3965" s="946">
        <v>-2.0911923347515834E-2</v>
      </c>
      <c r="G3965" s="78"/>
      <c r="H3965" t="s">
        <v>1802</v>
      </c>
      <c r="I3965" s="129"/>
    </row>
    <row r="3966" spans="1:10" hidden="1" outlineLevel="1" x14ac:dyDescent="0.25">
      <c r="A3966" s="1002">
        <v>0.05</v>
      </c>
      <c r="B3966" s="996" t="s">
        <v>4270</v>
      </c>
      <c r="C3966" s="1008">
        <v>2752</v>
      </c>
      <c r="D3966" s="908">
        <v>996.7</v>
      </c>
      <c r="E3966" s="709">
        <v>-0.63782703488372094</v>
      </c>
      <c r="F3966" s="946">
        <v>-3.1891351744186051E-2</v>
      </c>
      <c r="G3966" s="78"/>
      <c r="H3966" t="s">
        <v>1803</v>
      </c>
      <c r="I3966" s="129"/>
    </row>
    <row r="3967" spans="1:10" hidden="1" outlineLevel="1" x14ac:dyDescent="0.25">
      <c r="A3967" s="1002">
        <v>0.05</v>
      </c>
      <c r="B3967" s="996" t="s">
        <v>3252</v>
      </c>
      <c r="C3967" s="1008">
        <v>868.05000000000007</v>
      </c>
      <c r="D3967" s="908">
        <v>1089</v>
      </c>
      <c r="E3967" s="709">
        <v>0.25453602903058559</v>
      </c>
      <c r="F3967" s="946">
        <v>1.272680145152928E-2</v>
      </c>
      <c r="G3967" s="78"/>
      <c r="H3967" t="s">
        <v>3628</v>
      </c>
      <c r="I3967" s="129"/>
    </row>
    <row r="3968" spans="1:10" hidden="1" outlineLevel="1" x14ac:dyDescent="0.25">
      <c r="A3968" s="1002">
        <v>0.05</v>
      </c>
      <c r="B3968" s="743" t="s">
        <v>3253</v>
      </c>
      <c r="C3968" s="1008">
        <v>309.8</v>
      </c>
      <c r="D3968" s="908">
        <v>464.2</v>
      </c>
      <c r="E3968" s="709">
        <v>0.49838605551968995</v>
      </c>
      <c r="F3968" s="946">
        <v>2.49193027759845E-2</v>
      </c>
      <c r="G3968" s="78"/>
      <c r="H3968" t="s">
        <v>3629</v>
      </c>
      <c r="I3968" s="129"/>
    </row>
    <row r="3969" spans="1:10" hidden="1" outlineLevel="1" x14ac:dyDescent="0.25">
      <c r="A3969" s="1002">
        <v>0.05</v>
      </c>
      <c r="B3969" s="996" t="s">
        <v>3255</v>
      </c>
      <c r="C3969" s="1008">
        <v>620</v>
      </c>
      <c r="D3969" s="908">
        <v>811</v>
      </c>
      <c r="E3969" s="709">
        <v>0.3080645161290323</v>
      </c>
      <c r="F3969" s="946">
        <v>1.5403225806451615E-2</v>
      </c>
      <c r="G3969" s="78"/>
      <c r="H3969" t="s">
        <v>3631</v>
      </c>
      <c r="I3969" s="156"/>
    </row>
    <row r="3970" spans="1:10" hidden="1" outlineLevel="1" x14ac:dyDescent="0.25">
      <c r="A3970" s="1002">
        <v>0.05</v>
      </c>
      <c r="B3970" s="996" t="s">
        <v>3801</v>
      </c>
      <c r="C3970" s="1008">
        <v>79.608000000000004</v>
      </c>
      <c r="D3970" s="908">
        <v>11.375</v>
      </c>
      <c r="E3970" s="709">
        <v>-0.85711235051753598</v>
      </c>
      <c r="F3970" s="946">
        <v>-4.2855617525876799E-2</v>
      </c>
      <c r="G3970" s="78"/>
      <c r="H3970" t="s">
        <v>2819</v>
      </c>
      <c r="I3970" s="129"/>
    </row>
    <row r="3971" spans="1:10" hidden="1" outlineLevel="1" x14ac:dyDescent="0.25">
      <c r="A3971" s="1002">
        <v>0.05</v>
      </c>
      <c r="B3971" s="996" t="s">
        <v>4460</v>
      </c>
      <c r="C3971" s="1008">
        <v>1343.7</v>
      </c>
      <c r="D3971" s="908">
        <v>2173</v>
      </c>
      <c r="E3971" s="709">
        <v>0.61717645307732383</v>
      </c>
      <c r="F3971" s="946">
        <v>3.0858822653866191E-2</v>
      </c>
      <c r="G3971" s="78"/>
      <c r="H3971" t="s">
        <v>3485</v>
      </c>
      <c r="I3971" s="129"/>
    </row>
    <row r="3972" spans="1:10" hidden="1" outlineLevel="1" x14ac:dyDescent="0.25">
      <c r="A3972" s="1002">
        <v>0.05</v>
      </c>
      <c r="B3972" s="996" t="s">
        <v>4271</v>
      </c>
      <c r="C3972" s="1008">
        <v>15.278</v>
      </c>
      <c r="D3972" s="908">
        <v>15.494999999999999</v>
      </c>
      <c r="E3972" s="709">
        <v>1.4203429768294251E-2</v>
      </c>
      <c r="F3972" s="946">
        <v>7.1017148841471265E-4</v>
      </c>
      <c r="G3972" s="78"/>
      <c r="H3972" t="s">
        <v>1804</v>
      </c>
      <c r="I3972" s="129"/>
    </row>
    <row r="3973" spans="1:10" hidden="1" outlineLevel="1" x14ac:dyDescent="0.25">
      <c r="A3973" s="1002">
        <v>0.05</v>
      </c>
      <c r="B3973" s="996" t="s">
        <v>4338</v>
      </c>
      <c r="C3973" s="1008">
        <v>36.532247175743002</v>
      </c>
      <c r="D3973" s="908">
        <v>17.835000000000001</v>
      </c>
      <c r="E3973" s="709">
        <v>-0.51180117899119448</v>
      </c>
      <c r="F3973" s="946">
        <v>-2.5590058949559725E-2</v>
      </c>
      <c r="G3973" s="78"/>
      <c r="H3973" t="s">
        <v>7229</v>
      </c>
      <c r="I3973" s="129"/>
    </row>
    <row r="3974" spans="1:10" hidden="1" outlineLevel="1" x14ac:dyDescent="0.25">
      <c r="A3974" s="1002">
        <v>0.05</v>
      </c>
      <c r="B3974" s="996" t="s">
        <v>3304</v>
      </c>
      <c r="C3974" s="1008">
        <v>232.203</v>
      </c>
      <c r="D3974" s="908">
        <v>400</v>
      </c>
      <c r="E3974" s="709">
        <v>0.72263062923390309</v>
      </c>
      <c r="F3974" s="946">
        <v>3.6131531461695156E-2</v>
      </c>
      <c r="G3974" s="78"/>
      <c r="H3974" t="s">
        <v>2012</v>
      </c>
      <c r="I3974" s="129"/>
    </row>
    <row r="3975" spans="1:10" hidden="1" outlineLevel="1" x14ac:dyDescent="0.25">
      <c r="A3975" s="1002">
        <v>0.05</v>
      </c>
      <c r="B3975" s="996" t="s">
        <v>3551</v>
      </c>
      <c r="C3975" s="1008">
        <v>7442</v>
      </c>
      <c r="D3975" s="908">
        <v>5952</v>
      </c>
      <c r="E3975" s="709">
        <v>-0.20021499596882564</v>
      </c>
      <c r="F3975" s="946">
        <v>-1.0010749798441283E-2</v>
      </c>
      <c r="G3975" s="78"/>
      <c r="H3975" t="s">
        <v>2806</v>
      </c>
      <c r="I3975" s="129"/>
    </row>
    <row r="3976" spans="1:10" hidden="1" outlineLevel="1" x14ac:dyDescent="0.25">
      <c r="A3976" s="1002">
        <v>0.05</v>
      </c>
      <c r="B3976" s="996" t="s">
        <v>4272</v>
      </c>
      <c r="C3976" s="1008">
        <v>34.75</v>
      </c>
      <c r="D3976" s="908">
        <v>43.75</v>
      </c>
      <c r="E3976" s="709">
        <v>0.25899280575539563</v>
      </c>
      <c r="F3976" s="946">
        <v>1.2949640287769782E-2</v>
      </c>
      <c r="G3976" s="78"/>
      <c r="H3976" t="s">
        <v>1805</v>
      </c>
      <c r="I3976" s="129"/>
      <c r="J3976">
        <v>6.95</v>
      </c>
    </row>
    <row r="3977" spans="1:10" hidden="1" outlineLevel="1" x14ac:dyDescent="0.25">
      <c r="A3977" s="1002">
        <v>0.05</v>
      </c>
      <c r="B3977" s="996" t="s">
        <v>2983</v>
      </c>
      <c r="C3977" s="1008">
        <v>690.85</v>
      </c>
      <c r="D3977" s="908">
        <v>923</v>
      </c>
      <c r="E3977" s="709">
        <v>0.33603531881016124</v>
      </c>
      <c r="F3977" s="946">
        <v>1.6801765940508064E-2</v>
      </c>
      <c r="G3977" s="78"/>
      <c r="H3977" t="s">
        <v>1713</v>
      </c>
      <c r="I3977" s="129"/>
    </row>
    <row r="3978" spans="1:10" hidden="1" outlineLevel="1" x14ac:dyDescent="0.25">
      <c r="A3978" s="1002">
        <v>0.05</v>
      </c>
      <c r="B3978" s="996" t="s">
        <v>1211</v>
      </c>
      <c r="C3978" s="1008">
        <v>39.043999999999997</v>
      </c>
      <c r="D3978" s="908">
        <v>59</v>
      </c>
      <c r="E3978" s="709">
        <v>0.51111566437864986</v>
      </c>
      <c r="F3978" s="946">
        <v>2.5555783218932496E-2</v>
      </c>
      <c r="G3978" s="78"/>
      <c r="H3978" t="s">
        <v>685</v>
      </c>
      <c r="I3978" s="129"/>
    </row>
    <row r="3979" spans="1:10" hidden="1" outlineLevel="1" x14ac:dyDescent="0.25">
      <c r="A3979" s="1004">
        <v>0.05</v>
      </c>
      <c r="B3979" s="997" t="s">
        <v>1899</v>
      </c>
      <c r="C3979" s="1009">
        <v>750.1</v>
      </c>
      <c r="D3979" s="715">
        <v>1108</v>
      </c>
      <c r="E3979" s="716">
        <v>0.4771363818157579</v>
      </c>
      <c r="F3979" s="1023">
        <v>2.3856819090787896E-2</v>
      </c>
      <c r="G3979" s="78"/>
      <c r="H3979" t="s">
        <v>354</v>
      </c>
      <c r="I3979" s="129"/>
    </row>
    <row r="3980" spans="1:10" hidden="1" outlineLevel="1" x14ac:dyDescent="0.25">
      <c r="A3980" s="749"/>
      <c r="B3980" s="750"/>
      <c r="C3980" s="727"/>
      <c r="D3980" s="727"/>
      <c r="E3980" s="716"/>
      <c r="F3980" s="770">
        <v>5.8881135999976367E-2</v>
      </c>
      <c r="G3980" s="78"/>
      <c r="I3980" s="21"/>
    </row>
    <row r="3981" spans="1:10" hidden="1" outlineLevel="1" x14ac:dyDescent="0.25">
      <c r="A3981" s="749"/>
      <c r="B3981" s="750"/>
      <c r="C3981" s="727"/>
      <c r="D3981" s="727"/>
      <c r="E3981" s="716"/>
      <c r="F3981" s="770"/>
      <c r="G3981" s="78"/>
      <c r="I3981" s="21"/>
    </row>
    <row r="3982" spans="1:10" hidden="1" outlineLevel="1" x14ac:dyDescent="0.25">
      <c r="A3982" s="751" t="s">
        <v>2591</v>
      </c>
      <c r="B3982" s="813">
        <v>39385</v>
      </c>
      <c r="C3982" s="727">
        <v>100</v>
      </c>
      <c r="D3982" s="727">
        <v>108.4984</v>
      </c>
      <c r="E3982" s="716">
        <v>8.4983999999999948E-2</v>
      </c>
      <c r="F3982" s="731">
        <v>8.4983999999999948E-2</v>
      </c>
      <c r="G3982" s="78"/>
      <c r="I3982" s="21"/>
    </row>
    <row r="3983" spans="1:10" hidden="1" outlineLevel="1" x14ac:dyDescent="0.25">
      <c r="A3983" s="751" t="s">
        <v>2592</v>
      </c>
      <c r="B3983" s="813">
        <v>39477</v>
      </c>
      <c r="C3983" s="727">
        <v>100</v>
      </c>
      <c r="D3983" s="727">
        <v>102.0882</v>
      </c>
      <c r="E3983" s="716">
        <v>2.0882000000000067E-2</v>
      </c>
      <c r="F3983" s="731">
        <v>2.0882000000000067E-2</v>
      </c>
      <c r="G3983" s="78"/>
    </row>
    <row r="3984" spans="1:10" hidden="1" outlineLevel="1" x14ac:dyDescent="0.25">
      <c r="A3984" s="751" t="s">
        <v>2593</v>
      </c>
      <c r="B3984" s="813">
        <v>39568</v>
      </c>
      <c r="C3984" s="727">
        <v>100</v>
      </c>
      <c r="D3984" s="727">
        <v>106.7693</v>
      </c>
      <c r="E3984" s="716">
        <v>6.7693000000000003E-2</v>
      </c>
      <c r="F3984" s="731">
        <v>6.7693000000000003E-2</v>
      </c>
      <c r="G3984" s="78"/>
    </row>
    <row r="3985" spans="1:11" hidden="1" outlineLevel="1" x14ac:dyDescent="0.25">
      <c r="A3985" s="751" t="s">
        <v>3884</v>
      </c>
      <c r="B3985" s="813">
        <v>39659</v>
      </c>
      <c r="C3985" s="727">
        <v>100</v>
      </c>
      <c r="D3985" s="727">
        <v>102.98090000000001</v>
      </c>
      <c r="E3985" s="716">
        <v>2.9808999999999974E-2</v>
      </c>
      <c r="F3985" s="731">
        <v>2.9808999999999974E-2</v>
      </c>
      <c r="G3985" s="78"/>
    </row>
    <row r="3986" spans="1:11" hidden="1" outlineLevel="1" x14ac:dyDescent="0.25">
      <c r="A3986" s="751" t="s">
        <v>3885</v>
      </c>
      <c r="B3986" s="813">
        <v>39751</v>
      </c>
      <c r="C3986" s="727">
        <v>100</v>
      </c>
      <c r="D3986" s="727">
        <v>81.022099999999995</v>
      </c>
      <c r="E3986" s="716">
        <v>-0.18977900000000003</v>
      </c>
      <c r="F3986" s="731">
        <v>-0.18977900000000003</v>
      </c>
      <c r="G3986" s="78"/>
      <c r="H3986" s="21"/>
      <c r="I3986" s="21"/>
    </row>
    <row r="3987" spans="1:11" hidden="1" outlineLevel="1" x14ac:dyDescent="0.25">
      <c r="A3987" s="751" t="s">
        <v>3886</v>
      </c>
      <c r="B3987" s="813">
        <v>39843</v>
      </c>
      <c r="C3987" s="727">
        <v>100</v>
      </c>
      <c r="D3987" s="727">
        <v>76.170299999999997</v>
      </c>
      <c r="E3987" s="716">
        <v>-0.23829699999999998</v>
      </c>
      <c r="F3987" s="731">
        <v>-0.23829699999999998</v>
      </c>
      <c r="G3987" s="78"/>
      <c r="H3987" s="21"/>
      <c r="I3987" s="21"/>
      <c r="J3987" s="21"/>
      <c r="K3987" s="21"/>
    </row>
    <row r="3988" spans="1:11" hidden="1" outlineLevel="1" x14ac:dyDescent="0.25">
      <c r="A3988" s="751" t="s">
        <v>3887</v>
      </c>
      <c r="B3988" s="813">
        <v>39933</v>
      </c>
      <c r="C3988" s="727">
        <v>100</v>
      </c>
      <c r="D3988" s="727">
        <v>77.004999999999995</v>
      </c>
      <c r="E3988" s="716">
        <v>-0.2299500000000001</v>
      </c>
      <c r="F3988" s="731">
        <v>-0.2299500000000001</v>
      </c>
      <c r="G3988" s="78"/>
      <c r="H3988" s="21"/>
      <c r="I3988" s="21"/>
      <c r="J3988" s="21"/>
      <c r="K3988" s="21"/>
    </row>
    <row r="3989" spans="1:11" hidden="1" outlineLevel="1" x14ac:dyDescent="0.25">
      <c r="A3989" s="751" t="s">
        <v>1797</v>
      </c>
      <c r="B3989" s="813">
        <v>40024</v>
      </c>
      <c r="C3989" s="727">
        <v>100</v>
      </c>
      <c r="D3989" s="727">
        <v>79.666700000000006</v>
      </c>
      <c r="E3989" s="716">
        <v>-0.20333299999999999</v>
      </c>
      <c r="F3989" s="731">
        <v>-0.20333299999999999</v>
      </c>
      <c r="G3989" s="78"/>
      <c r="H3989" s="21"/>
      <c r="I3989" s="21"/>
      <c r="J3989" s="21"/>
      <c r="K3989" s="21"/>
    </row>
    <row r="3990" spans="1:11" hidden="1" outlineLevel="1" x14ac:dyDescent="0.25">
      <c r="A3990" s="751" t="s">
        <v>1798</v>
      </c>
      <c r="B3990" s="813">
        <v>40116</v>
      </c>
      <c r="C3990" s="727">
        <v>100</v>
      </c>
      <c r="D3990" s="727">
        <v>79.437600000000003</v>
      </c>
      <c r="E3990" s="716">
        <v>-0.20562399999999992</v>
      </c>
      <c r="F3990" s="731">
        <v>-0.20562399999999992</v>
      </c>
      <c r="G3990" s="78"/>
      <c r="H3990" s="84"/>
      <c r="I3990" s="81"/>
      <c r="J3990" s="21"/>
      <c r="K3990" s="21"/>
    </row>
    <row r="3991" spans="1:11" hidden="1" outlineLevel="1" x14ac:dyDescent="0.25">
      <c r="A3991" s="751" t="s">
        <v>1799</v>
      </c>
      <c r="B3991" s="813">
        <v>40208</v>
      </c>
      <c r="C3991" s="727">
        <v>100</v>
      </c>
      <c r="D3991" s="727">
        <v>84.87</v>
      </c>
      <c r="E3991" s="716">
        <v>-0.15129999999999999</v>
      </c>
      <c r="F3991" s="731">
        <v>-0.15129999999999999</v>
      </c>
      <c r="G3991" s="78"/>
      <c r="H3991" s="84"/>
      <c r="I3991" s="81"/>
      <c r="J3991" s="155"/>
      <c r="K3991" s="21"/>
    </row>
    <row r="3992" spans="1:11" hidden="1" outlineLevel="1" x14ac:dyDescent="0.25">
      <c r="A3992" s="751" t="s">
        <v>1746</v>
      </c>
      <c r="B3992" s="813">
        <v>40298</v>
      </c>
      <c r="C3992" s="727">
        <v>100</v>
      </c>
      <c r="D3992" s="727">
        <v>88.019000000000005</v>
      </c>
      <c r="E3992" s="716">
        <v>-0.11980999999999997</v>
      </c>
      <c r="F3992" s="731">
        <v>-0.11980999999999997</v>
      </c>
      <c r="G3992" s="78"/>
      <c r="H3992" s="84"/>
      <c r="I3992" s="81"/>
      <c r="J3992" s="155"/>
      <c r="K3992" s="21"/>
    </row>
    <row r="3993" spans="1:11" hidden="1" outlineLevel="1" x14ac:dyDescent="0.25">
      <c r="A3993" s="751" t="s">
        <v>1747</v>
      </c>
      <c r="B3993" s="813">
        <v>40389</v>
      </c>
      <c r="C3993" s="727">
        <v>100</v>
      </c>
      <c r="D3993" s="727">
        <v>88.013499999999993</v>
      </c>
      <c r="E3993" s="716">
        <v>-0.11986500000000011</v>
      </c>
      <c r="F3993" s="731">
        <v>-0.11986500000000011</v>
      </c>
      <c r="G3993" s="78"/>
      <c r="H3993" s="84"/>
      <c r="I3993" s="81"/>
      <c r="J3993" s="155"/>
      <c r="K3993" s="21"/>
    </row>
    <row r="3994" spans="1:11" hidden="1" outlineLevel="1" x14ac:dyDescent="0.25">
      <c r="A3994" s="751" t="s">
        <v>1748</v>
      </c>
      <c r="B3994" s="813">
        <v>40481</v>
      </c>
      <c r="C3994" s="727">
        <v>100</v>
      </c>
      <c r="D3994" s="727">
        <v>95.215199999999996</v>
      </c>
      <c r="E3994" s="716">
        <v>-4.7848000000000002E-2</v>
      </c>
      <c r="F3994" s="731">
        <v>-4.7848000000000002E-2</v>
      </c>
      <c r="G3994" s="78"/>
      <c r="H3994" s="84"/>
      <c r="I3994" s="81"/>
      <c r="J3994" s="155"/>
      <c r="K3994" s="21"/>
    </row>
    <row r="3995" spans="1:11" hidden="1" outlineLevel="1" x14ac:dyDescent="0.25">
      <c r="A3995" s="751" t="s">
        <v>1749</v>
      </c>
      <c r="B3995" s="813">
        <v>40573</v>
      </c>
      <c r="C3995" s="727">
        <v>100</v>
      </c>
      <c r="D3995" s="727">
        <v>97.573099999999997</v>
      </c>
      <c r="E3995" s="716">
        <v>-2.4268999999999985E-2</v>
      </c>
      <c r="F3995" s="731">
        <v>-2.4268999999999985E-2</v>
      </c>
      <c r="G3995" s="78"/>
      <c r="H3995" s="84"/>
      <c r="I3995" s="81"/>
      <c r="J3995" s="155"/>
      <c r="K3995" s="21"/>
    </row>
    <row r="3996" spans="1:11" hidden="1" outlineLevel="1" x14ac:dyDescent="0.25">
      <c r="A3996" s="751" t="s">
        <v>1750</v>
      </c>
      <c r="B3996" s="813">
        <v>40663</v>
      </c>
      <c r="C3996" s="727">
        <v>100</v>
      </c>
      <c r="D3996" s="727">
        <v>102.5831</v>
      </c>
      <c r="E3996" s="716">
        <v>2.5830999999999937E-2</v>
      </c>
      <c r="F3996" s="731">
        <v>2.5830999999999937E-2</v>
      </c>
      <c r="G3996" s="78"/>
      <c r="H3996" s="21"/>
      <c r="I3996" s="21"/>
      <c r="J3996" s="155"/>
      <c r="K3996" s="21"/>
    </row>
    <row r="3997" spans="1:11" hidden="1" outlineLevel="1" x14ac:dyDescent="0.25">
      <c r="A3997" s="751" t="s">
        <v>1751</v>
      </c>
      <c r="B3997" s="813">
        <v>40754</v>
      </c>
      <c r="C3997" s="727">
        <v>100</v>
      </c>
      <c r="D3997" s="727">
        <v>99.659300000000002</v>
      </c>
      <c r="E3997" s="716">
        <v>-3.4069999999999379E-3</v>
      </c>
      <c r="F3997" s="731">
        <v>-3.4069999999999379E-3</v>
      </c>
      <c r="G3997" s="78"/>
      <c r="H3997" s="21"/>
      <c r="I3997" s="21"/>
      <c r="J3997" s="21"/>
      <c r="K3997" s="21"/>
    </row>
    <row r="3998" spans="1:11" hidden="1" outlineLevel="1" x14ac:dyDescent="0.25">
      <c r="A3998" s="751" t="s">
        <v>1752</v>
      </c>
      <c r="B3998" s="813">
        <v>40846</v>
      </c>
      <c r="C3998" s="727">
        <v>100</v>
      </c>
      <c r="D3998" s="727">
        <v>95.444299999999998</v>
      </c>
      <c r="E3998" s="716">
        <v>-4.555700000000007E-2</v>
      </c>
      <c r="F3998" s="731">
        <v>-4.555700000000007E-2</v>
      </c>
      <c r="G3998" s="78"/>
      <c r="H3998" s="21"/>
      <c r="I3998" s="21"/>
      <c r="J3998" s="21"/>
      <c r="K3998" s="21"/>
    </row>
    <row r="3999" spans="1:11" hidden="1" outlineLevel="1" x14ac:dyDescent="0.25">
      <c r="A3999" s="751" t="s">
        <v>1753</v>
      </c>
      <c r="B3999" s="813">
        <v>40938</v>
      </c>
      <c r="C3999" s="727">
        <v>100</v>
      </c>
      <c r="D3999" s="727">
        <v>97.902100000000004</v>
      </c>
      <c r="E3999" s="716">
        <v>-2.097899999999997E-2</v>
      </c>
      <c r="F3999" s="731">
        <v>-2.097899999999997E-2</v>
      </c>
      <c r="G3999" s="78"/>
      <c r="H3999" s="21"/>
      <c r="I3999" s="21"/>
      <c r="J3999" s="21"/>
      <c r="K3999" s="21"/>
    </row>
    <row r="4000" spans="1:11" hidden="1" outlineLevel="1" x14ac:dyDescent="0.25">
      <c r="A4000" s="751" t="s">
        <v>1754</v>
      </c>
      <c r="B4000" s="813">
        <v>41029</v>
      </c>
      <c r="C4000" s="727">
        <v>100</v>
      </c>
      <c r="D4000" s="727">
        <v>98.890299999999996</v>
      </c>
      <c r="E4000" s="716">
        <v>-1.1097000000000024E-2</v>
      </c>
      <c r="F4000" s="731">
        <v>-1.1097000000000024E-2</v>
      </c>
      <c r="G4000" s="78"/>
      <c r="H4000" s="412" t="s">
        <v>1837</v>
      </c>
      <c r="J4000" s="21"/>
      <c r="K4000" s="21"/>
    </row>
    <row r="4001" spans="1:8" hidden="1" outlineLevel="1" x14ac:dyDescent="0.25">
      <c r="A4001" s="751" t="s">
        <v>1755</v>
      </c>
      <c r="B4001" s="813">
        <v>41120</v>
      </c>
      <c r="C4001" s="727">
        <v>100</v>
      </c>
      <c r="D4001" s="727">
        <v>99.997500000000002</v>
      </c>
      <c r="E4001" s="716">
        <v>-2.4999999999941735E-5</v>
      </c>
      <c r="F4001" s="731">
        <v>-2.4999999999941735E-5</v>
      </c>
      <c r="G4001" s="78"/>
      <c r="H4001" s="261">
        <v>-6.9097049999999993E-2</v>
      </c>
    </row>
    <row r="4002" spans="1:8" hidden="1" outlineLevel="1" x14ac:dyDescent="0.25">
      <c r="A4002" s="749"/>
      <c r="B4002" s="750"/>
      <c r="C4002" s="727"/>
      <c r="D4002" s="727"/>
      <c r="E4002" s="720"/>
      <c r="F4002" s="731"/>
      <c r="G4002" s="78"/>
    </row>
    <row r="4003" spans="1:8" collapsed="1" x14ac:dyDescent="0.25">
      <c r="A4003" s="3801" t="s">
        <v>262</v>
      </c>
      <c r="B4003" s="3802"/>
      <c r="C4003" s="3802"/>
      <c r="D4003" s="3802"/>
      <c r="E4003" s="721"/>
      <c r="F4003" s="722">
        <v>0</v>
      </c>
      <c r="G4003" s="97" t="s">
        <v>781</v>
      </c>
    </row>
    <row r="4004" spans="1:8" x14ac:dyDescent="0.25">
      <c r="A4004" s="1"/>
      <c r="B4004" s="1"/>
      <c r="C4004" s="1"/>
      <c r="D4004" s="1"/>
      <c r="E4004" s="1"/>
      <c r="F4004" s="1848"/>
      <c r="G4004" s="78"/>
    </row>
    <row r="4005" spans="1:8" hidden="1" outlineLevel="1" x14ac:dyDescent="0.25">
      <c r="A4005" s="689" t="s">
        <v>113</v>
      </c>
      <c r="B4005" s="689" t="s">
        <v>114</v>
      </c>
      <c r="C4005" s="689" t="s">
        <v>112</v>
      </c>
      <c r="D4005" s="689" t="s">
        <v>116</v>
      </c>
      <c r="E4005" s="689" t="s">
        <v>117</v>
      </c>
      <c r="F4005" s="1188" t="s">
        <v>121</v>
      </c>
      <c r="G4005" s="78"/>
    </row>
    <row r="4006" spans="1:8" hidden="1" outlineLevel="1" x14ac:dyDescent="0.25">
      <c r="A4006" s="751" t="s">
        <v>1090</v>
      </c>
      <c r="B4006" s="729" t="s">
        <v>115</v>
      </c>
      <c r="C4006" s="719">
        <v>4512.5889999999999</v>
      </c>
      <c r="D4006" s="719">
        <v>4195.6000000000004</v>
      </c>
      <c r="E4006" s="720">
        <f t="shared" ref="E4006:E4024" si="147">D4006/C4006-1</f>
        <v>-7.0245484354989896E-2</v>
      </c>
      <c r="F4006" s="731">
        <v>-0.04</v>
      </c>
      <c r="G4006" s="78"/>
    </row>
    <row r="4007" spans="1:8" hidden="1" outlineLevel="1" x14ac:dyDescent="0.25">
      <c r="A4007" s="751" t="s">
        <v>1091</v>
      </c>
      <c r="B4007" s="729" t="s">
        <v>115</v>
      </c>
      <c r="C4007" s="823">
        <v>4195.6000000000004</v>
      </c>
      <c r="D4007" s="823">
        <v>4221.34</v>
      </c>
      <c r="E4007" s="720">
        <f t="shared" si="147"/>
        <v>6.1349985699303833E-3</v>
      </c>
      <c r="F4007" s="731">
        <v>0</v>
      </c>
      <c r="G4007" s="78"/>
    </row>
    <row r="4008" spans="1:8" hidden="1" outlineLevel="1" x14ac:dyDescent="0.25">
      <c r="A4008" s="751" t="s">
        <v>2262</v>
      </c>
      <c r="B4008" s="729" t="s">
        <v>115</v>
      </c>
      <c r="C4008" s="719">
        <v>4221.34</v>
      </c>
      <c r="D4008" s="719">
        <v>4476.0200000000004</v>
      </c>
      <c r="E4008" s="720">
        <f t="shared" si="147"/>
        <v>6.0331553487755096E-2</v>
      </c>
      <c r="F4008" s="731">
        <v>0</v>
      </c>
      <c r="G4008" s="78"/>
    </row>
    <row r="4009" spans="1:8" hidden="1" outlineLevel="1" x14ac:dyDescent="0.25">
      <c r="A4009" s="751" t="s">
        <v>1901</v>
      </c>
      <c r="B4009" s="729" t="s">
        <v>115</v>
      </c>
      <c r="C4009" s="719">
        <v>4476.0200000000004</v>
      </c>
      <c r="D4009" s="719">
        <v>4338.28</v>
      </c>
      <c r="E4009" s="720">
        <f t="shared" si="147"/>
        <v>-3.0772874115844173E-2</v>
      </c>
      <c r="F4009" s="731">
        <v>-0.04</v>
      </c>
      <c r="G4009" s="78"/>
    </row>
    <row r="4010" spans="1:8" hidden="1" outlineLevel="1" x14ac:dyDescent="0.25">
      <c r="A4010" s="751" t="s">
        <v>3624</v>
      </c>
      <c r="B4010" s="729" t="s">
        <v>115</v>
      </c>
      <c r="C4010" s="719">
        <v>4338.28</v>
      </c>
      <c r="D4010" s="719">
        <v>4384.6499999999996</v>
      </c>
      <c r="E4010" s="720">
        <f t="shared" si="147"/>
        <v>1.0688567819504557E-2</v>
      </c>
      <c r="F4010" s="731">
        <v>0</v>
      </c>
      <c r="G4010" s="78"/>
    </row>
    <row r="4011" spans="1:8" hidden="1" outlineLevel="1" x14ac:dyDescent="0.25">
      <c r="A4011" s="751" t="s">
        <v>3625</v>
      </c>
      <c r="B4011" s="729" t="s">
        <v>115</v>
      </c>
      <c r="C4011" s="719">
        <v>4384.6499999999996</v>
      </c>
      <c r="D4011" s="719">
        <v>4140.9399999999996</v>
      </c>
      <c r="E4011" s="720">
        <f t="shared" si="147"/>
        <v>-5.5582543646585214E-2</v>
      </c>
      <c r="F4011" s="731">
        <v>-0.04</v>
      </c>
      <c r="G4011" s="78"/>
    </row>
    <row r="4012" spans="1:8" hidden="1" outlineLevel="1" x14ac:dyDescent="0.25">
      <c r="A4012" s="751" t="s">
        <v>3194</v>
      </c>
      <c r="B4012" s="729" t="s">
        <v>115</v>
      </c>
      <c r="C4012" s="719">
        <v>4140.9399999999996</v>
      </c>
      <c r="D4012" s="719">
        <v>3797.89</v>
      </c>
      <c r="E4012" s="720">
        <f t="shared" si="147"/>
        <v>-8.2843508961733314E-2</v>
      </c>
      <c r="F4012" s="731">
        <v>-0.04</v>
      </c>
      <c r="G4012" s="78"/>
    </row>
    <row r="4013" spans="1:8" hidden="1" outlineLevel="1" x14ac:dyDescent="0.25">
      <c r="A4013" s="751" t="s">
        <v>3195</v>
      </c>
      <c r="B4013" s="729" t="s">
        <v>115</v>
      </c>
      <c r="C4013" s="719">
        <v>3797.89</v>
      </c>
      <c r="D4013" s="719">
        <v>3566.59</v>
      </c>
      <c r="E4013" s="720">
        <f t="shared" si="147"/>
        <v>-6.090223782152715E-2</v>
      </c>
      <c r="F4013" s="731">
        <v>-0.04</v>
      </c>
      <c r="G4013" s="78"/>
    </row>
    <row r="4014" spans="1:8" hidden="1" outlineLevel="1" x14ac:dyDescent="0.25">
      <c r="A4014" s="751" t="s">
        <v>3196</v>
      </c>
      <c r="B4014" s="729" t="s">
        <v>115</v>
      </c>
      <c r="C4014" s="719">
        <v>3566.59</v>
      </c>
      <c r="D4014" s="719">
        <v>3671.28</v>
      </c>
      <c r="E4014" s="720">
        <f t="shared" si="147"/>
        <v>2.9352967400233743E-2</v>
      </c>
      <c r="F4014" s="731">
        <v>0</v>
      </c>
      <c r="G4014" s="78"/>
    </row>
    <row r="4015" spans="1:8" hidden="1" outlineLevel="1" x14ac:dyDescent="0.25">
      <c r="A4015" s="751" t="s">
        <v>3197</v>
      </c>
      <c r="B4015" s="729" t="s">
        <v>115</v>
      </c>
      <c r="C4015" s="719">
        <v>3671.28</v>
      </c>
      <c r="D4015" s="719">
        <v>3854.86</v>
      </c>
      <c r="E4015" s="720">
        <f t="shared" si="147"/>
        <v>5.0004358153014739E-2</v>
      </c>
      <c r="F4015" s="731">
        <v>0</v>
      </c>
      <c r="G4015" s="78"/>
    </row>
    <row r="4016" spans="1:8" hidden="1" outlineLevel="1" x14ac:dyDescent="0.25">
      <c r="A4016" s="751" t="s">
        <v>3198</v>
      </c>
      <c r="B4016" s="729" t="s">
        <v>115</v>
      </c>
      <c r="C4016" s="719">
        <v>3854.86</v>
      </c>
      <c r="D4016" s="719">
        <v>3562.67</v>
      </c>
      <c r="E4016" s="720">
        <f t="shared" si="147"/>
        <v>-7.5797824045490625E-2</v>
      </c>
      <c r="F4016" s="731">
        <v>-0.04</v>
      </c>
      <c r="G4016" s="78"/>
    </row>
    <row r="4017" spans="1:7" hidden="1" outlineLevel="1" x14ac:dyDescent="0.25">
      <c r="A4017" s="751" t="s">
        <v>1025</v>
      </c>
      <c r="B4017" s="729" t="s">
        <v>115</v>
      </c>
      <c r="C4017" s="719">
        <v>3562.67</v>
      </c>
      <c r="D4017" s="719">
        <v>3216.24</v>
      </c>
      <c r="E4017" s="720">
        <f t="shared" si="147"/>
        <v>-9.7238868601357997E-2</v>
      </c>
      <c r="F4017" s="731">
        <v>-0.04</v>
      </c>
      <c r="G4017" s="78"/>
    </row>
    <row r="4018" spans="1:7" hidden="1" outlineLevel="1" x14ac:dyDescent="0.25">
      <c r="A4018" s="751" t="s">
        <v>1026</v>
      </c>
      <c r="B4018" s="729" t="s">
        <v>115</v>
      </c>
      <c r="C4018" s="719">
        <v>3216.24</v>
      </c>
      <c r="D4018" s="719">
        <v>3356.84</v>
      </c>
      <c r="E4018" s="720">
        <f t="shared" si="147"/>
        <v>4.3715643111210678E-2</v>
      </c>
      <c r="F4018" s="731">
        <v>0</v>
      </c>
      <c r="G4018" s="78"/>
    </row>
    <row r="4019" spans="1:7" hidden="1" outlineLevel="1" x14ac:dyDescent="0.25">
      <c r="A4019" s="751" t="s">
        <v>2276</v>
      </c>
      <c r="B4019" s="729" t="s">
        <v>115</v>
      </c>
      <c r="C4019" s="719">
        <v>3356.84</v>
      </c>
      <c r="D4019" s="719">
        <v>3278.02</v>
      </c>
      <c r="E4019" s="720">
        <f t="shared" si="147"/>
        <v>-2.3480416105623236E-2</v>
      </c>
      <c r="F4019" s="731">
        <v>-0.04</v>
      </c>
      <c r="G4019" s="78"/>
    </row>
    <row r="4020" spans="1:7" hidden="1" outlineLevel="1" x14ac:dyDescent="0.25">
      <c r="A4020" s="751" t="s">
        <v>2277</v>
      </c>
      <c r="B4020" s="729" t="s">
        <v>115</v>
      </c>
      <c r="C4020" s="719">
        <v>3278.02</v>
      </c>
      <c r="D4020" s="719">
        <v>2756.94</v>
      </c>
      <c r="E4020" s="720">
        <f t="shared" si="147"/>
        <v>-0.15896181231353068</v>
      </c>
      <c r="F4020" s="731">
        <v>-0.04</v>
      </c>
      <c r="G4020" s="78"/>
    </row>
    <row r="4021" spans="1:7" hidden="1" outlineLevel="1" x14ac:dyDescent="0.25">
      <c r="A4021" s="751" t="s">
        <v>3550</v>
      </c>
      <c r="B4021" s="729" t="s">
        <v>115</v>
      </c>
      <c r="C4021" s="719">
        <v>2756.94</v>
      </c>
      <c r="D4021" s="719">
        <v>2456.4299999999998</v>
      </c>
      <c r="E4021" s="720">
        <f t="shared" si="147"/>
        <v>-0.10900128403229681</v>
      </c>
      <c r="F4021" s="731">
        <v>-0.04</v>
      </c>
      <c r="G4021" s="78"/>
    </row>
    <row r="4022" spans="1:7" hidden="1" outlineLevel="1" x14ac:dyDescent="0.25">
      <c r="A4022" s="751" t="s">
        <v>2729</v>
      </c>
      <c r="B4022" s="729" t="s">
        <v>115</v>
      </c>
      <c r="C4022" s="719">
        <v>2456.4299999999998</v>
      </c>
      <c r="D4022" s="719">
        <v>2418.91</v>
      </c>
      <c r="E4022" s="720">
        <f t="shared" si="147"/>
        <v>-1.5274198735563349E-2</v>
      </c>
      <c r="F4022" s="731">
        <v>-0.04</v>
      </c>
      <c r="G4022" s="78"/>
    </row>
    <row r="4023" spans="1:7" hidden="1" outlineLevel="1" x14ac:dyDescent="0.25">
      <c r="A4023" s="751" t="s">
        <v>2730</v>
      </c>
      <c r="B4023" s="729" t="s">
        <v>115</v>
      </c>
      <c r="C4023" s="719">
        <v>2418.91</v>
      </c>
      <c r="D4023" s="719">
        <v>2257.67</v>
      </c>
      <c r="E4023" s="720">
        <f t="shared" si="147"/>
        <v>-6.6658122873525572E-2</v>
      </c>
      <c r="F4023" s="731">
        <v>-0.04</v>
      </c>
      <c r="G4023" s="78"/>
    </row>
    <row r="4024" spans="1:7" hidden="1" outlineLevel="1" x14ac:dyDescent="0.25">
      <c r="A4024" s="751" t="s">
        <v>2951</v>
      </c>
      <c r="B4024" s="729" t="s">
        <v>115</v>
      </c>
      <c r="C4024" s="719">
        <v>2257.67</v>
      </c>
      <c r="D4024" s="719">
        <v>2228.29</v>
      </c>
      <c r="E4024" s="720">
        <f t="shared" si="147"/>
        <v>-1.3013416486909124E-2</v>
      </c>
      <c r="F4024" s="731">
        <v>-0.04</v>
      </c>
      <c r="G4024" s="78"/>
    </row>
    <row r="4025" spans="1:7" hidden="1" outlineLevel="1" x14ac:dyDescent="0.25">
      <c r="A4025" s="751" t="s">
        <v>2952</v>
      </c>
      <c r="B4025" s="729" t="s">
        <v>115</v>
      </c>
      <c r="C4025" s="719">
        <v>2228.29</v>
      </c>
      <c r="D4025" s="719"/>
      <c r="E4025" s="729"/>
      <c r="F4025" s="731"/>
      <c r="G4025" s="78"/>
    </row>
    <row r="4026" spans="1:7" hidden="1" outlineLevel="1" x14ac:dyDescent="0.25">
      <c r="A4026" s="751" t="s">
        <v>2953</v>
      </c>
      <c r="B4026" s="729" t="s">
        <v>115</v>
      </c>
      <c r="C4026" s="719"/>
      <c r="D4026" s="719"/>
      <c r="E4026" s="729"/>
      <c r="F4026" s="731"/>
      <c r="G4026" s="78"/>
    </row>
    <row r="4027" spans="1:7" hidden="1" outlineLevel="1" x14ac:dyDescent="0.25">
      <c r="A4027" s="751" t="s">
        <v>2954</v>
      </c>
      <c r="B4027" s="729" t="s">
        <v>115</v>
      </c>
      <c r="C4027" s="719"/>
      <c r="D4027" s="719"/>
      <c r="E4027" s="729"/>
      <c r="F4027" s="731"/>
      <c r="G4027" s="78"/>
    </row>
    <row r="4028" spans="1:7" hidden="1" outlineLevel="1" x14ac:dyDescent="0.25">
      <c r="A4028" s="751" t="s">
        <v>2955</v>
      </c>
      <c r="B4028" s="729" t="s">
        <v>115</v>
      </c>
      <c r="C4028" s="719"/>
      <c r="D4028" s="719"/>
      <c r="E4028" s="729"/>
      <c r="F4028" s="731"/>
      <c r="G4028" s="78"/>
    </row>
    <row r="4029" spans="1:7" hidden="1" outlineLevel="1" x14ac:dyDescent="0.25">
      <c r="A4029" s="751" t="s">
        <v>2956</v>
      </c>
      <c r="B4029" s="729" t="s">
        <v>115</v>
      </c>
      <c r="C4029" s="719"/>
      <c r="D4029" s="719"/>
      <c r="E4029" s="729"/>
      <c r="F4029" s="731"/>
      <c r="G4029" s="78"/>
    </row>
    <row r="4030" spans="1:7" hidden="1" outlineLevel="1" x14ac:dyDescent="0.25">
      <c r="A4030" s="751" t="s">
        <v>2957</v>
      </c>
      <c r="B4030" s="729" t="s">
        <v>115</v>
      </c>
      <c r="C4030" s="719"/>
      <c r="D4030" s="719"/>
      <c r="E4030" s="729"/>
      <c r="F4030" s="731"/>
      <c r="G4030" s="78"/>
    </row>
    <row r="4031" spans="1:7" hidden="1" outlineLevel="1" x14ac:dyDescent="0.25">
      <c r="A4031" s="751" t="s">
        <v>2440</v>
      </c>
      <c r="B4031" s="729" t="s">
        <v>115</v>
      </c>
      <c r="C4031" s="719"/>
      <c r="D4031" s="719"/>
      <c r="E4031" s="729"/>
      <c r="F4031" s="731"/>
      <c r="G4031" s="78"/>
    </row>
    <row r="4032" spans="1:7" hidden="1" outlineLevel="1" x14ac:dyDescent="0.25">
      <c r="A4032" s="751" t="s">
        <v>2441</v>
      </c>
      <c r="B4032" s="729" t="s">
        <v>115</v>
      </c>
      <c r="C4032" s="719"/>
      <c r="D4032" s="719"/>
      <c r="E4032" s="729"/>
      <c r="F4032" s="731"/>
      <c r="G4032" s="78"/>
    </row>
    <row r="4033" spans="1:9" hidden="1" outlineLevel="1" x14ac:dyDescent="0.25">
      <c r="A4033" s="751" t="s">
        <v>1866</v>
      </c>
      <c r="B4033" s="729" t="s">
        <v>115</v>
      </c>
      <c r="C4033" s="719"/>
      <c r="D4033" s="719"/>
      <c r="E4033" s="729"/>
      <c r="F4033" s="731"/>
      <c r="G4033" s="78"/>
    </row>
    <row r="4034" spans="1:9" hidden="1" outlineLevel="1" x14ac:dyDescent="0.25">
      <c r="A4034" s="751" t="s">
        <v>848</v>
      </c>
      <c r="B4034" s="729" t="s">
        <v>115</v>
      </c>
      <c r="C4034" s="719"/>
      <c r="D4034" s="719"/>
      <c r="E4034" s="729"/>
      <c r="F4034" s="731"/>
      <c r="G4034" s="78"/>
    </row>
    <row r="4035" spans="1:9" hidden="1" outlineLevel="1" x14ac:dyDescent="0.25">
      <c r="A4035" s="751" t="s">
        <v>849</v>
      </c>
      <c r="B4035" s="729" t="s">
        <v>115</v>
      </c>
      <c r="C4035" s="719"/>
      <c r="D4035" s="719"/>
      <c r="E4035" s="729"/>
      <c r="F4035" s="731"/>
      <c r="G4035" s="78"/>
    </row>
    <row r="4036" spans="1:9" ht="13.5" customHeight="1" collapsed="1" x14ac:dyDescent="0.25">
      <c r="A4036" s="3801" t="s">
        <v>1423</v>
      </c>
      <c r="B4036" s="3802"/>
      <c r="C4036" s="3802"/>
      <c r="D4036" s="3802"/>
      <c r="E4036" s="721" t="s">
        <v>3130</v>
      </c>
      <c r="F4036" s="722">
        <f>MAX(50%+SUM(F4006:F4035),0)</f>
        <v>0</v>
      </c>
      <c r="G4036" s="175" t="s">
        <v>781</v>
      </c>
    </row>
    <row r="4037" spans="1:9" x14ac:dyDescent="0.25">
      <c r="A4037" s="1"/>
      <c r="B4037" s="1"/>
      <c r="C4037" s="1"/>
      <c r="D4037" s="1"/>
      <c r="E4037" s="1"/>
      <c r="F4037" s="1848"/>
      <c r="G4037" s="78"/>
    </row>
    <row r="4038" spans="1:9" hidden="1" outlineLevel="1" x14ac:dyDescent="0.25">
      <c r="A4038" s="689" t="s">
        <v>113</v>
      </c>
      <c r="B4038" s="689" t="s">
        <v>114</v>
      </c>
      <c r="C4038" s="689" t="s">
        <v>112</v>
      </c>
      <c r="D4038" s="689" t="s">
        <v>116</v>
      </c>
      <c r="E4038" s="689" t="s">
        <v>117</v>
      </c>
      <c r="F4038" s="1188" t="s">
        <v>121</v>
      </c>
      <c r="G4038" s="78"/>
    </row>
    <row r="4039" spans="1:9" hidden="1" outlineLevel="1" x14ac:dyDescent="0.25">
      <c r="A4039" s="690">
        <v>1</v>
      </c>
      <c r="B4039" s="691" t="s">
        <v>252</v>
      </c>
      <c r="C4039" s="692">
        <v>100</v>
      </c>
      <c r="D4039" s="692"/>
      <c r="E4039" s="693"/>
      <c r="F4039" s="694"/>
      <c r="G4039" s="78"/>
    </row>
    <row r="4040" spans="1:9" hidden="1" outlineLevel="1" x14ac:dyDescent="0.25">
      <c r="A4040" s="695"/>
      <c r="B4040" s="695"/>
      <c r="C4040" s="696"/>
      <c r="D4040" s="697" t="s">
        <v>3702</v>
      </c>
      <c r="E4040" s="698">
        <f>indexy!$B$2</f>
        <v>45379</v>
      </c>
      <c r="F4040" s="699"/>
      <c r="G4040" s="78"/>
    </row>
    <row r="4041" spans="1:9" hidden="1" outlineLevel="1" x14ac:dyDescent="0.25">
      <c r="A4041" s="689" t="s">
        <v>4156</v>
      </c>
      <c r="B4041" s="689" t="s">
        <v>4153</v>
      </c>
      <c r="C4041" s="497" t="s">
        <v>112</v>
      </c>
      <c r="D4041" s="495" t="s">
        <v>4155</v>
      </c>
      <c r="E4041" s="689" t="s">
        <v>4154</v>
      </c>
      <c r="F4041" s="1021" t="s">
        <v>2519</v>
      </c>
      <c r="G4041" s="78"/>
    </row>
    <row r="4042" spans="1:9" hidden="1" outlineLevel="1" x14ac:dyDescent="0.25">
      <c r="A4042" s="999">
        <v>0.05</v>
      </c>
      <c r="B4042" s="1000" t="s">
        <v>3798</v>
      </c>
      <c r="C4042" s="1007">
        <v>7.9122000000000003</v>
      </c>
      <c r="D4042" s="803">
        <v>4.5039999999999996</v>
      </c>
      <c r="E4042" s="705">
        <f>D4042/C4042-1</f>
        <v>-0.43075250878390337</v>
      </c>
      <c r="F4042" s="1021">
        <f>E4042*A4042</f>
        <v>-2.1537625439195171E-2</v>
      </c>
      <c r="G4042" s="78"/>
      <c r="H4042" t="str">
        <f>VLOOKUP(B4042,indexy!$A$44:$D$234,3,FALSE)</f>
        <v>ENEL IM Equity</v>
      </c>
    </row>
    <row r="4043" spans="1:9" hidden="1" outlineLevel="1" x14ac:dyDescent="0.25">
      <c r="A4043" s="1002">
        <v>0.04</v>
      </c>
      <c r="B4043" s="996" t="s">
        <v>2630</v>
      </c>
      <c r="C4043" s="1008">
        <v>20.457999999999998</v>
      </c>
      <c r="D4043" s="908">
        <v>14.664999999999999</v>
      </c>
      <c r="E4043" s="709">
        <f t="shared" ref="E4043:E4071" si="148">D4043/C4043-1</f>
        <v>-0.28316550982500732</v>
      </c>
      <c r="F4043" s="946">
        <f t="shared" ref="F4043:F4071" si="149">E4043*A4043</f>
        <v>-1.1326620393000293E-2</v>
      </c>
      <c r="G4043" s="78"/>
      <c r="H4043" t="e">
        <f>VLOOKUP(B4043,indexy!$A$44:$D$234,3,FALSE)</f>
        <v>#N/A</v>
      </c>
    </row>
    <row r="4044" spans="1:9" hidden="1" outlineLevel="1" x14ac:dyDescent="0.25">
      <c r="A4044" s="1002">
        <v>0.04</v>
      </c>
      <c r="B4044" s="996" t="s">
        <v>2983</v>
      </c>
      <c r="C4044" s="1008">
        <f>7.0675*100</f>
        <v>706.75</v>
      </c>
      <c r="D4044" s="908">
        <v>599</v>
      </c>
      <c r="E4044" s="709">
        <f t="shared" si="148"/>
        <v>-0.15245843650512914</v>
      </c>
      <c r="F4044" s="946">
        <f t="shared" si="149"/>
        <v>-6.0983374602051653E-3</v>
      </c>
      <c r="G4044" s="78"/>
      <c r="H4044" t="str">
        <f>VLOOKUP(B4044,indexy!$A$44:$D$234,3,FALSE)</f>
        <v>UU/ LN Equity</v>
      </c>
    </row>
    <row r="4045" spans="1:9" hidden="1" outlineLevel="1" x14ac:dyDescent="0.25">
      <c r="A4045" s="1002">
        <v>0.05</v>
      </c>
      <c r="B4045" s="996" t="s">
        <v>2629</v>
      </c>
      <c r="C4045" s="1008">
        <v>13.493</v>
      </c>
      <c r="D4045" s="908">
        <v>10.815</v>
      </c>
      <c r="E4045" s="709">
        <f t="shared" si="148"/>
        <v>-0.1984732824427482</v>
      </c>
      <c r="F4045" s="946">
        <f t="shared" si="149"/>
        <v>-9.92366412213741E-3</v>
      </c>
      <c r="G4045" s="78"/>
      <c r="H4045" t="str">
        <f>VLOOKUP(B4045,indexy!$A$44:$D$234,3,FALSE)</f>
        <v>DTE GY Equity</v>
      </c>
    </row>
    <row r="4046" spans="1:9" hidden="1" outlineLevel="1" x14ac:dyDescent="0.25">
      <c r="A4046" s="1002">
        <v>0.04</v>
      </c>
      <c r="B4046" s="996" t="s">
        <v>1527</v>
      </c>
      <c r="C4046" s="1008">
        <v>2.0701999999999998</v>
      </c>
      <c r="D4046" s="908">
        <v>0.95950000000000002</v>
      </c>
      <c r="E4046" s="709">
        <f t="shared" si="148"/>
        <v>-0.5365182108008888</v>
      </c>
      <c r="F4046" s="946">
        <f t="shared" si="149"/>
        <v>-2.1460728432035552E-2</v>
      </c>
      <c r="G4046" s="78"/>
      <c r="H4046" t="str">
        <f>VLOOKUP(B4046,indexy!$A$44:$D$234,3,FALSE)</f>
        <v>TIT IM Equity</v>
      </c>
    </row>
    <row r="4047" spans="1:9" hidden="1" outlineLevel="1" x14ac:dyDescent="0.25">
      <c r="A4047" s="1002">
        <v>0.05</v>
      </c>
      <c r="B4047" s="996" t="s">
        <v>576</v>
      </c>
      <c r="C4047" s="1008">
        <v>20.536999999999999</v>
      </c>
      <c r="D4047" s="908">
        <v>7.48</v>
      </c>
      <c r="E4047" s="709">
        <f t="shared" si="148"/>
        <v>-0.63577932512051416</v>
      </c>
      <c r="F4047" s="946">
        <f t="shared" si="149"/>
        <v>-3.1788966256025709E-2</v>
      </c>
      <c r="G4047" s="78"/>
      <c r="H4047" t="e">
        <f>VLOOKUP(B4047,indexy!$A$44:$D$234,3,FALSE)</f>
        <v>#N/A</v>
      </c>
    </row>
    <row r="4048" spans="1:9" hidden="1" outlineLevel="1" x14ac:dyDescent="0.25">
      <c r="A4048" s="1002">
        <v>0.05</v>
      </c>
      <c r="B4048" s="996" t="s">
        <v>157</v>
      </c>
      <c r="C4048" s="1008">
        <v>13.4979456</v>
      </c>
      <c r="D4048" s="908">
        <v>7.9630000000000001</v>
      </c>
      <c r="E4048" s="709">
        <f t="shared" si="148"/>
        <v>-0.41005837214220209</v>
      </c>
      <c r="F4048" s="946">
        <f t="shared" si="149"/>
        <v>-2.0502918607110107E-2</v>
      </c>
      <c r="G4048" s="78"/>
      <c r="H4048" t="str">
        <f>VLOOKUP(B4048,indexy!$A$44:$D$234,3,FALSE)</f>
        <v>SAN SM Equity</v>
      </c>
      <c r="I4048" s="106"/>
    </row>
    <row r="4049" spans="1:8" hidden="1" outlineLevel="1" x14ac:dyDescent="0.25">
      <c r="A4049" s="1002">
        <v>0.04</v>
      </c>
      <c r="B4049" s="996" t="s">
        <v>3427</v>
      </c>
      <c r="C4049" s="1008">
        <v>34.398000000000003</v>
      </c>
      <c r="D4049" s="908">
        <v>40.380000000000003</v>
      </c>
      <c r="E4049" s="709">
        <f t="shared" si="148"/>
        <v>0.17390545961974535</v>
      </c>
      <c r="F4049" s="946">
        <f t="shared" si="149"/>
        <v>6.9562183847898139E-3</v>
      </c>
      <c r="G4049" s="78"/>
      <c r="H4049" t="str">
        <f>VLOOKUP(B4049,indexy!$A$44:$D$234,3,FALSE)</f>
        <v>SO UN Equity</v>
      </c>
    </row>
    <row r="4050" spans="1:8" hidden="1" outlineLevel="1" x14ac:dyDescent="0.25">
      <c r="A4050" s="1002">
        <v>0.04</v>
      </c>
      <c r="B4050" s="996" t="s">
        <v>1994</v>
      </c>
      <c r="C4050" s="1008">
        <v>49.106999999999999</v>
      </c>
      <c r="D4050" s="908">
        <v>10.96</v>
      </c>
      <c r="E4050" s="709">
        <f t="shared" si="148"/>
        <v>-0.77681389618587982</v>
      </c>
      <c r="F4050" s="946">
        <f t="shared" si="149"/>
        <v>-3.1072555847435193E-2</v>
      </c>
      <c r="G4050" s="78"/>
      <c r="H4050" t="str">
        <f>VLOOKUP(B4050,indexy!$A$44:$D$234,3,FALSE)</f>
        <v>BAC UN Equity</v>
      </c>
    </row>
    <row r="4051" spans="1:8" hidden="1" outlineLevel="1" x14ac:dyDescent="0.25">
      <c r="A4051" s="1002">
        <v>0.04</v>
      </c>
      <c r="B4051" s="996" t="s">
        <v>1847</v>
      </c>
      <c r="C4051" s="1008">
        <f>51.748*10</f>
        <v>517.48</v>
      </c>
      <c r="D4051" s="908">
        <v>41.64</v>
      </c>
      <c r="E4051" s="709">
        <f t="shared" si="148"/>
        <v>-0.91953312205302618</v>
      </c>
      <c r="F4051" s="946">
        <f t="shared" si="149"/>
        <v>-3.6781324882121047E-2</v>
      </c>
      <c r="G4051" s="78"/>
      <c r="H4051" t="str">
        <f>VLOOKUP(B4051,indexy!$A$44:$D$234,3,FALSE)</f>
        <v>C UN Equity</v>
      </c>
    </row>
    <row r="4052" spans="1:8" hidden="1" outlineLevel="1" x14ac:dyDescent="0.25">
      <c r="A4052" s="1002">
        <v>0.03</v>
      </c>
      <c r="B4052" s="996" t="s">
        <v>44</v>
      </c>
      <c r="C4052" s="1008">
        <v>5.4196999999999997</v>
      </c>
      <c r="D4052" s="908">
        <v>1.8359999999999999</v>
      </c>
      <c r="E4052" s="709">
        <f t="shared" si="148"/>
        <v>-0.6612358617635663</v>
      </c>
      <c r="F4052" s="946">
        <f t="shared" si="149"/>
        <v>-1.9837075852906987E-2</v>
      </c>
      <c r="G4052" s="78"/>
      <c r="H4052" t="str">
        <f>VLOOKUP(B4052,indexy!$A$44:$D$234,3,FALSE)</f>
        <v>ISP IM Equity</v>
      </c>
    </row>
    <row r="4053" spans="1:8" hidden="1" outlineLevel="1" x14ac:dyDescent="0.25">
      <c r="A4053" s="1002">
        <v>0.04</v>
      </c>
      <c r="B4053" s="996" t="s">
        <v>3801</v>
      </c>
      <c r="C4053" s="1008">
        <v>80.478999999999999</v>
      </c>
      <c r="D4053" s="908">
        <v>38.234999999999999</v>
      </c>
      <c r="E4053" s="709">
        <f t="shared" si="148"/>
        <v>-0.5249071186272195</v>
      </c>
      <c r="F4053" s="946">
        <f t="shared" si="149"/>
        <v>-2.0996284745088779E-2</v>
      </c>
      <c r="G4053" s="78"/>
      <c r="H4053" t="str">
        <f>VLOOKUP(B4053,indexy!$A$44:$D$234,3,FALSE)</f>
        <v>RWE GY Equity</v>
      </c>
    </row>
    <row r="4054" spans="1:8" hidden="1" outlineLevel="1" x14ac:dyDescent="0.25">
      <c r="A4054" s="1002">
        <v>0.04</v>
      </c>
      <c r="B4054" s="996" t="s">
        <v>3792</v>
      </c>
      <c r="C4054" s="1008">
        <v>59.152999999999999</v>
      </c>
      <c r="D4054" s="908">
        <v>34.57</v>
      </c>
      <c r="E4054" s="709">
        <f t="shared" si="148"/>
        <v>-0.41558331783679614</v>
      </c>
      <c r="F4054" s="946">
        <f t="shared" si="149"/>
        <v>-1.6623332713471845E-2</v>
      </c>
      <c r="G4054" s="78"/>
      <c r="H4054" t="str">
        <f>VLOOKUP(B4054,indexy!$A$44:$D$234,3,FALSE)</f>
        <v>CMA UN Equity</v>
      </c>
    </row>
    <row r="4055" spans="1:8" hidden="1" outlineLevel="1" x14ac:dyDescent="0.25">
      <c r="A4055" s="1002">
        <v>0.03</v>
      </c>
      <c r="B4055" s="996" t="s">
        <v>4110</v>
      </c>
      <c r="C4055" s="1008">
        <f>87.707/2</f>
        <v>43.853499999999997</v>
      </c>
      <c r="D4055" s="908">
        <v>48.27</v>
      </c>
      <c r="E4055" s="709">
        <f t="shared" si="148"/>
        <v>0.10071031958680621</v>
      </c>
      <c r="F4055" s="946">
        <f t="shared" si="149"/>
        <v>3.021309587604186E-3</v>
      </c>
      <c r="G4055" s="78"/>
      <c r="H4055" t="e">
        <f>VLOOKUP(B4055,indexy!$A$44:$D$234,3,FALSE)</f>
        <v>#N/A</v>
      </c>
    </row>
    <row r="4056" spans="1:8" hidden="1" outlineLevel="1" x14ac:dyDescent="0.25">
      <c r="A4056" s="1002">
        <v>0.03</v>
      </c>
      <c r="B4056" s="996" t="s">
        <v>1031</v>
      </c>
      <c r="C4056" s="1008">
        <v>10.177250000000001</v>
      </c>
      <c r="D4056" s="908">
        <v>6.1370000000000005</v>
      </c>
      <c r="E4056" s="709">
        <f t="shared" si="148"/>
        <v>-0.39698838094770195</v>
      </c>
      <c r="F4056" s="946">
        <f t="shared" si="149"/>
        <v>-1.1909651428431058E-2</v>
      </c>
      <c r="G4056" s="78"/>
      <c r="H4056" t="str">
        <f>VLOOKUP(B4056,indexy!$A$44:$D$234,3,FALSE)</f>
        <v>IBE SQ Equity</v>
      </c>
    </row>
    <row r="4057" spans="1:8" hidden="1" outlineLevel="1" x14ac:dyDescent="0.25">
      <c r="A4057" s="1002">
        <v>0.02</v>
      </c>
      <c r="B4057" s="996" t="s">
        <v>281</v>
      </c>
      <c r="C4057" s="1008">
        <v>35.430999999999997</v>
      </c>
      <c r="D4057" s="908">
        <v>8.33</v>
      </c>
      <c r="E4057" s="709">
        <f t="shared" si="148"/>
        <v>-0.76489514831644601</v>
      </c>
      <c r="F4057" s="946">
        <f t="shared" si="149"/>
        <v>-1.529790296632892E-2</v>
      </c>
      <c r="G4057" s="78"/>
      <c r="H4057" t="str">
        <f>VLOOKUP(B4057,indexy!$A$44:$D$234,3,FALSE)</f>
        <v>KEY UN Equity</v>
      </c>
    </row>
    <row r="4058" spans="1:8" hidden="1" outlineLevel="1" x14ac:dyDescent="0.25">
      <c r="A4058" s="1002">
        <v>0.03</v>
      </c>
      <c r="B4058" s="996" t="s">
        <v>2984</v>
      </c>
      <c r="C4058" s="1008">
        <v>18.178999999999998</v>
      </c>
      <c r="D4058" s="908">
        <v>8.09</v>
      </c>
      <c r="E4058" s="709">
        <f t="shared" si="148"/>
        <v>-0.55498102205841904</v>
      </c>
      <c r="F4058" s="946">
        <f t="shared" si="149"/>
        <v>-1.6649430661752569E-2</v>
      </c>
      <c r="G4058" s="78"/>
      <c r="H4058" t="str">
        <f>VLOOKUP(B4058,indexy!$A$44:$D$234,3,FALSE)</f>
        <v>BBVA SM Equity</v>
      </c>
    </row>
    <row r="4059" spans="1:8" hidden="1" outlineLevel="1" x14ac:dyDescent="0.25">
      <c r="A4059" s="1002">
        <v>0.03</v>
      </c>
      <c r="B4059" s="996" t="s">
        <v>2166</v>
      </c>
      <c r="C4059" s="1008">
        <v>136.84399999999999</v>
      </c>
      <c r="D4059" s="908">
        <v>40.92</v>
      </c>
      <c r="E4059" s="709">
        <f t="shared" si="148"/>
        <v>-0.70097337113793801</v>
      </c>
      <c r="F4059" s="946">
        <f t="shared" si="149"/>
        <v>-2.1029201134138139E-2</v>
      </c>
      <c r="G4059" s="78"/>
      <c r="H4059" t="str">
        <f>VLOOKUP(B4059,indexy!$A$44:$D$234,3,FALSE)</f>
        <v>GLE FP Equity</v>
      </c>
    </row>
    <row r="4060" spans="1:8" hidden="1" outlineLevel="1" x14ac:dyDescent="0.25">
      <c r="A4060" s="1002">
        <v>0.02</v>
      </c>
      <c r="B4060" s="996" t="s">
        <v>3656</v>
      </c>
      <c r="C4060" s="1008">
        <v>148.27500000000001</v>
      </c>
      <c r="D4060" s="908">
        <v>183</v>
      </c>
      <c r="E4060" s="709">
        <f t="shared" si="148"/>
        <v>0.23419322205361648</v>
      </c>
      <c r="F4060" s="946">
        <f t="shared" si="149"/>
        <v>4.68386444107233E-3</v>
      </c>
      <c r="G4060" s="78"/>
      <c r="H4060" t="str">
        <f>VLOOKUP(B4060,indexy!$A$44:$D$234,3,FALSE)</f>
        <v>SKFB SS Equity</v>
      </c>
    </row>
    <row r="4061" spans="1:8" hidden="1" outlineLevel="1" x14ac:dyDescent="0.25">
      <c r="A4061" s="1002">
        <v>0.03</v>
      </c>
      <c r="B4061" s="996" t="s">
        <v>901</v>
      </c>
      <c r="C4061" s="1008">
        <f>16.55*100</f>
        <v>1655</v>
      </c>
      <c r="D4061" s="908">
        <v>2731</v>
      </c>
      <c r="E4061" s="709">
        <f t="shared" si="148"/>
        <v>0.65015105740181278</v>
      </c>
      <c r="F4061" s="946">
        <f t="shared" si="149"/>
        <v>1.9504531722054384E-2</v>
      </c>
      <c r="G4061" s="78"/>
      <c r="H4061" t="str">
        <f>VLOOKUP(B4061,indexy!$A$44:$D$234,3,FALSE)</f>
        <v>BATS LN Equity</v>
      </c>
    </row>
    <row r="4062" spans="1:8" hidden="1" outlineLevel="1" x14ac:dyDescent="0.25">
      <c r="A4062" s="1002">
        <v>0.02</v>
      </c>
      <c r="B4062" s="996" t="s">
        <v>4025</v>
      </c>
      <c r="C4062" s="1008">
        <v>67.835999999999999</v>
      </c>
      <c r="D4062" s="908">
        <v>51.9</v>
      </c>
      <c r="E4062" s="709">
        <f t="shared" si="148"/>
        <v>-0.23491951176366532</v>
      </c>
      <c r="F4062" s="946">
        <f t="shared" si="149"/>
        <v>-4.6983902352733063E-3</v>
      </c>
      <c r="G4062" s="78"/>
      <c r="H4062" t="str">
        <f>VLOOKUP(B4062,indexy!$A$44:$D$234,3,FALSE)</f>
        <v>MBG GR Equity</v>
      </c>
    </row>
    <row r="4063" spans="1:8" hidden="1" outlineLevel="1" x14ac:dyDescent="0.25">
      <c r="A4063" s="1002">
        <v>0.02</v>
      </c>
      <c r="B4063" s="996" t="s">
        <v>1709</v>
      </c>
      <c r="C4063" s="1008">
        <v>146.6</v>
      </c>
      <c r="D4063" s="908">
        <v>110.9</v>
      </c>
      <c r="E4063" s="709">
        <f t="shared" si="148"/>
        <v>-0.24351978171896305</v>
      </c>
      <c r="F4063" s="946">
        <f t="shared" si="149"/>
        <v>-4.8703956343792614E-3</v>
      </c>
      <c r="G4063" s="78"/>
      <c r="H4063" t="str">
        <f>VLOOKUP(B4063,indexy!$A$44:$D$234,3,FALSE)</f>
        <v>SAND SS Equity</v>
      </c>
    </row>
    <row r="4064" spans="1:8" hidden="1" outlineLevel="1" x14ac:dyDescent="0.25">
      <c r="A4064" s="1002">
        <v>0.03</v>
      </c>
      <c r="B4064" s="996" t="s">
        <v>3020</v>
      </c>
      <c r="C4064" s="1008">
        <v>55.91</v>
      </c>
      <c r="D4064" s="908">
        <v>54.99</v>
      </c>
      <c r="E4064" s="709">
        <f t="shared" si="148"/>
        <v>-1.6455016991593574E-2</v>
      </c>
      <c r="F4064" s="946">
        <f t="shared" si="149"/>
        <v>-4.9365050974780722E-4</v>
      </c>
      <c r="G4064" s="78"/>
      <c r="H4064" t="str">
        <f>VLOOKUP(B4064,indexy!$A$44:$D$234,3,FALSE)</f>
        <v>BAYN GR Equity</v>
      </c>
    </row>
    <row r="4065" spans="1:9" hidden="1" outlineLevel="1" x14ac:dyDescent="0.25">
      <c r="A4065" s="1002">
        <v>0.03</v>
      </c>
      <c r="B4065" s="996" t="s">
        <v>181</v>
      </c>
      <c r="C4065" s="1008">
        <v>109.14</v>
      </c>
      <c r="D4065" s="908">
        <v>46.97</v>
      </c>
      <c r="E4065" s="709">
        <f t="shared" si="148"/>
        <v>-0.56963533076782114</v>
      </c>
      <c r="F4065" s="946">
        <f t="shared" si="149"/>
        <v>-1.7089059923034635E-2</v>
      </c>
      <c r="G4065" s="78"/>
      <c r="H4065" t="e">
        <f>VLOOKUP(B4065,indexy!$A$44:$D$234,3,FALSE)</f>
        <v>#N/A</v>
      </c>
    </row>
    <row r="4066" spans="1:9" hidden="1" outlineLevel="1" x14ac:dyDescent="0.25">
      <c r="A4066" s="1002">
        <v>0.03</v>
      </c>
      <c r="B4066" s="996" t="s">
        <v>279</v>
      </c>
      <c r="C4066" s="1008">
        <v>102.379</v>
      </c>
      <c r="D4066" s="908">
        <v>115.2</v>
      </c>
      <c r="E4066" s="709">
        <f t="shared" si="148"/>
        <v>0.12523076021449708</v>
      </c>
      <c r="F4066" s="946">
        <f t="shared" si="149"/>
        <v>3.7569228064349126E-3</v>
      </c>
      <c r="G4066" s="78"/>
      <c r="H4066" t="str">
        <f>VLOOKUP(B4066,indexy!$A$44:$D$234,3,FALSE)</f>
        <v>SU FP Equity</v>
      </c>
    </row>
    <row r="4067" spans="1:9" hidden="1" outlineLevel="1" x14ac:dyDescent="0.25">
      <c r="A4067" s="1002">
        <v>0.03</v>
      </c>
      <c r="B4067" s="996" t="s">
        <v>1526</v>
      </c>
      <c r="C4067" s="1008">
        <v>98.95</v>
      </c>
      <c r="D4067" s="908">
        <v>27.1</v>
      </c>
      <c r="E4067" s="709">
        <f t="shared" si="148"/>
        <v>-0.72612430520464888</v>
      </c>
      <c r="F4067" s="946">
        <f t="shared" si="149"/>
        <v>-2.1783729156139464E-2</v>
      </c>
      <c r="G4067" s="78"/>
      <c r="H4067" t="str">
        <f>VLOOKUP(B4067,indexy!$A$44:$D$234,3,FALSE)</f>
        <v>KBC BB Equity</v>
      </c>
    </row>
    <row r="4068" spans="1:9" hidden="1" outlineLevel="1" x14ac:dyDescent="0.25">
      <c r="A4068" s="1002">
        <v>0.02</v>
      </c>
      <c r="B4068" s="996" t="s">
        <v>4064</v>
      </c>
      <c r="C4068" s="1008">
        <v>56.27</v>
      </c>
      <c r="D4068" s="908">
        <v>37.53</v>
      </c>
      <c r="E4068" s="709">
        <f t="shared" si="148"/>
        <v>-0.33303714234938686</v>
      </c>
      <c r="F4068" s="946">
        <f t="shared" si="149"/>
        <v>-6.6607428469877376E-3</v>
      </c>
      <c r="G4068" s="78"/>
      <c r="H4068" t="str">
        <f>VLOOKUP(B4068,indexy!$A$44:$D$234,3,FALSE)</f>
        <v>LLY UN Equity</v>
      </c>
    </row>
    <row r="4069" spans="1:9" hidden="1" outlineLevel="1" x14ac:dyDescent="0.25">
      <c r="A4069" s="1002">
        <v>0.02</v>
      </c>
      <c r="B4069" s="996" t="s">
        <v>280</v>
      </c>
      <c r="C4069" s="1008">
        <v>63.905000000000001</v>
      </c>
      <c r="D4069" s="908">
        <v>43.5</v>
      </c>
      <c r="E4069" s="709">
        <f t="shared" si="148"/>
        <v>-0.31930208903841639</v>
      </c>
      <c r="F4069" s="946">
        <f t="shared" si="149"/>
        <v>-6.3860417807683279E-3</v>
      </c>
      <c r="G4069" s="78"/>
      <c r="H4069" t="str">
        <f>VLOOKUP(B4069,indexy!$A$44:$D$234,3,FALSE)</f>
        <v>AKZA NA Equity</v>
      </c>
    </row>
    <row r="4070" spans="1:9" hidden="1" outlineLevel="1" x14ac:dyDescent="0.25">
      <c r="A4070" s="1002">
        <v>0.03</v>
      </c>
      <c r="B4070" s="996" t="s">
        <v>51</v>
      </c>
      <c r="C4070" s="1008">
        <v>83.846999999999994</v>
      </c>
      <c r="D4070" s="908">
        <v>44.655000000000001</v>
      </c>
      <c r="E4070" s="709">
        <f t="shared" si="148"/>
        <v>-0.46742280582489526</v>
      </c>
      <c r="F4070" s="946">
        <f t="shared" si="149"/>
        <v>-1.4022684174746858E-2</v>
      </c>
      <c r="G4070" s="78"/>
      <c r="H4070" t="str">
        <f>VLOOKUP(B4070,indexy!$A$44:$D$234,3,FALSE)</f>
        <v>SGO FP Equity</v>
      </c>
    </row>
    <row r="4071" spans="1:9" hidden="1" outlineLevel="1" x14ac:dyDescent="0.25">
      <c r="A4071" s="1004">
        <v>0.03</v>
      </c>
      <c r="B4071" s="997" t="s">
        <v>3022</v>
      </c>
      <c r="C4071" s="1009">
        <v>8020</v>
      </c>
      <c r="D4071" s="1009">
        <v>3715</v>
      </c>
      <c r="E4071" s="716">
        <f t="shared" si="148"/>
        <v>-0.53678304239401498</v>
      </c>
      <c r="F4071" s="1023">
        <f t="shared" si="149"/>
        <v>-1.6103491271820449E-2</v>
      </c>
      <c r="G4071" s="78"/>
      <c r="H4071" t="str">
        <f>VLOOKUP(B4071,indexy!$A$44:$D$234,3,FALSE)</f>
        <v>4502 JT Equity</v>
      </c>
    </row>
    <row r="4072" spans="1:9" hidden="1" outlineLevel="1" x14ac:dyDescent="0.25">
      <c r="A4072" s="749"/>
      <c r="B4072" s="750"/>
      <c r="C4072" s="727"/>
      <c r="D4072" s="727"/>
      <c r="E4072" s="716"/>
      <c r="F4072" s="770">
        <f>SUM(F4042:F4071)</f>
        <v>-0.36702095953232605</v>
      </c>
      <c r="G4072" s="78"/>
    </row>
    <row r="4073" spans="1:9" hidden="1" outlineLevel="1" x14ac:dyDescent="0.25">
      <c r="A4073" s="749"/>
      <c r="B4073" s="750"/>
      <c r="C4073" s="727"/>
      <c r="D4073" s="727"/>
      <c r="E4073" s="716"/>
      <c r="F4073" s="770"/>
      <c r="G4073" s="78"/>
    </row>
    <row r="4074" spans="1:9" hidden="1" outlineLevel="1" x14ac:dyDescent="0.25">
      <c r="A4074" s="962" t="s">
        <v>850</v>
      </c>
      <c r="B4074" s="944">
        <v>39326</v>
      </c>
      <c r="C4074" s="727">
        <v>100</v>
      </c>
      <c r="D4074" s="814">
        <v>98.143500000000003</v>
      </c>
      <c r="E4074" s="716">
        <f t="shared" ref="E4074:E4089" si="150">D4074/C4074-1</f>
        <v>-1.8564999999999943E-2</v>
      </c>
      <c r="F4074" s="731">
        <f>E4074</f>
        <v>-1.8564999999999943E-2</v>
      </c>
      <c r="G4074" s="78"/>
    </row>
    <row r="4075" spans="1:9" hidden="1" outlineLevel="1" x14ac:dyDescent="0.25">
      <c r="A4075" s="962" t="s">
        <v>851</v>
      </c>
      <c r="B4075" s="944">
        <v>39417</v>
      </c>
      <c r="C4075" s="727">
        <v>100</v>
      </c>
      <c r="D4075" s="814">
        <v>95.557000000000002</v>
      </c>
      <c r="E4075" s="716">
        <f t="shared" si="150"/>
        <v>-4.442999999999997E-2</v>
      </c>
      <c r="F4075" s="731">
        <f t="shared" ref="F4075:F4089" si="151">E4075</f>
        <v>-4.442999999999997E-2</v>
      </c>
      <c r="G4075" s="78"/>
      <c r="I4075" s="201"/>
    </row>
    <row r="4076" spans="1:9" hidden="1" outlineLevel="1" x14ac:dyDescent="0.25">
      <c r="A4076" s="962" t="s">
        <v>852</v>
      </c>
      <c r="B4076" s="944">
        <v>39508</v>
      </c>
      <c r="C4076" s="727">
        <v>100</v>
      </c>
      <c r="D4076" s="814">
        <v>80.884</v>
      </c>
      <c r="E4076" s="716">
        <f t="shared" si="150"/>
        <v>-0.19116</v>
      </c>
      <c r="F4076" s="731">
        <f t="shared" si="151"/>
        <v>-0.19116</v>
      </c>
      <c r="G4076" s="78"/>
      <c r="I4076" s="201"/>
    </row>
    <row r="4077" spans="1:9" hidden="1" outlineLevel="1" x14ac:dyDescent="0.25">
      <c r="A4077" s="962" t="s">
        <v>853</v>
      </c>
      <c r="B4077" s="944">
        <v>39600</v>
      </c>
      <c r="C4077" s="727">
        <v>100</v>
      </c>
      <c r="D4077" s="814">
        <v>72.422799999999995</v>
      </c>
      <c r="E4077" s="716">
        <f t="shared" si="150"/>
        <v>-0.27577200000000002</v>
      </c>
      <c r="F4077" s="731">
        <f t="shared" si="151"/>
        <v>-0.27577200000000002</v>
      </c>
      <c r="G4077" s="78"/>
      <c r="I4077" s="201"/>
    </row>
    <row r="4078" spans="1:9" hidden="1" outlineLevel="1" x14ac:dyDescent="0.25">
      <c r="A4078" s="962" t="s">
        <v>854</v>
      </c>
      <c r="B4078" s="944">
        <v>39692</v>
      </c>
      <c r="C4078" s="727">
        <v>100</v>
      </c>
      <c r="D4078" s="814">
        <v>70.387900000000002</v>
      </c>
      <c r="E4078" s="716">
        <f t="shared" si="150"/>
        <v>-0.29612099999999997</v>
      </c>
      <c r="F4078" s="731">
        <f t="shared" si="151"/>
        <v>-0.29612099999999997</v>
      </c>
      <c r="G4078" s="78"/>
      <c r="I4078" s="201"/>
    </row>
    <row r="4079" spans="1:9" hidden="1" outlineLevel="1" x14ac:dyDescent="0.25">
      <c r="A4079" s="962" t="s">
        <v>855</v>
      </c>
      <c r="B4079" s="944">
        <v>39783</v>
      </c>
      <c r="C4079" s="727">
        <v>100</v>
      </c>
      <c r="D4079" s="814">
        <v>57.134599999999999</v>
      </c>
      <c r="E4079" s="716">
        <f t="shared" si="150"/>
        <v>-0.42865399999999998</v>
      </c>
      <c r="F4079" s="731">
        <f t="shared" si="151"/>
        <v>-0.42865399999999998</v>
      </c>
      <c r="G4079" s="78"/>
      <c r="I4079" s="201"/>
    </row>
    <row r="4080" spans="1:9" hidden="1" outlineLevel="1" x14ac:dyDescent="0.25">
      <c r="A4080" s="962" t="s">
        <v>856</v>
      </c>
      <c r="B4080" s="944">
        <v>39873</v>
      </c>
      <c r="C4080" s="727">
        <v>100</v>
      </c>
      <c r="D4080" s="814">
        <v>45.537100000000002</v>
      </c>
      <c r="E4080" s="716">
        <f t="shared" si="150"/>
        <v>-0.54462900000000003</v>
      </c>
      <c r="F4080" s="731">
        <f t="shared" si="151"/>
        <v>-0.54462900000000003</v>
      </c>
      <c r="G4080" s="78"/>
      <c r="I4080" s="201"/>
    </row>
    <row r="4081" spans="1:33" hidden="1" outlineLevel="1" x14ac:dyDescent="0.25">
      <c r="A4081" s="962" t="s">
        <v>857</v>
      </c>
      <c r="B4081" s="944">
        <v>39965</v>
      </c>
      <c r="C4081" s="727">
        <v>100</v>
      </c>
      <c r="D4081" s="814">
        <v>50.781500000000001</v>
      </c>
      <c r="E4081" s="716">
        <f t="shared" si="150"/>
        <v>-0.49218499999999998</v>
      </c>
      <c r="F4081" s="731">
        <f t="shared" si="151"/>
        <v>-0.49218499999999998</v>
      </c>
      <c r="G4081" s="78"/>
      <c r="I4081" s="201"/>
    </row>
    <row r="4082" spans="1:33" hidden="1" outlineLevel="1" x14ac:dyDescent="0.25">
      <c r="A4082" s="962" t="s">
        <v>858</v>
      </c>
      <c r="B4082" s="944">
        <v>40057</v>
      </c>
      <c r="C4082" s="727">
        <v>100</v>
      </c>
      <c r="D4082" s="814">
        <v>60.778799999999997</v>
      </c>
      <c r="E4082" s="716">
        <f t="shared" si="150"/>
        <v>-0.39221200000000001</v>
      </c>
      <c r="F4082" s="731">
        <f t="shared" si="151"/>
        <v>-0.39221200000000001</v>
      </c>
      <c r="G4082" s="78"/>
      <c r="I4082" s="201"/>
    </row>
    <row r="4083" spans="1:33" hidden="1" outlineLevel="1" x14ac:dyDescent="0.25">
      <c r="A4083" s="962" t="s">
        <v>859</v>
      </c>
      <c r="B4083" s="944">
        <v>40148</v>
      </c>
      <c r="C4083" s="727">
        <v>100</v>
      </c>
      <c r="D4083" s="814">
        <v>62.838799999999999</v>
      </c>
      <c r="E4083" s="716">
        <f t="shared" si="150"/>
        <v>-0.37161200000000005</v>
      </c>
      <c r="F4083" s="731">
        <f t="shared" si="151"/>
        <v>-0.37161200000000005</v>
      </c>
      <c r="G4083" s="78"/>
      <c r="I4083" s="201"/>
    </row>
    <row r="4084" spans="1:33" hidden="1" outlineLevel="1" x14ac:dyDescent="0.25">
      <c r="A4084" s="962" t="s">
        <v>860</v>
      </c>
      <c r="B4084" s="944">
        <v>40238</v>
      </c>
      <c r="C4084" s="727">
        <v>100</v>
      </c>
      <c r="D4084" s="814">
        <v>63.744799999999998</v>
      </c>
      <c r="E4084" s="716">
        <f t="shared" si="150"/>
        <v>-0.36255199999999999</v>
      </c>
      <c r="F4084" s="731">
        <f t="shared" si="151"/>
        <v>-0.36255199999999999</v>
      </c>
      <c r="G4084" s="78"/>
      <c r="I4084" s="201"/>
    </row>
    <row r="4085" spans="1:33" hidden="1" outlineLevel="1" x14ac:dyDescent="0.25">
      <c r="A4085" s="962" t="s">
        <v>861</v>
      </c>
      <c r="B4085" s="944">
        <v>40330</v>
      </c>
      <c r="C4085" s="727">
        <v>100</v>
      </c>
      <c r="D4085" s="814">
        <v>58.0319</v>
      </c>
      <c r="E4085" s="716">
        <f t="shared" si="150"/>
        <v>-0.41968099999999997</v>
      </c>
      <c r="F4085" s="731">
        <f t="shared" si="151"/>
        <v>-0.41968099999999997</v>
      </c>
      <c r="G4085" s="78"/>
      <c r="I4085" s="201"/>
    </row>
    <row r="4086" spans="1:33" hidden="1" outlineLevel="1" x14ac:dyDescent="0.25">
      <c r="A4086" s="962" t="s">
        <v>862</v>
      </c>
      <c r="B4086" s="944">
        <v>40422</v>
      </c>
      <c r="C4086" s="727">
        <v>100</v>
      </c>
      <c r="D4086" s="814">
        <v>62.907600000000002</v>
      </c>
      <c r="E4086" s="716">
        <f t="shared" si="150"/>
        <v>-0.37092400000000003</v>
      </c>
      <c r="F4086" s="731">
        <f t="shared" si="151"/>
        <v>-0.37092400000000003</v>
      </c>
      <c r="G4086" s="78"/>
      <c r="I4086" s="201"/>
    </row>
    <row r="4087" spans="1:33" hidden="1" outlineLevel="1" x14ac:dyDescent="0.25">
      <c r="A4087" s="962" t="s">
        <v>863</v>
      </c>
      <c r="B4087" s="944">
        <v>40513</v>
      </c>
      <c r="C4087" s="727">
        <v>100</v>
      </c>
      <c r="D4087" s="814">
        <v>64.622200000000007</v>
      </c>
      <c r="E4087" s="716">
        <f t="shared" si="150"/>
        <v>-0.35377799999999993</v>
      </c>
      <c r="F4087" s="731">
        <f t="shared" si="151"/>
        <v>-0.35377799999999993</v>
      </c>
      <c r="G4087" s="78"/>
    </row>
    <row r="4088" spans="1:33" hidden="1" outlineLevel="1" x14ac:dyDescent="0.25">
      <c r="A4088" s="962" t="s">
        <v>1228</v>
      </c>
      <c r="B4088" s="944">
        <v>40603</v>
      </c>
      <c r="C4088" s="727">
        <v>100</v>
      </c>
      <c r="D4088" s="814">
        <v>65.669399999999996</v>
      </c>
      <c r="E4088" s="716">
        <f t="shared" si="150"/>
        <v>-0.343306</v>
      </c>
      <c r="F4088" s="731">
        <f t="shared" si="151"/>
        <v>-0.343306</v>
      </c>
      <c r="G4088" s="78"/>
    </row>
    <row r="4089" spans="1:33" hidden="1" outlineLevel="1" x14ac:dyDescent="0.25">
      <c r="A4089" s="962" t="s">
        <v>1229</v>
      </c>
      <c r="B4089" s="944">
        <v>40695</v>
      </c>
      <c r="C4089" s="727">
        <v>100</v>
      </c>
      <c r="D4089" s="814">
        <v>64.477400000000003</v>
      </c>
      <c r="E4089" s="716">
        <f t="shared" si="150"/>
        <v>-0.35522599999999993</v>
      </c>
      <c r="F4089" s="731">
        <f t="shared" si="151"/>
        <v>-0.35522599999999993</v>
      </c>
      <c r="G4089" s="78"/>
    </row>
    <row r="4090" spans="1:33" hidden="1" outlineLevel="1" x14ac:dyDescent="0.25">
      <c r="A4090" s="749"/>
      <c r="B4090" s="750"/>
      <c r="C4090" s="727"/>
      <c r="D4090" s="871" t="s">
        <v>1837</v>
      </c>
      <c r="E4090" s="1088">
        <f>AVERAGE(E4074:E4089)</f>
        <v>-0.32880043749999999</v>
      </c>
      <c r="F4090" s="731"/>
      <c r="G4090" s="78"/>
    </row>
    <row r="4091" spans="1:33" collapsed="1" x14ac:dyDescent="0.25">
      <c r="A4091" s="3801" t="s">
        <v>2489</v>
      </c>
      <c r="B4091" s="3802"/>
      <c r="C4091" s="3802"/>
      <c r="D4091" s="3802"/>
      <c r="E4091" s="721" t="s">
        <v>2722</v>
      </c>
      <c r="F4091" s="722">
        <f>MAX(AVERAGE(F4074:F4089)*parametry!N152,2%)</f>
        <v>0.02</v>
      </c>
      <c r="G4091" s="97" t="s">
        <v>781</v>
      </c>
    </row>
    <row r="4092" spans="1:33" x14ac:dyDescent="0.25">
      <c r="A4092" s="159"/>
      <c r="B4092" s="159"/>
      <c r="C4092" s="159"/>
      <c r="D4092" s="159"/>
      <c r="E4092" s="160"/>
      <c r="F4092" s="160"/>
      <c r="G4092" s="78"/>
    </row>
    <row r="4093" spans="1:33" hidden="1" outlineLevel="1" x14ac:dyDescent="0.25">
      <c r="A4093" s="689" t="s">
        <v>113</v>
      </c>
      <c r="B4093" s="689" t="s">
        <v>114</v>
      </c>
      <c r="C4093" s="689" t="s">
        <v>112</v>
      </c>
      <c r="D4093" s="689" t="s">
        <v>4155</v>
      </c>
      <c r="E4093" s="689" t="s">
        <v>117</v>
      </c>
      <c r="F4093" s="1188" t="s">
        <v>121</v>
      </c>
      <c r="G4093" s="78"/>
      <c r="H4093" s="173"/>
      <c r="I4093" s="173" t="s">
        <v>631</v>
      </c>
      <c r="J4093" s="257">
        <v>40725</v>
      </c>
      <c r="K4093" s="257">
        <v>40756</v>
      </c>
      <c r="L4093" s="257">
        <v>40787</v>
      </c>
      <c r="M4093" s="257">
        <v>40817</v>
      </c>
      <c r="N4093" s="257">
        <v>40848</v>
      </c>
      <c r="O4093" s="257">
        <v>40878</v>
      </c>
      <c r="P4093" s="257">
        <v>40909</v>
      </c>
      <c r="Q4093" s="257">
        <v>40940</v>
      </c>
      <c r="R4093" s="257">
        <v>40969</v>
      </c>
      <c r="S4093" s="257">
        <v>41000</v>
      </c>
      <c r="T4093" s="257">
        <v>41030</v>
      </c>
      <c r="U4093" s="257">
        <v>41061</v>
      </c>
      <c r="V4093" s="257">
        <v>41091</v>
      </c>
      <c r="W4093" s="257">
        <v>41122</v>
      </c>
      <c r="X4093" s="257">
        <v>41153</v>
      </c>
      <c r="Y4093" s="257">
        <v>41183</v>
      </c>
      <c r="Z4093" s="257">
        <v>41214</v>
      </c>
      <c r="AA4093" s="257">
        <v>41244</v>
      </c>
      <c r="AB4093" s="257">
        <v>41275</v>
      </c>
      <c r="AC4093" s="257">
        <v>41306</v>
      </c>
      <c r="AD4093" s="257">
        <v>41334</v>
      </c>
      <c r="AE4093" s="257">
        <v>41365</v>
      </c>
      <c r="AF4093" s="257">
        <v>41395</v>
      </c>
      <c r="AG4093" s="257">
        <v>41426</v>
      </c>
    </row>
    <row r="4094" spans="1:33" hidden="1" outlineLevel="1" x14ac:dyDescent="0.25">
      <c r="A4094" s="689" t="s">
        <v>113</v>
      </c>
      <c r="B4094" s="691" t="s">
        <v>4375</v>
      </c>
      <c r="C4094" s="692">
        <v>2590.3470000000002</v>
      </c>
      <c r="D4094" s="823">
        <v>1460.64</v>
      </c>
      <c r="E4094" s="693">
        <f>D4094/C4094-1</f>
        <v>-0.43612187865177909</v>
      </c>
      <c r="F4094" s="694">
        <f>E4094*parametry!N151</f>
        <v>-0.28347922112365642</v>
      </c>
      <c r="G4094" s="78"/>
      <c r="H4094" s="44"/>
      <c r="I4094" s="44"/>
      <c r="J4094" s="39">
        <v>1443.02</v>
      </c>
      <c r="K4094" s="39">
        <v>1323.97</v>
      </c>
      <c r="L4094" s="39">
        <v>1215.72</v>
      </c>
      <c r="M4094" s="39">
        <v>1285.52</v>
      </c>
      <c r="N4094" s="39">
        <v>1226.45</v>
      </c>
      <c r="O4094" s="39">
        <v>1217.95</v>
      </c>
      <c r="P4094" s="39">
        <v>1272.25</v>
      </c>
      <c r="Q4094" s="39">
        <v>1279.33</v>
      </c>
      <c r="R4094" s="39">
        <v>1329.46</v>
      </c>
      <c r="S4094" s="39">
        <v>1308.57</v>
      </c>
      <c r="T4094" s="39">
        <v>1281.1300000000001</v>
      </c>
      <c r="U4094" s="39">
        <v>1325.81</v>
      </c>
      <c r="V4094" s="39">
        <v>1417.49</v>
      </c>
      <c r="W4094" s="39">
        <v>1408.35</v>
      </c>
      <c r="X4094" s="39">
        <v>1397.69</v>
      </c>
      <c r="Y4094" s="39">
        <v>1459.02</v>
      </c>
      <c r="Z4094" s="39">
        <v>1477.77</v>
      </c>
      <c r="AA4094" s="39">
        <v>1493.15</v>
      </c>
      <c r="AB4094">
        <v>1458.18</v>
      </c>
      <c r="AC4094">
        <v>1485.63</v>
      </c>
      <c r="AD4094">
        <v>1486.14</v>
      </c>
      <c r="AE4094">
        <v>1553.33</v>
      </c>
      <c r="AF4094">
        <v>1560.1</v>
      </c>
      <c r="AG4094">
        <v>1460.69</v>
      </c>
    </row>
    <row r="4095" spans="1:33" collapsed="1" x14ac:dyDescent="0.25">
      <c r="A4095" s="3801" t="s">
        <v>2490</v>
      </c>
      <c r="B4095" s="3802"/>
      <c r="C4095" s="3802"/>
      <c r="D4095" s="3802"/>
      <c r="E4095" s="729"/>
      <c r="F4095" s="752">
        <f>MAX(F4094,0)</f>
        <v>0</v>
      </c>
      <c r="G4095" s="97" t="s">
        <v>781</v>
      </c>
      <c r="H4095" s="44"/>
      <c r="I4095" s="209">
        <f>AVERAGE(J4095:AG4095)</f>
        <v>-0.46650133489194051</v>
      </c>
      <c r="J4095" s="171">
        <f t="shared" ref="J4095:AG4095" si="152">IF(J4094="",I4095,J4094/$C$4094-1)</f>
        <v>-0.44292405612066654</v>
      </c>
      <c r="K4095" s="171">
        <f t="shared" si="152"/>
        <v>-0.48888314963207635</v>
      </c>
      <c r="L4095" s="171">
        <f t="shared" si="152"/>
        <v>-0.5306729175666427</v>
      </c>
      <c r="M4095" s="171">
        <f t="shared" si="152"/>
        <v>-0.50372672078296854</v>
      </c>
      <c r="N4095" s="171">
        <f t="shared" si="152"/>
        <v>-0.52653061539631563</v>
      </c>
      <c r="O4095" s="171">
        <f t="shared" si="152"/>
        <v>-0.52981202904475733</v>
      </c>
      <c r="P4095" s="171">
        <f t="shared" si="152"/>
        <v>-0.50884958656118284</v>
      </c>
      <c r="Q4095" s="171">
        <f t="shared" si="152"/>
        <v>-0.50611636201636312</v>
      </c>
      <c r="R4095" s="171">
        <f t="shared" si="152"/>
        <v>-0.48676374246384757</v>
      </c>
      <c r="S4095" s="171">
        <f t="shared" si="152"/>
        <v>-0.49482829906572368</v>
      </c>
      <c r="T4095" s="171">
        <f t="shared" si="152"/>
        <v>-0.50542147442022245</v>
      </c>
      <c r="U4095" s="171">
        <f t="shared" si="152"/>
        <v>-0.48817282008935492</v>
      </c>
      <c r="V4095" s="171">
        <f t="shared" si="152"/>
        <v>-0.45277987852592727</v>
      </c>
      <c r="W4095" s="171">
        <f t="shared" si="152"/>
        <v>-0.4563083633196634</v>
      </c>
      <c r="X4095" s="171">
        <f t="shared" si="152"/>
        <v>-0.46042364208347375</v>
      </c>
      <c r="Y4095" s="171">
        <f t="shared" si="152"/>
        <v>-0.43674727748830566</v>
      </c>
      <c r="Z4095" s="171">
        <f>IF(Z4094="",Y4095,Z4094/$C$4094-1)</f>
        <v>-0.42950886502850782</v>
      </c>
      <c r="AA4095" s="171">
        <f t="shared" si="152"/>
        <v>-0.42357143656815088</v>
      </c>
      <c r="AB4095" s="171">
        <f t="shared" si="152"/>
        <v>-0.43707155836650458</v>
      </c>
      <c r="AC4095" s="171">
        <f t="shared" si="152"/>
        <v>-0.42647452252536056</v>
      </c>
      <c r="AD4095" s="171">
        <f t="shared" si="152"/>
        <v>-0.42627763770645399</v>
      </c>
      <c r="AE4095" s="171">
        <f t="shared" si="152"/>
        <v>-0.40033902793718379</v>
      </c>
      <c r="AF4095" s="171">
        <f t="shared" si="152"/>
        <v>-0.39772547847836615</v>
      </c>
      <c r="AG4095" s="171">
        <f t="shared" si="152"/>
        <v>-0.43610257621855297</v>
      </c>
    </row>
    <row r="4096" spans="1:33" s="39" customFormat="1" x14ac:dyDescent="0.25">
      <c r="A4096" s="159"/>
      <c r="B4096" s="159"/>
      <c r="C4096" s="159"/>
      <c r="D4096" s="159"/>
      <c r="E4096" s="12"/>
      <c r="F4096" s="165"/>
      <c r="G4096" s="12"/>
      <c r="J4096"/>
      <c r="K4096"/>
      <c r="L4096"/>
    </row>
    <row r="4097" spans="1:12" s="39" customFormat="1" hidden="1" outlineLevel="1" x14ac:dyDescent="0.25">
      <c r="A4097" s="689" t="s">
        <v>113</v>
      </c>
      <c r="B4097" s="689" t="s">
        <v>114</v>
      </c>
      <c r="C4097" s="689" t="s">
        <v>112</v>
      </c>
      <c r="D4097" s="689" t="s">
        <v>116</v>
      </c>
      <c r="E4097" s="689" t="s">
        <v>117</v>
      </c>
      <c r="F4097" s="1188" t="s">
        <v>121</v>
      </c>
      <c r="G4097" s="78"/>
      <c r="H4097"/>
    </row>
    <row r="4098" spans="1:12" s="39" customFormat="1" hidden="1" outlineLevel="1" x14ac:dyDescent="0.25">
      <c r="A4098" s="690">
        <v>1</v>
      </c>
      <c r="B4098" s="691" t="s">
        <v>252</v>
      </c>
      <c r="C4098" s="692">
        <v>100</v>
      </c>
      <c r="D4098" s="692"/>
      <c r="E4098" s="693"/>
      <c r="F4098" s="694"/>
      <c r="G4098" s="78"/>
      <c r="H4098"/>
    </row>
    <row r="4099" spans="1:12" s="39" customFormat="1" hidden="1" outlineLevel="1" x14ac:dyDescent="0.25">
      <c r="A4099" s="695"/>
      <c r="B4099" s="695"/>
      <c r="C4099" s="696"/>
      <c r="D4099" s="697" t="s">
        <v>3702</v>
      </c>
      <c r="E4099" s="698">
        <v>41089</v>
      </c>
      <c r="F4099" s="699"/>
      <c r="G4099" s="78"/>
      <c r="H4099"/>
    </row>
    <row r="4100" spans="1:12" s="39" customFormat="1" hidden="1" outlineLevel="1" x14ac:dyDescent="0.25">
      <c r="A4100" s="689" t="s">
        <v>4156</v>
      </c>
      <c r="B4100" s="689" t="s">
        <v>4153</v>
      </c>
      <c r="C4100" s="700" t="s">
        <v>112</v>
      </c>
      <c r="D4100" s="689" t="s">
        <v>4155</v>
      </c>
      <c r="E4100" s="689" t="s">
        <v>4154</v>
      </c>
      <c r="F4100" s="1021" t="s">
        <v>2519</v>
      </c>
      <c r="G4100" s="78"/>
      <c r="H4100"/>
    </row>
    <row r="4101" spans="1:12" s="39" customFormat="1" hidden="1" outlineLevel="1" x14ac:dyDescent="0.25">
      <c r="A4101" s="734">
        <v>0.05</v>
      </c>
      <c r="B4101" s="735" t="s">
        <v>901</v>
      </c>
      <c r="C4101" s="807">
        <v>1681</v>
      </c>
      <c r="D4101" s="737">
        <v>3241.5</v>
      </c>
      <c r="E4101" s="738">
        <v>0.92831647828673414</v>
      </c>
      <c r="F4101" s="1021">
        <v>4.6415823914336712E-2</v>
      </c>
      <c r="G4101" s="78"/>
      <c r="H4101" t="s">
        <v>531</v>
      </c>
      <c r="J4101" t="s">
        <v>631</v>
      </c>
      <c r="K4101" s="31"/>
      <c r="L4101"/>
    </row>
    <row r="4102" spans="1:12" s="39" customFormat="1" hidden="1" outlineLevel="1" x14ac:dyDescent="0.25">
      <c r="A4102" s="739">
        <v>0.02</v>
      </c>
      <c r="B4102" s="740" t="s">
        <v>3405</v>
      </c>
      <c r="C4102" s="809">
        <v>53.368000000000002</v>
      </c>
      <c r="D4102" s="737">
        <v>14.545</v>
      </c>
      <c r="E4102" s="742">
        <v>-0.72745840203867496</v>
      </c>
      <c r="F4102" s="946">
        <v>-1.4549168040773499E-2</v>
      </c>
      <c r="G4102" s="78"/>
      <c r="H4102" t="s">
        <v>2747</v>
      </c>
      <c r="J4102" s="256">
        <v>40725</v>
      </c>
      <c r="K4102" s="31">
        <v>70.700100000000006</v>
      </c>
      <c r="L4102" s="37">
        <v>-0.2929989999999999</v>
      </c>
    </row>
    <row r="4103" spans="1:12" s="39" customFormat="1" hidden="1" outlineLevel="1" x14ac:dyDescent="0.25">
      <c r="A4103" s="739">
        <v>0.03</v>
      </c>
      <c r="B4103" s="740" t="s">
        <v>3016</v>
      </c>
      <c r="C4103" s="809">
        <v>72.974999999999994</v>
      </c>
      <c r="D4103" s="737">
        <v>28.88</v>
      </c>
      <c r="E4103" s="742">
        <v>-0.60424803014731077</v>
      </c>
      <c r="F4103" s="946">
        <v>-1.8127440904419322E-2</v>
      </c>
      <c r="G4103" s="78"/>
      <c r="H4103" t="s">
        <v>2752</v>
      </c>
      <c r="J4103" s="256">
        <v>40756</v>
      </c>
      <c r="K4103" s="31">
        <v>64.25</v>
      </c>
      <c r="L4103" s="37">
        <v>-0.35750000000000004</v>
      </c>
    </row>
    <row r="4104" spans="1:12" s="39" customFormat="1" hidden="1" outlineLevel="1" x14ac:dyDescent="0.25">
      <c r="A4104" s="739">
        <v>0.05</v>
      </c>
      <c r="B4104" s="740" t="s">
        <v>3406</v>
      </c>
      <c r="C4104" s="809">
        <v>1039.3</v>
      </c>
      <c r="D4104" s="737">
        <v>1642</v>
      </c>
      <c r="E4104" s="742">
        <v>0.57990955450784187</v>
      </c>
      <c r="F4104" s="946">
        <v>2.8995477725392096E-2</v>
      </c>
      <c r="G4104" s="78"/>
      <c r="H4104" t="s">
        <v>2105</v>
      </c>
      <c r="J4104" s="256">
        <v>40787</v>
      </c>
      <c r="K4104" s="31">
        <v>63.192500000000003</v>
      </c>
      <c r="L4104" s="37">
        <v>-0.36807499999999993</v>
      </c>
    </row>
    <row r="4105" spans="1:12" s="39" customFormat="1" hidden="1" outlineLevel="1" x14ac:dyDescent="0.25">
      <c r="A4105" s="739">
        <v>0.03</v>
      </c>
      <c r="B4105" s="740" t="s">
        <v>4387</v>
      </c>
      <c r="C4105" s="809">
        <v>40.949999999999996</v>
      </c>
      <c r="D4105" s="737">
        <v>17</v>
      </c>
      <c r="E4105" s="742">
        <v>-0.58485958485958478</v>
      </c>
      <c r="F4105" s="946">
        <v>-1.7545787545787544E-2</v>
      </c>
      <c r="G4105" s="78"/>
      <c r="H4105" t="s">
        <v>3744</v>
      </c>
      <c r="J4105" s="256">
        <v>40817</v>
      </c>
      <c r="K4105" s="31">
        <v>66.391800000000003</v>
      </c>
      <c r="L4105" s="37">
        <v>-0.33608199999999999</v>
      </c>
    </row>
    <row r="4106" spans="1:12" s="39" customFormat="1" hidden="1" outlineLevel="1" x14ac:dyDescent="0.25">
      <c r="A4106" s="739">
        <v>7.0000000000000007E-2</v>
      </c>
      <c r="B4106" s="740" t="s">
        <v>3798</v>
      </c>
      <c r="C4106" s="809">
        <v>7.9207999999999998</v>
      </c>
      <c r="D4106" s="737">
        <v>2.5419999999999998</v>
      </c>
      <c r="E4106" s="742">
        <v>-0.67907282092717902</v>
      </c>
      <c r="F4106" s="946">
        <v>-4.7535097464902538E-2</v>
      </c>
      <c r="G4106" s="78"/>
      <c r="H4106" t="s">
        <v>4122</v>
      </c>
      <c r="J4106" s="256">
        <v>40848</v>
      </c>
      <c r="K4106" s="31">
        <v>65.719899999999996</v>
      </c>
      <c r="L4106" s="37">
        <v>-0.34280100000000002</v>
      </c>
    </row>
    <row r="4107" spans="1:12" s="39" customFormat="1" hidden="1" outlineLevel="1" x14ac:dyDescent="0.25">
      <c r="A4107" s="739">
        <v>0.02</v>
      </c>
      <c r="B4107" s="740" t="s">
        <v>747</v>
      </c>
      <c r="C4107" s="809">
        <v>58.494999999999997</v>
      </c>
      <c r="D4107" s="737">
        <v>14.945</v>
      </c>
      <c r="E4107" s="742">
        <v>-0.74450807761347115</v>
      </c>
      <c r="F4107" s="946">
        <v>-1.4890161552269424E-2</v>
      </c>
      <c r="G4107" s="78"/>
      <c r="H4107" t="s">
        <v>257</v>
      </c>
      <c r="J4107" s="256">
        <v>40878</v>
      </c>
      <c r="K4107" s="31">
        <v>65.655299999999997</v>
      </c>
      <c r="L4107" s="37">
        <v>-0.34344700000000006</v>
      </c>
    </row>
    <row r="4108" spans="1:12" s="39" customFormat="1" hidden="1" outlineLevel="1" x14ac:dyDescent="0.25">
      <c r="A4108" s="739">
        <v>0.02</v>
      </c>
      <c r="B4108" s="740" t="s">
        <v>53</v>
      </c>
      <c r="C4108" s="809">
        <v>60.335000000000001</v>
      </c>
      <c r="D4108" s="737">
        <v>49.015000000000001</v>
      </c>
      <c r="E4108" s="742">
        <v>-0.18761912654346569</v>
      </c>
      <c r="F4108" s="946">
        <v>-3.7523825308693136E-3</v>
      </c>
      <c r="G4108" s="78"/>
      <c r="H4108" t="s">
        <v>2751</v>
      </c>
      <c r="J4108" s="256">
        <v>40909</v>
      </c>
      <c r="K4108" s="31">
        <v>65.615799999999993</v>
      </c>
      <c r="L4108" s="37">
        <v>-0.34384200000000009</v>
      </c>
    </row>
    <row r="4109" spans="1:12" s="39" customFormat="1" hidden="1" outlineLevel="1" x14ac:dyDescent="0.25">
      <c r="A4109" s="739">
        <v>0.02</v>
      </c>
      <c r="B4109" s="740" t="s">
        <v>746</v>
      </c>
      <c r="C4109" s="809">
        <v>22.673999999999999</v>
      </c>
      <c r="D4109" s="737">
        <v>2</v>
      </c>
      <c r="E4109" s="742">
        <v>-0.91179324336244161</v>
      </c>
      <c r="F4109" s="946">
        <v>-1.8235864867248833E-2</v>
      </c>
      <c r="G4109" s="78"/>
      <c r="H4109" t="s">
        <v>745</v>
      </c>
      <c r="J4109" s="256">
        <v>40940</v>
      </c>
      <c r="K4109" s="31">
        <v>69.615200000000002</v>
      </c>
      <c r="L4109" s="37">
        <v>-0.30384800000000001</v>
      </c>
    </row>
    <row r="4110" spans="1:12" s="39" customFormat="1" hidden="1" outlineLevel="1" x14ac:dyDescent="0.25">
      <c r="A4110" s="739">
        <v>0.02</v>
      </c>
      <c r="B4110" s="1089" t="s">
        <v>4439</v>
      </c>
      <c r="C4110" s="809">
        <v>44.265000000000001</v>
      </c>
      <c r="D4110" s="737">
        <v>81.53</v>
      </c>
      <c r="E4110" s="742">
        <v>0.84186151587032643</v>
      </c>
      <c r="F4110" s="946">
        <v>1.683723031740653E-2</v>
      </c>
      <c r="G4110" s="78"/>
      <c r="H4110" t="s">
        <v>3827</v>
      </c>
      <c r="J4110" s="256">
        <v>40969</v>
      </c>
      <c r="K4110" s="31">
        <v>70.725399999999993</v>
      </c>
      <c r="L4110" s="37">
        <v>-0.29274600000000006</v>
      </c>
    </row>
    <row r="4111" spans="1:12" s="39" customFormat="1" hidden="1" outlineLevel="1" x14ac:dyDescent="0.25">
      <c r="A4111" s="739">
        <v>0.05</v>
      </c>
      <c r="B4111" s="740" t="s">
        <v>44</v>
      </c>
      <c r="C4111" s="809">
        <v>5.4638999999999998</v>
      </c>
      <c r="D4111" s="737">
        <v>1.1179999999999999</v>
      </c>
      <c r="E4111" s="742">
        <v>-0.79538424934570551</v>
      </c>
      <c r="F4111" s="946">
        <v>-3.9769212467285278E-2</v>
      </c>
      <c r="G4111" s="78"/>
      <c r="H4111" t="s">
        <v>204</v>
      </c>
      <c r="J4111" s="256">
        <v>41000</v>
      </c>
      <c r="K4111" s="31">
        <v>67.910200000000003</v>
      </c>
      <c r="L4111" s="37">
        <v>-0.32089800000000002</v>
      </c>
    </row>
    <row r="4112" spans="1:12" s="39" customFormat="1" hidden="1" outlineLevel="1" x14ac:dyDescent="0.25">
      <c r="A4112" s="739">
        <v>0.05</v>
      </c>
      <c r="B4112" s="740" t="s">
        <v>1526</v>
      </c>
      <c r="C4112" s="809">
        <v>99.808000000000007</v>
      </c>
      <c r="D4112" s="737">
        <v>16.664999999999999</v>
      </c>
      <c r="E4112" s="742">
        <v>-0.83302941647964091</v>
      </c>
      <c r="F4112" s="946">
        <v>-4.1651470823982045E-2</v>
      </c>
      <c r="G4112" s="78"/>
      <c r="H4112" t="s">
        <v>4146</v>
      </c>
      <c r="J4112" s="256">
        <v>41030</v>
      </c>
      <c r="K4112" s="31">
        <v>63.7806</v>
      </c>
      <c r="L4112" s="37">
        <v>-0.36219400000000002</v>
      </c>
    </row>
    <row r="4113" spans="1:12" s="39" customFormat="1" hidden="1" outlineLevel="1" x14ac:dyDescent="0.25">
      <c r="A4113" s="739">
        <v>0.06</v>
      </c>
      <c r="B4113" s="740" t="s">
        <v>874</v>
      </c>
      <c r="C4113" s="809">
        <v>223.98</v>
      </c>
      <c r="D4113" s="737">
        <v>287.39999999999998</v>
      </c>
      <c r="E4113" s="742">
        <v>0.28315028127511388</v>
      </c>
      <c r="F4113" s="946">
        <v>1.6989016876506832E-2</v>
      </c>
      <c r="G4113" s="78"/>
      <c r="H4113" t="s">
        <v>4148</v>
      </c>
      <c r="J4113" s="256">
        <v>41061</v>
      </c>
      <c r="K4113" s="31">
        <v>67.3566</v>
      </c>
      <c r="L4113" s="37">
        <v>-0.326434</v>
      </c>
    </row>
    <row r="4114" spans="1:12" s="39" customFormat="1" hidden="1" outlineLevel="1" x14ac:dyDescent="0.25">
      <c r="A4114" s="739">
        <v>0.02</v>
      </c>
      <c r="B4114" s="740" t="s">
        <v>2856</v>
      </c>
      <c r="C4114" s="809">
        <v>86.938999999999993</v>
      </c>
      <c r="D4114" s="737">
        <v>92.24</v>
      </c>
      <c r="E4114" s="742">
        <v>6.0973786217922932E-2</v>
      </c>
      <c r="F4114" s="946">
        <v>1.2194757243584587E-3</v>
      </c>
      <c r="G4114" s="78"/>
      <c r="H4114" t="s">
        <v>2721</v>
      </c>
      <c r="J4114" s="264" t="s">
        <v>2465</v>
      </c>
      <c r="K4114" s="31"/>
      <c r="L4114" s="261">
        <v>-0.33257216666666672</v>
      </c>
    </row>
    <row r="4115" spans="1:12" s="39" customFormat="1" hidden="1" outlineLevel="1" x14ac:dyDescent="0.25">
      <c r="A4115" s="739">
        <v>0.02</v>
      </c>
      <c r="B4115" s="740" t="s">
        <v>65</v>
      </c>
      <c r="C4115" s="809">
        <v>669.38400000000001</v>
      </c>
      <c r="D4115" s="737">
        <v>76.150000000000006</v>
      </c>
      <c r="E4115" s="742">
        <v>-0.88623869109509634</v>
      </c>
      <c r="F4115" s="946">
        <v>-1.7724773821901928E-2</v>
      </c>
      <c r="G4115" s="78"/>
      <c r="H4115" t="s">
        <v>4065</v>
      </c>
    </row>
    <row r="4116" spans="1:12" s="39" customFormat="1" hidden="1" outlineLevel="1" x14ac:dyDescent="0.25">
      <c r="A4116" s="739">
        <v>0.03</v>
      </c>
      <c r="B4116" s="740" t="s">
        <v>3384</v>
      </c>
      <c r="C4116" s="809">
        <v>61.808999999999997</v>
      </c>
      <c r="D4116" s="737">
        <v>23.004999999999999</v>
      </c>
      <c r="E4116" s="742">
        <v>-0.62780501221504958</v>
      </c>
      <c r="F4116" s="946">
        <v>-1.8834150366451488E-2</v>
      </c>
      <c r="G4116" s="78"/>
      <c r="H4116" t="s">
        <v>3790</v>
      </c>
    </row>
    <row r="4117" spans="1:12" s="39" customFormat="1" hidden="1" outlineLevel="1" x14ac:dyDescent="0.25">
      <c r="A4117" s="739">
        <v>0.04</v>
      </c>
      <c r="B4117" s="740" t="s">
        <v>3797</v>
      </c>
      <c r="C4117" s="809">
        <v>47.274999999999999</v>
      </c>
      <c r="D4117" s="737">
        <v>56.55</v>
      </c>
      <c r="E4117" s="742">
        <v>0.19619249074563716</v>
      </c>
      <c r="F4117" s="946">
        <v>7.8476996298254866E-3</v>
      </c>
      <c r="G4117" s="78"/>
      <c r="H4117" t="s">
        <v>3848</v>
      </c>
    </row>
    <row r="4118" spans="1:12" s="39" customFormat="1" hidden="1" outlineLevel="1" x14ac:dyDescent="0.25">
      <c r="A4118" s="739">
        <v>0.03</v>
      </c>
      <c r="B4118" s="743" t="s">
        <v>3307</v>
      </c>
      <c r="C4118" s="809">
        <v>130.744</v>
      </c>
      <c r="D4118" s="737">
        <v>112.25</v>
      </c>
      <c r="E4118" s="742">
        <v>-0.14145199779722206</v>
      </c>
      <c r="F4118" s="946">
        <v>-4.2435599339166619E-3</v>
      </c>
      <c r="G4118" s="78"/>
      <c r="H4118" t="e">
        <v>#N/A</v>
      </c>
    </row>
    <row r="4119" spans="1:12" s="39" customFormat="1" hidden="1" outlineLevel="1" x14ac:dyDescent="0.25">
      <c r="A4119" s="739">
        <v>0.03</v>
      </c>
      <c r="B4119" s="740" t="s">
        <v>3023</v>
      </c>
      <c r="C4119" s="809">
        <v>61.756999999999998</v>
      </c>
      <c r="D4119" s="737">
        <v>61.25</v>
      </c>
      <c r="E4119" s="742">
        <v>-8.2095956733648778E-3</v>
      </c>
      <c r="F4119" s="946">
        <v>-2.4628787020094633E-4</v>
      </c>
      <c r="G4119" s="78"/>
      <c r="H4119" t="s">
        <v>2815</v>
      </c>
    </row>
    <row r="4120" spans="1:12" s="39" customFormat="1" hidden="1" outlineLevel="1" x14ac:dyDescent="0.25">
      <c r="A4120" s="739">
        <v>0.02</v>
      </c>
      <c r="B4120" s="740" t="s">
        <v>2857</v>
      </c>
      <c r="C4120" s="809">
        <v>49.558999999999997</v>
      </c>
      <c r="D4120" s="737">
        <v>4.96</v>
      </c>
      <c r="E4120" s="742">
        <v>-0.89991727032425994</v>
      </c>
      <c r="F4120" s="946">
        <v>-1.7998345406485199E-2</v>
      </c>
      <c r="G4120" s="78"/>
      <c r="H4120" t="e">
        <v>#N/A</v>
      </c>
    </row>
    <row r="4121" spans="1:12" s="39" customFormat="1" hidden="1" outlineLevel="1" x14ac:dyDescent="0.25">
      <c r="A4121" s="739">
        <v>0.06</v>
      </c>
      <c r="B4121" s="740" t="s">
        <v>3801</v>
      </c>
      <c r="C4121" s="809">
        <v>79.106999999999999</v>
      </c>
      <c r="D4121" s="737">
        <v>32.174999999999997</v>
      </c>
      <c r="E4121" s="742">
        <v>-0.59327240320072816</v>
      </c>
      <c r="F4121" s="946">
        <v>-3.5596344192043688E-2</v>
      </c>
      <c r="G4121" s="78"/>
      <c r="H4121" t="s">
        <v>2819</v>
      </c>
    </row>
    <row r="4122" spans="1:12" s="39" customFormat="1" hidden="1" outlineLevel="1" x14ac:dyDescent="0.25">
      <c r="A4122" s="739">
        <v>0.02</v>
      </c>
      <c r="B4122" s="740" t="s">
        <v>2859</v>
      </c>
      <c r="C4122" s="809">
        <v>184.8</v>
      </c>
      <c r="D4122" s="737">
        <v>118.1</v>
      </c>
      <c r="E4122" s="742">
        <v>-0.36093073593073599</v>
      </c>
      <c r="F4122" s="946">
        <v>-7.2186147186147197E-3</v>
      </c>
      <c r="G4122" s="78"/>
      <c r="H4122" t="e">
        <v>#N/A</v>
      </c>
    </row>
    <row r="4123" spans="1:12" s="39" customFormat="1" hidden="1" outlineLevel="1" x14ac:dyDescent="0.25">
      <c r="A4123" s="739">
        <v>0.03</v>
      </c>
      <c r="B4123" s="740" t="s">
        <v>2166</v>
      </c>
      <c r="C4123" s="809">
        <v>136.56899999999999</v>
      </c>
      <c r="D4123" s="737">
        <v>18.41</v>
      </c>
      <c r="E4123" s="742">
        <v>-0.86519634763379683</v>
      </c>
      <c r="F4123" s="946">
        <v>-2.5955890429013903E-2</v>
      </c>
      <c r="G4123" s="78"/>
      <c r="H4123" t="s">
        <v>4160</v>
      </c>
    </row>
    <row r="4124" spans="1:12" s="39" customFormat="1" hidden="1" outlineLevel="1" x14ac:dyDescent="0.25">
      <c r="A4124" s="739">
        <v>0.02</v>
      </c>
      <c r="B4124" s="740" t="s">
        <v>2858</v>
      </c>
      <c r="C4124" s="809">
        <v>294.7</v>
      </c>
      <c r="D4124" s="737">
        <v>57.1</v>
      </c>
      <c r="E4124" s="742">
        <v>-0.80624363759755679</v>
      </c>
      <c r="F4124" s="946">
        <v>-1.6124872751951135E-2</v>
      </c>
      <c r="G4124" s="78"/>
      <c r="H4124" t="s">
        <v>2723</v>
      </c>
    </row>
    <row r="4125" spans="1:12" s="39" customFormat="1" hidden="1" outlineLevel="1" x14ac:dyDescent="0.25">
      <c r="A4125" s="739">
        <v>0.03</v>
      </c>
      <c r="B4125" s="740" t="s">
        <v>4338</v>
      </c>
      <c r="C4125" s="809">
        <v>38.293112637801997</v>
      </c>
      <c r="D4125" s="737">
        <v>18.754999999999999</v>
      </c>
      <c r="E4125" s="742">
        <v>-0.51022524135357084</v>
      </c>
      <c r="F4125" s="946">
        <v>-1.5306757240607125E-2</v>
      </c>
      <c r="G4125" s="78"/>
      <c r="H4125" t="s">
        <v>7229</v>
      </c>
    </row>
    <row r="4126" spans="1:12" s="39" customFormat="1" hidden="1" outlineLevel="1" x14ac:dyDescent="0.25">
      <c r="A4126" s="739">
        <v>0.02</v>
      </c>
      <c r="B4126" s="1089" t="s">
        <v>1301</v>
      </c>
      <c r="C4126" s="809">
        <v>18.504000000000001</v>
      </c>
      <c r="D4126" s="737">
        <v>7.7590000000000003</v>
      </c>
      <c r="E4126" s="742">
        <v>-0.58068525724167741</v>
      </c>
      <c r="F4126" s="946">
        <v>-1.1613705144833548E-2</v>
      </c>
      <c r="G4126" s="78"/>
      <c r="H4126" t="s">
        <v>1047</v>
      </c>
    </row>
    <row r="4127" spans="1:12" s="39" customFormat="1" hidden="1" outlineLevel="1" x14ac:dyDescent="0.25">
      <c r="A4127" s="739">
        <v>0.03</v>
      </c>
      <c r="B4127" s="740" t="s">
        <v>3383</v>
      </c>
      <c r="C4127" s="809">
        <v>113.15</v>
      </c>
      <c r="D4127" s="737">
        <v>98.9</v>
      </c>
      <c r="E4127" s="742">
        <v>-0.12593901900132565</v>
      </c>
      <c r="F4127" s="946">
        <v>-3.7781705700397693E-3</v>
      </c>
      <c r="G4127" s="78"/>
      <c r="H4127" t="s">
        <v>3789</v>
      </c>
    </row>
    <row r="4128" spans="1:12" s="39" customFormat="1" hidden="1" outlineLevel="1" x14ac:dyDescent="0.25">
      <c r="A4128" s="739">
        <v>0.04</v>
      </c>
      <c r="B4128" s="740" t="s">
        <v>583</v>
      </c>
      <c r="C4128" s="809">
        <v>418.05</v>
      </c>
      <c r="D4128" s="737">
        <v>310.05</v>
      </c>
      <c r="E4128" s="742">
        <v>-0.25834230355220666</v>
      </c>
      <c r="F4128" s="946">
        <v>-1.0333692142088267E-2</v>
      </c>
      <c r="G4128" s="78"/>
      <c r="H4128" t="s">
        <v>1594</v>
      </c>
    </row>
    <row r="4129" spans="1:14" s="39" customFormat="1" hidden="1" outlineLevel="1" x14ac:dyDescent="0.25">
      <c r="A4129" s="739">
        <v>0.05</v>
      </c>
      <c r="B4129" s="740" t="s">
        <v>2628</v>
      </c>
      <c r="C4129" s="809">
        <v>6.6231999999999998</v>
      </c>
      <c r="D4129" s="737">
        <v>0.68100000000000005</v>
      </c>
      <c r="E4129" s="742">
        <v>-0.89717961106413813</v>
      </c>
      <c r="F4129" s="946">
        <v>-4.4858980553206911E-2</v>
      </c>
      <c r="G4129" s="78"/>
      <c r="H4129" t="s">
        <v>1896</v>
      </c>
    </row>
    <row r="4130" spans="1:14" s="39" customFormat="1" hidden="1" outlineLevel="1" x14ac:dyDescent="0.25">
      <c r="A4130" s="739">
        <v>0.02</v>
      </c>
      <c r="B4130" s="740" t="s">
        <v>4228</v>
      </c>
      <c r="C4130" s="809">
        <v>57.564999999999998</v>
      </c>
      <c r="D4130" s="737">
        <v>9.984</v>
      </c>
      <c r="E4130" s="742">
        <v>-0.82656127855467731</v>
      </c>
      <c r="F4130" s="946">
        <v>-1.6531225571093548E-2</v>
      </c>
      <c r="G4130" s="78"/>
      <c r="H4130" t="s">
        <v>3994</v>
      </c>
    </row>
    <row r="4131" spans="1:14" s="39" customFormat="1" hidden="1" outlineLevel="1" x14ac:dyDescent="0.25">
      <c r="A4131" s="717"/>
      <c r="B4131" s="718"/>
      <c r="C4131" s="719"/>
      <c r="D4131" s="719"/>
      <c r="E4131" s="720"/>
      <c r="F4131" s="731">
        <v>-0.3441172327221606</v>
      </c>
      <c r="G4131" s="78"/>
      <c r="H4131"/>
    </row>
    <row r="4132" spans="1:14" s="39" customFormat="1" collapsed="1" x14ac:dyDescent="0.25">
      <c r="A4132" s="3801" t="s">
        <v>1424</v>
      </c>
      <c r="B4132" s="3802"/>
      <c r="C4132" s="3802"/>
      <c r="D4132" s="3802"/>
      <c r="E4132" s="721"/>
      <c r="F4132" s="722">
        <v>-0.05</v>
      </c>
      <c r="G4132" s="97" t="s">
        <v>781</v>
      </c>
      <c r="H4132"/>
    </row>
    <row r="4133" spans="1:14" s="39" customFormat="1" x14ac:dyDescent="0.25">
      <c r="A4133" s="159"/>
      <c r="B4133" s="159"/>
      <c r="C4133" s="159"/>
      <c r="D4133" s="159"/>
      <c r="E4133" s="246" t="s">
        <v>2722</v>
      </c>
      <c r="F4133" s="160"/>
      <c r="G4133" s="12"/>
    </row>
    <row r="4134" spans="1:14" s="39" customFormat="1" hidden="1" outlineLevel="1" x14ac:dyDescent="0.25">
      <c r="A4134" s="689" t="s">
        <v>113</v>
      </c>
      <c r="B4134" s="689" t="s">
        <v>114</v>
      </c>
      <c r="C4134" s="689" t="s">
        <v>112</v>
      </c>
      <c r="D4134" s="689" t="s">
        <v>116</v>
      </c>
      <c r="E4134" s="689" t="s">
        <v>117</v>
      </c>
      <c r="F4134" s="1188" t="s">
        <v>121</v>
      </c>
      <c r="G4134" s="78"/>
      <c r="H4134"/>
    </row>
    <row r="4135" spans="1:14" s="39" customFormat="1" hidden="1" outlineLevel="1" x14ac:dyDescent="0.25">
      <c r="A4135" s="690">
        <v>1</v>
      </c>
      <c r="B4135" s="691" t="s">
        <v>252</v>
      </c>
      <c r="C4135" s="692">
        <v>100</v>
      </c>
      <c r="D4135" s="692"/>
      <c r="E4135" s="693"/>
      <c r="F4135" s="694"/>
      <c r="G4135" s="78"/>
      <c r="H4135"/>
    </row>
    <row r="4136" spans="1:14" s="39" customFormat="1" hidden="1" outlineLevel="1" x14ac:dyDescent="0.25">
      <c r="A4136" s="695"/>
      <c r="B4136" s="695"/>
      <c r="C4136" s="696"/>
      <c r="D4136" s="697" t="s">
        <v>3702</v>
      </c>
      <c r="E4136" s="698">
        <v>42598</v>
      </c>
      <c r="F4136" s="699"/>
      <c r="G4136" s="78"/>
      <c r="H4136"/>
    </row>
    <row r="4137" spans="1:14" s="39" customFormat="1" hidden="1" outlineLevel="1" x14ac:dyDescent="0.25">
      <c r="A4137" s="689" t="s">
        <v>4156</v>
      </c>
      <c r="B4137" s="689" t="s">
        <v>4153</v>
      </c>
      <c r="C4137" s="700" t="s">
        <v>112</v>
      </c>
      <c r="D4137" s="689" t="s">
        <v>4155</v>
      </c>
      <c r="E4137" s="689" t="s">
        <v>4154</v>
      </c>
      <c r="F4137" s="1021" t="s">
        <v>2519</v>
      </c>
      <c r="G4137" s="78"/>
      <c r="H4137"/>
    </row>
    <row r="4138" spans="1:14" s="39" customFormat="1" hidden="1" outlineLevel="1" x14ac:dyDescent="0.25">
      <c r="A4138" s="734">
        <v>0.5</v>
      </c>
      <c r="B4138" s="799" t="s">
        <v>2702</v>
      </c>
      <c r="C4138" s="807">
        <v>2205.886</v>
      </c>
      <c r="D4138" s="1090">
        <v>2379.56</v>
      </c>
      <c r="E4138" s="895">
        <v>7.8732083162955879E-2</v>
      </c>
      <c r="F4138" s="1021">
        <v>3.936604158147794E-2</v>
      </c>
      <c r="G4138" s="78"/>
      <c r="H4138" t="s">
        <v>735</v>
      </c>
    </row>
    <row r="4139" spans="1:14" s="39" customFormat="1" hidden="1" outlineLevel="1" x14ac:dyDescent="0.25">
      <c r="A4139" s="739">
        <v>3.3333000000000002E-2</v>
      </c>
      <c r="B4139" s="743" t="s">
        <v>157</v>
      </c>
      <c r="C4139" s="809">
        <v>12.465559609615893</v>
      </c>
      <c r="D4139" s="1091">
        <v>7.3250000000000002</v>
      </c>
      <c r="E4139" s="896">
        <v>-0.41238097370698712</v>
      </c>
      <c r="F4139" s="946">
        <v>-1.3745894996575003E-2</v>
      </c>
      <c r="G4139" s="78"/>
      <c r="H4139" t="s">
        <v>730</v>
      </c>
      <c r="J4139" s="44"/>
      <c r="L4139" s="257">
        <v>40391</v>
      </c>
      <c r="M4139" s="39">
        <v>89.458200000000005</v>
      </c>
      <c r="N4139" s="171">
        <v>-0.1054179999999999</v>
      </c>
    </row>
    <row r="4140" spans="1:14" s="39" customFormat="1" hidden="1" outlineLevel="1" x14ac:dyDescent="0.25">
      <c r="A4140" s="739">
        <v>3.3333000000000002E-2</v>
      </c>
      <c r="B4140" s="740" t="s">
        <v>901</v>
      </c>
      <c r="C4140" s="809">
        <v>1619.9</v>
      </c>
      <c r="D4140" s="1091">
        <v>2820.5</v>
      </c>
      <c r="E4140" s="896">
        <v>0.74115686153466243</v>
      </c>
      <c r="F4140" s="946">
        <v>2.4704981665534902E-2</v>
      </c>
      <c r="G4140" s="78"/>
      <c r="H4140" t="s">
        <v>531</v>
      </c>
      <c r="J4140" s="44"/>
      <c r="L4140" s="257">
        <v>40422</v>
      </c>
      <c r="M4140" s="39">
        <v>92.062100000000001</v>
      </c>
      <c r="N4140" s="171">
        <v>-7.9378999999999977E-2</v>
      </c>
    </row>
    <row r="4141" spans="1:14" s="39" customFormat="1" hidden="1" outlineLevel="1" x14ac:dyDescent="0.25">
      <c r="A4141" s="739">
        <v>3.3333000000000002E-2</v>
      </c>
      <c r="B4141" s="743" t="s">
        <v>3405</v>
      </c>
      <c r="C4141" s="809">
        <v>49.993000000000002</v>
      </c>
      <c r="D4141" s="1091">
        <v>20.6</v>
      </c>
      <c r="E4141" s="896">
        <v>-0.5879423119236693</v>
      </c>
      <c r="F4141" s="946">
        <v>-1.959788108335167E-2</v>
      </c>
      <c r="G4141" s="78"/>
      <c r="H4141" t="s">
        <v>2747</v>
      </c>
      <c r="J4141" s="44"/>
      <c r="L4141" s="257">
        <v>40452</v>
      </c>
      <c r="M4141" s="39">
        <v>94.610100000000003</v>
      </c>
      <c r="N4141" s="171">
        <v>-5.3898999999999919E-2</v>
      </c>
    </row>
    <row r="4142" spans="1:14" s="39" customFormat="1" hidden="1" outlineLevel="1" x14ac:dyDescent="0.25">
      <c r="A4142" s="739">
        <v>3.3333000000000002E-2</v>
      </c>
      <c r="B4142" s="743" t="s">
        <v>1847</v>
      </c>
      <c r="C4142" s="809">
        <v>477.65</v>
      </c>
      <c r="D4142" s="1091">
        <v>38.340000000000003</v>
      </c>
      <c r="E4142" s="896">
        <v>-0.91973202135454835</v>
      </c>
      <c r="F4142" s="946">
        <v>-3.0657427467811162E-2</v>
      </c>
      <c r="G4142" s="78"/>
      <c r="H4142" t="s">
        <v>2749</v>
      </c>
      <c r="J4142" s="44"/>
      <c r="L4142" s="257">
        <v>40483</v>
      </c>
      <c r="M4142" s="39">
        <v>94.124700000000004</v>
      </c>
      <c r="N4142" s="171">
        <v>-5.8752999999999944E-2</v>
      </c>
    </row>
    <row r="4143" spans="1:14" s="39" customFormat="1" hidden="1" outlineLevel="1" x14ac:dyDescent="0.25">
      <c r="A4143" s="739">
        <v>3.3333000000000002E-2</v>
      </c>
      <c r="B4143" s="740" t="s">
        <v>2699</v>
      </c>
      <c r="C4143" s="809">
        <v>20.951000000000001</v>
      </c>
      <c r="D4143" s="1091">
        <v>12.32</v>
      </c>
      <c r="E4143" s="896">
        <v>-0.41196124290010028</v>
      </c>
      <c r="F4143" s="946">
        <v>-1.3731904109589042E-2</v>
      </c>
      <c r="G4143" s="78"/>
      <c r="H4143" t="s">
        <v>505</v>
      </c>
      <c r="J4143" s="44"/>
      <c r="L4143" s="257">
        <v>40513</v>
      </c>
      <c r="M4143" s="39">
        <v>96.993600000000001</v>
      </c>
      <c r="N4143" s="171">
        <v>-3.006399999999998E-2</v>
      </c>
    </row>
    <row r="4144" spans="1:14" s="39" customFormat="1" hidden="1" outlineLevel="1" x14ac:dyDescent="0.25">
      <c r="A4144" s="739">
        <v>3.3333000000000002E-2</v>
      </c>
      <c r="B4144" s="743" t="s">
        <v>3406</v>
      </c>
      <c r="C4144" s="809">
        <v>1018.85</v>
      </c>
      <c r="D4144" s="1091">
        <v>1245</v>
      </c>
      <c r="E4144" s="896">
        <v>0.2219659419934239</v>
      </c>
      <c r="F4144" s="946">
        <v>7.3987907444667995E-3</v>
      </c>
      <c r="G4144" s="78"/>
      <c r="H4144" t="s">
        <v>2105</v>
      </c>
      <c r="J4144" s="44"/>
      <c r="L4144" s="257">
        <v>40544</v>
      </c>
      <c r="M4144" s="39">
        <v>96.239900000000006</v>
      </c>
      <c r="N4144" s="171">
        <v>-3.7600999999999996E-2</v>
      </c>
    </row>
    <row r="4145" spans="1:14" s="39" customFormat="1" hidden="1" outlineLevel="1" x14ac:dyDescent="0.25">
      <c r="A4145" s="739">
        <v>3.3333000000000002E-2</v>
      </c>
      <c r="B4145" s="743" t="s">
        <v>3798</v>
      </c>
      <c r="C4145" s="809">
        <v>6.6044474654757321</v>
      </c>
      <c r="D4145" s="1091">
        <v>4.0199999999999996</v>
      </c>
      <c r="E4145" s="896">
        <v>-0.39131925554495561</v>
      </c>
      <c r="F4145" s="946">
        <v>-1.3043844745080005E-2</v>
      </c>
      <c r="G4145" s="78"/>
      <c r="H4145" t="s">
        <v>4122</v>
      </c>
      <c r="J4145" s="44"/>
      <c r="L4145" s="257">
        <v>40575</v>
      </c>
      <c r="M4145" s="39">
        <v>97.733800000000002</v>
      </c>
      <c r="N4145" s="171">
        <v>-2.266199999999996E-2</v>
      </c>
    </row>
    <row r="4146" spans="1:14" s="39" customFormat="1" hidden="1" outlineLevel="1" x14ac:dyDescent="0.25">
      <c r="A4146" s="739">
        <v>3.3333000000000002E-2</v>
      </c>
      <c r="B4146" s="996" t="s">
        <v>2701</v>
      </c>
      <c r="C4146" s="809">
        <v>4.0049999999999999</v>
      </c>
      <c r="D4146" s="1091">
        <v>2.42</v>
      </c>
      <c r="E4146" s="896">
        <v>-0.39575530586766539</v>
      </c>
      <c r="F4146" s="946">
        <v>-1.319171161048689E-2</v>
      </c>
      <c r="G4146" s="78"/>
      <c r="H4146" t="s">
        <v>2700</v>
      </c>
      <c r="J4146" s="44"/>
      <c r="L4146" s="257">
        <v>40603</v>
      </c>
      <c r="M4146" s="39">
        <v>98.501199999999997</v>
      </c>
      <c r="N4146" s="171">
        <v>-1.4988000000000001E-2</v>
      </c>
    </row>
    <row r="4147" spans="1:14" s="39" customFormat="1" hidden="1" outlineLevel="1" x14ac:dyDescent="0.25">
      <c r="A4147" s="739">
        <v>3.3333000000000002E-2</v>
      </c>
      <c r="B4147" s="996" t="s">
        <v>4268</v>
      </c>
      <c r="C4147" s="809">
        <v>22.939041402007128</v>
      </c>
      <c r="D4147" s="1091">
        <v>18.45</v>
      </c>
      <c r="E4147" s="896">
        <v>-0.19569437638376397</v>
      </c>
      <c r="F4147" s="946">
        <v>-6.5230806480000049E-3</v>
      </c>
      <c r="G4147" s="78"/>
      <c r="H4147" t="s">
        <v>1801</v>
      </c>
      <c r="J4147" s="44"/>
      <c r="L4147" s="257">
        <v>40634</v>
      </c>
      <c r="M4147" s="39">
        <v>97.5351</v>
      </c>
      <c r="N4147" s="171">
        <v>-2.4649000000000032E-2</v>
      </c>
    </row>
    <row r="4148" spans="1:14" s="39" customFormat="1" hidden="1" outlineLevel="1" x14ac:dyDescent="0.25">
      <c r="A4148" s="739">
        <v>3.3333000000000002E-2</v>
      </c>
      <c r="B4148" s="743" t="s">
        <v>1031</v>
      </c>
      <c r="C4148" s="809">
        <v>9.8817500000000003</v>
      </c>
      <c r="D4148" s="1091">
        <v>5.6690000000000005</v>
      </c>
      <c r="E4148" s="896">
        <v>-0.42631618893414625</v>
      </c>
      <c r="F4148" s="946">
        <v>-1.4210397525741898E-2</v>
      </c>
      <c r="G4148" s="78"/>
      <c r="H4148" t="s">
        <v>7872</v>
      </c>
      <c r="J4148" s="44"/>
      <c r="L4148" s="257">
        <v>40664</v>
      </c>
      <c r="M4148" s="39">
        <v>96.889499999999998</v>
      </c>
      <c r="N4148" s="171">
        <v>-3.1105000000000049E-2</v>
      </c>
    </row>
    <row r="4149" spans="1:14" s="39" customFormat="1" hidden="1" outlineLevel="1" x14ac:dyDescent="0.25">
      <c r="A4149" s="739">
        <v>3.3333000000000002E-2</v>
      </c>
      <c r="B4149" s="743" t="s">
        <v>874</v>
      </c>
      <c r="C4149" s="809">
        <v>204</v>
      </c>
      <c r="D4149" s="1091">
        <v>252.7</v>
      </c>
      <c r="E4149" s="896">
        <v>0.23872549019607847</v>
      </c>
      <c r="F4149" s="946">
        <v>7.9574367647058837E-3</v>
      </c>
      <c r="G4149" s="78"/>
      <c r="H4149" t="s">
        <v>4148</v>
      </c>
      <c r="J4149" s="44"/>
      <c r="L4149" s="257">
        <v>40695</v>
      </c>
      <c r="M4149" s="39">
        <v>93.766400000000004</v>
      </c>
      <c r="N4149" s="171">
        <v>-6.2335999999999947E-2</v>
      </c>
    </row>
    <row r="4150" spans="1:14" s="39" customFormat="1" hidden="1" outlineLevel="1" x14ac:dyDescent="0.25">
      <c r="A4150" s="739">
        <v>3.3333000000000002E-2</v>
      </c>
      <c r="B4150" s="743" t="s">
        <v>1190</v>
      </c>
      <c r="C4150" s="809">
        <v>22.541</v>
      </c>
      <c r="D4150" s="1091">
        <v>4.056</v>
      </c>
      <c r="E4150" s="896">
        <v>-0.82006122177365692</v>
      </c>
      <c r="F4150" s="946">
        <v>-2.7335100705381307E-2</v>
      </c>
      <c r="G4150" s="78"/>
      <c r="H4150" t="s">
        <v>7569</v>
      </c>
      <c r="J4150" s="44"/>
      <c r="L4150" s="257">
        <v>40725</v>
      </c>
      <c r="M4150" s="39">
        <v>91.375299999999996</v>
      </c>
      <c r="N4150" s="171">
        <v>-8.6247000000000074E-2</v>
      </c>
    </row>
    <row r="4151" spans="1:14" s="39" customFormat="1" hidden="1" outlineLevel="1" x14ac:dyDescent="0.25">
      <c r="A4151" s="739">
        <v>3.3333000000000002E-2</v>
      </c>
      <c r="B4151" s="743" t="s">
        <v>3023</v>
      </c>
      <c r="C4151" s="809">
        <v>65.058999999999997</v>
      </c>
      <c r="D4151" s="1091">
        <v>61.49</v>
      </c>
      <c r="E4151" s="896">
        <v>-5.4857898215465939E-2</v>
      </c>
      <c r="F4151" s="946">
        <v>-1.8285783212161262E-3</v>
      </c>
      <c r="G4151" s="78"/>
      <c r="H4151" t="s">
        <v>2815</v>
      </c>
      <c r="J4151" s="44"/>
      <c r="L4151" s="208" t="s">
        <v>2465</v>
      </c>
      <c r="N4151" s="225">
        <v>-5.0591749999999984E-2</v>
      </c>
    </row>
    <row r="4152" spans="1:14" s="39" customFormat="1" hidden="1" outlineLevel="1" x14ac:dyDescent="0.25">
      <c r="A4152" s="739">
        <v>3.3333000000000002E-2</v>
      </c>
      <c r="B4152" s="743" t="s">
        <v>577</v>
      </c>
      <c r="C4152" s="809">
        <v>17.631000002778499</v>
      </c>
      <c r="D4152" s="1091">
        <v>15.55</v>
      </c>
      <c r="E4152" s="896">
        <v>-0.1180307414469145</v>
      </c>
      <c r="F4152" s="946">
        <v>-3.9343187046500016E-3</v>
      </c>
      <c r="G4152" s="78"/>
      <c r="H4152" t="s">
        <v>2804</v>
      </c>
      <c r="J4152" s="44"/>
      <c r="L4152" s="171"/>
    </row>
    <row r="4153" spans="1:14" s="39" customFormat="1" hidden="1" outlineLevel="1" x14ac:dyDescent="0.25">
      <c r="A4153" s="739">
        <v>3.3333000000000002E-2</v>
      </c>
      <c r="B4153" s="824" t="s">
        <v>1183</v>
      </c>
      <c r="C4153" s="809">
        <v>53.265999999999998</v>
      </c>
      <c r="D4153" s="1091">
        <v>37.78</v>
      </c>
      <c r="E4153" s="896">
        <v>-0.2907295460518905</v>
      </c>
      <c r="F4153" s="946">
        <v>-9.690887958547667E-3</v>
      </c>
      <c r="G4153" s="78"/>
      <c r="H4153" t="s">
        <v>2805</v>
      </c>
      <c r="J4153" s="44"/>
    </row>
    <row r="4154" spans="1:14" s="39" customFormat="1" hidden="1" outlineLevel="1" x14ac:dyDescent="0.25">
      <c r="A4154" s="717"/>
      <c r="B4154" s="750"/>
      <c r="C4154" s="719"/>
      <c r="D4154" s="719"/>
      <c r="E4154" s="907"/>
      <c r="F4154" s="1188">
        <v>-8.6199999999999999E-2</v>
      </c>
      <c r="G4154" s="78"/>
      <c r="H4154"/>
    </row>
    <row r="4155" spans="1:14" s="39" customFormat="1" collapsed="1" x14ac:dyDescent="0.25">
      <c r="A4155" s="3801" t="s">
        <v>1427</v>
      </c>
      <c r="B4155" s="3802"/>
      <c r="C4155" s="3802"/>
      <c r="D4155" s="3802"/>
      <c r="E4155" s="721" t="s">
        <v>2722</v>
      </c>
      <c r="F4155" s="722">
        <v>-0.05</v>
      </c>
      <c r="G4155" s="97" t="s">
        <v>781</v>
      </c>
      <c r="H4155"/>
    </row>
    <row r="4156" spans="1:14" s="39" customFormat="1" x14ac:dyDescent="0.25">
      <c r="A4156" s="159"/>
      <c r="B4156" s="159"/>
      <c r="C4156" s="159"/>
      <c r="D4156" s="159"/>
      <c r="E4156" s="160"/>
      <c r="F4156" s="160"/>
      <c r="G4156" s="78"/>
      <c r="H4156"/>
    </row>
    <row r="4157" spans="1:14" s="39" customFormat="1" hidden="1" outlineLevel="1" x14ac:dyDescent="0.25">
      <c r="A4157" s="689" t="s">
        <v>113</v>
      </c>
      <c r="B4157" s="689" t="s">
        <v>114</v>
      </c>
      <c r="C4157" s="689" t="s">
        <v>112</v>
      </c>
      <c r="D4157" s="689" t="s">
        <v>116</v>
      </c>
      <c r="E4157" s="689" t="s">
        <v>117</v>
      </c>
      <c r="F4157" s="1188" t="s">
        <v>121</v>
      </c>
      <c r="G4157" s="78"/>
      <c r="H4157"/>
    </row>
    <row r="4158" spans="1:14" s="39" customFormat="1" hidden="1" outlineLevel="1" x14ac:dyDescent="0.25">
      <c r="A4158" s="690">
        <v>1</v>
      </c>
      <c r="B4158" s="691" t="s">
        <v>252</v>
      </c>
      <c r="C4158" s="692">
        <v>100</v>
      </c>
      <c r="D4158" s="692"/>
      <c r="E4158" s="693"/>
      <c r="F4158" s="694"/>
      <c r="G4158" s="78"/>
      <c r="H4158"/>
    </row>
    <row r="4159" spans="1:14" s="39" customFormat="1" hidden="1" outlineLevel="1" x14ac:dyDescent="0.25">
      <c r="A4159" s="695"/>
      <c r="B4159" s="695"/>
      <c r="C4159" s="696"/>
      <c r="D4159" s="697" t="s">
        <v>3702</v>
      </c>
      <c r="E4159" s="698">
        <v>39843</v>
      </c>
      <c r="F4159" s="699"/>
      <c r="G4159" s="78"/>
      <c r="H4159"/>
    </row>
    <row r="4160" spans="1:14" s="39" customFormat="1" hidden="1" outlineLevel="1" x14ac:dyDescent="0.25">
      <c r="A4160" s="689" t="s">
        <v>4156</v>
      </c>
      <c r="B4160" s="689" t="s">
        <v>4153</v>
      </c>
      <c r="C4160" s="700" t="s">
        <v>112</v>
      </c>
      <c r="D4160" s="689" t="s">
        <v>116</v>
      </c>
      <c r="E4160" s="689" t="s">
        <v>4154</v>
      </c>
      <c r="F4160" s="1021" t="s">
        <v>2519</v>
      </c>
      <c r="G4160" s="78"/>
      <c r="H4160" s="39" t="s">
        <v>3533</v>
      </c>
    </row>
    <row r="4161" spans="1:11" s="39" customFormat="1" hidden="1" outlineLevel="1" x14ac:dyDescent="0.25">
      <c r="A4161" s="734">
        <v>0.05</v>
      </c>
      <c r="B4161" s="735" t="s">
        <v>1002</v>
      </c>
      <c r="C4161" s="807">
        <v>19.579000000000001</v>
      </c>
      <c r="D4161" s="803">
        <v>16.983000000000001</v>
      </c>
      <c r="E4161" s="705">
        <v>-0.13259104142193168</v>
      </c>
      <c r="F4161" s="3876">
        <v>-0.16039999999999999</v>
      </c>
      <c r="G4161" s="78"/>
      <c r="H4161" t="s">
        <v>6557</v>
      </c>
      <c r="I4161" s="136"/>
    </row>
    <row r="4162" spans="1:11" s="39" customFormat="1" hidden="1" outlineLevel="1" x14ac:dyDescent="0.25">
      <c r="A4162" s="739">
        <v>0.05</v>
      </c>
      <c r="B4162" s="740" t="s">
        <v>583</v>
      </c>
      <c r="C4162" s="809">
        <v>417.3</v>
      </c>
      <c r="D4162" s="908">
        <v>356.33</v>
      </c>
      <c r="E4162" s="709">
        <v>-0.14610591900311531</v>
      </c>
      <c r="F4162" s="3877"/>
      <c r="G4162" s="78"/>
      <c r="H4162" t="s">
        <v>1594</v>
      </c>
      <c r="I4162" s="136"/>
      <c r="J4162"/>
      <c r="K4162" s="171"/>
    </row>
    <row r="4163" spans="1:11" s="39" customFormat="1" hidden="1" outlineLevel="1" x14ac:dyDescent="0.25">
      <c r="A4163" s="739">
        <v>0.05</v>
      </c>
      <c r="B4163" s="740" t="s">
        <v>1993</v>
      </c>
      <c r="C4163" s="809">
        <v>67.504000000000005</v>
      </c>
      <c r="D4163" s="908">
        <v>57.292999999999999</v>
      </c>
      <c r="E4163" s="709">
        <v>-0.151265110215691</v>
      </c>
      <c r="F4163" s="3877"/>
      <c r="G4163" s="78"/>
      <c r="H4163" t="s">
        <v>2812</v>
      </c>
      <c r="I4163" s="136"/>
      <c r="J4163"/>
      <c r="K4163" s="171"/>
    </row>
    <row r="4164" spans="1:11" s="39" customFormat="1" hidden="1" outlineLevel="1" x14ac:dyDescent="0.25">
      <c r="A4164" s="739">
        <v>0.05</v>
      </c>
      <c r="B4164" s="740" t="s">
        <v>1541</v>
      </c>
      <c r="C4164" s="809">
        <v>55.076999999999998</v>
      </c>
      <c r="D4164" s="908">
        <v>45.792999999999999</v>
      </c>
      <c r="E4164" s="709">
        <v>-0.16856401038546032</v>
      </c>
      <c r="F4164" s="3877"/>
      <c r="G4164" s="78"/>
      <c r="H4164" t="s">
        <v>1696</v>
      </c>
      <c r="I4164" s="136"/>
      <c r="J4164" s="69"/>
      <c r="K4164" s="171"/>
    </row>
    <row r="4165" spans="1:11" s="39" customFormat="1" hidden="1" outlineLevel="1" x14ac:dyDescent="0.25">
      <c r="A4165" s="739">
        <v>0.05</v>
      </c>
      <c r="B4165" s="740" t="s">
        <v>3020</v>
      </c>
      <c r="C4165" s="809">
        <v>53.317</v>
      </c>
      <c r="D4165" s="908">
        <v>42.459000000000003</v>
      </c>
      <c r="E4165" s="709">
        <v>-0.20364986777200511</v>
      </c>
      <c r="F4165" s="3877"/>
      <c r="G4165" s="78"/>
      <c r="H4165" t="s">
        <v>490</v>
      </c>
      <c r="I4165" s="136"/>
      <c r="J4165"/>
      <c r="K4165" s="171"/>
    </row>
    <row r="4166" spans="1:11" s="39" customFormat="1" hidden="1" outlineLevel="1" x14ac:dyDescent="0.25">
      <c r="A4166" s="739">
        <v>0.05</v>
      </c>
      <c r="B4166" s="740" t="s">
        <v>1204</v>
      </c>
      <c r="C4166" s="809">
        <v>68.448999999999998</v>
      </c>
      <c r="D4166" s="908">
        <v>51.021999999999998</v>
      </c>
      <c r="E4166" s="709">
        <v>-0.25459831407325162</v>
      </c>
      <c r="F4166" s="946"/>
      <c r="G4166" s="78"/>
      <c r="H4166" t="s">
        <v>2427</v>
      </c>
      <c r="I4166" s="136"/>
    </row>
    <row r="4167" spans="1:11" s="39" customFormat="1" hidden="1" outlineLevel="1" x14ac:dyDescent="0.25">
      <c r="A4167" s="739">
        <v>0.05</v>
      </c>
      <c r="B4167" s="740" t="s">
        <v>6551</v>
      </c>
      <c r="C4167" s="809">
        <v>125.367</v>
      </c>
      <c r="D4167" s="908">
        <v>87.786000000000001</v>
      </c>
      <c r="E4167" s="709">
        <v>-0.29976788149991629</v>
      </c>
      <c r="F4167" s="946"/>
      <c r="G4167" s="78"/>
      <c r="H4167" t="s">
        <v>6550</v>
      </c>
      <c r="I4167" s="136"/>
    </row>
    <row r="4168" spans="1:11" s="39" customFormat="1" hidden="1" outlineLevel="1" x14ac:dyDescent="0.25">
      <c r="A4168" s="739">
        <v>0.05</v>
      </c>
      <c r="B4168" s="740" t="s">
        <v>1206</v>
      </c>
      <c r="C4168" s="809">
        <v>39.198</v>
      </c>
      <c r="D4168" s="908">
        <v>26.777000000000001</v>
      </c>
      <c r="E4168" s="709">
        <v>-0.3168784121638859</v>
      </c>
      <c r="F4168" s="946"/>
      <c r="G4168" s="78"/>
      <c r="H4168" t="s">
        <v>3484</v>
      </c>
      <c r="I4168" s="136"/>
    </row>
    <row r="4169" spans="1:11" s="39" customFormat="1" hidden="1" outlineLevel="1" x14ac:dyDescent="0.25">
      <c r="A4169" s="739">
        <v>0.05</v>
      </c>
      <c r="B4169" s="740" t="s">
        <v>159</v>
      </c>
      <c r="C4169" s="809">
        <v>508.34100000000001</v>
      </c>
      <c r="D4169" s="908">
        <v>320.28100000000001</v>
      </c>
      <c r="E4169" s="709">
        <v>-0.36994851880922452</v>
      </c>
      <c r="F4169" s="946"/>
      <c r="G4169" s="78"/>
      <c r="H4169" t="s">
        <v>6555</v>
      </c>
      <c r="I4169" s="136"/>
    </row>
    <row r="4170" spans="1:11" s="39" customFormat="1" hidden="1" outlineLevel="1" x14ac:dyDescent="0.25">
      <c r="A4170" s="739">
        <v>0.05</v>
      </c>
      <c r="B4170" s="740" t="s">
        <v>1001</v>
      </c>
      <c r="C4170" s="809">
        <v>28.65</v>
      </c>
      <c r="D4170" s="908">
        <v>17.989999999999998</v>
      </c>
      <c r="E4170" s="709">
        <v>-0.3720767888307156</v>
      </c>
      <c r="F4170" s="946"/>
      <c r="G4170" s="78"/>
      <c r="H4170" t="s">
        <v>4150</v>
      </c>
      <c r="I4170" s="136"/>
    </row>
    <row r="4171" spans="1:11" s="39" customFormat="1" hidden="1" outlineLevel="1" x14ac:dyDescent="0.25">
      <c r="A4171" s="739">
        <v>0.05</v>
      </c>
      <c r="B4171" s="740" t="s">
        <v>719</v>
      </c>
      <c r="C4171" s="809">
        <v>49.085000000000001</v>
      </c>
      <c r="D4171" s="908">
        <v>27.5745</v>
      </c>
      <c r="E4171" s="709">
        <v>-0.43822960171131708</v>
      </c>
      <c r="F4171" s="946"/>
      <c r="G4171" s="78"/>
      <c r="H4171" t="s">
        <v>1697</v>
      </c>
      <c r="I4171" s="136"/>
    </row>
    <row r="4172" spans="1:11" s="39" customFormat="1" hidden="1" outlineLevel="1" x14ac:dyDescent="0.25">
      <c r="A4172" s="739">
        <v>0.05</v>
      </c>
      <c r="B4172" s="740" t="s">
        <v>158</v>
      </c>
      <c r="C4172" s="809">
        <v>30.423999999999999</v>
      </c>
      <c r="D4172" s="908">
        <v>15.861000000000001</v>
      </c>
      <c r="E4172" s="709">
        <v>-0.47866815671838014</v>
      </c>
      <c r="F4172" s="946"/>
      <c r="G4172" s="78"/>
      <c r="H4172" t="s">
        <v>1315</v>
      </c>
      <c r="I4172" s="136"/>
    </row>
    <row r="4173" spans="1:11" s="39" customFormat="1" hidden="1" outlineLevel="1" x14ac:dyDescent="0.25">
      <c r="A4173" s="739">
        <v>0.05</v>
      </c>
      <c r="B4173" s="740" t="s">
        <v>163</v>
      </c>
      <c r="C4173" s="809">
        <v>18.510000000000002</v>
      </c>
      <c r="D4173" s="908">
        <v>9.5229999999999997</v>
      </c>
      <c r="E4173" s="709">
        <v>-0.48552133981631551</v>
      </c>
      <c r="F4173" s="946"/>
      <c r="G4173" s="78"/>
      <c r="H4173" t="s">
        <v>2617</v>
      </c>
      <c r="I4173" s="136"/>
    </row>
    <row r="4174" spans="1:11" s="39" customFormat="1" hidden="1" outlineLevel="1" x14ac:dyDescent="0.25">
      <c r="A4174" s="739">
        <v>0.05</v>
      </c>
      <c r="B4174" s="740" t="s">
        <v>160</v>
      </c>
      <c r="C4174" s="809">
        <v>124.80000000000001</v>
      </c>
      <c r="D4174" s="908">
        <v>63.58</v>
      </c>
      <c r="E4174" s="709">
        <v>-0.49054487179487183</v>
      </c>
      <c r="F4174" s="946"/>
      <c r="G4174" s="78"/>
      <c r="H4174" t="s">
        <v>1056</v>
      </c>
      <c r="I4174" s="136"/>
    </row>
    <row r="4175" spans="1:11" s="39" customFormat="1" hidden="1" outlineLevel="1" x14ac:dyDescent="0.25">
      <c r="A4175" s="739">
        <v>0.05</v>
      </c>
      <c r="B4175" s="740" t="s">
        <v>3384</v>
      </c>
      <c r="C4175" s="809">
        <v>56.585000000000001</v>
      </c>
      <c r="D4175" s="908">
        <v>27.527999999999999</v>
      </c>
      <c r="E4175" s="709">
        <v>-0.51351064769815324</v>
      </c>
      <c r="F4175" s="946"/>
      <c r="G4175" s="78"/>
      <c r="H4175" t="s">
        <v>3790</v>
      </c>
      <c r="I4175" s="136"/>
    </row>
    <row r="4176" spans="1:11" s="39" customFormat="1" hidden="1" outlineLevel="1" x14ac:dyDescent="0.25">
      <c r="A4176" s="739">
        <v>0.05</v>
      </c>
      <c r="B4176" s="740" t="s">
        <v>162</v>
      </c>
      <c r="C4176" s="809">
        <v>89.897000000000006</v>
      </c>
      <c r="D4176" s="908">
        <v>40.494999999999997</v>
      </c>
      <c r="E4176" s="709">
        <v>-0.54954002914446543</v>
      </c>
      <c r="F4176" s="3877">
        <v>-0.64949999999999997</v>
      </c>
      <c r="G4176" s="78"/>
      <c r="H4176" t="s">
        <v>563</v>
      </c>
      <c r="I4176" s="136"/>
    </row>
    <row r="4177" spans="1:9" s="39" customFormat="1" hidden="1" outlineLevel="1" x14ac:dyDescent="0.25">
      <c r="A4177" s="739">
        <v>0.05</v>
      </c>
      <c r="B4177" s="740" t="s">
        <v>1190</v>
      </c>
      <c r="C4177" s="809">
        <v>21.917000000000002</v>
      </c>
      <c r="D4177" s="908">
        <v>9.7880000000000003</v>
      </c>
      <c r="E4177" s="709">
        <v>-0.55340603184742432</v>
      </c>
      <c r="F4177" s="3877"/>
      <c r="G4177" s="78"/>
      <c r="H4177" t="s">
        <v>7569</v>
      </c>
      <c r="I4177" s="136"/>
    </row>
    <row r="4178" spans="1:9" s="39" customFormat="1" hidden="1" outlineLevel="1" x14ac:dyDescent="0.25">
      <c r="A4178" s="739">
        <v>0.05</v>
      </c>
      <c r="B4178" s="740" t="s">
        <v>51</v>
      </c>
      <c r="C4178" s="809">
        <v>79.739999999999995</v>
      </c>
      <c r="D4178" s="908">
        <v>27.632999999999999</v>
      </c>
      <c r="E4178" s="709">
        <v>-0.65346124905944314</v>
      </c>
      <c r="F4178" s="3877"/>
      <c r="G4178" s="78"/>
      <c r="H4178" t="s">
        <v>2748</v>
      </c>
      <c r="I4178" s="136"/>
    </row>
    <row r="4179" spans="1:9" s="39" customFormat="1" hidden="1" outlineLevel="1" x14ac:dyDescent="0.25">
      <c r="A4179" s="739">
        <v>0.05</v>
      </c>
      <c r="B4179" s="740" t="s">
        <v>4228</v>
      </c>
      <c r="C4179" s="809">
        <v>54.046999999999997</v>
      </c>
      <c r="D4179" s="908">
        <v>17.257000000000001</v>
      </c>
      <c r="E4179" s="709">
        <v>-0.68070383185005645</v>
      </c>
      <c r="F4179" s="3877"/>
      <c r="G4179" s="78"/>
      <c r="H4179" t="s">
        <v>3994</v>
      </c>
      <c r="I4179" s="136"/>
    </row>
    <row r="4180" spans="1:9" s="39" customFormat="1" hidden="1" outlineLevel="1" x14ac:dyDescent="0.25">
      <c r="A4180" s="739">
        <v>0.05</v>
      </c>
      <c r="B4180" s="740" t="s">
        <v>1540</v>
      </c>
      <c r="C4180" s="809">
        <v>8.0630000000000006</v>
      </c>
      <c r="D4180" s="908">
        <v>1.5277000000000001</v>
      </c>
      <c r="E4180" s="709">
        <v>-0.8105295795609575</v>
      </c>
      <c r="F4180" s="3878"/>
      <c r="G4180" s="78"/>
      <c r="H4180" t="s">
        <v>1695</v>
      </c>
      <c r="I4180" s="136"/>
    </row>
    <row r="4181" spans="1:9" s="39" customFormat="1" hidden="1" outlineLevel="1" x14ac:dyDescent="0.25">
      <c r="A4181" s="717"/>
      <c r="B4181" s="718"/>
      <c r="C4181" s="719"/>
      <c r="D4181" s="719"/>
      <c r="E4181" s="720"/>
      <c r="F4181" s="731"/>
      <c r="G4181" s="78"/>
      <c r="H4181"/>
      <c r="I4181" s="12"/>
    </row>
    <row r="4182" spans="1:9" s="39" customFormat="1" ht="13.5" customHeight="1" collapsed="1" x14ac:dyDescent="0.25">
      <c r="A4182" s="3801" t="s">
        <v>1155</v>
      </c>
      <c r="B4182" s="3802"/>
      <c r="C4182" s="3802"/>
      <c r="D4182" s="3802"/>
      <c r="E4182" s="721" t="s">
        <v>2722</v>
      </c>
      <c r="F4182" s="722">
        <v>6.0900000000000003E-2</v>
      </c>
      <c r="G4182" s="97" t="s">
        <v>781</v>
      </c>
      <c r="H4182"/>
      <c r="I4182" s="136">
        <f>1138.89/1000-1</f>
        <v>0.13889000000000018</v>
      </c>
    </row>
    <row r="4183" spans="1:9" s="39" customFormat="1" x14ac:dyDescent="0.25">
      <c r="A4183" s="159"/>
      <c r="B4183" s="159"/>
      <c r="C4183" s="159"/>
      <c r="D4183" s="159"/>
      <c r="E4183" s="160"/>
      <c r="F4183" s="160"/>
      <c r="G4183" s="78"/>
      <c r="H4183"/>
    </row>
    <row r="4184" spans="1:9" s="39" customFormat="1" hidden="1" outlineLevel="1" x14ac:dyDescent="0.25">
      <c r="A4184" s="689" t="s">
        <v>113</v>
      </c>
      <c r="B4184" s="689" t="s">
        <v>114</v>
      </c>
      <c r="C4184" s="689" t="s">
        <v>112</v>
      </c>
      <c r="D4184" s="689" t="s">
        <v>2328</v>
      </c>
      <c r="E4184" s="495" t="s">
        <v>117</v>
      </c>
      <c r="F4184" s="1021" t="s">
        <v>121</v>
      </c>
      <c r="G4184" s="78"/>
      <c r="H4184"/>
    </row>
    <row r="4185" spans="1:9" s="39" customFormat="1" hidden="1" outlineLevel="1" x14ac:dyDescent="0.25">
      <c r="A4185" s="799"/>
      <c r="B4185" s="799" t="s">
        <v>3563</v>
      </c>
      <c r="C4185" s="800">
        <v>12076.513999999999</v>
      </c>
      <c r="D4185" s="800">
        <v>11299.05</v>
      </c>
      <c r="E4185" s="3819">
        <f>(0.25*D4185/C4185+0.25*D4186/C4186+0.25*D4187/C4187+0.25*D4188/C4188)-1</f>
        <v>-0.19134445829809099</v>
      </c>
      <c r="F4185" s="3819">
        <f>E4185*parametry!N158</f>
        <v>-0.2104789041279001</v>
      </c>
      <c r="G4185" s="78"/>
      <c r="H4185" t="s">
        <v>4410</v>
      </c>
    </row>
    <row r="4186" spans="1:9" s="39" customFormat="1" hidden="1" outlineLevel="1" x14ac:dyDescent="0.25">
      <c r="A4186" s="852"/>
      <c r="B4186" s="852" t="s">
        <v>3564</v>
      </c>
      <c r="C4186" s="802">
        <v>21660.601999999999</v>
      </c>
      <c r="D4186" s="1028">
        <v>20390.490000000002</v>
      </c>
      <c r="E4186" s="3820"/>
      <c r="F4186" s="3820"/>
      <c r="G4186" s="78"/>
      <c r="H4186" t="s">
        <v>4411</v>
      </c>
    </row>
    <row r="4187" spans="1:9" s="39" customFormat="1" hidden="1" outlineLevel="1" x14ac:dyDescent="0.25">
      <c r="A4187" s="852"/>
      <c r="B4187" s="852" t="s">
        <v>761</v>
      </c>
      <c r="C4187" s="802">
        <v>16516.065999999999</v>
      </c>
      <c r="D4187" s="1028">
        <v>8802.51</v>
      </c>
      <c r="E4187" s="3820"/>
      <c r="F4187" s="3820"/>
      <c r="G4187" s="78"/>
      <c r="H4187" t="s">
        <v>4406</v>
      </c>
    </row>
    <row r="4188" spans="1:9" s="39" customFormat="1" hidden="1" outlineLevel="1" x14ac:dyDescent="0.25">
      <c r="A4188" s="801"/>
      <c r="B4188" s="801" t="s">
        <v>2019</v>
      </c>
      <c r="C4188" s="747">
        <v>405.38600000000002</v>
      </c>
      <c r="D4188" s="806">
        <v>334.31</v>
      </c>
      <c r="E4188" s="3821"/>
      <c r="F4188" s="3821"/>
      <c r="G4188" s="78"/>
      <c r="H4188" t="s">
        <v>2016</v>
      </c>
    </row>
    <row r="4189" spans="1:9" s="39" customFormat="1" hidden="1" outlineLevel="1" x14ac:dyDescent="0.25">
      <c r="A4189" s="1092"/>
      <c r="B4189" s="1092" t="s">
        <v>3563</v>
      </c>
      <c r="C4189" s="1092" t="s">
        <v>3564</v>
      </c>
      <c r="D4189" s="1092" t="s">
        <v>761</v>
      </c>
      <c r="E4189" s="1092" t="s">
        <v>2019</v>
      </c>
      <c r="F4189" s="1093"/>
      <c r="G4189" s="78"/>
      <c r="H4189"/>
    </row>
    <row r="4190" spans="1:9" s="39" customFormat="1" hidden="1" outlineLevel="1" x14ac:dyDescent="0.25">
      <c r="A4190" s="753" t="s">
        <v>1230</v>
      </c>
      <c r="B4190" s="799">
        <v>20081.75</v>
      </c>
      <c r="C4190" s="736">
        <v>31352.58</v>
      </c>
      <c r="D4190" s="800">
        <v>16737.63</v>
      </c>
      <c r="E4190" s="1094">
        <v>464.2</v>
      </c>
      <c r="F4190" s="1056">
        <f t="shared" ref="F4190:F4207" si="153">(0.25*B4190/C$4185+0.25*C4190/C$4186+0.25*D4190/C$4187+0.25*E4190/C$4188)-1</f>
        <v>0.31720505801279697</v>
      </c>
      <c r="G4190" s="78"/>
      <c r="H4190"/>
    </row>
    <row r="4191" spans="1:9" s="39" customFormat="1" hidden="1" outlineLevel="1" x14ac:dyDescent="0.25">
      <c r="A4191" s="732" t="s">
        <v>2362</v>
      </c>
      <c r="B4191" s="852">
        <v>12485.07</v>
      </c>
      <c r="C4191" s="741">
        <v>23455.74</v>
      </c>
      <c r="D4191" s="1028">
        <v>13592.47</v>
      </c>
      <c r="E4191" s="1095">
        <v>364.84</v>
      </c>
      <c r="F4191" s="1058">
        <f t="shared" si="153"/>
        <v>-4.0081796766150535E-2</v>
      </c>
      <c r="G4191" s="78"/>
      <c r="H4191"/>
    </row>
    <row r="4192" spans="1:9" s="39" customFormat="1" hidden="1" outlineLevel="1" x14ac:dyDescent="0.25">
      <c r="A4192" s="732" t="s">
        <v>2363</v>
      </c>
      <c r="B4192" s="852">
        <v>14230.25</v>
      </c>
      <c r="C4192" s="741">
        <v>25755.35</v>
      </c>
      <c r="D4192" s="1028">
        <v>13849.99</v>
      </c>
      <c r="E4192" s="1095">
        <v>390.54</v>
      </c>
      <c r="F4192" s="1058">
        <f t="shared" si="153"/>
        <v>4.2334269891665777E-2</v>
      </c>
      <c r="G4192" s="78"/>
      <c r="H4192"/>
    </row>
    <row r="4193" spans="1:8" s="39" customFormat="1" hidden="1" outlineLevel="1" x14ac:dyDescent="0.25">
      <c r="A4193" s="732" t="s">
        <v>3688</v>
      </c>
      <c r="B4193" s="852">
        <v>12506.74</v>
      </c>
      <c r="C4193" s="741">
        <v>22731.1</v>
      </c>
      <c r="D4193" s="1028">
        <v>13376.81</v>
      </c>
      <c r="E4193" s="1095">
        <v>359.77</v>
      </c>
      <c r="F4193" s="1058">
        <f t="shared" si="153"/>
        <v>-5.4387817451917231E-2</v>
      </c>
      <c r="G4193" s="78"/>
      <c r="H4193"/>
    </row>
    <row r="4194" spans="1:8" s="39" customFormat="1" hidden="1" outlineLevel="1" x14ac:dyDescent="0.25">
      <c r="A4194" s="732" t="s">
        <v>3689</v>
      </c>
      <c r="B4194" s="852">
        <v>6611.15</v>
      </c>
      <c r="C4194" s="741">
        <v>13968.67</v>
      </c>
      <c r="D4194" s="1028">
        <v>8576.98</v>
      </c>
      <c r="E4194" s="1095">
        <v>214.38</v>
      </c>
      <c r="F4194" s="1058">
        <f t="shared" si="153"/>
        <v>-0.43988310165709654</v>
      </c>
      <c r="G4194" s="78"/>
      <c r="H4194"/>
    </row>
    <row r="4195" spans="1:8" s="39" customFormat="1" hidden="1" outlineLevel="1" x14ac:dyDescent="0.25">
      <c r="A4195" s="732" t="s">
        <v>3690</v>
      </c>
      <c r="B4195" s="852">
        <v>7131.98</v>
      </c>
      <c r="C4195" s="741">
        <v>13278.21</v>
      </c>
      <c r="D4195" s="1028">
        <v>7994.05</v>
      </c>
      <c r="E4195" s="1095">
        <v>211.68</v>
      </c>
      <c r="F4195" s="1058">
        <f t="shared" si="153"/>
        <v>-0.44755906130511658</v>
      </c>
      <c r="G4195" s="78"/>
      <c r="H4195"/>
    </row>
    <row r="4196" spans="1:8" s="39" customFormat="1" hidden="1" outlineLevel="1" x14ac:dyDescent="0.25">
      <c r="A4196" s="732" t="s">
        <v>3691</v>
      </c>
      <c r="B4196" s="852">
        <v>9084.91</v>
      </c>
      <c r="C4196" s="741">
        <v>15520.99</v>
      </c>
      <c r="D4196" s="1028">
        <v>8828.26</v>
      </c>
      <c r="E4196" s="1095">
        <v>231.55</v>
      </c>
      <c r="F4196" s="1058">
        <f t="shared" si="153"/>
        <v>-0.35636431712445704</v>
      </c>
      <c r="G4196" s="78"/>
      <c r="H4196"/>
    </row>
    <row r="4197" spans="1:8" s="39" customFormat="1" hidden="1" outlineLevel="1" x14ac:dyDescent="0.25">
      <c r="A4197" s="732" t="s">
        <v>3692</v>
      </c>
      <c r="B4197" s="852">
        <v>12123.59</v>
      </c>
      <c r="C4197" s="741">
        <v>20573.330000000002</v>
      </c>
      <c r="D4197" s="1028">
        <v>10356.83</v>
      </c>
      <c r="E4197" s="1095">
        <v>321.82</v>
      </c>
      <c r="F4197" s="1058">
        <f t="shared" si="153"/>
        <v>-0.15634023483064596</v>
      </c>
      <c r="G4197" s="78"/>
      <c r="H4197"/>
    </row>
    <row r="4198" spans="1:8" s="39" customFormat="1" hidden="1" outlineLevel="1" x14ac:dyDescent="0.25">
      <c r="A4198" s="732" t="s">
        <v>3693</v>
      </c>
      <c r="B4198" s="852">
        <v>12769.36</v>
      </c>
      <c r="C4198" s="741">
        <v>21752.87</v>
      </c>
      <c r="D4198" s="1028">
        <v>10034.74</v>
      </c>
      <c r="E4198" s="1095">
        <v>316.08</v>
      </c>
      <c r="F4198" s="1058">
        <f t="shared" si="153"/>
        <v>-0.13777328459344351</v>
      </c>
      <c r="G4198" s="78"/>
      <c r="H4198"/>
    </row>
    <row r="4199" spans="1:8" s="39" customFormat="1" hidden="1" outlineLevel="1" x14ac:dyDescent="0.25">
      <c r="A4199" s="732" t="s">
        <v>3694</v>
      </c>
      <c r="B4199" s="852">
        <v>11498.2</v>
      </c>
      <c r="C4199" s="741">
        <v>20121.990000000002</v>
      </c>
      <c r="D4199" s="1028">
        <v>10198.040000000001</v>
      </c>
      <c r="E4199" s="1095">
        <v>327.88</v>
      </c>
      <c r="F4199" s="1058">
        <f t="shared" si="153"/>
        <v>-0.17316226188751893</v>
      </c>
      <c r="G4199" s="78"/>
      <c r="H4199"/>
    </row>
    <row r="4200" spans="1:8" s="39" customFormat="1" hidden="1" outlineLevel="1" x14ac:dyDescent="0.25">
      <c r="A4200" s="732" t="s">
        <v>3695</v>
      </c>
      <c r="B4200" s="852">
        <v>12181.2</v>
      </c>
      <c r="C4200" s="741">
        <v>21108.59</v>
      </c>
      <c r="D4200" s="1028">
        <v>11057.4</v>
      </c>
      <c r="E4200" s="1095">
        <v>352.94</v>
      </c>
      <c r="F4200" s="1058">
        <f t="shared" si="153"/>
        <v>-0.11917386777206618</v>
      </c>
      <c r="G4200" s="78"/>
      <c r="H4200"/>
    </row>
    <row r="4201" spans="1:8" s="39" customFormat="1" hidden="1" outlineLevel="1" x14ac:dyDescent="0.25">
      <c r="A4201" s="732" t="s">
        <v>3696</v>
      </c>
      <c r="B4201" s="852">
        <v>11905</v>
      </c>
      <c r="C4201" s="741">
        <v>21029.81</v>
      </c>
      <c r="D4201" s="1028">
        <v>9537.2999999999993</v>
      </c>
      <c r="E4201" s="1095">
        <v>354.29</v>
      </c>
      <c r="F4201" s="1058">
        <f t="shared" si="153"/>
        <v>-0.14797770601095839</v>
      </c>
      <c r="G4201" s="78"/>
      <c r="H4201"/>
    </row>
    <row r="4202" spans="1:8" s="39" customFormat="1" hidden="1" outlineLevel="1" x14ac:dyDescent="0.25">
      <c r="A4202" s="732" t="s">
        <v>2974</v>
      </c>
      <c r="B4202" s="852">
        <v>13168.08</v>
      </c>
      <c r="C4202" s="741">
        <v>23096.32</v>
      </c>
      <c r="D4202" s="1028">
        <v>9202.4500000000007</v>
      </c>
      <c r="E4202" s="1095">
        <v>370.4</v>
      </c>
      <c r="F4202" s="1058">
        <f t="shared" si="153"/>
        <v>-9.3112811643597304E-2</v>
      </c>
      <c r="G4202" s="78"/>
      <c r="H4202"/>
    </row>
    <row r="4203" spans="1:8" s="39" customFormat="1" hidden="1" outlineLevel="1" x14ac:dyDescent="0.25">
      <c r="A4203" s="732" t="s">
        <v>2975</v>
      </c>
      <c r="B4203" s="852">
        <v>12560.66</v>
      </c>
      <c r="C4203" s="741">
        <v>23447.34</v>
      </c>
      <c r="D4203" s="1028">
        <v>10237.92</v>
      </c>
      <c r="E4203" s="1095">
        <v>375.97</v>
      </c>
      <c r="F4203" s="1058">
        <f t="shared" si="153"/>
        <v>-8.2527177949506259E-2</v>
      </c>
      <c r="G4203" s="78"/>
      <c r="H4203"/>
    </row>
    <row r="4204" spans="1:8" s="39" customFormat="1" hidden="1" outlineLevel="1" x14ac:dyDescent="0.25">
      <c r="A4204" s="732" t="s">
        <v>2976</v>
      </c>
      <c r="B4204" s="852">
        <v>13208.71</v>
      </c>
      <c r="C4204" s="741">
        <v>23720.81</v>
      </c>
      <c r="D4204" s="1028">
        <v>9849.74</v>
      </c>
      <c r="E4204" s="1095">
        <v>374.7</v>
      </c>
      <c r="F4204" s="1058">
        <f t="shared" si="153"/>
        <v>-7.2614367274136837E-2</v>
      </c>
      <c r="G4204" s="78"/>
      <c r="H4204"/>
    </row>
    <row r="4205" spans="1:8" s="39" customFormat="1" hidden="1" outlineLevel="1" x14ac:dyDescent="0.25">
      <c r="A4205" s="732" t="s">
        <v>2977</v>
      </c>
      <c r="B4205" s="852">
        <v>12373.64</v>
      </c>
      <c r="C4205" s="741">
        <v>22440.25</v>
      </c>
      <c r="D4205" s="1028">
        <v>9833.0300000000007</v>
      </c>
      <c r="E4205" s="1095">
        <v>369.96</v>
      </c>
      <c r="F4205" s="1058">
        <f t="shared" si="153"/>
        <v>-0.10785733847612644</v>
      </c>
      <c r="G4205" s="78"/>
      <c r="H4205"/>
    </row>
    <row r="4206" spans="1:8" s="39" customFormat="1" hidden="1" outlineLevel="1" x14ac:dyDescent="0.25">
      <c r="A4206" s="732" t="s">
        <v>2978</v>
      </c>
      <c r="B4206" s="852">
        <v>10512.99</v>
      </c>
      <c r="C4206" s="741">
        <v>19864.87</v>
      </c>
      <c r="D4206" s="1028">
        <v>8988.39</v>
      </c>
      <c r="E4206" s="1095">
        <v>327.02</v>
      </c>
      <c r="F4206" s="1058">
        <f t="shared" si="153"/>
        <v>-0.21536558756707191</v>
      </c>
      <c r="G4206" s="78"/>
      <c r="H4206" s="412" t="s">
        <v>2465</v>
      </c>
    </row>
    <row r="4207" spans="1:8" s="39" customFormat="1" hidden="1" outlineLevel="1" x14ac:dyDescent="0.25">
      <c r="A4207" s="754" t="s">
        <v>2979</v>
      </c>
      <c r="B4207" s="801">
        <v>11299.05</v>
      </c>
      <c r="C4207" s="747">
        <v>20390.490000000002</v>
      </c>
      <c r="D4207" s="806">
        <v>8802.51</v>
      </c>
      <c r="E4207" s="1096">
        <v>334.31</v>
      </c>
      <c r="F4207" s="1062">
        <f t="shared" si="153"/>
        <v>-0.19134445829809099</v>
      </c>
      <c r="G4207" s="78"/>
      <c r="H4207" s="261">
        <f>AVERAGE(F4190:F4207)</f>
        <v>-0.13755477015019102</v>
      </c>
    </row>
    <row r="4208" spans="1:8" s="39" customFormat="1" hidden="1" outlineLevel="1" x14ac:dyDescent="0.25">
      <c r="A4208" s="1022"/>
      <c r="B4208" s="695"/>
      <c r="C4208" s="823"/>
      <c r="D4208" s="956"/>
      <c r="E4208" s="1097"/>
      <c r="F4208" s="1098"/>
      <c r="G4208" s="78"/>
      <c r="H4208"/>
    </row>
    <row r="4209" spans="1:13" s="39" customFormat="1" collapsed="1" x14ac:dyDescent="0.25">
      <c r="A4209" s="3801" t="s">
        <v>229</v>
      </c>
      <c r="B4209" s="3802"/>
      <c r="C4209" s="3802"/>
      <c r="D4209" s="3802"/>
      <c r="E4209" s="782" t="s">
        <v>2722</v>
      </c>
      <c r="F4209" s="934">
        <v>0</v>
      </c>
      <c r="G4209" s="97" t="s">
        <v>781</v>
      </c>
      <c r="H4209"/>
    </row>
    <row r="4210" spans="1:13" s="39" customFormat="1" x14ac:dyDescent="0.25">
      <c r="A4210" s="159"/>
      <c r="B4210" s="159"/>
      <c r="C4210" s="159"/>
      <c r="D4210" s="159"/>
      <c r="E4210" s="12"/>
      <c r="F4210" s="1870"/>
      <c r="G4210" s="12"/>
    </row>
    <row r="4211" spans="1:13" s="39" customFormat="1" hidden="1" outlineLevel="1" x14ac:dyDescent="0.25">
      <c r="A4211" s="689" t="s">
        <v>113</v>
      </c>
      <c r="B4211" s="689" t="s">
        <v>114</v>
      </c>
      <c r="C4211" s="689" t="s">
        <v>112</v>
      </c>
      <c r="D4211" s="689" t="s">
        <v>116</v>
      </c>
      <c r="E4211" s="689" t="s">
        <v>117</v>
      </c>
      <c r="F4211" s="1188" t="s">
        <v>121</v>
      </c>
      <c r="G4211" s="78"/>
      <c r="H4211"/>
    </row>
    <row r="4212" spans="1:13" s="39" customFormat="1" hidden="1" outlineLevel="1" x14ac:dyDescent="0.25">
      <c r="A4212" s="690">
        <v>1</v>
      </c>
      <c r="B4212" s="691" t="s">
        <v>252</v>
      </c>
      <c r="C4212" s="692">
        <v>100</v>
      </c>
      <c r="D4212" s="692"/>
      <c r="E4212" s="693"/>
      <c r="F4212" s="694"/>
      <c r="G4212" s="78"/>
      <c r="H4212"/>
    </row>
    <row r="4213" spans="1:13" s="39" customFormat="1" hidden="1" outlineLevel="1" x14ac:dyDescent="0.25">
      <c r="A4213" s="695"/>
      <c r="B4213" s="695"/>
      <c r="C4213" s="696"/>
      <c r="D4213" s="697" t="s">
        <v>3702</v>
      </c>
      <c r="E4213" s="698">
        <v>41121</v>
      </c>
      <c r="F4213" s="699"/>
      <c r="G4213" s="78"/>
      <c r="H4213"/>
    </row>
    <row r="4214" spans="1:13" s="39" customFormat="1" hidden="1" outlineLevel="1" x14ac:dyDescent="0.25">
      <c r="A4214" s="689" t="s">
        <v>4156</v>
      </c>
      <c r="B4214" s="689" t="s">
        <v>4153</v>
      </c>
      <c r="C4214" s="497" t="s">
        <v>112</v>
      </c>
      <c r="D4214" s="495" t="s">
        <v>4155</v>
      </c>
      <c r="E4214" s="689" t="s">
        <v>4154</v>
      </c>
      <c r="F4214" s="1021" t="s">
        <v>2519</v>
      </c>
      <c r="G4214" s="78"/>
      <c r="H4214"/>
    </row>
    <row r="4215" spans="1:13" s="39" customFormat="1" hidden="1" outlineLevel="1" x14ac:dyDescent="0.25">
      <c r="A4215" s="999">
        <v>0.05</v>
      </c>
      <c r="B4215" s="1000" t="s">
        <v>2942</v>
      </c>
      <c r="C4215" s="1007">
        <v>5040</v>
      </c>
      <c r="D4215" s="803">
        <v>3730</v>
      </c>
      <c r="E4215" s="705">
        <v>-0.25992063492063489</v>
      </c>
      <c r="F4215" s="1021">
        <v>-1.2996031746031745E-2</v>
      </c>
      <c r="G4215" s="78"/>
      <c r="H4215" t="s">
        <v>2336</v>
      </c>
      <c r="J4215" s="307"/>
      <c r="K4215" s="307"/>
      <c r="L4215" s="341"/>
      <c r="M4215" s="342"/>
    </row>
    <row r="4216" spans="1:13" s="39" customFormat="1" hidden="1" outlineLevel="1" x14ac:dyDescent="0.25">
      <c r="A4216" s="1002">
        <v>0.05</v>
      </c>
      <c r="B4216" s="996" t="s">
        <v>1845</v>
      </c>
      <c r="C4216" s="1008">
        <v>2229.5</v>
      </c>
      <c r="D4216" s="908">
        <v>1511</v>
      </c>
      <c r="E4216" s="709">
        <v>-0.32226956716752631</v>
      </c>
      <c r="F4216" s="946">
        <v>-1.6113478358376315E-2</v>
      </c>
      <c r="G4216" s="78"/>
      <c r="H4216" t="s">
        <v>2383</v>
      </c>
      <c r="J4216" s="307"/>
      <c r="K4216" s="307"/>
      <c r="L4216" s="341"/>
      <c r="M4216" s="342"/>
    </row>
    <row r="4217" spans="1:13" s="39" customFormat="1" hidden="1" outlineLevel="1" x14ac:dyDescent="0.25">
      <c r="A4217" s="1002">
        <v>0.05</v>
      </c>
      <c r="B4217" s="740" t="s">
        <v>1168</v>
      </c>
      <c r="C4217" s="1008">
        <v>5176</v>
      </c>
      <c r="D4217" s="908">
        <v>3220</v>
      </c>
      <c r="E4217" s="709">
        <v>-0.37789799072642971</v>
      </c>
      <c r="F4217" s="946">
        <v>-1.8894899536321487E-2</v>
      </c>
      <c r="G4217" s="78"/>
      <c r="H4217" t="s">
        <v>1939</v>
      </c>
      <c r="J4217" s="307"/>
      <c r="K4217" s="307"/>
      <c r="L4217" s="341"/>
      <c r="M4217" s="342"/>
    </row>
    <row r="4218" spans="1:13" s="39" customFormat="1" hidden="1" outlineLevel="1" x14ac:dyDescent="0.25">
      <c r="A4218" s="1002">
        <v>0.05</v>
      </c>
      <c r="B4218" s="743" t="s">
        <v>1995</v>
      </c>
      <c r="C4218" s="1008">
        <v>53.643999999999998</v>
      </c>
      <c r="D4218" s="908">
        <v>66.31</v>
      </c>
      <c r="E4218" s="709">
        <v>0.23611214674520919</v>
      </c>
      <c r="F4218" s="946">
        <v>1.180560733726046E-2</v>
      </c>
      <c r="G4218" s="78"/>
      <c r="H4218" t="s">
        <v>2739</v>
      </c>
      <c r="J4218" s="307"/>
      <c r="K4218" s="307"/>
      <c r="L4218" s="341"/>
      <c r="M4218" s="342"/>
    </row>
    <row r="4219" spans="1:13" s="39" customFormat="1" hidden="1" outlineLevel="1" x14ac:dyDescent="0.25">
      <c r="A4219" s="1002">
        <v>0.05</v>
      </c>
      <c r="B4219" s="996" t="s">
        <v>1169</v>
      </c>
      <c r="C4219" s="1008">
        <v>61.31</v>
      </c>
      <c r="D4219" s="908">
        <v>82.07</v>
      </c>
      <c r="E4219" s="709">
        <v>0.33860707877997043</v>
      </c>
      <c r="F4219" s="946">
        <v>1.6930353938998523E-2</v>
      </c>
      <c r="G4219" s="78"/>
      <c r="H4219" t="s">
        <v>1940</v>
      </c>
      <c r="J4219" s="307"/>
      <c r="K4219" s="307"/>
      <c r="L4219" s="341"/>
      <c r="M4219" s="342"/>
    </row>
    <row r="4220" spans="1:13" s="39" customFormat="1" hidden="1" outlineLevel="1" x14ac:dyDescent="0.25">
      <c r="A4220" s="1002">
        <v>0.05</v>
      </c>
      <c r="B4220" s="996" t="s">
        <v>2787</v>
      </c>
      <c r="C4220" s="1008">
        <v>64.599999999999994</v>
      </c>
      <c r="D4220" s="908">
        <v>57.3</v>
      </c>
      <c r="E4220" s="709">
        <v>-0.11300309597523217</v>
      </c>
      <c r="F4220" s="946">
        <v>-5.6501547987616091E-3</v>
      </c>
      <c r="G4220" s="78"/>
      <c r="H4220" t="s">
        <v>80</v>
      </c>
      <c r="J4220" s="307"/>
      <c r="K4220" s="307"/>
      <c r="L4220" s="341"/>
      <c r="M4220" s="342"/>
    </row>
    <row r="4221" spans="1:13" s="39" customFormat="1" hidden="1" outlineLevel="1" x14ac:dyDescent="0.25">
      <c r="A4221" s="1002">
        <v>0.05</v>
      </c>
      <c r="B4221" s="743" t="s">
        <v>3800</v>
      </c>
      <c r="C4221" s="1008">
        <v>209.13</v>
      </c>
      <c r="D4221" s="908">
        <v>173.3</v>
      </c>
      <c r="E4221" s="709">
        <v>-0.17132883852149372</v>
      </c>
      <c r="F4221" s="946">
        <v>-8.5664419260746867E-3</v>
      </c>
      <c r="G4221" s="78"/>
      <c r="H4221" t="s">
        <v>2817</v>
      </c>
      <c r="J4221" s="307"/>
      <c r="K4221" s="307"/>
      <c r="L4221" s="341"/>
      <c r="M4221" s="342"/>
    </row>
    <row r="4222" spans="1:13" s="39" customFormat="1" hidden="1" outlineLevel="1" x14ac:dyDescent="0.25">
      <c r="A4222" s="1002">
        <v>0.05</v>
      </c>
      <c r="B4222" s="996" t="s">
        <v>1187</v>
      </c>
      <c r="C4222" s="1008">
        <v>59.094000000000001</v>
      </c>
      <c r="D4222" s="908">
        <v>66.47</v>
      </c>
      <c r="E4222" s="709">
        <v>0.12481808643855552</v>
      </c>
      <c r="F4222" s="946">
        <v>6.2409043219277763E-3</v>
      </c>
      <c r="G4222" s="78"/>
      <c r="H4222" t="s">
        <v>3483</v>
      </c>
      <c r="J4222" s="307"/>
      <c r="K4222" s="307"/>
      <c r="L4222" s="341"/>
      <c r="M4222" s="342"/>
    </row>
    <row r="4223" spans="1:13" s="39" customFormat="1" hidden="1" outlineLevel="1" x14ac:dyDescent="0.25">
      <c r="A4223" s="1002">
        <v>0.05</v>
      </c>
      <c r="B4223" s="996" t="s">
        <v>2334</v>
      </c>
      <c r="C4223" s="1008">
        <v>1235.0999999999999</v>
      </c>
      <c r="D4223" s="908">
        <v>1848</v>
      </c>
      <c r="E4223" s="709">
        <v>0.49623512266213265</v>
      </c>
      <c r="F4223" s="946">
        <v>2.4811756133106634E-2</v>
      </c>
      <c r="G4223" s="78"/>
      <c r="H4223" t="s">
        <v>1941</v>
      </c>
      <c r="J4223" s="307"/>
      <c r="K4223" s="307"/>
      <c r="L4223" s="341"/>
      <c r="M4223" s="342"/>
    </row>
    <row r="4224" spans="1:13" s="39" customFormat="1" hidden="1" outlineLevel="1" x14ac:dyDescent="0.25">
      <c r="A4224" s="1002">
        <v>0.05</v>
      </c>
      <c r="B4224" s="996" t="s">
        <v>2731</v>
      </c>
      <c r="C4224" s="1008">
        <v>42.51</v>
      </c>
      <c r="D4224" s="908">
        <v>38.1</v>
      </c>
      <c r="E4224" s="709">
        <v>-0.10374029640084681</v>
      </c>
      <c r="F4224" s="946">
        <v>-5.1870148200423407E-3</v>
      </c>
      <c r="G4224" s="78"/>
      <c r="H4224" t="e">
        <v>#N/A</v>
      </c>
      <c r="J4224" s="307"/>
      <c r="K4224" s="307"/>
      <c r="L4224" s="341"/>
      <c r="M4224" s="342"/>
    </row>
    <row r="4225" spans="1:13" s="39" customFormat="1" hidden="1" outlineLevel="1" x14ac:dyDescent="0.25">
      <c r="A4225" s="1002">
        <v>0.05</v>
      </c>
      <c r="B4225" s="996" t="s">
        <v>3302</v>
      </c>
      <c r="C4225" s="1008">
        <v>50.691000000000003</v>
      </c>
      <c r="D4225" s="908">
        <v>82.6</v>
      </c>
      <c r="E4225" s="709">
        <v>0.62948057840642302</v>
      </c>
      <c r="F4225" s="946">
        <v>3.1474028920321154E-2</v>
      </c>
      <c r="G4225" s="78"/>
      <c r="H4225" t="s">
        <v>3632</v>
      </c>
      <c r="J4225" s="307"/>
      <c r="K4225" s="307"/>
      <c r="L4225" s="341"/>
      <c r="M4225" s="342"/>
    </row>
    <row r="4226" spans="1:13" s="39" customFormat="1" hidden="1" outlineLevel="1" x14ac:dyDescent="0.25">
      <c r="A4226" s="1002">
        <v>0.05</v>
      </c>
      <c r="B4226" s="996" t="s">
        <v>2919</v>
      </c>
      <c r="C4226" s="1008">
        <v>73.015000000000001</v>
      </c>
      <c r="D4226" s="908">
        <v>94.97</v>
      </c>
      <c r="E4226" s="709">
        <v>0.30069163870437587</v>
      </c>
      <c r="F4226" s="946">
        <v>1.5034581935218795E-2</v>
      </c>
      <c r="G4226" s="78"/>
      <c r="H4226" t="s">
        <v>2925</v>
      </c>
      <c r="J4226" s="307"/>
      <c r="K4226" s="307"/>
      <c r="L4226" s="341"/>
      <c r="M4226" s="342"/>
    </row>
    <row r="4227" spans="1:13" s="39" customFormat="1" hidden="1" outlineLevel="1" x14ac:dyDescent="0.25">
      <c r="A4227" s="1002">
        <v>0.05</v>
      </c>
      <c r="B4227" s="996" t="s">
        <v>1187</v>
      </c>
      <c r="C4227" s="1008">
        <v>40.375912192000001</v>
      </c>
      <c r="D4227" s="908">
        <v>66.47</v>
      </c>
      <c r="E4227" s="709">
        <v>0.64627859511667518</v>
      </c>
      <c r="F4227" s="946">
        <v>3.2313929755833762E-2</v>
      </c>
      <c r="G4227" s="78"/>
      <c r="H4227" t="s">
        <v>3483</v>
      </c>
      <c r="J4227" s="307"/>
      <c r="K4227" s="307"/>
      <c r="L4227" s="341"/>
      <c r="M4227" s="342"/>
    </row>
    <row r="4228" spans="1:13" s="39" customFormat="1" hidden="1" outlineLevel="1" x14ac:dyDescent="0.25">
      <c r="A4228" s="1002">
        <v>0.05</v>
      </c>
      <c r="B4228" s="996" t="s">
        <v>2545</v>
      </c>
      <c r="C4228" s="1008">
        <v>37.694000000000003</v>
      </c>
      <c r="D4228" s="908">
        <v>54.33</v>
      </c>
      <c r="E4228" s="709">
        <v>0.44134344988592344</v>
      </c>
      <c r="F4228" s="946">
        <v>2.2067172494296173E-2</v>
      </c>
      <c r="G4228" s="78"/>
      <c r="H4228" t="s">
        <v>3882</v>
      </c>
      <c r="J4228" s="307"/>
      <c r="K4228" s="307"/>
      <c r="L4228" s="341"/>
      <c r="M4228" s="342"/>
    </row>
    <row r="4229" spans="1:13" s="39" customFormat="1" hidden="1" outlineLevel="1" x14ac:dyDescent="0.25">
      <c r="A4229" s="1002">
        <v>0.05</v>
      </c>
      <c r="B4229" s="743" t="s">
        <v>1414</v>
      </c>
      <c r="C4229" s="1008">
        <v>23.959</v>
      </c>
      <c r="D4229" s="908">
        <v>24.04</v>
      </c>
      <c r="E4229" s="709">
        <v>3.3807754914645383E-3</v>
      </c>
      <c r="F4229" s="946">
        <v>1.6903877457322692E-4</v>
      </c>
      <c r="G4229" s="78"/>
      <c r="H4229" t="s">
        <v>2428</v>
      </c>
      <c r="J4229" s="307"/>
      <c r="K4229" s="307"/>
      <c r="L4229" s="341"/>
      <c r="M4229" s="342"/>
    </row>
    <row r="4230" spans="1:13" s="39" customFormat="1" hidden="1" outlineLevel="1" x14ac:dyDescent="0.25">
      <c r="A4230" s="1002">
        <v>0.05</v>
      </c>
      <c r="B4230" s="740" t="s">
        <v>1903</v>
      </c>
      <c r="C4230" s="1008">
        <v>2384.8000000000002</v>
      </c>
      <c r="D4230" s="908">
        <v>2986.5</v>
      </c>
      <c r="E4230" s="709">
        <v>0.25230627306273057</v>
      </c>
      <c r="F4230" s="946">
        <v>1.2615313653136529E-2</v>
      </c>
      <c r="G4230" s="78"/>
      <c r="H4230" t="s">
        <v>3883</v>
      </c>
      <c r="J4230" s="307"/>
      <c r="K4230" s="307"/>
      <c r="L4230" s="341"/>
      <c r="M4230" s="342"/>
    </row>
    <row r="4231" spans="1:13" s="39" customFormat="1" hidden="1" outlineLevel="1" x14ac:dyDescent="0.25">
      <c r="A4231" s="1002">
        <v>0.05</v>
      </c>
      <c r="B4231" s="996" t="s">
        <v>2335</v>
      </c>
      <c r="C4231" s="1008">
        <v>59.948999999999998</v>
      </c>
      <c r="D4231" s="908">
        <v>68.459999999999994</v>
      </c>
      <c r="E4231" s="709">
        <v>0.14197067507381278</v>
      </c>
      <c r="F4231" s="946">
        <v>7.0985337536906392E-3</v>
      </c>
      <c r="G4231" s="78"/>
      <c r="H4231" t="s">
        <v>743</v>
      </c>
      <c r="J4231" s="307"/>
      <c r="K4231" s="307"/>
      <c r="L4231" s="341"/>
      <c r="M4231" s="342"/>
    </row>
    <row r="4232" spans="1:13" s="39" customFormat="1" hidden="1" outlineLevel="1" x14ac:dyDescent="0.25">
      <c r="A4232" s="1002">
        <v>0.05</v>
      </c>
      <c r="B4232" s="740" t="s">
        <v>1905</v>
      </c>
      <c r="C4232" s="1008">
        <v>38.5</v>
      </c>
      <c r="D4232" s="908">
        <v>44.17</v>
      </c>
      <c r="E4232" s="709">
        <v>0.14727272727272722</v>
      </c>
      <c r="F4232" s="946">
        <v>7.3636363636363613E-3</v>
      </c>
      <c r="G4232" s="78"/>
      <c r="H4232" t="s">
        <v>504</v>
      </c>
      <c r="J4232" s="307"/>
      <c r="K4232" s="307"/>
      <c r="L4232" s="341"/>
      <c r="M4232" s="342"/>
    </row>
    <row r="4233" spans="1:13" s="39" customFormat="1" hidden="1" outlineLevel="1" x14ac:dyDescent="0.25">
      <c r="A4233" s="1002">
        <v>0.05</v>
      </c>
      <c r="B4233" s="996" t="s">
        <v>3799</v>
      </c>
      <c r="C4233" s="1008">
        <v>1274.8</v>
      </c>
      <c r="D4233" s="908">
        <v>1468.5</v>
      </c>
      <c r="E4233" s="709">
        <v>0.15194540320050209</v>
      </c>
      <c r="F4233" s="946">
        <v>7.5972701600251049E-3</v>
      </c>
      <c r="G4233" s="78"/>
      <c r="H4233" t="s">
        <v>4128</v>
      </c>
      <c r="J4233" s="307"/>
      <c r="K4233" s="307"/>
      <c r="L4233" s="341"/>
      <c r="M4233" s="342"/>
    </row>
    <row r="4234" spans="1:13" s="39" customFormat="1" hidden="1" outlineLevel="1" x14ac:dyDescent="0.25">
      <c r="A4234" s="1004">
        <v>0.05</v>
      </c>
      <c r="B4234" s="997" t="s">
        <v>1905</v>
      </c>
      <c r="C4234" s="1009">
        <v>38.5</v>
      </c>
      <c r="D4234" s="715">
        <v>44.17</v>
      </c>
      <c r="E4234" s="716">
        <v>0.14727272727272722</v>
      </c>
      <c r="F4234" s="1023">
        <v>7.3636363636363613E-3</v>
      </c>
      <c r="G4234" s="78"/>
      <c r="H4234" t="s">
        <v>504</v>
      </c>
    </row>
    <row r="4235" spans="1:13" s="39" customFormat="1" hidden="1" outlineLevel="1" x14ac:dyDescent="0.25">
      <c r="A4235" s="749"/>
      <c r="B4235" s="750"/>
      <c r="C4235" s="727"/>
      <c r="D4235" s="727"/>
      <c r="E4235" s="716"/>
      <c r="F4235" s="770">
        <v>0.13547774272005331</v>
      </c>
      <c r="G4235" s="78"/>
      <c r="H4235"/>
    </row>
    <row r="4236" spans="1:13" s="39" customFormat="1" hidden="1" outlineLevel="1" x14ac:dyDescent="0.25">
      <c r="A4236" s="749"/>
      <c r="B4236" s="750"/>
      <c r="C4236" s="727"/>
      <c r="D4236" s="727"/>
      <c r="E4236" s="716"/>
      <c r="F4236" s="770"/>
      <c r="G4236" s="78"/>
      <c r="H4236"/>
    </row>
    <row r="4237" spans="1:13" s="39" customFormat="1" hidden="1" outlineLevel="1" x14ac:dyDescent="0.25">
      <c r="A4237" s="751" t="s">
        <v>2980</v>
      </c>
      <c r="B4237" s="944">
        <v>39356</v>
      </c>
      <c r="C4237" s="727">
        <v>100</v>
      </c>
      <c r="D4237" s="727">
        <v>104.95</v>
      </c>
      <c r="E4237" s="716">
        <v>4.9500000000000099E-2</v>
      </c>
      <c r="F4237" s="731">
        <v>4.9500000000000099E-2</v>
      </c>
      <c r="G4237" s="78"/>
      <c r="H4237"/>
    </row>
    <row r="4238" spans="1:13" s="39" customFormat="1" hidden="1" outlineLevel="1" x14ac:dyDescent="0.25">
      <c r="A4238" s="751" t="s">
        <v>2981</v>
      </c>
      <c r="B4238" s="944">
        <v>39448</v>
      </c>
      <c r="C4238" s="727">
        <v>100</v>
      </c>
      <c r="D4238" s="727">
        <v>95.042400000000001</v>
      </c>
      <c r="E4238" s="716">
        <v>-4.9575999999999953E-2</v>
      </c>
      <c r="F4238" s="731">
        <v>-4.9575999999999953E-2</v>
      </c>
      <c r="G4238" s="78"/>
      <c r="H4238"/>
    </row>
    <row r="4239" spans="1:13" s="39" customFormat="1" hidden="1" outlineLevel="1" x14ac:dyDescent="0.25">
      <c r="A4239" s="751" t="s">
        <v>2982</v>
      </c>
      <c r="B4239" s="944">
        <v>39539</v>
      </c>
      <c r="C4239" s="727">
        <v>100</v>
      </c>
      <c r="D4239" s="727">
        <v>90.344899999999996</v>
      </c>
      <c r="E4239" s="716">
        <v>-9.6551000000000053E-2</v>
      </c>
      <c r="F4239" s="731">
        <v>-9.6551000000000053E-2</v>
      </c>
      <c r="G4239" s="78"/>
      <c r="H4239"/>
    </row>
    <row r="4240" spans="1:13" s="39" customFormat="1" hidden="1" outlineLevel="1" x14ac:dyDescent="0.25">
      <c r="A4240" s="751" t="s">
        <v>4178</v>
      </c>
      <c r="B4240" s="944">
        <v>39630</v>
      </c>
      <c r="C4240" s="727">
        <v>100</v>
      </c>
      <c r="D4240" s="727">
        <v>98.423299999999998</v>
      </c>
      <c r="E4240" s="716">
        <v>-1.5766999999999975E-2</v>
      </c>
      <c r="F4240" s="731">
        <v>-1.5766999999999975E-2</v>
      </c>
      <c r="G4240" s="78"/>
      <c r="H4240"/>
    </row>
    <row r="4241" spans="1:8" s="39" customFormat="1" hidden="1" outlineLevel="1" x14ac:dyDescent="0.25">
      <c r="A4241" s="751" t="s">
        <v>4179</v>
      </c>
      <c r="B4241" s="944">
        <v>39722</v>
      </c>
      <c r="C4241" s="727">
        <v>100</v>
      </c>
      <c r="D4241" s="727">
        <v>89.031099999999995</v>
      </c>
      <c r="E4241" s="716">
        <v>-0.10968900000000004</v>
      </c>
      <c r="F4241" s="731">
        <v>-0.10968900000000004</v>
      </c>
      <c r="G4241" s="78"/>
      <c r="H4241" s="21"/>
    </row>
    <row r="4242" spans="1:8" s="39" customFormat="1" hidden="1" outlineLevel="1" x14ac:dyDescent="0.25">
      <c r="A4242" s="751" t="s">
        <v>2124</v>
      </c>
      <c r="B4242" s="944">
        <v>39814</v>
      </c>
      <c r="C4242" s="727">
        <v>100</v>
      </c>
      <c r="D4242" s="727">
        <v>86.036100000000005</v>
      </c>
      <c r="E4242" s="716">
        <v>-0.13963899999999996</v>
      </c>
      <c r="F4242" s="731">
        <v>-0.13963899999999996</v>
      </c>
      <c r="G4242" s="78"/>
      <c r="H4242" s="21"/>
    </row>
    <row r="4243" spans="1:8" s="39" customFormat="1" hidden="1" outlineLevel="1" x14ac:dyDescent="0.25">
      <c r="A4243" s="751" t="s">
        <v>2125</v>
      </c>
      <c r="B4243" s="944">
        <v>39904</v>
      </c>
      <c r="C4243" s="727">
        <v>100</v>
      </c>
      <c r="D4243" s="727">
        <v>81.359499999999997</v>
      </c>
      <c r="E4243" s="716">
        <v>-0.18640500000000004</v>
      </c>
      <c r="F4243" s="731">
        <v>-0.18640500000000004</v>
      </c>
      <c r="G4243" s="78"/>
      <c r="H4243" s="21"/>
    </row>
    <row r="4244" spans="1:8" s="39" customFormat="1" hidden="1" outlineLevel="1" x14ac:dyDescent="0.25">
      <c r="A4244" s="751" t="s">
        <v>2126</v>
      </c>
      <c r="B4244" s="944">
        <v>39995</v>
      </c>
      <c r="C4244" s="727">
        <v>100</v>
      </c>
      <c r="D4244" s="727">
        <v>91.787400000000005</v>
      </c>
      <c r="E4244" s="716">
        <v>-8.2125999999999921E-2</v>
      </c>
      <c r="F4244" s="731">
        <v>-8.2125999999999921E-2</v>
      </c>
      <c r="G4244" s="78"/>
      <c r="H4244" s="21"/>
    </row>
    <row r="4245" spans="1:8" s="39" customFormat="1" hidden="1" outlineLevel="1" x14ac:dyDescent="0.25">
      <c r="A4245" s="751" t="s">
        <v>2127</v>
      </c>
      <c r="B4245" s="944">
        <v>40087</v>
      </c>
      <c r="C4245" s="727">
        <v>100</v>
      </c>
      <c r="D4245" s="727">
        <v>92.079099999999997</v>
      </c>
      <c r="E4245" s="716">
        <v>-7.9209000000000085E-2</v>
      </c>
      <c r="F4245" s="731">
        <v>-7.9209000000000085E-2</v>
      </c>
      <c r="G4245" s="78"/>
      <c r="H4245" s="84"/>
    </row>
    <row r="4246" spans="1:8" s="39" customFormat="1" hidden="1" outlineLevel="1" x14ac:dyDescent="0.25">
      <c r="A4246" s="751" t="s">
        <v>2128</v>
      </c>
      <c r="B4246" s="944">
        <v>40179</v>
      </c>
      <c r="C4246" s="727">
        <v>100</v>
      </c>
      <c r="D4246" s="727">
        <v>99.0501</v>
      </c>
      <c r="E4246" s="716">
        <v>-9.4990000000000352E-3</v>
      </c>
      <c r="F4246" s="731">
        <v>-9.4990000000000352E-3</v>
      </c>
      <c r="G4246" s="78"/>
      <c r="H4246" s="84"/>
    </row>
    <row r="4247" spans="1:8" s="39" customFormat="1" hidden="1" outlineLevel="1" x14ac:dyDescent="0.25">
      <c r="A4247" s="751" t="s">
        <v>2129</v>
      </c>
      <c r="B4247" s="944">
        <v>40269</v>
      </c>
      <c r="C4247" s="727">
        <v>100</v>
      </c>
      <c r="D4247" s="727">
        <v>97.734999999999999</v>
      </c>
      <c r="E4247" s="716">
        <v>-2.2650000000000059E-2</v>
      </c>
      <c r="F4247" s="731">
        <v>-2.2650000000000059E-2</v>
      </c>
      <c r="G4247" s="78"/>
      <c r="H4247" s="84"/>
    </row>
    <row r="4248" spans="1:8" s="39" customFormat="1" hidden="1" outlineLevel="1" x14ac:dyDescent="0.25">
      <c r="A4248" s="751" t="s">
        <v>2130</v>
      </c>
      <c r="B4248" s="944">
        <v>40360</v>
      </c>
      <c r="C4248" s="727">
        <v>100</v>
      </c>
      <c r="D4248" s="727">
        <v>92.909499999999994</v>
      </c>
      <c r="E4248" s="716">
        <v>-7.0905000000000107E-2</v>
      </c>
      <c r="F4248" s="731">
        <v>-7.0905000000000107E-2</v>
      </c>
      <c r="G4248" s="78"/>
      <c r="H4248" s="84"/>
    </row>
    <row r="4249" spans="1:8" s="39" customFormat="1" hidden="1" outlineLevel="1" x14ac:dyDescent="0.25">
      <c r="A4249" s="751" t="s">
        <v>2131</v>
      </c>
      <c r="B4249" s="944">
        <v>40452</v>
      </c>
      <c r="C4249" s="727">
        <v>100</v>
      </c>
      <c r="D4249" s="727">
        <v>98.177800000000005</v>
      </c>
      <c r="E4249" s="716">
        <v>-1.822199999999996E-2</v>
      </c>
      <c r="F4249" s="731">
        <v>-1.822199999999996E-2</v>
      </c>
      <c r="G4249" s="78"/>
      <c r="H4249" s="84"/>
    </row>
    <row r="4250" spans="1:8" s="39" customFormat="1" hidden="1" outlineLevel="1" x14ac:dyDescent="0.25">
      <c r="A4250" s="751" t="s">
        <v>2132</v>
      </c>
      <c r="B4250" s="944">
        <v>40544</v>
      </c>
      <c r="C4250" s="727">
        <v>100</v>
      </c>
      <c r="D4250" s="727">
        <v>96.311999999999998</v>
      </c>
      <c r="E4250" s="716">
        <v>-3.6880000000000024E-2</v>
      </c>
      <c r="F4250" s="731">
        <v>-3.6880000000000024E-2</v>
      </c>
      <c r="G4250" s="78"/>
      <c r="H4250" s="84"/>
    </row>
    <row r="4251" spans="1:8" s="39" customFormat="1" hidden="1" outlineLevel="1" x14ac:dyDescent="0.25">
      <c r="A4251" s="751" t="s">
        <v>2133</v>
      </c>
      <c r="B4251" s="944">
        <v>40634</v>
      </c>
      <c r="C4251" s="727">
        <v>100</v>
      </c>
      <c r="D4251" s="727">
        <v>100.4366</v>
      </c>
      <c r="E4251" s="716">
        <v>4.366000000000092E-3</v>
      </c>
      <c r="F4251" s="731">
        <v>4.366000000000092E-3</v>
      </c>
      <c r="G4251" s="78"/>
      <c r="H4251" s="21"/>
    </row>
    <row r="4252" spans="1:8" s="39" customFormat="1" hidden="1" outlineLevel="1" x14ac:dyDescent="0.25">
      <c r="A4252" s="751" t="s">
        <v>2134</v>
      </c>
      <c r="B4252" s="944">
        <v>40725</v>
      </c>
      <c r="C4252" s="727">
        <v>100</v>
      </c>
      <c r="D4252" s="727">
        <v>101.1447</v>
      </c>
      <c r="E4252" s="716">
        <v>1.1446999999999985E-2</v>
      </c>
      <c r="F4252" s="731">
        <v>1.1446999999999985E-2</v>
      </c>
      <c r="G4252" s="78"/>
      <c r="H4252" s="21"/>
    </row>
    <row r="4253" spans="1:8" s="39" customFormat="1" hidden="1" outlineLevel="1" x14ac:dyDescent="0.25">
      <c r="A4253" s="751" t="s">
        <v>2135</v>
      </c>
      <c r="B4253" s="944">
        <v>40817</v>
      </c>
      <c r="C4253" s="727">
        <v>100</v>
      </c>
      <c r="D4253" s="727">
        <v>100.4975</v>
      </c>
      <c r="E4253" s="716">
        <v>4.9749999999999517E-3</v>
      </c>
      <c r="F4253" s="731">
        <v>4.9749999999999517E-3</v>
      </c>
      <c r="G4253" s="78"/>
      <c r="H4253" s="21"/>
    </row>
    <row r="4254" spans="1:8" s="39" customFormat="1" hidden="1" outlineLevel="1" x14ac:dyDescent="0.25">
      <c r="A4254" s="751" t="s">
        <v>2136</v>
      </c>
      <c r="B4254" s="944">
        <v>40909</v>
      </c>
      <c r="C4254" s="727">
        <v>100</v>
      </c>
      <c r="D4254" s="727">
        <v>106.7941</v>
      </c>
      <c r="E4254" s="716">
        <v>6.7941000000000029E-2</v>
      </c>
      <c r="F4254" s="731">
        <v>6.7941000000000029E-2</v>
      </c>
      <c r="G4254" s="78"/>
      <c r="H4254" s="21"/>
    </row>
    <row r="4255" spans="1:8" s="39" customFormat="1" hidden="1" outlineLevel="1" x14ac:dyDescent="0.25">
      <c r="A4255" s="751" t="s">
        <v>3843</v>
      </c>
      <c r="B4255" s="944">
        <v>41000</v>
      </c>
      <c r="C4255" s="727">
        <v>100</v>
      </c>
      <c r="D4255" s="727">
        <v>109.6347</v>
      </c>
      <c r="E4255" s="716">
        <v>9.634699999999996E-2</v>
      </c>
      <c r="F4255" s="731">
        <v>9.634699999999996E-2</v>
      </c>
      <c r="G4255" s="78"/>
      <c r="H4255"/>
    </row>
    <row r="4256" spans="1:8" s="39" customFormat="1" hidden="1" outlineLevel="1" x14ac:dyDescent="0.25">
      <c r="A4256" s="751" t="s">
        <v>3844</v>
      </c>
      <c r="B4256" s="944">
        <v>41091</v>
      </c>
      <c r="C4256" s="727">
        <v>100</v>
      </c>
      <c r="D4256" s="727">
        <v>112.7856</v>
      </c>
      <c r="E4256" s="716">
        <v>0.12785599999999997</v>
      </c>
      <c r="F4256" s="731">
        <v>0.12785599999999997</v>
      </c>
      <c r="G4256" s="78"/>
      <c r="H4256" s="412" t="s">
        <v>1837</v>
      </c>
    </row>
    <row r="4257" spans="1:8" s="39" customFormat="1" hidden="1" outlineLevel="1" x14ac:dyDescent="0.25">
      <c r="A4257" s="749"/>
      <c r="B4257" s="750"/>
      <c r="C4257" s="727"/>
      <c r="D4257" s="727"/>
      <c r="E4257" s="720"/>
      <c r="F4257" s="731"/>
      <c r="G4257" s="78"/>
      <c r="H4257" s="261">
        <v>-2.7734300000000007E-2</v>
      </c>
    </row>
    <row r="4258" spans="1:8" s="39" customFormat="1" collapsed="1" x14ac:dyDescent="0.25">
      <c r="A4258" s="3801" t="s">
        <v>4372</v>
      </c>
      <c r="B4258" s="3802"/>
      <c r="C4258" s="3802"/>
      <c r="D4258" s="3802"/>
      <c r="E4258" s="782" t="s">
        <v>2722</v>
      </c>
      <c r="F4258" s="722">
        <v>0</v>
      </c>
      <c r="G4258" s="97" t="s">
        <v>781</v>
      </c>
      <c r="H4258"/>
    </row>
    <row r="4259" spans="1:8" s="39" customFormat="1" x14ac:dyDescent="0.25">
      <c r="A4259" s="159"/>
      <c r="B4259" s="159"/>
      <c r="C4259" s="159"/>
      <c r="D4259" s="159"/>
      <c r="E4259" s="160"/>
      <c r="F4259" s="160"/>
      <c r="G4259" s="12"/>
    </row>
    <row r="4260" spans="1:8" s="39" customFormat="1" hidden="1" outlineLevel="1" x14ac:dyDescent="0.25">
      <c r="A4260" s="689" t="s">
        <v>113</v>
      </c>
      <c r="B4260" s="689" t="s">
        <v>114</v>
      </c>
      <c r="C4260" s="689" t="s">
        <v>112</v>
      </c>
      <c r="D4260" s="689" t="s">
        <v>116</v>
      </c>
      <c r="E4260" s="689" t="s">
        <v>117</v>
      </c>
      <c r="F4260" s="1188" t="s">
        <v>121</v>
      </c>
      <c r="G4260" s="78"/>
      <c r="H4260"/>
    </row>
    <row r="4261" spans="1:8" s="39" customFormat="1" hidden="1" outlineLevel="1" x14ac:dyDescent="0.25">
      <c r="A4261" s="690">
        <v>1</v>
      </c>
      <c r="B4261" s="691" t="s">
        <v>252</v>
      </c>
      <c r="C4261" s="692">
        <v>100</v>
      </c>
      <c r="D4261" s="692"/>
      <c r="E4261" s="693"/>
      <c r="F4261" s="694"/>
      <c r="G4261" s="78"/>
      <c r="H4261"/>
    </row>
    <row r="4262" spans="1:8" s="39" customFormat="1" hidden="1" outlineLevel="1" x14ac:dyDescent="0.25">
      <c r="A4262" s="695"/>
      <c r="B4262" s="695"/>
      <c r="C4262" s="696"/>
      <c r="D4262" s="697" t="s">
        <v>3702</v>
      </c>
      <c r="E4262" s="698">
        <f>indexy!$B$2</f>
        <v>45379</v>
      </c>
      <c r="F4262" s="699"/>
      <c r="G4262" s="78"/>
      <c r="H4262"/>
    </row>
    <row r="4263" spans="1:8" s="39" customFormat="1" hidden="1" outlineLevel="1" x14ac:dyDescent="0.25">
      <c r="A4263" s="689" t="s">
        <v>4156</v>
      </c>
      <c r="B4263" s="689" t="s">
        <v>4153</v>
      </c>
      <c r="C4263" s="497" t="s">
        <v>112</v>
      </c>
      <c r="D4263" s="495" t="s">
        <v>4155</v>
      </c>
      <c r="E4263" s="689" t="s">
        <v>4154</v>
      </c>
      <c r="F4263" s="1021" t="s">
        <v>2519</v>
      </c>
      <c r="G4263" s="78"/>
      <c r="H4263"/>
    </row>
    <row r="4264" spans="1:8" s="39" customFormat="1" hidden="1" outlineLevel="1" x14ac:dyDescent="0.25">
      <c r="A4264" s="999">
        <v>0.02</v>
      </c>
      <c r="B4264" s="1000" t="s">
        <v>280</v>
      </c>
      <c r="C4264" s="1007">
        <v>55.707000000000001</v>
      </c>
      <c r="D4264" s="803">
        <v>35.44</v>
      </c>
      <c r="E4264" s="705">
        <f>D4264/C4264-1</f>
        <v>-0.36381424237528504</v>
      </c>
      <c r="F4264" s="1021">
        <f>E4264*A4264</f>
        <v>-7.2762848475057011E-3</v>
      </c>
      <c r="G4264" s="78"/>
      <c r="H4264" t="str">
        <f>VLOOKUP(B4264,indexy!$A$44:$D$234,3,FALSE)</f>
        <v>AKZA NA Equity</v>
      </c>
    </row>
    <row r="4265" spans="1:8" s="39" customFormat="1" hidden="1" outlineLevel="1" x14ac:dyDescent="0.25">
      <c r="A4265" s="1002">
        <v>0.03</v>
      </c>
      <c r="B4265" s="987" t="s">
        <v>2984</v>
      </c>
      <c r="C4265" s="1008">
        <v>16.233000000000001</v>
      </c>
      <c r="D4265" s="908">
        <v>6.3380000000000001</v>
      </c>
      <c r="E4265" s="709">
        <f t="shared" ref="E4265:E4293" si="154">D4265/C4265-1</f>
        <v>-0.60956077126840391</v>
      </c>
      <c r="F4265" s="946">
        <f t="shared" ref="F4265:F4293" si="155">E4265*A4265</f>
        <v>-1.8286823138052116E-2</v>
      </c>
      <c r="G4265" s="78"/>
      <c r="H4265" t="str">
        <f>VLOOKUP(B4265,indexy!$A$44:$D$234,3,FALSE)</f>
        <v>BBVA SM Equity</v>
      </c>
    </row>
    <row r="4266" spans="1:8" s="39" customFormat="1" hidden="1" outlineLevel="1" x14ac:dyDescent="0.25">
      <c r="A4266" s="1002">
        <v>0.04</v>
      </c>
      <c r="B4266" s="996" t="s">
        <v>1994</v>
      </c>
      <c r="C4266" s="1008">
        <v>49.923000000000002</v>
      </c>
      <c r="D4266" s="908">
        <v>8.17</v>
      </c>
      <c r="E4266" s="709">
        <f t="shared" si="154"/>
        <v>-0.83634797588285958</v>
      </c>
      <c r="F4266" s="946">
        <f t="shared" si="155"/>
        <v>-3.3453919035314382E-2</v>
      </c>
      <c r="G4266" s="78"/>
      <c r="H4266" t="str">
        <f>VLOOKUP(B4266,indexy!$A$44:$D$234,3,FALSE)</f>
        <v>BAC UN Equity</v>
      </c>
    </row>
    <row r="4267" spans="1:8" s="39" customFormat="1" hidden="1" outlineLevel="1" x14ac:dyDescent="0.25">
      <c r="A4267" s="1002">
        <v>0.03</v>
      </c>
      <c r="B4267" s="996" t="s">
        <v>3020</v>
      </c>
      <c r="C4267" s="1008">
        <v>56.256999999999998</v>
      </c>
      <c r="D4267" s="908">
        <v>44.98</v>
      </c>
      <c r="E4267" s="709">
        <f t="shared" si="154"/>
        <v>-0.20045505448210887</v>
      </c>
      <c r="F4267" s="946">
        <f t="shared" si="155"/>
        <v>-6.0136516344632658E-3</v>
      </c>
      <c r="G4267" s="78"/>
      <c r="H4267" t="str">
        <f>VLOOKUP(B4267,indexy!$A$44:$D$234,3,FALSE)</f>
        <v>BAYN GR Equity</v>
      </c>
    </row>
    <row r="4268" spans="1:8" s="39" customFormat="1" hidden="1" outlineLevel="1" x14ac:dyDescent="0.25">
      <c r="A4268" s="1002">
        <v>0.03</v>
      </c>
      <c r="B4268" s="996" t="s">
        <v>901</v>
      </c>
      <c r="C4268" s="1008">
        <v>1664</v>
      </c>
      <c r="D4268" s="908">
        <v>2743.5</v>
      </c>
      <c r="E4268" s="709">
        <f t="shared" si="154"/>
        <v>0.64873798076923084</v>
      </c>
      <c r="F4268" s="946">
        <f t="shared" si="155"/>
        <v>1.9462139423076924E-2</v>
      </c>
      <c r="G4268" s="78"/>
      <c r="H4268" t="str">
        <f>VLOOKUP(B4268,indexy!$A$44:$D$234,3,FALSE)</f>
        <v>BATS LN Equity</v>
      </c>
    </row>
    <row r="4269" spans="1:8" s="39" customFormat="1" hidden="1" outlineLevel="1" x14ac:dyDescent="0.25">
      <c r="A4269" s="1002">
        <v>0.04</v>
      </c>
      <c r="B4269" s="996" t="s">
        <v>1847</v>
      </c>
      <c r="C4269" s="1008">
        <f>46.549*10</f>
        <v>465.49</v>
      </c>
      <c r="D4269" s="908">
        <v>31.05</v>
      </c>
      <c r="E4269" s="709">
        <f t="shared" si="154"/>
        <v>-0.93329609658639279</v>
      </c>
      <c r="F4269" s="946">
        <f t="shared" si="155"/>
        <v>-3.7331843863455713E-2</v>
      </c>
      <c r="G4269" s="78"/>
      <c r="H4269" t="str">
        <f>VLOOKUP(B4269,indexy!$A$44:$D$234,3,FALSE)</f>
        <v>C UN Equity</v>
      </c>
    </row>
    <row r="4270" spans="1:8" s="39" customFormat="1" hidden="1" outlineLevel="1" x14ac:dyDescent="0.25">
      <c r="A4270" s="1002">
        <v>0.04</v>
      </c>
      <c r="B4270" s="996" t="s">
        <v>3792</v>
      </c>
      <c r="C4270" s="1008">
        <v>54.201000000000001</v>
      </c>
      <c r="D4270" s="908">
        <v>25.59</v>
      </c>
      <c r="E4270" s="709">
        <f t="shared" si="154"/>
        <v>-0.52786848951126364</v>
      </c>
      <c r="F4270" s="946">
        <f t="shared" si="155"/>
        <v>-2.1114739580450546E-2</v>
      </c>
      <c r="G4270" s="78"/>
      <c r="H4270" t="str">
        <f>VLOOKUP(B4270,indexy!$A$44:$D$234,3,FALSE)</f>
        <v>CMA UN Equity</v>
      </c>
    </row>
    <row r="4271" spans="1:8" s="39" customFormat="1" hidden="1" outlineLevel="1" x14ac:dyDescent="0.25">
      <c r="A4271" s="1002">
        <v>0.03</v>
      </c>
      <c r="B4271" s="743" t="s">
        <v>51</v>
      </c>
      <c r="C4271" s="1008">
        <v>71.900999999999996</v>
      </c>
      <c r="D4271" s="908">
        <v>35.034999999999997</v>
      </c>
      <c r="E4271" s="709">
        <f t="shared" si="154"/>
        <v>-0.51273278535764455</v>
      </c>
      <c r="F4271" s="946">
        <f t="shared" si="155"/>
        <v>-1.5381983560729336E-2</v>
      </c>
      <c r="G4271" s="78"/>
      <c r="H4271" t="str">
        <f>VLOOKUP(B4271,indexy!$A$44:$D$234,3,FALSE)</f>
        <v>SGO FP Equity</v>
      </c>
    </row>
    <row r="4272" spans="1:8" s="39" customFormat="1" hidden="1" outlineLevel="1" x14ac:dyDescent="0.25">
      <c r="A4272" s="1002">
        <v>0.02</v>
      </c>
      <c r="B4272" s="939" t="s">
        <v>4025</v>
      </c>
      <c r="C4272" s="1008">
        <v>65.376000000000005</v>
      </c>
      <c r="D4272" s="908">
        <v>37.67</v>
      </c>
      <c r="E4272" s="709">
        <f t="shared" si="154"/>
        <v>-0.42379466470876159</v>
      </c>
      <c r="F4272" s="946">
        <f t="shared" si="155"/>
        <v>-8.4758932941752328E-3</v>
      </c>
      <c r="G4272" s="78"/>
      <c r="H4272" t="str">
        <f>VLOOKUP(B4272,indexy!$A$44:$D$234,3,FALSE)</f>
        <v>MBG GR Equity</v>
      </c>
    </row>
    <row r="4273" spans="1:8" s="39" customFormat="1" hidden="1" outlineLevel="1" x14ac:dyDescent="0.25">
      <c r="A4273" s="1002">
        <v>0.05</v>
      </c>
      <c r="B4273" s="996" t="s">
        <v>2629</v>
      </c>
      <c r="C4273" s="1008">
        <v>13.657999999999999</v>
      </c>
      <c r="D4273" s="908">
        <v>8.8060000000000009</v>
      </c>
      <c r="E4273" s="709">
        <f t="shared" si="154"/>
        <v>-0.35524967052277046</v>
      </c>
      <c r="F4273" s="946">
        <f t="shared" si="155"/>
        <v>-1.7762483526138524E-2</v>
      </c>
      <c r="G4273" s="78"/>
      <c r="H4273" t="str">
        <f>VLOOKUP(B4273,indexy!$A$44:$D$234,3,FALSE)</f>
        <v>DTE GY Equity</v>
      </c>
    </row>
    <row r="4274" spans="1:8" s="39" customFormat="1" hidden="1" outlineLevel="1" x14ac:dyDescent="0.25">
      <c r="A4274" s="1002">
        <v>0.03</v>
      </c>
      <c r="B4274" s="996" t="s">
        <v>4110</v>
      </c>
      <c r="C4274" s="1008">
        <f>85.592/2</f>
        <v>42.795999999999999</v>
      </c>
      <c r="D4274" s="908">
        <v>48.74</v>
      </c>
      <c r="E4274" s="709">
        <f t="shared" si="154"/>
        <v>0.1388914851855314</v>
      </c>
      <c r="F4274" s="946">
        <f t="shared" si="155"/>
        <v>4.1667445555659422E-3</v>
      </c>
      <c r="G4274" s="78"/>
      <c r="H4274" t="e">
        <f>VLOOKUP(B4274,indexy!$A$44:$D$234,3,FALSE)</f>
        <v>#N/A</v>
      </c>
    </row>
    <row r="4275" spans="1:8" s="39" customFormat="1" hidden="1" outlineLevel="1" x14ac:dyDescent="0.25">
      <c r="A4275" s="1002">
        <v>0.02</v>
      </c>
      <c r="B4275" s="996" t="s">
        <v>4064</v>
      </c>
      <c r="C4275" s="1008">
        <v>56.765999999999998</v>
      </c>
      <c r="D4275" s="908">
        <v>37.51</v>
      </c>
      <c r="E4275" s="709">
        <f t="shared" si="154"/>
        <v>-0.33921713701863798</v>
      </c>
      <c r="F4275" s="946">
        <f t="shared" si="155"/>
        <v>-6.7843427403727601E-3</v>
      </c>
      <c r="G4275" s="78"/>
      <c r="H4275" t="str">
        <f>VLOOKUP(B4275,indexy!$A$44:$D$234,3,FALSE)</f>
        <v>LLY UN Equity</v>
      </c>
    </row>
    <row r="4276" spans="1:8" s="39" customFormat="1" hidden="1" outlineLevel="1" x14ac:dyDescent="0.25">
      <c r="A4276" s="1002">
        <v>0.05</v>
      </c>
      <c r="B4276" s="996" t="s">
        <v>3798</v>
      </c>
      <c r="C4276" s="1008">
        <v>7.7115999999999998</v>
      </c>
      <c r="D4276" s="908">
        <v>3.4</v>
      </c>
      <c r="E4276" s="709">
        <f t="shared" si="154"/>
        <v>-0.55910576274703039</v>
      </c>
      <c r="F4276" s="946">
        <f t="shared" si="155"/>
        <v>-2.7955288137351521E-2</v>
      </c>
      <c r="G4276" s="78"/>
      <c r="H4276" t="str">
        <f>VLOOKUP(B4276,indexy!$A$44:$D$234,3,FALSE)</f>
        <v>ENEL IM Equity</v>
      </c>
    </row>
    <row r="4277" spans="1:8" s="39" customFormat="1" hidden="1" outlineLevel="1" x14ac:dyDescent="0.25">
      <c r="A4277" s="1002">
        <v>0.04</v>
      </c>
      <c r="B4277" s="743" t="s">
        <v>2630</v>
      </c>
      <c r="C4277" s="1008">
        <v>22.364000000000001</v>
      </c>
      <c r="D4277" s="908">
        <v>13.3</v>
      </c>
      <c r="E4277" s="709">
        <f t="shared" si="154"/>
        <v>-0.40529422285816485</v>
      </c>
      <c r="F4277" s="946">
        <f t="shared" si="155"/>
        <v>-1.6211768914326595E-2</v>
      </c>
      <c r="G4277" s="78"/>
      <c r="H4277" t="e">
        <f>VLOOKUP(B4277,indexy!$A$44:$D$234,3,FALSE)</f>
        <v>#N/A</v>
      </c>
    </row>
    <row r="4278" spans="1:8" s="39" customFormat="1" hidden="1" outlineLevel="1" x14ac:dyDescent="0.25">
      <c r="A4278" s="1002">
        <v>0.03</v>
      </c>
      <c r="B4278" s="996" t="s">
        <v>1031</v>
      </c>
      <c r="C4278" s="1008">
        <v>9.6452500000000008</v>
      </c>
      <c r="D4278" s="908">
        <v>5.1340000000000003</v>
      </c>
      <c r="E4278" s="709">
        <f t="shared" si="154"/>
        <v>-0.46771727015888653</v>
      </c>
      <c r="F4278" s="946">
        <f t="shared" si="155"/>
        <v>-1.4031518104766596E-2</v>
      </c>
      <c r="G4278" s="78"/>
      <c r="H4278" t="str">
        <f>VLOOKUP(B4278,indexy!$A$44:$D$234,3,FALSE)</f>
        <v>IBE SQ Equity</v>
      </c>
    </row>
    <row r="4279" spans="1:8" s="39" customFormat="1" hidden="1" outlineLevel="1" x14ac:dyDescent="0.25">
      <c r="A4279" s="1002">
        <v>0.05</v>
      </c>
      <c r="B4279" s="743" t="s">
        <v>2588</v>
      </c>
      <c r="C4279" s="1008">
        <v>29.957000000000001</v>
      </c>
      <c r="D4279" s="908">
        <v>6.0250000000000004</v>
      </c>
      <c r="E4279" s="709">
        <f t="shared" si="154"/>
        <v>-0.79887839236238611</v>
      </c>
      <c r="F4279" s="946">
        <f t="shared" si="155"/>
        <v>-3.9943919618119307E-2</v>
      </c>
      <c r="G4279" s="78"/>
      <c r="H4279" t="str">
        <f>VLOOKUP(B4279,indexy!$A$44:$D$234,3,FALSE)</f>
        <v>INGA NA Equity</v>
      </c>
    </row>
    <row r="4280" spans="1:8" s="39" customFormat="1" hidden="1" outlineLevel="1" x14ac:dyDescent="0.25">
      <c r="A4280" s="1002">
        <v>0.03</v>
      </c>
      <c r="B4280" s="996" t="s">
        <v>44</v>
      </c>
      <c r="C4280" s="1008">
        <v>5.3301999999999996</v>
      </c>
      <c r="D4280" s="908">
        <v>1.1339999999999999</v>
      </c>
      <c r="E4280" s="709">
        <f t="shared" si="154"/>
        <v>-0.78725000938051104</v>
      </c>
      <c r="F4280" s="946">
        <f t="shared" si="155"/>
        <v>-2.3617500281415332E-2</v>
      </c>
      <c r="G4280" s="78"/>
      <c r="H4280" t="str">
        <f>VLOOKUP(B4280,indexy!$A$44:$D$234,3,FALSE)</f>
        <v>ISP IM Equity</v>
      </c>
    </row>
    <row r="4281" spans="1:8" s="39" customFormat="1" hidden="1" outlineLevel="1" x14ac:dyDescent="0.25">
      <c r="A4281" s="1002">
        <v>0.03</v>
      </c>
      <c r="B4281" s="996" t="s">
        <v>1526</v>
      </c>
      <c r="C4281" s="1008">
        <v>93.448999999999998</v>
      </c>
      <c r="D4281" s="908">
        <v>19.7</v>
      </c>
      <c r="E4281" s="709">
        <f t="shared" si="154"/>
        <v>-0.78918982546629712</v>
      </c>
      <c r="F4281" s="946">
        <f t="shared" si="155"/>
        <v>-2.3675694763988914E-2</v>
      </c>
      <c r="G4281" s="78"/>
      <c r="H4281" t="str">
        <f>VLOOKUP(B4281,indexy!$A$44:$D$234,3,FALSE)</f>
        <v>KBC BB Equity</v>
      </c>
    </row>
    <row r="4282" spans="1:8" s="39" customFormat="1" hidden="1" outlineLevel="1" x14ac:dyDescent="0.25">
      <c r="A4282" s="1002">
        <v>0.02</v>
      </c>
      <c r="B4282" s="743" t="s">
        <v>281</v>
      </c>
      <c r="C4282" s="1008">
        <v>33.256999999999998</v>
      </c>
      <c r="D4282" s="908">
        <v>6.64</v>
      </c>
      <c r="E4282" s="709">
        <f t="shared" si="154"/>
        <v>-0.8003427849775987</v>
      </c>
      <c r="F4282" s="946">
        <f t="shared" si="155"/>
        <v>-1.6006855699551976E-2</v>
      </c>
      <c r="G4282" s="78"/>
      <c r="H4282" t="str">
        <f>VLOOKUP(B4282,indexy!$A$44:$D$234,3,FALSE)</f>
        <v>KEY UN Equity</v>
      </c>
    </row>
    <row r="4283" spans="1:8" s="39" customFormat="1" hidden="1" outlineLevel="1" x14ac:dyDescent="0.25">
      <c r="A4283" s="1002">
        <v>0.04</v>
      </c>
      <c r="B4283" s="996" t="s">
        <v>3801</v>
      </c>
      <c r="C4283" s="1008">
        <v>82.494</v>
      </c>
      <c r="D4283" s="908">
        <v>26.15</v>
      </c>
      <c r="E4283" s="709">
        <f t="shared" si="154"/>
        <v>-0.68300724901204934</v>
      </c>
      <c r="F4283" s="946">
        <f t="shared" si="155"/>
        <v>-2.7320289960481973E-2</v>
      </c>
      <c r="G4283" s="78"/>
      <c r="H4283" t="str">
        <f>VLOOKUP(B4283,indexy!$A$44:$D$234,3,FALSE)</f>
        <v>RWE GY Equity</v>
      </c>
    </row>
    <row r="4284" spans="1:8" s="39" customFormat="1" hidden="1" outlineLevel="1" x14ac:dyDescent="0.25">
      <c r="A4284" s="1002">
        <v>0.02</v>
      </c>
      <c r="B4284" s="939" t="s">
        <v>1709</v>
      </c>
      <c r="C4284" s="1008">
        <v>132.875</v>
      </c>
      <c r="D4284" s="908">
        <v>84.7</v>
      </c>
      <c r="E4284" s="709">
        <f t="shared" si="154"/>
        <v>-0.36255879586077133</v>
      </c>
      <c r="F4284" s="946">
        <f t="shared" si="155"/>
        <v>-7.2511759172154272E-3</v>
      </c>
      <c r="G4284" s="78"/>
      <c r="H4284" t="str">
        <f>VLOOKUP(B4284,indexy!$A$44:$D$234,3,FALSE)</f>
        <v>SAND SS Equity</v>
      </c>
    </row>
    <row r="4285" spans="1:8" s="39" customFormat="1" hidden="1" outlineLevel="1" x14ac:dyDescent="0.25">
      <c r="A4285" s="1002">
        <v>0.03</v>
      </c>
      <c r="B4285" s="996" t="s">
        <v>279</v>
      </c>
      <c r="C4285" s="1008">
        <v>91.950999999999993</v>
      </c>
      <c r="D4285" s="908">
        <v>94.74</v>
      </c>
      <c r="E4285" s="709">
        <f t="shared" si="154"/>
        <v>3.033137214385917E-2</v>
      </c>
      <c r="F4285" s="946">
        <f t="shared" si="155"/>
        <v>9.0994116431577501E-4</v>
      </c>
      <c r="G4285" s="78"/>
      <c r="H4285" t="str">
        <f>VLOOKUP(B4285,indexy!$A$44:$D$234,3,FALSE)</f>
        <v>SU FP Equity</v>
      </c>
    </row>
    <row r="4286" spans="1:8" s="39" customFormat="1" hidden="1" outlineLevel="1" x14ac:dyDescent="0.25">
      <c r="A4286" s="1002">
        <v>0.02</v>
      </c>
      <c r="B4286" s="996" t="s">
        <v>3656</v>
      </c>
      <c r="C4286" s="1008">
        <v>129.97499999999999</v>
      </c>
      <c r="D4286" s="908">
        <v>149.6</v>
      </c>
      <c r="E4286" s="709">
        <f t="shared" si="154"/>
        <v>0.15099057511059821</v>
      </c>
      <c r="F4286" s="946">
        <f t="shared" si="155"/>
        <v>3.0198115022119641E-3</v>
      </c>
      <c r="G4286" s="78"/>
      <c r="H4286" t="str">
        <f>VLOOKUP(B4286,indexy!$A$44:$D$234,3,FALSE)</f>
        <v>SKFB SS Equity</v>
      </c>
    </row>
    <row r="4287" spans="1:8" s="39" customFormat="1" hidden="1" outlineLevel="1" x14ac:dyDescent="0.25">
      <c r="A4287" s="1002">
        <v>0.03</v>
      </c>
      <c r="B4287" s="996" t="s">
        <v>2166</v>
      </c>
      <c r="C4287" s="1008">
        <v>115.294</v>
      </c>
      <c r="D4287" s="908">
        <v>23.36</v>
      </c>
      <c r="E4287" s="709">
        <f t="shared" si="154"/>
        <v>-0.79738754835464121</v>
      </c>
      <c r="F4287" s="946">
        <f t="shared" si="155"/>
        <v>-2.3921626450639236E-2</v>
      </c>
      <c r="G4287" s="78"/>
      <c r="H4287" t="str">
        <f>VLOOKUP(B4287,indexy!$A$44:$D$234,3,FALSE)</f>
        <v>GLE FP Equity</v>
      </c>
    </row>
    <row r="4288" spans="1:8" s="39" customFormat="1" hidden="1" outlineLevel="1" x14ac:dyDescent="0.25">
      <c r="A4288" s="1002">
        <v>0.04</v>
      </c>
      <c r="B4288" s="743" t="s">
        <v>3427</v>
      </c>
      <c r="C4288" s="1008">
        <v>36.328000000000003</v>
      </c>
      <c r="D4288" s="908">
        <v>41.36</v>
      </c>
      <c r="E4288" s="709">
        <f t="shared" si="154"/>
        <v>0.1385157454305217</v>
      </c>
      <c r="F4288" s="946">
        <f t="shared" si="155"/>
        <v>5.5406298172208683E-3</v>
      </c>
      <c r="G4288" s="78"/>
      <c r="H4288" t="str">
        <f>VLOOKUP(B4288,indexy!$A$44:$D$234,3,FALSE)</f>
        <v>SO UN Equity</v>
      </c>
    </row>
    <row r="4289" spans="1:8" s="39" customFormat="1" hidden="1" outlineLevel="1" x14ac:dyDescent="0.25">
      <c r="A4289" s="1002">
        <v>0.03</v>
      </c>
      <c r="B4289" s="743" t="s">
        <v>181</v>
      </c>
      <c r="C4289" s="1008">
        <v>100.48</v>
      </c>
      <c r="D4289" s="908">
        <v>41.76</v>
      </c>
      <c r="E4289" s="709">
        <f t="shared" si="154"/>
        <v>-0.58439490445859876</v>
      </c>
      <c r="F4289" s="946">
        <f t="shared" si="155"/>
        <v>-1.7531847133757963E-2</v>
      </c>
      <c r="G4289" s="78"/>
      <c r="H4289" t="e">
        <f>VLOOKUP(B4289,indexy!$A$44:$D$234,3,FALSE)</f>
        <v>#N/A</v>
      </c>
    </row>
    <row r="4290" spans="1:8" s="39" customFormat="1" hidden="1" outlineLevel="1" x14ac:dyDescent="0.25">
      <c r="A4290" s="1002">
        <v>0.03</v>
      </c>
      <c r="B4290" s="743" t="s">
        <v>3022</v>
      </c>
      <c r="C4290" s="1008">
        <v>7874</v>
      </c>
      <c r="D4290" s="908">
        <v>3695</v>
      </c>
      <c r="E4290" s="709">
        <f t="shared" si="154"/>
        <v>-0.53073406146812285</v>
      </c>
      <c r="F4290" s="946">
        <f t="shared" si="155"/>
        <v>-1.5922021844043684E-2</v>
      </c>
      <c r="G4290" s="78"/>
      <c r="H4290" t="str">
        <f>VLOOKUP(B4290,indexy!$A$44:$D$234,3,FALSE)</f>
        <v>4502 JT Equity</v>
      </c>
    </row>
    <row r="4291" spans="1:8" s="39" customFormat="1" hidden="1" outlineLevel="1" x14ac:dyDescent="0.25">
      <c r="A4291" s="1002">
        <v>0.04</v>
      </c>
      <c r="B4291" s="743" t="s">
        <v>1527</v>
      </c>
      <c r="C4291" s="1008">
        <v>2.1248999999999998</v>
      </c>
      <c r="D4291" s="908">
        <v>0.84450000000000003</v>
      </c>
      <c r="E4291" s="709">
        <f t="shared" si="154"/>
        <v>-0.60256953268389091</v>
      </c>
      <c r="F4291" s="946">
        <f t="shared" si="155"/>
        <v>-2.4102781307355638E-2</v>
      </c>
      <c r="G4291" s="78"/>
      <c r="H4291" t="str">
        <f>VLOOKUP(B4291,indexy!$A$44:$D$234,3,FALSE)</f>
        <v>TIT IM Equity</v>
      </c>
    </row>
    <row r="4292" spans="1:8" s="39" customFormat="1" hidden="1" outlineLevel="1" x14ac:dyDescent="0.25">
      <c r="A4292" s="1002">
        <v>0.05</v>
      </c>
      <c r="B4292" s="743" t="s">
        <v>576</v>
      </c>
      <c r="C4292" s="1008">
        <v>18.356999999999999</v>
      </c>
      <c r="D4292" s="908">
        <v>4.78</v>
      </c>
      <c r="E4292" s="709">
        <f t="shared" si="154"/>
        <v>-0.7396088685515062</v>
      </c>
      <c r="F4292" s="946">
        <f t="shared" si="155"/>
        <v>-3.698044342757531E-2</v>
      </c>
      <c r="G4292" s="78"/>
      <c r="H4292" t="e">
        <f>VLOOKUP(B4292,indexy!$A$44:$D$234,3,FALSE)</f>
        <v>#N/A</v>
      </c>
    </row>
    <row r="4293" spans="1:8" s="39" customFormat="1" hidden="1" outlineLevel="1" x14ac:dyDescent="0.25">
      <c r="A4293" s="1002">
        <v>0.04</v>
      </c>
      <c r="B4293" s="997" t="s">
        <v>2983</v>
      </c>
      <c r="C4293" s="1008">
        <v>675.65</v>
      </c>
      <c r="D4293" s="1008">
        <v>600</v>
      </c>
      <c r="E4293" s="709">
        <f t="shared" si="154"/>
        <v>-0.11196625471767929</v>
      </c>
      <c r="F4293" s="946">
        <f t="shared" si="155"/>
        <v>-4.4786501887071721E-3</v>
      </c>
      <c r="G4293" s="78"/>
      <c r="H4293" t="str">
        <f>VLOOKUP(B4293,indexy!$A$44:$D$234,3,FALSE)</f>
        <v>UU/ LN Equity</v>
      </c>
    </row>
    <row r="4294" spans="1:8" s="39" customFormat="1" hidden="1" outlineLevel="1" x14ac:dyDescent="0.25">
      <c r="A4294" s="1099"/>
      <c r="B4294" s="1000"/>
      <c r="C4294" s="736"/>
      <c r="D4294" s="736"/>
      <c r="E4294" s="895"/>
      <c r="F4294" s="1021">
        <v>-0.44750000000000001</v>
      </c>
      <c r="G4294" s="78"/>
      <c r="H4294"/>
    </row>
    <row r="4295" spans="1:8" s="39" customFormat="1" hidden="1" outlineLevel="1" x14ac:dyDescent="0.25">
      <c r="A4295" s="751" t="s">
        <v>3845</v>
      </c>
      <c r="B4295" s="1100">
        <v>39387</v>
      </c>
      <c r="C4295" s="719">
        <v>100</v>
      </c>
      <c r="D4295" s="719">
        <v>99.566999999999993</v>
      </c>
      <c r="E4295" s="720">
        <f t="shared" ref="E4295:E4310" si="156">D4295/C4295-1</f>
        <v>-4.330000000000056E-3</v>
      </c>
      <c r="F4295" s="731">
        <f>E4295</f>
        <v>-4.330000000000056E-3</v>
      </c>
      <c r="G4295" s="78"/>
      <c r="H4295"/>
    </row>
    <row r="4296" spans="1:8" s="39" customFormat="1" hidden="1" outlineLevel="1" x14ac:dyDescent="0.25">
      <c r="A4296" s="751" t="s">
        <v>3846</v>
      </c>
      <c r="B4296" s="985">
        <v>39479</v>
      </c>
      <c r="C4296" s="727">
        <v>100</v>
      </c>
      <c r="D4296" s="727">
        <v>84.960899999999995</v>
      </c>
      <c r="E4296" s="716">
        <f t="shared" si="156"/>
        <v>-0.15039100000000005</v>
      </c>
      <c r="F4296" s="770">
        <f t="shared" ref="F4296:F4310" si="157">E4296</f>
        <v>-0.15039100000000005</v>
      </c>
      <c r="G4296" s="78"/>
      <c r="H4296"/>
    </row>
    <row r="4297" spans="1:8" s="39" customFormat="1" hidden="1" outlineLevel="1" x14ac:dyDescent="0.25">
      <c r="A4297" s="751" t="s">
        <v>277</v>
      </c>
      <c r="B4297" s="985">
        <v>39569</v>
      </c>
      <c r="C4297" s="727">
        <v>100</v>
      </c>
      <c r="D4297" s="727">
        <v>84.455699999999993</v>
      </c>
      <c r="E4297" s="716">
        <f t="shared" si="156"/>
        <v>-0.15544300000000011</v>
      </c>
      <c r="F4297" s="770">
        <f t="shared" si="157"/>
        <v>-0.15544300000000011</v>
      </c>
      <c r="G4297" s="78"/>
      <c r="H4297"/>
    </row>
    <row r="4298" spans="1:8" s="39" customFormat="1" hidden="1" outlineLevel="1" x14ac:dyDescent="0.25">
      <c r="A4298" s="751" t="s">
        <v>3517</v>
      </c>
      <c r="B4298" s="985">
        <v>39661</v>
      </c>
      <c r="C4298" s="727">
        <v>100</v>
      </c>
      <c r="D4298" s="727">
        <v>75.422300000000007</v>
      </c>
      <c r="E4298" s="716">
        <f t="shared" si="156"/>
        <v>-0.24577699999999991</v>
      </c>
      <c r="F4298" s="770">
        <f t="shared" si="157"/>
        <v>-0.24577699999999991</v>
      </c>
      <c r="G4298" s="78"/>
      <c r="H4298"/>
    </row>
    <row r="4299" spans="1:8" s="39" customFormat="1" hidden="1" outlineLevel="1" x14ac:dyDescent="0.25">
      <c r="A4299" s="751" t="s">
        <v>3518</v>
      </c>
      <c r="B4299" s="985">
        <v>39753</v>
      </c>
      <c r="C4299" s="727">
        <v>100</v>
      </c>
      <c r="D4299" s="727">
        <v>56.337899999999998</v>
      </c>
      <c r="E4299" s="716">
        <f t="shared" si="156"/>
        <v>-0.43662100000000004</v>
      </c>
      <c r="F4299" s="770">
        <f t="shared" si="157"/>
        <v>-0.43662100000000004</v>
      </c>
      <c r="G4299" s="78"/>
      <c r="H4299"/>
    </row>
    <row r="4300" spans="1:8" s="39" customFormat="1" hidden="1" outlineLevel="1" x14ac:dyDescent="0.25">
      <c r="A4300" s="751" t="s">
        <v>3519</v>
      </c>
      <c r="B4300" s="985">
        <v>39845</v>
      </c>
      <c r="C4300" s="727">
        <v>100</v>
      </c>
      <c r="D4300" s="727">
        <v>44.693600000000004</v>
      </c>
      <c r="E4300" s="716">
        <f t="shared" si="156"/>
        <v>-0.553064</v>
      </c>
      <c r="F4300" s="770">
        <f t="shared" si="157"/>
        <v>-0.553064</v>
      </c>
      <c r="G4300" s="78"/>
      <c r="H4300"/>
    </row>
    <row r="4301" spans="1:8" s="39" customFormat="1" hidden="1" outlineLevel="1" x14ac:dyDescent="0.25">
      <c r="A4301" s="751" t="s">
        <v>3520</v>
      </c>
      <c r="B4301" s="985">
        <v>39934</v>
      </c>
      <c r="C4301" s="727">
        <v>100</v>
      </c>
      <c r="D4301" s="727">
        <v>50.677799999999998</v>
      </c>
      <c r="E4301" s="716">
        <f t="shared" si="156"/>
        <v>-0.49322200000000005</v>
      </c>
      <c r="F4301" s="770">
        <f t="shared" si="157"/>
        <v>-0.49322200000000005</v>
      </c>
      <c r="G4301" s="78"/>
      <c r="H4301"/>
    </row>
    <row r="4302" spans="1:8" s="39" customFormat="1" hidden="1" outlineLevel="1" x14ac:dyDescent="0.25">
      <c r="A4302" s="751" t="s">
        <v>3521</v>
      </c>
      <c r="B4302" s="985">
        <v>40026</v>
      </c>
      <c r="C4302" s="727">
        <v>100</v>
      </c>
      <c r="D4302" s="727">
        <v>57.825099999999999</v>
      </c>
      <c r="E4302" s="716">
        <f t="shared" si="156"/>
        <v>-0.42174900000000004</v>
      </c>
      <c r="F4302" s="770">
        <f t="shared" si="157"/>
        <v>-0.42174900000000004</v>
      </c>
      <c r="G4302" s="78"/>
      <c r="H4302"/>
    </row>
    <row r="4303" spans="1:8" s="39" customFormat="1" hidden="1" outlineLevel="1" x14ac:dyDescent="0.25">
      <c r="A4303" s="751" t="s">
        <v>2705</v>
      </c>
      <c r="B4303" s="985">
        <v>40118</v>
      </c>
      <c r="C4303" s="727">
        <v>100</v>
      </c>
      <c r="D4303" s="727">
        <v>58.468400000000003</v>
      </c>
      <c r="E4303" s="716">
        <f t="shared" si="156"/>
        <v>-0.41531600000000002</v>
      </c>
      <c r="F4303" s="770">
        <f t="shared" si="157"/>
        <v>-0.41531600000000002</v>
      </c>
      <c r="G4303" s="78"/>
      <c r="H4303"/>
    </row>
    <row r="4304" spans="1:8" s="39" customFormat="1" hidden="1" outlineLevel="1" x14ac:dyDescent="0.25">
      <c r="A4304" s="751" t="s">
        <v>2706</v>
      </c>
      <c r="B4304" s="985">
        <v>40210</v>
      </c>
      <c r="C4304" s="727">
        <v>100</v>
      </c>
      <c r="D4304" s="727">
        <v>59.507599999999996</v>
      </c>
      <c r="E4304" s="716">
        <f t="shared" si="156"/>
        <v>-0.40492400000000006</v>
      </c>
      <c r="F4304" s="770">
        <f t="shared" si="157"/>
        <v>-0.40492400000000006</v>
      </c>
      <c r="G4304" s="78"/>
      <c r="H4304"/>
    </row>
    <row r="4305" spans="1:33" s="39" customFormat="1" hidden="1" outlineLevel="1" x14ac:dyDescent="0.25">
      <c r="A4305" s="751" t="s">
        <v>144</v>
      </c>
      <c r="B4305" s="985">
        <v>40299</v>
      </c>
      <c r="C4305" s="727">
        <v>100</v>
      </c>
      <c r="D4305" s="727">
        <v>58.5015</v>
      </c>
      <c r="E4305" s="716">
        <f t="shared" si="156"/>
        <v>-0.41498500000000005</v>
      </c>
      <c r="F4305" s="770">
        <f t="shared" si="157"/>
        <v>-0.41498500000000005</v>
      </c>
      <c r="G4305" s="78"/>
      <c r="H4305"/>
    </row>
    <row r="4306" spans="1:33" s="39" customFormat="1" hidden="1" outlineLevel="1" x14ac:dyDescent="0.25">
      <c r="A4306" s="751" t="s">
        <v>2464</v>
      </c>
      <c r="B4306" s="985">
        <v>40391</v>
      </c>
      <c r="C4306" s="727">
        <v>100</v>
      </c>
      <c r="D4306" s="727">
        <v>60.04</v>
      </c>
      <c r="E4306" s="716">
        <f t="shared" si="156"/>
        <v>-0.39959999999999996</v>
      </c>
      <c r="F4306" s="770">
        <f t="shared" si="157"/>
        <v>-0.39959999999999996</v>
      </c>
      <c r="G4306" s="78"/>
      <c r="H4306"/>
    </row>
    <row r="4307" spans="1:33" s="39" customFormat="1" hidden="1" outlineLevel="1" x14ac:dyDescent="0.25">
      <c r="A4307" s="751" t="s">
        <v>3613</v>
      </c>
      <c r="B4307" s="985">
        <v>40483</v>
      </c>
      <c r="C4307" s="727">
        <v>100</v>
      </c>
      <c r="D4307" s="727">
        <v>62.12</v>
      </c>
      <c r="E4307" s="716">
        <f t="shared" si="156"/>
        <v>-0.37880000000000003</v>
      </c>
      <c r="F4307" s="770">
        <f t="shared" si="157"/>
        <v>-0.37880000000000003</v>
      </c>
      <c r="G4307" s="78"/>
      <c r="H4307"/>
    </row>
    <row r="4308" spans="1:33" s="39" customFormat="1" hidden="1" outlineLevel="1" x14ac:dyDescent="0.25">
      <c r="A4308" s="751" t="s">
        <v>1883</v>
      </c>
      <c r="B4308" s="985">
        <v>40575</v>
      </c>
      <c r="C4308" s="727">
        <v>100</v>
      </c>
      <c r="D4308" s="727">
        <v>67.925700000000006</v>
      </c>
      <c r="E4308" s="716">
        <f t="shared" si="156"/>
        <v>-0.32074299999999989</v>
      </c>
      <c r="F4308" s="770">
        <f t="shared" si="157"/>
        <v>-0.32074299999999989</v>
      </c>
      <c r="G4308" s="78"/>
      <c r="H4308"/>
    </row>
    <row r="4309" spans="1:33" s="39" customFormat="1" hidden="1" outlineLevel="1" x14ac:dyDescent="0.25">
      <c r="A4309" s="751" t="s">
        <v>1884</v>
      </c>
      <c r="B4309" s="985">
        <v>40664</v>
      </c>
      <c r="C4309" s="727">
        <v>100</v>
      </c>
      <c r="D4309" s="727">
        <v>66.709199999999996</v>
      </c>
      <c r="E4309" s="716">
        <f t="shared" si="156"/>
        <v>-0.33290800000000009</v>
      </c>
      <c r="F4309" s="770">
        <f t="shared" si="157"/>
        <v>-0.33290800000000009</v>
      </c>
      <c r="G4309" s="78"/>
      <c r="H4309"/>
    </row>
    <row r="4310" spans="1:33" s="39" customFormat="1" hidden="1" outlineLevel="1" x14ac:dyDescent="0.25">
      <c r="A4310" s="751" t="s">
        <v>1885</v>
      </c>
      <c r="B4310" s="985">
        <v>40756</v>
      </c>
      <c r="C4310" s="727">
        <v>100</v>
      </c>
      <c r="D4310" s="727">
        <v>55.251899999999999</v>
      </c>
      <c r="E4310" s="716">
        <f t="shared" si="156"/>
        <v>-0.44748100000000002</v>
      </c>
      <c r="F4310" s="770">
        <f t="shared" si="157"/>
        <v>-0.44748100000000002</v>
      </c>
      <c r="G4310" s="78"/>
      <c r="H4310" t="s">
        <v>1837</v>
      </c>
    </row>
    <row r="4311" spans="1:33" s="39" customFormat="1" hidden="1" outlineLevel="1" x14ac:dyDescent="0.25">
      <c r="A4311" s="749"/>
      <c r="B4311" s="750"/>
      <c r="C4311" s="727"/>
      <c r="D4311" s="727"/>
      <c r="E4311" s="716"/>
      <c r="F4311" s="770"/>
      <c r="G4311" s="78"/>
      <c r="H4311" s="101">
        <f>AVERAGE(F4295:F4310)</f>
        <v>-0.34845962500000005</v>
      </c>
    </row>
    <row r="4312" spans="1:33" s="39" customFormat="1" collapsed="1" x14ac:dyDescent="0.25">
      <c r="A4312" s="3801" t="s">
        <v>230</v>
      </c>
      <c r="B4312" s="3802"/>
      <c r="C4312" s="3802"/>
      <c r="D4312" s="3802"/>
      <c r="E4312" s="782" t="s">
        <v>2722</v>
      </c>
      <c r="F4312" s="722">
        <f>MAX(AVERAGE(F4295:F4310),4%)</f>
        <v>0.04</v>
      </c>
      <c r="G4312" s="97" t="s">
        <v>781</v>
      </c>
      <c r="H4312"/>
    </row>
    <row r="4313" spans="1:33" s="39" customFormat="1" x14ac:dyDescent="0.25">
      <c r="A4313" s="180"/>
      <c r="B4313" s="181"/>
      <c r="C4313" s="181"/>
      <c r="D4313" s="181"/>
      <c r="E4313" s="182"/>
      <c r="F4313" s="182"/>
      <c r="G4313" s="78"/>
      <c r="H4313"/>
    </row>
    <row r="4314" spans="1:33" s="39" customFormat="1" hidden="1" outlineLevel="1" x14ac:dyDescent="0.25">
      <c r="A4314" s="689" t="s">
        <v>113</v>
      </c>
      <c r="B4314" s="689" t="s">
        <v>114</v>
      </c>
      <c r="C4314" s="689" t="s">
        <v>112</v>
      </c>
      <c r="D4314" s="689" t="s">
        <v>4155</v>
      </c>
      <c r="E4314" s="689" t="s">
        <v>117</v>
      </c>
      <c r="F4314" s="1188" t="s">
        <v>121</v>
      </c>
      <c r="G4314" s="78"/>
      <c r="H4314" s="173"/>
      <c r="I4314" s="173" t="s">
        <v>631</v>
      </c>
      <c r="J4314" s="257">
        <v>40787</v>
      </c>
      <c r="K4314" s="257">
        <v>40817</v>
      </c>
      <c r="L4314" s="257">
        <v>40848</v>
      </c>
      <c r="M4314" s="257">
        <v>40878</v>
      </c>
      <c r="N4314" s="257">
        <v>40909</v>
      </c>
      <c r="O4314" s="257">
        <v>40940</v>
      </c>
      <c r="P4314" s="257">
        <v>40969</v>
      </c>
      <c r="Q4314" s="257">
        <v>41000</v>
      </c>
      <c r="R4314" s="257">
        <v>41030</v>
      </c>
      <c r="S4314" s="257">
        <v>41061</v>
      </c>
      <c r="T4314" s="257">
        <v>41091</v>
      </c>
      <c r="U4314" s="257">
        <v>41122</v>
      </c>
      <c r="V4314" s="257">
        <v>41153</v>
      </c>
      <c r="W4314" s="257">
        <v>41183</v>
      </c>
      <c r="X4314" s="257">
        <v>41214</v>
      </c>
      <c r="Y4314" s="257">
        <v>41244</v>
      </c>
      <c r="Z4314" s="257">
        <v>41275</v>
      </c>
      <c r="AA4314" s="257">
        <v>41306</v>
      </c>
      <c r="AB4314" s="257">
        <v>41334</v>
      </c>
      <c r="AC4314" s="257">
        <v>41365</v>
      </c>
      <c r="AD4314" s="257">
        <v>41395</v>
      </c>
      <c r="AE4314" s="257">
        <v>41426</v>
      </c>
      <c r="AF4314" s="257">
        <v>41456</v>
      </c>
      <c r="AG4314" s="257">
        <v>41487</v>
      </c>
    </row>
    <row r="4315" spans="1:33" s="39" customFormat="1" hidden="1" outlineLevel="1" x14ac:dyDescent="0.25">
      <c r="A4315" s="732" t="s">
        <v>4005</v>
      </c>
      <c r="B4315" s="691" t="s">
        <v>4375</v>
      </c>
      <c r="C4315" s="692">
        <v>2341.0610000000001</v>
      </c>
      <c r="D4315" s="823">
        <v>1468.88</v>
      </c>
      <c r="E4315" s="693">
        <v>-0.37255799827514102</v>
      </c>
      <c r="F4315" s="694">
        <v>-0.26079059879259869</v>
      </c>
      <c r="G4315" s="78"/>
      <c r="H4315" s="44"/>
      <c r="I4315" s="44"/>
      <c r="J4315" s="39">
        <v>1215.72</v>
      </c>
      <c r="K4315" s="39">
        <v>1285.52</v>
      </c>
      <c r="L4315" s="39">
        <v>1226.45</v>
      </c>
      <c r="M4315" s="39">
        <v>1217.95</v>
      </c>
      <c r="N4315" s="39">
        <v>1272.25</v>
      </c>
      <c r="O4315" s="39">
        <v>1279.33</v>
      </c>
      <c r="P4315" s="39">
        <v>1329.46</v>
      </c>
      <c r="Q4315" s="39">
        <v>1308.57</v>
      </c>
      <c r="R4315" s="39">
        <v>1281.1300000000001</v>
      </c>
      <c r="S4315" s="39">
        <v>1325.81</v>
      </c>
      <c r="T4315" s="39">
        <v>1417.49</v>
      </c>
      <c r="U4315" s="39">
        <v>1408.35</v>
      </c>
      <c r="V4315" s="39">
        <v>1397.69</v>
      </c>
      <c r="W4315" s="39">
        <v>1459.02</v>
      </c>
      <c r="X4315" s="39">
        <v>1477.77</v>
      </c>
      <c r="Y4315" s="39">
        <v>1493.15</v>
      </c>
      <c r="Z4315" s="39">
        <v>1458.18</v>
      </c>
      <c r="AA4315" s="39">
        <v>1485.63</v>
      </c>
      <c r="AB4315">
        <v>1486.14</v>
      </c>
      <c r="AC4315">
        <v>1553.33</v>
      </c>
      <c r="AD4315">
        <v>1560.1</v>
      </c>
      <c r="AE4315">
        <v>1460.69</v>
      </c>
      <c r="AF4315">
        <v>1519.87</v>
      </c>
      <c r="AG4315">
        <v>1468.88</v>
      </c>
    </row>
    <row r="4316" spans="1:33" s="39" customFormat="1" collapsed="1" x14ac:dyDescent="0.25">
      <c r="A4316" s="3801" t="s">
        <v>1886</v>
      </c>
      <c r="B4316" s="3802"/>
      <c r="C4316" s="3802"/>
      <c r="D4316" s="3802"/>
      <c r="E4316" s="729"/>
      <c r="F4316" s="752">
        <v>0</v>
      </c>
      <c r="G4316" s="97" t="s">
        <v>781</v>
      </c>
      <c r="H4316" s="44"/>
      <c r="I4316" s="209">
        <f>AVERAGE(J4316:AG4316)</f>
        <v>-0.40574522976263044</v>
      </c>
      <c r="J4316" s="171">
        <f t="shared" ref="J4316:AG4316" si="158">IF(J4315="",I4316,J4315/$C$4315-1)</f>
        <v>-0.48069700020631678</v>
      </c>
      <c r="K4316" s="171">
        <f t="shared" si="158"/>
        <v>-0.45088145930413603</v>
      </c>
      <c r="L4316" s="171">
        <f t="shared" si="158"/>
        <v>-0.47611360831691274</v>
      </c>
      <c r="M4316" s="171">
        <f t="shared" si="158"/>
        <v>-0.47974444066173416</v>
      </c>
      <c r="N4316" s="171">
        <f t="shared" si="158"/>
        <v>-0.45654982932952204</v>
      </c>
      <c r="O4316" s="171">
        <f t="shared" si="158"/>
        <v>-0.45352555956465901</v>
      </c>
      <c r="P4316" s="171">
        <f t="shared" si="158"/>
        <v>-0.43211219186514149</v>
      </c>
      <c r="Q4316" s="171">
        <f t="shared" si="158"/>
        <v>-0.44103549629847327</v>
      </c>
      <c r="R4316" s="171">
        <f t="shared" si="158"/>
        <v>-0.45275667742104964</v>
      </c>
      <c r="S4316" s="171">
        <f t="shared" si="158"/>
        <v>-0.43367131398968251</v>
      </c>
      <c r="T4316" s="171">
        <f t="shared" si="158"/>
        <v>-0.39450958347518505</v>
      </c>
      <c r="U4316" s="171">
        <f t="shared" si="158"/>
        <v>-0.3984137961377342</v>
      </c>
      <c r="V4316" s="171">
        <f t="shared" si="158"/>
        <v>-0.40296728705488671</v>
      </c>
      <c r="W4316" s="171">
        <f t="shared" si="158"/>
        <v>-0.37676976379513394</v>
      </c>
      <c r="X4316" s="171">
        <f t="shared" si="158"/>
        <v>-0.36876057479920432</v>
      </c>
      <c r="Y4316" s="171">
        <f t="shared" si="158"/>
        <v>-0.36219090403880971</v>
      </c>
      <c r="Z4316" s="171">
        <f>IF(Z4315="",Y4316,Z4315/$C$4315-1)</f>
        <v>-0.37712857546215162</v>
      </c>
      <c r="AA4316" s="171">
        <f t="shared" si="158"/>
        <v>-0.36540312277211062</v>
      </c>
      <c r="AB4316" s="171">
        <f t="shared" si="158"/>
        <v>-0.36518527283142133</v>
      </c>
      <c r="AC4316" s="171">
        <f t="shared" si="158"/>
        <v>-0.33648461103747407</v>
      </c>
      <c r="AD4316" s="171">
        <f t="shared" si="158"/>
        <v>-0.33359275986401049</v>
      </c>
      <c r="AE4316" s="171">
        <f t="shared" si="158"/>
        <v>-0.3760564120285631</v>
      </c>
      <c r="AF4316" s="171">
        <f t="shared" si="158"/>
        <v>-0.35077727577367701</v>
      </c>
      <c r="AG4316" s="171">
        <f t="shared" si="158"/>
        <v>-0.37255799827514102</v>
      </c>
    </row>
    <row r="4317" spans="1:33" s="39" customFormat="1" x14ac:dyDescent="0.25">
      <c r="A4317" s="180"/>
      <c r="B4317" s="181"/>
      <c r="C4317" s="181"/>
      <c r="D4317" s="181"/>
      <c r="E4317" s="152"/>
      <c r="F4317" s="1871"/>
      <c r="G4317" s="12"/>
    </row>
    <row r="4318" spans="1:33" s="39" customFormat="1" hidden="1" outlineLevel="1" x14ac:dyDescent="0.25">
      <c r="A4318" s="689" t="s">
        <v>113</v>
      </c>
      <c r="B4318" s="689" t="s">
        <v>114</v>
      </c>
      <c r="C4318" s="689" t="s">
        <v>112</v>
      </c>
      <c r="D4318" s="689" t="s">
        <v>116</v>
      </c>
      <c r="E4318" s="689" t="s">
        <v>117</v>
      </c>
      <c r="F4318" s="1188" t="s">
        <v>121</v>
      </c>
      <c r="G4318" s="78"/>
      <c r="H4318"/>
    </row>
    <row r="4319" spans="1:33" s="39" customFormat="1" hidden="1" outlineLevel="1" x14ac:dyDescent="0.25">
      <c r="A4319" s="690">
        <v>1</v>
      </c>
      <c r="B4319" s="691" t="s">
        <v>252</v>
      </c>
      <c r="C4319" s="692">
        <v>100</v>
      </c>
      <c r="D4319" s="692"/>
      <c r="E4319" s="693"/>
      <c r="F4319" s="694"/>
      <c r="G4319" s="78"/>
      <c r="H4319"/>
    </row>
    <row r="4320" spans="1:33" s="39" customFormat="1" hidden="1" outlineLevel="1" x14ac:dyDescent="0.25">
      <c r="A4320" s="706"/>
      <c r="B4320" s="695"/>
      <c r="C4320" s="696"/>
      <c r="D4320" s="697" t="s">
        <v>3702</v>
      </c>
      <c r="E4320" s="698">
        <v>41152</v>
      </c>
      <c r="F4320" s="699"/>
      <c r="G4320" s="78"/>
      <c r="H4320"/>
    </row>
    <row r="4321" spans="1:10" s="39" customFormat="1" hidden="1" outlineLevel="1" x14ac:dyDescent="0.25">
      <c r="A4321" s="689" t="s">
        <v>4156</v>
      </c>
      <c r="B4321" s="689" t="s">
        <v>4153</v>
      </c>
      <c r="C4321" s="497" t="s">
        <v>112</v>
      </c>
      <c r="D4321" s="495" t="s">
        <v>4155</v>
      </c>
      <c r="E4321" s="689" t="s">
        <v>4154</v>
      </c>
      <c r="F4321" s="1021" t="s">
        <v>2519</v>
      </c>
      <c r="G4321" s="78"/>
      <c r="H4321"/>
    </row>
    <row r="4322" spans="1:10" s="39" customFormat="1" hidden="1" outlineLevel="1" x14ac:dyDescent="0.25">
      <c r="A4322" s="1101">
        <v>7.0000000000000007E-2</v>
      </c>
      <c r="B4322" s="755" t="s">
        <v>279</v>
      </c>
      <c r="C4322" s="1007">
        <v>45.975499999999997</v>
      </c>
      <c r="D4322" s="803">
        <v>50.21</v>
      </c>
      <c r="E4322" s="705">
        <v>9.2103402899370357E-2</v>
      </c>
      <c r="F4322" s="1021">
        <v>6.4472382029559256E-3</v>
      </c>
      <c r="G4322" s="78"/>
      <c r="H4322" t="s">
        <v>1468</v>
      </c>
    </row>
    <row r="4323" spans="1:10" s="39" customFormat="1" hidden="1" outlineLevel="1" x14ac:dyDescent="0.25">
      <c r="A4323" s="1102">
        <v>7.0000000000000007E-2</v>
      </c>
      <c r="B4323" s="743" t="s">
        <v>1441</v>
      </c>
      <c r="C4323" s="1008">
        <v>19.972999999999999</v>
      </c>
      <c r="D4323" s="908">
        <v>9.81</v>
      </c>
      <c r="E4323" s="709">
        <v>-0.5088369298553046</v>
      </c>
      <c r="F4323" s="946">
        <v>-3.5618585089871327E-2</v>
      </c>
      <c r="G4323" s="78"/>
      <c r="H4323" t="s">
        <v>1978</v>
      </c>
    </row>
    <row r="4324" spans="1:10" s="39" customFormat="1" hidden="1" outlineLevel="1" x14ac:dyDescent="0.25">
      <c r="A4324" s="1102">
        <v>7.0000000000000007E-2</v>
      </c>
      <c r="B4324" s="743" t="s">
        <v>1183</v>
      </c>
      <c r="C4324" s="1008">
        <v>56.207999999999998</v>
      </c>
      <c r="D4324" s="908">
        <v>39.704999999999998</v>
      </c>
      <c r="E4324" s="709">
        <v>-0.2936058923996584</v>
      </c>
      <c r="F4324" s="946">
        <v>-2.0552412467976091E-2</v>
      </c>
      <c r="G4324" s="78"/>
      <c r="H4324" t="s">
        <v>2805</v>
      </c>
      <c r="J4324" s="341"/>
    </row>
    <row r="4325" spans="1:10" s="39" customFormat="1" hidden="1" outlineLevel="1" x14ac:dyDescent="0.25">
      <c r="A4325" s="1102">
        <v>0.05</v>
      </c>
      <c r="B4325" s="743" t="s">
        <v>4002</v>
      </c>
      <c r="C4325" s="1008">
        <v>10.383699999999999</v>
      </c>
      <c r="D4325" s="908">
        <v>12.23</v>
      </c>
      <c r="E4325" s="709">
        <v>0.17780752525593013</v>
      </c>
      <c r="F4325" s="946">
        <v>8.890376262796507E-3</v>
      </c>
      <c r="G4325" s="78"/>
      <c r="H4325" t="s">
        <v>168</v>
      </c>
    </row>
    <row r="4326" spans="1:10" s="39" customFormat="1" hidden="1" outlineLevel="1" x14ac:dyDescent="0.25">
      <c r="A4326" s="1102">
        <v>7.0000000000000007E-2</v>
      </c>
      <c r="B4326" s="740" t="s">
        <v>583</v>
      </c>
      <c r="C4326" s="1008">
        <v>431.35</v>
      </c>
      <c r="D4326" s="908">
        <v>336.6</v>
      </c>
      <c r="E4326" s="709">
        <v>-0.21965920945867623</v>
      </c>
      <c r="F4326" s="946">
        <v>-1.5376144662107337E-2</v>
      </c>
      <c r="G4326" s="78"/>
      <c r="H4326" t="s">
        <v>1594</v>
      </c>
    </row>
    <row r="4327" spans="1:10" s="39" customFormat="1" hidden="1" outlineLevel="1" x14ac:dyDescent="0.25">
      <c r="A4327" s="1102">
        <v>7.0000000000000007E-2</v>
      </c>
      <c r="B4327" s="743" t="s">
        <v>2682</v>
      </c>
      <c r="C4327" s="1008">
        <v>723.5</v>
      </c>
      <c r="D4327" s="908">
        <v>368.5</v>
      </c>
      <c r="E4327" s="709">
        <v>-0.49067035245335178</v>
      </c>
      <c r="F4327" s="946">
        <v>-3.4346924671734627E-2</v>
      </c>
      <c r="G4327" s="78"/>
      <c r="H4327" t="s">
        <v>2387</v>
      </c>
      <c r="J4327" s="341"/>
    </row>
    <row r="4328" spans="1:10" s="39" customFormat="1" hidden="1" outlineLevel="1" x14ac:dyDescent="0.25">
      <c r="A4328" s="1102">
        <v>7.0000000000000007E-2</v>
      </c>
      <c r="B4328" s="743" t="s">
        <v>4003</v>
      </c>
      <c r="C4328" s="1008">
        <v>693.85</v>
      </c>
      <c r="D4328" s="908">
        <v>1124</v>
      </c>
      <c r="E4328" s="709">
        <v>0.61994667435324624</v>
      </c>
      <c r="F4328" s="946">
        <v>4.3396267204727244E-2</v>
      </c>
      <c r="G4328" s="78"/>
      <c r="H4328" t="s">
        <v>169</v>
      </c>
      <c r="J4328" s="341"/>
    </row>
    <row r="4329" spans="1:10" s="39" customFormat="1" hidden="1" outlineLevel="1" x14ac:dyDescent="0.25">
      <c r="A4329" s="1102">
        <v>0.04</v>
      </c>
      <c r="B4329" s="740" t="s">
        <v>1214</v>
      </c>
      <c r="C4329" s="1008">
        <v>89.254000000000005</v>
      </c>
      <c r="D4329" s="908">
        <v>75.42</v>
      </c>
      <c r="E4329" s="709">
        <v>-0.15499585452752818</v>
      </c>
      <c r="F4329" s="946">
        <v>-6.1998341811011276E-3</v>
      </c>
      <c r="G4329" s="78"/>
      <c r="H4329" t="s">
        <v>3775</v>
      </c>
    </row>
    <row r="4330" spans="1:10" s="39" customFormat="1" hidden="1" outlineLevel="1" x14ac:dyDescent="0.25">
      <c r="A4330" s="1102">
        <v>0.05</v>
      </c>
      <c r="B4330" s="743" t="s">
        <v>3797</v>
      </c>
      <c r="C4330" s="1008">
        <v>51.870000000000005</v>
      </c>
      <c r="D4330" s="908">
        <v>59.35</v>
      </c>
      <c r="E4330" s="709">
        <v>0.14420667052245983</v>
      </c>
      <c r="F4330" s="946">
        <v>7.2103335261229917E-3</v>
      </c>
      <c r="G4330" s="78"/>
      <c r="H4330" t="s">
        <v>3848</v>
      </c>
    </row>
    <row r="4331" spans="1:10" s="39" customFormat="1" hidden="1" outlineLevel="1" x14ac:dyDescent="0.25">
      <c r="A4331" s="1102">
        <v>0.02</v>
      </c>
      <c r="B4331" s="743" t="s">
        <v>2777</v>
      </c>
      <c r="C4331" s="1008">
        <v>3724.4</v>
      </c>
      <c r="D4331" s="908">
        <v>2735.5</v>
      </c>
      <c r="E4331" s="709">
        <v>-0.26551927827301047</v>
      </c>
      <c r="F4331" s="946">
        <v>-5.3103855654602098E-3</v>
      </c>
      <c r="G4331" s="78"/>
      <c r="H4331" t="s">
        <v>1946</v>
      </c>
    </row>
    <row r="4332" spans="1:10" s="39" customFormat="1" hidden="1" outlineLevel="1" x14ac:dyDescent="0.25">
      <c r="A4332" s="1102">
        <v>0.02</v>
      </c>
      <c r="B4332" s="743" t="s">
        <v>53</v>
      </c>
      <c r="C4332" s="1008">
        <v>55.767000000000003</v>
      </c>
      <c r="D4332" s="908">
        <v>49.55</v>
      </c>
      <c r="E4332" s="709">
        <v>-0.11148170064733631</v>
      </c>
      <c r="F4332" s="946">
        <v>-2.2296340129467265E-3</v>
      </c>
      <c r="G4332" s="78"/>
      <c r="H4332" t="s">
        <v>2751</v>
      </c>
    </row>
    <row r="4333" spans="1:10" s="39" customFormat="1" hidden="1" outlineLevel="1" x14ac:dyDescent="0.25">
      <c r="A4333" s="1102">
        <v>0.02</v>
      </c>
      <c r="B4333" s="743" t="s">
        <v>1528</v>
      </c>
      <c r="C4333" s="1008">
        <v>80.015000000000001</v>
      </c>
      <c r="D4333" s="908">
        <v>129.80000000000001</v>
      </c>
      <c r="E4333" s="709">
        <v>0.62219583828032254</v>
      </c>
      <c r="F4333" s="946">
        <v>1.2443916765606451E-2</v>
      </c>
      <c r="G4333" s="78"/>
      <c r="H4333" t="s">
        <v>4149</v>
      </c>
    </row>
    <row r="4334" spans="1:10" s="39" customFormat="1" hidden="1" outlineLevel="1" x14ac:dyDescent="0.25">
      <c r="A4334" s="1102">
        <v>0.03</v>
      </c>
      <c r="B4334" s="743" t="s">
        <v>2681</v>
      </c>
      <c r="C4334" s="1008">
        <v>122.64</v>
      </c>
      <c r="D4334" s="908">
        <v>58.55</v>
      </c>
      <c r="E4334" s="709">
        <v>-0.52258643183300713</v>
      </c>
      <c r="F4334" s="946">
        <v>-1.5677592954990213E-2</v>
      </c>
      <c r="G4334" s="78"/>
      <c r="H4334" t="s">
        <v>2386</v>
      </c>
    </row>
    <row r="4335" spans="1:10" s="39" customFormat="1" hidden="1" outlineLevel="1" x14ac:dyDescent="0.25">
      <c r="A4335" s="1102">
        <v>0.06</v>
      </c>
      <c r="B4335" s="743" t="s">
        <v>2779</v>
      </c>
      <c r="C4335" s="1008">
        <v>226.65</v>
      </c>
      <c r="D4335" s="908">
        <v>162.1</v>
      </c>
      <c r="E4335" s="709">
        <v>-0.28480035296713002</v>
      </c>
      <c r="F4335" s="946">
        <v>-1.7088021178027799E-2</v>
      </c>
      <c r="G4335" s="78"/>
      <c r="H4335" t="s">
        <v>1948</v>
      </c>
    </row>
    <row r="4336" spans="1:10" s="39" customFormat="1" hidden="1" outlineLevel="1" x14ac:dyDescent="0.25">
      <c r="A4336" s="1102">
        <v>0.05</v>
      </c>
      <c r="B4336" s="743" t="s">
        <v>64</v>
      </c>
      <c r="C4336" s="1008">
        <v>81.77</v>
      </c>
      <c r="D4336" s="908">
        <v>125.25</v>
      </c>
      <c r="E4336" s="709">
        <v>0.53173535526476701</v>
      </c>
      <c r="F4336" s="946">
        <v>2.6586767763238352E-2</v>
      </c>
      <c r="G4336" s="78"/>
      <c r="H4336" t="s">
        <v>2388</v>
      </c>
    </row>
    <row r="4337" spans="1:8" s="39" customFormat="1" hidden="1" outlineLevel="1" x14ac:dyDescent="0.25">
      <c r="A4337" s="1102">
        <v>0.03</v>
      </c>
      <c r="B4337" s="743" t="s">
        <v>4496</v>
      </c>
      <c r="C4337" s="1008">
        <v>45.841000000000001</v>
      </c>
      <c r="D4337" s="908">
        <v>55.72</v>
      </c>
      <c r="E4337" s="709">
        <v>0.21550576994393666</v>
      </c>
      <c r="F4337" s="946">
        <v>6.4651730983180996E-3</v>
      </c>
      <c r="G4337" s="78"/>
      <c r="H4337" t="s">
        <v>2385</v>
      </c>
    </row>
    <row r="4338" spans="1:8" s="39" customFormat="1" hidden="1" outlineLevel="1" x14ac:dyDescent="0.25">
      <c r="A4338" s="1102">
        <v>0.02</v>
      </c>
      <c r="B4338" s="743" t="s">
        <v>280</v>
      </c>
      <c r="C4338" s="1008">
        <v>52.11</v>
      </c>
      <c r="D4338" s="908">
        <v>45.82</v>
      </c>
      <c r="E4338" s="709">
        <v>-0.12070619842640562</v>
      </c>
      <c r="F4338" s="946">
        <v>-2.4141239685281125E-3</v>
      </c>
      <c r="G4338" s="78"/>
      <c r="H4338" t="s">
        <v>1469</v>
      </c>
    </row>
    <row r="4339" spans="1:8" s="39" customFormat="1" hidden="1" outlineLevel="1" x14ac:dyDescent="0.25">
      <c r="A4339" s="1102">
        <v>0.04</v>
      </c>
      <c r="B4339" s="743" t="s">
        <v>2778</v>
      </c>
      <c r="C4339" s="1008">
        <v>1512</v>
      </c>
      <c r="D4339" s="908">
        <v>1391.5</v>
      </c>
      <c r="E4339" s="709">
        <v>-7.9695767195767209E-2</v>
      </c>
      <c r="F4339" s="946">
        <v>-3.1878306878306882E-3</v>
      </c>
      <c r="G4339" s="78"/>
      <c r="H4339" t="s">
        <v>1947</v>
      </c>
    </row>
    <row r="4340" spans="1:8" s="39" customFormat="1" hidden="1" outlineLevel="1" x14ac:dyDescent="0.25">
      <c r="A4340" s="1102">
        <v>0.02</v>
      </c>
      <c r="B4340" s="743" t="s">
        <v>65</v>
      </c>
      <c r="C4340" s="1008">
        <v>485.65</v>
      </c>
      <c r="D4340" s="908">
        <v>71.3</v>
      </c>
      <c r="E4340" s="709">
        <v>-0.85318645114794611</v>
      </c>
      <c r="F4340" s="946">
        <v>-1.7063729022958923E-2</v>
      </c>
      <c r="G4340" s="78"/>
      <c r="H4340" t="s">
        <v>4065</v>
      </c>
    </row>
    <row r="4341" spans="1:8" s="39" customFormat="1" hidden="1" outlineLevel="1" x14ac:dyDescent="0.25">
      <c r="A4341" s="1102">
        <v>0.03</v>
      </c>
      <c r="B4341" s="743" t="s">
        <v>1442</v>
      </c>
      <c r="C4341" s="1008">
        <v>48.728999999999999</v>
      </c>
      <c r="D4341" s="908">
        <v>50.72</v>
      </c>
      <c r="E4341" s="709">
        <v>4.0858626280038557E-2</v>
      </c>
      <c r="F4341" s="946">
        <v>1.2257587884011566E-3</v>
      </c>
      <c r="G4341" s="78"/>
      <c r="H4341" t="s">
        <v>2384</v>
      </c>
    </row>
    <row r="4342" spans="1:8" s="39" customFormat="1" hidden="1" outlineLevel="1" x14ac:dyDescent="0.25">
      <c r="A4342" s="1102">
        <v>0.02</v>
      </c>
      <c r="B4342" s="743" t="s">
        <v>2704</v>
      </c>
      <c r="C4342" s="1008">
        <v>106.97499999999999</v>
      </c>
      <c r="D4342" s="908">
        <v>148.19999999999999</v>
      </c>
      <c r="E4342" s="709">
        <v>0.38537041364804847</v>
      </c>
      <c r="F4342" s="946">
        <v>7.7074082729609696E-3</v>
      </c>
      <c r="G4342" s="78"/>
      <c r="H4342" t="s">
        <v>167</v>
      </c>
    </row>
    <row r="4343" spans="1:8" s="39" customFormat="1" hidden="1" outlineLevel="1" x14ac:dyDescent="0.25">
      <c r="A4343" s="1102">
        <v>0.02</v>
      </c>
      <c r="B4343" s="743" t="s">
        <v>2703</v>
      </c>
      <c r="C4343" s="1008">
        <v>89.616</v>
      </c>
      <c r="D4343" s="908">
        <v>92.6</v>
      </c>
      <c r="E4343" s="709">
        <v>3.3297625424031363E-2</v>
      </c>
      <c r="F4343" s="946">
        <v>6.6595250848062732E-4</v>
      </c>
      <c r="G4343" s="78"/>
      <c r="H4343" t="s">
        <v>2780</v>
      </c>
    </row>
    <row r="4344" spans="1:8" s="39" customFormat="1" hidden="1" outlineLevel="1" x14ac:dyDescent="0.25">
      <c r="A4344" s="1102">
        <v>0.02</v>
      </c>
      <c r="B4344" s="743" t="s">
        <v>1440</v>
      </c>
      <c r="C4344" s="1008">
        <v>68.034999999999997</v>
      </c>
      <c r="D4344" s="908">
        <v>106.31</v>
      </c>
      <c r="E4344" s="709">
        <v>0.56257808480928939</v>
      </c>
      <c r="F4344" s="946">
        <v>1.1251561696185788E-2</v>
      </c>
      <c r="G4344" s="78"/>
      <c r="H4344" t="s">
        <v>2569</v>
      </c>
    </row>
    <row r="4345" spans="1:8" s="39" customFormat="1" hidden="1" outlineLevel="1" x14ac:dyDescent="0.25">
      <c r="A4345" s="1102">
        <v>0.02</v>
      </c>
      <c r="B4345" s="743" t="s">
        <v>3938</v>
      </c>
      <c r="C4345" s="1008">
        <v>2751.6</v>
      </c>
      <c r="D4345" s="908">
        <v>3560</v>
      </c>
      <c r="E4345" s="709">
        <v>0.29379270242767852</v>
      </c>
      <c r="F4345" s="946">
        <v>5.8758540485535707E-3</v>
      </c>
      <c r="G4345" s="78"/>
      <c r="H4345" t="s">
        <v>1945</v>
      </c>
    </row>
    <row r="4346" spans="1:8" s="39" customFormat="1" hidden="1" outlineLevel="1" x14ac:dyDescent="0.25">
      <c r="A4346" s="1102">
        <v>0.02</v>
      </c>
      <c r="B4346" s="824" t="s">
        <v>3023</v>
      </c>
      <c r="C4346" s="1008">
        <v>67.534000000000006</v>
      </c>
      <c r="D4346" s="908">
        <v>67.19</v>
      </c>
      <c r="E4346" s="709">
        <v>-5.0937305653450116E-3</v>
      </c>
      <c r="F4346" s="946">
        <v>-1.0187461130690024E-4</v>
      </c>
      <c r="G4346" s="78"/>
      <c r="H4346" t="s">
        <v>2815</v>
      </c>
    </row>
    <row r="4347" spans="1:8" s="39" customFormat="1" hidden="1" outlineLevel="1" x14ac:dyDescent="0.25">
      <c r="A4347" s="1103"/>
      <c r="B4347" s="1104"/>
      <c r="C4347" s="1105"/>
      <c r="D4347" s="1105"/>
      <c r="E4347" s="907"/>
      <c r="F4347" s="1188">
        <v>-3.7000484936492391E-2</v>
      </c>
      <c r="G4347" s="78"/>
      <c r="H4347"/>
    </row>
    <row r="4348" spans="1:8" s="39" customFormat="1" hidden="1" outlineLevel="1" x14ac:dyDescent="0.25">
      <c r="A4348" s="751" t="s">
        <v>4006</v>
      </c>
      <c r="B4348" s="985">
        <v>39387</v>
      </c>
      <c r="C4348" s="727">
        <v>100</v>
      </c>
      <c r="D4348" s="814">
        <v>103.5368</v>
      </c>
      <c r="E4348" s="716">
        <v>3.5368000000000066E-2</v>
      </c>
      <c r="F4348" s="731">
        <v>3.5368000000000066E-2</v>
      </c>
      <c r="G4348" s="78"/>
      <c r="H4348"/>
    </row>
    <row r="4349" spans="1:8" s="39" customFormat="1" hidden="1" outlineLevel="1" x14ac:dyDescent="0.25">
      <c r="A4349" s="751" t="s">
        <v>4007</v>
      </c>
      <c r="B4349" s="985">
        <v>39479</v>
      </c>
      <c r="C4349" s="727">
        <v>100</v>
      </c>
      <c r="D4349" s="814">
        <v>93.065399999999997</v>
      </c>
      <c r="E4349" s="716">
        <v>-6.9346000000000019E-2</v>
      </c>
      <c r="F4349" s="731">
        <v>-6.9346000000000019E-2</v>
      </c>
      <c r="G4349" s="78"/>
      <c r="H4349"/>
    </row>
    <row r="4350" spans="1:8" s="39" customFormat="1" hidden="1" outlineLevel="1" x14ac:dyDescent="0.25">
      <c r="A4350" s="751" t="s">
        <v>4008</v>
      </c>
      <c r="B4350" s="985">
        <v>39569</v>
      </c>
      <c r="C4350" s="727">
        <v>100</v>
      </c>
      <c r="D4350" s="814">
        <v>97.634</v>
      </c>
      <c r="E4350" s="716">
        <v>-2.3660000000000014E-2</v>
      </c>
      <c r="F4350" s="731">
        <v>-2.3660000000000014E-2</v>
      </c>
      <c r="G4350" s="78"/>
      <c r="H4350"/>
    </row>
    <row r="4351" spans="1:8" s="39" customFormat="1" hidden="1" outlineLevel="1" x14ac:dyDescent="0.25">
      <c r="A4351" s="751" t="s">
        <v>2691</v>
      </c>
      <c r="B4351" s="985">
        <v>39661</v>
      </c>
      <c r="C4351" s="727">
        <v>100</v>
      </c>
      <c r="D4351" s="814">
        <v>86.598799999999997</v>
      </c>
      <c r="E4351" s="716">
        <v>-0.13401200000000002</v>
      </c>
      <c r="F4351" s="731">
        <v>-0.13401200000000002</v>
      </c>
      <c r="G4351" s="78"/>
      <c r="H4351"/>
    </row>
    <row r="4352" spans="1:8" s="39" customFormat="1" hidden="1" outlineLevel="1" x14ac:dyDescent="0.25">
      <c r="A4352" s="751" t="s">
        <v>917</v>
      </c>
      <c r="B4352" s="985">
        <v>39753</v>
      </c>
      <c r="C4352" s="727">
        <v>100</v>
      </c>
      <c r="D4352" s="814">
        <v>61.603000000000002</v>
      </c>
      <c r="E4352" s="716">
        <v>-0.38397000000000003</v>
      </c>
      <c r="F4352" s="731">
        <v>-0.38397000000000003</v>
      </c>
      <c r="G4352" s="78"/>
      <c r="H4352"/>
    </row>
    <row r="4353" spans="1:9" s="39" customFormat="1" hidden="1" outlineLevel="1" x14ac:dyDescent="0.25">
      <c r="A4353" s="751" t="s">
        <v>918</v>
      </c>
      <c r="B4353" s="985">
        <v>39845</v>
      </c>
      <c r="C4353" s="727">
        <v>100</v>
      </c>
      <c r="D4353" s="814">
        <v>54.23</v>
      </c>
      <c r="E4353" s="716">
        <v>-0.4577</v>
      </c>
      <c r="F4353" s="731">
        <v>-0.4577</v>
      </c>
      <c r="G4353" s="78"/>
      <c r="H4353"/>
    </row>
    <row r="4354" spans="1:9" s="39" customFormat="1" hidden="1" outlineLevel="1" x14ac:dyDescent="0.25">
      <c r="A4354" s="751" t="s">
        <v>1860</v>
      </c>
      <c r="B4354" s="985">
        <v>39934</v>
      </c>
      <c r="C4354" s="727">
        <v>100</v>
      </c>
      <c r="D4354" s="814">
        <v>62.9985</v>
      </c>
      <c r="E4354" s="716">
        <v>-0.37001499999999998</v>
      </c>
      <c r="F4354" s="731">
        <v>-0.37001499999999998</v>
      </c>
      <c r="G4354" s="78"/>
      <c r="H4354"/>
    </row>
    <row r="4355" spans="1:9" s="39" customFormat="1" hidden="1" outlineLevel="1" x14ac:dyDescent="0.25">
      <c r="A4355" s="751" t="s">
        <v>1861</v>
      </c>
      <c r="B4355" s="985">
        <v>40026</v>
      </c>
      <c r="C4355" s="727">
        <v>100</v>
      </c>
      <c r="D4355" s="814">
        <v>73.038899999999998</v>
      </c>
      <c r="E4355" s="716">
        <v>-0.26961100000000005</v>
      </c>
      <c r="F4355" s="731">
        <v>-0.26961100000000005</v>
      </c>
      <c r="G4355" s="78"/>
      <c r="H4355"/>
    </row>
    <row r="4356" spans="1:9" s="39" customFormat="1" hidden="1" outlineLevel="1" x14ac:dyDescent="0.25">
      <c r="A4356" s="751" t="s">
        <v>1862</v>
      </c>
      <c r="B4356" s="985">
        <v>40118</v>
      </c>
      <c r="C4356" s="727">
        <v>100</v>
      </c>
      <c r="D4356" s="814">
        <v>79.778000000000006</v>
      </c>
      <c r="E4356" s="716">
        <v>-0.20221999999999996</v>
      </c>
      <c r="F4356" s="731">
        <v>-0.20221999999999996</v>
      </c>
      <c r="G4356" s="78"/>
      <c r="H4356"/>
    </row>
    <row r="4357" spans="1:9" s="39" customFormat="1" hidden="1" outlineLevel="1" x14ac:dyDescent="0.25">
      <c r="A4357" s="751" t="s">
        <v>1863</v>
      </c>
      <c r="B4357" s="985">
        <v>40210</v>
      </c>
      <c r="C4357" s="727">
        <v>100</v>
      </c>
      <c r="D4357" s="814">
        <v>82.4114</v>
      </c>
      <c r="E4357" s="716">
        <v>-0.17588599999999999</v>
      </c>
      <c r="F4357" s="731">
        <v>-0.17588599999999999</v>
      </c>
      <c r="G4357" s="78"/>
      <c r="H4357"/>
    </row>
    <row r="4358" spans="1:9" s="39" customFormat="1" hidden="1" outlineLevel="1" x14ac:dyDescent="0.25">
      <c r="A4358" s="751" t="s">
        <v>1864</v>
      </c>
      <c r="B4358" s="985">
        <v>40299</v>
      </c>
      <c r="C4358" s="727">
        <v>100</v>
      </c>
      <c r="D4358" s="814">
        <v>83.762200000000007</v>
      </c>
      <c r="E4358" s="716">
        <v>-0.16237799999999991</v>
      </c>
      <c r="F4358" s="731">
        <v>-0.16237799999999991</v>
      </c>
      <c r="G4358" s="78"/>
      <c r="H4358"/>
    </row>
    <row r="4359" spans="1:9" s="39" customFormat="1" hidden="1" outlineLevel="1" x14ac:dyDescent="0.25">
      <c r="A4359" s="751" t="s">
        <v>1865</v>
      </c>
      <c r="B4359" s="985">
        <v>40391</v>
      </c>
      <c r="C4359" s="727">
        <v>100</v>
      </c>
      <c r="D4359" s="814">
        <v>85.273499999999999</v>
      </c>
      <c r="E4359" s="716">
        <v>-0.14726499999999998</v>
      </c>
      <c r="F4359" s="731">
        <v>-0.14726499999999998</v>
      </c>
      <c r="G4359" s="78"/>
      <c r="H4359"/>
    </row>
    <row r="4360" spans="1:9" s="39" customFormat="1" hidden="1" outlineLevel="1" x14ac:dyDescent="0.25">
      <c r="A4360" s="751" t="s">
        <v>3523</v>
      </c>
      <c r="B4360" s="985">
        <v>40483</v>
      </c>
      <c r="C4360" s="727">
        <v>100</v>
      </c>
      <c r="D4360" s="814">
        <v>96.0809</v>
      </c>
      <c r="E4360" s="716">
        <v>-3.9190999999999976E-2</v>
      </c>
      <c r="F4360" s="731">
        <v>-3.9190999999999976E-2</v>
      </c>
      <c r="G4360" s="78"/>
      <c r="H4360"/>
    </row>
    <row r="4361" spans="1:9" s="39" customFormat="1" hidden="1" outlineLevel="1" x14ac:dyDescent="0.25">
      <c r="A4361" s="751" t="s">
        <v>3524</v>
      </c>
      <c r="B4361" s="985">
        <v>40575</v>
      </c>
      <c r="C4361" s="727">
        <v>100</v>
      </c>
      <c r="D4361" s="814">
        <v>102.3139</v>
      </c>
      <c r="E4361" s="716">
        <v>2.3139000000000021E-2</v>
      </c>
      <c r="F4361" s="731">
        <v>2.3139000000000021E-2</v>
      </c>
      <c r="G4361" s="78"/>
      <c r="H4361"/>
    </row>
    <row r="4362" spans="1:9" s="39" customFormat="1" hidden="1" outlineLevel="1" x14ac:dyDescent="0.25">
      <c r="A4362" s="751" t="s">
        <v>3525</v>
      </c>
      <c r="B4362" s="985">
        <v>40664</v>
      </c>
      <c r="C4362" s="727">
        <v>100</v>
      </c>
      <c r="D4362" s="814">
        <v>105.73650000000001</v>
      </c>
      <c r="E4362" s="716">
        <v>5.736500000000011E-2</v>
      </c>
      <c r="F4362" s="731">
        <v>5.736500000000011E-2</v>
      </c>
      <c r="G4362" s="78"/>
      <c r="H4362"/>
    </row>
    <row r="4363" spans="1:9" s="39" customFormat="1" hidden="1" outlineLevel="1" x14ac:dyDescent="0.25">
      <c r="A4363" s="751" t="s">
        <v>949</v>
      </c>
      <c r="B4363" s="985">
        <v>40756</v>
      </c>
      <c r="C4363" s="727">
        <v>100</v>
      </c>
      <c r="D4363" s="814">
        <v>93.633300000000006</v>
      </c>
      <c r="E4363" s="716">
        <v>-6.3666999999999918E-2</v>
      </c>
      <c r="F4363" s="731">
        <v>-6.3666999999999918E-2</v>
      </c>
      <c r="G4363" s="78"/>
      <c r="H4363"/>
    </row>
    <row r="4364" spans="1:9" s="39" customFormat="1" hidden="1" outlineLevel="1" x14ac:dyDescent="0.25">
      <c r="A4364" s="751" t="s">
        <v>764</v>
      </c>
      <c r="B4364" s="985">
        <v>40848</v>
      </c>
      <c r="C4364" s="727">
        <v>100</v>
      </c>
      <c r="D4364" s="814">
        <v>93.632800000000003</v>
      </c>
      <c r="E4364" s="716">
        <v>-6.3671999999999951E-2</v>
      </c>
      <c r="F4364" s="731">
        <v>-6.3671999999999951E-2</v>
      </c>
      <c r="G4364" s="78"/>
      <c r="H4364"/>
    </row>
    <row r="4365" spans="1:9" s="39" customFormat="1" hidden="1" outlineLevel="1" x14ac:dyDescent="0.25">
      <c r="A4365" s="751" t="s">
        <v>765</v>
      </c>
      <c r="B4365" s="985">
        <v>40940</v>
      </c>
      <c r="C4365" s="727">
        <v>100</v>
      </c>
      <c r="D4365" s="814">
        <v>101.4528</v>
      </c>
      <c r="E4365" s="716">
        <v>1.4527999999999874E-2</v>
      </c>
      <c r="F4365" s="731">
        <v>1.4527999999999874E-2</v>
      </c>
      <c r="G4365" s="78"/>
      <c r="H4365"/>
    </row>
    <row r="4366" spans="1:9" s="39" customFormat="1" hidden="1" outlineLevel="1" x14ac:dyDescent="0.25">
      <c r="A4366" s="751" t="s">
        <v>1378</v>
      </c>
      <c r="B4366" s="985">
        <v>41030</v>
      </c>
      <c r="C4366" s="727">
        <v>100</v>
      </c>
      <c r="D4366" s="814">
        <v>94.451400000000007</v>
      </c>
      <c r="E4366" s="716">
        <v>-5.5485999999999924E-2</v>
      </c>
      <c r="F4366" s="731">
        <v>-5.5485999999999924E-2</v>
      </c>
      <c r="G4366" s="78"/>
      <c r="H4366"/>
    </row>
    <row r="4367" spans="1:9" s="39" customFormat="1" hidden="1" outlineLevel="1" x14ac:dyDescent="0.25">
      <c r="A4367" s="751" t="s">
        <v>1379</v>
      </c>
      <c r="B4367" s="985">
        <v>41122</v>
      </c>
      <c r="C4367" s="727">
        <v>100</v>
      </c>
      <c r="D4367" s="814">
        <v>100.02209999999999</v>
      </c>
      <c r="E4367" s="716">
        <v>2.2100000000002673E-4</v>
      </c>
      <c r="F4367" s="731">
        <v>2.2100000000002673E-4</v>
      </c>
      <c r="G4367" s="78"/>
      <c r="H4367" s="412" t="s">
        <v>1837</v>
      </c>
      <c r="I4367" s="412" t="s">
        <v>1932</v>
      </c>
    </row>
    <row r="4368" spans="1:9" s="39" customFormat="1" hidden="1" outlineLevel="1" x14ac:dyDescent="0.25">
      <c r="A4368" s="749"/>
      <c r="B4368" s="750"/>
      <c r="C4368" s="727"/>
      <c r="D4368" s="727"/>
      <c r="E4368" s="720"/>
      <c r="F4368" s="731"/>
      <c r="G4368" s="78"/>
      <c r="H4368" s="261">
        <v>-0.12437290000000001</v>
      </c>
      <c r="I4368" s="225">
        <v>-0.13681019000000003</v>
      </c>
    </row>
    <row r="4369" spans="1:9" s="39" customFormat="1" collapsed="1" x14ac:dyDescent="0.25">
      <c r="A4369" s="3801" t="s">
        <v>1559</v>
      </c>
      <c r="B4369" s="3802"/>
      <c r="C4369" s="3802"/>
      <c r="D4369" s="3802"/>
      <c r="E4369" s="782" t="s">
        <v>2722</v>
      </c>
      <c r="F4369" s="722">
        <v>0</v>
      </c>
      <c r="G4369" s="97" t="s">
        <v>781</v>
      </c>
      <c r="H4369"/>
    </row>
    <row r="4370" spans="1:9" s="39" customFormat="1" x14ac:dyDescent="0.25">
      <c r="A4370" s="180"/>
      <c r="B4370" s="181"/>
      <c r="C4370" s="181"/>
      <c r="D4370" s="181"/>
      <c r="E4370" s="182"/>
      <c r="F4370" s="182"/>
      <c r="G4370" s="12"/>
    </row>
    <row r="4371" spans="1:9" s="39" customFormat="1" hidden="1" outlineLevel="1" x14ac:dyDescent="0.25">
      <c r="A4371" s="689" t="s">
        <v>113</v>
      </c>
      <c r="B4371" s="689" t="s">
        <v>114</v>
      </c>
      <c r="C4371" s="689" t="s">
        <v>112</v>
      </c>
      <c r="D4371" s="689" t="s">
        <v>4155</v>
      </c>
      <c r="E4371" s="689" t="s">
        <v>117</v>
      </c>
      <c r="F4371" s="731" t="s">
        <v>121</v>
      </c>
      <c r="G4371" s="12"/>
      <c r="H4371" s="173" t="s">
        <v>1515</v>
      </c>
      <c r="I4371" s="173" t="s">
        <v>116</v>
      </c>
    </row>
    <row r="4372" spans="1:9" s="39" customFormat="1" hidden="1" outlineLevel="1" x14ac:dyDescent="0.25">
      <c r="A4372" s="732" t="s">
        <v>3854</v>
      </c>
      <c r="B4372" s="1045" t="s">
        <v>992</v>
      </c>
      <c r="C4372" s="1046">
        <v>0.29909999999999998</v>
      </c>
      <c r="D4372" s="1106">
        <f>VLOOKUP(B4372,indexy!A:D,2,0)</f>
        <v>0</v>
      </c>
      <c r="E4372" s="3819">
        <f>(D4372/C4372*0.33+D4373/C4373*0.33+D4374/C4374*0.33)-1</f>
        <v>-1</v>
      </c>
      <c r="F4372" s="3816">
        <f>E4372*parametry!N166</f>
        <v>-2.8</v>
      </c>
      <c r="G4372" s="12"/>
      <c r="H4372" s="44">
        <f>1/C4372</f>
        <v>3.3433634236041461</v>
      </c>
      <c r="I4372" s="44">
        <v>4.2408999999999999</v>
      </c>
    </row>
    <row r="4373" spans="1:9" s="39" customFormat="1" hidden="1" outlineLevel="1" x14ac:dyDescent="0.25">
      <c r="A4373" s="732" t="s">
        <v>3854</v>
      </c>
      <c r="B4373" s="1047" t="s">
        <v>1990</v>
      </c>
      <c r="C4373" s="1048">
        <v>0.2641</v>
      </c>
      <c r="D4373" s="1106">
        <f>VLOOKUP(B4373,indexy!A:D,2,0)</f>
        <v>0</v>
      </c>
      <c r="E4373" s="3820"/>
      <c r="F4373" s="3817"/>
      <c r="G4373" s="12"/>
      <c r="H4373" s="44">
        <f>1/C4373</f>
        <v>3.7864445285876562</v>
      </c>
      <c r="I4373" s="44">
        <v>3.9933000000000001</v>
      </c>
    </row>
    <row r="4374" spans="1:9" s="39" customFormat="1" hidden="1" outlineLevel="1" x14ac:dyDescent="0.25">
      <c r="A4374" s="732" t="s">
        <v>3854</v>
      </c>
      <c r="B4374" s="1049" t="s">
        <v>1991</v>
      </c>
      <c r="C4374" s="1050">
        <v>3.6299999999999999E-2</v>
      </c>
      <c r="D4374" s="1106">
        <f>VLOOKUP(B4374,indexy!A:D,2,0)</f>
        <v>0</v>
      </c>
      <c r="E4374" s="3821"/>
      <c r="F4374" s="3818"/>
      <c r="G4374" s="12"/>
      <c r="H4374" s="44">
        <f>1/C4374</f>
        <v>27.548209366391184</v>
      </c>
      <c r="I4374" s="44">
        <v>24.788499999999999</v>
      </c>
    </row>
    <row r="4375" spans="1:9" s="39" customFormat="1" collapsed="1" x14ac:dyDescent="0.25">
      <c r="A4375" s="3801" t="s">
        <v>1610</v>
      </c>
      <c r="B4375" s="3802"/>
      <c r="C4375" s="3802"/>
      <c r="D4375" s="3802"/>
      <c r="E4375" s="782" t="s">
        <v>2722</v>
      </c>
      <c r="F4375" s="752">
        <f>MAX(F4372,0)</f>
        <v>0</v>
      </c>
      <c r="G4375" s="97" t="s">
        <v>781</v>
      </c>
      <c r="H4375" s="224"/>
    </row>
    <row r="4376" spans="1:9" s="39" customFormat="1" x14ac:dyDescent="0.25">
      <c r="A4376" s="180"/>
      <c r="B4376" s="181"/>
      <c r="C4376" s="181"/>
      <c r="D4376" s="181"/>
      <c r="E4376" s="152"/>
      <c r="F4376" s="1871"/>
      <c r="G4376" s="12"/>
    </row>
    <row r="4377" spans="1:9" s="39" customFormat="1" hidden="1" outlineLevel="1" x14ac:dyDescent="0.25">
      <c r="A4377" s="689" t="s">
        <v>113</v>
      </c>
      <c r="B4377" s="689" t="s">
        <v>114</v>
      </c>
      <c r="C4377" s="689" t="s">
        <v>112</v>
      </c>
      <c r="D4377" s="689" t="s">
        <v>116</v>
      </c>
      <c r="E4377" s="725" t="s">
        <v>117</v>
      </c>
      <c r="F4377" s="1188" t="s">
        <v>121</v>
      </c>
      <c r="G4377" s="78"/>
      <c r="H4377"/>
    </row>
    <row r="4378" spans="1:9" s="39" customFormat="1" hidden="1" outlineLevel="1" x14ac:dyDescent="0.25">
      <c r="A4378" s="690">
        <v>1</v>
      </c>
      <c r="B4378" s="691" t="s">
        <v>252</v>
      </c>
      <c r="C4378" s="692">
        <v>100</v>
      </c>
      <c r="D4378" s="692"/>
      <c r="E4378" s="693"/>
      <c r="F4378" s="700"/>
      <c r="G4378" s="78"/>
      <c r="H4378"/>
    </row>
    <row r="4379" spans="1:9" s="39" customFormat="1" hidden="1" outlineLevel="1" x14ac:dyDescent="0.25">
      <c r="A4379" s="695"/>
      <c r="B4379" s="695"/>
      <c r="C4379" s="696"/>
      <c r="D4379" s="697" t="s">
        <v>3702</v>
      </c>
      <c r="E4379" s="698">
        <v>40955</v>
      </c>
      <c r="F4379" s="1107"/>
      <c r="G4379" s="78"/>
      <c r="H4379"/>
    </row>
    <row r="4380" spans="1:9" s="39" customFormat="1" hidden="1" outlineLevel="1" x14ac:dyDescent="0.25">
      <c r="A4380" s="689" t="s">
        <v>4156</v>
      </c>
      <c r="B4380" s="689" t="s">
        <v>4153</v>
      </c>
      <c r="C4380" s="497" t="s">
        <v>112</v>
      </c>
      <c r="D4380" s="495" t="s">
        <v>4155</v>
      </c>
      <c r="E4380" s="725" t="s">
        <v>4154</v>
      </c>
      <c r="F4380" s="1021" t="s">
        <v>2519</v>
      </c>
      <c r="G4380" s="78"/>
      <c r="H4380"/>
    </row>
    <row r="4381" spans="1:9" s="39" customFormat="1" hidden="1" outlineLevel="1" x14ac:dyDescent="0.25">
      <c r="A4381" s="999">
        <v>0.04</v>
      </c>
      <c r="B4381" s="1000" t="s">
        <v>1993</v>
      </c>
      <c r="C4381" s="1007">
        <v>67.929000000000002</v>
      </c>
      <c r="D4381" s="803">
        <v>111.47999999999999</v>
      </c>
      <c r="E4381" s="705">
        <v>0.64112529258490469</v>
      </c>
      <c r="F4381" s="1021">
        <v>2.5645011703396187E-2</v>
      </c>
      <c r="G4381" s="78"/>
      <c r="H4381" t="str">
        <f>VLOOKUP(B4381,indexy!$A$44:$D$234,3,FALSE)</f>
        <v>MO UN Equity</v>
      </c>
      <c r="I4381" s="39" t="s">
        <v>3533</v>
      </c>
    </row>
    <row r="4382" spans="1:9" s="39" customFormat="1" hidden="1" outlineLevel="1" x14ac:dyDescent="0.25">
      <c r="A4382" s="1002">
        <v>0.04</v>
      </c>
      <c r="B4382" s="987" t="s">
        <v>2984</v>
      </c>
      <c r="C4382" s="1008">
        <v>16.324000000000002</v>
      </c>
      <c r="D4382" s="908">
        <v>6.8</v>
      </c>
      <c r="E4382" s="709">
        <v>-0.58343543249203633</v>
      </c>
      <c r="F4382" s="946">
        <v>-2.3337417299681452E-2</v>
      </c>
      <c r="G4382" s="78"/>
      <c r="H4382" t="str">
        <f>VLOOKUP(B4382,indexy!$A$44:$D$234,3,FALSE)</f>
        <v>BBVA SM Equity</v>
      </c>
    </row>
    <row r="4383" spans="1:9" s="39" customFormat="1" hidden="1" outlineLevel="1" x14ac:dyDescent="0.25">
      <c r="A4383" s="1002">
        <v>0.03</v>
      </c>
      <c r="B4383" s="996" t="s">
        <v>157</v>
      </c>
      <c r="C4383" s="1008">
        <v>13.106</v>
      </c>
      <c r="D4383" s="908">
        <v>6.2850000000000001</v>
      </c>
      <c r="E4383" s="709">
        <v>-0.52044864947352354</v>
      </c>
      <c r="F4383" s="946">
        <v>-1.5613459484205706E-2</v>
      </c>
      <c r="G4383" s="78"/>
      <c r="H4383" t="str">
        <f>VLOOKUP(B4383,indexy!$A$44:$D$234,3,FALSE)</f>
        <v>SAN SM Equity</v>
      </c>
    </row>
    <row r="4384" spans="1:9" s="39" customFormat="1" hidden="1" outlineLevel="1" x14ac:dyDescent="0.25">
      <c r="A4384" s="1002">
        <v>0.03</v>
      </c>
      <c r="B4384" s="996" t="s">
        <v>901</v>
      </c>
      <c r="C4384" s="1008">
        <v>1699.6</v>
      </c>
      <c r="D4384" s="908">
        <v>3148</v>
      </c>
      <c r="E4384" s="709">
        <v>0.85220051776888694</v>
      </c>
      <c r="F4384" s="946">
        <v>2.5566015533066606E-2</v>
      </c>
      <c r="G4384" s="78"/>
      <c r="H4384" t="str">
        <f>VLOOKUP(B4384,indexy!$A$44:$D$234,3,FALSE)</f>
        <v>BATS LN Equity</v>
      </c>
    </row>
    <row r="4385" spans="1:8" s="39" customFormat="1" hidden="1" outlineLevel="1" x14ac:dyDescent="0.25">
      <c r="A4385" s="1002">
        <v>0.03</v>
      </c>
      <c r="B4385" s="743" t="s">
        <v>1847</v>
      </c>
      <c r="C4385" s="1008">
        <v>469.11</v>
      </c>
      <c r="D4385" s="908">
        <v>32.71</v>
      </c>
      <c r="E4385" s="709">
        <v>-0.93027221760354717</v>
      </c>
      <c r="F4385" s="946">
        <v>-2.7908166528106414E-2</v>
      </c>
      <c r="G4385" s="78"/>
      <c r="H4385" t="str">
        <f>VLOOKUP(B4385,indexy!$A$44:$D$234,3,FALSE)</f>
        <v>C UN Equity</v>
      </c>
    </row>
    <row r="4386" spans="1:8" s="39" customFormat="1" hidden="1" outlineLevel="1" x14ac:dyDescent="0.25">
      <c r="A4386" s="1002">
        <v>0.02</v>
      </c>
      <c r="B4386" s="740" t="s">
        <v>1212</v>
      </c>
      <c r="C4386" s="1008">
        <v>77.45</v>
      </c>
      <c r="D4386" s="908">
        <v>23.86</v>
      </c>
      <c r="E4386" s="709">
        <v>-0.6919302775984506</v>
      </c>
      <c r="F4386" s="946">
        <v>-1.3838605551969013E-2</v>
      </c>
      <c r="G4386" s="78"/>
      <c r="H4386" t="e">
        <f>VLOOKUP(B4386,indexy!$A$44:$D$234,3,FALSE)</f>
        <v>#N/A</v>
      </c>
    </row>
    <row r="4387" spans="1:8" s="39" customFormat="1" hidden="1" outlineLevel="1" x14ac:dyDescent="0.25">
      <c r="A4387" s="1002">
        <v>0.03</v>
      </c>
      <c r="B4387" s="996" t="s">
        <v>1108</v>
      </c>
      <c r="C4387" s="1008">
        <v>90.772000000000006</v>
      </c>
      <c r="D4387" s="908">
        <v>33.185000000000002</v>
      </c>
      <c r="E4387" s="709">
        <v>-0.63441369585334684</v>
      </c>
      <c r="F4387" s="946">
        <v>-1.9032410875600404E-2</v>
      </c>
      <c r="G4387" s="78"/>
      <c r="H4387" t="str">
        <f>VLOOKUP(B4387,indexy!$A$44:$D$234,3,FALSE)</f>
        <v>DBK GY Equity</v>
      </c>
    </row>
    <row r="4388" spans="1:8" s="39" customFormat="1" hidden="1" outlineLevel="1" x14ac:dyDescent="0.25">
      <c r="A4388" s="1002">
        <v>0.02</v>
      </c>
      <c r="B4388" s="743" t="s">
        <v>3406</v>
      </c>
      <c r="C4388" s="1008">
        <v>1063.7</v>
      </c>
      <c r="D4388" s="908">
        <v>1500</v>
      </c>
      <c r="E4388" s="709">
        <v>0.41017204098900062</v>
      </c>
      <c r="F4388" s="946">
        <v>8.2034408197800123E-3</v>
      </c>
      <c r="G4388" s="78"/>
      <c r="H4388" t="str">
        <f>VLOOKUP(B4388,indexy!$A$44:$D$234,3,FALSE)</f>
        <v>DGE LN Equity</v>
      </c>
    </row>
    <row r="4389" spans="1:8" s="39" customFormat="1" hidden="1" outlineLevel="1" x14ac:dyDescent="0.25">
      <c r="A4389" s="1002">
        <v>0.05</v>
      </c>
      <c r="B4389" s="743" t="s">
        <v>4110</v>
      </c>
      <c r="C4389" s="1008">
        <v>42.996499999999997</v>
      </c>
      <c r="D4389" s="908">
        <v>50.42</v>
      </c>
      <c r="E4389" s="709">
        <v>0.17265358808275111</v>
      </c>
      <c r="F4389" s="946">
        <v>8.6326794041375558E-3</v>
      </c>
      <c r="G4389" s="78"/>
      <c r="H4389" t="e">
        <f>VLOOKUP(B4389,indexy!$A$44:$D$234,3,FALSE)</f>
        <v>#N/A</v>
      </c>
    </row>
    <row r="4390" spans="1:8" s="39" customFormat="1" hidden="1" outlineLevel="1" x14ac:dyDescent="0.25">
      <c r="A4390" s="1002">
        <v>0.02</v>
      </c>
      <c r="B4390" s="743" t="s">
        <v>4387</v>
      </c>
      <c r="C4390" s="1008">
        <v>42.035000000000004</v>
      </c>
      <c r="D4390" s="908">
        <v>16.274999999999999</v>
      </c>
      <c r="E4390" s="709">
        <v>-0.61282264779350548</v>
      </c>
      <c r="F4390" s="946">
        <v>-1.225645295587011E-2</v>
      </c>
      <c r="G4390" s="78"/>
      <c r="H4390" t="str">
        <f>VLOOKUP(B4390,indexy!$A$44:$D$234,3,FALSE)</f>
        <v>EOAN GY Equity</v>
      </c>
    </row>
    <row r="4391" spans="1:8" s="39" customFormat="1" hidden="1" outlineLevel="1" x14ac:dyDescent="0.25">
      <c r="A4391" s="1002">
        <v>0.04</v>
      </c>
      <c r="B4391" s="740" t="s">
        <v>4064</v>
      </c>
      <c r="C4391" s="1008">
        <v>57.110999999999997</v>
      </c>
      <c r="D4391" s="908">
        <v>38.72</v>
      </c>
      <c r="E4391" s="709">
        <v>-0.32202202728020868</v>
      </c>
      <c r="F4391" s="946">
        <v>-1.2880881091208347E-2</v>
      </c>
      <c r="G4391" s="78"/>
      <c r="H4391" t="str">
        <f>VLOOKUP(B4391,indexy!$A$44:$D$234,3,FALSE)</f>
        <v>LLY UN Equity</v>
      </c>
    </row>
    <row r="4392" spans="1:8" s="39" customFormat="1" hidden="1" outlineLevel="1" x14ac:dyDescent="0.25">
      <c r="A4392" s="1002">
        <v>0.06</v>
      </c>
      <c r="B4392" s="743" t="s">
        <v>3798</v>
      </c>
      <c r="C4392" s="1008">
        <v>7.8143000000000002</v>
      </c>
      <c r="D4392" s="908">
        <v>3.0779999999999998</v>
      </c>
      <c r="E4392" s="709">
        <v>-0.60610675300410788</v>
      </c>
      <c r="F4392" s="946">
        <v>-3.6366405180246468E-2</v>
      </c>
      <c r="G4392" s="78"/>
      <c r="H4392" t="str">
        <f>VLOOKUP(B4392,indexy!$A$44:$D$234,3,FALSE)</f>
        <v>ENEL IM Equity</v>
      </c>
    </row>
    <row r="4393" spans="1:8" s="39" customFormat="1" hidden="1" outlineLevel="1" x14ac:dyDescent="0.25">
      <c r="A4393" s="1002">
        <v>0.03</v>
      </c>
      <c r="B4393" s="996" t="s">
        <v>4268</v>
      </c>
      <c r="C4393" s="1008">
        <v>24.413</v>
      </c>
      <c r="D4393" s="908">
        <v>18.18</v>
      </c>
      <c r="E4393" s="709">
        <v>-0.25531479129971735</v>
      </c>
      <c r="F4393" s="946">
        <v>-7.65944373899152E-3</v>
      </c>
      <c r="G4393" s="78"/>
      <c r="H4393" t="str">
        <f>VLOOKUP(B4393,indexy!$A$44:$D$234,3,FALSE)</f>
        <v>FORTUM FH Equity</v>
      </c>
    </row>
    <row r="4394" spans="1:8" s="39" customFormat="1" hidden="1" outlineLevel="1" x14ac:dyDescent="0.25">
      <c r="A4394" s="1002">
        <v>0.04</v>
      </c>
      <c r="B4394" s="743" t="s">
        <v>1771</v>
      </c>
      <c r="C4394" s="1008">
        <v>898.2</v>
      </c>
      <c r="D4394" s="908">
        <v>573.6</v>
      </c>
      <c r="E4394" s="709">
        <v>-0.36138944555778219</v>
      </c>
      <c r="F4394" s="946">
        <v>-1.4455577822311287E-2</v>
      </c>
      <c r="G4394" s="78"/>
      <c r="H4394" t="str">
        <f>VLOOKUP(B4394,indexy!$A$44:$D$234,3,FALSE)</f>
        <v>HSBA LN Equity</v>
      </c>
    </row>
    <row r="4395" spans="1:8" s="39" customFormat="1" hidden="1" outlineLevel="1" x14ac:dyDescent="0.25">
      <c r="A4395" s="1002">
        <v>0.06</v>
      </c>
      <c r="B4395" s="743" t="s">
        <v>2588</v>
      </c>
      <c r="C4395" s="1008">
        <v>30.393999999999998</v>
      </c>
      <c r="D4395" s="908">
        <v>6.7069999999999999</v>
      </c>
      <c r="E4395" s="709">
        <v>-0.77933144699611767</v>
      </c>
      <c r="F4395" s="946">
        <v>-4.675988681976706E-2</v>
      </c>
      <c r="G4395" s="78"/>
      <c r="H4395" t="str">
        <f>VLOOKUP(B4395,indexy!$A$44:$D$234,3,FALSE)</f>
        <v>INGA NA Equity</v>
      </c>
    </row>
    <row r="4396" spans="1:8" s="39" customFormat="1" hidden="1" outlineLevel="1" x14ac:dyDescent="0.25">
      <c r="A4396" s="1002">
        <v>0.02</v>
      </c>
      <c r="B4396" s="743" t="s">
        <v>4376</v>
      </c>
      <c r="C4396" s="1008">
        <v>46.281999999999996</v>
      </c>
      <c r="D4396" s="908">
        <v>38</v>
      </c>
      <c r="E4396" s="709">
        <v>-0.1789464586664361</v>
      </c>
      <c r="F4396" s="946">
        <v>-3.5789291733287223E-3</v>
      </c>
      <c r="G4396" s="78"/>
      <c r="H4396" t="str">
        <f>VLOOKUP(B4396,indexy!$A$44:$D$234,3,FALSE)</f>
        <v>JPM UN Equity</v>
      </c>
    </row>
    <row r="4397" spans="1:8" s="39" customFormat="1" hidden="1" outlineLevel="1" x14ac:dyDescent="0.25">
      <c r="A4397" s="1002">
        <v>0.05</v>
      </c>
      <c r="B4397" s="740" t="s">
        <v>123</v>
      </c>
      <c r="C4397" s="1008">
        <v>40.557000000000002</v>
      </c>
      <c r="D4397" s="908">
        <v>12.59</v>
      </c>
      <c r="E4397" s="709">
        <v>-0.68957270015040562</v>
      </c>
      <c r="F4397" s="946">
        <v>-3.4478635007520284E-2</v>
      </c>
      <c r="G4397" s="78"/>
      <c r="H4397" t="str">
        <f>VLOOKUP(B4397,indexy!$A$44:$D$234,3,FALSE)</f>
        <v>MFC CT Equity</v>
      </c>
    </row>
    <row r="4398" spans="1:8" s="39" customFormat="1" hidden="1" outlineLevel="1" x14ac:dyDescent="0.25">
      <c r="A4398" s="1002">
        <v>0.02</v>
      </c>
      <c r="B4398" s="743" t="s">
        <v>2787</v>
      </c>
      <c r="C4398" s="1008">
        <v>64.83</v>
      </c>
      <c r="D4398" s="908">
        <v>51.95</v>
      </c>
      <c r="E4398" s="709">
        <v>-0.19867345364800237</v>
      </c>
      <c r="F4398" s="946">
        <v>-3.9734690729600472E-3</v>
      </c>
      <c r="G4398" s="78"/>
      <c r="H4398" t="str">
        <f>VLOOKUP(B4398,indexy!$A$44:$D$234,3,FALSE)</f>
        <v>NOVN SE Equity</v>
      </c>
    </row>
    <row r="4399" spans="1:8" s="39" customFormat="1" hidden="1" outlineLevel="1" x14ac:dyDescent="0.25">
      <c r="A4399" s="1002">
        <v>0.04</v>
      </c>
      <c r="B4399" s="743" t="s">
        <v>1414</v>
      </c>
      <c r="C4399" s="1008">
        <v>24.402999999999999</v>
      </c>
      <c r="D4399" s="908">
        <v>21.32</v>
      </c>
      <c r="E4399" s="709">
        <v>-0.12633692578781297</v>
      </c>
      <c r="F4399" s="946">
        <v>-5.053477031512519E-3</v>
      </c>
      <c r="G4399" s="78"/>
      <c r="H4399" t="str">
        <f>VLOOKUP(B4399,indexy!$A$44:$D$234,3,FALSE)</f>
        <v>PFE UN Equity</v>
      </c>
    </row>
    <row r="4400" spans="1:8" s="39" customFormat="1" hidden="1" outlineLevel="1" x14ac:dyDescent="0.25">
      <c r="A4400" s="1002">
        <v>0.02</v>
      </c>
      <c r="B4400" s="743" t="s">
        <v>1653</v>
      </c>
      <c r="C4400" s="1008">
        <v>13.329000000000001</v>
      </c>
      <c r="D4400" s="908">
        <v>9.3320000000000007</v>
      </c>
      <c r="E4400" s="709">
        <v>-0.29987245854902844</v>
      </c>
      <c r="F4400" s="946">
        <v>-5.9974491709805693E-3</v>
      </c>
      <c r="G4400" s="78"/>
      <c r="H4400" t="str">
        <f>VLOOKUP(B4400,indexy!$A$44:$D$234,3,FALSE)</f>
        <v>REN NA Equity</v>
      </c>
    </row>
    <row r="4401" spans="1:8" s="39" customFormat="1" hidden="1" outlineLevel="1" x14ac:dyDescent="0.25">
      <c r="A4401" s="1002">
        <v>0.04</v>
      </c>
      <c r="B4401" s="740" t="s">
        <v>2753</v>
      </c>
      <c r="C4401" s="1008">
        <v>31.716999999999999</v>
      </c>
      <c r="D4401" s="908">
        <v>41</v>
      </c>
      <c r="E4401" s="709">
        <v>0.29268215783333873</v>
      </c>
      <c r="F4401" s="946">
        <v>1.1707286313333549E-2</v>
      </c>
      <c r="G4401" s="78"/>
      <c r="H4401" t="str">
        <f>VLOOKUP(B4401,indexy!$A$44:$D$234,3,FALSE)</f>
        <v>RAI UN Equity</v>
      </c>
    </row>
    <row r="4402" spans="1:8" s="39" customFormat="1" hidden="1" outlineLevel="1" x14ac:dyDescent="0.25">
      <c r="A4402" s="1002">
        <v>0.03</v>
      </c>
      <c r="B4402" s="743" t="s">
        <v>3801</v>
      </c>
      <c r="C4402" s="1008">
        <v>84.483000000000004</v>
      </c>
      <c r="D4402" s="908">
        <v>32.954999999999998</v>
      </c>
      <c r="E4402" s="709">
        <v>-0.60992152267320054</v>
      </c>
      <c r="F4402" s="946">
        <v>-1.8297645680196015E-2</v>
      </c>
      <c r="G4402" s="78"/>
      <c r="H4402" t="str">
        <f>VLOOKUP(B4402,indexy!$A$44:$D$234,3,FALSE)</f>
        <v>RWE GY Equity</v>
      </c>
    </row>
    <row r="4403" spans="1:8" s="39" customFormat="1" hidden="1" outlineLevel="1" x14ac:dyDescent="0.25">
      <c r="A4403" s="1002">
        <v>0.03</v>
      </c>
      <c r="B4403" s="743" t="s">
        <v>1187</v>
      </c>
      <c r="C4403" s="1008">
        <v>61.055</v>
      </c>
      <c r="D4403" s="908">
        <v>56.57</v>
      </c>
      <c r="E4403" s="709">
        <v>-7.3458357218900927E-2</v>
      </c>
      <c r="F4403" s="946">
        <v>-2.2037507165670279E-3</v>
      </c>
      <c r="G4403" s="78"/>
      <c r="H4403" t="str">
        <f>VLOOKUP(B4403,indexy!$A$44:$D$234,3,FALSE)</f>
        <v>SAN FP Equity</v>
      </c>
    </row>
    <row r="4404" spans="1:8" s="39" customFormat="1" hidden="1" outlineLevel="1" x14ac:dyDescent="0.25">
      <c r="A4404" s="1002">
        <v>0.02</v>
      </c>
      <c r="B4404" s="996" t="s">
        <v>898</v>
      </c>
      <c r="C4404" s="1008">
        <v>51.808999999999997</v>
      </c>
      <c r="D4404" s="908">
        <v>20.88</v>
      </c>
      <c r="E4404" s="709">
        <v>-0.59698121947924099</v>
      </c>
      <c r="F4404" s="946">
        <v>-1.193962438958482E-2</v>
      </c>
      <c r="G4404" s="78"/>
      <c r="H4404" t="str">
        <f>VLOOKUP(B4404,indexy!$A$44:$D$234,3,FALSE)</f>
        <v>SLF CT Equity</v>
      </c>
    </row>
    <row r="4405" spans="1:8" s="39" customFormat="1" hidden="1" outlineLevel="1" x14ac:dyDescent="0.25">
      <c r="A4405" s="1002">
        <v>0.02</v>
      </c>
      <c r="B4405" s="996" t="s">
        <v>231</v>
      </c>
      <c r="C4405" s="1008">
        <v>77.054000000000002</v>
      </c>
      <c r="D4405" s="908">
        <v>22.56</v>
      </c>
      <c r="E4405" s="709">
        <v>-0.7072183144288422</v>
      </c>
      <c r="F4405" s="946">
        <v>-1.4144366288576845E-2</v>
      </c>
      <c r="G4405" s="78"/>
      <c r="H4405" t="e">
        <f>VLOOKUP(B4405,indexy!$A$44:$D$234,3,FALSE)</f>
        <v>#N/A</v>
      </c>
    </row>
    <row r="4406" spans="1:8" s="39" customFormat="1" hidden="1" outlineLevel="1" x14ac:dyDescent="0.25">
      <c r="A4406" s="1002">
        <v>0.02</v>
      </c>
      <c r="B4406" s="996" t="s">
        <v>3902</v>
      </c>
      <c r="C4406" s="1008">
        <v>121.325</v>
      </c>
      <c r="D4406" s="908">
        <v>113.3</v>
      </c>
      <c r="E4406" s="709">
        <v>-6.6144652792087366E-2</v>
      </c>
      <c r="F4406" s="946">
        <v>-1.3228930558417474E-3</v>
      </c>
      <c r="G4406" s="78"/>
      <c r="H4406" t="e">
        <f>VLOOKUP(B4406,indexy!$A$44:$D$234,3,FALSE)</f>
        <v>#N/A</v>
      </c>
    </row>
    <row r="4407" spans="1:8" s="39" customFormat="1" hidden="1" outlineLevel="1" x14ac:dyDescent="0.25">
      <c r="A4407" s="1002">
        <v>0.04</v>
      </c>
      <c r="B4407" s="743" t="s">
        <v>1527</v>
      </c>
      <c r="C4407" s="1008">
        <v>2.1520000000000001</v>
      </c>
      <c r="D4407" s="908">
        <v>0.81299999999999994</v>
      </c>
      <c r="E4407" s="709">
        <v>-0.62221189591078074</v>
      </c>
      <c r="F4407" s="946">
        <v>-2.488847583643123E-2</v>
      </c>
      <c r="G4407" s="78"/>
      <c r="H4407" t="str">
        <f>VLOOKUP(B4407,indexy!$A$44:$D$234,3,FALSE)</f>
        <v>TIT IM Equity</v>
      </c>
    </row>
    <row r="4408" spans="1:8" s="39" customFormat="1" hidden="1" outlineLevel="1" x14ac:dyDescent="0.25">
      <c r="A4408" s="1002">
        <v>0.03</v>
      </c>
      <c r="B4408" s="743" t="s">
        <v>577</v>
      </c>
      <c r="C4408" s="1008">
        <v>19.141999999999999</v>
      </c>
      <c r="D4408" s="908">
        <v>12.865</v>
      </c>
      <c r="E4408" s="709">
        <v>-0.32791766795528154</v>
      </c>
      <c r="F4408" s="946">
        <v>-9.8375300386584468E-3</v>
      </c>
      <c r="G4408" s="78"/>
      <c r="H4408" t="str">
        <f>VLOOKUP(B4408,indexy!$A$44:$D$234,3,FALSE)</f>
        <v>TEF SQ Equity</v>
      </c>
    </row>
    <row r="4409" spans="1:8" s="39" customFormat="1" hidden="1" outlineLevel="1" x14ac:dyDescent="0.25">
      <c r="A4409" s="1002">
        <v>0.04</v>
      </c>
      <c r="B4409" s="743" t="s">
        <v>1183</v>
      </c>
      <c r="C4409" s="1008">
        <v>57.110999999999997</v>
      </c>
      <c r="D4409" s="908">
        <v>41.28</v>
      </c>
      <c r="E4409" s="709">
        <v>-0.27719703734832168</v>
      </c>
      <c r="F4409" s="946">
        <v>-1.1087881493932868E-2</v>
      </c>
      <c r="G4409" s="78"/>
      <c r="H4409" t="e">
        <f>VLOOKUP(B4409,indexy!$A$44:$D$234,3,FALSE)</f>
        <v>#N/A</v>
      </c>
    </row>
    <row r="4410" spans="1:8" s="39" customFormat="1" hidden="1" outlineLevel="1" x14ac:dyDescent="0.25">
      <c r="A4410" s="1002">
        <v>0.04</v>
      </c>
      <c r="B4410" s="997" t="s">
        <v>3903</v>
      </c>
      <c r="C4410" s="1008">
        <v>16.574999999999999</v>
      </c>
      <c r="D4410" s="908">
        <v>10.130000000000001</v>
      </c>
      <c r="E4410" s="709">
        <v>-0.38883861236802408</v>
      </c>
      <c r="F4410" s="1023">
        <v>-1.5553544494720963E-2</v>
      </c>
      <c r="G4410" s="78"/>
      <c r="H4410" t="str">
        <f>VLOOKUP(B4410,indexy!$A$44:$D$234,3,FALSE)</f>
        <v>UPM FH Equity</v>
      </c>
    </row>
    <row r="4411" spans="1:8" s="39" customFormat="1" hidden="1" outlineLevel="1" x14ac:dyDescent="0.25">
      <c r="A4411" s="1099"/>
      <c r="B4411" s="1000"/>
      <c r="C4411" s="736"/>
      <c r="D4411" s="736"/>
      <c r="E4411" s="895"/>
      <c r="F4411" s="1021">
        <v>-0.31271194502505595</v>
      </c>
      <c r="G4411" s="78"/>
      <c r="H4411"/>
    </row>
    <row r="4412" spans="1:8" s="39" customFormat="1" hidden="1" outlineLevel="1" x14ac:dyDescent="0.25">
      <c r="A4412" s="751" t="s">
        <v>3855</v>
      </c>
      <c r="B4412" s="1108">
        <v>39387</v>
      </c>
      <c r="C4412" s="719">
        <v>100</v>
      </c>
      <c r="D4412" s="719">
        <v>101.099</v>
      </c>
      <c r="E4412" s="720">
        <v>1.0990000000000055E-2</v>
      </c>
      <c r="F4412" s="731">
        <v>1.0990000000000055E-2</v>
      </c>
      <c r="G4412" s="78"/>
      <c r="H4412"/>
    </row>
    <row r="4413" spans="1:8" s="39" customFormat="1" hidden="1" outlineLevel="1" x14ac:dyDescent="0.25">
      <c r="A4413" s="751" t="s">
        <v>3856</v>
      </c>
      <c r="B4413" s="985">
        <v>39479</v>
      </c>
      <c r="C4413" s="727">
        <v>100</v>
      </c>
      <c r="D4413" s="727">
        <v>88.005399999999995</v>
      </c>
      <c r="E4413" s="720">
        <v>-0.11994600000000011</v>
      </c>
      <c r="F4413" s="770">
        <v>-0.11994600000000011</v>
      </c>
      <c r="G4413" s="78"/>
      <c r="H4413"/>
    </row>
    <row r="4414" spans="1:8" s="39" customFormat="1" hidden="1" outlineLevel="1" x14ac:dyDescent="0.25">
      <c r="A4414" s="751" t="s">
        <v>13</v>
      </c>
      <c r="B4414" s="1108">
        <v>39569</v>
      </c>
      <c r="C4414" s="727">
        <v>100</v>
      </c>
      <c r="D4414" s="727">
        <v>89.439499999999995</v>
      </c>
      <c r="E4414" s="720">
        <v>-0.10560500000000006</v>
      </c>
      <c r="F4414" s="770">
        <v>-0.10560500000000006</v>
      </c>
      <c r="G4414" s="78"/>
      <c r="H4414"/>
    </row>
    <row r="4415" spans="1:8" s="39" customFormat="1" hidden="1" outlineLevel="1" x14ac:dyDescent="0.25">
      <c r="A4415" s="751" t="s">
        <v>14</v>
      </c>
      <c r="B4415" s="985">
        <v>39661</v>
      </c>
      <c r="C4415" s="727">
        <v>100</v>
      </c>
      <c r="D4415" s="727">
        <v>82.483599999999996</v>
      </c>
      <c r="E4415" s="720">
        <v>-0.1751640000000001</v>
      </c>
      <c r="F4415" s="770">
        <v>-0.1751640000000001</v>
      </c>
      <c r="G4415" s="78"/>
      <c r="H4415"/>
    </row>
    <row r="4416" spans="1:8" s="39" customFormat="1" hidden="1" outlineLevel="1" x14ac:dyDescent="0.25">
      <c r="A4416" s="751" t="s">
        <v>15</v>
      </c>
      <c r="B4416" s="1108">
        <v>39753</v>
      </c>
      <c r="C4416" s="727">
        <v>100</v>
      </c>
      <c r="D4416" s="727">
        <v>62.559899999999999</v>
      </c>
      <c r="E4416" s="720">
        <v>-0.37440099999999998</v>
      </c>
      <c r="F4416" s="770">
        <v>-0.37440099999999998</v>
      </c>
      <c r="G4416" s="78"/>
      <c r="H4416"/>
    </row>
    <row r="4417" spans="1:8" s="39" customFormat="1" hidden="1" outlineLevel="1" x14ac:dyDescent="0.25">
      <c r="A4417" s="751" t="s">
        <v>3336</v>
      </c>
      <c r="B4417" s="985">
        <v>39845</v>
      </c>
      <c r="C4417" s="727">
        <v>100</v>
      </c>
      <c r="D4417" s="727">
        <v>49.207599999999999</v>
      </c>
      <c r="E4417" s="720">
        <v>-0.50792400000000004</v>
      </c>
      <c r="F4417" s="770">
        <v>-0.50792400000000004</v>
      </c>
      <c r="G4417" s="78"/>
      <c r="H4417"/>
    </row>
    <row r="4418" spans="1:8" s="39" customFormat="1" hidden="1" outlineLevel="1" x14ac:dyDescent="0.25">
      <c r="A4418" s="751" t="s">
        <v>3337</v>
      </c>
      <c r="B4418" s="1108">
        <v>39934</v>
      </c>
      <c r="C4418" s="727">
        <v>100</v>
      </c>
      <c r="D4418" s="727">
        <v>59.988999999999997</v>
      </c>
      <c r="E4418" s="720">
        <v>-0.40011000000000008</v>
      </c>
      <c r="F4418" s="770">
        <v>-0.40011000000000008</v>
      </c>
      <c r="G4418" s="78"/>
      <c r="H4418"/>
    </row>
    <row r="4419" spans="1:8" s="39" customFormat="1" hidden="1" outlineLevel="1" x14ac:dyDescent="0.25">
      <c r="A4419" s="751" t="s">
        <v>3338</v>
      </c>
      <c r="B4419" s="985">
        <v>40026</v>
      </c>
      <c r="C4419" s="727">
        <v>100</v>
      </c>
      <c r="D4419" s="727">
        <v>67.374600000000001</v>
      </c>
      <c r="E4419" s="720">
        <v>-0.32625400000000004</v>
      </c>
      <c r="F4419" s="770">
        <v>-0.32625400000000004</v>
      </c>
      <c r="G4419" s="78"/>
      <c r="H4419"/>
    </row>
    <row r="4420" spans="1:8" s="39" customFormat="1" hidden="1" outlineLevel="1" x14ac:dyDescent="0.25">
      <c r="A4420" s="751" t="s">
        <v>3339</v>
      </c>
      <c r="B4420" s="1108">
        <v>40118</v>
      </c>
      <c r="C4420" s="727">
        <v>100</v>
      </c>
      <c r="D4420" s="727">
        <v>68.045400000000001</v>
      </c>
      <c r="E4420" s="720">
        <v>-0.319546</v>
      </c>
      <c r="F4420" s="770">
        <v>-0.319546</v>
      </c>
      <c r="G4420" s="78"/>
      <c r="H4420"/>
    </row>
    <row r="4421" spans="1:8" s="39" customFormat="1" hidden="1" outlineLevel="1" x14ac:dyDescent="0.25">
      <c r="A4421" s="751" t="s">
        <v>644</v>
      </c>
      <c r="B4421" s="985">
        <v>40210</v>
      </c>
      <c r="C4421" s="727">
        <v>100</v>
      </c>
      <c r="D4421" s="727">
        <v>68.218400000000003</v>
      </c>
      <c r="E4421" s="720">
        <v>-0.31781599999999999</v>
      </c>
      <c r="F4421" s="770">
        <v>-0.31781599999999999</v>
      </c>
      <c r="G4421" s="78"/>
      <c r="H4421"/>
    </row>
    <row r="4422" spans="1:8" s="39" customFormat="1" hidden="1" outlineLevel="1" x14ac:dyDescent="0.25">
      <c r="A4422" s="751" t="s">
        <v>645</v>
      </c>
      <c r="B4422" s="1108">
        <v>40299</v>
      </c>
      <c r="C4422" s="727">
        <v>100</v>
      </c>
      <c r="D4422" s="727">
        <v>64.797899999999998</v>
      </c>
      <c r="E4422" s="720">
        <v>-0.35202100000000003</v>
      </c>
      <c r="F4422" s="770">
        <v>-0.35202100000000003</v>
      </c>
      <c r="G4422" s="78"/>
      <c r="H4422"/>
    </row>
    <row r="4423" spans="1:8" s="39" customFormat="1" hidden="1" outlineLevel="1" x14ac:dyDescent="0.25">
      <c r="A4423" s="751" t="s">
        <v>646</v>
      </c>
      <c r="B4423" s="985">
        <v>40391</v>
      </c>
      <c r="C4423" s="727">
        <v>100</v>
      </c>
      <c r="D4423" s="727">
        <v>66.205799999999996</v>
      </c>
      <c r="E4423" s="720">
        <v>-0.33794200000000008</v>
      </c>
      <c r="F4423" s="770">
        <v>-0.33794200000000008</v>
      </c>
      <c r="G4423" s="78"/>
      <c r="H4423"/>
    </row>
    <row r="4424" spans="1:8" s="39" customFormat="1" hidden="1" outlineLevel="1" x14ac:dyDescent="0.25">
      <c r="A4424" s="751" t="s">
        <v>647</v>
      </c>
      <c r="B4424" s="1108">
        <v>40483</v>
      </c>
      <c r="C4424" s="727">
        <v>100</v>
      </c>
      <c r="D4424" s="727">
        <v>66.187600000000003</v>
      </c>
      <c r="E4424" s="720">
        <v>-0.33812399999999998</v>
      </c>
      <c r="F4424" s="770">
        <v>-0.33812399999999998</v>
      </c>
      <c r="G4424" s="78"/>
      <c r="H4424"/>
    </row>
    <row r="4425" spans="1:8" s="39" customFormat="1" hidden="1" outlineLevel="1" x14ac:dyDescent="0.25">
      <c r="A4425" s="751" t="s">
        <v>648</v>
      </c>
      <c r="B4425" s="985">
        <v>40575</v>
      </c>
      <c r="C4425" s="727">
        <v>100</v>
      </c>
      <c r="D4425" s="727">
        <v>74.930599999999998</v>
      </c>
      <c r="E4425" s="720">
        <v>-0.25069399999999997</v>
      </c>
      <c r="F4425" s="770">
        <v>-0.25069399999999997</v>
      </c>
      <c r="G4425" s="78"/>
      <c r="H4425"/>
    </row>
    <row r="4426" spans="1:8" s="39" customFormat="1" hidden="1" outlineLevel="1" x14ac:dyDescent="0.25">
      <c r="A4426" s="751" t="s">
        <v>649</v>
      </c>
      <c r="B4426" s="1108">
        <v>40664</v>
      </c>
      <c r="C4426" s="727">
        <v>100</v>
      </c>
      <c r="D4426" s="727">
        <v>75.281800000000004</v>
      </c>
      <c r="E4426" s="720">
        <v>-0.24718200000000001</v>
      </c>
      <c r="F4426" s="770">
        <v>-0.24718200000000001</v>
      </c>
      <c r="G4426" s="78"/>
      <c r="H4426"/>
    </row>
    <row r="4427" spans="1:8" s="39" customFormat="1" hidden="1" outlineLevel="1" x14ac:dyDescent="0.25">
      <c r="A4427" s="751" t="s">
        <v>650</v>
      </c>
      <c r="B4427" s="985">
        <v>40756</v>
      </c>
      <c r="C4427" s="727">
        <v>100</v>
      </c>
      <c r="D4427" s="727">
        <v>65.092500000000001</v>
      </c>
      <c r="E4427" s="720">
        <v>-0.34907500000000002</v>
      </c>
      <c r="F4427" s="770">
        <v>-0.34907500000000002</v>
      </c>
      <c r="G4427" s="78"/>
      <c r="H4427"/>
    </row>
    <row r="4428" spans="1:8" s="39" customFormat="1" hidden="1" outlineLevel="1" x14ac:dyDescent="0.25">
      <c r="A4428" s="751" t="s">
        <v>651</v>
      </c>
      <c r="B4428" s="1108">
        <v>40848</v>
      </c>
      <c r="C4428" s="727">
        <v>100</v>
      </c>
      <c r="D4428" s="727">
        <v>66.2179</v>
      </c>
      <c r="E4428" s="720">
        <v>-0.33782100000000004</v>
      </c>
      <c r="F4428" s="770">
        <v>-0.33782100000000004</v>
      </c>
      <c r="G4428" s="78"/>
      <c r="H4428"/>
    </row>
    <row r="4429" spans="1:8" s="39" customFormat="1" hidden="1" outlineLevel="1" x14ac:dyDescent="0.25">
      <c r="A4429" s="751" t="s">
        <v>1103</v>
      </c>
      <c r="B4429" s="985">
        <v>40940</v>
      </c>
      <c r="C4429" s="727">
        <v>100</v>
      </c>
      <c r="D4429" s="727">
        <v>70.696299999999994</v>
      </c>
      <c r="E4429" s="720">
        <v>-0.2930370000000001</v>
      </c>
      <c r="F4429" s="770">
        <v>-0.2930370000000001</v>
      </c>
      <c r="G4429" s="78"/>
      <c r="H4429" s="412" t="s">
        <v>1837</v>
      </c>
    </row>
    <row r="4430" spans="1:8" s="39" customFormat="1" hidden="1" outlineLevel="1" x14ac:dyDescent="0.25">
      <c r="A4430" s="749"/>
      <c r="B4430" s="750"/>
      <c r="C4430" s="727"/>
      <c r="D4430" s="727"/>
      <c r="E4430" s="727"/>
      <c r="F4430" s="1004"/>
      <c r="G4430" s="78"/>
      <c r="H4430" s="261">
        <f>AVERAGE(F4412:F4429)</f>
        <v>-0.28564844444444448</v>
      </c>
    </row>
    <row r="4431" spans="1:8" s="39" customFormat="1" collapsed="1" x14ac:dyDescent="0.25">
      <c r="A4431" s="3801" t="s">
        <v>2322</v>
      </c>
      <c r="B4431" s="3802"/>
      <c r="C4431" s="3802"/>
      <c r="D4431" s="3802"/>
      <c r="E4431" s="782" t="s">
        <v>2722</v>
      </c>
      <c r="F4431" s="722">
        <f>MAX(AVERAGE(F4412:F4429)*parametry!N167,0)</f>
        <v>0</v>
      </c>
      <c r="G4431" s="97" t="s">
        <v>781</v>
      </c>
      <c r="H4431"/>
    </row>
    <row r="4432" spans="1:8" s="39" customFormat="1" x14ac:dyDescent="0.25">
      <c r="A4432" s="180"/>
      <c r="B4432" s="181"/>
      <c r="C4432" s="181"/>
      <c r="D4432" s="181"/>
      <c r="E4432" s="182"/>
      <c r="F4432" s="182"/>
      <c r="G4432" s="12"/>
    </row>
    <row r="4433" spans="1:8" s="39" customFormat="1" hidden="1" outlineLevel="1" x14ac:dyDescent="0.25">
      <c r="A4433" s="689" t="s">
        <v>113</v>
      </c>
      <c r="B4433" s="689" t="s">
        <v>114</v>
      </c>
      <c r="C4433" s="689" t="s">
        <v>112</v>
      </c>
      <c r="D4433" s="689" t="s">
        <v>116</v>
      </c>
      <c r="E4433" s="689" t="s">
        <v>117</v>
      </c>
      <c r="F4433" s="1188" t="s">
        <v>121</v>
      </c>
      <c r="G4433" s="78"/>
      <c r="H4433"/>
    </row>
    <row r="4434" spans="1:8" s="39" customFormat="1" hidden="1" outlineLevel="1" x14ac:dyDescent="0.25">
      <c r="A4434" s="846" t="s">
        <v>429</v>
      </c>
      <c r="B4434" s="695"/>
      <c r="C4434" s="692"/>
      <c r="D4434" s="1109">
        <v>1.0030790000000001</v>
      </c>
      <c r="E4434" s="816"/>
      <c r="F4434" s="694"/>
      <c r="G4434" s="78"/>
      <c r="H4434"/>
    </row>
    <row r="4435" spans="1:8" s="39" customFormat="1" hidden="1" outlineLevel="1" x14ac:dyDescent="0.25">
      <c r="A4435" s="846" t="s">
        <v>430</v>
      </c>
      <c r="B4435" s="695"/>
      <c r="C4435" s="696"/>
      <c r="D4435" s="1109">
        <v>1.0034989999999999</v>
      </c>
      <c r="E4435" s="816"/>
      <c r="F4435" s="856"/>
      <c r="G4435" s="78"/>
      <c r="H4435"/>
    </row>
    <row r="4436" spans="1:8" s="39" customFormat="1" hidden="1" outlineLevel="1" x14ac:dyDescent="0.25">
      <c r="A4436" s="846" t="s">
        <v>3067</v>
      </c>
      <c r="B4436" s="695"/>
      <c r="C4436" s="696"/>
      <c r="D4436" s="1109">
        <v>0.99595100000000003</v>
      </c>
      <c r="E4436" s="816"/>
      <c r="F4436" s="856"/>
      <c r="G4436" s="78"/>
      <c r="H4436"/>
    </row>
    <row r="4437" spans="1:8" s="39" customFormat="1" hidden="1" outlineLevel="1" x14ac:dyDescent="0.25">
      <c r="A4437" s="846" t="s">
        <v>3068</v>
      </c>
      <c r="B4437" s="695"/>
      <c r="C4437" s="696"/>
      <c r="D4437" s="1109">
        <v>0.97870599999999996</v>
      </c>
      <c r="E4437" s="816"/>
      <c r="F4437" s="856"/>
      <c r="G4437" s="78"/>
      <c r="H4437"/>
    </row>
    <row r="4438" spans="1:8" s="39" customFormat="1" hidden="1" outlineLevel="1" x14ac:dyDescent="0.25">
      <c r="A4438" s="846" t="s">
        <v>3069</v>
      </c>
      <c r="B4438" s="695"/>
      <c r="C4438" s="696"/>
      <c r="D4438" s="1109">
        <v>0.91198299999999999</v>
      </c>
      <c r="E4438" s="816"/>
      <c r="F4438" s="856"/>
      <c r="G4438" s="78"/>
      <c r="H4438"/>
    </row>
    <row r="4439" spans="1:8" s="39" customFormat="1" hidden="1" outlineLevel="1" x14ac:dyDescent="0.25">
      <c r="A4439" s="846" t="s">
        <v>385</v>
      </c>
      <c r="B4439" s="695"/>
      <c r="C4439" s="696"/>
      <c r="D4439" s="1109">
        <v>0.86006700000000003</v>
      </c>
      <c r="E4439" s="816"/>
      <c r="F4439" s="856"/>
      <c r="G4439" s="78"/>
      <c r="H4439"/>
    </row>
    <row r="4440" spans="1:8" s="39" customFormat="1" hidden="1" outlineLevel="1" x14ac:dyDescent="0.25">
      <c r="A4440" s="846" t="s">
        <v>386</v>
      </c>
      <c r="B4440" s="695"/>
      <c r="C4440" s="696"/>
      <c r="D4440" s="1109">
        <v>0.88442399999999999</v>
      </c>
      <c r="E4440" s="816"/>
      <c r="F4440" s="856"/>
      <c r="G4440" s="78"/>
      <c r="H4440"/>
    </row>
    <row r="4441" spans="1:8" s="39" customFormat="1" hidden="1" outlineLevel="1" x14ac:dyDescent="0.25">
      <c r="A4441" s="846" t="s">
        <v>4182</v>
      </c>
      <c r="B4441" s="695"/>
      <c r="C4441" s="696"/>
      <c r="D4441" s="1110">
        <v>0.89866999999999997</v>
      </c>
      <c r="E4441" s="891"/>
      <c r="F4441" s="856"/>
      <c r="G4441" s="78"/>
      <c r="H4441"/>
    </row>
    <row r="4442" spans="1:8" s="39" customFormat="1" hidden="1" outlineLevel="1" x14ac:dyDescent="0.25">
      <c r="A4442" s="846" t="s">
        <v>4183</v>
      </c>
      <c r="B4442" s="695"/>
      <c r="C4442" s="696"/>
      <c r="D4442" s="1110">
        <v>0.87493399999999999</v>
      </c>
      <c r="E4442" s="891"/>
      <c r="F4442" s="856"/>
      <c r="G4442" s="78"/>
      <c r="H4442"/>
    </row>
    <row r="4443" spans="1:8" s="39" customFormat="1" hidden="1" outlineLevel="1" x14ac:dyDescent="0.25">
      <c r="A4443" s="846" t="s">
        <v>1018</v>
      </c>
      <c r="B4443" s="695"/>
      <c r="C4443" s="696"/>
      <c r="D4443" s="1110">
        <v>0.79011900000000002</v>
      </c>
      <c r="E4443" s="891"/>
      <c r="F4443" s="856"/>
      <c r="G4443" s="78"/>
      <c r="H4443"/>
    </row>
    <row r="4444" spans="1:8" s="39" customFormat="1" hidden="1" outlineLevel="1" x14ac:dyDescent="0.25">
      <c r="A4444" s="846" t="s">
        <v>1019</v>
      </c>
      <c r="B4444" s="695"/>
      <c r="C4444" s="696"/>
      <c r="D4444" s="1110">
        <v>0.80017899999999997</v>
      </c>
      <c r="E4444" s="891"/>
      <c r="F4444" s="856"/>
      <c r="G4444" s="78"/>
      <c r="H4444"/>
    </row>
    <row r="4445" spans="1:8" s="39" customFormat="1" hidden="1" outlineLevel="1" x14ac:dyDescent="0.25">
      <c r="A4445" s="846" t="s">
        <v>1020</v>
      </c>
      <c r="B4445" s="695"/>
      <c r="C4445" s="696"/>
      <c r="D4445" s="1110">
        <v>0.81583799999999995</v>
      </c>
      <c r="E4445" s="891"/>
      <c r="F4445" s="856"/>
      <c r="G4445" s="78"/>
      <c r="H4445"/>
    </row>
    <row r="4446" spans="1:8" s="39" customFormat="1" hidden="1" outlineLevel="1" x14ac:dyDescent="0.25">
      <c r="A4446" s="1111"/>
      <c r="B4446" s="695"/>
      <c r="C4446" s="696"/>
      <c r="D4446" s="696"/>
      <c r="E4446" s="891"/>
      <c r="F4446" s="856"/>
      <c r="G4446" s="78"/>
      <c r="H4446"/>
    </row>
    <row r="4447" spans="1:8" s="39" customFormat="1" hidden="1" outlineLevel="1" x14ac:dyDescent="0.25">
      <c r="A4447" s="1111"/>
      <c r="B4447" s="695"/>
      <c r="C4447" s="696"/>
      <c r="D4447" s="696"/>
      <c r="E4447" s="891"/>
      <c r="F4447" s="856"/>
      <c r="G4447" s="78"/>
      <c r="H4447"/>
    </row>
    <row r="4448" spans="1:8" s="39" customFormat="1" hidden="1" outlineLevel="1" x14ac:dyDescent="0.25">
      <c r="A4448" s="695"/>
      <c r="B4448" s="695"/>
      <c r="C4448" s="696"/>
      <c r="D4448" s="697" t="s">
        <v>3702</v>
      </c>
      <c r="E4448" s="698">
        <f>indexy!$B$2</f>
        <v>45379</v>
      </c>
      <c r="F4448" s="699"/>
      <c r="G4448" s="78"/>
      <c r="H4448"/>
    </row>
    <row r="4449" spans="1:12" s="39" customFormat="1" hidden="1" outlineLevel="1" x14ac:dyDescent="0.25">
      <c r="A4449" s="689" t="s">
        <v>4156</v>
      </c>
      <c r="B4449" s="689" t="s">
        <v>4153</v>
      </c>
      <c r="C4449" s="700" t="s">
        <v>112</v>
      </c>
      <c r="D4449" s="689" t="s">
        <v>4155</v>
      </c>
      <c r="E4449" s="689" t="s">
        <v>4154</v>
      </c>
      <c r="F4449" s="1188" t="s">
        <v>2519</v>
      </c>
      <c r="G4449" s="78"/>
      <c r="H4449"/>
    </row>
    <row r="4450" spans="1:12" s="39" customFormat="1" hidden="1" outlineLevel="1" x14ac:dyDescent="0.25">
      <c r="A4450" s="734">
        <v>0.04</v>
      </c>
      <c r="B4450" s="755" t="s">
        <v>1993</v>
      </c>
      <c r="C4450" s="807">
        <v>69.212000000000003</v>
      </c>
      <c r="D4450" s="1090">
        <f>VLOOKUP(H4450,indexy!$C$44:$D$252,2,FALSE)+VLOOKUP(I4450,indexy!C:D,2,0)</f>
        <v>135.24</v>
      </c>
      <c r="E4450" s="742">
        <f t="shared" ref="E4450:E4455" si="159">D4450/C4450-1</f>
        <v>0.95399641680633418</v>
      </c>
      <c r="F4450" s="946">
        <f t="shared" ref="F4450:F4455" si="160">E4450*A4450</f>
        <v>3.815985667225337E-2</v>
      </c>
      <c r="G4450" s="78"/>
      <c r="H4450" t="str">
        <f>VLOOKUP(B4450,indexy!$A$44:$D$234,3,FALSE)</f>
        <v>MO UN Equity</v>
      </c>
      <c r="I4450" s="39" t="s">
        <v>3533</v>
      </c>
    </row>
    <row r="4451" spans="1:12" s="39" customFormat="1" hidden="1" outlineLevel="1" x14ac:dyDescent="0.25">
      <c r="A4451" s="739">
        <v>0.04</v>
      </c>
      <c r="B4451" s="743" t="s">
        <v>2984</v>
      </c>
      <c r="C4451" s="1112">
        <v>16.687999999999999</v>
      </c>
      <c r="D4451" s="1091">
        <f>VLOOKUP(H4451,indexy!$C$44:$D$252,2,FALSE)</f>
        <v>11.04</v>
      </c>
      <c r="E4451" s="742">
        <f t="shared" si="159"/>
        <v>-0.33844678811121764</v>
      </c>
      <c r="F4451" s="946">
        <f t="shared" si="160"/>
        <v>-1.3537871524448707E-2</v>
      </c>
      <c r="G4451" s="78"/>
      <c r="H4451" t="str">
        <f>VLOOKUP(B4451,indexy!$A$44:$D$234,3,FALSE)</f>
        <v>BBVA SM Equity</v>
      </c>
      <c r="J4451" t="s">
        <v>2040</v>
      </c>
      <c r="K4451" t="s">
        <v>561</v>
      </c>
      <c r="L4451" t="s">
        <v>4577</v>
      </c>
    </row>
    <row r="4452" spans="1:12" s="39" customFormat="1" hidden="1" outlineLevel="1" x14ac:dyDescent="0.25">
      <c r="A4452" s="739">
        <v>0.03</v>
      </c>
      <c r="B4452" s="743" t="s">
        <v>157</v>
      </c>
      <c r="C4452" s="1112">
        <v>13.625999999999999</v>
      </c>
      <c r="D4452" s="1091">
        <f>VLOOKUP(H4452,indexy!$C$44:$D$252,2,FALSE)</f>
        <v>4.5214999999999996</v>
      </c>
      <c r="E4452" s="742">
        <f t="shared" si="159"/>
        <v>-0.66817114340231909</v>
      </c>
      <c r="F4452" s="946">
        <f t="shared" si="160"/>
        <v>-2.0045134302069573E-2</v>
      </c>
      <c r="G4452" s="78"/>
      <c r="H4452" t="str">
        <f>VLOOKUP(B4452,indexy!$A$44:$D$234,3,FALSE)</f>
        <v>SAN SM Equity</v>
      </c>
      <c r="J4452" s="256">
        <v>40787</v>
      </c>
      <c r="K4452">
        <v>69.972899999999996</v>
      </c>
      <c r="L4452" s="37">
        <f>IF(K4452="",L4451,K4452/100-1)</f>
        <v>-0.30027100000000007</v>
      </c>
    </row>
    <row r="4453" spans="1:12" s="39" customFormat="1" hidden="1" outlineLevel="1" x14ac:dyDescent="0.25">
      <c r="A4453" s="739">
        <v>0.03</v>
      </c>
      <c r="B4453" s="740" t="s">
        <v>901</v>
      </c>
      <c r="C4453" s="1112">
        <v>1733</v>
      </c>
      <c r="D4453" s="1091">
        <f>VLOOKUP(H4453,indexy!$C$44:$D$252,2,FALSE)</f>
        <v>2406</v>
      </c>
      <c r="E4453" s="742">
        <f t="shared" si="159"/>
        <v>0.38834391229082521</v>
      </c>
      <c r="F4453" s="946">
        <f t="shared" si="160"/>
        <v>1.1650317368724756E-2</v>
      </c>
      <c r="G4453" s="78"/>
      <c r="H4453" t="str">
        <f>VLOOKUP(B4453,indexy!$A$44:$D$234,3,FALSE)</f>
        <v>BATS LN Equity</v>
      </c>
      <c r="J4453" s="256">
        <v>40817</v>
      </c>
      <c r="K4453">
        <v>62.475099999999998</v>
      </c>
      <c r="L4453" s="37">
        <f t="shared" ref="L4453:L4469" si="161">IF(K4453="",L4452,K4453/100-1)</f>
        <v>-0.37524900000000005</v>
      </c>
    </row>
    <row r="4454" spans="1:12" s="39" customFormat="1" hidden="1" outlineLevel="1" x14ac:dyDescent="0.25">
      <c r="A4454" s="739">
        <v>0.03</v>
      </c>
      <c r="B4454" s="743" t="s">
        <v>1847</v>
      </c>
      <c r="C4454" s="1112">
        <f>47.161*10</f>
        <v>471.61</v>
      </c>
      <c r="D4454" s="1091">
        <f>VLOOKUP(H4454,indexy!$C$44:$D$252,2,FALSE)</f>
        <v>63.24</v>
      </c>
      <c r="E4454" s="742">
        <f t="shared" si="159"/>
        <v>-0.86590615126905712</v>
      </c>
      <c r="F4454" s="946">
        <f t="shared" si="160"/>
        <v>-2.5977184538071713E-2</v>
      </c>
      <c r="G4454" s="78"/>
      <c r="H4454" t="str">
        <f>VLOOKUP(B4454,indexy!$A$44:$D$234,3,FALSE)</f>
        <v>C UN Equity</v>
      </c>
      <c r="J4454" s="256">
        <v>40848</v>
      </c>
      <c r="K4454">
        <v>66.206599999999995</v>
      </c>
      <c r="L4454" s="37">
        <f t="shared" si="161"/>
        <v>-0.33793400000000007</v>
      </c>
    </row>
    <row r="4455" spans="1:12" s="39" customFormat="1" hidden="1" outlineLevel="1" x14ac:dyDescent="0.25">
      <c r="A4455" s="739">
        <v>0.02</v>
      </c>
      <c r="B4455" s="740" t="s">
        <v>1212</v>
      </c>
      <c r="C4455" s="1112">
        <v>78.510000000000005</v>
      </c>
      <c r="D4455" s="1091" t="e">
        <f>VLOOKUP(H4455,indexy!$C$44:$D$252,2,FALSE)</f>
        <v>#N/A</v>
      </c>
      <c r="E4455" s="742" t="e">
        <f t="shared" si="159"/>
        <v>#N/A</v>
      </c>
      <c r="F4455" s="946" t="e">
        <f t="shared" si="160"/>
        <v>#N/A</v>
      </c>
      <c r="G4455" s="78"/>
      <c r="H4455" t="e">
        <f>VLOOKUP(B4455,indexy!$A$44:$D$234,3,FALSE)</f>
        <v>#N/A</v>
      </c>
      <c r="J4455" s="256">
        <v>40878</v>
      </c>
      <c r="K4455" s="424">
        <v>65.552000000000007</v>
      </c>
      <c r="L4455" s="37">
        <f t="shared" si="161"/>
        <v>-0.3444799999999999</v>
      </c>
    </row>
    <row r="4456" spans="1:12" s="39" customFormat="1" hidden="1" outlineLevel="1" x14ac:dyDescent="0.25">
      <c r="A4456" s="739">
        <v>0.03</v>
      </c>
      <c r="B4456" s="996" t="s">
        <v>1108</v>
      </c>
      <c r="C4456" s="1112">
        <v>91.721000000000004</v>
      </c>
      <c r="D4456" s="1091">
        <f>VLOOKUP(H4456,indexy!$C$44:$D$252,2,FALSE)</f>
        <v>14.582000000000001</v>
      </c>
      <c r="E4456" s="742">
        <f t="shared" ref="E4456:E4479" si="162">D4456/C4456-1</f>
        <v>-0.84101786940831436</v>
      </c>
      <c r="F4456" s="946">
        <f t="shared" ref="F4456:F4479" si="163">E4456*A4456</f>
        <v>-2.5230536082249431E-2</v>
      </c>
      <c r="G4456" s="78"/>
      <c r="H4456" t="str">
        <f>VLOOKUP(B4456,indexy!$A$44:$D$234,3,FALSE)</f>
        <v>DBK GY Equity</v>
      </c>
      <c r="J4456" s="256">
        <v>40909</v>
      </c>
      <c r="K4456" s="424">
        <v>66.95</v>
      </c>
      <c r="L4456" s="37">
        <f t="shared" si="161"/>
        <v>-0.33050000000000002</v>
      </c>
    </row>
    <row r="4457" spans="1:12" s="39" customFormat="1" hidden="1" outlineLevel="1" x14ac:dyDescent="0.25">
      <c r="A4457" s="739">
        <v>0.02</v>
      </c>
      <c r="B4457" s="743" t="s">
        <v>3406</v>
      </c>
      <c r="C4457" s="809">
        <v>1084.9000000000001</v>
      </c>
      <c r="D4457" s="908">
        <f>VLOOKUP(H4457,indexy!$C$44:$D$252,2,FALSE)</f>
        <v>2925.5</v>
      </c>
      <c r="E4457" s="709">
        <f t="shared" si="162"/>
        <v>1.6965618951055395</v>
      </c>
      <c r="F4457" s="946">
        <f t="shared" si="163"/>
        <v>3.3931237902110792E-2</v>
      </c>
      <c r="G4457" s="78"/>
      <c r="H4457" t="str">
        <f>VLOOKUP(B4457,indexy!$A$44:$D$234,3,FALSE)</f>
        <v>DGE LN Equity</v>
      </c>
      <c r="J4457" s="256">
        <v>40940</v>
      </c>
      <c r="K4457">
        <v>67.172799999999995</v>
      </c>
      <c r="L4457" s="37">
        <f t="shared" si="161"/>
        <v>-0.32827200000000001</v>
      </c>
    </row>
    <row r="4458" spans="1:12" s="39" customFormat="1" hidden="1" outlineLevel="1" x14ac:dyDescent="0.25">
      <c r="A4458" s="739">
        <v>0.05</v>
      </c>
      <c r="B4458" s="743" t="s">
        <v>4110</v>
      </c>
      <c r="C4458" s="809">
        <f>85.867/2</f>
        <v>42.933500000000002</v>
      </c>
      <c r="D4458" s="908" t="e">
        <f>VLOOKUP(H4458,indexy!$C$44:$D$252,2,FALSE)</f>
        <v>#N/A</v>
      </c>
      <c r="E4458" s="709" t="e">
        <f t="shared" si="162"/>
        <v>#N/A</v>
      </c>
      <c r="F4458" s="946" t="e">
        <f t="shared" si="163"/>
        <v>#N/A</v>
      </c>
      <c r="G4458" s="78"/>
      <c r="H4458" t="e">
        <f>VLOOKUP(B4458,indexy!$A$44:$D$234,3,FALSE)</f>
        <v>#N/A</v>
      </c>
      <c r="J4458" s="256">
        <v>40969</v>
      </c>
      <c r="K4458">
        <v>70.468900000000005</v>
      </c>
      <c r="L4458" s="37">
        <f t="shared" si="161"/>
        <v>-0.29531099999999999</v>
      </c>
    </row>
    <row r="4459" spans="1:12" s="39" customFormat="1" hidden="1" outlineLevel="1" x14ac:dyDescent="0.25">
      <c r="A4459" s="739">
        <v>0.02</v>
      </c>
      <c r="B4459" s="743" t="s">
        <v>4387</v>
      </c>
      <c r="C4459" s="809">
        <f>128.163/3</f>
        <v>42.721000000000004</v>
      </c>
      <c r="D4459" s="908">
        <f>VLOOKUP(H4459,indexy!$C$44:$D$252,2,FALSE)</f>
        <v>12.885</v>
      </c>
      <c r="E4459" s="709">
        <f t="shared" si="162"/>
        <v>-0.6983918915755718</v>
      </c>
      <c r="F4459" s="946">
        <f t="shared" si="163"/>
        <v>-1.3967837831511436E-2</v>
      </c>
      <c r="G4459" s="78"/>
      <c r="H4459" t="str">
        <f>VLOOKUP(B4459,indexy!$A$44:$D$234,3,FALSE)</f>
        <v>EOAN GY Equity</v>
      </c>
      <c r="J4459" s="256">
        <v>41000</v>
      </c>
      <c r="K4459">
        <v>68.391599999999997</v>
      </c>
      <c r="L4459" s="37">
        <f t="shared" si="161"/>
        <v>-0.31608400000000003</v>
      </c>
    </row>
    <row r="4460" spans="1:12" s="39" customFormat="1" hidden="1" outlineLevel="1" x14ac:dyDescent="0.25">
      <c r="A4460" s="739">
        <v>0.04</v>
      </c>
      <c r="B4460" s="740" t="s">
        <v>4064</v>
      </c>
      <c r="C4460" s="809">
        <v>57.860999999999997</v>
      </c>
      <c r="D4460" s="908">
        <f>VLOOKUP(H4460,indexy!$C$44:$D$252,2,FALSE)</f>
        <v>777.96</v>
      </c>
      <c r="E4460" s="709">
        <f t="shared" si="162"/>
        <v>12.445325867164412</v>
      </c>
      <c r="F4460" s="946">
        <f t="shared" si="163"/>
        <v>0.49781303468657651</v>
      </c>
      <c r="G4460" s="78"/>
      <c r="H4460" t="str">
        <f>VLOOKUP(B4460,indexy!$A$44:$D$234,3,FALSE)</f>
        <v>LLY UN Equity</v>
      </c>
      <c r="J4460" s="256">
        <v>41030</v>
      </c>
      <c r="K4460">
        <v>64.189599999999999</v>
      </c>
      <c r="L4460" s="37">
        <f t="shared" si="161"/>
        <v>-0.35810399999999998</v>
      </c>
    </row>
    <row r="4461" spans="1:12" s="39" customFormat="1" hidden="1" outlineLevel="1" x14ac:dyDescent="0.25">
      <c r="A4461" s="739">
        <v>0.06</v>
      </c>
      <c r="B4461" s="743" t="s">
        <v>3798</v>
      </c>
      <c r="C4461" s="809">
        <v>7.9554999999999998</v>
      </c>
      <c r="D4461" s="908">
        <f>VLOOKUP(H4461,indexy!$C$44:$D$252,2,FALSE)</f>
        <v>6.1189999999999998</v>
      </c>
      <c r="E4461" s="709">
        <f t="shared" si="162"/>
        <v>-0.23084658412419079</v>
      </c>
      <c r="F4461" s="946">
        <f t="shared" si="163"/>
        <v>-1.3850795047451446E-2</v>
      </c>
      <c r="G4461" s="78"/>
      <c r="H4461" t="str">
        <f>VLOOKUP(B4461,indexy!$A$44:$D$234,3,FALSE)</f>
        <v>ENEL IM Equity</v>
      </c>
      <c r="J4461" s="256">
        <v>41061</v>
      </c>
      <c r="K4461">
        <v>68.389399999999995</v>
      </c>
      <c r="L4461" s="37">
        <f t="shared" si="161"/>
        <v>-0.316106</v>
      </c>
    </row>
    <row r="4462" spans="1:12" s="39" customFormat="1" hidden="1" outlineLevel="1" x14ac:dyDescent="0.25">
      <c r="A4462" s="739">
        <v>0.03</v>
      </c>
      <c r="B4462" s="996" t="s">
        <v>4268</v>
      </c>
      <c r="C4462" s="809">
        <v>25.562999999999999</v>
      </c>
      <c r="D4462" s="908">
        <f>VLOOKUP(H4462,indexy!$C$44:$D$252,2,FALSE)</f>
        <v>11.445</v>
      </c>
      <c r="E4462" s="709">
        <f t="shared" si="162"/>
        <v>-0.55228259593944373</v>
      </c>
      <c r="F4462" s="946">
        <f t="shared" si="163"/>
        <v>-1.6568477878183312E-2</v>
      </c>
      <c r="G4462" s="78"/>
      <c r="H4462" t="str">
        <f>VLOOKUP(B4462,indexy!$A$44:$D$234,3,FALSE)</f>
        <v>FORTUM FH Equity</v>
      </c>
      <c r="J4462" s="256">
        <v>41091</v>
      </c>
      <c r="K4462">
        <v>69.248599999999996</v>
      </c>
      <c r="L4462" s="37">
        <f t="shared" si="161"/>
        <v>-0.30751400000000007</v>
      </c>
    </row>
    <row r="4463" spans="1:12" s="39" customFormat="1" hidden="1" outlineLevel="1" x14ac:dyDescent="0.25">
      <c r="A4463" s="739">
        <v>0.04</v>
      </c>
      <c r="B4463" s="743" t="s">
        <v>1771</v>
      </c>
      <c r="C4463" s="809">
        <v>916.25</v>
      </c>
      <c r="D4463" s="908">
        <f>VLOOKUP(H4463,indexy!$C$44:$D$252,2,FALSE)</f>
        <v>619</v>
      </c>
      <c r="E4463" s="709">
        <f t="shared" si="162"/>
        <v>-0.32442019099590724</v>
      </c>
      <c r="F4463" s="946">
        <f t="shared" si="163"/>
        <v>-1.297680763983629E-2</v>
      </c>
      <c r="G4463" s="78"/>
      <c r="H4463" t="str">
        <f>VLOOKUP(B4463,indexy!$A$44:$D$234,3,FALSE)</f>
        <v>HSBA LN Equity</v>
      </c>
      <c r="J4463" s="256">
        <v>41122</v>
      </c>
      <c r="K4463">
        <v>70.593199999999996</v>
      </c>
      <c r="L4463" s="37">
        <f t="shared" si="161"/>
        <v>-0.294068</v>
      </c>
    </row>
    <row r="4464" spans="1:12" s="39" customFormat="1" hidden="1" outlineLevel="1" x14ac:dyDescent="0.25">
      <c r="A4464" s="739">
        <v>0.06</v>
      </c>
      <c r="B4464" s="743" t="s">
        <v>2588</v>
      </c>
      <c r="C4464" s="809">
        <v>31.27</v>
      </c>
      <c r="D4464" s="908">
        <f>VLOOKUP(H4464,indexy!$C$44:$D$252,2,FALSE)</f>
        <v>15.246</v>
      </c>
      <c r="E4464" s="709">
        <f t="shared" si="162"/>
        <v>-0.51244003837543972</v>
      </c>
      <c r="F4464" s="946">
        <f t="shared" si="163"/>
        <v>-3.0746402302526381E-2</v>
      </c>
      <c r="G4464" s="78"/>
      <c r="H4464" t="str">
        <f>VLOOKUP(B4464,indexy!$A$44:$D$234,3,FALSE)</f>
        <v>INGA NA Equity</v>
      </c>
      <c r="J4464" s="256">
        <v>41153</v>
      </c>
      <c r="K4464">
        <v>71.443200000000004</v>
      </c>
      <c r="L4464" s="37">
        <f t="shared" si="161"/>
        <v>-0.28556799999999993</v>
      </c>
    </row>
    <row r="4465" spans="1:12" s="39" customFormat="1" hidden="1" outlineLevel="1" x14ac:dyDescent="0.25">
      <c r="A4465" s="739">
        <v>0.02</v>
      </c>
      <c r="B4465" s="743" t="s">
        <v>4376</v>
      </c>
      <c r="C4465" s="809">
        <v>46.594999999999999</v>
      </c>
      <c r="D4465" s="908">
        <f>VLOOKUP(H4465,indexy!$C$44:$D$252,2,FALSE)</f>
        <v>200.3</v>
      </c>
      <c r="E4465" s="709">
        <f t="shared" si="162"/>
        <v>3.2987445004828846</v>
      </c>
      <c r="F4465" s="946">
        <f t="shared" si="163"/>
        <v>6.59748900096577E-2</v>
      </c>
      <c r="G4465" s="78"/>
      <c r="H4465" t="str">
        <f>VLOOKUP(B4465,indexy!$A$44:$D$234,3,FALSE)</f>
        <v>JPM UN Equity</v>
      </c>
      <c r="J4465" s="256">
        <v>41183</v>
      </c>
      <c r="K4465">
        <v>71.755499999999998</v>
      </c>
      <c r="L4465" s="37">
        <f t="shared" si="161"/>
        <v>-0.28244500000000006</v>
      </c>
    </row>
    <row r="4466" spans="1:12" s="39" customFormat="1" hidden="1" outlineLevel="1" x14ac:dyDescent="0.25">
      <c r="A4466" s="739">
        <v>0.05</v>
      </c>
      <c r="B4466" s="740" t="s">
        <v>123</v>
      </c>
      <c r="C4466" s="809">
        <v>41.043999999999997</v>
      </c>
      <c r="D4466" s="908">
        <f>VLOOKUP(H4466,indexy!$C$44:$D$252,2,FALSE)</f>
        <v>33.83</v>
      </c>
      <c r="E4466" s="709">
        <f t="shared" si="162"/>
        <v>-0.17576259623818336</v>
      </c>
      <c r="F4466" s="946">
        <f t="shared" si="163"/>
        <v>-8.7881298119091688E-3</v>
      </c>
      <c r="G4466" s="78"/>
      <c r="H4466" t="str">
        <f>VLOOKUP(B4466,indexy!$A$44:$D$234,3,FALSE)</f>
        <v>MFC CT Equity</v>
      </c>
      <c r="J4466" s="256">
        <v>41214</v>
      </c>
      <c r="K4466">
        <v>72.879300000000001</v>
      </c>
      <c r="L4466" s="37">
        <f t="shared" si="161"/>
        <v>-0.27120699999999998</v>
      </c>
    </row>
    <row r="4467" spans="1:12" s="39" customFormat="1" hidden="1" outlineLevel="1" x14ac:dyDescent="0.25">
      <c r="A4467" s="739">
        <v>0.02</v>
      </c>
      <c r="B4467" s="743" t="s">
        <v>2787</v>
      </c>
      <c r="C4467" s="809">
        <v>64.31</v>
      </c>
      <c r="D4467" s="908">
        <f>VLOOKUP(H4467,indexy!$C$44:$D$252,2,FALSE)</f>
        <v>87.37</v>
      </c>
      <c r="E4467" s="709">
        <f t="shared" si="162"/>
        <v>0.35857564919919138</v>
      </c>
      <c r="F4467" s="946">
        <f t="shared" si="163"/>
        <v>7.1715129839838281E-3</v>
      </c>
      <c r="G4467" s="78"/>
      <c r="H4467" t="str">
        <f>VLOOKUP(B4467,indexy!$A$44:$D$234,3,FALSE)</f>
        <v>NOVN SE Equity</v>
      </c>
      <c r="J4467" s="256">
        <v>41244</v>
      </c>
      <c r="K4467">
        <v>72.784499999999994</v>
      </c>
      <c r="L4467" s="37">
        <f t="shared" si="161"/>
        <v>-0.27215500000000004</v>
      </c>
    </row>
    <row r="4468" spans="1:12" s="39" customFormat="1" hidden="1" outlineLevel="1" x14ac:dyDescent="0.25">
      <c r="A4468" s="739">
        <v>0.04</v>
      </c>
      <c r="B4468" s="743" t="s">
        <v>1414</v>
      </c>
      <c r="C4468" s="809">
        <v>24.716000000000001</v>
      </c>
      <c r="D4468" s="908">
        <f>VLOOKUP(H4468,indexy!$C$44:$D$252,2,FALSE)</f>
        <v>27.75</v>
      </c>
      <c r="E4468" s="709">
        <f t="shared" si="162"/>
        <v>0.1227544910179641</v>
      </c>
      <c r="F4468" s="946">
        <f t="shared" si="163"/>
        <v>4.9101796407185639E-3</v>
      </c>
      <c r="G4468" s="78"/>
      <c r="H4468" t="str">
        <f>VLOOKUP(B4468,indexy!$A$44:$D$234,3,FALSE)</f>
        <v>PFE UN Equity</v>
      </c>
      <c r="J4468" s="256">
        <v>41275</v>
      </c>
      <c r="K4468">
        <v>76.643199999999993</v>
      </c>
      <c r="L4468" s="37">
        <f t="shared" si="161"/>
        <v>-0.23356800000000011</v>
      </c>
    </row>
    <row r="4469" spans="1:12" s="39" customFormat="1" hidden="1" outlineLevel="1" x14ac:dyDescent="0.25">
      <c r="A4469" s="739">
        <v>0.02</v>
      </c>
      <c r="B4469" s="743" t="s">
        <v>1653</v>
      </c>
      <c r="C4469" s="809">
        <v>13.335000000000001</v>
      </c>
      <c r="D4469" s="908">
        <f>VLOOKUP(H4469,indexy!$C$44:$D$252,2,FALSE)</f>
        <v>40.15</v>
      </c>
      <c r="E4469" s="709">
        <f t="shared" si="162"/>
        <v>2.0108736407949004</v>
      </c>
      <c r="F4469" s="946">
        <f t="shared" si="163"/>
        <v>4.0217472815898006E-2</v>
      </c>
      <c r="G4469" s="78"/>
      <c r="H4469" t="str">
        <f>VLOOKUP(B4469,indexy!$A$44:$D$234,3,FALSE)</f>
        <v>REN NA Equity</v>
      </c>
      <c r="J4469" s="256">
        <v>41306</v>
      </c>
      <c r="K4469">
        <v>76.622699999999995</v>
      </c>
      <c r="L4469" s="37">
        <f t="shared" si="161"/>
        <v>-0.23377300000000001</v>
      </c>
    </row>
    <row r="4470" spans="1:12" s="39" customFormat="1" hidden="1" outlineLevel="1" x14ac:dyDescent="0.25">
      <c r="A4470" s="739">
        <v>0.04</v>
      </c>
      <c r="B4470" s="740" t="s">
        <v>2753</v>
      </c>
      <c r="C4470" s="809">
        <f>63.136/2</f>
        <v>31.568000000000001</v>
      </c>
      <c r="D4470" s="908">
        <f>VLOOKUP(H4470,indexy!$C$44:$D$252,2,FALSE)</f>
        <v>65.400000000000006</v>
      </c>
      <c r="E4470" s="709">
        <f t="shared" si="162"/>
        <v>1.0717181956411559</v>
      </c>
      <c r="F4470" s="946">
        <f t="shared" si="163"/>
        <v>4.2868727825646234E-2</v>
      </c>
      <c r="G4470" s="78"/>
      <c r="H4470" t="str">
        <f>VLOOKUP(B4470,indexy!$A$44:$D$234,3,FALSE)</f>
        <v>RAI UN Equity</v>
      </c>
      <c r="J4470" s="264" t="s">
        <v>2465</v>
      </c>
      <c r="K4470" s="412"/>
      <c r="L4470" s="261">
        <f>AVERAGE(L4452:L4469)</f>
        <v>-0.30458938888888887</v>
      </c>
    </row>
    <row r="4471" spans="1:12" s="39" customFormat="1" hidden="1" outlineLevel="1" x14ac:dyDescent="0.25">
      <c r="A4471" s="739">
        <v>0.03</v>
      </c>
      <c r="B4471" s="743" t="s">
        <v>3801</v>
      </c>
      <c r="C4471" s="809">
        <v>87.335999999999999</v>
      </c>
      <c r="D4471" s="908">
        <f>VLOOKUP(H4471,indexy!$C$44:$D$252,2,FALSE)</f>
        <v>31.46</v>
      </c>
      <c r="E4471" s="709">
        <f t="shared" si="162"/>
        <v>-0.63978199138957592</v>
      </c>
      <c r="F4471" s="946">
        <f t="shared" si="163"/>
        <v>-1.9193459741687277E-2</v>
      </c>
      <c r="G4471" s="78"/>
      <c r="H4471" t="str">
        <f>VLOOKUP(B4471,indexy!$A$44:$D$234,3,FALSE)</f>
        <v>RWE GY Equity</v>
      </c>
    </row>
    <row r="4472" spans="1:12" s="39" customFormat="1" hidden="1" outlineLevel="1" x14ac:dyDescent="0.25">
      <c r="A4472" s="739">
        <v>0.03</v>
      </c>
      <c r="B4472" s="743" t="s">
        <v>1187</v>
      </c>
      <c r="C4472" s="809">
        <v>60.091999999999999</v>
      </c>
      <c r="D4472" s="908">
        <f>VLOOKUP(H4472,indexy!$C$44:$D$252,2,FALSE)</f>
        <v>90.96</v>
      </c>
      <c r="E4472" s="709">
        <f t="shared" si="162"/>
        <v>0.51367902549424205</v>
      </c>
      <c r="F4472" s="946">
        <f t="shared" si="163"/>
        <v>1.541037076482726E-2</v>
      </c>
      <c r="G4472" s="78"/>
      <c r="H4472" t="str">
        <f>VLOOKUP(B4472,indexy!$A$44:$D$234,3,FALSE)</f>
        <v>SAN FP Equity</v>
      </c>
    </row>
    <row r="4473" spans="1:12" s="39" customFormat="1" hidden="1" outlineLevel="1" x14ac:dyDescent="0.25">
      <c r="A4473" s="739">
        <v>0.02</v>
      </c>
      <c r="B4473" s="996" t="s">
        <v>898</v>
      </c>
      <c r="C4473" s="809">
        <v>51.984000000000002</v>
      </c>
      <c r="D4473" s="908">
        <f>VLOOKUP(H4473,indexy!$C$44:$D$252,2,FALSE)</f>
        <v>73.91</v>
      </c>
      <c r="E4473" s="709">
        <f t="shared" si="162"/>
        <v>0.42178362573099393</v>
      </c>
      <c r="F4473" s="946">
        <f t="shared" si="163"/>
        <v>8.4356725146198779E-3</v>
      </c>
      <c r="G4473" s="78"/>
      <c r="H4473" t="str">
        <f>VLOOKUP(B4473,indexy!$A$44:$D$234,3,FALSE)</f>
        <v>SLF CT Equity</v>
      </c>
    </row>
    <row r="4474" spans="1:12" s="39" customFormat="1" hidden="1" outlineLevel="1" x14ac:dyDescent="0.25">
      <c r="A4474" s="739">
        <v>0.02</v>
      </c>
      <c r="B4474" s="996" t="s">
        <v>231</v>
      </c>
      <c r="C4474" s="809">
        <v>76.896000000000001</v>
      </c>
      <c r="D4474" s="908" t="e">
        <f>VLOOKUP(H4474,indexy!$C$44:$D$252,2,FALSE)</f>
        <v>#N/A</v>
      </c>
      <c r="E4474" s="709" t="e">
        <f t="shared" si="162"/>
        <v>#N/A</v>
      </c>
      <c r="F4474" s="946" t="e">
        <f t="shared" si="163"/>
        <v>#N/A</v>
      </c>
      <c r="G4474" s="78"/>
      <c r="H4474" t="e">
        <f>VLOOKUP(B4474,indexy!$A$44:$D$234,3,FALSE)</f>
        <v>#N/A</v>
      </c>
    </row>
    <row r="4475" spans="1:12" s="39" customFormat="1" hidden="1" outlineLevel="1" x14ac:dyDescent="0.25">
      <c r="A4475" s="739">
        <v>0.02</v>
      </c>
      <c r="B4475" s="996" t="s">
        <v>3902</v>
      </c>
      <c r="C4475" s="809">
        <v>119.22499999999999</v>
      </c>
      <c r="D4475" s="908" t="e">
        <f>VLOOKUP(H4475,indexy!$C$44:$D$252,2,FALSE)</f>
        <v>#N/A</v>
      </c>
      <c r="E4475" s="709" t="e">
        <f t="shared" si="162"/>
        <v>#N/A</v>
      </c>
      <c r="F4475" s="946" t="e">
        <f t="shared" si="163"/>
        <v>#N/A</v>
      </c>
      <c r="G4475" s="78"/>
      <c r="H4475" t="e">
        <f>VLOOKUP(B4475,indexy!$A$44:$D$234,3,FALSE)</f>
        <v>#N/A</v>
      </c>
    </row>
    <row r="4476" spans="1:12" s="39" customFormat="1" hidden="1" outlineLevel="1" x14ac:dyDescent="0.25">
      <c r="A4476" s="739">
        <v>0.04</v>
      </c>
      <c r="B4476" s="743" t="s">
        <v>1527</v>
      </c>
      <c r="C4476" s="809">
        <v>2.1358999999999999</v>
      </c>
      <c r="D4476" s="908">
        <f>VLOOKUP(H4476,indexy!$C$44:$D$252,2,FALSE)</f>
        <v>0.22509999999999999</v>
      </c>
      <c r="E4476" s="709">
        <f t="shared" si="162"/>
        <v>-0.89461117093496889</v>
      </c>
      <c r="F4476" s="946">
        <f t="shared" si="163"/>
        <v>-3.5784446837398759E-2</v>
      </c>
      <c r="G4476" s="78"/>
      <c r="H4476" t="str">
        <f>VLOOKUP(B4476,indexy!$A$44:$D$234,3,FALSE)</f>
        <v>TIT IM Equity</v>
      </c>
    </row>
    <row r="4477" spans="1:12" s="39" customFormat="1" hidden="1" outlineLevel="1" x14ac:dyDescent="0.25">
      <c r="A4477" s="739">
        <v>0.03</v>
      </c>
      <c r="B4477" s="743" t="s">
        <v>577</v>
      </c>
      <c r="C4477" s="809">
        <v>19.390999999999998</v>
      </c>
      <c r="D4477" s="908">
        <f>VLOOKUP(H4477,indexy!$C$44:$D$252,2,FALSE)</f>
        <v>4.0890000000000004</v>
      </c>
      <c r="E4477" s="709">
        <f t="shared" si="162"/>
        <v>-0.78912897736063115</v>
      </c>
      <c r="F4477" s="946">
        <f t="shared" si="163"/>
        <v>-2.3673869320818934E-2</v>
      </c>
      <c r="G4477" s="78"/>
      <c r="H4477" t="str">
        <f>VLOOKUP(B4477,indexy!$A$44:$D$234,3,FALSE)</f>
        <v>TEF SQ Equity</v>
      </c>
    </row>
    <row r="4478" spans="1:12" s="39" customFormat="1" hidden="1" outlineLevel="1" x14ac:dyDescent="0.25">
      <c r="A4478" s="739">
        <v>0.04</v>
      </c>
      <c r="B4478" s="743" t="s">
        <v>1183</v>
      </c>
      <c r="C4478" s="809">
        <v>56.732999999999997</v>
      </c>
      <c r="D4478" s="908" t="e">
        <f>VLOOKUP(H4478,indexy!$C$44:$D$252,2,FALSE)</f>
        <v>#N/A</v>
      </c>
      <c r="E4478" s="709" t="e">
        <f t="shared" si="162"/>
        <v>#N/A</v>
      </c>
      <c r="F4478" s="946" t="e">
        <f t="shared" si="163"/>
        <v>#N/A</v>
      </c>
      <c r="G4478" s="78"/>
      <c r="H4478" t="e">
        <f>VLOOKUP(B4478,indexy!$A$44:$D$234,3,FALSE)</f>
        <v>#N/A</v>
      </c>
    </row>
    <row r="4479" spans="1:12" s="39" customFormat="1" hidden="1" outlineLevel="1" x14ac:dyDescent="0.25">
      <c r="A4479" s="739">
        <v>0.04</v>
      </c>
      <c r="B4479" s="997" t="s">
        <v>3903</v>
      </c>
      <c r="C4479" s="810">
        <v>16.75</v>
      </c>
      <c r="D4479" s="908">
        <f>VLOOKUP(H4479,indexy!$C$44:$D$252,2,FALSE)</f>
        <v>30.87</v>
      </c>
      <c r="E4479" s="709">
        <f t="shared" si="162"/>
        <v>0.84298507462686567</v>
      </c>
      <c r="F4479" s="946">
        <f t="shared" si="163"/>
        <v>3.3719402985074629E-2</v>
      </c>
      <c r="G4479" s="78"/>
      <c r="H4479" t="str">
        <f>VLOOKUP(B4479,indexy!$A$44:$D$234,3,FALSE)</f>
        <v>UPM FH Equity</v>
      </c>
    </row>
    <row r="4480" spans="1:12" s="39" customFormat="1" hidden="1" outlineLevel="1" x14ac:dyDescent="0.25">
      <c r="A4480" s="717"/>
      <c r="B4480" s="718"/>
      <c r="C4480" s="998">
        <v>100</v>
      </c>
      <c r="D4480" s="719"/>
      <c r="E4480" s="720">
        <f>100%+L4470</f>
        <v>0.69541061111111113</v>
      </c>
      <c r="F4480" s="731" t="e">
        <f>SUM(F4450:F4479)</f>
        <v>#N/A</v>
      </c>
      <c r="G4480" s="78"/>
      <c r="H4480" s="101">
        <f>+E4480-D4443</f>
        <v>-9.4708388888888884E-2</v>
      </c>
    </row>
    <row r="4481" spans="1:14" s="39" customFormat="1" collapsed="1" x14ac:dyDescent="0.25">
      <c r="A4481" s="3801" t="s">
        <v>2323</v>
      </c>
      <c r="B4481" s="3802"/>
      <c r="C4481" s="3802"/>
      <c r="D4481" s="3802"/>
      <c r="E4481" s="721"/>
      <c r="F4481" s="722">
        <v>-0.05</v>
      </c>
      <c r="G4481" s="97" t="s">
        <v>781</v>
      </c>
      <c r="H4481"/>
    </row>
    <row r="4482" spans="1:14" s="39" customFormat="1" x14ac:dyDescent="0.25">
      <c r="A4482" s="180"/>
      <c r="B4482" s="181"/>
      <c r="C4482" s="181"/>
      <c r="D4482" s="181"/>
      <c r="E4482" s="182"/>
      <c r="F4482" s="182"/>
      <c r="G4482" s="12"/>
      <c r="M4482"/>
      <c r="N4482"/>
    </row>
    <row r="4483" spans="1:14" hidden="1" outlineLevel="1" x14ac:dyDescent="0.25">
      <c r="A4483" s="689" t="s">
        <v>113</v>
      </c>
      <c r="B4483" s="689" t="s">
        <v>114</v>
      </c>
      <c r="C4483" s="689" t="s">
        <v>112</v>
      </c>
      <c r="D4483" s="689" t="s">
        <v>4155</v>
      </c>
      <c r="E4483" s="689" t="s">
        <v>117</v>
      </c>
      <c r="F4483" s="1188" t="s">
        <v>121</v>
      </c>
      <c r="G4483" s="21"/>
      <c r="J4483" s="39"/>
      <c r="K4483" s="39"/>
      <c r="L4483" s="39"/>
    </row>
    <row r="4484" spans="1:14" hidden="1" outlineLevel="1" x14ac:dyDescent="0.25">
      <c r="A4484" s="732" t="s">
        <v>1021</v>
      </c>
      <c r="B4484" s="691" t="s">
        <v>2430</v>
      </c>
      <c r="C4484" s="692">
        <v>100</v>
      </c>
      <c r="D4484" s="1113">
        <v>89.529499999999999</v>
      </c>
      <c r="E4484" s="693">
        <v>-0.10470500000000005</v>
      </c>
      <c r="F4484" s="694">
        <v>-0.12564600000000006</v>
      </c>
      <c r="G4484" s="21"/>
    </row>
    <row r="4485" spans="1:14" collapsed="1" x14ac:dyDescent="0.25">
      <c r="A4485" s="3801" t="s">
        <v>2324</v>
      </c>
      <c r="B4485" s="3802"/>
      <c r="C4485" s="3802"/>
      <c r="D4485" s="3802"/>
      <c r="E4485" s="782" t="s">
        <v>2722</v>
      </c>
      <c r="F4485" s="722">
        <v>0</v>
      </c>
      <c r="G4485" s="97" t="s">
        <v>781</v>
      </c>
      <c r="M4485" s="39"/>
      <c r="N4485" s="39"/>
    </row>
    <row r="4486" spans="1:14" s="39" customFormat="1" x14ac:dyDescent="0.25">
      <c r="A4486" s="159"/>
      <c r="B4486" s="159"/>
      <c r="C4486" s="159"/>
      <c r="D4486" s="159"/>
      <c r="E4486" s="160"/>
      <c r="F4486" s="160"/>
      <c r="G4486" s="12"/>
      <c r="J4486"/>
      <c r="K4486"/>
      <c r="L4486"/>
    </row>
    <row r="4487" spans="1:14" s="39" customFormat="1" hidden="1" outlineLevel="1" x14ac:dyDescent="0.25">
      <c r="A4487" s="689" t="s">
        <v>113</v>
      </c>
      <c r="B4487" s="689" t="s">
        <v>114</v>
      </c>
      <c r="C4487" s="689" t="s">
        <v>112</v>
      </c>
      <c r="D4487" s="689" t="s">
        <v>116</v>
      </c>
      <c r="E4487" s="689" t="s">
        <v>117</v>
      </c>
      <c r="F4487" s="1188" t="s">
        <v>121</v>
      </c>
      <c r="G4487" s="78"/>
      <c r="H4487"/>
    </row>
    <row r="4488" spans="1:14" s="39" customFormat="1" hidden="1" outlineLevel="1" x14ac:dyDescent="0.25">
      <c r="A4488" s="690">
        <v>1</v>
      </c>
      <c r="B4488" s="691" t="s">
        <v>252</v>
      </c>
      <c r="C4488" s="692">
        <v>100</v>
      </c>
      <c r="D4488" s="692"/>
      <c r="E4488" s="693"/>
      <c r="F4488" s="694"/>
      <c r="G4488" s="78"/>
      <c r="H4488"/>
    </row>
    <row r="4489" spans="1:14" s="39" customFormat="1" hidden="1" outlineLevel="1" x14ac:dyDescent="0.25">
      <c r="A4489" s="695"/>
      <c r="B4489" s="695"/>
      <c r="C4489" s="696"/>
      <c r="D4489" s="697" t="s">
        <v>3702</v>
      </c>
      <c r="E4489" s="698">
        <f>indexy!$B$2</f>
        <v>45379</v>
      </c>
      <c r="F4489" s="699"/>
      <c r="G4489" s="78"/>
      <c r="H4489"/>
    </row>
    <row r="4490" spans="1:14" s="39" customFormat="1" hidden="1" outlineLevel="1" x14ac:dyDescent="0.25">
      <c r="A4490" s="689" t="s">
        <v>4156</v>
      </c>
      <c r="B4490" s="689" t="s">
        <v>4153</v>
      </c>
      <c r="C4490" s="497" t="s">
        <v>112</v>
      </c>
      <c r="D4490" s="495" t="s">
        <v>116</v>
      </c>
      <c r="E4490" s="689" t="s">
        <v>4154</v>
      </c>
      <c r="F4490" s="1021" t="s">
        <v>2519</v>
      </c>
      <c r="G4490" s="78"/>
      <c r="H4490"/>
    </row>
    <row r="4491" spans="1:14" s="39" customFormat="1" hidden="1" outlineLevel="1" x14ac:dyDescent="0.25">
      <c r="A4491" s="999">
        <v>0.05</v>
      </c>
      <c r="B4491" s="1000" t="s">
        <v>3798</v>
      </c>
      <c r="C4491" s="1007">
        <v>7.1540999999999997</v>
      </c>
      <c r="D4491" s="803">
        <v>4.4480000000000004</v>
      </c>
      <c r="E4491" s="705">
        <f>D4491/C4491-1</f>
        <v>-0.3782586209306551</v>
      </c>
      <c r="F4491" s="1021">
        <f>E4491*A4491</f>
        <v>-1.8912931046532758E-2</v>
      </c>
      <c r="G4491" s="78"/>
      <c r="H4491" t="str">
        <f>VLOOKUP(B4491,indexy!$A$44:$D$234,3,FALSE)</f>
        <v>ENEL IM Equity</v>
      </c>
    </row>
    <row r="4492" spans="1:14" s="39" customFormat="1" hidden="1" outlineLevel="1" x14ac:dyDescent="0.25">
      <c r="A4492" s="1002">
        <v>0.04</v>
      </c>
      <c r="B4492" s="996" t="s">
        <v>2630</v>
      </c>
      <c r="C4492" s="1008">
        <v>23.555</v>
      </c>
      <c r="D4492" s="908">
        <v>15.81</v>
      </c>
      <c r="E4492" s="709">
        <f t="shared" ref="E4492:E4520" si="164">D4492/C4492-1</f>
        <v>-0.3288049246444491</v>
      </c>
      <c r="F4492" s="946">
        <f t="shared" ref="F4492:F4520" si="165">E4492*A4492</f>
        <v>-1.3152196985777964E-2</v>
      </c>
      <c r="G4492" s="78"/>
      <c r="H4492" t="e">
        <f>VLOOKUP(B4492,indexy!$A$44:$D$234,3,FALSE)</f>
        <v>#N/A</v>
      </c>
    </row>
    <row r="4493" spans="1:14" s="39" customFormat="1" hidden="1" outlineLevel="1" x14ac:dyDescent="0.25">
      <c r="A4493" s="1002">
        <v>0.04</v>
      </c>
      <c r="B4493" s="996" t="s">
        <v>2983</v>
      </c>
      <c r="C4493" s="1008">
        <v>715.78</v>
      </c>
      <c r="D4493" s="908">
        <v>592</v>
      </c>
      <c r="E4493" s="709">
        <f t="shared" si="164"/>
        <v>-0.17293022995892593</v>
      </c>
      <c r="F4493" s="946">
        <f t="shared" si="165"/>
        <v>-6.9172091983570371E-3</v>
      </c>
      <c r="G4493" s="78"/>
      <c r="H4493" t="str">
        <f>VLOOKUP(B4493,indexy!$A$44:$D$234,3,FALSE)</f>
        <v>UU/ LN Equity</v>
      </c>
    </row>
    <row r="4494" spans="1:14" s="39" customFormat="1" hidden="1" outlineLevel="1" x14ac:dyDescent="0.25">
      <c r="A4494" s="1002">
        <v>0.05</v>
      </c>
      <c r="B4494" s="996" t="s">
        <v>2629</v>
      </c>
      <c r="C4494" s="1008">
        <v>13.553000000000001</v>
      </c>
      <c r="D4494" s="908">
        <v>10.87</v>
      </c>
      <c r="E4494" s="709">
        <f t="shared" si="164"/>
        <v>-0.19796355050542325</v>
      </c>
      <c r="F4494" s="946">
        <f t="shared" si="165"/>
        <v>-9.8981775252711627E-3</v>
      </c>
      <c r="G4494" s="78"/>
      <c r="H4494" t="str">
        <f>VLOOKUP(B4494,indexy!$A$44:$D$234,3,FALSE)</f>
        <v>DTE GY Equity</v>
      </c>
    </row>
    <row r="4495" spans="1:14" s="39" customFormat="1" hidden="1" outlineLevel="1" x14ac:dyDescent="0.25">
      <c r="A4495" s="1002">
        <v>0.04</v>
      </c>
      <c r="B4495" s="996" t="s">
        <v>1527</v>
      </c>
      <c r="C4495" s="1008">
        <v>2.1070000000000002</v>
      </c>
      <c r="D4495" s="908">
        <v>1.085</v>
      </c>
      <c r="E4495" s="709">
        <f t="shared" si="164"/>
        <v>-0.48504983388704326</v>
      </c>
      <c r="F4495" s="946">
        <f t="shared" si="165"/>
        <v>-1.940199335548173E-2</v>
      </c>
      <c r="G4495" s="78"/>
      <c r="H4495" t="str">
        <f>VLOOKUP(B4495,indexy!$A$44:$D$234,3,FALSE)</f>
        <v>TIT IM Equity</v>
      </c>
    </row>
    <row r="4496" spans="1:14" s="39" customFormat="1" hidden="1" outlineLevel="1" x14ac:dyDescent="0.25">
      <c r="A4496" s="1002">
        <v>0.05</v>
      </c>
      <c r="B4496" s="996" t="s">
        <v>576</v>
      </c>
      <c r="C4496" s="1008">
        <v>20.222000000000001</v>
      </c>
      <c r="D4496" s="908">
        <v>8.4329999999999998</v>
      </c>
      <c r="E4496" s="709">
        <f t="shared" si="164"/>
        <v>-0.58297893383443777</v>
      </c>
      <c r="F4496" s="946">
        <f t="shared" si="165"/>
        <v>-2.914894669172189E-2</v>
      </c>
      <c r="G4496" s="78"/>
      <c r="H4496" t="e">
        <f>VLOOKUP(B4496,indexy!$A$44:$D$234,3,FALSE)</f>
        <v>#N/A</v>
      </c>
    </row>
    <row r="4497" spans="1:8" s="39" customFormat="1" hidden="1" outlineLevel="1" x14ac:dyDescent="0.25">
      <c r="A4497" s="1002">
        <v>0.05</v>
      </c>
      <c r="B4497" s="743" t="s">
        <v>2588</v>
      </c>
      <c r="C4497" s="1008">
        <v>24.633500000000002</v>
      </c>
      <c r="D4497" s="908">
        <v>8.9309999999999992</v>
      </c>
      <c r="E4497" s="709">
        <f t="shared" si="164"/>
        <v>-0.63744494286236231</v>
      </c>
      <c r="F4497" s="946">
        <f t="shared" si="165"/>
        <v>-3.1872247143118114E-2</v>
      </c>
      <c r="G4497" s="78"/>
      <c r="H4497" t="str">
        <f>VLOOKUP(B4497,indexy!$A$44:$D$234,3,FALSE)</f>
        <v>INGA NA Equity</v>
      </c>
    </row>
    <row r="4498" spans="1:8" s="39" customFormat="1" hidden="1" outlineLevel="1" x14ac:dyDescent="0.25">
      <c r="A4498" s="1002">
        <v>0.04</v>
      </c>
      <c r="B4498" s="743" t="s">
        <v>3427</v>
      </c>
      <c r="C4498" s="1008">
        <v>36.546999999999997</v>
      </c>
      <c r="D4498" s="908">
        <v>38.11</v>
      </c>
      <c r="E4498" s="709">
        <f t="shared" si="164"/>
        <v>4.276684816811227E-2</v>
      </c>
      <c r="F4498" s="946">
        <f t="shared" si="165"/>
        <v>1.7106739267244908E-3</v>
      </c>
      <c r="G4498" s="78"/>
      <c r="H4498" t="str">
        <f>VLOOKUP(B4498,indexy!$A$44:$D$234,3,FALSE)</f>
        <v>SO UN Equity</v>
      </c>
    </row>
    <row r="4499" spans="1:8" s="39" customFormat="1" hidden="1" outlineLevel="1" x14ac:dyDescent="0.25">
      <c r="A4499" s="1002">
        <v>0.04</v>
      </c>
      <c r="B4499" s="996" t="s">
        <v>1994</v>
      </c>
      <c r="C4499" s="1008">
        <v>51.5</v>
      </c>
      <c r="D4499" s="908">
        <v>13.33</v>
      </c>
      <c r="E4499" s="709">
        <f t="shared" si="164"/>
        <v>-0.74116504854368936</v>
      </c>
      <c r="F4499" s="946">
        <f t="shared" si="165"/>
        <v>-2.9646601941747574E-2</v>
      </c>
      <c r="G4499" s="78"/>
      <c r="H4499" t="str">
        <f>VLOOKUP(B4499,indexy!$A$44:$D$234,3,FALSE)</f>
        <v>BAC UN Equity</v>
      </c>
    </row>
    <row r="4500" spans="1:8" s="39" customFormat="1" hidden="1" outlineLevel="1" x14ac:dyDescent="0.25">
      <c r="A4500" s="1002">
        <v>0.04</v>
      </c>
      <c r="B4500" s="996" t="s">
        <v>1847</v>
      </c>
      <c r="C4500" s="1008">
        <f>46.657*10</f>
        <v>466.56999999999994</v>
      </c>
      <c r="D4500" s="908">
        <v>4.42</v>
      </c>
      <c r="E4500" s="709">
        <f t="shared" si="164"/>
        <v>-0.99052660908331014</v>
      </c>
      <c r="F4500" s="946">
        <f t="shared" si="165"/>
        <v>-3.9621064363332403E-2</v>
      </c>
      <c r="G4500" s="78"/>
      <c r="H4500" t="str">
        <f>VLOOKUP(B4500,indexy!$A$44:$D$234,3,FALSE)</f>
        <v>C UN Equity</v>
      </c>
    </row>
    <row r="4501" spans="1:8" s="39" customFormat="1" hidden="1" outlineLevel="1" x14ac:dyDescent="0.25">
      <c r="A4501" s="1002">
        <v>0.03</v>
      </c>
      <c r="B4501" s="996" t="s">
        <v>44</v>
      </c>
      <c r="C4501" s="1008">
        <v>5.44</v>
      </c>
      <c r="D4501" s="908">
        <v>2.0880000000000001</v>
      </c>
      <c r="E4501" s="709">
        <f t="shared" si="164"/>
        <v>-0.61617647058823533</v>
      </c>
      <c r="F4501" s="946">
        <f t="shared" si="165"/>
        <v>-1.8485294117647058E-2</v>
      </c>
      <c r="G4501" s="78"/>
      <c r="H4501" t="str">
        <f>VLOOKUP(B4501,indexy!$A$44:$D$234,3,FALSE)</f>
        <v>ISP IM Equity</v>
      </c>
    </row>
    <row r="4502" spans="1:8" s="39" customFormat="1" hidden="1" outlineLevel="1" x14ac:dyDescent="0.25">
      <c r="A4502" s="1002">
        <v>0.04</v>
      </c>
      <c r="B4502" s="996" t="s">
        <v>3801</v>
      </c>
      <c r="C4502" s="1008">
        <v>90.081000000000003</v>
      </c>
      <c r="D4502" s="908">
        <v>44.945</v>
      </c>
      <c r="E4502" s="709">
        <f t="shared" si="164"/>
        <v>-0.5010601569698383</v>
      </c>
      <c r="F4502" s="946">
        <f t="shared" si="165"/>
        <v>-2.0042406278793532E-2</v>
      </c>
      <c r="G4502" s="78"/>
      <c r="H4502" t="str">
        <f>VLOOKUP(B4502,indexy!$A$44:$D$234,3,FALSE)</f>
        <v>RWE GY Equity</v>
      </c>
    </row>
    <row r="4503" spans="1:8" s="39" customFormat="1" hidden="1" outlineLevel="1" x14ac:dyDescent="0.25">
      <c r="A4503" s="1002">
        <v>0.04</v>
      </c>
      <c r="B4503" s="996" t="s">
        <v>3792</v>
      </c>
      <c r="C4503" s="1008">
        <v>52.075000000000003</v>
      </c>
      <c r="D4503" s="908">
        <v>36.72</v>
      </c>
      <c r="E4503" s="709">
        <f t="shared" si="164"/>
        <v>-0.29486317810849738</v>
      </c>
      <c r="F4503" s="946">
        <f t="shared" si="165"/>
        <v>-1.1794527124339895E-2</v>
      </c>
      <c r="G4503" s="78"/>
      <c r="H4503" t="str">
        <f>VLOOKUP(B4503,indexy!$A$44:$D$234,3,FALSE)</f>
        <v>CMA UN Equity</v>
      </c>
    </row>
    <row r="4504" spans="1:8" s="39" customFormat="1" hidden="1" outlineLevel="1" x14ac:dyDescent="0.25">
      <c r="A4504" s="1002">
        <v>0.03</v>
      </c>
      <c r="B4504" s="996" t="s">
        <v>4110</v>
      </c>
      <c r="C4504" s="1008">
        <f>87.345/2</f>
        <v>43.672499999999999</v>
      </c>
      <c r="D4504" s="908">
        <v>44.7</v>
      </c>
      <c r="E4504" s="709">
        <f t="shared" si="164"/>
        <v>2.3527391379014384E-2</v>
      </c>
      <c r="F4504" s="946">
        <f t="shared" si="165"/>
        <v>7.0582174137043155E-4</v>
      </c>
      <c r="G4504" s="78"/>
      <c r="H4504" t="e">
        <f>VLOOKUP(B4504,indexy!$A$44:$D$234,3,FALSE)</f>
        <v>#N/A</v>
      </c>
    </row>
    <row r="4505" spans="1:8" s="39" customFormat="1" hidden="1" outlineLevel="1" x14ac:dyDescent="0.25">
      <c r="A4505" s="1002">
        <v>0.03</v>
      </c>
      <c r="B4505" s="996" t="s">
        <v>1031</v>
      </c>
      <c r="C4505" s="1008">
        <v>10.75</v>
      </c>
      <c r="D4505" s="908">
        <v>6.1360000000000001</v>
      </c>
      <c r="E4505" s="709">
        <f t="shared" si="164"/>
        <v>-0.42920930232558141</v>
      </c>
      <c r="F4505" s="946">
        <f t="shared" si="165"/>
        <v>-1.2876279069767441E-2</v>
      </c>
      <c r="G4505" s="78"/>
      <c r="H4505" t="str">
        <f>VLOOKUP(B4505,indexy!$A$44:$D$234,3,FALSE)</f>
        <v>IBE SQ Equity</v>
      </c>
    </row>
    <row r="4506" spans="1:8" s="39" customFormat="1" hidden="1" outlineLevel="1" x14ac:dyDescent="0.25">
      <c r="A4506" s="1002">
        <v>0.02</v>
      </c>
      <c r="B4506" s="743" t="s">
        <v>281</v>
      </c>
      <c r="C4506" s="1008">
        <v>32.218000000000004</v>
      </c>
      <c r="D4506" s="908">
        <v>8.8800000000000008</v>
      </c>
      <c r="E4506" s="709">
        <f t="shared" si="164"/>
        <v>-0.72437767707492706</v>
      </c>
      <c r="F4506" s="946">
        <f t="shared" si="165"/>
        <v>-1.4487553541498541E-2</v>
      </c>
      <c r="G4506" s="78"/>
      <c r="H4506" t="str">
        <f>VLOOKUP(B4506,indexy!$A$44:$D$234,3,FALSE)</f>
        <v>KEY UN Equity</v>
      </c>
    </row>
    <row r="4507" spans="1:8" s="39" customFormat="1" hidden="1" outlineLevel="1" x14ac:dyDescent="0.25">
      <c r="A4507" s="1002">
        <v>0.03</v>
      </c>
      <c r="B4507" s="939" t="s">
        <v>2984</v>
      </c>
      <c r="C4507" s="1008">
        <v>16.61</v>
      </c>
      <c r="D4507" s="908">
        <v>8.5609999999999999</v>
      </c>
      <c r="E4507" s="709">
        <f t="shared" si="164"/>
        <v>-0.48458759783263095</v>
      </c>
      <c r="F4507" s="946">
        <f t="shared" si="165"/>
        <v>-1.4537627934978928E-2</v>
      </c>
      <c r="G4507" s="78"/>
      <c r="H4507" t="str">
        <f>VLOOKUP(B4507,indexy!$A$44:$D$234,3,FALSE)</f>
        <v>BBVA SM Equity</v>
      </c>
    </row>
    <row r="4508" spans="1:8" s="39" customFormat="1" hidden="1" outlineLevel="1" x14ac:dyDescent="0.25">
      <c r="A4508" s="1002">
        <v>0.03</v>
      </c>
      <c r="B4508" s="996" t="s">
        <v>2166</v>
      </c>
      <c r="C4508" s="1008">
        <v>109.074</v>
      </c>
      <c r="D4508" s="908">
        <v>45.85</v>
      </c>
      <c r="E4508" s="709">
        <f t="shared" si="164"/>
        <v>-0.57964317802592735</v>
      </c>
      <c r="F4508" s="946">
        <f t="shared" si="165"/>
        <v>-1.7389295340777818E-2</v>
      </c>
      <c r="G4508" s="78"/>
      <c r="H4508" t="str">
        <f>VLOOKUP(B4508,indexy!$A$44:$D$234,3,FALSE)</f>
        <v>GLE FP Equity</v>
      </c>
    </row>
    <row r="4509" spans="1:8" s="39" customFormat="1" hidden="1" outlineLevel="1" x14ac:dyDescent="0.25">
      <c r="A4509" s="1002">
        <v>0.02</v>
      </c>
      <c r="B4509" s="996" t="s">
        <v>3656</v>
      </c>
      <c r="C4509" s="1008">
        <v>134.239</v>
      </c>
      <c r="D4509" s="908">
        <v>183.8</v>
      </c>
      <c r="E4509" s="709">
        <f t="shared" si="164"/>
        <v>0.36919971096328186</v>
      </c>
      <c r="F4509" s="946">
        <f t="shared" si="165"/>
        <v>7.3839942192656374E-3</v>
      </c>
      <c r="G4509" s="78"/>
      <c r="H4509" t="str">
        <f>VLOOKUP(B4509,indexy!$A$44:$D$234,3,FALSE)</f>
        <v>SKFB SS Equity</v>
      </c>
    </row>
    <row r="4510" spans="1:8" s="39" customFormat="1" hidden="1" outlineLevel="1" x14ac:dyDescent="0.25">
      <c r="A4510" s="1002">
        <v>0.03</v>
      </c>
      <c r="B4510" s="996" t="s">
        <v>901</v>
      </c>
      <c r="C4510" s="1008">
        <v>1730.8</v>
      </c>
      <c r="D4510" s="908">
        <v>2502</v>
      </c>
      <c r="E4510" s="709">
        <f t="shared" si="164"/>
        <v>0.44557430090131733</v>
      </c>
      <c r="F4510" s="946">
        <f t="shared" si="165"/>
        <v>1.3367229027039519E-2</v>
      </c>
      <c r="G4510" s="78"/>
      <c r="H4510" t="str">
        <f>VLOOKUP(B4510,indexy!$A$44:$D$234,3,FALSE)</f>
        <v>BATS LN Equity</v>
      </c>
    </row>
    <row r="4511" spans="1:8" s="39" customFormat="1" hidden="1" outlineLevel="1" x14ac:dyDescent="0.25">
      <c r="A4511" s="1002">
        <v>0.02</v>
      </c>
      <c r="B4511" s="906" t="s">
        <v>4025</v>
      </c>
      <c r="C4511" s="1008">
        <v>74.105999999999995</v>
      </c>
      <c r="D4511" s="908">
        <v>49.85</v>
      </c>
      <c r="E4511" s="709">
        <f t="shared" si="164"/>
        <v>-0.32731492726634814</v>
      </c>
      <c r="F4511" s="946">
        <f t="shared" si="165"/>
        <v>-6.5462985453269631E-3</v>
      </c>
      <c r="G4511" s="78"/>
      <c r="H4511" t="str">
        <f>VLOOKUP(B4511,indexy!$A$44:$D$234,3,FALSE)</f>
        <v>MBG GR Equity</v>
      </c>
    </row>
    <row r="4512" spans="1:8" s="39" customFormat="1" hidden="1" outlineLevel="1" x14ac:dyDescent="0.25">
      <c r="A4512" s="1002">
        <v>0.02</v>
      </c>
      <c r="B4512" s="939" t="s">
        <v>1709</v>
      </c>
      <c r="C4512" s="1008">
        <v>137.375</v>
      </c>
      <c r="D4512" s="908">
        <v>119.1</v>
      </c>
      <c r="E4512" s="709">
        <f t="shared" si="164"/>
        <v>-0.13303002729754321</v>
      </c>
      <c r="F4512" s="946">
        <f t="shared" si="165"/>
        <v>-2.6606005459508643E-3</v>
      </c>
      <c r="G4512" s="78"/>
      <c r="H4512" t="str">
        <f>VLOOKUP(B4512,indexy!$A$44:$D$234,3,FALSE)</f>
        <v>SAND SS Equity</v>
      </c>
    </row>
    <row r="4513" spans="1:8" s="39" customFormat="1" hidden="1" outlineLevel="1" x14ac:dyDescent="0.25">
      <c r="A4513" s="1002">
        <v>0.03</v>
      </c>
      <c r="B4513" s="996" t="s">
        <v>3020</v>
      </c>
      <c r="C4513" s="1008">
        <v>57.119</v>
      </c>
      <c r="D4513" s="908">
        <v>54.64</v>
      </c>
      <c r="E4513" s="709">
        <f t="shared" si="164"/>
        <v>-4.3400619758749315E-2</v>
      </c>
      <c r="F4513" s="946">
        <f t="shared" si="165"/>
        <v>-1.3020185927624793E-3</v>
      </c>
      <c r="G4513" s="78"/>
      <c r="H4513" t="str">
        <f>VLOOKUP(B4513,indexy!$A$44:$D$234,3,FALSE)</f>
        <v>BAYN GR Equity</v>
      </c>
    </row>
    <row r="4514" spans="1:8" s="39" customFormat="1" hidden="1" outlineLevel="1" x14ac:dyDescent="0.25">
      <c r="A4514" s="1002">
        <v>0.03</v>
      </c>
      <c r="B4514" s="743" t="s">
        <v>181</v>
      </c>
      <c r="C4514" s="1008">
        <v>108.91</v>
      </c>
      <c r="D4514" s="908">
        <v>52.55</v>
      </c>
      <c r="E4514" s="709">
        <f t="shared" si="164"/>
        <v>-0.5174915067486916</v>
      </c>
      <c r="F4514" s="946">
        <f t="shared" si="165"/>
        <v>-1.5524745202460747E-2</v>
      </c>
      <c r="G4514" s="78"/>
      <c r="H4514" t="e">
        <f>VLOOKUP(B4514,indexy!$A$44:$D$234,3,FALSE)</f>
        <v>#N/A</v>
      </c>
    </row>
    <row r="4515" spans="1:8" s="39" customFormat="1" hidden="1" outlineLevel="1" x14ac:dyDescent="0.25">
      <c r="A4515" s="1002">
        <v>0.03</v>
      </c>
      <c r="B4515" s="996" t="s">
        <v>279</v>
      </c>
      <c r="C4515" s="1008">
        <v>94.563000000000002</v>
      </c>
      <c r="D4515" s="908">
        <v>120.6</v>
      </c>
      <c r="E4515" s="709">
        <f t="shared" si="164"/>
        <v>0.27534024935757095</v>
      </c>
      <c r="F4515" s="946">
        <f t="shared" si="165"/>
        <v>8.2602074807271286E-3</v>
      </c>
      <c r="G4515" s="78"/>
      <c r="H4515" t="str">
        <f>VLOOKUP(B4515,indexy!$A$44:$D$234,3,FALSE)</f>
        <v>SU FP Equity</v>
      </c>
    </row>
    <row r="4516" spans="1:8" s="39" customFormat="1" hidden="1" outlineLevel="1" x14ac:dyDescent="0.25">
      <c r="A4516" s="1002">
        <v>0.03</v>
      </c>
      <c r="B4516" s="996" t="s">
        <v>1526</v>
      </c>
      <c r="C4516" s="1008">
        <v>99.349000000000004</v>
      </c>
      <c r="D4516" s="908">
        <v>26.535</v>
      </c>
      <c r="E4516" s="709">
        <f t="shared" si="164"/>
        <v>-0.73291125225216158</v>
      </c>
      <c r="F4516" s="946">
        <f t="shared" si="165"/>
        <v>-2.1987337567564845E-2</v>
      </c>
      <c r="G4516" s="78"/>
      <c r="H4516" t="str">
        <f>VLOOKUP(B4516,indexy!$A$44:$D$234,3,FALSE)</f>
        <v>KBC BB Equity</v>
      </c>
    </row>
    <row r="4517" spans="1:8" s="39" customFormat="1" hidden="1" outlineLevel="1" x14ac:dyDescent="0.25">
      <c r="A4517" s="1002">
        <v>0.02</v>
      </c>
      <c r="B4517" s="743" t="s">
        <v>1414</v>
      </c>
      <c r="C4517" s="1008">
        <v>25.154</v>
      </c>
      <c r="D4517" s="908">
        <v>20.309999999999999</v>
      </c>
      <c r="E4517" s="709">
        <f t="shared" si="164"/>
        <v>-0.19257374572632591</v>
      </c>
      <c r="F4517" s="946">
        <f t="shared" si="165"/>
        <v>-3.851474914526518E-3</v>
      </c>
      <c r="G4517" s="78"/>
      <c r="H4517" t="str">
        <f>VLOOKUP(B4517,indexy!$A$44:$D$234,3,FALSE)</f>
        <v>PFE UN Equity</v>
      </c>
    </row>
    <row r="4518" spans="1:8" s="39" customFormat="1" hidden="1" outlineLevel="1" x14ac:dyDescent="0.25">
      <c r="A4518" s="1002">
        <v>0.02</v>
      </c>
      <c r="B4518" s="996" t="s">
        <v>280</v>
      </c>
      <c r="C4518" s="1008">
        <v>60.125999999999998</v>
      </c>
      <c r="D4518" s="908">
        <v>48.48</v>
      </c>
      <c r="E4518" s="709">
        <f t="shared" si="164"/>
        <v>-0.1936932441872069</v>
      </c>
      <c r="F4518" s="946">
        <f t="shared" si="165"/>
        <v>-3.8738648837441381E-3</v>
      </c>
      <c r="G4518" s="78"/>
      <c r="H4518" t="str">
        <f>VLOOKUP(B4518,indexy!$A$44:$D$234,3,FALSE)</f>
        <v>AKZA NA Equity</v>
      </c>
    </row>
    <row r="4519" spans="1:8" s="39" customFormat="1" hidden="1" outlineLevel="1" x14ac:dyDescent="0.25">
      <c r="A4519" s="1002">
        <v>0.03</v>
      </c>
      <c r="B4519" s="996" t="s">
        <v>51</v>
      </c>
      <c r="C4519" s="1008">
        <v>66.72</v>
      </c>
      <c r="D4519" s="908">
        <v>43.204999999999998</v>
      </c>
      <c r="E4519" s="709">
        <f t="shared" si="164"/>
        <v>-0.35244304556354922</v>
      </c>
      <c r="F4519" s="946">
        <f t="shared" si="165"/>
        <v>-1.0573291366906476E-2</v>
      </c>
      <c r="G4519" s="78"/>
      <c r="H4519" t="str">
        <f>VLOOKUP(B4519,indexy!$A$44:$D$234,3,FALSE)</f>
        <v>SGO FP Equity</v>
      </c>
    </row>
    <row r="4520" spans="1:8" s="39" customFormat="1" hidden="1" outlineLevel="1" x14ac:dyDescent="0.25">
      <c r="A4520" s="1004">
        <v>0.03</v>
      </c>
      <c r="B4520" s="824" t="s">
        <v>3022</v>
      </c>
      <c r="C4520" s="1009">
        <v>8147</v>
      </c>
      <c r="D4520" s="715">
        <v>3880</v>
      </c>
      <c r="E4520" s="716">
        <f t="shared" si="164"/>
        <v>-0.52375107401497489</v>
      </c>
      <c r="F4520" s="1023">
        <f t="shared" si="165"/>
        <v>-1.5712532220449247E-2</v>
      </c>
      <c r="G4520" s="78"/>
      <c r="H4520" t="str">
        <f>VLOOKUP(B4520,indexy!$A$44:$D$234,3,FALSE)</f>
        <v>4502 JT Equity</v>
      </c>
    </row>
    <row r="4521" spans="1:8" s="39" customFormat="1" hidden="1" outlineLevel="1" x14ac:dyDescent="0.25">
      <c r="A4521" s="749"/>
      <c r="B4521" s="750"/>
      <c r="C4521" s="727"/>
      <c r="D4521" s="727"/>
      <c r="E4521" s="716"/>
      <c r="F4521" s="770">
        <f>SUM(F4491:F4520)</f>
        <v>-0.35878858910370892</v>
      </c>
      <c r="G4521" s="78"/>
      <c r="H4521"/>
    </row>
    <row r="4522" spans="1:8" s="39" customFormat="1" hidden="1" outlineLevel="1" x14ac:dyDescent="0.25">
      <c r="A4522" s="749"/>
      <c r="B4522" s="750"/>
      <c r="C4522" s="727"/>
      <c r="D4522" s="727"/>
      <c r="E4522" s="716"/>
      <c r="F4522" s="770"/>
      <c r="G4522" s="78"/>
      <c r="H4522"/>
    </row>
    <row r="4523" spans="1:8" s="39" customFormat="1" hidden="1" outlineLevel="1" x14ac:dyDescent="0.25">
      <c r="A4523" s="751" t="s">
        <v>1022</v>
      </c>
      <c r="B4523" s="944">
        <v>39417</v>
      </c>
      <c r="C4523" s="727">
        <v>100</v>
      </c>
      <c r="D4523" s="727">
        <v>93.724400000000003</v>
      </c>
      <c r="E4523" s="716">
        <f t="shared" ref="E4523:E4536" si="166">D4523/C4523-1</f>
        <v>-6.2755999999999923E-2</v>
      </c>
      <c r="F4523" s="731">
        <f>E4523</f>
        <v>-6.2755999999999923E-2</v>
      </c>
      <c r="G4523" s="78"/>
      <c r="H4523"/>
    </row>
    <row r="4524" spans="1:8" s="39" customFormat="1" hidden="1" outlineLevel="1" x14ac:dyDescent="0.25">
      <c r="A4524" s="751" t="s">
        <v>1023</v>
      </c>
      <c r="B4524" s="944">
        <v>39508</v>
      </c>
      <c r="C4524" s="727">
        <v>100</v>
      </c>
      <c r="D4524" s="727">
        <v>79.290000000000006</v>
      </c>
      <c r="E4524" s="716">
        <f t="shared" si="166"/>
        <v>-0.20709999999999995</v>
      </c>
      <c r="F4524" s="731">
        <f t="shared" ref="F4524:F4536" si="167">E4524</f>
        <v>-0.20709999999999995</v>
      </c>
      <c r="G4524" s="78"/>
      <c r="H4524"/>
    </row>
    <row r="4525" spans="1:8" s="39" customFormat="1" hidden="1" outlineLevel="1" x14ac:dyDescent="0.25">
      <c r="A4525" s="751" t="s">
        <v>1024</v>
      </c>
      <c r="B4525" s="944">
        <v>39600</v>
      </c>
      <c r="C4525" s="727">
        <v>100</v>
      </c>
      <c r="D4525" s="727">
        <v>70.389200000000002</v>
      </c>
      <c r="E4525" s="716">
        <f t="shared" si="166"/>
        <v>-0.29610799999999993</v>
      </c>
      <c r="F4525" s="731">
        <f t="shared" si="167"/>
        <v>-0.29610799999999993</v>
      </c>
      <c r="G4525" s="78"/>
      <c r="H4525"/>
    </row>
    <row r="4526" spans="1:8" s="39" customFormat="1" hidden="1" outlineLevel="1" x14ac:dyDescent="0.25">
      <c r="A4526" s="751" t="s">
        <v>2507</v>
      </c>
      <c r="B4526" s="944">
        <v>39692</v>
      </c>
      <c r="C4526" s="727">
        <v>100</v>
      </c>
      <c r="D4526" s="727">
        <v>68.149500000000003</v>
      </c>
      <c r="E4526" s="716">
        <f t="shared" si="166"/>
        <v>-0.31850499999999993</v>
      </c>
      <c r="F4526" s="731">
        <f t="shared" si="167"/>
        <v>-0.31850499999999993</v>
      </c>
      <c r="G4526" s="78"/>
      <c r="H4526"/>
    </row>
    <row r="4527" spans="1:8" s="39" customFormat="1" hidden="1" outlineLevel="1" x14ac:dyDescent="0.25">
      <c r="A4527" s="751" t="s">
        <v>2508</v>
      </c>
      <c r="B4527" s="944">
        <v>39783</v>
      </c>
      <c r="C4527" s="727">
        <v>100</v>
      </c>
      <c r="D4527" s="727">
        <v>54.754399999999997</v>
      </c>
      <c r="E4527" s="716">
        <f t="shared" si="166"/>
        <v>-0.45245600000000008</v>
      </c>
      <c r="F4527" s="731">
        <f t="shared" si="167"/>
        <v>-0.45245600000000008</v>
      </c>
      <c r="G4527" s="78"/>
      <c r="H4527"/>
    </row>
    <row r="4528" spans="1:8" s="39" customFormat="1" hidden="1" outlineLevel="1" x14ac:dyDescent="0.25">
      <c r="A4528" s="751" t="s">
        <v>3119</v>
      </c>
      <c r="B4528" s="944">
        <v>39873</v>
      </c>
      <c r="C4528" s="727">
        <v>100</v>
      </c>
      <c r="D4528" s="727">
        <v>43.3371</v>
      </c>
      <c r="E4528" s="716">
        <f t="shared" si="166"/>
        <v>-0.56662900000000005</v>
      </c>
      <c r="F4528" s="731">
        <f t="shared" si="167"/>
        <v>-0.56662900000000005</v>
      </c>
      <c r="G4528" s="78"/>
      <c r="H4528"/>
    </row>
    <row r="4529" spans="1:14" s="39" customFormat="1" hidden="1" outlineLevel="1" x14ac:dyDescent="0.25">
      <c r="A4529" s="751" t="s">
        <v>3120</v>
      </c>
      <c r="B4529" s="944">
        <v>39965</v>
      </c>
      <c r="C4529" s="727">
        <v>100</v>
      </c>
      <c r="D4529" s="727">
        <v>47.847799999999999</v>
      </c>
      <c r="E4529" s="716">
        <f t="shared" si="166"/>
        <v>-0.52152200000000004</v>
      </c>
      <c r="F4529" s="731">
        <f t="shared" si="167"/>
        <v>-0.52152200000000004</v>
      </c>
      <c r="G4529" s="78"/>
      <c r="H4529"/>
    </row>
    <row r="4530" spans="1:14" s="39" customFormat="1" hidden="1" outlineLevel="1" x14ac:dyDescent="0.25">
      <c r="A4530" s="751" t="s">
        <v>2692</v>
      </c>
      <c r="B4530" s="944">
        <v>40057</v>
      </c>
      <c r="C4530" s="727">
        <v>100</v>
      </c>
      <c r="D4530" s="727">
        <v>57.9664</v>
      </c>
      <c r="E4530" s="716">
        <f t="shared" si="166"/>
        <v>-0.42033600000000004</v>
      </c>
      <c r="F4530" s="731">
        <f t="shared" si="167"/>
        <v>-0.42033600000000004</v>
      </c>
      <c r="G4530" s="78"/>
      <c r="H4530"/>
    </row>
    <row r="4531" spans="1:14" s="39" customFormat="1" hidden="1" outlineLevel="1" x14ac:dyDescent="0.25">
      <c r="A4531" s="751" t="s">
        <v>2693</v>
      </c>
      <c r="B4531" s="944">
        <v>40148</v>
      </c>
      <c r="C4531" s="727">
        <v>100</v>
      </c>
      <c r="D4531" s="727">
        <v>59.361199999999997</v>
      </c>
      <c r="E4531" s="716">
        <f t="shared" si="166"/>
        <v>-0.40638800000000008</v>
      </c>
      <c r="F4531" s="731">
        <f t="shared" si="167"/>
        <v>-0.40638800000000008</v>
      </c>
      <c r="G4531" s="78"/>
      <c r="H4531"/>
    </row>
    <row r="4532" spans="1:14" s="39" customFormat="1" hidden="1" outlineLevel="1" x14ac:dyDescent="0.25">
      <c r="A4532" s="751" t="s">
        <v>2694</v>
      </c>
      <c r="B4532" s="944">
        <v>40238</v>
      </c>
      <c r="C4532" s="727">
        <v>100</v>
      </c>
      <c r="D4532" s="727">
        <v>61.005899999999997</v>
      </c>
      <c r="E4532" s="716">
        <f t="shared" si="166"/>
        <v>-0.38994099999999998</v>
      </c>
      <c r="F4532" s="731">
        <f t="shared" si="167"/>
        <v>-0.38994099999999998</v>
      </c>
      <c r="G4532" s="78"/>
      <c r="H4532"/>
    </row>
    <row r="4533" spans="1:14" s="39" customFormat="1" hidden="1" outlineLevel="1" x14ac:dyDescent="0.25">
      <c r="A4533" s="751" t="s">
        <v>2695</v>
      </c>
      <c r="B4533" s="944">
        <v>40330</v>
      </c>
      <c r="C4533" s="727">
        <v>100</v>
      </c>
      <c r="D4533" s="727">
        <v>55.482599999999998</v>
      </c>
      <c r="E4533" s="716">
        <f t="shared" si="166"/>
        <v>-0.44517400000000007</v>
      </c>
      <c r="F4533" s="731">
        <f t="shared" si="167"/>
        <v>-0.44517400000000007</v>
      </c>
      <c r="G4533" s="78"/>
      <c r="H4533"/>
    </row>
    <row r="4534" spans="1:14" s="39" customFormat="1" hidden="1" outlineLevel="1" x14ac:dyDescent="0.25">
      <c r="A4534" s="751" t="s">
        <v>3666</v>
      </c>
      <c r="B4534" s="944">
        <v>40422</v>
      </c>
      <c r="C4534" s="727">
        <v>100</v>
      </c>
      <c r="D4534" s="727">
        <v>60.532299999999999</v>
      </c>
      <c r="E4534" s="716">
        <f t="shared" si="166"/>
        <v>-0.39467700000000006</v>
      </c>
      <c r="F4534" s="731">
        <f t="shared" si="167"/>
        <v>-0.39467700000000006</v>
      </c>
      <c r="G4534" s="78"/>
      <c r="H4534"/>
    </row>
    <row r="4535" spans="1:14" s="39" customFormat="1" hidden="1" outlineLevel="1" x14ac:dyDescent="0.25">
      <c r="A4535" s="751" t="s">
        <v>3667</v>
      </c>
      <c r="B4535" s="944">
        <v>40513</v>
      </c>
      <c r="C4535" s="727">
        <v>100</v>
      </c>
      <c r="D4535" s="727">
        <v>62.967500000000001</v>
      </c>
      <c r="E4535" s="716">
        <f t="shared" si="166"/>
        <v>-0.37032500000000002</v>
      </c>
      <c r="F4535" s="731">
        <f t="shared" si="167"/>
        <v>-0.37032500000000002</v>
      </c>
      <c r="G4535" s="78"/>
      <c r="H4535" s="412" t="s">
        <v>1837</v>
      </c>
    </row>
    <row r="4536" spans="1:14" s="39" customFormat="1" hidden="1" outlineLevel="1" x14ac:dyDescent="0.25">
      <c r="A4536" s="751" t="s">
        <v>3668</v>
      </c>
      <c r="B4536" s="944">
        <v>40603</v>
      </c>
      <c r="C4536" s="727">
        <v>100</v>
      </c>
      <c r="D4536" s="727">
        <v>64.458100000000002</v>
      </c>
      <c r="E4536" s="716">
        <f t="shared" si="166"/>
        <v>-0.35541899999999993</v>
      </c>
      <c r="F4536" s="731">
        <f t="shared" si="167"/>
        <v>-0.35541899999999993</v>
      </c>
      <c r="G4536" s="78"/>
      <c r="H4536" s="261">
        <f>AVERAGE(F4523:F4536)</f>
        <v>-0.37195257142857141</v>
      </c>
    </row>
    <row r="4537" spans="1:14" s="39" customFormat="1" hidden="1" outlineLevel="1" x14ac:dyDescent="0.25">
      <c r="A4537" s="749"/>
      <c r="B4537" s="750"/>
      <c r="C4537" s="727"/>
      <c r="D4537" s="727"/>
      <c r="E4537" s="720"/>
      <c r="F4537" s="731">
        <f>H4536*parametry!N170</f>
        <v>-0.40914782857142856</v>
      </c>
      <c r="G4537" s="78"/>
      <c r="H4537"/>
    </row>
    <row r="4538" spans="1:14" s="39" customFormat="1" collapsed="1" x14ac:dyDescent="0.25">
      <c r="A4538" s="3801" t="s">
        <v>3984</v>
      </c>
      <c r="B4538" s="3802"/>
      <c r="C4538" s="3802"/>
      <c r="D4538" s="3802"/>
      <c r="E4538" s="721"/>
      <c r="F4538" s="722">
        <f>MAX(AVERAGE(F4523:F4536),0)</f>
        <v>0</v>
      </c>
      <c r="G4538" s="97" t="s">
        <v>781</v>
      </c>
      <c r="H4538"/>
    </row>
    <row r="4539" spans="1:14" s="39" customFormat="1" x14ac:dyDescent="0.25">
      <c r="A4539" s="159"/>
      <c r="B4539" s="159"/>
      <c r="C4539" s="159"/>
      <c r="D4539" s="159"/>
      <c r="E4539" s="160"/>
      <c r="F4539" s="160"/>
      <c r="G4539" s="12"/>
      <c r="M4539"/>
      <c r="N4539"/>
    </row>
    <row r="4540" spans="1:14" hidden="1" outlineLevel="1" x14ac:dyDescent="0.25">
      <c r="A4540" s="689" t="s">
        <v>113</v>
      </c>
      <c r="B4540" s="689" t="s">
        <v>114</v>
      </c>
      <c r="C4540" s="689" t="s">
        <v>112</v>
      </c>
      <c r="D4540" s="689" t="s">
        <v>116</v>
      </c>
      <c r="E4540" s="689" t="s">
        <v>117</v>
      </c>
      <c r="F4540" s="1188" t="s">
        <v>121</v>
      </c>
      <c r="G4540" s="21"/>
      <c r="J4540" s="39"/>
      <c r="K4540" s="39"/>
      <c r="L4540" s="39"/>
    </row>
    <row r="4541" spans="1:14" hidden="1" outlineLevel="1" x14ac:dyDescent="0.25">
      <c r="A4541" s="751" t="s">
        <v>3669</v>
      </c>
      <c r="B4541" s="729" t="s">
        <v>115</v>
      </c>
      <c r="C4541" s="1105">
        <v>4444.9030000000002</v>
      </c>
      <c r="D4541" s="719">
        <v>4338.28</v>
      </c>
      <c r="E4541" s="720">
        <f t="shared" ref="E4541:E4550" si="168">D4541/C4541-1</f>
        <v>-2.3987700069045492E-2</v>
      </c>
      <c r="F4541" s="1188">
        <v>-2.4E-2</v>
      </c>
      <c r="G4541" s="21"/>
    </row>
    <row r="4542" spans="1:14" hidden="1" outlineLevel="1" x14ac:dyDescent="0.25">
      <c r="A4542" s="751" t="s">
        <v>3670</v>
      </c>
      <c r="B4542" s="729" t="s">
        <v>115</v>
      </c>
      <c r="C4542" s="1114">
        <v>4338.28</v>
      </c>
      <c r="D4542" s="1114">
        <v>4384.6499999999996</v>
      </c>
      <c r="E4542" s="720">
        <f t="shared" si="168"/>
        <v>1.0688567819504557E-2</v>
      </c>
      <c r="F4542" s="1188">
        <v>0</v>
      </c>
      <c r="G4542" s="21"/>
    </row>
    <row r="4543" spans="1:14" hidden="1" outlineLevel="1" x14ac:dyDescent="0.25">
      <c r="A4543" s="751" t="s">
        <v>3671</v>
      </c>
      <c r="B4543" s="729" t="s">
        <v>115</v>
      </c>
      <c r="C4543" s="1114">
        <v>4384.6499999999996</v>
      </c>
      <c r="D4543" s="1105">
        <v>4140.9399999999996</v>
      </c>
      <c r="E4543" s="720">
        <f t="shared" si="168"/>
        <v>-5.5582543646585214E-2</v>
      </c>
      <c r="F4543" s="1188">
        <f>E4543</f>
        <v>-5.5582543646585214E-2</v>
      </c>
      <c r="G4543" s="21"/>
    </row>
    <row r="4544" spans="1:14" hidden="1" outlineLevel="1" x14ac:dyDescent="0.25">
      <c r="A4544" s="751" t="s">
        <v>1069</v>
      </c>
      <c r="B4544" s="729" t="s">
        <v>115</v>
      </c>
      <c r="C4544" s="1105">
        <v>4140.9399999999996</v>
      </c>
      <c r="D4544" s="1105">
        <v>3797.89</v>
      </c>
      <c r="E4544" s="720">
        <f t="shared" si="168"/>
        <v>-8.2843508961733314E-2</v>
      </c>
      <c r="F4544" s="1188">
        <f>E4544</f>
        <v>-8.2843508961733314E-2</v>
      </c>
      <c r="G4544" s="21"/>
    </row>
    <row r="4545" spans="1:7" hidden="1" outlineLevel="1" x14ac:dyDescent="0.25">
      <c r="A4545" s="751" t="s">
        <v>1070</v>
      </c>
      <c r="B4545" s="729" t="s">
        <v>115</v>
      </c>
      <c r="C4545" s="1105">
        <v>3797.89</v>
      </c>
      <c r="D4545" s="1105">
        <v>3566.59</v>
      </c>
      <c r="E4545" s="907">
        <f t="shared" si="168"/>
        <v>-6.090223782152715E-2</v>
      </c>
      <c r="F4545" s="1188">
        <f>E4545</f>
        <v>-6.090223782152715E-2</v>
      </c>
      <c r="G4545" s="21"/>
    </row>
    <row r="4546" spans="1:7" hidden="1" outlineLevel="1" x14ac:dyDescent="0.25">
      <c r="A4546" s="751" t="s">
        <v>1071</v>
      </c>
      <c r="B4546" s="729" t="s">
        <v>115</v>
      </c>
      <c r="C4546" s="1105">
        <v>3566.59</v>
      </c>
      <c r="D4546" s="1105">
        <v>3671.28</v>
      </c>
      <c r="E4546" s="907">
        <f t="shared" si="168"/>
        <v>2.9352967400233743E-2</v>
      </c>
      <c r="F4546" s="1188">
        <v>0</v>
      </c>
      <c r="G4546" s="21"/>
    </row>
    <row r="4547" spans="1:7" hidden="1" outlineLevel="1" x14ac:dyDescent="0.25">
      <c r="A4547" s="751" t="s">
        <v>1072</v>
      </c>
      <c r="B4547" s="729" t="s">
        <v>115</v>
      </c>
      <c r="C4547" s="1105">
        <v>3671.28</v>
      </c>
      <c r="D4547" s="1105">
        <v>3854.86</v>
      </c>
      <c r="E4547" s="907">
        <f t="shared" si="168"/>
        <v>5.0004358153014739E-2</v>
      </c>
      <c r="F4547" s="1188">
        <v>0</v>
      </c>
      <c r="G4547" s="21"/>
    </row>
    <row r="4548" spans="1:7" hidden="1" outlineLevel="1" x14ac:dyDescent="0.25">
      <c r="A4548" s="751" t="s">
        <v>1073</v>
      </c>
      <c r="B4548" s="729" t="s">
        <v>115</v>
      </c>
      <c r="C4548" s="1105">
        <v>3854.86</v>
      </c>
      <c r="D4548" s="719">
        <v>3562.67</v>
      </c>
      <c r="E4548" s="907">
        <f t="shared" si="168"/>
        <v>-7.5797824045490625E-2</v>
      </c>
      <c r="F4548" s="1188">
        <f>E4548</f>
        <v>-7.5797824045490625E-2</v>
      </c>
      <c r="G4548" s="21"/>
    </row>
    <row r="4549" spans="1:7" hidden="1" outlineLevel="1" x14ac:dyDescent="0.25">
      <c r="A4549" s="751" t="s">
        <v>1074</v>
      </c>
      <c r="B4549" s="729" t="s">
        <v>115</v>
      </c>
      <c r="C4549" s="1105">
        <v>3562.67</v>
      </c>
      <c r="D4549" s="719">
        <v>3216.24</v>
      </c>
      <c r="E4549" s="907">
        <f t="shared" si="168"/>
        <v>-9.7238868601357997E-2</v>
      </c>
      <c r="F4549" s="1188">
        <f>E4549</f>
        <v>-9.7238868601357997E-2</v>
      </c>
      <c r="G4549" s="21"/>
    </row>
    <row r="4550" spans="1:7" hidden="1" outlineLevel="1" x14ac:dyDescent="0.25">
      <c r="A4550" s="751" t="s">
        <v>1075</v>
      </c>
      <c r="B4550" s="729" t="s">
        <v>115</v>
      </c>
      <c r="C4550" s="1105">
        <v>3216.24</v>
      </c>
      <c r="D4550" s="1115">
        <v>2756.74</v>
      </c>
      <c r="E4550" s="907">
        <f t="shared" si="168"/>
        <v>-0.14286869139118974</v>
      </c>
      <c r="F4550" s="1188">
        <v>-0.1429</v>
      </c>
      <c r="G4550" s="21"/>
    </row>
    <row r="4551" spans="1:7" hidden="1" outlineLevel="1" x14ac:dyDescent="0.25">
      <c r="A4551" s="751" t="s">
        <v>1076</v>
      </c>
      <c r="B4551" s="729" t="s">
        <v>115</v>
      </c>
      <c r="C4551" s="1105">
        <v>2756.74</v>
      </c>
      <c r="D4551" s="1105"/>
      <c r="E4551" s="1092"/>
      <c r="F4551" s="1188"/>
      <c r="G4551" s="21"/>
    </row>
    <row r="4552" spans="1:7" hidden="1" outlineLevel="1" x14ac:dyDescent="0.25">
      <c r="A4552" s="751" t="s">
        <v>1077</v>
      </c>
      <c r="B4552" s="729" t="s">
        <v>115</v>
      </c>
      <c r="C4552" s="1105"/>
      <c r="D4552" s="1105"/>
      <c r="E4552" s="1092"/>
      <c r="F4552" s="1188"/>
      <c r="G4552" s="21"/>
    </row>
    <row r="4553" spans="1:7" hidden="1" outlineLevel="1" x14ac:dyDescent="0.25">
      <c r="A4553" s="751" t="s">
        <v>1078</v>
      </c>
      <c r="B4553" s="729" t="s">
        <v>115</v>
      </c>
      <c r="C4553" s="1105"/>
      <c r="D4553" s="1105"/>
      <c r="E4553" s="1092"/>
      <c r="F4553" s="1188"/>
      <c r="G4553" s="21"/>
    </row>
    <row r="4554" spans="1:7" hidden="1" outlineLevel="1" x14ac:dyDescent="0.25">
      <c r="A4554" s="751" t="s">
        <v>1079</v>
      </c>
      <c r="B4554" s="729" t="s">
        <v>115</v>
      </c>
      <c r="C4554" s="1105"/>
      <c r="D4554" s="1105"/>
      <c r="E4554" s="1092"/>
      <c r="F4554" s="1188"/>
      <c r="G4554" s="21"/>
    </row>
    <row r="4555" spans="1:7" hidden="1" outlineLevel="1" x14ac:dyDescent="0.25">
      <c r="A4555" s="751" t="s">
        <v>1880</v>
      </c>
      <c r="B4555" s="729" t="s">
        <v>115</v>
      </c>
      <c r="C4555" s="1105"/>
      <c r="D4555" s="1105"/>
      <c r="E4555" s="1092"/>
      <c r="F4555" s="1188"/>
      <c r="G4555" s="21"/>
    </row>
    <row r="4556" spans="1:7" hidden="1" outlineLevel="1" x14ac:dyDescent="0.25">
      <c r="A4556" s="751" t="s">
        <v>1881</v>
      </c>
      <c r="B4556" s="729" t="s">
        <v>115</v>
      </c>
      <c r="C4556" s="1105"/>
      <c r="D4556" s="1105"/>
      <c r="E4556" s="1092"/>
      <c r="F4556" s="1188"/>
      <c r="G4556" s="21"/>
    </row>
    <row r="4557" spans="1:7" hidden="1" outlineLevel="1" x14ac:dyDescent="0.25">
      <c r="A4557" s="751" t="s">
        <v>1882</v>
      </c>
      <c r="B4557" s="729" t="s">
        <v>115</v>
      </c>
      <c r="C4557" s="1105"/>
      <c r="D4557" s="1105"/>
      <c r="E4557" s="1092"/>
      <c r="F4557" s="1188"/>
      <c r="G4557" s="21"/>
    </row>
    <row r="4558" spans="1:7" hidden="1" outlineLevel="1" x14ac:dyDescent="0.25">
      <c r="A4558" s="751" t="s">
        <v>767</v>
      </c>
      <c r="B4558" s="729" t="s">
        <v>115</v>
      </c>
      <c r="C4558" s="1105"/>
      <c r="D4558" s="1105"/>
      <c r="E4558" s="1092"/>
      <c r="F4558" s="1188"/>
      <c r="G4558" s="21"/>
    </row>
    <row r="4559" spans="1:7" hidden="1" outlineLevel="1" x14ac:dyDescent="0.25">
      <c r="A4559" s="751" t="s">
        <v>768</v>
      </c>
      <c r="B4559" s="729" t="s">
        <v>115</v>
      </c>
      <c r="C4559" s="1105"/>
      <c r="D4559" s="1105"/>
      <c r="E4559" s="1092"/>
      <c r="F4559" s="1188"/>
      <c r="G4559" s="21"/>
    </row>
    <row r="4560" spans="1:7" hidden="1" outlineLevel="1" x14ac:dyDescent="0.25">
      <c r="A4560" s="751" t="s">
        <v>769</v>
      </c>
      <c r="B4560" s="729" t="s">
        <v>115</v>
      </c>
      <c r="C4560" s="1105"/>
      <c r="D4560" s="1105"/>
      <c r="E4560" s="1092"/>
      <c r="F4560" s="1188"/>
      <c r="G4560" s="21"/>
    </row>
    <row r="4561" spans="1:12" hidden="1" outlineLevel="1" x14ac:dyDescent="0.25">
      <c r="A4561" s="751" t="s">
        <v>770</v>
      </c>
      <c r="B4561" s="729" t="s">
        <v>115</v>
      </c>
      <c r="C4561" s="1105"/>
      <c r="D4561" s="1105"/>
      <c r="E4561" s="1092"/>
      <c r="F4561" s="1188"/>
      <c r="G4561" s="21"/>
    </row>
    <row r="4562" spans="1:12" hidden="1" outlineLevel="1" x14ac:dyDescent="0.25">
      <c r="A4562" s="751" t="s">
        <v>771</v>
      </c>
      <c r="B4562" s="729" t="s">
        <v>115</v>
      </c>
      <c r="C4562" s="1105"/>
      <c r="D4562" s="1105"/>
      <c r="E4562" s="1092"/>
      <c r="F4562" s="1188"/>
      <c r="G4562" s="21"/>
    </row>
    <row r="4563" spans="1:12" hidden="1" outlineLevel="1" x14ac:dyDescent="0.25">
      <c r="A4563" s="751" t="s">
        <v>772</v>
      </c>
      <c r="B4563" s="729" t="s">
        <v>115</v>
      </c>
      <c r="C4563" s="1105"/>
      <c r="D4563" s="1105"/>
      <c r="E4563" s="1092"/>
      <c r="F4563" s="1188"/>
      <c r="G4563" s="21"/>
    </row>
    <row r="4564" spans="1:12" hidden="1" outlineLevel="1" x14ac:dyDescent="0.25">
      <c r="A4564" s="751" t="s">
        <v>773</v>
      </c>
      <c r="B4564" s="729" t="s">
        <v>115</v>
      </c>
      <c r="C4564" s="1105"/>
      <c r="D4564" s="1105"/>
      <c r="E4564" s="1092"/>
      <c r="F4564" s="1188"/>
      <c r="G4564" s="21"/>
    </row>
    <row r="4565" spans="1:12" hidden="1" outlineLevel="1" x14ac:dyDescent="0.25">
      <c r="A4565" s="751" t="s">
        <v>774</v>
      </c>
      <c r="B4565" s="729" t="s">
        <v>115</v>
      </c>
      <c r="C4565" s="1105"/>
      <c r="D4565" s="1105"/>
      <c r="E4565" s="1092"/>
      <c r="F4565" s="1188"/>
      <c r="G4565" s="21"/>
    </row>
    <row r="4566" spans="1:12" hidden="1" outlineLevel="1" x14ac:dyDescent="0.25">
      <c r="A4566" s="751" t="s">
        <v>2596</v>
      </c>
      <c r="B4566" s="729" t="s">
        <v>115</v>
      </c>
      <c r="C4566" s="1105"/>
      <c r="D4566" s="1105"/>
      <c r="E4566" s="1092"/>
      <c r="F4566" s="1188"/>
      <c r="G4566" s="21"/>
    </row>
    <row r="4567" spans="1:12" hidden="1" outlineLevel="1" x14ac:dyDescent="0.25">
      <c r="A4567" s="751" t="s">
        <v>2597</v>
      </c>
      <c r="B4567" s="729" t="s">
        <v>115</v>
      </c>
      <c r="C4567" s="1105"/>
      <c r="D4567" s="1105"/>
      <c r="E4567" s="1092"/>
      <c r="F4567" s="1188"/>
      <c r="G4567" s="21"/>
    </row>
    <row r="4568" spans="1:12" hidden="1" outlineLevel="1" x14ac:dyDescent="0.25">
      <c r="A4568" s="751" t="s">
        <v>2598</v>
      </c>
      <c r="B4568" s="729" t="s">
        <v>115</v>
      </c>
      <c r="C4568" s="1105"/>
      <c r="D4568" s="1105"/>
      <c r="E4568" s="1092"/>
      <c r="F4568" s="1188"/>
      <c r="G4568" s="21"/>
      <c r="H4568" t="s">
        <v>1837</v>
      </c>
    </row>
    <row r="4569" spans="1:12" hidden="1" outlineLevel="1" x14ac:dyDescent="0.25">
      <c r="A4569" s="751" t="s">
        <v>3355</v>
      </c>
      <c r="B4569" s="729" t="s">
        <v>115</v>
      </c>
      <c r="C4569" s="1105"/>
      <c r="D4569" s="1105"/>
      <c r="E4569" s="1092"/>
      <c r="F4569" s="1188"/>
      <c r="G4569" s="21"/>
      <c r="H4569" s="101">
        <f>AVERAGE(F4541:F4569)</f>
        <v>-5.3926498307669435E-2</v>
      </c>
    </row>
    <row r="4570" spans="1:12" collapsed="1" x14ac:dyDescent="0.25">
      <c r="A4570" s="3801" t="s">
        <v>3985</v>
      </c>
      <c r="B4570" s="3802"/>
      <c r="C4570" s="3802"/>
      <c r="D4570" s="3802"/>
      <c r="E4570" s="721"/>
      <c r="F4570" s="722">
        <f>MAX(50%+SUM(F4541:F4569),0)</f>
        <v>0</v>
      </c>
      <c r="G4570" s="97" t="s">
        <v>781</v>
      </c>
    </row>
    <row r="4571" spans="1:12" x14ac:dyDescent="0.25">
      <c r="G4571" s="21"/>
    </row>
    <row r="4572" spans="1:12" hidden="1" outlineLevel="1" x14ac:dyDescent="0.25">
      <c r="A4572" s="689" t="s">
        <v>113</v>
      </c>
      <c r="B4572" s="689" t="s">
        <v>114</v>
      </c>
      <c r="C4572" s="689" t="s">
        <v>112</v>
      </c>
      <c r="D4572" s="689" t="s">
        <v>116</v>
      </c>
      <c r="E4572" s="689" t="s">
        <v>117</v>
      </c>
      <c r="F4572" s="1188" t="s">
        <v>121</v>
      </c>
      <c r="G4572" s="78"/>
    </row>
    <row r="4573" spans="1:12" hidden="1" outlineLevel="1" x14ac:dyDescent="0.25">
      <c r="A4573" s="690">
        <v>1</v>
      </c>
      <c r="B4573" s="691" t="s">
        <v>252</v>
      </c>
      <c r="C4573" s="692">
        <v>100</v>
      </c>
      <c r="D4573" s="692"/>
      <c r="E4573" s="693"/>
      <c r="F4573" s="694"/>
      <c r="G4573" s="78"/>
    </row>
    <row r="4574" spans="1:12" hidden="1" outlineLevel="1" x14ac:dyDescent="0.25">
      <c r="A4574" s="695"/>
      <c r="B4574" s="695"/>
      <c r="C4574" s="696"/>
      <c r="D4574" s="697" t="s">
        <v>3702</v>
      </c>
      <c r="E4574" s="698">
        <v>41180</v>
      </c>
      <c r="F4574" s="699"/>
      <c r="G4574" s="78"/>
    </row>
    <row r="4575" spans="1:12" hidden="1" outlineLevel="1" x14ac:dyDescent="0.25">
      <c r="A4575" s="689" t="s">
        <v>4156</v>
      </c>
      <c r="B4575" s="689" t="s">
        <v>4153</v>
      </c>
      <c r="C4575" s="700" t="s">
        <v>112</v>
      </c>
      <c r="D4575" s="689" t="s">
        <v>4155</v>
      </c>
      <c r="E4575" s="689" t="s">
        <v>4154</v>
      </c>
      <c r="F4575" s="1021" t="s">
        <v>2519</v>
      </c>
      <c r="G4575" s="78"/>
      <c r="J4575" t="s">
        <v>2040</v>
      </c>
    </row>
    <row r="4576" spans="1:12" hidden="1" outlineLevel="1" x14ac:dyDescent="0.25">
      <c r="A4576" s="734">
        <v>0.05</v>
      </c>
      <c r="B4576" s="735" t="s">
        <v>2169</v>
      </c>
      <c r="C4576" s="807">
        <v>27.495999999999999</v>
      </c>
      <c r="D4576" s="803">
        <v>19.77</v>
      </c>
      <c r="E4576" s="705">
        <v>-0.28098632528367762</v>
      </c>
      <c r="F4576" s="1021">
        <v>-1.4049316264183882E-2</v>
      </c>
      <c r="G4576" s="78"/>
      <c r="H4576" t="s">
        <v>484</v>
      </c>
      <c r="J4576" s="256">
        <v>40817</v>
      </c>
      <c r="K4576" s="424">
        <v>88.65</v>
      </c>
      <c r="L4576" s="37">
        <v>-0.11349999999999993</v>
      </c>
    </row>
    <row r="4577" spans="1:12" hidden="1" outlineLevel="1" x14ac:dyDescent="0.25">
      <c r="A4577" s="739">
        <v>0.05</v>
      </c>
      <c r="B4577" s="740" t="s">
        <v>2170</v>
      </c>
      <c r="C4577" s="809">
        <v>22.965</v>
      </c>
      <c r="D4577" s="908">
        <v>24.42</v>
      </c>
      <c r="E4577" s="709">
        <v>6.335728282168529E-2</v>
      </c>
      <c r="F4577" s="946">
        <v>3.1678641410842648E-3</v>
      </c>
      <c r="G4577" s="78"/>
      <c r="H4577" t="s">
        <v>485</v>
      </c>
      <c r="J4577" s="256">
        <v>40848</v>
      </c>
      <c r="K4577" s="424">
        <v>90.232299999999995</v>
      </c>
      <c r="L4577" s="37">
        <v>-9.7677000000000014E-2</v>
      </c>
    </row>
    <row r="4578" spans="1:12" hidden="1" outlineLevel="1" x14ac:dyDescent="0.25">
      <c r="A4578" s="739">
        <v>0.05</v>
      </c>
      <c r="B4578" s="740" t="s">
        <v>3250</v>
      </c>
      <c r="C4578" s="809">
        <v>40.993000000000002</v>
      </c>
      <c r="D4578" s="908">
        <v>56.25</v>
      </c>
      <c r="E4578" s="709">
        <v>0.37218549508452647</v>
      </c>
      <c r="F4578" s="946">
        <v>1.8609274754226326E-2</v>
      </c>
      <c r="G4578" s="78"/>
      <c r="H4578" t="s">
        <v>3627</v>
      </c>
      <c r="J4578" s="256">
        <v>40878</v>
      </c>
      <c r="K4578" s="424">
        <v>88.187799999999996</v>
      </c>
      <c r="L4578" s="37">
        <v>-0.11812200000000006</v>
      </c>
    </row>
    <row r="4579" spans="1:12" hidden="1" outlineLevel="1" x14ac:dyDescent="0.25">
      <c r="A4579" s="739">
        <v>0.05</v>
      </c>
      <c r="B4579" s="740" t="s">
        <v>3251</v>
      </c>
      <c r="C4579" s="809">
        <v>164.11</v>
      </c>
      <c r="D4579" s="908">
        <v>207.1</v>
      </c>
      <c r="E4579" s="709">
        <v>0.26195844250807365</v>
      </c>
      <c r="F4579" s="946">
        <v>1.3097922125403684E-2</v>
      </c>
      <c r="G4579" s="78"/>
      <c r="H4579" t="s">
        <v>118</v>
      </c>
      <c r="J4579" s="256">
        <v>40909</v>
      </c>
      <c r="K4579" s="424">
        <v>89.653599999999997</v>
      </c>
      <c r="L4579" s="37">
        <v>-0.103464</v>
      </c>
    </row>
    <row r="4580" spans="1:12" hidden="1" outlineLevel="1" x14ac:dyDescent="0.25">
      <c r="A4580" s="739">
        <v>0.05</v>
      </c>
      <c r="B4580" s="740" t="s">
        <v>3252</v>
      </c>
      <c r="C4580" s="809">
        <v>918.55</v>
      </c>
      <c r="D4580" s="908">
        <v>1089</v>
      </c>
      <c r="E4580" s="709">
        <v>0.18556420445266997</v>
      </c>
      <c r="F4580" s="946">
        <v>9.2782102226334987E-3</v>
      </c>
      <c r="G4580" s="78"/>
      <c r="H4580" t="s">
        <v>3628</v>
      </c>
      <c r="J4580" s="256">
        <v>40940</v>
      </c>
      <c r="K4580" s="424">
        <v>92.103099999999998</v>
      </c>
      <c r="L4580" s="37">
        <v>-7.8969000000000067E-2</v>
      </c>
    </row>
    <row r="4581" spans="1:12" hidden="1" outlineLevel="1" x14ac:dyDescent="0.25">
      <c r="A4581" s="739">
        <v>0.05</v>
      </c>
      <c r="B4581" s="740" t="s">
        <v>3253</v>
      </c>
      <c r="C4581" s="809">
        <v>328.88</v>
      </c>
      <c r="D4581" s="908">
        <v>464.2</v>
      </c>
      <c r="E4581" s="709">
        <v>0.41145706640720014</v>
      </c>
      <c r="F4581" s="946">
        <v>2.0572853320360008E-2</v>
      </c>
      <c r="G4581" s="78"/>
      <c r="H4581" t="s">
        <v>3629</v>
      </c>
      <c r="J4581" s="256">
        <v>40969</v>
      </c>
      <c r="K4581" s="424">
        <v>91.681899999999999</v>
      </c>
      <c r="L4581" s="37">
        <v>-8.318100000000006E-2</v>
      </c>
    </row>
    <row r="4582" spans="1:12" hidden="1" outlineLevel="1" x14ac:dyDescent="0.25">
      <c r="A4582" s="739">
        <v>0.05</v>
      </c>
      <c r="B4582" s="740" t="s">
        <v>3254</v>
      </c>
      <c r="C4582" s="809">
        <v>2058.1</v>
      </c>
      <c r="D4582" s="908">
        <v>473</v>
      </c>
      <c r="E4582" s="709">
        <v>-0.77017637626937463</v>
      </c>
      <c r="F4582" s="946">
        <v>-3.8508818813468737E-2</v>
      </c>
      <c r="G4582" s="78"/>
      <c r="H4582" t="s">
        <v>3630</v>
      </c>
      <c r="J4582" s="256">
        <v>41000</v>
      </c>
      <c r="K4582" s="424">
        <v>91.397400000000005</v>
      </c>
      <c r="L4582" s="37">
        <v>-8.6025999999999936E-2</v>
      </c>
    </row>
    <row r="4583" spans="1:12" hidden="1" outlineLevel="1" x14ac:dyDescent="0.25">
      <c r="A4583" s="739">
        <v>0.05</v>
      </c>
      <c r="B4583" s="740" t="s">
        <v>3255</v>
      </c>
      <c r="C4583" s="809">
        <v>627.75</v>
      </c>
      <c r="D4583" s="908">
        <v>734.5</v>
      </c>
      <c r="E4583" s="709">
        <v>0.17005177220230983</v>
      </c>
      <c r="F4583" s="946">
        <v>8.5025886101154913E-3</v>
      </c>
      <c r="G4583" s="78"/>
      <c r="H4583" t="s">
        <v>3631</v>
      </c>
      <c r="J4583" s="256">
        <v>41030</v>
      </c>
      <c r="K4583" s="424">
        <v>89.125</v>
      </c>
      <c r="L4583" s="37">
        <v>-0.10875000000000001</v>
      </c>
    </row>
    <row r="4584" spans="1:12" hidden="1" outlineLevel="1" x14ac:dyDescent="0.25">
      <c r="A4584" s="739">
        <v>0.05</v>
      </c>
      <c r="B4584" s="740" t="s">
        <v>1897</v>
      </c>
      <c r="C4584" s="809">
        <v>33.558999999999997</v>
      </c>
      <c r="D4584" s="908">
        <v>42.48</v>
      </c>
      <c r="E4584" s="709">
        <v>0.26583032867487111</v>
      </c>
      <c r="F4584" s="946">
        <v>1.3291516433743556E-2</v>
      </c>
      <c r="G4584" s="78"/>
      <c r="H4584" t="s">
        <v>352</v>
      </c>
      <c r="J4584" s="256">
        <v>41061</v>
      </c>
      <c r="K4584" s="424">
        <v>90.423000000000002</v>
      </c>
      <c r="L4584" s="37">
        <v>-9.5770000000000022E-2</v>
      </c>
    </row>
    <row r="4585" spans="1:12" hidden="1" outlineLevel="1" x14ac:dyDescent="0.25">
      <c r="A4585" s="739">
        <v>0.1</v>
      </c>
      <c r="B4585" s="740" t="s">
        <v>3801</v>
      </c>
      <c r="C4585" s="809">
        <v>91.337000000000003</v>
      </c>
      <c r="D4585" s="908">
        <v>35.045000000000002</v>
      </c>
      <c r="E4585" s="709">
        <v>-0.61631102400998494</v>
      </c>
      <c r="F4585" s="946">
        <v>-6.1631102400998498E-2</v>
      </c>
      <c r="G4585" s="78"/>
      <c r="H4585" t="s">
        <v>2819</v>
      </c>
      <c r="J4585" s="256">
        <v>41091</v>
      </c>
      <c r="K4585" s="424">
        <v>93.299599999999998</v>
      </c>
      <c r="L4585" s="37">
        <v>-6.7004000000000064E-2</v>
      </c>
    </row>
    <row r="4586" spans="1:12" hidden="1" outlineLevel="1" x14ac:dyDescent="0.25">
      <c r="A4586" s="739">
        <v>0.1</v>
      </c>
      <c r="B4586" s="740" t="s">
        <v>4460</v>
      </c>
      <c r="C4586" s="809">
        <v>1426.8</v>
      </c>
      <c r="D4586" s="908">
        <v>1705</v>
      </c>
      <c r="E4586" s="709">
        <v>0.19498177740398104</v>
      </c>
      <c r="F4586" s="946">
        <v>1.9498177740398106E-2</v>
      </c>
      <c r="G4586" s="78"/>
      <c r="H4586" t="s">
        <v>3485</v>
      </c>
      <c r="J4586" s="256">
        <v>41122</v>
      </c>
      <c r="K4586" s="424">
        <v>93.603899999999996</v>
      </c>
      <c r="L4586" s="37">
        <v>-6.3961000000000046E-2</v>
      </c>
    </row>
    <row r="4587" spans="1:12" ht="14.4" hidden="1" outlineLevel="1" x14ac:dyDescent="0.3">
      <c r="A4587" s="739">
        <v>0.1</v>
      </c>
      <c r="B4587" s="743" t="s">
        <v>4338</v>
      </c>
      <c r="C4587" s="809">
        <v>43.158999999999999</v>
      </c>
      <c r="D4587" s="908">
        <v>17.805</v>
      </c>
      <c r="E4587" s="709">
        <v>-0.58745568711045204</v>
      </c>
      <c r="F4587" s="946">
        <v>-5.8745568711045207E-2</v>
      </c>
      <c r="G4587" s="78"/>
      <c r="H4587" t="s">
        <v>7229</v>
      </c>
      <c r="J4587" s="256">
        <v>41153</v>
      </c>
      <c r="K4587" s="427">
        <v>94.253299999999996</v>
      </c>
      <c r="L4587" s="37">
        <v>-5.7467000000000046E-2</v>
      </c>
    </row>
    <row r="4588" spans="1:12" hidden="1" outlineLevel="1" x14ac:dyDescent="0.25">
      <c r="A4588" s="739">
        <v>0.1</v>
      </c>
      <c r="B4588" s="987" t="s">
        <v>2983</v>
      </c>
      <c r="C4588" s="809">
        <v>720.85</v>
      </c>
      <c r="D4588" s="908">
        <v>725</v>
      </c>
      <c r="E4588" s="709">
        <v>5.7570923215648495E-3</v>
      </c>
      <c r="F4588" s="946">
        <v>5.7570923215648499E-4</v>
      </c>
      <c r="G4588" s="78"/>
      <c r="H4588" t="s">
        <v>1713</v>
      </c>
      <c r="J4588" s="264" t="s">
        <v>2465</v>
      </c>
      <c r="L4588" s="261">
        <v>-8.9490916666666684E-2</v>
      </c>
    </row>
    <row r="4589" spans="1:12" hidden="1" outlineLevel="1" x14ac:dyDescent="0.25">
      <c r="A4589" s="739">
        <v>0.05</v>
      </c>
      <c r="B4589" s="740" t="s">
        <v>1898</v>
      </c>
      <c r="C4589" s="809">
        <v>20.181999999999999</v>
      </c>
      <c r="D4589" s="908">
        <v>8.3049999999999997</v>
      </c>
      <c r="E4589" s="709">
        <v>-0.58849469824596179</v>
      </c>
      <c r="F4589" s="946">
        <v>-2.9424734912298092E-2</v>
      </c>
      <c r="G4589" s="78"/>
      <c r="H4589" t="s">
        <v>353</v>
      </c>
      <c r="J4589" s="264" t="s">
        <v>1507</v>
      </c>
      <c r="L4589" s="261">
        <v>-6.264364166666668E-2</v>
      </c>
    </row>
    <row r="4590" spans="1:12" hidden="1" outlineLevel="1" x14ac:dyDescent="0.25">
      <c r="A4590" s="739">
        <v>0.05</v>
      </c>
      <c r="B4590" s="740" t="s">
        <v>4228</v>
      </c>
      <c r="C4590" s="809">
        <v>61.44</v>
      </c>
      <c r="D4590" s="908">
        <v>8.4450000000000003</v>
      </c>
      <c r="E4590" s="709">
        <v>-0.862548828125</v>
      </c>
      <c r="F4590" s="946">
        <v>-4.3127441406250001E-2</v>
      </c>
      <c r="G4590" s="78"/>
      <c r="H4590" t="s">
        <v>3994</v>
      </c>
    </row>
    <row r="4591" spans="1:12" hidden="1" outlineLevel="1" x14ac:dyDescent="0.25">
      <c r="A4591" s="739">
        <v>0.05</v>
      </c>
      <c r="B4591" s="740" t="s">
        <v>1899</v>
      </c>
      <c r="C4591" s="809">
        <v>838.3</v>
      </c>
      <c r="D4591" s="908">
        <v>1803</v>
      </c>
      <c r="E4591" s="709">
        <v>1.1507813431945606</v>
      </c>
      <c r="F4591" s="946">
        <v>5.7539067159728036E-2</v>
      </c>
      <c r="G4591" s="78"/>
      <c r="H4591" t="s">
        <v>354</v>
      </c>
    </row>
    <row r="4592" spans="1:12" hidden="1" outlineLevel="1" x14ac:dyDescent="0.25">
      <c r="A4592" s="717"/>
      <c r="B4592" s="718"/>
      <c r="C4592" s="719"/>
      <c r="D4592" s="719"/>
      <c r="E4592" s="720"/>
      <c r="F4592" s="731">
        <v>-8.1353798768394964E-2</v>
      </c>
      <c r="G4592" s="78"/>
    </row>
    <row r="4593" spans="1:9" collapsed="1" x14ac:dyDescent="0.25">
      <c r="A4593" s="3801" t="s">
        <v>3986</v>
      </c>
      <c r="B4593" s="3802"/>
      <c r="C4593" s="3802"/>
      <c r="D4593" s="3802"/>
      <c r="E4593" s="721"/>
      <c r="F4593" s="722">
        <v>0</v>
      </c>
      <c r="G4593" s="97" t="s">
        <v>781</v>
      </c>
    </row>
    <row r="4594" spans="1:9" x14ac:dyDescent="0.25">
      <c r="G4594" s="21"/>
    </row>
    <row r="4595" spans="1:9" hidden="1" outlineLevel="1" x14ac:dyDescent="0.25">
      <c r="A4595" s="689" t="s">
        <v>113</v>
      </c>
      <c r="B4595" s="689" t="s">
        <v>114</v>
      </c>
      <c r="C4595" s="689" t="s">
        <v>112</v>
      </c>
      <c r="D4595" s="689" t="s">
        <v>116</v>
      </c>
      <c r="E4595" s="689" t="s">
        <v>117</v>
      </c>
      <c r="F4595" s="1188" t="s">
        <v>121</v>
      </c>
      <c r="G4595" s="78"/>
    </row>
    <row r="4596" spans="1:9" hidden="1" outlineLevel="1" x14ac:dyDescent="0.25">
      <c r="A4596" s="690">
        <v>1</v>
      </c>
      <c r="B4596" s="691" t="s">
        <v>252</v>
      </c>
      <c r="C4596" s="692">
        <v>100</v>
      </c>
      <c r="D4596" s="692"/>
      <c r="E4596" s="693"/>
      <c r="F4596" s="694"/>
      <c r="G4596" s="78"/>
    </row>
    <row r="4597" spans="1:9" hidden="1" outlineLevel="1" x14ac:dyDescent="0.25">
      <c r="A4597" s="695"/>
      <c r="B4597" s="695"/>
      <c r="C4597" s="696"/>
      <c r="D4597" s="697" t="s">
        <v>3702</v>
      </c>
      <c r="E4597" s="698">
        <v>40847</v>
      </c>
      <c r="F4597" s="699"/>
      <c r="G4597" s="78"/>
    </row>
    <row r="4598" spans="1:9" hidden="1" outlineLevel="1" x14ac:dyDescent="0.25">
      <c r="A4598" s="689" t="s">
        <v>4156</v>
      </c>
      <c r="B4598" s="689" t="s">
        <v>4153</v>
      </c>
      <c r="C4598" s="497" t="s">
        <v>112</v>
      </c>
      <c r="D4598" s="495" t="s">
        <v>4155</v>
      </c>
      <c r="E4598" s="689" t="s">
        <v>4154</v>
      </c>
      <c r="F4598" s="1021" t="s">
        <v>2519</v>
      </c>
      <c r="G4598" s="78"/>
    </row>
    <row r="4599" spans="1:9" hidden="1" outlineLevel="1" x14ac:dyDescent="0.25">
      <c r="A4599" s="999">
        <v>0.04</v>
      </c>
      <c r="B4599" s="1000" t="s">
        <v>1993</v>
      </c>
      <c r="C4599" s="1001">
        <v>72.847999999999999</v>
      </c>
      <c r="D4599" s="803">
        <v>97.42</v>
      </c>
      <c r="E4599" s="705">
        <v>0.33730507357786088</v>
      </c>
      <c r="F4599" s="1021">
        <v>1.3492202943114436E-2</v>
      </c>
      <c r="G4599" s="78"/>
      <c r="H4599" t="str">
        <f>VLOOKUP(B4599,indexy!$A$44:$D$397,3,FALSE)</f>
        <v>MO UN Equity</v>
      </c>
      <c r="I4599" s="39" t="s">
        <v>3533</v>
      </c>
    </row>
    <row r="4600" spans="1:9" hidden="1" outlineLevel="1" x14ac:dyDescent="0.25">
      <c r="A4600" s="1002">
        <v>0.04</v>
      </c>
      <c r="B4600" s="996" t="s">
        <v>2984</v>
      </c>
      <c r="C4600" s="1003">
        <v>16.548999999999999</v>
      </c>
      <c r="D4600" s="908">
        <v>6.5620000000000003</v>
      </c>
      <c r="E4600" s="709">
        <v>-0.60348057284428058</v>
      </c>
      <c r="F4600" s="946">
        <v>-2.4139222913771224E-2</v>
      </c>
      <c r="G4600" s="78"/>
      <c r="H4600" t="str">
        <f>VLOOKUP(B4600,indexy!$A$44:$D$397,3,FALSE)</f>
        <v>BBVA SM Equity</v>
      </c>
    </row>
    <row r="4601" spans="1:9" hidden="1" outlineLevel="1" x14ac:dyDescent="0.25">
      <c r="A4601" s="1002">
        <v>0.03</v>
      </c>
      <c r="B4601" s="996" t="s">
        <v>157</v>
      </c>
      <c r="C4601" s="1003">
        <v>14.763</v>
      </c>
      <c r="D4601" s="908">
        <v>6.1769999999999996</v>
      </c>
      <c r="E4601" s="709">
        <v>-0.58158910790489737</v>
      </c>
      <c r="F4601" s="946">
        <v>-1.7447673237146921E-2</v>
      </c>
      <c r="G4601" s="78"/>
      <c r="H4601" t="str">
        <f>VLOOKUP(B4601,indexy!$A$44:$D$397,3,FALSE)</f>
        <v>SAN SM Equity</v>
      </c>
    </row>
    <row r="4602" spans="1:9" hidden="1" outlineLevel="1" x14ac:dyDescent="0.25">
      <c r="A4602" s="1002">
        <v>0.05</v>
      </c>
      <c r="B4602" s="996" t="s">
        <v>1184</v>
      </c>
      <c r="C4602" s="1003">
        <v>45.68</v>
      </c>
      <c r="D4602" s="908">
        <v>53.19</v>
      </c>
      <c r="E4602" s="709">
        <v>0.16440455341506133</v>
      </c>
      <c r="F4602" s="946">
        <v>8.220227670753066E-3</v>
      </c>
      <c r="G4602" s="78"/>
      <c r="H4602" t="str">
        <f>VLOOKUP(B4602,indexy!$A$44:$D$397,3,FALSE)</f>
        <v>BAS GY Equity</v>
      </c>
    </row>
    <row r="4603" spans="1:9" hidden="1" outlineLevel="1" x14ac:dyDescent="0.25">
      <c r="A4603" s="1002">
        <v>0.03</v>
      </c>
      <c r="B4603" s="996" t="s">
        <v>901</v>
      </c>
      <c r="C4603" s="1003">
        <v>1770.2</v>
      </c>
      <c r="D4603" s="908">
        <v>2864.5</v>
      </c>
      <c r="E4603" s="709">
        <v>0.61817873686589087</v>
      </c>
      <c r="F4603" s="946">
        <v>1.8545362105976727E-2</v>
      </c>
      <c r="G4603" s="78"/>
      <c r="H4603" t="str">
        <f>VLOOKUP(B4603,indexy!$A$44:$D$397,3,FALSE)</f>
        <v>BATS LN Equity</v>
      </c>
    </row>
    <row r="4604" spans="1:9" hidden="1" outlineLevel="1" x14ac:dyDescent="0.25">
      <c r="A4604" s="1002">
        <v>0.03</v>
      </c>
      <c r="B4604" s="996" t="s">
        <v>1847</v>
      </c>
      <c r="C4604" s="1003">
        <v>334.21999999999997</v>
      </c>
      <c r="D4604" s="908">
        <v>31.59</v>
      </c>
      <c r="E4604" s="709">
        <v>-0.90548141942433125</v>
      </c>
      <c r="F4604" s="946">
        <v>-2.7164442582729938E-2</v>
      </c>
      <c r="G4604" s="78"/>
      <c r="H4604" t="str">
        <f>VLOOKUP(B4604,indexy!$A$44:$D$397,3,FALSE)</f>
        <v>C UN Equity</v>
      </c>
    </row>
    <row r="4605" spans="1:9" hidden="1" outlineLevel="1" x14ac:dyDescent="0.25">
      <c r="A4605" s="1002">
        <v>0.02</v>
      </c>
      <c r="B4605" s="996" t="s">
        <v>1212</v>
      </c>
      <c r="C4605" s="1003">
        <v>66.775000000000006</v>
      </c>
      <c r="D4605" s="908">
        <v>25.6</v>
      </c>
      <c r="E4605" s="709">
        <v>-0.61662298764507684</v>
      </c>
      <c r="F4605" s="946">
        <v>-1.2332459752901537E-2</v>
      </c>
      <c r="G4605" s="78"/>
      <c r="H4605" t="e">
        <f>VLOOKUP(B4605,indexy!$A$44:$D$397,3,FALSE)</f>
        <v>#N/A</v>
      </c>
    </row>
    <row r="4606" spans="1:9" hidden="1" outlineLevel="1" x14ac:dyDescent="0.25">
      <c r="A4606" s="1002">
        <v>0.02</v>
      </c>
      <c r="B4606" s="996" t="s">
        <v>3406</v>
      </c>
      <c r="C4606" s="1003">
        <v>1078.7</v>
      </c>
      <c r="D4606" s="908">
        <v>1289</v>
      </c>
      <c r="E4606" s="709">
        <v>0.19495689255585424</v>
      </c>
      <c r="F4606" s="946">
        <v>3.8991378511170848E-3</v>
      </c>
      <c r="G4606" s="78"/>
      <c r="H4606" t="str">
        <f>VLOOKUP(B4606,indexy!$A$44:$D$397,3,FALSE)</f>
        <v>DGE LN Equity</v>
      </c>
    </row>
    <row r="4607" spans="1:9" hidden="1" outlineLevel="1" x14ac:dyDescent="0.25">
      <c r="A4607" s="1002">
        <v>0.02</v>
      </c>
      <c r="B4607" s="996" t="s">
        <v>4387</v>
      </c>
      <c r="C4607" s="1003">
        <v>45.244</v>
      </c>
      <c r="D4607" s="908">
        <v>17.510000000000002</v>
      </c>
      <c r="E4607" s="709">
        <v>-0.61298735743966049</v>
      </c>
      <c r="F4607" s="946">
        <v>-1.225974714879321E-2</v>
      </c>
      <c r="G4607" s="78"/>
      <c r="H4607" t="str">
        <f>VLOOKUP(B4607,indexy!$A$44:$D$397,3,FALSE)</f>
        <v>EOAN GY Equity</v>
      </c>
    </row>
    <row r="4608" spans="1:9" hidden="1" outlineLevel="1" x14ac:dyDescent="0.25">
      <c r="A4608" s="1002">
        <v>0.04</v>
      </c>
      <c r="B4608" s="996" t="s">
        <v>4064</v>
      </c>
      <c r="C4608" s="1003">
        <v>51.537999999999997</v>
      </c>
      <c r="D4608" s="908">
        <v>37.159999999999997</v>
      </c>
      <c r="E4608" s="709">
        <v>-0.27897861771896471</v>
      </c>
      <c r="F4608" s="946">
        <v>-1.1159144708758588E-2</v>
      </c>
      <c r="G4608" s="78"/>
      <c r="H4608" t="str">
        <f>VLOOKUP(B4608,indexy!$A$44:$D$397,3,FALSE)</f>
        <v>LLY UN Equity</v>
      </c>
    </row>
    <row r="4609" spans="1:8" hidden="1" outlineLevel="1" x14ac:dyDescent="0.25">
      <c r="A4609" s="1002">
        <v>0.06</v>
      </c>
      <c r="B4609" s="996" t="s">
        <v>3798</v>
      </c>
      <c r="C4609" s="1003">
        <v>8.1098999999999997</v>
      </c>
      <c r="D4609" s="908">
        <v>3.41</v>
      </c>
      <c r="E4609" s="709">
        <v>-0.57952625803030866</v>
      </c>
      <c r="F4609" s="946">
        <v>-3.4771575481818522E-2</v>
      </c>
      <c r="G4609" s="78"/>
      <c r="H4609" t="str">
        <f>VLOOKUP(B4609,indexy!$A$44:$D$397,3,FALSE)</f>
        <v>ENEL IM Equity</v>
      </c>
    </row>
    <row r="4610" spans="1:8" hidden="1" outlineLevel="1" x14ac:dyDescent="0.25">
      <c r="A4610" s="1002">
        <v>0.03</v>
      </c>
      <c r="B4610" s="996" t="s">
        <v>4268</v>
      </c>
      <c r="C4610" s="1003">
        <v>29.05</v>
      </c>
      <c r="D4610" s="908">
        <v>17.63</v>
      </c>
      <c r="E4610" s="709">
        <v>-0.39311531841652325</v>
      </c>
      <c r="F4610" s="946">
        <v>-1.1793459552495698E-2</v>
      </c>
      <c r="G4610" s="78"/>
      <c r="H4610" t="str">
        <f>VLOOKUP(B4610,indexy!$A$44:$D$397,3,FALSE)</f>
        <v>FORTUM FH Equity</v>
      </c>
    </row>
    <row r="4611" spans="1:8" hidden="1" outlineLevel="1" x14ac:dyDescent="0.25">
      <c r="A4611" s="1002">
        <v>0.04</v>
      </c>
      <c r="B4611" s="996" t="s">
        <v>3407</v>
      </c>
      <c r="C4611" s="1003">
        <v>38.42</v>
      </c>
      <c r="D4611" s="908">
        <v>16.71</v>
      </c>
      <c r="E4611" s="709">
        <v>-0.56507027589796976</v>
      </c>
      <c r="F4611" s="946">
        <v>-2.2602811035918793E-2</v>
      </c>
      <c r="G4611" s="78"/>
      <c r="H4611" t="str">
        <f>VLOOKUP(B4611,indexy!$A$44:$D$397,3,FALSE)</f>
        <v>GE UN Equity</v>
      </c>
    </row>
    <row r="4612" spans="1:8" hidden="1" outlineLevel="1" x14ac:dyDescent="0.25">
      <c r="A4612" s="1002">
        <v>0.04</v>
      </c>
      <c r="B4612" s="996" t="s">
        <v>1771</v>
      </c>
      <c r="C4612" s="1003">
        <v>842.15</v>
      </c>
      <c r="D4612" s="908">
        <v>544.9</v>
      </c>
      <c r="E4612" s="709">
        <v>-0.35296562370124085</v>
      </c>
      <c r="F4612" s="946">
        <v>-1.4118624948049635E-2</v>
      </c>
      <c r="G4612" s="78"/>
      <c r="H4612" t="str">
        <f>VLOOKUP(B4612,indexy!$A$44:$D$397,3,FALSE)</f>
        <v>HSBA LN Equity</v>
      </c>
    </row>
    <row r="4613" spans="1:8" hidden="1" outlineLevel="1" x14ac:dyDescent="0.25">
      <c r="A4613" s="1002">
        <v>0.06</v>
      </c>
      <c r="B4613" s="996" t="s">
        <v>2588</v>
      </c>
      <c r="C4613" s="1003">
        <v>26.489000000000001</v>
      </c>
      <c r="D4613" s="908">
        <v>6.26</v>
      </c>
      <c r="E4613" s="709">
        <v>-0.76367548793838957</v>
      </c>
      <c r="F4613" s="946">
        <v>-4.5820529276303375E-2</v>
      </c>
      <c r="G4613" s="78"/>
      <c r="H4613" t="str">
        <f>VLOOKUP(B4613,indexy!$A$44:$D$397,3,FALSE)</f>
        <v>INGA NA Equity</v>
      </c>
    </row>
    <row r="4614" spans="1:8" hidden="1" outlineLevel="1" x14ac:dyDescent="0.25">
      <c r="A4614" s="1002">
        <v>0.02</v>
      </c>
      <c r="B4614" s="996" t="s">
        <v>4376</v>
      </c>
      <c r="C4614" s="1003">
        <v>42.780999999999999</v>
      </c>
      <c r="D4614" s="908">
        <v>34.76</v>
      </c>
      <c r="E4614" s="709">
        <v>-0.18748977349758078</v>
      </c>
      <c r="F4614" s="946">
        <v>-3.7497954699516156E-3</v>
      </c>
      <c r="G4614" s="78"/>
      <c r="H4614" t="str">
        <f>VLOOKUP(B4614,indexy!$A$44:$D$397,3,FALSE)</f>
        <v>JPM UN Equity</v>
      </c>
    </row>
    <row r="4615" spans="1:8" hidden="1" outlineLevel="1" x14ac:dyDescent="0.25">
      <c r="A4615" s="1002">
        <v>0.05</v>
      </c>
      <c r="B4615" s="996" t="s">
        <v>123</v>
      </c>
      <c r="C4615" s="1003">
        <v>40.173999999999999</v>
      </c>
      <c r="D4615" s="908">
        <v>13.16</v>
      </c>
      <c r="E4615" s="709">
        <v>-0.672424951461144</v>
      </c>
      <c r="F4615" s="946">
        <v>-3.3621247573057199E-2</v>
      </c>
      <c r="G4615" s="78"/>
      <c r="H4615" t="str">
        <f>VLOOKUP(B4615,indexy!$A$44:$D$397,3,FALSE)</f>
        <v>MFC CT Equity</v>
      </c>
    </row>
    <row r="4616" spans="1:8" hidden="1" outlineLevel="1" x14ac:dyDescent="0.25">
      <c r="A4616" s="1002">
        <v>0.02</v>
      </c>
      <c r="B4616" s="996" t="s">
        <v>2787</v>
      </c>
      <c r="C4616" s="1003">
        <v>58.945</v>
      </c>
      <c r="D4616" s="908">
        <v>49.61</v>
      </c>
      <c r="E4616" s="709">
        <v>-0.15836797014165749</v>
      </c>
      <c r="F4616" s="946">
        <v>-3.1673594028331499E-3</v>
      </c>
      <c r="G4616" s="78"/>
      <c r="H4616" t="str">
        <f>VLOOKUP(B4616,indexy!$A$44:$D$397,3,FALSE)</f>
        <v>NOVN SE Equity</v>
      </c>
    </row>
    <row r="4617" spans="1:8" hidden="1" outlineLevel="1" x14ac:dyDescent="0.25">
      <c r="A4617" s="1002">
        <v>0.04</v>
      </c>
      <c r="B4617" s="996" t="s">
        <v>1414</v>
      </c>
      <c r="C4617" s="1003">
        <v>23.058</v>
      </c>
      <c r="D4617" s="908">
        <v>19.260000000000002</v>
      </c>
      <c r="E4617" s="709">
        <v>-0.16471506635441058</v>
      </c>
      <c r="F4617" s="946">
        <v>-6.5886026541764229E-3</v>
      </c>
      <c r="G4617" s="78"/>
      <c r="H4617" t="str">
        <f>VLOOKUP(B4617,indexy!$A$44:$D$397,3,FALSE)</f>
        <v>PFE UN Equity</v>
      </c>
    </row>
    <row r="4618" spans="1:8" hidden="1" outlineLevel="1" x14ac:dyDescent="0.25">
      <c r="A4618" s="1002">
        <v>0.02</v>
      </c>
      <c r="B4618" s="996" t="s">
        <v>1653</v>
      </c>
      <c r="C4618" s="1003">
        <v>12.266999999999999</v>
      </c>
      <c r="D4618" s="908">
        <v>8.9120000000000008</v>
      </c>
      <c r="E4618" s="709">
        <v>-0.2734980027716637</v>
      </c>
      <c r="F4618" s="946">
        <v>-5.4699600554332737E-3</v>
      </c>
      <c r="G4618" s="78"/>
      <c r="H4618" t="str">
        <f>VLOOKUP(B4618,indexy!$A$44:$D$397,3,FALSE)</f>
        <v>REN NA Equity</v>
      </c>
    </row>
    <row r="4619" spans="1:8" hidden="1" outlineLevel="1" x14ac:dyDescent="0.25">
      <c r="A4619" s="1002">
        <v>0.04</v>
      </c>
      <c r="B4619" s="996" t="s">
        <v>3424</v>
      </c>
      <c r="C4619" s="1003">
        <v>31.8735</v>
      </c>
      <c r="D4619" s="908">
        <v>38.68</v>
      </c>
      <c r="E4619" s="709">
        <v>0.21354730418686363</v>
      </c>
      <c r="F4619" s="946">
        <v>8.5418921674745452E-3</v>
      </c>
      <c r="G4619" s="78"/>
      <c r="H4619" t="str">
        <f>VLOOKUP(B4619,indexy!$A$44:$D$397,3,FALSE)</f>
        <v>RAI UN Equity</v>
      </c>
    </row>
    <row r="4620" spans="1:8" hidden="1" outlineLevel="1" x14ac:dyDescent="0.25">
      <c r="A4620" s="1002">
        <v>0.03</v>
      </c>
      <c r="B4620" s="996" t="s">
        <v>3800</v>
      </c>
      <c r="C4620" s="1003">
        <v>196.6</v>
      </c>
      <c r="D4620" s="908">
        <v>144.69999999999999</v>
      </c>
      <c r="E4620" s="709">
        <v>-0.26398779247202442</v>
      </c>
      <c r="F4620" s="946">
        <v>-7.9196337741607326E-3</v>
      </c>
      <c r="G4620" s="78"/>
      <c r="H4620" t="str">
        <f>VLOOKUP(B4620,indexy!$A$44:$D$397,3,FALSE)</f>
        <v>ROG SE Equity</v>
      </c>
    </row>
    <row r="4621" spans="1:8" hidden="1" outlineLevel="1" x14ac:dyDescent="0.25">
      <c r="A4621" s="1002">
        <v>0.03</v>
      </c>
      <c r="B4621" s="996" t="s">
        <v>3801</v>
      </c>
      <c r="C4621" s="1003">
        <v>91.760999999999996</v>
      </c>
      <c r="D4621" s="908">
        <v>30.945</v>
      </c>
      <c r="E4621" s="709">
        <v>-0.6627652270572465</v>
      </c>
      <c r="F4621" s="946">
        <v>-1.9882956811717395E-2</v>
      </c>
      <c r="G4621" s="78"/>
      <c r="H4621" t="str">
        <f>VLOOKUP(B4621,indexy!$A$44:$D$397,3,FALSE)</f>
        <v>RWE GY Equity</v>
      </c>
    </row>
    <row r="4622" spans="1:8" hidden="1" outlineLevel="1" x14ac:dyDescent="0.25">
      <c r="A4622" s="1002">
        <v>0.03</v>
      </c>
      <c r="B4622" s="996" t="s">
        <v>1187</v>
      </c>
      <c r="C4622" s="1003">
        <v>60.941000000000003</v>
      </c>
      <c r="D4622" s="908">
        <v>51.96</v>
      </c>
      <c r="E4622" s="709">
        <v>-0.14737204837465745</v>
      </c>
      <c r="F4622" s="946">
        <v>-4.4211614512397234E-3</v>
      </c>
      <c r="G4622" s="78"/>
      <c r="H4622" t="str">
        <f>VLOOKUP(B4622,indexy!$A$44:$D$397,3,FALSE)</f>
        <v>SAN FP Equity</v>
      </c>
    </row>
    <row r="4623" spans="1:8" hidden="1" outlineLevel="1" x14ac:dyDescent="0.25">
      <c r="A4623" s="1002">
        <v>0.02</v>
      </c>
      <c r="B4623" s="996" t="s">
        <v>898</v>
      </c>
      <c r="C4623" s="1003">
        <v>52.401000000000003</v>
      </c>
      <c r="D4623" s="908">
        <v>25.16</v>
      </c>
      <c r="E4623" s="709">
        <v>-0.51985649128833422</v>
      </c>
      <c r="F4623" s="946">
        <v>-1.0397129825766684E-2</v>
      </c>
      <c r="G4623" s="78"/>
      <c r="H4623" t="str">
        <f>VLOOKUP(B4623,indexy!$A$44:$D$397,3,FALSE)</f>
        <v>SLF CT Equity</v>
      </c>
    </row>
    <row r="4624" spans="1:8" hidden="1" outlineLevel="1" x14ac:dyDescent="0.25">
      <c r="A4624" s="1002">
        <v>0.02</v>
      </c>
      <c r="B4624" s="996" t="s">
        <v>231</v>
      </c>
      <c r="C4624" s="1003">
        <v>68.495000000000005</v>
      </c>
      <c r="D4624" s="908">
        <v>19.73</v>
      </c>
      <c r="E4624" s="709">
        <v>-0.71194977735601139</v>
      </c>
      <c r="F4624" s="946">
        <v>-1.4238995547120228E-2</v>
      </c>
      <c r="G4624" s="78"/>
      <c r="H4624" t="e">
        <f>VLOOKUP(B4624,indexy!$A$44:$D$397,3,FALSE)</f>
        <v>#N/A</v>
      </c>
    </row>
    <row r="4625" spans="1:14" hidden="1" outlineLevel="1" x14ac:dyDescent="0.25">
      <c r="A4625" s="1002">
        <v>0.02</v>
      </c>
      <c r="B4625" s="996" t="s">
        <v>3902</v>
      </c>
      <c r="C4625" s="1003">
        <v>108.925</v>
      </c>
      <c r="D4625" s="908">
        <v>95.3</v>
      </c>
      <c r="E4625" s="709">
        <v>-0.12508606839568515</v>
      </c>
      <c r="F4625" s="946">
        <v>-2.5017213679137031E-3</v>
      </c>
      <c r="G4625" s="78"/>
      <c r="H4625" t="e">
        <f>VLOOKUP(B4625,indexy!$A$44:$D$397,3,FALSE)</f>
        <v>#N/A</v>
      </c>
    </row>
    <row r="4626" spans="1:14" hidden="1" outlineLevel="1" x14ac:dyDescent="0.25">
      <c r="A4626" s="1002">
        <v>0.03</v>
      </c>
      <c r="B4626" s="996" t="s">
        <v>577</v>
      </c>
      <c r="C4626" s="1003">
        <v>22.738</v>
      </c>
      <c r="D4626" s="908">
        <v>15.38</v>
      </c>
      <c r="E4626" s="709">
        <v>-0.32359926114873772</v>
      </c>
      <c r="F4626" s="946">
        <v>-9.7079778344621309E-3</v>
      </c>
      <c r="G4626" s="78"/>
      <c r="H4626" t="str">
        <f>VLOOKUP(B4626,indexy!$A$44:$D$397,3,FALSE)</f>
        <v>TEF SQ Equity</v>
      </c>
    </row>
    <row r="4627" spans="1:14" hidden="1" outlineLevel="1" x14ac:dyDescent="0.25">
      <c r="A4627" s="1002">
        <v>0.04</v>
      </c>
      <c r="B4627" s="996" t="s">
        <v>1183</v>
      </c>
      <c r="C4627" s="1003">
        <v>55.081000000000003</v>
      </c>
      <c r="D4627" s="908">
        <v>37.814999999999998</v>
      </c>
      <c r="E4627" s="709">
        <v>-0.31346562335469585</v>
      </c>
      <c r="F4627" s="946">
        <v>-1.2538624934187835E-2</v>
      </c>
      <c r="G4627" s="78"/>
      <c r="H4627" t="e">
        <f>VLOOKUP(B4627,indexy!$A$44:$D$397,3,FALSE)</f>
        <v>#N/A</v>
      </c>
    </row>
    <row r="4628" spans="1:14" hidden="1" outlineLevel="1" x14ac:dyDescent="0.25">
      <c r="A4628" s="1004">
        <v>0.04</v>
      </c>
      <c r="B4628" s="997" t="s">
        <v>3903</v>
      </c>
      <c r="C4628" s="1005">
        <v>14.15</v>
      </c>
      <c r="D4628" s="715">
        <v>8.48</v>
      </c>
      <c r="E4628" s="716">
        <v>-0.40070671378091871</v>
      </c>
      <c r="F4628" s="1023">
        <v>-1.6028268551236749E-2</v>
      </c>
      <c r="G4628" s="78"/>
      <c r="H4628" t="str">
        <f>VLOOKUP(B4628,indexy!$A$44:$D$397,3,FALSE)</f>
        <v>UPM FH Equity</v>
      </c>
    </row>
    <row r="4629" spans="1:14" hidden="1" outlineLevel="1" x14ac:dyDescent="0.25">
      <c r="A4629" s="749"/>
      <c r="B4629" s="750"/>
      <c r="C4629" s="727"/>
      <c r="D4629" s="727"/>
      <c r="E4629" s="716"/>
      <c r="F4629" s="770">
        <v>-0.31809999999999999</v>
      </c>
      <c r="G4629" s="78"/>
      <c r="J4629" s="1022" t="s">
        <v>3987</v>
      </c>
      <c r="K4629" s="1022"/>
      <c r="L4629" s="1022"/>
      <c r="M4629" s="1022"/>
      <c r="N4629" s="1022"/>
    </row>
    <row r="4630" spans="1:14" hidden="1" outlineLevel="1" x14ac:dyDescent="0.25">
      <c r="A4630" s="749"/>
      <c r="B4630" s="750"/>
      <c r="C4630" s="727"/>
      <c r="D4630" s="727"/>
      <c r="E4630" s="716"/>
      <c r="F4630" s="770"/>
      <c r="G4630" s="78"/>
      <c r="J4630" s="1116"/>
      <c r="K4630" s="1117" t="s">
        <v>4362</v>
      </c>
      <c r="L4630" s="1118" t="s">
        <v>4613</v>
      </c>
      <c r="M4630" s="1118" t="s">
        <v>561</v>
      </c>
      <c r="N4630" s="1119" t="s">
        <v>4614</v>
      </c>
    </row>
    <row r="4631" spans="1:14" hidden="1" outlineLevel="1" x14ac:dyDescent="0.25">
      <c r="A4631" s="751" t="s">
        <v>3356</v>
      </c>
      <c r="B4631" s="944">
        <v>39448</v>
      </c>
      <c r="C4631" s="727">
        <v>100</v>
      </c>
      <c r="D4631" s="727">
        <v>92.840100000000007</v>
      </c>
      <c r="E4631" s="716">
        <v>-7.1598999999999968E-2</v>
      </c>
      <c r="F4631" s="731">
        <v>-7.1598999999999968E-2</v>
      </c>
      <c r="G4631" s="78"/>
      <c r="J4631" s="1120" t="s">
        <v>3356</v>
      </c>
      <c r="K4631" s="1121">
        <v>39448</v>
      </c>
      <c r="L4631" s="1122">
        <v>100</v>
      </c>
      <c r="M4631" s="1122">
        <v>92.840100000000007</v>
      </c>
      <c r="N4631" s="1123">
        <f t="shared" ref="N4631:N4645" si="169">M4631/L4631-1</f>
        <v>-7.1598999999999968E-2</v>
      </c>
    </row>
    <row r="4632" spans="1:14" hidden="1" outlineLevel="1" x14ac:dyDescent="0.25">
      <c r="A4632" s="751" t="s">
        <v>3357</v>
      </c>
      <c r="B4632" s="944">
        <v>39539</v>
      </c>
      <c r="C4632" s="727">
        <v>100</v>
      </c>
      <c r="D4632" s="727">
        <v>91.714500000000001</v>
      </c>
      <c r="E4632" s="716">
        <v>-9.2855000000000021E-2</v>
      </c>
      <c r="F4632" s="731">
        <v>-9.2855000000000021E-2</v>
      </c>
      <c r="G4632" s="78"/>
      <c r="J4632" s="1120" t="s">
        <v>3357</v>
      </c>
      <c r="K4632" s="1121">
        <v>39539</v>
      </c>
      <c r="L4632" s="1122">
        <v>100</v>
      </c>
      <c r="M4632" s="1122">
        <v>90.714500000000001</v>
      </c>
      <c r="N4632" s="1123">
        <f t="shared" si="169"/>
        <v>-9.2855000000000021E-2</v>
      </c>
    </row>
    <row r="4633" spans="1:14" hidden="1" outlineLevel="1" x14ac:dyDescent="0.25">
      <c r="A4633" s="751" t="s">
        <v>3358</v>
      </c>
      <c r="B4633" s="944">
        <v>39630</v>
      </c>
      <c r="C4633" s="727">
        <v>100</v>
      </c>
      <c r="D4633" s="727">
        <v>83.825000000000003</v>
      </c>
      <c r="E4633" s="716">
        <v>-0.16174999999999995</v>
      </c>
      <c r="F4633" s="731">
        <v>-0.16174999999999995</v>
      </c>
      <c r="G4633" s="78"/>
      <c r="J4633" s="1120" t="s">
        <v>3358</v>
      </c>
      <c r="K4633" s="1121">
        <v>39630</v>
      </c>
      <c r="L4633" s="1122">
        <v>100</v>
      </c>
      <c r="M4633" s="1122">
        <v>83.825000000000003</v>
      </c>
      <c r="N4633" s="1123">
        <f t="shared" si="169"/>
        <v>-0.16174999999999995</v>
      </c>
    </row>
    <row r="4634" spans="1:14" hidden="1" outlineLevel="1" x14ac:dyDescent="0.25">
      <c r="A4634" s="751" t="s">
        <v>3359</v>
      </c>
      <c r="B4634" s="944">
        <v>39722</v>
      </c>
      <c r="C4634" s="727">
        <v>100</v>
      </c>
      <c r="D4634" s="727">
        <v>67.8459</v>
      </c>
      <c r="E4634" s="716">
        <v>-0.32154099999999997</v>
      </c>
      <c r="F4634" s="731">
        <v>-0.32154099999999997</v>
      </c>
      <c r="G4634" s="78"/>
      <c r="J4634" s="1120" t="s">
        <v>3359</v>
      </c>
      <c r="K4634" s="1121">
        <v>39722</v>
      </c>
      <c r="L4634" s="1122">
        <v>100</v>
      </c>
      <c r="M4634" s="1122">
        <v>67.8459</v>
      </c>
      <c r="N4634" s="1123">
        <f t="shared" si="169"/>
        <v>-0.32154099999999997</v>
      </c>
    </row>
    <row r="4635" spans="1:14" hidden="1" outlineLevel="1" x14ac:dyDescent="0.25">
      <c r="A4635" s="751" t="s">
        <v>3265</v>
      </c>
      <c r="B4635" s="944">
        <v>39814</v>
      </c>
      <c r="C4635" s="727">
        <v>100</v>
      </c>
      <c r="D4635" s="727">
        <v>56.494300000000003</v>
      </c>
      <c r="E4635" s="716">
        <v>-0.43505700000000003</v>
      </c>
      <c r="F4635" s="731">
        <v>-0.43505700000000003</v>
      </c>
      <c r="G4635" s="78"/>
      <c r="J4635" s="1120" t="s">
        <v>3265</v>
      </c>
      <c r="K4635" s="1121">
        <v>39814</v>
      </c>
      <c r="L4635" s="1122">
        <v>100</v>
      </c>
      <c r="M4635" s="1122">
        <v>56.494300000000003</v>
      </c>
      <c r="N4635" s="1123">
        <f t="shared" si="169"/>
        <v>-0.43505700000000003</v>
      </c>
    </row>
    <row r="4636" spans="1:14" hidden="1" outlineLevel="1" x14ac:dyDescent="0.25">
      <c r="A4636" s="751" t="s">
        <v>3266</v>
      </c>
      <c r="B4636" s="944">
        <v>39904</v>
      </c>
      <c r="C4636" s="727">
        <v>100</v>
      </c>
      <c r="D4636" s="727">
        <v>56.66</v>
      </c>
      <c r="E4636" s="716">
        <v>-0.43340000000000001</v>
      </c>
      <c r="F4636" s="731">
        <v>-0.43340000000000001</v>
      </c>
      <c r="G4636" s="78"/>
      <c r="J4636" s="1120" t="s">
        <v>3266</v>
      </c>
      <c r="K4636" s="1121">
        <v>39904</v>
      </c>
      <c r="L4636" s="1122">
        <v>100</v>
      </c>
      <c r="M4636" s="1122">
        <v>56.66</v>
      </c>
      <c r="N4636" s="1123">
        <f t="shared" si="169"/>
        <v>-0.43340000000000001</v>
      </c>
    </row>
    <row r="4637" spans="1:14" hidden="1" outlineLevel="1" x14ac:dyDescent="0.25">
      <c r="A4637" s="751" t="s">
        <v>3267</v>
      </c>
      <c r="B4637" s="944">
        <v>39995</v>
      </c>
      <c r="C4637" s="727">
        <v>100</v>
      </c>
      <c r="D4637" s="727">
        <v>65.616</v>
      </c>
      <c r="E4637" s="716">
        <v>-0.34384000000000003</v>
      </c>
      <c r="F4637" s="731">
        <v>-0.34384000000000003</v>
      </c>
      <c r="G4637" s="78"/>
      <c r="J4637" s="1120" t="s">
        <v>3267</v>
      </c>
      <c r="K4637" s="1121">
        <v>39995</v>
      </c>
      <c r="L4637" s="1122">
        <v>100</v>
      </c>
      <c r="M4637" s="1122">
        <v>65.616</v>
      </c>
      <c r="N4637" s="1123">
        <f t="shared" si="169"/>
        <v>-0.34384000000000003</v>
      </c>
    </row>
    <row r="4638" spans="1:14" hidden="1" outlineLevel="1" x14ac:dyDescent="0.25">
      <c r="A4638" s="751" t="s">
        <v>1349</v>
      </c>
      <c r="B4638" s="944">
        <v>40087</v>
      </c>
      <c r="C4638" s="727">
        <v>100</v>
      </c>
      <c r="D4638" s="727">
        <v>67.945700000000002</v>
      </c>
      <c r="E4638" s="716">
        <v>-0.32054300000000002</v>
      </c>
      <c r="F4638" s="731">
        <v>-0.32054300000000002</v>
      </c>
      <c r="G4638" s="78"/>
      <c r="J4638" s="1120" t="s">
        <v>1349</v>
      </c>
      <c r="K4638" s="1121">
        <v>40087</v>
      </c>
      <c r="L4638" s="1122">
        <v>100</v>
      </c>
      <c r="M4638" s="1122">
        <v>67.945700000000002</v>
      </c>
      <c r="N4638" s="1123">
        <f t="shared" si="169"/>
        <v>-0.32054300000000002</v>
      </c>
    </row>
    <row r="4639" spans="1:14" hidden="1" outlineLevel="1" x14ac:dyDescent="0.25">
      <c r="A4639" s="751" t="s">
        <v>1350</v>
      </c>
      <c r="B4639" s="944">
        <v>40179</v>
      </c>
      <c r="C4639" s="727">
        <v>100</v>
      </c>
      <c r="D4639" s="727">
        <v>69.644300000000001</v>
      </c>
      <c r="E4639" s="716">
        <v>-0.30355699999999997</v>
      </c>
      <c r="F4639" s="731">
        <v>-0.30355699999999997</v>
      </c>
      <c r="G4639" s="78"/>
      <c r="J4639" s="1120" t="s">
        <v>1350</v>
      </c>
      <c r="K4639" s="1121">
        <v>40179</v>
      </c>
      <c r="L4639" s="1122">
        <v>100</v>
      </c>
      <c r="M4639" s="1122">
        <v>69.644300000000001</v>
      </c>
      <c r="N4639" s="1123">
        <f t="shared" si="169"/>
        <v>-0.30355699999999997</v>
      </c>
    </row>
    <row r="4640" spans="1:14" hidden="1" outlineLevel="1" x14ac:dyDescent="0.25">
      <c r="A4640" s="751" t="s">
        <v>1351</v>
      </c>
      <c r="B4640" s="944">
        <v>40269</v>
      </c>
      <c r="C4640" s="727">
        <v>100</v>
      </c>
      <c r="D4640" s="727">
        <v>70.504499999999993</v>
      </c>
      <c r="E4640" s="716">
        <v>-0.29495500000000008</v>
      </c>
      <c r="F4640" s="731">
        <v>-0.29495500000000008</v>
      </c>
      <c r="G4640" s="78"/>
      <c r="J4640" s="1120" t="s">
        <v>1351</v>
      </c>
      <c r="K4640" s="1121">
        <v>40269</v>
      </c>
      <c r="L4640" s="1122">
        <v>100</v>
      </c>
      <c r="M4640" s="1122">
        <v>70.504499999999993</v>
      </c>
      <c r="N4640" s="1123">
        <f t="shared" si="169"/>
        <v>-0.29495500000000008</v>
      </c>
    </row>
    <row r="4641" spans="1:33" hidden="1" outlineLevel="1" x14ac:dyDescent="0.25">
      <c r="A4641" s="751" t="s">
        <v>1352</v>
      </c>
      <c r="B4641" s="944">
        <v>40360</v>
      </c>
      <c r="C4641" s="727">
        <v>100</v>
      </c>
      <c r="D4641" s="727">
        <v>68.854699999999994</v>
      </c>
      <c r="E4641" s="716">
        <v>-0.31145300000000009</v>
      </c>
      <c r="F4641" s="731">
        <v>-0.31145300000000009</v>
      </c>
      <c r="G4641" s="78"/>
      <c r="J4641" s="1120" t="s">
        <v>1352</v>
      </c>
      <c r="K4641" s="1121">
        <v>40360</v>
      </c>
      <c r="L4641" s="1122">
        <v>100</v>
      </c>
      <c r="M4641" s="1122">
        <v>68.854699999999994</v>
      </c>
      <c r="N4641" s="1123">
        <f t="shared" si="169"/>
        <v>-0.31145300000000009</v>
      </c>
    </row>
    <row r="4642" spans="1:33" hidden="1" outlineLevel="1" x14ac:dyDescent="0.25">
      <c r="A4642" s="751" t="s">
        <v>1353</v>
      </c>
      <c r="B4642" s="944">
        <v>40452</v>
      </c>
      <c r="C4642" s="727">
        <v>100</v>
      </c>
      <c r="D4642" s="727">
        <v>71.910300000000007</v>
      </c>
      <c r="E4642" s="716">
        <v>-0.28089699999999995</v>
      </c>
      <c r="F4642" s="731">
        <v>-0.28089699999999995</v>
      </c>
      <c r="G4642" s="78"/>
      <c r="J4642" s="1120" t="s">
        <v>1353</v>
      </c>
      <c r="K4642" s="1121">
        <v>40452</v>
      </c>
      <c r="L4642" s="1122">
        <v>100</v>
      </c>
      <c r="M4642" s="1122">
        <v>71.910300000000007</v>
      </c>
      <c r="N4642" s="1123">
        <f t="shared" si="169"/>
        <v>-0.28089699999999995</v>
      </c>
    </row>
    <row r="4643" spans="1:33" hidden="1" outlineLevel="1" x14ac:dyDescent="0.25">
      <c r="A4643" s="751" t="s">
        <v>1354</v>
      </c>
      <c r="B4643" s="944">
        <v>40544</v>
      </c>
      <c r="C4643" s="727">
        <v>100</v>
      </c>
      <c r="D4643" s="727">
        <v>75.498599999999996</v>
      </c>
      <c r="E4643" s="716">
        <v>-0.24501400000000007</v>
      </c>
      <c r="F4643" s="731">
        <v>-0.24501400000000007</v>
      </c>
      <c r="G4643" s="78"/>
      <c r="J4643" s="1120" t="s">
        <v>1354</v>
      </c>
      <c r="K4643" s="1121">
        <v>40544</v>
      </c>
      <c r="L4643" s="1122">
        <v>100</v>
      </c>
      <c r="M4643" s="1122">
        <v>75.498599999999996</v>
      </c>
      <c r="N4643" s="1123">
        <f t="shared" si="169"/>
        <v>-0.24501400000000007</v>
      </c>
    </row>
    <row r="4644" spans="1:33" hidden="1" outlineLevel="1" x14ac:dyDescent="0.25">
      <c r="A4644" s="751" t="s">
        <v>1355</v>
      </c>
      <c r="B4644" s="944">
        <v>40634</v>
      </c>
      <c r="C4644" s="727">
        <v>100</v>
      </c>
      <c r="D4644" s="727">
        <v>78.958100000000002</v>
      </c>
      <c r="E4644" s="716">
        <v>-0.21041900000000002</v>
      </c>
      <c r="F4644" s="731">
        <v>-0.21041900000000002</v>
      </c>
      <c r="G4644" s="78"/>
      <c r="J4644" s="1120" t="s">
        <v>1355</v>
      </c>
      <c r="K4644" s="1121">
        <v>40634</v>
      </c>
      <c r="L4644" s="1122">
        <v>100</v>
      </c>
      <c r="M4644" s="1122">
        <v>78.958100000000002</v>
      </c>
      <c r="N4644" s="1123">
        <f t="shared" si="169"/>
        <v>-0.21041900000000002</v>
      </c>
    </row>
    <row r="4645" spans="1:33" hidden="1" outlineLevel="1" x14ac:dyDescent="0.25">
      <c r="A4645" s="751" t="s">
        <v>1356</v>
      </c>
      <c r="B4645" s="944">
        <v>40725</v>
      </c>
      <c r="C4645" s="727">
        <v>100</v>
      </c>
      <c r="D4645" s="727">
        <v>72.424700000000001</v>
      </c>
      <c r="E4645" s="716">
        <v>-0.27575300000000003</v>
      </c>
      <c r="F4645" s="731">
        <v>-0.27575300000000003</v>
      </c>
      <c r="G4645" s="78"/>
      <c r="H4645" t="s">
        <v>1837</v>
      </c>
      <c r="J4645" s="1120" t="s">
        <v>1356</v>
      </c>
      <c r="K4645" s="1121">
        <v>40725</v>
      </c>
      <c r="L4645" s="1122">
        <v>100</v>
      </c>
      <c r="M4645" s="1122">
        <v>72.424700000000001</v>
      </c>
      <c r="N4645" s="1123">
        <f t="shared" si="169"/>
        <v>-0.27575300000000003</v>
      </c>
    </row>
    <row r="4646" spans="1:33" hidden="1" outlineLevel="1" x14ac:dyDescent="0.25">
      <c r="A4646" s="751" t="s">
        <v>1357</v>
      </c>
      <c r="B4646" s="944">
        <v>40817</v>
      </c>
      <c r="C4646" s="727">
        <v>100</v>
      </c>
      <c r="D4646" s="727">
        <v>68.187100000000001</v>
      </c>
      <c r="E4646" s="716">
        <v>-0.318129</v>
      </c>
      <c r="F4646" s="731">
        <v>-0.318129</v>
      </c>
      <c r="G4646" s="78"/>
      <c r="H4646" s="101">
        <v>-0.2757</v>
      </c>
      <c r="J4646" s="1120" t="s">
        <v>1357</v>
      </c>
      <c r="K4646" s="1124">
        <v>40817</v>
      </c>
      <c r="L4646" s="1125">
        <v>100</v>
      </c>
      <c r="M4646" s="1125">
        <v>68.19</v>
      </c>
      <c r="N4646" s="1126">
        <v>-0.31809999999999999</v>
      </c>
    </row>
    <row r="4647" spans="1:33" hidden="1" outlineLevel="1" x14ac:dyDescent="0.25">
      <c r="A4647" s="749"/>
      <c r="B4647" s="750"/>
      <c r="C4647" s="727"/>
      <c r="D4647" s="727"/>
      <c r="E4647" s="720"/>
      <c r="F4647" s="731"/>
      <c r="G4647" s="78"/>
      <c r="J4647" s="749"/>
      <c r="K4647" s="750"/>
      <c r="L4647" s="727"/>
      <c r="M4647" s="727"/>
      <c r="N4647" s="491"/>
    </row>
    <row r="4648" spans="1:33" collapsed="1" x14ac:dyDescent="0.25">
      <c r="A4648" s="3801" t="s">
        <v>3987</v>
      </c>
      <c r="B4648" s="3802"/>
      <c r="C4648" s="3802"/>
      <c r="D4648" s="3802"/>
      <c r="E4648" s="782" t="s">
        <v>2722</v>
      </c>
      <c r="F4648" s="722">
        <v>0</v>
      </c>
      <c r="G4648" s="97" t="s">
        <v>781</v>
      </c>
      <c r="J4648" s="1034"/>
      <c r="K4648" s="1034" t="s">
        <v>4615</v>
      </c>
      <c r="L4648" s="1035"/>
      <c r="M4648" s="1035"/>
      <c r="N4648" s="722">
        <v>-0.27350000000000002</v>
      </c>
    </row>
    <row r="4649" spans="1:33" x14ac:dyDescent="0.25">
      <c r="G4649" s="21"/>
    </row>
    <row r="4650" spans="1:33" hidden="1" outlineLevel="1" x14ac:dyDescent="0.25">
      <c r="A4650" s="689" t="s">
        <v>113</v>
      </c>
      <c r="B4650" s="689" t="s">
        <v>114</v>
      </c>
      <c r="C4650" s="689" t="s">
        <v>112</v>
      </c>
      <c r="D4650" s="689" t="s">
        <v>4155</v>
      </c>
      <c r="E4650" s="689" t="s">
        <v>117</v>
      </c>
      <c r="F4650" s="1188" t="s">
        <v>121</v>
      </c>
      <c r="G4650" s="21"/>
      <c r="H4650" s="173"/>
      <c r="I4650" s="173" t="s">
        <v>631</v>
      </c>
      <c r="J4650" s="257">
        <v>40848</v>
      </c>
      <c r="K4650" s="257">
        <v>40878</v>
      </c>
      <c r="L4650" s="257">
        <v>40909</v>
      </c>
      <c r="M4650" s="257">
        <v>40940</v>
      </c>
      <c r="N4650" s="257">
        <v>40969</v>
      </c>
      <c r="O4650" s="257">
        <v>41000</v>
      </c>
      <c r="P4650" s="257">
        <v>41030</v>
      </c>
      <c r="Q4650" s="257">
        <v>41061</v>
      </c>
      <c r="R4650" s="257">
        <v>41091</v>
      </c>
      <c r="S4650" s="257">
        <v>41122</v>
      </c>
      <c r="T4650" s="257">
        <v>41153</v>
      </c>
      <c r="U4650" s="257">
        <v>41183</v>
      </c>
      <c r="V4650" s="257">
        <v>41214</v>
      </c>
      <c r="W4650" s="257">
        <v>41244</v>
      </c>
      <c r="X4650" s="257">
        <v>41275</v>
      </c>
      <c r="Y4650" s="257">
        <v>41306</v>
      </c>
      <c r="Z4650" s="257">
        <v>41334</v>
      </c>
      <c r="AA4650" s="257">
        <v>41365</v>
      </c>
      <c r="AB4650" s="257">
        <v>41395</v>
      </c>
      <c r="AC4650" s="257">
        <v>41426</v>
      </c>
      <c r="AD4650" s="257">
        <v>41456</v>
      </c>
      <c r="AE4650" s="257">
        <v>41487</v>
      </c>
      <c r="AF4650" s="257">
        <v>41518</v>
      </c>
      <c r="AG4650" s="257">
        <v>41548</v>
      </c>
    </row>
    <row r="4651" spans="1:33" hidden="1" outlineLevel="1" x14ac:dyDescent="0.25">
      <c r="A4651" s="732" t="s">
        <v>1358</v>
      </c>
      <c r="B4651" s="695" t="s">
        <v>4375</v>
      </c>
      <c r="C4651" s="692">
        <v>2027.9369999999999</v>
      </c>
      <c r="D4651" s="692">
        <v>1600.71</v>
      </c>
      <c r="E4651" s="693">
        <v>-0.21067074568884525</v>
      </c>
      <c r="F4651" s="694">
        <v>-0.13693598469774942</v>
      </c>
      <c r="G4651" s="21"/>
      <c r="H4651" s="44"/>
      <c r="I4651" s="44"/>
      <c r="J4651" s="39">
        <v>1226.45</v>
      </c>
      <c r="K4651" s="39">
        <v>1217.95</v>
      </c>
      <c r="L4651" s="39">
        <v>1272.25</v>
      </c>
      <c r="M4651" s="39">
        <v>1279.33</v>
      </c>
      <c r="N4651" s="39">
        <v>1329.46</v>
      </c>
      <c r="O4651" s="39">
        <v>1308.57</v>
      </c>
      <c r="P4651" s="39">
        <v>1281.1300000000001</v>
      </c>
      <c r="Q4651" s="39">
        <v>1325.81</v>
      </c>
      <c r="R4651" s="39">
        <v>1417.49</v>
      </c>
      <c r="S4651" s="39">
        <v>1408.35</v>
      </c>
      <c r="T4651" s="39">
        <v>1397.69</v>
      </c>
      <c r="U4651" s="39">
        <v>1459.02</v>
      </c>
      <c r="V4651" s="39">
        <v>1477.77</v>
      </c>
      <c r="W4651" s="39">
        <v>1493.15</v>
      </c>
      <c r="X4651" s="39">
        <v>1458.18</v>
      </c>
      <c r="Y4651" s="39">
        <v>1485.63</v>
      </c>
      <c r="Z4651" s="39">
        <v>1486.14</v>
      </c>
      <c r="AA4651" s="39">
        <v>1553.33</v>
      </c>
      <c r="AB4651">
        <v>1560.1</v>
      </c>
      <c r="AC4651">
        <v>1460.69</v>
      </c>
      <c r="AD4651">
        <v>1519.87</v>
      </c>
      <c r="AE4651">
        <v>1468.88</v>
      </c>
      <c r="AF4651">
        <v>1538.69</v>
      </c>
      <c r="AG4651">
        <v>1600.71</v>
      </c>
    </row>
    <row r="4652" spans="1:33" collapsed="1" x14ac:dyDescent="0.25">
      <c r="A4652" s="3801" t="s">
        <v>3988</v>
      </c>
      <c r="B4652" s="3802"/>
      <c r="C4652" s="3802"/>
      <c r="D4652" s="3802"/>
      <c r="E4652" s="729"/>
      <c r="F4652" s="752">
        <v>0</v>
      </c>
      <c r="G4652" s="97" t="s">
        <v>781</v>
      </c>
      <c r="H4652" s="44"/>
      <c r="I4652" s="209">
        <f>AVERAGE(J4652:AG4652)</f>
        <v>-0.30087736124610037</v>
      </c>
      <c r="J4652" s="171">
        <f>IF(J4651="",I4652,J4651/$C$4651-1)</f>
        <v>-0.39522282990053437</v>
      </c>
      <c r="K4652" s="171">
        <f>IF(K4651="",J4652,K4651/$C$4651-1)</f>
        <v>-0.39941428160736747</v>
      </c>
      <c r="L4652" s="171">
        <f t="shared" ref="L4652:AG4652" si="170">IF(L4651="",K4652,L4651/$C$4651-1)</f>
        <v>-0.37263830188018654</v>
      </c>
      <c r="M4652" s="171">
        <f t="shared" si="170"/>
        <v>-0.36914706916437745</v>
      </c>
      <c r="N4652" s="171">
        <f t="shared" si="170"/>
        <v>-0.34442736633337223</v>
      </c>
      <c r="O4652" s="171">
        <f t="shared" si="170"/>
        <v>-0.35472847529287155</v>
      </c>
      <c r="P4652" s="171">
        <f t="shared" si="170"/>
        <v>-0.36825946762645967</v>
      </c>
      <c r="Q4652" s="171">
        <f t="shared" si="170"/>
        <v>-0.34622722500748293</v>
      </c>
      <c r="R4652" s="171">
        <f t="shared" si="170"/>
        <v>-0.30101872000954666</v>
      </c>
      <c r="S4652" s="171">
        <f t="shared" si="170"/>
        <v>-0.30552576337430604</v>
      </c>
      <c r="T4652" s="171">
        <f t="shared" si="170"/>
        <v>-0.31078233692664015</v>
      </c>
      <c r="U4652" s="171">
        <f t="shared" si="170"/>
        <v>-0.28053978008192559</v>
      </c>
      <c r="V4652" s="171">
        <f t="shared" si="170"/>
        <v>-0.27129393072861729</v>
      </c>
      <c r="W4652" s="171">
        <f t="shared" si="170"/>
        <v>-0.26370986869907687</v>
      </c>
      <c r="X4652" s="171">
        <f t="shared" si="170"/>
        <v>-0.28095399413295374</v>
      </c>
      <c r="Y4652" s="171">
        <f t="shared" si="170"/>
        <v>-0.26741807067971035</v>
      </c>
      <c r="Z4652" s="171">
        <f>IF(Z4651="",Y4652,Z4651/$C$4651-1)</f>
        <v>-0.26716658357730039</v>
      </c>
      <c r="AA4652" s="171">
        <f t="shared" si="170"/>
        <v>-0.23403439061469855</v>
      </c>
      <c r="AB4652" s="171">
        <f t="shared" si="170"/>
        <v>-0.23069602260819744</v>
      </c>
      <c r="AC4652" s="171">
        <f t="shared" si="170"/>
        <v>-0.27971628309952423</v>
      </c>
      <c r="AD4652" s="171">
        <f t="shared" si="170"/>
        <v>-0.25053391698065575</v>
      </c>
      <c r="AE4652" s="171">
        <f t="shared" si="170"/>
        <v>-0.2756776961019991</v>
      </c>
      <c r="AF4652" s="171">
        <f t="shared" si="170"/>
        <v>-0.24125354978976166</v>
      </c>
      <c r="AG4652" s="171">
        <f t="shared" si="170"/>
        <v>-0.21067074568884525</v>
      </c>
    </row>
    <row r="4653" spans="1:33" x14ac:dyDescent="0.25">
      <c r="G4653" s="21"/>
    </row>
    <row r="4654" spans="1:33" hidden="1" outlineLevel="1" x14ac:dyDescent="0.25">
      <c r="A4654" s="689" t="s">
        <v>113</v>
      </c>
      <c r="B4654" s="689" t="s">
        <v>114</v>
      </c>
      <c r="C4654" s="689" t="s">
        <v>112</v>
      </c>
      <c r="D4654" s="689" t="s">
        <v>116</v>
      </c>
      <c r="E4654" s="689" t="s">
        <v>117</v>
      </c>
      <c r="F4654" s="1188" t="s">
        <v>121</v>
      </c>
      <c r="G4654" s="78"/>
    </row>
    <row r="4655" spans="1:33" hidden="1" outlineLevel="1" x14ac:dyDescent="0.25">
      <c r="A4655" s="690">
        <v>1</v>
      </c>
      <c r="B4655" s="691" t="s">
        <v>252</v>
      </c>
      <c r="C4655" s="692">
        <v>100</v>
      </c>
      <c r="D4655" s="692"/>
      <c r="E4655" s="693"/>
      <c r="F4655" s="694"/>
      <c r="G4655" s="78"/>
    </row>
    <row r="4656" spans="1:33" hidden="1" outlineLevel="1" x14ac:dyDescent="0.25">
      <c r="A4656" s="695"/>
      <c r="B4656" s="695"/>
      <c r="C4656" s="696"/>
      <c r="D4656" s="697" t="s">
        <v>3702</v>
      </c>
      <c r="E4656" s="698">
        <v>41533</v>
      </c>
      <c r="F4656" s="699"/>
      <c r="G4656" s="78"/>
    </row>
    <row r="4657" spans="1:12" hidden="1" outlineLevel="1" x14ac:dyDescent="0.25">
      <c r="A4657" s="689" t="s">
        <v>4156</v>
      </c>
      <c r="B4657" s="689" t="s">
        <v>4153</v>
      </c>
      <c r="C4657" s="497" t="s">
        <v>112</v>
      </c>
      <c r="D4657" s="495" t="s">
        <v>4155</v>
      </c>
      <c r="E4657" s="689" t="s">
        <v>4154</v>
      </c>
      <c r="F4657" s="1021" t="s">
        <v>2519</v>
      </c>
      <c r="G4657" s="78"/>
    </row>
    <row r="4658" spans="1:12" hidden="1" outlineLevel="1" x14ac:dyDescent="0.25">
      <c r="A4658" s="999">
        <v>0.04</v>
      </c>
      <c r="B4658" s="1000" t="s">
        <v>1993</v>
      </c>
      <c r="C4658" s="1007">
        <v>71.171999999999997</v>
      </c>
      <c r="D4658" s="803">
        <v>122.97999999999999</v>
      </c>
      <c r="E4658" s="705">
        <v>0.72792671275220577</v>
      </c>
      <c r="F4658" s="1021">
        <v>2.9117068510088231E-2</v>
      </c>
      <c r="G4658" s="78"/>
      <c r="H4658" t="str">
        <f>VLOOKUP(B4658,indexy!$A$44:$D$234,3,FALSE)</f>
        <v>MO UN Equity</v>
      </c>
      <c r="I4658" s="39" t="s">
        <v>3533</v>
      </c>
      <c r="J4658" t="s">
        <v>2040</v>
      </c>
      <c r="K4658" t="s">
        <v>561</v>
      </c>
      <c r="L4658" t="s">
        <v>4577</v>
      </c>
    </row>
    <row r="4659" spans="1:12" hidden="1" outlineLevel="1" x14ac:dyDescent="0.25">
      <c r="A4659" s="1002">
        <v>0.04</v>
      </c>
      <c r="B4659" s="996" t="s">
        <v>2984</v>
      </c>
      <c r="C4659" s="1008">
        <v>17.065999999999999</v>
      </c>
      <c r="D4659" s="908">
        <v>7.992</v>
      </c>
      <c r="E4659" s="709">
        <v>-0.53170045704910351</v>
      </c>
      <c r="F4659" s="946">
        <v>-2.1268018281964143E-2</v>
      </c>
      <c r="G4659" s="78"/>
      <c r="H4659" t="str">
        <f>VLOOKUP(B4659,indexy!$A$44:$D$234,3,FALSE)</f>
        <v>BBVA SM Equity</v>
      </c>
      <c r="J4659" s="256">
        <v>41000</v>
      </c>
      <c r="K4659">
        <v>74.032899999999998</v>
      </c>
      <c r="L4659" s="37">
        <f>IF(K4659="",L4658,K4659/100-1)</f>
        <v>-0.25967099999999999</v>
      </c>
    </row>
    <row r="4660" spans="1:12" hidden="1" outlineLevel="1" x14ac:dyDescent="0.25">
      <c r="A4660" s="1002">
        <v>0.03</v>
      </c>
      <c r="B4660" s="996" t="s">
        <v>157</v>
      </c>
      <c r="C4660" s="1008">
        <v>14.029</v>
      </c>
      <c r="D4660" s="908">
        <v>5.79</v>
      </c>
      <c r="E4660" s="709">
        <v>-0.58728348421127663</v>
      </c>
      <c r="F4660" s="946">
        <v>-1.7618504526338299E-2</v>
      </c>
      <c r="G4660" s="78"/>
      <c r="H4660" t="str">
        <f>VLOOKUP(B4660,indexy!$A$44:$D$234,3,FALSE)</f>
        <v>SAN SM Equity</v>
      </c>
      <c r="J4660" s="256">
        <v>41030</v>
      </c>
      <c r="K4660">
        <v>69.721100000000007</v>
      </c>
      <c r="L4660" s="37">
        <f t="shared" ref="L4660:L4676" si="171">IF(K4660="",L4659,K4660/100-1)</f>
        <v>-0.30278899999999997</v>
      </c>
    </row>
    <row r="4661" spans="1:12" hidden="1" outlineLevel="1" x14ac:dyDescent="0.25">
      <c r="A4661" s="1002">
        <v>0.05</v>
      </c>
      <c r="B4661" s="996" t="s">
        <v>1184</v>
      </c>
      <c r="C4661" s="1008">
        <v>47.978000000000002</v>
      </c>
      <c r="D4661" s="908">
        <v>72.34</v>
      </c>
      <c r="E4661" s="709">
        <v>0.50777439659844092</v>
      </c>
      <c r="F4661" s="946">
        <v>2.5388719829922048E-2</v>
      </c>
      <c r="G4661" s="78"/>
      <c r="H4661" t="str">
        <f>VLOOKUP(B4661,indexy!$A$44:$D$234,3,FALSE)</f>
        <v>BAS GY Equity</v>
      </c>
      <c r="J4661" s="256">
        <v>41061</v>
      </c>
      <c r="K4661" s="424">
        <v>73.754000000000005</v>
      </c>
      <c r="L4661" s="37">
        <f t="shared" si="171"/>
        <v>-0.26245999999999992</v>
      </c>
    </row>
    <row r="4662" spans="1:12" hidden="1" outlineLevel="1" x14ac:dyDescent="0.25">
      <c r="A4662" s="1002">
        <v>0.03</v>
      </c>
      <c r="B4662" s="996" t="s">
        <v>901</v>
      </c>
      <c r="C4662" s="1008">
        <v>1769.8</v>
      </c>
      <c r="D4662" s="908">
        <v>3352</v>
      </c>
      <c r="E4662" s="709">
        <v>0.89399932195728327</v>
      </c>
      <c r="F4662" s="946">
        <v>2.6819979658718497E-2</v>
      </c>
      <c r="G4662" s="78"/>
      <c r="H4662" t="str">
        <f>VLOOKUP(B4662,indexy!$A$44:$D$234,3,FALSE)</f>
        <v>BATS LN Equity</v>
      </c>
      <c r="J4662" s="256">
        <v>41091</v>
      </c>
      <c r="K4662" s="424">
        <v>75.566699999999997</v>
      </c>
      <c r="L4662" s="37">
        <f t="shared" si="171"/>
        <v>-0.24433300000000002</v>
      </c>
    </row>
    <row r="4663" spans="1:12" hidden="1" outlineLevel="1" x14ac:dyDescent="0.25">
      <c r="A4663" s="1002">
        <v>0.03</v>
      </c>
      <c r="B4663" s="996" t="s">
        <v>1847</v>
      </c>
      <c r="C4663" s="1008">
        <v>437.84999999999997</v>
      </c>
      <c r="D4663" s="908">
        <v>51</v>
      </c>
      <c r="E4663" s="709">
        <v>-0.88352175402535116</v>
      </c>
      <c r="F4663" s="946">
        <v>-2.6505652620760534E-2</v>
      </c>
      <c r="G4663" s="78"/>
      <c r="H4663" t="str">
        <f>VLOOKUP(B4663,indexy!$A$44:$D$234,3,FALSE)</f>
        <v>C UN Equity</v>
      </c>
      <c r="J4663" s="256">
        <v>41122</v>
      </c>
      <c r="K4663" s="424">
        <v>76.794300000000007</v>
      </c>
      <c r="L4663" s="37">
        <f t="shared" si="171"/>
        <v>-0.23205699999999996</v>
      </c>
    </row>
    <row r="4664" spans="1:12" hidden="1" outlineLevel="1" x14ac:dyDescent="0.25">
      <c r="A4664" s="1002">
        <v>0.02</v>
      </c>
      <c r="B4664" s="996" t="s">
        <v>1212</v>
      </c>
      <c r="C4664" s="1008">
        <v>78.515000000000001</v>
      </c>
      <c r="D4664" s="908">
        <v>28.68</v>
      </c>
      <c r="E4664" s="709">
        <v>-0.63471948035407255</v>
      </c>
      <c r="F4664" s="946">
        <v>-1.2694389607081451E-2</v>
      </c>
      <c r="G4664" s="78"/>
      <c r="H4664" t="e">
        <f>VLOOKUP(B4664,indexy!$A$44:$D$234,3,FALSE)</f>
        <v>#N/A</v>
      </c>
      <c r="J4664" s="256">
        <v>41153</v>
      </c>
      <c r="K4664" s="424">
        <v>77.731800000000007</v>
      </c>
      <c r="L4664" s="37">
        <f t="shared" si="171"/>
        <v>-0.22268199999999994</v>
      </c>
    </row>
    <row r="4665" spans="1:12" hidden="1" outlineLevel="1" x14ac:dyDescent="0.25">
      <c r="A4665" s="1002">
        <v>0.02</v>
      </c>
      <c r="B4665" s="996" t="s">
        <v>3406</v>
      </c>
      <c r="C4665" s="1008">
        <v>1105.3</v>
      </c>
      <c r="D4665" s="908">
        <v>2012.5</v>
      </c>
      <c r="E4665" s="709">
        <v>0.82077264091196978</v>
      </c>
      <c r="F4665" s="946">
        <v>1.6415452818239397E-2</v>
      </c>
      <c r="G4665" s="78"/>
      <c r="H4665" t="str">
        <f>VLOOKUP(B4665,indexy!$A$44:$D$234,3,FALSE)</f>
        <v>DGE LN Equity</v>
      </c>
      <c r="J4665" s="256">
        <v>41183</v>
      </c>
      <c r="K4665" s="424">
        <v>77.658799999999999</v>
      </c>
      <c r="L4665" s="37">
        <f t="shared" si="171"/>
        <v>-0.22341200000000005</v>
      </c>
    </row>
    <row r="4666" spans="1:12" hidden="1" outlineLevel="1" x14ac:dyDescent="0.25">
      <c r="A4666" s="1002">
        <v>0.03</v>
      </c>
      <c r="B4666" s="996" t="s">
        <v>1231</v>
      </c>
      <c r="C4666" s="1008">
        <v>56.213999999999999</v>
      </c>
      <c r="D4666" s="908">
        <v>66.03</v>
      </c>
      <c r="E4666" s="709">
        <v>0.17461842245703929</v>
      </c>
      <c r="F4666" s="946">
        <v>5.2385526737111785E-3</v>
      </c>
      <c r="G4666" s="78"/>
      <c r="H4666" t="str">
        <f>VLOOKUP(B4666,indexy!$A$44:$D$234,3,FALSE)</f>
        <v>DUK UN Equity</v>
      </c>
      <c r="J4666" s="256">
        <v>41214</v>
      </c>
      <c r="K4666" s="424">
        <v>79.847099999999998</v>
      </c>
      <c r="L4666" s="37">
        <f t="shared" si="171"/>
        <v>-0.20152900000000007</v>
      </c>
    </row>
    <row r="4667" spans="1:12" hidden="1" outlineLevel="1" x14ac:dyDescent="0.25">
      <c r="A4667" s="1002">
        <v>0.02</v>
      </c>
      <c r="B4667" s="996" t="s">
        <v>4387</v>
      </c>
      <c r="C4667" s="1008">
        <v>43.802999999999997</v>
      </c>
      <c r="D4667" s="908">
        <v>13.625</v>
      </c>
      <c r="E4667" s="709">
        <v>-0.68894824555395751</v>
      </c>
      <c r="F4667" s="946">
        <v>-1.3778964911079151E-2</v>
      </c>
      <c r="G4667" s="78"/>
      <c r="H4667" t="str">
        <f>VLOOKUP(B4667,indexy!$A$44:$D$234,3,FALSE)</f>
        <v>EOAN GY Equity</v>
      </c>
      <c r="J4667" s="256">
        <v>41244</v>
      </c>
      <c r="K4667" s="424">
        <v>79.987899999999996</v>
      </c>
      <c r="L4667" s="37">
        <f t="shared" si="171"/>
        <v>-0.20012099999999999</v>
      </c>
    </row>
    <row r="4668" spans="1:12" hidden="1" outlineLevel="1" x14ac:dyDescent="0.25">
      <c r="A4668" s="1002">
        <v>0.04</v>
      </c>
      <c r="B4668" s="996" t="s">
        <v>4064</v>
      </c>
      <c r="C4668" s="1008">
        <v>56.506999999999998</v>
      </c>
      <c r="D4668" s="908">
        <v>53.64</v>
      </c>
      <c r="E4668" s="709">
        <v>-5.0737076822340521E-2</v>
      </c>
      <c r="F4668" s="946">
        <v>-2.0294830728936207E-3</v>
      </c>
      <c r="G4668" s="78"/>
      <c r="H4668" t="str">
        <f>VLOOKUP(B4668,indexy!$A$44:$D$234,3,FALSE)</f>
        <v>LLY UN Equity</v>
      </c>
      <c r="J4668" s="256">
        <v>41275</v>
      </c>
      <c r="K4668" s="424">
        <v>84.554599999999994</v>
      </c>
      <c r="L4668" s="37">
        <f t="shared" si="171"/>
        <v>-0.15445400000000009</v>
      </c>
    </row>
    <row r="4669" spans="1:12" hidden="1" outlineLevel="1" x14ac:dyDescent="0.25">
      <c r="A4669" s="1002">
        <v>0.06</v>
      </c>
      <c r="B4669" s="996" t="s">
        <v>3798</v>
      </c>
      <c r="C4669" s="1008">
        <v>8.08</v>
      </c>
      <c r="D4669" s="908">
        <v>2.81</v>
      </c>
      <c r="E4669" s="709">
        <v>-0.65222772277227725</v>
      </c>
      <c r="F4669" s="946">
        <v>-3.9133663366336634E-2</v>
      </c>
      <c r="G4669" s="78"/>
      <c r="H4669" t="str">
        <f>VLOOKUP(B4669,indexy!$A$44:$D$234,3,FALSE)</f>
        <v>ENEL IM Equity</v>
      </c>
      <c r="J4669" s="256">
        <v>41306</v>
      </c>
      <c r="K4669" s="424">
        <v>84.696799999999996</v>
      </c>
      <c r="L4669" s="37">
        <f t="shared" si="171"/>
        <v>-0.15303200000000006</v>
      </c>
    </row>
    <row r="4670" spans="1:12" hidden="1" outlineLevel="1" x14ac:dyDescent="0.25">
      <c r="A4670" s="1002">
        <v>0.03</v>
      </c>
      <c r="B4670" s="996" t="s">
        <v>4268</v>
      </c>
      <c r="C4670" s="1008">
        <v>28.268000000000001</v>
      </c>
      <c r="D4670" s="908">
        <v>16.46</v>
      </c>
      <c r="E4670" s="709">
        <v>-0.4177161454648366</v>
      </c>
      <c r="F4670" s="946">
        <v>-1.2531484363945097E-2</v>
      </c>
      <c r="G4670" s="78"/>
      <c r="H4670" t="str">
        <f>VLOOKUP(B4670,indexy!$A$44:$D$234,3,FALSE)</f>
        <v>FORTUM FH Equity</v>
      </c>
      <c r="J4670" s="256">
        <v>41334</v>
      </c>
      <c r="K4670" s="424">
        <v>85.582899999999995</v>
      </c>
      <c r="L4670" s="37">
        <f t="shared" si="171"/>
        <v>-0.14417100000000005</v>
      </c>
    </row>
    <row r="4671" spans="1:12" hidden="1" outlineLevel="1" x14ac:dyDescent="0.25">
      <c r="A4671" s="1002">
        <v>0.04</v>
      </c>
      <c r="B4671" s="996" t="s">
        <v>3407</v>
      </c>
      <c r="C4671" s="1008">
        <v>40.548999999999999</v>
      </c>
      <c r="D4671" s="908">
        <v>24.14</v>
      </c>
      <c r="E4671" s="709">
        <v>-0.40467089200720119</v>
      </c>
      <c r="F4671" s="946">
        <v>-1.6186835680288048E-2</v>
      </c>
      <c r="G4671" s="78"/>
      <c r="H4671" t="str">
        <f>VLOOKUP(B4671,indexy!$A$44:$D$234,3,FALSE)</f>
        <v>GE UN Equity</v>
      </c>
      <c r="J4671" s="256">
        <v>41365</v>
      </c>
      <c r="K4671" s="424">
        <v>87.574600000000004</v>
      </c>
      <c r="L4671" s="37">
        <f t="shared" si="171"/>
        <v>-0.12425399999999998</v>
      </c>
    </row>
    <row r="4672" spans="1:12" hidden="1" outlineLevel="1" x14ac:dyDescent="0.25">
      <c r="A4672" s="1002">
        <v>0.04</v>
      </c>
      <c r="B4672" s="996" t="s">
        <v>1771</v>
      </c>
      <c r="C4672" s="1008">
        <v>934.6</v>
      </c>
      <c r="D4672" s="908">
        <v>703.2</v>
      </c>
      <c r="E4672" s="709">
        <v>-0.24759255296383476</v>
      </c>
      <c r="F4672" s="946">
        <v>-9.9037021185533897E-3</v>
      </c>
      <c r="G4672" s="78"/>
      <c r="H4672" t="str">
        <f>VLOOKUP(B4672,indexy!$A$44:$D$234,3,FALSE)</f>
        <v>HSBA LN Equity</v>
      </c>
      <c r="J4672" s="256">
        <v>41395</v>
      </c>
      <c r="K4672" s="424">
        <v>88.313100000000006</v>
      </c>
      <c r="L4672" s="37">
        <f t="shared" si="171"/>
        <v>-0.11686899999999989</v>
      </c>
    </row>
    <row r="4673" spans="1:12" hidden="1" outlineLevel="1" x14ac:dyDescent="0.25">
      <c r="A4673" s="1002">
        <v>0.06</v>
      </c>
      <c r="B4673" s="996" t="s">
        <v>2588</v>
      </c>
      <c r="C4673" s="1008">
        <v>31.518000000000001</v>
      </c>
      <c r="D4673" s="908">
        <v>8.8819999999999997</v>
      </c>
      <c r="E4673" s="709">
        <v>-0.71819277872961484</v>
      </c>
      <c r="F4673" s="946">
        <v>-4.309156672377689E-2</v>
      </c>
      <c r="G4673" s="78"/>
      <c r="H4673" t="str">
        <f>VLOOKUP(B4673,indexy!$A$44:$D$234,3,FALSE)</f>
        <v>INGA NA Equity</v>
      </c>
      <c r="J4673" s="256">
        <v>41426</v>
      </c>
      <c r="K4673" s="424">
        <v>84.3172</v>
      </c>
      <c r="L4673" s="37">
        <f t="shared" si="171"/>
        <v>-0.15682799999999997</v>
      </c>
    </row>
    <row r="4674" spans="1:12" hidden="1" outlineLevel="1" x14ac:dyDescent="0.25">
      <c r="A4674" s="1002">
        <v>0.02</v>
      </c>
      <c r="B4674" s="996" t="s">
        <v>4376</v>
      </c>
      <c r="C4674" s="1008">
        <v>45.911999999999999</v>
      </c>
      <c r="D4674" s="908">
        <v>53.14</v>
      </c>
      <c r="E4674" s="709">
        <v>0.15743160829412783</v>
      </c>
      <c r="F4674" s="946">
        <v>3.1486321658825566E-3</v>
      </c>
      <c r="G4674" s="78"/>
      <c r="H4674" t="str">
        <f>VLOOKUP(B4674,indexy!$A$44:$D$234,3,FALSE)</f>
        <v>JPM UN Equity</v>
      </c>
      <c r="J4674" s="256">
        <v>41456</v>
      </c>
      <c r="K4674" s="424">
        <v>87.741399999999999</v>
      </c>
      <c r="L4674" s="37">
        <f t="shared" si="171"/>
        <v>-0.12258599999999997</v>
      </c>
    </row>
    <row r="4675" spans="1:12" hidden="1" outlineLevel="1" x14ac:dyDescent="0.25">
      <c r="A4675" s="1002">
        <v>0.04</v>
      </c>
      <c r="B4675" s="996" t="s">
        <v>459</v>
      </c>
      <c r="C4675" s="1008">
        <v>1127.8</v>
      </c>
      <c r="D4675" s="908">
        <v>998</v>
      </c>
      <c r="E4675" s="709">
        <v>-0.1150913282496896</v>
      </c>
      <c r="F4675" s="946">
        <v>-4.6036531299875841E-3</v>
      </c>
      <c r="G4675" s="78"/>
      <c r="H4675" t="str">
        <f>VLOOKUP(B4675,indexy!$A$44:$D$234,3,FALSE)</f>
        <v>7201 JT Equity</v>
      </c>
      <c r="J4675" s="256">
        <v>41487</v>
      </c>
      <c r="K4675" s="424">
        <v>84.681299999999993</v>
      </c>
      <c r="L4675" s="37">
        <f t="shared" si="171"/>
        <v>-0.15318700000000007</v>
      </c>
    </row>
    <row r="4676" spans="1:12" hidden="1" outlineLevel="1" x14ac:dyDescent="0.25">
      <c r="A4676" s="1002">
        <v>0.02</v>
      </c>
      <c r="B4676" s="996" t="s">
        <v>2787</v>
      </c>
      <c r="C4676" s="1008">
        <v>61.905000000000001</v>
      </c>
      <c r="D4676" s="908">
        <v>69.900000000000006</v>
      </c>
      <c r="E4676" s="709">
        <v>0.12914950327114139</v>
      </c>
      <c r="F4676" s="946">
        <v>2.5829900654228276E-3</v>
      </c>
      <c r="G4676" s="78"/>
      <c r="H4676" t="str">
        <f>VLOOKUP(B4676,indexy!$A$44:$D$234,3,FALSE)</f>
        <v>NOVN SE Equity</v>
      </c>
      <c r="J4676" s="256">
        <v>41518</v>
      </c>
      <c r="K4676" s="424">
        <v>87.921800000000005</v>
      </c>
      <c r="L4676" s="37">
        <f t="shared" si="171"/>
        <v>-0.12078199999999994</v>
      </c>
    </row>
    <row r="4677" spans="1:12" hidden="1" outlineLevel="1" x14ac:dyDescent="0.25">
      <c r="A4677" s="1002">
        <v>0.04</v>
      </c>
      <c r="B4677" s="996" t="s">
        <v>1414</v>
      </c>
      <c r="C4677" s="1008">
        <v>24.439</v>
      </c>
      <c r="D4677" s="908">
        <v>28.71</v>
      </c>
      <c r="E4677" s="709">
        <v>0.17476165145873401</v>
      </c>
      <c r="F4677" s="946">
        <v>6.9904660583493608E-3</v>
      </c>
      <c r="G4677" s="78"/>
      <c r="H4677" t="str">
        <f>VLOOKUP(B4677,indexy!$A$44:$D$234,3,FALSE)</f>
        <v>PFE UN Equity</v>
      </c>
      <c r="J4677" s="264" t="s">
        <v>2465</v>
      </c>
      <c r="K4677" s="412"/>
      <c r="L4677" s="261">
        <f>AVERAGE(L4659:L4676)</f>
        <v>-0.18862316666666665</v>
      </c>
    </row>
    <row r="4678" spans="1:12" hidden="1" outlineLevel="1" x14ac:dyDescent="0.25">
      <c r="A4678" s="1002">
        <v>0.02</v>
      </c>
      <c r="B4678" s="996" t="s">
        <v>1653</v>
      </c>
      <c r="C4678" s="1008">
        <v>13.07</v>
      </c>
      <c r="D4678" s="908">
        <v>14.645</v>
      </c>
      <c r="E4678" s="709">
        <v>0.12050497322111697</v>
      </c>
      <c r="F4678" s="946">
        <v>2.4100994644223393E-3</v>
      </c>
      <c r="G4678" s="78"/>
      <c r="H4678" t="str">
        <f>VLOOKUP(B4678,indexy!$A$44:$D$234,3,FALSE)</f>
        <v>REN NA Equity</v>
      </c>
      <c r="J4678" s="340" t="s">
        <v>1932</v>
      </c>
      <c r="L4678" s="423">
        <f>L4677*parametry!N174</f>
        <v>-0.15089853333333333</v>
      </c>
    </row>
    <row r="4679" spans="1:12" hidden="1" outlineLevel="1" x14ac:dyDescent="0.25">
      <c r="A4679" s="1002">
        <v>0.04</v>
      </c>
      <c r="B4679" s="996" t="s">
        <v>3424</v>
      </c>
      <c r="C4679" s="1008">
        <v>30.761500000000002</v>
      </c>
      <c r="D4679" s="908">
        <v>49.35</v>
      </c>
      <c r="E4679" s="709">
        <v>0.60427807486631013</v>
      </c>
      <c r="F4679" s="946">
        <v>2.4171122994652405E-2</v>
      </c>
      <c r="G4679" s="78"/>
      <c r="H4679" t="str">
        <f>VLOOKUP(B4679,indexy!$A$44:$D$234,3,FALSE)</f>
        <v>RAI UN Equity</v>
      </c>
    </row>
    <row r="4680" spans="1:12" hidden="1" outlineLevel="1" x14ac:dyDescent="0.25">
      <c r="A4680" s="1002">
        <v>0.03</v>
      </c>
      <c r="B4680" s="996" t="s">
        <v>3800</v>
      </c>
      <c r="C4680" s="1008">
        <v>207.33</v>
      </c>
      <c r="D4680" s="908">
        <v>235.6</v>
      </c>
      <c r="E4680" s="709">
        <v>0.13635267448029698</v>
      </c>
      <c r="F4680" s="946">
        <v>4.0905802344089089E-3</v>
      </c>
      <c r="G4680" s="78"/>
      <c r="H4680" t="str">
        <f>VLOOKUP(B4680,indexy!$A$44:$D$234,3,FALSE)</f>
        <v>ROG SE Equity</v>
      </c>
    </row>
    <row r="4681" spans="1:12" hidden="1" outlineLevel="1" x14ac:dyDescent="0.25">
      <c r="A4681" s="1002">
        <v>0.03</v>
      </c>
      <c r="B4681" s="996" t="s">
        <v>3801</v>
      </c>
      <c r="C4681" s="1008">
        <v>92.573999999999998</v>
      </c>
      <c r="D4681" s="908">
        <v>25.27</v>
      </c>
      <c r="E4681" s="709">
        <v>-0.72702918746084211</v>
      </c>
      <c r="F4681" s="946">
        <v>-2.1810875623825263E-2</v>
      </c>
      <c r="G4681" s="78"/>
      <c r="H4681" t="str">
        <f>VLOOKUP(B4681,indexy!$A$44:$D$234,3,FALSE)</f>
        <v>RWE GY Equity</v>
      </c>
    </row>
    <row r="4682" spans="1:12" hidden="1" outlineLevel="1" x14ac:dyDescent="0.25">
      <c r="A4682" s="1002">
        <v>0.03</v>
      </c>
      <c r="B4682" s="996" t="s">
        <v>1187</v>
      </c>
      <c r="C4682" s="1008">
        <v>60.235999999999997</v>
      </c>
      <c r="D4682" s="908">
        <v>72.09</v>
      </c>
      <c r="E4682" s="709">
        <v>0.19679261571153472</v>
      </c>
      <c r="F4682" s="946">
        <v>5.9037784713460413E-3</v>
      </c>
      <c r="G4682" s="78"/>
      <c r="H4682" t="str">
        <f>VLOOKUP(B4682,indexy!$A$44:$D$234,3,FALSE)</f>
        <v>SAN FP Equity</v>
      </c>
    </row>
    <row r="4683" spans="1:12" hidden="1" outlineLevel="1" x14ac:dyDescent="0.25">
      <c r="A4683" s="1002">
        <v>0.02</v>
      </c>
      <c r="B4683" s="996" t="s">
        <v>231</v>
      </c>
      <c r="C4683" s="1008">
        <v>72.441000000000003</v>
      </c>
      <c r="D4683" s="908">
        <v>33.6</v>
      </c>
      <c r="E4683" s="709">
        <v>-0.53617426595436291</v>
      </c>
      <c r="F4683" s="946">
        <v>-1.0723485319087258E-2</v>
      </c>
      <c r="G4683" s="78"/>
      <c r="H4683" t="e">
        <f>VLOOKUP(B4683,indexy!$A$44:$D$234,3,FALSE)</f>
        <v>#N/A</v>
      </c>
    </row>
    <row r="4684" spans="1:12" hidden="1" outlineLevel="1" x14ac:dyDescent="0.25">
      <c r="A4684" s="1002">
        <v>0.02</v>
      </c>
      <c r="B4684" s="996" t="s">
        <v>3902</v>
      </c>
      <c r="C4684" s="1008">
        <v>114.15</v>
      </c>
      <c r="D4684" s="908">
        <v>170.1</v>
      </c>
      <c r="E4684" s="709">
        <v>0.49014454664914564</v>
      </c>
      <c r="F4684" s="946">
        <v>9.802890932982913E-3</v>
      </c>
      <c r="G4684" s="78"/>
      <c r="H4684" t="e">
        <f>VLOOKUP(B4684,indexy!$A$44:$D$234,3,FALSE)</f>
        <v>#N/A</v>
      </c>
    </row>
    <row r="4685" spans="1:12" hidden="1" outlineLevel="1" x14ac:dyDescent="0.25">
      <c r="A4685" s="1002">
        <v>0.03</v>
      </c>
      <c r="B4685" s="996" t="s">
        <v>577</v>
      </c>
      <c r="C4685" s="1008">
        <v>22.196999999999999</v>
      </c>
      <c r="D4685" s="908">
        <v>11.31</v>
      </c>
      <c r="E4685" s="709">
        <v>-0.49047168536288688</v>
      </c>
      <c r="F4685" s="946">
        <v>-1.4714150560886605E-2</v>
      </c>
      <c r="G4685" s="78"/>
      <c r="H4685" t="str">
        <f>VLOOKUP(B4685,indexy!$A$44:$D$234,3,FALSE)</f>
        <v>TEF SQ Equity</v>
      </c>
    </row>
    <row r="4686" spans="1:12" hidden="1" outlineLevel="1" x14ac:dyDescent="0.25">
      <c r="A4686" s="1002">
        <v>0.04</v>
      </c>
      <c r="B4686" s="996" t="s">
        <v>1183</v>
      </c>
      <c r="C4686" s="1008">
        <v>55.664000000000001</v>
      </c>
      <c r="D4686" s="908">
        <v>42.95</v>
      </c>
      <c r="E4686" s="709">
        <v>-0.22840615119287144</v>
      </c>
      <c r="F4686" s="946">
        <v>-9.1362460477148588E-3</v>
      </c>
      <c r="G4686" s="78"/>
      <c r="H4686" t="e">
        <f>VLOOKUP(B4686,indexy!$A$44:$D$234,3,FALSE)</f>
        <v>#N/A</v>
      </c>
    </row>
    <row r="4687" spans="1:12" hidden="1" outlineLevel="1" x14ac:dyDescent="0.25">
      <c r="A4687" s="1004">
        <v>0.04</v>
      </c>
      <c r="B4687" s="997" t="s">
        <v>3903</v>
      </c>
      <c r="C4687" s="1009">
        <v>14.602</v>
      </c>
      <c r="D4687" s="1009">
        <v>10.67</v>
      </c>
      <c r="E4687" s="716">
        <v>-0.26927818107108614</v>
      </c>
      <c r="F4687" s="1023">
        <v>-1.0771127242843445E-2</v>
      </c>
      <c r="G4687" s="78"/>
      <c r="H4687" t="str">
        <f>VLOOKUP(B4687,indexy!$A$44:$D$234,3,FALSE)</f>
        <v>UPM FH Equity</v>
      </c>
    </row>
    <row r="4688" spans="1:12" hidden="1" outlineLevel="1" x14ac:dyDescent="0.25">
      <c r="A4688" s="749"/>
      <c r="B4688" s="750"/>
      <c r="C4688" s="727"/>
      <c r="D4688" s="727"/>
      <c r="E4688" s="716"/>
      <c r="F4688" s="770">
        <v>-0.12442146931921561</v>
      </c>
      <c r="G4688" s="78"/>
    </row>
    <row r="4689" spans="1:12" collapsed="1" x14ac:dyDescent="0.25">
      <c r="A4689" s="3801" t="s">
        <v>2325</v>
      </c>
      <c r="B4689" s="3802"/>
      <c r="C4689" s="3802"/>
      <c r="D4689" s="3802"/>
      <c r="E4689" s="721"/>
      <c r="F4689" s="722">
        <v>0</v>
      </c>
      <c r="G4689" s="97" t="s">
        <v>781</v>
      </c>
    </row>
    <row r="4690" spans="1:12" x14ac:dyDescent="0.25">
      <c r="G4690" s="21"/>
    </row>
    <row r="4691" spans="1:12" hidden="1" outlineLevel="1" x14ac:dyDescent="0.25">
      <c r="A4691" s="689" t="s">
        <v>113</v>
      </c>
      <c r="B4691" s="689" t="s">
        <v>114</v>
      </c>
      <c r="C4691" s="689" t="s">
        <v>112</v>
      </c>
      <c r="D4691" s="689" t="s">
        <v>116</v>
      </c>
      <c r="E4691" s="689" t="s">
        <v>117</v>
      </c>
      <c r="F4691" s="1188" t="s">
        <v>121</v>
      </c>
    </row>
    <row r="4692" spans="1:12" hidden="1" outlineLevel="1" x14ac:dyDescent="0.25">
      <c r="A4692" s="690">
        <v>1</v>
      </c>
      <c r="B4692" s="691" t="s">
        <v>252</v>
      </c>
      <c r="C4692" s="692">
        <v>100</v>
      </c>
      <c r="D4692" s="692"/>
      <c r="E4692" s="693"/>
      <c r="F4692" s="694"/>
    </row>
    <row r="4693" spans="1:12" hidden="1" outlineLevel="1" x14ac:dyDescent="0.25">
      <c r="A4693" s="695"/>
      <c r="B4693" s="695"/>
      <c r="C4693" s="696"/>
      <c r="D4693" s="697"/>
      <c r="E4693" s="698"/>
      <c r="F4693" s="699"/>
    </row>
    <row r="4694" spans="1:12" hidden="1" outlineLevel="1" x14ac:dyDescent="0.25">
      <c r="A4694" s="495" t="s">
        <v>4156</v>
      </c>
      <c r="B4694" s="495" t="s">
        <v>4153</v>
      </c>
      <c r="C4694" s="700" t="s">
        <v>112</v>
      </c>
      <c r="D4694" s="495" t="s">
        <v>4155</v>
      </c>
      <c r="E4694" s="495" t="s">
        <v>4154</v>
      </c>
      <c r="F4694" s="1021" t="s">
        <v>2519</v>
      </c>
    </row>
    <row r="4695" spans="1:12" hidden="1" outlineLevel="1" x14ac:dyDescent="0.25">
      <c r="A4695" s="1127">
        <v>0.03</v>
      </c>
      <c r="B4695" s="949" t="s">
        <v>1384</v>
      </c>
      <c r="C4695" s="1128">
        <v>15.259</v>
      </c>
      <c r="D4695" s="690">
        <v>3.8431000000000002</v>
      </c>
      <c r="E4695" s="738">
        <v>-0.74814208008388494</v>
      </c>
      <c r="F4695" s="1021">
        <v>-2.2444262402516547E-2</v>
      </c>
      <c r="H4695" t="str">
        <f>VLOOKUP(B4695,indexy!$A$44:$D$823,3,FALSE)</f>
        <v>AGN NA Equity</v>
      </c>
    </row>
    <row r="4696" spans="1:12" hidden="1" outlineLevel="1" x14ac:dyDescent="0.25">
      <c r="A4696" s="849">
        <v>0.02</v>
      </c>
      <c r="B4696" s="877" t="s">
        <v>1343</v>
      </c>
      <c r="C4696" s="1129">
        <v>1990</v>
      </c>
      <c r="D4696" s="706">
        <v>2404.2000000000003</v>
      </c>
      <c r="E4696" s="742">
        <v>0.20814070351758818</v>
      </c>
      <c r="F4696" s="946">
        <v>4.1628140703517634E-3</v>
      </c>
      <c r="H4696" t="str">
        <f>VLOOKUP(B4696,indexy!$A$44:$D$823,3,FALSE)</f>
        <v>IMB LN Equity</v>
      </c>
      <c r="L4696">
        <f>J4696*100</f>
        <v>0</v>
      </c>
    </row>
    <row r="4697" spans="1:12" hidden="1" outlineLevel="1" x14ac:dyDescent="0.25">
      <c r="A4697" s="849">
        <v>0.03</v>
      </c>
      <c r="B4697" s="853" t="s">
        <v>1993</v>
      </c>
      <c r="C4697" s="1129">
        <v>87.543999999999997</v>
      </c>
      <c r="D4697" s="706">
        <v>111.47999999999999</v>
      </c>
      <c r="E4697" s="742">
        <v>0.28911999999999999</v>
      </c>
      <c r="F4697" s="946">
        <v>8.6736000000000001E-3</v>
      </c>
      <c r="H4697" t="str">
        <f>VLOOKUP(B4697,indexy!$A$44:$D$823,3,FALSE)</f>
        <v>MO UN Equity</v>
      </c>
      <c r="I4697" s="39" t="s">
        <v>3533</v>
      </c>
    </row>
    <row r="4698" spans="1:12" hidden="1" outlineLevel="1" x14ac:dyDescent="0.25">
      <c r="A4698" s="849">
        <v>0.03</v>
      </c>
      <c r="B4698" s="877" t="s">
        <v>1385</v>
      </c>
      <c r="C4698" s="1129">
        <v>11.158687842000001</v>
      </c>
      <c r="D4698" s="706">
        <v>0.13850000000000001</v>
      </c>
      <c r="E4698" s="742">
        <v>-0.98758814638772296</v>
      </c>
      <c r="F4698" s="946">
        <v>-2.9627644391631687E-2</v>
      </c>
      <c r="H4698" t="e">
        <f>VLOOKUP(B4698,indexy!$A$44:$D$823,3,FALSE)</f>
        <v>#N/A</v>
      </c>
    </row>
    <row r="4699" spans="1:12" hidden="1" outlineLevel="1" x14ac:dyDescent="0.25">
      <c r="A4699" s="849">
        <v>0.02</v>
      </c>
      <c r="B4699" s="877" t="s">
        <v>3019</v>
      </c>
      <c r="C4699" s="1129">
        <v>85.11</v>
      </c>
      <c r="D4699" s="706">
        <v>34.945500000000003</v>
      </c>
      <c r="E4699" s="742">
        <v>-0.5894078251674304</v>
      </c>
      <c r="F4699" s="946">
        <v>-1.1788156503348609E-2</v>
      </c>
      <c r="H4699" t="str">
        <f>VLOOKUP(B4699,indexy!$A$44:$D$823,3,FALSE)</f>
        <v>BNP FP Equity</v>
      </c>
    </row>
    <row r="4700" spans="1:12" hidden="1" outlineLevel="1" x14ac:dyDescent="0.25">
      <c r="A4700" s="849">
        <v>0.03</v>
      </c>
      <c r="B4700" s="877" t="s">
        <v>1847</v>
      </c>
      <c r="C4700" s="1129">
        <v>545.52</v>
      </c>
      <c r="D4700" s="706">
        <v>32.927</v>
      </c>
      <c r="E4700" s="742">
        <v>-0.93964107640416483</v>
      </c>
      <c r="F4700" s="946">
        <v>-2.8189232292124944E-2</v>
      </c>
      <c r="H4700" t="str">
        <f>VLOOKUP(B4700,indexy!$A$44:$D$823,3,FALSE)</f>
        <v>C UN Equity</v>
      </c>
    </row>
    <row r="4701" spans="1:12" hidden="1" outlineLevel="1" x14ac:dyDescent="0.25">
      <c r="A4701" s="849">
        <v>0.03</v>
      </c>
      <c r="B4701" s="906" t="s">
        <v>4025</v>
      </c>
      <c r="C4701" s="1129">
        <v>48.533999999999992</v>
      </c>
      <c r="D4701" s="706">
        <v>45.517000000000003</v>
      </c>
      <c r="E4701" s="742">
        <v>-6.2162607656488067E-2</v>
      </c>
      <c r="F4701" s="946">
        <v>-1.8648782296946419E-3</v>
      </c>
      <c r="H4701" t="str">
        <f>VLOOKUP(B4701,indexy!$A$44:$D$823,3,FALSE)</f>
        <v>MBG GR Equity</v>
      </c>
    </row>
    <row r="4702" spans="1:12" hidden="1" outlineLevel="1" x14ac:dyDescent="0.25">
      <c r="A4702" s="849">
        <v>0.04</v>
      </c>
      <c r="B4702" s="853" t="s">
        <v>3406</v>
      </c>
      <c r="C4702" s="1129">
        <v>996.25</v>
      </c>
      <c r="D4702" s="706">
        <v>1469.6</v>
      </c>
      <c r="E4702" s="742">
        <v>0.47513174404015057</v>
      </c>
      <c r="F4702" s="946">
        <v>1.9005269761606023E-2</v>
      </c>
      <c r="H4702" t="str">
        <f>VLOOKUP(B4702,indexy!$A$44:$D$823,3,FALSE)</f>
        <v>DGE LN Equity</v>
      </c>
      <c r="L4702">
        <f>J4702*100</f>
        <v>0</v>
      </c>
    </row>
    <row r="4703" spans="1:12" hidden="1" outlineLevel="1" x14ac:dyDescent="0.25">
      <c r="A4703" s="849">
        <v>0.04</v>
      </c>
      <c r="B4703" s="853" t="s">
        <v>4387</v>
      </c>
      <c r="C4703" s="1129">
        <v>34.265666666666668</v>
      </c>
      <c r="D4703" s="706">
        <v>16.793500000000002</v>
      </c>
      <c r="E4703" s="742">
        <v>-0.50990301273383465</v>
      </c>
      <c r="F4703" s="946">
        <v>-2.0396120509353386E-2</v>
      </c>
      <c r="H4703" t="str">
        <f>VLOOKUP(B4703,indexy!$A$44:$D$823,3,FALSE)</f>
        <v>EOAN GY Equity</v>
      </c>
    </row>
    <row r="4704" spans="1:12" hidden="1" outlineLevel="1" x14ac:dyDescent="0.25">
      <c r="A4704" s="849">
        <v>0.05</v>
      </c>
      <c r="B4704" s="877" t="s">
        <v>3798</v>
      </c>
      <c r="C4704" s="1129">
        <v>8.0838999999999999</v>
      </c>
      <c r="D4704" s="706">
        <v>3.1884000000000001</v>
      </c>
      <c r="E4704" s="742">
        <v>-0.60558641249891765</v>
      </c>
      <c r="F4704" s="946">
        <v>-3.0279320624945885E-2</v>
      </c>
      <c r="H4704" t="str">
        <f>VLOOKUP(B4704,indexy!$A$44:$D$823,3,FALSE)</f>
        <v>ENEL IM Equity</v>
      </c>
    </row>
    <row r="4705" spans="1:12" hidden="1" outlineLevel="1" x14ac:dyDescent="0.25">
      <c r="A4705" s="849">
        <v>0.05</v>
      </c>
      <c r="B4705" s="877" t="s">
        <v>1176</v>
      </c>
      <c r="C4705" s="1129">
        <v>32.347999999999999</v>
      </c>
      <c r="D4705" s="706">
        <v>1.6961999999999999</v>
      </c>
      <c r="E4705" s="742">
        <v>-0.94756399159144311</v>
      </c>
      <c r="F4705" s="946">
        <v>-4.7378199579572157E-2</v>
      </c>
      <c r="H4705" t="str">
        <f>VLOOKUP(B4705,indexy!$A$44:$D$823,3,FALSE)</f>
        <v>AGS BB Equity</v>
      </c>
    </row>
    <row r="4706" spans="1:12" hidden="1" outlineLevel="1" x14ac:dyDescent="0.25">
      <c r="A4706" s="849">
        <v>0.05</v>
      </c>
      <c r="B4706" s="877" t="s">
        <v>1386</v>
      </c>
      <c r="C4706" s="1129">
        <v>1393.1</v>
      </c>
      <c r="D4706" s="706">
        <v>1414.75</v>
      </c>
      <c r="E4706" s="742">
        <v>1.5540880051683414E-2</v>
      </c>
      <c r="F4706" s="946">
        <v>7.7704400258417079E-4</v>
      </c>
      <c r="H4706" t="str">
        <f>VLOOKUP(B4706,indexy!$A$44:$D$823,3,FALSE)</f>
        <v>GSK LN Equity</v>
      </c>
      <c r="L4706">
        <f>J4706*100</f>
        <v>0</v>
      </c>
    </row>
    <row r="4707" spans="1:12" hidden="1" outlineLevel="1" x14ac:dyDescent="0.25">
      <c r="A4707" s="849">
        <v>0.04</v>
      </c>
      <c r="B4707" s="853" t="s">
        <v>1771</v>
      </c>
      <c r="C4707" s="1129">
        <v>933.3</v>
      </c>
      <c r="D4707" s="706">
        <v>558.36</v>
      </c>
      <c r="E4707" s="742">
        <v>-0.40173577627772417</v>
      </c>
      <c r="F4707" s="946">
        <v>-1.6069431051108966E-2</v>
      </c>
      <c r="H4707" t="str">
        <f>VLOOKUP(B4707,indexy!$A$44:$D$823,3,FALSE)</f>
        <v>HSBA LN Equity</v>
      </c>
      <c r="L4707">
        <f>J4707*100</f>
        <v>0</v>
      </c>
    </row>
    <row r="4708" spans="1:12" hidden="1" outlineLevel="1" x14ac:dyDescent="0.25">
      <c r="A4708" s="849">
        <v>0.03</v>
      </c>
      <c r="B4708" s="853" t="s">
        <v>1031</v>
      </c>
      <c r="C4708" s="1129">
        <v>8.1982499999999998</v>
      </c>
      <c r="D4708" s="706">
        <v>4.6699000000000002</v>
      </c>
      <c r="E4708" s="742">
        <v>-0.43037843442198032</v>
      </c>
      <c r="F4708" s="946">
        <v>-1.2911353032659409E-2</v>
      </c>
      <c r="H4708" t="str">
        <f>VLOOKUP(B4708,indexy!$A$44:$D$823,3,FALSE)</f>
        <v>IBE SQ Equity</v>
      </c>
    </row>
    <row r="4709" spans="1:12" hidden="1" outlineLevel="1" x14ac:dyDescent="0.25">
      <c r="A4709" s="849">
        <v>0.02</v>
      </c>
      <c r="B4709" s="853" t="s">
        <v>2588</v>
      </c>
      <c r="C4709" s="1129">
        <v>33.869</v>
      </c>
      <c r="D4709" s="706">
        <v>7.0669000000000004</v>
      </c>
      <c r="E4709" s="742">
        <v>-0.7913460686763707</v>
      </c>
      <c r="F4709" s="946">
        <v>-1.5826921373527415E-2</v>
      </c>
      <c r="H4709" t="str">
        <f>VLOOKUP(B4709,indexy!$A$44:$D$823,3,FALSE)</f>
        <v>INGA NA Equity</v>
      </c>
    </row>
    <row r="4710" spans="1:12" hidden="1" outlineLevel="1" x14ac:dyDescent="0.25">
      <c r="A4710" s="849">
        <v>0.03</v>
      </c>
      <c r="B4710" s="877" t="s">
        <v>1526</v>
      </c>
      <c r="C4710" s="1129">
        <v>97.56</v>
      </c>
      <c r="D4710" s="706">
        <v>17.186</v>
      </c>
      <c r="E4710" s="742">
        <v>-0.82384173841738417</v>
      </c>
      <c r="F4710" s="946">
        <v>-2.4715252152521523E-2</v>
      </c>
      <c r="H4710" t="str">
        <f>VLOOKUP(B4710,indexy!$A$44:$D$823,3,FALSE)</f>
        <v>KBC BB Equity</v>
      </c>
    </row>
    <row r="4711" spans="1:12" hidden="1" outlineLevel="1" x14ac:dyDescent="0.25">
      <c r="A4711" s="849">
        <v>0.02</v>
      </c>
      <c r="B4711" s="877" t="s">
        <v>2787</v>
      </c>
      <c r="C4711" s="1129">
        <v>72.314999999999998</v>
      </c>
      <c r="D4711" s="706">
        <v>51.405000000000001</v>
      </c>
      <c r="E4711" s="742">
        <v>-0.28915162829288521</v>
      </c>
      <c r="F4711" s="946">
        <v>-5.783032565857704E-3</v>
      </c>
      <c r="H4711" t="str">
        <f>VLOOKUP(B4711,indexy!$A$44:$D$823,3,FALSE)</f>
        <v>NOVN SE Equity</v>
      </c>
    </row>
    <row r="4712" spans="1:12" hidden="1" outlineLevel="1" x14ac:dyDescent="0.25">
      <c r="A4712" s="849">
        <v>0.04</v>
      </c>
      <c r="B4712" s="877" t="s">
        <v>2753</v>
      </c>
      <c r="C4712" s="1129">
        <v>32.093000000000004</v>
      </c>
      <c r="D4712" s="706">
        <v>39.933999999999997</v>
      </c>
      <c r="E4712" s="742">
        <v>0.24432119153709508</v>
      </c>
      <c r="F4712" s="946">
        <v>9.7728476614838029E-3</v>
      </c>
      <c r="H4712" t="str">
        <f>VLOOKUP(B4712,indexy!$A$44:$D$823,3,FALSE)</f>
        <v>RAI UN Equity</v>
      </c>
    </row>
    <row r="4713" spans="1:12" hidden="1" outlineLevel="1" x14ac:dyDescent="0.25">
      <c r="A4713" s="849">
        <v>0.03</v>
      </c>
      <c r="B4713" s="877" t="s">
        <v>2754</v>
      </c>
      <c r="C4713" s="1129">
        <v>235.45</v>
      </c>
      <c r="D4713" s="706">
        <v>159.68</v>
      </c>
      <c r="E4713" s="742">
        <v>-0.32180930133786356</v>
      </c>
      <c r="F4713" s="946">
        <v>-9.6542790401359067E-3</v>
      </c>
      <c r="H4713" t="str">
        <f>VLOOKUP(B4713,indexy!$A$44:$D$823,3,FALSE)</f>
        <v>ROG SE Equity</v>
      </c>
    </row>
    <row r="4714" spans="1:12" hidden="1" outlineLevel="1" x14ac:dyDescent="0.25">
      <c r="A4714" s="849">
        <v>0.03</v>
      </c>
      <c r="B4714" s="877" t="s">
        <v>3801</v>
      </c>
      <c r="C4714" s="1129">
        <v>80.972999999999985</v>
      </c>
      <c r="D4714" s="706">
        <v>31.9025</v>
      </c>
      <c r="E4714" s="742">
        <v>-0.60601064552381656</v>
      </c>
      <c r="F4714" s="946">
        <v>-1.8180319365714497E-2</v>
      </c>
      <c r="H4714" t="str">
        <f>VLOOKUP(B4714,indexy!$A$44:$D$823,3,FALSE)</f>
        <v>RWE GY Equity</v>
      </c>
    </row>
    <row r="4715" spans="1:12" hidden="1" outlineLevel="1" x14ac:dyDescent="0.25">
      <c r="A4715" s="849">
        <v>0.03</v>
      </c>
      <c r="B4715" s="877" t="s">
        <v>1857</v>
      </c>
      <c r="C4715" s="1129">
        <v>1522.1</v>
      </c>
      <c r="D4715" s="706">
        <v>1252</v>
      </c>
      <c r="E4715" s="742">
        <v>-0.17745220419157737</v>
      </c>
      <c r="F4715" s="946">
        <v>-5.3235661257473206E-3</v>
      </c>
      <c r="H4715" t="str">
        <f>VLOOKUP(B4715,indexy!$A$44:$D$823,3,FALSE)</f>
        <v>SSE LN Equity</v>
      </c>
      <c r="L4715">
        <f>J4715*100</f>
        <v>0</v>
      </c>
    </row>
    <row r="4716" spans="1:12" hidden="1" outlineLevel="1" x14ac:dyDescent="0.25">
      <c r="A4716" s="849">
        <v>0.03</v>
      </c>
      <c r="B4716" s="877" t="s">
        <v>4460</v>
      </c>
      <c r="C4716" s="1129">
        <v>1419.8</v>
      </c>
      <c r="D4716" s="706">
        <v>1525.2</v>
      </c>
      <c r="E4716" s="742">
        <v>7.4235807860262071E-2</v>
      </c>
      <c r="F4716" s="946">
        <v>2.2270742358078618E-3</v>
      </c>
      <c r="H4716" t="str">
        <f>VLOOKUP(B4716,indexy!$A$44:$D$823,3,FALSE)</f>
        <v>SVT LN Equity</v>
      </c>
      <c r="L4716">
        <f>J4716*100</f>
        <v>0</v>
      </c>
    </row>
    <row r="4717" spans="1:12" hidden="1" outlineLevel="1" x14ac:dyDescent="0.25">
      <c r="A4717" s="849">
        <v>0.02</v>
      </c>
      <c r="B4717" s="877" t="s">
        <v>578</v>
      </c>
      <c r="C4717" s="1129">
        <v>12.739000000000001</v>
      </c>
      <c r="D4717" s="706">
        <v>5.6219999999999999</v>
      </c>
      <c r="E4717" s="742">
        <v>-0.55867807520213519</v>
      </c>
      <c r="F4717" s="946">
        <v>-1.1173561504042704E-2</v>
      </c>
      <c r="H4717" t="str">
        <f>VLOOKUP(B4717,indexy!$A$44:$D$823,3,FALSE)</f>
        <v>STERV FH Equity</v>
      </c>
    </row>
    <row r="4718" spans="1:12" hidden="1" outlineLevel="1" x14ac:dyDescent="0.25">
      <c r="A4718" s="849">
        <v>0.05</v>
      </c>
      <c r="B4718" s="853" t="s">
        <v>1527</v>
      </c>
      <c r="C4718" s="1129">
        <v>2.2997000000000005</v>
      </c>
      <c r="D4718" s="706">
        <v>0.8004</v>
      </c>
      <c r="E4718" s="742">
        <v>-0.65195460277427497</v>
      </c>
      <c r="F4718" s="946">
        <v>-3.2597730138713747E-2</v>
      </c>
      <c r="H4718" t="str">
        <f>VLOOKUP(B4718,indexy!$A$44:$D$823,3,FALSE)</f>
        <v>TIT IM Equity</v>
      </c>
    </row>
    <row r="4719" spans="1:12" hidden="1" outlineLevel="1" x14ac:dyDescent="0.25">
      <c r="A4719" s="849">
        <v>0.05</v>
      </c>
      <c r="B4719" s="853" t="s">
        <v>577</v>
      </c>
      <c r="C4719" s="1129">
        <v>16.739999999999998</v>
      </c>
      <c r="D4719" s="706">
        <v>13.318</v>
      </c>
      <c r="E4719" s="742">
        <v>-0.20442054958183986</v>
      </c>
      <c r="F4719" s="946">
        <v>-1.0221027479091994E-2</v>
      </c>
      <c r="H4719" t="str">
        <f>VLOOKUP(B4719,indexy!$A$44:$D$823,3,FALSE)</f>
        <v>TEF SQ Equity</v>
      </c>
    </row>
    <row r="4720" spans="1:12" hidden="1" outlineLevel="1" x14ac:dyDescent="0.25">
      <c r="A4720" s="849">
        <v>0.04</v>
      </c>
      <c r="B4720" s="853" t="s">
        <v>1183</v>
      </c>
      <c r="C4720" s="1129">
        <v>52.16</v>
      </c>
      <c r="D4720" s="706">
        <v>40.911000000000001</v>
      </c>
      <c r="E4720" s="742">
        <v>-0.21566334355828209</v>
      </c>
      <c r="F4720" s="946">
        <v>-8.6265337423312837E-3</v>
      </c>
      <c r="H4720" t="e">
        <f>VLOOKUP(B4720,indexy!$A$44:$D$823,3,FALSE)</f>
        <v>#N/A</v>
      </c>
    </row>
    <row r="4721" spans="1:8" hidden="1" outlineLevel="1" x14ac:dyDescent="0.25">
      <c r="A4721" s="849">
        <v>0.02</v>
      </c>
      <c r="B4721" s="853" t="s">
        <v>182</v>
      </c>
      <c r="C4721" s="1129">
        <v>77.905000000000001</v>
      </c>
      <c r="D4721" s="706">
        <v>13.038</v>
      </c>
      <c r="E4721" s="742">
        <v>-0.83264232077530331</v>
      </c>
      <c r="F4721" s="946">
        <v>-1.6652846415506066E-2</v>
      </c>
      <c r="H4721" t="str">
        <f>VLOOKUP(B4721,indexy!$A$44:$D$823,3,FALSE)</f>
        <v>UBS US Equity</v>
      </c>
    </row>
    <row r="4722" spans="1:8" hidden="1" outlineLevel="1" x14ac:dyDescent="0.25">
      <c r="A4722" s="849">
        <v>0.05</v>
      </c>
      <c r="B4722" s="853" t="s">
        <v>507</v>
      </c>
      <c r="C4722" s="1129">
        <v>20.586000000000002</v>
      </c>
      <c r="D4722" s="706">
        <v>25.345500000000001</v>
      </c>
      <c r="E4722" s="742">
        <v>0.23120081608860388</v>
      </c>
      <c r="F4722" s="946">
        <v>1.1560040804430195E-2</v>
      </c>
      <c r="H4722" t="str">
        <f>VLOOKUP(B4722,indexy!$A$44:$D$823,3,FALSE)</f>
        <v>UNA NA Equity</v>
      </c>
    </row>
    <row r="4723" spans="1:8" hidden="1" outlineLevel="1" x14ac:dyDescent="0.25">
      <c r="A4723" s="849">
        <v>0.02</v>
      </c>
      <c r="B4723" s="788" t="s">
        <v>3169</v>
      </c>
      <c r="C4723" s="1129">
        <v>31.828000000000003</v>
      </c>
      <c r="D4723" s="706">
        <v>16.220500000000001</v>
      </c>
      <c r="E4723" s="742">
        <v>-0.49037011436471034</v>
      </c>
      <c r="F4723" s="946">
        <v>-9.8074022872942073E-3</v>
      </c>
      <c r="H4723" t="str">
        <f>VLOOKUP(B4723,indexy!$A$44:$D$823,3,FALSE)</f>
        <v>VIV FP Equity</v>
      </c>
    </row>
    <row r="4724" spans="1:8" hidden="1" outlineLevel="1" x14ac:dyDescent="0.25">
      <c r="A4724" s="990">
        <v>0.03</v>
      </c>
      <c r="B4724" s="750" t="s">
        <v>580</v>
      </c>
      <c r="C4724" s="1130">
        <v>101</v>
      </c>
      <c r="D4724" s="713">
        <v>93.7</v>
      </c>
      <c r="E4724" s="748">
        <v>-7.227722772277223E-2</v>
      </c>
      <c r="F4724" s="1023">
        <v>-2.1683168316831668E-3</v>
      </c>
      <c r="H4724" t="str">
        <f>VLOOKUP(B4724,indexy!$A$44:$D$823,3,FALSE)</f>
        <v>VOLVB SS Equity</v>
      </c>
    </row>
    <row r="4725" spans="1:8" hidden="1" outlineLevel="1" x14ac:dyDescent="0.25">
      <c r="A4725" s="1022"/>
      <c r="B4725" s="1022"/>
      <c r="C4725" s="1022"/>
      <c r="D4725" s="1022"/>
      <c r="E4725" s="1022"/>
      <c r="F4725" s="1831">
        <v>-0.31190000000000001</v>
      </c>
      <c r="G4725" s="406"/>
    </row>
    <row r="4726" spans="1:8" collapsed="1" x14ac:dyDescent="0.25">
      <c r="A4726" s="3801" t="s">
        <v>4379</v>
      </c>
      <c r="B4726" s="3802"/>
      <c r="C4726" s="3802"/>
      <c r="D4726" s="3802"/>
      <c r="E4726" s="782" t="s">
        <v>2722</v>
      </c>
      <c r="F4726" s="752">
        <f>IF(F4725&lt;0,0,IF(F4725&gt;0.1,0.14,F4725))</f>
        <v>0</v>
      </c>
      <c r="G4726" s="97" t="s">
        <v>781</v>
      </c>
    </row>
    <row r="4728" spans="1:8" hidden="1" outlineLevel="1" x14ac:dyDescent="0.25">
      <c r="A4728" s="689" t="s">
        <v>113</v>
      </c>
      <c r="B4728" s="689" t="s">
        <v>114</v>
      </c>
      <c r="C4728" s="689" t="s">
        <v>112</v>
      </c>
      <c r="D4728" s="689" t="s">
        <v>116</v>
      </c>
      <c r="E4728" s="689" t="s">
        <v>117</v>
      </c>
      <c r="F4728" s="1188" t="s">
        <v>121</v>
      </c>
    </row>
    <row r="4729" spans="1:8" hidden="1" outlineLevel="1" x14ac:dyDescent="0.25">
      <c r="A4729" s="690">
        <v>1</v>
      </c>
      <c r="B4729" s="691" t="s">
        <v>252</v>
      </c>
      <c r="C4729" s="692">
        <v>100</v>
      </c>
      <c r="D4729" s="692"/>
      <c r="E4729" s="693"/>
      <c r="F4729" s="694"/>
    </row>
    <row r="4730" spans="1:8" hidden="1" outlineLevel="1" x14ac:dyDescent="0.25">
      <c r="A4730" s="695"/>
      <c r="B4730" s="695"/>
      <c r="C4730" s="696"/>
      <c r="D4730" s="697" t="s">
        <v>3702</v>
      </c>
      <c r="E4730" s="698">
        <v>42704</v>
      </c>
      <c r="F4730" s="699"/>
    </row>
    <row r="4731" spans="1:8" hidden="1" outlineLevel="1" x14ac:dyDescent="0.25">
      <c r="A4731" s="689" t="s">
        <v>4156</v>
      </c>
      <c r="B4731" s="689" t="s">
        <v>4153</v>
      </c>
      <c r="C4731" s="700" t="s">
        <v>112</v>
      </c>
      <c r="D4731" s="689" t="s">
        <v>4155</v>
      </c>
      <c r="E4731" s="725" t="s">
        <v>4154</v>
      </c>
      <c r="F4731" s="1021" t="s">
        <v>2519</v>
      </c>
      <c r="G4731" s="125"/>
    </row>
    <row r="4732" spans="1:8" hidden="1" outlineLevel="1" x14ac:dyDescent="0.25">
      <c r="A4732" s="734">
        <v>0.02</v>
      </c>
      <c r="B4732" s="853" t="s">
        <v>280</v>
      </c>
      <c r="C4732" s="1131">
        <v>60.188000000000002</v>
      </c>
      <c r="D4732" s="1022">
        <v>58.76</v>
      </c>
      <c r="E4732" s="1109">
        <v>-2.3725659599920346E-2</v>
      </c>
      <c r="F4732" s="1021">
        <v>-4.7451319199840695E-4</v>
      </c>
      <c r="G4732" s="169"/>
      <c r="H4732" s="12" t="s">
        <v>1469</v>
      </c>
    </row>
    <row r="4733" spans="1:8" hidden="1" outlineLevel="1" x14ac:dyDescent="0.25">
      <c r="A4733" s="739">
        <v>0.03</v>
      </c>
      <c r="B4733" s="853" t="s">
        <v>157</v>
      </c>
      <c r="C4733" s="1132">
        <v>13.946000000000002</v>
      </c>
      <c r="D4733" s="1022">
        <v>4.3129999999999997</v>
      </c>
      <c r="E4733" s="1109">
        <v>-0.69073569482288832</v>
      </c>
      <c r="F4733" s="946">
        <v>-2.0722070844686649E-2</v>
      </c>
      <c r="G4733" s="169"/>
      <c r="H4733" s="12" t="s">
        <v>730</v>
      </c>
    </row>
    <row r="4734" spans="1:8" hidden="1" outlineLevel="1" x14ac:dyDescent="0.25">
      <c r="A4734" s="739">
        <v>0.04</v>
      </c>
      <c r="B4734" s="877" t="s">
        <v>1385</v>
      </c>
      <c r="C4734" s="1132">
        <v>10.418716745999999</v>
      </c>
      <c r="D4734" s="1022">
        <v>0.20100000000000001</v>
      </c>
      <c r="E4734" s="1109">
        <v>-0.98070779685250886</v>
      </c>
      <c r="F4734" s="946">
        <v>-3.9228311874100356E-2</v>
      </c>
      <c r="G4734" s="169"/>
      <c r="H4734" s="12" t="s">
        <v>3557</v>
      </c>
    </row>
    <row r="4735" spans="1:8" hidden="1" outlineLevel="1" x14ac:dyDescent="0.25">
      <c r="A4735" s="739">
        <v>0.04</v>
      </c>
      <c r="B4735" s="877" t="s">
        <v>3020</v>
      </c>
      <c r="C4735" s="1132">
        <v>53.261000000000003</v>
      </c>
      <c r="D4735" s="1022">
        <v>88.453000000000003</v>
      </c>
      <c r="E4735" s="1109">
        <v>0.66074613694823592</v>
      </c>
      <c r="F4735" s="946">
        <v>2.6429845477929436E-2</v>
      </c>
      <c r="G4735" s="169"/>
      <c r="H4735" s="12" t="s">
        <v>490</v>
      </c>
    </row>
    <row r="4736" spans="1:8" hidden="1" outlineLevel="1" x14ac:dyDescent="0.25">
      <c r="A4736" s="739">
        <v>0.05</v>
      </c>
      <c r="B4736" s="877" t="s">
        <v>2984</v>
      </c>
      <c r="C4736" s="1132">
        <v>18.732999999999997</v>
      </c>
      <c r="D4736" s="1022">
        <v>5.8259999999999996</v>
      </c>
      <c r="E4736" s="1109">
        <v>-0.68899802487588746</v>
      </c>
      <c r="F4736" s="946">
        <v>-3.4449901243794372E-2</v>
      </c>
      <c r="G4736" s="169"/>
      <c r="H4736" s="12" t="s">
        <v>2326</v>
      </c>
    </row>
    <row r="4737" spans="1:8" hidden="1" outlineLevel="1" x14ac:dyDescent="0.25">
      <c r="A4737" s="739">
        <v>0.04</v>
      </c>
      <c r="B4737" s="877" t="s">
        <v>901</v>
      </c>
      <c r="C4737" s="1132">
        <v>1678.4</v>
      </c>
      <c r="D4737" s="1022">
        <v>4393.5</v>
      </c>
      <c r="E4737" s="1109">
        <v>1.6176715919923734</v>
      </c>
      <c r="F4737" s="946">
        <v>6.4706863679694943E-2</v>
      </c>
      <c r="G4737" s="169"/>
      <c r="H4737" s="12" t="s">
        <v>531</v>
      </c>
    </row>
    <row r="4738" spans="1:8" hidden="1" outlineLevel="1" x14ac:dyDescent="0.25">
      <c r="A4738" s="739">
        <v>0.03</v>
      </c>
      <c r="B4738" s="877" t="s">
        <v>1212</v>
      </c>
      <c r="C4738" s="1132">
        <v>92.564999999999998</v>
      </c>
      <c r="D4738" s="1022">
        <v>13.52</v>
      </c>
      <c r="E4738" s="1109">
        <v>-0.85394047426132991</v>
      </c>
      <c r="F4738" s="946">
        <v>-2.5618214227839897E-2</v>
      </c>
      <c r="G4738" s="169"/>
      <c r="H4738" s="12" t="s">
        <v>4229</v>
      </c>
    </row>
    <row r="4739" spans="1:8" hidden="1" outlineLevel="1" x14ac:dyDescent="0.25">
      <c r="A4739" s="739">
        <v>0.03</v>
      </c>
      <c r="B4739" s="853" t="s">
        <v>3406</v>
      </c>
      <c r="C4739" s="1132">
        <v>1076.0999999999999</v>
      </c>
      <c r="D4739" s="1022">
        <v>2005</v>
      </c>
      <c r="E4739" s="1109">
        <v>0.86320973887185226</v>
      </c>
      <c r="F4739" s="946">
        <v>2.5896292166155566E-2</v>
      </c>
      <c r="G4739" s="169"/>
      <c r="H4739" s="12" t="s">
        <v>2105</v>
      </c>
    </row>
    <row r="4740" spans="1:8" hidden="1" outlineLevel="1" x14ac:dyDescent="0.25">
      <c r="A4740" s="739">
        <v>0.05</v>
      </c>
      <c r="B4740" s="877" t="s">
        <v>3798</v>
      </c>
      <c r="C4740" s="1132">
        <v>8.464599999999999</v>
      </c>
      <c r="D4740" s="1022">
        <v>3.8140000000000001</v>
      </c>
      <c r="E4740" s="1109">
        <v>-0.54941757436854655</v>
      </c>
      <c r="F4740" s="946">
        <v>-2.7470878718427329E-2</v>
      </c>
      <c r="G4740" s="169"/>
      <c r="H4740" s="12" t="s">
        <v>4122</v>
      </c>
    </row>
    <row r="4741" spans="1:8" hidden="1" outlineLevel="1" x14ac:dyDescent="0.25">
      <c r="A4741" s="739">
        <v>0.05</v>
      </c>
      <c r="B4741" s="853" t="s">
        <v>1771</v>
      </c>
      <c r="C4741" s="1132">
        <v>931.7</v>
      </c>
      <c r="D4741" s="1022">
        <v>635.20000000000005</v>
      </c>
      <c r="E4741" s="1109">
        <v>-0.31823548352473974</v>
      </c>
      <c r="F4741" s="946">
        <v>-1.5911774176236987E-2</v>
      </c>
      <c r="G4741" s="169"/>
      <c r="H4741" s="12" t="s">
        <v>4329</v>
      </c>
    </row>
    <row r="4742" spans="1:8" hidden="1" outlineLevel="1" x14ac:dyDescent="0.25">
      <c r="A4742" s="739">
        <v>0.03</v>
      </c>
      <c r="B4742" s="853" t="s">
        <v>1031</v>
      </c>
      <c r="C4742" s="1132">
        <v>10.610749999999999</v>
      </c>
      <c r="D4742" s="1022">
        <v>5.6790000000000003</v>
      </c>
      <c r="E4742" s="1109">
        <v>-0.46478806870390876</v>
      </c>
      <c r="F4742" s="946">
        <v>-1.3943642061117263E-2</v>
      </c>
      <c r="G4742" s="169"/>
      <c r="H4742" s="12" t="s">
        <v>7872</v>
      </c>
    </row>
    <row r="4743" spans="1:8" hidden="1" outlineLevel="1" x14ac:dyDescent="0.25">
      <c r="A4743" s="739">
        <v>0.05</v>
      </c>
      <c r="B4743" s="853" t="s">
        <v>2588</v>
      </c>
      <c r="C4743" s="1132">
        <v>33.059000000000005</v>
      </c>
      <c r="D4743" s="1022">
        <v>12.85</v>
      </c>
      <c r="E4743" s="1109">
        <v>-0.6113010072899967</v>
      </c>
      <c r="F4743" s="946">
        <v>-3.0565050364499836E-2</v>
      </c>
      <c r="G4743" s="169"/>
      <c r="H4743" s="12" t="s">
        <v>4132</v>
      </c>
    </row>
    <row r="4744" spans="1:8" hidden="1" outlineLevel="1" x14ac:dyDescent="0.25">
      <c r="A4744" s="739">
        <v>0.03</v>
      </c>
      <c r="B4744" s="877" t="s">
        <v>1526</v>
      </c>
      <c r="C4744" s="1132">
        <v>103.00399999999999</v>
      </c>
      <c r="D4744" s="1022">
        <v>56.58</v>
      </c>
      <c r="E4744" s="1109">
        <v>-0.45070094365267366</v>
      </c>
      <c r="F4744" s="946">
        <v>-1.352102830958021E-2</v>
      </c>
      <c r="G4744" s="169"/>
      <c r="H4744" s="12" t="s">
        <v>4146</v>
      </c>
    </row>
    <row r="4745" spans="1:8" hidden="1" outlineLevel="1" x14ac:dyDescent="0.25">
      <c r="A4745" s="739">
        <v>0.05</v>
      </c>
      <c r="B4745" s="877" t="s">
        <v>874</v>
      </c>
      <c r="C4745" s="1132">
        <v>251.5</v>
      </c>
      <c r="D4745" s="1022">
        <v>353.1</v>
      </c>
      <c r="E4745" s="1109">
        <v>0.40397614314115327</v>
      </c>
      <c r="F4745" s="946">
        <v>2.0198807157057665E-2</v>
      </c>
      <c r="G4745" s="169"/>
      <c r="H4745" s="12" t="s">
        <v>4148</v>
      </c>
    </row>
    <row r="4746" spans="1:8" hidden="1" outlineLevel="1" x14ac:dyDescent="0.25">
      <c r="A4746" s="739">
        <v>0.02</v>
      </c>
      <c r="B4746" s="877" t="s">
        <v>1772</v>
      </c>
      <c r="C4746" s="1132">
        <v>138.833</v>
      </c>
      <c r="D4746" s="1022">
        <v>171.85</v>
      </c>
      <c r="E4746" s="1109">
        <v>0.23781809800263631</v>
      </c>
      <c r="F4746" s="946">
        <v>4.7563619600527263E-3</v>
      </c>
      <c r="G4746" s="169"/>
      <c r="H4746" s="12" t="s">
        <v>4330</v>
      </c>
    </row>
    <row r="4747" spans="1:8" hidden="1" outlineLevel="1" x14ac:dyDescent="0.25">
      <c r="A4747" s="739">
        <v>0.03</v>
      </c>
      <c r="B4747" s="877" t="s">
        <v>2787</v>
      </c>
      <c r="C4747" s="1132">
        <v>68.709999999999994</v>
      </c>
      <c r="D4747" s="1022">
        <v>70.25</v>
      </c>
      <c r="E4747" s="1109">
        <v>2.2413040314364752E-2</v>
      </c>
      <c r="F4747" s="946">
        <v>6.7239120943094247E-4</v>
      </c>
      <c r="G4747" s="169"/>
      <c r="H4747" s="12" t="s">
        <v>80</v>
      </c>
    </row>
    <row r="4748" spans="1:8" hidden="1" outlineLevel="1" x14ac:dyDescent="0.25">
      <c r="A4748" s="739">
        <v>0.03</v>
      </c>
      <c r="B4748" s="743" t="s">
        <v>6450</v>
      </c>
      <c r="C4748" s="1132">
        <v>133.16900000000001</v>
      </c>
      <c r="D4748" s="1022">
        <v>205</v>
      </c>
      <c r="E4748" s="1109">
        <v>0.53939730718110068</v>
      </c>
      <c r="F4748" s="946">
        <v>1.6181919215433022E-2</v>
      </c>
      <c r="G4748" s="169"/>
      <c r="H4748" s="12" t="s">
        <v>6448</v>
      </c>
    </row>
    <row r="4749" spans="1:8" hidden="1" outlineLevel="1" x14ac:dyDescent="0.25">
      <c r="A4749" s="739">
        <v>0.02</v>
      </c>
      <c r="B4749" s="877" t="s">
        <v>2754</v>
      </c>
      <c r="C4749" s="1132">
        <v>225.79</v>
      </c>
      <c r="D4749" s="1022">
        <v>226.7</v>
      </c>
      <c r="E4749" s="1109">
        <v>4.0302936356790831E-3</v>
      </c>
      <c r="F4749" s="946">
        <v>8.0605872713581663E-5</v>
      </c>
      <c r="G4749" s="169"/>
      <c r="H4749" s="12" t="s">
        <v>2817</v>
      </c>
    </row>
    <row r="4750" spans="1:8" hidden="1" outlineLevel="1" x14ac:dyDescent="0.25">
      <c r="A4750" s="739">
        <v>0.05</v>
      </c>
      <c r="B4750" s="877" t="s">
        <v>2587</v>
      </c>
      <c r="C4750" s="1132">
        <v>637.95000000000005</v>
      </c>
      <c r="D4750" s="1022">
        <v>194.3</v>
      </c>
      <c r="E4750" s="1109">
        <v>-0.69543067638529665</v>
      </c>
      <c r="F4750" s="946">
        <v>-3.4771533819264837E-2</v>
      </c>
      <c r="G4750" s="169"/>
      <c r="H4750" s="12" t="s">
        <v>2818</v>
      </c>
    </row>
    <row r="4751" spans="1:8" hidden="1" outlineLevel="1" x14ac:dyDescent="0.25">
      <c r="A4751" s="739">
        <v>0.03</v>
      </c>
      <c r="B4751" s="877" t="s">
        <v>3801</v>
      </c>
      <c r="C4751" s="1132">
        <v>82.546000000000021</v>
      </c>
      <c r="D4751" s="1022">
        <v>11.86</v>
      </c>
      <c r="E4751" s="1109">
        <v>-0.85632253531364333</v>
      </c>
      <c r="F4751" s="946">
        <v>-2.5689676059409298E-2</v>
      </c>
      <c r="G4751" s="169"/>
      <c r="H4751" s="12" t="s">
        <v>2819</v>
      </c>
    </row>
    <row r="4752" spans="1:8" hidden="1" outlineLevel="1" x14ac:dyDescent="0.25">
      <c r="A4752" s="739">
        <v>0.02</v>
      </c>
      <c r="B4752" s="877" t="s">
        <v>1187</v>
      </c>
      <c r="C4752" s="1132">
        <v>70.95</v>
      </c>
      <c r="D4752" s="1022">
        <v>76.11</v>
      </c>
      <c r="E4752" s="1109">
        <v>7.2727272727272751E-2</v>
      </c>
      <c r="F4752" s="946">
        <v>1.4545454545454551E-3</v>
      </c>
      <c r="G4752" s="169"/>
      <c r="H4752" s="12" t="s">
        <v>3483</v>
      </c>
    </row>
    <row r="4753" spans="1:12" hidden="1" outlineLevel="1" x14ac:dyDescent="0.25">
      <c r="A4753" s="739">
        <v>0.02</v>
      </c>
      <c r="B4753" s="877" t="s">
        <v>1214</v>
      </c>
      <c r="C4753" s="1132">
        <v>97.123000000000005</v>
      </c>
      <c r="D4753" s="1022">
        <v>106.6</v>
      </c>
      <c r="E4753" s="1109">
        <v>9.7577298889037545E-2</v>
      </c>
      <c r="F4753" s="946">
        <v>1.951545977780751E-3</v>
      </c>
      <c r="G4753" s="169"/>
      <c r="H4753" s="12" t="s">
        <v>3775</v>
      </c>
    </row>
    <row r="4754" spans="1:12" hidden="1" outlineLevel="1" x14ac:dyDescent="0.25">
      <c r="A4754" s="739">
        <v>0.03</v>
      </c>
      <c r="B4754" s="877" t="s">
        <v>4338</v>
      </c>
      <c r="C4754" s="1133">
        <v>38.719850661041001</v>
      </c>
      <c r="D4754" s="1022">
        <v>11.65</v>
      </c>
      <c r="E4754" s="1109">
        <v>-0.69912074036685379</v>
      </c>
      <c r="F4754" s="946">
        <v>-2.0973622211005613E-2</v>
      </c>
      <c r="G4754" s="169"/>
      <c r="H4754" s="12" t="s">
        <v>7229</v>
      </c>
      <c r="I4754" s="118"/>
    </row>
    <row r="4755" spans="1:12" hidden="1" outlineLevel="1" x14ac:dyDescent="0.25">
      <c r="A4755" s="739">
        <v>0.03</v>
      </c>
      <c r="B4755" s="853" t="s">
        <v>6118</v>
      </c>
      <c r="C4755" s="1132">
        <v>115.47</v>
      </c>
      <c r="D4755" s="1022">
        <v>93.6</v>
      </c>
      <c r="E4755" s="1109">
        <v>-0.18939984411535471</v>
      </c>
      <c r="F4755" s="946">
        <v>-5.6819953234606407E-3</v>
      </c>
      <c r="G4755" s="169"/>
      <c r="H4755" s="12" t="s">
        <v>6117</v>
      </c>
    </row>
    <row r="4756" spans="1:12" hidden="1" outlineLevel="1" x14ac:dyDescent="0.25">
      <c r="A4756" s="739">
        <v>0.05</v>
      </c>
      <c r="B4756" s="853" t="s">
        <v>577</v>
      </c>
      <c r="C4756" s="1132">
        <v>16.84</v>
      </c>
      <c r="D4756" s="1022">
        <v>7.8520000000000003</v>
      </c>
      <c r="E4756" s="1109">
        <v>-0.53372921615201896</v>
      </c>
      <c r="F4756" s="946">
        <v>-2.668646080760095E-2</v>
      </c>
      <c r="G4756" s="169"/>
      <c r="H4756" s="12" t="s">
        <v>2804</v>
      </c>
    </row>
    <row r="4757" spans="1:12" hidden="1" outlineLevel="1" x14ac:dyDescent="0.25">
      <c r="A4757" s="739">
        <v>0.02</v>
      </c>
      <c r="B4757" s="877" t="s">
        <v>583</v>
      </c>
      <c r="C4757" s="1132">
        <v>457.65</v>
      </c>
      <c r="D4757" s="1022">
        <v>208.7</v>
      </c>
      <c r="E4757" s="1109">
        <v>-0.54397465311919591</v>
      </c>
      <c r="F4757" s="946">
        <v>-1.0879493062383918E-2</v>
      </c>
      <c r="G4757" s="169"/>
      <c r="H4757" s="12" t="s">
        <v>1594</v>
      </c>
    </row>
    <row r="4758" spans="1:12" hidden="1" outlineLevel="1" x14ac:dyDescent="0.25">
      <c r="A4758" s="739">
        <v>0.04</v>
      </c>
      <c r="B4758" s="853" t="s">
        <v>1183</v>
      </c>
      <c r="C4758" s="1132">
        <v>56.232000000000006</v>
      </c>
      <c r="D4758" s="1022">
        <v>44.954999999999998</v>
      </c>
      <c r="E4758" s="1109">
        <v>-0.20054417413572356</v>
      </c>
      <c r="F4758" s="946">
        <v>-8.021766965428943E-3</v>
      </c>
      <c r="G4758" s="169"/>
      <c r="H4758" s="12" t="s">
        <v>2805</v>
      </c>
    </row>
    <row r="4759" spans="1:12" hidden="1" outlineLevel="1" x14ac:dyDescent="0.25">
      <c r="A4759" s="739">
        <v>0.03</v>
      </c>
      <c r="B4759" s="853" t="s">
        <v>182</v>
      </c>
      <c r="C4759" s="1132">
        <v>79.03</v>
      </c>
      <c r="D4759" s="1022">
        <v>15.85</v>
      </c>
      <c r="E4759" s="1109">
        <v>-0.79944324939896239</v>
      </c>
      <c r="F4759" s="946">
        <v>-2.3983297481968872E-2</v>
      </c>
      <c r="G4759" s="169"/>
      <c r="H4759" s="12" t="s">
        <v>6686</v>
      </c>
    </row>
    <row r="4760" spans="1:12" hidden="1" outlineLevel="1" x14ac:dyDescent="0.25">
      <c r="A4760" s="739">
        <v>0.02</v>
      </c>
      <c r="B4760" s="877" t="s">
        <v>2628</v>
      </c>
      <c r="C4760" s="1132">
        <v>6.9742000000000006</v>
      </c>
      <c r="D4760" s="1022">
        <v>2</v>
      </c>
      <c r="E4760" s="1109">
        <v>-0.71322875742020586</v>
      </c>
      <c r="F4760" s="946">
        <v>-1.4264575148404117E-2</v>
      </c>
      <c r="G4760" s="169"/>
      <c r="H4760" s="12" t="s">
        <v>1896</v>
      </c>
    </row>
    <row r="4761" spans="1:12" hidden="1" outlineLevel="1" x14ac:dyDescent="0.25">
      <c r="A4761" s="739">
        <v>0.02</v>
      </c>
      <c r="B4761" s="750" t="s">
        <v>506</v>
      </c>
      <c r="C4761" s="1132">
        <v>60.773000000000003</v>
      </c>
      <c r="D4761" s="1022">
        <v>16.305</v>
      </c>
      <c r="E4761" s="1109">
        <v>-0.73170651440606849</v>
      </c>
      <c r="F4761" s="1023">
        <v>-1.4634130288121369E-2</v>
      </c>
      <c r="G4761" s="169"/>
      <c r="H4761" s="12" t="s">
        <v>3994</v>
      </c>
    </row>
    <row r="4762" spans="1:12" hidden="1" outlineLevel="1" x14ac:dyDescent="0.25">
      <c r="A4762" s="717"/>
      <c r="B4762" s="750"/>
      <c r="C4762" s="719"/>
      <c r="D4762" s="719"/>
      <c r="E4762" s="720"/>
      <c r="F4762" s="1828">
        <v>-0.24516275800853576</v>
      </c>
      <c r="H4762" s="110"/>
    </row>
    <row r="4763" spans="1:12" collapsed="1" x14ac:dyDescent="0.25">
      <c r="A4763" s="3801" t="s">
        <v>4380</v>
      </c>
      <c r="B4763" s="3802"/>
      <c r="C4763" s="3802"/>
      <c r="D4763" s="3802"/>
      <c r="E4763" s="721"/>
      <c r="F4763" s="752">
        <f>+IF(F4762&gt;0,F4762,0)-0.05</f>
        <v>-0.05</v>
      </c>
      <c r="G4763" s="97" t="s">
        <v>781</v>
      </c>
      <c r="H4763" s="166"/>
      <c r="L4763" t="s">
        <v>2734</v>
      </c>
    </row>
    <row r="4764" spans="1:12" x14ac:dyDescent="0.25">
      <c r="L4764" t="s">
        <v>2734</v>
      </c>
    </row>
    <row r="4765" spans="1:12" hidden="1" outlineLevel="1" x14ac:dyDescent="0.25">
      <c r="A4765" s="689" t="s">
        <v>113</v>
      </c>
      <c r="B4765" s="689" t="s">
        <v>114</v>
      </c>
      <c r="C4765" s="689" t="s">
        <v>112</v>
      </c>
      <c r="D4765" s="689" t="s">
        <v>116</v>
      </c>
      <c r="E4765" s="689" t="s">
        <v>117</v>
      </c>
      <c r="F4765" s="1188" t="s">
        <v>121</v>
      </c>
    </row>
    <row r="4766" spans="1:12" hidden="1" outlineLevel="1" x14ac:dyDescent="0.25">
      <c r="A4766" s="690">
        <v>1</v>
      </c>
      <c r="B4766" s="691" t="s">
        <v>252</v>
      </c>
      <c r="C4766" s="692">
        <v>100</v>
      </c>
      <c r="D4766" s="692"/>
      <c r="E4766" s="693"/>
      <c r="F4766" s="694"/>
    </row>
    <row r="4767" spans="1:12" hidden="1" outlineLevel="1" x14ac:dyDescent="0.25">
      <c r="A4767" s="695"/>
      <c r="B4767" s="695"/>
      <c r="C4767" s="696"/>
      <c r="D4767" s="697" t="s">
        <v>3702</v>
      </c>
      <c r="E4767" s="698">
        <v>41593</v>
      </c>
      <c r="F4767" s="699"/>
    </row>
    <row r="4768" spans="1:12" hidden="1" outlineLevel="1" x14ac:dyDescent="0.25">
      <c r="A4768" s="495" t="s">
        <v>4156</v>
      </c>
      <c r="B4768" s="495" t="s">
        <v>4153</v>
      </c>
      <c r="C4768" s="700" t="s">
        <v>112</v>
      </c>
      <c r="D4768" s="495" t="s">
        <v>4155</v>
      </c>
      <c r="E4768" s="495" t="s">
        <v>4154</v>
      </c>
      <c r="F4768" s="1021" t="s">
        <v>2519</v>
      </c>
    </row>
    <row r="4769" spans="1:9" hidden="1" outlineLevel="1" x14ac:dyDescent="0.25">
      <c r="A4769" s="1127">
        <v>0.04</v>
      </c>
      <c r="B4769" s="949" t="s">
        <v>1993</v>
      </c>
      <c r="C4769" s="1128">
        <v>72.805000000000007</v>
      </c>
      <c r="D4769" s="690">
        <v>131.19999999999999</v>
      </c>
      <c r="E4769" s="738">
        <v>0.80207403337682814</v>
      </c>
      <c r="F4769" s="1021">
        <v>3.2082961335073129E-2</v>
      </c>
      <c r="H4769" t="str">
        <f>VLOOKUP(B4769,indexy!$A$44:$D$234,3,FALSE)</f>
        <v>MO UN Equity</v>
      </c>
      <c r="I4769" s="39" t="s">
        <v>3533</v>
      </c>
    </row>
    <row r="4770" spans="1:9" hidden="1" outlineLevel="1" x14ac:dyDescent="0.25">
      <c r="A4770" s="849">
        <v>0.04</v>
      </c>
      <c r="B4770" s="877" t="s">
        <v>2984</v>
      </c>
      <c r="C4770" s="1129">
        <v>16.631</v>
      </c>
      <c r="D4770" s="706">
        <v>8.4260000000000002</v>
      </c>
      <c r="E4770" s="742">
        <v>-0.49335578137213631</v>
      </c>
      <c r="F4770" s="946">
        <v>-1.9734231254885454E-2</v>
      </c>
      <c r="H4770" t="str">
        <f>VLOOKUP(B4770,indexy!$A$44:$D$234,3,FALSE)</f>
        <v>BBVA SM Equity</v>
      </c>
    </row>
    <row r="4771" spans="1:9" hidden="1" outlineLevel="1" x14ac:dyDescent="0.25">
      <c r="A4771" s="849">
        <v>0.03</v>
      </c>
      <c r="B4771" s="853" t="s">
        <v>157</v>
      </c>
      <c r="C4771" s="1129">
        <v>14.760999999999999</v>
      </c>
      <c r="D4771" s="706">
        <v>6.3879999999999999</v>
      </c>
      <c r="E4771" s="742">
        <v>-0.56723799200596159</v>
      </c>
      <c r="F4771" s="946">
        <v>-1.7017139760178848E-2</v>
      </c>
      <c r="H4771" t="str">
        <f>VLOOKUP(B4771,indexy!$A$44:$D$234,3,FALSE)</f>
        <v>SAN SM Equity</v>
      </c>
    </row>
    <row r="4772" spans="1:9" hidden="1" outlineLevel="1" x14ac:dyDescent="0.25">
      <c r="A4772" s="849">
        <v>0.05</v>
      </c>
      <c r="B4772" s="853" t="s">
        <v>1184</v>
      </c>
      <c r="C4772" s="1129">
        <v>45.814</v>
      </c>
      <c r="D4772" s="706">
        <v>78</v>
      </c>
      <c r="E4772" s="742">
        <v>0.70253634260269782</v>
      </c>
      <c r="F4772" s="946">
        <v>3.5126817130134894E-2</v>
      </c>
      <c r="H4772" t="str">
        <f>VLOOKUP(B4772,indexy!$A$44:$D$234,3,FALSE)</f>
        <v>BAS GY Equity</v>
      </c>
    </row>
    <row r="4773" spans="1:9" hidden="1" outlineLevel="1" x14ac:dyDescent="0.25">
      <c r="A4773" s="849">
        <v>0.03</v>
      </c>
      <c r="B4773" s="853" t="s">
        <v>901</v>
      </c>
      <c r="C4773" s="1129">
        <v>1770.2</v>
      </c>
      <c r="D4773" s="706">
        <v>3421</v>
      </c>
      <c r="E4773" s="742">
        <v>0.93254999435092079</v>
      </c>
      <c r="F4773" s="946">
        <v>2.7976499830527624E-2</v>
      </c>
      <c r="H4773" t="str">
        <f>VLOOKUP(B4773,indexy!$A$44:$D$234,3,FALSE)</f>
        <v>BATS LN Equity</v>
      </c>
    </row>
    <row r="4774" spans="1:9" hidden="1" outlineLevel="1" x14ac:dyDescent="0.25">
      <c r="A4774" s="849">
        <v>0.03</v>
      </c>
      <c r="B4774" s="853" t="s">
        <v>1847</v>
      </c>
      <c r="C4774" s="1129">
        <v>336.9</v>
      </c>
      <c r="D4774" s="706">
        <v>52.3</v>
      </c>
      <c r="E4774" s="742">
        <v>-0.84476105669338086</v>
      </c>
      <c r="F4774" s="946">
        <v>-2.5342831700801424E-2</v>
      </c>
      <c r="H4774" t="str">
        <f>VLOOKUP(B4774,indexy!$A$44:$D$234,3,FALSE)</f>
        <v>C UN Equity</v>
      </c>
    </row>
    <row r="4775" spans="1:9" hidden="1" outlineLevel="1" x14ac:dyDescent="0.25">
      <c r="A4775" s="849">
        <v>0.02</v>
      </c>
      <c r="B4775" s="906" t="s">
        <v>1212</v>
      </c>
      <c r="C4775" s="1129">
        <v>67.564999999999998</v>
      </c>
      <c r="D4775" s="706">
        <v>26.44</v>
      </c>
      <c r="E4775" s="742">
        <v>-0.60867312957892394</v>
      </c>
      <c r="F4775" s="946">
        <v>-1.2173462591578478E-2</v>
      </c>
      <c r="H4775" t="e">
        <f>VLOOKUP(B4775,indexy!$A$44:$D$234,3,FALSE)</f>
        <v>#N/A</v>
      </c>
    </row>
    <row r="4776" spans="1:9" hidden="1" outlineLevel="1" x14ac:dyDescent="0.25">
      <c r="A4776" s="849">
        <v>0.02</v>
      </c>
      <c r="B4776" s="853" t="s">
        <v>3406</v>
      </c>
      <c r="C4776" s="1129">
        <v>1078.7</v>
      </c>
      <c r="D4776" s="706">
        <v>2028</v>
      </c>
      <c r="E4776" s="742">
        <v>0.88004078983962164</v>
      </c>
      <c r="F4776" s="946">
        <v>1.7600815796792433E-2</v>
      </c>
      <c r="H4776" t="str">
        <f>VLOOKUP(B4776,indexy!$A$44:$D$234,3,FALSE)</f>
        <v>DGE LN Equity</v>
      </c>
    </row>
    <row r="4777" spans="1:9" hidden="1" outlineLevel="1" x14ac:dyDescent="0.25">
      <c r="A4777" s="849">
        <v>0.03</v>
      </c>
      <c r="B4777" s="853" t="s">
        <v>1231</v>
      </c>
      <c r="C4777" s="1129">
        <v>58.302000000000007</v>
      </c>
      <c r="D4777" s="706">
        <v>71.8</v>
      </c>
      <c r="E4777" s="742">
        <v>0.23151864430036695</v>
      </c>
      <c r="F4777" s="946">
        <v>6.9455593290110081E-3</v>
      </c>
      <c r="H4777" t="str">
        <f>VLOOKUP(B4777,indexy!$A$44:$D$234,3,FALSE)</f>
        <v>DUK UN Equity</v>
      </c>
    </row>
    <row r="4778" spans="1:9" hidden="1" outlineLevel="1" x14ac:dyDescent="0.25">
      <c r="A4778" s="849">
        <v>0.02</v>
      </c>
      <c r="B4778" s="853" t="s">
        <v>4387</v>
      </c>
      <c r="C4778" s="1129">
        <v>45.146333333333331</v>
      </c>
      <c r="D4778" s="706">
        <v>13.5</v>
      </c>
      <c r="E4778" s="742">
        <v>-0.7009723934760298</v>
      </c>
      <c r="F4778" s="946">
        <v>-1.4019447869520597E-2</v>
      </c>
      <c r="H4778" t="str">
        <f>VLOOKUP(B4778,indexy!$A$44:$D$234,3,FALSE)</f>
        <v>EOAN GY Equity</v>
      </c>
    </row>
    <row r="4779" spans="1:9" hidden="1" outlineLevel="1" x14ac:dyDescent="0.25">
      <c r="A4779" s="849">
        <v>0.04</v>
      </c>
      <c r="B4779" s="712" t="s">
        <v>4064</v>
      </c>
      <c r="C4779" s="1129">
        <v>51.781999999999996</v>
      </c>
      <c r="D4779" s="706">
        <v>51.01</v>
      </c>
      <c r="E4779" s="742">
        <v>-1.4908655517361202E-2</v>
      </c>
      <c r="F4779" s="946">
        <v>-5.9634622069444805E-4</v>
      </c>
      <c r="H4779" t="str">
        <f>VLOOKUP(B4779,indexy!$A$44:$D$234,3,FALSE)</f>
        <v>LLY UN Equity</v>
      </c>
    </row>
    <row r="4780" spans="1:9" hidden="1" outlineLevel="1" x14ac:dyDescent="0.25">
      <c r="A4780" s="849">
        <v>0.06</v>
      </c>
      <c r="B4780" s="712" t="s">
        <v>3798</v>
      </c>
      <c r="C4780" s="1129">
        <v>8.1376000000000008</v>
      </c>
      <c r="D4780" s="706">
        <v>3.294</v>
      </c>
      <c r="E4780" s="742">
        <v>-0.59521234762092023</v>
      </c>
      <c r="F4780" s="946">
        <v>-3.5712740857255211E-2</v>
      </c>
      <c r="H4780" t="str">
        <f>VLOOKUP(B4780,indexy!$A$44:$D$234,3,FALSE)</f>
        <v>ENEL IM Equity</v>
      </c>
    </row>
    <row r="4781" spans="1:9" hidden="1" outlineLevel="1" x14ac:dyDescent="0.25">
      <c r="A4781" s="849">
        <v>0.03</v>
      </c>
      <c r="B4781" s="853" t="s">
        <v>4268</v>
      </c>
      <c r="C4781" s="1129">
        <v>29.774000000000001</v>
      </c>
      <c r="D4781" s="706">
        <v>16.809999999999999</v>
      </c>
      <c r="E4781" s="742">
        <v>-0.43541344797474313</v>
      </c>
      <c r="F4781" s="946">
        <v>-1.3062403439242294E-2</v>
      </c>
      <c r="H4781" t="str">
        <f>VLOOKUP(B4781,indexy!$A$44:$D$234,3,FALSE)</f>
        <v>FORTUM FH Equity</v>
      </c>
    </row>
    <row r="4782" spans="1:9" hidden="1" outlineLevel="1" x14ac:dyDescent="0.25">
      <c r="A4782" s="849">
        <v>0.04</v>
      </c>
      <c r="B4782" s="853" t="s">
        <v>3407</v>
      </c>
      <c r="C4782" s="1129">
        <v>38.610999999999997</v>
      </c>
      <c r="D4782" s="706">
        <v>27.2</v>
      </c>
      <c r="E4782" s="742">
        <v>-0.29553754111522623</v>
      </c>
      <c r="F4782" s="946">
        <v>-1.182150164460905E-2</v>
      </c>
      <c r="H4782" t="str">
        <f>VLOOKUP(B4782,indexy!$A$44:$D$234,3,FALSE)</f>
        <v>GE UN Equity</v>
      </c>
    </row>
    <row r="4783" spans="1:9" hidden="1" outlineLevel="1" x14ac:dyDescent="0.25">
      <c r="A4783" s="849">
        <v>0.04</v>
      </c>
      <c r="B4783" s="853" t="s">
        <v>1771</v>
      </c>
      <c r="C4783" s="1129">
        <v>842.15</v>
      </c>
      <c r="D4783" s="706">
        <v>692</v>
      </c>
      <c r="E4783" s="742">
        <v>-0.17829365314967638</v>
      </c>
      <c r="F4783" s="946">
        <v>-7.1317461259870554E-3</v>
      </c>
      <c r="H4783" t="str">
        <f>VLOOKUP(B4783,indexy!$A$44:$D$234,3,FALSE)</f>
        <v>HSBA LN Equity</v>
      </c>
    </row>
    <row r="4784" spans="1:9" hidden="1" outlineLevel="1" x14ac:dyDescent="0.25">
      <c r="A4784" s="849">
        <v>0.06</v>
      </c>
      <c r="B4784" s="853" t="s">
        <v>2588</v>
      </c>
      <c r="C4784" s="1129">
        <v>26.943000000000001</v>
      </c>
      <c r="D4784" s="706">
        <v>9.58</v>
      </c>
      <c r="E4784" s="742">
        <v>-0.64443454700664371</v>
      </c>
      <c r="F4784" s="946">
        <v>-3.866607282039862E-2</v>
      </c>
      <c r="H4784" t="str">
        <f>VLOOKUP(B4784,indexy!$A$44:$D$234,3,FALSE)</f>
        <v>INGA NA Equity</v>
      </c>
    </row>
    <row r="4785" spans="1:15" hidden="1" outlineLevel="1" x14ac:dyDescent="0.25">
      <c r="A4785" s="849">
        <v>0.02</v>
      </c>
      <c r="B4785" s="853" t="s">
        <v>4376</v>
      </c>
      <c r="C4785" s="1129">
        <v>42.936999999999998</v>
      </c>
      <c r="D4785" s="706">
        <v>54.87</v>
      </c>
      <c r="E4785" s="742">
        <v>0.27791881128164531</v>
      </c>
      <c r="F4785" s="946">
        <v>5.5583762256329059E-3</v>
      </c>
      <c r="H4785" t="str">
        <f>VLOOKUP(B4785,indexy!$A$44:$D$234,3,FALSE)</f>
        <v>JPM UN Equity</v>
      </c>
    </row>
    <row r="4786" spans="1:15" hidden="1" outlineLevel="1" x14ac:dyDescent="0.25">
      <c r="A4786" s="849">
        <v>0.04</v>
      </c>
      <c r="B4786" s="853" t="s">
        <v>459</v>
      </c>
      <c r="C4786" s="1129">
        <v>1173.0999999999999</v>
      </c>
      <c r="D4786" s="706">
        <v>924</v>
      </c>
      <c r="E4786" s="742">
        <v>-0.21234336373710672</v>
      </c>
      <c r="F4786" s="946">
        <v>-8.4937345494842682E-3</v>
      </c>
      <c r="H4786" t="str">
        <f>VLOOKUP(B4786,indexy!$A$44:$D$234,3,FALSE)</f>
        <v>7201 JT Equity</v>
      </c>
    </row>
    <row r="4787" spans="1:15" hidden="1" outlineLevel="1" x14ac:dyDescent="0.25">
      <c r="A4787" s="849">
        <v>0.02</v>
      </c>
      <c r="B4787" s="853" t="s">
        <v>2787</v>
      </c>
      <c r="C4787" s="1129">
        <v>59.164999999999999</v>
      </c>
      <c r="D4787" s="706">
        <v>72.25</v>
      </c>
      <c r="E4787" s="742">
        <v>0.22116115946928083</v>
      </c>
      <c r="F4787" s="946">
        <v>4.423223189385617E-3</v>
      </c>
      <c r="H4787" t="str">
        <f>VLOOKUP(B4787,indexy!$A$44:$D$234,3,FALSE)</f>
        <v>NOVN SE Equity</v>
      </c>
    </row>
    <row r="4788" spans="1:15" hidden="1" outlineLevel="1" x14ac:dyDescent="0.25">
      <c r="A4788" s="849">
        <v>0.04</v>
      </c>
      <c r="B4788" s="853" t="s">
        <v>1414</v>
      </c>
      <c r="C4788" s="1129">
        <v>23.155000000000001</v>
      </c>
      <c r="D4788" s="706">
        <v>32.200000000000003</v>
      </c>
      <c r="E4788" s="742">
        <v>0.39062837400129569</v>
      </c>
      <c r="F4788" s="946">
        <v>1.5625134960051829E-2</v>
      </c>
      <c r="H4788" t="str">
        <f>VLOOKUP(B4788,indexy!$A$44:$D$234,3,FALSE)</f>
        <v>PFE UN Equity</v>
      </c>
    </row>
    <row r="4789" spans="1:15" hidden="1" outlineLevel="1" x14ac:dyDescent="0.25">
      <c r="A4789" s="849">
        <v>0.02</v>
      </c>
      <c r="B4789" s="853" t="s">
        <v>1653</v>
      </c>
      <c r="C4789" s="1129">
        <v>12.401</v>
      </c>
      <c r="D4789" s="706">
        <v>15.7</v>
      </c>
      <c r="E4789" s="742">
        <v>0.26602693331182969</v>
      </c>
      <c r="F4789" s="946">
        <v>5.3205386662365942E-3</v>
      </c>
      <c r="H4789" t="str">
        <f>VLOOKUP(B4789,indexy!$A$44:$D$234,3,FALSE)</f>
        <v>REN NA Equity</v>
      </c>
    </row>
    <row r="4790" spans="1:15" hidden="1" outlineLevel="1" x14ac:dyDescent="0.25">
      <c r="A4790" s="849">
        <v>0.04</v>
      </c>
      <c r="B4790" s="853" t="s">
        <v>3424</v>
      </c>
      <c r="C4790" s="1129">
        <v>31.795500000000001</v>
      </c>
      <c r="D4790" s="706">
        <v>52.52</v>
      </c>
      <c r="E4790" s="742">
        <v>0.65180607318645722</v>
      </c>
      <c r="F4790" s="946">
        <v>2.607224292745829E-2</v>
      </c>
      <c r="H4790" t="str">
        <f>VLOOKUP(B4790,indexy!$A$44:$D$234,3,FALSE)</f>
        <v>RAI UN Equity</v>
      </c>
    </row>
    <row r="4791" spans="1:15" hidden="1" outlineLevel="1" x14ac:dyDescent="0.25">
      <c r="A4791" s="849">
        <v>0.03</v>
      </c>
      <c r="B4791" s="853" t="s">
        <v>3800</v>
      </c>
      <c r="C4791" s="1129">
        <v>195.92</v>
      </c>
      <c r="D4791" s="706">
        <v>258.3</v>
      </c>
      <c r="E4791" s="742">
        <v>0.31839526337280533</v>
      </c>
      <c r="F4791" s="946">
        <v>9.5518579011841589E-3</v>
      </c>
      <c r="H4791" t="str">
        <f>VLOOKUP(B4791,indexy!$A$44:$D$234,3,FALSE)</f>
        <v>ROG SE Equity</v>
      </c>
    </row>
    <row r="4792" spans="1:15" hidden="1" outlineLevel="1" x14ac:dyDescent="0.25">
      <c r="A4792" s="849">
        <v>0.03</v>
      </c>
      <c r="B4792" s="853" t="s">
        <v>3801</v>
      </c>
      <c r="C4792" s="1129">
        <v>91.965000000000003</v>
      </c>
      <c r="D4792" s="706">
        <v>28.315000000000001</v>
      </c>
      <c r="E4792" s="742">
        <v>-0.69211112923394769</v>
      </c>
      <c r="F4792" s="946">
        <v>-2.0763333877018429E-2</v>
      </c>
      <c r="H4792" t="str">
        <f>VLOOKUP(B4792,indexy!$A$44:$D$234,3,FALSE)</f>
        <v>RWE GY Equity</v>
      </c>
    </row>
    <row r="4793" spans="1:15" hidden="1" outlineLevel="1" x14ac:dyDescent="0.25">
      <c r="A4793" s="849">
        <v>0.03</v>
      </c>
      <c r="B4793" s="853" t="s">
        <v>1187</v>
      </c>
      <c r="C4793" s="1129">
        <v>61.222999999999999</v>
      </c>
      <c r="D4793" s="706">
        <v>85.6</v>
      </c>
      <c r="E4793" s="742">
        <v>0.39816735540564818</v>
      </c>
      <c r="F4793" s="946">
        <v>1.1945020662169445E-2</v>
      </c>
      <c r="H4793" t="str">
        <f>VLOOKUP(B4793,indexy!$A$44:$D$234,3,FALSE)</f>
        <v>SAN FP Equity</v>
      </c>
    </row>
    <row r="4794" spans="1:15" hidden="1" outlineLevel="1" x14ac:dyDescent="0.25">
      <c r="A4794" s="849">
        <v>0.02</v>
      </c>
      <c r="B4794" s="853" t="s">
        <v>231</v>
      </c>
      <c r="C4794" s="1129">
        <v>68.56</v>
      </c>
      <c r="D4794" s="706">
        <v>36.03</v>
      </c>
      <c r="E4794" s="742">
        <v>-0.47447491248541429</v>
      </c>
      <c r="F4794" s="946">
        <v>-9.489498249708286E-3</v>
      </c>
      <c r="H4794" t="e">
        <f>VLOOKUP(B4794,indexy!$A$44:$D$234,3,FALSE)</f>
        <v>#N/A</v>
      </c>
    </row>
    <row r="4795" spans="1:15" hidden="1" outlineLevel="1" x14ac:dyDescent="0.25">
      <c r="A4795" s="849">
        <v>0.02</v>
      </c>
      <c r="B4795" s="853" t="s">
        <v>3902</v>
      </c>
      <c r="C4795" s="1129">
        <v>108.675</v>
      </c>
      <c r="D4795" s="706">
        <v>188.8</v>
      </c>
      <c r="E4795" s="742">
        <v>0.73729008511617233</v>
      </c>
      <c r="F4795" s="946">
        <v>1.4745801702323447E-2</v>
      </c>
      <c r="H4795" t="e">
        <f>VLOOKUP(B4795,indexy!$A$44:$D$234,3,FALSE)</f>
        <v>#N/A</v>
      </c>
    </row>
    <row r="4796" spans="1:15" hidden="1" outlineLevel="1" x14ac:dyDescent="0.25">
      <c r="A4796" s="849">
        <v>0.03</v>
      </c>
      <c r="B4796" s="853" t="s">
        <v>577</v>
      </c>
      <c r="C4796" s="1129">
        <v>22.795999999999999</v>
      </c>
      <c r="D4796" s="706">
        <v>12.315</v>
      </c>
      <c r="E4796" s="742">
        <v>-0.45977364449903491</v>
      </c>
      <c r="F4796" s="946">
        <v>-1.3793209334971046E-2</v>
      </c>
      <c r="H4796" t="str">
        <f>VLOOKUP(B4796,indexy!$A$44:$D$234,3,FALSE)</f>
        <v>TEF SQ Equity</v>
      </c>
    </row>
    <row r="4797" spans="1:15" hidden="1" outlineLevel="1" x14ac:dyDescent="0.25">
      <c r="A4797" s="849">
        <v>0.04</v>
      </c>
      <c r="B4797" s="853" t="s">
        <v>1183</v>
      </c>
      <c r="C4797" s="1129">
        <v>55.317999999999998</v>
      </c>
      <c r="D4797" s="706">
        <v>44.24</v>
      </c>
      <c r="E4797" s="742">
        <v>-0.20026031309881043</v>
      </c>
      <c r="F4797" s="946">
        <v>-8.0104125239524177E-3</v>
      </c>
      <c r="H4797" t="e">
        <f>VLOOKUP(B4797,indexy!$A$44:$D$234,3,FALSE)</f>
        <v>#N/A</v>
      </c>
      <c r="O4797" s="163"/>
    </row>
    <row r="4798" spans="1:15" hidden="1" outlineLevel="1" x14ac:dyDescent="0.25">
      <c r="A4798" s="990">
        <v>0.04</v>
      </c>
      <c r="B4798" s="750" t="s">
        <v>3903</v>
      </c>
      <c r="C4798" s="1130">
        <v>14.337</v>
      </c>
      <c r="D4798" s="713">
        <v>12.53</v>
      </c>
      <c r="E4798" s="748">
        <v>-0.12603752528422962</v>
      </c>
      <c r="F4798" s="1023">
        <v>-5.0415010113691854E-3</v>
      </c>
      <c r="H4798" t="str">
        <f>VLOOKUP(B4798,indexy!$A$44:$D$234,3,FALSE)</f>
        <v>UPM FH Equity</v>
      </c>
      <c r="O4798" s="163"/>
    </row>
    <row r="4799" spans="1:15" hidden="1" outlineLevel="1" x14ac:dyDescent="0.25">
      <c r="A4799" s="1022"/>
      <c r="B4799" s="1022"/>
      <c r="C4799" s="1022"/>
      <c r="D4799" s="1022"/>
      <c r="E4799" s="1022"/>
      <c r="F4799" s="1831">
        <v>-4.7894764175673746E-2</v>
      </c>
    </row>
    <row r="4800" spans="1:15" collapsed="1" x14ac:dyDescent="0.25">
      <c r="A4800" s="3801" t="s">
        <v>4381</v>
      </c>
      <c r="B4800" s="3802"/>
      <c r="C4800" s="3802"/>
      <c r="D4800" s="3802"/>
      <c r="E4800" s="721"/>
      <c r="F4800" s="752">
        <v>0</v>
      </c>
      <c r="G4800" s="97" t="s">
        <v>781</v>
      </c>
    </row>
    <row r="4802" spans="1:33" hidden="1" outlineLevel="1" x14ac:dyDescent="0.25">
      <c r="A4802" s="922" t="s">
        <v>2015</v>
      </c>
      <c r="B4802" s="923" t="s">
        <v>114</v>
      </c>
      <c r="C4802" s="923" t="s">
        <v>112</v>
      </c>
      <c r="D4802" s="922" t="s">
        <v>4155</v>
      </c>
      <c r="E4802" s="925" t="s">
        <v>117</v>
      </c>
      <c r="F4802" s="1861" t="s">
        <v>121</v>
      </c>
    </row>
    <row r="4803" spans="1:33" hidden="1" outlineLevel="1" x14ac:dyDescent="0.25">
      <c r="A4803" s="926">
        <v>0.3</v>
      </c>
      <c r="B4803" s="695" t="s">
        <v>2019</v>
      </c>
      <c r="C4803" s="927">
        <v>455.70499999999998</v>
      </c>
      <c r="D4803" s="1134">
        <v>361.62</v>
      </c>
      <c r="E4803" s="3881">
        <v>-0.10757126577277831</v>
      </c>
      <c r="F4803" s="3824">
        <v>-8.6057012618222656E-2</v>
      </c>
      <c r="H4803" t="s">
        <v>2040</v>
      </c>
      <c r="I4803" s="256">
        <v>40817</v>
      </c>
      <c r="J4803" s="256">
        <v>40848</v>
      </c>
      <c r="K4803" s="256">
        <v>40878</v>
      </c>
      <c r="L4803" s="256">
        <v>40909</v>
      </c>
      <c r="M4803" s="256">
        <v>40940</v>
      </c>
      <c r="N4803" s="256">
        <v>40969</v>
      </c>
      <c r="O4803" s="256">
        <v>41000</v>
      </c>
      <c r="P4803" s="256">
        <v>41030</v>
      </c>
      <c r="Q4803" s="256">
        <v>41061</v>
      </c>
      <c r="R4803" s="256">
        <v>41091</v>
      </c>
      <c r="S4803" s="256">
        <v>41122</v>
      </c>
      <c r="T4803" s="256">
        <v>41153</v>
      </c>
      <c r="U4803" s="256">
        <v>41183</v>
      </c>
      <c r="V4803" s="256">
        <v>41214</v>
      </c>
      <c r="W4803" s="256">
        <v>41244</v>
      </c>
      <c r="X4803" s="256">
        <v>41275</v>
      </c>
      <c r="Y4803" s="256">
        <v>41306</v>
      </c>
      <c r="Z4803" s="256">
        <v>41334</v>
      </c>
      <c r="AA4803" s="256">
        <v>41365</v>
      </c>
      <c r="AB4803" s="256">
        <v>41395</v>
      </c>
      <c r="AC4803" s="256">
        <v>41426</v>
      </c>
      <c r="AD4803" s="256">
        <v>41456</v>
      </c>
      <c r="AE4803" s="256">
        <v>41487</v>
      </c>
      <c r="AF4803" s="256">
        <v>41518</v>
      </c>
      <c r="AG4803" s="256"/>
    </row>
    <row r="4804" spans="1:33" hidden="1" outlineLevel="1" x14ac:dyDescent="0.25">
      <c r="A4804" s="928">
        <v>0.3</v>
      </c>
      <c r="B4804" s="695" t="s">
        <v>1916</v>
      </c>
      <c r="C4804" s="930">
        <v>257.27</v>
      </c>
      <c r="D4804" s="1134">
        <v>260.91000000000003</v>
      </c>
      <c r="E4804" s="3882"/>
      <c r="F4804" s="3825"/>
      <c r="I4804">
        <v>81.8078</v>
      </c>
      <c r="J4804" s="31">
        <v>78.250600000000006</v>
      </c>
      <c r="K4804">
        <v>77.292699999999996</v>
      </c>
      <c r="L4804">
        <v>84.774199999999993</v>
      </c>
      <c r="M4804">
        <v>87.890799999999999</v>
      </c>
      <c r="N4804">
        <v>85.723399999999998</v>
      </c>
      <c r="O4804">
        <v>85.607399999999998</v>
      </c>
      <c r="P4804">
        <v>78.750200000000007</v>
      </c>
      <c r="Q4804">
        <v>79.879300000000001</v>
      </c>
      <c r="R4804">
        <v>82.303200000000004</v>
      </c>
      <c r="S4804">
        <v>82.197000000000003</v>
      </c>
      <c r="T4804">
        <v>84.778000000000006</v>
      </c>
      <c r="U4804">
        <v>84.288600000000002</v>
      </c>
      <c r="V4804">
        <v>85.531000000000006</v>
      </c>
      <c r="W4804">
        <v>88.975899999999996</v>
      </c>
      <c r="X4804">
        <v>90.388900000000007</v>
      </c>
      <c r="Y4804">
        <v>90.242199999999997</v>
      </c>
      <c r="Z4804">
        <v>89.389700000000005</v>
      </c>
      <c r="AA4804">
        <v>88.368700000000004</v>
      </c>
      <c r="AB4804">
        <v>89.419799999999995</v>
      </c>
      <c r="AC4804">
        <v>82.901200000000003</v>
      </c>
      <c r="AD4804">
        <v>85.756600000000006</v>
      </c>
      <c r="AE4804">
        <v>85.391000000000005</v>
      </c>
      <c r="AF4804">
        <v>89.242900000000006</v>
      </c>
    </row>
    <row r="4805" spans="1:33" hidden="1" outlineLevel="1" x14ac:dyDescent="0.25">
      <c r="A4805" s="928">
        <v>0.2</v>
      </c>
      <c r="B4805" s="695" t="s">
        <v>3563</v>
      </c>
      <c r="C4805" s="930">
        <v>19297.348999999998</v>
      </c>
      <c r="D4805" s="1134">
        <v>10316.120000000001</v>
      </c>
      <c r="E4805" s="3882"/>
      <c r="F4805" s="3825"/>
      <c r="I4805" s="37">
        <f>IF(I4804="",H4805,I4804/100-1)</f>
        <v>-0.18192200000000003</v>
      </c>
      <c r="J4805" s="37">
        <f>IF(J4804="",I4805,J4804/100-1)</f>
        <v>-0.21749399999999997</v>
      </c>
      <c r="K4805" s="37">
        <f t="shared" ref="K4805:AF4805" si="172">IF(K4804="",J4805,K4804/100-1)</f>
        <v>-0.22707300000000008</v>
      </c>
      <c r="L4805" s="37">
        <f t="shared" si="172"/>
        <v>-0.15225800000000012</v>
      </c>
      <c r="M4805" s="37">
        <f t="shared" si="172"/>
        <v>-0.12109199999999998</v>
      </c>
      <c r="N4805" s="37">
        <f t="shared" si="172"/>
        <v>-0.14276600000000006</v>
      </c>
      <c r="O4805" s="37">
        <f t="shared" si="172"/>
        <v>-0.143926</v>
      </c>
      <c r="P4805" s="37">
        <f t="shared" si="172"/>
        <v>-0.21249799999999996</v>
      </c>
      <c r="Q4805" s="37">
        <f t="shared" si="172"/>
        <v>-0.20120700000000002</v>
      </c>
      <c r="R4805" s="37">
        <f t="shared" si="172"/>
        <v>-0.17696800000000001</v>
      </c>
      <c r="S4805" s="37">
        <f t="shared" si="172"/>
        <v>-0.17803000000000002</v>
      </c>
      <c r="T4805" s="37">
        <f t="shared" si="172"/>
        <v>-0.15221999999999991</v>
      </c>
      <c r="U4805" s="37">
        <f t="shared" si="172"/>
        <v>-0.15711399999999998</v>
      </c>
      <c r="V4805" s="37">
        <f t="shared" si="172"/>
        <v>-0.14468999999999999</v>
      </c>
      <c r="W4805" s="37">
        <f t="shared" si="172"/>
        <v>-0.11024100000000003</v>
      </c>
      <c r="X4805" s="37">
        <f t="shared" si="172"/>
        <v>-9.6110999999999946E-2</v>
      </c>
      <c r="Y4805" s="37">
        <f t="shared" si="172"/>
        <v>-9.7578000000000054E-2</v>
      </c>
      <c r="Z4805" s="37">
        <f>IF(Z4804="",Y4805,Z4804/100-1)</f>
        <v>-0.10610299999999995</v>
      </c>
      <c r="AA4805" s="37">
        <f t="shared" si="172"/>
        <v>-0.116313</v>
      </c>
      <c r="AB4805" s="37">
        <f t="shared" si="172"/>
        <v>-0.10580200000000006</v>
      </c>
      <c r="AC4805" s="37">
        <f t="shared" si="172"/>
        <v>-0.17098799999999992</v>
      </c>
      <c r="AD4805" s="37">
        <f t="shared" si="172"/>
        <v>-0.14243399999999995</v>
      </c>
      <c r="AE4805" s="37">
        <f t="shared" si="172"/>
        <v>-0.14608999999999994</v>
      </c>
      <c r="AF4805" s="37">
        <f t="shared" si="172"/>
        <v>-0.10757099999999997</v>
      </c>
    </row>
    <row r="4806" spans="1:33" hidden="1" outlineLevel="1" x14ac:dyDescent="0.25">
      <c r="A4806" s="931">
        <v>0.15</v>
      </c>
      <c r="B4806" s="695" t="s">
        <v>2020</v>
      </c>
      <c r="C4806" s="932">
        <v>28013.865000000002</v>
      </c>
      <c r="D4806" s="1134">
        <v>39449.839999999997</v>
      </c>
      <c r="E4806" s="3882"/>
      <c r="F4806" s="3825"/>
      <c r="J4806" s="31"/>
    </row>
    <row r="4807" spans="1:33" hidden="1" outlineLevel="1" x14ac:dyDescent="0.25">
      <c r="A4807" s="931">
        <v>0.05</v>
      </c>
      <c r="B4807" s="695" t="s">
        <v>2021</v>
      </c>
      <c r="C4807" s="932">
        <v>36715.144999999997</v>
      </c>
      <c r="D4807" s="1134">
        <v>23476.36</v>
      </c>
      <c r="E4807" s="3883"/>
      <c r="F4807" s="3826"/>
      <c r="H4807" s="69" t="s">
        <v>2272</v>
      </c>
      <c r="I4807" s="261">
        <f>AVERAGE(I4805:AF4805)</f>
        <v>-0.15035370833333336</v>
      </c>
      <c r="J4807" s="31"/>
    </row>
    <row r="4808" spans="1:33" collapsed="1" x14ac:dyDescent="0.25">
      <c r="A4808" s="3811" t="s">
        <v>3904</v>
      </c>
      <c r="B4808" s="3812"/>
      <c r="C4808" s="3812"/>
      <c r="D4808" s="3812"/>
      <c r="E4808" s="933"/>
      <c r="F4808" s="934">
        <v>-0.05</v>
      </c>
      <c r="G4808" s="97" t="s">
        <v>781</v>
      </c>
    </row>
    <row r="4809" spans="1:33" x14ac:dyDescent="0.25">
      <c r="O4809" s="163"/>
    </row>
    <row r="4810" spans="1:33" hidden="1" outlineLevel="1" x14ac:dyDescent="0.25">
      <c r="A4810" s="689" t="s">
        <v>113</v>
      </c>
      <c r="B4810" s="689" t="s">
        <v>114</v>
      </c>
      <c r="C4810" s="689" t="s">
        <v>112</v>
      </c>
      <c r="D4810" s="689" t="s">
        <v>116</v>
      </c>
      <c r="E4810" s="689" t="s">
        <v>117</v>
      </c>
      <c r="F4810" s="1188" t="s">
        <v>121</v>
      </c>
      <c r="G4810" s="78"/>
    </row>
    <row r="4811" spans="1:33" hidden="1" outlineLevel="1" x14ac:dyDescent="0.25">
      <c r="A4811" s="690">
        <v>1</v>
      </c>
      <c r="B4811" s="691" t="s">
        <v>252</v>
      </c>
      <c r="C4811" s="692">
        <v>100</v>
      </c>
      <c r="D4811" s="692"/>
      <c r="E4811" s="693"/>
      <c r="F4811" s="694"/>
      <c r="G4811" s="78"/>
    </row>
    <row r="4812" spans="1:33" hidden="1" outlineLevel="1" x14ac:dyDescent="0.25">
      <c r="A4812" s="695"/>
      <c r="B4812" s="695"/>
      <c r="C4812" s="696"/>
      <c r="D4812" s="697" t="s">
        <v>3702</v>
      </c>
      <c r="E4812" s="698">
        <f>indexy!B2</f>
        <v>45379</v>
      </c>
      <c r="F4812" s="699"/>
      <c r="G4812" s="78"/>
    </row>
    <row r="4813" spans="1:33" hidden="1" outlineLevel="1" x14ac:dyDescent="0.25">
      <c r="A4813" s="689" t="s">
        <v>4156</v>
      </c>
      <c r="B4813" s="689" t="s">
        <v>4153</v>
      </c>
      <c r="C4813" s="700" t="s">
        <v>112</v>
      </c>
      <c r="D4813" s="689" t="s">
        <v>4155</v>
      </c>
      <c r="E4813" s="689" t="s">
        <v>4154</v>
      </c>
      <c r="F4813" s="1188"/>
      <c r="G4813" s="78" t="s">
        <v>2914</v>
      </c>
      <c r="O4813" s="163"/>
    </row>
    <row r="4814" spans="1:33" hidden="1" outlineLevel="1" x14ac:dyDescent="0.25">
      <c r="A4814" s="1135">
        <v>0.04</v>
      </c>
      <c r="B4814" s="1136" t="s">
        <v>1993</v>
      </c>
      <c r="C4814" s="1137">
        <v>72.805000000000007</v>
      </c>
      <c r="D4814" s="1138">
        <f>VLOOKUP(H4814,indexy!$C$44:$D$260,2,FALSE)+VLOOKUP(I4814,indexy!C:D,2,0)</f>
        <v>135.24</v>
      </c>
      <c r="E4814" s="1139">
        <f>D4814/C4814-1</f>
        <v>0.85756472769727354</v>
      </c>
      <c r="F4814" s="1850">
        <v>1</v>
      </c>
      <c r="G4814" s="179">
        <v>39780</v>
      </c>
      <c r="H4814" s="163" t="str">
        <f>VLOOKUP(B4814,indexy!$A$44:$D$210,3,FALSE)</f>
        <v>MO UN Equity</v>
      </c>
      <c r="I4814" s="161" t="s">
        <v>3533</v>
      </c>
    </row>
    <row r="4815" spans="1:33" hidden="1" outlineLevel="1" x14ac:dyDescent="0.25">
      <c r="A4815" s="1140">
        <v>0.04</v>
      </c>
      <c r="B4815" s="1141" t="s">
        <v>2984</v>
      </c>
      <c r="C4815" s="1078">
        <v>16.631</v>
      </c>
      <c r="D4815" s="1079">
        <f>VLOOKUP(H4815,indexy!$C$44:$D$260,2,FALSE)</f>
        <v>11.04</v>
      </c>
      <c r="E4815" s="1080">
        <f t="shared" ref="E4815:E4832" si="173">D4815/C4815-1</f>
        <v>-0.33617942396729006</v>
      </c>
      <c r="F4815" s="1850">
        <v>1</v>
      </c>
      <c r="G4815" s="179">
        <v>39629</v>
      </c>
      <c r="H4815" s="163" t="str">
        <f>VLOOKUP(B4815,indexy!$A$44:$D$210,3,FALSE)</f>
        <v>BBVA SM Equity</v>
      </c>
    </row>
    <row r="4816" spans="1:33" hidden="1" outlineLevel="1" x14ac:dyDescent="0.25">
      <c r="A4816" s="1077">
        <v>0.03</v>
      </c>
      <c r="B4816" s="1136" t="s">
        <v>157</v>
      </c>
      <c r="C4816" s="1078">
        <v>14.760999999999999</v>
      </c>
      <c r="D4816" s="1079">
        <f>VLOOKUP(H4816,indexy!$C$44:$D$260,2,FALSE)</f>
        <v>4.5214999999999996</v>
      </c>
      <c r="E4816" s="1080">
        <f t="shared" si="173"/>
        <v>-0.69368606462976756</v>
      </c>
      <c r="F4816" s="1850">
        <v>1</v>
      </c>
      <c r="G4816" s="179">
        <v>39629</v>
      </c>
      <c r="H4816" s="163" t="str">
        <f>VLOOKUP(B4816,indexy!$A$44:$D$210,3,FALSE)</f>
        <v>SAN SM Equity</v>
      </c>
      <c r="O4816" s="163"/>
    </row>
    <row r="4817" spans="1:15" hidden="1" outlineLevel="1" x14ac:dyDescent="0.25">
      <c r="A4817" s="1077">
        <v>0.05</v>
      </c>
      <c r="B4817" s="1136" t="s">
        <v>1184</v>
      </c>
      <c r="C4817" s="1078">
        <f>91.628/2</f>
        <v>45.814</v>
      </c>
      <c r="D4817" s="1079">
        <f>VLOOKUP(H4817,indexy!$C$44:$D$260,2,FALSE)</f>
        <v>52.93</v>
      </c>
      <c r="E4817" s="1080">
        <f t="shared" si="173"/>
        <v>0.15532370017898467</v>
      </c>
      <c r="F4817" s="1850">
        <v>1</v>
      </c>
      <c r="G4817" s="179">
        <v>39721</v>
      </c>
      <c r="H4817" s="163" t="str">
        <f>VLOOKUP(B4817,indexy!$A$44:$D$210,3,FALSE)</f>
        <v>BAS GY Equity</v>
      </c>
    </row>
    <row r="4818" spans="1:15" hidden="1" outlineLevel="1" x14ac:dyDescent="0.25">
      <c r="A4818" s="1081">
        <v>0.03</v>
      </c>
      <c r="B4818" s="853" t="s">
        <v>901</v>
      </c>
      <c r="C4818" s="989">
        <v>1770.2</v>
      </c>
      <c r="D4818" s="908">
        <f>VLOOKUP(H4818,indexy!$C$44:$D$260,2,FALSE)</f>
        <v>2406</v>
      </c>
      <c r="E4818" s="709">
        <f t="shared" si="173"/>
        <v>0.3591684555417467</v>
      </c>
      <c r="F4818" s="946" t="s">
        <v>259</v>
      </c>
      <c r="G4818" s="78"/>
      <c r="H4818" t="str">
        <f>VLOOKUP(B4818,indexy!$A$44:$D$210,3,FALSE)</f>
        <v>BATS LN Equity</v>
      </c>
      <c r="M4818" s="163"/>
      <c r="N4818" s="163"/>
      <c r="O4818" s="163"/>
    </row>
    <row r="4819" spans="1:15" s="163" customFormat="1" hidden="1" outlineLevel="1" x14ac:dyDescent="0.25">
      <c r="A4819" s="1077">
        <v>0.03</v>
      </c>
      <c r="B4819" s="1136" t="s">
        <v>1847</v>
      </c>
      <c r="C4819" s="1078">
        <v>33.69</v>
      </c>
      <c r="D4819" s="1079">
        <f>VLOOKUP(H4819,indexy!$C$44:$D$260,2,FALSE)</f>
        <v>63.24</v>
      </c>
      <c r="E4819" s="1080">
        <f t="shared" si="173"/>
        <v>0.87711487088156748</v>
      </c>
      <c r="F4819" s="1850">
        <v>1</v>
      </c>
      <c r="G4819" s="179">
        <v>39507</v>
      </c>
      <c r="H4819" s="163" t="str">
        <f>VLOOKUP(B4819,indexy!$A$44:$D$210,3,FALSE)</f>
        <v>C UN Equity</v>
      </c>
      <c r="J4819"/>
      <c r="K4819"/>
      <c r="L4819"/>
    </row>
    <row r="4820" spans="1:15" s="163" customFormat="1" hidden="1" outlineLevel="1" x14ac:dyDescent="0.25">
      <c r="A4820" s="1077">
        <v>0.02</v>
      </c>
      <c r="B4820" s="1142" t="s">
        <v>1212</v>
      </c>
      <c r="C4820" s="1078">
        <v>67.564999999999998</v>
      </c>
      <c r="D4820" s="1079" t="e">
        <f>VLOOKUP(H4820,indexy!$C$44:$D$260,2,FALSE)</f>
        <v>#N/A</v>
      </c>
      <c r="E4820" s="1080" t="e">
        <f t="shared" si="173"/>
        <v>#N/A</v>
      </c>
      <c r="F4820" s="1850">
        <v>1</v>
      </c>
      <c r="G4820" s="179">
        <v>39507</v>
      </c>
      <c r="H4820" s="163" t="e">
        <f>VLOOKUP(B4820,indexy!$A$44:$D$210,3,FALSE)</f>
        <v>#N/A</v>
      </c>
      <c r="M4820"/>
      <c r="N4820"/>
      <c r="O4820"/>
    </row>
    <row r="4821" spans="1:15" hidden="1" outlineLevel="1" x14ac:dyDescent="0.25">
      <c r="A4821" s="1081">
        <v>0.02</v>
      </c>
      <c r="B4821" s="853" t="s">
        <v>3406</v>
      </c>
      <c r="C4821" s="989">
        <v>1078.7</v>
      </c>
      <c r="D4821" s="908">
        <f>VLOOKUP(H4821,indexy!$C$44:$D$260,2,FALSE)</f>
        <v>2925.5</v>
      </c>
      <c r="E4821" s="709">
        <f t="shared" si="173"/>
        <v>1.7120608139427085</v>
      </c>
      <c r="F4821" s="946" t="s">
        <v>259</v>
      </c>
      <c r="G4821" s="78"/>
      <c r="H4821" t="str">
        <f>VLOOKUP(B4821,indexy!$A$44:$D$210,3,FALSE)</f>
        <v>DGE LN Equity</v>
      </c>
      <c r="J4821" s="163"/>
      <c r="K4821" s="163"/>
      <c r="L4821" s="163"/>
      <c r="O4821" s="163"/>
    </row>
    <row r="4822" spans="1:15" hidden="1" outlineLevel="1" x14ac:dyDescent="0.25">
      <c r="A4822" s="1140">
        <v>0.03</v>
      </c>
      <c r="B4822" s="1143" t="s">
        <v>1231</v>
      </c>
      <c r="C4822" s="1078">
        <v>19.434000000000001</v>
      </c>
      <c r="D4822" s="1079">
        <f>VLOOKUP(H4822,indexy!$C$44:$D$260,2,FALSE)</f>
        <v>96.71</v>
      </c>
      <c r="E4822" s="1080">
        <f t="shared" si="173"/>
        <v>3.9763301430482656</v>
      </c>
      <c r="F4822" s="1850">
        <v>1</v>
      </c>
      <c r="G4822" s="179">
        <v>39813</v>
      </c>
      <c r="H4822" s="163" t="str">
        <f>VLOOKUP(B4822,indexy!$A$44:$D$210,3,FALSE)</f>
        <v>DUK UN Equity</v>
      </c>
    </row>
    <row r="4823" spans="1:15" hidden="1" outlineLevel="1" x14ac:dyDescent="0.25">
      <c r="A4823" s="1077">
        <v>0.02</v>
      </c>
      <c r="B4823" s="1136" t="s">
        <v>4387</v>
      </c>
      <c r="C4823" s="1078">
        <f>135.439/3</f>
        <v>45.146333333333331</v>
      </c>
      <c r="D4823" s="1079">
        <f>VLOOKUP(H4823,indexy!$C$44:$D$260,2,FALSE)</f>
        <v>12.885</v>
      </c>
      <c r="E4823" s="1080">
        <f t="shared" si="173"/>
        <v>-0.71459476221767737</v>
      </c>
      <c r="F4823" s="1850">
        <v>1</v>
      </c>
      <c r="G4823" s="179">
        <v>39721</v>
      </c>
      <c r="H4823" s="163" t="str">
        <f>VLOOKUP(B4823,indexy!$A$44:$D$210,3,FALSE)</f>
        <v>EOAN GY Equity</v>
      </c>
    </row>
    <row r="4824" spans="1:15" hidden="1" outlineLevel="1" x14ac:dyDescent="0.25">
      <c r="A4824" s="1077">
        <v>0.04</v>
      </c>
      <c r="B4824" s="978" t="s">
        <v>4064</v>
      </c>
      <c r="C4824" s="1078">
        <v>51.781999999999996</v>
      </c>
      <c r="D4824" s="1079">
        <f>VLOOKUP(H4824,indexy!$C$44:$D$260,2,FALSE)</f>
        <v>777.96</v>
      </c>
      <c r="E4824" s="1080">
        <f t="shared" si="173"/>
        <v>14.023753427832068</v>
      </c>
      <c r="F4824" s="1850">
        <v>1</v>
      </c>
      <c r="G4824" s="179">
        <v>39751</v>
      </c>
      <c r="H4824" s="163" t="str">
        <f>VLOOKUP(B4824,indexy!$A$44:$D$210,3,FALSE)</f>
        <v>LLY UN Equity</v>
      </c>
    </row>
    <row r="4825" spans="1:15" hidden="1" outlineLevel="1" x14ac:dyDescent="0.25">
      <c r="A4825" s="1077">
        <v>0.06</v>
      </c>
      <c r="B4825" s="1136" t="s">
        <v>3798</v>
      </c>
      <c r="C4825" s="1078">
        <v>8.1376000000000008</v>
      </c>
      <c r="D4825" s="1079">
        <f>VLOOKUP(H4825,indexy!$C$44:$D$260,2,FALSE)</f>
        <v>6.1189999999999998</v>
      </c>
      <c r="E4825" s="1080">
        <f t="shared" si="173"/>
        <v>-0.24805839559575316</v>
      </c>
      <c r="F4825" s="1850">
        <v>1</v>
      </c>
      <c r="G4825" s="179">
        <v>39629</v>
      </c>
      <c r="H4825" s="163" t="str">
        <f>VLOOKUP(B4825,indexy!$A$44:$D$210,3,FALSE)</f>
        <v>ENEL IM Equity</v>
      </c>
    </row>
    <row r="4826" spans="1:15" hidden="1" outlineLevel="1" x14ac:dyDescent="0.25">
      <c r="A4826" s="1077">
        <v>0.03</v>
      </c>
      <c r="B4826" s="1143" t="s">
        <v>4268</v>
      </c>
      <c r="C4826" s="1078">
        <v>29.774000000000001</v>
      </c>
      <c r="D4826" s="1079">
        <f>VLOOKUP(H4826,indexy!$C$44:$D$260,2,FALSE)</f>
        <v>11.445</v>
      </c>
      <c r="E4826" s="1080">
        <f t="shared" si="173"/>
        <v>-0.61560421844562363</v>
      </c>
      <c r="F4826" s="1850">
        <v>1</v>
      </c>
      <c r="G4826" s="179">
        <v>39751</v>
      </c>
      <c r="H4826" s="163" t="str">
        <f>VLOOKUP(B4826,indexy!$A$44:$D$210,3,FALSE)</f>
        <v>FORTUM FH Equity</v>
      </c>
    </row>
    <row r="4827" spans="1:15" hidden="1" outlineLevel="1" x14ac:dyDescent="0.25">
      <c r="A4827" s="1077">
        <v>0.04</v>
      </c>
      <c r="B4827" s="1136" t="s">
        <v>3407</v>
      </c>
      <c r="C4827" s="1078">
        <v>38.610999999999997</v>
      </c>
      <c r="D4827" s="1079">
        <f>VLOOKUP(H4827,indexy!$C$44:$D$260,2,FALSE)</f>
        <v>139.9906</v>
      </c>
      <c r="E4827" s="1080">
        <f t="shared" si="173"/>
        <v>2.6256662609101036</v>
      </c>
      <c r="F4827" s="1850">
        <v>1</v>
      </c>
      <c r="G4827" s="179">
        <v>39599</v>
      </c>
      <c r="H4827" s="163" t="str">
        <f>VLOOKUP(B4827,indexy!$A$44:$D$210,3,FALSE)</f>
        <v>GE UN Equity</v>
      </c>
      <c r="M4827" s="163"/>
      <c r="N4827" s="163"/>
    </row>
    <row r="4828" spans="1:15" s="163" customFormat="1" hidden="1" outlineLevel="1" x14ac:dyDescent="0.25">
      <c r="A4828" s="1077">
        <v>0.04</v>
      </c>
      <c r="B4828" s="1136" t="s">
        <v>1771</v>
      </c>
      <c r="C4828" s="1078">
        <v>842.15</v>
      </c>
      <c r="D4828" s="1079">
        <f>VLOOKUP(H4828,indexy!$C$44:$D$260,2,FALSE)</f>
        <v>619</v>
      </c>
      <c r="E4828" s="1080">
        <f t="shared" si="173"/>
        <v>-0.26497654812088101</v>
      </c>
      <c r="F4828" s="1850">
        <v>1</v>
      </c>
      <c r="G4828" s="179">
        <v>39813</v>
      </c>
      <c r="H4828" s="163" t="str">
        <f>VLOOKUP(B4828,indexy!$A$44:$D$210,3,FALSE)</f>
        <v>HSBA LN Equity</v>
      </c>
      <c r="J4828"/>
      <c r="K4828"/>
      <c r="L4828"/>
      <c r="M4828"/>
      <c r="N4828"/>
      <c r="O4828"/>
    </row>
    <row r="4829" spans="1:15" hidden="1" outlineLevel="1" x14ac:dyDescent="0.25">
      <c r="A4829" s="1077">
        <v>0.06</v>
      </c>
      <c r="B4829" s="1136" t="s">
        <v>2588</v>
      </c>
      <c r="C4829" s="1078">
        <v>26.943000000000001</v>
      </c>
      <c r="D4829" s="1079">
        <f>VLOOKUP(H4829,indexy!$C$44:$D$260,2,FALSE)</f>
        <v>15.246</v>
      </c>
      <c r="E4829" s="1080">
        <f t="shared" si="173"/>
        <v>-0.43413873733437258</v>
      </c>
      <c r="F4829" s="1850">
        <v>1</v>
      </c>
      <c r="G4829" s="179">
        <v>39629</v>
      </c>
      <c r="H4829" s="163" t="str">
        <f>VLOOKUP(B4829,indexy!$A$44:$D$210,3,FALSE)</f>
        <v>INGA NA Equity</v>
      </c>
      <c r="J4829" s="163"/>
      <c r="K4829" s="163"/>
      <c r="L4829" s="163"/>
    </row>
    <row r="4830" spans="1:15" hidden="1" outlineLevel="1" x14ac:dyDescent="0.25">
      <c r="A4830" s="1077">
        <v>0.02</v>
      </c>
      <c r="B4830" s="1136" t="s">
        <v>4376</v>
      </c>
      <c r="C4830" s="1078">
        <v>42.936999999999998</v>
      </c>
      <c r="D4830" s="1079">
        <f>VLOOKUP(H4830,indexy!$C$44:$D$260,2,FALSE)</f>
        <v>200.3</v>
      </c>
      <c r="E4830" s="1080">
        <f t="shared" si="173"/>
        <v>3.6649742646202581</v>
      </c>
      <c r="F4830" s="1850">
        <v>1</v>
      </c>
      <c r="G4830" s="179">
        <v>39629</v>
      </c>
      <c r="H4830" s="163" t="str">
        <f>VLOOKUP(B4830,indexy!$A$44:$D$210,3,FALSE)</f>
        <v>JPM UN Equity</v>
      </c>
      <c r="M4830" s="163"/>
      <c r="N4830" s="163"/>
    </row>
    <row r="4831" spans="1:15" s="163" customFormat="1" hidden="1" outlineLevel="1" x14ac:dyDescent="0.25">
      <c r="A4831" s="1077">
        <v>0.04</v>
      </c>
      <c r="B4831" s="1143" t="s">
        <v>459</v>
      </c>
      <c r="C4831" s="1078">
        <v>1173.0999999999999</v>
      </c>
      <c r="D4831" s="1079">
        <f>VLOOKUP(H4831,indexy!$C$44:$D$260,2,FALSE)</f>
        <v>597.20000000000005</v>
      </c>
      <c r="E4831" s="1080">
        <f t="shared" si="173"/>
        <v>-0.49092149006904773</v>
      </c>
      <c r="F4831" s="1850">
        <v>1</v>
      </c>
      <c r="G4831" s="179">
        <v>39538</v>
      </c>
      <c r="H4831" s="163" t="str">
        <f>VLOOKUP(B4831,indexy!$A$44:$D$210,3,FALSE)</f>
        <v>7201 JT Equity</v>
      </c>
      <c r="J4831"/>
      <c r="K4831"/>
      <c r="L4831"/>
      <c r="M4831"/>
      <c r="N4831"/>
      <c r="O4831"/>
    </row>
    <row r="4832" spans="1:15" hidden="1" outlineLevel="1" x14ac:dyDescent="0.25">
      <c r="A4832" s="1081">
        <v>0.02</v>
      </c>
      <c r="B4832" s="853" t="s">
        <v>2787</v>
      </c>
      <c r="C4832" s="989">
        <v>59.164999999999999</v>
      </c>
      <c r="D4832" s="908">
        <f>VLOOKUP(H4832,indexy!$C$44:$D$260,2,FALSE)</f>
        <v>87.37</v>
      </c>
      <c r="E4832" s="709">
        <f t="shared" si="173"/>
        <v>0.47671765401842325</v>
      </c>
      <c r="F4832" s="946" t="s">
        <v>259</v>
      </c>
      <c r="G4832" s="78"/>
      <c r="H4832" t="str">
        <f>VLOOKUP(B4832,indexy!$A$44:$D$210,3,FALSE)</f>
        <v>NOVN SE Equity</v>
      </c>
      <c r="J4832" s="163"/>
      <c r="K4832" s="163"/>
      <c r="L4832" s="163"/>
    </row>
    <row r="4833" spans="1:15" hidden="1" outlineLevel="1" x14ac:dyDescent="0.25">
      <c r="A4833" s="1077">
        <v>0.04</v>
      </c>
      <c r="B4833" s="1136" t="s">
        <v>1414</v>
      </c>
      <c r="C4833" s="1078">
        <v>23.155000000000001</v>
      </c>
      <c r="D4833" s="1079">
        <f>VLOOKUP(H4833,indexy!$C$44:$D$260,2,FALSE)</f>
        <v>27.75</v>
      </c>
      <c r="E4833" s="1080">
        <f>D4833/C4833-1</f>
        <v>0.19844526020297981</v>
      </c>
      <c r="F4833" s="1850">
        <v>1</v>
      </c>
      <c r="G4833" s="179">
        <v>39629</v>
      </c>
      <c r="H4833" s="163" t="str">
        <f>VLOOKUP(B4833,indexy!$A$44:$D$210,3,FALSE)</f>
        <v>PFE UN Equity</v>
      </c>
    </row>
    <row r="4834" spans="1:15" hidden="1" outlineLevel="1" x14ac:dyDescent="0.25">
      <c r="A4834" s="1077">
        <v>0.02</v>
      </c>
      <c r="B4834" s="1136" t="s">
        <v>1653</v>
      </c>
      <c r="C4834" s="1078">
        <v>12.401</v>
      </c>
      <c r="D4834" s="1079">
        <f>VLOOKUP(H4834,indexy!$C$44:$D$260,2,FALSE)</f>
        <v>40.15</v>
      </c>
      <c r="E4834" s="1080">
        <f>D4834/C4834-1</f>
        <v>2.2376421256350292</v>
      </c>
      <c r="F4834" s="1850">
        <v>1</v>
      </c>
      <c r="G4834" s="179">
        <v>39780</v>
      </c>
      <c r="H4834" s="163" t="str">
        <f>VLOOKUP(B4834,indexy!$A$44:$D$210,3,FALSE)</f>
        <v>REN NA Equity</v>
      </c>
      <c r="M4834" s="163"/>
      <c r="N4834" s="163"/>
    </row>
    <row r="4835" spans="1:15" s="163" customFormat="1" hidden="1" outlineLevel="1" x14ac:dyDescent="0.25">
      <c r="A4835" s="1077">
        <v>0.04</v>
      </c>
      <c r="B4835" s="978" t="s">
        <v>2753</v>
      </c>
      <c r="C4835" s="1078">
        <v>63.591000000000001</v>
      </c>
      <c r="D4835" s="1079">
        <f>VLOOKUP(H4835,indexy!$C$44:$D$260,2,FALSE)</f>
        <v>65.400000000000006</v>
      </c>
      <c r="E4835" s="1080">
        <f>D4835/C4835-1</f>
        <v>2.8447421804972395E-2</v>
      </c>
      <c r="F4835" s="1850">
        <v>1</v>
      </c>
      <c r="G4835" s="179">
        <v>39629</v>
      </c>
      <c r="H4835" s="163" t="str">
        <f>VLOOKUP(B4835,indexy!$A$44:$D$210,3,FALSE)</f>
        <v>RAI UN Equity</v>
      </c>
      <c r="J4835"/>
      <c r="K4835"/>
      <c r="L4835"/>
      <c r="M4835"/>
      <c r="N4835"/>
      <c r="O4835"/>
    </row>
    <row r="4836" spans="1:15" hidden="1" outlineLevel="1" x14ac:dyDescent="0.25">
      <c r="A4836" s="1081">
        <v>0.03</v>
      </c>
      <c r="B4836" s="853" t="s">
        <v>3800</v>
      </c>
      <c r="C4836" s="989">
        <v>195.92</v>
      </c>
      <c r="D4836" s="908">
        <f>VLOOKUP(H4836,indexy!$C$44:$D$260,2,FALSE)</f>
        <v>229.7</v>
      </c>
      <c r="E4836" s="709">
        <f>D4836/C4836-1</f>
        <v>0.17241731318905673</v>
      </c>
      <c r="F4836" s="946" t="s">
        <v>259</v>
      </c>
      <c r="G4836" s="78"/>
      <c r="H4836" t="str">
        <f>VLOOKUP(B4836,indexy!$A$44:$D$210,3,FALSE)</f>
        <v>ROG SE Equity</v>
      </c>
      <c r="J4836" s="163"/>
      <c r="K4836" s="163"/>
      <c r="L4836" s="163"/>
    </row>
    <row r="4837" spans="1:15" hidden="1" outlineLevel="1" x14ac:dyDescent="0.25">
      <c r="A4837" s="1077">
        <v>0.03</v>
      </c>
      <c r="B4837" s="1136" t="s">
        <v>3801</v>
      </c>
      <c r="C4837" s="1078">
        <v>91.965000000000003</v>
      </c>
      <c r="D4837" s="1079">
        <f>VLOOKUP(H4837,indexy!$C$44:$D$260,2,FALSE)</f>
        <v>31.46</v>
      </c>
      <c r="E4837" s="1080">
        <f>D4837/C4837-1</f>
        <v>-0.65791333659544393</v>
      </c>
      <c r="F4837" s="1850">
        <v>1</v>
      </c>
      <c r="G4837" s="179">
        <v>39721</v>
      </c>
      <c r="H4837" s="163" t="str">
        <f>VLOOKUP(B4837,indexy!$A$44:$D$210,3,FALSE)</f>
        <v>RWE GY Equity</v>
      </c>
      <c r="M4837" s="163"/>
      <c r="N4837" s="163"/>
    </row>
    <row r="4838" spans="1:15" s="163" customFormat="1" hidden="1" outlineLevel="1" x14ac:dyDescent="0.25">
      <c r="A4838" s="1077">
        <v>0.03</v>
      </c>
      <c r="B4838" s="1136" t="s">
        <v>1187</v>
      </c>
      <c r="C4838" s="1078">
        <v>61.222999999999999</v>
      </c>
      <c r="D4838" s="1079">
        <f>VLOOKUP(H4838,indexy!$C$44:$D$260,2,FALSE)</f>
        <v>90.96</v>
      </c>
      <c r="E4838" s="1080">
        <f t="shared" ref="E4838:E4843" si="174">D4838/C4838-1</f>
        <v>0.48571615242637556</v>
      </c>
      <c r="F4838" s="1850">
        <v>1</v>
      </c>
      <c r="G4838" s="179">
        <v>39507</v>
      </c>
      <c r="H4838" s="163" t="str">
        <f>VLOOKUP(B4838,indexy!$A$44:$D$210,3,FALSE)</f>
        <v>SAN FP Equity</v>
      </c>
      <c r="J4838"/>
      <c r="K4838"/>
      <c r="L4838"/>
      <c r="M4838"/>
      <c r="N4838"/>
      <c r="O4838"/>
    </row>
    <row r="4839" spans="1:15" hidden="1" outlineLevel="1" x14ac:dyDescent="0.25">
      <c r="A4839" s="1140">
        <v>0.02</v>
      </c>
      <c r="B4839" s="1143" t="s">
        <v>231</v>
      </c>
      <c r="C4839" s="1078">
        <v>68.56</v>
      </c>
      <c r="D4839" s="1079" t="e">
        <f>VLOOKUP(H4839,indexy!$C$44:$D$260,2,FALSE)</f>
        <v>#N/A</v>
      </c>
      <c r="E4839" s="1080" t="e">
        <f t="shared" si="174"/>
        <v>#N/A</v>
      </c>
      <c r="F4839" s="1850">
        <v>1</v>
      </c>
      <c r="G4839" s="179">
        <v>39599</v>
      </c>
      <c r="H4839" s="163" t="e">
        <f>VLOOKUP(B4839,indexy!$A$44:$D$210,3,FALSE)</f>
        <v>#N/A</v>
      </c>
      <c r="J4839" s="163"/>
      <c r="K4839" s="163"/>
      <c r="L4839" s="163"/>
      <c r="M4839" s="163"/>
      <c r="N4839" s="163"/>
    </row>
    <row r="4840" spans="1:15" s="163" customFormat="1" hidden="1" outlineLevel="1" x14ac:dyDescent="0.25">
      <c r="A4840" s="1140">
        <v>0.02</v>
      </c>
      <c r="B4840" s="1143" t="s">
        <v>3902</v>
      </c>
      <c r="C4840" s="1078">
        <v>108.675</v>
      </c>
      <c r="D4840" s="1079" t="e">
        <f>VLOOKUP(H4840,indexy!$C$44:$D$260,2,FALSE)</f>
        <v>#N/A</v>
      </c>
      <c r="E4840" s="1080" t="e">
        <f t="shared" si="174"/>
        <v>#N/A</v>
      </c>
      <c r="F4840" s="1850">
        <v>1</v>
      </c>
      <c r="G4840" s="179">
        <v>39629</v>
      </c>
      <c r="H4840" s="163" t="e">
        <f>VLOOKUP(B4840,indexy!$A$44:$D$210,3,FALSE)</f>
        <v>#N/A</v>
      </c>
      <c r="J4840"/>
      <c r="K4840"/>
      <c r="L4840"/>
      <c r="O4840"/>
    </row>
    <row r="4841" spans="1:15" s="163" customFormat="1" hidden="1" outlineLevel="1" x14ac:dyDescent="0.25">
      <c r="A4841" s="1077">
        <v>0.03</v>
      </c>
      <c r="B4841" s="1136" t="s">
        <v>577</v>
      </c>
      <c r="C4841" s="1078">
        <v>22.795999999999999</v>
      </c>
      <c r="D4841" s="1079">
        <f>VLOOKUP(H4841,indexy!$C$44:$D$260,2,FALSE)</f>
        <v>4.0890000000000004</v>
      </c>
      <c r="E4841" s="1080">
        <f t="shared" si="174"/>
        <v>-0.82062642568871724</v>
      </c>
      <c r="F4841" s="1850">
        <v>1</v>
      </c>
      <c r="G4841" s="179">
        <v>39538</v>
      </c>
      <c r="H4841" s="163" t="str">
        <f>VLOOKUP(B4841,indexy!$A$44:$D$210,3,FALSE)</f>
        <v>TEF SQ Equity</v>
      </c>
      <c r="M4841"/>
      <c r="N4841"/>
      <c r="O4841"/>
    </row>
    <row r="4842" spans="1:15" hidden="1" outlineLevel="1" x14ac:dyDescent="0.25">
      <c r="A4842" s="1077">
        <v>0.04</v>
      </c>
      <c r="B4842" s="1136" t="s">
        <v>1183</v>
      </c>
      <c r="C4842" s="1078">
        <v>55.317999999999998</v>
      </c>
      <c r="D4842" s="1079" t="e">
        <f>VLOOKUP(H4842,indexy!$C$44:$D$260,2,FALSE)</f>
        <v>#N/A</v>
      </c>
      <c r="E4842" s="1080" t="e">
        <f t="shared" si="174"/>
        <v>#N/A</v>
      </c>
      <c r="F4842" s="1850">
        <v>1</v>
      </c>
      <c r="G4842" s="179">
        <v>39721</v>
      </c>
      <c r="H4842" s="163" t="e">
        <f>VLOOKUP(B4842,indexy!$A$44:$D$210,3,FALSE)</f>
        <v>#N/A</v>
      </c>
      <c r="J4842" s="163"/>
      <c r="K4842" s="163"/>
      <c r="L4842" s="163"/>
      <c r="M4842" s="163"/>
      <c r="N4842" s="163"/>
    </row>
    <row r="4843" spans="1:15" s="163" customFormat="1" hidden="1" outlineLevel="1" x14ac:dyDescent="0.25">
      <c r="A4843" s="982">
        <v>0.04</v>
      </c>
      <c r="B4843" s="1143" t="s">
        <v>3903</v>
      </c>
      <c r="C4843" s="1082">
        <v>14.337</v>
      </c>
      <c r="D4843" s="765">
        <f>VLOOKUP(H4843,indexy!$C$44:$D$260,2,FALSE)</f>
        <v>30.87</v>
      </c>
      <c r="E4843" s="1080">
        <f t="shared" si="174"/>
        <v>1.1531701192718145</v>
      </c>
      <c r="F4843" s="1851">
        <v>1</v>
      </c>
      <c r="G4843" s="179">
        <v>39538</v>
      </c>
      <c r="H4843" s="163" t="str">
        <f>VLOOKUP(B4843,indexy!$A$44:$D$210,3,FALSE)</f>
        <v>UPM FH Equity</v>
      </c>
      <c r="J4843"/>
      <c r="K4843"/>
      <c r="L4843"/>
      <c r="M4843"/>
      <c r="N4843"/>
      <c r="O4843"/>
    </row>
    <row r="4844" spans="1:15" hidden="1" outlineLevel="1" x14ac:dyDescent="0.25">
      <c r="A4844" s="717"/>
      <c r="B4844" s="718"/>
      <c r="C4844" s="719"/>
      <c r="D4844" s="719"/>
      <c r="E4844" s="491"/>
      <c r="F4844" s="1666"/>
      <c r="G4844" s="78"/>
      <c r="J4844" s="163"/>
      <c r="K4844" s="163"/>
      <c r="L4844" s="163"/>
    </row>
    <row r="4845" spans="1:15" collapsed="1" x14ac:dyDescent="0.25">
      <c r="A4845" s="3801" t="s">
        <v>523</v>
      </c>
      <c r="B4845" s="3802"/>
      <c r="C4845" s="3802"/>
      <c r="D4845" s="3802"/>
      <c r="E4845" s="721" t="s">
        <v>2722</v>
      </c>
      <c r="F4845" s="722">
        <f>MAX(1-SUM(F4814:F4843)*0.04,0)</f>
        <v>0</v>
      </c>
      <c r="G4845" s="97" t="s">
        <v>781</v>
      </c>
    </row>
    <row r="4847" spans="1:15" hidden="1" outlineLevel="1" x14ac:dyDescent="0.25">
      <c r="A4847" s="689" t="s">
        <v>113</v>
      </c>
      <c r="B4847" s="689" t="s">
        <v>114</v>
      </c>
      <c r="C4847" s="689" t="s">
        <v>112</v>
      </c>
      <c r="D4847" s="689" t="s">
        <v>116</v>
      </c>
      <c r="E4847" s="689" t="s">
        <v>117</v>
      </c>
      <c r="F4847" s="1188" t="s">
        <v>121</v>
      </c>
      <c r="G4847" s="78"/>
    </row>
    <row r="4848" spans="1:15" hidden="1" outlineLevel="1" x14ac:dyDescent="0.25">
      <c r="A4848" s="690">
        <v>1</v>
      </c>
      <c r="B4848" s="691" t="s">
        <v>252</v>
      </c>
      <c r="C4848" s="692">
        <v>100</v>
      </c>
      <c r="D4848" s="692"/>
      <c r="E4848" s="693"/>
      <c r="F4848" s="694"/>
      <c r="G4848" s="78"/>
    </row>
    <row r="4849" spans="1:8" hidden="1" outlineLevel="1" x14ac:dyDescent="0.25">
      <c r="A4849" s="695"/>
      <c r="B4849" s="695"/>
      <c r="C4849" s="696"/>
      <c r="D4849" s="697" t="s">
        <v>3702</v>
      </c>
      <c r="E4849" s="698">
        <v>40847</v>
      </c>
      <c r="F4849" s="699"/>
      <c r="G4849" s="78"/>
    </row>
    <row r="4850" spans="1:8" hidden="1" outlineLevel="1" x14ac:dyDescent="0.25">
      <c r="A4850" s="689" t="s">
        <v>4156</v>
      </c>
      <c r="B4850" s="689" t="s">
        <v>4153</v>
      </c>
      <c r="C4850" s="497" t="s">
        <v>112</v>
      </c>
      <c r="D4850" s="495" t="s">
        <v>4155</v>
      </c>
      <c r="E4850" s="495" t="s">
        <v>4154</v>
      </c>
      <c r="F4850" s="1021" t="s">
        <v>2519</v>
      </c>
      <c r="G4850" s="78"/>
    </row>
    <row r="4851" spans="1:8" hidden="1" outlineLevel="1" x14ac:dyDescent="0.25">
      <c r="A4851" s="1074">
        <v>3.3300000000000003E-2</v>
      </c>
      <c r="B4851" s="735" t="s">
        <v>1106</v>
      </c>
      <c r="C4851" s="1007">
        <v>14.585000000000001</v>
      </c>
      <c r="D4851" s="1090">
        <v>0.1</v>
      </c>
      <c r="E4851" s="738">
        <v>-0.99314364072677408</v>
      </c>
      <c r="F4851" s="1021">
        <v>-3.3071683236201577E-2</v>
      </c>
      <c r="G4851" s="78"/>
      <c r="H4851" t="s">
        <v>1107</v>
      </c>
    </row>
    <row r="4852" spans="1:8" hidden="1" outlineLevel="1" x14ac:dyDescent="0.25">
      <c r="A4852" s="1075">
        <v>3.3300000000000003E-2</v>
      </c>
      <c r="B4852" s="939" t="s">
        <v>2984</v>
      </c>
      <c r="C4852" s="1008">
        <v>16.631</v>
      </c>
      <c r="D4852" s="1091">
        <v>6.5620000000000003</v>
      </c>
      <c r="E4852" s="742">
        <v>-0.60543563225302144</v>
      </c>
      <c r="F4852" s="946">
        <v>-2.0161006554025616E-2</v>
      </c>
      <c r="G4852" s="78"/>
      <c r="H4852" t="s">
        <v>2326</v>
      </c>
    </row>
    <row r="4853" spans="1:8" hidden="1" outlineLevel="1" x14ac:dyDescent="0.25">
      <c r="A4853" s="1075">
        <v>3.3300000000000003E-2</v>
      </c>
      <c r="B4853" s="743" t="s">
        <v>157</v>
      </c>
      <c r="C4853" s="1008">
        <v>14.760999999999999</v>
      </c>
      <c r="D4853" s="1091">
        <v>6.1769999999999996</v>
      </c>
      <c r="E4853" s="742">
        <v>-0.58153241650294696</v>
      </c>
      <c r="F4853" s="946">
        <v>-1.9365029469548135E-2</v>
      </c>
      <c r="G4853" s="78"/>
      <c r="H4853" t="s">
        <v>730</v>
      </c>
    </row>
    <row r="4854" spans="1:8" hidden="1" outlineLevel="1" x14ac:dyDescent="0.25">
      <c r="A4854" s="1075">
        <v>3.3300000000000003E-2</v>
      </c>
      <c r="B4854" s="743" t="s">
        <v>1994</v>
      </c>
      <c r="C4854" s="1008">
        <v>44.081000000000003</v>
      </c>
      <c r="D4854" s="1091">
        <v>6.83</v>
      </c>
      <c r="E4854" s="742">
        <v>-0.84505796148000267</v>
      </c>
      <c r="F4854" s="946">
        <v>-2.8140430117284093E-2</v>
      </c>
      <c r="G4854" s="78"/>
      <c r="H4854" t="s">
        <v>3493</v>
      </c>
    </row>
    <row r="4855" spans="1:8" hidden="1" outlineLevel="1" x14ac:dyDescent="0.25">
      <c r="A4855" s="1075">
        <v>3.3300000000000003E-2</v>
      </c>
      <c r="B4855" s="743" t="s">
        <v>873</v>
      </c>
      <c r="C4855" s="1008">
        <v>507.13</v>
      </c>
      <c r="D4855" s="1091">
        <v>195.3</v>
      </c>
      <c r="E4855" s="742">
        <v>-0.61489164514029926</v>
      </c>
      <c r="F4855" s="946">
        <v>-2.0475891783171968E-2</v>
      </c>
      <c r="G4855" s="78"/>
      <c r="H4855" t="s">
        <v>3495</v>
      </c>
    </row>
    <row r="4856" spans="1:8" hidden="1" outlineLevel="1" x14ac:dyDescent="0.25">
      <c r="A4856" s="1075">
        <v>3.3300000000000003E-2</v>
      </c>
      <c r="B4856" s="743" t="s">
        <v>3019</v>
      </c>
      <c r="C4856" s="1008">
        <v>71.102000000000004</v>
      </c>
      <c r="D4856" s="1091">
        <v>32.85</v>
      </c>
      <c r="E4856" s="742">
        <v>-0.53798767967145789</v>
      </c>
      <c r="F4856" s="946">
        <v>-1.791498973305955E-2</v>
      </c>
      <c r="G4856" s="78"/>
      <c r="H4856" t="s">
        <v>2745</v>
      </c>
    </row>
    <row r="4857" spans="1:8" hidden="1" outlineLevel="1" x14ac:dyDescent="0.25">
      <c r="A4857" s="1075">
        <v>3.3300000000000003E-2</v>
      </c>
      <c r="B4857" s="743" t="s">
        <v>1847</v>
      </c>
      <c r="C4857" s="1008">
        <v>336.9</v>
      </c>
      <c r="D4857" s="1091">
        <v>31.59</v>
      </c>
      <c r="E4857" s="742">
        <v>-0.90623330365093502</v>
      </c>
      <c r="F4857" s="946">
        <v>-3.0177569011576141E-2</v>
      </c>
      <c r="G4857" s="78"/>
      <c r="H4857" t="s">
        <v>2749</v>
      </c>
    </row>
    <row r="4858" spans="1:8" hidden="1" outlineLevel="1" x14ac:dyDescent="0.25">
      <c r="A4858" s="1075">
        <v>3.3300000000000003E-2</v>
      </c>
      <c r="B4858" s="743" t="s">
        <v>3792</v>
      </c>
      <c r="C4858" s="1008">
        <v>44.408999999999999</v>
      </c>
      <c r="D4858" s="1091">
        <v>25.55</v>
      </c>
      <c r="E4858" s="742">
        <v>-0.42466617127158901</v>
      </c>
      <c r="F4858" s="946">
        <v>-1.4141383503343916E-2</v>
      </c>
      <c r="G4858" s="78"/>
      <c r="H4858" t="s">
        <v>783</v>
      </c>
    </row>
    <row r="4859" spans="1:8" hidden="1" outlineLevel="1" x14ac:dyDescent="0.25">
      <c r="A4859" s="1075">
        <v>3.3300000000000003E-2</v>
      </c>
      <c r="B4859" s="740" t="s">
        <v>4274</v>
      </c>
      <c r="C4859" s="1008">
        <v>26.292999999999999</v>
      </c>
      <c r="D4859" s="1091">
        <v>1.7829999999999999</v>
      </c>
      <c r="E4859" s="742">
        <v>-0.93218727417943936</v>
      </c>
      <c r="F4859" s="946">
        <v>-3.1041836230175333E-2</v>
      </c>
      <c r="G4859" s="78"/>
      <c r="H4859" t="s">
        <v>3818</v>
      </c>
    </row>
    <row r="4860" spans="1:8" hidden="1" outlineLevel="1" x14ac:dyDescent="0.25">
      <c r="A4860" s="1075">
        <v>3.3300000000000003E-2</v>
      </c>
      <c r="B4860" s="740" t="s">
        <v>1212</v>
      </c>
      <c r="C4860" s="1008">
        <v>67.564999999999998</v>
      </c>
      <c r="D4860" s="1091">
        <v>25.6</v>
      </c>
      <c r="E4860" s="742">
        <v>-0.62110560201287646</v>
      </c>
      <c r="F4860" s="946">
        <v>-2.0682816547028787E-2</v>
      </c>
      <c r="G4860" s="78"/>
      <c r="H4860" t="s">
        <v>4229</v>
      </c>
    </row>
    <row r="4861" spans="1:8" hidden="1" outlineLevel="1" x14ac:dyDescent="0.25">
      <c r="A4861" s="1075">
        <v>3.3300000000000003E-2</v>
      </c>
      <c r="B4861" s="743" t="s">
        <v>3017</v>
      </c>
      <c r="C4861" s="1008">
        <v>18.622</v>
      </c>
      <c r="D4861" s="1091">
        <v>0.56999999999999995</v>
      </c>
      <c r="E4861" s="742">
        <v>-0.96939104285253996</v>
      </c>
      <c r="F4861" s="946">
        <v>-3.2280721726989585E-2</v>
      </c>
      <c r="G4861" s="78"/>
      <c r="H4861" t="s">
        <v>1793</v>
      </c>
    </row>
    <row r="4862" spans="1:8" hidden="1" outlineLevel="1" x14ac:dyDescent="0.25">
      <c r="A4862" s="1075">
        <v>3.3300000000000003E-2</v>
      </c>
      <c r="B4862" s="743" t="s">
        <v>1176</v>
      </c>
      <c r="C4862" s="1008">
        <v>18.050999999999998</v>
      </c>
      <c r="D4862" s="1091">
        <v>1.46</v>
      </c>
      <c r="E4862" s="742">
        <v>-0.91911805440141814</v>
      </c>
      <c r="F4862" s="946">
        <v>-3.0606631211567228E-2</v>
      </c>
      <c r="G4862" s="78"/>
      <c r="H4862" t="s">
        <v>3090</v>
      </c>
    </row>
    <row r="4863" spans="1:8" hidden="1" outlineLevel="1" x14ac:dyDescent="0.25">
      <c r="A4863" s="1075">
        <v>3.3300000000000003E-2</v>
      </c>
      <c r="B4863" s="743" t="s">
        <v>1771</v>
      </c>
      <c r="C4863" s="1008">
        <v>842.15</v>
      </c>
      <c r="D4863" s="1091">
        <v>544.9</v>
      </c>
      <c r="E4863" s="742">
        <v>-0.35296562370124085</v>
      </c>
      <c r="F4863" s="946">
        <v>-1.1753755269251322E-2</v>
      </c>
      <c r="G4863" s="78"/>
      <c r="H4863" t="s">
        <v>4329</v>
      </c>
    </row>
    <row r="4864" spans="1:8" hidden="1" outlineLevel="1" x14ac:dyDescent="0.25">
      <c r="A4864" s="1075">
        <v>3.3300000000000003E-2</v>
      </c>
      <c r="B4864" s="996" t="s">
        <v>4275</v>
      </c>
      <c r="C4864" s="1008">
        <v>36.578000000000003</v>
      </c>
      <c r="D4864" s="1091">
        <v>1.44</v>
      </c>
      <c r="E4864" s="742">
        <v>-0.96063207392421679</v>
      </c>
      <c r="F4864" s="946">
        <v>-3.198904806167642E-2</v>
      </c>
      <c r="G4864" s="78"/>
      <c r="H4864" t="s">
        <v>3819</v>
      </c>
    </row>
    <row r="4865" spans="1:8" hidden="1" outlineLevel="1" x14ac:dyDescent="0.25">
      <c r="A4865" s="1075">
        <v>3.3300000000000003E-2</v>
      </c>
      <c r="B4865" s="743" t="s">
        <v>2588</v>
      </c>
      <c r="C4865" s="1008">
        <v>26.943000000000001</v>
      </c>
      <c r="D4865" s="1091">
        <v>6.26</v>
      </c>
      <c r="E4865" s="742">
        <v>-0.76765764762647071</v>
      </c>
      <c r="F4865" s="946">
        <v>-2.5562999665961476E-2</v>
      </c>
      <c r="G4865" s="78"/>
      <c r="H4865" t="s">
        <v>4132</v>
      </c>
    </row>
    <row r="4866" spans="1:8" hidden="1" outlineLevel="1" x14ac:dyDescent="0.25">
      <c r="A4866" s="1075">
        <v>3.3300000000000003E-2</v>
      </c>
      <c r="B4866" s="740" t="s">
        <v>44</v>
      </c>
      <c r="C4866" s="1008">
        <v>5.19</v>
      </c>
      <c r="D4866" s="1091">
        <v>1.2909999999999999</v>
      </c>
      <c r="E4866" s="742">
        <v>-0.75125240847784203</v>
      </c>
      <c r="F4866" s="946">
        <v>-2.5016705202312143E-2</v>
      </c>
      <c r="G4866" s="78"/>
      <c r="H4866" t="s">
        <v>204</v>
      </c>
    </row>
    <row r="4867" spans="1:8" hidden="1" outlineLevel="1" x14ac:dyDescent="0.25">
      <c r="A4867" s="1075">
        <v>3.3300000000000003E-2</v>
      </c>
      <c r="B4867" s="743" t="s">
        <v>4376</v>
      </c>
      <c r="C4867" s="1008">
        <v>42.936999999999998</v>
      </c>
      <c r="D4867" s="1091">
        <v>34.76</v>
      </c>
      <c r="E4867" s="742">
        <v>-0.19044181009385841</v>
      </c>
      <c r="F4867" s="946">
        <v>-6.3417122761254855E-3</v>
      </c>
      <c r="G4867" s="78"/>
      <c r="H4867" t="s">
        <v>4326</v>
      </c>
    </row>
    <row r="4868" spans="1:8" hidden="1" outlineLevel="1" x14ac:dyDescent="0.25">
      <c r="A4868" s="1075">
        <v>3.3300000000000003E-2</v>
      </c>
      <c r="B4868" s="743" t="s">
        <v>1526</v>
      </c>
      <c r="C4868" s="1008">
        <v>90.460999999999999</v>
      </c>
      <c r="D4868" s="1091">
        <v>16.23</v>
      </c>
      <c r="E4868" s="742">
        <v>-0.82058566675141775</v>
      </c>
      <c r="F4868" s="946">
        <v>-2.7325502702822215E-2</v>
      </c>
      <c r="G4868" s="78"/>
      <c r="H4868" t="s">
        <v>4146</v>
      </c>
    </row>
    <row r="4869" spans="1:8" hidden="1" outlineLevel="1" x14ac:dyDescent="0.25">
      <c r="A4869" s="1075">
        <v>3.3300000000000003E-2</v>
      </c>
      <c r="B4869" s="743" t="s">
        <v>281</v>
      </c>
      <c r="C4869" s="1008">
        <v>26.143999999999998</v>
      </c>
      <c r="D4869" s="1091">
        <v>7.06</v>
      </c>
      <c r="E4869" s="742">
        <v>-0.72995716034271729</v>
      </c>
      <c r="F4869" s="946">
        <v>-2.4307573439412488E-2</v>
      </c>
      <c r="G4869" s="78"/>
      <c r="H4869" t="s">
        <v>4159</v>
      </c>
    </row>
    <row r="4870" spans="1:8" hidden="1" outlineLevel="1" x14ac:dyDescent="0.25">
      <c r="A4870" s="1075">
        <v>3.3300000000000003E-2</v>
      </c>
      <c r="B4870" s="740" t="s">
        <v>4276</v>
      </c>
      <c r="C4870" s="1008">
        <v>30.654</v>
      </c>
      <c r="D4870" s="1091">
        <v>7.9</v>
      </c>
      <c r="E4870" s="742">
        <v>-0.74228485678867351</v>
      </c>
      <c r="F4870" s="946">
        <v>-2.4718085731062829E-2</v>
      </c>
      <c r="G4870" s="78"/>
      <c r="H4870" t="s">
        <v>1912</v>
      </c>
    </row>
    <row r="4871" spans="1:8" hidden="1" outlineLevel="1" x14ac:dyDescent="0.25">
      <c r="A4871" s="1075">
        <v>3.3300000000000003E-2</v>
      </c>
      <c r="B4871" s="743" t="s">
        <v>1772</v>
      </c>
      <c r="C4871" s="1008">
        <v>122.56</v>
      </c>
      <c r="D4871" s="1091">
        <v>97.46</v>
      </c>
      <c r="E4871" s="742">
        <v>-0.2047976501305484</v>
      </c>
      <c r="F4871" s="946">
        <v>-6.8197617493472628E-3</v>
      </c>
      <c r="G4871" s="78"/>
      <c r="H4871" t="s">
        <v>4330</v>
      </c>
    </row>
    <row r="4872" spans="1:8" hidden="1" outlineLevel="1" x14ac:dyDescent="0.25">
      <c r="A4872" s="1075">
        <v>3.3300000000000003E-2</v>
      </c>
      <c r="B4872" s="743" t="s">
        <v>1203</v>
      </c>
      <c r="C4872" s="1008">
        <v>106.55</v>
      </c>
      <c r="D4872" s="1091">
        <v>59.65</v>
      </c>
      <c r="E4872" s="742">
        <v>-0.44016893477240737</v>
      </c>
      <c r="F4872" s="946">
        <v>-1.4657625527921167E-2</v>
      </c>
      <c r="G4872" s="78"/>
      <c r="H4872" t="s">
        <v>79</v>
      </c>
    </row>
    <row r="4873" spans="1:8" hidden="1" outlineLevel="1" x14ac:dyDescent="0.25">
      <c r="A4873" s="1075">
        <v>3.3300000000000003E-2</v>
      </c>
      <c r="B4873" s="740" t="s">
        <v>1385</v>
      </c>
      <c r="C4873" s="1008">
        <v>6.4582820974000006</v>
      </c>
      <c r="D4873" s="1091">
        <v>0.104</v>
      </c>
      <c r="E4873" s="742">
        <v>-0.98389664644072006</v>
      </c>
      <c r="F4873" s="946">
        <v>-3.2763758326475982E-2</v>
      </c>
      <c r="G4873" s="78"/>
      <c r="H4873" t="s">
        <v>3557</v>
      </c>
    </row>
    <row r="4874" spans="1:8" hidden="1" outlineLevel="1" x14ac:dyDescent="0.25">
      <c r="A4874" s="1075">
        <v>3.3300000000000003E-2</v>
      </c>
      <c r="B4874" s="743" t="s">
        <v>3238</v>
      </c>
      <c r="C4874" s="1008">
        <v>69.613</v>
      </c>
      <c r="D4874" s="1091">
        <v>53.71</v>
      </c>
      <c r="E4874" s="742">
        <v>-0.22844870929280447</v>
      </c>
      <c r="F4874" s="946">
        <v>-7.6073420194503897E-3</v>
      </c>
      <c r="G4874" s="78"/>
      <c r="H4874" t="s">
        <v>253</v>
      </c>
    </row>
    <row r="4875" spans="1:8" hidden="1" outlineLevel="1" x14ac:dyDescent="0.25">
      <c r="A4875" s="1075">
        <v>3.3300000000000003E-2</v>
      </c>
      <c r="B4875" s="743" t="s">
        <v>2166</v>
      </c>
      <c r="C4875" s="1008">
        <v>96.022999999999996</v>
      </c>
      <c r="D4875" s="1091">
        <v>21.1</v>
      </c>
      <c r="E4875" s="742">
        <v>-0.78026097914041426</v>
      </c>
      <c r="F4875" s="946">
        <v>-2.5982690605375797E-2</v>
      </c>
      <c r="G4875" s="78"/>
      <c r="H4875" t="s">
        <v>4160</v>
      </c>
    </row>
    <row r="4876" spans="1:8" hidden="1" outlineLevel="1" x14ac:dyDescent="0.25">
      <c r="A4876" s="1075">
        <v>3.3300000000000003E-2</v>
      </c>
      <c r="B4876" s="996" t="s">
        <v>231</v>
      </c>
      <c r="C4876" s="1008">
        <v>68.56</v>
      </c>
      <c r="D4876" s="1091">
        <v>19.73</v>
      </c>
      <c r="E4876" s="742">
        <v>-0.71222287047841304</v>
      </c>
      <c r="F4876" s="946">
        <v>-2.3717021586931158E-2</v>
      </c>
      <c r="G4876" s="78"/>
      <c r="H4876" t="s">
        <v>640</v>
      </c>
    </row>
    <row r="4877" spans="1:8" hidden="1" outlineLevel="1" x14ac:dyDescent="0.25">
      <c r="A4877" s="1075">
        <v>3.3300000000000003E-2</v>
      </c>
      <c r="B4877" s="996" t="s">
        <v>3868</v>
      </c>
      <c r="C4877" s="1008">
        <v>61.737000000000002</v>
      </c>
      <c r="D4877" s="1091">
        <v>52.84</v>
      </c>
      <c r="E4877" s="742">
        <v>-0.14411131088326279</v>
      </c>
      <c r="F4877" s="946">
        <v>-4.7989066524126512E-3</v>
      </c>
      <c r="G4877" s="78"/>
      <c r="H4877" t="s">
        <v>1913</v>
      </c>
    </row>
    <row r="4878" spans="1:8" hidden="1" outlineLevel="1" x14ac:dyDescent="0.25">
      <c r="A4878" s="1075">
        <v>3.3300000000000003E-2</v>
      </c>
      <c r="B4878" s="743" t="s">
        <v>2137</v>
      </c>
      <c r="C4878" s="1008">
        <v>31.367000000000001</v>
      </c>
      <c r="D4878" s="1091">
        <v>25.59</v>
      </c>
      <c r="E4878" s="742">
        <v>-0.18417445085599515</v>
      </c>
      <c r="F4878" s="946">
        <v>-6.1330092135046393E-3</v>
      </c>
      <c r="G4878" s="78"/>
      <c r="H4878" t="s">
        <v>2123</v>
      </c>
    </row>
    <row r="4879" spans="1:8" hidden="1" outlineLevel="1" x14ac:dyDescent="0.25">
      <c r="A4879" s="1075">
        <v>3.3300000000000003E-2</v>
      </c>
      <c r="B4879" s="743" t="s">
        <v>3817</v>
      </c>
      <c r="C4879" s="1008">
        <v>215.01244779999999</v>
      </c>
      <c r="D4879" s="1091">
        <v>25.91</v>
      </c>
      <c r="E4879" s="742">
        <v>-0.87949534891998005</v>
      </c>
      <c r="F4879" s="946">
        <v>-2.9287195119035339E-2</v>
      </c>
      <c r="G4879" s="78"/>
      <c r="H4879" t="s">
        <v>1914</v>
      </c>
    </row>
    <row r="4880" spans="1:8" hidden="1" outlineLevel="1" x14ac:dyDescent="0.25">
      <c r="A4880" s="1076">
        <v>3.3300000000000003E-2</v>
      </c>
      <c r="B4880" s="746" t="s">
        <v>3817</v>
      </c>
      <c r="C4880" s="1009">
        <v>31.745000000000001</v>
      </c>
      <c r="D4880" s="945">
        <v>25.91</v>
      </c>
      <c r="E4880" s="748">
        <v>-0.18380847377539777</v>
      </c>
      <c r="F4880" s="1023">
        <v>-6.1208221767207463E-3</v>
      </c>
      <c r="G4880" s="78"/>
      <c r="H4880" t="s">
        <v>1914</v>
      </c>
    </row>
    <row r="4881" spans="1:8" hidden="1" outlineLevel="1" x14ac:dyDescent="0.25">
      <c r="A4881" s="767"/>
      <c r="B4881" s="877"/>
      <c r="C4881" s="696"/>
      <c r="D4881" s="736"/>
      <c r="E4881" s="895"/>
      <c r="F4881" s="1666">
        <v>-0.63296350444977134</v>
      </c>
      <c r="G4881" s="78"/>
    </row>
    <row r="4882" spans="1:8" hidden="1" outlineLevel="1" x14ac:dyDescent="0.25">
      <c r="A4882" s="753" t="s">
        <v>1359</v>
      </c>
      <c r="B4882" s="944">
        <v>39448</v>
      </c>
      <c r="C4882" s="736">
        <v>100</v>
      </c>
      <c r="D4882" s="736">
        <v>90.978099999999998</v>
      </c>
      <c r="E4882" s="895">
        <v>-9.0219000000000049E-2</v>
      </c>
      <c r="F4882" s="1830">
        <v>-9.0219000000000049E-2</v>
      </c>
      <c r="G4882" s="78"/>
    </row>
    <row r="4883" spans="1:8" hidden="1" outlineLevel="1" x14ac:dyDescent="0.25">
      <c r="A4883" s="732" t="s">
        <v>1360</v>
      </c>
      <c r="B4883" s="944">
        <v>39539</v>
      </c>
      <c r="C4883" s="741">
        <v>100</v>
      </c>
      <c r="D4883" s="741">
        <v>90.444100000000006</v>
      </c>
      <c r="E4883" s="896">
        <v>-9.555899999999995E-2</v>
      </c>
      <c r="F4883" s="1666">
        <v>-9.555899999999995E-2</v>
      </c>
      <c r="G4883" s="78"/>
    </row>
    <row r="4884" spans="1:8" hidden="1" outlineLevel="1" x14ac:dyDescent="0.25">
      <c r="A4884" s="732" t="s">
        <v>2238</v>
      </c>
      <c r="B4884" s="944">
        <v>39630</v>
      </c>
      <c r="C4884" s="741">
        <v>100</v>
      </c>
      <c r="D4884" s="741">
        <v>71.662599999999998</v>
      </c>
      <c r="E4884" s="896">
        <v>-0.28337400000000001</v>
      </c>
      <c r="F4884" s="1666">
        <v>-0.28337400000000001</v>
      </c>
      <c r="G4884" s="78"/>
    </row>
    <row r="4885" spans="1:8" hidden="1" outlineLevel="1" x14ac:dyDescent="0.25">
      <c r="A4885" s="732" t="s">
        <v>2239</v>
      </c>
      <c r="B4885" s="944">
        <v>39722</v>
      </c>
      <c r="C4885" s="741">
        <v>100</v>
      </c>
      <c r="D4885" s="741">
        <v>53.489400000000003</v>
      </c>
      <c r="E4885" s="896">
        <v>-0.46510600000000002</v>
      </c>
      <c r="F4885" s="1666">
        <v>-0.46510600000000002</v>
      </c>
      <c r="G4885" s="78"/>
    </row>
    <row r="4886" spans="1:8" hidden="1" outlineLevel="1" x14ac:dyDescent="0.25">
      <c r="A4886" s="732" t="s">
        <v>2240</v>
      </c>
      <c r="B4886" s="944">
        <v>39814</v>
      </c>
      <c r="C4886" s="741">
        <v>100</v>
      </c>
      <c r="D4886" s="741">
        <v>31.9222</v>
      </c>
      <c r="E4886" s="896">
        <v>-0.68077799999999999</v>
      </c>
      <c r="F4886" s="1666">
        <v>-0.68077799999999999</v>
      </c>
      <c r="G4886" s="78"/>
    </row>
    <row r="4887" spans="1:8" hidden="1" outlineLevel="1" x14ac:dyDescent="0.25">
      <c r="A4887" s="732" t="s">
        <v>2241</v>
      </c>
      <c r="B4887" s="944">
        <v>39904</v>
      </c>
      <c r="C4887" s="741">
        <v>100</v>
      </c>
      <c r="D4887" s="741">
        <v>39.064500000000002</v>
      </c>
      <c r="E4887" s="896">
        <v>-0.60935499999999998</v>
      </c>
      <c r="F4887" s="1666">
        <v>-0.60935499999999998</v>
      </c>
      <c r="G4887" s="78"/>
    </row>
    <row r="4888" spans="1:8" hidden="1" outlineLevel="1" x14ac:dyDescent="0.25">
      <c r="A4888" s="732" t="s">
        <v>2242</v>
      </c>
      <c r="B4888" s="944">
        <v>39995</v>
      </c>
      <c r="C4888" s="741">
        <v>100</v>
      </c>
      <c r="D4888" s="741">
        <v>46.329300000000003</v>
      </c>
      <c r="E4888" s="896">
        <v>-0.53670700000000005</v>
      </c>
      <c r="F4888" s="1666">
        <v>-0.53670700000000005</v>
      </c>
      <c r="G4888" s="78"/>
    </row>
    <row r="4889" spans="1:8" hidden="1" outlineLevel="1" x14ac:dyDescent="0.25">
      <c r="A4889" s="732" t="s">
        <v>2198</v>
      </c>
      <c r="B4889" s="944">
        <v>40087</v>
      </c>
      <c r="C4889" s="741">
        <v>100</v>
      </c>
      <c r="D4889" s="741">
        <v>50.592599999999997</v>
      </c>
      <c r="E4889" s="896">
        <v>-0.49407400000000001</v>
      </c>
      <c r="F4889" s="1666">
        <v>-0.49407400000000001</v>
      </c>
      <c r="G4889" s="78"/>
    </row>
    <row r="4890" spans="1:8" hidden="1" outlineLevel="1" x14ac:dyDescent="0.25">
      <c r="A4890" s="732" t="s">
        <v>2848</v>
      </c>
      <c r="B4890" s="944">
        <v>40179</v>
      </c>
      <c r="C4890" s="741">
        <v>100</v>
      </c>
      <c r="D4890" s="741">
        <v>49.878399999999999</v>
      </c>
      <c r="E4890" s="896">
        <v>-0.50121599999999999</v>
      </c>
      <c r="F4890" s="1666">
        <v>-0.50121599999999999</v>
      </c>
      <c r="G4890" s="78"/>
    </row>
    <row r="4891" spans="1:8" hidden="1" outlineLevel="1" x14ac:dyDescent="0.25">
      <c r="A4891" s="732" t="s">
        <v>3749</v>
      </c>
      <c r="B4891" s="944">
        <v>40269</v>
      </c>
      <c r="C4891" s="741">
        <v>100</v>
      </c>
      <c r="D4891" s="741">
        <v>53.595999999999997</v>
      </c>
      <c r="E4891" s="896">
        <v>-0.46404000000000001</v>
      </c>
      <c r="F4891" s="1666">
        <v>-0.46404000000000001</v>
      </c>
      <c r="G4891" s="78"/>
    </row>
    <row r="4892" spans="1:8" hidden="1" outlineLevel="1" x14ac:dyDescent="0.25">
      <c r="A4892" s="732" t="s">
        <v>2355</v>
      </c>
      <c r="B4892" s="944">
        <v>40360</v>
      </c>
      <c r="C4892" s="741">
        <v>100</v>
      </c>
      <c r="D4892" s="741">
        <v>50.589300000000001</v>
      </c>
      <c r="E4892" s="896">
        <v>-0.49410699999999996</v>
      </c>
      <c r="F4892" s="1666">
        <v>-0.49410699999999996</v>
      </c>
      <c r="G4892" s="78"/>
    </row>
    <row r="4893" spans="1:8" hidden="1" outlineLevel="1" x14ac:dyDescent="0.25">
      <c r="A4893" s="732" t="s">
        <v>2356</v>
      </c>
      <c r="B4893" s="944">
        <v>40452</v>
      </c>
      <c r="C4893" s="741">
        <v>100</v>
      </c>
      <c r="D4893" s="741">
        <v>48.3399</v>
      </c>
      <c r="E4893" s="896">
        <v>-0.51660099999999998</v>
      </c>
      <c r="F4893" s="1666">
        <v>-0.51660099999999998</v>
      </c>
      <c r="G4893" s="78"/>
    </row>
    <row r="4894" spans="1:8" hidden="1" outlineLevel="1" x14ac:dyDescent="0.25">
      <c r="A4894" s="732" t="s">
        <v>2357</v>
      </c>
      <c r="B4894" s="944">
        <v>40544</v>
      </c>
      <c r="C4894" s="741">
        <v>100</v>
      </c>
      <c r="D4894" s="741">
        <v>52.139499999999998</v>
      </c>
      <c r="E4894" s="896">
        <v>-0.47860500000000006</v>
      </c>
      <c r="F4894" s="1666">
        <v>-0.47860500000000006</v>
      </c>
      <c r="G4894" s="78"/>
    </row>
    <row r="4895" spans="1:8" hidden="1" outlineLevel="1" x14ac:dyDescent="0.25">
      <c r="A4895" s="732" t="s">
        <v>2358</v>
      </c>
      <c r="B4895" s="944">
        <v>40634</v>
      </c>
      <c r="C4895" s="741">
        <v>100</v>
      </c>
      <c r="D4895" s="741">
        <v>50.138199999999998</v>
      </c>
      <c r="E4895" s="896">
        <v>-0.49861800000000001</v>
      </c>
      <c r="F4895" s="1666">
        <v>-0.49861800000000001</v>
      </c>
      <c r="G4895" s="78"/>
    </row>
    <row r="4896" spans="1:8" hidden="1" outlineLevel="1" x14ac:dyDescent="0.25">
      <c r="A4896" s="732" t="s">
        <v>2359</v>
      </c>
      <c r="B4896" s="944">
        <v>40725</v>
      </c>
      <c r="C4896" s="741">
        <v>100</v>
      </c>
      <c r="D4896" s="741">
        <v>43.757100000000001</v>
      </c>
      <c r="E4896" s="896">
        <v>-0.56242900000000007</v>
      </c>
      <c r="F4896" s="1666">
        <v>-0.56242900000000007</v>
      </c>
      <c r="G4896" s="78"/>
      <c r="H4896" t="s">
        <v>1837</v>
      </c>
    </row>
    <row r="4897" spans="1:8" hidden="1" outlineLevel="1" x14ac:dyDescent="0.25">
      <c r="A4897" s="754" t="s">
        <v>2360</v>
      </c>
      <c r="B4897" s="944">
        <v>40817</v>
      </c>
      <c r="C4897" s="747">
        <v>100</v>
      </c>
      <c r="D4897" s="747">
        <v>37.988900000000001</v>
      </c>
      <c r="E4897" s="896">
        <v>-0.62011099999999997</v>
      </c>
      <c r="F4897" s="770">
        <v>-0.62011099999999997</v>
      </c>
      <c r="G4897" s="78"/>
      <c r="H4897" s="101">
        <v>-0.46193118749999984</v>
      </c>
    </row>
    <row r="4898" spans="1:8" collapsed="1" x14ac:dyDescent="0.25">
      <c r="A4898" s="3801" t="s">
        <v>3260</v>
      </c>
      <c r="B4898" s="3802"/>
      <c r="C4898" s="3802"/>
      <c r="D4898" s="3802"/>
      <c r="E4898" s="721"/>
      <c r="F4898" s="722">
        <v>0</v>
      </c>
      <c r="G4898" s="97" t="s">
        <v>781</v>
      </c>
    </row>
    <row r="4900" spans="1:8" hidden="1" outlineLevel="1" x14ac:dyDescent="0.25">
      <c r="A4900" s="689" t="s">
        <v>113</v>
      </c>
      <c r="B4900" s="689" t="s">
        <v>114</v>
      </c>
      <c r="C4900" s="689" t="s">
        <v>112</v>
      </c>
      <c r="D4900" s="689" t="s">
        <v>116</v>
      </c>
      <c r="E4900" s="689" t="s">
        <v>117</v>
      </c>
      <c r="F4900" s="1188" t="s">
        <v>121</v>
      </c>
      <c r="G4900" s="78"/>
    </row>
    <row r="4901" spans="1:8" hidden="1" outlineLevel="1" x14ac:dyDescent="0.25">
      <c r="A4901" s="690">
        <v>1</v>
      </c>
      <c r="B4901" s="691" t="s">
        <v>252</v>
      </c>
      <c r="C4901" s="692">
        <v>100</v>
      </c>
      <c r="D4901" s="692"/>
      <c r="E4901" s="693"/>
      <c r="F4901" s="694"/>
      <c r="G4901" s="78"/>
    </row>
    <row r="4902" spans="1:8" hidden="1" outlineLevel="1" x14ac:dyDescent="0.25">
      <c r="A4902" s="695"/>
      <c r="B4902" s="695"/>
      <c r="C4902" s="696"/>
      <c r="D4902" s="697" t="s">
        <v>3702</v>
      </c>
      <c r="E4902" s="698">
        <v>41229</v>
      </c>
      <c r="F4902" s="699"/>
      <c r="G4902" s="78"/>
    </row>
    <row r="4903" spans="1:8" hidden="1" outlineLevel="1" x14ac:dyDescent="0.25">
      <c r="A4903" s="495" t="s">
        <v>4156</v>
      </c>
      <c r="B4903" s="689" t="s">
        <v>4153</v>
      </c>
      <c r="C4903" s="700" t="s">
        <v>112</v>
      </c>
      <c r="D4903" s="495" t="s">
        <v>4155</v>
      </c>
      <c r="E4903" s="689" t="s">
        <v>4154</v>
      </c>
      <c r="F4903" s="1021" t="s">
        <v>2519</v>
      </c>
      <c r="G4903" s="78"/>
    </row>
    <row r="4904" spans="1:8" hidden="1" outlineLevel="1" x14ac:dyDescent="0.25">
      <c r="A4904" s="1127">
        <v>0.05</v>
      </c>
      <c r="B4904" s="1144" t="s">
        <v>2467</v>
      </c>
      <c r="C4904" s="1145">
        <v>59.61</v>
      </c>
      <c r="D4904" s="803">
        <v>17.664999999999999</v>
      </c>
      <c r="E4904" s="705">
        <v>-0.70365710451266561</v>
      </c>
      <c r="F4904" s="1021">
        <v>-3.5182855225633282E-2</v>
      </c>
      <c r="G4904" s="78"/>
      <c r="H4904" t="str">
        <f>VLOOKUP(B4904,indexy!$A$44:$D$392,3,FALSE)</f>
        <v>EN FP Equity</v>
      </c>
    </row>
    <row r="4905" spans="1:8" hidden="1" outlineLevel="1" x14ac:dyDescent="0.25">
      <c r="A4905" s="849">
        <v>0.05</v>
      </c>
      <c r="B4905" s="1146" t="s">
        <v>581</v>
      </c>
      <c r="C4905" s="1112">
        <v>85.753</v>
      </c>
      <c r="D4905" s="908">
        <v>102.3</v>
      </c>
      <c r="E4905" s="709">
        <v>0.19296117920072753</v>
      </c>
      <c r="F4905" s="946">
        <v>9.6480589600363778E-3</v>
      </c>
      <c r="G4905" s="78"/>
      <c r="H4905" t="str">
        <f>VLOOKUP(B4905,indexy!$A$44:$D$392,3,FALSE)</f>
        <v>CVX UN Equity</v>
      </c>
    </row>
    <row r="4906" spans="1:8" hidden="1" outlineLevel="1" x14ac:dyDescent="0.25">
      <c r="A4906" s="849">
        <v>0.05</v>
      </c>
      <c r="B4906" s="853" t="s">
        <v>4387</v>
      </c>
      <c r="C4906" s="1112">
        <v>45.444333333333333</v>
      </c>
      <c r="D4906" s="908">
        <v>13.82</v>
      </c>
      <c r="E4906" s="709">
        <v>-0.69589167699676524</v>
      </c>
      <c r="F4906" s="946">
        <v>-3.4794583849838266E-2</v>
      </c>
      <c r="G4906" s="78"/>
      <c r="H4906" t="str">
        <f>VLOOKUP(B4906,indexy!$A$44:$D$392,3,FALSE)</f>
        <v>EOAN GY Equity</v>
      </c>
    </row>
    <row r="4907" spans="1:8" hidden="1" outlineLevel="1" x14ac:dyDescent="0.25">
      <c r="A4907" s="849">
        <v>0.05</v>
      </c>
      <c r="B4907" s="1146" t="s">
        <v>3798</v>
      </c>
      <c r="C4907" s="1112">
        <v>8.0867000000000004</v>
      </c>
      <c r="D4907" s="908">
        <v>2.742</v>
      </c>
      <c r="E4907" s="709">
        <v>-0.66092472825750925</v>
      </c>
      <c r="F4907" s="946">
        <v>-3.3046236412875463E-2</v>
      </c>
      <c r="G4907" s="78"/>
      <c r="H4907" t="str">
        <f>VLOOKUP(B4907,indexy!$A$44:$D$392,3,FALSE)</f>
        <v>ENEL IM Equity</v>
      </c>
    </row>
    <row r="4908" spans="1:8" hidden="1" outlineLevel="1" x14ac:dyDescent="0.25">
      <c r="A4908" s="849">
        <v>0.05</v>
      </c>
      <c r="B4908" s="1146" t="s">
        <v>2701</v>
      </c>
      <c r="C4908" s="1112">
        <v>4.9684999999999997</v>
      </c>
      <c r="D4908" s="908">
        <v>1.9220000000000002</v>
      </c>
      <c r="E4908" s="709">
        <v>-0.61316292643655024</v>
      </c>
      <c r="F4908" s="946">
        <v>-3.0658146321827513E-2</v>
      </c>
      <c r="G4908" s="78"/>
      <c r="H4908" t="str">
        <f>VLOOKUP(B4908,indexy!$A$44:$D$392,3,FALSE)</f>
        <v>EDP PL Equity</v>
      </c>
    </row>
    <row r="4909" spans="1:8" hidden="1" outlineLevel="1" x14ac:dyDescent="0.25">
      <c r="A4909" s="849">
        <v>0.05</v>
      </c>
      <c r="B4909" s="1146" t="s">
        <v>3021</v>
      </c>
      <c r="C4909" s="1112">
        <v>23.827999999999999</v>
      </c>
      <c r="D4909" s="908">
        <v>17.149999999999999</v>
      </c>
      <c r="E4909" s="709">
        <v>-0.28025851938895419</v>
      </c>
      <c r="F4909" s="946">
        <v>-1.401292596944771E-2</v>
      </c>
      <c r="G4909" s="78"/>
      <c r="H4909" t="str">
        <f>VLOOKUP(B4909,indexy!$A$44:$D$392,3,FALSE)</f>
        <v>ENI IM Equity</v>
      </c>
    </row>
    <row r="4910" spans="1:8" hidden="1" outlineLevel="1" x14ac:dyDescent="0.25">
      <c r="A4910" s="849">
        <v>0.05</v>
      </c>
      <c r="B4910" s="1146" t="s">
        <v>3425</v>
      </c>
      <c r="C4910" s="1112">
        <v>86.025999999999996</v>
      </c>
      <c r="D4910" s="908">
        <v>86.45</v>
      </c>
      <c r="E4910" s="709">
        <v>4.9287424732058494E-3</v>
      </c>
      <c r="F4910" s="946">
        <v>2.4643712366029247E-4</v>
      </c>
      <c r="G4910" s="78"/>
      <c r="H4910" t="str">
        <f>VLOOKUP(B4910,indexy!$A$44:$D$392,3,FALSE)</f>
        <v>XOM UN Equity</v>
      </c>
    </row>
    <row r="4911" spans="1:8" hidden="1" outlineLevel="1" x14ac:dyDescent="0.25">
      <c r="A4911" s="849">
        <v>0.05</v>
      </c>
      <c r="B4911" s="1146" t="s">
        <v>4268</v>
      </c>
      <c r="C4911" s="1112">
        <v>29.597000000000001</v>
      </c>
      <c r="D4911" s="908">
        <v>13.52</v>
      </c>
      <c r="E4911" s="709">
        <v>-0.5431969456363821</v>
      </c>
      <c r="F4911" s="946">
        <v>-2.7159847281819107E-2</v>
      </c>
      <c r="G4911" s="78"/>
      <c r="H4911" t="str">
        <f>VLOOKUP(B4911,indexy!$A$44:$D$392,3,FALSE)</f>
        <v>FORTUM FH Equity</v>
      </c>
    </row>
    <row r="4912" spans="1:8" hidden="1" outlineLevel="1" x14ac:dyDescent="0.25">
      <c r="A4912" s="849">
        <v>0.05</v>
      </c>
      <c r="B4912" s="1146" t="s">
        <v>3092</v>
      </c>
      <c r="C4912" s="1112">
        <v>68.001999999999995</v>
      </c>
      <c r="D4912" s="908">
        <v>67.349999999999994</v>
      </c>
      <c r="E4912" s="709">
        <v>-9.587953295491336E-3</v>
      </c>
      <c r="F4912" s="946">
        <v>-4.7939766477456683E-4</v>
      </c>
      <c r="G4912" s="78"/>
      <c r="H4912" t="e">
        <f>VLOOKUP(B4912,indexy!$A$44:$D$392,3,FALSE)</f>
        <v>#N/A</v>
      </c>
    </row>
    <row r="4913" spans="1:8" hidden="1" outlineLevel="1" x14ac:dyDescent="0.25">
      <c r="A4913" s="849">
        <v>0.05</v>
      </c>
      <c r="B4913" s="1146" t="s">
        <v>4269</v>
      </c>
      <c r="C4913" s="1112">
        <v>30.992999999999999</v>
      </c>
      <c r="D4913" s="908">
        <v>1.5489999999999999</v>
      </c>
      <c r="E4913" s="709">
        <v>-0.95002097247765627</v>
      </c>
      <c r="F4913" s="946">
        <v>-4.7501048623882818E-2</v>
      </c>
      <c r="G4913" s="78"/>
      <c r="H4913" t="e">
        <f>VLOOKUP(B4913,indexy!$A$44:$D$392,3,FALSE)</f>
        <v>#N/A</v>
      </c>
    </row>
    <row r="4914" spans="1:8" hidden="1" outlineLevel="1" x14ac:dyDescent="0.25">
      <c r="A4914" s="849">
        <v>0.05</v>
      </c>
      <c r="B4914" s="1146" t="s">
        <v>1031</v>
      </c>
      <c r="C4914" s="1112">
        <v>11.545999999999999</v>
      </c>
      <c r="D4914" s="908">
        <v>3.8369999999999997</v>
      </c>
      <c r="E4914" s="709">
        <v>-0.66767711761649062</v>
      </c>
      <c r="F4914" s="946">
        <v>-3.3383855880824535E-2</v>
      </c>
      <c r="G4914" s="78"/>
      <c r="H4914" t="str">
        <f>VLOOKUP(B4914,indexy!$A$44:$D$392,3,FALSE)</f>
        <v>IBE SQ Equity</v>
      </c>
    </row>
    <row r="4915" spans="1:8" hidden="1" outlineLevel="1" x14ac:dyDescent="0.25">
      <c r="A4915" s="849">
        <v>0.05</v>
      </c>
      <c r="B4915" s="1147" t="s">
        <v>4270</v>
      </c>
      <c r="C4915" s="1112">
        <v>2660.5</v>
      </c>
      <c r="D4915" s="908">
        <v>705</v>
      </c>
      <c r="E4915" s="709">
        <v>-0.7350122157489194</v>
      </c>
      <c r="F4915" s="946">
        <v>-3.6750610787445973E-2</v>
      </c>
      <c r="G4915" s="78"/>
      <c r="H4915" t="str">
        <f>VLOOKUP(B4915,indexy!$A$44:$D$392,3,FALSE)</f>
        <v>9503 JT Equity</v>
      </c>
    </row>
    <row r="4916" spans="1:8" hidden="1" outlineLevel="1" x14ac:dyDescent="0.25">
      <c r="A4916" s="849">
        <v>0.05</v>
      </c>
      <c r="B4916" s="877" t="s">
        <v>2469</v>
      </c>
      <c r="C4916" s="1112">
        <v>44.902000000000001</v>
      </c>
      <c r="D4916" s="908">
        <v>40.44</v>
      </c>
      <c r="E4916" s="709">
        <v>-9.9371965614003854E-2</v>
      </c>
      <c r="F4916" s="946">
        <v>-4.9685982807001934E-3</v>
      </c>
      <c r="G4916" s="78"/>
      <c r="H4916" t="str">
        <f>VLOOKUP(B4916,indexy!$A$44:$D$392,3,FALSE)</f>
        <v>PCG UN Equity</v>
      </c>
    </row>
    <row r="4917" spans="1:8" hidden="1" outlineLevel="1" x14ac:dyDescent="0.25">
      <c r="A4917" s="849">
        <v>0.05</v>
      </c>
      <c r="B4917" s="1146" t="s">
        <v>2586</v>
      </c>
      <c r="C4917" s="1112">
        <v>19.745000000000001</v>
      </c>
      <c r="D4917" s="908">
        <v>25.364999999999998</v>
      </c>
      <c r="E4917" s="709">
        <v>0.28462902000506451</v>
      </c>
      <c r="F4917" s="946">
        <v>1.4231451000253227E-2</v>
      </c>
      <c r="G4917" s="78"/>
      <c r="H4917" t="str">
        <f>VLOOKUP(B4917,indexy!$A$44:$D$392,3,FALSE)</f>
        <v>RDSB LN Equity</v>
      </c>
    </row>
    <row r="4918" spans="1:8" hidden="1" outlineLevel="1" x14ac:dyDescent="0.25">
      <c r="A4918" s="849">
        <v>0.05</v>
      </c>
      <c r="B4918" s="1146" t="s">
        <v>3801</v>
      </c>
      <c r="C4918" s="1112">
        <v>91.337999999999994</v>
      </c>
      <c r="D4918" s="908">
        <v>31.704999999999998</v>
      </c>
      <c r="E4918" s="709">
        <v>-0.65288269942411703</v>
      </c>
      <c r="F4918" s="946">
        <v>-3.264413497120585E-2</v>
      </c>
      <c r="G4918" s="78"/>
      <c r="H4918" t="str">
        <f>VLOOKUP(B4918,indexy!$A$44:$D$392,3,FALSE)</f>
        <v>RWE GY Equity</v>
      </c>
    </row>
    <row r="4919" spans="1:8" hidden="1" outlineLevel="1" x14ac:dyDescent="0.25">
      <c r="A4919" s="849">
        <v>0.05</v>
      </c>
      <c r="B4919" s="1146" t="s">
        <v>2470</v>
      </c>
      <c r="C4919" s="1112">
        <v>25.08</v>
      </c>
      <c r="D4919" s="908">
        <v>8.1199999999999992</v>
      </c>
      <c r="E4919" s="709">
        <v>-0.6762360446570973</v>
      </c>
      <c r="F4919" s="946">
        <v>-3.3811802232854869E-2</v>
      </c>
      <c r="G4919" s="78"/>
      <c r="H4919" t="str">
        <f>VLOOKUP(B4919,indexy!$A$44:$D$392,3,FALSE)</f>
        <v>SBMO NA Equity</v>
      </c>
    </row>
    <row r="4920" spans="1:8" hidden="1" outlineLevel="1" x14ac:dyDescent="0.25">
      <c r="A4920" s="849">
        <v>0.05</v>
      </c>
      <c r="B4920" s="1146" t="s">
        <v>3381</v>
      </c>
      <c r="C4920" s="1112">
        <v>170.81</v>
      </c>
      <c r="D4920" s="908">
        <v>136</v>
      </c>
      <c r="E4920" s="709">
        <v>-0.20379368889409288</v>
      </c>
      <c r="F4920" s="946">
        <v>-1.0189684444704646E-2</v>
      </c>
      <c r="G4920" s="78"/>
      <c r="H4920" t="str">
        <f>VLOOKUP(B4920,indexy!$A$44:$D$392,3,FALSE)</f>
        <v>EQNR NO Equity</v>
      </c>
    </row>
    <row r="4921" spans="1:8" hidden="1" outlineLevel="1" x14ac:dyDescent="0.25">
      <c r="A4921" s="849">
        <v>0.05</v>
      </c>
      <c r="B4921" s="1146" t="s">
        <v>4338</v>
      </c>
      <c r="C4921" s="1112">
        <v>41.206262141198003</v>
      </c>
      <c r="D4921" s="908">
        <v>16.14</v>
      </c>
      <c r="E4921" s="709">
        <v>-0.60831196130591914</v>
      </c>
      <c r="F4921" s="946">
        <v>-3.0415598065295958E-2</v>
      </c>
      <c r="G4921" s="78"/>
      <c r="H4921" t="str">
        <f>VLOOKUP(B4921,indexy!$A$44:$D$392,3,FALSE)</f>
        <v>ENGI FP Equity</v>
      </c>
    </row>
    <row r="4922" spans="1:8" hidden="1" outlineLevel="1" x14ac:dyDescent="0.25">
      <c r="A4922" s="849">
        <v>0.05</v>
      </c>
      <c r="B4922" s="1146" t="s">
        <v>1183</v>
      </c>
      <c r="C4922" s="1112">
        <v>54.707000000000001</v>
      </c>
      <c r="D4922" s="908">
        <v>36.975000000000001</v>
      </c>
      <c r="E4922" s="709">
        <v>-0.32412671138976734</v>
      </c>
      <c r="F4922" s="946">
        <v>-1.6206335569488368E-2</v>
      </c>
      <c r="G4922" s="78"/>
      <c r="H4922" t="e">
        <f>VLOOKUP(B4922,indexy!$A$44:$D$392,3,FALSE)</f>
        <v>#N/A</v>
      </c>
    </row>
    <row r="4923" spans="1:8" hidden="1" outlineLevel="1" x14ac:dyDescent="0.25">
      <c r="A4923" s="990">
        <v>0.05</v>
      </c>
      <c r="B4923" s="1148" t="s">
        <v>4228</v>
      </c>
      <c r="C4923" s="1112">
        <v>62.695999999999998</v>
      </c>
      <c r="D4923" s="715">
        <v>7.3769999999999998</v>
      </c>
      <c r="E4923" s="709">
        <v>-0.8823369911956106</v>
      </c>
      <c r="F4923" s="946">
        <v>-4.4116849559780534E-2</v>
      </c>
      <c r="G4923" s="78"/>
      <c r="H4923" t="str">
        <f>VLOOKUP(B4923,indexy!$A$44:$D$392,3,FALSE)</f>
        <v>VIE FP Equity</v>
      </c>
    </row>
    <row r="4924" spans="1:8" hidden="1" outlineLevel="1" x14ac:dyDescent="0.25">
      <c r="A4924" s="749"/>
      <c r="B4924" s="718"/>
      <c r="C4924" s="719"/>
      <c r="D4924" s="727"/>
      <c r="E4924" s="720"/>
      <c r="F4924" s="731">
        <v>-0.44119656405844965</v>
      </c>
      <c r="G4924" s="78"/>
    </row>
    <row r="4925" spans="1:8" hidden="1" outlineLevel="1" x14ac:dyDescent="0.25">
      <c r="A4925" s="749"/>
      <c r="B4925" s="949"/>
      <c r="C4925" s="692"/>
      <c r="D4925" s="696"/>
      <c r="E4925" s="705"/>
      <c r="F4925" s="1830"/>
      <c r="G4925" s="78"/>
    </row>
    <row r="4926" spans="1:8" hidden="1" outlineLevel="1" x14ac:dyDescent="0.25">
      <c r="A4926" s="1149" t="s">
        <v>2361</v>
      </c>
      <c r="B4926" s="1150">
        <v>39448</v>
      </c>
      <c r="C4926" s="1128">
        <v>100</v>
      </c>
      <c r="D4926" s="692">
        <v>90.1678</v>
      </c>
      <c r="E4926" s="705">
        <v>-9.832200000000002E-2</v>
      </c>
      <c r="F4926" s="1830">
        <v>-9.832200000000002E-2</v>
      </c>
      <c r="G4926" s="78"/>
    </row>
    <row r="4927" spans="1:8" hidden="1" outlineLevel="1" x14ac:dyDescent="0.25">
      <c r="A4927" s="846" t="s">
        <v>635</v>
      </c>
      <c r="B4927" s="1151">
        <v>39539</v>
      </c>
      <c r="C4927" s="1129">
        <v>100</v>
      </c>
      <c r="D4927" s="696">
        <v>94.666300000000007</v>
      </c>
      <c r="E4927" s="709">
        <v>-5.3336999999999968E-2</v>
      </c>
      <c r="F4927" s="1666">
        <v>-5.3336999999999968E-2</v>
      </c>
      <c r="G4927" s="78"/>
    </row>
    <row r="4928" spans="1:8" hidden="1" outlineLevel="1" x14ac:dyDescent="0.25">
      <c r="A4928" s="846" t="s">
        <v>636</v>
      </c>
      <c r="B4928" s="1151">
        <v>39630</v>
      </c>
      <c r="C4928" s="1129">
        <v>100</v>
      </c>
      <c r="D4928" s="696">
        <v>85.582700000000003</v>
      </c>
      <c r="E4928" s="709">
        <v>-0.144173</v>
      </c>
      <c r="F4928" s="1666">
        <v>-0.144173</v>
      </c>
      <c r="G4928" s="78"/>
    </row>
    <row r="4929" spans="1:8" hidden="1" outlineLevel="1" x14ac:dyDescent="0.25">
      <c r="A4929" s="846" t="s">
        <v>3476</v>
      </c>
      <c r="B4929" s="1151">
        <v>39722</v>
      </c>
      <c r="C4929" s="1129">
        <v>100</v>
      </c>
      <c r="D4929" s="696">
        <v>68.598299999999995</v>
      </c>
      <c r="E4929" s="709">
        <v>-0.3140170000000001</v>
      </c>
      <c r="F4929" s="1666">
        <v>-0.3140170000000001</v>
      </c>
      <c r="G4929" s="78"/>
    </row>
    <row r="4930" spans="1:8" hidden="1" outlineLevel="1" x14ac:dyDescent="0.25">
      <c r="A4930" s="846" t="s">
        <v>2231</v>
      </c>
      <c r="B4930" s="1151">
        <v>39814</v>
      </c>
      <c r="C4930" s="1129">
        <v>100</v>
      </c>
      <c r="D4930" s="696">
        <v>64.560299999999998</v>
      </c>
      <c r="E4930" s="709">
        <v>-0.35439700000000007</v>
      </c>
      <c r="F4930" s="1666">
        <v>-0.35439700000000007</v>
      </c>
      <c r="G4930" s="78"/>
    </row>
    <row r="4931" spans="1:8" hidden="1" outlineLevel="1" x14ac:dyDescent="0.25">
      <c r="A4931" s="846" t="s">
        <v>2232</v>
      </c>
      <c r="B4931" s="1151">
        <v>39904</v>
      </c>
      <c r="C4931" s="1129">
        <v>100</v>
      </c>
      <c r="D4931" s="696">
        <v>63.154299999999999</v>
      </c>
      <c r="E4931" s="709">
        <v>-0.36845700000000003</v>
      </c>
      <c r="F4931" s="1666">
        <v>-0.36845700000000003</v>
      </c>
      <c r="G4931" s="78"/>
    </row>
    <row r="4932" spans="1:8" hidden="1" outlineLevel="1" x14ac:dyDescent="0.25">
      <c r="A4932" s="846" t="s">
        <v>2233</v>
      </c>
      <c r="B4932" s="1151">
        <v>39995</v>
      </c>
      <c r="C4932" s="1129">
        <v>100</v>
      </c>
      <c r="D4932" s="696">
        <v>65.628600000000006</v>
      </c>
      <c r="E4932" s="709">
        <v>-0.34371399999999996</v>
      </c>
      <c r="F4932" s="1666">
        <v>-0.34371399999999996</v>
      </c>
      <c r="G4932" s="78"/>
    </row>
    <row r="4933" spans="1:8" hidden="1" outlineLevel="1" x14ac:dyDescent="0.25">
      <c r="A4933" s="846" t="s">
        <v>839</v>
      </c>
      <c r="B4933" s="1151">
        <v>40087</v>
      </c>
      <c r="C4933" s="1129">
        <v>100</v>
      </c>
      <c r="D4933" s="696">
        <v>66.511200000000002</v>
      </c>
      <c r="E4933" s="709">
        <v>-0.33488799999999996</v>
      </c>
      <c r="F4933" s="1666">
        <v>-0.33488799999999996</v>
      </c>
      <c r="G4933" s="78"/>
    </row>
    <row r="4934" spans="1:8" hidden="1" outlineLevel="1" x14ac:dyDescent="0.25">
      <c r="A4934" s="846" t="s">
        <v>2950</v>
      </c>
      <c r="B4934" s="1151">
        <v>40179</v>
      </c>
      <c r="C4934" s="1129">
        <v>100</v>
      </c>
      <c r="D4934" s="696">
        <v>66.729100000000003</v>
      </c>
      <c r="E4934" s="709">
        <v>-0.33270899999999992</v>
      </c>
      <c r="F4934" s="1666">
        <v>-0.33270899999999992</v>
      </c>
      <c r="G4934" s="78"/>
    </row>
    <row r="4935" spans="1:8" hidden="1" outlineLevel="1" x14ac:dyDescent="0.25">
      <c r="A4935" s="846" t="s">
        <v>4009</v>
      </c>
      <c r="B4935" s="1151">
        <v>40269</v>
      </c>
      <c r="C4935" s="1129">
        <v>100</v>
      </c>
      <c r="D4935" s="696">
        <v>68.804500000000004</v>
      </c>
      <c r="E4935" s="709">
        <v>-0.31195499999999998</v>
      </c>
      <c r="F4935" s="1666">
        <v>-0.31195499999999998</v>
      </c>
      <c r="G4935" s="78"/>
    </row>
    <row r="4936" spans="1:8" hidden="1" outlineLevel="1" x14ac:dyDescent="0.25">
      <c r="A4936" s="846" t="s">
        <v>4010</v>
      </c>
      <c r="B4936" s="1151">
        <v>40360</v>
      </c>
      <c r="C4936" s="1129">
        <v>100</v>
      </c>
      <c r="D4936" s="696">
        <v>62.701799999999999</v>
      </c>
      <c r="E4936" s="709">
        <v>-0.37298200000000004</v>
      </c>
      <c r="F4936" s="1666">
        <v>-0.37298200000000004</v>
      </c>
      <c r="G4936" s="78"/>
    </row>
    <row r="4937" spans="1:8" hidden="1" outlineLevel="1" x14ac:dyDescent="0.25">
      <c r="A4937" s="846" t="s">
        <v>4011</v>
      </c>
      <c r="B4937" s="1151">
        <v>40452</v>
      </c>
      <c r="C4937" s="1129">
        <v>100</v>
      </c>
      <c r="D4937" s="696">
        <v>66.540199999999999</v>
      </c>
      <c r="E4937" s="709">
        <v>-0.33459800000000006</v>
      </c>
      <c r="F4937" s="1666">
        <v>-0.33459800000000006</v>
      </c>
      <c r="G4937" s="78"/>
    </row>
    <row r="4938" spans="1:8" hidden="1" outlineLevel="1" x14ac:dyDescent="0.25">
      <c r="A4938" s="846" t="s">
        <v>4012</v>
      </c>
      <c r="B4938" s="1151">
        <v>40544</v>
      </c>
      <c r="C4938" s="1129">
        <v>100</v>
      </c>
      <c r="D4938" s="696">
        <v>70.962000000000003</v>
      </c>
      <c r="E4938" s="709">
        <v>-0.29037999999999997</v>
      </c>
      <c r="F4938" s="1666">
        <v>-0.29037999999999997</v>
      </c>
      <c r="G4938" s="78"/>
    </row>
    <row r="4939" spans="1:8" hidden="1" outlineLevel="1" x14ac:dyDescent="0.25">
      <c r="A4939" s="846" t="s">
        <v>2236</v>
      </c>
      <c r="B4939" s="1151">
        <v>40634</v>
      </c>
      <c r="C4939" s="1129">
        <v>100</v>
      </c>
      <c r="D4939" s="696">
        <v>73.061999999999998</v>
      </c>
      <c r="E4939" s="709">
        <v>-0.26938000000000006</v>
      </c>
      <c r="F4939" s="1666">
        <v>-0.26938000000000006</v>
      </c>
      <c r="G4939" s="78"/>
    </row>
    <row r="4940" spans="1:8" hidden="1" outlineLevel="1" x14ac:dyDescent="0.25">
      <c r="A4940" s="846" t="s">
        <v>2688</v>
      </c>
      <c r="B4940" s="1151">
        <v>40725</v>
      </c>
      <c r="C4940" s="1129">
        <v>100</v>
      </c>
      <c r="D4940" s="696">
        <v>63.615000000000002</v>
      </c>
      <c r="E4940" s="709">
        <v>-0.36385000000000001</v>
      </c>
      <c r="F4940" s="1666">
        <v>-0.36385000000000001</v>
      </c>
      <c r="G4940" s="78"/>
    </row>
    <row r="4941" spans="1:8" hidden="1" outlineLevel="1" x14ac:dyDescent="0.25">
      <c r="A4941" s="846" t="s">
        <v>2689</v>
      </c>
      <c r="B4941" s="1151">
        <v>40817</v>
      </c>
      <c r="C4941" s="1129">
        <v>100</v>
      </c>
      <c r="D4941" s="696">
        <v>61.466200000000001</v>
      </c>
      <c r="E4941" s="709">
        <v>-0.38533799999999996</v>
      </c>
      <c r="F4941" s="1666">
        <v>-0.38533799999999996</v>
      </c>
      <c r="G4941" s="78"/>
    </row>
    <row r="4942" spans="1:8" hidden="1" outlineLevel="1" x14ac:dyDescent="0.25">
      <c r="A4942" s="846" t="s">
        <v>4583</v>
      </c>
      <c r="B4942" s="1151">
        <v>40909</v>
      </c>
      <c r="C4942" s="1129">
        <v>100</v>
      </c>
      <c r="D4942" s="696">
        <v>60.477800000000002</v>
      </c>
      <c r="E4942" s="709">
        <v>-0.39522199999999996</v>
      </c>
      <c r="F4942" s="1666">
        <v>-0.39522199999999996</v>
      </c>
      <c r="G4942" s="78"/>
    </row>
    <row r="4943" spans="1:8" hidden="1" outlineLevel="1" x14ac:dyDescent="0.25">
      <c r="A4943" s="846" t="s">
        <v>4584</v>
      </c>
      <c r="B4943" s="1151">
        <v>41000</v>
      </c>
      <c r="C4943" s="1129">
        <v>100</v>
      </c>
      <c r="D4943" s="696">
        <v>59.767899999999997</v>
      </c>
      <c r="E4943" s="709">
        <v>-0.40232100000000004</v>
      </c>
      <c r="F4943" s="1666">
        <v>-0.40232100000000004</v>
      </c>
      <c r="G4943" s="78"/>
    </row>
    <row r="4944" spans="1:8" hidden="1" outlineLevel="1" x14ac:dyDescent="0.25">
      <c r="A4944" s="846" t="s">
        <v>4371</v>
      </c>
      <c r="B4944" s="1151">
        <v>41091</v>
      </c>
      <c r="C4944" s="1129">
        <v>100</v>
      </c>
      <c r="D4944" s="696">
        <v>57.366</v>
      </c>
      <c r="E4944" s="709">
        <v>-0.42634000000000005</v>
      </c>
      <c r="F4944" s="1666">
        <v>-0.42634000000000005</v>
      </c>
      <c r="G4944" s="78"/>
      <c r="H4944" t="s">
        <v>1837</v>
      </c>
    </row>
    <row r="4945" spans="1:12" hidden="1" outlineLevel="1" x14ac:dyDescent="0.25">
      <c r="A4945" s="1152" t="s">
        <v>2965</v>
      </c>
      <c r="B4945" s="1153">
        <v>41183</v>
      </c>
      <c r="C4945" s="1130">
        <v>100</v>
      </c>
      <c r="D4945" s="1130">
        <v>58.480400000000003</v>
      </c>
      <c r="E4945" s="716">
        <v>-0.41519600000000001</v>
      </c>
      <c r="F4945" s="770">
        <v>-0.41519600000000001</v>
      </c>
      <c r="G4945" s="78"/>
      <c r="H4945" s="101">
        <f>AVERAGE(F4926:F4945)</f>
        <v>-0.31557879999999999</v>
      </c>
    </row>
    <row r="4946" spans="1:12" hidden="1" outlineLevel="1" x14ac:dyDescent="0.25">
      <c r="A4946" s="749"/>
      <c r="B4946" s="750"/>
      <c r="C4946" s="727"/>
      <c r="D4946" s="747"/>
      <c r="E4946" s="716"/>
      <c r="F4946" s="770"/>
      <c r="G4946" s="78"/>
    </row>
    <row r="4947" spans="1:12" hidden="1" outlineLevel="1" x14ac:dyDescent="0.25">
      <c r="A4947" s="749"/>
      <c r="B4947" s="718"/>
      <c r="C4947" s="719"/>
      <c r="D4947" s="727"/>
      <c r="E4947" s="720"/>
      <c r="F4947" s="731"/>
      <c r="G4947" s="78"/>
    </row>
    <row r="4948" spans="1:12" collapsed="1" x14ac:dyDescent="0.25">
      <c r="A4948" s="3801" t="s">
        <v>3831</v>
      </c>
      <c r="B4948" s="3802"/>
      <c r="C4948" s="3802"/>
      <c r="D4948" s="3802"/>
      <c r="E4948" s="721"/>
      <c r="F4948" s="722">
        <v>0</v>
      </c>
      <c r="G4948" s="97" t="s">
        <v>781</v>
      </c>
    </row>
    <row r="4950" spans="1:12" hidden="1" outlineLevel="1" x14ac:dyDescent="0.25">
      <c r="A4950" s="689" t="s">
        <v>113</v>
      </c>
      <c r="B4950" s="689" t="s">
        <v>114</v>
      </c>
      <c r="C4950" s="689" t="s">
        <v>112</v>
      </c>
      <c r="D4950" s="689" t="s">
        <v>116</v>
      </c>
      <c r="E4950" s="689" t="s">
        <v>117</v>
      </c>
      <c r="F4950" s="1188" t="s">
        <v>121</v>
      </c>
      <c r="G4950" s="78"/>
    </row>
    <row r="4951" spans="1:12" hidden="1" outlineLevel="1" x14ac:dyDescent="0.25">
      <c r="A4951" s="690">
        <v>1</v>
      </c>
      <c r="B4951" s="691" t="s">
        <v>252</v>
      </c>
      <c r="C4951" s="692">
        <v>100</v>
      </c>
      <c r="D4951" s="692"/>
      <c r="E4951" s="693"/>
      <c r="F4951" s="694"/>
      <c r="G4951" s="78"/>
    </row>
    <row r="4952" spans="1:12" hidden="1" outlineLevel="1" x14ac:dyDescent="0.25">
      <c r="A4952" s="695"/>
      <c r="B4952" s="695"/>
      <c r="C4952" s="696"/>
      <c r="D4952" s="697" t="s">
        <v>3702</v>
      </c>
      <c r="E4952" s="698">
        <v>41410</v>
      </c>
      <c r="F4952" s="699"/>
      <c r="G4952" s="78"/>
    </row>
    <row r="4953" spans="1:12" hidden="1" outlineLevel="1" x14ac:dyDescent="0.25">
      <c r="A4953" s="689" t="s">
        <v>4156</v>
      </c>
      <c r="B4953" s="689" t="s">
        <v>4153</v>
      </c>
      <c r="C4953" s="497" t="s">
        <v>112</v>
      </c>
      <c r="D4953" s="495" t="s">
        <v>4155</v>
      </c>
      <c r="E4953" s="495" t="s">
        <v>4154</v>
      </c>
      <c r="F4953" s="1021" t="s">
        <v>2519</v>
      </c>
      <c r="G4953" s="78"/>
    </row>
    <row r="4954" spans="1:12" hidden="1" outlineLevel="1" x14ac:dyDescent="0.25">
      <c r="A4954" s="1074">
        <v>3.3333000000000002E-2</v>
      </c>
      <c r="B4954" s="1000" t="s">
        <v>1169</v>
      </c>
      <c r="C4954" s="1001">
        <v>65.831999999999994</v>
      </c>
      <c r="D4954" s="1090">
        <v>100.42</v>
      </c>
      <c r="E4954" s="738">
        <v>0.52539798274395455</v>
      </c>
      <c r="F4954" s="1021">
        <v>1.7513090958804239E-2</v>
      </c>
      <c r="G4954" s="78"/>
      <c r="H4954" t="s">
        <v>1940</v>
      </c>
    </row>
    <row r="4955" spans="1:12" hidden="1" outlineLevel="1" x14ac:dyDescent="0.25">
      <c r="A4955" s="1075">
        <v>3.3333000000000002E-2</v>
      </c>
      <c r="B4955" s="996" t="s">
        <v>2697</v>
      </c>
      <c r="C4955" s="1003">
        <v>31.184000000000001</v>
      </c>
      <c r="D4955" s="1091">
        <v>14.65</v>
      </c>
      <c r="E4955" s="742">
        <v>-0.53020779887121594</v>
      </c>
      <c r="F4955" s="946">
        <v>-1.7673416559774242E-2</v>
      </c>
      <c r="G4955" s="78"/>
      <c r="H4955" t="s">
        <v>329</v>
      </c>
      <c r="J4955" t="s">
        <v>2040</v>
      </c>
      <c r="K4955" t="s">
        <v>561</v>
      </c>
      <c r="L4955" t="s">
        <v>4577</v>
      </c>
    </row>
    <row r="4956" spans="1:12" hidden="1" outlineLevel="1" x14ac:dyDescent="0.25">
      <c r="A4956" s="1075">
        <v>3.3333000000000002E-2</v>
      </c>
      <c r="B4956" s="996" t="s">
        <v>330</v>
      </c>
      <c r="C4956" s="1003">
        <v>45.334000000000003</v>
      </c>
      <c r="D4956" s="1091">
        <v>70.98</v>
      </c>
      <c r="E4956" s="742">
        <v>0.5657122689372216</v>
      </c>
      <c r="F4956" s="946">
        <v>1.8856887060484408E-2</v>
      </c>
      <c r="G4956" s="78"/>
      <c r="H4956" t="s">
        <v>4092</v>
      </c>
      <c r="J4956" s="256">
        <v>40848</v>
      </c>
      <c r="K4956">
        <v>96.3934</v>
      </c>
      <c r="L4956" s="37">
        <v>-3.6066000000000042E-2</v>
      </c>
    </row>
    <row r="4957" spans="1:12" hidden="1" outlineLevel="1" x14ac:dyDescent="0.25">
      <c r="A4957" s="1075">
        <v>3.3333000000000002E-2</v>
      </c>
      <c r="B4957" s="996" t="s">
        <v>1184</v>
      </c>
      <c r="C4957" s="1003">
        <v>46.981000000000002</v>
      </c>
      <c r="D4957" s="1091">
        <v>73.98</v>
      </c>
      <c r="E4957" s="742">
        <v>0.57467912560396761</v>
      </c>
      <c r="F4957" s="946">
        <v>1.9155779293757055E-2</v>
      </c>
      <c r="G4957" s="78"/>
      <c r="H4957" t="s">
        <v>3497</v>
      </c>
      <c r="J4957" s="256">
        <v>40878</v>
      </c>
      <c r="K4957">
        <v>97.273499999999999</v>
      </c>
      <c r="L4957" s="37">
        <v>-2.7264999999999984E-2</v>
      </c>
    </row>
    <row r="4958" spans="1:12" hidden="1" outlineLevel="1" x14ac:dyDescent="0.25">
      <c r="A4958" s="1075">
        <v>3.3333000000000002E-2</v>
      </c>
      <c r="B4958" s="996" t="s">
        <v>3020</v>
      </c>
      <c r="C4958" s="1003">
        <v>56.517000000000003</v>
      </c>
      <c r="D4958" s="1091">
        <v>84.58</v>
      </c>
      <c r="E4958" s="742">
        <v>0.49654086381088858</v>
      </c>
      <c r="F4958" s="946">
        <v>1.6551196613408349E-2</v>
      </c>
      <c r="G4958" s="78"/>
      <c r="H4958" t="s">
        <v>490</v>
      </c>
      <c r="J4958" s="256">
        <v>40909</v>
      </c>
      <c r="K4958" s="424">
        <v>101.44499999999999</v>
      </c>
      <c r="L4958" s="37">
        <v>1.4449999999999852E-2</v>
      </c>
    </row>
    <row r="4959" spans="1:12" hidden="1" outlineLevel="1" x14ac:dyDescent="0.25">
      <c r="A4959" s="1075">
        <v>3.3333000000000002E-2</v>
      </c>
      <c r="B4959" s="743" t="s">
        <v>1141</v>
      </c>
      <c r="C4959" s="1003">
        <v>40.844000000000001</v>
      </c>
      <c r="D4959" s="1091">
        <v>71.400000000000006</v>
      </c>
      <c r="E4959" s="742">
        <v>0.74811477818039385</v>
      </c>
      <c r="F4959" s="946">
        <v>2.493690990108707E-2</v>
      </c>
      <c r="G4959" s="78"/>
      <c r="H4959" t="s">
        <v>666</v>
      </c>
      <c r="J4959" s="256">
        <v>40940</v>
      </c>
      <c r="K4959">
        <v>105.1675</v>
      </c>
      <c r="L4959" s="37">
        <v>5.1675000000000137E-2</v>
      </c>
    </row>
    <row r="4960" spans="1:12" hidden="1" outlineLevel="1" x14ac:dyDescent="0.25">
      <c r="A4960" s="1075">
        <v>3.3333000000000002E-2</v>
      </c>
      <c r="B4960" s="996" t="s">
        <v>331</v>
      </c>
      <c r="C4960" s="1003">
        <v>50.482999999999997</v>
      </c>
      <c r="D4960" s="1091">
        <v>25.9</v>
      </c>
      <c r="E4960" s="742">
        <v>-0.48695600499177938</v>
      </c>
      <c r="F4960" s="946">
        <v>-1.6231704514390984E-2</v>
      </c>
      <c r="G4960" s="78"/>
      <c r="H4960" t="s">
        <v>332</v>
      </c>
      <c r="J4960" s="256">
        <v>40969</v>
      </c>
      <c r="K4960">
        <v>106.87560000000001</v>
      </c>
      <c r="L4960" s="37">
        <v>6.8756000000000039E-2</v>
      </c>
    </row>
    <row r="4961" spans="1:12" hidden="1" outlineLevel="1" x14ac:dyDescent="0.25">
      <c r="A4961" s="1075">
        <v>3.3333000000000002E-2</v>
      </c>
      <c r="B4961" s="996" t="s">
        <v>901</v>
      </c>
      <c r="C4961" s="1003">
        <v>1868.5</v>
      </c>
      <c r="D4961" s="1091">
        <v>3744</v>
      </c>
      <c r="E4961" s="742">
        <v>1.0037463205780037</v>
      </c>
      <c r="F4961" s="946">
        <v>3.3457876103826598E-2</v>
      </c>
      <c r="G4961" s="78"/>
      <c r="H4961" t="s">
        <v>531</v>
      </c>
      <c r="J4961" s="256">
        <v>41000</v>
      </c>
      <c r="K4961">
        <v>106.24939999999999</v>
      </c>
      <c r="L4961" s="37">
        <v>6.249400000000005E-2</v>
      </c>
    </row>
    <row r="4962" spans="1:12" hidden="1" outlineLevel="1" x14ac:dyDescent="0.25">
      <c r="A4962" s="1075">
        <v>3.3333000000000002E-2</v>
      </c>
      <c r="B4962" s="996" t="s">
        <v>333</v>
      </c>
      <c r="C4962" s="1003">
        <v>44.18</v>
      </c>
      <c r="D4962" s="1091">
        <v>34.96</v>
      </c>
      <c r="E4962" s="742">
        <v>-0.20869171570846534</v>
      </c>
      <c r="F4962" s="946">
        <v>-6.9563209597102759E-3</v>
      </c>
      <c r="G4962" s="78"/>
      <c r="H4962" t="s">
        <v>334</v>
      </c>
      <c r="J4962" s="256">
        <v>41030</v>
      </c>
      <c r="K4962">
        <v>100.34480000000001</v>
      </c>
      <c r="L4962" s="37">
        <v>3.4480000000001176E-3</v>
      </c>
    </row>
    <row r="4963" spans="1:12" hidden="1" outlineLevel="1" x14ac:dyDescent="0.25">
      <c r="A4963" s="1075">
        <v>3.3333000000000002E-2</v>
      </c>
      <c r="B4963" s="996" t="s">
        <v>335</v>
      </c>
      <c r="C4963" s="1003">
        <v>75.09</v>
      </c>
      <c r="D4963" s="1091">
        <v>88.8</v>
      </c>
      <c r="E4963" s="742">
        <v>0.1825809029165002</v>
      </c>
      <c r="F4963" s="946">
        <v>6.0859692369157016E-3</v>
      </c>
      <c r="G4963" s="78"/>
      <c r="H4963" t="s">
        <v>336</v>
      </c>
      <c r="J4963" s="256">
        <v>41061</v>
      </c>
      <c r="K4963">
        <v>103.7037</v>
      </c>
      <c r="L4963" s="37">
        <v>3.7036999999999987E-2</v>
      </c>
    </row>
    <row r="4964" spans="1:12" hidden="1" outlineLevel="1" x14ac:dyDescent="0.25">
      <c r="A4964" s="1075">
        <v>3.3333000000000002E-2</v>
      </c>
      <c r="B4964" s="996" t="s">
        <v>2842</v>
      </c>
      <c r="C4964" s="1003">
        <v>67.635999999999996</v>
      </c>
      <c r="D4964" s="1091">
        <v>111.51</v>
      </c>
      <c r="E4964" s="742">
        <v>0.64867821870010078</v>
      </c>
      <c r="F4964" s="946">
        <v>2.1622391063930459E-2</v>
      </c>
      <c r="G4964" s="78"/>
      <c r="H4964" t="s">
        <v>2843</v>
      </c>
      <c r="J4964" s="256">
        <v>41091</v>
      </c>
      <c r="K4964">
        <v>106.3721</v>
      </c>
      <c r="L4964" s="37">
        <v>6.3721000000000139E-2</v>
      </c>
    </row>
    <row r="4965" spans="1:12" hidden="1" outlineLevel="1" x14ac:dyDescent="0.25">
      <c r="A4965" s="1075">
        <v>3.3333000000000002E-2</v>
      </c>
      <c r="B4965" s="996" t="s">
        <v>3016</v>
      </c>
      <c r="C4965" s="1003">
        <v>58.832000000000001</v>
      </c>
      <c r="D4965" s="1091">
        <v>49.52</v>
      </c>
      <c r="E4965" s="742">
        <v>-0.15828120750611907</v>
      </c>
      <c r="F4965" s="946">
        <v>-5.275987489801467E-3</v>
      </c>
      <c r="G4965" s="78"/>
      <c r="H4965" t="s">
        <v>2752</v>
      </c>
      <c r="J4965" s="256">
        <v>41122</v>
      </c>
      <c r="K4965">
        <v>108.8027</v>
      </c>
      <c r="L4965" s="37">
        <v>8.8027000000000077E-2</v>
      </c>
    </row>
    <row r="4966" spans="1:12" hidden="1" outlineLevel="1" x14ac:dyDescent="0.25">
      <c r="A4966" s="1075">
        <v>3.3333000000000002E-2</v>
      </c>
      <c r="B4966" s="996" t="s">
        <v>3406</v>
      </c>
      <c r="C4966" s="1003">
        <v>1083.9000000000001</v>
      </c>
      <c r="D4966" s="1091">
        <v>2050.5</v>
      </c>
      <c r="E4966" s="742">
        <v>0.89177968447273726</v>
      </c>
      <c r="F4966" s="946">
        <v>2.9725692222529753E-2</v>
      </c>
      <c r="G4966" s="78"/>
      <c r="H4966" t="s">
        <v>2105</v>
      </c>
      <c r="J4966" s="256">
        <v>41153</v>
      </c>
      <c r="K4966">
        <v>109.47839999999999</v>
      </c>
      <c r="L4966" s="37">
        <v>9.4783999999999979E-2</v>
      </c>
    </row>
    <row r="4967" spans="1:12" hidden="1" outlineLevel="1" x14ac:dyDescent="0.25">
      <c r="A4967" s="1075">
        <v>3.3333000000000002E-2</v>
      </c>
      <c r="B4967" s="996" t="s">
        <v>2844</v>
      </c>
      <c r="C4967" s="1003">
        <v>37.753999999999998</v>
      </c>
      <c r="D4967" s="1091">
        <v>52.97</v>
      </c>
      <c r="E4967" s="742">
        <v>0.40303014250145686</v>
      </c>
      <c r="F4967" s="946">
        <v>1.3434203740001063E-2</v>
      </c>
      <c r="G4967" s="78"/>
      <c r="H4967" t="s">
        <v>4094</v>
      </c>
      <c r="J4967" s="256">
        <v>41183</v>
      </c>
      <c r="K4967">
        <v>110.0097</v>
      </c>
      <c r="L4967" s="37">
        <v>0.10009699999999988</v>
      </c>
    </row>
    <row r="4968" spans="1:12" hidden="1" outlineLevel="1" x14ac:dyDescent="0.25">
      <c r="A4968" s="1075">
        <v>3.3333000000000002E-2</v>
      </c>
      <c r="B4968" s="996" t="s">
        <v>307</v>
      </c>
      <c r="C4968" s="1003">
        <v>28.404</v>
      </c>
      <c r="D4968" s="1091">
        <v>76.75</v>
      </c>
      <c r="E4968" s="742">
        <v>1.7020842134910574</v>
      </c>
      <c r="F4968" s="946">
        <v>5.6735573088297422E-2</v>
      </c>
      <c r="G4968" s="78"/>
      <c r="H4968" t="s">
        <v>1700</v>
      </c>
      <c r="J4968" s="256">
        <v>41214</v>
      </c>
      <c r="K4968">
        <v>116.10809999999999</v>
      </c>
      <c r="L4968" s="37">
        <v>0.16108100000000003</v>
      </c>
    </row>
    <row r="4969" spans="1:12" hidden="1" outlineLevel="1" x14ac:dyDescent="0.25">
      <c r="A4969" s="1075">
        <v>3.3333000000000002E-2</v>
      </c>
      <c r="B4969" s="996" t="s">
        <v>4036</v>
      </c>
      <c r="C4969" s="1003">
        <v>18.573</v>
      </c>
      <c r="D4969" s="1091">
        <v>18.7</v>
      </c>
      <c r="E4969" s="742">
        <v>6.8378829483659587E-3</v>
      </c>
      <c r="F4969" s="946">
        <v>2.2792715231788251E-4</v>
      </c>
      <c r="G4969" s="78"/>
      <c r="H4969" t="s">
        <v>4037</v>
      </c>
      <c r="J4969" s="256">
        <v>41244</v>
      </c>
      <c r="K4969">
        <v>117.20480000000001</v>
      </c>
      <c r="L4969" s="37">
        <v>0.17204799999999998</v>
      </c>
    </row>
    <row r="4970" spans="1:12" hidden="1" outlineLevel="1" x14ac:dyDescent="0.25">
      <c r="A4970" s="1075">
        <v>3.3333000000000002E-2</v>
      </c>
      <c r="B4970" s="996" t="s">
        <v>4439</v>
      </c>
      <c r="C4970" s="1003">
        <v>48.491</v>
      </c>
      <c r="D4970" s="1091">
        <v>102.8</v>
      </c>
      <c r="E4970" s="742">
        <v>1.1199810274071478</v>
      </c>
      <c r="F4970" s="946">
        <v>3.7332327586562457E-2</v>
      </c>
      <c r="G4970" s="78"/>
      <c r="H4970" t="s">
        <v>3827</v>
      </c>
      <c r="J4970" s="256">
        <v>41275</v>
      </c>
      <c r="K4970">
        <v>123.3806</v>
      </c>
      <c r="L4970" s="37">
        <v>0.23380599999999996</v>
      </c>
    </row>
    <row r="4971" spans="1:12" hidden="1" outlineLevel="1" x14ac:dyDescent="0.25">
      <c r="A4971" s="1075">
        <v>3.3333000000000002E-2</v>
      </c>
      <c r="B4971" s="996" t="s">
        <v>4038</v>
      </c>
      <c r="C4971" s="1003">
        <v>54.593000000000004</v>
      </c>
      <c r="D4971" s="1091">
        <v>27.05</v>
      </c>
      <c r="E4971" s="742">
        <v>-0.50451523089040728</v>
      </c>
      <c r="F4971" s="946">
        <v>-1.6817006191269947E-2</v>
      </c>
      <c r="G4971" s="78"/>
      <c r="H4971" t="s">
        <v>4039</v>
      </c>
      <c r="J4971" s="256">
        <v>41306</v>
      </c>
      <c r="K4971">
        <v>125.22920000000001</v>
      </c>
      <c r="L4971" s="37">
        <v>0.25229199999999996</v>
      </c>
    </row>
    <row r="4972" spans="1:12" hidden="1" outlineLevel="1" x14ac:dyDescent="0.25">
      <c r="A4972" s="1075">
        <v>3.3333000000000002E-2</v>
      </c>
      <c r="B4972" s="996" t="s">
        <v>2856</v>
      </c>
      <c r="C4972" s="1003">
        <v>94.43</v>
      </c>
      <c r="D4972" s="1091">
        <v>136.65</v>
      </c>
      <c r="E4972" s="742">
        <v>0.44710367467965684</v>
      </c>
      <c r="F4972" s="946">
        <v>1.4903306788097002E-2</v>
      </c>
      <c r="G4972" s="78"/>
      <c r="H4972" t="s">
        <v>2721</v>
      </c>
      <c r="J4972" s="256">
        <v>41334</v>
      </c>
      <c r="K4972">
        <v>128.8263</v>
      </c>
      <c r="L4972" s="37">
        <v>0.28826299999999994</v>
      </c>
    </row>
    <row r="4973" spans="1:12" hidden="1" outlineLevel="1" x14ac:dyDescent="0.25">
      <c r="A4973" s="1075">
        <v>3.3333000000000002E-2</v>
      </c>
      <c r="B4973" s="996" t="s">
        <v>1528</v>
      </c>
      <c r="C4973" s="1003">
        <v>81.849999999999994</v>
      </c>
      <c r="D4973" s="1091">
        <v>140.4</v>
      </c>
      <c r="E4973" s="742">
        <v>0.71533292608430066</v>
      </c>
      <c r="F4973" s="946">
        <v>2.3844192425167995E-2</v>
      </c>
      <c r="G4973" s="78"/>
      <c r="H4973" t="s">
        <v>4149</v>
      </c>
      <c r="J4973" s="256">
        <v>41365</v>
      </c>
      <c r="K4973">
        <v>131.26900000000001</v>
      </c>
      <c r="L4973" s="37">
        <v>0.31269000000000013</v>
      </c>
    </row>
    <row r="4974" spans="1:12" hidden="1" outlineLevel="1" x14ac:dyDescent="0.25">
      <c r="A4974" s="1075">
        <v>3.3333000000000002E-2</v>
      </c>
      <c r="B4974" s="996" t="s">
        <v>4040</v>
      </c>
      <c r="C4974" s="1003">
        <v>50.168999999999997</v>
      </c>
      <c r="D4974" s="1091">
        <v>49.64</v>
      </c>
      <c r="E4974" s="742">
        <v>-1.0544360062986979E-2</v>
      </c>
      <c r="F4974" s="946">
        <v>-3.5147515397954501E-4</v>
      </c>
      <c r="G4974" s="78"/>
      <c r="H4974" t="s">
        <v>4041</v>
      </c>
      <c r="J4974" s="264" t="s">
        <v>2465</v>
      </c>
      <c r="K4974" s="412"/>
      <c r="L4974" s="261">
        <v>0.10785211111111112</v>
      </c>
    </row>
    <row r="4975" spans="1:12" hidden="1" outlineLevel="1" x14ac:dyDescent="0.25">
      <c r="A4975" s="1075">
        <v>3.3333000000000002E-2</v>
      </c>
      <c r="B4975" s="996" t="s">
        <v>4042</v>
      </c>
      <c r="C4975" s="1003">
        <v>1247.5999999999999</v>
      </c>
      <c r="D4975" s="1091">
        <v>1175</v>
      </c>
      <c r="E4975" s="742">
        <v>-5.8191728117986452E-2</v>
      </c>
      <c r="F4975" s="946">
        <v>-1.9397048733568426E-3</v>
      </c>
      <c r="G4975" s="78"/>
      <c r="H4975" t="s">
        <v>4043</v>
      </c>
    </row>
    <row r="4976" spans="1:12" hidden="1" outlineLevel="1" x14ac:dyDescent="0.25">
      <c r="A4976" s="1075">
        <v>3.3333000000000002E-2</v>
      </c>
      <c r="B4976" s="996" t="s">
        <v>1541</v>
      </c>
      <c r="C4976" s="1003">
        <v>64.905000000000001</v>
      </c>
      <c r="D4976" s="1091">
        <v>64.44</v>
      </c>
      <c r="E4976" s="742">
        <v>-7.1643170788074917E-3</v>
      </c>
      <c r="F4976" s="946">
        <v>-2.3880818118789013E-4</v>
      </c>
      <c r="G4976" s="78"/>
      <c r="H4976" t="s">
        <v>1696</v>
      </c>
    </row>
    <row r="4977" spans="1:9" hidden="1" outlineLevel="1" x14ac:dyDescent="0.25">
      <c r="A4977" s="1075">
        <v>3.3333000000000002E-2</v>
      </c>
      <c r="B4977" s="996" t="s">
        <v>1190</v>
      </c>
      <c r="C4977" s="1003">
        <v>26.635000000000002</v>
      </c>
      <c r="D4977" s="1091">
        <v>2.91</v>
      </c>
      <c r="E4977" s="742">
        <v>-0.89074525999624554</v>
      </c>
      <c r="F4977" s="946">
        <v>-2.9691211751454855E-2</v>
      </c>
      <c r="G4977" s="78"/>
      <c r="H4977" t="s">
        <v>7569</v>
      </c>
    </row>
    <row r="4978" spans="1:9" hidden="1" outlineLevel="1" x14ac:dyDescent="0.25">
      <c r="A4978" s="1075">
        <v>3.3333000000000002E-2</v>
      </c>
      <c r="B4978" s="996" t="s">
        <v>1204</v>
      </c>
      <c r="C4978" s="1003">
        <v>76.352999999999994</v>
      </c>
      <c r="D4978" s="1091">
        <v>83.74</v>
      </c>
      <c r="E4978" s="742">
        <v>9.6747999423729247E-2</v>
      </c>
      <c r="F4978" s="946">
        <v>3.2249010647911673E-3</v>
      </c>
      <c r="G4978" s="78"/>
      <c r="H4978" t="s">
        <v>2427</v>
      </c>
    </row>
    <row r="4979" spans="1:9" hidden="1" outlineLevel="1" x14ac:dyDescent="0.25">
      <c r="A4979" s="1075">
        <v>3.3333000000000002E-2</v>
      </c>
      <c r="B4979" s="996" t="s">
        <v>4044</v>
      </c>
      <c r="C4979" s="1003">
        <v>150.786</v>
      </c>
      <c r="D4979" s="1091">
        <v>93.7</v>
      </c>
      <c r="E4979" s="742">
        <v>-0.37858952422638703</v>
      </c>
      <c r="F4979" s="946">
        <v>-1.2619524611038159E-2</v>
      </c>
      <c r="G4979" s="78"/>
      <c r="H4979" t="s">
        <v>4045</v>
      </c>
    </row>
    <row r="4980" spans="1:9" hidden="1" outlineLevel="1" x14ac:dyDescent="0.25">
      <c r="A4980" s="1075">
        <v>3.3333000000000002E-2</v>
      </c>
      <c r="B4980" s="743" t="s">
        <v>3307</v>
      </c>
      <c r="C4980" s="1003">
        <v>114.14100000000001</v>
      </c>
      <c r="D4980" s="1091">
        <v>175.45</v>
      </c>
      <c r="E4980" s="742">
        <v>0.53713389579555093</v>
      </c>
      <c r="F4980" s="946">
        <v>1.79042841485531E-2</v>
      </c>
      <c r="G4980" s="78"/>
      <c r="H4980" t="e">
        <v>#N/A</v>
      </c>
    </row>
    <row r="4981" spans="1:9" hidden="1" outlineLevel="1" x14ac:dyDescent="0.25">
      <c r="A4981" s="1075">
        <v>3.3333000000000002E-2</v>
      </c>
      <c r="B4981" s="743" t="s">
        <v>1653</v>
      </c>
      <c r="C4981" s="1003">
        <v>12.292</v>
      </c>
      <c r="D4981" s="1091">
        <v>12.975</v>
      </c>
      <c r="E4981" s="742">
        <v>5.5564594858444449E-2</v>
      </c>
      <c r="F4981" s="946">
        <v>1.8521346404165289E-3</v>
      </c>
      <c r="G4981" s="78"/>
      <c r="H4981" t="s">
        <v>285</v>
      </c>
    </row>
    <row r="4982" spans="1:9" hidden="1" outlineLevel="1" x14ac:dyDescent="0.25">
      <c r="A4982" s="1075">
        <v>3.3333000000000002E-2</v>
      </c>
      <c r="B4982" s="996" t="s">
        <v>3800</v>
      </c>
      <c r="C4982" s="1003">
        <v>211.19</v>
      </c>
      <c r="D4982" s="1091">
        <v>246</v>
      </c>
      <c r="E4982" s="742">
        <v>0.16482788010795968</v>
      </c>
      <c r="F4982" s="946">
        <v>5.4942077276386204E-3</v>
      </c>
      <c r="G4982" s="78"/>
      <c r="H4982" t="s">
        <v>2817</v>
      </c>
    </row>
    <row r="4983" spans="1:9" hidden="1" outlineLevel="1" x14ac:dyDescent="0.25">
      <c r="A4983" s="1076">
        <v>3.3333000000000002E-2</v>
      </c>
      <c r="B4983" s="997" t="s">
        <v>2893</v>
      </c>
      <c r="C4983" s="1005">
        <v>313</v>
      </c>
      <c r="D4983" s="945">
        <v>594</v>
      </c>
      <c r="E4983" s="748">
        <v>0.89776357827476039</v>
      </c>
      <c r="F4983" s="1023">
        <v>2.992515335463259E-2</v>
      </c>
      <c r="G4983" s="78"/>
      <c r="H4983" t="s">
        <v>4416</v>
      </c>
    </row>
    <row r="4984" spans="1:9" hidden="1" outlineLevel="1" x14ac:dyDescent="0.25">
      <c r="A4984" s="749"/>
      <c r="B4984" s="750"/>
      <c r="C4984" s="727"/>
      <c r="D4984" s="727"/>
      <c r="E4984" s="716"/>
      <c r="F4984" s="770">
        <v>0.28498884388525531</v>
      </c>
      <c r="G4984" s="78"/>
    </row>
    <row r="4985" spans="1:9" collapsed="1" x14ac:dyDescent="0.25">
      <c r="A4985" s="3801" t="s">
        <v>2210</v>
      </c>
      <c r="B4985" s="3802"/>
      <c r="C4985" s="3802"/>
      <c r="D4985" s="3802"/>
      <c r="E4985" s="721"/>
      <c r="F4985" s="752">
        <v>5.7852111111111118E-2</v>
      </c>
      <c r="G4985" s="97" t="s">
        <v>781</v>
      </c>
    </row>
    <row r="4987" spans="1:9" hidden="1" outlineLevel="1" x14ac:dyDescent="0.25">
      <c r="A4987" s="689" t="s">
        <v>113</v>
      </c>
      <c r="B4987" s="689" t="s">
        <v>114</v>
      </c>
      <c r="C4987" s="689" t="s">
        <v>112</v>
      </c>
      <c r="D4987" s="689" t="s">
        <v>116</v>
      </c>
      <c r="E4987" s="689" t="s">
        <v>117</v>
      </c>
      <c r="F4987" s="1188" t="s">
        <v>121</v>
      </c>
      <c r="G4987" s="78"/>
    </row>
    <row r="4988" spans="1:9" hidden="1" outlineLevel="1" x14ac:dyDescent="0.25">
      <c r="A4988" s="690">
        <v>1</v>
      </c>
      <c r="B4988" s="691" t="s">
        <v>252</v>
      </c>
      <c r="C4988" s="692">
        <v>100</v>
      </c>
      <c r="D4988" s="692"/>
      <c r="E4988" s="693"/>
      <c r="F4988" s="694"/>
      <c r="G4988" s="78"/>
    </row>
    <row r="4989" spans="1:9" hidden="1" outlineLevel="1" x14ac:dyDescent="0.25">
      <c r="A4989" s="695"/>
      <c r="B4989" s="695"/>
      <c r="C4989" s="696"/>
      <c r="D4989" s="697" t="s">
        <v>3702</v>
      </c>
      <c r="E4989" s="698">
        <v>41060</v>
      </c>
      <c r="F4989" s="699"/>
      <c r="G4989" s="78"/>
    </row>
    <row r="4990" spans="1:9" hidden="1" outlineLevel="1" x14ac:dyDescent="0.25">
      <c r="A4990" s="689" t="s">
        <v>4156</v>
      </c>
      <c r="B4990" s="689" t="s">
        <v>4153</v>
      </c>
      <c r="C4990" s="497" t="s">
        <v>112</v>
      </c>
      <c r="D4990" s="495" t="s">
        <v>4155</v>
      </c>
      <c r="E4990" s="689" t="s">
        <v>4154</v>
      </c>
      <c r="F4990" s="1021" t="s">
        <v>2519</v>
      </c>
      <c r="G4990" s="78"/>
    </row>
    <row r="4991" spans="1:9" hidden="1" outlineLevel="1" x14ac:dyDescent="0.25">
      <c r="A4991" s="999">
        <v>0.05</v>
      </c>
      <c r="B4991" s="1000" t="s">
        <v>1993</v>
      </c>
      <c r="C4991" s="1007">
        <v>77.144000000000005</v>
      </c>
      <c r="D4991" s="803">
        <v>116.7</v>
      </c>
      <c r="E4991" s="705">
        <v>0.51275536658716159</v>
      </c>
      <c r="F4991" s="1021">
        <v>2.5637768329358081E-2</v>
      </c>
      <c r="G4991" s="78"/>
      <c r="H4991" t="s">
        <v>2812</v>
      </c>
      <c r="I4991" s="39" t="s">
        <v>3533</v>
      </c>
    </row>
    <row r="4992" spans="1:9" hidden="1" outlineLevel="1" x14ac:dyDescent="0.25">
      <c r="A4992" s="1002">
        <v>0.05</v>
      </c>
      <c r="B4992" s="740" t="s">
        <v>3998</v>
      </c>
      <c r="C4992" s="1008">
        <v>40.177999999999997</v>
      </c>
      <c r="D4992" s="908">
        <v>34.17</v>
      </c>
      <c r="E4992" s="709">
        <v>-0.14953457115834523</v>
      </c>
      <c r="F4992" s="946">
        <v>-7.4767285579172621E-3</v>
      </c>
      <c r="G4992" s="78"/>
      <c r="H4992" t="s">
        <v>4000</v>
      </c>
    </row>
    <row r="4993" spans="1:8" hidden="1" outlineLevel="1" x14ac:dyDescent="0.25">
      <c r="A4993" s="1002">
        <v>0.05</v>
      </c>
      <c r="B4993" s="939" t="s">
        <v>2984</v>
      </c>
      <c r="C4993" s="1008">
        <v>17.021999999999998</v>
      </c>
      <c r="D4993" s="908">
        <v>4.6020000000000003</v>
      </c>
      <c r="E4993" s="709">
        <v>-0.72964399013041947</v>
      </c>
      <c r="F4993" s="946">
        <v>-3.6482199506520978E-2</v>
      </c>
      <c r="G4993" s="78"/>
      <c r="H4993" t="s">
        <v>2326</v>
      </c>
    </row>
    <row r="4994" spans="1:8" hidden="1" outlineLevel="1" x14ac:dyDescent="0.25">
      <c r="A4994" s="1002">
        <v>0.05</v>
      </c>
      <c r="B4994" s="996" t="s">
        <v>157</v>
      </c>
      <c r="C4994" s="1008">
        <v>14.669</v>
      </c>
      <c r="D4994" s="908">
        <v>4.2949999999999999</v>
      </c>
      <c r="E4994" s="709">
        <v>-0.70720567182493688</v>
      </c>
      <c r="F4994" s="946">
        <v>-3.5360283591246842E-2</v>
      </c>
      <c r="G4994" s="78"/>
      <c r="H4994" t="s">
        <v>730</v>
      </c>
    </row>
    <row r="4995" spans="1:8" hidden="1" outlineLevel="1" x14ac:dyDescent="0.25">
      <c r="A4995" s="1002">
        <v>0.05</v>
      </c>
      <c r="B4995" s="996" t="s">
        <v>1184</v>
      </c>
      <c r="C4995" s="1008">
        <v>48.8185</v>
      </c>
      <c r="D4995" s="908">
        <v>56.38</v>
      </c>
      <c r="E4995" s="709">
        <v>0.15489005192703598</v>
      </c>
      <c r="F4995" s="946">
        <v>7.744502596351799E-3</v>
      </c>
      <c r="G4995" s="78"/>
      <c r="H4995" t="s">
        <v>3497</v>
      </c>
    </row>
    <row r="4996" spans="1:8" hidden="1" outlineLevel="1" x14ac:dyDescent="0.25">
      <c r="A4996" s="1002">
        <v>0.05</v>
      </c>
      <c r="B4996" s="743" t="s">
        <v>3021</v>
      </c>
      <c r="C4996" s="1008">
        <v>24.588999999999999</v>
      </c>
      <c r="D4996" s="908">
        <v>15.6</v>
      </c>
      <c r="E4996" s="709">
        <v>-0.36556997031192806</v>
      </c>
      <c r="F4996" s="946">
        <v>-1.8278498515596403E-2</v>
      </c>
      <c r="G4996" s="78"/>
      <c r="H4996" t="s">
        <v>4124</v>
      </c>
    </row>
    <row r="4997" spans="1:8" hidden="1" outlineLevel="1" x14ac:dyDescent="0.25">
      <c r="A4997" s="1002">
        <v>0.05</v>
      </c>
      <c r="B4997" s="996" t="s">
        <v>581</v>
      </c>
      <c r="C4997" s="1008">
        <v>91.356999999999999</v>
      </c>
      <c r="D4997" s="908">
        <v>98.31</v>
      </c>
      <c r="E4997" s="709">
        <v>7.6108015806123364E-2</v>
      </c>
      <c r="F4997" s="946">
        <v>3.8054007903061682E-3</v>
      </c>
      <c r="G4997" s="78"/>
      <c r="H4997" t="s">
        <v>589</v>
      </c>
    </row>
    <row r="4998" spans="1:8" hidden="1" outlineLevel="1" x14ac:dyDescent="0.25">
      <c r="A4998" s="1002">
        <v>0.05</v>
      </c>
      <c r="B4998" s="996" t="s">
        <v>2724</v>
      </c>
      <c r="C4998" s="1008">
        <v>60.015000000000001</v>
      </c>
      <c r="D4998" s="908">
        <v>49.4</v>
      </c>
      <c r="E4998" s="709">
        <v>-0.17687244855452811</v>
      </c>
      <c r="F4998" s="946">
        <v>-8.8436224277264053E-3</v>
      </c>
      <c r="G4998" s="78"/>
      <c r="H4998" t="s">
        <v>2725</v>
      </c>
    </row>
    <row r="4999" spans="1:8" hidden="1" outlineLevel="1" x14ac:dyDescent="0.25">
      <c r="A4999" s="1002">
        <v>0.05</v>
      </c>
      <c r="B4999" s="996" t="s">
        <v>4064</v>
      </c>
      <c r="C4999" s="1008">
        <v>53.819000000000003</v>
      </c>
      <c r="D4999" s="908">
        <v>40.950000000000003</v>
      </c>
      <c r="E4999" s="709">
        <v>-0.2391162972184544</v>
      </c>
      <c r="F4999" s="946">
        <v>-1.1955814860922721E-2</v>
      </c>
      <c r="G4999" s="78"/>
      <c r="H4999" t="s">
        <v>170</v>
      </c>
    </row>
    <row r="5000" spans="1:8" hidden="1" outlineLevel="1" x14ac:dyDescent="0.25">
      <c r="A5000" s="1002">
        <v>0.05</v>
      </c>
      <c r="B5000" s="996" t="s">
        <v>1771</v>
      </c>
      <c r="C5000" s="1008">
        <v>841.85</v>
      </c>
      <c r="D5000" s="908">
        <v>509.5</v>
      </c>
      <c r="E5000" s="709">
        <v>-0.39478529429233233</v>
      </c>
      <c r="F5000" s="946">
        <v>-1.9739264714616619E-2</v>
      </c>
      <c r="G5000" s="78"/>
      <c r="H5000" t="s">
        <v>4329</v>
      </c>
    </row>
    <row r="5001" spans="1:8" hidden="1" outlineLevel="1" x14ac:dyDescent="0.25">
      <c r="A5001" s="1002">
        <v>0.05</v>
      </c>
      <c r="B5001" s="996" t="s">
        <v>2588</v>
      </c>
      <c r="C5001" s="1008">
        <v>26.795000000000002</v>
      </c>
      <c r="D5001" s="908">
        <v>4.6710000000000003</v>
      </c>
      <c r="E5001" s="709">
        <v>-0.82567643217018105</v>
      </c>
      <c r="F5001" s="946">
        <v>-4.1283821608509054E-2</v>
      </c>
      <c r="G5001" s="78"/>
      <c r="H5001" t="s">
        <v>4132</v>
      </c>
    </row>
    <row r="5002" spans="1:8" hidden="1" outlineLevel="1" x14ac:dyDescent="0.25">
      <c r="A5002" s="1002">
        <v>0.05</v>
      </c>
      <c r="B5002" s="996" t="s">
        <v>44</v>
      </c>
      <c r="C5002" s="1008">
        <v>5.4164000000000003</v>
      </c>
      <c r="D5002" s="908">
        <v>1.0029999999999999</v>
      </c>
      <c r="E5002" s="709">
        <v>-0.81482165275828966</v>
      </c>
      <c r="F5002" s="946">
        <v>-4.0741082637914483E-2</v>
      </c>
      <c r="G5002" s="78"/>
      <c r="H5002" t="s">
        <v>204</v>
      </c>
    </row>
    <row r="5003" spans="1:8" hidden="1" outlineLevel="1" x14ac:dyDescent="0.25">
      <c r="A5003" s="1002">
        <v>0.05</v>
      </c>
      <c r="B5003" s="996" t="s">
        <v>2160</v>
      </c>
      <c r="C5003" s="1008">
        <v>33.695999999999998</v>
      </c>
      <c r="D5003" s="908">
        <v>38.270000000000003</v>
      </c>
      <c r="E5003" s="709">
        <v>0.13574311490978164</v>
      </c>
      <c r="F5003" s="946">
        <v>6.7871557454890824E-3</v>
      </c>
      <c r="G5003" s="78"/>
      <c r="H5003" t="s">
        <v>5507</v>
      </c>
    </row>
    <row r="5004" spans="1:8" hidden="1" outlineLevel="1" x14ac:dyDescent="0.25">
      <c r="A5004" s="1002">
        <v>0.05</v>
      </c>
      <c r="B5004" s="996" t="s">
        <v>2726</v>
      </c>
      <c r="C5004" s="1008">
        <v>38.143999999999998</v>
      </c>
      <c r="D5004" s="908">
        <v>22.48</v>
      </c>
      <c r="E5004" s="709">
        <v>-0.41065436241610731</v>
      </c>
      <c r="F5004" s="946">
        <v>-2.0532718120805368E-2</v>
      </c>
      <c r="G5004" s="78"/>
      <c r="H5004" t="s">
        <v>2727</v>
      </c>
    </row>
    <row r="5005" spans="1:8" hidden="1" outlineLevel="1" x14ac:dyDescent="0.25">
      <c r="A5005" s="1002">
        <v>0.05</v>
      </c>
      <c r="B5005" s="996" t="s">
        <v>1414</v>
      </c>
      <c r="C5005" s="1008">
        <v>23.597999999999999</v>
      </c>
      <c r="D5005" s="908">
        <v>21.87</v>
      </c>
      <c r="E5005" s="709">
        <v>-7.3226544622425505E-2</v>
      </c>
      <c r="F5005" s="946">
        <v>-3.6613272311212756E-3</v>
      </c>
      <c r="G5005" s="78"/>
      <c r="H5005" t="s">
        <v>2428</v>
      </c>
    </row>
    <row r="5006" spans="1:8" hidden="1" outlineLevel="1" x14ac:dyDescent="0.25">
      <c r="A5006" s="1002">
        <v>0.05</v>
      </c>
      <c r="B5006" s="996" t="s">
        <v>2728</v>
      </c>
      <c r="C5006" s="1008">
        <v>51.615000000000002</v>
      </c>
      <c r="D5006" s="908">
        <v>51.55</v>
      </c>
      <c r="E5006" s="709">
        <v>-1.2593238399690732E-3</v>
      </c>
      <c r="F5006" s="946">
        <v>-6.2966191998453655E-5</v>
      </c>
      <c r="G5006" s="78"/>
      <c r="H5006" t="s">
        <v>258</v>
      </c>
    </row>
    <row r="5007" spans="1:8" hidden="1" outlineLevel="1" x14ac:dyDescent="0.25">
      <c r="A5007" s="1002">
        <v>0.05</v>
      </c>
      <c r="B5007" s="996" t="s">
        <v>577</v>
      </c>
      <c r="C5007" s="1008">
        <v>22.628</v>
      </c>
      <c r="D5007" s="908">
        <v>8.9369999999999994</v>
      </c>
      <c r="E5007" s="709">
        <v>-0.6050468446172883</v>
      </c>
      <c r="F5007" s="946">
        <v>-3.0252342230864416E-2</v>
      </c>
      <c r="G5007" s="78"/>
      <c r="H5007" t="s">
        <v>2804</v>
      </c>
    </row>
    <row r="5008" spans="1:8" hidden="1" outlineLevel="1" x14ac:dyDescent="0.25">
      <c r="A5008" s="1002">
        <v>0.05</v>
      </c>
      <c r="B5008" s="996" t="s">
        <v>2628</v>
      </c>
      <c r="C5008" s="1008">
        <v>5.7550999999999997</v>
      </c>
      <c r="D5008" s="908">
        <v>0.68100000000000005</v>
      </c>
      <c r="E5008" s="709">
        <v>-0.88167017080502508</v>
      </c>
      <c r="F5008" s="946">
        <v>-4.4083508540251254E-2</v>
      </c>
      <c r="G5008" s="78"/>
      <c r="H5008" t="s">
        <v>1896</v>
      </c>
    </row>
    <row r="5009" spans="1:15" hidden="1" outlineLevel="1" x14ac:dyDescent="0.25">
      <c r="A5009" s="1002">
        <v>0.05</v>
      </c>
      <c r="B5009" s="996" t="s">
        <v>2137</v>
      </c>
      <c r="C5009" s="1008">
        <v>32.500999999999998</v>
      </c>
      <c r="D5009" s="908">
        <v>31.11</v>
      </c>
      <c r="E5009" s="709">
        <v>-4.2798683117442504E-2</v>
      </c>
      <c r="F5009" s="946">
        <v>-2.1399341558721251E-3</v>
      </c>
      <c r="G5009" s="78"/>
      <c r="H5009" t="s">
        <v>2123</v>
      </c>
    </row>
    <row r="5010" spans="1:15" hidden="1" outlineLevel="1" x14ac:dyDescent="0.25">
      <c r="A5010" s="1004">
        <v>0.05</v>
      </c>
      <c r="B5010" s="824" t="s">
        <v>3019</v>
      </c>
      <c r="C5010" s="1009">
        <v>75.358999999999995</v>
      </c>
      <c r="D5010" s="715">
        <v>25.725000000000001</v>
      </c>
      <c r="E5010" s="716">
        <v>-0.65863400522830706</v>
      </c>
      <c r="F5010" s="1023">
        <v>-3.2931700261415356E-2</v>
      </c>
      <c r="G5010" s="78"/>
      <c r="H5010" t="s">
        <v>2745</v>
      </c>
    </row>
    <row r="5011" spans="1:15" hidden="1" outlineLevel="1" x14ac:dyDescent="0.25">
      <c r="A5011" s="749"/>
      <c r="B5011" s="750"/>
      <c r="C5011" s="727"/>
      <c r="D5011" s="727"/>
      <c r="E5011" s="716"/>
      <c r="F5011" s="770">
        <v>-0.27660000000000001</v>
      </c>
      <c r="G5011" s="78"/>
    </row>
    <row r="5012" spans="1:15" hidden="1" outlineLevel="1" x14ac:dyDescent="0.25">
      <c r="A5012" s="749"/>
      <c r="B5012" s="750"/>
      <c r="C5012" s="727"/>
      <c r="D5012" s="727"/>
      <c r="E5012" s="716"/>
      <c r="F5012" s="770"/>
      <c r="G5012" s="78"/>
    </row>
    <row r="5013" spans="1:15" hidden="1" outlineLevel="1" x14ac:dyDescent="0.25">
      <c r="A5013" s="962" t="s">
        <v>4233</v>
      </c>
      <c r="B5013" s="985">
        <v>39479</v>
      </c>
      <c r="C5013" s="727">
        <v>100</v>
      </c>
      <c r="D5013" s="727">
        <v>87.137900000000002</v>
      </c>
      <c r="E5013" s="716">
        <v>-0.12862099999999999</v>
      </c>
      <c r="F5013" s="731">
        <v>-0.12862099999999999</v>
      </c>
      <c r="G5013" s="78"/>
    </row>
    <row r="5014" spans="1:15" hidden="1" outlineLevel="1" x14ac:dyDescent="0.25">
      <c r="A5014" s="962" t="s">
        <v>4234</v>
      </c>
      <c r="B5014" s="985">
        <v>39569</v>
      </c>
      <c r="C5014" s="727">
        <v>100</v>
      </c>
      <c r="D5014" s="727">
        <v>91.274500000000003</v>
      </c>
      <c r="E5014" s="716">
        <v>-8.7254999999999971E-2</v>
      </c>
      <c r="F5014" s="731">
        <v>-8.7254999999999971E-2</v>
      </c>
      <c r="G5014" s="78"/>
    </row>
    <row r="5015" spans="1:15" hidden="1" outlineLevel="1" x14ac:dyDescent="0.25">
      <c r="A5015" s="962" t="s">
        <v>4235</v>
      </c>
      <c r="B5015" s="985">
        <v>39661</v>
      </c>
      <c r="C5015" s="727">
        <v>100</v>
      </c>
      <c r="D5015" s="727">
        <v>82.446399999999997</v>
      </c>
      <c r="E5015" s="716">
        <v>-0.17553600000000003</v>
      </c>
      <c r="F5015" s="731">
        <v>-0.17553600000000003</v>
      </c>
      <c r="G5015" s="78"/>
    </row>
    <row r="5016" spans="1:15" hidden="1" outlineLevel="1" x14ac:dyDescent="0.25">
      <c r="A5016" s="962" t="s">
        <v>4236</v>
      </c>
      <c r="B5016" s="985">
        <v>39753</v>
      </c>
      <c r="C5016" s="727">
        <v>100</v>
      </c>
      <c r="D5016" s="727">
        <v>62.668100000000003</v>
      </c>
      <c r="E5016" s="716">
        <v>-0.37331899999999996</v>
      </c>
      <c r="F5016" s="731">
        <v>-0.37331899999999996</v>
      </c>
      <c r="G5016" s="78"/>
      <c r="O5016">
        <v>38.571999990812152</v>
      </c>
    </row>
    <row r="5017" spans="1:15" hidden="1" outlineLevel="1" x14ac:dyDescent="0.25">
      <c r="A5017" s="962" t="s">
        <v>4237</v>
      </c>
      <c r="B5017" s="985">
        <v>39845</v>
      </c>
      <c r="C5017" s="727">
        <v>100</v>
      </c>
      <c r="D5017" s="727">
        <v>48.412599999999998</v>
      </c>
      <c r="E5017" s="716">
        <v>-0.51587399999999994</v>
      </c>
      <c r="F5017" s="731">
        <v>-0.51587399999999994</v>
      </c>
      <c r="G5017" s="78"/>
      <c r="H5017" s="21"/>
      <c r="O5017">
        <v>17.02200000177114</v>
      </c>
    </row>
    <row r="5018" spans="1:15" hidden="1" outlineLevel="1" x14ac:dyDescent="0.25">
      <c r="A5018" s="962" t="s">
        <v>3273</v>
      </c>
      <c r="B5018" s="985">
        <v>39934</v>
      </c>
      <c r="C5018" s="727">
        <v>100</v>
      </c>
      <c r="D5018" s="727">
        <v>61.602800000000002</v>
      </c>
      <c r="E5018" s="716">
        <v>-0.38397199999999998</v>
      </c>
      <c r="F5018" s="731">
        <v>-0.38397199999999998</v>
      </c>
      <c r="G5018" s="78"/>
      <c r="H5018" s="21"/>
      <c r="O5018">
        <v>13.676686156341061</v>
      </c>
    </row>
    <row r="5019" spans="1:15" hidden="1" outlineLevel="1" x14ac:dyDescent="0.25">
      <c r="A5019" s="962" t="s">
        <v>2389</v>
      </c>
      <c r="B5019" s="985">
        <v>40026</v>
      </c>
      <c r="C5019" s="727">
        <v>100</v>
      </c>
      <c r="D5019" s="727">
        <v>72.686300000000003</v>
      </c>
      <c r="E5019" s="716">
        <v>-0.27313699999999996</v>
      </c>
      <c r="F5019" s="731">
        <v>-0.27313699999999996</v>
      </c>
      <c r="G5019" s="78"/>
      <c r="H5019" s="21"/>
      <c r="O5019">
        <v>48.818500032254384</v>
      </c>
    </row>
    <row r="5020" spans="1:15" hidden="1" outlineLevel="1" x14ac:dyDescent="0.25">
      <c r="A5020" s="962" t="s">
        <v>2337</v>
      </c>
      <c r="B5020" s="985">
        <v>40118</v>
      </c>
      <c r="C5020" s="727">
        <v>100</v>
      </c>
      <c r="D5020" s="727">
        <v>75.072599999999994</v>
      </c>
      <c r="E5020" s="716">
        <v>-0.24927400000000011</v>
      </c>
      <c r="F5020" s="731">
        <v>-0.24927400000000011</v>
      </c>
      <c r="G5020" s="78"/>
      <c r="H5020" s="21"/>
      <c r="O5020">
        <v>19.209999994480327</v>
      </c>
    </row>
    <row r="5021" spans="1:15" hidden="1" outlineLevel="1" x14ac:dyDescent="0.25">
      <c r="A5021" s="962" t="s">
        <v>2338</v>
      </c>
      <c r="B5021" s="985">
        <v>40210</v>
      </c>
      <c r="C5021" s="727">
        <v>100</v>
      </c>
      <c r="D5021" s="727">
        <v>71.8994</v>
      </c>
      <c r="E5021" s="716">
        <v>-0.28100599999999998</v>
      </c>
      <c r="F5021" s="731">
        <v>-0.28100599999999998</v>
      </c>
      <c r="G5021" s="78"/>
      <c r="H5021" s="84"/>
      <c r="O5021">
        <v>31.684999998447434</v>
      </c>
    </row>
    <row r="5022" spans="1:15" hidden="1" outlineLevel="1" x14ac:dyDescent="0.25">
      <c r="A5022" s="962" t="s">
        <v>2339</v>
      </c>
      <c r="B5022" s="985">
        <v>40299</v>
      </c>
      <c r="C5022" s="727">
        <v>100</v>
      </c>
      <c r="D5022" s="727">
        <v>67.596900000000005</v>
      </c>
      <c r="E5022" s="716">
        <v>-0.32403099999999996</v>
      </c>
      <c r="F5022" s="731">
        <v>-0.32403099999999996</v>
      </c>
      <c r="G5022" s="78"/>
      <c r="H5022" s="84"/>
      <c r="O5022">
        <v>69.539999889500933</v>
      </c>
    </row>
    <row r="5023" spans="1:15" hidden="1" outlineLevel="1" x14ac:dyDescent="0.25">
      <c r="A5023" s="962" t="s">
        <v>4553</v>
      </c>
      <c r="B5023" s="985">
        <v>40391</v>
      </c>
      <c r="C5023" s="727">
        <v>100</v>
      </c>
      <c r="D5023" s="727">
        <v>69.427800000000005</v>
      </c>
      <c r="E5023" s="716">
        <v>-0.30572199999999994</v>
      </c>
      <c r="F5023" s="731">
        <v>-0.30572199999999994</v>
      </c>
      <c r="G5023" s="78"/>
      <c r="H5023" s="84"/>
      <c r="O5023">
        <v>10.620000002113381</v>
      </c>
    </row>
    <row r="5024" spans="1:15" hidden="1" outlineLevel="1" x14ac:dyDescent="0.25">
      <c r="A5024" s="962" t="s">
        <v>4554</v>
      </c>
      <c r="B5024" s="985">
        <v>40483</v>
      </c>
      <c r="C5024" s="727">
        <v>100</v>
      </c>
      <c r="D5024" s="727">
        <v>70.3506</v>
      </c>
      <c r="E5024" s="716">
        <v>-0.29649400000000004</v>
      </c>
      <c r="F5024" s="731">
        <v>-0.29649400000000004</v>
      </c>
      <c r="G5024" s="78"/>
      <c r="H5024" s="84"/>
      <c r="O5024">
        <v>20.399000006749347</v>
      </c>
    </row>
    <row r="5025" spans="1:15" hidden="1" outlineLevel="1" x14ac:dyDescent="0.25">
      <c r="A5025" s="962" t="s">
        <v>4555</v>
      </c>
      <c r="B5025" s="985">
        <v>40575</v>
      </c>
      <c r="C5025" s="727">
        <v>100</v>
      </c>
      <c r="D5025" s="727">
        <v>79.216499999999996</v>
      </c>
      <c r="E5025" s="716">
        <v>-0.20783499999999999</v>
      </c>
      <c r="F5025" s="731">
        <v>-0.20783499999999999</v>
      </c>
      <c r="G5025" s="78"/>
      <c r="H5025" s="84"/>
      <c r="O5025">
        <v>47.869000047775657</v>
      </c>
    </row>
    <row r="5026" spans="1:15" hidden="1" outlineLevel="1" x14ac:dyDescent="0.25">
      <c r="A5026" s="962" t="s">
        <v>4354</v>
      </c>
      <c r="B5026" s="985">
        <v>40664</v>
      </c>
      <c r="C5026" s="727">
        <v>100</v>
      </c>
      <c r="D5026" s="727">
        <v>79.23</v>
      </c>
      <c r="E5026" s="716">
        <v>-0.2077</v>
      </c>
      <c r="F5026" s="731">
        <v>-0.2077</v>
      </c>
      <c r="G5026" s="78"/>
      <c r="H5026" s="84"/>
      <c r="O5026">
        <v>53.819000007889862</v>
      </c>
    </row>
    <row r="5027" spans="1:15" hidden="1" outlineLevel="1" x14ac:dyDescent="0.25">
      <c r="A5027" s="962" t="s">
        <v>2680</v>
      </c>
      <c r="B5027" s="985">
        <v>40756</v>
      </c>
      <c r="C5027" s="727">
        <v>100</v>
      </c>
      <c r="D5027" s="727">
        <v>68.554100000000005</v>
      </c>
      <c r="E5027" s="716">
        <v>-0.31445899999999993</v>
      </c>
      <c r="F5027" s="731">
        <v>-0.31445899999999993</v>
      </c>
      <c r="G5027" s="78"/>
      <c r="H5027" s="21"/>
      <c r="O5027">
        <v>7.2413297700357111</v>
      </c>
    </row>
    <row r="5028" spans="1:15" hidden="1" outlineLevel="1" x14ac:dyDescent="0.25">
      <c r="A5028" s="962" t="s">
        <v>3501</v>
      </c>
      <c r="B5028" s="985">
        <v>40848</v>
      </c>
      <c r="C5028" s="727">
        <v>100</v>
      </c>
      <c r="D5028" s="727">
        <v>69.3155</v>
      </c>
      <c r="E5028" s="716">
        <v>-0.30684500000000003</v>
      </c>
      <c r="F5028" s="731">
        <v>-0.30684500000000003</v>
      </c>
      <c r="G5028" s="78"/>
      <c r="H5028" s="21"/>
      <c r="O5028">
        <v>29.18092417035415</v>
      </c>
    </row>
    <row r="5029" spans="1:15" hidden="1" outlineLevel="1" x14ac:dyDescent="0.25">
      <c r="A5029" s="962" t="s">
        <v>3502</v>
      </c>
      <c r="B5029" s="985">
        <v>40940</v>
      </c>
      <c r="C5029" s="727">
        <v>100</v>
      </c>
      <c r="D5029" s="727">
        <v>75.44</v>
      </c>
      <c r="E5029" s="716">
        <v>-0.24560000000000004</v>
      </c>
      <c r="F5029" s="731">
        <v>-0.24560000000000004</v>
      </c>
      <c r="G5029" s="78"/>
      <c r="H5029" s="418" t="s">
        <v>1837</v>
      </c>
      <c r="O5029">
        <v>36.978000016543959</v>
      </c>
    </row>
    <row r="5030" spans="1:15" hidden="1" outlineLevel="1" x14ac:dyDescent="0.25">
      <c r="A5030" s="962" t="s">
        <v>190</v>
      </c>
      <c r="B5030" s="985">
        <v>41030</v>
      </c>
      <c r="C5030" s="727">
        <v>100</v>
      </c>
      <c r="D5030" s="727">
        <v>69.798299999999998</v>
      </c>
      <c r="E5030" s="716">
        <v>-0.30201699999999998</v>
      </c>
      <c r="F5030" s="731">
        <v>-0.30201699999999998</v>
      </c>
      <c r="G5030" s="78"/>
      <c r="H5030" s="419">
        <v>-0.27659427777777773</v>
      </c>
      <c r="O5030">
        <v>7.3362176399270256</v>
      </c>
    </row>
    <row r="5031" spans="1:15" hidden="1" outlineLevel="1" x14ac:dyDescent="0.25">
      <c r="A5031" s="749"/>
      <c r="B5031" s="750"/>
      <c r="C5031" s="727"/>
      <c r="D5031" s="727"/>
      <c r="E5031" s="720"/>
      <c r="F5031" s="731"/>
      <c r="G5031" s="78"/>
      <c r="O5031">
        <v>20.575344595639812</v>
      </c>
    </row>
    <row r="5032" spans="1:15" collapsed="1" x14ac:dyDescent="0.25">
      <c r="A5032" s="3801" t="s">
        <v>1425</v>
      </c>
      <c r="B5032" s="3802"/>
      <c r="C5032" s="3802"/>
      <c r="D5032" s="3802"/>
      <c r="E5032" s="721"/>
      <c r="F5032" s="722">
        <v>0</v>
      </c>
      <c r="G5032" s="97" t="s">
        <v>781</v>
      </c>
      <c r="H5032" s="406"/>
      <c r="O5032">
        <v>45.229000046940918</v>
      </c>
    </row>
    <row r="5033" spans="1:15" x14ac:dyDescent="0.25">
      <c r="O5033">
        <f t="shared" ref="O5033:O5045" si="175">A5055/N5055*100</f>
        <v>59.802999947722199</v>
      </c>
    </row>
    <row r="5034" spans="1:15" hidden="1" outlineLevel="1" x14ac:dyDescent="0.25">
      <c r="A5034" s="689" t="s">
        <v>113</v>
      </c>
      <c r="B5034" s="689" t="s">
        <v>114</v>
      </c>
      <c r="C5034" s="689" t="s">
        <v>112</v>
      </c>
      <c r="D5034" s="689" t="s">
        <v>116</v>
      </c>
      <c r="E5034" s="689" t="s">
        <v>117</v>
      </c>
      <c r="F5034" s="1188" t="s">
        <v>121</v>
      </c>
      <c r="G5034" s="78"/>
      <c r="O5034">
        <f t="shared" si="175"/>
        <v>1206.9999843391752</v>
      </c>
    </row>
    <row r="5035" spans="1:15" hidden="1" outlineLevel="1" x14ac:dyDescent="0.25">
      <c r="A5035" s="690">
        <v>1</v>
      </c>
      <c r="B5035" s="691" t="s">
        <v>252</v>
      </c>
      <c r="C5035" s="692">
        <v>100</v>
      </c>
      <c r="D5035" s="692"/>
      <c r="E5035" s="693"/>
      <c r="F5035" s="694"/>
      <c r="G5035" s="78"/>
      <c r="O5035">
        <f t="shared" si="175"/>
        <v>63.525000095446316</v>
      </c>
    </row>
    <row r="5036" spans="1:15" hidden="1" outlineLevel="1" x14ac:dyDescent="0.25">
      <c r="A5036" s="695"/>
      <c r="B5036" s="695"/>
      <c r="C5036" s="696"/>
      <c r="D5036" s="697" t="s">
        <v>3702</v>
      </c>
      <c r="E5036" s="698">
        <v>40421</v>
      </c>
      <c r="F5036" s="699"/>
      <c r="G5036" s="78"/>
      <c r="O5036">
        <f t="shared" si="175"/>
        <v>23.598000004133191</v>
      </c>
    </row>
    <row r="5037" spans="1:15" hidden="1" outlineLevel="1" x14ac:dyDescent="0.25">
      <c r="A5037" s="689" t="s">
        <v>4156</v>
      </c>
      <c r="B5037" s="689" t="s">
        <v>4153</v>
      </c>
      <c r="C5037" s="700" t="s">
        <v>112</v>
      </c>
      <c r="D5037" s="495" t="s">
        <v>116</v>
      </c>
      <c r="E5037" s="495" t="s">
        <v>4154</v>
      </c>
      <c r="F5037" s="1021" t="s">
        <v>2519</v>
      </c>
      <c r="G5037" s="78"/>
      <c r="O5037">
        <f t="shared" si="175"/>
        <v>13.141215361636322</v>
      </c>
    </row>
    <row r="5038" spans="1:15" hidden="1" outlineLevel="1" x14ac:dyDescent="0.25">
      <c r="A5038" s="734">
        <v>0.04</v>
      </c>
      <c r="B5038" s="735" t="s">
        <v>1993</v>
      </c>
      <c r="C5038" s="1145">
        <v>38.57</v>
      </c>
      <c r="D5038" s="1090">
        <v>22.32</v>
      </c>
      <c r="E5038" s="738">
        <f>D5038/C5038-1</f>
        <v>-0.42131190044075706</v>
      </c>
      <c r="F5038" s="1021">
        <f>E5038*A5038</f>
        <v>-1.6852476017630284E-2</v>
      </c>
      <c r="G5038" s="78"/>
      <c r="H5038" t="str">
        <f>VLOOKUP(B5038,indexy!$A$44:$D$397,3,FALSE)</f>
        <v>MO UN Equity</v>
      </c>
      <c r="I5038" s="39" t="s">
        <v>3533</v>
      </c>
      <c r="N5038" s="344">
        <f>0.0518510837</f>
        <v>5.1851083700000002E-2</v>
      </c>
      <c r="O5038">
        <f t="shared" si="175"/>
        <v>67.555000055293775</v>
      </c>
    </row>
    <row r="5039" spans="1:15" hidden="1" outlineLevel="1" x14ac:dyDescent="0.25">
      <c r="A5039" s="739">
        <v>0.04</v>
      </c>
      <c r="B5039" s="987" t="s">
        <v>2984</v>
      </c>
      <c r="C5039" s="1112">
        <v>17.021999999999998</v>
      </c>
      <c r="D5039" s="1091">
        <v>9.516</v>
      </c>
      <c r="E5039" s="742">
        <f t="shared" ref="E5039:E5067" si="176">D5039/C5039-1</f>
        <v>-0.44095875925273176</v>
      </c>
      <c r="F5039" s="946">
        <f t="shared" ref="F5039:F5067" si="177">E5039*A5039</f>
        <v>-1.763835037010927E-2</v>
      </c>
      <c r="G5039" s="78"/>
      <c r="H5039" t="str">
        <f>VLOOKUP(B5039,indexy!$A$44:$D$397,3,FALSE)</f>
        <v>BBVA SM Equity</v>
      </c>
      <c r="J5039" t="s">
        <v>2040</v>
      </c>
      <c r="N5039" s="344">
        <v>0.23499001289999999</v>
      </c>
      <c r="O5039">
        <f t="shared" si="175"/>
        <v>200.95000050505431</v>
      </c>
    </row>
    <row r="5040" spans="1:15" hidden="1" outlineLevel="1" x14ac:dyDescent="0.25">
      <c r="A5040" s="739">
        <v>0.03</v>
      </c>
      <c r="B5040" s="740" t="s">
        <v>157</v>
      </c>
      <c r="C5040" s="1112">
        <v>13.67</v>
      </c>
      <c r="D5040" s="1091">
        <v>9.2469999999999999</v>
      </c>
      <c r="E5040" s="742">
        <f t="shared" si="176"/>
        <v>-0.32355523043160206</v>
      </c>
      <c r="F5040" s="946">
        <f t="shared" si="177"/>
        <v>-9.7066569129480619E-3</v>
      </c>
      <c r="G5040" s="78"/>
      <c r="H5040" t="str">
        <f>VLOOKUP(B5040,indexy!$A$44:$D$397,3,FALSE)</f>
        <v>SAN SM Equity</v>
      </c>
      <c r="J5040" s="256">
        <v>40238</v>
      </c>
      <c r="K5040">
        <v>71.091700000000003</v>
      </c>
      <c r="L5040" s="31"/>
      <c r="N5040" s="344">
        <v>0.21935138130000001</v>
      </c>
      <c r="O5040">
        <f t="shared" si="175"/>
        <v>95.416999992703794</v>
      </c>
    </row>
    <row r="5041" spans="1:15" hidden="1" outlineLevel="1" x14ac:dyDescent="0.25">
      <c r="A5041" s="739">
        <v>0.05</v>
      </c>
      <c r="B5041" s="740" t="s">
        <v>1184</v>
      </c>
      <c r="C5041" s="1112">
        <f>97.637/2</f>
        <v>48.8185</v>
      </c>
      <c r="D5041" s="1091">
        <v>41.634999999999998</v>
      </c>
      <c r="E5041" s="742">
        <f t="shared" si="176"/>
        <v>-0.14714708563352008</v>
      </c>
      <c r="F5041" s="946">
        <f t="shared" si="177"/>
        <v>-7.3573542816760045E-3</v>
      </c>
      <c r="G5041" s="78"/>
      <c r="H5041" t="str">
        <f>VLOOKUP(B5041,indexy!$A$44:$D$397,3,FALSE)</f>
        <v>BAS GY Equity</v>
      </c>
      <c r="J5041" s="256">
        <v>40269</v>
      </c>
      <c r="K5041">
        <v>69.704300000000003</v>
      </c>
      <c r="N5041" s="344">
        <v>0.10242018899999999</v>
      </c>
      <c r="O5041">
        <f t="shared" si="175"/>
        <v>65.356000014116901</v>
      </c>
    </row>
    <row r="5042" spans="1:15" hidden="1" outlineLevel="1" x14ac:dyDescent="0.25">
      <c r="A5042" s="739">
        <v>0.03</v>
      </c>
      <c r="B5042" s="740" t="s">
        <v>901</v>
      </c>
      <c r="C5042" s="1112">
        <v>1921</v>
      </c>
      <c r="D5042" s="1091">
        <v>2216</v>
      </c>
      <c r="E5042" s="742">
        <f t="shared" si="176"/>
        <v>0.15356585111920884</v>
      </c>
      <c r="F5042" s="946">
        <f t="shared" si="177"/>
        <v>4.6069755335762649E-3</v>
      </c>
      <c r="G5042" s="78"/>
      <c r="H5042" t="str">
        <f>VLOOKUP(B5042,indexy!$A$44:$D$397,3,FALSE)</f>
        <v>BATS LN Equity</v>
      </c>
      <c r="J5042" s="256">
        <v>40299</v>
      </c>
      <c r="K5042">
        <v>64.928200000000004</v>
      </c>
      <c r="N5042" s="344">
        <v>0.1561686622</v>
      </c>
      <c r="O5042">
        <f t="shared" si="175"/>
        <v>113.64999969911163</v>
      </c>
    </row>
    <row r="5043" spans="1:15" hidden="1" outlineLevel="1" x14ac:dyDescent="0.25">
      <c r="A5043" s="739">
        <v>0.03</v>
      </c>
      <c r="B5043" s="740" t="s">
        <v>1847</v>
      </c>
      <c r="C5043" s="1112">
        <v>31.684999999999999</v>
      </c>
      <c r="D5043" s="1091">
        <v>3.72</v>
      </c>
      <c r="E5043" s="742">
        <f t="shared" si="176"/>
        <v>-0.88259428751775282</v>
      </c>
      <c r="F5043" s="946">
        <f t="shared" si="177"/>
        <v>-2.6477828625532582E-2</v>
      </c>
      <c r="G5043" s="78"/>
      <c r="H5043" t="str">
        <f>VLOOKUP(B5043,indexy!$A$44:$D$397,3,FALSE)</f>
        <v>C UN Equity</v>
      </c>
      <c r="J5043" s="256">
        <v>40330</v>
      </c>
      <c r="K5043">
        <v>64.111000000000004</v>
      </c>
      <c r="N5043" s="344">
        <v>9.4682026200000005E-2</v>
      </c>
      <c r="O5043">
        <f t="shared" si="175"/>
        <v>22.628000005626831</v>
      </c>
    </row>
    <row r="5044" spans="1:15" hidden="1" outlineLevel="1" x14ac:dyDescent="0.25">
      <c r="A5044" s="739">
        <v>0.02</v>
      </c>
      <c r="B5044" s="740" t="s">
        <v>1212</v>
      </c>
      <c r="C5044" s="1112">
        <v>69.540000000000006</v>
      </c>
      <c r="D5044" s="1091">
        <v>44.59</v>
      </c>
      <c r="E5044" s="742">
        <f t="shared" si="176"/>
        <v>-0.35878631003738859</v>
      </c>
      <c r="F5044" s="946">
        <f t="shared" si="177"/>
        <v>-7.175726200747772E-3</v>
      </c>
      <c r="G5044" s="78"/>
      <c r="H5044" t="e">
        <f>VLOOKUP(B5044,indexy!$A$44:$D$397,3,FALSE)</f>
        <v>#N/A</v>
      </c>
      <c r="J5044" s="256">
        <v>40360</v>
      </c>
      <c r="K5044">
        <v>68.150999999999996</v>
      </c>
      <c r="N5044" s="344">
        <v>2.8760425700000002E-2</v>
      </c>
      <c r="O5044">
        <f t="shared" si="175"/>
        <v>55.450000011367251</v>
      </c>
    </row>
    <row r="5045" spans="1:15" hidden="1" outlineLevel="1" x14ac:dyDescent="0.25">
      <c r="A5045" s="739">
        <v>0.02</v>
      </c>
      <c r="B5045" s="740" t="s">
        <v>3406</v>
      </c>
      <c r="C5045" s="1112">
        <v>1062</v>
      </c>
      <c r="D5045" s="1091">
        <v>1059</v>
      </c>
      <c r="E5045" s="742">
        <f t="shared" si="176"/>
        <v>-2.8248587570621764E-3</v>
      </c>
      <c r="F5045" s="946">
        <f t="shared" si="177"/>
        <v>-5.6497175141243527E-5</v>
      </c>
      <c r="G5045" s="78"/>
      <c r="H5045" t="str">
        <f>VLOOKUP(B5045,indexy!$A$44:$D$397,3,FALSE)</f>
        <v>DGE LN Equity</v>
      </c>
      <c r="J5045" s="256">
        <v>40391</v>
      </c>
      <c r="K5045">
        <v>66.200500000000005</v>
      </c>
      <c r="N5045" s="344">
        <v>0.18832391709999999</v>
      </c>
      <c r="O5045">
        <f t="shared" si="175"/>
        <v>14.104999998088774</v>
      </c>
    </row>
    <row r="5046" spans="1:15" hidden="1" outlineLevel="1" x14ac:dyDescent="0.25">
      <c r="A5046" s="739">
        <v>0.03</v>
      </c>
      <c r="B5046" s="740" t="s">
        <v>1231</v>
      </c>
      <c r="C5046" s="1112">
        <v>20.399000000000001</v>
      </c>
      <c r="D5046" s="1091">
        <v>17.190000000000001</v>
      </c>
      <c r="E5046" s="742">
        <f t="shared" si="176"/>
        <v>-0.15731163292318251</v>
      </c>
      <c r="F5046" s="946">
        <f t="shared" si="177"/>
        <v>-4.7193489876954748E-3</v>
      </c>
      <c r="G5046" s="78"/>
      <c r="H5046" t="str">
        <f>VLOOKUP(B5046,indexy!$A$44:$D$397,3,FALSE)</f>
        <v>DUK UN Equity</v>
      </c>
      <c r="J5046" s="264" t="s">
        <v>2465</v>
      </c>
      <c r="K5046">
        <v>67.364450000000005</v>
      </c>
      <c r="N5046" s="344">
        <v>0.14706603260000001</v>
      </c>
    </row>
    <row r="5047" spans="1:15" hidden="1" outlineLevel="1" x14ac:dyDescent="0.25">
      <c r="A5047" s="739">
        <v>0.02</v>
      </c>
      <c r="B5047" s="740" t="s">
        <v>4387</v>
      </c>
      <c r="C5047" s="1112">
        <f>143.607/3</f>
        <v>47.869</v>
      </c>
      <c r="D5047" s="1091">
        <v>22.204999999999998</v>
      </c>
      <c r="E5047" s="742">
        <f t="shared" si="176"/>
        <v>-0.53612985439428451</v>
      </c>
      <c r="F5047" s="946">
        <f t="shared" si="177"/>
        <v>-1.072259708788569E-2</v>
      </c>
      <c r="G5047" s="78"/>
      <c r="H5047" t="str">
        <f>VLOOKUP(B5047,indexy!$A$44:$D$397,3,FALSE)</f>
        <v>EOAN GY Equity</v>
      </c>
      <c r="N5047" s="344">
        <v>4.1780693100000002E-2</v>
      </c>
    </row>
    <row r="5048" spans="1:15" hidden="1" outlineLevel="1" x14ac:dyDescent="0.25">
      <c r="A5048" s="739">
        <v>0.04</v>
      </c>
      <c r="B5048" s="712" t="s">
        <v>4064</v>
      </c>
      <c r="C5048" s="1112">
        <v>53.819000000000003</v>
      </c>
      <c r="D5048" s="1091">
        <v>33.56</v>
      </c>
      <c r="E5048" s="742">
        <f t="shared" si="176"/>
        <v>-0.37642839889258439</v>
      </c>
      <c r="F5048" s="946">
        <f t="shared" si="177"/>
        <v>-1.5057135955703377E-2</v>
      </c>
      <c r="G5048" s="78"/>
      <c r="H5048" t="str">
        <f>VLOOKUP(B5048,indexy!$A$44:$D$397,3,FALSE)</f>
        <v>LLY UN Equity</v>
      </c>
      <c r="N5048" s="344">
        <v>7.4323194400000001E-2</v>
      </c>
    </row>
    <row r="5049" spans="1:15" hidden="1" outlineLevel="1" x14ac:dyDescent="0.25">
      <c r="A5049" s="739">
        <v>0.06</v>
      </c>
      <c r="B5049" s="740" t="s">
        <v>3798</v>
      </c>
      <c r="C5049" s="1112">
        <v>7.24</v>
      </c>
      <c r="D5049" s="1091">
        <v>3.76</v>
      </c>
      <c r="E5049" s="742">
        <f t="shared" si="176"/>
        <v>-0.48066298342541436</v>
      </c>
      <c r="F5049" s="946">
        <f t="shared" si="177"/>
        <v>-2.8839779005524861E-2</v>
      </c>
      <c r="G5049" s="78"/>
      <c r="H5049" t="str">
        <f>VLOOKUP(B5049,indexy!$A$44:$D$397,3,FALSE)</f>
        <v>ENEL IM Equity</v>
      </c>
      <c r="N5049" s="344">
        <v>0.82857709710000005</v>
      </c>
    </row>
    <row r="5050" spans="1:15" hidden="1" outlineLevel="1" x14ac:dyDescent="0.25">
      <c r="A5050" s="739">
        <v>0.03</v>
      </c>
      <c r="B5050" s="740" t="s">
        <v>4268</v>
      </c>
      <c r="C5050" s="1112">
        <v>29.18</v>
      </c>
      <c r="D5050" s="1091">
        <v>18.170000000000002</v>
      </c>
      <c r="E5050" s="742">
        <f t="shared" si="176"/>
        <v>-0.37731322823851943</v>
      </c>
      <c r="F5050" s="946">
        <f t="shared" si="177"/>
        <v>-1.1319396847155582E-2</v>
      </c>
      <c r="G5050" s="78"/>
      <c r="H5050" t="str">
        <f>VLOOKUP(B5050,indexy!$A$44:$D$397,3,FALSE)</f>
        <v>FORTUM FH Equity</v>
      </c>
      <c r="N5050" s="344">
        <v>0.1028068879</v>
      </c>
    </row>
    <row r="5051" spans="1:15" hidden="1" outlineLevel="1" x14ac:dyDescent="0.25">
      <c r="A5051" s="739">
        <v>0.04</v>
      </c>
      <c r="B5051" s="740" t="s">
        <v>3407</v>
      </c>
      <c r="C5051" s="1112">
        <v>36.97</v>
      </c>
      <c r="D5051" s="1091">
        <v>14.48</v>
      </c>
      <c r="E5051" s="742">
        <f t="shared" si="176"/>
        <v>-0.60833107925344865</v>
      </c>
      <c r="F5051" s="946">
        <f t="shared" si="177"/>
        <v>-2.4333243170137946E-2</v>
      </c>
      <c r="G5051" s="78"/>
      <c r="H5051" t="str">
        <f>VLOOKUP(B5051,indexy!$A$44:$D$397,3,FALSE)</f>
        <v>GE UN Equity</v>
      </c>
      <c r="N5051" s="344">
        <v>0.1081724268</v>
      </c>
    </row>
    <row r="5052" spans="1:15" hidden="1" outlineLevel="1" x14ac:dyDescent="0.25">
      <c r="A5052" s="739">
        <v>0.04</v>
      </c>
      <c r="B5052" s="740" t="s">
        <v>1771</v>
      </c>
      <c r="C5052" s="1112">
        <v>733.62</v>
      </c>
      <c r="D5052" s="1091">
        <v>643.70000000000005</v>
      </c>
      <c r="E5052" s="742">
        <f t="shared" si="176"/>
        <v>-0.12257026798615078</v>
      </c>
      <c r="F5052" s="946">
        <f t="shared" si="177"/>
        <v>-4.902810719446031E-3</v>
      </c>
      <c r="G5052" s="78"/>
      <c r="H5052" t="str">
        <f>VLOOKUP(B5052,indexy!$A$44:$D$397,3,FALSE)</f>
        <v>HSBA LN Equity</v>
      </c>
      <c r="N5052" s="344">
        <v>0.5452400946</v>
      </c>
    </row>
    <row r="5053" spans="1:15" hidden="1" outlineLevel="1" x14ac:dyDescent="0.25">
      <c r="A5053" s="739">
        <v>0.06</v>
      </c>
      <c r="B5053" s="740" t="s">
        <v>2588</v>
      </c>
      <c r="C5053" s="1112">
        <v>20.57</v>
      </c>
      <c r="D5053" s="1091">
        <v>7.0179999999999998</v>
      </c>
      <c r="E5053" s="742">
        <f t="shared" si="176"/>
        <v>-0.6588235294117647</v>
      </c>
      <c r="F5053" s="946">
        <f t="shared" si="177"/>
        <v>-3.9529411764705882E-2</v>
      </c>
      <c r="G5053" s="78"/>
      <c r="H5053" t="str">
        <f>VLOOKUP(B5053,indexy!$A$44:$D$397,3,FALSE)</f>
        <v>INGA NA Equity</v>
      </c>
      <c r="N5053" s="344">
        <v>0.2916111549</v>
      </c>
    </row>
    <row r="5054" spans="1:15" hidden="1" outlineLevel="1" x14ac:dyDescent="0.25">
      <c r="A5054" s="739">
        <v>0.02</v>
      </c>
      <c r="B5054" s="740" t="s">
        <v>4376</v>
      </c>
      <c r="C5054" s="1112">
        <v>45.228999999999999</v>
      </c>
      <c r="D5054" s="1091">
        <v>36.36</v>
      </c>
      <c r="E5054" s="742">
        <f t="shared" si="176"/>
        <v>-0.19609100355966302</v>
      </c>
      <c r="F5054" s="946">
        <f t="shared" si="177"/>
        <v>-3.9218200711932608E-3</v>
      </c>
      <c r="G5054" s="78"/>
      <c r="H5054" t="str">
        <f>VLOOKUP(B5054,indexy!$A$44:$D$397,3,FALSE)</f>
        <v>JPM UN Equity</v>
      </c>
      <c r="N5054" s="344">
        <v>4.42194167E-2</v>
      </c>
    </row>
    <row r="5055" spans="1:15" hidden="1" outlineLevel="1" x14ac:dyDescent="0.25">
      <c r="A5055" s="739">
        <v>0.03</v>
      </c>
      <c r="B5055" s="996" t="s">
        <v>1905</v>
      </c>
      <c r="C5055" s="1112">
        <v>59.802999999999997</v>
      </c>
      <c r="D5055" s="1091">
        <v>35.159999999999997</v>
      </c>
      <c r="E5055" s="742">
        <f t="shared" si="176"/>
        <v>-0.41206962861394913</v>
      </c>
      <c r="F5055" s="946">
        <f t="shared" si="177"/>
        <v>-1.2362088858418474E-2</v>
      </c>
      <c r="G5055" s="78"/>
      <c r="H5055" t="str">
        <f>VLOOKUP(B5055,indexy!$A$44:$D$397,3,FALSE)</f>
        <v>MRK UN Equity</v>
      </c>
      <c r="N5055" s="344">
        <v>5.0164707500000003E-2</v>
      </c>
    </row>
    <row r="5056" spans="1:15" hidden="1" outlineLevel="1" x14ac:dyDescent="0.25">
      <c r="A5056" s="739">
        <v>0.04</v>
      </c>
      <c r="B5056" s="740" t="s">
        <v>459</v>
      </c>
      <c r="C5056" s="1112">
        <v>1207</v>
      </c>
      <c r="D5056" s="1091">
        <v>642</v>
      </c>
      <c r="E5056" s="742">
        <f t="shared" si="176"/>
        <v>-0.46810273405136704</v>
      </c>
      <c r="F5056" s="946">
        <f t="shared" si="177"/>
        <v>-1.8724109362054681E-2</v>
      </c>
      <c r="G5056" s="78"/>
      <c r="H5056" t="str">
        <f>VLOOKUP(B5056,indexy!$A$44:$D$397,3,FALSE)</f>
        <v>7201 JT Equity</v>
      </c>
      <c r="N5056" s="344">
        <v>3.3140016999999998E-3</v>
      </c>
    </row>
    <row r="5057" spans="1:14" hidden="1" outlineLevel="1" x14ac:dyDescent="0.25">
      <c r="A5057" s="739">
        <v>0.02</v>
      </c>
      <c r="B5057" s="740" t="s">
        <v>2787</v>
      </c>
      <c r="C5057" s="1112">
        <v>63.524999999999999</v>
      </c>
      <c r="D5057" s="1091">
        <v>53.35</v>
      </c>
      <c r="E5057" s="742">
        <f t="shared" si="176"/>
        <v>-0.16017316017316008</v>
      </c>
      <c r="F5057" s="946">
        <f t="shared" si="177"/>
        <v>-3.2034632034632017E-3</v>
      </c>
      <c r="G5057" s="78"/>
      <c r="H5057" t="str">
        <f>VLOOKUP(B5057,indexy!$A$44:$D$397,3,FALSE)</f>
        <v>NOVN SE Equity</v>
      </c>
      <c r="N5057" s="344">
        <v>3.1483667799999997E-2</v>
      </c>
    </row>
    <row r="5058" spans="1:14" hidden="1" outlineLevel="1" x14ac:dyDescent="0.25">
      <c r="A5058" s="739">
        <v>0.04</v>
      </c>
      <c r="B5058" s="740" t="s">
        <v>1414</v>
      </c>
      <c r="C5058" s="837">
        <v>23.597999999999999</v>
      </c>
      <c r="D5058" s="1091">
        <v>15.93</v>
      </c>
      <c r="E5058" s="742">
        <f t="shared" si="176"/>
        <v>-0.32494279176201368</v>
      </c>
      <c r="F5058" s="946">
        <f t="shared" si="177"/>
        <v>-1.2997711670480548E-2</v>
      </c>
      <c r="G5058" s="78"/>
      <c r="H5058" t="str">
        <f>VLOOKUP(B5058,indexy!$A$44:$D$397,3,FALSE)</f>
        <v>PFE UN Equity</v>
      </c>
      <c r="N5058" s="344">
        <v>0.16950589029999999</v>
      </c>
    </row>
    <row r="5059" spans="1:14" hidden="1" outlineLevel="1" x14ac:dyDescent="0.25">
      <c r="A5059" s="739">
        <v>0.02</v>
      </c>
      <c r="B5059" s="740" t="s">
        <v>1653</v>
      </c>
      <c r="C5059" s="837">
        <v>13.103999999999999</v>
      </c>
      <c r="D5059" s="1091">
        <v>9.4529999999999994</v>
      </c>
      <c r="E5059" s="742">
        <f t="shared" si="176"/>
        <v>-0.27861721611721613</v>
      </c>
      <c r="F5059" s="946">
        <f t="shared" si="177"/>
        <v>-5.572344322344323E-3</v>
      </c>
      <c r="G5059" s="78"/>
      <c r="H5059" t="str">
        <f>VLOOKUP(B5059,indexy!$A$44:$D$397,3,FALSE)</f>
        <v>REN NA Equity</v>
      </c>
      <c r="N5059" s="344">
        <v>0.15219292470000001</v>
      </c>
    </row>
    <row r="5060" spans="1:14" hidden="1" outlineLevel="1" x14ac:dyDescent="0.25">
      <c r="A5060" s="739">
        <v>0.04</v>
      </c>
      <c r="B5060" s="740" t="s">
        <v>3424</v>
      </c>
      <c r="C5060" s="837">
        <v>67.55</v>
      </c>
      <c r="D5060" s="1091">
        <v>54.54</v>
      </c>
      <c r="E5060" s="742">
        <f t="shared" si="176"/>
        <v>-0.19259807549962993</v>
      </c>
      <c r="F5060" s="946">
        <f t="shared" si="177"/>
        <v>-7.7039230199851972E-3</v>
      </c>
      <c r="G5060" s="78"/>
      <c r="H5060" t="str">
        <f>VLOOKUP(B5060,indexy!$A$44:$D$397,3,FALSE)</f>
        <v>RAI UN Equity</v>
      </c>
      <c r="N5060" s="344">
        <v>5.9211013200000003E-2</v>
      </c>
    </row>
    <row r="5061" spans="1:14" hidden="1" outlineLevel="1" x14ac:dyDescent="0.25">
      <c r="A5061" s="739">
        <v>0.03</v>
      </c>
      <c r="B5061" s="740" t="s">
        <v>3800</v>
      </c>
      <c r="C5061" s="837">
        <v>200.95</v>
      </c>
      <c r="D5061" s="1091">
        <v>138</v>
      </c>
      <c r="E5061" s="742">
        <f t="shared" si="176"/>
        <v>-0.31326200547399852</v>
      </c>
      <c r="F5061" s="946">
        <f t="shared" si="177"/>
        <v>-9.3978601642199545E-3</v>
      </c>
      <c r="G5061" s="78"/>
      <c r="H5061" t="str">
        <f>VLOOKUP(B5061,indexy!$A$44:$D$397,3,FALSE)</f>
        <v>ROG SE Equity</v>
      </c>
      <c r="N5061" s="344">
        <v>1.49290868E-2</v>
      </c>
    </row>
    <row r="5062" spans="1:14" hidden="1" outlineLevel="1" x14ac:dyDescent="0.25">
      <c r="A5062" s="739">
        <v>0.03</v>
      </c>
      <c r="B5062" s="740" t="s">
        <v>3801</v>
      </c>
      <c r="C5062" s="837">
        <v>95.417000000000002</v>
      </c>
      <c r="D5062" s="1091">
        <v>51.68</v>
      </c>
      <c r="E5062" s="742">
        <f t="shared" si="176"/>
        <v>-0.45837743798274944</v>
      </c>
      <c r="F5062" s="946">
        <f t="shared" si="177"/>
        <v>-1.3751323139482482E-2</v>
      </c>
      <c r="G5062" s="78"/>
      <c r="H5062" t="str">
        <f>VLOOKUP(B5062,indexy!$A$44:$D$397,3,FALSE)</f>
        <v>RWE GY Equity</v>
      </c>
      <c r="N5062" s="344">
        <v>3.1440938199999997E-2</v>
      </c>
    </row>
    <row r="5063" spans="1:14" hidden="1" outlineLevel="1" x14ac:dyDescent="0.25">
      <c r="A5063" s="739">
        <v>0.02</v>
      </c>
      <c r="B5063" s="740" t="s">
        <v>231</v>
      </c>
      <c r="C5063" s="837">
        <v>65.355999999999995</v>
      </c>
      <c r="D5063" s="1091">
        <v>22.49</v>
      </c>
      <c r="E5063" s="742">
        <f t="shared" si="176"/>
        <v>-0.6558846930656711</v>
      </c>
      <c r="F5063" s="946">
        <f t="shared" si="177"/>
        <v>-1.3117693861313423E-2</v>
      </c>
      <c r="G5063" s="78"/>
      <c r="H5063" t="e">
        <f>VLOOKUP(B5063,indexy!$A$44:$D$397,3,FALSE)</f>
        <v>#N/A</v>
      </c>
      <c r="N5063" s="344">
        <v>3.0601627999999999E-2</v>
      </c>
    </row>
    <row r="5064" spans="1:14" hidden="1" outlineLevel="1" x14ac:dyDescent="0.25">
      <c r="A5064" s="739">
        <v>0.02</v>
      </c>
      <c r="B5064" s="740" t="s">
        <v>3902</v>
      </c>
      <c r="C5064" s="837">
        <v>113.65</v>
      </c>
      <c r="D5064" s="1091">
        <v>98.3</v>
      </c>
      <c r="E5064" s="742">
        <f t="shared" si="176"/>
        <v>-0.13506379234491872</v>
      </c>
      <c r="F5064" s="946">
        <f t="shared" si="177"/>
        <v>-2.7012758468983743E-3</v>
      </c>
      <c r="G5064" s="78"/>
      <c r="H5064" t="e">
        <f>VLOOKUP(B5064,indexy!$A$44:$D$397,3,FALSE)</f>
        <v>#N/A</v>
      </c>
      <c r="N5064" s="344">
        <v>1.75978883E-2</v>
      </c>
    </row>
    <row r="5065" spans="1:14" hidden="1" outlineLevel="1" x14ac:dyDescent="0.25">
      <c r="A5065" s="739">
        <v>0.03</v>
      </c>
      <c r="B5065" s="740" t="s">
        <v>577</v>
      </c>
      <c r="C5065" s="837">
        <v>22.628</v>
      </c>
      <c r="D5065" s="1091">
        <v>17.5</v>
      </c>
      <c r="E5065" s="742">
        <f t="shared" si="176"/>
        <v>-0.22662188439101993</v>
      </c>
      <c r="F5065" s="946">
        <f t="shared" si="177"/>
        <v>-6.7986565317305981E-3</v>
      </c>
      <c r="G5065" s="78"/>
      <c r="H5065" t="str">
        <f>VLOOKUP(B5065,indexy!$A$44:$D$397,3,FALSE)</f>
        <v>TEF SQ Equity</v>
      </c>
      <c r="N5065" s="344">
        <v>0.13257910549999999</v>
      </c>
    </row>
    <row r="5066" spans="1:14" hidden="1" outlineLevel="1" x14ac:dyDescent="0.25">
      <c r="A5066" s="739">
        <v>0.04</v>
      </c>
      <c r="B5066" s="740" t="s">
        <v>1183</v>
      </c>
      <c r="C5066" s="837">
        <v>55.45</v>
      </c>
      <c r="D5066" s="1091">
        <v>36.869999999999997</v>
      </c>
      <c r="E5066" s="742">
        <f t="shared" si="176"/>
        <v>-0.33507664562669082</v>
      </c>
      <c r="F5066" s="946">
        <f t="shared" si="177"/>
        <v>-1.3403065825067633E-2</v>
      </c>
      <c r="G5066" s="78"/>
      <c r="H5066" t="e">
        <f>VLOOKUP(B5066,indexy!$A$44:$D$397,3,FALSE)</f>
        <v>#N/A</v>
      </c>
      <c r="N5066" s="344">
        <v>7.2137060399999994E-2</v>
      </c>
    </row>
    <row r="5067" spans="1:14" hidden="1" outlineLevel="1" x14ac:dyDescent="0.25">
      <c r="A5067" s="739">
        <v>0.04</v>
      </c>
      <c r="B5067" s="740" t="s">
        <v>3903</v>
      </c>
      <c r="C5067" s="837">
        <v>14.105</v>
      </c>
      <c r="D5067" s="945">
        <v>10.83</v>
      </c>
      <c r="E5067" s="748">
        <f t="shared" si="176"/>
        <v>-0.23218716767103864</v>
      </c>
      <c r="F5067" s="1023">
        <f t="shared" si="177"/>
        <v>-9.2874867068415464E-3</v>
      </c>
      <c r="G5067" s="78"/>
      <c r="H5067" t="str">
        <f>VLOOKUP(B5067,indexy!$A$44:$D$397,3,FALSE)</f>
        <v>UPM FH Equity</v>
      </c>
      <c r="N5067" s="344">
        <v>0.28358738039999998</v>
      </c>
    </row>
    <row r="5068" spans="1:14" hidden="1" outlineLevel="1" x14ac:dyDescent="0.25">
      <c r="A5068" s="717"/>
      <c r="B5068" s="718"/>
      <c r="C5068" s="719"/>
      <c r="D5068" s="727"/>
      <c r="E5068" s="716"/>
      <c r="F5068" s="770">
        <f>SUM(F5038:F5057)</f>
        <v>-0.25829311908359343</v>
      </c>
      <c r="G5068" s="78"/>
    </row>
    <row r="5069" spans="1:14" collapsed="1" x14ac:dyDescent="0.25">
      <c r="A5069" s="3801" t="s">
        <v>1194</v>
      </c>
      <c r="B5069" s="3802"/>
      <c r="C5069" s="3802"/>
      <c r="D5069" s="3802"/>
      <c r="E5069" s="721" t="s">
        <v>2722</v>
      </c>
      <c r="F5069" s="722">
        <f>MIN(MAX(F5068*parametry!N182,0),parametry!O182)</f>
        <v>0</v>
      </c>
      <c r="G5069" s="97" t="s">
        <v>781</v>
      </c>
    </row>
    <row r="5071" spans="1:14" hidden="1" outlineLevel="1" x14ac:dyDescent="0.25">
      <c r="A5071" s="689" t="s">
        <v>113</v>
      </c>
      <c r="B5071" s="689" t="s">
        <v>114</v>
      </c>
      <c r="C5071" s="689" t="s">
        <v>112</v>
      </c>
      <c r="D5071" s="689" t="s">
        <v>116</v>
      </c>
      <c r="E5071" s="689" t="s">
        <v>117</v>
      </c>
      <c r="F5071" s="1188" t="s">
        <v>121</v>
      </c>
    </row>
    <row r="5072" spans="1:14" hidden="1" outlineLevel="1" x14ac:dyDescent="0.25">
      <c r="A5072" s="936" t="s">
        <v>191</v>
      </c>
      <c r="B5072" s="691" t="s">
        <v>115</v>
      </c>
      <c r="C5072" s="793">
        <v>4382.4340000000002</v>
      </c>
      <c r="D5072" s="793">
        <v>2396.2800000000002</v>
      </c>
      <c r="E5072" s="3813">
        <v>-0.43909999999999999</v>
      </c>
      <c r="F5072" s="3816">
        <v>-0.03</v>
      </c>
    </row>
    <row r="5073" spans="1:6" hidden="1" outlineLevel="1" x14ac:dyDescent="0.25">
      <c r="A5073" s="937" t="s">
        <v>191</v>
      </c>
      <c r="B5073" s="695" t="s">
        <v>760</v>
      </c>
      <c r="C5073" s="797">
        <v>1475.5219999999999</v>
      </c>
      <c r="D5073" s="797">
        <v>870.798</v>
      </c>
      <c r="E5073" s="3814"/>
      <c r="F5073" s="3817"/>
    </row>
    <row r="5074" spans="1:6" hidden="1" outlineLevel="1" x14ac:dyDescent="0.25">
      <c r="A5074" s="938" t="s">
        <v>191</v>
      </c>
      <c r="B5074" s="695" t="s">
        <v>761</v>
      </c>
      <c r="C5074" s="797">
        <v>15542.852999999999</v>
      </c>
      <c r="D5074" s="797">
        <v>8244.8340000000007</v>
      </c>
      <c r="E5074" s="3815"/>
      <c r="F5074" s="3818"/>
    </row>
    <row r="5075" spans="1:6" hidden="1" outlineLevel="1" x14ac:dyDescent="0.25">
      <c r="A5075" s="936" t="s">
        <v>2523</v>
      </c>
      <c r="B5075" s="691" t="s">
        <v>115</v>
      </c>
      <c r="C5075" s="793">
        <v>2396.2800000000002</v>
      </c>
      <c r="D5075" s="793">
        <v>2869.8270000000002</v>
      </c>
      <c r="E5075" s="3813">
        <v>0.22900000000000001</v>
      </c>
      <c r="F5075" s="3816">
        <v>0.11</v>
      </c>
    </row>
    <row r="5076" spans="1:6" hidden="1" outlineLevel="1" x14ac:dyDescent="0.25">
      <c r="A5076" s="937" t="s">
        <v>2523</v>
      </c>
      <c r="B5076" s="695" t="s">
        <v>760</v>
      </c>
      <c r="C5076" s="797">
        <v>870.798</v>
      </c>
      <c r="D5076" s="797">
        <v>1103.8009999999999</v>
      </c>
      <c r="E5076" s="3814"/>
      <c r="F5076" s="3817"/>
    </row>
    <row r="5077" spans="1:6" hidden="1" outlineLevel="1" x14ac:dyDescent="0.25">
      <c r="A5077" s="938" t="s">
        <v>2523</v>
      </c>
      <c r="B5077" s="695" t="s">
        <v>761</v>
      </c>
      <c r="C5077" s="797">
        <v>8244.8340000000007</v>
      </c>
      <c r="D5077" s="797">
        <v>9957.0660000000007</v>
      </c>
      <c r="E5077" s="3815"/>
      <c r="F5077" s="3818"/>
    </row>
    <row r="5078" spans="1:6" hidden="1" outlineLevel="1" x14ac:dyDescent="0.25">
      <c r="A5078" s="936" t="s">
        <v>2524</v>
      </c>
      <c r="B5078" s="691" t="s">
        <v>115</v>
      </c>
      <c r="C5078" s="793">
        <v>2869.8270000000002</v>
      </c>
      <c r="D5078" s="793">
        <v>2807.4580000000001</v>
      </c>
      <c r="E5078" s="3813">
        <v>4.5199999999999997E-2</v>
      </c>
      <c r="F5078" s="3816">
        <v>4.5199999999999997E-2</v>
      </c>
    </row>
    <row r="5079" spans="1:6" hidden="1" outlineLevel="1" x14ac:dyDescent="0.25">
      <c r="A5079" s="937" t="s">
        <v>2524</v>
      </c>
      <c r="B5079" s="695" t="s">
        <v>760</v>
      </c>
      <c r="C5079" s="797">
        <v>1103.8009999999999</v>
      </c>
      <c r="D5079" s="797">
        <v>1228.2909999999999</v>
      </c>
      <c r="E5079" s="3814"/>
      <c r="F5079" s="3817"/>
    </row>
    <row r="5080" spans="1:6" hidden="1" outlineLevel="1" x14ac:dyDescent="0.25">
      <c r="A5080" s="938" t="s">
        <v>2524</v>
      </c>
      <c r="B5080" s="695" t="s">
        <v>761</v>
      </c>
      <c r="C5080" s="797">
        <v>9957.0660000000007</v>
      </c>
      <c r="D5080" s="797">
        <v>10198.404</v>
      </c>
      <c r="E5080" s="3815"/>
      <c r="F5080" s="3818"/>
    </row>
    <row r="5081" spans="1:6" hidden="1" outlineLevel="1" x14ac:dyDescent="0.25">
      <c r="A5081" s="936" t="s">
        <v>2525</v>
      </c>
      <c r="B5081" s="691" t="s">
        <v>115</v>
      </c>
      <c r="C5081" s="793">
        <v>2807.4580000000001</v>
      </c>
      <c r="D5081" s="793">
        <v>2309.4349999999999</v>
      </c>
      <c r="E5081" s="3813">
        <v>-8.5857092690293402E-2</v>
      </c>
      <c r="F5081" s="3816">
        <v>-0.03</v>
      </c>
    </row>
    <row r="5082" spans="1:6" hidden="1" outlineLevel="1" x14ac:dyDescent="0.25">
      <c r="A5082" s="937" t="s">
        <v>2525</v>
      </c>
      <c r="B5082" s="695" t="s">
        <v>760</v>
      </c>
      <c r="C5082" s="797">
        <v>1228.2909999999999</v>
      </c>
      <c r="D5082" s="797">
        <v>1242.8979999999999</v>
      </c>
      <c r="E5082" s="3814"/>
      <c r="F5082" s="3817"/>
    </row>
    <row r="5083" spans="1:6" hidden="1" outlineLevel="1" x14ac:dyDescent="0.25">
      <c r="A5083" s="938" t="s">
        <v>2525</v>
      </c>
      <c r="B5083" s="695" t="s">
        <v>761</v>
      </c>
      <c r="C5083" s="797">
        <v>10198.404</v>
      </c>
      <c r="D5083" s="797">
        <v>8616.1239999999998</v>
      </c>
      <c r="E5083" s="3815"/>
      <c r="F5083" s="3818"/>
    </row>
    <row r="5084" spans="1:6" hidden="1" outlineLevel="1" x14ac:dyDescent="0.25">
      <c r="A5084" s="936" t="s">
        <v>2526</v>
      </c>
      <c r="B5084" s="691" t="s">
        <v>115</v>
      </c>
      <c r="C5084" s="793">
        <v>2309.4349999999999</v>
      </c>
      <c r="D5084" s="793">
        <v>2607.8649999999998</v>
      </c>
      <c r="E5084" s="3813">
        <v>0.13119555661504687</v>
      </c>
      <c r="F5084" s="3816">
        <v>0.11</v>
      </c>
    </row>
    <row r="5085" spans="1:6" hidden="1" outlineLevel="1" x14ac:dyDescent="0.25">
      <c r="A5085" s="937" t="s">
        <v>2526</v>
      </c>
      <c r="B5085" s="695" t="s">
        <v>760</v>
      </c>
      <c r="C5085" s="797">
        <v>1242.8979999999999</v>
      </c>
      <c r="D5085" s="797">
        <v>1416.57</v>
      </c>
      <c r="E5085" s="3814"/>
      <c r="F5085" s="3817"/>
    </row>
    <row r="5086" spans="1:6" hidden="1" outlineLevel="1" x14ac:dyDescent="0.25">
      <c r="A5086" s="938" t="s">
        <v>2526</v>
      </c>
      <c r="B5086" s="695" t="s">
        <v>761</v>
      </c>
      <c r="C5086" s="797">
        <v>8616.1239999999998</v>
      </c>
      <c r="D5086" s="797">
        <v>9555.2849999999999</v>
      </c>
      <c r="E5086" s="3815"/>
      <c r="F5086" s="3818"/>
    </row>
    <row r="5087" spans="1:6" hidden="1" outlineLevel="1" x14ac:dyDescent="0.25">
      <c r="A5087" s="936" t="s">
        <v>2527</v>
      </c>
      <c r="B5087" s="691" t="s">
        <v>115</v>
      </c>
      <c r="C5087" s="793">
        <v>2607.8649999999998</v>
      </c>
      <c r="D5087" s="793">
        <v>3084.1109999999999</v>
      </c>
      <c r="E5087" s="3813">
        <v>0.31380000000000002</v>
      </c>
      <c r="F5087" s="3816">
        <v>0.08</v>
      </c>
    </row>
    <row r="5088" spans="1:6" hidden="1" outlineLevel="1" x14ac:dyDescent="0.25">
      <c r="A5088" s="937" t="s">
        <v>2527</v>
      </c>
      <c r="B5088" s="695" t="s">
        <v>760</v>
      </c>
      <c r="C5088" s="797">
        <v>1416.57</v>
      </c>
      <c r="D5088" s="797">
        <v>1864.8989999999999</v>
      </c>
      <c r="E5088" s="3814"/>
      <c r="F5088" s="3817"/>
    </row>
    <row r="5089" spans="1:8" hidden="1" outlineLevel="1" x14ac:dyDescent="0.25">
      <c r="A5089" s="938" t="s">
        <v>2527</v>
      </c>
      <c r="B5089" s="695" t="s">
        <v>761</v>
      </c>
      <c r="C5089" s="797">
        <v>9555.2849999999999</v>
      </c>
      <c r="D5089" s="797">
        <v>14899.843999999999</v>
      </c>
      <c r="E5089" s="3815"/>
      <c r="F5089" s="3818"/>
    </row>
    <row r="5090" spans="1:8" collapsed="1" x14ac:dyDescent="0.25">
      <c r="A5090" s="3801" t="s">
        <v>3323</v>
      </c>
      <c r="B5090" s="3802"/>
      <c r="C5090" s="3802"/>
      <c r="D5090" s="3802"/>
      <c r="E5090" s="729"/>
      <c r="F5090" s="752">
        <v>0.28520000000000001</v>
      </c>
      <c r="G5090" s="97" t="s">
        <v>781</v>
      </c>
    </row>
    <row r="5092" spans="1:8" hidden="1" outlineLevel="1" x14ac:dyDescent="0.25">
      <c r="A5092" s="689" t="s">
        <v>113</v>
      </c>
      <c r="B5092" s="689" t="s">
        <v>114</v>
      </c>
      <c r="C5092" s="689" t="s">
        <v>112</v>
      </c>
      <c r="D5092" s="689" t="s">
        <v>116</v>
      </c>
      <c r="E5092" s="689" t="s">
        <v>117</v>
      </c>
      <c r="F5092" s="1188" t="s">
        <v>121</v>
      </c>
    </row>
    <row r="5093" spans="1:8" hidden="1" outlineLevel="1" x14ac:dyDescent="0.25">
      <c r="A5093" s="690">
        <v>1</v>
      </c>
      <c r="B5093" s="691" t="s">
        <v>252</v>
      </c>
      <c r="C5093" s="692">
        <v>100</v>
      </c>
      <c r="D5093" s="692"/>
      <c r="E5093" s="693"/>
      <c r="F5093" s="694"/>
    </row>
    <row r="5094" spans="1:8" hidden="1" outlineLevel="1" x14ac:dyDescent="0.25">
      <c r="A5094" s="695"/>
      <c r="B5094" s="695"/>
      <c r="C5094" s="696"/>
      <c r="D5094" s="697" t="s">
        <v>3702</v>
      </c>
      <c r="E5094" s="698">
        <v>41274</v>
      </c>
      <c r="F5094" s="699"/>
    </row>
    <row r="5095" spans="1:8" hidden="1" outlineLevel="1" x14ac:dyDescent="0.25">
      <c r="A5095" s="689" t="s">
        <v>4156</v>
      </c>
      <c r="B5095" s="689" t="s">
        <v>4153</v>
      </c>
      <c r="C5095" s="497" t="s">
        <v>112</v>
      </c>
      <c r="D5095" s="495" t="s">
        <v>4155</v>
      </c>
      <c r="E5095" s="495" t="s">
        <v>4154</v>
      </c>
      <c r="F5095" s="1021" t="s">
        <v>2519</v>
      </c>
    </row>
    <row r="5096" spans="1:8" hidden="1" outlineLevel="1" x14ac:dyDescent="0.25">
      <c r="A5096" s="1074">
        <v>3.3333000000000002E-2</v>
      </c>
      <c r="B5096" s="1000" t="s">
        <v>1169</v>
      </c>
      <c r="C5096" s="1001">
        <v>64.787000000000006</v>
      </c>
      <c r="D5096" s="803">
        <v>91.73</v>
      </c>
      <c r="E5096" s="895">
        <v>0.41587046784077053</v>
      </c>
      <c r="F5096" s="1021">
        <v>1.3862210304536405E-2</v>
      </c>
      <c r="H5096" t="s">
        <v>1940</v>
      </c>
    </row>
    <row r="5097" spans="1:8" hidden="1" outlineLevel="1" x14ac:dyDescent="0.25">
      <c r="A5097" s="1075">
        <v>3.3333000000000002E-2</v>
      </c>
      <c r="B5097" s="996" t="s">
        <v>1106</v>
      </c>
      <c r="C5097" s="1003">
        <v>15.225300000000001</v>
      </c>
      <c r="D5097" s="908">
        <v>0.05</v>
      </c>
      <c r="E5097" s="896">
        <v>-0.99671599245991871</v>
      </c>
      <c r="F5097" s="946">
        <v>-3.3223534176666472E-2</v>
      </c>
      <c r="H5097" t="s">
        <v>1107</v>
      </c>
    </row>
    <row r="5098" spans="1:8" hidden="1" outlineLevel="1" x14ac:dyDescent="0.25">
      <c r="A5098" s="1075">
        <v>3.3333000000000002E-2</v>
      </c>
      <c r="B5098" s="740" t="s">
        <v>2942</v>
      </c>
      <c r="C5098" s="1003">
        <v>4674</v>
      </c>
      <c r="D5098" s="908">
        <v>3875</v>
      </c>
      <c r="E5098" s="896">
        <v>-0.1709456568249893</v>
      </c>
      <c r="F5098" s="946">
        <v>-5.6981315789473687E-3</v>
      </c>
      <c r="H5098" t="s">
        <v>2336</v>
      </c>
    </row>
    <row r="5099" spans="1:8" hidden="1" outlineLevel="1" x14ac:dyDescent="0.25">
      <c r="A5099" s="1075">
        <v>3.3333000000000002E-2</v>
      </c>
      <c r="B5099" s="743" t="s">
        <v>157</v>
      </c>
      <c r="C5099" s="1003">
        <v>13.872999999999999</v>
      </c>
      <c r="D5099" s="908">
        <v>6.1</v>
      </c>
      <c r="E5099" s="896">
        <v>-0.56029697974482806</v>
      </c>
      <c r="F5099" s="946">
        <v>-1.8676379225834355E-2</v>
      </c>
      <c r="H5099" t="s">
        <v>730</v>
      </c>
    </row>
    <row r="5100" spans="1:8" hidden="1" outlineLevel="1" x14ac:dyDescent="0.25">
      <c r="A5100" s="1075">
        <v>3.3333000000000002E-2</v>
      </c>
      <c r="B5100" s="996" t="s">
        <v>1994</v>
      </c>
      <c r="C5100" s="1003">
        <v>39.603999999999999</v>
      </c>
      <c r="D5100" s="908">
        <v>11.6</v>
      </c>
      <c r="E5100" s="896">
        <v>-0.70710029289970711</v>
      </c>
      <c r="F5100" s="946">
        <v>-2.3569774063225937E-2</v>
      </c>
      <c r="H5100" t="s">
        <v>3493</v>
      </c>
    </row>
    <row r="5101" spans="1:8" hidden="1" outlineLevel="1" x14ac:dyDescent="0.25">
      <c r="A5101" s="1075">
        <v>3.3333000000000002E-2</v>
      </c>
      <c r="B5101" s="996" t="s">
        <v>873</v>
      </c>
      <c r="C5101" s="1003">
        <v>480.6</v>
      </c>
      <c r="D5101" s="908">
        <v>262.39999999999998</v>
      </c>
      <c r="E5101" s="896">
        <v>-0.45401581356637544</v>
      </c>
      <c r="F5101" s="946">
        <v>-1.5133709113607993E-2</v>
      </c>
      <c r="H5101" t="s">
        <v>3495</v>
      </c>
    </row>
    <row r="5102" spans="1:8" hidden="1" outlineLevel="1" x14ac:dyDescent="0.25">
      <c r="A5102" s="1075">
        <v>3.3333000000000002E-2</v>
      </c>
      <c r="B5102" s="743" t="s">
        <v>3019</v>
      </c>
      <c r="C5102" s="1003">
        <v>72.632999999999996</v>
      </c>
      <c r="D5102" s="908">
        <v>42.585000000000001</v>
      </c>
      <c r="E5102" s="896">
        <v>-0.41369625376894792</v>
      </c>
      <c r="F5102" s="946">
        <v>-1.3789737226880342E-2</v>
      </c>
      <c r="H5102" t="s">
        <v>2745</v>
      </c>
    </row>
    <row r="5103" spans="1:8" hidden="1" outlineLevel="1" x14ac:dyDescent="0.25">
      <c r="A5103" s="1075">
        <v>3.3333000000000002E-2</v>
      </c>
      <c r="B5103" s="996" t="s">
        <v>1847</v>
      </c>
      <c r="C5103" s="1003">
        <v>284.13</v>
      </c>
      <c r="D5103" s="908">
        <v>39.56</v>
      </c>
      <c r="E5103" s="896">
        <v>-0.86076795832893394</v>
      </c>
      <c r="F5103" s="946">
        <v>-2.8691978354978356E-2</v>
      </c>
      <c r="H5103" t="s">
        <v>2749</v>
      </c>
    </row>
    <row r="5104" spans="1:8" hidden="1" outlineLevel="1" x14ac:dyDescent="0.25">
      <c r="A5104" s="1075">
        <v>3.3333000000000002E-2</v>
      </c>
      <c r="B5104" s="996" t="s">
        <v>3792</v>
      </c>
      <c r="C5104" s="1003">
        <v>41.353999999999999</v>
      </c>
      <c r="D5104" s="908">
        <v>30.34</v>
      </c>
      <c r="E5104" s="896">
        <v>-0.26633457464815979</v>
      </c>
      <c r="F5104" s="946">
        <v>-8.8777303767471113E-3</v>
      </c>
      <c r="H5104" t="s">
        <v>783</v>
      </c>
    </row>
    <row r="5105" spans="1:8" hidden="1" outlineLevel="1" x14ac:dyDescent="0.25">
      <c r="A5105" s="1075">
        <v>3.3333000000000002E-2</v>
      </c>
      <c r="B5105" s="996" t="s">
        <v>3017</v>
      </c>
      <c r="C5105" s="1003">
        <v>17.472000000000001</v>
      </c>
      <c r="D5105" s="908">
        <v>7.0000000000000007E-2</v>
      </c>
      <c r="E5105" s="896">
        <v>-0.99599358974358976</v>
      </c>
      <c r="F5105" s="946">
        <v>-3.3199454326923082E-2</v>
      </c>
      <c r="H5105" t="s">
        <v>1793</v>
      </c>
    </row>
    <row r="5106" spans="1:8" hidden="1" outlineLevel="1" x14ac:dyDescent="0.25">
      <c r="A5106" s="1075">
        <v>3.3333000000000002E-2</v>
      </c>
      <c r="B5106" s="996" t="s">
        <v>1723</v>
      </c>
      <c r="C5106" s="1003">
        <v>81.19</v>
      </c>
      <c r="D5106" s="908">
        <v>70.400000000000006</v>
      </c>
      <c r="E5106" s="896">
        <v>-0.13289814016504486</v>
      </c>
      <c r="F5106" s="946">
        <v>-4.4298937061214407E-3</v>
      </c>
      <c r="H5106" t="s">
        <v>4875</v>
      </c>
    </row>
    <row r="5107" spans="1:8" hidden="1" outlineLevel="1" x14ac:dyDescent="0.25">
      <c r="A5107" s="1075">
        <v>3.3333000000000002E-2</v>
      </c>
      <c r="B5107" s="996" t="s">
        <v>4064</v>
      </c>
      <c r="C5107" s="1003">
        <v>54.908000000000001</v>
      </c>
      <c r="D5107" s="908">
        <v>49.32</v>
      </c>
      <c r="E5107" s="896">
        <v>-0.1017702338457056</v>
      </c>
      <c r="F5107" s="946">
        <v>-3.392307204778905E-3</v>
      </c>
      <c r="H5107" t="s">
        <v>170</v>
      </c>
    </row>
    <row r="5108" spans="1:8" hidden="1" outlineLevel="1" x14ac:dyDescent="0.25">
      <c r="A5108" s="1075">
        <v>3.3333000000000002E-2</v>
      </c>
      <c r="B5108" s="996" t="s">
        <v>1771</v>
      </c>
      <c r="C5108" s="1003">
        <v>827.25</v>
      </c>
      <c r="D5108" s="908">
        <v>646.9</v>
      </c>
      <c r="E5108" s="896">
        <v>-0.21801148383197344</v>
      </c>
      <c r="F5108" s="946">
        <v>-7.2669767905711707E-3</v>
      </c>
      <c r="H5108" t="s">
        <v>4329</v>
      </c>
    </row>
    <row r="5109" spans="1:8" hidden="1" outlineLevel="1" x14ac:dyDescent="0.25">
      <c r="A5109" s="1075">
        <v>3.3333000000000002E-2</v>
      </c>
      <c r="B5109" s="996" t="s">
        <v>4275</v>
      </c>
      <c r="C5109" s="1003">
        <v>32.363999999999997</v>
      </c>
      <c r="D5109" s="908">
        <v>1.44</v>
      </c>
      <c r="E5109" s="896">
        <v>-0.95550611790878759</v>
      </c>
      <c r="F5109" s="946">
        <v>-3.1849885428253621E-2</v>
      </c>
      <c r="H5109" t="s">
        <v>3819</v>
      </c>
    </row>
    <row r="5110" spans="1:8" hidden="1" outlineLevel="1" x14ac:dyDescent="0.25">
      <c r="A5110" s="1075">
        <v>3.3333000000000002E-2</v>
      </c>
      <c r="B5110" s="743" t="s">
        <v>44</v>
      </c>
      <c r="C5110" s="1003">
        <v>5.2347999999999999</v>
      </c>
      <c r="D5110" s="908">
        <v>1.3</v>
      </c>
      <c r="E5110" s="896">
        <v>-0.75166195461144647</v>
      </c>
      <c r="F5110" s="946">
        <v>-2.5055147933063345E-2</v>
      </c>
      <c r="H5110" t="s">
        <v>204</v>
      </c>
    </row>
    <row r="5111" spans="1:8" hidden="1" outlineLevel="1" x14ac:dyDescent="0.25">
      <c r="A5111" s="1075">
        <v>3.3333000000000002E-2</v>
      </c>
      <c r="B5111" s="740" t="s">
        <v>1526</v>
      </c>
      <c r="C5111" s="1003">
        <v>93.826999999999998</v>
      </c>
      <c r="D5111" s="908">
        <v>26.15</v>
      </c>
      <c r="E5111" s="896">
        <v>-0.72129557590032722</v>
      </c>
      <c r="F5111" s="946">
        <v>-2.4042945431485607E-2</v>
      </c>
      <c r="H5111" t="s">
        <v>4146</v>
      </c>
    </row>
    <row r="5112" spans="1:8" hidden="1" outlineLevel="1" x14ac:dyDescent="0.25">
      <c r="A5112" s="1075">
        <v>3.3333000000000002E-2</v>
      </c>
      <c r="B5112" s="996" t="s">
        <v>281</v>
      </c>
      <c r="C5112" s="1003">
        <v>22.678999999999998</v>
      </c>
      <c r="D5112" s="908">
        <v>8.42</v>
      </c>
      <c r="E5112" s="896">
        <v>-0.62873142554786365</v>
      </c>
      <c r="F5112" s="946">
        <v>-2.0957504607786941E-2</v>
      </c>
      <c r="H5112" t="s">
        <v>4159</v>
      </c>
    </row>
    <row r="5113" spans="1:8" hidden="1" outlineLevel="1" x14ac:dyDescent="0.25">
      <c r="A5113" s="1075">
        <v>3.3333000000000002E-2</v>
      </c>
      <c r="B5113" s="740" t="s">
        <v>1905</v>
      </c>
      <c r="C5113" s="1003">
        <v>58.844999999999999</v>
      </c>
      <c r="D5113" s="908">
        <v>40.94</v>
      </c>
      <c r="E5113" s="896">
        <v>-0.30427394001189567</v>
      </c>
      <c r="F5113" s="946">
        <v>-1.0142363242416519E-2</v>
      </c>
      <c r="H5113" t="s">
        <v>504</v>
      </c>
    </row>
    <row r="5114" spans="1:8" hidden="1" outlineLevel="1" x14ac:dyDescent="0.25">
      <c r="A5114" s="1075">
        <v>3.3333000000000002E-2</v>
      </c>
      <c r="B5114" s="996" t="s">
        <v>2787</v>
      </c>
      <c r="C5114" s="1003">
        <v>62.765000000000001</v>
      </c>
      <c r="D5114" s="908">
        <v>57.45</v>
      </c>
      <c r="E5114" s="896">
        <v>-8.4680952760296302E-2</v>
      </c>
      <c r="F5114" s="946">
        <v>-2.8226701983589566E-3</v>
      </c>
      <c r="H5114" t="s">
        <v>80</v>
      </c>
    </row>
    <row r="5115" spans="1:8" hidden="1" outlineLevel="1" x14ac:dyDescent="0.25">
      <c r="A5115" s="1075">
        <v>3.3333000000000002E-2</v>
      </c>
      <c r="B5115" s="996" t="s">
        <v>1414</v>
      </c>
      <c r="C5115" s="1003">
        <v>23.433</v>
      </c>
      <c r="D5115" s="908">
        <v>25.08</v>
      </c>
      <c r="E5115" s="896">
        <v>7.0285494815004457E-2</v>
      </c>
      <c r="F5115" s="946">
        <v>2.3428263986685436E-3</v>
      </c>
      <c r="H5115" t="s">
        <v>2428</v>
      </c>
    </row>
    <row r="5116" spans="1:8" hidden="1" outlineLevel="1" x14ac:dyDescent="0.25">
      <c r="A5116" s="1075">
        <v>3.3333000000000002E-2</v>
      </c>
      <c r="B5116" s="996" t="s">
        <v>3238</v>
      </c>
      <c r="C5116" s="1003">
        <v>63.084000000000003</v>
      </c>
      <c r="D5116" s="908">
        <v>58.31</v>
      </c>
      <c r="E5116" s="896">
        <v>-7.5676875277407962E-2</v>
      </c>
      <c r="F5116" s="946">
        <v>-2.5225372836218396E-3</v>
      </c>
      <c r="H5116" t="s">
        <v>253</v>
      </c>
    </row>
    <row r="5117" spans="1:8" hidden="1" outlineLevel="1" x14ac:dyDescent="0.25">
      <c r="A5117" s="1075">
        <v>3.3333000000000002E-2</v>
      </c>
      <c r="B5117" s="996" t="s">
        <v>3800</v>
      </c>
      <c r="C5117" s="1003">
        <v>199.89</v>
      </c>
      <c r="D5117" s="908">
        <v>184</v>
      </c>
      <c r="E5117" s="896">
        <v>-7.9493721546850749E-2</v>
      </c>
      <c r="F5117" s="946">
        <v>-2.649764220321176E-3</v>
      </c>
      <c r="H5117" t="s">
        <v>2817</v>
      </c>
    </row>
    <row r="5118" spans="1:8" hidden="1" outlineLevel="1" x14ac:dyDescent="0.25">
      <c r="A5118" s="1075">
        <v>3.3333000000000002E-2</v>
      </c>
      <c r="B5118" s="740" t="s">
        <v>1904</v>
      </c>
      <c r="C5118" s="1003">
        <v>26.565000000000001</v>
      </c>
      <c r="D5118" s="908">
        <v>28.15</v>
      </c>
      <c r="E5118" s="896">
        <v>5.9664972708450836E-2</v>
      </c>
      <c r="F5118" s="946">
        <v>1.9888125352907917E-3</v>
      </c>
      <c r="H5118" t="s">
        <v>744</v>
      </c>
    </row>
    <row r="5119" spans="1:8" hidden="1" outlineLevel="1" x14ac:dyDescent="0.25">
      <c r="A5119" s="1075">
        <v>3.3333000000000002E-2</v>
      </c>
      <c r="B5119" s="996" t="s">
        <v>2166</v>
      </c>
      <c r="C5119" s="1003">
        <v>96.869</v>
      </c>
      <c r="D5119" s="908">
        <v>28.34</v>
      </c>
      <c r="E5119" s="896">
        <v>-0.70743994466754068</v>
      </c>
      <c r="F5119" s="946">
        <v>-2.3581095675603136E-2</v>
      </c>
      <c r="H5119" t="s">
        <v>4160</v>
      </c>
    </row>
    <row r="5120" spans="1:8" hidden="1" outlineLevel="1" x14ac:dyDescent="0.25">
      <c r="A5120" s="1075">
        <v>3.3333000000000002E-2</v>
      </c>
      <c r="B5120" s="996" t="s">
        <v>1724</v>
      </c>
      <c r="C5120" s="1003">
        <v>175.2</v>
      </c>
      <c r="D5120" s="908">
        <v>127</v>
      </c>
      <c r="E5120" s="896">
        <v>-0.27511415525114147</v>
      </c>
      <c r="F5120" s="946">
        <v>-9.1703801369862996E-3</v>
      </c>
      <c r="H5120" t="s">
        <v>1725</v>
      </c>
    </row>
    <row r="5121" spans="1:8" hidden="1" outlineLevel="1" x14ac:dyDescent="0.25">
      <c r="A5121" s="1075">
        <v>3.3333000000000002E-2</v>
      </c>
      <c r="B5121" s="996" t="s">
        <v>1168</v>
      </c>
      <c r="C5121" s="1003">
        <v>5864</v>
      </c>
      <c r="D5121" s="908">
        <v>3405</v>
      </c>
      <c r="E5121" s="896">
        <v>-0.4193383356070941</v>
      </c>
      <c r="F5121" s="946">
        <v>-1.3977804740791269E-2</v>
      </c>
      <c r="H5121" t="s">
        <v>1939</v>
      </c>
    </row>
    <row r="5122" spans="1:8" hidden="1" outlineLevel="1" x14ac:dyDescent="0.25">
      <c r="A5122" s="1075">
        <v>3.3333000000000002E-2</v>
      </c>
      <c r="B5122" s="996" t="s">
        <v>2731</v>
      </c>
      <c r="C5122" s="1003">
        <v>47.956000000000003</v>
      </c>
      <c r="D5122" s="908">
        <v>38.1</v>
      </c>
      <c r="E5122" s="896">
        <v>-0.20552172825089665</v>
      </c>
      <c r="F5122" s="946">
        <v>-6.8506557677871383E-3</v>
      </c>
      <c r="H5122" t="e">
        <v>#N/A</v>
      </c>
    </row>
    <row r="5123" spans="1:8" hidden="1" outlineLevel="1" x14ac:dyDescent="0.25">
      <c r="A5123" s="1075">
        <v>3.3333000000000002E-2</v>
      </c>
      <c r="B5123" s="996" t="s">
        <v>2628</v>
      </c>
      <c r="C5123" s="1003">
        <v>5.5452000000000004</v>
      </c>
      <c r="D5123" s="908">
        <v>0.68100000000000005</v>
      </c>
      <c r="E5123" s="896">
        <v>-0.87719108418091318</v>
      </c>
      <c r="F5123" s="946">
        <v>-2.9239410409002381E-2</v>
      </c>
      <c r="H5123" t="s">
        <v>1896</v>
      </c>
    </row>
    <row r="5124" spans="1:8" hidden="1" outlineLevel="1" x14ac:dyDescent="0.25">
      <c r="A5124" s="1075">
        <v>3.3333000000000002E-2</v>
      </c>
      <c r="B5124" s="996" t="s">
        <v>2137</v>
      </c>
      <c r="C5124" s="1003">
        <v>29.995000000000001</v>
      </c>
      <c r="D5124" s="908">
        <v>31.94</v>
      </c>
      <c r="E5124" s="896">
        <v>6.4844140690115015E-2</v>
      </c>
      <c r="F5124" s="946">
        <v>2.1614497416236039E-3</v>
      </c>
      <c r="H5124" t="s">
        <v>2123</v>
      </c>
    </row>
    <row r="5125" spans="1:8" hidden="1" outlineLevel="1" x14ac:dyDescent="0.25">
      <c r="A5125" s="1076">
        <v>3.3333000000000002E-2</v>
      </c>
      <c r="B5125" s="997" t="s">
        <v>3817</v>
      </c>
      <c r="C5125" s="1005">
        <v>191.73708159999998</v>
      </c>
      <c r="D5125" s="715">
        <v>34.18</v>
      </c>
      <c r="E5125" s="947">
        <v>-0.82173505659533308</v>
      </c>
      <c r="F5125" s="1023">
        <v>-2.739089464149224E-2</v>
      </c>
      <c r="H5125" t="s">
        <v>1914</v>
      </c>
    </row>
    <row r="5126" spans="1:8" hidden="1" outlineLevel="1" x14ac:dyDescent="0.25">
      <c r="A5126" s="749"/>
      <c r="B5126" s="750"/>
      <c r="C5126" s="727"/>
      <c r="D5126" s="727"/>
      <c r="E5126" s="716"/>
      <c r="F5126" s="770">
        <v>-0.40584736688213363</v>
      </c>
    </row>
    <row r="5127" spans="1:8" hidden="1" outlineLevel="1" x14ac:dyDescent="0.25">
      <c r="A5127" s="749"/>
      <c r="B5127" s="750"/>
      <c r="C5127" s="727"/>
      <c r="D5127" s="727"/>
      <c r="E5127" s="716"/>
      <c r="F5127" s="770"/>
    </row>
    <row r="5128" spans="1:8" hidden="1" outlineLevel="1" x14ac:dyDescent="0.25">
      <c r="A5128" s="751" t="s">
        <v>2528</v>
      </c>
      <c r="B5128" s="944">
        <v>39508</v>
      </c>
      <c r="C5128" s="727">
        <v>100</v>
      </c>
      <c r="D5128" s="727">
        <v>86.497600000000006</v>
      </c>
      <c r="E5128" s="716">
        <v>-0.13502399999999992</v>
      </c>
      <c r="F5128" s="731">
        <v>-0.13502399999999992</v>
      </c>
    </row>
    <row r="5129" spans="1:8" hidden="1" outlineLevel="1" x14ac:dyDescent="0.25">
      <c r="A5129" s="751" t="s">
        <v>2529</v>
      </c>
      <c r="B5129" s="944">
        <v>39600</v>
      </c>
      <c r="C5129" s="727">
        <v>100</v>
      </c>
      <c r="D5129" s="727">
        <v>73.959000000000003</v>
      </c>
      <c r="E5129" s="716">
        <v>-0.26040999999999992</v>
      </c>
      <c r="F5129" s="731">
        <v>-0.26040999999999992</v>
      </c>
    </row>
    <row r="5130" spans="1:8" hidden="1" outlineLevel="1" x14ac:dyDescent="0.25">
      <c r="A5130" s="751" t="s">
        <v>3720</v>
      </c>
      <c r="B5130" s="944">
        <v>39692</v>
      </c>
      <c r="C5130" s="727">
        <v>100</v>
      </c>
      <c r="D5130" s="727">
        <v>72.073700000000002</v>
      </c>
      <c r="E5130" s="716">
        <v>-0.27926299999999993</v>
      </c>
      <c r="F5130" s="731">
        <v>-0.27926299999999993</v>
      </c>
    </row>
    <row r="5131" spans="1:8" hidden="1" outlineLevel="1" x14ac:dyDescent="0.25">
      <c r="A5131" s="751" t="s">
        <v>3721</v>
      </c>
      <c r="B5131" s="944">
        <v>39783</v>
      </c>
      <c r="C5131" s="727">
        <v>100</v>
      </c>
      <c r="D5131" s="727">
        <v>49.957500000000003</v>
      </c>
      <c r="E5131" s="716">
        <v>-0.5004249999999999</v>
      </c>
      <c r="F5131" s="731">
        <v>-0.5004249999999999</v>
      </c>
    </row>
    <row r="5132" spans="1:8" hidden="1" outlineLevel="1" x14ac:dyDescent="0.25">
      <c r="A5132" s="751" t="s">
        <v>3722</v>
      </c>
      <c r="B5132" s="944">
        <v>39873</v>
      </c>
      <c r="C5132" s="727">
        <v>100</v>
      </c>
      <c r="D5132" s="727">
        <v>41.829599999999999</v>
      </c>
      <c r="E5132" s="716">
        <v>-0.581704</v>
      </c>
      <c r="F5132" s="731">
        <v>-0.581704</v>
      </c>
    </row>
    <row r="5133" spans="1:8" hidden="1" outlineLevel="1" x14ac:dyDescent="0.25">
      <c r="A5133" s="751" t="s">
        <v>3723</v>
      </c>
      <c r="B5133" s="944">
        <v>39965</v>
      </c>
      <c r="C5133" s="727">
        <v>100</v>
      </c>
      <c r="D5133" s="727">
        <v>50.606200000000001</v>
      </c>
      <c r="E5133" s="716">
        <v>-0.49393799999999999</v>
      </c>
      <c r="F5133" s="731">
        <v>-0.49393799999999999</v>
      </c>
    </row>
    <row r="5134" spans="1:8" hidden="1" outlineLevel="1" x14ac:dyDescent="0.25">
      <c r="A5134" s="751" t="s">
        <v>3724</v>
      </c>
      <c r="B5134" s="944">
        <v>40057</v>
      </c>
      <c r="C5134" s="727">
        <v>100</v>
      </c>
      <c r="D5134" s="727">
        <v>62.662999999999997</v>
      </c>
      <c r="E5134" s="716">
        <v>-0.37336999999999998</v>
      </c>
      <c r="F5134" s="731">
        <v>-0.37336999999999998</v>
      </c>
    </row>
    <row r="5135" spans="1:8" hidden="1" outlineLevel="1" x14ac:dyDescent="0.25">
      <c r="A5135" s="751" t="s">
        <v>3725</v>
      </c>
      <c r="B5135" s="944">
        <v>40148</v>
      </c>
      <c r="C5135" s="727">
        <v>100</v>
      </c>
      <c r="D5135" s="727">
        <v>63.470599999999997</v>
      </c>
      <c r="E5135" s="716">
        <v>-0.36529400000000001</v>
      </c>
      <c r="F5135" s="731">
        <v>-0.36529400000000001</v>
      </c>
    </row>
    <row r="5136" spans="1:8" hidden="1" outlineLevel="1" x14ac:dyDescent="0.25">
      <c r="A5136" s="751" t="s">
        <v>1233</v>
      </c>
      <c r="B5136" s="944">
        <v>40238</v>
      </c>
      <c r="C5136" s="727">
        <v>100</v>
      </c>
      <c r="D5136" s="727">
        <v>65.888900000000007</v>
      </c>
      <c r="E5136" s="716">
        <v>-0.34111099999999994</v>
      </c>
      <c r="F5136" s="731">
        <v>-0.34111099999999994</v>
      </c>
    </row>
    <row r="5137" spans="1:8" hidden="1" outlineLevel="1" x14ac:dyDescent="0.25">
      <c r="A5137" s="751" t="s">
        <v>1234</v>
      </c>
      <c r="B5137" s="944">
        <v>40330</v>
      </c>
      <c r="C5137" s="727">
        <v>100</v>
      </c>
      <c r="D5137" s="727">
        <v>57.828699999999998</v>
      </c>
      <c r="E5137" s="716">
        <v>-0.421713</v>
      </c>
      <c r="F5137" s="731">
        <v>-0.421713</v>
      </c>
    </row>
    <row r="5138" spans="1:8" hidden="1" outlineLevel="1" x14ac:dyDescent="0.25">
      <c r="A5138" s="751" t="s">
        <v>1235</v>
      </c>
      <c r="B5138" s="944">
        <v>40422</v>
      </c>
      <c r="C5138" s="727">
        <v>100</v>
      </c>
      <c r="D5138" s="727">
        <v>61.470399999999998</v>
      </c>
      <c r="E5138" s="716">
        <v>-0.38529599999999997</v>
      </c>
      <c r="F5138" s="731">
        <v>-0.38529599999999997</v>
      </c>
    </row>
    <row r="5139" spans="1:8" hidden="1" outlineLevel="1" x14ac:dyDescent="0.25">
      <c r="A5139" s="751" t="s">
        <v>395</v>
      </c>
      <c r="B5139" s="944">
        <v>40513</v>
      </c>
      <c r="C5139" s="727">
        <v>100</v>
      </c>
      <c r="D5139" s="727">
        <v>61.601399999999998</v>
      </c>
      <c r="E5139" s="716">
        <v>-0.38398600000000005</v>
      </c>
      <c r="F5139" s="731">
        <v>-0.38398600000000005</v>
      </c>
    </row>
    <row r="5140" spans="1:8" hidden="1" outlineLevel="1" x14ac:dyDescent="0.25">
      <c r="A5140" s="751" t="s">
        <v>396</v>
      </c>
      <c r="B5140" s="944">
        <v>40603</v>
      </c>
      <c r="C5140" s="727">
        <v>100</v>
      </c>
      <c r="D5140" s="727">
        <v>61.803199999999997</v>
      </c>
      <c r="E5140" s="716">
        <v>-0.38196800000000009</v>
      </c>
      <c r="F5140" s="731">
        <v>-0.38196800000000009</v>
      </c>
    </row>
    <row r="5141" spans="1:8" hidden="1" outlineLevel="1" x14ac:dyDescent="0.25">
      <c r="A5141" s="751" t="s">
        <v>1923</v>
      </c>
      <c r="B5141" s="944">
        <v>40695</v>
      </c>
      <c r="C5141" s="727">
        <v>100</v>
      </c>
      <c r="D5141" s="727">
        <v>61.014099999999999</v>
      </c>
      <c r="E5141" s="716">
        <v>-0.38985899999999996</v>
      </c>
      <c r="F5141" s="731">
        <v>-0.38985899999999996</v>
      </c>
    </row>
    <row r="5142" spans="1:8" hidden="1" outlineLevel="1" x14ac:dyDescent="0.25">
      <c r="A5142" s="751" t="s">
        <v>1924</v>
      </c>
      <c r="B5142" s="944">
        <v>40787</v>
      </c>
      <c r="C5142" s="727">
        <v>100</v>
      </c>
      <c r="D5142" s="727">
        <v>49.947099999999999</v>
      </c>
      <c r="E5142" s="716">
        <v>-0.500529</v>
      </c>
      <c r="F5142" s="731">
        <v>-0.500529</v>
      </c>
    </row>
    <row r="5143" spans="1:8" hidden="1" outlineLevel="1" x14ac:dyDescent="0.25">
      <c r="A5143" s="751" t="s">
        <v>1925</v>
      </c>
      <c r="B5143" s="944">
        <v>40878</v>
      </c>
      <c r="C5143" s="727">
        <v>100</v>
      </c>
      <c r="D5143" s="727">
        <v>53.400700000000001</v>
      </c>
      <c r="E5143" s="716">
        <v>-0.46599299999999999</v>
      </c>
      <c r="F5143" s="731">
        <v>-0.46599299999999999</v>
      </c>
    </row>
    <row r="5144" spans="1:8" hidden="1" outlineLevel="1" x14ac:dyDescent="0.25">
      <c r="A5144" s="751" t="s">
        <v>1926</v>
      </c>
      <c r="B5144" s="944">
        <v>40969</v>
      </c>
      <c r="C5144" s="727">
        <v>100</v>
      </c>
      <c r="D5144" s="727">
        <v>58.940199999999997</v>
      </c>
      <c r="E5144" s="716">
        <v>-0.41059800000000002</v>
      </c>
      <c r="F5144" s="731">
        <v>-0.41059800000000002</v>
      </c>
    </row>
    <row r="5145" spans="1:8" hidden="1" outlineLevel="1" x14ac:dyDescent="0.25">
      <c r="A5145" s="751" t="s">
        <v>618</v>
      </c>
      <c r="B5145" s="944">
        <v>41061</v>
      </c>
      <c r="C5145" s="727">
        <v>100</v>
      </c>
      <c r="D5145" s="727">
        <v>56.653799999999997</v>
      </c>
      <c r="E5145" s="716">
        <v>-0.43346200000000001</v>
      </c>
      <c r="F5145" s="731">
        <v>-0.43346200000000001</v>
      </c>
    </row>
    <row r="5146" spans="1:8" hidden="1" outlineLevel="1" x14ac:dyDescent="0.25">
      <c r="A5146" s="751" t="s">
        <v>1490</v>
      </c>
      <c r="B5146" s="944">
        <v>41153</v>
      </c>
      <c r="C5146" s="727">
        <v>100</v>
      </c>
      <c r="D5146" s="727">
        <v>61.396000000000001</v>
      </c>
      <c r="E5146" s="716">
        <v>-0.38603999999999994</v>
      </c>
      <c r="F5146" s="731">
        <v>-0.38603999999999994</v>
      </c>
      <c r="H5146" s="412" t="s">
        <v>1837</v>
      </c>
    </row>
    <row r="5147" spans="1:8" hidden="1" outlineLevel="1" x14ac:dyDescent="0.25">
      <c r="A5147" s="751" t="s">
        <v>1491</v>
      </c>
      <c r="B5147" s="944">
        <v>41244</v>
      </c>
      <c r="C5147" s="727">
        <v>100</v>
      </c>
      <c r="D5147" s="727">
        <v>62.060600000000001</v>
      </c>
      <c r="E5147" s="716">
        <v>-0.37939400000000001</v>
      </c>
      <c r="F5147" s="731">
        <v>-0.37939400000000001</v>
      </c>
      <c r="H5147" s="261">
        <v>-0.39346884999999993</v>
      </c>
    </row>
    <row r="5148" spans="1:8" hidden="1" outlineLevel="1" x14ac:dyDescent="0.25">
      <c r="A5148" s="749"/>
      <c r="B5148" s="750"/>
      <c r="C5148" s="727"/>
      <c r="D5148" s="727"/>
      <c r="E5148" s="720"/>
      <c r="F5148" s="731"/>
    </row>
    <row r="5149" spans="1:8" collapsed="1" x14ac:dyDescent="0.25">
      <c r="A5149" s="3801" t="s">
        <v>1722</v>
      </c>
      <c r="B5149" s="3802"/>
      <c r="C5149" s="3802"/>
      <c r="D5149" s="3802"/>
      <c r="E5149" s="721"/>
      <c r="F5149" s="722">
        <v>0</v>
      </c>
      <c r="G5149" s="97" t="s">
        <v>781</v>
      </c>
    </row>
    <row r="5151" spans="1:8" hidden="1" outlineLevel="1" x14ac:dyDescent="0.25">
      <c r="A5151" s="689" t="s">
        <v>113</v>
      </c>
      <c r="B5151" s="689" t="s">
        <v>114</v>
      </c>
      <c r="C5151" s="689" t="s">
        <v>112</v>
      </c>
      <c r="D5151" s="689" t="s">
        <v>116</v>
      </c>
      <c r="E5151" s="689" t="s">
        <v>117</v>
      </c>
      <c r="F5151" s="1188" t="s">
        <v>121</v>
      </c>
      <c r="G5151" s="78"/>
    </row>
    <row r="5152" spans="1:8" hidden="1" outlineLevel="1" x14ac:dyDescent="0.25">
      <c r="A5152" s="690">
        <v>1</v>
      </c>
      <c r="B5152" s="691" t="s">
        <v>252</v>
      </c>
      <c r="C5152" s="692">
        <v>100</v>
      </c>
      <c r="D5152" s="692"/>
      <c r="E5152" s="693"/>
      <c r="F5152" s="694"/>
      <c r="G5152" s="78"/>
    </row>
    <row r="5153" spans="1:9" hidden="1" outlineLevel="1" x14ac:dyDescent="0.25">
      <c r="A5153" s="695"/>
      <c r="B5153" s="695"/>
      <c r="C5153" s="696"/>
      <c r="D5153" s="697" t="s">
        <v>3702</v>
      </c>
      <c r="E5153" s="698">
        <v>40694</v>
      </c>
      <c r="F5153" s="699"/>
      <c r="G5153" s="78"/>
    </row>
    <row r="5154" spans="1:9" hidden="1" outlineLevel="1" x14ac:dyDescent="0.25">
      <c r="A5154" s="689" t="s">
        <v>4156</v>
      </c>
      <c r="B5154" s="689" t="s">
        <v>4153</v>
      </c>
      <c r="C5154" s="700" t="s">
        <v>112</v>
      </c>
      <c r="D5154" s="495" t="s">
        <v>116</v>
      </c>
      <c r="E5154" s="495" t="s">
        <v>4154</v>
      </c>
      <c r="F5154" s="1021" t="s">
        <v>2519</v>
      </c>
      <c r="G5154" s="78"/>
    </row>
    <row r="5155" spans="1:9" hidden="1" outlineLevel="1" x14ac:dyDescent="0.25">
      <c r="A5155" s="999">
        <v>0.04</v>
      </c>
      <c r="B5155" s="1010" t="s">
        <v>1993</v>
      </c>
      <c r="C5155" s="1154">
        <v>77.081999999999994</v>
      </c>
      <c r="D5155" s="803">
        <v>96.706000000000003</v>
      </c>
      <c r="E5155" s="895">
        <f>D5155/C5155-1</f>
        <v>0.25458602527178864</v>
      </c>
      <c r="F5155" s="1021">
        <f>A5155*E5155</f>
        <v>1.0183441010871546E-2</v>
      </c>
      <c r="G5155" s="78"/>
      <c r="H5155" t="str">
        <f>VLOOKUP(B5155,indexy!$A$44:$D$823,3,FALSE)</f>
        <v>MO UN Equity</v>
      </c>
      <c r="I5155" s="39" t="s">
        <v>3533</v>
      </c>
    </row>
    <row r="5156" spans="1:9" hidden="1" outlineLevel="1" x14ac:dyDescent="0.25">
      <c r="A5156" s="999">
        <v>0.04</v>
      </c>
      <c r="B5156" s="1012" t="s">
        <v>2984</v>
      </c>
      <c r="C5156" s="1155">
        <v>16.4421</v>
      </c>
      <c r="D5156" s="908">
        <v>7.9123999999999999</v>
      </c>
      <c r="E5156" s="896">
        <f t="shared" ref="E5156:E5184" si="178">D5156/C5156-1</f>
        <v>-0.51877193302558677</v>
      </c>
      <c r="F5156" s="946">
        <f t="shared" ref="F5156:F5184" si="179">A5156*E5156</f>
        <v>-2.0750877321023473E-2</v>
      </c>
      <c r="G5156" s="78"/>
      <c r="H5156" t="str">
        <f>VLOOKUP(B5156,indexy!$A$44:$D$823,3,FALSE)</f>
        <v>BBVA SM Equity</v>
      </c>
    </row>
    <row r="5157" spans="1:9" hidden="1" outlineLevel="1" x14ac:dyDescent="0.25">
      <c r="A5157" s="999">
        <v>0.03</v>
      </c>
      <c r="B5157" s="1012" t="s">
        <v>157</v>
      </c>
      <c r="C5157" s="1155">
        <v>13.7354</v>
      </c>
      <c r="D5157" s="908">
        <v>8.0245999999999995</v>
      </c>
      <c r="E5157" s="896">
        <f t="shared" si="178"/>
        <v>-0.41577238376749137</v>
      </c>
      <c r="F5157" s="946">
        <f t="shared" si="179"/>
        <v>-1.2473171513024741E-2</v>
      </c>
      <c r="G5157" s="78"/>
      <c r="H5157" t="str">
        <f>VLOOKUP(B5157,indexy!$A$44:$D$823,3,FALSE)</f>
        <v>SAN SM Equity</v>
      </c>
    </row>
    <row r="5158" spans="1:9" hidden="1" outlineLevel="1" x14ac:dyDescent="0.25">
      <c r="A5158" s="999">
        <v>0.05</v>
      </c>
      <c r="B5158" s="1012" t="s">
        <v>1184</v>
      </c>
      <c r="C5158" s="1155">
        <f>97.752/2</f>
        <v>48.875999999999998</v>
      </c>
      <c r="D5158" s="908">
        <v>62.55</v>
      </c>
      <c r="E5158" s="896">
        <f t="shared" si="178"/>
        <v>0.27976921188313275</v>
      </c>
      <c r="F5158" s="946">
        <f t="shared" si="179"/>
        <v>1.3988460594156638E-2</v>
      </c>
      <c r="G5158" s="78"/>
      <c r="H5158" t="str">
        <f>VLOOKUP(B5158,indexy!$A$44:$D$823,3,FALSE)</f>
        <v>BAS GY Equity</v>
      </c>
    </row>
    <row r="5159" spans="1:9" hidden="1" outlineLevel="1" x14ac:dyDescent="0.25">
      <c r="A5159" s="999">
        <v>0.03</v>
      </c>
      <c r="B5159" s="1012" t="s">
        <v>901</v>
      </c>
      <c r="C5159" s="1155">
        <v>1910.6</v>
      </c>
      <c r="D5159" s="908">
        <v>2726.8</v>
      </c>
      <c r="E5159" s="896">
        <f t="shared" si="178"/>
        <v>0.4271956453470116</v>
      </c>
      <c r="F5159" s="946">
        <f t="shared" si="179"/>
        <v>1.2815869360410348E-2</v>
      </c>
      <c r="G5159" s="78"/>
      <c r="H5159" t="str">
        <f>VLOOKUP(B5159,indexy!$A$44:$D$823,3,FALSE)</f>
        <v>BATS LN Equity</v>
      </c>
    </row>
    <row r="5160" spans="1:9" hidden="1" outlineLevel="1" x14ac:dyDescent="0.25">
      <c r="A5160" s="999">
        <v>0.03</v>
      </c>
      <c r="B5160" s="1012" t="s">
        <v>1847</v>
      </c>
      <c r="C5160" s="1155">
        <f>31.45*10</f>
        <v>314.5</v>
      </c>
      <c r="D5160" s="908">
        <v>39.031999999999996</v>
      </c>
      <c r="E5160" s="896">
        <f t="shared" si="178"/>
        <v>-0.87589189189189187</v>
      </c>
      <c r="F5160" s="946">
        <f t="shared" si="179"/>
        <v>-2.6276756756756756E-2</v>
      </c>
      <c r="G5160" s="78"/>
      <c r="H5160" t="str">
        <f>VLOOKUP(B5160,indexy!$A$44:$D$823,3,FALSE)</f>
        <v>C UN Equity</v>
      </c>
    </row>
    <row r="5161" spans="1:9" hidden="1" outlineLevel="1" x14ac:dyDescent="0.25">
      <c r="A5161" s="999">
        <v>0.02</v>
      </c>
      <c r="B5161" s="1012" t="s">
        <v>1212</v>
      </c>
      <c r="C5161" s="1155">
        <v>70.33</v>
      </c>
      <c r="D5161" s="908">
        <v>35.481999999999999</v>
      </c>
      <c r="E5161" s="896">
        <f t="shared" si="178"/>
        <v>-0.49549267737807479</v>
      </c>
      <c r="F5161" s="946">
        <f t="shared" si="179"/>
        <v>-9.9098535475614959E-3</v>
      </c>
      <c r="G5161" s="78"/>
      <c r="H5161" t="e">
        <f>VLOOKUP(B5161,indexy!$A$44:$D$823,3,FALSE)</f>
        <v>#N/A</v>
      </c>
    </row>
    <row r="5162" spans="1:9" hidden="1" outlineLevel="1" x14ac:dyDescent="0.25">
      <c r="A5162" s="999">
        <v>0.02</v>
      </c>
      <c r="B5162" s="1012" t="s">
        <v>3406</v>
      </c>
      <c r="C5162" s="1155">
        <v>1060.4000000000001</v>
      </c>
      <c r="D5162" s="908">
        <v>1291.5999999999999</v>
      </c>
      <c r="E5162" s="896">
        <f t="shared" si="178"/>
        <v>0.21803093172387755</v>
      </c>
      <c r="F5162" s="946">
        <f t="shared" si="179"/>
        <v>4.3606186344775514E-3</v>
      </c>
      <c r="G5162" s="78"/>
      <c r="H5162" t="str">
        <f>VLOOKUP(B5162,indexy!$A$44:$D$823,3,FALSE)</f>
        <v>DGE LN Equity</v>
      </c>
    </row>
    <row r="5163" spans="1:9" hidden="1" outlineLevel="1" x14ac:dyDescent="0.25">
      <c r="A5163" s="999">
        <v>0.02</v>
      </c>
      <c r="B5163" s="1012" t="s">
        <v>4387</v>
      </c>
      <c r="C5163" s="1155">
        <f>144.222/3</f>
        <v>48.074000000000005</v>
      </c>
      <c r="D5163" s="908">
        <v>18.943000000000001</v>
      </c>
      <c r="E5163" s="896">
        <f t="shared" si="178"/>
        <v>-0.60596164246786199</v>
      </c>
      <c r="F5163" s="946">
        <f t="shared" si="179"/>
        <v>-1.211923284935724E-2</v>
      </c>
      <c r="G5163" s="78"/>
      <c r="H5163" t="str">
        <f>VLOOKUP(B5163,indexy!$A$44:$D$823,3,FALSE)</f>
        <v>EOAN GY Equity</v>
      </c>
    </row>
    <row r="5164" spans="1:9" hidden="1" outlineLevel="1" x14ac:dyDescent="0.25">
      <c r="A5164" s="999">
        <v>0.04</v>
      </c>
      <c r="B5164" s="1012" t="s">
        <v>4064</v>
      </c>
      <c r="C5164" s="1155">
        <v>53.841999999999999</v>
      </c>
      <c r="D5164" s="908">
        <v>37.378</v>
      </c>
      <c r="E5164" s="896">
        <f t="shared" si="178"/>
        <v>-0.30578358901972436</v>
      </c>
      <c r="F5164" s="946">
        <f t="shared" si="179"/>
        <v>-1.2231343560788975E-2</v>
      </c>
      <c r="G5164" s="78"/>
      <c r="H5164" t="str">
        <f>VLOOKUP(B5164,indexy!$A$44:$D$823,3,FALSE)</f>
        <v>LLY UN Equity</v>
      </c>
    </row>
    <row r="5165" spans="1:9" hidden="1" outlineLevel="1" x14ac:dyDescent="0.25">
      <c r="A5165" s="999">
        <v>0.06</v>
      </c>
      <c r="B5165" s="1012" t="s">
        <v>3798</v>
      </c>
      <c r="C5165" s="1155">
        <v>7.2679999999999998</v>
      </c>
      <c r="D5165" s="908">
        <v>4.6908000000000003</v>
      </c>
      <c r="E5165" s="896">
        <f t="shared" si="178"/>
        <v>-0.35459548706659327</v>
      </c>
      <c r="F5165" s="946">
        <f t="shared" si="179"/>
        <v>-2.1275729223995597E-2</v>
      </c>
      <c r="G5165" s="78"/>
      <c r="H5165" t="str">
        <f>VLOOKUP(B5165,indexy!$A$44:$D$823,3,FALSE)</f>
        <v>ENEL IM Equity</v>
      </c>
    </row>
    <row r="5166" spans="1:9" hidden="1" outlineLevel="1" x14ac:dyDescent="0.25">
      <c r="A5166" s="999">
        <v>0.03</v>
      </c>
      <c r="B5166" s="1012" t="s">
        <v>4268</v>
      </c>
      <c r="C5166" s="1155">
        <v>29.118400000000001</v>
      </c>
      <c r="D5166" s="908">
        <v>22.654</v>
      </c>
      <c r="E5166" s="896">
        <f t="shared" si="178"/>
        <v>-0.22200395626133307</v>
      </c>
      <c r="F5166" s="946">
        <f t="shared" si="179"/>
        <v>-6.660118687839992E-3</v>
      </c>
      <c r="G5166" s="78"/>
      <c r="H5166" t="str">
        <f>VLOOKUP(B5166,indexy!$A$44:$D$823,3,FALSE)</f>
        <v>FORTUM FH Equity</v>
      </c>
    </row>
    <row r="5167" spans="1:9" hidden="1" outlineLevel="1" x14ac:dyDescent="0.25">
      <c r="A5167" s="999">
        <v>0.04</v>
      </c>
      <c r="B5167" s="1012" t="s">
        <v>3407</v>
      </c>
      <c r="C5167" s="1155">
        <v>37.049999999999997</v>
      </c>
      <c r="D5167" s="908">
        <v>18.795999999999999</v>
      </c>
      <c r="E5167" s="896">
        <f t="shared" si="178"/>
        <v>-0.49268556005398112</v>
      </c>
      <c r="F5167" s="946">
        <f t="shared" si="179"/>
        <v>-1.9707422402159246E-2</v>
      </c>
      <c r="G5167" s="78"/>
      <c r="H5167" t="str">
        <f>VLOOKUP(B5167,indexy!$A$44:$D$823,3,FALSE)</f>
        <v>GE UN Equity</v>
      </c>
    </row>
    <row r="5168" spans="1:9" hidden="1" outlineLevel="1" x14ac:dyDescent="0.25">
      <c r="A5168" s="999">
        <v>0.04</v>
      </c>
      <c r="B5168" s="1012" t="s">
        <v>1771</v>
      </c>
      <c r="C5168" s="1155">
        <v>732.01</v>
      </c>
      <c r="D5168" s="908">
        <v>6.2706</v>
      </c>
      <c r="E5168" s="896">
        <f t="shared" si="178"/>
        <v>-0.99143372358301118</v>
      </c>
      <c r="F5168" s="946">
        <f t="shared" si="179"/>
        <v>-3.9657348943320452E-2</v>
      </c>
      <c r="G5168" s="78"/>
      <c r="H5168" t="str">
        <f>VLOOKUP(B5168,indexy!$A$44:$D$823,3,FALSE)</f>
        <v>HSBA LN Equity</v>
      </c>
    </row>
    <row r="5169" spans="1:8" hidden="1" outlineLevel="1" x14ac:dyDescent="0.25">
      <c r="A5169" s="999">
        <v>0.06</v>
      </c>
      <c r="B5169" s="1012" t="s">
        <v>2588</v>
      </c>
      <c r="C5169" s="1155">
        <v>20.721800000000002</v>
      </c>
      <c r="D5169" s="908">
        <v>8.1449999999999996</v>
      </c>
      <c r="E5169" s="896">
        <f t="shared" si="178"/>
        <v>-0.60693569091488198</v>
      </c>
      <c r="F5169" s="946">
        <f t="shared" si="179"/>
        <v>-3.6416141454892914E-2</v>
      </c>
      <c r="G5169" s="78"/>
      <c r="H5169" t="str">
        <f>VLOOKUP(B5169,indexy!$A$44:$D$823,3,FALSE)</f>
        <v>INGA NA Equity</v>
      </c>
    </row>
    <row r="5170" spans="1:8" hidden="1" outlineLevel="1" x14ac:dyDescent="0.25">
      <c r="A5170" s="999">
        <v>0.02</v>
      </c>
      <c r="B5170" s="1012" t="s">
        <v>4376</v>
      </c>
      <c r="C5170" s="1155">
        <v>45.515999999999998</v>
      </c>
      <c r="D5170" s="908">
        <v>41.238</v>
      </c>
      <c r="E5170" s="896">
        <f t="shared" si="178"/>
        <v>-9.3988926970735576E-2</v>
      </c>
      <c r="F5170" s="946">
        <f t="shared" si="179"/>
        <v>-1.8797785394147116E-3</v>
      </c>
      <c r="G5170" s="78"/>
      <c r="H5170" t="str">
        <f>VLOOKUP(B5170,indexy!$A$44:$D$823,3,FALSE)</f>
        <v>JPM UN Equity</v>
      </c>
    </row>
    <row r="5171" spans="1:8" hidden="1" outlineLevel="1" x14ac:dyDescent="0.25">
      <c r="A5171" s="999">
        <v>0.05</v>
      </c>
      <c r="B5171" s="1012" t="s">
        <v>123</v>
      </c>
      <c r="C5171" s="1155">
        <v>40.92</v>
      </c>
      <c r="D5171" s="908">
        <v>16.364000000000001</v>
      </c>
      <c r="E5171" s="896">
        <f t="shared" si="178"/>
        <v>-0.60009775171065494</v>
      </c>
      <c r="F5171" s="946">
        <f t="shared" si="179"/>
        <v>-3.0004887585532748E-2</v>
      </c>
      <c r="G5171" s="78"/>
      <c r="H5171" t="str">
        <f>VLOOKUP(B5171,indexy!$A$44:$D$823,3,FALSE)</f>
        <v>MFC CT Equity</v>
      </c>
    </row>
    <row r="5172" spans="1:8" hidden="1" outlineLevel="1" x14ac:dyDescent="0.25">
      <c r="A5172" s="999">
        <v>0.02</v>
      </c>
      <c r="B5172" s="1012" t="s">
        <v>2787</v>
      </c>
      <c r="C5172" s="1155">
        <v>63.73</v>
      </c>
      <c r="D5172" s="908">
        <v>53.08</v>
      </c>
      <c r="E5172" s="896">
        <f t="shared" si="178"/>
        <v>-0.16711125058841991</v>
      </c>
      <c r="F5172" s="946">
        <f t="shared" si="179"/>
        <v>-3.3422250117683982E-3</v>
      </c>
      <c r="G5172" s="78"/>
      <c r="H5172" t="str">
        <f>VLOOKUP(B5172,indexy!$A$44:$D$823,3,FALSE)</f>
        <v>NOVN SE Equity</v>
      </c>
    </row>
    <row r="5173" spans="1:8" hidden="1" outlineLevel="1" x14ac:dyDescent="0.25">
      <c r="A5173" s="999">
        <v>0.04</v>
      </c>
      <c r="B5173" s="1012" t="s">
        <v>1414</v>
      </c>
      <c r="C5173" s="1155">
        <v>23.47</v>
      </c>
      <c r="D5173" s="908">
        <v>20.878</v>
      </c>
      <c r="E5173" s="896">
        <f t="shared" si="178"/>
        <v>-0.1104388581167447</v>
      </c>
      <c r="F5173" s="946">
        <f t="shared" si="179"/>
        <v>-4.4175543246697882E-3</v>
      </c>
      <c r="G5173" s="78"/>
      <c r="H5173" t="str">
        <f>VLOOKUP(B5173,indexy!$A$44:$D$823,3,FALSE)</f>
        <v>PFE UN Equity</v>
      </c>
    </row>
    <row r="5174" spans="1:8" hidden="1" outlineLevel="1" x14ac:dyDescent="0.25">
      <c r="A5174" s="999">
        <v>0.02</v>
      </c>
      <c r="B5174" s="1012" t="s">
        <v>1653</v>
      </c>
      <c r="C5174" s="1155">
        <v>13.081200000000001</v>
      </c>
      <c r="D5174" s="908">
        <v>9.1701999999999995</v>
      </c>
      <c r="E5174" s="896">
        <f t="shared" si="178"/>
        <v>-0.29897868697061436</v>
      </c>
      <c r="F5174" s="946">
        <f t="shared" si="179"/>
        <v>-5.9795737394122877E-3</v>
      </c>
      <c r="G5174" s="78"/>
      <c r="H5174" t="str">
        <f>VLOOKUP(B5174,indexy!$A$44:$D$823,3,FALSE)</f>
        <v>REN NA Equity</v>
      </c>
    </row>
    <row r="5175" spans="1:8" hidden="1" outlineLevel="1" x14ac:dyDescent="0.25">
      <c r="A5175" s="999">
        <v>0.04</v>
      </c>
      <c r="B5175" s="1012" t="s">
        <v>3424</v>
      </c>
      <c r="C5175" s="1155">
        <f>67.286/2</f>
        <v>33.643000000000001</v>
      </c>
      <c r="D5175" s="908">
        <v>38.744</v>
      </c>
      <c r="E5175" s="896">
        <f t="shared" si="178"/>
        <v>0.15162143685164819</v>
      </c>
      <c r="F5175" s="946">
        <f t="shared" si="179"/>
        <v>6.0648574740659279E-3</v>
      </c>
      <c r="G5175" s="78"/>
      <c r="H5175" t="str">
        <f>VLOOKUP(B5175,indexy!$A$44:$D$823,3,FALSE)</f>
        <v>RAI UN Equity</v>
      </c>
    </row>
    <row r="5176" spans="1:8" hidden="1" outlineLevel="1" x14ac:dyDescent="0.25">
      <c r="A5176" s="999">
        <v>0.03</v>
      </c>
      <c r="B5176" s="1012" t="s">
        <v>3800</v>
      </c>
      <c r="C5176" s="1155">
        <v>201.98</v>
      </c>
      <c r="D5176" s="908">
        <v>145.97999999999999</v>
      </c>
      <c r="E5176" s="896">
        <f t="shared" si="178"/>
        <v>-0.2772551737795822</v>
      </c>
      <c r="F5176" s="946">
        <f t="shared" si="179"/>
        <v>-8.3176552133874659E-3</v>
      </c>
      <c r="G5176" s="78"/>
      <c r="H5176" t="str">
        <f>VLOOKUP(B5176,indexy!$A$44:$D$823,3,FALSE)</f>
        <v>ROG SE Equity</v>
      </c>
    </row>
    <row r="5177" spans="1:8" hidden="1" outlineLevel="1" x14ac:dyDescent="0.25">
      <c r="A5177" s="999">
        <v>0.03</v>
      </c>
      <c r="B5177" s="1012" t="s">
        <v>3801</v>
      </c>
      <c r="C5177" s="1155">
        <v>95.224000000000004</v>
      </c>
      <c r="D5177" s="908">
        <v>38.823999999999998</v>
      </c>
      <c r="E5177" s="896">
        <f t="shared" si="178"/>
        <v>-0.59228765857346888</v>
      </c>
      <c r="F5177" s="946">
        <f t="shared" si="179"/>
        <v>-1.7768629757204064E-2</v>
      </c>
      <c r="G5177" s="78"/>
      <c r="H5177" t="str">
        <f>VLOOKUP(B5177,indexy!$A$44:$D$823,3,FALSE)</f>
        <v>RWE GY Equity</v>
      </c>
    </row>
    <row r="5178" spans="1:8" hidden="1" outlineLevel="1" x14ac:dyDescent="0.25">
      <c r="A5178" s="999">
        <v>0.03</v>
      </c>
      <c r="B5178" s="1012" t="s">
        <v>1187</v>
      </c>
      <c r="C5178" s="1155">
        <v>64.128</v>
      </c>
      <c r="D5178" s="908">
        <v>52.898000000000003</v>
      </c>
      <c r="E5178" s="896">
        <f t="shared" si="178"/>
        <v>-0.1751185129740519</v>
      </c>
      <c r="F5178" s="946">
        <f t="shared" si="179"/>
        <v>-5.2535553892215569E-3</v>
      </c>
      <c r="G5178" s="78"/>
      <c r="H5178" t="str">
        <f>VLOOKUP(B5178,indexy!$A$44:$D$823,3,FALSE)</f>
        <v>SAN FP Equity</v>
      </c>
    </row>
    <row r="5179" spans="1:8" hidden="1" outlineLevel="1" x14ac:dyDescent="0.25">
      <c r="A5179" s="999">
        <v>0.02</v>
      </c>
      <c r="B5179" s="1012" t="s">
        <v>898</v>
      </c>
      <c r="C5179" s="1155">
        <v>54.938000000000002</v>
      </c>
      <c r="D5179" s="908">
        <v>29.138000000000002</v>
      </c>
      <c r="E5179" s="896">
        <f t="shared" si="178"/>
        <v>-0.46962029924642323</v>
      </c>
      <c r="F5179" s="946">
        <f t="shared" si="179"/>
        <v>-9.3924059849284647E-3</v>
      </c>
      <c r="G5179" s="78"/>
      <c r="H5179" t="str">
        <f>VLOOKUP(B5179,indexy!$A$44:$D$823,3,FALSE)</f>
        <v>SLF CT Equity</v>
      </c>
    </row>
    <row r="5180" spans="1:8" hidden="1" outlineLevel="1" x14ac:dyDescent="0.25">
      <c r="A5180" s="999">
        <v>0.02</v>
      </c>
      <c r="B5180" s="1012" t="s">
        <v>231</v>
      </c>
      <c r="C5180" s="1155">
        <v>64.849999999999994</v>
      </c>
      <c r="D5180" s="908">
        <v>25.861999999999998</v>
      </c>
      <c r="E5180" s="896">
        <f t="shared" si="178"/>
        <v>-0.60120277563608326</v>
      </c>
      <c r="F5180" s="946">
        <f t="shared" si="179"/>
        <v>-1.2024055512721666E-2</v>
      </c>
      <c r="G5180" s="78"/>
      <c r="H5180" t="e">
        <f>VLOOKUP(B5180,indexy!$A$44:$D$823,3,FALSE)</f>
        <v>#N/A</v>
      </c>
    </row>
    <row r="5181" spans="1:8" hidden="1" outlineLevel="1" x14ac:dyDescent="0.25">
      <c r="A5181" s="999">
        <v>0.02</v>
      </c>
      <c r="B5181" s="1012" t="s">
        <v>3902</v>
      </c>
      <c r="C5181" s="1155">
        <v>113.35</v>
      </c>
      <c r="D5181" s="908">
        <v>94.82</v>
      </c>
      <c r="E5181" s="896">
        <f t="shared" si="178"/>
        <v>-0.16347595941773274</v>
      </c>
      <c r="F5181" s="946">
        <f t="shared" si="179"/>
        <v>-3.269519188354655E-3</v>
      </c>
      <c r="G5181" s="78"/>
      <c r="H5181" t="e">
        <f>VLOOKUP(B5181,indexy!$A$44:$D$823,3,FALSE)</f>
        <v>#N/A</v>
      </c>
    </row>
    <row r="5182" spans="1:8" hidden="1" outlineLevel="1" x14ac:dyDescent="0.25">
      <c r="A5182" s="999">
        <v>0.03</v>
      </c>
      <c r="B5182" s="1012" t="s">
        <v>577</v>
      </c>
      <c r="C5182" s="1155">
        <v>22.79</v>
      </c>
      <c r="D5182" s="908">
        <v>16.533000000000001</v>
      </c>
      <c r="E5182" s="896">
        <f t="shared" si="178"/>
        <v>-0.27455024133391825</v>
      </c>
      <c r="F5182" s="946">
        <f t="shared" si="179"/>
        <v>-8.2365072400175481E-3</v>
      </c>
      <c r="G5182" s="78"/>
      <c r="H5182" t="str">
        <f>VLOOKUP(B5182,indexy!$A$44:$D$823,3,FALSE)</f>
        <v>TEF SQ Equity</v>
      </c>
    </row>
    <row r="5183" spans="1:8" hidden="1" outlineLevel="1" x14ac:dyDescent="0.25">
      <c r="A5183" s="999">
        <v>0.04</v>
      </c>
      <c r="B5183" s="1012" t="s">
        <v>1183</v>
      </c>
      <c r="C5183" s="1155">
        <v>55.566000000000003</v>
      </c>
      <c r="D5183" s="908">
        <v>38.603000000000002</v>
      </c>
      <c r="E5183" s="896">
        <f t="shared" si="178"/>
        <v>-0.3052766079976964</v>
      </c>
      <c r="F5183" s="946">
        <f t="shared" si="179"/>
        <v>-1.2211064319907856E-2</v>
      </c>
      <c r="G5183" s="78"/>
      <c r="H5183" t="e">
        <f>VLOOKUP(B5183,indexy!$A$44:$D$823,3,FALSE)</f>
        <v>#N/A</v>
      </c>
    </row>
    <row r="5184" spans="1:8" hidden="1" outlineLevel="1" x14ac:dyDescent="0.25">
      <c r="A5184" s="999">
        <v>0.04</v>
      </c>
      <c r="B5184" s="1012" t="s">
        <v>3903</v>
      </c>
      <c r="C5184" s="1155">
        <v>14.151999999999999</v>
      </c>
      <c r="D5184" s="715">
        <v>12.603999999999999</v>
      </c>
      <c r="E5184" s="947">
        <f t="shared" si="178"/>
        <v>-0.10938383267382701</v>
      </c>
      <c r="F5184" s="1023">
        <f t="shared" si="179"/>
        <v>-4.3753533069530804E-3</v>
      </c>
      <c r="G5184" s="78"/>
      <c r="H5184" t="str">
        <f>VLOOKUP(B5184,indexy!$A$44:$D$823,3,FALSE)</f>
        <v>UPM FH Equity</v>
      </c>
    </row>
    <row r="5185" spans="1:12" hidden="1" outlineLevel="1" x14ac:dyDescent="0.25">
      <c r="A5185" s="1014"/>
      <c r="B5185" s="1015"/>
      <c r="C5185" s="1016"/>
      <c r="D5185" s="798"/>
      <c r="E5185" s="709"/>
      <c r="F5185" s="1666">
        <f>SUM(F5155:F5184)</f>
        <v>-0.29653751430023317</v>
      </c>
      <c r="G5185" s="78"/>
    </row>
    <row r="5186" spans="1:12" hidden="1" outlineLevel="1" x14ac:dyDescent="0.25">
      <c r="A5186" s="1017"/>
      <c r="B5186" s="1018"/>
      <c r="C5186" s="837"/>
      <c r="D5186" s="798"/>
      <c r="E5186" s="709"/>
      <c r="F5186" s="1666"/>
      <c r="G5186" s="78"/>
    </row>
    <row r="5187" spans="1:12" hidden="1" outlineLevel="1" x14ac:dyDescent="0.25">
      <c r="A5187" s="725" t="s">
        <v>113</v>
      </c>
      <c r="B5187" s="725"/>
      <c r="C5187" s="1019"/>
      <c r="D5187" s="1019"/>
      <c r="E5187" s="729"/>
      <c r="F5187" s="1188"/>
      <c r="G5187" s="78"/>
    </row>
    <row r="5188" spans="1:12" hidden="1" outlineLevel="1" x14ac:dyDescent="0.25">
      <c r="A5188" s="732" t="s">
        <v>1492</v>
      </c>
      <c r="B5188" s="690"/>
      <c r="C5188" s="691"/>
      <c r="D5188" s="691"/>
      <c r="E5188" s="691"/>
      <c r="F5188" s="1021">
        <v>0.04</v>
      </c>
      <c r="G5188" s="78"/>
    </row>
    <row r="5189" spans="1:12" hidden="1" outlineLevel="1" x14ac:dyDescent="0.25">
      <c r="A5189" s="732" t="s">
        <v>1493</v>
      </c>
      <c r="B5189" s="706"/>
      <c r="C5189" s="816"/>
      <c r="D5189" s="816"/>
      <c r="E5189" s="816"/>
      <c r="F5189" s="946">
        <v>0.01</v>
      </c>
      <c r="G5189" s="78"/>
    </row>
    <row r="5190" spans="1:12" hidden="1" outlineLevel="1" x14ac:dyDescent="0.25">
      <c r="A5190" s="732" t="s">
        <v>1494</v>
      </c>
      <c r="B5190" s="706"/>
      <c r="C5190" s="816"/>
      <c r="D5190" s="816"/>
      <c r="E5190" s="816"/>
      <c r="F5190" s="946">
        <v>0.01</v>
      </c>
      <c r="G5190" s="78"/>
    </row>
    <row r="5191" spans="1:12" collapsed="1" x14ac:dyDescent="0.25">
      <c r="A5191" s="3803" t="s">
        <v>1726</v>
      </c>
      <c r="B5191" s="3804"/>
      <c r="C5191" s="3804"/>
      <c r="D5191" s="1019"/>
      <c r="E5191" s="1156" t="s">
        <v>2722</v>
      </c>
      <c r="F5191" s="934">
        <f>SUM(F5188:F5190)</f>
        <v>6.0000000000000005E-2</v>
      </c>
      <c r="G5191" s="97" t="s">
        <v>781</v>
      </c>
    </row>
    <row r="5193" spans="1:12" hidden="1" outlineLevel="1" x14ac:dyDescent="0.25">
      <c r="A5193" s="689" t="s">
        <v>113</v>
      </c>
      <c r="B5193" s="689" t="s">
        <v>114</v>
      </c>
      <c r="C5193" s="689" t="s">
        <v>112</v>
      </c>
      <c r="D5193" s="689" t="s">
        <v>116</v>
      </c>
      <c r="E5193" s="689" t="s">
        <v>117</v>
      </c>
      <c r="F5193" s="1188" t="s">
        <v>121</v>
      </c>
      <c r="G5193" s="78"/>
    </row>
    <row r="5194" spans="1:12" hidden="1" outlineLevel="1" x14ac:dyDescent="0.25">
      <c r="A5194" s="690">
        <v>1</v>
      </c>
      <c r="B5194" s="691" t="s">
        <v>252</v>
      </c>
      <c r="C5194" s="692">
        <v>100</v>
      </c>
      <c r="D5194" s="692"/>
      <c r="E5194" s="693"/>
      <c r="F5194" s="694"/>
      <c r="G5194" s="78"/>
    </row>
    <row r="5195" spans="1:12" hidden="1" outlineLevel="1" x14ac:dyDescent="0.25">
      <c r="A5195" s="695"/>
      <c r="B5195" s="695"/>
      <c r="C5195" s="696"/>
      <c r="D5195" s="697" t="s">
        <v>3702</v>
      </c>
      <c r="E5195" s="698">
        <v>41089</v>
      </c>
      <c r="F5195" s="699"/>
      <c r="G5195" s="78"/>
    </row>
    <row r="5196" spans="1:12" hidden="1" outlineLevel="1" x14ac:dyDescent="0.25">
      <c r="A5196" s="689" t="s">
        <v>4156</v>
      </c>
      <c r="B5196" s="689" t="s">
        <v>4153</v>
      </c>
      <c r="C5196" s="700" t="s">
        <v>112</v>
      </c>
      <c r="D5196" s="495" t="s">
        <v>4155</v>
      </c>
      <c r="E5196" s="495" t="s">
        <v>4154</v>
      </c>
      <c r="F5196" s="1021" t="s">
        <v>2519</v>
      </c>
      <c r="G5196" s="78"/>
    </row>
    <row r="5197" spans="1:12" hidden="1" outlineLevel="1" x14ac:dyDescent="0.25">
      <c r="A5197" s="734">
        <v>0.04</v>
      </c>
      <c r="B5197" s="735" t="s">
        <v>359</v>
      </c>
      <c r="C5197" s="1145">
        <v>137.90799999999999</v>
      </c>
      <c r="D5197" s="1090">
        <v>79.11</v>
      </c>
      <c r="E5197" s="738">
        <v>-0.42635670156916206</v>
      </c>
      <c r="F5197" s="1021">
        <v>-1.7054268062766484E-2</v>
      </c>
      <c r="G5197" s="78"/>
      <c r="H5197" t="s">
        <v>360</v>
      </c>
      <c r="J5197" t="s">
        <v>2040</v>
      </c>
      <c r="K5197" t="s">
        <v>561</v>
      </c>
      <c r="L5197" t="s">
        <v>4577</v>
      </c>
    </row>
    <row r="5198" spans="1:12" hidden="1" outlineLevel="1" x14ac:dyDescent="0.25">
      <c r="A5198" s="739">
        <v>0.04</v>
      </c>
      <c r="B5198" s="987" t="s">
        <v>1993</v>
      </c>
      <c r="C5198" s="1112">
        <v>77.613</v>
      </c>
      <c r="D5198" s="1091">
        <v>121.81</v>
      </c>
      <c r="E5198" s="742">
        <v>0.56945357092239712</v>
      </c>
      <c r="F5198" s="946">
        <v>2.2778142836895884E-2</v>
      </c>
      <c r="G5198" s="78"/>
      <c r="H5198" t="s">
        <v>2812</v>
      </c>
      <c r="I5198" s="39" t="s">
        <v>3533</v>
      </c>
      <c r="J5198" s="256">
        <v>40544</v>
      </c>
      <c r="K5198" s="424">
        <v>76.923000000000002</v>
      </c>
      <c r="L5198" s="37">
        <v>-0.23077000000000003</v>
      </c>
    </row>
    <row r="5199" spans="1:12" hidden="1" outlineLevel="1" x14ac:dyDescent="0.25">
      <c r="A5199" s="739">
        <v>0.04</v>
      </c>
      <c r="B5199" s="740" t="s">
        <v>2984</v>
      </c>
      <c r="C5199" s="1112">
        <v>14.88</v>
      </c>
      <c r="D5199" s="1091">
        <v>5.6289999999999996</v>
      </c>
      <c r="E5199" s="742">
        <v>-0.62170698924731194</v>
      </c>
      <c r="F5199" s="946">
        <v>-2.4868279569892477E-2</v>
      </c>
      <c r="G5199" s="78"/>
      <c r="H5199" t="s">
        <v>2326</v>
      </c>
      <c r="J5199" s="256">
        <v>40575</v>
      </c>
      <c r="K5199" s="424">
        <v>78.892899999999997</v>
      </c>
      <c r="L5199" s="37">
        <v>-0.21107100000000001</v>
      </c>
    </row>
    <row r="5200" spans="1:12" hidden="1" outlineLevel="1" x14ac:dyDescent="0.25">
      <c r="A5200" s="739">
        <v>0.03</v>
      </c>
      <c r="B5200" s="740" t="s">
        <v>157</v>
      </c>
      <c r="C5200" s="1112">
        <v>13.066000000000001</v>
      </c>
      <c r="D5200" s="1091">
        <v>5.2210000000000001</v>
      </c>
      <c r="E5200" s="742">
        <v>-0.60041328639216296</v>
      </c>
      <c r="F5200" s="946">
        <v>-1.8012398591764889E-2</v>
      </c>
      <c r="G5200" s="78"/>
      <c r="H5200" t="s">
        <v>730</v>
      </c>
      <c r="J5200" s="256">
        <v>40603</v>
      </c>
      <c r="K5200" s="424">
        <v>77.811099999999996</v>
      </c>
      <c r="L5200" s="37">
        <v>-0.221889</v>
      </c>
    </row>
    <row r="5201" spans="1:15" hidden="1" outlineLevel="1" x14ac:dyDescent="0.25">
      <c r="A5201" s="739">
        <v>0.05</v>
      </c>
      <c r="B5201" s="740" t="s">
        <v>1184</v>
      </c>
      <c r="C5201" s="1112">
        <v>48.704500000000003</v>
      </c>
      <c r="D5201" s="1091">
        <v>54.7</v>
      </c>
      <c r="E5201" s="742">
        <v>0.12309950825899052</v>
      </c>
      <c r="F5201" s="946">
        <v>6.1549754129495262E-3</v>
      </c>
      <c r="G5201" s="78"/>
      <c r="H5201" t="s">
        <v>3497</v>
      </c>
      <c r="J5201" s="256">
        <v>40634</v>
      </c>
      <c r="K5201" s="424">
        <v>80.8202</v>
      </c>
      <c r="L5201" s="37">
        <v>-0.19179800000000002</v>
      </c>
    </row>
    <row r="5202" spans="1:15" hidden="1" outlineLevel="1" x14ac:dyDescent="0.25">
      <c r="A5202" s="739">
        <v>0.03</v>
      </c>
      <c r="B5202" s="740" t="s">
        <v>901</v>
      </c>
      <c r="C5202" s="1112">
        <v>1932.5</v>
      </c>
      <c r="D5202" s="1091">
        <v>3241.5</v>
      </c>
      <c r="E5202" s="742">
        <v>0.67736093143596388</v>
      </c>
      <c r="F5202" s="946">
        <v>2.0320827943078917E-2</v>
      </c>
      <c r="G5202" s="78"/>
      <c r="H5202" t="s">
        <v>531</v>
      </c>
      <c r="J5202" s="256">
        <v>40664</v>
      </c>
      <c r="K5202" s="424">
        <v>80.107799999999997</v>
      </c>
      <c r="L5202" s="37">
        <v>-0.19892200000000004</v>
      </c>
    </row>
    <row r="5203" spans="1:15" hidden="1" outlineLevel="1" x14ac:dyDescent="0.25">
      <c r="A5203" s="739">
        <v>0.03</v>
      </c>
      <c r="B5203" s="740" t="s">
        <v>1847</v>
      </c>
      <c r="C5203" s="1112">
        <v>267.33</v>
      </c>
      <c r="D5203" s="1091">
        <v>27.41</v>
      </c>
      <c r="E5203" s="742">
        <v>-0.89746754947069163</v>
      </c>
      <c r="F5203" s="946">
        <v>-2.6924026484120747E-2</v>
      </c>
      <c r="G5203" s="78"/>
      <c r="H5203" t="s">
        <v>2749</v>
      </c>
      <c r="J5203" s="256">
        <v>40695</v>
      </c>
      <c r="K5203" s="424">
        <v>78.226699999999994</v>
      </c>
      <c r="L5203" s="37">
        <v>-0.21773300000000007</v>
      </c>
    </row>
    <row r="5204" spans="1:15" hidden="1" outlineLevel="1" x14ac:dyDescent="0.25">
      <c r="A5204" s="739">
        <v>0.02</v>
      </c>
      <c r="B5204" s="740" t="s">
        <v>1212</v>
      </c>
      <c r="C5204" s="1112">
        <v>60.344999999999999</v>
      </c>
      <c r="D5204" s="1091">
        <v>17.260000000000002</v>
      </c>
      <c r="E5204" s="742">
        <v>-0.71397796006297121</v>
      </c>
      <c r="F5204" s="946">
        <v>-1.4279559201259425E-2</v>
      </c>
      <c r="G5204" s="78"/>
      <c r="H5204" t="s">
        <v>4229</v>
      </c>
      <c r="J5204" s="256">
        <v>40725</v>
      </c>
      <c r="K5204" s="424">
        <v>74.869200000000006</v>
      </c>
      <c r="L5204" s="37">
        <v>-0.25130799999999998</v>
      </c>
    </row>
    <row r="5205" spans="1:15" hidden="1" outlineLevel="1" x14ac:dyDescent="0.25">
      <c r="A5205" s="739">
        <v>0.04</v>
      </c>
      <c r="B5205" s="740" t="s">
        <v>2699</v>
      </c>
      <c r="C5205" s="1112">
        <v>22.986999999999998</v>
      </c>
      <c r="D5205" s="1091">
        <v>13.94</v>
      </c>
      <c r="E5205" s="742">
        <v>-0.3935702788532649</v>
      </c>
      <c r="F5205" s="946">
        <v>-1.5742811154130596E-2</v>
      </c>
      <c r="G5205" s="78"/>
      <c r="H5205" t="s">
        <v>505</v>
      </c>
      <c r="J5205" s="256">
        <v>40756</v>
      </c>
      <c r="K5205" s="424">
        <v>68.6494</v>
      </c>
      <c r="L5205" s="37">
        <v>-0.31350599999999995</v>
      </c>
    </row>
    <row r="5206" spans="1:15" hidden="1" outlineLevel="1" x14ac:dyDescent="0.25">
      <c r="A5206" s="739">
        <v>0.02</v>
      </c>
      <c r="B5206" s="740" t="s">
        <v>3406</v>
      </c>
      <c r="C5206" s="1112">
        <v>1017.85</v>
      </c>
      <c r="D5206" s="1091">
        <v>1642</v>
      </c>
      <c r="E5206" s="742">
        <v>0.61320430318809249</v>
      </c>
      <c r="F5206" s="946">
        <v>1.226408606376185E-2</v>
      </c>
      <c r="G5206" s="78"/>
      <c r="H5206" t="s">
        <v>2105</v>
      </c>
      <c r="J5206" s="256">
        <v>40787</v>
      </c>
      <c r="K5206" s="424">
        <v>66.033100000000005</v>
      </c>
      <c r="L5206" s="37">
        <v>-0.339669</v>
      </c>
    </row>
    <row r="5207" spans="1:15" hidden="1" outlineLevel="1" x14ac:dyDescent="0.25">
      <c r="A5207" s="739">
        <v>0.03</v>
      </c>
      <c r="B5207" s="712" t="s">
        <v>1231</v>
      </c>
      <c r="C5207" s="1112">
        <v>19.844999999999999</v>
      </c>
      <c r="D5207" s="1091">
        <v>23.26</v>
      </c>
      <c r="E5207" s="742">
        <v>0.17208364827412459</v>
      </c>
      <c r="F5207" s="946">
        <v>5.1625094482237377E-3</v>
      </c>
      <c r="G5207" s="78"/>
      <c r="H5207" t="s">
        <v>2041</v>
      </c>
      <c r="J5207" s="256">
        <v>40817</v>
      </c>
      <c r="K5207" s="424">
        <v>70.943600000000004</v>
      </c>
      <c r="L5207" s="37">
        <v>-0.29056399999999993</v>
      </c>
    </row>
    <row r="5208" spans="1:15" hidden="1" outlineLevel="1" x14ac:dyDescent="0.25">
      <c r="A5208" s="739">
        <v>0.06</v>
      </c>
      <c r="B5208" s="740" t="s">
        <v>3798</v>
      </c>
      <c r="C5208" s="1112">
        <v>7.9870000000000001</v>
      </c>
      <c r="D5208" s="1091">
        <v>2.5419999999999998</v>
      </c>
      <c r="E5208" s="742">
        <v>-0.68173281582571676</v>
      </c>
      <c r="F5208" s="946">
        <v>-4.0903968949543006E-2</v>
      </c>
      <c r="G5208" s="78"/>
      <c r="H5208" t="s">
        <v>4122</v>
      </c>
      <c r="J5208" s="256">
        <v>40848</v>
      </c>
      <c r="K5208" s="424">
        <v>70.345500000000001</v>
      </c>
      <c r="L5208" s="37">
        <v>-0.29654499999999995</v>
      </c>
    </row>
    <row r="5209" spans="1:15" hidden="1" outlineLevel="1" x14ac:dyDescent="0.25">
      <c r="A5209" s="739">
        <v>0.03</v>
      </c>
      <c r="B5209" s="740" t="s">
        <v>4268</v>
      </c>
      <c r="C5209" s="1112">
        <v>28.89</v>
      </c>
      <c r="D5209" s="1091">
        <v>14.97</v>
      </c>
      <c r="E5209" s="742">
        <v>-0.48182762201453788</v>
      </c>
      <c r="F5209" s="946">
        <v>-1.4454828660436136E-2</v>
      </c>
      <c r="G5209" s="78"/>
      <c r="H5209" t="s">
        <v>1801</v>
      </c>
      <c r="J5209" s="256">
        <v>40878</v>
      </c>
      <c r="K5209" s="424">
        <v>71.578100000000006</v>
      </c>
      <c r="L5209" s="37">
        <v>-0.28421899999999989</v>
      </c>
    </row>
    <row r="5210" spans="1:15" hidden="1" outlineLevel="1" x14ac:dyDescent="0.25">
      <c r="A5210" s="739">
        <v>0.04</v>
      </c>
      <c r="B5210" s="740" t="s">
        <v>1771</v>
      </c>
      <c r="C5210" s="1112">
        <v>785.45</v>
      </c>
      <c r="D5210" s="1091">
        <v>561.1</v>
      </c>
      <c r="E5210" s="742">
        <v>-0.28563244000254628</v>
      </c>
      <c r="F5210" s="946">
        <v>-1.1425297600101851E-2</v>
      </c>
      <c r="G5210" s="78"/>
      <c r="H5210" t="s">
        <v>4329</v>
      </c>
      <c r="J5210" s="256">
        <v>40909</v>
      </c>
      <c r="K5210" s="424">
        <v>73.344999999999999</v>
      </c>
      <c r="L5210" s="37">
        <v>-0.26655000000000006</v>
      </c>
    </row>
    <row r="5211" spans="1:15" hidden="1" outlineLevel="1" x14ac:dyDescent="0.25">
      <c r="A5211" s="739">
        <v>0.06</v>
      </c>
      <c r="B5211" s="740" t="s">
        <v>2588</v>
      </c>
      <c r="C5211" s="1112">
        <v>24.864000000000001</v>
      </c>
      <c r="D5211" s="1091">
        <v>5.266</v>
      </c>
      <c r="E5211" s="742">
        <v>-0.78820785070785071</v>
      </c>
      <c r="F5211" s="946">
        <v>-4.7292471042471043E-2</v>
      </c>
      <c r="G5211" s="78"/>
      <c r="H5211" t="s">
        <v>4132</v>
      </c>
      <c r="J5211" s="256">
        <v>40940</v>
      </c>
      <c r="K5211" s="424">
        <v>77.111099999999993</v>
      </c>
      <c r="L5211" s="37">
        <v>-0.22888900000000012</v>
      </c>
      <c r="O5211" s="21"/>
    </row>
    <row r="5212" spans="1:15" hidden="1" outlineLevel="1" x14ac:dyDescent="0.25">
      <c r="A5212" s="739">
        <v>0.02</v>
      </c>
      <c r="B5212" s="740" t="s">
        <v>4376</v>
      </c>
      <c r="C5212" s="1112">
        <v>40.451999999999998</v>
      </c>
      <c r="D5212" s="1091">
        <v>35.729999999999997</v>
      </c>
      <c r="E5212" s="742">
        <v>-0.1167309403737764</v>
      </c>
      <c r="F5212" s="946">
        <v>-2.334618807475528E-3</v>
      </c>
      <c r="G5212" s="78"/>
      <c r="H5212" t="s">
        <v>4326</v>
      </c>
      <c r="J5212" s="256">
        <v>40969</v>
      </c>
      <c r="K5212" s="424">
        <v>77.739500000000007</v>
      </c>
      <c r="L5212" s="37">
        <v>-0.22260499999999994</v>
      </c>
      <c r="O5212" s="300"/>
    </row>
    <row r="5213" spans="1:15" hidden="1" outlineLevel="1" x14ac:dyDescent="0.25">
      <c r="A5213" s="739">
        <v>0.03</v>
      </c>
      <c r="B5213" s="740" t="s">
        <v>1526</v>
      </c>
      <c r="C5213" s="1112">
        <v>88.361999999999995</v>
      </c>
      <c r="D5213" s="1091">
        <v>16.664999999999999</v>
      </c>
      <c r="E5213" s="742">
        <v>-0.81140082841040262</v>
      </c>
      <c r="F5213" s="946">
        <v>-2.4342024852312079E-2</v>
      </c>
      <c r="G5213" s="78"/>
      <c r="H5213" t="s">
        <v>4146</v>
      </c>
      <c r="J5213" s="256">
        <v>41000</v>
      </c>
      <c r="K5213" s="424">
        <v>74.982900000000001</v>
      </c>
      <c r="L5213" s="37">
        <v>-0.25017100000000003</v>
      </c>
      <c r="O5213" s="300"/>
    </row>
    <row r="5214" spans="1:15" hidden="1" outlineLevel="1" x14ac:dyDescent="0.25">
      <c r="A5214" s="739">
        <v>0.04</v>
      </c>
      <c r="B5214" s="996" t="s">
        <v>2160</v>
      </c>
      <c r="C5214" s="1112">
        <v>31.274000000000001</v>
      </c>
      <c r="D5214" s="1091">
        <v>38.61</v>
      </c>
      <c r="E5214" s="742">
        <v>0.23457184882010607</v>
      </c>
      <c r="F5214" s="946">
        <v>9.3828739528042434E-3</v>
      </c>
      <c r="G5214" s="78"/>
      <c r="H5214" t="s">
        <v>5507</v>
      </c>
      <c r="J5214" s="256">
        <v>41030</v>
      </c>
      <c r="K5214" s="424">
        <v>70.4101</v>
      </c>
      <c r="L5214" s="37">
        <v>-0.29589900000000002</v>
      </c>
      <c r="O5214" s="300"/>
    </row>
    <row r="5215" spans="1:15" hidden="1" outlineLevel="1" x14ac:dyDescent="0.25">
      <c r="A5215" s="739">
        <v>0.03</v>
      </c>
      <c r="B5215" s="740" t="s">
        <v>1905</v>
      </c>
      <c r="C5215" s="1112">
        <v>57.695</v>
      </c>
      <c r="D5215" s="1091">
        <v>41.75</v>
      </c>
      <c r="E5215" s="742">
        <v>-0.27636710286853283</v>
      </c>
      <c r="F5215" s="946">
        <v>-8.2910130860559851E-3</v>
      </c>
      <c r="G5215" s="78"/>
      <c r="H5215" t="s">
        <v>504</v>
      </c>
      <c r="J5215" s="256">
        <v>41061</v>
      </c>
      <c r="K5215" s="424">
        <v>74.120800000000003</v>
      </c>
      <c r="L5215" s="37">
        <v>-0.25879200000000002</v>
      </c>
      <c r="O5215" s="300"/>
    </row>
    <row r="5216" spans="1:15" hidden="1" outlineLevel="1" x14ac:dyDescent="0.25">
      <c r="A5216" s="739">
        <v>0.03</v>
      </c>
      <c r="B5216" s="740" t="s">
        <v>3797</v>
      </c>
      <c r="C5216" s="1112">
        <v>49.29</v>
      </c>
      <c r="D5216" s="1091">
        <v>56.55</v>
      </c>
      <c r="E5216" s="742">
        <v>0.14729153986609855</v>
      </c>
      <c r="F5216" s="946">
        <v>4.4187461959829567E-3</v>
      </c>
      <c r="G5216" s="78"/>
      <c r="H5216" t="s">
        <v>3848</v>
      </c>
      <c r="J5216" s="264" t="s">
        <v>2465</v>
      </c>
      <c r="K5216" s="412"/>
      <c r="L5216" s="261">
        <v>-0.25393888888888888</v>
      </c>
      <c r="O5216" s="300"/>
    </row>
    <row r="5217" spans="1:15" hidden="1" outlineLevel="1" x14ac:dyDescent="0.25">
      <c r="A5217" s="739">
        <v>0.04</v>
      </c>
      <c r="B5217" s="740" t="s">
        <v>459</v>
      </c>
      <c r="C5217" s="837">
        <v>1045.7</v>
      </c>
      <c r="D5217" s="1091">
        <v>748</v>
      </c>
      <c r="E5217" s="742">
        <v>-0.28468968155302676</v>
      </c>
      <c r="F5217" s="946">
        <v>-1.1387587262121071E-2</v>
      </c>
      <c r="G5217" s="78"/>
      <c r="H5217" t="s">
        <v>639</v>
      </c>
      <c r="J5217" s="256"/>
      <c r="O5217" s="300"/>
    </row>
    <row r="5218" spans="1:15" hidden="1" outlineLevel="1" x14ac:dyDescent="0.25">
      <c r="A5218" s="739">
        <v>0.03</v>
      </c>
      <c r="B5218" s="740" t="s">
        <v>1190</v>
      </c>
      <c r="C5218" s="837">
        <v>23.058</v>
      </c>
      <c r="D5218" s="1091">
        <v>1.62</v>
      </c>
      <c r="E5218" s="742">
        <v>-0.92974238875878223</v>
      </c>
      <c r="F5218" s="946">
        <v>-2.7892271662763465E-2</v>
      </c>
      <c r="G5218" s="78"/>
      <c r="H5218" t="s">
        <v>7569</v>
      </c>
      <c r="J5218" s="256"/>
      <c r="O5218" s="300"/>
    </row>
    <row r="5219" spans="1:15" hidden="1" outlineLevel="1" x14ac:dyDescent="0.25">
      <c r="A5219" s="739">
        <v>0.04</v>
      </c>
      <c r="B5219" s="740" t="s">
        <v>1414</v>
      </c>
      <c r="C5219" s="837">
        <v>23.405999999999999</v>
      </c>
      <c r="D5219" s="1091">
        <v>23</v>
      </c>
      <c r="E5219" s="742">
        <v>-1.7345979663334177E-2</v>
      </c>
      <c r="F5219" s="946">
        <v>-6.9383918653336712E-4</v>
      </c>
      <c r="G5219" s="78"/>
      <c r="H5219" t="s">
        <v>2428</v>
      </c>
      <c r="J5219" s="256"/>
      <c r="O5219" s="300"/>
    </row>
    <row r="5220" spans="1:15" hidden="1" outlineLevel="1" x14ac:dyDescent="0.25">
      <c r="A5220" s="739">
        <v>0.02</v>
      </c>
      <c r="B5220" s="740" t="s">
        <v>1653</v>
      </c>
      <c r="C5220" s="837">
        <v>12.491</v>
      </c>
      <c r="D5220" s="1091">
        <v>9.0120000000000005</v>
      </c>
      <c r="E5220" s="742">
        <v>-0.27852053478504513</v>
      </c>
      <c r="F5220" s="946">
        <v>-5.5704106957009027E-3</v>
      </c>
      <c r="G5220" s="78"/>
      <c r="H5220" t="s">
        <v>285</v>
      </c>
      <c r="J5220" s="256"/>
      <c r="O5220" s="300"/>
    </row>
    <row r="5221" spans="1:15" hidden="1" outlineLevel="1" x14ac:dyDescent="0.25">
      <c r="A5221" s="739">
        <v>0.04</v>
      </c>
      <c r="B5221" s="740" t="s">
        <v>3424</v>
      </c>
      <c r="C5221" s="837">
        <v>33.613</v>
      </c>
      <c r="D5221" s="1091">
        <v>44.87</v>
      </c>
      <c r="E5221" s="742">
        <v>0.33490018742748329</v>
      </c>
      <c r="F5221" s="946">
        <v>1.3396007497099332E-2</v>
      </c>
      <c r="G5221" s="78"/>
      <c r="H5221" t="s">
        <v>3558</v>
      </c>
      <c r="J5221" s="256"/>
      <c r="O5221" s="300"/>
    </row>
    <row r="5222" spans="1:15" hidden="1" outlineLevel="1" x14ac:dyDescent="0.25">
      <c r="A5222" s="739">
        <v>0.03</v>
      </c>
      <c r="B5222" s="740" t="s">
        <v>3801</v>
      </c>
      <c r="C5222" s="837">
        <v>95.179000000000002</v>
      </c>
      <c r="D5222" s="1091">
        <v>32.174999999999997</v>
      </c>
      <c r="E5222" s="742">
        <v>-0.6619527416762101</v>
      </c>
      <c r="F5222" s="946">
        <v>-1.9858582250286302E-2</v>
      </c>
      <c r="G5222" s="78"/>
      <c r="H5222" t="s">
        <v>2819</v>
      </c>
      <c r="J5222" s="256"/>
      <c r="O5222" s="300"/>
    </row>
    <row r="5223" spans="1:15" hidden="1" outlineLevel="1" x14ac:dyDescent="0.25">
      <c r="A5223" s="739">
        <v>0.02</v>
      </c>
      <c r="B5223" s="740" t="s">
        <v>1214</v>
      </c>
      <c r="C5223" s="837">
        <v>95.415999999999997</v>
      </c>
      <c r="D5223" s="1091">
        <v>66.14</v>
      </c>
      <c r="E5223" s="742">
        <v>-0.30682485117799951</v>
      </c>
      <c r="F5223" s="946">
        <v>-6.1364970235599902E-3</v>
      </c>
      <c r="G5223" s="78"/>
      <c r="H5223" t="s">
        <v>3775</v>
      </c>
      <c r="J5223" s="256"/>
      <c r="O5223" s="300"/>
    </row>
    <row r="5224" spans="1:15" hidden="1" outlineLevel="1" x14ac:dyDescent="0.25">
      <c r="A5224" s="739">
        <v>0.02</v>
      </c>
      <c r="B5224" s="740" t="s">
        <v>231</v>
      </c>
      <c r="C5224" s="837">
        <v>60.258000000000003</v>
      </c>
      <c r="D5224" s="1091">
        <v>24.23</v>
      </c>
      <c r="E5224" s="742">
        <v>-0.59789571509177208</v>
      </c>
      <c r="F5224" s="946">
        <v>-1.1957914301835442E-2</v>
      </c>
      <c r="G5224" s="78"/>
      <c r="H5224" t="s">
        <v>640</v>
      </c>
      <c r="O5224" s="300"/>
    </row>
    <row r="5225" spans="1:15" hidden="1" outlineLevel="1" x14ac:dyDescent="0.25">
      <c r="A5225" s="739">
        <v>0.02</v>
      </c>
      <c r="B5225" s="740" t="s">
        <v>3902</v>
      </c>
      <c r="C5225" s="837">
        <v>101.72499999999999</v>
      </c>
      <c r="D5225" s="1091">
        <v>103.5</v>
      </c>
      <c r="E5225" s="742">
        <v>1.7449004669451984E-2</v>
      </c>
      <c r="F5225" s="946">
        <v>3.489800933890397E-4</v>
      </c>
      <c r="G5225" s="78"/>
      <c r="H5225" t="s">
        <v>641</v>
      </c>
      <c r="O5225" s="300"/>
    </row>
    <row r="5226" spans="1:15" hidden="1" outlineLevel="1" x14ac:dyDescent="0.25">
      <c r="A5226" s="739">
        <v>0.03</v>
      </c>
      <c r="B5226" s="740" t="s">
        <v>577</v>
      </c>
      <c r="C5226" s="837">
        <v>21.922000000000001</v>
      </c>
      <c r="D5226" s="945">
        <v>10.37</v>
      </c>
      <c r="E5226" s="748">
        <v>-0.52695921904935683</v>
      </c>
      <c r="F5226" s="1023">
        <v>-1.5808776571480703E-2</v>
      </c>
      <c r="G5226" s="78"/>
      <c r="H5226" t="s">
        <v>2804</v>
      </c>
      <c r="O5226" s="300"/>
    </row>
    <row r="5227" spans="1:15" hidden="1" outlineLevel="1" x14ac:dyDescent="0.25">
      <c r="A5227" s="717"/>
      <c r="B5227" s="718"/>
      <c r="C5227" s="719"/>
      <c r="D5227" s="727"/>
      <c r="E5227" s="716"/>
      <c r="F5227" s="770">
        <v>-0.25390000000000001</v>
      </c>
      <c r="G5227" s="78"/>
      <c r="O5227" s="300"/>
    </row>
    <row r="5228" spans="1:15" collapsed="1" x14ac:dyDescent="0.25">
      <c r="A5228" s="3801" t="s">
        <v>358</v>
      </c>
      <c r="B5228" s="3802"/>
      <c r="C5228" s="3802"/>
      <c r="D5228" s="3802"/>
      <c r="E5228" s="721"/>
      <c r="F5228" s="722">
        <v>0.12696944444444444</v>
      </c>
      <c r="G5228" s="97" t="s">
        <v>781</v>
      </c>
      <c r="O5228" s="300"/>
    </row>
    <row r="5229" spans="1:15" x14ac:dyDescent="0.25">
      <c r="O5229" s="300"/>
    </row>
    <row r="5230" spans="1:15" hidden="1" outlineLevel="1" x14ac:dyDescent="0.25">
      <c r="A5230" s="689" t="s">
        <v>113</v>
      </c>
      <c r="B5230" s="689" t="s">
        <v>114</v>
      </c>
      <c r="C5230" s="689" t="s">
        <v>112</v>
      </c>
      <c r="D5230" s="689" t="s">
        <v>116</v>
      </c>
      <c r="E5230" s="689" t="s">
        <v>117</v>
      </c>
      <c r="F5230" s="1188" t="s">
        <v>121</v>
      </c>
      <c r="G5230" s="78"/>
      <c r="O5230" s="300"/>
    </row>
    <row r="5231" spans="1:15" hidden="1" outlineLevel="1" x14ac:dyDescent="0.25">
      <c r="A5231" s="690">
        <v>1</v>
      </c>
      <c r="B5231" s="691" t="s">
        <v>252</v>
      </c>
      <c r="C5231" s="692">
        <v>100</v>
      </c>
      <c r="D5231" s="692"/>
      <c r="E5231" s="693"/>
      <c r="F5231" s="694"/>
      <c r="G5231" s="78"/>
      <c r="O5231" s="300"/>
    </row>
    <row r="5232" spans="1:15" hidden="1" outlineLevel="1" x14ac:dyDescent="0.25">
      <c r="A5232" s="695"/>
      <c r="B5232" s="695"/>
      <c r="C5232" s="696"/>
      <c r="D5232" s="697" t="s">
        <v>3702</v>
      </c>
      <c r="E5232" s="698">
        <v>40480</v>
      </c>
      <c r="F5232" s="699"/>
      <c r="G5232" s="78"/>
      <c r="O5232" s="300"/>
    </row>
    <row r="5233" spans="1:17" hidden="1" outlineLevel="1" x14ac:dyDescent="0.25">
      <c r="A5233" s="689" t="s">
        <v>4156</v>
      </c>
      <c r="B5233" s="689" t="s">
        <v>4153</v>
      </c>
      <c r="C5233" s="497" t="s">
        <v>112</v>
      </c>
      <c r="D5233" s="495" t="s">
        <v>116</v>
      </c>
      <c r="E5233" s="689" t="s">
        <v>4154</v>
      </c>
      <c r="F5233" s="1021" t="s">
        <v>2519</v>
      </c>
      <c r="G5233" s="78"/>
      <c r="M5233" s="21"/>
      <c r="N5233" s="21"/>
      <c r="O5233" s="300"/>
      <c r="P5233" s="21"/>
      <c r="Q5233" s="21"/>
    </row>
    <row r="5234" spans="1:17" hidden="1" outlineLevel="1" x14ac:dyDescent="0.25">
      <c r="A5234" s="999">
        <v>0.04</v>
      </c>
      <c r="B5234" s="1000" t="s">
        <v>1993</v>
      </c>
      <c r="C5234" s="1001">
        <v>77.613</v>
      </c>
      <c r="D5234" s="803">
        <v>83.92</v>
      </c>
      <c r="E5234" s="705">
        <f>D5234/C5234-1</f>
        <v>8.1262159689742708E-2</v>
      </c>
      <c r="F5234" s="1021">
        <f>E5234*A5234</f>
        <v>3.2504863875897085E-3</v>
      </c>
      <c r="G5234" s="78"/>
      <c r="H5234" t="str">
        <f>VLOOKUP(B5234,indexy!$A$44:$D$397,3,FALSE)</f>
        <v>MO UN Equity</v>
      </c>
      <c r="I5234" s="39" t="s">
        <v>3533</v>
      </c>
      <c r="M5234" s="21"/>
      <c r="N5234" s="300"/>
      <c r="O5234" s="300"/>
      <c r="P5234" s="302"/>
      <c r="Q5234" s="21"/>
    </row>
    <row r="5235" spans="1:17" hidden="1" outlineLevel="1" x14ac:dyDescent="0.25">
      <c r="A5235" s="1002">
        <v>0.04</v>
      </c>
      <c r="B5235" s="996" t="s">
        <v>2984</v>
      </c>
      <c r="C5235" s="1003">
        <v>14.88</v>
      </c>
      <c r="D5235" s="908">
        <v>9.4499999999999993</v>
      </c>
      <c r="E5235" s="709">
        <f t="shared" ref="E5235:E5263" si="180">D5235/C5235-1</f>
        <v>-0.36491935483870974</v>
      </c>
      <c r="F5235" s="946">
        <f t="shared" ref="F5235:F5263" si="181">E5235*A5235</f>
        <v>-1.4596774193548391E-2</v>
      </c>
      <c r="G5235" s="78"/>
      <c r="H5235" t="str">
        <f>VLOOKUP(B5235,indexy!$A$44:$D$397,3,FALSE)</f>
        <v>BBVA SM Equity</v>
      </c>
      <c r="J5235" t="s">
        <v>631</v>
      </c>
      <c r="M5235" s="21"/>
      <c r="N5235" s="300"/>
      <c r="O5235" s="300"/>
      <c r="P5235" s="302"/>
      <c r="Q5235" s="21"/>
    </row>
    <row r="5236" spans="1:17" hidden="1" outlineLevel="1" x14ac:dyDescent="0.25">
      <c r="A5236" s="1002">
        <v>0.03</v>
      </c>
      <c r="B5236" s="996" t="s">
        <v>157</v>
      </c>
      <c r="C5236" s="1003">
        <v>12.18</v>
      </c>
      <c r="D5236" s="908">
        <v>9.23</v>
      </c>
      <c r="E5236" s="709">
        <f t="shared" si="180"/>
        <v>-0.24220032840722494</v>
      </c>
      <c r="F5236" s="946">
        <f t="shared" si="181"/>
        <v>-7.266009852216748E-3</v>
      </c>
      <c r="G5236" s="78"/>
      <c r="H5236" t="str">
        <f>VLOOKUP(B5236,indexy!$A$44:$D$397,3,FALSE)</f>
        <v>SAN SM Equity</v>
      </c>
      <c r="J5236" s="339">
        <v>40299</v>
      </c>
      <c r="K5236">
        <v>67.831999999999994</v>
      </c>
      <c r="L5236" s="37">
        <f t="shared" ref="L5236:L5241" si="182">K5236/100-1</f>
        <v>-0.32168000000000008</v>
      </c>
      <c r="M5236" s="21"/>
      <c r="N5236" s="300"/>
      <c r="O5236" s="300"/>
      <c r="P5236" s="302"/>
      <c r="Q5236" s="21"/>
    </row>
    <row r="5237" spans="1:17" hidden="1" outlineLevel="1" x14ac:dyDescent="0.25">
      <c r="A5237" s="1002">
        <v>0.05</v>
      </c>
      <c r="B5237" s="996" t="s">
        <v>1184</v>
      </c>
      <c r="C5237" s="1003">
        <f>97.409/2</f>
        <v>48.704500000000003</v>
      </c>
      <c r="D5237" s="908">
        <v>52.28</v>
      </c>
      <c r="E5237" s="709">
        <f t="shared" si="180"/>
        <v>7.3412107710786545E-2</v>
      </c>
      <c r="F5237" s="946">
        <f t="shared" si="181"/>
        <v>3.6706053855393274E-3</v>
      </c>
      <c r="G5237" s="78"/>
      <c r="H5237" t="str">
        <f>VLOOKUP(B5237,indexy!$A$44:$D$397,3,FALSE)</f>
        <v>BAS GY Equity</v>
      </c>
      <c r="J5237" s="339">
        <v>40330</v>
      </c>
      <c r="K5237">
        <v>66.957700000000003</v>
      </c>
      <c r="L5237" s="37">
        <f t="shared" si="182"/>
        <v>-0.33042300000000002</v>
      </c>
      <c r="M5237" s="21"/>
      <c r="N5237" s="300"/>
      <c r="O5237" s="300"/>
      <c r="P5237" s="302"/>
      <c r="Q5237" s="21"/>
    </row>
    <row r="5238" spans="1:17" hidden="1" outlineLevel="1" x14ac:dyDescent="0.25">
      <c r="A5238" s="1002">
        <v>0.03</v>
      </c>
      <c r="B5238" s="996" t="s">
        <v>901</v>
      </c>
      <c r="C5238" s="1003">
        <v>1932.5</v>
      </c>
      <c r="D5238" s="908">
        <v>2380</v>
      </c>
      <c r="E5238" s="709">
        <f t="shared" si="180"/>
        <v>0.23156532988357048</v>
      </c>
      <c r="F5238" s="946">
        <f t="shared" si="181"/>
        <v>6.9469598965071142E-3</v>
      </c>
      <c r="G5238" s="78"/>
      <c r="H5238" t="str">
        <f>VLOOKUP(B5238,indexy!$A$44:$D$397,3,FALSE)</f>
        <v>BATS LN Equity</v>
      </c>
      <c r="J5238" s="339">
        <v>40360</v>
      </c>
      <c r="K5238">
        <v>71.274699999999996</v>
      </c>
      <c r="L5238" s="37">
        <f t="shared" si="182"/>
        <v>-0.28725300000000009</v>
      </c>
      <c r="M5238" s="21"/>
      <c r="N5238" s="300"/>
      <c r="O5238" s="300"/>
      <c r="P5238" s="302"/>
      <c r="Q5238" s="21"/>
    </row>
    <row r="5239" spans="1:17" hidden="1" outlineLevel="1" x14ac:dyDescent="0.25">
      <c r="A5239" s="1002">
        <v>0.03</v>
      </c>
      <c r="B5239" s="996" t="s">
        <v>1847</v>
      </c>
      <c r="C5239" s="1003">
        <v>26.733000000000001</v>
      </c>
      <c r="D5239" s="908">
        <v>4.17</v>
      </c>
      <c r="E5239" s="709">
        <f t="shared" si="180"/>
        <v>-0.84401301761867353</v>
      </c>
      <c r="F5239" s="946">
        <f t="shared" si="181"/>
        <v>-2.5320390528560204E-2</v>
      </c>
      <c r="G5239" s="78"/>
      <c r="H5239" t="str">
        <f>VLOOKUP(B5239,indexy!$A$44:$D$397,3,FALSE)</f>
        <v>C UN Equity</v>
      </c>
      <c r="J5239" s="339">
        <v>40391</v>
      </c>
      <c r="K5239">
        <v>69.175700000000006</v>
      </c>
      <c r="L5239" s="37">
        <f t="shared" si="182"/>
        <v>-0.30824299999999993</v>
      </c>
      <c r="M5239" s="21"/>
      <c r="N5239" s="300"/>
      <c r="O5239" s="300"/>
      <c r="P5239" s="302"/>
      <c r="Q5239" s="21"/>
    </row>
    <row r="5240" spans="1:17" hidden="1" outlineLevel="1" x14ac:dyDescent="0.25">
      <c r="A5240" s="1002">
        <v>0.02</v>
      </c>
      <c r="B5240" s="996" t="s">
        <v>1212</v>
      </c>
      <c r="C5240" s="1003">
        <v>60.344999999999999</v>
      </c>
      <c r="D5240" s="908">
        <v>40.65</v>
      </c>
      <c r="E5240" s="709">
        <f t="shared" si="180"/>
        <v>-0.32637335321899086</v>
      </c>
      <c r="F5240" s="946">
        <f t="shared" si="181"/>
        <v>-6.5274670643798169E-3</v>
      </c>
      <c r="G5240" s="78"/>
      <c r="H5240" t="e">
        <f>VLOOKUP(B5240,indexy!$A$44:$D$397,3,FALSE)</f>
        <v>#N/A</v>
      </c>
      <c r="J5240" s="339">
        <v>40422</v>
      </c>
      <c r="K5240">
        <v>73.105099999999993</v>
      </c>
      <c r="L5240" s="37">
        <f t="shared" si="182"/>
        <v>-0.2689490000000001</v>
      </c>
      <c r="M5240" s="21"/>
      <c r="N5240" s="300"/>
      <c r="O5240" s="300"/>
      <c r="P5240" s="302"/>
      <c r="Q5240" s="21"/>
    </row>
    <row r="5241" spans="1:17" hidden="1" outlineLevel="1" x14ac:dyDescent="0.25">
      <c r="A5241" s="1002">
        <v>0.02</v>
      </c>
      <c r="B5241" s="996" t="s">
        <v>3406</v>
      </c>
      <c r="C5241" s="1003">
        <v>1017.85</v>
      </c>
      <c r="D5241" s="908">
        <v>1152</v>
      </c>
      <c r="E5241" s="709">
        <f t="shared" si="180"/>
        <v>0.1317974161222184</v>
      </c>
      <c r="F5241" s="946">
        <f t="shared" si="181"/>
        <v>2.635948322444368E-3</v>
      </c>
      <c r="G5241" s="78"/>
      <c r="H5241" t="str">
        <f>VLOOKUP(B5241,indexy!$A$44:$D$397,3,FALSE)</f>
        <v>DGE LN Equity</v>
      </c>
      <c r="J5241" s="339">
        <v>40452</v>
      </c>
      <c r="K5241">
        <v>74.759299999999996</v>
      </c>
      <c r="L5241" s="37">
        <f t="shared" si="182"/>
        <v>-0.25240700000000005</v>
      </c>
      <c r="M5241" s="21"/>
      <c r="N5241" s="300"/>
      <c r="O5241" s="300"/>
      <c r="P5241" s="302"/>
      <c r="Q5241" s="21"/>
    </row>
    <row r="5242" spans="1:17" hidden="1" outlineLevel="1" x14ac:dyDescent="0.25">
      <c r="A5242" s="1002">
        <v>0.03</v>
      </c>
      <c r="B5242" s="996" t="s">
        <v>1231</v>
      </c>
      <c r="C5242" s="1003">
        <v>19.844999999999999</v>
      </c>
      <c r="D5242" s="908">
        <v>18.21</v>
      </c>
      <c r="E5242" s="709">
        <f t="shared" si="180"/>
        <v>-8.2388510959939487E-2</v>
      </c>
      <c r="F5242" s="946">
        <f t="shared" si="181"/>
        <v>-2.4716553287981845E-3</v>
      </c>
      <c r="G5242" s="78"/>
      <c r="H5242" t="str">
        <f>VLOOKUP(B5242,indexy!$A$44:$D$397,3,FALSE)</f>
        <v>DUK UN Equity</v>
      </c>
      <c r="J5242" s="340" t="s">
        <v>2465</v>
      </c>
      <c r="L5242" s="101">
        <f>AVERAGE(L5236:L5241)</f>
        <v>-0.2948258333333334</v>
      </c>
      <c r="M5242" s="21"/>
      <c r="N5242" s="300"/>
      <c r="O5242" s="21"/>
      <c r="P5242" s="302"/>
      <c r="Q5242" s="21"/>
    </row>
    <row r="5243" spans="1:17" hidden="1" outlineLevel="1" x14ac:dyDescent="0.25">
      <c r="A5243" s="1002">
        <v>0.02</v>
      </c>
      <c r="B5243" s="996" t="s">
        <v>4387</v>
      </c>
      <c r="C5243" s="1003">
        <f>145.913/3</f>
        <v>48.637666666666668</v>
      </c>
      <c r="D5243" s="908">
        <v>22.5</v>
      </c>
      <c r="E5243" s="709">
        <f t="shared" si="180"/>
        <v>-0.53739557133360294</v>
      </c>
      <c r="F5243" s="946">
        <f t="shared" si="181"/>
        <v>-1.0747911426672059E-2</v>
      </c>
      <c r="G5243" s="78"/>
      <c r="H5243" t="str">
        <f>VLOOKUP(B5243,indexy!$A$44:$D$397,3,FALSE)</f>
        <v>EOAN GY Equity</v>
      </c>
      <c r="J5243" s="340" t="s">
        <v>1932</v>
      </c>
      <c r="L5243" s="101">
        <f>L5242*parametry!N183</f>
        <v>-0.23586066666666672</v>
      </c>
      <c r="M5243" s="21"/>
      <c r="N5243" s="300"/>
      <c r="O5243" s="21"/>
      <c r="P5243" s="302"/>
      <c r="Q5243" s="21"/>
    </row>
    <row r="5244" spans="1:17" hidden="1" outlineLevel="1" x14ac:dyDescent="0.25">
      <c r="A5244" s="1002">
        <v>0.04</v>
      </c>
      <c r="B5244" s="996" t="s">
        <v>4064</v>
      </c>
      <c r="C5244" s="1003">
        <v>55.718000000000004</v>
      </c>
      <c r="D5244" s="908">
        <v>35.200000000000003</v>
      </c>
      <c r="E5244" s="709">
        <f t="shared" si="180"/>
        <v>-0.36824724505545781</v>
      </c>
      <c r="F5244" s="946">
        <f t="shared" si="181"/>
        <v>-1.4729889802218312E-2</v>
      </c>
      <c r="G5244" s="78"/>
      <c r="H5244" t="str">
        <f>VLOOKUP(B5244,indexy!$A$44:$D$397,3,FALSE)</f>
        <v>LLY UN Equity</v>
      </c>
      <c r="J5244" s="339"/>
      <c r="M5244" s="21"/>
      <c r="N5244" s="300"/>
      <c r="O5244" s="21"/>
      <c r="P5244" s="302"/>
      <c r="Q5244" s="21"/>
    </row>
    <row r="5245" spans="1:17" hidden="1" outlineLevel="1" x14ac:dyDescent="0.25">
      <c r="A5245" s="1002">
        <v>0.06</v>
      </c>
      <c r="B5245" s="996" t="s">
        <v>3798</v>
      </c>
      <c r="C5245" s="1003">
        <v>7.04</v>
      </c>
      <c r="D5245" s="908">
        <v>4.0999999999999996</v>
      </c>
      <c r="E5245" s="709">
        <f t="shared" si="180"/>
        <v>-0.41761363636363646</v>
      </c>
      <c r="F5245" s="946">
        <f t="shared" si="181"/>
        <v>-2.5056818181818187E-2</v>
      </c>
      <c r="G5245" s="78"/>
      <c r="H5245" t="str">
        <f>VLOOKUP(B5245,indexy!$A$44:$D$397,3,FALSE)</f>
        <v>ENEL IM Equity</v>
      </c>
      <c r="J5245" s="339"/>
      <c r="M5245" s="21"/>
      <c r="N5245" s="300"/>
      <c r="O5245" s="21"/>
      <c r="P5245" s="302"/>
      <c r="Q5245" s="21"/>
    </row>
    <row r="5246" spans="1:17" hidden="1" outlineLevel="1" x14ac:dyDescent="0.25">
      <c r="A5246" s="1002">
        <v>0.03</v>
      </c>
      <c r="B5246" s="996" t="s">
        <v>4268</v>
      </c>
      <c r="C5246" s="1003">
        <v>28.24</v>
      </c>
      <c r="D5246" s="908">
        <v>20.37</v>
      </c>
      <c r="E5246" s="709">
        <f t="shared" si="180"/>
        <v>-0.27868271954674217</v>
      </c>
      <c r="F5246" s="946">
        <f t="shared" si="181"/>
        <v>-8.3604815864022648E-3</v>
      </c>
      <c r="G5246" s="78"/>
      <c r="H5246" t="str">
        <f>VLOOKUP(B5246,indexy!$A$44:$D$397,3,FALSE)</f>
        <v>FORTUM FH Equity</v>
      </c>
      <c r="J5246" s="339"/>
      <c r="M5246" s="21"/>
      <c r="N5246" s="300"/>
      <c r="O5246" s="21"/>
      <c r="P5246" s="302"/>
      <c r="Q5246" s="21"/>
    </row>
    <row r="5247" spans="1:17" hidden="1" outlineLevel="1" x14ac:dyDescent="0.25">
      <c r="A5247" s="1002">
        <v>0.04</v>
      </c>
      <c r="B5247" s="996" t="s">
        <v>3407</v>
      </c>
      <c r="C5247" s="1003">
        <v>34.838999999999999</v>
      </c>
      <c r="D5247" s="908">
        <v>16.02</v>
      </c>
      <c r="E5247" s="709">
        <f t="shared" si="180"/>
        <v>-0.54017049857917843</v>
      </c>
      <c r="F5247" s="946">
        <f t="shared" si="181"/>
        <v>-2.1606819943167137E-2</v>
      </c>
      <c r="G5247" s="78"/>
      <c r="H5247" t="str">
        <f>VLOOKUP(B5247,indexy!$A$44:$D$397,3,FALSE)</f>
        <v>GE UN Equity</v>
      </c>
      <c r="J5247" s="339"/>
      <c r="M5247" s="21"/>
      <c r="N5247" s="300"/>
      <c r="O5247" s="21"/>
      <c r="P5247" s="302"/>
      <c r="Q5247" s="21"/>
    </row>
    <row r="5248" spans="1:17" hidden="1" outlineLevel="1" x14ac:dyDescent="0.25">
      <c r="A5248" s="1002">
        <v>0.04</v>
      </c>
      <c r="B5248" s="996" t="s">
        <v>1771</v>
      </c>
      <c r="C5248" s="1003">
        <v>684.47</v>
      </c>
      <c r="D5248" s="908">
        <v>649.1</v>
      </c>
      <c r="E5248" s="709">
        <f t="shared" si="180"/>
        <v>-5.1675018627551195E-2</v>
      </c>
      <c r="F5248" s="946">
        <f t="shared" si="181"/>
        <v>-2.067000745102048E-3</v>
      </c>
      <c r="G5248" s="78"/>
      <c r="H5248" t="str">
        <f>VLOOKUP(B5248,indexy!$A$44:$D$397,3,FALSE)</f>
        <v>HSBA LN Equity</v>
      </c>
      <c r="M5248" s="21"/>
      <c r="N5248" s="300"/>
      <c r="O5248" s="21"/>
      <c r="P5248" s="302"/>
      <c r="Q5248" s="21"/>
    </row>
    <row r="5249" spans="1:17" hidden="1" outlineLevel="1" x14ac:dyDescent="0.25">
      <c r="A5249" s="1002">
        <v>0.06</v>
      </c>
      <c r="B5249" s="996" t="s">
        <v>2588</v>
      </c>
      <c r="C5249" s="1003">
        <v>19.09</v>
      </c>
      <c r="D5249" s="908">
        <v>7.67</v>
      </c>
      <c r="E5249" s="709">
        <f t="shared" si="180"/>
        <v>-0.59821896280775277</v>
      </c>
      <c r="F5249" s="946">
        <f t="shared" si="181"/>
        <v>-3.5893137768465165E-2</v>
      </c>
      <c r="G5249" s="78"/>
      <c r="H5249" t="str">
        <f>VLOOKUP(B5249,indexy!$A$44:$D$397,3,FALSE)</f>
        <v>INGA NA Equity</v>
      </c>
      <c r="M5249" s="21"/>
      <c r="N5249" s="300"/>
      <c r="O5249" s="21"/>
      <c r="P5249" s="302"/>
      <c r="Q5249" s="21"/>
    </row>
    <row r="5250" spans="1:17" hidden="1" outlineLevel="1" x14ac:dyDescent="0.25">
      <c r="A5250" s="1002">
        <v>0.02</v>
      </c>
      <c r="B5250" s="996" t="s">
        <v>4376</v>
      </c>
      <c r="C5250" s="1003">
        <v>40.451999999999998</v>
      </c>
      <c r="D5250" s="908">
        <v>37.630000000000003</v>
      </c>
      <c r="E5250" s="709">
        <f t="shared" si="180"/>
        <v>-6.9761692870562553E-2</v>
      </c>
      <c r="F5250" s="946">
        <f t="shared" si="181"/>
        <v>-1.395233857411251E-3</v>
      </c>
      <c r="G5250" s="78"/>
      <c r="H5250" t="str">
        <f>VLOOKUP(B5250,indexy!$A$44:$D$397,3,FALSE)</f>
        <v>JPM UN Equity</v>
      </c>
      <c r="M5250" s="21"/>
      <c r="N5250" s="300"/>
      <c r="O5250" s="21"/>
      <c r="P5250" s="302"/>
      <c r="Q5250" s="21"/>
    </row>
    <row r="5251" spans="1:17" hidden="1" outlineLevel="1" x14ac:dyDescent="0.25">
      <c r="A5251" s="1002">
        <v>0.03</v>
      </c>
      <c r="B5251" s="740" t="s">
        <v>1905</v>
      </c>
      <c r="C5251" s="1003">
        <v>57.695</v>
      </c>
      <c r="D5251" s="908">
        <v>36.28</v>
      </c>
      <c r="E5251" s="709">
        <f t="shared" si="180"/>
        <v>-0.37117601178611659</v>
      </c>
      <c r="F5251" s="946">
        <f t="shared" si="181"/>
        <v>-1.1135280353583497E-2</v>
      </c>
      <c r="G5251" s="78"/>
      <c r="H5251" t="str">
        <f>VLOOKUP(B5251,indexy!$A$44:$D$397,3,FALSE)</f>
        <v>MRK UN Equity</v>
      </c>
      <c r="M5251" s="21"/>
      <c r="N5251" s="300"/>
      <c r="P5251" s="302"/>
      <c r="Q5251" s="21"/>
    </row>
    <row r="5252" spans="1:17" hidden="1" outlineLevel="1" x14ac:dyDescent="0.25">
      <c r="A5252" s="1002">
        <v>0.04</v>
      </c>
      <c r="B5252" s="996" t="s">
        <v>459</v>
      </c>
      <c r="C5252" s="1003">
        <v>1045.7</v>
      </c>
      <c r="D5252" s="908">
        <v>710</v>
      </c>
      <c r="E5252" s="709">
        <f t="shared" si="180"/>
        <v>-0.32102897580568046</v>
      </c>
      <c r="F5252" s="946">
        <f t="shared" si="181"/>
        <v>-1.2841159032227219E-2</v>
      </c>
      <c r="G5252" s="78"/>
      <c r="H5252" t="str">
        <f>VLOOKUP(B5252,indexy!$A$44:$D$397,3,FALSE)</f>
        <v>7201 JT Equity</v>
      </c>
      <c r="M5252" s="21"/>
      <c r="N5252" s="300"/>
      <c r="P5252" s="302"/>
      <c r="Q5252" s="21"/>
    </row>
    <row r="5253" spans="1:17" hidden="1" outlineLevel="1" x14ac:dyDescent="0.25">
      <c r="A5253" s="1002">
        <v>0.02</v>
      </c>
      <c r="B5253" s="996" t="s">
        <v>2787</v>
      </c>
      <c r="C5253" s="1003">
        <v>61.96</v>
      </c>
      <c r="D5253" s="908">
        <v>57.05</v>
      </c>
      <c r="E5253" s="709">
        <f t="shared" si="180"/>
        <v>-7.9244673983214997E-2</v>
      </c>
      <c r="F5253" s="946">
        <f t="shared" si="181"/>
        <v>-1.5848934796643E-3</v>
      </c>
      <c r="G5253" s="78"/>
      <c r="H5253" t="str">
        <f>VLOOKUP(B5253,indexy!$A$44:$D$397,3,FALSE)</f>
        <v>NOVN SE Equity</v>
      </c>
      <c r="M5253" s="21"/>
      <c r="N5253" s="300"/>
      <c r="P5253" s="302"/>
      <c r="Q5253" s="21"/>
    </row>
    <row r="5254" spans="1:17" hidden="1" outlineLevel="1" x14ac:dyDescent="0.25">
      <c r="A5254" s="1002">
        <v>0.04</v>
      </c>
      <c r="B5254" s="996" t="s">
        <v>1414</v>
      </c>
      <c r="C5254" s="1003">
        <v>23.405999999999999</v>
      </c>
      <c r="D5254" s="908">
        <v>17.399999999999999</v>
      </c>
      <c r="E5254" s="709">
        <f t="shared" si="180"/>
        <v>-0.256600871571392</v>
      </c>
      <c r="F5254" s="946">
        <f t="shared" si="181"/>
        <v>-1.0264034862855679E-2</v>
      </c>
      <c r="G5254" s="78"/>
      <c r="H5254" t="str">
        <f>VLOOKUP(B5254,indexy!$A$44:$D$397,3,FALSE)</f>
        <v>PFE UN Equity</v>
      </c>
      <c r="M5254" s="21"/>
      <c r="N5254" s="300"/>
      <c r="P5254" s="302"/>
      <c r="Q5254" s="21"/>
    </row>
    <row r="5255" spans="1:17" hidden="1" outlineLevel="1" x14ac:dyDescent="0.25">
      <c r="A5255" s="1002">
        <v>0.02</v>
      </c>
      <c r="B5255" s="996" t="s">
        <v>1653</v>
      </c>
      <c r="C5255" s="1003">
        <v>12.491</v>
      </c>
      <c r="D5255" s="908">
        <v>9.36</v>
      </c>
      <c r="E5255" s="709">
        <f t="shared" si="180"/>
        <v>-0.25066047554239057</v>
      </c>
      <c r="F5255" s="946">
        <f t="shared" si="181"/>
        <v>-5.0132095108478113E-3</v>
      </c>
      <c r="G5255" s="78"/>
      <c r="H5255" t="str">
        <f>VLOOKUP(B5255,indexy!$A$44:$D$397,3,FALSE)</f>
        <v>REN NA Equity</v>
      </c>
      <c r="M5255" s="21"/>
      <c r="N5255" s="300"/>
      <c r="P5255" s="302"/>
      <c r="Q5255" s="21"/>
    </row>
    <row r="5256" spans="1:17" hidden="1" outlineLevel="1" x14ac:dyDescent="0.25">
      <c r="A5256" s="1002">
        <v>0.04</v>
      </c>
      <c r="B5256" s="996" t="s">
        <v>3424</v>
      </c>
      <c r="C5256" s="1003">
        <v>67.225999999999999</v>
      </c>
      <c r="D5256" s="908">
        <v>64.900000000000006</v>
      </c>
      <c r="E5256" s="709">
        <f t="shared" si="180"/>
        <v>-3.4599708446136801E-2</v>
      </c>
      <c r="F5256" s="946">
        <f t="shared" si="181"/>
        <v>-1.3839883378454721E-3</v>
      </c>
      <c r="G5256" s="78"/>
      <c r="H5256" t="str">
        <f>VLOOKUP(B5256,indexy!$A$44:$D$397,3,FALSE)</f>
        <v>RAI UN Equity</v>
      </c>
      <c r="M5256" s="21"/>
      <c r="N5256" s="300"/>
      <c r="P5256" s="302"/>
      <c r="Q5256" s="21"/>
    </row>
    <row r="5257" spans="1:17" hidden="1" outlineLevel="1" x14ac:dyDescent="0.25">
      <c r="A5257" s="1002">
        <v>0.03</v>
      </c>
      <c r="B5257" s="996" t="s">
        <v>3800</v>
      </c>
      <c r="C5257" s="1003">
        <v>202.37</v>
      </c>
      <c r="D5257" s="908">
        <v>144.5</v>
      </c>
      <c r="E5257" s="709">
        <f t="shared" si="180"/>
        <v>-0.28596135790878097</v>
      </c>
      <c r="F5257" s="946">
        <f t="shared" si="181"/>
        <v>-8.5788407372634282E-3</v>
      </c>
      <c r="G5257" s="78"/>
      <c r="H5257" t="str">
        <f>VLOOKUP(B5257,indexy!$A$44:$D$397,3,FALSE)</f>
        <v>ROG SE Equity</v>
      </c>
      <c r="M5257" s="21"/>
      <c r="N5257" s="300"/>
      <c r="P5257" s="302"/>
      <c r="Q5257" s="21"/>
    </row>
    <row r="5258" spans="1:17" hidden="1" outlineLevel="1" x14ac:dyDescent="0.25">
      <c r="A5258" s="1002">
        <v>0.03</v>
      </c>
      <c r="B5258" s="996" t="s">
        <v>3801</v>
      </c>
      <c r="C5258" s="1003">
        <v>95.179000000000002</v>
      </c>
      <c r="D5258" s="908">
        <v>51.5</v>
      </c>
      <c r="E5258" s="709">
        <f t="shared" si="180"/>
        <v>-0.45891425629603166</v>
      </c>
      <c r="F5258" s="946">
        <f t="shared" si="181"/>
        <v>-1.3767427688880949E-2</v>
      </c>
      <c r="G5258" s="78"/>
      <c r="H5258" t="str">
        <f>VLOOKUP(B5258,indexy!$A$44:$D$397,3,FALSE)</f>
        <v>RWE GY Equity</v>
      </c>
      <c r="M5258" s="21"/>
      <c r="N5258" s="300"/>
      <c r="P5258" s="302"/>
      <c r="Q5258" s="21"/>
    </row>
    <row r="5259" spans="1:17" hidden="1" outlineLevel="1" x14ac:dyDescent="0.25">
      <c r="A5259" s="1002">
        <v>0.02</v>
      </c>
      <c r="B5259" s="996" t="s">
        <v>231</v>
      </c>
      <c r="C5259" s="1003">
        <v>60.258000000000003</v>
      </c>
      <c r="D5259" s="908">
        <v>25.02</v>
      </c>
      <c r="E5259" s="709">
        <f t="shared" si="180"/>
        <v>-0.58478542268246536</v>
      </c>
      <c r="F5259" s="946">
        <f t="shared" si="181"/>
        <v>-1.1695708453649308E-2</v>
      </c>
      <c r="G5259" s="78"/>
      <c r="H5259" t="e">
        <f>VLOOKUP(B5259,indexy!$A$44:$D$397,3,FALSE)</f>
        <v>#N/A</v>
      </c>
      <c r="M5259" s="21"/>
      <c r="N5259" s="300"/>
      <c r="P5259" s="302"/>
      <c r="Q5259" s="21"/>
    </row>
    <row r="5260" spans="1:17" hidden="1" outlineLevel="1" x14ac:dyDescent="0.25">
      <c r="A5260" s="1002">
        <v>0.02</v>
      </c>
      <c r="B5260" s="996" t="s">
        <v>3902</v>
      </c>
      <c r="C5260" s="1003">
        <v>101.72499999999999</v>
      </c>
      <c r="D5260" s="908">
        <v>103.6</v>
      </c>
      <c r="E5260" s="709">
        <f t="shared" si="180"/>
        <v>1.8432047186040856E-2</v>
      </c>
      <c r="F5260" s="946">
        <f t="shared" si="181"/>
        <v>3.6864094372081714E-4</v>
      </c>
      <c r="G5260" s="78"/>
      <c r="H5260" t="e">
        <f>VLOOKUP(B5260,indexy!$A$44:$D$397,3,FALSE)</f>
        <v>#N/A</v>
      </c>
      <c r="M5260" s="21"/>
      <c r="N5260" s="300"/>
      <c r="P5260" s="302"/>
      <c r="Q5260" s="21"/>
    </row>
    <row r="5261" spans="1:17" hidden="1" outlineLevel="1" x14ac:dyDescent="0.25">
      <c r="A5261" s="1002">
        <v>0.03</v>
      </c>
      <c r="B5261" s="996" t="s">
        <v>577</v>
      </c>
      <c r="C5261" s="1003">
        <v>21.922000000000001</v>
      </c>
      <c r="D5261" s="908">
        <v>19.399999999999999</v>
      </c>
      <c r="E5261" s="709">
        <f t="shared" si="180"/>
        <v>-0.11504424778761069</v>
      </c>
      <c r="F5261" s="946">
        <f t="shared" si="181"/>
        <v>-3.4513274336283204E-3</v>
      </c>
      <c r="G5261" s="78"/>
      <c r="H5261" t="str">
        <f>VLOOKUP(B5261,indexy!$A$44:$D$397,3,FALSE)</f>
        <v>TEF SQ Equity</v>
      </c>
      <c r="M5261" s="21"/>
      <c r="N5261" s="300"/>
      <c r="P5261" s="302"/>
      <c r="Q5261" s="21"/>
    </row>
    <row r="5262" spans="1:17" hidden="1" outlineLevel="1" x14ac:dyDescent="0.25">
      <c r="A5262" s="1002">
        <v>0.04</v>
      </c>
      <c r="B5262" s="996" t="s">
        <v>1183</v>
      </c>
      <c r="C5262" s="1003">
        <v>55.668999999999997</v>
      </c>
      <c r="D5262" s="908">
        <v>39.049999999999997</v>
      </c>
      <c r="E5262" s="709">
        <f t="shared" si="180"/>
        <v>-0.29853239684564126</v>
      </c>
      <c r="F5262" s="946">
        <f t="shared" si="181"/>
        <v>-1.194129587382565E-2</v>
      </c>
      <c r="G5262" s="78"/>
      <c r="H5262" t="e">
        <f>VLOOKUP(B5262,indexy!$A$44:$D$397,3,FALSE)</f>
        <v>#N/A</v>
      </c>
      <c r="M5262" s="21"/>
      <c r="N5262" s="300"/>
      <c r="P5262" s="302"/>
      <c r="Q5262" s="21"/>
    </row>
    <row r="5263" spans="1:17" hidden="1" outlineLevel="1" x14ac:dyDescent="0.25">
      <c r="A5263" s="1004">
        <v>0.04</v>
      </c>
      <c r="B5263" s="997" t="s">
        <v>3903</v>
      </c>
      <c r="C5263" s="1005">
        <v>12.446</v>
      </c>
      <c r="D5263" s="715">
        <v>11.95</v>
      </c>
      <c r="E5263" s="716">
        <f t="shared" si="180"/>
        <v>-3.9852161336975778E-2</v>
      </c>
      <c r="F5263" s="1023">
        <f t="shared" si="181"/>
        <v>-1.5940864534790312E-3</v>
      </c>
      <c r="G5263" s="78"/>
      <c r="H5263" t="str">
        <f>VLOOKUP(B5263,indexy!$A$44:$D$397,3,FALSE)</f>
        <v>UPM FH Equity</v>
      </c>
      <c r="M5263" s="21"/>
      <c r="N5263" s="300"/>
      <c r="P5263" s="302"/>
      <c r="Q5263" s="21"/>
    </row>
    <row r="5264" spans="1:17" hidden="1" outlineLevel="1" x14ac:dyDescent="0.25">
      <c r="A5264" s="749"/>
      <c r="B5264" s="750"/>
      <c r="C5264" s="727"/>
      <c r="D5264" s="727"/>
      <c r="E5264" s="716"/>
      <c r="F5264" s="770">
        <f>SUM(F5234:F5263)</f>
        <v>-0.2524182015607091</v>
      </c>
      <c r="G5264" s="78"/>
      <c r="M5264" s="21"/>
      <c r="N5264" s="21"/>
      <c r="P5264" s="21"/>
      <c r="Q5264" s="21"/>
    </row>
    <row r="5265" spans="1:17" collapsed="1" x14ac:dyDescent="0.25">
      <c r="A5265" s="3801" t="s">
        <v>361</v>
      </c>
      <c r="B5265" s="3802"/>
      <c r="C5265" s="3802"/>
      <c r="D5265" s="3802"/>
      <c r="E5265" s="721" t="s">
        <v>2722</v>
      </c>
      <c r="F5265" s="722">
        <f>MAX(F5264*parametry!N183,0)</f>
        <v>0</v>
      </c>
      <c r="G5265" s="97" t="s">
        <v>781</v>
      </c>
      <c r="M5265" s="21"/>
      <c r="N5265" s="21"/>
      <c r="P5265" s="21"/>
      <c r="Q5265" s="21"/>
    </row>
    <row r="5266" spans="1:17" x14ac:dyDescent="0.25">
      <c r="M5266" s="21"/>
      <c r="N5266" s="21"/>
      <c r="P5266" s="21"/>
      <c r="Q5266" s="21"/>
    </row>
    <row r="5267" spans="1:17" hidden="1" outlineLevel="1" x14ac:dyDescent="0.25">
      <c r="A5267" s="689" t="s">
        <v>113</v>
      </c>
      <c r="B5267" s="689" t="s">
        <v>114</v>
      </c>
      <c r="C5267" s="689" t="s">
        <v>112</v>
      </c>
      <c r="D5267" s="689" t="s">
        <v>116</v>
      </c>
      <c r="E5267" s="689" t="s">
        <v>117</v>
      </c>
      <c r="F5267" s="1188" t="s">
        <v>121</v>
      </c>
      <c r="G5267" s="78"/>
      <c r="M5267" s="21"/>
      <c r="N5267" s="21"/>
      <c r="P5267" s="21"/>
      <c r="Q5267" s="21"/>
    </row>
    <row r="5268" spans="1:17" hidden="1" outlineLevel="1" x14ac:dyDescent="0.25">
      <c r="A5268" s="690">
        <v>1</v>
      </c>
      <c r="B5268" s="691" t="s">
        <v>252</v>
      </c>
      <c r="C5268" s="692"/>
      <c r="D5268" s="692"/>
      <c r="E5268" s="693"/>
      <c r="F5268" s="694"/>
      <c r="G5268" s="78"/>
      <c r="M5268" s="21"/>
      <c r="N5268" s="21"/>
      <c r="P5268" s="21"/>
      <c r="Q5268" s="21"/>
    </row>
    <row r="5269" spans="1:17" hidden="1" outlineLevel="1" x14ac:dyDescent="0.25">
      <c r="A5269" s="695"/>
      <c r="B5269" s="695"/>
      <c r="C5269" s="696"/>
      <c r="D5269" s="697" t="s">
        <v>3702</v>
      </c>
      <c r="E5269" s="698">
        <v>42460</v>
      </c>
      <c r="F5269" s="699"/>
      <c r="G5269" s="78"/>
      <c r="M5269" s="21"/>
      <c r="N5269" s="21"/>
      <c r="P5269" s="21"/>
      <c r="Q5269" s="21"/>
    </row>
    <row r="5270" spans="1:17" hidden="1" outlineLevel="1" x14ac:dyDescent="0.25">
      <c r="A5270" s="689" t="s">
        <v>4156</v>
      </c>
      <c r="B5270" s="689" t="s">
        <v>4153</v>
      </c>
      <c r="C5270" s="700" t="s">
        <v>112</v>
      </c>
      <c r="D5270" s="689" t="s">
        <v>116</v>
      </c>
      <c r="E5270" s="689" t="s">
        <v>4154</v>
      </c>
      <c r="F5270" s="1021" t="s">
        <v>2519</v>
      </c>
      <c r="G5270" s="78"/>
      <c r="M5270" s="21"/>
      <c r="N5270" s="21"/>
      <c r="P5270" s="21"/>
      <c r="Q5270" s="21"/>
    </row>
    <row r="5271" spans="1:17" hidden="1" outlineLevel="1" x14ac:dyDescent="0.25">
      <c r="A5271" s="734">
        <v>3.3300000000000003E-2</v>
      </c>
      <c r="B5271" s="735" t="s">
        <v>218</v>
      </c>
      <c r="C5271" s="992">
        <v>24.7944</v>
      </c>
      <c r="D5271" s="737">
        <v>14.9825</v>
      </c>
      <c r="E5271" s="817">
        <v>-0.39573048752944218</v>
      </c>
      <c r="F5271" s="1021">
        <v>-1.3177825234730425E-2</v>
      </c>
      <c r="G5271" s="78"/>
      <c r="H5271" t="s">
        <v>656</v>
      </c>
      <c r="M5271" s="21"/>
      <c r="N5271" s="21"/>
      <c r="P5271" s="21"/>
      <c r="Q5271" s="21"/>
    </row>
    <row r="5272" spans="1:17" hidden="1" outlineLevel="1" x14ac:dyDescent="0.25">
      <c r="A5272" s="849">
        <v>3.3300000000000003E-2</v>
      </c>
      <c r="B5272" s="740" t="s">
        <v>2984</v>
      </c>
      <c r="C5272" s="993">
        <v>14.2958</v>
      </c>
      <c r="D5272" s="737">
        <v>7.7191999999999998</v>
      </c>
      <c r="E5272" s="818">
        <v>-0.46003721372710871</v>
      </c>
      <c r="F5272" s="1021">
        <v>-1.5319239217112722E-2</v>
      </c>
      <c r="G5272" s="78"/>
      <c r="H5272" t="s">
        <v>2326</v>
      </c>
      <c r="M5272" s="21"/>
      <c r="N5272" s="21"/>
      <c r="P5272" s="21"/>
      <c r="Q5272" s="21"/>
    </row>
    <row r="5273" spans="1:17" hidden="1" outlineLevel="1" x14ac:dyDescent="0.25">
      <c r="A5273" s="849">
        <v>3.3300000000000003E-2</v>
      </c>
      <c r="B5273" s="740" t="s">
        <v>157</v>
      </c>
      <c r="C5273" s="993">
        <v>12.1821</v>
      </c>
      <c r="D5273" s="737">
        <v>7.6938000000000004</v>
      </c>
      <c r="E5273" s="818">
        <v>-0.36843401383997831</v>
      </c>
      <c r="F5273" s="1021">
        <v>-1.226885266087128E-2</v>
      </c>
      <c r="G5273" s="78"/>
      <c r="H5273" t="s">
        <v>730</v>
      </c>
    </row>
    <row r="5274" spans="1:17" hidden="1" outlineLevel="1" x14ac:dyDescent="0.25">
      <c r="A5274" s="849">
        <v>3.3300000000000003E-2</v>
      </c>
      <c r="B5274" s="740" t="s">
        <v>901</v>
      </c>
      <c r="C5274" s="994">
        <v>1932.5</v>
      </c>
      <c r="D5274" s="737">
        <v>2805</v>
      </c>
      <c r="E5274" s="818">
        <v>0.4514877102199224</v>
      </c>
      <c r="F5274" s="1021">
        <v>1.3320000000000002E-2</v>
      </c>
      <c r="G5274" s="78"/>
      <c r="H5274" t="s">
        <v>531</v>
      </c>
    </row>
    <row r="5275" spans="1:17" hidden="1" outlineLevel="1" x14ac:dyDescent="0.25">
      <c r="A5275" s="849">
        <v>3.3300000000000003E-2</v>
      </c>
      <c r="B5275" s="740" t="s">
        <v>3405</v>
      </c>
      <c r="C5275" s="993">
        <v>43.481299999999997</v>
      </c>
      <c r="D5275" s="737">
        <v>23.8935</v>
      </c>
      <c r="E5275" s="818">
        <v>-0.45048791089502838</v>
      </c>
      <c r="F5275" s="1021">
        <v>-1.5001247432804446E-2</v>
      </c>
      <c r="G5275" s="78"/>
      <c r="H5275" t="s">
        <v>2747</v>
      </c>
    </row>
    <row r="5276" spans="1:17" hidden="1" outlineLevel="1" x14ac:dyDescent="0.25">
      <c r="A5276" s="849">
        <v>3.3300000000000003E-2</v>
      </c>
      <c r="B5276" s="740" t="s">
        <v>335</v>
      </c>
      <c r="C5276" s="993">
        <v>39.111699999999999</v>
      </c>
      <c r="D5276" s="737">
        <v>55.84</v>
      </c>
      <c r="E5276" s="818">
        <v>0.42770577602098614</v>
      </c>
      <c r="F5276" s="1021">
        <v>1.3320000000000002E-2</v>
      </c>
      <c r="G5276" s="78"/>
      <c r="H5276" t="s">
        <v>336</v>
      </c>
    </row>
    <row r="5277" spans="1:17" hidden="1" outlineLevel="1" x14ac:dyDescent="0.25">
      <c r="A5277" s="849">
        <v>3.3300000000000003E-2</v>
      </c>
      <c r="B5277" s="740" t="s">
        <v>1847</v>
      </c>
      <c r="C5277" s="993">
        <v>267.33</v>
      </c>
      <c r="D5277" s="737">
        <v>40.784999999999997</v>
      </c>
      <c r="E5277" s="818">
        <v>-0.84743575356301204</v>
      </c>
      <c r="F5277" s="1021">
        <v>-2.8219610593648303E-2</v>
      </c>
      <c r="G5277" s="78"/>
      <c r="H5277" t="s">
        <v>2749</v>
      </c>
    </row>
    <row r="5278" spans="1:17" hidden="1" outlineLevel="1" x14ac:dyDescent="0.25">
      <c r="A5278" s="849">
        <v>3.3300000000000003E-2</v>
      </c>
      <c r="B5278" s="740" t="s">
        <v>51</v>
      </c>
      <c r="C5278" s="993">
        <v>50.727899999999998</v>
      </c>
      <c r="D5278" s="737">
        <v>43.674500000000002</v>
      </c>
      <c r="E5278" s="818">
        <v>-0.13904380035443997</v>
      </c>
      <c r="F5278" s="1021">
        <v>-4.6301585518028513E-3</v>
      </c>
      <c r="G5278" s="78"/>
      <c r="H5278" t="s">
        <v>2748</v>
      </c>
    </row>
    <row r="5279" spans="1:17" hidden="1" outlineLevel="1" x14ac:dyDescent="0.25">
      <c r="A5279" s="849">
        <v>3.3300000000000003E-2</v>
      </c>
      <c r="B5279" s="740" t="s">
        <v>1212</v>
      </c>
      <c r="C5279" s="993">
        <v>60.344999999999999</v>
      </c>
      <c r="D5279" s="737">
        <v>31.981999999999999</v>
      </c>
      <c r="E5279" s="818">
        <v>-0.4700140856740409</v>
      </c>
      <c r="F5279" s="1021">
        <v>-1.5651469052945562E-2</v>
      </c>
      <c r="G5279" s="78"/>
      <c r="H5279" t="s">
        <v>4229</v>
      </c>
    </row>
    <row r="5280" spans="1:17" hidden="1" outlineLevel="1" x14ac:dyDescent="0.25">
      <c r="A5280" s="849">
        <v>3.3300000000000003E-2</v>
      </c>
      <c r="B5280" s="981" t="s">
        <v>345</v>
      </c>
      <c r="C5280" s="993">
        <v>54.49</v>
      </c>
      <c r="D5280" s="737">
        <v>15.7</v>
      </c>
      <c r="E5280" s="818">
        <v>-0.71187373830060563</v>
      </c>
      <c r="F5280" s="1021">
        <v>-2.3705395485410171E-2</v>
      </c>
      <c r="G5280" s="78"/>
      <c r="H5280" t="e">
        <v>#N/A</v>
      </c>
    </row>
    <row r="5281" spans="1:8" hidden="1" outlineLevel="1" x14ac:dyDescent="0.25">
      <c r="A5281" s="849">
        <v>3.3300000000000003E-2</v>
      </c>
      <c r="B5281" s="740" t="s">
        <v>1231</v>
      </c>
      <c r="C5281" s="993">
        <v>19.844999999999999</v>
      </c>
      <c r="D5281" s="737">
        <v>19.033000000000001</v>
      </c>
      <c r="E5281" s="818">
        <v>-4.0917107583774093E-2</v>
      </c>
      <c r="F5281" s="1021">
        <v>-1.3625396825396774E-3</v>
      </c>
      <c r="G5281" s="78"/>
      <c r="H5281" t="s">
        <v>2041</v>
      </c>
    </row>
    <row r="5282" spans="1:8" hidden="1" outlineLevel="1" x14ac:dyDescent="0.25">
      <c r="A5282" s="849">
        <v>3.3300000000000003E-2</v>
      </c>
      <c r="B5282" s="853" t="s">
        <v>1773</v>
      </c>
      <c r="C5282" s="993">
        <v>456.99</v>
      </c>
      <c r="D5282" s="737">
        <v>537.08000000000004</v>
      </c>
      <c r="E5282" s="818">
        <v>0.17525547604980418</v>
      </c>
      <c r="F5282" s="1021">
        <v>1.3320000000000002E-2</v>
      </c>
      <c r="G5282" s="78"/>
      <c r="H5282" t="s">
        <v>1774</v>
      </c>
    </row>
    <row r="5283" spans="1:8" hidden="1" outlineLevel="1" x14ac:dyDescent="0.25">
      <c r="A5283" s="849">
        <v>3.3300000000000003E-2</v>
      </c>
      <c r="B5283" s="740" t="s">
        <v>307</v>
      </c>
      <c r="C5283" s="993">
        <v>25.728000000000002</v>
      </c>
      <c r="D5283" s="737">
        <v>36.402000000000001</v>
      </c>
      <c r="E5283" s="818">
        <v>0.41487873134328357</v>
      </c>
      <c r="F5283" s="1021">
        <v>1.3320000000000002E-2</v>
      </c>
      <c r="G5283" s="78"/>
      <c r="H5283" t="s">
        <v>1700</v>
      </c>
    </row>
    <row r="5284" spans="1:8" hidden="1" outlineLevel="1" x14ac:dyDescent="0.25">
      <c r="A5284" s="849">
        <v>3.3300000000000003E-2</v>
      </c>
      <c r="B5284" s="740" t="s">
        <v>1771</v>
      </c>
      <c r="C5284" s="993">
        <v>684.47</v>
      </c>
      <c r="D5284" s="737">
        <v>617.73</v>
      </c>
      <c r="E5284" s="818">
        <v>-9.7506099609917185E-2</v>
      </c>
      <c r="F5284" s="1021">
        <v>-3.2469531170102425E-3</v>
      </c>
      <c r="G5284" s="78"/>
      <c r="H5284" t="s">
        <v>4329</v>
      </c>
    </row>
    <row r="5285" spans="1:8" hidden="1" outlineLevel="1" x14ac:dyDescent="0.25">
      <c r="A5285" s="849">
        <v>3.3300000000000003E-2</v>
      </c>
      <c r="B5285" s="740" t="s">
        <v>2588</v>
      </c>
      <c r="C5285" s="993">
        <v>19.092600000000001</v>
      </c>
      <c r="D5285" s="737">
        <v>8.2284000000000006</v>
      </c>
      <c r="E5285" s="818">
        <v>-0.56902674334558934</v>
      </c>
      <c r="F5285" s="1021">
        <v>-1.8948590553408126E-2</v>
      </c>
      <c r="G5285" s="78"/>
      <c r="H5285" t="s">
        <v>4132</v>
      </c>
    </row>
    <row r="5286" spans="1:8" hidden="1" outlineLevel="1" x14ac:dyDescent="0.25">
      <c r="A5286" s="849">
        <v>3.3300000000000003E-2</v>
      </c>
      <c r="B5286" s="740" t="s">
        <v>44</v>
      </c>
      <c r="C5286" s="993">
        <v>4.7430000000000003</v>
      </c>
      <c r="D5286" s="737">
        <v>1.7193000000000001</v>
      </c>
      <c r="E5286" s="818">
        <v>-0.63750790638836174</v>
      </c>
      <c r="F5286" s="1021">
        <v>-2.1229013282732447E-2</v>
      </c>
      <c r="G5286" s="78"/>
      <c r="H5286" t="s">
        <v>204</v>
      </c>
    </row>
    <row r="5287" spans="1:8" hidden="1" outlineLevel="1" x14ac:dyDescent="0.25">
      <c r="A5287" s="849">
        <v>3.3300000000000003E-2</v>
      </c>
      <c r="B5287" s="740" t="s">
        <v>4376</v>
      </c>
      <c r="C5287" s="993">
        <v>40.451999999999998</v>
      </c>
      <c r="D5287" s="737">
        <v>40.4</v>
      </c>
      <c r="E5287" s="818">
        <v>-1.2854741421931548E-3</v>
      </c>
      <c r="F5287" s="1021">
        <v>-4.2806288935032058E-5</v>
      </c>
      <c r="G5287" s="78"/>
      <c r="H5287" t="s">
        <v>4326</v>
      </c>
    </row>
    <row r="5288" spans="1:8" hidden="1" outlineLevel="1" x14ac:dyDescent="0.25">
      <c r="A5288" s="849">
        <v>3.3300000000000003E-2</v>
      </c>
      <c r="B5288" s="740" t="s">
        <v>1526</v>
      </c>
      <c r="C5288" s="993">
        <v>88.361999999999995</v>
      </c>
      <c r="D5288" s="737">
        <v>25.8965</v>
      </c>
      <c r="E5288" s="818">
        <v>-0.70692718589438897</v>
      </c>
      <c r="F5288" s="1021">
        <v>-2.3540675290283156E-2</v>
      </c>
      <c r="G5288" s="78"/>
      <c r="H5288" t="s">
        <v>4146</v>
      </c>
    </row>
    <row r="5289" spans="1:8" hidden="1" outlineLevel="1" x14ac:dyDescent="0.25">
      <c r="A5289" s="849">
        <v>3.3300000000000003E-2</v>
      </c>
      <c r="B5289" s="740" t="s">
        <v>1905</v>
      </c>
      <c r="C5289" s="993">
        <v>57.695</v>
      </c>
      <c r="D5289" s="737">
        <v>35.805</v>
      </c>
      <c r="E5289" s="818">
        <v>-0.3794089609151573</v>
      </c>
      <c r="F5289" s="1021">
        <v>-1.263431839847474E-2</v>
      </c>
      <c r="G5289" s="78"/>
      <c r="H5289" t="s">
        <v>504</v>
      </c>
    </row>
    <row r="5290" spans="1:8" hidden="1" outlineLevel="1" x14ac:dyDescent="0.25">
      <c r="A5290" s="849">
        <v>3.3300000000000003E-2</v>
      </c>
      <c r="B5290" s="740" t="s">
        <v>1190</v>
      </c>
      <c r="C5290" s="993">
        <v>23.058</v>
      </c>
      <c r="D5290" s="737">
        <v>4.3</v>
      </c>
      <c r="E5290" s="818">
        <v>-0.81351374793997744</v>
      </c>
      <c r="F5290" s="1021">
        <v>-2.7090007806401251E-2</v>
      </c>
      <c r="G5290" s="78"/>
      <c r="H5290" t="s">
        <v>7569</v>
      </c>
    </row>
    <row r="5291" spans="1:8" hidden="1" outlineLevel="1" x14ac:dyDescent="0.25">
      <c r="A5291" s="849">
        <v>3.3300000000000003E-2</v>
      </c>
      <c r="B5291" s="740" t="s">
        <v>1414</v>
      </c>
      <c r="C5291" s="993">
        <v>23.405999999999999</v>
      </c>
      <c r="D5291" s="737">
        <v>20.239000000000001</v>
      </c>
      <c r="E5291" s="818">
        <v>-0.13530718619157478</v>
      </c>
      <c r="F5291" s="1021">
        <v>-4.5057293001794403E-3</v>
      </c>
      <c r="G5291" s="78"/>
      <c r="H5291" t="s">
        <v>2428</v>
      </c>
    </row>
    <row r="5292" spans="1:8" hidden="1" outlineLevel="1" x14ac:dyDescent="0.25">
      <c r="A5292" s="849">
        <v>3.3300000000000003E-2</v>
      </c>
      <c r="B5292" s="740" t="s">
        <v>3424</v>
      </c>
      <c r="C5292" s="993">
        <v>33.613</v>
      </c>
      <c r="D5292" s="737">
        <v>37.606999999999999</v>
      </c>
      <c r="E5292" s="818">
        <v>0.11882307440573592</v>
      </c>
      <c r="F5292" s="1021">
        <v>1.3320000000000002E-2</v>
      </c>
      <c r="G5292" s="78"/>
      <c r="H5292" t="s">
        <v>3558</v>
      </c>
    </row>
    <row r="5293" spans="1:8" hidden="1" outlineLevel="1" x14ac:dyDescent="0.25">
      <c r="A5293" s="849">
        <v>3.3300000000000003E-2</v>
      </c>
      <c r="B5293" s="740" t="s">
        <v>3801</v>
      </c>
      <c r="C5293" s="993">
        <v>95.179000000000002</v>
      </c>
      <c r="D5293" s="737">
        <v>37.42</v>
      </c>
      <c r="E5293" s="818">
        <v>-0.60684604797276709</v>
      </c>
      <c r="F5293" s="1021">
        <v>-2.0207973397493147E-2</v>
      </c>
      <c r="G5293" s="78"/>
      <c r="H5293" t="s">
        <v>2819</v>
      </c>
    </row>
    <row r="5294" spans="1:8" hidden="1" outlineLevel="1" x14ac:dyDescent="0.25">
      <c r="A5294" s="849">
        <v>3.3300000000000003E-2</v>
      </c>
      <c r="B5294" s="740" t="s">
        <v>4338</v>
      </c>
      <c r="C5294" s="993">
        <v>41.897998080366996</v>
      </c>
      <c r="D5294" s="737">
        <v>24.3095</v>
      </c>
      <c r="E5294" s="818">
        <v>-0.41979328097322144</v>
      </c>
      <c r="F5294" s="1021">
        <v>-1.3979116256408275E-2</v>
      </c>
      <c r="G5294" s="78"/>
      <c r="H5294" t="s">
        <v>7229</v>
      </c>
    </row>
    <row r="5295" spans="1:8" hidden="1" outlineLevel="1" x14ac:dyDescent="0.25">
      <c r="A5295" s="849">
        <v>3.3300000000000003E-2</v>
      </c>
      <c r="B5295" s="740" t="s">
        <v>231</v>
      </c>
      <c r="C5295" s="993">
        <v>60.258000000000003</v>
      </c>
      <c r="D5295" s="737">
        <v>25.414999999999999</v>
      </c>
      <c r="E5295" s="818">
        <v>-0.57823027647781211</v>
      </c>
      <c r="F5295" s="1021">
        <v>-1.9255068206711145E-2</v>
      </c>
      <c r="G5295" s="78"/>
      <c r="H5295" t="s">
        <v>640</v>
      </c>
    </row>
    <row r="5296" spans="1:8" hidden="1" outlineLevel="1" x14ac:dyDescent="0.25">
      <c r="A5296" s="849">
        <v>3.3300000000000003E-2</v>
      </c>
      <c r="B5296" s="740" t="s">
        <v>3902</v>
      </c>
      <c r="C5296" s="993">
        <v>101.72499999999999</v>
      </c>
      <c r="D5296" s="737">
        <v>90.204999999999998</v>
      </c>
      <c r="E5296" s="818">
        <v>-0.11324649791103458</v>
      </c>
      <c r="F5296" s="1021">
        <v>-3.771108380437452E-3</v>
      </c>
      <c r="G5296" s="78"/>
      <c r="H5296" t="s">
        <v>641</v>
      </c>
    </row>
    <row r="5297" spans="1:32" hidden="1" outlineLevel="1" x14ac:dyDescent="0.25">
      <c r="A5297" s="849">
        <v>3.3300000000000003E-2</v>
      </c>
      <c r="B5297" s="740" t="s">
        <v>577</v>
      </c>
      <c r="C5297" s="993">
        <v>21.922000000000001</v>
      </c>
      <c r="D5297" s="737">
        <v>16.289000000000001</v>
      </c>
      <c r="E5297" s="818">
        <v>-0.25695648207280353</v>
      </c>
      <c r="F5297" s="1021">
        <v>-8.5566508530243585E-3</v>
      </c>
      <c r="G5297" s="78"/>
      <c r="H5297" t="s">
        <v>2804</v>
      </c>
    </row>
    <row r="5298" spans="1:32" hidden="1" outlineLevel="1" x14ac:dyDescent="0.25">
      <c r="A5298" s="849">
        <v>3.3300000000000003E-2</v>
      </c>
      <c r="B5298" s="740" t="s">
        <v>1183</v>
      </c>
      <c r="C5298" s="993">
        <v>55.668999999999997</v>
      </c>
      <c r="D5298" s="737">
        <v>39.522500000000001</v>
      </c>
      <c r="E5298" s="818">
        <v>-0.29004472866406794</v>
      </c>
      <c r="F5298" s="1021">
        <v>-9.6584894645134634E-3</v>
      </c>
      <c r="G5298" s="78"/>
      <c r="H5298" t="s">
        <v>2805</v>
      </c>
    </row>
    <row r="5299" spans="1:32" hidden="1" outlineLevel="1" x14ac:dyDescent="0.25">
      <c r="A5299" s="739">
        <v>3.3300000000000003E-2</v>
      </c>
      <c r="B5299" s="740" t="s">
        <v>182</v>
      </c>
      <c r="C5299" s="993">
        <v>43.859000000000002</v>
      </c>
      <c r="D5299" s="737">
        <v>14.816000000000001</v>
      </c>
      <c r="E5299" s="818">
        <v>-0.66219020041496612</v>
      </c>
      <c r="F5299" s="1021">
        <v>-2.2050933673818374E-2</v>
      </c>
      <c r="G5299" s="78"/>
      <c r="H5299" t="s">
        <v>6686</v>
      </c>
    </row>
    <row r="5300" spans="1:32" hidden="1" outlineLevel="1" x14ac:dyDescent="0.25">
      <c r="A5300" s="739">
        <v>3.3300000000000003E-2</v>
      </c>
      <c r="B5300" s="997" t="s">
        <v>3903</v>
      </c>
      <c r="C5300" s="993">
        <v>12.446</v>
      </c>
      <c r="D5300" s="737">
        <v>12.436999999999999</v>
      </c>
      <c r="E5300" s="818">
        <v>-7.2312389522743992E-4</v>
      </c>
      <c r="F5300" s="1188">
        <v>-2.4080025711073752E-5</v>
      </c>
      <c r="G5300" s="78"/>
      <c r="H5300" t="s">
        <v>642</v>
      </c>
    </row>
    <row r="5301" spans="1:32" hidden="1" outlineLevel="1" x14ac:dyDescent="0.25">
      <c r="A5301" s="854"/>
      <c r="B5301" s="718"/>
      <c r="C5301" s="855"/>
      <c r="D5301" s="867"/>
      <c r="E5301" s="820"/>
      <c r="F5301" s="770">
        <v>-0.27147785220740717</v>
      </c>
      <c r="G5301" s="78"/>
    </row>
    <row r="5302" spans="1:32" collapsed="1" x14ac:dyDescent="0.25">
      <c r="A5302" s="3801" t="s">
        <v>362</v>
      </c>
      <c r="B5302" s="3802"/>
      <c r="C5302" s="3802"/>
      <c r="D5302" s="3802"/>
      <c r="E5302" s="821"/>
      <c r="F5302" s="752">
        <v>0</v>
      </c>
      <c r="G5302" s="97" t="s">
        <v>781</v>
      </c>
    </row>
    <row r="5304" spans="1:32" hidden="1" outlineLevel="1" x14ac:dyDescent="0.25">
      <c r="A5304" s="924" t="s">
        <v>2015</v>
      </c>
      <c r="B5304" s="923" t="s">
        <v>114</v>
      </c>
      <c r="C5304" s="923" t="s">
        <v>112</v>
      </c>
      <c r="D5304" s="922" t="s">
        <v>4155</v>
      </c>
      <c r="E5304" s="925" t="s">
        <v>117</v>
      </c>
      <c r="F5304" s="1861" t="s">
        <v>121</v>
      </c>
    </row>
    <row r="5305" spans="1:32" hidden="1" outlineLevel="1" x14ac:dyDescent="0.25">
      <c r="A5305" s="1157">
        <v>0.16666700000000001</v>
      </c>
      <c r="B5305" s="695" t="s">
        <v>3564</v>
      </c>
      <c r="C5305" s="927">
        <v>25971.909</v>
      </c>
      <c r="D5305" s="1134">
        <v>22151.06</v>
      </c>
      <c r="E5305" s="3881">
        <v>4.3699175779899679E-2</v>
      </c>
      <c r="F5305" s="3824">
        <v>3.0589423045929775E-2</v>
      </c>
      <c r="H5305" t="s">
        <v>2040</v>
      </c>
      <c r="I5305" s="256">
        <v>40909</v>
      </c>
      <c r="J5305" s="256">
        <v>40940</v>
      </c>
      <c r="K5305" s="256">
        <v>40969</v>
      </c>
      <c r="L5305" s="256">
        <v>41000</v>
      </c>
      <c r="M5305" s="256">
        <v>41030</v>
      </c>
      <c r="N5305" s="256">
        <v>41061</v>
      </c>
      <c r="O5305" s="256">
        <v>41091</v>
      </c>
      <c r="P5305" s="256">
        <v>41122</v>
      </c>
      <c r="Q5305" s="256">
        <v>41153</v>
      </c>
      <c r="R5305" s="256">
        <v>41183</v>
      </c>
      <c r="S5305" s="256">
        <v>41214</v>
      </c>
      <c r="T5305" s="256">
        <v>41244</v>
      </c>
      <c r="U5305" s="256">
        <v>41275</v>
      </c>
      <c r="V5305" s="256">
        <v>41306</v>
      </c>
      <c r="W5305" s="256">
        <v>41334</v>
      </c>
      <c r="X5305" s="256">
        <v>41365</v>
      </c>
      <c r="Y5305" s="256">
        <v>41395</v>
      </c>
      <c r="Z5305" s="256">
        <v>41426</v>
      </c>
      <c r="AA5305" s="256">
        <v>41456</v>
      </c>
      <c r="AB5305" s="256">
        <v>41487</v>
      </c>
      <c r="AC5305" s="256">
        <v>41518</v>
      </c>
      <c r="AD5305" s="256">
        <v>41548</v>
      </c>
      <c r="AE5305" s="256">
        <v>41579</v>
      </c>
      <c r="AF5305" s="256">
        <v>41609</v>
      </c>
    </row>
    <row r="5306" spans="1:32" hidden="1" outlineLevel="1" x14ac:dyDescent="0.25">
      <c r="A5306" s="1158">
        <v>0.16666700000000001</v>
      </c>
      <c r="B5306" s="695" t="s">
        <v>1916</v>
      </c>
      <c r="C5306" s="930">
        <v>222.864</v>
      </c>
      <c r="D5306" s="1134">
        <v>258.11</v>
      </c>
      <c r="E5306" s="3882"/>
      <c r="F5306" s="3825"/>
      <c r="I5306">
        <v>88.878399999999999</v>
      </c>
      <c r="J5306" s="31">
        <v>93.663399999999996</v>
      </c>
      <c r="K5306">
        <v>93.391599999999997</v>
      </c>
      <c r="L5306">
        <v>91.597700000000003</v>
      </c>
      <c r="M5306">
        <v>85.948800000000006</v>
      </c>
      <c r="N5306">
        <v>87.838700000000003</v>
      </c>
      <c r="O5306">
        <v>89.135599999999997</v>
      </c>
      <c r="P5306">
        <v>89.379400000000004</v>
      </c>
      <c r="Q5306">
        <v>91.9358</v>
      </c>
      <c r="R5306">
        <v>90.761499999999998</v>
      </c>
      <c r="S5306">
        <v>92.371700000000004</v>
      </c>
      <c r="T5306">
        <v>96.063100000000006</v>
      </c>
      <c r="U5306">
        <v>97.209000000000003</v>
      </c>
      <c r="V5306">
        <v>98.248699999999999</v>
      </c>
      <c r="W5306">
        <v>99.084900000000005</v>
      </c>
      <c r="X5306">
        <v>101.8005</v>
      </c>
      <c r="Y5306">
        <v>102.1767</v>
      </c>
      <c r="Z5306">
        <v>98.615799999999993</v>
      </c>
      <c r="AA5306">
        <v>100.21080000000001</v>
      </c>
      <c r="AB5306">
        <v>98.359399999999994</v>
      </c>
      <c r="AC5306">
        <v>102.4492</v>
      </c>
      <c r="AD5306">
        <v>104.336</v>
      </c>
      <c r="AE5306">
        <v>106.43</v>
      </c>
    </row>
    <row r="5307" spans="1:32" hidden="1" outlineLevel="1" x14ac:dyDescent="0.25">
      <c r="A5307" s="1158">
        <v>0.16666700000000001</v>
      </c>
      <c r="B5307" s="695" t="s">
        <v>3232</v>
      </c>
      <c r="C5307" s="930">
        <v>1462.731</v>
      </c>
      <c r="D5307" s="1134">
        <v>1849.21</v>
      </c>
      <c r="E5307" s="3882"/>
      <c r="F5307" s="3825"/>
      <c r="I5307" s="37">
        <f>IF(I5306="",H5307,I5306/100-1)</f>
        <v>-0.11121599999999998</v>
      </c>
      <c r="J5307" s="37">
        <f t="shared" ref="J5307:AF5307" si="183">IF(J5306="",I5307,J5306/100-1)</f>
        <v>-6.3366000000000033E-2</v>
      </c>
      <c r="K5307" s="37">
        <f t="shared" si="183"/>
        <v>-6.6084000000000032E-2</v>
      </c>
      <c r="L5307" s="37">
        <f t="shared" si="183"/>
        <v>-8.4022999999999959E-2</v>
      </c>
      <c r="M5307" s="37">
        <f t="shared" si="183"/>
        <v>-0.14051199999999997</v>
      </c>
      <c r="N5307" s="37">
        <f t="shared" si="183"/>
        <v>-0.12161299999999997</v>
      </c>
      <c r="O5307" s="37">
        <f t="shared" si="183"/>
        <v>-0.10864400000000007</v>
      </c>
      <c r="P5307" s="37">
        <f t="shared" si="183"/>
        <v>-0.10620599999999991</v>
      </c>
      <c r="Q5307" s="37">
        <f t="shared" si="183"/>
        <v>-8.0641999999999991E-2</v>
      </c>
      <c r="R5307" s="37">
        <f t="shared" si="183"/>
        <v>-9.238500000000005E-2</v>
      </c>
      <c r="S5307" s="37">
        <f t="shared" si="183"/>
        <v>-7.628299999999999E-2</v>
      </c>
      <c r="T5307" s="37">
        <f t="shared" si="183"/>
        <v>-3.9368999999999987E-2</v>
      </c>
      <c r="U5307" s="37">
        <f t="shared" si="183"/>
        <v>-2.790999999999999E-2</v>
      </c>
      <c r="V5307" s="37">
        <f t="shared" si="183"/>
        <v>-1.7513000000000001E-2</v>
      </c>
      <c r="W5307" s="37">
        <f t="shared" si="183"/>
        <v>-9.1509999999999092E-3</v>
      </c>
      <c r="X5307" s="37">
        <f t="shared" si="183"/>
        <v>1.8005000000000049E-2</v>
      </c>
      <c r="Y5307" s="37">
        <f t="shared" si="183"/>
        <v>2.176699999999987E-2</v>
      </c>
      <c r="Z5307" s="37">
        <f>IF(Z5306="",Y5307,Z5306/100-1)</f>
        <v>-1.3842000000000021E-2</v>
      </c>
      <c r="AA5307" s="37">
        <f t="shared" si="183"/>
        <v>2.1079999999999988E-3</v>
      </c>
      <c r="AB5307" s="37">
        <f t="shared" si="183"/>
        <v>-1.6406000000000032E-2</v>
      </c>
      <c r="AC5307" s="37">
        <f t="shared" si="183"/>
        <v>2.4491999999999958E-2</v>
      </c>
      <c r="AD5307" s="37">
        <f t="shared" si="183"/>
        <v>4.3360000000000065E-2</v>
      </c>
      <c r="AE5307" s="37">
        <f t="shared" si="183"/>
        <v>6.4300000000000024E-2</v>
      </c>
      <c r="AF5307" s="37">
        <f t="shared" si="183"/>
        <v>6.4300000000000024E-2</v>
      </c>
    </row>
    <row r="5308" spans="1:32" hidden="1" outlineLevel="1" x14ac:dyDescent="0.25">
      <c r="A5308" s="1158">
        <v>0.16666700000000001</v>
      </c>
      <c r="B5308" s="695" t="s">
        <v>2019</v>
      </c>
      <c r="C5308" s="932">
        <v>388.51100000000002</v>
      </c>
      <c r="D5308" s="1134">
        <v>359.4</v>
      </c>
      <c r="E5308" s="3882"/>
      <c r="F5308" s="3825"/>
      <c r="J5308" s="31"/>
    </row>
    <row r="5309" spans="1:32" hidden="1" outlineLevel="1" x14ac:dyDescent="0.25">
      <c r="A5309" s="1158">
        <v>0.16666700000000001</v>
      </c>
      <c r="B5309" s="695" t="s">
        <v>1124</v>
      </c>
      <c r="C5309" s="932">
        <v>315.09100000000001</v>
      </c>
      <c r="D5309" s="1134">
        <v>312.66000000000003</v>
      </c>
      <c r="E5309" s="3882"/>
      <c r="F5309" s="3825"/>
      <c r="H5309" s="69" t="s">
        <v>2272</v>
      </c>
      <c r="I5309" s="261">
        <f>AVERAGE(I5307:AF5307)</f>
        <v>-3.9034708333333341E-2</v>
      </c>
      <c r="J5309" s="31"/>
    </row>
    <row r="5310" spans="1:32" hidden="1" outlineLevel="1" x14ac:dyDescent="0.25">
      <c r="A5310" s="1159">
        <v>0.16666700000000001</v>
      </c>
      <c r="B5310" s="695" t="s">
        <v>761</v>
      </c>
      <c r="C5310" s="932">
        <v>13864.76</v>
      </c>
      <c r="D5310" s="1134">
        <v>14827.83</v>
      </c>
      <c r="E5310" s="3883"/>
      <c r="F5310" s="3826"/>
    </row>
    <row r="5311" spans="1:32" collapsed="1" x14ac:dyDescent="0.25">
      <c r="A5311" s="3811" t="s">
        <v>4115</v>
      </c>
      <c r="B5311" s="3812"/>
      <c r="C5311" s="3812"/>
      <c r="D5311" s="3812"/>
      <c r="E5311" s="933"/>
      <c r="F5311" s="934">
        <v>0</v>
      </c>
      <c r="G5311" s="97" t="s">
        <v>781</v>
      </c>
    </row>
    <row r="5313" spans="1:8" hidden="1" outlineLevel="1" x14ac:dyDescent="0.25">
      <c r="A5313" s="689" t="s">
        <v>113</v>
      </c>
      <c r="B5313" s="689" t="s">
        <v>114</v>
      </c>
      <c r="C5313" s="689" t="s">
        <v>112</v>
      </c>
      <c r="D5313" s="689" t="s">
        <v>116</v>
      </c>
      <c r="E5313" s="689" t="s">
        <v>117</v>
      </c>
      <c r="F5313" s="1188" t="s">
        <v>121</v>
      </c>
      <c r="G5313" s="78"/>
    </row>
    <row r="5314" spans="1:8" hidden="1" outlineLevel="1" x14ac:dyDescent="0.25">
      <c r="A5314" s="690">
        <v>1</v>
      </c>
      <c r="B5314" s="691" t="s">
        <v>252</v>
      </c>
      <c r="C5314" s="692">
        <v>100</v>
      </c>
      <c r="D5314" s="692"/>
      <c r="E5314" s="693"/>
      <c r="F5314" s="694"/>
      <c r="G5314" s="78"/>
    </row>
    <row r="5315" spans="1:8" hidden="1" outlineLevel="1" x14ac:dyDescent="0.25">
      <c r="A5315" s="695"/>
      <c r="B5315" s="695"/>
      <c r="C5315" s="696"/>
      <c r="D5315" s="697" t="s">
        <v>3702</v>
      </c>
      <c r="E5315" s="698">
        <v>41453</v>
      </c>
      <c r="F5315" s="699"/>
      <c r="G5315" s="78"/>
    </row>
    <row r="5316" spans="1:8" hidden="1" outlineLevel="1" x14ac:dyDescent="0.25">
      <c r="A5316" s="689" t="s">
        <v>4156</v>
      </c>
      <c r="B5316" s="689" t="s">
        <v>4153</v>
      </c>
      <c r="C5316" s="497" t="s">
        <v>112</v>
      </c>
      <c r="D5316" s="495" t="s">
        <v>4155</v>
      </c>
      <c r="E5316" s="689" t="s">
        <v>4154</v>
      </c>
      <c r="F5316" s="1021" t="s">
        <v>2519</v>
      </c>
      <c r="G5316" s="78"/>
    </row>
    <row r="5317" spans="1:8" hidden="1" outlineLevel="1" x14ac:dyDescent="0.25">
      <c r="A5317" s="999">
        <v>0.05</v>
      </c>
      <c r="B5317" s="1000" t="s">
        <v>4266</v>
      </c>
      <c r="C5317" s="1001">
        <v>27.321999999999999</v>
      </c>
      <c r="D5317" s="803">
        <v>20.51</v>
      </c>
      <c r="E5317" s="705">
        <v>-0.24932288997877161</v>
      </c>
      <c r="F5317" s="1021">
        <v>-1.2466144498938582E-2</v>
      </c>
      <c r="G5317" s="78"/>
      <c r="H5317" t="s">
        <v>2740</v>
      </c>
    </row>
    <row r="5318" spans="1:8" hidden="1" outlineLevel="1" x14ac:dyDescent="0.25">
      <c r="A5318" s="1002">
        <v>0.05</v>
      </c>
      <c r="B5318" s="996" t="s">
        <v>4387</v>
      </c>
      <c r="C5318" s="1003">
        <v>48.637666666666668</v>
      </c>
      <c r="D5318" s="908">
        <v>12.61</v>
      </c>
      <c r="E5318" s="709">
        <v>-0.74073591797852145</v>
      </c>
      <c r="F5318" s="946">
        <v>-3.7036795898926077E-2</v>
      </c>
      <c r="G5318" s="78"/>
      <c r="H5318" t="s">
        <v>3744</v>
      </c>
    </row>
    <row r="5319" spans="1:8" hidden="1" outlineLevel="1" x14ac:dyDescent="0.25">
      <c r="A5319" s="1002">
        <v>0.05</v>
      </c>
      <c r="B5319" s="996" t="s">
        <v>4268</v>
      </c>
      <c r="C5319" s="1003">
        <v>28.89</v>
      </c>
      <c r="D5319" s="908">
        <v>14.4</v>
      </c>
      <c r="E5319" s="709">
        <v>-0.50155763239875384</v>
      </c>
      <c r="F5319" s="946">
        <v>-2.5077881619937695E-2</v>
      </c>
      <c r="G5319" s="78"/>
      <c r="H5319" t="s">
        <v>1801</v>
      </c>
    </row>
    <row r="5320" spans="1:8" hidden="1" outlineLevel="1" x14ac:dyDescent="0.25">
      <c r="A5320" s="1002">
        <v>0.05</v>
      </c>
      <c r="B5320" s="996" t="s">
        <v>3092</v>
      </c>
      <c r="C5320" s="1003">
        <v>68.611999999999995</v>
      </c>
      <c r="D5320" s="908">
        <v>81.48</v>
      </c>
      <c r="E5320" s="709">
        <v>0.18754736780738068</v>
      </c>
      <c r="F5320" s="946">
        <v>9.3773683903690345E-3</v>
      </c>
      <c r="G5320" s="78"/>
      <c r="H5320" t="s">
        <v>3091</v>
      </c>
    </row>
    <row r="5321" spans="1:8" hidden="1" outlineLevel="1" x14ac:dyDescent="0.25">
      <c r="A5321" s="1002">
        <v>0.05</v>
      </c>
      <c r="B5321" s="996" t="s">
        <v>1031</v>
      </c>
      <c r="C5321" s="1003">
        <v>10.098000000000001</v>
      </c>
      <c r="D5321" s="908">
        <v>3.9239000000000002</v>
      </c>
      <c r="E5321" s="709">
        <v>-0.61141810259457319</v>
      </c>
      <c r="F5321" s="946">
        <v>-3.0570905129728661E-2</v>
      </c>
      <c r="G5321" s="78"/>
      <c r="H5321" t="s">
        <v>4158</v>
      </c>
    </row>
    <row r="5322" spans="1:8" hidden="1" outlineLevel="1" x14ac:dyDescent="0.25">
      <c r="A5322" s="1002">
        <v>0.05</v>
      </c>
      <c r="B5322" s="996" t="s">
        <v>4116</v>
      </c>
      <c r="C5322" s="1003">
        <v>1811.1</v>
      </c>
      <c r="D5322" s="908">
        <v>2628</v>
      </c>
      <c r="E5322" s="709">
        <v>0.45105184694384626</v>
      </c>
      <c r="F5322" s="946">
        <v>2.2552592347192313E-2</v>
      </c>
      <c r="G5322" s="78"/>
      <c r="H5322" t="s">
        <v>4117</v>
      </c>
    </row>
    <row r="5323" spans="1:8" hidden="1" outlineLevel="1" x14ac:dyDescent="0.25">
      <c r="A5323" s="1002">
        <v>0.05</v>
      </c>
      <c r="B5323" s="996" t="s">
        <v>4270</v>
      </c>
      <c r="C5323" s="1003">
        <v>2569.5</v>
      </c>
      <c r="D5323" s="908">
        <v>1359</v>
      </c>
      <c r="E5323" s="709">
        <v>-0.47110332749562167</v>
      </c>
      <c r="F5323" s="946">
        <v>-2.3555166374781084E-2</v>
      </c>
      <c r="G5323" s="78"/>
      <c r="H5323" t="s">
        <v>1803</v>
      </c>
    </row>
    <row r="5324" spans="1:8" hidden="1" outlineLevel="1" x14ac:dyDescent="0.25">
      <c r="A5324" s="1002">
        <v>0.05</v>
      </c>
      <c r="B5324" s="996" t="s">
        <v>3252</v>
      </c>
      <c r="C5324" s="1003">
        <v>1079.8</v>
      </c>
      <c r="D5324" s="908">
        <v>1089</v>
      </c>
      <c r="E5324" s="709">
        <v>8.5200963141323083E-3</v>
      </c>
      <c r="F5324" s="946">
        <v>4.2600481570661544E-4</v>
      </c>
      <c r="G5324" s="78"/>
      <c r="H5324" t="s">
        <v>3628</v>
      </c>
    </row>
    <row r="5325" spans="1:8" hidden="1" outlineLevel="1" x14ac:dyDescent="0.25">
      <c r="A5325" s="1002">
        <v>0.05</v>
      </c>
      <c r="B5325" s="996" t="s">
        <v>4119</v>
      </c>
      <c r="C5325" s="1003">
        <v>660.9</v>
      </c>
      <c r="D5325" s="908">
        <v>1448</v>
      </c>
      <c r="E5325" s="709">
        <v>1.1909517324860039</v>
      </c>
      <c r="F5325" s="946">
        <v>5.9547586624300201E-2</v>
      </c>
      <c r="G5325" s="78"/>
      <c r="H5325" t="s">
        <v>4120</v>
      </c>
    </row>
    <row r="5326" spans="1:8" hidden="1" outlineLevel="1" x14ac:dyDescent="0.25">
      <c r="A5326" s="1002">
        <v>0.05</v>
      </c>
      <c r="B5326" s="996" t="s">
        <v>4292</v>
      </c>
      <c r="C5326" s="1003">
        <v>8770</v>
      </c>
      <c r="D5326" s="908">
        <v>10100</v>
      </c>
      <c r="E5326" s="709">
        <v>0.15165336374002281</v>
      </c>
      <c r="F5326" s="946">
        <v>7.582668187001141E-3</v>
      </c>
      <c r="G5326" s="78"/>
      <c r="H5326" t="s">
        <v>1892</v>
      </c>
    </row>
    <row r="5327" spans="1:8" hidden="1" outlineLevel="1" x14ac:dyDescent="0.25">
      <c r="A5327" s="1002">
        <v>0.05</v>
      </c>
      <c r="B5327" s="996" t="s">
        <v>254</v>
      </c>
      <c r="C5327" s="1003">
        <v>69.924000000000007</v>
      </c>
      <c r="D5327" s="908">
        <v>106.95</v>
      </c>
      <c r="E5327" s="709">
        <v>0.52951776214175372</v>
      </c>
      <c r="F5327" s="946">
        <v>2.6475888107087689E-2</v>
      </c>
      <c r="G5327" s="78"/>
      <c r="H5327" t="s">
        <v>7749</v>
      </c>
    </row>
    <row r="5328" spans="1:8" hidden="1" outlineLevel="1" x14ac:dyDescent="0.25">
      <c r="A5328" s="1002">
        <v>0.05</v>
      </c>
      <c r="B5328" s="743" t="s">
        <v>3253</v>
      </c>
      <c r="C5328" s="1003">
        <v>348.2</v>
      </c>
      <c r="D5328" s="908">
        <v>464.2</v>
      </c>
      <c r="E5328" s="709">
        <v>0.3331418724870765</v>
      </c>
      <c r="F5328" s="946">
        <v>1.6657093624353827E-2</v>
      </c>
      <c r="G5328" s="78"/>
      <c r="H5328" t="s">
        <v>3629</v>
      </c>
    </row>
    <row r="5329" spans="1:10" hidden="1" outlineLevel="1" x14ac:dyDescent="0.25">
      <c r="A5329" s="1002">
        <v>0.05</v>
      </c>
      <c r="B5329" s="996" t="s">
        <v>3255</v>
      </c>
      <c r="C5329" s="1003">
        <v>655.5</v>
      </c>
      <c r="D5329" s="908">
        <v>644.5</v>
      </c>
      <c r="E5329" s="709">
        <v>-1.6781083142639153E-2</v>
      </c>
      <c r="F5329" s="946">
        <v>-8.3905415713195772E-4</v>
      </c>
      <c r="G5329" s="78"/>
      <c r="H5329" t="s">
        <v>3631</v>
      </c>
    </row>
    <row r="5330" spans="1:10" hidden="1" outlineLevel="1" x14ac:dyDescent="0.25">
      <c r="A5330" s="1002">
        <v>0.05</v>
      </c>
      <c r="B5330" s="996" t="s">
        <v>1205</v>
      </c>
      <c r="C5330" s="1003">
        <v>26.382000000000001</v>
      </c>
      <c r="D5330" s="908">
        <v>20.945</v>
      </c>
      <c r="E5330" s="709">
        <v>-0.20608748389053144</v>
      </c>
      <c r="F5330" s="946">
        <v>-1.0304374194526573E-2</v>
      </c>
      <c r="G5330" s="78"/>
      <c r="H5330" t="s">
        <v>1092</v>
      </c>
    </row>
    <row r="5331" spans="1:10" hidden="1" outlineLevel="1" x14ac:dyDescent="0.25">
      <c r="A5331" s="1002">
        <v>0.05</v>
      </c>
      <c r="B5331" s="996" t="s">
        <v>3801</v>
      </c>
      <c r="C5331" s="1003">
        <v>95.179000000000002</v>
      </c>
      <c r="D5331" s="908">
        <v>24.52</v>
      </c>
      <c r="E5331" s="709">
        <v>-0.74238014688113974</v>
      </c>
      <c r="F5331" s="946">
        <v>-3.7119007344056987E-2</v>
      </c>
      <c r="G5331" s="78"/>
      <c r="H5331" t="s">
        <v>2819</v>
      </c>
    </row>
    <row r="5332" spans="1:10" hidden="1" outlineLevel="1" x14ac:dyDescent="0.25">
      <c r="A5332" s="1002">
        <v>0.05</v>
      </c>
      <c r="B5332" s="996" t="s">
        <v>4460</v>
      </c>
      <c r="C5332" s="1003">
        <v>1491.1</v>
      </c>
      <c r="D5332" s="908">
        <v>1664</v>
      </c>
      <c r="E5332" s="709">
        <v>0.11595466434176127</v>
      </c>
      <c r="F5332" s="946">
        <v>5.7977332170880639E-3</v>
      </c>
      <c r="G5332" s="78"/>
      <c r="H5332" t="s">
        <v>3485</v>
      </c>
    </row>
    <row r="5333" spans="1:10" hidden="1" outlineLevel="1" x14ac:dyDescent="0.25">
      <c r="A5333" s="1002">
        <v>0.05</v>
      </c>
      <c r="B5333" s="996" t="s">
        <v>4338</v>
      </c>
      <c r="C5333" s="1003">
        <v>41.897998080366996</v>
      </c>
      <c r="D5333" s="908">
        <v>15.045</v>
      </c>
      <c r="E5333" s="709">
        <v>-0.64091363097727705</v>
      </c>
      <c r="F5333" s="946">
        <v>-3.2045681548863857E-2</v>
      </c>
      <c r="G5333" s="78"/>
      <c r="H5333" t="s">
        <v>7229</v>
      </c>
    </row>
    <row r="5334" spans="1:10" hidden="1" outlineLevel="1" x14ac:dyDescent="0.25">
      <c r="A5334" s="1002">
        <v>0.05</v>
      </c>
      <c r="B5334" s="996" t="s">
        <v>3304</v>
      </c>
      <c r="C5334" s="1003">
        <v>286.22000000000003</v>
      </c>
      <c r="D5334" s="908">
        <v>369.6</v>
      </c>
      <c r="E5334" s="709">
        <v>0.29131437355880085</v>
      </c>
      <c r="F5334" s="946">
        <v>1.4565718677940043E-2</v>
      </c>
      <c r="G5334" s="78"/>
      <c r="H5334" t="s">
        <v>2012</v>
      </c>
      <c r="J5334" s="341"/>
    </row>
    <row r="5335" spans="1:10" hidden="1" outlineLevel="1" x14ac:dyDescent="0.25">
      <c r="A5335" s="1002">
        <v>0.05</v>
      </c>
      <c r="B5335" s="996" t="s">
        <v>3551</v>
      </c>
      <c r="C5335" s="1003">
        <v>5470</v>
      </c>
      <c r="D5335" s="908">
        <v>5990</v>
      </c>
      <c r="E5335" s="709">
        <v>9.5063985374771454E-2</v>
      </c>
      <c r="F5335" s="946">
        <v>4.7531992687385727E-3</v>
      </c>
      <c r="G5335" s="78"/>
      <c r="H5335" t="s">
        <v>2806</v>
      </c>
    </row>
    <row r="5336" spans="1:10" hidden="1" outlineLevel="1" x14ac:dyDescent="0.25">
      <c r="A5336" s="1004">
        <v>0.05</v>
      </c>
      <c r="B5336" s="997" t="s">
        <v>4228</v>
      </c>
      <c r="C5336" s="1005">
        <v>59.85</v>
      </c>
      <c r="D5336" s="715">
        <v>8.7409999999999997</v>
      </c>
      <c r="E5336" s="716">
        <v>-0.85395154553049291</v>
      </c>
      <c r="F5336" s="1023">
        <v>-4.2697577276524651E-2</v>
      </c>
      <c r="G5336" s="78"/>
      <c r="H5336" t="s">
        <v>3994</v>
      </c>
    </row>
    <row r="5337" spans="1:10" hidden="1" outlineLevel="1" x14ac:dyDescent="0.25">
      <c r="A5337" s="749"/>
      <c r="B5337" s="750"/>
      <c r="C5337" s="727"/>
      <c r="D5337" s="727"/>
      <c r="E5337" s="716"/>
      <c r="F5337" s="770">
        <v>-8.3976734783638624E-2</v>
      </c>
      <c r="G5337" s="78"/>
    </row>
    <row r="5338" spans="1:10" hidden="1" outlineLevel="1" x14ac:dyDescent="0.25">
      <c r="A5338" s="749"/>
      <c r="B5338" s="750"/>
      <c r="C5338" s="727"/>
      <c r="D5338" s="727"/>
      <c r="E5338" s="716"/>
      <c r="F5338" s="770"/>
      <c r="G5338" s="78"/>
    </row>
    <row r="5339" spans="1:10" hidden="1" outlineLevel="1" x14ac:dyDescent="0.25">
      <c r="A5339" s="751" t="s">
        <v>1495</v>
      </c>
      <c r="B5339" s="944">
        <v>39508</v>
      </c>
      <c r="C5339" s="727">
        <v>100</v>
      </c>
      <c r="D5339" s="727">
        <v>93.751300000000001</v>
      </c>
      <c r="E5339" s="716">
        <v>-6.2486999999999959E-2</v>
      </c>
      <c r="F5339" s="731">
        <v>-6.2486999999999959E-2</v>
      </c>
      <c r="G5339" s="78"/>
    </row>
    <row r="5340" spans="1:10" hidden="1" outlineLevel="1" x14ac:dyDescent="0.25">
      <c r="A5340" s="751" t="s">
        <v>1496</v>
      </c>
      <c r="B5340" s="944">
        <v>39600</v>
      </c>
      <c r="C5340" s="727">
        <v>100</v>
      </c>
      <c r="D5340" s="727">
        <v>95.870199999999997</v>
      </c>
      <c r="E5340" s="716">
        <v>-4.1298000000000057E-2</v>
      </c>
      <c r="F5340" s="731">
        <v>-4.1298000000000057E-2</v>
      </c>
      <c r="G5340" s="78"/>
    </row>
    <row r="5341" spans="1:10" hidden="1" outlineLevel="1" x14ac:dyDescent="0.25">
      <c r="A5341" s="751" t="s">
        <v>1497</v>
      </c>
      <c r="B5341" s="944">
        <v>39692</v>
      </c>
      <c r="C5341" s="727">
        <v>100</v>
      </c>
      <c r="D5341" s="727">
        <v>81.745900000000006</v>
      </c>
      <c r="E5341" s="716">
        <v>-0.18254099999999995</v>
      </c>
      <c r="F5341" s="731">
        <v>-0.18254099999999995</v>
      </c>
      <c r="G5341" s="78"/>
    </row>
    <row r="5342" spans="1:10" hidden="1" outlineLevel="1" x14ac:dyDescent="0.25">
      <c r="A5342" s="751" t="s">
        <v>1498</v>
      </c>
      <c r="B5342" s="944">
        <v>39783</v>
      </c>
      <c r="C5342" s="727">
        <v>100</v>
      </c>
      <c r="D5342" s="727">
        <v>70.0852</v>
      </c>
      <c r="E5342" s="716">
        <v>-0.29914799999999997</v>
      </c>
      <c r="F5342" s="731">
        <v>-0.29914799999999997</v>
      </c>
      <c r="G5342" s="78"/>
    </row>
    <row r="5343" spans="1:10" hidden="1" outlineLevel="1" x14ac:dyDescent="0.25">
      <c r="A5343" s="751" t="s">
        <v>1966</v>
      </c>
      <c r="B5343" s="944">
        <v>39873</v>
      </c>
      <c r="C5343" s="727">
        <v>100</v>
      </c>
      <c r="D5343" s="727">
        <v>63.695799999999998</v>
      </c>
      <c r="E5343" s="716">
        <v>-0.36304199999999998</v>
      </c>
      <c r="F5343" s="731">
        <v>-0.36304199999999998</v>
      </c>
      <c r="G5343" s="78"/>
      <c r="H5343" s="21"/>
    </row>
    <row r="5344" spans="1:10" hidden="1" outlineLevel="1" x14ac:dyDescent="0.25">
      <c r="A5344" s="751" t="s">
        <v>1967</v>
      </c>
      <c r="B5344" s="944">
        <v>39965</v>
      </c>
      <c r="C5344" s="727">
        <v>100</v>
      </c>
      <c r="D5344" s="727">
        <v>72.471400000000003</v>
      </c>
      <c r="E5344" s="716">
        <v>-0.27528599999999992</v>
      </c>
      <c r="F5344" s="731">
        <v>-0.27528599999999992</v>
      </c>
      <c r="G5344" s="78"/>
      <c r="H5344" s="21"/>
    </row>
    <row r="5345" spans="1:9" hidden="1" outlineLevel="1" x14ac:dyDescent="0.25">
      <c r="A5345" s="751" t="s">
        <v>1968</v>
      </c>
      <c r="B5345" s="944">
        <v>40057</v>
      </c>
      <c r="C5345" s="727">
        <v>100</v>
      </c>
      <c r="D5345" s="727">
        <v>76.252200000000002</v>
      </c>
      <c r="E5345" s="716">
        <v>-0.23747799999999997</v>
      </c>
      <c r="F5345" s="731">
        <v>-0.23747799999999997</v>
      </c>
      <c r="G5345" s="78"/>
      <c r="H5345" s="21"/>
    </row>
    <row r="5346" spans="1:9" hidden="1" outlineLevel="1" x14ac:dyDescent="0.25">
      <c r="A5346" s="751" t="s">
        <v>1969</v>
      </c>
      <c r="B5346" s="944">
        <v>40148</v>
      </c>
      <c r="C5346" s="727">
        <v>100</v>
      </c>
      <c r="D5346" s="727">
        <v>80.471299999999999</v>
      </c>
      <c r="E5346" s="716">
        <v>-0.19528699999999999</v>
      </c>
      <c r="F5346" s="731">
        <v>-0.19528699999999999</v>
      </c>
      <c r="G5346" s="78"/>
      <c r="H5346" s="21"/>
    </row>
    <row r="5347" spans="1:9" hidden="1" outlineLevel="1" x14ac:dyDescent="0.25">
      <c r="A5347" s="751" t="s">
        <v>3292</v>
      </c>
      <c r="B5347" s="944">
        <v>40238</v>
      </c>
      <c r="C5347" s="727">
        <v>100</v>
      </c>
      <c r="D5347" s="727">
        <v>84.642300000000006</v>
      </c>
      <c r="E5347" s="716">
        <v>-0.15357699999999996</v>
      </c>
      <c r="F5347" s="731">
        <v>-0.15357699999999996</v>
      </c>
      <c r="G5347" s="78"/>
      <c r="H5347" s="84"/>
    </row>
    <row r="5348" spans="1:9" hidden="1" outlineLevel="1" x14ac:dyDescent="0.25">
      <c r="A5348" s="751" t="s">
        <v>3293</v>
      </c>
      <c r="B5348" s="944">
        <v>40330</v>
      </c>
      <c r="C5348" s="727">
        <v>100</v>
      </c>
      <c r="D5348" s="727">
        <v>77.500600000000006</v>
      </c>
      <c r="E5348" s="716">
        <v>-0.22499399999999992</v>
      </c>
      <c r="F5348" s="731">
        <v>-0.22499399999999992</v>
      </c>
      <c r="G5348" s="78"/>
      <c r="H5348" s="84"/>
    </row>
    <row r="5349" spans="1:9" hidden="1" outlineLevel="1" x14ac:dyDescent="0.25">
      <c r="A5349" s="751" t="s">
        <v>3294</v>
      </c>
      <c r="B5349" s="944">
        <v>40422</v>
      </c>
      <c r="C5349" s="727">
        <v>100</v>
      </c>
      <c r="D5349" s="727">
        <v>80.885599999999997</v>
      </c>
      <c r="E5349" s="716">
        <v>-0.19114399999999998</v>
      </c>
      <c r="F5349" s="731">
        <v>-0.19114399999999998</v>
      </c>
      <c r="G5349" s="78"/>
      <c r="H5349" s="84"/>
    </row>
    <row r="5350" spans="1:9" hidden="1" outlineLevel="1" x14ac:dyDescent="0.25">
      <c r="A5350" s="751" t="s">
        <v>3295</v>
      </c>
      <c r="B5350" s="944">
        <v>40513</v>
      </c>
      <c r="C5350" s="727">
        <v>100</v>
      </c>
      <c r="D5350" s="727">
        <v>84.571299999999994</v>
      </c>
      <c r="E5350" s="716">
        <v>-0.15428700000000006</v>
      </c>
      <c r="F5350" s="731">
        <v>-0.15428700000000006</v>
      </c>
      <c r="G5350" s="78"/>
      <c r="H5350" s="84"/>
    </row>
    <row r="5351" spans="1:9" hidden="1" outlineLevel="1" x14ac:dyDescent="0.25">
      <c r="A5351" s="751" t="s">
        <v>3296</v>
      </c>
      <c r="B5351" s="944">
        <v>40603</v>
      </c>
      <c r="C5351" s="727">
        <v>100</v>
      </c>
      <c r="D5351" s="727">
        <v>85.041899999999998</v>
      </c>
      <c r="E5351" s="716">
        <v>-0.14958099999999996</v>
      </c>
      <c r="F5351" s="731">
        <v>-0.14958099999999996</v>
      </c>
      <c r="G5351" s="78"/>
      <c r="H5351" s="84"/>
    </row>
    <row r="5352" spans="1:9" hidden="1" outlineLevel="1" x14ac:dyDescent="0.25">
      <c r="A5352" s="751" t="s">
        <v>3297</v>
      </c>
      <c r="B5352" s="944">
        <v>40695</v>
      </c>
      <c r="C5352" s="727">
        <v>100</v>
      </c>
      <c r="D5352" s="727">
        <v>83.0976</v>
      </c>
      <c r="E5352" s="716">
        <v>-0.16902399999999995</v>
      </c>
      <c r="F5352" s="731">
        <v>-0.16902399999999995</v>
      </c>
      <c r="G5352" s="78"/>
      <c r="H5352" s="84"/>
    </row>
    <row r="5353" spans="1:9" hidden="1" outlineLevel="1" x14ac:dyDescent="0.25">
      <c r="A5353" s="751" t="s">
        <v>3298</v>
      </c>
      <c r="B5353" s="944">
        <v>40787</v>
      </c>
      <c r="C5353" s="727">
        <v>100</v>
      </c>
      <c r="D5353" s="727">
        <v>74.540899999999993</v>
      </c>
      <c r="E5353" s="716">
        <v>-0.25459100000000001</v>
      </c>
      <c r="F5353" s="731">
        <v>-0.25459100000000001</v>
      </c>
      <c r="G5353" s="78"/>
      <c r="H5353" s="21"/>
    </row>
    <row r="5354" spans="1:9" hidden="1" outlineLevel="1" x14ac:dyDescent="0.25">
      <c r="A5354" s="751" t="s">
        <v>3299</v>
      </c>
      <c r="B5354" s="944">
        <v>40878</v>
      </c>
      <c r="C5354" s="727">
        <v>100</v>
      </c>
      <c r="D5354" s="727">
        <v>76.302899999999994</v>
      </c>
      <c r="E5354" s="716">
        <v>-0.23697100000000004</v>
      </c>
      <c r="F5354" s="731">
        <v>-0.23697100000000004</v>
      </c>
      <c r="G5354" s="78"/>
      <c r="H5354" s="21"/>
    </row>
    <row r="5355" spans="1:9" hidden="1" outlineLevel="1" x14ac:dyDescent="0.25">
      <c r="A5355" s="751" t="s">
        <v>3300</v>
      </c>
      <c r="B5355" s="944">
        <v>40969</v>
      </c>
      <c r="C5355" s="727">
        <v>100</v>
      </c>
      <c r="D5355" s="727">
        <v>82.3917</v>
      </c>
      <c r="E5355" s="716">
        <v>-0.17608299999999999</v>
      </c>
      <c r="F5355" s="731">
        <v>-0.17608299999999999</v>
      </c>
      <c r="G5355" s="78"/>
      <c r="H5355" s="21"/>
    </row>
    <row r="5356" spans="1:9" hidden="1" outlineLevel="1" x14ac:dyDescent="0.25">
      <c r="A5356" s="751" t="s">
        <v>2570</v>
      </c>
      <c r="B5356" s="944">
        <v>41061</v>
      </c>
      <c r="C5356" s="727">
        <v>100</v>
      </c>
      <c r="D5356" s="727">
        <v>80.019599999999997</v>
      </c>
      <c r="E5356" s="716">
        <v>-0.19980399999999998</v>
      </c>
      <c r="F5356" s="731">
        <v>-0.19980399999999998</v>
      </c>
      <c r="G5356" s="78"/>
      <c r="H5356" s="21"/>
    </row>
    <row r="5357" spans="1:9" hidden="1" outlineLevel="1" x14ac:dyDescent="0.25">
      <c r="A5357" s="751" t="s">
        <v>2561</v>
      </c>
      <c r="B5357" s="944">
        <v>41153</v>
      </c>
      <c r="C5357" s="727">
        <v>100</v>
      </c>
      <c r="D5357" s="727">
        <v>81.388999999999996</v>
      </c>
      <c r="E5357" s="716">
        <v>-0.18611</v>
      </c>
      <c r="F5357" s="731">
        <v>-0.18611</v>
      </c>
      <c r="G5357" s="78"/>
    </row>
    <row r="5358" spans="1:9" hidden="1" outlineLevel="1" x14ac:dyDescent="0.25">
      <c r="A5358" s="751" t="s">
        <v>2562</v>
      </c>
      <c r="B5358" s="944">
        <v>41244</v>
      </c>
      <c r="C5358" s="727">
        <v>100</v>
      </c>
      <c r="D5358" s="727">
        <v>84.045299999999997</v>
      </c>
      <c r="E5358" s="716">
        <v>-0.15954699999999999</v>
      </c>
      <c r="F5358" s="731">
        <v>-0.15954699999999999</v>
      </c>
      <c r="G5358" s="78"/>
    </row>
    <row r="5359" spans="1:9" hidden="1" outlineLevel="1" x14ac:dyDescent="0.25">
      <c r="A5359" s="751" t="s">
        <v>2563</v>
      </c>
      <c r="B5359" s="944">
        <v>41334</v>
      </c>
      <c r="C5359" s="727">
        <v>100</v>
      </c>
      <c r="D5359" s="727">
        <v>90.553200000000004</v>
      </c>
      <c r="E5359" s="716">
        <v>-9.4467999999999996E-2</v>
      </c>
      <c r="F5359" s="731">
        <v>-9.4467999999999996E-2</v>
      </c>
      <c r="G5359" s="78"/>
      <c r="H5359" s="412" t="s">
        <v>1837</v>
      </c>
    </row>
    <row r="5360" spans="1:9" hidden="1" outlineLevel="1" x14ac:dyDescent="0.25">
      <c r="A5360" s="751" t="s">
        <v>2564</v>
      </c>
      <c r="B5360" s="944">
        <v>41426</v>
      </c>
      <c r="C5360" s="727">
        <v>100</v>
      </c>
      <c r="D5360" s="727">
        <v>93.8125</v>
      </c>
      <c r="E5360" s="716">
        <v>-6.1875000000000013E-2</v>
      </c>
      <c r="F5360" s="731">
        <v>-6.1875000000000013E-2</v>
      </c>
      <c r="G5360" s="78"/>
      <c r="H5360" s="261">
        <v>-0.18493740909090903</v>
      </c>
      <c r="I5360" s="406"/>
    </row>
    <row r="5361" spans="1:9" hidden="1" outlineLevel="1" x14ac:dyDescent="0.25">
      <c r="A5361" s="749"/>
      <c r="B5361" s="750"/>
      <c r="C5361" s="727"/>
      <c r="D5361" s="727"/>
      <c r="E5361" s="720"/>
      <c r="F5361" s="731"/>
      <c r="G5361" s="78"/>
    </row>
    <row r="5362" spans="1:9" collapsed="1" x14ac:dyDescent="0.25">
      <c r="A5362" s="3801" t="s">
        <v>4118</v>
      </c>
      <c r="B5362" s="3802"/>
      <c r="C5362" s="3802"/>
      <c r="D5362" s="3802"/>
      <c r="E5362" s="721"/>
      <c r="F5362" s="722">
        <v>0</v>
      </c>
      <c r="G5362" s="97" t="s">
        <v>781</v>
      </c>
    </row>
    <row r="5364" spans="1:9" hidden="1" outlineLevel="1" x14ac:dyDescent="0.25">
      <c r="A5364" s="689" t="s">
        <v>113</v>
      </c>
      <c r="B5364" s="689" t="s">
        <v>114</v>
      </c>
      <c r="C5364" s="689" t="s">
        <v>112</v>
      </c>
      <c r="D5364" s="689" t="s">
        <v>116</v>
      </c>
      <c r="E5364" s="689" t="s">
        <v>117</v>
      </c>
      <c r="F5364" s="1188" t="s">
        <v>121</v>
      </c>
      <c r="G5364" s="78"/>
    </row>
    <row r="5365" spans="1:9" hidden="1" outlineLevel="1" x14ac:dyDescent="0.25">
      <c r="A5365" s="690">
        <v>1</v>
      </c>
      <c r="B5365" s="691" t="s">
        <v>252</v>
      </c>
      <c r="C5365" s="692">
        <v>100</v>
      </c>
      <c r="D5365" s="692"/>
      <c r="E5365" s="693"/>
      <c r="F5365" s="694"/>
      <c r="G5365" s="78"/>
    </row>
    <row r="5366" spans="1:9" hidden="1" outlineLevel="1" x14ac:dyDescent="0.25">
      <c r="A5366" s="695"/>
      <c r="B5366" s="695"/>
      <c r="C5366" s="696"/>
      <c r="D5366" s="697" t="s">
        <v>3702</v>
      </c>
      <c r="E5366" s="698">
        <f>indexy!$B$2</f>
        <v>45379</v>
      </c>
      <c r="F5366" s="699"/>
      <c r="G5366" s="78"/>
    </row>
    <row r="5367" spans="1:9" hidden="1" outlineLevel="1" x14ac:dyDescent="0.25">
      <c r="A5367" s="689" t="s">
        <v>4156</v>
      </c>
      <c r="B5367" s="689" t="s">
        <v>4153</v>
      </c>
      <c r="C5367" s="497" t="s">
        <v>112</v>
      </c>
      <c r="D5367" s="495" t="s">
        <v>4155</v>
      </c>
      <c r="E5367" s="689" t="s">
        <v>4154</v>
      </c>
      <c r="F5367" s="1021" t="s">
        <v>2519</v>
      </c>
      <c r="G5367" s="78"/>
    </row>
    <row r="5368" spans="1:9" hidden="1" outlineLevel="1" x14ac:dyDescent="0.25">
      <c r="A5368" s="999">
        <v>0.04</v>
      </c>
      <c r="B5368" s="1000" t="s">
        <v>1993</v>
      </c>
      <c r="C5368" s="1007">
        <v>77.613</v>
      </c>
      <c r="D5368" s="803">
        <f>VLOOKUP(H5368,indexy!$C$44:$D$252,2,FALSE)+VLOOKUP(I5368,indexy!C:D,2,0)</f>
        <v>135.24</v>
      </c>
      <c r="E5368" s="705">
        <f>D5368/C5368-1</f>
        <v>0.74249159290325095</v>
      </c>
      <c r="F5368" s="1021">
        <f>E5368*A5368</f>
        <v>2.9699663716130038E-2</v>
      </c>
      <c r="G5368" s="78"/>
      <c r="H5368" t="str">
        <f>VLOOKUP(B5368,indexy!$A$44:$D$234,3,FALSE)</f>
        <v>MO UN Equity</v>
      </c>
      <c r="I5368" s="39" t="s">
        <v>3533</v>
      </c>
    </row>
    <row r="5369" spans="1:9" hidden="1" outlineLevel="1" x14ac:dyDescent="0.25">
      <c r="A5369" s="1002">
        <v>0.04</v>
      </c>
      <c r="B5369" s="987" t="s">
        <v>2984</v>
      </c>
      <c r="C5369" s="1008">
        <v>14.88</v>
      </c>
      <c r="D5369" s="908">
        <f>VLOOKUP(H5369,indexy!$C$44:$D$252,2,FALSE)</f>
        <v>11.04</v>
      </c>
      <c r="E5369" s="709">
        <f t="shared" ref="E5369:E5397" si="184">D5369/C5369-1</f>
        <v>-0.25806451612903236</v>
      </c>
      <c r="F5369" s="946">
        <f t="shared" ref="F5369:F5397" si="185">E5369*A5369</f>
        <v>-1.0322580645161296E-2</v>
      </c>
      <c r="G5369" s="78"/>
      <c r="H5369" t="str">
        <f>VLOOKUP(B5369,indexy!$A$44:$D$234,3,FALSE)</f>
        <v>BBVA SM Equity</v>
      </c>
    </row>
    <row r="5370" spans="1:9" hidden="1" outlineLevel="1" x14ac:dyDescent="0.25">
      <c r="A5370" s="1002">
        <v>0.03</v>
      </c>
      <c r="B5370" s="996" t="s">
        <v>157</v>
      </c>
      <c r="C5370" s="1008">
        <v>13.066000000000001</v>
      </c>
      <c r="D5370" s="908">
        <f>VLOOKUP(H5370,indexy!$C$44:$D$252,2,FALSE)</f>
        <v>4.5214999999999996</v>
      </c>
      <c r="E5370" s="709">
        <f t="shared" si="184"/>
        <v>-0.65394918108066746</v>
      </c>
      <c r="F5370" s="946">
        <f t="shared" si="185"/>
        <v>-1.9618475432420023E-2</v>
      </c>
      <c r="G5370" s="78"/>
      <c r="H5370" t="str">
        <f>VLOOKUP(B5370,indexy!$A$44:$D$234,3,FALSE)</f>
        <v>SAN SM Equity</v>
      </c>
    </row>
    <row r="5371" spans="1:9" hidden="1" outlineLevel="1" x14ac:dyDescent="0.25">
      <c r="A5371" s="1002">
        <v>0.05</v>
      </c>
      <c r="B5371" s="996" t="s">
        <v>1184</v>
      </c>
      <c r="C5371" s="1008">
        <f>97.409/2</f>
        <v>48.704500000000003</v>
      </c>
      <c r="D5371" s="908">
        <f>VLOOKUP(H5371,indexy!$C$44:$D$252,2,FALSE)</f>
        <v>52.93</v>
      </c>
      <c r="E5371" s="709">
        <f t="shared" si="184"/>
        <v>8.6757897114229543E-2</v>
      </c>
      <c r="F5371" s="946">
        <f t="shared" si="185"/>
        <v>4.3378948557114775E-3</v>
      </c>
      <c r="G5371" s="78"/>
      <c r="H5371" t="str">
        <f>VLOOKUP(B5371,indexy!$A$44:$D$234,3,FALSE)</f>
        <v>BAS GY Equity</v>
      </c>
    </row>
    <row r="5372" spans="1:9" hidden="1" outlineLevel="1" x14ac:dyDescent="0.25">
      <c r="A5372" s="1002">
        <v>0.03</v>
      </c>
      <c r="B5372" s="996" t="s">
        <v>901</v>
      </c>
      <c r="C5372" s="1008">
        <v>1932.5</v>
      </c>
      <c r="D5372" s="908">
        <f>VLOOKUP(H5372,indexy!$C$44:$D$252,2,FALSE)</f>
        <v>2406</v>
      </c>
      <c r="E5372" s="709">
        <f t="shared" si="184"/>
        <v>0.24501940491591201</v>
      </c>
      <c r="F5372" s="946">
        <f t="shared" si="185"/>
        <v>7.3505821474773598E-3</v>
      </c>
      <c r="G5372" s="78"/>
      <c r="H5372" t="str">
        <f>VLOOKUP(B5372,indexy!$A$44:$D$234,3,FALSE)</f>
        <v>BATS LN Equity</v>
      </c>
    </row>
    <row r="5373" spans="1:9" hidden="1" outlineLevel="1" x14ac:dyDescent="0.25">
      <c r="A5373" s="1002">
        <v>0.03</v>
      </c>
      <c r="B5373" s="996" t="s">
        <v>1847</v>
      </c>
      <c r="C5373" s="1008">
        <f>26.733*10</f>
        <v>267.33</v>
      </c>
      <c r="D5373" s="908">
        <f>VLOOKUP(H5373,indexy!$C$44:$D$252,2,FALSE)</f>
        <v>63.24</v>
      </c>
      <c r="E5373" s="709">
        <f t="shared" si="184"/>
        <v>-0.76343844686342721</v>
      </c>
      <c r="F5373" s="946">
        <f t="shared" si="185"/>
        <v>-2.2903153405902814E-2</v>
      </c>
      <c r="G5373" s="78"/>
      <c r="H5373" t="str">
        <f>VLOOKUP(B5373,indexy!$A$44:$D$234,3,FALSE)</f>
        <v>C UN Equity</v>
      </c>
    </row>
    <row r="5374" spans="1:9" hidden="1" outlineLevel="1" x14ac:dyDescent="0.25">
      <c r="A5374" s="1002">
        <v>0.02</v>
      </c>
      <c r="B5374" s="996" t="s">
        <v>1212</v>
      </c>
      <c r="C5374" s="1008">
        <v>60.344999999999999</v>
      </c>
      <c r="D5374" s="908" t="e">
        <f>VLOOKUP(H5374,indexy!$C$44:$D$252,2,FALSE)</f>
        <v>#N/A</v>
      </c>
      <c r="E5374" s="709" t="e">
        <f t="shared" si="184"/>
        <v>#N/A</v>
      </c>
      <c r="F5374" s="946" t="e">
        <f t="shared" si="185"/>
        <v>#N/A</v>
      </c>
      <c r="G5374" s="78"/>
      <c r="H5374" t="e">
        <f>VLOOKUP(B5374,indexy!$A$44:$D$234,3,FALSE)</f>
        <v>#N/A</v>
      </c>
    </row>
    <row r="5375" spans="1:9" hidden="1" outlineLevel="1" x14ac:dyDescent="0.25">
      <c r="A5375" s="1002">
        <v>0.02</v>
      </c>
      <c r="B5375" s="743" t="s">
        <v>3406</v>
      </c>
      <c r="C5375" s="1008">
        <v>1017.85</v>
      </c>
      <c r="D5375" s="908">
        <f>VLOOKUP(H5375,indexy!$C$44:$D$252,2,FALSE)</f>
        <v>2925.5</v>
      </c>
      <c r="E5375" s="709">
        <f t="shared" si="184"/>
        <v>1.8741956083902345</v>
      </c>
      <c r="F5375" s="946">
        <f t="shared" si="185"/>
        <v>3.7483912167804688E-2</v>
      </c>
      <c r="G5375" s="78"/>
      <c r="H5375" t="str">
        <f>VLOOKUP(B5375,indexy!$A$44:$D$234,3,FALSE)</f>
        <v>DGE LN Equity</v>
      </c>
    </row>
    <row r="5376" spans="1:9" hidden="1" outlineLevel="1" x14ac:dyDescent="0.25">
      <c r="A5376" s="1002">
        <v>0.03</v>
      </c>
      <c r="B5376" s="939" t="s">
        <v>1231</v>
      </c>
      <c r="C5376" s="1008">
        <v>19.844999999999999</v>
      </c>
      <c r="D5376" s="908">
        <f>VLOOKUP(H5376,indexy!$C$44:$D$252,2,FALSE)</f>
        <v>96.71</v>
      </c>
      <c r="E5376" s="709">
        <f t="shared" si="184"/>
        <v>3.873267825648778</v>
      </c>
      <c r="F5376" s="946">
        <f t="shared" si="185"/>
        <v>0.11619803476946333</v>
      </c>
      <c r="G5376" s="78"/>
      <c r="H5376" t="str">
        <f>VLOOKUP(B5376,indexy!$A$44:$D$234,3,FALSE)</f>
        <v>DUK UN Equity</v>
      </c>
    </row>
    <row r="5377" spans="1:8" hidden="1" outlineLevel="1" x14ac:dyDescent="0.25">
      <c r="A5377" s="1002">
        <v>0.02</v>
      </c>
      <c r="B5377" s="996" t="s">
        <v>4387</v>
      </c>
      <c r="C5377" s="1008">
        <f>145.913/3</f>
        <v>48.637666666666668</v>
      </c>
      <c r="D5377" s="908">
        <f>VLOOKUP(H5377,indexy!$C$44:$D$252,2,FALSE)</f>
        <v>12.885</v>
      </c>
      <c r="E5377" s="709">
        <f t="shared" si="184"/>
        <v>-0.73508186385037666</v>
      </c>
      <c r="F5377" s="946">
        <f t="shared" si="185"/>
        <v>-1.4701637277007533E-2</v>
      </c>
      <c r="G5377" s="78"/>
      <c r="H5377" t="str">
        <f>VLOOKUP(B5377,indexy!$A$44:$D$234,3,FALSE)</f>
        <v>EOAN GY Equity</v>
      </c>
    </row>
    <row r="5378" spans="1:8" hidden="1" outlineLevel="1" x14ac:dyDescent="0.25">
      <c r="A5378" s="1002">
        <v>0.04</v>
      </c>
      <c r="B5378" s="996" t="s">
        <v>4064</v>
      </c>
      <c r="C5378" s="1008">
        <v>55.718000000000004</v>
      </c>
      <c r="D5378" s="908">
        <f>VLOOKUP(H5378,indexy!$C$44:$D$252,2,FALSE)</f>
        <v>777.96</v>
      </c>
      <c r="E5378" s="709">
        <f t="shared" si="184"/>
        <v>12.962453785132274</v>
      </c>
      <c r="F5378" s="946">
        <f t="shared" si="185"/>
        <v>0.51849815140529099</v>
      </c>
      <c r="G5378" s="78"/>
      <c r="H5378" t="str">
        <f>VLOOKUP(B5378,indexy!$A$44:$D$234,3,FALSE)</f>
        <v>LLY UN Equity</v>
      </c>
    </row>
    <row r="5379" spans="1:8" hidden="1" outlineLevel="1" x14ac:dyDescent="0.25">
      <c r="A5379" s="1002">
        <v>0.06</v>
      </c>
      <c r="B5379" s="996" t="s">
        <v>3798</v>
      </c>
      <c r="C5379" s="1008">
        <v>7.9870000000000001</v>
      </c>
      <c r="D5379" s="908">
        <f>VLOOKUP(H5379,indexy!$C$44:$D$252,2,FALSE)</f>
        <v>6.1189999999999998</v>
      </c>
      <c r="E5379" s="709">
        <f t="shared" si="184"/>
        <v>-0.23388005508952048</v>
      </c>
      <c r="F5379" s="946">
        <f t="shared" si="185"/>
        <v>-1.4032803305371228E-2</v>
      </c>
      <c r="G5379" s="78"/>
      <c r="H5379" t="str">
        <f>VLOOKUP(B5379,indexy!$A$44:$D$234,3,FALSE)</f>
        <v>ENEL IM Equity</v>
      </c>
    </row>
    <row r="5380" spans="1:8" hidden="1" outlineLevel="1" x14ac:dyDescent="0.25">
      <c r="A5380" s="1002">
        <v>0.03</v>
      </c>
      <c r="B5380" s="996" t="s">
        <v>4268</v>
      </c>
      <c r="C5380" s="1008">
        <v>28.89</v>
      </c>
      <c r="D5380" s="908">
        <f>VLOOKUP(H5380,indexy!$C$44:$D$252,2,FALSE)</f>
        <v>11.445</v>
      </c>
      <c r="E5380" s="709">
        <f t="shared" si="184"/>
        <v>-0.60384215991692625</v>
      </c>
      <c r="F5380" s="946">
        <f t="shared" si="185"/>
        <v>-1.8115264797507788E-2</v>
      </c>
      <c r="G5380" s="78"/>
      <c r="H5380" t="str">
        <f>VLOOKUP(B5380,indexy!$A$44:$D$234,3,FALSE)</f>
        <v>FORTUM FH Equity</v>
      </c>
    </row>
    <row r="5381" spans="1:8" hidden="1" outlineLevel="1" x14ac:dyDescent="0.25">
      <c r="A5381" s="1002">
        <v>0.04</v>
      </c>
      <c r="B5381" s="743" t="s">
        <v>3407</v>
      </c>
      <c r="C5381" s="1008">
        <v>34.838999999999999</v>
      </c>
      <c r="D5381" s="908">
        <f>VLOOKUP(H5381,indexy!$C$44:$D$252,2,FALSE)</f>
        <v>139.9906</v>
      </c>
      <c r="E5381" s="709">
        <f t="shared" si="184"/>
        <v>3.0182152185768825</v>
      </c>
      <c r="F5381" s="946">
        <f t="shared" si="185"/>
        <v>0.1207286087430753</v>
      </c>
      <c r="G5381" s="78"/>
      <c r="H5381" t="str">
        <f>VLOOKUP(B5381,indexy!$A$44:$D$234,3,FALSE)</f>
        <v>GE UN Equity</v>
      </c>
    </row>
    <row r="5382" spans="1:8" hidden="1" outlineLevel="1" x14ac:dyDescent="0.25">
      <c r="A5382" s="1002">
        <v>0.04</v>
      </c>
      <c r="B5382" s="996" t="s">
        <v>1771</v>
      </c>
      <c r="C5382" s="1008">
        <v>785.45</v>
      </c>
      <c r="D5382" s="908">
        <f>VLOOKUP(H5382,indexy!$C$44:$D$252,2,FALSE)</f>
        <v>619</v>
      </c>
      <c r="E5382" s="709">
        <f t="shared" si="184"/>
        <v>-0.21191673562925717</v>
      </c>
      <c r="F5382" s="946">
        <f t="shared" si="185"/>
        <v>-8.476669425170287E-3</v>
      </c>
      <c r="G5382" s="78"/>
      <c r="H5382" t="str">
        <f>VLOOKUP(B5382,indexy!$A$44:$D$234,3,FALSE)</f>
        <v>HSBA LN Equity</v>
      </c>
    </row>
    <row r="5383" spans="1:8" hidden="1" outlineLevel="1" x14ac:dyDescent="0.25">
      <c r="A5383" s="1002">
        <v>0.06</v>
      </c>
      <c r="B5383" s="743" t="s">
        <v>2588</v>
      </c>
      <c r="C5383" s="1008">
        <v>24.864000000000001</v>
      </c>
      <c r="D5383" s="908">
        <f>VLOOKUP(H5383,indexy!$C$44:$D$252,2,FALSE)</f>
        <v>15.246</v>
      </c>
      <c r="E5383" s="709">
        <f t="shared" si="184"/>
        <v>-0.38682432432432434</v>
      </c>
      <c r="F5383" s="946">
        <f t="shared" si="185"/>
        <v>-2.3209459459459458E-2</v>
      </c>
      <c r="G5383" s="78"/>
      <c r="H5383" t="str">
        <f>VLOOKUP(B5383,indexy!$A$44:$D$234,3,FALSE)</f>
        <v>INGA NA Equity</v>
      </c>
    </row>
    <row r="5384" spans="1:8" hidden="1" outlineLevel="1" x14ac:dyDescent="0.25">
      <c r="A5384" s="1002">
        <v>0.02</v>
      </c>
      <c r="B5384" s="996" t="s">
        <v>4376</v>
      </c>
      <c r="C5384" s="1008">
        <v>40.451999999999998</v>
      </c>
      <c r="D5384" s="908">
        <f>VLOOKUP(H5384,indexy!$C$44:$D$252,2,FALSE)</f>
        <v>200.3</v>
      </c>
      <c r="E5384" s="709">
        <f t="shared" si="184"/>
        <v>3.9515475131019482</v>
      </c>
      <c r="F5384" s="946">
        <f t="shared" si="185"/>
        <v>7.9030950262038963E-2</v>
      </c>
      <c r="G5384" s="78"/>
      <c r="H5384" t="str">
        <f>VLOOKUP(B5384,indexy!$A$44:$D$234,3,FALSE)</f>
        <v>JPM UN Equity</v>
      </c>
    </row>
    <row r="5385" spans="1:8" hidden="1" outlineLevel="1" x14ac:dyDescent="0.25">
      <c r="A5385" s="1002">
        <v>0.03</v>
      </c>
      <c r="B5385" s="740" t="s">
        <v>1905</v>
      </c>
      <c r="C5385" s="1008">
        <v>57.695</v>
      </c>
      <c r="D5385" s="908">
        <f>VLOOKUP(H5385,indexy!$C$44:$D$252,2,FALSE)</f>
        <v>131.94999999999999</v>
      </c>
      <c r="E5385" s="709">
        <f t="shared" si="184"/>
        <v>1.2870266054250799</v>
      </c>
      <c r="F5385" s="946">
        <f t="shared" si="185"/>
        <v>3.8610798162752397E-2</v>
      </c>
      <c r="G5385" s="78"/>
      <c r="H5385" t="str">
        <f>VLOOKUP(B5385,indexy!$A$44:$D$234,3,FALSE)</f>
        <v>MRK UN Equity</v>
      </c>
    </row>
    <row r="5386" spans="1:8" hidden="1" outlineLevel="1" x14ac:dyDescent="0.25">
      <c r="A5386" s="1002">
        <v>0.04</v>
      </c>
      <c r="B5386" s="743" t="s">
        <v>459</v>
      </c>
      <c r="C5386" s="1008">
        <v>1045.7</v>
      </c>
      <c r="D5386" s="908">
        <f>VLOOKUP(H5386,indexy!$C$44:$D$252,2,FALSE)</f>
        <v>597.20000000000005</v>
      </c>
      <c r="E5386" s="709">
        <f t="shared" si="184"/>
        <v>-0.42889930190303149</v>
      </c>
      <c r="F5386" s="946">
        <f t="shared" si="185"/>
        <v>-1.7155972076121261E-2</v>
      </c>
      <c r="G5386" s="78"/>
      <c r="H5386" t="str">
        <f>VLOOKUP(B5386,indexy!$A$44:$D$234,3,FALSE)</f>
        <v>7201 JT Equity</v>
      </c>
    </row>
    <row r="5387" spans="1:8" hidden="1" outlineLevel="1" x14ac:dyDescent="0.25">
      <c r="A5387" s="1002">
        <v>0.02</v>
      </c>
      <c r="B5387" s="996" t="s">
        <v>2787</v>
      </c>
      <c r="C5387" s="1008">
        <v>61.96</v>
      </c>
      <c r="D5387" s="908">
        <f>VLOOKUP(H5387,indexy!$C$44:$D$252,2,FALSE)</f>
        <v>87.37</v>
      </c>
      <c r="E5387" s="709">
        <f t="shared" si="184"/>
        <v>0.41010329244673982</v>
      </c>
      <c r="F5387" s="946">
        <f t="shared" si="185"/>
        <v>8.2020658489347972E-3</v>
      </c>
      <c r="G5387" s="78"/>
      <c r="H5387" t="str">
        <f>VLOOKUP(B5387,indexy!$A$44:$D$234,3,FALSE)</f>
        <v>NOVN SE Equity</v>
      </c>
    </row>
    <row r="5388" spans="1:8" hidden="1" outlineLevel="1" x14ac:dyDescent="0.25">
      <c r="A5388" s="1002">
        <v>0.04</v>
      </c>
      <c r="B5388" s="939" t="s">
        <v>1414</v>
      </c>
      <c r="C5388" s="1008">
        <v>23.405999999999999</v>
      </c>
      <c r="D5388" s="908">
        <f>VLOOKUP(H5388,indexy!$C$44:$D$252,2,FALSE)</f>
        <v>27.75</v>
      </c>
      <c r="E5388" s="709">
        <f t="shared" si="184"/>
        <v>0.18559343758010782</v>
      </c>
      <c r="F5388" s="946">
        <f t="shared" si="185"/>
        <v>7.423737503204313E-3</v>
      </c>
      <c r="G5388" s="78"/>
      <c r="H5388" t="str">
        <f>VLOOKUP(B5388,indexy!$A$44:$D$234,3,FALSE)</f>
        <v>PFE UN Equity</v>
      </c>
    </row>
    <row r="5389" spans="1:8" hidden="1" outlineLevel="1" x14ac:dyDescent="0.25">
      <c r="A5389" s="1002">
        <v>0.02</v>
      </c>
      <c r="B5389" s="996" t="s">
        <v>1653</v>
      </c>
      <c r="C5389" s="1008">
        <v>12.491</v>
      </c>
      <c r="D5389" s="908">
        <f>VLOOKUP(H5389,indexy!$C$44:$D$252,2,FALSE)</f>
        <v>40.15</v>
      </c>
      <c r="E5389" s="709">
        <f t="shared" si="184"/>
        <v>2.2143143063005364</v>
      </c>
      <c r="F5389" s="946">
        <f t="shared" si="185"/>
        <v>4.4286286126010731E-2</v>
      </c>
      <c r="G5389" s="78"/>
      <c r="H5389" t="str">
        <f>VLOOKUP(B5389,indexy!$A$44:$D$234,3,FALSE)</f>
        <v>REN NA Equity</v>
      </c>
    </row>
    <row r="5390" spans="1:8" hidden="1" outlineLevel="1" x14ac:dyDescent="0.25">
      <c r="A5390" s="1002">
        <v>0.04</v>
      </c>
      <c r="B5390" s="996" t="s">
        <v>3424</v>
      </c>
      <c r="C5390" s="1008">
        <f>67.226/2</f>
        <v>33.613</v>
      </c>
      <c r="D5390" s="908">
        <f>VLOOKUP(H5390,indexy!$C$44:$D$252,2,FALSE)</f>
        <v>65.400000000000006</v>
      </c>
      <c r="E5390" s="709">
        <f t="shared" si="184"/>
        <v>0.94567578020408782</v>
      </c>
      <c r="F5390" s="946">
        <f t="shared" si="185"/>
        <v>3.7827031208163511E-2</v>
      </c>
      <c r="G5390" s="78"/>
      <c r="H5390" t="str">
        <f>VLOOKUP(B5390,indexy!$A$44:$D$234,3,FALSE)</f>
        <v>RAI UN Equity</v>
      </c>
    </row>
    <row r="5391" spans="1:8" hidden="1" outlineLevel="1" x14ac:dyDescent="0.25">
      <c r="A5391" s="1002">
        <v>0.03</v>
      </c>
      <c r="B5391" s="996" t="s">
        <v>3800</v>
      </c>
      <c r="C5391" s="1008">
        <v>202.37</v>
      </c>
      <c r="D5391" s="908">
        <f>VLOOKUP(H5391,indexy!$C$44:$D$252,2,FALSE)</f>
        <v>229.7</v>
      </c>
      <c r="E5391" s="709">
        <f t="shared" si="184"/>
        <v>0.13504966151109343</v>
      </c>
      <c r="F5391" s="946">
        <f t="shared" si="185"/>
        <v>4.051489845332803E-3</v>
      </c>
      <c r="G5391" s="78"/>
      <c r="H5391" t="str">
        <f>VLOOKUP(B5391,indexy!$A$44:$D$234,3,FALSE)</f>
        <v>ROG SE Equity</v>
      </c>
    </row>
    <row r="5392" spans="1:8" hidden="1" outlineLevel="1" x14ac:dyDescent="0.25">
      <c r="A5392" s="1002">
        <v>0.03</v>
      </c>
      <c r="B5392" s="743" t="s">
        <v>3801</v>
      </c>
      <c r="C5392" s="1008">
        <v>95.179000000000002</v>
      </c>
      <c r="D5392" s="908">
        <f>VLOOKUP(H5392,indexy!$C$44:$D$252,2,FALSE)</f>
        <v>31.46</v>
      </c>
      <c r="E5392" s="709">
        <f t="shared" si="184"/>
        <v>-0.66946490297229433</v>
      </c>
      <c r="F5392" s="946">
        <f t="shared" si="185"/>
        <v>-2.008394708916883E-2</v>
      </c>
      <c r="G5392" s="78"/>
      <c r="H5392" t="str">
        <f>VLOOKUP(B5392,indexy!$A$44:$D$234,3,FALSE)</f>
        <v>RWE GY Equity</v>
      </c>
    </row>
    <row r="5393" spans="1:8" hidden="1" outlineLevel="1" x14ac:dyDescent="0.25">
      <c r="A5393" s="1002">
        <v>0.02</v>
      </c>
      <c r="B5393" s="743" t="s">
        <v>231</v>
      </c>
      <c r="C5393" s="1008">
        <v>60.258000000000003</v>
      </c>
      <c r="D5393" s="908" t="e">
        <f>VLOOKUP(H5393,indexy!$C$44:$D$252,2,FALSE)</f>
        <v>#N/A</v>
      </c>
      <c r="E5393" s="709" t="e">
        <f t="shared" si="184"/>
        <v>#N/A</v>
      </c>
      <c r="F5393" s="946" t="e">
        <f t="shared" si="185"/>
        <v>#N/A</v>
      </c>
      <c r="G5393" s="78"/>
      <c r="H5393" t="e">
        <f>VLOOKUP(B5393,indexy!$A$44:$D$234,3,FALSE)</f>
        <v>#N/A</v>
      </c>
    </row>
    <row r="5394" spans="1:8" hidden="1" outlineLevel="1" x14ac:dyDescent="0.25">
      <c r="A5394" s="1002">
        <v>0.02</v>
      </c>
      <c r="B5394" s="743" t="s">
        <v>3902</v>
      </c>
      <c r="C5394" s="1008">
        <v>101.72499999999999</v>
      </c>
      <c r="D5394" s="908" t="e">
        <f>VLOOKUP(H5394,indexy!$C$44:$D$252,2,FALSE)</f>
        <v>#N/A</v>
      </c>
      <c r="E5394" s="709" t="e">
        <f t="shared" si="184"/>
        <v>#N/A</v>
      </c>
      <c r="F5394" s="946" t="e">
        <f t="shared" si="185"/>
        <v>#N/A</v>
      </c>
      <c r="G5394" s="78"/>
      <c r="H5394" t="e">
        <f>VLOOKUP(B5394,indexy!$A$44:$D$234,3,FALSE)</f>
        <v>#N/A</v>
      </c>
    </row>
    <row r="5395" spans="1:8" hidden="1" outlineLevel="1" x14ac:dyDescent="0.25">
      <c r="A5395" s="1002">
        <v>0.03</v>
      </c>
      <c r="B5395" s="743" t="s">
        <v>577</v>
      </c>
      <c r="C5395" s="1008">
        <v>21.922000000000001</v>
      </c>
      <c r="D5395" s="908">
        <f>VLOOKUP(H5395,indexy!$C$44:$D$252,2,FALSE)</f>
        <v>4.0890000000000004</v>
      </c>
      <c r="E5395" s="709">
        <f t="shared" si="184"/>
        <v>-0.81347504789708969</v>
      </c>
      <c r="F5395" s="946">
        <f t="shared" si="185"/>
        <v>-2.4404251436912688E-2</v>
      </c>
      <c r="G5395" s="78"/>
      <c r="H5395" t="str">
        <f>VLOOKUP(B5395,indexy!$A$44:$D$234,3,FALSE)</f>
        <v>TEF SQ Equity</v>
      </c>
    </row>
    <row r="5396" spans="1:8" hidden="1" outlineLevel="1" x14ac:dyDescent="0.25">
      <c r="A5396" s="1002">
        <v>0.04</v>
      </c>
      <c r="B5396" s="743" t="s">
        <v>1183</v>
      </c>
      <c r="C5396" s="1008">
        <v>55.668999999999997</v>
      </c>
      <c r="D5396" s="908" t="e">
        <f>VLOOKUP(H5396,indexy!$C$44:$D$252,2,FALSE)</f>
        <v>#N/A</v>
      </c>
      <c r="E5396" s="709" t="e">
        <f t="shared" si="184"/>
        <v>#N/A</v>
      </c>
      <c r="F5396" s="946" t="e">
        <f t="shared" si="185"/>
        <v>#N/A</v>
      </c>
      <c r="G5396" s="78"/>
      <c r="H5396" t="e">
        <f>VLOOKUP(B5396,indexy!$A$44:$D$234,3,FALSE)</f>
        <v>#N/A</v>
      </c>
    </row>
    <row r="5397" spans="1:8" hidden="1" outlineLevel="1" x14ac:dyDescent="0.25">
      <c r="A5397" s="1002">
        <v>0.04</v>
      </c>
      <c r="B5397" s="997" t="s">
        <v>3903</v>
      </c>
      <c r="C5397" s="1008">
        <v>12.446</v>
      </c>
      <c r="D5397" s="1008">
        <f>VLOOKUP(H5397,indexy!$C$44:$D$252,2,FALSE)</f>
        <v>30.87</v>
      </c>
      <c r="E5397" s="709">
        <f t="shared" si="184"/>
        <v>1.4803149606299213</v>
      </c>
      <c r="F5397" s="946">
        <f t="shared" si="185"/>
        <v>5.9212598425196855E-2</v>
      </c>
      <c r="G5397" s="78"/>
      <c r="H5397" t="str">
        <f>VLOOKUP(B5397,indexy!$A$44:$D$234,3,FALSE)</f>
        <v>UPM FH Equity</v>
      </c>
    </row>
    <row r="5398" spans="1:8" hidden="1" outlineLevel="1" x14ac:dyDescent="0.25">
      <c r="A5398" s="1099"/>
      <c r="B5398" s="1000"/>
      <c r="C5398" s="736"/>
      <c r="D5398" s="736"/>
      <c r="E5398" s="895"/>
      <c r="F5398" s="1021" t="e">
        <f>SUM(F5368:F5397)</f>
        <v>#N/A</v>
      </c>
      <c r="G5398" s="78"/>
    </row>
    <row r="5399" spans="1:8" hidden="1" outlineLevel="1" x14ac:dyDescent="0.25">
      <c r="A5399" s="751" t="s">
        <v>1051</v>
      </c>
      <c r="B5399" s="944">
        <v>39508</v>
      </c>
      <c r="C5399" s="719">
        <v>100</v>
      </c>
      <c r="D5399" s="719">
        <v>90.251000000000005</v>
      </c>
      <c r="E5399" s="720">
        <f>IF(D5399="",E5398,D5399/C5399-1)</f>
        <v>-9.7489999999999966E-2</v>
      </c>
      <c r="F5399" s="731">
        <f>E5399</f>
        <v>-9.7489999999999966E-2</v>
      </c>
      <c r="G5399" s="78"/>
    </row>
    <row r="5400" spans="1:8" hidden="1" outlineLevel="1" x14ac:dyDescent="0.25">
      <c r="A5400" s="751" t="s">
        <v>1052</v>
      </c>
      <c r="B5400" s="944">
        <v>39600</v>
      </c>
      <c r="C5400" s="727">
        <v>100</v>
      </c>
      <c r="D5400" s="727">
        <v>83.554299999999998</v>
      </c>
      <c r="E5400" s="720">
        <f t="shared" ref="E5400:E5414" si="186">IF(D5400="",E5399,D5400/C5400-1)</f>
        <v>-0.16445700000000008</v>
      </c>
      <c r="F5400" s="770">
        <f t="shared" ref="F5400:F5414" si="187">E5400</f>
        <v>-0.16445700000000008</v>
      </c>
      <c r="G5400" s="78"/>
    </row>
    <row r="5401" spans="1:8" hidden="1" outlineLevel="1" x14ac:dyDescent="0.25">
      <c r="A5401" s="751" t="s">
        <v>1053</v>
      </c>
      <c r="B5401" s="944">
        <v>39692</v>
      </c>
      <c r="C5401" s="727">
        <v>100</v>
      </c>
      <c r="D5401" s="727">
        <v>79.163499999999999</v>
      </c>
      <c r="E5401" s="720">
        <f t="shared" si="186"/>
        <v>-0.20836500000000002</v>
      </c>
      <c r="F5401" s="770">
        <f t="shared" si="187"/>
        <v>-0.20836500000000002</v>
      </c>
      <c r="G5401" s="78"/>
    </row>
    <row r="5402" spans="1:8" hidden="1" outlineLevel="1" x14ac:dyDescent="0.25">
      <c r="A5402" s="751" t="s">
        <v>1054</v>
      </c>
      <c r="B5402" s="944">
        <v>39783</v>
      </c>
      <c r="C5402" s="727">
        <v>100</v>
      </c>
      <c r="D5402" s="727">
        <v>61.985500000000002</v>
      </c>
      <c r="E5402" s="720">
        <f t="shared" si="186"/>
        <v>-0.38014499999999996</v>
      </c>
      <c r="F5402" s="770">
        <f t="shared" si="187"/>
        <v>-0.38014499999999996</v>
      </c>
      <c r="G5402" s="78"/>
    </row>
    <row r="5403" spans="1:8" hidden="1" outlineLevel="1" x14ac:dyDescent="0.25">
      <c r="A5403" s="751" t="s">
        <v>1055</v>
      </c>
      <c r="B5403" s="944">
        <v>39873</v>
      </c>
      <c r="C5403" s="727">
        <v>100</v>
      </c>
      <c r="D5403" s="727">
        <v>50.460299999999997</v>
      </c>
      <c r="E5403" s="720">
        <f t="shared" si="186"/>
        <v>-0.49539700000000009</v>
      </c>
      <c r="F5403" s="770">
        <f t="shared" si="187"/>
        <v>-0.49539700000000009</v>
      </c>
      <c r="G5403" s="78"/>
    </row>
    <row r="5404" spans="1:8" hidden="1" outlineLevel="1" x14ac:dyDescent="0.25">
      <c r="A5404" s="751" t="s">
        <v>3261</v>
      </c>
      <c r="B5404" s="944">
        <v>39965</v>
      </c>
      <c r="C5404" s="727">
        <v>100</v>
      </c>
      <c r="D5404" s="727">
        <v>59.204900000000002</v>
      </c>
      <c r="E5404" s="720">
        <f t="shared" si="186"/>
        <v>-0.40795099999999995</v>
      </c>
      <c r="F5404" s="770">
        <f t="shared" si="187"/>
        <v>-0.40795099999999995</v>
      </c>
      <c r="G5404" s="78"/>
    </row>
    <row r="5405" spans="1:8" hidden="1" outlineLevel="1" x14ac:dyDescent="0.25">
      <c r="A5405" s="751" t="s">
        <v>185</v>
      </c>
      <c r="B5405" s="944">
        <v>40057</v>
      </c>
      <c r="C5405" s="727">
        <v>100</v>
      </c>
      <c r="D5405" s="727">
        <v>70.754499999999993</v>
      </c>
      <c r="E5405" s="720">
        <f t="shared" si="186"/>
        <v>-0.29245500000000002</v>
      </c>
      <c r="F5405" s="770">
        <f t="shared" si="187"/>
        <v>-0.29245500000000002</v>
      </c>
      <c r="G5405" s="78"/>
    </row>
    <row r="5406" spans="1:8" hidden="1" outlineLevel="1" x14ac:dyDescent="0.25">
      <c r="A5406" s="751" t="s">
        <v>86</v>
      </c>
      <c r="B5406" s="944">
        <v>40148</v>
      </c>
      <c r="C5406" s="727">
        <v>100</v>
      </c>
      <c r="D5406" s="727">
        <v>73.828400000000002</v>
      </c>
      <c r="E5406" s="720">
        <f t="shared" si="186"/>
        <v>-0.26171599999999995</v>
      </c>
      <c r="F5406" s="770">
        <f t="shared" si="187"/>
        <v>-0.26171599999999995</v>
      </c>
      <c r="G5406" s="78"/>
    </row>
    <row r="5407" spans="1:8" hidden="1" outlineLevel="1" x14ac:dyDescent="0.25">
      <c r="A5407" s="751" t="s">
        <v>87</v>
      </c>
      <c r="B5407" s="944">
        <v>40238</v>
      </c>
      <c r="C5407" s="727">
        <v>100</v>
      </c>
      <c r="D5407" s="727">
        <v>74.300899999999999</v>
      </c>
      <c r="E5407" s="720">
        <f t="shared" si="186"/>
        <v>-0.25699099999999997</v>
      </c>
      <c r="F5407" s="770">
        <f t="shared" si="187"/>
        <v>-0.25699099999999997</v>
      </c>
      <c r="G5407" s="78"/>
    </row>
    <row r="5408" spans="1:8" hidden="1" outlineLevel="1" x14ac:dyDescent="0.25">
      <c r="A5408" s="751" t="s">
        <v>88</v>
      </c>
      <c r="B5408" s="944">
        <v>40330</v>
      </c>
      <c r="C5408" s="727">
        <v>100</v>
      </c>
      <c r="D5408" s="727">
        <v>66.957700000000003</v>
      </c>
      <c r="E5408" s="720">
        <f t="shared" si="186"/>
        <v>-0.33042300000000002</v>
      </c>
      <c r="F5408" s="770">
        <f t="shared" si="187"/>
        <v>-0.33042300000000002</v>
      </c>
      <c r="G5408" s="78"/>
    </row>
    <row r="5409" spans="1:8" hidden="1" outlineLevel="1" x14ac:dyDescent="0.25">
      <c r="A5409" s="751" t="s">
        <v>1595</v>
      </c>
      <c r="B5409" s="944">
        <v>40422</v>
      </c>
      <c r="C5409" s="727">
        <v>100</v>
      </c>
      <c r="D5409" s="727">
        <v>73.105099999999993</v>
      </c>
      <c r="E5409" s="720">
        <f t="shared" si="186"/>
        <v>-0.2689490000000001</v>
      </c>
      <c r="F5409" s="770">
        <f t="shared" si="187"/>
        <v>-0.2689490000000001</v>
      </c>
      <c r="G5409" s="78"/>
    </row>
    <row r="5410" spans="1:8" hidden="1" outlineLevel="1" x14ac:dyDescent="0.25">
      <c r="A5410" s="751" t="s">
        <v>1596</v>
      </c>
      <c r="B5410" s="944">
        <v>40513</v>
      </c>
      <c r="C5410" s="727">
        <v>100</v>
      </c>
      <c r="D5410" s="727">
        <v>75.486599999999996</v>
      </c>
      <c r="E5410" s="720">
        <f t="shared" si="186"/>
        <v>-0.24513400000000007</v>
      </c>
      <c r="F5410" s="770">
        <f t="shared" si="187"/>
        <v>-0.24513400000000007</v>
      </c>
      <c r="G5410" s="78"/>
    </row>
    <row r="5411" spans="1:8" hidden="1" outlineLevel="1" x14ac:dyDescent="0.25">
      <c r="A5411" s="751" t="s">
        <v>1597</v>
      </c>
      <c r="B5411" s="944">
        <v>40603</v>
      </c>
      <c r="C5411" s="727">
        <v>100</v>
      </c>
      <c r="D5411" s="727">
        <v>78.944299999999998</v>
      </c>
      <c r="E5411" s="720">
        <f t="shared" si="186"/>
        <v>-0.21055699999999999</v>
      </c>
      <c r="F5411" s="770">
        <f t="shared" si="187"/>
        <v>-0.21055699999999999</v>
      </c>
      <c r="G5411" s="78"/>
    </row>
    <row r="5412" spans="1:8" hidden="1" outlineLevel="1" x14ac:dyDescent="0.25">
      <c r="A5412" s="751" t="s">
        <v>1598</v>
      </c>
      <c r="B5412" s="944">
        <v>40695</v>
      </c>
      <c r="C5412" s="727">
        <v>100</v>
      </c>
      <c r="D5412" s="727">
        <v>78.285600000000002</v>
      </c>
      <c r="E5412" s="720">
        <f>IF(D5412="",E5411,D5412/C5412-1)</f>
        <v>-0.217144</v>
      </c>
      <c r="F5412" s="770">
        <f t="shared" si="187"/>
        <v>-0.217144</v>
      </c>
      <c r="G5412" s="78"/>
    </row>
    <row r="5413" spans="1:8" hidden="1" outlineLevel="1" x14ac:dyDescent="0.25">
      <c r="A5413" s="751" t="s">
        <v>1599</v>
      </c>
      <c r="B5413" s="944">
        <v>40787</v>
      </c>
      <c r="C5413" s="727">
        <v>100</v>
      </c>
      <c r="D5413" s="727">
        <v>66.408699999999996</v>
      </c>
      <c r="E5413" s="720">
        <f t="shared" si="186"/>
        <v>-0.33591300000000002</v>
      </c>
      <c r="F5413" s="770">
        <f t="shared" si="187"/>
        <v>-0.33591300000000002</v>
      </c>
      <c r="G5413" s="78"/>
      <c r="H5413" s="412" t="s">
        <v>1837</v>
      </c>
    </row>
    <row r="5414" spans="1:8" hidden="1" outlineLevel="1" x14ac:dyDescent="0.25">
      <c r="A5414" s="751" t="s">
        <v>2280</v>
      </c>
      <c r="B5414" s="944">
        <v>40878</v>
      </c>
      <c r="C5414" s="727">
        <v>100</v>
      </c>
      <c r="D5414" s="727">
        <v>72.322999999999993</v>
      </c>
      <c r="E5414" s="720">
        <f t="shared" si="186"/>
        <v>-0.27677000000000007</v>
      </c>
      <c r="F5414" s="770">
        <f t="shared" si="187"/>
        <v>-0.27677000000000007</v>
      </c>
      <c r="G5414" s="78"/>
      <c r="H5414" s="261">
        <f>AVERAGE(F5399:F5414)</f>
        <v>-0.27811606250000004</v>
      </c>
    </row>
    <row r="5415" spans="1:8" hidden="1" outlineLevel="1" x14ac:dyDescent="0.25">
      <c r="A5415" s="749"/>
      <c r="B5415" s="750"/>
      <c r="C5415" s="727"/>
      <c r="D5415" s="727"/>
      <c r="E5415" s="720"/>
      <c r="F5415" s="770"/>
      <c r="G5415" s="78"/>
    </row>
    <row r="5416" spans="1:8" collapsed="1" x14ac:dyDescent="0.25">
      <c r="A5416" s="3801" t="s">
        <v>483</v>
      </c>
      <c r="B5416" s="3802"/>
      <c r="C5416" s="3802"/>
      <c r="D5416" s="3802"/>
      <c r="E5416" s="721"/>
      <c r="F5416" s="722">
        <f>MAX(AVERAGE(F5399:F5414)*parametry!N191,0)</f>
        <v>0</v>
      </c>
      <c r="G5416" s="97" t="s">
        <v>781</v>
      </c>
    </row>
    <row r="5418" spans="1:8" hidden="1" outlineLevel="1" x14ac:dyDescent="0.25">
      <c r="A5418" s="689" t="s">
        <v>113</v>
      </c>
      <c r="B5418" s="689" t="s">
        <v>114</v>
      </c>
      <c r="C5418" s="689" t="s">
        <v>112</v>
      </c>
      <c r="D5418" s="689" t="s">
        <v>116</v>
      </c>
      <c r="E5418" s="689" t="s">
        <v>117</v>
      </c>
      <c r="F5418" s="1188" t="s">
        <v>121</v>
      </c>
      <c r="G5418" s="78"/>
    </row>
    <row r="5419" spans="1:8" hidden="1" outlineLevel="1" x14ac:dyDescent="0.25">
      <c r="A5419" s="690">
        <v>1</v>
      </c>
      <c r="B5419" s="691" t="s">
        <v>252</v>
      </c>
      <c r="C5419" s="692">
        <v>100</v>
      </c>
      <c r="D5419" s="692"/>
      <c r="E5419" s="693"/>
      <c r="F5419" s="694"/>
      <c r="G5419" s="78"/>
    </row>
    <row r="5420" spans="1:8" hidden="1" outlineLevel="1" x14ac:dyDescent="0.25">
      <c r="A5420" s="695"/>
      <c r="B5420" s="695"/>
      <c r="C5420" s="696"/>
      <c r="D5420" s="697" t="s">
        <v>3702</v>
      </c>
      <c r="E5420" s="698">
        <v>41471</v>
      </c>
      <c r="F5420" s="699"/>
      <c r="G5420" s="78"/>
    </row>
    <row r="5421" spans="1:8" hidden="1" outlineLevel="1" x14ac:dyDescent="0.25">
      <c r="A5421" s="689" t="s">
        <v>4156</v>
      </c>
      <c r="B5421" s="689" t="s">
        <v>4153</v>
      </c>
      <c r="C5421" s="497" t="s">
        <v>112</v>
      </c>
      <c r="D5421" s="495" t="s">
        <v>4155</v>
      </c>
      <c r="E5421" s="689" t="s">
        <v>4154</v>
      </c>
      <c r="F5421" s="1021" t="s">
        <v>2519</v>
      </c>
      <c r="G5421" s="78"/>
    </row>
    <row r="5422" spans="1:8" hidden="1" outlineLevel="1" x14ac:dyDescent="0.25">
      <c r="A5422" s="999">
        <v>0.05</v>
      </c>
      <c r="B5422" s="1000" t="s">
        <v>1994</v>
      </c>
      <c r="C5422" s="1007">
        <v>42.661000000000001</v>
      </c>
      <c r="D5422" s="803">
        <v>13.92</v>
      </c>
      <c r="E5422" s="705">
        <v>-0.67370666416633462</v>
      </c>
      <c r="F5422" s="1021">
        <v>-3.368533320831673E-2</v>
      </c>
      <c r="G5422" s="78"/>
      <c r="H5422" t="s">
        <v>3493</v>
      </c>
    </row>
    <row r="5423" spans="1:8" hidden="1" outlineLevel="1" x14ac:dyDescent="0.25">
      <c r="A5423" s="1002">
        <v>0.05</v>
      </c>
      <c r="B5423" s="740" t="s">
        <v>1184</v>
      </c>
      <c r="C5423" s="1008">
        <v>43.014499999999998</v>
      </c>
      <c r="D5423" s="908">
        <v>70.09</v>
      </c>
      <c r="E5423" s="709">
        <v>0.62945053412221474</v>
      </c>
      <c r="F5423" s="946">
        <v>3.147252670611074E-2</v>
      </c>
      <c r="G5423" s="78"/>
      <c r="H5423" t="s">
        <v>3497</v>
      </c>
    </row>
    <row r="5424" spans="1:8" hidden="1" outlineLevel="1" x14ac:dyDescent="0.25">
      <c r="A5424" s="1002">
        <v>0.05</v>
      </c>
      <c r="B5424" s="939" t="s">
        <v>3019</v>
      </c>
      <c r="C5424" s="1008">
        <v>60.01</v>
      </c>
      <c r="D5424" s="908">
        <v>43.784999999999997</v>
      </c>
      <c r="E5424" s="709">
        <v>-0.27037160473254462</v>
      </c>
      <c r="F5424" s="946">
        <v>-1.3518580236627232E-2</v>
      </c>
      <c r="G5424" s="78"/>
      <c r="H5424" t="s">
        <v>2745</v>
      </c>
    </row>
    <row r="5425" spans="1:8" hidden="1" outlineLevel="1" x14ac:dyDescent="0.25">
      <c r="A5425" s="1002">
        <v>0.05</v>
      </c>
      <c r="B5425" s="996" t="s">
        <v>3017</v>
      </c>
      <c r="C5425" s="1008">
        <v>15.74</v>
      </c>
      <c r="D5425" s="908">
        <v>0.02</v>
      </c>
      <c r="E5425" s="709">
        <v>-0.99872935196950441</v>
      </c>
      <c r="F5425" s="946">
        <v>-4.9936467598475226E-2</v>
      </c>
      <c r="G5425" s="78"/>
      <c r="H5425" t="s">
        <v>1793</v>
      </c>
    </row>
    <row r="5426" spans="1:8" hidden="1" outlineLevel="1" x14ac:dyDescent="0.25">
      <c r="A5426" s="1002">
        <v>0.05</v>
      </c>
      <c r="B5426" s="996" t="s">
        <v>3406</v>
      </c>
      <c r="C5426" s="1008">
        <v>1046.7</v>
      </c>
      <c r="D5426" s="908">
        <v>1996.5</v>
      </c>
      <c r="E5426" s="709">
        <v>0.9074233304671826</v>
      </c>
      <c r="F5426" s="946">
        <v>4.5371166523359131E-2</v>
      </c>
      <c r="G5426" s="78"/>
      <c r="H5426" t="s">
        <v>2105</v>
      </c>
    </row>
    <row r="5427" spans="1:8" hidden="1" outlineLevel="1" x14ac:dyDescent="0.25">
      <c r="A5427" s="1002">
        <v>0.05</v>
      </c>
      <c r="B5427" s="743" t="s">
        <v>4064</v>
      </c>
      <c r="C5427" s="1008">
        <v>50.433</v>
      </c>
      <c r="D5427" s="908">
        <v>51</v>
      </c>
      <c r="E5427" s="709">
        <v>1.124263874843856E-2</v>
      </c>
      <c r="F5427" s="946">
        <v>5.6213193742192806E-4</v>
      </c>
      <c r="G5427" s="78"/>
      <c r="H5427" t="s">
        <v>170</v>
      </c>
    </row>
    <row r="5428" spans="1:8" hidden="1" outlineLevel="1" x14ac:dyDescent="0.25">
      <c r="A5428" s="1002">
        <v>0.05</v>
      </c>
      <c r="B5428" s="996" t="s">
        <v>3798</v>
      </c>
      <c r="C5428" s="1008">
        <v>7.4250999999999996</v>
      </c>
      <c r="D5428" s="908">
        <v>2.3319999999999999</v>
      </c>
      <c r="E5428" s="709">
        <v>-0.68593015582281724</v>
      </c>
      <c r="F5428" s="946">
        <v>-3.4296507791140865E-2</v>
      </c>
      <c r="G5428" s="78"/>
      <c r="H5428" t="s">
        <v>4122</v>
      </c>
    </row>
    <row r="5429" spans="1:8" hidden="1" outlineLevel="1" x14ac:dyDescent="0.25">
      <c r="A5429" s="1002">
        <v>0.05</v>
      </c>
      <c r="B5429" s="996" t="s">
        <v>3021</v>
      </c>
      <c r="C5429" s="1008">
        <v>22.14</v>
      </c>
      <c r="D5429" s="908">
        <v>16.16</v>
      </c>
      <c r="E5429" s="709">
        <v>-0.27009936766034326</v>
      </c>
      <c r="F5429" s="946">
        <v>-1.3504968383017164E-2</v>
      </c>
      <c r="G5429" s="78"/>
      <c r="H5429" t="s">
        <v>4124</v>
      </c>
    </row>
    <row r="5430" spans="1:8" hidden="1" outlineLevel="1" x14ac:dyDescent="0.25">
      <c r="A5430" s="1002">
        <v>0.05</v>
      </c>
      <c r="B5430" s="996" t="s">
        <v>1771</v>
      </c>
      <c r="C5430" s="1008">
        <v>740.25</v>
      </c>
      <c r="D5430" s="908">
        <v>726.2</v>
      </c>
      <c r="E5430" s="709">
        <v>-1.8980074299223215E-2</v>
      </c>
      <c r="F5430" s="946">
        <v>-9.4900371496116083E-4</v>
      </c>
      <c r="G5430" s="78"/>
      <c r="H5430" t="s">
        <v>4329</v>
      </c>
    </row>
    <row r="5431" spans="1:8" hidden="1" outlineLevel="1" x14ac:dyDescent="0.25">
      <c r="A5431" s="1002">
        <v>0.05</v>
      </c>
      <c r="B5431" s="996" t="s">
        <v>2588</v>
      </c>
      <c r="C5431" s="1008">
        <v>20.919</v>
      </c>
      <c r="D5431" s="908">
        <v>7.21</v>
      </c>
      <c r="E5431" s="709">
        <v>-0.65533725321478076</v>
      </c>
      <c r="F5431" s="946">
        <v>-3.2766862660739041E-2</v>
      </c>
      <c r="G5431" s="78"/>
      <c r="H5431" t="s">
        <v>4132</v>
      </c>
    </row>
    <row r="5432" spans="1:8" hidden="1" outlineLevel="1" x14ac:dyDescent="0.25">
      <c r="A5432" s="1002">
        <v>0.05</v>
      </c>
      <c r="B5432" s="996" t="s">
        <v>1526</v>
      </c>
      <c r="C5432" s="1008">
        <v>83.718999999999994</v>
      </c>
      <c r="D5432" s="908">
        <v>30.605</v>
      </c>
      <c r="E5432" s="709">
        <v>-0.63443184940097219</v>
      </c>
      <c r="F5432" s="946">
        <v>-3.1721592470048611E-2</v>
      </c>
      <c r="G5432" s="78"/>
      <c r="H5432" t="s">
        <v>4146</v>
      </c>
    </row>
    <row r="5433" spans="1:8" hidden="1" outlineLevel="1" x14ac:dyDescent="0.25">
      <c r="A5433" s="1002">
        <v>0.05</v>
      </c>
      <c r="B5433" s="996" t="s">
        <v>2160</v>
      </c>
      <c r="C5433" s="1008">
        <v>30.029</v>
      </c>
      <c r="D5433" s="908">
        <v>57.47</v>
      </c>
      <c r="E5433" s="709">
        <v>0.91381664391088613</v>
      </c>
      <c r="F5433" s="946">
        <v>4.5690832195544311E-2</v>
      </c>
      <c r="G5433" s="78"/>
      <c r="H5433" t="s">
        <v>5507</v>
      </c>
    </row>
    <row r="5434" spans="1:8" hidden="1" outlineLevel="1" x14ac:dyDescent="0.25">
      <c r="A5434" s="1002">
        <v>0.05</v>
      </c>
      <c r="B5434" s="996" t="s">
        <v>1905</v>
      </c>
      <c r="C5434" s="1008">
        <v>46.436</v>
      </c>
      <c r="D5434" s="908">
        <v>48.23</v>
      </c>
      <c r="E5434" s="709">
        <v>3.8633818589025593E-2</v>
      </c>
      <c r="F5434" s="946">
        <v>1.9316909294512796E-3</v>
      </c>
      <c r="G5434" s="78"/>
      <c r="H5434" t="s">
        <v>504</v>
      </c>
    </row>
    <row r="5435" spans="1:8" hidden="1" outlineLevel="1" x14ac:dyDescent="0.25">
      <c r="A5435" s="1002">
        <v>0.05</v>
      </c>
      <c r="B5435" s="996" t="s">
        <v>2787</v>
      </c>
      <c r="C5435" s="1008">
        <v>54.685000000000002</v>
      </c>
      <c r="D5435" s="908">
        <v>69.099999999999994</v>
      </c>
      <c r="E5435" s="709">
        <v>0.26360062174270804</v>
      </c>
      <c r="F5435" s="946">
        <v>1.3180031087135403E-2</v>
      </c>
      <c r="G5435" s="78"/>
      <c r="H5435" t="s">
        <v>80</v>
      </c>
    </row>
    <row r="5436" spans="1:8" hidden="1" outlineLevel="1" x14ac:dyDescent="0.25">
      <c r="A5436" s="1002">
        <v>0.05</v>
      </c>
      <c r="B5436" s="996" t="s">
        <v>1414</v>
      </c>
      <c r="C5436" s="1008">
        <v>22.460999999999999</v>
      </c>
      <c r="D5436" s="908">
        <v>28.68</v>
      </c>
      <c r="E5436" s="709">
        <v>0.27687992520368643</v>
      </c>
      <c r="F5436" s="946">
        <v>1.3843996260184323E-2</v>
      </c>
      <c r="G5436" s="78"/>
      <c r="H5436" t="s">
        <v>2428</v>
      </c>
    </row>
    <row r="5437" spans="1:8" hidden="1" outlineLevel="1" x14ac:dyDescent="0.25">
      <c r="A5437" s="1002">
        <v>0.05</v>
      </c>
      <c r="B5437" s="996" t="s">
        <v>2166</v>
      </c>
      <c r="C5437" s="1008">
        <v>71.805999999999997</v>
      </c>
      <c r="D5437" s="908">
        <v>27.94</v>
      </c>
      <c r="E5437" s="709">
        <v>-0.61089602540177701</v>
      </c>
      <c r="F5437" s="946">
        <v>-3.054480127008885E-2</v>
      </c>
      <c r="G5437" s="78"/>
      <c r="H5437" t="s">
        <v>4160</v>
      </c>
    </row>
    <row r="5438" spans="1:8" hidden="1" outlineLevel="1" x14ac:dyDescent="0.25">
      <c r="A5438" s="1002">
        <v>0.05</v>
      </c>
      <c r="B5438" s="996" t="s">
        <v>1622</v>
      </c>
      <c r="C5438" s="1008">
        <v>12.535681374999999</v>
      </c>
      <c r="D5438" s="908">
        <v>2.4580000000000002</v>
      </c>
      <c r="E5438" s="709">
        <v>-0.80391971313964572</v>
      </c>
      <c r="F5438" s="946">
        <v>-4.0195985656982292E-2</v>
      </c>
      <c r="G5438" s="78"/>
      <c r="H5438" t="s">
        <v>1623</v>
      </c>
    </row>
    <row r="5439" spans="1:8" hidden="1" outlineLevel="1" x14ac:dyDescent="0.25">
      <c r="A5439" s="1002">
        <v>0.05</v>
      </c>
      <c r="B5439" s="996" t="s">
        <v>2628</v>
      </c>
      <c r="C5439" s="1008">
        <v>4.8212999999999999</v>
      </c>
      <c r="D5439" s="908">
        <v>3.54</v>
      </c>
      <c r="E5439" s="709">
        <v>-0.265758197996391</v>
      </c>
      <c r="F5439" s="946">
        <v>-1.3287909899819551E-2</v>
      </c>
      <c r="G5439" s="78"/>
      <c r="H5439" t="s">
        <v>1896</v>
      </c>
    </row>
    <row r="5440" spans="1:8" hidden="1" outlineLevel="1" x14ac:dyDescent="0.25">
      <c r="A5440" s="1002">
        <v>0.05</v>
      </c>
      <c r="B5440" s="996" t="s">
        <v>3817</v>
      </c>
      <c r="C5440" s="1008">
        <v>182.35030839999999</v>
      </c>
      <c r="D5440" s="908">
        <v>43.02</v>
      </c>
      <c r="E5440" s="709">
        <v>-0.76408046480715464</v>
      </c>
      <c r="F5440" s="946">
        <v>-3.8204023240357737E-2</v>
      </c>
      <c r="G5440" s="78"/>
      <c r="H5440" t="s">
        <v>1914</v>
      </c>
    </row>
    <row r="5441" spans="1:8" hidden="1" outlineLevel="1" x14ac:dyDescent="0.25">
      <c r="A5441" s="1004">
        <v>0.05</v>
      </c>
      <c r="B5441" s="824" t="s">
        <v>4550</v>
      </c>
      <c r="C5441" s="1009">
        <v>305.375</v>
      </c>
      <c r="D5441" s="715">
        <v>253.3</v>
      </c>
      <c r="E5441" s="716">
        <v>-0.17052803929594762</v>
      </c>
      <c r="F5441" s="1023">
        <v>-8.526401964797382E-3</v>
      </c>
      <c r="G5441" s="78"/>
      <c r="H5441" t="s">
        <v>4551</v>
      </c>
    </row>
    <row r="5442" spans="1:8" hidden="1" outlineLevel="1" x14ac:dyDescent="0.25">
      <c r="A5442" s="749"/>
      <c r="B5442" s="750"/>
      <c r="C5442" s="727"/>
      <c r="D5442" s="727"/>
      <c r="E5442" s="716"/>
      <c r="F5442" s="770">
        <v>-0.18908606245616469</v>
      </c>
      <c r="G5442" s="78"/>
    </row>
    <row r="5443" spans="1:8" hidden="1" outlineLevel="1" x14ac:dyDescent="0.25">
      <c r="A5443" s="749"/>
      <c r="B5443" s="750"/>
      <c r="C5443" s="727"/>
      <c r="D5443" s="727"/>
      <c r="E5443" s="716"/>
      <c r="F5443" s="770"/>
      <c r="G5443" s="78"/>
    </row>
    <row r="5444" spans="1:8" hidden="1" outlineLevel="1" x14ac:dyDescent="0.25">
      <c r="A5444" s="751" t="s">
        <v>2281</v>
      </c>
      <c r="B5444" s="944">
        <v>39539</v>
      </c>
      <c r="C5444" s="727">
        <v>100</v>
      </c>
      <c r="D5444" s="727">
        <v>101.20440000000001</v>
      </c>
      <c r="E5444" s="716">
        <v>1.2044000000000166E-2</v>
      </c>
      <c r="F5444" s="731">
        <v>1.2044000000000166E-2</v>
      </c>
      <c r="G5444" s="78"/>
    </row>
    <row r="5445" spans="1:8" hidden="1" outlineLevel="1" x14ac:dyDescent="0.25">
      <c r="A5445" s="751" t="s">
        <v>2282</v>
      </c>
      <c r="B5445" s="944">
        <v>39630</v>
      </c>
      <c r="C5445" s="727">
        <v>100</v>
      </c>
      <c r="D5445" s="727">
        <v>87.179599999999994</v>
      </c>
      <c r="E5445" s="716">
        <v>-0.1282040000000001</v>
      </c>
      <c r="F5445" s="731">
        <v>-0.1282040000000001</v>
      </c>
      <c r="G5445" s="78"/>
    </row>
    <row r="5446" spans="1:8" hidden="1" outlineLevel="1" x14ac:dyDescent="0.25">
      <c r="A5446" s="751" t="s">
        <v>2283</v>
      </c>
      <c r="B5446" s="944">
        <v>39722</v>
      </c>
      <c r="C5446" s="727">
        <v>100</v>
      </c>
      <c r="D5446" s="727">
        <v>66.424999999999997</v>
      </c>
      <c r="E5446" s="716">
        <v>-0.33574999999999999</v>
      </c>
      <c r="F5446" s="731">
        <v>-0.33574999999999999</v>
      </c>
      <c r="G5446" s="78"/>
    </row>
    <row r="5447" spans="1:8" hidden="1" outlineLevel="1" x14ac:dyDescent="0.25">
      <c r="A5447" s="751" t="s">
        <v>2713</v>
      </c>
      <c r="B5447" s="944">
        <v>39814</v>
      </c>
      <c r="C5447" s="727">
        <v>100</v>
      </c>
      <c r="D5447" s="727">
        <v>53.216900000000003</v>
      </c>
      <c r="E5447" s="716">
        <v>-0.467831</v>
      </c>
      <c r="F5447" s="731">
        <v>-0.467831</v>
      </c>
      <c r="G5447" s="78"/>
    </row>
    <row r="5448" spans="1:8" hidden="1" outlineLevel="1" x14ac:dyDescent="0.25">
      <c r="A5448" s="751" t="s">
        <v>2714</v>
      </c>
      <c r="B5448" s="944">
        <v>39904</v>
      </c>
      <c r="C5448" s="727">
        <v>100</v>
      </c>
      <c r="D5448" s="727">
        <v>53.749200000000002</v>
      </c>
      <c r="E5448" s="716">
        <v>-0.46250800000000003</v>
      </c>
      <c r="F5448" s="731">
        <v>-0.46250800000000003</v>
      </c>
      <c r="G5448" s="78"/>
      <c r="H5448" s="21"/>
    </row>
    <row r="5449" spans="1:8" hidden="1" outlineLevel="1" x14ac:dyDescent="0.25">
      <c r="A5449" s="751" t="s">
        <v>2715</v>
      </c>
      <c r="B5449" s="944">
        <v>39995</v>
      </c>
      <c r="C5449" s="727">
        <v>100</v>
      </c>
      <c r="D5449" s="727">
        <v>62.814300000000003</v>
      </c>
      <c r="E5449" s="716">
        <v>-0.37185699999999999</v>
      </c>
      <c r="F5449" s="731">
        <v>-0.37185699999999999</v>
      </c>
      <c r="G5449" s="78"/>
      <c r="H5449" s="21"/>
    </row>
    <row r="5450" spans="1:8" hidden="1" outlineLevel="1" x14ac:dyDescent="0.25">
      <c r="A5450" s="751" t="s">
        <v>1311</v>
      </c>
      <c r="B5450" s="944">
        <v>40087</v>
      </c>
      <c r="C5450" s="727">
        <v>100</v>
      </c>
      <c r="D5450" s="727">
        <v>66.912300000000002</v>
      </c>
      <c r="E5450" s="716">
        <v>-0.33087699999999998</v>
      </c>
      <c r="F5450" s="731">
        <v>-0.33087699999999998</v>
      </c>
      <c r="G5450" s="78"/>
      <c r="H5450" s="21"/>
    </row>
    <row r="5451" spans="1:8" hidden="1" outlineLevel="1" x14ac:dyDescent="0.25">
      <c r="A5451" s="751" t="s">
        <v>1312</v>
      </c>
      <c r="B5451" s="944">
        <v>40179</v>
      </c>
      <c r="C5451" s="727">
        <v>100</v>
      </c>
      <c r="D5451" s="727">
        <v>69.075199999999995</v>
      </c>
      <c r="E5451" s="716">
        <v>-0.30924800000000008</v>
      </c>
      <c r="F5451" s="731">
        <v>-0.30924800000000008</v>
      </c>
      <c r="G5451" s="78"/>
      <c r="H5451" s="21"/>
    </row>
    <row r="5452" spans="1:8" hidden="1" outlineLevel="1" x14ac:dyDescent="0.25">
      <c r="A5452" s="751" t="s">
        <v>1313</v>
      </c>
      <c r="B5452" s="944">
        <v>40269</v>
      </c>
      <c r="C5452" s="727">
        <v>100</v>
      </c>
      <c r="D5452" s="727">
        <v>69.898899999999998</v>
      </c>
      <c r="E5452" s="716">
        <v>-0.30101100000000003</v>
      </c>
      <c r="F5452" s="731">
        <v>-0.30101100000000003</v>
      </c>
      <c r="G5452" s="78"/>
      <c r="H5452" s="84"/>
    </row>
    <row r="5453" spans="1:8" hidden="1" outlineLevel="1" x14ac:dyDescent="0.25">
      <c r="A5453" s="751" t="s">
        <v>3362</v>
      </c>
      <c r="B5453" s="944">
        <v>40360</v>
      </c>
      <c r="C5453" s="727">
        <v>100</v>
      </c>
      <c r="D5453" s="727">
        <v>68.531899999999993</v>
      </c>
      <c r="E5453" s="716">
        <v>-0.3146810000000001</v>
      </c>
      <c r="F5453" s="731">
        <v>-0.3146810000000001</v>
      </c>
      <c r="G5453" s="78"/>
      <c r="H5453" s="84"/>
    </row>
    <row r="5454" spans="1:8" hidden="1" outlineLevel="1" x14ac:dyDescent="0.25">
      <c r="A5454" s="751" t="s">
        <v>790</v>
      </c>
      <c r="B5454" s="944">
        <v>40452</v>
      </c>
      <c r="C5454" s="727">
        <v>100</v>
      </c>
      <c r="D5454" s="727">
        <v>70.023499999999999</v>
      </c>
      <c r="E5454" s="716">
        <v>-0.29976500000000006</v>
      </c>
      <c r="F5454" s="731">
        <v>-0.29976500000000006</v>
      </c>
      <c r="G5454" s="78"/>
      <c r="H5454" s="84"/>
    </row>
    <row r="5455" spans="1:8" hidden="1" outlineLevel="1" x14ac:dyDescent="0.25">
      <c r="A5455" s="751" t="s">
        <v>791</v>
      </c>
      <c r="B5455" s="944">
        <v>40544</v>
      </c>
      <c r="C5455" s="727">
        <v>100</v>
      </c>
      <c r="D5455" s="727">
        <v>71.625900000000001</v>
      </c>
      <c r="E5455" s="716">
        <v>-0.28374100000000002</v>
      </c>
      <c r="F5455" s="731">
        <v>-0.28374100000000002</v>
      </c>
      <c r="G5455" s="78"/>
      <c r="H5455" s="84"/>
    </row>
    <row r="5456" spans="1:8" hidden="1" outlineLevel="1" x14ac:dyDescent="0.25">
      <c r="A5456" s="751" t="s">
        <v>792</v>
      </c>
      <c r="B5456" s="944">
        <v>40634</v>
      </c>
      <c r="C5456" s="727">
        <v>100</v>
      </c>
      <c r="D5456" s="727">
        <v>73.797700000000006</v>
      </c>
      <c r="E5456" s="716">
        <v>-0.26202299999999989</v>
      </c>
      <c r="F5456" s="731">
        <v>-0.26202299999999989</v>
      </c>
      <c r="G5456" s="78"/>
      <c r="H5456" s="84"/>
    </row>
    <row r="5457" spans="1:9" hidden="1" outlineLevel="1" x14ac:dyDescent="0.25">
      <c r="A5457" s="751" t="s">
        <v>793</v>
      </c>
      <c r="B5457" s="944">
        <v>40725</v>
      </c>
      <c r="C5457" s="727">
        <v>100</v>
      </c>
      <c r="D5457" s="727">
        <v>65.9923</v>
      </c>
      <c r="E5457" s="716">
        <v>-0.34007699999999996</v>
      </c>
      <c r="F5457" s="731">
        <v>-0.34007699999999996</v>
      </c>
      <c r="G5457" s="78"/>
      <c r="H5457" s="84"/>
    </row>
    <row r="5458" spans="1:9" hidden="1" outlineLevel="1" x14ac:dyDescent="0.25">
      <c r="A5458" s="751" t="s">
        <v>794</v>
      </c>
      <c r="B5458" s="944">
        <v>40817</v>
      </c>
      <c r="C5458" s="727">
        <v>100</v>
      </c>
      <c r="D5458" s="727">
        <v>60.034100000000002</v>
      </c>
      <c r="E5458" s="716">
        <v>-0.39965899999999999</v>
      </c>
      <c r="F5458" s="731">
        <v>-0.39965899999999999</v>
      </c>
      <c r="G5458" s="78"/>
      <c r="H5458" s="21"/>
    </row>
    <row r="5459" spans="1:9" hidden="1" outlineLevel="1" x14ac:dyDescent="0.25">
      <c r="A5459" s="751" t="s">
        <v>3135</v>
      </c>
      <c r="B5459" s="944">
        <v>40909</v>
      </c>
      <c r="C5459" s="727">
        <v>100</v>
      </c>
      <c r="D5459" s="727">
        <v>62.714300000000001</v>
      </c>
      <c r="E5459" s="716">
        <v>-0.37285699999999999</v>
      </c>
      <c r="F5459" s="731">
        <v>-0.37285699999999999</v>
      </c>
      <c r="G5459" s="78"/>
      <c r="H5459" s="21"/>
    </row>
    <row r="5460" spans="1:9" hidden="1" outlineLevel="1" x14ac:dyDescent="0.25">
      <c r="A5460" s="751" t="s">
        <v>3136</v>
      </c>
      <c r="B5460" s="944">
        <v>41000</v>
      </c>
      <c r="C5460" s="727">
        <v>100</v>
      </c>
      <c r="D5460" s="727">
        <v>64.137100000000004</v>
      </c>
      <c r="E5460" s="716">
        <v>-0.35862899999999998</v>
      </c>
      <c r="F5460" s="731">
        <v>-0.35862899999999998</v>
      </c>
      <c r="G5460" s="78"/>
      <c r="H5460" s="21"/>
    </row>
    <row r="5461" spans="1:9" hidden="1" outlineLevel="1" x14ac:dyDescent="0.25">
      <c r="A5461" s="751" t="s">
        <v>3137</v>
      </c>
      <c r="B5461" s="944">
        <v>41091</v>
      </c>
      <c r="C5461" s="727">
        <v>100</v>
      </c>
      <c r="D5461" s="727">
        <v>65.891499999999994</v>
      </c>
      <c r="E5461" s="716">
        <v>-0.34108500000000008</v>
      </c>
      <c r="F5461" s="731">
        <v>-0.34108500000000008</v>
      </c>
      <c r="G5461" s="78"/>
      <c r="H5461" s="21"/>
    </row>
    <row r="5462" spans="1:9" hidden="1" outlineLevel="1" x14ac:dyDescent="0.25">
      <c r="A5462" s="751" t="s">
        <v>3138</v>
      </c>
      <c r="B5462" s="944">
        <v>41183</v>
      </c>
      <c r="C5462" s="727">
        <v>100</v>
      </c>
      <c r="D5462" s="727">
        <v>71.025999999999996</v>
      </c>
      <c r="E5462" s="716">
        <v>-0.28974</v>
      </c>
      <c r="F5462" s="731">
        <v>-0.28974</v>
      </c>
      <c r="G5462" s="78"/>
    </row>
    <row r="5463" spans="1:9" hidden="1" outlineLevel="1" x14ac:dyDescent="0.25">
      <c r="A5463" s="751" t="s">
        <v>3139</v>
      </c>
      <c r="B5463" s="944">
        <v>41275</v>
      </c>
      <c r="C5463" s="727">
        <v>100</v>
      </c>
      <c r="D5463" s="727">
        <v>78.070899999999995</v>
      </c>
      <c r="E5463" s="716">
        <v>-0.21929100000000001</v>
      </c>
      <c r="F5463" s="731">
        <v>-0.21929100000000001</v>
      </c>
      <c r="G5463" s="78"/>
      <c r="H5463" s="412" t="s">
        <v>1837</v>
      </c>
    </row>
    <row r="5464" spans="1:9" hidden="1" outlineLevel="1" x14ac:dyDescent="0.25">
      <c r="A5464" s="751" t="s">
        <v>3140</v>
      </c>
      <c r="B5464" s="944">
        <v>41365</v>
      </c>
      <c r="C5464" s="727">
        <v>100</v>
      </c>
      <c r="D5464" s="727">
        <v>79.1113</v>
      </c>
      <c r="E5464" s="716">
        <v>-0.20888700000000004</v>
      </c>
      <c r="F5464" s="731">
        <v>-0.20888700000000004</v>
      </c>
      <c r="G5464" s="78"/>
      <c r="H5464" s="261">
        <v>-0.29919445454545457</v>
      </c>
      <c r="I5464" s="406"/>
    </row>
    <row r="5465" spans="1:9" hidden="1" outlineLevel="1" x14ac:dyDescent="0.25">
      <c r="A5465" s="751" t="s">
        <v>2565</v>
      </c>
      <c r="B5465" s="944">
        <v>41456</v>
      </c>
      <c r="C5465" s="727">
        <v>100</v>
      </c>
      <c r="D5465" s="727">
        <v>80.3399</v>
      </c>
      <c r="E5465" s="716">
        <v>-0.19660100000000003</v>
      </c>
      <c r="F5465" s="731">
        <v>-0.19660100000000003</v>
      </c>
      <c r="G5465" s="78"/>
    </row>
    <row r="5466" spans="1:9" collapsed="1" x14ac:dyDescent="0.25">
      <c r="A5466" s="3801" t="s">
        <v>4549</v>
      </c>
      <c r="B5466" s="3802"/>
      <c r="C5466" s="3802"/>
      <c r="D5466" s="3802"/>
      <c r="E5466" s="721"/>
      <c r="F5466" s="722">
        <v>0</v>
      </c>
      <c r="G5466" s="97" t="s">
        <v>781</v>
      </c>
    </row>
    <row r="5468" spans="1:9" hidden="1" outlineLevel="1" x14ac:dyDescent="0.25">
      <c r="A5468" s="689" t="s">
        <v>113</v>
      </c>
      <c r="B5468" s="689" t="s">
        <v>114</v>
      </c>
      <c r="C5468" s="689" t="s">
        <v>112</v>
      </c>
      <c r="D5468" s="689" t="s">
        <v>116</v>
      </c>
      <c r="E5468" s="689" t="s">
        <v>117</v>
      </c>
      <c r="F5468" s="1188" t="s">
        <v>121</v>
      </c>
      <c r="G5468" s="78"/>
    </row>
    <row r="5469" spans="1:9" hidden="1" outlineLevel="1" x14ac:dyDescent="0.25">
      <c r="A5469" s="690">
        <v>16</v>
      </c>
      <c r="B5469" s="691" t="s">
        <v>252</v>
      </c>
      <c r="C5469" s="692">
        <v>100</v>
      </c>
      <c r="D5469" s="692"/>
      <c r="E5469" s="693"/>
      <c r="F5469" s="694"/>
      <c r="G5469" s="78"/>
    </row>
    <row r="5470" spans="1:9" hidden="1" outlineLevel="1" x14ac:dyDescent="0.25">
      <c r="A5470" s="695"/>
      <c r="B5470" s="695"/>
      <c r="C5470" s="696"/>
      <c r="D5470" s="697" t="s">
        <v>3702</v>
      </c>
      <c r="E5470" s="698">
        <v>42460</v>
      </c>
      <c r="F5470" s="699"/>
      <c r="G5470" s="78"/>
    </row>
    <row r="5471" spans="1:9" hidden="1" outlineLevel="1" x14ac:dyDescent="0.25">
      <c r="A5471" s="689" t="s">
        <v>4156</v>
      </c>
      <c r="B5471" s="689" t="s">
        <v>4153</v>
      </c>
      <c r="C5471" s="497" t="s">
        <v>112</v>
      </c>
      <c r="D5471" s="495" t="s">
        <v>4155</v>
      </c>
      <c r="E5471" s="689" t="s">
        <v>4154</v>
      </c>
      <c r="F5471" s="1021" t="s">
        <v>2519</v>
      </c>
      <c r="G5471" s="78"/>
    </row>
    <row r="5472" spans="1:9" hidden="1" outlineLevel="1" x14ac:dyDescent="0.25">
      <c r="A5472" s="999">
        <v>0.04</v>
      </c>
      <c r="B5472" s="1000" t="s">
        <v>359</v>
      </c>
      <c r="C5472" s="1007">
        <v>117.38</v>
      </c>
      <c r="D5472" s="803">
        <v>142.94999999999999</v>
      </c>
      <c r="E5472" s="705">
        <v>0.21783949565513705</v>
      </c>
      <c r="F5472" s="1021">
        <v>8.7135798262054816E-3</v>
      </c>
      <c r="G5472" s="78"/>
      <c r="H5472" t="s">
        <v>360</v>
      </c>
    </row>
    <row r="5473" spans="1:9" hidden="1" outlineLevel="1" x14ac:dyDescent="0.25">
      <c r="A5473" s="1002">
        <v>0.04</v>
      </c>
      <c r="B5473" s="987" t="s">
        <v>1993</v>
      </c>
      <c r="C5473" s="1008">
        <v>73.924999999999997</v>
      </c>
      <c r="D5473" s="908">
        <v>160.76999999999998</v>
      </c>
      <c r="E5473" s="709">
        <v>1.1747717281028067</v>
      </c>
      <c r="F5473" s="946">
        <v>4.6990869124112267E-2</v>
      </c>
      <c r="G5473" s="78"/>
      <c r="H5473" t="s">
        <v>2812</v>
      </c>
      <c r="I5473" s="39" t="s">
        <v>3533</v>
      </c>
    </row>
    <row r="5474" spans="1:9" hidden="1" outlineLevel="1" x14ac:dyDescent="0.25">
      <c r="A5474" s="1002">
        <v>0.04</v>
      </c>
      <c r="B5474" s="996" t="s">
        <v>2984</v>
      </c>
      <c r="C5474" s="1008">
        <v>13.63</v>
      </c>
      <c r="D5474" s="908">
        <v>5.8419999999999996</v>
      </c>
      <c r="E5474" s="709">
        <v>-0.57138664710198095</v>
      </c>
      <c r="F5474" s="946">
        <v>-2.2855465884079239E-2</v>
      </c>
      <c r="G5474" s="78"/>
      <c r="H5474" t="s">
        <v>2326</v>
      </c>
    </row>
    <row r="5475" spans="1:9" hidden="1" outlineLevel="1" x14ac:dyDescent="0.25">
      <c r="A5475" s="1002">
        <v>0.03</v>
      </c>
      <c r="B5475" s="996" t="s">
        <v>157</v>
      </c>
      <c r="C5475" s="1008">
        <v>11.868</v>
      </c>
      <c r="D5475" s="908">
        <v>3.8740000000000001</v>
      </c>
      <c r="E5475" s="709">
        <v>-0.67357600269632623</v>
      </c>
      <c r="F5475" s="946">
        <v>-2.0207280080889786E-2</v>
      </c>
      <c r="G5475" s="78"/>
      <c r="H5475" t="s">
        <v>730</v>
      </c>
    </row>
    <row r="5476" spans="1:9" hidden="1" outlineLevel="1" x14ac:dyDescent="0.25">
      <c r="A5476" s="1002">
        <v>0.05</v>
      </c>
      <c r="B5476" s="996" t="s">
        <v>1184</v>
      </c>
      <c r="C5476" s="1008">
        <v>42.334000000000003</v>
      </c>
      <c r="D5476" s="908">
        <v>66.3</v>
      </c>
      <c r="E5476" s="709">
        <v>0.566117069022535</v>
      </c>
      <c r="F5476" s="946">
        <v>2.8305853451126753E-2</v>
      </c>
      <c r="G5476" s="78"/>
      <c r="H5476" t="s">
        <v>3497</v>
      </c>
    </row>
    <row r="5477" spans="1:9" hidden="1" outlineLevel="1" x14ac:dyDescent="0.25">
      <c r="A5477" s="1002">
        <v>0.03</v>
      </c>
      <c r="B5477" s="996" t="s">
        <v>901</v>
      </c>
      <c r="C5477" s="1008">
        <v>1890</v>
      </c>
      <c r="D5477" s="908">
        <v>4090</v>
      </c>
      <c r="E5477" s="709">
        <v>1.1640211640211642</v>
      </c>
      <c r="F5477" s="946">
        <v>3.4920634920634921E-2</v>
      </c>
      <c r="G5477" s="78"/>
      <c r="H5477" t="s">
        <v>531</v>
      </c>
    </row>
    <row r="5478" spans="1:9" hidden="1" outlineLevel="1" x14ac:dyDescent="0.25">
      <c r="A5478" s="1002">
        <v>0.03</v>
      </c>
      <c r="B5478" s="996" t="s">
        <v>1847</v>
      </c>
      <c r="C5478" s="1008">
        <v>237.76</v>
      </c>
      <c r="D5478" s="908">
        <v>41.75</v>
      </c>
      <c r="E5478" s="709">
        <v>-0.82440275908479133</v>
      </c>
      <c r="F5478" s="946">
        <v>-2.473208277254374E-2</v>
      </c>
      <c r="G5478" s="78"/>
      <c r="H5478" t="s">
        <v>2749</v>
      </c>
    </row>
    <row r="5479" spans="1:9" hidden="1" outlineLevel="1" x14ac:dyDescent="0.25">
      <c r="A5479" s="1002">
        <v>0.02</v>
      </c>
      <c r="B5479" s="743" t="s">
        <v>1212</v>
      </c>
      <c r="C5479" s="1008">
        <v>52.143999999999998</v>
      </c>
      <c r="D5479" s="908">
        <v>13.61</v>
      </c>
      <c r="E5479" s="709">
        <v>-0.73899202209266646</v>
      </c>
      <c r="F5479" s="946">
        <v>-1.4779840441853329E-2</v>
      </c>
      <c r="G5479" s="78"/>
      <c r="H5479" t="s">
        <v>4229</v>
      </c>
    </row>
    <row r="5480" spans="1:9" hidden="1" outlineLevel="1" x14ac:dyDescent="0.25">
      <c r="A5480" s="1002">
        <v>0.04</v>
      </c>
      <c r="B5480" s="939" t="s">
        <v>2699</v>
      </c>
      <c r="C5480" s="1008">
        <v>22.167999999999999</v>
      </c>
      <c r="D5480" s="908">
        <v>24.42</v>
      </c>
      <c r="E5480" s="709">
        <v>0.1015878744135692</v>
      </c>
      <c r="F5480" s="946">
        <v>4.0635149765427684E-3</v>
      </c>
      <c r="G5480" s="78"/>
      <c r="H5480" t="s">
        <v>505</v>
      </c>
    </row>
    <row r="5481" spans="1:9" hidden="1" outlineLevel="1" x14ac:dyDescent="0.25">
      <c r="A5481" s="1002">
        <v>0.02</v>
      </c>
      <c r="B5481" s="996" t="s">
        <v>3406</v>
      </c>
      <c r="C5481" s="1008">
        <v>1043.2</v>
      </c>
      <c r="D5481" s="908">
        <v>1881.5</v>
      </c>
      <c r="E5481" s="709">
        <v>0.80358512269938642</v>
      </c>
      <c r="F5481" s="946">
        <v>1.607170245398773E-2</v>
      </c>
      <c r="G5481" s="78"/>
      <c r="H5481" t="s">
        <v>2105</v>
      </c>
    </row>
    <row r="5482" spans="1:9" hidden="1" outlineLevel="1" x14ac:dyDescent="0.25">
      <c r="A5482" s="1002">
        <v>0.03</v>
      </c>
      <c r="B5482" s="996" t="s">
        <v>1231</v>
      </c>
      <c r="C5482" s="1008">
        <v>17.902000000000001</v>
      </c>
      <c r="D5482" s="908">
        <v>80.680000000000007</v>
      </c>
      <c r="E5482" s="709">
        <v>3.5067590213383983</v>
      </c>
      <c r="F5482" s="946">
        <v>0.10520277064015195</v>
      </c>
      <c r="G5482" s="78"/>
      <c r="H5482" t="s">
        <v>2041</v>
      </c>
    </row>
    <row r="5483" spans="1:9" hidden="1" outlineLevel="1" x14ac:dyDescent="0.25">
      <c r="A5483" s="1002">
        <v>0.06</v>
      </c>
      <c r="B5483" s="996" t="s">
        <v>3798</v>
      </c>
      <c r="C5483" s="1008">
        <v>7.1811999999999996</v>
      </c>
      <c r="D5483" s="908">
        <v>3.8980000000000001</v>
      </c>
      <c r="E5483" s="709">
        <v>-0.45719378376872943</v>
      </c>
      <c r="F5483" s="946">
        <v>-2.7431627026123766E-2</v>
      </c>
      <c r="G5483" s="78"/>
      <c r="H5483" t="s">
        <v>4122</v>
      </c>
    </row>
    <row r="5484" spans="1:9" hidden="1" outlineLevel="1" x14ac:dyDescent="0.25">
      <c r="A5484" s="1002">
        <v>0.03</v>
      </c>
      <c r="B5484" s="996" t="s">
        <v>4268</v>
      </c>
      <c r="C5484" s="1008">
        <v>27.486000000000001</v>
      </c>
      <c r="D5484" s="908">
        <v>13.31</v>
      </c>
      <c r="E5484" s="709">
        <v>-0.51575347449610709</v>
      </c>
      <c r="F5484" s="946">
        <v>-1.5472604234883213E-2</v>
      </c>
      <c r="G5484" s="78"/>
      <c r="H5484" t="s">
        <v>1801</v>
      </c>
    </row>
    <row r="5485" spans="1:9" hidden="1" outlineLevel="1" x14ac:dyDescent="0.25">
      <c r="A5485" s="1002">
        <v>0.04</v>
      </c>
      <c r="B5485" s="743" t="s">
        <v>1771</v>
      </c>
      <c r="C5485" s="1008">
        <v>778.05</v>
      </c>
      <c r="D5485" s="908">
        <v>433.9</v>
      </c>
      <c r="E5485" s="709">
        <v>-0.44232375811323177</v>
      </c>
      <c r="F5485" s="946">
        <v>-1.769295032452927E-2</v>
      </c>
      <c r="G5485" s="78"/>
      <c r="H5485" t="s">
        <v>4329</v>
      </c>
    </row>
    <row r="5486" spans="1:9" hidden="1" outlineLevel="1" x14ac:dyDescent="0.25">
      <c r="A5486" s="1002">
        <v>0.06</v>
      </c>
      <c r="B5486" s="996" t="s">
        <v>2588</v>
      </c>
      <c r="C5486" s="1008">
        <v>22.524999999999999</v>
      </c>
      <c r="D5486" s="908">
        <v>10.63</v>
      </c>
      <c r="E5486" s="709">
        <v>-0.52807991120976694</v>
      </c>
      <c r="F5486" s="946">
        <v>-3.1684794672586017E-2</v>
      </c>
      <c r="G5486" s="78"/>
      <c r="H5486" t="s">
        <v>4132</v>
      </c>
    </row>
    <row r="5487" spans="1:9" hidden="1" outlineLevel="1" x14ac:dyDescent="0.25">
      <c r="A5487" s="1002">
        <v>0.02</v>
      </c>
      <c r="B5487" s="743" t="s">
        <v>4376</v>
      </c>
      <c r="C5487" s="1008">
        <v>41.424999999999997</v>
      </c>
      <c r="D5487" s="908">
        <v>59.22</v>
      </c>
      <c r="E5487" s="709">
        <v>0.4295715147857575</v>
      </c>
      <c r="F5487" s="946">
        <v>8.5914302957151509E-3</v>
      </c>
      <c r="G5487" s="78"/>
      <c r="H5487" t="s">
        <v>4326</v>
      </c>
    </row>
    <row r="5488" spans="1:9" hidden="1" outlineLevel="1" x14ac:dyDescent="0.25">
      <c r="A5488" s="1002">
        <v>0.03</v>
      </c>
      <c r="B5488" s="996" t="s">
        <v>1526</v>
      </c>
      <c r="C5488" s="1008">
        <v>83.105999999999995</v>
      </c>
      <c r="D5488" s="908">
        <v>45.335000000000001</v>
      </c>
      <c r="E5488" s="709">
        <v>-0.45449185377710388</v>
      </c>
      <c r="F5488" s="946">
        <v>-1.3634755613313116E-2</v>
      </c>
      <c r="G5488" s="78"/>
      <c r="H5488" t="s">
        <v>4146</v>
      </c>
    </row>
    <row r="5489" spans="1:8" hidden="1" outlineLevel="1" x14ac:dyDescent="0.25">
      <c r="A5489" s="1002">
        <v>0.04</v>
      </c>
      <c r="B5489" s="740" t="s">
        <v>2160</v>
      </c>
      <c r="C5489" s="1008">
        <v>31.363</v>
      </c>
      <c r="D5489" s="908">
        <v>88.19</v>
      </c>
      <c r="E5489" s="709">
        <v>1.8119121257532762</v>
      </c>
      <c r="F5489" s="946">
        <v>7.2476485030131044E-2</v>
      </c>
      <c r="G5489" s="78"/>
      <c r="H5489" t="s">
        <v>5507</v>
      </c>
    </row>
    <row r="5490" spans="1:8" hidden="1" outlineLevel="1" x14ac:dyDescent="0.25">
      <c r="A5490" s="1002">
        <v>0.03</v>
      </c>
      <c r="B5490" s="740" t="s">
        <v>1905</v>
      </c>
      <c r="C5490" s="1008">
        <v>44.765000000000001</v>
      </c>
      <c r="D5490" s="908">
        <v>52.91</v>
      </c>
      <c r="E5490" s="709">
        <v>0.1819501842957667</v>
      </c>
      <c r="F5490" s="946">
        <v>5.4585055288730007E-3</v>
      </c>
      <c r="G5490" s="78"/>
      <c r="H5490" t="s">
        <v>504</v>
      </c>
    </row>
    <row r="5491" spans="1:8" hidden="1" outlineLevel="1" x14ac:dyDescent="0.25">
      <c r="A5491" s="1002">
        <v>0.03</v>
      </c>
      <c r="B5491" s="743" t="s">
        <v>3797</v>
      </c>
      <c r="C5491" s="1008">
        <v>49.372500000000002</v>
      </c>
      <c r="D5491" s="908">
        <v>71.849999999999994</v>
      </c>
      <c r="E5491" s="709">
        <v>0.45526355764848825</v>
      </c>
      <c r="F5491" s="946">
        <v>1.3657906729454647E-2</v>
      </c>
      <c r="G5491" s="78"/>
      <c r="H5491" t="s">
        <v>3848</v>
      </c>
    </row>
    <row r="5492" spans="1:8" hidden="1" outlineLevel="1" x14ac:dyDescent="0.25">
      <c r="A5492" s="1002">
        <v>0.04</v>
      </c>
      <c r="B5492" s="939" t="s">
        <v>459</v>
      </c>
      <c r="C5492" s="1008">
        <v>954.2</v>
      </c>
      <c r="D5492" s="908">
        <v>1041.5</v>
      </c>
      <c r="E5492" s="709">
        <v>9.1490253615594153E-2</v>
      </c>
      <c r="F5492" s="946">
        <v>3.6596101446237663E-3</v>
      </c>
      <c r="G5492" s="78"/>
      <c r="H5492" t="s">
        <v>639</v>
      </c>
    </row>
    <row r="5493" spans="1:8" hidden="1" outlineLevel="1" x14ac:dyDescent="0.25">
      <c r="A5493" s="1002">
        <v>0.03</v>
      </c>
      <c r="B5493" s="996" t="s">
        <v>1190</v>
      </c>
      <c r="C5493" s="1008">
        <v>23.995000000000001</v>
      </c>
      <c r="D5493" s="908">
        <v>5.2249999999999996</v>
      </c>
      <c r="E5493" s="709">
        <v>-0.78224630131277351</v>
      </c>
      <c r="F5493" s="946">
        <v>-2.3467389039383203E-2</v>
      </c>
      <c r="G5493" s="78"/>
      <c r="H5493" t="s">
        <v>7569</v>
      </c>
    </row>
    <row r="5494" spans="1:8" hidden="1" outlineLevel="1" x14ac:dyDescent="0.25">
      <c r="A5494" s="1002">
        <v>0.04</v>
      </c>
      <c r="B5494" s="996" t="s">
        <v>1414</v>
      </c>
      <c r="C5494" s="1008">
        <v>22.381</v>
      </c>
      <c r="D5494" s="908">
        <v>29.64</v>
      </c>
      <c r="E5494" s="709">
        <v>0.3243376077923239</v>
      </c>
      <c r="F5494" s="946">
        <v>1.2973504311692956E-2</v>
      </c>
      <c r="G5494" s="78"/>
      <c r="H5494" t="s">
        <v>2428</v>
      </c>
    </row>
    <row r="5495" spans="1:8" hidden="1" outlineLevel="1" x14ac:dyDescent="0.25">
      <c r="A5495" s="1002">
        <v>0.02</v>
      </c>
      <c r="B5495" s="996" t="s">
        <v>1653</v>
      </c>
      <c r="C5495" s="1008">
        <v>12.24</v>
      </c>
      <c r="D5495" s="908">
        <v>15.345000000000001</v>
      </c>
      <c r="E5495" s="709">
        <v>0.25367647058823528</v>
      </c>
      <c r="F5495" s="946">
        <v>5.0735294117647059E-3</v>
      </c>
      <c r="G5495" s="78"/>
      <c r="H5495" t="s">
        <v>285</v>
      </c>
    </row>
    <row r="5496" spans="1:8" hidden="1" outlineLevel="1" x14ac:dyDescent="0.25">
      <c r="A5496" s="1002">
        <v>0.04</v>
      </c>
      <c r="B5496" s="743" t="s">
        <v>3424</v>
      </c>
      <c r="C5496" s="1008">
        <v>32.022500000000001</v>
      </c>
      <c r="D5496" s="908">
        <v>50.31</v>
      </c>
      <c r="E5496" s="709">
        <v>0.57108283238348045</v>
      </c>
      <c r="F5496" s="946">
        <v>2.2843313295339219E-2</v>
      </c>
      <c r="G5496" s="78"/>
      <c r="H5496" t="s">
        <v>3558</v>
      </c>
    </row>
    <row r="5497" spans="1:8" hidden="1" outlineLevel="1" x14ac:dyDescent="0.25">
      <c r="A5497" s="1002">
        <v>0.03</v>
      </c>
      <c r="B5497" s="743" t="s">
        <v>3801</v>
      </c>
      <c r="C5497" s="1008">
        <v>79.536000000000001</v>
      </c>
      <c r="D5497" s="908">
        <v>11.375</v>
      </c>
      <c r="E5497" s="709">
        <v>-0.85698300140816741</v>
      </c>
      <c r="F5497" s="946">
        <v>-2.5709490042245021E-2</v>
      </c>
      <c r="G5497" s="78"/>
      <c r="H5497" t="s">
        <v>2819</v>
      </c>
    </row>
    <row r="5498" spans="1:8" hidden="1" outlineLevel="1" x14ac:dyDescent="0.25">
      <c r="A5498" s="1002">
        <v>0.02</v>
      </c>
      <c r="B5498" s="743" t="s">
        <v>1214</v>
      </c>
      <c r="C5498" s="1008">
        <v>86.885999999999996</v>
      </c>
      <c r="D5498" s="908">
        <v>93.15</v>
      </c>
      <c r="E5498" s="709">
        <v>7.2094468614046114E-2</v>
      </c>
      <c r="F5498" s="946">
        <v>1.4418893722809223E-3</v>
      </c>
      <c r="G5498" s="78"/>
      <c r="H5498" t="s">
        <v>3775</v>
      </c>
    </row>
    <row r="5499" spans="1:8" hidden="1" outlineLevel="1" x14ac:dyDescent="0.25">
      <c r="A5499" s="1002">
        <v>0.02</v>
      </c>
      <c r="B5499" s="743" t="s">
        <v>231</v>
      </c>
      <c r="C5499" s="1008">
        <v>59.302999999999997</v>
      </c>
      <c r="D5499" s="908">
        <v>36.08</v>
      </c>
      <c r="E5499" s="709">
        <v>-0.39159907593207766</v>
      </c>
      <c r="F5499" s="946">
        <v>-7.8319815186415533E-3</v>
      </c>
      <c r="G5499" s="78"/>
      <c r="H5499" t="s">
        <v>640</v>
      </c>
    </row>
    <row r="5500" spans="1:8" hidden="1" outlineLevel="1" x14ac:dyDescent="0.25">
      <c r="A5500" s="1002">
        <v>0.02</v>
      </c>
      <c r="B5500" s="743" t="s">
        <v>3902</v>
      </c>
      <c r="C5500" s="1008">
        <v>101.2</v>
      </c>
      <c r="D5500" s="908">
        <v>253.7</v>
      </c>
      <c r="E5500" s="709">
        <v>1.5069169960474307</v>
      </c>
      <c r="F5500" s="946">
        <v>3.0138339920948613E-2</v>
      </c>
      <c r="G5500" s="78"/>
      <c r="H5500" t="s">
        <v>641</v>
      </c>
    </row>
    <row r="5501" spans="1:8" hidden="1" outlineLevel="1" x14ac:dyDescent="0.25">
      <c r="A5501" s="1002">
        <v>0.03</v>
      </c>
      <c r="B5501" s="997" t="s">
        <v>577</v>
      </c>
      <c r="C5501" s="1008">
        <v>19.033999999999999</v>
      </c>
      <c r="D5501" s="1008">
        <v>9.8520000000000003</v>
      </c>
      <c r="E5501" s="709">
        <v>-0.48239991593989695</v>
      </c>
      <c r="F5501" s="946">
        <v>-1.4471997478196908E-2</v>
      </c>
      <c r="G5501" s="78"/>
      <c r="H5501" t="s">
        <v>2804</v>
      </c>
    </row>
    <row r="5502" spans="1:8" hidden="1" outlineLevel="1" x14ac:dyDescent="0.25">
      <c r="A5502" s="1099"/>
      <c r="B5502" s="1000"/>
      <c r="C5502" s="736"/>
      <c r="D5502" s="736"/>
      <c r="E5502" s="895"/>
      <c r="F5502" s="1021">
        <v>0.16061118030431776</v>
      </c>
      <c r="G5502" s="78"/>
    </row>
    <row r="5503" spans="1:8" hidden="1" outlineLevel="1" x14ac:dyDescent="0.25">
      <c r="A5503" s="751" t="s">
        <v>1999</v>
      </c>
      <c r="B5503" s="1160">
        <v>39539</v>
      </c>
      <c r="C5503" s="719">
        <v>100</v>
      </c>
      <c r="D5503" s="719">
        <v>100.2214</v>
      </c>
      <c r="E5503" s="720">
        <v>2.2139999999999382E-3</v>
      </c>
      <c r="F5503" s="731">
        <v>2.2139999999999382E-3</v>
      </c>
      <c r="G5503" s="78"/>
    </row>
    <row r="5504" spans="1:8" hidden="1" outlineLevel="1" x14ac:dyDescent="0.25">
      <c r="A5504" s="751" t="s">
        <v>2642</v>
      </c>
      <c r="B5504" s="1161">
        <v>39630</v>
      </c>
      <c r="C5504" s="727">
        <v>100</v>
      </c>
      <c r="D5504" s="727">
        <v>89.526399999999995</v>
      </c>
      <c r="E5504" s="720">
        <v>-0.10473600000000005</v>
      </c>
      <c r="F5504" s="731">
        <v>-0.10473600000000005</v>
      </c>
      <c r="G5504" s="78"/>
    </row>
    <row r="5505" spans="1:8" hidden="1" outlineLevel="1" x14ac:dyDescent="0.25">
      <c r="A5505" s="751" t="s">
        <v>4482</v>
      </c>
      <c r="B5505" s="1161">
        <v>39722</v>
      </c>
      <c r="C5505" s="727">
        <v>100</v>
      </c>
      <c r="D5505" s="727">
        <v>69.271600000000007</v>
      </c>
      <c r="E5505" s="720">
        <v>-0.30728399999999989</v>
      </c>
      <c r="F5505" s="731">
        <v>-0.30728399999999989</v>
      </c>
      <c r="G5505" s="78"/>
    </row>
    <row r="5506" spans="1:8" hidden="1" outlineLevel="1" x14ac:dyDescent="0.25">
      <c r="A5506" s="751" t="s">
        <v>4483</v>
      </c>
      <c r="B5506" s="1161">
        <v>39814</v>
      </c>
      <c r="C5506" s="727">
        <v>100</v>
      </c>
      <c r="D5506" s="727">
        <v>57.951500000000003</v>
      </c>
      <c r="E5506" s="720">
        <v>-0.420485</v>
      </c>
      <c r="F5506" s="731">
        <v>-0.420485</v>
      </c>
      <c r="G5506" s="78"/>
    </row>
    <row r="5507" spans="1:8" hidden="1" outlineLevel="1" x14ac:dyDescent="0.25">
      <c r="A5507" s="751" t="s">
        <v>4112</v>
      </c>
      <c r="B5507" s="1161">
        <v>39904</v>
      </c>
      <c r="C5507" s="727">
        <v>100</v>
      </c>
      <c r="D5507" s="727">
        <v>59.2913</v>
      </c>
      <c r="E5507" s="720">
        <v>-0.40708699999999998</v>
      </c>
      <c r="F5507" s="731">
        <v>-0.40708699999999998</v>
      </c>
      <c r="G5507" s="78"/>
    </row>
    <row r="5508" spans="1:8" hidden="1" outlineLevel="1" x14ac:dyDescent="0.25">
      <c r="A5508" s="751" t="s">
        <v>263</v>
      </c>
      <c r="B5508" s="1161">
        <v>39995</v>
      </c>
      <c r="C5508" s="727">
        <v>100</v>
      </c>
      <c r="D5508" s="727">
        <v>69.488799999999998</v>
      </c>
      <c r="E5508" s="720">
        <v>-0.30511200000000005</v>
      </c>
      <c r="F5508" s="731">
        <v>-0.30511200000000005</v>
      </c>
      <c r="G5508" s="78"/>
    </row>
    <row r="5509" spans="1:8" hidden="1" outlineLevel="1" x14ac:dyDescent="0.25">
      <c r="A5509" s="751" t="s">
        <v>3803</v>
      </c>
      <c r="B5509" s="1161">
        <v>40087</v>
      </c>
      <c r="C5509" s="727">
        <v>100</v>
      </c>
      <c r="D5509" s="727">
        <v>73.535399999999996</v>
      </c>
      <c r="E5509" s="720">
        <v>-0.26464600000000005</v>
      </c>
      <c r="F5509" s="731">
        <v>-0.26464600000000005</v>
      </c>
      <c r="G5509" s="78"/>
    </row>
    <row r="5510" spans="1:8" hidden="1" outlineLevel="1" x14ac:dyDescent="0.25">
      <c r="A5510" s="751" t="s">
        <v>3804</v>
      </c>
      <c r="B5510" s="1161">
        <v>40179</v>
      </c>
      <c r="C5510" s="727">
        <v>100</v>
      </c>
      <c r="D5510" s="727">
        <v>75.961799999999997</v>
      </c>
      <c r="E5510" s="720">
        <v>-0.24038199999999998</v>
      </c>
      <c r="F5510" s="731">
        <v>-0.24038199999999998</v>
      </c>
      <c r="G5510" s="78"/>
    </row>
    <row r="5511" spans="1:8" hidden="1" outlineLevel="1" x14ac:dyDescent="0.25">
      <c r="A5511" s="751" t="s">
        <v>889</v>
      </c>
      <c r="B5511" s="1161">
        <v>40269</v>
      </c>
      <c r="C5511" s="727">
        <v>100</v>
      </c>
      <c r="D5511" s="727">
        <v>77.149799999999999</v>
      </c>
      <c r="E5511" s="720">
        <v>-0.22850199999999998</v>
      </c>
      <c r="F5511" s="731">
        <v>-0.22850199999999998</v>
      </c>
      <c r="G5511" s="78"/>
    </row>
    <row r="5512" spans="1:8" hidden="1" outlineLevel="1" x14ac:dyDescent="0.25">
      <c r="A5512" s="751" t="s">
        <v>890</v>
      </c>
      <c r="B5512" s="1161">
        <v>40360</v>
      </c>
      <c r="C5512" s="727">
        <v>100</v>
      </c>
      <c r="D5512" s="727">
        <v>76.535399999999996</v>
      </c>
      <c r="E5512" s="720">
        <v>-0.23464600000000002</v>
      </c>
      <c r="F5512" s="731">
        <v>-0.23464600000000002</v>
      </c>
      <c r="G5512" s="78"/>
    </row>
    <row r="5513" spans="1:8" hidden="1" outlineLevel="1" x14ac:dyDescent="0.25">
      <c r="A5513" s="751" t="s">
        <v>891</v>
      </c>
      <c r="B5513" s="1161">
        <v>40452</v>
      </c>
      <c r="C5513" s="727">
        <v>100</v>
      </c>
      <c r="D5513" s="727">
        <v>80.441299999999998</v>
      </c>
      <c r="E5513" s="720">
        <v>-0.19558700000000007</v>
      </c>
      <c r="F5513" s="731">
        <v>-0.19558700000000007</v>
      </c>
      <c r="G5513" s="78"/>
    </row>
    <row r="5514" spans="1:8" hidden="1" outlineLevel="1" x14ac:dyDescent="0.25">
      <c r="A5514" s="751" t="s">
        <v>2796</v>
      </c>
      <c r="B5514" s="1161">
        <v>40544</v>
      </c>
      <c r="C5514" s="727">
        <v>100</v>
      </c>
      <c r="D5514" s="727">
        <v>82.528300000000002</v>
      </c>
      <c r="E5514" s="720">
        <v>-0.17471700000000001</v>
      </c>
      <c r="F5514" s="731">
        <v>-0.17471700000000001</v>
      </c>
      <c r="G5514" s="78"/>
    </row>
    <row r="5515" spans="1:8" hidden="1" outlineLevel="1" x14ac:dyDescent="0.25">
      <c r="A5515" s="751" t="s">
        <v>2797</v>
      </c>
      <c r="B5515" s="1161">
        <v>40634</v>
      </c>
      <c r="C5515" s="727">
        <v>100</v>
      </c>
      <c r="D5515" s="727">
        <v>86.792699999999996</v>
      </c>
      <c r="E5515" s="720">
        <v>-0.132073</v>
      </c>
      <c r="F5515" s="731">
        <v>-0.132073</v>
      </c>
      <c r="G5515" s="78"/>
    </row>
    <row r="5516" spans="1:8" hidden="1" outlineLevel="1" x14ac:dyDescent="0.25">
      <c r="A5516" s="751" t="s">
        <v>2798</v>
      </c>
      <c r="B5516" s="1161">
        <v>40725</v>
      </c>
      <c r="C5516" s="727">
        <v>100</v>
      </c>
      <c r="D5516" s="727">
        <v>80.244200000000006</v>
      </c>
      <c r="E5516" s="720">
        <v>-0.1975579999999999</v>
      </c>
      <c r="F5516" s="731">
        <v>-0.1975579999999999</v>
      </c>
      <c r="G5516" s="78"/>
    </row>
    <row r="5517" spans="1:8" hidden="1" outlineLevel="1" x14ac:dyDescent="0.25">
      <c r="A5517" s="751" t="s">
        <v>3647</v>
      </c>
      <c r="B5517" s="1161">
        <v>40817</v>
      </c>
      <c r="C5517" s="727">
        <v>100</v>
      </c>
      <c r="D5517" s="727">
        <v>75.8643</v>
      </c>
      <c r="E5517" s="720">
        <v>-0.24135700000000004</v>
      </c>
      <c r="F5517" s="731">
        <v>-0.24135700000000004</v>
      </c>
      <c r="G5517" s="78"/>
      <c r="H5517" s="412" t="s">
        <v>1837</v>
      </c>
    </row>
    <row r="5518" spans="1:8" hidden="1" outlineLevel="1" x14ac:dyDescent="0.25">
      <c r="A5518" s="751" t="s">
        <v>3728</v>
      </c>
      <c r="B5518" s="1161">
        <v>40909</v>
      </c>
      <c r="C5518" s="727">
        <v>100</v>
      </c>
      <c r="D5518" s="727">
        <v>78.3904</v>
      </c>
      <c r="E5518" s="720">
        <v>-0.21609599999999995</v>
      </c>
      <c r="F5518" s="731">
        <v>-0.21609599999999995</v>
      </c>
      <c r="G5518" s="78"/>
      <c r="H5518" s="261">
        <v>-0.22925337500000001</v>
      </c>
    </row>
    <row r="5519" spans="1:8" hidden="1" outlineLevel="1" x14ac:dyDescent="0.25">
      <c r="A5519" s="749"/>
      <c r="B5519" s="750"/>
      <c r="C5519" s="727"/>
      <c r="D5519" s="727"/>
      <c r="E5519" s="720"/>
      <c r="F5519" s="770"/>
      <c r="G5519" s="78"/>
    </row>
    <row r="5520" spans="1:8" collapsed="1" x14ac:dyDescent="0.25">
      <c r="A5520" s="3801" t="s">
        <v>4552</v>
      </c>
      <c r="B5520" s="3802"/>
      <c r="C5520" s="3802"/>
      <c r="D5520" s="3802"/>
      <c r="E5520" s="721"/>
      <c r="F5520" s="722">
        <v>0</v>
      </c>
      <c r="G5520" s="97" t="s">
        <v>781</v>
      </c>
    </row>
    <row r="5521" spans="1:11" x14ac:dyDescent="0.25">
      <c r="A5521" s="415"/>
      <c r="B5521" s="415"/>
      <c r="C5521" s="415"/>
      <c r="D5521" s="415"/>
      <c r="E5521" s="415"/>
      <c r="F5521" s="1853"/>
      <c r="G5521" s="415"/>
      <c r="H5521" s="415"/>
    </row>
    <row r="5522" spans="1:11" hidden="1" outlineLevel="1" x14ac:dyDescent="0.25">
      <c r="A5522" s="689" t="s">
        <v>113</v>
      </c>
      <c r="B5522" s="689" t="s">
        <v>114</v>
      </c>
      <c r="C5522" s="689" t="s">
        <v>112</v>
      </c>
      <c r="D5522" s="689" t="s">
        <v>2328</v>
      </c>
      <c r="E5522" s="495" t="s">
        <v>117</v>
      </c>
      <c r="F5522" s="1021" t="s">
        <v>121</v>
      </c>
      <c r="G5522" s="78"/>
    </row>
    <row r="5523" spans="1:11" hidden="1" outlineLevel="1" x14ac:dyDescent="0.25">
      <c r="A5523" s="799"/>
      <c r="B5523" s="799" t="s">
        <v>3564</v>
      </c>
      <c r="C5523" s="800">
        <v>23807.050999999999</v>
      </c>
      <c r="D5523" s="800">
        <v>23729.53</v>
      </c>
      <c r="E5523" s="3813">
        <v>1.7093788821657574E-2</v>
      </c>
      <c r="F5523" s="3816">
        <v>1.8803167703823332E-2</v>
      </c>
      <c r="G5523" s="78"/>
      <c r="H5523" t="str">
        <f>VLOOKUP(B5523,indexy!A:D,4,FALSE)</f>
        <v>HSI Index</v>
      </c>
    </row>
    <row r="5524" spans="1:11" hidden="1" outlineLevel="1" x14ac:dyDescent="0.25">
      <c r="A5524" s="852"/>
      <c r="B5524" s="852" t="s">
        <v>1916</v>
      </c>
      <c r="C5524" s="802">
        <v>213.31200000000001</v>
      </c>
      <c r="D5524" s="1028">
        <v>258.07</v>
      </c>
      <c r="E5524" s="3814"/>
      <c r="F5524" s="3817"/>
      <c r="G5524" s="78"/>
      <c r="H5524" t="str">
        <f>VLOOKUP(B5524,indexy!A:D,4,FALSE)</f>
        <v>KOSPI2 Index</v>
      </c>
    </row>
    <row r="5525" spans="1:11" hidden="1" outlineLevel="1" x14ac:dyDescent="0.25">
      <c r="A5525" s="852"/>
      <c r="B5525" s="852" t="s">
        <v>3232</v>
      </c>
      <c r="C5525" s="802">
        <v>1421.761</v>
      </c>
      <c r="D5525" s="1028">
        <v>1627.55</v>
      </c>
      <c r="E5525" s="3814"/>
      <c r="F5525" s="3817"/>
      <c r="G5525" s="78"/>
      <c r="H5525" t="str">
        <f>VLOOKUP(B5525,indexy!A:D,4,FALSE)</f>
        <v>KLCI Index</v>
      </c>
    </row>
    <row r="5526" spans="1:11" hidden="1" outlineLevel="1" x14ac:dyDescent="0.25">
      <c r="A5526" s="852"/>
      <c r="B5526" s="852" t="s">
        <v>2019</v>
      </c>
      <c r="C5526" s="741">
        <v>369.00599999999997</v>
      </c>
      <c r="D5526" s="1028">
        <v>369.08</v>
      </c>
      <c r="E5526" s="3814"/>
      <c r="F5526" s="3817"/>
      <c r="G5526" s="78"/>
      <c r="H5526" t="str">
        <f>VLOOKUP(B5526,indexy!A:D,4,FALSE)</f>
        <v>SGY Index</v>
      </c>
    </row>
    <row r="5527" spans="1:11" hidden="1" outlineLevel="1" x14ac:dyDescent="0.25">
      <c r="A5527" s="852"/>
      <c r="B5527" s="852" t="s">
        <v>1124</v>
      </c>
      <c r="C5527" s="741">
        <v>307.03300000000002</v>
      </c>
      <c r="D5527" s="1028">
        <v>281.95999999999998</v>
      </c>
      <c r="E5527" s="3822"/>
      <c r="F5527" s="3817"/>
      <c r="G5527" s="78"/>
      <c r="H5527" t="str">
        <f>VLOOKUP(B5527,indexy!A:D,4,FALSE)</f>
        <v>TWY Index</v>
      </c>
    </row>
    <row r="5528" spans="1:11" hidden="1" outlineLevel="1" x14ac:dyDescent="0.25">
      <c r="A5528" s="801"/>
      <c r="B5528" s="801" t="s">
        <v>761</v>
      </c>
      <c r="C5528" s="747">
        <v>13376.526</v>
      </c>
      <c r="D5528" s="806">
        <v>11138.66</v>
      </c>
      <c r="E5528" s="3823"/>
      <c r="F5528" s="3818"/>
      <c r="G5528" s="78"/>
      <c r="H5528" t="str">
        <f>VLOOKUP(B5528,indexy!A:D,4,FALSE)</f>
        <v>NKY Index</v>
      </c>
    </row>
    <row r="5529" spans="1:11" hidden="1" outlineLevel="1" x14ac:dyDescent="0.25">
      <c r="A5529" s="799"/>
      <c r="B5529" s="799" t="s">
        <v>3564</v>
      </c>
      <c r="C5529" s="799" t="s">
        <v>3232</v>
      </c>
      <c r="D5529" s="799" t="s">
        <v>1124</v>
      </c>
      <c r="E5529" s="1162"/>
      <c r="F5529" s="1098"/>
      <c r="G5529" s="78"/>
    </row>
    <row r="5530" spans="1:11" hidden="1" outlineLevel="1" x14ac:dyDescent="0.25">
      <c r="A5530" s="801"/>
      <c r="B5530" s="852" t="s">
        <v>3232</v>
      </c>
      <c r="C5530" s="801" t="s">
        <v>2019</v>
      </c>
      <c r="D5530" s="801" t="s">
        <v>761</v>
      </c>
      <c r="E5530" s="1162"/>
      <c r="F5530" s="1098"/>
      <c r="G5530" s="78"/>
      <c r="H5530" s="21"/>
      <c r="I5530" s="21"/>
    </row>
    <row r="5531" spans="1:11" hidden="1" outlineLevel="1" x14ac:dyDescent="0.25">
      <c r="A5531" s="1163" t="s">
        <v>3729</v>
      </c>
      <c r="B5531" s="1092">
        <v>25755.35</v>
      </c>
      <c r="C5531" s="736">
        <v>1279.8599999999999</v>
      </c>
      <c r="D5531" s="800">
        <v>343.97</v>
      </c>
      <c r="E5531" s="1164"/>
      <c r="F5531" s="1056">
        <v>4.9628459311929163E-2</v>
      </c>
      <c r="G5531" s="78"/>
      <c r="H5531" s="21"/>
      <c r="I5531" s="158">
        <v>235</v>
      </c>
      <c r="J5531" s="157">
        <v>390.54</v>
      </c>
      <c r="K5531" s="343">
        <v>13849.99</v>
      </c>
    </row>
    <row r="5532" spans="1:11" hidden="1" outlineLevel="1" x14ac:dyDescent="0.25">
      <c r="A5532" s="1163" t="s">
        <v>1738</v>
      </c>
      <c r="B5532" s="1092">
        <v>22731.1</v>
      </c>
      <c r="C5532" s="736">
        <v>1163.0899999999999</v>
      </c>
      <c r="D5532" s="800">
        <v>269.06</v>
      </c>
      <c r="E5532" s="1164"/>
      <c r="F5532" s="1056">
        <v>-6.9816293809271346E-2</v>
      </c>
      <c r="G5532" s="78"/>
      <c r="H5532" s="21"/>
      <c r="I5532" s="158">
        <v>204.12</v>
      </c>
      <c r="J5532" s="157">
        <v>359.77</v>
      </c>
      <c r="K5532" s="343">
        <v>13376.81</v>
      </c>
    </row>
    <row r="5533" spans="1:11" hidden="1" outlineLevel="1" x14ac:dyDescent="0.25">
      <c r="A5533" s="1163" t="s">
        <v>1739</v>
      </c>
      <c r="B5533" s="1092">
        <v>13968.67</v>
      </c>
      <c r="C5533" s="736">
        <v>863.61</v>
      </c>
      <c r="D5533" s="800">
        <v>186.08</v>
      </c>
      <c r="E5533" s="1164"/>
      <c r="F5533" s="1056">
        <v>-0.38102135972029871</v>
      </c>
      <c r="G5533" s="78"/>
      <c r="H5533" s="21"/>
      <c r="I5533" s="158">
        <v>147.5</v>
      </c>
      <c r="J5533" s="157">
        <v>214.38</v>
      </c>
      <c r="K5533" s="343">
        <v>8576.98</v>
      </c>
    </row>
    <row r="5534" spans="1:11" hidden="1" outlineLevel="1" x14ac:dyDescent="0.25">
      <c r="A5534" s="1163" t="s">
        <v>590</v>
      </c>
      <c r="B5534" s="1092">
        <v>13278.21</v>
      </c>
      <c r="C5534" s="1092">
        <v>884.45</v>
      </c>
      <c r="D5534" s="1092">
        <v>159.63</v>
      </c>
      <c r="E5534" s="1164"/>
      <c r="F5534" s="1056">
        <v>-0.403260097260283</v>
      </c>
      <c r="G5534" s="78"/>
      <c r="H5534" s="21"/>
      <c r="I5534" s="247">
        <v>151.33000000000001</v>
      </c>
      <c r="J5534" s="247">
        <v>211.68</v>
      </c>
      <c r="K5534" s="247">
        <v>7994.05</v>
      </c>
    </row>
    <row r="5535" spans="1:11" hidden="1" outlineLevel="1" x14ac:dyDescent="0.25">
      <c r="A5535" s="1163" t="s">
        <v>591</v>
      </c>
      <c r="B5535" s="1092">
        <v>15520.99</v>
      </c>
      <c r="C5535" s="736">
        <v>990.74</v>
      </c>
      <c r="D5535" s="800">
        <v>222.16</v>
      </c>
      <c r="E5535" s="1164"/>
      <c r="F5535" s="1056">
        <v>-0.30251187682377145</v>
      </c>
      <c r="G5535" s="78"/>
      <c r="H5535" s="21"/>
      <c r="I5535" s="158">
        <v>176</v>
      </c>
      <c r="J5535" s="157">
        <v>231.55</v>
      </c>
      <c r="K5535" s="343">
        <v>8828.26</v>
      </c>
    </row>
    <row r="5536" spans="1:11" hidden="1" outlineLevel="1" x14ac:dyDescent="0.25">
      <c r="A5536" s="1163" t="s">
        <v>592</v>
      </c>
      <c r="B5536" s="1092">
        <v>20573.330000000002</v>
      </c>
      <c r="C5536" s="736">
        <v>1174.9000000000001</v>
      </c>
      <c r="D5536" s="800">
        <v>258.42</v>
      </c>
      <c r="E5536" s="1164"/>
      <c r="F5536" s="1056">
        <v>-0.1449885186940798</v>
      </c>
      <c r="G5536" s="78"/>
      <c r="H5536" s="21"/>
      <c r="I5536" s="158">
        <v>202.96</v>
      </c>
      <c r="J5536" s="157">
        <v>321.82</v>
      </c>
      <c r="K5536" s="343">
        <v>10356.83</v>
      </c>
    </row>
    <row r="5537" spans="1:11" hidden="1" outlineLevel="1" x14ac:dyDescent="0.25">
      <c r="A5537" s="1163" t="s">
        <v>593</v>
      </c>
      <c r="B5537" s="1092">
        <v>21752.87</v>
      </c>
      <c r="C5537" s="736">
        <v>1243.23</v>
      </c>
      <c r="D5537" s="800">
        <v>266.93</v>
      </c>
      <c r="E5537" s="1164"/>
      <c r="F5537" s="1056">
        <v>-0.12769890707531451</v>
      </c>
      <c r="G5537" s="78"/>
      <c r="H5537" s="21"/>
      <c r="I5537" s="158">
        <v>206.81</v>
      </c>
      <c r="J5537" s="157">
        <v>316.08</v>
      </c>
      <c r="K5537" s="343">
        <v>10034.74</v>
      </c>
    </row>
    <row r="5538" spans="1:11" hidden="1" outlineLevel="1" x14ac:dyDescent="0.25">
      <c r="A5538" s="1163" t="s">
        <v>594</v>
      </c>
      <c r="B5538" s="1092">
        <v>20121.990000000002</v>
      </c>
      <c r="C5538" s="736">
        <v>1259.1600000000001</v>
      </c>
      <c r="D5538" s="800">
        <v>276.42</v>
      </c>
      <c r="E5538" s="1164"/>
      <c r="F5538" s="1056">
        <v>-0.12197952020665159</v>
      </c>
      <c r="G5538" s="78"/>
      <c r="H5538" s="21"/>
      <c r="I5538" s="158">
        <v>210.34</v>
      </c>
      <c r="J5538" s="157">
        <v>327.87</v>
      </c>
      <c r="K5538" s="343">
        <v>10198.040000000001</v>
      </c>
    </row>
    <row r="5539" spans="1:11" hidden="1" outlineLevel="1" x14ac:dyDescent="0.25">
      <c r="A5539" s="1163" t="s">
        <v>595</v>
      </c>
      <c r="B5539" s="1092">
        <v>21108.59</v>
      </c>
      <c r="C5539" s="736">
        <v>1346.38</v>
      </c>
      <c r="D5539" s="800">
        <v>285.94</v>
      </c>
      <c r="E5539" s="1164"/>
      <c r="F5539" s="1056">
        <v>-6.3890622295299182E-2</v>
      </c>
      <c r="G5539" s="78"/>
      <c r="I5539" s="158">
        <v>227.95</v>
      </c>
      <c r="J5539" s="157">
        <v>352.94</v>
      </c>
      <c r="K5539" s="343">
        <v>11057.4</v>
      </c>
    </row>
    <row r="5540" spans="1:11" hidden="1" outlineLevel="1" x14ac:dyDescent="0.25">
      <c r="A5540" s="1163" t="s">
        <v>3369</v>
      </c>
      <c r="B5540" s="1092">
        <v>21029.81</v>
      </c>
      <c r="C5540" s="736">
        <v>1360.92</v>
      </c>
      <c r="D5540" s="800">
        <v>276.07</v>
      </c>
      <c r="E5540" s="1164"/>
      <c r="F5540" s="1056">
        <v>-8.5409876290013953E-2</v>
      </c>
      <c r="G5540" s="78"/>
      <c r="I5540" s="158">
        <v>229.25</v>
      </c>
      <c r="J5540" s="157">
        <v>354.29</v>
      </c>
      <c r="K5540" s="343">
        <v>9537.2999999999993</v>
      </c>
    </row>
    <row r="5541" spans="1:11" hidden="1" outlineLevel="1" x14ac:dyDescent="0.25">
      <c r="A5541" s="1163" t="s">
        <v>3370</v>
      </c>
      <c r="B5541" s="1092">
        <v>23096.32</v>
      </c>
      <c r="C5541" s="736">
        <v>1505.66</v>
      </c>
      <c r="D5541" s="800">
        <v>293.45</v>
      </c>
      <c r="E5541" s="1164"/>
      <c r="F5541" s="1056">
        <v>-3.087186026471167E-2</v>
      </c>
      <c r="G5541" s="78"/>
      <c r="I5541" s="158">
        <v>242.98</v>
      </c>
      <c r="J5541" s="157">
        <v>370.04</v>
      </c>
      <c r="K5541" s="343">
        <v>9202.4500000000007</v>
      </c>
    </row>
    <row r="5542" spans="1:11" hidden="1" outlineLevel="1" x14ac:dyDescent="0.25">
      <c r="A5542" s="1163" t="s">
        <v>3371</v>
      </c>
      <c r="B5542" s="1092">
        <v>23447.34</v>
      </c>
      <c r="C5542" s="736">
        <v>1519.94</v>
      </c>
      <c r="D5542" s="800">
        <v>328.04</v>
      </c>
      <c r="E5542" s="1164"/>
      <c r="F5542" s="1056">
        <v>3.1165300168993326E-2</v>
      </c>
      <c r="G5542" s="78"/>
      <c r="I5542" s="158">
        <v>273.12</v>
      </c>
      <c r="J5542" s="157">
        <v>375.97</v>
      </c>
      <c r="K5542" s="343">
        <v>10237.92</v>
      </c>
    </row>
    <row r="5543" spans="1:11" hidden="1" outlineLevel="1" x14ac:dyDescent="0.25">
      <c r="A5543" s="1163" t="s">
        <v>3372</v>
      </c>
      <c r="B5543" s="1092">
        <v>23720.81</v>
      </c>
      <c r="C5543" s="736">
        <v>1534.95</v>
      </c>
      <c r="D5543" s="800">
        <v>320.13</v>
      </c>
      <c r="E5543" s="1164"/>
      <c r="F5543" s="1056">
        <v>3.8628916729540608E-2</v>
      </c>
      <c r="I5543" s="195">
        <v>290.39</v>
      </c>
      <c r="J5543" s="364">
        <v>374.7</v>
      </c>
      <c r="K5543" s="365">
        <v>9849.74</v>
      </c>
    </row>
    <row r="5544" spans="1:11" hidden="1" outlineLevel="1" x14ac:dyDescent="0.25">
      <c r="A5544" s="1163" t="s">
        <v>2435</v>
      </c>
      <c r="B5544" s="1092">
        <v>22440.25</v>
      </c>
      <c r="C5544" s="736">
        <v>1548.81</v>
      </c>
      <c r="D5544" s="800">
        <v>301.33999999999997</v>
      </c>
      <c r="E5544" s="1164"/>
      <c r="F5544" s="1056">
        <v>8.3638538028050213E-3</v>
      </c>
      <c r="G5544" s="78"/>
      <c r="H5544" s="21"/>
      <c r="I5544" s="158">
        <v>277.11</v>
      </c>
      <c r="J5544" s="158">
        <v>369.96</v>
      </c>
      <c r="K5544" s="158">
        <v>9833.0300000000007</v>
      </c>
    </row>
    <row r="5545" spans="1:11" hidden="1" outlineLevel="1" x14ac:dyDescent="0.25">
      <c r="A5545" s="1163" t="s">
        <v>2436</v>
      </c>
      <c r="B5545" s="1092">
        <v>19864.87</v>
      </c>
      <c r="C5545" s="736">
        <v>1491.89</v>
      </c>
      <c r="D5545" s="800">
        <v>269.45999999999998</v>
      </c>
      <c r="E5545" s="1164"/>
      <c r="F5545" s="1056">
        <v>-8.4837674623695736E-2</v>
      </c>
      <c r="I5545" s="417">
        <v>249.88</v>
      </c>
      <c r="J5545" s="417">
        <v>327.02</v>
      </c>
      <c r="K5545" s="158">
        <v>8988.39</v>
      </c>
    </row>
    <row r="5546" spans="1:11" hidden="1" outlineLevel="1" x14ac:dyDescent="0.25">
      <c r="A5546" s="1163" t="s">
        <v>2437</v>
      </c>
      <c r="B5546" s="1092">
        <v>20390.490000000002</v>
      </c>
      <c r="C5546" s="736">
        <v>1521.29</v>
      </c>
      <c r="D5546" s="800">
        <v>270.81</v>
      </c>
      <c r="E5546" s="1164"/>
      <c r="F5546" s="1056">
        <v>-7.0517117958526887E-2</v>
      </c>
      <c r="G5546" s="78"/>
      <c r="H5546" s="21"/>
      <c r="I5546" s="417">
        <v>256.89999999999998</v>
      </c>
      <c r="J5546" s="417">
        <v>334.31</v>
      </c>
      <c r="K5546" s="417">
        <v>8802.51</v>
      </c>
    </row>
    <row r="5547" spans="1:11" hidden="1" outlineLevel="1" x14ac:dyDescent="0.25">
      <c r="A5547" s="1163" t="s">
        <v>3820</v>
      </c>
      <c r="B5547" s="1092">
        <v>21094.21</v>
      </c>
      <c r="C5547" s="736">
        <v>1570.61</v>
      </c>
      <c r="D5547" s="800">
        <v>269.07</v>
      </c>
      <c r="E5547" s="1164"/>
      <c r="F5547" s="1056">
        <v>-4.2011696507022966E-2</v>
      </c>
      <c r="I5547" s="417">
        <v>264.35000000000002</v>
      </c>
      <c r="J5547" s="417">
        <v>343.1</v>
      </c>
      <c r="K5547" s="417">
        <v>9520.89</v>
      </c>
    </row>
    <row r="5548" spans="1:11" hidden="1" outlineLevel="1" x14ac:dyDescent="0.25">
      <c r="A5548" s="1163" t="s">
        <v>3821</v>
      </c>
      <c r="B5548" s="1092">
        <v>19796.810000000001</v>
      </c>
      <c r="C5548" s="736">
        <v>1631.6</v>
      </c>
      <c r="D5548" s="800">
        <v>257.54000000000002</v>
      </c>
      <c r="E5548" s="1164"/>
      <c r="F5548" s="1056">
        <v>-6.8006936460695999E-2</v>
      </c>
      <c r="G5548" s="78"/>
      <c r="I5548" s="417">
        <v>250.08</v>
      </c>
      <c r="J5548" s="417">
        <v>351.15</v>
      </c>
      <c r="K5548" s="417">
        <v>8695.06</v>
      </c>
    </row>
    <row r="5549" spans="1:11" hidden="1" outlineLevel="1" x14ac:dyDescent="0.25">
      <c r="A5549" s="1163" t="s">
        <v>3822</v>
      </c>
      <c r="B5549" s="1092">
        <v>21641.82</v>
      </c>
      <c r="C5549" s="736">
        <v>1673.07</v>
      </c>
      <c r="D5549" s="800">
        <v>257.31</v>
      </c>
      <c r="E5549" s="1164"/>
      <c r="F5549" s="1056">
        <v>-5.0594784593493647E-2</v>
      </c>
      <c r="I5549" s="417">
        <v>250.18</v>
      </c>
      <c r="J5549" s="417">
        <v>344.01</v>
      </c>
      <c r="K5549" s="417">
        <v>8928.2900000000009</v>
      </c>
    </row>
    <row r="5550" spans="1:11" hidden="1" outlineLevel="1" x14ac:dyDescent="0.25">
      <c r="A5550" s="1163" t="s">
        <v>3823</v>
      </c>
      <c r="B5550" s="1092"/>
      <c r="C5550" s="1105"/>
      <c r="D5550" s="1165"/>
      <c r="E5550" s="899"/>
      <c r="F5550" s="1093">
        <v>-5.0594784593493647E-2</v>
      </c>
      <c r="G5550" s="78"/>
      <c r="I5550" s="417"/>
      <c r="J5550" s="417"/>
      <c r="K5550" s="417"/>
    </row>
    <row r="5551" spans="1:11" hidden="1" outlineLevel="1" x14ac:dyDescent="0.25">
      <c r="A5551" s="1166"/>
      <c r="B5551" s="695"/>
      <c r="C5551" s="696"/>
      <c r="D5551" s="956"/>
      <c r="E5551" s="1162"/>
      <c r="F5551" s="1098"/>
    </row>
    <row r="5552" spans="1:11" hidden="1" outlineLevel="1" x14ac:dyDescent="0.25">
      <c r="A5552" s="1166"/>
      <c r="B5552" s="695"/>
      <c r="C5552" s="696"/>
      <c r="D5552" s="956"/>
      <c r="E5552" s="1162"/>
      <c r="F5552" s="1098"/>
      <c r="G5552" s="78"/>
    </row>
    <row r="5553" spans="1:7" hidden="1" outlineLevel="1" x14ac:dyDescent="0.25">
      <c r="A5553" s="1166"/>
      <c r="B5553" s="695"/>
      <c r="C5553" s="696"/>
      <c r="D5553" s="956"/>
      <c r="E5553" s="1162"/>
      <c r="F5553" s="1098"/>
    </row>
    <row r="5554" spans="1:7" hidden="1" outlineLevel="1" x14ac:dyDescent="0.25">
      <c r="A5554" s="1166"/>
      <c r="B5554" s="695"/>
      <c r="C5554" s="696"/>
      <c r="D5554" s="956"/>
      <c r="E5554" s="1162"/>
      <c r="F5554" s="1098"/>
      <c r="G5554" s="78"/>
    </row>
    <row r="5555" spans="1:7" hidden="1" outlineLevel="1" x14ac:dyDescent="0.25">
      <c r="A5555" s="1166"/>
      <c r="B5555" s="695"/>
      <c r="C5555" s="696"/>
      <c r="D5555" s="956"/>
      <c r="E5555" s="1162"/>
      <c r="F5555" s="1098"/>
      <c r="G5555" s="78"/>
    </row>
    <row r="5556" spans="1:7" hidden="1" outlineLevel="1" x14ac:dyDescent="0.25">
      <c r="A5556" s="1166"/>
      <c r="B5556" s="695"/>
      <c r="C5556" s="696"/>
      <c r="D5556" s="956"/>
      <c r="E5556" s="1162"/>
      <c r="F5556" s="1098"/>
      <c r="G5556" s="78"/>
    </row>
    <row r="5557" spans="1:7" hidden="1" outlineLevel="1" x14ac:dyDescent="0.25">
      <c r="A5557" s="1166"/>
      <c r="B5557" s="695"/>
      <c r="C5557" s="696"/>
      <c r="D5557" s="956"/>
      <c r="E5557" s="1162"/>
      <c r="F5557" s="1098"/>
      <c r="G5557" s="78"/>
    </row>
    <row r="5558" spans="1:7" hidden="1" outlineLevel="1" x14ac:dyDescent="0.25">
      <c r="A5558" s="1166"/>
      <c r="B5558" s="695"/>
      <c r="C5558" s="696"/>
      <c r="D5558" s="956"/>
      <c r="E5558" s="1162"/>
      <c r="F5558" s="1098"/>
      <c r="G5558" s="78"/>
    </row>
    <row r="5559" spans="1:7" hidden="1" outlineLevel="1" x14ac:dyDescent="0.25">
      <c r="A5559" s="1166"/>
      <c r="B5559" s="695"/>
      <c r="C5559" s="696"/>
      <c r="D5559" s="956"/>
      <c r="E5559" s="1162"/>
      <c r="F5559" s="1098"/>
      <c r="G5559" s="78"/>
    </row>
    <row r="5560" spans="1:7" hidden="1" outlineLevel="1" x14ac:dyDescent="0.25">
      <c r="A5560" s="1166"/>
      <c r="B5560" s="695"/>
      <c r="C5560" s="696"/>
      <c r="D5560" s="956"/>
      <c r="E5560" s="1162"/>
      <c r="F5560" s="1098"/>
      <c r="G5560" s="78"/>
    </row>
    <row r="5561" spans="1:7" hidden="1" outlineLevel="1" x14ac:dyDescent="0.25">
      <c r="A5561" s="1166"/>
      <c r="B5561" s="695"/>
      <c r="C5561" s="696"/>
      <c r="D5561" s="956"/>
      <c r="E5561" s="1162"/>
      <c r="F5561" s="1098"/>
      <c r="G5561" s="78"/>
    </row>
    <row r="5562" spans="1:7" hidden="1" outlineLevel="1" x14ac:dyDescent="0.25">
      <c r="A5562" s="1166"/>
      <c r="B5562" s="695"/>
      <c r="C5562" s="696"/>
      <c r="D5562" s="956"/>
      <c r="E5562" s="1162"/>
      <c r="F5562" s="1098"/>
      <c r="G5562" s="78"/>
    </row>
    <row r="5563" spans="1:7" hidden="1" outlineLevel="1" x14ac:dyDescent="0.25">
      <c r="A5563" s="1166"/>
      <c r="B5563" s="695"/>
      <c r="C5563" s="696"/>
      <c r="D5563" s="956"/>
      <c r="E5563" s="1162"/>
      <c r="F5563" s="1098"/>
      <c r="G5563" s="78"/>
    </row>
    <row r="5564" spans="1:7" hidden="1" outlineLevel="1" x14ac:dyDescent="0.25">
      <c r="A5564" s="1166"/>
      <c r="B5564" s="695"/>
      <c r="C5564" s="696"/>
      <c r="D5564" s="956"/>
      <c r="E5564" s="1162"/>
      <c r="F5564" s="1098"/>
      <c r="G5564" s="78"/>
    </row>
    <row r="5565" spans="1:7" hidden="1" outlineLevel="1" x14ac:dyDescent="0.25">
      <c r="A5565" s="1167"/>
      <c r="B5565" s="695"/>
      <c r="C5565" s="696"/>
      <c r="D5565" s="956"/>
      <c r="E5565" s="1168" t="s">
        <v>1837</v>
      </c>
      <c r="F5565" s="1873">
        <v>-9.8511269858167785E-2</v>
      </c>
      <c r="G5565" s="78"/>
    </row>
    <row r="5566" spans="1:7" hidden="1" outlineLevel="1" x14ac:dyDescent="0.25">
      <c r="A5566" s="1167"/>
      <c r="B5566" s="695"/>
      <c r="C5566" s="696"/>
      <c r="D5566" s="956"/>
      <c r="E5566" s="1162"/>
      <c r="F5566" s="1098"/>
      <c r="G5566" s="78"/>
    </row>
    <row r="5567" spans="1:7" hidden="1" outlineLevel="1" x14ac:dyDescent="0.25">
      <c r="A5567" s="1167"/>
      <c r="B5567" s="695"/>
      <c r="C5567" s="696"/>
      <c r="D5567" s="956"/>
      <c r="E5567" s="1162"/>
      <c r="F5567" s="1098"/>
      <c r="G5567" s="78"/>
    </row>
    <row r="5568" spans="1:7" hidden="1" outlineLevel="1" x14ac:dyDescent="0.25">
      <c r="A5568" s="713"/>
      <c r="B5568" s="726"/>
      <c r="C5568" s="727"/>
      <c r="D5568" s="1030"/>
      <c r="E5568" s="1169"/>
      <c r="F5568" s="1796"/>
      <c r="G5568" s="78"/>
    </row>
    <row r="5569" spans="1:12" ht="12" customHeight="1" collapsed="1" x14ac:dyDescent="0.25">
      <c r="A5569" s="3801" t="s">
        <v>1232</v>
      </c>
      <c r="B5569" s="3802"/>
      <c r="C5569" s="3802"/>
      <c r="D5569" s="3802"/>
      <c r="E5569" s="729"/>
      <c r="F5569" s="934">
        <v>0</v>
      </c>
      <c r="G5569" s="97" t="s">
        <v>781</v>
      </c>
    </row>
    <row r="5571" spans="1:12" hidden="1" outlineLevel="1" x14ac:dyDescent="0.25">
      <c r="A5571" s="689" t="s">
        <v>113</v>
      </c>
      <c r="B5571" s="689" t="s">
        <v>114</v>
      </c>
      <c r="C5571" s="689" t="s">
        <v>112</v>
      </c>
      <c r="D5571" s="689" t="s">
        <v>116</v>
      </c>
      <c r="E5571" s="689" t="s">
        <v>117</v>
      </c>
      <c r="F5571" s="1188" t="s">
        <v>121</v>
      </c>
      <c r="G5571" s="78"/>
    </row>
    <row r="5572" spans="1:12" hidden="1" outlineLevel="1" x14ac:dyDescent="0.25">
      <c r="A5572" s="690">
        <v>1</v>
      </c>
      <c r="B5572" s="691" t="s">
        <v>252</v>
      </c>
      <c r="C5572" s="692"/>
      <c r="D5572" s="692"/>
      <c r="E5572" s="693"/>
      <c r="F5572" s="694"/>
      <c r="G5572" s="78"/>
    </row>
    <row r="5573" spans="1:12" hidden="1" outlineLevel="1" x14ac:dyDescent="0.25">
      <c r="A5573" s="695"/>
      <c r="B5573" s="695"/>
      <c r="C5573" s="696"/>
      <c r="D5573" s="697" t="s">
        <v>3702</v>
      </c>
      <c r="E5573" s="698">
        <v>41198</v>
      </c>
      <c r="F5573" s="699"/>
      <c r="G5573" s="78"/>
    </row>
    <row r="5574" spans="1:12" hidden="1" outlineLevel="1" x14ac:dyDescent="0.25">
      <c r="A5574" s="689" t="s">
        <v>4156</v>
      </c>
      <c r="B5574" s="689" t="s">
        <v>4153</v>
      </c>
      <c r="C5574" s="700" t="s">
        <v>112</v>
      </c>
      <c r="D5574" s="689" t="s">
        <v>4155</v>
      </c>
      <c r="E5574" s="689" t="s">
        <v>4154</v>
      </c>
      <c r="F5574" s="1021" t="s">
        <v>2519</v>
      </c>
      <c r="G5574" s="78"/>
    </row>
    <row r="5575" spans="1:12" hidden="1" outlineLevel="1" x14ac:dyDescent="0.25">
      <c r="A5575" s="734">
        <v>0.02</v>
      </c>
      <c r="B5575" s="735" t="s">
        <v>280</v>
      </c>
      <c r="C5575" s="992">
        <v>49.344999999999999</v>
      </c>
      <c r="D5575" s="737">
        <v>43</v>
      </c>
      <c r="E5575" s="817">
        <v>-0.12858445637855909</v>
      </c>
      <c r="F5575" s="1021">
        <v>-2.5716891275711817E-3</v>
      </c>
      <c r="G5575" s="78"/>
      <c r="H5575" t="str">
        <f>VLOOKUP(B5575,indexy!$A$44:$D$232,3,FALSE)</f>
        <v>AKZA NA Equity</v>
      </c>
    </row>
    <row r="5576" spans="1:12" hidden="1" outlineLevel="1" x14ac:dyDescent="0.25">
      <c r="A5576" s="849">
        <v>0.05</v>
      </c>
      <c r="B5576" s="740" t="s">
        <v>157</v>
      </c>
      <c r="C5576" s="993">
        <v>11.757</v>
      </c>
      <c r="D5576" s="737">
        <v>6.06</v>
      </c>
      <c r="E5576" s="818">
        <v>-0.4845623883643787</v>
      </c>
      <c r="F5576" s="946">
        <v>-2.4228119418218938E-2</v>
      </c>
      <c r="G5576" s="78"/>
      <c r="H5576" t="str">
        <f>VLOOKUP(B5576,indexy!$A$44:$D$232,3,FALSE)</f>
        <v>SAN SM Equity</v>
      </c>
      <c r="J5576" t="s">
        <v>631</v>
      </c>
      <c r="K5576" s="31"/>
    </row>
    <row r="5577" spans="1:12" hidden="1" outlineLevel="1" x14ac:dyDescent="0.25">
      <c r="A5577" s="849">
        <v>0.04</v>
      </c>
      <c r="B5577" s="740" t="s">
        <v>1994</v>
      </c>
      <c r="C5577" s="993">
        <v>42.584000000000003</v>
      </c>
      <c r="D5577" s="737">
        <v>9.4600000000000009</v>
      </c>
      <c r="E5577" s="818">
        <v>-0.77785083599473981</v>
      </c>
      <c r="F5577" s="946">
        <v>-3.1114033439789593E-2</v>
      </c>
      <c r="G5577" s="78"/>
      <c r="H5577" t="str">
        <f>VLOOKUP(B5577,indexy!$A$44:$D$232,3,FALSE)</f>
        <v>BAC UN Equity</v>
      </c>
      <c r="J5577" s="256">
        <v>40848</v>
      </c>
      <c r="K5577" s="252">
        <v>61.394799999999996</v>
      </c>
      <c r="L5577" s="37">
        <f>IF(K5577="",L5576,K5577/100-1)</f>
        <v>-0.38605200000000006</v>
      </c>
    </row>
    <row r="5578" spans="1:12" hidden="1" outlineLevel="1" x14ac:dyDescent="0.25">
      <c r="A5578" s="849">
        <v>0.03</v>
      </c>
      <c r="B5578" s="740" t="s">
        <v>3020</v>
      </c>
      <c r="C5578" s="994">
        <v>55.48</v>
      </c>
      <c r="D5578" s="737">
        <v>70.41</v>
      </c>
      <c r="E5578" s="818">
        <v>0.26910598413842823</v>
      </c>
      <c r="F5578" s="946">
        <v>7.7999999999999996E-3</v>
      </c>
      <c r="G5578" s="78"/>
      <c r="H5578" t="str">
        <f>VLOOKUP(B5578,indexy!$A$44:$D$232,3,FALSE)</f>
        <v>BAYN GR Equity</v>
      </c>
      <c r="J5578" s="256">
        <v>40878</v>
      </c>
      <c r="K5578" s="252">
        <v>61.9011</v>
      </c>
      <c r="L5578" s="37">
        <f t="shared" ref="L5578:L5588" si="188">IF(K5578="",L5577,K5578/100-1)</f>
        <v>-0.38098900000000002</v>
      </c>
    </row>
    <row r="5579" spans="1:12" hidden="1" outlineLevel="1" x14ac:dyDescent="0.25">
      <c r="A5579" s="849">
        <v>0.03</v>
      </c>
      <c r="B5579" s="740" t="s">
        <v>901</v>
      </c>
      <c r="C5579" s="993">
        <v>1844.6</v>
      </c>
      <c r="D5579" s="737">
        <v>3237</v>
      </c>
      <c r="E5579" s="818">
        <v>0.75485200043369849</v>
      </c>
      <c r="F5579" s="946">
        <v>7.7999999999999996E-3</v>
      </c>
      <c r="G5579" s="78"/>
      <c r="H5579" t="str">
        <f>VLOOKUP(B5579,indexy!$A$44:$D$232,3,FALSE)</f>
        <v>BATS LN Equity</v>
      </c>
      <c r="J5579" s="256">
        <v>40909</v>
      </c>
      <c r="K5579" s="252">
        <v>64.229200000000006</v>
      </c>
      <c r="L5579" s="37">
        <f t="shared" si="188"/>
        <v>-0.35770799999999991</v>
      </c>
    </row>
    <row r="5580" spans="1:12" hidden="1" outlineLevel="1" x14ac:dyDescent="0.25">
      <c r="A5580" s="849">
        <v>0.04</v>
      </c>
      <c r="B5580" s="740" t="s">
        <v>1847</v>
      </c>
      <c r="C5580" s="993">
        <v>256.58999999999997</v>
      </c>
      <c r="D5580" s="737">
        <v>37.25</v>
      </c>
      <c r="E5580" s="818">
        <v>-0.85482676643672784</v>
      </c>
      <c r="F5580" s="946">
        <v>-3.4193070657469113E-2</v>
      </c>
      <c r="G5580" s="78"/>
      <c r="H5580" t="str">
        <f>VLOOKUP(B5580,indexy!$A$44:$D$397,3,FALSE)</f>
        <v>C UN Equity</v>
      </c>
      <c r="J5580" s="256">
        <v>40940</v>
      </c>
      <c r="K5580" s="252">
        <v>67.039500000000004</v>
      </c>
      <c r="L5580" s="37">
        <f t="shared" si="188"/>
        <v>-0.32960499999999993</v>
      </c>
    </row>
    <row r="5581" spans="1:12" hidden="1" outlineLevel="1" x14ac:dyDescent="0.25">
      <c r="A5581" s="849">
        <v>0.04</v>
      </c>
      <c r="B5581" s="740" t="s">
        <v>3792</v>
      </c>
      <c r="C5581" s="993">
        <v>39.42</v>
      </c>
      <c r="D5581" s="737">
        <v>31.04</v>
      </c>
      <c r="E5581" s="818">
        <v>-0.21258244545915783</v>
      </c>
      <c r="F5581" s="946">
        <v>-8.5032978183663139E-3</v>
      </c>
      <c r="G5581" s="78"/>
      <c r="H5581" t="str">
        <f>VLOOKUP(B5581,indexy!$A$44:$D$232,3,FALSE)</f>
        <v>CMA UN Equity</v>
      </c>
      <c r="J5581" s="256">
        <v>40969</v>
      </c>
      <c r="K5581" s="252">
        <v>66.668999999999997</v>
      </c>
      <c r="L5581" s="37">
        <f t="shared" si="188"/>
        <v>-0.33331</v>
      </c>
    </row>
    <row r="5582" spans="1:12" hidden="1" outlineLevel="1" x14ac:dyDescent="0.25">
      <c r="A5582" s="849">
        <v>0.03</v>
      </c>
      <c r="B5582" s="740" t="s">
        <v>51</v>
      </c>
      <c r="C5582" s="993">
        <v>51.311</v>
      </c>
      <c r="D5582" s="737">
        <v>26.824999999999999</v>
      </c>
      <c r="E5582" s="818">
        <v>-0.47720761630059838</v>
      </c>
      <c r="F5582" s="946">
        <v>-1.4316228489017951E-2</v>
      </c>
      <c r="G5582" s="78"/>
      <c r="H5582" t="str">
        <f>VLOOKUP(B5582,indexy!$A$44:$D$232,3,FALSE)</f>
        <v>SGO FP Equity</v>
      </c>
      <c r="J5582" s="256">
        <v>41000</v>
      </c>
      <c r="K5582" s="252">
        <v>64.276700000000005</v>
      </c>
      <c r="L5582" s="37">
        <f t="shared" si="188"/>
        <v>-0.35723299999999991</v>
      </c>
    </row>
    <row r="5583" spans="1:12" hidden="1" outlineLevel="1" x14ac:dyDescent="0.25">
      <c r="A5583" s="849">
        <v>0.02</v>
      </c>
      <c r="B5583" s="740" t="s">
        <v>4025</v>
      </c>
      <c r="C5583" s="993">
        <v>54.091999999999999</v>
      </c>
      <c r="D5583" s="737">
        <v>38.335000000000001</v>
      </c>
      <c r="E5583" s="818">
        <v>-0.29130000739480877</v>
      </c>
      <c r="F5583" s="946">
        <v>-5.8260001478961758E-3</v>
      </c>
      <c r="G5583" s="78"/>
      <c r="H5583" t="str">
        <f>VLOOKUP(B5583,indexy!$A$44:$D$232,3,FALSE)</f>
        <v>MBG GR Equity</v>
      </c>
      <c r="J5583" s="256">
        <v>41030</v>
      </c>
      <c r="K5583" s="252">
        <v>60.424500000000002</v>
      </c>
      <c r="L5583" s="37">
        <f t="shared" si="188"/>
        <v>-0.39575499999999997</v>
      </c>
    </row>
    <row r="5584" spans="1:12" hidden="1" outlineLevel="1" x14ac:dyDescent="0.25">
      <c r="A5584" s="849">
        <v>0.05</v>
      </c>
      <c r="B5584" s="981" t="s">
        <v>2629</v>
      </c>
      <c r="C5584" s="993">
        <v>13.114000000000001</v>
      </c>
      <c r="D5584" s="737">
        <v>9.0570000000000004</v>
      </c>
      <c r="E5584" s="818">
        <v>-0.30936403843220983</v>
      </c>
      <c r="F5584" s="946">
        <v>-1.5468201921610492E-2</v>
      </c>
      <c r="G5584" s="78"/>
      <c r="H5584" t="str">
        <f>VLOOKUP(B5584,indexy!$A$44:$D$397,3,FALSE)</f>
        <v>DTE GY Equity</v>
      </c>
      <c r="J5584" s="256">
        <v>41061</v>
      </c>
      <c r="K5584" s="252">
        <v>63.683799999999998</v>
      </c>
      <c r="L5584" s="37">
        <f t="shared" si="188"/>
        <v>-0.36316199999999998</v>
      </c>
    </row>
    <row r="5585" spans="1:12" hidden="1" outlineLevel="1" x14ac:dyDescent="0.25">
      <c r="A5585" s="849">
        <v>0.03</v>
      </c>
      <c r="B5585" s="740" t="s">
        <v>4110</v>
      </c>
      <c r="C5585" s="993">
        <v>42.371000000000002</v>
      </c>
      <c r="D5585" s="737">
        <v>52.66</v>
      </c>
      <c r="E5585" s="818">
        <v>0.24283118170446749</v>
      </c>
      <c r="F5585" s="946">
        <v>7.7999999999999996E-3</v>
      </c>
      <c r="G5585" s="78"/>
      <c r="H5585" t="e">
        <f>VLOOKUP(B5585,indexy!$A$44:$D$397,3,FALSE)</f>
        <v>#N/A</v>
      </c>
      <c r="J5585" s="256">
        <v>41091</v>
      </c>
      <c r="K5585" s="252">
        <v>64.688800000000001</v>
      </c>
      <c r="L5585" s="37">
        <f t="shared" si="188"/>
        <v>-0.35311199999999998</v>
      </c>
    </row>
    <row r="5586" spans="1:12" hidden="1" outlineLevel="1" x14ac:dyDescent="0.25">
      <c r="A5586" s="849">
        <v>0.02</v>
      </c>
      <c r="B5586" s="853" t="s">
        <v>4064</v>
      </c>
      <c r="C5586" s="993">
        <v>50.362000000000002</v>
      </c>
      <c r="D5586" s="737">
        <v>53.66</v>
      </c>
      <c r="E5586" s="818">
        <v>6.5485882212779289E-2</v>
      </c>
      <c r="F5586" s="946">
        <v>5.2000000000000006E-3</v>
      </c>
      <c r="G5586" s="78"/>
      <c r="H5586" t="str">
        <f>VLOOKUP(B5586,indexy!$A$44:$D$397,3,FALSE)</f>
        <v>LLY UN Equity</v>
      </c>
      <c r="J5586" s="256">
        <v>41122</v>
      </c>
      <c r="K5586" s="252">
        <v>66.343199999999996</v>
      </c>
      <c r="L5586" s="37">
        <f t="shared" si="188"/>
        <v>-0.33656800000000009</v>
      </c>
    </row>
    <row r="5587" spans="1:12" hidden="1" outlineLevel="1" x14ac:dyDescent="0.25">
      <c r="A5587" s="849">
        <v>0.05</v>
      </c>
      <c r="B5587" s="740" t="s">
        <v>3798</v>
      </c>
      <c r="C5587" s="993">
        <v>7.4256000000000002</v>
      </c>
      <c r="D5587" s="737">
        <v>2.948</v>
      </c>
      <c r="E5587" s="818">
        <v>-0.60299504417151484</v>
      </c>
      <c r="F5587" s="946">
        <v>-3.0149752208575742E-2</v>
      </c>
      <c r="G5587" s="78"/>
      <c r="H5587" t="str">
        <f>VLOOKUP(B5587,indexy!$A$44:$D$232,3,FALSE)</f>
        <v>ENEL IM Equity</v>
      </c>
      <c r="J5587" s="256">
        <v>41153</v>
      </c>
      <c r="K5587" s="252">
        <v>67.041600000000003</v>
      </c>
      <c r="L5587" s="37">
        <f t="shared" si="188"/>
        <v>-0.32958399999999999</v>
      </c>
    </row>
    <row r="5588" spans="1:12" hidden="1" outlineLevel="1" x14ac:dyDescent="0.25">
      <c r="A5588" s="849">
        <v>0.04</v>
      </c>
      <c r="B5588" s="740" t="s">
        <v>2630</v>
      </c>
      <c r="C5588" s="993">
        <v>23.68</v>
      </c>
      <c r="D5588" s="737">
        <v>9.5169999999999995</v>
      </c>
      <c r="E5588" s="818">
        <v>-0.59809966216216215</v>
      </c>
      <c r="F5588" s="946">
        <v>-2.3923986486486488E-2</v>
      </c>
      <c r="G5588" s="78"/>
      <c r="H5588" t="e">
        <f>VLOOKUP(B5588,indexy!$A$44:$D$232,3,FALSE)</f>
        <v>#N/A</v>
      </c>
      <c r="J5588" s="256">
        <v>41183</v>
      </c>
      <c r="K5588" s="252">
        <v>67.019199999999998</v>
      </c>
      <c r="L5588" s="37">
        <f t="shared" si="188"/>
        <v>-0.32980799999999999</v>
      </c>
    </row>
    <row r="5589" spans="1:12" hidden="1" outlineLevel="1" x14ac:dyDescent="0.25">
      <c r="A5589" s="849">
        <v>0.03</v>
      </c>
      <c r="B5589" s="740" t="s">
        <v>3407</v>
      </c>
      <c r="C5589" s="993">
        <v>34.183999999999997</v>
      </c>
      <c r="D5589" s="737">
        <v>22.64</v>
      </c>
      <c r="E5589" s="818">
        <v>-0.33770184881816045</v>
      </c>
      <c r="F5589" s="946">
        <v>-1.0131055464544814E-2</v>
      </c>
      <c r="G5589" s="78"/>
      <c r="H5589" t="str">
        <f>VLOOKUP(B5589,indexy!$A$44:$D$232,3,FALSE)</f>
        <v>GE UN Equity</v>
      </c>
      <c r="J5589" s="264" t="s">
        <v>2465</v>
      </c>
      <c r="K5589" s="31"/>
      <c r="L5589" s="261">
        <f>AVERAGE(L5577:L5588)</f>
        <v>-0.35440716666666666</v>
      </c>
    </row>
    <row r="5590" spans="1:12" hidden="1" outlineLevel="1" x14ac:dyDescent="0.25">
      <c r="A5590" s="849">
        <v>0.03</v>
      </c>
      <c r="B5590" s="740" t="s">
        <v>1031</v>
      </c>
      <c r="C5590" s="993">
        <v>10.242000000000001</v>
      </c>
      <c r="D5590" s="737">
        <v>3.9390000000000001</v>
      </c>
      <c r="E5590" s="818">
        <v>-0.61540714704159338</v>
      </c>
      <c r="F5590" s="946">
        <v>-1.8462214411247801E-2</v>
      </c>
      <c r="G5590" s="78"/>
      <c r="H5590" t="str">
        <f>VLOOKUP(B5590,indexy!$A$44:$D$232,3,FALSE)</f>
        <v>IBE SQ Equity</v>
      </c>
    </row>
    <row r="5591" spans="1:12" hidden="1" outlineLevel="1" x14ac:dyDescent="0.25">
      <c r="A5591" s="849">
        <v>0.03</v>
      </c>
      <c r="B5591" s="740" t="s">
        <v>44</v>
      </c>
      <c r="C5591" s="993">
        <v>4.5118999999999998</v>
      </c>
      <c r="D5591" s="737">
        <v>1.323</v>
      </c>
      <c r="E5591" s="818">
        <v>-0.70677541612181116</v>
      </c>
      <c r="F5591" s="946">
        <v>-2.1203262483654332E-2</v>
      </c>
      <c r="G5591" s="78"/>
      <c r="H5591" t="str">
        <f>VLOOKUP(B5591,indexy!$A$44:$D$232,3,FALSE)</f>
        <v>ISP IM Equity</v>
      </c>
    </row>
    <row r="5592" spans="1:12" hidden="1" outlineLevel="1" x14ac:dyDescent="0.25">
      <c r="A5592" s="849">
        <v>0.03</v>
      </c>
      <c r="B5592" s="740" t="s">
        <v>1526</v>
      </c>
      <c r="C5592" s="993">
        <v>83.745000000000005</v>
      </c>
      <c r="D5592" s="737">
        <v>19.405000000000001</v>
      </c>
      <c r="E5592" s="818">
        <v>-0.76828467371186338</v>
      </c>
      <c r="F5592" s="946">
        <v>-2.3048540211355901E-2</v>
      </c>
      <c r="G5592" s="78"/>
      <c r="H5592" t="str">
        <f>VLOOKUP(B5592,indexy!$A$44:$D$232,3,FALSE)</f>
        <v>KBC BB Equity</v>
      </c>
    </row>
    <row r="5593" spans="1:12" hidden="1" outlineLevel="1" x14ac:dyDescent="0.25">
      <c r="A5593" s="849">
        <v>0.02</v>
      </c>
      <c r="B5593" s="740" t="s">
        <v>281</v>
      </c>
      <c r="C5593" s="993">
        <v>24.111999999999998</v>
      </c>
      <c r="D5593" s="737">
        <v>8.26</v>
      </c>
      <c r="E5593" s="818">
        <v>-0.65743198407431991</v>
      </c>
      <c r="F5593" s="946">
        <v>-1.3148639681486399E-2</v>
      </c>
      <c r="G5593" s="78"/>
      <c r="H5593" t="str">
        <f>VLOOKUP(B5593,indexy!$A$44:$D$232,3,FALSE)</f>
        <v>KEY UN Equity</v>
      </c>
    </row>
    <row r="5594" spans="1:12" hidden="1" outlineLevel="1" x14ac:dyDescent="0.25">
      <c r="A5594" s="849">
        <v>0.04</v>
      </c>
      <c r="B5594" s="740" t="s">
        <v>3801</v>
      </c>
      <c r="C5594" s="993">
        <v>86.578000000000003</v>
      </c>
      <c r="D5594" s="737">
        <v>35.42</v>
      </c>
      <c r="E5594" s="818">
        <v>-0.59088914042828433</v>
      </c>
      <c r="F5594" s="946">
        <v>-2.3635565617131375E-2</v>
      </c>
      <c r="G5594" s="78"/>
      <c r="H5594" t="str">
        <f>VLOOKUP(B5594,indexy!$A$44:$D$232,3,FALSE)</f>
        <v>RWE GY Equity</v>
      </c>
    </row>
    <row r="5595" spans="1:12" hidden="1" outlineLevel="1" x14ac:dyDescent="0.25">
      <c r="A5595" s="849">
        <v>0.02</v>
      </c>
      <c r="B5595" s="740" t="s">
        <v>1709</v>
      </c>
      <c r="C5595" s="993">
        <v>99.075000000000003</v>
      </c>
      <c r="D5595" s="737">
        <v>89.45</v>
      </c>
      <c r="E5595" s="818">
        <v>-9.7148624779207715E-2</v>
      </c>
      <c r="F5595" s="946">
        <v>-1.9429724955841543E-3</v>
      </c>
      <c r="G5595" s="78"/>
      <c r="H5595" t="str">
        <f>VLOOKUP(B5595,indexy!$A$44:$D$232,3,FALSE)</f>
        <v>SAND SS Equity</v>
      </c>
    </row>
    <row r="5596" spans="1:12" hidden="1" outlineLevel="1" x14ac:dyDescent="0.25">
      <c r="A5596" s="849">
        <v>0.03</v>
      </c>
      <c r="B5596" s="740" t="s">
        <v>279</v>
      </c>
      <c r="C5596" s="993">
        <v>37.155999999999999</v>
      </c>
      <c r="D5596" s="737">
        <v>48.84</v>
      </c>
      <c r="E5596" s="818">
        <v>0.31445796102917445</v>
      </c>
      <c r="F5596" s="946">
        <v>7.7999999999999996E-3</v>
      </c>
      <c r="G5596" s="78"/>
      <c r="H5596" t="str">
        <f>VLOOKUP(B5596,indexy!$A$44:$D$232,3,FALSE)</f>
        <v>SU FP Equity</v>
      </c>
    </row>
    <row r="5597" spans="1:12" hidden="1" outlineLevel="1" x14ac:dyDescent="0.25">
      <c r="A5597" s="849">
        <v>0.02</v>
      </c>
      <c r="B5597" s="740" t="s">
        <v>3656</v>
      </c>
      <c r="C5597" s="993">
        <v>114.72499999999999</v>
      </c>
      <c r="D5597" s="737">
        <v>145</v>
      </c>
      <c r="E5597" s="818">
        <v>0.26389191544998924</v>
      </c>
      <c r="F5597" s="946">
        <v>5.2000000000000006E-3</v>
      </c>
      <c r="G5597" s="78"/>
      <c r="H5597" t="str">
        <f>VLOOKUP(B5597,indexy!$A$44:$D$232,3,FALSE)</f>
        <v>SKFB SS Equity</v>
      </c>
    </row>
    <row r="5598" spans="1:12" hidden="1" outlineLevel="1" x14ac:dyDescent="0.25">
      <c r="A5598" s="849">
        <v>0.03</v>
      </c>
      <c r="B5598" s="740" t="s">
        <v>2166</v>
      </c>
      <c r="C5598" s="993">
        <v>70.778000000000006</v>
      </c>
      <c r="D5598" s="737">
        <v>25.285</v>
      </c>
      <c r="E5598" s="818">
        <v>-0.64275622368532592</v>
      </c>
      <c r="F5598" s="946">
        <v>-1.9282686710559778E-2</v>
      </c>
      <c r="G5598" s="78"/>
      <c r="H5598" t="str">
        <f>VLOOKUP(B5598,indexy!$A$44:$D$232,3,FALSE)</f>
        <v>GLE FP Equity</v>
      </c>
    </row>
    <row r="5599" spans="1:12" hidden="1" outlineLevel="1" x14ac:dyDescent="0.25">
      <c r="A5599" s="849">
        <v>0.04</v>
      </c>
      <c r="B5599" s="740" t="s">
        <v>3427</v>
      </c>
      <c r="C5599" s="993">
        <v>35.756</v>
      </c>
      <c r="D5599" s="737">
        <v>45.89</v>
      </c>
      <c r="E5599" s="818">
        <v>0.28342096431368158</v>
      </c>
      <c r="F5599" s="946">
        <v>1.0400000000000001E-2</v>
      </c>
      <c r="G5599" s="78"/>
      <c r="H5599" t="str">
        <f>VLOOKUP(B5599,indexy!$A$44:$D$232,3,FALSE)</f>
        <v>SO UN Equity</v>
      </c>
    </row>
    <row r="5600" spans="1:12" hidden="1" outlineLevel="1" x14ac:dyDescent="0.25">
      <c r="A5600" s="849">
        <v>0.03</v>
      </c>
      <c r="B5600" s="740" t="s">
        <v>181</v>
      </c>
      <c r="C5600" s="993">
        <v>76.375</v>
      </c>
      <c r="D5600" s="737">
        <v>49.04</v>
      </c>
      <c r="E5600" s="818">
        <v>-0.35790507364975455</v>
      </c>
      <c r="F5600" s="946">
        <v>-1.0737152209492637E-2</v>
      </c>
      <c r="G5600" s="78"/>
      <c r="H5600" t="e">
        <f>VLOOKUP(B5600,indexy!$A$44:$D$232,3,FALSE)</f>
        <v>#N/A</v>
      </c>
    </row>
    <row r="5601" spans="1:12" hidden="1" outlineLevel="1" x14ac:dyDescent="0.25">
      <c r="A5601" s="849">
        <v>0.03</v>
      </c>
      <c r="B5601" s="740" t="s">
        <v>3022</v>
      </c>
      <c r="C5601" s="993">
        <v>6052</v>
      </c>
      <c r="D5601" s="737">
        <v>3565</v>
      </c>
      <c r="E5601" s="818">
        <v>-0.41093853271645742</v>
      </c>
      <c r="F5601" s="946">
        <v>-1.2328155981493722E-2</v>
      </c>
      <c r="G5601" s="78"/>
      <c r="H5601" t="str">
        <f>VLOOKUP(B5601,indexy!$A$44:$D$232,3,FALSE)</f>
        <v>4502 JT Equity</v>
      </c>
    </row>
    <row r="5602" spans="1:12" hidden="1" outlineLevel="1" x14ac:dyDescent="0.25">
      <c r="A5602" s="849">
        <v>0.04</v>
      </c>
      <c r="B5602" s="740" t="s">
        <v>1527</v>
      </c>
      <c r="C5602" s="993">
        <v>1.8547</v>
      </c>
      <c r="D5602" s="737">
        <v>0.76500000000000001</v>
      </c>
      <c r="E5602" s="818">
        <v>-0.5875343721356554</v>
      </c>
      <c r="F5602" s="946">
        <v>-2.3501374885426217E-2</v>
      </c>
      <c r="G5602" s="78"/>
      <c r="H5602" t="str">
        <f>VLOOKUP(B5602,indexy!$A$44:$D$232,3,FALSE)</f>
        <v>TIT IM Equity</v>
      </c>
    </row>
    <row r="5603" spans="1:12" hidden="1" outlineLevel="1" x14ac:dyDescent="0.25">
      <c r="A5603" s="739">
        <v>0.05</v>
      </c>
      <c r="B5603" s="740" t="s">
        <v>576</v>
      </c>
      <c r="C5603" s="993">
        <v>15.843999999999999</v>
      </c>
      <c r="D5603" s="737">
        <v>7.1109999999999998</v>
      </c>
      <c r="E5603" s="818">
        <v>-0.55118656904822017</v>
      </c>
      <c r="F5603" s="946">
        <v>-2.7559328452411009E-2</v>
      </c>
      <c r="G5603" s="78"/>
      <c r="H5603" t="e">
        <f>VLOOKUP(B5603,indexy!$A$44:$D$232,3,FALSE)</f>
        <v>#N/A</v>
      </c>
    </row>
    <row r="5604" spans="1:12" hidden="1" outlineLevel="1" x14ac:dyDescent="0.25">
      <c r="A5604" s="739">
        <v>0.04</v>
      </c>
      <c r="B5604" s="997" t="s">
        <v>2983</v>
      </c>
      <c r="C5604" s="993">
        <v>700.25</v>
      </c>
      <c r="D5604" s="737">
        <v>731</v>
      </c>
      <c r="E5604" s="818">
        <v>4.3912888254195037E-2</v>
      </c>
      <c r="F5604" s="1023">
        <v>1.0400000000000001E-2</v>
      </c>
      <c r="G5604" s="78"/>
      <c r="H5604" t="str">
        <f>VLOOKUP(B5604,indexy!$A$44:$D$397,3,FALSE)</f>
        <v>UU/ LN Equity</v>
      </c>
    </row>
    <row r="5605" spans="1:12" hidden="1" outlineLevel="1" x14ac:dyDescent="0.25">
      <c r="A5605" s="854"/>
      <c r="B5605" s="718"/>
      <c r="C5605" s="855"/>
      <c r="D5605" s="867"/>
      <c r="E5605" s="820"/>
      <c r="F5605" s="770">
        <v>-0.3328753283193901</v>
      </c>
      <c r="G5605" s="78"/>
    </row>
    <row r="5606" spans="1:12" collapsed="1" x14ac:dyDescent="0.25">
      <c r="A5606" s="3801" t="s">
        <v>1529</v>
      </c>
      <c r="B5606" s="3802"/>
      <c r="C5606" s="3802"/>
      <c r="D5606" s="3802"/>
      <c r="E5606" s="821"/>
      <c r="F5606" s="752">
        <v>0</v>
      </c>
      <c r="G5606" s="97" t="s">
        <v>781</v>
      </c>
    </row>
    <row r="5608" spans="1:12" hidden="1" outlineLevel="1" x14ac:dyDescent="0.25">
      <c r="A5608" s="689" t="s">
        <v>113</v>
      </c>
      <c r="B5608" s="689" t="s">
        <v>114</v>
      </c>
      <c r="C5608" s="689" t="s">
        <v>112</v>
      </c>
      <c r="D5608" s="689" t="s">
        <v>116</v>
      </c>
      <c r="E5608" s="689" t="s">
        <v>117</v>
      </c>
      <c r="F5608" s="1188" t="s">
        <v>121</v>
      </c>
      <c r="G5608" s="78"/>
      <c r="H5608" s="74"/>
    </row>
    <row r="5609" spans="1:12" hidden="1" outlineLevel="1" x14ac:dyDescent="0.25">
      <c r="A5609" s="690">
        <v>1</v>
      </c>
      <c r="B5609" s="691" t="s">
        <v>252</v>
      </c>
      <c r="C5609" s="692">
        <v>100</v>
      </c>
      <c r="D5609" s="692"/>
      <c r="E5609" s="693"/>
      <c r="F5609" s="694"/>
      <c r="G5609" s="78"/>
      <c r="J5609" s="31"/>
    </row>
    <row r="5610" spans="1:12" hidden="1" outlineLevel="1" x14ac:dyDescent="0.25">
      <c r="A5610" s="695"/>
      <c r="B5610" s="695"/>
      <c r="C5610" s="696"/>
      <c r="D5610" s="697" t="s">
        <v>3702</v>
      </c>
      <c r="E5610" s="698">
        <v>41305</v>
      </c>
      <c r="F5610" s="699"/>
      <c r="G5610" s="78"/>
      <c r="H5610" s="74"/>
      <c r="J5610" s="31"/>
    </row>
    <row r="5611" spans="1:12" hidden="1" outlineLevel="1" x14ac:dyDescent="0.25">
      <c r="A5611" s="495" t="s">
        <v>4156</v>
      </c>
      <c r="B5611" s="689" t="s">
        <v>4153</v>
      </c>
      <c r="C5611" s="700" t="s">
        <v>112</v>
      </c>
      <c r="D5611" s="689" t="s">
        <v>4155</v>
      </c>
      <c r="E5611" s="689" t="s">
        <v>4154</v>
      </c>
      <c r="F5611" s="1021" t="s">
        <v>2519</v>
      </c>
      <c r="G5611" s="78"/>
      <c r="H5611" s="101"/>
      <c r="J5611" s="31"/>
    </row>
    <row r="5612" spans="1:12" hidden="1" outlineLevel="1" x14ac:dyDescent="0.25">
      <c r="A5612" s="1127">
        <v>0.05</v>
      </c>
      <c r="B5612" s="1144" t="s">
        <v>938</v>
      </c>
      <c r="C5612" s="807">
        <v>1134.5999999999999</v>
      </c>
      <c r="D5612" s="737">
        <v>1120</v>
      </c>
      <c r="E5612" s="817">
        <f t="shared" ref="E5612:E5631" si="189">D5612/C5612-1</f>
        <v>-1.2867971091133357E-2</v>
      </c>
      <c r="F5612" s="1021">
        <f t="shared" ref="F5612:F5631" si="190">E5612*A5612</f>
        <v>-6.4339855455666783E-4</v>
      </c>
      <c r="G5612" s="78"/>
      <c r="H5612" t="str">
        <f>VLOOKUP(B5612,indexy!$A$44:$D$397,3,FALSE)</f>
        <v>BG/ LN EQUITY</v>
      </c>
      <c r="J5612" t="s">
        <v>631</v>
      </c>
      <c r="K5612" s="31"/>
    </row>
    <row r="5613" spans="1:12" hidden="1" outlineLevel="1" x14ac:dyDescent="0.25">
      <c r="A5613" s="849">
        <v>0.05</v>
      </c>
      <c r="B5613" s="1146" t="s">
        <v>2467</v>
      </c>
      <c r="C5613" s="809">
        <v>48.838999999999999</v>
      </c>
      <c r="D5613" s="737">
        <v>20.91</v>
      </c>
      <c r="E5613" s="818">
        <f t="shared" si="189"/>
        <v>-0.57185855566248289</v>
      </c>
      <c r="F5613" s="946">
        <f t="shared" si="190"/>
        <v>-2.8592927783124146E-2</v>
      </c>
      <c r="G5613" s="78"/>
      <c r="H5613" t="str">
        <f>VLOOKUP(B5613,indexy!$A$44:$D$397,3,FALSE)</f>
        <v>EN FP Equity</v>
      </c>
      <c r="J5613" s="256">
        <v>40756</v>
      </c>
      <c r="K5613" s="252">
        <v>75.379800000000003</v>
      </c>
      <c r="L5613" s="37">
        <f>IF(K5613="",L5612,K5613/100-1)</f>
        <v>-0.24620199999999992</v>
      </c>
    </row>
    <row r="5614" spans="1:12" hidden="1" outlineLevel="1" x14ac:dyDescent="0.25">
      <c r="A5614" s="849">
        <v>0.05</v>
      </c>
      <c r="B5614" s="1146" t="s">
        <v>4437</v>
      </c>
      <c r="C5614" s="809">
        <v>1230.3499999999999</v>
      </c>
      <c r="D5614" s="737">
        <v>612.1</v>
      </c>
      <c r="E5614" s="818">
        <f t="shared" si="189"/>
        <v>-0.50249928882025441</v>
      </c>
      <c r="F5614" s="946">
        <f t="shared" si="190"/>
        <v>-2.5124964441012722E-2</v>
      </c>
      <c r="G5614" s="78"/>
      <c r="H5614" t="str">
        <f>VLOOKUP(B5614,indexy!$A$44:$D$397,3,FALSE)</f>
        <v>CEZ CP Equity</v>
      </c>
      <c r="J5614" s="256">
        <v>40787</v>
      </c>
      <c r="K5614" s="252">
        <v>70.893500000000003</v>
      </c>
      <c r="L5614" s="37">
        <f t="shared" ref="L5614:L5630" si="191">IF(K5614="",L5613,K5614/100-1)</f>
        <v>-0.29106500000000002</v>
      </c>
    </row>
    <row r="5615" spans="1:12" hidden="1" outlineLevel="1" x14ac:dyDescent="0.25">
      <c r="A5615" s="849">
        <v>0.05</v>
      </c>
      <c r="B5615" s="1146" t="s">
        <v>581</v>
      </c>
      <c r="C5615" s="809">
        <v>80.626999999999995</v>
      </c>
      <c r="D5615" s="737">
        <v>115.15</v>
      </c>
      <c r="E5615" s="818">
        <f t="shared" si="189"/>
        <v>0.42818162650228841</v>
      </c>
      <c r="F5615" s="946">
        <f t="shared" si="190"/>
        <v>2.1409081325114421E-2</v>
      </c>
      <c r="G5615" s="78"/>
      <c r="H5615" t="str">
        <f>VLOOKUP(B5615,indexy!$A$44:$D$397,3,FALSE)</f>
        <v>CVX UN Equity</v>
      </c>
      <c r="J5615" s="256">
        <v>40817</v>
      </c>
      <c r="K5615" s="252">
        <v>76.515500000000003</v>
      </c>
      <c r="L5615" s="37">
        <f t="shared" si="191"/>
        <v>-0.23484499999999997</v>
      </c>
    </row>
    <row r="5616" spans="1:12" hidden="1" outlineLevel="1" x14ac:dyDescent="0.25">
      <c r="A5616" s="849">
        <v>0.05</v>
      </c>
      <c r="B5616" s="1146" t="s">
        <v>939</v>
      </c>
      <c r="C5616" s="809">
        <v>77.055999999999997</v>
      </c>
      <c r="D5616" s="737">
        <v>58</v>
      </c>
      <c r="E5616" s="818">
        <f t="shared" si="189"/>
        <v>-0.24730066445182719</v>
      </c>
      <c r="F5616" s="946">
        <f t="shared" si="190"/>
        <v>-1.236503322259136E-2</v>
      </c>
      <c r="G5616" s="78"/>
      <c r="H5616" t="str">
        <f>VLOOKUP(B5616,indexy!$A$44:$D$397,3,FALSE)</f>
        <v>COP UN Equity</v>
      </c>
      <c r="J5616" s="256">
        <v>40848</v>
      </c>
      <c r="K5616" s="252">
        <v>75.7714</v>
      </c>
      <c r="L5616" s="37">
        <f t="shared" si="191"/>
        <v>-0.242286</v>
      </c>
    </row>
    <row r="5617" spans="1:12" hidden="1" outlineLevel="1" x14ac:dyDescent="0.25">
      <c r="A5617" s="849">
        <v>0.05</v>
      </c>
      <c r="B5617" s="1146" t="s">
        <v>4387</v>
      </c>
      <c r="C5617" s="809">
        <v>43.160666666666664</v>
      </c>
      <c r="D5617" s="737">
        <v>12.805</v>
      </c>
      <c r="E5617" s="818">
        <f t="shared" si="189"/>
        <v>-0.70331783568372441</v>
      </c>
      <c r="F5617" s="946">
        <f t="shared" si="190"/>
        <v>-3.5165891784186221E-2</v>
      </c>
      <c r="G5617" s="78"/>
      <c r="H5617" t="str">
        <f>VLOOKUP(B5617,indexy!$A$44:$D$397,3,FALSE)</f>
        <v>EOAN GY Equity</v>
      </c>
      <c r="J5617" s="256">
        <v>40878</v>
      </c>
      <c r="K5617" s="252">
        <v>76.260000000000005</v>
      </c>
      <c r="L5617" s="37">
        <f t="shared" si="191"/>
        <v>-0.23739999999999994</v>
      </c>
    </row>
    <row r="5618" spans="1:12" hidden="1" outlineLevel="1" x14ac:dyDescent="0.25">
      <c r="A5618" s="849">
        <v>0.05</v>
      </c>
      <c r="B5618" s="1146" t="s">
        <v>3798</v>
      </c>
      <c r="C5618" s="809">
        <v>6.5449999999999999</v>
      </c>
      <c r="D5618" s="737">
        <v>3.2120000000000002</v>
      </c>
      <c r="E5618" s="818">
        <f t="shared" si="189"/>
        <v>-0.50924369747899156</v>
      </c>
      <c r="F5618" s="946">
        <f t="shared" si="190"/>
        <v>-2.5462184873949578E-2</v>
      </c>
      <c r="G5618" s="78"/>
      <c r="H5618" t="str">
        <f>VLOOKUP(B5618,indexy!$A$44:$D$397,3,FALSE)</f>
        <v>ENEL IM Equity</v>
      </c>
      <c r="J5618" s="256">
        <v>40909</v>
      </c>
      <c r="K5618" s="252">
        <v>77.046700000000001</v>
      </c>
      <c r="L5618" s="37">
        <f t="shared" si="191"/>
        <v>-0.22953299999999999</v>
      </c>
    </row>
    <row r="5619" spans="1:12" hidden="1" outlineLevel="1" x14ac:dyDescent="0.25">
      <c r="A5619" s="849">
        <v>0.05</v>
      </c>
      <c r="B5619" s="1146" t="s">
        <v>3021</v>
      </c>
      <c r="C5619" s="809">
        <v>21.707999999999998</v>
      </c>
      <c r="D5619" s="737">
        <v>18.489999999999998</v>
      </c>
      <c r="E5619" s="818">
        <f t="shared" si="189"/>
        <v>-0.14824028008107615</v>
      </c>
      <c r="F5619" s="946">
        <f t="shared" si="190"/>
        <v>-7.4120140040538074E-3</v>
      </c>
      <c r="G5619" s="78"/>
      <c r="H5619" t="str">
        <f>VLOOKUP(B5619,indexy!$A$44:$D$397,3,FALSE)</f>
        <v>ENI IM Equity</v>
      </c>
      <c r="J5619" s="256">
        <v>40940</v>
      </c>
      <c r="K5619" s="252">
        <v>79.485699999999994</v>
      </c>
      <c r="L5619" s="37">
        <f t="shared" si="191"/>
        <v>-0.20514300000000008</v>
      </c>
    </row>
    <row r="5620" spans="1:12" hidden="1" outlineLevel="1" x14ac:dyDescent="0.25">
      <c r="A5620" s="849">
        <v>0.05</v>
      </c>
      <c r="B5620" s="1146" t="s">
        <v>3425</v>
      </c>
      <c r="C5620" s="809">
        <v>83.718000000000004</v>
      </c>
      <c r="D5620" s="737">
        <v>89.97</v>
      </c>
      <c r="E5620" s="818">
        <f t="shared" si="189"/>
        <v>7.4679280441481977E-2</v>
      </c>
      <c r="F5620" s="946">
        <f t="shared" si="190"/>
        <v>3.7339640220740988E-3</v>
      </c>
      <c r="G5620" s="78"/>
      <c r="H5620" t="str">
        <f>VLOOKUP(B5620,indexy!$A$44:$D$397,3,FALSE)</f>
        <v>XOM UN Equity</v>
      </c>
      <c r="J5620" s="256">
        <v>40969</v>
      </c>
      <c r="K5620" s="252">
        <v>77.834100000000007</v>
      </c>
      <c r="L5620" s="37">
        <f t="shared" si="191"/>
        <v>-0.22165899999999994</v>
      </c>
    </row>
    <row r="5621" spans="1:12" hidden="1" outlineLevel="1" x14ac:dyDescent="0.25">
      <c r="A5621" s="849">
        <v>0.05</v>
      </c>
      <c r="B5621" s="1146" t="s">
        <v>4268</v>
      </c>
      <c r="C5621" s="809">
        <v>27.607011</v>
      </c>
      <c r="D5621" s="737">
        <v>13.81</v>
      </c>
      <c r="E5621" s="818">
        <f t="shared" si="189"/>
        <v>-0.49976475178714563</v>
      </c>
      <c r="F5621" s="946">
        <f t="shared" si="190"/>
        <v>-2.4988237589357282E-2</v>
      </c>
      <c r="G5621" s="78"/>
      <c r="H5621" t="str">
        <f>VLOOKUP(B5621,indexy!$A$44:$D$397,3,FALSE)</f>
        <v>FORTUM FH Equity</v>
      </c>
      <c r="J5621" s="256">
        <v>41000</v>
      </c>
      <c r="K5621" s="252">
        <v>76.162400000000005</v>
      </c>
      <c r="L5621" s="37">
        <f t="shared" si="191"/>
        <v>-0.23837599999999992</v>
      </c>
    </row>
    <row r="5622" spans="1:12" hidden="1" outlineLevel="1" x14ac:dyDescent="0.25">
      <c r="A5622" s="849">
        <v>0.05</v>
      </c>
      <c r="B5622" s="1146" t="s">
        <v>3092</v>
      </c>
      <c r="C5622" s="809">
        <v>64.269000000000005</v>
      </c>
      <c r="D5622" s="737">
        <v>72.05</v>
      </c>
      <c r="E5622" s="818">
        <f t="shared" si="189"/>
        <v>0.12106925578428163</v>
      </c>
      <c r="F5622" s="946">
        <f t="shared" si="190"/>
        <v>6.053462789214082E-3</v>
      </c>
      <c r="G5622" s="78"/>
      <c r="H5622" t="e">
        <f>VLOOKUP(B5622,indexy!$A$44:$D$397,3,FALSE)</f>
        <v>#N/A</v>
      </c>
      <c r="J5622" s="256">
        <v>41030</v>
      </c>
      <c r="K5622" s="252">
        <v>70.942899999999995</v>
      </c>
      <c r="L5622" s="37">
        <f t="shared" si="191"/>
        <v>-0.29057100000000002</v>
      </c>
    </row>
    <row r="5623" spans="1:12" hidden="1" outlineLevel="1" x14ac:dyDescent="0.25">
      <c r="A5623" s="849">
        <v>0.05</v>
      </c>
      <c r="B5623" s="1146" t="s">
        <v>165</v>
      </c>
      <c r="C5623" s="809">
        <v>34.398000000000003</v>
      </c>
      <c r="D5623" s="737">
        <v>40.68</v>
      </c>
      <c r="E5623" s="818">
        <f t="shared" si="189"/>
        <v>0.18262689691261103</v>
      </c>
      <c r="F5623" s="946">
        <f t="shared" si="190"/>
        <v>9.1313448456305513E-3</v>
      </c>
      <c r="G5623" s="78"/>
      <c r="H5623" t="str">
        <f>VLOOKUP(B5623,indexy!$A$44:$D$397,3,FALSE)</f>
        <v>HAL UN Equity</v>
      </c>
      <c r="J5623" s="256">
        <v>41061</v>
      </c>
      <c r="K5623" s="252">
        <v>74.404300000000006</v>
      </c>
      <c r="L5623" s="37">
        <f t="shared" si="191"/>
        <v>-0.25595699999999999</v>
      </c>
    </row>
    <row r="5624" spans="1:12" hidden="1" outlineLevel="1" x14ac:dyDescent="0.25">
      <c r="A5624" s="849">
        <v>0.05</v>
      </c>
      <c r="B5624" s="1146" t="s">
        <v>1031</v>
      </c>
      <c r="C5624" s="809">
        <v>10.215</v>
      </c>
      <c r="D5624" s="737">
        <v>3.972</v>
      </c>
      <c r="E5624" s="818">
        <f t="shared" si="189"/>
        <v>-0.61116005873715129</v>
      </c>
      <c r="F5624" s="946">
        <f t="shared" si="190"/>
        <v>-3.0558002936857565E-2</v>
      </c>
      <c r="G5624" s="78"/>
      <c r="H5624" t="str">
        <f>VLOOKUP(B5624,indexy!$A$44:$D$397,3,FALSE)</f>
        <v>IBE SQ Equity</v>
      </c>
      <c r="J5624" s="256">
        <v>41091</v>
      </c>
      <c r="K5624" s="252">
        <v>75.223399999999998</v>
      </c>
      <c r="L5624" s="37">
        <f t="shared" si="191"/>
        <v>-0.24776600000000004</v>
      </c>
    </row>
    <row r="5625" spans="1:12" hidden="1" outlineLevel="1" x14ac:dyDescent="0.25">
      <c r="A5625" s="849">
        <v>0.05</v>
      </c>
      <c r="B5625" s="1146" t="s">
        <v>4226</v>
      </c>
      <c r="C5625" s="809">
        <v>34.970300000000002</v>
      </c>
      <c r="D5625" s="737">
        <v>33.9</v>
      </c>
      <c r="E5625" s="818">
        <f t="shared" si="189"/>
        <v>-3.0605971352833827E-2</v>
      </c>
      <c r="F5625" s="946">
        <f t="shared" si="190"/>
        <v>-1.5302985676416915E-3</v>
      </c>
      <c r="G5625" s="78"/>
      <c r="H5625" t="str">
        <f>VLOOKUP(B5625,indexy!$A$44:$D$397,3,FALSE)</f>
        <v>SU CN Equity</v>
      </c>
      <c r="J5625" s="256">
        <v>41122</v>
      </c>
      <c r="K5625" s="252">
        <v>76.520200000000003</v>
      </c>
      <c r="L5625" s="37">
        <f t="shared" si="191"/>
        <v>-0.23479799999999995</v>
      </c>
    </row>
    <row r="5626" spans="1:12" hidden="1" outlineLevel="1" x14ac:dyDescent="0.25">
      <c r="A5626" s="849">
        <v>0.05</v>
      </c>
      <c r="B5626" s="1146" t="s">
        <v>3801</v>
      </c>
      <c r="C5626" s="809">
        <v>84.873999999999995</v>
      </c>
      <c r="D5626" s="737">
        <v>27.704999999999998</v>
      </c>
      <c r="E5626" s="818">
        <f t="shared" si="189"/>
        <v>-0.67357494639112092</v>
      </c>
      <c r="F5626" s="946">
        <f t="shared" si="190"/>
        <v>-3.367874731955605E-2</v>
      </c>
      <c r="G5626" s="78"/>
      <c r="H5626" t="str">
        <f>VLOOKUP(B5626,indexy!$A$44:$D$397,3,FALSE)</f>
        <v>RWE GY Equity</v>
      </c>
      <c r="J5626" s="256">
        <v>41153</v>
      </c>
      <c r="K5626" s="252">
        <v>76.931899999999999</v>
      </c>
      <c r="L5626" s="37">
        <f t="shared" si="191"/>
        <v>-0.23068100000000002</v>
      </c>
    </row>
    <row r="5627" spans="1:12" hidden="1" outlineLevel="1" x14ac:dyDescent="0.25">
      <c r="A5627" s="849">
        <v>0.05</v>
      </c>
      <c r="B5627" s="1146" t="s">
        <v>4460</v>
      </c>
      <c r="C5627" s="809">
        <v>1438.3</v>
      </c>
      <c r="D5627" s="737">
        <v>1622</v>
      </c>
      <c r="E5627" s="818">
        <f t="shared" si="189"/>
        <v>0.12772022526593907</v>
      </c>
      <c r="F5627" s="946">
        <f t="shared" si="190"/>
        <v>6.3860112632969541E-3</v>
      </c>
      <c r="G5627" s="78"/>
      <c r="H5627" t="str">
        <f>VLOOKUP(B5627,indexy!$A$44:$D$397,3,FALSE)</f>
        <v>SVT LN Equity</v>
      </c>
      <c r="J5627" s="256">
        <v>41183</v>
      </c>
      <c r="K5627" s="252">
        <v>76.196799999999996</v>
      </c>
      <c r="L5627" s="37">
        <f t="shared" si="191"/>
        <v>-0.23803200000000002</v>
      </c>
    </row>
    <row r="5628" spans="1:12" hidden="1" outlineLevel="1" x14ac:dyDescent="0.25">
      <c r="A5628" s="849">
        <v>0.05</v>
      </c>
      <c r="B5628" s="1146" t="s">
        <v>3427</v>
      </c>
      <c r="C5628" s="809">
        <v>36.322000000000003</v>
      </c>
      <c r="D5628" s="737">
        <v>44.23</v>
      </c>
      <c r="E5628" s="818">
        <f t="shared" si="189"/>
        <v>0.21771928858543022</v>
      </c>
      <c r="F5628" s="946">
        <f t="shared" si="190"/>
        <v>1.0885964429271512E-2</v>
      </c>
      <c r="G5628" s="78"/>
      <c r="H5628" t="str">
        <f>VLOOKUP(B5628,indexy!$A$44:$D$397,3,FALSE)</f>
        <v>SO UN Equity</v>
      </c>
      <c r="J5628" s="256">
        <v>41214</v>
      </c>
      <c r="K5628" s="252">
        <v>73.881299999999996</v>
      </c>
      <c r="L5628" s="37">
        <f t="shared" si="191"/>
        <v>-0.26118700000000006</v>
      </c>
    </row>
    <row r="5629" spans="1:12" hidden="1" outlineLevel="1" x14ac:dyDescent="0.25">
      <c r="A5629" s="849">
        <v>0.05</v>
      </c>
      <c r="B5629" s="1146" t="s">
        <v>4338</v>
      </c>
      <c r="C5629" s="809">
        <v>38.027200935955001</v>
      </c>
      <c r="D5629" s="737">
        <v>15.11</v>
      </c>
      <c r="E5629" s="818">
        <f t="shared" si="189"/>
        <v>-0.60265284774842887</v>
      </c>
      <c r="F5629" s="946">
        <f t="shared" si="190"/>
        <v>-3.0132642387421443E-2</v>
      </c>
      <c r="G5629" s="78"/>
      <c r="H5629" t="str">
        <f>VLOOKUP(B5629,indexy!$A$44:$D$397,3,FALSE)</f>
        <v>ENGI FP Equity</v>
      </c>
      <c r="J5629" s="256">
        <v>41244</v>
      </c>
      <c r="K5629" s="252">
        <v>74.614599999999996</v>
      </c>
      <c r="L5629" s="37">
        <f t="shared" si="191"/>
        <v>-0.25385400000000002</v>
      </c>
    </row>
    <row r="5630" spans="1:12" hidden="1" outlineLevel="1" x14ac:dyDescent="0.25">
      <c r="A5630" s="849">
        <v>0.05</v>
      </c>
      <c r="B5630" s="1146" t="s">
        <v>1183</v>
      </c>
      <c r="C5630" s="809">
        <v>48.911000000000001</v>
      </c>
      <c r="D5630" s="737">
        <v>39.93</v>
      </c>
      <c r="E5630" s="818">
        <f t="shared" si="189"/>
        <v>-0.18361922675880682</v>
      </c>
      <c r="F5630" s="946">
        <f t="shared" si="190"/>
        <v>-9.180961337940342E-3</v>
      </c>
      <c r="G5630" s="78"/>
      <c r="H5630" t="e">
        <f>VLOOKUP(B5630,indexy!$A$44:$D$397,3,FALSE)</f>
        <v>#N/A</v>
      </c>
      <c r="J5630" s="256">
        <v>41275</v>
      </c>
      <c r="K5630" s="252">
        <v>76.556799999999996</v>
      </c>
      <c r="L5630" s="37">
        <f t="shared" si="191"/>
        <v>-0.23443200000000008</v>
      </c>
    </row>
    <row r="5631" spans="1:12" hidden="1" outlineLevel="1" x14ac:dyDescent="0.25">
      <c r="A5631" s="990">
        <v>0.05</v>
      </c>
      <c r="B5631" s="1146" t="s">
        <v>4228</v>
      </c>
      <c r="C5631" s="809">
        <v>55.076000000000001</v>
      </c>
      <c r="D5631" s="737">
        <v>9.4960000000000004</v>
      </c>
      <c r="E5631" s="818">
        <f t="shared" si="189"/>
        <v>-0.82758370252015401</v>
      </c>
      <c r="F5631" s="946">
        <f t="shared" si="190"/>
        <v>-4.1379185126007703E-2</v>
      </c>
      <c r="G5631" s="78"/>
      <c r="H5631" t="str">
        <f>VLOOKUP(B5631,indexy!$A$44:$D$397,3,FALSE)</f>
        <v>VIE FP Equity</v>
      </c>
      <c r="J5631" s="264" t="s">
        <v>2465</v>
      </c>
      <c r="K5631" s="31"/>
      <c r="L5631" s="261">
        <f>AVERAGE(L5613:L5630)</f>
        <v>-0.24409927777777776</v>
      </c>
    </row>
    <row r="5632" spans="1:12" hidden="1" outlineLevel="1" x14ac:dyDescent="0.25">
      <c r="A5632" s="745"/>
      <c r="B5632" s="718"/>
      <c r="C5632" s="855"/>
      <c r="D5632" s="867"/>
      <c r="E5632" s="820"/>
      <c r="F5632" s="731">
        <v>0.24410000000000001</v>
      </c>
      <c r="G5632" s="78">
        <v>24.41</v>
      </c>
      <c r="J5632" s="31"/>
    </row>
    <row r="5633" spans="1:13" collapsed="1" x14ac:dyDescent="0.25">
      <c r="A5633" s="3801" t="s">
        <v>76</v>
      </c>
      <c r="B5633" s="3802"/>
      <c r="C5633" s="3802"/>
      <c r="D5633" s="3802"/>
      <c r="E5633" s="821"/>
      <c r="F5633" s="752">
        <v>-0.05</v>
      </c>
      <c r="G5633" s="97" t="s">
        <v>781</v>
      </c>
      <c r="J5633" s="31"/>
    </row>
    <row r="5635" spans="1:13" hidden="1" outlineLevel="1" x14ac:dyDescent="0.25">
      <c r="A5635" s="689" t="s">
        <v>113</v>
      </c>
      <c r="B5635" s="689" t="s">
        <v>114</v>
      </c>
      <c r="C5635" s="689" t="s">
        <v>112</v>
      </c>
      <c r="D5635" s="689" t="s">
        <v>116</v>
      </c>
      <c r="E5635" s="689" t="s">
        <v>117</v>
      </c>
      <c r="F5635" s="1188" t="s">
        <v>121</v>
      </c>
      <c r="G5635" s="78"/>
    </row>
    <row r="5636" spans="1:13" hidden="1" outlineLevel="1" x14ac:dyDescent="0.25">
      <c r="A5636" s="690">
        <v>1</v>
      </c>
      <c r="B5636" s="691" t="s">
        <v>252</v>
      </c>
      <c r="C5636" s="692">
        <v>100</v>
      </c>
      <c r="D5636" s="692"/>
      <c r="E5636" s="693"/>
      <c r="F5636" s="694"/>
      <c r="G5636" s="78"/>
    </row>
    <row r="5637" spans="1:13" hidden="1" outlineLevel="1" x14ac:dyDescent="0.25">
      <c r="A5637" s="695"/>
      <c r="B5637" s="695"/>
      <c r="C5637" s="696"/>
      <c r="D5637" s="697" t="s">
        <v>3702</v>
      </c>
      <c r="E5637" s="698">
        <v>40512</v>
      </c>
      <c r="F5637" s="699"/>
      <c r="G5637" s="78"/>
      <c r="L5637" s="21"/>
      <c r="M5637" s="21"/>
    </row>
    <row r="5638" spans="1:13" hidden="1" outlineLevel="1" x14ac:dyDescent="0.25">
      <c r="A5638" s="689" t="s">
        <v>4156</v>
      </c>
      <c r="B5638" s="689" t="s">
        <v>4153</v>
      </c>
      <c r="C5638" s="700" t="s">
        <v>112</v>
      </c>
      <c r="D5638" s="495" t="s">
        <v>116</v>
      </c>
      <c r="E5638" s="495" t="s">
        <v>4154</v>
      </c>
      <c r="F5638" s="1021" t="s">
        <v>2519</v>
      </c>
      <c r="G5638" s="78"/>
      <c r="L5638" s="21"/>
      <c r="M5638" s="21"/>
    </row>
    <row r="5639" spans="1:13" hidden="1" outlineLevel="1" x14ac:dyDescent="0.25">
      <c r="A5639" s="734">
        <v>0.04</v>
      </c>
      <c r="B5639" s="735" t="s">
        <v>359</v>
      </c>
      <c r="C5639" s="1145">
        <v>110.83</v>
      </c>
      <c r="D5639" s="1090">
        <v>84.5</v>
      </c>
      <c r="E5639" s="738">
        <v>-0.23757105476856444</v>
      </c>
      <c r="F5639" s="1021">
        <v>-9.5028421907425772E-3</v>
      </c>
      <c r="G5639" s="78"/>
      <c r="H5639" t="s">
        <v>360</v>
      </c>
      <c r="J5639" t="s">
        <v>2040</v>
      </c>
      <c r="L5639" s="300"/>
      <c r="M5639" s="21"/>
    </row>
    <row r="5640" spans="1:13" hidden="1" outlineLevel="1" x14ac:dyDescent="0.25">
      <c r="A5640" s="739">
        <v>0.04</v>
      </c>
      <c r="B5640" s="987" t="s">
        <v>1993</v>
      </c>
      <c r="C5640" s="1112">
        <v>72.596999999999994</v>
      </c>
      <c r="D5640" s="798">
        <v>80.89</v>
      </c>
      <c r="E5640" s="709">
        <v>0.11423337052495297</v>
      </c>
      <c r="F5640" s="946">
        <v>4.5693348209981189E-3</v>
      </c>
      <c r="G5640" s="78"/>
      <c r="H5640" t="s">
        <v>2812</v>
      </c>
      <c r="I5640" s="39" t="s">
        <v>3533</v>
      </c>
      <c r="J5640" s="256">
        <v>40330</v>
      </c>
      <c r="K5640">
        <v>72.983999999999995</v>
      </c>
      <c r="L5640" s="349">
        <v>-0.27016000000000007</v>
      </c>
      <c r="M5640" s="21"/>
    </row>
    <row r="5641" spans="1:13" hidden="1" outlineLevel="1" x14ac:dyDescent="0.25">
      <c r="A5641" s="739">
        <v>0.04</v>
      </c>
      <c r="B5641" s="740" t="s">
        <v>2984</v>
      </c>
      <c r="C5641" s="1112">
        <v>12.72</v>
      </c>
      <c r="D5641" s="1091">
        <v>7.077</v>
      </c>
      <c r="E5641" s="742">
        <v>-0.44363207547169814</v>
      </c>
      <c r="F5641" s="946">
        <v>-1.7745283018867925E-2</v>
      </c>
      <c r="G5641" s="78"/>
      <c r="H5641" t="s">
        <v>2326</v>
      </c>
      <c r="J5641" s="256">
        <v>40360</v>
      </c>
      <c r="K5641">
        <v>78.161699999999996</v>
      </c>
      <c r="L5641" s="349">
        <v>-0.21838299999999999</v>
      </c>
      <c r="M5641" s="21"/>
    </row>
    <row r="5642" spans="1:13" hidden="1" outlineLevel="1" x14ac:dyDescent="0.25">
      <c r="A5642" s="739">
        <v>0.03</v>
      </c>
      <c r="B5642" s="740" t="s">
        <v>157</v>
      </c>
      <c r="C5642" s="1112">
        <v>10.76</v>
      </c>
      <c r="D5642" s="1091">
        <v>7.3</v>
      </c>
      <c r="E5642" s="742">
        <v>-0.32156133828996281</v>
      </c>
      <c r="F5642" s="946">
        <v>-9.6468401486988833E-3</v>
      </c>
      <c r="G5642" s="78"/>
      <c r="H5642" t="s">
        <v>730</v>
      </c>
      <c r="J5642" s="256">
        <v>40391</v>
      </c>
      <c r="K5642">
        <v>75.839699999999993</v>
      </c>
      <c r="L5642" s="349">
        <v>-0.24160300000000001</v>
      </c>
      <c r="M5642" s="21"/>
    </row>
    <row r="5643" spans="1:13" hidden="1" outlineLevel="1" x14ac:dyDescent="0.25">
      <c r="A5643" s="739">
        <v>0.05</v>
      </c>
      <c r="B5643" s="740" t="s">
        <v>1184</v>
      </c>
      <c r="C5643" s="1112">
        <v>42.006999999999998</v>
      </c>
      <c r="D5643" s="1091">
        <v>57.5</v>
      </c>
      <c r="E5643" s="742">
        <v>0.36881948246720797</v>
      </c>
      <c r="F5643" s="946">
        <v>1.8440974123360401E-2</v>
      </c>
      <c r="G5643" s="78"/>
      <c r="H5643" t="s">
        <v>3497</v>
      </c>
      <c r="J5643" s="256">
        <v>40422</v>
      </c>
      <c r="K5643">
        <v>79.621399999999994</v>
      </c>
      <c r="L5643" s="349">
        <v>-0.20378600000000002</v>
      </c>
      <c r="M5643" s="21"/>
    </row>
    <row r="5644" spans="1:13" hidden="1" outlineLevel="1" x14ac:dyDescent="0.25">
      <c r="A5644" s="739">
        <v>0.03</v>
      </c>
      <c r="B5644" s="740" t="s">
        <v>901</v>
      </c>
      <c r="C5644" s="1112">
        <v>1892.4</v>
      </c>
      <c r="D5644" s="1091">
        <v>23.305</v>
      </c>
      <c r="E5644" s="742">
        <v>-0.98768495032762627</v>
      </c>
      <c r="F5644" s="946">
        <v>-2.9630548509828786E-2</v>
      </c>
      <c r="G5644" s="78"/>
      <c r="H5644" t="s">
        <v>531</v>
      </c>
      <c r="J5644" s="256">
        <v>40452</v>
      </c>
      <c r="K5644">
        <v>82.506399999999999</v>
      </c>
      <c r="L5644" s="349">
        <v>-0.17493599999999998</v>
      </c>
      <c r="M5644" s="21"/>
    </row>
    <row r="5645" spans="1:13" hidden="1" outlineLevel="1" x14ac:dyDescent="0.25">
      <c r="A5645" s="739">
        <v>0.03</v>
      </c>
      <c r="B5645" s="740" t="s">
        <v>1847</v>
      </c>
      <c r="C5645" s="1112">
        <v>20.641999999999999</v>
      </c>
      <c r="D5645" s="1091">
        <v>4.2</v>
      </c>
      <c r="E5645" s="742">
        <v>-0.79653134386202884</v>
      </c>
      <c r="F5645" s="946">
        <v>-2.3895940315860863E-2</v>
      </c>
      <c r="G5645" s="78"/>
      <c r="H5645" t="s">
        <v>2749</v>
      </c>
      <c r="J5645" s="256">
        <v>40483</v>
      </c>
      <c r="K5645">
        <v>77.811300000000003</v>
      </c>
      <c r="L5645" s="349">
        <v>-0.22188699999999995</v>
      </c>
      <c r="M5645" s="21"/>
    </row>
    <row r="5646" spans="1:13" hidden="1" outlineLevel="1" x14ac:dyDescent="0.25">
      <c r="A5646" s="739">
        <v>0.02</v>
      </c>
      <c r="B5646" s="740" t="s">
        <v>1212</v>
      </c>
      <c r="C5646" s="1112">
        <v>49.573999999999998</v>
      </c>
      <c r="D5646" s="1091">
        <v>37.04</v>
      </c>
      <c r="E5646" s="742">
        <v>-0.25283414693185946</v>
      </c>
      <c r="F5646" s="946">
        <v>-5.0566829386371895E-3</v>
      </c>
      <c r="G5646" s="78"/>
      <c r="H5646" t="s">
        <v>4229</v>
      </c>
      <c r="J5646" t="s">
        <v>2465</v>
      </c>
      <c r="K5646">
        <v>77.82074999999999</v>
      </c>
      <c r="L5646" s="349">
        <v>-0.22179250000000006</v>
      </c>
      <c r="M5646" s="21"/>
    </row>
    <row r="5647" spans="1:13" hidden="1" outlineLevel="1" x14ac:dyDescent="0.25">
      <c r="A5647" s="739">
        <v>0.04</v>
      </c>
      <c r="B5647" s="740" t="s">
        <v>2699</v>
      </c>
      <c r="C5647" s="1112">
        <v>20.414000000000001</v>
      </c>
      <c r="D5647" s="1091">
        <v>12.345000000000001</v>
      </c>
      <c r="E5647" s="742">
        <v>-0.39526795336533749</v>
      </c>
      <c r="F5647" s="946">
        <v>-1.5810718134613499E-2</v>
      </c>
      <c r="G5647" s="78"/>
      <c r="H5647" t="s">
        <v>505</v>
      </c>
      <c r="L5647" s="300"/>
      <c r="M5647" s="21"/>
    </row>
    <row r="5648" spans="1:13" hidden="1" outlineLevel="1" x14ac:dyDescent="0.25">
      <c r="A5648" s="739">
        <v>0.02</v>
      </c>
      <c r="B5648" s="740" t="s">
        <v>3406</v>
      </c>
      <c r="C5648" s="1112">
        <v>1004.55</v>
      </c>
      <c r="D5648" s="1091">
        <v>11.44</v>
      </c>
      <c r="E5648" s="742">
        <v>-0.9886118162361256</v>
      </c>
      <c r="F5648" s="946">
        <v>-1.9772236324722511E-2</v>
      </c>
      <c r="G5648" s="78"/>
      <c r="H5648" t="s">
        <v>2105</v>
      </c>
      <c r="L5648" s="300"/>
      <c r="M5648" s="21"/>
    </row>
    <row r="5649" spans="1:13" hidden="1" outlineLevel="1" x14ac:dyDescent="0.25">
      <c r="A5649" s="739">
        <v>0.06</v>
      </c>
      <c r="B5649" s="712" t="s">
        <v>3798</v>
      </c>
      <c r="C5649" s="1112">
        <v>5.9977</v>
      </c>
      <c r="D5649" s="1091">
        <v>3.62</v>
      </c>
      <c r="E5649" s="742">
        <v>-0.39643530019840933</v>
      </c>
      <c r="F5649" s="946">
        <v>-2.3786118011904559E-2</v>
      </c>
      <c r="G5649" s="78"/>
      <c r="H5649" t="s">
        <v>4122</v>
      </c>
      <c r="L5649" s="300"/>
      <c r="M5649" s="21"/>
    </row>
    <row r="5650" spans="1:13" hidden="1" outlineLevel="1" x14ac:dyDescent="0.25">
      <c r="A5650" s="739">
        <v>0.03</v>
      </c>
      <c r="B5650" s="740" t="s">
        <v>4268</v>
      </c>
      <c r="C5650" s="1112">
        <v>25.15</v>
      </c>
      <c r="D5650" s="1091">
        <v>20.329999999999998</v>
      </c>
      <c r="E5650" s="742">
        <v>-0.19165009940357858</v>
      </c>
      <c r="F5650" s="946">
        <v>-5.7495029821073573E-3</v>
      </c>
      <c r="G5650" s="78"/>
      <c r="H5650" t="s">
        <v>1801</v>
      </c>
      <c r="L5650" s="300"/>
      <c r="M5650" s="21"/>
    </row>
    <row r="5651" spans="1:13" hidden="1" outlineLevel="1" x14ac:dyDescent="0.25">
      <c r="A5651" s="739">
        <v>0.04</v>
      </c>
      <c r="B5651" s="740" t="s">
        <v>1771</v>
      </c>
      <c r="C5651" s="1112">
        <v>680.02</v>
      </c>
      <c r="D5651" s="1091">
        <v>648.29999999999995</v>
      </c>
      <c r="E5651" s="742">
        <v>-4.664568689156201E-2</v>
      </c>
      <c r="F5651" s="946">
        <v>-1.8658274756624803E-3</v>
      </c>
      <c r="G5651" s="78"/>
      <c r="H5651" t="s">
        <v>4329</v>
      </c>
      <c r="L5651" s="300"/>
      <c r="M5651" s="21"/>
    </row>
    <row r="5652" spans="1:13" hidden="1" outlineLevel="1" x14ac:dyDescent="0.25">
      <c r="A5652" s="739">
        <v>0.06</v>
      </c>
      <c r="B5652" s="740" t="s">
        <v>2588</v>
      </c>
      <c r="C5652" s="1112">
        <v>16.45</v>
      </c>
      <c r="D5652" s="1091">
        <v>6</v>
      </c>
      <c r="E5652" s="742">
        <v>-0.63525835866261393</v>
      </c>
      <c r="F5652" s="946">
        <v>-3.8115501519756838E-2</v>
      </c>
      <c r="G5652" s="78"/>
      <c r="H5652" t="s">
        <v>4132</v>
      </c>
      <c r="L5652" s="300"/>
      <c r="M5652" s="21"/>
    </row>
    <row r="5653" spans="1:13" hidden="1" outlineLevel="1" x14ac:dyDescent="0.25">
      <c r="A5653" s="739">
        <v>0.04</v>
      </c>
      <c r="B5653" s="740" t="s">
        <v>44</v>
      </c>
      <c r="C5653" s="1112">
        <v>4.3099999999999996</v>
      </c>
      <c r="D5653" s="1091">
        <v>2.0049999999999999</v>
      </c>
      <c r="E5653" s="742">
        <v>-0.53480278422273786</v>
      </c>
      <c r="F5653" s="946">
        <v>-2.1392111368909516E-2</v>
      </c>
      <c r="G5653" s="78"/>
      <c r="H5653" t="s">
        <v>204</v>
      </c>
      <c r="L5653" s="300"/>
      <c r="M5653" s="21"/>
    </row>
    <row r="5654" spans="1:13" hidden="1" outlineLevel="1" x14ac:dyDescent="0.25">
      <c r="A5654" s="739">
        <v>0.02</v>
      </c>
      <c r="B5654" s="740" t="s">
        <v>4376</v>
      </c>
      <c r="C5654" s="1112">
        <v>39.76</v>
      </c>
      <c r="D5654" s="1091">
        <v>37.380000000000003</v>
      </c>
      <c r="E5654" s="742">
        <v>-5.9859154929577385E-2</v>
      </c>
      <c r="F5654" s="946">
        <v>-1.1971830985915478E-3</v>
      </c>
      <c r="G5654" s="78"/>
      <c r="H5654" t="s">
        <v>4326</v>
      </c>
      <c r="J5654" s="101"/>
      <c r="L5654" s="300"/>
      <c r="M5654" s="21"/>
    </row>
    <row r="5655" spans="1:13" hidden="1" outlineLevel="1" x14ac:dyDescent="0.25">
      <c r="A5655" s="739">
        <v>0.03</v>
      </c>
      <c r="B5655" s="740" t="s">
        <v>1526</v>
      </c>
      <c r="C5655" s="1112">
        <v>78.772999999999996</v>
      </c>
      <c r="D5655" s="1091">
        <v>27.024999999999999</v>
      </c>
      <c r="E5655" s="742">
        <v>-0.65692559633376924</v>
      </c>
      <c r="F5655" s="946">
        <v>-1.9707767890013075E-2</v>
      </c>
      <c r="G5655" s="78"/>
      <c r="H5655" t="s">
        <v>4146</v>
      </c>
      <c r="L5655" s="300"/>
      <c r="M5655" s="21"/>
    </row>
    <row r="5656" spans="1:13" hidden="1" outlineLevel="1" x14ac:dyDescent="0.25">
      <c r="A5656" s="739">
        <v>0.04</v>
      </c>
      <c r="B5656" s="996" t="s">
        <v>2160</v>
      </c>
      <c r="C5656" s="1112">
        <v>30.552</v>
      </c>
      <c r="D5656" s="1091">
        <v>30.25</v>
      </c>
      <c r="E5656" s="742">
        <v>-9.8847865933490153E-3</v>
      </c>
      <c r="F5656" s="946">
        <v>-3.9539146373396061E-4</v>
      </c>
      <c r="G5656" s="78"/>
      <c r="H5656" t="s">
        <v>5507</v>
      </c>
      <c r="L5656" s="300"/>
      <c r="M5656" s="21"/>
    </row>
    <row r="5657" spans="1:13" hidden="1" outlineLevel="1" x14ac:dyDescent="0.25">
      <c r="A5657" s="739">
        <v>0.03</v>
      </c>
      <c r="B5657" s="740" t="s">
        <v>1905</v>
      </c>
      <c r="C5657" s="1112">
        <v>42.207000000000001</v>
      </c>
      <c r="D5657" s="1091">
        <v>34.47</v>
      </c>
      <c r="E5657" s="742">
        <v>-0.18331082521856568</v>
      </c>
      <c r="F5657" s="946">
        <v>-5.4993247565569697E-3</v>
      </c>
      <c r="G5657" s="78"/>
      <c r="H5657" t="s">
        <v>504</v>
      </c>
      <c r="L5657" s="300"/>
      <c r="M5657" s="21"/>
    </row>
    <row r="5658" spans="1:13" hidden="1" outlineLevel="1" x14ac:dyDescent="0.25">
      <c r="A5658" s="739">
        <v>0.03</v>
      </c>
      <c r="B5658" s="740" t="s">
        <v>3797</v>
      </c>
      <c r="C5658" s="1112">
        <v>49.18</v>
      </c>
      <c r="D5658" s="1091">
        <v>54.55</v>
      </c>
      <c r="E5658" s="742">
        <v>0.10919072793818629</v>
      </c>
      <c r="F5658" s="946">
        <v>3.2757218381455886E-3</v>
      </c>
      <c r="G5658" s="78"/>
      <c r="H5658" t="s">
        <v>3848</v>
      </c>
      <c r="L5658" s="300"/>
      <c r="M5658" s="21"/>
    </row>
    <row r="5659" spans="1:13" hidden="1" outlineLevel="1" x14ac:dyDescent="0.25">
      <c r="A5659" s="739">
        <v>0.03</v>
      </c>
      <c r="B5659" s="740" t="s">
        <v>1190</v>
      </c>
      <c r="C5659" s="837">
        <v>20.338999999999999</v>
      </c>
      <c r="D5659" s="1091">
        <v>7.1150000000000002</v>
      </c>
      <c r="E5659" s="742">
        <v>-0.65017945818378475</v>
      </c>
      <c r="F5659" s="946">
        <v>-1.9505383745513541E-2</v>
      </c>
      <c r="G5659" s="78"/>
      <c r="H5659" t="s">
        <v>7569</v>
      </c>
      <c r="L5659" s="300"/>
      <c r="M5659" s="21"/>
    </row>
    <row r="5660" spans="1:13" hidden="1" outlineLevel="1" x14ac:dyDescent="0.25">
      <c r="A5660" s="739">
        <v>0.04</v>
      </c>
      <c r="B5660" s="740" t="s">
        <v>1414</v>
      </c>
      <c r="C5660" s="837">
        <v>21.012</v>
      </c>
      <c r="D5660" s="1091">
        <v>16.29</v>
      </c>
      <c r="E5660" s="742">
        <v>-0.22472872644203323</v>
      </c>
      <c r="F5660" s="946">
        <v>-8.9891490576813303E-3</v>
      </c>
      <c r="G5660" s="78"/>
      <c r="H5660" t="s">
        <v>2428</v>
      </c>
      <c r="L5660" s="300"/>
      <c r="M5660" s="21"/>
    </row>
    <row r="5661" spans="1:13" hidden="1" outlineLevel="1" x14ac:dyDescent="0.25">
      <c r="A5661" s="739">
        <v>0.04</v>
      </c>
      <c r="B5661" s="740" t="s">
        <v>3424</v>
      </c>
      <c r="C5661" s="837">
        <v>31.085999999999999</v>
      </c>
      <c r="D5661" s="1091">
        <v>30.94</v>
      </c>
      <c r="E5661" s="742">
        <v>-4.6966480087498041E-3</v>
      </c>
      <c r="F5661" s="946">
        <v>-1.8786592034999216E-4</v>
      </c>
      <c r="G5661" s="78"/>
      <c r="H5661" t="s">
        <v>3558</v>
      </c>
      <c r="L5661" s="302"/>
      <c r="M5661" s="21"/>
    </row>
    <row r="5662" spans="1:13" hidden="1" outlineLevel="1" x14ac:dyDescent="0.25">
      <c r="A5662" s="739">
        <v>0.02</v>
      </c>
      <c r="B5662" s="740" t="s">
        <v>2586</v>
      </c>
      <c r="C5662" s="837">
        <v>17.042999999999999</v>
      </c>
      <c r="D5662" s="1091">
        <v>19.36</v>
      </c>
      <c r="E5662" s="742">
        <v>0.13595024350173102</v>
      </c>
      <c r="F5662" s="946">
        <v>2.7190048700346204E-3</v>
      </c>
      <c r="G5662" s="78"/>
      <c r="H5662" t="s">
        <v>2720</v>
      </c>
      <c r="L5662" s="302"/>
      <c r="M5662" s="21"/>
    </row>
    <row r="5663" spans="1:13" hidden="1" outlineLevel="1" x14ac:dyDescent="0.25">
      <c r="A5663" s="739">
        <v>0.03</v>
      </c>
      <c r="B5663" s="740" t="s">
        <v>3801</v>
      </c>
      <c r="C5663" s="837">
        <v>78.215000000000003</v>
      </c>
      <c r="D5663" s="1091">
        <v>47.96</v>
      </c>
      <c r="E5663" s="742">
        <v>-0.38681838522022627</v>
      </c>
      <c r="F5663" s="946">
        <v>-1.1604551556606788E-2</v>
      </c>
      <c r="G5663" s="78"/>
      <c r="H5663" t="s">
        <v>2819</v>
      </c>
      <c r="L5663" s="300"/>
      <c r="M5663" s="21"/>
    </row>
    <row r="5664" spans="1:13" hidden="1" outlineLevel="1" x14ac:dyDescent="0.25">
      <c r="A5664" s="739">
        <v>0.02</v>
      </c>
      <c r="B5664" s="740" t="s">
        <v>1214</v>
      </c>
      <c r="C5664" s="837">
        <v>75.974000000000004</v>
      </c>
      <c r="D5664" s="1091">
        <v>84.29</v>
      </c>
      <c r="E5664" s="742">
        <v>0.10945849896017057</v>
      </c>
      <c r="F5664" s="946">
        <v>2.1891699792034114E-3</v>
      </c>
      <c r="G5664" s="78"/>
      <c r="H5664" t="s">
        <v>3775</v>
      </c>
      <c r="L5664" s="300"/>
      <c r="M5664" s="21"/>
    </row>
    <row r="5665" spans="1:13" hidden="1" outlineLevel="1" x14ac:dyDescent="0.25">
      <c r="A5665" s="739">
        <v>0.02</v>
      </c>
      <c r="B5665" s="740" t="s">
        <v>231</v>
      </c>
      <c r="C5665" s="837">
        <v>57.258000000000003</v>
      </c>
      <c r="D5665" s="1091">
        <v>23.36</v>
      </c>
      <c r="E5665" s="742">
        <v>-0.59202207551783159</v>
      </c>
      <c r="F5665" s="946">
        <v>-1.1840441510356632E-2</v>
      </c>
      <c r="G5665" s="78"/>
      <c r="H5665" t="s">
        <v>640</v>
      </c>
      <c r="L5665" s="300"/>
      <c r="M5665" s="21"/>
    </row>
    <row r="5666" spans="1:13" hidden="1" outlineLevel="1" x14ac:dyDescent="0.25">
      <c r="A5666" s="739">
        <v>0.03</v>
      </c>
      <c r="B5666" s="740" t="s">
        <v>577</v>
      </c>
      <c r="C5666" s="837">
        <v>18.236999999999998</v>
      </c>
      <c r="D5666" s="1091">
        <v>16.39</v>
      </c>
      <c r="E5666" s="742">
        <v>-0.10127762241596738</v>
      </c>
      <c r="F5666" s="946">
        <v>-3.0383286724790215E-3</v>
      </c>
      <c r="G5666" s="78"/>
      <c r="H5666" t="s">
        <v>2804</v>
      </c>
      <c r="L5666" s="300"/>
      <c r="M5666" s="21"/>
    </row>
    <row r="5667" spans="1:13" hidden="1" outlineLevel="1" x14ac:dyDescent="0.25">
      <c r="A5667" s="739">
        <v>0.02</v>
      </c>
      <c r="B5667" s="740" t="s">
        <v>1183</v>
      </c>
      <c r="C5667" s="837">
        <v>47.642000000000003</v>
      </c>
      <c r="D5667" s="1091">
        <v>37.314999999999998</v>
      </c>
      <c r="E5667" s="742">
        <v>-0.21676252046513589</v>
      </c>
      <c r="F5667" s="946">
        <v>-4.3352504093027181E-3</v>
      </c>
      <c r="G5667" s="78"/>
      <c r="H5667" t="s">
        <v>2805</v>
      </c>
      <c r="L5667" s="300"/>
      <c r="M5667" s="21"/>
    </row>
    <row r="5668" spans="1:13" hidden="1" outlineLevel="1" x14ac:dyDescent="0.25">
      <c r="A5668" s="739">
        <v>0.03</v>
      </c>
      <c r="B5668" s="740" t="s">
        <v>3169</v>
      </c>
      <c r="C5668" s="837">
        <v>24.31</v>
      </c>
      <c r="D5668" s="945">
        <v>18.795000000000002</v>
      </c>
      <c r="E5668" s="748">
        <v>-0.22686137392019734</v>
      </c>
      <c r="F5668" s="1023">
        <v>-6.8058412176059202E-3</v>
      </c>
      <c r="G5668" s="78"/>
      <c r="H5668" t="s">
        <v>657</v>
      </c>
      <c r="L5668" s="348"/>
    </row>
    <row r="5669" spans="1:13" hidden="1" outlineLevel="1" x14ac:dyDescent="0.25">
      <c r="A5669" s="717"/>
      <c r="B5669" s="718"/>
      <c r="C5669" s="719"/>
      <c r="D5669" s="727"/>
      <c r="E5669" s="716"/>
      <c r="F5669" s="770">
        <v>-0.2224837893667044</v>
      </c>
      <c r="G5669" s="78"/>
    </row>
    <row r="5670" spans="1:13" collapsed="1" x14ac:dyDescent="0.25">
      <c r="A5670" s="3801" t="s">
        <v>4322</v>
      </c>
      <c r="B5670" s="3802"/>
      <c r="C5670" s="3802"/>
      <c r="D5670" s="3802"/>
      <c r="E5670" s="721" t="s">
        <v>2722</v>
      </c>
      <c r="F5670" s="722">
        <v>0</v>
      </c>
      <c r="G5670" s="97" t="s">
        <v>781</v>
      </c>
      <c r="H5670">
        <v>-0.17743400000000006</v>
      </c>
    </row>
    <row r="5672" spans="1:13" hidden="1" outlineLevel="1" x14ac:dyDescent="0.25">
      <c r="A5672" s="689" t="s">
        <v>113</v>
      </c>
      <c r="B5672" s="689" t="s">
        <v>114</v>
      </c>
      <c r="C5672" s="689" t="s">
        <v>112</v>
      </c>
      <c r="D5672" s="689" t="s">
        <v>116</v>
      </c>
      <c r="E5672" s="689" t="s">
        <v>117</v>
      </c>
      <c r="F5672" s="1188" t="s">
        <v>121</v>
      </c>
      <c r="G5672" s="78"/>
    </row>
    <row r="5673" spans="1:13" hidden="1" outlineLevel="1" x14ac:dyDescent="0.25">
      <c r="A5673" s="690">
        <v>16</v>
      </c>
      <c r="B5673" s="691" t="s">
        <v>252</v>
      </c>
      <c r="C5673" s="692">
        <v>100</v>
      </c>
      <c r="D5673" s="692"/>
      <c r="E5673" s="693"/>
      <c r="F5673" s="694"/>
      <c r="G5673" s="78"/>
    </row>
    <row r="5674" spans="1:13" hidden="1" outlineLevel="1" x14ac:dyDescent="0.25">
      <c r="A5674" s="695"/>
      <c r="B5674" s="695"/>
      <c r="C5674" s="696"/>
      <c r="D5674" s="697" t="s">
        <v>3702</v>
      </c>
      <c r="E5674" s="698">
        <v>40968</v>
      </c>
      <c r="F5674" s="699"/>
      <c r="G5674" s="78"/>
    </row>
    <row r="5675" spans="1:13" hidden="1" outlineLevel="1" x14ac:dyDescent="0.25">
      <c r="A5675" s="689" t="s">
        <v>4156</v>
      </c>
      <c r="B5675" s="689" t="s">
        <v>4153</v>
      </c>
      <c r="C5675" s="497" t="s">
        <v>112</v>
      </c>
      <c r="D5675" s="495" t="s">
        <v>4155</v>
      </c>
      <c r="E5675" s="689" t="s">
        <v>4154</v>
      </c>
      <c r="F5675" s="1021" t="s">
        <v>2519</v>
      </c>
      <c r="G5675" s="78"/>
    </row>
    <row r="5676" spans="1:13" hidden="1" outlineLevel="1" x14ac:dyDescent="0.25">
      <c r="A5676" s="999">
        <v>2.7199999999999998E-2</v>
      </c>
      <c r="B5676" s="1000" t="s">
        <v>1993</v>
      </c>
      <c r="C5676" s="1007">
        <v>72.596999999999994</v>
      </c>
      <c r="D5676" s="803">
        <v>113.62</v>
      </c>
      <c r="E5676" s="705">
        <v>0.56507844676777297</v>
      </c>
      <c r="F5676" s="1021">
        <v>1.5370133752083424E-2</v>
      </c>
      <c r="G5676" s="78"/>
      <c r="H5676" t="s">
        <v>2812</v>
      </c>
      <c r="I5676" s="39" t="s">
        <v>3533</v>
      </c>
    </row>
    <row r="5677" spans="1:13" hidden="1" outlineLevel="1" x14ac:dyDescent="0.25">
      <c r="A5677" s="1002">
        <v>2.7199999999999998E-2</v>
      </c>
      <c r="B5677" s="996" t="s">
        <v>156</v>
      </c>
      <c r="C5677" s="1008">
        <v>49.223999999999997</v>
      </c>
      <c r="D5677" s="908">
        <v>15.824999999999999</v>
      </c>
      <c r="E5677" s="709">
        <v>-0.67851048269137004</v>
      </c>
      <c r="F5677" s="946">
        <v>-1.8455485129205265E-2</v>
      </c>
      <c r="G5677" s="78"/>
      <c r="H5677" t="s">
        <v>4417</v>
      </c>
    </row>
    <row r="5678" spans="1:13" hidden="1" outlineLevel="1" x14ac:dyDescent="0.25">
      <c r="A5678" s="1002">
        <v>2.7199999999999998E-2</v>
      </c>
      <c r="B5678" s="996" t="s">
        <v>901</v>
      </c>
      <c r="C5678" s="1008">
        <v>1892.4</v>
      </c>
      <c r="D5678" s="908">
        <v>3177</v>
      </c>
      <c r="E5678" s="709">
        <v>0.67882054533925174</v>
      </c>
      <c r="F5678" s="946">
        <v>1.8463918833227646E-2</v>
      </c>
      <c r="G5678" s="78"/>
      <c r="H5678" t="s">
        <v>531</v>
      </c>
    </row>
    <row r="5679" spans="1:13" hidden="1" outlineLevel="1" x14ac:dyDescent="0.25">
      <c r="A5679" s="1002">
        <v>2.7199999999999998E-2</v>
      </c>
      <c r="B5679" s="1012" t="s">
        <v>3405</v>
      </c>
      <c r="C5679" s="1008">
        <v>47.415999999999997</v>
      </c>
      <c r="D5679" s="908">
        <v>18.82</v>
      </c>
      <c r="E5679" s="709">
        <v>-0.60308756537877506</v>
      </c>
      <c r="F5679" s="946">
        <v>-1.6403981778302681E-2</v>
      </c>
      <c r="G5679" s="78"/>
      <c r="H5679" t="s">
        <v>2747</v>
      </c>
      <c r="I5679" s="39"/>
    </row>
    <row r="5680" spans="1:13" hidden="1" outlineLevel="1" x14ac:dyDescent="0.25">
      <c r="A5680" s="1002">
        <v>6.4000000000000001E-2</v>
      </c>
      <c r="B5680" s="996" t="s">
        <v>4437</v>
      </c>
      <c r="C5680" s="1008">
        <v>1206.9000000000001</v>
      </c>
      <c r="D5680" s="908">
        <v>807</v>
      </c>
      <c r="E5680" s="709">
        <v>-0.33134476758637843</v>
      </c>
      <c r="F5680" s="946">
        <v>-2.1206065125528219E-2</v>
      </c>
      <c r="G5680" s="78"/>
      <c r="H5680" t="s">
        <v>3825</v>
      </c>
      <c r="I5680" s="39"/>
    </row>
    <row r="5681" spans="1:9" hidden="1" outlineLevel="1" x14ac:dyDescent="0.25">
      <c r="A5681" s="1002">
        <v>2.7199999999999998E-2</v>
      </c>
      <c r="B5681" s="996" t="s">
        <v>3406</v>
      </c>
      <c r="C5681" s="1008">
        <v>1004.55</v>
      </c>
      <c r="D5681" s="908">
        <v>1503.5</v>
      </c>
      <c r="E5681" s="709">
        <v>0.49669006022597184</v>
      </c>
      <c r="F5681" s="946">
        <v>1.3509969638146433E-2</v>
      </c>
      <c r="G5681" s="78"/>
      <c r="H5681" t="s">
        <v>2105</v>
      </c>
      <c r="I5681" s="39"/>
    </row>
    <row r="5682" spans="1:9" hidden="1" outlineLevel="1" x14ac:dyDescent="0.25">
      <c r="A5682" s="1002">
        <v>2.7199999999999998E-2</v>
      </c>
      <c r="B5682" s="996" t="s">
        <v>4387</v>
      </c>
      <c r="C5682" s="1008">
        <v>121.41500000000001</v>
      </c>
      <c r="D5682" s="908">
        <v>17.265000000000001</v>
      </c>
      <c r="E5682" s="709">
        <v>-0.85780175431371741</v>
      </c>
      <c r="F5682" s="946">
        <v>-2.3332207717333114E-2</v>
      </c>
      <c r="G5682" s="78"/>
      <c r="H5682" t="s">
        <v>3744</v>
      </c>
      <c r="I5682" s="39"/>
    </row>
    <row r="5683" spans="1:9" hidden="1" outlineLevel="1" x14ac:dyDescent="0.25">
      <c r="A5683" s="1002">
        <v>2.7199999999999998E-2</v>
      </c>
      <c r="B5683" s="996" t="s">
        <v>3798</v>
      </c>
      <c r="C5683" s="1008">
        <v>6.8040000000000003</v>
      </c>
      <c r="D5683" s="908">
        <v>3.012</v>
      </c>
      <c r="E5683" s="709">
        <v>-0.55731922398589062</v>
      </c>
      <c r="F5683" s="946">
        <v>-1.5159082892416223E-2</v>
      </c>
      <c r="G5683" s="78"/>
      <c r="H5683" t="s">
        <v>4122</v>
      </c>
      <c r="I5683" s="39"/>
    </row>
    <row r="5684" spans="1:9" hidden="1" outlineLevel="1" x14ac:dyDescent="0.25">
      <c r="A5684" s="1002">
        <v>2.7199999999999998E-2</v>
      </c>
      <c r="B5684" s="996" t="s">
        <v>747</v>
      </c>
      <c r="C5684" s="1008">
        <v>36.835000000000001</v>
      </c>
      <c r="D5684" s="908">
        <v>18.835000000000001</v>
      </c>
      <c r="E5684" s="709">
        <v>-0.48866567123659566</v>
      </c>
      <c r="F5684" s="946">
        <v>-1.3291706257635401E-2</v>
      </c>
      <c r="G5684" s="78"/>
      <c r="H5684" t="s">
        <v>257</v>
      </c>
      <c r="I5684" s="39"/>
    </row>
    <row r="5685" spans="1:9" hidden="1" outlineLevel="1" x14ac:dyDescent="0.25">
      <c r="A5685" s="1002">
        <v>2.7199999999999998E-2</v>
      </c>
      <c r="B5685" s="996" t="s">
        <v>3643</v>
      </c>
      <c r="C5685" s="1008">
        <v>164.25</v>
      </c>
      <c r="D5685" s="908">
        <v>237.8</v>
      </c>
      <c r="E5685" s="709">
        <v>0.44779299847793008</v>
      </c>
      <c r="F5685" s="946">
        <v>1.2179969558599698E-2</v>
      </c>
      <c r="G5685" s="78"/>
      <c r="H5685" t="s">
        <v>1729</v>
      </c>
      <c r="I5685" s="39"/>
    </row>
    <row r="5686" spans="1:9" hidden="1" outlineLevel="1" x14ac:dyDescent="0.25">
      <c r="A5686" s="1002">
        <v>2.7199999999999998E-2</v>
      </c>
      <c r="B5686" s="996" t="s">
        <v>2681</v>
      </c>
      <c r="C5686" s="1008">
        <v>102.19</v>
      </c>
      <c r="D5686" s="908">
        <v>59</v>
      </c>
      <c r="E5686" s="709">
        <v>-0.42264409433408356</v>
      </c>
      <c r="F5686" s="946">
        <v>-1.1495919365887073E-2</v>
      </c>
      <c r="G5686" s="78"/>
      <c r="H5686" t="s">
        <v>2386</v>
      </c>
      <c r="I5686" s="39"/>
    </row>
    <row r="5687" spans="1:9" hidden="1" outlineLevel="1" x14ac:dyDescent="0.25">
      <c r="A5687" s="1002">
        <v>2.7199999999999998E-2</v>
      </c>
      <c r="B5687" s="996" t="s">
        <v>4439</v>
      </c>
      <c r="C5687" s="1008">
        <v>32.969000000000001</v>
      </c>
      <c r="D5687" s="908">
        <v>69.31</v>
      </c>
      <c r="E5687" s="709">
        <v>1.1022778974187872</v>
      </c>
      <c r="F5687" s="946">
        <v>2.9981958809791012E-2</v>
      </c>
      <c r="G5687" s="78"/>
      <c r="H5687" t="s">
        <v>3827</v>
      </c>
      <c r="I5687" s="39"/>
    </row>
    <row r="5688" spans="1:9" hidden="1" outlineLevel="1" x14ac:dyDescent="0.25">
      <c r="A5688" s="1002">
        <v>2.7199999999999998E-2</v>
      </c>
      <c r="B5688" s="996" t="s">
        <v>44</v>
      </c>
      <c r="C5688" s="1008">
        <v>4.3452999999999999</v>
      </c>
      <c r="D5688" s="908">
        <v>1.4610000000000001</v>
      </c>
      <c r="E5688" s="709">
        <v>-0.66377465307343564</v>
      </c>
      <c r="F5688" s="946">
        <v>-1.8054670563597448E-2</v>
      </c>
      <c r="G5688" s="78"/>
      <c r="H5688" t="s">
        <v>204</v>
      </c>
      <c r="I5688" s="39"/>
    </row>
    <row r="5689" spans="1:9" hidden="1" outlineLevel="1" x14ac:dyDescent="0.25">
      <c r="A5689" s="1002">
        <v>2.7199999999999998E-2</v>
      </c>
      <c r="B5689" s="996" t="s">
        <v>1526</v>
      </c>
      <c r="C5689" s="1008">
        <v>78.772999999999996</v>
      </c>
      <c r="D5689" s="908">
        <v>17.73</v>
      </c>
      <c r="E5689" s="709">
        <v>-0.77492287966689088</v>
      </c>
      <c r="F5689" s="946">
        <v>-2.1077902326939429E-2</v>
      </c>
      <c r="G5689" s="78"/>
      <c r="H5689" t="s">
        <v>4146</v>
      </c>
      <c r="I5689" s="39"/>
    </row>
    <row r="5690" spans="1:9" hidden="1" outlineLevel="1" x14ac:dyDescent="0.25">
      <c r="A5690" s="1002">
        <v>2.7199999999999998E-2</v>
      </c>
      <c r="B5690" s="996" t="s">
        <v>874</v>
      </c>
      <c r="C5690" s="1008">
        <v>129</v>
      </c>
      <c r="D5690" s="908">
        <v>284.2</v>
      </c>
      <c r="E5690" s="709">
        <v>1.2031007751937985</v>
      </c>
      <c r="F5690" s="946">
        <v>3.2724341085271322E-2</v>
      </c>
      <c r="G5690" s="78"/>
      <c r="H5690" t="s">
        <v>4148</v>
      </c>
      <c r="I5690" s="39"/>
    </row>
    <row r="5691" spans="1:9" hidden="1" outlineLevel="1" x14ac:dyDescent="0.25">
      <c r="A5691" s="1002">
        <v>2.7199999999999998E-2</v>
      </c>
      <c r="B5691" s="996" t="s">
        <v>3384</v>
      </c>
      <c r="C5691" s="1008">
        <v>54.204999999999998</v>
      </c>
      <c r="D5691" s="908">
        <v>29.72</v>
      </c>
      <c r="E5691" s="709">
        <v>-0.45171109676229126</v>
      </c>
      <c r="F5691" s="946">
        <v>-1.2286541831934322E-2</v>
      </c>
      <c r="G5691" s="78"/>
      <c r="H5691" t="s">
        <v>3790</v>
      </c>
      <c r="I5691" s="39"/>
    </row>
    <row r="5692" spans="1:9" hidden="1" outlineLevel="1" x14ac:dyDescent="0.25">
      <c r="A5692" s="1002">
        <v>2.7199999999999998E-2</v>
      </c>
      <c r="B5692" s="996" t="s">
        <v>3797</v>
      </c>
      <c r="C5692" s="1008">
        <v>49.18</v>
      </c>
      <c r="D5692" s="908">
        <v>55.3</v>
      </c>
      <c r="E5692" s="709">
        <v>0.1244408296055306</v>
      </c>
      <c r="F5692" s="946">
        <v>3.384790565270432E-3</v>
      </c>
      <c r="G5692" s="78"/>
      <c r="H5692" t="s">
        <v>3848</v>
      </c>
      <c r="I5692" s="39"/>
    </row>
    <row r="5693" spans="1:9" hidden="1" outlineLevel="1" x14ac:dyDescent="0.25">
      <c r="A5693" s="1002">
        <v>2.7199999999999998E-2</v>
      </c>
      <c r="B5693" s="996" t="s">
        <v>3644</v>
      </c>
      <c r="C5693" s="1008">
        <v>42.79</v>
      </c>
      <c r="D5693" s="908">
        <v>27.93</v>
      </c>
      <c r="E5693" s="709">
        <v>-0.34727740126197704</v>
      </c>
      <c r="F5693" s="946">
        <v>-9.4459453143257745E-3</v>
      </c>
      <c r="G5693" s="78"/>
      <c r="H5693" t="s">
        <v>3645</v>
      </c>
      <c r="I5693" s="39"/>
    </row>
    <row r="5694" spans="1:9" hidden="1" outlineLevel="1" x14ac:dyDescent="0.25">
      <c r="A5694" s="1002">
        <v>6.4000000000000001E-2</v>
      </c>
      <c r="B5694" s="996" t="s">
        <v>2374</v>
      </c>
      <c r="C5694" s="1008">
        <v>1522</v>
      </c>
      <c r="D5694" s="908">
        <v>100.9</v>
      </c>
      <c r="E5694" s="709">
        <v>-0.93370565045992115</v>
      </c>
      <c r="F5694" s="946">
        <v>-5.9757161629434952E-2</v>
      </c>
      <c r="G5694" s="78"/>
      <c r="H5694" t="e">
        <v>#N/A</v>
      </c>
      <c r="I5694" s="39"/>
    </row>
    <row r="5695" spans="1:9" hidden="1" outlineLevel="1" x14ac:dyDescent="0.25">
      <c r="A5695" s="1002">
        <v>6.4000000000000001E-2</v>
      </c>
      <c r="B5695" s="996" t="s">
        <v>4101</v>
      </c>
      <c r="C5695" s="1008">
        <v>6674.3</v>
      </c>
      <c r="D5695" s="908">
        <v>3998</v>
      </c>
      <c r="E5695" s="709">
        <v>-0.40098587117750173</v>
      </c>
      <c r="F5695" s="946">
        <v>-2.5663095755360112E-2</v>
      </c>
      <c r="G5695" s="78"/>
      <c r="H5695" t="s">
        <v>1046</v>
      </c>
      <c r="I5695" s="39"/>
    </row>
    <row r="5696" spans="1:9" hidden="1" outlineLevel="1" x14ac:dyDescent="0.25">
      <c r="A5696" s="1002">
        <v>6.4000000000000001E-2</v>
      </c>
      <c r="B5696" s="996" t="s">
        <v>3646</v>
      </c>
      <c r="C5696" s="1008">
        <v>35838.5</v>
      </c>
      <c r="D5696" s="908">
        <v>38900</v>
      </c>
      <c r="E5696" s="709">
        <v>8.5424892224841953E-2</v>
      </c>
      <c r="F5696" s="946">
        <v>5.4671931023898852E-3</v>
      </c>
      <c r="G5696" s="78"/>
      <c r="H5696" t="s">
        <v>2756</v>
      </c>
      <c r="I5696" s="39"/>
    </row>
    <row r="5697" spans="1:9" hidden="1" outlineLevel="1" x14ac:dyDescent="0.25">
      <c r="A5697" s="1002">
        <v>2.7199999999999998E-2</v>
      </c>
      <c r="B5697" s="996" t="s">
        <v>3801</v>
      </c>
      <c r="C5697" s="1008">
        <v>78.215000000000003</v>
      </c>
      <c r="D5697" s="908">
        <v>34.200000000000003</v>
      </c>
      <c r="E5697" s="709">
        <v>-0.56274371923544075</v>
      </c>
      <c r="F5697" s="946">
        <v>-1.5306629163203987E-2</v>
      </c>
      <c r="G5697" s="78"/>
      <c r="H5697" t="s">
        <v>2819</v>
      </c>
      <c r="I5697" s="39"/>
    </row>
    <row r="5698" spans="1:9" hidden="1" outlineLevel="1" x14ac:dyDescent="0.25">
      <c r="A5698" s="1002">
        <v>2.7199999999999998E-2</v>
      </c>
      <c r="B5698" s="996" t="s">
        <v>2166</v>
      </c>
      <c r="C5698" s="1008">
        <v>65.981999999999999</v>
      </c>
      <c r="D5698" s="908">
        <v>24.25</v>
      </c>
      <c r="E5698" s="709">
        <v>-0.63247552362765602</v>
      </c>
      <c r="F5698" s="946">
        <v>-1.7203334242672244E-2</v>
      </c>
      <c r="G5698" s="78"/>
      <c r="H5698" t="s">
        <v>4160</v>
      </c>
      <c r="I5698" s="39"/>
    </row>
    <row r="5699" spans="1:9" hidden="1" outlineLevel="1" x14ac:dyDescent="0.25">
      <c r="A5699" s="1002">
        <v>2.7199999999999998E-2</v>
      </c>
      <c r="B5699" s="996" t="s">
        <v>4338</v>
      </c>
      <c r="C5699" s="1008">
        <v>37.934908558338002</v>
      </c>
      <c r="D5699" s="908">
        <v>19.47</v>
      </c>
      <c r="E5699" s="709">
        <v>-0.48675242039774103</v>
      </c>
      <c r="F5699" s="946">
        <v>-1.3239665834818556E-2</v>
      </c>
      <c r="G5699" s="78"/>
      <c r="H5699" t="s">
        <v>7229</v>
      </c>
      <c r="I5699" s="39"/>
    </row>
    <row r="5700" spans="1:9" hidden="1" outlineLevel="1" x14ac:dyDescent="0.25">
      <c r="A5700" s="1002">
        <v>6.4000000000000001E-2</v>
      </c>
      <c r="B5700" s="996" t="s">
        <v>2757</v>
      </c>
      <c r="C5700" s="1008">
        <v>513.4</v>
      </c>
      <c r="D5700" s="908">
        <v>406.5</v>
      </c>
      <c r="E5700" s="709">
        <v>-0.20821971172574982</v>
      </c>
      <c r="F5700" s="946">
        <v>-1.3326061550447989E-2</v>
      </c>
      <c r="G5700" s="78"/>
      <c r="H5700" t="e">
        <v>#N/A</v>
      </c>
      <c r="I5700" s="39"/>
    </row>
    <row r="5701" spans="1:9" hidden="1" outlineLevel="1" x14ac:dyDescent="0.25">
      <c r="A5701" s="1002">
        <v>2.7199999999999998E-2</v>
      </c>
      <c r="B5701" s="996" t="s">
        <v>1301</v>
      </c>
      <c r="C5701" s="1008">
        <v>14.25</v>
      </c>
      <c r="D5701" s="908">
        <v>8.7370000000000001</v>
      </c>
      <c r="E5701" s="709">
        <v>-0.38687719298245615</v>
      </c>
      <c r="F5701" s="946">
        <v>-1.0523059649122807E-2</v>
      </c>
      <c r="G5701" s="78"/>
      <c r="H5701" t="s">
        <v>1047</v>
      </c>
    </row>
    <row r="5702" spans="1:9" hidden="1" outlineLevel="1" x14ac:dyDescent="0.25">
      <c r="A5702" s="1002">
        <v>2.7199999999999998E-2</v>
      </c>
      <c r="B5702" s="996" t="s">
        <v>3383</v>
      </c>
      <c r="C5702" s="1008">
        <v>98.29</v>
      </c>
      <c r="D5702" s="908">
        <v>103.3</v>
      </c>
      <c r="E5702" s="709">
        <v>5.097161460982802E-2</v>
      </c>
      <c r="F5702" s="946">
        <v>1.3864279173873221E-3</v>
      </c>
      <c r="G5702" s="78"/>
      <c r="H5702" t="s">
        <v>3789</v>
      </c>
    </row>
    <row r="5703" spans="1:9" hidden="1" outlineLevel="1" x14ac:dyDescent="0.25">
      <c r="A5703" s="1002">
        <v>2.7199999999999998E-2</v>
      </c>
      <c r="B5703" s="996" t="s">
        <v>583</v>
      </c>
      <c r="C5703" s="1008">
        <v>389.63</v>
      </c>
      <c r="D5703" s="908">
        <v>316.10000000000002</v>
      </c>
      <c r="E5703" s="709">
        <v>-0.18871750121910524</v>
      </c>
      <c r="F5703" s="946">
        <v>-5.1331160331596626E-3</v>
      </c>
      <c r="G5703" s="78"/>
      <c r="H5703" t="s">
        <v>1594</v>
      </c>
      <c r="I5703" s="39"/>
    </row>
    <row r="5704" spans="1:9" hidden="1" outlineLevel="1" x14ac:dyDescent="0.25">
      <c r="A5704" s="1002">
        <v>2.7199999999999998E-2</v>
      </c>
      <c r="B5704" s="996" t="s">
        <v>2628</v>
      </c>
      <c r="C5704" s="1008">
        <v>4.4851000000000001</v>
      </c>
      <c r="D5704" s="908">
        <v>0.68100000000000005</v>
      </c>
      <c r="E5704" s="709">
        <v>-0.84816392053688883</v>
      </c>
      <c r="F5704" s="946">
        <v>-2.3070058638603376E-2</v>
      </c>
      <c r="G5704" s="78"/>
      <c r="H5704" t="s">
        <v>1896</v>
      </c>
      <c r="I5704" s="39"/>
    </row>
    <row r="5705" spans="1:9" hidden="1" outlineLevel="1" x14ac:dyDescent="0.25">
      <c r="A5705" s="1004">
        <v>2.7199999999999998E-2</v>
      </c>
      <c r="B5705" s="997" t="s">
        <v>507</v>
      </c>
      <c r="C5705" s="1009">
        <v>20.574000000000002</v>
      </c>
      <c r="D5705" s="715">
        <v>24.93</v>
      </c>
      <c r="E5705" s="716">
        <v>0.21172353455818005</v>
      </c>
      <c r="F5705" s="1023">
        <v>5.758880139982497E-3</v>
      </c>
      <c r="G5705" s="78"/>
      <c r="H5705" t="s">
        <v>2810</v>
      </c>
      <c r="I5705" s="39"/>
    </row>
    <row r="5706" spans="1:9" hidden="1" outlineLevel="1" x14ac:dyDescent="0.25">
      <c r="A5706" s="749"/>
      <c r="B5706" s="750"/>
      <c r="C5706" s="727"/>
      <c r="D5706" s="727"/>
      <c r="E5706" s="716"/>
      <c r="F5706" s="770">
        <v>-0.22520410739777896</v>
      </c>
      <c r="G5706" s="78"/>
    </row>
    <row r="5707" spans="1:9" hidden="1" outlineLevel="1" x14ac:dyDescent="0.25">
      <c r="A5707" s="749"/>
      <c r="B5707" s="750"/>
      <c r="C5707" s="727"/>
      <c r="D5707" s="727"/>
      <c r="E5707" s="716"/>
      <c r="F5707" s="770"/>
      <c r="G5707" s="78"/>
    </row>
    <row r="5708" spans="1:9" hidden="1" outlineLevel="1" x14ac:dyDescent="0.25">
      <c r="A5708" s="751" t="s">
        <v>2438</v>
      </c>
      <c r="B5708" s="985">
        <v>39569</v>
      </c>
      <c r="C5708" s="727">
        <v>100</v>
      </c>
      <c r="D5708" s="727">
        <v>103.3184</v>
      </c>
      <c r="E5708" s="716">
        <v>3.318399999999988E-2</v>
      </c>
      <c r="F5708" s="731">
        <v>3.318399999999988E-2</v>
      </c>
      <c r="G5708" s="78"/>
    </row>
    <row r="5709" spans="1:9" hidden="1" outlineLevel="1" x14ac:dyDescent="0.25">
      <c r="A5709" s="751" t="s">
        <v>2439</v>
      </c>
      <c r="B5709" s="985">
        <v>39661</v>
      </c>
      <c r="C5709" s="727">
        <v>100</v>
      </c>
      <c r="D5709" s="727">
        <v>92.778099999999995</v>
      </c>
      <c r="E5709" s="716">
        <v>-7.2219000000000033E-2</v>
      </c>
      <c r="F5709" s="731">
        <v>-7.2219000000000033E-2</v>
      </c>
      <c r="G5709" s="78"/>
    </row>
    <row r="5710" spans="1:9" hidden="1" outlineLevel="1" x14ac:dyDescent="0.25">
      <c r="A5710" s="751" t="s">
        <v>4578</v>
      </c>
      <c r="B5710" s="985">
        <v>39753</v>
      </c>
      <c r="C5710" s="727">
        <v>100</v>
      </c>
      <c r="D5710" s="727">
        <v>63.243899999999996</v>
      </c>
      <c r="E5710" s="716">
        <v>-0.36756100000000003</v>
      </c>
      <c r="F5710" s="731">
        <v>-0.36756100000000003</v>
      </c>
      <c r="G5710" s="78"/>
    </row>
    <row r="5711" spans="1:9" hidden="1" outlineLevel="1" x14ac:dyDescent="0.25">
      <c r="A5711" s="751" t="s">
        <v>4579</v>
      </c>
      <c r="B5711" s="985">
        <v>39845</v>
      </c>
      <c r="C5711" s="696">
        <v>100</v>
      </c>
      <c r="D5711" s="696">
        <v>54.694600000000001</v>
      </c>
      <c r="E5711" s="716">
        <v>-0.45305399999999996</v>
      </c>
      <c r="F5711" s="731">
        <v>-0.45305399999999996</v>
      </c>
      <c r="G5711" s="78"/>
    </row>
    <row r="5712" spans="1:9" hidden="1" outlineLevel="1" x14ac:dyDescent="0.25">
      <c r="A5712" s="751" t="s">
        <v>4580</v>
      </c>
      <c r="B5712" s="985">
        <v>39934</v>
      </c>
      <c r="C5712" s="727">
        <v>100</v>
      </c>
      <c r="D5712" s="727">
        <v>67.786299999999997</v>
      </c>
      <c r="E5712" s="716">
        <v>-0.32213700000000001</v>
      </c>
      <c r="F5712" s="731">
        <v>-0.32213700000000001</v>
      </c>
      <c r="G5712" s="78"/>
    </row>
    <row r="5713" spans="1:8" hidden="1" outlineLevel="1" x14ac:dyDescent="0.25">
      <c r="A5713" s="751" t="s">
        <v>32</v>
      </c>
      <c r="B5713" s="985">
        <v>40026</v>
      </c>
      <c r="C5713" s="727">
        <v>100</v>
      </c>
      <c r="D5713" s="727">
        <v>79.696899999999999</v>
      </c>
      <c r="E5713" s="716">
        <v>-0.20303099999999996</v>
      </c>
      <c r="F5713" s="731">
        <v>-0.20303099999999996</v>
      </c>
      <c r="G5713" s="78"/>
    </row>
    <row r="5714" spans="1:8" hidden="1" outlineLevel="1" x14ac:dyDescent="0.25">
      <c r="A5714" s="751" t="s">
        <v>33</v>
      </c>
      <c r="B5714" s="985">
        <v>40118</v>
      </c>
      <c r="C5714" s="727">
        <v>100</v>
      </c>
      <c r="D5714" s="727">
        <v>81.216999999999999</v>
      </c>
      <c r="E5714" s="716">
        <v>-0.18783000000000005</v>
      </c>
      <c r="F5714" s="731">
        <v>-0.18783000000000005</v>
      </c>
      <c r="G5714" s="78"/>
    </row>
    <row r="5715" spans="1:8" hidden="1" outlineLevel="1" x14ac:dyDescent="0.25">
      <c r="A5715" s="751" t="s">
        <v>34</v>
      </c>
      <c r="B5715" s="985">
        <v>40210</v>
      </c>
      <c r="C5715" s="727">
        <v>100</v>
      </c>
      <c r="D5715" s="727">
        <v>81.287000000000006</v>
      </c>
      <c r="E5715" s="716">
        <v>-0.18712999999999991</v>
      </c>
      <c r="F5715" s="731">
        <v>-0.18712999999999991</v>
      </c>
      <c r="G5715" s="78"/>
    </row>
    <row r="5716" spans="1:8" hidden="1" outlineLevel="1" x14ac:dyDescent="0.25">
      <c r="A5716" s="751" t="s">
        <v>35</v>
      </c>
      <c r="B5716" s="985">
        <v>40299</v>
      </c>
      <c r="C5716" s="727">
        <v>100</v>
      </c>
      <c r="D5716" s="727">
        <v>80.392200000000003</v>
      </c>
      <c r="E5716" s="716">
        <v>-0.19607799999999997</v>
      </c>
      <c r="F5716" s="731">
        <v>-0.19607799999999997</v>
      </c>
      <c r="G5716" s="78"/>
    </row>
    <row r="5717" spans="1:8" hidden="1" outlineLevel="1" x14ac:dyDescent="0.25">
      <c r="A5717" s="751" t="s">
        <v>766</v>
      </c>
      <c r="B5717" s="985">
        <v>40391</v>
      </c>
      <c r="C5717" s="727">
        <v>100</v>
      </c>
      <c r="D5717" s="727">
        <v>80.977500000000006</v>
      </c>
      <c r="E5717" s="716">
        <v>-0.19022499999999998</v>
      </c>
      <c r="F5717" s="731">
        <v>-0.19022499999999998</v>
      </c>
      <c r="G5717" s="78"/>
    </row>
    <row r="5718" spans="1:8" hidden="1" outlineLevel="1" x14ac:dyDescent="0.25">
      <c r="A5718" s="751" t="s">
        <v>974</v>
      </c>
      <c r="B5718" s="985">
        <v>40483</v>
      </c>
      <c r="C5718" s="727">
        <v>100</v>
      </c>
      <c r="D5718" s="727">
        <v>81.464299999999994</v>
      </c>
      <c r="E5718" s="716">
        <v>-0.18535700000000011</v>
      </c>
      <c r="F5718" s="731">
        <v>-0.18535700000000011</v>
      </c>
      <c r="G5718" s="78"/>
    </row>
    <row r="5719" spans="1:8" hidden="1" outlineLevel="1" x14ac:dyDescent="0.25">
      <c r="A5719" s="751" t="s">
        <v>975</v>
      </c>
      <c r="B5719" s="985">
        <v>40575</v>
      </c>
      <c r="C5719" s="727">
        <v>100</v>
      </c>
      <c r="D5719" s="727">
        <v>85.352000000000004</v>
      </c>
      <c r="E5719" s="716">
        <v>-0.14647999999999994</v>
      </c>
      <c r="F5719" s="731">
        <v>-0.14647999999999994</v>
      </c>
      <c r="G5719" s="78"/>
    </row>
    <row r="5720" spans="1:8" hidden="1" outlineLevel="1" x14ac:dyDescent="0.25">
      <c r="A5720" s="751" t="s">
        <v>976</v>
      </c>
      <c r="B5720" s="985">
        <v>40664</v>
      </c>
      <c r="C5720" s="727">
        <v>100</v>
      </c>
      <c r="D5720" s="727">
        <v>86.436800000000005</v>
      </c>
      <c r="E5720" s="716">
        <v>-0.13563199999999997</v>
      </c>
      <c r="F5720" s="731">
        <v>-0.13563199999999997</v>
      </c>
      <c r="G5720" s="78"/>
    </row>
    <row r="5721" spans="1:8" hidden="1" outlineLevel="1" x14ac:dyDescent="0.25">
      <c r="A5721" s="751" t="s">
        <v>977</v>
      </c>
      <c r="B5721" s="985">
        <v>40756</v>
      </c>
      <c r="C5721" s="727">
        <v>100</v>
      </c>
      <c r="D5721" s="727">
        <v>73.818700000000007</v>
      </c>
      <c r="E5721" s="716">
        <v>-0.26181299999999996</v>
      </c>
      <c r="F5721" s="731">
        <v>-0.26181299999999996</v>
      </c>
      <c r="G5721" s="78"/>
    </row>
    <row r="5722" spans="1:8" hidden="1" outlineLevel="1" x14ac:dyDescent="0.25">
      <c r="A5722" s="751" t="s">
        <v>978</v>
      </c>
      <c r="B5722" s="985">
        <v>40848</v>
      </c>
      <c r="C5722" s="727">
        <v>100</v>
      </c>
      <c r="D5722" s="727">
        <v>73.390699999999995</v>
      </c>
      <c r="E5722" s="716">
        <v>-0.26609300000000002</v>
      </c>
      <c r="F5722" s="731">
        <v>-0.26609300000000002</v>
      </c>
      <c r="G5722" s="78"/>
    </row>
    <row r="5723" spans="1:8" hidden="1" outlineLevel="1" x14ac:dyDescent="0.25">
      <c r="A5723" s="751" t="s">
        <v>319</v>
      </c>
      <c r="B5723" s="985">
        <v>40940</v>
      </c>
      <c r="C5723" s="727">
        <v>100</v>
      </c>
      <c r="D5723" s="727">
        <v>78.836500000000001</v>
      </c>
      <c r="E5723" s="716">
        <v>-0.21163499999999999</v>
      </c>
      <c r="F5723" s="731">
        <v>-0.21163499999999999</v>
      </c>
      <c r="G5723" s="78"/>
    </row>
    <row r="5724" spans="1:8" hidden="1" outlineLevel="1" x14ac:dyDescent="0.25">
      <c r="A5724" s="751"/>
      <c r="B5724" s="985"/>
      <c r="C5724" s="727"/>
      <c r="D5724" s="727"/>
      <c r="E5724" s="716"/>
      <c r="F5724" s="731"/>
      <c r="G5724" s="78"/>
      <c r="H5724" s="412" t="s">
        <v>1837</v>
      </c>
    </row>
    <row r="5725" spans="1:8" hidden="1" outlineLevel="1" x14ac:dyDescent="0.25">
      <c r="A5725" s="751"/>
      <c r="B5725" s="985"/>
      <c r="C5725" s="727"/>
      <c r="D5725" s="727"/>
      <c r="E5725" s="716"/>
      <c r="F5725" s="731"/>
      <c r="G5725" s="78"/>
      <c r="H5725" s="261">
        <v>-0.2095681875</v>
      </c>
    </row>
    <row r="5726" spans="1:8" collapsed="1" x14ac:dyDescent="0.25">
      <c r="A5726" s="3801" t="s">
        <v>2632</v>
      </c>
      <c r="B5726" s="3802"/>
      <c r="C5726" s="3802"/>
      <c r="D5726" s="3802"/>
      <c r="E5726" s="721"/>
      <c r="F5726" s="722">
        <v>0</v>
      </c>
      <c r="G5726" s="97" t="s">
        <v>781</v>
      </c>
    </row>
    <row r="5728" spans="1:8" hidden="1" outlineLevel="1" x14ac:dyDescent="0.25">
      <c r="A5728" s="689" t="s">
        <v>113</v>
      </c>
      <c r="B5728" s="689" t="s">
        <v>114</v>
      </c>
      <c r="C5728" s="689" t="s">
        <v>112</v>
      </c>
      <c r="D5728" s="689" t="s">
        <v>116</v>
      </c>
      <c r="E5728" s="689" t="s">
        <v>117</v>
      </c>
      <c r="F5728" s="1188" t="s">
        <v>121</v>
      </c>
    </row>
    <row r="5729" spans="1:9" hidden="1" outlineLevel="1" x14ac:dyDescent="0.25">
      <c r="A5729" s="690">
        <v>1</v>
      </c>
      <c r="B5729" s="691" t="s">
        <v>252</v>
      </c>
      <c r="C5729" s="692">
        <v>100</v>
      </c>
      <c r="D5729" s="692"/>
      <c r="E5729" s="693"/>
      <c r="F5729" s="694"/>
    </row>
    <row r="5730" spans="1:9" hidden="1" outlineLevel="1" x14ac:dyDescent="0.25">
      <c r="A5730" s="695"/>
      <c r="B5730" s="695"/>
      <c r="C5730" s="696"/>
      <c r="D5730" s="697" t="s">
        <v>3702</v>
      </c>
      <c r="E5730" s="698">
        <v>41348</v>
      </c>
      <c r="F5730" s="699"/>
    </row>
    <row r="5731" spans="1:9" hidden="1" outlineLevel="1" x14ac:dyDescent="0.25">
      <c r="A5731" s="495" t="s">
        <v>4156</v>
      </c>
      <c r="B5731" s="495" t="s">
        <v>4153</v>
      </c>
      <c r="C5731" s="700" t="s">
        <v>112</v>
      </c>
      <c r="D5731" s="495" t="s">
        <v>4155</v>
      </c>
      <c r="E5731" s="495" t="s">
        <v>4154</v>
      </c>
      <c r="F5731" s="1021" t="s">
        <v>2519</v>
      </c>
    </row>
    <row r="5732" spans="1:9" hidden="1" outlineLevel="1" x14ac:dyDescent="0.25">
      <c r="A5732" s="1127">
        <v>0.04</v>
      </c>
      <c r="B5732" s="949" t="s">
        <v>359</v>
      </c>
      <c r="C5732" s="1128">
        <v>112.575</v>
      </c>
      <c r="D5732" s="799">
        <v>112.25</v>
      </c>
      <c r="E5732" s="911">
        <v>-2.8869642460581657E-3</v>
      </c>
      <c r="F5732" s="1021">
        <v>-1.1547856984232663E-4</v>
      </c>
      <c r="H5732" t="s">
        <v>360</v>
      </c>
    </row>
    <row r="5733" spans="1:9" hidden="1" outlineLevel="1" x14ac:dyDescent="0.25">
      <c r="A5733" s="849">
        <v>0.04</v>
      </c>
      <c r="B5733" s="853" t="s">
        <v>1993</v>
      </c>
      <c r="C5733" s="1129">
        <v>73.912999999999997</v>
      </c>
      <c r="D5733" s="803">
        <v>125.05000000000001</v>
      </c>
      <c r="E5733" s="909">
        <v>0.69185393638466874</v>
      </c>
      <c r="F5733" s="946">
        <v>2.767415745538675E-2</v>
      </c>
      <c r="H5733" t="s">
        <v>2812</v>
      </c>
      <c r="I5733" s="39" t="s">
        <v>3533</v>
      </c>
    </row>
    <row r="5734" spans="1:9" hidden="1" outlineLevel="1" x14ac:dyDescent="0.25">
      <c r="A5734" s="849">
        <v>0.04</v>
      </c>
      <c r="B5734" s="877" t="s">
        <v>2984</v>
      </c>
      <c r="C5734" s="1129">
        <v>13.221</v>
      </c>
      <c r="D5734" s="852">
        <v>7.79</v>
      </c>
      <c r="E5734" s="909">
        <v>-0.41078587096286212</v>
      </c>
      <c r="F5734" s="946">
        <v>-1.6431434838514485E-2</v>
      </c>
      <c r="H5734" t="s">
        <v>2326</v>
      </c>
    </row>
    <row r="5735" spans="1:9" hidden="1" outlineLevel="1" x14ac:dyDescent="0.25">
      <c r="A5735" s="849">
        <v>0.03</v>
      </c>
      <c r="B5735" s="877" t="s">
        <v>157</v>
      </c>
      <c r="C5735" s="1129">
        <v>11.526999999999999</v>
      </c>
      <c r="D5735" s="852">
        <v>5.9690000000000003</v>
      </c>
      <c r="E5735" s="909">
        <v>-0.4821722911425349</v>
      </c>
      <c r="F5735" s="946">
        <v>-1.4465168734276047E-2</v>
      </c>
      <c r="H5735" t="s">
        <v>730</v>
      </c>
    </row>
    <row r="5736" spans="1:9" hidden="1" outlineLevel="1" x14ac:dyDescent="0.25">
      <c r="A5736" s="849">
        <v>0.05</v>
      </c>
      <c r="B5736" s="877" t="s">
        <v>1184</v>
      </c>
      <c r="C5736" s="1129">
        <v>41.866500000000002</v>
      </c>
      <c r="D5736" s="852">
        <v>75.09</v>
      </c>
      <c r="E5736" s="909">
        <v>0.79355809537458355</v>
      </c>
      <c r="F5736" s="946">
        <v>3.9677904768729177E-2</v>
      </c>
      <c r="H5736" t="s">
        <v>3497</v>
      </c>
    </row>
    <row r="5737" spans="1:9" hidden="1" outlineLevel="1" x14ac:dyDescent="0.25">
      <c r="A5737" s="849">
        <v>0.03</v>
      </c>
      <c r="B5737" s="877" t="s">
        <v>901</v>
      </c>
      <c r="C5737" s="1129">
        <v>1889.6</v>
      </c>
      <c r="D5737" s="852">
        <v>3494.5</v>
      </c>
      <c r="E5737" s="909">
        <v>0.84933319220999159</v>
      </c>
      <c r="F5737" s="946">
        <v>2.5479995766299748E-2</v>
      </c>
      <c r="H5737" t="s">
        <v>531</v>
      </c>
    </row>
    <row r="5738" spans="1:9" hidden="1" outlineLevel="1" x14ac:dyDescent="0.25">
      <c r="A5738" s="849">
        <v>0.03</v>
      </c>
      <c r="B5738" s="906" t="s">
        <v>1847</v>
      </c>
      <c r="C5738" s="1129">
        <v>212.69</v>
      </c>
      <c r="D5738" s="852">
        <v>47.26</v>
      </c>
      <c r="E5738" s="909">
        <v>-0.77779867412666326</v>
      </c>
      <c r="F5738" s="946">
        <v>-2.3333960223799896E-2</v>
      </c>
      <c r="H5738" t="s">
        <v>2749</v>
      </c>
    </row>
    <row r="5739" spans="1:9" hidden="1" outlineLevel="1" x14ac:dyDescent="0.25">
      <c r="A5739" s="849">
        <v>0.02</v>
      </c>
      <c r="B5739" s="853" t="s">
        <v>1212</v>
      </c>
      <c r="C5739" s="1129">
        <v>50.273000000000003</v>
      </c>
      <c r="D5739" s="852">
        <v>26.89</v>
      </c>
      <c r="E5739" s="909">
        <v>-0.46512044238458017</v>
      </c>
      <c r="F5739" s="946">
        <v>-9.3024088476916043E-3</v>
      </c>
      <c r="H5739" t="s">
        <v>4229</v>
      </c>
    </row>
    <row r="5740" spans="1:9" hidden="1" outlineLevel="1" x14ac:dyDescent="0.25">
      <c r="A5740" s="849">
        <v>0.04</v>
      </c>
      <c r="B5740" s="853" t="s">
        <v>2699</v>
      </c>
      <c r="C5740" s="1129">
        <v>21.241</v>
      </c>
      <c r="D5740" s="852">
        <v>18.64</v>
      </c>
      <c r="E5740" s="909">
        <v>-0.12245186196506752</v>
      </c>
      <c r="F5740" s="946">
        <v>-4.8980744786027005E-3</v>
      </c>
      <c r="H5740" t="s">
        <v>505</v>
      </c>
    </row>
    <row r="5741" spans="1:9" hidden="1" outlineLevel="1" x14ac:dyDescent="0.25">
      <c r="A5741" s="849">
        <v>0.02</v>
      </c>
      <c r="B5741" s="877" t="s">
        <v>3406</v>
      </c>
      <c r="C5741" s="1129">
        <v>1015.6</v>
      </c>
      <c r="D5741" s="852">
        <v>2012</v>
      </c>
      <c r="E5741" s="909">
        <v>0.98109491925955106</v>
      </c>
      <c r="F5741" s="946">
        <v>1.962189838519102E-2</v>
      </c>
      <c r="H5741" t="s">
        <v>2105</v>
      </c>
    </row>
    <row r="5742" spans="1:9" hidden="1" outlineLevel="1" x14ac:dyDescent="0.25">
      <c r="A5742" s="849">
        <v>0.06</v>
      </c>
      <c r="B5742" s="877" t="s">
        <v>3021</v>
      </c>
      <c r="C5742" s="1129">
        <v>22.608000000000001</v>
      </c>
      <c r="D5742" s="852">
        <v>18.23</v>
      </c>
      <c r="E5742" s="909">
        <v>-0.19364826610049535</v>
      </c>
      <c r="F5742" s="946">
        <v>-1.161889596602972E-2</v>
      </c>
      <c r="H5742" t="s">
        <v>4124</v>
      </c>
    </row>
    <row r="5743" spans="1:9" hidden="1" outlineLevel="1" x14ac:dyDescent="0.25">
      <c r="A5743" s="849">
        <v>0.04</v>
      </c>
      <c r="B5743" s="877" t="s">
        <v>1771</v>
      </c>
      <c r="C5743" s="1129">
        <v>776.85</v>
      </c>
      <c r="D5743" s="852">
        <v>720.1</v>
      </c>
      <c r="E5743" s="909">
        <v>-7.3051425629143352E-2</v>
      </c>
      <c r="F5743" s="946">
        <v>-2.9220570251657341E-3</v>
      </c>
      <c r="H5743" t="s">
        <v>4329</v>
      </c>
    </row>
    <row r="5744" spans="1:9" hidden="1" outlineLevel="1" x14ac:dyDescent="0.25">
      <c r="A5744" s="849">
        <v>0.06</v>
      </c>
      <c r="B5744" s="853" t="s">
        <v>2588</v>
      </c>
      <c r="C5744" s="1129">
        <v>21.484999999999999</v>
      </c>
      <c r="D5744" s="852">
        <v>6.4160000000000004</v>
      </c>
      <c r="E5744" s="909">
        <v>-0.70137305096579006</v>
      </c>
      <c r="F5744" s="946">
        <v>-4.2082383057947405E-2</v>
      </c>
      <c r="H5744" t="s">
        <v>4132</v>
      </c>
    </row>
    <row r="5745" spans="1:8" hidden="1" outlineLevel="1" x14ac:dyDescent="0.25">
      <c r="A5745" s="849">
        <v>0.04</v>
      </c>
      <c r="B5745" s="853" t="s">
        <v>44</v>
      </c>
      <c r="C5745" s="1129">
        <v>4.3560999999999996</v>
      </c>
      <c r="D5745" s="852">
        <v>1.2310000000000001</v>
      </c>
      <c r="E5745" s="909">
        <v>-0.71740777300796577</v>
      </c>
      <c r="F5745" s="946">
        <v>-2.869631092031863E-2</v>
      </c>
      <c r="H5745" t="s">
        <v>204</v>
      </c>
    </row>
    <row r="5746" spans="1:8" hidden="1" outlineLevel="1" x14ac:dyDescent="0.25">
      <c r="A5746" s="849">
        <v>0.02</v>
      </c>
      <c r="B5746" s="853" t="s">
        <v>4376</v>
      </c>
      <c r="C5746" s="1129">
        <v>38.121000000000002</v>
      </c>
      <c r="D5746" s="852">
        <v>50.02</v>
      </c>
      <c r="E5746" s="909">
        <v>0.31213766690275713</v>
      </c>
      <c r="F5746" s="946">
        <v>6.2427533380551431E-3</v>
      </c>
      <c r="H5746" t="s">
        <v>4326</v>
      </c>
    </row>
    <row r="5747" spans="1:8" hidden="1" outlineLevel="1" x14ac:dyDescent="0.25">
      <c r="A5747" s="849">
        <v>0.03</v>
      </c>
      <c r="B5747" s="877" t="s">
        <v>1526</v>
      </c>
      <c r="C5747" s="1129">
        <v>80.210999999999999</v>
      </c>
      <c r="D5747" s="852">
        <v>29.92</v>
      </c>
      <c r="E5747" s="909">
        <v>-0.62698383014798464</v>
      </c>
      <c r="F5747" s="946">
        <v>-1.880951490443954E-2</v>
      </c>
      <c r="H5747" t="s">
        <v>4146</v>
      </c>
    </row>
    <row r="5748" spans="1:8" hidden="1" outlineLevel="1" x14ac:dyDescent="0.25">
      <c r="A5748" s="849">
        <v>0.04</v>
      </c>
      <c r="B5748" s="877" t="s">
        <v>4143</v>
      </c>
      <c r="C5748" s="1129">
        <v>12.038</v>
      </c>
      <c r="D5748" s="852">
        <v>2.9290000000000003</v>
      </c>
      <c r="E5748" s="909">
        <v>-0.7566871573351055</v>
      </c>
      <c r="F5748" s="946">
        <v>-3.0267486293404221E-2</v>
      </c>
      <c r="H5748" t="s">
        <v>4144</v>
      </c>
    </row>
    <row r="5749" spans="1:8" hidden="1" outlineLevel="1" x14ac:dyDescent="0.25">
      <c r="A5749" s="849">
        <v>0.04</v>
      </c>
      <c r="B5749" s="877" t="s">
        <v>2160</v>
      </c>
      <c r="C5749" s="1129">
        <v>30.777999999999999</v>
      </c>
      <c r="D5749" s="852">
        <v>50.27</v>
      </c>
      <c r="E5749" s="909">
        <v>0.63330950679056497</v>
      </c>
      <c r="F5749" s="946">
        <v>2.5332380271622601E-2</v>
      </c>
      <c r="H5749" t="s">
        <v>5507</v>
      </c>
    </row>
    <row r="5750" spans="1:8" hidden="1" outlineLevel="1" x14ac:dyDescent="0.25">
      <c r="A5750" s="849">
        <v>0.03</v>
      </c>
      <c r="B5750" s="740" t="s">
        <v>1905</v>
      </c>
      <c r="C5750" s="1129">
        <v>42.414000000000001</v>
      </c>
      <c r="D5750" s="852">
        <v>44.09</v>
      </c>
      <c r="E5750" s="909">
        <v>3.9515254397133104E-2</v>
      </c>
      <c r="F5750" s="946">
        <v>1.1854576319139931E-3</v>
      </c>
      <c r="H5750" t="s">
        <v>504</v>
      </c>
    </row>
    <row r="5751" spans="1:8" hidden="1" outlineLevel="1" x14ac:dyDescent="0.25">
      <c r="A5751" s="849">
        <v>0.03</v>
      </c>
      <c r="B5751" s="877" t="s">
        <v>2786</v>
      </c>
      <c r="C5751" s="1129">
        <v>719.15</v>
      </c>
      <c r="D5751" s="852">
        <v>734</v>
      </c>
      <c r="E5751" s="909">
        <v>2.0649377737606889E-2</v>
      </c>
      <c r="F5751" s="946">
        <v>6.1948133212820662E-4</v>
      </c>
      <c r="H5751" t="s">
        <v>4195</v>
      </c>
    </row>
    <row r="5752" spans="1:8" hidden="1" outlineLevel="1" x14ac:dyDescent="0.25">
      <c r="A5752" s="849">
        <v>0.03</v>
      </c>
      <c r="B5752" s="877" t="s">
        <v>3797</v>
      </c>
      <c r="C5752" s="1129">
        <v>48.912500000000001</v>
      </c>
      <c r="D5752" s="852">
        <v>68.75</v>
      </c>
      <c r="E5752" s="909">
        <v>0.40557117301303336</v>
      </c>
      <c r="F5752" s="946">
        <v>1.2167135190391001E-2</v>
      </c>
      <c r="H5752" t="s">
        <v>3848</v>
      </c>
    </row>
    <row r="5753" spans="1:8" hidden="1" outlineLevel="1" x14ac:dyDescent="0.25">
      <c r="A5753" s="849">
        <v>0.03</v>
      </c>
      <c r="B5753" s="877" t="s">
        <v>1190</v>
      </c>
      <c r="C5753" s="1129">
        <v>21.626999999999999</v>
      </c>
      <c r="D5753" s="852">
        <v>2.58</v>
      </c>
      <c r="E5753" s="909">
        <v>-0.88070467471216529</v>
      </c>
      <c r="F5753" s="946">
        <v>-2.6421140241364958E-2</v>
      </c>
      <c r="H5753" t="s">
        <v>7569</v>
      </c>
    </row>
    <row r="5754" spans="1:8" hidden="1" outlineLevel="1" x14ac:dyDescent="0.25">
      <c r="A5754" s="849">
        <v>0.04</v>
      </c>
      <c r="B5754" s="877" t="s">
        <v>1414</v>
      </c>
      <c r="C5754" s="1129">
        <v>21.547000000000001</v>
      </c>
      <c r="D5754" s="852">
        <v>28.02</v>
      </c>
      <c r="E5754" s="909">
        <v>0.30041305054067835</v>
      </c>
      <c r="F5754" s="946">
        <v>1.2016522021627134E-2</v>
      </c>
      <c r="H5754" t="s">
        <v>2428</v>
      </c>
    </row>
    <row r="5755" spans="1:8" hidden="1" outlineLevel="1" x14ac:dyDescent="0.25">
      <c r="A5755" s="849">
        <v>0.03</v>
      </c>
      <c r="B5755" s="853" t="s">
        <v>3801</v>
      </c>
      <c r="C5755" s="1129">
        <v>78.793999999999997</v>
      </c>
      <c r="D5755" s="852">
        <v>28.5</v>
      </c>
      <c r="E5755" s="909">
        <v>-0.63829733228418406</v>
      </c>
      <c r="F5755" s="946">
        <v>-1.9148919968525521E-2</v>
      </c>
      <c r="H5755" t="s">
        <v>2819</v>
      </c>
    </row>
    <row r="5756" spans="1:8" hidden="1" outlineLevel="1" x14ac:dyDescent="0.25">
      <c r="A5756" s="849">
        <v>0.02</v>
      </c>
      <c r="B5756" s="853" t="s">
        <v>1214</v>
      </c>
      <c r="C5756" s="1129">
        <v>82.227000000000004</v>
      </c>
      <c r="D5756" s="852">
        <v>83.48</v>
      </c>
      <c r="E5756" s="909">
        <v>1.5238303720189306E-2</v>
      </c>
      <c r="F5756" s="946">
        <v>3.0476607440378613E-4</v>
      </c>
      <c r="H5756" t="s">
        <v>3775</v>
      </c>
    </row>
    <row r="5757" spans="1:8" hidden="1" outlineLevel="1" x14ac:dyDescent="0.25">
      <c r="A5757" s="849">
        <v>0.02</v>
      </c>
      <c r="B5757" s="853" t="s">
        <v>2166</v>
      </c>
      <c r="C5757" s="1129">
        <v>67.882999999999996</v>
      </c>
      <c r="D5757" s="852">
        <v>29.975000000000001</v>
      </c>
      <c r="E5757" s="909">
        <v>-0.55843141876463909</v>
      </c>
      <c r="F5757" s="946">
        <v>-1.1168628375292781E-2</v>
      </c>
      <c r="H5757" t="s">
        <v>4160</v>
      </c>
    </row>
    <row r="5758" spans="1:8" hidden="1" outlineLevel="1" x14ac:dyDescent="0.25">
      <c r="A5758" s="849">
        <v>0.03</v>
      </c>
      <c r="B5758" s="853" t="s">
        <v>577</v>
      </c>
      <c r="C5758" s="1129">
        <v>18.440000000000001</v>
      </c>
      <c r="D5758" s="852">
        <v>11.465</v>
      </c>
      <c r="E5758" s="909">
        <v>-0.37825379609544474</v>
      </c>
      <c r="F5758" s="946">
        <v>-1.1347613882863341E-2</v>
      </c>
      <c r="H5758" t="s">
        <v>2804</v>
      </c>
    </row>
    <row r="5759" spans="1:8" hidden="1" outlineLevel="1" x14ac:dyDescent="0.25">
      <c r="A5759" s="849">
        <v>0.02</v>
      </c>
      <c r="B5759" s="853" t="s">
        <v>1183</v>
      </c>
      <c r="C5759" s="1129">
        <v>48.731000000000002</v>
      </c>
      <c r="D5759" s="852">
        <v>39.164999999999999</v>
      </c>
      <c r="E5759" s="909">
        <v>-0.19630214852968342</v>
      </c>
      <c r="F5759" s="946">
        <v>-3.9260429705936682E-3</v>
      </c>
      <c r="H5759" t="s">
        <v>2805</v>
      </c>
    </row>
    <row r="5760" spans="1:8" hidden="1" outlineLevel="1" x14ac:dyDescent="0.25">
      <c r="A5760" s="849">
        <v>0.02</v>
      </c>
      <c r="B5760" s="788" t="s">
        <v>255</v>
      </c>
      <c r="C5760" s="1129">
        <v>35.094000000000001</v>
      </c>
      <c r="D5760" s="852">
        <v>48.02</v>
      </c>
      <c r="E5760" s="909">
        <v>0.36832506981250357</v>
      </c>
      <c r="F5760" s="946">
        <v>7.3665013962500719E-3</v>
      </c>
      <c r="H5760" t="s">
        <v>3351</v>
      </c>
    </row>
    <row r="5761" spans="1:9" hidden="1" outlineLevel="1" x14ac:dyDescent="0.25">
      <c r="A5761" s="990">
        <v>0.03</v>
      </c>
      <c r="B5761" s="750" t="s">
        <v>3169</v>
      </c>
      <c r="C5761" s="1130">
        <v>25.074000000000002</v>
      </c>
      <c r="D5761" s="801">
        <v>16.100000000000001</v>
      </c>
      <c r="E5761" s="498">
        <v>-0.35790061418202124</v>
      </c>
      <c r="F5761" s="1023">
        <v>-1.0737018425460636E-2</v>
      </c>
      <c r="H5761" t="s">
        <v>657</v>
      </c>
    </row>
    <row r="5762" spans="1:9" hidden="1" outlineLevel="1" x14ac:dyDescent="0.25">
      <c r="A5762" s="1170"/>
      <c r="B5762" s="1171"/>
      <c r="C5762" s="1171"/>
      <c r="D5762" s="1171"/>
      <c r="E5762" s="1171"/>
      <c r="F5762" s="731">
        <v>-0.1045</v>
      </c>
    </row>
    <row r="5763" spans="1:9" collapsed="1" x14ac:dyDescent="0.25">
      <c r="A5763" s="3801" t="s">
        <v>4142</v>
      </c>
      <c r="B5763" s="3802"/>
      <c r="C5763" s="3802"/>
      <c r="D5763" s="3802"/>
      <c r="E5763" s="721"/>
      <c r="F5763" s="752">
        <v>0</v>
      </c>
      <c r="G5763" s="97" t="s">
        <v>781</v>
      </c>
    </row>
    <row r="5765" spans="1:9" hidden="1" outlineLevel="1" x14ac:dyDescent="0.25">
      <c r="A5765" s="689" t="s">
        <v>113</v>
      </c>
      <c r="B5765" s="689" t="s">
        <v>114</v>
      </c>
      <c r="C5765" s="689" t="s">
        <v>112</v>
      </c>
      <c r="D5765" s="689" t="s">
        <v>116</v>
      </c>
      <c r="E5765" s="689" t="s">
        <v>117</v>
      </c>
      <c r="F5765" s="1188" t="s">
        <v>121</v>
      </c>
      <c r="G5765" s="78"/>
      <c r="I5765" s="39"/>
    </row>
    <row r="5766" spans="1:9" hidden="1" outlineLevel="1" x14ac:dyDescent="0.25">
      <c r="A5766" s="690">
        <v>6</v>
      </c>
      <c r="B5766" s="691" t="s">
        <v>252</v>
      </c>
      <c r="C5766" s="705">
        <v>1</v>
      </c>
      <c r="D5766" s="692"/>
      <c r="E5766" s="693"/>
      <c r="F5766" s="694"/>
      <c r="G5766" s="78"/>
      <c r="I5766" s="39"/>
    </row>
    <row r="5767" spans="1:9" hidden="1" outlineLevel="1" x14ac:dyDescent="0.25">
      <c r="A5767" s="846" t="s">
        <v>320</v>
      </c>
      <c r="B5767" s="695"/>
      <c r="C5767" s="709">
        <v>1.0365</v>
      </c>
      <c r="D5767" s="696"/>
      <c r="E5767" s="891"/>
      <c r="F5767" s="856"/>
      <c r="G5767" s="78"/>
      <c r="I5767" s="39"/>
    </row>
    <row r="5768" spans="1:9" hidden="1" outlineLevel="1" x14ac:dyDescent="0.25">
      <c r="A5768" s="846" t="s">
        <v>321</v>
      </c>
      <c r="B5768" s="695"/>
      <c r="C5768" s="709">
        <v>1.0690569999999999</v>
      </c>
      <c r="D5768" s="696"/>
      <c r="E5768" s="891"/>
      <c r="F5768" s="856"/>
      <c r="G5768" s="78"/>
      <c r="I5768" s="39"/>
    </row>
    <row r="5769" spans="1:9" hidden="1" outlineLevel="1" x14ac:dyDescent="0.25">
      <c r="A5769" s="846" t="s">
        <v>322</v>
      </c>
      <c r="B5769" s="695"/>
      <c r="C5769" s="709">
        <v>1.0282279999999999</v>
      </c>
      <c r="D5769" s="696"/>
      <c r="E5769" s="891"/>
      <c r="F5769" s="856"/>
      <c r="G5769" s="78"/>
      <c r="I5769" s="39"/>
    </row>
    <row r="5770" spans="1:9" hidden="1" outlineLevel="1" x14ac:dyDescent="0.25">
      <c r="A5770" s="846" t="s">
        <v>323</v>
      </c>
      <c r="B5770" s="695"/>
      <c r="C5770" s="709">
        <v>0.91691</v>
      </c>
      <c r="D5770" s="696"/>
      <c r="E5770" s="891"/>
      <c r="F5770" s="856"/>
      <c r="G5770" s="78"/>
      <c r="I5770" s="39"/>
    </row>
    <row r="5771" spans="1:9" hidden="1" outlineLevel="1" x14ac:dyDescent="0.25">
      <c r="A5771" s="846" t="s">
        <v>1659</v>
      </c>
      <c r="B5771" s="695"/>
      <c r="C5771" s="709">
        <v>0.93108199999999997</v>
      </c>
      <c r="D5771" s="696"/>
      <c r="E5771" s="891"/>
      <c r="F5771" s="856"/>
      <c r="G5771" s="78"/>
      <c r="I5771" s="39"/>
    </row>
    <row r="5772" spans="1:9" hidden="1" outlineLevel="1" x14ac:dyDescent="0.25">
      <c r="A5772" s="846" t="s">
        <v>1655</v>
      </c>
      <c r="B5772" s="695"/>
      <c r="C5772" s="709">
        <v>0.95173099999999999</v>
      </c>
      <c r="D5772" s="696"/>
      <c r="E5772" s="891"/>
      <c r="F5772" s="856"/>
      <c r="G5772" s="78"/>
      <c r="I5772" s="39"/>
    </row>
    <row r="5773" spans="1:9" hidden="1" outlineLevel="1" x14ac:dyDescent="0.25">
      <c r="A5773" s="1111"/>
      <c r="B5773" s="695"/>
      <c r="C5773" s="696"/>
      <c r="D5773" s="696"/>
      <c r="E5773" s="891"/>
      <c r="F5773" s="856"/>
      <c r="G5773" s="78"/>
      <c r="I5773" s="39"/>
    </row>
    <row r="5774" spans="1:9" hidden="1" outlineLevel="1" x14ac:dyDescent="0.25">
      <c r="A5774" s="1111"/>
      <c r="B5774" s="695"/>
      <c r="C5774" s="696"/>
      <c r="D5774" s="696"/>
      <c r="E5774" s="891"/>
      <c r="F5774" s="856"/>
      <c r="G5774" s="78"/>
      <c r="I5774" s="39"/>
    </row>
    <row r="5775" spans="1:9" hidden="1" outlineLevel="1" x14ac:dyDescent="0.25">
      <c r="A5775" s="695"/>
      <c r="B5775" s="695"/>
      <c r="C5775" s="696"/>
      <c r="D5775" s="697" t="s">
        <v>3702</v>
      </c>
      <c r="E5775" s="698">
        <v>41516</v>
      </c>
      <c r="F5775" s="699"/>
      <c r="G5775" s="78"/>
      <c r="I5775" s="39"/>
    </row>
    <row r="5776" spans="1:9" hidden="1" outlineLevel="1" x14ac:dyDescent="0.25">
      <c r="A5776" s="689" t="s">
        <v>4156</v>
      </c>
      <c r="B5776" s="689" t="s">
        <v>4153</v>
      </c>
      <c r="C5776" s="497" t="s">
        <v>112</v>
      </c>
      <c r="D5776" s="689" t="s">
        <v>4155</v>
      </c>
      <c r="E5776" s="495" t="s">
        <v>4154</v>
      </c>
      <c r="F5776" s="1188" t="s">
        <v>2519</v>
      </c>
      <c r="G5776" s="78"/>
      <c r="I5776" s="39"/>
    </row>
    <row r="5777" spans="1:12" hidden="1" outlineLevel="1" x14ac:dyDescent="0.25">
      <c r="A5777" s="734">
        <v>0.04</v>
      </c>
      <c r="B5777" s="755" t="s">
        <v>1993</v>
      </c>
      <c r="C5777" s="1022">
        <v>73.912999999999997</v>
      </c>
      <c r="D5777" s="803">
        <v>117.32</v>
      </c>
      <c r="E5777" s="895">
        <v>0.58727152192442467</v>
      </c>
      <c r="F5777" s="946">
        <v>2.3490860876976986E-2</v>
      </c>
      <c r="G5777" s="78"/>
      <c r="H5777" t="s">
        <v>2812</v>
      </c>
      <c r="I5777" s="39" t="s">
        <v>3533</v>
      </c>
      <c r="J5777" t="s">
        <v>631</v>
      </c>
      <c r="K5777" s="31"/>
    </row>
    <row r="5778" spans="1:12" hidden="1" outlineLevel="1" x14ac:dyDescent="0.25">
      <c r="A5778" s="739">
        <v>0.04</v>
      </c>
      <c r="B5778" s="711" t="s">
        <v>359</v>
      </c>
      <c r="C5778" s="809">
        <v>112.575</v>
      </c>
      <c r="D5778" s="908">
        <v>108.4</v>
      </c>
      <c r="E5778" s="896">
        <v>-3.7086386853208975E-2</v>
      </c>
      <c r="F5778" s="946">
        <v>-1.483455474128359E-3</v>
      </c>
      <c r="G5778" s="78"/>
      <c r="H5778" t="s">
        <v>360</v>
      </c>
      <c r="I5778" s="39"/>
      <c r="J5778" s="256">
        <v>40969</v>
      </c>
      <c r="K5778" s="252">
        <v>80.869299999999996</v>
      </c>
      <c r="L5778" s="37">
        <v>-0.191307</v>
      </c>
    </row>
    <row r="5779" spans="1:12" hidden="1" outlineLevel="1" x14ac:dyDescent="0.25">
      <c r="A5779" s="739">
        <v>0.04</v>
      </c>
      <c r="B5779" s="743" t="s">
        <v>2984</v>
      </c>
      <c r="C5779" s="1112">
        <v>13.221</v>
      </c>
      <c r="D5779" s="908">
        <v>7.22</v>
      </c>
      <c r="E5779" s="896">
        <v>-0.45389909991679911</v>
      </c>
      <c r="F5779" s="946">
        <v>-1.8155963996671964E-2</v>
      </c>
      <c r="G5779" s="78"/>
      <c r="H5779" t="s">
        <v>2326</v>
      </c>
      <c r="I5779" s="39"/>
      <c r="J5779" s="256">
        <v>41000</v>
      </c>
      <c r="K5779" s="252">
        <v>77.836799999999997</v>
      </c>
      <c r="L5779" s="37">
        <v>-0.22163200000000005</v>
      </c>
    </row>
    <row r="5780" spans="1:12" hidden="1" outlineLevel="1" x14ac:dyDescent="0.25">
      <c r="A5780" s="739">
        <v>0.03</v>
      </c>
      <c r="B5780" s="740" t="s">
        <v>157</v>
      </c>
      <c r="C5780" s="1112">
        <v>11.526999999999999</v>
      </c>
      <c r="D5780" s="908">
        <v>5.34</v>
      </c>
      <c r="E5780" s="896">
        <v>-0.53673982822937449</v>
      </c>
      <c r="F5780" s="946">
        <v>-1.6102194846881236E-2</v>
      </c>
      <c r="G5780" s="78"/>
      <c r="H5780" t="s">
        <v>730</v>
      </c>
      <c r="I5780" s="39"/>
      <c r="J5780" s="256">
        <v>41030</v>
      </c>
      <c r="K5780" s="252">
        <v>73.062799999999996</v>
      </c>
      <c r="L5780" s="37">
        <v>-0.26937200000000006</v>
      </c>
    </row>
    <row r="5781" spans="1:12" hidden="1" outlineLevel="1" x14ac:dyDescent="0.25">
      <c r="A5781" s="739">
        <v>0.05</v>
      </c>
      <c r="B5781" s="743" t="s">
        <v>1184</v>
      </c>
      <c r="C5781" s="1112">
        <v>41.866500000000002</v>
      </c>
      <c r="D5781" s="908">
        <v>66.13</v>
      </c>
      <c r="E5781" s="896">
        <v>0.57954450455614848</v>
      </c>
      <c r="F5781" s="946">
        <v>2.8977225227807425E-2</v>
      </c>
      <c r="G5781" s="78"/>
      <c r="H5781" t="s">
        <v>3497</v>
      </c>
      <c r="I5781" s="39"/>
      <c r="J5781" s="256">
        <v>41061</v>
      </c>
      <c r="K5781" s="252">
        <v>77.192999999999998</v>
      </c>
      <c r="L5781" s="37">
        <v>-0.22806999999999999</v>
      </c>
    </row>
    <row r="5782" spans="1:12" hidden="1" outlineLevel="1" x14ac:dyDescent="0.25">
      <c r="A5782" s="739">
        <v>0.03</v>
      </c>
      <c r="B5782" s="740" t="s">
        <v>901</v>
      </c>
      <c r="C5782" s="1112">
        <v>1889.6</v>
      </c>
      <c r="D5782" s="908">
        <v>3255</v>
      </c>
      <c r="E5782" s="896">
        <v>0.72258679085520749</v>
      </c>
      <c r="F5782" s="946">
        <v>2.1677603725656223E-2</v>
      </c>
      <c r="G5782" s="78"/>
      <c r="H5782" t="s">
        <v>531</v>
      </c>
      <c r="I5782" s="39"/>
      <c r="J5782" s="256">
        <v>41091</v>
      </c>
      <c r="K5782" s="252">
        <v>78.802400000000006</v>
      </c>
      <c r="L5782" s="37">
        <v>-0.21197599999999994</v>
      </c>
    </row>
    <row r="5783" spans="1:12" hidden="1" outlineLevel="1" x14ac:dyDescent="0.25">
      <c r="A5783" s="739">
        <v>0.03</v>
      </c>
      <c r="B5783" s="996" t="s">
        <v>1847</v>
      </c>
      <c r="C5783" s="1112">
        <v>212.69</v>
      </c>
      <c r="D5783" s="908">
        <v>48.33</v>
      </c>
      <c r="E5783" s="896">
        <v>-0.77276787813249337</v>
      </c>
      <c r="F5783" s="946">
        <v>-2.3183036343974801E-2</v>
      </c>
      <c r="G5783" s="78"/>
      <c r="H5783" t="s">
        <v>2749</v>
      </c>
      <c r="I5783" s="39"/>
      <c r="J5783" s="256">
        <v>41122</v>
      </c>
      <c r="K5783" s="252">
        <v>81.147999999999996</v>
      </c>
      <c r="L5783" s="37">
        <v>-0.18852000000000002</v>
      </c>
    </row>
    <row r="5784" spans="1:12" hidden="1" outlineLevel="1" x14ac:dyDescent="0.25">
      <c r="A5784" s="739">
        <v>0.02</v>
      </c>
      <c r="B5784" s="743" t="s">
        <v>1212</v>
      </c>
      <c r="C5784" s="809">
        <v>50.273000000000003</v>
      </c>
      <c r="D5784" s="908">
        <v>26.82</v>
      </c>
      <c r="E5784" s="896">
        <v>-0.4665128398941778</v>
      </c>
      <c r="F5784" s="946">
        <v>-9.3302567978835564E-3</v>
      </c>
      <c r="G5784" s="78"/>
      <c r="H5784" t="s">
        <v>4229</v>
      </c>
      <c r="I5784" s="39"/>
      <c r="J5784" s="256">
        <v>41153</v>
      </c>
      <c r="K5784" s="252">
        <v>82.154600000000002</v>
      </c>
      <c r="L5784" s="37">
        <v>-0.178454</v>
      </c>
    </row>
    <row r="5785" spans="1:12" hidden="1" outlineLevel="1" x14ac:dyDescent="0.25">
      <c r="A5785" s="739">
        <v>0.04</v>
      </c>
      <c r="B5785" s="743" t="s">
        <v>2699</v>
      </c>
      <c r="C5785" s="809">
        <v>21.241</v>
      </c>
      <c r="D5785" s="908">
        <v>21.86</v>
      </c>
      <c r="E5785" s="896">
        <v>2.9141754154700772E-2</v>
      </c>
      <c r="F5785" s="946">
        <v>1.1656701661880309E-3</v>
      </c>
      <c r="G5785" s="78"/>
      <c r="H5785" t="s">
        <v>505</v>
      </c>
      <c r="I5785" s="39"/>
      <c r="J5785" s="256">
        <v>41183</v>
      </c>
      <c r="K5785" s="252">
        <v>82.686899999999994</v>
      </c>
      <c r="L5785" s="37">
        <v>-0.17313100000000003</v>
      </c>
    </row>
    <row r="5786" spans="1:12" hidden="1" outlineLevel="1" x14ac:dyDescent="0.25">
      <c r="A5786" s="739">
        <v>0.02</v>
      </c>
      <c r="B5786" s="743" t="s">
        <v>3406</v>
      </c>
      <c r="C5786" s="809">
        <v>1015.6</v>
      </c>
      <c r="D5786" s="908">
        <v>1974</v>
      </c>
      <c r="E5786" s="896">
        <v>0.94367861362741223</v>
      </c>
      <c r="F5786" s="946">
        <v>1.8873572272548246E-2</v>
      </c>
      <c r="G5786" s="78"/>
      <c r="H5786" t="s">
        <v>2105</v>
      </c>
      <c r="I5786" s="39"/>
      <c r="J5786" s="256">
        <v>41214</v>
      </c>
      <c r="K5786" s="252">
        <v>84.685299999999998</v>
      </c>
      <c r="L5786" s="37">
        <v>-0.15314700000000003</v>
      </c>
    </row>
    <row r="5787" spans="1:12" hidden="1" outlineLevel="1" x14ac:dyDescent="0.25">
      <c r="A5787" s="739">
        <v>0.06</v>
      </c>
      <c r="B5787" s="740" t="s">
        <v>3021</v>
      </c>
      <c r="C5787" s="809">
        <v>22.608000000000001</v>
      </c>
      <c r="D5787" s="908">
        <v>17.28</v>
      </c>
      <c r="E5787" s="896">
        <v>-0.23566878980891715</v>
      </c>
      <c r="F5787" s="946">
        <v>-1.4140127388535028E-2</v>
      </c>
      <c r="G5787" s="78"/>
      <c r="H5787" t="s">
        <v>4124</v>
      </c>
      <c r="I5787" s="39"/>
      <c r="J5787" s="256">
        <v>41244</v>
      </c>
      <c r="K5787" s="252">
        <v>84.684899999999999</v>
      </c>
      <c r="L5787" s="37">
        <v>-0.15315100000000004</v>
      </c>
    </row>
    <row r="5788" spans="1:12" hidden="1" outlineLevel="1" x14ac:dyDescent="0.25">
      <c r="A5788" s="739">
        <v>0.04</v>
      </c>
      <c r="B5788" s="743" t="s">
        <v>1771</v>
      </c>
      <c r="C5788" s="809">
        <v>776.85</v>
      </c>
      <c r="D5788" s="908">
        <v>676</v>
      </c>
      <c r="E5788" s="896">
        <v>-0.12981914140438955</v>
      </c>
      <c r="F5788" s="946">
        <v>-5.192765656175582E-3</v>
      </c>
      <c r="G5788" s="78"/>
      <c r="H5788" t="s">
        <v>4329</v>
      </c>
      <c r="I5788" s="39"/>
      <c r="J5788" s="256">
        <v>41275</v>
      </c>
      <c r="K5788" s="252">
        <v>88.710700000000003</v>
      </c>
      <c r="L5788" s="37">
        <v>-0.11289300000000002</v>
      </c>
    </row>
    <row r="5789" spans="1:12" hidden="1" outlineLevel="1" x14ac:dyDescent="0.25">
      <c r="A5789" s="739">
        <v>0.06</v>
      </c>
      <c r="B5789" s="996" t="s">
        <v>2588</v>
      </c>
      <c r="C5789" s="809">
        <v>21.785</v>
      </c>
      <c r="D5789" s="908">
        <v>8.2149999999999999</v>
      </c>
      <c r="E5789" s="896">
        <v>-0.62290566903832911</v>
      </c>
      <c r="F5789" s="946">
        <v>-3.7374340142299747E-2</v>
      </c>
      <c r="G5789" s="78"/>
      <c r="H5789" t="s">
        <v>4132</v>
      </c>
      <c r="I5789" s="39"/>
      <c r="J5789" s="256">
        <v>41306</v>
      </c>
      <c r="K5789" s="252">
        <v>87.739283434194391</v>
      </c>
      <c r="L5789" s="37">
        <v>-0.12260716565805607</v>
      </c>
    </row>
    <row r="5790" spans="1:12" hidden="1" outlineLevel="1" x14ac:dyDescent="0.25">
      <c r="A5790" s="739">
        <v>0.04</v>
      </c>
      <c r="B5790" s="743" t="s">
        <v>44</v>
      </c>
      <c r="C5790" s="809">
        <v>4.3560999999999996</v>
      </c>
      <c r="D5790" s="908">
        <v>1.4849999999999999</v>
      </c>
      <c r="E5790" s="896">
        <v>-0.65909873510709116</v>
      </c>
      <c r="F5790" s="946">
        <v>-2.6363949404283646E-2</v>
      </c>
      <c r="G5790" s="78"/>
      <c r="H5790" t="s">
        <v>204</v>
      </c>
      <c r="I5790" s="39"/>
      <c r="J5790" s="256">
        <v>41334</v>
      </c>
      <c r="K5790" s="424">
        <v>88.398700000000005</v>
      </c>
      <c r="L5790" s="37">
        <v>-0.11601299999999992</v>
      </c>
    </row>
    <row r="5791" spans="1:12" hidden="1" outlineLevel="1" x14ac:dyDescent="0.25">
      <c r="A5791" s="739">
        <v>0.02</v>
      </c>
      <c r="B5791" s="743" t="s">
        <v>4376</v>
      </c>
      <c r="C5791" s="809">
        <v>38.121000000000002</v>
      </c>
      <c r="D5791" s="908">
        <v>50.53</v>
      </c>
      <c r="E5791" s="896">
        <v>0.3255161197240366</v>
      </c>
      <c r="F5791" s="946">
        <v>6.5103223944807317E-3</v>
      </c>
      <c r="G5791" s="78"/>
      <c r="H5791" t="s">
        <v>4326</v>
      </c>
      <c r="I5791" s="39"/>
      <c r="J5791" s="256">
        <v>41365</v>
      </c>
      <c r="K5791" s="424">
        <v>91.130300000000005</v>
      </c>
      <c r="L5791" s="37">
        <v>-8.8696999999999915E-2</v>
      </c>
    </row>
    <row r="5792" spans="1:12" hidden="1" outlineLevel="1" x14ac:dyDescent="0.25">
      <c r="A5792" s="739">
        <v>0.03</v>
      </c>
      <c r="B5792" s="743" t="s">
        <v>1526</v>
      </c>
      <c r="C5792" s="809">
        <v>80.210999999999999</v>
      </c>
      <c r="D5792" s="908">
        <v>33.28</v>
      </c>
      <c r="E5792" s="896">
        <v>-0.58509431374749099</v>
      </c>
      <c r="F5792" s="946">
        <v>-1.7552829412424729E-2</v>
      </c>
      <c r="G5792" s="78"/>
      <c r="H5792" t="s">
        <v>4146</v>
      </c>
      <c r="I5792" s="39"/>
      <c r="J5792" s="256">
        <v>41395</v>
      </c>
      <c r="K5792" s="424">
        <v>91.516599999999997</v>
      </c>
      <c r="L5792" s="37">
        <v>-8.4834000000000076E-2</v>
      </c>
    </row>
    <row r="5793" spans="1:12" hidden="1" outlineLevel="1" x14ac:dyDescent="0.25">
      <c r="A5793" s="739">
        <v>0.04</v>
      </c>
      <c r="B5793" s="740" t="s">
        <v>4143</v>
      </c>
      <c r="C5793" s="809">
        <v>12.038</v>
      </c>
      <c r="D5793" s="908">
        <v>2.21</v>
      </c>
      <c r="E5793" s="896">
        <v>-0.81641468682505403</v>
      </c>
      <c r="F5793" s="946">
        <v>-3.2656587473002159E-2</v>
      </c>
      <c r="G5793" s="78"/>
      <c r="H5793" t="s">
        <v>4144</v>
      </c>
      <c r="I5793" s="39"/>
      <c r="J5793" s="256">
        <v>41426</v>
      </c>
      <c r="K5793" s="424">
        <v>87.119399999999999</v>
      </c>
      <c r="L5793" s="37">
        <v>-0.12880599999999998</v>
      </c>
    </row>
    <row r="5794" spans="1:12" hidden="1" outlineLevel="1" x14ac:dyDescent="0.25">
      <c r="A5794" s="739">
        <v>0.04</v>
      </c>
      <c r="B5794" s="743" t="s">
        <v>2160</v>
      </c>
      <c r="C5794" s="809">
        <v>30.777999999999999</v>
      </c>
      <c r="D5794" s="908">
        <v>51.77</v>
      </c>
      <c r="E5794" s="896">
        <v>0.68204561699915534</v>
      </c>
      <c r="F5794" s="946">
        <v>2.7281824679966215E-2</v>
      </c>
      <c r="G5794" s="78"/>
      <c r="H5794" t="s">
        <v>5507</v>
      </c>
      <c r="I5794" s="39"/>
      <c r="J5794" s="256">
        <v>41456</v>
      </c>
      <c r="K5794" s="424">
        <v>91.715194753990616</v>
      </c>
      <c r="L5794" s="37">
        <v>-8.2848052460093857E-2</v>
      </c>
    </row>
    <row r="5795" spans="1:12" hidden="1" outlineLevel="1" x14ac:dyDescent="0.25">
      <c r="A5795" s="739">
        <v>0.03</v>
      </c>
      <c r="B5795" s="740" t="s">
        <v>1905</v>
      </c>
      <c r="C5795" s="809">
        <v>42.414000000000001</v>
      </c>
      <c r="D5795" s="908">
        <v>47.29</v>
      </c>
      <c r="E5795" s="896">
        <v>0.11496204083557315</v>
      </c>
      <c r="F5795" s="946">
        <v>3.4488612250671946E-3</v>
      </c>
      <c r="G5795" s="78"/>
      <c r="H5795" t="s">
        <v>504</v>
      </c>
      <c r="I5795" s="39"/>
      <c r="J5795" s="256">
        <v>41487</v>
      </c>
      <c r="K5795" s="424">
        <v>89.358400000000003</v>
      </c>
      <c r="L5795" s="37">
        <v>-0.10641599999999996</v>
      </c>
    </row>
    <row r="5796" spans="1:12" hidden="1" outlineLevel="1" x14ac:dyDescent="0.25">
      <c r="A5796" s="739">
        <v>0.03</v>
      </c>
      <c r="B5796" s="743" t="s">
        <v>2786</v>
      </c>
      <c r="C5796" s="809">
        <v>719.15</v>
      </c>
      <c r="D5796" s="908">
        <v>742.5</v>
      </c>
      <c r="E5796" s="896">
        <v>3.2468886880344883E-2</v>
      </c>
      <c r="F5796" s="946">
        <v>9.7406660641034641E-4</v>
      </c>
      <c r="G5796" s="78"/>
      <c r="H5796" t="s">
        <v>4195</v>
      </c>
      <c r="I5796" s="39"/>
      <c r="J5796" s="264" t="s">
        <v>2465</v>
      </c>
      <c r="K5796" s="31"/>
      <c r="L5796" s="261">
        <v>-0.1562152343398972</v>
      </c>
    </row>
    <row r="5797" spans="1:12" hidden="1" outlineLevel="1" x14ac:dyDescent="0.25">
      <c r="A5797" s="739">
        <v>0.03</v>
      </c>
      <c r="B5797" s="740" t="s">
        <v>3797</v>
      </c>
      <c r="C5797" s="809">
        <v>48.912500000000001</v>
      </c>
      <c r="D5797" s="908">
        <v>61.05</v>
      </c>
      <c r="E5797" s="896">
        <v>0.24814720163557369</v>
      </c>
      <c r="F5797" s="946">
        <v>7.4444160490672101E-3</v>
      </c>
      <c r="G5797" s="78"/>
      <c r="H5797" t="s">
        <v>3848</v>
      </c>
      <c r="I5797" s="39"/>
      <c r="J5797" s="412" t="s">
        <v>5221</v>
      </c>
      <c r="L5797" s="423">
        <v>-0.1405937109059075</v>
      </c>
    </row>
    <row r="5798" spans="1:12" hidden="1" outlineLevel="1" x14ac:dyDescent="0.25">
      <c r="A5798" s="739">
        <v>0.03</v>
      </c>
      <c r="B5798" s="743" t="s">
        <v>1190</v>
      </c>
      <c r="C5798" s="809">
        <v>21.626999999999999</v>
      </c>
      <c r="D5798" s="908">
        <v>2.9260000000000002</v>
      </c>
      <c r="E5798" s="896">
        <v>-0.86470615434410691</v>
      </c>
      <c r="F5798" s="946">
        <v>-2.5941184630323206E-2</v>
      </c>
      <c r="G5798" s="78"/>
      <c r="H5798" t="s">
        <v>7569</v>
      </c>
      <c r="I5798" s="39"/>
    </row>
    <row r="5799" spans="1:12" hidden="1" outlineLevel="1" x14ac:dyDescent="0.25">
      <c r="A5799" s="739">
        <v>0.04</v>
      </c>
      <c r="B5799" s="743" t="s">
        <v>1414</v>
      </c>
      <c r="C5799" s="809">
        <v>21.547000000000001</v>
      </c>
      <c r="D5799" s="908">
        <v>28.21</v>
      </c>
      <c r="E5799" s="896">
        <v>0.3092309834315683</v>
      </c>
      <c r="F5799" s="946">
        <v>1.2369239337262732E-2</v>
      </c>
      <c r="G5799" s="78"/>
      <c r="H5799" t="s">
        <v>2428</v>
      </c>
      <c r="I5799" s="39"/>
    </row>
    <row r="5800" spans="1:12" hidden="1" outlineLevel="1" x14ac:dyDescent="0.25">
      <c r="A5800" s="739">
        <v>0.03</v>
      </c>
      <c r="B5800" s="996" t="s">
        <v>3801</v>
      </c>
      <c r="C5800" s="809">
        <v>78.793999999999997</v>
      </c>
      <c r="D5800" s="908">
        <v>20.795000000000002</v>
      </c>
      <c r="E5800" s="896">
        <v>-0.73608396578419666</v>
      </c>
      <c r="F5800" s="946">
        <v>-2.2082518973525898E-2</v>
      </c>
      <c r="G5800" s="78"/>
      <c r="H5800" t="s">
        <v>2819</v>
      </c>
      <c r="I5800" s="39"/>
    </row>
    <row r="5801" spans="1:12" hidden="1" outlineLevel="1" x14ac:dyDescent="0.25">
      <c r="A5801" s="739">
        <v>0.02</v>
      </c>
      <c r="B5801" s="996" t="s">
        <v>1214</v>
      </c>
      <c r="C5801" s="809">
        <v>82.227000000000004</v>
      </c>
      <c r="D5801" s="908">
        <v>80.09</v>
      </c>
      <c r="E5801" s="896">
        <v>-2.5989030367154387E-2</v>
      </c>
      <c r="F5801" s="946">
        <v>-5.1978060734308778E-4</v>
      </c>
      <c r="G5801" s="78"/>
      <c r="H5801" t="s">
        <v>3775</v>
      </c>
      <c r="I5801" s="39"/>
    </row>
    <row r="5802" spans="1:12" hidden="1" outlineLevel="1" x14ac:dyDescent="0.25">
      <c r="A5802" s="739">
        <v>0.02</v>
      </c>
      <c r="B5802" s="996" t="s">
        <v>2166</v>
      </c>
      <c r="C5802" s="809">
        <v>67.882999999999996</v>
      </c>
      <c r="D5802" s="908">
        <v>33.115000000000002</v>
      </c>
      <c r="E5802" s="896">
        <v>-0.51217536054682311</v>
      </c>
      <c r="F5802" s="946">
        <v>-1.0243507210936462E-2</v>
      </c>
      <c r="G5802" s="78"/>
      <c r="H5802" t="s">
        <v>4160</v>
      </c>
      <c r="I5802" s="39"/>
    </row>
    <row r="5803" spans="1:12" hidden="1" outlineLevel="1" x14ac:dyDescent="0.25">
      <c r="A5803" s="739">
        <v>0.03</v>
      </c>
      <c r="B5803" s="743" t="s">
        <v>577</v>
      </c>
      <c r="C5803" s="809">
        <v>18.443999999999999</v>
      </c>
      <c r="D5803" s="908">
        <v>10.275</v>
      </c>
      <c r="E5803" s="896">
        <v>-0.44290826284970719</v>
      </c>
      <c r="F5803" s="946">
        <v>-1.3287247885491215E-2</v>
      </c>
      <c r="G5803" s="78"/>
      <c r="H5803" t="s">
        <v>2804</v>
      </c>
      <c r="I5803" s="39"/>
    </row>
    <row r="5804" spans="1:12" hidden="1" outlineLevel="1" x14ac:dyDescent="0.25">
      <c r="A5804" s="739">
        <v>0.02</v>
      </c>
      <c r="B5804" s="743" t="s">
        <v>1183</v>
      </c>
      <c r="C5804" s="809">
        <v>48.731000000000002</v>
      </c>
      <c r="D5804" s="908">
        <v>41.914999999999999</v>
      </c>
      <c r="E5804" s="896">
        <v>-0.13986989801153271</v>
      </c>
      <c r="F5804" s="946">
        <v>-2.7973979602306542E-3</v>
      </c>
      <c r="G5804" s="78"/>
      <c r="H5804" t="s">
        <v>2805</v>
      </c>
      <c r="I5804" s="39"/>
    </row>
    <row r="5805" spans="1:12" hidden="1" outlineLevel="1" x14ac:dyDescent="0.25">
      <c r="A5805" s="739">
        <v>0.02</v>
      </c>
      <c r="B5805" s="743" t="s">
        <v>255</v>
      </c>
      <c r="C5805" s="809">
        <v>35.094000000000001</v>
      </c>
      <c r="D5805" s="908">
        <v>47.38</v>
      </c>
      <c r="E5805" s="896">
        <v>0.35008833418818042</v>
      </c>
      <c r="F5805" s="946">
        <v>7.0017666837636086E-3</v>
      </c>
      <c r="G5805" s="78"/>
      <c r="H5805" t="s">
        <v>3351</v>
      </c>
      <c r="I5805" s="39"/>
    </row>
    <row r="5806" spans="1:12" hidden="1" outlineLevel="1" x14ac:dyDescent="0.25">
      <c r="A5806" s="739">
        <v>0.03</v>
      </c>
      <c r="B5806" s="997" t="s">
        <v>3169</v>
      </c>
      <c r="C5806" s="810">
        <v>25.074000000000002</v>
      </c>
      <c r="D5806" s="715">
        <v>15.345000000000001</v>
      </c>
      <c r="E5806" s="947">
        <v>-0.38801148600143576</v>
      </c>
      <c r="F5806" s="946">
        <v>-1.1640344580043073E-2</v>
      </c>
      <c r="G5806" s="78"/>
      <c r="H5806" t="s">
        <v>657</v>
      </c>
      <c r="I5806" s="39"/>
    </row>
    <row r="5807" spans="1:12" hidden="1" outlineLevel="1" x14ac:dyDescent="0.25">
      <c r="A5807" s="717"/>
      <c r="B5807" s="718"/>
      <c r="C5807" s="719"/>
      <c r="D5807" s="719"/>
      <c r="E5807" s="720">
        <v>0.84378476566010274</v>
      </c>
      <c r="F5807" s="731">
        <v>-9.7865328586021663E-2</v>
      </c>
      <c r="G5807" s="78"/>
      <c r="H5807" s="261">
        <v>-7.312523433989726E-2</v>
      </c>
      <c r="I5807" s="39"/>
    </row>
    <row r="5808" spans="1:12" collapsed="1" x14ac:dyDescent="0.25">
      <c r="A5808" s="3801" t="s">
        <v>4495</v>
      </c>
      <c r="B5808" s="3802"/>
      <c r="C5808" s="3802"/>
      <c r="D5808" s="3802"/>
      <c r="E5808" s="721"/>
      <c r="F5808" s="722">
        <v>0</v>
      </c>
      <c r="G5808" s="97" t="s">
        <v>781</v>
      </c>
      <c r="I5808" s="39"/>
    </row>
    <row r="5810" spans="1:12" hidden="1" outlineLevel="1" x14ac:dyDescent="0.25">
      <c r="A5810" s="689" t="s">
        <v>113</v>
      </c>
      <c r="B5810" s="689" t="s">
        <v>114</v>
      </c>
      <c r="C5810" s="689" t="s">
        <v>112</v>
      </c>
      <c r="D5810" s="689" t="s">
        <v>116</v>
      </c>
      <c r="E5810" s="689" t="s">
        <v>117</v>
      </c>
      <c r="F5810" s="1188" t="s">
        <v>121</v>
      </c>
      <c r="G5810" s="695"/>
      <c r="H5810" s="1022"/>
      <c r="I5810" s="1022"/>
      <c r="J5810" s="1022" t="s">
        <v>2040</v>
      </c>
      <c r="K5810" s="1022"/>
      <c r="L5810" s="1022"/>
    </row>
    <row r="5811" spans="1:12" hidden="1" outlineLevel="1" x14ac:dyDescent="0.25">
      <c r="A5811" s="690">
        <v>1</v>
      </c>
      <c r="B5811" s="691" t="s">
        <v>252</v>
      </c>
      <c r="C5811" s="692">
        <v>100</v>
      </c>
      <c r="D5811" s="692"/>
      <c r="E5811" s="693"/>
      <c r="F5811" s="694"/>
      <c r="G5811" s="695"/>
      <c r="H5811" s="1022"/>
      <c r="I5811" s="1022"/>
      <c r="J5811" s="892">
        <v>41000</v>
      </c>
      <c r="K5811" s="1022">
        <v>92.073099999999997</v>
      </c>
      <c r="L5811" s="1109">
        <v>-7.9269000000000034E-2</v>
      </c>
    </row>
    <row r="5812" spans="1:12" hidden="1" outlineLevel="1" x14ac:dyDescent="0.25">
      <c r="A5812" s="695"/>
      <c r="B5812" s="695"/>
      <c r="C5812" s="696"/>
      <c r="D5812" s="697" t="s">
        <v>3702</v>
      </c>
      <c r="E5812" s="698">
        <v>41547</v>
      </c>
      <c r="F5812" s="699"/>
      <c r="G5812" s="695"/>
      <c r="H5812" s="1022"/>
      <c r="I5812" s="1022"/>
      <c r="J5812" s="892">
        <v>41030</v>
      </c>
      <c r="K5812" s="1022">
        <v>84.945499999999996</v>
      </c>
      <c r="L5812" s="1109">
        <v>-0.15054500000000004</v>
      </c>
    </row>
    <row r="5813" spans="1:12" hidden="1" outlineLevel="1" x14ac:dyDescent="0.25">
      <c r="A5813" s="689" t="s">
        <v>4156</v>
      </c>
      <c r="B5813" s="689" t="s">
        <v>4153</v>
      </c>
      <c r="C5813" s="700" t="s">
        <v>112</v>
      </c>
      <c r="D5813" s="689" t="s">
        <v>4155</v>
      </c>
      <c r="E5813" s="689" t="s">
        <v>4154</v>
      </c>
      <c r="F5813" s="1021" t="s">
        <v>2519</v>
      </c>
      <c r="G5813" s="695"/>
      <c r="H5813" s="1022"/>
      <c r="I5813" s="1022"/>
      <c r="J5813" s="892">
        <v>41061</v>
      </c>
      <c r="K5813" s="1022">
        <v>87.3523</v>
      </c>
      <c r="L5813" s="1109">
        <v>-0.12647699999999995</v>
      </c>
    </row>
    <row r="5814" spans="1:12" hidden="1" outlineLevel="1" x14ac:dyDescent="0.25">
      <c r="A5814" s="734">
        <v>0.5</v>
      </c>
      <c r="B5814" s="799" t="s">
        <v>2702</v>
      </c>
      <c r="C5814" s="807">
        <v>2147.9639999999999</v>
      </c>
      <c r="D5814" s="737">
        <v>2156.94</v>
      </c>
      <c r="E5814" s="738">
        <v>4.1788409861618359E-3</v>
      </c>
      <c r="F5814" s="1021">
        <v>2.0894204930809179E-3</v>
      </c>
      <c r="G5814" s="695"/>
      <c r="H5814" s="1022" t="s">
        <v>735</v>
      </c>
      <c r="I5814" s="1022"/>
      <c r="J5814" s="892">
        <v>41091</v>
      </c>
      <c r="K5814" s="1022">
        <v>89.6738</v>
      </c>
      <c r="L5814" s="1109">
        <v>-0.10326199999999996</v>
      </c>
    </row>
    <row r="5815" spans="1:12" hidden="1" outlineLevel="1" x14ac:dyDescent="0.25">
      <c r="A5815" s="739">
        <v>3.3333000000000002E-2</v>
      </c>
      <c r="B5815" s="743" t="s">
        <v>2984</v>
      </c>
      <c r="C5815" s="809">
        <v>13.539</v>
      </c>
      <c r="D5815" s="737">
        <v>8.26</v>
      </c>
      <c r="E5815" s="742">
        <v>-0.38991062855454617</v>
      </c>
      <c r="F5815" s="946">
        <v>-1.2996890981608687E-2</v>
      </c>
      <c r="G5815" s="695"/>
      <c r="H5815" s="1022" t="s">
        <v>2326</v>
      </c>
      <c r="I5815" s="1022"/>
      <c r="J5815" s="892">
        <v>41122</v>
      </c>
      <c r="K5815" s="1022">
        <v>89.422300000000007</v>
      </c>
      <c r="L5815" s="1109">
        <v>-0.1057769999999999</v>
      </c>
    </row>
    <row r="5816" spans="1:12" hidden="1" outlineLevel="1" x14ac:dyDescent="0.25">
      <c r="A5816" s="739">
        <v>3.3333000000000002E-2</v>
      </c>
      <c r="B5816" s="740" t="s">
        <v>157</v>
      </c>
      <c r="C5816" s="809">
        <v>11.920999999999999</v>
      </c>
      <c r="D5816" s="737">
        <v>6.0279999999999996</v>
      </c>
      <c r="E5816" s="742">
        <v>-0.49433772334535697</v>
      </c>
      <c r="F5816" s="946">
        <v>-1.6477759332270785E-2</v>
      </c>
      <c r="G5816" s="695"/>
      <c r="H5816" s="1022" t="s">
        <v>730</v>
      </c>
      <c r="I5816" s="1022"/>
      <c r="J5816" s="892">
        <v>41153</v>
      </c>
      <c r="K5816" s="1022">
        <v>90.813800000000001</v>
      </c>
      <c r="L5816" s="1109">
        <v>-9.1861999999999999E-2</v>
      </c>
    </row>
    <row r="5817" spans="1:12" hidden="1" outlineLevel="1" x14ac:dyDescent="0.25">
      <c r="A5817" s="739">
        <v>3.3333000000000002E-2</v>
      </c>
      <c r="B5817" s="743" t="s">
        <v>901</v>
      </c>
      <c r="C5817" s="809">
        <v>1876.3</v>
      </c>
      <c r="D5817" s="737">
        <v>3276.5</v>
      </c>
      <c r="E5817" s="742">
        <v>0.7462559292224058</v>
      </c>
      <c r="F5817" s="946">
        <v>2.4874948888770454E-2</v>
      </c>
      <c r="G5817" s="695"/>
      <c r="H5817" s="1022" t="s">
        <v>531</v>
      </c>
      <c r="I5817" s="1022"/>
      <c r="J5817" s="892">
        <v>41183</v>
      </c>
      <c r="K5817" s="1022">
        <v>91.719099999999997</v>
      </c>
      <c r="L5817" s="1109">
        <v>-8.2809000000000021E-2</v>
      </c>
    </row>
    <row r="5818" spans="1:12" hidden="1" outlineLevel="1" x14ac:dyDescent="0.25">
      <c r="A5818" s="739">
        <v>3.3333000000000002E-2</v>
      </c>
      <c r="B5818" s="743" t="s">
        <v>3405</v>
      </c>
      <c r="C5818" s="809">
        <v>47.741999999999997</v>
      </c>
      <c r="D5818" s="737">
        <v>25.375</v>
      </c>
      <c r="E5818" s="742">
        <v>-0.46849733986845965</v>
      </c>
      <c r="F5818" s="946">
        <v>-1.5616421829835365E-2</v>
      </c>
      <c r="G5818" s="695"/>
      <c r="H5818" s="1022" t="s">
        <v>2747</v>
      </c>
      <c r="I5818" s="1022"/>
      <c r="J5818" s="892">
        <v>41214</v>
      </c>
      <c r="K5818" s="1172">
        <v>91.686000000000007</v>
      </c>
      <c r="L5818" s="1109">
        <v>-8.3139999999999881E-2</v>
      </c>
    </row>
    <row r="5819" spans="1:12" hidden="1" outlineLevel="1" x14ac:dyDescent="0.25">
      <c r="A5819" s="739">
        <v>3.3333000000000002E-2</v>
      </c>
      <c r="B5819" s="740" t="s">
        <v>1847</v>
      </c>
      <c r="C5819" s="809">
        <v>213.09</v>
      </c>
      <c r="D5819" s="737">
        <v>48.51</v>
      </c>
      <c r="E5819" s="742">
        <v>-0.77234971138955366</v>
      </c>
      <c r="F5819" s="946">
        <v>-2.5744732929747993E-2</v>
      </c>
      <c r="G5819" s="695"/>
      <c r="H5819" s="1022" t="s">
        <v>2749</v>
      </c>
      <c r="I5819" s="1022"/>
      <c r="J5819" s="892">
        <v>41244</v>
      </c>
      <c r="K5819" s="1172">
        <v>94.243700000000004</v>
      </c>
      <c r="L5819" s="1109">
        <v>-5.756299999999992E-2</v>
      </c>
    </row>
    <row r="5820" spans="1:12" hidden="1" outlineLevel="1" x14ac:dyDescent="0.25">
      <c r="A5820" s="739">
        <v>3.3333000000000002E-2</v>
      </c>
      <c r="B5820" s="743" t="s">
        <v>2699</v>
      </c>
      <c r="C5820" s="809">
        <v>19.84</v>
      </c>
      <c r="D5820" s="737">
        <v>24.53</v>
      </c>
      <c r="E5820" s="742">
        <v>0.23639112903225823</v>
      </c>
      <c r="F5820" s="946">
        <v>7.8796255040322633E-3</v>
      </c>
      <c r="G5820" s="695"/>
      <c r="H5820" s="1022" t="s">
        <v>505</v>
      </c>
      <c r="I5820" s="1022"/>
      <c r="J5820" s="892">
        <v>41275</v>
      </c>
      <c r="K5820" s="1172">
        <v>96.002099999999999</v>
      </c>
      <c r="L5820" s="1109">
        <v>-3.9978999999999987E-2</v>
      </c>
    </row>
    <row r="5821" spans="1:12" hidden="1" outlineLevel="1" x14ac:dyDescent="0.25">
      <c r="A5821" s="739">
        <v>3.3333000000000002E-2</v>
      </c>
      <c r="B5821" s="743" t="s">
        <v>3406</v>
      </c>
      <c r="C5821" s="809">
        <v>1014.55</v>
      </c>
      <c r="D5821" s="737">
        <v>1965</v>
      </c>
      <c r="E5821" s="742">
        <v>0.93681927948351484</v>
      </c>
      <c r="F5821" s="946">
        <v>3.1226997043024E-2</v>
      </c>
      <c r="G5821" s="695"/>
      <c r="H5821" s="1022" t="s">
        <v>2105</v>
      </c>
      <c r="I5821" s="1022"/>
      <c r="J5821" s="892">
        <v>41306</v>
      </c>
      <c r="K5821" s="1172">
        <v>95.782700000000006</v>
      </c>
      <c r="L5821" s="1109">
        <v>-4.2172999999999905E-2</v>
      </c>
    </row>
    <row r="5822" spans="1:12" hidden="1" outlineLevel="1" x14ac:dyDescent="0.25">
      <c r="A5822" s="739">
        <v>3.3333000000000002E-2</v>
      </c>
      <c r="B5822" s="996" t="s">
        <v>2701</v>
      </c>
      <c r="C5822" s="809">
        <v>3.7650000000000001</v>
      </c>
      <c r="D5822" s="737">
        <v>2.7</v>
      </c>
      <c r="E5822" s="742">
        <v>-0.28286852589641431</v>
      </c>
      <c r="F5822" s="946">
        <v>-9.4288565737051782E-3</v>
      </c>
      <c r="G5822" s="695"/>
      <c r="H5822" s="1022" t="s">
        <v>2700</v>
      </c>
      <c r="I5822" s="1022"/>
      <c r="J5822" s="892">
        <v>41334</v>
      </c>
      <c r="K5822" s="1172">
        <v>96.113900000000001</v>
      </c>
      <c r="L5822" s="1109">
        <v>-3.8861000000000034E-2</v>
      </c>
    </row>
    <row r="5823" spans="1:12" hidden="1" outlineLevel="1" x14ac:dyDescent="0.25">
      <c r="A5823" s="739">
        <v>3.3333000000000002E-2</v>
      </c>
      <c r="B5823" s="996" t="s">
        <v>4268</v>
      </c>
      <c r="C5823" s="809">
        <v>25.533000000000001</v>
      </c>
      <c r="D5823" s="737">
        <v>16.66</v>
      </c>
      <c r="E5823" s="742">
        <v>-0.3475110641131085</v>
      </c>
      <c r="F5823" s="946">
        <v>-1.1583586300082247E-2</v>
      </c>
      <c r="G5823" s="695"/>
      <c r="H5823" s="1022" t="s">
        <v>1801</v>
      </c>
      <c r="I5823" s="1022"/>
      <c r="J5823" s="892">
        <v>41365</v>
      </c>
      <c r="K5823" s="1172">
        <v>95.67</v>
      </c>
      <c r="L5823" s="1109">
        <v>-4.3300000000000005E-2</v>
      </c>
    </row>
    <row r="5824" spans="1:12" hidden="1" outlineLevel="1" x14ac:dyDescent="0.25">
      <c r="A5824" s="739">
        <v>3.3333000000000002E-2</v>
      </c>
      <c r="B5824" s="743" t="s">
        <v>1031</v>
      </c>
      <c r="C5824" s="809">
        <v>10.366</v>
      </c>
      <c r="D5824" s="737">
        <v>4.2949999999999999</v>
      </c>
      <c r="E5824" s="742">
        <v>-0.58566467296932279</v>
      </c>
      <c r="F5824" s="946">
        <v>-1.9521960544086437E-2</v>
      </c>
      <c r="G5824" s="695"/>
      <c r="H5824" s="1022" t="s">
        <v>4158</v>
      </c>
      <c r="I5824" s="1022"/>
      <c r="J5824" s="892">
        <v>41395</v>
      </c>
      <c r="K5824" s="1172">
        <v>96.079800000000006</v>
      </c>
      <c r="L5824" s="1109">
        <v>-3.9201999999999959E-2</v>
      </c>
    </row>
    <row r="5825" spans="1:12" hidden="1" outlineLevel="1" x14ac:dyDescent="0.25">
      <c r="A5825" s="739">
        <v>3.3333000000000002E-2</v>
      </c>
      <c r="B5825" s="743" t="s">
        <v>874</v>
      </c>
      <c r="C5825" s="809">
        <v>130.35</v>
      </c>
      <c r="D5825" s="737">
        <v>385.9</v>
      </c>
      <c r="E5825" s="742">
        <v>1.9604909858074415</v>
      </c>
      <c r="F5825" s="946">
        <v>6.534904602991945E-2</v>
      </c>
      <c r="G5825" s="695"/>
      <c r="H5825" s="1022" t="s">
        <v>4148</v>
      </c>
      <c r="I5825" s="1022"/>
      <c r="J5825" s="892">
        <v>41426</v>
      </c>
      <c r="K5825" s="1172">
        <v>90.106800000000007</v>
      </c>
      <c r="L5825" s="1109">
        <v>-9.8931999999999909E-2</v>
      </c>
    </row>
    <row r="5826" spans="1:12" hidden="1" outlineLevel="1" x14ac:dyDescent="0.25">
      <c r="A5826" s="739">
        <v>3.3333000000000002E-2</v>
      </c>
      <c r="B5826" s="743" t="s">
        <v>1190</v>
      </c>
      <c r="C5826" s="809">
        <v>19.940000000000001</v>
      </c>
      <c r="D5826" s="737">
        <v>4.8579999999999997</v>
      </c>
      <c r="E5826" s="742">
        <v>-0.75636910732196594</v>
      </c>
      <c r="F5826" s="946">
        <v>-2.5212051454363092E-2</v>
      </c>
      <c r="G5826" s="695"/>
      <c r="H5826" s="1022" t="s">
        <v>78</v>
      </c>
      <c r="I5826" s="1022"/>
      <c r="J5826" s="892">
        <v>41456</v>
      </c>
      <c r="K5826" s="1172">
        <v>95.100399999999993</v>
      </c>
      <c r="L5826" s="1109">
        <v>-4.899600000000004E-2</v>
      </c>
    </row>
    <row r="5827" spans="1:12" hidden="1" outlineLevel="1" x14ac:dyDescent="0.25">
      <c r="A5827" s="739">
        <v>3.3333000000000002E-2</v>
      </c>
      <c r="B5827" s="743" t="s">
        <v>3023</v>
      </c>
      <c r="C5827" s="809">
        <v>68.3</v>
      </c>
      <c r="D5827" s="737">
        <v>75.59</v>
      </c>
      <c r="E5827" s="742">
        <v>0.10673499267935593</v>
      </c>
      <c r="F5827" s="946">
        <v>3.5577975109809716E-3</v>
      </c>
      <c r="G5827" s="695"/>
      <c r="H5827" s="1022" t="s">
        <v>2815</v>
      </c>
      <c r="I5827" s="1022"/>
      <c r="J5827" s="892">
        <v>41487</v>
      </c>
      <c r="K5827" s="1172">
        <v>94.250299999999996</v>
      </c>
      <c r="L5827" s="1109">
        <v>-5.749700000000002E-2</v>
      </c>
    </row>
    <row r="5828" spans="1:12" hidden="1" outlineLevel="1" x14ac:dyDescent="0.25">
      <c r="A5828" s="739">
        <v>3.3333000000000002E-2</v>
      </c>
      <c r="B5828" s="743" t="s">
        <v>577</v>
      </c>
      <c r="C5828" s="809">
        <v>18.323</v>
      </c>
      <c r="D5828" s="737">
        <v>11.51</v>
      </c>
      <c r="E5828" s="742">
        <v>-0.37182775746329755</v>
      </c>
      <c r="F5828" s="946">
        <v>-1.2394134639524098E-2</v>
      </c>
      <c r="G5828" s="695"/>
      <c r="H5828" s="1022" t="s">
        <v>2804</v>
      </c>
      <c r="I5828" s="1022"/>
      <c r="J5828" s="892">
        <v>41518</v>
      </c>
      <c r="K5828" s="1172">
        <v>98.783600000000007</v>
      </c>
      <c r="L5828" s="1109">
        <v>-1.2163999999999953E-2</v>
      </c>
    </row>
    <row r="5829" spans="1:12" hidden="1" outlineLevel="1" x14ac:dyDescent="0.25">
      <c r="A5829" s="739">
        <v>3.3333000000000002E-2</v>
      </c>
      <c r="B5829" s="824" t="s">
        <v>1183</v>
      </c>
      <c r="C5829" s="809">
        <v>47.237000000000002</v>
      </c>
      <c r="D5829" s="715">
        <v>42.895000000000003</v>
      </c>
      <c r="E5829" s="742">
        <v>-9.1919469907064344E-2</v>
      </c>
      <c r="F5829" s="946">
        <v>-3.0639516904121759E-3</v>
      </c>
      <c r="G5829" s="695"/>
      <c r="H5829" s="1022" t="s">
        <v>2805</v>
      </c>
      <c r="I5829" s="1022"/>
      <c r="J5829" s="1173" t="s">
        <v>2465</v>
      </c>
      <c r="K5829" s="1022"/>
      <c r="L5829" s="1088">
        <v>-7.2322666666666632E-2</v>
      </c>
    </row>
    <row r="5830" spans="1:12" hidden="1" outlineLevel="1" x14ac:dyDescent="0.25">
      <c r="A5830" s="717"/>
      <c r="B5830" s="750"/>
      <c r="C5830" s="719"/>
      <c r="D5830" s="719"/>
      <c r="E5830" s="720"/>
      <c r="F5830" s="731">
        <v>-1.7062510805828011E-2</v>
      </c>
      <c r="G5830" s="695"/>
      <c r="H5830" s="1022"/>
      <c r="I5830" s="1022"/>
      <c r="J5830" s="1174" t="s">
        <v>5094</v>
      </c>
      <c r="K5830" s="1022"/>
      <c r="L5830" s="1175">
        <v>-4.700973333333331E-2</v>
      </c>
    </row>
    <row r="5831" spans="1:12" collapsed="1" x14ac:dyDescent="0.25">
      <c r="A5831" s="3801" t="s">
        <v>4431</v>
      </c>
      <c r="B5831" s="3802"/>
      <c r="C5831" s="3802"/>
      <c r="D5831" s="3802"/>
      <c r="E5831" s="721"/>
      <c r="F5831" s="722">
        <v>0</v>
      </c>
      <c r="G5831" s="97" t="s">
        <v>781</v>
      </c>
      <c r="H5831" s="415"/>
      <c r="I5831" s="415"/>
      <c r="J5831" s="415"/>
      <c r="K5831" s="415"/>
      <c r="L5831" s="415"/>
    </row>
    <row r="5833" spans="1:12" hidden="1" outlineLevel="1" x14ac:dyDescent="0.25">
      <c r="A5833" s="689" t="s">
        <v>113</v>
      </c>
      <c r="B5833" s="689" t="s">
        <v>114</v>
      </c>
      <c r="C5833" s="689" t="s">
        <v>112</v>
      </c>
      <c r="D5833" s="689" t="s">
        <v>116</v>
      </c>
      <c r="E5833" s="689" t="s">
        <v>117</v>
      </c>
      <c r="F5833" s="1188" t="s">
        <v>121</v>
      </c>
      <c r="G5833" s="78"/>
      <c r="J5833" s="31"/>
    </row>
    <row r="5834" spans="1:12" hidden="1" outlineLevel="1" x14ac:dyDescent="0.25">
      <c r="A5834" s="753" t="s">
        <v>1656</v>
      </c>
      <c r="B5834" s="799" t="s">
        <v>3564</v>
      </c>
      <c r="C5834" s="800">
        <v>22160.761999999999</v>
      </c>
      <c r="D5834" s="800">
        <v>12031.187</v>
      </c>
      <c r="E5834" s="3819">
        <v>-0.40179999999999999</v>
      </c>
      <c r="F5834" s="3819">
        <v>-0.03</v>
      </c>
      <c r="G5834" s="78"/>
      <c r="J5834" s="31"/>
    </row>
    <row r="5835" spans="1:12" hidden="1" outlineLevel="1" x14ac:dyDescent="0.25">
      <c r="A5835" s="732" t="s">
        <v>1656</v>
      </c>
      <c r="B5835" s="852" t="s">
        <v>1916</v>
      </c>
      <c r="C5835" s="802">
        <v>205.703</v>
      </c>
      <c r="D5835" s="802">
        <v>132.47</v>
      </c>
      <c r="E5835" s="3820"/>
      <c r="F5835" s="3820"/>
      <c r="G5835" s="78"/>
      <c r="I5835" s="258"/>
      <c r="J5835" s="31"/>
    </row>
    <row r="5836" spans="1:12" hidden="1" outlineLevel="1" x14ac:dyDescent="0.25">
      <c r="A5836" s="732" t="s">
        <v>1656</v>
      </c>
      <c r="B5836" s="852" t="s">
        <v>3232</v>
      </c>
      <c r="C5836" s="802">
        <v>1203.8019999999999</v>
      </c>
      <c r="D5836" s="802">
        <v>856.803</v>
      </c>
      <c r="E5836" s="3820"/>
      <c r="F5836" s="3820"/>
      <c r="G5836" s="78"/>
      <c r="J5836" s="31"/>
    </row>
    <row r="5837" spans="1:12" hidden="1" outlineLevel="1" x14ac:dyDescent="0.25">
      <c r="A5837" s="732" t="s">
        <v>1656</v>
      </c>
      <c r="B5837" s="852" t="s">
        <v>2019</v>
      </c>
      <c r="C5837" s="802">
        <v>352.82799999999997</v>
      </c>
      <c r="D5837" s="802">
        <v>182.65100000000001</v>
      </c>
      <c r="E5837" s="3820"/>
      <c r="F5837" s="3820"/>
      <c r="G5837" s="78"/>
      <c r="J5837" s="31"/>
    </row>
    <row r="5838" spans="1:12" hidden="1" outlineLevel="1" x14ac:dyDescent="0.25">
      <c r="A5838" s="732" t="s">
        <v>1656</v>
      </c>
      <c r="B5838" s="852" t="s">
        <v>1124</v>
      </c>
      <c r="C5838" s="802">
        <v>319.73700000000002</v>
      </c>
      <c r="D5838" s="802">
        <v>174.93299999999999</v>
      </c>
      <c r="E5838" s="3820"/>
      <c r="F5838" s="3820"/>
      <c r="G5838" s="78"/>
      <c r="J5838" s="31"/>
    </row>
    <row r="5839" spans="1:12" hidden="1" outlineLevel="1" x14ac:dyDescent="0.25">
      <c r="A5839" s="754" t="s">
        <v>1656</v>
      </c>
      <c r="B5839" s="801" t="s">
        <v>761</v>
      </c>
      <c r="C5839" s="804">
        <v>12400.406000000001</v>
      </c>
      <c r="D5839" s="804">
        <v>7269.2079999999996</v>
      </c>
      <c r="E5839" s="3821"/>
      <c r="F5839" s="3821"/>
      <c r="G5839" s="78"/>
      <c r="J5839" s="31"/>
    </row>
    <row r="5840" spans="1:12" hidden="1" outlineLevel="1" x14ac:dyDescent="0.25">
      <c r="A5840" s="753" t="s">
        <v>1657</v>
      </c>
      <c r="B5840" s="799" t="s">
        <v>3564</v>
      </c>
      <c r="C5840" s="793">
        <v>12031.187</v>
      </c>
      <c r="D5840" s="800">
        <v>21025.422999999999</v>
      </c>
      <c r="E5840" s="3819">
        <v>0.59819999999999995</v>
      </c>
      <c r="F5840" s="3819">
        <v>0.08</v>
      </c>
      <c r="G5840" s="78"/>
      <c r="J5840" s="31"/>
    </row>
    <row r="5841" spans="1:10" hidden="1" outlineLevel="1" x14ac:dyDescent="0.25">
      <c r="A5841" s="732" t="s">
        <v>1657</v>
      </c>
      <c r="B5841" s="852" t="s">
        <v>1916</v>
      </c>
      <c r="C5841" s="797">
        <v>132.47</v>
      </c>
      <c r="D5841" s="802">
        <v>215.273</v>
      </c>
      <c r="E5841" s="3820"/>
      <c r="F5841" s="3820"/>
      <c r="G5841" s="78"/>
      <c r="J5841" s="31"/>
    </row>
    <row r="5842" spans="1:10" hidden="1" outlineLevel="1" x14ac:dyDescent="0.25">
      <c r="A5842" s="732" t="s">
        <v>1657</v>
      </c>
      <c r="B5842" s="852" t="s">
        <v>3232</v>
      </c>
      <c r="C5842" s="797">
        <v>856.803</v>
      </c>
      <c r="D5842" s="802">
        <v>1304.4449999999999</v>
      </c>
      <c r="E5842" s="3820"/>
      <c r="F5842" s="3820"/>
      <c r="G5842" s="78"/>
      <c r="J5842" s="31"/>
    </row>
    <row r="5843" spans="1:10" hidden="1" outlineLevel="1" x14ac:dyDescent="0.25">
      <c r="A5843" s="732" t="s">
        <v>1657</v>
      </c>
      <c r="B5843" s="852" t="s">
        <v>2019</v>
      </c>
      <c r="C5843" s="797">
        <v>182.65100000000001</v>
      </c>
      <c r="D5843" s="802">
        <v>335.99400000000003</v>
      </c>
      <c r="E5843" s="3820"/>
      <c r="F5843" s="3820"/>
      <c r="G5843" s="78"/>
      <c r="J5843" s="31"/>
    </row>
    <row r="5844" spans="1:10" hidden="1" outlineLevel="1" x14ac:dyDescent="0.25">
      <c r="A5844" s="732" t="s">
        <v>1657</v>
      </c>
      <c r="B5844" s="852" t="s">
        <v>1124</v>
      </c>
      <c r="C5844" s="797">
        <v>174.93299999999999</v>
      </c>
      <c r="D5844" s="802">
        <v>276.29399999999998</v>
      </c>
      <c r="E5844" s="3820"/>
      <c r="F5844" s="3820"/>
      <c r="G5844" s="78"/>
      <c r="J5844" s="31"/>
    </row>
    <row r="5845" spans="1:10" hidden="1" outlineLevel="1" x14ac:dyDescent="0.25">
      <c r="A5845" s="754" t="s">
        <v>1657</v>
      </c>
      <c r="B5845" s="801" t="s">
        <v>761</v>
      </c>
      <c r="C5845" s="797">
        <v>7269.2079999999996</v>
      </c>
      <c r="D5845" s="804">
        <v>10429.541999999999</v>
      </c>
      <c r="E5845" s="3821"/>
      <c r="F5845" s="3821"/>
      <c r="G5845" s="78"/>
      <c r="J5845" s="31"/>
    </row>
    <row r="5846" spans="1:10" hidden="1" outlineLevel="1" x14ac:dyDescent="0.25">
      <c r="A5846" s="753" t="s">
        <v>337</v>
      </c>
      <c r="B5846" s="799" t="s">
        <v>3564</v>
      </c>
      <c r="C5846" s="793">
        <v>21025.422999999999</v>
      </c>
      <c r="D5846" s="800">
        <v>23402.190999999999</v>
      </c>
      <c r="E5846" s="3819">
        <v>0.11700000000000001</v>
      </c>
      <c r="F5846" s="3819">
        <v>0.08</v>
      </c>
      <c r="G5846" s="78"/>
      <c r="J5846" s="31"/>
    </row>
    <row r="5847" spans="1:10" hidden="1" outlineLevel="1" x14ac:dyDescent="0.25">
      <c r="A5847" s="732" t="s">
        <v>337</v>
      </c>
      <c r="B5847" s="852" t="s">
        <v>1916</v>
      </c>
      <c r="C5847" s="797">
        <v>215.273</v>
      </c>
      <c r="D5847" s="851">
        <v>260.18299999999999</v>
      </c>
      <c r="E5847" s="3820"/>
      <c r="F5847" s="3820"/>
      <c r="G5847" s="78"/>
      <c r="J5847" s="31"/>
    </row>
    <row r="5848" spans="1:10" hidden="1" outlineLevel="1" x14ac:dyDescent="0.25">
      <c r="A5848" s="732" t="s">
        <v>337</v>
      </c>
      <c r="B5848" s="852" t="s">
        <v>3232</v>
      </c>
      <c r="C5848" s="797">
        <v>1304.4449999999999</v>
      </c>
      <c r="D5848" s="851">
        <v>1509.598</v>
      </c>
      <c r="E5848" s="3820"/>
      <c r="F5848" s="3820"/>
      <c r="G5848" s="78"/>
      <c r="J5848" s="31"/>
    </row>
    <row r="5849" spans="1:10" hidden="1" outlineLevel="1" x14ac:dyDescent="0.25">
      <c r="A5849" s="732" t="s">
        <v>337</v>
      </c>
      <c r="B5849" s="852" t="s">
        <v>2019</v>
      </c>
      <c r="C5849" s="797">
        <v>335.99400000000003</v>
      </c>
      <c r="D5849" s="851">
        <v>360.43400000000003</v>
      </c>
      <c r="E5849" s="3820"/>
      <c r="F5849" s="3820"/>
      <c r="G5849" s="78"/>
      <c r="J5849" s="31"/>
    </row>
    <row r="5850" spans="1:10" hidden="1" outlineLevel="1" x14ac:dyDescent="0.25">
      <c r="A5850" s="732" t="s">
        <v>337</v>
      </c>
      <c r="B5850" s="852" t="s">
        <v>1124</v>
      </c>
      <c r="C5850" s="797">
        <v>276.29399999999998</v>
      </c>
      <c r="D5850" s="851">
        <v>309.71800000000002</v>
      </c>
      <c r="E5850" s="3820"/>
      <c r="F5850" s="3820"/>
      <c r="G5850" s="78"/>
      <c r="J5850" s="31"/>
    </row>
    <row r="5851" spans="1:10" hidden="1" outlineLevel="1" x14ac:dyDescent="0.25">
      <c r="A5851" s="754" t="s">
        <v>337</v>
      </c>
      <c r="B5851" s="801" t="s">
        <v>761</v>
      </c>
      <c r="C5851" s="797">
        <v>10429.541999999999</v>
      </c>
      <c r="D5851" s="1041">
        <v>10445.51</v>
      </c>
      <c r="E5851" s="3821"/>
      <c r="F5851" s="3821"/>
      <c r="G5851" s="78"/>
      <c r="J5851" s="31"/>
    </row>
    <row r="5852" spans="1:10" hidden="1" outlineLevel="1" x14ac:dyDescent="0.25">
      <c r="A5852" s="753" t="s">
        <v>338</v>
      </c>
      <c r="B5852" s="799" t="s">
        <v>3564</v>
      </c>
      <c r="C5852" s="800">
        <v>23402.190999999999</v>
      </c>
      <c r="D5852" s="800">
        <v>19758.349999999999</v>
      </c>
      <c r="E5852" s="3819">
        <v>-6.25E-2</v>
      </c>
      <c r="F5852" s="3819">
        <v>-0.03</v>
      </c>
      <c r="G5852" s="78"/>
      <c r="J5852" s="31"/>
    </row>
    <row r="5853" spans="1:10" hidden="1" outlineLevel="1" x14ac:dyDescent="0.25">
      <c r="A5853" s="732" t="s">
        <v>338</v>
      </c>
      <c r="B5853" s="852" t="s">
        <v>1916</v>
      </c>
      <c r="C5853" s="851">
        <v>260.18299999999999</v>
      </c>
      <c r="D5853" s="1028">
        <v>253.33</v>
      </c>
      <c r="E5853" s="3820"/>
      <c r="F5853" s="3820"/>
      <c r="G5853" s="78"/>
      <c r="J5853" s="31"/>
    </row>
    <row r="5854" spans="1:10" hidden="1" outlineLevel="1" x14ac:dyDescent="0.25">
      <c r="A5854" s="732" t="s">
        <v>338</v>
      </c>
      <c r="B5854" s="852" t="s">
        <v>3232</v>
      </c>
      <c r="C5854" s="851">
        <v>1509.598</v>
      </c>
      <c r="D5854" s="1028">
        <v>1631.1969999999999</v>
      </c>
      <c r="E5854" s="3820"/>
      <c r="F5854" s="3820"/>
      <c r="G5854" s="78"/>
      <c r="J5854" s="31"/>
    </row>
    <row r="5855" spans="1:10" hidden="1" outlineLevel="1" x14ac:dyDescent="0.25">
      <c r="A5855" s="732" t="s">
        <v>338</v>
      </c>
      <c r="B5855" s="852" t="s">
        <v>2019</v>
      </c>
      <c r="C5855" s="851">
        <v>360.43400000000003</v>
      </c>
      <c r="D5855" s="1028">
        <v>346.90300000000002</v>
      </c>
      <c r="E5855" s="3820"/>
      <c r="F5855" s="3820"/>
      <c r="G5855" s="78"/>
      <c r="J5855" s="31"/>
    </row>
    <row r="5856" spans="1:10" hidden="1" outlineLevel="1" x14ac:dyDescent="0.25">
      <c r="A5856" s="732" t="s">
        <v>338</v>
      </c>
      <c r="B5856" s="852" t="s">
        <v>1124</v>
      </c>
      <c r="C5856" s="851">
        <v>309.71800000000002</v>
      </c>
      <c r="D5856" s="802">
        <v>265.69200000000001</v>
      </c>
      <c r="E5856" s="3820"/>
      <c r="F5856" s="3820"/>
      <c r="G5856" s="78"/>
      <c r="J5856" s="31"/>
    </row>
    <row r="5857" spans="1:14" hidden="1" outlineLevel="1" x14ac:dyDescent="0.25">
      <c r="A5857" s="754" t="s">
        <v>338</v>
      </c>
      <c r="B5857" s="801" t="s">
        <v>761</v>
      </c>
      <c r="C5857" s="1041">
        <v>10445.51</v>
      </c>
      <c r="D5857" s="804">
        <v>8858.2690000000002</v>
      </c>
      <c r="E5857" s="3821"/>
      <c r="F5857" s="3821"/>
      <c r="G5857" s="78"/>
      <c r="J5857" s="31"/>
    </row>
    <row r="5858" spans="1:14" collapsed="1" x14ac:dyDescent="0.25">
      <c r="A5858" s="3801" t="s">
        <v>1426</v>
      </c>
      <c r="B5858" s="3802"/>
      <c r="C5858" s="3802"/>
      <c r="D5858" s="3802"/>
      <c r="E5858" s="729"/>
      <c r="F5858" s="752">
        <f>MAX(SUM(F5834:F5857),5%)</f>
        <v>0.1</v>
      </c>
      <c r="G5858" s="97" t="s">
        <v>781</v>
      </c>
      <c r="J5858" s="31"/>
    </row>
    <row r="5860" spans="1:14" hidden="1" outlineLevel="1" x14ac:dyDescent="0.25">
      <c r="A5860" s="689" t="s">
        <v>113</v>
      </c>
      <c r="B5860" s="689" t="s">
        <v>114</v>
      </c>
      <c r="C5860" s="689" t="s">
        <v>112</v>
      </c>
      <c r="D5860" s="689" t="s">
        <v>116</v>
      </c>
      <c r="E5860" s="689" t="s">
        <v>117</v>
      </c>
      <c r="F5860" s="1188" t="s">
        <v>121</v>
      </c>
      <c r="G5860" s="78"/>
    </row>
    <row r="5861" spans="1:14" hidden="1" outlineLevel="1" x14ac:dyDescent="0.25">
      <c r="A5861" s="690">
        <v>1</v>
      </c>
      <c r="B5861" s="691" t="s">
        <v>252</v>
      </c>
      <c r="C5861" s="692">
        <v>100</v>
      </c>
      <c r="D5861" s="692"/>
      <c r="E5861" s="693"/>
      <c r="F5861" s="694"/>
      <c r="G5861" s="78"/>
    </row>
    <row r="5862" spans="1:14" hidden="1" outlineLevel="1" x14ac:dyDescent="0.25">
      <c r="A5862" s="695"/>
      <c r="B5862" s="695"/>
      <c r="C5862" s="696"/>
      <c r="D5862" s="697" t="s">
        <v>3702</v>
      </c>
      <c r="E5862" s="698">
        <v>41516</v>
      </c>
      <c r="F5862" s="699"/>
      <c r="G5862" s="78"/>
    </row>
    <row r="5863" spans="1:14" hidden="1" outlineLevel="1" x14ac:dyDescent="0.25">
      <c r="A5863" s="495" t="s">
        <v>4156</v>
      </c>
      <c r="B5863" s="689" t="s">
        <v>4153</v>
      </c>
      <c r="C5863" s="700" t="s">
        <v>112</v>
      </c>
      <c r="D5863" s="689" t="s">
        <v>4155</v>
      </c>
      <c r="E5863" s="689" t="s">
        <v>4154</v>
      </c>
      <c r="F5863" s="1188" t="s">
        <v>2519</v>
      </c>
      <c r="G5863" s="78"/>
    </row>
    <row r="5864" spans="1:14" hidden="1" outlineLevel="1" x14ac:dyDescent="0.25">
      <c r="A5864" s="1127">
        <v>0.05</v>
      </c>
      <c r="B5864" s="1176" t="s">
        <v>2984</v>
      </c>
      <c r="C5864" s="807">
        <v>13.648</v>
      </c>
      <c r="D5864" s="1091">
        <v>7.22</v>
      </c>
      <c r="E5864" s="742">
        <v>-0.4709847596717468</v>
      </c>
      <c r="F5864" s="946">
        <v>-2.3549237983587341E-2</v>
      </c>
      <c r="G5864" s="78"/>
      <c r="H5864" t="str">
        <f>VLOOKUP(B5864,indexy!$A$44:$D$823,3,FALSE)</f>
        <v>BBVA SM Equity</v>
      </c>
      <c r="I5864" s="228">
        <v>39539</v>
      </c>
      <c r="J5864" s="194">
        <v>1.0739669999999999</v>
      </c>
      <c r="L5864" t="s">
        <v>631</v>
      </c>
      <c r="M5864" s="31"/>
    </row>
    <row r="5865" spans="1:14" hidden="1" outlineLevel="1" x14ac:dyDescent="0.25">
      <c r="A5865" s="849">
        <v>0.05</v>
      </c>
      <c r="B5865" s="1147" t="s">
        <v>157</v>
      </c>
      <c r="C5865" s="1112">
        <v>12.127000000000001</v>
      </c>
      <c r="D5865" s="1091">
        <v>5.34</v>
      </c>
      <c r="E5865" s="742">
        <v>-0.55966026222478771</v>
      </c>
      <c r="F5865" s="946">
        <v>-2.7983013111239387E-2</v>
      </c>
      <c r="G5865" s="78"/>
      <c r="H5865" t="str">
        <f>VLOOKUP(B5865,indexy!$A$44:$D$823,3,FALSE)</f>
        <v>SAN SM Equity</v>
      </c>
      <c r="I5865" s="228">
        <v>39570</v>
      </c>
      <c r="J5865" s="194">
        <v>1.1172340000000001</v>
      </c>
      <c r="L5865" s="256">
        <v>40969</v>
      </c>
      <c r="M5865" s="252">
        <v>45.804200000000002</v>
      </c>
      <c r="N5865" s="37">
        <f>IF(M5865="",N5864,M5865/100-1)</f>
        <v>-0.54195799999999994</v>
      </c>
    </row>
    <row r="5866" spans="1:14" hidden="1" outlineLevel="1" x14ac:dyDescent="0.25">
      <c r="A5866" s="849">
        <v>0.05</v>
      </c>
      <c r="B5866" s="1147" t="s">
        <v>1994</v>
      </c>
      <c r="C5866" s="1112">
        <v>39.097000000000001</v>
      </c>
      <c r="D5866" s="1091">
        <v>14.12</v>
      </c>
      <c r="E5866" s="742">
        <v>-0.63884697035578175</v>
      </c>
      <c r="F5866" s="946">
        <v>-3.1942348517789092E-2</v>
      </c>
      <c r="G5866" s="78"/>
      <c r="H5866" t="str">
        <f>VLOOKUP(B5866,indexy!$A$44:$D$823,3,FALSE)</f>
        <v>BAC UN Equity</v>
      </c>
      <c r="I5866" s="228">
        <v>39601</v>
      </c>
      <c r="J5866" s="194">
        <v>0.98201700000000003</v>
      </c>
      <c r="L5866" s="256">
        <v>41000</v>
      </c>
      <c r="M5866" s="252">
        <v>41.979100000000003</v>
      </c>
      <c r="N5866" s="37">
        <f t="shared" ref="N5866:N5882" si="192">IF(M5866="",N5865,M5866/100-1)</f>
        <v>-0.58020899999999997</v>
      </c>
    </row>
    <row r="5867" spans="1:14" hidden="1" outlineLevel="1" x14ac:dyDescent="0.25">
      <c r="A5867" s="849">
        <v>0.05</v>
      </c>
      <c r="B5867" s="1146" t="s">
        <v>873</v>
      </c>
      <c r="C5867" s="1112">
        <v>423.61829999999998</v>
      </c>
      <c r="D5867" s="1091">
        <v>283.35000000000002</v>
      </c>
      <c r="E5867" s="742">
        <v>-0.33111954795154019</v>
      </c>
      <c r="F5867" s="946">
        <v>-1.6555977397577009E-2</v>
      </c>
      <c r="G5867" s="78"/>
      <c r="H5867" t="str">
        <f>VLOOKUP(B5867,indexy!$A$44:$D$823,3,FALSE)</f>
        <v>BARC LN Equity</v>
      </c>
      <c r="I5867" s="228">
        <v>39630</v>
      </c>
      <c r="J5867" s="229">
        <v>0.79440900000000003</v>
      </c>
      <c r="L5867" s="256">
        <v>41030</v>
      </c>
      <c r="M5867" s="252">
        <v>37.328899999999997</v>
      </c>
      <c r="N5867" s="37">
        <f t="shared" si="192"/>
        <v>-0.62671100000000002</v>
      </c>
    </row>
    <row r="5868" spans="1:14" hidden="1" outlineLevel="1" x14ac:dyDescent="0.25">
      <c r="A5868" s="849">
        <v>0.05</v>
      </c>
      <c r="B5868" s="1147" t="s">
        <v>3019</v>
      </c>
      <c r="C5868" s="1112">
        <v>61.154000000000003</v>
      </c>
      <c r="D5868" s="1091">
        <v>47.414999999999999</v>
      </c>
      <c r="E5868" s="742">
        <v>-0.22466232789351481</v>
      </c>
      <c r="F5868" s="946">
        <v>-1.1233116394675741E-2</v>
      </c>
      <c r="G5868" s="78"/>
      <c r="H5868" t="str">
        <f>VLOOKUP(B5868,indexy!$A$44:$D$823,3,FALSE)</f>
        <v>BNP FP Equity</v>
      </c>
      <c r="I5868" s="231">
        <v>39661</v>
      </c>
      <c r="J5868" s="194">
        <v>0.87584400000000007</v>
      </c>
      <c r="L5868" s="256">
        <v>41061</v>
      </c>
      <c r="M5868" s="252">
        <v>40.439900000000002</v>
      </c>
      <c r="N5868" s="37">
        <f t="shared" si="192"/>
        <v>-0.59560100000000005</v>
      </c>
    </row>
    <row r="5869" spans="1:14" hidden="1" outlineLevel="1" x14ac:dyDescent="0.25">
      <c r="A5869" s="849">
        <v>0.05</v>
      </c>
      <c r="B5869" s="1146" t="s">
        <v>1847</v>
      </c>
      <c r="C5869" s="1112">
        <v>213.43</v>
      </c>
      <c r="D5869" s="1091">
        <v>48.33</v>
      </c>
      <c r="E5869" s="742">
        <v>-0.77355573255868437</v>
      </c>
      <c r="F5869" s="946">
        <v>-3.8677786627934224E-2</v>
      </c>
      <c r="G5869" s="78"/>
      <c r="H5869" t="str">
        <f>VLOOKUP(B5869,indexy!$A$44:$D$823,3,FALSE)</f>
        <v>C UN Equity</v>
      </c>
      <c r="I5869" s="231">
        <v>39692</v>
      </c>
      <c r="J5869" s="194">
        <v>0.87678100000000003</v>
      </c>
      <c r="L5869" s="256">
        <v>41091</v>
      </c>
      <c r="M5869" s="252">
        <v>40.0914</v>
      </c>
      <c r="N5869" s="37">
        <f t="shared" si="192"/>
        <v>-0.59908600000000001</v>
      </c>
    </row>
    <row r="5870" spans="1:14" hidden="1" outlineLevel="1" x14ac:dyDescent="0.25">
      <c r="A5870" s="849">
        <v>0.05</v>
      </c>
      <c r="B5870" s="1177" t="s">
        <v>4274</v>
      </c>
      <c r="C5870" s="1112">
        <v>18.434999999999999</v>
      </c>
      <c r="D5870" s="1091">
        <v>8.7959999999999994</v>
      </c>
      <c r="E5870" s="742">
        <v>-0.52286411716842962</v>
      </c>
      <c r="F5870" s="946">
        <v>-2.6143205858421482E-2</v>
      </c>
      <c r="G5870" s="78"/>
      <c r="H5870" t="str">
        <f>VLOOKUP(B5870,indexy!$A$44:$D$823,3,FALSE)</f>
        <v>CBK GY Equity</v>
      </c>
      <c r="L5870" s="256">
        <v>41122</v>
      </c>
      <c r="M5870" s="252">
        <v>42.729300000000002</v>
      </c>
      <c r="N5870" s="37">
        <f t="shared" si="192"/>
        <v>-0.57270699999999997</v>
      </c>
    </row>
    <row r="5871" spans="1:14" hidden="1" outlineLevel="1" x14ac:dyDescent="0.25">
      <c r="A5871" s="849">
        <v>0.05</v>
      </c>
      <c r="B5871" s="1147" t="s">
        <v>1212</v>
      </c>
      <c r="C5871" s="809">
        <v>49.896999999999998</v>
      </c>
      <c r="D5871" s="908">
        <v>26.82</v>
      </c>
      <c r="E5871" s="896">
        <v>-0.46249273503417032</v>
      </c>
      <c r="F5871" s="1666">
        <v>-2.3124636751708519E-2</v>
      </c>
      <c r="G5871" s="78"/>
      <c r="H5871" t="e">
        <f>VLOOKUP(B5871,indexy!$A$44:$D$823,3,FALSE)</f>
        <v>#N/A</v>
      </c>
      <c r="L5871" s="256">
        <v>41153</v>
      </c>
      <c r="M5871" s="252">
        <v>44.972999999999999</v>
      </c>
      <c r="N5871" s="37">
        <f t="shared" si="192"/>
        <v>-0.55027000000000004</v>
      </c>
    </row>
    <row r="5872" spans="1:14" hidden="1" outlineLevel="1" x14ac:dyDescent="0.25">
      <c r="A5872" s="849">
        <v>0.05</v>
      </c>
      <c r="B5872" s="1147" t="s">
        <v>3017</v>
      </c>
      <c r="C5872" s="809">
        <v>17.315999999999999</v>
      </c>
      <c r="D5872" s="908">
        <v>0.03</v>
      </c>
      <c r="E5872" s="896">
        <v>-0.99826749826749828</v>
      </c>
      <c r="F5872" s="1666">
        <v>-4.9913374913374914E-2</v>
      </c>
      <c r="G5872" s="78"/>
      <c r="H5872" t="e">
        <f>VLOOKUP(B5872,indexy!$A$44:$D$823,3,FALSE)</f>
        <v>#N/A</v>
      </c>
      <c r="L5872" s="256">
        <v>41183</v>
      </c>
      <c r="M5872" s="252">
        <v>46.185000000000002</v>
      </c>
      <c r="N5872" s="37">
        <f t="shared" si="192"/>
        <v>-0.53814999999999991</v>
      </c>
    </row>
    <row r="5873" spans="1:14" hidden="1" outlineLevel="1" x14ac:dyDescent="0.25">
      <c r="A5873" s="849">
        <v>0.05</v>
      </c>
      <c r="B5873" s="1147" t="s">
        <v>1176</v>
      </c>
      <c r="C5873" s="809">
        <v>15.257999999999999</v>
      </c>
      <c r="D5873" s="908">
        <v>1.599</v>
      </c>
      <c r="E5873" s="896">
        <v>-0.89520251671254425</v>
      </c>
      <c r="F5873" s="1666">
        <v>-4.4760125835627218E-2</v>
      </c>
      <c r="G5873" s="78"/>
      <c r="H5873" t="str">
        <f>VLOOKUP(B5873,indexy!$A$44:$D$823,3,FALSE)</f>
        <v>AGS BB Equity</v>
      </c>
      <c r="L5873" s="256">
        <v>41214</v>
      </c>
      <c r="M5873" s="252">
        <v>47.384799999999998</v>
      </c>
      <c r="N5873" s="37">
        <f t="shared" si="192"/>
        <v>-0.52615199999999995</v>
      </c>
    </row>
    <row r="5874" spans="1:14" hidden="1" outlineLevel="1" x14ac:dyDescent="0.25">
      <c r="A5874" s="849">
        <v>0.05</v>
      </c>
      <c r="B5874" s="1146" t="s">
        <v>1771</v>
      </c>
      <c r="C5874" s="809">
        <v>802.75</v>
      </c>
      <c r="D5874" s="908">
        <v>676</v>
      </c>
      <c r="E5874" s="896">
        <v>-0.15789473684210531</v>
      </c>
      <c r="F5874" s="1666">
        <v>-7.8947368421052651E-3</v>
      </c>
      <c r="G5874" s="78"/>
      <c r="H5874" t="str">
        <f>VLOOKUP(B5874,indexy!$A$44:$D$823,3,FALSE)</f>
        <v>HSBA LN Equity</v>
      </c>
      <c r="L5874" s="256">
        <v>41244</v>
      </c>
      <c r="M5874" s="252">
        <v>49.2042</v>
      </c>
      <c r="N5874" s="37">
        <f t="shared" si="192"/>
        <v>-0.50795800000000002</v>
      </c>
    </row>
    <row r="5875" spans="1:14" hidden="1" outlineLevel="1" x14ac:dyDescent="0.25">
      <c r="A5875" s="1081">
        <v>0.05</v>
      </c>
      <c r="B5875" s="743" t="s">
        <v>2588</v>
      </c>
      <c r="C5875" s="809">
        <v>22.495000000000001</v>
      </c>
      <c r="D5875" s="908">
        <v>8.2149999999999999</v>
      </c>
      <c r="E5875" s="896">
        <v>-0.63480773505223387</v>
      </c>
      <c r="F5875" s="1002">
        <v>-3.1740386752611698E-2</v>
      </c>
      <c r="G5875" s="78"/>
      <c r="H5875" t="str">
        <f>VLOOKUP(B5875,indexy!$A$44:$D$823,3,FALSE)</f>
        <v>INGA NA Equity</v>
      </c>
      <c r="L5875" s="256">
        <v>41275</v>
      </c>
      <c r="M5875" s="252">
        <v>52.856699999999996</v>
      </c>
      <c r="N5875" s="37">
        <f t="shared" si="192"/>
        <v>-0.47143299999999999</v>
      </c>
    </row>
    <row r="5876" spans="1:14" hidden="1" outlineLevel="1" x14ac:dyDescent="0.25">
      <c r="A5876" s="849">
        <v>0.05</v>
      </c>
      <c r="B5876" s="996" t="s">
        <v>44</v>
      </c>
      <c r="C5876" s="809">
        <v>4.3792</v>
      </c>
      <c r="D5876" s="908">
        <v>1.4849999999999999</v>
      </c>
      <c r="E5876" s="896">
        <v>-0.66089696748264526</v>
      </c>
      <c r="F5876" s="946">
        <v>-3.3044848374132262E-2</v>
      </c>
      <c r="G5876" s="78"/>
      <c r="H5876" t="str">
        <f>VLOOKUP(B5876,indexy!$A$44:$D$823,3,FALSE)</f>
        <v>ISP IM Equity</v>
      </c>
      <c r="J5876" s="108"/>
      <c r="L5876" s="256">
        <v>41306</v>
      </c>
      <c r="M5876" s="252">
        <v>51.730062341823007</v>
      </c>
      <c r="N5876" s="37">
        <f t="shared" si="192"/>
        <v>-0.48269937658176998</v>
      </c>
    </row>
    <row r="5877" spans="1:14" hidden="1" outlineLevel="1" x14ac:dyDescent="0.25">
      <c r="A5877" s="849">
        <v>0.05</v>
      </c>
      <c r="B5877" s="743" t="s">
        <v>4376</v>
      </c>
      <c r="C5877" s="809">
        <v>43.029000000000003</v>
      </c>
      <c r="D5877" s="908">
        <v>50.53</v>
      </c>
      <c r="E5877" s="896">
        <v>0.1743242929187292</v>
      </c>
      <c r="F5877" s="946">
        <v>8.7162146459364605E-3</v>
      </c>
      <c r="G5877" s="78"/>
      <c r="H5877" t="str">
        <f>VLOOKUP(B5877,indexy!$A$44:$D$823,3,FALSE)</f>
        <v>JPM UN Equity</v>
      </c>
      <c r="L5877" s="256">
        <v>41334</v>
      </c>
      <c r="M5877" s="424">
        <v>50.240900000000003</v>
      </c>
      <c r="N5877" s="37">
        <f t="shared" si="192"/>
        <v>-0.49759100000000001</v>
      </c>
    </row>
    <row r="5878" spans="1:14" hidden="1" outlineLevel="1" x14ac:dyDescent="0.25">
      <c r="A5878" s="849">
        <v>0.05</v>
      </c>
      <c r="B5878" s="743" t="s">
        <v>1526</v>
      </c>
      <c r="C5878" s="809">
        <v>80.236000000000004</v>
      </c>
      <c r="D5878" s="908">
        <v>33.28</v>
      </c>
      <c r="E5878" s="896">
        <v>-0.58522359040829552</v>
      </c>
      <c r="F5878" s="946">
        <v>-2.9261179520414779E-2</v>
      </c>
      <c r="G5878" s="78"/>
      <c r="H5878" t="str">
        <f>VLOOKUP(B5878,indexy!$A$44:$D$823,3,FALSE)</f>
        <v>KBC BB Equity</v>
      </c>
      <c r="L5878" s="256">
        <v>41365</v>
      </c>
      <c r="M5878" s="424">
        <v>52.032800000000002</v>
      </c>
      <c r="N5878" s="37">
        <f t="shared" si="192"/>
        <v>-0.47967199999999999</v>
      </c>
    </row>
    <row r="5879" spans="1:14" hidden="1" outlineLevel="1" x14ac:dyDescent="0.25">
      <c r="A5879" s="849">
        <v>0.05</v>
      </c>
      <c r="B5879" s="743" t="s">
        <v>2166</v>
      </c>
      <c r="C5879" s="809">
        <v>64.150999999999996</v>
      </c>
      <c r="D5879" s="908">
        <v>33.115000000000002</v>
      </c>
      <c r="E5879" s="896">
        <v>-0.48379604370937312</v>
      </c>
      <c r="F5879" s="946">
        <v>-2.4189802185468658E-2</v>
      </c>
      <c r="G5879" s="78"/>
      <c r="H5879" t="str">
        <f>VLOOKUP(B5879,indexy!$A$44:$D$823,3,FALSE)</f>
        <v>GLE FP Equity</v>
      </c>
      <c r="L5879" s="256">
        <v>41395</v>
      </c>
      <c r="M5879" s="424">
        <v>55.839640073098899</v>
      </c>
      <c r="N5879" s="37">
        <f t="shared" si="192"/>
        <v>-0.44160359926901105</v>
      </c>
    </row>
    <row r="5880" spans="1:14" hidden="1" outlineLevel="1" x14ac:dyDescent="0.25">
      <c r="A5880" s="849">
        <v>0.05</v>
      </c>
      <c r="B5880" s="740" t="s">
        <v>231</v>
      </c>
      <c r="C5880" s="809">
        <v>57.484000000000002</v>
      </c>
      <c r="D5880" s="908">
        <v>32.020000000000003</v>
      </c>
      <c r="E5880" s="896">
        <v>-0.44297543664323979</v>
      </c>
      <c r="F5880" s="946">
        <v>-2.214877183216199E-2</v>
      </c>
      <c r="G5880" s="78"/>
      <c r="H5880" t="e">
        <f>VLOOKUP(B5880,indexy!$A$44:$D$823,3,FALSE)</f>
        <v>#N/A</v>
      </c>
      <c r="L5880" s="256">
        <v>41426</v>
      </c>
      <c r="M5880" s="424">
        <v>52.686500000000002</v>
      </c>
      <c r="N5880" s="37">
        <f t="shared" si="192"/>
        <v>-0.47313499999999997</v>
      </c>
    </row>
    <row r="5881" spans="1:14" hidden="1" outlineLevel="1" x14ac:dyDescent="0.25">
      <c r="A5881" s="849">
        <v>0.05</v>
      </c>
      <c r="B5881" s="743" t="s">
        <v>2137</v>
      </c>
      <c r="C5881" s="809">
        <v>33.436999999999998</v>
      </c>
      <c r="D5881" s="908">
        <v>36.130000000000003</v>
      </c>
      <c r="E5881" s="896">
        <v>8.0539522086311655E-2</v>
      </c>
      <c r="F5881" s="946">
        <v>4.0269761043155829E-3</v>
      </c>
      <c r="G5881" s="78"/>
      <c r="H5881" t="str">
        <f>VLOOKUP(B5881,indexy!$A$44:$D$823,3,FALSE)</f>
        <v>USB UN Equity</v>
      </c>
      <c r="L5881" s="256">
        <v>41456</v>
      </c>
      <c r="M5881" s="424">
        <v>57.052692925401701</v>
      </c>
      <c r="N5881" s="37">
        <f t="shared" si="192"/>
        <v>-0.42947307074598295</v>
      </c>
    </row>
    <row r="5882" spans="1:14" hidden="1" outlineLevel="1" x14ac:dyDescent="0.25">
      <c r="A5882" s="849">
        <v>0.05</v>
      </c>
      <c r="B5882" s="743" t="s">
        <v>3817</v>
      </c>
      <c r="C5882" s="809">
        <v>149.35292709999999</v>
      </c>
      <c r="D5882" s="908">
        <v>41.08</v>
      </c>
      <c r="E5882" s="896">
        <v>-0.72494680353673502</v>
      </c>
      <c r="F5882" s="946">
        <v>-3.624734017683675E-2</v>
      </c>
      <c r="G5882" s="78"/>
      <c r="H5882" t="str">
        <f>VLOOKUP(B5882,indexy!$A$44:$D$823,3,FALSE)</f>
        <v>WFC UN Equity</v>
      </c>
      <c r="L5882" s="256">
        <v>41487</v>
      </c>
      <c r="M5882" s="424">
        <v>55.426900000000003</v>
      </c>
      <c r="N5882" s="37">
        <f t="shared" si="192"/>
        <v>-0.44573099999999999</v>
      </c>
    </row>
    <row r="5883" spans="1:14" hidden="1" outlineLevel="1" x14ac:dyDescent="0.25">
      <c r="A5883" s="990">
        <v>0.05</v>
      </c>
      <c r="B5883" s="824" t="s">
        <v>3817</v>
      </c>
      <c r="C5883" s="810">
        <v>30.646999999999998</v>
      </c>
      <c r="D5883" s="715">
        <v>41.08</v>
      </c>
      <c r="E5883" s="947">
        <v>0.34042483766763465</v>
      </c>
      <c r="F5883" s="1023">
        <v>1.7021241883381732E-2</v>
      </c>
      <c r="G5883" s="78"/>
      <c r="H5883" t="str">
        <f>VLOOKUP(B5883,indexy!$A$44:$D$823,3,FALSE)</f>
        <v>WFC UN Equity</v>
      </c>
      <c r="L5883" s="264" t="s">
        <v>2465</v>
      </c>
      <c r="M5883" s="31"/>
      <c r="N5883" s="261">
        <f>AVERAGE(N5865:N5882)</f>
        <v>-0.52000778036648687</v>
      </c>
    </row>
    <row r="5884" spans="1:14" hidden="1" outlineLevel="1" x14ac:dyDescent="0.25">
      <c r="A5884" s="749"/>
      <c r="B5884" s="718"/>
      <c r="C5884" s="719"/>
      <c r="D5884" s="719"/>
      <c r="E5884" s="720">
        <v>0.55135454355796742</v>
      </c>
      <c r="F5884" s="731">
        <v>-0.44864545644203258</v>
      </c>
      <c r="G5884" s="78"/>
      <c r="H5884" s="261">
        <f>+E5884-J5867</f>
        <v>-0.24305445644203261</v>
      </c>
      <c r="L5884" s="412" t="s">
        <v>5221</v>
      </c>
      <c r="N5884" s="423">
        <f>N5883*parametry!N205</f>
        <v>-0.49400739134816252</v>
      </c>
    </row>
    <row r="5885" spans="1:14" collapsed="1" x14ac:dyDescent="0.25">
      <c r="A5885" s="3801" t="s">
        <v>2933</v>
      </c>
      <c r="B5885" s="3802"/>
      <c r="C5885" s="3802"/>
      <c r="D5885" s="3802"/>
      <c r="E5885" s="721"/>
      <c r="F5885" s="722">
        <v>-0.05</v>
      </c>
      <c r="G5885" s="97" t="s">
        <v>781</v>
      </c>
    </row>
    <row r="5887" spans="1:14" hidden="1" outlineLevel="1" x14ac:dyDescent="0.25">
      <c r="A5887" s="689" t="s">
        <v>113</v>
      </c>
      <c r="B5887" s="689" t="s">
        <v>114</v>
      </c>
      <c r="C5887" s="689" t="s">
        <v>3089</v>
      </c>
      <c r="D5887" s="689" t="s">
        <v>4155</v>
      </c>
      <c r="E5887" s="689" t="s">
        <v>116</v>
      </c>
      <c r="F5887" s="1188" t="s">
        <v>121</v>
      </c>
      <c r="H5887" s="438" t="s">
        <v>5391</v>
      </c>
      <c r="I5887" s="438" t="s">
        <v>5392</v>
      </c>
    </row>
    <row r="5888" spans="1:14" hidden="1" outlineLevel="1" x14ac:dyDescent="0.25">
      <c r="A5888" s="732" t="s">
        <v>4348</v>
      </c>
      <c r="B5888" s="1092" t="s">
        <v>2153</v>
      </c>
      <c r="C5888" s="793">
        <v>3376.5615000000003</v>
      </c>
      <c r="D5888" s="3808">
        <v>2630.4</v>
      </c>
      <c r="E5888" s="861">
        <v>2213.4899999999998</v>
      </c>
      <c r="F5888" s="700">
        <v>-0.34445441020399015</v>
      </c>
      <c r="H5888" s="92">
        <f>IF(C5888="","",IF(E5888="",$D$5888/C5888-1,E5888/C5888-1))</f>
        <v>-0.34445441020399015</v>
      </c>
      <c r="I5888" s="439">
        <v>0.12</v>
      </c>
    </row>
    <row r="5889" spans="1:9" hidden="1" outlineLevel="1" x14ac:dyDescent="0.25">
      <c r="A5889" s="732" t="s">
        <v>1127</v>
      </c>
      <c r="B5889" s="1092" t="s">
        <v>2153</v>
      </c>
      <c r="C5889" s="1028">
        <v>3376.5615000000003</v>
      </c>
      <c r="D5889" s="3809"/>
      <c r="E5889" s="861">
        <v>2983.9259999999999</v>
      </c>
      <c r="F5889" s="1178">
        <v>-0.11628264434099611</v>
      </c>
      <c r="H5889" s="79">
        <f>IF(C5889="","",IF(E5889="",$D$5888/C5889-1,E5889/C5889-1))</f>
        <v>-0.11628264434099611</v>
      </c>
      <c r="I5889" s="440">
        <v>0.24</v>
      </c>
    </row>
    <row r="5890" spans="1:9" hidden="1" outlineLevel="1" x14ac:dyDescent="0.25">
      <c r="A5890" s="732" t="s">
        <v>1128</v>
      </c>
      <c r="B5890" s="1092" t="s">
        <v>2153</v>
      </c>
      <c r="C5890" s="1028">
        <v>3376.5615000000003</v>
      </c>
      <c r="D5890" s="3809"/>
      <c r="E5890" s="861">
        <v>2956.4160000000002</v>
      </c>
      <c r="F5890" s="1178">
        <v>-0.12442998594872334</v>
      </c>
      <c r="H5890" s="79">
        <f>IF(C5890="","",IF(E5890="",$D$5888/C5890-1,E5890/C5890-1))</f>
        <v>-0.12442998594872334</v>
      </c>
      <c r="I5890" s="440">
        <v>0.36</v>
      </c>
    </row>
    <row r="5891" spans="1:9" hidden="1" outlineLevel="1" x14ac:dyDescent="0.25">
      <c r="A5891" s="732" t="s">
        <v>1129</v>
      </c>
      <c r="B5891" s="1092" t="s">
        <v>2153</v>
      </c>
      <c r="C5891" s="1028">
        <v>3376.5615000000003</v>
      </c>
      <c r="D5891" s="3809"/>
      <c r="E5891" s="861">
        <v>2372.6039999999998</v>
      </c>
      <c r="F5891" s="1178">
        <v>-0.29733132359650505</v>
      </c>
      <c r="H5891" s="79">
        <f>IF(C5891="","",IF(E5891="",$D$5888/C5891-1,E5891/C5891-1))</f>
        <v>-0.29733132359650505</v>
      </c>
      <c r="I5891" s="440">
        <v>0.48</v>
      </c>
    </row>
    <row r="5892" spans="1:9" hidden="1" outlineLevel="1" x14ac:dyDescent="0.25">
      <c r="A5892" s="732" t="s">
        <v>5396</v>
      </c>
      <c r="B5892" s="1092" t="s">
        <v>2153</v>
      </c>
      <c r="C5892" s="1028">
        <v>3376.5615000000003</v>
      </c>
      <c r="D5892" s="3810"/>
      <c r="E5892" s="861">
        <v>2630.4029999999998</v>
      </c>
      <c r="F5892" s="1178">
        <v>-0.2989</v>
      </c>
      <c r="G5892" s="97" t="s">
        <v>781</v>
      </c>
      <c r="H5892" s="82">
        <f>IF(C5892="","",IF(E5892="",$D$5888/C5892-1,E5892/C5892-1))</f>
        <v>-0.22098175910612039</v>
      </c>
      <c r="I5892" s="441">
        <v>0.6</v>
      </c>
    </row>
    <row r="5893" spans="1:9" collapsed="1" x14ac:dyDescent="0.25">
      <c r="A5893" s="3801" t="s">
        <v>5395</v>
      </c>
      <c r="B5893" s="3802"/>
      <c r="C5893" s="3802"/>
      <c r="D5893" s="3802"/>
      <c r="E5893" s="729"/>
      <c r="F5893" s="752">
        <v>-0.29888358319550828</v>
      </c>
      <c r="G5893" s="37">
        <f>D5888/3751.735-1</f>
        <v>-0.29888438282554608</v>
      </c>
      <c r="H5893" s="37">
        <f>IF(H5892="",IF(H5891="",IF(H5890="",IF(H5889="",H5888,H5889),H5890),H5891),H5892)</f>
        <v>-0.22098175910612039</v>
      </c>
    </row>
    <row r="5895" spans="1:9" hidden="1" outlineLevel="1" x14ac:dyDescent="0.25">
      <c r="A5895" s="689" t="s">
        <v>113</v>
      </c>
      <c r="B5895" s="689" t="s">
        <v>114</v>
      </c>
      <c r="C5895" s="689" t="s">
        <v>112</v>
      </c>
      <c r="D5895" s="689" t="s">
        <v>116</v>
      </c>
      <c r="E5895" s="689" t="s">
        <v>117</v>
      </c>
      <c r="F5895" s="1188" t="s">
        <v>121</v>
      </c>
      <c r="G5895" s="78"/>
    </row>
    <row r="5896" spans="1:9" hidden="1" outlineLevel="1" x14ac:dyDescent="0.25">
      <c r="A5896" s="690">
        <v>15</v>
      </c>
      <c r="B5896" s="691" t="s">
        <v>252</v>
      </c>
      <c r="C5896" s="692">
        <v>100</v>
      </c>
      <c r="D5896" s="692"/>
      <c r="E5896" s="693"/>
      <c r="F5896" s="694"/>
      <c r="G5896" s="78"/>
    </row>
    <row r="5897" spans="1:9" hidden="1" outlineLevel="1" x14ac:dyDescent="0.25">
      <c r="A5897" s="695"/>
      <c r="B5897" s="695"/>
      <c r="C5897" s="696"/>
      <c r="D5897" s="697" t="s">
        <v>3702</v>
      </c>
      <c r="E5897" s="698">
        <v>42460</v>
      </c>
      <c r="F5897" s="699"/>
      <c r="G5897" s="78"/>
    </row>
    <row r="5898" spans="1:9" hidden="1" outlineLevel="1" x14ac:dyDescent="0.25">
      <c r="A5898" s="689" t="s">
        <v>4156</v>
      </c>
      <c r="B5898" s="689" t="s">
        <v>4153</v>
      </c>
      <c r="C5898" s="497" t="s">
        <v>112</v>
      </c>
      <c r="D5898" s="495" t="s">
        <v>4155</v>
      </c>
      <c r="E5898" s="689" t="s">
        <v>4154</v>
      </c>
      <c r="F5898" s="1021" t="s">
        <v>2519</v>
      </c>
      <c r="G5898" s="78"/>
    </row>
    <row r="5899" spans="1:9" hidden="1" outlineLevel="1" x14ac:dyDescent="0.25">
      <c r="A5899" s="999">
        <v>0.04</v>
      </c>
      <c r="B5899" s="1000" t="s">
        <v>359</v>
      </c>
      <c r="C5899" s="1007">
        <v>129.49700000000001</v>
      </c>
      <c r="D5899" s="803">
        <v>142.94999999999999</v>
      </c>
      <c r="E5899" s="705">
        <v>0.10388657652300815</v>
      </c>
      <c r="F5899" s="1021">
        <v>4.1554630609203259E-3</v>
      </c>
      <c r="G5899" s="78"/>
      <c r="H5899" t="s">
        <v>360</v>
      </c>
    </row>
    <row r="5900" spans="1:9" hidden="1" outlineLevel="1" x14ac:dyDescent="0.25">
      <c r="A5900" s="1002">
        <v>0.04</v>
      </c>
      <c r="B5900" s="996" t="s">
        <v>1993</v>
      </c>
      <c r="C5900" s="1008">
        <v>21.616</v>
      </c>
      <c r="D5900" s="908">
        <v>62.66</v>
      </c>
      <c r="E5900" s="709">
        <v>1.8987786824574386</v>
      </c>
      <c r="F5900" s="946">
        <v>7.595114729829755E-2</v>
      </c>
      <c r="G5900" s="78"/>
      <c r="H5900" t="s">
        <v>2812</v>
      </c>
    </row>
    <row r="5901" spans="1:9" hidden="1" outlineLevel="1" x14ac:dyDescent="0.25">
      <c r="A5901" s="1002">
        <v>0.02</v>
      </c>
      <c r="B5901" s="996" t="s">
        <v>2697</v>
      </c>
      <c r="C5901" s="1008">
        <v>29.024999999999999</v>
      </c>
      <c r="D5901" s="908">
        <v>13.03</v>
      </c>
      <c r="E5901" s="709">
        <v>-0.55107665805340222</v>
      </c>
      <c r="F5901" s="946">
        <v>-1.1021533161068044E-2</v>
      </c>
      <c r="G5901" s="78"/>
      <c r="H5901" t="s">
        <v>329</v>
      </c>
    </row>
    <row r="5902" spans="1:9" hidden="1" outlineLevel="1" x14ac:dyDescent="0.25">
      <c r="A5902" s="1002">
        <v>0.04</v>
      </c>
      <c r="B5902" s="996" t="s">
        <v>2984</v>
      </c>
      <c r="C5902" s="1008">
        <v>14.355</v>
      </c>
      <c r="D5902" s="908">
        <v>5.8419999999999996</v>
      </c>
      <c r="E5902" s="709">
        <v>-0.59303378613723445</v>
      </c>
      <c r="F5902" s="946">
        <v>-2.372135144548938E-2</v>
      </c>
      <c r="G5902" s="78"/>
      <c r="H5902" t="s">
        <v>2326</v>
      </c>
    </row>
    <row r="5903" spans="1:9" hidden="1" outlineLevel="1" x14ac:dyDescent="0.25">
      <c r="A5903" s="1002">
        <v>0.03</v>
      </c>
      <c r="B5903" s="996" t="s">
        <v>157</v>
      </c>
      <c r="C5903" s="1008">
        <v>13.189</v>
      </c>
      <c r="D5903" s="908">
        <v>3.8740000000000001</v>
      </c>
      <c r="E5903" s="709">
        <v>-0.70627037682917582</v>
      </c>
      <c r="F5903" s="946">
        <v>-2.1188111304875273E-2</v>
      </c>
      <c r="G5903" s="78"/>
      <c r="H5903" t="s">
        <v>730</v>
      </c>
    </row>
    <row r="5904" spans="1:9" hidden="1" outlineLevel="1" x14ac:dyDescent="0.25">
      <c r="A5904" s="1002">
        <v>0.05</v>
      </c>
      <c r="B5904" s="996" t="s">
        <v>1184</v>
      </c>
      <c r="C5904" s="1008">
        <v>45.097999999999999</v>
      </c>
      <c r="D5904" s="908">
        <v>66.3</v>
      </c>
      <c r="E5904" s="709">
        <v>0.47013171315801139</v>
      </c>
      <c r="F5904" s="946">
        <v>2.3506585657900571E-2</v>
      </c>
      <c r="G5904" s="78"/>
      <c r="H5904" t="s">
        <v>3497</v>
      </c>
    </row>
    <row r="5905" spans="1:8" hidden="1" outlineLevel="1" x14ac:dyDescent="0.25">
      <c r="A5905" s="1002">
        <v>0.03</v>
      </c>
      <c r="B5905" s="743" t="s">
        <v>901</v>
      </c>
      <c r="C5905" s="1008">
        <v>1924.3</v>
      </c>
      <c r="D5905" s="908">
        <v>4090</v>
      </c>
      <c r="E5905" s="709">
        <v>1.1254482149353011</v>
      </c>
      <c r="F5905" s="946">
        <v>3.376344644805903E-2</v>
      </c>
      <c r="G5905" s="78"/>
      <c r="H5905" t="s">
        <v>531</v>
      </c>
    </row>
    <row r="5906" spans="1:8" hidden="1" outlineLevel="1" x14ac:dyDescent="0.25">
      <c r="A5906" s="1002">
        <v>0.03</v>
      </c>
      <c r="B5906" s="743" t="s">
        <v>1847</v>
      </c>
      <c r="C5906" s="1008">
        <v>236.9</v>
      </c>
      <c r="D5906" s="908">
        <v>41.75</v>
      </c>
      <c r="E5906" s="709">
        <v>-0.82376530181511187</v>
      </c>
      <c r="F5906" s="946">
        <v>-2.4712959054453355E-2</v>
      </c>
      <c r="G5906" s="78"/>
      <c r="H5906" t="s">
        <v>2749</v>
      </c>
    </row>
    <row r="5907" spans="1:8" hidden="1" outlineLevel="1" x14ac:dyDescent="0.25">
      <c r="A5907" s="1002">
        <v>0.02</v>
      </c>
      <c r="B5907" s="996" t="s">
        <v>1212</v>
      </c>
      <c r="C5907" s="1008">
        <v>54.43</v>
      </c>
      <c r="D5907" s="908">
        <v>13.61</v>
      </c>
      <c r="E5907" s="709">
        <v>-0.74995406944699616</v>
      </c>
      <c r="F5907" s="946">
        <v>-1.4999081388939923E-2</v>
      </c>
      <c r="G5907" s="78"/>
      <c r="H5907" t="s">
        <v>4229</v>
      </c>
    </row>
    <row r="5908" spans="1:8" hidden="1" outlineLevel="1" x14ac:dyDescent="0.25">
      <c r="A5908" s="1002">
        <v>0.04</v>
      </c>
      <c r="B5908" s="996" t="s">
        <v>2699</v>
      </c>
      <c r="C5908" s="1008">
        <v>20.210999999999999</v>
      </c>
      <c r="D5908" s="908">
        <v>24.42</v>
      </c>
      <c r="E5908" s="709">
        <v>0.20825293157191638</v>
      </c>
      <c r="F5908" s="946">
        <v>8.3301172628766559E-3</v>
      </c>
      <c r="G5908" s="78"/>
      <c r="H5908" t="s">
        <v>505</v>
      </c>
    </row>
    <row r="5909" spans="1:8" hidden="1" outlineLevel="1" x14ac:dyDescent="0.25">
      <c r="A5909" s="1002">
        <v>0.02</v>
      </c>
      <c r="B5909" s="996" t="s">
        <v>3406</v>
      </c>
      <c r="C5909" s="1008">
        <v>1056.5</v>
      </c>
      <c r="D5909" s="908">
        <v>1881.5</v>
      </c>
      <c r="E5909" s="709">
        <v>0.78088026502602936</v>
      </c>
      <c r="F5909" s="946">
        <v>1.5617605300520587E-2</v>
      </c>
      <c r="G5909" s="78"/>
      <c r="H5909" t="s">
        <v>2105</v>
      </c>
    </row>
    <row r="5910" spans="1:8" hidden="1" outlineLevel="1" x14ac:dyDescent="0.25">
      <c r="A5910" s="1002">
        <v>0.06</v>
      </c>
      <c r="B5910" s="996" t="s">
        <v>3021</v>
      </c>
      <c r="C5910" s="1008">
        <v>23.186</v>
      </c>
      <c r="D5910" s="908">
        <v>13.3</v>
      </c>
      <c r="E5910" s="709">
        <v>-0.42637798671612182</v>
      </c>
      <c r="F5910" s="946">
        <v>-2.5582679202967307E-2</v>
      </c>
      <c r="G5910" s="78"/>
      <c r="H5910" t="s">
        <v>4124</v>
      </c>
    </row>
    <row r="5911" spans="1:8" hidden="1" outlineLevel="1" x14ac:dyDescent="0.25">
      <c r="A5911" s="1002">
        <v>0.03</v>
      </c>
      <c r="B5911" s="996" t="s">
        <v>4268</v>
      </c>
      <c r="C5911" s="1008">
        <v>25.373000000000001</v>
      </c>
      <c r="D5911" s="908">
        <v>13.31</v>
      </c>
      <c r="E5911" s="709">
        <v>-0.47542663461159496</v>
      </c>
      <c r="F5911" s="946">
        <v>-1.4262799038347849E-2</v>
      </c>
      <c r="G5911" s="78"/>
      <c r="H5911" t="s">
        <v>1801</v>
      </c>
    </row>
    <row r="5912" spans="1:8" hidden="1" outlineLevel="1" x14ac:dyDescent="0.25">
      <c r="A5912" s="1002">
        <v>0.04</v>
      </c>
      <c r="B5912" s="996" t="s">
        <v>1771</v>
      </c>
      <c r="C5912" s="1008">
        <v>851.3</v>
      </c>
      <c r="D5912" s="908">
        <v>433.9</v>
      </c>
      <c r="E5912" s="709">
        <v>-0.49030893926935271</v>
      </c>
      <c r="F5912" s="946">
        <v>-1.9612357570774109E-2</v>
      </c>
      <c r="G5912" s="78"/>
      <c r="H5912" t="s">
        <v>4329</v>
      </c>
    </row>
    <row r="5913" spans="1:8" hidden="1" outlineLevel="1" x14ac:dyDescent="0.25">
      <c r="A5913" s="1002">
        <v>0.06</v>
      </c>
      <c r="B5913" s="996" t="s">
        <v>2588</v>
      </c>
      <c r="C5913" s="1008">
        <v>24.902999999999999</v>
      </c>
      <c r="D5913" s="908">
        <v>10.63</v>
      </c>
      <c r="E5913" s="709">
        <v>-0.57314379793599157</v>
      </c>
      <c r="F5913" s="946">
        <v>-3.438862787615949E-2</v>
      </c>
      <c r="G5913" s="78"/>
      <c r="H5913" t="s">
        <v>4132</v>
      </c>
    </row>
    <row r="5914" spans="1:8" hidden="1" outlineLevel="1" x14ac:dyDescent="0.25">
      <c r="A5914" s="1002">
        <v>0.04</v>
      </c>
      <c r="B5914" s="743" t="s">
        <v>44</v>
      </c>
      <c r="C5914" s="1008">
        <v>4.74</v>
      </c>
      <c r="D5914" s="908">
        <v>2.4340000000000002</v>
      </c>
      <c r="E5914" s="709">
        <v>-0.48649789029535861</v>
      </c>
      <c r="F5914" s="946">
        <v>-1.9459915611814343E-2</v>
      </c>
      <c r="G5914" s="78"/>
      <c r="H5914" t="s">
        <v>204</v>
      </c>
    </row>
    <row r="5915" spans="1:8" hidden="1" outlineLevel="1" x14ac:dyDescent="0.25">
      <c r="A5915" s="1002">
        <v>0.02</v>
      </c>
      <c r="B5915" s="939" t="s">
        <v>4376</v>
      </c>
      <c r="C5915" s="1008">
        <v>44.055</v>
      </c>
      <c r="D5915" s="908">
        <v>59.22</v>
      </c>
      <c r="E5915" s="709">
        <v>0.34422880490296226</v>
      </c>
      <c r="F5915" s="946">
        <v>6.8845760980592455E-3</v>
      </c>
      <c r="G5915" s="78"/>
      <c r="H5915" t="s">
        <v>4326</v>
      </c>
    </row>
    <row r="5916" spans="1:8" hidden="1" outlineLevel="1" x14ac:dyDescent="0.25">
      <c r="A5916" s="1002">
        <v>0.03</v>
      </c>
      <c r="B5916" s="996" t="s">
        <v>1526</v>
      </c>
      <c r="C5916" s="1008">
        <v>85.528000000000006</v>
      </c>
      <c r="D5916" s="908">
        <v>45.335000000000001</v>
      </c>
      <c r="E5916" s="709">
        <v>-0.46993966888036665</v>
      </c>
      <c r="F5916" s="946">
        <v>-1.4098190066410998E-2</v>
      </c>
      <c r="G5916" s="78"/>
      <c r="H5916" t="s">
        <v>4146</v>
      </c>
    </row>
    <row r="5917" spans="1:8" hidden="1" outlineLevel="1" x14ac:dyDescent="0.25">
      <c r="A5917" s="1002">
        <v>0.04</v>
      </c>
      <c r="B5917" s="996" t="s">
        <v>2160</v>
      </c>
      <c r="C5917" s="1008">
        <v>31.207999999999998</v>
      </c>
      <c r="D5917" s="908">
        <v>88.19</v>
      </c>
      <c r="E5917" s="709">
        <v>1.825877980005127</v>
      </c>
      <c r="F5917" s="946">
        <v>7.3035119200205084E-2</v>
      </c>
      <c r="G5917" s="78"/>
      <c r="H5917" t="s">
        <v>5507</v>
      </c>
    </row>
    <row r="5918" spans="1:8" hidden="1" outlineLevel="1" x14ac:dyDescent="0.25">
      <c r="A5918" s="1002">
        <v>0.03</v>
      </c>
      <c r="B5918" s="996" t="s">
        <v>1905</v>
      </c>
      <c r="C5918" s="1008">
        <v>40.738</v>
      </c>
      <c r="D5918" s="908">
        <v>52.91</v>
      </c>
      <c r="E5918" s="709">
        <v>0.29878737296872693</v>
      </c>
      <c r="F5918" s="946">
        <v>8.9636211890618076E-3</v>
      </c>
      <c r="G5918" s="78"/>
      <c r="H5918" t="s">
        <v>504</v>
      </c>
    </row>
    <row r="5919" spans="1:8" hidden="1" outlineLevel="1" x14ac:dyDescent="0.25">
      <c r="A5919" s="1002">
        <v>0.04</v>
      </c>
      <c r="B5919" s="939" t="s">
        <v>2786</v>
      </c>
      <c r="C5919" s="1008">
        <v>722.65</v>
      </c>
      <c r="D5919" s="908">
        <v>987.2</v>
      </c>
      <c r="E5919" s="709">
        <v>0.36608316612468017</v>
      </c>
      <c r="F5919" s="946">
        <v>1.4643326644987208E-2</v>
      </c>
      <c r="G5919" s="78"/>
      <c r="H5919" t="s">
        <v>4195</v>
      </c>
    </row>
    <row r="5920" spans="1:8" hidden="1" outlineLevel="1" x14ac:dyDescent="0.25">
      <c r="A5920" s="1002">
        <v>0.03</v>
      </c>
      <c r="B5920" s="939" t="s">
        <v>3797</v>
      </c>
      <c r="C5920" s="1008">
        <v>50.96</v>
      </c>
      <c r="D5920" s="908">
        <v>71.849999999999994</v>
      </c>
      <c r="E5920" s="709">
        <v>0.4099293563579276</v>
      </c>
      <c r="F5920" s="946">
        <v>1.2297880690737827E-2</v>
      </c>
      <c r="G5920" s="78"/>
      <c r="H5920" t="s">
        <v>3848</v>
      </c>
    </row>
    <row r="5921" spans="1:15" hidden="1" outlineLevel="1" x14ac:dyDescent="0.25">
      <c r="A5921" s="1002">
        <v>0.03</v>
      </c>
      <c r="B5921" s="996" t="s">
        <v>1190</v>
      </c>
      <c r="C5921" s="1008">
        <v>20.405999999999999</v>
      </c>
      <c r="D5921" s="908">
        <v>5.2249999999999996</v>
      </c>
      <c r="E5921" s="709">
        <v>-0.74394785847299816</v>
      </c>
      <c r="F5921" s="946">
        <v>-2.2318435754189944E-2</v>
      </c>
      <c r="G5921" s="78"/>
      <c r="H5921" t="s">
        <v>7569</v>
      </c>
    </row>
    <row r="5922" spans="1:15" hidden="1" outlineLevel="1" x14ac:dyDescent="0.25">
      <c r="A5922" s="1002">
        <v>0.04</v>
      </c>
      <c r="B5922" s="743" t="s">
        <v>1414</v>
      </c>
      <c r="C5922" s="1008">
        <v>20.797999999999998</v>
      </c>
      <c r="D5922" s="908">
        <v>29.64</v>
      </c>
      <c r="E5922" s="709">
        <v>0.42513703240696232</v>
      </c>
      <c r="F5922" s="946">
        <v>1.7005481296278494E-2</v>
      </c>
      <c r="G5922" s="78"/>
      <c r="H5922" t="s">
        <v>2428</v>
      </c>
    </row>
    <row r="5923" spans="1:15" hidden="1" outlineLevel="1" x14ac:dyDescent="0.25">
      <c r="A5923" s="1002">
        <v>0.03</v>
      </c>
      <c r="B5923" s="996" t="s">
        <v>3801</v>
      </c>
      <c r="C5923" s="1008">
        <v>78.361000000000004</v>
      </c>
      <c r="D5923" s="908">
        <v>11.375</v>
      </c>
      <c r="E5923" s="709">
        <v>-0.8548385038475772</v>
      </c>
      <c r="F5923" s="946">
        <v>-2.5645155115427316E-2</v>
      </c>
      <c r="G5923" s="78"/>
      <c r="H5923" t="s">
        <v>2819</v>
      </c>
    </row>
    <row r="5924" spans="1:15" hidden="1" outlineLevel="1" x14ac:dyDescent="0.25">
      <c r="A5924" s="1002">
        <v>0.02</v>
      </c>
      <c r="B5924" s="996" t="s">
        <v>1214</v>
      </c>
      <c r="C5924" s="1008">
        <v>70.432000000000002</v>
      </c>
      <c r="D5924" s="908">
        <v>93.15</v>
      </c>
      <c r="E5924" s="709">
        <v>0.32255224897773749</v>
      </c>
      <c r="F5924" s="946">
        <v>6.4510449795547502E-3</v>
      </c>
      <c r="G5924" s="78"/>
      <c r="H5924" t="s">
        <v>3775</v>
      </c>
    </row>
    <row r="5925" spans="1:15" hidden="1" outlineLevel="1" x14ac:dyDescent="0.25">
      <c r="A5925" s="1002">
        <v>0.02</v>
      </c>
      <c r="B5925" s="743" t="s">
        <v>231</v>
      </c>
      <c r="C5925" s="1008">
        <v>53.716999999999999</v>
      </c>
      <c r="D5925" s="908">
        <v>36.08</v>
      </c>
      <c r="E5925" s="709">
        <v>-0.32833181302008674</v>
      </c>
      <c r="F5925" s="946">
        <v>-6.5666362604017347E-3</v>
      </c>
      <c r="G5925" s="78"/>
      <c r="H5925" t="s">
        <v>640</v>
      </c>
    </row>
    <row r="5926" spans="1:15" hidden="1" outlineLevel="1" x14ac:dyDescent="0.25">
      <c r="A5926" s="1002">
        <v>0.03</v>
      </c>
      <c r="B5926" s="996" t="s">
        <v>577</v>
      </c>
      <c r="C5926" s="1008">
        <v>18.869</v>
      </c>
      <c r="D5926" s="908">
        <v>9.8520000000000003</v>
      </c>
      <c r="E5926" s="709">
        <v>-0.47787376119561187</v>
      </c>
      <c r="F5926" s="946">
        <v>-1.4336212835868355E-2</v>
      </c>
      <c r="G5926" s="78"/>
      <c r="H5926" t="s">
        <v>2804</v>
      </c>
      <c r="O5926" s="39"/>
    </row>
    <row r="5927" spans="1:15" hidden="1" outlineLevel="1" x14ac:dyDescent="0.25">
      <c r="A5927" s="1002">
        <v>0.02</v>
      </c>
      <c r="B5927" s="996" t="s">
        <v>1183</v>
      </c>
      <c r="C5927" s="1008">
        <v>49.738999999999997</v>
      </c>
      <c r="D5927" s="908">
        <v>40.06</v>
      </c>
      <c r="E5927" s="709">
        <v>-0.1945957900239248</v>
      </c>
      <c r="F5927" s="946">
        <v>-3.8919158004784961E-3</v>
      </c>
      <c r="G5927" s="78"/>
      <c r="H5927" t="s">
        <v>2805</v>
      </c>
      <c r="O5927" s="39"/>
    </row>
    <row r="5928" spans="1:15" hidden="1" outlineLevel="1" x14ac:dyDescent="0.25">
      <c r="A5928" s="1004">
        <v>0.03</v>
      </c>
      <c r="B5928" s="824" t="s">
        <v>3169</v>
      </c>
      <c r="C5928" s="1009">
        <v>25.652000000000001</v>
      </c>
      <c r="D5928" s="715">
        <v>18.48</v>
      </c>
      <c r="E5928" s="716">
        <v>-0.27958833619210977</v>
      </c>
      <c r="F5928" s="1023">
        <v>-8.3876500857632923E-3</v>
      </c>
      <c r="G5928" s="78"/>
      <c r="H5928" t="s">
        <v>657</v>
      </c>
      <c r="O5928" s="39"/>
    </row>
    <row r="5929" spans="1:15" hidden="1" outlineLevel="1" x14ac:dyDescent="0.25">
      <c r="A5929" s="749"/>
      <c r="B5929" s="750"/>
      <c r="C5929" s="727"/>
      <c r="D5929" s="727"/>
      <c r="E5929" s="716"/>
      <c r="F5929" s="770">
        <v>-0.28849999999999998</v>
      </c>
      <c r="G5929" s="78"/>
      <c r="O5929" s="39"/>
    </row>
    <row r="5930" spans="1:15" hidden="1" outlineLevel="1" x14ac:dyDescent="0.25">
      <c r="A5930" s="749"/>
      <c r="B5930" s="750"/>
      <c r="C5930" s="727"/>
      <c r="D5930" s="727"/>
      <c r="E5930" s="716"/>
      <c r="F5930" s="770"/>
      <c r="G5930" s="78"/>
      <c r="O5930" s="39"/>
    </row>
    <row r="5931" spans="1:15" hidden="1" outlineLevel="1" x14ac:dyDescent="0.25">
      <c r="A5931" s="751" t="s">
        <v>3449</v>
      </c>
      <c r="B5931" s="944">
        <v>39600</v>
      </c>
      <c r="C5931" s="727">
        <v>100</v>
      </c>
      <c r="D5931" s="727">
        <v>89.560400000000001</v>
      </c>
      <c r="E5931" s="716">
        <v>-0.10439599999999993</v>
      </c>
      <c r="F5931" s="731">
        <v>-0.10439599999999993</v>
      </c>
      <c r="G5931" s="78"/>
      <c r="O5931" s="39"/>
    </row>
    <row r="5932" spans="1:15" hidden="1" outlineLevel="1" x14ac:dyDescent="0.25">
      <c r="A5932" s="751" t="s">
        <v>3450</v>
      </c>
      <c r="B5932" s="944">
        <v>39692</v>
      </c>
      <c r="C5932" s="727">
        <v>100</v>
      </c>
      <c r="D5932" s="727">
        <v>84.3386</v>
      </c>
      <c r="E5932" s="716">
        <v>-0.15661400000000003</v>
      </c>
      <c r="F5932" s="731">
        <v>-0.15661400000000003</v>
      </c>
      <c r="G5932" s="78"/>
    </row>
    <row r="5933" spans="1:15" hidden="1" outlineLevel="1" x14ac:dyDescent="0.25">
      <c r="A5933" s="751" t="s">
        <v>2148</v>
      </c>
      <c r="B5933" s="944">
        <v>39783</v>
      </c>
      <c r="C5933" s="727">
        <v>100</v>
      </c>
      <c r="D5933" s="727">
        <v>66.603300000000004</v>
      </c>
      <c r="E5933" s="716">
        <v>-0.3339669999999999</v>
      </c>
      <c r="F5933" s="731">
        <v>-0.3339669999999999</v>
      </c>
      <c r="G5933" s="78"/>
    </row>
    <row r="5934" spans="1:15" hidden="1" outlineLevel="1" x14ac:dyDescent="0.25">
      <c r="A5934" s="751" t="s">
        <v>2149</v>
      </c>
      <c r="B5934" s="944">
        <v>39873</v>
      </c>
      <c r="C5934" s="727">
        <v>100</v>
      </c>
      <c r="D5934" s="727">
        <v>54.395600000000002</v>
      </c>
      <c r="E5934" s="716">
        <v>-0.456044</v>
      </c>
      <c r="F5934" s="731">
        <v>-0.456044</v>
      </c>
      <c r="G5934" s="78"/>
    </row>
    <row r="5935" spans="1:15" hidden="1" outlineLevel="1" x14ac:dyDescent="0.25">
      <c r="A5935" s="751" t="s">
        <v>2150</v>
      </c>
      <c r="B5935" s="944">
        <v>39965</v>
      </c>
      <c r="C5935" s="727">
        <v>100</v>
      </c>
      <c r="D5935" s="727">
        <v>62.190600000000003</v>
      </c>
      <c r="E5935" s="716">
        <v>-0.37809399999999993</v>
      </c>
      <c r="F5935" s="731">
        <v>-0.37809399999999993</v>
      </c>
      <c r="G5935" s="78"/>
    </row>
    <row r="5936" spans="1:15" hidden="1" outlineLevel="1" x14ac:dyDescent="0.25">
      <c r="A5936" s="751" t="s">
        <v>2151</v>
      </c>
      <c r="B5936" s="944">
        <v>40057</v>
      </c>
      <c r="C5936" s="727">
        <v>100</v>
      </c>
      <c r="D5936" s="727">
        <v>74.961699999999993</v>
      </c>
      <c r="E5936" s="716">
        <v>-0.25038300000000002</v>
      </c>
      <c r="F5936" s="731">
        <v>-0.25038300000000002</v>
      </c>
      <c r="G5936" s="78"/>
    </row>
    <row r="5937" spans="1:17" hidden="1" outlineLevel="1" x14ac:dyDescent="0.25">
      <c r="A5937" s="751" t="s">
        <v>2152</v>
      </c>
      <c r="B5937" s="944">
        <v>40148</v>
      </c>
      <c r="C5937" s="727">
        <v>100</v>
      </c>
      <c r="D5937" s="727">
        <v>77.664199999999994</v>
      </c>
      <c r="E5937" s="716">
        <v>-0.22335800000000006</v>
      </c>
      <c r="F5937" s="731">
        <v>-0.22335800000000006</v>
      </c>
      <c r="G5937" s="78"/>
    </row>
    <row r="5938" spans="1:17" hidden="1" outlineLevel="1" x14ac:dyDescent="0.25">
      <c r="A5938" s="751" t="s">
        <v>3103</v>
      </c>
      <c r="B5938" s="944">
        <v>40238</v>
      </c>
      <c r="C5938" s="727">
        <v>100</v>
      </c>
      <c r="D5938" s="727">
        <v>77.879599999999996</v>
      </c>
      <c r="E5938" s="716">
        <v>-0.22120400000000007</v>
      </c>
      <c r="F5938" s="731">
        <v>-0.22120400000000007</v>
      </c>
      <c r="G5938" s="78"/>
    </row>
    <row r="5939" spans="1:17" hidden="1" outlineLevel="1" x14ac:dyDescent="0.25">
      <c r="A5939" s="751" t="s">
        <v>3104</v>
      </c>
      <c r="B5939" s="944">
        <v>40330</v>
      </c>
      <c r="C5939" s="727">
        <v>100</v>
      </c>
      <c r="D5939" s="727">
        <v>69.310599999999994</v>
      </c>
      <c r="E5939" s="716">
        <v>-0.30689400000000011</v>
      </c>
      <c r="F5939" s="731">
        <v>-0.30689400000000011</v>
      </c>
      <c r="G5939" s="78"/>
    </row>
    <row r="5940" spans="1:17" hidden="1" outlineLevel="1" x14ac:dyDescent="0.25">
      <c r="A5940" s="751" t="s">
        <v>3105</v>
      </c>
      <c r="B5940" s="944">
        <v>40422</v>
      </c>
      <c r="C5940" s="727">
        <v>100</v>
      </c>
      <c r="D5940" s="727">
        <v>75.038499999999999</v>
      </c>
      <c r="E5940" s="716">
        <v>-0.24961500000000003</v>
      </c>
      <c r="F5940" s="731">
        <v>-0.24961500000000003</v>
      </c>
      <c r="G5940" s="78"/>
    </row>
    <row r="5941" spans="1:17" hidden="1" outlineLevel="1" x14ac:dyDescent="0.25">
      <c r="A5941" s="751" t="s">
        <v>2433</v>
      </c>
      <c r="B5941" s="944">
        <v>40513</v>
      </c>
      <c r="C5941" s="727">
        <v>100</v>
      </c>
      <c r="D5941" s="727">
        <v>76.961699999999993</v>
      </c>
      <c r="E5941" s="716">
        <v>-0.23038300000000012</v>
      </c>
      <c r="F5941" s="731">
        <v>-0.23038300000000012</v>
      </c>
      <c r="G5941" s="78"/>
    </row>
    <row r="5942" spans="1:17" hidden="1" outlineLevel="1" x14ac:dyDescent="0.25">
      <c r="A5942" s="751" t="s">
        <v>16</v>
      </c>
      <c r="B5942" s="944">
        <v>40603</v>
      </c>
      <c r="C5942" s="727">
        <v>100</v>
      </c>
      <c r="D5942" s="727">
        <v>79.638900000000007</v>
      </c>
      <c r="E5942" s="716">
        <v>-0.20361099999999999</v>
      </c>
      <c r="F5942" s="731">
        <v>-0.20361099999999999</v>
      </c>
      <c r="G5942" s="78"/>
    </row>
    <row r="5943" spans="1:17" hidden="1" outlineLevel="1" x14ac:dyDescent="0.25">
      <c r="A5943" s="751" t="s">
        <v>17</v>
      </c>
      <c r="B5943" s="944">
        <v>40695</v>
      </c>
      <c r="C5943" s="727">
        <v>100</v>
      </c>
      <c r="D5943" s="727">
        <v>78.937200000000004</v>
      </c>
      <c r="E5943" s="716">
        <v>-0.21062799999999993</v>
      </c>
      <c r="F5943" s="731">
        <v>-0.21062799999999993</v>
      </c>
      <c r="G5943" s="78"/>
    </row>
    <row r="5944" spans="1:17" hidden="1" outlineLevel="1" x14ac:dyDescent="0.25">
      <c r="A5944" s="751" t="s">
        <v>18</v>
      </c>
      <c r="B5944" s="944">
        <v>40787</v>
      </c>
      <c r="C5944" s="727">
        <v>100</v>
      </c>
      <c r="D5944" s="727">
        <v>65.7209</v>
      </c>
      <c r="E5944" s="716">
        <v>-0.34279099999999996</v>
      </c>
      <c r="F5944" s="731">
        <v>-0.34279099999999996</v>
      </c>
      <c r="G5944" s="78"/>
      <c r="H5944" s="412" t="s">
        <v>1837</v>
      </c>
    </row>
    <row r="5945" spans="1:17" hidden="1" outlineLevel="1" x14ac:dyDescent="0.25">
      <c r="A5945" s="751" t="s">
        <v>4320</v>
      </c>
      <c r="B5945" s="944">
        <v>40878</v>
      </c>
      <c r="C5945" s="727">
        <v>100</v>
      </c>
      <c r="D5945" s="727">
        <v>71.149600000000007</v>
      </c>
      <c r="E5945" s="716">
        <v>-0.28850399999999998</v>
      </c>
      <c r="F5945" s="731">
        <v>-0.28850399999999998</v>
      </c>
      <c r="G5945" s="78"/>
      <c r="H5945" s="261">
        <v>-0.26376573333333336</v>
      </c>
    </row>
    <row r="5946" spans="1:17" hidden="1" outlineLevel="1" x14ac:dyDescent="0.25">
      <c r="A5946" s="749"/>
      <c r="B5946" s="750"/>
      <c r="C5946" s="727"/>
      <c r="D5946" s="727"/>
      <c r="E5946" s="720"/>
      <c r="F5946" s="731"/>
      <c r="G5946" s="78"/>
      <c r="N5946" s="39"/>
    </row>
    <row r="5947" spans="1:17" collapsed="1" x14ac:dyDescent="0.25">
      <c r="A5947" s="3801" t="s">
        <v>4208</v>
      </c>
      <c r="B5947" s="3802"/>
      <c r="C5947" s="3802"/>
      <c r="D5947" s="3802"/>
      <c r="E5947" s="721"/>
      <c r="F5947" s="722">
        <v>0</v>
      </c>
      <c r="G5947" s="97" t="s">
        <v>781</v>
      </c>
      <c r="N5947" s="39"/>
    </row>
    <row r="5948" spans="1:17" x14ac:dyDescent="0.25">
      <c r="K5948" s="21"/>
      <c r="M5948" s="39"/>
      <c r="N5948" s="39"/>
      <c r="P5948" s="39"/>
      <c r="Q5948" s="39"/>
    </row>
    <row r="5949" spans="1:17" s="39" customFormat="1" hidden="1" outlineLevel="1" x14ac:dyDescent="0.25">
      <c r="A5949" s="689" t="s">
        <v>113</v>
      </c>
      <c r="B5949" s="689" t="s">
        <v>114</v>
      </c>
      <c r="C5949" s="689" t="s">
        <v>112</v>
      </c>
      <c r="D5949" s="689" t="s">
        <v>116</v>
      </c>
      <c r="E5949" s="689" t="s">
        <v>117</v>
      </c>
      <c r="F5949" s="731" t="s">
        <v>121</v>
      </c>
      <c r="G5949" s="12"/>
      <c r="H5949" s="173" t="s">
        <v>1515</v>
      </c>
      <c r="I5949" s="173" t="s">
        <v>1516</v>
      </c>
      <c r="K5949" s="300"/>
      <c r="L5949"/>
      <c r="O5949"/>
    </row>
    <row r="5950" spans="1:17" s="39" customFormat="1" hidden="1" outlineLevel="1" x14ac:dyDescent="0.25">
      <c r="A5950" s="732" t="s">
        <v>4321</v>
      </c>
      <c r="B5950" s="1179" t="s">
        <v>992</v>
      </c>
      <c r="C5950" s="1180">
        <v>0.27710000000000001</v>
      </c>
      <c r="D5950" s="1106">
        <v>0.23400570973931767</v>
      </c>
      <c r="E5950" s="3813">
        <v>-8.5199999999999998E-2</v>
      </c>
      <c r="F5950" s="3816">
        <v>-0.25559999999999999</v>
      </c>
      <c r="G5950" s="12"/>
      <c r="H5950" s="44">
        <v>3.6088054853843374</v>
      </c>
      <c r="I5950" s="44">
        <v>4.2733999999999996</v>
      </c>
      <c r="K5950" s="300"/>
      <c r="O5950"/>
    </row>
    <row r="5951" spans="1:17" s="39" customFormat="1" hidden="1" outlineLevel="1" x14ac:dyDescent="0.25">
      <c r="A5951" s="732" t="s">
        <v>4321</v>
      </c>
      <c r="B5951" s="1179" t="s">
        <v>1990</v>
      </c>
      <c r="C5951" s="1181">
        <v>0.29089999999999999</v>
      </c>
      <c r="D5951" s="1106">
        <v>0.25270393207318309</v>
      </c>
      <c r="E5951" s="3814"/>
      <c r="F5951" s="3817"/>
      <c r="G5951" s="12"/>
      <c r="H5951" s="44">
        <v>3.4376074252320388</v>
      </c>
      <c r="I5951" s="44">
        <v>3.9571999999999994</v>
      </c>
      <c r="K5951" s="300"/>
      <c r="O5951"/>
    </row>
    <row r="5952" spans="1:17" s="39" customFormat="1" hidden="1" outlineLevel="1" x14ac:dyDescent="0.25">
      <c r="A5952" s="732" t="s">
        <v>4321</v>
      </c>
      <c r="B5952" s="1179" t="s">
        <v>1991</v>
      </c>
      <c r="C5952" s="1181">
        <v>0.04</v>
      </c>
      <c r="D5952" s="1106">
        <v>4.0834660459798278E-2</v>
      </c>
      <c r="E5952" s="3814"/>
      <c r="F5952" s="3817"/>
      <c r="G5952" s="12"/>
      <c r="H5952" s="44">
        <v>25</v>
      </c>
      <c r="I5952" s="44">
        <v>24.489000000000001</v>
      </c>
      <c r="K5952" s="300"/>
      <c r="N5952"/>
      <c r="O5952"/>
    </row>
    <row r="5953" spans="1:17" s="39" customFormat="1" hidden="1" outlineLevel="1" x14ac:dyDescent="0.25">
      <c r="A5953" s="732" t="s">
        <v>4321</v>
      </c>
      <c r="B5953" s="1179" t="s">
        <v>2313</v>
      </c>
      <c r="C5953" s="1181">
        <v>3.8999999999999998E-3</v>
      </c>
      <c r="D5953" s="1106">
        <v>3.6546368204659662E-3</v>
      </c>
      <c r="E5953" s="3823"/>
      <c r="F5953" s="3818"/>
      <c r="G5953" s="12"/>
      <c r="H5953" s="44">
        <v>256.41025641025641</v>
      </c>
      <c r="I5953" s="44">
        <v>273.625</v>
      </c>
      <c r="K5953" s="12"/>
      <c r="N5953"/>
      <c r="O5953"/>
    </row>
    <row r="5954" spans="1:17" s="39" customFormat="1" collapsed="1" x14ac:dyDescent="0.25">
      <c r="A5954" s="3801" t="s">
        <v>2657</v>
      </c>
      <c r="B5954" s="3802"/>
      <c r="C5954" s="3802"/>
      <c r="D5954" s="3802"/>
      <c r="E5954" s="729"/>
      <c r="F5954" s="752">
        <v>0</v>
      </c>
      <c r="G5954" s="97" t="s">
        <v>781</v>
      </c>
      <c r="K5954" s="12"/>
      <c r="M5954"/>
      <c r="N5954"/>
      <c r="O5954"/>
      <c r="P5954"/>
      <c r="Q5954"/>
    </row>
    <row r="5955" spans="1:17" x14ac:dyDescent="0.25">
      <c r="K5955" s="12"/>
      <c r="L5955" s="39"/>
    </row>
    <row r="5956" spans="1:17" hidden="1" outlineLevel="1" x14ac:dyDescent="0.25">
      <c r="A5956" s="689" t="s">
        <v>113</v>
      </c>
      <c r="B5956" s="1043" t="s">
        <v>114</v>
      </c>
      <c r="C5956" s="689" t="s">
        <v>112</v>
      </c>
      <c r="D5956" s="689" t="s">
        <v>116</v>
      </c>
      <c r="E5956" s="725" t="s">
        <v>117</v>
      </c>
      <c r="F5956" s="1188" t="s">
        <v>121</v>
      </c>
      <c r="G5956" s="78"/>
      <c r="K5956" s="21"/>
    </row>
    <row r="5957" spans="1:17" hidden="1" outlineLevel="1" x14ac:dyDescent="0.25">
      <c r="A5957" s="1092">
        <v>1</v>
      </c>
      <c r="B5957" s="691" t="s">
        <v>252</v>
      </c>
      <c r="C5957" s="692">
        <v>100</v>
      </c>
      <c r="D5957" s="692"/>
      <c r="E5957" s="1182"/>
      <c r="F5957" s="1874"/>
      <c r="G5957" s="78"/>
      <c r="J5957" t="s">
        <v>631</v>
      </c>
      <c r="K5957" s="31"/>
    </row>
    <row r="5958" spans="1:17" hidden="1" outlineLevel="1" x14ac:dyDescent="0.25">
      <c r="A5958" s="1184"/>
      <c r="B5958" s="1185"/>
      <c r="C5958" s="1185"/>
      <c r="D5958" s="1186" t="s">
        <v>3702</v>
      </c>
      <c r="E5958" s="1185">
        <v>41362</v>
      </c>
      <c r="F5958" s="1875"/>
      <c r="G5958" s="78"/>
      <c r="J5958" s="256">
        <v>40817</v>
      </c>
      <c r="K5958" s="252">
        <v>60.392000000000003</v>
      </c>
      <c r="L5958" s="37">
        <v>-0.39607999999999999</v>
      </c>
    </row>
    <row r="5959" spans="1:17" hidden="1" outlineLevel="1" x14ac:dyDescent="0.25">
      <c r="A5959" s="1184" t="s">
        <v>4156</v>
      </c>
      <c r="B5959" s="1019" t="s">
        <v>4153</v>
      </c>
      <c r="C5959" s="1184" t="s">
        <v>112</v>
      </c>
      <c r="D5959" s="1171" t="s">
        <v>4155</v>
      </c>
      <c r="E5959" s="689" t="s">
        <v>4154</v>
      </c>
      <c r="F5959" s="1860" t="s">
        <v>2519</v>
      </c>
      <c r="G5959" s="78"/>
      <c r="J5959" s="256">
        <v>40848</v>
      </c>
      <c r="K5959" s="252">
        <v>59.740200000000002</v>
      </c>
      <c r="L5959" s="37">
        <v>-0.40259800000000001</v>
      </c>
    </row>
    <row r="5960" spans="1:17" hidden="1" outlineLevel="1" x14ac:dyDescent="0.25">
      <c r="A5960" s="1188">
        <v>0.05</v>
      </c>
      <c r="B5960" s="1022" t="s">
        <v>2467</v>
      </c>
      <c r="C5960" s="1189">
        <v>45.99</v>
      </c>
      <c r="D5960" s="1022">
        <v>21.16</v>
      </c>
      <c r="E5960" s="1189">
        <v>-0.53989997825614267</v>
      </c>
      <c r="F5960" s="1876">
        <v>-2.6994998912807135E-2</v>
      </c>
      <c r="G5960" s="78"/>
      <c r="H5960" t="s">
        <v>2468</v>
      </c>
      <c r="J5960" s="256">
        <v>40878</v>
      </c>
      <c r="K5960" s="252">
        <v>60.067</v>
      </c>
      <c r="L5960" s="37">
        <v>-0.39932999999999996</v>
      </c>
    </row>
    <row r="5961" spans="1:17" hidden="1" outlineLevel="1" x14ac:dyDescent="0.25">
      <c r="A5961" s="1188">
        <v>0.05</v>
      </c>
      <c r="B5961" s="1022" t="s">
        <v>581</v>
      </c>
      <c r="C5961" s="1189">
        <v>91.617999999999995</v>
      </c>
      <c r="D5961" s="1022">
        <v>118.82</v>
      </c>
      <c r="E5961" s="1189">
        <v>0.29690672138662699</v>
      </c>
      <c r="F5961" s="1876">
        <v>1.484533606933135E-2</v>
      </c>
      <c r="G5961" s="78"/>
      <c r="H5961" t="s">
        <v>589</v>
      </c>
      <c r="J5961" s="256">
        <v>40909</v>
      </c>
      <c r="K5961" s="252">
        <v>59.441499999999998</v>
      </c>
      <c r="L5961" s="37">
        <v>-0.40558499999999997</v>
      </c>
    </row>
    <row r="5962" spans="1:17" hidden="1" outlineLevel="1" x14ac:dyDescent="0.25">
      <c r="A5962" s="1188">
        <v>0.05</v>
      </c>
      <c r="B5962" s="1022" t="s">
        <v>4387</v>
      </c>
      <c r="C5962" s="1189">
        <v>41.116333333333337</v>
      </c>
      <c r="D5962" s="1022">
        <v>13.62</v>
      </c>
      <c r="E5962" s="1189">
        <v>-0.66874478106835089</v>
      </c>
      <c r="F5962" s="1876">
        <v>-3.3437239053417549E-2</v>
      </c>
      <c r="G5962" s="78"/>
      <c r="H5962" t="s">
        <v>3744</v>
      </c>
      <c r="J5962" s="256">
        <v>40940</v>
      </c>
      <c r="K5962" s="252">
        <v>61.6449</v>
      </c>
      <c r="L5962" s="37">
        <v>-0.38355099999999998</v>
      </c>
    </row>
    <row r="5963" spans="1:17" hidden="1" outlineLevel="1" x14ac:dyDescent="0.25">
      <c r="A5963" s="1188">
        <v>0.05</v>
      </c>
      <c r="B5963" s="1022" t="s">
        <v>496</v>
      </c>
      <c r="C5963" s="1189">
        <v>61.328000000000003</v>
      </c>
      <c r="D5963" s="1022">
        <v>14.96</v>
      </c>
      <c r="E5963" s="1189">
        <v>-0.75606574484737799</v>
      </c>
      <c r="F5963" s="1876">
        <v>-3.7803287242368901E-2</v>
      </c>
      <c r="G5963" s="78"/>
      <c r="H5963" t="s">
        <v>497</v>
      </c>
      <c r="J5963" s="256">
        <v>40969</v>
      </c>
      <c r="K5963" s="252">
        <v>61.511899999999997</v>
      </c>
      <c r="L5963" s="37">
        <v>-0.38488100000000003</v>
      </c>
    </row>
    <row r="5964" spans="1:17" hidden="1" outlineLevel="1" x14ac:dyDescent="0.25">
      <c r="A5964" s="1188">
        <v>0.05</v>
      </c>
      <c r="B5964" s="1022" t="s">
        <v>2701</v>
      </c>
      <c r="C5964" s="1189">
        <v>4.0925000000000002</v>
      </c>
      <c r="D5964" s="1022">
        <v>2.4020000000000001</v>
      </c>
      <c r="E5964" s="1189">
        <v>-0.41307269395235191</v>
      </c>
      <c r="F5964" s="1876">
        <v>-2.0653634697617596E-2</v>
      </c>
      <c r="G5964" s="78"/>
      <c r="H5964" t="s">
        <v>2700</v>
      </c>
      <c r="J5964" s="256">
        <v>41000</v>
      </c>
      <c r="K5964" s="252">
        <v>57.9953</v>
      </c>
      <c r="L5964" s="37">
        <v>-0.42004699999999995</v>
      </c>
    </row>
    <row r="5965" spans="1:17" hidden="1" outlineLevel="1" x14ac:dyDescent="0.25">
      <c r="A5965" s="1188">
        <v>0.1</v>
      </c>
      <c r="B5965" s="1022" t="s">
        <v>3021</v>
      </c>
      <c r="C5965" s="1189">
        <v>23.552</v>
      </c>
      <c r="D5965" s="1022">
        <v>17.53</v>
      </c>
      <c r="E5965" s="1189">
        <v>-0.25568953804347816</v>
      </c>
      <c r="F5965" s="1876">
        <v>-2.5568953804347816E-2</v>
      </c>
      <c r="G5965" s="78"/>
      <c r="H5965" t="s">
        <v>4124</v>
      </c>
      <c r="J5965" s="256">
        <v>41030</v>
      </c>
      <c r="K5965" s="252">
        <v>53.206299999999999</v>
      </c>
      <c r="L5965" s="37">
        <v>-0.46793700000000005</v>
      </c>
    </row>
    <row r="5966" spans="1:17" hidden="1" outlineLevel="1" x14ac:dyDescent="0.25">
      <c r="A5966" s="1188">
        <v>0.05</v>
      </c>
      <c r="B5966" s="1022" t="s">
        <v>3425</v>
      </c>
      <c r="C5966" s="1189">
        <v>92.180999999999997</v>
      </c>
      <c r="D5966" s="1022">
        <v>90.11</v>
      </c>
      <c r="E5966" s="1189">
        <v>-2.2466668836311099E-2</v>
      </c>
      <c r="F5966" s="1876">
        <v>-1.1233334418155551E-3</v>
      </c>
      <c r="G5966" s="78"/>
      <c r="H5966" t="s">
        <v>4126</v>
      </c>
      <c r="J5966" s="256">
        <v>41061</v>
      </c>
      <c r="K5966" s="252">
        <v>56.958500000000001</v>
      </c>
      <c r="L5966" s="37">
        <v>-0.43041499999999999</v>
      </c>
    </row>
    <row r="5967" spans="1:17" hidden="1" outlineLevel="1" x14ac:dyDescent="0.25">
      <c r="A5967" s="1188">
        <v>0.05</v>
      </c>
      <c r="B5967" s="1022" t="s">
        <v>4268</v>
      </c>
      <c r="C5967" s="1189">
        <v>25.917999999999999</v>
      </c>
      <c r="D5967" s="1022">
        <v>15.72</v>
      </c>
      <c r="E5967" s="1189">
        <v>-0.39347171849679752</v>
      </c>
      <c r="F5967" s="1876">
        <v>-1.9673585924839879E-2</v>
      </c>
      <c r="G5967" s="78"/>
      <c r="H5967" t="s">
        <v>1801</v>
      </c>
      <c r="J5967" s="256">
        <v>41091</v>
      </c>
      <c r="K5967" s="252">
        <v>55.900100000000002</v>
      </c>
      <c r="L5967" s="37">
        <v>-0.44099900000000003</v>
      </c>
    </row>
    <row r="5968" spans="1:17" hidden="1" outlineLevel="1" x14ac:dyDescent="0.25">
      <c r="A5968" s="1188">
        <v>0.05</v>
      </c>
      <c r="B5968" s="1022" t="s">
        <v>3092</v>
      </c>
      <c r="C5968" s="1189">
        <v>66.137</v>
      </c>
      <c r="D5968" s="1022">
        <v>77.680000000000007</v>
      </c>
      <c r="E5968" s="1189">
        <v>0.17453165399095827</v>
      </c>
      <c r="F5968" s="1876">
        <v>8.7265826995479145E-3</v>
      </c>
      <c r="G5968" s="78"/>
      <c r="H5968" t="s">
        <v>3091</v>
      </c>
      <c r="J5968" s="256">
        <v>41122</v>
      </c>
      <c r="K5968" s="252">
        <v>57.648099999999999</v>
      </c>
      <c r="L5968" s="37">
        <v>-0.42351899999999998</v>
      </c>
    </row>
    <row r="5969" spans="1:12" hidden="1" outlineLevel="1" x14ac:dyDescent="0.25">
      <c r="A5969" s="1188">
        <v>0.05</v>
      </c>
      <c r="B5969" s="1022" t="s">
        <v>1031</v>
      </c>
      <c r="C5969" s="1189">
        <v>9.5109999999999992</v>
      </c>
      <c r="D5969" s="1022">
        <v>3.633</v>
      </c>
      <c r="E5969" s="1189">
        <v>-0.61802123856587099</v>
      </c>
      <c r="F5969" s="1876">
        <v>-3.090106192829355E-2</v>
      </c>
      <c r="G5969" s="78"/>
      <c r="H5969" t="s">
        <v>4158</v>
      </c>
      <c r="J5969" s="256">
        <v>41153</v>
      </c>
      <c r="K5969" s="252">
        <v>57.8645</v>
      </c>
      <c r="L5969" s="37">
        <v>-0.42135500000000004</v>
      </c>
    </row>
    <row r="5970" spans="1:12" hidden="1" outlineLevel="1" x14ac:dyDescent="0.25">
      <c r="A5970" s="1188">
        <v>0.05</v>
      </c>
      <c r="B5970" s="1022" t="s">
        <v>4270</v>
      </c>
      <c r="C5970" s="1189">
        <v>2553.5</v>
      </c>
      <c r="D5970" s="1022">
        <v>928</v>
      </c>
      <c r="E5970" s="1189">
        <v>-0.6365772469159976</v>
      </c>
      <c r="F5970" s="1876">
        <v>-3.1828862345799881E-2</v>
      </c>
      <c r="G5970" s="78"/>
      <c r="H5970" t="s">
        <v>1803</v>
      </c>
      <c r="J5970" s="256">
        <v>41183</v>
      </c>
      <c r="K5970" s="424">
        <v>57.664099999999998</v>
      </c>
      <c r="L5970" s="37">
        <v>-0.42335900000000004</v>
      </c>
    </row>
    <row r="5971" spans="1:12" hidden="1" outlineLevel="1" x14ac:dyDescent="0.25">
      <c r="A5971" s="1188">
        <v>0.1</v>
      </c>
      <c r="B5971" s="1022" t="s">
        <v>3801</v>
      </c>
      <c r="C5971" s="1189">
        <v>76.271000000000001</v>
      </c>
      <c r="D5971" s="1022">
        <v>29.074999999999999</v>
      </c>
      <c r="E5971" s="1189">
        <v>-0.61879351260636417</v>
      </c>
      <c r="F5971" s="1876">
        <v>-6.1879351260636421E-2</v>
      </c>
      <c r="G5971" s="78"/>
      <c r="H5971" t="s">
        <v>2819</v>
      </c>
      <c r="J5971" s="256">
        <v>41214</v>
      </c>
      <c r="K5971" s="424">
        <v>55.921799999999998</v>
      </c>
      <c r="L5971" s="37">
        <v>-0.44078200000000001</v>
      </c>
    </row>
    <row r="5972" spans="1:12" hidden="1" outlineLevel="1" x14ac:dyDescent="0.25">
      <c r="A5972" s="1188">
        <v>0.05</v>
      </c>
      <c r="B5972" s="1022" t="s">
        <v>2470</v>
      </c>
      <c r="C5972" s="1189">
        <v>22.611999999999998</v>
      </c>
      <c r="D5972" s="1022">
        <v>12.91</v>
      </c>
      <c r="E5972" s="1189">
        <v>-0.429064213691845</v>
      </c>
      <c r="F5972" s="1876">
        <v>-2.1453210684592251E-2</v>
      </c>
      <c r="G5972" s="78"/>
      <c r="H5972" t="s">
        <v>2471</v>
      </c>
      <c r="J5972" s="256">
        <v>41244</v>
      </c>
      <c r="K5972" s="424">
        <v>57.466000000000001</v>
      </c>
      <c r="L5972" s="37">
        <v>-0.42533999999999994</v>
      </c>
    </row>
    <row r="5973" spans="1:12" hidden="1" outlineLevel="1" x14ac:dyDescent="0.25">
      <c r="A5973" s="1188">
        <v>0.1</v>
      </c>
      <c r="B5973" s="1022" t="s">
        <v>4338</v>
      </c>
      <c r="C5973" s="1189">
        <v>40.666214664251001</v>
      </c>
      <c r="D5973" s="1022">
        <v>15.02</v>
      </c>
      <c r="E5973" s="1189">
        <v>-0.63065163246669642</v>
      </c>
      <c r="F5973" s="1876">
        <v>-6.306516324666965E-2</v>
      </c>
      <c r="G5973" s="78"/>
      <c r="H5973" t="s">
        <v>7229</v>
      </c>
      <c r="J5973" s="256">
        <v>41275</v>
      </c>
      <c r="K5973" s="424">
        <v>57.671599999999998</v>
      </c>
      <c r="L5973" s="37">
        <v>-0.42328399999999999</v>
      </c>
    </row>
    <row r="5974" spans="1:12" hidden="1" outlineLevel="1" x14ac:dyDescent="0.25">
      <c r="A5974" s="1188">
        <v>0.1</v>
      </c>
      <c r="B5974" s="1022" t="s">
        <v>1183</v>
      </c>
      <c r="C5974" s="1189">
        <v>50.5505</v>
      </c>
      <c r="D5974" s="1022">
        <v>37.354999999999997</v>
      </c>
      <c r="E5974" s="1189">
        <v>-0.26103599370926112</v>
      </c>
      <c r="F5974" s="1876">
        <v>-2.6103599370926114E-2</v>
      </c>
      <c r="G5974" s="78"/>
      <c r="H5974" t="s">
        <v>2805</v>
      </c>
      <c r="J5974" s="256">
        <v>41306</v>
      </c>
      <c r="K5974" s="424">
        <v>56.710299999999997</v>
      </c>
      <c r="L5974" s="37">
        <v>-0.43289700000000009</v>
      </c>
    </row>
    <row r="5975" spans="1:12" hidden="1" outlineLevel="1" x14ac:dyDescent="0.25">
      <c r="A5975" s="1021">
        <v>0.05</v>
      </c>
      <c r="B5975" s="1022" t="s">
        <v>4228</v>
      </c>
      <c r="C5975" s="1187">
        <v>44.018999999999998</v>
      </c>
      <c r="D5975" s="1022">
        <v>9.8379999999999992</v>
      </c>
      <c r="E5975" s="1187">
        <v>-0.77650559985460821</v>
      </c>
      <c r="F5975" s="1876">
        <v>-3.8825279992730416E-2</v>
      </c>
      <c r="G5975" s="78"/>
      <c r="H5975" t="s">
        <v>3994</v>
      </c>
      <c r="J5975" s="256">
        <v>41334</v>
      </c>
      <c r="K5975" s="424">
        <v>58.469900000000003</v>
      </c>
      <c r="L5975" s="37">
        <v>-0.41530099999999992</v>
      </c>
    </row>
    <row r="5976" spans="1:12" hidden="1" outlineLevel="1" x14ac:dyDescent="0.25">
      <c r="A5976" s="1170"/>
      <c r="B5976" s="1171"/>
      <c r="C5976" s="1171"/>
      <c r="D5976" s="1171"/>
      <c r="E5976" s="1171"/>
      <c r="F5976" s="1860">
        <v>-0.41573964313798351</v>
      </c>
      <c r="G5976" s="78"/>
      <c r="J5976" s="264" t="s">
        <v>2465</v>
      </c>
      <c r="K5976" s="31"/>
      <c r="L5976" s="261">
        <v>-0.41873666666666665</v>
      </c>
    </row>
    <row r="5977" spans="1:12" collapsed="1" x14ac:dyDescent="0.25">
      <c r="A5977" s="3884" t="s">
        <v>77</v>
      </c>
      <c r="B5977" s="3885"/>
      <c r="C5977" s="3885"/>
      <c r="D5977" s="3885"/>
      <c r="E5977" s="1171"/>
      <c r="F5977" s="731">
        <v>0</v>
      </c>
      <c r="G5977" s="97" t="s">
        <v>781</v>
      </c>
      <c r="K5977" s="21"/>
    </row>
    <row r="5978" spans="1:12" x14ac:dyDescent="0.25">
      <c r="E5978" s="457"/>
    </row>
    <row r="5979" spans="1:12" hidden="1" outlineLevel="1" x14ac:dyDescent="0.25">
      <c r="A5979" s="689" t="s">
        <v>113</v>
      </c>
      <c r="B5979" s="689" t="s">
        <v>114</v>
      </c>
      <c r="C5979" s="689" t="s">
        <v>112</v>
      </c>
      <c r="D5979" s="689" t="s">
        <v>116</v>
      </c>
      <c r="E5979" s="689" t="s">
        <v>117</v>
      </c>
      <c r="F5979" s="1188" t="s">
        <v>121</v>
      </c>
      <c r="G5979" s="78"/>
    </row>
    <row r="5980" spans="1:12" hidden="1" outlineLevel="1" x14ac:dyDescent="0.25">
      <c r="A5980" s="690">
        <v>16</v>
      </c>
      <c r="B5980" s="691" t="s">
        <v>252</v>
      </c>
      <c r="C5980" s="692">
        <v>100</v>
      </c>
      <c r="D5980" s="692"/>
      <c r="E5980" s="693"/>
      <c r="F5980" s="694"/>
      <c r="G5980" s="78"/>
    </row>
    <row r="5981" spans="1:12" hidden="1" outlineLevel="1" x14ac:dyDescent="0.25">
      <c r="A5981" s="695"/>
      <c r="B5981" s="695"/>
      <c r="C5981" s="696"/>
      <c r="D5981" s="697" t="s">
        <v>3702</v>
      </c>
      <c r="E5981" s="698">
        <v>40998</v>
      </c>
      <c r="F5981" s="699"/>
      <c r="G5981" s="78"/>
    </row>
    <row r="5982" spans="1:12" hidden="1" outlineLevel="1" x14ac:dyDescent="0.25">
      <c r="A5982" s="689" t="s">
        <v>4156</v>
      </c>
      <c r="B5982" s="689" t="s">
        <v>4153</v>
      </c>
      <c r="C5982" s="497" t="s">
        <v>112</v>
      </c>
      <c r="D5982" s="495" t="s">
        <v>4155</v>
      </c>
      <c r="E5982" s="689" t="s">
        <v>4154</v>
      </c>
      <c r="F5982" s="1021" t="s">
        <v>2519</v>
      </c>
      <c r="G5982" s="78"/>
    </row>
    <row r="5983" spans="1:12" hidden="1" outlineLevel="1" x14ac:dyDescent="0.25">
      <c r="A5983" s="999">
        <v>0.04</v>
      </c>
      <c r="B5983" s="1000" t="s">
        <v>359</v>
      </c>
      <c r="C5983" s="1001">
        <v>129.49700000000001</v>
      </c>
      <c r="D5983" s="803">
        <v>89.47</v>
      </c>
      <c r="E5983" s="705">
        <v>-0.3090959636130568</v>
      </c>
      <c r="F5983" s="1021">
        <v>-1.2363838544522273E-2</v>
      </c>
      <c r="G5983" s="78"/>
      <c r="H5983" t="s">
        <v>360</v>
      </c>
    </row>
    <row r="5984" spans="1:12" hidden="1" outlineLevel="1" x14ac:dyDescent="0.25">
      <c r="A5984" s="1002">
        <v>0.04</v>
      </c>
      <c r="B5984" s="939" t="s">
        <v>1993</v>
      </c>
      <c r="C5984" s="1003">
        <v>21.616</v>
      </c>
      <c r="D5984" s="908">
        <v>30.87</v>
      </c>
      <c r="E5984" s="709">
        <v>0.42810880829015541</v>
      </c>
      <c r="F5984" s="946">
        <v>1.7124352331606217E-2</v>
      </c>
      <c r="G5984" s="78"/>
      <c r="H5984" t="s">
        <v>2812</v>
      </c>
    </row>
    <row r="5985" spans="1:8" hidden="1" outlineLevel="1" x14ac:dyDescent="0.25">
      <c r="A5985" s="1002">
        <v>0.04</v>
      </c>
      <c r="B5985" s="996" t="s">
        <v>2984</v>
      </c>
      <c r="C5985" s="1003">
        <v>14.355</v>
      </c>
      <c r="D5985" s="908">
        <v>5.9669999999999996</v>
      </c>
      <c r="E5985" s="709">
        <v>-0.58432601880877755</v>
      </c>
      <c r="F5985" s="946">
        <v>-2.3373040752351103E-2</v>
      </c>
      <c r="G5985" s="78"/>
      <c r="H5985" t="s">
        <v>2326</v>
      </c>
    </row>
    <row r="5986" spans="1:8" hidden="1" outlineLevel="1" x14ac:dyDescent="0.25">
      <c r="A5986" s="1002">
        <v>0.03</v>
      </c>
      <c r="B5986" s="996" t="s">
        <v>157</v>
      </c>
      <c r="C5986" s="1003">
        <v>13.189</v>
      </c>
      <c r="D5986" s="908">
        <v>5.77</v>
      </c>
      <c r="E5986" s="709">
        <v>-0.56251421639244836</v>
      </c>
      <c r="F5986" s="946">
        <v>-1.6875426491773451E-2</v>
      </c>
      <c r="G5986" s="78"/>
      <c r="H5986" t="s">
        <v>730</v>
      </c>
    </row>
    <row r="5987" spans="1:8" hidden="1" outlineLevel="1" x14ac:dyDescent="0.25">
      <c r="A5987" s="1002">
        <v>0.05</v>
      </c>
      <c r="B5987" s="996" t="s">
        <v>1184</v>
      </c>
      <c r="C5987" s="1003">
        <v>45.097999999999999</v>
      </c>
      <c r="D5987" s="908">
        <v>65.59</v>
      </c>
      <c r="E5987" s="709">
        <v>0.45438822120714906</v>
      </c>
      <c r="F5987" s="946">
        <v>2.2719411060357454E-2</v>
      </c>
      <c r="G5987" s="78"/>
      <c r="H5987" t="s">
        <v>3497</v>
      </c>
    </row>
    <row r="5988" spans="1:8" hidden="1" outlineLevel="1" x14ac:dyDescent="0.25">
      <c r="A5988" s="1002">
        <v>0.03</v>
      </c>
      <c r="B5988" s="996" t="s">
        <v>901</v>
      </c>
      <c r="C5988" s="1003">
        <v>1924.3</v>
      </c>
      <c r="D5988" s="908">
        <v>3150.5</v>
      </c>
      <c r="E5988" s="709">
        <v>0.63721872888842701</v>
      </c>
      <c r="F5988" s="946">
        <v>1.9116561866652809E-2</v>
      </c>
      <c r="G5988" s="78"/>
      <c r="H5988" t="s">
        <v>531</v>
      </c>
    </row>
    <row r="5989" spans="1:8" hidden="1" outlineLevel="1" x14ac:dyDescent="0.25">
      <c r="A5989" s="1002">
        <v>0.03</v>
      </c>
      <c r="B5989" s="996" t="s">
        <v>1847</v>
      </c>
      <c r="C5989" s="1003">
        <v>236.9</v>
      </c>
      <c r="D5989" s="908">
        <v>36.549999999999997</v>
      </c>
      <c r="E5989" s="709">
        <v>-0.84571549176867877</v>
      </c>
      <c r="F5989" s="946">
        <v>-2.5371464753060364E-2</v>
      </c>
      <c r="G5989" s="78"/>
      <c r="H5989" t="s">
        <v>2749</v>
      </c>
    </row>
    <row r="5990" spans="1:8" hidden="1" outlineLevel="1" x14ac:dyDescent="0.25">
      <c r="A5990" s="1002">
        <v>0.02</v>
      </c>
      <c r="B5990" s="743" t="s">
        <v>1212</v>
      </c>
      <c r="C5990" s="1003">
        <v>54.43</v>
      </c>
      <c r="D5990" s="908">
        <v>25.73</v>
      </c>
      <c r="E5990" s="709">
        <v>-0.52728274848429169</v>
      </c>
      <c r="F5990" s="946">
        <v>-1.0545654969685833E-2</v>
      </c>
      <c r="G5990" s="78"/>
      <c r="H5990" t="s">
        <v>4229</v>
      </c>
    </row>
    <row r="5991" spans="1:8" hidden="1" outlineLevel="1" x14ac:dyDescent="0.25">
      <c r="A5991" s="1002">
        <v>0.04</v>
      </c>
      <c r="B5991" s="939" t="s">
        <v>2699</v>
      </c>
      <c r="C5991" s="1003">
        <v>20.210999999999999</v>
      </c>
      <c r="D5991" s="908">
        <v>14.435</v>
      </c>
      <c r="E5991" s="709">
        <v>-0.28578496858146551</v>
      </c>
      <c r="F5991" s="946">
        <v>-1.143139874325862E-2</v>
      </c>
      <c r="G5991" s="78"/>
      <c r="H5991" t="s">
        <v>505</v>
      </c>
    </row>
    <row r="5992" spans="1:8" hidden="1" outlineLevel="1" x14ac:dyDescent="0.25">
      <c r="A5992" s="1002">
        <v>0.02</v>
      </c>
      <c r="B5992" s="996" t="s">
        <v>3406</v>
      </c>
      <c r="C5992" s="1003">
        <v>1056.5</v>
      </c>
      <c r="D5992" s="908">
        <v>1502.5</v>
      </c>
      <c r="E5992" s="709">
        <v>0.42214860388073827</v>
      </c>
      <c r="F5992" s="946">
        <v>8.4429720776147653E-3</v>
      </c>
      <c r="G5992" s="78"/>
      <c r="H5992" t="s">
        <v>2105</v>
      </c>
    </row>
    <row r="5993" spans="1:8" hidden="1" outlineLevel="1" x14ac:dyDescent="0.25">
      <c r="A5993" s="1002">
        <v>0.06</v>
      </c>
      <c r="B5993" s="996" t="s">
        <v>3798</v>
      </c>
      <c r="C5993" s="1003">
        <v>6.9615</v>
      </c>
      <c r="D5993" s="908">
        <v>2.7119999999999997</v>
      </c>
      <c r="E5993" s="709">
        <v>-0.61042878689937519</v>
      </c>
      <c r="F5993" s="946">
        <v>-3.6625727213962511E-2</v>
      </c>
      <c r="G5993" s="78"/>
      <c r="H5993" t="s">
        <v>4122</v>
      </c>
    </row>
    <row r="5994" spans="1:8" hidden="1" outlineLevel="1" x14ac:dyDescent="0.25">
      <c r="A5994" s="1002">
        <v>0.03</v>
      </c>
      <c r="B5994" s="996" t="s">
        <v>4268</v>
      </c>
      <c r="C5994" s="1003">
        <v>25.373000000000001</v>
      </c>
      <c r="D5994" s="908">
        <v>18.2</v>
      </c>
      <c r="E5994" s="709">
        <v>-0.28270208489339066</v>
      </c>
      <c r="F5994" s="946">
        <v>-8.4810625468017195E-3</v>
      </c>
      <c r="G5994" s="78"/>
      <c r="H5994" t="s">
        <v>1801</v>
      </c>
    </row>
    <row r="5995" spans="1:8" hidden="1" outlineLevel="1" x14ac:dyDescent="0.25">
      <c r="A5995" s="1002">
        <v>0.04</v>
      </c>
      <c r="B5995" s="996" t="s">
        <v>1771</v>
      </c>
      <c r="C5995" s="1003">
        <v>851.3</v>
      </c>
      <c r="D5995" s="908">
        <v>554.79999999999995</v>
      </c>
      <c r="E5995" s="709">
        <v>-0.34829084928932219</v>
      </c>
      <c r="F5995" s="946">
        <v>-1.3931633971572889E-2</v>
      </c>
      <c r="G5995" s="78"/>
      <c r="H5995" t="s">
        <v>4329</v>
      </c>
    </row>
    <row r="5996" spans="1:8" hidden="1" outlineLevel="1" x14ac:dyDescent="0.25">
      <c r="A5996" s="1002">
        <v>0.06</v>
      </c>
      <c r="B5996" s="743" t="s">
        <v>2588</v>
      </c>
      <c r="C5996" s="1003">
        <v>24.902999999999999</v>
      </c>
      <c r="D5996" s="908">
        <v>6.2469999999999999</v>
      </c>
      <c r="E5996" s="709">
        <v>-0.74914668915391713</v>
      </c>
      <c r="F5996" s="946">
        <v>-4.4948801349235026E-2</v>
      </c>
      <c r="G5996" s="78"/>
      <c r="H5996" t="s">
        <v>4132</v>
      </c>
    </row>
    <row r="5997" spans="1:8" hidden="1" outlineLevel="1" x14ac:dyDescent="0.25">
      <c r="A5997" s="1002">
        <v>0.04</v>
      </c>
      <c r="B5997" s="996" t="s">
        <v>44</v>
      </c>
      <c r="C5997" s="1003">
        <v>4.74</v>
      </c>
      <c r="D5997" s="908">
        <v>1.3439999999999999</v>
      </c>
      <c r="E5997" s="709">
        <v>-0.71645569620253169</v>
      </c>
      <c r="F5997" s="946">
        <v>-2.8658227848101268E-2</v>
      </c>
      <c r="G5997" s="78"/>
      <c r="H5997" t="s">
        <v>204</v>
      </c>
    </row>
    <row r="5998" spans="1:8" hidden="1" outlineLevel="1" x14ac:dyDescent="0.25">
      <c r="A5998" s="1002">
        <v>0.02</v>
      </c>
      <c r="B5998" s="743" t="s">
        <v>4376</v>
      </c>
      <c r="C5998" s="1003">
        <v>44.055</v>
      </c>
      <c r="D5998" s="908">
        <v>45.98</v>
      </c>
      <c r="E5998" s="709">
        <v>4.3695380774032344E-2</v>
      </c>
      <c r="F5998" s="946">
        <v>8.7390761548064686E-4</v>
      </c>
      <c r="G5998" s="78"/>
      <c r="H5998" t="s">
        <v>4326</v>
      </c>
    </row>
    <row r="5999" spans="1:8" hidden="1" outlineLevel="1" x14ac:dyDescent="0.25">
      <c r="A5999" s="1002">
        <v>0.03</v>
      </c>
      <c r="B5999" s="996" t="s">
        <v>1526</v>
      </c>
      <c r="C5999" s="1003">
        <v>85.528000000000006</v>
      </c>
      <c r="D5999" s="908">
        <v>18.809999999999999</v>
      </c>
      <c r="E5999" s="709">
        <v>-0.78007202319708169</v>
      </c>
      <c r="F5999" s="946">
        <v>-2.3402160695912451E-2</v>
      </c>
      <c r="G5999" s="78"/>
      <c r="H5999" t="s">
        <v>4146</v>
      </c>
    </row>
    <row r="6000" spans="1:8" hidden="1" outlineLevel="1" x14ac:dyDescent="0.25">
      <c r="A6000" s="1002">
        <v>0.04</v>
      </c>
      <c r="B6000" s="740" t="s">
        <v>2160</v>
      </c>
      <c r="C6000" s="1003">
        <v>31.207999999999998</v>
      </c>
      <c r="D6000" s="908">
        <v>38.01</v>
      </c>
      <c r="E6000" s="709">
        <v>0.21795693411945649</v>
      </c>
      <c r="F6000" s="946">
        <v>8.7182773647782597E-3</v>
      </c>
      <c r="G6000" s="78"/>
      <c r="H6000" t="s">
        <v>5507</v>
      </c>
    </row>
    <row r="6001" spans="1:8" hidden="1" outlineLevel="1" x14ac:dyDescent="0.25">
      <c r="A6001" s="1002">
        <v>0.03</v>
      </c>
      <c r="B6001" s="740" t="s">
        <v>1905</v>
      </c>
      <c r="C6001" s="1003">
        <v>40.738</v>
      </c>
      <c r="D6001" s="908">
        <v>38.4</v>
      </c>
      <c r="E6001" s="709">
        <v>-5.7391133585350307E-2</v>
      </c>
      <c r="F6001" s="946">
        <v>-1.7217340075605092E-3</v>
      </c>
      <c r="G6001" s="78"/>
      <c r="H6001" t="s">
        <v>504</v>
      </c>
    </row>
    <row r="6002" spans="1:8" hidden="1" outlineLevel="1" x14ac:dyDescent="0.25">
      <c r="A6002" s="1002">
        <v>0.03</v>
      </c>
      <c r="B6002" s="743" t="s">
        <v>3797</v>
      </c>
      <c r="C6002" s="1003">
        <v>50.96</v>
      </c>
      <c r="D6002" s="908">
        <v>56.8</v>
      </c>
      <c r="E6002" s="709">
        <v>0.11459968602825743</v>
      </c>
      <c r="F6002" s="946">
        <v>3.4379905808477229E-3</v>
      </c>
      <c r="G6002" s="78"/>
      <c r="H6002" t="s">
        <v>3848</v>
      </c>
    </row>
    <row r="6003" spans="1:8" hidden="1" outlineLevel="1" x14ac:dyDescent="0.25">
      <c r="A6003" s="1002">
        <v>0.03</v>
      </c>
      <c r="B6003" s="939" t="s">
        <v>1190</v>
      </c>
      <c r="C6003" s="1003">
        <v>20.405999999999999</v>
      </c>
      <c r="D6003" s="908">
        <v>4.0819999999999999</v>
      </c>
      <c r="E6003" s="709">
        <v>-0.79996079584435953</v>
      </c>
      <c r="F6003" s="946">
        <v>-2.3998823875330786E-2</v>
      </c>
      <c r="G6003" s="78"/>
      <c r="H6003" t="s">
        <v>7569</v>
      </c>
    </row>
    <row r="6004" spans="1:8" hidden="1" outlineLevel="1" x14ac:dyDescent="0.25">
      <c r="A6004" s="1002">
        <v>0.04</v>
      </c>
      <c r="B6004" s="996" t="s">
        <v>1414</v>
      </c>
      <c r="C6004" s="1003">
        <v>20.797999999999998</v>
      </c>
      <c r="D6004" s="908">
        <v>22.66</v>
      </c>
      <c r="E6004" s="709">
        <v>8.9527839215309157E-2</v>
      </c>
      <c r="F6004" s="946">
        <v>3.5811135686123663E-3</v>
      </c>
      <c r="G6004" s="78"/>
      <c r="H6004" t="s">
        <v>2428</v>
      </c>
    </row>
    <row r="6005" spans="1:8" hidden="1" outlineLevel="1" x14ac:dyDescent="0.25">
      <c r="A6005" s="1002">
        <v>0.04</v>
      </c>
      <c r="B6005" s="996" t="s">
        <v>3424</v>
      </c>
      <c r="C6005" s="1003">
        <v>29.22</v>
      </c>
      <c r="D6005" s="908">
        <v>41.44</v>
      </c>
      <c r="E6005" s="709">
        <v>0.41820670773442847</v>
      </c>
      <c r="F6005" s="946">
        <v>1.6728268309377139E-2</v>
      </c>
      <c r="G6005" s="78"/>
      <c r="H6005" t="s">
        <v>3558</v>
      </c>
    </row>
    <row r="6006" spans="1:8" hidden="1" outlineLevel="1" x14ac:dyDescent="0.25">
      <c r="A6006" s="1002">
        <v>0.02</v>
      </c>
      <c r="B6006" s="996" t="s">
        <v>2586</v>
      </c>
      <c r="C6006" s="1003">
        <v>23.346499999999999</v>
      </c>
      <c r="D6006" s="908">
        <v>26.25</v>
      </c>
      <c r="E6006" s="709">
        <v>0.12436553659006711</v>
      </c>
      <c r="F6006" s="946">
        <v>2.4873107318013421E-3</v>
      </c>
      <c r="G6006" s="78"/>
      <c r="H6006" t="s">
        <v>2720</v>
      </c>
    </row>
    <row r="6007" spans="1:8" hidden="1" outlineLevel="1" x14ac:dyDescent="0.25">
      <c r="A6007" s="1002">
        <v>0.03</v>
      </c>
      <c r="B6007" s="743" t="s">
        <v>3801</v>
      </c>
      <c r="C6007" s="1003">
        <v>78.361000000000004</v>
      </c>
      <c r="D6007" s="908">
        <v>35.805</v>
      </c>
      <c r="E6007" s="709">
        <v>-0.54307627518791235</v>
      </c>
      <c r="F6007" s="946">
        <v>-1.6292288255637371E-2</v>
      </c>
      <c r="G6007" s="78"/>
      <c r="H6007" t="s">
        <v>2819</v>
      </c>
    </row>
    <row r="6008" spans="1:8" hidden="1" outlineLevel="1" x14ac:dyDescent="0.25">
      <c r="A6008" s="1002">
        <v>0.02</v>
      </c>
      <c r="B6008" s="743" t="s">
        <v>1214</v>
      </c>
      <c r="C6008" s="1003">
        <v>70.432000000000002</v>
      </c>
      <c r="D6008" s="908">
        <v>75.59</v>
      </c>
      <c r="E6008" s="709">
        <v>7.3233757383007747E-2</v>
      </c>
      <c r="F6008" s="946">
        <v>1.4646751476601551E-3</v>
      </c>
      <c r="G6008" s="78"/>
      <c r="H6008" t="s">
        <v>3775</v>
      </c>
    </row>
    <row r="6009" spans="1:8" hidden="1" outlineLevel="1" x14ac:dyDescent="0.25">
      <c r="A6009" s="1002">
        <v>0.02</v>
      </c>
      <c r="B6009" s="743" t="s">
        <v>231</v>
      </c>
      <c r="C6009" s="1003">
        <v>53.716999999999999</v>
      </c>
      <c r="D6009" s="908">
        <v>24.17</v>
      </c>
      <c r="E6009" s="709">
        <v>-0.55004933261351152</v>
      </c>
      <c r="F6009" s="946">
        <v>-1.100098665227023E-2</v>
      </c>
      <c r="G6009" s="78"/>
      <c r="H6009" t="s">
        <v>640</v>
      </c>
    </row>
    <row r="6010" spans="1:8" hidden="1" outlineLevel="1" x14ac:dyDescent="0.25">
      <c r="A6010" s="1002">
        <v>0.03</v>
      </c>
      <c r="B6010" s="743" t="s">
        <v>577</v>
      </c>
      <c r="C6010" s="1003">
        <v>18.869</v>
      </c>
      <c r="D6010" s="908">
        <v>12.285</v>
      </c>
      <c r="E6010" s="709">
        <v>-0.34893211086968046</v>
      </c>
      <c r="F6010" s="946">
        <v>-1.0467963326090414E-2</v>
      </c>
      <c r="G6010" s="78"/>
      <c r="H6010" t="s">
        <v>2804</v>
      </c>
    </row>
    <row r="6011" spans="1:8" hidden="1" outlineLevel="1" x14ac:dyDescent="0.25">
      <c r="A6011" s="1002">
        <v>0.02</v>
      </c>
      <c r="B6011" s="743" t="s">
        <v>1183</v>
      </c>
      <c r="C6011" s="1003">
        <v>49.738999999999997</v>
      </c>
      <c r="D6011" s="908">
        <v>38.24</v>
      </c>
      <c r="E6011" s="709">
        <v>-0.23118679507026674</v>
      </c>
      <c r="F6011" s="946">
        <v>-4.6237359014053353E-3</v>
      </c>
      <c r="G6011" s="78"/>
      <c r="H6011" t="s">
        <v>2805</v>
      </c>
    </row>
    <row r="6012" spans="1:8" hidden="1" outlineLevel="1" x14ac:dyDescent="0.25">
      <c r="A6012" s="1002">
        <v>0.03</v>
      </c>
      <c r="B6012" s="997" t="s">
        <v>3169</v>
      </c>
      <c r="C6012" s="1003">
        <v>25.652000000000001</v>
      </c>
      <c r="D6012" s="715">
        <v>13.76</v>
      </c>
      <c r="E6012" s="709">
        <v>-0.46358958365819436</v>
      </c>
      <c r="F6012" s="946">
        <v>-1.3907687509745831E-2</v>
      </c>
      <c r="G6012" s="78"/>
      <c r="H6012" t="s">
        <v>657</v>
      </c>
    </row>
    <row r="6013" spans="1:8" hidden="1" outlineLevel="1" x14ac:dyDescent="0.25">
      <c r="A6013" s="1099"/>
      <c r="B6013" s="1000"/>
      <c r="C6013" s="736"/>
      <c r="D6013" s="741"/>
      <c r="E6013" s="895"/>
      <c r="F6013" s="1021">
        <v>-0.23332681675348907</v>
      </c>
      <c r="G6013" s="78"/>
    </row>
    <row r="6014" spans="1:8" hidden="1" outlineLevel="1" x14ac:dyDescent="0.25">
      <c r="A6014" s="751" t="s">
        <v>2263</v>
      </c>
      <c r="B6014" s="1190">
        <v>39600</v>
      </c>
      <c r="C6014" s="719">
        <v>100</v>
      </c>
      <c r="D6014" s="719">
        <v>88.730400000000003</v>
      </c>
      <c r="E6014" s="720">
        <v>-0.11269600000000002</v>
      </c>
      <c r="F6014" s="731">
        <v>-0.11269600000000002</v>
      </c>
      <c r="G6014" s="78"/>
    </row>
    <row r="6015" spans="1:8" hidden="1" outlineLevel="1" x14ac:dyDescent="0.25">
      <c r="A6015" s="751" t="s">
        <v>2264</v>
      </c>
      <c r="B6015" s="1153">
        <v>39692</v>
      </c>
      <c r="C6015" s="727">
        <v>100</v>
      </c>
      <c r="D6015" s="727">
        <v>84.129199999999997</v>
      </c>
      <c r="E6015" s="720">
        <v>-0.15870800000000007</v>
      </c>
      <c r="F6015" s="731">
        <v>-0.15870800000000007</v>
      </c>
      <c r="G6015" s="78"/>
    </row>
    <row r="6016" spans="1:8" hidden="1" outlineLevel="1" x14ac:dyDescent="0.25">
      <c r="A6016" s="751" t="s">
        <v>2265</v>
      </c>
      <c r="B6016" s="1153">
        <v>39783</v>
      </c>
      <c r="C6016" s="727">
        <v>100</v>
      </c>
      <c r="D6016" s="727">
        <v>65.405500000000004</v>
      </c>
      <c r="E6016" s="720">
        <v>-0.34594499999999995</v>
      </c>
      <c r="F6016" s="731">
        <v>-0.34594499999999995</v>
      </c>
      <c r="G6016" s="78"/>
    </row>
    <row r="6017" spans="1:8" hidden="1" outlineLevel="1" x14ac:dyDescent="0.25">
      <c r="A6017" s="751" t="s">
        <v>2266</v>
      </c>
      <c r="B6017" s="1153">
        <v>39873</v>
      </c>
      <c r="C6017" s="727">
        <v>100</v>
      </c>
      <c r="D6017" s="727">
        <v>53.776299999999999</v>
      </c>
      <c r="E6017" s="720">
        <v>-0.46223700000000001</v>
      </c>
      <c r="F6017" s="731">
        <v>-0.46223700000000001</v>
      </c>
      <c r="G6017" s="78"/>
    </row>
    <row r="6018" spans="1:8" hidden="1" outlineLevel="1" x14ac:dyDescent="0.25">
      <c r="A6018" s="751" t="s">
        <v>1402</v>
      </c>
      <c r="B6018" s="1153">
        <v>39965</v>
      </c>
      <c r="C6018" s="727">
        <v>100</v>
      </c>
      <c r="D6018" s="727">
        <v>61.340200000000003</v>
      </c>
      <c r="E6018" s="720">
        <v>-0.386598</v>
      </c>
      <c r="F6018" s="731">
        <v>-0.386598</v>
      </c>
      <c r="G6018" s="78"/>
    </row>
    <row r="6019" spans="1:8" hidden="1" outlineLevel="1" x14ac:dyDescent="0.25">
      <c r="A6019" s="751" t="s">
        <v>1403</v>
      </c>
      <c r="B6019" s="1153">
        <v>40057</v>
      </c>
      <c r="C6019" s="727">
        <v>100</v>
      </c>
      <c r="D6019" s="727">
        <v>74.870999999999995</v>
      </c>
      <c r="E6019" s="720">
        <v>-0.25129000000000001</v>
      </c>
      <c r="F6019" s="731">
        <v>-0.25129000000000001</v>
      </c>
      <c r="G6019" s="78"/>
    </row>
    <row r="6020" spans="1:8" hidden="1" outlineLevel="1" x14ac:dyDescent="0.25">
      <c r="A6020" s="751" t="s">
        <v>1404</v>
      </c>
      <c r="B6020" s="1153">
        <v>40148</v>
      </c>
      <c r="C6020" s="727">
        <v>100</v>
      </c>
      <c r="D6020" s="727">
        <v>77.3934</v>
      </c>
      <c r="E6020" s="720">
        <v>-0.22606599999999999</v>
      </c>
      <c r="F6020" s="731">
        <v>-0.22606599999999999</v>
      </c>
      <c r="G6020" s="78"/>
    </row>
    <row r="6021" spans="1:8" hidden="1" outlineLevel="1" x14ac:dyDescent="0.25">
      <c r="A6021" s="751" t="s">
        <v>1405</v>
      </c>
      <c r="B6021" s="1153">
        <v>40238</v>
      </c>
      <c r="C6021" s="727">
        <v>100</v>
      </c>
      <c r="D6021" s="727">
        <v>78.186499999999995</v>
      </c>
      <c r="E6021" s="720">
        <v>-0.21813500000000008</v>
      </c>
      <c r="F6021" s="731">
        <v>-0.21813500000000008</v>
      </c>
      <c r="G6021" s="78"/>
    </row>
    <row r="6022" spans="1:8" hidden="1" outlineLevel="1" x14ac:dyDescent="0.25">
      <c r="A6022" s="751" t="s">
        <v>1406</v>
      </c>
      <c r="B6022" s="1153">
        <v>40330</v>
      </c>
      <c r="C6022" s="727">
        <v>100</v>
      </c>
      <c r="D6022" s="727">
        <v>70.120400000000004</v>
      </c>
      <c r="E6022" s="720">
        <v>-0.29879599999999995</v>
      </c>
      <c r="F6022" s="731">
        <v>-0.29879599999999995</v>
      </c>
      <c r="G6022" s="78"/>
    </row>
    <row r="6023" spans="1:8" hidden="1" outlineLevel="1" x14ac:dyDescent="0.25">
      <c r="A6023" s="751" t="s">
        <v>1407</v>
      </c>
      <c r="B6023" s="1153">
        <v>40422</v>
      </c>
      <c r="C6023" s="727">
        <v>100</v>
      </c>
      <c r="D6023" s="727">
        <v>76.389200000000002</v>
      </c>
      <c r="E6023" s="720">
        <v>-0.23610799999999998</v>
      </c>
      <c r="F6023" s="731">
        <v>-0.23610799999999998</v>
      </c>
      <c r="G6023" s="78"/>
    </row>
    <row r="6024" spans="1:8" hidden="1" outlineLevel="1" x14ac:dyDescent="0.25">
      <c r="A6024" s="751" t="s">
        <v>378</v>
      </c>
      <c r="B6024" s="1153">
        <v>40513</v>
      </c>
      <c r="C6024" s="727">
        <v>100</v>
      </c>
      <c r="D6024" s="727">
        <v>78.590800000000002</v>
      </c>
      <c r="E6024" s="720">
        <v>-0.21409199999999995</v>
      </c>
      <c r="F6024" s="731">
        <v>-0.21409199999999995</v>
      </c>
      <c r="G6024" s="78"/>
    </row>
    <row r="6025" spans="1:8" hidden="1" outlineLevel="1" x14ac:dyDescent="0.25">
      <c r="A6025" s="751" t="s">
        <v>1435</v>
      </c>
      <c r="B6025" s="1153">
        <v>40603</v>
      </c>
      <c r="C6025" s="727">
        <v>100</v>
      </c>
      <c r="D6025" s="727">
        <v>81.854699999999994</v>
      </c>
      <c r="E6025" s="720">
        <v>-0.18145300000000009</v>
      </c>
      <c r="F6025" s="731">
        <v>-0.18145300000000009</v>
      </c>
      <c r="G6025" s="78"/>
    </row>
    <row r="6026" spans="1:8" hidden="1" outlineLevel="1" x14ac:dyDescent="0.25">
      <c r="A6026" s="751" t="s">
        <v>1436</v>
      </c>
      <c r="B6026" s="1153">
        <v>40695</v>
      </c>
      <c r="C6026" s="727">
        <v>100</v>
      </c>
      <c r="D6026" s="727">
        <v>81.516400000000004</v>
      </c>
      <c r="E6026" s="720">
        <v>-0.184836</v>
      </c>
      <c r="F6026" s="731">
        <v>-0.184836</v>
      </c>
      <c r="G6026" s="78"/>
    </row>
    <row r="6027" spans="1:8" hidden="1" outlineLevel="1" x14ac:dyDescent="0.25">
      <c r="A6027" s="751" t="s">
        <v>1437</v>
      </c>
      <c r="B6027" s="1153">
        <v>40787</v>
      </c>
      <c r="C6027" s="727">
        <v>100</v>
      </c>
      <c r="D6027" s="727">
        <v>67.910799999999995</v>
      </c>
      <c r="E6027" s="720">
        <v>-0.32089200000000007</v>
      </c>
      <c r="F6027" s="731">
        <v>-0.32089200000000007</v>
      </c>
      <c r="G6027" s="78"/>
    </row>
    <row r="6028" spans="1:8" hidden="1" outlineLevel="1" x14ac:dyDescent="0.25">
      <c r="A6028" s="751" t="s">
        <v>1438</v>
      </c>
      <c r="B6028" s="1153">
        <v>40878</v>
      </c>
      <c r="C6028" s="727">
        <v>100</v>
      </c>
      <c r="D6028" s="727">
        <v>73.513499999999993</v>
      </c>
      <c r="E6028" s="720">
        <v>-0.26486500000000002</v>
      </c>
      <c r="F6028" s="731">
        <v>-0.26486500000000002</v>
      </c>
      <c r="G6028" s="78"/>
      <c r="H6028" s="412" t="s">
        <v>1837</v>
      </c>
    </row>
    <row r="6029" spans="1:8" hidden="1" outlineLevel="1" x14ac:dyDescent="0.25">
      <c r="A6029" s="751" t="s">
        <v>1439</v>
      </c>
      <c r="B6029" s="1153">
        <v>40969</v>
      </c>
      <c r="C6029" s="727">
        <v>100</v>
      </c>
      <c r="D6029" s="727">
        <v>78.072800000000001</v>
      </c>
      <c r="E6029" s="720">
        <v>-0.21927200000000002</v>
      </c>
      <c r="F6029" s="731">
        <v>-0.21927200000000002</v>
      </c>
      <c r="G6029" s="78"/>
      <c r="H6029" s="261">
        <v>-0.25512431250000001</v>
      </c>
    </row>
    <row r="6030" spans="1:8" hidden="1" outlineLevel="1" x14ac:dyDescent="0.25">
      <c r="A6030" s="749"/>
      <c r="B6030" s="750"/>
      <c r="C6030" s="727"/>
      <c r="D6030" s="727"/>
      <c r="E6030" s="720"/>
      <c r="F6030" s="770"/>
      <c r="G6030" s="78"/>
    </row>
    <row r="6031" spans="1:8" collapsed="1" x14ac:dyDescent="0.25">
      <c r="A6031" s="3801" t="s">
        <v>498</v>
      </c>
      <c r="B6031" s="3802"/>
      <c r="C6031" s="3802"/>
      <c r="D6031" s="3802"/>
      <c r="E6031" s="721"/>
      <c r="F6031" s="722">
        <v>0</v>
      </c>
      <c r="G6031" s="97" t="s">
        <v>781</v>
      </c>
    </row>
    <row r="6033" spans="1:8" hidden="1" outlineLevel="1" x14ac:dyDescent="0.25">
      <c r="A6033" s="689" t="s">
        <v>113</v>
      </c>
      <c r="B6033" s="689" t="s">
        <v>114</v>
      </c>
      <c r="C6033" s="689" t="s">
        <v>112</v>
      </c>
      <c r="D6033" s="689" t="s">
        <v>116</v>
      </c>
      <c r="E6033" s="689" t="s">
        <v>117</v>
      </c>
      <c r="F6033" s="1188" t="s">
        <v>121</v>
      </c>
      <c r="G6033" s="78"/>
    </row>
    <row r="6034" spans="1:8" hidden="1" outlineLevel="1" x14ac:dyDescent="0.25">
      <c r="A6034" s="690">
        <v>3</v>
      </c>
      <c r="B6034" s="691" t="s">
        <v>252</v>
      </c>
      <c r="C6034" s="692">
        <v>100</v>
      </c>
      <c r="D6034" s="692"/>
      <c r="E6034" s="693"/>
      <c r="F6034" s="694"/>
      <c r="G6034" s="78"/>
    </row>
    <row r="6035" spans="1:8" hidden="1" outlineLevel="1" x14ac:dyDescent="0.25">
      <c r="A6035" s="695"/>
      <c r="B6035" s="695"/>
      <c r="C6035" s="696"/>
      <c r="D6035" s="697" t="s">
        <v>3702</v>
      </c>
      <c r="E6035" s="698">
        <v>42460</v>
      </c>
      <c r="F6035" s="699"/>
      <c r="G6035" s="78"/>
    </row>
    <row r="6036" spans="1:8" hidden="1" outlineLevel="1" x14ac:dyDescent="0.25">
      <c r="A6036" s="689" t="s">
        <v>4156</v>
      </c>
      <c r="B6036" s="689" t="s">
        <v>4153</v>
      </c>
      <c r="C6036" s="700" t="s">
        <v>112</v>
      </c>
      <c r="D6036" s="495" t="s">
        <v>4155</v>
      </c>
      <c r="E6036" s="495" t="s">
        <v>4154</v>
      </c>
      <c r="F6036" s="1021" t="s">
        <v>2519</v>
      </c>
      <c r="G6036" s="78"/>
    </row>
    <row r="6037" spans="1:8" hidden="1" outlineLevel="1" x14ac:dyDescent="0.25">
      <c r="A6037" s="999">
        <v>0.04</v>
      </c>
      <c r="B6037" s="1010" t="s">
        <v>359</v>
      </c>
      <c r="C6037" s="1154">
        <v>129.19800000000001</v>
      </c>
      <c r="D6037" s="803">
        <v>81.209999999999994</v>
      </c>
      <c r="E6037" s="895">
        <v>-0.37142989829563933</v>
      </c>
      <c r="F6037" s="1021">
        <v>-1.4857195931825573E-2</v>
      </c>
      <c r="G6037" s="78"/>
      <c r="H6037" t="s">
        <v>360</v>
      </c>
    </row>
    <row r="6038" spans="1:8" hidden="1" outlineLevel="1" x14ac:dyDescent="0.25">
      <c r="A6038" s="999">
        <v>0.04</v>
      </c>
      <c r="B6038" s="1012" t="s">
        <v>1993</v>
      </c>
      <c r="C6038" s="1155">
        <v>22.254000000000001</v>
      </c>
      <c r="D6038" s="908">
        <v>27.55</v>
      </c>
      <c r="E6038" s="896">
        <v>0.23797968904466615</v>
      </c>
      <c r="F6038" s="946">
        <v>9.5191875617866469E-3</v>
      </c>
      <c r="G6038" s="78"/>
      <c r="H6038" t="s">
        <v>2812</v>
      </c>
    </row>
    <row r="6039" spans="1:8" hidden="1" outlineLevel="1" x14ac:dyDescent="0.25">
      <c r="A6039" s="999">
        <v>0.04</v>
      </c>
      <c r="B6039" s="1012" t="s">
        <v>2984</v>
      </c>
      <c r="C6039" s="1155">
        <v>15.208</v>
      </c>
      <c r="D6039" s="908">
        <v>6.5620000000000003</v>
      </c>
      <c r="E6039" s="896">
        <v>-0.56851657022619673</v>
      </c>
      <c r="F6039" s="946">
        <v>-2.2740662809047869E-2</v>
      </c>
      <c r="G6039" s="78"/>
      <c r="H6039" t="s">
        <v>2326</v>
      </c>
    </row>
    <row r="6040" spans="1:8" hidden="1" outlineLevel="1" x14ac:dyDescent="0.25">
      <c r="A6040" s="999">
        <v>0.03</v>
      </c>
      <c r="B6040" s="1012" t="s">
        <v>157</v>
      </c>
      <c r="C6040" s="1155">
        <v>14.154</v>
      </c>
      <c r="D6040" s="908">
        <v>6.1769999999999996</v>
      </c>
      <c r="E6040" s="896">
        <v>-0.56358626536668077</v>
      </c>
      <c r="F6040" s="946">
        <v>-1.6907587961000423E-2</v>
      </c>
      <c r="G6040" s="78"/>
      <c r="H6040" t="s">
        <v>730</v>
      </c>
    </row>
    <row r="6041" spans="1:8" hidden="1" outlineLevel="1" x14ac:dyDescent="0.25">
      <c r="A6041" s="999">
        <v>0.05</v>
      </c>
      <c r="B6041" s="1012" t="s">
        <v>1184</v>
      </c>
      <c r="C6041" s="1155">
        <v>46.036000000000001</v>
      </c>
      <c r="D6041" s="908">
        <v>53.19</v>
      </c>
      <c r="E6041" s="896">
        <v>0.15540012164393069</v>
      </c>
      <c r="F6041" s="946">
        <v>7.7700060821965346E-3</v>
      </c>
      <c r="G6041" s="78"/>
      <c r="H6041" t="s">
        <v>3497</v>
      </c>
    </row>
    <row r="6042" spans="1:8" hidden="1" outlineLevel="1" x14ac:dyDescent="0.25">
      <c r="A6042" s="999">
        <v>0.03</v>
      </c>
      <c r="B6042" s="1012" t="s">
        <v>901</v>
      </c>
      <c r="C6042" s="1155">
        <v>1983</v>
      </c>
      <c r="D6042" s="908">
        <v>2864.5</v>
      </c>
      <c r="E6042" s="896">
        <v>0.44452849218356016</v>
      </c>
      <c r="F6042" s="946">
        <v>1.3335854765506805E-2</v>
      </c>
      <c r="G6042" s="78"/>
      <c r="H6042" t="s">
        <v>531</v>
      </c>
    </row>
    <row r="6043" spans="1:8" hidden="1" outlineLevel="1" x14ac:dyDescent="0.25">
      <c r="A6043" s="999">
        <v>0.03</v>
      </c>
      <c r="B6043" s="1012" t="s">
        <v>1847</v>
      </c>
      <c r="C6043" s="1155">
        <v>232.24</v>
      </c>
      <c r="D6043" s="908">
        <v>31.59</v>
      </c>
      <c r="E6043" s="896">
        <v>-0.86397692042714436</v>
      </c>
      <c r="F6043" s="946">
        <v>-2.591930761281433E-2</v>
      </c>
      <c r="G6043" s="78"/>
      <c r="H6043" t="s">
        <v>2749</v>
      </c>
    </row>
    <row r="6044" spans="1:8" hidden="1" outlineLevel="1" x14ac:dyDescent="0.25">
      <c r="A6044" s="999">
        <v>0.02</v>
      </c>
      <c r="B6044" s="1012" t="s">
        <v>1212</v>
      </c>
      <c r="C6044" s="1155">
        <v>56.93</v>
      </c>
      <c r="D6044" s="908">
        <v>25.6</v>
      </c>
      <c r="E6044" s="896">
        <v>-0.55032496047777968</v>
      </c>
      <c r="F6044" s="946">
        <v>-1.1006499209555595E-2</v>
      </c>
      <c r="G6044" s="78"/>
      <c r="H6044" t="s">
        <v>4229</v>
      </c>
    </row>
    <row r="6045" spans="1:8" hidden="1" outlineLevel="1" x14ac:dyDescent="0.25">
      <c r="A6045" s="999">
        <v>0.04</v>
      </c>
      <c r="B6045" s="1012" t="s">
        <v>2699</v>
      </c>
      <c r="C6045" s="1155">
        <v>21.3</v>
      </c>
      <c r="D6045" s="908">
        <v>11.01</v>
      </c>
      <c r="E6045" s="896">
        <v>-0.4830985915492958</v>
      </c>
      <c r="F6045" s="946">
        <v>-1.9323943661971831E-2</v>
      </c>
      <c r="G6045" s="78"/>
      <c r="H6045" t="s">
        <v>505</v>
      </c>
    </row>
    <row r="6046" spans="1:8" hidden="1" outlineLevel="1" x14ac:dyDescent="0.25">
      <c r="A6046" s="999">
        <v>0.02</v>
      </c>
      <c r="B6046" s="1012" t="s">
        <v>3406</v>
      </c>
      <c r="C6046" s="1155">
        <v>1023.4</v>
      </c>
      <c r="D6046" s="908">
        <v>1289</v>
      </c>
      <c r="E6046" s="896">
        <v>0.25952706664060976</v>
      </c>
      <c r="F6046" s="946">
        <v>5.1905413328121952E-3</v>
      </c>
      <c r="G6046" s="78"/>
      <c r="H6046" t="s">
        <v>2105</v>
      </c>
    </row>
    <row r="6047" spans="1:8" hidden="1" outlineLevel="1" x14ac:dyDescent="0.25">
      <c r="A6047" s="999">
        <v>0.06</v>
      </c>
      <c r="B6047" s="1012" t="s">
        <v>3798</v>
      </c>
      <c r="C6047" s="1155">
        <v>7.0275999999999996</v>
      </c>
      <c r="D6047" s="908">
        <v>3.41</v>
      </c>
      <c r="E6047" s="896">
        <v>-0.51477033411121864</v>
      </c>
      <c r="F6047" s="946">
        <v>-3.0886220046673116E-2</v>
      </c>
      <c r="G6047" s="78"/>
      <c r="H6047" t="s">
        <v>4122</v>
      </c>
    </row>
    <row r="6048" spans="1:8" hidden="1" outlineLevel="1" x14ac:dyDescent="0.25">
      <c r="A6048" s="999">
        <v>0.03</v>
      </c>
      <c r="B6048" s="1012" t="s">
        <v>4268</v>
      </c>
      <c r="C6048" s="1155">
        <v>29.076000000000001</v>
      </c>
      <c r="D6048" s="908">
        <v>17.63</v>
      </c>
      <c r="E6048" s="896">
        <v>-0.39365799972485904</v>
      </c>
      <c r="F6048" s="946">
        <v>-1.180973999174577E-2</v>
      </c>
      <c r="G6048" s="78"/>
      <c r="H6048" t="s">
        <v>1801</v>
      </c>
    </row>
    <row r="6049" spans="1:8" hidden="1" outlineLevel="1" x14ac:dyDescent="0.25">
      <c r="A6049" s="999">
        <v>0.04</v>
      </c>
      <c r="B6049" s="1012" t="s">
        <v>1771</v>
      </c>
      <c r="C6049" s="1155">
        <v>893.9</v>
      </c>
      <c r="D6049" s="908">
        <v>544.9</v>
      </c>
      <c r="E6049" s="896">
        <v>-0.39042398478577023</v>
      </c>
      <c r="F6049" s="946">
        <v>-1.5616959391430809E-2</v>
      </c>
      <c r="G6049" s="78"/>
      <c r="H6049" t="s">
        <v>4329</v>
      </c>
    </row>
    <row r="6050" spans="1:8" hidden="1" outlineLevel="1" x14ac:dyDescent="0.25">
      <c r="A6050" s="999">
        <v>0.06</v>
      </c>
      <c r="B6050" s="1012" t="s">
        <v>2588</v>
      </c>
      <c r="C6050" s="1155">
        <v>25.363</v>
      </c>
      <c r="D6050" s="908">
        <v>6.26</v>
      </c>
      <c r="E6050" s="896">
        <v>-0.75318377163584749</v>
      </c>
      <c r="F6050" s="946">
        <v>-4.5191026298150846E-2</v>
      </c>
      <c r="G6050" s="78"/>
      <c r="H6050" t="s">
        <v>4132</v>
      </c>
    </row>
    <row r="6051" spans="1:8" hidden="1" outlineLevel="1" x14ac:dyDescent="0.25">
      <c r="A6051" s="999">
        <v>0.04</v>
      </c>
      <c r="B6051" s="1012" t="s">
        <v>44</v>
      </c>
      <c r="C6051" s="1155">
        <v>4.5157999999999996</v>
      </c>
      <c r="D6051" s="908">
        <v>1.2909999999999999</v>
      </c>
      <c r="E6051" s="896">
        <v>-0.71411488551308744</v>
      </c>
      <c r="F6051" s="946">
        <v>-2.85645954205235E-2</v>
      </c>
      <c r="G6051" s="78"/>
      <c r="H6051" t="s">
        <v>204</v>
      </c>
    </row>
    <row r="6052" spans="1:8" hidden="1" outlineLevel="1" x14ac:dyDescent="0.25">
      <c r="A6052" s="999">
        <v>0.02</v>
      </c>
      <c r="B6052" s="1012" t="s">
        <v>4376</v>
      </c>
      <c r="C6052" s="1155">
        <v>46.186</v>
      </c>
      <c r="D6052" s="908">
        <v>34.76</v>
      </c>
      <c r="E6052" s="896">
        <v>-0.24739098428095097</v>
      </c>
      <c r="F6052" s="946">
        <v>-4.947819685619019E-3</v>
      </c>
      <c r="G6052" s="78"/>
      <c r="H6052" t="s">
        <v>4326</v>
      </c>
    </row>
    <row r="6053" spans="1:8" hidden="1" outlineLevel="1" x14ac:dyDescent="0.25">
      <c r="A6053" s="999">
        <v>0.03</v>
      </c>
      <c r="B6053" s="1012" t="s">
        <v>1526</v>
      </c>
      <c r="C6053" s="1155">
        <v>82.152000000000001</v>
      </c>
      <c r="D6053" s="908">
        <v>16.23</v>
      </c>
      <c r="E6053" s="896">
        <v>-0.80243938066023957</v>
      </c>
      <c r="F6053" s="946">
        <v>-2.4073181419807185E-2</v>
      </c>
      <c r="G6053" s="78"/>
      <c r="H6053" t="s">
        <v>4146</v>
      </c>
    </row>
    <row r="6054" spans="1:8" hidden="1" outlineLevel="1" x14ac:dyDescent="0.25">
      <c r="A6054" s="999">
        <v>0.04</v>
      </c>
      <c r="B6054" s="1012" t="s">
        <v>2160</v>
      </c>
      <c r="C6054" s="1155">
        <v>32.020000000000003</v>
      </c>
      <c r="D6054" s="908">
        <v>35.18</v>
      </c>
      <c r="E6054" s="896">
        <v>9.8688319800124713E-2</v>
      </c>
      <c r="F6054" s="946">
        <v>3.9475327920049886E-3</v>
      </c>
      <c r="G6054" s="78"/>
      <c r="H6054" t="s">
        <v>5507</v>
      </c>
    </row>
    <row r="6055" spans="1:8" hidden="1" outlineLevel="1" x14ac:dyDescent="0.25">
      <c r="A6055" s="999">
        <v>0.03</v>
      </c>
      <c r="B6055" s="1012" t="s">
        <v>1905</v>
      </c>
      <c r="C6055" s="1155">
        <v>39.804000000000002</v>
      </c>
      <c r="D6055" s="908">
        <v>34.5</v>
      </c>
      <c r="E6055" s="896">
        <v>-0.13325293940307514</v>
      </c>
      <c r="F6055" s="946">
        <v>-3.9975881820922543E-3</v>
      </c>
      <c r="G6055" s="78"/>
      <c r="H6055" t="s">
        <v>504</v>
      </c>
    </row>
    <row r="6056" spans="1:8" hidden="1" outlineLevel="1" x14ac:dyDescent="0.25">
      <c r="A6056" s="999">
        <v>0.03</v>
      </c>
      <c r="B6056" s="1012" t="s">
        <v>3797</v>
      </c>
      <c r="C6056" s="1155">
        <v>51.370000000000005</v>
      </c>
      <c r="D6056" s="908">
        <v>50.9</v>
      </c>
      <c r="E6056" s="896">
        <v>-9.1493089351762924E-3</v>
      </c>
      <c r="F6056" s="946">
        <v>-2.7447926805528874E-4</v>
      </c>
      <c r="G6056" s="78"/>
      <c r="H6056" t="s">
        <v>3848</v>
      </c>
    </row>
    <row r="6057" spans="1:8" hidden="1" outlineLevel="1" x14ac:dyDescent="0.25">
      <c r="A6057" s="999">
        <v>0.03</v>
      </c>
      <c r="B6057" s="1012" t="s">
        <v>1190</v>
      </c>
      <c r="C6057" s="1155">
        <v>18.568000000000001</v>
      </c>
      <c r="D6057" s="908">
        <v>4.87</v>
      </c>
      <c r="E6057" s="896">
        <v>-0.73772080999569156</v>
      </c>
      <c r="F6057" s="946">
        <v>-2.2131624299870745E-2</v>
      </c>
      <c r="G6057" s="78"/>
      <c r="H6057" t="s">
        <v>7569</v>
      </c>
    </row>
    <row r="6058" spans="1:8" hidden="1" outlineLevel="1" x14ac:dyDescent="0.25">
      <c r="A6058" s="999">
        <v>0.04</v>
      </c>
      <c r="B6058" s="1012" t="s">
        <v>1414</v>
      </c>
      <c r="C6058" s="1155">
        <v>20.074000000000002</v>
      </c>
      <c r="D6058" s="908">
        <v>19.260000000000002</v>
      </c>
      <c r="E6058" s="896">
        <v>-4.0549965129022647E-2</v>
      </c>
      <c r="F6058" s="946">
        <v>-1.6219986051609059E-3</v>
      </c>
      <c r="G6058" s="78"/>
      <c r="H6058" t="s">
        <v>2428</v>
      </c>
    </row>
    <row r="6059" spans="1:8" hidden="1" outlineLevel="1" x14ac:dyDescent="0.25">
      <c r="A6059" s="999">
        <v>0.04</v>
      </c>
      <c r="B6059" s="1012" t="s">
        <v>3424</v>
      </c>
      <c r="C6059" s="1155">
        <v>27.396000000000001</v>
      </c>
      <c r="D6059" s="908">
        <v>38.68</v>
      </c>
      <c r="E6059" s="896">
        <v>0.41188494670754849</v>
      </c>
      <c r="F6059" s="946">
        <v>1.647539786830194E-2</v>
      </c>
      <c r="G6059" s="78"/>
      <c r="H6059" t="s">
        <v>3558</v>
      </c>
    </row>
    <row r="6060" spans="1:8" hidden="1" outlineLevel="1" x14ac:dyDescent="0.25">
      <c r="A6060" s="999">
        <v>0.02</v>
      </c>
      <c r="B6060" s="1012" t="s">
        <v>2586</v>
      </c>
      <c r="C6060" s="1155">
        <v>26.318000000000001</v>
      </c>
      <c r="D6060" s="908">
        <v>25.63</v>
      </c>
      <c r="E6060" s="896">
        <v>-2.6141804088456677E-2</v>
      </c>
      <c r="F6060" s="946">
        <v>-5.228360817691335E-4</v>
      </c>
      <c r="G6060" s="78"/>
      <c r="H6060" t="s">
        <v>2720</v>
      </c>
    </row>
    <row r="6061" spans="1:8" hidden="1" outlineLevel="1" x14ac:dyDescent="0.25">
      <c r="A6061" s="999">
        <v>0.03</v>
      </c>
      <c r="B6061" s="1012" t="s">
        <v>3801</v>
      </c>
      <c r="C6061" s="1155">
        <v>77.847999999999999</v>
      </c>
      <c r="D6061" s="908">
        <v>30.945</v>
      </c>
      <c r="E6061" s="896">
        <v>-0.60249460487103068</v>
      </c>
      <c r="F6061" s="946">
        <v>-1.8074838146130919E-2</v>
      </c>
      <c r="G6061" s="78"/>
      <c r="H6061" t="s">
        <v>2819</v>
      </c>
    </row>
    <row r="6062" spans="1:8" hidden="1" outlineLevel="1" x14ac:dyDescent="0.25">
      <c r="A6062" s="999">
        <v>0.02</v>
      </c>
      <c r="B6062" s="1012" t="s">
        <v>1214</v>
      </c>
      <c r="C6062" s="1155">
        <v>75.676000000000002</v>
      </c>
      <c r="D6062" s="908">
        <v>76.22</v>
      </c>
      <c r="E6062" s="896">
        <v>7.1885406205400848E-3</v>
      </c>
      <c r="F6062" s="946">
        <v>1.437708124108017E-4</v>
      </c>
      <c r="G6062" s="78"/>
      <c r="H6062" t="s">
        <v>3775</v>
      </c>
    </row>
    <row r="6063" spans="1:8" hidden="1" outlineLevel="1" x14ac:dyDescent="0.25">
      <c r="A6063" s="999">
        <v>0.02</v>
      </c>
      <c r="B6063" s="1012" t="s">
        <v>231</v>
      </c>
      <c r="C6063" s="1155">
        <v>56.456000000000003</v>
      </c>
      <c r="D6063" s="908">
        <v>19.73</v>
      </c>
      <c r="E6063" s="896">
        <v>-0.65052430211137879</v>
      </c>
      <c r="F6063" s="946">
        <v>-1.3010486042227576E-2</v>
      </c>
      <c r="G6063" s="78"/>
      <c r="H6063" t="s">
        <v>640</v>
      </c>
    </row>
    <row r="6064" spans="1:8" hidden="1" outlineLevel="1" x14ac:dyDescent="0.25">
      <c r="A6064" s="999">
        <v>0.03</v>
      </c>
      <c r="B6064" s="1012" t="s">
        <v>577</v>
      </c>
      <c r="C6064" s="1155">
        <v>19.167999999999999</v>
      </c>
      <c r="D6064" s="908">
        <v>15.38</v>
      </c>
      <c r="E6064" s="896">
        <v>-0.19762103505843065</v>
      </c>
      <c r="F6064" s="946">
        <v>-5.928631051752919E-3</v>
      </c>
      <c r="G6064" s="78"/>
      <c r="H6064" t="s">
        <v>2804</v>
      </c>
    </row>
    <row r="6065" spans="1:8" hidden="1" outlineLevel="1" x14ac:dyDescent="0.25">
      <c r="A6065" s="999">
        <v>0.02</v>
      </c>
      <c r="B6065" s="1012" t="s">
        <v>1183</v>
      </c>
      <c r="C6065" s="1155">
        <v>55.887</v>
      </c>
      <c r="D6065" s="908">
        <v>37.814999999999998</v>
      </c>
      <c r="E6065" s="896">
        <v>-0.32336679370873378</v>
      </c>
      <c r="F6065" s="946">
        <v>-6.4673358741746756E-3</v>
      </c>
      <c r="G6065" s="78"/>
      <c r="H6065" t="s">
        <v>2805</v>
      </c>
    </row>
    <row r="6066" spans="1:8" hidden="1" outlineLevel="1" x14ac:dyDescent="0.25">
      <c r="A6066" s="999">
        <v>0.03</v>
      </c>
      <c r="B6066" s="1012" t="s">
        <v>3169</v>
      </c>
      <c r="C6066" s="1155">
        <v>26.004999999999999</v>
      </c>
      <c r="D6066" s="715">
        <v>16.25</v>
      </c>
      <c r="E6066" s="947">
        <v>-0.3751201691982311</v>
      </c>
      <c r="F6066" s="1023">
        <v>-1.1253605075946933E-2</v>
      </c>
      <c r="G6066" s="78"/>
      <c r="H6066" t="s">
        <v>657</v>
      </c>
    </row>
    <row r="6067" spans="1:8" hidden="1" outlineLevel="1" x14ac:dyDescent="0.25">
      <c r="A6067" s="1014"/>
      <c r="B6067" s="1015"/>
      <c r="C6067" s="1016"/>
      <c r="D6067" s="798"/>
      <c r="E6067" s="709"/>
      <c r="F6067" s="1666">
        <v>-0.29874587085232729</v>
      </c>
      <c r="G6067" s="78"/>
    </row>
    <row r="6068" spans="1:8" hidden="1" outlineLevel="1" x14ac:dyDescent="0.25">
      <c r="A6068" s="1017"/>
      <c r="B6068" s="1018"/>
      <c r="C6068" s="837"/>
      <c r="D6068" s="798"/>
      <c r="E6068" s="709"/>
      <c r="F6068" s="1666"/>
      <c r="G6068" s="78"/>
    </row>
    <row r="6069" spans="1:8" hidden="1" outlineLevel="1" x14ac:dyDescent="0.25">
      <c r="A6069" s="725" t="s">
        <v>113</v>
      </c>
      <c r="B6069" s="725"/>
      <c r="C6069" s="1019"/>
      <c r="D6069" s="1019"/>
      <c r="E6069" s="729"/>
      <c r="F6069" s="1188"/>
      <c r="G6069" s="78"/>
      <c r="H6069" s="370"/>
    </row>
    <row r="6070" spans="1:8" hidden="1" outlineLevel="1" x14ac:dyDescent="0.25">
      <c r="A6070" s="732" t="s">
        <v>2009</v>
      </c>
      <c r="B6070" s="690" t="s">
        <v>110</v>
      </c>
      <c r="C6070" s="691"/>
      <c r="D6070" s="691"/>
      <c r="E6070" s="691"/>
      <c r="F6070" s="1021">
        <v>0.04</v>
      </c>
      <c r="G6070" s="78"/>
      <c r="H6070" s="370"/>
    </row>
    <row r="6071" spans="1:8" hidden="1" outlineLevel="1" x14ac:dyDescent="0.25">
      <c r="A6071" s="732" t="s">
        <v>2010</v>
      </c>
      <c r="B6071" s="706" t="s">
        <v>110</v>
      </c>
      <c r="C6071" s="1022"/>
      <c r="D6071" s="1022"/>
      <c r="E6071" s="1022"/>
      <c r="F6071" s="946">
        <v>0.01</v>
      </c>
      <c r="G6071" s="78"/>
      <c r="H6071" s="413"/>
    </row>
    <row r="6072" spans="1:8" hidden="1" outlineLevel="1" x14ac:dyDescent="0.25">
      <c r="A6072" s="732" t="s">
        <v>2011</v>
      </c>
      <c r="B6072" s="706" t="s">
        <v>110</v>
      </c>
      <c r="C6072" s="1022"/>
      <c r="D6072" s="1022"/>
      <c r="E6072" s="1022"/>
      <c r="F6072" s="946">
        <v>0.01</v>
      </c>
      <c r="G6072" s="78"/>
    </row>
    <row r="6073" spans="1:8" collapsed="1" x14ac:dyDescent="0.25">
      <c r="A6073" s="3803" t="s">
        <v>2611</v>
      </c>
      <c r="B6073" s="3804"/>
      <c r="C6073" s="3804"/>
      <c r="D6073" s="1019"/>
      <c r="E6073" s="1019"/>
      <c r="F6073" s="934">
        <v>6.0000000000000005E-2</v>
      </c>
      <c r="G6073" s="97" t="s">
        <v>781</v>
      </c>
    </row>
    <row r="6075" spans="1:8" hidden="1" outlineLevel="1" x14ac:dyDescent="0.25">
      <c r="A6075" s="689" t="s">
        <v>113</v>
      </c>
      <c r="B6075" s="689" t="s">
        <v>114</v>
      </c>
      <c r="C6075" s="689" t="s">
        <v>112</v>
      </c>
      <c r="D6075" s="689" t="s">
        <v>4155</v>
      </c>
      <c r="E6075" s="689" t="s">
        <v>117</v>
      </c>
      <c r="F6075" s="1188" t="s">
        <v>121</v>
      </c>
    </row>
    <row r="6076" spans="1:8" hidden="1" outlineLevel="1" x14ac:dyDescent="0.25">
      <c r="A6076" s="732" t="s">
        <v>2613</v>
      </c>
      <c r="B6076" s="691" t="s">
        <v>3531</v>
      </c>
      <c r="C6076" s="692">
        <v>100</v>
      </c>
      <c r="D6076" s="692">
        <v>77.235399999999998</v>
      </c>
      <c r="E6076" s="693">
        <v>-0.22764600000000002</v>
      </c>
      <c r="F6076" s="694">
        <v>-0.17073450000000001</v>
      </c>
    </row>
    <row r="6077" spans="1:8" collapsed="1" x14ac:dyDescent="0.25">
      <c r="A6077" s="3801" t="s">
        <v>2612</v>
      </c>
      <c r="B6077" s="3802"/>
      <c r="C6077" s="3802"/>
      <c r="D6077" s="3802"/>
      <c r="E6077" s="721"/>
      <c r="F6077" s="722">
        <v>0</v>
      </c>
      <c r="G6077" s="97" t="s">
        <v>781</v>
      </c>
    </row>
    <row r="6079" spans="1:8" hidden="1" outlineLevel="1" x14ac:dyDescent="0.25">
      <c r="A6079" s="689" t="s">
        <v>113</v>
      </c>
      <c r="B6079" s="689" t="s">
        <v>114</v>
      </c>
      <c r="C6079" s="689" t="s">
        <v>112</v>
      </c>
      <c r="D6079" s="689" t="s">
        <v>116</v>
      </c>
      <c r="E6079" s="689" t="s">
        <v>117</v>
      </c>
      <c r="F6079" s="1188" t="s">
        <v>121</v>
      </c>
      <c r="G6079" s="78"/>
    </row>
    <row r="6080" spans="1:8" hidden="1" outlineLevel="1" x14ac:dyDescent="0.25">
      <c r="A6080" s="690">
        <v>1</v>
      </c>
      <c r="B6080" s="691" t="s">
        <v>252</v>
      </c>
      <c r="C6080" s="692">
        <v>100</v>
      </c>
      <c r="D6080" s="692"/>
      <c r="E6080" s="693"/>
      <c r="F6080" s="694"/>
      <c r="G6080" s="78"/>
    </row>
    <row r="6081" spans="1:10" hidden="1" outlineLevel="1" x14ac:dyDescent="0.25">
      <c r="A6081" s="695"/>
      <c r="B6081" s="695"/>
      <c r="C6081" s="696"/>
      <c r="D6081" s="697" t="s">
        <v>3702</v>
      </c>
      <c r="E6081" s="698">
        <v>41152</v>
      </c>
      <c r="F6081" s="699"/>
      <c r="G6081" s="78"/>
    </row>
    <row r="6082" spans="1:10" hidden="1" outlineLevel="1" x14ac:dyDescent="0.25">
      <c r="A6082" s="689" t="s">
        <v>4156</v>
      </c>
      <c r="B6082" s="689" t="s">
        <v>4153</v>
      </c>
      <c r="C6082" s="497" t="s">
        <v>112</v>
      </c>
      <c r="D6082" s="495" t="s">
        <v>4155</v>
      </c>
      <c r="E6082" s="689" t="s">
        <v>4154</v>
      </c>
      <c r="F6082" s="1021" t="s">
        <v>2519</v>
      </c>
      <c r="G6082" s="78"/>
    </row>
    <row r="6083" spans="1:10" hidden="1" outlineLevel="1" x14ac:dyDescent="0.25">
      <c r="A6083" s="999">
        <v>0.04</v>
      </c>
      <c r="B6083" s="1000" t="s">
        <v>359</v>
      </c>
      <c r="C6083" s="1001">
        <v>116.26400006036425</v>
      </c>
      <c r="D6083" s="803">
        <v>87.27</v>
      </c>
      <c r="E6083" s="705">
        <v>-0.24938072013099999</v>
      </c>
      <c r="F6083" s="1021">
        <v>-9.9752288052400006E-3</v>
      </c>
      <c r="G6083" s="78"/>
      <c r="H6083" t="s">
        <v>360</v>
      </c>
      <c r="J6083" s="31"/>
    </row>
    <row r="6084" spans="1:10" hidden="1" outlineLevel="1" x14ac:dyDescent="0.25">
      <c r="A6084" s="1002">
        <v>0.04</v>
      </c>
      <c r="B6084" s="987" t="s">
        <v>1993</v>
      </c>
      <c r="C6084" s="1003">
        <v>73.189000038746272</v>
      </c>
      <c r="D6084" s="908">
        <v>123.25999999999999</v>
      </c>
      <c r="E6084" s="709">
        <v>0.68413286060399958</v>
      </c>
      <c r="F6084" s="946">
        <v>2.7365314424159983E-2</v>
      </c>
      <c r="G6084" s="78"/>
      <c r="H6084" t="s">
        <v>2812</v>
      </c>
      <c r="I6084" s="39" t="s">
        <v>3533</v>
      </c>
      <c r="J6084" s="31"/>
    </row>
    <row r="6085" spans="1:10" hidden="1" outlineLevel="1" x14ac:dyDescent="0.25">
      <c r="A6085" s="1002">
        <v>0.04</v>
      </c>
      <c r="B6085" s="996" t="s">
        <v>2984</v>
      </c>
      <c r="C6085" s="1003">
        <v>13.691000002024214</v>
      </c>
      <c r="D6085" s="908">
        <v>6.0730000000000004</v>
      </c>
      <c r="E6085" s="709">
        <v>-0.55642392819354991</v>
      </c>
      <c r="F6085" s="946">
        <v>-2.2256957127741998E-2</v>
      </c>
      <c r="G6085" s="78"/>
      <c r="H6085" t="s">
        <v>2326</v>
      </c>
      <c r="J6085" s="31"/>
    </row>
    <row r="6086" spans="1:10" hidden="1" outlineLevel="1" x14ac:dyDescent="0.25">
      <c r="A6086" s="1002">
        <v>0.03</v>
      </c>
      <c r="B6086" s="996" t="s">
        <v>157</v>
      </c>
      <c r="C6086" s="1003">
        <v>11.821999999972414</v>
      </c>
      <c r="D6086" s="908">
        <v>5.67</v>
      </c>
      <c r="E6086" s="709">
        <v>-0.52038572153499996</v>
      </c>
      <c r="F6086" s="946">
        <v>-1.5611571646049998E-2</v>
      </c>
      <c r="G6086" s="78"/>
      <c r="H6086" t="s">
        <v>730</v>
      </c>
      <c r="J6086" s="31"/>
    </row>
    <row r="6087" spans="1:10" hidden="1" outlineLevel="1" x14ac:dyDescent="0.25">
      <c r="A6087" s="1002">
        <v>0.05</v>
      </c>
      <c r="B6087" s="996" t="s">
        <v>1184</v>
      </c>
      <c r="C6087" s="1003">
        <v>43.149500026139101</v>
      </c>
      <c r="D6087" s="908">
        <v>61.81</v>
      </c>
      <c r="E6087" s="709">
        <v>0.43246155720360013</v>
      </c>
      <c r="F6087" s="946">
        <v>2.1623077860180008E-2</v>
      </c>
      <c r="G6087" s="78"/>
      <c r="H6087" t="s">
        <v>3497</v>
      </c>
      <c r="J6087" s="31"/>
    </row>
    <row r="6088" spans="1:10" hidden="1" outlineLevel="1" x14ac:dyDescent="0.25">
      <c r="A6088" s="1002">
        <v>0.03</v>
      </c>
      <c r="B6088" s="996" t="s">
        <v>901</v>
      </c>
      <c r="C6088" s="1003">
        <v>1848.29999998318</v>
      </c>
      <c r="D6088" s="908">
        <v>3301.5</v>
      </c>
      <c r="E6088" s="709">
        <v>0.78623600066550048</v>
      </c>
      <c r="F6088" s="946">
        <v>2.3587080019965012E-2</v>
      </c>
      <c r="G6088" s="78"/>
      <c r="H6088" t="s">
        <v>531</v>
      </c>
      <c r="J6088" s="31"/>
    </row>
    <row r="6089" spans="1:10" hidden="1" outlineLevel="1" x14ac:dyDescent="0.25">
      <c r="A6089" s="1002">
        <v>0.03</v>
      </c>
      <c r="B6089" s="996" t="s">
        <v>1847</v>
      </c>
      <c r="C6089" s="1003">
        <v>254.44000005238098</v>
      </c>
      <c r="D6089" s="908">
        <v>29.71</v>
      </c>
      <c r="E6089" s="709">
        <v>-0.88323376829946676</v>
      </c>
      <c r="F6089" s="946">
        <v>-2.6497013048984001E-2</v>
      </c>
      <c r="G6089" s="78"/>
      <c r="H6089" t="s">
        <v>2749</v>
      </c>
      <c r="J6089" s="31"/>
    </row>
    <row r="6090" spans="1:10" hidden="1" outlineLevel="1" x14ac:dyDescent="0.25">
      <c r="A6090" s="1002">
        <v>0.02</v>
      </c>
      <c r="B6090" s="743" t="s">
        <v>1212</v>
      </c>
      <c r="C6090" s="1003">
        <v>54.609999941266949</v>
      </c>
      <c r="D6090" s="908">
        <v>18.440000000000001</v>
      </c>
      <c r="E6090" s="709">
        <v>-0.66233290569800007</v>
      </c>
      <c r="F6090" s="946">
        <v>-1.3246658113960003E-2</v>
      </c>
      <c r="G6090" s="78"/>
      <c r="H6090" t="s">
        <v>4229</v>
      </c>
      <c r="J6090" s="31"/>
    </row>
    <row r="6091" spans="1:10" hidden="1" outlineLevel="1" x14ac:dyDescent="0.25">
      <c r="A6091" s="1002">
        <v>0.04</v>
      </c>
      <c r="B6091" s="939" t="s">
        <v>2699</v>
      </c>
      <c r="C6091" s="1003">
        <v>22.383999995594831</v>
      </c>
      <c r="D6091" s="908">
        <v>15.445</v>
      </c>
      <c r="E6091" s="709">
        <v>-0.30999821287350005</v>
      </c>
      <c r="F6091" s="946">
        <v>-1.2399928514940001E-2</v>
      </c>
      <c r="G6091" s="78"/>
      <c r="H6091" t="s">
        <v>505</v>
      </c>
      <c r="J6091" s="31"/>
    </row>
    <row r="6092" spans="1:10" hidden="1" outlineLevel="1" x14ac:dyDescent="0.25">
      <c r="A6092" s="1002">
        <v>0.02</v>
      </c>
      <c r="B6092" s="996" t="s">
        <v>3406</v>
      </c>
      <c r="C6092" s="1003">
        <v>1054.2999998187699</v>
      </c>
      <c r="D6092" s="908">
        <v>1725</v>
      </c>
      <c r="E6092" s="709">
        <v>0.63615669192499369</v>
      </c>
      <c r="F6092" s="946">
        <v>1.2723133838499875E-2</v>
      </c>
      <c r="G6092" s="78"/>
      <c r="H6092" t="s">
        <v>2105</v>
      </c>
      <c r="J6092" s="31"/>
    </row>
    <row r="6093" spans="1:10" hidden="1" outlineLevel="1" x14ac:dyDescent="0.25">
      <c r="A6093" s="1002">
        <v>0.03</v>
      </c>
      <c r="B6093" s="996" t="s">
        <v>1231</v>
      </c>
      <c r="C6093" s="1003">
        <v>54.825000010188305</v>
      </c>
      <c r="D6093" s="908">
        <v>64.78</v>
      </c>
      <c r="E6093" s="709">
        <v>0.18157774715844455</v>
      </c>
      <c r="F6093" s="946">
        <v>5.4473324147533359E-3</v>
      </c>
      <c r="G6093" s="78"/>
      <c r="H6093" t="s">
        <v>2041</v>
      </c>
      <c r="J6093" s="31"/>
    </row>
    <row r="6094" spans="1:10" hidden="1" outlineLevel="1" x14ac:dyDescent="0.25">
      <c r="A6094" s="1002">
        <v>0.06</v>
      </c>
      <c r="B6094" s="996" t="s">
        <v>3798</v>
      </c>
      <c r="C6094" s="1003">
        <v>7.4063000000585948</v>
      </c>
      <c r="D6094" s="908">
        <v>2.62</v>
      </c>
      <c r="E6094" s="709">
        <v>-0.64624711394633327</v>
      </c>
      <c r="F6094" s="946">
        <v>-3.8774826836779998E-2</v>
      </c>
      <c r="G6094" s="78"/>
      <c r="H6094" t="s">
        <v>4122</v>
      </c>
      <c r="J6094" s="31"/>
    </row>
    <row r="6095" spans="1:10" hidden="1" outlineLevel="1" x14ac:dyDescent="0.25">
      <c r="A6095" s="1002">
        <v>0.03</v>
      </c>
      <c r="B6095" s="996" t="s">
        <v>4268</v>
      </c>
      <c r="C6095" s="1003">
        <v>28.387124865848122</v>
      </c>
      <c r="D6095" s="908">
        <v>14.69</v>
      </c>
      <c r="E6095" s="709">
        <v>-0.48251187573866661</v>
      </c>
      <c r="F6095" s="946">
        <v>-1.4475356272159998E-2</v>
      </c>
      <c r="G6095" s="78"/>
      <c r="H6095" t="s">
        <v>1801</v>
      </c>
      <c r="J6095" s="31"/>
    </row>
    <row r="6096" spans="1:10" hidden="1" outlineLevel="1" x14ac:dyDescent="0.25">
      <c r="A6096" s="1002">
        <v>0.04</v>
      </c>
      <c r="B6096" s="743" t="s">
        <v>1771</v>
      </c>
      <c r="C6096" s="1003">
        <v>749.85000005285497</v>
      </c>
      <c r="D6096" s="908">
        <v>547.1</v>
      </c>
      <c r="E6096" s="709">
        <v>-0.27038741086692486</v>
      </c>
      <c r="F6096" s="946">
        <v>-1.0815496434676995E-2</v>
      </c>
      <c r="G6096" s="78"/>
      <c r="H6096" t="s">
        <v>4329</v>
      </c>
      <c r="J6096" s="31"/>
    </row>
    <row r="6097" spans="1:10" hidden="1" outlineLevel="1" x14ac:dyDescent="0.25">
      <c r="A6097" s="1002">
        <v>0.06</v>
      </c>
      <c r="B6097" s="996" t="s">
        <v>2588</v>
      </c>
      <c r="C6097" s="1003">
        <v>21.609000003288887</v>
      </c>
      <c r="D6097" s="908">
        <v>6.0819999999999999</v>
      </c>
      <c r="E6097" s="709">
        <v>-0.71854319963559998</v>
      </c>
      <c r="F6097" s="946">
        <v>-4.3112591978135995E-2</v>
      </c>
      <c r="G6097" s="78"/>
      <c r="H6097" t="s">
        <v>4132</v>
      </c>
      <c r="J6097" s="31"/>
    </row>
    <row r="6098" spans="1:10" hidden="1" outlineLevel="1" x14ac:dyDescent="0.25">
      <c r="A6098" s="1002">
        <v>0.02</v>
      </c>
      <c r="B6098" s="743" t="s">
        <v>4376</v>
      </c>
      <c r="C6098" s="1003">
        <v>43.400000008245996</v>
      </c>
      <c r="D6098" s="908">
        <v>37.14</v>
      </c>
      <c r="E6098" s="709">
        <v>-0.14423963149899988</v>
      </c>
      <c r="F6098" s="946">
        <v>-2.8847926299799976E-3</v>
      </c>
      <c r="G6098" s="78"/>
      <c r="H6098" t="s">
        <v>4326</v>
      </c>
      <c r="J6098" s="31"/>
    </row>
    <row r="6099" spans="1:10" hidden="1" outlineLevel="1" x14ac:dyDescent="0.25">
      <c r="A6099" s="1002">
        <v>0.03</v>
      </c>
      <c r="B6099" s="996" t="s">
        <v>1526</v>
      </c>
      <c r="C6099" s="1003">
        <v>83.983000161107384</v>
      </c>
      <c r="D6099" s="908">
        <v>17.285</v>
      </c>
      <c r="E6099" s="709">
        <v>-0.79418453774166664</v>
      </c>
      <c r="F6099" s="946">
        <v>-2.3825536132249997E-2</v>
      </c>
      <c r="G6099" s="78"/>
      <c r="H6099" t="s">
        <v>4146</v>
      </c>
      <c r="J6099" s="31"/>
    </row>
    <row r="6100" spans="1:10" hidden="1" outlineLevel="1" x14ac:dyDescent="0.25">
      <c r="A6100" s="1002">
        <v>0.04</v>
      </c>
      <c r="B6100" s="740" t="s">
        <v>2160</v>
      </c>
      <c r="C6100" s="1003">
        <v>30.75199999783506</v>
      </c>
      <c r="D6100" s="908">
        <v>38.61</v>
      </c>
      <c r="E6100" s="709">
        <v>0.25552809582199987</v>
      </c>
      <c r="F6100" s="946">
        <v>1.0221123832879995E-2</v>
      </c>
      <c r="G6100" s="78"/>
      <c r="H6100" t="s">
        <v>5507</v>
      </c>
      <c r="J6100" s="31"/>
    </row>
    <row r="6101" spans="1:10" hidden="1" outlineLevel="1" x14ac:dyDescent="0.25">
      <c r="A6101" s="1002">
        <v>0.03</v>
      </c>
      <c r="B6101" s="740" t="s">
        <v>1905</v>
      </c>
      <c r="C6101" s="1003">
        <v>46.807000033662035</v>
      </c>
      <c r="D6101" s="908">
        <v>43.05</v>
      </c>
      <c r="E6101" s="709">
        <v>-8.026577287500003E-2</v>
      </c>
      <c r="F6101" s="946">
        <v>-2.407973186250001E-3</v>
      </c>
      <c r="G6101" s="78"/>
      <c r="H6101" t="s">
        <v>504</v>
      </c>
      <c r="J6101" s="31"/>
    </row>
    <row r="6102" spans="1:10" hidden="1" outlineLevel="1" x14ac:dyDescent="0.25">
      <c r="A6102" s="1002">
        <v>0.03</v>
      </c>
      <c r="B6102" s="743" t="s">
        <v>3797</v>
      </c>
      <c r="C6102" s="1003">
        <v>47.6800000661163</v>
      </c>
      <c r="D6102" s="908">
        <v>59.35</v>
      </c>
      <c r="E6102" s="709">
        <v>0.24475670968333252</v>
      </c>
      <c r="F6102" s="946">
        <v>7.3427012904999749E-3</v>
      </c>
      <c r="G6102" s="78"/>
      <c r="H6102" t="s">
        <v>3848</v>
      </c>
      <c r="J6102" s="31"/>
    </row>
    <row r="6103" spans="1:10" hidden="1" outlineLevel="1" x14ac:dyDescent="0.25">
      <c r="A6103" s="1002">
        <v>0.04</v>
      </c>
      <c r="B6103" s="939" t="s">
        <v>459</v>
      </c>
      <c r="C6103" s="1003">
        <v>957.19999856419997</v>
      </c>
      <c r="D6103" s="908">
        <v>730</v>
      </c>
      <c r="E6103" s="709">
        <v>-0.23735896249999999</v>
      </c>
      <c r="F6103" s="946">
        <v>-9.4943584999999994E-3</v>
      </c>
      <c r="G6103" s="78"/>
      <c r="H6103" t="s">
        <v>639</v>
      </c>
      <c r="J6103" s="31"/>
    </row>
    <row r="6104" spans="1:10" hidden="1" outlineLevel="1" x14ac:dyDescent="0.25">
      <c r="A6104" s="1002">
        <v>0.03</v>
      </c>
      <c r="B6104" s="996" t="s">
        <v>1190</v>
      </c>
      <c r="C6104" s="1003">
        <v>24.867999992891065</v>
      </c>
      <c r="D6104" s="908">
        <v>2.2599999999999998</v>
      </c>
      <c r="E6104" s="709">
        <v>-0.90912015438933336</v>
      </c>
      <c r="F6104" s="946">
        <v>-2.727360463168E-2</v>
      </c>
      <c r="G6104" s="78"/>
      <c r="H6104" t="s">
        <v>7569</v>
      </c>
      <c r="J6104" s="31"/>
    </row>
    <row r="6105" spans="1:10" hidden="1" outlineLevel="1" x14ac:dyDescent="0.25">
      <c r="A6105" s="1002">
        <v>0.04</v>
      </c>
      <c r="B6105" s="996" t="s">
        <v>1414</v>
      </c>
      <c r="C6105" s="1003">
        <v>22.554999995331116</v>
      </c>
      <c r="D6105" s="908">
        <v>23.86</v>
      </c>
      <c r="E6105" s="709">
        <v>5.7858568164000035E-2</v>
      </c>
      <c r="F6105" s="946">
        <v>2.3143427265600014E-3</v>
      </c>
      <c r="G6105" s="78"/>
      <c r="H6105" t="s">
        <v>2428</v>
      </c>
      <c r="J6105" s="31"/>
    </row>
    <row r="6106" spans="1:10" hidden="1" outlineLevel="1" x14ac:dyDescent="0.25">
      <c r="A6106" s="1002">
        <v>0.02</v>
      </c>
      <c r="B6106" s="996" t="s">
        <v>1653</v>
      </c>
      <c r="C6106" s="1003">
        <v>11.89400000116799</v>
      </c>
      <c r="D6106" s="908">
        <v>10.38</v>
      </c>
      <c r="E6106" s="709">
        <v>-0.12729107121399985</v>
      </c>
      <c r="F6106" s="946">
        <v>-2.5458214242799972E-3</v>
      </c>
      <c r="G6106" s="78"/>
      <c r="H6106" t="s">
        <v>285</v>
      </c>
      <c r="J6106" s="31"/>
    </row>
    <row r="6107" spans="1:10" hidden="1" outlineLevel="1" x14ac:dyDescent="0.25">
      <c r="A6107" s="1002">
        <v>0.04</v>
      </c>
      <c r="B6107" s="743" t="s">
        <v>3424</v>
      </c>
      <c r="C6107" s="1003">
        <v>32.1439999768563</v>
      </c>
      <c r="D6107" s="908">
        <v>46.1</v>
      </c>
      <c r="E6107" s="709">
        <v>0.43417123050000095</v>
      </c>
      <c r="F6107" s="946">
        <v>1.7366849220000039E-2</v>
      </c>
      <c r="G6107" s="78"/>
      <c r="H6107" t="s">
        <v>3558</v>
      </c>
      <c r="J6107" s="31"/>
    </row>
    <row r="6108" spans="1:10" hidden="1" outlineLevel="1" x14ac:dyDescent="0.25">
      <c r="A6108" s="1002">
        <v>0.03</v>
      </c>
      <c r="B6108" s="743" t="s">
        <v>3801</v>
      </c>
      <c r="C6108" s="1003">
        <v>85.67899991975591</v>
      </c>
      <c r="D6108" s="908">
        <v>33.344999999999999</v>
      </c>
      <c r="E6108" s="709">
        <v>-0.61081478505550002</v>
      </c>
      <c r="F6108" s="946">
        <v>-1.8324443551665001E-2</v>
      </c>
      <c r="G6108" s="78"/>
      <c r="H6108" t="s">
        <v>2819</v>
      </c>
      <c r="J6108" s="31"/>
    </row>
    <row r="6109" spans="1:10" hidden="1" outlineLevel="1" x14ac:dyDescent="0.25">
      <c r="A6109" s="1002">
        <v>0.02</v>
      </c>
      <c r="B6109" s="743" t="s">
        <v>1214</v>
      </c>
      <c r="C6109" s="1003">
        <v>88.707000113323204</v>
      </c>
      <c r="D6109" s="908">
        <v>75.42</v>
      </c>
      <c r="E6109" s="709">
        <v>-0.14978524915000013</v>
      </c>
      <c r="F6109" s="946">
        <v>-2.9957049830000027E-3</v>
      </c>
      <c r="G6109" s="78"/>
      <c r="H6109" t="s">
        <v>3775</v>
      </c>
      <c r="J6109" s="31"/>
    </row>
    <row r="6110" spans="1:10" hidden="1" outlineLevel="1" x14ac:dyDescent="0.25">
      <c r="A6110" s="1002">
        <v>0.02</v>
      </c>
      <c r="B6110" s="743" t="s">
        <v>231</v>
      </c>
      <c r="C6110" s="1003">
        <v>63.111000075020051</v>
      </c>
      <c r="D6110" s="908">
        <v>25.17</v>
      </c>
      <c r="E6110" s="709">
        <v>-0.60117887578899998</v>
      </c>
      <c r="F6110" s="946">
        <v>-1.2023577515779999E-2</v>
      </c>
      <c r="G6110" s="78"/>
      <c r="H6110" t="s">
        <v>640</v>
      </c>
      <c r="J6110" s="31"/>
    </row>
    <row r="6111" spans="1:10" hidden="1" outlineLevel="1" x14ac:dyDescent="0.25">
      <c r="A6111" s="1002">
        <v>0.02</v>
      </c>
      <c r="B6111" s="743" t="s">
        <v>3902</v>
      </c>
      <c r="C6111" s="1003">
        <v>98.924999833311375</v>
      </c>
      <c r="D6111" s="908">
        <v>118.4</v>
      </c>
      <c r="E6111" s="709">
        <v>0.19686631488000006</v>
      </c>
      <c r="F6111" s="946">
        <v>3.9373262976000016E-3</v>
      </c>
      <c r="G6111" s="78"/>
      <c r="H6111" t="s">
        <v>641</v>
      </c>
      <c r="J6111" s="31"/>
    </row>
    <row r="6112" spans="1:10" hidden="1" outlineLevel="1" x14ac:dyDescent="0.25">
      <c r="A6112" s="1002">
        <v>0.03</v>
      </c>
      <c r="B6112" s="997" t="s">
        <v>577</v>
      </c>
      <c r="C6112" s="1003">
        <v>19.153999998774143</v>
      </c>
      <c r="D6112" s="715">
        <v>10.039999999999999</v>
      </c>
      <c r="E6112" s="709">
        <v>-0.47582750336000001</v>
      </c>
      <c r="F6112" s="946">
        <v>-1.42748251008E-2</v>
      </c>
      <c r="G6112" s="78"/>
      <c r="H6112" t="s">
        <v>2804</v>
      </c>
      <c r="J6112" s="31"/>
    </row>
    <row r="6113" spans="1:10" hidden="1" outlineLevel="1" x14ac:dyDescent="0.25">
      <c r="A6113" s="1099"/>
      <c r="B6113" s="1000"/>
      <c r="C6113" s="736"/>
      <c r="D6113" s="741"/>
      <c r="E6113" s="895"/>
      <c r="F6113" s="1021">
        <v>-0.1912879845092558</v>
      </c>
      <c r="G6113" s="78"/>
      <c r="J6113" s="31"/>
    </row>
    <row r="6114" spans="1:10" hidden="1" outlineLevel="1" x14ac:dyDescent="0.25">
      <c r="A6114" s="751" t="s">
        <v>2636</v>
      </c>
      <c r="B6114" s="1100">
        <v>39569</v>
      </c>
      <c r="C6114" s="719">
        <v>100</v>
      </c>
      <c r="D6114" s="719">
        <v>98.915400000000005</v>
      </c>
      <c r="E6114" s="720">
        <v>-1.0845999999999911E-2</v>
      </c>
      <c r="F6114" s="731">
        <v>-1.0845999999999911E-2</v>
      </c>
      <c r="G6114" s="78"/>
    </row>
    <row r="6115" spans="1:10" hidden="1" outlineLevel="1" x14ac:dyDescent="0.25">
      <c r="A6115" s="751" t="s">
        <v>2637</v>
      </c>
      <c r="B6115" s="985">
        <v>39661</v>
      </c>
      <c r="C6115" s="727">
        <v>100</v>
      </c>
      <c r="D6115" s="727">
        <v>89.715100000000007</v>
      </c>
      <c r="E6115" s="720">
        <v>-0.10284899999999997</v>
      </c>
      <c r="F6115" s="731">
        <v>-0.10284899999999997</v>
      </c>
      <c r="G6115" s="78"/>
    </row>
    <row r="6116" spans="1:10" hidden="1" outlineLevel="1" x14ac:dyDescent="0.25">
      <c r="A6116" s="751" t="s">
        <v>1174</v>
      </c>
      <c r="B6116" s="1100">
        <v>39753</v>
      </c>
      <c r="C6116" s="727">
        <v>100</v>
      </c>
      <c r="D6116" s="727">
        <v>63.274700000000003</v>
      </c>
      <c r="E6116" s="720">
        <v>-0.36725299999999994</v>
      </c>
      <c r="F6116" s="731">
        <v>-0.36725299999999994</v>
      </c>
      <c r="G6116" s="78"/>
    </row>
    <row r="6117" spans="1:10" hidden="1" outlineLevel="1" x14ac:dyDescent="0.25">
      <c r="A6117" s="751" t="s">
        <v>527</v>
      </c>
      <c r="B6117" s="985">
        <v>39845</v>
      </c>
      <c r="C6117" s="727">
        <v>100</v>
      </c>
      <c r="D6117" s="727">
        <v>50.4071</v>
      </c>
      <c r="E6117" s="720">
        <v>-0.49592899999999995</v>
      </c>
      <c r="F6117" s="731">
        <v>-0.49592899999999995</v>
      </c>
      <c r="G6117" s="78"/>
    </row>
    <row r="6118" spans="1:10" hidden="1" outlineLevel="1" x14ac:dyDescent="0.25">
      <c r="A6118" s="751" t="s">
        <v>1849</v>
      </c>
      <c r="B6118" s="1100">
        <v>39934</v>
      </c>
      <c r="C6118" s="727">
        <v>100</v>
      </c>
      <c r="D6118" s="727">
        <v>62.808599999999998</v>
      </c>
      <c r="E6118" s="720">
        <v>-0.37191399999999997</v>
      </c>
      <c r="F6118" s="731">
        <v>-0.37191399999999997</v>
      </c>
      <c r="G6118" s="78"/>
    </row>
    <row r="6119" spans="1:10" hidden="1" outlineLevel="1" x14ac:dyDescent="0.25">
      <c r="A6119" s="751" t="s">
        <v>1850</v>
      </c>
      <c r="B6119" s="985">
        <v>40026</v>
      </c>
      <c r="C6119" s="727">
        <v>100</v>
      </c>
      <c r="D6119" s="727">
        <v>73.2851</v>
      </c>
      <c r="E6119" s="720">
        <v>-0.26714899999999997</v>
      </c>
      <c r="F6119" s="731">
        <v>-0.26714899999999997</v>
      </c>
      <c r="G6119" s="78"/>
    </row>
    <row r="6120" spans="1:10" hidden="1" outlineLevel="1" x14ac:dyDescent="0.25">
      <c r="A6120" s="751" t="s">
        <v>1851</v>
      </c>
      <c r="B6120" s="1100">
        <v>40118</v>
      </c>
      <c r="C6120" s="727">
        <v>100</v>
      </c>
      <c r="D6120" s="727">
        <v>74.598600000000005</v>
      </c>
      <c r="E6120" s="720">
        <v>-0.25401399999999996</v>
      </c>
      <c r="F6120" s="731">
        <v>-0.25401399999999996</v>
      </c>
      <c r="G6120" s="78"/>
    </row>
    <row r="6121" spans="1:10" hidden="1" outlineLevel="1" x14ac:dyDescent="0.25">
      <c r="A6121" s="751" t="s">
        <v>1852</v>
      </c>
      <c r="B6121" s="985">
        <v>40210</v>
      </c>
      <c r="C6121" s="727">
        <v>100</v>
      </c>
      <c r="D6121" s="727">
        <v>75.566599999999994</v>
      </c>
      <c r="E6121" s="720">
        <v>-0.24433400000000005</v>
      </c>
      <c r="F6121" s="731">
        <v>-0.24433400000000005</v>
      </c>
      <c r="G6121" s="78"/>
    </row>
    <row r="6122" spans="1:10" hidden="1" outlineLevel="1" x14ac:dyDescent="0.25">
      <c r="A6122" s="751" t="s">
        <v>1853</v>
      </c>
      <c r="B6122" s="1100">
        <v>40299</v>
      </c>
      <c r="C6122" s="727">
        <v>100</v>
      </c>
      <c r="D6122" s="727">
        <v>71.971400000000003</v>
      </c>
      <c r="E6122" s="720">
        <v>-0.28028599999999992</v>
      </c>
      <c r="F6122" s="731">
        <v>-0.28028599999999992</v>
      </c>
      <c r="G6122" s="78"/>
    </row>
    <row r="6123" spans="1:10" hidden="1" outlineLevel="1" x14ac:dyDescent="0.25">
      <c r="A6123" s="751" t="s">
        <v>1720</v>
      </c>
      <c r="B6123" s="985">
        <v>40391</v>
      </c>
      <c r="C6123" s="727">
        <v>100</v>
      </c>
      <c r="D6123" s="727">
        <v>74.074700000000007</v>
      </c>
      <c r="E6123" s="720">
        <v>-0.25925299999999996</v>
      </c>
      <c r="F6123" s="731">
        <v>-0.25925299999999996</v>
      </c>
      <c r="G6123" s="78"/>
    </row>
    <row r="6124" spans="1:10" hidden="1" outlineLevel="1" x14ac:dyDescent="0.25">
      <c r="A6124" s="751" t="s">
        <v>4295</v>
      </c>
      <c r="B6124" s="1100">
        <v>40483</v>
      </c>
      <c r="C6124" s="727">
        <v>100</v>
      </c>
      <c r="D6124" s="727">
        <v>76.541399999999996</v>
      </c>
      <c r="E6124" s="720">
        <v>-0.23458600000000007</v>
      </c>
      <c r="F6124" s="731">
        <v>-0.23458600000000007</v>
      </c>
      <c r="G6124" s="78"/>
    </row>
    <row r="6125" spans="1:10" hidden="1" outlineLevel="1" x14ac:dyDescent="0.25">
      <c r="A6125" s="751" t="s">
        <v>4296</v>
      </c>
      <c r="B6125" s="985">
        <v>40575</v>
      </c>
      <c r="C6125" s="727">
        <v>100</v>
      </c>
      <c r="D6125" s="727">
        <v>84.229699999999994</v>
      </c>
      <c r="E6125" s="720">
        <v>-0.15770300000000004</v>
      </c>
      <c r="F6125" s="731">
        <v>-0.15770300000000004</v>
      </c>
      <c r="G6125" s="78"/>
    </row>
    <row r="6126" spans="1:10" hidden="1" outlineLevel="1" x14ac:dyDescent="0.25">
      <c r="A6126" s="751" t="s">
        <v>4297</v>
      </c>
      <c r="B6126" s="1100">
        <v>40664</v>
      </c>
      <c r="C6126" s="727">
        <v>100</v>
      </c>
      <c r="D6126" s="727">
        <v>85.484499999999997</v>
      </c>
      <c r="E6126" s="720">
        <v>-0.14515500000000003</v>
      </c>
      <c r="F6126" s="731">
        <v>-0.14515500000000003</v>
      </c>
      <c r="G6126" s="78"/>
    </row>
    <row r="6127" spans="1:10" hidden="1" outlineLevel="1" x14ac:dyDescent="0.25">
      <c r="A6127" s="751" t="s">
        <v>4298</v>
      </c>
      <c r="B6127" s="985">
        <v>40756</v>
      </c>
      <c r="C6127" s="727">
        <v>100</v>
      </c>
      <c r="D6127" s="727">
        <v>73.063199999999995</v>
      </c>
      <c r="E6127" s="720">
        <v>-0.26936800000000005</v>
      </c>
      <c r="F6127" s="731">
        <v>-0.26936800000000005</v>
      </c>
      <c r="G6127" s="78"/>
    </row>
    <row r="6128" spans="1:10" hidden="1" outlineLevel="1" x14ac:dyDescent="0.25">
      <c r="A6128" s="751" t="s">
        <v>4299</v>
      </c>
      <c r="B6128" s="1100">
        <v>40848</v>
      </c>
      <c r="C6128" s="727">
        <v>100</v>
      </c>
      <c r="D6128" s="727">
        <v>74.930300000000003</v>
      </c>
      <c r="E6128" s="720">
        <v>-0.25069699999999995</v>
      </c>
      <c r="F6128" s="731">
        <v>-0.25069699999999995</v>
      </c>
      <c r="G6128" s="78"/>
    </row>
    <row r="6129" spans="1:11" hidden="1" outlineLevel="1" x14ac:dyDescent="0.25">
      <c r="A6129" s="751" t="s">
        <v>4300</v>
      </c>
      <c r="B6129" s="985">
        <v>40940</v>
      </c>
      <c r="C6129" s="727">
        <v>100</v>
      </c>
      <c r="D6129" s="727">
        <v>82.148700000000005</v>
      </c>
      <c r="E6129" s="720">
        <v>-0.17851299999999992</v>
      </c>
      <c r="F6129" s="731">
        <v>-0.17851299999999992</v>
      </c>
      <c r="G6129" s="78"/>
    </row>
    <row r="6130" spans="1:11" hidden="1" outlineLevel="1" x14ac:dyDescent="0.25">
      <c r="A6130" s="751" t="s">
        <v>3257</v>
      </c>
      <c r="B6130" s="1100">
        <v>41030</v>
      </c>
      <c r="C6130" s="727">
        <v>100</v>
      </c>
      <c r="D6130" s="727">
        <v>74.837500000000006</v>
      </c>
      <c r="E6130" s="720">
        <v>-0.25162499999999999</v>
      </c>
      <c r="F6130" s="731">
        <v>-0.25162499999999999</v>
      </c>
      <c r="G6130" s="78"/>
      <c r="H6130" s="412" t="s">
        <v>1837</v>
      </c>
    </row>
    <row r="6131" spans="1:11" hidden="1" outlineLevel="1" x14ac:dyDescent="0.25">
      <c r="A6131" s="751" t="s">
        <v>2223</v>
      </c>
      <c r="B6131" s="985">
        <v>41122</v>
      </c>
      <c r="C6131" s="727">
        <v>100</v>
      </c>
      <c r="D6131" s="727">
        <v>82.6631</v>
      </c>
      <c r="E6131" s="720">
        <v>-0.173369</v>
      </c>
      <c r="F6131" s="731">
        <v>-0.173369</v>
      </c>
      <c r="G6131" s="78"/>
      <c r="H6131" s="261">
        <v>-0.2397135</v>
      </c>
    </row>
    <row r="6132" spans="1:11" hidden="1" outlineLevel="1" x14ac:dyDescent="0.25">
      <c r="A6132" s="749"/>
      <c r="B6132" s="750"/>
      <c r="C6132" s="727"/>
      <c r="D6132" s="727"/>
      <c r="E6132" s="720"/>
      <c r="F6132" s="770"/>
      <c r="G6132" s="78"/>
    </row>
    <row r="6133" spans="1:11" collapsed="1" x14ac:dyDescent="0.25">
      <c r="A6133" s="3801" t="s">
        <v>3256</v>
      </c>
      <c r="B6133" s="3802"/>
      <c r="C6133" s="3802"/>
      <c r="D6133" s="3802"/>
      <c r="E6133" s="721"/>
      <c r="F6133" s="722">
        <v>0</v>
      </c>
      <c r="G6133" s="97" t="s">
        <v>781</v>
      </c>
    </row>
    <row r="6135" spans="1:11" hidden="1" outlineLevel="1" x14ac:dyDescent="0.25">
      <c r="A6135" s="689" t="s">
        <v>113</v>
      </c>
      <c r="B6135" s="689" t="s">
        <v>114</v>
      </c>
      <c r="C6135" s="689" t="s">
        <v>112</v>
      </c>
      <c r="D6135" s="689" t="s">
        <v>116</v>
      </c>
      <c r="E6135" s="689" t="s">
        <v>117</v>
      </c>
      <c r="F6135" s="1188" t="s">
        <v>121</v>
      </c>
      <c r="G6135" s="78"/>
    </row>
    <row r="6136" spans="1:11" hidden="1" outlineLevel="1" x14ac:dyDescent="0.25">
      <c r="A6136" s="690">
        <v>1</v>
      </c>
      <c r="B6136" s="691" t="s">
        <v>252</v>
      </c>
      <c r="C6136" s="692">
        <v>100</v>
      </c>
      <c r="D6136" s="692"/>
      <c r="E6136" s="693"/>
      <c r="F6136" s="694"/>
      <c r="G6136" s="78"/>
    </row>
    <row r="6137" spans="1:11" hidden="1" outlineLevel="1" x14ac:dyDescent="0.25">
      <c r="A6137" s="695"/>
      <c r="B6137" s="695"/>
      <c r="C6137" s="696"/>
      <c r="D6137" s="697" t="s">
        <v>3702</v>
      </c>
      <c r="E6137" s="698">
        <v>41229</v>
      </c>
      <c r="F6137" s="699"/>
      <c r="G6137" s="78"/>
    </row>
    <row r="6138" spans="1:11" hidden="1" outlineLevel="1" x14ac:dyDescent="0.25">
      <c r="A6138" s="689" t="s">
        <v>4156</v>
      </c>
      <c r="B6138" s="689" t="s">
        <v>4153</v>
      </c>
      <c r="C6138" s="497" t="s">
        <v>112</v>
      </c>
      <c r="D6138" s="495" t="s">
        <v>4155</v>
      </c>
      <c r="E6138" s="689" t="s">
        <v>4154</v>
      </c>
      <c r="F6138" s="1021" t="s">
        <v>2519</v>
      </c>
      <c r="G6138" s="78"/>
    </row>
    <row r="6139" spans="1:11" hidden="1" outlineLevel="1" x14ac:dyDescent="0.25">
      <c r="A6139" s="999">
        <v>0.05</v>
      </c>
      <c r="B6139" s="1000" t="s">
        <v>1993</v>
      </c>
      <c r="C6139" s="1007">
        <v>67.26400004511531</v>
      </c>
      <c r="D6139" s="803">
        <v>116.17</v>
      </c>
      <c r="E6139" s="705">
        <v>0.72707540321840014</v>
      </c>
      <c r="F6139" s="1021">
        <v>3.6353770160920007E-2</v>
      </c>
      <c r="G6139" s="78"/>
      <c r="H6139" t="s">
        <v>2812</v>
      </c>
      <c r="I6139" s="39" t="s">
        <v>3533</v>
      </c>
    </row>
    <row r="6140" spans="1:11" hidden="1" outlineLevel="1" x14ac:dyDescent="0.25">
      <c r="A6140" s="1002">
        <v>0.05</v>
      </c>
      <c r="B6140" s="740" t="s">
        <v>3998</v>
      </c>
      <c r="C6140" s="1008">
        <v>38.84499998650525</v>
      </c>
      <c r="D6140" s="908">
        <v>33.14</v>
      </c>
      <c r="E6140" s="709">
        <v>-0.14686574819120002</v>
      </c>
      <c r="F6140" s="946">
        <v>-7.3432874095600009E-3</v>
      </c>
      <c r="G6140" s="78"/>
      <c r="H6140" t="s">
        <v>4000</v>
      </c>
      <c r="K6140" s="68"/>
    </row>
    <row r="6141" spans="1:11" hidden="1" outlineLevel="1" x14ac:dyDescent="0.25">
      <c r="A6141" s="1002">
        <v>0.05</v>
      </c>
      <c r="B6141" s="939" t="s">
        <v>2984</v>
      </c>
      <c r="C6141" s="1008">
        <v>17.064000001214957</v>
      </c>
      <c r="D6141" s="908">
        <v>6.1130000000000004</v>
      </c>
      <c r="E6141" s="709">
        <v>-0.64176043134289995</v>
      </c>
      <c r="F6141" s="946">
        <v>-3.2088021567144999E-2</v>
      </c>
      <c r="G6141" s="78"/>
      <c r="H6141" t="s">
        <v>2326</v>
      </c>
      <c r="K6141" s="68"/>
    </row>
    <row r="6142" spans="1:11" hidden="1" outlineLevel="1" x14ac:dyDescent="0.25">
      <c r="A6142" s="1002">
        <v>0.05</v>
      </c>
      <c r="B6142" s="996" t="s">
        <v>157</v>
      </c>
      <c r="C6142" s="1008">
        <v>13.44999999985205</v>
      </c>
      <c r="D6142" s="908">
        <v>5.4820000000000002</v>
      </c>
      <c r="E6142" s="709">
        <v>-0.59241635687284</v>
      </c>
      <c r="F6142" s="946">
        <v>-2.9620817843642001E-2</v>
      </c>
      <c r="G6142" s="78"/>
      <c r="H6142" t="s">
        <v>730</v>
      </c>
      <c r="K6142" s="68"/>
    </row>
    <row r="6143" spans="1:11" hidden="1" outlineLevel="1" x14ac:dyDescent="0.25">
      <c r="A6143" s="1002">
        <v>0.05</v>
      </c>
      <c r="B6143" s="996" t="s">
        <v>1184</v>
      </c>
      <c r="C6143" s="1008">
        <v>45.845500041361802</v>
      </c>
      <c r="D6143" s="908">
        <v>62.5</v>
      </c>
      <c r="E6143" s="709">
        <v>0.36327447500000032</v>
      </c>
      <c r="F6143" s="946">
        <v>1.8163723750000017E-2</v>
      </c>
      <c r="G6143" s="78"/>
      <c r="H6143" t="s">
        <v>3497</v>
      </c>
      <c r="K6143" s="68"/>
    </row>
    <row r="6144" spans="1:11" hidden="1" outlineLevel="1" x14ac:dyDescent="0.25">
      <c r="A6144" s="1002">
        <v>0.05</v>
      </c>
      <c r="B6144" s="743" t="s">
        <v>4377</v>
      </c>
      <c r="C6144" s="1008">
        <v>28.320999999465865</v>
      </c>
      <c r="D6144" s="908">
        <v>31.71</v>
      </c>
      <c r="E6144" s="709">
        <v>0.11966385369860011</v>
      </c>
      <c r="F6144" s="946">
        <v>5.983192684930006E-3</v>
      </c>
      <c r="G6144" s="78"/>
      <c r="H6144" t="s">
        <v>4327</v>
      </c>
      <c r="K6144" s="68"/>
    </row>
    <row r="6145" spans="1:11" hidden="1" outlineLevel="1" x14ac:dyDescent="0.25">
      <c r="A6145" s="1002">
        <v>0.05</v>
      </c>
      <c r="B6145" s="996" t="s">
        <v>581</v>
      </c>
      <c r="C6145" s="1008">
        <v>83.488999965251878</v>
      </c>
      <c r="D6145" s="908">
        <v>102.3</v>
      </c>
      <c r="E6145" s="709">
        <v>0.22531111933999992</v>
      </c>
      <c r="F6145" s="946">
        <v>1.1265555966999997E-2</v>
      </c>
      <c r="G6145" s="78"/>
      <c r="H6145" t="s">
        <v>589</v>
      </c>
      <c r="K6145" s="68"/>
    </row>
    <row r="6146" spans="1:11" hidden="1" outlineLevel="1" x14ac:dyDescent="0.25">
      <c r="A6146" s="1002">
        <v>0.05</v>
      </c>
      <c r="B6146" s="996" t="s">
        <v>2724</v>
      </c>
      <c r="C6146" s="1008">
        <v>53.68699998189782</v>
      </c>
      <c r="D6146" s="908">
        <v>58.28</v>
      </c>
      <c r="E6146" s="709">
        <v>8.5551437399199903E-2</v>
      </c>
      <c r="F6146" s="946">
        <v>4.2775718699599955E-3</v>
      </c>
      <c r="G6146" s="78"/>
      <c r="H6146" t="s">
        <v>2725</v>
      </c>
      <c r="K6146" s="68"/>
    </row>
    <row r="6147" spans="1:11" hidden="1" outlineLevel="1" x14ac:dyDescent="0.25">
      <c r="A6147" s="1002">
        <v>0.05</v>
      </c>
      <c r="B6147" s="996" t="s">
        <v>4064</v>
      </c>
      <c r="C6147" s="1008">
        <v>55.787000012289873</v>
      </c>
      <c r="D6147" s="908">
        <v>45.91</v>
      </c>
      <c r="E6147" s="709">
        <v>-0.17704841647900005</v>
      </c>
      <c r="F6147" s="946">
        <v>-8.8524208239500034E-3</v>
      </c>
      <c r="G6147" s="78"/>
      <c r="H6147" t="s">
        <v>170</v>
      </c>
      <c r="K6147" s="68"/>
    </row>
    <row r="6148" spans="1:11" hidden="1" outlineLevel="1" x14ac:dyDescent="0.25">
      <c r="A6148" s="1002">
        <v>0.05</v>
      </c>
      <c r="B6148" s="996" t="s">
        <v>1771</v>
      </c>
      <c r="C6148" s="1008">
        <v>891.65000001917099</v>
      </c>
      <c r="D6148" s="908">
        <v>595.79999999999995</v>
      </c>
      <c r="E6148" s="709">
        <v>-0.33180059441800047</v>
      </c>
      <c r="F6148" s="946">
        <v>-1.6590029720900023E-2</v>
      </c>
      <c r="G6148" s="78"/>
      <c r="H6148" t="s">
        <v>4329</v>
      </c>
      <c r="K6148" s="68"/>
    </row>
    <row r="6149" spans="1:11" hidden="1" outlineLevel="1" x14ac:dyDescent="0.25">
      <c r="A6149" s="1002">
        <v>0.05</v>
      </c>
      <c r="B6149" s="996" t="s">
        <v>2588</v>
      </c>
      <c r="C6149" s="1008">
        <v>29.501999991617893</v>
      </c>
      <c r="D6149" s="908">
        <v>6.5090000000000003</v>
      </c>
      <c r="E6149" s="709">
        <v>-0.77937089004645999</v>
      </c>
      <c r="F6149" s="946">
        <v>-3.8968544502323003E-2</v>
      </c>
      <c r="G6149" s="78"/>
      <c r="H6149" t="s">
        <v>4132</v>
      </c>
      <c r="K6149" s="68"/>
    </row>
    <row r="6150" spans="1:11" hidden="1" outlineLevel="1" x14ac:dyDescent="0.25">
      <c r="A6150" s="1002">
        <v>0.05</v>
      </c>
      <c r="B6150" s="996" t="s">
        <v>44</v>
      </c>
      <c r="C6150" s="1008">
        <v>5.5918000001740165</v>
      </c>
      <c r="D6150" s="908">
        <v>1.1850000000000001</v>
      </c>
      <c r="E6150" s="709">
        <v>-0.78808254945400003</v>
      </c>
      <c r="F6150" s="946">
        <v>-3.9404127472700001E-2</v>
      </c>
      <c r="G6150" s="78"/>
      <c r="H6150" t="s">
        <v>204</v>
      </c>
      <c r="K6150" s="68"/>
    </row>
    <row r="6151" spans="1:11" hidden="1" outlineLevel="1" x14ac:dyDescent="0.25">
      <c r="A6151" s="1002">
        <v>0.05</v>
      </c>
      <c r="B6151" s="996" t="s">
        <v>2160</v>
      </c>
      <c r="C6151" s="1008">
        <v>31.853000005270395</v>
      </c>
      <c r="D6151" s="908">
        <v>38.61</v>
      </c>
      <c r="E6151" s="709">
        <v>0.21213072531980015</v>
      </c>
      <c r="F6151" s="946">
        <v>1.0606536265990008E-2</v>
      </c>
      <c r="G6151" s="78"/>
      <c r="H6151" t="s">
        <v>5507</v>
      </c>
      <c r="K6151" s="68"/>
    </row>
    <row r="6152" spans="1:11" hidden="1" outlineLevel="1" x14ac:dyDescent="0.25">
      <c r="A6152" s="1002">
        <v>0.05</v>
      </c>
      <c r="B6152" s="996" t="s">
        <v>2726</v>
      </c>
      <c r="C6152" s="1008">
        <v>39.039999997501447</v>
      </c>
      <c r="D6152" s="908">
        <v>23.2</v>
      </c>
      <c r="E6152" s="709">
        <v>-0.40573770488000016</v>
      </c>
      <c r="F6152" s="946">
        <v>-2.0286885244000009E-2</v>
      </c>
      <c r="G6152" s="78"/>
      <c r="H6152" t="s">
        <v>2727</v>
      </c>
      <c r="K6152" s="68"/>
    </row>
    <row r="6153" spans="1:11" hidden="1" outlineLevel="1" x14ac:dyDescent="0.25">
      <c r="A6153" s="1002">
        <v>0.05</v>
      </c>
      <c r="B6153" s="996" t="s">
        <v>1414</v>
      </c>
      <c r="C6153" s="1008">
        <v>24.00000000384</v>
      </c>
      <c r="D6153" s="908">
        <v>23.86</v>
      </c>
      <c r="E6153" s="709">
        <v>-5.8333334924000058E-3</v>
      </c>
      <c r="F6153" s="946">
        <v>-2.9166667462000032E-4</v>
      </c>
      <c r="G6153" s="78"/>
      <c r="H6153" t="s">
        <v>2428</v>
      </c>
      <c r="K6153" s="68"/>
    </row>
    <row r="6154" spans="1:11" hidden="1" outlineLevel="1" x14ac:dyDescent="0.25">
      <c r="A6154" s="1002">
        <v>0.05</v>
      </c>
      <c r="B6154" s="996" t="s">
        <v>2728</v>
      </c>
      <c r="C6154" s="1008">
        <v>53.48200000127715</v>
      </c>
      <c r="D6154" s="908">
        <v>55.62</v>
      </c>
      <c r="E6154" s="709">
        <v>3.9976066689199952E-2</v>
      </c>
      <c r="F6154" s="946">
        <v>1.9988033344599978E-3</v>
      </c>
      <c r="G6154" s="78"/>
      <c r="H6154" t="s">
        <v>258</v>
      </c>
      <c r="K6154" s="68"/>
    </row>
    <row r="6155" spans="1:11" hidden="1" outlineLevel="1" x14ac:dyDescent="0.25">
      <c r="A6155" s="1002">
        <v>0.05</v>
      </c>
      <c r="B6155" s="996" t="s">
        <v>577</v>
      </c>
      <c r="C6155" s="1008">
        <v>17.547000001850506</v>
      </c>
      <c r="D6155" s="908">
        <v>10.01</v>
      </c>
      <c r="E6155" s="709">
        <v>-0.42953211381180001</v>
      </c>
      <c r="F6155" s="946">
        <v>-2.1476605690590001E-2</v>
      </c>
      <c r="G6155" s="78"/>
      <c r="H6155" t="s">
        <v>2804</v>
      </c>
      <c r="K6155" s="68"/>
    </row>
    <row r="6156" spans="1:11" hidden="1" outlineLevel="1" x14ac:dyDescent="0.25">
      <c r="A6156" s="1002">
        <v>0.05</v>
      </c>
      <c r="B6156" s="996" t="s">
        <v>2628</v>
      </c>
      <c r="C6156" s="1008">
        <v>6.1562999997140526</v>
      </c>
      <c r="D6156" s="908">
        <v>0.68100000000000005</v>
      </c>
      <c r="E6156" s="709">
        <v>-0.88938160907824004</v>
      </c>
      <c r="F6156" s="946">
        <v>-4.4469080453912006E-2</v>
      </c>
      <c r="G6156" s="78"/>
      <c r="H6156" t="s">
        <v>1896</v>
      </c>
      <c r="K6156" s="68"/>
    </row>
    <row r="6157" spans="1:11" hidden="1" outlineLevel="1" x14ac:dyDescent="0.25">
      <c r="A6157" s="1002">
        <v>0.05</v>
      </c>
      <c r="B6157" s="996" t="s">
        <v>2137</v>
      </c>
      <c r="C6157" s="1008">
        <v>31.43000000289156</v>
      </c>
      <c r="D6157" s="908">
        <v>31.55</v>
      </c>
      <c r="E6157" s="709">
        <v>3.8180081800001098E-3</v>
      </c>
      <c r="F6157" s="946">
        <v>1.909004090000055E-4</v>
      </c>
      <c r="G6157" s="78"/>
      <c r="H6157" t="s">
        <v>2123</v>
      </c>
      <c r="K6157" s="68"/>
    </row>
    <row r="6158" spans="1:11" hidden="1" outlineLevel="1" x14ac:dyDescent="0.25">
      <c r="A6158" s="1004">
        <v>0.05</v>
      </c>
      <c r="B6158" s="824" t="s">
        <v>255</v>
      </c>
      <c r="C6158" s="1009">
        <v>41.033474572659195</v>
      </c>
      <c r="D6158" s="715">
        <v>41.4</v>
      </c>
      <c r="E6158" s="716">
        <v>8.9323517240000871E-3</v>
      </c>
      <c r="F6158" s="1023">
        <v>4.466175862000044E-4</v>
      </c>
      <c r="G6158" s="78"/>
      <c r="H6158" t="s">
        <v>3351</v>
      </c>
      <c r="K6158" s="68"/>
    </row>
    <row r="6159" spans="1:11" hidden="1" outlineLevel="1" x14ac:dyDescent="0.25">
      <c r="A6159" s="749"/>
      <c r="B6159" s="750"/>
      <c r="C6159" s="727"/>
      <c r="D6159" s="727"/>
      <c r="E6159" s="716"/>
      <c r="F6159" s="770">
        <v>-0.17010481537488201</v>
      </c>
      <c r="G6159" s="78"/>
      <c r="K6159" s="68"/>
    </row>
    <row r="6160" spans="1:11" hidden="1" outlineLevel="1" x14ac:dyDescent="0.25">
      <c r="A6160" s="749"/>
      <c r="B6160" s="750"/>
      <c r="C6160" s="727"/>
      <c r="D6160" s="727"/>
      <c r="E6160" s="716"/>
      <c r="F6160" s="770"/>
      <c r="G6160" s="78"/>
    </row>
    <row r="6161" spans="1:8" hidden="1" outlineLevel="1" x14ac:dyDescent="0.25">
      <c r="A6161" s="751" t="s">
        <v>2794</v>
      </c>
      <c r="B6161" s="1100">
        <v>39356</v>
      </c>
      <c r="C6161" s="727">
        <v>100</v>
      </c>
      <c r="D6161" s="727">
        <v>106.78189999999999</v>
      </c>
      <c r="E6161" s="716">
        <v>6.7818999999999852E-2</v>
      </c>
      <c r="F6161" s="731">
        <v>6.7818999999999852E-2</v>
      </c>
      <c r="G6161" s="78"/>
    </row>
    <row r="6162" spans="1:8" hidden="1" outlineLevel="1" x14ac:dyDescent="0.25">
      <c r="A6162" s="751" t="s">
        <v>2795</v>
      </c>
      <c r="B6162" s="985">
        <v>39448</v>
      </c>
      <c r="C6162" s="727">
        <v>100</v>
      </c>
      <c r="D6162" s="719">
        <v>92.683199999999999</v>
      </c>
      <c r="E6162" s="716">
        <v>-7.3168000000000011E-2</v>
      </c>
      <c r="F6162" s="731">
        <v>-7.3168000000000011E-2</v>
      </c>
      <c r="G6162" s="78"/>
    </row>
    <row r="6163" spans="1:8" hidden="1" outlineLevel="1" x14ac:dyDescent="0.25">
      <c r="A6163" s="751" t="s">
        <v>1642</v>
      </c>
      <c r="B6163" s="1100">
        <v>39539</v>
      </c>
      <c r="C6163" s="727">
        <v>100</v>
      </c>
      <c r="D6163" s="729">
        <v>93.098399999999998</v>
      </c>
      <c r="E6163" s="716">
        <v>-6.9015999999999966E-2</v>
      </c>
      <c r="F6163" s="731">
        <v>-6.9015999999999966E-2</v>
      </c>
      <c r="G6163" s="78"/>
    </row>
    <row r="6164" spans="1:8" hidden="1" outlineLevel="1" x14ac:dyDescent="0.25">
      <c r="A6164" s="751" t="s">
        <v>1643</v>
      </c>
      <c r="B6164" s="985">
        <v>39630</v>
      </c>
      <c r="C6164" s="727">
        <v>100</v>
      </c>
      <c r="D6164" s="729">
        <v>83.483000000000004</v>
      </c>
      <c r="E6164" s="716">
        <v>-0.16516999999999993</v>
      </c>
      <c r="F6164" s="731">
        <v>-0.16516999999999993</v>
      </c>
      <c r="G6164" s="78"/>
    </row>
    <row r="6165" spans="1:8" hidden="1" outlineLevel="1" x14ac:dyDescent="0.25">
      <c r="A6165" s="751" t="s">
        <v>1644</v>
      </c>
      <c r="B6165" s="1100">
        <v>39722</v>
      </c>
      <c r="C6165" s="727">
        <v>100</v>
      </c>
      <c r="D6165" s="727">
        <v>69.345100000000002</v>
      </c>
      <c r="E6165" s="716">
        <v>-0.30654899999999996</v>
      </c>
      <c r="F6165" s="731">
        <v>-0.30654899999999996</v>
      </c>
      <c r="G6165" s="78"/>
      <c r="H6165" s="21"/>
    </row>
    <row r="6166" spans="1:8" hidden="1" outlineLevel="1" x14ac:dyDescent="0.25">
      <c r="A6166" s="751" t="s">
        <v>1645</v>
      </c>
      <c r="B6166" s="985">
        <v>39814</v>
      </c>
      <c r="C6166" s="727">
        <v>100</v>
      </c>
      <c r="D6166" s="727">
        <v>58.268300000000004</v>
      </c>
      <c r="E6166" s="716">
        <v>-0.41731699999999994</v>
      </c>
      <c r="F6166" s="731">
        <v>-0.41731699999999994</v>
      </c>
      <c r="G6166" s="78"/>
      <c r="H6166" s="21"/>
    </row>
    <row r="6167" spans="1:8" hidden="1" outlineLevel="1" x14ac:dyDescent="0.25">
      <c r="A6167" s="751" t="s">
        <v>1646</v>
      </c>
      <c r="B6167" s="1100">
        <v>39904</v>
      </c>
      <c r="C6167" s="727">
        <v>100</v>
      </c>
      <c r="D6167" s="727">
        <v>60.972299999999997</v>
      </c>
      <c r="E6167" s="716">
        <v>-0.39027699999999999</v>
      </c>
      <c r="F6167" s="731">
        <v>-0.39027699999999999</v>
      </c>
      <c r="G6167" s="78"/>
      <c r="H6167" s="21"/>
    </row>
    <row r="6168" spans="1:8" hidden="1" outlineLevel="1" x14ac:dyDescent="0.25">
      <c r="A6168" s="751" t="s">
        <v>1647</v>
      </c>
      <c r="B6168" s="985">
        <v>39995</v>
      </c>
      <c r="C6168" s="727">
        <v>100</v>
      </c>
      <c r="D6168" s="727">
        <v>71.978200000000001</v>
      </c>
      <c r="E6168" s="716">
        <v>-0.28021799999999997</v>
      </c>
      <c r="F6168" s="731">
        <v>-0.28021799999999997</v>
      </c>
      <c r="G6168" s="78"/>
      <c r="H6168" s="21"/>
    </row>
    <row r="6169" spans="1:8" hidden="1" outlineLevel="1" x14ac:dyDescent="0.25">
      <c r="A6169" s="751" t="s">
        <v>1648</v>
      </c>
      <c r="B6169" s="1100">
        <v>40087</v>
      </c>
      <c r="C6169" s="727">
        <v>100</v>
      </c>
      <c r="D6169" s="727">
        <v>76.533600000000007</v>
      </c>
      <c r="E6169" s="716">
        <v>-0.23466399999999998</v>
      </c>
      <c r="F6169" s="731">
        <v>-0.23466399999999998</v>
      </c>
      <c r="G6169" s="78"/>
      <c r="H6169" s="84"/>
    </row>
    <row r="6170" spans="1:8" hidden="1" outlineLevel="1" x14ac:dyDescent="0.25">
      <c r="A6170" s="751" t="s">
        <v>1649</v>
      </c>
      <c r="B6170" s="985">
        <v>40179</v>
      </c>
      <c r="C6170" s="727">
        <v>100</v>
      </c>
      <c r="D6170" s="727">
        <v>76.038799999999995</v>
      </c>
      <c r="E6170" s="716">
        <v>-0.23961200000000005</v>
      </c>
      <c r="F6170" s="731">
        <v>-0.23961200000000005</v>
      </c>
      <c r="G6170" s="78"/>
      <c r="H6170" s="84"/>
    </row>
    <row r="6171" spans="1:8" hidden="1" outlineLevel="1" x14ac:dyDescent="0.25">
      <c r="A6171" s="751" t="s">
        <v>4538</v>
      </c>
      <c r="B6171" s="1100">
        <v>40269</v>
      </c>
      <c r="C6171" s="727">
        <v>100</v>
      </c>
      <c r="D6171" s="727">
        <v>78.071399999999997</v>
      </c>
      <c r="E6171" s="716">
        <v>-0.21928599999999998</v>
      </c>
      <c r="F6171" s="731">
        <v>-0.21928599999999998</v>
      </c>
      <c r="G6171" s="78"/>
      <c r="H6171" s="84"/>
    </row>
    <row r="6172" spans="1:8" hidden="1" outlineLevel="1" x14ac:dyDescent="0.25">
      <c r="A6172" s="751" t="s">
        <v>4539</v>
      </c>
      <c r="B6172" s="985">
        <v>40360</v>
      </c>
      <c r="C6172" s="727">
        <v>100</v>
      </c>
      <c r="D6172" s="727">
        <v>76.360100000000003</v>
      </c>
      <c r="E6172" s="716">
        <v>-0.23639900000000003</v>
      </c>
      <c r="F6172" s="731">
        <v>-0.23639900000000003</v>
      </c>
      <c r="G6172" s="78"/>
      <c r="H6172" s="84"/>
    </row>
    <row r="6173" spans="1:8" hidden="1" outlineLevel="1" x14ac:dyDescent="0.25">
      <c r="A6173" s="751" t="s">
        <v>4540</v>
      </c>
      <c r="B6173" s="1100">
        <v>40452</v>
      </c>
      <c r="C6173" s="727">
        <v>100</v>
      </c>
      <c r="D6173" s="727">
        <v>80.049499999999995</v>
      </c>
      <c r="E6173" s="716">
        <v>-0.19950500000000004</v>
      </c>
      <c r="F6173" s="731">
        <v>-0.19950500000000004</v>
      </c>
      <c r="G6173" s="78"/>
      <c r="H6173" s="84"/>
    </row>
    <row r="6174" spans="1:8" hidden="1" outlineLevel="1" x14ac:dyDescent="0.25">
      <c r="A6174" s="751" t="s">
        <v>4541</v>
      </c>
      <c r="B6174" s="985">
        <v>40544</v>
      </c>
      <c r="C6174" s="727">
        <v>100</v>
      </c>
      <c r="D6174" s="727">
        <v>81.1875</v>
      </c>
      <c r="E6174" s="716">
        <v>-0.18812499999999999</v>
      </c>
      <c r="F6174" s="731">
        <v>-0.18812499999999999</v>
      </c>
      <c r="G6174" s="78"/>
      <c r="H6174" s="84"/>
    </row>
    <row r="6175" spans="1:8" hidden="1" outlineLevel="1" x14ac:dyDescent="0.25">
      <c r="A6175" s="751" t="s">
        <v>4542</v>
      </c>
      <c r="B6175" s="1100">
        <v>40634</v>
      </c>
      <c r="C6175" s="727">
        <v>100</v>
      </c>
      <c r="D6175" s="727">
        <v>87.395200000000003</v>
      </c>
      <c r="E6175" s="716">
        <v>-0.12604799999999994</v>
      </c>
      <c r="F6175" s="731">
        <v>-0.12604799999999994</v>
      </c>
      <c r="G6175" s="78"/>
      <c r="H6175" s="21"/>
    </row>
    <row r="6176" spans="1:8" hidden="1" outlineLevel="1" x14ac:dyDescent="0.25">
      <c r="A6176" s="751" t="s">
        <v>4543</v>
      </c>
      <c r="B6176" s="985">
        <v>40725</v>
      </c>
      <c r="C6176" s="727">
        <v>100</v>
      </c>
      <c r="D6176" s="727">
        <v>81.076800000000006</v>
      </c>
      <c r="E6176" s="716">
        <v>-0.18923199999999996</v>
      </c>
      <c r="F6176" s="731">
        <v>-0.18923199999999996</v>
      </c>
      <c r="G6176" s="78"/>
      <c r="H6176" s="21"/>
    </row>
    <row r="6177" spans="1:12" hidden="1" outlineLevel="1" x14ac:dyDescent="0.25">
      <c r="A6177" s="751" t="s">
        <v>4544</v>
      </c>
      <c r="B6177" s="1100">
        <v>40817</v>
      </c>
      <c r="C6177" s="727">
        <v>100</v>
      </c>
      <c r="D6177" s="727">
        <v>78.654499999999999</v>
      </c>
      <c r="E6177" s="716">
        <v>-0.21345500000000006</v>
      </c>
      <c r="F6177" s="731">
        <v>-0.21345500000000006</v>
      </c>
      <c r="G6177" s="78"/>
      <c r="H6177" s="21"/>
    </row>
    <row r="6178" spans="1:12" hidden="1" outlineLevel="1" x14ac:dyDescent="0.25">
      <c r="A6178" s="751" t="s">
        <v>4545</v>
      </c>
      <c r="B6178" s="985">
        <v>40909</v>
      </c>
      <c r="C6178" s="727">
        <v>100</v>
      </c>
      <c r="D6178" s="727">
        <v>80.935000000000002</v>
      </c>
      <c r="E6178" s="716">
        <v>-0.19064999999999999</v>
      </c>
      <c r="F6178" s="731">
        <v>-0.19064999999999999</v>
      </c>
      <c r="G6178" s="78"/>
      <c r="H6178" s="21"/>
    </row>
    <row r="6179" spans="1:12" hidden="1" outlineLevel="1" x14ac:dyDescent="0.25">
      <c r="A6179" s="751" t="s">
        <v>4546</v>
      </c>
      <c r="B6179" s="1100">
        <v>41000</v>
      </c>
      <c r="C6179" s="727">
        <v>100</v>
      </c>
      <c r="D6179" s="727">
        <v>83.735500000000002</v>
      </c>
      <c r="E6179" s="716">
        <v>-0.16264499999999993</v>
      </c>
      <c r="F6179" s="731">
        <v>-0.16264499999999993</v>
      </c>
      <c r="G6179" s="78"/>
      <c r="H6179" s="21"/>
    </row>
    <row r="6180" spans="1:12" hidden="1" outlineLevel="1" x14ac:dyDescent="0.25">
      <c r="A6180" s="751" t="s">
        <v>4547</v>
      </c>
      <c r="B6180" s="985">
        <v>41091</v>
      </c>
      <c r="C6180" s="727">
        <v>100</v>
      </c>
      <c r="D6180" s="727">
        <v>85.694599999999994</v>
      </c>
      <c r="E6180" s="716">
        <v>-0.14305400000000001</v>
      </c>
      <c r="F6180" s="731">
        <v>-0.14305400000000001</v>
      </c>
      <c r="G6180" s="78"/>
      <c r="H6180" s="418" t="s">
        <v>1837</v>
      </c>
    </row>
    <row r="6181" spans="1:12" hidden="1" outlineLevel="1" x14ac:dyDescent="0.25">
      <c r="A6181" s="751" t="s">
        <v>4548</v>
      </c>
      <c r="B6181" s="1100">
        <v>41183</v>
      </c>
      <c r="C6181" s="727">
        <v>100</v>
      </c>
      <c r="D6181" s="727">
        <v>88.309600000000003</v>
      </c>
      <c r="E6181" s="716">
        <v>-0.11690400000000001</v>
      </c>
      <c r="F6181" s="731">
        <v>-0.11690400000000001</v>
      </c>
      <c r="G6181" s="78"/>
      <c r="H6181" s="419">
        <v>-0.19492738095238094</v>
      </c>
    </row>
    <row r="6182" spans="1:12" hidden="1" outlineLevel="1" x14ac:dyDescent="0.25">
      <c r="A6182" s="749"/>
      <c r="B6182" s="750"/>
      <c r="C6182" s="727"/>
      <c r="D6182" s="727"/>
      <c r="E6182" s="720"/>
      <c r="F6182" s="731"/>
      <c r="G6182" s="78"/>
    </row>
    <row r="6183" spans="1:12" collapsed="1" x14ac:dyDescent="0.25">
      <c r="A6183" s="3801" t="s">
        <v>300</v>
      </c>
      <c r="B6183" s="3802"/>
      <c r="C6183" s="3802"/>
      <c r="D6183" s="3802"/>
      <c r="E6183" s="721"/>
      <c r="F6183" s="722">
        <v>0</v>
      </c>
      <c r="G6183" s="97" t="s">
        <v>781</v>
      </c>
    </row>
    <row r="6185" spans="1:12" hidden="1" outlineLevel="1" x14ac:dyDescent="0.25">
      <c r="A6185" s="689" t="s">
        <v>113</v>
      </c>
      <c r="B6185" s="689" t="s">
        <v>114</v>
      </c>
      <c r="C6185" s="689" t="s">
        <v>112</v>
      </c>
      <c r="D6185" s="689" t="s">
        <v>116</v>
      </c>
      <c r="E6185" s="689" t="s">
        <v>117</v>
      </c>
      <c r="F6185" s="1188" t="s">
        <v>121</v>
      </c>
      <c r="G6185" s="78"/>
      <c r="I6185" t="s">
        <v>631</v>
      </c>
      <c r="J6185" s="256">
        <v>41030</v>
      </c>
      <c r="K6185" s="31">
        <v>120.24979999999999</v>
      </c>
      <c r="L6185" s="37">
        <v>0.20249799999999984</v>
      </c>
    </row>
    <row r="6186" spans="1:12" hidden="1" outlineLevel="1" x14ac:dyDescent="0.25">
      <c r="A6186" s="690">
        <v>1</v>
      </c>
      <c r="B6186" s="691" t="s">
        <v>252</v>
      </c>
      <c r="C6186" s="692">
        <v>100</v>
      </c>
      <c r="D6186" s="692"/>
      <c r="E6186" s="693"/>
      <c r="F6186" s="694"/>
      <c r="G6186" s="78"/>
      <c r="J6186" s="256">
        <v>41061</v>
      </c>
      <c r="K6186" s="31">
        <v>126.9151</v>
      </c>
      <c r="L6186" s="37">
        <v>0.26915099999999992</v>
      </c>
    </row>
    <row r="6187" spans="1:12" hidden="1" outlineLevel="1" x14ac:dyDescent="0.25">
      <c r="A6187" s="695"/>
      <c r="B6187" s="695"/>
      <c r="C6187" s="696"/>
      <c r="D6187" s="697" t="s">
        <v>3702</v>
      </c>
      <c r="E6187" s="698">
        <v>41578</v>
      </c>
      <c r="F6187" s="699"/>
      <c r="G6187" s="78"/>
      <c r="J6187" s="256">
        <v>41091</v>
      </c>
      <c r="K6187" s="31">
        <v>131.06950000000001</v>
      </c>
      <c r="L6187" s="37">
        <v>0.31069499999999994</v>
      </c>
    </row>
    <row r="6188" spans="1:12" hidden="1" outlineLevel="1" x14ac:dyDescent="0.25">
      <c r="A6188" s="495" t="s">
        <v>4156</v>
      </c>
      <c r="B6188" s="689" t="s">
        <v>4153</v>
      </c>
      <c r="C6188" s="700" t="s">
        <v>112</v>
      </c>
      <c r="D6188" s="495" t="s">
        <v>4155</v>
      </c>
      <c r="E6188" s="689" t="s">
        <v>4154</v>
      </c>
      <c r="F6188" s="1021" t="s">
        <v>2519</v>
      </c>
      <c r="G6188" s="78"/>
      <c r="J6188" s="256">
        <v>41122</v>
      </c>
      <c r="K6188" s="31">
        <v>132.79920000000001</v>
      </c>
      <c r="L6188" s="37">
        <v>0.32799200000000006</v>
      </c>
    </row>
    <row r="6189" spans="1:12" hidden="1" outlineLevel="1" x14ac:dyDescent="0.25">
      <c r="A6189" s="1127">
        <v>0.05</v>
      </c>
      <c r="B6189" s="1144" t="s">
        <v>138</v>
      </c>
      <c r="C6189" s="1145">
        <v>51.598999999999997</v>
      </c>
      <c r="D6189" s="803">
        <v>68.58</v>
      </c>
      <c r="E6189" s="705">
        <v>0.32909552510707574</v>
      </c>
      <c r="F6189" s="1021">
        <v>1.6454776255353788E-2</v>
      </c>
      <c r="G6189" s="78"/>
      <c r="H6189" t="s">
        <v>1775</v>
      </c>
      <c r="J6189" s="256">
        <v>41153</v>
      </c>
      <c r="K6189" s="31">
        <v>134.38999999999999</v>
      </c>
      <c r="L6189" s="37">
        <v>0.34389999999999987</v>
      </c>
    </row>
    <row r="6190" spans="1:12" hidden="1" outlineLevel="1" x14ac:dyDescent="0.25">
      <c r="A6190" s="849">
        <v>0.05</v>
      </c>
      <c r="B6190" s="1146" t="s">
        <v>139</v>
      </c>
      <c r="C6190" s="1112">
        <v>1891.2</v>
      </c>
      <c r="D6190" s="908">
        <v>2650</v>
      </c>
      <c r="E6190" s="709">
        <v>0.40122673434856182</v>
      </c>
      <c r="F6190" s="946">
        <v>2.0061336717428092E-2</v>
      </c>
      <c r="G6190" s="78"/>
      <c r="H6190" t="s">
        <v>1776</v>
      </c>
      <c r="J6190" s="256">
        <v>41183</v>
      </c>
      <c r="K6190" s="31">
        <v>131.56540000000001</v>
      </c>
      <c r="L6190" s="37">
        <v>0.3156540000000001</v>
      </c>
    </row>
    <row r="6191" spans="1:12" hidden="1" outlineLevel="1" x14ac:dyDescent="0.25">
      <c r="A6191" s="849">
        <v>0.05</v>
      </c>
      <c r="B6191" s="853" t="s">
        <v>140</v>
      </c>
      <c r="C6191" s="1112">
        <v>72.944000000000003</v>
      </c>
      <c r="D6191" s="908">
        <v>72.98</v>
      </c>
      <c r="E6191" s="709">
        <v>4.9352928273749264E-4</v>
      </c>
      <c r="F6191" s="946">
        <v>2.4676464136874634E-5</v>
      </c>
      <c r="G6191" s="78"/>
      <c r="H6191" t="s">
        <v>1777</v>
      </c>
      <c r="J6191" s="256">
        <v>41214</v>
      </c>
      <c r="K6191" s="31">
        <v>137.47319999999999</v>
      </c>
      <c r="L6191" s="37">
        <v>0.37473199999999984</v>
      </c>
    </row>
    <row r="6192" spans="1:12" hidden="1" outlineLevel="1" x14ac:dyDescent="0.25">
      <c r="A6192" s="849">
        <v>7.4999999999999997E-2</v>
      </c>
      <c r="B6192" s="1146" t="s">
        <v>4515</v>
      </c>
      <c r="C6192" s="1112">
        <v>534.99300000000005</v>
      </c>
      <c r="D6192" s="908">
        <v>548.5</v>
      </c>
      <c r="E6192" s="709">
        <v>2.5247059307317965E-2</v>
      </c>
      <c r="F6192" s="946">
        <v>1.8935294480488473E-3</v>
      </c>
      <c r="G6192" s="78"/>
      <c r="H6192" t="s">
        <v>1778</v>
      </c>
      <c r="J6192" s="256">
        <v>41244</v>
      </c>
      <c r="K6192" s="31">
        <v>136.15780000000001</v>
      </c>
      <c r="L6192" s="37">
        <v>0.36157800000000018</v>
      </c>
    </row>
    <row r="6193" spans="1:12" hidden="1" outlineLevel="1" x14ac:dyDescent="0.25">
      <c r="A6193" s="849">
        <v>0.1</v>
      </c>
      <c r="B6193" s="1146" t="s">
        <v>3406</v>
      </c>
      <c r="C6193" s="1112">
        <v>1019.9</v>
      </c>
      <c r="D6193" s="908">
        <v>1987</v>
      </c>
      <c r="E6193" s="709">
        <v>0.94823021864888712</v>
      </c>
      <c r="F6193" s="946">
        <v>9.4823021864888724E-2</v>
      </c>
      <c r="G6193" s="78"/>
      <c r="H6193" t="s">
        <v>2105</v>
      </c>
      <c r="J6193" s="256">
        <v>41275</v>
      </c>
      <c r="K6193" s="31">
        <v>143.0248</v>
      </c>
      <c r="L6193" s="37">
        <v>0.43024799999999996</v>
      </c>
    </row>
    <row r="6194" spans="1:12" hidden="1" outlineLevel="1" x14ac:dyDescent="0.25">
      <c r="A6194" s="849">
        <v>0.05</v>
      </c>
      <c r="B6194" s="1146" t="s">
        <v>141</v>
      </c>
      <c r="C6194" s="1112">
        <v>70.546999999999997</v>
      </c>
      <c r="D6194" s="908">
        <v>67.3</v>
      </c>
      <c r="E6194" s="709">
        <v>-4.602605355295053E-2</v>
      </c>
      <c r="F6194" s="946">
        <v>-2.3013026776475265E-3</v>
      </c>
      <c r="G6194" s="78"/>
      <c r="H6194" t="e">
        <v>#N/A</v>
      </c>
      <c r="J6194" s="256">
        <v>41306</v>
      </c>
      <c r="K6194" s="31">
        <v>151.9853</v>
      </c>
      <c r="L6194" s="37">
        <v>0.5198529999999999</v>
      </c>
    </row>
    <row r="6195" spans="1:12" hidden="1" outlineLevel="1" x14ac:dyDescent="0.25">
      <c r="A6195" s="849">
        <v>0.1</v>
      </c>
      <c r="B6195" s="1146" t="s">
        <v>142</v>
      </c>
      <c r="C6195" s="1112">
        <v>5.258</v>
      </c>
      <c r="D6195" s="908">
        <v>5.38</v>
      </c>
      <c r="E6195" s="709">
        <v>2.3202738683910207E-2</v>
      </c>
      <c r="F6195" s="946">
        <v>2.3202738683910209E-3</v>
      </c>
      <c r="G6195" s="78"/>
      <c r="H6195" t="e">
        <v>#N/A</v>
      </c>
      <c r="J6195" s="256">
        <v>41334</v>
      </c>
      <c r="K6195" s="31">
        <v>157.0077</v>
      </c>
      <c r="L6195" s="37">
        <v>0.57007699999999994</v>
      </c>
    </row>
    <row r="6196" spans="1:12" hidden="1" outlineLevel="1" x14ac:dyDescent="0.25">
      <c r="A6196" s="849">
        <v>0.125</v>
      </c>
      <c r="B6196" s="1146" t="s">
        <v>3319</v>
      </c>
      <c r="C6196" s="1112">
        <v>37.765999999999998</v>
      </c>
      <c r="D6196" s="908">
        <v>50.9</v>
      </c>
      <c r="E6196" s="709">
        <v>0.34777312926971349</v>
      </c>
      <c r="F6196" s="946">
        <v>4.3471641158714186E-2</v>
      </c>
      <c r="G6196" s="78"/>
      <c r="H6196" t="s">
        <v>1779</v>
      </c>
      <c r="J6196" s="256">
        <v>41365</v>
      </c>
      <c r="K6196" s="31">
        <v>155.46809999999999</v>
      </c>
      <c r="L6196" s="37">
        <v>0.55468099999999998</v>
      </c>
    </row>
    <row r="6197" spans="1:12" hidden="1" outlineLevel="1" x14ac:dyDescent="0.25">
      <c r="A6197" s="849">
        <v>0.05</v>
      </c>
      <c r="B6197" s="1146" t="s">
        <v>3320</v>
      </c>
      <c r="C6197" s="1112">
        <v>31.63</v>
      </c>
      <c r="D6197" s="908">
        <v>76.599999999999994</v>
      </c>
      <c r="E6197" s="709">
        <v>1.4217515017388553</v>
      </c>
      <c r="F6197" s="946">
        <v>7.1087575086942772E-2</v>
      </c>
      <c r="G6197" s="78"/>
      <c r="H6197" t="s">
        <v>4093</v>
      </c>
      <c r="J6197" s="256">
        <v>41395</v>
      </c>
      <c r="K6197" s="31">
        <v>154.0659</v>
      </c>
      <c r="L6197" s="37">
        <v>0.540659</v>
      </c>
    </row>
    <row r="6198" spans="1:12" hidden="1" outlineLevel="1" x14ac:dyDescent="0.25">
      <c r="A6198" s="849">
        <v>0.05</v>
      </c>
      <c r="B6198" s="1146" t="s">
        <v>3321</v>
      </c>
      <c r="C6198" s="1112">
        <v>1721.9</v>
      </c>
      <c r="D6198" s="908">
        <v>1432</v>
      </c>
      <c r="E6198" s="709">
        <v>-0.16836053197049772</v>
      </c>
      <c r="F6198" s="946">
        <v>-8.4180265985248862E-3</v>
      </c>
      <c r="G6198" s="78"/>
      <c r="H6198" t="s">
        <v>1780</v>
      </c>
      <c r="J6198" s="256">
        <v>41426</v>
      </c>
      <c r="K6198" s="31">
        <v>146.97970000000001</v>
      </c>
      <c r="L6198" s="37">
        <v>0.46979700000000002</v>
      </c>
    </row>
    <row r="6199" spans="1:12" hidden="1" outlineLevel="1" x14ac:dyDescent="0.25">
      <c r="A6199" s="849">
        <v>0.1</v>
      </c>
      <c r="B6199" s="1147" t="s">
        <v>3321</v>
      </c>
      <c r="C6199" s="1112">
        <v>1106.484469</v>
      </c>
      <c r="D6199" s="908">
        <v>1432</v>
      </c>
      <c r="E6199" s="709">
        <v>0.29418897428735624</v>
      </c>
      <c r="F6199" s="946">
        <v>2.9418897428735626E-2</v>
      </c>
      <c r="G6199" s="78"/>
      <c r="H6199" t="s">
        <v>1780</v>
      </c>
      <c r="J6199" s="256">
        <v>41456</v>
      </c>
      <c r="K6199" s="31">
        <v>151.27170000000001</v>
      </c>
      <c r="L6199" s="37">
        <v>0.51271700000000009</v>
      </c>
    </row>
    <row r="6200" spans="1:12" hidden="1" outlineLevel="1" x14ac:dyDescent="0.25">
      <c r="A6200" s="849">
        <v>0.05</v>
      </c>
      <c r="B6200" s="1146" t="s">
        <v>3869</v>
      </c>
      <c r="C6200" s="1112">
        <v>57.177999999999997</v>
      </c>
      <c r="D6200" s="908">
        <v>54</v>
      </c>
      <c r="E6200" s="709">
        <v>-5.5580817797054816E-2</v>
      </c>
      <c r="F6200" s="946">
        <v>-2.779040889852741E-3</v>
      </c>
      <c r="G6200" s="78"/>
      <c r="H6200" t="s">
        <v>1984</v>
      </c>
      <c r="J6200" s="256">
        <v>41487</v>
      </c>
      <c r="K6200" s="31">
        <v>146.8794</v>
      </c>
      <c r="L6200" s="37">
        <v>0.46879399999999993</v>
      </c>
    </row>
    <row r="6201" spans="1:12" hidden="1" outlineLevel="1" x14ac:dyDescent="0.25">
      <c r="A6201" s="849">
        <v>0.05</v>
      </c>
      <c r="B6201" s="1146" t="s">
        <v>4044</v>
      </c>
      <c r="C6201" s="1112">
        <v>72.881</v>
      </c>
      <c r="D6201" s="908">
        <v>88.5</v>
      </c>
      <c r="E6201" s="709">
        <v>0.21430825592404057</v>
      </c>
      <c r="F6201" s="946">
        <v>1.0715412796202028E-2</v>
      </c>
      <c r="G6201" s="78"/>
      <c r="H6201" t="s">
        <v>4045</v>
      </c>
      <c r="J6201" s="256">
        <v>41518</v>
      </c>
      <c r="K6201" s="31">
        <v>149.99010000000001</v>
      </c>
      <c r="L6201" s="37">
        <v>0.49990100000000015</v>
      </c>
    </row>
    <row r="6202" spans="1:12" hidden="1" outlineLevel="1" x14ac:dyDescent="0.25">
      <c r="A6202" s="849">
        <v>0.05</v>
      </c>
      <c r="B6202" s="1146" t="s">
        <v>1044</v>
      </c>
      <c r="C6202" s="1112">
        <v>40.853999999999999</v>
      </c>
      <c r="D6202" s="908">
        <v>72.680000000000007</v>
      </c>
      <c r="E6202" s="709">
        <v>0.77901796641699739</v>
      </c>
      <c r="F6202" s="946">
        <v>3.8950898320849872E-2</v>
      </c>
      <c r="G6202" s="78"/>
      <c r="H6202" t="s">
        <v>1985</v>
      </c>
      <c r="J6202" s="256">
        <v>41548</v>
      </c>
      <c r="K6202" s="31">
        <v>150.87350000000001</v>
      </c>
      <c r="L6202" s="37">
        <v>0.50873500000000016</v>
      </c>
    </row>
    <row r="6203" spans="1:12" hidden="1" outlineLevel="1" x14ac:dyDescent="0.25">
      <c r="A6203" s="990">
        <v>0.05</v>
      </c>
      <c r="B6203" s="1146" t="s">
        <v>4442</v>
      </c>
      <c r="C6203" s="1112">
        <v>1230.5</v>
      </c>
      <c r="D6203" s="715">
        <v>3254</v>
      </c>
      <c r="E6203" s="709">
        <v>1.6444534741974808</v>
      </c>
      <c r="F6203" s="946">
        <v>8.2222673709874045E-2</v>
      </c>
      <c r="G6203" s="78"/>
      <c r="H6203" t="s">
        <v>1986</v>
      </c>
      <c r="J6203" s="264" t="s">
        <v>2465</v>
      </c>
      <c r="K6203" s="31"/>
      <c r="L6203" s="261">
        <v>0.42120344444444441</v>
      </c>
    </row>
    <row r="6204" spans="1:12" hidden="1" outlineLevel="1" x14ac:dyDescent="0.25">
      <c r="A6204" s="749" t="s">
        <v>5705</v>
      </c>
      <c r="B6204" s="718"/>
      <c r="C6204" s="719"/>
      <c r="D6204" s="727"/>
      <c r="E6204" s="720"/>
      <c r="F6204" s="731">
        <v>0.42120000000000002</v>
      </c>
      <c r="G6204" s="78"/>
      <c r="J6204" s="69" t="s">
        <v>5094</v>
      </c>
      <c r="K6204" s="31"/>
      <c r="L6204" s="261">
        <v>0.29484241111111109</v>
      </c>
    </row>
    <row r="6205" spans="1:12" collapsed="1" x14ac:dyDescent="0.25">
      <c r="A6205" s="3801" t="s">
        <v>2284</v>
      </c>
      <c r="B6205" s="3802"/>
      <c r="C6205" s="3802"/>
      <c r="D6205" s="3802"/>
      <c r="E6205" s="721"/>
      <c r="F6205" s="722">
        <v>0.29483999999999999</v>
      </c>
      <c r="G6205" s="97" t="s">
        <v>781</v>
      </c>
    </row>
    <row r="6207" spans="1:12" hidden="1" outlineLevel="1" x14ac:dyDescent="0.25">
      <c r="A6207" s="689" t="s">
        <v>113</v>
      </c>
      <c r="B6207" s="689" t="s">
        <v>114</v>
      </c>
      <c r="C6207" s="689" t="s">
        <v>112</v>
      </c>
      <c r="D6207" s="689" t="s">
        <v>116</v>
      </c>
      <c r="E6207" s="689" t="s">
        <v>117</v>
      </c>
      <c r="F6207" s="1188" t="s">
        <v>121</v>
      </c>
      <c r="G6207" s="78"/>
    </row>
    <row r="6208" spans="1:12" hidden="1" outlineLevel="1" x14ac:dyDescent="0.25">
      <c r="A6208" s="690">
        <v>16</v>
      </c>
      <c r="B6208" s="691" t="s">
        <v>252</v>
      </c>
      <c r="C6208" s="692">
        <v>100</v>
      </c>
      <c r="D6208" s="692"/>
      <c r="E6208" s="693"/>
      <c r="F6208" s="694"/>
      <c r="G6208" s="78"/>
    </row>
    <row r="6209" spans="1:8" hidden="1" outlineLevel="1" x14ac:dyDescent="0.25">
      <c r="A6209" s="695"/>
      <c r="B6209" s="695"/>
      <c r="C6209" s="696"/>
      <c r="D6209" s="697" t="s">
        <v>3702</v>
      </c>
      <c r="E6209" s="698">
        <v>41029</v>
      </c>
      <c r="F6209" s="699"/>
      <c r="G6209" s="78"/>
    </row>
    <row r="6210" spans="1:8" hidden="1" outlineLevel="1" x14ac:dyDescent="0.25">
      <c r="A6210" s="689" t="s">
        <v>4156</v>
      </c>
      <c r="B6210" s="689" t="s">
        <v>4153</v>
      </c>
      <c r="C6210" s="497" t="s">
        <v>112</v>
      </c>
      <c r="D6210" s="495" t="s">
        <v>4155</v>
      </c>
      <c r="E6210" s="689" t="s">
        <v>4154</v>
      </c>
      <c r="F6210" s="1021" t="s">
        <v>2519</v>
      </c>
      <c r="G6210" s="78"/>
    </row>
    <row r="6211" spans="1:8" hidden="1" outlineLevel="1" x14ac:dyDescent="0.25">
      <c r="A6211" s="999">
        <v>0.04</v>
      </c>
      <c r="B6211" s="1000" t="s">
        <v>359</v>
      </c>
      <c r="C6211" s="1001">
        <v>119.101</v>
      </c>
      <c r="D6211" s="803">
        <v>84.18</v>
      </c>
      <c r="E6211" s="705">
        <v>-0.29320492691077316</v>
      </c>
      <c r="F6211" s="1021">
        <v>-1.1728197076430927E-2</v>
      </c>
      <c r="G6211" s="78"/>
      <c r="H6211" t="s">
        <v>360</v>
      </c>
    </row>
    <row r="6212" spans="1:8" hidden="1" outlineLevel="1" x14ac:dyDescent="0.25">
      <c r="A6212" s="1002">
        <v>0.04</v>
      </c>
      <c r="B6212" s="987" t="s">
        <v>1993</v>
      </c>
      <c r="C6212" s="1003">
        <v>22.155999999999999</v>
      </c>
      <c r="D6212" s="908">
        <v>32.21</v>
      </c>
      <c r="E6212" s="709">
        <v>0.45378227116808101</v>
      </c>
      <c r="F6212" s="946">
        <v>1.8151290846723241E-2</v>
      </c>
      <c r="G6212" s="78"/>
      <c r="H6212" t="s">
        <v>2812</v>
      </c>
    </row>
    <row r="6213" spans="1:8" hidden="1" outlineLevel="1" x14ac:dyDescent="0.25">
      <c r="A6213" s="1002">
        <v>0.02</v>
      </c>
      <c r="B6213" s="996" t="s">
        <v>2697</v>
      </c>
      <c r="C6213" s="1003">
        <v>26.478000000000002</v>
      </c>
      <c r="D6213" s="908">
        <v>10.29</v>
      </c>
      <c r="E6213" s="709">
        <v>-0.61137548153183774</v>
      </c>
      <c r="F6213" s="946">
        <v>-1.2227509630636756E-2</v>
      </c>
      <c r="G6213" s="78"/>
      <c r="H6213" t="s">
        <v>329</v>
      </c>
    </row>
    <row r="6214" spans="1:8" hidden="1" outlineLevel="1" x14ac:dyDescent="0.25">
      <c r="A6214" s="1002">
        <v>0.04</v>
      </c>
      <c r="B6214" s="996" t="s">
        <v>2984</v>
      </c>
      <c r="C6214" s="1003">
        <v>14.255000000000001</v>
      </c>
      <c r="D6214" s="908">
        <v>5.1059999999999999</v>
      </c>
      <c r="E6214" s="709">
        <v>-0.64180989126622245</v>
      </c>
      <c r="F6214" s="946">
        <v>-2.56723956506489E-2</v>
      </c>
      <c r="G6214" s="78"/>
      <c r="H6214" t="s">
        <v>2326</v>
      </c>
    </row>
    <row r="6215" spans="1:8" hidden="1" outlineLevel="1" x14ac:dyDescent="0.25">
      <c r="A6215" s="1002">
        <v>0.03</v>
      </c>
      <c r="B6215" s="996" t="s">
        <v>157</v>
      </c>
      <c r="C6215" s="1003">
        <v>13.143000000000001</v>
      </c>
      <c r="D6215" s="908">
        <v>4.72</v>
      </c>
      <c r="E6215" s="709">
        <v>-0.64087346876664386</v>
      </c>
      <c r="F6215" s="946">
        <v>-1.9226204062999314E-2</v>
      </c>
      <c r="G6215" s="78"/>
      <c r="H6215" t="s">
        <v>730</v>
      </c>
    </row>
    <row r="6216" spans="1:8" hidden="1" outlineLevel="1" x14ac:dyDescent="0.25">
      <c r="A6216" s="1002">
        <v>0.05</v>
      </c>
      <c r="B6216" s="996" t="s">
        <v>1184</v>
      </c>
      <c r="C6216" s="1003">
        <v>47.649500000000003</v>
      </c>
      <c r="D6216" s="908">
        <v>62.19</v>
      </c>
      <c r="E6216" s="709">
        <v>0.30515535315165931</v>
      </c>
      <c r="F6216" s="946">
        <v>1.5257767657582966E-2</v>
      </c>
      <c r="G6216" s="78"/>
      <c r="H6216" t="s">
        <v>3497</v>
      </c>
    </row>
    <row r="6217" spans="1:8" hidden="1" outlineLevel="1" x14ac:dyDescent="0.25">
      <c r="A6217" s="1002">
        <v>0.03</v>
      </c>
      <c r="B6217" s="996" t="s">
        <v>901</v>
      </c>
      <c r="C6217" s="1003">
        <v>1892.1</v>
      </c>
      <c r="D6217" s="908">
        <v>3159</v>
      </c>
      <c r="E6217" s="709">
        <v>0.66957348977326792</v>
      </c>
      <c r="F6217" s="946">
        <v>2.0087204693198038E-2</v>
      </c>
      <c r="G6217" s="78"/>
      <c r="H6217" t="s">
        <v>531</v>
      </c>
    </row>
    <row r="6218" spans="1:8" hidden="1" outlineLevel="1" x14ac:dyDescent="0.25">
      <c r="A6218" s="1002">
        <v>0.03</v>
      </c>
      <c r="B6218" s="743" t="s">
        <v>1847</v>
      </c>
      <c r="C6218" s="1003">
        <v>213.55</v>
      </c>
      <c r="D6218" s="908">
        <v>33.04</v>
      </c>
      <c r="E6218" s="709">
        <v>-0.84528213533130414</v>
      </c>
      <c r="F6218" s="946">
        <v>-2.5358464059939124E-2</v>
      </c>
      <c r="G6218" s="78"/>
      <c r="H6218" t="s">
        <v>2749</v>
      </c>
    </row>
    <row r="6219" spans="1:8" hidden="1" outlineLevel="1" x14ac:dyDescent="0.25">
      <c r="A6219" s="1002">
        <v>0.02</v>
      </c>
      <c r="B6219" s="939" t="s">
        <v>1212</v>
      </c>
      <c r="C6219" s="1003">
        <v>52.57</v>
      </c>
      <c r="D6219" s="908">
        <v>21.71</v>
      </c>
      <c r="E6219" s="709">
        <v>-0.5870268213810157</v>
      </c>
      <c r="F6219" s="946">
        <v>-1.1740536427620313E-2</v>
      </c>
      <c r="G6219" s="78"/>
      <c r="H6219" t="s">
        <v>4229</v>
      </c>
    </row>
    <row r="6220" spans="1:8" hidden="1" outlineLevel="1" x14ac:dyDescent="0.25">
      <c r="A6220" s="1002">
        <v>0.04</v>
      </c>
      <c r="B6220" s="996" t="s">
        <v>2699</v>
      </c>
      <c r="C6220" s="1003">
        <v>20.603000000000002</v>
      </c>
      <c r="D6220" s="908">
        <v>14.1</v>
      </c>
      <c r="E6220" s="709">
        <v>-0.31563364558559437</v>
      </c>
      <c r="F6220" s="946">
        <v>-1.2625345823423775E-2</v>
      </c>
      <c r="G6220" s="78"/>
      <c r="H6220" t="s">
        <v>505</v>
      </c>
    </row>
    <row r="6221" spans="1:8" hidden="1" outlineLevel="1" x14ac:dyDescent="0.25">
      <c r="A6221" s="1002">
        <v>0.02</v>
      </c>
      <c r="B6221" s="996" t="s">
        <v>3406</v>
      </c>
      <c r="C6221" s="1003">
        <v>984.35</v>
      </c>
      <c r="D6221" s="908">
        <v>1551</v>
      </c>
      <c r="E6221" s="709">
        <v>0.57565906435718994</v>
      </c>
      <c r="F6221" s="946">
        <v>1.1513181287143799E-2</v>
      </c>
      <c r="G6221" s="78"/>
      <c r="H6221" t="s">
        <v>2105</v>
      </c>
    </row>
    <row r="6222" spans="1:8" hidden="1" outlineLevel="1" x14ac:dyDescent="0.25">
      <c r="A6222" s="1002">
        <v>0.06</v>
      </c>
      <c r="B6222" s="996" t="s">
        <v>3021</v>
      </c>
      <c r="C6222" s="1003">
        <v>25.965</v>
      </c>
      <c r="D6222" s="908">
        <v>16.77</v>
      </c>
      <c r="E6222" s="709">
        <v>-0.35413056036972845</v>
      </c>
      <c r="F6222" s="946">
        <v>-2.1247833622183708E-2</v>
      </c>
      <c r="G6222" s="78"/>
      <c r="H6222" t="s">
        <v>4124</v>
      </c>
    </row>
    <row r="6223" spans="1:8" hidden="1" outlineLevel="1" x14ac:dyDescent="0.25">
      <c r="A6223" s="1002">
        <v>0.03</v>
      </c>
      <c r="B6223" s="996" t="s">
        <v>4268</v>
      </c>
      <c r="C6223" s="1003">
        <v>30.611000000000001</v>
      </c>
      <c r="D6223" s="908">
        <v>16.25</v>
      </c>
      <c r="E6223" s="709">
        <v>-0.46914507856652843</v>
      </c>
      <c r="F6223" s="946">
        <v>-1.4074352356995853E-2</v>
      </c>
      <c r="G6223" s="78"/>
      <c r="H6223" t="s">
        <v>1801</v>
      </c>
    </row>
    <row r="6224" spans="1:8" hidden="1" outlineLevel="1" x14ac:dyDescent="0.25">
      <c r="A6224" s="1002">
        <v>0.04</v>
      </c>
      <c r="B6224" s="743" t="s">
        <v>1771</v>
      </c>
      <c r="C6224" s="1003">
        <v>850.85</v>
      </c>
      <c r="D6224" s="908">
        <v>555.1</v>
      </c>
      <c r="E6224" s="709">
        <v>-0.34759358288770048</v>
      </c>
      <c r="F6224" s="946">
        <v>-1.3903743315508019E-2</v>
      </c>
      <c r="G6224" s="78"/>
      <c r="H6224" t="s">
        <v>4329</v>
      </c>
    </row>
    <row r="6225" spans="1:8" hidden="1" outlineLevel="1" x14ac:dyDescent="0.25">
      <c r="A6225" s="1002">
        <v>0.06</v>
      </c>
      <c r="B6225" s="996" t="s">
        <v>2588</v>
      </c>
      <c r="C6225" s="1003">
        <v>24.152000000000001</v>
      </c>
      <c r="D6225" s="908">
        <v>5.327</v>
      </c>
      <c r="E6225" s="709">
        <v>-0.77943855581318322</v>
      </c>
      <c r="F6225" s="946">
        <v>-4.6766313348790993E-2</v>
      </c>
      <c r="G6225" s="78"/>
      <c r="H6225" t="s">
        <v>4132</v>
      </c>
    </row>
    <row r="6226" spans="1:8" hidden="1" outlineLevel="1" x14ac:dyDescent="0.25">
      <c r="A6226" s="1002">
        <v>0.04</v>
      </c>
      <c r="B6226" s="743" t="s">
        <v>44</v>
      </c>
      <c r="C6226" s="1003">
        <v>4.1440000000000001</v>
      </c>
      <c r="D6226" s="908">
        <v>1.143</v>
      </c>
      <c r="E6226" s="709">
        <v>-0.72417953667953672</v>
      </c>
      <c r="F6226" s="946">
        <v>-2.8967181467181469E-2</v>
      </c>
      <c r="G6226" s="78"/>
      <c r="H6226" t="s">
        <v>204</v>
      </c>
    </row>
    <row r="6227" spans="1:8" hidden="1" outlineLevel="1" x14ac:dyDescent="0.25">
      <c r="A6227" s="1002">
        <v>0.02</v>
      </c>
      <c r="B6227" s="996" t="s">
        <v>4376</v>
      </c>
      <c r="C6227" s="1003">
        <v>42.262</v>
      </c>
      <c r="D6227" s="908">
        <v>42.98</v>
      </c>
      <c r="E6227" s="709">
        <v>1.6989257488997156E-2</v>
      </c>
      <c r="F6227" s="946">
        <v>3.3978514977994311E-4</v>
      </c>
      <c r="G6227" s="78"/>
      <c r="H6227" t="s">
        <v>4326</v>
      </c>
    </row>
    <row r="6228" spans="1:8" hidden="1" outlineLevel="1" x14ac:dyDescent="0.25">
      <c r="A6228" s="1002">
        <v>0.03</v>
      </c>
      <c r="B6228" s="740" t="s">
        <v>1526</v>
      </c>
      <c r="C6228" s="1003">
        <v>77.725999999999999</v>
      </c>
      <c r="D6228" s="908">
        <v>14.61</v>
      </c>
      <c r="E6228" s="709">
        <v>-0.81203200988086355</v>
      </c>
      <c r="F6228" s="946">
        <v>-2.4360960296425906E-2</v>
      </c>
      <c r="G6228" s="78"/>
      <c r="H6228" t="s">
        <v>4146</v>
      </c>
    </row>
    <row r="6229" spans="1:8" hidden="1" outlineLevel="1" x14ac:dyDescent="0.25">
      <c r="A6229" s="1002">
        <v>0.04</v>
      </c>
      <c r="B6229" s="740" t="s">
        <v>2160</v>
      </c>
      <c r="C6229" s="1003">
        <v>32.137</v>
      </c>
      <c r="D6229" s="908">
        <v>39.869999999999997</v>
      </c>
      <c r="E6229" s="709">
        <v>0.24062606963935651</v>
      </c>
      <c r="F6229" s="946">
        <v>9.6250427855742605E-3</v>
      </c>
      <c r="G6229" s="78"/>
      <c r="H6229" t="s">
        <v>5507</v>
      </c>
    </row>
    <row r="6230" spans="1:8" hidden="1" outlineLevel="1" x14ac:dyDescent="0.25">
      <c r="A6230" s="1002">
        <v>0.03</v>
      </c>
      <c r="B6230" s="740" t="s">
        <v>1905</v>
      </c>
      <c r="C6230" s="1003">
        <v>38.497</v>
      </c>
      <c r="D6230" s="908">
        <v>39.24</v>
      </c>
      <c r="E6230" s="709">
        <v>1.9300205210795784E-2</v>
      </c>
      <c r="F6230" s="946">
        <v>5.7900615632387352E-4</v>
      </c>
      <c r="G6230" s="78"/>
      <c r="H6230" t="s">
        <v>504</v>
      </c>
    </row>
    <row r="6231" spans="1:8" hidden="1" outlineLevel="1" x14ac:dyDescent="0.25">
      <c r="A6231" s="1002">
        <v>0.04</v>
      </c>
      <c r="B6231" s="939" t="s">
        <v>2786</v>
      </c>
      <c r="C6231" s="1003">
        <v>732.45</v>
      </c>
      <c r="D6231" s="908">
        <v>665.5</v>
      </c>
      <c r="E6231" s="709">
        <v>-9.1405556693289647E-2</v>
      </c>
      <c r="F6231" s="946">
        <v>-3.6562222677315858E-3</v>
      </c>
      <c r="G6231" s="78"/>
      <c r="H6231" t="s">
        <v>4195</v>
      </c>
    </row>
    <row r="6232" spans="1:8" hidden="1" outlineLevel="1" x14ac:dyDescent="0.25">
      <c r="A6232" s="1002">
        <v>0.03</v>
      </c>
      <c r="B6232" s="996" t="s">
        <v>3797</v>
      </c>
      <c r="C6232" s="1003">
        <v>51.172499999999999</v>
      </c>
      <c r="D6232" s="908">
        <v>55.6</v>
      </c>
      <c r="E6232" s="709">
        <v>8.6521080658556793E-2</v>
      </c>
      <c r="F6232" s="946">
        <v>2.5956324197567038E-3</v>
      </c>
      <c r="G6232" s="78"/>
      <c r="H6232" t="s">
        <v>3848</v>
      </c>
    </row>
    <row r="6233" spans="1:8" hidden="1" outlineLevel="1" x14ac:dyDescent="0.25">
      <c r="A6233" s="1002">
        <v>0.03</v>
      </c>
      <c r="B6233" s="996" t="s">
        <v>1190</v>
      </c>
      <c r="C6233" s="1003">
        <v>17.963999999999999</v>
      </c>
      <c r="D6233" s="908">
        <v>2.714</v>
      </c>
      <c r="E6233" s="709">
        <v>-0.84892006234691608</v>
      </c>
      <c r="F6233" s="946">
        <v>-2.5467601870407482E-2</v>
      </c>
      <c r="G6233" s="78"/>
      <c r="H6233" t="s">
        <v>7569</v>
      </c>
    </row>
    <row r="6234" spans="1:8" hidden="1" outlineLevel="1" x14ac:dyDescent="0.25">
      <c r="A6234" s="1002">
        <v>0.04</v>
      </c>
      <c r="B6234" s="996" t="s">
        <v>1414</v>
      </c>
      <c r="C6234" s="1003">
        <v>19.053999999999998</v>
      </c>
      <c r="D6234" s="908">
        <v>22.93</v>
      </c>
      <c r="E6234" s="709">
        <v>0.20342185367901755</v>
      </c>
      <c r="F6234" s="946">
        <v>8.1368741471607026E-3</v>
      </c>
      <c r="G6234" s="78"/>
      <c r="H6234" t="s">
        <v>2428</v>
      </c>
    </row>
    <row r="6235" spans="1:8" hidden="1" outlineLevel="1" x14ac:dyDescent="0.25">
      <c r="A6235" s="1002">
        <v>0.03</v>
      </c>
      <c r="B6235" s="743" t="s">
        <v>3801</v>
      </c>
      <c r="C6235" s="1003">
        <v>82.043999999999997</v>
      </c>
      <c r="D6235" s="908">
        <v>32.475000000000001</v>
      </c>
      <c r="E6235" s="709">
        <v>-0.60417580810296911</v>
      </c>
      <c r="F6235" s="946">
        <v>-1.8125274243089073E-2</v>
      </c>
      <c r="G6235" s="78"/>
      <c r="H6235" t="s">
        <v>2819</v>
      </c>
    </row>
    <row r="6236" spans="1:8" hidden="1" outlineLevel="1" x14ac:dyDescent="0.25">
      <c r="A6236" s="1002">
        <v>0.02</v>
      </c>
      <c r="B6236" s="743" t="s">
        <v>1214</v>
      </c>
      <c r="C6236" s="1003">
        <v>71.888999999999996</v>
      </c>
      <c r="D6236" s="908">
        <v>69.97</v>
      </c>
      <c r="E6236" s="709">
        <v>-2.6693930921281361E-2</v>
      </c>
      <c r="F6236" s="946">
        <v>-5.3387861842562722E-4</v>
      </c>
      <c r="G6236" s="78"/>
      <c r="H6236" t="s">
        <v>3775</v>
      </c>
    </row>
    <row r="6237" spans="1:8" hidden="1" outlineLevel="1" x14ac:dyDescent="0.25">
      <c r="A6237" s="1002">
        <v>0.02</v>
      </c>
      <c r="B6237" s="743" t="s">
        <v>231</v>
      </c>
      <c r="C6237" s="1003">
        <v>51.134</v>
      </c>
      <c r="D6237" s="908">
        <v>24.28</v>
      </c>
      <c r="E6237" s="709">
        <v>-0.52516916337466268</v>
      </c>
      <c r="F6237" s="946">
        <v>-1.0503383267493253E-2</v>
      </c>
      <c r="G6237" s="78"/>
      <c r="H6237" t="s">
        <v>640</v>
      </c>
    </row>
    <row r="6238" spans="1:8" hidden="1" outlineLevel="1" x14ac:dyDescent="0.25">
      <c r="A6238" s="1002">
        <v>0.03</v>
      </c>
      <c r="B6238" s="743" t="s">
        <v>577</v>
      </c>
      <c r="C6238" s="1003">
        <v>18.219000000000001</v>
      </c>
      <c r="D6238" s="908">
        <v>11.01</v>
      </c>
      <c r="E6238" s="709">
        <v>-0.39568582249300188</v>
      </c>
      <c r="F6238" s="946">
        <v>-1.1870574674790055E-2</v>
      </c>
      <c r="G6238" s="78"/>
      <c r="H6238" t="s">
        <v>2804</v>
      </c>
    </row>
    <row r="6239" spans="1:8" hidden="1" outlineLevel="1" x14ac:dyDescent="0.25">
      <c r="A6239" s="1002">
        <v>0.02</v>
      </c>
      <c r="B6239" s="743" t="s">
        <v>1183</v>
      </c>
      <c r="C6239" s="1003">
        <v>55.582999999999998</v>
      </c>
      <c r="D6239" s="908">
        <v>36.07</v>
      </c>
      <c r="E6239" s="709">
        <v>-0.35106057607541874</v>
      </c>
      <c r="F6239" s="946">
        <v>-7.021211521508375E-3</v>
      </c>
      <c r="G6239" s="78"/>
      <c r="H6239" t="s">
        <v>2805</v>
      </c>
    </row>
    <row r="6240" spans="1:8" hidden="1" outlineLevel="1" x14ac:dyDescent="0.25">
      <c r="A6240" s="1002">
        <v>0.03</v>
      </c>
      <c r="B6240" s="997" t="s">
        <v>3169</v>
      </c>
      <c r="C6240" s="1003">
        <v>26.573499999999999</v>
      </c>
      <c r="D6240" s="715">
        <v>13.965</v>
      </c>
      <c r="E6240" s="709">
        <v>-0.47447645210454026</v>
      </c>
      <c r="F6240" s="946">
        <v>-1.4234293563136206E-2</v>
      </c>
      <c r="G6240" s="78"/>
      <c r="H6240" t="s">
        <v>657</v>
      </c>
    </row>
    <row r="6241" spans="1:8" hidden="1" outlineLevel="1" x14ac:dyDescent="0.25">
      <c r="A6241" s="1099"/>
      <c r="B6241" s="1000"/>
      <c r="C6241" s="736"/>
      <c r="D6241" s="741"/>
      <c r="E6241" s="895"/>
      <c r="F6241" s="1021">
        <v>-0.27302569202212312</v>
      </c>
      <c r="G6241" s="78"/>
    </row>
    <row r="6242" spans="1:8" hidden="1" outlineLevel="1" x14ac:dyDescent="0.25">
      <c r="A6242" s="753" t="s">
        <v>2081</v>
      </c>
      <c r="B6242" s="1160">
        <v>39630</v>
      </c>
      <c r="C6242" s="719">
        <v>100</v>
      </c>
      <c r="D6242" s="719">
        <v>90.7303</v>
      </c>
      <c r="E6242" s="720">
        <v>-9.2697000000000029E-2</v>
      </c>
      <c r="F6242" s="731">
        <v>-9.2697000000000029E-2</v>
      </c>
      <c r="G6242" s="78"/>
    </row>
    <row r="6243" spans="1:8" hidden="1" outlineLevel="1" x14ac:dyDescent="0.25">
      <c r="A6243" s="732" t="s">
        <v>2082</v>
      </c>
      <c r="B6243" s="944">
        <v>39722</v>
      </c>
      <c r="C6243" s="727">
        <v>100</v>
      </c>
      <c r="D6243" s="727">
        <v>71.144400000000005</v>
      </c>
      <c r="E6243" s="720">
        <v>-0.28855599999999992</v>
      </c>
      <c r="F6243" s="731">
        <v>-0.28855599999999992</v>
      </c>
      <c r="G6243" s="78"/>
    </row>
    <row r="6244" spans="1:8" hidden="1" outlineLevel="1" x14ac:dyDescent="0.25">
      <c r="A6244" s="732" t="s">
        <v>2083</v>
      </c>
      <c r="B6244" s="944">
        <v>39814</v>
      </c>
      <c r="C6244" s="727">
        <v>100</v>
      </c>
      <c r="D6244" s="727">
        <v>60.647300000000001</v>
      </c>
      <c r="E6244" s="720">
        <v>-0.39352699999999996</v>
      </c>
      <c r="F6244" s="731">
        <v>-0.39352699999999996</v>
      </c>
      <c r="G6244" s="78"/>
    </row>
    <row r="6245" spans="1:8" hidden="1" outlineLevel="1" x14ac:dyDescent="0.25">
      <c r="A6245" s="732" t="s">
        <v>2084</v>
      </c>
      <c r="B6245" s="944">
        <v>39904</v>
      </c>
      <c r="C6245" s="727">
        <v>100</v>
      </c>
      <c r="D6245" s="727">
        <v>60.5379</v>
      </c>
      <c r="E6245" s="720">
        <v>-0.394621</v>
      </c>
      <c r="F6245" s="731">
        <v>-0.394621</v>
      </c>
      <c r="G6245" s="78"/>
    </row>
    <row r="6246" spans="1:8" hidden="1" outlineLevel="1" x14ac:dyDescent="0.25">
      <c r="A6246" s="732" t="s">
        <v>2085</v>
      </c>
      <c r="B6246" s="944">
        <v>39995</v>
      </c>
      <c r="C6246" s="727">
        <v>100</v>
      </c>
      <c r="D6246" s="727">
        <v>68.691800000000001</v>
      </c>
      <c r="E6246" s="720">
        <v>-0.31308199999999997</v>
      </c>
      <c r="F6246" s="731">
        <v>-0.31308199999999997</v>
      </c>
      <c r="G6246" s="78"/>
    </row>
    <row r="6247" spans="1:8" hidden="1" outlineLevel="1" x14ac:dyDescent="0.25">
      <c r="A6247" s="732" t="s">
        <v>2086</v>
      </c>
      <c r="B6247" s="944">
        <v>40087</v>
      </c>
      <c r="C6247" s="727">
        <v>100</v>
      </c>
      <c r="D6247" s="727">
        <v>72.919399999999996</v>
      </c>
      <c r="E6247" s="720">
        <v>-0.27080599999999999</v>
      </c>
      <c r="F6247" s="731">
        <v>-0.27080599999999999</v>
      </c>
      <c r="G6247" s="78"/>
    </row>
    <row r="6248" spans="1:8" hidden="1" outlineLevel="1" x14ac:dyDescent="0.25">
      <c r="A6248" s="732" t="s">
        <v>2087</v>
      </c>
      <c r="B6248" s="944">
        <v>40179</v>
      </c>
      <c r="C6248" s="727">
        <v>100</v>
      </c>
      <c r="D6248" s="727">
        <v>75.016599999999997</v>
      </c>
      <c r="E6248" s="720">
        <v>-0.249834</v>
      </c>
      <c r="F6248" s="731">
        <v>-0.249834</v>
      </c>
      <c r="G6248" s="78"/>
    </row>
    <row r="6249" spans="1:8" hidden="1" outlineLevel="1" x14ac:dyDescent="0.25">
      <c r="A6249" s="732" t="s">
        <v>2088</v>
      </c>
      <c r="B6249" s="944">
        <v>40269</v>
      </c>
      <c r="C6249" s="727">
        <v>100</v>
      </c>
      <c r="D6249" s="727">
        <v>75.393100000000004</v>
      </c>
      <c r="E6249" s="720">
        <v>-0.24606899999999998</v>
      </c>
      <c r="F6249" s="731">
        <v>-0.24606899999999998</v>
      </c>
      <c r="G6249" s="78"/>
    </row>
    <row r="6250" spans="1:8" hidden="1" outlineLevel="1" x14ac:dyDescent="0.25">
      <c r="A6250" s="732" t="s">
        <v>2000</v>
      </c>
      <c r="B6250" s="944">
        <v>40360</v>
      </c>
      <c r="C6250" s="727">
        <v>100</v>
      </c>
      <c r="D6250" s="727">
        <v>73.975499999999997</v>
      </c>
      <c r="E6250" s="720">
        <v>-0.26024500000000006</v>
      </c>
      <c r="F6250" s="731">
        <v>-0.26024500000000006</v>
      </c>
      <c r="G6250" s="78"/>
    </row>
    <row r="6251" spans="1:8" hidden="1" outlineLevel="1" x14ac:dyDescent="0.25">
      <c r="A6251" s="732" t="s">
        <v>2001</v>
      </c>
      <c r="B6251" s="944">
        <v>40452</v>
      </c>
      <c r="C6251" s="727">
        <v>100</v>
      </c>
      <c r="D6251" s="727">
        <v>77.757199999999997</v>
      </c>
      <c r="E6251" s="720">
        <v>-0.22242800000000007</v>
      </c>
      <c r="F6251" s="731">
        <v>-0.22242800000000007</v>
      </c>
      <c r="G6251" s="78"/>
    </row>
    <row r="6252" spans="1:8" hidden="1" outlineLevel="1" x14ac:dyDescent="0.25">
      <c r="A6252" s="732" t="s">
        <v>2002</v>
      </c>
      <c r="B6252" s="944">
        <v>40544</v>
      </c>
      <c r="C6252" s="727">
        <v>100</v>
      </c>
      <c r="D6252" s="727">
        <v>79.308300000000003</v>
      </c>
      <c r="E6252" s="720">
        <v>-0.20691700000000002</v>
      </c>
      <c r="F6252" s="731">
        <v>-0.20691700000000002</v>
      </c>
      <c r="G6252" s="78"/>
    </row>
    <row r="6253" spans="1:8" hidden="1" outlineLevel="1" x14ac:dyDescent="0.25">
      <c r="A6253" s="732" t="s">
        <v>2003</v>
      </c>
      <c r="B6253" s="944">
        <v>40634</v>
      </c>
      <c r="C6253" s="727">
        <v>100</v>
      </c>
      <c r="D6253" s="727">
        <v>83.100899999999996</v>
      </c>
      <c r="E6253" s="720">
        <v>-0.168991</v>
      </c>
      <c r="F6253" s="731">
        <v>-0.168991</v>
      </c>
      <c r="G6253" s="78"/>
    </row>
    <row r="6254" spans="1:8" hidden="1" outlineLevel="1" x14ac:dyDescent="0.25">
      <c r="A6254" s="732" t="s">
        <v>2004</v>
      </c>
      <c r="B6254" s="944">
        <v>40725</v>
      </c>
      <c r="C6254" s="727">
        <v>100</v>
      </c>
      <c r="D6254" s="727">
        <v>75.073499999999996</v>
      </c>
      <c r="E6254" s="720">
        <v>-0.24926500000000007</v>
      </c>
      <c r="F6254" s="731">
        <v>-0.24926500000000007</v>
      </c>
      <c r="G6254" s="78"/>
    </row>
    <row r="6255" spans="1:8" hidden="1" outlineLevel="1" x14ac:dyDescent="0.25">
      <c r="A6255" s="732" t="s">
        <v>2005</v>
      </c>
      <c r="B6255" s="944">
        <v>40817</v>
      </c>
      <c r="C6255" s="727">
        <v>100</v>
      </c>
      <c r="D6255" s="727">
        <v>71.023300000000006</v>
      </c>
      <c r="E6255" s="720">
        <v>-0.28976699999999989</v>
      </c>
      <c r="F6255" s="731">
        <v>-0.28976699999999989</v>
      </c>
      <c r="G6255" s="78"/>
    </row>
    <row r="6256" spans="1:8" hidden="1" outlineLevel="1" x14ac:dyDescent="0.25">
      <c r="A6256" s="732" t="s">
        <v>1970</v>
      </c>
      <c r="B6256" s="944">
        <v>40909</v>
      </c>
      <c r="C6256" s="727">
        <v>100</v>
      </c>
      <c r="D6256" s="727">
        <v>73.668499999999995</v>
      </c>
      <c r="E6256" s="720">
        <v>-0.26331500000000008</v>
      </c>
      <c r="F6256" s="731">
        <v>-0.26331500000000008</v>
      </c>
      <c r="G6256" s="78"/>
      <c r="H6256" s="412" t="s">
        <v>1837</v>
      </c>
    </row>
    <row r="6257" spans="1:12" hidden="1" outlineLevel="1" x14ac:dyDescent="0.25">
      <c r="A6257" s="754" t="s">
        <v>1971</v>
      </c>
      <c r="B6257" s="944">
        <v>41000</v>
      </c>
      <c r="C6257" s="727">
        <v>100</v>
      </c>
      <c r="D6257" s="727">
        <v>74.656700000000001</v>
      </c>
      <c r="E6257" s="720">
        <v>-0.25343300000000002</v>
      </c>
      <c r="F6257" s="731">
        <v>-0.25343300000000002</v>
      </c>
      <c r="G6257" s="78"/>
      <c r="H6257" s="261">
        <v>-0.26022206249999996</v>
      </c>
    </row>
    <row r="6258" spans="1:12" hidden="1" outlineLevel="1" x14ac:dyDescent="0.25">
      <c r="A6258" s="749"/>
      <c r="B6258" s="750"/>
      <c r="C6258" s="727"/>
      <c r="D6258" s="727"/>
      <c r="E6258" s="720"/>
      <c r="F6258" s="770"/>
      <c r="G6258" s="78"/>
    </row>
    <row r="6259" spans="1:12" collapsed="1" x14ac:dyDescent="0.25">
      <c r="A6259" s="3801" t="s">
        <v>665</v>
      </c>
      <c r="B6259" s="3802"/>
      <c r="C6259" s="3802"/>
      <c r="D6259" s="3802"/>
      <c r="E6259" s="721"/>
      <c r="F6259" s="722">
        <v>0</v>
      </c>
      <c r="G6259" s="97" t="s">
        <v>781</v>
      </c>
    </row>
    <row r="6261" spans="1:12" hidden="1" outlineLevel="1" x14ac:dyDescent="0.25">
      <c r="A6261" s="689" t="s">
        <v>113</v>
      </c>
      <c r="B6261" s="689" t="s">
        <v>114</v>
      </c>
      <c r="C6261" s="689" t="s">
        <v>112</v>
      </c>
      <c r="D6261" s="689" t="s">
        <v>116</v>
      </c>
      <c r="E6261" s="689" t="s">
        <v>117</v>
      </c>
      <c r="F6261" s="1188" t="s">
        <v>121</v>
      </c>
      <c r="G6261" s="78"/>
    </row>
    <row r="6262" spans="1:12" hidden="1" outlineLevel="1" x14ac:dyDescent="0.25">
      <c r="A6262" s="690">
        <v>1</v>
      </c>
      <c r="B6262" s="691" t="s">
        <v>252</v>
      </c>
      <c r="C6262" s="692">
        <v>100</v>
      </c>
      <c r="D6262" s="692"/>
      <c r="E6262" s="693"/>
      <c r="F6262" s="694"/>
      <c r="G6262" s="78"/>
    </row>
    <row r="6263" spans="1:12" hidden="1" outlineLevel="1" x14ac:dyDescent="0.25">
      <c r="A6263" s="695"/>
      <c r="B6263" s="695"/>
      <c r="C6263" s="696"/>
      <c r="D6263" s="697" t="s">
        <v>3702</v>
      </c>
      <c r="E6263" s="698">
        <v>41198</v>
      </c>
      <c r="F6263" s="699"/>
      <c r="G6263" s="78"/>
    </row>
    <row r="6264" spans="1:12" hidden="1" outlineLevel="1" x14ac:dyDescent="0.25">
      <c r="A6264" s="689" t="s">
        <v>4156</v>
      </c>
      <c r="B6264" s="689" t="s">
        <v>4153</v>
      </c>
      <c r="C6264" s="700" t="s">
        <v>112</v>
      </c>
      <c r="D6264" s="495" t="s">
        <v>4155</v>
      </c>
      <c r="E6264" s="495" t="s">
        <v>4154</v>
      </c>
      <c r="F6264" s="1021" t="s">
        <v>2519</v>
      </c>
      <c r="G6264" s="78"/>
      <c r="J6264" t="s">
        <v>2040</v>
      </c>
    </row>
    <row r="6265" spans="1:12" hidden="1" outlineLevel="1" x14ac:dyDescent="0.25">
      <c r="A6265" s="734">
        <v>0.04</v>
      </c>
      <c r="B6265" s="735" t="s">
        <v>359</v>
      </c>
      <c r="C6265" s="1145">
        <v>127.753</v>
      </c>
      <c r="D6265" s="1090">
        <v>94.96</v>
      </c>
      <c r="E6265" s="738">
        <v>-0.25669064522946627</v>
      </c>
      <c r="F6265" s="1021">
        <v>-1.0267625809178652E-2</v>
      </c>
      <c r="G6265" s="78"/>
      <c r="H6265" t="s">
        <v>360</v>
      </c>
      <c r="J6265" s="256">
        <v>40664</v>
      </c>
      <c r="K6265">
        <v>79.029300000000006</v>
      </c>
      <c r="L6265" s="37">
        <v>-0.20970699999999998</v>
      </c>
    </row>
    <row r="6266" spans="1:12" hidden="1" outlineLevel="1" x14ac:dyDescent="0.25">
      <c r="A6266" s="739">
        <v>0.04</v>
      </c>
      <c r="B6266" s="987" t="s">
        <v>1993</v>
      </c>
      <c r="C6266" s="1112">
        <v>22.137</v>
      </c>
      <c r="D6266" s="1090">
        <v>33.26</v>
      </c>
      <c r="E6266" s="742">
        <v>0.50246194154582824</v>
      </c>
      <c r="F6266" s="946">
        <v>2.009847766183313E-2</v>
      </c>
      <c r="G6266" s="78"/>
      <c r="H6266" t="s">
        <v>2812</v>
      </c>
      <c r="J6266" s="256">
        <v>40695</v>
      </c>
      <c r="K6266">
        <v>77.497399999999999</v>
      </c>
      <c r="L6266" s="37">
        <v>-0.22502600000000006</v>
      </c>
    </row>
    <row r="6267" spans="1:12" hidden="1" outlineLevel="1" x14ac:dyDescent="0.25">
      <c r="A6267" s="739">
        <v>0.02</v>
      </c>
      <c r="B6267" s="740" t="s">
        <v>2697</v>
      </c>
      <c r="C6267" s="1112">
        <v>27.6</v>
      </c>
      <c r="D6267" s="1091">
        <v>12.36</v>
      </c>
      <c r="E6267" s="742">
        <v>-0.55217391304347829</v>
      </c>
      <c r="F6267" s="946">
        <v>-1.1043478260869566E-2</v>
      </c>
      <c r="G6267" s="78"/>
      <c r="H6267" t="s">
        <v>329</v>
      </c>
      <c r="J6267" s="256">
        <v>40725</v>
      </c>
      <c r="K6267">
        <v>73.549199999999999</v>
      </c>
      <c r="L6267" s="37">
        <v>-0.26450799999999997</v>
      </c>
    </row>
    <row r="6268" spans="1:12" hidden="1" outlineLevel="1" x14ac:dyDescent="0.25">
      <c r="A6268" s="739">
        <v>0.04</v>
      </c>
      <c r="B6268" s="740" t="s">
        <v>2984</v>
      </c>
      <c r="C6268" s="1112">
        <v>15.067</v>
      </c>
      <c r="D6268" s="1091">
        <v>6.3120000000000003</v>
      </c>
      <c r="E6268" s="742">
        <v>-0.58107121523860084</v>
      </c>
      <c r="F6268" s="946">
        <v>-2.3242848609544033E-2</v>
      </c>
      <c r="G6268" s="78"/>
      <c r="H6268" t="s">
        <v>2326</v>
      </c>
      <c r="J6268" s="256">
        <v>40756</v>
      </c>
      <c r="K6268">
        <v>67.281599999999997</v>
      </c>
      <c r="L6268" s="37">
        <v>-0.32718400000000003</v>
      </c>
    </row>
    <row r="6269" spans="1:12" hidden="1" outlineLevel="1" x14ac:dyDescent="0.25">
      <c r="A6269" s="739">
        <v>0.03</v>
      </c>
      <c r="B6269" s="740" t="s">
        <v>157</v>
      </c>
      <c r="C6269" s="1112">
        <v>14.026999999999999</v>
      </c>
      <c r="D6269" s="1091">
        <v>6.06</v>
      </c>
      <c r="E6269" s="742">
        <v>-0.56797604619662079</v>
      </c>
      <c r="F6269" s="946">
        <v>-1.7039281385898622E-2</v>
      </c>
      <c r="G6269" s="78"/>
      <c r="H6269" t="s">
        <v>730</v>
      </c>
      <c r="J6269" s="256">
        <v>40787</v>
      </c>
      <c r="K6269">
        <v>64.367699999999999</v>
      </c>
      <c r="L6269" s="37">
        <v>-0.35632300000000006</v>
      </c>
    </row>
    <row r="6270" spans="1:12" hidden="1" outlineLevel="1" x14ac:dyDescent="0.25">
      <c r="A6270" s="739">
        <v>0.05</v>
      </c>
      <c r="B6270" s="740" t="s">
        <v>1184</v>
      </c>
      <c r="C6270" s="1112">
        <v>46.033999999999999</v>
      </c>
      <c r="D6270" s="1091">
        <v>65.58</v>
      </c>
      <c r="E6270" s="742">
        <v>0.42459920928009742</v>
      </c>
      <c r="F6270" s="946">
        <v>2.1229960464004872E-2</v>
      </c>
      <c r="G6270" s="78"/>
      <c r="H6270" t="s">
        <v>3497</v>
      </c>
      <c r="J6270" s="256">
        <v>40817</v>
      </c>
      <c r="K6270">
        <v>69.622399999999999</v>
      </c>
      <c r="L6270" s="37">
        <v>-0.30377600000000005</v>
      </c>
    </row>
    <row r="6271" spans="1:12" hidden="1" outlineLevel="1" x14ac:dyDescent="0.25">
      <c r="A6271" s="739">
        <v>0.03</v>
      </c>
      <c r="B6271" s="740" t="s">
        <v>901</v>
      </c>
      <c r="C6271" s="1112">
        <v>1970.4</v>
      </c>
      <c r="D6271" s="1091">
        <v>3237</v>
      </c>
      <c r="E6271" s="742">
        <v>0.6428136419001218</v>
      </c>
      <c r="F6271" s="946">
        <v>1.9284409257003653E-2</v>
      </c>
      <c r="G6271" s="78"/>
      <c r="H6271" t="s">
        <v>531</v>
      </c>
      <c r="J6271" s="256">
        <v>40848</v>
      </c>
      <c r="K6271">
        <v>68.849400000000003</v>
      </c>
      <c r="L6271" s="37">
        <v>-0.31150599999999995</v>
      </c>
    </row>
    <row r="6272" spans="1:12" hidden="1" outlineLevel="1" x14ac:dyDescent="0.25">
      <c r="A6272" s="739">
        <v>0.03</v>
      </c>
      <c r="B6272" s="740" t="s">
        <v>1847</v>
      </c>
      <c r="C6272" s="1112">
        <v>228.28</v>
      </c>
      <c r="D6272" s="1091">
        <v>37.25</v>
      </c>
      <c r="E6272" s="742">
        <v>-0.83682319957946383</v>
      </c>
      <c r="F6272" s="946">
        <v>-2.5104695987383914E-2</v>
      </c>
      <c r="G6272" s="78"/>
      <c r="H6272" t="s">
        <v>2749</v>
      </c>
      <c r="J6272" s="256">
        <v>40878</v>
      </c>
      <c r="K6272">
        <v>70.014399999999995</v>
      </c>
      <c r="L6272" s="37">
        <v>-0.29985600000000001</v>
      </c>
    </row>
    <row r="6273" spans="1:15" hidden="1" outlineLevel="1" x14ac:dyDescent="0.25">
      <c r="A6273" s="739">
        <v>0.02</v>
      </c>
      <c r="B6273" s="740" t="s">
        <v>1212</v>
      </c>
      <c r="C6273" s="1112">
        <v>55.875</v>
      </c>
      <c r="D6273" s="1091">
        <v>21.84</v>
      </c>
      <c r="E6273" s="742">
        <v>-0.6091275167785235</v>
      </c>
      <c r="F6273" s="946">
        <v>-1.2182550335570471E-2</v>
      </c>
      <c r="G6273" s="78"/>
      <c r="H6273" t="s">
        <v>4229</v>
      </c>
      <c r="J6273" s="256">
        <v>40909</v>
      </c>
      <c r="K6273">
        <v>72.234200000000001</v>
      </c>
      <c r="L6273" s="37">
        <v>-0.27765799999999996</v>
      </c>
    </row>
    <row r="6274" spans="1:15" hidden="1" outlineLevel="1" x14ac:dyDescent="0.25">
      <c r="A6274" s="739">
        <v>0.04</v>
      </c>
      <c r="B6274" s="740" t="s">
        <v>2699</v>
      </c>
      <c r="C6274" s="1112">
        <v>21.19</v>
      </c>
      <c r="D6274" s="1091">
        <v>15.58</v>
      </c>
      <c r="E6274" s="742">
        <v>-0.26474752241623412</v>
      </c>
      <c r="F6274" s="946">
        <v>-1.0589900896649365E-2</v>
      </c>
      <c r="G6274" s="78"/>
      <c r="H6274" t="s">
        <v>505</v>
      </c>
      <c r="J6274" s="256">
        <v>40940</v>
      </c>
      <c r="K6274">
        <v>75.536299999999997</v>
      </c>
      <c r="L6274" s="37">
        <v>-0.24463699999999999</v>
      </c>
    </row>
    <row r="6275" spans="1:15" hidden="1" outlineLevel="1" x14ac:dyDescent="0.25">
      <c r="A6275" s="739">
        <v>0.02</v>
      </c>
      <c r="B6275" s="712" t="s">
        <v>3406</v>
      </c>
      <c r="C6275" s="1112">
        <v>1019.9</v>
      </c>
      <c r="D6275" s="1091">
        <v>1782.5</v>
      </c>
      <c r="E6275" s="742">
        <v>0.74772036474164127</v>
      </c>
      <c r="F6275" s="946">
        <v>1.4954407294832826E-2</v>
      </c>
      <c r="G6275" s="78"/>
      <c r="H6275" t="s">
        <v>2105</v>
      </c>
      <c r="J6275" s="256">
        <v>40969</v>
      </c>
      <c r="K6275">
        <v>75.764799999999994</v>
      </c>
      <c r="L6275" s="37">
        <v>-0.24235200000000001</v>
      </c>
    </row>
    <row r="6276" spans="1:15" hidden="1" outlineLevel="1" x14ac:dyDescent="0.25">
      <c r="A6276" s="739">
        <v>0.06</v>
      </c>
      <c r="B6276" s="740" t="s">
        <v>3021</v>
      </c>
      <c r="C6276" s="1112">
        <v>26.097000000000001</v>
      </c>
      <c r="D6276" s="1091">
        <v>17.899999999999999</v>
      </c>
      <c r="E6276" s="742">
        <v>-0.31409740583208812</v>
      </c>
      <c r="F6276" s="946">
        <v>-1.8845844349925287E-2</v>
      </c>
      <c r="G6276" s="78"/>
      <c r="H6276" t="s">
        <v>4124</v>
      </c>
      <c r="J6276" s="256">
        <v>41000</v>
      </c>
      <c r="K6276">
        <v>73.255099999999999</v>
      </c>
      <c r="L6276" s="37">
        <v>-0.26744900000000005</v>
      </c>
    </row>
    <row r="6277" spans="1:15" hidden="1" outlineLevel="1" x14ac:dyDescent="0.25">
      <c r="A6277" s="739">
        <v>0.03</v>
      </c>
      <c r="B6277" s="740" t="s">
        <v>4268</v>
      </c>
      <c r="C6277" s="1112">
        <v>29.298999999999999</v>
      </c>
      <c r="D6277" s="1091">
        <v>14.16</v>
      </c>
      <c r="E6277" s="742">
        <v>-0.51670705484828838</v>
      </c>
      <c r="F6277" s="946">
        <v>-1.550121164544865E-2</v>
      </c>
      <c r="G6277" s="78"/>
      <c r="H6277" t="s">
        <v>1801</v>
      </c>
      <c r="J6277" s="256">
        <v>41030</v>
      </c>
      <c r="K6277">
        <v>68.221699999999998</v>
      </c>
      <c r="L6277" s="37">
        <v>-0.31778300000000004</v>
      </c>
    </row>
    <row r="6278" spans="1:15" hidden="1" outlineLevel="1" x14ac:dyDescent="0.25">
      <c r="A6278" s="739">
        <v>0.04</v>
      </c>
      <c r="B6278" s="740" t="s">
        <v>1771</v>
      </c>
      <c r="C6278" s="1112">
        <v>880.98</v>
      </c>
      <c r="D6278" s="1091">
        <v>611</v>
      </c>
      <c r="E6278" s="742">
        <v>-0.30645417603123792</v>
      </c>
      <c r="F6278" s="946">
        <v>-1.2258167041249518E-2</v>
      </c>
      <c r="G6278" s="78"/>
      <c r="H6278" t="s">
        <v>4329</v>
      </c>
      <c r="J6278" s="256">
        <v>41061</v>
      </c>
      <c r="K6278">
        <v>72.2376</v>
      </c>
      <c r="L6278" s="37">
        <v>-0.27762399999999998</v>
      </c>
    </row>
    <row r="6279" spans="1:15" hidden="1" outlineLevel="1" x14ac:dyDescent="0.25">
      <c r="A6279" s="739">
        <v>0.06</v>
      </c>
      <c r="B6279" s="740" t="s">
        <v>2588</v>
      </c>
      <c r="C6279" s="1112">
        <v>25.045000000000002</v>
      </c>
      <c r="D6279" s="1091">
        <v>6.92</v>
      </c>
      <c r="E6279" s="742">
        <v>-0.72369734477939707</v>
      </c>
      <c r="F6279" s="946">
        <v>-4.3421840686763823E-2</v>
      </c>
      <c r="G6279" s="78"/>
      <c r="H6279" t="s">
        <v>4132</v>
      </c>
      <c r="J6279" s="256">
        <v>41091</v>
      </c>
      <c r="K6279">
        <v>73.870599999999996</v>
      </c>
      <c r="L6279" s="37">
        <v>-0.26129400000000003</v>
      </c>
    </row>
    <row r="6280" spans="1:15" hidden="1" outlineLevel="1" x14ac:dyDescent="0.25">
      <c r="A6280" s="739">
        <v>0.04</v>
      </c>
      <c r="B6280" s="740" t="s">
        <v>44</v>
      </c>
      <c r="C6280" s="1112">
        <v>4.4157000000000002</v>
      </c>
      <c r="D6280" s="1091">
        <v>1.323</v>
      </c>
      <c r="E6280" s="742">
        <v>-0.70038725456892448</v>
      </c>
      <c r="F6280" s="946">
        <v>-2.801549018275698E-2</v>
      </c>
      <c r="G6280" s="78"/>
      <c r="H6280" t="s">
        <v>204</v>
      </c>
      <c r="J6280" s="256">
        <v>41122</v>
      </c>
      <c r="K6280">
        <v>76.229399999999998</v>
      </c>
      <c r="L6280" s="37">
        <v>-0.23770599999999997</v>
      </c>
      <c r="O6280">
        <v>52.514000009217952</v>
      </c>
    </row>
    <row r="6281" spans="1:15" hidden="1" outlineLevel="1" x14ac:dyDescent="0.25">
      <c r="A6281" s="739">
        <v>0.02</v>
      </c>
      <c r="B6281" s="740" t="s">
        <v>4376</v>
      </c>
      <c r="C6281" s="1112">
        <v>45.390999999999998</v>
      </c>
      <c r="D6281" s="1091">
        <v>42.83</v>
      </c>
      <c r="E6281" s="742">
        <v>-5.6420876385186447E-2</v>
      </c>
      <c r="F6281" s="946">
        <v>-1.1284175277037291E-3</v>
      </c>
      <c r="G6281" s="78"/>
      <c r="H6281" t="s">
        <v>4326</v>
      </c>
      <c r="J6281" s="256">
        <v>41153</v>
      </c>
      <c r="K6281">
        <v>77.294300000000007</v>
      </c>
      <c r="L6281" s="37">
        <v>-0.22705699999999995</v>
      </c>
      <c r="O6281">
        <v>127.75299969313092</v>
      </c>
    </row>
    <row r="6282" spans="1:15" hidden="1" outlineLevel="1" x14ac:dyDescent="0.25">
      <c r="A6282" s="739">
        <v>0.03</v>
      </c>
      <c r="B6282" s="996" t="s">
        <v>1526</v>
      </c>
      <c r="C6282" s="1112">
        <v>81.712000000000003</v>
      </c>
      <c r="D6282" s="1091">
        <v>19.405000000000001</v>
      </c>
      <c r="E6282" s="742">
        <v>-0.76251958096729977</v>
      </c>
      <c r="F6282" s="946">
        <v>-2.2875587429018993E-2</v>
      </c>
      <c r="G6282" s="78"/>
      <c r="H6282" t="s">
        <v>4146</v>
      </c>
      <c r="J6282" s="256">
        <v>41183</v>
      </c>
      <c r="K6282">
        <v>78.114900000000006</v>
      </c>
      <c r="L6282" s="37">
        <v>-0.21885099999999991</v>
      </c>
      <c r="O6282">
        <v>27.599999993375995</v>
      </c>
    </row>
    <row r="6283" spans="1:15" hidden="1" outlineLevel="1" x14ac:dyDescent="0.25">
      <c r="A6283" s="739">
        <v>0.04</v>
      </c>
      <c r="B6283" s="740" t="s">
        <v>2160</v>
      </c>
      <c r="C6283" s="1112">
        <v>32.012999999999998</v>
      </c>
      <c r="D6283" s="1091">
        <v>38.61</v>
      </c>
      <c r="E6283" s="742">
        <v>0.20607253303345519</v>
      </c>
      <c r="F6283" s="946">
        <v>8.2429013213382082E-3</v>
      </c>
      <c r="G6283" s="78"/>
      <c r="H6283" t="s">
        <v>5507</v>
      </c>
      <c r="J6283" s="412" t="s">
        <v>2465</v>
      </c>
      <c r="L6283" s="261">
        <v>-0.27057205555555558</v>
      </c>
      <c r="O6283">
        <v>22.930601984029174</v>
      </c>
    </row>
    <row r="6284" spans="1:15" hidden="1" outlineLevel="1" x14ac:dyDescent="0.25">
      <c r="A6284" s="739">
        <v>0.03</v>
      </c>
      <c r="B6284" s="740" t="s">
        <v>1905</v>
      </c>
      <c r="C6284" s="1112">
        <v>39.552999999999997</v>
      </c>
      <c r="D6284" s="1091">
        <v>47.17</v>
      </c>
      <c r="E6284" s="742">
        <v>0.19257704851717961</v>
      </c>
      <c r="F6284" s="946">
        <v>5.7773114555153878E-3</v>
      </c>
      <c r="G6284" s="78"/>
      <c r="H6284" t="s">
        <v>504</v>
      </c>
      <c r="O6284">
        <v>13.078115530443062</v>
      </c>
    </row>
    <row r="6285" spans="1:15" hidden="1" outlineLevel="1" x14ac:dyDescent="0.25">
      <c r="A6285" s="739">
        <v>0.04</v>
      </c>
      <c r="B6285" s="740" t="s">
        <v>2786</v>
      </c>
      <c r="C6285" s="837">
        <v>721.85</v>
      </c>
      <c r="D6285" s="1091">
        <v>702.5</v>
      </c>
      <c r="E6285" s="742">
        <v>-2.6806123155780348E-2</v>
      </c>
      <c r="F6285" s="946">
        <v>-1.0722449262312139E-3</v>
      </c>
      <c r="G6285" s="78"/>
      <c r="H6285" t="s">
        <v>4195</v>
      </c>
      <c r="O6285">
        <v>46.033999998872169</v>
      </c>
    </row>
    <row r="6286" spans="1:15" hidden="1" outlineLevel="1" x14ac:dyDescent="0.25">
      <c r="A6286" s="739">
        <v>0.03</v>
      </c>
      <c r="B6286" s="740" t="s">
        <v>3797</v>
      </c>
      <c r="C6286" s="837">
        <v>51.04</v>
      </c>
      <c r="D6286" s="1091">
        <v>62</v>
      </c>
      <c r="E6286" s="742">
        <v>0.21473354231974917</v>
      </c>
      <c r="F6286" s="946">
        <v>6.4420062695924752E-3</v>
      </c>
      <c r="G6286" s="78"/>
      <c r="H6286" t="s">
        <v>3848</v>
      </c>
      <c r="O6286">
        <v>55.344999961549071</v>
      </c>
    </row>
    <row r="6287" spans="1:15" hidden="1" outlineLevel="1" x14ac:dyDescent="0.25">
      <c r="A6287" s="739">
        <v>0.03</v>
      </c>
      <c r="B6287" s="740" t="s">
        <v>1190</v>
      </c>
      <c r="C6287" s="837">
        <v>18.588000000000001</v>
      </c>
      <c r="D6287" s="1091">
        <v>2.17</v>
      </c>
      <c r="E6287" s="742">
        <v>-0.88325801592425224</v>
      </c>
      <c r="F6287" s="946">
        <v>-2.6497740477727565E-2</v>
      </c>
      <c r="G6287" s="78"/>
      <c r="H6287" t="s">
        <v>7569</v>
      </c>
      <c r="O6287">
        <v>19.703999999830547</v>
      </c>
    </row>
    <row r="6288" spans="1:15" hidden="1" outlineLevel="1" x14ac:dyDescent="0.25">
      <c r="A6288" s="739">
        <v>0.04</v>
      </c>
      <c r="B6288" s="740" t="s">
        <v>1414</v>
      </c>
      <c r="C6288" s="837">
        <v>19.991</v>
      </c>
      <c r="D6288" s="1091">
        <v>25.8</v>
      </c>
      <c r="E6288" s="742">
        <v>0.29058076134260413</v>
      </c>
      <c r="F6288" s="946">
        <v>1.1623230453704166E-2</v>
      </c>
      <c r="G6288" s="78"/>
      <c r="H6288" t="s">
        <v>2428</v>
      </c>
      <c r="O6288">
        <v>51.727000039457359</v>
      </c>
    </row>
    <row r="6289" spans="1:15" hidden="1" outlineLevel="1" x14ac:dyDescent="0.25">
      <c r="A6289" s="739">
        <v>0.03</v>
      </c>
      <c r="B6289" s="740" t="s">
        <v>3801</v>
      </c>
      <c r="C6289" s="837">
        <v>78.326999999999998</v>
      </c>
      <c r="D6289" s="1091">
        <v>35.42</v>
      </c>
      <c r="E6289" s="742">
        <v>-0.54779322583528023</v>
      </c>
      <c r="F6289" s="946">
        <v>-1.6433796775058407E-2</v>
      </c>
      <c r="G6289" s="78"/>
      <c r="H6289" t="s">
        <v>2819</v>
      </c>
      <c r="O6289">
        <v>21.189999999378426</v>
      </c>
    </row>
    <row r="6290" spans="1:15" hidden="1" outlineLevel="1" x14ac:dyDescent="0.25">
      <c r="A6290" s="739">
        <v>0.02</v>
      </c>
      <c r="B6290" s="740" t="s">
        <v>1214</v>
      </c>
      <c r="C6290" s="837">
        <v>75.132000000000005</v>
      </c>
      <c r="D6290" s="1091">
        <v>77.44</v>
      </c>
      <c r="E6290" s="742">
        <v>3.0719267422669283E-2</v>
      </c>
      <c r="F6290" s="946">
        <v>6.1438534845338567E-4</v>
      </c>
      <c r="G6290" s="78"/>
      <c r="H6290" t="s">
        <v>3775</v>
      </c>
      <c r="O6290">
        <v>10.19900000171649</v>
      </c>
    </row>
    <row r="6291" spans="1:15" hidden="1" outlineLevel="1" x14ac:dyDescent="0.25">
      <c r="A6291" s="739">
        <v>0.02</v>
      </c>
      <c r="B6291" s="740" t="s">
        <v>231</v>
      </c>
      <c r="C6291" s="837">
        <v>55.854999999999997</v>
      </c>
      <c r="D6291" s="1091">
        <v>28.55</v>
      </c>
      <c r="E6291" s="742">
        <v>-0.48885507116641302</v>
      </c>
      <c r="F6291" s="946">
        <v>-9.7771014233282612E-3</v>
      </c>
      <c r="G6291" s="78"/>
      <c r="H6291" t="s">
        <v>640</v>
      </c>
      <c r="O6291">
        <v>26.096999986223395</v>
      </c>
    </row>
    <row r="6292" spans="1:15" hidden="1" outlineLevel="1" x14ac:dyDescent="0.25">
      <c r="A6292" s="739">
        <v>0.03</v>
      </c>
      <c r="B6292" s="740" t="s">
        <v>577</v>
      </c>
      <c r="C6292" s="837">
        <v>19.018999999999998</v>
      </c>
      <c r="D6292" s="1091">
        <v>10.515000000000001</v>
      </c>
      <c r="E6292" s="742">
        <v>-0.44713181555286807</v>
      </c>
      <c r="F6292" s="946">
        <v>-1.3413954466586041E-2</v>
      </c>
      <c r="G6292" s="78"/>
      <c r="H6292" t="s">
        <v>2804</v>
      </c>
      <c r="O6292">
        <v>52.10614429062047</v>
      </c>
    </row>
    <row r="6293" spans="1:15" hidden="1" outlineLevel="1" x14ac:dyDescent="0.25">
      <c r="A6293" s="739">
        <v>0.02</v>
      </c>
      <c r="B6293" s="740" t="s">
        <v>1183</v>
      </c>
      <c r="C6293" s="837">
        <v>55.903500000000001</v>
      </c>
      <c r="D6293" s="1091">
        <v>39.549999999999997</v>
      </c>
      <c r="E6293" s="742">
        <v>-0.29253087910417064</v>
      </c>
      <c r="F6293" s="946">
        <v>-5.8506175820834125E-3</v>
      </c>
      <c r="G6293" s="78"/>
      <c r="H6293" t="s">
        <v>2805</v>
      </c>
      <c r="O6293">
        <v>170.02500047607001</v>
      </c>
    </row>
    <row r="6294" spans="1:15" hidden="1" outlineLevel="1" x14ac:dyDescent="0.25">
      <c r="A6294" s="739">
        <v>0.03</v>
      </c>
      <c r="B6294" s="740" t="s">
        <v>3169</v>
      </c>
      <c r="C6294" s="837">
        <v>25.778500000000001</v>
      </c>
      <c r="D6294" s="945">
        <v>16</v>
      </c>
      <c r="E6294" s="748">
        <v>-0.3793277343522703</v>
      </c>
      <c r="F6294" s="1023">
        <v>-1.1379832030568108E-2</v>
      </c>
      <c r="G6294" s="78"/>
      <c r="H6294" t="s">
        <v>657</v>
      </c>
      <c r="O6294">
        <v>19.231554599380182</v>
      </c>
    </row>
    <row r="6295" spans="1:15" hidden="1" outlineLevel="1" x14ac:dyDescent="0.25">
      <c r="A6295" s="717"/>
      <c r="B6295" s="718"/>
      <c r="C6295" s="719"/>
      <c r="D6295" s="727"/>
      <c r="E6295" s="716"/>
      <c r="F6295" s="770">
        <v>-0.22767513830326652</v>
      </c>
      <c r="G6295" s="78"/>
      <c r="O6295">
        <v>4.4157000001256481</v>
      </c>
    </row>
    <row r="6296" spans="1:15" collapsed="1" x14ac:dyDescent="0.25">
      <c r="A6296" s="3801" t="s">
        <v>763</v>
      </c>
      <c r="B6296" s="3802"/>
      <c r="C6296" s="3802"/>
      <c r="D6296" s="3802"/>
      <c r="E6296" s="721"/>
      <c r="F6296" s="722">
        <v>0.10822882222222224</v>
      </c>
      <c r="G6296" s="97" t="s">
        <v>781</v>
      </c>
      <c r="O6296">
        <v>81.712000082561815</v>
      </c>
    </row>
    <row r="6297" spans="1:15" x14ac:dyDescent="0.25">
      <c r="O6297">
        <v>11.526500000864374</v>
      </c>
    </row>
    <row r="6298" spans="1:15" hidden="1" outlineLevel="1" x14ac:dyDescent="0.25">
      <c r="A6298" s="689" t="s">
        <v>113</v>
      </c>
      <c r="B6298" s="689" t="s">
        <v>114</v>
      </c>
      <c r="C6298" s="689" t="s">
        <v>112</v>
      </c>
      <c r="D6298" s="689" t="s">
        <v>116</v>
      </c>
      <c r="E6298" s="689" t="s">
        <v>117</v>
      </c>
      <c r="F6298" s="1188" t="s">
        <v>121</v>
      </c>
      <c r="G6298" s="78"/>
      <c r="O6298">
        <v>6.490875200600434</v>
      </c>
    </row>
    <row r="6299" spans="1:15" hidden="1" outlineLevel="1" x14ac:dyDescent="0.25">
      <c r="A6299" s="1191">
        <v>1</v>
      </c>
      <c r="B6299" s="785" t="s">
        <v>252</v>
      </c>
      <c r="C6299" s="786">
        <v>100</v>
      </c>
      <c r="D6299" s="786"/>
      <c r="E6299" s="1192"/>
      <c r="F6299" s="1193"/>
      <c r="G6299" s="78"/>
      <c r="O6299">
        <v>51.039999971417608</v>
      </c>
    </row>
    <row r="6300" spans="1:15" hidden="1" outlineLevel="1" x14ac:dyDescent="0.25">
      <c r="A6300" s="788"/>
      <c r="B6300" s="788"/>
      <c r="C6300" s="1194"/>
      <c r="D6300" s="697" t="s">
        <v>3702</v>
      </c>
      <c r="E6300" s="698">
        <v>40574</v>
      </c>
      <c r="F6300" s="699"/>
      <c r="G6300" s="78"/>
      <c r="O6300">
        <v>18.588000001265474</v>
      </c>
    </row>
    <row r="6301" spans="1:15" hidden="1" outlineLevel="1" x14ac:dyDescent="0.25">
      <c r="A6301" s="689" t="s">
        <v>4156</v>
      </c>
      <c r="B6301" s="689" t="s">
        <v>4153</v>
      </c>
      <c r="C6301" s="700" t="s">
        <v>112</v>
      </c>
      <c r="D6301" s="495" t="s">
        <v>116</v>
      </c>
      <c r="E6301" s="495" t="s">
        <v>4154</v>
      </c>
      <c r="F6301" s="1021" t="s">
        <v>2519</v>
      </c>
      <c r="G6301" s="78"/>
      <c r="O6301">
        <v>44.465000021087526</v>
      </c>
    </row>
    <row r="6302" spans="1:15" hidden="1" outlineLevel="1" x14ac:dyDescent="0.25">
      <c r="A6302" s="734">
        <v>0.03</v>
      </c>
      <c r="B6302" s="735" t="s">
        <v>280</v>
      </c>
      <c r="C6302" s="1145">
        <v>52.514000000000003</v>
      </c>
      <c r="D6302" s="803">
        <v>45.685000000000002</v>
      </c>
      <c r="E6302" s="705">
        <v>-0.13004151273945996</v>
      </c>
      <c r="F6302" s="1021">
        <v>-3.9012453821837987E-3</v>
      </c>
      <c r="G6302" s="78"/>
      <c r="H6302" t="s">
        <v>1469</v>
      </c>
      <c r="J6302" s="256">
        <v>40391</v>
      </c>
      <c r="K6302">
        <v>73.756799999999998</v>
      </c>
      <c r="L6302" s="37">
        <v>-0.262432</v>
      </c>
      <c r="N6302">
        <v>5.7127623099999997E-2</v>
      </c>
      <c r="O6302">
        <v>176.04999960828874</v>
      </c>
    </row>
    <row r="6303" spans="1:15" hidden="1" outlineLevel="1" x14ac:dyDescent="0.25">
      <c r="A6303" s="739">
        <v>0.02</v>
      </c>
      <c r="B6303" s="987" t="s">
        <v>359</v>
      </c>
      <c r="C6303" s="1112">
        <v>127.753</v>
      </c>
      <c r="D6303" s="908">
        <v>101.45</v>
      </c>
      <c r="E6303" s="709">
        <v>-0.20588948987499311</v>
      </c>
      <c r="F6303" s="946">
        <v>-4.1177897974998623E-3</v>
      </c>
      <c r="G6303" s="78"/>
      <c r="H6303" t="s">
        <v>360</v>
      </c>
      <c r="J6303" s="256">
        <v>40422</v>
      </c>
      <c r="K6303">
        <v>76.538300000000007</v>
      </c>
      <c r="L6303" s="37">
        <v>-0.23461699999999996</v>
      </c>
      <c r="N6303">
        <v>1.5655209699999999E-2</v>
      </c>
      <c r="O6303">
        <v>78.327000029685934</v>
      </c>
    </row>
    <row r="6304" spans="1:15" hidden="1" outlineLevel="1" x14ac:dyDescent="0.25">
      <c r="A6304" s="739">
        <v>0.03</v>
      </c>
      <c r="B6304" s="740" t="s">
        <v>2697</v>
      </c>
      <c r="C6304" s="1112">
        <v>27.6</v>
      </c>
      <c r="D6304" s="908">
        <v>15.93</v>
      </c>
      <c r="E6304" s="709">
        <v>-0.4228260869565218</v>
      </c>
      <c r="F6304" s="946">
        <v>-1.2684782608695653E-2</v>
      </c>
      <c r="G6304" s="78"/>
      <c r="H6304" t="s">
        <v>329</v>
      </c>
      <c r="J6304" s="256">
        <v>40452</v>
      </c>
      <c r="K6304">
        <v>79.590299999999999</v>
      </c>
      <c r="L6304" s="37">
        <v>-0.20409699999999997</v>
      </c>
      <c r="N6304">
        <v>0.10869565220000001</v>
      </c>
      <c r="O6304">
        <v>19.01899999906712</v>
      </c>
    </row>
    <row r="6305" spans="1:15" hidden="1" outlineLevel="1" x14ac:dyDescent="0.25">
      <c r="A6305" s="739">
        <v>0.04</v>
      </c>
      <c r="B6305" s="740" t="s">
        <v>218</v>
      </c>
      <c r="C6305" s="1112">
        <v>22.93</v>
      </c>
      <c r="D6305" s="908">
        <v>15.46</v>
      </c>
      <c r="E6305" s="709">
        <v>-0.32577409507195809</v>
      </c>
      <c r="F6305" s="946">
        <v>-1.3030963802878324E-2</v>
      </c>
      <c r="G6305" s="78"/>
      <c r="H6305" t="s">
        <v>656</v>
      </c>
      <c r="J6305" s="256">
        <v>40483</v>
      </c>
      <c r="K6305">
        <v>74.9161</v>
      </c>
      <c r="L6305" s="37">
        <v>-0.25083900000000003</v>
      </c>
      <c r="N6305">
        <v>0.1744393803</v>
      </c>
      <c r="O6305">
        <v>55.903499995482441</v>
      </c>
    </row>
    <row r="6306" spans="1:15" hidden="1" outlineLevel="1" x14ac:dyDescent="0.25">
      <c r="A6306" s="739">
        <v>0.05</v>
      </c>
      <c r="B6306" s="740" t="s">
        <v>157</v>
      </c>
      <c r="C6306" s="1112">
        <v>13.077999999999999</v>
      </c>
      <c r="D6306" s="908">
        <v>8.9499999999999993</v>
      </c>
      <c r="E6306" s="709">
        <v>-0.31564459397461386</v>
      </c>
      <c r="F6306" s="946">
        <v>-1.5782229698730693E-2</v>
      </c>
      <c r="G6306" s="78"/>
      <c r="H6306" t="s">
        <v>730</v>
      </c>
      <c r="J6306" s="256">
        <v>40513</v>
      </c>
      <c r="K6306">
        <v>77.454300000000003</v>
      </c>
      <c r="L6306" s="37">
        <v>-0.22545700000000002</v>
      </c>
      <c r="N6306">
        <v>0.38231807849999999</v>
      </c>
      <c r="O6306">
        <v>25.778500001982362</v>
      </c>
    </row>
    <row r="6307" spans="1:15" hidden="1" outlineLevel="1" x14ac:dyDescent="0.25">
      <c r="A6307" s="739">
        <v>0.04</v>
      </c>
      <c r="B6307" s="740" t="s">
        <v>1184</v>
      </c>
      <c r="C6307" s="1112">
        <v>46.033999999999999</v>
      </c>
      <c r="D6307" s="908">
        <v>56.18</v>
      </c>
      <c r="E6307" s="709">
        <v>0.22040231133510013</v>
      </c>
      <c r="F6307" s="946">
        <v>8.8160924534040046E-3</v>
      </c>
      <c r="G6307" s="78"/>
      <c r="H6307" t="s">
        <v>3497</v>
      </c>
      <c r="J6307" s="256">
        <v>40544</v>
      </c>
      <c r="K6307">
        <v>80.087800000000001</v>
      </c>
      <c r="L6307" s="37">
        <v>-0.19912200000000002</v>
      </c>
      <c r="N6307">
        <v>8.6892296999999993E-2</v>
      </c>
      <c r="O6307">
        <v>9.6150000005922838</v>
      </c>
    </row>
    <row r="6308" spans="1:15" hidden="1" outlineLevel="1" x14ac:dyDescent="0.25">
      <c r="A6308" s="739">
        <v>0.02</v>
      </c>
      <c r="B6308" s="740" t="s">
        <v>3020</v>
      </c>
      <c r="C6308" s="1112">
        <v>55.344999999999999</v>
      </c>
      <c r="D6308" s="908">
        <v>53.86</v>
      </c>
      <c r="E6308" s="709">
        <v>-2.6831692113108652E-2</v>
      </c>
      <c r="F6308" s="946">
        <v>-5.3663384226217299E-4</v>
      </c>
      <c r="G6308" s="78"/>
      <c r="H6308" t="s">
        <v>490</v>
      </c>
      <c r="J6308" s="69" t="s">
        <v>2465</v>
      </c>
      <c r="L6308" s="101">
        <v>-0.22942733333333334</v>
      </c>
      <c r="N6308">
        <v>3.6136959099999998E-2</v>
      </c>
      <c r="O6308">
        <v>25.61099999415941</v>
      </c>
    </row>
    <row r="6309" spans="1:15" hidden="1" outlineLevel="1" x14ac:dyDescent="0.25">
      <c r="A6309" s="739">
        <v>0.04</v>
      </c>
      <c r="B6309" s="740" t="s">
        <v>901</v>
      </c>
      <c r="C6309" s="1112">
        <v>1970.4</v>
      </c>
      <c r="D6309" s="908">
        <v>2305</v>
      </c>
      <c r="E6309" s="709">
        <v>0.16981323589118946</v>
      </c>
      <c r="F6309" s="946">
        <v>6.7925294356475791E-3</v>
      </c>
      <c r="G6309" s="78"/>
      <c r="H6309" t="s">
        <v>531</v>
      </c>
      <c r="J6309" s="69" t="s">
        <v>5094</v>
      </c>
      <c r="L6309" s="37">
        <v>-0.20648460000000002</v>
      </c>
      <c r="N6309">
        <v>0.2030044661</v>
      </c>
      <c r="O6309">
        <v>41.1642279916882</v>
      </c>
    </row>
    <row r="6310" spans="1:15" hidden="1" outlineLevel="1" x14ac:dyDescent="0.25">
      <c r="A6310" s="739">
        <v>0.02</v>
      </c>
      <c r="B6310" s="740" t="s">
        <v>4025</v>
      </c>
      <c r="C6310" s="1112">
        <v>51.726999999999997</v>
      </c>
      <c r="D6310" s="908">
        <v>53.42</v>
      </c>
      <c r="E6310" s="709">
        <v>3.2729522299766112E-2</v>
      </c>
      <c r="F6310" s="946">
        <v>6.545904459953222E-4</v>
      </c>
      <c r="G6310" s="78"/>
      <c r="H6310" t="s">
        <v>3977</v>
      </c>
      <c r="N6310">
        <v>3.86645272E-2</v>
      </c>
    </row>
    <row r="6311" spans="1:15" hidden="1" outlineLevel="1" x14ac:dyDescent="0.25">
      <c r="A6311" s="739">
        <v>0.03</v>
      </c>
      <c r="B6311" s="740" t="s">
        <v>2699</v>
      </c>
      <c r="C6311" s="1112">
        <v>21.19</v>
      </c>
      <c r="D6311" s="908">
        <v>13.39</v>
      </c>
      <c r="E6311" s="709">
        <v>-0.36809815950920244</v>
      </c>
      <c r="F6311" s="946">
        <v>-1.1042944785276072E-2</v>
      </c>
      <c r="G6311" s="78"/>
      <c r="H6311" t="s">
        <v>505</v>
      </c>
      <c r="L6311" s="101"/>
      <c r="N6311">
        <v>0.14157621519999999</v>
      </c>
    </row>
    <row r="6312" spans="1:15" hidden="1" outlineLevel="1" x14ac:dyDescent="0.25">
      <c r="A6312" s="739">
        <v>0.03</v>
      </c>
      <c r="B6312" s="712" t="s">
        <v>3406</v>
      </c>
      <c r="C6312" s="1112">
        <v>1019.9</v>
      </c>
      <c r="D6312" s="908">
        <v>1202</v>
      </c>
      <c r="E6312" s="709">
        <v>0.17854691636434938</v>
      </c>
      <c r="F6312" s="946">
        <v>5.3564074909304817E-3</v>
      </c>
      <c r="G6312" s="78"/>
      <c r="H6312" t="s">
        <v>2105</v>
      </c>
      <c r="N6312">
        <v>0.2941464849</v>
      </c>
    </row>
    <row r="6313" spans="1:15" hidden="1" outlineLevel="1" x14ac:dyDescent="0.25">
      <c r="A6313" s="739">
        <v>0.02</v>
      </c>
      <c r="B6313" s="740" t="s">
        <v>3021</v>
      </c>
      <c r="C6313" s="1112">
        <v>26.097000000000001</v>
      </c>
      <c r="D6313" s="908">
        <v>17.3</v>
      </c>
      <c r="E6313" s="709">
        <v>-0.33708855423995099</v>
      </c>
      <c r="F6313" s="946">
        <v>-6.7417710847990199E-3</v>
      </c>
      <c r="G6313" s="78"/>
      <c r="H6313" t="s">
        <v>4124</v>
      </c>
      <c r="N6313">
        <v>7.6637161400000001E-2</v>
      </c>
    </row>
    <row r="6314" spans="1:15" hidden="1" outlineLevel="1" x14ac:dyDescent="0.25">
      <c r="A6314" s="739">
        <v>0.02</v>
      </c>
      <c r="B6314" s="740" t="s">
        <v>53</v>
      </c>
      <c r="C6314" s="1112">
        <v>52.106000000000002</v>
      </c>
      <c r="D6314" s="908">
        <v>43.99</v>
      </c>
      <c r="E6314" s="709">
        <v>-0.1557594135032434</v>
      </c>
      <c r="F6314" s="946">
        <v>-3.1151882700648681E-3</v>
      </c>
      <c r="G6314" s="78"/>
      <c r="H6314" t="s">
        <v>2751</v>
      </c>
      <c r="N6314">
        <v>3.8383189300000002E-2</v>
      </c>
    </row>
    <row r="6315" spans="1:15" hidden="1" outlineLevel="1" x14ac:dyDescent="0.25">
      <c r="A6315" s="739">
        <v>0.03</v>
      </c>
      <c r="B6315" s="740" t="s">
        <v>3643</v>
      </c>
      <c r="C6315" s="1112">
        <v>170.02500000000001</v>
      </c>
      <c r="D6315" s="908">
        <v>211.6</v>
      </c>
      <c r="E6315" s="709">
        <v>0.24452286428466397</v>
      </c>
      <c r="F6315" s="946">
        <v>7.3356859285399183E-3</v>
      </c>
      <c r="G6315" s="78"/>
      <c r="H6315" t="s">
        <v>1729</v>
      </c>
      <c r="N6315">
        <v>1.7644463999999999E-2</v>
      </c>
    </row>
    <row r="6316" spans="1:15" hidden="1" outlineLevel="1" x14ac:dyDescent="0.25">
      <c r="A6316" s="739">
        <v>0.02</v>
      </c>
      <c r="B6316" s="740" t="s">
        <v>2588</v>
      </c>
      <c r="C6316" s="1112">
        <v>19.23</v>
      </c>
      <c r="D6316" s="908">
        <v>8.3239999999999998</v>
      </c>
      <c r="E6316" s="709">
        <v>-0.56713468538741552</v>
      </c>
      <c r="F6316" s="946">
        <v>-1.1342693707748311E-2</v>
      </c>
      <c r="G6316" s="78"/>
      <c r="H6316" t="s">
        <v>4132</v>
      </c>
      <c r="N6316">
        <v>0.1039957529</v>
      </c>
    </row>
    <row r="6317" spans="1:15" hidden="1" outlineLevel="1" x14ac:dyDescent="0.25">
      <c r="A6317" s="739">
        <v>0.06</v>
      </c>
      <c r="B6317" s="740" t="s">
        <v>44</v>
      </c>
      <c r="C6317" s="1112">
        <v>4.4157000000000002</v>
      </c>
      <c r="D6317" s="908">
        <v>2.4300000000000002</v>
      </c>
      <c r="E6317" s="709">
        <v>-0.44969087573884092</v>
      </c>
      <c r="F6317" s="946">
        <v>-2.6981452544330455E-2</v>
      </c>
      <c r="G6317" s="78"/>
      <c r="H6317" t="s">
        <v>204</v>
      </c>
      <c r="N6317">
        <v>1.3587879611</v>
      </c>
    </row>
    <row r="6318" spans="1:15" hidden="1" outlineLevel="1" x14ac:dyDescent="0.25">
      <c r="A6318" s="739">
        <v>0.02</v>
      </c>
      <c r="B6318" s="740" t="s">
        <v>1526</v>
      </c>
      <c r="C6318" s="1112">
        <v>81.712000000000003</v>
      </c>
      <c r="D6318" s="908">
        <v>29.254999999999999</v>
      </c>
      <c r="E6318" s="709">
        <v>-0.64197425102800088</v>
      </c>
      <c r="F6318" s="946">
        <v>-1.2839485020560018E-2</v>
      </c>
      <c r="G6318" s="78"/>
      <c r="H6318" t="s">
        <v>4146</v>
      </c>
      <c r="N6318">
        <v>2.44762091E-2</v>
      </c>
    </row>
    <row r="6319" spans="1:15" hidden="1" outlineLevel="1" x14ac:dyDescent="0.25">
      <c r="A6319" s="739">
        <v>0.05</v>
      </c>
      <c r="B6319" s="996" t="s">
        <v>4143</v>
      </c>
      <c r="C6319" s="1112">
        <v>11.5265</v>
      </c>
      <c r="D6319" s="908">
        <v>11.515000000000001</v>
      </c>
      <c r="E6319" s="709">
        <v>-9.9770094998485881E-4</v>
      </c>
      <c r="F6319" s="946">
        <v>-4.9885047499242943E-5</v>
      </c>
      <c r="G6319" s="78"/>
      <c r="H6319" t="s">
        <v>4144</v>
      </c>
      <c r="N6319">
        <v>0.43378302169999999</v>
      </c>
    </row>
    <row r="6320" spans="1:15" hidden="1" outlineLevel="1" x14ac:dyDescent="0.25">
      <c r="A6320" s="739">
        <v>0.05</v>
      </c>
      <c r="B6320" s="740" t="s">
        <v>2786</v>
      </c>
      <c r="C6320" s="1112">
        <v>649.08749999999998</v>
      </c>
      <c r="D6320" s="908">
        <v>552.5</v>
      </c>
      <c r="E6320" s="709">
        <v>-0.14880505324782867</v>
      </c>
      <c r="F6320" s="946">
        <v>-7.4402526623914339E-3</v>
      </c>
      <c r="G6320" s="78"/>
      <c r="H6320" t="s">
        <v>4195</v>
      </c>
      <c r="N6320">
        <v>0.77031214520000002</v>
      </c>
    </row>
    <row r="6321" spans="1:14" hidden="1" outlineLevel="1" x14ac:dyDescent="0.25">
      <c r="A6321" s="739">
        <v>0.04</v>
      </c>
      <c r="B6321" s="740" t="s">
        <v>3797</v>
      </c>
      <c r="C6321" s="1112">
        <v>51.04</v>
      </c>
      <c r="D6321" s="908">
        <v>51.05</v>
      </c>
      <c r="E6321" s="709">
        <v>1.9592476489016519E-4</v>
      </c>
      <c r="F6321" s="946">
        <v>7.8369905956066081E-6</v>
      </c>
      <c r="G6321" s="78"/>
      <c r="H6321" t="s">
        <v>3848</v>
      </c>
      <c r="N6321">
        <v>7.8369906000000003E-2</v>
      </c>
    </row>
    <row r="6322" spans="1:14" hidden="1" outlineLevel="1" x14ac:dyDescent="0.25">
      <c r="A6322" s="739">
        <v>0.05</v>
      </c>
      <c r="B6322" s="740" t="s">
        <v>1190</v>
      </c>
      <c r="C6322" s="837">
        <v>18.588000000000001</v>
      </c>
      <c r="D6322" s="908">
        <v>7.82</v>
      </c>
      <c r="E6322" s="709">
        <v>-0.57929847213255869</v>
      </c>
      <c r="F6322" s="946">
        <v>-2.8964923606627935E-2</v>
      </c>
      <c r="G6322" s="78"/>
      <c r="H6322" t="s">
        <v>7569</v>
      </c>
      <c r="N6322">
        <v>0.26899074670000001</v>
      </c>
    </row>
    <row r="6323" spans="1:14" hidden="1" outlineLevel="1" x14ac:dyDescent="0.25">
      <c r="A6323" s="739">
        <v>0.02</v>
      </c>
      <c r="B6323" s="740" t="s">
        <v>1213</v>
      </c>
      <c r="C6323" s="837">
        <v>44.465000000000003</v>
      </c>
      <c r="D6323" s="908">
        <v>30.614999999999998</v>
      </c>
      <c r="E6323" s="709">
        <v>-0.31148094006521987</v>
      </c>
      <c r="F6323" s="946">
        <v>-6.2296188013043971E-3</v>
      </c>
      <c r="G6323" s="78"/>
      <c r="H6323" t="s">
        <v>4230</v>
      </c>
      <c r="N6323">
        <v>4.49791971E-2</v>
      </c>
    </row>
    <row r="6324" spans="1:14" hidden="1" outlineLevel="1" x14ac:dyDescent="0.25">
      <c r="A6324" s="739">
        <v>0.02</v>
      </c>
      <c r="B6324" s="740" t="s">
        <v>3800</v>
      </c>
      <c r="C6324" s="837">
        <v>176.05</v>
      </c>
      <c r="D6324" s="908">
        <v>143.6</v>
      </c>
      <c r="E6324" s="709">
        <v>-0.18432263561488227</v>
      </c>
      <c r="F6324" s="946">
        <v>-3.6864527122976456E-3</v>
      </c>
      <c r="G6324" s="78"/>
      <c r="H6324" t="s">
        <v>2817</v>
      </c>
      <c r="N6324">
        <v>1.1360409E-2</v>
      </c>
    </row>
    <row r="6325" spans="1:14" hidden="1" outlineLevel="1" x14ac:dyDescent="0.25">
      <c r="A6325" s="739">
        <v>0.03</v>
      </c>
      <c r="B6325" s="740" t="s">
        <v>3801</v>
      </c>
      <c r="C6325" s="837">
        <v>78.326999999999998</v>
      </c>
      <c r="D6325" s="908">
        <v>52.61</v>
      </c>
      <c r="E6325" s="709">
        <v>-0.32832867338210325</v>
      </c>
      <c r="F6325" s="946">
        <v>-9.8498602014630964E-3</v>
      </c>
      <c r="G6325" s="78"/>
      <c r="H6325" t="s">
        <v>2819</v>
      </c>
      <c r="N6325">
        <v>3.8300968999999997E-2</v>
      </c>
    </row>
    <row r="6326" spans="1:14" hidden="1" outlineLevel="1" x14ac:dyDescent="0.25">
      <c r="A6326" s="739">
        <v>0.04</v>
      </c>
      <c r="B6326" s="740" t="s">
        <v>577</v>
      </c>
      <c r="C6326" s="837">
        <v>19.018999999999998</v>
      </c>
      <c r="D6326" s="908">
        <v>18.344999999999999</v>
      </c>
      <c r="E6326" s="709">
        <v>-3.5438245964561688E-2</v>
      </c>
      <c r="F6326" s="946">
        <v>-1.4175298385824676E-3</v>
      </c>
      <c r="G6326" s="78"/>
      <c r="H6326" t="s">
        <v>2804</v>
      </c>
      <c r="N6326">
        <v>0.21031599979999999</v>
      </c>
    </row>
    <row r="6327" spans="1:14" hidden="1" outlineLevel="1" x14ac:dyDescent="0.25">
      <c r="A6327" s="739">
        <v>0.05</v>
      </c>
      <c r="B6327" s="740" t="s">
        <v>1183</v>
      </c>
      <c r="C6327" s="837">
        <v>55.903500000000001</v>
      </c>
      <c r="D6327" s="908">
        <v>42.718000000000004</v>
      </c>
      <c r="E6327" s="709">
        <v>-0.23586179756186998</v>
      </c>
      <c r="F6327" s="946">
        <v>-1.17930898780935E-2</v>
      </c>
      <c r="G6327" s="78"/>
      <c r="H6327" t="s">
        <v>2805</v>
      </c>
      <c r="N6327">
        <v>8.9439838300000005E-2</v>
      </c>
    </row>
    <row r="6328" spans="1:14" hidden="1" outlineLevel="1" x14ac:dyDescent="0.25">
      <c r="A6328" s="739">
        <v>0.03</v>
      </c>
      <c r="B6328" s="740" t="s">
        <v>3169</v>
      </c>
      <c r="C6328" s="837">
        <v>25.778500000000001</v>
      </c>
      <c r="D6328" s="908">
        <v>20.934999999999999</v>
      </c>
      <c r="E6328" s="709">
        <v>-0.18788913241654881</v>
      </c>
      <c r="F6328" s="946">
        <v>-5.6366739724964645E-3</v>
      </c>
      <c r="G6328" s="78"/>
      <c r="H6328" t="s">
        <v>657</v>
      </c>
      <c r="N6328">
        <v>0.11637604980000001</v>
      </c>
    </row>
    <row r="6329" spans="1:14" hidden="1" outlineLevel="1" x14ac:dyDescent="0.25">
      <c r="A6329" s="739">
        <v>0.05</v>
      </c>
      <c r="B6329" s="740" t="s">
        <v>1031</v>
      </c>
      <c r="C6329" s="837">
        <v>9.6150000000000002</v>
      </c>
      <c r="D6329" s="908">
        <v>6.26</v>
      </c>
      <c r="E6329" s="709">
        <v>-0.34893395735829436</v>
      </c>
      <c r="F6329" s="946">
        <v>-1.744669786791472E-2</v>
      </c>
      <c r="G6329" s="78"/>
      <c r="H6329" t="s">
        <v>4158</v>
      </c>
      <c r="N6329">
        <v>0.52002080080000002</v>
      </c>
    </row>
    <row r="6330" spans="1:14" hidden="1" outlineLevel="1" x14ac:dyDescent="0.25">
      <c r="A6330" s="739">
        <v>0.02</v>
      </c>
      <c r="B6330" s="740" t="s">
        <v>3326</v>
      </c>
      <c r="C6330" s="837">
        <v>25.611000000000001</v>
      </c>
      <c r="D6330" s="908">
        <v>19.765000000000001</v>
      </c>
      <c r="E6330" s="709">
        <v>-0.22826129397524497</v>
      </c>
      <c r="F6330" s="946">
        <v>-4.5652258795048995E-3</v>
      </c>
      <c r="G6330" s="78"/>
      <c r="H6330" t="e">
        <v>#N/A</v>
      </c>
      <c r="N6330">
        <v>7.8091445100000004E-2</v>
      </c>
    </row>
    <row r="6331" spans="1:14" hidden="1" outlineLevel="1" x14ac:dyDescent="0.25">
      <c r="A6331" s="739">
        <v>0.03</v>
      </c>
      <c r="B6331" s="740" t="s">
        <v>4338</v>
      </c>
      <c r="C6331" s="837">
        <v>41.164227989015998</v>
      </c>
      <c r="D6331" s="715">
        <v>28.975000000000001</v>
      </c>
      <c r="E6331" s="716">
        <v>-0.29611214844763989</v>
      </c>
      <c r="F6331" s="1023">
        <v>-8.8833644534291965E-3</v>
      </c>
      <c r="G6331" s="78"/>
      <c r="H6331" t="s">
        <v>7229</v>
      </c>
      <c r="N6331">
        <v>7.2878811200000004E-2</v>
      </c>
    </row>
    <row r="6332" spans="1:14" hidden="1" outlineLevel="1" x14ac:dyDescent="0.25">
      <c r="A6332" s="717"/>
      <c r="B6332" s="718"/>
      <c r="C6332" s="719"/>
      <c r="D6332" s="727"/>
      <c r="E6332" s="716"/>
      <c r="F6332" s="770">
        <v>-0.19911761272152129</v>
      </c>
      <c r="G6332" s="78"/>
    </row>
    <row r="6333" spans="1:14" collapsed="1" x14ac:dyDescent="0.25">
      <c r="A6333" s="3801" t="s">
        <v>3361</v>
      </c>
      <c r="B6333" s="3802"/>
      <c r="C6333" s="3802"/>
      <c r="D6333" s="3802"/>
      <c r="E6333" s="721" t="s">
        <v>2722</v>
      </c>
      <c r="F6333" s="722">
        <v>-0.05</v>
      </c>
      <c r="G6333" s="97" t="s">
        <v>781</v>
      </c>
    </row>
    <row r="6335" spans="1:14" hidden="1" outlineLevel="1" x14ac:dyDescent="0.25">
      <c r="A6335" s="689" t="s">
        <v>113</v>
      </c>
      <c r="B6335" s="689" t="s">
        <v>114</v>
      </c>
      <c r="C6335" s="689" t="s">
        <v>112</v>
      </c>
      <c r="D6335" s="689" t="s">
        <v>116</v>
      </c>
      <c r="E6335" s="689" t="s">
        <v>117</v>
      </c>
      <c r="F6335" s="1188" t="s">
        <v>121</v>
      </c>
      <c r="G6335" s="78"/>
    </row>
    <row r="6336" spans="1:14" hidden="1" outlineLevel="1" x14ac:dyDescent="0.25">
      <c r="A6336" s="690">
        <v>1</v>
      </c>
      <c r="B6336" s="691" t="s">
        <v>252</v>
      </c>
      <c r="C6336" s="692">
        <v>100</v>
      </c>
      <c r="D6336" s="692"/>
      <c r="E6336" s="693"/>
      <c r="F6336" s="694"/>
      <c r="G6336" s="78"/>
    </row>
    <row r="6337" spans="1:12" hidden="1" outlineLevel="1" x14ac:dyDescent="0.25">
      <c r="A6337" s="695"/>
      <c r="B6337" s="695"/>
      <c r="C6337" s="696"/>
      <c r="D6337" s="697" t="s">
        <v>3702</v>
      </c>
      <c r="E6337" s="698">
        <v>41425</v>
      </c>
      <c r="F6337" s="699"/>
      <c r="G6337" s="78"/>
    </row>
    <row r="6338" spans="1:12" hidden="1" outlineLevel="1" x14ac:dyDescent="0.25">
      <c r="A6338" s="689" t="s">
        <v>4156</v>
      </c>
      <c r="B6338" s="689" t="s">
        <v>4153</v>
      </c>
      <c r="C6338" s="700" t="s">
        <v>112</v>
      </c>
      <c r="D6338" s="495" t="s">
        <v>4155</v>
      </c>
      <c r="E6338" s="495" t="s">
        <v>4154</v>
      </c>
      <c r="F6338" s="1021" t="s">
        <v>2519</v>
      </c>
      <c r="G6338" s="78"/>
      <c r="J6338" t="s">
        <v>631</v>
      </c>
      <c r="K6338" s="31"/>
    </row>
    <row r="6339" spans="1:12" hidden="1" outlineLevel="1" x14ac:dyDescent="0.25">
      <c r="A6339" s="734">
        <v>0.02</v>
      </c>
      <c r="B6339" s="735" t="s">
        <v>1141</v>
      </c>
      <c r="C6339" s="1145">
        <v>33.313000000000002</v>
      </c>
      <c r="D6339" s="1090">
        <v>73.69</v>
      </c>
      <c r="E6339" s="738">
        <v>1.212049350103563</v>
      </c>
      <c r="F6339" s="1021">
        <v>2.4240987002071258E-2</v>
      </c>
      <c r="G6339" s="78"/>
      <c r="H6339" t="s">
        <v>666</v>
      </c>
      <c r="J6339" s="256">
        <v>40878</v>
      </c>
      <c r="K6339" s="252">
        <v>79.341800000000006</v>
      </c>
      <c r="L6339" s="37">
        <v>-0.20658199999999993</v>
      </c>
    </row>
    <row r="6340" spans="1:12" hidden="1" outlineLevel="1" x14ac:dyDescent="0.25">
      <c r="A6340" s="739">
        <v>0.05</v>
      </c>
      <c r="B6340" s="987" t="s">
        <v>901</v>
      </c>
      <c r="C6340" s="1112">
        <v>1892.4</v>
      </c>
      <c r="D6340" s="1091">
        <v>3623</v>
      </c>
      <c r="E6340" s="742">
        <v>0.91450010568590145</v>
      </c>
      <c r="F6340" s="946">
        <v>4.5725005284295073E-2</v>
      </c>
      <c r="G6340" s="78"/>
      <c r="H6340" t="s">
        <v>531</v>
      </c>
      <c r="J6340" s="256">
        <v>40909</v>
      </c>
      <c r="K6340" s="252">
        <v>82.246899999999997</v>
      </c>
      <c r="L6340" s="37">
        <v>-0.17753099999999999</v>
      </c>
    </row>
    <row r="6341" spans="1:12" hidden="1" outlineLevel="1" x14ac:dyDescent="0.25">
      <c r="A6341" s="739">
        <v>0.03</v>
      </c>
      <c r="B6341" s="740" t="s">
        <v>6701</v>
      </c>
      <c r="C6341" s="1112">
        <v>543.35</v>
      </c>
      <c r="D6341" s="1091">
        <v>780.5</v>
      </c>
      <c r="E6341" s="742">
        <v>0.43645900432502072</v>
      </c>
      <c r="F6341" s="946">
        <v>1.3093770129750621E-2</v>
      </c>
      <c r="G6341" s="78"/>
      <c r="H6341" t="s">
        <v>6700</v>
      </c>
      <c r="J6341" s="256">
        <v>40940</v>
      </c>
      <c r="K6341" s="252">
        <v>85.396500000000003</v>
      </c>
      <c r="L6341" s="37">
        <v>-0.14603499999999991</v>
      </c>
    </row>
    <row r="6342" spans="1:12" hidden="1" outlineLevel="1" x14ac:dyDescent="0.25">
      <c r="A6342" s="739">
        <v>0.04</v>
      </c>
      <c r="B6342" s="740" t="s">
        <v>3405</v>
      </c>
      <c r="C6342" s="1112">
        <v>47.415999999999997</v>
      </c>
      <c r="D6342" s="1091">
        <v>22.815000000000001</v>
      </c>
      <c r="E6342" s="742">
        <v>-0.51883330521342996</v>
      </c>
      <c r="F6342" s="946">
        <v>-2.0753332208537197E-2</v>
      </c>
      <c r="G6342" s="78"/>
      <c r="H6342" t="s">
        <v>2747</v>
      </c>
      <c r="J6342" s="256">
        <v>40969</v>
      </c>
      <c r="K6342" s="252">
        <v>85.895499999999998</v>
      </c>
      <c r="L6342" s="37">
        <v>-0.14104499999999998</v>
      </c>
    </row>
    <row r="6343" spans="1:12" hidden="1" outlineLevel="1" x14ac:dyDescent="0.25">
      <c r="A6343" s="739">
        <v>0.02</v>
      </c>
      <c r="B6343" s="740" t="s">
        <v>4437</v>
      </c>
      <c r="C6343" s="1112">
        <v>1206.9000000000001</v>
      </c>
      <c r="D6343" s="1091">
        <v>550.1</v>
      </c>
      <c r="E6343" s="742">
        <v>-0.54420415941668732</v>
      </c>
      <c r="F6343" s="946">
        <v>-1.0884083188333747E-2</v>
      </c>
      <c r="G6343" s="78"/>
      <c r="H6343" t="s">
        <v>3825</v>
      </c>
      <c r="J6343" s="256">
        <v>41000</v>
      </c>
      <c r="K6343" s="252">
        <v>83.149600000000007</v>
      </c>
      <c r="L6343" s="37">
        <v>-0.16850399999999999</v>
      </c>
    </row>
    <row r="6344" spans="1:12" hidden="1" outlineLevel="1" x14ac:dyDescent="0.25">
      <c r="A6344" s="739">
        <v>0.02</v>
      </c>
      <c r="B6344" s="740" t="s">
        <v>335</v>
      </c>
      <c r="C6344" s="1112">
        <v>56.46</v>
      </c>
      <c r="D6344" s="1091">
        <v>85.85</v>
      </c>
      <c r="E6344" s="742">
        <v>0.52054551895147005</v>
      </c>
      <c r="F6344" s="946">
        <v>1.0410910379029401E-2</v>
      </c>
      <c r="G6344" s="78"/>
      <c r="H6344" t="s">
        <v>336</v>
      </c>
      <c r="J6344" s="256">
        <v>41030</v>
      </c>
      <c r="K6344" s="252">
        <v>77.097800000000007</v>
      </c>
      <c r="L6344" s="37">
        <v>-0.22902199999999995</v>
      </c>
    </row>
    <row r="6345" spans="1:12" hidden="1" outlineLevel="1" x14ac:dyDescent="0.25">
      <c r="A6345" s="739">
        <v>0.02</v>
      </c>
      <c r="B6345" s="740" t="s">
        <v>3017</v>
      </c>
      <c r="C6345" s="1112">
        <v>16.202000000000002</v>
      </c>
      <c r="D6345" s="1091">
        <v>0.03</v>
      </c>
      <c r="E6345" s="742">
        <v>-0.9981483767436119</v>
      </c>
      <c r="F6345" s="946">
        <v>-1.9962967534872238E-2</v>
      </c>
      <c r="G6345" s="78"/>
      <c r="H6345" t="s">
        <v>1793</v>
      </c>
      <c r="J6345" s="256">
        <v>41061</v>
      </c>
      <c r="K6345" s="252">
        <v>79.325900000000004</v>
      </c>
      <c r="L6345" s="37">
        <v>-0.20674099999999995</v>
      </c>
    </row>
    <row r="6346" spans="1:12" hidden="1" outlineLevel="1" x14ac:dyDescent="0.25">
      <c r="A6346" s="739">
        <v>0.04</v>
      </c>
      <c r="B6346" s="740" t="s">
        <v>4064</v>
      </c>
      <c r="C6346" s="1112">
        <v>49.502000000000002</v>
      </c>
      <c r="D6346" s="1091">
        <v>53.16</v>
      </c>
      <c r="E6346" s="742">
        <v>7.3896004201850385E-2</v>
      </c>
      <c r="F6346" s="946">
        <v>2.9558401680740156E-3</v>
      </c>
      <c r="G6346" s="78"/>
      <c r="H6346" t="s">
        <v>170</v>
      </c>
      <c r="J6346" s="256">
        <v>41091</v>
      </c>
      <c r="K6346" s="252">
        <v>81.591700000000003</v>
      </c>
      <c r="L6346" s="37">
        <v>-0.184083</v>
      </c>
    </row>
    <row r="6347" spans="1:12" hidden="1" outlineLevel="1" x14ac:dyDescent="0.25">
      <c r="A6347" s="739">
        <v>0.05</v>
      </c>
      <c r="B6347" s="740" t="s">
        <v>2701</v>
      </c>
      <c r="C6347" s="1112">
        <v>3.7639999999999998</v>
      </c>
      <c r="D6347" s="1091">
        <v>2.4790000000000001</v>
      </c>
      <c r="E6347" s="742">
        <v>-0.34139213602550467</v>
      </c>
      <c r="F6347" s="946">
        <v>-1.7069606801275235E-2</v>
      </c>
      <c r="G6347" s="78"/>
      <c r="H6347" t="s">
        <v>2700</v>
      </c>
      <c r="J6347" s="256">
        <v>41122</v>
      </c>
      <c r="K6347" s="252">
        <v>82.971599999999995</v>
      </c>
      <c r="L6347" s="37">
        <v>-0.1702840000000001</v>
      </c>
    </row>
    <row r="6348" spans="1:12" hidden="1" outlineLevel="1" x14ac:dyDescent="0.25">
      <c r="A6348" s="739">
        <v>0.05</v>
      </c>
      <c r="B6348" s="740" t="s">
        <v>3021</v>
      </c>
      <c r="C6348" s="1112">
        <v>22.06</v>
      </c>
      <c r="D6348" s="1091">
        <v>17.5</v>
      </c>
      <c r="E6348" s="742">
        <v>-0.20670897552130552</v>
      </c>
      <c r="F6348" s="946">
        <v>-1.0335448776065277E-2</v>
      </c>
      <c r="G6348" s="78"/>
      <c r="H6348" t="s">
        <v>4124</v>
      </c>
      <c r="J6348" s="256">
        <v>41153</v>
      </c>
      <c r="K6348" s="252">
        <v>82.096800000000002</v>
      </c>
      <c r="L6348" s="37">
        <v>-0.17903199999999997</v>
      </c>
    </row>
    <row r="6349" spans="1:12" hidden="1" outlineLevel="1" x14ac:dyDescent="0.25">
      <c r="A6349" s="739">
        <v>0.05</v>
      </c>
      <c r="B6349" s="740" t="s">
        <v>4268</v>
      </c>
      <c r="C6349" s="1112">
        <v>25.727</v>
      </c>
      <c r="D6349" s="1091">
        <v>14.5</v>
      </c>
      <c r="E6349" s="742">
        <v>-0.4363897850507249</v>
      </c>
      <c r="F6349" s="946">
        <v>-2.1819489252536246E-2</v>
      </c>
      <c r="G6349" s="78"/>
      <c r="H6349" t="s">
        <v>1801</v>
      </c>
      <c r="J6349" s="256">
        <v>41183</v>
      </c>
      <c r="K6349" s="252">
        <v>83.5886</v>
      </c>
      <c r="L6349" s="37">
        <v>-0.16411399999999998</v>
      </c>
    </row>
    <row r="6350" spans="1:12" hidden="1" outlineLevel="1" x14ac:dyDescent="0.25">
      <c r="A6350" s="739">
        <v>0.02</v>
      </c>
      <c r="B6350" s="712" t="s">
        <v>53</v>
      </c>
      <c r="C6350" s="1112">
        <v>54.27</v>
      </c>
      <c r="D6350" s="1091">
        <v>56.74</v>
      </c>
      <c r="E6350" s="742">
        <v>4.5513174866408601E-2</v>
      </c>
      <c r="F6350" s="946">
        <v>9.1026349732817205E-4</v>
      </c>
      <c r="G6350" s="78"/>
      <c r="H6350" t="s">
        <v>2751</v>
      </c>
      <c r="J6350" s="256">
        <v>41214</v>
      </c>
      <c r="K6350" s="252">
        <v>87.162599999999998</v>
      </c>
      <c r="L6350" s="37">
        <v>-0.12837399999999999</v>
      </c>
    </row>
    <row r="6351" spans="1:12" hidden="1" outlineLevel="1" x14ac:dyDescent="0.25">
      <c r="A6351" s="739">
        <v>0.02</v>
      </c>
      <c r="B6351" s="740" t="s">
        <v>3319</v>
      </c>
      <c r="C6351" s="1112">
        <v>36.176000000000002</v>
      </c>
      <c r="D6351" s="1091">
        <v>53.79</v>
      </c>
      <c r="E6351" s="742">
        <v>0.48689739053516123</v>
      </c>
      <c r="F6351" s="946">
        <v>9.7379478107032253E-3</v>
      </c>
      <c r="G6351" s="78"/>
      <c r="H6351" t="s">
        <v>1779</v>
      </c>
      <c r="J6351" s="256">
        <v>41244</v>
      </c>
      <c r="K6351" s="424">
        <v>89.511399999999995</v>
      </c>
      <c r="L6351" s="37">
        <v>-0.10488600000000003</v>
      </c>
    </row>
    <row r="6352" spans="1:12" hidden="1" outlineLevel="1" x14ac:dyDescent="0.25">
      <c r="A6352" s="739">
        <v>0.05</v>
      </c>
      <c r="B6352" s="740" t="s">
        <v>746</v>
      </c>
      <c r="C6352" s="1112">
        <v>18.826000000000001</v>
      </c>
      <c r="D6352" s="1091">
        <v>6.79</v>
      </c>
      <c r="E6352" s="742">
        <v>-0.63932858812280891</v>
      </c>
      <c r="F6352" s="946">
        <v>-3.1966429406140445E-2</v>
      </c>
      <c r="G6352" s="78"/>
      <c r="H6352" t="s">
        <v>745</v>
      </c>
      <c r="J6352" s="256">
        <v>41275</v>
      </c>
      <c r="K6352" s="424">
        <v>93.238799999999998</v>
      </c>
      <c r="L6352" s="37">
        <v>-6.7612000000000005E-2</v>
      </c>
    </row>
    <row r="6353" spans="1:12" hidden="1" outlineLevel="1" x14ac:dyDescent="0.25">
      <c r="A6353" s="739">
        <v>0.02</v>
      </c>
      <c r="B6353" s="740" t="s">
        <v>3643</v>
      </c>
      <c r="C6353" s="1112">
        <v>164.25</v>
      </c>
      <c r="D6353" s="1091">
        <v>228</v>
      </c>
      <c r="E6353" s="742">
        <v>0.38812785388127846</v>
      </c>
      <c r="F6353" s="946">
        <v>7.7625570776255698E-3</v>
      </c>
      <c r="G6353" s="78"/>
      <c r="H6353" t="s">
        <v>1729</v>
      </c>
      <c r="J6353" s="256">
        <v>41306</v>
      </c>
      <c r="K6353" s="424">
        <v>94.574600000000004</v>
      </c>
      <c r="L6353" s="37">
        <v>-5.4253999999999913E-2</v>
      </c>
    </row>
    <row r="6354" spans="1:12" hidden="1" outlineLevel="1" x14ac:dyDescent="0.25">
      <c r="A6354" s="739">
        <v>0.03</v>
      </c>
      <c r="B6354" s="740" t="s">
        <v>1526</v>
      </c>
      <c r="C6354" s="1112">
        <v>78.772999999999996</v>
      </c>
      <c r="D6354" s="1091">
        <v>30.69</v>
      </c>
      <c r="E6354" s="742">
        <v>-0.61039950236756246</v>
      </c>
      <c r="F6354" s="946">
        <v>-1.8311985071026875E-2</v>
      </c>
      <c r="G6354" s="78"/>
      <c r="H6354" t="s">
        <v>4146</v>
      </c>
      <c r="J6354" s="256">
        <v>41334</v>
      </c>
      <c r="K6354" s="424">
        <v>96.148799999999994</v>
      </c>
      <c r="L6354" s="37">
        <v>-3.8512000000000102E-2</v>
      </c>
    </row>
    <row r="6355" spans="1:12" hidden="1" outlineLevel="1" x14ac:dyDescent="0.25">
      <c r="A6355" s="739">
        <v>0.02</v>
      </c>
      <c r="B6355" s="740" t="s">
        <v>3303</v>
      </c>
      <c r="C6355" s="1112">
        <v>108.06399999999999</v>
      </c>
      <c r="D6355" s="1091">
        <v>55.35</v>
      </c>
      <c r="E6355" s="742">
        <v>-0.48780352383772574</v>
      </c>
      <c r="F6355" s="946">
        <v>-9.7560704767545147E-3</v>
      </c>
      <c r="G6355" s="78"/>
      <c r="H6355" t="e">
        <v>#N/A</v>
      </c>
      <c r="J6355" s="256">
        <v>41365</v>
      </c>
      <c r="K6355" s="424">
        <v>96.231099999999998</v>
      </c>
      <c r="L6355" s="37">
        <v>-3.7688999999999973E-2</v>
      </c>
    </row>
    <row r="6356" spans="1:12" hidden="1" outlineLevel="1" x14ac:dyDescent="0.25">
      <c r="A6356" s="739">
        <v>0.03</v>
      </c>
      <c r="B6356" s="740" t="s">
        <v>4038</v>
      </c>
      <c r="C6356" s="1112">
        <v>47.442999999999998</v>
      </c>
      <c r="D6356" s="1091">
        <v>19.824999999999999</v>
      </c>
      <c r="E6356" s="742">
        <v>-0.58213013510949985</v>
      </c>
      <c r="F6356" s="946">
        <v>-1.7463904053284993E-2</v>
      </c>
      <c r="G6356" s="78"/>
      <c r="H6356" t="s">
        <v>4039</v>
      </c>
      <c r="J6356" s="256">
        <v>41395</v>
      </c>
      <c r="K6356" s="424">
        <v>96.832899999999995</v>
      </c>
      <c r="L6356" s="37">
        <v>-3.1671000000000005E-2</v>
      </c>
    </row>
    <row r="6357" spans="1:12" hidden="1" outlineLevel="1" x14ac:dyDescent="0.25">
      <c r="A6357" s="739">
        <v>0.02</v>
      </c>
      <c r="B6357" s="996" t="s">
        <v>2856</v>
      </c>
      <c r="C6357" s="1112">
        <v>77.91</v>
      </c>
      <c r="D6357" s="1091">
        <v>130.35</v>
      </c>
      <c r="E6357" s="742">
        <v>0.67308432807085095</v>
      </c>
      <c r="F6357" s="946">
        <v>1.3461686561417019E-2</v>
      </c>
      <c r="G6357" s="78"/>
      <c r="H6357" t="s">
        <v>2721</v>
      </c>
      <c r="J6357" s="264" t="s">
        <v>2465</v>
      </c>
      <c r="K6357" s="31"/>
      <c r="L6357" s="261">
        <v>-0.1353317222222222</v>
      </c>
    </row>
    <row r="6358" spans="1:12" hidden="1" outlineLevel="1" x14ac:dyDescent="0.25">
      <c r="A6358" s="739">
        <v>0.02</v>
      </c>
      <c r="B6358" s="740" t="s">
        <v>1528</v>
      </c>
      <c r="C6358" s="1112">
        <v>65.816000000000003</v>
      </c>
      <c r="D6358" s="1091">
        <v>136.65</v>
      </c>
      <c r="E6358" s="742">
        <v>1.0762428588792998</v>
      </c>
      <c r="F6358" s="946">
        <v>2.1524857177585996E-2</v>
      </c>
      <c r="G6358" s="78"/>
      <c r="H6358" t="s">
        <v>4149</v>
      </c>
      <c r="J6358" s="69" t="s">
        <v>5094</v>
      </c>
      <c r="L6358" s="422">
        <v>-0.14886489444444442</v>
      </c>
    </row>
    <row r="6359" spans="1:12" hidden="1" outlineLevel="1" x14ac:dyDescent="0.25">
      <c r="A6359" s="739">
        <v>0.04</v>
      </c>
      <c r="B6359" s="743" t="s">
        <v>3253</v>
      </c>
      <c r="C6359" s="837">
        <v>341.85</v>
      </c>
      <c r="D6359" s="1091">
        <v>464.2</v>
      </c>
      <c r="E6359" s="742">
        <v>0.35790551411437743</v>
      </c>
      <c r="F6359" s="946">
        <v>1.4316220564575098E-2</v>
      </c>
      <c r="G6359" s="78"/>
      <c r="H6359" t="s">
        <v>3629</v>
      </c>
    </row>
    <row r="6360" spans="1:12" hidden="1" outlineLevel="1" x14ac:dyDescent="0.25">
      <c r="A6360" s="739">
        <v>0.05</v>
      </c>
      <c r="B6360" s="740" t="s">
        <v>433</v>
      </c>
      <c r="C6360" s="837">
        <v>25.311</v>
      </c>
      <c r="D6360" s="1091">
        <v>5.22</v>
      </c>
      <c r="E6360" s="742">
        <v>-0.79376555647742086</v>
      </c>
      <c r="F6360" s="946">
        <v>-3.9688277823871049E-2</v>
      </c>
      <c r="G6360" s="78"/>
      <c r="H6360" t="s">
        <v>432</v>
      </c>
    </row>
    <row r="6361" spans="1:12" hidden="1" outlineLevel="1" x14ac:dyDescent="0.25">
      <c r="A6361" s="739">
        <v>0.03</v>
      </c>
      <c r="B6361" s="743" t="s">
        <v>3307</v>
      </c>
      <c r="C6361" s="837">
        <v>85.003</v>
      </c>
      <c r="D6361" s="1091">
        <v>175.45</v>
      </c>
      <c r="E6361" s="742">
        <v>1.064044798418879</v>
      </c>
      <c r="F6361" s="946">
        <v>3.1921343952566371E-2</v>
      </c>
      <c r="G6361" s="78"/>
      <c r="H6361" t="e">
        <v>#N/A</v>
      </c>
    </row>
    <row r="6362" spans="1:12" hidden="1" outlineLevel="1" x14ac:dyDescent="0.25">
      <c r="A6362" s="739">
        <v>0.05</v>
      </c>
      <c r="B6362" s="740" t="s">
        <v>3801</v>
      </c>
      <c r="C6362" s="837">
        <v>78.215000000000003</v>
      </c>
      <c r="D6362" s="1091">
        <v>26.454999999999998</v>
      </c>
      <c r="E6362" s="742">
        <v>-0.66176564597583587</v>
      </c>
      <c r="F6362" s="946">
        <v>-3.3088282298791794E-2</v>
      </c>
      <c r="G6362" s="78"/>
      <c r="H6362" t="s">
        <v>2819</v>
      </c>
    </row>
    <row r="6363" spans="1:12" hidden="1" outlineLevel="1" x14ac:dyDescent="0.25">
      <c r="A6363" s="739">
        <v>0.05</v>
      </c>
      <c r="B6363" s="740" t="s">
        <v>3902</v>
      </c>
      <c r="C6363" s="837">
        <v>101.7</v>
      </c>
      <c r="D6363" s="1091">
        <v>165.5</v>
      </c>
      <c r="E6363" s="742">
        <v>0.62733529990167147</v>
      </c>
      <c r="F6363" s="946">
        <v>3.1366764995083576E-2</v>
      </c>
      <c r="G6363" s="78"/>
      <c r="H6363" t="s">
        <v>641</v>
      </c>
    </row>
    <row r="6364" spans="1:12" hidden="1" outlineLevel="1" x14ac:dyDescent="0.25">
      <c r="A6364" s="739">
        <v>0.03</v>
      </c>
      <c r="B6364" s="740" t="s">
        <v>577</v>
      </c>
      <c r="C6364" s="837">
        <v>18.236999999999998</v>
      </c>
      <c r="D6364" s="1091">
        <v>10.6</v>
      </c>
      <c r="E6364" s="742">
        <v>-0.41876405110489656</v>
      </c>
      <c r="F6364" s="946">
        <v>-1.2562921533146896E-2</v>
      </c>
      <c r="G6364" s="78"/>
      <c r="H6364" t="s">
        <v>2804</v>
      </c>
    </row>
    <row r="6365" spans="1:12" hidden="1" outlineLevel="1" x14ac:dyDescent="0.25">
      <c r="A6365" s="739">
        <v>0.05</v>
      </c>
      <c r="B6365" s="740" t="s">
        <v>1301</v>
      </c>
      <c r="C6365" s="837">
        <v>14.25</v>
      </c>
      <c r="D6365" s="1091">
        <v>5.2880000000000003</v>
      </c>
      <c r="E6365" s="742">
        <v>-0.62891228070175442</v>
      </c>
      <c r="F6365" s="946">
        <v>-3.1445614035087721E-2</v>
      </c>
      <c r="G6365" s="78"/>
      <c r="H6365" t="s">
        <v>1047</v>
      </c>
    </row>
    <row r="6366" spans="1:12" hidden="1" outlineLevel="1" x14ac:dyDescent="0.25">
      <c r="A6366" s="739">
        <v>0.02</v>
      </c>
      <c r="B6366" s="740" t="s">
        <v>434</v>
      </c>
      <c r="C6366" s="837">
        <v>46.58</v>
      </c>
      <c r="D6366" s="1091">
        <v>44.57</v>
      </c>
      <c r="E6366" s="742">
        <v>-4.3151567196221485E-2</v>
      </c>
      <c r="F6366" s="946">
        <v>-8.6303134392442973E-4</v>
      </c>
      <c r="G6366" s="78"/>
      <c r="H6366" t="s">
        <v>435</v>
      </c>
    </row>
    <row r="6367" spans="1:12" hidden="1" outlineLevel="1" x14ac:dyDescent="0.25">
      <c r="A6367" s="739">
        <v>0.03</v>
      </c>
      <c r="B6367" s="740" t="s">
        <v>2893</v>
      </c>
      <c r="C6367" s="837">
        <v>286.97500000000002</v>
      </c>
      <c r="D6367" s="1091">
        <v>552</v>
      </c>
      <c r="E6367" s="742">
        <v>0.92351250108894489</v>
      </c>
      <c r="F6367" s="946">
        <v>2.7705375032668345E-2</v>
      </c>
      <c r="G6367" s="78"/>
      <c r="H6367" t="s">
        <v>4416</v>
      </c>
    </row>
    <row r="6368" spans="1:12" hidden="1" outlineLevel="1" x14ac:dyDescent="0.25">
      <c r="A6368" s="739">
        <v>0.03</v>
      </c>
      <c r="B6368" s="740" t="s">
        <v>2631</v>
      </c>
      <c r="C6368" s="837">
        <v>35.680999999999997</v>
      </c>
      <c r="D6368" s="945">
        <v>15.455</v>
      </c>
      <c r="E6368" s="748">
        <v>-0.56685631008099546</v>
      </c>
      <c r="F6368" s="1023">
        <v>-1.7005689302429863E-2</v>
      </c>
      <c r="G6368" s="78"/>
      <c r="H6368" t="s">
        <v>1727</v>
      </c>
    </row>
    <row r="6369" spans="1:15" hidden="1" outlineLevel="1" x14ac:dyDescent="0.25">
      <c r="A6369" s="717"/>
      <c r="B6369" s="718"/>
      <c r="C6369" s="719"/>
      <c r="D6369" s="727"/>
      <c r="E6369" s="716"/>
      <c r="F6369" s="770">
        <v>-5.7843603473304792E-2</v>
      </c>
      <c r="G6369" s="78"/>
    </row>
    <row r="6370" spans="1:15" collapsed="1" x14ac:dyDescent="0.25">
      <c r="A6370" s="3801" t="s">
        <v>2455</v>
      </c>
      <c r="B6370" s="3802"/>
      <c r="C6370" s="3802"/>
      <c r="D6370" s="3802"/>
      <c r="E6370" s="721"/>
      <c r="F6370" s="722">
        <v>-0.05</v>
      </c>
      <c r="G6370" s="97" t="s">
        <v>781</v>
      </c>
    </row>
    <row r="6372" spans="1:15" hidden="1" outlineLevel="1" x14ac:dyDescent="0.25">
      <c r="A6372" s="689" t="s">
        <v>113</v>
      </c>
      <c r="B6372" s="689" t="s">
        <v>114</v>
      </c>
      <c r="C6372" s="689" t="s">
        <v>112</v>
      </c>
      <c r="D6372" s="689" t="s">
        <v>116</v>
      </c>
      <c r="E6372" s="689" t="s">
        <v>117</v>
      </c>
      <c r="F6372" s="1188" t="s">
        <v>121</v>
      </c>
      <c r="G6372" s="78"/>
      <c r="J6372" t="s">
        <v>2040</v>
      </c>
    </row>
    <row r="6373" spans="1:15" hidden="1" outlineLevel="1" x14ac:dyDescent="0.25">
      <c r="A6373" s="690">
        <v>1</v>
      </c>
      <c r="B6373" s="691" t="s">
        <v>252</v>
      </c>
      <c r="C6373" s="692">
        <v>100</v>
      </c>
      <c r="D6373" s="692"/>
      <c r="E6373" s="693"/>
      <c r="F6373" s="694"/>
      <c r="G6373" s="78"/>
      <c r="J6373" s="256">
        <v>41000</v>
      </c>
      <c r="K6373">
        <v>129.4572</v>
      </c>
      <c r="L6373" s="37">
        <v>0.29457200000000006</v>
      </c>
    </row>
    <row r="6374" spans="1:15" hidden="1" outlineLevel="1" x14ac:dyDescent="0.25">
      <c r="A6374" s="695"/>
      <c r="B6374" s="695"/>
      <c r="C6374" s="696"/>
      <c r="D6374" s="697" t="s">
        <v>3702</v>
      </c>
      <c r="E6374" s="698">
        <v>42460</v>
      </c>
      <c r="F6374" s="699"/>
      <c r="G6374" s="78"/>
      <c r="J6374" s="256">
        <v>41030</v>
      </c>
      <c r="K6374">
        <v>126.34820000000001</v>
      </c>
      <c r="L6374" s="37">
        <v>0.26348199999999999</v>
      </c>
    </row>
    <row r="6375" spans="1:15" hidden="1" outlineLevel="1" x14ac:dyDescent="0.25">
      <c r="A6375" s="495" t="s">
        <v>4156</v>
      </c>
      <c r="B6375" s="689" t="s">
        <v>4153</v>
      </c>
      <c r="C6375" s="700" t="s">
        <v>112</v>
      </c>
      <c r="D6375" s="495" t="s">
        <v>4155</v>
      </c>
      <c r="E6375" s="495" t="s">
        <v>4154</v>
      </c>
      <c r="F6375" s="1021" t="s">
        <v>2519</v>
      </c>
      <c r="G6375" s="78"/>
      <c r="J6375" s="256">
        <v>41061</v>
      </c>
      <c r="K6375">
        <v>133.3004</v>
      </c>
      <c r="L6375" s="37">
        <v>0.33300399999999986</v>
      </c>
    </row>
    <row r="6376" spans="1:15" hidden="1" outlineLevel="1" x14ac:dyDescent="0.25">
      <c r="A6376" s="1127">
        <v>0.05</v>
      </c>
      <c r="B6376" s="1144" t="s">
        <v>138</v>
      </c>
      <c r="C6376" s="1145">
        <v>48.158000000000001</v>
      </c>
      <c r="D6376" s="1090">
        <v>68.58</v>
      </c>
      <c r="E6376" s="738">
        <v>0.4240624610656587</v>
      </c>
      <c r="F6376" s="1021">
        <v>2.1203123053282938E-2</v>
      </c>
      <c r="G6376" s="78"/>
      <c r="H6376" t="s">
        <v>1775</v>
      </c>
      <c r="J6376" s="256">
        <v>41091</v>
      </c>
      <c r="K6376">
        <v>136.5498</v>
      </c>
      <c r="L6376" s="37">
        <v>0.3654980000000001</v>
      </c>
    </row>
    <row r="6377" spans="1:15" hidden="1" outlineLevel="1" x14ac:dyDescent="0.25">
      <c r="A6377" s="849">
        <v>0.05</v>
      </c>
      <c r="B6377" s="1146" t="s">
        <v>139</v>
      </c>
      <c r="C6377" s="1112">
        <v>2079</v>
      </c>
      <c r="D6377" s="1091">
        <v>2579</v>
      </c>
      <c r="E6377" s="742">
        <v>0.24050024050024055</v>
      </c>
      <c r="F6377" s="946">
        <v>1.2025012025012029E-2</v>
      </c>
      <c r="G6377" s="78"/>
      <c r="H6377" t="s">
        <v>1776</v>
      </c>
      <c r="J6377" s="256">
        <v>41122</v>
      </c>
      <c r="K6377">
        <v>137.77420000000001</v>
      </c>
      <c r="L6377" s="37">
        <v>0.37774200000000002</v>
      </c>
      <c r="O6377" s="359"/>
    </row>
    <row r="6378" spans="1:15" hidden="1" outlineLevel="1" x14ac:dyDescent="0.25">
      <c r="A6378" s="849">
        <v>0.05</v>
      </c>
      <c r="B6378" s="1147" t="s">
        <v>140</v>
      </c>
      <c r="C6378" s="1112">
        <v>71.113</v>
      </c>
      <c r="D6378" s="1091">
        <v>68.13</v>
      </c>
      <c r="E6378" s="742">
        <v>-4.1947323274225568E-2</v>
      </c>
      <c r="F6378" s="946">
        <v>-2.0973661637112783E-3</v>
      </c>
      <c r="G6378" s="78"/>
      <c r="H6378" t="s">
        <v>1777</v>
      </c>
      <c r="J6378" s="256">
        <v>41153</v>
      </c>
      <c r="K6378">
        <v>139.92529999999999</v>
      </c>
      <c r="L6378" s="37">
        <v>0.39925299999999986</v>
      </c>
      <c r="O6378" s="359"/>
    </row>
    <row r="6379" spans="1:15" hidden="1" outlineLevel="1" x14ac:dyDescent="0.25">
      <c r="A6379" s="849">
        <v>0.05</v>
      </c>
      <c r="B6379" s="1146" t="s">
        <v>4515</v>
      </c>
      <c r="C6379" s="1112">
        <v>634.88890000000004</v>
      </c>
      <c r="D6379" s="1091">
        <v>568</v>
      </c>
      <c r="E6379" s="742">
        <v>-0.10535528342045364</v>
      </c>
      <c r="F6379" s="946">
        <v>-5.2677641710226824E-3</v>
      </c>
      <c r="G6379" s="78"/>
      <c r="H6379" t="s">
        <v>1778</v>
      </c>
      <c r="J6379" s="256">
        <v>41183</v>
      </c>
      <c r="K6379">
        <v>137.1148</v>
      </c>
      <c r="L6379" s="37">
        <v>0.37114800000000003</v>
      </c>
      <c r="O6379" s="359"/>
    </row>
    <row r="6380" spans="1:15" hidden="1" outlineLevel="1" x14ac:dyDescent="0.25">
      <c r="A6380" s="849">
        <v>0.1</v>
      </c>
      <c r="B6380" s="1146" t="s">
        <v>3406</v>
      </c>
      <c r="C6380" s="1112">
        <v>1056.5</v>
      </c>
      <c r="D6380" s="1091">
        <v>1965</v>
      </c>
      <c r="E6380" s="742">
        <v>0.85991481306199713</v>
      </c>
      <c r="F6380" s="946">
        <v>8.5991481306199713E-2</v>
      </c>
      <c r="G6380" s="78"/>
      <c r="H6380" t="s">
        <v>2105</v>
      </c>
      <c r="J6380" s="256">
        <v>41214</v>
      </c>
      <c r="K6380">
        <v>143.43629999999999</v>
      </c>
      <c r="L6380" s="37">
        <v>0.43436299999999983</v>
      </c>
      <c r="O6380" s="359"/>
    </row>
    <row r="6381" spans="1:15" hidden="1" outlineLevel="1" x14ac:dyDescent="0.25">
      <c r="A6381" s="849">
        <v>0.05</v>
      </c>
      <c r="B6381" s="1146" t="s">
        <v>4516</v>
      </c>
      <c r="C6381" s="1112">
        <v>46.238999999999997</v>
      </c>
      <c r="D6381" s="1091">
        <v>127</v>
      </c>
      <c r="E6381" s="742">
        <v>1.7465991911589787</v>
      </c>
      <c r="F6381" s="946">
        <v>8.7329959557948936E-2</v>
      </c>
      <c r="G6381" s="78"/>
      <c r="H6381" t="s">
        <v>482</v>
      </c>
      <c r="J6381" s="256">
        <v>41244</v>
      </c>
      <c r="K6381" s="424">
        <v>142.50899999999999</v>
      </c>
      <c r="L6381" s="37">
        <v>0.42508999999999997</v>
      </c>
      <c r="O6381" s="359"/>
    </row>
    <row r="6382" spans="1:15" hidden="1" outlineLevel="1" x14ac:dyDescent="0.25">
      <c r="A6382" s="849">
        <v>0.05</v>
      </c>
      <c r="B6382" s="1146" t="s">
        <v>141</v>
      </c>
      <c r="C6382" s="1112">
        <v>71.626999999999995</v>
      </c>
      <c r="D6382" s="1091">
        <v>64.650000000000006</v>
      </c>
      <c r="E6382" s="742">
        <v>-9.7407402236586615E-2</v>
      </c>
      <c r="F6382" s="946">
        <v>-4.8703701118293311E-3</v>
      </c>
      <c r="G6382" s="78"/>
      <c r="H6382" t="e">
        <v>#N/A</v>
      </c>
      <c r="J6382" s="256">
        <v>41275</v>
      </c>
      <c r="K6382" s="424">
        <v>149.98910000000001</v>
      </c>
      <c r="L6382" s="37">
        <v>0.49989100000000009</v>
      </c>
      <c r="O6382" s="359"/>
    </row>
    <row r="6383" spans="1:15" hidden="1" outlineLevel="1" x14ac:dyDescent="0.25">
      <c r="A6383" s="849">
        <v>0.1</v>
      </c>
      <c r="B6383" s="1146" t="s">
        <v>142</v>
      </c>
      <c r="C6383" s="1112">
        <v>5.2590000000000003</v>
      </c>
      <c r="D6383" s="1091">
        <v>5.38</v>
      </c>
      <c r="E6383" s="742">
        <v>2.3008176459402785E-2</v>
      </c>
      <c r="F6383" s="946">
        <v>2.3008176459402784E-3</v>
      </c>
      <c r="G6383" s="78"/>
      <c r="H6383" t="e">
        <v>#N/A</v>
      </c>
      <c r="J6383" s="256">
        <v>41306</v>
      </c>
      <c r="K6383" s="424">
        <v>158.72819999999999</v>
      </c>
      <c r="L6383" s="37">
        <v>0.58728199999999986</v>
      </c>
      <c r="O6383" s="359"/>
    </row>
    <row r="6384" spans="1:15" hidden="1" outlineLevel="1" x14ac:dyDescent="0.25">
      <c r="A6384" s="849">
        <v>0.1</v>
      </c>
      <c r="B6384" s="1146" t="s">
        <v>3319</v>
      </c>
      <c r="C6384" s="1112">
        <v>38.19</v>
      </c>
      <c r="D6384" s="1091">
        <v>52.39</v>
      </c>
      <c r="E6384" s="742">
        <v>0.3718250851008118</v>
      </c>
      <c r="F6384" s="946">
        <v>3.7182508510081182E-2</v>
      </c>
      <c r="G6384" s="78"/>
      <c r="H6384" t="s">
        <v>1779</v>
      </c>
      <c r="J6384" s="256">
        <v>41334</v>
      </c>
      <c r="K6384" s="424">
        <v>163.15639999999999</v>
      </c>
      <c r="L6384" s="37">
        <v>0.63156400000000001</v>
      </c>
      <c r="O6384" s="359"/>
    </row>
    <row r="6385" spans="1:16" hidden="1" outlineLevel="1" x14ac:dyDescent="0.25">
      <c r="A6385" s="849">
        <v>0.05</v>
      </c>
      <c r="B6385" s="1146" t="s">
        <v>3320</v>
      </c>
      <c r="C6385" s="1112">
        <v>37.174999999999997</v>
      </c>
      <c r="D6385" s="1091">
        <v>73.58</v>
      </c>
      <c r="E6385" s="742">
        <v>0.97928715534633493</v>
      </c>
      <c r="F6385" s="946">
        <v>4.8964357767316752E-2</v>
      </c>
      <c r="G6385" s="78"/>
      <c r="H6385" t="s">
        <v>4093</v>
      </c>
      <c r="J6385" s="256">
        <v>41365</v>
      </c>
      <c r="K6385" s="424">
        <v>162.01050000000001</v>
      </c>
      <c r="L6385" s="37">
        <v>0.62010500000000013</v>
      </c>
      <c r="O6385" s="359"/>
    </row>
    <row r="6386" spans="1:16" hidden="1" outlineLevel="1" x14ac:dyDescent="0.25">
      <c r="A6386" s="849">
        <v>0.05</v>
      </c>
      <c r="B6386" s="1146" t="s">
        <v>3321</v>
      </c>
      <c r="C6386" s="1112">
        <v>1937.8</v>
      </c>
      <c r="D6386" s="1091">
        <v>1429</v>
      </c>
      <c r="E6386" s="742">
        <v>-0.26256579626380427</v>
      </c>
      <c r="F6386" s="946">
        <v>-1.3128289813190214E-2</v>
      </c>
      <c r="G6386" s="78"/>
      <c r="H6386" t="s">
        <v>1780</v>
      </c>
      <c r="J6386" s="256">
        <v>41395</v>
      </c>
      <c r="K6386" s="424">
        <v>160.62559999999999</v>
      </c>
      <c r="L6386" s="37">
        <v>0.60625599999999991</v>
      </c>
      <c r="O6386" s="359"/>
    </row>
    <row r="6387" spans="1:16" hidden="1" outlineLevel="1" x14ac:dyDescent="0.25">
      <c r="A6387" s="849">
        <v>0.1</v>
      </c>
      <c r="B6387" s="1147" t="s">
        <v>3321</v>
      </c>
      <c r="C6387" s="1112">
        <v>1180.97</v>
      </c>
      <c r="D6387" s="1091">
        <v>1429</v>
      </c>
      <c r="E6387" s="742">
        <v>0.21002226982903882</v>
      </c>
      <c r="F6387" s="946">
        <v>2.1002226982903882E-2</v>
      </c>
      <c r="G6387" s="78"/>
      <c r="H6387" t="s">
        <v>1780</v>
      </c>
      <c r="J6387" s="256">
        <v>41426</v>
      </c>
      <c r="K6387" s="424">
        <v>153.6131</v>
      </c>
      <c r="L6387" s="37">
        <v>0.53613100000000014</v>
      </c>
      <c r="O6387" s="359"/>
    </row>
    <row r="6388" spans="1:16" hidden="1" outlineLevel="1" x14ac:dyDescent="0.25">
      <c r="A6388" s="849">
        <v>0.05</v>
      </c>
      <c r="B6388" s="1146" t="s">
        <v>3869</v>
      </c>
      <c r="C6388" s="1112">
        <v>54.347000000000001</v>
      </c>
      <c r="D6388" s="1091">
        <v>50.13</v>
      </c>
      <c r="E6388" s="742">
        <v>-7.7593979428487336E-2</v>
      </c>
      <c r="F6388" s="946">
        <v>-3.8796989714243672E-3</v>
      </c>
      <c r="G6388" s="78"/>
      <c r="H6388" t="s">
        <v>1984</v>
      </c>
      <c r="J6388" s="256">
        <v>41456</v>
      </c>
      <c r="K6388" s="424">
        <v>156.70179999999999</v>
      </c>
      <c r="L6388" s="37">
        <v>0.56701800000000002</v>
      </c>
      <c r="O6388" s="359"/>
    </row>
    <row r="6389" spans="1:16" hidden="1" outlineLevel="1" x14ac:dyDescent="0.25">
      <c r="A6389" s="849">
        <v>0.05</v>
      </c>
      <c r="B6389" s="1146" t="s">
        <v>4044</v>
      </c>
      <c r="C6389" s="1112">
        <v>73.852000000000004</v>
      </c>
      <c r="D6389" s="1091">
        <v>91.79</v>
      </c>
      <c r="E6389" s="742">
        <v>0.24289118778096741</v>
      </c>
      <c r="F6389" s="946">
        <v>1.2144559389048371E-2</v>
      </c>
      <c r="G6389" s="78"/>
      <c r="H6389" t="s">
        <v>4045</v>
      </c>
      <c r="J6389" s="256">
        <v>41487</v>
      </c>
      <c r="K6389" s="424">
        <v>152.3965</v>
      </c>
      <c r="L6389" s="37">
        <v>0.52396500000000001</v>
      </c>
      <c r="O6389" s="359"/>
    </row>
    <row r="6390" spans="1:16" hidden="1" outlineLevel="1" x14ac:dyDescent="0.25">
      <c r="A6390" s="849">
        <v>0.05</v>
      </c>
      <c r="B6390" s="1146" t="s">
        <v>1044</v>
      </c>
      <c r="C6390" s="1112">
        <v>41.927999999999997</v>
      </c>
      <c r="D6390" s="1091">
        <v>78.77</v>
      </c>
      <c r="E6390" s="742">
        <v>0.8786968135851938</v>
      </c>
      <c r="F6390" s="946">
        <v>4.3934840679259693E-2</v>
      </c>
      <c r="G6390" s="78"/>
      <c r="H6390" t="s">
        <v>1985</v>
      </c>
      <c r="J6390" s="256">
        <v>41518</v>
      </c>
      <c r="K6390" s="424">
        <v>155.3081</v>
      </c>
      <c r="L6390" s="37">
        <v>0.55308099999999993</v>
      </c>
      <c r="O6390" s="359"/>
    </row>
    <row r="6391" spans="1:16" hidden="1" outlineLevel="1" x14ac:dyDescent="0.25">
      <c r="A6391" s="990">
        <v>0.05</v>
      </c>
      <c r="B6391" s="1146" t="s">
        <v>4442</v>
      </c>
      <c r="C6391" s="1195">
        <v>1115.4000000000001</v>
      </c>
      <c r="D6391" s="945">
        <v>3143.5</v>
      </c>
      <c r="E6391" s="748">
        <v>1.8182714721176256</v>
      </c>
      <c r="F6391" s="1023">
        <v>9.0913573605881287E-2</v>
      </c>
      <c r="G6391" s="78"/>
      <c r="H6391" t="s">
        <v>1986</v>
      </c>
      <c r="J6391" s="412" t="s">
        <v>2465</v>
      </c>
      <c r="L6391" s="261">
        <v>0.46608027777777788</v>
      </c>
      <c r="O6391" s="359"/>
    </row>
    <row r="6392" spans="1:16" hidden="1" outlineLevel="1" x14ac:dyDescent="0.25">
      <c r="A6392" s="749"/>
      <c r="B6392" s="718"/>
      <c r="C6392" s="719"/>
      <c r="D6392" s="727"/>
      <c r="E6392" s="716"/>
      <c r="F6392" s="770">
        <v>0.43374897129169721</v>
      </c>
      <c r="G6392" s="78"/>
      <c r="J6392" s="69" t="s">
        <v>5094</v>
      </c>
      <c r="L6392" s="423">
        <v>0.32625619444444448</v>
      </c>
      <c r="O6392" s="359"/>
    </row>
    <row r="6393" spans="1:16" collapsed="1" x14ac:dyDescent="0.25">
      <c r="A6393" s="3801" t="s">
        <v>1531</v>
      </c>
      <c r="B6393" s="3802"/>
      <c r="C6393" s="3802"/>
      <c r="D6393" s="3802"/>
      <c r="E6393" s="721"/>
      <c r="F6393" s="722">
        <v>0.32629999999999998</v>
      </c>
      <c r="G6393" s="97" t="s">
        <v>781</v>
      </c>
      <c r="O6393" s="359"/>
    </row>
    <row r="6394" spans="1:16" x14ac:dyDescent="0.25">
      <c r="O6394" s="359"/>
    </row>
    <row r="6395" spans="1:16" hidden="1" outlineLevel="1" x14ac:dyDescent="0.25">
      <c r="A6395" s="689" t="s">
        <v>113</v>
      </c>
      <c r="B6395" s="689" t="s">
        <v>114</v>
      </c>
      <c r="C6395" s="689" t="s">
        <v>112</v>
      </c>
      <c r="D6395" s="689" t="s">
        <v>116</v>
      </c>
      <c r="E6395" s="689" t="s">
        <v>117</v>
      </c>
      <c r="F6395" s="1188" t="s">
        <v>121</v>
      </c>
      <c r="G6395" s="78"/>
      <c r="O6395" s="359"/>
    </row>
    <row r="6396" spans="1:16" hidden="1" outlineLevel="1" x14ac:dyDescent="0.25">
      <c r="A6396" s="690">
        <v>1</v>
      </c>
      <c r="B6396" s="691" t="s">
        <v>252</v>
      </c>
      <c r="C6396" s="692">
        <v>100</v>
      </c>
      <c r="D6396" s="692"/>
      <c r="E6396" s="693"/>
      <c r="F6396" s="694"/>
      <c r="G6396" s="78"/>
      <c r="O6396" s="359"/>
    </row>
    <row r="6397" spans="1:16" hidden="1" outlineLevel="1" x14ac:dyDescent="0.25">
      <c r="A6397" s="695"/>
      <c r="B6397" s="695"/>
      <c r="C6397" s="696"/>
      <c r="D6397" s="697" t="s">
        <v>3702</v>
      </c>
      <c r="E6397" s="698">
        <v>40602</v>
      </c>
      <c r="F6397" s="699"/>
      <c r="G6397" s="78"/>
      <c r="O6397" s="359"/>
    </row>
    <row r="6398" spans="1:16" hidden="1" outlineLevel="1" x14ac:dyDescent="0.25">
      <c r="A6398" s="689" t="s">
        <v>4156</v>
      </c>
      <c r="B6398" s="689" t="s">
        <v>4153</v>
      </c>
      <c r="C6398" s="700" t="s">
        <v>112</v>
      </c>
      <c r="D6398" s="495" t="s">
        <v>116</v>
      </c>
      <c r="E6398" s="495" t="s">
        <v>4154</v>
      </c>
      <c r="F6398" s="1021" t="s">
        <v>2519</v>
      </c>
      <c r="G6398" s="78"/>
      <c r="O6398" s="359"/>
    </row>
    <row r="6399" spans="1:16" hidden="1" outlineLevel="1" x14ac:dyDescent="0.25">
      <c r="A6399" s="734">
        <v>0.04</v>
      </c>
      <c r="B6399" s="735" t="s">
        <v>359</v>
      </c>
      <c r="C6399" s="1145">
        <v>115.21299999999999</v>
      </c>
      <c r="D6399" s="1090">
        <v>104.4</v>
      </c>
      <c r="E6399" s="738">
        <v>-9.38522562558044E-2</v>
      </c>
      <c r="F6399" s="1021">
        <v>-3.754090250232176E-3</v>
      </c>
      <c r="G6399" s="78"/>
      <c r="H6399" t="s">
        <v>360</v>
      </c>
      <c r="J6399" s="256">
        <v>40422</v>
      </c>
      <c r="K6399">
        <v>78.607600000000005</v>
      </c>
      <c r="L6399" s="37">
        <v>-0.213924</v>
      </c>
      <c r="N6399" s="302"/>
      <c r="O6399" s="359"/>
      <c r="P6399" s="84"/>
    </row>
    <row r="6400" spans="1:16" hidden="1" outlineLevel="1" x14ac:dyDescent="0.25">
      <c r="A6400" s="739">
        <v>0.04</v>
      </c>
      <c r="B6400" s="987" t="s">
        <v>1993</v>
      </c>
      <c r="C6400" s="1112">
        <v>20.925999999999998</v>
      </c>
      <c r="D6400" s="908">
        <v>25.37</v>
      </c>
      <c r="E6400" s="709">
        <v>0.21236738984994763</v>
      </c>
      <c r="F6400" s="946">
        <v>8.4946955939979047E-3</v>
      </c>
      <c r="G6400" s="78"/>
      <c r="H6400" t="s">
        <v>2812</v>
      </c>
      <c r="J6400" s="256">
        <v>40452</v>
      </c>
      <c r="K6400">
        <v>80.626800000000003</v>
      </c>
      <c r="L6400" s="37">
        <v>-0.19373200000000002</v>
      </c>
      <c r="N6400" s="302"/>
      <c r="O6400" s="359"/>
      <c r="P6400" s="84"/>
    </row>
    <row r="6401" spans="1:16" hidden="1" outlineLevel="1" x14ac:dyDescent="0.25">
      <c r="A6401" s="739">
        <v>0.02</v>
      </c>
      <c r="B6401" s="740" t="s">
        <v>2697</v>
      </c>
      <c r="C6401" s="1112">
        <v>25.716000000000001</v>
      </c>
      <c r="D6401" s="1091">
        <v>16.39</v>
      </c>
      <c r="E6401" s="742">
        <v>-0.36265360087105303</v>
      </c>
      <c r="F6401" s="946">
        <v>-7.2530720174210604E-3</v>
      </c>
      <c r="G6401" s="78"/>
      <c r="H6401" t="s">
        <v>329</v>
      </c>
      <c r="J6401" s="256">
        <v>40483</v>
      </c>
      <c r="K6401">
        <v>75.269599999999997</v>
      </c>
      <c r="L6401" s="37">
        <v>-0.24730400000000008</v>
      </c>
      <c r="N6401" s="302"/>
      <c r="O6401" s="359"/>
      <c r="P6401" s="84"/>
    </row>
    <row r="6402" spans="1:16" hidden="1" outlineLevel="1" x14ac:dyDescent="0.25">
      <c r="A6402" s="739">
        <v>0.04</v>
      </c>
      <c r="B6402" s="740" t="s">
        <v>2984</v>
      </c>
      <c r="C6402" s="1112">
        <v>12.821</v>
      </c>
      <c r="D6402" s="1091">
        <v>8.9459999999999997</v>
      </c>
      <c r="E6402" s="742">
        <v>-0.30223851493643239</v>
      </c>
      <c r="F6402" s="946">
        <v>-1.2089540597457296E-2</v>
      </c>
      <c r="G6402" s="78"/>
      <c r="H6402" t="s">
        <v>2326</v>
      </c>
      <c r="J6402" s="256">
        <v>40513</v>
      </c>
      <c r="K6402">
        <v>79.266400000000004</v>
      </c>
      <c r="L6402" s="37">
        <v>-0.20733599999999996</v>
      </c>
      <c r="N6402" s="302"/>
      <c r="O6402" s="359"/>
      <c r="P6402" s="84"/>
    </row>
    <row r="6403" spans="1:16" hidden="1" outlineLevel="1" x14ac:dyDescent="0.25">
      <c r="A6403" s="739">
        <v>0.03</v>
      </c>
      <c r="B6403" s="740" t="s">
        <v>157</v>
      </c>
      <c r="C6403" s="1112">
        <v>11.464</v>
      </c>
      <c r="D6403" s="1091">
        <v>8.9350000000000005</v>
      </c>
      <c r="E6403" s="742">
        <v>-0.22060362875087225</v>
      </c>
      <c r="F6403" s="946">
        <v>-6.618108862526167E-3</v>
      </c>
      <c r="G6403" s="78"/>
      <c r="H6403" t="s">
        <v>730</v>
      </c>
      <c r="J6403" s="256">
        <v>40544</v>
      </c>
      <c r="K6403">
        <v>82.114999999999995</v>
      </c>
      <c r="L6403" s="37">
        <v>-0.17885000000000006</v>
      </c>
      <c r="N6403" s="302"/>
      <c r="O6403" s="359"/>
      <c r="P6403" s="84"/>
    </row>
    <row r="6404" spans="1:16" hidden="1" outlineLevel="1" x14ac:dyDescent="0.25">
      <c r="A6404" s="739">
        <v>0.03</v>
      </c>
      <c r="B6404" s="740" t="s">
        <v>901</v>
      </c>
      <c r="C6404" s="1112">
        <v>1848.6</v>
      </c>
      <c r="D6404" s="1091">
        <v>2462</v>
      </c>
      <c r="E6404" s="742">
        <v>0.33181867359082551</v>
      </c>
      <c r="F6404" s="946">
        <v>9.9545602077247657E-3</v>
      </c>
      <c r="G6404" s="78"/>
      <c r="H6404" t="s">
        <v>531</v>
      </c>
      <c r="J6404" s="256">
        <v>40575</v>
      </c>
      <c r="K6404">
        <v>83.807199999999995</v>
      </c>
      <c r="L6404" s="37">
        <v>-0.16192800000000007</v>
      </c>
      <c r="N6404" s="302"/>
      <c r="O6404" s="359"/>
      <c r="P6404" s="84"/>
    </row>
    <row r="6405" spans="1:16" hidden="1" outlineLevel="1" x14ac:dyDescent="0.25">
      <c r="A6405" s="739">
        <v>0.03</v>
      </c>
      <c r="B6405" s="740" t="s">
        <v>1847</v>
      </c>
      <c r="C6405" s="1112">
        <v>20.135999999999999</v>
      </c>
      <c r="D6405" s="1091">
        <v>4.68</v>
      </c>
      <c r="E6405" s="742">
        <v>-0.7675804529201431</v>
      </c>
      <c r="F6405" s="946">
        <v>-2.3027413587604292E-2</v>
      </c>
      <c r="G6405" s="78"/>
      <c r="H6405" t="s">
        <v>2749</v>
      </c>
      <c r="J6405" s="69" t="s">
        <v>2465</v>
      </c>
      <c r="L6405" s="101">
        <v>-0.20051233333333338</v>
      </c>
      <c r="N6405" s="302"/>
      <c r="O6405" s="359"/>
      <c r="P6405" s="84"/>
    </row>
    <row r="6406" spans="1:16" hidden="1" outlineLevel="1" x14ac:dyDescent="0.25">
      <c r="A6406" s="739">
        <v>0.02</v>
      </c>
      <c r="B6406" s="740" t="s">
        <v>1212</v>
      </c>
      <c r="C6406" s="1112">
        <v>49.61</v>
      </c>
      <c r="D6406" s="1091">
        <v>42.98</v>
      </c>
      <c r="E6406" s="742">
        <v>-0.13364241080427341</v>
      </c>
      <c r="F6406" s="946">
        <v>-2.6728482160854683E-3</v>
      </c>
      <c r="G6406" s="78"/>
      <c r="H6406" t="s">
        <v>4229</v>
      </c>
      <c r="L6406" s="37">
        <v>-0.14035863333333334</v>
      </c>
      <c r="N6406" s="302"/>
      <c r="O6406" s="359"/>
      <c r="P6406" s="84"/>
    </row>
    <row r="6407" spans="1:16" hidden="1" outlineLevel="1" x14ac:dyDescent="0.25">
      <c r="A6407" s="739">
        <v>0.04</v>
      </c>
      <c r="B6407" s="740" t="s">
        <v>2699</v>
      </c>
      <c r="C6407" s="1112">
        <v>18.792000000000002</v>
      </c>
      <c r="D6407" s="1091">
        <v>13.29</v>
      </c>
      <c r="E6407" s="742">
        <v>-0.29278416347381875</v>
      </c>
      <c r="F6407" s="946">
        <v>-1.171136653895275E-2</v>
      </c>
      <c r="G6407" s="78"/>
      <c r="H6407" t="s">
        <v>505</v>
      </c>
      <c r="N6407" s="302"/>
      <c r="O6407" s="84"/>
      <c r="P6407" s="84"/>
    </row>
    <row r="6408" spans="1:16" hidden="1" outlineLevel="1" x14ac:dyDescent="0.25">
      <c r="A6408" s="739">
        <v>0.02</v>
      </c>
      <c r="B6408" s="740" t="s">
        <v>3406</v>
      </c>
      <c r="C6408" s="1112">
        <v>9.6310000000000002</v>
      </c>
      <c r="D6408" s="1091">
        <v>12.02</v>
      </c>
      <c r="E6408" s="742">
        <v>0.24805316166545532</v>
      </c>
      <c r="F6408" s="946">
        <v>4.9610632333091063E-3</v>
      </c>
      <c r="G6408" s="78"/>
      <c r="H6408" t="s">
        <v>2105</v>
      </c>
      <c r="N6408" s="302"/>
      <c r="O6408" s="21"/>
      <c r="P6408" s="84"/>
    </row>
    <row r="6409" spans="1:16" hidden="1" outlineLevel="1" x14ac:dyDescent="0.25">
      <c r="A6409" s="739">
        <v>0.06</v>
      </c>
      <c r="B6409" s="712" t="s">
        <v>3021</v>
      </c>
      <c r="C6409" s="1112">
        <v>24.74</v>
      </c>
      <c r="D6409" s="1091">
        <v>17.670000000000002</v>
      </c>
      <c r="E6409" s="742">
        <v>-0.28577202910266764</v>
      </c>
      <c r="F6409" s="946">
        <v>-1.7146321746160056E-2</v>
      </c>
      <c r="G6409" s="78"/>
      <c r="H6409" t="s">
        <v>4124</v>
      </c>
      <c r="N6409" s="302"/>
      <c r="P6409" s="84"/>
    </row>
    <row r="6410" spans="1:16" hidden="1" outlineLevel="1" x14ac:dyDescent="0.25">
      <c r="A6410" s="739">
        <v>0.03</v>
      </c>
      <c r="B6410" s="740" t="s">
        <v>4268</v>
      </c>
      <c r="C6410" s="1112">
        <v>30.385999999999999</v>
      </c>
      <c r="D6410" s="1091">
        <v>22.45</v>
      </c>
      <c r="E6410" s="742">
        <v>-0.26117290857631803</v>
      </c>
      <c r="F6410" s="946">
        <v>-7.8351872572895408E-3</v>
      </c>
      <c r="G6410" s="78"/>
      <c r="H6410" t="s">
        <v>1801</v>
      </c>
      <c r="N6410" s="302"/>
      <c r="P6410" s="84"/>
    </row>
    <row r="6411" spans="1:16" hidden="1" outlineLevel="1" x14ac:dyDescent="0.25">
      <c r="A6411" s="739">
        <v>0.04</v>
      </c>
      <c r="B6411" s="740" t="s">
        <v>1771</v>
      </c>
      <c r="C6411" s="1112">
        <v>718.3</v>
      </c>
      <c r="D6411" s="1091">
        <v>678</v>
      </c>
      <c r="E6411" s="742">
        <v>-5.6104691633022341E-2</v>
      </c>
      <c r="F6411" s="946">
        <v>-2.2441876653208938E-3</v>
      </c>
      <c r="G6411" s="78"/>
      <c r="H6411" t="s">
        <v>4329</v>
      </c>
      <c r="N6411" s="302"/>
      <c r="P6411" s="84"/>
    </row>
    <row r="6412" spans="1:16" hidden="1" outlineLevel="1" x14ac:dyDescent="0.25">
      <c r="A6412" s="739">
        <v>0.06</v>
      </c>
      <c r="B6412" s="740" t="s">
        <v>2588</v>
      </c>
      <c r="C6412" s="1112">
        <v>17.402999999999999</v>
      </c>
      <c r="D6412" s="1091">
        <v>9.0869999999999997</v>
      </c>
      <c r="E6412" s="742">
        <v>-0.47784864678503702</v>
      </c>
      <c r="F6412" s="946">
        <v>-2.8670918807102222E-2</v>
      </c>
      <c r="G6412" s="78"/>
      <c r="H6412" t="s">
        <v>4132</v>
      </c>
      <c r="N6412" s="302"/>
      <c r="P6412" s="84"/>
    </row>
    <row r="6413" spans="1:16" hidden="1" outlineLevel="1" x14ac:dyDescent="0.25">
      <c r="A6413" s="739">
        <v>0.04</v>
      </c>
      <c r="B6413" s="740" t="s">
        <v>44</v>
      </c>
      <c r="C6413" s="1112">
        <v>3.8109999999999999</v>
      </c>
      <c r="D6413" s="1091">
        <v>2.444</v>
      </c>
      <c r="E6413" s="742">
        <v>-0.35869850432957229</v>
      </c>
      <c r="F6413" s="946">
        <v>-1.4347940173182892E-2</v>
      </c>
      <c r="G6413" s="78"/>
      <c r="H6413" t="s">
        <v>204</v>
      </c>
      <c r="N6413" s="302"/>
      <c r="P6413" s="84"/>
    </row>
    <row r="6414" spans="1:16" hidden="1" outlineLevel="1" x14ac:dyDescent="0.25">
      <c r="A6414" s="739">
        <v>0.02</v>
      </c>
      <c r="B6414" s="740" t="s">
        <v>4376</v>
      </c>
      <c r="C6414" s="1112">
        <v>38.698</v>
      </c>
      <c r="D6414" s="1091">
        <v>46.69</v>
      </c>
      <c r="E6414" s="742">
        <v>0.20652230089410306</v>
      </c>
      <c r="F6414" s="946">
        <v>4.1304460178820616E-3</v>
      </c>
      <c r="G6414" s="78"/>
      <c r="H6414" t="s">
        <v>4326</v>
      </c>
      <c r="N6414" s="302"/>
      <c r="P6414" s="84"/>
    </row>
    <row r="6415" spans="1:16" hidden="1" outlineLevel="1" x14ac:dyDescent="0.25">
      <c r="A6415" s="739">
        <v>0.03</v>
      </c>
      <c r="B6415" s="740" t="s">
        <v>1526</v>
      </c>
      <c r="C6415" s="1112">
        <v>76.710999999999999</v>
      </c>
      <c r="D6415" s="1091">
        <v>30.3</v>
      </c>
      <c r="E6415" s="742">
        <v>-0.6050110153693733</v>
      </c>
      <c r="F6415" s="946">
        <v>-1.8150330461081197E-2</v>
      </c>
      <c r="G6415" s="78"/>
      <c r="H6415" t="s">
        <v>4146</v>
      </c>
      <c r="N6415" s="302"/>
      <c r="P6415" s="84"/>
    </row>
    <row r="6416" spans="1:16" hidden="1" outlineLevel="1" x14ac:dyDescent="0.25">
      <c r="A6416" s="739">
        <v>0.04</v>
      </c>
      <c r="B6416" s="996" t="s">
        <v>2160</v>
      </c>
      <c r="C6416" s="1112">
        <v>30.664999999999999</v>
      </c>
      <c r="D6416" s="1091">
        <v>31.84</v>
      </c>
      <c r="E6416" s="742">
        <v>3.8317299853252829E-2</v>
      </c>
      <c r="F6416" s="946">
        <v>1.5326919941301132E-3</v>
      </c>
      <c r="G6416" s="78"/>
      <c r="H6416" t="s">
        <v>5507</v>
      </c>
      <c r="N6416" s="302"/>
      <c r="P6416" s="84"/>
    </row>
    <row r="6417" spans="1:16" hidden="1" outlineLevel="1" x14ac:dyDescent="0.25">
      <c r="A6417" s="739">
        <v>0.03</v>
      </c>
      <c r="B6417" s="740" t="s">
        <v>1905</v>
      </c>
      <c r="C6417" s="1112">
        <v>35.768000000000001</v>
      </c>
      <c r="D6417" s="1091">
        <v>32.57</v>
      </c>
      <c r="E6417" s="742">
        <v>-8.9409528069783084E-2</v>
      </c>
      <c r="F6417" s="946">
        <v>-2.6822858420934926E-3</v>
      </c>
      <c r="G6417" s="78"/>
      <c r="H6417" t="s">
        <v>504</v>
      </c>
      <c r="N6417" s="302"/>
      <c r="P6417" s="84"/>
    </row>
    <row r="6418" spans="1:16" hidden="1" outlineLevel="1" x14ac:dyDescent="0.25">
      <c r="A6418" s="739">
        <v>0.04</v>
      </c>
      <c r="B6418" s="740" t="s">
        <v>2786</v>
      </c>
      <c r="C6418" s="1112">
        <v>628</v>
      </c>
      <c r="D6418" s="1091">
        <v>571</v>
      </c>
      <c r="E6418" s="742">
        <v>-9.0764331210191118E-2</v>
      </c>
      <c r="F6418" s="946">
        <v>-3.6305732484076449E-3</v>
      </c>
      <c r="G6418" s="78"/>
      <c r="H6418" t="s">
        <v>4195</v>
      </c>
      <c r="N6418" s="302"/>
      <c r="P6418" s="84"/>
    </row>
    <row r="6419" spans="1:16" hidden="1" outlineLevel="1" x14ac:dyDescent="0.25">
      <c r="A6419" s="739">
        <v>0.03</v>
      </c>
      <c r="B6419" s="740" t="s">
        <v>3797</v>
      </c>
      <c r="C6419" s="837">
        <v>50.19</v>
      </c>
      <c r="D6419" s="1091">
        <v>52.6</v>
      </c>
      <c r="E6419" s="742">
        <v>4.8017533373182042E-2</v>
      </c>
      <c r="F6419" s="946">
        <v>1.4405260011954612E-3</v>
      </c>
      <c r="G6419" s="78"/>
      <c r="H6419" t="s">
        <v>3848</v>
      </c>
      <c r="N6419" s="302"/>
      <c r="P6419" s="84"/>
    </row>
    <row r="6420" spans="1:16" hidden="1" outlineLevel="1" x14ac:dyDescent="0.25">
      <c r="A6420" s="739">
        <v>0.03</v>
      </c>
      <c r="B6420" s="740" t="s">
        <v>1190</v>
      </c>
      <c r="C6420" s="837">
        <v>16.614000000000001</v>
      </c>
      <c r="D6420" s="1091">
        <v>6.28</v>
      </c>
      <c r="E6420" s="742">
        <v>-0.62200553749849519</v>
      </c>
      <c r="F6420" s="946">
        <v>-1.8660166124954854E-2</v>
      </c>
      <c r="G6420" s="78"/>
      <c r="H6420" t="s">
        <v>7569</v>
      </c>
      <c r="N6420" s="302"/>
      <c r="P6420" s="84"/>
    </row>
    <row r="6421" spans="1:16" hidden="1" outlineLevel="1" x14ac:dyDescent="0.25">
      <c r="A6421" s="739">
        <v>0.05</v>
      </c>
      <c r="B6421" s="740" t="s">
        <v>1414</v>
      </c>
      <c r="C6421" s="837">
        <v>17.821999999999999</v>
      </c>
      <c r="D6421" s="1091">
        <v>19.239999999999998</v>
      </c>
      <c r="E6421" s="742">
        <v>7.9564583099539954E-2</v>
      </c>
      <c r="F6421" s="946">
        <v>3.978229154976998E-3</v>
      </c>
      <c r="G6421" s="78"/>
      <c r="H6421" t="s">
        <v>2428</v>
      </c>
      <c r="N6421" s="302"/>
      <c r="P6421" s="84"/>
    </row>
    <row r="6422" spans="1:16" hidden="1" outlineLevel="1" x14ac:dyDescent="0.25">
      <c r="A6422" s="739">
        <v>0.03</v>
      </c>
      <c r="B6422" s="740" t="s">
        <v>3801</v>
      </c>
      <c r="C6422" s="837">
        <v>81.010000000000005</v>
      </c>
      <c r="D6422" s="1091">
        <v>48.91</v>
      </c>
      <c r="E6422" s="742">
        <v>-0.39624737686705358</v>
      </c>
      <c r="F6422" s="946">
        <v>-1.1887421306011607E-2</v>
      </c>
      <c r="G6422" s="78"/>
      <c r="H6422" t="s">
        <v>2819</v>
      </c>
      <c r="N6422" s="302"/>
      <c r="P6422" s="84"/>
    </row>
    <row r="6423" spans="1:16" hidden="1" outlineLevel="1" x14ac:dyDescent="0.25">
      <c r="A6423" s="739">
        <v>0.02</v>
      </c>
      <c r="B6423" s="740" t="s">
        <v>1214</v>
      </c>
      <c r="C6423" s="837">
        <v>73.096999999999994</v>
      </c>
      <c r="D6423" s="1091">
        <v>97.59</v>
      </c>
      <c r="E6423" s="742">
        <v>0.3350753108882718</v>
      </c>
      <c r="F6423" s="946">
        <v>6.7015062177654362E-3</v>
      </c>
      <c r="G6423" s="78"/>
      <c r="H6423" t="s">
        <v>3775</v>
      </c>
      <c r="N6423" s="302"/>
      <c r="P6423" s="84"/>
    </row>
    <row r="6424" spans="1:16" hidden="1" outlineLevel="1" x14ac:dyDescent="0.25">
      <c r="A6424" s="739">
        <v>0.02</v>
      </c>
      <c r="B6424" s="740" t="s">
        <v>231</v>
      </c>
      <c r="C6424" s="837">
        <v>42.661999999999999</v>
      </c>
      <c r="D6424" s="1091">
        <v>30.17</v>
      </c>
      <c r="E6424" s="742">
        <v>-0.29281327645211186</v>
      </c>
      <c r="F6424" s="946">
        <v>-5.8562655290422374E-3</v>
      </c>
      <c r="G6424" s="78"/>
      <c r="H6424" t="s">
        <v>640</v>
      </c>
      <c r="N6424" s="302"/>
      <c r="P6424" s="84"/>
    </row>
    <row r="6425" spans="1:16" hidden="1" outlineLevel="1" x14ac:dyDescent="0.25">
      <c r="A6425" s="739">
        <v>0.03</v>
      </c>
      <c r="B6425" s="740" t="s">
        <v>577</v>
      </c>
      <c r="C6425" s="837">
        <v>17.538</v>
      </c>
      <c r="D6425" s="1091">
        <v>18.399999999999999</v>
      </c>
      <c r="E6425" s="742">
        <v>4.915041623902372E-2</v>
      </c>
      <c r="F6425" s="946">
        <v>1.4745124871707116E-3</v>
      </c>
      <c r="G6425" s="78"/>
      <c r="H6425" t="s">
        <v>2804</v>
      </c>
      <c r="N6425" s="302"/>
      <c r="P6425" s="84"/>
    </row>
    <row r="6426" spans="1:16" hidden="1" outlineLevel="1" x14ac:dyDescent="0.25">
      <c r="A6426" s="739">
        <v>0.02</v>
      </c>
      <c r="B6426" s="740" t="s">
        <v>1183</v>
      </c>
      <c r="C6426" s="837">
        <v>52.923999999999999</v>
      </c>
      <c r="D6426" s="1091">
        <v>44.41</v>
      </c>
      <c r="E6426" s="742">
        <v>-0.16087219408963804</v>
      </c>
      <c r="F6426" s="946">
        <v>-3.2174438817927607E-3</v>
      </c>
      <c r="G6426" s="78"/>
      <c r="H6426" t="s">
        <v>2805</v>
      </c>
      <c r="N6426" s="302"/>
      <c r="P6426" s="84"/>
    </row>
    <row r="6427" spans="1:16" hidden="1" outlineLevel="1" x14ac:dyDescent="0.25">
      <c r="A6427" s="739">
        <v>0.04</v>
      </c>
      <c r="B6427" s="743" t="s">
        <v>255</v>
      </c>
      <c r="C6427" s="837">
        <v>34.47</v>
      </c>
      <c r="D6427" s="1091">
        <v>36.92</v>
      </c>
      <c r="E6427" s="742">
        <v>7.1076298230345225E-2</v>
      </c>
      <c r="F6427" s="946">
        <v>2.8430519292138088E-3</v>
      </c>
      <c r="G6427" s="78"/>
      <c r="H6427" t="s">
        <v>3351</v>
      </c>
      <c r="N6427" s="302"/>
      <c r="P6427" s="84"/>
    </row>
    <row r="6428" spans="1:16" hidden="1" outlineLevel="1" x14ac:dyDescent="0.25">
      <c r="A6428" s="739">
        <v>0.03</v>
      </c>
      <c r="B6428" s="746" t="s">
        <v>3169</v>
      </c>
      <c r="C6428" s="837">
        <v>25.803000000000001</v>
      </c>
      <c r="D6428" s="945">
        <v>20.66</v>
      </c>
      <c r="E6428" s="748">
        <v>-0.19931790877029809</v>
      </c>
      <c r="F6428" s="1023">
        <v>-5.9795372631089427E-3</v>
      </c>
      <c r="G6428" s="78"/>
      <c r="H6428" t="s">
        <v>657</v>
      </c>
      <c r="N6428" s="302"/>
      <c r="P6428" s="84"/>
    </row>
    <row r="6429" spans="1:16" hidden="1" outlineLevel="1" x14ac:dyDescent="0.25">
      <c r="A6429" s="717"/>
      <c r="B6429" s="750"/>
      <c r="C6429" s="719"/>
      <c r="D6429" s="727"/>
      <c r="E6429" s="716"/>
      <c r="F6429" s="770">
        <v>-0.16192373653846118</v>
      </c>
      <c r="G6429" s="78"/>
      <c r="N6429" s="21"/>
      <c r="P6429" s="84"/>
    </row>
    <row r="6430" spans="1:16" collapsed="1" x14ac:dyDescent="0.25">
      <c r="A6430" s="3801" t="s">
        <v>192</v>
      </c>
      <c r="B6430" s="3802"/>
      <c r="C6430" s="3802"/>
      <c r="D6430" s="3802"/>
      <c r="E6430" s="721" t="s">
        <v>967</v>
      </c>
      <c r="F6430" s="722">
        <v>0</v>
      </c>
      <c r="G6430" s="97" t="s">
        <v>781</v>
      </c>
      <c r="N6430" s="21"/>
      <c r="P6430" s="84"/>
    </row>
    <row r="6432" spans="1:16" hidden="1" outlineLevel="1" x14ac:dyDescent="0.25">
      <c r="A6432" s="689" t="s">
        <v>113</v>
      </c>
      <c r="B6432" s="689" t="s">
        <v>114</v>
      </c>
      <c r="C6432" s="689" t="s">
        <v>112</v>
      </c>
      <c r="D6432" s="689" t="s">
        <v>116</v>
      </c>
      <c r="E6432" s="689" t="s">
        <v>117</v>
      </c>
      <c r="F6432" s="1188" t="s">
        <v>121</v>
      </c>
      <c r="G6432" s="78"/>
    </row>
    <row r="6433" spans="1:12" hidden="1" outlineLevel="1" x14ac:dyDescent="0.25">
      <c r="A6433" s="690">
        <v>6</v>
      </c>
      <c r="B6433" s="691" t="s">
        <v>252</v>
      </c>
      <c r="C6433" s="705">
        <v>1</v>
      </c>
      <c r="D6433" s="692"/>
      <c r="E6433" s="693"/>
      <c r="F6433" s="694"/>
      <c r="G6433" s="78"/>
    </row>
    <row r="6434" spans="1:12" hidden="1" outlineLevel="1" x14ac:dyDescent="0.25">
      <c r="A6434" s="846" t="s">
        <v>4868</v>
      </c>
      <c r="B6434" s="695"/>
      <c r="C6434" s="709">
        <v>0.964808</v>
      </c>
      <c r="D6434" s="696"/>
      <c r="E6434" s="891"/>
      <c r="F6434" s="856"/>
      <c r="G6434" s="78"/>
    </row>
    <row r="6435" spans="1:12" hidden="1" outlineLevel="1" x14ac:dyDescent="0.25">
      <c r="A6435" s="846" t="s">
        <v>4869</v>
      </c>
      <c r="B6435" s="695"/>
      <c r="C6435" s="709">
        <v>0.962978</v>
      </c>
      <c r="D6435" s="696"/>
      <c r="E6435" s="891"/>
      <c r="F6435" s="856"/>
      <c r="G6435" s="78"/>
    </row>
    <row r="6436" spans="1:12" hidden="1" outlineLevel="1" x14ac:dyDescent="0.25">
      <c r="A6436" s="846" t="s">
        <v>4870</v>
      </c>
      <c r="B6436" s="695"/>
      <c r="C6436" s="709">
        <v>0.99143499999999996</v>
      </c>
      <c r="D6436" s="696"/>
      <c r="E6436" s="891"/>
      <c r="F6436" s="856"/>
      <c r="G6436" s="78"/>
    </row>
    <row r="6437" spans="1:12" hidden="1" outlineLevel="1" x14ac:dyDescent="0.25">
      <c r="A6437" s="846" t="s">
        <v>4871</v>
      </c>
      <c r="B6437" s="695"/>
      <c r="C6437" s="709">
        <v>0.911972</v>
      </c>
      <c r="D6437" s="696"/>
      <c r="E6437" s="891"/>
      <c r="F6437" s="856"/>
      <c r="G6437" s="78"/>
    </row>
    <row r="6438" spans="1:12" hidden="1" outlineLevel="1" x14ac:dyDescent="0.25">
      <c r="A6438" s="846" t="s">
        <v>4872</v>
      </c>
      <c r="B6438" s="695"/>
      <c r="C6438" s="709">
        <v>0.79220000000000002</v>
      </c>
      <c r="D6438" s="696"/>
      <c r="E6438" s="891"/>
      <c r="F6438" s="856"/>
      <c r="G6438" s="78"/>
    </row>
    <row r="6439" spans="1:12" hidden="1" outlineLevel="1" x14ac:dyDescent="0.25">
      <c r="A6439" s="846" t="s">
        <v>4873</v>
      </c>
      <c r="B6439" s="695"/>
      <c r="C6439" s="709">
        <v>0.70888300000000004</v>
      </c>
      <c r="D6439" s="696"/>
      <c r="E6439" s="891"/>
      <c r="F6439" s="856"/>
      <c r="G6439" s="78"/>
    </row>
    <row r="6440" spans="1:12" hidden="1" outlineLevel="1" x14ac:dyDescent="0.25">
      <c r="A6440" s="1111"/>
      <c r="B6440" s="695"/>
      <c r="C6440" s="696"/>
      <c r="D6440" s="696"/>
      <c r="E6440" s="891"/>
      <c r="F6440" s="856"/>
      <c r="G6440" s="78"/>
    </row>
    <row r="6441" spans="1:12" hidden="1" outlineLevel="1" x14ac:dyDescent="0.25">
      <c r="A6441" s="1111"/>
      <c r="B6441" s="695"/>
      <c r="C6441" s="696"/>
      <c r="D6441" s="696"/>
      <c r="E6441" s="891"/>
      <c r="F6441" s="856"/>
      <c r="G6441" s="78"/>
    </row>
    <row r="6442" spans="1:12" hidden="1" outlineLevel="1" x14ac:dyDescent="0.25">
      <c r="A6442" s="695"/>
      <c r="B6442" s="695"/>
      <c r="C6442" s="696"/>
      <c r="D6442" s="697" t="s">
        <v>3702</v>
      </c>
      <c r="E6442" s="698">
        <v>42460</v>
      </c>
      <c r="F6442" s="699"/>
      <c r="G6442" s="78"/>
    </row>
    <row r="6443" spans="1:12" hidden="1" outlineLevel="1" x14ac:dyDescent="0.25">
      <c r="A6443" s="689" t="s">
        <v>4156</v>
      </c>
      <c r="B6443" s="689" t="s">
        <v>4153</v>
      </c>
      <c r="C6443" s="497" t="s">
        <v>112</v>
      </c>
      <c r="D6443" s="689" t="s">
        <v>4155</v>
      </c>
      <c r="E6443" s="495" t="s">
        <v>4154</v>
      </c>
      <c r="F6443" s="1188" t="s">
        <v>2519</v>
      </c>
      <c r="G6443" s="78"/>
      <c r="J6443" t="s">
        <v>2040</v>
      </c>
    </row>
    <row r="6444" spans="1:12" hidden="1" outlineLevel="1" x14ac:dyDescent="0.25">
      <c r="A6444" s="734">
        <v>0.03</v>
      </c>
      <c r="B6444" s="755" t="s">
        <v>280</v>
      </c>
      <c r="C6444" s="1022">
        <v>49.024999999999999</v>
      </c>
      <c r="D6444" s="908">
        <v>59.23</v>
      </c>
      <c r="E6444" s="895">
        <v>0.20815910249872505</v>
      </c>
      <c r="F6444" s="946">
        <v>6.2447730749617516E-3</v>
      </c>
      <c r="G6444" s="78"/>
      <c r="H6444" t="s">
        <v>1469</v>
      </c>
      <c r="J6444" s="256">
        <v>41153</v>
      </c>
      <c r="K6444">
        <v>80.113699999999994</v>
      </c>
      <c r="L6444" s="37">
        <v>-0.19886300000000001</v>
      </c>
    </row>
    <row r="6445" spans="1:12" hidden="1" outlineLevel="1" x14ac:dyDescent="0.25">
      <c r="A6445" s="739">
        <v>0.02</v>
      </c>
      <c r="B6445" s="711" t="s">
        <v>359</v>
      </c>
      <c r="C6445" s="809">
        <v>115.21299999999999</v>
      </c>
      <c r="D6445" s="908">
        <v>122.7</v>
      </c>
      <c r="E6445" s="896">
        <v>6.4983986182114872E-2</v>
      </c>
      <c r="F6445" s="946">
        <v>1.2996797236422975E-3</v>
      </c>
      <c r="G6445" s="78"/>
      <c r="H6445" t="s">
        <v>360</v>
      </c>
      <c r="J6445" s="256">
        <v>41183</v>
      </c>
      <c r="K6445" s="424">
        <v>80.028999999999996</v>
      </c>
      <c r="L6445" s="37">
        <v>-0.19971000000000005</v>
      </c>
    </row>
    <row r="6446" spans="1:12" hidden="1" outlineLevel="1" x14ac:dyDescent="0.25">
      <c r="A6446" s="739">
        <v>0.03</v>
      </c>
      <c r="B6446" s="743" t="s">
        <v>2697</v>
      </c>
      <c r="C6446" s="1112">
        <v>25.716000000000001</v>
      </c>
      <c r="D6446" s="908">
        <v>16.18</v>
      </c>
      <c r="E6446" s="896">
        <v>-0.37081972312956912</v>
      </c>
      <c r="F6446" s="946">
        <v>-1.1124591693887072E-2</v>
      </c>
      <c r="G6446" s="78"/>
      <c r="H6446" t="s">
        <v>329</v>
      </c>
      <c r="J6446" s="256">
        <v>41214</v>
      </c>
      <c r="K6446" s="424">
        <v>82.161299999999997</v>
      </c>
      <c r="L6446" s="37">
        <v>-0.17838700000000007</v>
      </c>
    </row>
    <row r="6447" spans="1:12" hidden="1" outlineLevel="1" x14ac:dyDescent="0.25">
      <c r="A6447" s="739">
        <v>0.04</v>
      </c>
      <c r="B6447" s="740" t="s">
        <v>218</v>
      </c>
      <c r="C6447" s="1112">
        <v>21.080500000000001</v>
      </c>
      <c r="D6447" s="908">
        <v>18.864999999999998</v>
      </c>
      <c r="E6447" s="896">
        <v>-0.10509712767723733</v>
      </c>
      <c r="F6447" s="946">
        <v>-4.2038851070894936E-3</v>
      </c>
      <c r="G6447" s="78"/>
      <c r="H6447" t="s">
        <v>656</v>
      </c>
      <c r="J6447" s="256">
        <v>41244</v>
      </c>
      <c r="K6447" s="424">
        <v>83.496799999999993</v>
      </c>
      <c r="L6447" s="37">
        <v>-0.16503200000000007</v>
      </c>
    </row>
    <row r="6448" spans="1:12" hidden="1" outlineLevel="1" x14ac:dyDescent="0.25">
      <c r="A6448" s="739">
        <v>0.05</v>
      </c>
      <c r="B6448" s="743" t="s">
        <v>157</v>
      </c>
      <c r="C6448" s="1112">
        <v>12.295999999999999</v>
      </c>
      <c r="D6448" s="908">
        <v>6.9210000000000003</v>
      </c>
      <c r="E6448" s="896">
        <v>-0.43713402732595963</v>
      </c>
      <c r="F6448" s="946">
        <v>-2.1856701366297984E-2</v>
      </c>
      <c r="G6448" s="78"/>
      <c r="H6448" t="s">
        <v>730</v>
      </c>
      <c r="J6448" s="256">
        <v>41275</v>
      </c>
      <c r="K6448" s="424">
        <v>85.914900000000003</v>
      </c>
      <c r="L6448" s="37">
        <v>-0.14085099999999995</v>
      </c>
    </row>
    <row r="6449" spans="1:12" hidden="1" outlineLevel="1" x14ac:dyDescent="0.25">
      <c r="A6449" s="739">
        <v>0.04</v>
      </c>
      <c r="B6449" s="740" t="s">
        <v>1184</v>
      </c>
      <c r="C6449" s="1112">
        <v>46.972000000000001</v>
      </c>
      <c r="D6449" s="908">
        <v>80.680000000000007</v>
      </c>
      <c r="E6449" s="896">
        <v>0.7176190070680406</v>
      </c>
      <c r="F6449" s="946">
        <v>2.8704760282721623E-2</v>
      </c>
      <c r="G6449" s="78"/>
      <c r="H6449" t="s">
        <v>3497</v>
      </c>
      <c r="J6449" s="256">
        <v>41306</v>
      </c>
      <c r="K6449" s="424">
        <v>84.690200000000004</v>
      </c>
      <c r="L6449" s="37">
        <v>-0.15309799999999996</v>
      </c>
    </row>
    <row r="6450" spans="1:12" hidden="1" outlineLevel="1" x14ac:dyDescent="0.25">
      <c r="A6450" s="739">
        <v>0.02</v>
      </c>
      <c r="B6450" s="996" t="s">
        <v>3020</v>
      </c>
      <c r="C6450" s="1112">
        <v>53.567</v>
      </c>
      <c r="D6450" s="908">
        <v>98.26</v>
      </c>
      <c r="E6450" s="896">
        <v>0.83433830529990494</v>
      </c>
      <c r="F6450" s="946">
        <v>1.6686766105998098E-2</v>
      </c>
      <c r="G6450" s="78"/>
      <c r="H6450" t="s">
        <v>490</v>
      </c>
      <c r="J6450" s="256">
        <v>41334</v>
      </c>
      <c r="K6450" s="424">
        <v>84.768500000000003</v>
      </c>
      <c r="L6450" s="37">
        <v>-0.15231499999999998</v>
      </c>
    </row>
    <row r="6451" spans="1:12" hidden="1" outlineLevel="1" x14ac:dyDescent="0.25">
      <c r="A6451" s="739">
        <v>0.04</v>
      </c>
      <c r="B6451" s="743" t="s">
        <v>901</v>
      </c>
      <c r="C6451" s="809">
        <v>1848.6</v>
      </c>
      <c r="D6451" s="908">
        <v>3335.5</v>
      </c>
      <c r="E6451" s="896">
        <v>0.80433841826246888</v>
      </c>
      <c r="F6451" s="946">
        <v>3.2173536730498754E-2</v>
      </c>
      <c r="G6451" s="78"/>
      <c r="H6451" t="s">
        <v>531</v>
      </c>
      <c r="J6451" s="256">
        <v>41365</v>
      </c>
      <c r="K6451" s="424">
        <v>87.009500000000003</v>
      </c>
      <c r="L6451" s="37">
        <v>-0.12990499999999994</v>
      </c>
    </row>
    <row r="6452" spans="1:12" hidden="1" outlineLevel="1" x14ac:dyDescent="0.25">
      <c r="A6452" s="739">
        <v>0.02</v>
      </c>
      <c r="B6452" s="743" t="s">
        <v>4025</v>
      </c>
      <c r="C6452" s="809">
        <v>44.354999999999997</v>
      </c>
      <c r="D6452" s="908">
        <v>68.59</v>
      </c>
      <c r="E6452" s="896">
        <v>0.54638710404689461</v>
      </c>
      <c r="F6452" s="946">
        <v>1.0927742080937893E-2</v>
      </c>
      <c r="G6452" s="78"/>
      <c r="H6452" t="s">
        <v>3977</v>
      </c>
      <c r="J6452" s="256">
        <v>41395</v>
      </c>
      <c r="K6452" s="424">
        <v>88.641599999999997</v>
      </c>
      <c r="L6452" s="37">
        <v>-0.11358400000000002</v>
      </c>
    </row>
    <row r="6453" spans="1:12" hidden="1" outlineLevel="1" x14ac:dyDescent="0.25">
      <c r="A6453" s="739">
        <v>0.03</v>
      </c>
      <c r="B6453" s="743" t="s">
        <v>2699</v>
      </c>
      <c r="C6453" s="809">
        <v>18.792000000000002</v>
      </c>
      <c r="D6453" s="908">
        <v>26.97</v>
      </c>
      <c r="E6453" s="896">
        <v>0.4351851851851849</v>
      </c>
      <c r="F6453" s="946">
        <v>1.3055555555555546E-2</v>
      </c>
      <c r="G6453" s="78"/>
      <c r="H6453" t="s">
        <v>505</v>
      </c>
      <c r="J6453" s="256">
        <v>41426</v>
      </c>
      <c r="K6453" s="424">
        <v>83.887500000000003</v>
      </c>
      <c r="L6453" s="37">
        <v>-0.16112499999999996</v>
      </c>
    </row>
    <row r="6454" spans="1:12" hidden="1" outlineLevel="1" x14ac:dyDescent="0.25">
      <c r="A6454" s="739">
        <v>0.03</v>
      </c>
      <c r="B6454" s="740" t="s">
        <v>3406</v>
      </c>
      <c r="C6454" s="809">
        <v>963.1</v>
      </c>
      <c r="D6454" s="908">
        <v>1861</v>
      </c>
      <c r="E6454" s="896">
        <v>0.9323019416467655</v>
      </c>
      <c r="F6454" s="946">
        <v>2.7969058249402965E-2</v>
      </c>
      <c r="G6454" s="78"/>
      <c r="H6454" t="s">
        <v>2105</v>
      </c>
      <c r="J6454" s="256">
        <v>41456</v>
      </c>
      <c r="K6454" s="424">
        <v>88.637299999999996</v>
      </c>
      <c r="L6454" s="37">
        <v>-0.11362700000000003</v>
      </c>
    </row>
    <row r="6455" spans="1:12" hidden="1" outlineLevel="1" x14ac:dyDescent="0.25">
      <c r="A6455" s="739">
        <v>0.02</v>
      </c>
      <c r="B6455" s="743" t="s">
        <v>3021</v>
      </c>
      <c r="C6455" s="809">
        <v>24.74</v>
      </c>
      <c r="D6455" s="908">
        <v>18.21</v>
      </c>
      <c r="E6455" s="896">
        <v>-0.26394502829426025</v>
      </c>
      <c r="F6455" s="946">
        <v>-5.2789005658852054E-3</v>
      </c>
      <c r="G6455" s="78"/>
      <c r="H6455" t="s">
        <v>4124</v>
      </c>
      <c r="J6455" s="256">
        <v>41487</v>
      </c>
      <c r="K6455" s="424">
        <v>87.316699999999997</v>
      </c>
      <c r="L6455" s="37">
        <v>-0.12683299999999997</v>
      </c>
    </row>
    <row r="6456" spans="1:12" hidden="1" outlineLevel="1" x14ac:dyDescent="0.25">
      <c r="A6456" s="739">
        <v>0.02</v>
      </c>
      <c r="B6456" s="996" t="s">
        <v>53</v>
      </c>
      <c r="C6456" s="809">
        <v>52.427999999999997</v>
      </c>
      <c r="D6456" s="908">
        <v>51.33</v>
      </c>
      <c r="E6456" s="896">
        <v>-2.0943007553215875E-2</v>
      </c>
      <c r="F6456" s="946">
        <v>-4.1886015106431753E-4</v>
      </c>
      <c r="G6456" s="78"/>
      <c r="H6456" t="s">
        <v>2751</v>
      </c>
      <c r="J6456" s="256">
        <v>41518</v>
      </c>
      <c r="K6456" s="424">
        <v>92.626099999999994</v>
      </c>
      <c r="L6456" s="37">
        <v>-7.373900000000011E-2</v>
      </c>
    </row>
    <row r="6457" spans="1:12" hidden="1" outlineLevel="1" x14ac:dyDescent="0.25">
      <c r="A6457" s="739">
        <v>0.03</v>
      </c>
      <c r="B6457" s="743" t="s">
        <v>3643</v>
      </c>
      <c r="C6457" s="809">
        <v>164.77500000000001</v>
      </c>
      <c r="D6457" s="908">
        <v>276</v>
      </c>
      <c r="E6457" s="896">
        <v>0.67501137915339093</v>
      </c>
      <c r="F6457" s="946">
        <v>2.0250341374601726E-2</v>
      </c>
      <c r="G6457" s="78"/>
      <c r="H6457" t="s">
        <v>1729</v>
      </c>
      <c r="J6457" s="256">
        <v>41548</v>
      </c>
      <c r="K6457" s="424">
        <v>98.233699999999999</v>
      </c>
      <c r="L6457" s="37">
        <v>-1.7662999999999984E-2</v>
      </c>
    </row>
    <row r="6458" spans="1:12" hidden="1" outlineLevel="1" x14ac:dyDescent="0.25">
      <c r="A6458" s="739">
        <v>0.02</v>
      </c>
      <c r="B6458" s="743" t="s">
        <v>2588</v>
      </c>
      <c r="C6458" s="809">
        <v>22.663499999999999</v>
      </c>
      <c r="D6458" s="908">
        <v>10.275</v>
      </c>
      <c r="E6458" s="896">
        <v>-0.54662783771262158</v>
      </c>
      <c r="F6458" s="946">
        <v>-1.0932556754252433E-2</v>
      </c>
      <c r="G6458" s="78"/>
      <c r="H6458" t="s">
        <v>4132</v>
      </c>
      <c r="J6458" s="256">
        <v>41579</v>
      </c>
      <c r="K6458" s="424">
        <v>98.674000000000007</v>
      </c>
      <c r="L6458" s="37">
        <v>-1.3259999999999939E-2</v>
      </c>
    </row>
    <row r="6459" spans="1:12" hidden="1" outlineLevel="1" x14ac:dyDescent="0.25">
      <c r="A6459" s="739">
        <v>0.06</v>
      </c>
      <c r="B6459" s="743" t="s">
        <v>44</v>
      </c>
      <c r="C6459" s="809">
        <v>3.8109999999999999</v>
      </c>
      <c r="D6459" s="908">
        <v>2.46</v>
      </c>
      <c r="E6459" s="896">
        <v>-0.35450013119916035</v>
      </c>
      <c r="F6459" s="946">
        <v>-2.1270007871949621E-2</v>
      </c>
      <c r="G6459" s="78"/>
      <c r="H6459" t="s">
        <v>204</v>
      </c>
      <c r="J6459" s="256">
        <v>41609</v>
      </c>
      <c r="K6459" s="424">
        <v>99.181600000000003</v>
      </c>
      <c r="L6459" s="37">
        <v>-8.1839999999999691E-3</v>
      </c>
    </row>
    <row r="6460" spans="1:12" hidden="1" outlineLevel="1" x14ac:dyDescent="0.25">
      <c r="A6460" s="739">
        <v>0.02</v>
      </c>
      <c r="B6460" s="740" t="s">
        <v>1526</v>
      </c>
      <c r="C6460" s="809">
        <v>76.710999999999999</v>
      </c>
      <c r="D6460" s="908">
        <v>44.65</v>
      </c>
      <c r="E6460" s="896">
        <v>-0.41794527512351554</v>
      </c>
      <c r="F6460" s="946">
        <v>-8.3589055024703117E-3</v>
      </c>
      <c r="G6460" s="78"/>
      <c r="H6460" t="s">
        <v>4146</v>
      </c>
      <c r="J6460" s="256">
        <v>41640</v>
      </c>
      <c r="K6460" s="424">
        <v>97.268500000000003</v>
      </c>
      <c r="L6460" s="37">
        <v>-2.7314999999999978E-2</v>
      </c>
    </row>
    <row r="6461" spans="1:12" hidden="1" outlineLevel="1" x14ac:dyDescent="0.25">
      <c r="A6461" s="739">
        <v>0.05</v>
      </c>
      <c r="B6461" s="743" t="s">
        <v>4143</v>
      </c>
      <c r="C6461" s="809">
        <v>11.3895</v>
      </c>
      <c r="D6461" s="908">
        <v>2.5649999999999999</v>
      </c>
      <c r="E6461" s="896">
        <v>-0.77479257210588703</v>
      </c>
      <c r="F6461" s="946">
        <v>-3.8739628605294354E-2</v>
      </c>
      <c r="G6461" s="78"/>
      <c r="H6461" t="s">
        <v>4144</v>
      </c>
      <c r="J6461" s="256">
        <v>41671</v>
      </c>
      <c r="K6461" s="424">
        <v>102.4234</v>
      </c>
      <c r="L6461" s="37">
        <v>2.4234000000000089E-2</v>
      </c>
    </row>
    <row r="6462" spans="1:12" hidden="1" outlineLevel="1" x14ac:dyDescent="0.25">
      <c r="A6462" s="739">
        <v>0.05</v>
      </c>
      <c r="B6462" s="740" t="s">
        <v>2786</v>
      </c>
      <c r="C6462" s="809">
        <v>698.4</v>
      </c>
      <c r="D6462" s="908">
        <v>822</v>
      </c>
      <c r="E6462" s="896">
        <v>0.17697594501718217</v>
      </c>
      <c r="F6462" s="946">
        <v>8.8487972508591081E-3</v>
      </c>
      <c r="G6462" s="78"/>
      <c r="H6462" t="s">
        <v>4195</v>
      </c>
      <c r="J6462" s="412" t="s">
        <v>2465</v>
      </c>
      <c r="L6462" s="261">
        <v>-0.10829205555555557</v>
      </c>
    </row>
    <row r="6463" spans="1:12" hidden="1" outlineLevel="1" x14ac:dyDescent="0.25">
      <c r="A6463" s="739">
        <v>0.04</v>
      </c>
      <c r="B6463" s="743" t="s">
        <v>3797</v>
      </c>
      <c r="C6463" s="809">
        <v>50.19</v>
      </c>
      <c r="D6463" s="908">
        <v>66.55</v>
      </c>
      <c r="E6463" s="896">
        <v>0.32596134688184897</v>
      </c>
      <c r="F6463" s="946">
        <v>1.3038453875273959E-2</v>
      </c>
      <c r="G6463" s="78"/>
      <c r="H6463" t="s">
        <v>3848</v>
      </c>
      <c r="J6463" s="69" t="s">
        <v>5094</v>
      </c>
      <c r="L6463" s="423">
        <v>-7.7970280000000003E-2</v>
      </c>
    </row>
    <row r="6464" spans="1:12" hidden="1" outlineLevel="1" x14ac:dyDescent="0.25">
      <c r="A6464" s="739">
        <v>0.05</v>
      </c>
      <c r="B6464" s="740" t="s">
        <v>1190</v>
      </c>
      <c r="C6464" s="809">
        <v>16.614000000000001</v>
      </c>
      <c r="D6464" s="908">
        <v>5.39</v>
      </c>
      <c r="E6464" s="896">
        <v>-0.67557481641988693</v>
      </c>
      <c r="F6464" s="946">
        <v>-3.377874082099435E-2</v>
      </c>
      <c r="G6464" s="78"/>
      <c r="H6464" t="s">
        <v>7569</v>
      </c>
    </row>
    <row r="6465" spans="1:8" hidden="1" outlineLevel="1" x14ac:dyDescent="0.25">
      <c r="A6465" s="739">
        <v>0.02</v>
      </c>
      <c r="B6465" s="743" t="s">
        <v>1213</v>
      </c>
      <c r="C6465" s="809">
        <v>36.847000000000001</v>
      </c>
      <c r="D6465" s="908">
        <v>13.695</v>
      </c>
      <c r="E6465" s="896">
        <v>-0.62832795071511927</v>
      </c>
      <c r="F6465" s="946">
        <v>-1.2566559014302385E-2</v>
      </c>
      <c r="G6465" s="78"/>
      <c r="H6465" t="s">
        <v>4230</v>
      </c>
    </row>
    <row r="6466" spans="1:8" hidden="1" outlineLevel="1" x14ac:dyDescent="0.25">
      <c r="A6466" s="739">
        <v>0.02</v>
      </c>
      <c r="B6466" s="743" t="s">
        <v>3800</v>
      </c>
      <c r="C6466" s="809">
        <v>177.52</v>
      </c>
      <c r="D6466" s="908">
        <v>265</v>
      </c>
      <c r="E6466" s="896">
        <v>0.49278954484001791</v>
      </c>
      <c r="F6466" s="946">
        <v>9.8557908968003576E-3</v>
      </c>
      <c r="G6466" s="78"/>
      <c r="H6466" t="s">
        <v>2817</v>
      </c>
    </row>
    <row r="6467" spans="1:8" hidden="1" outlineLevel="1" x14ac:dyDescent="0.25">
      <c r="A6467" s="739">
        <v>0.03</v>
      </c>
      <c r="B6467" s="996" t="s">
        <v>3801</v>
      </c>
      <c r="C6467" s="809">
        <v>81.010000000000005</v>
      </c>
      <c r="D6467" s="908">
        <v>29.46</v>
      </c>
      <c r="E6467" s="896">
        <v>-0.63634119244537712</v>
      </c>
      <c r="F6467" s="946">
        <v>-1.9090235773361313E-2</v>
      </c>
      <c r="G6467" s="78"/>
      <c r="H6467" t="s">
        <v>2819</v>
      </c>
    </row>
    <row r="6468" spans="1:8" hidden="1" outlineLevel="1" x14ac:dyDescent="0.25">
      <c r="A6468" s="739">
        <v>0.04</v>
      </c>
      <c r="B6468" s="996" t="s">
        <v>577</v>
      </c>
      <c r="C6468" s="809">
        <v>17.538</v>
      </c>
      <c r="D6468" s="908">
        <v>11.484999999999999</v>
      </c>
      <c r="E6468" s="896">
        <v>-0.34513627551602244</v>
      </c>
      <c r="F6468" s="946">
        <v>-1.3805451020640899E-2</v>
      </c>
      <c r="G6468" s="78"/>
      <c r="H6468" t="s">
        <v>2804</v>
      </c>
    </row>
    <row r="6469" spans="1:8" hidden="1" outlineLevel="1" x14ac:dyDescent="0.25">
      <c r="A6469" s="739">
        <v>0.05</v>
      </c>
      <c r="B6469" s="996" t="s">
        <v>1183</v>
      </c>
      <c r="C6469" s="809">
        <v>52.923999999999999</v>
      </c>
      <c r="D6469" s="908">
        <v>47.6</v>
      </c>
      <c r="E6469" s="896">
        <v>-0.10059708260902422</v>
      </c>
      <c r="F6469" s="946">
        <v>-5.0298541304512117E-3</v>
      </c>
      <c r="G6469" s="78"/>
      <c r="H6469" t="s">
        <v>2805</v>
      </c>
    </row>
    <row r="6470" spans="1:8" hidden="1" outlineLevel="1" x14ac:dyDescent="0.25">
      <c r="A6470" s="739">
        <v>0.03</v>
      </c>
      <c r="B6470" s="743" t="s">
        <v>3169</v>
      </c>
      <c r="C6470" s="809">
        <v>25.803000000000001</v>
      </c>
      <c r="D6470" s="908">
        <v>20.22</v>
      </c>
      <c r="E6470" s="896">
        <v>-0.21637018951284737</v>
      </c>
      <c r="F6470" s="946">
        <v>-6.4911056853854208E-3</v>
      </c>
      <c r="G6470" s="78"/>
      <c r="H6470" t="s">
        <v>657</v>
      </c>
    </row>
    <row r="6471" spans="1:8" hidden="1" outlineLevel="1" x14ac:dyDescent="0.25">
      <c r="A6471" s="739">
        <v>0.05</v>
      </c>
      <c r="B6471" s="743" t="s">
        <v>1031</v>
      </c>
      <c r="C6471" s="809">
        <v>8.8770000000000007</v>
      </c>
      <c r="D6471" s="908">
        <v>5.0759999999999996</v>
      </c>
      <c r="E6471" s="896">
        <v>-0.42818519770192642</v>
      </c>
      <c r="F6471" s="946">
        <v>-2.1409259885096323E-2</v>
      </c>
      <c r="G6471" s="78"/>
      <c r="H6471" t="s">
        <v>4158</v>
      </c>
    </row>
    <row r="6472" spans="1:8" hidden="1" outlineLevel="1" x14ac:dyDescent="0.25">
      <c r="A6472" s="739">
        <v>0.02</v>
      </c>
      <c r="B6472" s="743" t="s">
        <v>1622</v>
      </c>
      <c r="C6472" s="809">
        <v>11.38671254</v>
      </c>
      <c r="D6472" s="908">
        <v>3.3119999999999998</v>
      </c>
      <c r="E6472" s="896">
        <v>-0.7091346612672107</v>
      </c>
      <c r="F6472" s="946">
        <v>-1.4182693225344213E-2</v>
      </c>
      <c r="G6472" s="78"/>
      <c r="H6472" t="s">
        <v>1623</v>
      </c>
    </row>
    <row r="6473" spans="1:8" hidden="1" outlineLevel="1" x14ac:dyDescent="0.25">
      <c r="A6473" s="739">
        <v>0.03</v>
      </c>
      <c r="B6473" s="997" t="s">
        <v>4338</v>
      </c>
      <c r="C6473" s="810">
        <v>41.970187167810003</v>
      </c>
      <c r="D6473" s="715">
        <v>19.86</v>
      </c>
      <c r="E6473" s="947">
        <v>-0.52680697084829586</v>
      </c>
      <c r="F6473" s="946">
        <v>-1.5804209125448877E-2</v>
      </c>
      <c r="G6473" s="78"/>
      <c r="H6473" t="s">
        <v>7229</v>
      </c>
    </row>
    <row r="6474" spans="1:8" hidden="1" outlineLevel="1" x14ac:dyDescent="0.25">
      <c r="A6474" s="717"/>
      <c r="B6474" s="718"/>
      <c r="C6474" s="719"/>
      <c r="D6474" s="719"/>
      <c r="E6474" s="720">
        <v>0.89170794444444446</v>
      </c>
      <c r="F6474" s="731">
        <v>-7.5286891097961703E-2</v>
      </c>
      <c r="G6474" s="78"/>
      <c r="H6474" s="101">
        <v>0.18282494444444441</v>
      </c>
    </row>
    <row r="6475" spans="1:8" collapsed="1" x14ac:dyDescent="0.25">
      <c r="A6475" s="3801" t="s">
        <v>193</v>
      </c>
      <c r="B6475" s="3802"/>
      <c r="C6475" s="3802"/>
      <c r="D6475" s="3802"/>
      <c r="E6475" s="721"/>
      <c r="F6475" s="722">
        <v>0.13163395999999997</v>
      </c>
      <c r="G6475" s="97" t="s">
        <v>781</v>
      </c>
    </row>
    <row r="6477" spans="1:8" hidden="1" outlineLevel="1" x14ac:dyDescent="0.25">
      <c r="A6477" s="689" t="s">
        <v>113</v>
      </c>
      <c r="B6477" s="689" t="s">
        <v>114</v>
      </c>
      <c r="C6477" s="689" t="s">
        <v>112</v>
      </c>
      <c r="D6477" s="689" t="s">
        <v>116</v>
      </c>
      <c r="E6477" s="689" t="s">
        <v>117</v>
      </c>
      <c r="F6477" s="1188" t="s">
        <v>121</v>
      </c>
      <c r="G6477" s="78"/>
    </row>
    <row r="6478" spans="1:8" hidden="1" outlineLevel="1" x14ac:dyDescent="0.25">
      <c r="A6478" s="690">
        <v>6</v>
      </c>
      <c r="B6478" s="691" t="s">
        <v>252</v>
      </c>
      <c r="C6478" s="705">
        <v>1</v>
      </c>
      <c r="D6478" s="692"/>
      <c r="E6478" s="693"/>
      <c r="F6478" s="694"/>
      <c r="G6478" s="78"/>
    </row>
    <row r="6479" spans="1:8" hidden="1" outlineLevel="1" x14ac:dyDescent="0.25">
      <c r="A6479" s="846" t="s">
        <v>4859</v>
      </c>
      <c r="B6479" s="695"/>
      <c r="C6479" s="709">
        <v>0.94917600000000002</v>
      </c>
      <c r="D6479" s="696"/>
      <c r="E6479" s="891"/>
      <c r="F6479" s="856"/>
      <c r="G6479" s="78"/>
    </row>
    <row r="6480" spans="1:8" hidden="1" outlineLevel="1" x14ac:dyDescent="0.25">
      <c r="A6480" s="846" t="s">
        <v>4860</v>
      </c>
      <c r="B6480" s="695"/>
      <c r="C6480" s="709">
        <v>0.96315899999999999</v>
      </c>
      <c r="D6480" s="696"/>
      <c r="E6480" s="891"/>
      <c r="F6480" s="856"/>
      <c r="G6480" s="78"/>
    </row>
    <row r="6481" spans="1:12" hidden="1" outlineLevel="1" x14ac:dyDescent="0.25">
      <c r="A6481" s="846" t="s">
        <v>4861</v>
      </c>
      <c r="B6481" s="695"/>
      <c r="C6481" s="709">
        <v>0.98440899999999998</v>
      </c>
      <c r="D6481" s="696"/>
      <c r="E6481" s="891"/>
      <c r="F6481" s="856"/>
      <c r="G6481" s="78"/>
    </row>
    <row r="6482" spans="1:12" hidden="1" outlineLevel="1" x14ac:dyDescent="0.25">
      <c r="A6482" s="846" t="s">
        <v>4862</v>
      </c>
      <c r="B6482" s="695"/>
      <c r="C6482" s="709">
        <v>0.936311</v>
      </c>
      <c r="D6482" s="696"/>
      <c r="E6482" s="891"/>
      <c r="F6482" s="856"/>
      <c r="G6482" s="78"/>
    </row>
    <row r="6483" spans="1:12" hidden="1" outlineLevel="1" x14ac:dyDescent="0.25">
      <c r="A6483" s="846" t="s">
        <v>4863</v>
      </c>
      <c r="B6483" s="695"/>
      <c r="C6483" s="709">
        <v>0.786358</v>
      </c>
      <c r="D6483" s="696"/>
      <c r="E6483" s="891"/>
      <c r="F6483" s="856"/>
      <c r="G6483" s="78"/>
    </row>
    <row r="6484" spans="1:12" hidden="1" outlineLevel="1" x14ac:dyDescent="0.25">
      <c r="A6484" s="846" t="s">
        <v>4864</v>
      </c>
      <c r="B6484" s="695"/>
      <c r="C6484" s="709">
        <v>0.67277699999999996</v>
      </c>
      <c r="D6484" s="696"/>
      <c r="E6484" s="891"/>
      <c r="F6484" s="856"/>
      <c r="G6484" s="78"/>
    </row>
    <row r="6485" spans="1:12" hidden="1" outlineLevel="1" x14ac:dyDescent="0.25">
      <c r="A6485" s="1111"/>
      <c r="B6485" s="695"/>
      <c r="C6485" s="696"/>
      <c r="D6485" s="696"/>
      <c r="E6485" s="891"/>
      <c r="F6485" s="856"/>
      <c r="G6485" s="78"/>
    </row>
    <row r="6486" spans="1:12" hidden="1" outlineLevel="1" x14ac:dyDescent="0.25">
      <c r="A6486" s="1111"/>
      <c r="B6486" s="695"/>
      <c r="C6486" s="696"/>
      <c r="D6486" s="696"/>
      <c r="E6486" s="891"/>
      <c r="F6486" s="856"/>
      <c r="G6486" s="78"/>
    </row>
    <row r="6487" spans="1:12" hidden="1" outlineLevel="1" x14ac:dyDescent="0.25">
      <c r="A6487" s="695"/>
      <c r="B6487" s="695"/>
      <c r="C6487" s="696"/>
      <c r="D6487" s="697" t="s">
        <v>3702</v>
      </c>
      <c r="E6487" s="698">
        <v>41593</v>
      </c>
      <c r="F6487" s="699"/>
      <c r="G6487" s="78"/>
    </row>
    <row r="6488" spans="1:12" hidden="1" outlineLevel="1" x14ac:dyDescent="0.25">
      <c r="A6488" s="689" t="s">
        <v>4156</v>
      </c>
      <c r="B6488" s="689" t="s">
        <v>4153</v>
      </c>
      <c r="C6488" s="497" t="s">
        <v>112</v>
      </c>
      <c r="D6488" s="689" t="s">
        <v>4155</v>
      </c>
      <c r="E6488" s="495" t="s">
        <v>4154</v>
      </c>
      <c r="F6488" s="1188" t="s">
        <v>2519</v>
      </c>
      <c r="G6488" s="78"/>
      <c r="J6488" t="s">
        <v>2040</v>
      </c>
    </row>
    <row r="6489" spans="1:12" hidden="1" outlineLevel="1" x14ac:dyDescent="0.25">
      <c r="A6489" s="734">
        <v>0.04</v>
      </c>
      <c r="B6489" s="755" t="s">
        <v>359</v>
      </c>
      <c r="C6489" s="1022">
        <v>115.899</v>
      </c>
      <c r="D6489" s="908">
        <v>128.15</v>
      </c>
      <c r="E6489" s="895">
        <v>0.10570410443575873</v>
      </c>
      <c r="F6489" s="946">
        <v>4.2281641774303495E-3</v>
      </c>
      <c r="G6489" s="78"/>
      <c r="H6489" t="s">
        <v>360</v>
      </c>
      <c r="J6489" s="256">
        <v>41061</v>
      </c>
      <c r="K6489" s="424">
        <v>78.492999999999995</v>
      </c>
      <c r="L6489" s="37">
        <v>-0.21507000000000009</v>
      </c>
    </row>
    <row r="6490" spans="1:12" hidden="1" outlineLevel="1" x14ac:dyDescent="0.25">
      <c r="A6490" s="739">
        <v>0.04</v>
      </c>
      <c r="B6490" s="711" t="s">
        <v>1993</v>
      </c>
      <c r="C6490" s="809">
        <v>20.823</v>
      </c>
      <c r="D6490" s="908">
        <v>38</v>
      </c>
      <c r="E6490" s="896">
        <v>0.82490515295586597</v>
      </c>
      <c r="F6490" s="946">
        <v>3.2996206118234638E-2</v>
      </c>
      <c r="G6490" s="78"/>
      <c r="H6490" t="s">
        <v>2812</v>
      </c>
      <c r="J6490" s="256">
        <v>41091</v>
      </c>
      <c r="K6490" s="424">
        <v>79.804100000000005</v>
      </c>
      <c r="L6490" s="37">
        <v>-0.201959</v>
      </c>
    </row>
    <row r="6491" spans="1:12" hidden="1" outlineLevel="1" x14ac:dyDescent="0.25">
      <c r="A6491" s="739">
        <v>0.02</v>
      </c>
      <c r="B6491" s="743" t="s">
        <v>2697</v>
      </c>
      <c r="C6491" s="1112">
        <v>25.297999999999998</v>
      </c>
      <c r="D6491" s="908">
        <v>16.39</v>
      </c>
      <c r="E6491" s="896">
        <v>-0.35212269744643843</v>
      </c>
      <c r="F6491" s="946">
        <v>-7.0424539489287686E-3</v>
      </c>
      <c r="G6491" s="78"/>
      <c r="H6491" t="s">
        <v>329</v>
      </c>
      <c r="J6491" s="256">
        <v>41122</v>
      </c>
      <c r="K6491" s="424">
        <v>81.771199999999993</v>
      </c>
      <c r="L6491" s="37">
        <v>-0.18228800000000012</v>
      </c>
    </row>
    <row r="6492" spans="1:12" hidden="1" outlineLevel="1" x14ac:dyDescent="0.25">
      <c r="A6492" s="739">
        <v>0.04</v>
      </c>
      <c r="B6492" s="740" t="s">
        <v>2984</v>
      </c>
      <c r="C6492" s="1112">
        <v>13.179</v>
      </c>
      <c r="D6492" s="908">
        <v>8.4260000000000002</v>
      </c>
      <c r="E6492" s="896">
        <v>-0.36064951817285074</v>
      </c>
      <c r="F6492" s="946">
        <v>-1.442598072691403E-2</v>
      </c>
      <c r="G6492" s="78"/>
      <c r="H6492" t="s">
        <v>2326</v>
      </c>
      <c r="J6492" s="256">
        <v>41153</v>
      </c>
      <c r="K6492" s="424">
        <v>82.8249</v>
      </c>
      <c r="L6492" s="37">
        <v>-0.17175099999999999</v>
      </c>
    </row>
    <row r="6493" spans="1:12" hidden="1" outlineLevel="1" x14ac:dyDescent="0.25">
      <c r="A6493" s="739">
        <v>0.03</v>
      </c>
      <c r="B6493" s="743" t="s">
        <v>157</v>
      </c>
      <c r="C6493" s="1112">
        <v>12.154999999999999</v>
      </c>
      <c r="D6493" s="908">
        <v>6.3879999999999999</v>
      </c>
      <c r="E6493" s="896">
        <v>-0.47445495680789795</v>
      </c>
      <c r="F6493" s="946">
        <v>-1.4233648704236938E-2</v>
      </c>
      <c r="G6493" s="78"/>
      <c r="H6493" t="s">
        <v>730</v>
      </c>
      <c r="J6493" s="256">
        <v>41183</v>
      </c>
      <c r="K6493" s="424">
        <v>83.727999999999994</v>
      </c>
      <c r="L6493" s="37">
        <v>-0.16272000000000009</v>
      </c>
    </row>
    <row r="6494" spans="1:12" hidden="1" outlineLevel="1" x14ac:dyDescent="0.25">
      <c r="A6494" s="739">
        <v>0.03</v>
      </c>
      <c r="B6494" s="740" t="s">
        <v>901</v>
      </c>
      <c r="C6494" s="1112">
        <v>1817</v>
      </c>
      <c r="D6494" s="908">
        <v>3387</v>
      </c>
      <c r="E6494" s="896">
        <v>0.86406164006604302</v>
      </c>
      <c r="F6494" s="946">
        <v>2.592184920198129E-2</v>
      </c>
      <c r="G6494" s="78"/>
      <c r="H6494" t="s">
        <v>531</v>
      </c>
      <c r="J6494" s="256">
        <v>41214</v>
      </c>
      <c r="K6494" s="424">
        <v>85.423299999999998</v>
      </c>
      <c r="L6494" s="37">
        <v>-0.14576699999999998</v>
      </c>
    </row>
    <row r="6495" spans="1:12" hidden="1" outlineLevel="1" x14ac:dyDescent="0.25">
      <c r="A6495" s="739">
        <v>0.03</v>
      </c>
      <c r="B6495" s="996" t="s">
        <v>1847</v>
      </c>
      <c r="C6495" s="1112">
        <v>198.14</v>
      </c>
      <c r="D6495" s="908">
        <v>50.4</v>
      </c>
      <c r="E6495" s="896">
        <v>-0.74563439991924896</v>
      </c>
      <c r="F6495" s="946">
        <v>-2.236903199757747E-2</v>
      </c>
      <c r="G6495" s="78"/>
      <c r="H6495" t="s">
        <v>2749</v>
      </c>
      <c r="J6495" s="256">
        <v>41244</v>
      </c>
      <c r="K6495" s="424">
        <v>85.440299999999993</v>
      </c>
      <c r="L6495" s="37">
        <v>-0.14559700000000009</v>
      </c>
    </row>
    <row r="6496" spans="1:12" hidden="1" outlineLevel="1" x14ac:dyDescent="0.25">
      <c r="A6496" s="739">
        <v>0.02</v>
      </c>
      <c r="B6496" s="743" t="s">
        <v>1212</v>
      </c>
      <c r="C6496" s="809">
        <v>48.832000000000001</v>
      </c>
      <c r="D6496" s="908">
        <v>26.44</v>
      </c>
      <c r="E6496" s="896">
        <v>-0.45855176933158581</v>
      </c>
      <c r="F6496" s="946">
        <v>-9.1710353866317172E-3</v>
      </c>
      <c r="G6496" s="78"/>
      <c r="H6496" t="s">
        <v>4229</v>
      </c>
      <c r="J6496" s="256">
        <v>41275</v>
      </c>
      <c r="K6496" s="424">
        <v>89.129199999999997</v>
      </c>
      <c r="L6496" s="37">
        <v>-0.10870800000000003</v>
      </c>
    </row>
    <row r="6497" spans="1:12" hidden="1" outlineLevel="1" x14ac:dyDescent="0.25">
      <c r="A6497" s="739">
        <v>0.04</v>
      </c>
      <c r="B6497" s="743" t="s">
        <v>2699</v>
      </c>
      <c r="C6497" s="809">
        <v>18.283000000000001</v>
      </c>
      <c r="D6497" s="908">
        <v>25.2</v>
      </c>
      <c r="E6497" s="896">
        <v>0.37832959579937642</v>
      </c>
      <c r="F6497" s="946">
        <v>1.5133183831975056E-2</v>
      </c>
      <c r="G6497" s="78"/>
      <c r="H6497" t="s">
        <v>505</v>
      </c>
      <c r="J6497" s="256">
        <v>41306</v>
      </c>
      <c r="K6497" s="424">
        <v>89.01562279528504</v>
      </c>
      <c r="L6497" s="37">
        <v>-0.10984377204714957</v>
      </c>
    </row>
    <row r="6498" spans="1:12" hidden="1" outlineLevel="1" x14ac:dyDescent="0.25">
      <c r="A6498" s="739">
        <v>0.02</v>
      </c>
      <c r="B6498" s="743" t="s">
        <v>3406</v>
      </c>
      <c r="C6498" s="809">
        <v>945.35</v>
      </c>
      <c r="D6498" s="908">
        <v>2012</v>
      </c>
      <c r="E6498" s="896">
        <v>1.1283122652985664</v>
      </c>
      <c r="F6498" s="946">
        <v>2.256624530597133E-2</v>
      </c>
      <c r="G6498" s="78"/>
      <c r="H6498" t="s">
        <v>2105</v>
      </c>
      <c r="J6498" s="256">
        <v>41334</v>
      </c>
      <c r="K6498" s="424">
        <v>90.907499999999999</v>
      </c>
      <c r="L6498" s="37">
        <v>-9.0925000000000034E-2</v>
      </c>
    </row>
    <row r="6499" spans="1:12" hidden="1" outlineLevel="1" x14ac:dyDescent="0.25">
      <c r="A6499" s="739">
        <v>0.06</v>
      </c>
      <c r="B6499" s="740" t="s">
        <v>3021</v>
      </c>
      <c r="C6499" s="809">
        <v>24.25</v>
      </c>
      <c r="D6499" s="908">
        <v>18.059999999999999</v>
      </c>
      <c r="E6499" s="896">
        <v>-0.25525773195876289</v>
      </c>
      <c r="F6499" s="946">
        <v>-1.5315463917525772E-2</v>
      </c>
      <c r="G6499" s="78"/>
      <c r="H6499" t="s">
        <v>4124</v>
      </c>
      <c r="J6499" s="256">
        <v>41365</v>
      </c>
      <c r="K6499" s="424">
        <v>93.843900000000005</v>
      </c>
      <c r="L6499" s="37">
        <v>-6.1560999999999977E-2</v>
      </c>
    </row>
    <row r="6500" spans="1:12" hidden="1" outlineLevel="1" x14ac:dyDescent="0.25">
      <c r="A6500" s="739">
        <v>0.03</v>
      </c>
      <c r="B6500" s="743" t="s">
        <v>4268</v>
      </c>
      <c r="C6500" s="809">
        <v>30.667000000000002</v>
      </c>
      <c r="D6500" s="908">
        <v>16.760000000000002</v>
      </c>
      <c r="E6500" s="896">
        <v>-0.45348420125868194</v>
      </c>
      <c r="F6500" s="946">
        <v>-1.3604526037760458E-2</v>
      </c>
      <c r="G6500" s="78"/>
      <c r="H6500" t="s">
        <v>1801</v>
      </c>
      <c r="J6500" s="256">
        <v>41395</v>
      </c>
      <c r="K6500" s="424">
        <v>93.588700000000003</v>
      </c>
      <c r="L6500" s="37">
        <v>-6.4112999999999976E-2</v>
      </c>
    </row>
    <row r="6501" spans="1:12" hidden="1" outlineLevel="1" x14ac:dyDescent="0.25">
      <c r="A6501" s="739">
        <v>0.04</v>
      </c>
      <c r="B6501" s="996" t="s">
        <v>1771</v>
      </c>
      <c r="C6501" s="809">
        <v>813.93</v>
      </c>
      <c r="D6501" s="908">
        <v>687</v>
      </c>
      <c r="E6501" s="896">
        <v>-0.15594707161549515</v>
      </c>
      <c r="F6501" s="946">
        <v>-6.2378828646198065E-3</v>
      </c>
      <c r="G6501" s="78"/>
      <c r="H6501" t="s">
        <v>4329</v>
      </c>
      <c r="J6501" s="256">
        <v>41426</v>
      </c>
      <c r="K6501" s="424">
        <v>90.0959</v>
      </c>
      <c r="L6501" s="37">
        <v>-9.9041000000000046E-2</v>
      </c>
    </row>
    <row r="6502" spans="1:12" hidden="1" outlineLevel="1" x14ac:dyDescent="0.25">
      <c r="A6502" s="739">
        <v>0.06</v>
      </c>
      <c r="B6502" s="743" t="s">
        <v>2588</v>
      </c>
      <c r="C6502" s="809">
        <v>22.217500000000001</v>
      </c>
      <c r="D6502" s="908">
        <v>9.58</v>
      </c>
      <c r="E6502" s="896">
        <v>-0.56880837177900312</v>
      </c>
      <c r="F6502" s="946">
        <v>-3.4128502306740187E-2</v>
      </c>
      <c r="G6502" s="78"/>
      <c r="H6502" t="s">
        <v>4132</v>
      </c>
      <c r="J6502" s="256">
        <v>41456</v>
      </c>
      <c r="K6502" s="424">
        <v>95.06625922253528</v>
      </c>
      <c r="L6502" s="37">
        <v>-4.9337407774647235E-2</v>
      </c>
    </row>
    <row r="6503" spans="1:12" hidden="1" outlineLevel="1" x14ac:dyDescent="0.25">
      <c r="A6503" s="739">
        <v>0.04</v>
      </c>
      <c r="B6503" s="743" t="s">
        <v>44</v>
      </c>
      <c r="C6503" s="809">
        <v>3.7206999999999999</v>
      </c>
      <c r="D6503" s="908">
        <v>1.6989999999999998</v>
      </c>
      <c r="E6503" s="896">
        <v>-0.54336549574004889</v>
      </c>
      <c r="F6503" s="946">
        <v>-2.1734619829601957E-2</v>
      </c>
      <c r="G6503" s="78"/>
      <c r="H6503" t="s">
        <v>204</v>
      </c>
      <c r="J6503" s="256">
        <v>41487</v>
      </c>
      <c r="K6503" s="424">
        <v>92.252700000000004</v>
      </c>
      <c r="L6503" s="37">
        <v>-7.7472999999999903E-2</v>
      </c>
    </row>
    <row r="6504" spans="1:12" hidden="1" outlineLevel="1" x14ac:dyDescent="0.25">
      <c r="A6504" s="739">
        <v>0.02</v>
      </c>
      <c r="B6504" s="743" t="s">
        <v>4376</v>
      </c>
      <c r="C6504" s="809">
        <v>38.353999999999999</v>
      </c>
      <c r="D6504" s="908">
        <v>54.87</v>
      </c>
      <c r="E6504" s="896">
        <v>0.43062001355790791</v>
      </c>
      <c r="F6504" s="946">
        <v>8.6124002711581576E-3</v>
      </c>
      <c r="G6504" s="78"/>
      <c r="H6504" t="s">
        <v>4326</v>
      </c>
      <c r="J6504" s="256">
        <v>41518</v>
      </c>
      <c r="K6504" s="424">
        <v>95.602199999999996</v>
      </c>
      <c r="L6504" s="37">
        <v>-4.3978000000000073E-2</v>
      </c>
    </row>
    <row r="6505" spans="1:12" hidden="1" outlineLevel="1" x14ac:dyDescent="0.25">
      <c r="A6505" s="739">
        <v>0.03</v>
      </c>
      <c r="B6505" s="740" t="s">
        <v>1526</v>
      </c>
      <c r="C6505" s="809">
        <v>75.622</v>
      </c>
      <c r="D6505" s="908">
        <v>40.185000000000002</v>
      </c>
      <c r="E6505" s="896">
        <v>-0.46860701912141967</v>
      </c>
      <c r="F6505" s="946">
        <v>-1.405821057364259E-2</v>
      </c>
      <c r="G6505" s="78"/>
      <c r="H6505" t="s">
        <v>4146</v>
      </c>
      <c r="J6505" s="256">
        <v>41548</v>
      </c>
      <c r="K6505" s="424">
        <v>101.2486</v>
      </c>
      <c r="L6505" s="37">
        <v>1.2485999999999997E-2</v>
      </c>
    </row>
    <row r="6506" spans="1:12" hidden="1" outlineLevel="1" x14ac:dyDescent="0.25">
      <c r="A6506" s="739">
        <v>0.04</v>
      </c>
      <c r="B6506" s="743" t="s">
        <v>2160</v>
      </c>
      <c r="C6506" s="809">
        <v>30.053999999999998</v>
      </c>
      <c r="D6506" s="908">
        <v>53.05</v>
      </c>
      <c r="E6506" s="896">
        <v>0.76515605243894314</v>
      </c>
      <c r="F6506" s="946">
        <v>3.0606242097557725E-2</v>
      </c>
      <c r="G6506" s="78"/>
      <c r="H6506" t="s">
        <v>5507</v>
      </c>
      <c r="J6506" s="256">
        <v>41579</v>
      </c>
      <c r="K6506" s="424">
        <v>102.07510000000001</v>
      </c>
      <c r="L6506" s="37">
        <v>2.0750999999999964E-2</v>
      </c>
    </row>
    <row r="6507" spans="1:12" hidden="1" outlineLevel="1" x14ac:dyDescent="0.25">
      <c r="A6507" s="739">
        <v>0.03</v>
      </c>
      <c r="B6507" s="740" t="s">
        <v>1905</v>
      </c>
      <c r="C6507" s="809">
        <v>35.479999999999997</v>
      </c>
      <c r="D6507" s="908">
        <v>48.07</v>
      </c>
      <c r="E6507" s="896">
        <v>0.35484780157835405</v>
      </c>
      <c r="F6507" s="946">
        <v>1.064543404735062E-2</v>
      </c>
      <c r="G6507" s="78"/>
      <c r="H6507" t="s">
        <v>504</v>
      </c>
      <c r="J6507" s="412" t="s">
        <v>2465</v>
      </c>
      <c r="K6507" s="37">
        <v>0.89461693445434465</v>
      </c>
      <c r="L6507" s="261">
        <v>-0.10538306554565541</v>
      </c>
    </row>
    <row r="6508" spans="1:12" hidden="1" outlineLevel="1" x14ac:dyDescent="0.25">
      <c r="A6508" s="739">
        <v>0.04</v>
      </c>
      <c r="B6508" s="743" t="s">
        <v>2786</v>
      </c>
      <c r="C6508" s="809">
        <v>690</v>
      </c>
      <c r="D6508" s="908">
        <v>774</v>
      </c>
      <c r="E6508" s="896">
        <v>0.12173913043478257</v>
      </c>
      <c r="F6508" s="946">
        <v>4.8695652173913031E-3</v>
      </c>
      <c r="G6508" s="78"/>
      <c r="H6508" t="s">
        <v>4195</v>
      </c>
      <c r="J6508" s="69" t="s">
        <v>5094</v>
      </c>
      <c r="L6508" s="423">
        <v>-7.3768145881958777E-2</v>
      </c>
    </row>
    <row r="6509" spans="1:12" hidden="1" outlineLevel="1" x14ac:dyDescent="0.25">
      <c r="A6509" s="739">
        <v>0.03</v>
      </c>
      <c r="B6509" s="740" t="s">
        <v>3797</v>
      </c>
      <c r="C6509" s="809">
        <v>49.177500000000002</v>
      </c>
      <c r="D6509" s="908">
        <v>66.900000000000006</v>
      </c>
      <c r="E6509" s="896">
        <v>0.36037822174775047</v>
      </c>
      <c r="F6509" s="946">
        <v>1.0811346652432514E-2</v>
      </c>
      <c r="G6509" s="78"/>
      <c r="H6509" t="s">
        <v>3848</v>
      </c>
    </row>
    <row r="6510" spans="1:12" hidden="1" outlineLevel="1" x14ac:dyDescent="0.25">
      <c r="A6510" s="739">
        <v>0.03</v>
      </c>
      <c r="B6510" s="743" t="s">
        <v>1190</v>
      </c>
      <c r="C6510" s="809">
        <v>16.393000000000001</v>
      </c>
      <c r="D6510" s="908">
        <v>5.93</v>
      </c>
      <c r="E6510" s="896">
        <v>-0.63826023302629176</v>
      </c>
      <c r="F6510" s="946">
        <v>-1.9147806990788753E-2</v>
      </c>
      <c r="G6510" s="78"/>
      <c r="H6510" t="s">
        <v>7569</v>
      </c>
    </row>
    <row r="6511" spans="1:12" hidden="1" outlineLevel="1" x14ac:dyDescent="0.25">
      <c r="A6511" s="739">
        <v>0.05</v>
      </c>
      <c r="B6511" s="743" t="s">
        <v>1414</v>
      </c>
      <c r="C6511" s="809">
        <v>17.670000000000002</v>
      </c>
      <c r="D6511" s="908">
        <v>32.200000000000003</v>
      </c>
      <c r="E6511" s="896">
        <v>0.82229767968307854</v>
      </c>
      <c r="F6511" s="946">
        <v>4.111488398415393E-2</v>
      </c>
      <c r="G6511" s="78"/>
      <c r="H6511" t="s">
        <v>2428</v>
      </c>
    </row>
    <row r="6512" spans="1:12" hidden="1" outlineLevel="1" x14ac:dyDescent="0.25">
      <c r="A6512" s="739">
        <v>0.03</v>
      </c>
      <c r="B6512" s="996" t="s">
        <v>3801</v>
      </c>
      <c r="C6512" s="809">
        <v>80.034000000000006</v>
      </c>
      <c r="D6512" s="908">
        <v>26.225000000000001</v>
      </c>
      <c r="E6512" s="896">
        <v>-0.67232676112652123</v>
      </c>
      <c r="F6512" s="946">
        <v>-2.0169802833795637E-2</v>
      </c>
      <c r="G6512" s="78"/>
      <c r="H6512" t="s">
        <v>2819</v>
      </c>
    </row>
    <row r="6513" spans="1:8" hidden="1" outlineLevel="1" x14ac:dyDescent="0.25">
      <c r="A6513" s="739">
        <v>0.02</v>
      </c>
      <c r="B6513" s="996" t="s">
        <v>1214</v>
      </c>
      <c r="C6513" s="809">
        <v>73.766999999999996</v>
      </c>
      <c r="D6513" s="908">
        <v>96.72</v>
      </c>
      <c r="E6513" s="896">
        <v>0.31115539468868203</v>
      </c>
      <c r="F6513" s="946">
        <v>6.2231078937736405E-3</v>
      </c>
      <c r="G6513" s="78"/>
      <c r="H6513" t="s">
        <v>3775</v>
      </c>
    </row>
    <row r="6514" spans="1:8" hidden="1" outlineLevel="1" x14ac:dyDescent="0.25">
      <c r="A6514" s="739">
        <v>0.02</v>
      </c>
      <c r="B6514" s="996" t="s">
        <v>231</v>
      </c>
      <c r="C6514" s="809">
        <v>39.97</v>
      </c>
      <c r="D6514" s="908">
        <v>36.03</v>
      </c>
      <c r="E6514" s="896">
        <v>-9.85739304478358E-2</v>
      </c>
      <c r="F6514" s="946">
        <v>-1.9714786089567162E-3</v>
      </c>
      <c r="G6514" s="78"/>
      <c r="H6514" t="s">
        <v>640</v>
      </c>
    </row>
    <row r="6515" spans="1:8" hidden="1" outlineLevel="1" x14ac:dyDescent="0.25">
      <c r="A6515" s="739">
        <v>0.03</v>
      </c>
      <c r="B6515" s="743" t="s">
        <v>577</v>
      </c>
      <c r="C6515" s="809">
        <v>17.390999999999998</v>
      </c>
      <c r="D6515" s="908">
        <v>12.315</v>
      </c>
      <c r="E6515" s="896">
        <v>-0.29187510781438675</v>
      </c>
      <c r="F6515" s="946">
        <v>-8.7562532344316029E-3</v>
      </c>
      <c r="G6515" s="78"/>
      <c r="H6515" t="s">
        <v>2804</v>
      </c>
    </row>
    <row r="6516" spans="1:8" hidden="1" outlineLevel="1" x14ac:dyDescent="0.25">
      <c r="A6516" s="739">
        <v>0.02</v>
      </c>
      <c r="B6516" s="743" t="s">
        <v>1183</v>
      </c>
      <c r="C6516" s="809">
        <v>52.3765</v>
      </c>
      <c r="D6516" s="908">
        <v>44.24</v>
      </c>
      <c r="E6516" s="896">
        <v>-0.15534638626101394</v>
      </c>
      <c r="F6516" s="946">
        <v>-3.1069277252202786E-3</v>
      </c>
      <c r="G6516" s="78"/>
      <c r="H6516" t="s">
        <v>2805</v>
      </c>
    </row>
    <row r="6517" spans="1:8" hidden="1" outlineLevel="1" x14ac:dyDescent="0.25">
      <c r="A6517" s="739">
        <v>0.04</v>
      </c>
      <c r="B6517" s="743" t="s">
        <v>255</v>
      </c>
      <c r="C6517" s="809">
        <v>36.194000000000003</v>
      </c>
      <c r="D6517" s="908">
        <v>50.31</v>
      </c>
      <c r="E6517" s="896">
        <v>0.39000939382218047</v>
      </c>
      <c r="F6517" s="946">
        <v>1.5600375752887219E-2</v>
      </c>
      <c r="G6517" s="78"/>
      <c r="H6517" t="s">
        <v>3351</v>
      </c>
    </row>
    <row r="6518" spans="1:8" hidden="1" outlineLevel="1" x14ac:dyDescent="0.25">
      <c r="A6518" s="739">
        <v>0.03</v>
      </c>
      <c r="B6518" s="997" t="s">
        <v>3169</v>
      </c>
      <c r="C6518" s="810">
        <v>25.3245</v>
      </c>
      <c r="D6518" s="715">
        <v>18.734999999999999</v>
      </c>
      <c r="E6518" s="947">
        <v>-0.26020257063318131</v>
      </c>
      <c r="F6518" s="946">
        <v>-7.8060771189954392E-3</v>
      </c>
      <c r="G6518" s="78"/>
      <c r="H6518" t="s">
        <v>657</v>
      </c>
    </row>
    <row r="6519" spans="1:8" hidden="1" outlineLevel="1" x14ac:dyDescent="0.25">
      <c r="A6519" s="717"/>
      <c r="B6519" s="718"/>
      <c r="C6519" s="719"/>
      <c r="D6519" s="719"/>
      <c r="E6519" s="720">
        <v>0.99604930174592965</v>
      </c>
      <c r="F6519" s="731">
        <v>-3.9506982540703653E-3</v>
      </c>
      <c r="G6519" s="78"/>
      <c r="H6519" s="37">
        <v>0.22183993445434469</v>
      </c>
    </row>
    <row r="6520" spans="1:8" collapsed="1" x14ac:dyDescent="0.25">
      <c r="A6520" s="3801" t="s">
        <v>508</v>
      </c>
      <c r="B6520" s="3802"/>
      <c r="C6520" s="3802"/>
      <c r="D6520" s="3802"/>
      <c r="E6520" s="721"/>
      <c r="F6520" s="722">
        <v>0.15528795411804128</v>
      </c>
      <c r="G6520" s="97" t="s">
        <v>781</v>
      </c>
    </row>
    <row r="6522" spans="1:8" hidden="1" outlineLevel="1" x14ac:dyDescent="0.25">
      <c r="A6522" s="689" t="s">
        <v>113</v>
      </c>
      <c r="B6522" s="689" t="s">
        <v>114</v>
      </c>
      <c r="C6522" s="689" t="s">
        <v>112</v>
      </c>
      <c r="D6522" s="689" t="s">
        <v>116</v>
      </c>
      <c r="E6522" s="689" t="s">
        <v>117</v>
      </c>
      <c r="F6522" s="1188" t="s">
        <v>121</v>
      </c>
      <c r="G6522" s="78"/>
    </row>
    <row r="6523" spans="1:8" hidden="1" outlineLevel="1" x14ac:dyDescent="0.25">
      <c r="A6523" s="690">
        <v>1</v>
      </c>
      <c r="B6523" s="691" t="s">
        <v>252</v>
      </c>
      <c r="C6523" s="692"/>
      <c r="D6523" s="692"/>
      <c r="E6523" s="693"/>
      <c r="F6523" s="694"/>
      <c r="G6523" s="78"/>
    </row>
    <row r="6524" spans="1:8" hidden="1" outlineLevel="1" x14ac:dyDescent="0.25">
      <c r="A6524" s="695"/>
      <c r="B6524" s="695"/>
      <c r="C6524" s="696"/>
      <c r="D6524" s="697" t="s">
        <v>3702</v>
      </c>
      <c r="E6524" s="698">
        <v>42460</v>
      </c>
      <c r="F6524" s="699"/>
      <c r="G6524" s="78"/>
    </row>
    <row r="6525" spans="1:8" hidden="1" outlineLevel="1" x14ac:dyDescent="0.25">
      <c r="A6525" s="689" t="s">
        <v>4156</v>
      </c>
      <c r="B6525" s="689" t="s">
        <v>4153</v>
      </c>
      <c r="C6525" s="700" t="s">
        <v>112</v>
      </c>
      <c r="D6525" s="689" t="s">
        <v>116</v>
      </c>
      <c r="E6525" s="495" t="s">
        <v>4154</v>
      </c>
      <c r="F6525" s="1021" t="s">
        <v>5223</v>
      </c>
      <c r="G6525" s="78"/>
    </row>
    <row r="6526" spans="1:8" hidden="1" outlineLevel="1" x14ac:dyDescent="0.25">
      <c r="A6526" s="734">
        <v>3.3333000000000002E-2</v>
      </c>
      <c r="B6526" s="735" t="s">
        <v>280</v>
      </c>
      <c r="C6526" s="992">
        <v>49.024999999999999</v>
      </c>
      <c r="D6526" s="737">
        <v>43.302</v>
      </c>
      <c r="E6526" s="973">
        <v>-0.11673635900050994</v>
      </c>
      <c r="F6526" s="1830">
        <v>-0.11673635900050994</v>
      </c>
      <c r="G6526" s="78"/>
      <c r="H6526" t="s">
        <v>1469</v>
      </c>
    </row>
    <row r="6527" spans="1:8" hidden="1" outlineLevel="1" x14ac:dyDescent="0.25">
      <c r="A6527" s="849">
        <v>3.3333000000000002E-2</v>
      </c>
      <c r="B6527" s="740" t="s">
        <v>2704</v>
      </c>
      <c r="C6527" s="993">
        <v>96.858900000000006</v>
      </c>
      <c r="D6527" s="737">
        <v>168.15</v>
      </c>
      <c r="E6527" s="857">
        <v>0.73603045254488753</v>
      </c>
      <c r="F6527" s="1666">
        <v>0.4</v>
      </c>
      <c r="G6527" s="78"/>
      <c r="H6527" t="s">
        <v>167</v>
      </c>
    </row>
    <row r="6528" spans="1:8" hidden="1" outlineLevel="1" x14ac:dyDescent="0.25">
      <c r="A6528" s="849">
        <v>3.3333000000000002E-2</v>
      </c>
      <c r="B6528" s="740" t="s">
        <v>2984</v>
      </c>
      <c r="C6528" s="993">
        <v>12.821099999999999</v>
      </c>
      <c r="D6528" s="737">
        <v>6.5224000000000002</v>
      </c>
      <c r="E6528" s="857">
        <v>-0.49127609955464036</v>
      </c>
      <c r="F6528" s="1666">
        <v>-0.49127609955464036</v>
      </c>
      <c r="G6528" s="78"/>
      <c r="H6528" t="s">
        <v>2326</v>
      </c>
    </row>
    <row r="6529" spans="1:15" hidden="1" outlineLevel="1" x14ac:dyDescent="0.25">
      <c r="A6529" s="849">
        <v>3.3333000000000002E-2</v>
      </c>
      <c r="B6529" s="740" t="s">
        <v>157</v>
      </c>
      <c r="C6529" s="994">
        <v>11.463100000000001</v>
      </c>
      <c r="D6529" s="737">
        <v>6.1523000000000003</v>
      </c>
      <c r="E6529" s="857">
        <v>-0.4632952691680261</v>
      </c>
      <c r="F6529" s="1666">
        <v>-0.4632952691680261</v>
      </c>
      <c r="G6529" s="78"/>
      <c r="H6529" t="s">
        <v>730</v>
      </c>
    </row>
    <row r="6530" spans="1:15" hidden="1" outlineLevel="1" x14ac:dyDescent="0.25">
      <c r="A6530" s="849">
        <v>3.3333000000000002E-2</v>
      </c>
      <c r="B6530" s="740" t="s">
        <v>3019</v>
      </c>
      <c r="C6530" s="993">
        <v>59.424900000000001</v>
      </c>
      <c r="D6530" s="737">
        <v>36.975000000000001</v>
      </c>
      <c r="E6530" s="857">
        <v>-0.37778607957270438</v>
      </c>
      <c r="F6530" s="1666">
        <v>-0.37778607957270438</v>
      </c>
      <c r="G6530" s="78"/>
      <c r="H6530" t="s">
        <v>2745</v>
      </c>
    </row>
    <row r="6531" spans="1:15" hidden="1" outlineLevel="1" x14ac:dyDescent="0.25">
      <c r="A6531" s="849">
        <v>3.3333000000000002E-2</v>
      </c>
      <c r="B6531" s="740" t="s">
        <v>901</v>
      </c>
      <c r="C6531" s="993">
        <v>18.486000000000001</v>
      </c>
      <c r="D6531" s="737">
        <v>32.023499999999999</v>
      </c>
      <c r="E6531" s="857">
        <v>0.73231093800714042</v>
      </c>
      <c r="F6531" s="1666">
        <v>0.4</v>
      </c>
      <c r="G6531" s="78"/>
      <c r="H6531" t="s">
        <v>531</v>
      </c>
    </row>
    <row r="6532" spans="1:15" hidden="1" outlineLevel="1" x14ac:dyDescent="0.25">
      <c r="A6532" s="849">
        <v>3.3333000000000002E-2</v>
      </c>
      <c r="B6532" s="740" t="s">
        <v>3405</v>
      </c>
      <c r="C6532" s="993">
        <v>38.301499999999997</v>
      </c>
      <c r="D6532" s="737">
        <v>18.472000000000001</v>
      </c>
      <c r="E6532" s="857">
        <v>-0.51772123807161585</v>
      </c>
      <c r="F6532" s="1666">
        <v>-0.51772123807161585</v>
      </c>
      <c r="G6532" s="78"/>
      <c r="H6532" t="s">
        <v>2747</v>
      </c>
    </row>
    <row r="6533" spans="1:15" hidden="1" outlineLevel="1" x14ac:dyDescent="0.25">
      <c r="A6533" s="849">
        <v>3.3333000000000002E-2</v>
      </c>
      <c r="B6533" s="740" t="s">
        <v>335</v>
      </c>
      <c r="C6533" s="993">
        <v>37.146599999999999</v>
      </c>
      <c r="D6533" s="737">
        <v>56.59</v>
      </c>
      <c r="E6533" s="857">
        <v>0.52342340887187544</v>
      </c>
      <c r="F6533" s="1666">
        <v>0.4</v>
      </c>
      <c r="G6533" s="78"/>
      <c r="H6533" t="s">
        <v>336</v>
      </c>
    </row>
    <row r="6534" spans="1:15" hidden="1" outlineLevel="1" x14ac:dyDescent="0.25">
      <c r="A6534" s="849">
        <v>3.3333000000000002E-2</v>
      </c>
      <c r="B6534" s="740" t="s">
        <v>1847</v>
      </c>
      <c r="C6534" s="993">
        <v>201.36</v>
      </c>
      <c r="D6534" s="737">
        <v>34.140999999999998</v>
      </c>
      <c r="E6534" s="857">
        <v>-0.83044795391338899</v>
      </c>
      <c r="F6534" s="1666">
        <v>-0.83044795391338899</v>
      </c>
      <c r="G6534" s="78"/>
      <c r="H6534" t="s">
        <v>2749</v>
      </c>
    </row>
    <row r="6535" spans="1:15" hidden="1" outlineLevel="1" x14ac:dyDescent="0.25">
      <c r="A6535" s="849">
        <v>3.3333000000000002E-2</v>
      </c>
      <c r="B6535" s="981" t="s">
        <v>1212</v>
      </c>
      <c r="C6535" s="993">
        <v>49.61</v>
      </c>
      <c r="D6535" s="737">
        <v>24.533000000000001</v>
      </c>
      <c r="E6535" s="857">
        <v>-0.50548276557145733</v>
      </c>
      <c r="F6535" s="1666">
        <v>-0.50548276557145733</v>
      </c>
      <c r="G6535" s="78"/>
      <c r="H6535" t="s">
        <v>4229</v>
      </c>
    </row>
    <row r="6536" spans="1:15" hidden="1" outlineLevel="1" x14ac:dyDescent="0.25">
      <c r="A6536" s="849">
        <v>3.3333000000000002E-2</v>
      </c>
      <c r="B6536" s="740" t="s">
        <v>1176</v>
      </c>
      <c r="C6536" s="993">
        <v>13.757</v>
      </c>
      <c r="D6536" s="737">
        <v>1.6282000000000001</v>
      </c>
      <c r="E6536" s="857">
        <v>-0.88164570763974703</v>
      </c>
      <c r="F6536" s="1666">
        <v>-0.88164570763974703</v>
      </c>
      <c r="G6536" s="78"/>
      <c r="H6536" t="s">
        <v>3090</v>
      </c>
    </row>
    <row r="6537" spans="1:15" hidden="1" outlineLevel="1" x14ac:dyDescent="0.25">
      <c r="A6537" s="849">
        <v>3.3333000000000002E-2</v>
      </c>
      <c r="B6537" s="853" t="s">
        <v>1771</v>
      </c>
      <c r="C6537" s="993">
        <v>7.1833</v>
      </c>
      <c r="D6537" s="737">
        <v>5.6113999999999997</v>
      </c>
      <c r="E6537" s="857">
        <v>-0.21882700151740853</v>
      </c>
      <c r="F6537" s="1666">
        <v>-0.21882700151740853</v>
      </c>
      <c r="G6537" s="78"/>
      <c r="H6537" t="s">
        <v>4329</v>
      </c>
    </row>
    <row r="6538" spans="1:15" hidden="1" outlineLevel="1" x14ac:dyDescent="0.25">
      <c r="A6538" s="849">
        <v>3.3333000000000002E-2</v>
      </c>
      <c r="B6538" s="740" t="s">
        <v>1031</v>
      </c>
      <c r="C6538" s="993">
        <v>8.8770000000000007</v>
      </c>
      <c r="D6538" s="737">
        <v>4.3994</v>
      </c>
      <c r="E6538" s="857">
        <v>-0.5044046412076153</v>
      </c>
      <c r="F6538" s="1666">
        <v>-0.5044046412076153</v>
      </c>
      <c r="G6538" s="78"/>
      <c r="H6538" t="s">
        <v>4158</v>
      </c>
      <c r="O6538" s="257">
        <v>40940</v>
      </c>
    </row>
    <row r="6539" spans="1:15" hidden="1" outlineLevel="1" x14ac:dyDescent="0.25">
      <c r="A6539" s="849">
        <v>3.3333000000000002E-2</v>
      </c>
      <c r="B6539" s="740" t="s">
        <v>4439</v>
      </c>
      <c r="C6539" s="993">
        <v>30.3507</v>
      </c>
      <c r="D6539" s="737">
        <v>68.281000000000006</v>
      </c>
      <c r="E6539" s="857">
        <v>1.2497339435334278</v>
      </c>
      <c r="F6539" s="1666">
        <v>0.4</v>
      </c>
      <c r="G6539" s="78"/>
      <c r="H6539" t="s">
        <v>3827</v>
      </c>
      <c r="O6539" s="39"/>
    </row>
    <row r="6540" spans="1:15" hidden="1" outlineLevel="1" x14ac:dyDescent="0.25">
      <c r="A6540" s="849">
        <v>3.3333000000000002E-2</v>
      </c>
      <c r="B6540" s="740" t="s">
        <v>2588</v>
      </c>
      <c r="C6540" s="993">
        <v>17.402799999999999</v>
      </c>
      <c r="D6540" s="737">
        <v>6.7759</v>
      </c>
      <c r="E6540" s="857">
        <v>-0.61064311490105039</v>
      </c>
      <c r="F6540" s="1666">
        <v>-0.61064311490105039</v>
      </c>
      <c r="G6540" s="78"/>
      <c r="H6540" t="s">
        <v>4132</v>
      </c>
      <c r="O6540" s="171">
        <v>-1.0732999999999993E-2</v>
      </c>
    </row>
    <row r="6541" spans="1:15" hidden="1" outlineLevel="1" x14ac:dyDescent="0.25">
      <c r="A6541" s="849">
        <v>3.3333000000000002E-2</v>
      </c>
      <c r="B6541" s="740" t="s">
        <v>44</v>
      </c>
      <c r="C6541" s="993">
        <v>3.5743</v>
      </c>
      <c r="D6541" s="737">
        <v>1.4812000000000001</v>
      </c>
      <c r="E6541" s="857">
        <v>-0.58559717986738669</v>
      </c>
      <c r="F6541" s="1666">
        <v>-0.58559717986738669</v>
      </c>
      <c r="G6541" s="78"/>
      <c r="H6541" t="s">
        <v>204</v>
      </c>
    </row>
    <row r="6542" spans="1:15" hidden="1" outlineLevel="1" x14ac:dyDescent="0.25">
      <c r="A6542" s="849">
        <v>3.3333000000000002E-2</v>
      </c>
      <c r="B6542" s="740" t="s">
        <v>4376</v>
      </c>
      <c r="C6542" s="993">
        <v>38.698</v>
      </c>
      <c r="D6542" s="737">
        <v>40.965000000000003</v>
      </c>
      <c r="E6542" s="857">
        <v>5.8581838854721235E-2</v>
      </c>
      <c r="F6542" s="1666">
        <v>0.4</v>
      </c>
      <c r="G6542" s="78"/>
      <c r="H6542" t="s">
        <v>4326</v>
      </c>
    </row>
    <row r="6543" spans="1:15" hidden="1" outlineLevel="1" x14ac:dyDescent="0.25">
      <c r="A6543" s="849">
        <v>3.3333000000000002E-2</v>
      </c>
      <c r="B6543" s="740" t="s">
        <v>1526</v>
      </c>
      <c r="C6543" s="993">
        <v>76.710999999999999</v>
      </c>
      <c r="D6543" s="737">
        <v>18.096</v>
      </c>
      <c r="E6543" s="857">
        <v>-0.7641016281889168</v>
      </c>
      <c r="F6543" s="1666">
        <v>-0.7641016281889168</v>
      </c>
      <c r="G6543" s="78"/>
      <c r="H6543" t="s">
        <v>4146</v>
      </c>
    </row>
    <row r="6544" spans="1:15" hidden="1" outlineLevel="1" x14ac:dyDescent="0.25">
      <c r="A6544" s="849">
        <v>3.3333000000000002E-2</v>
      </c>
      <c r="B6544" s="740" t="s">
        <v>1905</v>
      </c>
      <c r="C6544" s="993">
        <v>35.768000000000001</v>
      </c>
      <c r="D6544" s="737">
        <v>37.851999999999997</v>
      </c>
      <c r="E6544" s="857">
        <v>5.826437038693788E-2</v>
      </c>
      <c r="F6544" s="1666">
        <v>0.4</v>
      </c>
      <c r="G6544" s="78"/>
      <c r="H6544" t="s">
        <v>504</v>
      </c>
    </row>
    <row r="6545" spans="1:33" hidden="1" outlineLevel="1" x14ac:dyDescent="0.25">
      <c r="A6545" s="849">
        <v>3.3333000000000002E-2</v>
      </c>
      <c r="B6545" s="740" t="s">
        <v>1190</v>
      </c>
      <c r="C6545" s="993">
        <v>16.614000000000001</v>
      </c>
      <c r="D6545" s="737">
        <v>3.8268</v>
      </c>
      <c r="E6545" s="857">
        <v>-0.76966413867822325</v>
      </c>
      <c r="F6545" s="1666">
        <v>-0.76966413867822325</v>
      </c>
      <c r="G6545" s="78"/>
      <c r="H6545" t="s">
        <v>7569</v>
      </c>
    </row>
    <row r="6546" spans="1:33" hidden="1" outlineLevel="1" x14ac:dyDescent="0.25">
      <c r="A6546" s="849">
        <v>3.3333000000000002E-2</v>
      </c>
      <c r="B6546" s="740" t="s">
        <v>1213</v>
      </c>
      <c r="C6546" s="993">
        <v>32.155999999999999</v>
      </c>
      <c r="D6546" s="737">
        <v>13.124000000000001</v>
      </c>
      <c r="E6546" s="857">
        <v>-0.59186465978355507</v>
      </c>
      <c r="F6546" s="1666">
        <v>-0.59186465978355507</v>
      </c>
      <c r="G6546" s="78"/>
      <c r="H6546" t="s">
        <v>4230</v>
      </c>
    </row>
    <row r="6547" spans="1:33" hidden="1" outlineLevel="1" x14ac:dyDescent="0.25">
      <c r="A6547" s="849">
        <v>3.3333000000000002E-2</v>
      </c>
      <c r="B6547" s="740" t="s">
        <v>1414</v>
      </c>
      <c r="C6547" s="993">
        <v>17.821999999999999</v>
      </c>
      <c r="D6547" s="737">
        <v>21.542000000000002</v>
      </c>
      <c r="E6547" s="857">
        <v>0.20873078217932917</v>
      </c>
      <c r="F6547" s="1666">
        <v>0.4</v>
      </c>
      <c r="G6547" s="78"/>
      <c r="H6547" t="s">
        <v>2428</v>
      </c>
    </row>
    <row r="6548" spans="1:33" hidden="1" outlineLevel="1" x14ac:dyDescent="0.25">
      <c r="A6548" s="849">
        <v>3.3333000000000002E-2</v>
      </c>
      <c r="B6548" s="740" t="s">
        <v>3801</v>
      </c>
      <c r="C6548" s="993">
        <v>80.740899999999996</v>
      </c>
      <c r="D6548" s="737">
        <v>35.033000000000001</v>
      </c>
      <c r="E6548" s="857">
        <v>-0.5661059017177168</v>
      </c>
      <c r="F6548" s="1666">
        <v>-0.5661059017177168</v>
      </c>
      <c r="G6548" s="78"/>
      <c r="H6548" t="s">
        <v>2819</v>
      </c>
    </row>
    <row r="6549" spans="1:33" hidden="1" outlineLevel="1" x14ac:dyDescent="0.25">
      <c r="A6549" s="849">
        <v>3.3333000000000002E-2</v>
      </c>
      <c r="B6549" s="740" t="s">
        <v>4338</v>
      </c>
      <c r="C6549" s="993">
        <v>41.970199999999998</v>
      </c>
      <c r="D6549" s="737">
        <v>19.676500000000001</v>
      </c>
      <c r="E6549" s="857">
        <v>-0.53117926528822834</v>
      </c>
      <c r="F6549" s="1666">
        <v>-0.53117926528822834</v>
      </c>
      <c r="G6549" s="78"/>
      <c r="H6549" t="s">
        <v>7229</v>
      </c>
    </row>
    <row r="6550" spans="1:33" hidden="1" outlineLevel="1" x14ac:dyDescent="0.25">
      <c r="A6550" s="849">
        <v>3.3333000000000002E-2</v>
      </c>
      <c r="B6550" s="740" t="s">
        <v>231</v>
      </c>
      <c r="C6550" s="993">
        <v>42.661999999999999</v>
      </c>
      <c r="D6550" s="737">
        <v>22.431000000000001</v>
      </c>
      <c r="E6550" s="857">
        <v>-0.47421592986732919</v>
      </c>
      <c r="F6550" s="1666">
        <v>-0.47421592986732919</v>
      </c>
      <c r="G6550" s="78"/>
      <c r="H6550" t="s">
        <v>640</v>
      </c>
    </row>
    <row r="6551" spans="1:33" hidden="1" outlineLevel="1" x14ac:dyDescent="0.25">
      <c r="A6551" s="849">
        <v>3.3333000000000002E-2</v>
      </c>
      <c r="B6551" s="740" t="s">
        <v>577</v>
      </c>
      <c r="C6551" s="993">
        <v>17.538</v>
      </c>
      <c r="D6551" s="737">
        <v>12.6045</v>
      </c>
      <c r="E6551" s="857">
        <v>-0.28130345535408829</v>
      </c>
      <c r="F6551" s="1666">
        <v>-0.28130345535408829</v>
      </c>
      <c r="G6551" s="78"/>
      <c r="H6551" t="s">
        <v>2804</v>
      </c>
    </row>
    <row r="6552" spans="1:33" hidden="1" outlineLevel="1" x14ac:dyDescent="0.25">
      <c r="A6552" s="849">
        <v>3.3333000000000002E-2</v>
      </c>
      <c r="B6552" s="740" t="s">
        <v>1183</v>
      </c>
      <c r="C6552" s="993">
        <v>52.923999999999999</v>
      </c>
      <c r="D6552" s="737">
        <v>42.218499999999999</v>
      </c>
      <c r="E6552" s="857">
        <v>-0.20228062882624143</v>
      </c>
      <c r="F6552" s="1666">
        <v>-0.20228062882624143</v>
      </c>
      <c r="G6552" s="78"/>
      <c r="H6552" t="s">
        <v>2805</v>
      </c>
    </row>
    <row r="6553" spans="1:33" hidden="1" outlineLevel="1" x14ac:dyDescent="0.25">
      <c r="A6553" s="849">
        <v>3.3333000000000002E-2</v>
      </c>
      <c r="B6553" s="740" t="s">
        <v>255</v>
      </c>
      <c r="C6553" s="993">
        <v>34.472000000000001</v>
      </c>
      <c r="D6553" s="737">
        <v>39.024999999999999</v>
      </c>
      <c r="E6553" s="857">
        <v>0.13207820840102102</v>
      </c>
      <c r="F6553" s="1666">
        <v>0.4</v>
      </c>
      <c r="G6553" s="78"/>
      <c r="H6553" t="s">
        <v>3351</v>
      </c>
    </row>
    <row r="6554" spans="1:33" hidden="1" outlineLevel="1" x14ac:dyDescent="0.25">
      <c r="A6554" s="849">
        <v>3.3333000000000002E-2</v>
      </c>
      <c r="B6554" s="740" t="s">
        <v>719</v>
      </c>
      <c r="C6554" s="993">
        <v>42.735999999999997</v>
      </c>
      <c r="D6554" s="737">
        <v>39.3035</v>
      </c>
      <c r="E6554" s="857">
        <v>-8.0318700861100711E-2</v>
      </c>
      <c r="F6554" s="1666">
        <v>-8.0318700861100711E-2</v>
      </c>
      <c r="G6554" s="78"/>
      <c r="H6554" t="s">
        <v>1697</v>
      </c>
    </row>
    <row r="6555" spans="1:33" hidden="1" outlineLevel="1" x14ac:dyDescent="0.25">
      <c r="A6555" s="849">
        <v>3.3333000000000002E-2</v>
      </c>
      <c r="B6555" s="997" t="s">
        <v>3169</v>
      </c>
      <c r="C6555" s="993">
        <v>25.803000000000001</v>
      </c>
      <c r="D6555" s="737">
        <v>14.106</v>
      </c>
      <c r="E6555" s="975">
        <v>-0.45331938146727124</v>
      </c>
      <c r="F6555" s="770">
        <v>-0.45331938146727124</v>
      </c>
      <c r="G6555" s="78"/>
      <c r="H6555" t="s">
        <v>657</v>
      </c>
    </row>
    <row r="6556" spans="1:33" hidden="1" outlineLevel="1" x14ac:dyDescent="0.25">
      <c r="A6556" s="854"/>
      <c r="B6556" s="718"/>
      <c r="C6556" s="855"/>
      <c r="D6556" s="867"/>
      <c r="E6556" s="826" t="s">
        <v>1837</v>
      </c>
      <c r="F6556" s="770">
        <v>-0.25394057000060738</v>
      </c>
      <c r="G6556" s="78"/>
    </row>
    <row r="6557" spans="1:33" collapsed="1" x14ac:dyDescent="0.25">
      <c r="A6557" s="3801" t="s">
        <v>509</v>
      </c>
      <c r="B6557" s="3802"/>
      <c r="C6557" s="3802"/>
      <c r="D6557" s="3802"/>
      <c r="E6557" s="821"/>
      <c r="F6557" s="752">
        <v>0</v>
      </c>
      <c r="G6557" s="97" t="s">
        <v>781</v>
      </c>
    </row>
    <row r="6559" spans="1:33" hidden="1" outlineLevel="1" x14ac:dyDescent="0.25">
      <c r="A6559" s="495" t="s">
        <v>113</v>
      </c>
      <c r="B6559" s="689" t="s">
        <v>114</v>
      </c>
      <c r="C6559" s="689" t="s">
        <v>112</v>
      </c>
      <c r="D6559" s="689" t="s">
        <v>2328</v>
      </c>
      <c r="E6559" s="495" t="s">
        <v>117</v>
      </c>
      <c r="F6559" s="1021" t="s">
        <v>121</v>
      </c>
    </row>
    <row r="6560" spans="1:33" hidden="1" outlineLevel="1" x14ac:dyDescent="0.25">
      <c r="A6560" s="1127">
        <v>0.3</v>
      </c>
      <c r="B6560" s="695" t="s">
        <v>2019</v>
      </c>
      <c r="C6560" s="800">
        <v>371.91</v>
      </c>
      <c r="D6560" s="800">
        <v>344.93</v>
      </c>
      <c r="E6560" s="3813">
        <v>-1.1261705818182977E-2</v>
      </c>
      <c r="F6560" s="3816">
        <v>-9.0093646545463812E-3</v>
      </c>
      <c r="H6560" s="173"/>
      <c r="I6560" s="173" t="s">
        <v>631</v>
      </c>
      <c r="J6560" s="257">
        <v>40787</v>
      </c>
      <c r="K6560" s="257">
        <v>40817</v>
      </c>
      <c r="L6560" s="257">
        <v>40848</v>
      </c>
      <c r="M6560" s="257">
        <v>40878</v>
      </c>
      <c r="N6560" s="257">
        <v>40909</v>
      </c>
      <c r="O6560" s="257">
        <v>40940</v>
      </c>
      <c r="P6560" s="257">
        <v>40969</v>
      </c>
      <c r="Q6560" s="257">
        <v>41000</v>
      </c>
      <c r="R6560" s="257">
        <v>41030</v>
      </c>
      <c r="S6560" s="257">
        <v>41061</v>
      </c>
      <c r="T6560" s="257">
        <v>41091</v>
      </c>
      <c r="U6560" s="257">
        <v>41122</v>
      </c>
      <c r="V6560" s="257">
        <v>41153</v>
      </c>
      <c r="W6560" s="257">
        <v>41183</v>
      </c>
      <c r="X6560" s="257">
        <v>41214</v>
      </c>
      <c r="Y6560" s="257">
        <v>41244</v>
      </c>
      <c r="Z6560" s="257">
        <v>41275</v>
      </c>
      <c r="AA6560" s="257">
        <v>41306</v>
      </c>
      <c r="AB6560" s="257">
        <v>41334</v>
      </c>
      <c r="AC6560" s="257">
        <v>41365</v>
      </c>
      <c r="AD6560" s="257">
        <v>41395</v>
      </c>
      <c r="AE6560" s="257">
        <v>41426</v>
      </c>
      <c r="AF6560" s="257">
        <v>41456</v>
      </c>
      <c r="AG6560" s="257">
        <v>41487</v>
      </c>
    </row>
    <row r="6561" spans="1:33" hidden="1" outlineLevel="1" x14ac:dyDescent="0.25">
      <c r="A6561" s="849">
        <v>0.3</v>
      </c>
      <c r="B6561" s="695" t="s">
        <v>1916</v>
      </c>
      <c r="C6561" s="802">
        <v>224.70599999999999</v>
      </c>
      <c r="D6561" s="1028">
        <v>251.74</v>
      </c>
      <c r="E6561" s="3814"/>
      <c r="F6561" s="3817"/>
      <c r="H6561" s="44"/>
      <c r="I6561" s="44"/>
      <c r="J6561" s="39">
        <v>86.609399999999994</v>
      </c>
      <c r="K6561" s="39">
        <v>95.360500000000002</v>
      </c>
      <c r="L6561" s="39">
        <v>90.858647204379992</v>
      </c>
      <c r="M6561" s="39">
        <v>90.04</v>
      </c>
      <c r="N6561" s="39">
        <v>98.926699999999997</v>
      </c>
      <c r="O6561">
        <v>102.65560000000001</v>
      </c>
      <c r="P6561" s="39">
        <v>99.917000000000002</v>
      </c>
      <c r="Q6561" s="39">
        <v>99.950999999999993</v>
      </c>
      <c r="R6561" s="39">
        <v>91.741500000000002</v>
      </c>
      <c r="S6561" s="39">
        <v>93.021900000000002</v>
      </c>
      <c r="T6561" s="39">
        <v>95.843999999999994</v>
      </c>
      <c r="U6561" s="39">
        <v>95.442899999999995</v>
      </c>
      <c r="V6561" s="39">
        <v>98.562299999999993</v>
      </c>
      <c r="W6561" s="39">
        <v>98.145799999999994</v>
      </c>
      <c r="X6561" s="39">
        <v>99.556200000000004</v>
      </c>
      <c r="Y6561" s="39">
        <v>103.68689999999999</v>
      </c>
      <c r="Z6561" s="39">
        <v>105.4897</v>
      </c>
      <c r="AA6561" s="39">
        <v>105.16970000000001</v>
      </c>
      <c r="AB6561">
        <v>104.0502</v>
      </c>
      <c r="AC6561">
        <v>103.05240000000001</v>
      </c>
      <c r="AD6561">
        <v>103.8099</v>
      </c>
      <c r="AE6561">
        <v>96.141900000000007</v>
      </c>
      <c r="AF6561">
        <v>99.453299999999999</v>
      </c>
      <c r="AG6561">
        <v>98.873800000000003</v>
      </c>
    </row>
    <row r="6562" spans="1:33" hidden="1" outlineLevel="1" x14ac:dyDescent="0.25">
      <c r="A6562" s="849">
        <v>0.2</v>
      </c>
      <c r="B6562" s="695" t="s">
        <v>3563</v>
      </c>
      <c r="C6562" s="802">
        <v>12647.281999999999</v>
      </c>
      <c r="D6562" s="1028">
        <v>9825.2099999999991</v>
      </c>
      <c r="E6562" s="3814"/>
      <c r="F6562" s="3817"/>
      <c r="H6562" s="44"/>
      <c r="I6562" s="209">
        <v>-1.8182813664841674E-2</v>
      </c>
      <c r="J6562" s="171">
        <v>-0.13390600000000008</v>
      </c>
      <c r="K6562" s="171">
        <v>-4.6394999999999964E-2</v>
      </c>
      <c r="L6562" s="171">
        <v>-9.1413527956200058E-2</v>
      </c>
      <c r="M6562" s="171">
        <v>-9.9599999999999911E-2</v>
      </c>
      <c r="N6562" s="171">
        <v>-1.0732999999999993E-2</v>
      </c>
      <c r="O6562" s="171">
        <v>2.6556000000000024E-2</v>
      </c>
      <c r="P6562" s="171">
        <v>-8.2999999999999741E-4</v>
      </c>
      <c r="Q6562" s="171">
        <v>-4.9000000000010147E-4</v>
      </c>
      <c r="R6562" s="171">
        <v>-8.258500000000002E-2</v>
      </c>
      <c r="S6562" s="171">
        <v>-6.9780999999999982E-2</v>
      </c>
      <c r="T6562" s="171">
        <v>-4.1560000000000041E-2</v>
      </c>
      <c r="U6562" s="171">
        <v>-4.5571000000000028E-2</v>
      </c>
      <c r="V6562" s="171">
        <v>-1.4377000000000084E-2</v>
      </c>
      <c r="W6562" s="171">
        <v>-1.8542000000000058E-2</v>
      </c>
      <c r="X6562" s="171">
        <v>-4.437999999999942E-3</v>
      </c>
      <c r="Y6562" s="171">
        <v>3.6869000000000041E-2</v>
      </c>
      <c r="Z6562" s="171">
        <v>5.4896999999999974E-2</v>
      </c>
      <c r="AA6562" s="171">
        <v>5.1697000000000104E-2</v>
      </c>
      <c r="AB6562" s="171">
        <v>4.0502000000000038E-2</v>
      </c>
      <c r="AC6562" s="171">
        <v>3.0523999999999996E-2</v>
      </c>
      <c r="AD6562" s="171">
        <v>3.8098999999999883E-2</v>
      </c>
      <c r="AE6562" s="171">
        <v>-3.8580999999999976E-2</v>
      </c>
      <c r="AF6562" s="171">
        <v>-5.4669999999999996E-3</v>
      </c>
      <c r="AG6562" s="171">
        <v>-1.1261999999999994E-2</v>
      </c>
    </row>
    <row r="6563" spans="1:33" hidden="1" outlineLevel="1" x14ac:dyDescent="0.25">
      <c r="A6563" s="849">
        <v>0.15</v>
      </c>
      <c r="B6563" s="695" t="s">
        <v>2020</v>
      </c>
      <c r="C6563" s="741">
        <v>29316.083999999999</v>
      </c>
      <c r="D6563" s="1028">
        <v>37863.93</v>
      </c>
      <c r="E6563" s="3814"/>
      <c r="F6563" s="3817"/>
    </row>
    <row r="6564" spans="1:33" hidden="1" outlineLevel="1" x14ac:dyDescent="0.25">
      <c r="A6564" s="990">
        <v>0.05</v>
      </c>
      <c r="B6564" s="695" t="s">
        <v>2021</v>
      </c>
      <c r="C6564" s="741">
        <v>41667.084000000003</v>
      </c>
      <c r="D6564" s="1028">
        <v>21083.68</v>
      </c>
      <c r="E6564" s="3822"/>
      <c r="F6564" s="3817"/>
    </row>
    <row r="6565" spans="1:33" collapsed="1" x14ac:dyDescent="0.25">
      <c r="A6565" s="3801" t="s">
        <v>510</v>
      </c>
      <c r="B6565" s="3802"/>
      <c r="C6565" s="3802"/>
      <c r="D6565" s="3802"/>
      <c r="E6565" s="729"/>
      <c r="F6565" s="934">
        <v>-0.05</v>
      </c>
      <c r="G6565" s="97" t="s">
        <v>781</v>
      </c>
    </row>
    <row r="6567" spans="1:33" hidden="1" outlineLevel="1" x14ac:dyDescent="0.25">
      <c r="A6567" s="689" t="s">
        <v>113</v>
      </c>
      <c r="B6567" s="689" t="s">
        <v>114</v>
      </c>
      <c r="C6567" s="689" t="s">
        <v>112</v>
      </c>
      <c r="D6567" s="689" t="s">
        <v>116</v>
      </c>
      <c r="E6567" s="689" t="s">
        <v>117</v>
      </c>
      <c r="F6567" s="1188" t="s">
        <v>121</v>
      </c>
      <c r="G6567" s="78"/>
    </row>
    <row r="6568" spans="1:33" hidden="1" outlineLevel="1" x14ac:dyDescent="0.25">
      <c r="A6568" s="690">
        <v>16</v>
      </c>
      <c r="B6568" s="691" t="s">
        <v>252</v>
      </c>
      <c r="C6568" s="692">
        <v>100</v>
      </c>
      <c r="D6568" s="692"/>
      <c r="E6568" s="693"/>
      <c r="F6568" s="694"/>
      <c r="G6568" s="78"/>
    </row>
    <row r="6569" spans="1:33" hidden="1" outlineLevel="1" x14ac:dyDescent="0.25">
      <c r="A6569" s="695"/>
      <c r="B6569" s="695"/>
      <c r="C6569" s="696"/>
      <c r="D6569" s="697" t="s">
        <v>3702</v>
      </c>
      <c r="E6569" s="698">
        <v>41089</v>
      </c>
      <c r="F6569" s="699"/>
      <c r="G6569" s="78"/>
    </row>
    <row r="6570" spans="1:33" hidden="1" outlineLevel="1" x14ac:dyDescent="0.25">
      <c r="A6570" s="689" t="s">
        <v>4156</v>
      </c>
      <c r="B6570" s="689" t="s">
        <v>4153</v>
      </c>
      <c r="C6570" s="497" t="s">
        <v>112</v>
      </c>
      <c r="D6570" s="495" t="s">
        <v>4155</v>
      </c>
      <c r="E6570" s="689" t="s">
        <v>4154</v>
      </c>
      <c r="F6570" s="1021" t="s">
        <v>2519</v>
      </c>
      <c r="G6570" s="78"/>
    </row>
    <row r="6571" spans="1:33" hidden="1" outlineLevel="1" x14ac:dyDescent="0.25">
      <c r="A6571" s="999">
        <v>0.04</v>
      </c>
      <c r="B6571" s="1000" t="s">
        <v>359</v>
      </c>
      <c r="C6571" s="1001">
        <v>108.416</v>
      </c>
      <c r="D6571" s="803">
        <v>79.11</v>
      </c>
      <c r="E6571" s="705">
        <v>-0.27031065525383702</v>
      </c>
      <c r="F6571" s="1021">
        <v>-1.0812426210153481E-2</v>
      </c>
      <c r="G6571" s="78"/>
      <c r="H6571" t="s">
        <v>360</v>
      </c>
    </row>
    <row r="6572" spans="1:33" hidden="1" outlineLevel="1" x14ac:dyDescent="0.25">
      <c r="A6572" s="1002">
        <v>0.04</v>
      </c>
      <c r="B6572" s="987" t="s">
        <v>1993</v>
      </c>
      <c r="C6572" s="1003">
        <v>20.861999999999998</v>
      </c>
      <c r="D6572" s="908">
        <v>34.549999999999997</v>
      </c>
      <c r="E6572" s="709">
        <v>0.65612117726009012</v>
      </c>
      <c r="F6572" s="946">
        <v>2.6244847090403606E-2</v>
      </c>
      <c r="G6572" s="78"/>
      <c r="H6572" t="s">
        <v>2812</v>
      </c>
    </row>
    <row r="6573" spans="1:33" hidden="1" outlineLevel="1" x14ac:dyDescent="0.25">
      <c r="A6573" s="1002">
        <v>0.02</v>
      </c>
      <c r="B6573" s="996" t="s">
        <v>2697</v>
      </c>
      <c r="C6573" s="1003">
        <v>23.073</v>
      </c>
      <c r="D6573" s="908">
        <v>10.66</v>
      </c>
      <c r="E6573" s="709">
        <v>-0.53798812464785684</v>
      </c>
      <c r="F6573" s="946">
        <v>-1.0759762492957138E-2</v>
      </c>
      <c r="G6573" s="78"/>
      <c r="H6573" t="s">
        <v>329</v>
      </c>
    </row>
    <row r="6574" spans="1:33" hidden="1" outlineLevel="1" x14ac:dyDescent="0.25">
      <c r="A6574" s="1002">
        <v>0.04</v>
      </c>
      <c r="B6574" s="996" t="s">
        <v>2984</v>
      </c>
      <c r="C6574" s="1003">
        <v>11.654999999999999</v>
      </c>
      <c r="D6574" s="908">
        <v>5.6289999999999996</v>
      </c>
      <c r="E6574" s="709">
        <v>-0.51703131703131699</v>
      </c>
      <c r="F6574" s="946">
        <v>-2.068125268125268E-2</v>
      </c>
      <c r="G6574" s="78"/>
      <c r="H6574" t="s">
        <v>2326</v>
      </c>
    </row>
    <row r="6575" spans="1:33" hidden="1" outlineLevel="1" x14ac:dyDescent="0.25">
      <c r="A6575" s="1002">
        <v>0.03</v>
      </c>
      <c r="B6575" s="996" t="s">
        <v>157</v>
      </c>
      <c r="C6575" s="1003">
        <v>11.358000000000001</v>
      </c>
      <c r="D6575" s="908">
        <v>5.2210000000000001</v>
      </c>
      <c r="E6575" s="709">
        <v>-0.54032400070434938</v>
      </c>
      <c r="F6575" s="946">
        <v>-1.620972002113048E-2</v>
      </c>
      <c r="G6575" s="78"/>
      <c r="H6575" t="s">
        <v>730</v>
      </c>
    </row>
    <row r="6576" spans="1:33" hidden="1" outlineLevel="1" x14ac:dyDescent="0.25">
      <c r="A6576" s="1002">
        <v>0.03</v>
      </c>
      <c r="B6576" s="996" t="s">
        <v>901</v>
      </c>
      <c r="C6576" s="1003">
        <v>1744.3</v>
      </c>
      <c r="D6576" s="908">
        <v>3241.5</v>
      </c>
      <c r="E6576" s="709">
        <v>0.85833858854554834</v>
      </c>
      <c r="F6576" s="946">
        <v>2.575015765636645E-2</v>
      </c>
      <c r="G6576" s="78"/>
      <c r="H6576" t="s">
        <v>531</v>
      </c>
    </row>
    <row r="6577" spans="1:8" hidden="1" outlineLevel="1" x14ac:dyDescent="0.25">
      <c r="A6577" s="1002">
        <v>0.03</v>
      </c>
      <c r="B6577" s="996" t="s">
        <v>1847</v>
      </c>
      <c r="C6577" s="1003">
        <v>166.23999999999998</v>
      </c>
      <c r="D6577" s="908">
        <v>27.41</v>
      </c>
      <c r="E6577" s="709">
        <v>-0.8351179018286814</v>
      </c>
      <c r="F6577" s="946">
        <v>-2.505353705486044E-2</v>
      </c>
      <c r="G6577" s="78"/>
      <c r="H6577" t="s">
        <v>2749</v>
      </c>
    </row>
    <row r="6578" spans="1:8" hidden="1" outlineLevel="1" x14ac:dyDescent="0.25">
      <c r="A6578" s="1002">
        <v>0.02</v>
      </c>
      <c r="B6578" s="743" t="s">
        <v>1212</v>
      </c>
      <c r="C6578" s="1003">
        <v>42.497999999999998</v>
      </c>
      <c r="D6578" s="908">
        <v>17.260000000000002</v>
      </c>
      <c r="E6578" s="709">
        <v>-0.59386324062308815</v>
      </c>
      <c r="F6578" s="946">
        <v>-1.1877264812461763E-2</v>
      </c>
      <c r="G6578" s="78"/>
      <c r="H6578" t="s">
        <v>4229</v>
      </c>
    </row>
    <row r="6579" spans="1:8" hidden="1" outlineLevel="1" x14ac:dyDescent="0.25">
      <c r="A6579" s="1002">
        <v>0.04</v>
      </c>
      <c r="B6579" s="939" t="s">
        <v>2699</v>
      </c>
      <c r="C6579" s="1003">
        <v>15.586</v>
      </c>
      <c r="D6579" s="908">
        <v>13.94</v>
      </c>
      <c r="E6579" s="709">
        <v>-0.10560759656101637</v>
      </c>
      <c r="F6579" s="946">
        <v>-4.2243038624406549E-3</v>
      </c>
      <c r="G6579" s="78"/>
      <c r="H6579" t="s">
        <v>505</v>
      </c>
    </row>
    <row r="6580" spans="1:8" hidden="1" outlineLevel="1" x14ac:dyDescent="0.25">
      <c r="A6580" s="1002">
        <v>0.02</v>
      </c>
      <c r="B6580" s="996" t="s">
        <v>3406</v>
      </c>
      <c r="C6580" s="1003">
        <v>887.7</v>
      </c>
      <c r="D6580" s="908">
        <v>1642</v>
      </c>
      <c r="E6580" s="709">
        <v>0.84972400585783481</v>
      </c>
      <c r="F6580" s="946">
        <v>1.6994480117156697E-2</v>
      </c>
      <c r="G6580" s="78"/>
      <c r="H6580" t="s">
        <v>2105</v>
      </c>
    </row>
    <row r="6581" spans="1:8" hidden="1" outlineLevel="1" x14ac:dyDescent="0.25">
      <c r="A6581" s="1002">
        <v>0.06</v>
      </c>
      <c r="B6581" s="996" t="s">
        <v>3021</v>
      </c>
      <c r="C6581" s="1003">
        <v>22.399000000000001</v>
      </c>
      <c r="D6581" s="908">
        <v>16.78</v>
      </c>
      <c r="E6581" s="709">
        <v>-0.25085941336666817</v>
      </c>
      <c r="F6581" s="946">
        <v>-1.505156480200009E-2</v>
      </c>
      <c r="G6581" s="78"/>
      <c r="H6581" t="s">
        <v>4124</v>
      </c>
    </row>
    <row r="6582" spans="1:8" hidden="1" outlineLevel="1" x14ac:dyDescent="0.25">
      <c r="A6582" s="1002">
        <v>0.03</v>
      </c>
      <c r="B6582" s="996" t="s">
        <v>4268</v>
      </c>
      <c r="C6582" s="1003">
        <v>29.021999999999998</v>
      </c>
      <c r="D6582" s="908">
        <v>14.97</v>
      </c>
      <c r="E6582" s="709">
        <v>-0.48418441182551164</v>
      </c>
      <c r="F6582" s="946">
        <v>-1.4525532354765348E-2</v>
      </c>
      <c r="G6582" s="78"/>
      <c r="H6582" t="s">
        <v>1801</v>
      </c>
    </row>
    <row r="6583" spans="1:8" hidden="1" outlineLevel="1" x14ac:dyDescent="0.25">
      <c r="A6583" s="1002">
        <v>0.04</v>
      </c>
      <c r="B6583" s="996" t="s">
        <v>1771</v>
      </c>
      <c r="C6583" s="1003">
        <v>753.43</v>
      </c>
      <c r="D6583" s="908">
        <v>561.1</v>
      </c>
      <c r="E6583" s="709">
        <v>-0.25527255352189315</v>
      </c>
      <c r="F6583" s="946">
        <v>-1.0210902140875727E-2</v>
      </c>
      <c r="G6583" s="78"/>
      <c r="H6583" t="s">
        <v>4329</v>
      </c>
    </row>
    <row r="6584" spans="1:8" hidden="1" outlineLevel="1" x14ac:dyDescent="0.25">
      <c r="A6584" s="1002">
        <v>0.06</v>
      </c>
      <c r="B6584" s="743" t="s">
        <v>2588</v>
      </c>
      <c r="C6584" s="1003">
        <v>19.699000000000002</v>
      </c>
      <c r="D6584" s="908">
        <v>5.266</v>
      </c>
      <c r="E6584" s="709">
        <v>-0.73267678562363581</v>
      </c>
      <c r="F6584" s="946">
        <v>-4.3960607137418145E-2</v>
      </c>
      <c r="G6584" s="78"/>
      <c r="H6584" t="s">
        <v>4132</v>
      </c>
    </row>
    <row r="6585" spans="1:8" hidden="1" outlineLevel="1" x14ac:dyDescent="0.25">
      <c r="A6585" s="1002">
        <v>0.04</v>
      </c>
      <c r="B6585" s="996" t="s">
        <v>44</v>
      </c>
      <c r="C6585" s="1003">
        <v>3.5398999999999998</v>
      </c>
      <c r="D6585" s="908">
        <v>1.1179999999999999</v>
      </c>
      <c r="E6585" s="709">
        <v>-0.68417186926184359</v>
      </c>
      <c r="F6585" s="946">
        <v>-2.7366874770473743E-2</v>
      </c>
      <c r="G6585" s="78"/>
      <c r="H6585" t="s">
        <v>204</v>
      </c>
    </row>
    <row r="6586" spans="1:8" hidden="1" outlineLevel="1" x14ac:dyDescent="0.25">
      <c r="A6586" s="1002">
        <v>0.02</v>
      </c>
      <c r="B6586" s="743" t="s">
        <v>4376</v>
      </c>
      <c r="C6586" s="1003">
        <v>35.122999999999998</v>
      </c>
      <c r="D6586" s="908">
        <v>35.729999999999997</v>
      </c>
      <c r="E6586" s="709">
        <v>1.7282122825498902E-2</v>
      </c>
      <c r="F6586" s="946">
        <v>3.4564245650997805E-4</v>
      </c>
      <c r="G6586" s="78"/>
      <c r="H6586" t="s">
        <v>4326</v>
      </c>
    </row>
    <row r="6587" spans="1:8" hidden="1" outlineLevel="1" x14ac:dyDescent="0.25">
      <c r="A6587" s="1002">
        <v>0.03</v>
      </c>
      <c r="B6587" s="996" t="s">
        <v>1526</v>
      </c>
      <c r="C6587" s="1003">
        <v>65.412000000000006</v>
      </c>
      <c r="D6587" s="908">
        <v>16.664999999999999</v>
      </c>
      <c r="E6587" s="709">
        <v>-0.74523023298477353</v>
      </c>
      <c r="F6587" s="946">
        <v>-2.2356906989543204E-2</v>
      </c>
      <c r="G6587" s="78"/>
      <c r="H6587" t="s">
        <v>4146</v>
      </c>
    </row>
    <row r="6588" spans="1:8" hidden="1" outlineLevel="1" x14ac:dyDescent="0.25">
      <c r="A6588" s="1002">
        <v>0.04</v>
      </c>
      <c r="B6588" s="740" t="s">
        <v>2160</v>
      </c>
      <c r="C6588" s="1003">
        <v>29.266999999999999</v>
      </c>
      <c r="D6588" s="908">
        <v>38.61</v>
      </c>
      <c r="E6588" s="709">
        <v>0.31923326613592096</v>
      </c>
      <c r="F6588" s="946">
        <v>1.2769330645436838E-2</v>
      </c>
      <c r="G6588" s="78"/>
      <c r="H6588" t="s">
        <v>5507</v>
      </c>
    </row>
    <row r="6589" spans="1:8" hidden="1" outlineLevel="1" x14ac:dyDescent="0.25">
      <c r="A6589" s="1002">
        <v>0.03</v>
      </c>
      <c r="B6589" s="740" t="s">
        <v>1905</v>
      </c>
      <c r="C6589" s="1003">
        <v>36.909999999999997</v>
      </c>
      <c r="D6589" s="908">
        <v>41.75</v>
      </c>
      <c r="E6589" s="709">
        <v>0.13112977512869151</v>
      </c>
      <c r="F6589" s="946">
        <v>3.9338932538607449E-3</v>
      </c>
      <c r="G6589" s="78"/>
      <c r="H6589" t="s">
        <v>504</v>
      </c>
    </row>
    <row r="6590" spans="1:8" hidden="1" outlineLevel="1" x14ac:dyDescent="0.25">
      <c r="A6590" s="1002">
        <v>0.04</v>
      </c>
      <c r="B6590" s="740" t="s">
        <v>2786</v>
      </c>
      <c r="C6590" s="1003">
        <v>662.2</v>
      </c>
      <c r="D6590" s="908">
        <v>675.5</v>
      </c>
      <c r="E6590" s="709">
        <v>2.0084566596194398E-2</v>
      </c>
      <c r="F6590" s="946">
        <v>8.0338266384777596E-4</v>
      </c>
      <c r="G6590" s="78"/>
      <c r="H6590" t="s">
        <v>4195</v>
      </c>
    </row>
    <row r="6591" spans="1:8" hidden="1" outlineLevel="1" x14ac:dyDescent="0.25">
      <c r="A6591" s="1002">
        <v>0.03</v>
      </c>
      <c r="B6591" s="939" t="s">
        <v>3797</v>
      </c>
      <c r="C6591" s="1003">
        <v>44.283999999999999</v>
      </c>
      <c r="D6591" s="908">
        <v>56.55</v>
      </c>
      <c r="E6591" s="709">
        <v>0.27698491554511784</v>
      </c>
      <c r="F6591" s="946">
        <v>8.3095474663535344E-3</v>
      </c>
      <c r="G6591" s="78"/>
      <c r="H6591" t="s">
        <v>3848</v>
      </c>
    </row>
    <row r="6592" spans="1:8" hidden="1" outlineLevel="1" x14ac:dyDescent="0.25">
      <c r="A6592" s="1002">
        <v>0.03</v>
      </c>
      <c r="B6592" s="996" t="s">
        <v>1190</v>
      </c>
      <c r="C6592" s="1003">
        <v>16.16</v>
      </c>
      <c r="D6592" s="908">
        <v>1.62</v>
      </c>
      <c r="E6592" s="709">
        <v>-0.89975247524752477</v>
      </c>
      <c r="F6592" s="946">
        <v>-2.6992574257425742E-2</v>
      </c>
      <c r="G6592" s="78"/>
      <c r="H6592" t="s">
        <v>7569</v>
      </c>
    </row>
    <row r="6593" spans="1:8" hidden="1" outlineLevel="1" x14ac:dyDescent="0.25">
      <c r="A6593" s="1002">
        <v>0.05</v>
      </c>
      <c r="B6593" s="996" t="s">
        <v>1414</v>
      </c>
      <c r="C6593" s="1003">
        <v>17.965</v>
      </c>
      <c r="D6593" s="908">
        <v>23</v>
      </c>
      <c r="E6593" s="709">
        <v>0.28026718619537982</v>
      </c>
      <c r="F6593" s="946">
        <v>1.4013359309768991E-2</v>
      </c>
      <c r="G6593" s="78"/>
      <c r="H6593" t="s">
        <v>2428</v>
      </c>
    </row>
    <row r="6594" spans="1:8" hidden="1" outlineLevel="1" x14ac:dyDescent="0.25">
      <c r="A6594" s="1002">
        <v>0.03</v>
      </c>
      <c r="B6594" s="996" t="s">
        <v>3801</v>
      </c>
      <c r="C6594" s="1003">
        <v>78.378</v>
      </c>
      <c r="D6594" s="908">
        <v>32.174999999999997</v>
      </c>
      <c r="E6594" s="709">
        <v>-0.58948939753502261</v>
      </c>
      <c r="F6594" s="946">
        <v>-1.7684681926050678E-2</v>
      </c>
      <c r="G6594" s="78"/>
      <c r="H6594" t="s">
        <v>2819</v>
      </c>
    </row>
    <row r="6595" spans="1:8" hidden="1" outlineLevel="1" x14ac:dyDescent="0.25">
      <c r="A6595" s="1002">
        <v>0.02</v>
      </c>
      <c r="B6595" s="743" t="s">
        <v>1214</v>
      </c>
      <c r="C6595" s="1003">
        <v>70.528999999999996</v>
      </c>
      <c r="D6595" s="908">
        <v>66.14</v>
      </c>
      <c r="E6595" s="709">
        <v>-6.2229721107629477E-2</v>
      </c>
      <c r="F6595" s="946">
        <v>-1.2445944221525895E-3</v>
      </c>
      <c r="G6595" s="78"/>
      <c r="H6595" t="s">
        <v>3775</v>
      </c>
    </row>
    <row r="6596" spans="1:8" hidden="1" outlineLevel="1" x14ac:dyDescent="0.25">
      <c r="A6596" s="1002">
        <v>0.02</v>
      </c>
      <c r="B6596" s="743" t="s">
        <v>231</v>
      </c>
      <c r="C6596" s="1003">
        <v>31.777000000000001</v>
      </c>
      <c r="D6596" s="908">
        <v>24.23</v>
      </c>
      <c r="E6596" s="709">
        <v>-0.23749881990118638</v>
      </c>
      <c r="F6596" s="946">
        <v>-4.7499763980237272E-3</v>
      </c>
      <c r="G6596" s="78"/>
      <c r="H6596" t="s">
        <v>640</v>
      </c>
    </row>
    <row r="6597" spans="1:8" hidden="1" outlineLevel="1" x14ac:dyDescent="0.25">
      <c r="A6597" s="1002">
        <v>0.03</v>
      </c>
      <c r="B6597" s="743" t="s">
        <v>577</v>
      </c>
      <c r="C6597" s="1003">
        <v>17.314</v>
      </c>
      <c r="D6597" s="908">
        <v>10.37</v>
      </c>
      <c r="E6597" s="709">
        <v>-0.40106272380732355</v>
      </c>
      <c r="F6597" s="946">
        <v>-1.2031881714219705E-2</v>
      </c>
      <c r="G6597" s="78"/>
      <c r="H6597" t="s">
        <v>2804</v>
      </c>
    </row>
    <row r="6598" spans="1:8" hidden="1" outlineLevel="1" x14ac:dyDescent="0.25">
      <c r="A6598" s="1002">
        <v>0.02</v>
      </c>
      <c r="B6598" s="743" t="s">
        <v>1183</v>
      </c>
      <c r="C6598" s="1003">
        <v>49.616</v>
      </c>
      <c r="D6598" s="908">
        <v>35.5</v>
      </c>
      <c r="E6598" s="709">
        <v>-0.28450499838761689</v>
      </c>
      <c r="F6598" s="946">
        <v>-5.690099967752338E-3</v>
      </c>
      <c r="G6598" s="78"/>
      <c r="H6598" t="s">
        <v>2805</v>
      </c>
    </row>
    <row r="6599" spans="1:8" hidden="1" outlineLevel="1" x14ac:dyDescent="0.25">
      <c r="A6599" s="1002">
        <v>0.04</v>
      </c>
      <c r="B6599" s="743" t="s">
        <v>255</v>
      </c>
      <c r="C6599" s="1003">
        <v>35.145000000000003</v>
      </c>
      <c r="D6599" s="908">
        <v>44.44</v>
      </c>
      <c r="E6599" s="709">
        <v>0.26447574334898261</v>
      </c>
      <c r="F6599" s="946">
        <v>1.0579029733959305E-2</v>
      </c>
      <c r="G6599" s="78"/>
      <c r="H6599" t="s">
        <v>3351</v>
      </c>
    </row>
    <row r="6600" spans="1:8" hidden="1" outlineLevel="1" x14ac:dyDescent="0.25">
      <c r="A6600" s="1002">
        <v>0.03</v>
      </c>
      <c r="B6600" s="997" t="s">
        <v>3169</v>
      </c>
      <c r="C6600" s="1003">
        <v>25.024000000000001</v>
      </c>
      <c r="D6600" s="715">
        <v>14.63</v>
      </c>
      <c r="E6600" s="709">
        <v>-0.41536125319693096</v>
      </c>
      <c r="F6600" s="946">
        <v>-1.2460837595907928E-2</v>
      </c>
      <c r="G6600" s="78"/>
      <c r="H6600" t="s">
        <v>657</v>
      </c>
    </row>
    <row r="6601" spans="1:8" hidden="1" outlineLevel="1" x14ac:dyDescent="0.25">
      <c r="A6601" s="1099"/>
      <c r="B6601" s="1104"/>
      <c r="C6601" s="736"/>
      <c r="D6601" s="741"/>
      <c r="E6601" s="895"/>
      <c r="F6601" s="1021">
        <v>-0.1736</v>
      </c>
      <c r="G6601" s="78"/>
    </row>
    <row r="6602" spans="1:8" hidden="1" outlineLevel="1" x14ac:dyDescent="0.25">
      <c r="A6602" s="751" t="s">
        <v>2566</v>
      </c>
      <c r="B6602" s="944">
        <v>39692</v>
      </c>
      <c r="C6602" s="719">
        <v>100</v>
      </c>
      <c r="D6602" s="719">
        <v>98.055199999999999</v>
      </c>
      <c r="E6602" s="720">
        <v>-1.9448000000000021E-2</v>
      </c>
      <c r="F6602" s="731">
        <v>-1.9448000000000021E-2</v>
      </c>
      <c r="G6602" s="78"/>
    </row>
    <row r="6603" spans="1:8" hidden="1" outlineLevel="1" x14ac:dyDescent="0.25">
      <c r="A6603" s="751" t="s">
        <v>2567</v>
      </c>
      <c r="B6603" s="944">
        <v>39783</v>
      </c>
      <c r="C6603" s="727">
        <v>100</v>
      </c>
      <c r="D6603" s="727">
        <v>77.383799999999994</v>
      </c>
      <c r="E6603" s="720">
        <v>-0.22616200000000009</v>
      </c>
      <c r="F6603" s="731">
        <v>-0.22616200000000009</v>
      </c>
      <c r="G6603" s="78"/>
    </row>
    <row r="6604" spans="1:8" hidden="1" outlineLevel="1" x14ac:dyDescent="0.25">
      <c r="A6604" s="751" t="s">
        <v>2568</v>
      </c>
      <c r="B6604" s="944">
        <v>39873</v>
      </c>
      <c r="C6604" s="727">
        <v>100</v>
      </c>
      <c r="D6604" s="727">
        <v>62.709099999999999</v>
      </c>
      <c r="E6604" s="720">
        <v>-0.37290900000000005</v>
      </c>
      <c r="F6604" s="731">
        <v>-0.37290900000000005</v>
      </c>
      <c r="G6604" s="78"/>
    </row>
    <row r="6605" spans="1:8" hidden="1" outlineLevel="1" x14ac:dyDescent="0.25">
      <c r="A6605" s="751" t="s">
        <v>3989</v>
      </c>
      <c r="B6605" s="944">
        <v>39965</v>
      </c>
      <c r="C6605" s="727">
        <v>100</v>
      </c>
      <c r="D6605" s="727">
        <v>71.391099999999994</v>
      </c>
      <c r="E6605" s="720">
        <v>-0.28608900000000004</v>
      </c>
      <c r="F6605" s="731">
        <v>-0.28608900000000004</v>
      </c>
      <c r="G6605" s="78"/>
    </row>
    <row r="6606" spans="1:8" hidden="1" outlineLevel="1" x14ac:dyDescent="0.25">
      <c r="A6606" s="751" t="s">
        <v>3990</v>
      </c>
      <c r="B6606" s="944">
        <v>40057</v>
      </c>
      <c r="C6606" s="727">
        <v>100</v>
      </c>
      <c r="D6606" s="727">
        <v>85.620099999999994</v>
      </c>
      <c r="E6606" s="720">
        <v>-0.14379900000000001</v>
      </c>
      <c r="F6606" s="731">
        <v>-0.14379900000000001</v>
      </c>
      <c r="G6606" s="78"/>
    </row>
    <row r="6607" spans="1:8" hidden="1" outlineLevel="1" x14ac:dyDescent="0.25">
      <c r="A6607" s="751" t="s">
        <v>3991</v>
      </c>
      <c r="B6607" s="944">
        <v>40148</v>
      </c>
      <c r="C6607" s="727">
        <v>100</v>
      </c>
      <c r="D6607" s="727">
        <v>87.803700000000006</v>
      </c>
      <c r="E6607" s="720">
        <v>-0.12196299999999993</v>
      </c>
      <c r="F6607" s="731">
        <v>-0.12196299999999993</v>
      </c>
      <c r="G6607" s="78"/>
    </row>
    <row r="6608" spans="1:8" hidden="1" outlineLevel="1" x14ac:dyDescent="0.25">
      <c r="A6608" s="751" t="s">
        <v>4581</v>
      </c>
      <c r="B6608" s="944">
        <v>40238</v>
      </c>
      <c r="C6608" s="727">
        <v>100</v>
      </c>
      <c r="D6608" s="727">
        <v>87.578500000000005</v>
      </c>
      <c r="E6608" s="720">
        <v>-0.12421499999999996</v>
      </c>
      <c r="F6608" s="731">
        <v>-0.12421499999999996</v>
      </c>
      <c r="G6608" s="78"/>
    </row>
    <row r="6609" spans="1:10" hidden="1" outlineLevel="1" x14ac:dyDescent="0.25">
      <c r="A6609" s="751" t="s">
        <v>4582</v>
      </c>
      <c r="B6609" s="944">
        <v>40330</v>
      </c>
      <c r="C6609" s="727">
        <v>100</v>
      </c>
      <c r="D6609" s="727">
        <v>77.121399999999994</v>
      </c>
      <c r="E6609" s="720">
        <v>-0.22878600000000004</v>
      </c>
      <c r="F6609" s="731">
        <v>-0.22878600000000004</v>
      </c>
      <c r="G6609" s="78"/>
    </row>
    <row r="6610" spans="1:10" hidden="1" outlineLevel="1" x14ac:dyDescent="0.25">
      <c r="A6610" s="751" t="s">
        <v>3638</v>
      </c>
      <c r="B6610" s="944">
        <v>40422</v>
      </c>
      <c r="C6610" s="727">
        <v>100</v>
      </c>
      <c r="D6610" s="727">
        <v>84.465800000000002</v>
      </c>
      <c r="E6610" s="720">
        <v>-0.15534199999999998</v>
      </c>
      <c r="F6610" s="731">
        <v>-0.15534199999999998</v>
      </c>
      <c r="G6610" s="78"/>
    </row>
    <row r="6611" spans="1:10" hidden="1" outlineLevel="1" x14ac:dyDescent="0.25">
      <c r="A6611" s="751" t="s">
        <v>3639</v>
      </c>
      <c r="B6611" s="944">
        <v>40513</v>
      </c>
      <c r="C6611" s="727">
        <v>100</v>
      </c>
      <c r="D6611" s="727">
        <v>85.094800000000006</v>
      </c>
      <c r="E6611" s="720">
        <v>-0.14905199999999996</v>
      </c>
      <c r="F6611" s="731">
        <v>-0.14905199999999996</v>
      </c>
      <c r="G6611" s="78"/>
    </row>
    <row r="6612" spans="1:10" hidden="1" outlineLevel="1" x14ac:dyDescent="0.25">
      <c r="A6612" s="751" t="s">
        <v>2820</v>
      </c>
      <c r="B6612" s="944">
        <v>40603</v>
      </c>
      <c r="C6612" s="727">
        <v>100</v>
      </c>
      <c r="D6612" s="727">
        <v>88.467399999999998</v>
      </c>
      <c r="E6612" s="720">
        <v>-0.11532600000000004</v>
      </c>
      <c r="F6612" s="731">
        <v>-0.11532600000000004</v>
      </c>
      <c r="G6612" s="78"/>
    </row>
    <row r="6613" spans="1:10" hidden="1" outlineLevel="1" x14ac:dyDescent="0.25">
      <c r="A6613" s="751" t="s">
        <v>2821</v>
      </c>
      <c r="B6613" s="944">
        <v>40695</v>
      </c>
      <c r="C6613" s="727">
        <v>100</v>
      </c>
      <c r="D6613" s="727">
        <v>86.670900000000003</v>
      </c>
      <c r="E6613" s="720">
        <v>-0.13329099999999994</v>
      </c>
      <c r="F6613" s="731">
        <v>-0.13329099999999994</v>
      </c>
      <c r="G6613" s="78"/>
    </row>
    <row r="6614" spans="1:10" hidden="1" outlineLevel="1" x14ac:dyDescent="0.25">
      <c r="A6614" s="751" t="s">
        <v>2822</v>
      </c>
      <c r="B6614" s="944">
        <v>40787</v>
      </c>
      <c r="C6614" s="727">
        <v>100</v>
      </c>
      <c r="D6614" s="727">
        <v>73.679100000000005</v>
      </c>
      <c r="E6614" s="720">
        <v>-0.26320899999999992</v>
      </c>
      <c r="F6614" s="731">
        <v>-0.26320899999999992</v>
      </c>
      <c r="G6614" s="78"/>
    </row>
    <row r="6615" spans="1:10" hidden="1" outlineLevel="1" x14ac:dyDescent="0.25">
      <c r="A6615" s="751" t="s">
        <v>2823</v>
      </c>
      <c r="B6615" s="944">
        <v>40878</v>
      </c>
      <c r="C6615" s="727">
        <v>100</v>
      </c>
      <c r="D6615" s="727">
        <v>79.374600000000001</v>
      </c>
      <c r="E6615" s="720">
        <v>-0.20625399999999994</v>
      </c>
      <c r="F6615" s="731">
        <v>-0.20625399999999994</v>
      </c>
      <c r="G6615" s="78"/>
    </row>
    <row r="6616" spans="1:10" hidden="1" outlineLevel="1" x14ac:dyDescent="0.25">
      <c r="A6616" s="751" t="s">
        <v>2824</v>
      </c>
      <c r="B6616" s="944">
        <v>40969</v>
      </c>
      <c r="C6616" s="727">
        <v>100</v>
      </c>
      <c r="D6616" s="727">
        <v>84.405000000000001</v>
      </c>
      <c r="E6616" s="720">
        <v>-0.15595000000000003</v>
      </c>
      <c r="F6616" s="731">
        <v>-0.15595000000000003</v>
      </c>
      <c r="G6616" s="78"/>
      <c r="H6616" s="412" t="s">
        <v>1837</v>
      </c>
    </row>
    <row r="6617" spans="1:10" hidden="1" outlineLevel="1" x14ac:dyDescent="0.25">
      <c r="A6617" s="751" t="s">
        <v>2825</v>
      </c>
      <c r="B6617" s="944">
        <v>41061</v>
      </c>
      <c r="C6617" s="727">
        <v>100</v>
      </c>
      <c r="D6617" s="727">
        <v>82.6434</v>
      </c>
      <c r="E6617" s="720">
        <v>-0.173566</v>
      </c>
      <c r="F6617" s="731">
        <v>-0.173566</v>
      </c>
      <c r="G6617" s="78"/>
      <c r="H6617" s="261">
        <v>-0.17971006249999999</v>
      </c>
    </row>
    <row r="6618" spans="1:10" hidden="1" outlineLevel="1" x14ac:dyDescent="0.25">
      <c r="A6618" s="749"/>
      <c r="B6618" s="750"/>
      <c r="C6618" s="727"/>
      <c r="D6618" s="727"/>
      <c r="E6618" s="720"/>
      <c r="F6618" s="770"/>
      <c r="G6618" s="78"/>
    </row>
    <row r="6619" spans="1:10" collapsed="1" x14ac:dyDescent="0.25">
      <c r="A6619" s="3801" t="s">
        <v>21</v>
      </c>
      <c r="B6619" s="3802"/>
      <c r="C6619" s="3802"/>
      <c r="D6619" s="3802"/>
      <c r="E6619" s="721"/>
      <c r="F6619" s="722">
        <v>0</v>
      </c>
      <c r="G6619" s="97" t="s">
        <v>781</v>
      </c>
    </row>
    <row r="6621" spans="1:10" hidden="1" outlineLevel="1" x14ac:dyDescent="0.25">
      <c r="A6621" s="689" t="s">
        <v>113</v>
      </c>
      <c r="B6621" s="689" t="s">
        <v>114</v>
      </c>
      <c r="C6621" s="689" t="s">
        <v>112</v>
      </c>
      <c r="D6621" s="689" t="s">
        <v>116</v>
      </c>
      <c r="E6621" s="689" t="s">
        <v>117</v>
      </c>
      <c r="F6621" s="1188" t="s">
        <v>121</v>
      </c>
      <c r="G6621" s="78"/>
    </row>
    <row r="6622" spans="1:10" hidden="1" outlineLevel="1" x14ac:dyDescent="0.25">
      <c r="A6622" s="690">
        <v>1</v>
      </c>
      <c r="B6622" s="691" t="s">
        <v>252</v>
      </c>
      <c r="C6622" s="692">
        <v>100</v>
      </c>
      <c r="D6622" s="692">
        <v>95</v>
      </c>
      <c r="E6622" s="693"/>
      <c r="F6622" s="694"/>
      <c r="G6622" s="78"/>
    </row>
    <row r="6623" spans="1:10" hidden="1" outlineLevel="1" x14ac:dyDescent="0.25">
      <c r="A6623" s="695"/>
      <c r="B6623" s="695"/>
      <c r="C6623" s="696"/>
      <c r="D6623" s="697" t="s">
        <v>3702</v>
      </c>
      <c r="E6623" s="698">
        <v>41745</v>
      </c>
      <c r="F6623" s="699"/>
      <c r="G6623" s="78"/>
    </row>
    <row r="6624" spans="1:10" hidden="1" outlineLevel="1" x14ac:dyDescent="0.25">
      <c r="A6624" s="495" t="s">
        <v>4156</v>
      </c>
      <c r="B6624" s="689" t="s">
        <v>4153</v>
      </c>
      <c r="C6624" s="700" t="s">
        <v>112</v>
      </c>
      <c r="D6624" s="689" t="s">
        <v>4155</v>
      </c>
      <c r="E6624" s="689" t="s">
        <v>4154</v>
      </c>
      <c r="F6624" s="1188" t="s">
        <v>2519</v>
      </c>
      <c r="G6624" s="78"/>
      <c r="J6624" t="s">
        <v>2040</v>
      </c>
    </row>
    <row r="6625" spans="1:12" hidden="1" outlineLevel="1" x14ac:dyDescent="0.25">
      <c r="A6625" s="1127">
        <v>0.05</v>
      </c>
      <c r="B6625" s="1018" t="s">
        <v>3548</v>
      </c>
      <c r="C6625" s="807">
        <v>24.8355</v>
      </c>
      <c r="D6625" s="1091">
        <v>19.690000000000001</v>
      </c>
      <c r="E6625" s="742">
        <v>-0.20718326588955316</v>
      </c>
      <c r="F6625" s="946">
        <v>-1.0359163294477659E-2</v>
      </c>
      <c r="G6625" s="78"/>
      <c r="H6625" t="str">
        <f>VLOOKUP(B6625,indexy!$A$44:$D$823,3,FALSE)</f>
        <v>AMX UN Equity</v>
      </c>
      <c r="J6625" s="256">
        <v>41183</v>
      </c>
      <c r="K6625" s="424">
        <v>110.4029</v>
      </c>
      <c r="L6625" s="37">
        <f>IF(K6625="",L6624,K6625/100-1)</f>
        <v>0.10402899999999993</v>
      </c>
    </row>
    <row r="6626" spans="1:12" hidden="1" outlineLevel="1" x14ac:dyDescent="0.25">
      <c r="A6626" s="849">
        <v>0.05</v>
      </c>
      <c r="B6626" s="1018" t="s">
        <v>341</v>
      </c>
      <c r="C6626" s="1112">
        <v>21.224</v>
      </c>
      <c r="D6626" s="1091">
        <v>14.62</v>
      </c>
      <c r="E6626" s="742">
        <v>-0.31115718055032049</v>
      </c>
      <c r="F6626" s="946">
        <v>-1.5557859027516024E-2</v>
      </c>
      <c r="G6626" s="78"/>
      <c r="H6626" t="str">
        <f>VLOOKUP(B6626,indexy!$A$44:$D$823,3,FALSE)</f>
        <v>BBD UN Equity</v>
      </c>
      <c r="J6626" s="256">
        <v>41214</v>
      </c>
      <c r="K6626" s="424">
        <v>110.8253</v>
      </c>
      <c r="L6626" s="37">
        <f t="shared" ref="L6626:L6642" si="193">IF(K6626="",L6625,K6626/100-1)</f>
        <v>0.10825299999999993</v>
      </c>
    </row>
    <row r="6627" spans="1:12" hidden="1" outlineLevel="1" x14ac:dyDescent="0.25">
      <c r="A6627" s="849">
        <v>0.05</v>
      </c>
      <c r="B6627" s="1018" t="s">
        <v>343</v>
      </c>
      <c r="C6627" s="1112">
        <v>3.5209999999999999</v>
      </c>
      <c r="D6627" s="1091">
        <v>3.46</v>
      </c>
      <c r="E6627" s="742">
        <v>-1.7324623686452711E-2</v>
      </c>
      <c r="F6627" s="946">
        <v>-8.6623118432263557E-4</v>
      </c>
      <c r="G6627" s="78"/>
      <c r="H6627" t="str">
        <f>VLOOKUP(B6627,indexy!$A$44:$D$823,3,FALSE)</f>
        <v>3988 HK Equity</v>
      </c>
      <c r="J6627" s="256">
        <v>41244</v>
      </c>
      <c r="K6627" s="424">
        <v>115.1767</v>
      </c>
      <c r="L6627" s="37">
        <f t="shared" si="193"/>
        <v>0.15176699999999999</v>
      </c>
    </row>
    <row r="6628" spans="1:12" hidden="1" outlineLevel="1" x14ac:dyDescent="0.25">
      <c r="A6628" s="849">
        <v>0.05</v>
      </c>
      <c r="B6628" s="1018" t="s">
        <v>3452</v>
      </c>
      <c r="C6628" s="1112">
        <v>15.252000000000001</v>
      </c>
      <c r="D6628" s="1091">
        <v>15.16</v>
      </c>
      <c r="E6628" s="742">
        <v>-6.0319958038290711E-3</v>
      </c>
      <c r="F6628" s="946">
        <v>-3.0159979019145355E-4</v>
      </c>
      <c r="G6628" s="78"/>
      <c r="H6628" t="str">
        <f>VLOOKUP(B6628,indexy!$A$44:$D$823,3,FALSE)</f>
        <v>293 HK Equity</v>
      </c>
      <c r="J6628" s="256">
        <v>41275</v>
      </c>
      <c r="K6628" s="424">
        <v>116.6069</v>
      </c>
      <c r="L6628" s="37">
        <f t="shared" si="193"/>
        <v>0.16606900000000002</v>
      </c>
    </row>
    <row r="6629" spans="1:12" hidden="1" outlineLevel="1" x14ac:dyDescent="0.25">
      <c r="A6629" s="849">
        <v>0.05</v>
      </c>
      <c r="B6629" s="1018" t="s">
        <v>4221</v>
      </c>
      <c r="C6629" s="1112">
        <v>109.62</v>
      </c>
      <c r="D6629" s="1091">
        <v>135.19999999999999</v>
      </c>
      <c r="E6629" s="742">
        <v>0.23335157817916419</v>
      </c>
      <c r="F6629" s="946">
        <v>1.166757890895821E-2</v>
      </c>
      <c r="G6629" s="78"/>
      <c r="H6629" t="str">
        <f>VLOOKUP(B6629,indexy!$A$44:$D$823,3,FALSE)</f>
        <v>1 HK Equity</v>
      </c>
      <c r="J6629" s="256">
        <v>41306</v>
      </c>
      <c r="K6629" s="424">
        <v>114.17230000000001</v>
      </c>
      <c r="L6629" s="37">
        <f t="shared" si="193"/>
        <v>0.14172300000000004</v>
      </c>
    </row>
    <row r="6630" spans="1:12" hidden="1" outlineLevel="1" x14ac:dyDescent="0.25">
      <c r="A6630" s="849">
        <v>0.05</v>
      </c>
      <c r="B6630" s="1018" t="s">
        <v>426</v>
      </c>
      <c r="C6630" s="1112">
        <v>29.58</v>
      </c>
      <c r="D6630" s="1091">
        <v>21.2</v>
      </c>
      <c r="E6630" s="742">
        <v>-0.28329952670723457</v>
      </c>
      <c r="F6630" s="946">
        <v>-1.4164976335361729E-2</v>
      </c>
      <c r="G6630" s="78"/>
      <c r="H6630" t="str">
        <f>VLOOKUP(B6630,indexy!$A$44:$D$823,3,FALSE)</f>
        <v>2628 HK Equity</v>
      </c>
      <c r="J6630" s="256">
        <v>41334</v>
      </c>
      <c r="K6630" s="424">
        <v>112.4324</v>
      </c>
      <c r="L6630" s="37">
        <f t="shared" si="193"/>
        <v>0.1243240000000001</v>
      </c>
    </row>
    <row r="6631" spans="1:12" hidden="1" outlineLevel="1" x14ac:dyDescent="0.25">
      <c r="A6631" s="849">
        <v>0.05</v>
      </c>
      <c r="B6631" s="1018" t="s">
        <v>428</v>
      </c>
      <c r="C6631" s="1112">
        <v>106.61</v>
      </c>
      <c r="D6631" s="1091">
        <v>72.05</v>
      </c>
      <c r="E6631" s="742">
        <v>-0.32417221649001038</v>
      </c>
      <c r="F6631" s="946">
        <v>-1.6208610824500518E-2</v>
      </c>
      <c r="G6631" s="78"/>
      <c r="H6631" t="str">
        <f>VLOOKUP(B6631,indexy!$A$44:$D$823,3,FALSE)</f>
        <v>941 HK Equity</v>
      </c>
      <c r="J6631" s="256">
        <v>41365</v>
      </c>
      <c r="K6631" s="424">
        <v>112.2317</v>
      </c>
      <c r="L6631" s="37">
        <f t="shared" si="193"/>
        <v>0.12231700000000001</v>
      </c>
    </row>
    <row r="6632" spans="1:12" hidden="1" outlineLevel="1" x14ac:dyDescent="0.25">
      <c r="A6632" s="849">
        <v>0.05</v>
      </c>
      <c r="B6632" s="1018" t="s">
        <v>1910</v>
      </c>
      <c r="C6632" s="809">
        <v>4.3109999999999999</v>
      </c>
      <c r="D6632" s="908">
        <v>3.45</v>
      </c>
      <c r="E6632" s="896">
        <v>-0.19972164231036882</v>
      </c>
      <c r="F6632" s="1666">
        <v>-9.9860821155184423E-3</v>
      </c>
      <c r="G6632" s="78"/>
      <c r="H6632" t="str">
        <f>VLOOKUP(B6632,indexy!$A$44:$D$823,3,FALSE)</f>
        <v>728 HK Equity</v>
      </c>
      <c r="J6632" s="256">
        <v>41395</v>
      </c>
      <c r="K6632" s="424">
        <v>110.64530000000001</v>
      </c>
      <c r="L6632" s="37">
        <f t="shared" si="193"/>
        <v>0.10645300000000013</v>
      </c>
    </row>
    <row r="6633" spans="1:12" hidden="1" outlineLevel="1" x14ac:dyDescent="0.25">
      <c r="A6633" s="849">
        <v>0.05</v>
      </c>
      <c r="B6633" s="1018" t="s">
        <v>959</v>
      </c>
      <c r="C6633" s="809">
        <v>75.064999999999998</v>
      </c>
      <c r="D6633" s="908">
        <v>106.6</v>
      </c>
      <c r="E6633" s="896">
        <v>0.42010257776593618</v>
      </c>
      <c r="F6633" s="1666">
        <v>2.1005128888296809E-2</v>
      </c>
      <c r="G6633" s="78"/>
      <c r="H6633" t="e">
        <f>VLOOKUP(B6633,indexy!$A$44:$D$823,3,FALSE)</f>
        <v>#N/A</v>
      </c>
      <c r="J6633" s="256">
        <v>41426</v>
      </c>
      <c r="K6633" s="424">
        <v>103.82129999999999</v>
      </c>
      <c r="L6633" s="37">
        <f t="shared" si="193"/>
        <v>3.821299999999983E-2</v>
      </c>
    </row>
    <row r="6634" spans="1:12" hidden="1" outlineLevel="1" x14ac:dyDescent="0.25">
      <c r="A6634" s="849">
        <v>0.05</v>
      </c>
      <c r="B6634" s="1018" t="s">
        <v>667</v>
      </c>
      <c r="C6634" s="809">
        <v>70980</v>
      </c>
      <c r="D6634" s="908">
        <v>242000</v>
      </c>
      <c r="E6634" s="896">
        <v>2.4094111017187942</v>
      </c>
      <c r="F6634" s="1666">
        <v>0.12047055508593972</v>
      </c>
      <c r="G6634" s="78"/>
      <c r="H6634" t="str">
        <f>VLOOKUP(B6634,indexy!$A$44:$D$823,3,FALSE)</f>
        <v>005380 KS Equity</v>
      </c>
      <c r="J6634" s="256">
        <v>41456</v>
      </c>
      <c r="K6634" s="424">
        <v>104.3197</v>
      </c>
      <c r="L6634" s="37">
        <f t="shared" si="193"/>
        <v>4.319699999999993E-2</v>
      </c>
    </row>
    <row r="6635" spans="1:12" hidden="1" outlineLevel="1" x14ac:dyDescent="0.25">
      <c r="A6635" s="849">
        <v>0.05</v>
      </c>
      <c r="B6635" s="1018" t="s">
        <v>669</v>
      </c>
      <c r="C6635" s="809">
        <v>5.7640000000000002</v>
      </c>
      <c r="D6635" s="908">
        <v>4.79</v>
      </c>
      <c r="E6635" s="896">
        <v>-0.16897987508674539</v>
      </c>
      <c r="F6635" s="1666">
        <v>-8.4489937543372699E-3</v>
      </c>
      <c r="G6635" s="78"/>
      <c r="H6635" t="str">
        <f>VLOOKUP(B6635,indexy!$A$44:$D$823,3,FALSE)</f>
        <v>1398 HK Equity</v>
      </c>
      <c r="J6635" s="256">
        <v>41487</v>
      </c>
      <c r="K6635" s="424">
        <v>104.7119</v>
      </c>
      <c r="L6635" s="37">
        <f t="shared" si="193"/>
        <v>4.7118999999999911E-2</v>
      </c>
    </row>
    <row r="6636" spans="1:12" hidden="1" outlineLevel="1" x14ac:dyDescent="0.25">
      <c r="A6636" s="1081">
        <v>0.05</v>
      </c>
      <c r="B6636" s="996" t="s">
        <v>4278</v>
      </c>
      <c r="C6636" s="809">
        <v>31.486999999999998</v>
      </c>
      <c r="D6636" s="908">
        <v>43.22</v>
      </c>
      <c r="E6636" s="896">
        <v>0.37262997427509759</v>
      </c>
      <c r="F6636" s="946">
        <v>1.8631498713754881E-2</v>
      </c>
      <c r="G6636" s="78"/>
      <c r="H6636" t="str">
        <f>VLOOKUP(B6636,indexy!$A$44:$D$823,3,FALSE)</f>
        <v>IBN UN Equity</v>
      </c>
      <c r="J6636" s="256">
        <v>41518</v>
      </c>
      <c r="K6636" s="424">
        <v>109.6463</v>
      </c>
      <c r="L6636" s="37">
        <f t="shared" si="193"/>
        <v>9.6462999999999965E-2</v>
      </c>
    </row>
    <row r="6637" spans="1:12" hidden="1" outlineLevel="1" x14ac:dyDescent="0.25">
      <c r="A6637" s="849">
        <v>0.05</v>
      </c>
      <c r="B6637" s="1018" t="s">
        <v>4280</v>
      </c>
      <c r="C6637" s="809">
        <v>108600</v>
      </c>
      <c r="D6637" s="908">
        <v>70100</v>
      </c>
      <c r="E6637" s="896">
        <v>-0.35451197053407002</v>
      </c>
      <c r="F6637" s="946">
        <v>-1.7725598526703502E-2</v>
      </c>
      <c r="G6637" s="78"/>
      <c r="H6637" t="str">
        <f>VLOOKUP(B6637,indexy!$A$44:$D$823,3,FALSE)</f>
        <v>066570 KS Equity</v>
      </c>
      <c r="J6637" s="256">
        <v>41548</v>
      </c>
      <c r="K6637" s="424">
        <v>113.7743</v>
      </c>
      <c r="L6637" s="37">
        <f t="shared" si="193"/>
        <v>0.13774299999999995</v>
      </c>
    </row>
    <row r="6638" spans="1:12" hidden="1" outlineLevel="1" x14ac:dyDescent="0.25">
      <c r="A6638" s="849">
        <v>0.05</v>
      </c>
      <c r="B6638" s="1018" t="s">
        <v>4282</v>
      </c>
      <c r="C6638" s="809">
        <v>10.294</v>
      </c>
      <c r="D6638" s="908">
        <v>8.74</v>
      </c>
      <c r="E6638" s="896">
        <v>-0.15096172527686036</v>
      </c>
      <c r="F6638" s="946">
        <v>-7.5480862638430185E-3</v>
      </c>
      <c r="G6638" s="78"/>
      <c r="H6638" t="str">
        <f>VLOOKUP(B6638,indexy!$A$44:$D$823,3,FALSE)</f>
        <v>857 HK Equity</v>
      </c>
      <c r="J6638" s="256">
        <v>41579</v>
      </c>
      <c r="K6638" s="424">
        <v>116.3614</v>
      </c>
      <c r="L6638" s="37">
        <f t="shared" si="193"/>
        <v>0.16361399999999993</v>
      </c>
    </row>
    <row r="6639" spans="1:12" hidden="1" outlineLevel="1" x14ac:dyDescent="0.25">
      <c r="A6639" s="849">
        <v>0.05</v>
      </c>
      <c r="B6639" s="1018" t="s">
        <v>2055</v>
      </c>
      <c r="C6639" s="809">
        <v>55.82</v>
      </c>
      <c r="D6639" s="908">
        <v>13.49</v>
      </c>
      <c r="E6639" s="896">
        <v>-0.75833034754568251</v>
      </c>
      <c r="F6639" s="946">
        <v>-3.7916517377284131E-2</v>
      </c>
      <c r="G6639" s="78"/>
      <c r="H6639" t="str">
        <f>VLOOKUP(B6639,indexy!$A$44:$D$823,3,FALSE)</f>
        <v>PBR UN Equity</v>
      </c>
      <c r="J6639" s="256">
        <v>41609</v>
      </c>
      <c r="K6639" s="424">
        <v>113.1884</v>
      </c>
      <c r="L6639" s="37">
        <f t="shared" si="193"/>
        <v>0.13188400000000011</v>
      </c>
    </row>
    <row r="6640" spans="1:12" hidden="1" outlineLevel="1" x14ac:dyDescent="0.25">
      <c r="A6640" s="849">
        <v>0.05</v>
      </c>
      <c r="B6640" s="1018" t="s">
        <v>3940</v>
      </c>
      <c r="C6640" s="809">
        <v>54.085000000000001</v>
      </c>
      <c r="D6640" s="908">
        <v>60.25</v>
      </c>
      <c r="E6640" s="896">
        <v>0.1139872423037811</v>
      </c>
      <c r="F6640" s="946">
        <v>5.6993621151890557E-3</v>
      </c>
      <c r="G6640" s="78"/>
      <c r="H6640" t="str">
        <f>VLOOKUP(B6640,indexy!$A$44:$D$823,3,FALSE)</f>
        <v>2318 HK Equity</v>
      </c>
      <c r="J6640" s="256">
        <v>41640</v>
      </c>
      <c r="K6640" s="424">
        <v>104.6734</v>
      </c>
      <c r="L6640" s="37">
        <f t="shared" si="193"/>
        <v>4.6734000000000053E-2</v>
      </c>
    </row>
    <row r="6641" spans="1:12" hidden="1" outlineLevel="1" x14ac:dyDescent="0.25">
      <c r="A6641" s="849">
        <v>0.05</v>
      </c>
      <c r="B6641" s="1018" t="s">
        <v>3942</v>
      </c>
      <c r="C6641" s="809">
        <v>512200</v>
      </c>
      <c r="D6641" s="908">
        <v>307500</v>
      </c>
      <c r="E6641" s="896">
        <v>-0.39964857477547833</v>
      </c>
      <c r="F6641" s="946">
        <v>-1.9982428738773917E-2</v>
      </c>
      <c r="G6641" s="78"/>
      <c r="H6641" t="str">
        <f>VLOOKUP(B6641,indexy!$A$44:$D$823,3,FALSE)</f>
        <v>005490 KS Equity</v>
      </c>
      <c r="J6641" s="256">
        <v>41671</v>
      </c>
      <c r="K6641" s="424">
        <v>107.6429</v>
      </c>
      <c r="L6641" s="37">
        <f t="shared" si="193"/>
        <v>7.642900000000008E-2</v>
      </c>
    </row>
    <row r="6642" spans="1:12" hidden="1" outlineLevel="1" x14ac:dyDescent="0.25">
      <c r="A6642" s="849">
        <v>0.05</v>
      </c>
      <c r="B6642" s="743" t="s">
        <v>161</v>
      </c>
      <c r="C6642" s="809">
        <v>576400</v>
      </c>
      <c r="D6642" s="908">
        <v>1380000</v>
      </c>
      <c r="E6642" s="896">
        <v>1.394170714781402</v>
      </c>
      <c r="F6642" s="946">
        <v>6.9708535739070099E-2</v>
      </c>
      <c r="G6642" s="78"/>
      <c r="H6642" t="e">
        <f>VLOOKUP(B6642,indexy!$A$44:$D$823,3,FALSE)</f>
        <v>#N/A</v>
      </c>
      <c r="J6642" s="256">
        <v>41699</v>
      </c>
      <c r="K6642" s="424">
        <v>111.87560000000001</v>
      </c>
      <c r="L6642" s="37">
        <f t="shared" si="193"/>
        <v>0.11875600000000008</v>
      </c>
    </row>
    <row r="6643" spans="1:12" hidden="1" outlineLevel="1" x14ac:dyDescent="0.25">
      <c r="A6643" s="849">
        <v>0.05</v>
      </c>
      <c r="B6643" s="1018" t="s">
        <v>291</v>
      </c>
      <c r="C6643" s="809">
        <v>15.476000000000001</v>
      </c>
      <c r="D6643" s="908">
        <v>10.43</v>
      </c>
      <c r="E6643" s="896">
        <v>-0.32605324373223066</v>
      </c>
      <c r="F6643" s="946">
        <v>-1.6302662186611534E-2</v>
      </c>
      <c r="G6643" s="78"/>
      <c r="H6643" t="str">
        <f>VLOOKUP(B6643,indexy!$A$44:$D$823,3,FALSE)</f>
        <v>SIA SP Equity</v>
      </c>
      <c r="J6643" s="412" t="s">
        <v>2465</v>
      </c>
      <c r="L6643" s="261">
        <f>AVERAGE(L6625:L6642)</f>
        <v>0.10694927777777778</v>
      </c>
    </row>
    <row r="6644" spans="1:12" hidden="1" outlineLevel="1" x14ac:dyDescent="0.25">
      <c r="A6644" s="990">
        <v>0.05</v>
      </c>
      <c r="B6644" s="1018" t="s">
        <v>597</v>
      </c>
      <c r="C6644" s="810">
        <v>8629</v>
      </c>
      <c r="D6644" s="715">
        <v>13690</v>
      </c>
      <c r="E6644" s="947">
        <v>0.58651060377795794</v>
      </c>
      <c r="F6644" s="1023">
        <v>2.93255301888979E-2</v>
      </c>
      <c r="G6644" s="78"/>
      <c r="H6644" t="str">
        <f>VLOOKUP(B6644,indexy!$A$44:$D$823,3,FALSE)</f>
        <v>SBK SJ Equity</v>
      </c>
      <c r="J6644" s="412" t="s">
        <v>5280</v>
      </c>
      <c r="L6644" s="423">
        <f>L6643*parametry!N229</f>
        <v>8.0211958333333333E-2</v>
      </c>
    </row>
    <row r="6645" spans="1:12" hidden="1" outlineLevel="1" x14ac:dyDescent="0.25">
      <c r="A6645" s="749"/>
      <c r="B6645" s="718"/>
      <c r="C6645" s="719"/>
      <c r="D6645" s="719"/>
      <c r="E6645" s="720"/>
      <c r="F6645" s="731">
        <v>0.10113938022066486</v>
      </c>
      <c r="G6645" s="78"/>
    </row>
    <row r="6646" spans="1:12" collapsed="1" x14ac:dyDescent="0.25">
      <c r="A6646" s="3801" t="s">
        <v>3547</v>
      </c>
      <c r="B6646" s="3802"/>
      <c r="C6646" s="3802"/>
      <c r="D6646" s="3802"/>
      <c r="E6646" s="721"/>
      <c r="F6646" s="722">
        <v>3.021195833333333E-2</v>
      </c>
      <c r="G6646" s="97" t="s">
        <v>781</v>
      </c>
    </row>
    <row r="6648" spans="1:12" hidden="1" outlineLevel="1" x14ac:dyDescent="0.25">
      <c r="A6648" s="689" t="s">
        <v>113</v>
      </c>
      <c r="B6648" s="689" t="s">
        <v>114</v>
      </c>
      <c r="C6648" s="689" t="s">
        <v>112</v>
      </c>
      <c r="D6648" s="689" t="s">
        <v>116</v>
      </c>
      <c r="E6648" s="689" t="s">
        <v>117</v>
      </c>
      <c r="F6648" s="1188" t="s">
        <v>121</v>
      </c>
      <c r="G6648" s="78"/>
    </row>
    <row r="6649" spans="1:12" hidden="1" outlineLevel="1" x14ac:dyDescent="0.25">
      <c r="A6649" s="690">
        <v>1</v>
      </c>
      <c r="B6649" s="691" t="s">
        <v>252</v>
      </c>
      <c r="C6649" s="692">
        <v>100</v>
      </c>
      <c r="D6649" s="692"/>
      <c r="E6649" s="693"/>
      <c r="F6649" s="694"/>
      <c r="G6649" s="78"/>
    </row>
    <row r="6650" spans="1:12" hidden="1" outlineLevel="1" x14ac:dyDescent="0.25">
      <c r="A6650" s="695"/>
      <c r="B6650" s="695"/>
      <c r="C6650" s="696"/>
      <c r="D6650" s="697" t="s">
        <v>3702</v>
      </c>
      <c r="E6650" s="698">
        <v>41578</v>
      </c>
      <c r="F6650" s="699"/>
      <c r="G6650" s="78"/>
    </row>
    <row r="6651" spans="1:12" hidden="1" outlineLevel="1" x14ac:dyDescent="0.25">
      <c r="A6651" s="689" t="s">
        <v>4156</v>
      </c>
      <c r="B6651" s="689" t="s">
        <v>4153</v>
      </c>
      <c r="C6651" s="700" t="s">
        <v>112</v>
      </c>
      <c r="D6651" s="495" t="s">
        <v>4155</v>
      </c>
      <c r="E6651" s="495" t="s">
        <v>4154</v>
      </c>
      <c r="F6651" s="1021" t="s">
        <v>2519</v>
      </c>
      <c r="G6651" s="78"/>
      <c r="J6651" t="s">
        <v>2040</v>
      </c>
    </row>
    <row r="6652" spans="1:12" hidden="1" outlineLevel="1" x14ac:dyDescent="0.25">
      <c r="A6652" s="734">
        <v>0.04</v>
      </c>
      <c r="B6652" s="735" t="s">
        <v>359</v>
      </c>
      <c r="C6652" s="1145">
        <v>110.33499999999999</v>
      </c>
      <c r="D6652" s="803">
        <v>123.9</v>
      </c>
      <c r="E6652" s="705">
        <v>0.12294376217881919</v>
      </c>
      <c r="F6652" s="1021">
        <v>4.917750487152768E-3</v>
      </c>
      <c r="G6652" s="78"/>
      <c r="H6652" t="s">
        <v>360</v>
      </c>
      <c r="J6652" s="256">
        <v>41030</v>
      </c>
      <c r="K6652" s="424">
        <v>71.593000000000004</v>
      </c>
      <c r="L6652" s="37">
        <v>-0.28406999999999993</v>
      </c>
    </row>
    <row r="6653" spans="1:12" hidden="1" outlineLevel="1" x14ac:dyDescent="0.25">
      <c r="A6653" s="739">
        <v>0.04</v>
      </c>
      <c r="B6653" s="987" t="s">
        <v>1993</v>
      </c>
      <c r="C6653" s="1112">
        <v>21.265000000000001</v>
      </c>
      <c r="D6653" s="908">
        <v>37.229999999999997</v>
      </c>
      <c r="E6653" s="709">
        <v>0.7507641664707263</v>
      </c>
      <c r="F6653" s="946">
        <v>3.0030566658829052E-2</v>
      </c>
      <c r="G6653" s="78"/>
      <c r="H6653" t="s">
        <v>2812</v>
      </c>
      <c r="J6653" s="256">
        <v>41061</v>
      </c>
      <c r="K6653" s="424">
        <v>76.684600000000003</v>
      </c>
      <c r="L6653" s="37">
        <v>-0.23315399999999997</v>
      </c>
    </row>
    <row r="6654" spans="1:12" hidden="1" outlineLevel="1" x14ac:dyDescent="0.25">
      <c r="A6654" s="739">
        <v>0.02</v>
      </c>
      <c r="B6654" s="740" t="s">
        <v>2697</v>
      </c>
      <c r="C6654" s="1112">
        <v>22.835999999999999</v>
      </c>
      <c r="D6654" s="908">
        <v>17.22</v>
      </c>
      <c r="E6654" s="709">
        <v>-0.24592748292170252</v>
      </c>
      <c r="F6654" s="946">
        <v>-4.9185496584340507E-3</v>
      </c>
      <c r="G6654" s="78"/>
      <c r="H6654" t="s">
        <v>329</v>
      </c>
      <c r="J6654" s="256">
        <v>41091</v>
      </c>
      <c r="K6654" s="424">
        <v>78.107200000000006</v>
      </c>
      <c r="L6654" s="37">
        <v>-0.2189279999999999</v>
      </c>
    </row>
    <row r="6655" spans="1:12" hidden="1" outlineLevel="1" x14ac:dyDescent="0.25">
      <c r="A6655" s="739">
        <v>0.04</v>
      </c>
      <c r="B6655" s="740" t="s">
        <v>2984</v>
      </c>
      <c r="C6655" s="1112">
        <v>11.66</v>
      </c>
      <c r="D6655" s="908">
        <v>8.6289999999999996</v>
      </c>
      <c r="E6655" s="709">
        <v>-0.25994854202401374</v>
      </c>
      <c r="F6655" s="946">
        <v>-1.0397941680960549E-2</v>
      </c>
      <c r="G6655" s="78"/>
      <c r="H6655" t="s">
        <v>2326</v>
      </c>
      <c r="J6655" s="256">
        <v>41122</v>
      </c>
      <c r="K6655" s="424">
        <v>80.172899999999998</v>
      </c>
      <c r="L6655" s="37">
        <v>-0.19827099999999998</v>
      </c>
    </row>
    <row r="6656" spans="1:12" hidden="1" outlineLevel="1" x14ac:dyDescent="0.25">
      <c r="A6656" s="739">
        <v>0.03</v>
      </c>
      <c r="B6656" s="740" t="s">
        <v>157</v>
      </c>
      <c r="C6656" s="1112">
        <v>11.994</v>
      </c>
      <c r="D6656" s="908">
        <v>6.5389999999999997</v>
      </c>
      <c r="E6656" s="709">
        <v>-0.45481073870268474</v>
      </c>
      <c r="F6656" s="946">
        <v>-1.3644322161080542E-2</v>
      </c>
      <c r="G6656" s="78"/>
      <c r="H6656" t="s">
        <v>730</v>
      </c>
      <c r="J6656" s="256">
        <v>41153</v>
      </c>
      <c r="K6656" s="424">
        <v>81.092600000000004</v>
      </c>
      <c r="L6656" s="37">
        <v>-0.18907399999999996</v>
      </c>
    </row>
    <row r="6657" spans="1:12" hidden="1" outlineLevel="1" x14ac:dyDescent="0.25">
      <c r="A6657" s="739">
        <v>0.03</v>
      </c>
      <c r="B6657" s="740" t="s">
        <v>901</v>
      </c>
      <c r="C6657" s="1112">
        <v>1847.3</v>
      </c>
      <c r="D6657" s="908">
        <v>3436</v>
      </c>
      <c r="E6657" s="709">
        <v>0.86001190927299298</v>
      </c>
      <c r="F6657" s="946">
        <v>2.580035727818979E-2</v>
      </c>
      <c r="G6657" s="78"/>
      <c r="H6657" t="s">
        <v>531</v>
      </c>
      <c r="J6657" s="256">
        <v>41183</v>
      </c>
      <c r="K6657" s="424">
        <v>81.885499999999993</v>
      </c>
      <c r="L6657" s="37">
        <v>-0.18114500000000011</v>
      </c>
    </row>
    <row r="6658" spans="1:12" hidden="1" outlineLevel="1" x14ac:dyDescent="0.25">
      <c r="A6658" s="739">
        <v>0.03</v>
      </c>
      <c r="B6658" s="740" t="s">
        <v>1847</v>
      </c>
      <c r="C6658" s="1112">
        <v>182.95999999999998</v>
      </c>
      <c r="D6658" s="908">
        <v>48.78</v>
      </c>
      <c r="E6658" s="709">
        <v>-0.73338434630520322</v>
      </c>
      <c r="F6658" s="946">
        <v>-2.2001530389156095E-2</v>
      </c>
      <c r="G6658" s="78"/>
      <c r="H6658" t="s">
        <v>2749</v>
      </c>
      <c r="J6658" s="256">
        <v>41214</v>
      </c>
      <c r="K6658" s="424">
        <v>83.484999999999999</v>
      </c>
      <c r="L6658" s="37">
        <v>-0.16515000000000002</v>
      </c>
    </row>
    <row r="6659" spans="1:12" hidden="1" outlineLevel="1" x14ac:dyDescent="0.25">
      <c r="A6659" s="739">
        <v>0.02</v>
      </c>
      <c r="B6659" s="740" t="s">
        <v>1212</v>
      </c>
      <c r="C6659" s="1112">
        <v>52.57</v>
      </c>
      <c r="D6659" s="908">
        <v>28.23</v>
      </c>
      <c r="E6659" s="709">
        <v>-0.46300171200304352</v>
      </c>
      <c r="F6659" s="946">
        <v>-9.2600342400608708E-3</v>
      </c>
      <c r="G6659" s="78"/>
      <c r="H6659" t="s">
        <v>4229</v>
      </c>
      <c r="J6659" s="256">
        <v>41244</v>
      </c>
      <c r="K6659" s="424">
        <v>83.616299999999995</v>
      </c>
      <c r="L6659" s="37">
        <v>-0.16383700000000001</v>
      </c>
    </row>
    <row r="6660" spans="1:12" hidden="1" outlineLevel="1" x14ac:dyDescent="0.25">
      <c r="A6660" s="739">
        <v>0.04</v>
      </c>
      <c r="B6660" s="740" t="s">
        <v>2699</v>
      </c>
      <c r="C6660" s="1112">
        <v>15.579000000000001</v>
      </c>
      <c r="D6660" s="908">
        <v>24.925000000000001</v>
      </c>
      <c r="E6660" s="709">
        <v>0.59991013543873151</v>
      </c>
      <c r="F6660" s="946">
        <v>2.3996405417549261E-2</v>
      </c>
      <c r="G6660" s="78"/>
      <c r="H6660" t="s">
        <v>505</v>
      </c>
      <c r="J6660" s="256">
        <v>41275</v>
      </c>
      <c r="K6660" s="424">
        <v>86.943399999999997</v>
      </c>
      <c r="L6660" s="37">
        <v>-0.13056600000000007</v>
      </c>
    </row>
    <row r="6661" spans="1:12" hidden="1" outlineLevel="1" x14ac:dyDescent="0.25">
      <c r="A6661" s="739">
        <v>0.02</v>
      </c>
      <c r="B6661" s="740" t="s">
        <v>3406</v>
      </c>
      <c r="C6661" s="1112">
        <v>981.4</v>
      </c>
      <c r="D6661" s="908">
        <v>1987</v>
      </c>
      <c r="E6661" s="709">
        <v>1.0246586509068676</v>
      </c>
      <c r="F6661" s="946">
        <v>2.0493173018137353E-2</v>
      </c>
      <c r="G6661" s="78"/>
      <c r="H6661" t="s">
        <v>2105</v>
      </c>
      <c r="J6661" s="256">
        <v>41306</v>
      </c>
      <c r="K6661" s="424">
        <v>86.772199999999998</v>
      </c>
      <c r="L6661" s="37">
        <v>-0.13227800000000001</v>
      </c>
    </row>
    <row r="6662" spans="1:12" hidden="1" outlineLevel="1" x14ac:dyDescent="0.25">
      <c r="A6662" s="739">
        <v>0.06</v>
      </c>
      <c r="B6662" s="740" t="s">
        <v>3021</v>
      </c>
      <c r="C6662" s="1112">
        <v>21.526</v>
      </c>
      <c r="D6662" s="908">
        <v>18.649999999999999</v>
      </c>
      <c r="E6662" s="709">
        <v>-0.13360587196878204</v>
      </c>
      <c r="F6662" s="946">
        <v>-8.0163523181269215E-3</v>
      </c>
      <c r="G6662" s="78"/>
      <c r="H6662" t="s">
        <v>4124</v>
      </c>
      <c r="J6662" s="256">
        <v>41334</v>
      </c>
      <c r="K6662" s="424">
        <v>88.765100000000004</v>
      </c>
      <c r="L6662" s="37">
        <v>-0.11234899999999992</v>
      </c>
    </row>
    <row r="6663" spans="1:12" hidden="1" outlineLevel="1" x14ac:dyDescent="0.25">
      <c r="A6663" s="739">
        <v>0.03</v>
      </c>
      <c r="B6663" s="712" t="s">
        <v>4268</v>
      </c>
      <c r="C6663" s="1112">
        <v>26.216999999999999</v>
      </c>
      <c r="D6663" s="908">
        <v>16.399999999999999</v>
      </c>
      <c r="E6663" s="709">
        <v>-0.37445169165045589</v>
      </c>
      <c r="F6663" s="946">
        <v>-1.1233550749513677E-2</v>
      </c>
      <c r="G6663" s="78"/>
      <c r="H6663" t="s">
        <v>1801</v>
      </c>
      <c r="J6663" s="256">
        <v>41365</v>
      </c>
      <c r="K6663" s="424">
        <v>91.826099999999997</v>
      </c>
      <c r="L6663" s="37">
        <v>-8.1739000000000006E-2</v>
      </c>
    </row>
    <row r="6664" spans="1:12" hidden="1" outlineLevel="1" x14ac:dyDescent="0.25">
      <c r="A6664" s="739">
        <v>0.04</v>
      </c>
      <c r="B6664" s="740" t="s">
        <v>1176</v>
      </c>
      <c r="C6664" s="1112">
        <v>9.4990000000000006</v>
      </c>
      <c r="D6664" s="908">
        <v>1.599</v>
      </c>
      <c r="E6664" s="709">
        <v>-0.83166649120960101</v>
      </c>
      <c r="F6664" s="946">
        <v>-3.3266659648384038E-2</v>
      </c>
      <c r="G6664" s="78"/>
      <c r="H6664" t="s">
        <v>3090</v>
      </c>
      <c r="J6664" s="256">
        <v>41395</v>
      </c>
      <c r="K6664" s="424">
        <v>91.558199999999999</v>
      </c>
      <c r="L6664" s="37">
        <v>-8.4417999999999993E-2</v>
      </c>
    </row>
    <row r="6665" spans="1:12" hidden="1" outlineLevel="1" x14ac:dyDescent="0.25">
      <c r="A6665" s="739">
        <v>0.06</v>
      </c>
      <c r="B6665" s="740" t="s">
        <v>2588</v>
      </c>
      <c r="C6665" s="1112">
        <v>22.070499999999999</v>
      </c>
      <c r="D6665" s="908">
        <v>9.3829999999999991</v>
      </c>
      <c r="E6665" s="709">
        <v>-0.57486237285063768</v>
      </c>
      <c r="F6665" s="946">
        <v>-3.4491742371038261E-2</v>
      </c>
      <c r="G6665" s="78"/>
      <c r="H6665" t="s">
        <v>4132</v>
      </c>
      <c r="J6665" s="256">
        <v>41426</v>
      </c>
      <c r="K6665" s="424">
        <v>88.123500000000007</v>
      </c>
      <c r="L6665" s="37">
        <v>-0.1187649999999999</v>
      </c>
    </row>
    <row r="6666" spans="1:12" hidden="1" outlineLevel="1" x14ac:dyDescent="0.25">
      <c r="A6666" s="739">
        <v>0.04</v>
      </c>
      <c r="B6666" s="740" t="s">
        <v>44</v>
      </c>
      <c r="C6666" s="1112">
        <v>3.7387999999999999</v>
      </c>
      <c r="D6666" s="908">
        <v>1.831</v>
      </c>
      <c r="E6666" s="709">
        <v>-0.51027067508291424</v>
      </c>
      <c r="F6666" s="946">
        <v>-2.0410827003316569E-2</v>
      </c>
      <c r="G6666" s="78"/>
      <c r="H6666" t="s">
        <v>204</v>
      </c>
      <c r="J6666" s="256">
        <v>41456</v>
      </c>
      <c r="K6666" s="424">
        <v>92.912999999999997</v>
      </c>
      <c r="L6666" s="37">
        <v>-7.0869999999999989E-2</v>
      </c>
    </row>
    <row r="6667" spans="1:12" hidden="1" outlineLevel="1" x14ac:dyDescent="0.25">
      <c r="A6667" s="739">
        <v>0.02</v>
      </c>
      <c r="B6667" s="740" t="s">
        <v>4376</v>
      </c>
      <c r="C6667" s="1112">
        <v>38.28</v>
      </c>
      <c r="D6667" s="908">
        <v>51.54</v>
      </c>
      <c r="E6667" s="709">
        <v>0.34639498432601878</v>
      </c>
      <c r="F6667" s="946">
        <v>6.9278996865203757E-3</v>
      </c>
      <c r="G6667" s="78"/>
      <c r="H6667" t="s">
        <v>4326</v>
      </c>
      <c r="J6667" s="256">
        <v>41487</v>
      </c>
      <c r="K6667" s="424">
        <v>90.617999999999995</v>
      </c>
      <c r="L6667" s="37">
        <v>-9.3820000000000014E-2</v>
      </c>
    </row>
    <row r="6668" spans="1:12" hidden="1" outlineLevel="1" x14ac:dyDescent="0.25">
      <c r="A6668" s="739">
        <v>0.03</v>
      </c>
      <c r="B6668" s="740" t="s">
        <v>1526</v>
      </c>
      <c r="C6668" s="1112">
        <v>66.558999999999997</v>
      </c>
      <c r="D6668" s="908">
        <v>40.15</v>
      </c>
      <c r="E6668" s="709">
        <v>-0.39677579290554243</v>
      </c>
      <c r="F6668" s="946">
        <v>-1.1903273787166272E-2</v>
      </c>
      <c r="G6668" s="78"/>
      <c r="H6668" t="s">
        <v>4146</v>
      </c>
      <c r="J6668" s="256">
        <v>41518</v>
      </c>
      <c r="K6668" s="424">
        <v>94.162499999999994</v>
      </c>
      <c r="L6668" s="37">
        <v>-5.8375000000000066E-2</v>
      </c>
    </row>
    <row r="6669" spans="1:12" hidden="1" outlineLevel="1" x14ac:dyDescent="0.25">
      <c r="A6669" s="739">
        <v>0.04</v>
      </c>
      <c r="B6669" s="740" t="s">
        <v>2160</v>
      </c>
      <c r="C6669" s="1112">
        <v>32.686999999999998</v>
      </c>
      <c r="D6669" s="908">
        <v>54.38</v>
      </c>
      <c r="E6669" s="709">
        <v>0.66365833511793704</v>
      </c>
      <c r="F6669" s="946">
        <v>2.6546333404717484E-2</v>
      </c>
      <c r="G6669" s="78"/>
      <c r="H6669" t="s">
        <v>5507</v>
      </c>
      <c r="J6669" s="256">
        <v>41548</v>
      </c>
      <c r="K6669" s="424">
        <v>99.847399999999993</v>
      </c>
      <c r="L6669" s="37">
        <v>-1.5260000000000273E-3</v>
      </c>
    </row>
    <row r="6670" spans="1:12" hidden="1" outlineLevel="1" x14ac:dyDescent="0.25">
      <c r="A6670" s="739">
        <v>0.03</v>
      </c>
      <c r="B6670" s="740" t="s">
        <v>1905</v>
      </c>
      <c r="C6670" s="1112">
        <v>35.664999999999999</v>
      </c>
      <c r="D6670" s="908">
        <v>45.09</v>
      </c>
      <c r="E6670" s="709">
        <v>0.26426468526566671</v>
      </c>
      <c r="F6670" s="946">
        <v>7.9279405579700014E-3</v>
      </c>
      <c r="G6670" s="78"/>
      <c r="H6670" t="s">
        <v>504</v>
      </c>
      <c r="J6670" s="412" t="s">
        <v>2465</v>
      </c>
      <c r="L6670" s="261">
        <v>-0.13990749999999996</v>
      </c>
    </row>
    <row r="6671" spans="1:12" hidden="1" outlineLevel="1" x14ac:dyDescent="0.25">
      <c r="A6671" s="739">
        <v>0.04</v>
      </c>
      <c r="B6671" s="740" t="s">
        <v>2786</v>
      </c>
      <c r="C6671" s="1112">
        <v>700.15</v>
      </c>
      <c r="D6671" s="908">
        <v>784.5</v>
      </c>
      <c r="E6671" s="709">
        <v>0.12047418410340649</v>
      </c>
      <c r="F6671" s="946">
        <v>4.8189673641362597E-3</v>
      </c>
      <c r="G6671" s="78"/>
      <c r="H6671" t="s">
        <v>4195</v>
      </c>
      <c r="J6671" s="412"/>
      <c r="L6671" s="261"/>
    </row>
    <row r="6672" spans="1:12" hidden="1" outlineLevel="1" x14ac:dyDescent="0.25">
      <c r="A6672" s="739">
        <v>0.03</v>
      </c>
      <c r="B6672" s="740" t="s">
        <v>3797</v>
      </c>
      <c r="C6672" s="837">
        <v>49.256</v>
      </c>
      <c r="D6672" s="908">
        <v>65.5</v>
      </c>
      <c r="E6672" s="709">
        <v>0.32978723404255317</v>
      </c>
      <c r="F6672" s="946">
        <v>9.8936170212765955E-3</v>
      </c>
      <c r="G6672" s="78"/>
      <c r="H6672" t="s">
        <v>3848</v>
      </c>
    </row>
    <row r="6673" spans="1:8" hidden="1" outlineLevel="1" x14ac:dyDescent="0.25">
      <c r="A6673" s="739">
        <v>0.03</v>
      </c>
      <c r="B6673" s="740" t="s">
        <v>1190</v>
      </c>
      <c r="C6673" s="837">
        <v>17.463000000000001</v>
      </c>
      <c r="D6673" s="908">
        <v>5.57</v>
      </c>
      <c r="E6673" s="709">
        <v>-0.68103991295882715</v>
      </c>
      <c r="F6673" s="946">
        <v>-2.0431197388764814E-2</v>
      </c>
      <c r="G6673" s="78"/>
      <c r="H6673" t="s">
        <v>7569</v>
      </c>
    </row>
    <row r="6674" spans="1:8" hidden="1" outlineLevel="1" x14ac:dyDescent="0.25">
      <c r="A6674" s="739">
        <v>0.05</v>
      </c>
      <c r="B6674" s="740" t="s">
        <v>1414</v>
      </c>
      <c r="C6674" s="837">
        <v>19.63</v>
      </c>
      <c r="D6674" s="908">
        <v>30.68</v>
      </c>
      <c r="E6674" s="709">
        <v>0.5629139072847682</v>
      </c>
      <c r="F6674" s="946">
        <v>2.8145695364238412E-2</v>
      </c>
      <c r="G6674" s="78"/>
      <c r="H6674" t="s">
        <v>2428</v>
      </c>
    </row>
    <row r="6675" spans="1:8" hidden="1" outlineLevel="1" x14ac:dyDescent="0.25">
      <c r="A6675" s="739">
        <v>0.03</v>
      </c>
      <c r="B6675" s="740" t="s">
        <v>3801</v>
      </c>
      <c r="C6675" s="837">
        <v>73.566999999999993</v>
      </c>
      <c r="D6675" s="908">
        <v>27.19</v>
      </c>
      <c r="E6675" s="709">
        <v>-0.63040493699620748</v>
      </c>
      <c r="F6675" s="946">
        <v>-1.8912148109886225E-2</v>
      </c>
      <c r="G6675" s="78"/>
      <c r="H6675" t="s">
        <v>2819</v>
      </c>
    </row>
    <row r="6676" spans="1:8" hidden="1" outlineLevel="1" x14ac:dyDescent="0.25">
      <c r="A6676" s="739">
        <v>0.02</v>
      </c>
      <c r="B6676" s="740" t="s">
        <v>1214</v>
      </c>
      <c r="C6676" s="837">
        <v>76.989000000000004</v>
      </c>
      <c r="D6676" s="908">
        <v>94.18</v>
      </c>
      <c r="E6676" s="709">
        <v>0.22329163906532101</v>
      </c>
      <c r="F6676" s="946">
        <v>4.46583278130642E-3</v>
      </c>
      <c r="G6676" s="78"/>
      <c r="H6676" t="s">
        <v>3775</v>
      </c>
    </row>
    <row r="6677" spans="1:8" hidden="1" outlineLevel="1" x14ac:dyDescent="0.25">
      <c r="A6677" s="739">
        <v>0.02</v>
      </c>
      <c r="B6677" s="740" t="s">
        <v>231</v>
      </c>
      <c r="C6677" s="837">
        <v>42.241</v>
      </c>
      <c r="D6677" s="908">
        <v>33.64</v>
      </c>
      <c r="E6677" s="709">
        <v>-0.20361733860467313</v>
      </c>
      <c r="F6677" s="946">
        <v>-4.0723467720934622E-3</v>
      </c>
      <c r="G6677" s="78"/>
      <c r="H6677" t="s">
        <v>640</v>
      </c>
    </row>
    <row r="6678" spans="1:8" hidden="1" outlineLevel="1" x14ac:dyDescent="0.25">
      <c r="A6678" s="739">
        <v>0.03</v>
      </c>
      <c r="B6678" s="740" t="s">
        <v>577</v>
      </c>
      <c r="C6678" s="837">
        <v>16.619</v>
      </c>
      <c r="D6678" s="908">
        <v>12.81</v>
      </c>
      <c r="E6678" s="709">
        <v>-0.22919549912750459</v>
      </c>
      <c r="F6678" s="946">
        <v>-6.8758649738251375E-3</v>
      </c>
      <c r="G6678" s="78"/>
      <c r="H6678" t="s">
        <v>2804</v>
      </c>
    </row>
    <row r="6679" spans="1:8" hidden="1" outlineLevel="1" x14ac:dyDescent="0.25">
      <c r="A6679" s="739">
        <v>0.02</v>
      </c>
      <c r="B6679" s="740" t="s">
        <v>1183</v>
      </c>
      <c r="C6679" s="837">
        <v>48.066000000000003</v>
      </c>
      <c r="D6679" s="908">
        <v>45.265000000000001</v>
      </c>
      <c r="E6679" s="709">
        <v>-5.8274039861856641E-2</v>
      </c>
      <c r="F6679" s="946">
        <v>-1.1654807972371329E-3</v>
      </c>
      <c r="G6679" s="78"/>
      <c r="H6679" t="s">
        <v>2805</v>
      </c>
    </row>
    <row r="6680" spans="1:8" hidden="1" outlineLevel="1" x14ac:dyDescent="0.25">
      <c r="A6680" s="739">
        <v>0.04</v>
      </c>
      <c r="B6680" s="743" t="s">
        <v>255</v>
      </c>
      <c r="C6680" s="837">
        <v>34.58</v>
      </c>
      <c r="D6680" s="908">
        <v>50.51</v>
      </c>
      <c r="E6680" s="709">
        <v>0.4606709080393292</v>
      </c>
      <c r="F6680" s="946">
        <v>1.8426836321573169E-2</v>
      </c>
      <c r="G6680" s="78"/>
      <c r="H6680" t="s">
        <v>3351</v>
      </c>
    </row>
    <row r="6681" spans="1:8" hidden="1" outlineLevel="1" x14ac:dyDescent="0.25">
      <c r="A6681" s="739">
        <v>0.03</v>
      </c>
      <c r="B6681" s="746" t="s">
        <v>3169</v>
      </c>
      <c r="C6681" s="837">
        <v>26.214500000000001</v>
      </c>
      <c r="D6681" s="715">
        <v>18.695</v>
      </c>
      <c r="E6681" s="716">
        <v>-0.28684506666158049</v>
      </c>
      <c r="F6681" s="1023">
        <v>-8.6053519998474139E-3</v>
      </c>
      <c r="G6681" s="78"/>
      <c r="H6681" t="s">
        <v>657</v>
      </c>
    </row>
    <row r="6682" spans="1:8" hidden="1" outlineLevel="1" x14ac:dyDescent="0.25">
      <c r="A6682" s="717"/>
      <c r="B6682" s="750"/>
      <c r="C6682" s="719"/>
      <c r="D6682" s="727"/>
      <c r="E6682" s="716"/>
      <c r="F6682" s="770">
        <v>-2.7215798687295074E-2</v>
      </c>
      <c r="G6682" s="78"/>
      <c r="H6682" s="101">
        <v>-3.9907499999999957E-2</v>
      </c>
    </row>
    <row r="6683" spans="1:8" collapsed="1" x14ac:dyDescent="0.25">
      <c r="A6683" s="3801" t="s">
        <v>2473</v>
      </c>
      <c r="B6683" s="3802"/>
      <c r="C6683" s="3802"/>
      <c r="D6683" s="3802"/>
      <c r="E6683" s="721"/>
      <c r="F6683" s="722">
        <v>0</v>
      </c>
      <c r="G6683" s="97" t="s">
        <v>781</v>
      </c>
    </row>
    <row r="6685" spans="1:8" hidden="1" outlineLevel="1" x14ac:dyDescent="0.25">
      <c r="A6685" s="689" t="s">
        <v>113</v>
      </c>
      <c r="B6685" s="689" t="s">
        <v>114</v>
      </c>
      <c r="C6685" s="689" t="s">
        <v>112</v>
      </c>
      <c r="D6685" s="689" t="s">
        <v>116</v>
      </c>
      <c r="E6685" s="689" t="s">
        <v>117</v>
      </c>
      <c r="F6685" s="1188" t="s">
        <v>121</v>
      </c>
      <c r="G6685" s="78"/>
    </row>
    <row r="6686" spans="1:8" hidden="1" outlineLevel="1" x14ac:dyDescent="0.25">
      <c r="A6686" s="690">
        <v>1</v>
      </c>
      <c r="B6686" s="691" t="s">
        <v>252</v>
      </c>
      <c r="C6686" s="692">
        <v>100</v>
      </c>
      <c r="D6686" s="692"/>
      <c r="E6686" s="693"/>
      <c r="F6686" s="694"/>
      <c r="G6686" s="78"/>
    </row>
    <row r="6687" spans="1:8" hidden="1" outlineLevel="1" x14ac:dyDescent="0.25">
      <c r="A6687" s="695"/>
      <c r="B6687" s="695"/>
      <c r="C6687" s="696"/>
      <c r="D6687" s="697" t="s">
        <v>3702</v>
      </c>
      <c r="E6687" s="698">
        <v>42460</v>
      </c>
      <c r="F6687" s="699"/>
      <c r="G6687" s="78"/>
    </row>
    <row r="6688" spans="1:8" hidden="1" outlineLevel="1" x14ac:dyDescent="0.25">
      <c r="A6688" s="689" t="s">
        <v>4156</v>
      </c>
      <c r="B6688" s="689" t="s">
        <v>4153</v>
      </c>
      <c r="C6688" s="700" t="s">
        <v>112</v>
      </c>
      <c r="D6688" s="495" t="s">
        <v>4155</v>
      </c>
      <c r="E6688" s="495" t="s">
        <v>4154</v>
      </c>
      <c r="F6688" s="1021" t="s">
        <v>2519</v>
      </c>
      <c r="G6688" s="78"/>
    </row>
    <row r="6689" spans="1:13" hidden="1" outlineLevel="1" x14ac:dyDescent="0.25">
      <c r="A6689" s="734">
        <v>0.04</v>
      </c>
      <c r="B6689" s="735" t="s">
        <v>359</v>
      </c>
      <c r="C6689" s="1145">
        <v>110.33499999999999</v>
      </c>
      <c r="D6689" s="1090">
        <v>81.209999999999994</v>
      </c>
      <c r="E6689" s="705">
        <v>-0.26396882222322926</v>
      </c>
      <c r="F6689" s="1021">
        <v>-1.0558752888929171E-2</v>
      </c>
      <c r="G6689" s="78"/>
      <c r="H6689" t="s">
        <v>360</v>
      </c>
      <c r="J6689" t="s">
        <v>2040</v>
      </c>
    </row>
    <row r="6690" spans="1:13" hidden="1" outlineLevel="1" x14ac:dyDescent="0.25">
      <c r="A6690" s="739">
        <v>0.04</v>
      </c>
      <c r="B6690" s="987" t="s">
        <v>1993</v>
      </c>
      <c r="C6690" s="1112">
        <v>21.265000000000001</v>
      </c>
      <c r="D6690" s="798">
        <v>27.55</v>
      </c>
      <c r="E6690" s="709">
        <v>0.29555607806254414</v>
      </c>
      <c r="F6690" s="946">
        <v>1.1822243122501765E-2</v>
      </c>
      <c r="G6690" s="78"/>
      <c r="H6690" t="s">
        <v>2812</v>
      </c>
      <c r="J6690" s="256">
        <v>40664</v>
      </c>
      <c r="K6690">
        <v>82.2821</v>
      </c>
      <c r="L6690" s="37">
        <v>-0.17717899999999998</v>
      </c>
      <c r="M6690" s="37"/>
    </row>
    <row r="6691" spans="1:13" hidden="1" outlineLevel="1" x14ac:dyDescent="0.25">
      <c r="A6691" s="739">
        <v>0.02</v>
      </c>
      <c r="B6691" s="740" t="s">
        <v>2697</v>
      </c>
      <c r="C6691" s="1112">
        <v>22.835999999999999</v>
      </c>
      <c r="D6691" s="1091">
        <v>13.03</v>
      </c>
      <c r="E6691" s="742">
        <v>-0.42940970397617795</v>
      </c>
      <c r="F6691" s="946">
        <v>-8.58819407952356E-3</v>
      </c>
      <c r="G6691" s="78"/>
      <c r="H6691" t="s">
        <v>329</v>
      </c>
      <c r="J6691" s="256">
        <v>40695</v>
      </c>
      <c r="K6691">
        <v>80.3125</v>
      </c>
      <c r="L6691" s="37">
        <v>-0.19687500000000002</v>
      </c>
      <c r="M6691" s="37"/>
    </row>
    <row r="6692" spans="1:13" hidden="1" outlineLevel="1" x14ac:dyDescent="0.25">
      <c r="A6692" s="739">
        <v>0.04</v>
      </c>
      <c r="B6692" s="740" t="s">
        <v>2984</v>
      </c>
      <c r="C6692" s="1112">
        <v>11.66</v>
      </c>
      <c r="D6692" s="1091">
        <v>6.5620000000000003</v>
      </c>
      <c r="E6692" s="742">
        <v>-0.43722126929674099</v>
      </c>
      <c r="F6692" s="946">
        <v>-1.7488850771869641E-2</v>
      </c>
      <c r="G6692" s="78"/>
      <c r="H6692" t="s">
        <v>2326</v>
      </c>
      <c r="J6692" s="256">
        <v>40725</v>
      </c>
      <c r="K6692">
        <v>75.829700000000003</v>
      </c>
      <c r="L6692" s="37">
        <v>-0.241703</v>
      </c>
      <c r="M6692" s="37"/>
    </row>
    <row r="6693" spans="1:13" hidden="1" outlineLevel="1" x14ac:dyDescent="0.25">
      <c r="A6693" s="739">
        <v>0.03</v>
      </c>
      <c r="B6693" s="740" t="s">
        <v>157</v>
      </c>
      <c r="C6693" s="1112">
        <v>11.994</v>
      </c>
      <c r="D6693" s="1091">
        <v>6.1769999999999996</v>
      </c>
      <c r="E6693" s="742">
        <v>-0.48499249624812413</v>
      </c>
      <c r="F6693" s="946">
        <v>-1.4549774887443724E-2</v>
      </c>
      <c r="G6693" s="78"/>
      <c r="H6693" t="s">
        <v>730</v>
      </c>
      <c r="J6693" s="256">
        <v>40756</v>
      </c>
      <c r="K6693">
        <v>70.8108</v>
      </c>
      <c r="L6693" s="37">
        <v>-0.29189200000000004</v>
      </c>
      <c r="M6693" s="37"/>
    </row>
    <row r="6694" spans="1:13" hidden="1" outlineLevel="1" x14ac:dyDescent="0.25">
      <c r="A6694" s="739">
        <v>0.03</v>
      </c>
      <c r="B6694" s="740" t="s">
        <v>901</v>
      </c>
      <c r="C6694" s="1112">
        <v>1847.3</v>
      </c>
      <c r="D6694" s="1091">
        <v>2864.5</v>
      </c>
      <c r="E6694" s="742">
        <v>0.55064147674985109</v>
      </c>
      <c r="F6694" s="946">
        <v>1.6519244302495531E-2</v>
      </c>
      <c r="G6694" s="78"/>
      <c r="H6694" t="s">
        <v>531</v>
      </c>
      <c r="J6694" s="256">
        <v>40787</v>
      </c>
      <c r="K6694">
        <v>68.401200000000003</v>
      </c>
      <c r="L6694" s="37">
        <v>-0.31598799999999994</v>
      </c>
      <c r="M6694" s="37"/>
    </row>
    <row r="6695" spans="1:13" hidden="1" outlineLevel="1" x14ac:dyDescent="0.25">
      <c r="A6695" s="739">
        <v>0.03</v>
      </c>
      <c r="B6695" s="740" t="s">
        <v>1847</v>
      </c>
      <c r="C6695" s="1112">
        <v>182.95999999999998</v>
      </c>
      <c r="D6695" s="1091">
        <v>31.59</v>
      </c>
      <c r="E6695" s="742">
        <v>-0.82733930913860954</v>
      </c>
      <c r="F6695" s="946">
        <v>-2.4820179274158284E-2</v>
      </c>
      <c r="G6695" s="78"/>
      <c r="H6695" t="s">
        <v>2749</v>
      </c>
      <c r="J6695" s="256">
        <v>40817</v>
      </c>
      <c r="K6695">
        <v>73.127499999999998</v>
      </c>
      <c r="L6695" s="37">
        <v>-0.26872499999999999</v>
      </c>
      <c r="M6695" s="37"/>
    </row>
    <row r="6696" spans="1:13" hidden="1" outlineLevel="1" x14ac:dyDescent="0.25">
      <c r="A6696" s="739">
        <v>0.02</v>
      </c>
      <c r="B6696" s="740" t="s">
        <v>1212</v>
      </c>
      <c r="C6696" s="1112">
        <v>52.57</v>
      </c>
      <c r="D6696" s="1091">
        <v>25.6</v>
      </c>
      <c r="E6696" s="742">
        <v>-0.51303024538710296</v>
      </c>
      <c r="F6696" s="946">
        <v>-1.026060490774206E-2</v>
      </c>
      <c r="G6696" s="78"/>
      <c r="H6696" t="s">
        <v>4229</v>
      </c>
      <c r="J6696" s="69" t="s">
        <v>2465</v>
      </c>
      <c r="L6696" s="261">
        <v>-0.248727</v>
      </c>
      <c r="M6696" s="261"/>
    </row>
    <row r="6697" spans="1:13" hidden="1" outlineLevel="1" x14ac:dyDescent="0.25">
      <c r="A6697" s="739">
        <v>0.04</v>
      </c>
      <c r="B6697" s="740" t="s">
        <v>2699</v>
      </c>
      <c r="C6697" s="1112">
        <v>15.579000000000001</v>
      </c>
      <c r="D6697" s="1091">
        <v>11.01</v>
      </c>
      <c r="E6697" s="742">
        <v>-0.29327941459657236</v>
      </c>
      <c r="F6697" s="946">
        <v>-1.1731176583862895E-2</v>
      </c>
      <c r="G6697" s="78"/>
      <c r="H6697" t="s">
        <v>505</v>
      </c>
    </row>
    <row r="6698" spans="1:13" hidden="1" outlineLevel="1" x14ac:dyDescent="0.25">
      <c r="A6698" s="739">
        <v>0.02</v>
      </c>
      <c r="B6698" s="740" t="s">
        <v>3406</v>
      </c>
      <c r="C6698" s="1112">
        <v>981.4</v>
      </c>
      <c r="D6698" s="1091">
        <v>1289</v>
      </c>
      <c r="E6698" s="742">
        <v>0.31342979417159156</v>
      </c>
      <c r="F6698" s="946">
        <v>6.2685958834318312E-3</v>
      </c>
      <c r="G6698" s="78"/>
      <c r="H6698" t="s">
        <v>2105</v>
      </c>
    </row>
    <row r="6699" spans="1:13" hidden="1" outlineLevel="1" x14ac:dyDescent="0.25">
      <c r="A6699" s="739">
        <v>0.06</v>
      </c>
      <c r="B6699" s="712" t="s">
        <v>3021</v>
      </c>
      <c r="C6699" s="1112">
        <v>21.526</v>
      </c>
      <c r="D6699" s="1091">
        <v>15.99</v>
      </c>
      <c r="E6699" s="742">
        <v>-0.25717736690513793</v>
      </c>
      <c r="F6699" s="946">
        <v>-1.5430642014308275E-2</v>
      </c>
      <c r="G6699" s="78"/>
      <c r="H6699" t="s">
        <v>4124</v>
      </c>
    </row>
    <row r="6700" spans="1:13" hidden="1" outlineLevel="1" x14ac:dyDescent="0.25">
      <c r="A6700" s="739">
        <v>0.03</v>
      </c>
      <c r="B6700" s="740" t="s">
        <v>4268</v>
      </c>
      <c r="C6700" s="1112">
        <v>26.216999999999999</v>
      </c>
      <c r="D6700" s="1091">
        <v>17.63</v>
      </c>
      <c r="E6700" s="742">
        <v>-0.32753556852424004</v>
      </c>
      <c r="F6700" s="946">
        <v>-9.8260670557272015E-3</v>
      </c>
      <c r="G6700" s="78"/>
      <c r="H6700" t="s">
        <v>1801</v>
      </c>
    </row>
    <row r="6701" spans="1:13" hidden="1" outlineLevel="1" x14ac:dyDescent="0.25">
      <c r="A6701" s="739">
        <v>0.04</v>
      </c>
      <c r="B6701" s="740" t="s">
        <v>1176</v>
      </c>
      <c r="C6701" s="1112">
        <v>9.4990000000000006</v>
      </c>
      <c r="D6701" s="1091">
        <v>1.46</v>
      </c>
      <c r="E6701" s="742">
        <v>-0.84629961048531421</v>
      </c>
      <c r="F6701" s="946">
        <v>-3.3851984419412569E-2</v>
      </c>
      <c r="G6701" s="78"/>
      <c r="H6701" t="s">
        <v>3090</v>
      </c>
    </row>
    <row r="6702" spans="1:13" hidden="1" outlineLevel="1" x14ac:dyDescent="0.25">
      <c r="A6702" s="739">
        <v>0.06</v>
      </c>
      <c r="B6702" s="740" t="s">
        <v>2588</v>
      </c>
      <c r="C6702" s="1112">
        <v>22.070499999999999</v>
      </c>
      <c r="D6702" s="1091">
        <v>6.26</v>
      </c>
      <c r="E6702" s="742">
        <v>-0.71636347160236513</v>
      </c>
      <c r="F6702" s="946">
        <v>-4.2981808296141906E-2</v>
      </c>
      <c r="G6702" s="78"/>
      <c r="H6702" t="s">
        <v>4132</v>
      </c>
    </row>
    <row r="6703" spans="1:13" hidden="1" outlineLevel="1" x14ac:dyDescent="0.25">
      <c r="A6703" s="739">
        <v>0.04</v>
      </c>
      <c r="B6703" s="740" t="s">
        <v>44</v>
      </c>
      <c r="C6703" s="1112">
        <v>3.7387999999999999</v>
      </c>
      <c r="D6703" s="1091">
        <v>1.2909999999999999</v>
      </c>
      <c r="E6703" s="742">
        <v>-0.65470204343639671</v>
      </c>
      <c r="F6703" s="946">
        <v>-2.6188081737455869E-2</v>
      </c>
      <c r="G6703" s="78"/>
      <c r="H6703" t="s">
        <v>204</v>
      </c>
    </row>
    <row r="6704" spans="1:13" hidden="1" outlineLevel="1" x14ac:dyDescent="0.25">
      <c r="A6704" s="739">
        <v>0.02</v>
      </c>
      <c r="B6704" s="740" t="s">
        <v>4376</v>
      </c>
      <c r="C6704" s="1112">
        <v>38.28</v>
      </c>
      <c r="D6704" s="1091">
        <v>34.76</v>
      </c>
      <c r="E6704" s="742">
        <v>-9.1954022988505857E-2</v>
      </c>
      <c r="F6704" s="946">
        <v>-1.8390804597701173E-3</v>
      </c>
      <c r="G6704" s="78"/>
      <c r="H6704" t="s">
        <v>4326</v>
      </c>
    </row>
    <row r="6705" spans="1:8" hidden="1" outlineLevel="1" x14ac:dyDescent="0.25">
      <c r="A6705" s="739">
        <v>0.03</v>
      </c>
      <c r="B6705" s="740" t="s">
        <v>1526</v>
      </c>
      <c r="C6705" s="1112">
        <v>66.558999999999997</v>
      </c>
      <c r="D6705" s="1091">
        <v>16.23</v>
      </c>
      <c r="E6705" s="742">
        <v>-0.75615619225048447</v>
      </c>
      <c r="F6705" s="946">
        <v>-2.2684685767514534E-2</v>
      </c>
      <c r="G6705" s="78"/>
      <c r="H6705" t="s">
        <v>4146</v>
      </c>
    </row>
    <row r="6706" spans="1:8" hidden="1" outlineLevel="1" x14ac:dyDescent="0.25">
      <c r="A6706" s="739">
        <v>0.04</v>
      </c>
      <c r="B6706" s="996" t="s">
        <v>2160</v>
      </c>
      <c r="C6706" s="1112">
        <v>32.686999999999998</v>
      </c>
      <c r="D6706" s="1091">
        <v>35.18</v>
      </c>
      <c r="E6706" s="742">
        <v>7.6268853060849962E-2</v>
      </c>
      <c r="F6706" s="946">
        <v>3.0507541224339984E-3</v>
      </c>
      <c r="G6706" s="78"/>
      <c r="H6706" t="s">
        <v>5507</v>
      </c>
    </row>
    <row r="6707" spans="1:8" hidden="1" outlineLevel="1" x14ac:dyDescent="0.25">
      <c r="A6707" s="739">
        <v>0.03</v>
      </c>
      <c r="B6707" s="740" t="s">
        <v>1905</v>
      </c>
      <c r="C6707" s="1112">
        <v>35.664999999999999</v>
      </c>
      <c r="D6707" s="1091">
        <v>34.5</v>
      </c>
      <c r="E6707" s="742">
        <v>-3.2665077807374154E-2</v>
      </c>
      <c r="F6707" s="946">
        <v>-9.7995233422122456E-4</v>
      </c>
      <c r="G6707" s="78"/>
      <c r="H6707" t="s">
        <v>504</v>
      </c>
    </row>
    <row r="6708" spans="1:8" hidden="1" outlineLevel="1" x14ac:dyDescent="0.25">
      <c r="A6708" s="739">
        <v>0.04</v>
      </c>
      <c r="B6708" s="740" t="s">
        <v>2786</v>
      </c>
      <c r="C6708" s="1112">
        <v>700.15</v>
      </c>
      <c r="D6708" s="1091">
        <v>617.5</v>
      </c>
      <c r="E6708" s="742">
        <v>-0.11804613297150612</v>
      </c>
      <c r="F6708" s="946">
        <v>-4.7218453188602452E-3</v>
      </c>
      <c r="G6708" s="78"/>
      <c r="H6708" t="s">
        <v>4195</v>
      </c>
    </row>
    <row r="6709" spans="1:8" hidden="1" outlineLevel="1" x14ac:dyDescent="0.25">
      <c r="A6709" s="739">
        <v>0.03</v>
      </c>
      <c r="B6709" s="740" t="s">
        <v>3797</v>
      </c>
      <c r="C6709" s="837">
        <v>49.256</v>
      </c>
      <c r="D6709" s="1091">
        <v>50.9</v>
      </c>
      <c r="E6709" s="742">
        <v>3.3376644469709227E-2</v>
      </c>
      <c r="F6709" s="946">
        <v>1.0012993340912768E-3</v>
      </c>
      <c r="G6709" s="78"/>
      <c r="H6709" t="s">
        <v>3848</v>
      </c>
    </row>
    <row r="6710" spans="1:8" hidden="1" outlineLevel="1" x14ac:dyDescent="0.25">
      <c r="A6710" s="739">
        <v>0.03</v>
      </c>
      <c r="B6710" s="740" t="s">
        <v>1190</v>
      </c>
      <c r="C6710" s="837">
        <v>17.463000000000001</v>
      </c>
      <c r="D6710" s="1091">
        <v>4.87</v>
      </c>
      <c r="E6710" s="742">
        <v>-0.7211246635744144</v>
      </c>
      <c r="F6710" s="946">
        <v>-2.1633739907232431E-2</v>
      </c>
      <c r="G6710" s="78"/>
      <c r="H6710" t="s">
        <v>7569</v>
      </c>
    </row>
    <row r="6711" spans="1:8" hidden="1" outlineLevel="1" x14ac:dyDescent="0.25">
      <c r="A6711" s="739">
        <v>0.05</v>
      </c>
      <c r="B6711" s="740" t="s">
        <v>1414</v>
      </c>
      <c r="C6711" s="837">
        <v>19.63</v>
      </c>
      <c r="D6711" s="1091">
        <v>19.260000000000002</v>
      </c>
      <c r="E6711" s="742">
        <v>-1.884870096790614E-2</v>
      </c>
      <c r="F6711" s="946">
        <v>-9.4243504839530701E-4</v>
      </c>
      <c r="G6711" s="78"/>
      <c r="H6711" t="s">
        <v>2428</v>
      </c>
    </row>
    <row r="6712" spans="1:8" hidden="1" outlineLevel="1" x14ac:dyDescent="0.25">
      <c r="A6712" s="739">
        <v>0.03</v>
      </c>
      <c r="B6712" s="740" t="s">
        <v>3801</v>
      </c>
      <c r="C6712" s="837">
        <v>73.566999999999993</v>
      </c>
      <c r="D6712" s="1091">
        <v>30.945</v>
      </c>
      <c r="E6712" s="742">
        <v>-0.57936302961925867</v>
      </c>
      <c r="F6712" s="946">
        <v>-1.738089088857776E-2</v>
      </c>
      <c r="G6712" s="78"/>
      <c r="H6712" t="s">
        <v>2819</v>
      </c>
    </row>
    <row r="6713" spans="1:8" hidden="1" outlineLevel="1" x14ac:dyDescent="0.25">
      <c r="A6713" s="739">
        <v>0.02</v>
      </c>
      <c r="B6713" s="740" t="s">
        <v>1214</v>
      </c>
      <c r="C6713" s="837">
        <v>76.989000000000004</v>
      </c>
      <c r="D6713" s="1091">
        <v>76.22</v>
      </c>
      <c r="E6713" s="742">
        <v>-9.9884399069998242E-3</v>
      </c>
      <c r="F6713" s="946">
        <v>-1.9976879813999649E-4</v>
      </c>
      <c r="G6713" s="78"/>
      <c r="H6713" t="s">
        <v>3775</v>
      </c>
    </row>
    <row r="6714" spans="1:8" hidden="1" outlineLevel="1" x14ac:dyDescent="0.25">
      <c r="A6714" s="739">
        <v>0.02</v>
      </c>
      <c r="B6714" s="740" t="s">
        <v>231</v>
      </c>
      <c r="C6714" s="837">
        <v>42.241</v>
      </c>
      <c r="D6714" s="1091">
        <v>19.73</v>
      </c>
      <c r="E6714" s="742">
        <v>-0.53291825477616528</v>
      </c>
      <c r="F6714" s="946">
        <v>-1.0658365095523306E-2</v>
      </c>
      <c r="G6714" s="78"/>
      <c r="H6714" t="s">
        <v>640</v>
      </c>
    </row>
    <row r="6715" spans="1:8" hidden="1" outlineLevel="1" x14ac:dyDescent="0.25">
      <c r="A6715" s="739">
        <v>0.03</v>
      </c>
      <c r="B6715" s="740" t="s">
        <v>577</v>
      </c>
      <c r="C6715" s="837">
        <v>16.619</v>
      </c>
      <c r="D6715" s="1091">
        <v>15.38</v>
      </c>
      <c r="E6715" s="742">
        <v>-7.4553222215536397E-2</v>
      </c>
      <c r="F6715" s="946">
        <v>-2.2365966664660919E-3</v>
      </c>
      <c r="G6715" s="78"/>
      <c r="H6715" t="s">
        <v>2804</v>
      </c>
    </row>
    <row r="6716" spans="1:8" hidden="1" outlineLevel="1" x14ac:dyDescent="0.25">
      <c r="A6716" s="739">
        <v>0.02</v>
      </c>
      <c r="B6716" s="740" t="s">
        <v>1183</v>
      </c>
      <c r="C6716" s="837">
        <v>48.066000000000003</v>
      </c>
      <c r="D6716" s="1091">
        <v>37.814999999999998</v>
      </c>
      <c r="E6716" s="742">
        <v>-0.21326925477468495</v>
      </c>
      <c r="F6716" s="946">
        <v>-4.2653850954936989E-3</v>
      </c>
      <c r="G6716" s="78"/>
      <c r="H6716" t="s">
        <v>2805</v>
      </c>
    </row>
    <row r="6717" spans="1:8" hidden="1" outlineLevel="1" x14ac:dyDescent="0.25">
      <c r="A6717" s="739">
        <v>0.04</v>
      </c>
      <c r="B6717" s="743" t="s">
        <v>255</v>
      </c>
      <c r="C6717" s="837">
        <v>34.58</v>
      </c>
      <c r="D6717" s="1091">
        <v>36.979999999999997</v>
      </c>
      <c r="E6717" s="742">
        <v>6.9404279930595614E-2</v>
      </c>
      <c r="F6717" s="946">
        <v>2.7761711972238245E-3</v>
      </c>
      <c r="G6717" s="78"/>
      <c r="H6717" t="s">
        <v>3351</v>
      </c>
    </row>
    <row r="6718" spans="1:8" hidden="1" outlineLevel="1" x14ac:dyDescent="0.25">
      <c r="A6718" s="739">
        <v>0.03</v>
      </c>
      <c r="B6718" s="746" t="s">
        <v>3169</v>
      </c>
      <c r="C6718" s="837">
        <v>26.214500000000001</v>
      </c>
      <c r="D6718" s="945">
        <v>16.25</v>
      </c>
      <c r="E6718" s="748">
        <v>-0.38011405901314166</v>
      </c>
      <c r="F6718" s="1023">
        <v>-1.1403421770394249E-2</v>
      </c>
      <c r="G6718" s="78"/>
      <c r="H6718" t="s">
        <v>657</v>
      </c>
    </row>
    <row r="6719" spans="1:8" hidden="1" outlineLevel="1" x14ac:dyDescent="0.25">
      <c r="A6719" s="717"/>
      <c r="B6719" s="750"/>
      <c r="C6719" s="719"/>
      <c r="D6719" s="727"/>
      <c r="E6719" s="716"/>
      <c r="F6719" s="770">
        <v>-0.26872499999999999</v>
      </c>
      <c r="G6719" s="78"/>
    </row>
    <row r="6720" spans="1:8" collapsed="1" x14ac:dyDescent="0.25">
      <c r="A6720" s="3801" t="s">
        <v>2079</v>
      </c>
      <c r="B6720" s="3802"/>
      <c r="C6720" s="3802"/>
      <c r="D6720" s="3802"/>
      <c r="E6720" s="721"/>
      <c r="F6720" s="722">
        <v>0</v>
      </c>
      <c r="G6720" s="97" t="s">
        <v>781</v>
      </c>
    </row>
    <row r="6722" spans="1:12" hidden="1" outlineLevel="1" x14ac:dyDescent="0.25">
      <c r="A6722" s="689" t="s">
        <v>113</v>
      </c>
      <c r="B6722" s="689" t="s">
        <v>114</v>
      </c>
      <c r="C6722" s="689" t="s">
        <v>112</v>
      </c>
      <c r="D6722" s="689" t="s">
        <v>116</v>
      </c>
      <c r="E6722" s="689" t="s">
        <v>117</v>
      </c>
      <c r="F6722" s="1188" t="s">
        <v>121</v>
      </c>
      <c r="G6722" s="78"/>
    </row>
    <row r="6723" spans="1:12" hidden="1" outlineLevel="1" x14ac:dyDescent="0.25">
      <c r="A6723" s="690">
        <v>1</v>
      </c>
      <c r="B6723" s="691" t="s">
        <v>252</v>
      </c>
      <c r="C6723" s="692">
        <v>100</v>
      </c>
      <c r="D6723" s="692"/>
      <c r="E6723" s="693"/>
      <c r="F6723" s="694"/>
      <c r="G6723" s="78"/>
    </row>
    <row r="6724" spans="1:12" hidden="1" outlineLevel="1" x14ac:dyDescent="0.25">
      <c r="A6724" s="695"/>
      <c r="B6724" s="695"/>
      <c r="C6724" s="696"/>
      <c r="D6724" s="697" t="s">
        <v>3702</v>
      </c>
      <c r="E6724" s="698">
        <v>42460</v>
      </c>
      <c r="F6724" s="699"/>
      <c r="G6724" s="78"/>
    </row>
    <row r="6725" spans="1:12" hidden="1" outlineLevel="1" x14ac:dyDescent="0.25">
      <c r="A6725" s="689" t="s">
        <v>4156</v>
      </c>
      <c r="B6725" s="689" t="s">
        <v>4153</v>
      </c>
      <c r="C6725" s="700" t="s">
        <v>112</v>
      </c>
      <c r="D6725" s="495" t="s">
        <v>4155</v>
      </c>
      <c r="E6725" s="495" t="s">
        <v>4154</v>
      </c>
      <c r="F6725" s="1021" t="s">
        <v>2519</v>
      </c>
      <c r="G6725" s="78"/>
    </row>
    <row r="6726" spans="1:12" hidden="1" outlineLevel="1" x14ac:dyDescent="0.25">
      <c r="A6726" s="739">
        <v>0.03</v>
      </c>
      <c r="B6726" s="735" t="s">
        <v>3998</v>
      </c>
      <c r="C6726" s="1145">
        <v>31.173999999999999</v>
      </c>
      <c r="D6726" s="1090">
        <v>33.14</v>
      </c>
      <c r="E6726" s="895">
        <v>6.3065374991980505E-2</v>
      </c>
      <c r="F6726" s="1021">
        <v>1.8919612497594151E-3</v>
      </c>
      <c r="G6726" s="78"/>
      <c r="H6726" t="s">
        <v>4000</v>
      </c>
      <c r="J6726" s="412" t="s">
        <v>631</v>
      </c>
    </row>
    <row r="6727" spans="1:12" hidden="1" outlineLevel="1" x14ac:dyDescent="0.25">
      <c r="A6727" s="739">
        <v>0.03</v>
      </c>
      <c r="B6727" s="987" t="s">
        <v>2984</v>
      </c>
      <c r="C6727" s="1112">
        <v>11.66</v>
      </c>
      <c r="D6727" s="798">
        <v>6.1130000000000004</v>
      </c>
      <c r="E6727" s="896">
        <v>-0.4757289879931389</v>
      </c>
      <c r="F6727" s="946">
        <v>-1.4271869639794167E-2</v>
      </c>
      <c r="G6727" s="78"/>
      <c r="H6727" t="s">
        <v>2326</v>
      </c>
      <c r="J6727" s="256">
        <v>40848</v>
      </c>
      <c r="K6727">
        <v>83.214200000000005</v>
      </c>
      <c r="L6727" s="37">
        <v>-0.16785799999999995</v>
      </c>
    </row>
    <row r="6728" spans="1:12" hidden="1" outlineLevel="1" x14ac:dyDescent="0.25">
      <c r="A6728" s="739">
        <v>0.03</v>
      </c>
      <c r="B6728" s="740" t="s">
        <v>1994</v>
      </c>
      <c r="C6728" s="1112">
        <v>30.469000000000001</v>
      </c>
      <c r="D6728" s="1091">
        <v>9.1199999999999992</v>
      </c>
      <c r="E6728" s="896">
        <v>-0.70067937904099253</v>
      </c>
      <c r="F6728" s="946">
        <v>-2.1020381371229774E-2</v>
      </c>
      <c r="G6728" s="78"/>
      <c r="H6728" t="s">
        <v>3493</v>
      </c>
      <c r="J6728" s="256">
        <v>40878</v>
      </c>
      <c r="K6728">
        <v>86.238299999999995</v>
      </c>
      <c r="L6728" s="37">
        <v>-0.1376170000000001</v>
      </c>
    </row>
    <row r="6729" spans="1:12" hidden="1" outlineLevel="1" x14ac:dyDescent="0.25">
      <c r="A6729" s="739">
        <v>0.03</v>
      </c>
      <c r="B6729" s="740" t="s">
        <v>3020</v>
      </c>
      <c r="C6729" s="1112">
        <v>53.91</v>
      </c>
      <c r="D6729" s="1091">
        <v>65.540000000000006</v>
      </c>
      <c r="E6729" s="896">
        <v>0.21572992023743298</v>
      </c>
      <c r="F6729" s="946">
        <v>6.4718976071229889E-3</v>
      </c>
      <c r="G6729" s="78"/>
      <c r="H6729" t="s">
        <v>490</v>
      </c>
      <c r="J6729" s="256">
        <v>40909</v>
      </c>
      <c r="K6729">
        <v>86.462900000000005</v>
      </c>
      <c r="L6729" s="37">
        <v>-0.13537099999999991</v>
      </c>
    </row>
    <row r="6730" spans="1:12" hidden="1" outlineLevel="1" x14ac:dyDescent="0.25">
      <c r="A6730" s="739">
        <v>0.02</v>
      </c>
      <c r="B6730" s="740" t="s">
        <v>3405</v>
      </c>
      <c r="C6730" s="1112">
        <v>36.255000000000003</v>
      </c>
      <c r="D6730" s="1091">
        <v>17.574999999999999</v>
      </c>
      <c r="E6730" s="896">
        <v>-0.51523927734105646</v>
      </c>
      <c r="F6730" s="946">
        <v>-1.0304785546821129E-2</v>
      </c>
      <c r="G6730" s="78"/>
      <c r="H6730" t="s">
        <v>2747</v>
      </c>
      <c r="J6730" s="256">
        <v>40940</v>
      </c>
      <c r="K6730">
        <v>89.800700000000006</v>
      </c>
      <c r="L6730" s="37">
        <v>-0.10199299999999989</v>
      </c>
    </row>
    <row r="6731" spans="1:12" hidden="1" outlineLevel="1" x14ac:dyDescent="0.25">
      <c r="A6731" s="739">
        <v>0.02</v>
      </c>
      <c r="B6731" s="740" t="s">
        <v>3406</v>
      </c>
      <c r="C6731" s="1112">
        <v>981.4</v>
      </c>
      <c r="D6731" s="1091">
        <v>1793.5</v>
      </c>
      <c r="E6731" s="896">
        <v>0.82749133890360715</v>
      </c>
      <c r="F6731" s="946">
        <v>1.6549826778072145E-2</v>
      </c>
      <c r="G6731" s="78"/>
      <c r="H6731" t="s">
        <v>2105</v>
      </c>
      <c r="J6731" s="256">
        <v>40969</v>
      </c>
      <c r="K6731">
        <v>91.022300000000001</v>
      </c>
      <c r="L6731" s="37">
        <v>-8.9776999999999996E-2</v>
      </c>
    </row>
    <row r="6732" spans="1:12" hidden="1" outlineLevel="1" x14ac:dyDescent="0.25">
      <c r="A6732" s="739">
        <v>0.02</v>
      </c>
      <c r="B6732" s="740" t="s">
        <v>4064</v>
      </c>
      <c r="C6732" s="1112">
        <v>48.314999999999998</v>
      </c>
      <c r="D6732" s="1091">
        <v>45.91</v>
      </c>
      <c r="E6732" s="896">
        <v>-4.9777501811031799E-2</v>
      </c>
      <c r="F6732" s="946">
        <v>-9.9555003622063608E-4</v>
      </c>
      <c r="G6732" s="78"/>
      <c r="H6732" t="s">
        <v>170</v>
      </c>
      <c r="J6732" s="256">
        <v>41000</v>
      </c>
      <c r="K6732">
        <v>89.407700000000006</v>
      </c>
      <c r="L6732" s="37">
        <v>-0.10592299999999999</v>
      </c>
    </row>
    <row r="6733" spans="1:12" hidden="1" outlineLevel="1" x14ac:dyDescent="0.25">
      <c r="A6733" s="739">
        <v>0.02</v>
      </c>
      <c r="B6733" s="740" t="s">
        <v>3021</v>
      </c>
      <c r="C6733" s="1112">
        <v>21.526</v>
      </c>
      <c r="D6733" s="1091">
        <v>17.149999999999999</v>
      </c>
      <c r="E6733" s="896">
        <v>-0.20328904580507301</v>
      </c>
      <c r="F6733" s="946">
        <v>-4.0657809161014601E-3</v>
      </c>
      <c r="G6733" s="78"/>
      <c r="H6733" t="s">
        <v>4124</v>
      </c>
      <c r="J6733" s="256">
        <v>41030</v>
      </c>
      <c r="K6733">
        <v>86.7791</v>
      </c>
      <c r="L6733" s="37">
        <v>-0.13220900000000002</v>
      </c>
    </row>
    <row r="6734" spans="1:12" hidden="1" outlineLevel="1" x14ac:dyDescent="0.25">
      <c r="A6734" s="739">
        <v>0.05</v>
      </c>
      <c r="B6734" s="740" t="s">
        <v>3407</v>
      </c>
      <c r="C6734" s="1112">
        <v>29.324000000000002</v>
      </c>
      <c r="D6734" s="1091">
        <v>20.14</v>
      </c>
      <c r="E6734" s="896">
        <v>-0.31319056063292872</v>
      </c>
      <c r="F6734" s="946">
        <v>-1.5659528031646438E-2</v>
      </c>
      <c r="G6734" s="78"/>
      <c r="H6734" t="s">
        <v>4127</v>
      </c>
      <c r="J6734" s="256">
        <v>41061</v>
      </c>
      <c r="K6734">
        <v>91.728200000000001</v>
      </c>
      <c r="L6734" s="37">
        <v>-8.2717999999999958E-2</v>
      </c>
    </row>
    <row r="6735" spans="1:12" hidden="1" outlineLevel="1" x14ac:dyDescent="0.25">
      <c r="A6735" s="739">
        <v>0.03</v>
      </c>
      <c r="B6735" s="740" t="s">
        <v>3319</v>
      </c>
      <c r="C6735" s="1112">
        <v>32.334000000000003</v>
      </c>
      <c r="D6735" s="1091">
        <v>48.39</v>
      </c>
      <c r="E6735" s="896">
        <v>0.49656708109111136</v>
      </c>
      <c r="F6735" s="946">
        <v>1.489701243273334E-2</v>
      </c>
      <c r="G6735" s="78"/>
      <c r="H6735" t="s">
        <v>1779</v>
      </c>
      <c r="J6735" s="256">
        <v>41091</v>
      </c>
      <c r="K6735">
        <v>93.868300000000005</v>
      </c>
      <c r="L6735" s="37">
        <v>-6.1316999999999955E-2</v>
      </c>
    </row>
    <row r="6736" spans="1:12" hidden="1" outlineLevel="1" x14ac:dyDescent="0.25">
      <c r="A6736" s="739">
        <v>0.03</v>
      </c>
      <c r="B6736" s="712" t="s">
        <v>1771</v>
      </c>
      <c r="C6736" s="1112">
        <v>850.2</v>
      </c>
      <c r="D6736" s="1091">
        <v>595.79999999999995</v>
      </c>
      <c r="E6736" s="896">
        <v>-0.29922371206774889</v>
      </c>
      <c r="F6736" s="946">
        <v>-8.9767113620324666E-3</v>
      </c>
      <c r="G6736" s="78"/>
      <c r="H6736" t="s">
        <v>4329</v>
      </c>
      <c r="J6736" s="256">
        <v>41122</v>
      </c>
      <c r="K6736">
        <v>94.304299999999998</v>
      </c>
      <c r="L6736" s="37">
        <v>-5.6957000000000035E-2</v>
      </c>
    </row>
    <row r="6737" spans="1:12" hidden="1" outlineLevel="1" x14ac:dyDescent="0.25">
      <c r="A6737" s="739">
        <v>0.05</v>
      </c>
      <c r="B6737" s="740" t="s">
        <v>4143</v>
      </c>
      <c r="C6737" s="1112">
        <v>11.288500000000001</v>
      </c>
      <c r="D6737" s="1091">
        <v>4.03</v>
      </c>
      <c r="E6737" s="896">
        <v>-0.64299951277849132</v>
      </c>
      <c r="F6737" s="946">
        <v>-3.214997563892457E-2</v>
      </c>
      <c r="G6737" s="78"/>
      <c r="H6737" t="s">
        <v>4144</v>
      </c>
      <c r="J6737" s="256">
        <v>41153</v>
      </c>
      <c r="K6737">
        <v>96.191699999999997</v>
      </c>
      <c r="L6737" s="37">
        <v>-3.8082999999999978E-2</v>
      </c>
    </row>
    <row r="6738" spans="1:12" hidden="1" outlineLevel="1" x14ac:dyDescent="0.25">
      <c r="A6738" s="739">
        <v>0.02</v>
      </c>
      <c r="B6738" s="740" t="s">
        <v>2160</v>
      </c>
      <c r="C6738" s="1112">
        <v>32.686999999999998</v>
      </c>
      <c r="D6738" s="1091">
        <v>38.61</v>
      </c>
      <c r="E6738" s="896">
        <v>0.18120353657417332</v>
      </c>
      <c r="F6738" s="946">
        <v>3.6240707314834663E-3</v>
      </c>
      <c r="G6738" s="78"/>
      <c r="H6738" t="s">
        <v>5507</v>
      </c>
      <c r="J6738" s="256">
        <v>41183</v>
      </c>
      <c r="K6738">
        <v>96.353300000000004</v>
      </c>
      <c r="L6738" s="37">
        <v>-3.6466999999999916E-2</v>
      </c>
    </row>
    <row r="6739" spans="1:12" hidden="1" outlineLevel="1" x14ac:dyDescent="0.25">
      <c r="A6739" s="739">
        <v>0.03</v>
      </c>
      <c r="B6739" s="740" t="s">
        <v>3303</v>
      </c>
      <c r="C6739" s="1112">
        <v>83.960999999999999</v>
      </c>
      <c r="D6739" s="1091">
        <v>44.674999999999997</v>
      </c>
      <c r="E6739" s="896">
        <v>-0.46790771906003981</v>
      </c>
      <c r="F6739" s="946">
        <v>-1.4037231571801194E-2</v>
      </c>
      <c r="G6739" s="78"/>
      <c r="H6739" t="e">
        <v>#N/A</v>
      </c>
      <c r="J6739" s="412" t="s">
        <v>2465</v>
      </c>
      <c r="K6739" s="412"/>
      <c r="L6739" s="422">
        <v>-9.5524166666666632E-2</v>
      </c>
    </row>
    <row r="6740" spans="1:12" hidden="1" outlineLevel="1" x14ac:dyDescent="0.25">
      <c r="A6740" s="739">
        <v>0.03</v>
      </c>
      <c r="B6740" s="740" t="s">
        <v>1905</v>
      </c>
      <c r="C6740" s="1112">
        <v>35.664999999999999</v>
      </c>
      <c r="D6740" s="1091">
        <v>43.07</v>
      </c>
      <c r="E6740" s="896">
        <v>0.20762652460395348</v>
      </c>
      <c r="F6740" s="946">
        <v>6.2287957381186041E-3</v>
      </c>
      <c r="G6740" s="78"/>
      <c r="H6740" t="s">
        <v>504</v>
      </c>
      <c r="J6740" s="412" t="s">
        <v>5122</v>
      </c>
      <c r="L6740" s="423">
        <v>-8.5971749999999972E-2</v>
      </c>
    </row>
    <row r="6741" spans="1:12" hidden="1" outlineLevel="1" x14ac:dyDescent="0.25">
      <c r="A6741" s="739">
        <v>0.05</v>
      </c>
      <c r="B6741" s="740" t="s">
        <v>2786</v>
      </c>
      <c r="C6741" s="1112">
        <v>700.15</v>
      </c>
      <c r="D6741" s="1091">
        <v>688</v>
      </c>
      <c r="E6741" s="896">
        <v>-1.7353424266228656E-2</v>
      </c>
      <c r="F6741" s="946">
        <v>-8.6767121331143284E-4</v>
      </c>
      <c r="G6741" s="78"/>
      <c r="H6741" t="s">
        <v>4195</v>
      </c>
    </row>
    <row r="6742" spans="1:12" hidden="1" outlineLevel="1" x14ac:dyDescent="0.25">
      <c r="A6742" s="739">
        <v>0.02</v>
      </c>
      <c r="B6742" s="740" t="s">
        <v>3797</v>
      </c>
      <c r="C6742" s="1112">
        <v>49.256</v>
      </c>
      <c r="D6742" s="1091">
        <v>58.4</v>
      </c>
      <c r="E6742" s="896">
        <v>0.18564235829137554</v>
      </c>
      <c r="F6742" s="946">
        <v>3.712847165827511E-3</v>
      </c>
      <c r="G6742" s="78"/>
      <c r="H6742" t="s">
        <v>3848</v>
      </c>
    </row>
    <row r="6743" spans="1:12" hidden="1" outlineLevel="1" x14ac:dyDescent="0.25">
      <c r="A6743" s="739">
        <v>0.05</v>
      </c>
      <c r="B6743" s="996" t="s">
        <v>2787</v>
      </c>
      <c r="C6743" s="1112">
        <v>61.755000000000003</v>
      </c>
      <c r="D6743" s="1091">
        <v>55.6</v>
      </c>
      <c r="E6743" s="896">
        <v>-9.9668043073435353E-2</v>
      </c>
      <c r="F6743" s="946">
        <v>-4.9834021536717676E-3</v>
      </c>
      <c r="G6743" s="78"/>
      <c r="H6743" t="s">
        <v>80</v>
      </c>
    </row>
    <row r="6744" spans="1:12" hidden="1" outlineLevel="1" x14ac:dyDescent="0.25">
      <c r="A6744" s="739">
        <v>0.05</v>
      </c>
      <c r="B6744" s="740" t="s">
        <v>1204</v>
      </c>
      <c r="C6744" s="1112">
        <v>69.582999999999998</v>
      </c>
      <c r="D6744" s="1091">
        <v>68.31</v>
      </c>
      <c r="E6744" s="896">
        <v>-1.8294698417716915E-2</v>
      </c>
      <c r="F6744" s="946">
        <v>-9.1473492088584582E-4</v>
      </c>
      <c r="G6744" s="78"/>
      <c r="H6744" t="s">
        <v>2427</v>
      </c>
    </row>
    <row r="6745" spans="1:12" hidden="1" outlineLevel="1" x14ac:dyDescent="0.25">
      <c r="A6745" s="739">
        <v>0.05</v>
      </c>
      <c r="B6745" s="740" t="s">
        <v>1414</v>
      </c>
      <c r="C6745" s="1112">
        <v>19.63</v>
      </c>
      <c r="D6745" s="1091">
        <v>23.86</v>
      </c>
      <c r="E6745" s="896">
        <v>0.21548650025471217</v>
      </c>
      <c r="F6745" s="946">
        <v>1.0774325012735609E-2</v>
      </c>
      <c r="G6745" s="78"/>
      <c r="H6745" t="s">
        <v>2428</v>
      </c>
    </row>
    <row r="6746" spans="1:12" hidden="1" outlineLevel="1" x14ac:dyDescent="0.25">
      <c r="A6746" s="739">
        <v>7.0000000000000007E-2</v>
      </c>
      <c r="B6746" s="743" t="s">
        <v>3023</v>
      </c>
      <c r="C6746" s="837">
        <v>70.012</v>
      </c>
      <c r="D6746" s="1091">
        <v>66.819999999999993</v>
      </c>
      <c r="E6746" s="896">
        <v>-4.5592184196994956E-2</v>
      </c>
      <c r="F6746" s="946">
        <v>-3.1914528937896473E-3</v>
      </c>
      <c r="G6746" s="78"/>
      <c r="H6746" t="s">
        <v>2815</v>
      </c>
    </row>
    <row r="6747" spans="1:12" hidden="1" outlineLevel="1" x14ac:dyDescent="0.25">
      <c r="A6747" s="739">
        <v>0.02</v>
      </c>
      <c r="B6747" s="740" t="s">
        <v>161</v>
      </c>
      <c r="C6747" s="837">
        <v>575400</v>
      </c>
      <c r="D6747" s="1091">
        <v>1307000</v>
      </c>
      <c r="E6747" s="896">
        <v>1.2714633298574904</v>
      </c>
      <c r="F6747" s="946">
        <v>2.5429266597149808E-2</v>
      </c>
      <c r="G6747" s="78"/>
      <c r="H6747" t="s">
        <v>562</v>
      </c>
    </row>
    <row r="6748" spans="1:12" hidden="1" outlineLevel="1" x14ac:dyDescent="0.25">
      <c r="A6748" s="739">
        <v>0.02</v>
      </c>
      <c r="B6748" s="740" t="s">
        <v>291</v>
      </c>
      <c r="C6748" s="837">
        <v>15.236000000000001</v>
      </c>
      <c r="D6748" s="1091">
        <v>10.25</v>
      </c>
      <c r="E6748" s="896">
        <v>-0.32725124704646891</v>
      </c>
      <c r="F6748" s="946">
        <v>-6.5450249409293787E-3</v>
      </c>
      <c r="G6748" s="78"/>
      <c r="H6748" t="s">
        <v>292</v>
      </c>
    </row>
    <row r="6749" spans="1:12" hidden="1" outlineLevel="1" x14ac:dyDescent="0.25">
      <c r="A6749" s="739">
        <v>0.02</v>
      </c>
      <c r="B6749" s="740" t="s">
        <v>577</v>
      </c>
      <c r="C6749" s="837">
        <v>16.619</v>
      </c>
      <c r="D6749" s="1091">
        <v>10.01</v>
      </c>
      <c r="E6749" s="896">
        <v>-0.39767735724171127</v>
      </c>
      <c r="F6749" s="946">
        <v>-7.9535471448342263E-3</v>
      </c>
      <c r="G6749" s="78"/>
      <c r="H6749" t="s">
        <v>2804</v>
      </c>
    </row>
    <row r="6750" spans="1:12" hidden="1" outlineLevel="1" x14ac:dyDescent="0.25">
      <c r="A6750" s="739">
        <v>0.05</v>
      </c>
      <c r="B6750" s="740" t="s">
        <v>1622</v>
      </c>
      <c r="C6750" s="837">
        <v>11.328730665</v>
      </c>
      <c r="D6750" s="1091">
        <v>2.3519999999999999</v>
      </c>
      <c r="E6750" s="896">
        <v>-0.79238627260629646</v>
      </c>
      <c r="F6750" s="946">
        <v>-3.9619313630314824E-2</v>
      </c>
      <c r="G6750" s="78"/>
      <c r="H6750" t="s">
        <v>1623</v>
      </c>
    </row>
    <row r="6751" spans="1:12" hidden="1" outlineLevel="1" x14ac:dyDescent="0.25">
      <c r="A6751" s="739">
        <v>0.03</v>
      </c>
      <c r="B6751" s="740" t="s">
        <v>3551</v>
      </c>
      <c r="C6751" s="837">
        <v>4914</v>
      </c>
      <c r="D6751" s="1091">
        <v>3325</v>
      </c>
      <c r="E6751" s="896">
        <v>-0.3233618233618234</v>
      </c>
      <c r="F6751" s="946">
        <v>-9.7008547008547007E-3</v>
      </c>
      <c r="G6751" s="78"/>
      <c r="H6751" t="s">
        <v>2806</v>
      </c>
    </row>
    <row r="6752" spans="1:12" hidden="1" outlineLevel="1" x14ac:dyDescent="0.25">
      <c r="A6752" s="739">
        <v>0.03</v>
      </c>
      <c r="B6752" s="740" t="s">
        <v>4601</v>
      </c>
      <c r="C6752" s="837">
        <v>144.953</v>
      </c>
      <c r="D6752" s="1091">
        <v>165.55</v>
      </c>
      <c r="E6752" s="896">
        <v>0.14209433402551186</v>
      </c>
      <c r="F6752" s="946">
        <v>4.262830020765356E-3</v>
      </c>
      <c r="G6752" s="78"/>
      <c r="H6752" t="s">
        <v>6271</v>
      </c>
    </row>
    <row r="6753" spans="1:16" hidden="1" outlineLevel="1" x14ac:dyDescent="0.25">
      <c r="A6753" s="739">
        <v>0.05</v>
      </c>
      <c r="B6753" s="743" t="s">
        <v>255</v>
      </c>
      <c r="C6753" s="837">
        <v>34.58</v>
      </c>
      <c r="D6753" s="1091">
        <v>41.4</v>
      </c>
      <c r="E6753" s="896">
        <v>0.19722382880277611</v>
      </c>
      <c r="F6753" s="946">
        <v>9.8611914401388057E-3</v>
      </c>
      <c r="G6753" s="78"/>
      <c r="H6753" t="s">
        <v>3351</v>
      </c>
    </row>
    <row r="6754" spans="1:16" hidden="1" outlineLevel="1" x14ac:dyDescent="0.25">
      <c r="A6754" s="739">
        <v>0.03</v>
      </c>
      <c r="B6754" s="743" t="s">
        <v>719</v>
      </c>
      <c r="C6754" s="837">
        <v>38.195999999999998</v>
      </c>
      <c r="D6754" s="1091">
        <v>31.844999999999999</v>
      </c>
      <c r="E6754" s="896">
        <v>-0.16627395538799872</v>
      </c>
      <c r="F6754" s="946">
        <v>-4.9882186616399616E-3</v>
      </c>
      <c r="G6754" s="78"/>
      <c r="H6754" t="s">
        <v>1697</v>
      </c>
    </row>
    <row r="6755" spans="1:16" hidden="1" outlineLevel="1" x14ac:dyDescent="0.25">
      <c r="A6755" s="739">
        <v>0.02</v>
      </c>
      <c r="B6755" s="746" t="s">
        <v>3169</v>
      </c>
      <c r="C6755" s="837">
        <v>26.213999999999999</v>
      </c>
      <c r="D6755" s="945">
        <v>15.74</v>
      </c>
      <c r="E6755" s="947">
        <v>-0.39955748836499572</v>
      </c>
      <c r="F6755" s="1023">
        <v>-7.9911497672999141E-3</v>
      </c>
      <c r="G6755" s="78"/>
      <c r="H6755" t="s">
        <v>657</v>
      </c>
    </row>
    <row r="6756" spans="1:16" hidden="1" outlineLevel="1" x14ac:dyDescent="0.25">
      <c r="A6756" s="717"/>
      <c r="B6756" s="750"/>
      <c r="C6756" s="719"/>
      <c r="D6756" s="727"/>
      <c r="E6756" s="716"/>
      <c r="F6756" s="770">
        <v>-0.10453315936819652</v>
      </c>
      <c r="G6756" s="443"/>
    </row>
    <row r="6757" spans="1:16" collapsed="1" x14ac:dyDescent="0.25">
      <c r="A6757" s="3801" t="s">
        <v>4600</v>
      </c>
      <c r="B6757" s="3802"/>
      <c r="C6757" s="3802"/>
      <c r="D6757" s="3802"/>
      <c r="E6757" s="721"/>
      <c r="F6757" s="722">
        <v>0</v>
      </c>
      <c r="G6757" s="97" t="s">
        <v>781</v>
      </c>
    </row>
    <row r="6758" spans="1:16" x14ac:dyDescent="0.25">
      <c r="G6758" s="444"/>
    </row>
    <row r="6759" spans="1:16" hidden="1" outlineLevel="1" x14ac:dyDescent="0.25">
      <c r="A6759" s="689" t="s">
        <v>113</v>
      </c>
      <c r="B6759" s="689" t="s">
        <v>114</v>
      </c>
      <c r="C6759" s="689" t="s">
        <v>112</v>
      </c>
      <c r="D6759" s="689" t="s">
        <v>116</v>
      </c>
      <c r="E6759" s="689" t="s">
        <v>117</v>
      </c>
      <c r="F6759" s="1188" t="s">
        <v>121</v>
      </c>
      <c r="G6759" s="444"/>
    </row>
    <row r="6760" spans="1:16" hidden="1" outlineLevel="1" x14ac:dyDescent="0.25">
      <c r="A6760" s="690">
        <v>1</v>
      </c>
      <c r="B6760" s="691" t="s">
        <v>252</v>
      </c>
      <c r="C6760" s="692">
        <v>100</v>
      </c>
      <c r="D6760" s="692"/>
      <c r="E6760" s="693"/>
      <c r="F6760" s="694"/>
      <c r="G6760" s="444"/>
    </row>
    <row r="6761" spans="1:16" hidden="1" outlineLevel="1" x14ac:dyDescent="0.25">
      <c r="A6761" s="695"/>
      <c r="B6761" s="695"/>
      <c r="C6761" s="696"/>
      <c r="D6761" s="697" t="s">
        <v>3702</v>
      </c>
      <c r="E6761" s="698">
        <v>41516</v>
      </c>
      <c r="F6761" s="699"/>
      <c r="G6761" s="444"/>
    </row>
    <row r="6762" spans="1:16" ht="14.4" hidden="1" outlineLevel="1" x14ac:dyDescent="0.3">
      <c r="A6762" s="495" t="s">
        <v>4156</v>
      </c>
      <c r="B6762" s="495" t="s">
        <v>4153</v>
      </c>
      <c r="C6762" s="700" t="s">
        <v>112</v>
      </c>
      <c r="D6762" s="495" t="s">
        <v>4155</v>
      </c>
      <c r="E6762" s="495" t="s">
        <v>4154</v>
      </c>
      <c r="F6762" s="1021" t="s">
        <v>2519</v>
      </c>
      <c r="G6762" s="444"/>
      <c r="I6762" t="s">
        <v>5665</v>
      </c>
      <c r="J6762" s="370"/>
      <c r="K6762" s="370"/>
      <c r="L6762" s="463"/>
      <c r="M6762" s="463"/>
      <c r="N6762" s="463"/>
      <c r="O6762" s="463"/>
      <c r="P6762" s="463"/>
    </row>
    <row r="6763" spans="1:16" hidden="1" outlineLevel="1" x14ac:dyDescent="0.25">
      <c r="A6763" s="1127">
        <v>0.04</v>
      </c>
      <c r="B6763" s="949" t="s">
        <v>359</v>
      </c>
      <c r="C6763" s="1128">
        <v>111.05200000000001</v>
      </c>
      <c r="D6763" s="799">
        <v>108.4</v>
      </c>
      <c r="E6763" s="911">
        <v>-2.3880704534812502E-2</v>
      </c>
      <c r="F6763" s="1021">
        <v>-9.5522818139250011E-4</v>
      </c>
      <c r="G6763" s="444"/>
      <c r="H6763" t="s">
        <v>360</v>
      </c>
      <c r="I6763">
        <v>110.85</v>
      </c>
      <c r="J6763" s="370"/>
      <c r="K6763" s="370"/>
      <c r="L6763" s="370"/>
      <c r="M6763" s="370"/>
      <c r="N6763" s="464"/>
      <c r="O6763" s="370"/>
      <c r="P6763" s="370"/>
    </row>
    <row r="6764" spans="1:16" hidden="1" outlineLevel="1" x14ac:dyDescent="0.25">
      <c r="A6764" s="849">
        <v>0.04</v>
      </c>
      <c r="B6764" s="853" t="s">
        <v>1993</v>
      </c>
      <c r="C6764" s="1129">
        <v>20.85</v>
      </c>
      <c r="D6764" s="852">
        <v>33.880000000000003</v>
      </c>
      <c r="E6764" s="909">
        <v>0.62494004796163072</v>
      </c>
      <c r="F6764" s="946">
        <v>2.4997601918465229E-2</v>
      </c>
      <c r="G6764" s="444"/>
      <c r="H6764" t="s">
        <v>2812</v>
      </c>
      <c r="I6764">
        <v>34.247999999999998</v>
      </c>
      <c r="J6764" s="370"/>
      <c r="K6764" s="370"/>
      <c r="L6764" s="370"/>
      <c r="M6764" s="370"/>
      <c r="N6764" s="464"/>
      <c r="O6764" s="370"/>
      <c r="P6764" s="370"/>
    </row>
    <row r="6765" spans="1:16" hidden="1" outlineLevel="1" x14ac:dyDescent="0.25">
      <c r="A6765" s="849">
        <v>0.02</v>
      </c>
      <c r="B6765" s="853" t="s">
        <v>2697</v>
      </c>
      <c r="C6765" s="1129">
        <v>22.61</v>
      </c>
      <c r="D6765" s="852">
        <v>14.5</v>
      </c>
      <c r="E6765" s="909">
        <v>-0.35869084475895618</v>
      </c>
      <c r="F6765" s="946">
        <v>-7.1738168951791239E-3</v>
      </c>
      <c r="G6765" s="444"/>
      <c r="H6765" t="s">
        <v>329</v>
      </c>
      <c r="I6765">
        <v>14.51</v>
      </c>
      <c r="J6765" s="370"/>
      <c r="K6765" s="370"/>
      <c r="L6765" s="370"/>
      <c r="M6765" s="370"/>
      <c r="N6765" s="464"/>
      <c r="O6765" s="370"/>
      <c r="P6765" s="370"/>
    </row>
    <row r="6766" spans="1:16" hidden="1" outlineLevel="1" x14ac:dyDescent="0.25">
      <c r="A6766" s="849">
        <v>0.04</v>
      </c>
      <c r="B6766" s="877" t="s">
        <v>3998</v>
      </c>
      <c r="C6766" s="1129">
        <v>31.942</v>
      </c>
      <c r="D6766" s="852">
        <v>33.83</v>
      </c>
      <c r="E6766" s="909">
        <v>5.9107131676162883E-2</v>
      </c>
      <c r="F6766" s="946">
        <v>2.3642852670465154E-3</v>
      </c>
      <c r="G6766" s="444"/>
      <c r="H6766" t="s">
        <v>4000</v>
      </c>
      <c r="I6766">
        <v>33.488</v>
      </c>
      <c r="J6766" s="370"/>
      <c r="K6766" s="370"/>
      <c r="L6766" s="370"/>
      <c r="M6766" s="370"/>
      <c r="N6766" s="464"/>
      <c r="O6766" s="370"/>
      <c r="P6766" s="370"/>
    </row>
    <row r="6767" spans="1:16" hidden="1" outlineLevel="1" x14ac:dyDescent="0.25">
      <c r="A6767" s="849">
        <v>0.04</v>
      </c>
      <c r="B6767" s="877" t="s">
        <v>2984</v>
      </c>
      <c r="C6767" s="1129">
        <v>11.5</v>
      </c>
      <c r="D6767" s="852">
        <v>7.22</v>
      </c>
      <c r="E6767" s="909">
        <v>-0.37217391304347824</v>
      </c>
      <c r="F6767" s="946">
        <v>-1.4886956521739131E-2</v>
      </c>
      <c r="G6767" s="444"/>
      <c r="H6767" t="s">
        <v>2326</v>
      </c>
      <c r="I6767">
        <v>7.4947999999999997</v>
      </c>
      <c r="J6767" s="370"/>
      <c r="K6767" s="370"/>
      <c r="L6767" s="370"/>
      <c r="M6767" s="370"/>
      <c r="N6767" s="464"/>
      <c r="O6767" s="370"/>
      <c r="P6767" s="370"/>
    </row>
    <row r="6768" spans="1:16" hidden="1" outlineLevel="1" x14ac:dyDescent="0.25">
      <c r="A6768" s="849">
        <v>0.03</v>
      </c>
      <c r="B6768" s="877" t="s">
        <v>157</v>
      </c>
      <c r="C6768" s="1129">
        <v>11.36</v>
      </c>
      <c r="D6768" s="852">
        <v>5.34</v>
      </c>
      <c r="E6768" s="909">
        <v>-0.52992957746478875</v>
      </c>
      <c r="F6768" s="946">
        <v>-1.5897887323943663E-2</v>
      </c>
      <c r="G6768" s="444"/>
      <c r="H6768" t="s">
        <v>730</v>
      </c>
      <c r="I6768">
        <v>5.4718</v>
      </c>
      <c r="J6768" s="370"/>
      <c r="K6768" s="370"/>
      <c r="L6768" s="370"/>
      <c r="M6768" s="370"/>
      <c r="N6768" s="464"/>
      <c r="O6768" s="370"/>
      <c r="P6768" s="370"/>
    </row>
    <row r="6769" spans="1:16" hidden="1" outlineLevel="1" x14ac:dyDescent="0.25">
      <c r="A6769" s="849">
        <v>0.03</v>
      </c>
      <c r="B6769" s="906" t="s">
        <v>901</v>
      </c>
      <c r="C6769" s="1129">
        <v>1868.6</v>
      </c>
      <c r="D6769" s="852">
        <v>3255</v>
      </c>
      <c r="E6769" s="909">
        <v>0.7419458418067002</v>
      </c>
      <c r="F6769" s="946">
        <v>2.2258375254201004E-2</v>
      </c>
      <c r="G6769" s="444"/>
      <c r="H6769" t="s">
        <v>531</v>
      </c>
      <c r="I6769">
        <v>32.704000000000001</v>
      </c>
      <c r="J6769" s="370"/>
      <c r="K6769" s="370"/>
      <c r="L6769" s="370"/>
      <c r="M6769" s="370"/>
      <c r="N6769" s="464"/>
      <c r="O6769" s="370"/>
      <c r="P6769" s="370"/>
    </row>
    <row r="6770" spans="1:16" hidden="1" outlineLevel="1" x14ac:dyDescent="0.25">
      <c r="A6770" s="849">
        <v>0.03</v>
      </c>
      <c r="B6770" s="853" t="s">
        <v>1847</v>
      </c>
      <c r="C6770" s="1129">
        <v>19.111999999999998</v>
      </c>
      <c r="D6770" s="852">
        <v>48.33</v>
      </c>
      <c r="E6770" s="909">
        <v>1.5287777312683133</v>
      </c>
      <c r="F6770" s="946">
        <v>4.5863331938049395E-2</v>
      </c>
      <c r="G6770" s="444"/>
      <c r="H6770" t="s">
        <v>2749</v>
      </c>
      <c r="I6770">
        <v>49.628</v>
      </c>
      <c r="J6770" s="370"/>
      <c r="K6770" s="370"/>
      <c r="L6770" s="370"/>
      <c r="M6770" s="370"/>
      <c r="N6770" s="464"/>
      <c r="O6770" s="370"/>
      <c r="P6770" s="370"/>
    </row>
    <row r="6771" spans="1:16" hidden="1" outlineLevel="1" x14ac:dyDescent="0.25">
      <c r="A6771" s="849">
        <v>0.02</v>
      </c>
      <c r="B6771" s="853" t="s">
        <v>1212</v>
      </c>
      <c r="C6771" s="1129">
        <v>517.92000000000007</v>
      </c>
      <c r="D6771" s="852">
        <v>26.82</v>
      </c>
      <c r="E6771" s="909">
        <v>-0.94821594068582016</v>
      </c>
      <c r="F6771" s="946">
        <v>-1.8964318813716404E-2</v>
      </c>
      <c r="G6771" s="444"/>
      <c r="H6771" t="s">
        <v>4229</v>
      </c>
      <c r="I6771">
        <v>27.577999999999999</v>
      </c>
      <c r="J6771" s="370"/>
      <c r="K6771" s="370"/>
      <c r="L6771" s="370"/>
      <c r="M6771" s="370"/>
      <c r="N6771" s="464"/>
      <c r="O6771" s="370"/>
      <c r="P6771" s="370"/>
    </row>
    <row r="6772" spans="1:16" hidden="1" outlineLevel="1" x14ac:dyDescent="0.25">
      <c r="A6772" s="849">
        <v>0.04</v>
      </c>
      <c r="B6772" s="853" t="s">
        <v>2699</v>
      </c>
      <c r="C6772" s="1129">
        <v>15.784000000000001</v>
      </c>
      <c r="D6772" s="852">
        <v>21.86</v>
      </c>
      <c r="E6772" s="909">
        <v>0.38494678155093753</v>
      </c>
      <c r="F6772" s="946">
        <v>1.5397871262037502E-2</v>
      </c>
      <c r="G6772" s="444"/>
      <c r="H6772" t="s">
        <v>505</v>
      </c>
      <c r="I6772">
        <v>22.736000000000001</v>
      </c>
      <c r="J6772" s="370"/>
      <c r="K6772" s="370"/>
      <c r="L6772" s="370"/>
      <c r="M6772" s="370"/>
      <c r="N6772" s="464"/>
      <c r="O6772" s="370"/>
      <c r="P6772" s="370"/>
    </row>
    <row r="6773" spans="1:16" hidden="1" outlineLevel="1" x14ac:dyDescent="0.25">
      <c r="A6773" s="849">
        <v>0.02</v>
      </c>
      <c r="B6773" s="853" t="s">
        <v>3406</v>
      </c>
      <c r="C6773" s="1129">
        <v>1038.8</v>
      </c>
      <c r="D6773" s="852">
        <v>1974</v>
      </c>
      <c r="E6773" s="909">
        <v>0.90026954177897589</v>
      </c>
      <c r="F6773" s="946">
        <v>1.8005390835579518E-2</v>
      </c>
      <c r="G6773" s="444"/>
      <c r="H6773" t="s">
        <v>2105</v>
      </c>
      <c r="I6773">
        <v>19.812999999999999</v>
      </c>
      <c r="J6773" s="370"/>
      <c r="K6773" s="370"/>
      <c r="L6773" s="370"/>
      <c r="M6773" s="370"/>
      <c r="N6773" s="464"/>
      <c r="O6773" s="370"/>
      <c r="P6773" s="370"/>
    </row>
    <row r="6774" spans="1:16" hidden="1" outlineLevel="1" x14ac:dyDescent="0.25">
      <c r="A6774" s="849">
        <v>0.06</v>
      </c>
      <c r="B6774" s="853" t="s">
        <v>3021</v>
      </c>
      <c r="C6774" s="1129">
        <v>20.286000000000001</v>
      </c>
      <c r="D6774" s="852">
        <v>17.28</v>
      </c>
      <c r="E6774" s="909">
        <v>-0.14818101153504881</v>
      </c>
      <c r="F6774" s="946">
        <v>-8.8908606921029292E-3</v>
      </c>
      <c r="G6774" s="444"/>
      <c r="H6774" t="s">
        <v>4124</v>
      </c>
      <c r="I6774">
        <v>17.37</v>
      </c>
      <c r="J6774" s="370"/>
      <c r="K6774" s="370"/>
      <c r="L6774" s="370"/>
      <c r="M6774" s="370"/>
      <c r="N6774" s="464"/>
      <c r="O6774" s="370"/>
      <c r="P6774" s="370"/>
    </row>
    <row r="6775" spans="1:16" hidden="1" outlineLevel="1" x14ac:dyDescent="0.25">
      <c r="A6775" s="849">
        <v>0.05</v>
      </c>
      <c r="B6775" s="853" t="s">
        <v>1176</v>
      </c>
      <c r="C6775" s="1129">
        <v>9.2845999999999993</v>
      </c>
      <c r="D6775" s="852">
        <v>1.599</v>
      </c>
      <c r="E6775" s="909">
        <v>-0.82777933352002242</v>
      </c>
      <c r="F6775" s="946">
        <v>-4.1388966676001122E-2</v>
      </c>
      <c r="G6775" s="444"/>
      <c r="H6775" t="s">
        <v>3090</v>
      </c>
      <c r="I6775">
        <v>30.648</v>
      </c>
      <c r="J6775" s="370"/>
      <c r="K6775" s="370"/>
      <c r="L6775" s="370"/>
      <c r="M6775" s="370"/>
      <c r="N6775" s="464"/>
      <c r="O6775" s="370"/>
      <c r="P6775" s="370"/>
    </row>
    <row r="6776" spans="1:16" hidden="1" outlineLevel="1" x14ac:dyDescent="0.25">
      <c r="A6776" s="849">
        <v>0.03</v>
      </c>
      <c r="B6776" s="853" t="s">
        <v>4268</v>
      </c>
      <c r="C6776" s="1129">
        <v>23.762</v>
      </c>
      <c r="D6776" s="852">
        <v>15.06</v>
      </c>
      <c r="E6776" s="909">
        <v>-0.36621496507028028</v>
      </c>
      <c r="F6776" s="946">
        <v>-1.0986448952108409E-2</v>
      </c>
      <c r="G6776" s="444"/>
      <c r="H6776" t="s">
        <v>1801</v>
      </c>
      <c r="I6776">
        <v>15.476000000000001</v>
      </c>
      <c r="J6776" s="370"/>
      <c r="K6776" s="370"/>
      <c r="L6776" s="370"/>
      <c r="M6776" s="370"/>
      <c r="N6776" s="464"/>
      <c r="O6776" s="370"/>
      <c r="P6776" s="370"/>
    </row>
    <row r="6777" spans="1:16" hidden="1" outlineLevel="1" x14ac:dyDescent="0.25">
      <c r="A6777" s="849">
        <v>0.06</v>
      </c>
      <c r="B6777" s="853" t="s">
        <v>2588</v>
      </c>
      <c r="C6777" s="1129">
        <v>21.321999999999999</v>
      </c>
      <c r="D6777" s="852">
        <v>8.2149999999999999</v>
      </c>
      <c r="E6777" s="909">
        <v>-0.61471719350905163</v>
      </c>
      <c r="F6777" s="946">
        <v>-3.6883031610543099E-2</v>
      </c>
      <c r="G6777" s="444"/>
      <c r="H6777" t="s">
        <v>4132</v>
      </c>
      <c r="I6777">
        <v>8.3765999999999998</v>
      </c>
      <c r="J6777" s="370"/>
      <c r="K6777" s="370"/>
      <c r="L6777" s="370"/>
      <c r="M6777" s="370"/>
      <c r="N6777" s="464"/>
      <c r="O6777" s="370"/>
      <c r="P6777" s="370"/>
    </row>
    <row r="6778" spans="1:16" hidden="1" outlineLevel="1" x14ac:dyDescent="0.25">
      <c r="A6778" s="849">
        <v>0.04</v>
      </c>
      <c r="B6778" s="853" t="s">
        <v>44</v>
      </c>
      <c r="C6778" s="1129">
        <v>3.8512</v>
      </c>
      <c r="D6778" s="852">
        <v>1.4849999999999999</v>
      </c>
      <c r="E6778" s="909">
        <v>-0.61440589945990864</v>
      </c>
      <c r="F6778" s="946">
        <v>-2.4576235978396345E-2</v>
      </c>
      <c r="G6778" s="444"/>
      <c r="H6778" t="s">
        <v>204</v>
      </c>
      <c r="I6778">
        <v>1.5251999999999999</v>
      </c>
      <c r="J6778" s="370"/>
      <c r="K6778" s="370"/>
      <c r="L6778" s="370"/>
      <c r="M6778" s="370"/>
      <c r="N6778" s="464"/>
      <c r="O6778" s="370"/>
      <c r="P6778" s="370"/>
    </row>
    <row r="6779" spans="1:16" hidden="1" outlineLevel="1" x14ac:dyDescent="0.25">
      <c r="A6779" s="849">
        <v>0.02</v>
      </c>
      <c r="B6779" s="853" t="s">
        <v>4376</v>
      </c>
      <c r="C6779" s="1129">
        <v>40.334000000000003</v>
      </c>
      <c r="D6779" s="852">
        <v>50.53</v>
      </c>
      <c r="E6779" s="909">
        <v>0.25278921009570077</v>
      </c>
      <c r="F6779" s="946">
        <v>5.0557842019140157E-3</v>
      </c>
      <c r="G6779" s="444"/>
      <c r="H6779" t="s">
        <v>4326</v>
      </c>
      <c r="I6779">
        <v>52.106000000000002</v>
      </c>
      <c r="J6779" s="370"/>
      <c r="K6779" s="370"/>
      <c r="L6779" s="370"/>
      <c r="M6779" s="370"/>
      <c r="N6779" s="464"/>
      <c r="O6779" s="370"/>
      <c r="P6779" s="370"/>
    </row>
    <row r="6780" spans="1:16" hidden="1" outlineLevel="1" x14ac:dyDescent="0.25">
      <c r="A6780" s="849">
        <v>0.03</v>
      </c>
      <c r="B6780" s="853" t="s">
        <v>1526</v>
      </c>
      <c r="C6780" s="1129">
        <v>64.932000000000002</v>
      </c>
      <c r="D6780" s="852">
        <v>33.28</v>
      </c>
      <c r="E6780" s="909">
        <v>-0.4874638082917514</v>
      </c>
      <c r="F6780" s="946">
        <v>-1.4623914248752541E-2</v>
      </c>
      <c r="G6780" s="444"/>
      <c r="H6780" t="s">
        <v>4146</v>
      </c>
      <c r="I6780">
        <v>34.409999999999997</v>
      </c>
      <c r="J6780" s="370"/>
      <c r="K6780" s="370"/>
      <c r="L6780" s="370"/>
      <c r="M6780" s="370"/>
      <c r="N6780" s="464"/>
      <c r="O6780" s="370"/>
      <c r="P6780" s="370"/>
    </row>
    <row r="6781" spans="1:16" hidden="1" outlineLevel="1" x14ac:dyDescent="0.25">
      <c r="A6781" s="849">
        <v>0.04</v>
      </c>
      <c r="B6781" s="1146" t="s">
        <v>2160</v>
      </c>
      <c r="C6781" s="1129">
        <v>33.014000000000003</v>
      </c>
      <c r="D6781" s="852">
        <v>51.77</v>
      </c>
      <c r="E6781" s="909">
        <v>0.56812261464833091</v>
      </c>
      <c r="F6781" s="946">
        <v>2.2724904585933237E-2</v>
      </c>
      <c r="G6781" s="444"/>
      <c r="H6781" t="s">
        <v>5507</v>
      </c>
      <c r="I6781">
        <v>53.125999999999998</v>
      </c>
      <c r="J6781" s="370"/>
      <c r="K6781" s="370"/>
      <c r="L6781" s="370"/>
      <c r="M6781" s="370"/>
      <c r="N6781" s="464"/>
      <c r="O6781" s="370"/>
      <c r="P6781" s="370"/>
    </row>
    <row r="6782" spans="1:16" hidden="1" outlineLevel="1" x14ac:dyDescent="0.25">
      <c r="A6782" s="849">
        <v>0.03</v>
      </c>
      <c r="B6782" s="740" t="s">
        <v>1905</v>
      </c>
      <c r="C6782" s="1129">
        <v>34.326000000000001</v>
      </c>
      <c r="D6782" s="852">
        <v>47.29</v>
      </c>
      <c r="E6782" s="909">
        <v>0.37767290100798223</v>
      </c>
      <c r="F6782" s="946">
        <v>1.1330187030239466E-2</v>
      </c>
      <c r="G6782" s="444"/>
      <c r="H6782" t="s">
        <v>504</v>
      </c>
      <c r="I6782">
        <v>47.526000000000003</v>
      </c>
      <c r="J6782" s="370"/>
      <c r="K6782" s="370"/>
      <c r="L6782" s="370"/>
      <c r="M6782" s="370"/>
      <c r="N6782" s="464"/>
      <c r="O6782" s="370"/>
      <c r="P6782" s="370"/>
    </row>
    <row r="6783" spans="1:16" hidden="1" outlineLevel="1" x14ac:dyDescent="0.25">
      <c r="A6783" s="849">
        <v>0.04</v>
      </c>
      <c r="B6783" s="740" t="s">
        <v>2786</v>
      </c>
      <c r="C6783" s="1129">
        <v>697</v>
      </c>
      <c r="D6783" s="852">
        <v>742.5</v>
      </c>
      <c r="E6783" s="909">
        <v>6.5279770444763185E-2</v>
      </c>
      <c r="F6783" s="946">
        <v>2.6111908177905273E-3</v>
      </c>
      <c r="G6783" s="444"/>
      <c r="H6783" t="s">
        <v>4195</v>
      </c>
      <c r="I6783">
        <v>7.4320000000000004</v>
      </c>
      <c r="J6783" s="370"/>
      <c r="K6783" s="370"/>
      <c r="L6783" s="370"/>
      <c r="M6783" s="370"/>
      <c r="N6783" s="464"/>
      <c r="O6783" s="370"/>
      <c r="P6783" s="370"/>
    </row>
    <row r="6784" spans="1:16" hidden="1" outlineLevel="1" x14ac:dyDescent="0.25">
      <c r="A6784" s="849">
        <v>0.03</v>
      </c>
      <c r="B6784" s="740" t="s">
        <v>3797</v>
      </c>
      <c r="C6784" s="1129">
        <v>49.103999999999999</v>
      </c>
      <c r="D6784" s="852">
        <v>61.05</v>
      </c>
      <c r="E6784" s="909">
        <v>0.24327956989247301</v>
      </c>
      <c r="F6784" s="946">
        <v>7.2983870967741902E-3</v>
      </c>
      <c r="G6784" s="444"/>
      <c r="H6784" t="s">
        <v>3848</v>
      </c>
      <c r="I6784">
        <v>61.13</v>
      </c>
      <c r="J6784" s="370"/>
      <c r="K6784" s="370"/>
      <c r="L6784" s="370"/>
      <c r="M6784" s="370"/>
      <c r="N6784" s="464"/>
      <c r="O6784" s="370"/>
      <c r="P6784" s="370"/>
    </row>
    <row r="6785" spans="1:16" hidden="1" outlineLevel="1" x14ac:dyDescent="0.25">
      <c r="A6785" s="849">
        <v>0.03</v>
      </c>
      <c r="B6785" s="740" t="s">
        <v>1190</v>
      </c>
      <c r="C6785" s="1129">
        <v>14.15</v>
      </c>
      <c r="D6785" s="852">
        <v>2.9260000000000002</v>
      </c>
      <c r="E6785" s="909">
        <v>-0.79321554770318015</v>
      </c>
      <c r="F6785" s="946">
        <v>-2.3796466431095405E-2</v>
      </c>
      <c r="G6785" s="444"/>
      <c r="H6785" t="s">
        <v>7569</v>
      </c>
      <c r="I6785">
        <v>3.8488000000000002</v>
      </c>
      <c r="J6785" s="370"/>
      <c r="K6785" s="370"/>
      <c r="L6785" s="370"/>
      <c r="M6785" s="370"/>
      <c r="N6785" s="464"/>
      <c r="O6785" s="370"/>
      <c r="P6785" s="370"/>
    </row>
    <row r="6786" spans="1:16" hidden="1" outlineLevel="1" x14ac:dyDescent="0.25">
      <c r="A6786" s="849">
        <v>0.04</v>
      </c>
      <c r="B6786" s="853" t="s">
        <v>1414</v>
      </c>
      <c r="C6786" s="1129">
        <v>18.495999999999999</v>
      </c>
      <c r="D6786" s="852">
        <v>28.21</v>
      </c>
      <c r="E6786" s="909">
        <v>0.52519463667820077</v>
      </c>
      <c r="F6786" s="946">
        <v>2.1007785467128032E-2</v>
      </c>
      <c r="G6786" s="444"/>
      <c r="H6786" t="s">
        <v>2428</v>
      </c>
      <c r="I6786">
        <v>28.245999999999999</v>
      </c>
      <c r="J6786" s="370"/>
      <c r="K6786" s="370"/>
      <c r="L6786" s="370"/>
      <c r="M6786" s="370"/>
      <c r="N6786" s="464"/>
      <c r="O6786" s="370"/>
      <c r="P6786" s="370"/>
    </row>
    <row r="6787" spans="1:16" hidden="1" outlineLevel="1" x14ac:dyDescent="0.25">
      <c r="A6787" s="849">
        <v>0.03</v>
      </c>
      <c r="B6787" s="853" t="s">
        <v>3801</v>
      </c>
      <c r="C6787" s="1129">
        <v>67.05</v>
      </c>
      <c r="D6787" s="852">
        <v>20.795000000000002</v>
      </c>
      <c r="E6787" s="909">
        <v>-0.68985831469052949</v>
      </c>
      <c r="F6787" s="946">
        <v>-2.0695749440715883E-2</v>
      </c>
      <c r="G6787" s="444"/>
      <c r="H6787" t="s">
        <v>2819</v>
      </c>
      <c r="I6787">
        <v>21.725000000000001</v>
      </c>
      <c r="J6787" s="370"/>
      <c r="K6787" s="370"/>
      <c r="L6787" s="370"/>
      <c r="M6787" s="370"/>
      <c r="N6787" s="464"/>
      <c r="O6787" s="370"/>
      <c r="P6787" s="370"/>
    </row>
    <row r="6788" spans="1:16" hidden="1" outlineLevel="1" x14ac:dyDescent="0.25">
      <c r="A6788" s="849">
        <v>0.02</v>
      </c>
      <c r="B6788" s="853" t="s">
        <v>1214</v>
      </c>
      <c r="C6788" s="1129">
        <v>69.042000000000002</v>
      </c>
      <c r="D6788" s="852">
        <v>80.09</v>
      </c>
      <c r="E6788" s="909">
        <v>0.1600185394397613</v>
      </c>
      <c r="F6788" s="946">
        <v>3.2003707887952259E-3</v>
      </c>
      <c r="G6788" s="444"/>
      <c r="H6788" t="s">
        <v>3775</v>
      </c>
      <c r="I6788">
        <v>83.402000000000001</v>
      </c>
      <c r="J6788" s="370"/>
      <c r="K6788" s="370"/>
      <c r="L6788" s="370"/>
      <c r="M6788" s="370"/>
      <c r="N6788" s="464"/>
      <c r="O6788" s="370"/>
      <c r="P6788" s="370"/>
    </row>
    <row r="6789" spans="1:16" hidden="1" outlineLevel="1" x14ac:dyDescent="0.25">
      <c r="A6789" s="849">
        <v>0.02</v>
      </c>
      <c r="B6789" s="853" t="s">
        <v>231</v>
      </c>
      <c r="C6789" s="1129">
        <v>47.026000000000003</v>
      </c>
      <c r="D6789" s="852">
        <v>32.020000000000003</v>
      </c>
      <c r="E6789" s="909">
        <v>-0.31910007230042958</v>
      </c>
      <c r="F6789" s="946">
        <v>-6.382001446008592E-3</v>
      </c>
      <c r="G6789" s="444"/>
      <c r="H6789" t="s">
        <v>640</v>
      </c>
      <c r="I6789">
        <v>32.543999999999997</v>
      </c>
      <c r="J6789" s="370"/>
      <c r="K6789" s="370"/>
      <c r="L6789" s="370"/>
      <c r="M6789" s="370"/>
      <c r="N6789" s="464"/>
      <c r="O6789" s="370"/>
      <c r="P6789" s="370"/>
    </row>
    <row r="6790" spans="1:16" hidden="1" outlineLevel="1" x14ac:dyDescent="0.25">
      <c r="A6790" s="849">
        <v>0.03</v>
      </c>
      <c r="B6790" s="853" t="s">
        <v>577</v>
      </c>
      <c r="C6790" s="1129">
        <v>16.853999999999999</v>
      </c>
      <c r="D6790" s="852">
        <v>10.275</v>
      </c>
      <c r="E6790" s="909">
        <v>-0.3903524385902456</v>
      </c>
      <c r="F6790" s="946">
        <v>-1.1710573157707368E-2</v>
      </c>
      <c r="G6790" s="444"/>
      <c r="H6790" t="s">
        <v>2804</v>
      </c>
      <c r="I6790">
        <v>10.579000000000001</v>
      </c>
      <c r="J6790" s="370"/>
      <c r="K6790" s="370"/>
      <c r="L6790" s="370"/>
      <c r="M6790" s="370"/>
      <c r="N6790" s="464"/>
      <c r="O6790" s="370"/>
      <c r="P6790" s="370"/>
    </row>
    <row r="6791" spans="1:16" hidden="1" outlineLevel="1" x14ac:dyDescent="0.25">
      <c r="A6791" s="849">
        <v>0.02</v>
      </c>
      <c r="B6791" s="853" t="s">
        <v>1183</v>
      </c>
      <c r="C6791" s="1129">
        <v>44.567999999999998</v>
      </c>
      <c r="D6791" s="852">
        <v>41.914999999999999</v>
      </c>
      <c r="E6791" s="909">
        <v>-5.952701489858192E-2</v>
      </c>
      <c r="F6791" s="946">
        <v>-1.1905402979716384E-3</v>
      </c>
      <c r="G6791" s="444"/>
      <c r="H6791" t="s">
        <v>2805</v>
      </c>
      <c r="I6791">
        <v>42.148000000000003</v>
      </c>
      <c r="J6791" s="370"/>
      <c r="K6791" s="370"/>
      <c r="L6791" s="370"/>
      <c r="M6791" s="370"/>
      <c r="N6791" s="464"/>
      <c r="O6791" s="370"/>
      <c r="P6791" s="370"/>
    </row>
    <row r="6792" spans="1:16" hidden="1" outlineLevel="1" x14ac:dyDescent="0.25">
      <c r="A6792" s="990">
        <v>0.03</v>
      </c>
      <c r="B6792" s="746" t="s">
        <v>3169</v>
      </c>
      <c r="C6792" s="1130">
        <v>25.215</v>
      </c>
      <c r="D6792" s="801">
        <v>15.345000000000001</v>
      </c>
      <c r="E6792" s="498">
        <v>-0.39143367043426525</v>
      </c>
      <c r="F6792" s="946">
        <v>-1.1743010113027957E-2</v>
      </c>
      <c r="G6792" s="444"/>
      <c r="H6792" t="s">
        <v>657</v>
      </c>
      <c r="I6792">
        <v>16.059999999999999</v>
      </c>
      <c r="J6792" s="370"/>
      <c r="K6792" s="370"/>
      <c r="L6792" s="370"/>
      <c r="M6792" s="370"/>
      <c r="N6792" s="464"/>
      <c r="O6792" s="370"/>
      <c r="P6792" s="370"/>
    </row>
    <row r="6793" spans="1:16" hidden="1" outlineLevel="1" x14ac:dyDescent="0.25">
      <c r="A6793" s="1022"/>
      <c r="B6793" s="1022"/>
      <c r="C6793" s="1022"/>
      <c r="D6793" s="1022"/>
      <c r="E6793" s="1022"/>
      <c r="F6793" s="731">
        <v>-6.863054031644826E-2</v>
      </c>
      <c r="G6793" s="444"/>
      <c r="I6793" s="406">
        <v>-9.2999999999999999E-2</v>
      </c>
      <c r="J6793" s="370"/>
      <c r="K6793" s="370"/>
      <c r="L6793" s="370"/>
      <c r="M6793" s="370"/>
      <c r="N6793" s="464"/>
      <c r="O6793" s="370"/>
      <c r="P6793" s="370"/>
    </row>
    <row r="6794" spans="1:16" collapsed="1" x14ac:dyDescent="0.25">
      <c r="A6794" s="3801" t="s">
        <v>2104</v>
      </c>
      <c r="B6794" s="3802"/>
      <c r="C6794" s="3802"/>
      <c r="D6794" s="3802"/>
      <c r="E6794" s="721"/>
      <c r="F6794" s="752">
        <v>0</v>
      </c>
      <c r="G6794" s="97" t="s">
        <v>781</v>
      </c>
      <c r="I6794">
        <v>0</v>
      </c>
    </row>
    <row r="6795" spans="1:16" x14ac:dyDescent="0.25">
      <c r="G6795" s="444"/>
    </row>
    <row r="6796" spans="1:16" hidden="1" outlineLevel="1" x14ac:dyDescent="0.25">
      <c r="A6796" s="689" t="s">
        <v>113</v>
      </c>
      <c r="B6796" s="689" t="s">
        <v>114</v>
      </c>
      <c r="C6796" s="689" t="s">
        <v>112</v>
      </c>
      <c r="D6796" s="689" t="s">
        <v>116</v>
      </c>
      <c r="E6796" s="689" t="s">
        <v>117</v>
      </c>
      <c r="F6796" s="1188" t="s">
        <v>121</v>
      </c>
      <c r="G6796" s="444"/>
    </row>
    <row r="6797" spans="1:16" hidden="1" outlineLevel="1" x14ac:dyDescent="0.25">
      <c r="A6797" s="690">
        <v>16</v>
      </c>
      <c r="B6797" s="691" t="s">
        <v>252</v>
      </c>
      <c r="C6797" s="692">
        <v>100</v>
      </c>
      <c r="D6797" s="692"/>
      <c r="E6797" s="693"/>
      <c r="F6797" s="694"/>
      <c r="G6797" s="444"/>
    </row>
    <row r="6798" spans="1:16" hidden="1" outlineLevel="1" x14ac:dyDescent="0.25">
      <c r="A6798" s="695"/>
      <c r="B6798" s="695"/>
      <c r="C6798" s="696"/>
      <c r="D6798" s="697" t="s">
        <v>3702</v>
      </c>
      <c r="E6798" s="698">
        <v>41089</v>
      </c>
      <c r="F6798" s="699"/>
      <c r="G6798" s="444"/>
    </row>
    <row r="6799" spans="1:16" hidden="1" outlineLevel="1" x14ac:dyDescent="0.25">
      <c r="A6799" s="495" t="s">
        <v>4156</v>
      </c>
      <c r="B6799" s="495" t="s">
        <v>4153</v>
      </c>
      <c r="C6799" s="700" t="s">
        <v>112</v>
      </c>
      <c r="D6799" s="495" t="s">
        <v>4155</v>
      </c>
      <c r="E6799" s="495" t="s">
        <v>4154</v>
      </c>
      <c r="F6799" s="1021" t="s">
        <v>2519</v>
      </c>
      <c r="G6799" s="444"/>
    </row>
    <row r="6800" spans="1:16" hidden="1" outlineLevel="1" x14ac:dyDescent="0.25">
      <c r="A6800" s="1127">
        <v>0.04</v>
      </c>
      <c r="B6800" s="949" t="s">
        <v>3018</v>
      </c>
      <c r="C6800" s="1128">
        <v>25.32</v>
      </c>
      <c r="D6800" s="799">
        <v>24.68</v>
      </c>
      <c r="E6800" s="911">
        <v>-2.5276461295418717E-2</v>
      </c>
      <c r="F6800" s="1021">
        <v>-1.0110584518167487E-3</v>
      </c>
      <c r="G6800" s="444"/>
      <c r="H6800" t="s">
        <v>3814</v>
      </c>
      <c r="I6800" s="307"/>
      <c r="J6800" s="341"/>
      <c r="K6800" s="341"/>
      <c r="L6800" s="237"/>
    </row>
    <row r="6801" spans="1:12" hidden="1" outlineLevel="1" x14ac:dyDescent="0.25">
      <c r="A6801" s="849">
        <v>0.04</v>
      </c>
      <c r="B6801" s="853" t="s">
        <v>2160</v>
      </c>
      <c r="C6801" s="1129">
        <v>27.51</v>
      </c>
      <c r="D6801" s="852">
        <v>38.61</v>
      </c>
      <c r="E6801" s="909">
        <v>0.40348964013086142</v>
      </c>
      <c r="F6801" s="946">
        <v>1.6139585605234458E-2</v>
      </c>
      <c r="G6801" s="444"/>
      <c r="H6801" t="s">
        <v>5507</v>
      </c>
      <c r="I6801" s="307"/>
      <c r="J6801" s="307"/>
      <c r="K6801" s="341"/>
      <c r="L6801" s="237"/>
    </row>
    <row r="6802" spans="1:12" hidden="1" outlineLevel="1" x14ac:dyDescent="0.25">
      <c r="A6802" s="849">
        <v>0.05</v>
      </c>
      <c r="B6802" s="853" t="s">
        <v>951</v>
      </c>
      <c r="C6802" s="1129">
        <v>5078</v>
      </c>
      <c r="D6802" s="852">
        <v>3165</v>
      </c>
      <c r="E6802" s="909">
        <v>-0.37672311933832214</v>
      </c>
      <c r="F6802" s="946">
        <v>-1.883615596691611E-2</v>
      </c>
      <c r="G6802" s="444"/>
      <c r="H6802" t="s">
        <v>952</v>
      </c>
      <c r="I6802" s="307"/>
      <c r="J6802" s="307"/>
      <c r="K6802" s="341"/>
      <c r="L6802" s="237"/>
    </row>
    <row r="6803" spans="1:12" hidden="1" outlineLevel="1" x14ac:dyDescent="0.25">
      <c r="A6803" s="849">
        <v>0.03</v>
      </c>
      <c r="B6803" s="853" t="s">
        <v>4515</v>
      </c>
      <c r="C6803" s="1129">
        <v>432.4</v>
      </c>
      <c r="D6803" s="852">
        <v>461.2</v>
      </c>
      <c r="E6803" s="909">
        <v>6.6604995374653031E-2</v>
      </c>
      <c r="F6803" s="946">
        <v>1.9981498612395908E-3</v>
      </c>
      <c r="G6803" s="444"/>
      <c r="H6803" t="s">
        <v>1778</v>
      </c>
      <c r="I6803" s="307"/>
      <c r="J6803" s="307"/>
      <c r="K6803" s="341"/>
      <c r="L6803" s="237"/>
    </row>
    <row r="6804" spans="1:12" hidden="1" outlineLevel="1" x14ac:dyDescent="0.25">
      <c r="A6804" s="849">
        <v>0.03</v>
      </c>
      <c r="B6804" s="853" t="s">
        <v>953</v>
      </c>
      <c r="C6804" s="1129">
        <v>18.873000000000001</v>
      </c>
      <c r="D6804" s="852">
        <v>31.97</v>
      </c>
      <c r="E6804" s="909">
        <v>0.69395432628622888</v>
      </c>
      <c r="F6804" s="946">
        <v>2.0818629788586864E-2</v>
      </c>
      <c r="G6804" s="444"/>
      <c r="H6804" t="s">
        <v>66</v>
      </c>
      <c r="I6804" s="307"/>
      <c r="J6804" s="307"/>
      <c r="K6804" s="341"/>
      <c r="L6804" s="237"/>
    </row>
    <row r="6805" spans="1:12" hidden="1" outlineLevel="1" x14ac:dyDescent="0.25">
      <c r="A6805" s="849">
        <v>0.05</v>
      </c>
      <c r="B6805" s="853" t="s">
        <v>67</v>
      </c>
      <c r="C6805" s="1129">
        <v>65.19</v>
      </c>
      <c r="D6805" s="852">
        <v>65.62</v>
      </c>
      <c r="E6805" s="909">
        <v>6.5961036968862352E-3</v>
      </c>
      <c r="F6805" s="946">
        <v>3.298051848443118E-4</v>
      </c>
      <c r="G6805" s="444"/>
      <c r="H6805" t="s">
        <v>68</v>
      </c>
      <c r="I6805" s="307"/>
      <c r="J6805" s="307"/>
      <c r="K6805" s="341"/>
      <c r="L6805" s="237"/>
    </row>
    <row r="6806" spans="1:12" hidden="1" outlineLevel="1" x14ac:dyDescent="0.25">
      <c r="A6806" s="849">
        <v>0.05</v>
      </c>
      <c r="B6806" s="906" t="s">
        <v>142</v>
      </c>
      <c r="C6806" s="1129">
        <v>4.5590000000000002</v>
      </c>
      <c r="D6806" s="852">
        <v>5.38</v>
      </c>
      <c r="E6806" s="909">
        <v>0.18008335161219557</v>
      </c>
      <c r="F6806" s="946">
        <v>9.0041675806097794E-3</v>
      </c>
      <c r="G6806" s="444"/>
      <c r="H6806" t="e">
        <v>#N/A</v>
      </c>
      <c r="I6806" s="307"/>
      <c r="J6806" s="307"/>
      <c r="K6806" s="341"/>
      <c r="L6806" s="237"/>
    </row>
    <row r="6807" spans="1:12" hidden="1" outlineLevel="1" x14ac:dyDescent="0.25">
      <c r="A6807" s="849">
        <v>0.04</v>
      </c>
      <c r="B6807" s="853" t="s">
        <v>3407</v>
      </c>
      <c r="C6807" s="1129">
        <v>27.515999999999998</v>
      </c>
      <c r="D6807" s="852">
        <v>20.84</v>
      </c>
      <c r="E6807" s="909">
        <v>-0.24262247419683092</v>
      </c>
      <c r="F6807" s="946">
        <v>-9.7048989678732364E-3</v>
      </c>
      <c r="G6807" s="444"/>
      <c r="H6807" t="s">
        <v>4127</v>
      </c>
      <c r="I6807" s="307"/>
      <c r="J6807" s="307"/>
      <c r="K6807" s="341"/>
      <c r="L6807" s="237"/>
    </row>
    <row r="6808" spans="1:12" hidden="1" outlineLevel="1" x14ac:dyDescent="0.25">
      <c r="A6808" s="849">
        <v>0.04</v>
      </c>
      <c r="B6808" s="853" t="s">
        <v>3319</v>
      </c>
      <c r="C6808" s="1129">
        <v>30.077000000000002</v>
      </c>
      <c r="D6808" s="852">
        <v>41.145000000000003</v>
      </c>
      <c r="E6808" s="909">
        <v>0.36798882867307237</v>
      </c>
      <c r="F6808" s="946">
        <v>1.4719553146922896E-2</v>
      </c>
      <c r="G6808" s="444"/>
      <c r="H6808" t="s">
        <v>1779</v>
      </c>
      <c r="I6808" s="307"/>
      <c r="J6808" s="307"/>
      <c r="K6808" s="341"/>
      <c r="L6808" s="237"/>
    </row>
    <row r="6809" spans="1:12" hidden="1" outlineLevel="1" x14ac:dyDescent="0.25">
      <c r="A6809" s="849">
        <v>0.04</v>
      </c>
      <c r="B6809" s="853" t="s">
        <v>69</v>
      </c>
      <c r="C6809" s="1129">
        <v>656.25</v>
      </c>
      <c r="D6809" s="852">
        <v>1535</v>
      </c>
      <c r="E6809" s="909">
        <v>1.3390476190476193</v>
      </c>
      <c r="F6809" s="946">
        <v>5.3561904761904769E-2</v>
      </c>
      <c r="G6809" s="444"/>
      <c r="H6809" t="s">
        <v>70</v>
      </c>
      <c r="I6809" s="307"/>
      <c r="J6809" s="307"/>
      <c r="K6809" s="341"/>
      <c r="L6809" s="237"/>
    </row>
    <row r="6810" spans="1:12" hidden="1" outlineLevel="1" x14ac:dyDescent="0.25">
      <c r="A6810" s="849">
        <v>0.05</v>
      </c>
      <c r="B6810" s="853" t="s">
        <v>2160</v>
      </c>
      <c r="C6810" s="1129">
        <v>27.51</v>
      </c>
      <c r="D6810" s="852">
        <v>38.61</v>
      </c>
      <c r="E6810" s="909">
        <v>0.40348964013086142</v>
      </c>
      <c r="F6810" s="946">
        <v>2.0174482006543072E-2</v>
      </c>
      <c r="G6810" s="444"/>
      <c r="H6810" t="s">
        <v>5507</v>
      </c>
      <c r="I6810" s="307"/>
      <c r="J6810" s="307"/>
      <c r="K6810" s="341"/>
      <c r="L6810" s="237"/>
    </row>
    <row r="6811" spans="1:12" hidden="1" outlineLevel="1" x14ac:dyDescent="0.25">
      <c r="A6811" s="849">
        <v>0.03</v>
      </c>
      <c r="B6811" s="853" t="s">
        <v>71</v>
      </c>
      <c r="C6811" s="1129">
        <v>5.4459999999999997</v>
      </c>
      <c r="D6811" s="852">
        <v>6.54</v>
      </c>
      <c r="E6811" s="909">
        <v>0.20088138082996698</v>
      </c>
      <c r="F6811" s="946">
        <v>6.0264414248990096E-3</v>
      </c>
      <c r="G6811" s="444"/>
      <c r="H6811" t="s">
        <v>72</v>
      </c>
      <c r="I6811" s="307"/>
      <c r="J6811" s="307"/>
      <c r="K6811" s="341"/>
      <c r="L6811" s="237"/>
    </row>
    <row r="6812" spans="1:12" hidden="1" outlineLevel="1" x14ac:dyDescent="0.25">
      <c r="A6812" s="849">
        <v>0.03</v>
      </c>
      <c r="B6812" s="853" t="s">
        <v>1553</v>
      </c>
      <c r="C6812" s="1129">
        <v>264.80799999999999</v>
      </c>
      <c r="D6812" s="852">
        <v>430.11</v>
      </c>
      <c r="E6812" s="909">
        <v>0.62423340684571471</v>
      </c>
      <c r="F6812" s="946">
        <v>1.8727002205371442E-2</v>
      </c>
      <c r="G6812" s="444"/>
      <c r="H6812" t="s">
        <v>1554</v>
      </c>
      <c r="I6812" s="307"/>
      <c r="J6812" s="307"/>
      <c r="K6812" s="341"/>
      <c r="L6812" s="237"/>
    </row>
    <row r="6813" spans="1:12" hidden="1" outlineLevel="1" x14ac:dyDescent="0.25">
      <c r="A6813" s="849">
        <v>0.05</v>
      </c>
      <c r="B6813" s="853" t="s">
        <v>1555</v>
      </c>
      <c r="C6813" s="1129">
        <v>2247</v>
      </c>
      <c r="D6813" s="852">
        <v>643</v>
      </c>
      <c r="E6813" s="909">
        <v>-0.71384067645749893</v>
      </c>
      <c r="F6813" s="946">
        <v>-3.5692033822874947E-2</v>
      </c>
      <c r="G6813" s="444"/>
      <c r="H6813" t="e">
        <v>#N/A</v>
      </c>
      <c r="I6813" s="307"/>
      <c r="J6813" s="307"/>
      <c r="K6813" s="341"/>
      <c r="L6813" s="237"/>
    </row>
    <row r="6814" spans="1:12" hidden="1" outlineLevel="1" x14ac:dyDescent="0.25">
      <c r="A6814" s="849">
        <v>0.05</v>
      </c>
      <c r="B6814" s="853" t="s">
        <v>816</v>
      </c>
      <c r="C6814" s="1129">
        <v>58.850999999999999</v>
      </c>
      <c r="D6814" s="852">
        <v>88.53</v>
      </c>
      <c r="E6814" s="909">
        <v>0.50430748840291595</v>
      </c>
      <c r="F6814" s="946">
        <v>2.5215374420145799E-2</v>
      </c>
      <c r="G6814" s="444"/>
      <c r="H6814" t="s">
        <v>817</v>
      </c>
      <c r="I6814" s="307"/>
      <c r="J6814" s="307"/>
      <c r="K6814" s="341"/>
      <c r="L6814" s="237"/>
    </row>
    <row r="6815" spans="1:12" hidden="1" outlineLevel="1" x14ac:dyDescent="0.25">
      <c r="A6815" s="849">
        <v>0.05</v>
      </c>
      <c r="B6815" s="853" t="s">
        <v>3797</v>
      </c>
      <c r="C6815" s="1129">
        <v>44.283999999999999</v>
      </c>
      <c r="D6815" s="852">
        <v>56.55</v>
      </c>
      <c r="E6815" s="909">
        <v>0.27698491554511784</v>
      </c>
      <c r="F6815" s="946">
        <v>1.3849245777255893E-2</v>
      </c>
      <c r="G6815" s="444"/>
      <c r="H6815" t="s">
        <v>3848</v>
      </c>
      <c r="I6815" s="307"/>
      <c r="J6815" s="307"/>
      <c r="K6815" s="341"/>
      <c r="L6815" s="237"/>
    </row>
    <row r="6816" spans="1:12" hidden="1" outlineLevel="1" x14ac:dyDescent="0.25">
      <c r="A6816" s="849">
        <v>0.04</v>
      </c>
      <c r="B6816" s="853" t="s">
        <v>1541</v>
      </c>
      <c r="C6816" s="1129">
        <v>57.203000000000003</v>
      </c>
      <c r="D6816" s="852">
        <v>87.78</v>
      </c>
      <c r="E6816" s="909">
        <v>0.53453490201562848</v>
      </c>
      <c r="F6816" s="946">
        <v>2.1381396080625139E-2</v>
      </c>
      <c r="G6816" s="444"/>
      <c r="H6816" t="s">
        <v>1696</v>
      </c>
      <c r="I6816" s="307"/>
      <c r="J6816" s="307"/>
      <c r="K6816" s="341"/>
      <c r="L6816" s="237"/>
    </row>
    <row r="6817" spans="1:12" hidden="1" outlineLevel="1" x14ac:dyDescent="0.25">
      <c r="A6817" s="849">
        <v>0.04</v>
      </c>
      <c r="B6817" s="853" t="s">
        <v>1204</v>
      </c>
      <c r="C6817" s="1129">
        <v>65.555999999999997</v>
      </c>
      <c r="D6817" s="852">
        <v>70.66</v>
      </c>
      <c r="E6817" s="909">
        <v>7.7857099273903163E-2</v>
      </c>
      <c r="F6817" s="946">
        <v>3.1142839709561265E-3</v>
      </c>
      <c r="G6817" s="444"/>
      <c r="H6817" t="s">
        <v>2427</v>
      </c>
      <c r="I6817" s="307"/>
      <c r="J6817" s="307"/>
      <c r="K6817" s="341"/>
      <c r="L6817" s="237"/>
    </row>
    <row r="6818" spans="1:12" hidden="1" outlineLevel="1" x14ac:dyDescent="0.25">
      <c r="A6818" s="849">
        <v>0.04</v>
      </c>
      <c r="B6818" s="1146" t="s">
        <v>1205</v>
      </c>
      <c r="C6818" s="1129">
        <v>20.824000000000002</v>
      </c>
      <c r="D6818" s="852">
        <v>15.57</v>
      </c>
      <c r="E6818" s="909">
        <v>-0.25230503265462934</v>
      </c>
      <c r="F6818" s="946">
        <v>-1.0092201306185173E-2</v>
      </c>
      <c r="G6818" s="444"/>
      <c r="H6818" t="s">
        <v>1092</v>
      </c>
      <c r="I6818" s="307"/>
      <c r="J6818" s="307"/>
      <c r="K6818" s="341"/>
      <c r="L6818" s="237"/>
    </row>
    <row r="6819" spans="1:12" hidden="1" outlineLevel="1" x14ac:dyDescent="0.25">
      <c r="A6819" s="849">
        <v>0.05</v>
      </c>
      <c r="B6819" s="740" t="s">
        <v>3307</v>
      </c>
      <c r="C6819" s="1129">
        <v>62.156999999999996</v>
      </c>
      <c r="D6819" s="852">
        <v>112.25</v>
      </c>
      <c r="E6819" s="909">
        <v>0.80591083868269076</v>
      </c>
      <c r="F6819" s="946">
        <v>4.0295541934134538E-2</v>
      </c>
      <c r="G6819" s="444"/>
      <c r="H6819" t="e">
        <v>#N/A</v>
      </c>
      <c r="I6819" s="307"/>
      <c r="J6819" s="307"/>
      <c r="K6819" s="341"/>
      <c r="L6819" s="237"/>
    </row>
    <row r="6820" spans="1:12" hidden="1" outlineLevel="1" x14ac:dyDescent="0.25">
      <c r="A6820" s="849">
        <v>0.04</v>
      </c>
      <c r="B6820" s="740" t="s">
        <v>818</v>
      </c>
      <c r="C6820" s="1129">
        <v>19.277000000000001</v>
      </c>
      <c r="D6820" s="852">
        <v>36.049999999999997</v>
      </c>
      <c r="E6820" s="909">
        <v>0.87010426933651486</v>
      </c>
      <c r="F6820" s="946">
        <v>4.3505213466825746E-2</v>
      </c>
      <c r="G6820" s="444"/>
      <c r="H6820" t="s">
        <v>2421</v>
      </c>
      <c r="I6820" s="307"/>
      <c r="J6820" s="307"/>
      <c r="K6820" s="341"/>
      <c r="L6820" s="237"/>
    </row>
    <row r="6821" spans="1:12" hidden="1" outlineLevel="1" x14ac:dyDescent="0.25">
      <c r="A6821" s="849">
        <v>0.03</v>
      </c>
      <c r="B6821" s="740" t="s">
        <v>2422</v>
      </c>
      <c r="C6821" s="1129">
        <v>2.7930000000000001</v>
      </c>
      <c r="D6821" s="852">
        <v>4</v>
      </c>
      <c r="E6821" s="909">
        <v>0.43215180809165754</v>
      </c>
      <c r="F6821" s="946">
        <v>1.7286072323666302E-2</v>
      </c>
      <c r="G6821" s="444"/>
      <c r="H6821" t="e">
        <v>#N/A</v>
      </c>
      <c r="I6821" s="307"/>
      <c r="J6821" s="307"/>
      <c r="K6821" s="341"/>
      <c r="L6821" s="237"/>
    </row>
    <row r="6822" spans="1:12" hidden="1" outlineLevel="1" x14ac:dyDescent="0.25">
      <c r="A6822" s="849">
        <v>0.04</v>
      </c>
      <c r="B6822" s="740" t="s">
        <v>161</v>
      </c>
      <c r="C6822" s="1129">
        <v>575700</v>
      </c>
      <c r="D6822" s="852">
        <v>1201000</v>
      </c>
      <c r="E6822" s="909">
        <v>1.0861559840194546</v>
      </c>
      <c r="F6822" s="946">
        <v>3.2584679520583637E-2</v>
      </c>
      <c r="G6822" s="444"/>
      <c r="H6822" t="s">
        <v>562</v>
      </c>
      <c r="I6822" s="307"/>
      <c r="J6822" s="307"/>
      <c r="K6822" s="341"/>
      <c r="L6822" s="237"/>
    </row>
    <row r="6823" spans="1:12" hidden="1" outlineLevel="1" x14ac:dyDescent="0.25">
      <c r="A6823" s="990">
        <v>0.05</v>
      </c>
      <c r="B6823" s="1196" t="s">
        <v>3325</v>
      </c>
      <c r="C6823" s="1130">
        <v>10.239000000000001</v>
      </c>
      <c r="D6823" s="801">
        <v>6.29</v>
      </c>
      <c r="E6823" s="498">
        <v>-0.38568219552690697</v>
      </c>
      <c r="F6823" s="1023">
        <v>-1.5427287821076279E-2</v>
      </c>
      <c r="G6823" s="444"/>
      <c r="H6823" t="s">
        <v>2432</v>
      </c>
    </row>
    <row r="6824" spans="1:12" hidden="1" outlineLevel="1" x14ac:dyDescent="0.25">
      <c r="A6824" s="1022"/>
      <c r="B6824" s="1022"/>
      <c r="C6824" s="1022"/>
      <c r="D6824" s="1022"/>
      <c r="E6824" s="1022"/>
      <c r="F6824" s="1666">
        <v>0.26796789272360683</v>
      </c>
      <c r="G6824" s="444"/>
    </row>
    <row r="6825" spans="1:12" hidden="1" outlineLevel="1" x14ac:dyDescent="0.25">
      <c r="A6825" s="753" t="s">
        <v>2423</v>
      </c>
      <c r="B6825" s="1100">
        <v>39692</v>
      </c>
      <c r="C6825" s="1128">
        <v>100</v>
      </c>
      <c r="D6825" s="1182">
        <v>97.869100000000003</v>
      </c>
      <c r="E6825" s="705">
        <v>-2.1309000000000022E-2</v>
      </c>
      <c r="F6825" s="1830">
        <v>-2.1309000000000022E-2</v>
      </c>
      <c r="G6825" s="444"/>
    </row>
    <row r="6826" spans="1:12" hidden="1" outlineLevel="1" x14ac:dyDescent="0.25">
      <c r="A6826" s="732" t="s">
        <v>4443</v>
      </c>
      <c r="B6826" s="985">
        <v>39783</v>
      </c>
      <c r="C6826" s="1129">
        <v>100</v>
      </c>
      <c r="D6826" s="1116">
        <v>79.305999999999997</v>
      </c>
      <c r="E6826" s="709">
        <v>-0.20694000000000001</v>
      </c>
      <c r="F6826" s="1666">
        <v>-0.20694000000000001</v>
      </c>
      <c r="G6826" s="444"/>
    </row>
    <row r="6827" spans="1:12" hidden="1" outlineLevel="1" x14ac:dyDescent="0.25">
      <c r="A6827" s="732" t="s">
        <v>4444</v>
      </c>
      <c r="B6827" s="1100">
        <v>39873</v>
      </c>
      <c r="C6827" s="1129">
        <v>100</v>
      </c>
      <c r="D6827" s="1116">
        <v>71.045500000000004</v>
      </c>
      <c r="E6827" s="709">
        <v>-0.28954499999999994</v>
      </c>
      <c r="F6827" s="1666">
        <v>-0.28954499999999994</v>
      </c>
      <c r="G6827" s="444"/>
    </row>
    <row r="6828" spans="1:12" hidden="1" outlineLevel="1" x14ac:dyDescent="0.25">
      <c r="A6828" s="732" t="s">
        <v>4445</v>
      </c>
      <c r="B6828" s="985">
        <v>39965</v>
      </c>
      <c r="C6828" s="1129">
        <v>100</v>
      </c>
      <c r="D6828" s="1116">
        <v>80.572400000000002</v>
      </c>
      <c r="E6828" s="709">
        <v>-0.194276</v>
      </c>
      <c r="F6828" s="1666">
        <v>-0.194276</v>
      </c>
      <c r="G6828" s="444"/>
    </row>
    <row r="6829" spans="1:12" hidden="1" outlineLevel="1" x14ac:dyDescent="0.25">
      <c r="A6829" s="732" t="s">
        <v>4446</v>
      </c>
      <c r="B6829" s="1100">
        <v>40057</v>
      </c>
      <c r="C6829" s="1129">
        <v>100</v>
      </c>
      <c r="D6829" s="1116">
        <v>98.918599999999998</v>
      </c>
      <c r="E6829" s="709">
        <v>-1.081399999999999E-2</v>
      </c>
      <c r="F6829" s="1666">
        <v>-1.081399999999999E-2</v>
      </c>
      <c r="G6829" s="444"/>
    </row>
    <row r="6830" spans="1:12" hidden="1" outlineLevel="1" x14ac:dyDescent="0.25">
      <c r="A6830" s="732" t="s">
        <v>4447</v>
      </c>
      <c r="B6830" s="985">
        <v>40148</v>
      </c>
      <c r="C6830" s="1129">
        <v>100</v>
      </c>
      <c r="D6830" s="1116">
        <v>103.663</v>
      </c>
      <c r="E6830" s="709">
        <v>3.662999999999994E-2</v>
      </c>
      <c r="F6830" s="1666">
        <v>3.662999999999994E-2</v>
      </c>
      <c r="G6830" s="444"/>
    </row>
    <row r="6831" spans="1:12" hidden="1" outlineLevel="1" x14ac:dyDescent="0.25">
      <c r="A6831" s="732" t="s">
        <v>4448</v>
      </c>
      <c r="B6831" s="1100">
        <v>40238</v>
      </c>
      <c r="C6831" s="1129">
        <v>100</v>
      </c>
      <c r="D6831" s="1116">
        <v>113.5979</v>
      </c>
      <c r="E6831" s="709">
        <v>0.13597899999999985</v>
      </c>
      <c r="F6831" s="1666">
        <v>0.13597899999999985</v>
      </c>
      <c r="G6831" s="444"/>
    </row>
    <row r="6832" spans="1:12" hidden="1" outlineLevel="1" x14ac:dyDescent="0.25">
      <c r="A6832" s="732" t="s">
        <v>4449</v>
      </c>
      <c r="B6832" s="985">
        <v>40330</v>
      </c>
      <c r="C6832" s="1129">
        <v>100</v>
      </c>
      <c r="D6832" s="1116">
        <v>107.3445</v>
      </c>
      <c r="E6832" s="709">
        <v>7.3444999999999983E-2</v>
      </c>
      <c r="F6832" s="1666">
        <v>7.3444999999999983E-2</v>
      </c>
      <c r="G6832" s="444"/>
    </row>
    <row r="6833" spans="1:12" hidden="1" outlineLevel="1" x14ac:dyDescent="0.25">
      <c r="A6833" s="732" t="s">
        <v>4450</v>
      </c>
      <c r="B6833" s="1100">
        <v>40422</v>
      </c>
      <c r="C6833" s="1129">
        <v>100</v>
      </c>
      <c r="D6833" s="1116">
        <v>117.7206</v>
      </c>
      <c r="E6833" s="709">
        <v>0.17720599999999997</v>
      </c>
      <c r="F6833" s="1666">
        <v>0.17720599999999997</v>
      </c>
      <c r="G6833" s="444"/>
    </row>
    <row r="6834" spans="1:12" hidden="1" outlineLevel="1" x14ac:dyDescent="0.25">
      <c r="A6834" s="732" t="s">
        <v>2989</v>
      </c>
      <c r="B6834" s="985">
        <v>40513</v>
      </c>
      <c r="C6834" s="1129">
        <v>100</v>
      </c>
      <c r="D6834" s="1116">
        <v>123.85980000000001</v>
      </c>
      <c r="E6834" s="709">
        <v>0.23859800000000009</v>
      </c>
      <c r="F6834" s="1666">
        <v>0.23859800000000009</v>
      </c>
      <c r="G6834" s="444"/>
    </row>
    <row r="6835" spans="1:12" hidden="1" outlineLevel="1" x14ac:dyDescent="0.25">
      <c r="A6835" s="732" t="s">
        <v>2990</v>
      </c>
      <c r="B6835" s="1100">
        <v>40603</v>
      </c>
      <c r="C6835" s="1129">
        <v>100</v>
      </c>
      <c r="D6835" s="1116">
        <v>121.9524</v>
      </c>
      <c r="E6835" s="709">
        <v>0.21952400000000005</v>
      </c>
      <c r="F6835" s="1666">
        <v>0.21952400000000005</v>
      </c>
      <c r="G6835" s="444"/>
    </row>
    <row r="6836" spans="1:12" hidden="1" outlineLevel="1" x14ac:dyDescent="0.25">
      <c r="A6836" s="732" t="s">
        <v>2991</v>
      </c>
      <c r="B6836" s="985">
        <v>40695</v>
      </c>
      <c r="C6836" s="1129">
        <v>100</v>
      </c>
      <c r="D6836" s="1116">
        <v>126.7591</v>
      </c>
      <c r="E6836" s="709">
        <v>0.26759100000000013</v>
      </c>
      <c r="F6836" s="1666">
        <v>0.26759100000000013</v>
      </c>
      <c r="G6836" s="444"/>
    </row>
    <row r="6837" spans="1:12" hidden="1" outlineLevel="1" x14ac:dyDescent="0.25">
      <c r="A6837" s="732" t="s">
        <v>2992</v>
      </c>
      <c r="B6837" s="1100">
        <v>40787</v>
      </c>
      <c r="C6837" s="1129">
        <v>100</v>
      </c>
      <c r="D6837" s="1116">
        <v>110.2526</v>
      </c>
      <c r="E6837" s="709">
        <v>0.10252600000000012</v>
      </c>
      <c r="F6837" s="1666">
        <v>0.10252600000000012</v>
      </c>
      <c r="G6837" s="444"/>
    </row>
    <row r="6838" spans="1:12" hidden="1" outlineLevel="1" x14ac:dyDescent="0.25">
      <c r="A6838" s="732" t="s">
        <v>3172</v>
      </c>
      <c r="B6838" s="985">
        <v>40878</v>
      </c>
      <c r="C6838" s="1129">
        <v>100</v>
      </c>
      <c r="D6838" s="1116">
        <v>120.4988</v>
      </c>
      <c r="E6838" s="709">
        <v>0.20498799999999995</v>
      </c>
      <c r="F6838" s="1666">
        <v>0.20498799999999995</v>
      </c>
      <c r="G6838" s="444"/>
    </row>
    <row r="6839" spans="1:12" hidden="1" outlineLevel="1" x14ac:dyDescent="0.25">
      <c r="A6839" s="732" t="s">
        <v>4140</v>
      </c>
      <c r="B6839" s="1100">
        <v>40969</v>
      </c>
      <c r="C6839" s="1129">
        <v>100</v>
      </c>
      <c r="D6839" s="1116">
        <v>136.92509999999999</v>
      </c>
      <c r="E6839" s="709">
        <v>0.36925099999999977</v>
      </c>
      <c r="F6839" s="1666">
        <v>0.36925099999999977</v>
      </c>
      <c r="G6839" s="444"/>
    </row>
    <row r="6840" spans="1:12" hidden="1" outlineLevel="1" x14ac:dyDescent="0.25">
      <c r="A6840" s="754" t="s">
        <v>4141</v>
      </c>
      <c r="B6840" s="985">
        <v>41061</v>
      </c>
      <c r="C6840" s="1130">
        <v>100</v>
      </c>
      <c r="D6840" s="1185">
        <v>129.40729999999999</v>
      </c>
      <c r="E6840" s="716">
        <v>0.29407300000000003</v>
      </c>
      <c r="F6840" s="770">
        <v>0.29407300000000003</v>
      </c>
      <c r="G6840" s="444"/>
    </row>
    <row r="6841" spans="1:12" hidden="1" outlineLevel="1" x14ac:dyDescent="0.25">
      <c r="A6841" s="1022"/>
      <c r="B6841" s="1022"/>
      <c r="C6841" s="1022"/>
      <c r="D6841" s="1022"/>
      <c r="E6841" s="1173" t="s">
        <v>2465</v>
      </c>
      <c r="F6841" s="1828">
        <v>8.7307937499999988E-2</v>
      </c>
      <c r="G6841" s="444"/>
    </row>
    <row r="6842" spans="1:12" collapsed="1" x14ac:dyDescent="0.25">
      <c r="A6842" s="3801" t="s">
        <v>1794</v>
      </c>
      <c r="B6842" s="3802"/>
      <c r="C6842" s="3802"/>
      <c r="D6842" s="3802"/>
      <c r="E6842" s="721"/>
      <c r="F6842" s="752">
        <v>7.8577143749999995E-2</v>
      </c>
      <c r="G6842" s="97" t="s">
        <v>781</v>
      </c>
    </row>
    <row r="6843" spans="1:12" x14ac:dyDescent="0.25">
      <c r="G6843" s="444"/>
    </row>
    <row r="6844" spans="1:12" hidden="1" outlineLevel="1" x14ac:dyDescent="0.25">
      <c r="A6844" s="689" t="s">
        <v>113</v>
      </c>
      <c r="B6844" s="689" t="s">
        <v>114</v>
      </c>
      <c r="C6844" s="689" t="s">
        <v>112</v>
      </c>
      <c r="D6844" s="689" t="s">
        <v>116</v>
      </c>
      <c r="E6844" s="689" t="s">
        <v>117</v>
      </c>
      <c r="F6844" s="1188" t="s">
        <v>121</v>
      </c>
      <c r="G6844" s="443"/>
    </row>
    <row r="6845" spans="1:12" hidden="1" outlineLevel="1" x14ac:dyDescent="0.25">
      <c r="A6845" s="690">
        <v>1</v>
      </c>
      <c r="B6845" s="691" t="s">
        <v>252</v>
      </c>
      <c r="C6845" s="692">
        <v>100</v>
      </c>
      <c r="D6845" s="692"/>
      <c r="E6845" s="693"/>
      <c r="F6845" s="694"/>
      <c r="G6845" s="443"/>
    </row>
    <row r="6846" spans="1:12" hidden="1" outlineLevel="1" x14ac:dyDescent="0.25">
      <c r="A6846" s="695"/>
      <c r="B6846" s="695"/>
      <c r="C6846" s="696"/>
      <c r="D6846" s="697" t="s">
        <v>3702</v>
      </c>
      <c r="E6846" s="698">
        <v>42460</v>
      </c>
      <c r="F6846" s="699"/>
      <c r="G6846" s="443"/>
    </row>
    <row r="6847" spans="1:12" hidden="1" outlineLevel="1" x14ac:dyDescent="0.25">
      <c r="A6847" s="495" t="s">
        <v>4156</v>
      </c>
      <c r="B6847" s="689" t="s">
        <v>4153</v>
      </c>
      <c r="C6847" s="700" t="s">
        <v>112</v>
      </c>
      <c r="D6847" s="495" t="s">
        <v>116</v>
      </c>
      <c r="E6847" s="495" t="s">
        <v>4154</v>
      </c>
      <c r="F6847" s="1021" t="s">
        <v>2519</v>
      </c>
      <c r="G6847" s="443"/>
      <c r="J6847" t="s">
        <v>2040</v>
      </c>
    </row>
    <row r="6848" spans="1:12" hidden="1" outlineLevel="1" x14ac:dyDescent="0.25">
      <c r="A6848" s="1127">
        <v>0.05</v>
      </c>
      <c r="B6848" s="799" t="s">
        <v>2056</v>
      </c>
      <c r="C6848" s="1144">
        <v>63.826999999999998</v>
      </c>
      <c r="D6848" s="803">
        <v>26.475000000000001</v>
      </c>
      <c r="E6848" s="895">
        <v>-0.585206887367415</v>
      </c>
      <c r="F6848" s="1021">
        <v>-2.9260344368370751E-2</v>
      </c>
      <c r="G6848" s="443"/>
      <c r="H6848" t="s">
        <v>2057</v>
      </c>
      <c r="J6848" s="256">
        <v>41091</v>
      </c>
      <c r="K6848" s="424">
        <v>111.0047</v>
      </c>
      <c r="L6848" s="37">
        <v>0.11004700000000001</v>
      </c>
    </row>
    <row r="6849" spans="1:12" hidden="1" outlineLevel="1" x14ac:dyDescent="0.25">
      <c r="A6849" s="849">
        <v>0.05</v>
      </c>
      <c r="B6849" s="852" t="s">
        <v>3020</v>
      </c>
      <c r="C6849" s="1197">
        <v>55.017000000000003</v>
      </c>
      <c r="D6849" s="908">
        <v>101.95</v>
      </c>
      <c r="E6849" s="896">
        <v>0.85306359852409241</v>
      </c>
      <c r="F6849" s="946">
        <v>4.2653179926204626E-2</v>
      </c>
      <c r="G6849" s="443"/>
      <c r="H6849" t="s">
        <v>490</v>
      </c>
      <c r="J6849" s="256">
        <v>41122</v>
      </c>
      <c r="K6849" s="424">
        <v>111.26309999999999</v>
      </c>
      <c r="L6849" s="37">
        <v>0.11263099999999993</v>
      </c>
    </row>
    <row r="6850" spans="1:12" hidden="1" outlineLevel="1" x14ac:dyDescent="0.25">
      <c r="A6850" s="849">
        <v>0.05</v>
      </c>
      <c r="B6850" s="852" t="s">
        <v>1141</v>
      </c>
      <c r="C6850" s="1146">
        <v>28.67</v>
      </c>
      <c r="D6850" s="908">
        <v>85.22</v>
      </c>
      <c r="E6850" s="896">
        <v>1.9724450645273803</v>
      </c>
      <c r="F6850" s="946">
        <v>9.8622253226369028E-2</v>
      </c>
      <c r="G6850" s="443"/>
      <c r="H6850" t="s">
        <v>666</v>
      </c>
      <c r="J6850" s="256">
        <v>41153</v>
      </c>
      <c r="K6850" s="424">
        <v>113.92149999999999</v>
      </c>
      <c r="L6850" s="37">
        <v>0.13921499999999987</v>
      </c>
    </row>
    <row r="6851" spans="1:12" hidden="1" outlineLevel="1" x14ac:dyDescent="0.25">
      <c r="A6851" s="849">
        <v>0.05</v>
      </c>
      <c r="B6851" s="852" t="s">
        <v>3019</v>
      </c>
      <c r="C6851" s="1146">
        <v>60.440517179738315</v>
      </c>
      <c r="D6851" s="908">
        <v>56.65</v>
      </c>
      <c r="E6851" s="896">
        <v>-6.271483694399993E-2</v>
      </c>
      <c r="F6851" s="946">
        <v>-3.1357418471999968E-3</v>
      </c>
      <c r="G6851" s="443"/>
      <c r="H6851" t="s">
        <v>2745</v>
      </c>
      <c r="J6851" s="256">
        <v>41183</v>
      </c>
      <c r="K6851" s="424">
        <v>113.87430000000001</v>
      </c>
      <c r="L6851" s="37">
        <v>0.13874300000000006</v>
      </c>
    </row>
    <row r="6852" spans="1:12" hidden="1" outlineLevel="1" x14ac:dyDescent="0.25">
      <c r="A6852" s="849">
        <v>0.05</v>
      </c>
      <c r="B6852" s="852" t="s">
        <v>4025</v>
      </c>
      <c r="C6852" s="1146">
        <v>39.115000000000002</v>
      </c>
      <c r="D6852" s="908">
        <v>62.9</v>
      </c>
      <c r="E6852" s="896">
        <v>0.60807874217052271</v>
      </c>
      <c r="F6852" s="946">
        <v>3.0403937108526138E-2</v>
      </c>
      <c r="G6852" s="443"/>
      <c r="H6852" t="s">
        <v>3977</v>
      </c>
      <c r="J6852" s="256">
        <v>41214</v>
      </c>
      <c r="K6852" s="424">
        <v>119.111</v>
      </c>
      <c r="L6852" s="37">
        <v>0.19111000000000011</v>
      </c>
    </row>
    <row r="6853" spans="1:12" hidden="1" outlineLevel="1" x14ac:dyDescent="0.25">
      <c r="A6853" s="849">
        <v>0.05</v>
      </c>
      <c r="B6853" s="852" t="s">
        <v>3319</v>
      </c>
      <c r="C6853" s="1146">
        <v>30.9755</v>
      </c>
      <c r="D6853" s="908">
        <v>49.08</v>
      </c>
      <c r="E6853" s="896">
        <v>0.58447805523720353</v>
      </c>
      <c r="F6853" s="946">
        <v>2.9223902761860179E-2</v>
      </c>
      <c r="G6853" s="443"/>
      <c r="H6853" t="s">
        <v>1779</v>
      </c>
      <c r="J6853" s="256">
        <v>41244</v>
      </c>
      <c r="K6853" s="424">
        <v>122.54389999999999</v>
      </c>
      <c r="L6853" s="37">
        <v>0.22543899999999994</v>
      </c>
    </row>
    <row r="6854" spans="1:12" hidden="1" outlineLevel="1" x14ac:dyDescent="0.25">
      <c r="A6854" s="849">
        <v>0.05</v>
      </c>
      <c r="B6854" s="852" t="s">
        <v>4376</v>
      </c>
      <c r="C6854" s="1146">
        <v>40.444000000000003</v>
      </c>
      <c r="D6854" s="908">
        <v>58.48</v>
      </c>
      <c r="E6854" s="896">
        <v>0.44594995549401628</v>
      </c>
      <c r="F6854" s="946">
        <v>2.2297497774700817E-2</v>
      </c>
      <c r="G6854" s="443"/>
      <c r="H6854" t="s">
        <v>4326</v>
      </c>
      <c r="J6854" s="256">
        <v>41275</v>
      </c>
      <c r="K6854" s="424">
        <v>127.2045</v>
      </c>
      <c r="L6854" s="37">
        <v>0.27204499999999987</v>
      </c>
    </row>
    <row r="6855" spans="1:12" hidden="1" outlineLevel="1" x14ac:dyDescent="0.25">
      <c r="A6855" s="849">
        <v>0.05</v>
      </c>
      <c r="B6855" s="852" t="s">
        <v>1526</v>
      </c>
      <c r="C6855" s="1146">
        <v>62.356999999999999</v>
      </c>
      <c r="D6855" s="908">
        <v>41.25</v>
      </c>
      <c r="E6855" s="896">
        <v>-0.33848645701364721</v>
      </c>
      <c r="F6855" s="946">
        <v>-1.692432285068236E-2</v>
      </c>
      <c r="G6855" s="443"/>
      <c r="H6855" t="s">
        <v>4146</v>
      </c>
      <c r="J6855" s="256">
        <v>41306</v>
      </c>
      <c r="K6855" s="424">
        <v>129.20670000000001</v>
      </c>
      <c r="L6855" s="37">
        <v>0.29206700000000008</v>
      </c>
    </row>
    <row r="6856" spans="1:12" hidden="1" outlineLevel="1" x14ac:dyDescent="0.25">
      <c r="A6856" s="849">
        <v>0.05</v>
      </c>
      <c r="B6856" s="852" t="s">
        <v>2160</v>
      </c>
      <c r="C6856" s="1146">
        <v>33.331000030007232</v>
      </c>
      <c r="D6856" s="908">
        <v>53.92</v>
      </c>
      <c r="E6856" s="896">
        <v>0.61771323847040005</v>
      </c>
      <c r="F6856" s="946">
        <v>3.0885661923520005E-2</v>
      </c>
      <c r="G6856" s="443"/>
      <c r="H6856" t="s">
        <v>5507</v>
      </c>
      <c r="J6856" s="256">
        <v>41334</v>
      </c>
      <c r="K6856" s="424">
        <v>131.0967</v>
      </c>
      <c r="L6856" s="37">
        <v>0.31096699999999999</v>
      </c>
    </row>
    <row r="6857" spans="1:12" hidden="1" outlineLevel="1" x14ac:dyDescent="0.25">
      <c r="A6857" s="849">
        <v>0.05</v>
      </c>
      <c r="B6857" s="852" t="s">
        <v>816</v>
      </c>
      <c r="C6857" s="1146">
        <v>63.463999999999999</v>
      </c>
      <c r="D6857" s="908">
        <v>97.03</v>
      </c>
      <c r="E6857" s="896">
        <v>0.52889827303668224</v>
      </c>
      <c r="F6857" s="946">
        <v>2.6444913651834115E-2</v>
      </c>
      <c r="G6857" s="443"/>
      <c r="H6857" t="s">
        <v>817</v>
      </c>
      <c r="J6857" s="256">
        <v>41365</v>
      </c>
      <c r="K6857" s="424">
        <v>131.16999999999999</v>
      </c>
      <c r="L6857" s="37">
        <v>0.31169999999999987</v>
      </c>
    </row>
    <row r="6858" spans="1:12" hidden="1" outlineLevel="1" x14ac:dyDescent="0.25">
      <c r="A6858" s="849">
        <v>0.05</v>
      </c>
      <c r="B6858" s="852" t="s">
        <v>3797</v>
      </c>
      <c r="C6858" s="1146">
        <v>49.011000000000003</v>
      </c>
      <c r="D6858" s="908">
        <v>65.3</v>
      </c>
      <c r="E6858" s="896">
        <v>0.3323539613556139</v>
      </c>
      <c r="F6858" s="946">
        <v>1.6617698067780694E-2</v>
      </c>
      <c r="G6858" s="443"/>
      <c r="H6858" t="s">
        <v>3848</v>
      </c>
      <c r="J6858" s="256">
        <v>41395</v>
      </c>
      <c r="K6858" s="424">
        <v>133.83770000000001</v>
      </c>
      <c r="L6858" s="37">
        <v>0.33837700000000015</v>
      </c>
    </row>
    <row r="6859" spans="1:12" hidden="1" outlineLevel="1" x14ac:dyDescent="0.25">
      <c r="A6859" s="849">
        <v>0.05</v>
      </c>
      <c r="B6859" s="852" t="s">
        <v>1541</v>
      </c>
      <c r="C6859" s="1146">
        <v>30.816500018451073</v>
      </c>
      <c r="D6859" s="908">
        <v>78.64</v>
      </c>
      <c r="E6859" s="896">
        <v>1.5518796733215998</v>
      </c>
      <c r="F6859" s="946">
        <v>7.7593983666080002E-2</v>
      </c>
      <c r="G6859" s="443"/>
      <c r="H6859" t="s">
        <v>1696</v>
      </c>
      <c r="J6859" s="256">
        <v>41426</v>
      </c>
      <c r="K6859" s="424">
        <v>127.34220000000001</v>
      </c>
      <c r="L6859" s="37">
        <v>0.27342200000000005</v>
      </c>
    </row>
    <row r="6860" spans="1:12" hidden="1" outlineLevel="1" x14ac:dyDescent="0.25">
      <c r="A6860" s="849">
        <v>0.05</v>
      </c>
      <c r="B6860" s="852" t="s">
        <v>1204</v>
      </c>
      <c r="C6860" s="1146">
        <v>72.278999999999996</v>
      </c>
      <c r="D6860" s="908">
        <v>82.94</v>
      </c>
      <c r="E6860" s="896">
        <v>0.14749789012022863</v>
      </c>
      <c r="F6860" s="946">
        <v>7.3748945060114314E-3</v>
      </c>
      <c r="G6860" s="443"/>
      <c r="H6860" t="s">
        <v>2427</v>
      </c>
      <c r="J6860" s="256">
        <v>41456</v>
      </c>
      <c r="K6860" s="424">
        <v>133.90600000000001</v>
      </c>
      <c r="L6860" s="37">
        <v>0.33906000000000014</v>
      </c>
    </row>
    <row r="6861" spans="1:12" hidden="1" outlineLevel="1" x14ac:dyDescent="0.25">
      <c r="A6861" s="849">
        <v>0.05</v>
      </c>
      <c r="B6861" s="852" t="s">
        <v>1213</v>
      </c>
      <c r="C6861" s="1146">
        <v>26.802055283446943</v>
      </c>
      <c r="D6861" s="908">
        <v>9.4380000000000006</v>
      </c>
      <c r="E6861" s="896">
        <v>-0.64786282618299995</v>
      </c>
      <c r="F6861" s="946">
        <v>-3.2393141309149998E-2</v>
      </c>
      <c r="G6861" s="443"/>
      <c r="H6861" t="s">
        <v>4230</v>
      </c>
      <c r="J6861" s="256">
        <v>41487</v>
      </c>
      <c r="K6861" s="424">
        <v>131.96719999999999</v>
      </c>
      <c r="L6861" s="37">
        <v>0.31967199999999996</v>
      </c>
    </row>
    <row r="6862" spans="1:12" hidden="1" outlineLevel="1" x14ac:dyDescent="0.25">
      <c r="A6862" s="849">
        <v>0.05</v>
      </c>
      <c r="B6862" s="852" t="s">
        <v>1205</v>
      </c>
      <c r="C6862" s="1146">
        <v>20.712</v>
      </c>
      <c r="D6862" s="908">
        <v>26.645</v>
      </c>
      <c r="E6862" s="896">
        <v>0.28645229818462736</v>
      </c>
      <c r="F6862" s="946">
        <v>1.4322614909231368E-2</v>
      </c>
      <c r="G6862" s="443"/>
      <c r="H6862" t="s">
        <v>1092</v>
      </c>
      <c r="J6862" s="256">
        <v>41518</v>
      </c>
      <c r="K6862" s="424">
        <v>138.43819999999999</v>
      </c>
      <c r="L6862" s="37">
        <v>0.384382</v>
      </c>
    </row>
    <row r="6863" spans="1:12" hidden="1" outlineLevel="1" x14ac:dyDescent="0.25">
      <c r="A6863" s="849">
        <v>0.05</v>
      </c>
      <c r="B6863" s="852" t="s">
        <v>161</v>
      </c>
      <c r="C6863" s="1146">
        <v>542900</v>
      </c>
      <c r="D6863" s="908">
        <v>1372000</v>
      </c>
      <c r="E6863" s="896">
        <v>1.5271689077178117</v>
      </c>
      <c r="F6863" s="946">
        <v>7.6358445385890594E-2</v>
      </c>
      <c r="G6863" s="443"/>
      <c r="H6863" t="s">
        <v>562</v>
      </c>
      <c r="J6863" s="256">
        <v>41548</v>
      </c>
      <c r="K6863" s="424">
        <v>142.6867</v>
      </c>
      <c r="L6863" s="37">
        <v>0.42686700000000011</v>
      </c>
    </row>
    <row r="6864" spans="1:12" hidden="1" outlineLevel="1" x14ac:dyDescent="0.25">
      <c r="A6864" s="849">
        <v>0.05</v>
      </c>
      <c r="B6864" s="852" t="s">
        <v>1214</v>
      </c>
      <c r="C6864" s="1146">
        <v>65.804002342085511</v>
      </c>
      <c r="D6864" s="908">
        <v>99.29</v>
      </c>
      <c r="E6864" s="896">
        <v>0.50887478673160036</v>
      </c>
      <c r="F6864" s="946">
        <v>2.5443739336580021E-2</v>
      </c>
      <c r="G6864" s="443"/>
      <c r="H6864" t="s">
        <v>3775</v>
      </c>
      <c r="J6864" s="256">
        <v>41579</v>
      </c>
      <c r="K6864" s="424">
        <v>145.96690000000001</v>
      </c>
      <c r="L6864" s="37">
        <v>0.45966900000000011</v>
      </c>
    </row>
    <row r="6865" spans="1:12" hidden="1" outlineLevel="1" x14ac:dyDescent="0.25">
      <c r="A6865" s="849">
        <v>0.05</v>
      </c>
      <c r="B6865" s="852" t="s">
        <v>1183</v>
      </c>
      <c r="C6865" s="1177">
        <v>43.750500000000002</v>
      </c>
      <c r="D6865" s="908">
        <v>44.53</v>
      </c>
      <c r="E6865" s="896">
        <v>1.7816939234980067E-2</v>
      </c>
      <c r="F6865" s="946">
        <v>8.908469617490034E-4</v>
      </c>
      <c r="G6865" s="443"/>
      <c r="H6865" t="s">
        <v>2805</v>
      </c>
      <c r="J6865" s="256">
        <v>41609</v>
      </c>
      <c r="K6865" s="424">
        <v>145.27940000000001</v>
      </c>
      <c r="L6865" s="37">
        <v>0.45279400000000014</v>
      </c>
    </row>
    <row r="6866" spans="1:12" hidden="1" outlineLevel="1" x14ac:dyDescent="0.25">
      <c r="A6866" s="849">
        <v>0.05</v>
      </c>
      <c r="B6866" s="852" t="s">
        <v>507</v>
      </c>
      <c r="C6866" s="1146">
        <v>20.2745</v>
      </c>
      <c r="D6866" s="908">
        <v>29.274999999999999</v>
      </c>
      <c r="E6866" s="896">
        <v>0.4439320328491454</v>
      </c>
      <c r="F6866" s="946">
        <v>2.2196601642457271E-2</v>
      </c>
      <c r="G6866" s="443"/>
      <c r="H6866" t="s">
        <v>2810</v>
      </c>
      <c r="J6866" s="412" t="s">
        <v>2465</v>
      </c>
      <c r="L6866" s="261">
        <v>0.28323372222222221</v>
      </c>
    </row>
    <row r="6867" spans="1:12" hidden="1" outlineLevel="1" x14ac:dyDescent="0.25">
      <c r="A6867" s="990">
        <v>0.05</v>
      </c>
      <c r="B6867" s="801" t="s">
        <v>580</v>
      </c>
      <c r="C6867" s="1148">
        <v>65.825000000000003</v>
      </c>
      <c r="D6867" s="715">
        <v>84.45</v>
      </c>
      <c r="E6867" s="947">
        <v>0.28294720850740607</v>
      </c>
      <c r="F6867" s="1023">
        <v>1.4147360425370304E-2</v>
      </c>
      <c r="G6867" s="443"/>
      <c r="H6867" t="s">
        <v>3612</v>
      </c>
      <c r="J6867" s="412" t="s">
        <v>5094</v>
      </c>
      <c r="L6867" s="261">
        <v>0.25491035000000001</v>
      </c>
    </row>
    <row r="6868" spans="1:12" hidden="1" outlineLevel="1" x14ac:dyDescent="0.25">
      <c r="A6868" s="749"/>
      <c r="B6868" s="750"/>
      <c r="C6868" s="719"/>
      <c r="D6868" s="727"/>
      <c r="E6868" s="716"/>
      <c r="F6868" s="770">
        <v>0.45279399999999997</v>
      </c>
      <c r="G6868" s="443"/>
    </row>
    <row r="6869" spans="1:12" collapsed="1" x14ac:dyDescent="0.25">
      <c r="A6869" s="3801" t="s">
        <v>3152</v>
      </c>
      <c r="B6869" s="3802"/>
      <c r="C6869" s="3802"/>
      <c r="D6869" s="3802"/>
      <c r="E6869" s="721"/>
      <c r="F6869" s="722">
        <v>0.25491035000000001</v>
      </c>
      <c r="G6869" s="97" t="s">
        <v>781</v>
      </c>
    </row>
    <row r="6870" spans="1:12" x14ac:dyDescent="0.25">
      <c r="G6870" s="444"/>
    </row>
    <row r="6871" spans="1:12" hidden="1" outlineLevel="1" x14ac:dyDescent="0.25">
      <c r="A6871" s="689" t="s">
        <v>113</v>
      </c>
      <c r="B6871" s="689" t="s">
        <v>114</v>
      </c>
      <c r="C6871" s="689" t="s">
        <v>112</v>
      </c>
      <c r="D6871" s="689" t="s">
        <v>116</v>
      </c>
      <c r="E6871" s="689" t="s">
        <v>117</v>
      </c>
      <c r="F6871" s="1188" t="s">
        <v>121</v>
      </c>
      <c r="G6871" s="443"/>
    </row>
    <row r="6872" spans="1:12" hidden="1" outlineLevel="1" x14ac:dyDescent="0.25">
      <c r="A6872" s="690">
        <v>1</v>
      </c>
      <c r="B6872" s="691" t="s">
        <v>252</v>
      </c>
      <c r="C6872" s="705">
        <v>1</v>
      </c>
      <c r="D6872" s="692"/>
      <c r="E6872" s="693"/>
      <c r="F6872" s="694"/>
      <c r="G6872" s="443"/>
    </row>
    <row r="6873" spans="1:12" hidden="1" outlineLevel="1" x14ac:dyDescent="0.25">
      <c r="A6873" s="846" t="s">
        <v>3727</v>
      </c>
      <c r="B6873" s="695"/>
      <c r="C6873" s="709">
        <v>1.0451729999999999</v>
      </c>
      <c r="D6873" s="696"/>
      <c r="E6873" s="891"/>
      <c r="F6873" s="856"/>
      <c r="G6873" s="443"/>
    </row>
    <row r="6874" spans="1:12" hidden="1" outlineLevel="1" x14ac:dyDescent="0.25">
      <c r="A6874" s="846" t="s">
        <v>242</v>
      </c>
      <c r="B6874" s="695"/>
      <c r="C6874" s="709">
        <v>0.93688700000000003</v>
      </c>
      <c r="D6874" s="696"/>
      <c r="E6874" s="891"/>
      <c r="F6874" s="856"/>
      <c r="G6874" s="443"/>
    </row>
    <row r="6875" spans="1:12" hidden="1" outlineLevel="1" x14ac:dyDescent="0.25">
      <c r="A6875" s="846" t="s">
        <v>243</v>
      </c>
      <c r="B6875" s="695"/>
      <c r="C6875" s="709">
        <v>1.0415129999999999</v>
      </c>
      <c r="D6875" s="696"/>
      <c r="E6875" s="891"/>
      <c r="F6875" s="856"/>
      <c r="G6875" s="443"/>
    </row>
    <row r="6876" spans="1:12" hidden="1" outlineLevel="1" x14ac:dyDescent="0.25">
      <c r="A6876" s="846" t="s">
        <v>244</v>
      </c>
      <c r="B6876" s="695"/>
      <c r="C6876" s="709">
        <v>0.93693499999999996</v>
      </c>
      <c r="D6876" s="696"/>
      <c r="E6876" s="891"/>
      <c r="F6876" s="856"/>
      <c r="G6876" s="443"/>
    </row>
    <row r="6877" spans="1:12" hidden="1" outlineLevel="1" x14ac:dyDescent="0.25">
      <c r="A6877" s="846" t="s">
        <v>245</v>
      </c>
      <c r="B6877" s="695"/>
      <c r="C6877" s="1198">
        <v>82.080699999999993</v>
      </c>
      <c r="D6877" s="696"/>
      <c r="E6877" s="891"/>
      <c r="F6877" s="856"/>
      <c r="G6877" s="443"/>
    </row>
    <row r="6878" spans="1:12" hidden="1" outlineLevel="1" x14ac:dyDescent="0.25">
      <c r="A6878" s="846" t="s">
        <v>3286</v>
      </c>
      <c r="B6878" s="695"/>
      <c r="C6878" s="709"/>
      <c r="D6878" s="696"/>
      <c r="E6878" s="891"/>
      <c r="F6878" s="856"/>
      <c r="G6878" s="443"/>
    </row>
    <row r="6879" spans="1:12" hidden="1" outlineLevel="1" x14ac:dyDescent="0.25">
      <c r="A6879" s="1111"/>
      <c r="B6879" s="695"/>
      <c r="C6879" s="696"/>
      <c r="D6879" s="696"/>
      <c r="E6879" s="891"/>
      <c r="F6879" s="856"/>
      <c r="G6879" s="443"/>
    </row>
    <row r="6880" spans="1:12" hidden="1" outlineLevel="1" x14ac:dyDescent="0.25">
      <c r="A6880" s="1111"/>
      <c r="B6880" s="695"/>
      <c r="C6880" s="696"/>
      <c r="D6880" s="696"/>
      <c r="E6880" s="891"/>
      <c r="F6880" s="856"/>
      <c r="G6880" s="443"/>
      <c r="I6880" s="415"/>
    </row>
    <row r="6881" spans="1:12" hidden="1" outlineLevel="1" x14ac:dyDescent="0.25">
      <c r="A6881" s="695"/>
      <c r="B6881" s="695"/>
      <c r="C6881" s="696"/>
      <c r="D6881" s="697" t="s">
        <v>3702</v>
      </c>
      <c r="E6881" s="698">
        <v>41759</v>
      </c>
      <c r="F6881" s="699"/>
      <c r="G6881" s="443"/>
      <c r="I6881" s="415"/>
    </row>
    <row r="6882" spans="1:12" hidden="1" outlineLevel="1" x14ac:dyDescent="0.25">
      <c r="A6882" s="689" t="s">
        <v>4156</v>
      </c>
      <c r="B6882" s="495" t="s">
        <v>4153</v>
      </c>
      <c r="C6882" s="700" t="s">
        <v>112</v>
      </c>
      <c r="D6882" s="689" t="s">
        <v>4155</v>
      </c>
      <c r="E6882" s="495" t="s">
        <v>4154</v>
      </c>
      <c r="F6882" s="1188" t="s">
        <v>2519</v>
      </c>
      <c r="G6882" s="443"/>
      <c r="I6882" s="415"/>
      <c r="J6882" t="s">
        <v>2040</v>
      </c>
    </row>
    <row r="6883" spans="1:12" ht="14.4" hidden="1" outlineLevel="1" x14ac:dyDescent="0.3">
      <c r="A6883" s="734">
        <v>0.03</v>
      </c>
      <c r="B6883" s="690" t="s">
        <v>280</v>
      </c>
      <c r="C6883" s="703">
        <v>28.700500000000002</v>
      </c>
      <c r="D6883" s="708">
        <v>55.49</v>
      </c>
      <c r="E6883" s="895">
        <v>0.9334157941499277</v>
      </c>
      <c r="F6883" s="946">
        <v>2.8002473824497831E-2</v>
      </c>
      <c r="G6883" s="443"/>
      <c r="H6883" t="s">
        <v>1469</v>
      </c>
      <c r="I6883" s="442"/>
      <c r="J6883" s="256">
        <v>41214</v>
      </c>
      <c r="K6883" s="486">
        <v>127.83410000000001</v>
      </c>
      <c r="L6883" s="37">
        <v>0.27834100000000017</v>
      </c>
    </row>
    <row r="6884" spans="1:12" hidden="1" outlineLevel="1" x14ac:dyDescent="0.25">
      <c r="A6884" s="739">
        <v>0.03</v>
      </c>
      <c r="B6884" s="706" t="s">
        <v>2984</v>
      </c>
      <c r="C6884" s="707">
        <v>9.8620000000000001</v>
      </c>
      <c r="D6884" s="708">
        <v>8.8450000000000006</v>
      </c>
      <c r="E6884" s="896">
        <v>-0.10312309876292836</v>
      </c>
      <c r="F6884" s="946">
        <v>-3.0936929628878505E-3</v>
      </c>
      <c r="G6884" s="443"/>
      <c r="H6884" t="s">
        <v>2326</v>
      </c>
      <c r="I6884" s="442"/>
      <c r="J6884" s="256">
        <v>41244</v>
      </c>
      <c r="K6884" s="424">
        <v>130.35830000000001</v>
      </c>
      <c r="L6884" s="37">
        <v>0.30358300000000016</v>
      </c>
    </row>
    <row r="6885" spans="1:12" hidden="1" outlineLevel="1" x14ac:dyDescent="0.25">
      <c r="A6885" s="739">
        <v>0.03</v>
      </c>
      <c r="B6885" s="706" t="s">
        <v>3287</v>
      </c>
      <c r="C6885" s="707">
        <v>41.957000000000001</v>
      </c>
      <c r="D6885" s="708">
        <v>100</v>
      </c>
      <c r="E6885" s="896">
        <v>1.3833925209142692</v>
      </c>
      <c r="F6885" s="946">
        <v>4.1501775627428072E-2</v>
      </c>
      <c r="G6885" s="443"/>
      <c r="H6885" t="s">
        <v>490</v>
      </c>
      <c r="I6885" s="442"/>
      <c r="J6885" s="256">
        <v>41275</v>
      </c>
      <c r="K6885" s="424">
        <v>135.74080000000001</v>
      </c>
      <c r="L6885" s="37">
        <v>0.35740800000000017</v>
      </c>
    </row>
    <row r="6886" spans="1:12" hidden="1" outlineLevel="1" x14ac:dyDescent="0.25">
      <c r="A6886" s="739">
        <v>0.03</v>
      </c>
      <c r="B6886" s="706" t="s">
        <v>6701</v>
      </c>
      <c r="C6886" s="707">
        <v>382.3</v>
      </c>
      <c r="D6886" s="708">
        <v>880</v>
      </c>
      <c r="E6886" s="896">
        <v>1.3018571802249541</v>
      </c>
      <c r="F6886" s="946">
        <v>3.9055715406748619E-2</v>
      </c>
      <c r="G6886" s="443"/>
      <c r="H6886" t="s">
        <v>6700</v>
      </c>
      <c r="I6886" s="442"/>
      <c r="J6886" s="256">
        <v>41306</v>
      </c>
      <c r="K6886" s="424">
        <v>138.91640000000001</v>
      </c>
      <c r="L6886" s="37">
        <v>0.38916400000000007</v>
      </c>
    </row>
    <row r="6887" spans="1:12" hidden="1" outlineLevel="1" x14ac:dyDescent="0.25">
      <c r="A6887" s="739">
        <v>0.03</v>
      </c>
      <c r="B6887" s="706" t="s">
        <v>3288</v>
      </c>
      <c r="C6887" s="707">
        <v>281.3</v>
      </c>
      <c r="D6887" s="708">
        <v>942</v>
      </c>
      <c r="E6887" s="896">
        <v>2.3487380021329538</v>
      </c>
      <c r="F6887" s="946">
        <v>7.0462140063988613E-2</v>
      </c>
      <c r="G6887" s="443"/>
      <c r="H6887" t="s">
        <v>266</v>
      </c>
      <c r="I6887" s="442"/>
      <c r="J6887" s="256">
        <v>41334</v>
      </c>
      <c r="K6887" s="424">
        <v>141.90209999999999</v>
      </c>
      <c r="L6887" s="37">
        <v>0.41902099999999987</v>
      </c>
    </row>
    <row r="6888" spans="1:12" hidden="1" outlineLevel="1" x14ac:dyDescent="0.25">
      <c r="A6888" s="739">
        <v>0.04</v>
      </c>
      <c r="B6888" s="706" t="s">
        <v>4025</v>
      </c>
      <c r="C6888" s="707">
        <v>25.221499999999999</v>
      </c>
      <c r="D6888" s="708">
        <v>66.73</v>
      </c>
      <c r="E6888" s="896">
        <v>1.6457585789901477</v>
      </c>
      <c r="F6888" s="946">
        <v>6.5830343159605911E-2</v>
      </c>
      <c r="G6888" s="443"/>
      <c r="H6888" t="s">
        <v>3977</v>
      </c>
      <c r="I6888" s="442"/>
      <c r="J6888" s="256">
        <v>41365</v>
      </c>
      <c r="K6888" s="424">
        <v>142.34780000000001</v>
      </c>
      <c r="L6888" s="37">
        <v>0.42347800000000002</v>
      </c>
    </row>
    <row r="6889" spans="1:12" hidden="1" outlineLevel="1" x14ac:dyDescent="0.25">
      <c r="A6889" s="739">
        <v>0.04</v>
      </c>
      <c r="B6889" s="706" t="s">
        <v>3289</v>
      </c>
      <c r="C6889" s="707">
        <v>42.971499999999999</v>
      </c>
      <c r="D6889" s="708">
        <v>53.16</v>
      </c>
      <c r="E6889" s="896">
        <v>0.23709900748170298</v>
      </c>
      <c r="F6889" s="946">
        <v>9.4839602992681203E-3</v>
      </c>
      <c r="G6889" s="443"/>
      <c r="H6889" t="s">
        <v>2751</v>
      </c>
      <c r="I6889" s="442"/>
      <c r="J6889" s="256">
        <v>41395</v>
      </c>
      <c r="K6889" s="424">
        <v>143.94329999999999</v>
      </c>
      <c r="L6889" s="37">
        <v>0.43943299999999996</v>
      </c>
    </row>
    <row r="6890" spans="1:12" hidden="1" outlineLevel="1" x14ac:dyDescent="0.25">
      <c r="A6890" s="739">
        <v>0.05</v>
      </c>
      <c r="B6890" s="706" t="s">
        <v>2699</v>
      </c>
      <c r="C6890" s="707">
        <v>10.978999999999999</v>
      </c>
      <c r="D6890" s="708">
        <v>27.135000000000002</v>
      </c>
      <c r="E6890" s="896">
        <v>1.4715365698151017</v>
      </c>
      <c r="F6890" s="946">
        <v>7.3576828490755086E-2</v>
      </c>
      <c r="G6890" s="443"/>
      <c r="H6890" t="s">
        <v>505</v>
      </c>
      <c r="I6890" s="442"/>
      <c r="J6890" s="256">
        <v>41426</v>
      </c>
      <c r="K6890" s="424">
        <v>137.69589999999999</v>
      </c>
      <c r="L6890" s="37">
        <v>0.37695900000000004</v>
      </c>
    </row>
    <row r="6891" spans="1:12" hidden="1" outlineLevel="1" x14ac:dyDescent="0.25">
      <c r="A6891" s="739">
        <v>0.03</v>
      </c>
      <c r="B6891" s="706" t="s">
        <v>3406</v>
      </c>
      <c r="C6891" s="707">
        <v>863.25</v>
      </c>
      <c r="D6891" s="708">
        <v>1817.5</v>
      </c>
      <c r="E6891" s="896">
        <v>1.1054155806545034</v>
      </c>
      <c r="F6891" s="946">
        <v>3.3162467419635099E-2</v>
      </c>
      <c r="G6891" s="443"/>
      <c r="H6891" t="s">
        <v>2105</v>
      </c>
      <c r="I6891" s="442"/>
      <c r="J6891" s="256">
        <v>41456</v>
      </c>
      <c r="K6891" s="424">
        <v>147.399</v>
      </c>
      <c r="L6891" s="37">
        <v>0.47398999999999991</v>
      </c>
    </row>
    <row r="6892" spans="1:12" hidden="1" outlineLevel="1" x14ac:dyDescent="0.25">
      <c r="A6892" s="739">
        <v>0.04</v>
      </c>
      <c r="B6892" s="706" t="s">
        <v>3021</v>
      </c>
      <c r="C6892" s="707">
        <v>15.5562</v>
      </c>
      <c r="D6892" s="708">
        <v>18.71</v>
      </c>
      <c r="E6892" s="896">
        <v>0.20273588665612419</v>
      </c>
      <c r="F6892" s="946">
        <v>8.1094354662449679E-3</v>
      </c>
      <c r="G6892" s="443"/>
      <c r="H6892" t="s">
        <v>4124</v>
      </c>
      <c r="I6892" s="442"/>
      <c r="J6892" s="256">
        <v>41487</v>
      </c>
      <c r="K6892" s="424">
        <v>145.6516</v>
      </c>
      <c r="L6892" s="37">
        <v>0.45651599999999992</v>
      </c>
    </row>
    <row r="6893" spans="1:12" hidden="1" outlineLevel="1" x14ac:dyDescent="0.25">
      <c r="A6893" s="739">
        <v>0.03</v>
      </c>
      <c r="B6893" s="706" t="s">
        <v>1176</v>
      </c>
      <c r="C6893" s="707">
        <v>1.0015000000000001</v>
      </c>
      <c r="D6893" s="708">
        <v>1.599</v>
      </c>
      <c r="E6893" s="896">
        <v>0.59660509236145765</v>
      </c>
      <c r="F6893" s="946">
        <v>1.789815277084373E-2</v>
      </c>
      <c r="G6893" s="443"/>
      <c r="H6893" t="s">
        <v>3090</v>
      </c>
      <c r="I6893" s="442"/>
      <c r="J6893" s="256">
        <v>41518</v>
      </c>
      <c r="K6893" s="424">
        <v>152.06729999999999</v>
      </c>
      <c r="L6893" s="37">
        <v>0.52067299999999994</v>
      </c>
    </row>
    <row r="6894" spans="1:12" hidden="1" outlineLevel="1" x14ac:dyDescent="0.25">
      <c r="A6894" s="739">
        <v>0.05</v>
      </c>
      <c r="B6894" s="706" t="s">
        <v>44</v>
      </c>
      <c r="C6894" s="707">
        <v>3.0996000000000001</v>
      </c>
      <c r="D6894" s="708">
        <v>2.46</v>
      </c>
      <c r="E6894" s="896">
        <v>-0.20634920634920639</v>
      </c>
      <c r="F6894" s="946">
        <v>-1.0317460317460321E-2</v>
      </c>
      <c r="G6894" s="443"/>
      <c r="H6894" t="s">
        <v>204</v>
      </c>
      <c r="I6894" s="442"/>
      <c r="J6894" s="256">
        <v>41548</v>
      </c>
      <c r="K6894" s="424">
        <v>158.72409999999999</v>
      </c>
      <c r="L6894" s="37">
        <v>0.5872409999999999</v>
      </c>
    </row>
    <row r="6895" spans="1:12" hidden="1" outlineLevel="1" x14ac:dyDescent="0.25">
      <c r="A6895" s="739">
        <v>0.03</v>
      </c>
      <c r="B6895" s="706" t="s">
        <v>1526</v>
      </c>
      <c r="C6895" s="707">
        <v>36.134</v>
      </c>
      <c r="D6895" s="708">
        <v>43.91</v>
      </c>
      <c r="E6895" s="896">
        <v>0.21519898156860573</v>
      </c>
      <c r="F6895" s="946">
        <v>6.4559694470581715E-3</v>
      </c>
      <c r="G6895" s="443"/>
      <c r="H6895" t="s">
        <v>4146</v>
      </c>
      <c r="I6895" s="442"/>
      <c r="J6895" s="256">
        <v>41579</v>
      </c>
      <c r="K6895" s="424">
        <v>159.53530000000001</v>
      </c>
      <c r="L6895" s="37">
        <v>0.59535300000000002</v>
      </c>
    </row>
    <row r="6896" spans="1:12" hidden="1" outlineLevel="1" x14ac:dyDescent="0.25">
      <c r="A6896" s="739">
        <v>0.03</v>
      </c>
      <c r="B6896" s="706" t="s">
        <v>4143</v>
      </c>
      <c r="C6896" s="707">
        <v>9.5761000000000003</v>
      </c>
      <c r="D6896" s="708">
        <v>2.5620000000000003</v>
      </c>
      <c r="E6896" s="896">
        <v>-0.73245893422165598</v>
      </c>
      <c r="F6896" s="946">
        <v>-2.197376802664968E-2</v>
      </c>
      <c r="G6896" s="443"/>
      <c r="H6896" t="s">
        <v>4144</v>
      </c>
      <c r="I6896" s="442"/>
      <c r="J6896" s="256">
        <v>41609</v>
      </c>
      <c r="K6896" s="424">
        <v>160.9932</v>
      </c>
      <c r="L6896" s="37">
        <v>0.60993199999999992</v>
      </c>
    </row>
    <row r="6897" spans="1:12" hidden="1" outlineLevel="1" x14ac:dyDescent="0.25">
      <c r="A6897" s="739">
        <v>0.03</v>
      </c>
      <c r="B6897" s="706" t="s">
        <v>3303</v>
      </c>
      <c r="C6897" s="707">
        <v>55.755499999999998</v>
      </c>
      <c r="D6897" s="708">
        <v>65.849999999999994</v>
      </c>
      <c r="E6897" s="896">
        <v>0.18104940319789065</v>
      </c>
      <c r="F6897" s="946">
        <v>5.4314820959367191E-3</v>
      </c>
      <c r="G6897" s="443"/>
      <c r="H6897" t="e">
        <v>#N/A</v>
      </c>
      <c r="I6897" s="442"/>
      <c r="J6897" s="256">
        <v>41640</v>
      </c>
      <c r="K6897" s="424">
        <v>159.00149999999999</v>
      </c>
      <c r="L6897" s="37">
        <v>0.59001499999999996</v>
      </c>
    </row>
    <row r="6898" spans="1:12" hidden="1" outlineLevel="1" x14ac:dyDescent="0.25">
      <c r="A6898" s="739">
        <v>0.03</v>
      </c>
      <c r="B6898" s="706" t="s">
        <v>1238</v>
      </c>
      <c r="C6898" s="707">
        <v>8.7847000000000008</v>
      </c>
      <c r="D6898" s="708">
        <v>7.98</v>
      </c>
      <c r="E6898" s="896">
        <v>-9.1602445160335666E-2</v>
      </c>
      <c r="F6898" s="946">
        <v>-2.74807335481007E-3</v>
      </c>
      <c r="G6898" s="443"/>
      <c r="H6898" t="s">
        <v>267</v>
      </c>
      <c r="I6898" s="442"/>
      <c r="J6898" s="256">
        <v>41671</v>
      </c>
      <c r="K6898" s="424">
        <v>166.96270000000001</v>
      </c>
      <c r="L6898" s="37">
        <v>0.66962700000000019</v>
      </c>
    </row>
    <row r="6899" spans="1:12" hidden="1" outlineLevel="1" x14ac:dyDescent="0.25">
      <c r="A6899" s="739">
        <v>0.03</v>
      </c>
      <c r="B6899" s="711" t="s">
        <v>1772</v>
      </c>
      <c r="C6899" s="707">
        <v>92.391999999999996</v>
      </c>
      <c r="D6899" s="708">
        <v>166.45</v>
      </c>
      <c r="E6899" s="896">
        <v>0.80156290587929679</v>
      </c>
      <c r="F6899" s="946">
        <v>2.4046887176378904E-2</v>
      </c>
      <c r="G6899" s="443"/>
      <c r="H6899" t="s">
        <v>4330</v>
      </c>
      <c r="I6899" s="442"/>
      <c r="J6899" s="256">
        <v>41699</v>
      </c>
      <c r="K6899" s="424">
        <v>167.42859999999999</v>
      </c>
      <c r="L6899" s="37">
        <v>0.67428599999999994</v>
      </c>
    </row>
    <row r="6900" spans="1:12" hidden="1" outlineLevel="1" x14ac:dyDescent="0.25">
      <c r="A6900" s="739">
        <v>0.03</v>
      </c>
      <c r="B6900" s="706" t="s">
        <v>3797</v>
      </c>
      <c r="C6900" s="707">
        <v>43.146000000000001</v>
      </c>
      <c r="D6900" s="708">
        <v>67.95</v>
      </c>
      <c r="E6900" s="896">
        <v>0.57488527325823946</v>
      </c>
      <c r="F6900" s="946">
        <v>1.7246558197747182E-2</v>
      </c>
      <c r="G6900" s="443"/>
      <c r="H6900" t="s">
        <v>3848</v>
      </c>
      <c r="I6900" s="442"/>
      <c r="J6900" s="256">
        <v>41730</v>
      </c>
      <c r="K6900" s="424">
        <v>167.74719999999999</v>
      </c>
      <c r="L6900" s="37">
        <v>0.67747199999999985</v>
      </c>
    </row>
    <row r="6901" spans="1:12" hidden="1" outlineLevel="1" x14ac:dyDescent="0.25">
      <c r="A6901" s="739">
        <v>0.04</v>
      </c>
      <c r="B6901" s="706" t="s">
        <v>2787</v>
      </c>
      <c r="C6901" s="707">
        <v>55.645000000000003</v>
      </c>
      <c r="D6901" s="708">
        <v>76.3</v>
      </c>
      <c r="E6901" s="896">
        <v>0.3711923802677688</v>
      </c>
      <c r="F6901" s="946">
        <v>1.4847695210710752E-2</v>
      </c>
      <c r="G6901" s="443"/>
      <c r="H6901" t="s">
        <v>80</v>
      </c>
      <c r="I6901" s="442"/>
      <c r="J6901" s="412" t="s">
        <v>2465</v>
      </c>
      <c r="L6901" s="261">
        <v>0.49124955555555555</v>
      </c>
    </row>
    <row r="6902" spans="1:12" hidden="1" outlineLevel="1" x14ac:dyDescent="0.25">
      <c r="A6902" s="739">
        <v>0.02</v>
      </c>
      <c r="B6902" s="712" t="s">
        <v>3307</v>
      </c>
      <c r="C6902" s="707">
        <v>44.470500000000001</v>
      </c>
      <c r="D6902" s="708">
        <v>175.45</v>
      </c>
      <c r="E6902" s="896">
        <v>2.945312060804353</v>
      </c>
      <c r="F6902" s="946">
        <v>5.8906241216087063E-2</v>
      </c>
      <c r="G6902" s="443"/>
      <c r="H6902" t="e">
        <v>#N/A</v>
      </c>
      <c r="I6902" s="442"/>
      <c r="J6902" s="412" t="s">
        <v>5094</v>
      </c>
      <c r="L6902" s="261">
        <v>0.39299964444444446</v>
      </c>
    </row>
    <row r="6903" spans="1:12" hidden="1" outlineLevel="1" x14ac:dyDescent="0.25">
      <c r="A6903" s="739">
        <v>0.03</v>
      </c>
      <c r="B6903" s="706" t="s">
        <v>1653</v>
      </c>
      <c r="C6903" s="707">
        <v>9.1677999999999997</v>
      </c>
      <c r="D6903" s="708">
        <v>14.705</v>
      </c>
      <c r="E6903" s="896">
        <v>0.60398350749361907</v>
      </c>
      <c r="F6903" s="946">
        <v>1.8119505224808572E-2</v>
      </c>
      <c r="G6903" s="443"/>
      <c r="H6903" t="s">
        <v>285</v>
      </c>
      <c r="I6903" s="442"/>
    </row>
    <row r="6904" spans="1:12" hidden="1" outlineLevel="1" x14ac:dyDescent="0.25">
      <c r="A6904" s="739">
        <v>0.03</v>
      </c>
      <c r="B6904" s="706" t="s">
        <v>3801</v>
      </c>
      <c r="C6904" s="707">
        <v>59.021000000000001</v>
      </c>
      <c r="D6904" s="708">
        <v>27.484999999999999</v>
      </c>
      <c r="E6904" s="896">
        <v>-0.53431829348875826</v>
      </c>
      <c r="F6904" s="946">
        <v>-1.6029548804662747E-2</v>
      </c>
      <c r="G6904" s="443"/>
      <c r="H6904" t="s">
        <v>2819</v>
      </c>
      <c r="I6904" s="442"/>
    </row>
    <row r="6905" spans="1:12" hidden="1" outlineLevel="1" x14ac:dyDescent="0.25">
      <c r="A6905" s="739">
        <v>0.04</v>
      </c>
      <c r="B6905" s="706" t="s">
        <v>181</v>
      </c>
      <c r="C6905" s="707">
        <v>44.265999999999998</v>
      </c>
      <c r="D6905" s="708">
        <v>49.04</v>
      </c>
      <c r="E6905" s="896">
        <v>0.10784800975918318</v>
      </c>
      <c r="F6905" s="946">
        <v>4.3139203903673276E-3</v>
      </c>
      <c r="G6905" s="443"/>
      <c r="H6905" t="e">
        <v>#N/A</v>
      </c>
      <c r="I6905" s="442"/>
    </row>
    <row r="6906" spans="1:12" hidden="1" outlineLevel="1" x14ac:dyDescent="0.25">
      <c r="A6906" s="739">
        <v>0.05</v>
      </c>
      <c r="B6906" s="706" t="s">
        <v>1239</v>
      </c>
      <c r="C6906" s="707">
        <v>335.82499999999999</v>
      </c>
      <c r="D6906" s="708">
        <v>535</v>
      </c>
      <c r="E6906" s="896">
        <v>0.59309163999106684</v>
      </c>
      <c r="F6906" s="946">
        <v>2.9654581999553342E-2</v>
      </c>
      <c r="G6906" s="443"/>
      <c r="H6906" t="s">
        <v>268</v>
      </c>
      <c r="I6906" s="442"/>
    </row>
    <row r="6907" spans="1:12" hidden="1" outlineLevel="1" x14ac:dyDescent="0.25">
      <c r="A6907" s="739">
        <v>0.03</v>
      </c>
      <c r="B6907" s="706" t="s">
        <v>577</v>
      </c>
      <c r="C6907" s="707">
        <v>14.946999999999999</v>
      </c>
      <c r="D6907" s="708">
        <v>12.07</v>
      </c>
      <c r="E6907" s="896">
        <v>-0.19248009634040264</v>
      </c>
      <c r="F6907" s="946">
        <v>-5.7744028902120791E-3</v>
      </c>
      <c r="G6907" s="443"/>
      <c r="H6907" t="s">
        <v>2804</v>
      </c>
      <c r="I6907" s="442"/>
    </row>
    <row r="6908" spans="1:12" hidden="1" outlineLevel="1" x14ac:dyDescent="0.25">
      <c r="A6908" s="739">
        <v>0.03</v>
      </c>
      <c r="B6908" s="706" t="s">
        <v>1183</v>
      </c>
      <c r="C6908" s="707">
        <v>36.78</v>
      </c>
      <c r="D6908" s="708">
        <v>51.48</v>
      </c>
      <c r="E6908" s="896">
        <v>0.3996737357259379</v>
      </c>
      <c r="F6908" s="946">
        <v>1.1990212071778136E-2</v>
      </c>
      <c r="G6908" s="443"/>
      <c r="H6908" t="s">
        <v>2805</v>
      </c>
      <c r="I6908" s="442"/>
    </row>
    <row r="6909" spans="1:12" hidden="1" outlineLevel="1" x14ac:dyDescent="0.25">
      <c r="A6909" s="739">
        <v>0.02</v>
      </c>
      <c r="B6909" s="706" t="s">
        <v>507</v>
      </c>
      <c r="C6909" s="707">
        <v>18.411999999999999</v>
      </c>
      <c r="D6909" s="708">
        <v>30.885000000000002</v>
      </c>
      <c r="E6909" s="896">
        <v>0.67743862698240287</v>
      </c>
      <c r="F6909" s="946">
        <v>1.3548772539648058E-2</v>
      </c>
      <c r="G6909" s="443"/>
      <c r="H6909" t="s">
        <v>2810</v>
      </c>
      <c r="I6909" s="442"/>
    </row>
    <row r="6910" spans="1:12" hidden="1" outlineLevel="1" x14ac:dyDescent="0.25">
      <c r="A6910" s="739">
        <v>0.04</v>
      </c>
      <c r="B6910" s="712" t="s">
        <v>3169</v>
      </c>
      <c r="C6910" s="707">
        <v>20.471499999999999</v>
      </c>
      <c r="D6910" s="708">
        <v>19.34</v>
      </c>
      <c r="E6910" s="896">
        <v>-5.5271963461397511E-2</v>
      </c>
      <c r="F6910" s="946">
        <v>-2.2108785384559004E-3</v>
      </c>
      <c r="G6910" s="443"/>
      <c r="H6910" t="s">
        <v>657</v>
      </c>
      <c r="I6910" s="442"/>
    </row>
    <row r="6911" spans="1:12" hidden="1" outlineLevel="1" x14ac:dyDescent="0.25">
      <c r="A6911" s="739">
        <v>0.03</v>
      </c>
      <c r="B6911" s="706" t="s">
        <v>580</v>
      </c>
      <c r="C6911" s="707">
        <v>45.755000000000003</v>
      </c>
      <c r="D6911" s="708">
        <v>102.5</v>
      </c>
      <c r="E6911" s="896">
        <v>1.2401923287072449</v>
      </c>
      <c r="F6911" s="946">
        <v>3.7205769861217347E-2</v>
      </c>
      <c r="G6911" s="443"/>
      <c r="H6911" t="s">
        <v>3612</v>
      </c>
      <c r="I6911" s="442"/>
    </row>
    <row r="6912" spans="1:12" hidden="1" outlineLevel="1" x14ac:dyDescent="0.25">
      <c r="A6912" s="739">
        <v>0.03</v>
      </c>
      <c r="B6912" s="713" t="s">
        <v>3566</v>
      </c>
      <c r="C6912" s="714">
        <v>13.324</v>
      </c>
      <c r="D6912" s="1199">
        <v>20.07</v>
      </c>
      <c r="E6912" s="947">
        <v>0.50630441308916252</v>
      </c>
      <c r="F6912" s="946">
        <v>1.5189132392674875E-2</v>
      </c>
      <c r="G6912" s="443"/>
      <c r="H6912" t="s">
        <v>4382</v>
      </c>
      <c r="I6912" s="442"/>
    </row>
    <row r="6913" spans="1:10" hidden="1" outlineLevel="1" x14ac:dyDescent="0.25">
      <c r="A6913" s="717"/>
      <c r="B6913" s="750"/>
      <c r="C6913" s="727"/>
      <c r="D6913" s="719"/>
      <c r="E6913" s="720">
        <v>1.4912495555555556</v>
      </c>
      <c r="F6913" s="731">
        <v>0.58189219545784387</v>
      </c>
      <c r="G6913" s="443"/>
      <c r="H6913" s="406">
        <v>0.55436255555555558</v>
      </c>
      <c r="I6913" s="415"/>
    </row>
    <row r="6914" spans="1:10" collapsed="1" x14ac:dyDescent="0.25">
      <c r="A6914" s="3801" t="s">
        <v>3726</v>
      </c>
      <c r="B6914" s="3802"/>
      <c r="C6914" s="3802"/>
      <c r="D6914" s="3802"/>
      <c r="E6914" s="721"/>
      <c r="F6914" s="722">
        <v>0.53639999999999999</v>
      </c>
      <c r="G6914" s="97" t="s">
        <v>781</v>
      </c>
      <c r="H6914" s="406"/>
      <c r="I6914" s="415"/>
    </row>
    <row r="6915" spans="1:10" x14ac:dyDescent="0.25">
      <c r="G6915" s="444"/>
      <c r="I6915" s="415"/>
    </row>
    <row r="6916" spans="1:10" hidden="1" outlineLevel="1" x14ac:dyDescent="0.25">
      <c r="A6916" s="689" t="s">
        <v>113</v>
      </c>
      <c r="B6916" s="689" t="s">
        <v>114</v>
      </c>
      <c r="C6916" s="689" t="s">
        <v>112</v>
      </c>
      <c r="D6916" s="689" t="s">
        <v>116</v>
      </c>
      <c r="E6916" s="689" t="s">
        <v>117</v>
      </c>
      <c r="F6916" s="1188" t="s">
        <v>121</v>
      </c>
      <c r="G6916" s="444"/>
      <c r="I6916" s="415"/>
    </row>
    <row r="6917" spans="1:10" hidden="1" outlineLevel="1" x14ac:dyDescent="0.25">
      <c r="A6917" s="732" t="s">
        <v>2446</v>
      </c>
      <c r="B6917" s="691" t="s">
        <v>115</v>
      </c>
      <c r="C6917" s="793">
        <v>3255.4879999999998</v>
      </c>
      <c r="D6917" s="793">
        <v>2346.3229999999999</v>
      </c>
      <c r="E6917" s="3813">
        <v>-0.27679999999999999</v>
      </c>
      <c r="F6917" s="3816">
        <v>-0.03</v>
      </c>
      <c r="G6917" s="444"/>
      <c r="I6917" s="415"/>
    </row>
    <row r="6918" spans="1:10" hidden="1" outlineLevel="1" x14ac:dyDescent="0.25">
      <c r="A6918" s="732" t="s">
        <v>2446</v>
      </c>
      <c r="B6918" s="695" t="s">
        <v>760</v>
      </c>
      <c r="C6918" s="797">
        <v>1247.3150000000001</v>
      </c>
      <c r="D6918" s="1022">
        <v>898.04399999999998</v>
      </c>
      <c r="E6918" s="3814"/>
      <c r="F6918" s="3817"/>
      <c r="G6918" s="444"/>
    </row>
    <row r="6919" spans="1:10" hidden="1" outlineLevel="1" x14ac:dyDescent="0.25">
      <c r="A6919" s="732" t="s">
        <v>2446</v>
      </c>
      <c r="B6919" s="695" t="s">
        <v>761</v>
      </c>
      <c r="C6919" s="797">
        <v>12976.933999999999</v>
      </c>
      <c r="D6919" s="797">
        <v>9527.2039999999997</v>
      </c>
      <c r="E6919" s="3815"/>
      <c r="F6919" s="3818"/>
      <c r="G6919" s="444"/>
      <c r="H6919" s="370"/>
      <c r="I6919" s="370"/>
      <c r="J6919" s="370"/>
    </row>
    <row r="6920" spans="1:10" hidden="1" outlineLevel="1" x14ac:dyDescent="0.25">
      <c r="A6920" s="732" t="s">
        <v>2447</v>
      </c>
      <c r="B6920" s="691" t="s">
        <v>115</v>
      </c>
      <c r="C6920" s="793">
        <v>2346.3229999999999</v>
      </c>
      <c r="D6920" s="793">
        <v>2627.2179999999998</v>
      </c>
      <c r="E6920" s="3813">
        <v>0.11310000000000001</v>
      </c>
      <c r="F6920" s="3816">
        <v>0.08</v>
      </c>
      <c r="G6920" s="444"/>
    </row>
    <row r="6921" spans="1:10" hidden="1" outlineLevel="1" x14ac:dyDescent="0.25">
      <c r="A6921" s="732" t="s">
        <v>2447</v>
      </c>
      <c r="B6921" s="695" t="s">
        <v>760</v>
      </c>
      <c r="C6921" s="1022">
        <v>898.04399999999998</v>
      </c>
      <c r="D6921" s="797">
        <v>1065.223</v>
      </c>
      <c r="E6921" s="3814"/>
      <c r="F6921" s="3817"/>
      <c r="G6921" s="444"/>
    </row>
    <row r="6922" spans="1:10" hidden="1" outlineLevel="1" x14ac:dyDescent="0.25">
      <c r="A6922" s="732" t="s">
        <v>2447</v>
      </c>
      <c r="B6922" s="695" t="s">
        <v>761</v>
      </c>
      <c r="C6922" s="797">
        <v>9527.2039999999997</v>
      </c>
      <c r="D6922" s="797">
        <v>9428.1419999999998</v>
      </c>
      <c r="E6922" s="3815"/>
      <c r="F6922" s="3818"/>
      <c r="G6922" s="444"/>
    </row>
    <row r="6923" spans="1:10" hidden="1" outlineLevel="1" x14ac:dyDescent="0.25">
      <c r="A6923" s="732" t="s">
        <v>2448</v>
      </c>
      <c r="B6923" s="691" t="s">
        <v>115</v>
      </c>
      <c r="C6923" s="793">
        <v>2627.2179999999998</v>
      </c>
      <c r="D6923" s="793">
        <v>2787.6610000000001</v>
      </c>
      <c r="E6923" s="3813">
        <v>0.120341707494013</v>
      </c>
      <c r="F6923" s="3816">
        <v>0.08</v>
      </c>
      <c r="G6923" s="444"/>
    </row>
    <row r="6924" spans="1:10" hidden="1" outlineLevel="1" x14ac:dyDescent="0.25">
      <c r="A6924" s="732" t="s">
        <v>2448</v>
      </c>
      <c r="B6924" s="695" t="s">
        <v>760</v>
      </c>
      <c r="C6924" s="797">
        <v>1065.223</v>
      </c>
      <c r="D6924" s="797">
        <v>1328.9649999999999</v>
      </c>
      <c r="E6924" s="3814"/>
      <c r="F6924" s="3817"/>
      <c r="G6924" s="444"/>
    </row>
    <row r="6925" spans="1:10" hidden="1" outlineLevel="1" x14ac:dyDescent="0.25">
      <c r="A6925" s="732" t="s">
        <v>2448</v>
      </c>
      <c r="B6925" s="695" t="s">
        <v>761</v>
      </c>
      <c r="C6925" s="797">
        <v>9428.1419999999998</v>
      </c>
      <c r="D6925" s="797">
        <v>9999.1679999999997</v>
      </c>
      <c r="E6925" s="3815"/>
      <c r="F6925" s="3818"/>
      <c r="G6925" s="444"/>
    </row>
    <row r="6926" spans="1:10" hidden="1" outlineLevel="1" x14ac:dyDescent="0.25">
      <c r="A6926" s="732" t="s">
        <v>2449</v>
      </c>
      <c r="B6926" s="690" t="s">
        <v>115</v>
      </c>
      <c r="C6926" s="793">
        <v>2787.6610000000001</v>
      </c>
      <c r="D6926" s="793">
        <v>2264.8440000000001</v>
      </c>
      <c r="E6926" s="3813">
        <v>-0.10052190226556799</v>
      </c>
      <c r="F6926" s="3816">
        <v>-0.03</v>
      </c>
      <c r="G6926" s="444"/>
    </row>
    <row r="6927" spans="1:10" hidden="1" outlineLevel="1" x14ac:dyDescent="0.25">
      <c r="A6927" s="732" t="s">
        <v>2449</v>
      </c>
      <c r="B6927" s="706" t="s">
        <v>760</v>
      </c>
      <c r="C6927" s="797">
        <v>1328.9649999999999</v>
      </c>
      <c r="D6927" s="797">
        <v>1354.2349999999999</v>
      </c>
      <c r="E6927" s="3814"/>
      <c r="F6927" s="3817"/>
      <c r="G6927" s="444"/>
    </row>
    <row r="6928" spans="1:10" hidden="1" outlineLevel="1" x14ac:dyDescent="0.25">
      <c r="A6928" s="732" t="s">
        <v>2449</v>
      </c>
      <c r="B6928" s="713" t="s">
        <v>761</v>
      </c>
      <c r="C6928" s="794">
        <v>9999.1679999999997</v>
      </c>
      <c r="D6928" s="794">
        <v>8932.4529999999995</v>
      </c>
      <c r="E6928" s="3815"/>
      <c r="F6928" s="3818"/>
      <c r="G6928" s="444"/>
    </row>
    <row r="6929" spans="1:9" hidden="1" outlineLevel="1" x14ac:dyDescent="0.25">
      <c r="A6929" s="732" t="s">
        <v>2450</v>
      </c>
      <c r="B6929" s="695" t="s">
        <v>115</v>
      </c>
      <c r="C6929" s="793">
        <v>2264.8440000000001</v>
      </c>
      <c r="D6929" s="797">
        <v>2976.2860000000001</v>
      </c>
      <c r="E6929" s="3814">
        <v>0.38900000000000001</v>
      </c>
      <c r="F6929" s="3817">
        <v>0.08</v>
      </c>
      <c r="G6929" s="444"/>
    </row>
    <row r="6930" spans="1:9" hidden="1" outlineLevel="1" x14ac:dyDescent="0.25">
      <c r="A6930" s="732" t="s">
        <v>2450</v>
      </c>
      <c r="B6930" s="695" t="s">
        <v>760</v>
      </c>
      <c r="C6930" s="797">
        <v>1354.2349999999999</v>
      </c>
      <c r="D6930" s="797">
        <v>1792.3009999999999</v>
      </c>
      <c r="E6930" s="3814"/>
      <c r="F6930" s="3817"/>
      <c r="G6930" s="444"/>
    </row>
    <row r="6931" spans="1:9" hidden="1" outlineLevel="1" x14ac:dyDescent="0.25">
      <c r="A6931" s="732" t="s">
        <v>2450</v>
      </c>
      <c r="B6931" s="695" t="s">
        <v>761</v>
      </c>
      <c r="C6931" s="794">
        <v>8932.4529999999995</v>
      </c>
      <c r="D6931" s="797">
        <v>15481.153</v>
      </c>
      <c r="E6931" s="3815"/>
      <c r="F6931" s="3818"/>
      <c r="G6931" s="444"/>
    </row>
    <row r="6932" spans="1:9" collapsed="1" x14ac:dyDescent="0.25">
      <c r="A6932" s="3801" t="s">
        <v>2445</v>
      </c>
      <c r="B6932" s="3802"/>
      <c r="C6932" s="3802"/>
      <c r="D6932" s="3802"/>
      <c r="E6932" s="729"/>
      <c r="F6932" s="752">
        <v>0.18</v>
      </c>
      <c r="G6932" s="97" t="s">
        <v>781</v>
      </c>
    </row>
    <row r="6933" spans="1:9" x14ac:dyDescent="0.25">
      <c r="E6933" s="368"/>
      <c r="G6933" s="444"/>
    </row>
    <row r="6934" spans="1:9" hidden="1" outlineLevel="1" x14ac:dyDescent="0.25">
      <c r="A6934" s="689" t="s">
        <v>113</v>
      </c>
      <c r="B6934" s="689" t="s">
        <v>114</v>
      </c>
      <c r="C6934" s="689" t="s">
        <v>3088</v>
      </c>
      <c r="D6934" s="689" t="s">
        <v>4155</v>
      </c>
      <c r="E6934" s="495" t="s">
        <v>116</v>
      </c>
      <c r="F6934" s="1188" t="s">
        <v>121</v>
      </c>
      <c r="G6934" s="444"/>
      <c r="H6934" s="438" t="s">
        <v>5391</v>
      </c>
      <c r="I6934" s="438" t="s">
        <v>5392</v>
      </c>
    </row>
    <row r="6935" spans="1:9" hidden="1" outlineLevel="1" x14ac:dyDescent="0.25">
      <c r="A6935" s="732" t="s">
        <v>2451</v>
      </c>
      <c r="B6935" s="1092" t="s">
        <v>2153</v>
      </c>
      <c r="C6935" s="793">
        <v>3255.4879999999998</v>
      </c>
      <c r="D6935" s="3890">
        <v>2665.61</v>
      </c>
      <c r="E6935" s="1200">
        <v>2346.3240000000001</v>
      </c>
      <c r="F6935" s="700">
        <v>-0.2792711876068964</v>
      </c>
      <c r="G6935" s="444"/>
      <c r="H6935" s="92">
        <v>-0.2792711876068964</v>
      </c>
      <c r="I6935" s="439">
        <v>0.11</v>
      </c>
    </row>
    <row r="6936" spans="1:9" hidden="1" outlineLevel="1" x14ac:dyDescent="0.25">
      <c r="A6936" s="732" t="s">
        <v>2452</v>
      </c>
      <c r="B6936" s="1092" t="s">
        <v>2153</v>
      </c>
      <c r="C6936" s="793">
        <v>3092.7135999999996</v>
      </c>
      <c r="D6936" s="3891"/>
      <c r="E6936" s="1200">
        <v>2627.2179999999998</v>
      </c>
      <c r="F6936" s="1178">
        <v>-0.15051364600976946</v>
      </c>
      <c r="G6936" s="444"/>
      <c r="H6936" s="79">
        <v>-0.15051364600976946</v>
      </c>
      <c r="I6936" s="440">
        <v>0.22</v>
      </c>
    </row>
    <row r="6937" spans="1:9" hidden="1" outlineLevel="1" x14ac:dyDescent="0.25">
      <c r="A6937" s="732" t="s">
        <v>2453</v>
      </c>
      <c r="B6937" s="1092" t="s">
        <v>2153</v>
      </c>
      <c r="C6937" s="793">
        <v>2929.9391999999998</v>
      </c>
      <c r="D6937" s="3891"/>
      <c r="E6937" s="1200">
        <v>2787.6610000000001</v>
      </c>
      <c r="F6937" s="1178">
        <v>-4.856012029191592E-2</v>
      </c>
      <c r="G6937" s="444"/>
      <c r="H6937" s="79">
        <v>-4.856012029191592E-2</v>
      </c>
      <c r="I6937" s="440">
        <v>0.33</v>
      </c>
    </row>
    <row r="6938" spans="1:9" hidden="1" outlineLevel="1" x14ac:dyDescent="0.25">
      <c r="A6938" s="732" t="s">
        <v>2454</v>
      </c>
      <c r="B6938" s="1092" t="s">
        <v>2153</v>
      </c>
      <c r="C6938" s="793">
        <v>2767.1647999999996</v>
      </c>
      <c r="D6938" s="3891"/>
      <c r="E6938" s="1200">
        <v>2264.8440000000001</v>
      </c>
      <c r="F6938" s="1178">
        <v>-0.18152905096219774</v>
      </c>
      <c r="G6938" s="444"/>
      <c r="H6938" s="79">
        <v>-0.18152905096219774</v>
      </c>
      <c r="I6938" s="440">
        <v>0.44</v>
      </c>
    </row>
    <row r="6939" spans="1:9" hidden="1" outlineLevel="1" x14ac:dyDescent="0.25">
      <c r="A6939" s="732" t="s">
        <v>5397</v>
      </c>
      <c r="B6939" s="1092" t="s">
        <v>2153</v>
      </c>
      <c r="C6939" s="793">
        <v>2604.3904000000002</v>
      </c>
      <c r="D6939" s="3892"/>
      <c r="E6939" s="1200">
        <v>2637.002</v>
      </c>
      <c r="F6939" s="1178">
        <v>0.55000000000000004</v>
      </c>
      <c r="G6939" s="97" t="s">
        <v>781</v>
      </c>
      <c r="H6939" s="82">
        <v>1.2521778608921119E-2</v>
      </c>
      <c r="I6939" s="441">
        <v>0.55000000000000004</v>
      </c>
    </row>
    <row r="6940" spans="1:9" collapsed="1" x14ac:dyDescent="0.25">
      <c r="A6940" s="3801" t="s">
        <v>4262</v>
      </c>
      <c r="B6940" s="3802"/>
      <c r="C6940" s="3802"/>
      <c r="D6940" s="3802"/>
      <c r="E6940" s="726"/>
      <c r="F6940" s="752">
        <v>0.55000000000000004</v>
      </c>
      <c r="G6940" s="445">
        <v>-0.1811949544891579</v>
      </c>
      <c r="H6940" s="37">
        <v>1.2521778608921119E-2</v>
      </c>
    </row>
    <row r="6941" spans="1:9" x14ac:dyDescent="0.25">
      <c r="G6941" s="444"/>
    </row>
    <row r="6942" spans="1:9" hidden="1" outlineLevel="1" x14ac:dyDescent="0.25">
      <c r="A6942" s="689" t="s">
        <v>113</v>
      </c>
      <c r="B6942" s="689" t="s">
        <v>114</v>
      </c>
      <c r="C6942" s="689" t="s">
        <v>112</v>
      </c>
      <c r="D6942" s="689" t="s">
        <v>116</v>
      </c>
      <c r="E6942" s="689" t="s">
        <v>117</v>
      </c>
      <c r="F6942" s="1188" t="s">
        <v>121</v>
      </c>
      <c r="G6942" s="443"/>
    </row>
    <row r="6943" spans="1:9" hidden="1" outlineLevel="1" x14ac:dyDescent="0.25">
      <c r="A6943" s="690">
        <v>1</v>
      </c>
      <c r="B6943" s="691" t="s">
        <v>252</v>
      </c>
      <c r="C6943" s="692">
        <v>100</v>
      </c>
      <c r="D6943" s="692"/>
      <c r="E6943" s="693"/>
      <c r="F6943" s="694"/>
      <c r="G6943" s="443"/>
    </row>
    <row r="6944" spans="1:9" hidden="1" outlineLevel="1" x14ac:dyDescent="0.25">
      <c r="A6944" s="695"/>
      <c r="B6944" s="695"/>
      <c r="C6944" s="696"/>
      <c r="D6944" s="697" t="s">
        <v>3702</v>
      </c>
      <c r="E6944" s="698">
        <v>41624</v>
      </c>
      <c r="F6944" s="699"/>
      <c r="G6944" s="443"/>
    </row>
    <row r="6945" spans="1:12" hidden="1" outlineLevel="1" x14ac:dyDescent="0.25">
      <c r="A6945" s="689" t="s">
        <v>4156</v>
      </c>
      <c r="B6945" s="495" t="s">
        <v>4153</v>
      </c>
      <c r="C6945" s="700" t="s">
        <v>112</v>
      </c>
      <c r="D6945" s="495" t="s">
        <v>4155</v>
      </c>
      <c r="E6945" s="495" t="s">
        <v>4154</v>
      </c>
      <c r="F6945" s="1021" t="s">
        <v>2519</v>
      </c>
      <c r="G6945" s="443"/>
      <c r="J6945" t="s">
        <v>2040</v>
      </c>
    </row>
    <row r="6946" spans="1:12" hidden="1" outlineLevel="1" x14ac:dyDescent="0.25">
      <c r="A6946" s="701">
        <v>0.06</v>
      </c>
      <c r="B6946" s="702" t="s">
        <v>2160</v>
      </c>
      <c r="C6946" s="703">
        <v>16.998100000000001</v>
      </c>
      <c r="D6946" s="704">
        <v>52.84</v>
      </c>
      <c r="E6946" s="705">
        <v>2.1085827239515007</v>
      </c>
      <c r="F6946" s="1021">
        <v>0.12651496343709004</v>
      </c>
      <c r="G6946" s="443"/>
      <c r="H6946" t="s">
        <v>5507</v>
      </c>
      <c r="J6946" s="256">
        <v>41091</v>
      </c>
      <c r="K6946" s="424">
        <v>125.51260000000001</v>
      </c>
      <c r="L6946" s="37">
        <v>0.25512599999999996</v>
      </c>
    </row>
    <row r="6947" spans="1:12" hidden="1" outlineLevel="1" x14ac:dyDescent="0.25">
      <c r="A6947" s="701">
        <v>2.5000000000000001E-2</v>
      </c>
      <c r="B6947" s="706" t="s">
        <v>3850</v>
      </c>
      <c r="C6947" s="707">
        <v>36.094999999999999</v>
      </c>
      <c r="D6947" s="708">
        <v>40.97</v>
      </c>
      <c r="E6947" s="709">
        <v>0.13506025765341456</v>
      </c>
      <c r="F6947" s="946">
        <v>3.3765064413353641E-3</v>
      </c>
      <c r="G6947" s="443"/>
      <c r="H6947" t="s">
        <v>2875</v>
      </c>
      <c r="J6947" s="256">
        <v>41122</v>
      </c>
      <c r="K6947" s="424">
        <v>126.25</v>
      </c>
      <c r="L6947" s="37">
        <v>0.26249999999999996</v>
      </c>
    </row>
    <row r="6948" spans="1:12" hidden="1" outlineLevel="1" x14ac:dyDescent="0.25">
      <c r="A6948" s="701">
        <v>2.5000000000000001E-2</v>
      </c>
      <c r="B6948" s="710" t="s">
        <v>3288</v>
      </c>
      <c r="C6948" s="707">
        <v>285.25</v>
      </c>
      <c r="D6948" s="708">
        <v>917.5</v>
      </c>
      <c r="E6948" s="709">
        <v>2.2164767747589833</v>
      </c>
      <c r="F6948" s="946">
        <v>5.5411919368974584E-2</v>
      </c>
      <c r="G6948" s="443"/>
      <c r="H6948" t="s">
        <v>266</v>
      </c>
      <c r="J6948" s="256">
        <v>41153</v>
      </c>
      <c r="K6948" s="424">
        <v>127.7094</v>
      </c>
      <c r="L6948" s="37">
        <v>0.27709399999999995</v>
      </c>
    </row>
    <row r="6949" spans="1:12" hidden="1" outlineLevel="1" x14ac:dyDescent="0.25">
      <c r="A6949" s="701">
        <v>2.5000000000000001E-2</v>
      </c>
      <c r="B6949" s="706" t="s">
        <v>3851</v>
      </c>
      <c r="C6949" s="707">
        <v>1168.8</v>
      </c>
      <c r="D6949" s="708">
        <v>1030</v>
      </c>
      <c r="E6949" s="709">
        <v>-0.11875427789185489</v>
      </c>
      <c r="F6949" s="946">
        <v>-2.9688569472963722E-3</v>
      </c>
      <c r="G6949" s="443"/>
      <c r="H6949" t="s">
        <v>1314</v>
      </c>
      <c r="J6949" s="256">
        <v>41183</v>
      </c>
      <c r="K6949" s="424">
        <v>128.25030000000001</v>
      </c>
      <c r="L6949" s="37">
        <v>0.28250300000000017</v>
      </c>
    </row>
    <row r="6950" spans="1:12" hidden="1" outlineLevel="1" x14ac:dyDescent="0.25">
      <c r="A6950" s="701">
        <v>0.03</v>
      </c>
      <c r="B6950" s="706" t="s">
        <v>1036</v>
      </c>
      <c r="C6950" s="707">
        <v>111.61</v>
      </c>
      <c r="D6950" s="708">
        <v>123.7</v>
      </c>
      <c r="E6950" s="709">
        <v>0.10832362691515107</v>
      </c>
      <c r="F6950" s="946">
        <v>3.2497088074545321E-3</v>
      </c>
      <c r="G6950" s="443"/>
      <c r="H6950" t="s">
        <v>1066</v>
      </c>
      <c r="J6950" s="256">
        <v>41214</v>
      </c>
      <c r="K6950" s="424">
        <v>129.77670000000001</v>
      </c>
      <c r="L6950" s="37">
        <v>0.29776700000000011</v>
      </c>
    </row>
    <row r="6951" spans="1:12" hidden="1" outlineLevel="1" x14ac:dyDescent="0.25">
      <c r="A6951" s="701">
        <v>2.5000000000000001E-2</v>
      </c>
      <c r="B6951" s="706" t="s">
        <v>1037</v>
      </c>
      <c r="C6951" s="707">
        <v>135.67500000000001</v>
      </c>
      <c r="D6951" s="708">
        <v>283.10000000000002</v>
      </c>
      <c r="E6951" s="709">
        <v>1.0866040169522755</v>
      </c>
      <c r="F6951" s="946">
        <v>2.716510042380689E-2</v>
      </c>
      <c r="G6951" s="443"/>
      <c r="H6951" t="s">
        <v>1729</v>
      </c>
      <c r="J6951" s="256">
        <v>41244</v>
      </c>
      <c r="K6951" s="424">
        <v>130.22300000000001</v>
      </c>
      <c r="L6951" s="37">
        <v>0.30223000000000022</v>
      </c>
    </row>
    <row r="6952" spans="1:12" hidden="1" outlineLevel="1" x14ac:dyDescent="0.25">
      <c r="A6952" s="701">
        <v>0.03</v>
      </c>
      <c r="B6952" s="706" t="s">
        <v>1038</v>
      </c>
      <c r="C6952" s="707">
        <v>14.48</v>
      </c>
      <c r="D6952" s="708">
        <v>17.86</v>
      </c>
      <c r="E6952" s="709">
        <v>0.23342541436464082</v>
      </c>
      <c r="F6952" s="946">
        <v>7.0027624309392245E-3</v>
      </c>
      <c r="G6952" s="443"/>
      <c r="H6952" t="s">
        <v>1067</v>
      </c>
      <c r="J6952" s="256">
        <v>41275</v>
      </c>
      <c r="K6952" s="424">
        <v>136.78639999999999</v>
      </c>
      <c r="L6952" s="37">
        <v>0.36786399999999997</v>
      </c>
    </row>
    <row r="6953" spans="1:12" hidden="1" outlineLevel="1" x14ac:dyDescent="0.25">
      <c r="A6953" s="701">
        <v>3.5000000000000003E-2</v>
      </c>
      <c r="B6953" s="706" t="s">
        <v>1526</v>
      </c>
      <c r="C6953" s="707">
        <v>39.609000000000002</v>
      </c>
      <c r="D6953" s="708">
        <v>39</v>
      </c>
      <c r="E6953" s="709">
        <v>-1.5375293493902986E-2</v>
      </c>
      <c r="F6953" s="946">
        <v>-5.3813527228660453E-4</v>
      </c>
      <c r="G6953" s="443"/>
      <c r="H6953" t="s">
        <v>4146</v>
      </c>
      <c r="J6953" s="256">
        <v>41306</v>
      </c>
      <c r="K6953" s="424">
        <v>140.43100000000001</v>
      </c>
      <c r="L6953" s="37">
        <v>0.40431000000000017</v>
      </c>
    </row>
    <row r="6954" spans="1:12" hidden="1" outlineLevel="1" x14ac:dyDescent="0.25">
      <c r="A6954" s="701">
        <v>2.5000000000000001E-2</v>
      </c>
      <c r="B6954" s="706" t="s">
        <v>4143</v>
      </c>
      <c r="C6954" s="707">
        <v>9.3737999999999992</v>
      </c>
      <c r="D6954" s="708">
        <v>2.2389999999999999</v>
      </c>
      <c r="E6954" s="709">
        <v>-0.76114275960656297</v>
      </c>
      <c r="F6954" s="946">
        <v>-1.9028568990164075E-2</v>
      </c>
      <c r="G6954" s="443"/>
      <c r="H6954" t="s">
        <v>4144</v>
      </c>
      <c r="J6954" s="256">
        <v>41334</v>
      </c>
      <c r="K6954" s="424">
        <v>143.91499999999999</v>
      </c>
      <c r="L6954" s="37">
        <v>0.43914999999999993</v>
      </c>
    </row>
    <row r="6955" spans="1:12" hidden="1" outlineLevel="1" x14ac:dyDescent="0.25">
      <c r="A6955" s="701">
        <v>2.5000000000000001E-2</v>
      </c>
      <c r="B6955" s="711" t="s">
        <v>64</v>
      </c>
      <c r="C6955" s="707">
        <v>63.854999999999997</v>
      </c>
      <c r="D6955" s="708">
        <v>148.65</v>
      </c>
      <c r="E6955" s="709">
        <v>1.3279304674653516</v>
      </c>
      <c r="F6955" s="946">
        <v>3.3198261686633791E-2</v>
      </c>
      <c r="G6955" s="443"/>
      <c r="H6955" t="s">
        <v>2388</v>
      </c>
      <c r="J6955" s="256">
        <v>41365</v>
      </c>
      <c r="K6955" s="424">
        <v>147.9042</v>
      </c>
      <c r="L6955" s="37">
        <v>0.47904199999999997</v>
      </c>
    </row>
    <row r="6956" spans="1:12" hidden="1" outlineLevel="1" x14ac:dyDescent="0.25">
      <c r="A6956" s="701">
        <v>0.05</v>
      </c>
      <c r="B6956" s="706" t="s">
        <v>2786</v>
      </c>
      <c r="C6956" s="707">
        <v>650.29999999999995</v>
      </c>
      <c r="D6956" s="708">
        <v>770.5</v>
      </c>
      <c r="E6956" s="709">
        <v>0.18483776718437661</v>
      </c>
      <c r="F6956" s="946">
        <v>9.2418883592188302E-3</v>
      </c>
      <c r="G6956" s="443"/>
      <c r="H6956" t="s">
        <v>4195</v>
      </c>
      <c r="J6956" s="256">
        <v>41395</v>
      </c>
      <c r="K6956" s="424">
        <v>146.15090000000001</v>
      </c>
      <c r="L6956" s="37">
        <v>0.46150900000000017</v>
      </c>
    </row>
    <row r="6957" spans="1:12" hidden="1" outlineLevel="1" x14ac:dyDescent="0.25">
      <c r="A6957" s="701">
        <v>4.4999999999999998E-2</v>
      </c>
      <c r="B6957" s="706" t="s">
        <v>1039</v>
      </c>
      <c r="C6957" s="707">
        <v>43.171999999999997</v>
      </c>
      <c r="D6957" s="708">
        <v>63.2</v>
      </c>
      <c r="E6957" s="709">
        <v>0.46391179468173838</v>
      </c>
      <c r="F6957" s="946">
        <v>2.0876030760678226E-2</v>
      </c>
      <c r="G6957" s="443"/>
      <c r="H6957" t="s">
        <v>3848</v>
      </c>
      <c r="J6957" s="256">
        <v>41426</v>
      </c>
      <c r="K6957" s="424">
        <v>142.13249999999999</v>
      </c>
      <c r="L6957" s="37">
        <v>0.42132499999999995</v>
      </c>
    </row>
    <row r="6958" spans="1:12" hidden="1" outlineLevel="1" x14ac:dyDescent="0.25">
      <c r="A6958" s="701">
        <v>0.05</v>
      </c>
      <c r="B6958" s="706" t="s">
        <v>1040</v>
      </c>
      <c r="C6958" s="707">
        <v>4205</v>
      </c>
      <c r="D6958" s="708">
        <v>5520</v>
      </c>
      <c r="E6958" s="709">
        <v>0.31272294887039243</v>
      </c>
      <c r="F6958" s="946">
        <v>1.5636147443519623E-2</v>
      </c>
      <c r="G6958" s="443"/>
      <c r="H6958" t="s">
        <v>3540</v>
      </c>
      <c r="J6958" s="256">
        <v>41456</v>
      </c>
      <c r="K6958" s="424">
        <v>146.9136</v>
      </c>
      <c r="L6958" s="37">
        <v>0.469136</v>
      </c>
    </row>
    <row r="6959" spans="1:12" hidden="1" outlineLevel="1" x14ac:dyDescent="0.25">
      <c r="A6959" s="701">
        <v>0.04</v>
      </c>
      <c r="B6959" s="706" t="s">
        <v>2787</v>
      </c>
      <c r="C6959" s="707">
        <v>55.37</v>
      </c>
      <c r="D6959" s="708">
        <v>68.150000000000006</v>
      </c>
      <c r="E6959" s="709">
        <v>0.23081090843417029</v>
      </c>
      <c r="F6959" s="946">
        <v>9.2324363373668117E-3</v>
      </c>
      <c r="G6959" s="443"/>
      <c r="H6959" t="s">
        <v>80</v>
      </c>
      <c r="J6959" s="256">
        <v>41487</v>
      </c>
      <c r="K6959" s="424">
        <v>144.45259999999999</v>
      </c>
      <c r="L6959" s="37">
        <v>0.44452599999999998</v>
      </c>
    </row>
    <row r="6960" spans="1:12" hidden="1" outlineLevel="1" x14ac:dyDescent="0.25">
      <c r="A6960" s="701">
        <v>1.4999999999999999E-2</v>
      </c>
      <c r="B6960" s="706" t="s">
        <v>1041</v>
      </c>
      <c r="C6960" s="707">
        <v>25.056999999999999</v>
      </c>
      <c r="D6960" s="708">
        <v>22.2</v>
      </c>
      <c r="E6960" s="709">
        <v>-0.11402003432174634</v>
      </c>
      <c r="F6960" s="946">
        <v>-1.710300514826195E-3</v>
      </c>
      <c r="G6960" s="443"/>
      <c r="H6960" t="s">
        <v>3541</v>
      </c>
      <c r="J6960" s="256">
        <v>41518</v>
      </c>
      <c r="K6960" s="424">
        <v>147.6439</v>
      </c>
      <c r="L6960" s="37">
        <v>0.47643900000000006</v>
      </c>
    </row>
    <row r="6961" spans="1:12" hidden="1" outlineLevel="1" x14ac:dyDescent="0.25">
      <c r="A6961" s="701">
        <v>0.05</v>
      </c>
      <c r="B6961" s="706" t="s">
        <v>3800</v>
      </c>
      <c r="C6961" s="707">
        <v>164.5</v>
      </c>
      <c r="D6961" s="708">
        <v>235.1</v>
      </c>
      <c r="E6961" s="709">
        <v>0.42917933130699093</v>
      </c>
      <c r="F6961" s="946">
        <v>2.1458966565349548E-2</v>
      </c>
      <c r="G6961" s="443"/>
      <c r="H6961" t="s">
        <v>2817</v>
      </c>
      <c r="J6961" s="256">
        <v>41548</v>
      </c>
      <c r="K6961" s="424">
        <v>151.2533</v>
      </c>
      <c r="L6961" s="37">
        <v>0.51253299999999991</v>
      </c>
    </row>
    <row r="6962" spans="1:12" hidden="1" outlineLevel="1" x14ac:dyDescent="0.25">
      <c r="A6962" s="701">
        <v>0.04</v>
      </c>
      <c r="B6962" s="706" t="s">
        <v>2728</v>
      </c>
      <c r="C6962" s="707">
        <v>45.508000000000003</v>
      </c>
      <c r="D6962" s="708">
        <v>69</v>
      </c>
      <c r="E6962" s="709">
        <v>0.51621692889162341</v>
      </c>
      <c r="F6962" s="946">
        <v>2.0648677155664937E-2</v>
      </c>
      <c r="G6962" s="443"/>
      <c r="H6962" t="s">
        <v>258</v>
      </c>
      <c r="J6962" s="256">
        <v>41579</v>
      </c>
      <c r="K6962" s="424">
        <v>152.27160000000001</v>
      </c>
      <c r="L6962" s="37">
        <v>0.52271599999999996</v>
      </c>
    </row>
    <row r="6963" spans="1:12" hidden="1" outlineLevel="1" x14ac:dyDescent="0.25">
      <c r="A6963" s="701">
        <v>0.04</v>
      </c>
      <c r="B6963" s="712" t="s">
        <v>1857</v>
      </c>
      <c r="C6963" s="707">
        <v>1211.9000000000001</v>
      </c>
      <c r="D6963" s="708">
        <v>1348</v>
      </c>
      <c r="E6963" s="709">
        <v>0.11230299529664145</v>
      </c>
      <c r="F6963" s="946">
        <v>4.4921198118656582E-3</v>
      </c>
      <c r="G6963" s="443"/>
      <c r="H6963" t="s">
        <v>3559</v>
      </c>
      <c r="J6963" s="256">
        <v>41609</v>
      </c>
      <c r="K6963" s="424">
        <v>154.49199999999999</v>
      </c>
      <c r="L6963" s="37">
        <v>0.54491999999999985</v>
      </c>
    </row>
    <row r="6964" spans="1:12" hidden="1" outlineLevel="1" x14ac:dyDescent="0.25">
      <c r="A6964" s="701">
        <v>0.04</v>
      </c>
      <c r="B6964" s="706" t="s">
        <v>1042</v>
      </c>
      <c r="C6964" s="707">
        <v>834.3</v>
      </c>
      <c r="D6964" s="708">
        <v>330</v>
      </c>
      <c r="E6964" s="709">
        <v>-0.60445882775979864</v>
      </c>
      <c r="F6964" s="946">
        <v>-2.4178353110391945E-2</v>
      </c>
      <c r="G6964" s="443"/>
      <c r="H6964" t="s">
        <v>3542</v>
      </c>
      <c r="J6964" s="412" t="s">
        <v>2465</v>
      </c>
      <c r="L6964" s="261">
        <v>0.40114944444444439</v>
      </c>
    </row>
    <row r="6965" spans="1:12" hidden="1" outlineLevel="1" x14ac:dyDescent="0.25">
      <c r="A6965" s="701">
        <v>0.03</v>
      </c>
      <c r="B6965" s="706" t="s">
        <v>898</v>
      </c>
      <c r="C6965" s="707">
        <v>30.702000000000002</v>
      </c>
      <c r="D6965" s="708">
        <v>36.11</v>
      </c>
      <c r="E6965" s="709">
        <v>0.17614487655527311</v>
      </c>
      <c r="F6965" s="946">
        <v>5.2843462966581933E-3</v>
      </c>
      <c r="G6965" s="443"/>
      <c r="H6965" t="s">
        <v>899</v>
      </c>
    </row>
    <row r="6966" spans="1:12" hidden="1" outlineLevel="1" x14ac:dyDescent="0.25">
      <c r="A6966" s="701">
        <v>0.03</v>
      </c>
      <c r="B6966" s="706" t="s">
        <v>3664</v>
      </c>
      <c r="C6966" s="707">
        <v>55.31</v>
      </c>
      <c r="D6966" s="708">
        <v>90.3</v>
      </c>
      <c r="E6966" s="709">
        <v>0.63261616344241545</v>
      </c>
      <c r="F6966" s="946">
        <v>1.8978484903272464E-2</v>
      </c>
      <c r="G6966" s="443"/>
      <c r="H6966" t="s">
        <v>3543</v>
      </c>
    </row>
    <row r="6967" spans="1:12" hidden="1" outlineLevel="1" x14ac:dyDescent="0.25">
      <c r="A6967" s="701">
        <v>0.05</v>
      </c>
      <c r="B6967" s="706" t="s">
        <v>1239</v>
      </c>
      <c r="C6967" s="707">
        <v>329.625</v>
      </c>
      <c r="D6967" s="708">
        <v>453</v>
      </c>
      <c r="E6967" s="709">
        <v>0.37428896473265083</v>
      </c>
      <c r="F6967" s="946">
        <v>1.8714448236632542E-2</v>
      </c>
      <c r="G6967" s="443"/>
      <c r="H6967" t="s">
        <v>268</v>
      </c>
    </row>
    <row r="6968" spans="1:12" hidden="1" outlineLevel="1" x14ac:dyDescent="0.25">
      <c r="A6968" s="701">
        <v>0.03</v>
      </c>
      <c r="B6968" s="706" t="s">
        <v>577</v>
      </c>
      <c r="C6968" s="707">
        <v>15.311999999999999</v>
      </c>
      <c r="D6968" s="708">
        <v>11.425000000000001</v>
      </c>
      <c r="E6968" s="709">
        <v>-0.2538531870428421</v>
      </c>
      <c r="F6968" s="946">
        <v>-7.615595611285263E-3</v>
      </c>
      <c r="G6968" s="443"/>
      <c r="H6968" t="s">
        <v>2804</v>
      </c>
    </row>
    <row r="6969" spans="1:12" hidden="1" outlineLevel="1" x14ac:dyDescent="0.25">
      <c r="A6969" s="701">
        <v>2.5000000000000001E-2</v>
      </c>
      <c r="B6969" s="706" t="s">
        <v>3665</v>
      </c>
      <c r="C6969" s="707">
        <v>37.844000000000001</v>
      </c>
      <c r="D6969" s="708">
        <v>35.85</v>
      </c>
      <c r="E6969" s="709">
        <v>-5.2689990487263527E-2</v>
      </c>
      <c r="F6969" s="946">
        <v>-1.3172497621815882E-3</v>
      </c>
      <c r="G6969" s="443"/>
      <c r="H6969" t="s">
        <v>7021</v>
      </c>
    </row>
    <row r="6970" spans="1:12" hidden="1" outlineLevel="1" x14ac:dyDescent="0.25">
      <c r="A6970" s="701">
        <v>0.02</v>
      </c>
      <c r="B6970" s="706" t="s">
        <v>3626</v>
      </c>
      <c r="C6970" s="707">
        <v>56.155999999999999</v>
      </c>
      <c r="D6970" s="708">
        <v>95.65</v>
      </c>
      <c r="E6970" s="709">
        <v>0.70329083268039039</v>
      </c>
      <c r="F6970" s="946">
        <v>1.4065816653607809E-2</v>
      </c>
      <c r="G6970" s="443"/>
      <c r="H6970" t="s">
        <v>7743</v>
      </c>
    </row>
    <row r="6971" spans="1:12" hidden="1" outlineLevel="1" x14ac:dyDescent="0.25">
      <c r="A6971" s="701">
        <v>2.5000000000000001E-2</v>
      </c>
      <c r="B6971" s="706" t="s">
        <v>2870</v>
      </c>
      <c r="C6971" s="707">
        <v>24.31</v>
      </c>
      <c r="D6971" s="708">
        <v>13.47</v>
      </c>
      <c r="E6971" s="709">
        <v>-0.44590703414232824</v>
      </c>
      <c r="F6971" s="946">
        <v>-1.1147675853558206E-2</v>
      </c>
      <c r="G6971" s="443"/>
      <c r="H6971" t="s">
        <v>3544</v>
      </c>
    </row>
    <row r="6972" spans="1:12" hidden="1" outlineLevel="1" x14ac:dyDescent="0.25">
      <c r="A6972" s="701">
        <v>0.03</v>
      </c>
      <c r="B6972" s="706" t="s">
        <v>2871</v>
      </c>
      <c r="C6972" s="707">
        <v>47.73</v>
      </c>
      <c r="D6972" s="708">
        <v>81.349999999999994</v>
      </c>
      <c r="E6972" s="709">
        <v>0.70437879740205322</v>
      </c>
      <c r="F6972" s="946">
        <v>2.1131363922061597E-2</v>
      </c>
      <c r="G6972" s="443"/>
      <c r="H6972" t="s">
        <v>3612</v>
      </c>
    </row>
    <row r="6973" spans="1:12" hidden="1" outlineLevel="1" x14ac:dyDescent="0.25">
      <c r="A6973" s="701">
        <v>2.5000000000000001E-2</v>
      </c>
      <c r="B6973" s="706" t="s">
        <v>2872</v>
      </c>
      <c r="C6973" s="707">
        <v>22.613</v>
      </c>
      <c r="D6973" s="708">
        <v>41.51</v>
      </c>
      <c r="E6973" s="709">
        <v>0.83566974749038159</v>
      </c>
      <c r="F6973" s="946">
        <v>2.0891743687259542E-2</v>
      </c>
      <c r="G6973" s="443"/>
      <c r="H6973" t="s">
        <v>3545</v>
      </c>
    </row>
    <row r="6974" spans="1:12" hidden="1" outlineLevel="1" x14ac:dyDescent="0.25">
      <c r="A6974" s="701">
        <v>0.03</v>
      </c>
      <c r="B6974" s="706" t="s">
        <v>2873</v>
      </c>
      <c r="C6974" s="707">
        <v>19.901</v>
      </c>
      <c r="D6974" s="708">
        <v>41.02</v>
      </c>
      <c r="E6974" s="709">
        <v>1.0612029546253958</v>
      </c>
      <c r="F6974" s="946">
        <v>3.1836088638761875E-2</v>
      </c>
      <c r="G6974" s="443"/>
      <c r="H6974" t="s">
        <v>3546</v>
      </c>
    </row>
    <row r="6975" spans="1:12" hidden="1" outlineLevel="1" x14ac:dyDescent="0.25">
      <c r="A6975" s="701">
        <v>0.03</v>
      </c>
      <c r="B6975" s="713" t="s">
        <v>2874</v>
      </c>
      <c r="C6975" s="714">
        <v>17.552</v>
      </c>
      <c r="D6975" s="1199">
        <v>27.99</v>
      </c>
      <c r="E6975" s="716">
        <v>0.59469006381039202</v>
      </c>
      <c r="F6975" s="1023">
        <v>1.7840701914311759E-2</v>
      </c>
      <c r="G6975" s="443"/>
      <c r="H6975" t="s">
        <v>3752</v>
      </c>
    </row>
    <row r="6976" spans="1:12" hidden="1" outlineLevel="1" x14ac:dyDescent="0.25">
      <c r="A6976" s="717"/>
      <c r="B6976" s="750"/>
      <c r="C6976" s="727"/>
      <c r="D6976" s="727"/>
      <c r="E6976" s="716"/>
      <c r="F6976" s="770">
        <v>0.43774374722047349</v>
      </c>
      <c r="G6976" s="443"/>
    </row>
    <row r="6977" spans="1:11" collapsed="1" x14ac:dyDescent="0.25">
      <c r="A6977" s="3801" t="s">
        <v>3849</v>
      </c>
      <c r="B6977" s="3802"/>
      <c r="C6977" s="3802"/>
      <c r="D6977" s="3802"/>
      <c r="E6977" s="721"/>
      <c r="F6977" s="722">
        <v>0.4</v>
      </c>
      <c r="G6977" s="97" t="s">
        <v>781</v>
      </c>
      <c r="I6977" s="101"/>
    </row>
    <row r="6978" spans="1:11" x14ac:dyDescent="0.25">
      <c r="G6978" s="444"/>
    </row>
    <row r="6979" spans="1:11" hidden="1" outlineLevel="1" x14ac:dyDescent="0.25">
      <c r="A6979" s="689" t="s">
        <v>113</v>
      </c>
      <c r="B6979" s="689" t="s">
        <v>114</v>
      </c>
      <c r="C6979" s="689" t="s">
        <v>112</v>
      </c>
      <c r="D6979" s="689" t="s">
        <v>116</v>
      </c>
      <c r="E6979" s="495" t="s">
        <v>84</v>
      </c>
      <c r="F6979" s="731" t="s">
        <v>85</v>
      </c>
      <c r="G6979" s="443"/>
      <c r="H6979" s="173"/>
      <c r="I6979" s="173"/>
    </row>
    <row r="6980" spans="1:11" hidden="1" outlineLevel="1" x14ac:dyDescent="0.25">
      <c r="A6980" s="1020" t="s">
        <v>2480</v>
      </c>
      <c r="B6980" s="1045" t="s">
        <v>2481</v>
      </c>
      <c r="C6980" s="803">
        <v>35.566466380000001</v>
      </c>
      <c r="D6980" s="823">
        <v>40.090000000000003</v>
      </c>
      <c r="E6980" s="1056">
        <v>-0.11269999999999999</v>
      </c>
      <c r="F6980" s="3816">
        <v>0.1285</v>
      </c>
      <c r="G6980" s="300">
        <v>4</v>
      </c>
      <c r="H6980" s="37" t="s">
        <v>2734</v>
      </c>
      <c r="I6980" s="239"/>
      <c r="J6980" s="37"/>
      <c r="K6980" s="37"/>
    </row>
    <row r="6981" spans="1:11" hidden="1" outlineLevel="1" x14ac:dyDescent="0.25">
      <c r="A6981" s="846" t="s">
        <v>2480</v>
      </c>
      <c r="B6981" s="1047" t="s">
        <v>2482</v>
      </c>
      <c r="C6981" s="908">
        <v>2.9854039989999999</v>
      </c>
      <c r="D6981" s="823">
        <v>2.34</v>
      </c>
      <c r="E6981" s="1058">
        <v>0.27579999999999999</v>
      </c>
      <c r="F6981" s="3817"/>
      <c r="G6981" s="300">
        <v>1</v>
      </c>
      <c r="H6981" s="37">
        <v>0.27579999999999999</v>
      </c>
      <c r="I6981" s="239"/>
      <c r="J6981" s="37"/>
      <c r="K6981" s="37"/>
    </row>
    <row r="6982" spans="1:11" hidden="1" outlineLevel="1" x14ac:dyDescent="0.25">
      <c r="A6982" s="846" t="s">
        <v>2480</v>
      </c>
      <c r="B6982" s="1047" t="s">
        <v>2483</v>
      </c>
      <c r="C6982" s="908">
        <v>1.936744968</v>
      </c>
      <c r="D6982" s="823">
        <v>2.21</v>
      </c>
      <c r="E6982" s="1058">
        <v>-0.1221</v>
      </c>
      <c r="F6982" s="3817"/>
      <c r="G6982" s="300">
        <v>5</v>
      </c>
      <c r="H6982" s="37" t="s">
        <v>2734</v>
      </c>
      <c r="I6982" s="239"/>
      <c r="J6982" s="37"/>
      <c r="K6982" s="37"/>
    </row>
    <row r="6983" spans="1:11" hidden="1" outlineLevel="1" x14ac:dyDescent="0.25">
      <c r="A6983" s="846" t="s">
        <v>2480</v>
      </c>
      <c r="B6983" s="1047" t="s">
        <v>2484</v>
      </c>
      <c r="C6983" s="908">
        <v>13275.64215</v>
      </c>
      <c r="D6983" s="823">
        <v>12323.68</v>
      </c>
      <c r="E6983" s="1058">
        <v>7.7200000000000005E-2</v>
      </c>
      <c r="F6983" s="3817"/>
      <c r="G6983" s="300">
        <v>2</v>
      </c>
      <c r="H6983" s="37">
        <v>7.7200000000000005E-2</v>
      </c>
      <c r="I6983" s="240"/>
      <c r="J6983" s="37"/>
      <c r="K6983" s="37"/>
    </row>
    <row r="6984" spans="1:11" hidden="1" outlineLevel="1" x14ac:dyDescent="0.25">
      <c r="A6984" s="846" t="s">
        <v>2480</v>
      </c>
      <c r="B6984" s="1049" t="s">
        <v>2485</v>
      </c>
      <c r="C6984" s="715">
        <v>65.421075900000005</v>
      </c>
      <c r="D6984" s="823">
        <v>63.35</v>
      </c>
      <c r="E6984" s="1062">
        <v>3.2599999999999997E-2</v>
      </c>
      <c r="F6984" s="3818"/>
      <c r="G6984" s="300">
        <v>3</v>
      </c>
      <c r="H6984" s="37">
        <v>3.2599999999999997E-2</v>
      </c>
      <c r="I6984" s="239"/>
      <c r="J6984" s="37"/>
      <c r="K6984" s="37"/>
    </row>
    <row r="6985" spans="1:11" collapsed="1" x14ac:dyDescent="0.25">
      <c r="A6985" s="3801" t="s">
        <v>2479</v>
      </c>
      <c r="B6985" s="3802"/>
      <c r="C6985" s="3802"/>
      <c r="D6985" s="3802"/>
      <c r="E6985" s="1201" t="s">
        <v>2722</v>
      </c>
      <c r="F6985" s="752">
        <v>0.12853333333333333</v>
      </c>
      <c r="G6985" s="97" t="s">
        <v>781</v>
      </c>
      <c r="H6985" s="224"/>
      <c r="I6985" s="240"/>
      <c r="J6985" s="101"/>
    </row>
    <row r="6986" spans="1:11" x14ac:dyDescent="0.25">
      <c r="G6986" s="444"/>
    </row>
    <row r="6987" spans="1:11" hidden="1" outlineLevel="1" x14ac:dyDescent="0.25">
      <c r="A6987" s="689" t="s">
        <v>113</v>
      </c>
      <c r="B6987" s="689" t="s">
        <v>114</v>
      </c>
      <c r="C6987" s="689" t="s">
        <v>112</v>
      </c>
      <c r="D6987" s="689" t="s">
        <v>116</v>
      </c>
      <c r="E6987" s="689" t="s">
        <v>117</v>
      </c>
      <c r="F6987" s="1188" t="s">
        <v>121</v>
      </c>
      <c r="G6987" s="443"/>
    </row>
    <row r="6988" spans="1:11" hidden="1" outlineLevel="1" x14ac:dyDescent="0.25">
      <c r="A6988" s="690">
        <v>6</v>
      </c>
      <c r="B6988" s="691" t="s">
        <v>252</v>
      </c>
      <c r="C6988" s="705">
        <v>1</v>
      </c>
      <c r="D6988" s="692"/>
      <c r="E6988" s="693"/>
      <c r="F6988" s="694"/>
      <c r="G6988" s="443"/>
    </row>
    <row r="6989" spans="1:11" hidden="1" outlineLevel="1" x14ac:dyDescent="0.25">
      <c r="A6989" s="846" t="s">
        <v>4853</v>
      </c>
      <c r="B6989" s="695"/>
      <c r="C6989" s="709">
        <v>0.96127799999999997</v>
      </c>
      <c r="D6989" s="696"/>
      <c r="E6989" s="891"/>
      <c r="F6989" s="856"/>
      <c r="G6989" s="443"/>
    </row>
    <row r="6990" spans="1:11" hidden="1" outlineLevel="1" x14ac:dyDescent="0.25">
      <c r="A6990" s="846" t="s">
        <v>4854</v>
      </c>
      <c r="B6990" s="695"/>
      <c r="C6990" s="709">
        <v>1.0290490000000001</v>
      </c>
      <c r="D6990" s="696"/>
      <c r="E6990" s="891"/>
      <c r="F6990" s="856"/>
      <c r="G6990" s="443"/>
    </row>
    <row r="6991" spans="1:11" hidden="1" outlineLevel="1" x14ac:dyDescent="0.25">
      <c r="A6991" s="846" t="s">
        <v>4855</v>
      </c>
      <c r="B6991" s="695"/>
      <c r="C6991" s="709">
        <v>0.93120099999999995</v>
      </c>
      <c r="D6991" s="696"/>
      <c r="E6991" s="891"/>
      <c r="F6991" s="856"/>
      <c r="G6991" s="443"/>
    </row>
    <row r="6992" spans="1:11" hidden="1" outlineLevel="1" x14ac:dyDescent="0.25">
      <c r="A6992" s="846" t="s">
        <v>4856</v>
      </c>
      <c r="B6992" s="695"/>
      <c r="C6992" s="709">
        <v>0.87670400000000004</v>
      </c>
      <c r="D6992" s="696"/>
      <c r="E6992" s="891"/>
      <c r="F6992" s="856"/>
      <c r="G6992" s="443"/>
    </row>
    <row r="6993" spans="1:12" hidden="1" outlineLevel="1" x14ac:dyDescent="0.25">
      <c r="A6993" s="846" t="s">
        <v>4857</v>
      </c>
      <c r="B6993" s="695"/>
      <c r="C6993" s="709">
        <v>0.92762900000000004</v>
      </c>
      <c r="D6993" s="696"/>
      <c r="E6993" s="891"/>
      <c r="F6993" s="856"/>
      <c r="G6993" s="443"/>
    </row>
    <row r="6994" spans="1:12" hidden="1" outlineLevel="1" x14ac:dyDescent="0.25">
      <c r="A6994" s="846" t="s">
        <v>4858</v>
      </c>
      <c r="B6994" s="695"/>
      <c r="C6994" s="709"/>
      <c r="D6994" s="696"/>
      <c r="E6994" s="891"/>
      <c r="F6994" s="856"/>
      <c r="G6994" s="443"/>
    </row>
    <row r="6995" spans="1:12" hidden="1" outlineLevel="1" x14ac:dyDescent="0.25">
      <c r="A6995" s="1111"/>
      <c r="B6995" s="695"/>
      <c r="C6995" s="696"/>
      <c r="D6995" s="696"/>
      <c r="E6995" s="891"/>
      <c r="F6995" s="856"/>
      <c r="G6995" s="443"/>
    </row>
    <row r="6996" spans="1:12" hidden="1" outlineLevel="1" x14ac:dyDescent="0.25">
      <c r="A6996" s="1111"/>
      <c r="B6996" s="695"/>
      <c r="C6996" s="696"/>
      <c r="D6996" s="696"/>
      <c r="E6996" s="891"/>
      <c r="F6996" s="856"/>
      <c r="G6996" s="443"/>
    </row>
    <row r="6997" spans="1:12" hidden="1" outlineLevel="1" x14ac:dyDescent="0.25">
      <c r="A6997" s="695"/>
      <c r="B6997" s="695"/>
      <c r="C6997" s="696"/>
      <c r="D6997" s="697" t="s">
        <v>3702</v>
      </c>
      <c r="E6997" s="698">
        <v>41759</v>
      </c>
      <c r="F6997" s="699"/>
      <c r="G6997" s="443"/>
    </row>
    <row r="6998" spans="1:12" hidden="1" outlineLevel="1" x14ac:dyDescent="0.25">
      <c r="A6998" s="689" t="s">
        <v>4156</v>
      </c>
      <c r="B6998" s="689" t="s">
        <v>4153</v>
      </c>
      <c r="C6998" s="497" t="s">
        <v>112</v>
      </c>
      <c r="D6998" s="689" t="s">
        <v>4155</v>
      </c>
      <c r="E6998" s="495" t="s">
        <v>4154</v>
      </c>
      <c r="F6998" s="1188" t="s">
        <v>2519</v>
      </c>
      <c r="G6998" s="443"/>
      <c r="J6998" t="s">
        <v>2040</v>
      </c>
    </row>
    <row r="6999" spans="1:12" hidden="1" outlineLevel="1" x14ac:dyDescent="0.25">
      <c r="A6999" s="734">
        <v>0.06</v>
      </c>
      <c r="B6999" s="755" t="s">
        <v>2160</v>
      </c>
      <c r="C6999" s="1022">
        <v>28.49</v>
      </c>
      <c r="D6999" s="908">
        <v>56.86</v>
      </c>
      <c r="E6999" s="895">
        <v>0.99578799578799582</v>
      </c>
      <c r="F6999" s="946">
        <v>5.9747279747279745E-2</v>
      </c>
      <c r="G6999" s="443"/>
      <c r="H6999" t="s">
        <v>5507</v>
      </c>
      <c r="J6999" s="256">
        <v>41214</v>
      </c>
      <c r="K6999" s="424">
        <v>134.73050000000001</v>
      </c>
      <c r="L6999" s="37">
        <v>0.34730499999999997</v>
      </c>
    </row>
    <row r="7000" spans="1:12" hidden="1" outlineLevel="1" x14ac:dyDescent="0.25">
      <c r="A7000" s="739">
        <v>2.5000000000000001E-2</v>
      </c>
      <c r="B7000" s="743" t="s">
        <v>3850</v>
      </c>
      <c r="C7000" s="809">
        <v>37.223999999999997</v>
      </c>
      <c r="D7000" s="908">
        <v>45.49</v>
      </c>
      <c r="E7000" s="896">
        <v>0.22206103589082327</v>
      </c>
      <c r="F7000" s="946">
        <v>5.5515258972705823E-3</v>
      </c>
      <c r="G7000" s="443"/>
      <c r="H7000" t="s">
        <v>2875</v>
      </c>
      <c r="J7000" s="256">
        <v>41244</v>
      </c>
      <c r="K7000" s="424">
        <v>135.41</v>
      </c>
      <c r="L7000" s="37">
        <v>0.35409999999999986</v>
      </c>
    </row>
    <row r="7001" spans="1:12" hidden="1" outlineLevel="1" x14ac:dyDescent="0.25">
      <c r="A7001" s="739">
        <v>2.5000000000000001E-2</v>
      </c>
      <c r="B7001" s="743" t="s">
        <v>3288</v>
      </c>
      <c r="C7001" s="1112">
        <v>264.83</v>
      </c>
      <c r="D7001" s="908">
        <v>942</v>
      </c>
      <c r="E7001" s="896">
        <v>2.5569988294377528</v>
      </c>
      <c r="F7001" s="946">
        <v>6.3924970735943817E-2</v>
      </c>
      <c r="G7001" s="443"/>
      <c r="H7001" t="s">
        <v>266</v>
      </c>
      <c r="J7001" s="256">
        <v>41275</v>
      </c>
      <c r="K7001" s="424">
        <v>142.31450000000001</v>
      </c>
      <c r="L7001" s="37">
        <v>0.4231450000000001</v>
      </c>
    </row>
    <row r="7002" spans="1:12" hidden="1" outlineLevel="1" x14ac:dyDescent="0.25">
      <c r="A7002" s="739">
        <v>2.5000000000000001E-2</v>
      </c>
      <c r="B7002" s="740" t="s">
        <v>4485</v>
      </c>
      <c r="C7002" s="1112">
        <v>1061.2</v>
      </c>
      <c r="D7002" s="908">
        <v>922</v>
      </c>
      <c r="E7002" s="896">
        <v>-0.13117225782133435</v>
      </c>
      <c r="F7002" s="946">
        <v>-3.279306445533359E-3</v>
      </c>
      <c r="G7002" s="443"/>
      <c r="H7002" t="s">
        <v>1314</v>
      </c>
      <c r="J7002" s="256">
        <v>41306</v>
      </c>
      <c r="K7002" s="424">
        <v>146.005</v>
      </c>
      <c r="L7002" s="37">
        <v>0.46004999999999985</v>
      </c>
    </row>
    <row r="7003" spans="1:12" hidden="1" outlineLevel="1" x14ac:dyDescent="0.25">
      <c r="A7003" s="739">
        <v>0.03</v>
      </c>
      <c r="B7003" s="743" t="s">
        <v>4486</v>
      </c>
      <c r="C7003" s="1112">
        <v>93.49</v>
      </c>
      <c r="D7003" s="908">
        <v>126.3</v>
      </c>
      <c r="E7003" s="896">
        <v>0.35094662530751952</v>
      </c>
      <c r="F7003" s="946">
        <v>1.0528398759225585E-2</v>
      </c>
      <c r="G7003" s="443"/>
      <c r="H7003" t="s">
        <v>1066</v>
      </c>
      <c r="J7003" s="256">
        <v>41334</v>
      </c>
      <c r="K7003" s="424">
        <v>149.17250000000001</v>
      </c>
      <c r="L7003" s="37">
        <v>0.49172500000000019</v>
      </c>
    </row>
    <row r="7004" spans="1:12" hidden="1" outlineLevel="1" x14ac:dyDescent="0.25">
      <c r="A7004" s="739">
        <v>2.5000000000000001E-2</v>
      </c>
      <c r="B7004" s="743" t="s">
        <v>3382</v>
      </c>
      <c r="C7004" s="1112">
        <v>131.77500000000001</v>
      </c>
      <c r="D7004" s="908">
        <v>264.8</v>
      </c>
      <c r="E7004" s="896">
        <v>1.0094858660595714</v>
      </c>
      <c r="F7004" s="946">
        <v>2.5237146651489285E-2</v>
      </c>
      <c r="G7004" s="443"/>
      <c r="H7004" t="s">
        <v>1729</v>
      </c>
      <c r="J7004" s="256">
        <v>41365</v>
      </c>
      <c r="K7004" s="424">
        <v>153.27590000000001</v>
      </c>
      <c r="L7004" s="37">
        <v>0.53275899999999998</v>
      </c>
    </row>
    <row r="7005" spans="1:12" hidden="1" outlineLevel="1" x14ac:dyDescent="0.25">
      <c r="A7005" s="739">
        <v>0.03</v>
      </c>
      <c r="B7005" s="852" t="s">
        <v>1038</v>
      </c>
      <c r="C7005" s="1112">
        <v>13.422000000000001</v>
      </c>
      <c r="D7005" s="908">
        <v>17.88</v>
      </c>
      <c r="E7005" s="896">
        <v>0.33214126061689742</v>
      </c>
      <c r="F7005" s="946">
        <v>9.9642378185069228E-3</v>
      </c>
      <c r="G7005" s="443"/>
      <c r="H7005" t="s">
        <v>1067</v>
      </c>
      <c r="J7005" s="256">
        <v>41395</v>
      </c>
      <c r="K7005" s="424">
        <v>151.86670000000001</v>
      </c>
      <c r="L7005" s="37">
        <v>0.51866699999999999</v>
      </c>
    </row>
    <row r="7006" spans="1:12" hidden="1" outlineLevel="1" x14ac:dyDescent="0.25">
      <c r="A7006" s="739">
        <v>3.5000000000000003E-2</v>
      </c>
      <c r="B7006" s="743" t="s">
        <v>1526</v>
      </c>
      <c r="C7006" s="809">
        <v>27.029499999999999</v>
      </c>
      <c r="D7006" s="908">
        <v>43.91</v>
      </c>
      <c r="E7006" s="896">
        <v>0.62452135629589889</v>
      </c>
      <c r="F7006" s="946">
        <v>2.1858247470356463E-2</v>
      </c>
      <c r="G7006" s="443"/>
      <c r="H7006" t="s">
        <v>4146</v>
      </c>
      <c r="J7006" s="256">
        <v>41426</v>
      </c>
      <c r="K7006" s="424">
        <v>147.43450000000001</v>
      </c>
      <c r="L7006" s="37">
        <v>0.47434500000000024</v>
      </c>
    </row>
    <row r="7007" spans="1:12" hidden="1" outlineLevel="1" x14ac:dyDescent="0.25">
      <c r="A7007" s="739">
        <v>2.5000000000000001E-2</v>
      </c>
      <c r="B7007" s="743" t="s">
        <v>4143</v>
      </c>
      <c r="C7007" s="809">
        <v>10.4878</v>
      </c>
      <c r="D7007" s="908">
        <v>2.5620000000000003</v>
      </c>
      <c r="E7007" s="896">
        <v>-0.75571616544937925</v>
      </c>
      <c r="F7007" s="946">
        <v>-1.8892904136234484E-2</v>
      </c>
      <c r="G7007" s="443"/>
      <c r="H7007" t="s">
        <v>4144</v>
      </c>
      <c r="J7007" s="256">
        <v>41456</v>
      </c>
      <c r="K7007" s="424">
        <v>152.4307</v>
      </c>
      <c r="L7007" s="37">
        <v>0.52430700000000008</v>
      </c>
    </row>
    <row r="7008" spans="1:12" hidden="1" outlineLevel="1" x14ac:dyDescent="0.25">
      <c r="A7008" s="739">
        <v>2.5000000000000001E-2</v>
      </c>
      <c r="B7008" s="743" t="s">
        <v>64</v>
      </c>
      <c r="C7008" s="809">
        <v>62.097999999999999</v>
      </c>
      <c r="D7008" s="908">
        <v>149.44999999999999</v>
      </c>
      <c r="E7008" s="896">
        <v>1.4066797642436146</v>
      </c>
      <c r="F7008" s="946">
        <v>3.5166994106090366E-2</v>
      </c>
      <c r="G7008" s="443"/>
      <c r="H7008" t="s">
        <v>2388</v>
      </c>
      <c r="J7008" s="256">
        <v>41487</v>
      </c>
      <c r="K7008" s="424">
        <v>150.06389999999999</v>
      </c>
      <c r="L7008" s="37">
        <v>0.50063899999999983</v>
      </c>
    </row>
    <row r="7009" spans="1:12" hidden="1" outlineLevel="1" x14ac:dyDescent="0.25">
      <c r="A7009" s="739">
        <v>0.05</v>
      </c>
      <c r="B7009" s="740" t="s">
        <v>2786</v>
      </c>
      <c r="C7009" s="809">
        <v>710.4</v>
      </c>
      <c r="D7009" s="908">
        <v>840.5</v>
      </c>
      <c r="E7009" s="896">
        <v>0.18313626126126126</v>
      </c>
      <c r="F7009" s="946">
        <v>9.1568130630630632E-3</v>
      </c>
      <c r="G7009" s="443"/>
      <c r="H7009" t="s">
        <v>4195</v>
      </c>
      <c r="J7009" s="256">
        <v>41518</v>
      </c>
      <c r="K7009" s="424">
        <v>153.48320000000001</v>
      </c>
      <c r="L7009" s="37">
        <v>0.5348320000000002</v>
      </c>
    </row>
    <row r="7010" spans="1:12" hidden="1" outlineLevel="1" x14ac:dyDescent="0.25">
      <c r="A7010" s="739">
        <v>4.4999999999999998E-2</v>
      </c>
      <c r="B7010" s="743" t="s">
        <v>3797</v>
      </c>
      <c r="C7010" s="809">
        <v>45.33</v>
      </c>
      <c r="D7010" s="908">
        <v>67.95</v>
      </c>
      <c r="E7010" s="896">
        <v>0.49900727994705507</v>
      </c>
      <c r="F7010" s="946">
        <v>2.2455327597617477E-2</v>
      </c>
      <c r="G7010" s="443"/>
      <c r="H7010" t="s">
        <v>3848</v>
      </c>
      <c r="J7010" s="256">
        <v>41548</v>
      </c>
      <c r="K7010" s="424">
        <v>156.84350000000001</v>
      </c>
      <c r="L7010" s="37">
        <v>0.56843500000000002</v>
      </c>
    </row>
    <row r="7011" spans="1:12" hidden="1" outlineLevel="1" x14ac:dyDescent="0.25">
      <c r="A7011" s="739">
        <v>0.05</v>
      </c>
      <c r="B7011" s="852" t="s">
        <v>1040</v>
      </c>
      <c r="C7011" s="809">
        <v>4324.9799999999996</v>
      </c>
      <c r="D7011" s="908">
        <v>5661</v>
      </c>
      <c r="E7011" s="896">
        <v>0.30890778685681797</v>
      </c>
      <c r="F7011" s="946">
        <v>1.5445389342840898E-2</v>
      </c>
      <c r="G7011" s="443"/>
      <c r="H7011" t="s">
        <v>3540</v>
      </c>
      <c r="J7011" s="256">
        <v>41579</v>
      </c>
      <c r="K7011" s="424">
        <v>158.16329999999999</v>
      </c>
      <c r="L7011" s="37">
        <v>0.58163299999999984</v>
      </c>
    </row>
    <row r="7012" spans="1:12" hidden="1" outlineLevel="1" x14ac:dyDescent="0.25">
      <c r="A7012" s="739">
        <v>0.04</v>
      </c>
      <c r="B7012" s="743" t="s">
        <v>2787</v>
      </c>
      <c r="C7012" s="809">
        <v>57.954999999999998</v>
      </c>
      <c r="D7012" s="908">
        <v>76.3</v>
      </c>
      <c r="E7012" s="896">
        <v>0.31653869381416611</v>
      </c>
      <c r="F7012" s="946">
        <v>1.2661547752566645E-2</v>
      </c>
      <c r="G7012" s="443"/>
      <c r="H7012" t="s">
        <v>80</v>
      </c>
      <c r="J7012" s="256">
        <v>41609</v>
      </c>
      <c r="K7012" s="424">
        <v>160.28450000000001</v>
      </c>
      <c r="L7012" s="37">
        <v>0.60284500000000008</v>
      </c>
    </row>
    <row r="7013" spans="1:12" hidden="1" outlineLevel="1" x14ac:dyDescent="0.25">
      <c r="A7013" s="739">
        <v>1.4999999999999999E-2</v>
      </c>
      <c r="B7013" s="743" t="s">
        <v>1041</v>
      </c>
      <c r="C7013" s="809">
        <v>23.878</v>
      </c>
      <c r="D7013" s="908">
        <v>26.8</v>
      </c>
      <c r="E7013" s="896">
        <v>0.12237205796130324</v>
      </c>
      <c r="F7013" s="946">
        <v>1.8355808694195486E-3</v>
      </c>
      <c r="G7013" s="443"/>
      <c r="H7013" t="s">
        <v>3541</v>
      </c>
      <c r="J7013" s="256">
        <v>41640</v>
      </c>
      <c r="K7013" s="424">
        <v>157.5898</v>
      </c>
      <c r="L7013" s="37">
        <v>0.57589800000000002</v>
      </c>
    </row>
    <row r="7014" spans="1:12" hidden="1" outlineLevel="1" x14ac:dyDescent="0.25">
      <c r="A7014" s="739">
        <v>0.05</v>
      </c>
      <c r="B7014" s="743" t="s">
        <v>3800</v>
      </c>
      <c r="C7014" s="809">
        <v>168.22</v>
      </c>
      <c r="D7014" s="908">
        <v>258</v>
      </c>
      <c r="E7014" s="896">
        <v>0.53370586137201292</v>
      </c>
      <c r="F7014" s="946">
        <v>2.6685293068600648E-2</v>
      </c>
      <c r="G7014" s="443"/>
      <c r="H7014" t="s">
        <v>2817</v>
      </c>
      <c r="J7014" s="256">
        <v>41671</v>
      </c>
      <c r="K7014" s="424">
        <v>163.75659999999999</v>
      </c>
      <c r="L7014" s="37">
        <v>0.63756599999999986</v>
      </c>
    </row>
    <row r="7015" spans="1:12" hidden="1" outlineLevel="1" x14ac:dyDescent="0.25">
      <c r="A7015" s="739">
        <v>0.04</v>
      </c>
      <c r="B7015" s="740" t="s">
        <v>2728</v>
      </c>
      <c r="C7015" s="809">
        <v>43.957999999999998</v>
      </c>
      <c r="D7015" s="908">
        <v>73.150000000000006</v>
      </c>
      <c r="E7015" s="896">
        <v>0.66408844806406142</v>
      </c>
      <c r="F7015" s="946">
        <v>2.6563537922562459E-2</v>
      </c>
      <c r="G7015" s="443"/>
      <c r="H7015" t="s">
        <v>258</v>
      </c>
      <c r="J7015" s="256">
        <v>41699</v>
      </c>
      <c r="K7015" s="424">
        <v>164.63310000000001</v>
      </c>
      <c r="L7015" s="37">
        <v>0.64633100000000021</v>
      </c>
    </row>
    <row r="7016" spans="1:12" hidden="1" outlineLevel="1" x14ac:dyDescent="0.25">
      <c r="A7016" s="739">
        <v>0.04</v>
      </c>
      <c r="B7016" s="740" t="s">
        <v>1857</v>
      </c>
      <c r="C7016" s="809">
        <v>1192.0999999999999</v>
      </c>
      <c r="D7016" s="908">
        <v>1525</v>
      </c>
      <c r="E7016" s="896">
        <v>0.27925509604898924</v>
      </c>
      <c r="F7016" s="946">
        <v>1.117020384195957E-2</v>
      </c>
      <c r="G7016" s="443"/>
      <c r="H7016" t="s">
        <v>3559</v>
      </c>
      <c r="J7016" s="256">
        <v>41730</v>
      </c>
      <c r="K7016" s="424">
        <v>166.18289999999999</v>
      </c>
      <c r="L7016" s="37">
        <v>0.661829</v>
      </c>
    </row>
    <row r="7017" spans="1:12" hidden="1" outlineLevel="1" x14ac:dyDescent="0.25">
      <c r="A7017" s="739">
        <v>0.04</v>
      </c>
      <c r="B7017" s="740" t="s">
        <v>1042</v>
      </c>
      <c r="C7017" s="809">
        <v>684.6</v>
      </c>
      <c r="D7017" s="908">
        <v>256</v>
      </c>
      <c r="E7017" s="896">
        <v>-0.62605901256208007</v>
      </c>
      <c r="F7017" s="946">
        <v>-2.5042360502483204E-2</v>
      </c>
      <c r="G7017" s="443"/>
      <c r="H7017" t="s">
        <v>3542</v>
      </c>
      <c r="J7017" s="412" t="s">
        <v>2465</v>
      </c>
      <c r="L7017" s="261">
        <v>0.52424505555555556</v>
      </c>
    </row>
    <row r="7018" spans="1:12" hidden="1" outlineLevel="1" x14ac:dyDescent="0.25">
      <c r="A7018" s="739">
        <v>0.03</v>
      </c>
      <c r="B7018" s="743" t="s">
        <v>898</v>
      </c>
      <c r="C7018" s="809">
        <v>25.228000000000002</v>
      </c>
      <c r="D7018" s="908">
        <v>37.1</v>
      </c>
      <c r="E7018" s="896">
        <v>0.47058823529411753</v>
      </c>
      <c r="F7018" s="946">
        <v>1.4117647058823525E-2</v>
      </c>
      <c r="G7018" s="443"/>
      <c r="H7018" t="s">
        <v>899</v>
      </c>
      <c r="J7018" s="412" t="s">
        <v>5280</v>
      </c>
      <c r="L7018" s="261">
        <v>0.36697153888888889</v>
      </c>
    </row>
    <row r="7019" spans="1:12" hidden="1" outlineLevel="1" x14ac:dyDescent="0.25">
      <c r="A7019" s="739">
        <v>0.03</v>
      </c>
      <c r="B7019" s="852" t="s">
        <v>3664</v>
      </c>
      <c r="C7019" s="809">
        <v>47.56</v>
      </c>
      <c r="D7019" s="908">
        <v>89.5</v>
      </c>
      <c r="E7019" s="896">
        <v>0.88183347350714869</v>
      </c>
      <c r="F7019" s="946">
        <v>2.6455004205214461E-2</v>
      </c>
      <c r="G7019" s="443"/>
      <c r="H7019" t="s">
        <v>3543</v>
      </c>
    </row>
    <row r="7020" spans="1:12" hidden="1" outlineLevel="1" x14ac:dyDescent="0.25">
      <c r="A7020" s="739">
        <v>0.05</v>
      </c>
      <c r="B7020" s="743" t="s">
        <v>1239</v>
      </c>
      <c r="C7020" s="809">
        <v>341.77499999999998</v>
      </c>
      <c r="D7020" s="908">
        <v>535</v>
      </c>
      <c r="E7020" s="896">
        <v>0.5653573257259894</v>
      </c>
      <c r="F7020" s="946">
        <v>2.8267866286299473E-2</v>
      </c>
      <c r="G7020" s="78"/>
      <c r="H7020" t="s">
        <v>268</v>
      </c>
    </row>
    <row r="7021" spans="1:12" hidden="1" outlineLevel="1" x14ac:dyDescent="0.25">
      <c r="A7021" s="739">
        <v>0.03</v>
      </c>
      <c r="B7021" s="743" t="s">
        <v>577</v>
      </c>
      <c r="C7021" s="809">
        <v>14.865</v>
      </c>
      <c r="D7021" s="908">
        <v>12.07</v>
      </c>
      <c r="E7021" s="896">
        <v>-0.18802556340396903</v>
      </c>
      <c r="F7021" s="946">
        <v>-5.6407669021190706E-3</v>
      </c>
      <c r="G7021" s="78"/>
      <c r="H7021" t="s">
        <v>2804</v>
      </c>
    </row>
    <row r="7022" spans="1:12" hidden="1" outlineLevel="1" x14ac:dyDescent="0.25">
      <c r="A7022" s="739">
        <v>2.5000000000000001E-2</v>
      </c>
      <c r="B7022" s="996" t="s">
        <v>3665</v>
      </c>
      <c r="C7022" s="809">
        <v>38.320999999999998</v>
      </c>
      <c r="D7022" s="908">
        <v>38.619999999999997</v>
      </c>
      <c r="E7022" s="896">
        <v>7.8025103729024714E-3</v>
      </c>
      <c r="F7022" s="946">
        <v>1.950627593225618E-4</v>
      </c>
      <c r="G7022" s="78"/>
      <c r="H7022" t="s">
        <v>7021</v>
      </c>
    </row>
    <row r="7023" spans="1:12" hidden="1" outlineLevel="1" x14ac:dyDescent="0.25">
      <c r="A7023" s="739">
        <v>0.02</v>
      </c>
      <c r="B7023" s="996" t="s">
        <v>3626</v>
      </c>
      <c r="C7023" s="809">
        <v>52.844999999999999</v>
      </c>
      <c r="D7023" s="908">
        <v>52.73</v>
      </c>
      <c r="E7023" s="896">
        <v>-2.176175607909947E-3</v>
      </c>
      <c r="F7023" s="946">
        <v>-4.3523512158198938E-5</v>
      </c>
      <c r="G7023" s="78"/>
      <c r="H7023" t="s">
        <v>7743</v>
      </c>
    </row>
    <row r="7024" spans="1:12" hidden="1" outlineLevel="1" x14ac:dyDescent="0.25">
      <c r="A7024" s="739">
        <v>2.5000000000000001E-2</v>
      </c>
      <c r="B7024" s="996" t="s">
        <v>2870</v>
      </c>
      <c r="C7024" s="809">
        <v>23.027000000000001</v>
      </c>
      <c r="D7024" s="908">
        <v>13.39</v>
      </c>
      <c r="E7024" s="896">
        <v>-0.41850870716984412</v>
      </c>
      <c r="F7024" s="946">
        <v>-1.0462717679246104E-2</v>
      </c>
      <c r="G7024" s="78"/>
      <c r="H7024" t="s">
        <v>3544</v>
      </c>
    </row>
    <row r="7025" spans="1:8" hidden="1" outlineLevel="1" x14ac:dyDescent="0.25">
      <c r="A7025" s="739">
        <v>0.03</v>
      </c>
      <c r="B7025" s="743" t="s">
        <v>580</v>
      </c>
      <c r="C7025" s="809">
        <v>35.82</v>
      </c>
      <c r="D7025" s="908">
        <v>102.5</v>
      </c>
      <c r="E7025" s="896">
        <v>1.8615298715801227</v>
      </c>
      <c r="F7025" s="946">
        <v>5.5845896147403679E-2</v>
      </c>
      <c r="G7025" s="78"/>
      <c r="H7025" t="s">
        <v>3612</v>
      </c>
    </row>
    <row r="7026" spans="1:8" hidden="1" outlineLevel="1" x14ac:dyDescent="0.25">
      <c r="A7026" s="739">
        <v>2.5000000000000001E-2</v>
      </c>
      <c r="B7026" s="743" t="s">
        <v>4487</v>
      </c>
      <c r="C7026" s="809">
        <v>19.225999999999999</v>
      </c>
      <c r="D7026" s="908">
        <v>42.71</v>
      </c>
      <c r="E7026" s="896">
        <v>1.2214709247893478</v>
      </c>
      <c r="F7026" s="946">
        <v>3.0536773119733698E-2</v>
      </c>
      <c r="G7026" s="78"/>
      <c r="H7026" t="s">
        <v>3545</v>
      </c>
    </row>
    <row r="7027" spans="1:8" hidden="1" outlineLevel="1" x14ac:dyDescent="0.25">
      <c r="A7027" s="739">
        <v>0.03</v>
      </c>
      <c r="B7027" s="743" t="s">
        <v>2873</v>
      </c>
      <c r="C7027" s="809">
        <v>20.765999999999998</v>
      </c>
      <c r="D7027" s="908">
        <v>48.48</v>
      </c>
      <c r="E7027" s="896">
        <v>1.3345853799479919</v>
      </c>
      <c r="F7027" s="946">
        <v>4.0037561398439753E-2</v>
      </c>
      <c r="G7027" s="78"/>
      <c r="H7027" t="s">
        <v>3546</v>
      </c>
    </row>
    <row r="7028" spans="1:8" hidden="1" outlineLevel="1" x14ac:dyDescent="0.25">
      <c r="A7028" s="739">
        <v>0.03</v>
      </c>
      <c r="B7028" s="997" t="s">
        <v>2874</v>
      </c>
      <c r="C7028" s="810">
        <v>17.614999999999998</v>
      </c>
      <c r="D7028" s="715">
        <v>31.87</v>
      </c>
      <c r="E7028" s="947">
        <v>0.80925347715015628</v>
      </c>
      <c r="F7028" s="946">
        <v>2.4277604314504687E-2</v>
      </c>
      <c r="G7028" s="78"/>
      <c r="H7028" t="s">
        <v>3752</v>
      </c>
    </row>
    <row r="7029" spans="1:8" hidden="1" outlineLevel="1" x14ac:dyDescent="0.25">
      <c r="A7029" s="717"/>
      <c r="B7029" s="718"/>
      <c r="C7029" s="719"/>
      <c r="D7029" s="719"/>
      <c r="E7029" s="720">
        <v>1.5242450555555556</v>
      </c>
      <c r="F7029" s="731">
        <v>0.51432433075676043</v>
      </c>
      <c r="G7029" s="78"/>
      <c r="H7029" s="101"/>
    </row>
    <row r="7030" spans="1:8" collapsed="1" x14ac:dyDescent="0.25">
      <c r="A7030" s="3801" t="s">
        <v>4488</v>
      </c>
      <c r="B7030" s="3802"/>
      <c r="C7030" s="3802"/>
      <c r="D7030" s="3802"/>
      <c r="E7030" s="721"/>
      <c r="F7030" s="722">
        <v>0.45327873888888881</v>
      </c>
      <c r="G7030" s="97" t="s">
        <v>781</v>
      </c>
    </row>
    <row r="7032" spans="1:8" hidden="1" outlineLevel="1" x14ac:dyDescent="0.25">
      <c r="A7032" s="689" t="s">
        <v>113</v>
      </c>
      <c r="B7032" s="689" t="s">
        <v>114</v>
      </c>
      <c r="C7032" s="689" t="s">
        <v>112</v>
      </c>
      <c r="D7032" s="689" t="s">
        <v>116</v>
      </c>
      <c r="E7032" s="689" t="s">
        <v>117</v>
      </c>
      <c r="F7032" s="1188" t="s">
        <v>121</v>
      </c>
      <c r="G7032" s="78"/>
    </row>
    <row r="7033" spans="1:8" hidden="1" outlineLevel="1" x14ac:dyDescent="0.25">
      <c r="A7033" s="690">
        <v>3</v>
      </c>
      <c r="B7033" s="691" t="s">
        <v>252</v>
      </c>
      <c r="C7033" s="692">
        <v>100</v>
      </c>
      <c r="D7033" s="692"/>
      <c r="E7033" s="693"/>
      <c r="F7033" s="694"/>
      <c r="G7033" s="78"/>
    </row>
    <row r="7034" spans="1:8" hidden="1" outlineLevel="1" x14ac:dyDescent="0.25">
      <c r="A7034" s="695"/>
      <c r="B7034" s="695"/>
      <c r="C7034" s="696"/>
      <c r="D7034" s="697" t="s">
        <v>3702</v>
      </c>
      <c r="E7034" s="698">
        <v>41029</v>
      </c>
      <c r="F7034" s="699"/>
      <c r="G7034" s="78"/>
    </row>
    <row r="7035" spans="1:8" hidden="1" outlineLevel="1" x14ac:dyDescent="0.25">
      <c r="A7035" s="689" t="s">
        <v>4156</v>
      </c>
      <c r="B7035" s="689" t="s">
        <v>4153</v>
      </c>
      <c r="C7035" s="700" t="s">
        <v>112</v>
      </c>
      <c r="D7035" s="495" t="s">
        <v>4155</v>
      </c>
      <c r="E7035" s="495" t="s">
        <v>4154</v>
      </c>
      <c r="F7035" s="1021" t="s">
        <v>734</v>
      </c>
      <c r="G7035" s="78"/>
    </row>
    <row r="7036" spans="1:8" hidden="1" outlineLevel="1" x14ac:dyDescent="0.25">
      <c r="A7036" s="999">
        <v>3.3333000000000002E-2</v>
      </c>
      <c r="B7036" s="1010" t="s">
        <v>1993</v>
      </c>
      <c r="C7036" s="1154">
        <v>18.225999999999999</v>
      </c>
      <c r="D7036" s="803">
        <v>32.21</v>
      </c>
      <c r="E7036" s="738">
        <v>0.76725556896740943</v>
      </c>
      <c r="F7036" s="1021">
        <v>0.08</v>
      </c>
      <c r="G7036" s="78"/>
      <c r="H7036" t="s">
        <v>2812</v>
      </c>
    </row>
    <row r="7037" spans="1:8" hidden="1" outlineLevel="1" x14ac:dyDescent="0.25">
      <c r="A7037" s="999">
        <v>3.3333000000000002E-2</v>
      </c>
      <c r="B7037" s="1012" t="s">
        <v>2984</v>
      </c>
      <c r="C7037" s="1155">
        <v>10.64</v>
      </c>
      <c r="D7037" s="908">
        <v>5.1059999999999999</v>
      </c>
      <c r="E7037" s="742">
        <v>-0.52011278195488719</v>
      </c>
      <c r="F7037" s="946">
        <v>-0.52011278195488719</v>
      </c>
      <c r="G7037" s="78"/>
      <c r="H7037" t="s">
        <v>2326</v>
      </c>
    </row>
    <row r="7038" spans="1:8" hidden="1" outlineLevel="1" x14ac:dyDescent="0.25">
      <c r="A7038" s="999">
        <v>3.3333000000000002E-2</v>
      </c>
      <c r="B7038" s="1012" t="s">
        <v>1994</v>
      </c>
      <c r="C7038" s="1155">
        <v>21.832000000000001</v>
      </c>
      <c r="D7038" s="908">
        <v>8.11</v>
      </c>
      <c r="E7038" s="742">
        <v>-0.62852693294246986</v>
      </c>
      <c r="F7038" s="946">
        <v>-0.62852693294246986</v>
      </c>
      <c r="G7038" s="78"/>
      <c r="H7038" t="s">
        <v>3493</v>
      </c>
    </row>
    <row r="7039" spans="1:8" hidden="1" outlineLevel="1" x14ac:dyDescent="0.25">
      <c r="A7039" s="999">
        <v>3.3333000000000002E-2</v>
      </c>
      <c r="B7039" s="1012" t="s">
        <v>1184</v>
      </c>
      <c r="C7039" s="1155">
        <v>28.393999999999998</v>
      </c>
      <c r="D7039" s="908">
        <v>62.19</v>
      </c>
      <c r="E7039" s="742">
        <v>1.1902514615763895</v>
      </c>
      <c r="F7039" s="946">
        <v>0.08</v>
      </c>
      <c r="G7039" s="78"/>
      <c r="H7039" t="s">
        <v>3497</v>
      </c>
    </row>
    <row r="7040" spans="1:8" hidden="1" outlineLevel="1" x14ac:dyDescent="0.25">
      <c r="A7040" s="999">
        <v>3.3333000000000002E-2</v>
      </c>
      <c r="B7040" s="1012" t="s">
        <v>3019</v>
      </c>
      <c r="C7040" s="1155">
        <v>64.56</v>
      </c>
      <c r="D7040" s="908">
        <v>30.35</v>
      </c>
      <c r="E7040" s="742">
        <v>-0.52989467162329618</v>
      </c>
      <c r="F7040" s="946">
        <v>-0.52989467162329618</v>
      </c>
      <c r="G7040" s="78"/>
      <c r="H7040" t="s">
        <v>2745</v>
      </c>
    </row>
    <row r="7041" spans="1:8" hidden="1" outlineLevel="1" x14ac:dyDescent="0.25">
      <c r="A7041" s="999">
        <v>3.3333000000000002E-2</v>
      </c>
      <c r="B7041" s="1012" t="s">
        <v>901</v>
      </c>
      <c r="C7041" s="1155">
        <v>1625.4</v>
      </c>
      <c r="D7041" s="908">
        <v>3159</v>
      </c>
      <c r="E7041" s="742">
        <v>0.94352159468438535</v>
      </c>
      <c r="F7041" s="946">
        <v>0.08</v>
      </c>
      <c r="G7041" s="78"/>
      <c r="H7041" t="s">
        <v>531</v>
      </c>
    </row>
    <row r="7042" spans="1:8" hidden="1" outlineLevel="1" x14ac:dyDescent="0.25">
      <c r="A7042" s="999">
        <v>3.3333000000000002E-2</v>
      </c>
      <c r="B7042" s="1012" t="s">
        <v>4002</v>
      </c>
      <c r="C7042" s="1155">
        <v>5.0716000000000001</v>
      </c>
      <c r="D7042" s="908">
        <v>12.23</v>
      </c>
      <c r="E7042" s="742">
        <v>1.4114677813707708</v>
      </c>
      <c r="F7042" s="946">
        <v>0.08</v>
      </c>
      <c r="G7042" s="78"/>
      <c r="H7042" t="s">
        <v>168</v>
      </c>
    </row>
    <row r="7043" spans="1:8" hidden="1" outlineLevel="1" x14ac:dyDescent="0.25">
      <c r="A7043" s="999">
        <v>3.3333000000000002E-2</v>
      </c>
      <c r="B7043" s="1012" t="s">
        <v>1847</v>
      </c>
      <c r="C7043" s="1155">
        <v>144.68</v>
      </c>
      <c r="D7043" s="908">
        <v>33.04</v>
      </c>
      <c r="E7043" s="742">
        <v>-0.77163395078794583</v>
      </c>
      <c r="F7043" s="946">
        <v>-0.77163395078794583</v>
      </c>
      <c r="G7043" s="78"/>
      <c r="H7043" t="s">
        <v>2749</v>
      </c>
    </row>
    <row r="7044" spans="1:8" hidden="1" outlineLevel="1" x14ac:dyDescent="0.25">
      <c r="A7044" s="999">
        <v>3.3333000000000002E-2</v>
      </c>
      <c r="B7044" s="1012" t="s">
        <v>51</v>
      </c>
      <c r="C7044" s="1155">
        <v>29.196999999999999</v>
      </c>
      <c r="D7044" s="908">
        <v>31.645</v>
      </c>
      <c r="E7044" s="742">
        <v>8.3844230571634037E-2</v>
      </c>
      <c r="F7044" s="946">
        <v>0.08</v>
      </c>
      <c r="G7044" s="78"/>
      <c r="H7044" t="s">
        <v>2748</v>
      </c>
    </row>
    <row r="7045" spans="1:8" hidden="1" outlineLevel="1" x14ac:dyDescent="0.25">
      <c r="A7045" s="999">
        <v>3.3333000000000002E-2</v>
      </c>
      <c r="B7045" s="1012" t="s">
        <v>2699</v>
      </c>
      <c r="C7045" s="1155">
        <v>12.574999999999999</v>
      </c>
      <c r="D7045" s="908">
        <v>14.1</v>
      </c>
      <c r="E7045" s="742">
        <v>0.12127236580516909</v>
      </c>
      <c r="F7045" s="946">
        <v>0.08</v>
      </c>
      <c r="G7045" s="78"/>
      <c r="H7045" t="s">
        <v>505</v>
      </c>
    </row>
    <row r="7046" spans="1:8" hidden="1" outlineLevel="1" x14ac:dyDescent="0.25">
      <c r="A7046" s="999">
        <v>3.3333000000000002E-2</v>
      </c>
      <c r="B7046" s="1012" t="s">
        <v>1176</v>
      </c>
      <c r="C7046" s="1155">
        <v>1.0382</v>
      </c>
      <c r="D7046" s="908">
        <v>1.375</v>
      </c>
      <c r="E7046" s="742">
        <v>0.3244076285879407</v>
      </c>
      <c r="F7046" s="946">
        <v>0.08</v>
      </c>
      <c r="G7046" s="78"/>
      <c r="H7046" t="s">
        <v>3090</v>
      </c>
    </row>
    <row r="7047" spans="1:8" hidden="1" outlineLevel="1" x14ac:dyDescent="0.25">
      <c r="A7047" s="999">
        <v>3.3333000000000002E-2</v>
      </c>
      <c r="B7047" s="743" t="s">
        <v>3382</v>
      </c>
      <c r="C7047" s="1155">
        <v>133.94999999999999</v>
      </c>
      <c r="D7047" s="908">
        <v>230.9</v>
      </c>
      <c r="E7047" s="742">
        <v>0.72377752892870495</v>
      </c>
      <c r="F7047" s="946">
        <v>0.08</v>
      </c>
      <c r="G7047" s="78"/>
      <c r="H7047" t="s">
        <v>1729</v>
      </c>
    </row>
    <row r="7048" spans="1:8" hidden="1" outlineLevel="1" x14ac:dyDescent="0.25">
      <c r="A7048" s="999">
        <v>3.3333000000000002E-2</v>
      </c>
      <c r="B7048" s="1012" t="s">
        <v>1771</v>
      </c>
      <c r="C7048" s="1155">
        <v>855.7</v>
      </c>
      <c r="D7048" s="908">
        <v>555.1</v>
      </c>
      <c r="E7048" s="742">
        <v>-0.35129134042304544</v>
      </c>
      <c r="F7048" s="946">
        <v>-0.35129134042304544</v>
      </c>
      <c r="G7048" s="78"/>
      <c r="H7048" t="s">
        <v>4329</v>
      </c>
    </row>
    <row r="7049" spans="1:8" hidden="1" outlineLevel="1" x14ac:dyDescent="0.25">
      <c r="A7049" s="999">
        <v>3.3333000000000002E-2</v>
      </c>
      <c r="B7049" s="1012" t="s">
        <v>2588</v>
      </c>
      <c r="C7049" s="1155">
        <v>12.544</v>
      </c>
      <c r="D7049" s="908">
        <v>5.327</v>
      </c>
      <c r="E7049" s="742">
        <v>-0.5753348214285714</v>
      </c>
      <c r="F7049" s="946">
        <v>-0.5753348214285714</v>
      </c>
      <c r="G7049" s="78"/>
      <c r="H7049" t="s">
        <v>4132</v>
      </c>
    </row>
    <row r="7050" spans="1:8" hidden="1" outlineLevel="1" x14ac:dyDescent="0.25">
      <c r="A7050" s="999">
        <v>3.3333000000000002E-2</v>
      </c>
      <c r="B7050" s="1012" t="s">
        <v>44</v>
      </c>
      <c r="C7050" s="1155">
        <v>3.2225999999999999</v>
      </c>
      <c r="D7050" s="908">
        <v>1.143</v>
      </c>
      <c r="E7050" s="742">
        <v>-0.64531744554086767</v>
      </c>
      <c r="F7050" s="946">
        <v>-0.64531744554086767</v>
      </c>
      <c r="G7050" s="78"/>
      <c r="H7050" t="s">
        <v>204</v>
      </c>
    </row>
    <row r="7051" spans="1:8" hidden="1" outlineLevel="1" x14ac:dyDescent="0.25">
      <c r="A7051" s="999">
        <v>3.3333000000000002E-2</v>
      </c>
      <c r="B7051" s="1012" t="s">
        <v>1526</v>
      </c>
      <c r="C7051" s="1155">
        <v>41.466999999999999</v>
      </c>
      <c r="D7051" s="908">
        <v>14.61</v>
      </c>
      <c r="E7051" s="742">
        <v>-0.64767164251091236</v>
      </c>
      <c r="F7051" s="946">
        <v>-0.64767164251091236</v>
      </c>
      <c r="G7051" s="78"/>
      <c r="H7051" t="s">
        <v>4146</v>
      </c>
    </row>
    <row r="7052" spans="1:8" hidden="1" outlineLevel="1" x14ac:dyDescent="0.25">
      <c r="A7052" s="999">
        <v>3.3333000000000002E-2</v>
      </c>
      <c r="B7052" s="1012" t="s">
        <v>874</v>
      </c>
      <c r="C7052" s="1155">
        <v>129.52000000000001</v>
      </c>
      <c r="D7052" s="908">
        <v>290.5</v>
      </c>
      <c r="E7052" s="742">
        <v>1.2428968499073498</v>
      </c>
      <c r="F7052" s="946">
        <v>0.08</v>
      </c>
      <c r="G7052" s="78"/>
      <c r="H7052" t="s">
        <v>4148</v>
      </c>
    </row>
    <row r="7053" spans="1:8" hidden="1" outlineLevel="1" x14ac:dyDescent="0.25">
      <c r="A7053" s="999">
        <v>3.3333000000000002E-2</v>
      </c>
      <c r="B7053" s="1012" t="s">
        <v>4143</v>
      </c>
      <c r="C7053" s="1155">
        <v>9.1983999999999995</v>
      </c>
      <c r="D7053" s="908">
        <v>6.7809999999999997</v>
      </c>
      <c r="E7053" s="742">
        <v>-0.2628065750565316</v>
      </c>
      <c r="F7053" s="946">
        <v>-0.2628065750565316</v>
      </c>
      <c r="G7053" s="78"/>
      <c r="H7053" t="s">
        <v>4144</v>
      </c>
    </row>
    <row r="7054" spans="1:8" hidden="1" outlineLevel="1" x14ac:dyDescent="0.25">
      <c r="A7054" s="999">
        <v>3.3333000000000002E-2</v>
      </c>
      <c r="B7054" s="1012" t="s">
        <v>2786</v>
      </c>
      <c r="C7054" s="1155">
        <v>637.29999999999995</v>
      </c>
      <c r="D7054" s="908">
        <v>665.5</v>
      </c>
      <c r="E7054" s="742">
        <v>4.424917621214508E-2</v>
      </c>
      <c r="F7054" s="946">
        <v>0.08</v>
      </c>
      <c r="G7054" s="78"/>
      <c r="H7054" t="s">
        <v>4195</v>
      </c>
    </row>
    <row r="7055" spans="1:8" hidden="1" outlineLevel="1" x14ac:dyDescent="0.25">
      <c r="A7055" s="999">
        <v>3.3333000000000002E-2</v>
      </c>
      <c r="B7055" s="1012" t="s">
        <v>1414</v>
      </c>
      <c r="C7055" s="1155">
        <v>16.454000000000001</v>
      </c>
      <c r="D7055" s="908">
        <v>22.93</v>
      </c>
      <c r="E7055" s="742">
        <v>0.39358210769417767</v>
      </c>
      <c r="F7055" s="946">
        <v>0.08</v>
      </c>
      <c r="G7055" s="78"/>
      <c r="H7055" t="s">
        <v>2428</v>
      </c>
    </row>
    <row r="7056" spans="1:8" hidden="1" outlineLevel="1" x14ac:dyDescent="0.25">
      <c r="A7056" s="999">
        <v>3.3333000000000002E-2</v>
      </c>
      <c r="B7056" s="1012" t="s">
        <v>1653</v>
      </c>
      <c r="C7056" s="1155">
        <v>8.7194000000000003</v>
      </c>
      <c r="D7056" s="908">
        <v>8.9090000000000007</v>
      </c>
      <c r="E7056" s="742">
        <v>2.1744615455191907E-2</v>
      </c>
      <c r="F7056" s="946">
        <v>0.08</v>
      </c>
      <c r="G7056" s="78"/>
      <c r="H7056" t="s">
        <v>285</v>
      </c>
    </row>
    <row r="7057" spans="1:8" hidden="1" outlineLevel="1" x14ac:dyDescent="0.25">
      <c r="A7057" s="999">
        <v>3.3333000000000002E-2</v>
      </c>
      <c r="B7057" s="1012" t="s">
        <v>2586</v>
      </c>
      <c r="C7057" s="1155">
        <v>14.374000000000001</v>
      </c>
      <c r="D7057" s="908">
        <v>26.87</v>
      </c>
      <c r="E7057" s="742">
        <v>0.86934743286489491</v>
      </c>
      <c r="F7057" s="946">
        <v>0.08</v>
      </c>
      <c r="G7057" s="78"/>
      <c r="H7057" t="s">
        <v>2720</v>
      </c>
    </row>
    <row r="7058" spans="1:8" hidden="1" outlineLevel="1" x14ac:dyDescent="0.25">
      <c r="A7058" s="999">
        <v>3.3333000000000002E-2</v>
      </c>
      <c r="B7058" s="1012" t="s">
        <v>3801</v>
      </c>
      <c r="C7058" s="1155">
        <v>60.351999999999997</v>
      </c>
      <c r="D7058" s="908">
        <v>32.475000000000001</v>
      </c>
      <c r="E7058" s="742">
        <v>-0.46190681336161188</v>
      </c>
      <c r="F7058" s="946">
        <v>-0.46190681336161188</v>
      </c>
      <c r="G7058" s="78"/>
      <c r="H7058" t="s">
        <v>2819</v>
      </c>
    </row>
    <row r="7059" spans="1:8" hidden="1" outlineLevel="1" x14ac:dyDescent="0.25">
      <c r="A7059" s="999">
        <v>3.3333000000000002E-2</v>
      </c>
      <c r="B7059" s="1012" t="s">
        <v>279</v>
      </c>
      <c r="C7059" s="1155">
        <v>48.988</v>
      </c>
      <c r="D7059" s="908">
        <v>46.41</v>
      </c>
      <c r="E7059" s="742">
        <v>-5.2625132685555687E-2</v>
      </c>
      <c r="F7059" s="946">
        <v>-5.2625132685555687E-2</v>
      </c>
      <c r="G7059" s="78"/>
      <c r="H7059" t="s">
        <v>1468</v>
      </c>
    </row>
    <row r="7060" spans="1:8" hidden="1" outlineLevel="1" x14ac:dyDescent="0.25">
      <c r="A7060" s="999">
        <v>3.3333000000000002E-2</v>
      </c>
      <c r="B7060" s="1012" t="s">
        <v>2166</v>
      </c>
      <c r="C7060" s="1155">
        <v>54.869</v>
      </c>
      <c r="D7060" s="908">
        <v>17.86</v>
      </c>
      <c r="E7060" s="742">
        <v>-0.67449743935555595</v>
      </c>
      <c r="F7060" s="946">
        <v>-0.67449743935555595</v>
      </c>
      <c r="G7060" s="78"/>
      <c r="H7060" t="s">
        <v>4160</v>
      </c>
    </row>
    <row r="7061" spans="1:8" hidden="1" outlineLevel="1" x14ac:dyDescent="0.25">
      <c r="A7061" s="999">
        <v>3.3333000000000002E-2</v>
      </c>
      <c r="B7061" s="1012" t="s">
        <v>577</v>
      </c>
      <c r="C7061" s="1155">
        <v>15.29</v>
      </c>
      <c r="D7061" s="908">
        <v>11.01</v>
      </c>
      <c r="E7061" s="742">
        <v>-0.27992151733158921</v>
      </c>
      <c r="F7061" s="946">
        <v>-0.27992151733158921</v>
      </c>
      <c r="G7061" s="78"/>
      <c r="H7061" t="s">
        <v>2804</v>
      </c>
    </row>
    <row r="7062" spans="1:8" hidden="1" outlineLevel="1" x14ac:dyDescent="0.25">
      <c r="A7062" s="999">
        <v>3.3333000000000002E-2</v>
      </c>
      <c r="B7062" s="1012" t="s">
        <v>4568</v>
      </c>
      <c r="C7062" s="1155">
        <v>12.558</v>
      </c>
      <c r="D7062" s="908">
        <v>32.405000000000001</v>
      </c>
      <c r="E7062" s="742">
        <v>1.5804268195572546</v>
      </c>
      <c r="F7062" s="946">
        <v>0.08</v>
      </c>
      <c r="G7062" s="78"/>
      <c r="H7062" t="s">
        <v>4569</v>
      </c>
    </row>
    <row r="7063" spans="1:8" hidden="1" outlineLevel="1" x14ac:dyDescent="0.25">
      <c r="A7063" s="999">
        <v>3.3333000000000002E-2</v>
      </c>
      <c r="B7063" s="1012" t="s">
        <v>1622</v>
      </c>
      <c r="C7063" s="1155">
        <v>8.0061373000000007</v>
      </c>
      <c r="D7063" s="908">
        <v>3.278</v>
      </c>
      <c r="E7063" s="742">
        <v>-0.59056410386566816</v>
      </c>
      <c r="F7063" s="946">
        <v>-0.59056410386566816</v>
      </c>
      <c r="G7063" s="78"/>
      <c r="H7063" t="s">
        <v>1623</v>
      </c>
    </row>
    <row r="7064" spans="1:8" hidden="1" outlineLevel="1" x14ac:dyDescent="0.25">
      <c r="A7064" s="999">
        <v>3.3333000000000002E-2</v>
      </c>
      <c r="B7064" s="1012" t="s">
        <v>1183</v>
      </c>
      <c r="C7064" s="1155">
        <v>36.578000000000003</v>
      </c>
      <c r="D7064" s="908">
        <v>36.07</v>
      </c>
      <c r="E7064" s="742">
        <v>-1.3888129476734679E-2</v>
      </c>
      <c r="F7064" s="946">
        <v>-1.3888129476734679E-2</v>
      </c>
      <c r="G7064" s="78"/>
      <c r="H7064" t="s">
        <v>2805</v>
      </c>
    </row>
    <row r="7065" spans="1:8" hidden="1" outlineLevel="1" x14ac:dyDescent="0.25">
      <c r="A7065" s="999">
        <v>3.3333000000000002E-2</v>
      </c>
      <c r="B7065" s="1012" t="s">
        <v>3169</v>
      </c>
      <c r="C7065" s="1155">
        <v>19.5</v>
      </c>
      <c r="D7065" s="715">
        <v>13.965</v>
      </c>
      <c r="E7065" s="748">
        <v>-0.28384615384615386</v>
      </c>
      <c r="F7065" s="1023">
        <v>-0.28384615384615386</v>
      </c>
      <c r="G7065" s="78"/>
      <c r="H7065" t="s">
        <v>657</v>
      </c>
    </row>
    <row r="7066" spans="1:8" hidden="1" outlineLevel="1" x14ac:dyDescent="0.25">
      <c r="A7066" s="1014"/>
      <c r="B7066" s="1015"/>
      <c r="C7066" s="1016"/>
      <c r="D7066" s="798"/>
      <c r="E7066" s="709"/>
      <c r="F7066" s="1666">
        <v>-0.2056613150730465</v>
      </c>
      <c r="G7066" s="78"/>
    </row>
    <row r="7067" spans="1:8" hidden="1" outlineLevel="1" x14ac:dyDescent="0.25">
      <c r="A7067" s="1017"/>
      <c r="B7067" s="1018"/>
      <c r="C7067" s="837"/>
      <c r="D7067" s="798"/>
      <c r="E7067" s="709"/>
      <c r="F7067" s="1666"/>
      <c r="G7067" s="78"/>
    </row>
    <row r="7068" spans="1:8" hidden="1" outlineLevel="1" x14ac:dyDescent="0.25">
      <c r="A7068" s="725" t="s">
        <v>113</v>
      </c>
      <c r="B7068" s="725"/>
      <c r="C7068" s="1019"/>
      <c r="D7068" s="1019"/>
      <c r="E7068" s="729" t="s">
        <v>815</v>
      </c>
      <c r="F7068" s="1188"/>
      <c r="G7068" s="78"/>
    </row>
    <row r="7069" spans="1:8" hidden="1" outlineLevel="1" x14ac:dyDescent="0.25">
      <c r="A7069" s="732" t="s">
        <v>4865</v>
      </c>
      <c r="B7069" s="690"/>
      <c r="C7069" s="691"/>
      <c r="D7069" s="691"/>
      <c r="E7069" s="691"/>
      <c r="F7069" s="1021">
        <v>0.05</v>
      </c>
      <c r="G7069" s="78"/>
    </row>
    <row r="7070" spans="1:8" hidden="1" outlineLevel="1" x14ac:dyDescent="0.25">
      <c r="A7070" s="732" t="s">
        <v>4866</v>
      </c>
      <c r="B7070" s="706"/>
      <c r="C7070" s="1022"/>
      <c r="D7070" s="1022"/>
      <c r="E7070" s="1202">
        <v>-3.3000000000000002E-2</v>
      </c>
      <c r="F7070" s="946">
        <v>0.01</v>
      </c>
      <c r="G7070" s="78"/>
    </row>
    <row r="7071" spans="1:8" hidden="1" outlineLevel="1" x14ac:dyDescent="0.25">
      <c r="A7071" s="732" t="s">
        <v>4867</v>
      </c>
      <c r="B7071" s="706"/>
      <c r="C7071" s="1022"/>
      <c r="D7071" s="1022"/>
      <c r="E7071" s="1203">
        <v>-0.156</v>
      </c>
      <c r="F7071" s="946">
        <v>0.01</v>
      </c>
      <c r="G7071" s="78"/>
    </row>
    <row r="7072" spans="1:8" collapsed="1" x14ac:dyDescent="0.25">
      <c r="A7072" s="3803" t="s">
        <v>4489</v>
      </c>
      <c r="B7072" s="3804"/>
      <c r="C7072" s="3804"/>
      <c r="D7072" s="1019"/>
      <c r="E7072" s="1019"/>
      <c r="F7072" s="934">
        <v>7.0000000000000007E-2</v>
      </c>
      <c r="G7072" s="97" t="s">
        <v>781</v>
      </c>
    </row>
    <row r="7074" spans="1:8" hidden="1" outlineLevel="1" x14ac:dyDescent="0.25">
      <c r="A7074" s="689" t="s">
        <v>113</v>
      </c>
      <c r="B7074" s="689" t="s">
        <v>114</v>
      </c>
      <c r="C7074" s="689" t="s">
        <v>112</v>
      </c>
      <c r="D7074" s="689" t="s">
        <v>116</v>
      </c>
      <c r="E7074" s="689" t="s">
        <v>117</v>
      </c>
      <c r="F7074" s="1188" t="s">
        <v>121</v>
      </c>
      <c r="G7074" s="78"/>
    </row>
    <row r="7075" spans="1:8" hidden="1" outlineLevel="1" x14ac:dyDescent="0.25">
      <c r="A7075" s="690">
        <v>5</v>
      </c>
      <c r="B7075" s="691" t="s">
        <v>252</v>
      </c>
      <c r="C7075" s="692">
        <v>100</v>
      </c>
      <c r="D7075" s="692"/>
      <c r="E7075" s="693"/>
      <c r="F7075" s="694"/>
      <c r="G7075" s="78"/>
    </row>
    <row r="7076" spans="1:8" hidden="1" outlineLevel="1" x14ac:dyDescent="0.25">
      <c r="A7076" s="695"/>
      <c r="B7076" s="695"/>
      <c r="C7076" s="696"/>
      <c r="D7076" s="697" t="s">
        <v>3702</v>
      </c>
      <c r="E7076" s="698">
        <v>41789</v>
      </c>
      <c r="F7076" s="699"/>
      <c r="G7076" s="78"/>
    </row>
    <row r="7077" spans="1:8" hidden="1" outlineLevel="1" x14ac:dyDescent="0.25">
      <c r="A7077" s="689" t="s">
        <v>4156</v>
      </c>
      <c r="B7077" s="689" t="s">
        <v>4153</v>
      </c>
      <c r="C7077" s="700" t="s">
        <v>112</v>
      </c>
      <c r="D7077" s="495" t="s">
        <v>4155</v>
      </c>
      <c r="E7077" s="495" t="s">
        <v>4154</v>
      </c>
      <c r="F7077" s="1021" t="s">
        <v>734</v>
      </c>
      <c r="G7077" s="78"/>
    </row>
    <row r="7078" spans="1:8" hidden="1" outlineLevel="1" x14ac:dyDescent="0.25">
      <c r="A7078" s="999">
        <v>3.3333000000000002E-2</v>
      </c>
      <c r="B7078" s="1010" t="s">
        <v>1993</v>
      </c>
      <c r="C7078" s="1154">
        <v>16.536000000000001</v>
      </c>
      <c r="D7078" s="803">
        <v>41.56</v>
      </c>
      <c r="E7078" s="738">
        <v>1.5133043057571358</v>
      </c>
      <c r="F7078" s="1021">
        <v>0.06</v>
      </c>
      <c r="G7078" s="78"/>
      <c r="H7078" t="s">
        <v>2812</v>
      </c>
    </row>
    <row r="7079" spans="1:8" hidden="1" outlineLevel="1" x14ac:dyDescent="0.25">
      <c r="A7079" s="999">
        <v>3.3333000000000002E-2</v>
      </c>
      <c r="B7079" s="1012" t="s">
        <v>1164</v>
      </c>
      <c r="C7079" s="1155">
        <v>41.274000000000001</v>
      </c>
      <c r="D7079" s="908">
        <v>312.55</v>
      </c>
      <c r="E7079" s="742">
        <v>6.5725638416436496</v>
      </c>
      <c r="F7079" s="946">
        <v>0.06</v>
      </c>
      <c r="G7079" s="78"/>
      <c r="H7079" t="s">
        <v>915</v>
      </c>
    </row>
    <row r="7080" spans="1:8" hidden="1" outlineLevel="1" x14ac:dyDescent="0.25">
      <c r="A7080" s="999">
        <v>3.3333000000000002E-2</v>
      </c>
      <c r="B7080" s="1012" t="s">
        <v>6551</v>
      </c>
      <c r="C7080" s="1155">
        <v>90.97</v>
      </c>
      <c r="D7080" s="908">
        <v>633</v>
      </c>
      <c r="E7080" s="742">
        <v>5.9583379135978891</v>
      </c>
      <c r="F7080" s="946">
        <v>0.06</v>
      </c>
      <c r="G7080" s="78"/>
      <c r="H7080" t="s">
        <v>6550</v>
      </c>
    </row>
    <row r="7081" spans="1:8" hidden="1" outlineLevel="1" x14ac:dyDescent="0.25">
      <c r="A7081" s="999">
        <v>3.3333000000000002E-2</v>
      </c>
      <c r="B7081" s="1012" t="s">
        <v>2984</v>
      </c>
      <c r="C7081" s="1155">
        <v>8.1560000000000006</v>
      </c>
      <c r="D7081" s="908">
        <v>9.4039999999999999</v>
      </c>
      <c r="E7081" s="742">
        <v>0.15301618440411957</v>
      </c>
      <c r="F7081" s="946">
        <v>0.06</v>
      </c>
      <c r="G7081" s="78"/>
      <c r="H7081" t="s">
        <v>2326</v>
      </c>
    </row>
    <row r="7082" spans="1:8" hidden="1" outlineLevel="1" x14ac:dyDescent="0.25">
      <c r="A7082" s="999">
        <v>3.3333000000000002E-2</v>
      </c>
      <c r="B7082" s="1012" t="s">
        <v>1994</v>
      </c>
      <c r="C7082" s="1155">
        <v>16.148</v>
      </c>
      <c r="D7082" s="908">
        <v>15.14</v>
      </c>
      <c r="E7082" s="742">
        <v>-6.2422591032945229E-2</v>
      </c>
      <c r="F7082" s="946">
        <v>-6.2422591032945229E-2</v>
      </c>
      <c r="G7082" s="78"/>
      <c r="H7082" t="s">
        <v>3493</v>
      </c>
    </row>
    <row r="7083" spans="1:8" hidden="1" outlineLevel="1" x14ac:dyDescent="0.25">
      <c r="A7083" s="999">
        <v>3.3333000000000002E-2</v>
      </c>
      <c r="B7083" s="1012" t="s">
        <v>1184</v>
      </c>
      <c r="C7083" s="1155">
        <v>25.596</v>
      </c>
      <c r="D7083" s="908">
        <v>84.47</v>
      </c>
      <c r="E7083" s="742">
        <v>2.3001250195343022</v>
      </c>
      <c r="F7083" s="946">
        <v>0.06</v>
      </c>
      <c r="G7083" s="78"/>
      <c r="H7083" t="s">
        <v>3497</v>
      </c>
    </row>
    <row r="7084" spans="1:8" hidden="1" outlineLevel="1" x14ac:dyDescent="0.25">
      <c r="A7084" s="999">
        <v>3.3333000000000002E-2</v>
      </c>
      <c r="B7084" s="1012" t="s">
        <v>3019</v>
      </c>
      <c r="C7084" s="1155">
        <v>44.521999999999998</v>
      </c>
      <c r="D7084" s="908">
        <v>51.37</v>
      </c>
      <c r="E7084" s="742">
        <v>0.15381159876016359</v>
      </c>
      <c r="F7084" s="946">
        <v>0.06</v>
      </c>
      <c r="G7084" s="78"/>
      <c r="H7084" t="s">
        <v>2745</v>
      </c>
    </row>
    <row r="7085" spans="1:8" hidden="1" outlineLevel="1" x14ac:dyDescent="0.25">
      <c r="A7085" s="999">
        <v>3.3333000000000002E-2</v>
      </c>
      <c r="B7085" s="1012" t="s">
        <v>901</v>
      </c>
      <c r="C7085" s="1155">
        <v>1693.6</v>
      </c>
      <c r="D7085" s="908">
        <v>3600.5</v>
      </c>
      <c r="E7085" s="742">
        <v>1.1259447331128958</v>
      </c>
      <c r="F7085" s="946">
        <v>0.06</v>
      </c>
      <c r="G7085" s="78"/>
      <c r="H7085" t="s">
        <v>531</v>
      </c>
    </row>
    <row r="7086" spans="1:8" hidden="1" outlineLevel="1" x14ac:dyDescent="0.25">
      <c r="A7086" s="999">
        <v>3.3333000000000002E-2</v>
      </c>
      <c r="B7086" s="1012" t="s">
        <v>4002</v>
      </c>
      <c r="C7086" s="1155">
        <v>4.8259999999999996</v>
      </c>
      <c r="D7086" s="908">
        <v>12.23</v>
      </c>
      <c r="E7086" s="742">
        <v>1.534189805221716</v>
      </c>
      <c r="F7086" s="946">
        <v>0.06</v>
      </c>
      <c r="G7086" s="78"/>
      <c r="H7086" t="s">
        <v>168</v>
      </c>
    </row>
    <row r="7087" spans="1:8" hidden="1" outlineLevel="1" x14ac:dyDescent="0.25">
      <c r="A7087" s="999">
        <v>3.3333000000000002E-2</v>
      </c>
      <c r="B7087" s="1012" t="s">
        <v>1847</v>
      </c>
      <c r="C7087" s="1155">
        <v>91.72</v>
      </c>
      <c r="D7087" s="908">
        <v>47.57</v>
      </c>
      <c r="E7087" s="742">
        <v>-0.48135630178805056</v>
      </c>
      <c r="F7087" s="946">
        <v>-0.48135630178805056</v>
      </c>
      <c r="G7087" s="78"/>
      <c r="H7087" t="s">
        <v>2749</v>
      </c>
    </row>
    <row r="7088" spans="1:8" hidden="1" outlineLevel="1" x14ac:dyDescent="0.25">
      <c r="A7088" s="999">
        <v>3.3333000000000002E-2</v>
      </c>
      <c r="B7088" s="1012" t="s">
        <v>2699</v>
      </c>
      <c r="C7088" s="1155">
        <v>9.8109999999999999</v>
      </c>
      <c r="D7088" s="908">
        <v>27.21</v>
      </c>
      <c r="E7088" s="742">
        <v>1.7734175924982165</v>
      </c>
      <c r="F7088" s="946">
        <v>0.06</v>
      </c>
      <c r="G7088" s="78"/>
      <c r="H7088" t="s">
        <v>505</v>
      </c>
    </row>
    <row r="7089" spans="1:8" hidden="1" outlineLevel="1" x14ac:dyDescent="0.25">
      <c r="A7089" s="999">
        <v>3.3333000000000002E-2</v>
      </c>
      <c r="B7089" s="743" t="s">
        <v>1176</v>
      </c>
      <c r="C7089" s="1155">
        <v>0.80800000000000005</v>
      </c>
      <c r="D7089" s="908">
        <v>1.599</v>
      </c>
      <c r="E7089" s="742">
        <v>0.97896039603960383</v>
      </c>
      <c r="F7089" s="946">
        <v>0.06</v>
      </c>
      <c r="G7089" s="78"/>
      <c r="H7089" t="s">
        <v>3090</v>
      </c>
    </row>
    <row r="7090" spans="1:8" hidden="1" outlineLevel="1" x14ac:dyDescent="0.25">
      <c r="A7090" s="999">
        <v>3.3333000000000002E-2</v>
      </c>
      <c r="B7090" s="1012" t="s">
        <v>1771</v>
      </c>
      <c r="C7090" s="1155">
        <v>705.85</v>
      </c>
      <c r="D7090" s="908">
        <v>629.20000000000005</v>
      </c>
      <c r="E7090" s="742">
        <v>-0.10859247715520293</v>
      </c>
      <c r="F7090" s="946">
        <v>-0.10859247715520293</v>
      </c>
      <c r="G7090" s="78"/>
      <c r="H7090" t="s">
        <v>4329</v>
      </c>
    </row>
    <row r="7091" spans="1:8" hidden="1" outlineLevel="1" x14ac:dyDescent="0.25">
      <c r="A7091" s="999">
        <v>3.3333000000000002E-2</v>
      </c>
      <c r="B7091" s="1012" t="s">
        <v>2588</v>
      </c>
      <c r="C7091" s="1155">
        <v>7.4850000000000003</v>
      </c>
      <c r="D7091" s="908">
        <v>10.275</v>
      </c>
      <c r="E7091" s="742">
        <v>0.37274549098196386</v>
      </c>
      <c r="F7091" s="946">
        <v>0.06</v>
      </c>
      <c r="G7091" s="78"/>
      <c r="H7091" t="s">
        <v>4132</v>
      </c>
    </row>
    <row r="7092" spans="1:8" hidden="1" outlineLevel="1" x14ac:dyDescent="0.25">
      <c r="A7092" s="999">
        <v>3.3333000000000002E-2</v>
      </c>
      <c r="B7092" s="1012" t="s">
        <v>44</v>
      </c>
      <c r="C7092" s="1155">
        <v>2.3260000000000001</v>
      </c>
      <c r="D7092" s="908">
        <v>2.4580000000000002</v>
      </c>
      <c r="E7092" s="742">
        <v>5.6749785038693101E-2</v>
      </c>
      <c r="F7092" s="946">
        <v>0.06</v>
      </c>
      <c r="G7092" s="78"/>
      <c r="H7092" t="s">
        <v>204</v>
      </c>
    </row>
    <row r="7093" spans="1:8" hidden="1" outlineLevel="1" x14ac:dyDescent="0.25">
      <c r="A7093" s="999">
        <v>3.3333000000000002E-2</v>
      </c>
      <c r="B7093" s="1012" t="s">
        <v>1526</v>
      </c>
      <c r="C7093" s="1155">
        <v>26.181999999999999</v>
      </c>
      <c r="D7093" s="908">
        <v>43.67</v>
      </c>
      <c r="E7093" s="742">
        <v>0.66793980597356972</v>
      </c>
      <c r="F7093" s="946">
        <v>0.06</v>
      </c>
      <c r="G7093" s="78"/>
      <c r="H7093" t="s">
        <v>4146</v>
      </c>
    </row>
    <row r="7094" spans="1:8" hidden="1" outlineLevel="1" x14ac:dyDescent="0.25">
      <c r="A7094" s="999">
        <v>3.3333000000000002E-2</v>
      </c>
      <c r="B7094" s="1012" t="s">
        <v>874</v>
      </c>
      <c r="C7094" s="1155">
        <v>105.18</v>
      </c>
      <c r="D7094" s="908">
        <v>392</v>
      </c>
      <c r="E7094" s="742">
        <v>2.7269442859859288</v>
      </c>
      <c r="F7094" s="946">
        <v>0.06</v>
      </c>
      <c r="G7094" s="78"/>
      <c r="H7094" t="s">
        <v>4148</v>
      </c>
    </row>
    <row r="7095" spans="1:8" hidden="1" outlineLevel="1" x14ac:dyDescent="0.25">
      <c r="A7095" s="999">
        <v>3.3333000000000002E-2</v>
      </c>
      <c r="B7095" s="1012" t="s">
        <v>4143</v>
      </c>
      <c r="C7095" s="1155">
        <v>10.466799999999999</v>
      </c>
      <c r="D7095" s="908">
        <v>2.7109999999999999</v>
      </c>
      <c r="E7095" s="742">
        <v>-0.74099056062980084</v>
      </c>
      <c r="F7095" s="946">
        <v>-0.74099056062980084</v>
      </c>
      <c r="G7095" s="78"/>
      <c r="H7095" t="s">
        <v>4144</v>
      </c>
    </row>
    <row r="7096" spans="1:8" hidden="1" outlineLevel="1" x14ac:dyDescent="0.25">
      <c r="A7096" s="999">
        <v>3.3333000000000002E-2</v>
      </c>
      <c r="B7096" s="1012" t="s">
        <v>2786</v>
      </c>
      <c r="C7096" s="1155">
        <v>722.7</v>
      </c>
      <c r="D7096" s="908">
        <v>890</v>
      </c>
      <c r="E7096" s="742">
        <v>0.23149301231493014</v>
      </c>
      <c r="F7096" s="946">
        <v>0.06</v>
      </c>
      <c r="G7096" s="78"/>
      <c r="H7096" t="s">
        <v>4195</v>
      </c>
    </row>
    <row r="7097" spans="1:8" hidden="1" outlineLevel="1" x14ac:dyDescent="0.25">
      <c r="A7097" s="999">
        <v>3.3333000000000002E-2</v>
      </c>
      <c r="B7097" s="1012" t="s">
        <v>1414</v>
      </c>
      <c r="C7097" s="1155">
        <v>16.21</v>
      </c>
      <c r="D7097" s="908">
        <v>29.63</v>
      </c>
      <c r="E7097" s="742">
        <v>0.82788402220851309</v>
      </c>
      <c r="F7097" s="946">
        <v>0.06</v>
      </c>
      <c r="G7097" s="78"/>
      <c r="H7097" t="s">
        <v>2428</v>
      </c>
    </row>
    <row r="7098" spans="1:8" hidden="1" outlineLevel="1" x14ac:dyDescent="0.25">
      <c r="A7098" s="999">
        <v>3.3333000000000002E-2</v>
      </c>
      <c r="B7098" s="1012" t="s">
        <v>1653</v>
      </c>
      <c r="C7098" s="1155">
        <v>9.3575999999999997</v>
      </c>
      <c r="D7098" s="908">
        <v>16.425000000000001</v>
      </c>
      <c r="E7098" s="742">
        <v>0.75525775839958986</v>
      </c>
      <c r="F7098" s="946">
        <v>0.06</v>
      </c>
      <c r="G7098" s="78"/>
      <c r="H7098" t="s">
        <v>285</v>
      </c>
    </row>
    <row r="7099" spans="1:8" hidden="1" outlineLevel="1" x14ac:dyDescent="0.25">
      <c r="A7099" s="999">
        <v>3.3333000000000002E-2</v>
      </c>
      <c r="B7099" s="1012" t="s">
        <v>2586</v>
      </c>
      <c r="C7099" s="1155">
        <v>16.428000000000001</v>
      </c>
      <c r="D7099" s="908">
        <v>28.844999999999999</v>
      </c>
      <c r="E7099" s="742">
        <v>0.75584368151935699</v>
      </c>
      <c r="F7099" s="946">
        <v>0.06</v>
      </c>
      <c r="G7099" s="78"/>
      <c r="H7099" t="s">
        <v>2720</v>
      </c>
    </row>
    <row r="7100" spans="1:8" hidden="1" outlineLevel="1" x14ac:dyDescent="0.25">
      <c r="A7100" s="999">
        <v>3.3333000000000002E-2</v>
      </c>
      <c r="B7100" s="1012" t="s">
        <v>3801</v>
      </c>
      <c r="C7100" s="1155">
        <v>65.034000000000006</v>
      </c>
      <c r="D7100" s="908">
        <v>29.45</v>
      </c>
      <c r="E7100" s="742">
        <v>-0.54715994710459148</v>
      </c>
      <c r="F7100" s="946">
        <v>-0.54715994710459148</v>
      </c>
      <c r="G7100" s="78"/>
      <c r="H7100" t="s">
        <v>2819</v>
      </c>
    </row>
    <row r="7101" spans="1:8" hidden="1" outlineLevel="1" x14ac:dyDescent="0.25">
      <c r="A7101" s="999">
        <v>3.3333000000000002E-2</v>
      </c>
      <c r="B7101" s="1012" t="s">
        <v>51</v>
      </c>
      <c r="C7101" s="1155">
        <v>27.457000000000001</v>
      </c>
      <c r="D7101" s="908">
        <v>41.795000000000002</v>
      </c>
      <c r="E7101" s="742">
        <v>0.52219834650544494</v>
      </c>
      <c r="F7101" s="946">
        <v>0.06</v>
      </c>
      <c r="G7101" s="78"/>
      <c r="H7101" t="s">
        <v>2748</v>
      </c>
    </row>
    <row r="7102" spans="1:8" hidden="1" outlineLevel="1" x14ac:dyDescent="0.25">
      <c r="A7102" s="999">
        <v>3.3333000000000002E-2</v>
      </c>
      <c r="B7102" s="1012" t="s">
        <v>279</v>
      </c>
      <c r="C7102" s="1155">
        <v>46.545000000000002</v>
      </c>
      <c r="D7102" s="908">
        <v>69.08</v>
      </c>
      <c r="E7102" s="742">
        <v>0.48415511870233097</v>
      </c>
      <c r="F7102" s="946">
        <v>0.06</v>
      </c>
      <c r="G7102" s="78"/>
      <c r="H7102" t="s">
        <v>1468</v>
      </c>
    </row>
    <row r="7103" spans="1:8" hidden="1" outlineLevel="1" x14ac:dyDescent="0.25">
      <c r="A7103" s="999">
        <v>3.3333000000000002E-2</v>
      </c>
      <c r="B7103" s="1012" t="s">
        <v>2166</v>
      </c>
      <c r="C7103" s="1155">
        <v>37.917999999999999</v>
      </c>
      <c r="D7103" s="908">
        <v>42.265000000000001</v>
      </c>
      <c r="E7103" s="742">
        <v>0.1146421224748142</v>
      </c>
      <c r="F7103" s="946">
        <v>0.06</v>
      </c>
      <c r="G7103" s="78"/>
      <c r="H7103" t="s">
        <v>4160</v>
      </c>
    </row>
    <row r="7104" spans="1:8" hidden="1" outlineLevel="1" x14ac:dyDescent="0.25">
      <c r="A7104" s="999">
        <v>3.3333000000000002E-2</v>
      </c>
      <c r="B7104" s="1012" t="s">
        <v>577</v>
      </c>
      <c r="C7104" s="1155">
        <v>14.77</v>
      </c>
      <c r="D7104" s="908">
        <v>12.31</v>
      </c>
      <c r="E7104" s="742">
        <v>-0.16655382532159779</v>
      </c>
      <c r="F7104" s="946">
        <v>-0.16655382532159779</v>
      </c>
      <c r="G7104" s="78"/>
      <c r="H7104" t="s">
        <v>2804</v>
      </c>
    </row>
    <row r="7105" spans="1:8" hidden="1" outlineLevel="1" x14ac:dyDescent="0.25">
      <c r="A7105" s="999">
        <v>3.3333000000000002E-2</v>
      </c>
      <c r="B7105" s="1012" t="s">
        <v>1622</v>
      </c>
      <c r="C7105" s="1155">
        <v>7.1057947450000007</v>
      </c>
      <c r="D7105" s="908">
        <v>3.5960000000000001</v>
      </c>
      <c r="E7105" s="742">
        <v>-0.49393415809958074</v>
      </c>
      <c r="F7105" s="946">
        <v>-0.49393415809958074</v>
      </c>
      <c r="G7105" s="78"/>
      <c r="H7105" t="s">
        <v>1623</v>
      </c>
    </row>
    <row r="7106" spans="1:8" hidden="1" outlineLevel="1" x14ac:dyDescent="0.25">
      <c r="A7106" s="999">
        <v>3.3333000000000002E-2</v>
      </c>
      <c r="B7106" s="1012" t="s">
        <v>1183</v>
      </c>
      <c r="C7106" s="1155">
        <v>40.020000000000003</v>
      </c>
      <c r="D7106" s="908">
        <v>51.48</v>
      </c>
      <c r="E7106" s="742">
        <v>0.28635682158920517</v>
      </c>
      <c r="F7106" s="946">
        <v>0.06</v>
      </c>
      <c r="G7106" s="78"/>
      <c r="H7106" t="s">
        <v>2805</v>
      </c>
    </row>
    <row r="7107" spans="1:8" hidden="1" outlineLevel="1" x14ac:dyDescent="0.25">
      <c r="A7107" s="999">
        <v>3.3333000000000002E-2</v>
      </c>
      <c r="B7107" s="1012" t="s">
        <v>3169</v>
      </c>
      <c r="C7107" s="1155">
        <v>19.876000000000001</v>
      </c>
      <c r="D7107" s="715">
        <v>19.239999999999998</v>
      </c>
      <c r="E7107" s="748">
        <v>-3.1998390018112444E-2</v>
      </c>
      <c r="F7107" s="1023">
        <v>-3.1998390018112444E-2</v>
      </c>
      <c r="G7107" s="78"/>
      <c r="H7107" t="s">
        <v>657</v>
      </c>
    </row>
    <row r="7108" spans="1:8" hidden="1" outlineLevel="1" x14ac:dyDescent="0.25">
      <c r="A7108" s="1204" t="s">
        <v>2465</v>
      </c>
      <c r="B7108" s="1205"/>
      <c r="C7108" s="1206"/>
      <c r="D7108" s="886"/>
      <c r="E7108" s="491">
        <v>0.90775336874600787</v>
      </c>
      <c r="F7108" s="1232">
        <v>-4.3766504035579024E-2</v>
      </c>
      <c r="G7108" s="78"/>
    </row>
    <row r="7109" spans="1:8" hidden="1" outlineLevel="1" x14ac:dyDescent="0.25">
      <c r="A7109" s="1017"/>
      <c r="B7109" s="1018"/>
      <c r="C7109" s="837"/>
      <c r="D7109" s="798"/>
      <c r="E7109" s="709"/>
      <c r="F7109" s="1666"/>
      <c r="G7109" s="78"/>
    </row>
    <row r="7110" spans="1:8" hidden="1" outlineLevel="1" x14ac:dyDescent="0.25">
      <c r="A7110" s="725" t="s">
        <v>113</v>
      </c>
      <c r="B7110" s="725"/>
      <c r="C7110" s="1019"/>
      <c r="D7110" s="1019"/>
      <c r="E7110" s="729" t="s">
        <v>3992</v>
      </c>
      <c r="F7110" s="1188" t="s">
        <v>3063</v>
      </c>
      <c r="G7110" s="78"/>
    </row>
    <row r="7111" spans="1:8" hidden="1" outlineLevel="1" x14ac:dyDescent="0.25">
      <c r="A7111" s="732" t="s">
        <v>4848</v>
      </c>
      <c r="B7111" s="690"/>
      <c r="C7111" s="691"/>
      <c r="D7111" s="691"/>
      <c r="E7111" s="691"/>
      <c r="F7111" s="1021">
        <v>0.06</v>
      </c>
      <c r="G7111" s="78"/>
    </row>
    <row r="7112" spans="1:8" hidden="1" outlineLevel="1" x14ac:dyDescent="0.25">
      <c r="A7112" s="732" t="s">
        <v>4849</v>
      </c>
      <c r="B7112" s="706"/>
      <c r="C7112" s="1022"/>
      <c r="D7112" s="1022"/>
      <c r="E7112" s="1202">
        <v>7.4999999999999997E-3</v>
      </c>
      <c r="F7112" s="946">
        <v>0.02</v>
      </c>
      <c r="G7112" s="78"/>
    </row>
    <row r="7113" spans="1:8" hidden="1" outlineLevel="1" x14ac:dyDescent="0.25">
      <c r="A7113" s="732" t="s">
        <v>4850</v>
      </c>
      <c r="B7113" s="706"/>
      <c r="C7113" s="1022"/>
      <c r="D7113" s="1022"/>
      <c r="E7113" s="1202">
        <v>0.87060800000000005</v>
      </c>
      <c r="F7113" s="946">
        <v>0.02</v>
      </c>
      <c r="G7113" s="78"/>
    </row>
    <row r="7114" spans="1:8" hidden="1" outlineLevel="1" x14ac:dyDescent="0.25">
      <c r="A7114" s="732" t="s">
        <v>4851</v>
      </c>
      <c r="B7114" s="695"/>
      <c r="C7114" s="1022"/>
      <c r="D7114" s="1022"/>
      <c r="E7114" s="1202">
        <v>0.89615700000000009</v>
      </c>
      <c r="F7114" s="946">
        <v>0.02</v>
      </c>
      <c r="G7114" s="78"/>
    </row>
    <row r="7115" spans="1:8" hidden="1" outlineLevel="1" x14ac:dyDescent="0.25">
      <c r="A7115" s="732" t="s">
        <v>4852</v>
      </c>
      <c r="B7115" s="695"/>
      <c r="C7115" s="1022"/>
      <c r="D7115" s="1022"/>
      <c r="E7115" s="1202">
        <v>0.96723499999999996</v>
      </c>
      <c r="F7115" s="946">
        <v>0.02</v>
      </c>
      <c r="G7115" s="78"/>
    </row>
    <row r="7116" spans="1:8" collapsed="1" x14ac:dyDescent="0.25">
      <c r="A7116" s="3803" t="s">
        <v>2299</v>
      </c>
      <c r="B7116" s="3804"/>
      <c r="C7116" s="3804"/>
      <c r="D7116" s="1019"/>
      <c r="E7116" s="1019"/>
      <c r="F7116" s="934">
        <v>0.14000000000000001</v>
      </c>
      <c r="G7116" s="97" t="s">
        <v>781</v>
      </c>
    </row>
    <row r="7118" spans="1:8" hidden="1" outlineLevel="1" x14ac:dyDescent="0.25">
      <c r="A7118" s="689" t="s">
        <v>113</v>
      </c>
      <c r="B7118" s="689" t="s">
        <v>114</v>
      </c>
      <c r="C7118" s="689" t="s">
        <v>112</v>
      </c>
      <c r="D7118" s="689" t="s">
        <v>116</v>
      </c>
      <c r="E7118" s="689" t="s">
        <v>117</v>
      </c>
      <c r="F7118" s="1188" t="s">
        <v>121</v>
      </c>
      <c r="G7118" s="78"/>
    </row>
    <row r="7119" spans="1:8" hidden="1" outlineLevel="1" x14ac:dyDescent="0.25">
      <c r="A7119" s="690">
        <v>16</v>
      </c>
      <c r="B7119" s="691" t="s">
        <v>252</v>
      </c>
      <c r="C7119" s="692">
        <v>100</v>
      </c>
      <c r="D7119" s="692"/>
      <c r="E7119" s="693"/>
      <c r="F7119" s="694"/>
      <c r="G7119" s="78"/>
    </row>
    <row r="7120" spans="1:8" hidden="1" outlineLevel="1" x14ac:dyDescent="0.25">
      <c r="A7120" s="695"/>
      <c r="B7120" s="695"/>
      <c r="C7120" s="696"/>
      <c r="D7120" s="697" t="s">
        <v>3702</v>
      </c>
      <c r="E7120" s="698">
        <v>41152</v>
      </c>
      <c r="F7120" s="699"/>
      <c r="G7120" s="78"/>
    </row>
    <row r="7121" spans="1:8" hidden="1" outlineLevel="1" x14ac:dyDescent="0.25">
      <c r="A7121" s="689" t="s">
        <v>4156</v>
      </c>
      <c r="B7121" s="689" t="s">
        <v>4153</v>
      </c>
      <c r="C7121" s="497" t="s">
        <v>112</v>
      </c>
      <c r="D7121" s="495" t="s">
        <v>4155</v>
      </c>
      <c r="E7121" s="689" t="s">
        <v>4154</v>
      </c>
      <c r="F7121" s="1021" t="s">
        <v>2519</v>
      </c>
      <c r="G7121" s="78"/>
    </row>
    <row r="7122" spans="1:8" hidden="1" outlineLevel="1" x14ac:dyDescent="0.25">
      <c r="A7122" s="999">
        <v>0.02</v>
      </c>
      <c r="B7122" s="1000" t="s">
        <v>280</v>
      </c>
      <c r="C7122" s="1001">
        <v>40.580500000000001</v>
      </c>
      <c r="D7122" s="803">
        <v>45.82</v>
      </c>
      <c r="E7122" s="705">
        <v>0.1291137368933355</v>
      </c>
      <c r="F7122" s="1021">
        <v>2.5822747378667099E-3</v>
      </c>
      <c r="G7122" s="78"/>
      <c r="H7122" t="s">
        <v>1469</v>
      </c>
    </row>
    <row r="7123" spans="1:8" hidden="1" outlineLevel="1" x14ac:dyDescent="0.25">
      <c r="A7123" s="1002">
        <v>0.03</v>
      </c>
      <c r="B7123" s="987" t="s">
        <v>2984</v>
      </c>
      <c r="C7123" s="1003">
        <v>11.15</v>
      </c>
      <c r="D7123" s="908">
        <v>6.0730000000000004</v>
      </c>
      <c r="E7123" s="709">
        <v>-0.45533632286995518</v>
      </c>
      <c r="F7123" s="946">
        <v>-1.3660089686098656E-2</v>
      </c>
      <c r="G7123" s="78"/>
      <c r="H7123" t="s">
        <v>2326</v>
      </c>
    </row>
    <row r="7124" spans="1:8" hidden="1" outlineLevel="1" x14ac:dyDescent="0.25">
      <c r="A7124" s="1002">
        <v>0.04</v>
      </c>
      <c r="B7124" s="996" t="s">
        <v>1994</v>
      </c>
      <c r="C7124" s="1003">
        <v>31.256</v>
      </c>
      <c r="D7124" s="908">
        <v>7.99</v>
      </c>
      <c r="E7124" s="709">
        <v>-0.74436908113642186</v>
      </c>
      <c r="F7124" s="946">
        <v>-2.9774763245456876E-2</v>
      </c>
      <c r="G7124" s="78"/>
      <c r="H7124" t="s">
        <v>3493</v>
      </c>
    </row>
    <row r="7125" spans="1:8" hidden="1" outlineLevel="1" x14ac:dyDescent="0.25">
      <c r="A7125" s="1002">
        <v>0.03</v>
      </c>
      <c r="B7125" s="996" t="s">
        <v>3020</v>
      </c>
      <c r="C7125" s="1003">
        <v>54.192999999999998</v>
      </c>
      <c r="D7125" s="908">
        <v>61.51</v>
      </c>
      <c r="E7125" s="709">
        <v>0.13501743767645258</v>
      </c>
      <c r="F7125" s="946">
        <v>4.0505231302935775E-3</v>
      </c>
      <c r="G7125" s="78"/>
      <c r="H7125" t="s">
        <v>490</v>
      </c>
    </row>
    <row r="7126" spans="1:8" hidden="1" outlineLevel="1" x14ac:dyDescent="0.25">
      <c r="A7126" s="1002">
        <v>0.03</v>
      </c>
      <c r="B7126" s="996" t="s">
        <v>901</v>
      </c>
      <c r="C7126" s="1003">
        <v>1838.1</v>
      </c>
      <c r="D7126" s="908">
        <v>3301.5</v>
      </c>
      <c r="E7126" s="709">
        <v>0.79614819650726298</v>
      </c>
      <c r="F7126" s="946">
        <v>2.388444589521789E-2</v>
      </c>
      <c r="G7126" s="78"/>
      <c r="H7126" t="s">
        <v>531</v>
      </c>
    </row>
    <row r="7127" spans="1:8" hidden="1" outlineLevel="1" x14ac:dyDescent="0.25">
      <c r="A7127" s="1002">
        <v>0.04</v>
      </c>
      <c r="B7127" s="996" t="s">
        <v>1847</v>
      </c>
      <c r="C7127" s="1003">
        <v>175.37</v>
      </c>
      <c r="D7127" s="908">
        <v>29.71</v>
      </c>
      <c r="E7127" s="709">
        <v>-0.83058675942293436</v>
      </c>
      <c r="F7127" s="946">
        <v>-3.3223470376917377E-2</v>
      </c>
      <c r="G7127" s="78"/>
      <c r="H7127" t="s">
        <v>2749</v>
      </c>
    </row>
    <row r="7128" spans="1:8" hidden="1" outlineLevel="1" x14ac:dyDescent="0.25">
      <c r="A7128" s="1002">
        <v>0.04</v>
      </c>
      <c r="B7128" s="996" t="s">
        <v>3792</v>
      </c>
      <c r="C7128" s="1003">
        <v>32.200800000000001</v>
      </c>
      <c r="D7128" s="908">
        <v>30.71</v>
      </c>
      <c r="E7128" s="709">
        <v>-4.6296986410275576E-2</v>
      </c>
      <c r="F7128" s="946">
        <v>-1.851879456411023E-3</v>
      </c>
      <c r="G7128" s="78"/>
      <c r="H7128" t="s">
        <v>783</v>
      </c>
    </row>
    <row r="7129" spans="1:8" hidden="1" outlineLevel="1" x14ac:dyDescent="0.25">
      <c r="A7129" s="1002">
        <v>0.04</v>
      </c>
      <c r="B7129" s="743" t="s">
        <v>4025</v>
      </c>
      <c r="C7129" s="1003">
        <v>39.458500000000001</v>
      </c>
      <c r="D7129" s="908">
        <v>39</v>
      </c>
      <c r="E7129" s="709">
        <v>-1.1619803084253144E-2</v>
      </c>
      <c r="F7129" s="946">
        <v>-4.6479212337012575E-4</v>
      </c>
      <c r="G7129" s="78"/>
      <c r="H7129" t="s">
        <v>3977</v>
      </c>
    </row>
    <row r="7130" spans="1:8" hidden="1" outlineLevel="1" x14ac:dyDescent="0.25">
      <c r="A7130" s="1002">
        <v>0.05</v>
      </c>
      <c r="B7130" s="939" t="s">
        <v>2629</v>
      </c>
      <c r="C7130" s="1003">
        <v>11.071999999999999</v>
      </c>
      <c r="D7130" s="908">
        <v>9.4849999999999994</v>
      </c>
      <c r="E7130" s="709">
        <v>-0.14333453757225434</v>
      </c>
      <c r="F7130" s="946">
        <v>-7.1667268786127173E-3</v>
      </c>
      <c r="G7130" s="78"/>
      <c r="H7130" t="s">
        <v>1652</v>
      </c>
    </row>
    <row r="7131" spans="1:8" hidden="1" outlineLevel="1" x14ac:dyDescent="0.25">
      <c r="A7131" s="1002">
        <v>0.03</v>
      </c>
      <c r="B7131" s="996" t="s">
        <v>4110</v>
      </c>
      <c r="C7131" s="1003">
        <v>41.975000000000001</v>
      </c>
      <c r="D7131" s="908">
        <v>52.48</v>
      </c>
      <c r="E7131" s="709">
        <v>0.25026801667659315</v>
      </c>
      <c r="F7131" s="946">
        <v>7.5080405002977942E-3</v>
      </c>
      <c r="G7131" s="78"/>
      <c r="H7131" t="s">
        <v>2622</v>
      </c>
    </row>
    <row r="7132" spans="1:8" hidden="1" outlineLevel="1" x14ac:dyDescent="0.25">
      <c r="A7132" s="1002">
        <v>0.02</v>
      </c>
      <c r="B7132" s="996" t="s">
        <v>4064</v>
      </c>
      <c r="C7132" s="1003">
        <v>45.923999999999999</v>
      </c>
      <c r="D7132" s="908">
        <v>44.91</v>
      </c>
      <c r="E7132" s="709">
        <v>-2.2079958191795201E-2</v>
      </c>
      <c r="F7132" s="946">
        <v>-4.4159916383590403E-4</v>
      </c>
      <c r="G7132" s="78"/>
      <c r="H7132" t="s">
        <v>170</v>
      </c>
    </row>
    <row r="7133" spans="1:8" hidden="1" outlineLevel="1" x14ac:dyDescent="0.25">
      <c r="A7133" s="1002">
        <v>0.05</v>
      </c>
      <c r="B7133" s="996" t="s">
        <v>3798</v>
      </c>
      <c r="C7133" s="1003">
        <v>5.8414999999999999</v>
      </c>
      <c r="D7133" s="908">
        <v>2.62</v>
      </c>
      <c r="E7133" s="709">
        <v>-0.55148506376786788</v>
      </c>
      <c r="F7133" s="946">
        <v>-2.7574253188393395E-2</v>
      </c>
      <c r="G7133" s="78"/>
      <c r="H7133" t="s">
        <v>4122</v>
      </c>
    </row>
    <row r="7134" spans="1:8" hidden="1" outlineLevel="1" x14ac:dyDescent="0.25">
      <c r="A7134" s="1002">
        <v>0.04</v>
      </c>
      <c r="B7134" s="996" t="s">
        <v>2630</v>
      </c>
      <c r="C7134" s="1003">
        <v>19.551500000000001</v>
      </c>
      <c r="D7134" s="908">
        <v>10.994999999999999</v>
      </c>
      <c r="E7134" s="709">
        <v>-0.43763905582691875</v>
      </c>
      <c r="F7134" s="946">
        <v>-1.7505562233076751E-2</v>
      </c>
      <c r="G7134" s="78"/>
      <c r="H7134" t="e">
        <v>#N/A</v>
      </c>
    </row>
    <row r="7135" spans="1:8" hidden="1" outlineLevel="1" x14ac:dyDescent="0.25">
      <c r="A7135" s="1002">
        <v>0.03</v>
      </c>
      <c r="B7135" s="743" t="s">
        <v>1031</v>
      </c>
      <c r="C7135" s="1003">
        <v>7.31</v>
      </c>
      <c r="D7135" s="908">
        <v>3.1539999999999999</v>
      </c>
      <c r="E7135" s="709">
        <v>-0.56853625170998634</v>
      </c>
      <c r="F7135" s="946">
        <v>-1.705608755129959E-2</v>
      </c>
      <c r="G7135" s="78"/>
      <c r="H7135" t="s">
        <v>4158</v>
      </c>
    </row>
    <row r="7136" spans="1:8" hidden="1" outlineLevel="1" x14ac:dyDescent="0.25">
      <c r="A7136" s="1002">
        <v>0.05</v>
      </c>
      <c r="B7136" s="996" t="s">
        <v>2588</v>
      </c>
      <c r="C7136" s="1003">
        <v>20.045999999999999</v>
      </c>
      <c r="D7136" s="908">
        <v>6.0819999999999999</v>
      </c>
      <c r="E7136" s="709">
        <v>-0.69659782500249423</v>
      </c>
      <c r="F7136" s="946">
        <v>-3.4829891250124714E-2</v>
      </c>
      <c r="G7136" s="78"/>
      <c r="H7136" t="s">
        <v>4132</v>
      </c>
    </row>
    <row r="7137" spans="1:8" hidden="1" outlineLevel="1" x14ac:dyDescent="0.25">
      <c r="A7137" s="1002">
        <v>0.03</v>
      </c>
      <c r="B7137" s="743" t="s">
        <v>44</v>
      </c>
      <c r="C7137" s="1003">
        <v>3.7593000000000001</v>
      </c>
      <c r="D7137" s="908">
        <v>1.25</v>
      </c>
      <c r="E7137" s="709">
        <v>-0.66749128827175275</v>
      </c>
      <c r="F7137" s="946">
        <v>-2.002473864815258E-2</v>
      </c>
      <c r="G7137" s="78"/>
      <c r="H7137" t="s">
        <v>204</v>
      </c>
    </row>
    <row r="7138" spans="1:8" hidden="1" outlineLevel="1" x14ac:dyDescent="0.25">
      <c r="A7138" s="1002">
        <v>0.03</v>
      </c>
      <c r="B7138" s="996" t="s">
        <v>1526</v>
      </c>
      <c r="C7138" s="1003">
        <v>62.396500000000003</v>
      </c>
      <c r="D7138" s="908">
        <v>17.285</v>
      </c>
      <c r="E7138" s="709">
        <v>-0.72298125696152837</v>
      </c>
      <c r="F7138" s="946">
        <v>-2.1689437708845849E-2</v>
      </c>
      <c r="G7138" s="78"/>
      <c r="H7138" t="s">
        <v>4146</v>
      </c>
    </row>
    <row r="7139" spans="1:8" hidden="1" outlineLevel="1" x14ac:dyDescent="0.25">
      <c r="A7139" s="1002">
        <v>0.02</v>
      </c>
      <c r="B7139" s="740" t="s">
        <v>281</v>
      </c>
      <c r="C7139" s="1003">
        <v>12.882</v>
      </c>
      <c r="D7139" s="908">
        <v>8.43</v>
      </c>
      <c r="E7139" s="709">
        <v>-0.34559850954820681</v>
      </c>
      <c r="F7139" s="946">
        <v>-6.9119701909641368E-3</v>
      </c>
      <c r="G7139" s="78"/>
      <c r="H7139" t="s">
        <v>4159</v>
      </c>
    </row>
    <row r="7140" spans="1:8" hidden="1" outlineLevel="1" x14ac:dyDescent="0.25">
      <c r="A7140" s="1002">
        <v>0.04</v>
      </c>
      <c r="B7140" s="740" t="s">
        <v>3801</v>
      </c>
      <c r="C7140" s="1003">
        <v>65.614999999999995</v>
      </c>
      <c r="D7140" s="908">
        <v>33.344999999999999</v>
      </c>
      <c r="E7140" s="709">
        <v>-0.49180827554675</v>
      </c>
      <c r="F7140" s="946">
        <v>-1.967233102187E-2</v>
      </c>
      <c r="G7140" s="78"/>
      <c r="H7140" t="s">
        <v>2819</v>
      </c>
    </row>
    <row r="7141" spans="1:8" hidden="1" outlineLevel="1" x14ac:dyDescent="0.25">
      <c r="A7141" s="1002">
        <v>0.03</v>
      </c>
      <c r="B7141" s="740" t="s">
        <v>51</v>
      </c>
      <c r="C7141" s="1003">
        <v>39.04</v>
      </c>
      <c r="D7141" s="908">
        <v>27.274999999999999</v>
      </c>
      <c r="E7141" s="709">
        <v>-0.30135758196721318</v>
      </c>
      <c r="F7141" s="946">
        <v>-9.0407274590163945E-3</v>
      </c>
      <c r="G7141" s="78"/>
      <c r="H7141" t="s">
        <v>2748</v>
      </c>
    </row>
    <row r="7142" spans="1:8" hidden="1" outlineLevel="1" x14ac:dyDescent="0.25">
      <c r="A7142" s="1002">
        <v>0.02</v>
      </c>
      <c r="B7142" s="939" t="s">
        <v>1709</v>
      </c>
      <c r="C7142" s="1003">
        <v>75.275000000000006</v>
      </c>
      <c r="D7142" s="908">
        <v>88.6</v>
      </c>
      <c r="E7142" s="709">
        <v>0.17701760212553963</v>
      </c>
      <c r="F7142" s="946">
        <v>3.5403520425107927E-3</v>
      </c>
      <c r="G7142" s="78"/>
      <c r="H7142" t="s">
        <v>2327</v>
      </c>
    </row>
    <row r="7143" spans="1:8" hidden="1" outlineLevel="1" x14ac:dyDescent="0.25">
      <c r="A7143" s="1002">
        <v>0.03</v>
      </c>
      <c r="B7143" s="996" t="s">
        <v>279</v>
      </c>
      <c r="C7143" s="1003">
        <v>63.988500000000002</v>
      </c>
      <c r="D7143" s="908">
        <v>50.21</v>
      </c>
      <c r="E7143" s="709">
        <v>-0.21532775420583383</v>
      </c>
      <c r="F7143" s="946">
        <v>-6.459832626175015E-3</v>
      </c>
      <c r="G7143" s="78"/>
      <c r="H7143" t="s">
        <v>1468</v>
      </c>
    </row>
    <row r="7144" spans="1:8" hidden="1" outlineLevel="1" x14ac:dyDescent="0.25">
      <c r="A7144" s="1002">
        <v>0.02</v>
      </c>
      <c r="B7144" s="996" t="s">
        <v>3656</v>
      </c>
      <c r="C7144" s="1003">
        <v>92.275000000000006</v>
      </c>
      <c r="D7144" s="908">
        <v>137.80000000000001</v>
      </c>
      <c r="E7144" s="709">
        <v>0.49336223245732858</v>
      </c>
      <c r="F7144" s="946">
        <v>9.8672446491465723E-3</v>
      </c>
      <c r="G7144" s="78"/>
      <c r="H7144" t="s">
        <v>1467</v>
      </c>
    </row>
    <row r="7145" spans="1:8" hidden="1" outlineLevel="1" x14ac:dyDescent="0.25">
      <c r="A7145" s="1002">
        <v>0.02</v>
      </c>
      <c r="B7145" s="996" t="s">
        <v>2166</v>
      </c>
      <c r="C7145" s="1003">
        <v>61.736499999999999</v>
      </c>
      <c r="D7145" s="908">
        <v>21.05</v>
      </c>
      <c r="E7145" s="709">
        <v>-0.65903476873486511</v>
      </c>
      <c r="F7145" s="946">
        <v>-1.3180695374697302E-2</v>
      </c>
      <c r="G7145" s="78"/>
      <c r="H7145" t="s">
        <v>4160</v>
      </c>
    </row>
    <row r="7146" spans="1:8" hidden="1" outlineLevel="1" x14ac:dyDescent="0.25">
      <c r="A7146" s="1002">
        <v>0.04</v>
      </c>
      <c r="B7146" s="743" t="s">
        <v>3427</v>
      </c>
      <c r="C7146" s="1003">
        <v>38.154000000000003</v>
      </c>
      <c r="D7146" s="908">
        <v>45.33</v>
      </c>
      <c r="E7146" s="709">
        <v>0.18807988677465004</v>
      </c>
      <c r="F7146" s="946">
        <v>7.5231954709860018E-3</v>
      </c>
      <c r="G7146" s="78"/>
      <c r="H7146" t="s">
        <v>2800</v>
      </c>
    </row>
    <row r="7147" spans="1:8" hidden="1" outlineLevel="1" x14ac:dyDescent="0.25">
      <c r="A7147" s="1002">
        <v>0.02</v>
      </c>
      <c r="B7147" s="743" t="s">
        <v>181</v>
      </c>
      <c r="C7147" s="1003">
        <v>63.375</v>
      </c>
      <c r="D7147" s="908">
        <v>49.04</v>
      </c>
      <c r="E7147" s="709">
        <v>-0.22619329388560161</v>
      </c>
      <c r="F7147" s="946">
        <v>-4.5238658777120326E-3</v>
      </c>
      <c r="G7147" s="78"/>
      <c r="H7147" t="e">
        <v>#N/A</v>
      </c>
    </row>
    <row r="7148" spans="1:8" hidden="1" outlineLevel="1" x14ac:dyDescent="0.25">
      <c r="A7148" s="1002">
        <v>0.03</v>
      </c>
      <c r="B7148" s="743" t="s">
        <v>3022</v>
      </c>
      <c r="C7148" s="1003">
        <v>5390</v>
      </c>
      <c r="D7148" s="908">
        <v>3670</v>
      </c>
      <c r="E7148" s="709">
        <v>-0.31910946196660483</v>
      </c>
      <c r="F7148" s="946">
        <v>-9.5732838589981453E-3</v>
      </c>
      <c r="G7148" s="78"/>
      <c r="H7148" t="s">
        <v>2802</v>
      </c>
    </row>
    <row r="7149" spans="1:8" hidden="1" outlineLevel="1" x14ac:dyDescent="0.25">
      <c r="A7149" s="1002">
        <v>0.04</v>
      </c>
      <c r="B7149" s="743" t="s">
        <v>1527</v>
      </c>
      <c r="C7149" s="1003">
        <v>1.0761000000000001</v>
      </c>
      <c r="D7149" s="908">
        <v>0.74</v>
      </c>
      <c r="E7149" s="709">
        <v>-0.31233156769816939</v>
      </c>
      <c r="F7149" s="946">
        <v>-1.2493262707926776E-2</v>
      </c>
      <c r="G7149" s="78"/>
      <c r="H7149" t="s">
        <v>2803</v>
      </c>
    </row>
    <row r="7150" spans="1:8" hidden="1" outlineLevel="1" x14ac:dyDescent="0.25">
      <c r="A7150" s="1002">
        <v>0.05</v>
      </c>
      <c r="B7150" s="743" t="s">
        <v>576</v>
      </c>
      <c r="C7150" s="1003">
        <v>12.183</v>
      </c>
      <c r="D7150" s="908">
        <v>6.2220000000000004</v>
      </c>
      <c r="E7150" s="709">
        <v>-0.48928835262250669</v>
      </c>
      <c r="F7150" s="946">
        <v>-2.4464417631125335E-2</v>
      </c>
      <c r="G7150" s="78"/>
      <c r="H7150" t="s">
        <v>2080</v>
      </c>
    </row>
    <row r="7151" spans="1:8" hidden="1" outlineLevel="1" x14ac:dyDescent="0.25">
      <c r="A7151" s="1002">
        <v>0.04</v>
      </c>
      <c r="B7151" s="997" t="s">
        <v>2983</v>
      </c>
      <c r="C7151" s="1003">
        <v>680.65</v>
      </c>
      <c r="D7151" s="715">
        <v>709</v>
      </c>
      <c r="E7151" s="709">
        <v>4.1651362668037928E-2</v>
      </c>
      <c r="F7151" s="946">
        <v>1.6660545067215171E-3</v>
      </c>
      <c r="G7151" s="78"/>
      <c r="H7151" t="s">
        <v>1713</v>
      </c>
    </row>
    <row r="7152" spans="1:8" hidden="1" outlineLevel="1" x14ac:dyDescent="0.25">
      <c r="A7152" s="1099"/>
      <c r="B7152" s="1000"/>
      <c r="C7152" s="736"/>
      <c r="D7152" s="741"/>
      <c r="E7152" s="895"/>
      <c r="F7152" s="1021">
        <v>-0.27096154732603983</v>
      </c>
      <c r="G7152" s="78"/>
    </row>
    <row r="7153" spans="1:8" hidden="1" outlineLevel="1" x14ac:dyDescent="0.25">
      <c r="A7153" s="732" t="s">
        <v>1620</v>
      </c>
      <c r="B7153" s="1100">
        <v>39753</v>
      </c>
      <c r="C7153" s="719">
        <v>100</v>
      </c>
      <c r="D7153" s="1207">
        <v>75.319500000000005</v>
      </c>
      <c r="E7153" s="720">
        <v>-0.24680499999999994</v>
      </c>
      <c r="F7153" s="731">
        <v>-0.24680499999999994</v>
      </c>
      <c r="G7153" s="78"/>
    </row>
    <row r="7154" spans="1:8" hidden="1" outlineLevel="1" x14ac:dyDescent="0.25">
      <c r="A7154" s="732" t="s">
        <v>2889</v>
      </c>
      <c r="B7154" s="985">
        <v>39845</v>
      </c>
      <c r="C7154" s="727">
        <v>100</v>
      </c>
      <c r="D7154" s="814">
        <v>57.931699999999999</v>
      </c>
      <c r="E7154" s="720">
        <v>-0.42068300000000003</v>
      </c>
      <c r="F7154" s="731">
        <v>-0.42068300000000003</v>
      </c>
      <c r="G7154" s="78"/>
    </row>
    <row r="7155" spans="1:8" hidden="1" outlineLevel="1" x14ac:dyDescent="0.25">
      <c r="A7155" s="732" t="s">
        <v>2890</v>
      </c>
      <c r="B7155" s="1100">
        <v>39934</v>
      </c>
      <c r="C7155" s="727">
        <v>100</v>
      </c>
      <c r="D7155" s="814">
        <v>67.412000000000006</v>
      </c>
      <c r="E7155" s="720">
        <v>-0.32587999999999995</v>
      </c>
      <c r="F7155" s="731">
        <v>-0.32587999999999995</v>
      </c>
      <c r="G7155" s="78"/>
    </row>
    <row r="7156" spans="1:8" hidden="1" outlineLevel="1" x14ac:dyDescent="0.25">
      <c r="A7156" s="732" t="s">
        <v>2891</v>
      </c>
      <c r="B7156" s="985">
        <v>40026</v>
      </c>
      <c r="C7156" s="727">
        <v>100</v>
      </c>
      <c r="D7156" s="814">
        <v>78.234499999999997</v>
      </c>
      <c r="E7156" s="720">
        <v>-0.21765500000000004</v>
      </c>
      <c r="F7156" s="731">
        <v>-0.21765500000000004</v>
      </c>
      <c r="G7156" s="78"/>
    </row>
    <row r="7157" spans="1:8" hidden="1" outlineLevel="1" x14ac:dyDescent="0.25">
      <c r="A7157" s="732" t="s">
        <v>2892</v>
      </c>
      <c r="B7157" s="1100">
        <v>40118</v>
      </c>
      <c r="C7157" s="727">
        <v>100</v>
      </c>
      <c r="D7157" s="814">
        <v>78.653099999999995</v>
      </c>
      <c r="E7157" s="720">
        <v>-0.21346900000000002</v>
      </c>
      <c r="F7157" s="731">
        <v>-0.21346900000000002</v>
      </c>
      <c r="G7157" s="78"/>
    </row>
    <row r="7158" spans="1:8" hidden="1" outlineLevel="1" x14ac:dyDescent="0.25">
      <c r="A7158" s="732" t="s">
        <v>2443</v>
      </c>
      <c r="B7158" s="985">
        <v>40210</v>
      </c>
      <c r="C7158" s="727">
        <v>100</v>
      </c>
      <c r="D7158" s="814">
        <v>79.740799999999993</v>
      </c>
      <c r="E7158" s="720">
        <v>-0.20259200000000011</v>
      </c>
      <c r="F7158" s="731">
        <v>-0.20259200000000011</v>
      </c>
      <c r="G7158" s="78"/>
    </row>
    <row r="7159" spans="1:8" hidden="1" outlineLevel="1" x14ac:dyDescent="0.25">
      <c r="A7159" s="732" t="s">
        <v>882</v>
      </c>
      <c r="B7159" s="1100">
        <v>40299</v>
      </c>
      <c r="C7159" s="727">
        <v>100</v>
      </c>
      <c r="D7159" s="814">
        <v>78.714299999999994</v>
      </c>
      <c r="E7159" s="720">
        <v>-0.21285700000000007</v>
      </c>
      <c r="F7159" s="731">
        <v>-0.21285700000000007</v>
      </c>
      <c r="G7159" s="78"/>
    </row>
    <row r="7160" spans="1:8" hidden="1" outlineLevel="1" x14ac:dyDescent="0.25">
      <c r="A7160" s="732" t="s">
        <v>883</v>
      </c>
      <c r="B7160" s="985">
        <v>40391</v>
      </c>
      <c r="C7160" s="727">
        <v>100</v>
      </c>
      <c r="D7160" s="814">
        <v>80.112700000000004</v>
      </c>
      <c r="E7160" s="720">
        <v>-0.19887299999999997</v>
      </c>
      <c r="F7160" s="731">
        <v>-0.19887299999999997</v>
      </c>
      <c r="G7160" s="78"/>
    </row>
    <row r="7161" spans="1:8" hidden="1" outlineLevel="1" x14ac:dyDescent="0.25">
      <c r="A7161" s="732" t="s">
        <v>884</v>
      </c>
      <c r="B7161" s="1100">
        <v>40483</v>
      </c>
      <c r="C7161" s="727">
        <v>100</v>
      </c>
      <c r="D7161" s="814">
        <v>83.040199999999999</v>
      </c>
      <c r="E7161" s="720">
        <v>-0.16959800000000003</v>
      </c>
      <c r="F7161" s="731">
        <v>-0.16959800000000003</v>
      </c>
      <c r="G7161" s="78"/>
    </row>
    <row r="7162" spans="1:8" hidden="1" outlineLevel="1" x14ac:dyDescent="0.25">
      <c r="A7162" s="732" t="s">
        <v>885</v>
      </c>
      <c r="B7162" s="985">
        <v>40575</v>
      </c>
      <c r="C7162" s="727">
        <v>100</v>
      </c>
      <c r="D7162" s="814">
        <v>91.8583</v>
      </c>
      <c r="E7162" s="720">
        <v>-8.1416999999999962E-2</v>
      </c>
      <c r="F7162" s="731">
        <v>-8.1416999999999962E-2</v>
      </c>
      <c r="G7162" s="78"/>
    </row>
    <row r="7163" spans="1:8" hidden="1" outlineLevel="1" x14ac:dyDescent="0.25">
      <c r="A7163" s="732" t="s">
        <v>886</v>
      </c>
      <c r="B7163" s="1100">
        <v>40664</v>
      </c>
      <c r="C7163" s="727">
        <v>100</v>
      </c>
      <c r="D7163" s="814">
        <v>89.078299999999999</v>
      </c>
      <c r="E7163" s="720">
        <v>-0.10921700000000001</v>
      </c>
      <c r="F7163" s="731">
        <v>-0.10921700000000001</v>
      </c>
      <c r="G7163" s="78"/>
    </row>
    <row r="7164" spans="1:8" hidden="1" outlineLevel="1" x14ac:dyDescent="0.25">
      <c r="A7164" s="732" t="s">
        <v>887</v>
      </c>
      <c r="B7164" s="985">
        <v>40756</v>
      </c>
      <c r="C7164" s="727">
        <v>100</v>
      </c>
      <c r="D7164" s="814">
        <v>72.082300000000004</v>
      </c>
      <c r="E7164" s="720">
        <v>-0.27917700000000001</v>
      </c>
      <c r="F7164" s="731">
        <v>-0.27917700000000001</v>
      </c>
      <c r="G7164" s="78"/>
    </row>
    <row r="7165" spans="1:8" hidden="1" outlineLevel="1" x14ac:dyDescent="0.25">
      <c r="A7165" s="732" t="s">
        <v>888</v>
      </c>
      <c r="B7165" s="1100">
        <v>40848</v>
      </c>
      <c r="C7165" s="727">
        <v>100</v>
      </c>
      <c r="D7165" s="814">
        <v>71.074799999999996</v>
      </c>
      <c r="E7165" s="720">
        <v>-0.28925200000000006</v>
      </c>
      <c r="F7165" s="731">
        <v>-0.28925200000000006</v>
      </c>
      <c r="G7165" s="78"/>
    </row>
    <row r="7166" spans="1:8" hidden="1" outlineLevel="1" x14ac:dyDescent="0.25">
      <c r="A7166" s="732" t="s">
        <v>4434</v>
      </c>
      <c r="B7166" s="985">
        <v>40940</v>
      </c>
      <c r="C7166" s="727">
        <v>100</v>
      </c>
      <c r="D7166" s="814">
        <v>77.7911</v>
      </c>
      <c r="E7166" s="720">
        <v>-0.22208899999999998</v>
      </c>
      <c r="F7166" s="731">
        <v>-0.22208899999999998</v>
      </c>
      <c r="G7166" s="78"/>
    </row>
    <row r="7167" spans="1:8" hidden="1" outlineLevel="1" x14ac:dyDescent="0.25">
      <c r="A7167" s="732" t="s">
        <v>2006</v>
      </c>
      <c r="B7167" s="1100">
        <v>41030</v>
      </c>
      <c r="C7167" s="727">
        <v>100</v>
      </c>
      <c r="D7167" s="814">
        <v>69.047399999999996</v>
      </c>
      <c r="E7167" s="720">
        <v>-0.30952600000000008</v>
      </c>
      <c r="F7167" s="731">
        <v>-0.30952600000000008</v>
      </c>
      <c r="G7167" s="78"/>
      <c r="H7167" s="412" t="s">
        <v>1837</v>
      </c>
    </row>
    <row r="7168" spans="1:8" hidden="1" outlineLevel="1" x14ac:dyDescent="0.25">
      <c r="A7168" s="754" t="s">
        <v>2007</v>
      </c>
      <c r="B7168" s="985">
        <v>41122</v>
      </c>
      <c r="C7168" s="727">
        <v>100</v>
      </c>
      <c r="D7168" s="814">
        <v>76.082700000000003</v>
      </c>
      <c r="E7168" s="720">
        <v>-0.23917299999999997</v>
      </c>
      <c r="F7168" s="731">
        <v>-0.23917299999999997</v>
      </c>
      <c r="G7168" s="78"/>
      <c r="H7168" s="261">
        <v>-0.23364143750000002</v>
      </c>
    </row>
    <row r="7169" spans="1:8" hidden="1" outlineLevel="1" x14ac:dyDescent="0.25">
      <c r="A7169" s="749"/>
      <c r="B7169" s="750"/>
      <c r="C7169" s="727"/>
      <c r="D7169" s="727"/>
      <c r="E7169" s="720"/>
      <c r="F7169" s="770"/>
      <c r="G7169" s="78"/>
    </row>
    <row r="7170" spans="1:8" collapsed="1" x14ac:dyDescent="0.25">
      <c r="A7170" s="3801" t="s">
        <v>2008</v>
      </c>
      <c r="B7170" s="3802"/>
      <c r="C7170" s="3802"/>
      <c r="D7170" s="3802"/>
      <c r="E7170" s="721"/>
      <c r="F7170" s="722">
        <v>0.04</v>
      </c>
      <c r="G7170" s="97" t="s">
        <v>781</v>
      </c>
    </row>
    <row r="7171" spans="1:8" ht="14.25" customHeight="1" x14ac:dyDescent="0.25"/>
    <row r="7172" spans="1:8" hidden="1" outlineLevel="1" x14ac:dyDescent="0.25">
      <c r="A7172" s="689" t="s">
        <v>113</v>
      </c>
      <c r="B7172" s="689" t="s">
        <v>114</v>
      </c>
      <c r="C7172" s="689" t="s">
        <v>112</v>
      </c>
      <c r="D7172" s="689" t="s">
        <v>116</v>
      </c>
      <c r="E7172" s="689" t="s">
        <v>117</v>
      </c>
      <c r="F7172" s="1188" t="s">
        <v>121</v>
      </c>
      <c r="G7172" s="78"/>
    </row>
    <row r="7173" spans="1:8" hidden="1" outlineLevel="1" x14ac:dyDescent="0.25">
      <c r="A7173" s="690">
        <v>16</v>
      </c>
      <c r="B7173" s="691" t="s">
        <v>252</v>
      </c>
      <c r="C7173" s="692">
        <v>100</v>
      </c>
      <c r="D7173" s="692"/>
      <c r="E7173" s="693"/>
      <c r="F7173" s="694"/>
      <c r="G7173" s="78"/>
    </row>
    <row r="7174" spans="1:8" hidden="1" outlineLevel="1" x14ac:dyDescent="0.25">
      <c r="A7174" s="695"/>
      <c r="B7174" s="695"/>
      <c r="C7174" s="696"/>
      <c r="D7174" s="697" t="s">
        <v>3702</v>
      </c>
      <c r="E7174" s="698">
        <v>41198</v>
      </c>
      <c r="F7174" s="699"/>
      <c r="G7174" s="78"/>
    </row>
    <row r="7175" spans="1:8" hidden="1" outlineLevel="1" x14ac:dyDescent="0.25">
      <c r="A7175" s="689" t="s">
        <v>4156</v>
      </c>
      <c r="B7175" s="689" t="s">
        <v>4153</v>
      </c>
      <c r="C7175" s="497" t="s">
        <v>112</v>
      </c>
      <c r="D7175" s="495" t="s">
        <v>4155</v>
      </c>
      <c r="E7175" s="689" t="s">
        <v>4154</v>
      </c>
      <c r="F7175" s="1021" t="s">
        <v>2519</v>
      </c>
      <c r="G7175" s="78"/>
    </row>
    <row r="7176" spans="1:8" hidden="1" outlineLevel="1" x14ac:dyDescent="0.25">
      <c r="A7176" s="999">
        <v>0.02</v>
      </c>
      <c r="B7176" s="1000" t="s">
        <v>280</v>
      </c>
      <c r="C7176" s="1001">
        <v>28.023</v>
      </c>
      <c r="D7176" s="803">
        <v>43</v>
      </c>
      <c r="E7176" s="705">
        <v>0.53445384148734965</v>
      </c>
      <c r="F7176" s="1021">
        <v>1.0689076829746994E-2</v>
      </c>
      <c r="G7176" s="78"/>
      <c r="H7176" t="s">
        <v>1469</v>
      </c>
    </row>
    <row r="7177" spans="1:8" hidden="1" outlineLevel="1" x14ac:dyDescent="0.25">
      <c r="A7177" s="1002">
        <v>0.03</v>
      </c>
      <c r="B7177" s="987" t="s">
        <v>2984</v>
      </c>
      <c r="C7177" s="1003">
        <v>8.2959999999999994</v>
      </c>
      <c r="D7177" s="908">
        <v>6.3120000000000003</v>
      </c>
      <c r="E7177" s="709">
        <v>-0.2391513982642236</v>
      </c>
      <c r="F7177" s="946">
        <v>-7.174541947926708E-3</v>
      </c>
      <c r="G7177" s="78"/>
      <c r="H7177" t="s">
        <v>2326</v>
      </c>
    </row>
    <row r="7178" spans="1:8" hidden="1" outlineLevel="1" x14ac:dyDescent="0.25">
      <c r="A7178" s="1002">
        <v>0.04</v>
      </c>
      <c r="B7178" s="996" t="s">
        <v>1994</v>
      </c>
      <c r="C7178" s="1003">
        <v>16.370999999999999</v>
      </c>
      <c r="D7178" s="908">
        <v>9.4600000000000009</v>
      </c>
      <c r="E7178" s="709">
        <v>-0.42214892187404551</v>
      </c>
      <c r="F7178" s="946">
        <v>-1.6885956874961822E-2</v>
      </c>
      <c r="G7178" s="78"/>
      <c r="H7178" t="s">
        <v>3493</v>
      </c>
    </row>
    <row r="7179" spans="1:8" hidden="1" outlineLevel="1" x14ac:dyDescent="0.25">
      <c r="A7179" s="1002">
        <v>0.03</v>
      </c>
      <c r="B7179" s="996" t="s">
        <v>3020</v>
      </c>
      <c r="C7179" s="1003">
        <v>40.301000000000002</v>
      </c>
      <c r="D7179" s="908">
        <v>70.41</v>
      </c>
      <c r="E7179" s="709">
        <v>0.74710304955212004</v>
      </c>
      <c r="F7179" s="946">
        <v>2.2413091486563601E-2</v>
      </c>
      <c r="G7179" s="78"/>
      <c r="H7179" t="s">
        <v>490</v>
      </c>
    </row>
    <row r="7180" spans="1:8" hidden="1" outlineLevel="1" x14ac:dyDescent="0.25">
      <c r="A7180" s="1002">
        <v>0.03</v>
      </c>
      <c r="B7180" s="996" t="s">
        <v>901</v>
      </c>
      <c r="C7180" s="1003">
        <v>1690.6</v>
      </c>
      <c r="D7180" s="908">
        <v>3237</v>
      </c>
      <c r="E7180" s="709">
        <v>0.91470483851886919</v>
      </c>
      <c r="F7180" s="946">
        <v>2.7441145155566074E-2</v>
      </c>
      <c r="G7180" s="78"/>
      <c r="H7180" t="s">
        <v>531</v>
      </c>
    </row>
    <row r="7181" spans="1:8" hidden="1" outlineLevel="1" x14ac:dyDescent="0.25">
      <c r="A7181" s="1002">
        <v>0.04</v>
      </c>
      <c r="B7181" s="996" t="s">
        <v>1847</v>
      </c>
      <c r="C7181" s="1003">
        <v>90.8</v>
      </c>
      <c r="D7181" s="908">
        <v>37.25</v>
      </c>
      <c r="E7181" s="709">
        <v>-0.58975770925110127</v>
      </c>
      <c r="F7181" s="946">
        <v>-2.3590308370044052E-2</v>
      </c>
      <c r="G7181" s="78"/>
      <c r="H7181" t="s">
        <v>2749</v>
      </c>
    </row>
    <row r="7182" spans="1:8" hidden="1" outlineLevel="1" x14ac:dyDescent="0.25">
      <c r="A7182" s="1002">
        <v>0.04</v>
      </c>
      <c r="B7182" s="996" t="s">
        <v>3792</v>
      </c>
      <c r="C7182" s="1003">
        <v>21.847999999999999</v>
      </c>
      <c r="D7182" s="908">
        <v>31.04</v>
      </c>
      <c r="E7182" s="709">
        <v>0.42072500915415612</v>
      </c>
      <c r="F7182" s="946">
        <v>1.6829000366166243E-2</v>
      </c>
      <c r="G7182" s="78"/>
      <c r="H7182" t="s">
        <v>783</v>
      </c>
    </row>
    <row r="7183" spans="1:8" hidden="1" outlineLevel="1" x14ac:dyDescent="0.25">
      <c r="A7183" s="1002">
        <v>0.02</v>
      </c>
      <c r="B7183" s="743" t="s">
        <v>4025</v>
      </c>
      <c r="C7183" s="1003">
        <v>23.148</v>
      </c>
      <c r="D7183" s="908">
        <v>38.335000000000001</v>
      </c>
      <c r="E7183" s="709">
        <v>0.65608259892863319</v>
      </c>
      <c r="F7183" s="946">
        <v>1.3121651978572664E-2</v>
      </c>
      <c r="G7183" s="78"/>
      <c r="H7183" t="s">
        <v>3977</v>
      </c>
    </row>
    <row r="7184" spans="1:8" hidden="1" outlineLevel="1" x14ac:dyDescent="0.25">
      <c r="A7184" s="1002">
        <v>0.05</v>
      </c>
      <c r="B7184" s="939" t="s">
        <v>2629</v>
      </c>
      <c r="C7184" s="1003">
        <v>11.244999999999999</v>
      </c>
      <c r="D7184" s="908">
        <v>9.0570000000000004</v>
      </c>
      <c r="E7184" s="709">
        <v>-0.194575366829702</v>
      </c>
      <c r="F7184" s="946">
        <v>-9.7287683414851011E-3</v>
      </c>
      <c r="G7184" s="78"/>
      <c r="H7184" t="s">
        <v>1652</v>
      </c>
    </row>
    <row r="7185" spans="1:8" hidden="1" outlineLevel="1" x14ac:dyDescent="0.25">
      <c r="A7185" s="1002">
        <v>0.03</v>
      </c>
      <c r="B7185" s="996" t="s">
        <v>4110</v>
      </c>
      <c r="C7185" s="1003">
        <v>35.363</v>
      </c>
      <c r="D7185" s="908">
        <v>52.66</v>
      </c>
      <c r="E7185" s="709">
        <v>0.48912705370019505</v>
      </c>
      <c r="F7185" s="946">
        <v>1.467381161100585E-2</v>
      </c>
      <c r="G7185" s="78"/>
      <c r="H7185" t="s">
        <v>2622</v>
      </c>
    </row>
    <row r="7186" spans="1:8" hidden="1" outlineLevel="1" x14ac:dyDescent="0.25">
      <c r="A7186" s="1002">
        <v>0.02</v>
      </c>
      <c r="B7186" s="996" t="s">
        <v>4064</v>
      </c>
      <c r="C7186" s="1003">
        <v>32.799999999999997</v>
      </c>
      <c r="D7186" s="908">
        <v>53.66</v>
      </c>
      <c r="E7186" s="709">
        <v>0.63597560975609757</v>
      </c>
      <c r="F7186" s="946">
        <v>1.2719512195121952E-2</v>
      </c>
      <c r="G7186" s="78"/>
      <c r="H7186" t="s">
        <v>170</v>
      </c>
    </row>
    <row r="7187" spans="1:8" hidden="1" outlineLevel="1" x14ac:dyDescent="0.25">
      <c r="A7187" s="1002">
        <v>0.05</v>
      </c>
      <c r="B7187" s="996" t="s">
        <v>3798</v>
      </c>
      <c r="C7187" s="1003">
        <v>5.2439999999999998</v>
      </c>
      <c r="D7187" s="908">
        <v>2.948</v>
      </c>
      <c r="E7187" s="709">
        <v>-0.43783371472158661</v>
      </c>
      <c r="F7187" s="946">
        <v>-2.189168573607933E-2</v>
      </c>
      <c r="G7187" s="78"/>
      <c r="H7187" t="s">
        <v>4122</v>
      </c>
    </row>
    <row r="7188" spans="1:8" hidden="1" outlineLevel="1" x14ac:dyDescent="0.25">
      <c r="A7188" s="1002">
        <v>0.04</v>
      </c>
      <c r="B7188" s="996" t="s">
        <v>2630</v>
      </c>
      <c r="C7188" s="1003">
        <v>19.3415</v>
      </c>
      <c r="D7188" s="908">
        <v>9.5169999999999995</v>
      </c>
      <c r="E7188" s="709">
        <v>-0.50794922834319989</v>
      </c>
      <c r="F7188" s="946">
        <v>-2.0317969133727996E-2</v>
      </c>
      <c r="G7188" s="78"/>
      <c r="H7188" t="e">
        <v>#N/A</v>
      </c>
    </row>
    <row r="7189" spans="1:8" hidden="1" outlineLevel="1" x14ac:dyDescent="0.25">
      <c r="A7189" s="1002">
        <v>0.03</v>
      </c>
      <c r="B7189" s="743" t="s">
        <v>1031</v>
      </c>
      <c r="C7189" s="1003">
        <v>5.6689999999999996</v>
      </c>
      <c r="D7189" s="908">
        <v>3.9390000000000001</v>
      </c>
      <c r="E7189" s="709">
        <v>-0.3051684600458634</v>
      </c>
      <c r="F7189" s="946">
        <v>-9.1550538013759012E-3</v>
      </c>
      <c r="G7189" s="78"/>
      <c r="H7189" t="s">
        <v>4158</v>
      </c>
    </row>
    <row r="7190" spans="1:8" hidden="1" outlineLevel="1" x14ac:dyDescent="0.25">
      <c r="A7190" s="1002">
        <v>0.05</v>
      </c>
      <c r="B7190" s="996" t="s">
        <v>2588</v>
      </c>
      <c r="C7190" s="1003">
        <v>7.4654999999999996</v>
      </c>
      <c r="D7190" s="908">
        <v>6.92</v>
      </c>
      <c r="E7190" s="709">
        <v>-7.3069452816288183E-2</v>
      </c>
      <c r="F7190" s="946">
        <v>-3.6534726408144094E-3</v>
      </c>
      <c r="G7190" s="78"/>
      <c r="H7190" t="s">
        <v>4132</v>
      </c>
    </row>
    <row r="7191" spans="1:8" hidden="1" outlineLevel="1" x14ac:dyDescent="0.25">
      <c r="A7191" s="1002">
        <v>0.03</v>
      </c>
      <c r="B7191" s="743" t="s">
        <v>44</v>
      </c>
      <c r="C7191" s="1003">
        <v>2.4491999999999998</v>
      </c>
      <c r="D7191" s="908">
        <v>1.323</v>
      </c>
      <c r="E7191" s="709">
        <v>-0.45982361587457132</v>
      </c>
      <c r="F7191" s="946">
        <v>-1.3794708476237139E-2</v>
      </c>
      <c r="G7191" s="78"/>
      <c r="H7191" t="s">
        <v>204</v>
      </c>
    </row>
    <row r="7192" spans="1:8" hidden="1" outlineLevel="1" x14ac:dyDescent="0.25">
      <c r="A7192" s="1002">
        <v>0.03</v>
      </c>
      <c r="B7192" s="996" t="s">
        <v>1526</v>
      </c>
      <c r="C7192" s="1003">
        <v>27.029499999999999</v>
      </c>
      <c r="D7192" s="908">
        <v>19.405000000000001</v>
      </c>
      <c r="E7192" s="709">
        <v>-0.28208068961690003</v>
      </c>
      <c r="F7192" s="946">
        <v>-8.4624206885069997E-3</v>
      </c>
      <c r="G7192" s="78"/>
      <c r="H7192" t="s">
        <v>4146</v>
      </c>
    </row>
    <row r="7193" spans="1:8" hidden="1" outlineLevel="1" x14ac:dyDescent="0.25">
      <c r="A7193" s="1002">
        <v>0.02</v>
      </c>
      <c r="B7193" s="740" t="s">
        <v>281</v>
      </c>
      <c r="C7193" s="1003">
        <v>9.6489999999999991</v>
      </c>
      <c r="D7193" s="908">
        <v>8.26</v>
      </c>
      <c r="E7193" s="709">
        <v>-0.14395274121670631</v>
      </c>
      <c r="F7193" s="946">
        <v>-2.8790548243341264E-3</v>
      </c>
      <c r="G7193" s="78"/>
      <c r="H7193" t="s">
        <v>4159</v>
      </c>
    </row>
    <row r="7194" spans="1:8" hidden="1" outlineLevel="1" x14ac:dyDescent="0.25">
      <c r="A7194" s="1002">
        <v>0.04</v>
      </c>
      <c r="B7194" s="740" t="s">
        <v>3801</v>
      </c>
      <c r="C7194" s="1003">
        <v>65.174000000000007</v>
      </c>
      <c r="D7194" s="908">
        <v>35.42</v>
      </c>
      <c r="E7194" s="709">
        <v>-0.45653174578819777</v>
      </c>
      <c r="F7194" s="946">
        <v>-1.8261269831527913E-2</v>
      </c>
      <c r="G7194" s="78"/>
      <c r="H7194" t="s">
        <v>2819</v>
      </c>
    </row>
    <row r="7195" spans="1:8" hidden="1" outlineLevel="1" x14ac:dyDescent="0.25">
      <c r="A7195" s="1002">
        <v>0.03</v>
      </c>
      <c r="B7195" s="740" t="s">
        <v>51</v>
      </c>
      <c r="C7195" s="1003">
        <v>28.196999999999999</v>
      </c>
      <c r="D7195" s="908">
        <v>26.824999999999999</v>
      </c>
      <c r="E7195" s="709">
        <v>-4.8657658616164889E-2</v>
      </c>
      <c r="F7195" s="946">
        <v>-1.4597297584849466E-3</v>
      </c>
      <c r="G7195" s="78"/>
      <c r="H7195" t="s">
        <v>2748</v>
      </c>
    </row>
    <row r="7196" spans="1:8" hidden="1" outlineLevel="1" x14ac:dyDescent="0.25">
      <c r="A7196" s="1002">
        <v>0.02</v>
      </c>
      <c r="B7196" s="939" t="s">
        <v>1709</v>
      </c>
      <c r="C7196" s="1003">
        <v>47.73</v>
      </c>
      <c r="D7196" s="908">
        <v>89.45</v>
      </c>
      <c r="E7196" s="709">
        <v>0.87408338571129285</v>
      </c>
      <c r="F7196" s="946">
        <v>1.7481667714225858E-2</v>
      </c>
      <c r="G7196" s="78"/>
      <c r="H7196" t="s">
        <v>2327</v>
      </c>
    </row>
    <row r="7197" spans="1:8" hidden="1" outlineLevel="1" x14ac:dyDescent="0.25">
      <c r="A7197" s="1002">
        <v>0.03</v>
      </c>
      <c r="B7197" s="996" t="s">
        <v>279</v>
      </c>
      <c r="C7197" s="1003">
        <v>46.363999999999997</v>
      </c>
      <c r="D7197" s="908">
        <v>48.84</v>
      </c>
      <c r="E7197" s="709">
        <v>5.3403502717625839E-2</v>
      </c>
      <c r="F7197" s="946">
        <v>1.6021050815287752E-3</v>
      </c>
      <c r="G7197" s="78"/>
      <c r="H7197" t="s">
        <v>1468</v>
      </c>
    </row>
    <row r="7198" spans="1:8" hidden="1" outlineLevel="1" x14ac:dyDescent="0.25">
      <c r="A7198" s="1002">
        <v>0.02</v>
      </c>
      <c r="B7198" s="996" t="s">
        <v>3656</v>
      </c>
      <c r="C7198" s="1003">
        <v>67.625</v>
      </c>
      <c r="D7198" s="908">
        <v>145</v>
      </c>
      <c r="E7198" s="709">
        <v>1.1441774491682071</v>
      </c>
      <c r="F7198" s="946">
        <v>2.288354898336414E-2</v>
      </c>
      <c r="G7198" s="78"/>
      <c r="H7198" t="s">
        <v>1467</v>
      </c>
    </row>
    <row r="7199" spans="1:8" hidden="1" outlineLevel="1" x14ac:dyDescent="0.25">
      <c r="A7199" s="1002">
        <v>0.03</v>
      </c>
      <c r="B7199" s="996" t="s">
        <v>2166</v>
      </c>
      <c r="C7199" s="1003">
        <v>39.084000000000003</v>
      </c>
      <c r="D7199" s="908">
        <v>25.285</v>
      </c>
      <c r="E7199" s="709">
        <v>-0.35306007573431586</v>
      </c>
      <c r="F7199" s="946">
        <v>-1.0591802272029476E-2</v>
      </c>
      <c r="G7199" s="78"/>
      <c r="H7199" t="s">
        <v>4160</v>
      </c>
    </row>
    <row r="7200" spans="1:8" hidden="1" outlineLevel="1" x14ac:dyDescent="0.25">
      <c r="A7200" s="1002">
        <v>0.04</v>
      </c>
      <c r="B7200" s="743" t="s">
        <v>3427</v>
      </c>
      <c r="C7200" s="1003">
        <v>34.753999999999998</v>
      </c>
      <c r="D7200" s="908">
        <v>45.89</v>
      </c>
      <c r="E7200" s="709">
        <v>0.32042354836853315</v>
      </c>
      <c r="F7200" s="946">
        <v>1.2816941934741326E-2</v>
      </c>
      <c r="G7200" s="78"/>
      <c r="H7200" t="s">
        <v>2800</v>
      </c>
    </row>
    <row r="7201" spans="1:8" hidden="1" outlineLevel="1" x14ac:dyDescent="0.25">
      <c r="A7201" s="1002">
        <v>0.03</v>
      </c>
      <c r="B7201" s="743" t="s">
        <v>181</v>
      </c>
      <c r="C7201" s="1003">
        <v>44.405999999999999</v>
      </c>
      <c r="D7201" s="908">
        <v>49.04</v>
      </c>
      <c r="E7201" s="709">
        <v>0.1043552673062198</v>
      </c>
      <c r="F7201" s="946">
        <v>3.1306580191865939E-3</v>
      </c>
      <c r="G7201" s="78"/>
      <c r="H7201" t="e">
        <v>#N/A</v>
      </c>
    </row>
    <row r="7202" spans="1:8" hidden="1" outlineLevel="1" x14ac:dyDescent="0.25">
      <c r="A7202" s="1002">
        <v>0.03</v>
      </c>
      <c r="B7202" s="743" t="s">
        <v>3022</v>
      </c>
      <c r="C7202" s="1003">
        <v>4706</v>
      </c>
      <c r="D7202" s="908">
        <v>3565</v>
      </c>
      <c r="E7202" s="709">
        <v>-0.24245643858903532</v>
      </c>
      <c r="F7202" s="946">
        <v>-7.2736931576710588E-3</v>
      </c>
      <c r="G7202" s="78"/>
      <c r="H7202" t="s">
        <v>2802</v>
      </c>
    </row>
    <row r="7203" spans="1:8" hidden="1" outlineLevel="1" x14ac:dyDescent="0.25">
      <c r="A7203" s="1002">
        <v>0.04</v>
      </c>
      <c r="B7203" s="743" t="s">
        <v>1527</v>
      </c>
      <c r="C7203" s="1003">
        <v>0.99790000000000001</v>
      </c>
      <c r="D7203" s="908">
        <v>0.76500000000000001</v>
      </c>
      <c r="E7203" s="709">
        <v>-0.23339011925042585</v>
      </c>
      <c r="F7203" s="946">
        <v>-9.3356047700170336E-3</v>
      </c>
      <c r="G7203" s="78"/>
      <c r="H7203" t="s">
        <v>2803</v>
      </c>
    </row>
    <row r="7204" spans="1:8" hidden="1" outlineLevel="1" x14ac:dyDescent="0.25">
      <c r="A7204" s="1002">
        <v>0.05</v>
      </c>
      <c r="B7204" s="743" t="s">
        <v>576</v>
      </c>
      <c r="C7204" s="1003">
        <v>8.7174999999999994</v>
      </c>
      <c r="D7204" s="908">
        <v>7.1109999999999998</v>
      </c>
      <c r="E7204" s="709">
        <v>-0.18428448523085739</v>
      </c>
      <c r="F7204" s="946">
        <v>-9.214224261542869E-3</v>
      </c>
      <c r="G7204" s="78"/>
      <c r="H7204" t="s">
        <v>2080</v>
      </c>
    </row>
    <row r="7205" spans="1:8" hidden="1" outlineLevel="1" x14ac:dyDescent="0.25">
      <c r="A7205" s="1002">
        <v>0.04</v>
      </c>
      <c r="B7205" s="997" t="s">
        <v>2983</v>
      </c>
      <c r="C7205" s="1003">
        <v>686.9</v>
      </c>
      <c r="D7205" s="715">
        <v>731</v>
      </c>
      <c r="E7205" s="709">
        <v>6.4201484932304487E-2</v>
      </c>
      <c r="F7205" s="946">
        <v>2.5680593972921793E-3</v>
      </c>
      <c r="G7205" s="78"/>
      <c r="H7205" t="s">
        <v>1713</v>
      </c>
    </row>
    <row r="7206" spans="1:8" hidden="1" outlineLevel="1" x14ac:dyDescent="0.25">
      <c r="A7206" s="1099"/>
      <c r="B7206" s="1000"/>
      <c r="C7206" s="736"/>
      <c r="D7206" s="741"/>
      <c r="E7206" s="895"/>
      <c r="F7206" s="1021">
        <v>-1.5299994133684634E-2</v>
      </c>
      <c r="G7206" s="78"/>
    </row>
    <row r="7207" spans="1:8" hidden="1" outlineLevel="1" x14ac:dyDescent="0.25">
      <c r="A7207" s="753" t="s">
        <v>3963</v>
      </c>
      <c r="B7207" s="1208">
        <v>39814</v>
      </c>
      <c r="C7207" s="719">
        <v>100</v>
      </c>
      <c r="D7207" s="719">
        <v>85.755700000000004</v>
      </c>
      <c r="E7207" s="720">
        <v>-0.14244299999999999</v>
      </c>
      <c r="F7207" s="731">
        <v>-0.14244299999999999</v>
      </c>
      <c r="G7207" s="78"/>
    </row>
    <row r="7208" spans="1:8" hidden="1" outlineLevel="1" x14ac:dyDescent="0.25">
      <c r="A7208" s="732" t="s">
        <v>3964</v>
      </c>
      <c r="B7208" s="1100">
        <v>39904</v>
      </c>
      <c r="C7208" s="727">
        <v>100</v>
      </c>
      <c r="D7208" s="727">
        <v>88.019099999999995</v>
      </c>
      <c r="E7208" s="720">
        <v>-0.11980900000000005</v>
      </c>
      <c r="F7208" s="731">
        <v>-0.11980900000000005</v>
      </c>
      <c r="G7208" s="78"/>
    </row>
    <row r="7209" spans="1:8" hidden="1" outlineLevel="1" x14ac:dyDescent="0.25">
      <c r="A7209" s="732" t="s">
        <v>3965</v>
      </c>
      <c r="B7209" s="985">
        <v>39995</v>
      </c>
      <c r="C7209" s="727">
        <v>100</v>
      </c>
      <c r="D7209" s="727">
        <v>96.680499999999995</v>
      </c>
      <c r="E7209" s="720">
        <v>-3.3195000000000086E-2</v>
      </c>
      <c r="F7209" s="731">
        <v>-3.3195000000000086E-2</v>
      </c>
      <c r="G7209" s="78"/>
    </row>
    <row r="7210" spans="1:8" hidden="1" outlineLevel="1" x14ac:dyDescent="0.25">
      <c r="A7210" s="732" t="s">
        <v>4046</v>
      </c>
      <c r="B7210" s="1100">
        <v>40087</v>
      </c>
      <c r="C7210" s="727">
        <v>100</v>
      </c>
      <c r="D7210" s="727">
        <v>102.6251</v>
      </c>
      <c r="E7210" s="720">
        <v>2.6251000000000024E-2</v>
      </c>
      <c r="F7210" s="731">
        <v>2.6251000000000024E-2</v>
      </c>
      <c r="G7210" s="78"/>
    </row>
    <row r="7211" spans="1:8" hidden="1" outlineLevel="1" x14ac:dyDescent="0.25">
      <c r="A7211" s="732" t="s">
        <v>4047</v>
      </c>
      <c r="B7211" s="985">
        <v>40179</v>
      </c>
      <c r="C7211" s="727">
        <v>100</v>
      </c>
      <c r="D7211" s="727">
        <v>107.41119999999999</v>
      </c>
      <c r="E7211" s="720">
        <v>7.4111999999999956E-2</v>
      </c>
      <c r="F7211" s="731">
        <v>7.4111999999999956E-2</v>
      </c>
      <c r="G7211" s="78"/>
    </row>
    <row r="7212" spans="1:8" hidden="1" outlineLevel="1" x14ac:dyDescent="0.25">
      <c r="A7212" s="732" t="s">
        <v>3175</v>
      </c>
      <c r="B7212" s="1100">
        <v>40269</v>
      </c>
      <c r="C7212" s="727">
        <v>100</v>
      </c>
      <c r="D7212" s="727">
        <v>114.4402</v>
      </c>
      <c r="E7212" s="720">
        <v>0.14440200000000014</v>
      </c>
      <c r="F7212" s="731">
        <v>0.14440200000000014</v>
      </c>
      <c r="G7212" s="78"/>
    </row>
    <row r="7213" spans="1:8" hidden="1" outlineLevel="1" x14ac:dyDescent="0.25">
      <c r="A7213" s="732" t="s">
        <v>3176</v>
      </c>
      <c r="B7213" s="985">
        <v>40360</v>
      </c>
      <c r="C7213" s="727">
        <v>100</v>
      </c>
      <c r="D7213" s="727">
        <v>111.86239999999999</v>
      </c>
      <c r="E7213" s="720">
        <v>0.11862399999999984</v>
      </c>
      <c r="F7213" s="731">
        <v>0.11862399999999984</v>
      </c>
      <c r="G7213" s="78"/>
    </row>
    <row r="7214" spans="1:8" hidden="1" outlineLevel="1" x14ac:dyDescent="0.25">
      <c r="A7214" s="732" t="s">
        <v>3177</v>
      </c>
      <c r="B7214" s="1100">
        <v>40452</v>
      </c>
      <c r="C7214" s="727">
        <v>100</v>
      </c>
      <c r="D7214" s="727">
        <v>115.8306</v>
      </c>
      <c r="E7214" s="720">
        <v>0.15830600000000006</v>
      </c>
      <c r="F7214" s="731">
        <v>0.15830600000000006</v>
      </c>
      <c r="G7214" s="78"/>
    </row>
    <row r="7215" spans="1:8" hidden="1" outlineLevel="1" x14ac:dyDescent="0.25">
      <c r="A7215" s="732" t="s">
        <v>3178</v>
      </c>
      <c r="B7215" s="985">
        <v>40544</v>
      </c>
      <c r="C7215" s="727">
        <v>100</v>
      </c>
      <c r="D7215" s="727">
        <v>122.0896</v>
      </c>
      <c r="E7215" s="720">
        <v>0.22089599999999998</v>
      </c>
      <c r="F7215" s="731">
        <v>0.22089599999999998</v>
      </c>
      <c r="G7215" s="78"/>
    </row>
    <row r="7216" spans="1:8" hidden="1" outlineLevel="1" x14ac:dyDescent="0.25">
      <c r="A7216" s="732" t="s">
        <v>3179</v>
      </c>
      <c r="B7216" s="1100">
        <v>40634</v>
      </c>
      <c r="C7216" s="727">
        <v>100</v>
      </c>
      <c r="D7216" s="727">
        <v>124.59099999999999</v>
      </c>
      <c r="E7216" s="720">
        <v>0.24590999999999985</v>
      </c>
      <c r="F7216" s="731">
        <v>0.24590999999999985</v>
      </c>
      <c r="G7216" s="78"/>
    </row>
    <row r="7217" spans="1:9" hidden="1" outlineLevel="1" x14ac:dyDescent="0.25">
      <c r="A7217" s="732" t="s">
        <v>3180</v>
      </c>
      <c r="B7217" s="985">
        <v>40725</v>
      </c>
      <c r="C7217" s="727">
        <v>100</v>
      </c>
      <c r="D7217" s="727">
        <v>109.96380000000001</v>
      </c>
      <c r="E7217" s="720">
        <v>9.9638000000000115E-2</v>
      </c>
      <c r="F7217" s="731">
        <v>9.9638000000000115E-2</v>
      </c>
      <c r="G7217" s="78"/>
    </row>
    <row r="7218" spans="1:9" hidden="1" outlineLevel="1" x14ac:dyDescent="0.25">
      <c r="A7218" s="732" t="s">
        <v>3181</v>
      </c>
      <c r="B7218" s="1100">
        <v>40817</v>
      </c>
      <c r="C7218" s="727">
        <v>100</v>
      </c>
      <c r="D7218" s="727">
        <v>96.471999999999994</v>
      </c>
      <c r="E7218" s="720">
        <v>-3.5280000000000089E-2</v>
      </c>
      <c r="F7218" s="731">
        <v>-3.5280000000000089E-2</v>
      </c>
      <c r="G7218" s="78"/>
    </row>
    <row r="7219" spans="1:9" hidden="1" outlineLevel="1" x14ac:dyDescent="0.25">
      <c r="A7219" s="732" t="s">
        <v>3182</v>
      </c>
      <c r="B7219" s="985">
        <v>40909</v>
      </c>
      <c r="C7219" s="727">
        <v>100</v>
      </c>
      <c r="D7219" s="727">
        <v>99.220100000000002</v>
      </c>
      <c r="E7219" s="720">
        <v>-7.7990000000000004E-3</v>
      </c>
      <c r="F7219" s="731">
        <v>-7.7990000000000004E-3</v>
      </c>
      <c r="G7219" s="78"/>
    </row>
    <row r="7220" spans="1:9" hidden="1" outlineLevel="1" x14ac:dyDescent="0.25">
      <c r="A7220" s="732" t="s">
        <v>3183</v>
      </c>
      <c r="B7220" s="1100">
        <v>41000</v>
      </c>
      <c r="C7220" s="727">
        <v>100</v>
      </c>
      <c r="D7220" s="727">
        <v>98.032200000000003</v>
      </c>
      <c r="E7220" s="720">
        <v>-1.9677999999999973E-2</v>
      </c>
      <c r="F7220" s="731">
        <v>-1.9677999999999973E-2</v>
      </c>
      <c r="G7220" s="78"/>
    </row>
    <row r="7221" spans="1:9" hidden="1" outlineLevel="1" x14ac:dyDescent="0.25">
      <c r="A7221" s="732" t="s">
        <v>3184</v>
      </c>
      <c r="B7221" s="985">
        <v>41091</v>
      </c>
      <c r="C7221" s="727">
        <v>100</v>
      </c>
      <c r="D7221" s="727">
        <v>97.141499999999994</v>
      </c>
      <c r="E7221" s="720">
        <v>-2.8585000000000083E-2</v>
      </c>
      <c r="F7221" s="731">
        <v>-2.8585000000000083E-2</v>
      </c>
      <c r="G7221" s="78"/>
      <c r="H7221" s="412" t="s">
        <v>1837</v>
      </c>
    </row>
    <row r="7222" spans="1:9" hidden="1" outlineLevel="1" x14ac:dyDescent="0.25">
      <c r="A7222" s="754" t="s">
        <v>3185</v>
      </c>
      <c r="B7222" s="1100">
        <v>41183</v>
      </c>
      <c r="C7222" s="727">
        <v>100</v>
      </c>
      <c r="D7222" s="727">
        <v>102.9678</v>
      </c>
      <c r="E7222" s="720">
        <v>2.9677999999999871E-2</v>
      </c>
      <c r="F7222" s="731">
        <v>2.9677999999999871E-2</v>
      </c>
      <c r="G7222" s="78"/>
      <c r="H7222" s="261">
        <v>4.5689249999999973E-2</v>
      </c>
    </row>
    <row r="7223" spans="1:9" hidden="1" outlineLevel="1" x14ac:dyDescent="0.25">
      <c r="A7223" s="749"/>
      <c r="B7223" s="750"/>
      <c r="C7223" s="727"/>
      <c r="D7223" s="727"/>
      <c r="E7223" s="720"/>
      <c r="F7223" s="770"/>
      <c r="G7223" s="78"/>
    </row>
    <row r="7224" spans="1:9" collapsed="1" x14ac:dyDescent="0.25">
      <c r="A7224" s="3801" t="s">
        <v>3962</v>
      </c>
      <c r="B7224" s="3802"/>
      <c r="C7224" s="3802"/>
      <c r="D7224" s="3802"/>
      <c r="E7224" s="721"/>
      <c r="F7224" s="722">
        <v>4.1120324999999978E-2</v>
      </c>
      <c r="G7224" s="97" t="s">
        <v>781</v>
      </c>
    </row>
    <row r="7226" spans="1:9" hidden="1" outlineLevel="1" x14ac:dyDescent="0.25">
      <c r="A7226" s="689" t="s">
        <v>113</v>
      </c>
      <c r="B7226" s="689" t="s">
        <v>114</v>
      </c>
      <c r="C7226" s="689" t="s">
        <v>112</v>
      </c>
      <c r="D7226" s="689" t="s">
        <v>116</v>
      </c>
      <c r="E7226" s="689" t="s">
        <v>117</v>
      </c>
      <c r="F7226" s="1188" t="s">
        <v>121</v>
      </c>
      <c r="G7226" s="78"/>
    </row>
    <row r="7227" spans="1:9" hidden="1" outlineLevel="1" x14ac:dyDescent="0.25">
      <c r="A7227" s="690">
        <v>1</v>
      </c>
      <c r="B7227" s="691" t="s">
        <v>252</v>
      </c>
      <c r="C7227" s="692"/>
      <c r="D7227" s="692"/>
      <c r="E7227" s="693"/>
      <c r="F7227" s="694"/>
      <c r="G7227" s="78"/>
    </row>
    <row r="7228" spans="1:9" hidden="1" outlineLevel="1" x14ac:dyDescent="0.25">
      <c r="A7228" s="695"/>
      <c r="B7228" s="695"/>
      <c r="C7228" s="696"/>
      <c r="D7228" s="697" t="s">
        <v>3702</v>
      </c>
      <c r="E7228" s="698">
        <v>42460</v>
      </c>
      <c r="F7228" s="699"/>
      <c r="G7228" s="78"/>
    </row>
    <row r="7229" spans="1:9" hidden="1" outlineLevel="1" x14ac:dyDescent="0.25">
      <c r="A7229" s="689" t="s">
        <v>4156</v>
      </c>
      <c r="B7229" s="689" t="s">
        <v>4153</v>
      </c>
      <c r="C7229" s="700" t="s">
        <v>112</v>
      </c>
      <c r="D7229" s="689" t="s">
        <v>4155</v>
      </c>
      <c r="E7229" s="689" t="s">
        <v>4154</v>
      </c>
      <c r="F7229" s="1021" t="s">
        <v>2519</v>
      </c>
      <c r="G7229" s="78"/>
    </row>
    <row r="7230" spans="1:9" hidden="1" outlineLevel="1" x14ac:dyDescent="0.25">
      <c r="A7230" s="734">
        <v>3.3333000000000002E-2</v>
      </c>
      <c r="B7230" s="735" t="s">
        <v>359</v>
      </c>
      <c r="C7230" s="992">
        <v>72.984999999999999</v>
      </c>
      <c r="D7230" s="737">
        <v>148.35</v>
      </c>
      <c r="E7230" s="817">
        <v>1.0326094402959511</v>
      </c>
      <c r="F7230" s="1021">
        <v>1.499985E-2</v>
      </c>
      <c r="G7230" s="78"/>
      <c r="H7230" t="s">
        <v>360</v>
      </c>
      <c r="I7230" s="101"/>
    </row>
    <row r="7231" spans="1:9" hidden="1" outlineLevel="1" x14ac:dyDescent="0.25">
      <c r="A7231" s="849">
        <v>3.3333000000000002E-2</v>
      </c>
      <c r="B7231" s="740" t="s">
        <v>3998</v>
      </c>
      <c r="C7231" s="993">
        <v>28.268999999999998</v>
      </c>
      <c r="D7231" s="737">
        <v>33.83</v>
      </c>
      <c r="E7231" s="818">
        <v>0.19671725211362268</v>
      </c>
      <c r="F7231" s="946">
        <v>1.499985E-2</v>
      </c>
      <c r="G7231" s="78"/>
      <c r="H7231" t="s">
        <v>4000</v>
      </c>
    </row>
    <row r="7232" spans="1:9" hidden="1" outlineLevel="1" x14ac:dyDescent="0.25">
      <c r="A7232" s="849">
        <v>3.3333000000000002E-2</v>
      </c>
      <c r="B7232" s="740" t="s">
        <v>2704</v>
      </c>
      <c r="C7232" s="993">
        <v>63.65</v>
      </c>
      <c r="D7232" s="737">
        <v>202.4</v>
      </c>
      <c r="E7232" s="818">
        <v>2.179890023566379</v>
      </c>
      <c r="F7232" s="946">
        <v>1.499985E-2</v>
      </c>
      <c r="G7232" s="78"/>
      <c r="H7232" t="s">
        <v>167</v>
      </c>
    </row>
    <row r="7233" spans="1:8" hidden="1" outlineLevel="1" x14ac:dyDescent="0.25">
      <c r="A7233" s="849">
        <v>3.3333000000000002E-2</v>
      </c>
      <c r="B7233" s="740" t="s">
        <v>1093</v>
      </c>
      <c r="C7233" s="994">
        <v>390.58</v>
      </c>
      <c r="D7233" s="737">
        <v>466.7</v>
      </c>
      <c r="E7233" s="818">
        <v>0.19488965128782842</v>
      </c>
      <c r="F7233" s="946">
        <v>1.499985E-2</v>
      </c>
      <c r="G7233" s="78"/>
      <c r="H7233" t="s">
        <v>2039</v>
      </c>
    </row>
    <row r="7234" spans="1:8" hidden="1" outlineLevel="1" x14ac:dyDescent="0.25">
      <c r="A7234" s="849">
        <v>3.3333000000000002E-2</v>
      </c>
      <c r="B7234" s="740" t="s">
        <v>2984</v>
      </c>
      <c r="C7234" s="993">
        <v>8.423</v>
      </c>
      <c r="D7234" s="737">
        <v>8.0380000000000003</v>
      </c>
      <c r="E7234" s="818">
        <v>-4.5708179983378838E-2</v>
      </c>
      <c r="F7234" s="946">
        <v>-1.5235907633859669E-3</v>
      </c>
      <c r="G7234" s="78"/>
      <c r="H7234" t="s">
        <v>2326</v>
      </c>
    </row>
    <row r="7235" spans="1:8" hidden="1" outlineLevel="1" x14ac:dyDescent="0.25">
      <c r="A7235" s="849">
        <v>3.3333000000000002E-2</v>
      </c>
      <c r="B7235" s="853" t="s">
        <v>1141</v>
      </c>
      <c r="C7235" s="993">
        <v>21.835999999999999</v>
      </c>
      <c r="D7235" s="737">
        <v>86.74</v>
      </c>
      <c r="E7235" s="818">
        <v>2.9723392562740427</v>
      </c>
      <c r="F7235" s="946">
        <v>1.499985E-2</v>
      </c>
      <c r="G7235" s="78"/>
      <c r="H7235" t="s">
        <v>666</v>
      </c>
    </row>
    <row r="7236" spans="1:8" hidden="1" outlineLevel="1" x14ac:dyDescent="0.25">
      <c r="A7236" s="849">
        <v>3.3333000000000002E-2</v>
      </c>
      <c r="B7236" s="740" t="s">
        <v>3019</v>
      </c>
      <c r="C7236" s="993">
        <v>41.307499999999997</v>
      </c>
      <c r="D7236" s="737">
        <v>54.99</v>
      </c>
      <c r="E7236" s="818">
        <v>0.33123524783634939</v>
      </c>
      <c r="F7236" s="946">
        <v>1.499985E-2</v>
      </c>
      <c r="G7236" s="78"/>
      <c r="H7236" t="s">
        <v>2745</v>
      </c>
    </row>
    <row r="7237" spans="1:8" hidden="1" outlineLevel="1" x14ac:dyDescent="0.25">
      <c r="A7237" s="849">
        <v>3.3333000000000002E-2</v>
      </c>
      <c r="B7237" s="740" t="s">
        <v>1847</v>
      </c>
      <c r="C7237" s="993">
        <v>79.180000000000007</v>
      </c>
      <c r="D7237" s="737">
        <v>52.69</v>
      </c>
      <c r="E7237" s="818">
        <v>-0.33455418034857298</v>
      </c>
      <c r="F7237" s="946">
        <v>-1.1151694493558984E-2</v>
      </c>
      <c r="G7237" s="78"/>
      <c r="H7237" t="s">
        <v>2749</v>
      </c>
    </row>
    <row r="7238" spans="1:8" hidden="1" outlineLevel="1" x14ac:dyDescent="0.25">
      <c r="A7238" s="849">
        <v>3.3333000000000002E-2</v>
      </c>
      <c r="B7238" s="740" t="s">
        <v>1212</v>
      </c>
      <c r="C7238" s="993">
        <v>30.724</v>
      </c>
      <c r="D7238" s="737">
        <v>24.51</v>
      </c>
      <c r="E7238" s="818">
        <v>-0.20225231089701856</v>
      </c>
      <c r="F7238" s="946">
        <v>-6.7416762791303198E-3</v>
      </c>
      <c r="G7238" s="78"/>
      <c r="H7238" t="s">
        <v>4229</v>
      </c>
    </row>
    <row r="7239" spans="1:8" hidden="1" outlineLevel="1" x14ac:dyDescent="0.25">
      <c r="A7239" s="849">
        <v>3.3333000000000002E-2</v>
      </c>
      <c r="B7239" s="981" t="s">
        <v>4025</v>
      </c>
      <c r="C7239" s="993">
        <v>24.668500000000002</v>
      </c>
      <c r="D7239" s="737">
        <v>72.38</v>
      </c>
      <c r="E7239" s="818">
        <v>1.9341062488598815</v>
      </c>
      <c r="F7239" s="946">
        <v>1.499985E-2</v>
      </c>
      <c r="G7239" s="78"/>
      <c r="H7239" t="s">
        <v>3977</v>
      </c>
    </row>
    <row r="7240" spans="1:8" hidden="1" outlineLevel="1" x14ac:dyDescent="0.25">
      <c r="A7240" s="849">
        <v>3.3333000000000002E-2</v>
      </c>
      <c r="B7240" s="740" t="s">
        <v>2699</v>
      </c>
      <c r="C7240" s="993">
        <v>10.894500000000001</v>
      </c>
      <c r="D7240" s="737">
        <v>25.82</v>
      </c>
      <c r="E7240" s="818">
        <v>1.370003212630226</v>
      </c>
      <c r="F7240" s="946">
        <v>1.499985E-2</v>
      </c>
      <c r="G7240" s="78"/>
      <c r="H7240" t="s">
        <v>505</v>
      </c>
    </row>
    <row r="7241" spans="1:8" hidden="1" outlineLevel="1" x14ac:dyDescent="0.25">
      <c r="A7241" s="849">
        <v>3.3333000000000002E-2</v>
      </c>
      <c r="B7241" s="853" t="s">
        <v>3021</v>
      </c>
      <c r="C7241" s="993">
        <v>17.689</v>
      </c>
      <c r="D7241" s="737">
        <v>15.73</v>
      </c>
      <c r="E7241" s="818">
        <v>-0.11074679179150881</v>
      </c>
      <c r="F7241" s="946">
        <v>-3.6915228107863634E-3</v>
      </c>
      <c r="G7241" s="78"/>
      <c r="H7241" t="s">
        <v>4124</v>
      </c>
    </row>
    <row r="7242" spans="1:8" hidden="1" outlineLevel="1" x14ac:dyDescent="0.25">
      <c r="A7242" s="849">
        <v>3.3333000000000002E-2</v>
      </c>
      <c r="B7242" s="740" t="s">
        <v>1094</v>
      </c>
      <c r="C7242" s="993">
        <v>2.31333126</v>
      </c>
      <c r="D7242" s="737">
        <v>6.9399999999999995</v>
      </c>
      <c r="E7242" s="818">
        <v>2.0000026887632165</v>
      </c>
      <c r="F7242" s="946">
        <v>1.499985E-2</v>
      </c>
      <c r="G7242" s="78"/>
      <c r="H7242" t="e">
        <v>#N/A</v>
      </c>
    </row>
    <row r="7243" spans="1:8" hidden="1" outlineLevel="1" x14ac:dyDescent="0.25">
      <c r="A7243" s="849">
        <v>3.3333000000000002E-2</v>
      </c>
      <c r="B7243" s="740" t="s">
        <v>142</v>
      </c>
      <c r="C7243" s="993">
        <v>5.4509999999999996</v>
      </c>
      <c r="D7243" s="737">
        <v>5.38</v>
      </c>
      <c r="E7243" s="818">
        <v>-1.3025133003118694E-2</v>
      </c>
      <c r="F7243" s="946">
        <v>-4.3416675839295547E-4</v>
      </c>
      <c r="G7243" s="78"/>
      <c r="H7243" t="e">
        <v>#N/A</v>
      </c>
    </row>
    <row r="7244" spans="1:8" hidden="1" outlineLevel="1" x14ac:dyDescent="0.25">
      <c r="A7244" s="849">
        <v>3.3333000000000002E-2</v>
      </c>
      <c r="B7244" s="740" t="s">
        <v>3643</v>
      </c>
      <c r="C7244" s="993">
        <v>152.22499999999999</v>
      </c>
      <c r="D7244" s="737">
        <v>313.60000000000002</v>
      </c>
      <c r="E7244" s="818">
        <v>1.0601083921826246</v>
      </c>
      <c r="F7244" s="946">
        <v>1.499985E-2</v>
      </c>
      <c r="G7244" s="78"/>
      <c r="H7244" t="s">
        <v>1729</v>
      </c>
    </row>
    <row r="7245" spans="1:8" hidden="1" outlineLevel="1" x14ac:dyDescent="0.25">
      <c r="A7245" s="849">
        <v>3.3333000000000002E-2</v>
      </c>
      <c r="B7245" s="740" t="s">
        <v>1031</v>
      </c>
      <c r="C7245" s="993">
        <v>5.782</v>
      </c>
      <c r="D7245" s="737">
        <v>6.2370000000000001</v>
      </c>
      <c r="E7245" s="818">
        <v>7.8692493946731279E-2</v>
      </c>
      <c r="F7245" s="946">
        <v>1.499985E-2</v>
      </c>
      <c r="G7245" s="78"/>
      <c r="H7245" t="s">
        <v>4158</v>
      </c>
    </row>
    <row r="7246" spans="1:8" hidden="1" outlineLevel="1" x14ac:dyDescent="0.25">
      <c r="A7246" s="849">
        <v>3.3333000000000002E-2</v>
      </c>
      <c r="B7246" s="740" t="s">
        <v>2588</v>
      </c>
      <c r="C7246" s="993">
        <v>7.0555000000000003</v>
      </c>
      <c r="D7246" s="737">
        <v>12.97</v>
      </c>
      <c r="E7246" s="818">
        <v>0.83828219119835601</v>
      </c>
      <c r="F7246" s="946">
        <v>1.499985E-2</v>
      </c>
      <c r="G7246" s="78"/>
      <c r="H7246" t="s">
        <v>4132</v>
      </c>
    </row>
    <row r="7247" spans="1:8" hidden="1" outlineLevel="1" x14ac:dyDescent="0.25">
      <c r="A7247" s="849">
        <v>3.3333000000000002E-2</v>
      </c>
      <c r="B7247" s="740" t="s">
        <v>44</v>
      </c>
      <c r="C7247" s="993">
        <v>2.3159999999999998</v>
      </c>
      <c r="D7247" s="737">
        <v>3.2560000000000002</v>
      </c>
      <c r="E7247" s="818">
        <v>0.40587219343696046</v>
      </c>
      <c r="F7247" s="946">
        <v>1.499985E-2</v>
      </c>
      <c r="G7247" s="78"/>
      <c r="H7247" t="s">
        <v>204</v>
      </c>
    </row>
    <row r="7248" spans="1:8" hidden="1" outlineLevel="1" x14ac:dyDescent="0.25">
      <c r="A7248" s="849">
        <v>3.3333000000000002E-2</v>
      </c>
      <c r="B7248" s="740" t="s">
        <v>1526</v>
      </c>
      <c r="C7248" s="993">
        <v>26.401499999999999</v>
      </c>
      <c r="D7248" s="737">
        <v>55.46</v>
      </c>
      <c r="E7248" s="818">
        <v>1.1006382213131829</v>
      </c>
      <c r="F7248" s="946">
        <v>1.499985E-2</v>
      </c>
      <c r="G7248" s="78"/>
      <c r="H7248" t="s">
        <v>4146</v>
      </c>
    </row>
    <row r="7249" spans="1:8" hidden="1" outlineLevel="1" x14ac:dyDescent="0.25">
      <c r="A7249" s="849">
        <v>3.3333000000000002E-2</v>
      </c>
      <c r="B7249" s="740" t="s">
        <v>1905</v>
      </c>
      <c r="C7249" s="993">
        <v>26.963000000000001</v>
      </c>
      <c r="D7249" s="737">
        <v>51.48</v>
      </c>
      <c r="E7249" s="818">
        <v>0.90928309164410459</v>
      </c>
      <c r="F7249" s="946">
        <v>1.499985E-2</v>
      </c>
      <c r="G7249" s="78"/>
      <c r="H7249" t="s">
        <v>504</v>
      </c>
    </row>
    <row r="7250" spans="1:8" hidden="1" outlineLevel="1" x14ac:dyDescent="0.25">
      <c r="A7250" s="849">
        <v>3.3333000000000002E-2</v>
      </c>
      <c r="B7250" s="740" t="s">
        <v>3797</v>
      </c>
      <c r="C7250" s="993">
        <v>41.503999999999998</v>
      </c>
      <c r="D7250" s="737">
        <v>73.75</v>
      </c>
      <c r="E7250" s="818">
        <v>0.77693716268311497</v>
      </c>
      <c r="F7250" s="946">
        <v>1.499985E-2</v>
      </c>
      <c r="G7250" s="78"/>
      <c r="H7250" t="s">
        <v>3848</v>
      </c>
    </row>
    <row r="7251" spans="1:8" hidden="1" outlineLevel="1" x14ac:dyDescent="0.25">
      <c r="A7251" s="849">
        <v>3.3333000000000002E-2</v>
      </c>
      <c r="B7251" s="740" t="s">
        <v>459</v>
      </c>
      <c r="C7251" s="993">
        <v>318.10000000000002</v>
      </c>
      <c r="D7251" s="737">
        <v>1210</v>
      </c>
      <c r="E7251" s="818">
        <v>2.8038352719270665</v>
      </c>
      <c r="F7251" s="946">
        <v>1.499985E-2</v>
      </c>
      <c r="G7251" s="78"/>
      <c r="H7251" t="s">
        <v>639</v>
      </c>
    </row>
    <row r="7252" spans="1:8" hidden="1" outlineLevel="1" x14ac:dyDescent="0.25">
      <c r="A7252" s="849">
        <v>3.3333000000000002E-2</v>
      </c>
      <c r="B7252" s="740" t="s">
        <v>1213</v>
      </c>
      <c r="C7252" s="993">
        <v>12.826000000000001</v>
      </c>
      <c r="D7252" s="737">
        <v>14.885</v>
      </c>
      <c r="E7252" s="818">
        <v>0.1605332917511304</v>
      </c>
      <c r="F7252" s="946">
        <v>1.499985E-2</v>
      </c>
      <c r="G7252" s="78"/>
      <c r="H7252" t="s">
        <v>4230</v>
      </c>
    </row>
    <row r="7253" spans="1:8" hidden="1" outlineLevel="1" x14ac:dyDescent="0.25">
      <c r="A7253" s="849">
        <v>3.3333000000000002E-2</v>
      </c>
      <c r="B7253" s="743" t="s">
        <v>6450</v>
      </c>
      <c r="C7253" s="993">
        <v>40.656999999999996</v>
      </c>
      <c r="D7253" s="737">
        <v>150</v>
      </c>
      <c r="E7253" s="818">
        <v>2.6894015790638761</v>
      </c>
      <c r="F7253" s="946">
        <v>1.499985E-2</v>
      </c>
      <c r="G7253" s="78"/>
      <c r="H7253" t="s">
        <v>6448</v>
      </c>
    </row>
    <row r="7254" spans="1:8" hidden="1" outlineLevel="1" x14ac:dyDescent="0.25">
      <c r="A7254" s="849">
        <v>3.3333000000000002E-2</v>
      </c>
      <c r="B7254" s="740" t="s">
        <v>3424</v>
      </c>
      <c r="C7254" s="993">
        <v>20.284500000000001</v>
      </c>
      <c r="D7254" s="737">
        <v>47.36</v>
      </c>
      <c r="E7254" s="818">
        <v>1.3347876457393575</v>
      </c>
      <c r="F7254" s="946">
        <v>1.499985E-2</v>
      </c>
      <c r="G7254" s="78"/>
      <c r="H7254" t="s">
        <v>3558</v>
      </c>
    </row>
    <row r="7255" spans="1:8" hidden="1" outlineLevel="1" x14ac:dyDescent="0.25">
      <c r="A7255" s="849">
        <v>3.3333000000000002E-2</v>
      </c>
      <c r="B7255" s="740" t="s">
        <v>493</v>
      </c>
      <c r="C7255" s="993">
        <v>305.98</v>
      </c>
      <c r="D7255" s="737">
        <v>676.17600000000004</v>
      </c>
      <c r="E7255" s="818">
        <v>1.2098699261389632</v>
      </c>
      <c r="F7255" s="946">
        <v>1.499985E-2</v>
      </c>
      <c r="G7255" s="78"/>
      <c r="H7255" t="s">
        <v>2058</v>
      </c>
    </row>
    <row r="7256" spans="1:8" hidden="1" outlineLevel="1" x14ac:dyDescent="0.25">
      <c r="A7256" s="849">
        <v>3.3333000000000002E-2</v>
      </c>
      <c r="B7256" s="740" t="s">
        <v>2778</v>
      </c>
      <c r="C7256" s="993">
        <v>763.65</v>
      </c>
      <c r="D7256" s="737">
        <v>748</v>
      </c>
      <c r="E7256" s="818">
        <v>-2.0493681660446517E-2</v>
      </c>
      <c r="F7256" s="946">
        <v>-6.8311589078766377E-4</v>
      </c>
      <c r="G7256" s="78"/>
      <c r="H7256" t="s">
        <v>1947</v>
      </c>
    </row>
    <row r="7257" spans="1:8" hidden="1" outlineLevel="1" x14ac:dyDescent="0.25">
      <c r="A7257" s="849">
        <v>3.3333000000000002E-2</v>
      </c>
      <c r="B7257" s="740" t="s">
        <v>494</v>
      </c>
      <c r="C7257" s="993">
        <v>42.71</v>
      </c>
      <c r="D7257" s="737">
        <v>137.5</v>
      </c>
      <c r="E7257" s="818">
        <v>2.2193865605244674</v>
      </c>
      <c r="F7257" s="946">
        <v>1.499985E-2</v>
      </c>
      <c r="G7257" s="78"/>
      <c r="H7257" t="s">
        <v>3086</v>
      </c>
    </row>
    <row r="7258" spans="1:8" hidden="1" outlineLevel="1" x14ac:dyDescent="0.25">
      <c r="A7258" s="849">
        <v>3.3333000000000002E-2</v>
      </c>
      <c r="B7258" s="740" t="s">
        <v>3169</v>
      </c>
      <c r="C7258" s="993">
        <v>22.404</v>
      </c>
      <c r="D7258" s="737">
        <v>21.94</v>
      </c>
      <c r="E7258" s="818">
        <v>-2.0710587395108004E-2</v>
      </c>
      <c r="F7258" s="946">
        <v>-6.9034600964113511E-4</v>
      </c>
      <c r="G7258" s="78"/>
      <c r="H7258" t="s">
        <v>657</v>
      </c>
    </row>
    <row r="7259" spans="1:8" hidden="1" outlineLevel="1" x14ac:dyDescent="0.25">
      <c r="A7259" s="849">
        <v>3.3333000000000002E-2</v>
      </c>
      <c r="B7259" s="997" t="s">
        <v>4487</v>
      </c>
      <c r="C7259" s="993">
        <v>16.344000000000001</v>
      </c>
      <c r="D7259" s="737">
        <v>40.47</v>
      </c>
      <c r="E7259" s="818">
        <v>1.4761380323054327</v>
      </c>
      <c r="F7259" s="1023">
        <v>1.499985E-2</v>
      </c>
      <c r="G7259" s="78"/>
      <c r="H7259" t="s">
        <v>3545</v>
      </c>
    </row>
    <row r="7260" spans="1:8" hidden="1" outlineLevel="1" x14ac:dyDescent="0.25">
      <c r="A7260" s="854"/>
      <c r="B7260" s="718"/>
      <c r="C7260" s="855"/>
      <c r="D7260" s="867"/>
      <c r="E7260" s="820"/>
      <c r="F7260" s="770">
        <v>0.3200804369943166</v>
      </c>
      <c r="G7260" s="78"/>
    </row>
    <row r="7261" spans="1:8" collapsed="1" x14ac:dyDescent="0.25">
      <c r="A7261" s="3801" t="s">
        <v>4202</v>
      </c>
      <c r="B7261" s="3802"/>
      <c r="C7261" s="3802"/>
      <c r="D7261" s="3802"/>
      <c r="E7261" s="821"/>
      <c r="F7261" s="752">
        <v>0.3200804369943166</v>
      </c>
      <c r="G7261" s="97" t="s">
        <v>781</v>
      </c>
    </row>
    <row r="7263" spans="1:8" hidden="1" outlineLevel="1" x14ac:dyDescent="0.25">
      <c r="A7263" s="689" t="s">
        <v>113</v>
      </c>
      <c r="B7263" s="689" t="s">
        <v>114</v>
      </c>
      <c r="C7263" s="689" t="s">
        <v>112</v>
      </c>
      <c r="D7263" s="689" t="s">
        <v>116</v>
      </c>
      <c r="E7263" s="689" t="s">
        <v>117</v>
      </c>
      <c r="F7263" s="1188" t="s">
        <v>121</v>
      </c>
      <c r="G7263" s="78"/>
    </row>
    <row r="7264" spans="1:8" hidden="1" outlineLevel="1" x14ac:dyDescent="0.25">
      <c r="A7264" s="690">
        <v>16</v>
      </c>
      <c r="B7264" s="691" t="s">
        <v>252</v>
      </c>
      <c r="C7264" s="692">
        <v>100</v>
      </c>
      <c r="D7264" s="692"/>
      <c r="E7264" s="693"/>
      <c r="F7264" s="694"/>
      <c r="G7264" s="78"/>
    </row>
    <row r="7265" spans="1:8" hidden="1" outlineLevel="1" x14ac:dyDescent="0.25">
      <c r="A7265" s="695"/>
      <c r="B7265" s="695"/>
      <c r="C7265" s="696"/>
      <c r="D7265" s="697" t="s">
        <v>3702</v>
      </c>
      <c r="E7265" s="698">
        <v>41274</v>
      </c>
      <c r="F7265" s="699"/>
      <c r="G7265" s="78"/>
    </row>
    <row r="7266" spans="1:8" hidden="1" outlineLevel="1" x14ac:dyDescent="0.25">
      <c r="A7266" s="689" t="s">
        <v>4156</v>
      </c>
      <c r="B7266" s="689" t="s">
        <v>4153</v>
      </c>
      <c r="C7266" s="497" t="s">
        <v>112</v>
      </c>
      <c r="D7266" s="495" t="s">
        <v>4155</v>
      </c>
      <c r="E7266" s="689" t="s">
        <v>4154</v>
      </c>
      <c r="F7266" s="1021" t="s">
        <v>2519</v>
      </c>
      <c r="G7266" s="78"/>
    </row>
    <row r="7267" spans="1:8" hidden="1" outlineLevel="1" x14ac:dyDescent="0.25">
      <c r="A7267" s="999">
        <v>0.02</v>
      </c>
      <c r="B7267" s="1000" t="s">
        <v>280</v>
      </c>
      <c r="C7267" s="1001">
        <v>30.216000000000001</v>
      </c>
      <c r="D7267" s="803">
        <v>49.744999999999997</v>
      </c>
      <c r="E7267" s="1209">
        <v>0.64631321154355303</v>
      </c>
      <c r="F7267" s="1021">
        <v>1.2926264230871062E-2</v>
      </c>
      <c r="G7267" s="78"/>
      <c r="H7267" t="s">
        <v>1469</v>
      </c>
    </row>
    <row r="7268" spans="1:8" hidden="1" outlineLevel="1" x14ac:dyDescent="0.25">
      <c r="A7268" s="1002">
        <v>0.03</v>
      </c>
      <c r="B7268" s="987" t="s">
        <v>2984</v>
      </c>
      <c r="C7268" s="1003">
        <v>7.6580000000000004</v>
      </c>
      <c r="D7268" s="908">
        <v>6.96</v>
      </c>
      <c r="E7268" s="1210">
        <v>-9.1146513449987032E-2</v>
      </c>
      <c r="F7268" s="946">
        <v>-2.734395403499611E-3</v>
      </c>
      <c r="G7268" s="78"/>
      <c r="H7268" t="s">
        <v>2326</v>
      </c>
    </row>
    <row r="7269" spans="1:8" hidden="1" outlineLevel="1" x14ac:dyDescent="0.25">
      <c r="A7269" s="1002">
        <v>0.04</v>
      </c>
      <c r="B7269" s="996" t="s">
        <v>1994</v>
      </c>
      <c r="C7269" s="1003">
        <v>9.18</v>
      </c>
      <c r="D7269" s="908">
        <v>11.6</v>
      </c>
      <c r="E7269" s="1210">
        <v>0.26361655773420489</v>
      </c>
      <c r="F7269" s="946">
        <v>1.0544662309368196E-2</v>
      </c>
      <c r="G7269" s="78"/>
      <c r="H7269" t="s">
        <v>3493</v>
      </c>
    </row>
    <row r="7270" spans="1:8" hidden="1" outlineLevel="1" x14ac:dyDescent="0.25">
      <c r="A7270" s="1002">
        <v>0.03</v>
      </c>
      <c r="B7270" s="996" t="s">
        <v>3020</v>
      </c>
      <c r="C7270" s="1003">
        <v>43.256999999999998</v>
      </c>
      <c r="D7270" s="908">
        <v>71.89</v>
      </c>
      <c r="E7270" s="1210">
        <v>0.6619275492983796</v>
      </c>
      <c r="F7270" s="946">
        <v>1.9857826478951388E-2</v>
      </c>
      <c r="G7270" s="78"/>
      <c r="H7270" t="s">
        <v>490</v>
      </c>
    </row>
    <row r="7271" spans="1:8" hidden="1" outlineLevel="1" x14ac:dyDescent="0.25">
      <c r="A7271" s="1002">
        <v>0.03</v>
      </c>
      <c r="B7271" s="996" t="s">
        <v>901</v>
      </c>
      <c r="C7271" s="1003">
        <v>1800.1</v>
      </c>
      <c r="D7271" s="908">
        <v>3121</v>
      </c>
      <c r="E7271" s="1210">
        <v>0.73379256707960683</v>
      </c>
      <c r="F7271" s="946">
        <v>2.2013777012388203E-2</v>
      </c>
      <c r="G7271" s="78"/>
      <c r="H7271" t="s">
        <v>531</v>
      </c>
    </row>
    <row r="7272" spans="1:8" hidden="1" outlineLevel="1" x14ac:dyDescent="0.25">
      <c r="A7272" s="1002">
        <v>0.04</v>
      </c>
      <c r="B7272" s="996" t="s">
        <v>1847</v>
      </c>
      <c r="C7272" s="1003">
        <v>46.849999999999994</v>
      </c>
      <c r="D7272" s="908">
        <v>39.56</v>
      </c>
      <c r="E7272" s="1210">
        <v>-0.15560298826040542</v>
      </c>
      <c r="F7272" s="946">
        <v>-6.2241195304162172E-3</v>
      </c>
      <c r="G7272" s="78"/>
      <c r="H7272" t="s">
        <v>2749</v>
      </c>
    </row>
    <row r="7273" spans="1:8" hidden="1" outlineLevel="1" x14ac:dyDescent="0.25">
      <c r="A7273" s="1002">
        <v>0.04</v>
      </c>
      <c r="B7273" s="996" t="s">
        <v>3792</v>
      </c>
      <c r="C7273" s="1003">
        <v>15.692</v>
      </c>
      <c r="D7273" s="908">
        <v>30.34</v>
      </c>
      <c r="E7273" s="1210">
        <v>0.93346928371144533</v>
      </c>
      <c r="F7273" s="946">
        <v>3.7338771348457811E-2</v>
      </c>
      <c r="G7273" s="78"/>
      <c r="H7273" t="s">
        <v>783</v>
      </c>
    </row>
    <row r="7274" spans="1:8" hidden="1" outlineLevel="1" x14ac:dyDescent="0.25">
      <c r="A7274" s="1002">
        <v>0.02</v>
      </c>
      <c r="B7274" s="743" t="s">
        <v>4025</v>
      </c>
      <c r="C7274" s="1003">
        <v>24.872</v>
      </c>
      <c r="D7274" s="908">
        <v>41.32</v>
      </c>
      <c r="E7274" s="1210">
        <v>0.66130588613702157</v>
      </c>
      <c r="F7274" s="946">
        <v>1.3226117722740433E-2</v>
      </c>
      <c r="G7274" s="78"/>
      <c r="H7274" t="s">
        <v>3977</v>
      </c>
    </row>
    <row r="7275" spans="1:8" hidden="1" outlineLevel="1" x14ac:dyDescent="0.25">
      <c r="A7275" s="1002">
        <v>0.05</v>
      </c>
      <c r="B7275" s="939" t="s">
        <v>2629</v>
      </c>
      <c r="C7275" s="1003">
        <v>10.3855</v>
      </c>
      <c r="D7275" s="908">
        <v>8.5950000000000006</v>
      </c>
      <c r="E7275" s="1210">
        <v>-0.17240383226614031</v>
      </c>
      <c r="F7275" s="946">
        <v>-8.6201916133070156E-3</v>
      </c>
      <c r="G7275" s="78"/>
      <c r="H7275" t="s">
        <v>1652</v>
      </c>
    </row>
    <row r="7276" spans="1:8" hidden="1" outlineLevel="1" x14ac:dyDescent="0.25">
      <c r="A7276" s="1002">
        <v>0.03</v>
      </c>
      <c r="B7276" s="996" t="s">
        <v>4110</v>
      </c>
      <c r="C7276" s="1003">
        <v>34.670999999999999</v>
      </c>
      <c r="D7276" s="908">
        <v>51.8</v>
      </c>
      <c r="E7276" s="1210">
        <v>0.49404401372905293</v>
      </c>
      <c r="F7276" s="946">
        <v>1.4821320411871588E-2</v>
      </c>
      <c r="G7276" s="78"/>
      <c r="H7276" t="s">
        <v>2622</v>
      </c>
    </row>
    <row r="7277" spans="1:8" hidden="1" outlineLevel="1" x14ac:dyDescent="0.25">
      <c r="A7277" s="1002">
        <v>0.02</v>
      </c>
      <c r="B7277" s="996" t="s">
        <v>4064</v>
      </c>
      <c r="C7277" s="1003">
        <v>38.052</v>
      </c>
      <c r="D7277" s="908">
        <v>49.32</v>
      </c>
      <c r="E7277" s="1210">
        <v>0.29612109744560078</v>
      </c>
      <c r="F7277" s="946">
        <v>5.9224219489120156E-3</v>
      </c>
      <c r="G7277" s="78"/>
      <c r="H7277" t="s">
        <v>170</v>
      </c>
    </row>
    <row r="7278" spans="1:8" hidden="1" outlineLevel="1" x14ac:dyDescent="0.25">
      <c r="A7278" s="1002">
        <v>0.05</v>
      </c>
      <c r="B7278" s="996" t="s">
        <v>3798</v>
      </c>
      <c r="C7278" s="1003">
        <v>4.3685</v>
      </c>
      <c r="D7278" s="908">
        <v>3.1379999999999999</v>
      </c>
      <c r="E7278" s="1210">
        <v>-0.28167563236808979</v>
      </c>
      <c r="F7278" s="946">
        <v>-1.4083781618404491E-2</v>
      </c>
      <c r="G7278" s="78"/>
      <c r="H7278" t="s">
        <v>4122</v>
      </c>
    </row>
    <row r="7279" spans="1:8" hidden="1" outlineLevel="1" x14ac:dyDescent="0.25">
      <c r="A7279" s="1002">
        <v>0.04</v>
      </c>
      <c r="B7279" s="996" t="s">
        <v>2630</v>
      </c>
      <c r="C7279" s="1003">
        <v>19.4345</v>
      </c>
      <c r="D7279" s="908">
        <v>8.3390000000000004</v>
      </c>
      <c r="E7279" s="1210">
        <v>-0.57091769790835878</v>
      </c>
      <c r="F7279" s="946">
        <v>-2.283670791633435E-2</v>
      </c>
      <c r="G7279" s="78"/>
      <c r="H7279" t="e">
        <v>#N/A</v>
      </c>
    </row>
    <row r="7280" spans="1:8" hidden="1" outlineLevel="1" x14ac:dyDescent="0.25">
      <c r="A7280" s="1002">
        <v>0.03</v>
      </c>
      <c r="B7280" s="743" t="s">
        <v>1031</v>
      </c>
      <c r="C7280" s="1003">
        <v>6.0949999999999998</v>
      </c>
      <c r="D7280" s="908">
        <v>4.1950000000000003</v>
      </c>
      <c r="E7280" s="1210">
        <v>-0.31173092698933547</v>
      </c>
      <c r="F7280" s="946">
        <v>-9.3519278096800638E-3</v>
      </c>
      <c r="G7280" s="78"/>
      <c r="H7280" t="s">
        <v>4158</v>
      </c>
    </row>
    <row r="7281" spans="1:8" hidden="1" outlineLevel="1" x14ac:dyDescent="0.25">
      <c r="A7281" s="1002">
        <v>0.05</v>
      </c>
      <c r="B7281" s="996" t="s">
        <v>2588</v>
      </c>
      <c r="C7281" s="1003">
        <v>7.0824999999999996</v>
      </c>
      <c r="D7281" s="908">
        <v>7.0609999999999999</v>
      </c>
      <c r="E7281" s="1210">
        <v>-3.0356512530885782E-3</v>
      </c>
      <c r="F7281" s="946">
        <v>-1.5178256265442893E-4</v>
      </c>
      <c r="G7281" s="78"/>
      <c r="H7281" t="s">
        <v>4132</v>
      </c>
    </row>
    <row r="7282" spans="1:8" hidden="1" outlineLevel="1" x14ac:dyDescent="0.25">
      <c r="A7282" s="1002">
        <v>0.03</v>
      </c>
      <c r="B7282" s="743" t="s">
        <v>44</v>
      </c>
      <c r="C7282" s="1003">
        <v>2.4769999999999999</v>
      </c>
      <c r="D7282" s="908">
        <v>1.3</v>
      </c>
      <c r="E7282" s="1210">
        <v>-0.4751715785224061</v>
      </c>
      <c r="F7282" s="946">
        <v>-1.4255147355672182E-2</v>
      </c>
      <c r="G7282" s="78"/>
      <c r="H7282" t="s">
        <v>204</v>
      </c>
    </row>
    <row r="7283" spans="1:8" hidden="1" outlineLevel="1" x14ac:dyDescent="0.25">
      <c r="A7283" s="1002">
        <v>0.03</v>
      </c>
      <c r="B7283" s="996" t="s">
        <v>1526</v>
      </c>
      <c r="C7283" s="1003">
        <v>17.6968</v>
      </c>
      <c r="D7283" s="908">
        <v>26.15</v>
      </c>
      <c r="E7283" s="1210">
        <v>0.47766827901089459</v>
      </c>
      <c r="F7283" s="946">
        <v>1.4330048370326837E-2</v>
      </c>
      <c r="G7283" s="78"/>
      <c r="H7283" t="s">
        <v>4146</v>
      </c>
    </row>
    <row r="7284" spans="1:8" hidden="1" outlineLevel="1" x14ac:dyDescent="0.25">
      <c r="A7284" s="1002">
        <v>0.02</v>
      </c>
      <c r="B7284" s="740" t="s">
        <v>281</v>
      </c>
      <c r="C7284" s="1003">
        <v>6.9</v>
      </c>
      <c r="D7284" s="908">
        <v>8.42</v>
      </c>
      <c r="E7284" s="1210">
        <v>0.22028985507246368</v>
      </c>
      <c r="F7284" s="946">
        <v>4.4057971014492738E-3</v>
      </c>
      <c r="G7284" s="78"/>
      <c r="H7284" t="s">
        <v>4159</v>
      </c>
    </row>
    <row r="7285" spans="1:8" hidden="1" outlineLevel="1" x14ac:dyDescent="0.25">
      <c r="A7285" s="1002">
        <v>0.04</v>
      </c>
      <c r="B7285" s="740" t="s">
        <v>3801</v>
      </c>
      <c r="C7285" s="1003">
        <v>61.19</v>
      </c>
      <c r="D7285" s="908">
        <v>31.24</v>
      </c>
      <c r="E7285" s="1210">
        <v>-0.48945906193822519</v>
      </c>
      <c r="F7285" s="946">
        <v>-1.9578362477529008E-2</v>
      </c>
      <c r="G7285" s="78"/>
      <c r="H7285" t="s">
        <v>2819</v>
      </c>
    </row>
    <row r="7286" spans="1:8" hidden="1" outlineLevel="1" x14ac:dyDescent="0.25">
      <c r="A7286" s="1002">
        <v>0.03</v>
      </c>
      <c r="B7286" s="740" t="s">
        <v>51</v>
      </c>
      <c r="C7286" s="1003">
        <v>31.258500000000002</v>
      </c>
      <c r="D7286" s="908">
        <v>32.22</v>
      </c>
      <c r="E7286" s="1210">
        <v>3.0759633379720652E-2</v>
      </c>
      <c r="F7286" s="946">
        <v>9.2278900139161949E-4</v>
      </c>
      <c r="G7286" s="78"/>
      <c r="H7286" t="s">
        <v>2748</v>
      </c>
    </row>
    <row r="7287" spans="1:8" hidden="1" outlineLevel="1" x14ac:dyDescent="0.25">
      <c r="A7287" s="1002">
        <v>0.02</v>
      </c>
      <c r="B7287" s="939" t="s">
        <v>1709</v>
      </c>
      <c r="C7287" s="1003">
        <v>47.79</v>
      </c>
      <c r="D7287" s="908">
        <v>103.5</v>
      </c>
      <c r="E7287" s="1210">
        <v>1.1657250470809792</v>
      </c>
      <c r="F7287" s="946">
        <v>2.3314500941619586E-2</v>
      </c>
      <c r="G7287" s="78"/>
      <c r="H7287" t="s">
        <v>2327</v>
      </c>
    </row>
    <row r="7288" spans="1:8" hidden="1" outlineLevel="1" x14ac:dyDescent="0.25">
      <c r="A7288" s="1002">
        <v>0.03</v>
      </c>
      <c r="B7288" s="996" t="s">
        <v>279</v>
      </c>
      <c r="C7288" s="1003">
        <v>49.834000000000003</v>
      </c>
      <c r="D7288" s="908">
        <v>54.83</v>
      </c>
      <c r="E7288" s="1210">
        <v>0.10025283942689711</v>
      </c>
      <c r="F7288" s="946">
        <v>3.0075851828069134E-3</v>
      </c>
      <c r="G7288" s="78"/>
      <c r="H7288" t="s">
        <v>1468</v>
      </c>
    </row>
    <row r="7289" spans="1:8" hidden="1" outlineLevel="1" x14ac:dyDescent="0.25">
      <c r="A7289" s="1002">
        <v>0.02</v>
      </c>
      <c r="B7289" s="996" t="s">
        <v>3656</v>
      </c>
      <c r="C7289" s="1003">
        <v>69.174999999999997</v>
      </c>
      <c r="D7289" s="908">
        <v>163.19999999999999</v>
      </c>
      <c r="E7289" s="1210">
        <v>1.3592338272497289</v>
      </c>
      <c r="F7289" s="946">
        <v>2.7184676544994579E-2</v>
      </c>
      <c r="G7289" s="78"/>
      <c r="H7289" t="s">
        <v>1467</v>
      </c>
    </row>
    <row r="7290" spans="1:8" hidden="1" outlineLevel="1" x14ac:dyDescent="0.25">
      <c r="A7290" s="1002">
        <v>0.03</v>
      </c>
      <c r="B7290" s="996" t="s">
        <v>2166</v>
      </c>
      <c r="C7290" s="1003">
        <v>31.939</v>
      </c>
      <c r="D7290" s="908">
        <v>28.34</v>
      </c>
      <c r="E7290" s="1210">
        <v>-0.11268355302294997</v>
      </c>
      <c r="F7290" s="946">
        <v>-3.3805065906884987E-3</v>
      </c>
      <c r="G7290" s="78"/>
      <c r="H7290" t="s">
        <v>4160</v>
      </c>
    </row>
    <row r="7291" spans="1:8" hidden="1" outlineLevel="1" x14ac:dyDescent="0.25">
      <c r="A7291" s="1002">
        <v>0.04</v>
      </c>
      <c r="B7291" s="743" t="s">
        <v>3427</v>
      </c>
      <c r="C7291" s="1003">
        <v>35.045000000000002</v>
      </c>
      <c r="D7291" s="908">
        <v>42.81</v>
      </c>
      <c r="E7291" s="1210">
        <v>0.22157226423170218</v>
      </c>
      <c r="F7291" s="946">
        <v>8.8628905692680875E-3</v>
      </c>
      <c r="G7291" s="78"/>
      <c r="H7291" t="s">
        <v>2800</v>
      </c>
    </row>
    <row r="7292" spans="1:8" hidden="1" outlineLevel="1" x14ac:dyDescent="0.25">
      <c r="A7292" s="1002">
        <v>0.03</v>
      </c>
      <c r="B7292" s="743" t="s">
        <v>181</v>
      </c>
      <c r="C7292" s="1003">
        <v>46.036999999999999</v>
      </c>
      <c r="D7292" s="908">
        <v>49.04</v>
      </c>
      <c r="E7292" s="1210">
        <v>6.5230140973564721E-2</v>
      </c>
      <c r="F7292" s="946">
        <v>1.9569042292069414E-3</v>
      </c>
      <c r="G7292" s="78"/>
      <c r="H7292" t="e">
        <v>#N/A</v>
      </c>
    </row>
    <row r="7293" spans="1:8" hidden="1" outlineLevel="1" x14ac:dyDescent="0.25">
      <c r="A7293" s="1002">
        <v>0.03</v>
      </c>
      <c r="B7293" s="743" t="s">
        <v>3022</v>
      </c>
      <c r="C7293" s="1003">
        <v>4326</v>
      </c>
      <c r="D7293" s="908">
        <v>3855</v>
      </c>
      <c r="E7293" s="1210">
        <v>-0.10887656033287096</v>
      </c>
      <c r="F7293" s="946">
        <v>-3.2662968099861286E-3</v>
      </c>
      <c r="G7293" s="78"/>
      <c r="H7293" t="s">
        <v>2802</v>
      </c>
    </row>
    <row r="7294" spans="1:8" hidden="1" outlineLevel="1" x14ac:dyDescent="0.25">
      <c r="A7294" s="1002">
        <v>0.04</v>
      </c>
      <c r="B7294" s="743" t="s">
        <v>1527</v>
      </c>
      <c r="C7294" s="1003">
        <v>1.101</v>
      </c>
      <c r="D7294" s="908">
        <v>0.68300000000000005</v>
      </c>
      <c r="E7294" s="1210">
        <v>-0.37965485921889186</v>
      </c>
      <c r="F7294" s="946">
        <v>-1.5186194368755675E-2</v>
      </c>
      <c r="G7294" s="78"/>
      <c r="H7294" t="s">
        <v>2803</v>
      </c>
    </row>
    <row r="7295" spans="1:8" hidden="1" outlineLevel="1" x14ac:dyDescent="0.25">
      <c r="A7295" s="1002">
        <v>0.05</v>
      </c>
      <c r="B7295" s="743" t="s">
        <v>576</v>
      </c>
      <c r="C7295" s="1003">
        <v>7.1014999999999997</v>
      </c>
      <c r="D7295" s="908">
        <v>7.8490000000000002</v>
      </c>
      <c r="E7295" s="1210">
        <v>0.10525945222840249</v>
      </c>
      <c r="F7295" s="946">
        <v>5.2629726114201249E-3</v>
      </c>
      <c r="G7295" s="78"/>
      <c r="H7295" t="s">
        <v>2080</v>
      </c>
    </row>
    <row r="7296" spans="1:8" hidden="1" outlineLevel="1" x14ac:dyDescent="0.25">
      <c r="A7296" s="1002">
        <v>0.04</v>
      </c>
      <c r="B7296" s="997" t="s">
        <v>2983</v>
      </c>
      <c r="C7296" s="1003">
        <v>585.79999999999995</v>
      </c>
      <c r="D7296" s="715">
        <v>673.5</v>
      </c>
      <c r="E7296" s="1210">
        <v>0.14970979856606359</v>
      </c>
      <c r="F7296" s="946">
        <v>5.9883919426425439E-3</v>
      </c>
      <c r="G7296" s="78"/>
      <c r="H7296" t="s">
        <v>1713</v>
      </c>
    </row>
    <row r="7297" spans="1:7" hidden="1" outlineLevel="1" x14ac:dyDescent="0.25">
      <c r="A7297" s="1099"/>
      <c r="B7297" s="1000"/>
      <c r="C7297" s="736"/>
      <c r="D7297" s="741"/>
      <c r="E7297" s="895"/>
      <c r="F7297" s="1021">
        <v>0.11221830390175955</v>
      </c>
      <c r="G7297" s="78"/>
    </row>
    <row r="7298" spans="1:7" hidden="1" outlineLevel="1" x14ac:dyDescent="0.25">
      <c r="A7298" s="753" t="s">
        <v>4203</v>
      </c>
      <c r="B7298" s="1100">
        <v>39873</v>
      </c>
      <c r="C7298" s="719">
        <v>100</v>
      </c>
      <c r="D7298" s="719">
        <v>82.0167</v>
      </c>
      <c r="E7298" s="720">
        <v>-0.17983300000000002</v>
      </c>
      <c r="F7298" s="731">
        <v>-0.17983300000000002</v>
      </c>
      <c r="G7298" s="78"/>
    </row>
    <row r="7299" spans="1:7" hidden="1" outlineLevel="1" x14ac:dyDescent="0.25">
      <c r="A7299" s="732" t="s">
        <v>4204</v>
      </c>
      <c r="B7299" s="1100">
        <v>39965</v>
      </c>
      <c r="C7299" s="727">
        <v>100</v>
      </c>
      <c r="D7299" s="727">
        <v>95.185400000000001</v>
      </c>
      <c r="E7299" s="720">
        <v>-4.8146000000000022E-2</v>
      </c>
      <c r="F7299" s="731">
        <v>-4.8146000000000022E-2</v>
      </c>
      <c r="G7299" s="78"/>
    </row>
    <row r="7300" spans="1:7" hidden="1" outlineLevel="1" x14ac:dyDescent="0.25">
      <c r="A7300" s="732" t="s">
        <v>4205</v>
      </c>
      <c r="B7300" s="985">
        <v>40057</v>
      </c>
      <c r="C7300" s="727">
        <v>100</v>
      </c>
      <c r="D7300" s="727">
        <v>123.1247</v>
      </c>
      <c r="E7300" s="720">
        <v>0.23124699999999998</v>
      </c>
      <c r="F7300" s="731">
        <v>0.23124699999999998</v>
      </c>
      <c r="G7300" s="78"/>
    </row>
    <row r="7301" spans="1:7" hidden="1" outlineLevel="1" x14ac:dyDescent="0.25">
      <c r="A7301" s="732" t="s">
        <v>4206</v>
      </c>
      <c r="B7301" s="1100">
        <v>40148</v>
      </c>
      <c r="C7301" s="727">
        <v>100</v>
      </c>
      <c r="D7301" s="727">
        <v>121.0491</v>
      </c>
      <c r="E7301" s="720">
        <v>0.21049099999999998</v>
      </c>
      <c r="F7301" s="731">
        <v>0.21049099999999998</v>
      </c>
      <c r="G7301" s="78"/>
    </row>
    <row r="7302" spans="1:7" hidden="1" outlineLevel="1" x14ac:dyDescent="0.25">
      <c r="A7302" s="732" t="s">
        <v>4207</v>
      </c>
      <c r="B7302" s="985">
        <v>40238</v>
      </c>
      <c r="C7302" s="727">
        <v>100</v>
      </c>
      <c r="D7302" s="727">
        <v>127.5675</v>
      </c>
      <c r="E7302" s="720">
        <v>0.27567499999999989</v>
      </c>
      <c r="F7302" s="731">
        <v>0.27567499999999989</v>
      </c>
      <c r="G7302" s="78"/>
    </row>
    <row r="7303" spans="1:7" hidden="1" outlineLevel="1" x14ac:dyDescent="0.25">
      <c r="A7303" s="732" t="s">
        <v>3993</v>
      </c>
      <c r="B7303" s="1100">
        <v>40330</v>
      </c>
      <c r="C7303" s="727">
        <v>100</v>
      </c>
      <c r="D7303" s="727">
        <v>115.36109999999999</v>
      </c>
      <c r="E7303" s="720">
        <v>0.15361099999999994</v>
      </c>
      <c r="F7303" s="731">
        <v>0.15361099999999994</v>
      </c>
      <c r="G7303" s="78"/>
    </row>
    <row r="7304" spans="1:7" hidden="1" outlineLevel="1" x14ac:dyDescent="0.25">
      <c r="A7304" s="732" t="s">
        <v>1147</v>
      </c>
      <c r="B7304" s="985">
        <v>40422</v>
      </c>
      <c r="C7304" s="727">
        <v>100</v>
      </c>
      <c r="D7304" s="727">
        <v>124.99169999999999</v>
      </c>
      <c r="E7304" s="720">
        <v>0.24991699999999994</v>
      </c>
      <c r="F7304" s="731">
        <v>0.24991699999999994</v>
      </c>
      <c r="G7304" s="78"/>
    </row>
    <row r="7305" spans="1:7" hidden="1" outlineLevel="1" x14ac:dyDescent="0.25">
      <c r="A7305" s="732" t="s">
        <v>1148</v>
      </c>
      <c r="B7305" s="1100">
        <v>40513</v>
      </c>
      <c r="C7305" s="727">
        <v>100</v>
      </c>
      <c r="D7305" s="727">
        <v>130.37190000000001</v>
      </c>
      <c r="E7305" s="720">
        <v>0.30371900000000007</v>
      </c>
      <c r="F7305" s="731">
        <v>0.30371900000000007</v>
      </c>
      <c r="G7305" s="78"/>
    </row>
    <row r="7306" spans="1:7" hidden="1" outlineLevel="1" x14ac:dyDescent="0.25">
      <c r="A7306" s="732" t="s">
        <v>1149</v>
      </c>
      <c r="B7306" s="985">
        <v>40603</v>
      </c>
      <c r="C7306" s="727">
        <v>100</v>
      </c>
      <c r="D7306" s="727">
        <v>132.4085</v>
      </c>
      <c r="E7306" s="720">
        <v>0.32408499999999996</v>
      </c>
      <c r="F7306" s="731">
        <v>0.32408499999999996</v>
      </c>
      <c r="G7306" s="78"/>
    </row>
    <row r="7307" spans="1:7" hidden="1" outlineLevel="1" x14ac:dyDescent="0.25">
      <c r="A7307" s="732" t="s">
        <v>1150</v>
      </c>
      <c r="B7307" s="1100">
        <v>40695</v>
      </c>
      <c r="C7307" s="727">
        <v>100</v>
      </c>
      <c r="D7307" s="727">
        <v>127.5612</v>
      </c>
      <c r="E7307" s="720">
        <v>0.27561199999999997</v>
      </c>
      <c r="F7307" s="731">
        <v>0.27561199999999997</v>
      </c>
      <c r="G7307" s="78"/>
    </row>
    <row r="7308" spans="1:7" hidden="1" outlineLevel="1" x14ac:dyDescent="0.25">
      <c r="A7308" s="732" t="s">
        <v>1151</v>
      </c>
      <c r="B7308" s="985">
        <v>40787</v>
      </c>
      <c r="C7308" s="727">
        <v>100</v>
      </c>
      <c r="D7308" s="727">
        <v>95.602900000000005</v>
      </c>
      <c r="E7308" s="720">
        <v>-4.3970999999999982E-2</v>
      </c>
      <c r="F7308" s="731">
        <v>-4.3970999999999982E-2</v>
      </c>
      <c r="G7308" s="78"/>
    </row>
    <row r="7309" spans="1:7" hidden="1" outlineLevel="1" x14ac:dyDescent="0.25">
      <c r="A7309" s="732" t="s">
        <v>1152</v>
      </c>
      <c r="B7309" s="1100">
        <v>40878</v>
      </c>
      <c r="C7309" s="727">
        <v>100</v>
      </c>
      <c r="D7309" s="727">
        <v>98.898899999999998</v>
      </c>
      <c r="E7309" s="720">
        <v>-1.1010999999999993E-2</v>
      </c>
      <c r="F7309" s="731">
        <v>-1.1010999999999993E-2</v>
      </c>
      <c r="G7309" s="78"/>
    </row>
    <row r="7310" spans="1:7" hidden="1" outlineLevel="1" x14ac:dyDescent="0.25">
      <c r="A7310" s="732" t="s">
        <v>1153</v>
      </c>
      <c r="B7310" s="985">
        <v>40969</v>
      </c>
      <c r="C7310" s="727">
        <v>100</v>
      </c>
      <c r="D7310" s="727">
        <v>110.6859</v>
      </c>
      <c r="E7310" s="720">
        <v>0.10685900000000004</v>
      </c>
      <c r="F7310" s="731">
        <v>0.10685900000000004</v>
      </c>
      <c r="G7310" s="78"/>
    </row>
    <row r="7311" spans="1:7" hidden="1" outlineLevel="1" x14ac:dyDescent="0.25">
      <c r="A7311" s="732" t="s">
        <v>3454</v>
      </c>
      <c r="B7311" s="1100">
        <v>41061</v>
      </c>
      <c r="C7311" s="727">
        <v>100</v>
      </c>
      <c r="D7311" s="727">
        <v>102.712</v>
      </c>
      <c r="E7311" s="720">
        <v>2.7120000000000033E-2</v>
      </c>
      <c r="F7311" s="731">
        <v>2.7120000000000033E-2</v>
      </c>
      <c r="G7311" s="78"/>
    </row>
    <row r="7312" spans="1:7" hidden="1" outlineLevel="1" x14ac:dyDescent="0.25">
      <c r="A7312" s="732" t="s">
        <v>3455</v>
      </c>
      <c r="B7312" s="985">
        <v>41153</v>
      </c>
      <c r="C7312" s="727">
        <v>100</v>
      </c>
      <c r="D7312" s="727">
        <v>109.5963</v>
      </c>
      <c r="E7312" s="720">
        <v>9.5963000000000021E-2</v>
      </c>
      <c r="F7312" s="731">
        <v>9.5963000000000021E-2</v>
      </c>
      <c r="G7312" s="78"/>
    </row>
    <row r="7313" spans="1:10" hidden="1" outlineLevel="1" x14ac:dyDescent="0.25">
      <c r="A7313" s="754" t="s">
        <v>957</v>
      </c>
      <c r="B7313" s="1100">
        <v>41244</v>
      </c>
      <c r="C7313" s="727">
        <v>100</v>
      </c>
      <c r="D7313" s="727">
        <v>118.2915</v>
      </c>
      <c r="E7313" s="720">
        <v>0.18291499999999994</v>
      </c>
      <c r="F7313" s="731">
        <v>0.18291499999999994</v>
      </c>
      <c r="G7313" s="78"/>
    </row>
    <row r="7314" spans="1:10" hidden="1" outlineLevel="1" x14ac:dyDescent="0.25">
      <c r="A7314" s="749"/>
      <c r="B7314" s="750"/>
      <c r="C7314" s="727"/>
      <c r="D7314" s="727"/>
      <c r="E7314" s="1211" t="s">
        <v>2465</v>
      </c>
      <c r="F7314" s="1828">
        <v>0.13464081249999998</v>
      </c>
      <c r="G7314" s="78"/>
    </row>
    <row r="7315" spans="1:10" collapsed="1" x14ac:dyDescent="0.25">
      <c r="A7315" s="3801" t="s">
        <v>1718</v>
      </c>
      <c r="B7315" s="3802"/>
      <c r="C7315" s="3802"/>
      <c r="D7315" s="3802"/>
      <c r="E7315" s="721"/>
      <c r="F7315" s="722">
        <v>8.7516528124999993E-2</v>
      </c>
      <c r="G7315" s="97" t="s">
        <v>781</v>
      </c>
    </row>
    <row r="7317" spans="1:10" hidden="1" outlineLevel="1" x14ac:dyDescent="0.25">
      <c r="A7317" s="689" t="s">
        <v>113</v>
      </c>
      <c r="B7317" s="689" t="s">
        <v>114</v>
      </c>
      <c r="C7317" s="689" t="s">
        <v>112</v>
      </c>
      <c r="D7317" s="689" t="s">
        <v>116</v>
      </c>
      <c r="E7317" s="689" t="s">
        <v>117</v>
      </c>
      <c r="F7317" s="1188" t="s">
        <v>121</v>
      </c>
      <c r="G7317" s="78"/>
    </row>
    <row r="7318" spans="1:10" hidden="1" outlineLevel="1" x14ac:dyDescent="0.25">
      <c r="A7318" s="690">
        <v>3</v>
      </c>
      <c r="B7318" s="691" t="s">
        <v>252</v>
      </c>
      <c r="C7318" s="692">
        <v>100</v>
      </c>
      <c r="D7318" s="692"/>
      <c r="E7318" s="693"/>
      <c r="F7318" s="694"/>
      <c r="G7318" s="78"/>
    </row>
    <row r="7319" spans="1:10" hidden="1" outlineLevel="1" x14ac:dyDescent="0.25">
      <c r="A7319" s="695"/>
      <c r="B7319" s="695"/>
      <c r="C7319" s="696"/>
      <c r="D7319" s="697" t="s">
        <v>3702</v>
      </c>
      <c r="E7319" s="698">
        <v>41089</v>
      </c>
      <c r="F7319" s="699"/>
      <c r="G7319" s="78"/>
    </row>
    <row r="7320" spans="1:10" hidden="1" outlineLevel="1" x14ac:dyDescent="0.25">
      <c r="A7320" s="689" t="s">
        <v>4156</v>
      </c>
      <c r="B7320" s="689" t="s">
        <v>4153</v>
      </c>
      <c r="C7320" s="700" t="s">
        <v>112</v>
      </c>
      <c r="D7320" s="689" t="s">
        <v>4155</v>
      </c>
      <c r="E7320" s="495" t="s">
        <v>4154</v>
      </c>
      <c r="F7320" s="1021" t="s">
        <v>734</v>
      </c>
      <c r="G7320" s="78"/>
    </row>
    <row r="7321" spans="1:10" hidden="1" outlineLevel="1" x14ac:dyDescent="0.25">
      <c r="A7321" s="999">
        <v>3.3333000000000002E-2</v>
      </c>
      <c r="B7321" s="1010" t="s">
        <v>1993</v>
      </c>
      <c r="C7321" s="1154">
        <v>15.754</v>
      </c>
      <c r="D7321" s="908">
        <v>34.549999999999997</v>
      </c>
      <c r="E7321" s="817">
        <v>1.1930938174431889</v>
      </c>
      <c r="F7321" s="1021">
        <v>6.5000000000000002E-2</v>
      </c>
      <c r="G7321" s="78"/>
      <c r="H7321" t="s">
        <v>2812</v>
      </c>
      <c r="J7321" s="434"/>
    </row>
    <row r="7322" spans="1:10" hidden="1" outlineLevel="1" x14ac:dyDescent="0.25">
      <c r="A7322" s="999">
        <v>3.3333000000000002E-2</v>
      </c>
      <c r="B7322" s="1012" t="s">
        <v>2984</v>
      </c>
      <c r="C7322" s="1155">
        <v>8.3019999999999996</v>
      </c>
      <c r="D7322" s="908">
        <v>5.6289999999999996</v>
      </c>
      <c r="E7322" s="709">
        <v>-0.32197060949168876</v>
      </c>
      <c r="F7322" s="946">
        <v>-0.32197060949168876</v>
      </c>
      <c r="G7322" s="78"/>
      <c r="H7322" t="s">
        <v>2326</v>
      </c>
      <c r="J7322" s="434"/>
    </row>
    <row r="7323" spans="1:10" hidden="1" outlineLevel="1" x14ac:dyDescent="0.25">
      <c r="A7323" s="999">
        <v>3.3333000000000002E-2</v>
      </c>
      <c r="B7323" s="1012" t="s">
        <v>1994</v>
      </c>
      <c r="C7323" s="1155">
        <v>11.762</v>
      </c>
      <c r="D7323" s="908">
        <v>8.18</v>
      </c>
      <c r="E7323" s="709">
        <v>-0.30454004421016834</v>
      </c>
      <c r="F7323" s="946">
        <v>-0.30454004421016834</v>
      </c>
      <c r="G7323" s="78"/>
      <c r="H7323" t="s">
        <v>3493</v>
      </c>
      <c r="J7323" s="434"/>
    </row>
    <row r="7324" spans="1:10" hidden="1" outlineLevel="1" x14ac:dyDescent="0.25">
      <c r="A7324" s="999">
        <v>3.3333000000000002E-2</v>
      </c>
      <c r="B7324" s="1012" t="s">
        <v>1184</v>
      </c>
      <c r="C7324" s="1155">
        <v>25.488</v>
      </c>
      <c r="D7324" s="908">
        <v>54.7</v>
      </c>
      <c r="E7324" s="709">
        <v>1.1461079723791592</v>
      </c>
      <c r="F7324" s="946">
        <v>6.5000000000000002E-2</v>
      </c>
      <c r="G7324" s="78"/>
      <c r="H7324" t="s">
        <v>3497</v>
      </c>
      <c r="J7324" s="434"/>
    </row>
    <row r="7325" spans="1:10" hidden="1" outlineLevel="1" x14ac:dyDescent="0.25">
      <c r="A7325" s="999">
        <v>3.3333000000000002E-2</v>
      </c>
      <c r="B7325" s="1012" t="s">
        <v>3019</v>
      </c>
      <c r="C7325" s="1155">
        <v>33.823999999999998</v>
      </c>
      <c r="D7325" s="908">
        <v>30.335000000000001</v>
      </c>
      <c r="E7325" s="709">
        <v>-0.10315160832544934</v>
      </c>
      <c r="F7325" s="946">
        <v>-0.10315160832544934</v>
      </c>
      <c r="G7325" s="78"/>
      <c r="H7325" t="s">
        <v>2745</v>
      </c>
      <c r="J7325" s="434"/>
    </row>
    <row r="7326" spans="1:10" hidden="1" outlineLevel="1" x14ac:dyDescent="0.25">
      <c r="A7326" s="999">
        <v>3.3333000000000002E-2</v>
      </c>
      <c r="B7326" s="1012" t="s">
        <v>901</v>
      </c>
      <c r="C7326" s="1155">
        <v>1804.4</v>
      </c>
      <c r="D7326" s="908">
        <v>3340.9</v>
      </c>
      <c r="E7326" s="709">
        <v>0.85152959432498343</v>
      </c>
      <c r="F7326" s="946">
        <v>6.5000000000000002E-2</v>
      </c>
      <c r="G7326" s="78"/>
      <c r="H7326" t="s">
        <v>531</v>
      </c>
      <c r="J7326" s="434"/>
    </row>
    <row r="7327" spans="1:10" hidden="1" outlineLevel="1" x14ac:dyDescent="0.25">
      <c r="A7327" s="999">
        <v>3.3333000000000002E-2</v>
      </c>
      <c r="B7327" s="1012" t="s">
        <v>4002</v>
      </c>
      <c r="C7327" s="1155">
        <v>4.0105000000000004</v>
      </c>
      <c r="D7327" s="908">
        <v>12.23</v>
      </c>
      <c r="E7327" s="709">
        <v>2.049495075427004</v>
      </c>
      <c r="F7327" s="946">
        <v>6.5000000000000002E-2</v>
      </c>
      <c r="G7327" s="78"/>
      <c r="H7327" t="s">
        <v>168</v>
      </c>
      <c r="J7327" s="434"/>
    </row>
    <row r="7328" spans="1:10" hidden="1" outlineLevel="1" x14ac:dyDescent="0.25">
      <c r="A7328" s="999">
        <v>3.3333000000000002E-2</v>
      </c>
      <c r="B7328" s="1012" t="s">
        <v>1847</v>
      </c>
      <c r="C7328" s="1155">
        <v>59.88</v>
      </c>
      <c r="D7328" s="908">
        <v>26.884</v>
      </c>
      <c r="E7328" s="709">
        <v>-0.55103540414161656</v>
      </c>
      <c r="F7328" s="946">
        <v>-0.55103540414161656</v>
      </c>
      <c r="G7328" s="78"/>
      <c r="H7328" t="s">
        <v>2749</v>
      </c>
      <c r="J7328" s="434"/>
    </row>
    <row r="7329" spans="1:10" hidden="1" outlineLevel="1" x14ac:dyDescent="0.25">
      <c r="A7329" s="999">
        <v>3.3333000000000002E-2</v>
      </c>
      <c r="B7329" s="1012" t="s">
        <v>2699</v>
      </c>
      <c r="C7329" s="1155">
        <v>10.178000000000001</v>
      </c>
      <c r="D7329" s="908">
        <v>14.137</v>
      </c>
      <c r="E7329" s="709">
        <v>0.388976223226567</v>
      </c>
      <c r="F7329" s="946">
        <v>6.5000000000000002E-2</v>
      </c>
      <c r="G7329" s="78"/>
      <c r="H7329" t="s">
        <v>505</v>
      </c>
      <c r="J7329" s="434"/>
    </row>
    <row r="7330" spans="1:10" hidden="1" outlineLevel="1" x14ac:dyDescent="0.25">
      <c r="A7330" s="999">
        <v>3.3333000000000002E-2</v>
      </c>
      <c r="B7330" s="740" t="s">
        <v>3643</v>
      </c>
      <c r="C7330" s="1155">
        <v>160.25</v>
      </c>
      <c r="D7330" s="908">
        <v>246.34</v>
      </c>
      <c r="E7330" s="709">
        <v>0.53722308892355697</v>
      </c>
      <c r="F7330" s="946">
        <v>6.5000000000000002E-2</v>
      </c>
      <c r="G7330" s="78"/>
      <c r="H7330" t="s">
        <v>1729</v>
      </c>
      <c r="J7330" s="434"/>
    </row>
    <row r="7331" spans="1:10" hidden="1" outlineLevel="1" x14ac:dyDescent="0.25">
      <c r="A7331" s="999">
        <v>3.3333000000000002E-2</v>
      </c>
      <c r="B7331" s="1012" t="s">
        <v>1771</v>
      </c>
      <c r="C7331" s="1155">
        <v>627.25</v>
      </c>
      <c r="D7331" s="908">
        <v>568</v>
      </c>
      <c r="E7331" s="709">
        <v>-9.4459944200876889E-2</v>
      </c>
      <c r="F7331" s="946">
        <v>-9.4459944200876889E-2</v>
      </c>
      <c r="G7331" s="78"/>
      <c r="H7331" t="s">
        <v>4329</v>
      </c>
      <c r="J7331" s="434"/>
    </row>
    <row r="7332" spans="1:10" hidden="1" outlineLevel="1" x14ac:dyDescent="0.25">
      <c r="A7332" s="999">
        <v>3.3333000000000002E-2</v>
      </c>
      <c r="B7332" s="743" t="s">
        <v>2588</v>
      </c>
      <c r="C7332" s="1155">
        <v>8.0868000000000002</v>
      </c>
      <c r="D7332" s="908">
        <v>5.2716000000000003</v>
      </c>
      <c r="E7332" s="709">
        <v>-0.34812286689419791</v>
      </c>
      <c r="F7332" s="946">
        <v>-0.34812286689419791</v>
      </c>
      <c r="G7332" s="78"/>
      <c r="H7332" t="s">
        <v>4132</v>
      </c>
      <c r="J7332" s="434"/>
    </row>
    <row r="7333" spans="1:10" hidden="1" outlineLevel="1" x14ac:dyDescent="0.25">
      <c r="A7333" s="999">
        <v>3.3333000000000002E-2</v>
      </c>
      <c r="B7333" s="1012" t="s">
        <v>44</v>
      </c>
      <c r="C7333" s="1155">
        <v>2.6114999999999999</v>
      </c>
      <c r="D7333" s="908">
        <v>1.0753999999999999</v>
      </c>
      <c r="E7333" s="709">
        <v>-0.58820601187057253</v>
      </c>
      <c r="F7333" s="946">
        <v>-0.58820601187057253</v>
      </c>
      <c r="G7333" s="78"/>
      <c r="H7333" t="s">
        <v>204</v>
      </c>
      <c r="J7333" s="434"/>
    </row>
    <row r="7334" spans="1:10" hidden="1" outlineLevel="1" x14ac:dyDescent="0.25">
      <c r="A7334" s="999">
        <v>3.3333000000000002E-2</v>
      </c>
      <c r="B7334" s="743" t="s">
        <v>1526</v>
      </c>
      <c r="C7334" s="1155">
        <v>22.108000000000001</v>
      </c>
      <c r="D7334" s="908">
        <v>17.454000000000001</v>
      </c>
      <c r="E7334" s="709">
        <v>-0.21051203184367651</v>
      </c>
      <c r="F7334" s="946">
        <v>-0.21051203184367651</v>
      </c>
      <c r="G7334" s="78"/>
      <c r="H7334" t="s">
        <v>4146</v>
      </c>
      <c r="J7334" s="434"/>
    </row>
    <row r="7335" spans="1:10" hidden="1" outlineLevel="1" x14ac:dyDescent="0.25">
      <c r="A7335" s="999">
        <v>3.3333000000000002E-2</v>
      </c>
      <c r="B7335" s="1012" t="s">
        <v>874</v>
      </c>
      <c r="C7335" s="1155">
        <v>137.19999999999999</v>
      </c>
      <c r="D7335" s="908">
        <v>279</v>
      </c>
      <c r="E7335" s="709">
        <v>1.0335276967930032</v>
      </c>
      <c r="F7335" s="946">
        <v>6.5000000000000002E-2</v>
      </c>
      <c r="G7335" s="78"/>
      <c r="H7335" t="s">
        <v>4148</v>
      </c>
      <c r="J7335" s="434"/>
    </row>
    <row r="7336" spans="1:10" hidden="1" outlineLevel="1" x14ac:dyDescent="0.25">
      <c r="A7336" s="999">
        <v>3.3333000000000002E-2</v>
      </c>
      <c r="B7336" s="1012" t="s">
        <v>4143</v>
      </c>
      <c r="C7336" s="1155">
        <v>10.552</v>
      </c>
      <c r="D7336" s="908">
        <v>7.242</v>
      </c>
      <c r="E7336" s="709">
        <v>-0.3136846095526914</v>
      </c>
      <c r="F7336" s="946">
        <v>-0.3136846095526914</v>
      </c>
      <c r="G7336" s="78"/>
      <c r="H7336" t="s">
        <v>4144</v>
      </c>
      <c r="J7336" s="434"/>
    </row>
    <row r="7337" spans="1:10" hidden="1" outlineLevel="1" x14ac:dyDescent="0.25">
      <c r="A7337" s="999">
        <v>3.3333000000000002E-2</v>
      </c>
      <c r="B7337" s="1012" t="s">
        <v>2786</v>
      </c>
      <c r="C7337" s="1155">
        <v>664.4</v>
      </c>
      <c r="D7337" s="908">
        <v>682.4</v>
      </c>
      <c r="E7337" s="709">
        <v>2.7092113184828515E-2</v>
      </c>
      <c r="F7337" s="946">
        <v>6.5000000000000002E-2</v>
      </c>
      <c r="G7337" s="78"/>
      <c r="H7337" t="s">
        <v>4195</v>
      </c>
      <c r="J7337" s="434"/>
    </row>
    <row r="7338" spans="1:10" hidden="1" outlineLevel="1" x14ac:dyDescent="0.25">
      <c r="A7338" s="999">
        <v>3.3333000000000002E-2</v>
      </c>
      <c r="B7338" s="1012" t="s">
        <v>1414</v>
      </c>
      <c r="C7338" s="1155">
        <v>17.456</v>
      </c>
      <c r="D7338" s="908">
        <v>22.75</v>
      </c>
      <c r="E7338" s="709">
        <v>0.30327681026581121</v>
      </c>
      <c r="F7338" s="946">
        <v>6.5000000000000002E-2</v>
      </c>
      <c r="G7338" s="78"/>
      <c r="H7338" t="s">
        <v>2428</v>
      </c>
      <c r="J7338" s="434"/>
    </row>
    <row r="7339" spans="1:10" hidden="1" outlineLevel="1" x14ac:dyDescent="0.25">
      <c r="A7339" s="999">
        <v>3.3333000000000002E-2</v>
      </c>
      <c r="B7339" s="1012" t="s">
        <v>1653</v>
      </c>
      <c r="C7339" s="1155">
        <v>9.0251999999999999</v>
      </c>
      <c r="D7339" s="908">
        <v>9.0120000000000005</v>
      </c>
      <c r="E7339" s="709">
        <v>-1.4625714665602585E-3</v>
      </c>
      <c r="F7339" s="946">
        <v>-1.4625714665602585E-3</v>
      </c>
      <c r="G7339" s="78"/>
      <c r="H7339" t="s">
        <v>285</v>
      </c>
      <c r="J7339" s="434"/>
    </row>
    <row r="7340" spans="1:10" hidden="1" outlineLevel="1" x14ac:dyDescent="0.25">
      <c r="A7340" s="999">
        <v>3.3333000000000002E-2</v>
      </c>
      <c r="B7340" s="1012" t="s">
        <v>2586</v>
      </c>
      <c r="C7340" s="1155">
        <v>17.827999999999999</v>
      </c>
      <c r="D7340" s="908">
        <v>26.605</v>
      </c>
      <c r="E7340" s="709">
        <v>0.49231545882880878</v>
      </c>
      <c r="F7340" s="946">
        <v>6.5000000000000002E-2</v>
      </c>
      <c r="G7340" s="78"/>
      <c r="H7340" t="s">
        <v>2720</v>
      </c>
      <c r="J7340" s="434"/>
    </row>
    <row r="7341" spans="1:10" hidden="1" outlineLevel="1" x14ac:dyDescent="0.25">
      <c r="A7341" s="999">
        <v>3.3333000000000002E-2</v>
      </c>
      <c r="B7341" s="1012" t="s">
        <v>3801</v>
      </c>
      <c r="C7341" s="1155">
        <v>62.386000000000003</v>
      </c>
      <c r="D7341" s="908">
        <v>33.072000000000003</v>
      </c>
      <c r="E7341" s="709">
        <v>-0.46988106305901967</v>
      </c>
      <c r="F7341" s="946">
        <v>-0.46988106305901967</v>
      </c>
      <c r="G7341" s="78"/>
      <c r="H7341" t="s">
        <v>2819</v>
      </c>
      <c r="J7341" s="434"/>
    </row>
    <row r="7342" spans="1:10" hidden="1" outlineLevel="1" x14ac:dyDescent="0.25">
      <c r="A7342" s="999">
        <v>3.3333000000000002E-2</v>
      </c>
      <c r="B7342" s="1012" t="s">
        <v>51</v>
      </c>
      <c r="C7342" s="1155">
        <v>33.633000000000003</v>
      </c>
      <c r="D7342" s="908">
        <v>29.341000000000001</v>
      </c>
      <c r="E7342" s="709">
        <v>-0.12761276127612764</v>
      </c>
      <c r="F7342" s="946">
        <v>-0.12761276127612764</v>
      </c>
      <c r="G7342" s="78"/>
      <c r="H7342" t="s">
        <v>2748</v>
      </c>
      <c r="J7342" s="434"/>
    </row>
    <row r="7343" spans="1:10" hidden="1" outlineLevel="1" x14ac:dyDescent="0.25">
      <c r="A7343" s="999">
        <v>3.3333000000000002E-2</v>
      </c>
      <c r="B7343" s="1012" t="s">
        <v>279</v>
      </c>
      <c r="C7343" s="1155">
        <v>53.28</v>
      </c>
      <c r="D7343" s="908">
        <v>44.287999999999997</v>
      </c>
      <c r="E7343" s="709">
        <v>-0.1687687687687689</v>
      </c>
      <c r="F7343" s="946">
        <v>-0.1687687687687689</v>
      </c>
      <c r="G7343" s="78"/>
      <c r="H7343" t="s">
        <v>1468</v>
      </c>
      <c r="J7343" s="434"/>
    </row>
    <row r="7344" spans="1:10" hidden="1" outlineLevel="1" x14ac:dyDescent="0.25">
      <c r="A7344" s="999">
        <v>3.3333000000000002E-2</v>
      </c>
      <c r="B7344" s="1012" t="s">
        <v>2166</v>
      </c>
      <c r="C7344" s="1155">
        <v>35.276000000000003</v>
      </c>
      <c r="D7344" s="908">
        <v>18.515000000000001</v>
      </c>
      <c r="E7344" s="709">
        <v>-0.47513890463771402</v>
      </c>
      <c r="F7344" s="946">
        <v>-0.47513890463771402</v>
      </c>
      <c r="G7344" s="78"/>
      <c r="H7344" t="s">
        <v>4160</v>
      </c>
      <c r="J7344" s="434"/>
    </row>
    <row r="7345" spans="1:10" hidden="1" outlineLevel="1" x14ac:dyDescent="0.25">
      <c r="A7345" s="999">
        <v>3.3333000000000002E-2</v>
      </c>
      <c r="B7345" s="1012" t="s">
        <v>2778</v>
      </c>
      <c r="C7345" s="1155">
        <v>836.2</v>
      </c>
      <c r="D7345" s="908">
        <v>1434.8</v>
      </c>
      <c r="E7345" s="709">
        <v>0.71585745037072446</v>
      </c>
      <c r="F7345" s="946">
        <v>6.5000000000000002E-2</v>
      </c>
      <c r="G7345" s="78"/>
      <c r="H7345" t="s">
        <v>1947</v>
      </c>
      <c r="J7345" s="434"/>
    </row>
    <row r="7346" spans="1:10" hidden="1" outlineLevel="1" x14ac:dyDescent="0.25">
      <c r="A7346" s="999">
        <v>3.3333000000000002E-2</v>
      </c>
      <c r="B7346" s="1012" t="s">
        <v>577</v>
      </c>
      <c r="C7346" s="1155">
        <v>15.726000000000001</v>
      </c>
      <c r="D7346" s="908">
        <v>10.297000000000001</v>
      </c>
      <c r="E7346" s="709">
        <v>-0.34522446903217596</v>
      </c>
      <c r="F7346" s="946">
        <v>-0.34522446903217596</v>
      </c>
      <c r="G7346" s="78"/>
      <c r="H7346" t="s">
        <v>2804</v>
      </c>
      <c r="J7346" s="434"/>
    </row>
    <row r="7347" spans="1:10" hidden="1" outlineLevel="1" x14ac:dyDescent="0.25">
      <c r="A7347" s="999">
        <v>3.3333000000000002E-2</v>
      </c>
      <c r="B7347" s="1012" t="s">
        <v>4568</v>
      </c>
      <c r="C7347" s="1155">
        <v>12.962</v>
      </c>
      <c r="D7347" s="908">
        <v>34.981000000000002</v>
      </c>
      <c r="E7347" s="709">
        <v>1.6987347631538343</v>
      </c>
      <c r="F7347" s="946">
        <v>6.5000000000000002E-2</v>
      </c>
      <c r="G7347" s="78"/>
      <c r="H7347" t="s">
        <v>4569</v>
      </c>
      <c r="J7347" s="434"/>
    </row>
    <row r="7348" spans="1:10" hidden="1" outlineLevel="1" x14ac:dyDescent="0.25">
      <c r="A7348" s="999">
        <v>3.3333000000000002E-2</v>
      </c>
      <c r="B7348" s="1012" t="s">
        <v>1622</v>
      </c>
      <c r="C7348" s="1155">
        <v>7.0487405800000005</v>
      </c>
      <c r="D7348" s="908">
        <v>3.25</v>
      </c>
      <c r="E7348" s="742">
        <v>-0.53892472518828316</v>
      </c>
      <c r="F7348" s="946">
        <v>-0.53892472518828316</v>
      </c>
      <c r="G7348" s="78"/>
      <c r="H7348" t="s">
        <v>1623</v>
      </c>
      <c r="J7348" s="434"/>
    </row>
    <row r="7349" spans="1:10" hidden="1" outlineLevel="1" x14ac:dyDescent="0.25">
      <c r="A7349" s="999">
        <v>3.3333000000000002E-2</v>
      </c>
      <c r="B7349" s="1012" t="s">
        <v>1183</v>
      </c>
      <c r="C7349" s="1155">
        <v>39.356999999999999</v>
      </c>
      <c r="D7349" s="908">
        <v>36.505000000000003</v>
      </c>
      <c r="E7349" s="742">
        <v>-7.2464872830754312E-2</v>
      </c>
      <c r="F7349" s="946">
        <v>-7.2464872830754312E-2</v>
      </c>
      <c r="G7349" s="78"/>
      <c r="H7349" t="s">
        <v>2805</v>
      </c>
      <c r="J7349" s="434"/>
    </row>
    <row r="7350" spans="1:10" hidden="1" outlineLevel="1" x14ac:dyDescent="0.25">
      <c r="A7350" s="999">
        <v>3.3333000000000002E-2</v>
      </c>
      <c r="B7350" s="1012" t="s">
        <v>3169</v>
      </c>
      <c r="C7350" s="1155">
        <v>21.605</v>
      </c>
      <c r="D7350" s="715">
        <v>14.811999999999999</v>
      </c>
      <c r="E7350" s="748">
        <v>-0.31441795880583201</v>
      </c>
      <c r="F7350" s="1023">
        <v>-0.31440000000000001</v>
      </c>
      <c r="G7350" s="78"/>
      <c r="H7350" t="s">
        <v>657</v>
      </c>
      <c r="J7350" s="434"/>
    </row>
    <row r="7351" spans="1:10" hidden="1" outlineLevel="1" x14ac:dyDescent="0.25">
      <c r="A7351" s="1212" t="s">
        <v>2465</v>
      </c>
      <c r="B7351" s="1015"/>
      <c r="C7351" s="1016"/>
      <c r="D7351" s="798"/>
      <c r="E7351" s="709"/>
      <c r="F7351" s="1832">
        <v>-0.15231870889301141</v>
      </c>
      <c r="G7351" s="78"/>
    </row>
    <row r="7352" spans="1:10" hidden="1" outlineLevel="1" x14ac:dyDescent="0.25">
      <c r="A7352" s="1017"/>
      <c r="B7352" s="1018"/>
      <c r="C7352" s="837"/>
      <c r="D7352" s="798"/>
      <c r="E7352" s="709"/>
      <c r="F7352" s="1666"/>
      <c r="G7352" s="78"/>
    </row>
    <row r="7353" spans="1:10" hidden="1" outlineLevel="1" x14ac:dyDescent="0.25">
      <c r="A7353" s="725" t="s">
        <v>113</v>
      </c>
      <c r="B7353" s="725"/>
      <c r="C7353" s="1019"/>
      <c r="D7353" s="1019"/>
      <c r="E7353" s="729"/>
      <c r="F7353" s="1188"/>
      <c r="G7353" s="78"/>
    </row>
    <row r="7354" spans="1:10" hidden="1" outlineLevel="1" x14ac:dyDescent="0.25">
      <c r="A7354" s="732" t="s">
        <v>4845</v>
      </c>
      <c r="B7354" s="690"/>
      <c r="C7354" s="691"/>
      <c r="D7354" s="691"/>
      <c r="E7354" s="691"/>
      <c r="F7354" s="1021">
        <v>0.04</v>
      </c>
      <c r="G7354" s="78"/>
    </row>
    <row r="7355" spans="1:10" hidden="1" outlineLevel="1" x14ac:dyDescent="0.25">
      <c r="A7355" s="732" t="s">
        <v>4846</v>
      </c>
      <c r="B7355" s="706"/>
      <c r="C7355" s="1022"/>
      <c r="D7355" s="1022"/>
      <c r="E7355" s="1022"/>
      <c r="F7355" s="946">
        <v>2.8000000000000001E-2</v>
      </c>
      <c r="G7355" s="78"/>
    </row>
    <row r="7356" spans="1:10" hidden="1" outlineLevel="1" x14ac:dyDescent="0.25">
      <c r="A7356" s="732" t="s">
        <v>4847</v>
      </c>
      <c r="B7356" s="706"/>
      <c r="C7356" s="1022"/>
      <c r="D7356" s="1022"/>
      <c r="E7356" s="1022"/>
      <c r="F7356" s="946">
        <v>0.01</v>
      </c>
      <c r="G7356" s="78"/>
    </row>
    <row r="7357" spans="1:10" collapsed="1" x14ac:dyDescent="0.25">
      <c r="A7357" s="3803" t="s">
        <v>958</v>
      </c>
      <c r="B7357" s="3804"/>
      <c r="C7357" s="3804"/>
      <c r="D7357" s="1019"/>
      <c r="E7357" s="1019"/>
      <c r="F7357" s="934">
        <v>7.8E-2</v>
      </c>
      <c r="G7357" s="97" t="s">
        <v>781</v>
      </c>
    </row>
    <row r="7359" spans="1:10" hidden="1" outlineLevel="1" x14ac:dyDescent="0.25">
      <c r="A7359" s="689" t="s">
        <v>113</v>
      </c>
      <c r="B7359" s="689" t="s">
        <v>114</v>
      </c>
      <c r="C7359" s="689" t="s">
        <v>112</v>
      </c>
      <c r="D7359" s="689" t="s">
        <v>116</v>
      </c>
      <c r="E7359" s="689" t="s">
        <v>117</v>
      </c>
      <c r="F7359" s="1188" t="s">
        <v>121</v>
      </c>
      <c r="G7359" s="97"/>
      <c r="H7359" s="173" t="s">
        <v>4475</v>
      </c>
    </row>
    <row r="7360" spans="1:10" hidden="1" outlineLevel="1" x14ac:dyDescent="0.25">
      <c r="A7360" s="690">
        <v>5</v>
      </c>
      <c r="B7360" s="691" t="s">
        <v>252</v>
      </c>
      <c r="C7360" s="692"/>
      <c r="D7360" s="692"/>
      <c r="E7360" s="693"/>
      <c r="F7360" s="694"/>
      <c r="G7360" s="97"/>
    </row>
    <row r="7361" spans="1:8" hidden="1" outlineLevel="1" x14ac:dyDescent="0.25">
      <c r="A7361" s="695"/>
      <c r="B7361" s="695"/>
      <c r="C7361" s="696"/>
      <c r="D7361" s="697" t="s">
        <v>3702</v>
      </c>
      <c r="E7361" s="698">
        <v>41851</v>
      </c>
      <c r="F7361" s="699"/>
      <c r="G7361" s="97"/>
    </row>
    <row r="7362" spans="1:8" hidden="1" outlineLevel="1" x14ac:dyDescent="0.25">
      <c r="A7362" s="495" t="s">
        <v>4156</v>
      </c>
      <c r="B7362" s="689" t="s">
        <v>4153</v>
      </c>
      <c r="C7362" s="700" t="s">
        <v>112</v>
      </c>
      <c r="D7362" s="689" t="s">
        <v>4155</v>
      </c>
      <c r="E7362" s="689" t="s">
        <v>4154</v>
      </c>
      <c r="F7362" s="1021" t="s">
        <v>1332</v>
      </c>
      <c r="G7362" s="97"/>
    </row>
    <row r="7363" spans="1:8" hidden="1" outlineLevel="1" x14ac:dyDescent="0.25">
      <c r="A7363" s="1213">
        <v>3.3333000000000002E-2</v>
      </c>
      <c r="B7363" s="1214" t="s">
        <v>3302</v>
      </c>
      <c r="C7363" s="1215">
        <v>57.624000000000002</v>
      </c>
      <c r="D7363" s="803">
        <v>127.39</v>
      </c>
      <c r="E7363" s="1216">
        <v>1.2107108149382202</v>
      </c>
      <c r="F7363" s="1074" t="s">
        <v>2024</v>
      </c>
      <c r="G7363" s="198"/>
      <c r="H7363" s="110" t="s">
        <v>3632</v>
      </c>
    </row>
    <row r="7364" spans="1:8" hidden="1" outlineLevel="1" x14ac:dyDescent="0.25">
      <c r="A7364" s="1217">
        <v>3.3333000000000002E-2</v>
      </c>
      <c r="B7364" s="1218" t="s">
        <v>3019</v>
      </c>
      <c r="C7364" s="898">
        <v>26.094999999999999</v>
      </c>
      <c r="D7364" s="908">
        <v>49.5</v>
      </c>
      <c r="E7364" s="1219">
        <v>0.89691511783866651</v>
      </c>
      <c r="F7364" s="1075" t="s">
        <v>2024</v>
      </c>
      <c r="G7364" s="198"/>
      <c r="H7364" s="110" t="s">
        <v>2745</v>
      </c>
    </row>
    <row r="7365" spans="1:8" hidden="1" outlineLevel="1" x14ac:dyDescent="0.25">
      <c r="A7365" s="1217">
        <v>3.3333000000000002E-2</v>
      </c>
      <c r="B7365" s="1218" t="s">
        <v>51</v>
      </c>
      <c r="C7365" s="898">
        <v>26.392800000000001</v>
      </c>
      <c r="D7365" s="908">
        <v>36.424999999999997</v>
      </c>
      <c r="E7365" s="1219">
        <v>0.38011124246006478</v>
      </c>
      <c r="F7365" s="1075" t="s">
        <v>2024</v>
      </c>
      <c r="G7365" s="198"/>
      <c r="H7365" s="110" t="s">
        <v>2748</v>
      </c>
    </row>
    <row r="7366" spans="1:8" hidden="1" outlineLevel="1" x14ac:dyDescent="0.25">
      <c r="A7366" s="1217">
        <v>3.3333000000000002E-2</v>
      </c>
      <c r="B7366" s="1218" t="s">
        <v>3406</v>
      </c>
      <c r="C7366" s="898">
        <v>874.5</v>
      </c>
      <c r="D7366" s="908">
        <v>1786</v>
      </c>
      <c r="E7366" s="1219">
        <v>1.0423098913664952</v>
      </c>
      <c r="F7366" s="1075" t="s">
        <v>2024</v>
      </c>
      <c r="G7366" s="198"/>
      <c r="H7366" s="110" t="s">
        <v>2105</v>
      </c>
    </row>
    <row r="7367" spans="1:8" hidden="1" outlineLevel="1" x14ac:dyDescent="0.25">
      <c r="A7367" s="1217">
        <v>3.3333000000000002E-2</v>
      </c>
      <c r="B7367" s="1220" t="s">
        <v>4387</v>
      </c>
      <c r="C7367" s="898">
        <v>23.018000000000001</v>
      </c>
      <c r="D7367" s="908">
        <v>14.13</v>
      </c>
      <c r="E7367" s="1219">
        <v>-0.38613259188461202</v>
      </c>
      <c r="F7367" s="1075" t="s">
        <v>2024</v>
      </c>
      <c r="G7367" s="198"/>
      <c r="H7367" s="110" t="s">
        <v>3744</v>
      </c>
    </row>
    <row r="7368" spans="1:8" hidden="1" outlineLevel="1" x14ac:dyDescent="0.25">
      <c r="A7368" s="1217">
        <v>3.3333000000000002E-2</v>
      </c>
      <c r="B7368" s="1220" t="s">
        <v>3799</v>
      </c>
      <c r="C7368" s="898">
        <v>1212.0999999999999</v>
      </c>
      <c r="D7368" s="908">
        <v>1436.5</v>
      </c>
      <c r="E7368" s="1219">
        <v>0.18513323983169716</v>
      </c>
      <c r="F7368" s="1075" t="s">
        <v>2024</v>
      </c>
      <c r="G7368" s="198"/>
      <c r="H7368" s="110" t="s">
        <v>4128</v>
      </c>
    </row>
    <row r="7369" spans="1:8" hidden="1" outlineLevel="1" x14ac:dyDescent="0.25">
      <c r="A7369" s="1217">
        <v>3.3333000000000002E-2</v>
      </c>
      <c r="B7369" s="1220" t="s">
        <v>1031</v>
      </c>
      <c r="C7369" s="898">
        <v>5.5060000000000002</v>
      </c>
      <c r="D7369" s="908">
        <v>5.5659999999999998</v>
      </c>
      <c r="E7369" s="1219">
        <v>1.0897203051216886E-2</v>
      </c>
      <c r="F7369" s="1075" t="s">
        <v>2024</v>
      </c>
      <c r="G7369" s="198"/>
      <c r="H7369" s="110" t="s">
        <v>4158</v>
      </c>
    </row>
    <row r="7370" spans="1:8" hidden="1" outlineLevel="1" x14ac:dyDescent="0.25">
      <c r="A7370" s="1217">
        <v>3.3333000000000002E-2</v>
      </c>
      <c r="B7370" s="1220" t="s">
        <v>2588</v>
      </c>
      <c r="C7370" s="898">
        <v>5.7434000000000003</v>
      </c>
      <c r="D7370" s="908">
        <v>9.7449999999999992</v>
      </c>
      <c r="E7370" s="1219">
        <v>0.69673015983563724</v>
      </c>
      <c r="F7370" s="1075" t="s">
        <v>2024</v>
      </c>
      <c r="G7370" s="198"/>
      <c r="H7370" s="110" t="s">
        <v>4132</v>
      </c>
    </row>
    <row r="7371" spans="1:8" hidden="1" outlineLevel="1" x14ac:dyDescent="0.25">
      <c r="A7371" s="1217">
        <v>3.3333000000000002E-2</v>
      </c>
      <c r="B7371" s="1220" t="s">
        <v>1528</v>
      </c>
      <c r="C7371" s="898">
        <v>48.154000000000003</v>
      </c>
      <c r="D7371" s="908">
        <v>128.6</v>
      </c>
      <c r="E7371" s="1219">
        <v>1.6705984964904261</v>
      </c>
      <c r="F7371" s="1075" t="s">
        <v>2024</v>
      </c>
      <c r="G7371" s="198"/>
      <c r="H7371" s="110" t="s">
        <v>4149</v>
      </c>
    </row>
    <row r="7372" spans="1:8" hidden="1" outlineLevel="1" x14ac:dyDescent="0.25">
      <c r="A7372" s="1217">
        <v>3.3333000000000002E-2</v>
      </c>
      <c r="B7372" s="1026" t="s">
        <v>2397</v>
      </c>
      <c r="C7372" s="1221">
        <v>15.546518000000001</v>
      </c>
      <c r="D7372" s="1222">
        <v>47.87</v>
      </c>
      <c r="E7372" s="1219">
        <v>2.0791460827434154</v>
      </c>
      <c r="F7372" s="1877" t="s">
        <v>2025</v>
      </c>
      <c r="G7372" s="178" t="s">
        <v>1329</v>
      </c>
      <c r="H7372" s="110" t="s">
        <v>347</v>
      </c>
    </row>
    <row r="7373" spans="1:8" hidden="1" outlineLevel="1" x14ac:dyDescent="0.25">
      <c r="A7373" s="1217">
        <v>3.3333000000000002E-2</v>
      </c>
      <c r="B7373" s="1218" t="s">
        <v>1190</v>
      </c>
      <c r="C7373" s="898">
        <v>9.3960000000000008</v>
      </c>
      <c r="D7373" s="908">
        <v>5.93</v>
      </c>
      <c r="E7373" s="1219">
        <v>-0.36888037462750112</v>
      </c>
      <c r="F7373" s="1075" t="s">
        <v>2024</v>
      </c>
      <c r="G7373" s="198"/>
      <c r="H7373" s="110" t="s">
        <v>7569</v>
      </c>
    </row>
    <row r="7374" spans="1:8" hidden="1" outlineLevel="1" x14ac:dyDescent="0.25">
      <c r="A7374" s="1217">
        <v>3.3333000000000002E-2</v>
      </c>
      <c r="B7374" s="1218" t="s">
        <v>3253</v>
      </c>
      <c r="C7374" s="898">
        <v>232.15</v>
      </c>
      <c r="D7374" s="908">
        <v>464.2</v>
      </c>
      <c r="E7374" s="1219">
        <v>0.99956924402326064</v>
      </c>
      <c r="F7374" s="1075" t="s">
        <v>2024</v>
      </c>
      <c r="G7374" s="198"/>
      <c r="H7374" s="110" t="s">
        <v>3629</v>
      </c>
    </row>
    <row r="7375" spans="1:8" hidden="1" outlineLevel="1" x14ac:dyDescent="0.25">
      <c r="A7375" s="1217">
        <v>3.3333000000000002E-2</v>
      </c>
      <c r="B7375" s="1220" t="s">
        <v>4273</v>
      </c>
      <c r="C7375" s="898">
        <v>1521.4</v>
      </c>
      <c r="D7375" s="908">
        <v>1824</v>
      </c>
      <c r="E7375" s="1219">
        <v>0.19889575391087155</v>
      </c>
      <c r="F7375" s="1075" t="s">
        <v>2024</v>
      </c>
      <c r="G7375" s="198"/>
      <c r="H7375" s="110" t="s">
        <v>82</v>
      </c>
    </row>
    <row r="7376" spans="1:8" hidden="1" outlineLevel="1" x14ac:dyDescent="0.25">
      <c r="A7376" s="1217">
        <v>3.3333000000000002E-2</v>
      </c>
      <c r="B7376" s="1026" t="s">
        <v>431</v>
      </c>
      <c r="C7376" s="1221">
        <v>9.9719999999999995</v>
      </c>
      <c r="D7376" s="1222">
        <v>6.0750000000000002</v>
      </c>
      <c r="E7376" s="1219">
        <v>-0.3907942238267148</v>
      </c>
      <c r="F7376" s="1877" t="s">
        <v>2025</v>
      </c>
      <c r="G7376" s="178" t="s">
        <v>1330</v>
      </c>
      <c r="H7376" s="110" t="s">
        <v>432</v>
      </c>
    </row>
    <row r="7377" spans="1:8" hidden="1" outlineLevel="1" x14ac:dyDescent="0.25">
      <c r="A7377" s="1217">
        <v>3.3333000000000002E-2</v>
      </c>
      <c r="B7377" s="1218" t="s">
        <v>4044</v>
      </c>
      <c r="C7377" s="898">
        <v>47.884</v>
      </c>
      <c r="D7377" s="908">
        <v>83.7</v>
      </c>
      <c r="E7377" s="1219">
        <v>0.74797427115529191</v>
      </c>
      <c r="F7377" s="1075" t="s">
        <v>2024</v>
      </c>
      <c r="G7377" s="198"/>
      <c r="H7377" s="110" t="s">
        <v>4045</v>
      </c>
    </row>
    <row r="7378" spans="1:8" hidden="1" outlineLevel="1" x14ac:dyDescent="0.25">
      <c r="A7378" s="1217">
        <v>3.3333000000000002E-2</v>
      </c>
      <c r="B7378" s="1218" t="s">
        <v>1414</v>
      </c>
      <c r="C7378" s="898">
        <v>14.404</v>
      </c>
      <c r="D7378" s="908">
        <v>28.7</v>
      </c>
      <c r="E7378" s="1219">
        <v>0.99250208275479035</v>
      </c>
      <c r="F7378" s="1075" t="s">
        <v>2024</v>
      </c>
      <c r="G7378" s="198"/>
      <c r="H7378" s="110" t="s">
        <v>2428</v>
      </c>
    </row>
    <row r="7379" spans="1:8" hidden="1" outlineLevel="1" x14ac:dyDescent="0.25">
      <c r="A7379" s="1217">
        <v>3.3333000000000002E-2</v>
      </c>
      <c r="B7379" s="1218" t="s">
        <v>3307</v>
      </c>
      <c r="C7379" s="898">
        <v>42.447000000000003</v>
      </c>
      <c r="D7379" s="908">
        <v>175.45</v>
      </c>
      <c r="E7379" s="1219">
        <v>3.1333898744316437</v>
      </c>
      <c r="F7379" s="1075" t="s">
        <v>2024</v>
      </c>
      <c r="G7379" s="198"/>
      <c r="H7379" s="110" t="e">
        <v>#N/A</v>
      </c>
    </row>
    <row r="7380" spans="1:8" hidden="1" outlineLevel="1" x14ac:dyDescent="0.25">
      <c r="A7380" s="1217">
        <v>3.3333000000000002E-2</v>
      </c>
      <c r="B7380" s="1220" t="s">
        <v>3801</v>
      </c>
      <c r="C7380" s="898">
        <v>57.552</v>
      </c>
      <c r="D7380" s="908">
        <v>30.055</v>
      </c>
      <c r="E7380" s="1219">
        <v>-0.47777661940505978</v>
      </c>
      <c r="F7380" s="1075" t="s">
        <v>2024</v>
      </c>
      <c r="G7380" s="198"/>
      <c r="H7380" s="110" t="s">
        <v>2819</v>
      </c>
    </row>
    <row r="7381" spans="1:8" hidden="1" outlineLevel="1" x14ac:dyDescent="0.25">
      <c r="A7381" s="1217">
        <v>3.3333000000000002E-2</v>
      </c>
      <c r="B7381" s="1220" t="s">
        <v>1187</v>
      </c>
      <c r="C7381" s="898">
        <v>46.655999999999999</v>
      </c>
      <c r="D7381" s="908">
        <v>78.62</v>
      </c>
      <c r="E7381" s="1219">
        <v>0.68509945130315519</v>
      </c>
      <c r="F7381" s="1075" t="s">
        <v>2024</v>
      </c>
      <c r="G7381" s="198"/>
      <c r="H7381" s="110" t="s">
        <v>3483</v>
      </c>
    </row>
    <row r="7382" spans="1:8" hidden="1" outlineLevel="1" x14ac:dyDescent="0.25">
      <c r="A7382" s="1217">
        <v>3.3333000000000002E-2</v>
      </c>
      <c r="B7382" s="1220" t="s">
        <v>2399</v>
      </c>
      <c r="C7382" s="898">
        <v>4.3041999999999998</v>
      </c>
      <c r="D7382" s="908">
        <v>6.2249999999999996</v>
      </c>
      <c r="E7382" s="1219">
        <v>0.44626179080897721</v>
      </c>
      <c r="F7382" s="1075" t="s">
        <v>2024</v>
      </c>
      <c r="G7382" s="198"/>
      <c r="H7382" s="110" t="s">
        <v>3142</v>
      </c>
    </row>
    <row r="7383" spans="1:8" hidden="1" outlineLevel="1" x14ac:dyDescent="0.25">
      <c r="A7383" s="1217">
        <v>3.3333000000000002E-2</v>
      </c>
      <c r="B7383" s="1220" t="s">
        <v>3902</v>
      </c>
      <c r="C7383" s="898">
        <v>65.75</v>
      </c>
      <c r="D7383" s="908">
        <v>170.5</v>
      </c>
      <c r="E7383" s="1219">
        <v>1.5931558935361219</v>
      </c>
      <c r="F7383" s="1075" t="s">
        <v>2024</v>
      </c>
      <c r="G7383" s="198"/>
      <c r="H7383" s="110" t="s">
        <v>641</v>
      </c>
    </row>
    <row r="7384" spans="1:8" hidden="1" outlineLevel="1" x14ac:dyDescent="0.25">
      <c r="A7384" s="1217">
        <v>3.3333000000000002E-2</v>
      </c>
      <c r="B7384" s="1220" t="s">
        <v>1527</v>
      </c>
      <c r="C7384" s="898">
        <v>1.0209999999999999</v>
      </c>
      <c r="D7384" s="908">
        <v>0.86499999999999999</v>
      </c>
      <c r="E7384" s="1219">
        <v>-0.15279138099902045</v>
      </c>
      <c r="F7384" s="1075" t="s">
        <v>2024</v>
      </c>
      <c r="G7384" s="198"/>
      <c r="H7384" s="110" t="s">
        <v>2803</v>
      </c>
    </row>
    <row r="7385" spans="1:8" hidden="1" outlineLevel="1" x14ac:dyDescent="0.25">
      <c r="A7385" s="1217">
        <v>3.3333000000000002E-2</v>
      </c>
      <c r="B7385" s="1220" t="s">
        <v>577</v>
      </c>
      <c r="C7385" s="898">
        <v>14.257999999999999</v>
      </c>
      <c r="D7385" s="908">
        <v>12.21</v>
      </c>
      <c r="E7385" s="1219">
        <v>-0.14363865899845685</v>
      </c>
      <c r="F7385" s="1075" t="s">
        <v>2024</v>
      </c>
      <c r="G7385" s="198"/>
      <c r="H7385" s="110" t="s">
        <v>2804</v>
      </c>
    </row>
    <row r="7386" spans="1:8" hidden="1" outlineLevel="1" x14ac:dyDescent="0.25">
      <c r="A7386" s="1217">
        <v>3.3333000000000002E-2</v>
      </c>
      <c r="B7386" s="1220" t="s">
        <v>1301</v>
      </c>
      <c r="C7386" s="898">
        <v>10.936</v>
      </c>
      <c r="D7386" s="908">
        <v>7.15</v>
      </c>
      <c r="E7386" s="1219">
        <v>-0.3461960497439649</v>
      </c>
      <c r="F7386" s="1075" t="s">
        <v>2024</v>
      </c>
      <c r="G7386" s="198"/>
      <c r="H7386" s="110" t="s">
        <v>1047</v>
      </c>
    </row>
    <row r="7387" spans="1:8" hidden="1" outlineLevel="1" x14ac:dyDescent="0.25">
      <c r="A7387" s="1217">
        <v>3.3333000000000002E-2</v>
      </c>
      <c r="B7387" s="1220" t="s">
        <v>434</v>
      </c>
      <c r="C7387" s="898">
        <v>38.74</v>
      </c>
      <c r="D7387" s="908">
        <v>51.8</v>
      </c>
      <c r="E7387" s="1219">
        <v>0.33711925658234376</v>
      </c>
      <c r="F7387" s="1075" t="s">
        <v>2024</v>
      </c>
      <c r="G7387" s="198"/>
      <c r="H7387" s="110" t="s">
        <v>435</v>
      </c>
    </row>
    <row r="7388" spans="1:8" hidden="1" outlineLevel="1" x14ac:dyDescent="0.25">
      <c r="A7388" s="1217">
        <v>3.3333000000000002E-2</v>
      </c>
      <c r="B7388" s="1220" t="s">
        <v>1003</v>
      </c>
      <c r="C7388" s="898">
        <v>16.238</v>
      </c>
      <c r="D7388" s="908">
        <v>29.11</v>
      </c>
      <c r="E7388" s="1219">
        <v>0.79270846163320607</v>
      </c>
      <c r="F7388" s="1075" t="s">
        <v>2024</v>
      </c>
      <c r="G7388" s="198"/>
      <c r="H7388" s="110" t="s">
        <v>7121</v>
      </c>
    </row>
    <row r="7389" spans="1:8" hidden="1" outlineLevel="1" x14ac:dyDescent="0.25">
      <c r="A7389" s="1217">
        <v>3.3333000000000002E-2</v>
      </c>
      <c r="B7389" s="1220" t="s">
        <v>2893</v>
      </c>
      <c r="C7389" s="898">
        <v>142.44</v>
      </c>
      <c r="D7389" s="908">
        <v>486.9</v>
      </c>
      <c r="E7389" s="1219">
        <v>2.4182813816343725</v>
      </c>
      <c r="F7389" s="1075" t="s">
        <v>2024</v>
      </c>
      <c r="G7389" s="198"/>
      <c r="H7389" s="110" t="s">
        <v>4416</v>
      </c>
    </row>
    <row r="7390" spans="1:8" hidden="1" outlineLevel="1" x14ac:dyDescent="0.25">
      <c r="A7390" s="1217">
        <v>3.3333000000000002E-2</v>
      </c>
      <c r="B7390" s="1220" t="s">
        <v>1183</v>
      </c>
      <c r="C7390" s="898">
        <v>40.142000000000003</v>
      </c>
      <c r="D7390" s="908">
        <v>48.09</v>
      </c>
      <c r="E7390" s="1219">
        <v>0.19799711025858202</v>
      </c>
      <c r="F7390" s="1075" t="s">
        <v>2024</v>
      </c>
      <c r="G7390" s="198"/>
      <c r="H7390" s="110" t="s">
        <v>2805</v>
      </c>
    </row>
    <row r="7391" spans="1:8" hidden="1" outlineLevel="1" x14ac:dyDescent="0.25">
      <c r="A7391" s="1217">
        <v>3.3333000000000002E-2</v>
      </c>
      <c r="B7391" s="1220" t="s">
        <v>3551</v>
      </c>
      <c r="C7391" s="898">
        <v>3040</v>
      </c>
      <c r="D7391" s="908">
        <v>6137</v>
      </c>
      <c r="E7391" s="1219">
        <v>1.0187499999999998</v>
      </c>
      <c r="F7391" s="1075" t="s">
        <v>2024</v>
      </c>
      <c r="G7391" s="198"/>
      <c r="H7391" s="110" t="s">
        <v>2806</v>
      </c>
    </row>
    <row r="7392" spans="1:8" hidden="1" outlineLevel="1" x14ac:dyDescent="0.25">
      <c r="A7392" s="1223">
        <v>3.3333000000000002E-2</v>
      </c>
      <c r="B7392" s="1224" t="s">
        <v>2398</v>
      </c>
      <c r="C7392" s="1225">
        <v>12.474</v>
      </c>
      <c r="D7392" s="715">
        <v>35.81</v>
      </c>
      <c r="E7392" s="1226">
        <v>1.8707712041045377</v>
      </c>
      <c r="F7392" s="1076" t="s">
        <v>2024</v>
      </c>
      <c r="G7392" s="250"/>
      <c r="H7392" s="110" t="s">
        <v>3143</v>
      </c>
    </row>
    <row r="7393" spans="1:8" hidden="1" outlineLevel="1" x14ac:dyDescent="0.25">
      <c r="A7393" s="767"/>
      <c r="B7393" s="750"/>
      <c r="C7393" s="727"/>
      <c r="D7393" s="1227" t="s">
        <v>5894</v>
      </c>
      <c r="E7393" s="716">
        <v>0.71128682456754699</v>
      </c>
      <c r="F7393" s="770"/>
      <c r="G7393" s="97"/>
    </row>
    <row r="7394" spans="1:8" hidden="1" outlineLevel="1" x14ac:dyDescent="0.25">
      <c r="A7394" s="769" t="s">
        <v>1327</v>
      </c>
      <c r="B7394" s="750"/>
      <c r="C7394" s="727"/>
      <c r="D7394" s="1228" t="s">
        <v>3229</v>
      </c>
      <c r="E7394" s="716"/>
      <c r="F7394" s="770">
        <v>3.1E-2</v>
      </c>
      <c r="G7394" s="97"/>
    </row>
    <row r="7395" spans="1:8" hidden="1" outlineLevel="1" x14ac:dyDescent="0.25">
      <c r="A7395" s="769" t="s">
        <v>1328</v>
      </c>
      <c r="B7395" s="750" t="s">
        <v>2318</v>
      </c>
      <c r="C7395" s="727"/>
      <c r="D7395" s="1228" t="s">
        <v>5895</v>
      </c>
      <c r="E7395" s="716"/>
      <c r="F7395" s="770">
        <v>4.65E-2</v>
      </c>
      <c r="G7395" s="97"/>
    </row>
    <row r="7396" spans="1:8" hidden="1" outlineLevel="1" x14ac:dyDescent="0.25">
      <c r="A7396" s="769" t="s">
        <v>1329</v>
      </c>
      <c r="B7396" s="750" t="s">
        <v>5222</v>
      </c>
      <c r="C7396" s="727"/>
      <c r="D7396" s="1228" t="s">
        <v>5896</v>
      </c>
      <c r="E7396" s="716"/>
      <c r="F7396" s="770">
        <v>3.1E-2</v>
      </c>
      <c r="G7396" s="97"/>
    </row>
    <row r="7397" spans="1:8" hidden="1" outlineLevel="1" x14ac:dyDescent="0.25">
      <c r="A7397" s="769" t="s">
        <v>1330</v>
      </c>
      <c r="B7397" s="750" t="s">
        <v>5540</v>
      </c>
      <c r="C7397" s="727"/>
      <c r="D7397" s="1228" t="s">
        <v>5896</v>
      </c>
      <c r="E7397" s="716"/>
      <c r="F7397" s="770">
        <v>2.0666666666666667E-2</v>
      </c>
      <c r="G7397" s="97"/>
    </row>
    <row r="7398" spans="1:8" hidden="1" outlineLevel="1" x14ac:dyDescent="0.25">
      <c r="A7398" s="769" t="s">
        <v>1331</v>
      </c>
      <c r="B7398" s="750" t="s">
        <v>6675</v>
      </c>
      <c r="C7398" s="727"/>
      <c r="D7398" s="1229"/>
      <c r="E7398" s="716"/>
      <c r="F7398" s="770">
        <v>1.3777777777777778E-2</v>
      </c>
      <c r="G7398" s="97"/>
    </row>
    <row r="7399" spans="1:8" collapsed="1" x14ac:dyDescent="0.25">
      <c r="A7399" s="3801" t="s">
        <v>31</v>
      </c>
      <c r="B7399" s="3802"/>
      <c r="C7399" s="3802"/>
      <c r="D7399" s="3802"/>
      <c r="E7399" s="721"/>
      <c r="F7399" s="722">
        <v>0.14294444444444443</v>
      </c>
      <c r="G7399" s="97" t="s">
        <v>781</v>
      </c>
    </row>
    <row r="7401" spans="1:8" hidden="1" outlineLevel="1" x14ac:dyDescent="0.25">
      <c r="A7401" s="689" t="s">
        <v>113</v>
      </c>
      <c r="B7401" s="689" t="s">
        <v>114</v>
      </c>
      <c r="C7401" s="689" t="s">
        <v>112</v>
      </c>
      <c r="D7401" s="689" t="s">
        <v>116</v>
      </c>
      <c r="E7401" s="689" t="s">
        <v>117</v>
      </c>
      <c r="F7401" s="1188" t="s">
        <v>121</v>
      </c>
      <c r="G7401" s="78"/>
    </row>
    <row r="7402" spans="1:8" hidden="1" outlineLevel="1" x14ac:dyDescent="0.25">
      <c r="A7402" s="690">
        <v>4</v>
      </c>
      <c r="B7402" s="691" t="s">
        <v>252</v>
      </c>
      <c r="C7402" s="692">
        <v>100</v>
      </c>
      <c r="D7402" s="692"/>
      <c r="E7402" s="693"/>
      <c r="F7402" s="694"/>
      <c r="G7402" s="78"/>
    </row>
    <row r="7403" spans="1:8" hidden="1" outlineLevel="1" x14ac:dyDescent="0.25">
      <c r="A7403" s="695"/>
      <c r="B7403" s="695"/>
      <c r="C7403" s="696"/>
      <c r="D7403" s="697" t="s">
        <v>3702</v>
      </c>
      <c r="E7403" s="698">
        <v>41516</v>
      </c>
      <c r="F7403" s="699"/>
      <c r="G7403" s="78"/>
    </row>
    <row r="7404" spans="1:8" hidden="1" outlineLevel="1" x14ac:dyDescent="0.25">
      <c r="A7404" s="689" t="s">
        <v>4156</v>
      </c>
      <c r="B7404" s="689" t="s">
        <v>4153</v>
      </c>
      <c r="C7404" s="700" t="s">
        <v>112</v>
      </c>
      <c r="D7404" s="689" t="s">
        <v>4155</v>
      </c>
      <c r="E7404" s="689" t="s">
        <v>4154</v>
      </c>
      <c r="F7404" s="1021" t="s">
        <v>734</v>
      </c>
      <c r="G7404" s="78"/>
    </row>
    <row r="7405" spans="1:8" hidden="1" outlineLevel="1" x14ac:dyDescent="0.25">
      <c r="A7405" s="999">
        <v>3.3333000000000002E-2</v>
      </c>
      <c r="B7405" s="1010" t="s">
        <v>1993</v>
      </c>
      <c r="C7405" s="1154">
        <v>16.173999999999999</v>
      </c>
      <c r="D7405" s="908">
        <v>33.880000000000003</v>
      </c>
      <c r="E7405" s="709">
        <v>1.0947199208606406</v>
      </c>
      <c r="F7405" s="1021">
        <v>0.06</v>
      </c>
      <c r="G7405" s="78"/>
      <c r="H7405" t="s">
        <v>2812</v>
      </c>
    </row>
    <row r="7406" spans="1:8" hidden="1" outlineLevel="1" x14ac:dyDescent="0.25">
      <c r="A7406" s="999">
        <v>3.3333000000000002E-2</v>
      </c>
      <c r="B7406" s="1012" t="s">
        <v>2984</v>
      </c>
      <c r="C7406" s="1155">
        <v>5.0419999999999998</v>
      </c>
      <c r="D7406" s="908">
        <v>7.22</v>
      </c>
      <c r="E7406" s="709">
        <v>0.43197143990479958</v>
      </c>
      <c r="F7406" s="946">
        <v>0.06</v>
      </c>
      <c r="G7406" s="78"/>
      <c r="H7406" t="s">
        <v>2326</v>
      </c>
    </row>
    <row r="7407" spans="1:8" hidden="1" outlineLevel="1" x14ac:dyDescent="0.25">
      <c r="A7407" s="999">
        <v>3.3333000000000002E-2</v>
      </c>
      <c r="B7407" s="1012" t="s">
        <v>1994</v>
      </c>
      <c r="C7407" s="1155">
        <v>4.492</v>
      </c>
      <c r="D7407" s="908">
        <v>14.12</v>
      </c>
      <c r="E7407" s="709">
        <v>2.1433659839715049</v>
      </c>
      <c r="F7407" s="946">
        <v>0.06</v>
      </c>
      <c r="G7407" s="78"/>
      <c r="H7407" t="s">
        <v>3493</v>
      </c>
    </row>
    <row r="7408" spans="1:8" hidden="1" outlineLevel="1" x14ac:dyDescent="0.25">
      <c r="A7408" s="999">
        <v>3.3333000000000002E-2</v>
      </c>
      <c r="B7408" s="1012" t="s">
        <v>1184</v>
      </c>
      <c r="C7408" s="1155">
        <v>22.46</v>
      </c>
      <c r="D7408" s="908">
        <v>66.13</v>
      </c>
      <c r="E7408" s="709">
        <v>1.9443455031166517</v>
      </c>
      <c r="F7408" s="946">
        <v>0.06</v>
      </c>
      <c r="G7408" s="78"/>
      <c r="H7408" t="s">
        <v>3497</v>
      </c>
    </row>
    <row r="7409" spans="1:8" hidden="1" outlineLevel="1" x14ac:dyDescent="0.25">
      <c r="A7409" s="999">
        <v>3.3333000000000002E-2</v>
      </c>
      <c r="B7409" s="1012" t="s">
        <v>3019</v>
      </c>
      <c r="C7409" s="1155">
        <v>25.254999999999999</v>
      </c>
      <c r="D7409" s="908">
        <v>47.414999999999999</v>
      </c>
      <c r="E7409" s="709">
        <v>0.87745000989902988</v>
      </c>
      <c r="F7409" s="946">
        <v>0.06</v>
      </c>
      <c r="G7409" s="78"/>
      <c r="H7409" t="s">
        <v>2745</v>
      </c>
    </row>
    <row r="7410" spans="1:8" hidden="1" outlineLevel="1" x14ac:dyDescent="0.25">
      <c r="A7410" s="999">
        <v>3.3333000000000002E-2</v>
      </c>
      <c r="B7410" s="1012" t="s">
        <v>901</v>
      </c>
      <c r="C7410" s="1155">
        <v>1720</v>
      </c>
      <c r="D7410" s="908">
        <v>3255</v>
      </c>
      <c r="E7410" s="709">
        <v>0.89244186046511631</v>
      </c>
      <c r="F7410" s="946">
        <v>0.06</v>
      </c>
      <c r="G7410" s="78"/>
      <c r="H7410" t="s">
        <v>531</v>
      </c>
    </row>
    <row r="7411" spans="1:8" hidden="1" outlineLevel="1" x14ac:dyDescent="0.25">
      <c r="A7411" s="999">
        <v>3.3333000000000002E-2</v>
      </c>
      <c r="B7411" s="1012" t="s">
        <v>4002</v>
      </c>
      <c r="C7411" s="1155">
        <v>3.1284999999999998</v>
      </c>
      <c r="D7411" s="908">
        <v>12.23</v>
      </c>
      <c r="E7411" s="709">
        <v>2.9092216717276655</v>
      </c>
      <c r="F7411" s="946">
        <v>0.06</v>
      </c>
      <c r="G7411" s="78"/>
      <c r="H7411" t="s">
        <v>168</v>
      </c>
    </row>
    <row r="7412" spans="1:8" hidden="1" outlineLevel="1" x14ac:dyDescent="0.25">
      <c r="A7412" s="999">
        <v>3.3333000000000002E-2</v>
      </c>
      <c r="B7412" s="1012" t="s">
        <v>1847</v>
      </c>
      <c r="C7412" s="1155">
        <v>13.48</v>
      </c>
      <c r="D7412" s="908">
        <v>48.33</v>
      </c>
      <c r="E7412" s="709">
        <v>2.5853115727002964</v>
      </c>
      <c r="F7412" s="946">
        <v>0.06</v>
      </c>
      <c r="G7412" s="78"/>
      <c r="H7412" t="s">
        <v>2749</v>
      </c>
    </row>
    <row r="7413" spans="1:8" hidden="1" outlineLevel="1" x14ac:dyDescent="0.25">
      <c r="A7413" s="999">
        <v>3.3333000000000002E-2</v>
      </c>
      <c r="B7413" s="1012" t="s">
        <v>2699</v>
      </c>
      <c r="C7413" s="1155">
        <v>7.1719999999999997</v>
      </c>
      <c r="D7413" s="908">
        <v>21.86</v>
      </c>
      <c r="E7413" s="709">
        <v>2.0479643056330175</v>
      </c>
      <c r="F7413" s="946">
        <v>0.06</v>
      </c>
      <c r="G7413" s="78"/>
      <c r="H7413" t="s">
        <v>505</v>
      </c>
    </row>
    <row r="7414" spans="1:8" hidden="1" outlineLevel="1" x14ac:dyDescent="0.25">
      <c r="A7414" s="999">
        <v>3.3333000000000002E-2</v>
      </c>
      <c r="B7414" s="740" t="s">
        <v>3643</v>
      </c>
      <c r="C7414" s="1155">
        <v>155.80000000000001</v>
      </c>
      <c r="D7414" s="908">
        <v>243.5</v>
      </c>
      <c r="E7414" s="709">
        <v>0.56290115532734264</v>
      </c>
      <c r="F7414" s="946">
        <v>0.06</v>
      </c>
      <c r="G7414" s="78"/>
      <c r="H7414" t="s">
        <v>1729</v>
      </c>
    </row>
    <row r="7415" spans="1:8" hidden="1" outlineLevel="1" x14ac:dyDescent="0.25">
      <c r="A7415" s="999">
        <v>3.3333000000000002E-2</v>
      </c>
      <c r="B7415" s="1012" t="s">
        <v>1771</v>
      </c>
      <c r="C7415" s="1155">
        <v>337.5</v>
      </c>
      <c r="D7415" s="908">
        <v>676</v>
      </c>
      <c r="E7415" s="709">
        <v>1.0029629629629628</v>
      </c>
      <c r="F7415" s="946">
        <v>0.06</v>
      </c>
      <c r="G7415" s="78"/>
      <c r="H7415" t="s">
        <v>4329</v>
      </c>
    </row>
    <row r="7416" spans="1:8" hidden="1" outlineLevel="1" x14ac:dyDescent="0.25">
      <c r="A7416" s="999">
        <v>3.3333000000000002E-2</v>
      </c>
      <c r="B7416" s="743" t="s">
        <v>2588</v>
      </c>
      <c r="C7416" s="1155">
        <v>2.7993999999999999</v>
      </c>
      <c r="D7416" s="908">
        <v>8.2149999999999999</v>
      </c>
      <c r="E7416" s="709">
        <v>1.9345574051582481</v>
      </c>
      <c r="F7416" s="946">
        <v>0.06</v>
      </c>
      <c r="G7416" s="78"/>
      <c r="H7416" t="s">
        <v>4132</v>
      </c>
    </row>
    <row r="7417" spans="1:8" hidden="1" outlineLevel="1" x14ac:dyDescent="0.25">
      <c r="A7417" s="999">
        <v>3.3333000000000002E-2</v>
      </c>
      <c r="B7417" s="1012" t="s">
        <v>44</v>
      </c>
      <c r="C7417" s="1155">
        <v>1.4770000000000001</v>
      </c>
      <c r="D7417" s="908">
        <v>1.5251999999999999</v>
      </c>
      <c r="E7417" s="709">
        <v>3.2633716993906381E-2</v>
      </c>
      <c r="F7417" s="946">
        <v>0.06</v>
      </c>
      <c r="G7417" s="78"/>
      <c r="H7417" t="s">
        <v>204</v>
      </c>
    </row>
    <row r="7418" spans="1:8" hidden="1" outlineLevel="1" x14ac:dyDescent="0.25">
      <c r="A7418" s="999">
        <v>3.3333000000000002E-2</v>
      </c>
      <c r="B7418" s="743" t="s">
        <v>1526</v>
      </c>
      <c r="C7418" s="1155">
        <v>7.0974000000000004</v>
      </c>
      <c r="D7418" s="908">
        <v>33.28</v>
      </c>
      <c r="E7418" s="709">
        <v>3.6890410572885841</v>
      </c>
      <c r="F7418" s="946">
        <v>0.06</v>
      </c>
      <c r="G7418" s="78"/>
      <c r="H7418" t="s">
        <v>4146</v>
      </c>
    </row>
    <row r="7419" spans="1:8" hidden="1" outlineLevel="1" x14ac:dyDescent="0.25">
      <c r="A7419" s="999">
        <v>3.3333000000000002E-2</v>
      </c>
      <c r="B7419" s="1012" t="s">
        <v>874</v>
      </c>
      <c r="C7419" s="1155">
        <v>125.2</v>
      </c>
      <c r="D7419" s="908">
        <v>385</v>
      </c>
      <c r="E7419" s="709">
        <v>2.0750798722044728</v>
      </c>
      <c r="F7419" s="946">
        <v>0.06</v>
      </c>
      <c r="G7419" s="78"/>
      <c r="H7419" t="s">
        <v>4148</v>
      </c>
    </row>
    <row r="7420" spans="1:8" hidden="1" outlineLevel="1" x14ac:dyDescent="0.25">
      <c r="A7420" s="999">
        <v>3.3333000000000002E-2</v>
      </c>
      <c r="B7420" s="1012" t="s">
        <v>4143</v>
      </c>
      <c r="C7420" s="1155">
        <v>5.9936999999999996</v>
      </c>
      <c r="D7420" s="908">
        <v>2.1962000000000002</v>
      </c>
      <c r="E7420" s="709">
        <v>-0.63358192769074195</v>
      </c>
      <c r="F7420" s="946">
        <v>-0.63358192769074195</v>
      </c>
      <c r="G7420" s="78"/>
      <c r="H7420" t="s">
        <v>4144</v>
      </c>
    </row>
    <row r="7421" spans="1:8" hidden="1" outlineLevel="1" x14ac:dyDescent="0.25">
      <c r="A7421" s="999">
        <v>3.3333000000000002E-2</v>
      </c>
      <c r="B7421" s="1012" t="s">
        <v>2786</v>
      </c>
      <c r="C7421" s="1155">
        <v>565</v>
      </c>
      <c r="D7421" s="908">
        <v>742.5</v>
      </c>
      <c r="E7421" s="709">
        <v>0.31415929203539816</v>
      </c>
      <c r="F7421" s="946">
        <v>0.06</v>
      </c>
      <c r="G7421" s="78"/>
      <c r="H7421" t="s">
        <v>4195</v>
      </c>
    </row>
    <row r="7422" spans="1:8" hidden="1" outlineLevel="1" x14ac:dyDescent="0.25">
      <c r="A7422" s="999">
        <v>3.3333000000000002E-2</v>
      </c>
      <c r="B7422" s="1012" t="s">
        <v>1414</v>
      </c>
      <c r="C7422" s="1155">
        <v>13.052</v>
      </c>
      <c r="D7422" s="908">
        <v>28.21</v>
      </c>
      <c r="E7422" s="709">
        <v>1.1613545816733071</v>
      </c>
      <c r="F7422" s="946">
        <v>0.06</v>
      </c>
      <c r="G7422" s="78"/>
      <c r="H7422" t="s">
        <v>2428</v>
      </c>
    </row>
    <row r="7423" spans="1:8" hidden="1" outlineLevel="1" x14ac:dyDescent="0.25">
      <c r="A7423" s="999">
        <v>3.3333000000000002E-2</v>
      </c>
      <c r="B7423" s="1012" t="s">
        <v>1653</v>
      </c>
      <c r="C7423" s="1155">
        <v>8.1486000000000001</v>
      </c>
      <c r="D7423" s="908">
        <v>13.664999999999999</v>
      </c>
      <c r="E7423" s="709">
        <v>0.67697518592150785</v>
      </c>
      <c r="F7423" s="946">
        <v>0.06</v>
      </c>
      <c r="G7423" s="78"/>
      <c r="H7423" t="s">
        <v>285</v>
      </c>
    </row>
    <row r="7424" spans="1:8" hidden="1" outlineLevel="1" x14ac:dyDescent="0.25">
      <c r="A7424" s="999">
        <v>3.3333000000000002E-2</v>
      </c>
      <c r="B7424" s="1012" t="s">
        <v>2586</v>
      </c>
      <c r="C7424" s="1155">
        <v>15.472</v>
      </c>
      <c r="D7424" s="908">
        <v>24.49</v>
      </c>
      <c r="E7424" s="709">
        <v>0.58285935884177875</v>
      </c>
      <c r="F7424" s="946">
        <v>0.06</v>
      </c>
      <c r="G7424" s="78"/>
      <c r="H7424" t="s">
        <v>2720</v>
      </c>
    </row>
    <row r="7425" spans="1:8" hidden="1" outlineLevel="1" x14ac:dyDescent="0.25">
      <c r="A7425" s="999">
        <v>3.3333000000000002E-2</v>
      </c>
      <c r="B7425" s="1012" t="s">
        <v>3801</v>
      </c>
      <c r="C7425" s="1155">
        <v>48.765500000000003</v>
      </c>
      <c r="D7425" s="908">
        <v>21.725000000000001</v>
      </c>
      <c r="E7425" s="709">
        <v>-0.554500620315592</v>
      </c>
      <c r="F7425" s="946">
        <v>-0.554500620315592</v>
      </c>
      <c r="G7425" s="78"/>
      <c r="H7425" t="s">
        <v>2819</v>
      </c>
    </row>
    <row r="7426" spans="1:8" hidden="1" outlineLevel="1" x14ac:dyDescent="0.25">
      <c r="A7426" s="999">
        <v>3.3333000000000002E-2</v>
      </c>
      <c r="B7426" s="1012" t="s">
        <v>51</v>
      </c>
      <c r="C7426" s="1155">
        <v>19.724</v>
      </c>
      <c r="D7426" s="908">
        <v>35.340000000000003</v>
      </c>
      <c r="E7426" s="709">
        <v>0.7917258162644496</v>
      </c>
      <c r="F7426" s="946">
        <v>0.06</v>
      </c>
      <c r="G7426" s="78"/>
      <c r="H7426" t="s">
        <v>2748</v>
      </c>
    </row>
    <row r="7427" spans="1:8" hidden="1" outlineLevel="1" x14ac:dyDescent="0.25">
      <c r="A7427" s="999">
        <v>3.3333000000000002E-2</v>
      </c>
      <c r="B7427" s="1012" t="s">
        <v>279</v>
      </c>
      <c r="C7427" s="1155">
        <v>46.526000000000003</v>
      </c>
      <c r="D7427" s="908">
        <v>57.9</v>
      </c>
      <c r="E7427" s="709">
        <v>0.24446546017280646</v>
      </c>
      <c r="F7427" s="946">
        <v>0.06</v>
      </c>
      <c r="G7427" s="78"/>
      <c r="H7427" t="s">
        <v>1468</v>
      </c>
    </row>
    <row r="7428" spans="1:8" hidden="1" outlineLevel="1" x14ac:dyDescent="0.25">
      <c r="A7428" s="999">
        <v>3.3333000000000002E-2</v>
      </c>
      <c r="B7428" s="1012" t="s">
        <v>2166</v>
      </c>
      <c r="C7428" s="1155">
        <v>20.876999999999999</v>
      </c>
      <c r="D7428" s="908">
        <v>33.115000000000002</v>
      </c>
      <c r="E7428" s="709">
        <v>0.58619533457872319</v>
      </c>
      <c r="F7428" s="946">
        <v>0.06</v>
      </c>
      <c r="G7428" s="78"/>
      <c r="H7428" t="s">
        <v>4160</v>
      </c>
    </row>
    <row r="7429" spans="1:8" hidden="1" outlineLevel="1" x14ac:dyDescent="0.25">
      <c r="A7429" s="999">
        <v>3.3333000000000002E-2</v>
      </c>
      <c r="B7429" s="1012" t="s">
        <v>2778</v>
      </c>
      <c r="C7429" s="1155">
        <v>784.5</v>
      </c>
      <c r="D7429" s="908">
        <v>1441</v>
      </c>
      <c r="E7429" s="709">
        <v>0.83683875079668568</v>
      </c>
      <c r="F7429" s="946">
        <v>0.06</v>
      </c>
      <c r="G7429" s="78"/>
      <c r="H7429" t="s">
        <v>1947</v>
      </c>
    </row>
    <row r="7430" spans="1:8" hidden="1" outlineLevel="1" x14ac:dyDescent="0.25">
      <c r="A7430" s="999">
        <v>3.3333000000000002E-2</v>
      </c>
      <c r="B7430" s="1012" t="s">
        <v>577</v>
      </c>
      <c r="C7430" s="1155">
        <v>14.24</v>
      </c>
      <c r="D7430" s="908">
        <v>10.579000000000001</v>
      </c>
      <c r="E7430" s="709">
        <v>-0.25709269662921341</v>
      </c>
      <c r="F7430" s="946">
        <v>-0.25709269662921341</v>
      </c>
      <c r="G7430" s="78"/>
      <c r="H7430" t="s">
        <v>2804</v>
      </c>
    </row>
    <row r="7431" spans="1:8" hidden="1" outlineLevel="1" x14ac:dyDescent="0.25">
      <c r="A7431" s="999">
        <v>3.3333000000000002E-2</v>
      </c>
      <c r="B7431" s="1012" t="s">
        <v>4568</v>
      </c>
      <c r="C7431" s="1155">
        <v>13.016999999999999</v>
      </c>
      <c r="D7431" s="908">
        <v>36.484999999999999</v>
      </c>
      <c r="E7431" s="709">
        <v>1.8028731658600292</v>
      </c>
      <c r="F7431" s="946">
        <v>0.06</v>
      </c>
      <c r="G7431" s="78"/>
      <c r="H7431" t="s">
        <v>4569</v>
      </c>
    </row>
    <row r="7432" spans="1:8" hidden="1" outlineLevel="1" x14ac:dyDescent="0.25">
      <c r="A7432" s="999">
        <v>3.3333000000000002E-2</v>
      </c>
      <c r="B7432" s="1012" t="s">
        <v>1622</v>
      </c>
      <c r="C7432" s="1155">
        <v>11.561</v>
      </c>
      <c r="D7432" s="908">
        <v>9.5388000000000002</v>
      </c>
      <c r="E7432" s="709">
        <v>-0.17491566473488451</v>
      </c>
      <c r="F7432" s="946">
        <v>-0.17491566473488451</v>
      </c>
      <c r="G7432" s="78"/>
      <c r="H7432" t="s">
        <v>1623</v>
      </c>
    </row>
    <row r="7433" spans="1:8" hidden="1" outlineLevel="1" x14ac:dyDescent="0.25">
      <c r="A7433" s="999">
        <v>3.3333000000000002E-2</v>
      </c>
      <c r="B7433" s="1012" t="s">
        <v>1183</v>
      </c>
      <c r="C7433" s="1155">
        <v>36.982999999999997</v>
      </c>
      <c r="D7433" s="908">
        <v>41.914999999999999</v>
      </c>
      <c r="E7433" s="709">
        <v>0.13335857015385444</v>
      </c>
      <c r="F7433" s="946">
        <v>0.06</v>
      </c>
      <c r="G7433" s="78"/>
      <c r="H7433" t="s">
        <v>2805</v>
      </c>
    </row>
    <row r="7434" spans="1:8" hidden="1" outlineLevel="1" x14ac:dyDescent="0.25">
      <c r="A7434" s="999">
        <v>3.3333000000000002E-2</v>
      </c>
      <c r="B7434" s="1012" t="s">
        <v>3169</v>
      </c>
      <c r="C7434" s="1155">
        <v>18.077400000000001</v>
      </c>
      <c r="D7434" s="715">
        <v>16.059999999999999</v>
      </c>
      <c r="E7434" s="709">
        <v>-0.1115979067786298</v>
      </c>
      <c r="F7434" s="1023">
        <v>-0.1115979067786298</v>
      </c>
      <c r="G7434" s="78"/>
      <c r="H7434" t="s">
        <v>657</v>
      </c>
    </row>
    <row r="7435" spans="1:8" hidden="1" outlineLevel="1" x14ac:dyDescent="0.25">
      <c r="A7435" s="1204" t="s">
        <v>2465</v>
      </c>
      <c r="B7435" s="1205"/>
      <c r="C7435" s="1206"/>
      <c r="D7435" s="886"/>
      <c r="E7435" s="491">
        <v>0.96514347788514976</v>
      </c>
      <c r="F7435" s="1232">
        <v>-7.7229605383020445E-3</v>
      </c>
      <c r="G7435" s="78"/>
    </row>
    <row r="7436" spans="1:8" hidden="1" outlineLevel="1" x14ac:dyDescent="0.25">
      <c r="A7436" s="1017"/>
      <c r="B7436" s="1018"/>
      <c r="C7436" s="837"/>
      <c r="D7436" s="798"/>
      <c r="E7436" s="709"/>
      <c r="F7436" s="1666"/>
      <c r="G7436" s="78"/>
    </row>
    <row r="7437" spans="1:8" hidden="1" outlineLevel="1" x14ac:dyDescent="0.25">
      <c r="A7437" s="725" t="s">
        <v>113</v>
      </c>
      <c r="B7437" s="725"/>
      <c r="C7437" s="1019"/>
      <c r="D7437" s="1019"/>
      <c r="E7437" s="729"/>
      <c r="F7437" s="1188"/>
      <c r="G7437" s="78"/>
    </row>
    <row r="7438" spans="1:8" hidden="1" outlineLevel="1" x14ac:dyDescent="0.25">
      <c r="A7438" s="732" t="s">
        <v>4841</v>
      </c>
      <c r="B7438" s="690"/>
      <c r="C7438" s="691"/>
      <c r="D7438" s="691"/>
      <c r="E7438" s="691"/>
      <c r="F7438" s="1021">
        <v>0.04</v>
      </c>
      <c r="G7438" s="78"/>
    </row>
    <row r="7439" spans="1:8" hidden="1" outlineLevel="1" x14ac:dyDescent="0.25">
      <c r="A7439" s="732" t="s">
        <v>4842</v>
      </c>
      <c r="B7439" s="706"/>
      <c r="C7439" s="1022"/>
      <c r="D7439" s="1022"/>
      <c r="E7439" s="1022"/>
      <c r="F7439" s="946">
        <v>5.7299999999999997E-2</v>
      </c>
      <c r="G7439" s="78"/>
    </row>
    <row r="7440" spans="1:8" hidden="1" outlineLevel="1" x14ac:dyDescent="0.25">
      <c r="A7440" s="732" t="s">
        <v>4843</v>
      </c>
      <c r="B7440" s="706"/>
      <c r="C7440" s="1022"/>
      <c r="D7440" s="1022"/>
      <c r="E7440" s="1022"/>
      <c r="F7440" s="946">
        <v>2.4181999999999988E-2</v>
      </c>
      <c r="G7440" s="78"/>
    </row>
    <row r="7441" spans="1:8" hidden="1" outlineLevel="1" x14ac:dyDescent="0.25">
      <c r="A7441" s="732" t="s">
        <v>4844</v>
      </c>
      <c r="B7441" s="695"/>
      <c r="C7441" s="1022"/>
      <c r="D7441" s="1022"/>
      <c r="E7441" s="1022"/>
      <c r="F7441" s="1023">
        <v>5.0000000000000001E-3</v>
      </c>
      <c r="G7441" s="78"/>
    </row>
    <row r="7442" spans="1:8" collapsed="1" x14ac:dyDescent="0.25">
      <c r="A7442" s="3803" t="s">
        <v>4113</v>
      </c>
      <c r="B7442" s="3804"/>
      <c r="C7442" s="3804"/>
      <c r="D7442" s="1019"/>
      <c r="E7442" s="1019"/>
      <c r="F7442" s="934">
        <v>0.12648199999999998</v>
      </c>
      <c r="G7442" s="97" t="s">
        <v>781</v>
      </c>
    </row>
    <row r="7444" spans="1:8" hidden="1" outlineLevel="1" x14ac:dyDescent="0.25">
      <c r="A7444" s="689" t="s">
        <v>113</v>
      </c>
      <c r="B7444" s="689" t="s">
        <v>114</v>
      </c>
      <c r="C7444" s="689" t="s">
        <v>112</v>
      </c>
      <c r="D7444" s="689" t="s">
        <v>116</v>
      </c>
      <c r="E7444" s="689" t="s">
        <v>117</v>
      </c>
      <c r="F7444" s="1188" t="s">
        <v>121</v>
      </c>
      <c r="G7444" s="78"/>
    </row>
    <row r="7445" spans="1:8" hidden="1" outlineLevel="1" x14ac:dyDescent="0.25">
      <c r="A7445" s="690">
        <v>5</v>
      </c>
      <c r="B7445" s="691" t="s">
        <v>252</v>
      </c>
      <c r="C7445" s="692">
        <v>100</v>
      </c>
      <c r="D7445" s="697" t="s">
        <v>3702</v>
      </c>
      <c r="E7445" s="698">
        <v>42460</v>
      </c>
      <c r="F7445" s="699"/>
      <c r="G7445" s="78"/>
    </row>
    <row r="7446" spans="1:8" hidden="1" outlineLevel="1" x14ac:dyDescent="0.25">
      <c r="A7446" s="689" t="s">
        <v>4156</v>
      </c>
      <c r="B7446" s="689" t="s">
        <v>4153</v>
      </c>
      <c r="C7446" s="700" t="s">
        <v>112</v>
      </c>
      <c r="D7446" s="689" t="s">
        <v>4155</v>
      </c>
      <c r="E7446" s="495" t="s">
        <v>4154</v>
      </c>
      <c r="F7446" s="1021" t="s">
        <v>734</v>
      </c>
      <c r="G7446" s="78"/>
    </row>
    <row r="7447" spans="1:8" hidden="1" outlineLevel="1" x14ac:dyDescent="0.25">
      <c r="A7447" s="999">
        <v>3.5000000000000003E-2</v>
      </c>
      <c r="B7447" s="1010" t="s">
        <v>280</v>
      </c>
      <c r="C7447" s="1154">
        <v>32.226999999999997</v>
      </c>
      <c r="D7447" s="908">
        <v>59.9</v>
      </c>
      <c r="E7447" s="705">
        <v>0.85868991839141118</v>
      </c>
      <c r="F7447" s="1021">
        <v>0.1</v>
      </c>
      <c r="G7447" s="78"/>
      <c r="H7447" t="s">
        <v>1469</v>
      </c>
    </row>
    <row r="7448" spans="1:8" hidden="1" outlineLevel="1" x14ac:dyDescent="0.25">
      <c r="A7448" s="999">
        <v>3.5000000000000003E-2</v>
      </c>
      <c r="B7448" s="1012" t="s">
        <v>3404</v>
      </c>
      <c r="C7448" s="1155">
        <v>8.5359999999999996</v>
      </c>
      <c r="D7448" s="908">
        <v>9.58</v>
      </c>
      <c r="E7448" s="709">
        <v>0.12230552952202434</v>
      </c>
      <c r="F7448" s="946">
        <v>0.1</v>
      </c>
      <c r="G7448" s="78"/>
      <c r="H7448" s="1362">
        <f>L7448</f>
        <v>0</v>
      </c>
    </row>
    <row r="7449" spans="1:8" hidden="1" outlineLevel="1" x14ac:dyDescent="0.25">
      <c r="A7449" s="999">
        <v>0.03</v>
      </c>
      <c r="B7449" s="1012" t="s">
        <v>2984</v>
      </c>
      <c r="C7449" s="1155">
        <v>7.5659999999999998</v>
      </c>
      <c r="D7449" s="908">
        <v>5.8419999999999996</v>
      </c>
      <c r="E7449" s="709">
        <v>-0.22786148559344443</v>
      </c>
      <c r="F7449" s="946">
        <v>-0.22786148559344443</v>
      </c>
      <c r="G7449" s="78"/>
      <c r="H7449" s="1362">
        <f>L7449</f>
        <v>0</v>
      </c>
    </row>
    <row r="7450" spans="1:8" hidden="1" outlineLevel="1" x14ac:dyDescent="0.25">
      <c r="A7450" s="999">
        <v>3.5000000000000003E-2</v>
      </c>
      <c r="B7450" s="1012" t="s">
        <v>3019</v>
      </c>
      <c r="C7450" s="1155">
        <v>36</v>
      </c>
      <c r="D7450" s="908">
        <v>44.23</v>
      </c>
      <c r="E7450" s="709">
        <v>0.2286111111111111</v>
      </c>
      <c r="F7450" s="946">
        <v>0.1</v>
      </c>
      <c r="G7450" s="78"/>
      <c r="H7450" s="1362">
        <f>L7450</f>
        <v>0</v>
      </c>
    </row>
    <row r="7451" spans="1:8" hidden="1" outlineLevel="1" x14ac:dyDescent="0.25">
      <c r="A7451" s="999">
        <v>3.5000000000000003E-2</v>
      </c>
      <c r="B7451" s="1012" t="s">
        <v>4377</v>
      </c>
      <c r="C7451" s="1155">
        <v>20.172000000000001</v>
      </c>
      <c r="D7451" s="908">
        <v>63.88</v>
      </c>
      <c r="E7451" s="709">
        <v>2.1667658139996036</v>
      </c>
      <c r="F7451" s="946">
        <v>0.1</v>
      </c>
      <c r="G7451" s="78"/>
      <c r="H7451" s="1362">
        <f>L7451</f>
        <v>0</v>
      </c>
    </row>
    <row r="7452" spans="1:8" hidden="1" outlineLevel="1" x14ac:dyDescent="0.25">
      <c r="A7452" s="999">
        <v>0.03</v>
      </c>
      <c r="B7452" s="1012" t="s">
        <v>951</v>
      </c>
      <c r="C7452" s="1155">
        <v>3098</v>
      </c>
      <c r="D7452" s="908">
        <v>3355</v>
      </c>
      <c r="E7452" s="709">
        <v>8.2956746287927707E-2</v>
      </c>
      <c r="F7452" s="946">
        <v>0.1</v>
      </c>
      <c r="G7452" s="78"/>
      <c r="H7452" s="1362" t="e">
        <f>(1/L7452)/1000</f>
        <v>#DIV/0!</v>
      </c>
    </row>
    <row r="7453" spans="1:8" hidden="1" outlineLevel="1" x14ac:dyDescent="0.25">
      <c r="A7453" s="999">
        <v>0.05</v>
      </c>
      <c r="B7453" s="1012" t="s">
        <v>2699</v>
      </c>
      <c r="C7453" s="1155">
        <v>8.9420000000000002</v>
      </c>
      <c r="D7453" s="908">
        <v>24.42</v>
      </c>
      <c r="E7453" s="709">
        <v>1.7309326772534108</v>
      </c>
      <c r="F7453" s="946">
        <v>0.1</v>
      </c>
      <c r="G7453" s="78"/>
      <c r="H7453" s="1362" t="e">
        <f>1/L7453</f>
        <v>#DIV/0!</v>
      </c>
    </row>
    <row r="7454" spans="1:8" hidden="1" outlineLevel="1" x14ac:dyDescent="0.25">
      <c r="A7454" s="999">
        <v>0.03</v>
      </c>
      <c r="B7454" s="1012" t="s">
        <v>3406</v>
      </c>
      <c r="C7454" s="1155">
        <v>783.7</v>
      </c>
      <c r="D7454" s="908">
        <v>1881.5</v>
      </c>
      <c r="E7454" s="709">
        <v>1.4007911190506568</v>
      </c>
      <c r="F7454" s="946">
        <v>0.1</v>
      </c>
      <c r="G7454" s="78"/>
      <c r="H7454" s="1362" t="e">
        <f>1/L7454</f>
        <v>#DIV/0!</v>
      </c>
    </row>
    <row r="7455" spans="1:8" hidden="1" outlineLevel="1" x14ac:dyDescent="0.25">
      <c r="A7455" s="999">
        <v>0.03</v>
      </c>
      <c r="B7455" s="1012" t="s">
        <v>4064</v>
      </c>
      <c r="C7455" s="1155">
        <v>32.316000000000003</v>
      </c>
      <c r="D7455" s="908">
        <v>72.010000000000005</v>
      </c>
      <c r="E7455" s="709">
        <v>1.228307958905805</v>
      </c>
      <c r="F7455" s="946">
        <v>0.1</v>
      </c>
      <c r="G7455" s="78"/>
      <c r="H7455" s="1362" t="e">
        <f>1/L7455</f>
        <v>#DIV/0!</v>
      </c>
    </row>
    <row r="7456" spans="1:8" hidden="1" outlineLevel="1" x14ac:dyDescent="0.25">
      <c r="A7456" s="999">
        <v>3.5000000000000003E-2</v>
      </c>
      <c r="B7456" s="740" t="s">
        <v>3021</v>
      </c>
      <c r="C7456" s="1155">
        <v>14.666</v>
      </c>
      <c r="D7456" s="908">
        <v>13.3</v>
      </c>
      <c r="E7456" s="709">
        <v>-9.3140597299877226E-2</v>
      </c>
      <c r="F7456" s="946">
        <v>-9.3140597299877226E-2</v>
      </c>
      <c r="G7456" s="78"/>
      <c r="H7456" s="1362" t="e">
        <f>(1/L7456)*1000</f>
        <v>#DIV/0!</v>
      </c>
    </row>
    <row r="7457" spans="1:8" hidden="1" outlineLevel="1" x14ac:dyDescent="0.25">
      <c r="A7457" s="999">
        <v>0.03</v>
      </c>
      <c r="B7457" s="740" t="s">
        <v>2630</v>
      </c>
      <c r="C7457" s="1155">
        <v>16.812000000000001</v>
      </c>
      <c r="D7457" s="908">
        <v>11.24</v>
      </c>
      <c r="E7457" s="709">
        <v>-0.33142993100166551</v>
      </c>
      <c r="F7457" s="946">
        <v>-0.33142993100166551</v>
      </c>
      <c r="G7457" s="78"/>
      <c r="H7457" s="1362">
        <f>L7457</f>
        <v>0</v>
      </c>
    </row>
    <row r="7458" spans="1:8" hidden="1" outlineLevel="1" x14ac:dyDescent="0.25">
      <c r="A7458" s="999">
        <v>0.03</v>
      </c>
      <c r="B7458" s="743" t="s">
        <v>3269</v>
      </c>
      <c r="C7458" s="1155">
        <v>11.06</v>
      </c>
      <c r="D7458" s="908">
        <v>17.77</v>
      </c>
      <c r="E7458" s="709">
        <v>0.60669077757685352</v>
      </c>
      <c r="F7458" s="946">
        <v>0.1</v>
      </c>
      <c r="G7458" s="78"/>
      <c r="H7458" t="s">
        <v>3270</v>
      </c>
    </row>
    <row r="7459" spans="1:8" hidden="1" outlineLevel="1" x14ac:dyDescent="0.25">
      <c r="A7459" s="999">
        <v>2.5000000000000001E-2</v>
      </c>
      <c r="B7459" s="1012" t="s">
        <v>3407</v>
      </c>
      <c r="C7459" s="1155">
        <v>11.252000000000001</v>
      </c>
      <c r="D7459" s="908">
        <v>31.79</v>
      </c>
      <c r="E7459" s="709">
        <v>1.8252755065766082</v>
      </c>
      <c r="F7459" s="946">
        <v>0.1</v>
      </c>
      <c r="G7459" s="78"/>
      <c r="H7459" t="s">
        <v>4127</v>
      </c>
    </row>
    <row r="7460" spans="1:8" hidden="1" outlineLevel="1" x14ac:dyDescent="0.25">
      <c r="A7460" s="999">
        <v>0.05</v>
      </c>
      <c r="B7460" s="740" t="s">
        <v>3643</v>
      </c>
      <c r="C7460" s="1155">
        <v>169.85</v>
      </c>
      <c r="D7460" s="908">
        <v>270.7</v>
      </c>
      <c r="E7460" s="709">
        <v>0.5937591992934943</v>
      </c>
      <c r="F7460" s="946">
        <v>0.1</v>
      </c>
      <c r="G7460" s="78"/>
      <c r="H7460" t="s">
        <v>1729</v>
      </c>
    </row>
    <row r="7461" spans="1:8" hidden="1" outlineLevel="1" x14ac:dyDescent="0.25">
      <c r="A7461" s="999">
        <v>4.4999999999999998E-2</v>
      </c>
      <c r="B7461" s="1012" t="s">
        <v>2920</v>
      </c>
      <c r="C7461" s="1155">
        <v>15.74</v>
      </c>
      <c r="D7461" s="908">
        <v>32.35</v>
      </c>
      <c r="E7461" s="709">
        <v>1.0552731893265568</v>
      </c>
      <c r="F7461" s="946">
        <v>0.1</v>
      </c>
      <c r="G7461" s="78"/>
      <c r="H7461" t="s">
        <v>2926</v>
      </c>
    </row>
    <row r="7462" spans="1:8" hidden="1" outlineLevel="1" x14ac:dyDescent="0.25">
      <c r="A7462" s="999">
        <v>0.03</v>
      </c>
      <c r="B7462" s="1012" t="s">
        <v>4143</v>
      </c>
      <c r="C7462" s="1155">
        <v>9.6997999999999998</v>
      </c>
      <c r="D7462" s="908">
        <v>3</v>
      </c>
      <c r="E7462" s="709">
        <v>-0.69071527247984488</v>
      </c>
      <c r="F7462" s="946">
        <v>-0.69071527247984488</v>
      </c>
      <c r="G7462" s="78"/>
      <c r="H7462" t="s">
        <v>4144</v>
      </c>
    </row>
    <row r="7463" spans="1:8" hidden="1" outlineLevel="1" x14ac:dyDescent="0.25">
      <c r="A7463" s="999">
        <v>3.5000000000000003E-2</v>
      </c>
      <c r="B7463" s="1012" t="s">
        <v>7574</v>
      </c>
      <c r="C7463" s="1155">
        <v>35.037999999999997</v>
      </c>
      <c r="D7463" s="908">
        <v>45.23</v>
      </c>
      <c r="E7463" s="709">
        <v>0.29088418288715112</v>
      </c>
      <c r="F7463" s="946">
        <v>0.1</v>
      </c>
      <c r="G7463" s="78"/>
      <c r="H7463" t="s">
        <v>479</v>
      </c>
    </row>
    <row r="7464" spans="1:8" hidden="1" outlineLevel="1" x14ac:dyDescent="0.25">
      <c r="A7464" s="999">
        <v>3.5000000000000003E-2</v>
      </c>
      <c r="B7464" s="1012" t="s">
        <v>3271</v>
      </c>
      <c r="C7464" s="1155">
        <v>3.73</v>
      </c>
      <c r="D7464" s="908">
        <v>3.5</v>
      </c>
      <c r="E7464" s="709">
        <v>-6.1662198391420953E-2</v>
      </c>
      <c r="F7464" s="946">
        <v>-6.1662198391420953E-2</v>
      </c>
      <c r="G7464" s="78"/>
      <c r="H7464" t="s">
        <v>3272</v>
      </c>
    </row>
    <row r="7465" spans="1:8" hidden="1" outlineLevel="1" x14ac:dyDescent="0.25">
      <c r="A7465" s="999">
        <v>0.03</v>
      </c>
      <c r="B7465" s="1012" t="s">
        <v>247</v>
      </c>
      <c r="C7465" s="1155">
        <v>1515.4</v>
      </c>
      <c r="D7465" s="908">
        <v>1906</v>
      </c>
      <c r="E7465" s="709">
        <v>0.25775372838854427</v>
      </c>
      <c r="F7465" s="946">
        <v>0.1</v>
      </c>
      <c r="G7465" s="78"/>
      <c r="H7465" t="s">
        <v>3640</v>
      </c>
    </row>
    <row r="7466" spans="1:8" hidden="1" outlineLevel="1" x14ac:dyDescent="0.25">
      <c r="A7466" s="999">
        <v>0.03</v>
      </c>
      <c r="B7466" s="1012" t="s">
        <v>3797</v>
      </c>
      <c r="C7466" s="1155">
        <v>39.432000000000002</v>
      </c>
      <c r="D7466" s="908">
        <v>71.849999999999994</v>
      </c>
      <c r="E7466" s="709">
        <v>0.82212416311625058</v>
      </c>
      <c r="F7466" s="946">
        <v>0.1</v>
      </c>
      <c r="G7466" s="78"/>
      <c r="H7466" t="s">
        <v>3848</v>
      </c>
    </row>
    <row r="7467" spans="1:8" hidden="1" outlineLevel="1" x14ac:dyDescent="0.25">
      <c r="A7467" s="999">
        <v>2.5000000000000001E-2</v>
      </c>
      <c r="B7467" s="1012" t="s">
        <v>1190</v>
      </c>
      <c r="C7467" s="1155">
        <v>10.077999999999999</v>
      </c>
      <c r="D7467" s="908">
        <v>6.6269999999999998</v>
      </c>
      <c r="E7467" s="709">
        <v>-0.34242905338360785</v>
      </c>
      <c r="F7467" s="946">
        <v>-0.34242905338360785</v>
      </c>
      <c r="G7467" s="78"/>
      <c r="H7467" t="s">
        <v>7569</v>
      </c>
    </row>
    <row r="7468" spans="1:8" hidden="1" outlineLevel="1" x14ac:dyDescent="0.25">
      <c r="A7468" s="999">
        <v>4.4999999999999998E-2</v>
      </c>
      <c r="B7468" s="1012" t="s">
        <v>2787</v>
      </c>
      <c r="C7468" s="1155">
        <v>42.508000000000003</v>
      </c>
      <c r="D7468" s="908">
        <v>69.7</v>
      </c>
      <c r="E7468" s="709">
        <v>0.63969135221605344</v>
      </c>
      <c r="F7468" s="946">
        <v>0.1</v>
      </c>
      <c r="G7468" s="78"/>
      <c r="H7468" t="s">
        <v>80</v>
      </c>
    </row>
    <row r="7469" spans="1:8" hidden="1" outlineLevel="1" x14ac:dyDescent="0.25">
      <c r="A7469" s="999">
        <v>0.02</v>
      </c>
      <c r="B7469" s="1012" t="s">
        <v>1414</v>
      </c>
      <c r="C7469" s="1155">
        <v>13.472</v>
      </c>
      <c r="D7469" s="908">
        <v>29.64</v>
      </c>
      <c r="E7469" s="709">
        <v>1.2001187648456058</v>
      </c>
      <c r="F7469" s="946">
        <v>0.1</v>
      </c>
      <c r="G7469" s="78"/>
      <c r="H7469" t="s">
        <v>2428</v>
      </c>
    </row>
    <row r="7470" spans="1:8" hidden="1" outlineLevel="1" x14ac:dyDescent="0.25">
      <c r="A7470" s="999">
        <v>4.4999999999999998E-2</v>
      </c>
      <c r="B7470" s="1012" t="s">
        <v>1239</v>
      </c>
      <c r="C7470" s="1155">
        <v>312.64999999999998</v>
      </c>
      <c r="D7470" s="908">
        <v>522.5</v>
      </c>
      <c r="E7470" s="709">
        <v>0.67119782504397896</v>
      </c>
      <c r="F7470" s="946">
        <v>0.1</v>
      </c>
      <c r="G7470" s="78"/>
      <c r="H7470" t="s">
        <v>268</v>
      </c>
    </row>
    <row r="7471" spans="1:8" hidden="1" outlineLevel="1" x14ac:dyDescent="0.25">
      <c r="A7471" s="999">
        <v>2.5000000000000001E-2</v>
      </c>
      <c r="B7471" s="1012" t="s">
        <v>577</v>
      </c>
      <c r="C7471" s="1155">
        <v>15.12</v>
      </c>
      <c r="D7471" s="908">
        <v>12.023</v>
      </c>
      <c r="E7471" s="709">
        <v>-0.2048280423280423</v>
      </c>
      <c r="F7471" s="946">
        <v>-0.2048280423280423</v>
      </c>
      <c r="G7471" s="78"/>
      <c r="H7471" t="s">
        <v>2804</v>
      </c>
    </row>
    <row r="7472" spans="1:8" hidden="1" outlineLevel="1" x14ac:dyDescent="0.25">
      <c r="A7472" s="999">
        <v>0.03</v>
      </c>
      <c r="B7472" s="1012" t="s">
        <v>3641</v>
      </c>
      <c r="C7472" s="1155">
        <v>52.765999999999998</v>
      </c>
      <c r="D7472" s="908">
        <v>105.47</v>
      </c>
      <c r="E7472" s="709">
        <v>0.99882500094757987</v>
      </c>
      <c r="F7472" s="946">
        <v>0.1</v>
      </c>
      <c r="G7472" s="78"/>
      <c r="H7472" t="s">
        <v>3642</v>
      </c>
    </row>
    <row r="7473" spans="1:8" hidden="1" outlineLevel="1" x14ac:dyDescent="0.25">
      <c r="A7473" s="999">
        <v>3.5000000000000003E-2</v>
      </c>
      <c r="B7473" s="1012" t="s">
        <v>4228</v>
      </c>
      <c r="C7473" s="1155">
        <v>17.318999999999999</v>
      </c>
      <c r="D7473" s="908">
        <v>13.66</v>
      </c>
      <c r="E7473" s="709">
        <v>-0.21127085859460704</v>
      </c>
      <c r="F7473" s="946">
        <v>-0.21127085859460704</v>
      </c>
      <c r="G7473" s="78"/>
      <c r="H7473" t="s">
        <v>3994</v>
      </c>
    </row>
    <row r="7474" spans="1:8" hidden="1" outlineLevel="1" x14ac:dyDescent="0.25">
      <c r="A7474" s="999">
        <v>0.03</v>
      </c>
      <c r="B7474" s="1012" t="s">
        <v>255</v>
      </c>
      <c r="C7474" s="1155">
        <v>31.707999999999998</v>
      </c>
      <c r="D7474" s="908">
        <v>54.08</v>
      </c>
      <c r="E7474" s="742">
        <v>0.70556326479122</v>
      </c>
      <c r="F7474" s="946">
        <v>0.1</v>
      </c>
      <c r="G7474" s="78"/>
      <c r="H7474" t="s">
        <v>3351</v>
      </c>
    </row>
    <row r="7475" spans="1:8" hidden="1" outlineLevel="1" x14ac:dyDescent="0.25">
      <c r="A7475" s="999">
        <v>3.5000000000000003E-2</v>
      </c>
      <c r="B7475" s="1012" t="s">
        <v>3169</v>
      </c>
      <c r="C7475" s="1155">
        <v>20.077999999999999</v>
      </c>
      <c r="D7475" s="908">
        <v>18.675999999999998</v>
      </c>
      <c r="E7475" s="742">
        <v>-6.98276720788924E-2</v>
      </c>
      <c r="F7475" s="946">
        <v>-6.98276720788924E-2</v>
      </c>
      <c r="G7475" s="78"/>
      <c r="H7475" t="s">
        <v>657</v>
      </c>
    </row>
    <row r="7476" spans="1:8" hidden="1" outlineLevel="1" x14ac:dyDescent="0.25">
      <c r="A7476" s="999">
        <v>2.5000000000000001E-2</v>
      </c>
      <c r="B7476" s="1012" t="s">
        <v>4550</v>
      </c>
      <c r="C7476" s="1155">
        <v>187.96</v>
      </c>
      <c r="D7476" s="715">
        <v>206.3</v>
      </c>
      <c r="E7476" s="748">
        <v>9.7573951904660561E-2</v>
      </c>
      <c r="F7476" s="1023">
        <v>0.1</v>
      </c>
      <c r="G7476" s="78"/>
      <c r="H7476" t="s">
        <v>4551</v>
      </c>
    </row>
    <row r="7477" spans="1:8" hidden="1" outlineLevel="1" x14ac:dyDescent="0.25">
      <c r="A7477" s="1204" t="s">
        <v>2465</v>
      </c>
      <c r="B7477" s="1205"/>
      <c r="C7477" s="1206"/>
      <c r="D7477" s="886"/>
      <c r="E7477" s="491">
        <v>0.53979169982371844</v>
      </c>
      <c r="F7477" s="1232">
        <v>5.5618255121921856E-3</v>
      </c>
      <c r="G7477" s="78"/>
    </row>
    <row r="7478" spans="1:8" hidden="1" outlineLevel="1" x14ac:dyDescent="0.25">
      <c r="A7478" s="1017"/>
      <c r="B7478" s="1018"/>
      <c r="C7478" s="837"/>
      <c r="D7478" s="798"/>
      <c r="E7478" s="709"/>
      <c r="F7478" s="1666"/>
      <c r="G7478" s="78"/>
    </row>
    <row r="7479" spans="1:8" hidden="1" outlineLevel="1" x14ac:dyDescent="0.25">
      <c r="A7479" s="725" t="s">
        <v>113</v>
      </c>
      <c r="B7479" s="725"/>
      <c r="C7479" s="1019"/>
      <c r="D7479" s="1019"/>
      <c r="E7479" s="729"/>
      <c r="F7479" s="1188"/>
      <c r="G7479" s="78"/>
    </row>
    <row r="7480" spans="1:8" hidden="1" outlineLevel="1" x14ac:dyDescent="0.25">
      <c r="A7480" s="732" t="s">
        <v>4836</v>
      </c>
      <c r="B7480" s="690"/>
      <c r="C7480" s="691"/>
      <c r="D7480" s="691"/>
      <c r="E7480" s="691"/>
      <c r="F7480" s="1021">
        <v>0.04</v>
      </c>
      <c r="G7480" s="78"/>
    </row>
    <row r="7481" spans="1:8" hidden="1" outlineLevel="1" x14ac:dyDescent="0.25">
      <c r="A7481" s="732" t="s">
        <v>4837</v>
      </c>
      <c r="B7481" s="706"/>
      <c r="C7481" s="1022"/>
      <c r="D7481" s="1022"/>
      <c r="E7481" s="1022"/>
      <c r="F7481" s="946">
        <v>8.3099999999999993E-2</v>
      </c>
      <c r="G7481" s="78"/>
    </row>
    <row r="7482" spans="1:8" hidden="1" outlineLevel="1" x14ac:dyDescent="0.25">
      <c r="A7482" s="732" t="s">
        <v>4838</v>
      </c>
      <c r="B7482" s="706"/>
      <c r="C7482" s="1022"/>
      <c r="D7482" s="1022"/>
      <c r="E7482" s="1022"/>
      <c r="F7482" s="946">
        <v>0</v>
      </c>
      <c r="G7482" s="78"/>
    </row>
    <row r="7483" spans="1:8" hidden="1" outlineLevel="1" x14ac:dyDescent="0.25">
      <c r="A7483" s="732" t="s">
        <v>4839</v>
      </c>
      <c r="B7483" s="695"/>
      <c r="C7483" s="1022"/>
      <c r="D7483" s="1022"/>
      <c r="E7483" s="1022"/>
      <c r="F7483" s="946">
        <v>0</v>
      </c>
      <c r="G7483" s="78"/>
    </row>
    <row r="7484" spans="1:8" hidden="1" outlineLevel="1" x14ac:dyDescent="0.25">
      <c r="A7484" s="732" t="s">
        <v>4840</v>
      </c>
      <c r="B7484" s="695"/>
      <c r="C7484" s="1022"/>
      <c r="D7484" s="1022"/>
      <c r="E7484" s="1022"/>
      <c r="F7484" s="1023">
        <v>2.2200000000000001E-2</v>
      </c>
      <c r="G7484" s="78"/>
    </row>
    <row r="7485" spans="1:8" collapsed="1" x14ac:dyDescent="0.25">
      <c r="A7485" s="3803" t="s">
        <v>3268</v>
      </c>
      <c r="B7485" s="3804"/>
      <c r="C7485" s="3804"/>
      <c r="D7485" s="1019"/>
      <c r="E7485" s="1019"/>
      <c r="F7485" s="934">
        <v>0.14529999999999998</v>
      </c>
      <c r="G7485" s="97" t="s">
        <v>781</v>
      </c>
    </row>
    <row r="7487" spans="1:8" hidden="1" outlineLevel="1" x14ac:dyDescent="0.25">
      <c r="A7487" s="689" t="s">
        <v>113</v>
      </c>
      <c r="B7487" s="689" t="s">
        <v>114</v>
      </c>
      <c r="C7487" s="689" t="s">
        <v>112</v>
      </c>
      <c r="D7487" s="689" t="s">
        <v>116</v>
      </c>
      <c r="E7487" s="689" t="s">
        <v>117</v>
      </c>
      <c r="F7487" s="1188" t="s">
        <v>121</v>
      </c>
    </row>
    <row r="7488" spans="1:8" hidden="1" outlineLevel="1" x14ac:dyDescent="0.25">
      <c r="A7488" s="751" t="s">
        <v>4696</v>
      </c>
      <c r="B7488" s="729" t="s">
        <v>115</v>
      </c>
      <c r="C7488" s="719">
        <v>2417.0830000000001</v>
      </c>
      <c r="D7488" s="719">
        <v>2509.2199999999998</v>
      </c>
      <c r="E7488" s="720">
        <v>3.8119088173637294E-2</v>
      </c>
      <c r="F7488" s="731">
        <v>0</v>
      </c>
    </row>
    <row r="7489" spans="1:6" hidden="1" outlineLevel="1" x14ac:dyDescent="0.25">
      <c r="A7489" s="751" t="s">
        <v>4697</v>
      </c>
      <c r="B7489" s="729" t="s">
        <v>115</v>
      </c>
      <c r="C7489" s="823">
        <v>2509.2199999999998</v>
      </c>
      <c r="D7489" s="823">
        <v>2370.71</v>
      </c>
      <c r="E7489" s="720">
        <v>-5.5200420847912768E-2</v>
      </c>
      <c r="F7489" s="731">
        <v>-0.04</v>
      </c>
    </row>
    <row r="7490" spans="1:6" hidden="1" outlineLevel="1" x14ac:dyDescent="0.25">
      <c r="A7490" s="751" t="s">
        <v>4698</v>
      </c>
      <c r="B7490" s="729" t="s">
        <v>115</v>
      </c>
      <c r="C7490" s="719">
        <v>2370.71</v>
      </c>
      <c r="D7490" s="719">
        <v>2669.41</v>
      </c>
      <c r="E7490" s="720">
        <v>0.12599600963424451</v>
      </c>
      <c r="F7490" s="731">
        <v>0</v>
      </c>
    </row>
    <row r="7491" spans="1:6" hidden="1" outlineLevel="1" x14ac:dyDescent="0.25">
      <c r="A7491" s="751" t="s">
        <v>4699</v>
      </c>
      <c r="B7491" s="729" t="s">
        <v>115</v>
      </c>
      <c r="C7491" s="719">
        <v>2669.41</v>
      </c>
      <c r="D7491" s="719">
        <v>2829.25</v>
      </c>
      <c r="E7491" s="720">
        <v>5.9878400095901396E-2</v>
      </c>
      <c r="F7491" s="731">
        <v>0</v>
      </c>
    </row>
    <row r="7492" spans="1:6" hidden="1" outlineLevel="1" x14ac:dyDescent="0.25">
      <c r="A7492" s="751" t="s">
        <v>4700</v>
      </c>
      <c r="B7492" s="729" t="s">
        <v>115</v>
      </c>
      <c r="C7492" s="719">
        <v>2829.25</v>
      </c>
      <c r="D7492" s="696">
        <v>2950.25</v>
      </c>
      <c r="E7492" s="720">
        <v>4.2767517893434581E-2</v>
      </c>
      <c r="F7492" s="731">
        <v>0</v>
      </c>
    </row>
    <row r="7493" spans="1:6" hidden="1" outlineLevel="1" x14ac:dyDescent="0.25">
      <c r="A7493" s="751" t="s">
        <v>4701</v>
      </c>
      <c r="B7493" s="729" t="s">
        <v>115</v>
      </c>
      <c r="C7493" s="719">
        <v>2950.82</v>
      </c>
      <c r="D7493" s="696">
        <v>2883.04</v>
      </c>
      <c r="E7493" s="720">
        <v>-2.2969886336679401E-2</v>
      </c>
      <c r="F7493" s="731">
        <v>-0.04</v>
      </c>
    </row>
    <row r="7494" spans="1:6" hidden="1" outlineLevel="1" x14ac:dyDescent="0.25">
      <c r="A7494" s="751" t="s">
        <v>4702</v>
      </c>
      <c r="B7494" s="729" t="s">
        <v>115</v>
      </c>
      <c r="C7494" s="719">
        <v>2883.04</v>
      </c>
      <c r="D7494" s="696">
        <v>2885</v>
      </c>
      <c r="E7494" s="720">
        <v>6.7983794883175186E-4</v>
      </c>
      <c r="F7494" s="731">
        <v>0</v>
      </c>
    </row>
    <row r="7495" spans="1:6" hidden="1" outlineLevel="1" x14ac:dyDescent="0.25">
      <c r="A7495" s="751" t="s">
        <v>4703</v>
      </c>
      <c r="B7495" s="729" t="s">
        <v>115</v>
      </c>
      <c r="C7495" s="719">
        <v>2885</v>
      </c>
      <c r="D7495" s="696">
        <v>2940.25</v>
      </c>
      <c r="E7495" s="720">
        <v>1.915077989601377E-2</v>
      </c>
      <c r="F7495" s="731">
        <v>0</v>
      </c>
    </row>
    <row r="7496" spans="1:6" hidden="1" outlineLevel="1" x14ac:dyDescent="0.25">
      <c r="A7496" s="751" t="s">
        <v>4704</v>
      </c>
      <c r="B7496" s="729" t="s">
        <v>115</v>
      </c>
      <c r="C7496" s="719">
        <v>2940.25</v>
      </c>
      <c r="D7496" s="696">
        <v>2674.46</v>
      </c>
      <c r="E7496" s="720">
        <v>-9.0397075078649802E-2</v>
      </c>
      <c r="F7496" s="731">
        <v>-0.04</v>
      </c>
    </row>
    <row r="7497" spans="1:6" hidden="1" outlineLevel="1" x14ac:dyDescent="0.25">
      <c r="A7497" s="751" t="s">
        <v>4705</v>
      </c>
      <c r="B7497" s="729" t="s">
        <v>115</v>
      </c>
      <c r="C7497" s="719">
        <v>2674.46</v>
      </c>
      <c r="D7497" s="696">
        <v>2898.36</v>
      </c>
      <c r="E7497" s="720">
        <v>8.3717834628298737E-2</v>
      </c>
      <c r="F7497" s="731">
        <v>0</v>
      </c>
    </row>
    <row r="7498" spans="1:6" hidden="1" outlineLevel="1" x14ac:dyDescent="0.25">
      <c r="A7498" s="751" t="s">
        <v>4706</v>
      </c>
      <c r="B7498" s="729" t="s">
        <v>115</v>
      </c>
      <c r="C7498" s="719">
        <v>2898.36</v>
      </c>
      <c r="D7498" s="719">
        <v>2949.65</v>
      </c>
      <c r="E7498" s="720">
        <v>1.7696214410908295E-2</v>
      </c>
      <c r="F7498" s="731">
        <v>0</v>
      </c>
    </row>
    <row r="7499" spans="1:6" hidden="1" outlineLevel="1" x14ac:dyDescent="0.25">
      <c r="A7499" s="751" t="s">
        <v>4707</v>
      </c>
      <c r="B7499" s="729" t="s">
        <v>115</v>
      </c>
      <c r="C7499" s="719">
        <v>2949.65</v>
      </c>
      <c r="D7499" s="719">
        <v>2633.95</v>
      </c>
      <c r="E7499" s="720">
        <v>-0.10702964758530686</v>
      </c>
      <c r="F7499" s="731">
        <v>-0.04</v>
      </c>
    </row>
    <row r="7500" spans="1:6" hidden="1" outlineLevel="1" x14ac:dyDescent="0.25">
      <c r="A7500" s="751" t="s">
        <v>4708</v>
      </c>
      <c r="B7500" s="729" t="s">
        <v>115</v>
      </c>
      <c r="C7500" s="719">
        <v>2633.95</v>
      </c>
      <c r="D7500" s="719">
        <v>2683.46</v>
      </c>
      <c r="E7500" s="720">
        <v>1.8796864025513171E-2</v>
      </c>
      <c r="F7500" s="731">
        <v>0</v>
      </c>
    </row>
    <row r="7501" spans="1:6" hidden="1" outlineLevel="1" x14ac:dyDescent="0.25">
      <c r="A7501" s="751" t="s">
        <v>4709</v>
      </c>
      <c r="B7501" s="729" t="s">
        <v>115</v>
      </c>
      <c r="C7501" s="719">
        <v>2683.46</v>
      </c>
      <c r="D7501" s="719">
        <v>2738.96</v>
      </c>
      <c r="E7501" s="720">
        <v>2.0682253508530035E-2</v>
      </c>
      <c r="F7501" s="731">
        <v>0</v>
      </c>
    </row>
    <row r="7502" spans="1:6" hidden="1" outlineLevel="1" x14ac:dyDescent="0.25">
      <c r="A7502" s="751" t="s">
        <v>4710</v>
      </c>
      <c r="B7502" s="729" t="s">
        <v>115</v>
      </c>
      <c r="C7502" s="719">
        <v>2738.96</v>
      </c>
      <c r="D7502" s="719">
        <v>2708.73</v>
      </c>
      <c r="E7502" s="720">
        <v>-1.1037035955253072E-2</v>
      </c>
      <c r="F7502" s="731">
        <v>-0.04</v>
      </c>
    </row>
    <row r="7503" spans="1:6" hidden="1" outlineLevel="1" x14ac:dyDescent="0.25">
      <c r="A7503" s="751" t="s">
        <v>4711</v>
      </c>
      <c r="B7503" s="729" t="s">
        <v>115</v>
      </c>
      <c r="C7503" s="719">
        <v>2708.73</v>
      </c>
      <c r="D7503" s="719">
        <v>2806.47</v>
      </c>
      <c r="E7503" s="720">
        <v>3.6083330564508076E-2</v>
      </c>
      <c r="F7503" s="731">
        <v>0</v>
      </c>
    </row>
    <row r="7504" spans="1:6" hidden="1" outlineLevel="1" x14ac:dyDescent="0.25">
      <c r="A7504" s="751" t="s">
        <v>4712</v>
      </c>
      <c r="B7504" s="729" t="s">
        <v>115</v>
      </c>
      <c r="C7504" s="719">
        <v>2806.47</v>
      </c>
      <c r="D7504" s="719">
        <v>2836.11</v>
      </c>
      <c r="E7504" s="720">
        <v>1.0561310115554612E-2</v>
      </c>
      <c r="F7504" s="731">
        <v>0</v>
      </c>
    </row>
    <row r="7505" spans="1:6" hidden="1" outlineLevel="1" x14ac:dyDescent="0.25">
      <c r="A7505" s="751" t="s">
        <v>4713</v>
      </c>
      <c r="B7505" s="729" t="s">
        <v>115</v>
      </c>
      <c r="C7505" s="719">
        <v>2836.11</v>
      </c>
      <c r="D7505" s="719">
        <v>2822.43</v>
      </c>
      <c r="E7505" s="720">
        <v>-4.8235082560268427E-3</v>
      </c>
      <c r="F7505" s="731">
        <v>-0.04</v>
      </c>
    </row>
    <row r="7506" spans="1:6" hidden="1" outlineLevel="1" x14ac:dyDescent="0.25">
      <c r="A7506" s="751" t="s">
        <v>4714</v>
      </c>
      <c r="B7506" s="729" t="s">
        <v>115</v>
      </c>
      <c r="C7506" s="719">
        <v>2822.43</v>
      </c>
      <c r="D7506" s="719">
        <v>2861.67</v>
      </c>
      <c r="E7506" s="720">
        <v>1.3902913446923515E-2</v>
      </c>
      <c r="F7506" s="731">
        <v>0</v>
      </c>
    </row>
    <row r="7507" spans="1:6" hidden="1" outlineLevel="1" x14ac:dyDescent="0.25">
      <c r="A7507" s="751" t="s">
        <v>4715</v>
      </c>
      <c r="B7507" s="729" t="s">
        <v>115</v>
      </c>
      <c r="C7507" s="719">
        <v>2861.67</v>
      </c>
      <c r="D7507" s="719">
        <v>2920.4</v>
      </c>
      <c r="E7507" s="720">
        <v>2.0522981336072998E-2</v>
      </c>
      <c r="F7507" s="731">
        <v>0</v>
      </c>
    </row>
    <row r="7508" spans="1:6" hidden="1" outlineLevel="1" x14ac:dyDescent="0.25">
      <c r="A7508" s="751" t="s">
        <v>4716</v>
      </c>
      <c r="B7508" s="729" t="s">
        <v>115</v>
      </c>
      <c r="C7508" s="719">
        <v>2920.4</v>
      </c>
      <c r="D7508" s="719">
        <v>3018.38</v>
      </c>
      <c r="E7508" s="720">
        <v>3.3550198602931181E-2</v>
      </c>
      <c r="F7508" s="731">
        <v>0</v>
      </c>
    </row>
    <row r="7509" spans="1:6" hidden="1" outlineLevel="1" x14ac:dyDescent="0.25">
      <c r="A7509" s="751" t="s">
        <v>4717</v>
      </c>
      <c r="B7509" s="729" t="s">
        <v>115</v>
      </c>
      <c r="C7509" s="719">
        <v>3018.38</v>
      </c>
      <c r="D7509" s="719">
        <v>2852.11</v>
      </c>
      <c r="E7509" s="720">
        <v>-5.5085840749011017E-2</v>
      </c>
      <c r="F7509" s="731">
        <v>-0.04</v>
      </c>
    </row>
    <row r="7510" spans="1:6" hidden="1" outlineLevel="1" x14ac:dyDescent="0.25">
      <c r="A7510" s="751" t="s">
        <v>4718</v>
      </c>
      <c r="B7510" s="729" t="s">
        <v>115</v>
      </c>
      <c r="C7510" s="719">
        <v>2852.11</v>
      </c>
      <c r="D7510" s="719">
        <v>2917.72</v>
      </c>
      <c r="E7510" s="720">
        <v>2.3004021584020151E-2</v>
      </c>
      <c r="F7510" s="731">
        <v>0</v>
      </c>
    </row>
    <row r="7511" spans="1:6" hidden="1" outlineLevel="1" x14ac:dyDescent="0.25">
      <c r="A7511" s="751" t="s">
        <v>4719</v>
      </c>
      <c r="B7511" s="729" t="s">
        <v>115</v>
      </c>
      <c r="C7511" s="719">
        <v>2917.72</v>
      </c>
      <c r="D7511" s="719">
        <v>2894.6</v>
      </c>
      <c r="E7511" s="720">
        <v>-7.9239954485008646E-3</v>
      </c>
      <c r="F7511" s="731">
        <v>-0.04</v>
      </c>
    </row>
    <row r="7512" spans="1:6" hidden="1" outlineLevel="1" x14ac:dyDescent="0.25">
      <c r="A7512" s="751" t="s">
        <v>4720</v>
      </c>
      <c r="B7512" s="729" t="s">
        <v>115</v>
      </c>
      <c r="C7512" s="719">
        <v>2894.6</v>
      </c>
      <c r="D7512" s="719">
        <v>2779.94</v>
      </c>
      <c r="E7512" s="720">
        <v>-3.9611690734471017E-2</v>
      </c>
      <c r="F7512" s="731">
        <v>-0.04</v>
      </c>
    </row>
    <row r="7513" spans="1:6" hidden="1" outlineLevel="1" x14ac:dyDescent="0.25">
      <c r="A7513" s="751" t="s">
        <v>4721</v>
      </c>
      <c r="B7513" s="729" t="s">
        <v>115</v>
      </c>
      <c r="C7513" s="719">
        <v>2779.94</v>
      </c>
      <c r="D7513" s="719">
        <v>2695.29</v>
      </c>
      <c r="E7513" s="720">
        <v>-3.0450297488435085E-2</v>
      </c>
      <c r="F7513" s="731">
        <v>-0.04</v>
      </c>
    </row>
    <row r="7514" spans="1:6" hidden="1" outlineLevel="1" x14ac:dyDescent="0.25">
      <c r="A7514" s="751" t="s">
        <v>4722</v>
      </c>
      <c r="B7514" s="729" t="s">
        <v>115</v>
      </c>
      <c r="C7514" s="719">
        <v>2695.29</v>
      </c>
      <c r="D7514" s="719">
        <v>2307.33</v>
      </c>
      <c r="E7514" s="720">
        <v>-0.14393998419465071</v>
      </c>
      <c r="F7514" s="731">
        <v>-0.04</v>
      </c>
    </row>
    <row r="7515" spans="1:6" hidden="1" outlineLevel="1" x14ac:dyDescent="0.25">
      <c r="A7515" s="751" t="s">
        <v>4723</v>
      </c>
      <c r="B7515" s="729" t="s">
        <v>115</v>
      </c>
      <c r="C7515" s="719">
        <v>2307.33</v>
      </c>
      <c r="D7515" s="719">
        <v>2083.38</v>
      </c>
      <c r="E7515" s="720">
        <v>-9.706023845743772E-2</v>
      </c>
      <c r="F7515" s="731">
        <v>-0.04</v>
      </c>
    </row>
    <row r="7516" spans="1:6" hidden="1" outlineLevel="1" x14ac:dyDescent="0.25">
      <c r="A7516" s="751" t="s">
        <v>4724</v>
      </c>
      <c r="B7516" s="729" t="s">
        <v>115</v>
      </c>
      <c r="C7516" s="719">
        <v>2083.38</v>
      </c>
      <c r="D7516" s="719">
        <v>2355.48</v>
      </c>
      <c r="E7516" s="720">
        <v>0.13060507444633229</v>
      </c>
      <c r="F7516" s="731">
        <v>0</v>
      </c>
    </row>
    <row r="7517" spans="1:6" hidden="1" outlineLevel="1" x14ac:dyDescent="0.25">
      <c r="A7517" s="751" t="s">
        <v>4725</v>
      </c>
      <c r="B7517" s="729" t="s">
        <v>115</v>
      </c>
      <c r="C7517" s="719">
        <v>2355.48</v>
      </c>
      <c r="D7517" s="719">
        <v>2288.3200000000002</v>
      </c>
      <c r="E7517" s="720">
        <v>-2.8512235298113309E-2</v>
      </c>
      <c r="F7517" s="731">
        <v>-0.04</v>
      </c>
    </row>
    <row r="7518" spans="1:6" hidden="1" outlineLevel="1" x14ac:dyDescent="0.25">
      <c r="A7518" s="751" t="s">
        <v>4726</v>
      </c>
      <c r="B7518" s="729" t="s">
        <v>115</v>
      </c>
      <c r="C7518" s="719">
        <v>2288.3200000000002</v>
      </c>
      <c r="D7518" s="719">
        <v>2205.91</v>
      </c>
      <c r="E7518" s="720">
        <v>-3.601331981541056E-2</v>
      </c>
      <c r="F7518" s="731">
        <v>-0.04</v>
      </c>
    </row>
    <row r="7519" spans="1:6" hidden="1" outlineLevel="1" x14ac:dyDescent="0.25">
      <c r="A7519" s="751" t="s">
        <v>4727</v>
      </c>
      <c r="B7519" s="729" t="s">
        <v>115</v>
      </c>
      <c r="C7519" s="719">
        <v>2205.91</v>
      </c>
      <c r="D7519" s="719">
        <v>2338.0100000000002</v>
      </c>
      <c r="E7519" s="720">
        <v>5.9884582779895945E-2</v>
      </c>
      <c r="F7519" s="731">
        <v>0</v>
      </c>
    </row>
    <row r="7520" spans="1:6" hidden="1" outlineLevel="1" x14ac:dyDescent="0.25">
      <c r="A7520" s="751" t="s">
        <v>4728</v>
      </c>
      <c r="B7520" s="729" t="s">
        <v>115</v>
      </c>
      <c r="C7520" s="719">
        <v>2338.0100000000002</v>
      </c>
      <c r="D7520" s="719">
        <v>2488.29</v>
      </c>
      <c r="E7520" s="720">
        <v>6.4276885043263121E-2</v>
      </c>
      <c r="F7520" s="731">
        <v>0</v>
      </c>
    </row>
    <row r="7521" spans="1:8" hidden="1" outlineLevel="1" x14ac:dyDescent="0.25">
      <c r="A7521" s="751" t="s">
        <v>4729</v>
      </c>
      <c r="B7521" s="729" t="s">
        <v>115</v>
      </c>
      <c r="C7521" s="719">
        <v>2488.29</v>
      </c>
      <c r="D7521" s="719">
        <v>2574.79</v>
      </c>
      <c r="E7521" s="720">
        <v>3.4762829091464331E-2</v>
      </c>
      <c r="F7521" s="731">
        <v>0</v>
      </c>
    </row>
    <row r="7522" spans="1:8" hidden="1" outlineLevel="1" x14ac:dyDescent="0.25">
      <c r="A7522" s="751" t="s">
        <v>4730</v>
      </c>
      <c r="B7522" s="729" t="s">
        <v>115</v>
      </c>
      <c r="C7522" s="719">
        <v>2574.79</v>
      </c>
      <c r="D7522" s="719">
        <v>2367.0500000000002</v>
      </c>
      <c r="E7522" s="720">
        <v>-8.0682308071726161E-2</v>
      </c>
      <c r="F7522" s="731">
        <v>-0.04</v>
      </c>
    </row>
    <row r="7523" spans="1:8" hidden="1" outlineLevel="1" x14ac:dyDescent="0.25">
      <c r="A7523" s="751" t="s">
        <v>4731</v>
      </c>
      <c r="B7523" s="729" t="s">
        <v>115</v>
      </c>
      <c r="C7523" s="719">
        <v>2367.0500000000002</v>
      </c>
      <c r="D7523" s="719">
        <v>2201.9499999999998</v>
      </c>
      <c r="E7523" s="720">
        <v>-6.9749265963963691E-2</v>
      </c>
      <c r="F7523" s="731">
        <v>-0.04</v>
      </c>
    </row>
    <row r="7524" spans="1:8" collapsed="1" x14ac:dyDescent="0.25">
      <c r="A7524" s="3801" t="s">
        <v>3897</v>
      </c>
      <c r="B7524" s="3802"/>
      <c r="C7524" s="3802"/>
      <c r="D7524" s="3802"/>
      <c r="E7524" s="721"/>
      <c r="F7524" s="722">
        <v>0</v>
      </c>
      <c r="G7524" s="97" t="s">
        <v>781</v>
      </c>
    </row>
    <row r="7526" spans="1:8" hidden="1" outlineLevel="1" x14ac:dyDescent="0.25">
      <c r="A7526" s="689" t="s">
        <v>113</v>
      </c>
      <c r="B7526" s="689" t="s">
        <v>114</v>
      </c>
      <c r="C7526" s="689" t="s">
        <v>112</v>
      </c>
      <c r="D7526" s="689" t="s">
        <v>116</v>
      </c>
      <c r="E7526" s="689" t="s">
        <v>117</v>
      </c>
      <c r="F7526" s="1188" t="s">
        <v>121</v>
      </c>
      <c r="G7526" s="78"/>
    </row>
    <row r="7527" spans="1:8" hidden="1" outlineLevel="1" x14ac:dyDescent="0.25">
      <c r="A7527" s="690">
        <v>4</v>
      </c>
      <c r="B7527" s="691" t="s">
        <v>252</v>
      </c>
      <c r="C7527" s="692">
        <v>100</v>
      </c>
      <c r="D7527" s="697" t="s">
        <v>3702</v>
      </c>
      <c r="E7527" s="698">
        <v>41593</v>
      </c>
      <c r="F7527" s="699"/>
      <c r="G7527" s="78"/>
    </row>
    <row r="7528" spans="1:8" hidden="1" outlineLevel="1" x14ac:dyDescent="0.25">
      <c r="A7528" s="689" t="s">
        <v>4156</v>
      </c>
      <c r="B7528" s="689" t="s">
        <v>4153</v>
      </c>
      <c r="C7528" s="700" t="s">
        <v>112</v>
      </c>
      <c r="D7528" s="689" t="s">
        <v>4155</v>
      </c>
      <c r="E7528" s="495" t="s">
        <v>4154</v>
      </c>
      <c r="F7528" s="1021" t="s">
        <v>734</v>
      </c>
      <c r="G7528" s="78"/>
    </row>
    <row r="7529" spans="1:8" hidden="1" outlineLevel="1" x14ac:dyDescent="0.25">
      <c r="A7529" s="999">
        <v>3.5000000000000003E-2</v>
      </c>
      <c r="B7529" s="1230" t="s">
        <v>280</v>
      </c>
      <c r="C7529" s="799">
        <v>32.564</v>
      </c>
      <c r="D7529" s="708">
        <v>55.78</v>
      </c>
      <c r="E7529" s="705">
        <v>0.7129345289276503</v>
      </c>
      <c r="F7529" s="1021">
        <v>0.06</v>
      </c>
      <c r="G7529" s="78"/>
      <c r="H7529" t="s">
        <v>1469</v>
      </c>
    </row>
    <row r="7530" spans="1:8" hidden="1" outlineLevel="1" x14ac:dyDescent="0.25">
      <c r="A7530" s="999">
        <v>3.5000000000000003E-2</v>
      </c>
      <c r="B7530" s="1089" t="s">
        <v>3404</v>
      </c>
      <c r="C7530" s="852">
        <v>9.5079999999999991</v>
      </c>
      <c r="D7530" s="708">
        <v>9.0299999999999994</v>
      </c>
      <c r="E7530" s="709">
        <v>-5.0273453933529666E-2</v>
      </c>
      <c r="F7530" s="946">
        <v>-5.0273453933529666E-2</v>
      </c>
      <c r="G7530" s="78"/>
      <c r="H7530" t="s">
        <v>3815</v>
      </c>
    </row>
    <row r="7531" spans="1:8" hidden="1" outlineLevel="1" x14ac:dyDescent="0.25">
      <c r="A7531" s="999">
        <v>0.03</v>
      </c>
      <c r="B7531" s="1089" t="s">
        <v>2984</v>
      </c>
      <c r="C7531" s="852">
        <v>8.6419999999999995</v>
      </c>
      <c r="D7531" s="708">
        <v>8.4260000000000002</v>
      </c>
      <c r="E7531" s="709">
        <v>-2.4994214302244799E-2</v>
      </c>
      <c r="F7531" s="946">
        <v>-2.4994214302244799E-2</v>
      </c>
      <c r="G7531" s="78"/>
      <c r="H7531" t="s">
        <v>2326</v>
      </c>
    </row>
    <row r="7532" spans="1:8" hidden="1" outlineLevel="1" x14ac:dyDescent="0.25">
      <c r="A7532" s="999">
        <v>3.5000000000000003E-2</v>
      </c>
      <c r="B7532" s="1089" t="s">
        <v>3019</v>
      </c>
      <c r="C7532" s="852">
        <v>45.180999999999997</v>
      </c>
      <c r="D7532" s="708">
        <v>54.48</v>
      </c>
      <c r="E7532" s="709">
        <v>0.20581660432482685</v>
      </c>
      <c r="F7532" s="946">
        <v>0.06</v>
      </c>
      <c r="G7532" s="78"/>
      <c r="H7532" t="s">
        <v>2745</v>
      </c>
    </row>
    <row r="7533" spans="1:8" hidden="1" outlineLevel="1" x14ac:dyDescent="0.25">
      <c r="A7533" s="999">
        <v>3.5000000000000003E-2</v>
      </c>
      <c r="B7533" s="1231" t="s">
        <v>4377</v>
      </c>
      <c r="C7533" s="852">
        <v>20.288</v>
      </c>
      <c r="D7533" s="708">
        <v>52.42</v>
      </c>
      <c r="E7533" s="709">
        <v>1.5837933753943219</v>
      </c>
      <c r="F7533" s="946">
        <v>0.06</v>
      </c>
      <c r="G7533" s="78"/>
      <c r="H7533" t="s">
        <v>4327</v>
      </c>
    </row>
    <row r="7534" spans="1:8" hidden="1" outlineLevel="1" x14ac:dyDescent="0.25">
      <c r="A7534" s="999">
        <v>0.03</v>
      </c>
      <c r="B7534" s="1089" t="s">
        <v>951</v>
      </c>
      <c r="C7534" s="852">
        <v>3366</v>
      </c>
      <c r="D7534" s="708">
        <v>3230</v>
      </c>
      <c r="E7534" s="709">
        <v>-4.0404040404040442E-2</v>
      </c>
      <c r="F7534" s="946">
        <v>-4.0404040404040442E-2</v>
      </c>
      <c r="G7534" s="78"/>
      <c r="H7534" t="s">
        <v>952</v>
      </c>
    </row>
    <row r="7535" spans="1:8" hidden="1" outlineLevel="1" x14ac:dyDescent="0.25">
      <c r="A7535" s="999">
        <v>0.05</v>
      </c>
      <c r="B7535" s="1089" t="s">
        <v>2699</v>
      </c>
      <c r="C7535" s="852">
        <v>10.063000000000001</v>
      </c>
      <c r="D7535" s="708">
        <v>25.2</v>
      </c>
      <c r="E7535" s="709">
        <v>1.5042233926264532</v>
      </c>
      <c r="F7535" s="946">
        <v>0.06</v>
      </c>
      <c r="G7535" s="78"/>
      <c r="H7535" t="s">
        <v>505</v>
      </c>
    </row>
    <row r="7536" spans="1:8" hidden="1" outlineLevel="1" x14ac:dyDescent="0.25">
      <c r="A7536" s="999">
        <v>0.03</v>
      </c>
      <c r="B7536" s="1089" t="s">
        <v>3406</v>
      </c>
      <c r="C7536" s="852">
        <v>870.9</v>
      </c>
      <c r="D7536" s="708">
        <v>2012</v>
      </c>
      <c r="E7536" s="709">
        <v>1.310253760477667</v>
      </c>
      <c r="F7536" s="946">
        <v>0.06</v>
      </c>
      <c r="G7536" s="78"/>
      <c r="H7536" t="s">
        <v>2105</v>
      </c>
    </row>
    <row r="7537" spans="1:8" hidden="1" outlineLevel="1" x14ac:dyDescent="0.25">
      <c r="A7537" s="999">
        <v>0.03</v>
      </c>
      <c r="B7537" s="1089" t="s">
        <v>4064</v>
      </c>
      <c r="C7537" s="852">
        <v>35.64</v>
      </c>
      <c r="D7537" s="708">
        <v>51.01</v>
      </c>
      <c r="E7537" s="709">
        <v>0.43125701459034782</v>
      </c>
      <c r="F7537" s="946">
        <v>0.06</v>
      </c>
      <c r="G7537" s="78"/>
      <c r="H7537" t="s">
        <v>170</v>
      </c>
    </row>
    <row r="7538" spans="1:8" hidden="1" outlineLevel="1" x14ac:dyDescent="0.25">
      <c r="A7538" s="999">
        <v>3.5000000000000003E-2</v>
      </c>
      <c r="B7538" s="712" t="s">
        <v>3021</v>
      </c>
      <c r="C7538" s="852">
        <v>17.02</v>
      </c>
      <c r="D7538" s="708">
        <v>18.059999999999999</v>
      </c>
      <c r="E7538" s="709">
        <v>6.110458284371334E-2</v>
      </c>
      <c r="F7538" s="946">
        <v>0.06</v>
      </c>
      <c r="G7538" s="78"/>
      <c r="H7538" t="s">
        <v>4124</v>
      </c>
    </row>
    <row r="7539" spans="1:8" hidden="1" outlineLevel="1" x14ac:dyDescent="0.25">
      <c r="A7539" s="999">
        <v>0.03</v>
      </c>
      <c r="B7539" s="1089" t="s">
        <v>2630</v>
      </c>
      <c r="C7539" s="852">
        <v>16.856999999999999</v>
      </c>
      <c r="D7539" s="708">
        <v>7.3639999999999999</v>
      </c>
      <c r="E7539" s="709">
        <v>-0.56314884024440892</v>
      </c>
      <c r="F7539" s="946">
        <v>-0.56314884024440892</v>
      </c>
      <c r="G7539" s="78"/>
      <c r="H7539" t="e">
        <v>#N/A</v>
      </c>
    </row>
    <row r="7540" spans="1:8" hidden="1" outlineLevel="1" x14ac:dyDescent="0.25">
      <c r="A7540" s="999">
        <v>0.03</v>
      </c>
      <c r="B7540" s="711" t="s">
        <v>3269</v>
      </c>
      <c r="C7540" s="852">
        <v>12.618</v>
      </c>
      <c r="D7540" s="708">
        <v>18.164999999999999</v>
      </c>
      <c r="E7540" s="709">
        <v>0.43961008083689945</v>
      </c>
      <c r="F7540" s="946">
        <v>0.06</v>
      </c>
      <c r="G7540" s="78"/>
      <c r="H7540" t="s">
        <v>3270</v>
      </c>
    </row>
    <row r="7541" spans="1:8" hidden="1" outlineLevel="1" x14ac:dyDescent="0.25">
      <c r="A7541" s="999">
        <v>2.5000000000000001E-2</v>
      </c>
      <c r="B7541" s="1089" t="s">
        <v>3407</v>
      </c>
      <c r="C7541" s="852">
        <v>13.853999999999999</v>
      </c>
      <c r="D7541" s="708">
        <v>27.2</v>
      </c>
      <c r="E7541" s="709">
        <v>0.96333188970694383</v>
      </c>
      <c r="F7541" s="946">
        <v>0.06</v>
      </c>
      <c r="G7541" s="78"/>
      <c r="H7541" t="s">
        <v>4127</v>
      </c>
    </row>
    <row r="7542" spans="1:8" hidden="1" outlineLevel="1" x14ac:dyDescent="0.25">
      <c r="A7542" s="999">
        <v>0.05</v>
      </c>
      <c r="B7542" s="712" t="s">
        <v>3643</v>
      </c>
      <c r="C7542" s="852">
        <v>184.85</v>
      </c>
      <c r="D7542" s="708">
        <v>274</v>
      </c>
      <c r="E7542" s="709">
        <v>0.48228293210711382</v>
      </c>
      <c r="F7542" s="946">
        <v>0.06</v>
      </c>
      <c r="G7542" s="78"/>
      <c r="H7542" t="s">
        <v>1729</v>
      </c>
    </row>
    <row r="7543" spans="1:8" hidden="1" outlineLevel="1" x14ac:dyDescent="0.25">
      <c r="A7543" s="999">
        <v>4.4999999999999998E-2</v>
      </c>
      <c r="B7543" s="1089" t="s">
        <v>2920</v>
      </c>
      <c r="C7543" s="852">
        <v>15.353999999999999</v>
      </c>
      <c r="D7543" s="708">
        <v>24.52</v>
      </c>
      <c r="E7543" s="709">
        <v>0.59697798619252307</v>
      </c>
      <c r="F7543" s="946">
        <v>0.06</v>
      </c>
      <c r="G7543" s="78"/>
      <c r="H7543" t="s">
        <v>2926</v>
      </c>
    </row>
    <row r="7544" spans="1:8" hidden="1" outlineLevel="1" x14ac:dyDescent="0.25">
      <c r="A7544" s="999">
        <v>0.03</v>
      </c>
      <c r="B7544" s="1089" t="s">
        <v>4143</v>
      </c>
      <c r="C7544" s="852">
        <v>9.2981999999999996</v>
      </c>
      <c r="D7544" s="708">
        <v>2.4699999999999998</v>
      </c>
      <c r="E7544" s="709">
        <v>-0.73435718741261757</v>
      </c>
      <c r="F7544" s="946">
        <v>-0.73435718741261757</v>
      </c>
      <c r="G7544" s="78"/>
      <c r="H7544" t="s">
        <v>4144</v>
      </c>
    </row>
    <row r="7545" spans="1:8" hidden="1" outlineLevel="1" x14ac:dyDescent="0.25">
      <c r="A7545" s="999">
        <v>3.5000000000000003E-2</v>
      </c>
      <c r="B7545" s="1089" t="s">
        <v>3303</v>
      </c>
      <c r="C7545" s="852">
        <v>45.363999999999997</v>
      </c>
      <c r="D7545" s="708">
        <v>52.96</v>
      </c>
      <c r="E7545" s="709">
        <v>0.16744555153866503</v>
      </c>
      <c r="F7545" s="946">
        <v>0.06</v>
      </c>
      <c r="G7545" s="78"/>
      <c r="H7545" t="e">
        <v>#N/A</v>
      </c>
    </row>
    <row r="7546" spans="1:8" hidden="1" outlineLevel="1" x14ac:dyDescent="0.25">
      <c r="A7546" s="999">
        <v>3.5000000000000003E-2</v>
      </c>
      <c r="B7546" s="1089" t="s">
        <v>3271</v>
      </c>
      <c r="C7546" s="852">
        <v>4.4329999999999998</v>
      </c>
      <c r="D7546" s="708">
        <v>3.4020000000000001</v>
      </c>
      <c r="E7546" s="709">
        <v>-0.23257387773516802</v>
      </c>
      <c r="F7546" s="946">
        <v>-0.23257387773516802</v>
      </c>
      <c r="G7546" s="78"/>
      <c r="H7546" t="s">
        <v>3272</v>
      </c>
    </row>
    <row r="7547" spans="1:8" hidden="1" outlineLevel="1" x14ac:dyDescent="0.25">
      <c r="A7547" s="999">
        <v>0.03</v>
      </c>
      <c r="B7547" s="1089" t="s">
        <v>247</v>
      </c>
      <c r="C7547" s="852">
        <v>1731.2</v>
      </c>
      <c r="D7547" s="708">
        <v>2010</v>
      </c>
      <c r="E7547" s="709">
        <v>0.16104436229205166</v>
      </c>
      <c r="F7547" s="946">
        <v>0.06</v>
      </c>
      <c r="G7547" s="78"/>
      <c r="H7547" t="s">
        <v>3640</v>
      </c>
    </row>
    <row r="7548" spans="1:8" hidden="1" outlineLevel="1" x14ac:dyDescent="0.25">
      <c r="A7548" s="999">
        <v>0.03</v>
      </c>
      <c r="B7548" s="1089" t="s">
        <v>3797</v>
      </c>
      <c r="C7548" s="852">
        <v>39.72</v>
      </c>
      <c r="D7548" s="708">
        <v>66.900000000000006</v>
      </c>
      <c r="E7548" s="709">
        <v>0.68429003021148049</v>
      </c>
      <c r="F7548" s="946">
        <v>0.06</v>
      </c>
      <c r="G7548" s="78"/>
      <c r="H7548" t="s">
        <v>3848</v>
      </c>
    </row>
    <row r="7549" spans="1:8" hidden="1" outlineLevel="1" x14ac:dyDescent="0.25">
      <c r="A7549" s="999">
        <v>2.5000000000000001E-2</v>
      </c>
      <c r="B7549" s="1089" t="s">
        <v>1190</v>
      </c>
      <c r="C7549" s="852">
        <v>10.516</v>
      </c>
      <c r="D7549" s="708">
        <v>5.93</v>
      </c>
      <c r="E7549" s="709">
        <v>-0.43609737542791938</v>
      </c>
      <c r="F7549" s="946">
        <v>-0.43609737542791938</v>
      </c>
      <c r="G7549" s="78"/>
      <c r="H7549" t="s">
        <v>7569</v>
      </c>
    </row>
    <row r="7550" spans="1:8" hidden="1" outlineLevel="1" x14ac:dyDescent="0.25">
      <c r="A7550" s="999">
        <v>4.4999999999999998E-2</v>
      </c>
      <c r="B7550" s="1089" t="s">
        <v>2787</v>
      </c>
      <c r="C7550" s="852">
        <v>43.043999999999997</v>
      </c>
      <c r="D7550" s="708">
        <v>72.25</v>
      </c>
      <c r="E7550" s="709">
        <v>0.67851500789889418</v>
      </c>
      <c r="F7550" s="946">
        <v>0.06</v>
      </c>
      <c r="G7550" s="78"/>
      <c r="H7550" t="s">
        <v>80</v>
      </c>
    </row>
    <row r="7551" spans="1:8" hidden="1" outlineLevel="1" x14ac:dyDescent="0.25">
      <c r="A7551" s="999">
        <v>0.02</v>
      </c>
      <c r="B7551" s="1089" t="s">
        <v>1414</v>
      </c>
      <c r="C7551" s="852">
        <v>14.582000000000001</v>
      </c>
      <c r="D7551" s="708">
        <v>32.200000000000003</v>
      </c>
      <c r="E7551" s="709">
        <v>1.2082018927444795</v>
      </c>
      <c r="F7551" s="946">
        <v>0.06</v>
      </c>
      <c r="G7551" s="78"/>
      <c r="H7551" t="s">
        <v>2428</v>
      </c>
    </row>
    <row r="7552" spans="1:8" hidden="1" outlineLevel="1" x14ac:dyDescent="0.25">
      <c r="A7552" s="999">
        <v>4.4999999999999998E-2</v>
      </c>
      <c r="B7552" s="1089" t="s">
        <v>1239</v>
      </c>
      <c r="C7552" s="852">
        <v>299.85000000000002</v>
      </c>
      <c r="D7552" s="708">
        <v>474</v>
      </c>
      <c r="E7552" s="709">
        <v>0.58079039519759879</v>
      </c>
      <c r="F7552" s="946">
        <v>0.06</v>
      </c>
      <c r="G7552" s="78"/>
      <c r="H7552" t="s">
        <v>268</v>
      </c>
    </row>
    <row r="7553" spans="1:8" hidden="1" outlineLevel="1" x14ac:dyDescent="0.25">
      <c r="A7553" s="999">
        <v>2.5000000000000001E-2</v>
      </c>
      <c r="B7553" s="1089" t="s">
        <v>577</v>
      </c>
      <c r="C7553" s="852">
        <v>14.974</v>
      </c>
      <c r="D7553" s="708">
        <v>12.315</v>
      </c>
      <c r="E7553" s="709">
        <v>-0.17757446240149599</v>
      </c>
      <c r="F7553" s="946">
        <v>-0.17757446240149599</v>
      </c>
      <c r="G7553" s="78"/>
      <c r="H7553" t="s">
        <v>2804</v>
      </c>
    </row>
    <row r="7554" spans="1:8" hidden="1" outlineLevel="1" x14ac:dyDescent="0.25">
      <c r="A7554" s="999">
        <v>0.03</v>
      </c>
      <c r="B7554" s="1089" t="s">
        <v>3641</v>
      </c>
      <c r="C7554" s="852">
        <v>55.265999999999998</v>
      </c>
      <c r="D7554" s="708">
        <v>100.94</v>
      </c>
      <c r="E7554" s="709">
        <v>0.8264394021640793</v>
      </c>
      <c r="F7554" s="946">
        <v>0.06</v>
      </c>
      <c r="G7554" s="78"/>
      <c r="H7554" t="s">
        <v>3642</v>
      </c>
    </row>
    <row r="7555" spans="1:8" hidden="1" outlineLevel="1" x14ac:dyDescent="0.25">
      <c r="A7555" s="999">
        <v>3.5000000000000003E-2</v>
      </c>
      <c r="B7555" s="1089" t="s">
        <v>4228</v>
      </c>
      <c r="C7555" s="852">
        <v>21.876000000000001</v>
      </c>
      <c r="D7555" s="708">
        <v>12.505000000000001</v>
      </c>
      <c r="E7555" s="709">
        <v>-0.42836898884622421</v>
      </c>
      <c r="F7555" s="946">
        <v>-0.42836898884622421</v>
      </c>
      <c r="G7555" s="78"/>
      <c r="H7555" t="s">
        <v>3994</v>
      </c>
    </row>
    <row r="7556" spans="1:8" hidden="1" outlineLevel="1" x14ac:dyDescent="0.25">
      <c r="A7556" s="999">
        <v>0.03</v>
      </c>
      <c r="B7556" s="1089" t="s">
        <v>255</v>
      </c>
      <c r="C7556" s="852">
        <v>29.936</v>
      </c>
      <c r="D7556" s="708">
        <v>50.31</v>
      </c>
      <c r="E7556" s="742">
        <v>0.68058524853019775</v>
      </c>
      <c r="F7556" s="946">
        <v>0.06</v>
      </c>
      <c r="G7556" s="78"/>
      <c r="H7556" t="s">
        <v>3351</v>
      </c>
    </row>
    <row r="7557" spans="1:8" hidden="1" outlineLevel="1" x14ac:dyDescent="0.25">
      <c r="A7557" s="999">
        <v>3.5000000000000003E-2</v>
      </c>
      <c r="B7557" s="1089" t="s">
        <v>3169</v>
      </c>
      <c r="C7557" s="852">
        <v>20.363</v>
      </c>
      <c r="D7557" s="708">
        <v>18.734999999999999</v>
      </c>
      <c r="E7557" s="742">
        <v>-7.9948926975396573E-2</v>
      </c>
      <c r="F7557" s="946">
        <v>-7.9948926975396573E-2</v>
      </c>
      <c r="G7557" s="78"/>
      <c r="H7557" t="s">
        <v>657</v>
      </c>
    </row>
    <row r="7558" spans="1:8" hidden="1" outlineLevel="1" x14ac:dyDescent="0.25">
      <c r="A7558" s="999">
        <v>2.5000000000000001E-2</v>
      </c>
      <c r="B7558" s="1089" t="s">
        <v>4550</v>
      </c>
      <c r="C7558" s="801">
        <v>205.04</v>
      </c>
      <c r="D7558" s="1199">
        <v>260.10000000000002</v>
      </c>
      <c r="E7558" s="748">
        <v>0.26853296917674618</v>
      </c>
      <c r="F7558" s="1023">
        <v>0.06</v>
      </c>
      <c r="G7558" s="78"/>
      <c r="H7558" t="s">
        <v>4551</v>
      </c>
    </row>
    <row r="7559" spans="1:8" hidden="1" outlineLevel="1" x14ac:dyDescent="0.25">
      <c r="A7559" s="1232" t="s">
        <v>2465</v>
      </c>
      <c r="B7559" s="1205"/>
      <c r="C7559" s="1206"/>
      <c r="D7559" s="886"/>
      <c r="E7559" s="907">
        <v>0.38549172948197302</v>
      </c>
      <c r="F7559" s="934">
        <v>-5.2258045589434844E-2</v>
      </c>
      <c r="G7559" s="78"/>
    </row>
    <row r="7560" spans="1:8" hidden="1" outlineLevel="1" x14ac:dyDescent="0.25">
      <c r="A7560" s="1017"/>
      <c r="B7560" s="1018"/>
      <c r="C7560" s="837"/>
      <c r="D7560" s="798"/>
      <c r="E7560" s="709"/>
      <c r="F7560" s="1666"/>
      <c r="G7560" s="78"/>
    </row>
    <row r="7561" spans="1:8" hidden="1" outlineLevel="1" x14ac:dyDescent="0.25">
      <c r="A7561" s="725" t="s">
        <v>113</v>
      </c>
      <c r="B7561" s="725"/>
      <c r="C7561" s="1019"/>
      <c r="D7561" s="1019"/>
      <c r="E7561" s="729"/>
      <c r="F7561" s="1188"/>
      <c r="G7561" s="78"/>
    </row>
    <row r="7562" spans="1:8" hidden="1" outlineLevel="1" x14ac:dyDescent="0.25">
      <c r="A7562" s="732" t="s">
        <v>4832</v>
      </c>
      <c r="B7562" s="690"/>
      <c r="C7562" s="691"/>
      <c r="D7562" s="691"/>
      <c r="E7562" s="691"/>
      <c r="F7562" s="1021">
        <v>3.5000000000000003E-2</v>
      </c>
      <c r="G7562" s="78"/>
    </row>
    <row r="7563" spans="1:8" hidden="1" outlineLevel="1" x14ac:dyDescent="0.25">
      <c r="A7563" s="732" t="s">
        <v>4833</v>
      </c>
      <c r="B7563" s="706"/>
      <c r="C7563" s="1022"/>
      <c r="D7563" s="1022"/>
      <c r="E7563" s="1022"/>
      <c r="F7563" s="946">
        <v>4.1700000000000001E-2</v>
      </c>
      <c r="G7563" s="78"/>
    </row>
    <row r="7564" spans="1:8" hidden="1" outlineLevel="1" x14ac:dyDescent="0.25">
      <c r="A7564" s="732" t="s">
        <v>4834</v>
      </c>
      <c r="B7564" s="706"/>
      <c r="C7564" s="1022"/>
      <c r="D7564" s="1022"/>
      <c r="E7564" s="1022"/>
      <c r="F7564" s="946">
        <v>5.0000000000000001E-3</v>
      </c>
      <c r="G7564" s="78"/>
    </row>
    <row r="7565" spans="1:8" hidden="1" outlineLevel="1" x14ac:dyDescent="0.25">
      <c r="A7565" s="732" t="s">
        <v>4835</v>
      </c>
      <c r="B7565" s="695"/>
      <c r="C7565" s="1022"/>
      <c r="D7565" s="1022"/>
      <c r="E7565" s="1022"/>
      <c r="F7565" s="1023">
        <v>5.0000000000000001E-3</v>
      </c>
      <c r="G7565" s="78"/>
    </row>
    <row r="7566" spans="1:8" collapsed="1" x14ac:dyDescent="0.25">
      <c r="A7566" s="3803" t="s">
        <v>3898</v>
      </c>
      <c r="B7566" s="3804"/>
      <c r="C7566" s="3804"/>
      <c r="D7566" s="1019"/>
      <c r="E7566" s="1019"/>
      <c r="F7566" s="934">
        <v>8.6699999999999999E-2</v>
      </c>
      <c r="G7566" s="97" t="s">
        <v>781</v>
      </c>
    </row>
    <row r="7568" spans="1:8" hidden="1" outlineLevel="1" x14ac:dyDescent="0.25">
      <c r="A7568" s="689" t="s">
        <v>113</v>
      </c>
      <c r="B7568" s="689" t="s">
        <v>114</v>
      </c>
      <c r="C7568" s="689" t="s">
        <v>112</v>
      </c>
      <c r="D7568" s="689" t="s">
        <v>116</v>
      </c>
      <c r="E7568" s="689" t="s">
        <v>117</v>
      </c>
      <c r="F7568" s="1188" t="s">
        <v>121</v>
      </c>
      <c r="G7568" s="78"/>
    </row>
    <row r="7569" spans="1:10" hidden="1" outlineLevel="1" x14ac:dyDescent="0.25">
      <c r="A7569" s="690">
        <v>1</v>
      </c>
      <c r="B7569" s="691" t="s">
        <v>252</v>
      </c>
      <c r="C7569" s="692"/>
      <c r="D7569" s="692"/>
      <c r="E7569" s="693"/>
      <c r="F7569" s="694"/>
      <c r="G7569" s="78"/>
    </row>
    <row r="7570" spans="1:10" hidden="1" outlineLevel="1" x14ac:dyDescent="0.25">
      <c r="A7570" s="695"/>
      <c r="B7570" s="695"/>
      <c r="C7570" s="696"/>
      <c r="D7570" s="697"/>
      <c r="E7570" s="698"/>
      <c r="F7570" s="699"/>
      <c r="G7570" s="78"/>
    </row>
    <row r="7571" spans="1:10" hidden="1" outlineLevel="1" x14ac:dyDescent="0.25">
      <c r="A7571" s="689" t="s">
        <v>4156</v>
      </c>
      <c r="B7571" s="689" t="s">
        <v>4153</v>
      </c>
      <c r="C7571" s="700" t="s">
        <v>112</v>
      </c>
      <c r="D7571" s="689" t="s">
        <v>116</v>
      </c>
      <c r="E7571" s="689" t="s">
        <v>4154</v>
      </c>
      <c r="F7571" s="1021" t="s">
        <v>2519</v>
      </c>
      <c r="G7571" s="78"/>
    </row>
    <row r="7572" spans="1:10" hidden="1" outlineLevel="1" x14ac:dyDescent="0.25">
      <c r="A7572" s="734">
        <v>3.3333000000000002E-2</v>
      </c>
      <c r="B7572" s="735" t="s">
        <v>2703</v>
      </c>
      <c r="C7572" s="992">
        <v>60.008000000000003</v>
      </c>
      <c r="D7572" s="737">
        <v>127.208</v>
      </c>
      <c r="E7572" s="817">
        <v>1.119850686575123</v>
      </c>
      <c r="F7572" s="1021">
        <v>1.1666549999999999E-2</v>
      </c>
      <c r="G7572" s="78"/>
      <c r="H7572" t="s">
        <v>2780</v>
      </c>
      <c r="J7572" s="434"/>
    </row>
    <row r="7573" spans="1:10" hidden="1" outlineLevel="1" x14ac:dyDescent="0.25">
      <c r="A7573" s="849">
        <v>3.3333000000000002E-2</v>
      </c>
      <c r="B7573" s="740" t="s">
        <v>1995</v>
      </c>
      <c r="C7573" s="993">
        <v>45.122999999999998</v>
      </c>
      <c r="D7573" s="737">
        <v>88.105000000000004</v>
      </c>
      <c r="E7573" s="818">
        <v>0.95255191365822323</v>
      </c>
      <c r="F7573" s="946">
        <v>1.1666549999999999E-2</v>
      </c>
      <c r="G7573" s="78"/>
      <c r="H7573" t="s">
        <v>5768</v>
      </c>
      <c r="J7573" s="434"/>
    </row>
    <row r="7574" spans="1:10" hidden="1" outlineLevel="1" x14ac:dyDescent="0.25">
      <c r="A7574" s="849">
        <v>3.3333000000000002E-2</v>
      </c>
      <c r="B7574" s="740" t="s">
        <v>3020</v>
      </c>
      <c r="C7574" s="993">
        <v>40.667000000000002</v>
      </c>
      <c r="D7574" s="737">
        <v>96.245999999999995</v>
      </c>
      <c r="E7574" s="818">
        <v>1.3666855189711558</v>
      </c>
      <c r="F7574" s="946">
        <v>1.1666549999999999E-2</v>
      </c>
      <c r="G7574" s="78"/>
      <c r="H7574" t="s">
        <v>5541</v>
      </c>
      <c r="J7574" s="434"/>
    </row>
    <row r="7575" spans="1:10" hidden="1" outlineLevel="1" x14ac:dyDescent="0.25">
      <c r="A7575" s="849">
        <v>3.3333000000000002E-2</v>
      </c>
      <c r="B7575" s="740" t="s">
        <v>1440</v>
      </c>
      <c r="C7575" s="994">
        <v>35.142000000000003</v>
      </c>
      <c r="D7575" s="737">
        <v>64.915999999999997</v>
      </c>
      <c r="E7575" s="818">
        <v>0.84724830686927288</v>
      </c>
      <c r="F7575" s="946">
        <v>1.1666549999999999E-2</v>
      </c>
      <c r="G7575" s="78"/>
      <c r="H7575" t="s">
        <v>2569</v>
      </c>
      <c r="J7575" s="434"/>
    </row>
    <row r="7576" spans="1:10" hidden="1" outlineLevel="1" x14ac:dyDescent="0.25">
      <c r="A7576" s="849">
        <v>3.3333000000000002E-2</v>
      </c>
      <c r="B7576" s="740" t="s">
        <v>3406</v>
      </c>
      <c r="C7576" s="993">
        <v>846.55</v>
      </c>
      <c r="D7576" s="737">
        <v>1909.45</v>
      </c>
      <c r="E7576" s="818">
        <v>1.255566711948497</v>
      </c>
      <c r="F7576" s="946">
        <v>1.1666549999999999E-2</v>
      </c>
      <c r="G7576" s="78"/>
      <c r="H7576" t="s">
        <v>2105</v>
      </c>
      <c r="J7576" s="434"/>
    </row>
    <row r="7577" spans="1:10" hidden="1" outlineLevel="1" x14ac:dyDescent="0.25">
      <c r="A7577" s="849">
        <v>3.3333000000000002E-2</v>
      </c>
      <c r="B7577" s="853" t="s">
        <v>3240</v>
      </c>
      <c r="C7577" s="993">
        <v>5675</v>
      </c>
      <c r="D7577" s="737">
        <v>8212</v>
      </c>
      <c r="E7577" s="818">
        <v>0.44704845814977978</v>
      </c>
      <c r="F7577" s="946">
        <v>1.1666549999999999E-2</v>
      </c>
      <c r="G7577" s="78"/>
      <c r="H7577" t="s">
        <v>633</v>
      </c>
      <c r="J7577" s="434"/>
    </row>
    <row r="7578" spans="1:10" hidden="1" outlineLevel="1" x14ac:dyDescent="0.25">
      <c r="A7578" s="849">
        <v>3.3333000000000002E-2</v>
      </c>
      <c r="B7578" s="740" t="s">
        <v>3798</v>
      </c>
      <c r="C7578" s="993">
        <v>3.6324999999999998</v>
      </c>
      <c r="D7578" s="737">
        <v>3.1017999999999999</v>
      </c>
      <c r="E7578" s="818">
        <v>-0.14609772883688921</v>
      </c>
      <c r="F7578" s="946">
        <v>-4.8698755953200277E-3</v>
      </c>
      <c r="G7578" s="78"/>
      <c r="H7578" t="s">
        <v>4122</v>
      </c>
      <c r="J7578" s="434"/>
    </row>
    <row r="7579" spans="1:10" hidden="1" outlineLevel="1" x14ac:dyDescent="0.25">
      <c r="A7579" s="849">
        <v>3.3333000000000002E-2</v>
      </c>
      <c r="B7579" s="740" t="s">
        <v>3021</v>
      </c>
      <c r="C7579" s="993">
        <v>17.695</v>
      </c>
      <c r="D7579" s="737">
        <v>16.916</v>
      </c>
      <c r="E7579" s="818">
        <v>-4.4023735518508023E-2</v>
      </c>
      <c r="F7579" s="946">
        <v>-1.4674431760384279E-3</v>
      </c>
      <c r="G7579" s="78"/>
      <c r="H7579" t="s">
        <v>4124</v>
      </c>
      <c r="J7579" s="434"/>
    </row>
    <row r="7580" spans="1:10" hidden="1" outlineLevel="1" x14ac:dyDescent="0.25">
      <c r="A7580" s="849">
        <v>3.3333000000000002E-2</v>
      </c>
      <c r="B7580" s="740" t="s">
        <v>2630</v>
      </c>
      <c r="C7580" s="993">
        <v>16.035</v>
      </c>
      <c r="D7580" s="737">
        <v>9.0061999999999998</v>
      </c>
      <c r="E7580" s="818">
        <v>-0.43834112878079201</v>
      </c>
      <c r="F7580" s="946">
        <v>-1.4611224845650141E-2</v>
      </c>
      <c r="G7580" s="78"/>
      <c r="H7580" t="s">
        <v>5817</v>
      </c>
      <c r="J7580" s="434"/>
    </row>
    <row r="7581" spans="1:10" hidden="1" outlineLevel="1" x14ac:dyDescent="0.25">
      <c r="A7581" s="849">
        <v>3.3333000000000002E-2</v>
      </c>
      <c r="B7581" s="981" t="s">
        <v>4496</v>
      </c>
      <c r="C7581" s="993">
        <v>16.8322</v>
      </c>
      <c r="D7581" s="737">
        <v>32.639000000000003</v>
      </c>
      <c r="E7581" s="818">
        <v>0.93908104704079109</v>
      </c>
      <c r="F7581" s="946">
        <v>1.1666549999999999E-2</v>
      </c>
      <c r="G7581" s="78"/>
      <c r="H7581" t="s">
        <v>5192</v>
      </c>
      <c r="J7581" s="434"/>
    </row>
    <row r="7582" spans="1:10" hidden="1" outlineLevel="1" x14ac:dyDescent="0.25">
      <c r="A7582" s="849">
        <v>3.3333000000000002E-2</v>
      </c>
      <c r="B7582" s="712" t="s">
        <v>3643</v>
      </c>
      <c r="C7582" s="993">
        <v>183.1</v>
      </c>
      <c r="D7582" s="737">
        <v>278.88</v>
      </c>
      <c r="E7582" s="818">
        <v>0.5231021299836156</v>
      </c>
      <c r="F7582" s="946">
        <v>1.1666549999999999E-2</v>
      </c>
      <c r="G7582" s="78"/>
      <c r="H7582" t="s">
        <v>1729</v>
      </c>
      <c r="J7582" s="434"/>
    </row>
    <row r="7583" spans="1:10" hidden="1" outlineLevel="1" x14ac:dyDescent="0.25">
      <c r="A7583" s="849">
        <v>3.3333000000000002E-2</v>
      </c>
      <c r="B7583" s="853" t="s">
        <v>52</v>
      </c>
      <c r="C7583" s="993">
        <v>107.71</v>
      </c>
      <c r="D7583" s="737">
        <v>175.9</v>
      </c>
      <c r="E7583" s="818">
        <v>0.63308884968897972</v>
      </c>
      <c r="F7583" s="946">
        <v>1.1666549999999999E-2</v>
      </c>
      <c r="G7583" s="78"/>
      <c r="H7583" t="s">
        <v>4130</v>
      </c>
      <c r="J7583" s="434"/>
    </row>
    <row r="7584" spans="1:10" hidden="1" outlineLevel="1" x14ac:dyDescent="0.25">
      <c r="A7584" s="849">
        <v>3.3333000000000002E-2</v>
      </c>
      <c r="B7584" s="1089" t="s">
        <v>4143</v>
      </c>
      <c r="C7584" s="993">
        <v>5.5757000000000003</v>
      </c>
      <c r="D7584" s="737">
        <v>2.3073000000000001</v>
      </c>
      <c r="E7584" s="818">
        <v>-0.5861864877952544</v>
      </c>
      <c r="F7584" s="946">
        <v>-1.9539354197679215E-2</v>
      </c>
      <c r="G7584" s="78"/>
      <c r="H7584" t="s">
        <v>4144</v>
      </c>
      <c r="J7584" s="434"/>
    </row>
    <row r="7585" spans="1:10" hidden="1" outlineLevel="1" x14ac:dyDescent="0.25">
      <c r="A7585" s="849">
        <v>3.3333000000000002E-2</v>
      </c>
      <c r="B7585" s="740" t="s">
        <v>2160</v>
      </c>
      <c r="C7585" s="993">
        <v>25.797000000000001</v>
      </c>
      <c r="D7585" s="737">
        <v>51.942</v>
      </c>
      <c r="E7585" s="818">
        <v>1.013489940690778</v>
      </c>
      <c r="F7585" s="946">
        <v>1.1666549999999999E-2</v>
      </c>
      <c r="G7585" s="78"/>
      <c r="H7585" t="s">
        <v>5542</v>
      </c>
      <c r="J7585" s="434"/>
    </row>
    <row r="7586" spans="1:10" hidden="1" outlineLevel="1" x14ac:dyDescent="0.25">
      <c r="A7586" s="849">
        <v>3.3333000000000002E-2</v>
      </c>
      <c r="B7586" s="740" t="s">
        <v>816</v>
      </c>
      <c r="C7586" s="993">
        <v>58.244</v>
      </c>
      <c r="D7586" s="737">
        <v>95.578000000000003</v>
      </c>
      <c r="E7586" s="818">
        <v>0.64099306366320996</v>
      </c>
      <c r="F7586" s="946">
        <v>1.1666549999999999E-2</v>
      </c>
      <c r="G7586" s="78"/>
      <c r="H7586" t="s">
        <v>817</v>
      </c>
      <c r="J7586" s="434"/>
    </row>
    <row r="7587" spans="1:10" hidden="1" outlineLevel="1" x14ac:dyDescent="0.25">
      <c r="A7587" s="849">
        <v>3.3333000000000002E-2</v>
      </c>
      <c r="B7587" s="740" t="s">
        <v>1001</v>
      </c>
      <c r="C7587" s="993">
        <v>22.905999999999999</v>
      </c>
      <c r="D7587" s="737">
        <v>38.036000000000001</v>
      </c>
      <c r="E7587" s="818">
        <v>0.66052562647341317</v>
      </c>
      <c r="F7587" s="946">
        <v>1.1666549999999999E-2</v>
      </c>
      <c r="G7587" s="78"/>
      <c r="H7587" t="s">
        <v>4150</v>
      </c>
      <c r="J7587" s="434"/>
    </row>
    <row r="7588" spans="1:10" hidden="1" outlineLevel="1" x14ac:dyDescent="0.25">
      <c r="A7588" s="849">
        <v>3.3333000000000002E-2</v>
      </c>
      <c r="B7588" s="740" t="s">
        <v>247</v>
      </c>
      <c r="C7588" s="993">
        <v>1925</v>
      </c>
      <c r="D7588" s="737">
        <v>1981.5</v>
      </c>
      <c r="E7588" s="818">
        <v>2.935064935064946E-2</v>
      </c>
      <c r="F7588" s="946">
        <v>1.1666549999999999E-2</v>
      </c>
      <c r="G7588" s="78"/>
      <c r="H7588" t="s">
        <v>3640</v>
      </c>
      <c r="J7588" s="434"/>
    </row>
    <row r="7589" spans="1:10" hidden="1" outlineLevel="1" x14ac:dyDescent="0.25">
      <c r="A7589" s="849">
        <v>3.3333000000000002E-2</v>
      </c>
      <c r="B7589" s="740" t="s">
        <v>2786</v>
      </c>
      <c r="C7589" s="993">
        <v>488.72</v>
      </c>
      <c r="D7589" s="737">
        <v>753.2</v>
      </c>
      <c r="E7589" s="818">
        <v>0.54116876739237196</v>
      </c>
      <c r="F7589" s="946">
        <v>1.1666549999999999E-2</v>
      </c>
      <c r="G7589" s="78"/>
      <c r="H7589" t="s">
        <v>4195</v>
      </c>
      <c r="J7589" s="434"/>
    </row>
    <row r="7590" spans="1:10" hidden="1" outlineLevel="1" x14ac:dyDescent="0.25">
      <c r="A7590" s="849">
        <v>3.3333000000000002E-2</v>
      </c>
      <c r="B7590" s="740" t="s">
        <v>3797</v>
      </c>
      <c r="C7590" s="993">
        <v>39.091999999999999</v>
      </c>
      <c r="D7590" s="737">
        <v>64.67</v>
      </c>
      <c r="E7590" s="818">
        <v>0.6543026706231454</v>
      </c>
      <c r="F7590" s="946">
        <v>1.1666549999999999E-2</v>
      </c>
      <c r="G7590" s="78"/>
      <c r="H7590" t="s">
        <v>3848</v>
      </c>
      <c r="J7590" s="434"/>
    </row>
    <row r="7591" spans="1:10" hidden="1" outlineLevel="1" x14ac:dyDescent="0.25">
      <c r="A7591" s="849">
        <v>3.3333000000000002E-2</v>
      </c>
      <c r="B7591" s="740" t="s">
        <v>2787</v>
      </c>
      <c r="C7591" s="993">
        <v>44.076000000000001</v>
      </c>
      <c r="D7591" s="737">
        <v>69.89</v>
      </c>
      <c r="E7591" s="818">
        <v>0.58567020600780473</v>
      </c>
      <c r="F7591" s="946">
        <v>1.1666549999999999E-2</v>
      </c>
      <c r="G7591" s="78"/>
      <c r="H7591" t="s">
        <v>80</v>
      </c>
      <c r="J7591" s="434"/>
    </row>
    <row r="7592" spans="1:10" hidden="1" outlineLevel="1" x14ac:dyDescent="0.25">
      <c r="A7592" s="849">
        <v>3.3333000000000002E-2</v>
      </c>
      <c r="B7592" s="740" t="s">
        <v>4273</v>
      </c>
      <c r="C7592" s="993">
        <v>1397.3</v>
      </c>
      <c r="D7592" s="737">
        <v>1647.3</v>
      </c>
      <c r="E7592" s="818">
        <v>0.17891648178630226</v>
      </c>
      <c r="F7592" s="946">
        <v>1.1666549999999999E-2</v>
      </c>
      <c r="G7592" s="78"/>
      <c r="H7592" t="s">
        <v>82</v>
      </c>
      <c r="J7592" s="434"/>
    </row>
    <row r="7593" spans="1:10" hidden="1" outlineLevel="1" x14ac:dyDescent="0.25">
      <c r="A7593" s="849">
        <v>3.3333000000000002E-2</v>
      </c>
      <c r="B7593" s="740" t="s">
        <v>1414</v>
      </c>
      <c r="C7593" s="993">
        <v>14.417999999999999</v>
      </c>
      <c r="D7593" s="737">
        <v>31.117999999999999</v>
      </c>
      <c r="E7593" s="818">
        <v>1.1582743792481622</v>
      </c>
      <c r="F7593" s="946">
        <v>1.1666549999999999E-2</v>
      </c>
      <c r="G7593" s="78"/>
      <c r="H7593" t="s">
        <v>2428</v>
      </c>
      <c r="J7593" s="434"/>
    </row>
    <row r="7594" spans="1:10" hidden="1" outlineLevel="1" x14ac:dyDescent="0.25">
      <c r="A7594" s="849">
        <v>3.3333000000000002E-2</v>
      </c>
      <c r="B7594" s="740" t="s">
        <v>3800</v>
      </c>
      <c r="C7594" s="993">
        <v>143.84</v>
      </c>
      <c r="D7594" s="737">
        <v>243.06</v>
      </c>
      <c r="E7594" s="818">
        <v>0.68979421579532807</v>
      </c>
      <c r="F7594" s="946">
        <v>1.1666549999999999E-2</v>
      </c>
      <c r="G7594" s="78"/>
      <c r="H7594" t="s">
        <v>2817</v>
      </c>
      <c r="J7594" s="434"/>
    </row>
    <row r="7595" spans="1:10" hidden="1" outlineLevel="1" x14ac:dyDescent="0.25">
      <c r="A7595" s="849">
        <v>3.3333000000000002E-2</v>
      </c>
      <c r="B7595" s="740" t="s">
        <v>3381</v>
      </c>
      <c r="C7595" s="993">
        <v>136.05000000000001</v>
      </c>
      <c r="D7595" s="737">
        <v>139.97999999999999</v>
      </c>
      <c r="E7595" s="818">
        <v>2.8886438809261117E-2</v>
      </c>
      <c r="F7595" s="946">
        <v>1.1666549999999999E-2</v>
      </c>
      <c r="G7595" s="78"/>
      <c r="H7595" t="s">
        <v>1728</v>
      </c>
      <c r="J7595" s="434"/>
    </row>
    <row r="7596" spans="1:10" hidden="1" outlineLevel="1" x14ac:dyDescent="0.25">
      <c r="A7596" s="849">
        <v>3.3333000000000002E-2</v>
      </c>
      <c r="B7596" s="740" t="s">
        <v>1239</v>
      </c>
      <c r="C7596" s="993">
        <v>317.17500000000001</v>
      </c>
      <c r="D7596" s="737">
        <v>454.82</v>
      </c>
      <c r="E7596" s="818">
        <v>0.43397178213919751</v>
      </c>
      <c r="F7596" s="946">
        <v>1.1666549999999999E-2</v>
      </c>
      <c r="G7596" s="78"/>
      <c r="H7596" t="s">
        <v>268</v>
      </c>
      <c r="J7596" s="434"/>
    </row>
    <row r="7597" spans="1:10" hidden="1" outlineLevel="1" x14ac:dyDescent="0.25">
      <c r="A7597" s="849">
        <v>3.3333000000000002E-2</v>
      </c>
      <c r="B7597" s="740" t="s">
        <v>3022</v>
      </c>
      <c r="C7597" s="993">
        <v>3752</v>
      </c>
      <c r="D7597" s="737">
        <v>5078.5</v>
      </c>
      <c r="E7597" s="818">
        <v>0.35354477611940305</v>
      </c>
      <c r="F7597" s="946">
        <v>1.1666549999999999E-2</v>
      </c>
      <c r="G7597" s="78"/>
      <c r="H7597" t="s">
        <v>2802</v>
      </c>
      <c r="J7597" s="434"/>
    </row>
    <row r="7598" spans="1:10" hidden="1" outlineLevel="1" x14ac:dyDescent="0.25">
      <c r="A7598" s="849">
        <v>3.3333000000000002E-2</v>
      </c>
      <c r="B7598" s="740" t="s">
        <v>577</v>
      </c>
      <c r="C7598" s="993">
        <v>15.363</v>
      </c>
      <c r="D7598" s="737">
        <v>11.5305</v>
      </c>
      <c r="E7598" s="818">
        <v>-0.24946299550868967</v>
      </c>
      <c r="F7598" s="946">
        <v>-8.3153500292911537E-3</v>
      </c>
      <c r="G7598" s="78"/>
      <c r="H7598" t="s">
        <v>2804</v>
      </c>
      <c r="J7598" s="434"/>
    </row>
    <row r="7599" spans="1:10" hidden="1" outlineLevel="1" x14ac:dyDescent="0.25">
      <c r="A7599" s="849">
        <v>3.3333000000000002E-2</v>
      </c>
      <c r="B7599" s="740" t="s">
        <v>583</v>
      </c>
      <c r="C7599" s="993">
        <v>359.99</v>
      </c>
      <c r="D7599" s="737">
        <v>333.17</v>
      </c>
      <c r="E7599" s="818">
        <v>-7.4502069501930612E-2</v>
      </c>
      <c r="F7599" s="946">
        <v>-2.483377482707853E-3</v>
      </c>
      <c r="G7599" s="78"/>
      <c r="H7599" t="s">
        <v>1594</v>
      </c>
      <c r="J7599" s="434"/>
    </row>
    <row r="7600" spans="1:10" hidden="1" outlineLevel="1" x14ac:dyDescent="0.25">
      <c r="A7600" s="849">
        <v>3.3333000000000002E-2</v>
      </c>
      <c r="B7600" s="740" t="s">
        <v>255</v>
      </c>
      <c r="C7600" s="993">
        <v>27.684699999999999</v>
      </c>
      <c r="D7600" s="737">
        <v>48.97</v>
      </c>
      <c r="E7600" s="818">
        <v>0.76884705270420128</v>
      </c>
      <c r="F7600" s="946">
        <v>1.1666549999999999E-2</v>
      </c>
      <c r="G7600" s="78"/>
      <c r="H7600" t="s">
        <v>3351</v>
      </c>
      <c r="J7600" s="434"/>
    </row>
    <row r="7601" spans="1:12" hidden="1" outlineLevel="1" x14ac:dyDescent="0.25">
      <c r="A7601" s="849">
        <v>3.3333000000000002E-2</v>
      </c>
      <c r="B7601" s="997" t="s">
        <v>3169</v>
      </c>
      <c r="C7601" s="993">
        <v>17.080100000000002</v>
      </c>
      <c r="D7601" s="737">
        <v>17.893000000000001</v>
      </c>
      <c r="E7601" s="818">
        <v>4.7593398165115985E-2</v>
      </c>
      <c r="F7601" s="1023">
        <v>1.1666549999999999E-2</v>
      </c>
      <c r="G7601" s="78"/>
      <c r="H7601" t="s">
        <v>657</v>
      </c>
      <c r="J7601" s="434"/>
    </row>
    <row r="7602" spans="1:12" hidden="1" outlineLevel="1" x14ac:dyDescent="0.25">
      <c r="A7602" s="854"/>
      <c r="B7602" s="718"/>
      <c r="C7602" s="855"/>
      <c r="D7602" s="867"/>
      <c r="E7602" s="820"/>
      <c r="F7602" s="770">
        <v>0.22871057467331316</v>
      </c>
      <c r="G7602" s="78"/>
    </row>
    <row r="7603" spans="1:12" collapsed="1" x14ac:dyDescent="0.25">
      <c r="A7603" s="3801" t="s">
        <v>634</v>
      </c>
      <c r="B7603" s="3802"/>
      <c r="C7603" s="3802"/>
      <c r="D7603" s="3802"/>
      <c r="E7603" s="821"/>
      <c r="F7603" s="752">
        <v>0.22871057467331316</v>
      </c>
      <c r="G7603" s="97" t="s">
        <v>781</v>
      </c>
    </row>
    <row r="7605" spans="1:12" hidden="1" outlineLevel="1" x14ac:dyDescent="0.25">
      <c r="A7605" s="689" t="s">
        <v>113</v>
      </c>
      <c r="B7605" s="689" t="s">
        <v>114</v>
      </c>
      <c r="C7605" s="689" t="s">
        <v>112</v>
      </c>
      <c r="D7605" s="689" t="s">
        <v>116</v>
      </c>
      <c r="E7605" s="689" t="s">
        <v>117</v>
      </c>
      <c r="F7605" s="1188" t="s">
        <v>121</v>
      </c>
      <c r="G7605" s="78"/>
    </row>
    <row r="7606" spans="1:12" hidden="1" outlineLevel="1" x14ac:dyDescent="0.25">
      <c r="A7606" s="690">
        <v>1</v>
      </c>
      <c r="B7606" s="691" t="s">
        <v>252</v>
      </c>
      <c r="C7606" s="692">
        <v>100</v>
      </c>
      <c r="D7606" s="692"/>
      <c r="E7606" s="693"/>
      <c r="F7606" s="694"/>
      <c r="G7606" s="78"/>
    </row>
    <row r="7607" spans="1:12" hidden="1" outlineLevel="1" x14ac:dyDescent="0.25">
      <c r="A7607" s="695"/>
      <c r="B7607" s="695"/>
      <c r="C7607" s="696"/>
      <c r="D7607" s="697" t="s">
        <v>3702</v>
      </c>
      <c r="E7607" s="698">
        <v>41593</v>
      </c>
      <c r="F7607" s="699"/>
      <c r="G7607" s="78"/>
    </row>
    <row r="7608" spans="1:12" hidden="1" outlineLevel="1" x14ac:dyDescent="0.25">
      <c r="A7608" s="495" t="s">
        <v>4156</v>
      </c>
      <c r="B7608" s="689" t="s">
        <v>4153</v>
      </c>
      <c r="C7608" s="700" t="s">
        <v>112</v>
      </c>
      <c r="D7608" s="495" t="s">
        <v>4155</v>
      </c>
      <c r="E7608" s="495" t="s">
        <v>4154</v>
      </c>
      <c r="F7608" s="1021" t="s">
        <v>2519</v>
      </c>
      <c r="G7608" s="78"/>
      <c r="J7608" t="s">
        <v>2040</v>
      </c>
    </row>
    <row r="7609" spans="1:12" hidden="1" outlineLevel="1" x14ac:dyDescent="0.25">
      <c r="A7609" s="1127">
        <v>0.05</v>
      </c>
      <c r="B7609" s="799" t="s">
        <v>1993</v>
      </c>
      <c r="C7609" s="1144">
        <v>20.861999999999998</v>
      </c>
      <c r="D7609" s="803">
        <v>38</v>
      </c>
      <c r="E7609" s="895">
        <v>0.82149362477231347</v>
      </c>
      <c r="F7609" s="1021">
        <v>4.1074681238615678E-2</v>
      </c>
      <c r="G7609" s="78"/>
      <c r="H7609" t="s">
        <v>2812</v>
      </c>
      <c r="J7609" s="256">
        <v>41061</v>
      </c>
      <c r="K7609" s="424">
        <v>89.606999999999999</v>
      </c>
      <c r="L7609" s="37">
        <v>-0.10392999999999997</v>
      </c>
    </row>
    <row r="7610" spans="1:12" hidden="1" outlineLevel="1" x14ac:dyDescent="0.25">
      <c r="A7610" s="849">
        <v>0.05</v>
      </c>
      <c r="B7610" s="852" t="s">
        <v>3998</v>
      </c>
      <c r="C7610" s="1197">
        <v>32.322000000000003</v>
      </c>
      <c r="D7610" s="908">
        <v>35.43</v>
      </c>
      <c r="E7610" s="896">
        <v>9.6157416001484863E-2</v>
      </c>
      <c r="F7610" s="946">
        <v>4.8078708000742435E-3</v>
      </c>
      <c r="G7610" s="78"/>
      <c r="H7610" t="s">
        <v>4000</v>
      </c>
      <c r="J7610" s="256">
        <v>41091</v>
      </c>
      <c r="K7610" s="424">
        <v>91.726200000000006</v>
      </c>
      <c r="L7610" s="37">
        <v>-8.2737999999999978E-2</v>
      </c>
    </row>
    <row r="7611" spans="1:12" hidden="1" outlineLevel="1" x14ac:dyDescent="0.25">
      <c r="A7611" s="849">
        <v>0.05</v>
      </c>
      <c r="B7611" s="852" t="s">
        <v>2984</v>
      </c>
      <c r="C7611" s="1146">
        <v>11.654999999999999</v>
      </c>
      <c r="D7611" s="908">
        <v>8.4260000000000002</v>
      </c>
      <c r="E7611" s="896">
        <v>-0.27704847704847702</v>
      </c>
      <c r="F7611" s="946">
        <v>-1.3852423852423851E-2</v>
      </c>
      <c r="G7611" s="78"/>
      <c r="H7611" t="s">
        <v>2326</v>
      </c>
      <c r="J7611" s="256">
        <v>41122</v>
      </c>
      <c r="K7611">
        <v>94.173299999999998</v>
      </c>
      <c r="L7611" s="37">
        <v>-5.8267000000000069E-2</v>
      </c>
    </row>
    <row r="7612" spans="1:12" hidden="1" outlineLevel="1" x14ac:dyDescent="0.25">
      <c r="A7612" s="849">
        <v>0.05</v>
      </c>
      <c r="B7612" s="852" t="s">
        <v>157</v>
      </c>
      <c r="C7612" s="1146">
        <v>11.358000000000001</v>
      </c>
      <c r="D7612" s="908">
        <v>6.3879999999999999</v>
      </c>
      <c r="E7612" s="896">
        <v>-0.43757703821095262</v>
      </c>
      <c r="F7612" s="946">
        <v>-2.1878851910547632E-2</v>
      </c>
      <c r="G7612" s="78"/>
      <c r="H7612" t="s">
        <v>730</v>
      </c>
      <c r="J7612" s="256">
        <v>41153</v>
      </c>
      <c r="K7612">
        <v>96.318899999999999</v>
      </c>
      <c r="L7612" s="37">
        <v>-3.6811000000000038E-2</v>
      </c>
    </row>
    <row r="7613" spans="1:12" hidden="1" outlineLevel="1" x14ac:dyDescent="0.25">
      <c r="A7613" s="849">
        <v>0.05</v>
      </c>
      <c r="B7613" s="852" t="s">
        <v>1184</v>
      </c>
      <c r="C7613" s="1146">
        <v>41.16</v>
      </c>
      <c r="D7613" s="908">
        <v>78</v>
      </c>
      <c r="E7613" s="896">
        <v>0.89504373177842589</v>
      </c>
      <c r="F7613" s="946">
        <v>4.47521865889213E-2</v>
      </c>
      <c r="G7613" s="78"/>
      <c r="H7613" t="s">
        <v>3497</v>
      </c>
      <c r="J7613" s="256">
        <v>41183</v>
      </c>
      <c r="K7613">
        <v>96.247699999999995</v>
      </c>
      <c r="L7613" s="37">
        <v>-3.7523000000000084E-2</v>
      </c>
    </row>
    <row r="7614" spans="1:12" hidden="1" outlineLevel="1" x14ac:dyDescent="0.25">
      <c r="A7614" s="849">
        <v>0.05</v>
      </c>
      <c r="B7614" s="852" t="s">
        <v>3021</v>
      </c>
      <c r="C7614" s="1146">
        <v>22.399000000000001</v>
      </c>
      <c r="D7614" s="908">
        <v>18.059999999999999</v>
      </c>
      <c r="E7614" s="896">
        <v>-0.19371400508951298</v>
      </c>
      <c r="F7614" s="946">
        <v>-9.6857002544756491E-3</v>
      </c>
      <c r="G7614" s="78"/>
      <c r="H7614" t="s">
        <v>4124</v>
      </c>
      <c r="J7614" s="256">
        <v>41214</v>
      </c>
      <c r="K7614">
        <v>97.911600000000007</v>
      </c>
      <c r="L7614" s="37">
        <v>-2.0883999999999903E-2</v>
      </c>
    </row>
    <row r="7615" spans="1:12" hidden="1" outlineLevel="1" x14ac:dyDescent="0.25">
      <c r="A7615" s="849">
        <v>0.05</v>
      </c>
      <c r="B7615" s="852" t="s">
        <v>581</v>
      </c>
      <c r="C7615" s="1146">
        <v>91.534999999999997</v>
      </c>
      <c r="D7615" s="908">
        <v>120.06</v>
      </c>
      <c r="E7615" s="896">
        <v>0.31162943136505161</v>
      </c>
      <c r="F7615" s="946">
        <v>1.5581471568252582E-2</v>
      </c>
      <c r="G7615" s="78"/>
      <c r="H7615" t="s">
        <v>589</v>
      </c>
      <c r="J7615" s="256">
        <v>41244</v>
      </c>
      <c r="K7615" s="424">
        <v>98.632000000000005</v>
      </c>
      <c r="L7615" s="37">
        <v>-1.3679999999999914E-2</v>
      </c>
    </row>
    <row r="7616" spans="1:12" hidden="1" outlineLevel="1" x14ac:dyDescent="0.25">
      <c r="A7616" s="849">
        <v>0.05</v>
      </c>
      <c r="B7616" s="852" t="s">
        <v>2724</v>
      </c>
      <c r="C7616" s="1146">
        <v>40.686</v>
      </c>
      <c r="D7616" s="908">
        <v>77.790000000000006</v>
      </c>
      <c r="E7616" s="896">
        <v>0.91195988792213556</v>
      </c>
      <c r="F7616" s="946">
        <v>4.5597994396106782E-2</v>
      </c>
      <c r="G7616" s="78"/>
      <c r="H7616" t="s">
        <v>2725</v>
      </c>
      <c r="J7616" s="256">
        <v>41275</v>
      </c>
      <c r="K7616" s="424">
        <v>104.77970000000001</v>
      </c>
      <c r="L7616" s="37">
        <v>4.7797000000000089E-2</v>
      </c>
    </row>
    <row r="7617" spans="1:12" hidden="1" outlineLevel="1" x14ac:dyDescent="0.25">
      <c r="A7617" s="849">
        <v>0.05</v>
      </c>
      <c r="B7617" s="852" t="s">
        <v>4064</v>
      </c>
      <c r="C7617" s="1146">
        <v>47.956000000000003</v>
      </c>
      <c r="D7617" s="908">
        <v>51.01</v>
      </c>
      <c r="E7617" s="896">
        <v>6.3683376428392613E-2</v>
      </c>
      <c r="F7617" s="946">
        <v>3.1841688214196309E-3</v>
      </c>
      <c r="G7617" s="78"/>
      <c r="H7617" t="s">
        <v>170</v>
      </c>
      <c r="J7617" s="256">
        <v>41306</v>
      </c>
      <c r="K7617" s="424">
        <v>104.4708</v>
      </c>
      <c r="L7617" s="37">
        <v>4.470799999999997E-2</v>
      </c>
    </row>
    <row r="7618" spans="1:12" hidden="1" outlineLevel="1" x14ac:dyDescent="0.25">
      <c r="A7618" s="849">
        <v>0.05</v>
      </c>
      <c r="B7618" s="852" t="s">
        <v>1771</v>
      </c>
      <c r="C7618" s="1146">
        <v>753.43</v>
      </c>
      <c r="D7618" s="908">
        <v>687</v>
      </c>
      <c r="E7618" s="896">
        <v>-8.8170102066548961E-2</v>
      </c>
      <c r="F7618" s="946">
        <v>-4.4085051033274482E-3</v>
      </c>
      <c r="G7618" s="78"/>
      <c r="H7618" t="s">
        <v>4329</v>
      </c>
      <c r="J7618" s="256">
        <v>41334</v>
      </c>
      <c r="K7618" s="424">
        <v>104.2056</v>
      </c>
      <c r="L7618" s="37">
        <v>4.2056000000000093E-2</v>
      </c>
    </row>
    <row r="7619" spans="1:12" hidden="1" outlineLevel="1" x14ac:dyDescent="0.25">
      <c r="A7619" s="849">
        <v>0.05</v>
      </c>
      <c r="B7619" s="852" t="s">
        <v>2588</v>
      </c>
      <c r="C7619" s="1146">
        <v>19.699000000000002</v>
      </c>
      <c r="D7619" s="908">
        <v>9.58</v>
      </c>
      <c r="E7619" s="896">
        <v>-0.5136808975074878</v>
      </c>
      <c r="F7619" s="946">
        <v>-2.5684044875374391E-2</v>
      </c>
      <c r="G7619" s="78"/>
      <c r="H7619" t="s">
        <v>4132</v>
      </c>
      <c r="J7619" s="256">
        <v>41365</v>
      </c>
      <c r="K7619" s="424">
        <v>108.12860000000001</v>
      </c>
      <c r="L7619" s="37">
        <v>8.1285999999999969E-2</v>
      </c>
    </row>
    <row r="7620" spans="1:12" hidden="1" outlineLevel="1" x14ac:dyDescent="0.25">
      <c r="A7620" s="849">
        <v>0.05</v>
      </c>
      <c r="B7620" s="852" t="s">
        <v>44</v>
      </c>
      <c r="C7620" s="1146">
        <v>3.5398999999999998</v>
      </c>
      <c r="D7620" s="908">
        <v>1.6989999999999998</v>
      </c>
      <c r="E7620" s="896">
        <v>-0.52004293906607535</v>
      </c>
      <c r="F7620" s="946">
        <v>-2.600214695330377E-2</v>
      </c>
      <c r="G7620" s="78"/>
      <c r="H7620" t="s">
        <v>204</v>
      </c>
      <c r="J7620" s="256">
        <v>41395</v>
      </c>
      <c r="K7620" s="424">
        <v>106.68980000000001</v>
      </c>
      <c r="L7620" s="37">
        <v>6.6898000000000124E-2</v>
      </c>
    </row>
    <row r="7621" spans="1:12" hidden="1" outlineLevel="1" x14ac:dyDescent="0.25">
      <c r="A7621" s="849">
        <v>0.05</v>
      </c>
      <c r="B7621" s="852" t="s">
        <v>2160</v>
      </c>
      <c r="C7621" s="1146">
        <v>29.266999999999999</v>
      </c>
      <c r="D7621" s="908">
        <v>53.05</v>
      </c>
      <c r="E7621" s="896">
        <v>0.81262172412614886</v>
      </c>
      <c r="F7621" s="946">
        <v>4.0631086206307447E-2</v>
      </c>
      <c r="G7621" s="78"/>
      <c r="H7621" t="s">
        <v>5507</v>
      </c>
      <c r="J7621" s="256">
        <v>41426</v>
      </c>
      <c r="K7621" s="424">
        <v>103.20010000000001</v>
      </c>
      <c r="L7621" s="37">
        <v>3.2001000000000168E-2</v>
      </c>
    </row>
    <row r="7622" spans="1:12" hidden="1" outlineLevel="1" x14ac:dyDescent="0.25">
      <c r="A7622" s="849">
        <v>0.05</v>
      </c>
      <c r="B7622" s="852" t="s">
        <v>2726</v>
      </c>
      <c r="C7622" s="1146">
        <v>26.858000000000001</v>
      </c>
      <c r="D7622" s="908">
        <v>34.299999999999997</v>
      </c>
      <c r="E7622" s="896">
        <v>0.27708690148186754</v>
      </c>
      <c r="F7622" s="946">
        <v>1.3854345074093378E-2</v>
      </c>
      <c r="G7622" s="78"/>
      <c r="H7622" t="s">
        <v>2727</v>
      </c>
      <c r="J7622" s="256">
        <v>41456</v>
      </c>
      <c r="K7622" s="424">
        <v>108.854</v>
      </c>
      <c r="L7622" s="37">
        <v>8.8540000000000063E-2</v>
      </c>
    </row>
    <row r="7623" spans="1:12" hidden="1" outlineLevel="1" x14ac:dyDescent="0.25">
      <c r="A7623" s="849">
        <v>0.05</v>
      </c>
      <c r="B7623" s="852" t="s">
        <v>1414</v>
      </c>
      <c r="C7623" s="1146">
        <v>17.965</v>
      </c>
      <c r="D7623" s="908">
        <v>32.200000000000003</v>
      </c>
      <c r="E7623" s="896">
        <v>0.79237406067353211</v>
      </c>
      <c r="F7623" s="946">
        <v>3.9618703033676608E-2</v>
      </c>
      <c r="G7623" s="78"/>
      <c r="H7623" t="s">
        <v>2428</v>
      </c>
      <c r="J7623" s="256">
        <v>41487</v>
      </c>
      <c r="K7623" s="424">
        <v>106.7141</v>
      </c>
      <c r="L7623" s="37">
        <v>6.7141000000000117E-2</v>
      </c>
    </row>
    <row r="7624" spans="1:12" hidden="1" outlineLevel="1" x14ac:dyDescent="0.25">
      <c r="A7624" s="849">
        <v>0.05</v>
      </c>
      <c r="B7624" s="852" t="s">
        <v>2728</v>
      </c>
      <c r="C7624" s="1146">
        <v>43.485999999999997</v>
      </c>
      <c r="D7624" s="908">
        <v>71.3</v>
      </c>
      <c r="E7624" s="896">
        <v>0.63960814974934466</v>
      </c>
      <c r="F7624" s="946">
        <v>3.1980407487467236E-2</v>
      </c>
      <c r="G7624" s="78"/>
      <c r="H7624" t="s">
        <v>258</v>
      </c>
      <c r="J7624" s="256">
        <v>41518</v>
      </c>
      <c r="K7624" s="424">
        <v>109.4846</v>
      </c>
      <c r="L7624" s="37">
        <v>9.4845999999999986E-2</v>
      </c>
    </row>
    <row r="7625" spans="1:12" hidden="1" outlineLevel="1" x14ac:dyDescent="0.25">
      <c r="A7625" s="849">
        <v>0.05</v>
      </c>
      <c r="B7625" s="852" t="s">
        <v>577</v>
      </c>
      <c r="C7625" s="1146">
        <v>17.314</v>
      </c>
      <c r="D7625" s="908">
        <v>12.315</v>
      </c>
      <c r="E7625" s="896">
        <v>-0.28872588656578491</v>
      </c>
      <c r="F7625" s="946">
        <v>-1.4436294328289245E-2</v>
      </c>
      <c r="G7625" s="78"/>
      <c r="H7625" t="s">
        <v>2804</v>
      </c>
      <c r="J7625" s="256">
        <v>41548</v>
      </c>
      <c r="K7625" s="424">
        <v>116.2578</v>
      </c>
      <c r="L7625" s="37">
        <v>0.16257800000000011</v>
      </c>
    </row>
    <row r="7626" spans="1:12" hidden="1" outlineLevel="1" x14ac:dyDescent="0.25">
      <c r="A7626" s="849">
        <v>0.05</v>
      </c>
      <c r="B7626" s="852" t="s">
        <v>2628</v>
      </c>
      <c r="C7626" s="1177">
        <v>3.63</v>
      </c>
      <c r="D7626" s="908">
        <v>5.1150000000000002</v>
      </c>
      <c r="E7626" s="896">
        <v>0.40909090909090917</v>
      </c>
      <c r="F7626" s="946">
        <v>2.0454545454545461E-2</v>
      </c>
      <c r="G7626" s="78"/>
      <c r="H7626" t="s">
        <v>1896</v>
      </c>
      <c r="J7626" s="256">
        <v>41579</v>
      </c>
      <c r="K7626" s="424">
        <v>116.7513</v>
      </c>
      <c r="L7626" s="37">
        <v>0.16751300000000002</v>
      </c>
    </row>
    <row r="7627" spans="1:12" hidden="1" outlineLevel="1" x14ac:dyDescent="0.25">
      <c r="A7627" s="849">
        <v>0.05</v>
      </c>
      <c r="B7627" s="852" t="s">
        <v>2137</v>
      </c>
      <c r="C7627" s="1146">
        <v>26.21</v>
      </c>
      <c r="D7627" s="908">
        <v>38.31</v>
      </c>
      <c r="E7627" s="896">
        <v>0.46165585654330421</v>
      </c>
      <c r="F7627" s="946">
        <v>2.3082792827165213E-2</v>
      </c>
      <c r="G7627" s="78"/>
      <c r="H7627" t="s">
        <v>2123</v>
      </c>
      <c r="J7627" s="412" t="s">
        <v>2465</v>
      </c>
      <c r="L7627" s="261">
        <v>3.0085055555555597E-2</v>
      </c>
    </row>
    <row r="7628" spans="1:12" hidden="1" outlineLevel="1" x14ac:dyDescent="0.25">
      <c r="A7628" s="990">
        <v>0.05</v>
      </c>
      <c r="B7628" s="801" t="s">
        <v>3019</v>
      </c>
      <c r="C7628" s="1148">
        <v>57.019500000000001</v>
      </c>
      <c r="D7628" s="715">
        <v>54.48</v>
      </c>
      <c r="E7628" s="947">
        <v>-4.4537395101675759E-2</v>
      </c>
      <c r="F7628" s="1023">
        <v>-2.2268697550837878E-3</v>
      </c>
      <c r="G7628" s="78"/>
      <c r="H7628" t="s">
        <v>2745</v>
      </c>
      <c r="J7628" s="412" t="s">
        <v>5280</v>
      </c>
      <c r="L7628" s="261">
        <v>2.7076550000000039E-2</v>
      </c>
    </row>
    <row r="7629" spans="1:12" hidden="1" outlineLevel="1" x14ac:dyDescent="0.25">
      <c r="A7629" s="749"/>
      <c r="B7629" s="750"/>
      <c r="C7629" s="719"/>
      <c r="D7629" s="727"/>
      <c r="E7629" s="716"/>
      <c r="F7629" s="770">
        <v>0.20644541646381978</v>
      </c>
      <c r="G7629" s="78"/>
    </row>
    <row r="7630" spans="1:12" collapsed="1" x14ac:dyDescent="0.25">
      <c r="A7630" s="3801" t="s">
        <v>3492</v>
      </c>
      <c r="B7630" s="3802"/>
      <c r="C7630" s="3802"/>
      <c r="D7630" s="3802"/>
      <c r="E7630" s="721"/>
      <c r="F7630" s="722">
        <v>2.7076550000000039E-2</v>
      </c>
      <c r="G7630" s="97" t="s">
        <v>781</v>
      </c>
    </row>
    <row r="7632" spans="1:12" hidden="1" outlineLevel="1" x14ac:dyDescent="0.25">
      <c r="A7632" s="689" t="s">
        <v>113</v>
      </c>
      <c r="B7632" s="689" t="s">
        <v>114</v>
      </c>
      <c r="C7632" s="689" t="s">
        <v>112</v>
      </c>
      <c r="D7632" s="689" t="s">
        <v>116</v>
      </c>
      <c r="E7632" s="689" t="s">
        <v>117</v>
      </c>
      <c r="F7632" s="1188" t="s">
        <v>121</v>
      </c>
      <c r="G7632" s="78"/>
    </row>
    <row r="7633" spans="1:12" hidden="1" outlineLevel="1" x14ac:dyDescent="0.25">
      <c r="A7633" s="690">
        <v>4</v>
      </c>
      <c r="B7633" s="691" t="s">
        <v>252</v>
      </c>
      <c r="C7633" s="692">
        <v>100</v>
      </c>
      <c r="D7633" s="697" t="s">
        <v>3702</v>
      </c>
      <c r="E7633" s="698">
        <v>42460</v>
      </c>
      <c r="F7633" s="699"/>
      <c r="G7633" s="78"/>
    </row>
    <row r="7634" spans="1:12" hidden="1" outlineLevel="1" x14ac:dyDescent="0.25">
      <c r="A7634" s="689" t="s">
        <v>4156</v>
      </c>
      <c r="B7634" s="689" t="s">
        <v>4153</v>
      </c>
      <c r="C7634" s="700" t="s">
        <v>112</v>
      </c>
      <c r="D7634" s="689" t="s">
        <v>116</v>
      </c>
      <c r="E7634" s="495" t="s">
        <v>4154</v>
      </c>
      <c r="F7634" s="1021" t="s">
        <v>734</v>
      </c>
      <c r="G7634" s="78"/>
    </row>
    <row r="7635" spans="1:12" hidden="1" outlineLevel="1" x14ac:dyDescent="0.25">
      <c r="A7635" s="1074">
        <v>3.5000000000000003E-2</v>
      </c>
      <c r="B7635" s="1230" t="s">
        <v>280</v>
      </c>
      <c r="C7635" s="799">
        <v>30.527999999999999</v>
      </c>
      <c r="D7635" s="708">
        <v>55.872</v>
      </c>
      <c r="E7635" s="705">
        <v>0.83018867924528306</v>
      </c>
      <c r="F7635" s="1021">
        <v>0.06</v>
      </c>
      <c r="G7635" s="78"/>
      <c r="H7635" t="s">
        <v>1469</v>
      </c>
      <c r="L7635" s="434"/>
    </row>
    <row r="7636" spans="1:12" hidden="1" outlineLevel="1" x14ac:dyDescent="0.25">
      <c r="A7636" s="1075">
        <v>3.5000000000000003E-2</v>
      </c>
      <c r="B7636" s="1089" t="s">
        <v>3404</v>
      </c>
      <c r="C7636" s="852">
        <v>9.42</v>
      </c>
      <c r="D7636" s="708">
        <v>10.6</v>
      </c>
      <c r="E7636" s="709">
        <v>0.12526539278131632</v>
      </c>
      <c r="F7636" s="946">
        <v>0.06</v>
      </c>
      <c r="G7636" s="78"/>
      <c r="H7636" t="s">
        <v>3815</v>
      </c>
      <c r="L7636" s="434"/>
    </row>
    <row r="7637" spans="1:12" hidden="1" outlineLevel="1" x14ac:dyDescent="0.25">
      <c r="A7637" s="1075">
        <v>0.03</v>
      </c>
      <c r="B7637" s="1089" t="s">
        <v>2984</v>
      </c>
      <c r="C7637" s="852">
        <v>8.4411000000000005</v>
      </c>
      <c r="D7637" s="708">
        <v>9.0006000000000004</v>
      </c>
      <c r="E7637" s="709">
        <v>6.6282830436791507E-2</v>
      </c>
      <c r="F7637" s="946">
        <v>0.06</v>
      </c>
      <c r="G7637" s="78"/>
      <c r="H7637" t="s">
        <v>2326</v>
      </c>
      <c r="L7637" s="434"/>
    </row>
    <row r="7638" spans="1:12" hidden="1" outlineLevel="1" x14ac:dyDescent="0.25">
      <c r="A7638" s="1075">
        <v>3.5000000000000003E-2</v>
      </c>
      <c r="B7638" s="1089" t="s">
        <v>3019</v>
      </c>
      <c r="C7638" s="852">
        <v>44.831800000000001</v>
      </c>
      <c r="D7638" s="708">
        <v>56.51</v>
      </c>
      <c r="E7638" s="709">
        <v>0.26048920632229788</v>
      </c>
      <c r="F7638" s="946">
        <v>0.06</v>
      </c>
      <c r="G7638" s="78"/>
      <c r="H7638" t="s">
        <v>2745</v>
      </c>
      <c r="L7638" s="434"/>
    </row>
    <row r="7639" spans="1:12" hidden="1" outlineLevel="1" x14ac:dyDescent="0.25">
      <c r="A7639" s="1075">
        <v>3.5000000000000003E-2</v>
      </c>
      <c r="B7639" s="1231" t="s">
        <v>4377</v>
      </c>
      <c r="C7639" s="852">
        <v>19.542000000000002</v>
      </c>
      <c r="D7639" s="708">
        <v>52.747999999999998</v>
      </c>
      <c r="E7639" s="709">
        <v>1.6992119537406607</v>
      </c>
      <c r="F7639" s="946">
        <v>0.06</v>
      </c>
      <c r="G7639" s="78"/>
      <c r="H7639" t="s">
        <v>4327</v>
      </c>
      <c r="L7639" s="434"/>
    </row>
    <row r="7640" spans="1:12" hidden="1" outlineLevel="1" x14ac:dyDescent="0.25">
      <c r="A7640" s="1075">
        <v>0.03</v>
      </c>
      <c r="B7640" s="1089" t="s">
        <v>951</v>
      </c>
      <c r="C7640" s="852">
        <v>2964</v>
      </c>
      <c r="D7640" s="708">
        <v>3281</v>
      </c>
      <c r="E7640" s="709">
        <v>0.10695006747638325</v>
      </c>
      <c r="F7640" s="946">
        <v>0.06</v>
      </c>
      <c r="G7640" s="78"/>
      <c r="H7640" t="s">
        <v>952</v>
      </c>
      <c r="L7640" s="434"/>
    </row>
    <row r="7641" spans="1:12" hidden="1" outlineLevel="1" x14ac:dyDescent="0.25">
      <c r="A7641" s="1075">
        <v>0.05</v>
      </c>
      <c r="B7641" s="1089" t="s">
        <v>2699</v>
      </c>
      <c r="C7641" s="852">
        <v>9.0860000000000003</v>
      </c>
      <c r="D7641" s="708">
        <v>25.978000000000002</v>
      </c>
      <c r="E7641" s="709">
        <v>1.8591239269205371</v>
      </c>
      <c r="F7641" s="946">
        <v>0.06</v>
      </c>
      <c r="G7641" s="78"/>
      <c r="H7641" t="s">
        <v>505</v>
      </c>
      <c r="L7641" s="434"/>
    </row>
    <row r="7642" spans="1:12" hidden="1" outlineLevel="1" x14ac:dyDescent="0.25">
      <c r="A7642" s="1075">
        <v>0.03</v>
      </c>
      <c r="B7642" s="1089" t="s">
        <v>3406</v>
      </c>
      <c r="C7642" s="852">
        <v>879.5</v>
      </c>
      <c r="D7642" s="708">
        <v>1970.2000000000003</v>
      </c>
      <c r="E7642" s="709">
        <v>1.2401364411597502</v>
      </c>
      <c r="F7642" s="946">
        <v>0.06</v>
      </c>
      <c r="G7642" s="78"/>
      <c r="H7642" t="s">
        <v>2105</v>
      </c>
      <c r="L7642" s="434"/>
    </row>
    <row r="7643" spans="1:12" hidden="1" outlineLevel="1" x14ac:dyDescent="0.25">
      <c r="A7643" s="1075">
        <v>0.03</v>
      </c>
      <c r="B7643" s="1089" t="s">
        <v>4064</v>
      </c>
      <c r="C7643" s="852">
        <v>33.231999999999999</v>
      </c>
      <c r="D7643" s="708">
        <v>51.131999999999998</v>
      </c>
      <c r="E7643" s="709">
        <v>0.53863745787193062</v>
      </c>
      <c r="F7643" s="946">
        <v>0.06</v>
      </c>
      <c r="G7643" s="78"/>
      <c r="H7643" t="s">
        <v>170</v>
      </c>
      <c r="L7643" s="434"/>
    </row>
    <row r="7644" spans="1:12" hidden="1" outlineLevel="1" x14ac:dyDescent="0.25">
      <c r="A7644" s="1075">
        <v>3.5000000000000003E-2</v>
      </c>
      <c r="B7644" s="712" t="s">
        <v>3021</v>
      </c>
      <c r="C7644" s="852">
        <v>15.984</v>
      </c>
      <c r="D7644" s="708">
        <v>17.481999999999999</v>
      </c>
      <c r="E7644" s="709">
        <v>9.371871871871873E-2</v>
      </c>
      <c r="F7644" s="946">
        <v>0.06</v>
      </c>
      <c r="G7644" s="78"/>
      <c r="H7644" t="s">
        <v>4124</v>
      </c>
      <c r="L7644" s="434"/>
    </row>
    <row r="7645" spans="1:12" hidden="1" outlineLevel="1" x14ac:dyDescent="0.25">
      <c r="A7645" s="1075">
        <v>0.03</v>
      </c>
      <c r="B7645" s="1089" t="s">
        <v>5824</v>
      </c>
      <c r="C7645" s="852">
        <v>15.788</v>
      </c>
      <c r="D7645" s="708">
        <v>8.9407999999999994</v>
      </c>
      <c r="E7645" s="709">
        <v>-0.43369647833797831</v>
      </c>
      <c r="F7645" s="946">
        <v>-0.43369647833797831</v>
      </c>
      <c r="G7645" s="78"/>
      <c r="H7645" t="s">
        <v>5817</v>
      </c>
      <c r="L7645" s="434"/>
    </row>
    <row r="7646" spans="1:12" hidden="1" outlineLevel="1" x14ac:dyDescent="0.25">
      <c r="A7646" s="1075">
        <v>0.03</v>
      </c>
      <c r="B7646" s="711" t="s">
        <v>3269</v>
      </c>
      <c r="C7646" s="852">
        <v>12.068</v>
      </c>
      <c r="D7646" s="708">
        <v>18.712</v>
      </c>
      <c r="E7646" s="709">
        <v>0.55054690089492886</v>
      </c>
      <c r="F7646" s="946">
        <v>0.06</v>
      </c>
      <c r="G7646" s="78"/>
      <c r="H7646" t="s">
        <v>3270</v>
      </c>
      <c r="L7646" s="434"/>
    </row>
    <row r="7647" spans="1:12" hidden="1" outlineLevel="1" x14ac:dyDescent="0.25">
      <c r="A7647" s="1075">
        <v>2.5000000000000001E-2</v>
      </c>
      <c r="B7647" s="1089" t="s">
        <v>3407</v>
      </c>
      <c r="C7647" s="852">
        <v>10.964</v>
      </c>
      <c r="D7647" s="708">
        <v>27.347999999999999</v>
      </c>
      <c r="E7647" s="709">
        <v>1.4943451295147754</v>
      </c>
      <c r="F7647" s="946">
        <v>0.06</v>
      </c>
      <c r="G7647" s="78"/>
      <c r="H7647" t="s">
        <v>4127</v>
      </c>
      <c r="L7647" s="434"/>
    </row>
    <row r="7648" spans="1:12" hidden="1" outlineLevel="1" x14ac:dyDescent="0.25">
      <c r="A7648" s="1075">
        <v>0.05</v>
      </c>
      <c r="B7648" s="712" t="s">
        <v>3643</v>
      </c>
      <c r="C7648" s="852">
        <v>192.15</v>
      </c>
      <c r="D7648" s="708">
        <v>292.66000000000003</v>
      </c>
      <c r="E7648" s="709">
        <v>0.52308092635961501</v>
      </c>
      <c r="F7648" s="946">
        <v>0.06</v>
      </c>
      <c r="G7648" s="78"/>
      <c r="H7648" t="s">
        <v>1729</v>
      </c>
      <c r="L7648" s="434"/>
    </row>
    <row r="7649" spans="1:12" hidden="1" outlineLevel="1" x14ac:dyDescent="0.25">
      <c r="A7649" s="1075">
        <v>4.4999999999999998E-2</v>
      </c>
      <c r="B7649" s="1089" t="s">
        <v>2920</v>
      </c>
      <c r="C7649" s="852">
        <v>16.148</v>
      </c>
      <c r="D7649" s="708">
        <v>25.61</v>
      </c>
      <c r="E7649" s="709">
        <v>0.58595491701758728</v>
      </c>
      <c r="F7649" s="946">
        <v>0.06</v>
      </c>
      <c r="G7649" s="78"/>
      <c r="H7649" t="s">
        <v>2926</v>
      </c>
      <c r="L7649" s="434"/>
    </row>
    <row r="7650" spans="1:12" hidden="1" outlineLevel="1" x14ac:dyDescent="0.25">
      <c r="A7650" s="1075">
        <v>0.03</v>
      </c>
      <c r="B7650" s="1089" t="s">
        <v>4143</v>
      </c>
      <c r="C7650" s="852">
        <v>5.9245999999999999</v>
      </c>
      <c r="D7650" s="708">
        <v>2.4563999999999999</v>
      </c>
      <c r="E7650" s="709">
        <v>-0.58538973095230062</v>
      </c>
      <c r="F7650" s="946">
        <v>-0.58538973095230062</v>
      </c>
      <c r="G7650" s="78"/>
      <c r="H7650" t="s">
        <v>4144</v>
      </c>
      <c r="L7650" s="434"/>
    </row>
    <row r="7651" spans="1:12" hidden="1" outlineLevel="1" x14ac:dyDescent="0.25">
      <c r="A7651" s="1075">
        <v>3.5000000000000003E-2</v>
      </c>
      <c r="B7651" s="1089" t="s">
        <v>3303</v>
      </c>
      <c r="C7651" s="852">
        <v>43.058</v>
      </c>
      <c r="D7651" s="708">
        <v>54.112000000000002</v>
      </c>
      <c r="E7651" s="709">
        <v>0.25672348924706223</v>
      </c>
      <c r="F7651" s="946">
        <v>0.06</v>
      </c>
      <c r="G7651" s="78"/>
      <c r="H7651" t="e">
        <v>#N/A</v>
      </c>
      <c r="L7651" s="434"/>
    </row>
    <row r="7652" spans="1:12" hidden="1" outlineLevel="1" x14ac:dyDescent="0.25">
      <c r="A7652" s="1075">
        <v>3.5000000000000003E-2</v>
      </c>
      <c r="B7652" s="1089" t="s">
        <v>3271</v>
      </c>
      <c r="C7652" s="852">
        <v>3.8525</v>
      </c>
      <c r="D7652" s="708">
        <v>3.5316000000000001</v>
      </c>
      <c r="E7652" s="709">
        <v>-8.3296560674886444E-2</v>
      </c>
      <c r="F7652" s="946">
        <v>-8.3296560674886444E-2</v>
      </c>
      <c r="G7652" s="78"/>
      <c r="H7652" t="s">
        <v>3272</v>
      </c>
      <c r="L7652" s="434"/>
    </row>
    <row r="7653" spans="1:12" hidden="1" outlineLevel="1" x14ac:dyDescent="0.25">
      <c r="A7653" s="1075">
        <v>0.03</v>
      </c>
      <c r="B7653" s="1089" t="s">
        <v>247</v>
      </c>
      <c r="C7653" s="852">
        <v>1613</v>
      </c>
      <c r="D7653" s="708">
        <v>2004.6</v>
      </c>
      <c r="E7653" s="709">
        <v>0.24277743335399871</v>
      </c>
      <c r="F7653" s="946">
        <v>0.06</v>
      </c>
      <c r="G7653" s="78"/>
      <c r="H7653" t="s">
        <v>3640</v>
      </c>
      <c r="L7653" s="434"/>
    </row>
    <row r="7654" spans="1:12" hidden="1" outlineLevel="1" x14ac:dyDescent="0.25">
      <c r="A7654" s="1075">
        <v>0.03</v>
      </c>
      <c r="B7654" s="1089" t="s">
        <v>3797</v>
      </c>
      <c r="C7654" s="852">
        <v>41.223999999999997</v>
      </c>
      <c r="D7654" s="708">
        <v>66.13</v>
      </c>
      <c r="E7654" s="709">
        <v>0.60416262371434115</v>
      </c>
      <c r="F7654" s="946">
        <v>0.06</v>
      </c>
      <c r="G7654" s="78"/>
      <c r="H7654" t="s">
        <v>3848</v>
      </c>
      <c r="L7654" s="434"/>
    </row>
    <row r="7655" spans="1:12" hidden="1" outlineLevel="1" x14ac:dyDescent="0.25">
      <c r="A7655" s="1075">
        <v>2.5000000000000001E-2</v>
      </c>
      <c r="B7655" s="1089" t="s">
        <v>1190</v>
      </c>
      <c r="C7655" s="852">
        <v>10.263999999999999</v>
      </c>
      <c r="D7655" s="708">
        <v>5.9240000000000004</v>
      </c>
      <c r="E7655" s="709">
        <v>-0.4228371005455962</v>
      </c>
      <c r="F7655" s="946">
        <v>-0.4228371005455962</v>
      </c>
      <c r="G7655" s="78"/>
      <c r="H7655" t="s">
        <v>7569</v>
      </c>
      <c r="L7655" s="434"/>
    </row>
    <row r="7656" spans="1:12" hidden="1" outlineLevel="1" x14ac:dyDescent="0.25">
      <c r="A7656" s="1075">
        <v>4.4999999999999998E-2</v>
      </c>
      <c r="B7656" s="1089" t="s">
        <v>2787</v>
      </c>
      <c r="C7656" s="852">
        <v>43.152000000000001</v>
      </c>
      <c r="D7656" s="708">
        <v>72.11</v>
      </c>
      <c r="E7656" s="709">
        <v>0.67106970708194291</v>
      </c>
      <c r="F7656" s="946">
        <v>0.06</v>
      </c>
      <c r="G7656" s="78"/>
      <c r="H7656" t="s">
        <v>80</v>
      </c>
      <c r="L7656" s="434"/>
    </row>
    <row r="7657" spans="1:12" hidden="1" outlineLevel="1" x14ac:dyDescent="0.25">
      <c r="A7657" s="1075">
        <v>0.02</v>
      </c>
      <c r="B7657" s="1089" t="s">
        <v>1414</v>
      </c>
      <c r="C7657" s="852">
        <v>14.49</v>
      </c>
      <c r="D7657" s="708">
        <v>30.643999999999998</v>
      </c>
      <c r="E7657" s="709">
        <v>1.1148378191856452</v>
      </c>
      <c r="F7657" s="946">
        <v>0.06</v>
      </c>
      <c r="G7657" s="78"/>
      <c r="H7657" t="s">
        <v>2428</v>
      </c>
      <c r="L7657" s="434"/>
    </row>
    <row r="7658" spans="1:12" hidden="1" outlineLevel="1" x14ac:dyDescent="0.25">
      <c r="A7658" s="1075">
        <v>4.4999999999999998E-2</v>
      </c>
      <c r="B7658" s="1089" t="s">
        <v>1239</v>
      </c>
      <c r="C7658" s="852">
        <v>332.9</v>
      </c>
      <c r="D7658" s="708">
        <v>473.38</v>
      </c>
      <c r="E7658" s="709">
        <v>0.42198858516070903</v>
      </c>
      <c r="F7658" s="946">
        <v>0.06</v>
      </c>
      <c r="G7658" s="78"/>
      <c r="H7658" t="s">
        <v>268</v>
      </c>
      <c r="L7658" s="434"/>
    </row>
    <row r="7659" spans="1:12" hidden="1" outlineLevel="1" x14ac:dyDescent="0.25">
      <c r="A7659" s="1075">
        <v>2.5000000000000001E-2</v>
      </c>
      <c r="B7659" s="1089" t="s">
        <v>577</v>
      </c>
      <c r="C7659" s="852">
        <v>15.76</v>
      </c>
      <c r="D7659" s="708">
        <v>11.763</v>
      </c>
      <c r="E7659" s="709">
        <v>-0.25361675126903549</v>
      </c>
      <c r="F7659" s="946">
        <v>-0.25361675126903549</v>
      </c>
      <c r="G7659" s="78"/>
      <c r="H7659" t="s">
        <v>2804</v>
      </c>
      <c r="L7659" s="434"/>
    </row>
    <row r="7660" spans="1:12" hidden="1" outlineLevel="1" x14ac:dyDescent="0.25">
      <c r="A7660" s="1075">
        <v>0.03</v>
      </c>
      <c r="B7660" s="1089" t="s">
        <v>3641</v>
      </c>
      <c r="C7660" s="852">
        <v>48.322000000000003</v>
      </c>
      <c r="D7660" s="708">
        <v>102.44799999999999</v>
      </c>
      <c r="E7660" s="709">
        <v>1.1201109225611519</v>
      </c>
      <c r="F7660" s="946">
        <v>0.06</v>
      </c>
      <c r="G7660" s="78"/>
      <c r="H7660" t="s">
        <v>3642</v>
      </c>
      <c r="L7660" s="434"/>
    </row>
    <row r="7661" spans="1:12" hidden="1" outlineLevel="1" x14ac:dyDescent="0.25">
      <c r="A7661" s="1075">
        <v>3.5000000000000003E-2</v>
      </c>
      <c r="B7661" s="1089" t="s">
        <v>4228</v>
      </c>
      <c r="C7661" s="852">
        <v>20.481000000000002</v>
      </c>
      <c r="D7661" s="708">
        <v>11.722</v>
      </c>
      <c r="E7661" s="709">
        <v>-0.42766466481128862</v>
      </c>
      <c r="F7661" s="946">
        <v>-0.42766466481128862</v>
      </c>
      <c r="G7661" s="78"/>
      <c r="H7661" t="s">
        <v>3994</v>
      </c>
      <c r="L7661" s="434"/>
    </row>
    <row r="7662" spans="1:12" hidden="1" outlineLevel="1" x14ac:dyDescent="0.25">
      <c r="A7662" s="1075">
        <v>0.03</v>
      </c>
      <c r="B7662" s="1089" t="s">
        <v>255</v>
      </c>
      <c r="C7662" s="852">
        <v>27.022200000000002</v>
      </c>
      <c r="D7662" s="708">
        <v>48.781999999999996</v>
      </c>
      <c r="E7662" s="742">
        <v>0.80525641879639687</v>
      </c>
      <c r="F7662" s="946">
        <v>0.06</v>
      </c>
      <c r="G7662" s="78"/>
      <c r="H7662" t="s">
        <v>3351</v>
      </c>
      <c r="L7662" s="434"/>
    </row>
    <row r="7663" spans="1:12" hidden="1" outlineLevel="1" x14ac:dyDescent="0.25">
      <c r="A7663" s="1075">
        <v>3.5000000000000003E-2</v>
      </c>
      <c r="B7663" s="1089" t="s">
        <v>3169</v>
      </c>
      <c r="C7663" s="852">
        <v>16.203800000000001</v>
      </c>
      <c r="D7663" s="708">
        <v>18.638999999999999</v>
      </c>
      <c r="E7663" s="742">
        <v>0.15028573544477219</v>
      </c>
      <c r="F7663" s="946">
        <v>0.06</v>
      </c>
      <c r="G7663" s="78"/>
      <c r="H7663" t="s">
        <v>657</v>
      </c>
      <c r="L7663" s="434"/>
    </row>
    <row r="7664" spans="1:12" hidden="1" outlineLevel="1" x14ac:dyDescent="0.25">
      <c r="A7664" s="1076">
        <v>2.5000000000000001E-2</v>
      </c>
      <c r="B7664" s="1089" t="s">
        <v>4550</v>
      </c>
      <c r="C7664" s="801">
        <v>181.68</v>
      </c>
      <c r="D7664" s="1199">
        <v>259.64</v>
      </c>
      <c r="E7664" s="748">
        <v>0.42910612065169507</v>
      </c>
      <c r="F7664" s="1023">
        <v>0.06</v>
      </c>
      <c r="G7664" s="78"/>
      <c r="H7664" t="s">
        <v>4551</v>
      </c>
      <c r="L7664" s="434"/>
    </row>
    <row r="7665" spans="1:7" hidden="1" outlineLevel="1" x14ac:dyDescent="0.25">
      <c r="A7665" s="1233" t="s">
        <v>2465</v>
      </c>
      <c r="B7665" s="1015"/>
      <c r="C7665" s="1234"/>
      <c r="D7665" s="798"/>
      <c r="E7665" s="709">
        <v>0.47748304328297686</v>
      </c>
      <c r="F7665" s="1232">
        <v>-1.6167575466090288E-2</v>
      </c>
      <c r="G7665" s="78"/>
    </row>
    <row r="7666" spans="1:7" hidden="1" outlineLevel="1" x14ac:dyDescent="0.25">
      <c r="A7666" s="725" t="s">
        <v>113</v>
      </c>
      <c r="B7666" s="725"/>
      <c r="C7666" s="1019"/>
      <c r="D7666" s="1019"/>
      <c r="E7666" s="729"/>
      <c r="F7666" s="1188"/>
      <c r="G7666" s="78"/>
    </row>
    <row r="7667" spans="1:7" hidden="1" outlineLevel="1" x14ac:dyDescent="0.25">
      <c r="A7667" s="846" t="s">
        <v>1807</v>
      </c>
      <c r="B7667" s="690"/>
      <c r="C7667" s="691"/>
      <c r="D7667" s="691"/>
      <c r="E7667" s="691"/>
      <c r="F7667" s="1021">
        <v>0.04</v>
      </c>
      <c r="G7667" s="78"/>
    </row>
    <row r="7668" spans="1:7" hidden="1" outlineLevel="1" x14ac:dyDescent="0.25">
      <c r="A7668" s="846" t="s">
        <v>1808</v>
      </c>
      <c r="B7668" s="706"/>
      <c r="C7668" s="695"/>
      <c r="D7668" s="695"/>
      <c r="E7668" s="695"/>
      <c r="F7668" s="946">
        <v>2.2499999999999999E-2</v>
      </c>
      <c r="G7668" s="78"/>
    </row>
    <row r="7669" spans="1:7" hidden="1" outlineLevel="1" x14ac:dyDescent="0.25">
      <c r="A7669" s="846" t="s">
        <v>1809</v>
      </c>
      <c r="B7669" s="706"/>
      <c r="C7669" s="695"/>
      <c r="D7669" s="695"/>
      <c r="E7669" s="695"/>
      <c r="F7669" s="946">
        <v>0.01</v>
      </c>
      <c r="G7669" s="78"/>
    </row>
    <row r="7670" spans="1:7" hidden="1" outlineLevel="1" x14ac:dyDescent="0.25">
      <c r="A7670" s="846" t="s">
        <v>966</v>
      </c>
      <c r="B7670" s="713"/>
      <c r="C7670" s="726"/>
      <c r="D7670" s="726"/>
      <c r="E7670" s="726"/>
      <c r="F7670" s="946">
        <v>0.01</v>
      </c>
      <c r="G7670" s="78"/>
    </row>
    <row r="7671" spans="1:7" collapsed="1" x14ac:dyDescent="0.25">
      <c r="A7671" s="3803" t="s">
        <v>1806</v>
      </c>
      <c r="B7671" s="3804"/>
      <c r="C7671" s="3804"/>
      <c r="D7671" s="1019"/>
      <c r="E7671" s="1019"/>
      <c r="F7671" s="934">
        <v>8.249999999999999E-2</v>
      </c>
      <c r="G7671" s="97" t="s">
        <v>781</v>
      </c>
    </row>
    <row r="7673" spans="1:7" hidden="1" outlineLevel="1" x14ac:dyDescent="0.25">
      <c r="A7673" s="689" t="s">
        <v>113</v>
      </c>
      <c r="B7673" s="689" t="s">
        <v>114</v>
      </c>
      <c r="C7673" s="689" t="s">
        <v>112</v>
      </c>
      <c r="D7673" s="689" t="s">
        <v>116</v>
      </c>
      <c r="E7673" s="689" t="s">
        <v>117</v>
      </c>
      <c r="F7673" s="1188" t="s">
        <v>121</v>
      </c>
    </row>
    <row r="7674" spans="1:7" hidden="1" outlineLevel="1" x14ac:dyDescent="0.25">
      <c r="A7674" s="751" t="s">
        <v>4802</v>
      </c>
      <c r="B7674" s="729" t="s">
        <v>115</v>
      </c>
      <c r="C7674" s="719">
        <v>2418.8470000000002</v>
      </c>
      <c r="D7674" s="719">
        <v>2509.2199999999998</v>
      </c>
      <c r="E7674" s="720">
        <v>3.7362015869544241E-2</v>
      </c>
      <c r="F7674" s="731">
        <v>0</v>
      </c>
    </row>
    <row r="7675" spans="1:7" hidden="1" outlineLevel="1" x14ac:dyDescent="0.25">
      <c r="A7675" s="751" t="s">
        <v>4803</v>
      </c>
      <c r="B7675" s="729" t="s">
        <v>115</v>
      </c>
      <c r="C7675" s="823">
        <v>2509.2199999999998</v>
      </c>
      <c r="D7675" s="823">
        <v>2370.71</v>
      </c>
      <c r="E7675" s="720">
        <v>-5.5200420847912768E-2</v>
      </c>
      <c r="F7675" s="731">
        <v>-5.5200420847912768E-2</v>
      </c>
    </row>
    <row r="7676" spans="1:7" hidden="1" outlineLevel="1" x14ac:dyDescent="0.25">
      <c r="A7676" s="751" t="s">
        <v>4804</v>
      </c>
      <c r="B7676" s="729" t="s">
        <v>115</v>
      </c>
      <c r="C7676" s="719">
        <v>2370.71</v>
      </c>
      <c r="D7676" s="719">
        <v>2669.41</v>
      </c>
      <c r="E7676" s="720">
        <v>0.12599600963424451</v>
      </c>
      <c r="F7676" s="731">
        <v>0</v>
      </c>
    </row>
    <row r="7677" spans="1:7" hidden="1" outlineLevel="1" x14ac:dyDescent="0.25">
      <c r="A7677" s="751" t="s">
        <v>4805</v>
      </c>
      <c r="B7677" s="729" t="s">
        <v>115</v>
      </c>
      <c r="C7677" s="719">
        <v>2669.41</v>
      </c>
      <c r="D7677" s="719">
        <v>2829.25</v>
      </c>
      <c r="E7677" s="720">
        <v>5.9878400095901396E-2</v>
      </c>
      <c r="F7677" s="731">
        <v>0</v>
      </c>
    </row>
    <row r="7678" spans="1:7" hidden="1" outlineLevel="1" x14ac:dyDescent="0.25">
      <c r="A7678" s="751" t="s">
        <v>4806</v>
      </c>
      <c r="B7678" s="729" t="s">
        <v>115</v>
      </c>
      <c r="C7678" s="719">
        <v>2829.25</v>
      </c>
      <c r="D7678" s="719">
        <v>2950.82</v>
      </c>
      <c r="E7678" s="720">
        <v>4.296898471326327E-2</v>
      </c>
      <c r="F7678" s="731">
        <v>0</v>
      </c>
    </row>
    <row r="7679" spans="1:7" hidden="1" outlineLevel="1" x14ac:dyDescent="0.25">
      <c r="A7679" s="751" t="s">
        <v>4807</v>
      </c>
      <c r="B7679" s="729" t="s">
        <v>115</v>
      </c>
      <c r="C7679" s="719">
        <v>2950.82</v>
      </c>
      <c r="D7679" s="719">
        <v>2883.04</v>
      </c>
      <c r="E7679" s="720">
        <v>-2.2969886336679401E-2</v>
      </c>
      <c r="F7679" s="731">
        <v>-2.2969886336679401E-2</v>
      </c>
    </row>
    <row r="7680" spans="1:7" hidden="1" outlineLevel="1" x14ac:dyDescent="0.25">
      <c r="A7680" s="751" t="s">
        <v>4808</v>
      </c>
      <c r="B7680" s="729" t="s">
        <v>115</v>
      </c>
      <c r="C7680" s="719">
        <v>2883.04</v>
      </c>
      <c r="D7680" s="719">
        <v>2885</v>
      </c>
      <c r="E7680" s="720">
        <v>6.7983794883175186E-4</v>
      </c>
      <c r="F7680" s="731">
        <v>0</v>
      </c>
    </row>
    <row r="7681" spans="1:6" hidden="1" outlineLevel="1" x14ac:dyDescent="0.25">
      <c r="A7681" s="751" t="s">
        <v>4809</v>
      </c>
      <c r="B7681" s="729" t="s">
        <v>115</v>
      </c>
      <c r="C7681" s="719">
        <v>2885</v>
      </c>
      <c r="D7681" s="719">
        <v>2940.25</v>
      </c>
      <c r="E7681" s="720">
        <v>1.915077989601377E-2</v>
      </c>
      <c r="F7681" s="731">
        <v>0</v>
      </c>
    </row>
    <row r="7682" spans="1:6" hidden="1" outlineLevel="1" x14ac:dyDescent="0.25">
      <c r="A7682" s="751" t="s">
        <v>4810</v>
      </c>
      <c r="B7682" s="729" t="s">
        <v>115</v>
      </c>
      <c r="C7682" s="719">
        <v>2940.25</v>
      </c>
      <c r="D7682" s="719">
        <v>2674.46</v>
      </c>
      <c r="E7682" s="720">
        <v>-9.0397075078649802E-2</v>
      </c>
      <c r="F7682" s="731">
        <v>-9.0397075078649802E-2</v>
      </c>
    </row>
    <row r="7683" spans="1:6" hidden="1" outlineLevel="1" x14ac:dyDescent="0.25">
      <c r="A7683" s="751" t="s">
        <v>4811</v>
      </c>
      <c r="B7683" s="729" t="s">
        <v>115</v>
      </c>
      <c r="C7683" s="719">
        <v>2674.46</v>
      </c>
      <c r="D7683" s="719">
        <v>2898.36</v>
      </c>
      <c r="E7683" s="720">
        <v>8.3717834628298737E-2</v>
      </c>
      <c r="F7683" s="731">
        <v>0</v>
      </c>
    </row>
    <row r="7684" spans="1:6" hidden="1" outlineLevel="1" x14ac:dyDescent="0.25">
      <c r="A7684" s="751" t="s">
        <v>4812</v>
      </c>
      <c r="B7684" s="729" t="s">
        <v>115</v>
      </c>
      <c r="C7684" s="719">
        <v>2898.36</v>
      </c>
      <c r="D7684" s="719">
        <v>2949.65</v>
      </c>
      <c r="E7684" s="720">
        <v>1.7696214410908295E-2</v>
      </c>
      <c r="F7684" s="731">
        <v>0</v>
      </c>
    </row>
    <row r="7685" spans="1:6" hidden="1" outlineLevel="1" x14ac:dyDescent="0.25">
      <c r="A7685" s="751" t="s">
        <v>4813</v>
      </c>
      <c r="B7685" s="729" t="s">
        <v>115</v>
      </c>
      <c r="C7685" s="719">
        <v>2949.65</v>
      </c>
      <c r="D7685" s="719">
        <v>2633.92</v>
      </c>
      <c r="E7685" s="720">
        <v>-0.10703981828352516</v>
      </c>
      <c r="F7685" s="731">
        <v>-0.10703981828352516</v>
      </c>
    </row>
    <row r="7686" spans="1:6" hidden="1" outlineLevel="1" x14ac:dyDescent="0.25">
      <c r="A7686" s="751" t="s">
        <v>4814</v>
      </c>
      <c r="B7686" s="729" t="s">
        <v>115</v>
      </c>
      <c r="C7686" s="719">
        <v>2633.92</v>
      </c>
      <c r="D7686" s="719">
        <v>2683.46</v>
      </c>
      <c r="E7686" s="720">
        <v>1.8808467986878963E-2</v>
      </c>
      <c r="F7686" s="731">
        <v>0</v>
      </c>
    </row>
    <row r="7687" spans="1:6" hidden="1" outlineLevel="1" x14ac:dyDescent="0.25">
      <c r="A7687" s="751" t="s">
        <v>4815</v>
      </c>
      <c r="B7687" s="729" t="s">
        <v>115</v>
      </c>
      <c r="C7687" s="719">
        <v>2683.46</v>
      </c>
      <c r="D7687" s="719">
        <v>2738.96</v>
      </c>
      <c r="E7687" s="720">
        <v>2.0682253508530035E-2</v>
      </c>
      <c r="F7687" s="731">
        <v>0</v>
      </c>
    </row>
    <row r="7688" spans="1:6" hidden="1" outlineLevel="1" x14ac:dyDescent="0.25">
      <c r="A7688" s="751" t="s">
        <v>4816</v>
      </c>
      <c r="B7688" s="729" t="s">
        <v>115</v>
      </c>
      <c r="C7688" s="719">
        <v>2738.96</v>
      </c>
      <c r="D7688" s="719">
        <v>2708.83</v>
      </c>
      <c r="E7688" s="720">
        <v>-1.1000525746998946E-2</v>
      </c>
      <c r="F7688" s="731">
        <v>-1.1000525746998946E-2</v>
      </c>
    </row>
    <row r="7689" spans="1:6" hidden="1" outlineLevel="1" x14ac:dyDescent="0.25">
      <c r="A7689" s="751" t="s">
        <v>4817</v>
      </c>
      <c r="B7689" s="729" t="s">
        <v>115</v>
      </c>
      <c r="C7689" s="719">
        <v>2708.83</v>
      </c>
      <c r="D7689" s="719">
        <v>2806.47</v>
      </c>
      <c r="E7689" s="720">
        <v>3.6045082194157585E-2</v>
      </c>
      <c r="F7689" s="731">
        <v>0</v>
      </c>
    </row>
    <row r="7690" spans="1:6" hidden="1" outlineLevel="1" x14ac:dyDescent="0.25">
      <c r="A7690" s="751" t="s">
        <v>4818</v>
      </c>
      <c r="B7690" s="729" t="s">
        <v>115</v>
      </c>
      <c r="C7690" s="719">
        <v>2806.47</v>
      </c>
      <c r="D7690" s="719">
        <v>2836.11</v>
      </c>
      <c r="E7690" s="720">
        <v>1.0561310115554612E-2</v>
      </c>
      <c r="F7690" s="731">
        <v>0</v>
      </c>
    </row>
    <row r="7691" spans="1:6" hidden="1" outlineLevel="1" x14ac:dyDescent="0.25">
      <c r="A7691" s="751" t="s">
        <v>4819</v>
      </c>
      <c r="B7691" s="729" t="s">
        <v>115</v>
      </c>
      <c r="C7691" s="719">
        <v>2836.11</v>
      </c>
      <c r="D7691" s="719">
        <v>2822.43</v>
      </c>
      <c r="E7691" s="720">
        <v>-4.8235082560268427E-3</v>
      </c>
      <c r="F7691" s="731">
        <v>-4.8235082560268427E-3</v>
      </c>
    </row>
    <row r="7692" spans="1:6" hidden="1" outlineLevel="1" x14ac:dyDescent="0.25">
      <c r="A7692" s="751" t="s">
        <v>4820</v>
      </c>
      <c r="B7692" s="729" t="s">
        <v>115</v>
      </c>
      <c r="C7692" s="719">
        <v>2822.43</v>
      </c>
      <c r="D7692" s="719">
        <v>2861.67</v>
      </c>
      <c r="E7692" s="720">
        <v>1.3902913446923515E-2</v>
      </c>
      <c r="F7692" s="731">
        <v>0</v>
      </c>
    </row>
    <row r="7693" spans="1:6" hidden="1" outlineLevel="1" x14ac:dyDescent="0.25">
      <c r="A7693" s="751" t="s">
        <v>4821</v>
      </c>
      <c r="B7693" s="729" t="s">
        <v>115</v>
      </c>
      <c r="C7693" s="719">
        <v>2861.67</v>
      </c>
      <c r="D7693" s="719">
        <v>2920.4</v>
      </c>
      <c r="E7693" s="720">
        <v>2.0522981336072998E-2</v>
      </c>
      <c r="F7693" s="731">
        <v>0</v>
      </c>
    </row>
    <row r="7694" spans="1:6" hidden="1" outlineLevel="1" x14ac:dyDescent="0.25">
      <c r="A7694" s="751" t="s">
        <v>4822</v>
      </c>
      <c r="B7694" s="729" t="s">
        <v>115</v>
      </c>
      <c r="C7694" s="719">
        <v>2920.4</v>
      </c>
      <c r="D7694" s="719">
        <v>3018.38</v>
      </c>
      <c r="E7694" s="720">
        <v>3.3550198602931181E-2</v>
      </c>
      <c r="F7694" s="731">
        <v>0</v>
      </c>
    </row>
    <row r="7695" spans="1:6" hidden="1" outlineLevel="1" x14ac:dyDescent="0.25">
      <c r="A7695" s="751" t="s">
        <v>4823</v>
      </c>
      <c r="B7695" s="729" t="s">
        <v>115</v>
      </c>
      <c r="C7695" s="719">
        <v>3018.38</v>
      </c>
      <c r="D7695" s="719">
        <v>2852.11</v>
      </c>
      <c r="E7695" s="720">
        <v>-5.5085840749011017E-2</v>
      </c>
      <c r="F7695" s="731">
        <v>-5.5085840749011017E-2</v>
      </c>
    </row>
    <row r="7696" spans="1:6" hidden="1" outlineLevel="1" x14ac:dyDescent="0.25">
      <c r="A7696" s="751" t="s">
        <v>4824</v>
      </c>
      <c r="B7696" s="729" t="s">
        <v>115</v>
      </c>
      <c r="C7696" s="719">
        <v>2852.11</v>
      </c>
      <c r="D7696" s="719">
        <v>2917.72</v>
      </c>
      <c r="E7696" s="720">
        <v>2.3004021584020151E-2</v>
      </c>
      <c r="F7696" s="731">
        <v>0</v>
      </c>
    </row>
    <row r="7697" spans="1:7" hidden="1" outlineLevel="1" x14ac:dyDescent="0.25">
      <c r="A7697" s="751" t="s">
        <v>4825</v>
      </c>
      <c r="B7697" s="729" t="s">
        <v>115</v>
      </c>
      <c r="C7697" s="719">
        <v>2917.72</v>
      </c>
      <c r="D7697" s="719">
        <v>2894.6</v>
      </c>
      <c r="E7697" s="720">
        <v>-7.9239954485008646E-3</v>
      </c>
      <c r="F7697" s="731">
        <v>-7.9239954485008646E-3</v>
      </c>
    </row>
    <row r="7698" spans="1:7" hidden="1" outlineLevel="1" x14ac:dyDescent="0.25">
      <c r="A7698" s="751" t="s">
        <v>4826</v>
      </c>
      <c r="B7698" s="729" t="s">
        <v>115</v>
      </c>
      <c r="C7698" s="719">
        <v>2894.6</v>
      </c>
      <c r="D7698" s="719">
        <v>2779.94</v>
      </c>
      <c r="E7698" s="720">
        <v>-3.9611690734471017E-2</v>
      </c>
      <c r="F7698" s="731">
        <v>-3.9611690734471017E-2</v>
      </c>
    </row>
    <row r="7699" spans="1:7" hidden="1" outlineLevel="1" x14ac:dyDescent="0.25">
      <c r="A7699" s="751" t="s">
        <v>4827</v>
      </c>
      <c r="B7699" s="729" t="s">
        <v>115</v>
      </c>
      <c r="C7699" s="719">
        <v>2779.94</v>
      </c>
      <c r="D7699" s="719">
        <v>2695.29</v>
      </c>
      <c r="E7699" s="720">
        <v>-3.0450297488435085E-2</v>
      </c>
      <c r="F7699" s="731">
        <v>-3.0450297488435085E-2</v>
      </c>
    </row>
    <row r="7700" spans="1:7" hidden="1" outlineLevel="1" x14ac:dyDescent="0.25">
      <c r="A7700" s="751" t="s">
        <v>4828</v>
      </c>
      <c r="B7700" s="729" t="s">
        <v>115</v>
      </c>
      <c r="C7700" s="719">
        <v>2695.29</v>
      </c>
      <c r="D7700" s="719">
        <v>2307.33</v>
      </c>
      <c r="E7700" s="720">
        <v>-0.14393998419465071</v>
      </c>
      <c r="F7700" s="731">
        <v>-0.14393998419465071</v>
      </c>
    </row>
    <row r="7701" spans="1:7" hidden="1" outlineLevel="1" x14ac:dyDescent="0.25">
      <c r="A7701" s="751" t="s">
        <v>4829</v>
      </c>
      <c r="B7701" s="729" t="s">
        <v>115</v>
      </c>
      <c r="C7701" s="719">
        <v>2307.33</v>
      </c>
      <c r="D7701" s="719">
        <v>2083.38</v>
      </c>
      <c r="E7701" s="720">
        <v>-9.706023845743772E-2</v>
      </c>
      <c r="F7701" s="731">
        <v>-9.706023845743772E-2</v>
      </c>
    </row>
    <row r="7702" spans="1:7" hidden="1" outlineLevel="1" x14ac:dyDescent="0.25">
      <c r="A7702" s="751" t="s">
        <v>4830</v>
      </c>
      <c r="B7702" s="729" t="s">
        <v>115</v>
      </c>
      <c r="C7702" s="719">
        <v>2083.38</v>
      </c>
      <c r="D7702" s="719">
        <v>2355.48</v>
      </c>
      <c r="E7702" s="720">
        <v>0.13060507444633229</v>
      </c>
      <c r="F7702" s="731">
        <v>0</v>
      </c>
    </row>
    <row r="7703" spans="1:7" hidden="1" outlineLevel="1" x14ac:dyDescent="0.25">
      <c r="A7703" s="751" t="s">
        <v>4831</v>
      </c>
      <c r="B7703" s="729" t="s">
        <v>115</v>
      </c>
      <c r="C7703" s="719">
        <v>2355.48</v>
      </c>
      <c r="D7703" s="719">
        <v>2288.759</v>
      </c>
      <c r="E7703" s="720">
        <v>-2.8325861395554153E-2</v>
      </c>
      <c r="F7703" s="731">
        <v>-2.8325861395554153E-2</v>
      </c>
    </row>
    <row r="7704" spans="1:7" hidden="1" outlineLevel="1" x14ac:dyDescent="0.25">
      <c r="A7704" s="751"/>
      <c r="B7704" s="729"/>
      <c r="C7704" s="719"/>
      <c r="D7704" s="719"/>
      <c r="E7704" s="729"/>
      <c r="F7704" s="731"/>
    </row>
    <row r="7705" spans="1:7" hidden="1" outlineLevel="1" x14ac:dyDescent="0.25">
      <c r="A7705" s="751"/>
      <c r="B7705" s="729"/>
      <c r="C7705" s="719"/>
      <c r="D7705" s="719"/>
      <c r="E7705" s="729"/>
      <c r="F7705" s="731"/>
    </row>
    <row r="7706" spans="1:7" hidden="1" outlineLevel="1" x14ac:dyDescent="0.25">
      <c r="A7706" s="751"/>
      <c r="B7706" s="729"/>
      <c r="C7706" s="719"/>
      <c r="D7706" s="719"/>
      <c r="E7706" s="729"/>
      <c r="F7706" s="731"/>
    </row>
    <row r="7707" spans="1:7" hidden="1" outlineLevel="1" x14ac:dyDescent="0.25">
      <c r="A7707" s="751"/>
      <c r="B7707" s="729"/>
      <c r="C7707" s="719"/>
      <c r="D7707" s="719"/>
      <c r="E7707" s="729"/>
      <c r="F7707" s="731"/>
    </row>
    <row r="7708" spans="1:7" hidden="1" outlineLevel="1" x14ac:dyDescent="0.25">
      <c r="A7708" s="751"/>
      <c r="B7708" s="729"/>
      <c r="C7708" s="719"/>
      <c r="D7708" s="719"/>
      <c r="E7708" s="729"/>
      <c r="F7708" s="731"/>
    </row>
    <row r="7709" spans="1:7" hidden="1" outlineLevel="1" x14ac:dyDescent="0.25">
      <c r="A7709" s="751"/>
      <c r="B7709" s="729"/>
      <c r="C7709" s="719"/>
      <c r="D7709" s="719"/>
      <c r="E7709" s="729"/>
      <c r="F7709" s="731"/>
    </row>
    <row r="7710" spans="1:7" collapsed="1" x14ac:dyDescent="0.25">
      <c r="A7710" s="3801" t="s">
        <v>2367</v>
      </c>
      <c r="B7710" s="3802"/>
      <c r="C7710" s="3802"/>
      <c r="D7710" s="3802"/>
      <c r="E7710" s="721"/>
      <c r="F7710" s="722">
        <v>0</v>
      </c>
      <c r="G7710" s="97" t="s">
        <v>781</v>
      </c>
    </row>
    <row r="7712" spans="1:7" hidden="1" outlineLevel="1" x14ac:dyDescent="0.25">
      <c r="A7712" s="689" t="s">
        <v>113</v>
      </c>
      <c r="B7712" s="689" t="s">
        <v>114</v>
      </c>
      <c r="C7712" s="689" t="s">
        <v>112</v>
      </c>
      <c r="D7712" s="689" t="s">
        <v>116</v>
      </c>
      <c r="E7712" s="689" t="s">
        <v>117</v>
      </c>
      <c r="F7712" s="1188" t="s">
        <v>121</v>
      </c>
      <c r="G7712" s="78"/>
    </row>
    <row r="7713" spans="1:12" hidden="1" outlineLevel="1" x14ac:dyDescent="0.25">
      <c r="A7713" s="690">
        <v>1</v>
      </c>
      <c r="B7713" s="691" t="s">
        <v>252</v>
      </c>
      <c r="C7713" s="692">
        <v>100</v>
      </c>
      <c r="D7713" s="692"/>
      <c r="E7713" s="693"/>
      <c r="F7713" s="694"/>
      <c r="G7713" s="78"/>
    </row>
    <row r="7714" spans="1:12" hidden="1" outlineLevel="1" x14ac:dyDescent="0.25">
      <c r="A7714" s="695"/>
      <c r="B7714" s="695"/>
      <c r="C7714" s="696"/>
      <c r="D7714" s="697" t="s">
        <v>3702</v>
      </c>
      <c r="E7714" s="698">
        <v>42034</v>
      </c>
      <c r="F7714" s="699"/>
      <c r="G7714" s="78"/>
    </row>
    <row r="7715" spans="1:12" hidden="1" outlineLevel="1" x14ac:dyDescent="0.25">
      <c r="A7715" s="689" t="s">
        <v>4156</v>
      </c>
      <c r="B7715" s="495" t="s">
        <v>4153</v>
      </c>
      <c r="C7715" s="700" t="s">
        <v>112</v>
      </c>
      <c r="D7715" s="495" t="s">
        <v>4155</v>
      </c>
      <c r="E7715" s="495" t="s">
        <v>4154</v>
      </c>
      <c r="F7715" s="1021" t="s">
        <v>2519</v>
      </c>
      <c r="G7715" s="78"/>
      <c r="J7715" t="s">
        <v>2040</v>
      </c>
    </row>
    <row r="7716" spans="1:12" hidden="1" outlineLevel="1" x14ac:dyDescent="0.25">
      <c r="A7716" s="701">
        <v>0.03</v>
      </c>
      <c r="B7716" s="702" t="s">
        <v>1995</v>
      </c>
      <c r="C7716" s="703">
        <v>45.533000000000001</v>
      </c>
      <c r="D7716" s="704">
        <v>44.76</v>
      </c>
      <c r="E7716" s="705">
        <v>-1.6976698218874264E-2</v>
      </c>
      <c r="F7716" s="1021">
        <v>-5.0930094656622793E-4</v>
      </c>
      <c r="G7716" s="78"/>
      <c r="H7716" t="s">
        <v>2739</v>
      </c>
      <c r="J7716" s="256">
        <v>41456</v>
      </c>
      <c r="K7716" s="424">
        <v>137.06610000000001</v>
      </c>
      <c r="L7716" s="37">
        <v>0.37066100000000013</v>
      </c>
    </row>
    <row r="7717" spans="1:12" hidden="1" outlineLevel="1" x14ac:dyDescent="0.25">
      <c r="A7717" s="701">
        <v>0.03</v>
      </c>
      <c r="B7717" s="706" t="s">
        <v>3020</v>
      </c>
      <c r="C7717" s="707">
        <v>36.917000000000002</v>
      </c>
      <c r="D7717" s="708">
        <v>127.812</v>
      </c>
      <c r="E7717" s="709">
        <v>2.4621448113335318</v>
      </c>
      <c r="F7717" s="946">
        <v>7.3864344340005952E-2</v>
      </c>
      <c r="G7717" s="78"/>
      <c r="H7717" t="s">
        <v>490</v>
      </c>
      <c r="J7717" s="256">
        <v>41487</v>
      </c>
      <c r="K7717" s="424">
        <v>135.05189999999999</v>
      </c>
      <c r="L7717" s="37">
        <v>0.3505189999999998</v>
      </c>
    </row>
    <row r="7718" spans="1:12" hidden="1" outlineLevel="1" x14ac:dyDescent="0.25">
      <c r="A7718" s="701">
        <v>3.5000000000000003E-2</v>
      </c>
      <c r="B7718" s="710" t="s">
        <v>1440</v>
      </c>
      <c r="C7718" s="707">
        <v>73.052000000000007</v>
      </c>
      <c r="D7718" s="708">
        <v>67.52</v>
      </c>
      <c r="E7718" s="709">
        <v>-7.5726879483108078E-2</v>
      </c>
      <c r="F7718" s="946">
        <v>-2.6504407819087829E-3</v>
      </c>
      <c r="G7718" s="78"/>
      <c r="H7718" t="s">
        <v>2569</v>
      </c>
      <c r="J7718" s="256">
        <v>41518</v>
      </c>
      <c r="K7718">
        <v>139.7671</v>
      </c>
      <c r="L7718" s="37">
        <v>0.39767099999999989</v>
      </c>
    </row>
    <row r="7719" spans="1:12" hidden="1" outlineLevel="1" x14ac:dyDescent="0.25">
      <c r="A7719" s="701">
        <v>0.03</v>
      </c>
      <c r="B7719" s="706" t="s">
        <v>3406</v>
      </c>
      <c r="C7719" s="707">
        <v>881.25</v>
      </c>
      <c r="D7719" s="708">
        <v>1970</v>
      </c>
      <c r="E7719" s="709">
        <v>1.2354609929078015</v>
      </c>
      <c r="F7719" s="946">
        <v>3.7063829787234041E-2</v>
      </c>
      <c r="G7719" s="78"/>
      <c r="H7719" t="s">
        <v>2105</v>
      </c>
      <c r="J7719" s="256">
        <v>41548</v>
      </c>
      <c r="K7719">
        <v>145.26580000000001</v>
      </c>
      <c r="L7719" s="37">
        <v>0.45265800000000023</v>
      </c>
    </row>
    <row r="7720" spans="1:12" hidden="1" outlineLevel="1" x14ac:dyDescent="0.25">
      <c r="A7720" s="701">
        <v>3.5000000000000003E-2</v>
      </c>
      <c r="B7720" s="706" t="s">
        <v>3240</v>
      </c>
      <c r="C7720" s="707">
        <v>5772</v>
      </c>
      <c r="D7720" s="708">
        <v>9130</v>
      </c>
      <c r="E7720" s="709">
        <v>0.58177408177408174</v>
      </c>
      <c r="F7720" s="946">
        <v>2.0362092862092864E-2</v>
      </c>
      <c r="G7720" s="78"/>
      <c r="H7720" t="s">
        <v>633</v>
      </c>
      <c r="J7720" s="256">
        <v>41579</v>
      </c>
      <c r="K7720">
        <v>146.70060000000001</v>
      </c>
      <c r="L7720" s="37">
        <v>0.46700600000000003</v>
      </c>
    </row>
    <row r="7721" spans="1:12" hidden="1" outlineLevel="1" x14ac:dyDescent="0.25">
      <c r="A7721" s="701">
        <v>3.2500000000000001E-2</v>
      </c>
      <c r="B7721" s="706" t="s">
        <v>3798</v>
      </c>
      <c r="C7721" s="707">
        <v>3.3435000000000001</v>
      </c>
      <c r="D7721" s="708">
        <v>4.0060000000000002</v>
      </c>
      <c r="E7721" s="709">
        <v>0.19814565574996257</v>
      </c>
      <c r="F7721" s="946">
        <v>6.4397338118737839E-3</v>
      </c>
      <c r="G7721" s="78"/>
      <c r="H7721" t="s">
        <v>4122</v>
      </c>
      <c r="J7721" s="256">
        <v>41609</v>
      </c>
      <c r="K7721">
        <v>147.57560000000001</v>
      </c>
      <c r="L7721" s="37">
        <v>0.47575600000000007</v>
      </c>
    </row>
    <row r="7722" spans="1:12" hidden="1" outlineLevel="1" x14ac:dyDescent="0.25">
      <c r="A7722" s="701">
        <v>0.03</v>
      </c>
      <c r="B7722" s="706" t="s">
        <v>3021</v>
      </c>
      <c r="C7722" s="707">
        <v>16.372</v>
      </c>
      <c r="D7722" s="708">
        <v>14.9</v>
      </c>
      <c r="E7722" s="709">
        <v>-8.9909601759100899E-2</v>
      </c>
      <c r="F7722" s="946">
        <v>-2.6972880527730268E-3</v>
      </c>
      <c r="G7722" s="78"/>
      <c r="H7722" t="s">
        <v>4124</v>
      </c>
      <c r="J7722" s="256">
        <v>41640</v>
      </c>
      <c r="K7722" s="424">
        <v>144.68940000000001</v>
      </c>
      <c r="L7722" s="37">
        <v>0.44689400000000012</v>
      </c>
    </row>
    <row r="7723" spans="1:12" hidden="1" outlineLevel="1" x14ac:dyDescent="0.25">
      <c r="A7723" s="701">
        <v>0.04</v>
      </c>
      <c r="B7723" s="706" t="s">
        <v>5824</v>
      </c>
      <c r="C7723" s="707">
        <v>15.965</v>
      </c>
      <c r="D7723" s="708">
        <v>15.62</v>
      </c>
      <c r="E7723" s="709">
        <v>-2.1609771374882625E-2</v>
      </c>
      <c r="F7723" s="946">
        <v>-8.6439085499530506E-4</v>
      </c>
      <c r="G7723" s="78"/>
      <c r="H7723" t="s">
        <v>5817</v>
      </c>
      <c r="J7723" s="256">
        <v>41671</v>
      </c>
      <c r="K7723" s="424">
        <v>149.4649</v>
      </c>
      <c r="L7723" s="37">
        <v>0.49464899999999989</v>
      </c>
    </row>
    <row r="7724" spans="1:12" hidden="1" outlineLevel="1" x14ac:dyDescent="0.25">
      <c r="A7724" s="701">
        <v>3.2500000000000001E-2</v>
      </c>
      <c r="B7724" s="706" t="s">
        <v>4496</v>
      </c>
      <c r="C7724" s="707">
        <v>36.426000000000002</v>
      </c>
      <c r="D7724" s="708">
        <v>72.489999999999995</v>
      </c>
      <c r="E7724" s="709">
        <v>0.99006204359523386</v>
      </c>
      <c r="F7724" s="946">
        <v>3.2177016416845103E-2</v>
      </c>
      <c r="G7724" s="78"/>
      <c r="H7724" t="s">
        <v>2385</v>
      </c>
      <c r="J7724" s="256">
        <v>41699</v>
      </c>
      <c r="K7724" s="424">
        <v>150.3468</v>
      </c>
      <c r="L7724" s="37">
        <v>0.50346800000000003</v>
      </c>
    </row>
    <row r="7725" spans="1:12" hidden="1" outlineLevel="1" x14ac:dyDescent="0.25">
      <c r="A7725" s="701">
        <v>0.03</v>
      </c>
      <c r="B7725" s="711" t="s">
        <v>3643</v>
      </c>
      <c r="C7725" s="707">
        <v>194.65</v>
      </c>
      <c r="D7725" s="708">
        <v>341</v>
      </c>
      <c r="E7725" s="709">
        <v>0.75186231697919337</v>
      </c>
      <c r="F7725" s="946">
        <v>2.2555869509375801E-2</v>
      </c>
      <c r="G7725" s="78"/>
      <c r="H7725" t="s">
        <v>1729</v>
      </c>
      <c r="J7725" s="256">
        <v>41730</v>
      </c>
      <c r="K7725" s="424">
        <v>150.46619999999999</v>
      </c>
      <c r="L7725" s="37">
        <v>0.50466199999999994</v>
      </c>
    </row>
    <row r="7726" spans="1:12" hidden="1" outlineLevel="1" x14ac:dyDescent="0.25">
      <c r="A7726" s="701">
        <v>0.03</v>
      </c>
      <c r="B7726" s="706" t="s">
        <v>52</v>
      </c>
      <c r="C7726" s="707">
        <v>106.03700000000001</v>
      </c>
      <c r="D7726" s="708">
        <v>153.31</v>
      </c>
      <c r="E7726" s="709">
        <v>0.44581608306534504</v>
      </c>
      <c r="F7726" s="946">
        <v>1.3374482491960351E-2</v>
      </c>
      <c r="G7726" s="78"/>
      <c r="H7726" t="s">
        <v>4130</v>
      </c>
      <c r="J7726" s="256">
        <v>41760</v>
      </c>
      <c r="K7726" s="424">
        <v>154.9316</v>
      </c>
      <c r="L7726" s="37">
        <v>0.54931600000000014</v>
      </c>
    </row>
    <row r="7727" spans="1:12" hidden="1" outlineLevel="1" x14ac:dyDescent="0.25">
      <c r="A7727" s="701">
        <v>4.4999999999999998E-2</v>
      </c>
      <c r="B7727" s="706" t="s">
        <v>4143</v>
      </c>
      <c r="C7727" s="707">
        <v>9.8269000000000002</v>
      </c>
      <c r="D7727" s="708">
        <v>2.7469999999999999</v>
      </c>
      <c r="E7727" s="709">
        <v>-0.72046118307909923</v>
      </c>
      <c r="F7727" s="946">
        <v>-3.2420753238559467E-2</v>
      </c>
      <c r="G7727" s="78"/>
      <c r="H7727" t="s">
        <v>4144</v>
      </c>
      <c r="J7727" s="256">
        <v>41791</v>
      </c>
      <c r="K7727" s="424">
        <v>154.52510000000001</v>
      </c>
      <c r="L7727" s="37">
        <v>0.54525100000000015</v>
      </c>
    </row>
    <row r="7728" spans="1:12" hidden="1" outlineLevel="1" x14ac:dyDescent="0.25">
      <c r="A7728" s="701">
        <v>0.03</v>
      </c>
      <c r="B7728" s="706" t="s">
        <v>2160</v>
      </c>
      <c r="C7728" s="707">
        <v>26.75</v>
      </c>
      <c r="D7728" s="708">
        <v>65.34</v>
      </c>
      <c r="E7728" s="709">
        <v>1.4426168224299065</v>
      </c>
      <c r="F7728" s="946">
        <v>4.3278504672897192E-2</v>
      </c>
      <c r="G7728" s="78"/>
      <c r="H7728" t="s">
        <v>5507</v>
      </c>
      <c r="J7728" s="256">
        <v>41821</v>
      </c>
      <c r="K7728" s="424">
        <v>152.63579999999999</v>
      </c>
      <c r="L7728" s="37">
        <v>0.52635799999999988</v>
      </c>
    </row>
    <row r="7729" spans="1:12" hidden="1" outlineLevel="1" x14ac:dyDescent="0.25">
      <c r="A7729" s="701">
        <v>3.2500000000000001E-2</v>
      </c>
      <c r="B7729" s="706" t="s">
        <v>816</v>
      </c>
      <c r="C7729" s="707">
        <v>57.280999999999999</v>
      </c>
      <c r="D7729" s="708">
        <v>92.44</v>
      </c>
      <c r="E7729" s="709">
        <v>0.61379864178348842</v>
      </c>
      <c r="F7729" s="946">
        <v>1.9948455857963374E-2</v>
      </c>
      <c r="G7729" s="78"/>
      <c r="H7729" t="s">
        <v>817</v>
      </c>
      <c r="J7729" s="256">
        <v>41852</v>
      </c>
      <c r="K7729" s="424">
        <v>154.70169999999999</v>
      </c>
      <c r="L7729" s="37">
        <v>0.54701699999999986</v>
      </c>
    </row>
    <row r="7730" spans="1:12" hidden="1" outlineLevel="1" x14ac:dyDescent="0.25">
      <c r="A7730" s="701">
        <v>2.75E-2</v>
      </c>
      <c r="B7730" s="706" t="s">
        <v>1001</v>
      </c>
      <c r="C7730" s="707">
        <v>23.366</v>
      </c>
      <c r="D7730" s="708">
        <v>40.4</v>
      </c>
      <c r="E7730" s="709">
        <v>0.72900796028417347</v>
      </c>
      <c r="F7730" s="946">
        <v>2.004771890781477E-2</v>
      </c>
      <c r="G7730" s="78"/>
      <c r="H7730" t="s">
        <v>4150</v>
      </c>
      <c r="J7730" s="256">
        <v>41883</v>
      </c>
      <c r="K7730" s="424">
        <v>157.0453</v>
      </c>
      <c r="L7730" s="37">
        <v>0.57045299999999988</v>
      </c>
    </row>
    <row r="7731" spans="1:12" hidden="1" outlineLevel="1" x14ac:dyDescent="0.25">
      <c r="A7731" s="701">
        <v>0.03</v>
      </c>
      <c r="B7731" s="706" t="s">
        <v>247</v>
      </c>
      <c r="C7731" s="707">
        <v>1649.6</v>
      </c>
      <c r="D7731" s="708">
        <v>2068</v>
      </c>
      <c r="E7731" s="709">
        <v>0.25363724539282262</v>
      </c>
      <c r="F7731" s="946">
        <v>7.609117361784678E-3</v>
      </c>
      <c r="G7731" s="78"/>
      <c r="H7731" t="s">
        <v>3640</v>
      </c>
      <c r="J7731" s="256">
        <v>41913</v>
      </c>
      <c r="K7731" s="424">
        <v>157.3476</v>
      </c>
      <c r="L7731" s="37">
        <v>0.5734760000000001</v>
      </c>
    </row>
    <row r="7732" spans="1:12" hidden="1" outlineLevel="1" x14ac:dyDescent="0.25">
      <c r="A7732" s="701">
        <v>3.5000000000000003E-2</v>
      </c>
      <c r="B7732" s="706" t="s">
        <v>2786</v>
      </c>
      <c r="C7732" s="707">
        <v>548.4</v>
      </c>
      <c r="D7732" s="708">
        <v>935.5</v>
      </c>
      <c r="E7732" s="709">
        <v>0.7058716265499636</v>
      </c>
      <c r="F7732" s="946">
        <v>2.4705506929248729E-2</v>
      </c>
      <c r="G7732" s="78"/>
      <c r="H7732" t="s">
        <v>4195</v>
      </c>
      <c r="J7732" s="256">
        <v>41944</v>
      </c>
      <c r="K7732" s="424">
        <v>162.35769999999999</v>
      </c>
      <c r="L7732" s="37">
        <v>0.62357700000000005</v>
      </c>
    </row>
    <row r="7733" spans="1:12" hidden="1" outlineLevel="1" x14ac:dyDescent="0.25">
      <c r="A7733" s="701">
        <v>3.7499999999999999E-2</v>
      </c>
      <c r="B7733" s="712" t="s">
        <v>3797</v>
      </c>
      <c r="C7733" s="707">
        <v>41.9</v>
      </c>
      <c r="D7733" s="708">
        <v>70.45</v>
      </c>
      <c r="E7733" s="709">
        <v>0.68138424821002408</v>
      </c>
      <c r="F7733" s="946">
        <v>2.5551909307875903E-2</v>
      </c>
      <c r="G7733" s="78"/>
      <c r="H7733" t="s">
        <v>3848</v>
      </c>
      <c r="J7733" s="256">
        <v>41974</v>
      </c>
      <c r="K7733" s="424">
        <v>157.8647</v>
      </c>
      <c r="L7733" s="37">
        <v>0.57864699999999991</v>
      </c>
    </row>
    <row r="7734" spans="1:12" hidden="1" outlineLevel="1" x14ac:dyDescent="0.25">
      <c r="A7734" s="701">
        <v>4.4999999999999998E-2</v>
      </c>
      <c r="B7734" s="706" t="s">
        <v>2787</v>
      </c>
      <c r="C7734" s="707">
        <v>43.973999999999997</v>
      </c>
      <c r="D7734" s="708">
        <v>90.15</v>
      </c>
      <c r="E7734" s="709">
        <v>1.0500750443443856</v>
      </c>
      <c r="F7734" s="946">
        <v>4.7253376995497351E-2</v>
      </c>
      <c r="G7734" s="78"/>
      <c r="H7734" t="s">
        <v>80</v>
      </c>
      <c r="J7734" s="412" t="s">
        <v>2465</v>
      </c>
      <c r="L7734" s="261">
        <v>0.4987799444444444</v>
      </c>
    </row>
    <row r="7735" spans="1:12" hidden="1" outlineLevel="1" x14ac:dyDescent="0.25">
      <c r="A7735" s="701">
        <v>4.4999999999999998E-2</v>
      </c>
      <c r="B7735" s="706" t="s">
        <v>4273</v>
      </c>
      <c r="C7735" s="707">
        <v>1391.5</v>
      </c>
      <c r="D7735" s="708">
        <v>2005</v>
      </c>
      <c r="E7735" s="709">
        <v>0.44089112468559111</v>
      </c>
      <c r="F7735" s="946">
        <v>1.9840100610851598E-2</v>
      </c>
      <c r="G7735" s="78"/>
      <c r="H7735" t="s">
        <v>82</v>
      </c>
      <c r="J7735" s="412" t="s">
        <v>5652</v>
      </c>
      <c r="L7735" s="261">
        <v>0.34969498611111111</v>
      </c>
    </row>
    <row r="7736" spans="1:12" hidden="1" outlineLevel="1" x14ac:dyDescent="0.25">
      <c r="A7736" s="701">
        <v>2.75E-2</v>
      </c>
      <c r="B7736" s="706" t="s">
        <v>1414</v>
      </c>
      <c r="C7736" s="707">
        <v>14.766</v>
      </c>
      <c r="D7736" s="708">
        <v>31.25</v>
      </c>
      <c r="E7736" s="709">
        <v>1.1163483678721389</v>
      </c>
      <c r="F7736" s="946">
        <v>3.069958011648382E-2</v>
      </c>
      <c r="G7736" s="78"/>
      <c r="H7736" t="s">
        <v>2428</v>
      </c>
    </row>
    <row r="7737" spans="1:12" hidden="1" outlineLevel="1" x14ac:dyDescent="0.25">
      <c r="A7737" s="701">
        <v>2.5000000000000001E-2</v>
      </c>
      <c r="B7737" s="706" t="s">
        <v>1653</v>
      </c>
      <c r="C7737" s="707">
        <v>7.9371999999999998</v>
      </c>
      <c r="D7737" s="708">
        <v>21.74</v>
      </c>
      <c r="E7737" s="709">
        <v>1.7390011590989265</v>
      </c>
      <c r="F7737" s="946">
        <v>4.3475028977473164E-2</v>
      </c>
      <c r="G7737" s="78"/>
      <c r="H7737" t="s">
        <v>285</v>
      </c>
    </row>
    <row r="7738" spans="1:12" hidden="1" outlineLevel="1" x14ac:dyDescent="0.25">
      <c r="A7738" s="701">
        <v>0.03</v>
      </c>
      <c r="B7738" s="706" t="s">
        <v>3800</v>
      </c>
      <c r="C7738" s="707">
        <v>148.75</v>
      </c>
      <c r="D7738" s="708">
        <v>248.6</v>
      </c>
      <c r="E7738" s="709">
        <v>0.6712605042016806</v>
      </c>
      <c r="F7738" s="946">
        <v>2.0137815126050417E-2</v>
      </c>
      <c r="G7738" s="78"/>
      <c r="H7738" t="s">
        <v>2817</v>
      </c>
    </row>
    <row r="7739" spans="1:12" hidden="1" outlineLevel="1" x14ac:dyDescent="0.25">
      <c r="A7739" s="701">
        <v>3.7499999999999999E-2</v>
      </c>
      <c r="B7739" s="706" t="s">
        <v>3381</v>
      </c>
      <c r="C7739" s="707">
        <v>123.218</v>
      </c>
      <c r="D7739" s="708">
        <v>128.4</v>
      </c>
      <c r="E7739" s="709">
        <v>4.205554383288157E-2</v>
      </c>
      <c r="F7739" s="946">
        <v>1.5770828937330587E-3</v>
      </c>
      <c r="G7739" s="78"/>
      <c r="H7739" t="s">
        <v>1728</v>
      </c>
    </row>
    <row r="7740" spans="1:12" hidden="1" outlineLevel="1" x14ac:dyDescent="0.25">
      <c r="A7740" s="701">
        <v>4.2500000000000003E-2</v>
      </c>
      <c r="B7740" s="706" t="s">
        <v>1239</v>
      </c>
      <c r="C7740" s="707">
        <v>335.125</v>
      </c>
      <c r="D7740" s="708">
        <v>539.5</v>
      </c>
      <c r="E7740" s="709">
        <v>0.6098470719880642</v>
      </c>
      <c r="F7740" s="946">
        <v>2.591850055949273E-2</v>
      </c>
      <c r="G7740" s="78"/>
      <c r="H7740" t="s">
        <v>268</v>
      </c>
    </row>
    <row r="7741" spans="1:12" hidden="1" outlineLevel="1" x14ac:dyDescent="0.25">
      <c r="A7741" s="701">
        <v>3.2500000000000001E-2</v>
      </c>
      <c r="B7741" s="706" t="s">
        <v>3022</v>
      </c>
      <c r="C7741" s="707">
        <v>3668</v>
      </c>
      <c r="D7741" s="708">
        <v>5903</v>
      </c>
      <c r="E7741" s="709">
        <v>0.60932388222464562</v>
      </c>
      <c r="F7741" s="946">
        <v>1.9803026172300984E-2</v>
      </c>
      <c r="G7741" s="78"/>
      <c r="H7741" t="s">
        <v>2802</v>
      </c>
    </row>
    <row r="7742" spans="1:12" hidden="1" outlineLevel="1" x14ac:dyDescent="0.25">
      <c r="A7742" s="701">
        <v>0.03</v>
      </c>
      <c r="B7742" s="706" t="s">
        <v>577</v>
      </c>
      <c r="C7742" s="707">
        <v>16.0185</v>
      </c>
      <c r="D7742" s="708">
        <v>13.305</v>
      </c>
      <c r="E7742" s="709">
        <v>-0.16939788369697539</v>
      </c>
      <c r="F7742" s="946">
        <v>-5.0819365109092615E-3</v>
      </c>
      <c r="G7742" s="78"/>
      <c r="H7742" t="s">
        <v>2804</v>
      </c>
    </row>
    <row r="7743" spans="1:12" hidden="1" outlineLevel="1" x14ac:dyDescent="0.25">
      <c r="A7743" s="701">
        <v>0.03</v>
      </c>
      <c r="B7743" s="706" t="s">
        <v>583</v>
      </c>
      <c r="C7743" s="707">
        <v>360.25</v>
      </c>
      <c r="D7743" s="708">
        <v>224.75</v>
      </c>
      <c r="E7743" s="709">
        <v>-0.37612768910478833</v>
      </c>
      <c r="F7743" s="946">
        <v>-1.128383067314365E-2</v>
      </c>
      <c r="G7743" s="78"/>
      <c r="H7743" t="s">
        <v>1594</v>
      </c>
    </row>
    <row r="7744" spans="1:12" hidden="1" outlineLevel="1" x14ac:dyDescent="0.25">
      <c r="A7744" s="701">
        <v>3.2500000000000001E-2</v>
      </c>
      <c r="B7744" s="706" t="s">
        <v>255</v>
      </c>
      <c r="C7744" s="707">
        <v>29.175000000000001</v>
      </c>
      <c r="D7744" s="708">
        <v>45.71</v>
      </c>
      <c r="E7744" s="709">
        <v>0.56675235646958022</v>
      </c>
      <c r="F7744" s="946">
        <v>1.8419451585261357E-2</v>
      </c>
      <c r="G7744" s="78"/>
      <c r="H7744" t="s">
        <v>3351</v>
      </c>
    </row>
    <row r="7745" spans="1:8" hidden="1" outlineLevel="1" x14ac:dyDescent="0.25">
      <c r="A7745" s="701">
        <v>0.03</v>
      </c>
      <c r="B7745" s="713" t="s">
        <v>3169</v>
      </c>
      <c r="C7745" s="714">
        <v>17.138500000000001</v>
      </c>
      <c r="D7745" s="715">
        <v>21.035</v>
      </c>
      <c r="E7745" s="716">
        <v>0.22735361904484064</v>
      </c>
      <c r="F7745" s="1023">
        <v>6.8206085713452191E-3</v>
      </c>
      <c r="G7745" s="78"/>
      <c r="H7745" t="s">
        <v>657</v>
      </c>
    </row>
    <row r="7746" spans="1:8" hidden="1" outlineLevel="1" x14ac:dyDescent="0.25">
      <c r="A7746" s="717"/>
      <c r="B7746" s="718"/>
      <c r="C7746" s="719"/>
      <c r="D7746" s="719"/>
      <c r="E7746" s="720"/>
      <c r="F7746" s="731">
        <v>0.52541521280660664</v>
      </c>
      <c r="G7746" s="78"/>
    </row>
    <row r="7747" spans="1:8" collapsed="1" x14ac:dyDescent="0.25">
      <c r="A7747" s="3801" t="s">
        <v>1043</v>
      </c>
      <c r="B7747" s="3802"/>
      <c r="C7747" s="3802"/>
      <c r="D7747" s="3802"/>
      <c r="E7747" s="720"/>
      <c r="F7747" s="722">
        <v>0.34969498611111111</v>
      </c>
      <c r="G7747" s="97" t="s">
        <v>781</v>
      </c>
    </row>
    <row r="7749" spans="1:8" ht="12.75" hidden="1" customHeight="1" outlineLevel="1" x14ac:dyDescent="0.25">
      <c r="A7749" s="689" t="s">
        <v>113</v>
      </c>
      <c r="B7749" s="689" t="s">
        <v>114</v>
      </c>
      <c r="C7749" s="689" t="s">
        <v>112</v>
      </c>
      <c r="D7749" s="689" t="s">
        <v>116</v>
      </c>
      <c r="E7749" s="689" t="s">
        <v>117</v>
      </c>
      <c r="F7749" s="1188" t="s">
        <v>121</v>
      </c>
      <c r="G7749" s="78"/>
    </row>
    <row r="7750" spans="1:8" ht="12.75" hidden="1" customHeight="1" outlineLevel="1" x14ac:dyDescent="0.25">
      <c r="A7750" s="690">
        <v>1</v>
      </c>
      <c r="B7750" s="691" t="s">
        <v>252</v>
      </c>
      <c r="C7750" s="692">
        <v>100</v>
      </c>
      <c r="D7750" s="692"/>
      <c r="E7750" s="693"/>
      <c r="F7750" s="694"/>
      <c r="G7750" s="78"/>
    </row>
    <row r="7751" spans="1:8" ht="12.75" hidden="1" customHeight="1" outlineLevel="1" x14ac:dyDescent="0.25">
      <c r="A7751" s="695"/>
      <c r="B7751" s="695"/>
      <c r="C7751" s="696"/>
      <c r="D7751" s="697" t="s">
        <v>3702</v>
      </c>
      <c r="E7751" s="698">
        <v>41516</v>
      </c>
      <c r="F7751" s="699"/>
      <c r="G7751" s="78"/>
    </row>
    <row r="7752" spans="1:8" ht="12.75" hidden="1" customHeight="1" outlineLevel="1" x14ac:dyDescent="0.25">
      <c r="A7752" s="689" t="s">
        <v>4156</v>
      </c>
      <c r="B7752" s="689" t="s">
        <v>4153</v>
      </c>
      <c r="C7752" s="497" t="s">
        <v>112</v>
      </c>
      <c r="D7752" s="495" t="s">
        <v>4155</v>
      </c>
      <c r="E7752" s="689" t="s">
        <v>4154</v>
      </c>
      <c r="F7752" s="1021" t="s">
        <v>2519</v>
      </c>
      <c r="G7752" s="78"/>
    </row>
    <row r="7753" spans="1:8" ht="12.75" hidden="1" customHeight="1" outlineLevel="1" x14ac:dyDescent="0.25">
      <c r="A7753" s="999">
        <v>0.03</v>
      </c>
      <c r="B7753" s="1000" t="s">
        <v>2703</v>
      </c>
      <c r="C7753" s="1001">
        <v>71.3994</v>
      </c>
      <c r="D7753" s="803">
        <v>113.58</v>
      </c>
      <c r="E7753" s="705">
        <v>0.59076967033336403</v>
      </c>
      <c r="F7753" s="1021">
        <v>1.7723090110000918E-2</v>
      </c>
      <c r="G7753" s="78"/>
      <c r="H7753" t="s">
        <v>2780</v>
      </c>
    </row>
    <row r="7754" spans="1:8" ht="12.75" hidden="1" customHeight="1" outlineLevel="1" x14ac:dyDescent="0.25">
      <c r="A7754" s="1002">
        <v>0.03</v>
      </c>
      <c r="B7754" s="987" t="s">
        <v>3020</v>
      </c>
      <c r="C7754" s="1003">
        <v>43.206000000000003</v>
      </c>
      <c r="D7754" s="908">
        <v>84.02</v>
      </c>
      <c r="E7754" s="709">
        <v>0.94463731889089453</v>
      </c>
      <c r="F7754" s="946">
        <v>2.8339119566726835E-2</v>
      </c>
      <c r="G7754" s="78"/>
      <c r="H7754" t="s">
        <v>490</v>
      </c>
    </row>
    <row r="7755" spans="1:8" ht="12.75" hidden="1" customHeight="1" outlineLevel="1" x14ac:dyDescent="0.25">
      <c r="A7755" s="1002">
        <v>3.5000000000000003E-2</v>
      </c>
      <c r="B7755" s="996" t="s">
        <v>4377</v>
      </c>
      <c r="C7755" s="1003">
        <v>22.154</v>
      </c>
      <c r="D7755" s="908">
        <v>41.69</v>
      </c>
      <c r="E7755" s="709">
        <v>0.8818272095332671</v>
      </c>
      <c r="F7755" s="946">
        <v>3.086395233366435E-2</v>
      </c>
      <c r="G7755" s="78"/>
      <c r="H7755" t="s">
        <v>4327</v>
      </c>
    </row>
    <row r="7756" spans="1:8" ht="12.75" hidden="1" customHeight="1" outlineLevel="1" x14ac:dyDescent="0.25">
      <c r="A7756" s="1002">
        <v>2.5000000000000001E-2</v>
      </c>
      <c r="B7756" s="996" t="s">
        <v>1440</v>
      </c>
      <c r="C7756" s="1003">
        <v>72.201999999999998</v>
      </c>
      <c r="D7756" s="908">
        <v>57.77</v>
      </c>
      <c r="E7756" s="709">
        <v>-0.19988365973241728</v>
      </c>
      <c r="F7756" s="946">
        <v>-4.9970914933104328E-3</v>
      </c>
      <c r="G7756" s="78"/>
      <c r="H7756" t="s">
        <v>2569</v>
      </c>
    </row>
    <row r="7757" spans="1:8" ht="12.75" hidden="1" customHeight="1" outlineLevel="1" x14ac:dyDescent="0.25">
      <c r="A7757" s="1002">
        <v>0.03</v>
      </c>
      <c r="B7757" s="996" t="s">
        <v>3406</v>
      </c>
      <c r="C7757" s="1003">
        <v>923.09</v>
      </c>
      <c r="D7757" s="908">
        <v>1974</v>
      </c>
      <c r="E7757" s="709">
        <v>1.1384697050125121</v>
      </c>
      <c r="F7757" s="946">
        <v>3.4154091150375362E-2</v>
      </c>
      <c r="G7757" s="78"/>
      <c r="H7757" t="s">
        <v>2105</v>
      </c>
    </row>
    <row r="7758" spans="1:8" ht="12.75" hidden="1" customHeight="1" outlineLevel="1" x14ac:dyDescent="0.25">
      <c r="A7758" s="1002">
        <v>0.03</v>
      </c>
      <c r="B7758" s="996" t="s">
        <v>4064</v>
      </c>
      <c r="C7758" s="1003">
        <v>33.139000000000003</v>
      </c>
      <c r="D7758" s="908">
        <v>51.4</v>
      </c>
      <c r="E7758" s="709">
        <v>0.55104257823108704</v>
      </c>
      <c r="F7758" s="946">
        <v>1.6531277346932612E-2</v>
      </c>
      <c r="G7758" s="78"/>
      <c r="H7758" t="s">
        <v>170</v>
      </c>
    </row>
    <row r="7759" spans="1:8" ht="12.75" hidden="1" customHeight="1" outlineLevel="1" x14ac:dyDescent="0.25">
      <c r="A7759" s="1002">
        <v>3.5000000000000003E-2</v>
      </c>
      <c r="B7759" s="996" t="s">
        <v>3798</v>
      </c>
      <c r="C7759" s="1003">
        <v>4.0392999999999999</v>
      </c>
      <c r="D7759" s="908">
        <v>2.5019999999999998</v>
      </c>
      <c r="E7759" s="709">
        <v>-0.38058574505483622</v>
      </c>
      <c r="F7759" s="946">
        <v>-1.332050107691927E-2</v>
      </c>
      <c r="G7759" s="78"/>
      <c r="H7759" t="s">
        <v>4122</v>
      </c>
    </row>
    <row r="7760" spans="1:8" ht="12.75" hidden="1" customHeight="1" outlineLevel="1" x14ac:dyDescent="0.25">
      <c r="A7760" s="1002">
        <v>0.03</v>
      </c>
      <c r="B7760" s="743" t="s">
        <v>4496</v>
      </c>
      <c r="C7760" s="1003">
        <v>38.249000000000002</v>
      </c>
      <c r="D7760" s="908">
        <v>72.489999999999995</v>
      </c>
      <c r="E7760" s="709">
        <v>0.89521294674370555</v>
      </c>
      <c r="F7760" s="946">
        <v>2.6856388402311165E-2</v>
      </c>
      <c r="G7760" s="78"/>
      <c r="H7760" t="s">
        <v>2385</v>
      </c>
    </row>
    <row r="7761" spans="1:8" ht="12.75" hidden="1" customHeight="1" outlineLevel="1" x14ac:dyDescent="0.25">
      <c r="A7761" s="1002">
        <v>0.04</v>
      </c>
      <c r="B7761" s="711" t="s">
        <v>3643</v>
      </c>
      <c r="C7761" s="1003">
        <v>205.35</v>
      </c>
      <c r="D7761" s="908">
        <v>243.5</v>
      </c>
      <c r="E7761" s="709">
        <v>0.18578037496956412</v>
      </c>
      <c r="F7761" s="946">
        <v>7.4312149987825647E-3</v>
      </c>
      <c r="G7761" s="78"/>
      <c r="H7761" t="s">
        <v>1729</v>
      </c>
    </row>
    <row r="7762" spans="1:8" ht="12.75" hidden="1" customHeight="1" outlineLevel="1" x14ac:dyDescent="0.25">
      <c r="A7762" s="1002">
        <v>2.5000000000000001E-2</v>
      </c>
      <c r="B7762" s="996" t="s">
        <v>52</v>
      </c>
      <c r="C7762" s="1003">
        <v>118.75</v>
      </c>
      <c r="D7762" s="908">
        <v>182.27</v>
      </c>
      <c r="E7762" s="709">
        <v>0.53490526315789477</v>
      </c>
      <c r="F7762" s="946">
        <v>1.337263157894737E-2</v>
      </c>
      <c r="G7762" s="78"/>
      <c r="H7762" t="s">
        <v>4130</v>
      </c>
    </row>
    <row r="7763" spans="1:8" ht="12.75" hidden="1" customHeight="1" outlineLevel="1" x14ac:dyDescent="0.25">
      <c r="A7763" s="1002">
        <v>2.5000000000000001E-2</v>
      </c>
      <c r="B7763" s="996" t="s">
        <v>2920</v>
      </c>
      <c r="C7763" s="1003">
        <v>18.815000000000001</v>
      </c>
      <c r="D7763" s="908">
        <v>21.98</v>
      </c>
      <c r="E7763" s="709">
        <v>0.16821684825936756</v>
      </c>
      <c r="F7763" s="946">
        <v>4.2054212064841891E-3</v>
      </c>
      <c r="G7763" s="78"/>
      <c r="H7763" t="s">
        <v>2926</v>
      </c>
    </row>
    <row r="7764" spans="1:8" ht="12.75" hidden="1" customHeight="1" outlineLevel="1" x14ac:dyDescent="0.25">
      <c r="A7764" s="1002">
        <v>0.04</v>
      </c>
      <c r="B7764" s="996" t="s">
        <v>1381</v>
      </c>
      <c r="C7764" s="1003">
        <v>58.322800000000001</v>
      </c>
      <c r="D7764" s="908">
        <v>93.48</v>
      </c>
      <c r="E7764" s="709">
        <v>0.6028037062692464</v>
      </c>
      <c r="F7764" s="946">
        <v>2.4112148250769856E-2</v>
      </c>
      <c r="G7764" s="78"/>
      <c r="H7764" t="s">
        <v>1383</v>
      </c>
    </row>
    <row r="7765" spans="1:8" ht="12.75" hidden="1" customHeight="1" outlineLevel="1" x14ac:dyDescent="0.25">
      <c r="A7765" s="1002">
        <v>0.04</v>
      </c>
      <c r="B7765" s="706" t="s">
        <v>4143</v>
      </c>
      <c r="C7765" s="1003">
        <v>10.545</v>
      </c>
      <c r="D7765" s="908">
        <v>2.21</v>
      </c>
      <c r="E7765" s="709">
        <v>-0.79042200094831672</v>
      </c>
      <c r="F7765" s="946">
        <v>-3.1616880037932671E-2</v>
      </c>
      <c r="G7765" s="78"/>
      <c r="H7765" t="s">
        <v>4144</v>
      </c>
    </row>
    <row r="7766" spans="1:8" ht="12.75" hidden="1" customHeight="1" outlineLevel="1" x14ac:dyDescent="0.25">
      <c r="A7766" s="1002">
        <v>0.04</v>
      </c>
      <c r="B7766" s="743" t="s">
        <v>2160</v>
      </c>
      <c r="C7766" s="1003">
        <v>28.347000000000001</v>
      </c>
      <c r="D7766" s="908">
        <v>51.77</v>
      </c>
      <c r="E7766" s="709">
        <v>0.82629555155748413</v>
      </c>
      <c r="F7766" s="946">
        <v>3.3051822062299369E-2</v>
      </c>
      <c r="G7766" s="78"/>
      <c r="H7766" t="s">
        <v>5507</v>
      </c>
    </row>
    <row r="7767" spans="1:8" ht="12.75" hidden="1" customHeight="1" outlineLevel="1" x14ac:dyDescent="0.25">
      <c r="A7767" s="1002">
        <v>3.5000000000000003E-2</v>
      </c>
      <c r="B7767" s="996" t="s">
        <v>816</v>
      </c>
      <c r="C7767" s="1003">
        <v>55.261299999999999</v>
      </c>
      <c r="D7767" s="908">
        <v>94.36</v>
      </c>
      <c r="E7767" s="709">
        <v>0.70752407199975398</v>
      </c>
      <c r="F7767" s="946">
        <v>2.4763342519991391E-2</v>
      </c>
      <c r="G7767" s="78"/>
      <c r="H7767" t="s">
        <v>817</v>
      </c>
    </row>
    <row r="7768" spans="1:8" ht="12.75" hidden="1" customHeight="1" outlineLevel="1" x14ac:dyDescent="0.25">
      <c r="A7768" s="1002">
        <v>0.03</v>
      </c>
      <c r="B7768" s="852" t="s">
        <v>1905</v>
      </c>
      <c r="C7768" s="1003">
        <v>31.135300000000001</v>
      </c>
      <c r="D7768" s="908">
        <v>47.29</v>
      </c>
      <c r="E7768" s="709">
        <v>0.51885480467507938</v>
      </c>
      <c r="F7768" s="946">
        <v>1.5565644140252381E-2</v>
      </c>
      <c r="G7768" s="78"/>
      <c r="H7768" t="s">
        <v>504</v>
      </c>
    </row>
    <row r="7769" spans="1:8" ht="12.75" hidden="1" customHeight="1" outlineLevel="1" x14ac:dyDescent="0.25">
      <c r="A7769" s="1002">
        <v>2.5000000000000001E-2</v>
      </c>
      <c r="B7769" s="743" t="s">
        <v>1772</v>
      </c>
      <c r="C7769" s="1003">
        <v>101.473</v>
      </c>
      <c r="D7769" s="908">
        <v>137.9</v>
      </c>
      <c r="E7769" s="709">
        <v>0.35898219230731332</v>
      </c>
      <c r="F7769" s="946">
        <v>8.974554807682833E-3</v>
      </c>
      <c r="G7769" s="78"/>
      <c r="H7769" t="s">
        <v>4330</v>
      </c>
    </row>
    <row r="7770" spans="1:8" ht="12.75" hidden="1" customHeight="1" outlineLevel="1" x14ac:dyDescent="0.25">
      <c r="A7770" s="1002">
        <v>3.5000000000000003E-2</v>
      </c>
      <c r="B7770" s="996" t="s">
        <v>2786</v>
      </c>
      <c r="C7770" s="1003">
        <v>578.54999999999995</v>
      </c>
      <c r="D7770" s="908">
        <v>742.5</v>
      </c>
      <c r="E7770" s="709">
        <v>0.28338086595799861</v>
      </c>
      <c r="F7770" s="946">
        <v>9.9183303085299528E-3</v>
      </c>
      <c r="G7770" s="78"/>
      <c r="H7770" t="s">
        <v>4195</v>
      </c>
    </row>
    <row r="7771" spans="1:8" ht="12.75" hidden="1" customHeight="1" outlineLevel="1" x14ac:dyDescent="0.25">
      <c r="A7771" s="1002">
        <v>0.04</v>
      </c>
      <c r="B7771" s="740" t="s">
        <v>3797</v>
      </c>
      <c r="C7771" s="1003">
        <v>42.55</v>
      </c>
      <c r="D7771" s="908">
        <v>61.05</v>
      </c>
      <c r="E7771" s="709">
        <v>0.43478260869565211</v>
      </c>
      <c r="F7771" s="946">
        <v>1.7391304347826084E-2</v>
      </c>
      <c r="G7771" s="78"/>
      <c r="H7771" t="s">
        <v>3848</v>
      </c>
    </row>
    <row r="7772" spans="1:8" ht="12.75" hidden="1" customHeight="1" outlineLevel="1" x14ac:dyDescent="0.25">
      <c r="A7772" s="1002">
        <v>3.5000000000000003E-2</v>
      </c>
      <c r="B7772" s="740" t="s">
        <v>1040</v>
      </c>
      <c r="C7772" s="1003">
        <v>4036</v>
      </c>
      <c r="D7772" s="908">
        <v>4995</v>
      </c>
      <c r="E7772" s="709">
        <v>0.23761149653121905</v>
      </c>
      <c r="F7772" s="946">
        <v>8.3164023785926681E-3</v>
      </c>
      <c r="G7772" s="78"/>
      <c r="H7772" t="s">
        <v>3540</v>
      </c>
    </row>
    <row r="7773" spans="1:8" ht="12.75" hidden="1" customHeight="1" outlineLevel="1" x14ac:dyDescent="0.25">
      <c r="A7773" s="1002">
        <v>4.4999999999999998E-2</v>
      </c>
      <c r="B7773" s="740" t="s">
        <v>2787</v>
      </c>
      <c r="C7773" s="1003">
        <v>48.247999999999998</v>
      </c>
      <c r="D7773" s="908">
        <v>67.849999999999994</v>
      </c>
      <c r="E7773" s="709">
        <v>0.40627590780965006</v>
      </c>
      <c r="F7773" s="946">
        <v>1.8282415851434253E-2</v>
      </c>
      <c r="G7773" s="78"/>
      <c r="H7773" t="s">
        <v>80</v>
      </c>
    </row>
    <row r="7774" spans="1:8" ht="12.75" hidden="1" customHeight="1" outlineLevel="1" x14ac:dyDescent="0.25">
      <c r="A7774" s="1002">
        <v>4.4999999999999998E-2</v>
      </c>
      <c r="B7774" s="939" t="s">
        <v>4273</v>
      </c>
      <c r="C7774" s="1003">
        <v>140830</v>
      </c>
      <c r="D7774" s="908">
        <v>157500</v>
      </c>
      <c r="E7774" s="709">
        <v>0.11836966555421435</v>
      </c>
      <c r="F7774" s="946">
        <v>5.3266349499396454E-3</v>
      </c>
      <c r="G7774" s="78"/>
      <c r="H7774" t="s">
        <v>82</v>
      </c>
    </row>
    <row r="7775" spans="1:8" ht="12.75" hidden="1" customHeight="1" outlineLevel="1" x14ac:dyDescent="0.25">
      <c r="A7775" s="1002">
        <v>0.02</v>
      </c>
      <c r="B7775" s="996" t="s">
        <v>1205</v>
      </c>
      <c r="C7775" s="1003">
        <v>16.074999999999999</v>
      </c>
      <c r="D7775" s="908">
        <v>23.39</v>
      </c>
      <c r="E7775" s="709">
        <v>0.45505443234836718</v>
      </c>
      <c r="F7775" s="946">
        <v>9.1010886469673445E-3</v>
      </c>
      <c r="G7775" s="78"/>
      <c r="H7775" t="s">
        <v>1092</v>
      </c>
    </row>
    <row r="7776" spans="1:8" ht="12.75" hidden="1" customHeight="1" outlineLevel="1" x14ac:dyDescent="0.25">
      <c r="A7776" s="1002">
        <v>3.5000000000000003E-2</v>
      </c>
      <c r="B7776" s="996" t="s">
        <v>3800</v>
      </c>
      <c r="C7776" s="1003">
        <v>166.98699999999999</v>
      </c>
      <c r="D7776" s="908">
        <v>232.1</v>
      </c>
      <c r="E7776" s="709">
        <v>0.38992855731284481</v>
      </c>
      <c r="F7776" s="946">
        <v>1.3647499505949569E-2</v>
      </c>
      <c r="G7776" s="78"/>
      <c r="H7776" t="s">
        <v>2817</v>
      </c>
    </row>
    <row r="7777" spans="1:8" ht="12.75" hidden="1" customHeight="1" outlineLevel="1" x14ac:dyDescent="0.25">
      <c r="A7777" s="1002">
        <v>0.03</v>
      </c>
      <c r="B7777" s="996" t="s">
        <v>1206</v>
      </c>
      <c r="C7777" s="1003">
        <v>33.0015</v>
      </c>
      <c r="D7777" s="908">
        <v>55.93</v>
      </c>
      <c r="E7777" s="709">
        <v>0.69477144978258565</v>
      </c>
      <c r="F7777" s="946">
        <v>2.0843143493477569E-2</v>
      </c>
      <c r="G7777" s="78"/>
      <c r="H7777" t="s">
        <v>3484</v>
      </c>
    </row>
    <row r="7778" spans="1:8" ht="12.75" hidden="1" customHeight="1" outlineLevel="1" x14ac:dyDescent="0.25">
      <c r="A7778" s="1002">
        <v>2.5000000000000001E-2</v>
      </c>
      <c r="B7778" s="743" t="s">
        <v>3381</v>
      </c>
      <c r="C7778" s="1003">
        <v>132.96700000000001</v>
      </c>
      <c r="D7778" s="908">
        <v>134.4</v>
      </c>
      <c r="E7778" s="709">
        <v>1.0777110110027355E-2</v>
      </c>
      <c r="F7778" s="946">
        <v>2.6942775275068387E-4</v>
      </c>
      <c r="G7778" s="78"/>
      <c r="H7778" t="s">
        <v>1728</v>
      </c>
    </row>
    <row r="7779" spans="1:8" ht="12.75" hidden="1" customHeight="1" outlineLevel="1" x14ac:dyDescent="0.25">
      <c r="A7779" s="1002">
        <v>0.04</v>
      </c>
      <c r="B7779" s="743" t="s">
        <v>1239</v>
      </c>
      <c r="C7779" s="1003">
        <v>356.52499999999998</v>
      </c>
      <c r="D7779" s="908">
        <v>421.6</v>
      </c>
      <c r="E7779" s="709">
        <v>0.18252576958137601</v>
      </c>
      <c r="F7779" s="946">
        <v>7.3010307832550407E-3</v>
      </c>
      <c r="G7779" s="78"/>
      <c r="H7779" t="s">
        <v>268</v>
      </c>
    </row>
    <row r="7780" spans="1:8" ht="12.75" hidden="1" customHeight="1" outlineLevel="1" x14ac:dyDescent="0.25">
      <c r="A7780" s="1002">
        <v>4.4999999999999998E-2</v>
      </c>
      <c r="B7780" s="743" t="s">
        <v>577</v>
      </c>
      <c r="C7780" s="1003">
        <v>17.178000000000001</v>
      </c>
      <c r="D7780" s="908">
        <v>10.275</v>
      </c>
      <c r="E7780" s="709">
        <v>-0.40185120502968918</v>
      </c>
      <c r="F7780" s="946">
        <v>-1.8083304226336014E-2</v>
      </c>
      <c r="G7780" s="78"/>
      <c r="H7780" t="s">
        <v>2804</v>
      </c>
    </row>
    <row r="7781" spans="1:8" ht="12.75" hidden="1" customHeight="1" outlineLevel="1" x14ac:dyDescent="0.25">
      <c r="A7781" s="1002">
        <v>0.03</v>
      </c>
      <c r="B7781" s="743" t="s">
        <v>507</v>
      </c>
      <c r="C7781" s="1003">
        <v>19.551500000000001</v>
      </c>
      <c r="D7781" s="908">
        <v>28.425000000000001</v>
      </c>
      <c r="E7781" s="709">
        <v>0.45385264557706573</v>
      </c>
      <c r="F7781" s="946">
        <v>1.3615579367311972E-2</v>
      </c>
      <c r="G7781" s="78"/>
      <c r="H7781" t="s">
        <v>2810</v>
      </c>
    </row>
    <row r="7782" spans="1:8" ht="12.75" hidden="1" customHeight="1" outlineLevel="1" x14ac:dyDescent="0.25">
      <c r="A7782" s="1002">
        <v>0.03</v>
      </c>
      <c r="B7782" s="706" t="s">
        <v>255</v>
      </c>
      <c r="C7782" s="1003">
        <v>30.905999999999999</v>
      </c>
      <c r="D7782" s="715">
        <v>47.38</v>
      </c>
      <c r="E7782" s="709">
        <v>0.53303565650682727</v>
      </c>
      <c r="F7782" s="946">
        <v>1.5991069695204817E-2</v>
      </c>
      <c r="G7782" s="78"/>
      <c r="H7782" t="s">
        <v>3351</v>
      </c>
    </row>
    <row r="7783" spans="1:8" ht="12.75" hidden="1" customHeight="1" outlineLevel="1" x14ac:dyDescent="0.25">
      <c r="A7783" s="1099"/>
      <c r="B7783" s="1000"/>
      <c r="C7783" s="736"/>
      <c r="D7783" s="741"/>
      <c r="E7783" s="895"/>
      <c r="F7783" s="1021">
        <v>0.35793084872196229</v>
      </c>
      <c r="G7783" s="78"/>
    </row>
    <row r="7784" spans="1:8" ht="12.75" hidden="1" customHeight="1" outlineLevel="1" x14ac:dyDescent="0.25">
      <c r="A7784" s="753" t="s">
        <v>2850</v>
      </c>
      <c r="B7784" s="1235">
        <v>40118</v>
      </c>
      <c r="C7784" s="719">
        <v>100</v>
      </c>
      <c r="D7784" s="1207">
        <v>106.8768</v>
      </c>
      <c r="E7784" s="720">
        <v>6.876799999999994E-2</v>
      </c>
      <c r="F7784" s="731">
        <v>6.876799999999994E-2</v>
      </c>
      <c r="G7784" s="78"/>
    </row>
    <row r="7785" spans="1:8" ht="12.75" hidden="1" customHeight="1" outlineLevel="1" x14ac:dyDescent="0.25">
      <c r="A7785" s="732" t="s">
        <v>2851</v>
      </c>
      <c r="B7785" s="944">
        <v>40210</v>
      </c>
      <c r="C7785" s="727">
        <v>100</v>
      </c>
      <c r="D7785" s="814">
        <v>108.5744</v>
      </c>
      <c r="E7785" s="720">
        <v>8.5744000000000042E-2</v>
      </c>
      <c r="F7785" s="731">
        <v>8.5744000000000042E-2</v>
      </c>
      <c r="G7785" s="78"/>
    </row>
    <row r="7786" spans="1:8" ht="12.75" hidden="1" customHeight="1" outlineLevel="1" x14ac:dyDescent="0.25">
      <c r="A7786" s="732" t="s">
        <v>1818</v>
      </c>
      <c r="B7786" s="944">
        <v>40299</v>
      </c>
      <c r="C7786" s="727">
        <v>100</v>
      </c>
      <c r="D7786" s="814">
        <v>104.7928</v>
      </c>
      <c r="E7786" s="720">
        <v>4.7927999999999971E-2</v>
      </c>
      <c r="F7786" s="731">
        <v>4.7927999999999971E-2</v>
      </c>
      <c r="G7786" s="78"/>
    </row>
    <row r="7787" spans="1:8" ht="12.75" hidden="1" customHeight="1" outlineLevel="1" x14ac:dyDescent="0.25">
      <c r="A7787" s="732" t="s">
        <v>1819</v>
      </c>
      <c r="B7787" s="944">
        <v>40391</v>
      </c>
      <c r="C7787" s="727">
        <v>100</v>
      </c>
      <c r="D7787" s="814">
        <v>107.23779999999999</v>
      </c>
      <c r="E7787" s="720">
        <v>7.2377999999999831E-2</v>
      </c>
      <c r="F7787" s="731">
        <v>7.2377999999999831E-2</v>
      </c>
      <c r="G7787" s="78"/>
    </row>
    <row r="7788" spans="1:8" ht="12.75" hidden="1" customHeight="1" outlineLevel="1" x14ac:dyDescent="0.25">
      <c r="A7788" s="732" t="s">
        <v>1820</v>
      </c>
      <c r="B7788" s="944">
        <v>40483</v>
      </c>
      <c r="C7788" s="727">
        <v>100</v>
      </c>
      <c r="D7788" s="814">
        <v>109.6609</v>
      </c>
      <c r="E7788" s="720">
        <v>9.6608999999999945E-2</v>
      </c>
      <c r="F7788" s="731">
        <v>9.6608999999999945E-2</v>
      </c>
      <c r="G7788" s="78"/>
    </row>
    <row r="7789" spans="1:8" ht="12.75" hidden="1" customHeight="1" outlineLevel="1" x14ac:dyDescent="0.25">
      <c r="A7789" s="732" t="s">
        <v>1821</v>
      </c>
      <c r="B7789" s="944">
        <v>40575</v>
      </c>
      <c r="C7789" s="727">
        <v>100</v>
      </c>
      <c r="D7789" s="814">
        <v>114.9806</v>
      </c>
      <c r="E7789" s="720">
        <v>0.14980599999999988</v>
      </c>
      <c r="F7789" s="731">
        <v>0.14980599999999988</v>
      </c>
      <c r="G7789" s="78"/>
    </row>
    <row r="7790" spans="1:8" ht="12.75" hidden="1" customHeight="1" outlineLevel="1" x14ac:dyDescent="0.25">
      <c r="A7790" s="732" t="s">
        <v>1822</v>
      </c>
      <c r="B7790" s="944">
        <v>40664</v>
      </c>
      <c r="C7790" s="727">
        <v>100</v>
      </c>
      <c r="D7790" s="814">
        <v>118.1444</v>
      </c>
      <c r="E7790" s="720">
        <v>0.18144399999999994</v>
      </c>
      <c r="F7790" s="731">
        <v>0.18144399999999994</v>
      </c>
      <c r="G7790" s="78"/>
    </row>
    <row r="7791" spans="1:8" ht="12.75" hidden="1" customHeight="1" outlineLevel="1" x14ac:dyDescent="0.25">
      <c r="A7791" s="732" t="s">
        <v>1823</v>
      </c>
      <c r="B7791" s="944">
        <v>40756</v>
      </c>
      <c r="C7791" s="727">
        <v>100</v>
      </c>
      <c r="D7791" s="814">
        <v>110.0716</v>
      </c>
      <c r="E7791" s="720">
        <v>0.10071600000000003</v>
      </c>
      <c r="F7791" s="731">
        <v>0.10071600000000003</v>
      </c>
      <c r="G7791" s="78"/>
    </row>
    <row r="7792" spans="1:8" ht="12.75" hidden="1" customHeight="1" outlineLevel="1" x14ac:dyDescent="0.25">
      <c r="A7792" s="732" t="s">
        <v>1824</v>
      </c>
      <c r="B7792" s="944">
        <v>40848</v>
      </c>
      <c r="C7792" s="727">
        <v>100</v>
      </c>
      <c r="D7792" s="814">
        <v>114.5339</v>
      </c>
      <c r="E7792" s="720">
        <v>0.14533900000000011</v>
      </c>
      <c r="F7792" s="731">
        <v>0.14533900000000011</v>
      </c>
      <c r="G7792" s="78"/>
    </row>
    <row r="7793" spans="1:8" ht="12.75" hidden="1" customHeight="1" outlineLevel="1" x14ac:dyDescent="0.25">
      <c r="A7793" s="732" t="s">
        <v>1825</v>
      </c>
      <c r="B7793" s="944">
        <v>40940</v>
      </c>
      <c r="C7793" s="727">
        <v>100</v>
      </c>
      <c r="D7793" s="814">
        <v>119.1446</v>
      </c>
      <c r="E7793" s="720">
        <v>0.19144600000000001</v>
      </c>
      <c r="F7793" s="731">
        <v>0.19144600000000001</v>
      </c>
      <c r="G7793" s="78"/>
    </row>
    <row r="7794" spans="1:8" ht="12.75" hidden="1" customHeight="1" outlineLevel="1" x14ac:dyDescent="0.25">
      <c r="A7794" s="732" t="s">
        <v>1826</v>
      </c>
      <c r="B7794" s="944">
        <v>41030</v>
      </c>
      <c r="C7794" s="727">
        <v>100</v>
      </c>
      <c r="D7794" s="814">
        <v>115.08540000000001</v>
      </c>
      <c r="E7794" s="720">
        <v>0.15085400000000004</v>
      </c>
      <c r="F7794" s="731">
        <v>0.15085400000000004</v>
      </c>
      <c r="G7794" s="78"/>
    </row>
    <row r="7795" spans="1:8" ht="12.75" hidden="1" customHeight="1" outlineLevel="1" x14ac:dyDescent="0.25">
      <c r="A7795" s="732" t="s">
        <v>1827</v>
      </c>
      <c r="B7795" s="944">
        <v>41122</v>
      </c>
      <c r="C7795" s="727">
        <v>100</v>
      </c>
      <c r="D7795" s="814">
        <v>124.024</v>
      </c>
      <c r="E7795" s="720">
        <v>0.24024000000000001</v>
      </c>
      <c r="F7795" s="731">
        <v>0.24024000000000001</v>
      </c>
      <c r="G7795" s="78"/>
    </row>
    <row r="7796" spans="1:8" ht="12.75" hidden="1" customHeight="1" outlineLevel="1" x14ac:dyDescent="0.25">
      <c r="A7796" s="732" t="s">
        <v>1828</v>
      </c>
      <c r="B7796" s="944">
        <v>41214</v>
      </c>
      <c r="C7796" s="727">
        <v>100</v>
      </c>
      <c r="D7796" s="814">
        <v>125.23439999999999</v>
      </c>
      <c r="E7796" s="720">
        <v>0.2523439999999999</v>
      </c>
      <c r="F7796" s="731">
        <v>0.2523439999999999</v>
      </c>
      <c r="G7796" s="78"/>
    </row>
    <row r="7797" spans="1:8" ht="12.75" hidden="1" customHeight="1" outlineLevel="1" x14ac:dyDescent="0.25">
      <c r="A7797" s="732" t="s">
        <v>1829</v>
      </c>
      <c r="B7797" s="944">
        <v>41306</v>
      </c>
      <c r="C7797" s="727">
        <v>100</v>
      </c>
      <c r="D7797" s="814">
        <v>134.74969999999999</v>
      </c>
      <c r="E7797" s="720">
        <v>0.34749699999999994</v>
      </c>
      <c r="F7797" s="731">
        <v>0.34749699999999994</v>
      </c>
      <c r="G7797" s="78"/>
    </row>
    <row r="7798" spans="1:8" ht="12.75" hidden="1" customHeight="1" outlineLevel="1" x14ac:dyDescent="0.25">
      <c r="A7798" s="732" t="s">
        <v>1830</v>
      </c>
      <c r="B7798" s="944">
        <v>41395</v>
      </c>
      <c r="C7798" s="727">
        <v>100</v>
      </c>
      <c r="D7798" s="814">
        <v>140.8845</v>
      </c>
      <c r="E7798" s="720">
        <v>0.40884500000000012</v>
      </c>
      <c r="F7798" s="731">
        <v>0.40884500000000012</v>
      </c>
      <c r="G7798" s="78"/>
    </row>
    <row r="7799" spans="1:8" ht="12.75" hidden="1" customHeight="1" outlineLevel="1" x14ac:dyDescent="0.25">
      <c r="A7799" s="754" t="s">
        <v>1831</v>
      </c>
      <c r="B7799" s="944">
        <v>41487</v>
      </c>
      <c r="C7799" s="727">
        <v>100</v>
      </c>
      <c r="D7799" s="814">
        <v>138.33250000000001</v>
      </c>
      <c r="E7799" s="705">
        <v>0.38332500000000014</v>
      </c>
      <c r="F7799" s="731">
        <v>0.38332500000000014</v>
      </c>
      <c r="G7799" s="78"/>
    </row>
    <row r="7800" spans="1:8" ht="12.75" hidden="1" customHeight="1" outlineLevel="1" x14ac:dyDescent="0.25">
      <c r="A7800" s="749"/>
      <c r="B7800" s="750"/>
      <c r="C7800" s="727"/>
      <c r="D7800" s="727"/>
      <c r="E7800" s="934" t="s">
        <v>2465</v>
      </c>
      <c r="F7800" s="1828">
        <v>0.18270518749999998</v>
      </c>
      <c r="G7800" s="78"/>
    </row>
    <row r="7801" spans="1:8" collapsed="1" x14ac:dyDescent="0.25">
      <c r="A7801" s="3801" t="s">
        <v>4596</v>
      </c>
      <c r="B7801" s="3802"/>
      <c r="C7801" s="3802"/>
      <c r="D7801" s="3802"/>
      <c r="E7801" s="721"/>
      <c r="F7801" s="722">
        <v>0.14616414999999999</v>
      </c>
      <c r="G7801" s="97" t="s">
        <v>781</v>
      </c>
    </row>
    <row r="7803" spans="1:8" hidden="1" outlineLevel="1" x14ac:dyDescent="0.25">
      <c r="A7803" s="689" t="s">
        <v>113</v>
      </c>
      <c r="B7803" s="689" t="s">
        <v>114</v>
      </c>
      <c r="C7803" s="689" t="s">
        <v>112</v>
      </c>
      <c r="D7803" s="689" t="s">
        <v>116</v>
      </c>
      <c r="E7803" s="689" t="s">
        <v>117</v>
      </c>
      <c r="F7803" s="1188" t="s">
        <v>121</v>
      </c>
      <c r="G7803" s="78"/>
    </row>
    <row r="7804" spans="1:8" hidden="1" outlineLevel="1" x14ac:dyDescent="0.25">
      <c r="A7804" s="690">
        <v>1</v>
      </c>
      <c r="B7804" s="691" t="s">
        <v>252</v>
      </c>
      <c r="C7804" s="692">
        <v>100</v>
      </c>
      <c r="D7804" s="692"/>
      <c r="E7804" s="693"/>
      <c r="F7804" s="694"/>
      <c r="G7804" s="78"/>
    </row>
    <row r="7805" spans="1:8" hidden="1" outlineLevel="1" x14ac:dyDescent="0.25">
      <c r="A7805" s="695"/>
      <c r="B7805" s="695"/>
      <c r="C7805" s="696"/>
      <c r="D7805" s="697" t="s">
        <v>3702</v>
      </c>
      <c r="E7805" s="698">
        <v>42051</v>
      </c>
      <c r="F7805" s="699"/>
      <c r="G7805" s="78"/>
    </row>
    <row r="7806" spans="1:8" hidden="1" outlineLevel="1" x14ac:dyDescent="0.25">
      <c r="A7806" s="495" t="s">
        <v>4156</v>
      </c>
      <c r="B7806" s="689" t="s">
        <v>4153</v>
      </c>
      <c r="C7806" s="700" t="s">
        <v>112</v>
      </c>
      <c r="D7806" s="495" t="s">
        <v>6688</v>
      </c>
      <c r="E7806" s="495" t="s">
        <v>4154</v>
      </c>
      <c r="F7806" s="1021" t="s">
        <v>2519</v>
      </c>
      <c r="G7806" s="78"/>
    </row>
    <row r="7807" spans="1:8" hidden="1" outlineLevel="1" x14ac:dyDescent="0.25">
      <c r="A7807" s="1127">
        <v>0.05</v>
      </c>
      <c r="B7807" s="799" t="s">
        <v>2293</v>
      </c>
      <c r="C7807" s="1144">
        <v>13.244999999999999</v>
      </c>
      <c r="D7807" s="803">
        <v>23.843</v>
      </c>
      <c r="E7807" s="738">
        <v>0.80015100037750098</v>
      </c>
      <c r="F7807" s="1021">
        <v>2.5000000000000001E-2</v>
      </c>
      <c r="G7807" s="297"/>
      <c r="H7807" t="s">
        <v>109</v>
      </c>
    </row>
    <row r="7808" spans="1:8" hidden="1" outlineLevel="1" x14ac:dyDescent="0.25">
      <c r="A7808" s="849">
        <v>0.05</v>
      </c>
      <c r="B7808" s="852" t="s">
        <v>4332</v>
      </c>
      <c r="C7808" s="1197">
        <v>263.7</v>
      </c>
      <c r="D7808" s="908">
        <v>292.64999999999998</v>
      </c>
      <c r="E7808" s="742">
        <v>0.10978384527872587</v>
      </c>
      <c r="F7808" s="946">
        <v>2.5000000000000001E-2</v>
      </c>
      <c r="G7808" s="297"/>
      <c r="H7808" t="s">
        <v>4334</v>
      </c>
    </row>
    <row r="7809" spans="1:8" hidden="1" outlineLevel="1" x14ac:dyDescent="0.25">
      <c r="A7809" s="849">
        <v>0.05</v>
      </c>
      <c r="B7809" s="852" t="s">
        <v>1231</v>
      </c>
      <c r="C7809" s="1146">
        <v>47.094000000000001</v>
      </c>
      <c r="D7809" s="908">
        <v>83.921999999999997</v>
      </c>
      <c r="E7809" s="742">
        <v>0.78201044719072477</v>
      </c>
      <c r="F7809" s="946">
        <v>2.5000000000000001E-2</v>
      </c>
      <c r="G7809" s="297"/>
      <c r="H7809" t="s">
        <v>2041</v>
      </c>
    </row>
    <row r="7810" spans="1:8" hidden="1" outlineLevel="1" x14ac:dyDescent="0.25">
      <c r="A7810" s="849">
        <v>0.05</v>
      </c>
      <c r="B7810" s="852" t="s">
        <v>4387</v>
      </c>
      <c r="C7810" s="1146">
        <v>28.678000000000001</v>
      </c>
      <c r="D7810" s="908">
        <v>13.238999999999999</v>
      </c>
      <c r="E7810" s="742">
        <v>-0.53835692865611273</v>
      </c>
      <c r="F7810" s="946">
        <v>-2.6917846432805637E-2</v>
      </c>
      <c r="G7810" s="297"/>
      <c r="H7810" t="s">
        <v>3744</v>
      </c>
    </row>
    <row r="7811" spans="1:8" hidden="1" outlineLevel="1" x14ac:dyDescent="0.25">
      <c r="A7811" s="849">
        <v>0.05</v>
      </c>
      <c r="B7811" s="852" t="s">
        <v>4333</v>
      </c>
      <c r="C7811" s="1146">
        <v>50.381</v>
      </c>
      <c r="D7811" s="908">
        <v>35.245999999999995</v>
      </c>
      <c r="E7811" s="742">
        <v>-0.30041086917687232</v>
      </c>
      <c r="F7811" s="946">
        <v>-1.5020543458843617E-2</v>
      </c>
      <c r="G7811" s="297"/>
      <c r="H7811" t="s">
        <v>4335</v>
      </c>
    </row>
    <row r="7812" spans="1:8" hidden="1" outlineLevel="1" x14ac:dyDescent="0.25">
      <c r="A7812" s="849">
        <v>0.1</v>
      </c>
      <c r="B7812" s="852" t="s">
        <v>4336</v>
      </c>
      <c r="C7812" s="1146">
        <v>147.07900000000001</v>
      </c>
      <c r="D7812" s="908">
        <v>47.632000000000005</v>
      </c>
      <c r="E7812" s="742">
        <v>-0.67614683265455977</v>
      </c>
      <c r="F7812" s="946">
        <v>-6.7614683265455985E-2</v>
      </c>
      <c r="G7812" s="297"/>
      <c r="H7812" t="s">
        <v>4337</v>
      </c>
    </row>
    <row r="7813" spans="1:8" hidden="1" outlineLevel="1" x14ac:dyDescent="0.25">
      <c r="A7813" s="849">
        <v>0.1</v>
      </c>
      <c r="B7813" s="852" t="s">
        <v>4268</v>
      </c>
      <c r="C7813" s="1146">
        <v>18.013999999999999</v>
      </c>
      <c r="D7813" s="908">
        <v>19.625999999999998</v>
      </c>
      <c r="E7813" s="742">
        <v>8.9485955368046932E-2</v>
      </c>
      <c r="F7813" s="946">
        <v>0.05</v>
      </c>
      <c r="G7813" s="297"/>
      <c r="H7813" t="s">
        <v>1801</v>
      </c>
    </row>
    <row r="7814" spans="1:8" hidden="1" outlineLevel="1" x14ac:dyDescent="0.25">
      <c r="A7814" s="849">
        <v>0.05</v>
      </c>
      <c r="B7814" s="852" t="s">
        <v>4269</v>
      </c>
      <c r="C7814" s="1146">
        <v>15.9985</v>
      </c>
      <c r="D7814" s="908">
        <v>9.4236000000000004</v>
      </c>
      <c r="E7814" s="742">
        <v>-0.41096977841672655</v>
      </c>
      <c r="F7814" s="946">
        <v>-2.0548488920836327E-2</v>
      </c>
      <c r="G7814" s="297"/>
      <c r="H7814" t="s">
        <v>1802</v>
      </c>
    </row>
    <row r="7815" spans="1:8" hidden="1" outlineLevel="1" x14ac:dyDescent="0.25">
      <c r="A7815" s="849">
        <v>0.05</v>
      </c>
      <c r="B7815" s="852" t="s">
        <v>3269</v>
      </c>
      <c r="C7815" s="1146">
        <v>14.510999999999999</v>
      </c>
      <c r="D7815" s="908">
        <v>20.589500000000005</v>
      </c>
      <c r="E7815" s="742">
        <v>0.41888911859968347</v>
      </c>
      <c r="F7815" s="946">
        <v>2.5000000000000001E-2</v>
      </c>
      <c r="G7815" s="297"/>
      <c r="H7815" t="s">
        <v>3270</v>
      </c>
    </row>
    <row r="7816" spans="1:8" hidden="1" outlineLevel="1" x14ac:dyDescent="0.25">
      <c r="A7816" s="849">
        <v>0.05</v>
      </c>
      <c r="B7816" s="852" t="s">
        <v>4338</v>
      </c>
      <c r="C7816" s="1146">
        <v>30.730499999999999</v>
      </c>
      <c r="D7816" s="908">
        <v>19.1235</v>
      </c>
      <c r="E7816" s="742">
        <v>-0.37770293356762819</v>
      </c>
      <c r="F7816" s="946">
        <v>-1.8885146678381412E-2</v>
      </c>
      <c r="G7816" s="297"/>
      <c r="H7816" t="s">
        <v>7229</v>
      </c>
    </row>
    <row r="7817" spans="1:8" hidden="1" outlineLevel="1" x14ac:dyDescent="0.25">
      <c r="A7817" s="849">
        <v>0.05</v>
      </c>
      <c r="B7817" s="852" t="s">
        <v>4340</v>
      </c>
      <c r="C7817" s="1146">
        <v>6.8032000000000004</v>
      </c>
      <c r="D7817" s="908">
        <v>5.9499000000000004</v>
      </c>
      <c r="E7817" s="742">
        <v>-0.1254262699905927</v>
      </c>
      <c r="F7817" s="946">
        <v>-6.2713134995296353E-3</v>
      </c>
      <c r="G7817" s="297"/>
      <c r="H7817" t="s">
        <v>3203</v>
      </c>
    </row>
    <row r="7818" spans="1:8" hidden="1" outlineLevel="1" x14ac:dyDescent="0.25">
      <c r="A7818" s="849">
        <v>0.05</v>
      </c>
      <c r="B7818" s="852" t="s">
        <v>2786</v>
      </c>
      <c r="C7818" s="1146">
        <v>5.5214999999999996</v>
      </c>
      <c r="D7818" s="908">
        <v>9.0789000000000009</v>
      </c>
      <c r="E7818" s="742">
        <v>0.64428144525944053</v>
      </c>
      <c r="F7818" s="946">
        <v>2.5000000000000001E-2</v>
      </c>
      <c r="G7818" s="297"/>
      <c r="H7818" t="s">
        <v>4195</v>
      </c>
    </row>
    <row r="7819" spans="1:8" hidden="1" outlineLevel="1" x14ac:dyDescent="0.25">
      <c r="A7819" s="849">
        <v>0.1</v>
      </c>
      <c r="B7819" s="852" t="s">
        <v>3200</v>
      </c>
      <c r="C7819" s="1146">
        <v>40.177</v>
      </c>
      <c r="D7819" s="908">
        <v>2.1030000000000006</v>
      </c>
      <c r="E7819" s="742">
        <v>-0.94765661945889434</v>
      </c>
      <c r="F7819" s="946">
        <v>-9.4765661945889437E-2</v>
      </c>
      <c r="G7819" s="297"/>
      <c r="H7819" t="s">
        <v>3201</v>
      </c>
    </row>
    <row r="7820" spans="1:8" hidden="1" outlineLevel="1" x14ac:dyDescent="0.25">
      <c r="A7820" s="849">
        <v>0.05</v>
      </c>
      <c r="B7820" s="852" t="s">
        <v>3202</v>
      </c>
      <c r="C7820" s="1146">
        <v>2456.4</v>
      </c>
      <c r="D7820" s="908">
        <v>11.404</v>
      </c>
      <c r="E7820" s="742">
        <v>-0.99535743364272922</v>
      </c>
      <c r="F7820" s="946">
        <v>-4.9767871682136464E-2</v>
      </c>
      <c r="G7820" s="297"/>
      <c r="H7820" t="e">
        <v>#N/A</v>
      </c>
    </row>
    <row r="7821" spans="1:8" hidden="1" outlineLevel="1" x14ac:dyDescent="0.25">
      <c r="A7821" s="849">
        <v>0.05</v>
      </c>
      <c r="B7821" s="852" t="s">
        <v>3427</v>
      </c>
      <c r="C7821" s="1146">
        <v>31.762</v>
      </c>
      <c r="D7821" s="908">
        <v>48.578000000000003</v>
      </c>
      <c r="E7821" s="742">
        <v>0.52943769284050135</v>
      </c>
      <c r="F7821" s="946">
        <v>2.5000000000000001E-2</v>
      </c>
      <c r="G7821" s="297"/>
      <c r="H7821" t="s">
        <v>2800</v>
      </c>
    </row>
    <row r="7822" spans="1:8" hidden="1" outlineLevel="1" x14ac:dyDescent="0.25">
      <c r="A7822" s="990">
        <v>0.1</v>
      </c>
      <c r="B7822" s="801" t="s">
        <v>3204</v>
      </c>
      <c r="C7822" s="1146">
        <v>377.72500000000002</v>
      </c>
      <c r="D7822" s="715">
        <v>273.2</v>
      </c>
      <c r="E7822" s="748">
        <v>-0.27672248328810645</v>
      </c>
      <c r="F7822" s="1023">
        <v>-2.7672248328810645E-2</v>
      </c>
      <c r="G7822" s="297"/>
      <c r="H7822" t="s">
        <v>3205</v>
      </c>
    </row>
    <row r="7823" spans="1:8" hidden="1" outlineLevel="1" x14ac:dyDescent="0.25">
      <c r="A7823" s="1233" t="s">
        <v>2465</v>
      </c>
      <c r="B7823" s="750"/>
      <c r="C7823" s="719"/>
      <c r="D7823" s="727"/>
      <c r="E7823" s="716"/>
      <c r="F7823" s="1828">
        <v>-0.12746380421268913</v>
      </c>
      <c r="G7823" s="297"/>
    </row>
    <row r="7824" spans="1:8" collapsed="1" x14ac:dyDescent="0.25">
      <c r="A7824" s="3801" t="s">
        <v>1669</v>
      </c>
      <c r="B7824" s="3802"/>
      <c r="C7824" s="3802"/>
      <c r="D7824" s="3802"/>
      <c r="E7824" s="721"/>
      <c r="F7824" s="722">
        <v>0</v>
      </c>
      <c r="G7824" s="97" t="s">
        <v>781</v>
      </c>
    </row>
    <row r="7826" spans="1:11" hidden="1" outlineLevel="1" x14ac:dyDescent="0.25">
      <c r="A7826" s="689" t="s">
        <v>113</v>
      </c>
      <c r="B7826" s="689" t="s">
        <v>114</v>
      </c>
      <c r="C7826" s="689" t="s">
        <v>112</v>
      </c>
      <c r="D7826" s="689" t="s">
        <v>116</v>
      </c>
      <c r="E7826" s="689" t="s">
        <v>117</v>
      </c>
      <c r="F7826" s="1188" t="s">
        <v>121</v>
      </c>
      <c r="G7826" s="78"/>
    </row>
    <row r="7827" spans="1:11" hidden="1" outlineLevel="1" x14ac:dyDescent="0.25">
      <c r="A7827" s="695"/>
      <c r="B7827" s="695"/>
      <c r="C7827" s="696"/>
      <c r="D7827" s="697" t="s">
        <v>3702</v>
      </c>
      <c r="E7827" s="698">
        <v>41305</v>
      </c>
      <c r="F7827" s="699"/>
      <c r="G7827" s="78"/>
    </row>
    <row r="7828" spans="1:11" hidden="1" outlineLevel="1" x14ac:dyDescent="0.25">
      <c r="A7828" s="689" t="s">
        <v>4156</v>
      </c>
      <c r="B7828" s="689" t="s">
        <v>4153</v>
      </c>
      <c r="C7828" s="700" t="s">
        <v>112</v>
      </c>
      <c r="D7828" s="689" t="s">
        <v>4155</v>
      </c>
      <c r="E7828" s="495" t="s">
        <v>4154</v>
      </c>
      <c r="F7828" s="1021" t="s">
        <v>734</v>
      </c>
      <c r="G7828" s="78"/>
    </row>
    <row r="7829" spans="1:11" hidden="1" outlineLevel="1" x14ac:dyDescent="0.25">
      <c r="A7829" s="999">
        <v>0.03</v>
      </c>
      <c r="B7829" s="1230" t="s">
        <v>2703</v>
      </c>
      <c r="C7829" s="799">
        <v>73.563999999999993</v>
      </c>
      <c r="D7829" s="708">
        <v>100.55</v>
      </c>
      <c r="E7829" s="705">
        <v>0.36683703985645155</v>
      </c>
      <c r="F7829" s="1021">
        <v>0.06</v>
      </c>
      <c r="G7829" s="417">
        <v>0</v>
      </c>
      <c r="H7829" t="s">
        <v>2780</v>
      </c>
      <c r="I7829" s="417" t="s">
        <v>2780</v>
      </c>
      <c r="J7829" s="417">
        <v>101.746</v>
      </c>
      <c r="K7829" s="417">
        <v>28.182000000000002</v>
      </c>
    </row>
    <row r="7830" spans="1:11" hidden="1" outlineLevel="1" x14ac:dyDescent="0.25">
      <c r="A7830" s="999">
        <v>0.03</v>
      </c>
      <c r="B7830" s="1089" t="s">
        <v>3020</v>
      </c>
      <c r="C7830" s="852">
        <v>45.292000000000002</v>
      </c>
      <c r="D7830" s="708">
        <v>72.7</v>
      </c>
      <c r="E7830" s="709">
        <v>0.60513998057052021</v>
      </c>
      <c r="F7830" s="946">
        <v>0.06</v>
      </c>
      <c r="G7830" s="417">
        <v>0</v>
      </c>
      <c r="H7830" t="s">
        <v>490</v>
      </c>
      <c r="I7830" s="417" t="s">
        <v>5541</v>
      </c>
      <c r="J7830" s="417">
        <v>71.510000000000005</v>
      </c>
      <c r="K7830" s="417">
        <v>26.218000000000004</v>
      </c>
    </row>
    <row r="7831" spans="1:11" hidden="1" outlineLevel="1" x14ac:dyDescent="0.25">
      <c r="A7831" s="999">
        <v>3.5000000000000003E-2</v>
      </c>
      <c r="B7831" s="1089" t="s">
        <v>4377</v>
      </c>
      <c r="C7831" s="852">
        <v>22.251999999999999</v>
      </c>
      <c r="D7831" s="708">
        <v>36.14</v>
      </c>
      <c r="E7831" s="709">
        <v>0.62412367427646953</v>
      </c>
      <c r="F7831" s="946">
        <v>0.06</v>
      </c>
      <c r="G7831" s="417">
        <v>0</v>
      </c>
      <c r="H7831" t="s">
        <v>4327</v>
      </c>
      <c r="I7831" s="417" t="s">
        <v>4327</v>
      </c>
      <c r="J7831" s="417">
        <v>36.595999999999997</v>
      </c>
      <c r="K7831" s="417">
        <v>14.343999999999998</v>
      </c>
    </row>
    <row r="7832" spans="1:11" hidden="1" outlineLevel="1" x14ac:dyDescent="0.25">
      <c r="A7832" s="999">
        <v>2.5000000000000001E-2</v>
      </c>
      <c r="B7832" s="1089" t="s">
        <v>1440</v>
      </c>
      <c r="C7832" s="852">
        <v>73.408000000000001</v>
      </c>
      <c r="D7832" s="708">
        <v>107.37</v>
      </c>
      <c r="E7832" s="709">
        <v>0.46264712292938093</v>
      </c>
      <c r="F7832" s="946">
        <v>0.06</v>
      </c>
      <c r="G7832" s="417">
        <v>0</v>
      </c>
      <c r="H7832" t="s">
        <v>2569</v>
      </c>
      <c r="I7832" s="417" t="s">
        <v>2569</v>
      </c>
      <c r="J7832" s="417">
        <v>109.60599999999999</v>
      </c>
      <c r="K7832" s="417">
        <v>36.197999999999993</v>
      </c>
    </row>
    <row r="7833" spans="1:11" hidden="1" outlineLevel="1" x14ac:dyDescent="0.25">
      <c r="A7833" s="999">
        <v>0.03</v>
      </c>
      <c r="B7833" s="1231" t="s">
        <v>3406</v>
      </c>
      <c r="C7833" s="852">
        <v>959.8</v>
      </c>
      <c r="D7833" s="708">
        <v>1877</v>
      </c>
      <c r="E7833" s="709">
        <v>0.95561575328193382</v>
      </c>
      <c r="F7833" s="946">
        <v>0.06</v>
      </c>
      <c r="G7833" s="417">
        <v>0</v>
      </c>
      <c r="H7833" t="s">
        <v>2105</v>
      </c>
      <c r="I7833" s="417" t="s">
        <v>2105</v>
      </c>
      <c r="J7833" s="417">
        <v>18.856000000000002</v>
      </c>
      <c r="K7833" s="417">
        <v>-940.94399999999996</v>
      </c>
    </row>
    <row r="7834" spans="1:11" hidden="1" outlineLevel="1" x14ac:dyDescent="0.25">
      <c r="A7834" s="999">
        <v>0.03</v>
      </c>
      <c r="B7834" s="1089" t="s">
        <v>4064</v>
      </c>
      <c r="C7834" s="852">
        <v>32.896000000000001</v>
      </c>
      <c r="D7834" s="708">
        <v>53.69</v>
      </c>
      <c r="E7834" s="709">
        <v>0.63211332684824884</v>
      </c>
      <c r="F7834" s="946">
        <v>0.06</v>
      </c>
      <c r="G7834" s="417">
        <v>0</v>
      </c>
      <c r="H7834" t="s">
        <v>170</v>
      </c>
      <c r="I7834" s="417" t="s">
        <v>170</v>
      </c>
      <c r="J7834" s="417">
        <v>53.911999999999999</v>
      </c>
      <c r="K7834" s="417">
        <v>21.015999999999998</v>
      </c>
    </row>
    <row r="7835" spans="1:11" hidden="1" outlineLevel="1" x14ac:dyDescent="0.25">
      <c r="A7835" s="999">
        <v>3.5000000000000003E-2</v>
      </c>
      <c r="B7835" s="1089" t="s">
        <v>3798</v>
      </c>
      <c r="C7835" s="852">
        <v>4.1340000000000003</v>
      </c>
      <c r="D7835" s="708">
        <v>3.016</v>
      </c>
      <c r="E7835" s="709">
        <v>-0.27044025157232709</v>
      </c>
      <c r="F7835" s="946">
        <v>-0.27044025157232709</v>
      </c>
      <c r="G7835" s="417">
        <v>0</v>
      </c>
      <c r="H7835" t="s">
        <v>4122</v>
      </c>
      <c r="I7835" s="417" t="s">
        <v>4122</v>
      </c>
      <c r="J7835" s="417">
        <v>3.016</v>
      </c>
      <c r="K7835" s="417">
        <v>-1.1180000000000003</v>
      </c>
    </row>
    <row r="7836" spans="1:11" hidden="1" outlineLevel="1" x14ac:dyDescent="0.25">
      <c r="A7836" s="999">
        <v>0.03</v>
      </c>
      <c r="B7836" s="1089" t="s">
        <v>4496</v>
      </c>
      <c r="C7836" s="852">
        <v>39.844000000000001</v>
      </c>
      <c r="D7836" s="708">
        <v>60.63</v>
      </c>
      <c r="E7836" s="709">
        <v>0.52168456982230693</v>
      </c>
      <c r="F7836" s="946">
        <v>0.06</v>
      </c>
      <c r="G7836" s="417">
        <v>0</v>
      </c>
      <c r="H7836" t="s">
        <v>2385</v>
      </c>
      <c r="I7836" s="417" t="s">
        <v>2385</v>
      </c>
      <c r="J7836" s="417">
        <v>60.822000000000003</v>
      </c>
      <c r="K7836" s="417">
        <v>20.978000000000002</v>
      </c>
    </row>
    <row r="7837" spans="1:11" hidden="1" outlineLevel="1" x14ac:dyDescent="0.25">
      <c r="A7837" s="999">
        <v>0.04</v>
      </c>
      <c r="B7837" s="1089" t="s">
        <v>3643</v>
      </c>
      <c r="C7837" s="852">
        <v>196.7</v>
      </c>
      <c r="D7837" s="708">
        <v>234.2</v>
      </c>
      <c r="E7837" s="709">
        <v>0.19064565327910521</v>
      </c>
      <c r="F7837" s="946">
        <v>0.06</v>
      </c>
      <c r="G7837" s="417">
        <v>0</v>
      </c>
      <c r="H7837" t="s">
        <v>1729</v>
      </c>
      <c r="I7837" s="417" t="s">
        <v>1729</v>
      </c>
      <c r="J7837" s="417">
        <v>233.94</v>
      </c>
      <c r="K7837" s="417">
        <v>37.240000000000009</v>
      </c>
    </row>
    <row r="7838" spans="1:11" hidden="1" outlineLevel="1" x14ac:dyDescent="0.25">
      <c r="A7838" s="999">
        <v>2.5000000000000001E-2</v>
      </c>
      <c r="B7838" s="712" t="s">
        <v>52</v>
      </c>
      <c r="C7838" s="852">
        <v>117.70399999999999</v>
      </c>
      <c r="D7838" s="708">
        <v>203.07</v>
      </c>
      <c r="E7838" s="709">
        <v>0.72525997417250054</v>
      </c>
      <c r="F7838" s="946">
        <v>0.06</v>
      </c>
      <c r="G7838" s="417">
        <v>0</v>
      </c>
      <c r="H7838" t="s">
        <v>4130</v>
      </c>
      <c r="I7838" s="417" t="s">
        <v>4130</v>
      </c>
      <c r="J7838" s="417">
        <v>202.50399999999999</v>
      </c>
      <c r="K7838" s="417">
        <v>84.8</v>
      </c>
    </row>
    <row r="7839" spans="1:11" hidden="1" outlineLevel="1" x14ac:dyDescent="0.25">
      <c r="A7839" s="999">
        <v>2.5000000000000001E-2</v>
      </c>
      <c r="B7839" s="1089" t="s">
        <v>2920</v>
      </c>
      <c r="C7839" s="852">
        <v>19.672000000000001</v>
      </c>
      <c r="D7839" s="708">
        <v>21.04</v>
      </c>
      <c r="E7839" s="709">
        <v>6.9540463603090519E-2</v>
      </c>
      <c r="F7839" s="946">
        <v>0.06</v>
      </c>
      <c r="G7839" s="417">
        <v>0</v>
      </c>
      <c r="H7839" t="s">
        <v>2926</v>
      </c>
      <c r="I7839" s="417" t="s">
        <v>2926</v>
      </c>
      <c r="J7839" s="417">
        <v>21.1</v>
      </c>
      <c r="K7839" s="417">
        <v>1.4280000000000008</v>
      </c>
    </row>
    <row r="7840" spans="1:11" hidden="1" outlineLevel="1" x14ac:dyDescent="0.25">
      <c r="A7840" s="999">
        <v>0.04</v>
      </c>
      <c r="B7840" s="711" t="s">
        <v>1381</v>
      </c>
      <c r="C7840" s="852">
        <v>58.148000000000003</v>
      </c>
      <c r="D7840" s="708">
        <v>89.51</v>
      </c>
      <c r="E7840" s="709">
        <v>0.53934787094998971</v>
      </c>
      <c r="F7840" s="946">
        <v>0.06</v>
      </c>
      <c r="G7840" s="417">
        <v>0</v>
      </c>
      <c r="H7840" t="s">
        <v>1383</v>
      </c>
      <c r="I7840" s="417" t="s">
        <v>1383</v>
      </c>
      <c r="J7840" s="417">
        <v>90.286000000000001</v>
      </c>
      <c r="K7840" s="417">
        <v>32.137999999999998</v>
      </c>
    </row>
    <row r="7841" spans="1:11" hidden="1" outlineLevel="1" x14ac:dyDescent="0.25">
      <c r="A7841" s="999">
        <v>0.04</v>
      </c>
      <c r="B7841" s="1089" t="s">
        <v>4143</v>
      </c>
      <c r="C7841" s="852">
        <v>10.808999999999999</v>
      </c>
      <c r="D7841" s="1184">
        <v>3.6168</v>
      </c>
      <c r="E7841" s="709">
        <v>-0.66538995281709679</v>
      </c>
      <c r="F7841" s="946">
        <v>-0.66538995281709679</v>
      </c>
      <c r="G7841" s="417">
        <v>0</v>
      </c>
      <c r="H7841" t="s">
        <v>4144</v>
      </c>
      <c r="I7841" s="417" t="s">
        <v>4144</v>
      </c>
      <c r="J7841" s="417">
        <v>3.6168</v>
      </c>
      <c r="K7841" s="417">
        <v>-7.1921999999999997</v>
      </c>
    </row>
    <row r="7842" spans="1:11" hidden="1" outlineLevel="1" x14ac:dyDescent="0.25">
      <c r="A7842" s="999">
        <v>0.04</v>
      </c>
      <c r="B7842" s="712" t="s">
        <v>2160</v>
      </c>
      <c r="C7842" s="852">
        <v>26.34</v>
      </c>
      <c r="D7842" s="708">
        <v>46.22</v>
      </c>
      <c r="E7842" s="709">
        <v>0.75474563401670469</v>
      </c>
      <c r="F7842" s="946">
        <v>0.06</v>
      </c>
      <c r="G7842" s="417">
        <v>1</v>
      </c>
      <c r="H7842" t="s">
        <v>5507</v>
      </c>
      <c r="I7842" s="417" t="s">
        <v>5542</v>
      </c>
      <c r="J7842" s="417">
        <v>43.597299999999997</v>
      </c>
      <c r="K7842" s="417">
        <v>17.257299999999997</v>
      </c>
    </row>
    <row r="7843" spans="1:11" hidden="1" outlineLevel="1" x14ac:dyDescent="0.25">
      <c r="A7843" s="999">
        <v>3.5000000000000003E-2</v>
      </c>
      <c r="B7843" s="1089" t="s">
        <v>816</v>
      </c>
      <c r="C7843" s="852">
        <v>54.956000000000003</v>
      </c>
      <c r="D7843" s="708">
        <v>95.29</v>
      </c>
      <c r="E7843" s="709">
        <v>0.73393260062595522</v>
      </c>
      <c r="F7843" s="946">
        <v>0.06</v>
      </c>
      <c r="G7843" s="417">
        <v>1</v>
      </c>
      <c r="H7843" t="s">
        <v>817</v>
      </c>
      <c r="I7843" s="417" t="s">
        <v>817</v>
      </c>
      <c r="J7843" s="417">
        <v>95.031999999999996</v>
      </c>
      <c r="K7843" s="417">
        <v>40.075999999999993</v>
      </c>
    </row>
    <row r="7844" spans="1:11" hidden="1" outlineLevel="1" x14ac:dyDescent="0.25">
      <c r="A7844" s="999">
        <v>0.03</v>
      </c>
      <c r="B7844" s="1089" t="s">
        <v>1905</v>
      </c>
      <c r="C7844" s="852">
        <v>31.981999999999999</v>
      </c>
      <c r="D7844" s="708">
        <v>43.25</v>
      </c>
      <c r="E7844" s="709">
        <v>0.35232318178975675</v>
      </c>
      <c r="F7844" s="946">
        <v>0.06</v>
      </c>
      <c r="G7844" s="417">
        <v>1</v>
      </c>
      <c r="H7844" t="s">
        <v>504</v>
      </c>
      <c r="I7844" s="417" t="s">
        <v>504</v>
      </c>
      <c r="J7844" s="417">
        <v>41.24</v>
      </c>
      <c r="K7844" s="417">
        <v>9.2580000000000027</v>
      </c>
    </row>
    <row r="7845" spans="1:11" hidden="1" outlineLevel="1" x14ac:dyDescent="0.25">
      <c r="A7845" s="999">
        <v>2.5000000000000001E-2</v>
      </c>
      <c r="B7845" s="1089" t="s">
        <v>1772</v>
      </c>
      <c r="C7845" s="852">
        <v>104.248</v>
      </c>
      <c r="D7845" s="708">
        <v>135.35</v>
      </c>
      <c r="E7845" s="709">
        <v>0.2983462512470263</v>
      </c>
      <c r="F7845" s="946">
        <v>0.06</v>
      </c>
      <c r="G7845" s="417">
        <v>1</v>
      </c>
      <c r="H7845" t="s">
        <v>4330</v>
      </c>
      <c r="I7845" s="417" t="s">
        <v>4330</v>
      </c>
      <c r="J7845" s="417">
        <v>135.99</v>
      </c>
      <c r="K7845" s="417">
        <v>31.742000000000004</v>
      </c>
    </row>
    <row r="7846" spans="1:11" hidden="1" outlineLevel="1" x14ac:dyDescent="0.25">
      <c r="A7846" s="999">
        <v>3.5000000000000003E-2</v>
      </c>
      <c r="B7846" s="1089" t="s">
        <v>2786</v>
      </c>
      <c r="C7846" s="852">
        <v>599.79999999999995</v>
      </c>
      <c r="D7846" s="708">
        <v>691.5</v>
      </c>
      <c r="E7846" s="709">
        <v>0.15288429476492182</v>
      </c>
      <c r="F7846" s="946">
        <v>0.06</v>
      </c>
      <c r="G7846" s="417">
        <v>1</v>
      </c>
      <c r="H7846" t="s">
        <v>4195</v>
      </c>
      <c r="I7846" s="417" t="s">
        <v>4195</v>
      </c>
      <c r="J7846" s="417">
        <v>6.9409999999999998</v>
      </c>
      <c r="K7846" s="417">
        <v>-592.85899999999992</v>
      </c>
    </row>
    <row r="7847" spans="1:11" hidden="1" outlineLevel="1" x14ac:dyDescent="0.25">
      <c r="A7847" s="999">
        <v>0.04</v>
      </c>
      <c r="B7847" s="1089" t="s">
        <v>3797</v>
      </c>
      <c r="C7847" s="852">
        <v>43.527999999999999</v>
      </c>
      <c r="D7847" s="708">
        <v>63.9</v>
      </c>
      <c r="E7847" s="709">
        <v>0.46802058445138761</v>
      </c>
      <c r="F7847" s="946">
        <v>0.06</v>
      </c>
      <c r="G7847" s="417">
        <v>1</v>
      </c>
      <c r="H7847" t="s">
        <v>3848</v>
      </c>
      <c r="I7847" s="417" t="s">
        <v>3848</v>
      </c>
      <c r="J7847" s="417">
        <v>63.6</v>
      </c>
      <c r="K7847" s="417">
        <v>20.072000000000003</v>
      </c>
    </row>
    <row r="7848" spans="1:11" hidden="1" outlineLevel="1" x14ac:dyDescent="0.25">
      <c r="A7848" s="999">
        <v>3.5000000000000003E-2</v>
      </c>
      <c r="B7848" s="1089" t="s">
        <v>1040</v>
      </c>
      <c r="C7848" s="852">
        <v>4262</v>
      </c>
      <c r="D7848" s="708">
        <v>3928</v>
      </c>
      <c r="E7848" s="709">
        <v>-7.8366963866729256E-2</v>
      </c>
      <c r="F7848" s="946">
        <v>-7.8366963866729256E-2</v>
      </c>
      <c r="G7848" s="417">
        <v>1</v>
      </c>
      <c r="H7848" t="s">
        <v>3540</v>
      </c>
      <c r="I7848" s="417"/>
      <c r="J7848" s="417">
        <v>3928</v>
      </c>
      <c r="K7848" s="417">
        <v>-334</v>
      </c>
    </row>
    <row r="7849" spans="1:11" hidden="1" outlineLevel="1" x14ac:dyDescent="0.25">
      <c r="A7849" s="999">
        <v>4.4999999999999998E-2</v>
      </c>
      <c r="B7849" s="1089" t="s">
        <v>2787</v>
      </c>
      <c r="C7849" s="852">
        <v>49.444000000000003</v>
      </c>
      <c r="D7849" s="708">
        <v>62</v>
      </c>
      <c r="E7849" s="709">
        <v>0.25394385567510702</v>
      </c>
      <c r="F7849" s="946">
        <v>0.06</v>
      </c>
      <c r="G7849" s="417">
        <v>1</v>
      </c>
      <c r="H7849" t="s">
        <v>80</v>
      </c>
      <c r="J7849" s="417">
        <v>62.2</v>
      </c>
      <c r="K7849" s="417">
        <v>12.756</v>
      </c>
    </row>
    <row r="7850" spans="1:11" hidden="1" outlineLevel="1" x14ac:dyDescent="0.25">
      <c r="A7850" s="999">
        <v>4.4999999999999998E-2</v>
      </c>
      <c r="B7850" s="1089" t="s">
        <v>4273</v>
      </c>
      <c r="C7850" s="852">
        <v>144500</v>
      </c>
      <c r="D7850" s="1184">
        <v>136860</v>
      </c>
      <c r="E7850" s="709">
        <v>-5.2871972318339067E-2</v>
      </c>
      <c r="F7850" s="946">
        <v>-5.2871972318339067E-2</v>
      </c>
      <c r="G7850" s="417">
        <v>1</v>
      </c>
      <c r="H7850" t="s">
        <v>82</v>
      </c>
      <c r="I7850" s="417" t="s">
        <v>82</v>
      </c>
      <c r="J7850" s="417">
        <v>136860</v>
      </c>
      <c r="K7850" s="417">
        <v>-7640</v>
      </c>
    </row>
    <row r="7851" spans="1:11" hidden="1" outlineLevel="1" x14ac:dyDescent="0.25">
      <c r="A7851" s="999">
        <v>0.02</v>
      </c>
      <c r="B7851" s="1089" t="s">
        <v>1205</v>
      </c>
      <c r="C7851" s="852">
        <v>16.677</v>
      </c>
      <c r="D7851" s="708">
        <v>23.01</v>
      </c>
      <c r="E7851" s="709">
        <v>0.37974455837380838</v>
      </c>
      <c r="F7851" s="946">
        <v>0.06</v>
      </c>
      <c r="G7851" s="417">
        <v>1</v>
      </c>
      <c r="H7851" t="s">
        <v>1092</v>
      </c>
      <c r="I7851" s="417" t="s">
        <v>1092</v>
      </c>
      <c r="J7851" s="417">
        <v>22.902999999999999</v>
      </c>
      <c r="K7851" s="417">
        <v>6.2259999999999991</v>
      </c>
    </row>
    <row r="7852" spans="1:11" hidden="1" outlineLevel="1" x14ac:dyDescent="0.25">
      <c r="A7852" s="999">
        <v>3.5000000000000003E-2</v>
      </c>
      <c r="B7852" s="1089" t="s">
        <v>3800</v>
      </c>
      <c r="C7852" s="852">
        <v>165.02</v>
      </c>
      <c r="D7852" s="708">
        <v>201.4</v>
      </c>
      <c r="E7852" s="709">
        <v>0.22045812628772277</v>
      </c>
      <c r="F7852" s="946">
        <v>0.06</v>
      </c>
      <c r="G7852" s="417">
        <v>0</v>
      </c>
      <c r="H7852" t="s">
        <v>2817</v>
      </c>
      <c r="I7852" s="417" t="s">
        <v>2817</v>
      </c>
      <c r="J7852" s="417">
        <v>200.98</v>
      </c>
      <c r="K7852" s="417">
        <v>35.95999999999998</v>
      </c>
    </row>
    <row r="7853" spans="1:11" hidden="1" outlineLevel="1" x14ac:dyDescent="0.25">
      <c r="A7853" s="999">
        <v>0.03</v>
      </c>
      <c r="B7853" s="1089" t="s">
        <v>1206</v>
      </c>
      <c r="C7853" s="852">
        <v>34.453000000000003</v>
      </c>
      <c r="D7853" s="708">
        <v>60.34</v>
      </c>
      <c r="E7853" s="709">
        <v>0.75137143354715108</v>
      </c>
      <c r="F7853" s="946">
        <v>0.06</v>
      </c>
      <c r="G7853" s="417">
        <v>0</v>
      </c>
      <c r="H7853" t="s">
        <v>3484</v>
      </c>
      <c r="I7853" s="417" t="s">
        <v>3484</v>
      </c>
      <c r="J7853" s="417">
        <v>59.904000000000003</v>
      </c>
      <c r="K7853" s="417">
        <v>25.451000000000001</v>
      </c>
    </row>
    <row r="7854" spans="1:11" hidden="1" outlineLevel="1" x14ac:dyDescent="0.25">
      <c r="A7854" s="999">
        <v>2.5000000000000001E-2</v>
      </c>
      <c r="B7854" s="1089" t="s">
        <v>3381</v>
      </c>
      <c r="C7854" s="852">
        <v>132.4</v>
      </c>
      <c r="D7854" s="708">
        <v>145.5</v>
      </c>
      <c r="E7854" s="709">
        <v>9.8942598187311104E-2</v>
      </c>
      <c r="F7854" s="946">
        <v>0.06</v>
      </c>
      <c r="G7854" s="417">
        <v>0</v>
      </c>
      <c r="H7854" t="s">
        <v>1728</v>
      </c>
      <c r="I7854" s="417" t="s">
        <v>1728</v>
      </c>
      <c r="J7854" s="417">
        <v>145.78</v>
      </c>
      <c r="K7854" s="417">
        <v>13.379999999999995</v>
      </c>
    </row>
    <row r="7855" spans="1:11" hidden="1" outlineLevel="1" x14ac:dyDescent="0.25">
      <c r="A7855" s="999">
        <v>0.04</v>
      </c>
      <c r="B7855" s="1089" t="s">
        <v>1239</v>
      </c>
      <c r="C7855" s="852">
        <v>374.35</v>
      </c>
      <c r="D7855" s="708">
        <v>403.5</v>
      </c>
      <c r="E7855" s="709">
        <v>7.7868305062107623E-2</v>
      </c>
      <c r="F7855" s="946">
        <v>0.06</v>
      </c>
      <c r="G7855" s="417">
        <v>0</v>
      </c>
      <c r="H7855" t="s">
        <v>268</v>
      </c>
      <c r="I7855" s="417" t="s">
        <v>268</v>
      </c>
      <c r="J7855" s="417">
        <v>405.28</v>
      </c>
      <c r="K7855" s="417">
        <v>30.92999999999995</v>
      </c>
    </row>
    <row r="7856" spans="1:11" hidden="1" outlineLevel="1" x14ac:dyDescent="0.25">
      <c r="A7856" s="999">
        <v>4.4999999999999998E-2</v>
      </c>
      <c r="B7856" s="1089" t="s">
        <v>577</v>
      </c>
      <c r="C7856" s="852">
        <v>18.024000000000001</v>
      </c>
      <c r="D7856" s="1184">
        <v>10.182</v>
      </c>
      <c r="E7856" s="709">
        <v>-0.43508655126498008</v>
      </c>
      <c r="F7856" s="946">
        <v>-0.43508655126498008</v>
      </c>
      <c r="G7856" s="417">
        <v>0</v>
      </c>
      <c r="H7856" t="s">
        <v>2804</v>
      </c>
      <c r="I7856" s="417" t="s">
        <v>2804</v>
      </c>
      <c r="J7856" s="417">
        <v>10.182</v>
      </c>
      <c r="K7856" s="417">
        <v>-7.8420000000000005</v>
      </c>
    </row>
    <row r="7857" spans="1:11" hidden="1" outlineLevel="1" x14ac:dyDescent="0.25">
      <c r="A7857" s="999">
        <v>0.03</v>
      </c>
      <c r="B7857" s="1089" t="s">
        <v>507</v>
      </c>
      <c r="C7857" s="852">
        <v>19.021999999999998</v>
      </c>
      <c r="D7857" s="708">
        <v>29.8</v>
      </c>
      <c r="E7857" s="742">
        <v>0.56660708653138481</v>
      </c>
      <c r="F7857" s="946">
        <v>0.06</v>
      </c>
      <c r="G7857" s="417">
        <v>0</v>
      </c>
      <c r="H7857" t="s">
        <v>2810</v>
      </c>
      <c r="I7857" s="417" t="s">
        <v>2810</v>
      </c>
      <c r="J7857" s="417">
        <v>29.379000000000001</v>
      </c>
      <c r="K7857" s="417">
        <v>10.357000000000003</v>
      </c>
    </row>
    <row r="7858" spans="1:11" hidden="1" outlineLevel="1" x14ac:dyDescent="0.25">
      <c r="A7858" s="999">
        <v>0.03</v>
      </c>
      <c r="B7858" s="1089" t="s">
        <v>719</v>
      </c>
      <c r="C7858" s="852">
        <v>39.026000000000003</v>
      </c>
      <c r="D7858" s="1184">
        <v>36.258000000000003</v>
      </c>
      <c r="E7858" s="709">
        <v>-7.0927074258186895E-2</v>
      </c>
      <c r="F7858" s="946">
        <v>-7.0927074258186895E-2</v>
      </c>
      <c r="G7858" s="417">
        <v>0</v>
      </c>
      <c r="H7858" t="s">
        <v>1697</v>
      </c>
      <c r="I7858" s="417" t="s">
        <v>1697</v>
      </c>
      <c r="J7858" s="417">
        <v>36.258000000000003</v>
      </c>
      <c r="K7858" s="417">
        <v>-2.7680000000000007</v>
      </c>
    </row>
    <row r="7859" spans="1:11" hidden="1" outlineLevel="1" x14ac:dyDescent="0.25">
      <c r="A7859" s="1232" t="s">
        <v>2465</v>
      </c>
      <c r="B7859" s="1205"/>
      <c r="C7859" s="1206"/>
      <c r="D7859" s="886"/>
      <c r="E7859" s="720"/>
      <c r="F7859" s="1232">
        <v>-1.6709796442045819E-2</v>
      </c>
      <c r="G7859" s="78"/>
    </row>
    <row r="7860" spans="1:11" hidden="1" outlineLevel="1" x14ac:dyDescent="0.25">
      <c r="A7860" s="1017"/>
      <c r="B7860" s="1018"/>
      <c r="C7860" s="837"/>
      <c r="D7860" s="798"/>
      <c r="E7860" s="709"/>
      <c r="F7860" s="1666"/>
      <c r="G7860" s="78"/>
    </row>
    <row r="7861" spans="1:11" hidden="1" outlineLevel="1" x14ac:dyDescent="0.25">
      <c r="A7861" s="725" t="s">
        <v>113</v>
      </c>
      <c r="B7861" s="725"/>
      <c r="C7861" s="1019"/>
      <c r="D7861" s="1019"/>
      <c r="E7861" s="729"/>
      <c r="F7861" s="1188"/>
      <c r="G7861" s="78"/>
    </row>
    <row r="7862" spans="1:11" hidden="1" outlineLevel="1" x14ac:dyDescent="0.25">
      <c r="A7862" s="732" t="s">
        <v>4790</v>
      </c>
      <c r="B7862" s="690"/>
      <c r="C7862" s="691"/>
      <c r="D7862" s="691"/>
      <c r="E7862" s="691"/>
      <c r="F7862" s="1021">
        <v>0.04</v>
      </c>
      <c r="G7862" s="78"/>
    </row>
    <row r="7863" spans="1:11" hidden="1" outlineLevel="1" x14ac:dyDescent="0.25">
      <c r="A7863" s="732" t="s">
        <v>4791</v>
      </c>
      <c r="B7863" s="706"/>
      <c r="C7863" s="1022"/>
      <c r="D7863" s="1022"/>
      <c r="E7863" s="1022"/>
      <c r="F7863" s="946">
        <v>5.0000000000000001E-3</v>
      </c>
      <c r="G7863" s="78"/>
    </row>
    <row r="7864" spans="1:11" hidden="1" outlineLevel="1" x14ac:dyDescent="0.25">
      <c r="A7864" s="732" t="s">
        <v>4792</v>
      </c>
      <c r="B7864" s="706"/>
      <c r="C7864" s="1022"/>
      <c r="D7864" s="1022"/>
      <c r="E7864" s="1022"/>
      <c r="F7864" s="946">
        <v>5.0000000000000001E-3</v>
      </c>
      <c r="G7864" s="78"/>
    </row>
    <row r="7865" spans="1:11" collapsed="1" x14ac:dyDescent="0.25">
      <c r="A7865" s="3803" t="s">
        <v>1104</v>
      </c>
      <c r="B7865" s="3804"/>
      <c r="C7865" s="3804"/>
      <c r="D7865" s="1019"/>
      <c r="E7865" s="1019"/>
      <c r="F7865" s="934">
        <v>0.05</v>
      </c>
      <c r="G7865" s="97" t="s">
        <v>781</v>
      </c>
    </row>
    <row r="7867" spans="1:11" ht="12.75" hidden="1" customHeight="1" outlineLevel="2" x14ac:dyDescent="0.25">
      <c r="A7867" s="689" t="s">
        <v>113</v>
      </c>
      <c r="B7867" s="689" t="s">
        <v>114</v>
      </c>
      <c r="C7867" s="689" t="s">
        <v>112</v>
      </c>
      <c r="D7867" s="689" t="s">
        <v>116</v>
      </c>
      <c r="E7867" s="689" t="s">
        <v>117</v>
      </c>
      <c r="F7867" s="1188" t="s">
        <v>121</v>
      </c>
      <c r="I7867" s="417" t="s">
        <v>5543</v>
      </c>
      <c r="J7867" s="417">
        <v>3928</v>
      </c>
    </row>
    <row r="7868" spans="1:11" ht="12.75" hidden="1" customHeight="1" outlineLevel="2" x14ac:dyDescent="0.25">
      <c r="A7868" s="690">
        <v>1</v>
      </c>
      <c r="B7868" s="691" t="s">
        <v>252</v>
      </c>
      <c r="C7868" s="692">
        <v>100</v>
      </c>
      <c r="D7868" s="692"/>
      <c r="E7868" s="693"/>
      <c r="F7868" s="694"/>
      <c r="I7868" s="417" t="s">
        <v>80</v>
      </c>
      <c r="J7868" s="417">
        <v>62.2</v>
      </c>
    </row>
    <row r="7869" spans="1:11" ht="12.75" hidden="1" customHeight="1" outlineLevel="2" x14ac:dyDescent="0.25">
      <c r="A7869" s="695"/>
      <c r="B7869" s="695"/>
      <c r="C7869" s="696"/>
      <c r="D7869" s="697" t="s">
        <v>3702</v>
      </c>
      <c r="E7869" s="698">
        <v>41563</v>
      </c>
      <c r="F7869" s="699"/>
    </row>
    <row r="7870" spans="1:11" ht="12.75" hidden="1" customHeight="1" outlineLevel="2" x14ac:dyDescent="0.25">
      <c r="A7870" s="495" t="s">
        <v>4156</v>
      </c>
      <c r="B7870" s="495" t="s">
        <v>4153</v>
      </c>
      <c r="C7870" s="700" t="s">
        <v>112</v>
      </c>
      <c r="D7870" s="495" t="s">
        <v>4155</v>
      </c>
      <c r="E7870" s="495" t="s">
        <v>4154</v>
      </c>
      <c r="F7870" s="1021" t="s">
        <v>2519</v>
      </c>
    </row>
    <row r="7871" spans="1:11" ht="12.75" hidden="1" customHeight="1" outlineLevel="2" x14ac:dyDescent="0.25">
      <c r="A7871" s="1127">
        <v>0.03</v>
      </c>
      <c r="B7871" s="949" t="s">
        <v>1995</v>
      </c>
      <c r="C7871" s="1128">
        <v>49.975999999999999</v>
      </c>
      <c r="D7871" s="799">
        <v>35.9</v>
      </c>
      <c r="E7871" s="911">
        <v>-0.28165519449335685</v>
      </c>
      <c r="F7871" s="1021">
        <v>-8.4496558348007046E-3</v>
      </c>
      <c r="H7871" t="s">
        <v>2739</v>
      </c>
    </row>
    <row r="7872" spans="1:11" ht="12.75" hidden="1" customHeight="1" outlineLevel="2" x14ac:dyDescent="0.25">
      <c r="A7872" s="849">
        <v>0.03</v>
      </c>
      <c r="B7872" s="853" t="s">
        <v>3020</v>
      </c>
      <c r="C7872" s="1129">
        <v>47.433999999999997</v>
      </c>
      <c r="D7872" s="852">
        <v>89.23</v>
      </c>
      <c r="E7872" s="909">
        <v>0.88114011046928375</v>
      </c>
      <c r="F7872" s="946">
        <v>2.6434203314078513E-2</v>
      </c>
      <c r="H7872" t="s">
        <v>490</v>
      </c>
    </row>
    <row r="7873" spans="1:8" ht="12.75" hidden="1" customHeight="1" outlineLevel="2" x14ac:dyDescent="0.25">
      <c r="A7873" s="849">
        <v>3.5000000000000003E-2</v>
      </c>
      <c r="B7873" s="853" t="s">
        <v>1440</v>
      </c>
      <c r="C7873" s="1129">
        <v>78.691999999999993</v>
      </c>
      <c r="D7873" s="852">
        <v>62.28</v>
      </c>
      <c r="E7873" s="909">
        <v>-0.20855995526864224</v>
      </c>
      <c r="F7873" s="946">
        <v>-7.2995984344024793E-3</v>
      </c>
      <c r="H7873" t="s">
        <v>2569</v>
      </c>
    </row>
    <row r="7874" spans="1:8" ht="12.75" hidden="1" customHeight="1" outlineLevel="2" x14ac:dyDescent="0.25">
      <c r="A7874" s="849">
        <v>0.03</v>
      </c>
      <c r="B7874" s="853" t="s">
        <v>3406</v>
      </c>
      <c r="C7874" s="1129">
        <v>966.6</v>
      </c>
      <c r="D7874" s="852">
        <v>1938</v>
      </c>
      <c r="E7874" s="909">
        <v>1.0049658597144631</v>
      </c>
      <c r="F7874" s="946">
        <v>3.0148975791433892E-2</v>
      </c>
      <c r="H7874" t="s">
        <v>2105</v>
      </c>
    </row>
    <row r="7875" spans="1:8" ht="12.75" hidden="1" customHeight="1" outlineLevel="2" x14ac:dyDescent="0.25">
      <c r="A7875" s="849">
        <v>3.5000000000000003E-2</v>
      </c>
      <c r="B7875" s="853" t="s">
        <v>3240</v>
      </c>
      <c r="C7875" s="1129">
        <v>6022</v>
      </c>
      <c r="D7875" s="852">
        <v>8490</v>
      </c>
      <c r="E7875" s="909">
        <v>0.40983062105612755</v>
      </c>
      <c r="F7875" s="946">
        <v>1.4344071736964465E-2</v>
      </c>
      <c r="H7875" t="s">
        <v>633</v>
      </c>
    </row>
    <row r="7876" spans="1:8" ht="12.75" hidden="1" customHeight="1" outlineLevel="2" x14ac:dyDescent="0.25">
      <c r="A7876" s="849">
        <v>3.2500000000000001E-2</v>
      </c>
      <c r="B7876" s="853" t="s">
        <v>3798</v>
      </c>
      <c r="C7876" s="1129">
        <v>4.3094999999999999</v>
      </c>
      <c r="D7876" s="852">
        <v>3.2759999999999998</v>
      </c>
      <c r="E7876" s="909">
        <v>-0.23981900452488691</v>
      </c>
      <c r="F7876" s="946">
        <v>-7.7941176470588246E-3</v>
      </c>
      <c r="H7876" t="s">
        <v>4122</v>
      </c>
    </row>
    <row r="7877" spans="1:8" ht="12.75" hidden="1" customHeight="1" outlineLevel="2" x14ac:dyDescent="0.25">
      <c r="A7877" s="849">
        <v>0.03</v>
      </c>
      <c r="B7877" s="906" t="s">
        <v>3021</v>
      </c>
      <c r="C7877" s="1129">
        <v>17.228000000000002</v>
      </c>
      <c r="D7877" s="852">
        <v>17.850000000000001</v>
      </c>
      <c r="E7877" s="909">
        <v>3.6104016716972387E-2</v>
      </c>
      <c r="F7877" s="946">
        <v>1.0831205015091716E-3</v>
      </c>
      <c r="H7877" t="s">
        <v>4124</v>
      </c>
    </row>
    <row r="7878" spans="1:8" ht="12.75" hidden="1" customHeight="1" outlineLevel="2" x14ac:dyDescent="0.25">
      <c r="A7878" s="849">
        <v>0.04</v>
      </c>
      <c r="B7878" s="853" t="s">
        <v>2630</v>
      </c>
      <c r="C7878" s="1129">
        <v>17.893000000000001</v>
      </c>
      <c r="D7878" s="852">
        <v>7.3639999999999999</v>
      </c>
      <c r="E7878" s="909">
        <v>-0.58844240764544797</v>
      </c>
      <c r="F7878" s="946">
        <v>-2.353769630581792E-2</v>
      </c>
      <c r="H7878" t="e">
        <v>#N/A</v>
      </c>
    </row>
    <row r="7879" spans="1:8" ht="12.75" hidden="1" customHeight="1" outlineLevel="2" x14ac:dyDescent="0.25">
      <c r="A7879" s="849">
        <v>3.2500000000000001E-2</v>
      </c>
      <c r="B7879" s="853" t="s">
        <v>4496</v>
      </c>
      <c r="C7879" s="1129">
        <v>39.828000000000003</v>
      </c>
      <c r="D7879" s="852">
        <v>72.489999999999995</v>
      </c>
      <c r="E7879" s="909">
        <v>0.82007632821130838</v>
      </c>
      <c r="F7879" s="946">
        <v>2.6652480666867522E-2</v>
      </c>
      <c r="H7879" t="s">
        <v>2385</v>
      </c>
    </row>
    <row r="7880" spans="1:8" ht="12.75" hidden="1" customHeight="1" outlineLevel="2" x14ac:dyDescent="0.25">
      <c r="A7880" s="849">
        <v>0.03</v>
      </c>
      <c r="B7880" s="1089" t="s">
        <v>3643</v>
      </c>
      <c r="C7880" s="1129">
        <v>197.5</v>
      </c>
      <c r="D7880" s="852">
        <v>271.8</v>
      </c>
      <c r="E7880" s="909">
        <v>0.37620253164556972</v>
      </c>
      <c r="F7880" s="946">
        <v>1.1286075949367091E-2</v>
      </c>
      <c r="H7880" t="s">
        <v>1729</v>
      </c>
    </row>
    <row r="7881" spans="1:8" ht="12.75" hidden="1" customHeight="1" outlineLevel="2" x14ac:dyDescent="0.25">
      <c r="A7881" s="849">
        <v>0.03</v>
      </c>
      <c r="B7881" s="853" t="s">
        <v>52</v>
      </c>
      <c r="C7881" s="1129">
        <v>125.012</v>
      </c>
      <c r="D7881" s="852">
        <v>186.73</v>
      </c>
      <c r="E7881" s="909">
        <v>0.49369660512590774</v>
      </c>
      <c r="F7881" s="946">
        <v>1.4810898153777232E-2</v>
      </c>
      <c r="H7881" t="s">
        <v>4130</v>
      </c>
    </row>
    <row r="7882" spans="1:8" ht="12.75" hidden="1" customHeight="1" outlineLevel="2" x14ac:dyDescent="0.25">
      <c r="A7882" s="849">
        <v>4.4999999999999998E-2</v>
      </c>
      <c r="B7882" s="1089" t="s">
        <v>4143</v>
      </c>
      <c r="C7882" s="1129">
        <v>11.798999999999999</v>
      </c>
      <c r="D7882" s="852">
        <v>2.4300000000000002</v>
      </c>
      <c r="E7882" s="909">
        <v>-0.79405034324942791</v>
      </c>
      <c r="F7882" s="946">
        <v>-3.5732265446224258E-2</v>
      </c>
      <c r="H7882" t="s">
        <v>4144</v>
      </c>
    </row>
    <row r="7883" spans="1:8" ht="12.75" hidden="1" customHeight="1" outlineLevel="2" x14ac:dyDescent="0.25">
      <c r="A7883" s="849">
        <v>0.03</v>
      </c>
      <c r="B7883" s="853" t="s">
        <v>2160</v>
      </c>
      <c r="C7883" s="1129">
        <v>26.062000000000001</v>
      </c>
      <c r="D7883" s="852">
        <v>53.06</v>
      </c>
      <c r="E7883" s="909">
        <v>1.0359143580692196</v>
      </c>
      <c r="F7883" s="946">
        <v>3.1077430742076587E-2</v>
      </c>
      <c r="H7883" t="s">
        <v>5507</v>
      </c>
    </row>
    <row r="7884" spans="1:8" ht="12.75" hidden="1" customHeight="1" outlineLevel="2" x14ac:dyDescent="0.25">
      <c r="A7884" s="849">
        <v>3.2500000000000001E-2</v>
      </c>
      <c r="B7884" s="1089" t="s">
        <v>816</v>
      </c>
      <c r="C7884" s="1129">
        <v>56.887999999999998</v>
      </c>
      <c r="D7884" s="852">
        <v>95.22</v>
      </c>
      <c r="E7884" s="909">
        <v>0.67381521586274795</v>
      </c>
      <c r="F7884" s="946">
        <v>2.1898994515539311E-2</v>
      </c>
      <c r="H7884" t="s">
        <v>817</v>
      </c>
    </row>
    <row r="7885" spans="1:8" ht="12.75" hidden="1" customHeight="1" outlineLevel="2" x14ac:dyDescent="0.25">
      <c r="A7885" s="849">
        <v>2.75E-2</v>
      </c>
      <c r="B7885" s="853" t="s">
        <v>1001</v>
      </c>
      <c r="C7885" s="1129">
        <v>25.576000000000001</v>
      </c>
      <c r="D7885" s="852">
        <v>34.64</v>
      </c>
      <c r="E7885" s="909">
        <v>0.35439474507350632</v>
      </c>
      <c r="F7885" s="946">
        <v>9.7458554895214246E-3</v>
      </c>
      <c r="H7885" t="s">
        <v>4150</v>
      </c>
    </row>
    <row r="7886" spans="1:8" ht="12.75" hidden="1" customHeight="1" outlineLevel="2" x14ac:dyDescent="0.25">
      <c r="A7886" s="849">
        <v>0.03</v>
      </c>
      <c r="B7886" s="853" t="s">
        <v>247</v>
      </c>
      <c r="C7886" s="1129">
        <v>1905.8</v>
      </c>
      <c r="D7886" s="852">
        <v>1983</v>
      </c>
      <c r="E7886" s="909">
        <v>4.0507923181865912E-2</v>
      </c>
      <c r="F7886" s="946">
        <v>1.2152376954559774E-3</v>
      </c>
      <c r="H7886" t="s">
        <v>3640</v>
      </c>
    </row>
    <row r="7887" spans="1:8" ht="12.75" hidden="1" customHeight="1" outlineLevel="2" x14ac:dyDescent="0.25">
      <c r="A7887" s="849">
        <v>3.5000000000000003E-2</v>
      </c>
      <c r="B7887" s="853" t="s">
        <v>2786</v>
      </c>
      <c r="C7887" s="1129">
        <v>595.1</v>
      </c>
      <c r="D7887" s="852">
        <v>752</v>
      </c>
      <c r="E7887" s="909">
        <v>0.26365316753486812</v>
      </c>
      <c r="F7887" s="946">
        <v>9.2278608637203843E-3</v>
      </c>
      <c r="H7887" t="s">
        <v>4195</v>
      </c>
    </row>
    <row r="7888" spans="1:8" ht="12.75" hidden="1" customHeight="1" outlineLevel="2" x14ac:dyDescent="0.25">
      <c r="A7888" s="849">
        <v>3.7499999999999999E-2</v>
      </c>
      <c r="B7888" s="853" t="s">
        <v>3797</v>
      </c>
      <c r="C7888" s="1129">
        <v>43.508000000000003</v>
      </c>
      <c r="D7888" s="852">
        <v>62</v>
      </c>
      <c r="E7888" s="909">
        <v>0.42502528270662854</v>
      </c>
      <c r="F7888" s="946">
        <v>1.5938448101498571E-2</v>
      </c>
      <c r="H7888" t="s">
        <v>3848</v>
      </c>
    </row>
    <row r="7889" spans="1:8" ht="12.75" hidden="1" customHeight="1" outlineLevel="2" x14ac:dyDescent="0.25">
      <c r="A7889" s="849">
        <v>4.4999999999999998E-2</v>
      </c>
      <c r="B7889" s="1146" t="s">
        <v>2787</v>
      </c>
      <c r="C7889" s="1129">
        <v>51.58</v>
      </c>
      <c r="D7889" s="852">
        <v>67.5</v>
      </c>
      <c r="E7889" s="909">
        <v>0.30864676231097321</v>
      </c>
      <c r="F7889" s="946">
        <v>1.3889104303993795E-2</v>
      </c>
      <c r="H7889" t="s">
        <v>80</v>
      </c>
    </row>
    <row r="7890" spans="1:8" ht="12.75" hidden="1" customHeight="1" outlineLevel="2" x14ac:dyDescent="0.25">
      <c r="A7890" s="849">
        <v>4.4999999999999998E-2</v>
      </c>
      <c r="B7890" s="740" t="s">
        <v>4273</v>
      </c>
      <c r="C7890" s="1129">
        <v>135400</v>
      </c>
      <c r="D7890" s="852">
        <v>156300</v>
      </c>
      <c r="E7890" s="909">
        <v>0.15435745937961598</v>
      </c>
      <c r="F7890" s="946">
        <v>6.9460856720827188E-3</v>
      </c>
      <c r="H7890" t="s">
        <v>82</v>
      </c>
    </row>
    <row r="7891" spans="1:8" ht="12.75" hidden="1" customHeight="1" outlineLevel="2" x14ac:dyDescent="0.25">
      <c r="A7891" s="849">
        <v>2.75E-2</v>
      </c>
      <c r="B7891" s="740" t="s">
        <v>1414</v>
      </c>
      <c r="C7891" s="1129">
        <v>16.838000000000001</v>
      </c>
      <c r="D7891" s="852">
        <v>29.8</v>
      </c>
      <c r="E7891" s="909">
        <v>0.76980639030763753</v>
      </c>
      <c r="F7891" s="946">
        <v>3.4641287563843687E-2</v>
      </c>
      <c r="H7891" t="s">
        <v>2428</v>
      </c>
    </row>
    <row r="7892" spans="1:8" ht="12.75" hidden="1" customHeight="1" outlineLevel="2" x14ac:dyDescent="0.25">
      <c r="A7892" s="849">
        <v>2.5000000000000001E-2</v>
      </c>
      <c r="B7892" s="740" t="s">
        <v>1653</v>
      </c>
      <c r="C7892" s="1129">
        <v>7.6463999999999999</v>
      </c>
      <c r="D7892" s="852">
        <v>14.824999999999999</v>
      </c>
      <c r="E7892" s="909">
        <v>0.9388208830299225</v>
      </c>
      <c r="F7892" s="946">
        <v>2.5817574283322868E-2</v>
      </c>
      <c r="H7892" t="s">
        <v>285</v>
      </c>
    </row>
    <row r="7893" spans="1:8" ht="12.75" hidden="1" customHeight="1" outlineLevel="2" x14ac:dyDescent="0.25">
      <c r="A7893" s="849">
        <v>0.03</v>
      </c>
      <c r="B7893" s="740" t="s">
        <v>3800</v>
      </c>
      <c r="C7893" s="1129">
        <v>166.88</v>
      </c>
      <c r="D7893" s="852">
        <v>245.6</v>
      </c>
      <c r="E7893" s="909">
        <v>0.47171620325982744</v>
      </c>
      <c r="F7893" s="946">
        <v>1.1792905081495686E-2</v>
      </c>
      <c r="H7893" t="s">
        <v>2817</v>
      </c>
    </row>
    <row r="7894" spans="1:8" ht="12.75" hidden="1" customHeight="1" outlineLevel="2" x14ac:dyDescent="0.25">
      <c r="A7894" s="849">
        <v>3.7499999999999999E-2</v>
      </c>
      <c r="B7894" s="853" t="s">
        <v>3381</v>
      </c>
      <c r="C7894" s="1129">
        <v>132.16</v>
      </c>
      <c r="D7894" s="852">
        <v>136.5</v>
      </c>
      <c r="E7894" s="909">
        <v>3.2838983050847537E-2</v>
      </c>
      <c r="F7894" s="946">
        <v>9.8516949152542598E-4</v>
      </c>
      <c r="H7894" t="s">
        <v>1728</v>
      </c>
    </row>
    <row r="7895" spans="1:8" ht="12.75" hidden="1" customHeight="1" outlineLevel="2" x14ac:dyDescent="0.25">
      <c r="A7895" s="849">
        <v>4.2500000000000003E-2</v>
      </c>
      <c r="B7895" s="853" t="s">
        <v>1239</v>
      </c>
      <c r="C7895" s="1129">
        <v>370.2</v>
      </c>
      <c r="D7895" s="852">
        <v>454.2</v>
      </c>
      <c r="E7895" s="909">
        <v>0.22690437601296587</v>
      </c>
      <c r="F7895" s="946">
        <v>8.5089141004862194E-3</v>
      </c>
      <c r="H7895" t="s">
        <v>268</v>
      </c>
    </row>
    <row r="7896" spans="1:8" ht="12.75" hidden="1" customHeight="1" outlineLevel="2" x14ac:dyDescent="0.25">
      <c r="A7896" s="849">
        <v>3.2500000000000001E-2</v>
      </c>
      <c r="B7896" s="853" t="s">
        <v>3022</v>
      </c>
      <c r="C7896" s="1129">
        <v>3640</v>
      </c>
      <c r="D7896" s="852">
        <v>4705</v>
      </c>
      <c r="E7896" s="909">
        <v>0.29258241758241765</v>
      </c>
      <c r="F7896" s="946">
        <v>1.2434752747252751E-2</v>
      </c>
      <c r="H7896" t="s">
        <v>2802</v>
      </c>
    </row>
    <row r="7897" spans="1:8" ht="12.75" hidden="1" customHeight="1" outlineLevel="2" x14ac:dyDescent="0.25">
      <c r="A7897" s="849">
        <v>0.03</v>
      </c>
      <c r="B7897" s="853" t="s">
        <v>577</v>
      </c>
      <c r="C7897" s="1129">
        <v>19.039000000000001</v>
      </c>
      <c r="D7897" s="852">
        <v>12.81</v>
      </c>
      <c r="E7897" s="909">
        <v>-0.32717054467146389</v>
      </c>
      <c r="F7897" s="946">
        <v>-1.0633042701822576E-2</v>
      </c>
      <c r="H7897" t="s">
        <v>2804</v>
      </c>
    </row>
    <row r="7898" spans="1:8" ht="12.75" hidden="1" customHeight="1" outlineLevel="2" x14ac:dyDescent="0.25">
      <c r="A7898" s="849">
        <v>0.03</v>
      </c>
      <c r="B7898" s="853" t="s">
        <v>583</v>
      </c>
      <c r="C7898" s="1129">
        <v>383.5</v>
      </c>
      <c r="D7898" s="852">
        <v>365.5</v>
      </c>
      <c r="E7898" s="909">
        <v>-4.6936114732724854E-2</v>
      </c>
      <c r="F7898" s="946">
        <v>-1.4080834419817456E-3</v>
      </c>
      <c r="H7898" t="s">
        <v>1594</v>
      </c>
    </row>
    <row r="7899" spans="1:8" ht="12.75" hidden="1" customHeight="1" outlineLevel="2" x14ac:dyDescent="0.25">
      <c r="A7899" s="849">
        <v>3.2500000000000001E-2</v>
      </c>
      <c r="B7899" s="853" t="s">
        <v>255</v>
      </c>
      <c r="C7899" s="1129">
        <v>29.143999999999998</v>
      </c>
      <c r="D7899" s="852">
        <v>47.25</v>
      </c>
      <c r="E7899" s="909">
        <v>0.62125995059017303</v>
      </c>
      <c r="F7899" s="946">
        <v>1.8637798517705192E-2</v>
      </c>
      <c r="H7899" t="s">
        <v>3351</v>
      </c>
    </row>
    <row r="7900" spans="1:8" ht="12.75" hidden="1" customHeight="1" outlineLevel="2" x14ac:dyDescent="0.25">
      <c r="A7900" s="990">
        <v>0.03</v>
      </c>
      <c r="B7900" s="746" t="s">
        <v>3169</v>
      </c>
      <c r="C7900" s="1130">
        <v>20.571999999999999</v>
      </c>
      <c r="D7900" s="801">
        <v>18.97</v>
      </c>
      <c r="E7900" s="498">
        <v>-7.7872836865642614E-2</v>
      </c>
      <c r="F7900" s="1023">
        <v>-2.5308671981333851E-3</v>
      </c>
      <c r="H7900" t="s">
        <v>657</v>
      </c>
    </row>
    <row r="7901" spans="1:8" ht="12.75" hidden="1" customHeight="1" outlineLevel="2" x14ac:dyDescent="0.25">
      <c r="A7901" s="1022"/>
      <c r="B7901" s="1022"/>
      <c r="C7901" s="1022"/>
      <c r="D7901" s="1022"/>
      <c r="E7901" s="1022"/>
      <c r="F7901" s="731">
        <v>0.25013191827327658</v>
      </c>
    </row>
    <row r="7902" spans="1:8" collapsed="1" x14ac:dyDescent="0.25">
      <c r="A7902" s="3801" t="s">
        <v>1105</v>
      </c>
      <c r="B7902" s="3802"/>
      <c r="C7902" s="3802"/>
      <c r="D7902" s="3802"/>
      <c r="E7902" s="721"/>
      <c r="F7902" s="752">
        <v>0.22</v>
      </c>
      <c r="G7902" s="97" t="s">
        <v>781</v>
      </c>
    </row>
    <row r="7904" spans="1:8" hidden="1" outlineLevel="1" x14ac:dyDescent="0.25">
      <c r="A7904" s="689" t="s">
        <v>113</v>
      </c>
      <c r="B7904" s="689" t="s">
        <v>114</v>
      </c>
      <c r="C7904" s="689" t="s">
        <v>112</v>
      </c>
      <c r="D7904" s="689" t="s">
        <v>116</v>
      </c>
      <c r="E7904" s="689" t="s">
        <v>117</v>
      </c>
      <c r="F7904" s="1188" t="s">
        <v>121</v>
      </c>
    </row>
    <row r="7905" spans="1:6" hidden="1" outlineLevel="1" x14ac:dyDescent="0.25">
      <c r="A7905" s="751" t="s">
        <v>4625</v>
      </c>
      <c r="B7905" s="729" t="s">
        <v>115</v>
      </c>
      <c r="C7905" s="719">
        <v>2355.3829999999998</v>
      </c>
      <c r="D7905" s="719">
        <v>2669.41</v>
      </c>
      <c r="E7905" s="720">
        <v>0.13332311560370447</v>
      </c>
      <c r="F7905" s="731">
        <v>0</v>
      </c>
    </row>
    <row r="7906" spans="1:6" hidden="1" outlineLevel="1" x14ac:dyDescent="0.25">
      <c r="A7906" s="751" t="s">
        <v>4626</v>
      </c>
      <c r="B7906" s="729" t="s">
        <v>115</v>
      </c>
      <c r="C7906" s="823">
        <v>2669.41</v>
      </c>
      <c r="D7906" s="823">
        <v>2829.25</v>
      </c>
      <c r="E7906" s="720">
        <v>5.9878400095901396E-2</v>
      </c>
      <c r="F7906" s="731">
        <v>0</v>
      </c>
    </row>
    <row r="7907" spans="1:6" hidden="1" outlineLevel="1" x14ac:dyDescent="0.25">
      <c r="A7907" s="751" t="s">
        <v>4627</v>
      </c>
      <c r="B7907" s="729" t="s">
        <v>115</v>
      </c>
      <c r="C7907" s="719">
        <v>2829.26</v>
      </c>
      <c r="D7907" s="719">
        <v>2950.82</v>
      </c>
      <c r="E7907" s="720">
        <v>4.296529834656404E-2</v>
      </c>
      <c r="F7907" s="731">
        <v>0</v>
      </c>
    </row>
    <row r="7908" spans="1:6" hidden="1" outlineLevel="1" x14ac:dyDescent="0.25">
      <c r="A7908" s="751" t="s">
        <v>4628</v>
      </c>
      <c r="B7908" s="729" t="s">
        <v>115</v>
      </c>
      <c r="C7908" s="719">
        <v>2950.82</v>
      </c>
      <c r="D7908" s="719">
        <v>2883.04</v>
      </c>
      <c r="E7908" s="720">
        <v>-2.2969886336679401E-2</v>
      </c>
      <c r="F7908" s="731">
        <v>-2.2969886336679401E-2</v>
      </c>
    </row>
    <row r="7909" spans="1:6" hidden="1" outlineLevel="1" x14ac:dyDescent="0.25">
      <c r="A7909" s="751" t="s">
        <v>4629</v>
      </c>
      <c r="B7909" s="729" t="s">
        <v>115</v>
      </c>
      <c r="C7909" s="719">
        <v>2883.04</v>
      </c>
      <c r="D7909" s="719">
        <v>2885</v>
      </c>
      <c r="E7909" s="720">
        <v>6.7983794883175186E-4</v>
      </c>
      <c r="F7909" s="731">
        <v>0</v>
      </c>
    </row>
    <row r="7910" spans="1:6" hidden="1" outlineLevel="1" x14ac:dyDescent="0.25">
      <c r="A7910" s="751" t="s">
        <v>4630</v>
      </c>
      <c r="B7910" s="729" t="s">
        <v>115</v>
      </c>
      <c r="C7910" s="719">
        <v>2885</v>
      </c>
      <c r="D7910" s="719">
        <v>2940.25</v>
      </c>
      <c r="E7910" s="720">
        <v>1.915077989601377E-2</v>
      </c>
      <c r="F7910" s="731">
        <v>0</v>
      </c>
    </row>
    <row r="7911" spans="1:6" hidden="1" outlineLevel="1" x14ac:dyDescent="0.25">
      <c r="A7911" s="751" t="s">
        <v>4631</v>
      </c>
      <c r="B7911" s="729" t="s">
        <v>115</v>
      </c>
      <c r="C7911" s="719">
        <v>2940.25</v>
      </c>
      <c r="D7911" s="719">
        <v>2674.46</v>
      </c>
      <c r="E7911" s="720">
        <v>-9.0397075078649802E-2</v>
      </c>
      <c r="F7911" s="731">
        <v>-9.0397075078649802E-2</v>
      </c>
    </row>
    <row r="7912" spans="1:6" hidden="1" outlineLevel="1" x14ac:dyDescent="0.25">
      <c r="A7912" s="751" t="s">
        <v>4632</v>
      </c>
      <c r="B7912" s="729" t="s">
        <v>115</v>
      </c>
      <c r="C7912" s="719">
        <v>2674.46</v>
      </c>
      <c r="D7912" s="719">
        <v>2898.36</v>
      </c>
      <c r="E7912" s="720">
        <v>8.3717834628298737E-2</v>
      </c>
      <c r="F7912" s="731">
        <v>0</v>
      </c>
    </row>
    <row r="7913" spans="1:6" hidden="1" outlineLevel="1" x14ac:dyDescent="0.25">
      <c r="A7913" s="751" t="s">
        <v>4633</v>
      </c>
      <c r="B7913" s="729" t="s">
        <v>115</v>
      </c>
      <c r="C7913" s="719">
        <v>2898.36</v>
      </c>
      <c r="D7913" s="719">
        <v>2949.65</v>
      </c>
      <c r="E7913" s="720">
        <v>1.7696214410908295E-2</v>
      </c>
      <c r="F7913" s="731">
        <v>0</v>
      </c>
    </row>
    <row r="7914" spans="1:6" hidden="1" outlineLevel="1" x14ac:dyDescent="0.25">
      <c r="A7914" s="751" t="s">
        <v>4634</v>
      </c>
      <c r="B7914" s="729" t="s">
        <v>115</v>
      </c>
      <c r="C7914" s="719">
        <v>2949.65</v>
      </c>
      <c r="D7914" s="719">
        <v>2633.92</v>
      </c>
      <c r="E7914" s="720">
        <v>-0.10703981828352516</v>
      </c>
      <c r="F7914" s="731">
        <v>-0.10703981828352516</v>
      </c>
    </row>
    <row r="7915" spans="1:6" hidden="1" outlineLevel="1" x14ac:dyDescent="0.25">
      <c r="A7915" s="751" t="s">
        <v>4635</v>
      </c>
      <c r="B7915" s="729" t="s">
        <v>115</v>
      </c>
      <c r="C7915" s="719">
        <v>2633.92</v>
      </c>
      <c r="D7915" s="719">
        <v>2683.46</v>
      </c>
      <c r="E7915" s="720">
        <v>1.8808467986878963E-2</v>
      </c>
      <c r="F7915" s="731">
        <v>0</v>
      </c>
    </row>
    <row r="7916" spans="1:6" hidden="1" outlineLevel="1" x14ac:dyDescent="0.25">
      <c r="A7916" s="751" t="s">
        <v>4636</v>
      </c>
      <c r="B7916" s="729" t="s">
        <v>115</v>
      </c>
      <c r="C7916" s="719">
        <v>2683.46</v>
      </c>
      <c r="D7916" s="719">
        <v>2738.96</v>
      </c>
      <c r="E7916" s="720">
        <v>2.0682253508530035E-2</v>
      </c>
      <c r="F7916" s="731">
        <v>0</v>
      </c>
    </row>
    <row r="7917" spans="1:6" hidden="1" outlineLevel="1" x14ac:dyDescent="0.25">
      <c r="A7917" s="751" t="s">
        <v>4637</v>
      </c>
      <c r="B7917" s="729" t="s">
        <v>115</v>
      </c>
      <c r="C7917" s="719">
        <v>2738.96</v>
      </c>
      <c r="D7917" s="719">
        <v>2708.83</v>
      </c>
      <c r="E7917" s="720">
        <v>-1.1000525746998946E-2</v>
      </c>
      <c r="F7917" s="731">
        <v>-1.1000525746998946E-2</v>
      </c>
    </row>
    <row r="7918" spans="1:6" hidden="1" outlineLevel="1" x14ac:dyDescent="0.25">
      <c r="A7918" s="751" t="s">
        <v>4638</v>
      </c>
      <c r="B7918" s="729" t="s">
        <v>115</v>
      </c>
      <c r="C7918" s="719">
        <v>2708.83</v>
      </c>
      <c r="D7918" s="727">
        <v>2806.47</v>
      </c>
      <c r="E7918" s="720">
        <v>3.6045082194157585E-2</v>
      </c>
      <c r="F7918" s="731">
        <v>0</v>
      </c>
    </row>
    <row r="7919" spans="1:6" hidden="1" outlineLevel="1" x14ac:dyDescent="0.25">
      <c r="A7919" s="751" t="s">
        <v>4639</v>
      </c>
      <c r="B7919" s="729" t="s">
        <v>115</v>
      </c>
      <c r="C7919" s="719">
        <v>2806.47</v>
      </c>
      <c r="D7919" s="719">
        <v>2836.11</v>
      </c>
      <c r="E7919" s="720">
        <v>1.0561310115554612E-2</v>
      </c>
      <c r="F7919" s="731">
        <v>0</v>
      </c>
    </row>
    <row r="7920" spans="1:6" hidden="1" outlineLevel="1" x14ac:dyDescent="0.25">
      <c r="A7920" s="751" t="s">
        <v>4640</v>
      </c>
      <c r="B7920" s="729" t="s">
        <v>115</v>
      </c>
      <c r="C7920" s="719">
        <v>2836.11</v>
      </c>
      <c r="D7920" s="719">
        <v>2822.43</v>
      </c>
      <c r="E7920" s="720">
        <v>-4.8235082560268427E-3</v>
      </c>
      <c r="F7920" s="731">
        <v>-4.8235082560268427E-3</v>
      </c>
    </row>
    <row r="7921" spans="1:6" hidden="1" outlineLevel="1" x14ac:dyDescent="0.25">
      <c r="A7921" s="751" t="s">
        <v>4641</v>
      </c>
      <c r="B7921" s="729" t="s">
        <v>115</v>
      </c>
      <c r="C7921" s="719">
        <v>2822.43</v>
      </c>
      <c r="D7921" s="719">
        <v>2861.67</v>
      </c>
      <c r="E7921" s="720">
        <v>1.3902913446923515E-2</v>
      </c>
      <c r="F7921" s="731">
        <v>0</v>
      </c>
    </row>
    <row r="7922" spans="1:6" hidden="1" outlineLevel="1" x14ac:dyDescent="0.25">
      <c r="A7922" s="751" t="s">
        <v>4642</v>
      </c>
      <c r="B7922" s="729" t="s">
        <v>115</v>
      </c>
      <c r="C7922" s="719">
        <v>2861.67</v>
      </c>
      <c r="D7922" s="719">
        <v>2920.4</v>
      </c>
      <c r="E7922" s="720">
        <v>2.0522981336072998E-2</v>
      </c>
      <c r="F7922" s="731">
        <v>0</v>
      </c>
    </row>
    <row r="7923" spans="1:6" hidden="1" outlineLevel="1" x14ac:dyDescent="0.25">
      <c r="A7923" s="751" t="s">
        <v>4643</v>
      </c>
      <c r="B7923" s="729" t="s">
        <v>115</v>
      </c>
      <c r="C7923" s="719">
        <v>2920.4</v>
      </c>
      <c r="D7923" s="719">
        <v>3018.38</v>
      </c>
      <c r="E7923" s="720">
        <v>3.3550198602931181E-2</v>
      </c>
      <c r="F7923" s="731">
        <v>0</v>
      </c>
    </row>
    <row r="7924" spans="1:6" hidden="1" outlineLevel="1" x14ac:dyDescent="0.25">
      <c r="A7924" s="751" t="s">
        <v>4644</v>
      </c>
      <c r="B7924" s="729" t="s">
        <v>115</v>
      </c>
      <c r="C7924" s="719">
        <v>3018.38</v>
      </c>
      <c r="D7924" s="719">
        <v>2852.11</v>
      </c>
      <c r="E7924" s="720">
        <v>-5.5085840749011017E-2</v>
      </c>
      <c r="F7924" s="731">
        <v>-5.5085840749011017E-2</v>
      </c>
    </row>
    <row r="7925" spans="1:6" hidden="1" outlineLevel="1" x14ac:dyDescent="0.25">
      <c r="A7925" s="751" t="s">
        <v>4645</v>
      </c>
      <c r="B7925" s="729" t="s">
        <v>115</v>
      </c>
      <c r="C7925" s="719">
        <v>2852.11</v>
      </c>
      <c r="D7925" s="719">
        <v>2917.72</v>
      </c>
      <c r="E7925" s="720">
        <v>2.3004021584020151E-2</v>
      </c>
      <c r="F7925" s="731">
        <v>0</v>
      </c>
    </row>
    <row r="7926" spans="1:6" hidden="1" outlineLevel="1" x14ac:dyDescent="0.25">
      <c r="A7926" s="751" t="s">
        <v>4646</v>
      </c>
      <c r="B7926" s="729" t="s">
        <v>115</v>
      </c>
      <c r="C7926" s="719">
        <v>2917.72</v>
      </c>
      <c r="D7926" s="719">
        <v>2894.6</v>
      </c>
      <c r="E7926" s="720">
        <v>-7.9239954485008646E-3</v>
      </c>
      <c r="F7926" s="731">
        <v>-7.9239954485008646E-3</v>
      </c>
    </row>
    <row r="7927" spans="1:6" hidden="1" outlineLevel="1" x14ac:dyDescent="0.25">
      <c r="A7927" s="751" t="s">
        <v>4647</v>
      </c>
      <c r="B7927" s="729" t="s">
        <v>115</v>
      </c>
      <c r="C7927" s="719">
        <v>2894.6</v>
      </c>
      <c r="D7927" s="719">
        <v>2779.94</v>
      </c>
      <c r="E7927" s="720">
        <v>-3.9611690734471017E-2</v>
      </c>
      <c r="F7927" s="731">
        <v>-3.9611690734471017E-2</v>
      </c>
    </row>
    <row r="7928" spans="1:6" hidden="1" outlineLevel="1" x14ac:dyDescent="0.25">
      <c r="A7928" s="751" t="s">
        <v>4648</v>
      </c>
      <c r="B7928" s="729" t="s">
        <v>115</v>
      </c>
      <c r="C7928" s="719">
        <v>2779.94</v>
      </c>
      <c r="D7928" s="719">
        <v>2695.29</v>
      </c>
      <c r="E7928" s="720">
        <v>-3.0450297488435085E-2</v>
      </c>
      <c r="F7928" s="731">
        <v>-3.0450297488435085E-2</v>
      </c>
    </row>
    <row r="7929" spans="1:6" hidden="1" outlineLevel="1" x14ac:dyDescent="0.25">
      <c r="A7929" s="751" t="s">
        <v>4649</v>
      </c>
      <c r="B7929" s="729" t="s">
        <v>115</v>
      </c>
      <c r="C7929" s="719">
        <v>2695.29</v>
      </c>
      <c r="D7929" s="719">
        <v>2307.33</v>
      </c>
      <c r="E7929" s="720">
        <v>-0.14393998419465071</v>
      </c>
      <c r="F7929" s="731">
        <v>-0.14393998419465071</v>
      </c>
    </row>
    <row r="7930" spans="1:6" hidden="1" outlineLevel="1" x14ac:dyDescent="0.25">
      <c r="A7930" s="751" t="s">
        <v>4650</v>
      </c>
      <c r="B7930" s="729" t="s">
        <v>115</v>
      </c>
      <c r="C7930" s="719">
        <v>2307.33</v>
      </c>
      <c r="D7930" s="719">
        <v>2083.38</v>
      </c>
      <c r="E7930" s="720">
        <v>-9.706023845743772E-2</v>
      </c>
      <c r="F7930" s="731">
        <v>-9.706023845743772E-2</v>
      </c>
    </row>
    <row r="7931" spans="1:6" hidden="1" outlineLevel="1" x14ac:dyDescent="0.25">
      <c r="A7931" s="751"/>
      <c r="B7931" s="729"/>
      <c r="C7931" s="719"/>
      <c r="D7931" s="719"/>
      <c r="E7931" s="720"/>
      <c r="F7931" s="731"/>
    </row>
    <row r="7932" spans="1:6" hidden="1" outlineLevel="1" x14ac:dyDescent="0.25">
      <c r="A7932" s="751"/>
      <c r="B7932" s="729"/>
      <c r="C7932" s="719"/>
      <c r="D7932" s="719"/>
      <c r="E7932" s="720"/>
      <c r="F7932" s="731"/>
    </row>
    <row r="7933" spans="1:6" hidden="1" outlineLevel="1" x14ac:dyDescent="0.25">
      <c r="A7933" s="751"/>
      <c r="B7933" s="729"/>
      <c r="C7933" s="719"/>
      <c r="D7933" s="719"/>
      <c r="E7933" s="720"/>
      <c r="F7933" s="731"/>
    </row>
    <row r="7934" spans="1:6" hidden="1" outlineLevel="1" x14ac:dyDescent="0.25">
      <c r="A7934" s="751"/>
      <c r="B7934" s="729"/>
      <c r="C7934" s="719"/>
      <c r="D7934" s="719"/>
      <c r="E7934" s="720"/>
      <c r="F7934" s="731"/>
    </row>
    <row r="7935" spans="1:6" hidden="1" outlineLevel="1" x14ac:dyDescent="0.25">
      <c r="A7935" s="751"/>
      <c r="B7935" s="729"/>
      <c r="C7935" s="719"/>
      <c r="D7935" s="719"/>
      <c r="E7935" s="720"/>
      <c r="F7935" s="731"/>
    </row>
    <row r="7936" spans="1:6" hidden="1" outlineLevel="1" x14ac:dyDescent="0.25">
      <c r="A7936" s="751"/>
      <c r="B7936" s="729"/>
      <c r="C7936" s="719"/>
      <c r="D7936" s="719"/>
      <c r="E7936" s="720"/>
      <c r="F7936" s="731"/>
    </row>
    <row r="7937" spans="1:12" hidden="1" outlineLevel="1" x14ac:dyDescent="0.25">
      <c r="A7937" s="751"/>
      <c r="B7937" s="729"/>
      <c r="C7937" s="719"/>
      <c r="D7937" s="719"/>
      <c r="E7937" s="720"/>
      <c r="F7937" s="731"/>
    </row>
    <row r="7938" spans="1:12" collapsed="1" x14ac:dyDescent="0.25">
      <c r="A7938" s="3801" t="s">
        <v>700</v>
      </c>
      <c r="B7938" s="3802"/>
      <c r="C7938" s="3802"/>
      <c r="D7938" s="3802"/>
      <c r="E7938" s="721"/>
      <c r="F7938" s="722">
        <v>0</v>
      </c>
      <c r="G7938" s="97" t="s">
        <v>781</v>
      </c>
    </row>
    <row r="7940" spans="1:12" hidden="1" outlineLevel="1" x14ac:dyDescent="0.25">
      <c r="A7940" s="689" t="s">
        <v>113</v>
      </c>
      <c r="B7940" s="689" t="s">
        <v>114</v>
      </c>
      <c r="C7940" s="689" t="s">
        <v>112</v>
      </c>
      <c r="D7940" s="689" t="s">
        <v>116</v>
      </c>
      <c r="E7940" s="689" t="s">
        <v>117</v>
      </c>
      <c r="F7940" s="1188" t="s">
        <v>121</v>
      </c>
    </row>
    <row r="7941" spans="1:12" hidden="1" outlineLevel="1" x14ac:dyDescent="0.25">
      <c r="A7941" s="690">
        <v>1</v>
      </c>
      <c r="B7941" s="691" t="s">
        <v>252</v>
      </c>
      <c r="C7941" s="692">
        <v>100</v>
      </c>
      <c r="D7941" s="692"/>
      <c r="E7941" s="693"/>
      <c r="F7941" s="694"/>
    </row>
    <row r="7942" spans="1:12" hidden="1" outlineLevel="1" x14ac:dyDescent="0.25">
      <c r="A7942" s="695"/>
      <c r="B7942" s="695"/>
      <c r="C7942" s="696"/>
      <c r="D7942" s="697" t="s">
        <v>3702</v>
      </c>
      <c r="E7942" s="698">
        <v>42110</v>
      </c>
      <c r="F7942" s="699"/>
    </row>
    <row r="7943" spans="1:12" ht="27" hidden="1" customHeight="1" outlineLevel="1" x14ac:dyDescent="0.25">
      <c r="A7943" s="495" t="s">
        <v>4156</v>
      </c>
      <c r="B7943" s="495" t="s">
        <v>4153</v>
      </c>
      <c r="C7943" s="700" t="s">
        <v>847</v>
      </c>
      <c r="D7943" s="495" t="s">
        <v>4155</v>
      </c>
      <c r="E7943" s="495" t="s">
        <v>4154</v>
      </c>
      <c r="F7943" s="1021" t="s">
        <v>2519</v>
      </c>
      <c r="I7943" t="s">
        <v>846</v>
      </c>
      <c r="J7943">
        <v>1</v>
      </c>
    </row>
    <row r="7944" spans="1:12" hidden="1" outlineLevel="1" x14ac:dyDescent="0.25">
      <c r="A7944" s="1127">
        <v>3.3333000000000002E-2</v>
      </c>
      <c r="B7944" s="949" t="s">
        <v>2703</v>
      </c>
      <c r="C7944" s="1128">
        <v>78.348299999999995</v>
      </c>
      <c r="D7944" s="799">
        <v>165.89</v>
      </c>
      <c r="E7944" s="911">
        <v>1.1173401337361502</v>
      </c>
      <c r="F7944" s="1021">
        <v>3.7244298677827095E-2</v>
      </c>
      <c r="H7944" t="s">
        <v>2780</v>
      </c>
      <c r="I7944" s="64">
        <v>73.14</v>
      </c>
      <c r="J7944" t="s">
        <v>2040</v>
      </c>
    </row>
    <row r="7945" spans="1:12" hidden="1" outlineLevel="1" x14ac:dyDescent="0.25">
      <c r="A7945" s="849">
        <v>3.3333000000000002E-2</v>
      </c>
      <c r="B7945" s="853" t="s">
        <v>4266</v>
      </c>
      <c r="C7945" s="1129">
        <v>20.0533</v>
      </c>
      <c r="D7945" s="852">
        <v>21.15</v>
      </c>
      <c r="E7945" s="909">
        <v>5.4689253140380867E-2</v>
      </c>
      <c r="F7945" s="946">
        <v>1.8229568749283155E-3</v>
      </c>
      <c r="H7945" t="s">
        <v>2740</v>
      </c>
      <c r="I7945" s="65">
        <v>20.38</v>
      </c>
      <c r="J7945" s="256">
        <v>41548</v>
      </c>
      <c r="K7945" s="424">
        <v>116.6581</v>
      </c>
      <c r="L7945" s="37">
        <v>0.16658100000000009</v>
      </c>
    </row>
    <row r="7946" spans="1:12" hidden="1" outlineLevel="1" x14ac:dyDescent="0.25">
      <c r="A7946" s="849">
        <v>3.3333000000000002E-2</v>
      </c>
      <c r="B7946" s="853" t="s">
        <v>306</v>
      </c>
      <c r="C7946" s="1129">
        <v>2449.17</v>
      </c>
      <c r="D7946" s="852">
        <v>1039</v>
      </c>
      <c r="E7946" s="909">
        <v>-0.57577465018761464</v>
      </c>
      <c r="F7946" s="946">
        <v>-1.9192296414703758E-2</v>
      </c>
      <c r="H7946" t="s">
        <v>1699</v>
      </c>
      <c r="I7946" s="65">
        <v>2097.5</v>
      </c>
      <c r="J7946" s="256">
        <v>41579</v>
      </c>
      <c r="K7946" s="424">
        <v>117.84990000000001</v>
      </c>
      <c r="L7946" s="37">
        <v>0.17849899999999996</v>
      </c>
    </row>
    <row r="7947" spans="1:12" hidden="1" outlineLevel="1" x14ac:dyDescent="0.25">
      <c r="A7947" s="849">
        <v>3.3333000000000002E-2</v>
      </c>
      <c r="B7947" s="853" t="s">
        <v>4051</v>
      </c>
      <c r="C7947" s="1129">
        <v>24.912500000000001</v>
      </c>
      <c r="D7947" s="852">
        <v>31.4</v>
      </c>
      <c r="E7947" s="909">
        <v>0.26041144004014027</v>
      </c>
      <c r="F7947" s="946">
        <v>8.6802945308579963E-3</v>
      </c>
      <c r="H7947" t="s">
        <v>2581</v>
      </c>
      <c r="I7947" s="65">
        <v>27.574999999999999</v>
      </c>
      <c r="J7947" s="256">
        <v>41609</v>
      </c>
      <c r="K7947">
        <v>117.0154</v>
      </c>
      <c r="L7947" s="37">
        <v>0.17015399999999992</v>
      </c>
    </row>
    <row r="7948" spans="1:12" hidden="1" outlineLevel="1" x14ac:dyDescent="0.25">
      <c r="A7948" s="849">
        <v>3.3333000000000002E-2</v>
      </c>
      <c r="B7948" s="853" t="s">
        <v>2704</v>
      </c>
      <c r="C7948" s="1129">
        <v>100.3167</v>
      </c>
      <c r="D7948" s="852">
        <v>290.3</v>
      </c>
      <c r="E7948" s="909">
        <v>1.8938352238460796</v>
      </c>
      <c r="F7948" s="946">
        <v>6.3127209516461377E-2</v>
      </c>
      <c r="H7948" t="s">
        <v>167</v>
      </c>
      <c r="I7948" s="65">
        <v>90.8</v>
      </c>
      <c r="J7948" s="256">
        <v>41640</v>
      </c>
      <c r="K7948">
        <v>112.03879999999999</v>
      </c>
      <c r="L7948" s="37">
        <v>0.12038799999999994</v>
      </c>
    </row>
    <row r="7949" spans="1:12" hidden="1" outlineLevel="1" x14ac:dyDescent="0.25">
      <c r="A7949" s="849">
        <v>3.3333000000000002E-2</v>
      </c>
      <c r="B7949" s="853" t="s">
        <v>2582</v>
      </c>
      <c r="C7949" s="1129">
        <v>1897.5</v>
      </c>
      <c r="D7949" s="852">
        <v>1469.5</v>
      </c>
      <c r="E7949" s="909">
        <v>-0.22555994729907769</v>
      </c>
      <c r="F7949" s="946">
        <v>-7.5185897233201572E-3</v>
      </c>
      <c r="H7949" t="s">
        <v>2583</v>
      </c>
      <c r="I7949" s="65">
        <v>1740</v>
      </c>
      <c r="J7949" s="256">
        <v>41671</v>
      </c>
      <c r="K7949" s="424">
        <v>114.32599999999999</v>
      </c>
      <c r="L7949" s="37">
        <v>0.14325999999999994</v>
      </c>
    </row>
    <row r="7950" spans="1:12" hidden="1" outlineLevel="1" x14ac:dyDescent="0.25">
      <c r="A7950" s="849">
        <v>3.3333000000000002E-2</v>
      </c>
      <c r="B7950" s="906" t="s">
        <v>2314</v>
      </c>
      <c r="C7950" s="1129">
        <v>7.8550000000000004</v>
      </c>
      <c r="D7950" s="852">
        <v>15.82</v>
      </c>
      <c r="E7950" s="909">
        <v>1.0140038192234244</v>
      </c>
      <c r="F7950" s="946">
        <v>3.3799789306174409E-2</v>
      </c>
      <c r="H7950" t="s">
        <v>2315</v>
      </c>
      <c r="I7950" s="65">
        <v>9.0299999999999994</v>
      </c>
      <c r="J7950" s="256">
        <v>41699</v>
      </c>
      <c r="K7950">
        <v>115.9897</v>
      </c>
      <c r="L7950" s="37">
        <v>0.15989699999999996</v>
      </c>
    </row>
    <row r="7951" spans="1:12" hidden="1" outlineLevel="1" x14ac:dyDescent="0.25">
      <c r="A7951" s="849">
        <v>3.3333000000000002E-2</v>
      </c>
      <c r="B7951" s="853" t="s">
        <v>2316</v>
      </c>
      <c r="C7951" s="1129">
        <v>16.8767</v>
      </c>
      <c r="D7951" s="852">
        <v>6.73</v>
      </c>
      <c r="E7951" s="909">
        <v>-0.60122535803800503</v>
      </c>
      <c r="F7951" s="946">
        <v>-2.0040644859480823E-2</v>
      </c>
      <c r="H7951" t="s">
        <v>2317</v>
      </c>
      <c r="I7951" s="65">
        <v>16.88</v>
      </c>
      <c r="J7951" s="256">
        <v>41730</v>
      </c>
      <c r="K7951" s="424">
        <v>115.3032</v>
      </c>
      <c r="L7951" s="37">
        <v>0.15303200000000006</v>
      </c>
    </row>
    <row r="7952" spans="1:12" hidden="1" outlineLevel="1" x14ac:dyDescent="0.25">
      <c r="A7952" s="849">
        <v>3.3333000000000002E-2</v>
      </c>
      <c r="B7952" s="853" t="s">
        <v>4048</v>
      </c>
      <c r="C7952" s="1129">
        <v>10.353300000000001</v>
      </c>
      <c r="D7952" s="852">
        <v>16.28</v>
      </c>
      <c r="E7952" s="909">
        <v>0.57244550046844966</v>
      </c>
      <c r="F7952" s="946">
        <v>1.9081325867114834E-2</v>
      </c>
      <c r="H7952" t="s">
        <v>4052</v>
      </c>
      <c r="I7952" s="65">
        <v>10.88</v>
      </c>
      <c r="J7952" s="256">
        <v>41760</v>
      </c>
      <c r="K7952" s="424">
        <v>117.34690000000001</v>
      </c>
      <c r="L7952" s="37">
        <v>0.1734690000000001</v>
      </c>
    </row>
    <row r="7953" spans="1:12" hidden="1" outlineLevel="1" x14ac:dyDescent="0.25">
      <c r="A7953" s="849">
        <v>3.3333000000000002E-2</v>
      </c>
      <c r="B7953" s="1238" t="s">
        <v>4050</v>
      </c>
      <c r="C7953" s="1129">
        <v>6.1116999999999999</v>
      </c>
      <c r="D7953" s="852">
        <v>11.32</v>
      </c>
      <c r="E7953" s="909">
        <v>0.8521851530670681</v>
      </c>
      <c r="F7953" s="946">
        <v>2.8405887707184583E-2</v>
      </c>
      <c r="H7953" t="s">
        <v>4049</v>
      </c>
      <c r="I7953" s="65">
        <v>6.59</v>
      </c>
      <c r="J7953" s="256">
        <v>41791</v>
      </c>
      <c r="K7953" s="424">
        <v>117.2003</v>
      </c>
      <c r="L7953" s="37">
        <v>0.17200299999999991</v>
      </c>
    </row>
    <row r="7954" spans="1:12" hidden="1" outlineLevel="1" x14ac:dyDescent="0.25">
      <c r="A7954" s="849">
        <v>3.3333000000000002E-2</v>
      </c>
      <c r="B7954" s="853" t="s">
        <v>4053</v>
      </c>
      <c r="C7954" s="1129">
        <v>16.113299999999999</v>
      </c>
      <c r="D7954" s="852">
        <v>21</v>
      </c>
      <c r="E7954" s="909">
        <v>0.3032712107389548</v>
      </c>
      <c r="F7954" s="946">
        <v>1.0108939267561581E-2</v>
      </c>
      <c r="H7954" t="s">
        <v>4054</v>
      </c>
      <c r="I7954" s="65">
        <v>18.04</v>
      </c>
      <c r="J7954" s="256">
        <v>41821</v>
      </c>
      <c r="K7954" s="424">
        <v>119.96380000000001</v>
      </c>
      <c r="L7954" s="37">
        <v>0.19963799999999998</v>
      </c>
    </row>
    <row r="7955" spans="1:12" hidden="1" outlineLevel="1" x14ac:dyDescent="0.25">
      <c r="A7955" s="849">
        <v>3.3333000000000002E-2</v>
      </c>
      <c r="B7955" s="1238" t="s">
        <v>4055</v>
      </c>
      <c r="C7955" s="1129">
        <v>52.708300000000001</v>
      </c>
      <c r="D7955" s="852">
        <v>68.25</v>
      </c>
      <c r="E7955" s="909">
        <v>0.29486247896441364</v>
      </c>
      <c r="F7955" s="946">
        <v>9.8286510113208009E-3</v>
      </c>
      <c r="H7955" t="s">
        <v>4056</v>
      </c>
      <c r="I7955" s="65">
        <v>52</v>
      </c>
      <c r="J7955" s="256">
        <v>41852</v>
      </c>
      <c r="K7955" s="424">
        <v>119.90860000000001</v>
      </c>
      <c r="L7955" s="37">
        <v>0.1990860000000001</v>
      </c>
    </row>
    <row r="7956" spans="1:12" hidden="1" outlineLevel="1" x14ac:dyDescent="0.25">
      <c r="A7956" s="849">
        <v>3.3333000000000002E-2</v>
      </c>
      <c r="B7956" s="853" t="s">
        <v>4057</v>
      </c>
      <c r="C7956" s="1129">
        <v>3.6116999999999999</v>
      </c>
      <c r="D7956" s="852">
        <v>4.76</v>
      </c>
      <c r="E7956" s="909">
        <v>0.31793892072985019</v>
      </c>
      <c r="F7956" s="946">
        <v>1.0597858044688097E-2</v>
      </c>
      <c r="H7956" t="s">
        <v>4058</v>
      </c>
      <c r="I7956" s="65">
        <v>4.05</v>
      </c>
      <c r="J7956" s="256">
        <v>41883</v>
      </c>
      <c r="K7956" s="424">
        <v>115.6797</v>
      </c>
      <c r="L7956" s="37">
        <v>0.15679700000000008</v>
      </c>
    </row>
    <row r="7957" spans="1:12" hidden="1" outlineLevel="1" x14ac:dyDescent="0.25">
      <c r="A7957" s="849">
        <v>3.3333000000000002E-2</v>
      </c>
      <c r="B7957" s="1238" t="s">
        <v>4059</v>
      </c>
      <c r="C7957" s="1129">
        <v>73116.666700000002</v>
      </c>
      <c r="D7957" s="852">
        <v>32150</v>
      </c>
      <c r="E7957" s="909">
        <v>-0.56029177134247021</v>
      </c>
      <c r="F7957" s="946">
        <v>-1.8676205614158562E-2</v>
      </c>
      <c r="H7957" t="s">
        <v>4060</v>
      </c>
      <c r="I7957" s="65">
        <v>65400</v>
      </c>
      <c r="J7957" s="256">
        <v>41913</v>
      </c>
      <c r="K7957" s="424">
        <v>117.86920000000001</v>
      </c>
      <c r="L7957" s="37">
        <v>0.17869200000000007</v>
      </c>
    </row>
    <row r="7958" spans="1:12" hidden="1" outlineLevel="1" x14ac:dyDescent="0.25">
      <c r="A7958" s="849">
        <v>3.3333000000000002E-2</v>
      </c>
      <c r="B7958" s="853" t="s">
        <v>3407</v>
      </c>
      <c r="C7958" s="1129">
        <v>15.7333</v>
      </c>
      <c r="D7958" s="852">
        <v>27.28</v>
      </c>
      <c r="E7958" s="909">
        <v>0.73390197860588691</v>
      </c>
      <c r="F7958" s="946">
        <v>2.446315465287003E-2</v>
      </c>
      <c r="H7958" t="s">
        <v>4127</v>
      </c>
      <c r="I7958" s="65">
        <v>16.16</v>
      </c>
      <c r="J7958" s="256">
        <v>41944</v>
      </c>
      <c r="K7958" s="424">
        <v>120.9623</v>
      </c>
      <c r="L7958" s="37">
        <v>0.20962299999999989</v>
      </c>
    </row>
    <row r="7959" spans="1:12" hidden="1" outlineLevel="1" x14ac:dyDescent="0.25">
      <c r="A7959" s="849">
        <v>3.3333000000000002E-2</v>
      </c>
      <c r="B7959" s="853" t="s">
        <v>1038</v>
      </c>
      <c r="C7959" s="1129">
        <v>18.503299999999999</v>
      </c>
      <c r="D7959" s="852">
        <v>18.86</v>
      </c>
      <c r="E7959" s="909">
        <v>1.9277642366496872E-2</v>
      </c>
      <c r="F7959" s="946">
        <v>6.4258165300244024E-4</v>
      </c>
      <c r="H7959" t="s">
        <v>1067</v>
      </c>
      <c r="I7959" s="65">
        <v>19.399999999999999</v>
      </c>
      <c r="J7959" s="256">
        <v>41974</v>
      </c>
      <c r="K7959" s="424">
        <v>121.46080000000001</v>
      </c>
      <c r="L7959" s="37">
        <v>0.21460800000000013</v>
      </c>
    </row>
    <row r="7960" spans="1:12" hidden="1" outlineLevel="1" x14ac:dyDescent="0.25">
      <c r="A7960" s="849">
        <v>3.3333000000000002E-2</v>
      </c>
      <c r="B7960" s="853" t="s">
        <v>2681</v>
      </c>
      <c r="C7960" s="1129">
        <v>73.091700000000003</v>
      </c>
      <c r="D7960" s="852">
        <v>74.95</v>
      </c>
      <c r="E7960" s="909">
        <v>2.5424227374654107E-2</v>
      </c>
      <c r="F7960" s="946">
        <v>8.4746577107934538E-4</v>
      </c>
      <c r="H7960" t="s">
        <v>2386</v>
      </c>
      <c r="I7960" s="65">
        <v>69.849999999999994</v>
      </c>
      <c r="J7960" s="256">
        <v>42005</v>
      </c>
      <c r="K7960" s="424">
        <v>122.2496</v>
      </c>
      <c r="L7960" s="37">
        <v>0.22249600000000003</v>
      </c>
    </row>
    <row r="7961" spans="1:12" hidden="1" outlineLevel="1" x14ac:dyDescent="0.25">
      <c r="A7961" s="849">
        <v>3.3333000000000002E-2</v>
      </c>
      <c r="B7961" s="1146" t="s">
        <v>4061</v>
      </c>
      <c r="C7961" s="1129">
        <v>42.65</v>
      </c>
      <c r="D7961" s="852">
        <v>78.900000000000006</v>
      </c>
      <c r="E7961" s="909">
        <v>0.84994138335287239</v>
      </c>
      <c r="F7961" s="946">
        <v>2.8331096131301296E-2</v>
      </c>
      <c r="H7961" t="s">
        <v>632</v>
      </c>
      <c r="I7961" s="65">
        <v>42.3</v>
      </c>
      <c r="J7961" s="256">
        <v>42036</v>
      </c>
      <c r="K7961" s="424">
        <v>126.1895</v>
      </c>
      <c r="L7961" s="37">
        <v>0.26189499999999999</v>
      </c>
    </row>
    <row r="7962" spans="1:12" hidden="1" outlineLevel="1" x14ac:dyDescent="0.25">
      <c r="A7962" s="849">
        <v>3.3333000000000002E-2</v>
      </c>
      <c r="B7962" s="1146" t="s">
        <v>2531</v>
      </c>
      <c r="C7962" s="1129">
        <v>4.7949999999999999</v>
      </c>
      <c r="D7962" s="852">
        <v>9.98</v>
      </c>
      <c r="E7962" s="909">
        <v>1.0813347236704902</v>
      </c>
      <c r="F7962" s="946">
        <v>3.6044130344108451E-2</v>
      </c>
      <c r="H7962" t="s">
        <v>2532</v>
      </c>
      <c r="I7962" s="65">
        <v>5.18</v>
      </c>
      <c r="J7962" s="256">
        <v>42064</v>
      </c>
      <c r="K7962" s="424">
        <v>129.02459999999999</v>
      </c>
      <c r="L7962" s="37">
        <v>0.290246</v>
      </c>
    </row>
    <row r="7963" spans="1:12" hidden="1" outlineLevel="1" x14ac:dyDescent="0.25">
      <c r="A7963" s="849">
        <v>3.3333000000000002E-2</v>
      </c>
      <c r="B7963" s="1146" t="s">
        <v>959</v>
      </c>
      <c r="C7963" s="1129">
        <v>54.208300000000001</v>
      </c>
      <c r="D7963" s="852">
        <v>112.9</v>
      </c>
      <c r="E7963" s="909">
        <v>1.0827068917490497</v>
      </c>
      <c r="F7963" s="946">
        <v>3.6089868822671074E-2</v>
      </c>
      <c r="H7963" t="s">
        <v>960</v>
      </c>
      <c r="I7963" s="65">
        <v>53.85</v>
      </c>
      <c r="J7963" s="412" t="s">
        <v>2465</v>
      </c>
      <c r="L7963" s="261">
        <v>0.18724244444444446</v>
      </c>
    </row>
    <row r="7964" spans="1:12" hidden="1" outlineLevel="1" x14ac:dyDescent="0.25">
      <c r="A7964" s="849">
        <v>3.3333000000000002E-2</v>
      </c>
      <c r="B7964" s="1146" t="s">
        <v>2257</v>
      </c>
      <c r="C7964" s="1129">
        <v>178916.6667</v>
      </c>
      <c r="D7964" s="852">
        <v>149500</v>
      </c>
      <c r="E7964" s="909">
        <v>-0.16441546359302928</v>
      </c>
      <c r="F7964" s="946">
        <v>-5.4804606479464451E-3</v>
      </c>
      <c r="H7964" t="s">
        <v>4172</v>
      </c>
      <c r="I7964" s="65">
        <v>178000</v>
      </c>
      <c r="J7964" s="412" t="s">
        <v>5221</v>
      </c>
      <c r="L7964" s="261">
        <v>0.13106971111111113</v>
      </c>
    </row>
    <row r="7965" spans="1:12" hidden="1" outlineLevel="1" x14ac:dyDescent="0.25">
      <c r="A7965" s="849">
        <v>3.3333000000000002E-2</v>
      </c>
      <c r="B7965" s="1146" t="s">
        <v>2533</v>
      </c>
      <c r="C7965" s="1129">
        <v>39.673299999999998</v>
      </c>
      <c r="D7965" s="852">
        <v>47.76</v>
      </c>
      <c r="E7965" s="909">
        <v>0.20383230031280486</v>
      </c>
      <c r="F7965" s="946">
        <v>6.7943420663267246E-3</v>
      </c>
      <c r="H7965" t="s">
        <v>2534</v>
      </c>
      <c r="I7965" s="65">
        <v>44.17</v>
      </c>
    </row>
    <row r="7966" spans="1:12" hidden="1" outlineLevel="1" x14ac:dyDescent="0.25">
      <c r="A7966" s="849">
        <v>3.3333000000000002E-2</v>
      </c>
      <c r="B7966" s="853" t="s">
        <v>4349</v>
      </c>
      <c r="C7966" s="1129">
        <v>7.01</v>
      </c>
      <c r="D7966" s="852">
        <v>10.76</v>
      </c>
      <c r="E7966" s="909">
        <v>0.53495007132667616</v>
      </c>
      <c r="F7966" s="946">
        <v>1.7831490727532096E-2</v>
      </c>
      <c r="H7966" t="s">
        <v>1578</v>
      </c>
      <c r="I7966" s="65">
        <v>6.34</v>
      </c>
    </row>
    <row r="7967" spans="1:12" hidden="1" outlineLevel="1" x14ac:dyDescent="0.25">
      <c r="A7967" s="849">
        <v>3.3333000000000002E-2</v>
      </c>
      <c r="B7967" s="853" t="s">
        <v>1579</v>
      </c>
      <c r="C7967" s="1129">
        <v>35033.333299999998</v>
      </c>
      <c r="D7967" s="852">
        <v>46000</v>
      </c>
      <c r="E7967" s="909">
        <v>0.31303520581639899</v>
      </c>
      <c r="F7967" s="946">
        <v>1.0434402515478027E-2</v>
      </c>
      <c r="H7967" t="s">
        <v>1580</v>
      </c>
      <c r="I7967" s="65">
        <v>34900</v>
      </c>
    </row>
    <row r="7968" spans="1:12" hidden="1" outlineLevel="1" x14ac:dyDescent="0.25">
      <c r="A7968" s="849">
        <v>3.3333000000000002E-2</v>
      </c>
      <c r="B7968" s="853" t="s">
        <v>156</v>
      </c>
      <c r="C7968" s="1129">
        <v>27.555</v>
      </c>
      <c r="D7968" s="852">
        <v>9.1980000000000004</v>
      </c>
      <c r="E7968" s="909">
        <v>-0.66619488296134999</v>
      </c>
      <c r="F7968" s="946">
        <v>-2.2206274033750681E-2</v>
      </c>
      <c r="H7968" t="s">
        <v>4417</v>
      </c>
      <c r="I7968" s="65">
        <v>24.71</v>
      </c>
    </row>
    <row r="7969" spans="1:12" hidden="1" outlineLevel="1" x14ac:dyDescent="0.25">
      <c r="A7969" s="849">
        <v>3.3333000000000002E-2</v>
      </c>
      <c r="B7969" s="853" t="s">
        <v>1581</v>
      </c>
      <c r="C7969" s="1129">
        <v>26.633299999999998</v>
      </c>
      <c r="D7969" s="852">
        <v>38.549999999999997</v>
      </c>
      <c r="E7969" s="909">
        <v>0.44743610442566251</v>
      </c>
      <c r="F7969" s="946">
        <v>1.4914387668820609E-2</v>
      </c>
      <c r="H7969" t="s">
        <v>1582</v>
      </c>
      <c r="I7969" s="65">
        <v>26.85</v>
      </c>
    </row>
    <row r="7970" spans="1:12" hidden="1" outlineLevel="1" x14ac:dyDescent="0.25">
      <c r="A7970" s="849">
        <v>3.3333000000000002E-2</v>
      </c>
      <c r="B7970" s="853" t="s">
        <v>1583</v>
      </c>
      <c r="C7970" s="1129">
        <v>3.5882999999999998</v>
      </c>
      <c r="D7970" s="852">
        <v>4.78</v>
      </c>
      <c r="E7970" s="909">
        <v>0.33210712593707337</v>
      </c>
      <c r="F7970" s="946">
        <v>1.1070126828860468E-2</v>
      </c>
      <c r="H7970" t="s">
        <v>1584</v>
      </c>
      <c r="I7970" s="65">
        <v>3.27</v>
      </c>
    </row>
    <row r="7971" spans="1:12" hidden="1" outlineLevel="1" x14ac:dyDescent="0.25">
      <c r="A7971" s="849">
        <v>3.3333000000000002E-2</v>
      </c>
      <c r="B7971" s="853" t="s">
        <v>1214</v>
      </c>
      <c r="C7971" s="1129">
        <v>64.603300000000004</v>
      </c>
      <c r="D7971" s="852">
        <v>101.45</v>
      </c>
      <c r="E7971" s="909">
        <v>0.57035321725051191</v>
      </c>
      <c r="F7971" s="946">
        <v>1.9011583790611315E-2</v>
      </c>
      <c r="H7971" t="s">
        <v>3775</v>
      </c>
      <c r="I7971" s="65">
        <v>62.9</v>
      </c>
    </row>
    <row r="7972" spans="1:12" hidden="1" outlineLevel="1" x14ac:dyDescent="0.25">
      <c r="A7972" s="849">
        <v>3.3333000000000002E-2</v>
      </c>
      <c r="B7972" s="853" t="s">
        <v>2631</v>
      </c>
      <c r="C7972" s="1129">
        <v>24.089200000000002</v>
      </c>
      <c r="D7972" s="852">
        <v>25.18</v>
      </c>
      <c r="E7972" s="909">
        <v>4.5281703003835716E-2</v>
      </c>
      <c r="F7972" s="946">
        <v>1.5093750062268559E-3</v>
      </c>
      <c r="H7972" t="s">
        <v>1727</v>
      </c>
      <c r="I7972" s="65">
        <v>23.03</v>
      </c>
    </row>
    <row r="7973" spans="1:12" hidden="1" outlineLevel="1" x14ac:dyDescent="0.25">
      <c r="A7973" s="990">
        <v>3.3333000000000002E-2</v>
      </c>
      <c r="B7973" s="1148" t="s">
        <v>4173</v>
      </c>
      <c r="C7973" s="1130">
        <v>7.0667</v>
      </c>
      <c r="D7973" s="801">
        <v>11.4</v>
      </c>
      <c r="E7973" s="498">
        <v>0.61319993773614279</v>
      </c>
      <c r="F7973" s="946">
        <v>2.0439793524558849E-2</v>
      </c>
      <c r="H7973" t="s">
        <v>4174</v>
      </c>
      <c r="I7973" s="265">
        <v>6.99</v>
      </c>
    </row>
    <row r="7974" spans="1:12" hidden="1" outlineLevel="1" x14ac:dyDescent="0.25">
      <c r="A7974" s="1022"/>
      <c r="B7974" s="1022"/>
      <c r="C7974" s="1022"/>
      <c r="D7974" s="1022"/>
      <c r="E7974" s="1022"/>
      <c r="F7974" s="731">
        <v>0.35800653901420615</v>
      </c>
    </row>
    <row r="7975" spans="1:12" collapsed="1" x14ac:dyDescent="0.25">
      <c r="A7975" s="3801" t="s">
        <v>1585</v>
      </c>
      <c r="B7975" s="3802"/>
      <c r="C7975" s="3802"/>
      <c r="D7975" s="3802"/>
      <c r="E7975" s="721"/>
      <c r="F7975" s="752">
        <v>0.13106971111111113</v>
      </c>
      <c r="G7975" s="97" t="s">
        <v>781</v>
      </c>
    </row>
    <row r="7977" spans="1:12" hidden="1" outlineLevel="1" x14ac:dyDescent="0.25">
      <c r="A7977" s="689" t="s">
        <v>113</v>
      </c>
      <c r="B7977" s="689" t="s">
        <v>114</v>
      </c>
      <c r="C7977" s="689" t="s">
        <v>112</v>
      </c>
      <c r="D7977" s="689" t="s">
        <v>116</v>
      </c>
      <c r="E7977" s="689" t="s">
        <v>117</v>
      </c>
      <c r="F7977" s="1188" t="s">
        <v>121</v>
      </c>
      <c r="G7977" s="78"/>
    </row>
    <row r="7978" spans="1:12" hidden="1" outlineLevel="1" x14ac:dyDescent="0.25">
      <c r="A7978" s="690">
        <v>1</v>
      </c>
      <c r="B7978" s="691" t="s">
        <v>252</v>
      </c>
      <c r="C7978" s="692">
        <v>100</v>
      </c>
      <c r="D7978" s="692"/>
      <c r="E7978" s="693"/>
      <c r="F7978" s="694"/>
      <c r="G7978" s="78"/>
    </row>
    <row r="7979" spans="1:12" hidden="1" outlineLevel="1" x14ac:dyDescent="0.25">
      <c r="A7979" s="695"/>
      <c r="B7979" s="695"/>
      <c r="C7979" s="696"/>
      <c r="D7979" s="697" t="s">
        <v>3702</v>
      </c>
      <c r="E7979" s="698">
        <v>42094</v>
      </c>
      <c r="F7979" s="699"/>
      <c r="G7979" s="78"/>
    </row>
    <row r="7980" spans="1:12" hidden="1" outlineLevel="1" x14ac:dyDescent="0.25">
      <c r="A7980" s="689" t="s">
        <v>4156</v>
      </c>
      <c r="B7980" s="495" t="s">
        <v>4153</v>
      </c>
      <c r="C7980" s="700" t="s">
        <v>112</v>
      </c>
      <c r="D7980" s="495" t="s">
        <v>4155</v>
      </c>
      <c r="E7980" s="495" t="s">
        <v>2734</v>
      </c>
      <c r="F7980" s="1021" t="s">
        <v>2519</v>
      </c>
      <c r="G7980" s="78"/>
      <c r="J7980" t="s">
        <v>2040</v>
      </c>
    </row>
    <row r="7981" spans="1:12" hidden="1" outlineLevel="1" x14ac:dyDescent="0.25">
      <c r="A7981" s="701">
        <v>3.5000000000000003E-2</v>
      </c>
      <c r="B7981" s="702" t="s">
        <v>1995</v>
      </c>
      <c r="C7981" s="703">
        <v>53.468000000000004</v>
      </c>
      <c r="D7981" s="704">
        <v>46.33</v>
      </c>
      <c r="E7981" s="705">
        <v>-0.13350041146106095</v>
      </c>
      <c r="F7981" s="1021">
        <v>-4.6725144011371339E-3</v>
      </c>
      <c r="G7981" s="78"/>
      <c r="H7981" t="s">
        <v>2739</v>
      </c>
      <c r="J7981" s="256">
        <v>41548</v>
      </c>
      <c r="K7981" s="424">
        <v>140.98830000000001</v>
      </c>
      <c r="L7981" s="37">
        <v>0.409883</v>
      </c>
    </row>
    <row r="7982" spans="1:12" hidden="1" outlineLevel="1" x14ac:dyDescent="0.25">
      <c r="A7982" s="701">
        <v>0.03</v>
      </c>
      <c r="B7982" s="706" t="s">
        <v>3320</v>
      </c>
      <c r="C7982" s="707">
        <v>33.933999999999997</v>
      </c>
      <c r="D7982" s="708">
        <v>113.8</v>
      </c>
      <c r="E7982" s="709">
        <v>2.3535686921671481</v>
      </c>
      <c r="F7982" s="946">
        <v>7.060706076501444E-2</v>
      </c>
      <c r="G7982" s="78"/>
      <c r="H7982" t="s">
        <v>4093</v>
      </c>
      <c r="J7982" s="256">
        <v>41579</v>
      </c>
      <c r="K7982" s="424">
        <v>140.64099999999999</v>
      </c>
      <c r="L7982" s="37">
        <v>0.40640999999999994</v>
      </c>
    </row>
    <row r="7983" spans="1:12" hidden="1" outlineLevel="1" x14ac:dyDescent="0.25">
      <c r="A7983" s="701">
        <v>2.5000000000000001E-2</v>
      </c>
      <c r="B7983" s="710" t="s">
        <v>157</v>
      </c>
      <c r="C7983" s="707">
        <v>11.686500000000001</v>
      </c>
      <c r="D7983" s="708">
        <v>7.0170000000000003</v>
      </c>
      <c r="E7983" s="709">
        <v>-0.39956359902451544</v>
      </c>
      <c r="F7983" s="946">
        <v>-9.989089975612887E-3</v>
      </c>
      <c r="G7983" s="78"/>
      <c r="H7983" t="s">
        <v>730</v>
      </c>
      <c r="J7983" s="256">
        <v>41609</v>
      </c>
      <c r="K7983" s="424">
        <v>141.59739999999999</v>
      </c>
      <c r="L7983" s="37">
        <v>0.41597399999999984</v>
      </c>
    </row>
    <row r="7984" spans="1:12" hidden="1" outlineLevel="1" x14ac:dyDescent="0.25">
      <c r="A7984" s="701">
        <v>0.03</v>
      </c>
      <c r="B7984" s="706" t="s">
        <v>1188</v>
      </c>
      <c r="C7984" s="707">
        <v>585.02</v>
      </c>
      <c r="D7984" s="708">
        <v>436.7</v>
      </c>
      <c r="E7984" s="709">
        <v>-0.25352979385320162</v>
      </c>
      <c r="F7984" s="946">
        <v>-7.605893815596048E-3</v>
      </c>
      <c r="G7984" s="78"/>
      <c r="H7984" t="s">
        <v>2746</v>
      </c>
      <c r="J7984" s="256">
        <v>41640</v>
      </c>
      <c r="K7984" s="424">
        <v>137.29140000000001</v>
      </c>
      <c r="L7984" s="37">
        <v>0.37291400000000019</v>
      </c>
    </row>
    <row r="7985" spans="1:12" hidden="1" outlineLevel="1" x14ac:dyDescent="0.25">
      <c r="A7985" s="701">
        <v>2.5000000000000001E-2</v>
      </c>
      <c r="B7985" s="706" t="s">
        <v>4377</v>
      </c>
      <c r="C7985" s="707">
        <v>24.37</v>
      </c>
      <c r="D7985" s="708">
        <v>64.5</v>
      </c>
      <c r="E7985" s="709">
        <v>1.6466967583093965</v>
      </c>
      <c r="F7985" s="946">
        <v>4.1167418957734916E-2</v>
      </c>
      <c r="G7985" s="78"/>
      <c r="H7985" t="s">
        <v>4327</v>
      </c>
      <c r="J7985" s="256">
        <v>41671</v>
      </c>
      <c r="K7985" s="424">
        <v>141.8415</v>
      </c>
      <c r="L7985" s="37">
        <v>0.41841499999999998</v>
      </c>
    </row>
    <row r="7986" spans="1:12" hidden="1" outlineLevel="1" x14ac:dyDescent="0.25">
      <c r="A7986" s="701">
        <v>0.04</v>
      </c>
      <c r="B7986" s="706" t="s">
        <v>4332</v>
      </c>
      <c r="C7986" s="707">
        <v>254.32</v>
      </c>
      <c r="D7986" s="708">
        <v>253</v>
      </c>
      <c r="E7986" s="709">
        <v>-5.1903114186850896E-3</v>
      </c>
      <c r="F7986" s="946">
        <v>-2.076124567474036E-4</v>
      </c>
      <c r="G7986" s="78"/>
      <c r="H7986" t="s">
        <v>4334</v>
      </c>
      <c r="J7986" s="256">
        <v>41699</v>
      </c>
      <c r="K7986" s="424">
        <v>143.2379</v>
      </c>
      <c r="L7986" s="37">
        <v>0.43237900000000007</v>
      </c>
    </row>
    <row r="7987" spans="1:12" hidden="1" outlineLevel="1" x14ac:dyDescent="0.25">
      <c r="A7987" s="701">
        <v>0.03</v>
      </c>
      <c r="B7987" s="706" t="s">
        <v>1440</v>
      </c>
      <c r="C7987" s="707">
        <v>83.558000000000007</v>
      </c>
      <c r="D7987" s="708">
        <v>69.34</v>
      </c>
      <c r="E7987" s="709">
        <v>-0.17015725603772236</v>
      </c>
      <c r="F7987" s="946">
        <v>-5.104717681131671E-3</v>
      </c>
      <c r="G7987" s="78"/>
      <c r="H7987" t="s">
        <v>2569</v>
      </c>
      <c r="J7987" s="256">
        <v>41730</v>
      </c>
      <c r="K7987" s="424">
        <v>143.87110000000001</v>
      </c>
      <c r="L7987" s="37">
        <v>0.43871100000000007</v>
      </c>
    </row>
    <row r="7988" spans="1:12" hidden="1" outlineLevel="1" x14ac:dyDescent="0.25">
      <c r="A7988" s="701">
        <v>2.5000000000000001E-2</v>
      </c>
      <c r="B7988" s="706" t="s">
        <v>53</v>
      </c>
      <c r="C7988" s="707">
        <v>41.941499999999998</v>
      </c>
      <c r="D7988" s="708">
        <v>62.62</v>
      </c>
      <c r="E7988" s="709">
        <v>0.49303196118403014</v>
      </c>
      <c r="F7988" s="946">
        <v>1.2325799029600754E-2</v>
      </c>
      <c r="G7988" s="78"/>
      <c r="H7988" t="s">
        <v>2751</v>
      </c>
      <c r="J7988" s="256">
        <v>41760</v>
      </c>
      <c r="K7988" s="424">
        <v>146.34010000000001</v>
      </c>
      <c r="L7988" s="37">
        <v>0.46340100000000017</v>
      </c>
    </row>
    <row r="7989" spans="1:12" hidden="1" outlineLevel="1" x14ac:dyDescent="0.25">
      <c r="A7989" s="701">
        <v>3.5000000000000003E-2</v>
      </c>
      <c r="B7989" s="706" t="s">
        <v>2699</v>
      </c>
      <c r="C7989" s="707">
        <v>12.749000000000001</v>
      </c>
      <c r="D7989" s="708">
        <v>29.094999999999999</v>
      </c>
      <c r="E7989" s="709">
        <v>1.2821397756686799</v>
      </c>
      <c r="F7989" s="946">
        <v>4.4874892148403803E-2</v>
      </c>
      <c r="G7989" s="78"/>
      <c r="H7989" t="s">
        <v>505</v>
      </c>
      <c r="J7989" s="256">
        <v>41791</v>
      </c>
      <c r="K7989" s="424">
        <v>146.19329999999999</v>
      </c>
      <c r="L7989" s="37">
        <v>0.46193299999999993</v>
      </c>
    </row>
    <row r="7990" spans="1:12" hidden="1" outlineLevel="1" x14ac:dyDescent="0.25">
      <c r="A7990" s="701">
        <v>0.03</v>
      </c>
      <c r="B7990" s="711" t="s">
        <v>3406</v>
      </c>
      <c r="C7990" s="707">
        <v>1027.9000000000001</v>
      </c>
      <c r="D7990" s="708">
        <v>1859.5</v>
      </c>
      <c r="E7990" s="709">
        <v>0.80902811557544485</v>
      </c>
      <c r="F7990" s="946">
        <v>2.4270843467263346E-2</v>
      </c>
      <c r="G7990" s="78"/>
      <c r="H7990" t="s">
        <v>2105</v>
      </c>
      <c r="J7990" s="256">
        <v>41821</v>
      </c>
      <c r="K7990" s="424">
        <v>142.8845</v>
      </c>
      <c r="L7990" s="37">
        <v>0.42884499999999992</v>
      </c>
    </row>
    <row r="7991" spans="1:12" hidden="1" outlineLevel="1" x14ac:dyDescent="0.25">
      <c r="A7991" s="701">
        <v>0.04</v>
      </c>
      <c r="B7991" s="706" t="s">
        <v>5824</v>
      </c>
      <c r="C7991" s="707">
        <v>17.237500000000001</v>
      </c>
      <c r="D7991" s="708">
        <v>14.965</v>
      </c>
      <c r="E7991" s="709">
        <v>-0.13183466279912981</v>
      </c>
      <c r="F7991" s="946">
        <v>-5.2733865119651922E-3</v>
      </c>
      <c r="G7991" s="78"/>
      <c r="H7991" t="s">
        <v>5817</v>
      </c>
      <c r="J7991" s="256">
        <v>41852</v>
      </c>
      <c r="K7991" s="424">
        <v>145.44739999999999</v>
      </c>
      <c r="L7991" s="37">
        <v>0.45447399999999982</v>
      </c>
    </row>
    <row r="7992" spans="1:12" hidden="1" outlineLevel="1" x14ac:dyDescent="0.25">
      <c r="A7992" s="701">
        <v>0.03</v>
      </c>
      <c r="B7992" s="706" t="s">
        <v>4496</v>
      </c>
      <c r="C7992" s="707">
        <v>42.465000000000003</v>
      </c>
      <c r="D7992" s="708">
        <v>72.489999999999995</v>
      </c>
      <c r="E7992" s="709">
        <v>0.70705286706699599</v>
      </c>
      <c r="F7992" s="946">
        <v>2.121158601200988E-2</v>
      </c>
      <c r="G7992" s="78"/>
      <c r="H7992" t="s">
        <v>2385</v>
      </c>
      <c r="J7992" s="256">
        <v>41883</v>
      </c>
      <c r="K7992" s="424">
        <v>145.99289999999999</v>
      </c>
      <c r="L7992" s="37">
        <v>0.45992899999999981</v>
      </c>
    </row>
    <row r="7993" spans="1:12" hidden="1" outlineLevel="1" x14ac:dyDescent="0.25">
      <c r="A7993" s="701">
        <v>0.03</v>
      </c>
      <c r="B7993" s="706" t="s">
        <v>4439</v>
      </c>
      <c r="C7993" s="707">
        <v>42.377000000000002</v>
      </c>
      <c r="D7993" s="708">
        <v>29.88</v>
      </c>
      <c r="E7993" s="709">
        <v>-0.29490053566793317</v>
      </c>
      <c r="F7993" s="946">
        <v>-8.8470160700379954E-3</v>
      </c>
      <c r="G7993" s="78"/>
      <c r="H7993" t="s">
        <v>3827</v>
      </c>
      <c r="J7993" s="256">
        <v>41913</v>
      </c>
      <c r="K7993" s="424">
        <v>148.65280000000001</v>
      </c>
      <c r="L7993" s="37">
        <v>0.48652800000000007</v>
      </c>
    </row>
    <row r="7994" spans="1:12" hidden="1" outlineLevel="1" x14ac:dyDescent="0.25">
      <c r="A7994" s="701">
        <v>0.04</v>
      </c>
      <c r="B7994" s="706" t="s">
        <v>1381</v>
      </c>
      <c r="C7994" s="707">
        <v>64.980999999999995</v>
      </c>
      <c r="D7994" s="708">
        <v>107.11</v>
      </c>
      <c r="E7994" s="709">
        <v>0.64832797279204701</v>
      </c>
      <c r="F7994" s="946">
        <v>2.5933118911681881E-2</v>
      </c>
      <c r="G7994" s="78"/>
      <c r="H7994" t="s">
        <v>1383</v>
      </c>
      <c r="J7994" s="256">
        <v>41944</v>
      </c>
      <c r="K7994" s="424">
        <v>154.0087</v>
      </c>
      <c r="L7994" s="37">
        <v>0.54008699999999998</v>
      </c>
    </row>
    <row r="7995" spans="1:12" hidden="1" outlineLevel="1" x14ac:dyDescent="0.25">
      <c r="A7995" s="701">
        <v>0.04</v>
      </c>
      <c r="B7995" s="706" t="s">
        <v>4034</v>
      </c>
      <c r="C7995" s="707">
        <v>9.0791000000000004</v>
      </c>
      <c r="D7995" s="708">
        <v>18.350000000000001</v>
      </c>
      <c r="E7995" s="709">
        <v>1.021125441949092</v>
      </c>
      <c r="F7995" s="946">
        <v>4.0845017677963683E-2</v>
      </c>
      <c r="G7995" s="78"/>
      <c r="H7995" t="s">
        <v>4035</v>
      </c>
      <c r="J7995" s="256">
        <v>41974</v>
      </c>
      <c r="K7995" s="424">
        <v>151.2157</v>
      </c>
      <c r="L7995" s="37">
        <v>0.51215699999999997</v>
      </c>
    </row>
    <row r="7996" spans="1:12" hidden="1" outlineLevel="1" x14ac:dyDescent="0.25">
      <c r="A7996" s="701">
        <v>3.5000000000000003E-2</v>
      </c>
      <c r="B7996" s="706" t="s">
        <v>4143</v>
      </c>
      <c r="C7996" s="707">
        <v>11.949</v>
      </c>
      <c r="D7996" s="708">
        <v>3.1589999999999998</v>
      </c>
      <c r="E7996" s="709">
        <v>-0.73562641225207126</v>
      </c>
      <c r="F7996" s="946">
        <v>-2.5746924428822496E-2</v>
      </c>
      <c r="G7996" s="78"/>
      <c r="H7996" t="s">
        <v>4144</v>
      </c>
      <c r="J7996" s="256">
        <v>42005</v>
      </c>
      <c r="K7996" s="424">
        <v>156.81620000000001</v>
      </c>
      <c r="L7996" s="37">
        <v>0.56816200000000006</v>
      </c>
    </row>
    <row r="7997" spans="1:12" hidden="1" outlineLevel="1" x14ac:dyDescent="0.25">
      <c r="A7997" s="701">
        <v>2.5000000000000001E-2</v>
      </c>
      <c r="B7997" s="706" t="s">
        <v>2160</v>
      </c>
      <c r="C7997" s="707">
        <v>27.178000000000001</v>
      </c>
      <c r="D7997" s="708">
        <v>87.114999999999995</v>
      </c>
      <c r="E7997" s="709">
        <v>2.2053499153727278</v>
      </c>
      <c r="F7997" s="946">
        <v>5.5133747884318199E-2</v>
      </c>
      <c r="G7997" s="78"/>
      <c r="H7997" t="s">
        <v>5507</v>
      </c>
      <c r="J7997" s="256">
        <v>42036</v>
      </c>
      <c r="K7997" s="424">
        <v>162.434</v>
      </c>
      <c r="L7997" s="37">
        <v>0.6243399999999999</v>
      </c>
    </row>
    <row r="7998" spans="1:12" hidden="1" outlineLevel="1" x14ac:dyDescent="0.25">
      <c r="A7998" s="701">
        <v>0.04</v>
      </c>
      <c r="B7998" s="712" t="s">
        <v>816</v>
      </c>
      <c r="C7998" s="707">
        <v>63.786999999999999</v>
      </c>
      <c r="D7998" s="708">
        <v>97.44</v>
      </c>
      <c r="E7998" s="709">
        <v>0.52758399046827731</v>
      </c>
      <c r="F7998" s="946">
        <v>2.1103359618731093E-2</v>
      </c>
      <c r="G7998" s="78"/>
      <c r="H7998" t="s">
        <v>817</v>
      </c>
      <c r="J7998" s="256">
        <v>42064</v>
      </c>
      <c r="K7998" s="424">
        <v>163.41919999999999</v>
      </c>
      <c r="L7998" s="37">
        <v>0.63419199999999987</v>
      </c>
    </row>
    <row r="7999" spans="1:12" hidden="1" outlineLevel="1" x14ac:dyDescent="0.25">
      <c r="A7999" s="701">
        <v>0.03</v>
      </c>
      <c r="B7999" s="706" t="s">
        <v>2786</v>
      </c>
      <c r="C7999" s="707">
        <v>644.35</v>
      </c>
      <c r="D7999" s="708">
        <v>864.7</v>
      </c>
      <c r="E7999" s="709">
        <v>0.34197253045704978</v>
      </c>
      <c r="F7999" s="946">
        <v>1.0259175913711492E-2</v>
      </c>
      <c r="G7999" s="78"/>
      <c r="H7999" t="s">
        <v>4195</v>
      </c>
      <c r="J7999" s="412" t="s">
        <v>2465</v>
      </c>
      <c r="K7999" s="424"/>
      <c r="L7999" s="362">
        <v>0.47381855555555558</v>
      </c>
    </row>
    <row r="8000" spans="1:12" hidden="1" outlineLevel="1" x14ac:dyDescent="0.25">
      <c r="A8000" s="701">
        <v>0.03</v>
      </c>
      <c r="B8000" s="706" t="s">
        <v>3797</v>
      </c>
      <c r="C8000" s="707">
        <v>48.017000000000003</v>
      </c>
      <c r="D8000" s="708">
        <v>73.400000000000006</v>
      </c>
      <c r="E8000" s="709">
        <v>0.52862527854718122</v>
      </c>
      <c r="F8000" s="946">
        <v>1.5858758356415436E-2</v>
      </c>
      <c r="G8000" s="78"/>
      <c r="H8000" t="s">
        <v>3848</v>
      </c>
      <c r="J8000" s="412" t="s">
        <v>5221</v>
      </c>
      <c r="L8000" s="261">
        <v>0.28429113333333333</v>
      </c>
    </row>
    <row r="8001" spans="1:12" hidden="1" outlineLevel="1" x14ac:dyDescent="0.25">
      <c r="A8001" s="701">
        <v>4.4999999999999998E-2</v>
      </c>
      <c r="B8001" s="706" t="s">
        <v>1040</v>
      </c>
      <c r="C8001" s="707">
        <v>3701</v>
      </c>
      <c r="D8001" s="708">
        <v>7397</v>
      </c>
      <c r="E8001" s="709">
        <v>0.99864901378005944</v>
      </c>
      <c r="F8001" s="946">
        <v>4.4939205620102673E-2</v>
      </c>
      <c r="G8001" s="78"/>
      <c r="H8001" t="s">
        <v>3540</v>
      </c>
      <c r="L8001" s="406"/>
    </row>
    <row r="8002" spans="1:12" hidden="1" outlineLevel="1" x14ac:dyDescent="0.25">
      <c r="A8002" s="701">
        <v>0.04</v>
      </c>
      <c r="B8002" s="706" t="s">
        <v>2787</v>
      </c>
      <c r="C8002" s="707">
        <v>54.564999999999998</v>
      </c>
      <c r="D8002" s="708">
        <v>96.15</v>
      </c>
      <c r="E8002" s="709">
        <v>0.76211857417758644</v>
      </c>
      <c r="F8002" s="946">
        <v>3.0484742967103459E-2</v>
      </c>
      <c r="G8002" s="78"/>
      <c r="H8002" t="s">
        <v>80</v>
      </c>
    </row>
    <row r="8003" spans="1:12" hidden="1" outlineLevel="1" x14ac:dyDescent="0.25">
      <c r="A8003" s="701">
        <v>0.03</v>
      </c>
      <c r="B8003" s="706" t="s">
        <v>1414</v>
      </c>
      <c r="C8003" s="707">
        <v>18.117999999999999</v>
      </c>
      <c r="D8003" s="708">
        <v>34.79</v>
      </c>
      <c r="E8003" s="709">
        <v>0.92018986643117362</v>
      </c>
      <c r="F8003" s="946">
        <v>2.7605695992935209E-2</v>
      </c>
      <c r="G8003" s="78"/>
      <c r="H8003" t="s">
        <v>2428</v>
      </c>
    </row>
    <row r="8004" spans="1:12" hidden="1" outlineLevel="1" x14ac:dyDescent="0.25">
      <c r="A8004" s="701">
        <v>3.5000000000000003E-2</v>
      </c>
      <c r="B8004" s="706" t="s">
        <v>3800</v>
      </c>
      <c r="C8004" s="707">
        <v>163.52000000000001</v>
      </c>
      <c r="D8004" s="708">
        <v>268.10000000000002</v>
      </c>
      <c r="E8004" s="709">
        <v>0.63955479452054798</v>
      </c>
      <c r="F8004" s="946">
        <v>2.2384417808219183E-2</v>
      </c>
      <c r="G8004" s="78"/>
      <c r="H8004" t="s">
        <v>2817</v>
      </c>
    </row>
    <row r="8005" spans="1:12" hidden="1" outlineLevel="1" x14ac:dyDescent="0.25">
      <c r="A8005" s="701">
        <v>0.03</v>
      </c>
      <c r="B8005" s="706" t="s">
        <v>2728</v>
      </c>
      <c r="C8005" s="707">
        <v>57.646999999999998</v>
      </c>
      <c r="D8005" s="708">
        <v>76.349999999999994</v>
      </c>
      <c r="E8005" s="709">
        <v>0.32444012697972124</v>
      </c>
      <c r="F8005" s="946">
        <v>9.7332038093916363E-3</v>
      </c>
      <c r="G8005" s="78"/>
      <c r="H8005" t="s">
        <v>258</v>
      </c>
    </row>
    <row r="8006" spans="1:12" hidden="1" outlineLevel="1" x14ac:dyDescent="0.25">
      <c r="A8006" s="701">
        <v>4.4999999999999998E-2</v>
      </c>
      <c r="B8006" s="706" t="s">
        <v>1239</v>
      </c>
      <c r="C8006" s="707">
        <v>386.77</v>
      </c>
      <c r="D8006" s="708">
        <v>564.5</v>
      </c>
      <c r="E8006" s="709">
        <v>0.45952374796390627</v>
      </c>
      <c r="F8006" s="946">
        <v>2.0678568658375782E-2</v>
      </c>
      <c r="G8006" s="78"/>
      <c r="H8006" t="s">
        <v>268</v>
      </c>
    </row>
    <row r="8007" spans="1:12" hidden="1" outlineLevel="1" x14ac:dyDescent="0.25">
      <c r="A8007" s="701">
        <v>3.5000000000000003E-2</v>
      </c>
      <c r="B8007" s="706" t="s">
        <v>3022</v>
      </c>
      <c r="C8007" s="707">
        <v>3537</v>
      </c>
      <c r="D8007" s="708">
        <v>5999</v>
      </c>
      <c r="E8007" s="709">
        <v>0.69607011591744405</v>
      </c>
      <c r="F8007" s="946">
        <v>2.4362454057110544E-2</v>
      </c>
      <c r="G8007" s="78"/>
      <c r="H8007" t="s">
        <v>2802</v>
      </c>
    </row>
    <row r="8008" spans="1:12" hidden="1" outlineLevel="1" x14ac:dyDescent="0.25">
      <c r="A8008" s="701">
        <v>3.5000000000000003E-2</v>
      </c>
      <c r="B8008" s="706" t="s">
        <v>577</v>
      </c>
      <c r="C8008" s="707">
        <v>19.370999999999999</v>
      </c>
      <c r="D8008" s="708">
        <v>13.26</v>
      </c>
      <c r="E8008" s="709">
        <v>-0.31547158122967323</v>
      </c>
      <c r="F8008" s="946">
        <v>-1.1041505343038565E-2</v>
      </c>
      <c r="G8008" s="78"/>
      <c r="H8008" t="s">
        <v>2804</v>
      </c>
    </row>
    <row r="8009" spans="1:12" hidden="1" outlineLevel="1" x14ac:dyDescent="0.25">
      <c r="A8009" s="701">
        <v>3.5000000000000003E-2</v>
      </c>
      <c r="B8009" s="706" t="s">
        <v>583</v>
      </c>
      <c r="C8009" s="707">
        <v>426.97</v>
      </c>
      <c r="D8009" s="708">
        <v>241.85</v>
      </c>
      <c r="E8009" s="709">
        <v>-0.43356676113075865</v>
      </c>
      <c r="F8009" s="946">
        <v>-1.5174836639576554E-2</v>
      </c>
      <c r="G8009" s="78"/>
      <c r="H8009" t="s">
        <v>1594</v>
      </c>
    </row>
    <row r="8010" spans="1:12" hidden="1" outlineLevel="1" x14ac:dyDescent="0.25">
      <c r="A8010" s="701">
        <v>2.5000000000000001E-2</v>
      </c>
      <c r="B8010" s="713" t="s">
        <v>507</v>
      </c>
      <c r="C8010" s="714">
        <v>21.048999999999999</v>
      </c>
      <c r="D8010" s="715">
        <v>38.914999999999999</v>
      </c>
      <c r="E8010" s="716">
        <v>0.848781414794052</v>
      </c>
      <c r="F8010" s="1023">
        <v>2.12195353698513E-2</v>
      </c>
      <c r="G8010" s="78"/>
      <c r="H8010" t="s">
        <v>2810</v>
      </c>
    </row>
    <row r="8011" spans="1:12" hidden="1" outlineLevel="1" x14ac:dyDescent="0.25">
      <c r="A8011" s="717"/>
      <c r="B8011" s="750"/>
      <c r="C8011" s="727"/>
      <c r="D8011" s="727"/>
      <c r="E8011" s="716"/>
      <c r="F8011" s="770">
        <v>0.4913351057022729</v>
      </c>
      <c r="G8011" s="78"/>
    </row>
    <row r="8012" spans="1:12" collapsed="1" x14ac:dyDescent="0.25">
      <c r="A8012" s="3801" t="s">
        <v>1218</v>
      </c>
      <c r="B8012" s="3802"/>
      <c r="C8012" s="3802"/>
      <c r="D8012" s="3802"/>
      <c r="E8012" s="721"/>
      <c r="F8012" s="722">
        <v>0.31429113333333342</v>
      </c>
      <c r="G8012" s="97" t="s">
        <v>781</v>
      </c>
    </row>
    <row r="8014" spans="1:12" hidden="1" outlineLevel="1" x14ac:dyDescent="0.25">
      <c r="A8014" s="689" t="s">
        <v>113</v>
      </c>
      <c r="B8014" s="689" t="s">
        <v>114</v>
      </c>
      <c r="C8014" s="689" t="s">
        <v>112</v>
      </c>
      <c r="D8014" s="689" t="s">
        <v>116</v>
      </c>
      <c r="E8014" s="689" t="s">
        <v>117</v>
      </c>
      <c r="F8014" s="1188" t="s">
        <v>121</v>
      </c>
    </row>
    <row r="8015" spans="1:12" hidden="1" outlineLevel="1" x14ac:dyDescent="0.25">
      <c r="A8015" s="751" t="s">
        <v>412</v>
      </c>
      <c r="B8015" s="729" t="s">
        <v>115</v>
      </c>
      <c r="C8015" s="1105">
        <v>2875.366</v>
      </c>
      <c r="D8015" s="1105">
        <v>2885</v>
      </c>
      <c r="E8015" s="907">
        <v>3.3505299847045311E-3</v>
      </c>
      <c r="F8015" s="731">
        <v>0</v>
      </c>
    </row>
    <row r="8016" spans="1:12" hidden="1" outlineLevel="1" x14ac:dyDescent="0.25">
      <c r="A8016" s="751" t="s">
        <v>413</v>
      </c>
      <c r="B8016" s="729" t="s">
        <v>115</v>
      </c>
      <c r="C8016" s="1105">
        <v>2885</v>
      </c>
      <c r="D8016" s="1105">
        <v>2940.25</v>
      </c>
      <c r="E8016" s="907">
        <v>1.915077989601377E-2</v>
      </c>
      <c r="F8016" s="731">
        <v>0</v>
      </c>
    </row>
    <row r="8017" spans="1:6" hidden="1" outlineLevel="1" x14ac:dyDescent="0.25">
      <c r="A8017" s="751" t="s">
        <v>414</v>
      </c>
      <c r="B8017" s="729" t="s">
        <v>115</v>
      </c>
      <c r="C8017" s="1105">
        <v>2940.25</v>
      </c>
      <c r="D8017" s="1105">
        <v>2674.46</v>
      </c>
      <c r="E8017" s="907">
        <v>-9.0397075078649802E-2</v>
      </c>
      <c r="F8017" s="731">
        <v>-9.0397075078649802E-2</v>
      </c>
    </row>
    <row r="8018" spans="1:6" hidden="1" outlineLevel="1" x14ac:dyDescent="0.25">
      <c r="A8018" s="751" t="s">
        <v>415</v>
      </c>
      <c r="B8018" s="729" t="s">
        <v>115</v>
      </c>
      <c r="C8018" s="1105">
        <v>2674.46</v>
      </c>
      <c r="D8018" s="1105">
        <v>2898.36</v>
      </c>
      <c r="E8018" s="907">
        <v>8.3717834628298737E-2</v>
      </c>
      <c r="F8018" s="731">
        <v>0</v>
      </c>
    </row>
    <row r="8019" spans="1:6" hidden="1" outlineLevel="1" x14ac:dyDescent="0.25">
      <c r="A8019" s="751" t="s">
        <v>416</v>
      </c>
      <c r="B8019" s="729" t="s">
        <v>115</v>
      </c>
      <c r="C8019" s="1105">
        <v>2898.36</v>
      </c>
      <c r="D8019" s="1105">
        <v>2949.65</v>
      </c>
      <c r="E8019" s="907">
        <v>1.7696214410908295E-2</v>
      </c>
      <c r="F8019" s="731">
        <v>0</v>
      </c>
    </row>
    <row r="8020" spans="1:6" hidden="1" outlineLevel="1" x14ac:dyDescent="0.25">
      <c r="A8020" s="751" t="s">
        <v>3446</v>
      </c>
      <c r="B8020" s="729" t="s">
        <v>115</v>
      </c>
      <c r="C8020" s="1105">
        <v>2949.65</v>
      </c>
      <c r="D8020" s="1105">
        <v>2633.92</v>
      </c>
      <c r="E8020" s="907">
        <v>-0.10703981828352516</v>
      </c>
      <c r="F8020" s="731">
        <v>-0.10703981828352516</v>
      </c>
    </row>
    <row r="8021" spans="1:6" hidden="1" outlineLevel="1" x14ac:dyDescent="0.25">
      <c r="A8021" s="751" t="s">
        <v>968</v>
      </c>
      <c r="B8021" s="729" t="s">
        <v>115</v>
      </c>
      <c r="C8021" s="1105">
        <v>2633.92</v>
      </c>
      <c r="D8021" s="1105">
        <v>2683.46</v>
      </c>
      <c r="E8021" s="907">
        <v>1.8808467986878963E-2</v>
      </c>
      <c r="F8021" s="731">
        <v>0</v>
      </c>
    </row>
    <row r="8022" spans="1:6" hidden="1" outlineLevel="1" x14ac:dyDescent="0.25">
      <c r="A8022" s="751" t="s">
        <v>969</v>
      </c>
      <c r="B8022" s="729" t="s">
        <v>115</v>
      </c>
      <c r="C8022" s="1105">
        <v>2683.46</v>
      </c>
      <c r="D8022" s="1105">
        <v>2738.96</v>
      </c>
      <c r="E8022" s="907">
        <v>2.0682253508530035E-2</v>
      </c>
      <c r="F8022" s="731">
        <v>0</v>
      </c>
    </row>
    <row r="8023" spans="1:6" hidden="1" outlineLevel="1" x14ac:dyDescent="0.25">
      <c r="A8023" s="751" t="s">
        <v>1693</v>
      </c>
      <c r="B8023" s="729" t="s">
        <v>115</v>
      </c>
      <c r="C8023" s="1105">
        <v>2738.96</v>
      </c>
      <c r="D8023" s="1105">
        <v>2708.83</v>
      </c>
      <c r="E8023" s="907">
        <v>-1.1000525746998946E-2</v>
      </c>
      <c r="F8023" s="731">
        <v>-1.1000525746998946E-2</v>
      </c>
    </row>
    <row r="8024" spans="1:6" hidden="1" outlineLevel="1" x14ac:dyDescent="0.25">
      <c r="A8024" s="751" t="s">
        <v>1694</v>
      </c>
      <c r="B8024" s="729" t="s">
        <v>115</v>
      </c>
      <c r="C8024" s="1105">
        <v>2708.83</v>
      </c>
      <c r="D8024" s="1105">
        <v>2806.47</v>
      </c>
      <c r="E8024" s="907">
        <v>3.6045082194157585E-2</v>
      </c>
      <c r="F8024" s="731">
        <v>0</v>
      </c>
    </row>
    <row r="8025" spans="1:6" hidden="1" outlineLevel="1" x14ac:dyDescent="0.25">
      <c r="A8025" s="751" t="s">
        <v>2417</v>
      </c>
      <c r="B8025" s="729" t="s">
        <v>115</v>
      </c>
      <c r="C8025" s="1105">
        <v>2806.47</v>
      </c>
      <c r="D8025" s="1105">
        <v>2836.11</v>
      </c>
      <c r="E8025" s="907">
        <v>1.0561310115554612E-2</v>
      </c>
      <c r="F8025" s="731">
        <v>0</v>
      </c>
    </row>
    <row r="8026" spans="1:6" hidden="1" outlineLevel="1" x14ac:dyDescent="0.25">
      <c r="A8026" s="751" t="s">
        <v>2418</v>
      </c>
      <c r="B8026" s="729" t="s">
        <v>115</v>
      </c>
      <c r="C8026" s="1105">
        <v>2836.11</v>
      </c>
      <c r="D8026" s="1105">
        <v>2822.43</v>
      </c>
      <c r="E8026" s="907">
        <v>-4.8235082560268427E-3</v>
      </c>
      <c r="F8026" s="731">
        <v>-4.8235082560268427E-3</v>
      </c>
    </row>
    <row r="8027" spans="1:6" hidden="1" outlineLevel="1" x14ac:dyDescent="0.25">
      <c r="A8027" s="751" t="s">
        <v>3279</v>
      </c>
      <c r="B8027" s="729" t="s">
        <v>115</v>
      </c>
      <c r="C8027" s="1105">
        <v>2822.43</v>
      </c>
      <c r="D8027" s="1105">
        <v>2861.67</v>
      </c>
      <c r="E8027" s="907">
        <v>1.3902913446923515E-2</v>
      </c>
      <c r="F8027" s="731">
        <v>0</v>
      </c>
    </row>
    <row r="8028" spans="1:6" hidden="1" outlineLevel="1" x14ac:dyDescent="0.25">
      <c r="A8028" s="751" t="s">
        <v>1057</v>
      </c>
      <c r="B8028" s="729" t="s">
        <v>115</v>
      </c>
      <c r="C8028" s="1105">
        <v>2861.67</v>
      </c>
      <c r="D8028" s="1105">
        <v>2920.4</v>
      </c>
      <c r="E8028" s="907">
        <v>2.0522981336072998E-2</v>
      </c>
      <c r="F8028" s="731">
        <v>0</v>
      </c>
    </row>
    <row r="8029" spans="1:6" hidden="1" outlineLevel="1" x14ac:dyDescent="0.25">
      <c r="A8029" s="751" t="s">
        <v>1058</v>
      </c>
      <c r="B8029" s="729" t="s">
        <v>115</v>
      </c>
      <c r="C8029" s="1105">
        <v>2920.4</v>
      </c>
      <c r="D8029" s="1105">
        <v>3018.38</v>
      </c>
      <c r="E8029" s="907">
        <v>3.3550198602931181E-2</v>
      </c>
      <c r="F8029" s="731">
        <v>0</v>
      </c>
    </row>
    <row r="8030" spans="1:6" hidden="1" outlineLevel="1" x14ac:dyDescent="0.25">
      <c r="A8030" s="751" t="s">
        <v>1059</v>
      </c>
      <c r="B8030" s="729" t="s">
        <v>115</v>
      </c>
      <c r="C8030" s="1105">
        <v>3018.38</v>
      </c>
      <c r="D8030" s="1105">
        <v>2852.11</v>
      </c>
      <c r="E8030" s="907">
        <v>-5.5085840749011017E-2</v>
      </c>
      <c r="F8030" s="731">
        <v>-5.5085840749011017E-2</v>
      </c>
    </row>
    <row r="8031" spans="1:6" hidden="1" outlineLevel="1" x14ac:dyDescent="0.25">
      <c r="A8031" s="751" t="s">
        <v>1060</v>
      </c>
      <c r="B8031" s="729" t="s">
        <v>115</v>
      </c>
      <c r="C8031" s="1105">
        <v>2852.11</v>
      </c>
      <c r="D8031" s="1105">
        <v>2917.72</v>
      </c>
      <c r="E8031" s="907">
        <v>2.3004021584020151E-2</v>
      </c>
      <c r="F8031" s="731">
        <v>0</v>
      </c>
    </row>
    <row r="8032" spans="1:6" hidden="1" outlineLevel="1" x14ac:dyDescent="0.25">
      <c r="A8032" s="751" t="s">
        <v>1061</v>
      </c>
      <c r="B8032" s="729" t="s">
        <v>115</v>
      </c>
      <c r="C8032" s="1105">
        <v>2917.72</v>
      </c>
      <c r="D8032" s="1105">
        <v>2894.6</v>
      </c>
      <c r="E8032" s="907">
        <v>-7.9239954485008646E-3</v>
      </c>
      <c r="F8032" s="731">
        <v>-7.9239954485008646E-3</v>
      </c>
    </row>
    <row r="8033" spans="1:7" hidden="1" outlineLevel="1" x14ac:dyDescent="0.25">
      <c r="A8033" s="751" t="s">
        <v>1062</v>
      </c>
      <c r="B8033" s="729" t="s">
        <v>115</v>
      </c>
      <c r="C8033" s="1105">
        <v>2894.6</v>
      </c>
      <c r="D8033" s="1105">
        <v>2779.94</v>
      </c>
      <c r="E8033" s="907">
        <v>-3.9611690734471017E-2</v>
      </c>
      <c r="F8033" s="731">
        <v>-3.9611690734471017E-2</v>
      </c>
    </row>
    <row r="8034" spans="1:7" hidden="1" outlineLevel="1" x14ac:dyDescent="0.25">
      <c r="A8034" s="751" t="s">
        <v>1063</v>
      </c>
      <c r="B8034" s="729" t="s">
        <v>115</v>
      </c>
      <c r="C8034" s="1105">
        <v>2779.94</v>
      </c>
      <c r="D8034" s="1105">
        <v>2695.29</v>
      </c>
      <c r="E8034" s="907">
        <v>-3.0450297488435085E-2</v>
      </c>
      <c r="F8034" s="731">
        <v>-3.0450297488435085E-2</v>
      </c>
    </row>
    <row r="8035" spans="1:7" hidden="1" outlineLevel="1" x14ac:dyDescent="0.25">
      <c r="A8035" s="751" t="s">
        <v>1064</v>
      </c>
      <c r="B8035" s="729" t="s">
        <v>115</v>
      </c>
      <c r="C8035" s="1105">
        <v>2695.29</v>
      </c>
      <c r="D8035" s="1105">
        <v>2307.33</v>
      </c>
      <c r="E8035" s="907">
        <v>-0.14393998419465071</v>
      </c>
      <c r="F8035" s="731">
        <v>-0.14393998419465071</v>
      </c>
    </row>
    <row r="8036" spans="1:7" hidden="1" outlineLevel="1" x14ac:dyDescent="0.25">
      <c r="A8036" s="751" t="s">
        <v>3730</v>
      </c>
      <c r="B8036" s="729" t="s">
        <v>115</v>
      </c>
      <c r="C8036" s="1105">
        <v>2307.33</v>
      </c>
      <c r="D8036" s="1105">
        <v>2083.38</v>
      </c>
      <c r="E8036" s="907">
        <v>-9.706023845743772E-2</v>
      </c>
      <c r="F8036" s="731">
        <v>-9.706023845743772E-2</v>
      </c>
    </row>
    <row r="8037" spans="1:7" hidden="1" outlineLevel="1" x14ac:dyDescent="0.25">
      <c r="A8037" s="751" t="s">
        <v>3731</v>
      </c>
      <c r="B8037" s="729" t="s">
        <v>115</v>
      </c>
      <c r="C8037" s="1105">
        <v>2083.38</v>
      </c>
      <c r="D8037" s="1105">
        <v>2355.48</v>
      </c>
      <c r="E8037" s="907">
        <v>0.13060507444633229</v>
      </c>
      <c r="F8037" s="731">
        <v>0</v>
      </c>
    </row>
    <row r="8038" spans="1:7" hidden="1" outlineLevel="1" x14ac:dyDescent="0.25">
      <c r="A8038" s="751" t="s">
        <v>3569</v>
      </c>
      <c r="B8038" s="729" t="s">
        <v>115</v>
      </c>
      <c r="C8038" s="1105">
        <v>2355.48</v>
      </c>
      <c r="D8038" s="1105">
        <v>2288.3200000000002</v>
      </c>
      <c r="E8038" s="907">
        <v>-2.8512235298113309E-2</v>
      </c>
      <c r="F8038" s="731">
        <v>-2.8512235298113309E-2</v>
      </c>
    </row>
    <row r="8039" spans="1:7" hidden="1" outlineLevel="1" x14ac:dyDescent="0.25">
      <c r="A8039" s="751" t="s">
        <v>2426</v>
      </c>
      <c r="B8039" s="729" t="s">
        <v>115</v>
      </c>
      <c r="C8039" s="1105">
        <v>2288.3200000000002</v>
      </c>
      <c r="D8039" s="1105">
        <v>2205.91</v>
      </c>
      <c r="E8039" s="907">
        <v>-3.601331981541056E-2</v>
      </c>
      <c r="F8039" s="731">
        <v>-3.601331981541056E-2</v>
      </c>
    </row>
    <row r="8040" spans="1:7" hidden="1" outlineLevel="1" x14ac:dyDescent="0.25">
      <c r="A8040" s="751" t="s">
        <v>1012</v>
      </c>
      <c r="B8040" s="729" t="s">
        <v>115</v>
      </c>
      <c r="C8040" s="1105">
        <v>2205.91</v>
      </c>
      <c r="D8040" s="1105">
        <v>2338.0100000000002</v>
      </c>
      <c r="E8040" s="907">
        <v>5.9884582779895945E-2</v>
      </c>
      <c r="F8040" s="731">
        <v>0</v>
      </c>
    </row>
    <row r="8041" spans="1:7" hidden="1" outlineLevel="1" x14ac:dyDescent="0.25">
      <c r="A8041" s="751" t="s">
        <v>1013</v>
      </c>
      <c r="B8041" s="729" t="s">
        <v>115</v>
      </c>
      <c r="C8041" s="1105">
        <v>2338.0100000000002</v>
      </c>
      <c r="D8041" s="1105">
        <v>2488.29</v>
      </c>
      <c r="E8041" s="907">
        <v>6.4276885043263121E-2</v>
      </c>
      <c r="F8041" s="731">
        <v>0</v>
      </c>
    </row>
    <row r="8042" spans="1:7" hidden="1" outlineLevel="1" x14ac:dyDescent="0.25">
      <c r="A8042" s="751" t="s">
        <v>1671</v>
      </c>
      <c r="B8042" s="729" t="s">
        <v>115</v>
      </c>
      <c r="C8042" s="1105">
        <v>2488.29</v>
      </c>
      <c r="D8042" s="1105">
        <v>2574.79</v>
      </c>
      <c r="E8042" s="907">
        <v>3.4762829091464331E-2</v>
      </c>
      <c r="F8042" s="731">
        <v>0</v>
      </c>
    </row>
    <row r="8043" spans="1:7" hidden="1" outlineLevel="1" x14ac:dyDescent="0.25">
      <c r="A8043" s="751" t="s">
        <v>1672</v>
      </c>
      <c r="B8043" s="729" t="s">
        <v>115</v>
      </c>
      <c r="C8043" s="1105">
        <v>2574.79</v>
      </c>
      <c r="D8043" s="1105">
        <v>2367.0500000000002</v>
      </c>
      <c r="E8043" s="907">
        <v>-8.0682308071726161E-2</v>
      </c>
      <c r="F8043" s="731">
        <v>-8.0682308071726161E-2</v>
      </c>
    </row>
    <row r="8044" spans="1:7" hidden="1" outlineLevel="1" x14ac:dyDescent="0.25">
      <c r="A8044" s="751" t="s">
        <v>1673</v>
      </c>
      <c r="B8044" s="729" t="s">
        <v>115</v>
      </c>
      <c r="C8044" s="1105">
        <v>2367.0500000000002</v>
      </c>
      <c r="D8044" s="1105">
        <v>2201.9499999999998</v>
      </c>
      <c r="E8044" s="907">
        <v>-6.9749265963963691E-2</v>
      </c>
      <c r="F8044" s="731">
        <v>-6.9749265963963691E-2</v>
      </c>
    </row>
    <row r="8045" spans="1:7" hidden="1" outlineLevel="1" x14ac:dyDescent="0.25">
      <c r="A8045" s="751" t="s">
        <v>1674</v>
      </c>
      <c r="B8045" s="729" t="s">
        <v>115</v>
      </c>
      <c r="C8045" s="1105">
        <v>2201.9499999999998</v>
      </c>
      <c r="D8045" s="1105"/>
      <c r="E8045" s="907" t="s">
        <v>5590</v>
      </c>
      <c r="F8045" s="731" t="s">
        <v>5590</v>
      </c>
    </row>
    <row r="8046" spans="1:7" hidden="1" outlineLevel="1" x14ac:dyDescent="0.25">
      <c r="A8046" s="751" t="s">
        <v>1675</v>
      </c>
      <c r="B8046" s="729" t="s">
        <v>115</v>
      </c>
      <c r="C8046" s="1105"/>
      <c r="D8046" s="1105"/>
      <c r="E8046" s="907" t="s">
        <v>5590</v>
      </c>
      <c r="F8046" s="731" t="s">
        <v>5590</v>
      </c>
    </row>
    <row r="8047" spans="1:7" hidden="1" outlineLevel="1" x14ac:dyDescent="0.25">
      <c r="A8047" s="751" t="s">
        <v>1676</v>
      </c>
      <c r="B8047" s="729" t="s">
        <v>115</v>
      </c>
      <c r="C8047" s="1105"/>
      <c r="D8047" s="1105"/>
      <c r="E8047" s="907" t="s">
        <v>5590</v>
      </c>
      <c r="F8047" s="731" t="s">
        <v>5590</v>
      </c>
    </row>
    <row r="8048" spans="1:7" collapsed="1" x14ac:dyDescent="0.25">
      <c r="A8048" s="3801" t="s">
        <v>4181</v>
      </c>
      <c r="B8048" s="3802"/>
      <c r="C8048" s="3802"/>
      <c r="D8048" s="3802"/>
      <c r="E8048" s="721"/>
      <c r="F8048" s="722">
        <v>0</v>
      </c>
      <c r="G8048" s="97" t="s">
        <v>781</v>
      </c>
    </row>
    <row r="8050" spans="1:12" hidden="1" outlineLevel="1" x14ac:dyDescent="0.25">
      <c r="A8050" s="689" t="s">
        <v>113</v>
      </c>
      <c r="B8050" s="689" t="s">
        <v>114</v>
      </c>
      <c r="C8050" s="689" t="s">
        <v>112</v>
      </c>
      <c r="D8050" s="689" t="s">
        <v>116</v>
      </c>
      <c r="E8050" s="689" t="s">
        <v>117</v>
      </c>
      <c r="F8050" s="1188" t="s">
        <v>121</v>
      </c>
    </row>
    <row r="8051" spans="1:12" hidden="1" outlineLevel="1" x14ac:dyDescent="0.25">
      <c r="A8051" s="690">
        <v>1</v>
      </c>
      <c r="B8051" s="691" t="s">
        <v>252</v>
      </c>
      <c r="C8051" s="692">
        <v>100</v>
      </c>
      <c r="D8051" s="692"/>
      <c r="E8051" s="693"/>
      <c r="F8051" s="694"/>
    </row>
    <row r="8052" spans="1:12" hidden="1" outlineLevel="1" x14ac:dyDescent="0.25">
      <c r="A8052" s="695"/>
      <c r="B8052" s="695"/>
      <c r="C8052" s="696"/>
      <c r="D8052" s="697" t="s">
        <v>3702</v>
      </c>
      <c r="E8052" s="698">
        <v>41471</v>
      </c>
      <c r="F8052" s="699"/>
    </row>
    <row r="8053" spans="1:12" hidden="1" outlineLevel="1" x14ac:dyDescent="0.25">
      <c r="A8053" s="495" t="s">
        <v>4156</v>
      </c>
      <c r="B8053" s="495" t="s">
        <v>4153</v>
      </c>
      <c r="C8053" s="700" t="s">
        <v>112</v>
      </c>
      <c r="D8053" s="495" t="s">
        <v>4155</v>
      </c>
      <c r="E8053" s="495" t="s">
        <v>4154</v>
      </c>
      <c r="F8053" s="1021" t="s">
        <v>2519</v>
      </c>
      <c r="J8053" t="s">
        <v>2040</v>
      </c>
    </row>
    <row r="8054" spans="1:12" hidden="1" outlineLevel="1" x14ac:dyDescent="0.25">
      <c r="A8054" s="1127">
        <v>0.05</v>
      </c>
      <c r="B8054" s="1000" t="s">
        <v>3548</v>
      </c>
      <c r="C8054" s="736">
        <v>25.284500000000001</v>
      </c>
      <c r="D8054" s="799">
        <v>20.89</v>
      </c>
      <c r="E8054" s="895">
        <v>-0.17380213174078984</v>
      </c>
      <c r="F8054" s="1021">
        <v>-8.6901065870394929E-3</v>
      </c>
      <c r="H8054" t="s">
        <v>3549</v>
      </c>
      <c r="J8054" s="256">
        <v>40940</v>
      </c>
      <c r="K8054">
        <v>118.7388</v>
      </c>
      <c r="L8054" s="37">
        <v>0.18738799999999989</v>
      </c>
    </row>
    <row r="8055" spans="1:12" hidden="1" outlineLevel="1" x14ac:dyDescent="0.25">
      <c r="A8055" s="849">
        <v>0.05</v>
      </c>
      <c r="B8055" s="996" t="s">
        <v>341</v>
      </c>
      <c r="C8055" s="741">
        <v>18.484000000000002</v>
      </c>
      <c r="D8055" s="852">
        <v>12.47</v>
      </c>
      <c r="E8055" s="896">
        <v>-0.32536247565462029</v>
      </c>
      <c r="F8055" s="946">
        <v>-1.6268123782731014E-2</v>
      </c>
      <c r="H8055" t="s">
        <v>342</v>
      </c>
      <c r="J8055" s="256">
        <v>40969</v>
      </c>
      <c r="K8055">
        <v>114.9575</v>
      </c>
      <c r="L8055" s="37">
        <v>0.14957500000000001</v>
      </c>
    </row>
    <row r="8056" spans="1:12" hidden="1" outlineLevel="1" x14ac:dyDescent="0.25">
      <c r="A8056" s="849">
        <v>0.05</v>
      </c>
      <c r="B8056" s="996" t="s">
        <v>343</v>
      </c>
      <c r="C8056" s="741">
        <v>3.3069999999999999</v>
      </c>
      <c r="D8056" s="852">
        <v>3.15</v>
      </c>
      <c r="E8056" s="896">
        <v>-4.7475052918052651E-2</v>
      </c>
      <c r="F8056" s="946">
        <v>-2.3737526459026328E-3</v>
      </c>
      <c r="H8056" t="s">
        <v>3451</v>
      </c>
      <c r="J8056" s="256">
        <v>41000</v>
      </c>
      <c r="K8056">
        <v>118.3259</v>
      </c>
      <c r="L8056" s="37">
        <v>0.18325900000000006</v>
      </c>
    </row>
    <row r="8057" spans="1:12" hidden="1" outlineLevel="1" x14ac:dyDescent="0.25">
      <c r="A8057" s="849">
        <v>0.05</v>
      </c>
      <c r="B8057" s="996" t="s">
        <v>3452</v>
      </c>
      <c r="C8057" s="741">
        <v>14.528</v>
      </c>
      <c r="D8057" s="852">
        <v>13.3</v>
      </c>
      <c r="E8057" s="896">
        <v>-8.4526431718061623E-2</v>
      </c>
      <c r="F8057" s="946">
        <v>-4.2263215859030812E-3</v>
      </c>
      <c r="H8057" t="s">
        <v>3453</v>
      </c>
      <c r="J8057" s="256">
        <v>41030</v>
      </c>
      <c r="K8057">
        <v>106.0416</v>
      </c>
      <c r="L8057" s="37">
        <v>6.0416000000000025E-2</v>
      </c>
    </row>
    <row r="8058" spans="1:12" hidden="1" outlineLevel="1" x14ac:dyDescent="0.25">
      <c r="A8058" s="849">
        <v>0.05</v>
      </c>
      <c r="B8058" s="996" t="s">
        <v>4221</v>
      </c>
      <c r="C8058" s="741">
        <v>106.18</v>
      </c>
      <c r="D8058" s="852">
        <v>105.3</v>
      </c>
      <c r="E8058" s="896">
        <v>-8.287813147485501E-3</v>
      </c>
      <c r="F8058" s="946">
        <v>-4.1439065737427507E-4</v>
      </c>
      <c r="H8058" t="s">
        <v>425</v>
      </c>
      <c r="J8058" s="256">
        <v>41061</v>
      </c>
      <c r="K8058">
        <v>106.9346</v>
      </c>
      <c r="L8058" s="37">
        <v>6.934600000000013E-2</v>
      </c>
    </row>
    <row r="8059" spans="1:12" hidden="1" outlineLevel="1" x14ac:dyDescent="0.25">
      <c r="A8059" s="849">
        <v>0.05</v>
      </c>
      <c r="B8059" s="996" t="s">
        <v>426</v>
      </c>
      <c r="C8059" s="741">
        <v>27.48</v>
      </c>
      <c r="D8059" s="852">
        <v>18.54</v>
      </c>
      <c r="E8059" s="896">
        <v>-0.3253275109170306</v>
      </c>
      <c r="F8059" s="946">
        <v>-1.626637554585153E-2</v>
      </c>
      <c r="H8059" t="s">
        <v>427</v>
      </c>
      <c r="J8059" s="256">
        <v>41091</v>
      </c>
      <c r="K8059">
        <v>111.4629</v>
      </c>
      <c r="L8059" s="37">
        <v>0.11462900000000009</v>
      </c>
    </row>
    <row r="8060" spans="1:12" hidden="1" outlineLevel="1" x14ac:dyDescent="0.25">
      <c r="A8060" s="849">
        <v>0.05</v>
      </c>
      <c r="B8060" s="996" t="s">
        <v>428</v>
      </c>
      <c r="C8060" s="741">
        <v>93.3</v>
      </c>
      <c r="D8060" s="852">
        <v>81.349999999999994</v>
      </c>
      <c r="E8060" s="896">
        <v>-0.12808145766345125</v>
      </c>
      <c r="F8060" s="946">
        <v>-6.4040728831725631E-3</v>
      </c>
      <c r="H8060" t="s">
        <v>1909</v>
      </c>
      <c r="J8060" s="256">
        <v>41122</v>
      </c>
      <c r="K8060">
        <v>109.75230000000001</v>
      </c>
      <c r="L8060" s="37">
        <v>9.7523000000000026E-2</v>
      </c>
    </row>
    <row r="8061" spans="1:12" hidden="1" outlineLevel="1" x14ac:dyDescent="0.25">
      <c r="A8061" s="849">
        <v>0.05</v>
      </c>
      <c r="B8061" s="996" t="s">
        <v>1910</v>
      </c>
      <c r="C8061" s="741">
        <v>3.9630000000000001</v>
      </c>
      <c r="D8061" s="852">
        <v>3.7199999999999998</v>
      </c>
      <c r="E8061" s="896">
        <v>-6.1317183951551946E-2</v>
      </c>
      <c r="F8061" s="946">
        <v>-3.0658591975775973E-3</v>
      </c>
      <c r="H8061" t="s">
        <v>1911</v>
      </c>
      <c r="J8061" s="256">
        <v>41153</v>
      </c>
      <c r="K8061">
        <v>115.33540000000001</v>
      </c>
      <c r="L8061" s="37">
        <v>0.15335399999999999</v>
      </c>
    </row>
    <row r="8062" spans="1:12" hidden="1" outlineLevel="1" x14ac:dyDescent="0.25">
      <c r="A8062" s="849">
        <v>0.05</v>
      </c>
      <c r="B8062" s="996" t="s">
        <v>959</v>
      </c>
      <c r="C8062" s="741">
        <v>70.790000000000006</v>
      </c>
      <c r="D8062" s="852">
        <v>84.8</v>
      </c>
      <c r="E8062" s="896">
        <v>0.19790930922446659</v>
      </c>
      <c r="F8062" s="946">
        <v>9.8954654612233295E-3</v>
      </c>
      <c r="H8062" t="e">
        <v>#N/A</v>
      </c>
      <c r="J8062" s="256">
        <v>41183</v>
      </c>
      <c r="K8062">
        <v>114.9816</v>
      </c>
      <c r="L8062" s="37">
        <v>0.14981599999999995</v>
      </c>
    </row>
    <row r="8063" spans="1:12" hidden="1" outlineLevel="1" x14ac:dyDescent="0.25">
      <c r="A8063" s="849">
        <v>0.05</v>
      </c>
      <c r="B8063" s="996" t="s">
        <v>667</v>
      </c>
      <c r="C8063" s="741">
        <v>71530</v>
      </c>
      <c r="D8063" s="852">
        <v>213000</v>
      </c>
      <c r="E8063" s="896">
        <v>1.9777715643785823</v>
      </c>
      <c r="F8063" s="946">
        <v>9.8888578218929116E-2</v>
      </c>
      <c r="H8063" t="s">
        <v>668</v>
      </c>
      <c r="J8063" s="256">
        <v>41214</v>
      </c>
      <c r="K8063">
        <v>115.41679999999999</v>
      </c>
      <c r="L8063" s="37">
        <v>0.15416799999999986</v>
      </c>
    </row>
    <row r="8064" spans="1:12" hidden="1" outlineLevel="1" x14ac:dyDescent="0.25">
      <c r="A8064" s="849">
        <v>0.05</v>
      </c>
      <c r="B8064" s="996" t="s">
        <v>669</v>
      </c>
      <c r="C8064" s="741">
        <v>5.2480000000000002</v>
      </c>
      <c r="D8064" s="852">
        <v>4.8899999999999997</v>
      </c>
      <c r="E8064" s="896">
        <v>-6.8216463414634276E-2</v>
      </c>
      <c r="F8064" s="946">
        <v>-3.4108231707317138E-3</v>
      </c>
      <c r="H8064" t="s">
        <v>670</v>
      </c>
      <c r="J8064" s="256">
        <v>41244</v>
      </c>
      <c r="K8064">
        <v>120.02079999999999</v>
      </c>
      <c r="L8064" s="37">
        <v>0.20020799999999994</v>
      </c>
    </row>
    <row r="8065" spans="1:12" hidden="1" outlineLevel="1" x14ac:dyDescent="0.25">
      <c r="A8065" s="1081">
        <v>0.05</v>
      </c>
      <c r="B8065" s="996" t="s">
        <v>4278</v>
      </c>
      <c r="C8065" s="741">
        <v>30.768999999999998</v>
      </c>
      <c r="D8065" s="852">
        <v>36.47</v>
      </c>
      <c r="E8065" s="896">
        <v>0.18528388962917219</v>
      </c>
      <c r="F8065" s="946">
        <v>9.2641944814586107E-3</v>
      </c>
      <c r="H8065" t="s">
        <v>4279</v>
      </c>
      <c r="J8065" s="256">
        <v>41275</v>
      </c>
      <c r="K8065">
        <v>121.60680000000001</v>
      </c>
      <c r="L8065" s="37">
        <v>0.21606800000000015</v>
      </c>
    </row>
    <row r="8066" spans="1:12" hidden="1" outlineLevel="1" x14ac:dyDescent="0.25">
      <c r="A8066" s="849">
        <v>0.05</v>
      </c>
      <c r="B8066" s="996" t="s">
        <v>4280</v>
      </c>
      <c r="C8066" s="741">
        <v>113350</v>
      </c>
      <c r="D8066" s="852">
        <v>71000</v>
      </c>
      <c r="E8066" s="896">
        <v>-0.37362152624614031</v>
      </c>
      <c r="F8066" s="946">
        <v>-1.8681076312307015E-2</v>
      </c>
      <c r="H8066" t="s">
        <v>4281</v>
      </c>
      <c r="J8066" s="256">
        <v>41306</v>
      </c>
      <c r="K8066">
        <v>118.9495</v>
      </c>
      <c r="L8066" s="37">
        <v>0.18949499999999997</v>
      </c>
    </row>
    <row r="8067" spans="1:12" hidden="1" outlineLevel="1" x14ac:dyDescent="0.25">
      <c r="A8067" s="849">
        <v>0.05</v>
      </c>
      <c r="B8067" s="996" t="s">
        <v>4282</v>
      </c>
      <c r="C8067" s="741">
        <v>9.8640000000000008</v>
      </c>
      <c r="D8067" s="852">
        <v>9.1199999999999992</v>
      </c>
      <c r="E8067" s="896">
        <v>-7.5425790754258037E-2</v>
      </c>
      <c r="F8067" s="946">
        <v>-3.7712895377129021E-3</v>
      </c>
      <c r="H8067" t="s">
        <v>2054</v>
      </c>
      <c r="J8067" s="256">
        <v>41334</v>
      </c>
      <c r="K8067">
        <v>117.0523</v>
      </c>
      <c r="L8067" s="37">
        <v>0.17052299999999998</v>
      </c>
    </row>
    <row r="8068" spans="1:12" hidden="1" outlineLevel="1" x14ac:dyDescent="0.25">
      <c r="A8068" s="849">
        <v>0.05</v>
      </c>
      <c r="B8068" s="996" t="s">
        <v>2055</v>
      </c>
      <c r="C8068" s="741">
        <v>50.792000000000002</v>
      </c>
      <c r="D8068" s="852">
        <v>13.42</v>
      </c>
      <c r="E8068" s="896">
        <v>-0.73578516301779806</v>
      </c>
      <c r="F8068" s="946">
        <v>-3.6789258150889903E-2</v>
      </c>
      <c r="H8068" t="s">
        <v>3939</v>
      </c>
      <c r="J8068" s="256">
        <v>41365</v>
      </c>
      <c r="K8068">
        <v>116.9271</v>
      </c>
      <c r="L8068" s="37">
        <v>0.16927099999999995</v>
      </c>
    </row>
    <row r="8069" spans="1:12" hidden="1" outlineLevel="1" x14ac:dyDescent="0.25">
      <c r="A8069" s="849">
        <v>0.05</v>
      </c>
      <c r="B8069" s="996" t="s">
        <v>3940</v>
      </c>
      <c r="C8069" s="741">
        <v>50.384999999999998</v>
      </c>
      <c r="D8069" s="852">
        <v>50.85</v>
      </c>
      <c r="E8069" s="896">
        <v>9.2289371836857814E-3</v>
      </c>
      <c r="F8069" s="946">
        <v>4.614468591842891E-4</v>
      </c>
      <c r="H8069" t="s">
        <v>3941</v>
      </c>
      <c r="J8069" s="256">
        <v>41395</v>
      </c>
      <c r="K8069">
        <v>115.2234</v>
      </c>
      <c r="L8069" s="37">
        <v>0.15223399999999998</v>
      </c>
    </row>
    <row r="8070" spans="1:12" hidden="1" outlineLevel="1" x14ac:dyDescent="0.25">
      <c r="A8070" s="849">
        <v>0.05</v>
      </c>
      <c r="B8070" s="996" t="s">
        <v>3942</v>
      </c>
      <c r="C8070" s="741">
        <v>469100</v>
      </c>
      <c r="D8070" s="852">
        <v>311000</v>
      </c>
      <c r="E8070" s="896">
        <v>-0.33702835216371774</v>
      </c>
      <c r="F8070" s="946">
        <v>-1.6851417608185888E-2</v>
      </c>
      <c r="H8070" t="s">
        <v>3943</v>
      </c>
      <c r="J8070" s="256">
        <v>41426</v>
      </c>
      <c r="K8070">
        <v>107.92959999999999</v>
      </c>
      <c r="L8070" s="37">
        <v>7.9296000000000033E-2</v>
      </c>
    </row>
    <row r="8071" spans="1:12" hidden="1" outlineLevel="1" x14ac:dyDescent="0.25">
      <c r="A8071" s="849">
        <v>0.05</v>
      </c>
      <c r="B8071" s="743" t="s">
        <v>161</v>
      </c>
      <c r="C8071" s="741">
        <v>567500</v>
      </c>
      <c r="D8071" s="852">
        <v>1298000</v>
      </c>
      <c r="E8071" s="896">
        <v>1.2872246696035243</v>
      </c>
      <c r="F8071" s="946">
        <v>6.4361233480176222E-2</v>
      </c>
      <c r="H8071" t="s">
        <v>562</v>
      </c>
      <c r="J8071" s="256">
        <v>41456</v>
      </c>
      <c r="K8071">
        <v>108.48690000000001</v>
      </c>
      <c r="L8071" s="37">
        <v>8.4869000000000083E-2</v>
      </c>
    </row>
    <row r="8072" spans="1:12" hidden="1" outlineLevel="1" x14ac:dyDescent="0.25">
      <c r="A8072" s="849">
        <v>0.05</v>
      </c>
      <c r="B8072" s="996" t="s">
        <v>291</v>
      </c>
      <c r="C8072" s="741">
        <v>15.212</v>
      </c>
      <c r="D8072" s="852">
        <v>10.210000000000001</v>
      </c>
      <c r="E8072" s="896">
        <v>-0.32881935314225608</v>
      </c>
      <c r="F8072" s="946">
        <v>-1.6440967657112806E-2</v>
      </c>
      <c r="H8072" t="s">
        <v>292</v>
      </c>
      <c r="J8072" s="412" t="s">
        <v>2465</v>
      </c>
      <c r="L8072" s="362">
        <v>0.14341322222222225</v>
      </c>
    </row>
    <row r="8073" spans="1:12" hidden="1" outlineLevel="1" x14ac:dyDescent="0.25">
      <c r="A8073" s="990">
        <v>0.05</v>
      </c>
      <c r="B8073" s="997" t="s">
        <v>597</v>
      </c>
      <c r="C8073" s="747">
        <v>8704.7999999999993</v>
      </c>
      <c r="D8073" s="801">
        <v>10764</v>
      </c>
      <c r="E8073" s="947">
        <v>0.23655913978494625</v>
      </c>
      <c r="F8073" s="946">
        <v>1.1827956989247313E-2</v>
      </c>
      <c r="H8073" t="s">
        <v>598</v>
      </c>
      <c r="J8073" s="412" t="s">
        <v>5221</v>
      </c>
      <c r="L8073" s="261">
        <v>0.1147305777777778</v>
      </c>
    </row>
    <row r="8074" spans="1:12" hidden="1" outlineLevel="1" x14ac:dyDescent="0.25">
      <c r="A8074" s="1022"/>
      <c r="B8074" s="1022"/>
      <c r="C8074" s="1022"/>
      <c r="D8074" s="1022"/>
      <c r="E8074" s="1022"/>
      <c r="F8074" s="731">
        <v>4.104504016772647E-2</v>
      </c>
    </row>
    <row r="8075" spans="1:12" collapsed="1" x14ac:dyDescent="0.25">
      <c r="A8075" s="3801" t="s">
        <v>1795</v>
      </c>
      <c r="B8075" s="3802"/>
      <c r="C8075" s="3802"/>
      <c r="D8075" s="3802"/>
      <c r="E8075" s="721"/>
      <c r="F8075" s="752">
        <v>3.2836032134181174E-2</v>
      </c>
      <c r="G8075" s="97" t="s">
        <v>781</v>
      </c>
    </row>
    <row r="8077" spans="1:12" hidden="1" outlineLevel="1" x14ac:dyDescent="0.25">
      <c r="A8077" s="689" t="s">
        <v>113</v>
      </c>
      <c r="B8077" s="689" t="s">
        <v>114</v>
      </c>
      <c r="C8077" s="689" t="s">
        <v>112</v>
      </c>
      <c r="D8077" s="689" t="s">
        <v>116</v>
      </c>
      <c r="E8077" s="689" t="s">
        <v>117</v>
      </c>
      <c r="F8077" s="1188" t="s">
        <v>121</v>
      </c>
      <c r="G8077" s="78"/>
    </row>
    <row r="8078" spans="1:12" hidden="1" outlineLevel="1" x14ac:dyDescent="0.25">
      <c r="A8078" s="695">
        <v>3</v>
      </c>
      <c r="B8078" s="695"/>
      <c r="C8078" s="696"/>
      <c r="D8078" s="697" t="s">
        <v>3702</v>
      </c>
      <c r="E8078" s="698">
        <v>42460</v>
      </c>
      <c r="F8078" s="699"/>
      <c r="G8078" s="78"/>
    </row>
    <row r="8079" spans="1:12" hidden="1" outlineLevel="1" x14ac:dyDescent="0.25">
      <c r="A8079" s="689" t="s">
        <v>4156</v>
      </c>
      <c r="B8079" s="689" t="s">
        <v>4153</v>
      </c>
      <c r="C8079" s="700" t="s">
        <v>112</v>
      </c>
      <c r="D8079" s="689" t="s">
        <v>116</v>
      </c>
      <c r="E8079" s="495" t="s">
        <v>4154</v>
      </c>
      <c r="F8079" s="1021" t="s">
        <v>734</v>
      </c>
      <c r="G8079" s="78"/>
    </row>
    <row r="8080" spans="1:12" hidden="1" outlineLevel="1" x14ac:dyDescent="0.25">
      <c r="A8080" s="999">
        <v>3.3333000000000002E-2</v>
      </c>
      <c r="B8080" s="1230" t="s">
        <v>1993</v>
      </c>
      <c r="C8080" s="799">
        <v>15.002000000000001</v>
      </c>
      <c r="D8080" s="708">
        <v>32.146000000000001</v>
      </c>
      <c r="E8080" s="705">
        <v>1.1427809625383283</v>
      </c>
      <c r="F8080" s="1021">
        <v>7.0000000000000007E-2</v>
      </c>
      <c r="G8080" s="78"/>
      <c r="H8080" t="s">
        <v>2812</v>
      </c>
    </row>
    <row r="8081" spans="1:8" hidden="1" outlineLevel="1" x14ac:dyDescent="0.25">
      <c r="A8081" s="999">
        <v>3.3333000000000002E-2</v>
      </c>
      <c r="B8081" s="1089" t="s">
        <v>2984</v>
      </c>
      <c r="C8081" s="852">
        <v>7.9856999999999996</v>
      </c>
      <c r="D8081" s="708">
        <v>4.9042000000000003</v>
      </c>
      <c r="E8081" s="709">
        <v>-0.38587725559437491</v>
      </c>
      <c r="F8081" s="946">
        <v>-0.38587725559437491</v>
      </c>
      <c r="G8081" s="78"/>
      <c r="H8081" t="s">
        <v>2326</v>
      </c>
    </row>
    <row r="8082" spans="1:8" hidden="1" outlineLevel="1" x14ac:dyDescent="0.25">
      <c r="A8082" s="999">
        <v>3.3333000000000002E-2</v>
      </c>
      <c r="B8082" s="1089" t="s">
        <v>1994</v>
      </c>
      <c r="C8082" s="852">
        <v>16.326000000000001</v>
      </c>
      <c r="D8082" s="708">
        <v>7.2160000000000002</v>
      </c>
      <c r="E8082" s="709">
        <v>-0.5580056351831435</v>
      </c>
      <c r="F8082" s="946">
        <v>-0.5580056351831435</v>
      </c>
      <c r="G8082" s="78"/>
      <c r="H8082" t="s">
        <v>3493</v>
      </c>
    </row>
    <row r="8083" spans="1:8" hidden="1" outlineLevel="1" x14ac:dyDescent="0.25">
      <c r="A8083" s="999">
        <v>3.3333000000000002E-2</v>
      </c>
      <c r="B8083" s="1089" t="s">
        <v>1184</v>
      </c>
      <c r="C8083" s="852">
        <v>24.934000000000001</v>
      </c>
      <c r="D8083" s="708">
        <v>54.28</v>
      </c>
      <c r="E8083" s="709">
        <v>1.1769471404507899</v>
      </c>
      <c r="F8083" s="946">
        <v>7.0000000000000007E-2</v>
      </c>
      <c r="G8083" s="78"/>
      <c r="H8083" t="s">
        <v>3497</v>
      </c>
    </row>
    <row r="8084" spans="1:8" hidden="1" outlineLevel="1" x14ac:dyDescent="0.25">
      <c r="A8084" s="999">
        <v>3.3333000000000002E-2</v>
      </c>
      <c r="B8084" s="1231" t="s">
        <v>3019</v>
      </c>
      <c r="C8084" s="852">
        <v>43.017299999999999</v>
      </c>
      <c r="D8084" s="708">
        <v>27.538</v>
      </c>
      <c r="E8084" s="709">
        <v>-0.35983894851606213</v>
      </c>
      <c r="F8084" s="946">
        <v>-0.35983894851606213</v>
      </c>
      <c r="G8084" s="78"/>
      <c r="H8084" t="s">
        <v>2745</v>
      </c>
    </row>
    <row r="8085" spans="1:8" hidden="1" outlineLevel="1" x14ac:dyDescent="0.25">
      <c r="A8085" s="999">
        <v>3.3333000000000002E-2</v>
      </c>
      <c r="B8085" s="1089" t="s">
        <v>901</v>
      </c>
      <c r="C8085" s="852">
        <v>16.937999999999999</v>
      </c>
      <c r="D8085" s="708">
        <v>30.814</v>
      </c>
      <c r="E8085" s="709">
        <v>0.81922304876608831</v>
      </c>
      <c r="F8085" s="946">
        <v>7.0000000000000007E-2</v>
      </c>
      <c r="G8085" s="78"/>
      <c r="H8085" t="s">
        <v>531</v>
      </c>
    </row>
    <row r="8086" spans="1:8" hidden="1" outlineLevel="1" x14ac:dyDescent="0.25">
      <c r="A8086" s="999">
        <v>3.3333000000000002E-2</v>
      </c>
      <c r="B8086" s="1089" t="s">
        <v>4002</v>
      </c>
      <c r="C8086" s="852">
        <v>4.6980000000000004</v>
      </c>
      <c r="D8086" s="708">
        <v>12.386799999999999</v>
      </c>
      <c r="E8086" s="709">
        <v>1.6366113239676454</v>
      </c>
      <c r="F8086" s="946">
        <v>7.0000000000000007E-2</v>
      </c>
      <c r="G8086" s="78"/>
      <c r="H8086" t="s">
        <v>168</v>
      </c>
    </row>
    <row r="8087" spans="1:8" hidden="1" outlineLevel="1" x14ac:dyDescent="0.25">
      <c r="A8087" s="999">
        <v>3.3333000000000002E-2</v>
      </c>
      <c r="B8087" s="1089" t="s">
        <v>1847</v>
      </c>
      <c r="C8087" s="852">
        <v>81.180000000000007</v>
      </c>
      <c r="D8087" s="708">
        <v>26.001999999999999</v>
      </c>
      <c r="E8087" s="709">
        <v>-0.67969943335797001</v>
      </c>
      <c r="F8087" s="946">
        <v>-0.67969943335797001</v>
      </c>
      <c r="G8087" s="78"/>
      <c r="H8087" t="s">
        <v>2749</v>
      </c>
    </row>
    <row r="8088" spans="1:8" hidden="1" outlineLevel="1" x14ac:dyDescent="0.25">
      <c r="A8088" s="999">
        <v>3.3333000000000002E-2</v>
      </c>
      <c r="B8088" s="1089" t="s">
        <v>2699</v>
      </c>
      <c r="C8088" s="852">
        <v>10.798</v>
      </c>
      <c r="D8088" s="708">
        <v>12.954000000000001</v>
      </c>
      <c r="E8088" s="709">
        <v>0.1996666049268383</v>
      </c>
      <c r="F8088" s="946">
        <v>7.0000000000000007E-2</v>
      </c>
      <c r="G8088" s="78"/>
      <c r="H8088" t="s">
        <v>505</v>
      </c>
    </row>
    <row r="8089" spans="1:8" hidden="1" outlineLevel="1" x14ac:dyDescent="0.25">
      <c r="A8089" s="999">
        <v>3.3333000000000002E-2</v>
      </c>
      <c r="B8089" s="712" t="s">
        <v>1176</v>
      </c>
      <c r="C8089" s="852">
        <v>0.75719999999999998</v>
      </c>
      <c r="D8089" s="708">
        <v>1.2814000000000001</v>
      </c>
      <c r="E8089" s="709">
        <v>0.69228737453777089</v>
      </c>
      <c r="F8089" s="946">
        <v>7.0000000000000007E-2</v>
      </c>
      <c r="G8089" s="78"/>
      <c r="H8089" t="s">
        <v>3090</v>
      </c>
    </row>
    <row r="8090" spans="1:8" hidden="1" outlineLevel="1" x14ac:dyDescent="0.25">
      <c r="A8090" s="999">
        <v>3.3333000000000002E-2</v>
      </c>
      <c r="B8090" s="1089" t="s">
        <v>3643</v>
      </c>
      <c r="C8090" s="852">
        <v>152.55000000000001</v>
      </c>
      <c r="D8090" s="708">
        <v>211.44</v>
      </c>
      <c r="E8090" s="709">
        <v>0.38603736479842654</v>
      </c>
      <c r="F8090" s="946">
        <v>7.0000000000000007E-2</v>
      </c>
      <c r="G8090" s="78"/>
      <c r="H8090" t="s">
        <v>1729</v>
      </c>
    </row>
    <row r="8091" spans="1:8" hidden="1" outlineLevel="1" x14ac:dyDescent="0.25">
      <c r="A8091" s="999">
        <v>3.3333000000000002E-2</v>
      </c>
      <c r="B8091" s="711" t="s">
        <v>1771</v>
      </c>
      <c r="C8091" s="852">
        <v>6.5014000000000003</v>
      </c>
      <c r="D8091" s="708">
        <v>5.2607999999999997</v>
      </c>
      <c r="E8091" s="709">
        <v>-0.19082043867474707</v>
      </c>
      <c r="F8091" s="946">
        <v>-0.19082043867474707</v>
      </c>
      <c r="G8091" s="78"/>
      <c r="H8091" t="s">
        <v>4329</v>
      </c>
    </row>
    <row r="8092" spans="1:8" hidden="1" outlineLevel="1" x14ac:dyDescent="0.25">
      <c r="A8092" s="999">
        <v>3.3333000000000002E-2</v>
      </c>
      <c r="B8092" s="1089" t="s">
        <v>2588</v>
      </c>
      <c r="C8092" s="852">
        <v>5.3628999999999998</v>
      </c>
      <c r="D8092" s="708">
        <v>4.7594000000000003</v>
      </c>
      <c r="E8092" s="709">
        <v>-0.11253239851572838</v>
      </c>
      <c r="F8092" s="946">
        <v>-0.11253239851572838</v>
      </c>
      <c r="G8092" s="78"/>
      <c r="H8092" t="s">
        <v>4132</v>
      </c>
    </row>
    <row r="8093" spans="1:8" hidden="1" outlineLevel="1" x14ac:dyDescent="0.25">
      <c r="A8093" s="999">
        <v>3.3333000000000002E-2</v>
      </c>
      <c r="B8093" s="712" t="s">
        <v>44</v>
      </c>
      <c r="C8093" s="852">
        <v>2.1983999999999999</v>
      </c>
      <c r="D8093" s="708">
        <v>1.0759000000000001</v>
      </c>
      <c r="E8093" s="709">
        <v>-0.51059861717612809</v>
      </c>
      <c r="F8093" s="946">
        <v>-0.51059861717612809</v>
      </c>
      <c r="G8093" s="78"/>
      <c r="H8093" t="s">
        <v>204</v>
      </c>
    </row>
    <row r="8094" spans="1:8" hidden="1" outlineLevel="1" x14ac:dyDescent="0.25">
      <c r="A8094" s="999">
        <v>3.3333000000000002E-2</v>
      </c>
      <c r="B8094" s="1089" t="s">
        <v>1526</v>
      </c>
      <c r="C8094" s="852">
        <v>27.57</v>
      </c>
      <c r="D8094" s="708">
        <v>13.52</v>
      </c>
      <c r="E8094" s="709">
        <v>-0.50961189698948139</v>
      </c>
      <c r="F8094" s="946">
        <v>-0.50961189698948139</v>
      </c>
      <c r="G8094" s="78"/>
      <c r="H8094" t="s">
        <v>4146</v>
      </c>
    </row>
    <row r="8095" spans="1:8" hidden="1" outlineLevel="1" x14ac:dyDescent="0.25">
      <c r="A8095" s="999">
        <v>3.3333000000000002E-2</v>
      </c>
      <c r="B8095" s="1089" t="s">
        <v>874</v>
      </c>
      <c r="C8095" s="852">
        <v>1.3009999999999999</v>
      </c>
      <c r="D8095" s="708">
        <v>2.7513999999999998</v>
      </c>
      <c r="E8095" s="709">
        <v>1.114834742505765</v>
      </c>
      <c r="F8095" s="946">
        <v>7.0000000000000007E-2</v>
      </c>
      <c r="G8095" s="78"/>
      <c r="H8095" t="s">
        <v>4148</v>
      </c>
    </row>
    <row r="8096" spans="1:8" hidden="1" outlineLevel="1" x14ac:dyDescent="0.25">
      <c r="A8096" s="999">
        <v>3.3333000000000002E-2</v>
      </c>
      <c r="B8096" s="1089" t="s">
        <v>4143</v>
      </c>
      <c r="C8096" s="852">
        <v>10.9184</v>
      </c>
      <c r="D8096" s="708">
        <v>7.6550000000000002</v>
      </c>
      <c r="E8096" s="709">
        <v>-0.29888994724501761</v>
      </c>
      <c r="F8096" s="946">
        <v>-0.29888994724501761</v>
      </c>
      <c r="G8096" s="78"/>
      <c r="H8096" t="s">
        <v>4144</v>
      </c>
    </row>
    <row r="8097" spans="1:8" hidden="1" outlineLevel="1" x14ac:dyDescent="0.25">
      <c r="A8097" s="999">
        <v>3.3333000000000002E-2</v>
      </c>
      <c r="B8097" s="1089" t="s">
        <v>2786</v>
      </c>
      <c r="C8097" s="852">
        <v>5.7621000000000002</v>
      </c>
      <c r="D8097" s="708">
        <v>6.5540000000000003</v>
      </c>
      <c r="E8097" s="709">
        <v>0.13743253327779792</v>
      </c>
      <c r="F8097" s="946">
        <v>7.0000000000000007E-2</v>
      </c>
      <c r="G8097" s="78"/>
      <c r="H8097" t="s">
        <v>4195</v>
      </c>
    </row>
    <row r="8098" spans="1:8" hidden="1" outlineLevel="1" x14ac:dyDescent="0.25">
      <c r="A8098" s="999">
        <v>3.3333000000000002E-2</v>
      </c>
      <c r="B8098" s="1089" t="s">
        <v>1414</v>
      </c>
      <c r="C8098" s="852">
        <v>16.616</v>
      </c>
      <c r="D8098" s="708">
        <v>21.744</v>
      </c>
      <c r="E8098" s="709">
        <v>0.30861819932595091</v>
      </c>
      <c r="F8098" s="946">
        <v>7.0000000000000007E-2</v>
      </c>
      <c r="G8098" s="78"/>
      <c r="H8098" t="s">
        <v>2428</v>
      </c>
    </row>
    <row r="8099" spans="1:8" hidden="1" outlineLevel="1" x14ac:dyDescent="0.25">
      <c r="A8099" s="999">
        <v>3.3333000000000002E-2</v>
      </c>
      <c r="B8099" s="1089" t="s">
        <v>1653</v>
      </c>
      <c r="C8099" s="852">
        <v>8.3550000000000004</v>
      </c>
      <c r="D8099" s="708">
        <v>8.2685999999999993</v>
      </c>
      <c r="E8099" s="709">
        <v>-1.0341113105924782E-2</v>
      </c>
      <c r="F8099" s="946">
        <v>-1.0341113105924782E-2</v>
      </c>
      <c r="G8099" s="78"/>
      <c r="H8099" t="s">
        <v>285</v>
      </c>
    </row>
    <row r="8100" spans="1:8" hidden="1" outlineLevel="1" x14ac:dyDescent="0.25">
      <c r="A8100" s="999">
        <v>3.3333000000000002E-2</v>
      </c>
      <c r="B8100" s="1089" t="s">
        <v>2586</v>
      </c>
      <c r="C8100" s="852">
        <v>17.102</v>
      </c>
      <c r="D8100" s="708">
        <v>20.274000000000001</v>
      </c>
      <c r="E8100" s="709">
        <v>0.18547538299614086</v>
      </c>
      <c r="F8100" s="946">
        <v>7.0000000000000007E-2</v>
      </c>
      <c r="G8100" s="78"/>
      <c r="H8100" t="s">
        <v>2720</v>
      </c>
    </row>
    <row r="8101" spans="1:8" hidden="1" outlineLevel="1" x14ac:dyDescent="0.25">
      <c r="A8101" s="999">
        <v>3.3333000000000002E-2</v>
      </c>
      <c r="B8101" s="1089" t="s">
        <v>3801</v>
      </c>
      <c r="C8101" s="852">
        <v>60.277099999999997</v>
      </c>
      <c r="D8101" s="708">
        <v>28.452000000000002</v>
      </c>
      <c r="E8101" s="709">
        <v>-0.52797994594962261</v>
      </c>
      <c r="F8101" s="946">
        <v>-0.52797994594962261</v>
      </c>
      <c r="G8101" s="78"/>
      <c r="H8101" t="s">
        <v>2819</v>
      </c>
    </row>
    <row r="8102" spans="1:8" hidden="1" outlineLevel="1" x14ac:dyDescent="0.25">
      <c r="A8102" s="999">
        <v>3.3333000000000002E-2</v>
      </c>
      <c r="B8102" s="1089" t="s">
        <v>51</v>
      </c>
      <c r="C8102" s="852">
        <v>30.9953</v>
      </c>
      <c r="D8102" s="708">
        <v>28.268999999999998</v>
      </c>
      <c r="E8102" s="709">
        <v>-8.7958496933406072E-2</v>
      </c>
      <c r="F8102" s="946">
        <v>-8.7958496933406072E-2</v>
      </c>
      <c r="G8102" s="78"/>
      <c r="H8102" t="s">
        <v>2748</v>
      </c>
    </row>
    <row r="8103" spans="1:8" hidden="1" outlineLevel="1" x14ac:dyDescent="0.25">
      <c r="A8103" s="999">
        <v>3.3333000000000002E-2</v>
      </c>
      <c r="B8103" s="1089" t="s">
        <v>279</v>
      </c>
      <c r="C8103" s="852">
        <v>25.858000000000001</v>
      </c>
      <c r="D8103" s="708">
        <v>43</v>
      </c>
      <c r="E8103" s="709">
        <v>0.66292830071931319</v>
      </c>
      <c r="F8103" s="946">
        <v>7.0000000000000007E-2</v>
      </c>
      <c r="G8103" s="78"/>
      <c r="H8103" t="s">
        <v>1468</v>
      </c>
    </row>
    <row r="8104" spans="1:8" hidden="1" outlineLevel="1" x14ac:dyDescent="0.25">
      <c r="A8104" s="999">
        <v>3.3333000000000002E-2</v>
      </c>
      <c r="B8104" s="1089" t="s">
        <v>2166</v>
      </c>
      <c r="C8104" s="852">
        <v>35.055900000000001</v>
      </c>
      <c r="D8104" s="708">
        <v>17.024000000000001</v>
      </c>
      <c r="E8104" s="709">
        <v>-0.51437561152330991</v>
      </c>
      <c r="F8104" s="946">
        <v>-0.51437561152330991</v>
      </c>
      <c r="G8104" s="78"/>
      <c r="H8104" t="s">
        <v>4160</v>
      </c>
    </row>
    <row r="8105" spans="1:8" hidden="1" outlineLevel="1" x14ac:dyDescent="0.25">
      <c r="A8105" s="999">
        <v>3.3333000000000002E-2</v>
      </c>
      <c r="B8105" s="1089" t="s">
        <v>577</v>
      </c>
      <c r="C8105" s="852">
        <v>16.044</v>
      </c>
      <c r="D8105" s="708">
        <v>9.3469999999999995</v>
      </c>
      <c r="E8105" s="709">
        <v>-0.41741460982298684</v>
      </c>
      <c r="F8105" s="946">
        <v>-0.41741460982298684</v>
      </c>
      <c r="G8105" s="78"/>
      <c r="H8105" t="s">
        <v>2804</v>
      </c>
    </row>
    <row r="8106" spans="1:8" hidden="1" outlineLevel="1" x14ac:dyDescent="0.25">
      <c r="A8106" s="999">
        <v>3.3333000000000002E-2</v>
      </c>
      <c r="B8106" s="1089" t="s">
        <v>4568</v>
      </c>
      <c r="C8106" s="852">
        <v>9.4253999999999998</v>
      </c>
      <c r="D8106" s="708">
        <v>32.137999999999998</v>
      </c>
      <c r="E8106" s="709">
        <v>2.4097226642901095</v>
      </c>
      <c r="F8106" s="946">
        <v>7.0000000000000007E-2</v>
      </c>
      <c r="G8106" s="78"/>
      <c r="H8106" t="s">
        <v>4569</v>
      </c>
    </row>
    <row r="8107" spans="1:8" hidden="1" outlineLevel="1" x14ac:dyDescent="0.25">
      <c r="A8107" s="999">
        <v>3.3333000000000002E-2</v>
      </c>
      <c r="B8107" s="1089" t="s">
        <v>1622</v>
      </c>
      <c r="C8107" s="908">
        <v>14.438000000000001</v>
      </c>
      <c r="D8107" s="708">
        <v>11.7408</v>
      </c>
      <c r="E8107" s="742">
        <v>-0.18681257791937944</v>
      </c>
      <c r="F8107" s="946">
        <v>-0.18681257791937944</v>
      </c>
      <c r="G8107" s="78"/>
      <c r="H8107" t="s">
        <v>1623</v>
      </c>
    </row>
    <row r="8108" spans="1:8" hidden="1" outlineLevel="1" x14ac:dyDescent="0.25">
      <c r="A8108" s="999">
        <v>3.3333000000000002E-2</v>
      </c>
      <c r="B8108" s="1089" t="s">
        <v>1183</v>
      </c>
      <c r="C8108" s="852">
        <v>39.496000000000002</v>
      </c>
      <c r="D8108" s="708">
        <v>34.369999999999997</v>
      </c>
      <c r="E8108" s="742">
        <v>-0.12978529471338884</v>
      </c>
      <c r="F8108" s="946">
        <v>-0.12978529471338884</v>
      </c>
      <c r="G8108" s="78"/>
      <c r="H8108" t="s">
        <v>2805</v>
      </c>
    </row>
    <row r="8109" spans="1:8" hidden="1" outlineLevel="1" x14ac:dyDescent="0.25">
      <c r="A8109" s="999">
        <v>3.3333000000000002E-2</v>
      </c>
      <c r="B8109" s="1089" t="s">
        <v>3169</v>
      </c>
      <c r="C8109" s="801">
        <v>21.4742</v>
      </c>
      <c r="D8109" s="1199">
        <v>13.099</v>
      </c>
      <c r="E8109" s="748">
        <v>-0.39001220068733644</v>
      </c>
      <c r="F8109" s="1023">
        <v>-0.39001220068733644</v>
      </c>
      <c r="G8109" s="78"/>
      <c r="H8109" t="s">
        <v>657</v>
      </c>
    </row>
    <row r="8110" spans="1:8" hidden="1" outlineLevel="1" x14ac:dyDescent="0.25">
      <c r="A8110" s="1204" t="s">
        <v>2465</v>
      </c>
      <c r="B8110" s="1205"/>
      <c r="C8110" s="1206"/>
      <c r="D8110" s="886"/>
      <c r="E8110" s="491">
        <v>0.16673204003602493</v>
      </c>
      <c r="F8110" s="1232">
        <v>-0.16535016054545959</v>
      </c>
      <c r="G8110" s="78"/>
    </row>
    <row r="8111" spans="1:8" hidden="1" outlineLevel="1" x14ac:dyDescent="0.25">
      <c r="A8111" s="1017"/>
      <c r="B8111" s="1018"/>
      <c r="C8111" s="837"/>
      <c r="D8111" s="798"/>
      <c r="E8111" s="709"/>
      <c r="F8111" s="1666"/>
      <c r="G8111" s="78"/>
    </row>
    <row r="8112" spans="1:8" hidden="1" outlineLevel="1" x14ac:dyDescent="0.25">
      <c r="A8112" s="725" t="s">
        <v>113</v>
      </c>
      <c r="B8112" s="725"/>
      <c r="C8112" s="1019"/>
      <c r="D8112" s="1019"/>
      <c r="E8112" s="729"/>
      <c r="F8112" s="1188"/>
      <c r="G8112" s="78"/>
    </row>
    <row r="8113" spans="1:10" hidden="1" outlineLevel="1" x14ac:dyDescent="0.25">
      <c r="A8113" s="732" t="s">
        <v>1900</v>
      </c>
      <c r="B8113" s="690"/>
      <c r="C8113" s="691"/>
      <c r="D8113" s="691"/>
      <c r="E8113" s="691"/>
      <c r="F8113" s="1021">
        <v>0.05</v>
      </c>
      <c r="G8113" s="78"/>
    </row>
    <row r="8114" spans="1:10" hidden="1" outlineLevel="1" x14ac:dyDescent="0.25">
      <c r="A8114" s="732" t="s">
        <v>732</v>
      </c>
      <c r="B8114" s="706"/>
      <c r="C8114" s="1022"/>
      <c r="D8114" s="1022"/>
      <c r="E8114" s="1022"/>
      <c r="F8114" s="946">
        <v>1.4999999999999999E-2</v>
      </c>
      <c r="G8114" s="78"/>
    </row>
    <row r="8115" spans="1:10" hidden="1" outlineLevel="1" x14ac:dyDescent="0.25">
      <c r="A8115" s="732" t="s">
        <v>733</v>
      </c>
      <c r="B8115" s="706"/>
      <c r="C8115" s="1022"/>
      <c r="D8115" s="1022"/>
      <c r="E8115" s="1022"/>
      <c r="F8115" s="946">
        <v>1.4999999999999999E-2</v>
      </c>
      <c r="G8115" s="78"/>
    </row>
    <row r="8116" spans="1:10" collapsed="1" x14ac:dyDescent="0.25">
      <c r="A8116" s="3803" t="s">
        <v>1796</v>
      </c>
      <c r="B8116" s="3804"/>
      <c r="C8116" s="3804"/>
      <c r="D8116" s="1019"/>
      <c r="E8116" s="1019"/>
      <c r="F8116" s="934">
        <v>0.08</v>
      </c>
      <c r="G8116" s="97" t="s">
        <v>781</v>
      </c>
    </row>
    <row r="8118" spans="1:10" hidden="1" outlineLevel="1" x14ac:dyDescent="0.25">
      <c r="A8118" s="689" t="s">
        <v>113</v>
      </c>
      <c r="B8118" s="689" t="s">
        <v>114</v>
      </c>
      <c r="C8118" s="689" t="s">
        <v>112</v>
      </c>
      <c r="D8118" s="689" t="s">
        <v>116</v>
      </c>
      <c r="E8118" s="689" t="s">
        <v>117</v>
      </c>
      <c r="F8118" s="1188" t="s">
        <v>121</v>
      </c>
    </row>
    <row r="8119" spans="1:10" hidden="1" outlineLevel="1" x14ac:dyDescent="0.25">
      <c r="A8119" s="753" t="s">
        <v>4783</v>
      </c>
      <c r="B8119" s="691" t="s">
        <v>115</v>
      </c>
      <c r="C8119" s="793">
        <v>2874.009</v>
      </c>
      <c r="D8119" s="692">
        <v>2807.4580000000001</v>
      </c>
      <c r="E8119" s="3813">
        <v>-9.4999999999999998E-3</v>
      </c>
      <c r="F8119" s="3816">
        <v>-9.4999999999999998E-3</v>
      </c>
    </row>
    <row r="8120" spans="1:10" hidden="1" outlineLevel="1" x14ac:dyDescent="0.25">
      <c r="A8120" s="754" t="s">
        <v>4783</v>
      </c>
      <c r="B8120" s="726" t="s">
        <v>760</v>
      </c>
      <c r="C8120" s="794">
        <v>1102.9670000000001</v>
      </c>
      <c r="D8120" s="727">
        <v>1228.2909999999999</v>
      </c>
      <c r="E8120" s="3815"/>
      <c r="F8120" s="3818"/>
    </row>
    <row r="8121" spans="1:10" hidden="1" outlineLevel="1" x14ac:dyDescent="0.25">
      <c r="A8121" s="753" t="s">
        <v>4784</v>
      </c>
      <c r="B8121" s="691" t="s">
        <v>115</v>
      </c>
      <c r="C8121" s="692">
        <v>2807.4580000000001</v>
      </c>
      <c r="D8121" s="692">
        <v>2309.4349999999999</v>
      </c>
      <c r="E8121" s="3813">
        <v>-0.1641</v>
      </c>
      <c r="F8121" s="3816">
        <v>-0.03</v>
      </c>
      <c r="J8121" s="37"/>
    </row>
    <row r="8122" spans="1:10" hidden="1" outlineLevel="1" x14ac:dyDescent="0.25">
      <c r="A8122" s="754" t="s">
        <v>4784</v>
      </c>
      <c r="B8122" s="726" t="s">
        <v>760</v>
      </c>
      <c r="C8122" s="727">
        <v>1228.2909999999999</v>
      </c>
      <c r="D8122" s="727">
        <v>1242.8979999999999</v>
      </c>
      <c r="E8122" s="3815"/>
      <c r="F8122" s="3818"/>
    </row>
    <row r="8123" spans="1:10" hidden="1" outlineLevel="1" x14ac:dyDescent="0.25">
      <c r="A8123" s="753" t="s">
        <v>4785</v>
      </c>
      <c r="B8123" s="691" t="s">
        <v>115</v>
      </c>
      <c r="C8123" s="692">
        <v>2309.4349999999999</v>
      </c>
      <c r="D8123" s="692">
        <v>2607.8649999999998</v>
      </c>
      <c r="E8123" s="3813">
        <v>0.13063919893765899</v>
      </c>
      <c r="F8123" s="3816">
        <v>5.5E-2</v>
      </c>
    </row>
    <row r="8124" spans="1:10" hidden="1" outlineLevel="1" x14ac:dyDescent="0.25">
      <c r="A8124" s="754" t="s">
        <v>4785</v>
      </c>
      <c r="B8124" s="726" t="s">
        <v>760</v>
      </c>
      <c r="C8124" s="727">
        <v>1242.8979999999999</v>
      </c>
      <c r="D8124" s="727">
        <v>1416.57</v>
      </c>
      <c r="E8124" s="3815"/>
      <c r="F8124" s="3818"/>
    </row>
    <row r="8125" spans="1:10" hidden="1" outlineLevel="1" x14ac:dyDescent="0.25">
      <c r="A8125" s="753" t="s">
        <v>4786</v>
      </c>
      <c r="B8125" s="691" t="s">
        <v>115</v>
      </c>
      <c r="C8125" s="692">
        <v>2607.8649999999998</v>
      </c>
      <c r="D8125" s="692">
        <v>3276.337</v>
      </c>
      <c r="E8125" s="3813">
        <v>0.27150000000000002</v>
      </c>
      <c r="F8125" s="3816">
        <v>5.5E-2</v>
      </c>
    </row>
    <row r="8126" spans="1:10" hidden="1" outlineLevel="1" x14ac:dyDescent="0.25">
      <c r="A8126" s="754" t="s">
        <v>4786</v>
      </c>
      <c r="B8126" s="726" t="s">
        <v>760</v>
      </c>
      <c r="C8126" s="727">
        <v>1416.57</v>
      </c>
      <c r="D8126" s="727">
        <v>1937.921</v>
      </c>
      <c r="E8126" s="3815"/>
      <c r="F8126" s="3818"/>
    </row>
    <row r="8127" spans="1:10" collapsed="1" x14ac:dyDescent="0.25">
      <c r="A8127" s="3801" t="s">
        <v>1975</v>
      </c>
      <c r="B8127" s="3802"/>
      <c r="C8127" s="3802"/>
      <c r="D8127" s="3802"/>
      <c r="E8127" s="729"/>
      <c r="F8127" s="752">
        <v>7.0500000000000007E-2</v>
      </c>
      <c r="G8127" s="97" t="s">
        <v>781</v>
      </c>
    </row>
    <row r="8129" spans="1:8" hidden="1" outlineLevel="1" x14ac:dyDescent="0.25">
      <c r="A8129" s="689" t="s">
        <v>113</v>
      </c>
      <c r="B8129" s="689" t="s">
        <v>114</v>
      </c>
      <c r="C8129" s="689" t="s">
        <v>112</v>
      </c>
      <c r="D8129" s="689" t="s">
        <v>116</v>
      </c>
      <c r="E8129" s="689" t="s">
        <v>117</v>
      </c>
      <c r="F8129" s="1188" t="s">
        <v>121</v>
      </c>
      <c r="G8129" s="78"/>
    </row>
    <row r="8130" spans="1:8" hidden="1" outlineLevel="1" x14ac:dyDescent="0.25">
      <c r="A8130" s="690">
        <v>16</v>
      </c>
      <c r="B8130" s="691" t="s">
        <v>252</v>
      </c>
      <c r="C8130" s="692">
        <v>100</v>
      </c>
      <c r="D8130" s="692"/>
      <c r="E8130" s="693"/>
      <c r="F8130" s="694"/>
      <c r="G8130" s="78"/>
    </row>
    <row r="8131" spans="1:8" hidden="1" outlineLevel="1" x14ac:dyDescent="0.25">
      <c r="A8131" s="695"/>
      <c r="B8131" s="695"/>
      <c r="C8131" s="696"/>
      <c r="D8131" s="697" t="s">
        <v>3702</v>
      </c>
      <c r="E8131" s="698">
        <v>41607</v>
      </c>
      <c r="F8131" s="699"/>
      <c r="G8131" s="78"/>
    </row>
    <row r="8132" spans="1:8" hidden="1" outlineLevel="1" x14ac:dyDescent="0.25">
      <c r="A8132" s="689" t="s">
        <v>4156</v>
      </c>
      <c r="B8132" s="689" t="s">
        <v>4153</v>
      </c>
      <c r="C8132" s="497" t="s">
        <v>112</v>
      </c>
      <c r="D8132" s="495" t="s">
        <v>4155</v>
      </c>
      <c r="E8132" s="689" t="s">
        <v>4154</v>
      </c>
      <c r="F8132" s="1021" t="s">
        <v>2519</v>
      </c>
      <c r="G8132" s="78"/>
    </row>
    <row r="8133" spans="1:8" hidden="1" outlineLevel="1" x14ac:dyDescent="0.25">
      <c r="A8133" s="999">
        <v>3.5000000000000003E-2</v>
      </c>
      <c r="B8133" s="1000" t="s">
        <v>1995</v>
      </c>
      <c r="C8133" s="1001">
        <v>53.692</v>
      </c>
      <c r="D8133" s="803">
        <v>38.19</v>
      </c>
      <c r="E8133" s="705">
        <v>-0.28872085226849442</v>
      </c>
      <c r="F8133" s="1021">
        <v>-1.0105229829397306E-2</v>
      </c>
      <c r="G8133" s="78"/>
      <c r="H8133" t="s">
        <v>2739</v>
      </c>
    </row>
    <row r="8134" spans="1:8" hidden="1" outlineLevel="1" x14ac:dyDescent="0.25">
      <c r="A8134" s="1002">
        <v>0.03</v>
      </c>
      <c r="B8134" s="987" t="s">
        <v>3320</v>
      </c>
      <c r="C8134" s="1003">
        <v>35.561</v>
      </c>
      <c r="D8134" s="908">
        <v>75.150000000000006</v>
      </c>
      <c r="E8134" s="709">
        <v>1.113270155507438</v>
      </c>
      <c r="F8134" s="946">
        <v>3.3398104665223138E-2</v>
      </c>
      <c r="G8134" s="78"/>
      <c r="H8134" t="s">
        <v>4093</v>
      </c>
    </row>
    <row r="8135" spans="1:8" hidden="1" outlineLevel="1" x14ac:dyDescent="0.25">
      <c r="A8135" s="1002">
        <v>2.5000000000000001E-2</v>
      </c>
      <c r="B8135" s="996" t="s">
        <v>157</v>
      </c>
      <c r="C8135" s="1003">
        <v>11.391500000000001</v>
      </c>
      <c r="D8135" s="908">
        <v>6.5430000000000001</v>
      </c>
      <c r="E8135" s="709">
        <v>-0.42562436904709655</v>
      </c>
      <c r="F8135" s="946">
        <v>-1.0640609226177414E-2</v>
      </c>
      <c r="G8135" s="78"/>
      <c r="H8135" t="s">
        <v>730</v>
      </c>
    </row>
    <row r="8136" spans="1:8" hidden="1" outlineLevel="1" x14ac:dyDescent="0.25">
      <c r="A8136" s="1002">
        <v>0.03</v>
      </c>
      <c r="B8136" s="996" t="s">
        <v>1188</v>
      </c>
      <c r="C8136" s="1003">
        <v>578.39</v>
      </c>
      <c r="D8136" s="908">
        <v>482</v>
      </c>
      <c r="E8136" s="709">
        <v>-0.16665225885648094</v>
      </c>
      <c r="F8136" s="946">
        <v>-4.9995677656944279E-3</v>
      </c>
      <c r="G8136" s="78"/>
      <c r="H8136" t="s">
        <v>2746</v>
      </c>
    </row>
    <row r="8137" spans="1:8" hidden="1" outlineLevel="1" x14ac:dyDescent="0.25">
      <c r="A8137" s="1002">
        <v>2.5000000000000001E-2</v>
      </c>
      <c r="B8137" s="996" t="s">
        <v>4377</v>
      </c>
      <c r="C8137" s="1003">
        <v>25.568999999999999</v>
      </c>
      <c r="D8137" s="908">
        <v>51.38</v>
      </c>
      <c r="E8137" s="709">
        <v>1.0094645860221365</v>
      </c>
      <c r="F8137" s="946">
        <v>2.5236614650553414E-2</v>
      </c>
      <c r="G8137" s="78"/>
      <c r="H8137" t="s">
        <v>4327</v>
      </c>
    </row>
    <row r="8138" spans="1:8" hidden="1" outlineLevel="1" x14ac:dyDescent="0.25">
      <c r="A8138" s="1002">
        <v>0.04</v>
      </c>
      <c r="B8138" s="996" t="s">
        <v>4332</v>
      </c>
      <c r="C8138" s="1003">
        <v>264.02</v>
      </c>
      <c r="D8138" s="908">
        <v>338.3</v>
      </c>
      <c r="E8138" s="709">
        <v>0.28134232255132208</v>
      </c>
      <c r="F8138" s="946">
        <v>1.1253692902052883E-2</v>
      </c>
      <c r="G8138" s="78"/>
      <c r="H8138" t="s">
        <v>4334</v>
      </c>
    </row>
    <row r="8139" spans="1:8" hidden="1" outlineLevel="1" x14ac:dyDescent="0.25">
      <c r="A8139" s="1002">
        <v>0.03</v>
      </c>
      <c r="B8139" s="996" t="s">
        <v>1440</v>
      </c>
      <c r="C8139" s="1003">
        <v>83.332999999999998</v>
      </c>
      <c r="D8139" s="908">
        <v>65.81</v>
      </c>
      <c r="E8139" s="709">
        <v>-0.21027684110736433</v>
      </c>
      <c r="F8139" s="946">
        <v>-6.3083052332209297E-3</v>
      </c>
      <c r="G8139" s="78"/>
      <c r="H8139" t="s">
        <v>2569</v>
      </c>
    </row>
    <row r="8140" spans="1:8" hidden="1" outlineLevel="1" x14ac:dyDescent="0.25">
      <c r="A8140" s="1002">
        <v>2.5000000000000001E-2</v>
      </c>
      <c r="B8140" s="743" t="s">
        <v>53</v>
      </c>
      <c r="C8140" s="1003">
        <v>41.470999999999997</v>
      </c>
      <c r="D8140" s="908">
        <v>53.48</v>
      </c>
      <c r="E8140" s="709">
        <v>0.2895758481830677</v>
      </c>
      <c r="F8140" s="946">
        <v>7.2393962045766928E-3</v>
      </c>
      <c r="G8140" s="78"/>
      <c r="H8140" t="s">
        <v>2751</v>
      </c>
    </row>
    <row r="8141" spans="1:8" hidden="1" outlineLevel="1" x14ac:dyDescent="0.25">
      <c r="A8141" s="1002">
        <v>3.5000000000000003E-2</v>
      </c>
      <c r="B8141" s="711" t="s">
        <v>2699</v>
      </c>
      <c r="C8141" s="1003">
        <v>13.3545</v>
      </c>
      <c r="D8141" s="908">
        <v>26.03</v>
      </c>
      <c r="E8141" s="709">
        <v>0.9491557153019583</v>
      </c>
      <c r="F8141" s="946">
        <v>3.3220450035568547E-2</v>
      </c>
      <c r="G8141" s="78"/>
      <c r="H8141" t="s">
        <v>505</v>
      </c>
    </row>
    <row r="8142" spans="1:8" hidden="1" outlineLevel="1" x14ac:dyDescent="0.25">
      <c r="A8142" s="1002">
        <v>0.03</v>
      </c>
      <c r="B8142" s="996" t="s">
        <v>3406</v>
      </c>
      <c r="C8142" s="1003">
        <v>1051.0999999999999</v>
      </c>
      <c r="D8142" s="908">
        <v>1946</v>
      </c>
      <c r="E8142" s="709">
        <v>0.85139377794691296</v>
      </c>
      <c r="F8142" s="946">
        <v>2.5541813338407389E-2</v>
      </c>
      <c r="G8142" s="78"/>
      <c r="H8142" t="s">
        <v>2105</v>
      </c>
    </row>
    <row r="8143" spans="1:8" hidden="1" outlineLevel="1" x14ac:dyDescent="0.25">
      <c r="A8143" s="1002">
        <v>0.04</v>
      </c>
      <c r="B8143" s="996" t="s">
        <v>2630</v>
      </c>
      <c r="C8143" s="1003">
        <v>17.267499999999998</v>
      </c>
      <c r="D8143" s="908">
        <v>7.3639999999999999</v>
      </c>
      <c r="E8143" s="709">
        <v>-0.57353409584479509</v>
      </c>
      <c r="F8143" s="946">
        <v>-2.2941363833791802E-2</v>
      </c>
      <c r="G8143" s="78"/>
      <c r="H8143" t="e">
        <v>#N/A</v>
      </c>
    </row>
    <row r="8144" spans="1:8" hidden="1" outlineLevel="1" x14ac:dyDescent="0.25">
      <c r="A8144" s="1002">
        <v>0.03</v>
      </c>
      <c r="B8144" s="996" t="s">
        <v>4496</v>
      </c>
      <c r="C8144" s="1003">
        <v>42.835000000000001</v>
      </c>
      <c r="D8144" s="908">
        <v>72.489999999999995</v>
      </c>
      <c r="E8144" s="709">
        <v>0.69230769230769207</v>
      </c>
      <c r="F8144" s="946">
        <v>2.0769230769230762E-2</v>
      </c>
      <c r="G8144" s="78"/>
      <c r="H8144" t="s">
        <v>2385</v>
      </c>
    </row>
    <row r="8145" spans="1:8" hidden="1" outlineLevel="1" x14ac:dyDescent="0.25">
      <c r="A8145" s="1002">
        <v>0.03</v>
      </c>
      <c r="B8145" s="706" t="s">
        <v>4439</v>
      </c>
      <c r="C8145" s="1003">
        <v>43.295000000000002</v>
      </c>
      <c r="D8145" s="908">
        <v>117.35</v>
      </c>
      <c r="E8145" s="709">
        <v>1.7104746506524999</v>
      </c>
      <c r="F8145" s="946">
        <v>5.1314239519574999E-2</v>
      </c>
      <c r="G8145" s="78"/>
      <c r="H8145" t="s">
        <v>3827</v>
      </c>
    </row>
    <row r="8146" spans="1:8" hidden="1" outlineLevel="1" x14ac:dyDescent="0.25">
      <c r="A8146" s="1002">
        <v>0.04</v>
      </c>
      <c r="B8146" s="743" t="s">
        <v>1381</v>
      </c>
      <c r="C8146" s="1003">
        <v>64.596000000000004</v>
      </c>
      <c r="D8146" s="908">
        <v>109.16</v>
      </c>
      <c r="E8146" s="709">
        <v>0.68988791875657918</v>
      </c>
      <c r="F8146" s="946">
        <v>2.7595516750263168E-2</v>
      </c>
      <c r="G8146" s="78"/>
      <c r="H8146" t="s">
        <v>1383</v>
      </c>
    </row>
    <row r="8147" spans="1:8" hidden="1" outlineLevel="1" x14ac:dyDescent="0.25">
      <c r="A8147" s="1002">
        <v>0.04</v>
      </c>
      <c r="B8147" s="996" t="s">
        <v>4034</v>
      </c>
      <c r="C8147" s="1003">
        <v>9.1471999999999998</v>
      </c>
      <c r="D8147" s="908">
        <v>13.4</v>
      </c>
      <c r="E8147" s="709">
        <v>0.46492915864964157</v>
      </c>
      <c r="F8147" s="946">
        <v>1.8597166345985662E-2</v>
      </c>
      <c r="G8147" s="78"/>
      <c r="H8147" t="s">
        <v>4035</v>
      </c>
    </row>
    <row r="8148" spans="1:8" hidden="1" outlineLevel="1" x14ac:dyDescent="0.25">
      <c r="A8148" s="1002">
        <v>3.5000000000000003E-2</v>
      </c>
      <c r="B8148" s="852" t="s">
        <v>4143</v>
      </c>
      <c r="C8148" s="1003">
        <v>11.8185</v>
      </c>
      <c r="D8148" s="908">
        <v>2.3940000000000001</v>
      </c>
      <c r="E8148" s="709">
        <v>-0.79743622287092264</v>
      </c>
      <c r="F8148" s="946">
        <v>-2.7910267800482294E-2</v>
      </c>
      <c r="G8148" s="78"/>
      <c r="H8148" t="s">
        <v>4144</v>
      </c>
    </row>
    <row r="8149" spans="1:8" hidden="1" outlineLevel="1" x14ac:dyDescent="0.25">
      <c r="A8149" s="1002">
        <v>2.5000000000000001E-2</v>
      </c>
      <c r="B8149" s="743" t="s">
        <v>2160</v>
      </c>
      <c r="C8149" s="1003">
        <v>26.835999999999999</v>
      </c>
      <c r="D8149" s="908">
        <v>53.12</v>
      </c>
      <c r="E8149" s="709">
        <v>0.97943061559099709</v>
      </c>
      <c r="F8149" s="946">
        <v>2.4485765389774927E-2</v>
      </c>
      <c r="G8149" s="78"/>
      <c r="H8149" t="s">
        <v>5507</v>
      </c>
    </row>
    <row r="8150" spans="1:8" hidden="1" outlineLevel="1" x14ac:dyDescent="0.25">
      <c r="A8150" s="1002">
        <v>0.04</v>
      </c>
      <c r="B8150" s="996" t="s">
        <v>816</v>
      </c>
      <c r="C8150" s="1003">
        <v>61.65</v>
      </c>
      <c r="D8150" s="908">
        <v>97.37</v>
      </c>
      <c r="E8150" s="709">
        <v>0.5793998377939984</v>
      </c>
      <c r="F8150" s="946">
        <v>2.3175993511759935E-2</v>
      </c>
      <c r="G8150" s="78"/>
      <c r="H8150" t="s">
        <v>817</v>
      </c>
    </row>
    <row r="8151" spans="1:8" hidden="1" outlineLevel="1" x14ac:dyDescent="0.25">
      <c r="A8151" s="1002">
        <v>0.03</v>
      </c>
      <c r="B8151" s="740" t="s">
        <v>2786</v>
      </c>
      <c r="C8151" s="1003">
        <v>646</v>
      </c>
      <c r="D8151" s="908">
        <v>775</v>
      </c>
      <c r="E8151" s="709">
        <v>0.19969040247678027</v>
      </c>
      <c r="F8151" s="946">
        <v>5.9907120743034076E-3</v>
      </c>
      <c r="G8151" s="78"/>
      <c r="H8151" t="s">
        <v>4195</v>
      </c>
    </row>
    <row r="8152" spans="1:8" hidden="1" outlineLevel="1" x14ac:dyDescent="0.25">
      <c r="A8152" s="1002">
        <v>0.03</v>
      </c>
      <c r="B8152" s="740" t="s">
        <v>3797</v>
      </c>
      <c r="C8152" s="1003">
        <v>49.701000000000001</v>
      </c>
      <c r="D8152" s="908">
        <v>66.2</v>
      </c>
      <c r="E8152" s="709">
        <v>0.33196515160660756</v>
      </c>
      <c r="F8152" s="946">
        <v>9.9589545481982272E-3</v>
      </c>
      <c r="G8152" s="78"/>
      <c r="H8152" t="s">
        <v>3848</v>
      </c>
    </row>
    <row r="8153" spans="1:8" hidden="1" outlineLevel="1" x14ac:dyDescent="0.25">
      <c r="A8153" s="1002">
        <v>4.4999999999999998E-2</v>
      </c>
      <c r="B8153" s="740" t="s">
        <v>1040</v>
      </c>
      <c r="C8153" s="1003">
        <v>3725</v>
      </c>
      <c r="D8153" s="908">
        <v>5140</v>
      </c>
      <c r="E8153" s="709">
        <v>0.37986577181208059</v>
      </c>
      <c r="F8153" s="946">
        <v>1.7093959731543627E-2</v>
      </c>
      <c r="G8153" s="78"/>
      <c r="H8153" t="s">
        <v>3540</v>
      </c>
    </row>
    <row r="8154" spans="1:8" hidden="1" outlineLevel="1" x14ac:dyDescent="0.25">
      <c r="A8154" s="1002">
        <v>0.04</v>
      </c>
      <c r="B8154" s="939" t="s">
        <v>2787</v>
      </c>
      <c r="C8154" s="1003">
        <v>56.244999999999997</v>
      </c>
      <c r="D8154" s="908">
        <v>71.650000000000006</v>
      </c>
      <c r="E8154" s="709">
        <v>0.27389101253444759</v>
      </c>
      <c r="F8154" s="946">
        <v>1.0955640501377904E-2</v>
      </c>
      <c r="G8154" s="78"/>
      <c r="H8154" t="s">
        <v>80</v>
      </c>
    </row>
    <row r="8155" spans="1:8" hidden="1" outlineLevel="1" x14ac:dyDescent="0.25">
      <c r="A8155" s="1002">
        <v>0.03</v>
      </c>
      <c r="B8155" s="996" t="s">
        <v>1414</v>
      </c>
      <c r="C8155" s="1003">
        <v>18.23</v>
      </c>
      <c r="D8155" s="908">
        <v>31.73</v>
      </c>
      <c r="E8155" s="709">
        <v>0.74053757542512333</v>
      </c>
      <c r="F8155" s="946">
        <v>2.2216127262753699E-2</v>
      </c>
      <c r="G8155" s="78"/>
      <c r="H8155" t="s">
        <v>2428</v>
      </c>
    </row>
    <row r="8156" spans="1:8" hidden="1" outlineLevel="1" x14ac:dyDescent="0.25">
      <c r="A8156" s="1002">
        <v>3.5000000000000003E-2</v>
      </c>
      <c r="B8156" s="996" t="s">
        <v>3800</v>
      </c>
      <c r="C8156" s="1003">
        <v>170.5</v>
      </c>
      <c r="D8156" s="908">
        <v>252.7</v>
      </c>
      <c r="E8156" s="709">
        <v>0.48211143695014647</v>
      </c>
      <c r="F8156" s="946">
        <v>1.6873900293255129E-2</v>
      </c>
      <c r="G8156" s="78"/>
      <c r="H8156" t="s">
        <v>2817</v>
      </c>
    </row>
    <row r="8157" spans="1:8" hidden="1" outlineLevel="1" x14ac:dyDescent="0.25">
      <c r="A8157" s="1002">
        <v>0.03</v>
      </c>
      <c r="B8157" s="996" t="s">
        <v>2728</v>
      </c>
      <c r="C8157" s="1003">
        <v>55.137999999999998</v>
      </c>
      <c r="D8157" s="908">
        <v>70.44</v>
      </c>
      <c r="E8157" s="709">
        <v>0.27752185425659248</v>
      </c>
      <c r="F8157" s="946">
        <v>8.3256556276977735E-3</v>
      </c>
      <c r="G8157" s="78"/>
      <c r="H8157" t="s">
        <v>258</v>
      </c>
    </row>
    <row r="8158" spans="1:8" hidden="1" outlineLevel="1" x14ac:dyDescent="0.25">
      <c r="A8158" s="1002">
        <v>4.4999999999999998E-2</v>
      </c>
      <c r="B8158" s="743" t="s">
        <v>1239</v>
      </c>
      <c r="C8158" s="1003">
        <v>394.84</v>
      </c>
      <c r="D8158" s="908">
        <v>463.2</v>
      </c>
      <c r="E8158" s="709">
        <v>0.17313342113261077</v>
      </c>
      <c r="F8158" s="946">
        <v>7.7910039509674839E-3</v>
      </c>
      <c r="G8158" s="78"/>
      <c r="H8158" t="s">
        <v>268</v>
      </c>
    </row>
    <row r="8159" spans="1:8" hidden="1" outlineLevel="1" x14ac:dyDescent="0.25">
      <c r="A8159" s="1002">
        <v>3.5000000000000003E-2</v>
      </c>
      <c r="B8159" s="743" t="s">
        <v>3022</v>
      </c>
      <c r="C8159" s="1003">
        <v>3750</v>
      </c>
      <c r="D8159" s="908">
        <v>4975</v>
      </c>
      <c r="E8159" s="709">
        <v>0.32666666666666666</v>
      </c>
      <c r="F8159" s="946">
        <v>1.1433333333333334E-2</v>
      </c>
      <c r="G8159" s="78"/>
      <c r="H8159" t="s">
        <v>2802</v>
      </c>
    </row>
    <row r="8160" spans="1:8" hidden="1" outlineLevel="1" x14ac:dyDescent="0.25">
      <c r="A8160" s="1002">
        <v>3.5000000000000003E-2</v>
      </c>
      <c r="B8160" s="743" t="s">
        <v>577</v>
      </c>
      <c r="C8160" s="1003">
        <v>19.319500000000001</v>
      </c>
      <c r="D8160" s="908">
        <v>12.11</v>
      </c>
      <c r="E8160" s="709">
        <v>-0.37317218354512283</v>
      </c>
      <c r="F8160" s="946">
        <v>-1.3061026424079299E-2</v>
      </c>
      <c r="G8160" s="78"/>
      <c r="H8160" t="s">
        <v>2804</v>
      </c>
    </row>
    <row r="8161" spans="1:8" hidden="1" outlineLevel="1" x14ac:dyDescent="0.25">
      <c r="A8161" s="1002">
        <v>3.5000000000000003E-2</v>
      </c>
      <c r="B8161" s="743" t="s">
        <v>583</v>
      </c>
      <c r="C8161" s="1003">
        <v>418.1</v>
      </c>
      <c r="D8161" s="908">
        <v>347.95</v>
      </c>
      <c r="E8161" s="709">
        <v>-0.16778282707486258</v>
      </c>
      <c r="F8161" s="946">
        <v>-5.8723989476201907E-3</v>
      </c>
      <c r="G8161" s="78"/>
      <c r="H8161" t="s">
        <v>1594</v>
      </c>
    </row>
    <row r="8162" spans="1:8" hidden="1" outlineLevel="1" x14ac:dyDescent="0.25">
      <c r="A8162" s="1002">
        <v>2.5000000000000001E-2</v>
      </c>
      <c r="B8162" s="706" t="s">
        <v>507</v>
      </c>
      <c r="C8162" s="1003">
        <v>21.824000000000002</v>
      </c>
      <c r="D8162" s="715">
        <v>29</v>
      </c>
      <c r="E8162" s="709">
        <v>0.32881231671554234</v>
      </c>
      <c r="F8162" s="946">
        <v>8.2203079178885582E-3</v>
      </c>
      <c r="G8162" s="78"/>
      <c r="H8162" t="s">
        <v>2810</v>
      </c>
    </row>
    <row r="8163" spans="1:8" hidden="1" outlineLevel="1" x14ac:dyDescent="0.25">
      <c r="A8163" s="1099"/>
      <c r="B8163" s="1000"/>
      <c r="C8163" s="736"/>
      <c r="D8163" s="741"/>
      <c r="E8163" s="895"/>
      <c r="F8163" s="1021">
        <v>0.31884881026382705</v>
      </c>
      <c r="G8163" s="78"/>
    </row>
    <row r="8164" spans="1:8" hidden="1" outlineLevel="1" x14ac:dyDescent="0.25">
      <c r="A8164" s="753" t="s">
        <v>3167</v>
      </c>
      <c r="B8164" s="1190">
        <v>40210</v>
      </c>
      <c r="C8164" s="719">
        <v>100</v>
      </c>
      <c r="D8164" s="1207">
        <v>100.2449</v>
      </c>
      <c r="E8164" s="720">
        <v>2.4489999999999235E-3</v>
      </c>
      <c r="F8164" s="731"/>
      <c r="G8164" s="78"/>
    </row>
    <row r="8165" spans="1:8" hidden="1" outlineLevel="1" x14ac:dyDescent="0.25">
      <c r="A8165" s="732" t="s">
        <v>3168</v>
      </c>
      <c r="B8165" s="944">
        <v>40299</v>
      </c>
      <c r="C8165" s="727">
        <v>100</v>
      </c>
      <c r="D8165" s="814">
        <v>96.233699999999999</v>
      </c>
      <c r="E8165" s="720">
        <v>-3.7663000000000002E-2</v>
      </c>
      <c r="F8165" s="731"/>
      <c r="G8165" s="78"/>
    </row>
    <row r="8166" spans="1:8" hidden="1" outlineLevel="1" x14ac:dyDescent="0.25">
      <c r="A8166" s="732" t="s">
        <v>1253</v>
      </c>
      <c r="B8166" s="944">
        <v>40391</v>
      </c>
      <c r="C8166" s="727">
        <v>100</v>
      </c>
      <c r="D8166" s="814">
        <v>99.0501</v>
      </c>
      <c r="E8166" s="720">
        <v>-9.4990000000000352E-3</v>
      </c>
      <c r="F8166" s="731"/>
      <c r="G8166" s="78"/>
    </row>
    <row r="8167" spans="1:8" hidden="1" outlineLevel="1" x14ac:dyDescent="0.25">
      <c r="A8167" s="732" t="s">
        <v>1254</v>
      </c>
      <c r="B8167" s="944">
        <v>40483</v>
      </c>
      <c r="C8167" s="727">
        <v>100</v>
      </c>
      <c r="D8167" s="814">
        <v>99.866399999999999</v>
      </c>
      <c r="E8167" s="720">
        <v>-1.3360000000000039E-3</v>
      </c>
      <c r="F8167" s="731"/>
      <c r="G8167" s="78"/>
    </row>
    <row r="8168" spans="1:8" hidden="1" outlineLevel="1" x14ac:dyDescent="0.25">
      <c r="A8168" s="732" t="s">
        <v>1255</v>
      </c>
      <c r="B8168" s="944">
        <v>40575</v>
      </c>
      <c r="C8168" s="727">
        <v>100</v>
      </c>
      <c r="D8168" s="814">
        <v>103.258</v>
      </c>
      <c r="E8168" s="720">
        <v>3.2580000000000053E-2</v>
      </c>
      <c r="F8168" s="731"/>
      <c r="G8168" s="78"/>
    </row>
    <row r="8169" spans="1:8" hidden="1" outlineLevel="1" x14ac:dyDescent="0.25">
      <c r="A8169" s="732" t="s">
        <v>1256</v>
      </c>
      <c r="B8169" s="944">
        <v>40664</v>
      </c>
      <c r="C8169" s="727">
        <v>100</v>
      </c>
      <c r="D8169" s="814">
        <v>106.205</v>
      </c>
      <c r="E8169" s="720">
        <v>6.2049999999999939E-2</v>
      </c>
      <c r="F8169" s="731"/>
      <c r="G8169" s="78"/>
    </row>
    <row r="8170" spans="1:8" hidden="1" outlineLevel="1" x14ac:dyDescent="0.25">
      <c r="A8170" s="732" t="s">
        <v>1257</v>
      </c>
      <c r="B8170" s="944">
        <v>40756</v>
      </c>
      <c r="C8170" s="727">
        <v>100</v>
      </c>
      <c r="D8170" s="814">
        <v>99.478800000000007</v>
      </c>
      <c r="E8170" s="720">
        <v>-5.2119999999998834E-3</v>
      </c>
      <c r="F8170" s="731"/>
      <c r="G8170" s="78"/>
    </row>
    <row r="8171" spans="1:8" hidden="1" outlineLevel="1" x14ac:dyDescent="0.25">
      <c r="A8171" s="732" t="s">
        <v>1258</v>
      </c>
      <c r="B8171" s="944">
        <v>40848</v>
      </c>
      <c r="C8171" s="727">
        <v>100</v>
      </c>
      <c r="D8171" s="814">
        <v>102.52370000000001</v>
      </c>
      <c r="E8171" s="720">
        <v>2.5236999999999954E-2</v>
      </c>
      <c r="F8171" s="731"/>
      <c r="G8171" s="78"/>
    </row>
    <row r="8172" spans="1:8" hidden="1" outlineLevel="1" x14ac:dyDescent="0.25">
      <c r="A8172" s="732" t="s">
        <v>1259</v>
      </c>
      <c r="B8172" s="944">
        <v>40940</v>
      </c>
      <c r="C8172" s="727">
        <v>100</v>
      </c>
      <c r="D8172" s="814">
        <v>106.27809999999999</v>
      </c>
      <c r="E8172" s="720">
        <v>6.2780999999999976E-2</v>
      </c>
      <c r="F8172" s="731"/>
      <c r="G8172" s="78"/>
    </row>
    <row r="8173" spans="1:8" hidden="1" outlineLevel="1" x14ac:dyDescent="0.25">
      <c r="A8173" s="732" t="s">
        <v>1260</v>
      </c>
      <c r="B8173" s="944">
        <v>41030</v>
      </c>
      <c r="C8173" s="727">
        <v>100</v>
      </c>
      <c r="D8173" s="814">
        <v>103.5869</v>
      </c>
      <c r="E8173" s="720">
        <v>3.5868999999999929E-2</v>
      </c>
      <c r="F8173" s="731"/>
      <c r="G8173" s="78"/>
    </row>
    <row r="8174" spans="1:8" hidden="1" outlineLevel="1" x14ac:dyDescent="0.25">
      <c r="A8174" s="732" t="s">
        <v>1261</v>
      </c>
      <c r="B8174" s="944">
        <v>41122</v>
      </c>
      <c r="C8174" s="727">
        <v>100</v>
      </c>
      <c r="D8174" s="814">
        <v>112.7619</v>
      </c>
      <c r="E8174" s="720">
        <v>0.12761899999999993</v>
      </c>
      <c r="F8174" s="731"/>
      <c r="G8174" s="78"/>
    </row>
    <row r="8175" spans="1:8" hidden="1" outlineLevel="1" x14ac:dyDescent="0.25">
      <c r="A8175" s="732" t="s">
        <v>1262</v>
      </c>
      <c r="B8175" s="944">
        <v>41214</v>
      </c>
      <c r="C8175" s="727">
        <v>100</v>
      </c>
      <c r="D8175" s="814">
        <v>114.33150000000001</v>
      </c>
      <c r="E8175" s="720">
        <v>0.14331500000000008</v>
      </c>
      <c r="F8175" s="731"/>
      <c r="G8175" s="78"/>
    </row>
    <row r="8176" spans="1:8" hidden="1" outlineLevel="1" x14ac:dyDescent="0.25">
      <c r="A8176" s="732" t="s">
        <v>1263</v>
      </c>
      <c r="B8176" s="944">
        <v>41306</v>
      </c>
      <c r="C8176" s="727">
        <v>100</v>
      </c>
      <c r="D8176" s="814">
        <v>123.7803</v>
      </c>
      <c r="E8176" s="720">
        <v>0.23780299999999999</v>
      </c>
      <c r="F8176" s="731"/>
      <c r="G8176" s="78"/>
    </row>
    <row r="8177" spans="1:8" hidden="1" outlineLevel="1" x14ac:dyDescent="0.25">
      <c r="A8177" s="732" t="s">
        <v>1264</v>
      </c>
      <c r="B8177" s="944">
        <v>41395</v>
      </c>
      <c r="C8177" s="727">
        <v>100</v>
      </c>
      <c r="D8177" s="814">
        <v>128.95609999999999</v>
      </c>
      <c r="E8177" s="720">
        <v>0.28956099999999996</v>
      </c>
      <c r="F8177" s="731"/>
      <c r="G8177" s="78"/>
    </row>
    <row r="8178" spans="1:8" hidden="1" outlineLevel="1" x14ac:dyDescent="0.25">
      <c r="A8178" s="732" t="s">
        <v>1265</v>
      </c>
      <c r="B8178" s="944">
        <v>41487</v>
      </c>
      <c r="C8178" s="727">
        <v>100</v>
      </c>
      <c r="D8178" s="814">
        <v>128.27330000000001</v>
      </c>
      <c r="E8178" s="720">
        <v>0.28273300000000012</v>
      </c>
      <c r="F8178" s="731"/>
      <c r="G8178" s="78"/>
    </row>
    <row r="8179" spans="1:8" hidden="1" outlineLevel="1" x14ac:dyDescent="0.25">
      <c r="A8179" s="754" t="s">
        <v>1266</v>
      </c>
      <c r="B8179" s="944">
        <v>41579</v>
      </c>
      <c r="C8179" s="727">
        <v>100</v>
      </c>
      <c r="D8179" s="814">
        <v>138.71459999999999</v>
      </c>
      <c r="E8179" s="720">
        <v>0.38714599999999999</v>
      </c>
      <c r="F8179" s="731"/>
      <c r="G8179" s="78"/>
    </row>
    <row r="8180" spans="1:8" hidden="1" outlineLevel="1" x14ac:dyDescent="0.25">
      <c r="A8180" s="749"/>
      <c r="B8180" s="750"/>
      <c r="C8180" s="727"/>
      <c r="D8180" s="871" t="s">
        <v>2465</v>
      </c>
      <c r="E8180" s="1211">
        <v>0.10221456249999999</v>
      </c>
      <c r="F8180" s="1828">
        <v>8.1771650000000001E-2</v>
      </c>
      <c r="G8180" s="78"/>
    </row>
    <row r="8181" spans="1:8" collapsed="1" x14ac:dyDescent="0.25">
      <c r="A8181" s="3801" t="s">
        <v>3400</v>
      </c>
      <c r="B8181" s="3802"/>
      <c r="C8181" s="3802"/>
      <c r="D8181" s="3802"/>
      <c r="E8181" s="721"/>
      <c r="F8181" s="722">
        <v>8.1771650000000001E-2</v>
      </c>
      <c r="G8181" s="97" t="s">
        <v>781</v>
      </c>
    </row>
    <row r="8183" spans="1:8" hidden="1" outlineLevel="1" x14ac:dyDescent="0.25">
      <c r="A8183" s="689" t="s">
        <v>113</v>
      </c>
      <c r="B8183" s="689" t="s">
        <v>114</v>
      </c>
      <c r="C8183" s="689" t="s">
        <v>112</v>
      </c>
      <c r="D8183" s="689" t="s">
        <v>116</v>
      </c>
      <c r="E8183" s="689" t="s">
        <v>117</v>
      </c>
      <c r="F8183" s="1188" t="s">
        <v>121</v>
      </c>
      <c r="G8183" s="78"/>
    </row>
    <row r="8184" spans="1:8" hidden="1" outlineLevel="1" x14ac:dyDescent="0.25">
      <c r="A8184" s="695"/>
      <c r="B8184" s="695"/>
      <c r="C8184" s="696"/>
      <c r="D8184" s="697" t="s">
        <v>3702</v>
      </c>
      <c r="E8184" s="698">
        <v>41425</v>
      </c>
      <c r="F8184" s="699"/>
      <c r="G8184" s="78"/>
    </row>
    <row r="8185" spans="1:8" hidden="1" outlineLevel="1" x14ac:dyDescent="0.25">
      <c r="A8185" s="689" t="s">
        <v>4156</v>
      </c>
      <c r="B8185" s="689" t="s">
        <v>4153</v>
      </c>
      <c r="C8185" s="700" t="s">
        <v>112</v>
      </c>
      <c r="D8185" s="689" t="s">
        <v>4155</v>
      </c>
      <c r="E8185" s="495" t="s">
        <v>4154</v>
      </c>
      <c r="F8185" s="1021" t="s">
        <v>734</v>
      </c>
      <c r="G8185" s="78"/>
    </row>
    <row r="8186" spans="1:8" hidden="1" outlineLevel="1" x14ac:dyDescent="0.25">
      <c r="A8186" s="999">
        <v>3.5000000000000003E-2</v>
      </c>
      <c r="B8186" s="1230" t="s">
        <v>1995</v>
      </c>
      <c r="C8186" s="799">
        <v>55.238</v>
      </c>
      <c r="D8186" s="708">
        <v>36.67</v>
      </c>
      <c r="E8186" s="705">
        <v>-0.33614540714725372</v>
      </c>
      <c r="F8186" s="1021">
        <v>-0.33614540714725372</v>
      </c>
      <c r="G8186" s="78"/>
      <c r="H8186" t="s">
        <v>2739</v>
      </c>
    </row>
    <row r="8187" spans="1:8" hidden="1" outlineLevel="1" x14ac:dyDescent="0.25">
      <c r="A8187" s="999">
        <v>0.03</v>
      </c>
      <c r="B8187" s="1089" t="s">
        <v>3320</v>
      </c>
      <c r="C8187" s="852">
        <v>35.386000000000003</v>
      </c>
      <c r="D8187" s="708">
        <v>71.13</v>
      </c>
      <c r="E8187" s="709">
        <v>1.0101169954219178</v>
      </c>
      <c r="F8187" s="946">
        <v>0.06</v>
      </c>
      <c r="G8187" s="78"/>
      <c r="H8187" t="s">
        <v>4093</v>
      </c>
    </row>
    <row r="8188" spans="1:8" hidden="1" outlineLevel="1" x14ac:dyDescent="0.25">
      <c r="A8188" s="999">
        <v>2.5000000000000001E-2</v>
      </c>
      <c r="B8188" s="1089" t="s">
        <v>157</v>
      </c>
      <c r="C8188" s="852">
        <v>11.818</v>
      </c>
      <c r="D8188" s="708">
        <v>5.54</v>
      </c>
      <c r="E8188" s="709">
        <v>-0.53122355728549664</v>
      </c>
      <c r="F8188" s="946">
        <v>-0.53122355728549664</v>
      </c>
      <c r="G8188" s="78"/>
      <c r="H8188" t="s">
        <v>730</v>
      </c>
    </row>
    <row r="8189" spans="1:8" hidden="1" outlineLevel="1" x14ac:dyDescent="0.25">
      <c r="A8189" s="999">
        <v>0.03</v>
      </c>
      <c r="B8189" s="1089" t="s">
        <v>1188</v>
      </c>
      <c r="C8189" s="852">
        <v>629.20000000000005</v>
      </c>
      <c r="D8189" s="708">
        <v>473.45</v>
      </c>
      <c r="E8189" s="709">
        <v>-0.2475365543547362</v>
      </c>
      <c r="F8189" s="946">
        <v>-0.2475365543547362</v>
      </c>
      <c r="G8189" s="78"/>
      <c r="H8189" t="s">
        <v>2746</v>
      </c>
    </row>
    <row r="8190" spans="1:8" hidden="1" outlineLevel="1" x14ac:dyDescent="0.25">
      <c r="A8190" s="999">
        <v>2.5000000000000001E-2</v>
      </c>
      <c r="B8190" s="1231" t="s">
        <v>4377</v>
      </c>
      <c r="C8190" s="852">
        <v>24.95</v>
      </c>
      <c r="D8190" s="708">
        <v>46.01</v>
      </c>
      <c r="E8190" s="709">
        <v>0.84408817635270528</v>
      </c>
      <c r="F8190" s="946">
        <v>0.06</v>
      </c>
      <c r="G8190" s="78"/>
      <c r="H8190" t="s">
        <v>4327</v>
      </c>
    </row>
    <row r="8191" spans="1:8" hidden="1" outlineLevel="1" x14ac:dyDescent="0.25">
      <c r="A8191" s="999">
        <v>0.04</v>
      </c>
      <c r="B8191" s="1089" t="s">
        <v>4332</v>
      </c>
      <c r="C8191" s="852">
        <v>281.3</v>
      </c>
      <c r="D8191" s="708">
        <v>380</v>
      </c>
      <c r="E8191" s="709">
        <v>0.35087095627444009</v>
      </c>
      <c r="F8191" s="946">
        <v>0.06</v>
      </c>
      <c r="G8191" s="78"/>
      <c r="H8191" t="s">
        <v>4334</v>
      </c>
    </row>
    <row r="8192" spans="1:8" hidden="1" outlineLevel="1" x14ac:dyDescent="0.25">
      <c r="A8192" s="999">
        <v>0.03</v>
      </c>
      <c r="B8192" s="1089" t="s">
        <v>1440</v>
      </c>
      <c r="C8192" s="852">
        <v>80.963999999999999</v>
      </c>
      <c r="D8192" s="708">
        <v>57.84</v>
      </c>
      <c r="E8192" s="709">
        <v>-0.2856084185563954</v>
      </c>
      <c r="F8192" s="946">
        <v>-0.2856084185563954</v>
      </c>
      <c r="G8192" s="78"/>
      <c r="H8192" t="s">
        <v>2569</v>
      </c>
    </row>
    <row r="8193" spans="1:15" hidden="1" outlineLevel="1" x14ac:dyDescent="0.25">
      <c r="A8193" s="999">
        <v>2.5000000000000001E-2</v>
      </c>
      <c r="B8193" s="1089" t="s">
        <v>53</v>
      </c>
      <c r="C8193" s="852">
        <v>42.853000000000002</v>
      </c>
      <c r="D8193" s="708">
        <v>56.74</v>
      </c>
      <c r="E8193" s="709">
        <v>0.32406132592817305</v>
      </c>
      <c r="F8193" s="946">
        <v>0.06</v>
      </c>
      <c r="G8193" s="78"/>
      <c r="H8193" t="s">
        <v>2751</v>
      </c>
    </row>
    <row r="8194" spans="1:15" hidden="1" outlineLevel="1" x14ac:dyDescent="0.25">
      <c r="A8194" s="999">
        <v>3.5000000000000003E-2</v>
      </c>
      <c r="B8194" s="1089" t="s">
        <v>2699</v>
      </c>
      <c r="C8194" s="852">
        <v>14.237</v>
      </c>
      <c r="D8194" s="708">
        <v>19.559999999999999</v>
      </c>
      <c r="E8194" s="709">
        <v>0.37388494767156</v>
      </c>
      <c r="F8194" s="946">
        <v>0.06</v>
      </c>
      <c r="G8194" s="78"/>
      <c r="H8194" t="s">
        <v>505</v>
      </c>
    </row>
    <row r="8195" spans="1:15" hidden="1" outlineLevel="1" x14ac:dyDescent="0.25">
      <c r="A8195" s="999">
        <v>0.03</v>
      </c>
      <c r="B8195" s="712" t="s">
        <v>3406</v>
      </c>
      <c r="C8195" s="852">
        <v>1063.4000000000001</v>
      </c>
      <c r="D8195" s="708">
        <v>1951</v>
      </c>
      <c r="E8195" s="709">
        <v>0.83468121120932848</v>
      </c>
      <c r="F8195" s="946">
        <v>0.06</v>
      </c>
      <c r="G8195" s="78"/>
      <c r="H8195" t="s">
        <v>2105</v>
      </c>
    </row>
    <row r="8196" spans="1:15" hidden="1" outlineLevel="1" x14ac:dyDescent="0.25">
      <c r="A8196" s="999">
        <v>0.04</v>
      </c>
      <c r="B8196" s="1089" t="s">
        <v>2630</v>
      </c>
      <c r="C8196" s="852">
        <v>17.34</v>
      </c>
      <c r="D8196" s="708">
        <v>7.843</v>
      </c>
      <c r="E8196" s="709">
        <v>-0.54769319492502877</v>
      </c>
      <c r="F8196" s="946">
        <v>-0.54769319492502877</v>
      </c>
      <c r="G8196" s="78"/>
      <c r="H8196" t="e">
        <v>#N/A</v>
      </c>
    </row>
    <row r="8197" spans="1:15" hidden="1" outlineLevel="1" x14ac:dyDescent="0.25">
      <c r="A8197" s="999">
        <v>0.03</v>
      </c>
      <c r="B8197" s="711" t="s">
        <v>4496</v>
      </c>
      <c r="C8197" s="852">
        <v>42.65</v>
      </c>
      <c r="D8197" s="708">
        <v>72.36</v>
      </c>
      <c r="E8197" s="709">
        <v>0.69660023446658847</v>
      </c>
      <c r="F8197" s="946">
        <v>0.06</v>
      </c>
      <c r="G8197" s="78"/>
      <c r="H8197" t="s">
        <v>2385</v>
      </c>
    </row>
    <row r="8198" spans="1:15" hidden="1" outlineLevel="1" x14ac:dyDescent="0.25">
      <c r="A8198" s="999">
        <v>0.03</v>
      </c>
      <c r="B8198" s="1089" t="s">
        <v>4439</v>
      </c>
      <c r="C8198" s="852">
        <v>43.966999999999999</v>
      </c>
      <c r="D8198" s="708">
        <v>95.82</v>
      </c>
      <c r="E8198" s="709">
        <v>1.1793617940728272</v>
      </c>
      <c r="F8198" s="946">
        <v>0.06</v>
      </c>
      <c r="G8198" s="78"/>
      <c r="H8198" t="s">
        <v>3827</v>
      </c>
    </row>
    <row r="8199" spans="1:15" hidden="1" outlineLevel="1" x14ac:dyDescent="0.25">
      <c r="A8199" s="999">
        <v>0.04</v>
      </c>
      <c r="B8199" s="712" t="s">
        <v>1381</v>
      </c>
      <c r="C8199" s="852">
        <v>63</v>
      </c>
      <c r="D8199" s="708">
        <v>96.83</v>
      </c>
      <c r="E8199" s="709">
        <v>0.5369841269841269</v>
      </c>
      <c r="F8199" s="946">
        <v>0.06</v>
      </c>
      <c r="G8199" s="78"/>
      <c r="H8199" t="s">
        <v>1383</v>
      </c>
    </row>
    <row r="8200" spans="1:15" hidden="1" outlineLevel="1" x14ac:dyDescent="0.25">
      <c r="A8200" s="999">
        <v>0.04</v>
      </c>
      <c r="B8200" s="1089" t="s">
        <v>4034</v>
      </c>
      <c r="C8200" s="852">
        <v>9.2577999999999996</v>
      </c>
      <c r="D8200" s="708">
        <v>12.525</v>
      </c>
      <c r="E8200" s="709">
        <v>0.35291321912333395</v>
      </c>
      <c r="F8200" s="946">
        <v>0.06</v>
      </c>
      <c r="G8200" s="78"/>
      <c r="H8200" t="s">
        <v>4035</v>
      </c>
    </row>
    <row r="8201" spans="1:15" hidden="1" outlineLevel="1" x14ac:dyDescent="0.25">
      <c r="A8201" s="999">
        <v>3.5000000000000003E-2</v>
      </c>
      <c r="B8201" s="1089" t="s">
        <v>4143</v>
      </c>
      <c r="C8201" s="852">
        <v>11.952999999999999</v>
      </c>
      <c r="D8201" s="708">
        <v>2.7519999999999998</v>
      </c>
      <c r="E8201" s="709">
        <v>-0.76976491257424917</v>
      </c>
      <c r="F8201" s="946">
        <v>-0.76976491257424917</v>
      </c>
      <c r="G8201" s="78"/>
      <c r="H8201" t="s">
        <v>4144</v>
      </c>
    </row>
    <row r="8202" spans="1:15" hidden="1" outlineLevel="1" x14ac:dyDescent="0.25">
      <c r="A8202" s="999">
        <v>2.5000000000000001E-2</v>
      </c>
      <c r="B8202" s="1089" t="s">
        <v>2160</v>
      </c>
      <c r="C8202" s="852">
        <v>29.074000000000002</v>
      </c>
      <c r="D8202" s="708">
        <v>55.13</v>
      </c>
      <c r="E8202" s="709">
        <v>0.8961959138749398</v>
      </c>
      <c r="F8202" s="946">
        <v>0.06</v>
      </c>
      <c r="G8202" s="78"/>
      <c r="H8202" t="s">
        <v>5507</v>
      </c>
    </row>
    <row r="8203" spans="1:15" hidden="1" outlineLevel="1" x14ac:dyDescent="0.25">
      <c r="A8203" s="999">
        <v>0.04</v>
      </c>
      <c r="B8203" s="1089" t="s">
        <v>816</v>
      </c>
      <c r="C8203" s="852">
        <v>62.411999999999999</v>
      </c>
      <c r="D8203" s="708">
        <v>96.57</v>
      </c>
      <c r="E8203" s="709">
        <v>0.54729859642376466</v>
      </c>
      <c r="F8203" s="946">
        <v>0.06</v>
      </c>
      <c r="G8203" s="78"/>
      <c r="H8203" t="s">
        <v>817</v>
      </c>
      <c r="O8203" s="314"/>
    </row>
    <row r="8204" spans="1:15" hidden="1" outlineLevel="1" x14ac:dyDescent="0.25">
      <c r="A8204" s="999">
        <v>0.03</v>
      </c>
      <c r="B8204" s="1089" t="s">
        <v>2786</v>
      </c>
      <c r="C8204" s="852">
        <v>652.29999999999995</v>
      </c>
      <c r="D8204" s="708">
        <v>784.5</v>
      </c>
      <c r="E8204" s="709">
        <v>0.20266748428637138</v>
      </c>
      <c r="F8204" s="946">
        <v>0.06</v>
      </c>
      <c r="G8204" s="78"/>
      <c r="H8204" t="s">
        <v>4195</v>
      </c>
    </row>
    <row r="8205" spans="1:15" hidden="1" outlineLevel="1" x14ac:dyDescent="0.25">
      <c r="A8205" s="999">
        <v>0.03</v>
      </c>
      <c r="B8205" s="1089" t="s">
        <v>3797</v>
      </c>
      <c r="C8205" s="852">
        <v>48.978000000000002</v>
      </c>
      <c r="D8205" s="708">
        <v>63.45</v>
      </c>
      <c r="E8205" s="709">
        <v>0.29547960308710031</v>
      </c>
      <c r="F8205" s="946">
        <v>0.06</v>
      </c>
      <c r="G8205" s="78"/>
      <c r="H8205" t="s">
        <v>3848</v>
      </c>
    </row>
    <row r="8206" spans="1:15" hidden="1" outlineLevel="1" x14ac:dyDescent="0.25">
      <c r="A8206" s="999">
        <v>4.4999999999999998E-2</v>
      </c>
      <c r="B8206" s="1089" t="s">
        <v>1040</v>
      </c>
      <c r="C8206" s="852">
        <v>3912</v>
      </c>
      <c r="D8206" s="708">
        <v>5050</v>
      </c>
      <c r="E8206" s="709">
        <v>0.29089979550102241</v>
      </c>
      <c r="F8206" s="946">
        <v>0.06</v>
      </c>
      <c r="G8206" s="78"/>
      <c r="H8206" t="s">
        <v>3540</v>
      </c>
    </row>
    <row r="8207" spans="1:15" hidden="1" outlineLevel="1" x14ac:dyDescent="0.25">
      <c r="A8207" s="999">
        <v>0.04</v>
      </c>
      <c r="B8207" s="1089" t="s">
        <v>2787</v>
      </c>
      <c r="C8207" s="852">
        <v>54.05</v>
      </c>
      <c r="D8207" s="708">
        <v>69</v>
      </c>
      <c r="E8207" s="709">
        <v>0.27659574468085113</v>
      </c>
      <c r="F8207" s="946">
        <v>0.06</v>
      </c>
      <c r="G8207" s="78"/>
      <c r="H8207" t="s">
        <v>80</v>
      </c>
    </row>
    <row r="8208" spans="1:15" hidden="1" outlineLevel="1" x14ac:dyDescent="0.25">
      <c r="A8208" s="999">
        <v>0.03</v>
      </c>
      <c r="B8208" s="1089" t="s">
        <v>1414</v>
      </c>
      <c r="C8208" s="852">
        <v>18.974</v>
      </c>
      <c r="D8208" s="708">
        <v>27.23</v>
      </c>
      <c r="E8208" s="709">
        <v>0.43512174554653726</v>
      </c>
      <c r="F8208" s="946">
        <v>0.06</v>
      </c>
      <c r="G8208" s="78"/>
      <c r="H8208" t="s">
        <v>2428</v>
      </c>
    </row>
    <row r="8209" spans="1:14" hidden="1" outlineLevel="1" x14ac:dyDescent="0.25">
      <c r="A8209" s="999">
        <v>3.5000000000000003E-2</v>
      </c>
      <c r="B8209" s="1089" t="s">
        <v>3800</v>
      </c>
      <c r="C8209" s="852">
        <v>179.36</v>
      </c>
      <c r="D8209" s="708">
        <v>239.1</v>
      </c>
      <c r="E8209" s="709">
        <v>0.3330731489741301</v>
      </c>
      <c r="F8209" s="946">
        <v>0.06</v>
      </c>
      <c r="G8209" s="78"/>
      <c r="H8209" t="s">
        <v>2817</v>
      </c>
    </row>
    <row r="8210" spans="1:14" hidden="1" outlineLevel="1" x14ac:dyDescent="0.25">
      <c r="A8210" s="999">
        <v>0.03</v>
      </c>
      <c r="B8210" s="1089" t="s">
        <v>2728</v>
      </c>
      <c r="C8210" s="852">
        <v>55.462000000000003</v>
      </c>
      <c r="D8210" s="708">
        <v>61.53</v>
      </c>
      <c r="E8210" s="709">
        <v>0.1094082434820236</v>
      </c>
      <c r="F8210" s="946">
        <v>0.06</v>
      </c>
      <c r="G8210" s="78"/>
      <c r="H8210" t="s">
        <v>258</v>
      </c>
    </row>
    <row r="8211" spans="1:14" hidden="1" outlineLevel="1" x14ac:dyDescent="0.25">
      <c r="A8211" s="999">
        <v>4.4999999999999998E-2</v>
      </c>
      <c r="B8211" s="1089" t="s">
        <v>1239</v>
      </c>
      <c r="C8211" s="852">
        <v>391.6</v>
      </c>
      <c r="D8211" s="708">
        <v>409.2</v>
      </c>
      <c r="E8211" s="709">
        <v>4.4943820224718989E-2</v>
      </c>
      <c r="F8211" s="946">
        <v>0.06</v>
      </c>
      <c r="G8211" s="78"/>
      <c r="H8211" t="s">
        <v>268</v>
      </c>
    </row>
    <row r="8212" spans="1:14" hidden="1" outlineLevel="1" x14ac:dyDescent="0.25">
      <c r="A8212" s="999">
        <v>3.5000000000000003E-2</v>
      </c>
      <c r="B8212" s="1089" t="s">
        <v>3022</v>
      </c>
      <c r="C8212" s="852">
        <v>3942</v>
      </c>
      <c r="D8212" s="708">
        <v>4500</v>
      </c>
      <c r="E8212" s="709">
        <v>0.14155251141552516</v>
      </c>
      <c r="F8212" s="946">
        <v>0.06</v>
      </c>
      <c r="G8212" s="78"/>
      <c r="H8212" t="s">
        <v>2802</v>
      </c>
    </row>
    <row r="8213" spans="1:14" hidden="1" outlineLevel="1" x14ac:dyDescent="0.25">
      <c r="A8213" s="999">
        <v>3.5000000000000003E-2</v>
      </c>
      <c r="B8213" s="1089" t="s">
        <v>577</v>
      </c>
      <c r="C8213" s="852">
        <v>18.655999999999999</v>
      </c>
      <c r="D8213" s="708">
        <v>10.6</v>
      </c>
      <c r="E8213" s="742">
        <v>-0.43181818181818177</v>
      </c>
      <c r="F8213" s="946">
        <v>-0.43181818181818177</v>
      </c>
      <c r="G8213" s="78"/>
      <c r="H8213" t="s">
        <v>2804</v>
      </c>
    </row>
    <row r="8214" spans="1:14" hidden="1" outlineLevel="1" x14ac:dyDescent="0.25">
      <c r="A8214" s="999">
        <v>3.5000000000000003E-2</v>
      </c>
      <c r="B8214" s="1089" t="s">
        <v>583</v>
      </c>
      <c r="C8214" s="852">
        <v>419.03</v>
      </c>
      <c r="D8214" s="708">
        <v>365.45</v>
      </c>
      <c r="E8214" s="742">
        <v>-0.12786673985156194</v>
      </c>
      <c r="F8214" s="946">
        <v>-0.12786673985156194</v>
      </c>
      <c r="G8214" s="78"/>
      <c r="H8214" t="s">
        <v>1594</v>
      </c>
    </row>
    <row r="8215" spans="1:14" hidden="1" outlineLevel="1" x14ac:dyDescent="0.25">
      <c r="A8215" s="999">
        <v>2.5000000000000001E-2</v>
      </c>
      <c r="B8215" s="1089" t="s">
        <v>507</v>
      </c>
      <c r="C8215" s="801">
        <v>22.11</v>
      </c>
      <c r="D8215" s="1199">
        <v>31.535</v>
      </c>
      <c r="E8215" s="748">
        <v>0.42627770239710538</v>
      </c>
      <c r="F8215" s="1023">
        <v>0.06</v>
      </c>
      <c r="G8215" s="78"/>
      <c r="H8215" t="s">
        <v>2810</v>
      </c>
    </row>
    <row r="8216" spans="1:14" hidden="1" outlineLevel="1" x14ac:dyDescent="0.25">
      <c r="A8216" s="1232" t="s">
        <v>2465</v>
      </c>
      <c r="B8216" s="1205"/>
      <c r="C8216" s="1206"/>
      <c r="D8216" s="886"/>
      <c r="E8216" s="491">
        <v>0.22308753767509931</v>
      </c>
      <c r="F8216" s="1232">
        <v>-6.537849936516614E-2</v>
      </c>
      <c r="G8216" s="78"/>
    </row>
    <row r="8217" spans="1:14" hidden="1" outlineLevel="1" x14ac:dyDescent="0.25">
      <c r="A8217" s="1017"/>
      <c r="B8217" s="1018"/>
      <c r="C8217" s="837"/>
      <c r="D8217" s="798"/>
      <c r="E8217" s="709"/>
      <c r="F8217" s="1666"/>
      <c r="G8217" s="78"/>
    </row>
    <row r="8218" spans="1:14" hidden="1" outlineLevel="1" x14ac:dyDescent="0.25">
      <c r="A8218" s="725" t="s">
        <v>113</v>
      </c>
      <c r="B8218" s="725"/>
      <c r="C8218" s="1019"/>
      <c r="D8218" s="1019"/>
      <c r="E8218" s="729"/>
      <c r="F8218" s="1188"/>
      <c r="G8218" s="78"/>
    </row>
    <row r="8219" spans="1:14" hidden="1" outlineLevel="1" x14ac:dyDescent="0.25">
      <c r="A8219" s="732" t="s">
        <v>4787</v>
      </c>
      <c r="B8219" s="690"/>
      <c r="C8219" s="691"/>
      <c r="D8219" s="691"/>
      <c r="E8219" s="691"/>
      <c r="F8219" s="1021">
        <v>3.5000000000000003E-2</v>
      </c>
      <c r="G8219" s="78"/>
    </row>
    <row r="8220" spans="1:14" hidden="1" outlineLevel="1" x14ac:dyDescent="0.25">
      <c r="A8220" s="732" t="s">
        <v>4788</v>
      </c>
      <c r="B8220" s="706"/>
      <c r="C8220" s="1022"/>
      <c r="D8220" s="1022"/>
      <c r="E8220" s="1022"/>
      <c r="F8220" s="946">
        <v>5.0000000000000001E-3</v>
      </c>
      <c r="G8220" s="78"/>
    </row>
    <row r="8221" spans="1:14" hidden="1" outlineLevel="1" x14ac:dyDescent="0.25">
      <c r="A8221" s="732" t="s">
        <v>4789</v>
      </c>
      <c r="B8221" s="706"/>
      <c r="C8221" s="1022"/>
      <c r="D8221" s="1022"/>
      <c r="E8221" s="1022"/>
      <c r="F8221" s="946">
        <v>5.0000000000000001E-3</v>
      </c>
      <c r="G8221" s="78"/>
    </row>
    <row r="8222" spans="1:14" collapsed="1" x14ac:dyDescent="0.25">
      <c r="A8222" s="3803" t="s">
        <v>3899</v>
      </c>
      <c r="B8222" s="3804"/>
      <c r="C8222" s="3804"/>
      <c r="D8222" s="1019"/>
      <c r="E8222" s="1019"/>
      <c r="F8222" s="934">
        <v>4.4999999999999998E-2</v>
      </c>
      <c r="G8222" s="97" t="s">
        <v>781</v>
      </c>
    </row>
    <row r="8224" spans="1:14" hidden="1" outlineLevel="1" x14ac:dyDescent="0.25">
      <c r="A8224" s="689" t="s">
        <v>113</v>
      </c>
      <c r="B8224" s="689" t="s">
        <v>114</v>
      </c>
      <c r="C8224" s="689" t="s">
        <v>112</v>
      </c>
      <c r="D8224" s="689" t="s">
        <v>116</v>
      </c>
      <c r="E8224" s="689" t="s">
        <v>117</v>
      </c>
      <c r="F8224" s="1188" t="s">
        <v>121</v>
      </c>
      <c r="N8224" s="314"/>
    </row>
    <row r="8225" spans="1:17" hidden="1" outlineLevel="1" x14ac:dyDescent="0.25">
      <c r="A8225" s="690">
        <v>1</v>
      </c>
      <c r="B8225" s="691" t="s">
        <v>252</v>
      </c>
      <c r="C8225" s="692">
        <v>100</v>
      </c>
      <c r="D8225" s="692"/>
      <c r="E8225" s="693"/>
      <c r="F8225" s="694"/>
    </row>
    <row r="8226" spans="1:17" hidden="1" outlineLevel="1" x14ac:dyDescent="0.25">
      <c r="A8226" s="695"/>
      <c r="B8226" s="695"/>
      <c r="C8226" s="696"/>
      <c r="D8226" s="697" t="s">
        <v>3702</v>
      </c>
      <c r="E8226" s="698">
        <v>42277</v>
      </c>
      <c r="F8226" s="699"/>
      <c r="P8226" s="314"/>
      <c r="Q8226" s="314"/>
    </row>
    <row r="8227" spans="1:17" s="314" customFormat="1" ht="27" hidden="1" customHeight="1" outlineLevel="1" x14ac:dyDescent="0.25">
      <c r="A8227" s="1164" t="s">
        <v>4156</v>
      </c>
      <c r="B8227" s="1164" t="s">
        <v>4153</v>
      </c>
      <c r="C8227" s="700" t="s">
        <v>1677</v>
      </c>
      <c r="D8227" s="1164" t="s">
        <v>4155</v>
      </c>
      <c r="E8227" s="1164" t="s">
        <v>4154</v>
      </c>
      <c r="F8227" s="1056" t="s">
        <v>2519</v>
      </c>
      <c r="J8227"/>
      <c r="N8227"/>
      <c r="O8227"/>
      <c r="P8227"/>
      <c r="Q8227"/>
    </row>
    <row r="8228" spans="1:17" hidden="1" outlineLevel="1" x14ac:dyDescent="0.25">
      <c r="A8228" s="1127">
        <v>3.5000000000000003E-2</v>
      </c>
      <c r="B8228" s="1010" t="s">
        <v>1995</v>
      </c>
      <c r="C8228" s="848">
        <v>53.74</v>
      </c>
      <c r="D8228" s="1024">
        <v>40.22</v>
      </c>
      <c r="E8228" s="911">
        <v>-0.25158168961667293</v>
      </c>
      <c r="F8228" s="1021">
        <v>-8.8053591365835539E-3</v>
      </c>
      <c r="H8228" t="s">
        <v>2739</v>
      </c>
      <c r="J8228" t="s">
        <v>2040</v>
      </c>
    </row>
    <row r="8229" spans="1:17" hidden="1" outlineLevel="1" x14ac:dyDescent="0.25">
      <c r="A8229" s="849">
        <v>0.03</v>
      </c>
      <c r="B8229" s="1012" t="s">
        <v>3320</v>
      </c>
      <c r="C8229" s="851">
        <v>36.416699999999999</v>
      </c>
      <c r="D8229" s="1026">
        <v>94.92</v>
      </c>
      <c r="E8229" s="909">
        <v>1.6064964700261144</v>
      </c>
      <c r="F8229" s="946">
        <v>4.8194894100783432E-2</v>
      </c>
      <c r="H8229" t="s">
        <v>4093</v>
      </c>
      <c r="I8229" s="256"/>
      <c r="J8229" s="256">
        <v>41609</v>
      </c>
      <c r="K8229">
        <v>137.941</v>
      </c>
      <c r="L8229" s="37">
        <v>0.37941000000000003</v>
      </c>
    </row>
    <row r="8230" spans="1:17" hidden="1" outlineLevel="1" x14ac:dyDescent="0.25">
      <c r="A8230" s="849">
        <v>2.5000000000000001E-2</v>
      </c>
      <c r="B8230" s="1012" t="s">
        <v>157</v>
      </c>
      <c r="C8230" s="851">
        <v>9.6609999999999996</v>
      </c>
      <c r="D8230" s="1026">
        <v>4.7439999999999998</v>
      </c>
      <c r="E8230" s="909">
        <v>-0.50895352447986753</v>
      </c>
      <c r="F8230" s="946">
        <v>-1.2723838111996689E-2</v>
      </c>
      <c r="H8230" t="s">
        <v>730</v>
      </c>
      <c r="I8230" s="256"/>
      <c r="J8230" s="256">
        <v>41640</v>
      </c>
      <c r="K8230">
        <v>133.8717</v>
      </c>
      <c r="L8230" s="37">
        <v>0.33871699999999993</v>
      </c>
    </row>
    <row r="8231" spans="1:17" hidden="1" outlineLevel="1" x14ac:dyDescent="0.25">
      <c r="A8231" s="849">
        <v>0.03</v>
      </c>
      <c r="B8231" s="1012" t="s">
        <v>1188</v>
      </c>
      <c r="C8231" s="851">
        <v>595.77</v>
      </c>
      <c r="D8231" s="1026">
        <v>334</v>
      </c>
      <c r="E8231" s="909">
        <v>-0.43938096916595326</v>
      </c>
      <c r="F8231" s="946">
        <v>-1.3181429074978598E-2</v>
      </c>
      <c r="H8231" t="s">
        <v>2746</v>
      </c>
      <c r="I8231" s="256"/>
      <c r="J8231" s="256">
        <v>41671</v>
      </c>
      <c r="K8231">
        <v>138.31819999999999</v>
      </c>
      <c r="L8231" s="37">
        <v>0.38318199999999991</v>
      </c>
    </row>
    <row r="8232" spans="1:17" hidden="1" outlineLevel="1" x14ac:dyDescent="0.25">
      <c r="A8232" s="849">
        <v>2.5000000000000001E-2</v>
      </c>
      <c r="B8232" s="1319" t="s">
        <v>4377</v>
      </c>
      <c r="C8232" s="851">
        <v>25.103300000000001</v>
      </c>
      <c r="D8232" s="1026">
        <v>59.2</v>
      </c>
      <c r="E8232" s="909">
        <v>1.3582556874992533</v>
      </c>
      <c r="F8232" s="946">
        <v>3.3956392187481331E-2</v>
      </c>
      <c r="H8232" t="s">
        <v>4327</v>
      </c>
      <c r="I8232" s="256"/>
      <c r="J8232" s="256">
        <v>41699</v>
      </c>
      <c r="K8232">
        <v>139.6925</v>
      </c>
      <c r="L8232" s="37">
        <v>0.39692499999999997</v>
      </c>
    </row>
    <row r="8233" spans="1:17" hidden="1" outlineLevel="1" x14ac:dyDescent="0.25">
      <c r="A8233" s="849">
        <v>0.04</v>
      </c>
      <c r="B8233" s="1012" t="s">
        <v>4332</v>
      </c>
      <c r="C8233" s="851">
        <v>281.39999999999998</v>
      </c>
      <c r="D8233" s="1026">
        <v>229.2</v>
      </c>
      <c r="E8233" s="909">
        <v>-0.18550106609808104</v>
      </c>
      <c r="F8233" s="946">
        <v>-7.4200426439232419E-3</v>
      </c>
      <c r="H8233" t="s">
        <v>4334</v>
      </c>
      <c r="I8233" s="256"/>
      <c r="J8233" s="256">
        <v>41730</v>
      </c>
      <c r="K8233">
        <v>140.37440000000001</v>
      </c>
      <c r="L8233" s="37">
        <v>0.4037440000000001</v>
      </c>
    </row>
    <row r="8234" spans="1:17" hidden="1" outlineLevel="1" x14ac:dyDescent="0.25">
      <c r="A8234" s="849">
        <v>0.03</v>
      </c>
      <c r="B8234" s="1012" t="s">
        <v>1440</v>
      </c>
      <c r="C8234" s="851">
        <v>82.953299999999999</v>
      </c>
      <c r="D8234" s="1026">
        <v>63.46</v>
      </c>
      <c r="E8234" s="909">
        <v>-0.23499125411526722</v>
      </c>
      <c r="F8234" s="946">
        <v>-7.0497376234580165E-3</v>
      </c>
      <c r="H8234" t="s">
        <v>2569</v>
      </c>
      <c r="I8234" s="256"/>
      <c r="J8234" s="256">
        <v>41760</v>
      </c>
      <c r="K8234">
        <v>142.75110000000001</v>
      </c>
      <c r="L8234" s="37">
        <v>0.42751099999999997</v>
      </c>
    </row>
    <row r="8235" spans="1:17" hidden="1" outlineLevel="1" x14ac:dyDescent="0.25">
      <c r="A8235" s="849">
        <v>2.5000000000000001E-2</v>
      </c>
      <c r="B8235" s="1012" t="s">
        <v>53</v>
      </c>
      <c r="C8235" s="851">
        <v>42.978299999999997</v>
      </c>
      <c r="D8235" s="1026">
        <v>56.42</v>
      </c>
      <c r="E8235" s="909">
        <v>0.31275550684880526</v>
      </c>
      <c r="F8235" s="946">
        <v>7.8188876712201316E-3</v>
      </c>
      <c r="H8235" t="s">
        <v>2751</v>
      </c>
      <c r="I8235" s="256"/>
      <c r="J8235" s="256">
        <v>41791</v>
      </c>
      <c r="K8235">
        <v>142.55770000000001</v>
      </c>
      <c r="L8235" s="37">
        <v>0.42557700000000009</v>
      </c>
    </row>
    <row r="8236" spans="1:17" hidden="1" outlineLevel="1" x14ac:dyDescent="0.25">
      <c r="A8236" s="849">
        <v>3.5000000000000003E-2</v>
      </c>
      <c r="B8236" s="1012" t="s">
        <v>2699</v>
      </c>
      <c r="C8236" s="851">
        <v>12.414999999999999</v>
      </c>
      <c r="D8236" s="1026">
        <v>24.774999999999999</v>
      </c>
      <c r="E8236" s="909">
        <v>0.99556987515102691</v>
      </c>
      <c r="F8236" s="946">
        <v>3.4844945630285944E-2</v>
      </c>
      <c r="H8236" t="s">
        <v>505</v>
      </c>
      <c r="I8236" s="256"/>
      <c r="J8236" s="256">
        <v>41821</v>
      </c>
      <c r="K8236">
        <v>139.23509999999999</v>
      </c>
      <c r="L8236" s="37">
        <v>0.39235099999999989</v>
      </c>
    </row>
    <row r="8237" spans="1:17" hidden="1" outlineLevel="1" x14ac:dyDescent="0.25">
      <c r="A8237" s="849">
        <v>0.03</v>
      </c>
      <c r="B8237" s="740" t="s">
        <v>3406</v>
      </c>
      <c r="C8237" s="851">
        <v>1071.22</v>
      </c>
      <c r="D8237" s="1026">
        <v>1770.5</v>
      </c>
      <c r="E8237" s="909">
        <v>0.65278840947704486</v>
      </c>
      <c r="F8237" s="946">
        <v>1.9583652284311345E-2</v>
      </c>
      <c r="H8237" t="s">
        <v>2105</v>
      </c>
      <c r="I8237" s="256"/>
      <c r="J8237" s="256">
        <v>41852</v>
      </c>
      <c r="K8237">
        <v>141.7311</v>
      </c>
      <c r="L8237" s="37">
        <v>0.41731099999999999</v>
      </c>
    </row>
    <row r="8238" spans="1:17" hidden="1" outlineLevel="1" x14ac:dyDescent="0.25">
      <c r="A8238" s="849">
        <v>0.04</v>
      </c>
      <c r="B8238" s="1012" t="s">
        <v>5824</v>
      </c>
      <c r="C8238" s="851">
        <v>17.135000000000002</v>
      </c>
      <c r="D8238" s="1026">
        <v>13.52</v>
      </c>
      <c r="E8238" s="909">
        <v>-0.21097169536037363</v>
      </c>
      <c r="F8238" s="946">
        <v>-8.4388678144149461E-3</v>
      </c>
      <c r="H8238" t="s">
        <v>5817</v>
      </c>
      <c r="I8238" s="256"/>
      <c r="J8238" s="256">
        <v>41883</v>
      </c>
      <c r="K8238">
        <v>142.1969</v>
      </c>
      <c r="L8238" s="37">
        <v>0.42196900000000004</v>
      </c>
    </row>
    <row r="8239" spans="1:17" hidden="1" outlineLevel="1" x14ac:dyDescent="0.25">
      <c r="A8239" s="849">
        <v>0.03</v>
      </c>
      <c r="B8239" s="743" t="s">
        <v>4496</v>
      </c>
      <c r="C8239" s="851">
        <v>45.023299999999999</v>
      </c>
      <c r="D8239" s="1026">
        <v>72.489999999999995</v>
      </c>
      <c r="E8239" s="909">
        <v>0.61005523806562367</v>
      </c>
      <c r="F8239" s="946">
        <v>1.830165714196871E-2</v>
      </c>
      <c r="H8239" t="s">
        <v>2385</v>
      </c>
      <c r="I8239" s="256"/>
      <c r="J8239" s="256">
        <v>41913</v>
      </c>
      <c r="K8239">
        <v>144.8784</v>
      </c>
      <c r="L8239" s="37">
        <v>0.44878400000000007</v>
      </c>
    </row>
    <row r="8240" spans="1:17" hidden="1" outlineLevel="1" x14ac:dyDescent="0.25">
      <c r="A8240" s="849">
        <v>0.03</v>
      </c>
      <c r="B8240" s="1012" t="s">
        <v>4439</v>
      </c>
      <c r="C8240" s="851">
        <v>45.703299999999999</v>
      </c>
      <c r="D8240" s="1026">
        <v>29.93</v>
      </c>
      <c r="E8240" s="909">
        <v>-0.34512387508123044</v>
      </c>
      <c r="F8240" s="946">
        <v>-1.0353716252436912E-2</v>
      </c>
      <c r="H8240" t="s">
        <v>3827</v>
      </c>
      <c r="I8240" s="256"/>
      <c r="J8240" s="256">
        <v>41944</v>
      </c>
      <c r="K8240">
        <v>150.1893</v>
      </c>
      <c r="L8240" s="37">
        <v>0.50189299999999992</v>
      </c>
    </row>
    <row r="8241" spans="1:12" hidden="1" outlineLevel="1" x14ac:dyDescent="0.25">
      <c r="A8241" s="849">
        <v>0.04</v>
      </c>
      <c r="B8241" s="740" t="s">
        <v>1381</v>
      </c>
      <c r="C8241" s="851">
        <v>60.736699999999999</v>
      </c>
      <c r="D8241" s="1026">
        <v>109.04</v>
      </c>
      <c r="E8241" s="909">
        <v>0.79529016229067451</v>
      </c>
      <c r="F8241" s="946">
        <v>3.1811606491626981E-2</v>
      </c>
      <c r="H8241" t="s">
        <v>1383</v>
      </c>
      <c r="I8241" s="256"/>
      <c r="J8241" s="256">
        <v>41974</v>
      </c>
      <c r="K8241">
        <v>147.41579999999999</v>
      </c>
      <c r="L8241" s="37">
        <v>0.47415799999999986</v>
      </c>
    </row>
    <row r="8242" spans="1:12" hidden="1" outlineLevel="1" x14ac:dyDescent="0.25">
      <c r="A8242" s="849">
        <v>0.04</v>
      </c>
      <c r="B8242" s="1012" t="s">
        <v>4034</v>
      </c>
      <c r="C8242" s="851">
        <v>9.3533000000000008</v>
      </c>
      <c r="D8242" s="1026">
        <v>17.41</v>
      </c>
      <c r="E8242" s="909">
        <v>0.86137512963339136</v>
      </c>
      <c r="F8242" s="946">
        <v>3.4455005185335653E-2</v>
      </c>
      <c r="H8242" t="s">
        <v>4035</v>
      </c>
      <c r="I8242" s="256"/>
      <c r="J8242" s="256">
        <v>42005</v>
      </c>
      <c r="K8242">
        <v>152.6046</v>
      </c>
      <c r="L8242" s="37">
        <v>0.52604600000000001</v>
      </c>
    </row>
    <row r="8243" spans="1:12" hidden="1" outlineLevel="1" x14ac:dyDescent="0.25">
      <c r="A8243" s="849">
        <v>3.5000000000000003E-2</v>
      </c>
      <c r="B8243" s="1012" t="s">
        <v>4143</v>
      </c>
      <c r="C8243" s="851">
        <v>11.6633</v>
      </c>
      <c r="D8243" s="1026">
        <v>3.3439999999999999</v>
      </c>
      <c r="E8243" s="909">
        <v>-0.71328869187965671</v>
      </c>
      <c r="F8243" s="946">
        <v>-2.4965104215787987E-2</v>
      </c>
      <c r="H8243" t="s">
        <v>4144</v>
      </c>
      <c r="I8243" s="256"/>
      <c r="J8243" s="256">
        <v>42036</v>
      </c>
      <c r="K8243">
        <v>158.14449999999999</v>
      </c>
      <c r="L8243" s="37">
        <v>0.58144499999999999</v>
      </c>
    </row>
    <row r="8244" spans="1:12" hidden="1" outlineLevel="1" x14ac:dyDescent="0.25">
      <c r="A8244" s="849">
        <v>2.5000000000000001E-2</v>
      </c>
      <c r="B8244" s="1012" t="s">
        <v>2160</v>
      </c>
      <c r="C8244" s="851">
        <v>29.166699999999999</v>
      </c>
      <c r="D8244" s="1026">
        <v>88.19</v>
      </c>
      <c r="E8244" s="909">
        <v>2.0236536872529287</v>
      </c>
      <c r="F8244" s="946">
        <v>5.0591342181323218E-2</v>
      </c>
      <c r="H8244" t="s">
        <v>5507</v>
      </c>
      <c r="I8244" s="256"/>
      <c r="J8244" s="256">
        <v>42064</v>
      </c>
      <c r="K8244">
        <v>159.01570000000001</v>
      </c>
      <c r="L8244" s="37">
        <v>0.59015700000000004</v>
      </c>
    </row>
    <row r="8245" spans="1:12" hidden="1" outlineLevel="1" x14ac:dyDescent="0.25">
      <c r="A8245" s="849">
        <v>0.04</v>
      </c>
      <c r="B8245" s="1012" t="s">
        <v>816</v>
      </c>
      <c r="C8245" s="851">
        <v>64.976699999999994</v>
      </c>
      <c r="D8245" s="1026">
        <v>98.53</v>
      </c>
      <c r="E8245" s="909">
        <v>0.51638972123853644</v>
      </c>
      <c r="F8245" s="946">
        <v>2.0655588849541457E-2</v>
      </c>
      <c r="H8245" t="s">
        <v>817</v>
      </c>
      <c r="I8245" s="256"/>
      <c r="J8245" s="256">
        <v>42095</v>
      </c>
      <c r="K8245">
        <v>159.37280000000001</v>
      </c>
      <c r="L8245" s="37">
        <v>0.59372800000000003</v>
      </c>
    </row>
    <row r="8246" spans="1:12" hidden="1" outlineLevel="1" x14ac:dyDescent="0.25">
      <c r="A8246" s="849">
        <v>0.03</v>
      </c>
      <c r="B8246" s="1012" t="s">
        <v>2786</v>
      </c>
      <c r="C8246" s="851">
        <v>643.33000000000004</v>
      </c>
      <c r="D8246" s="1026">
        <v>918.9</v>
      </c>
      <c r="E8246" s="909">
        <v>0.42834936968585313</v>
      </c>
      <c r="F8246" s="946">
        <v>1.2850481090575594E-2</v>
      </c>
      <c r="H8246" t="s">
        <v>4195</v>
      </c>
      <c r="I8246" s="256"/>
      <c r="J8246" s="256">
        <v>42125</v>
      </c>
      <c r="K8246">
        <v>160.9418</v>
      </c>
      <c r="L8246" s="37">
        <v>0.60941800000000002</v>
      </c>
    </row>
    <row r="8247" spans="1:12" hidden="1" outlineLevel="1" x14ac:dyDescent="0.25">
      <c r="A8247" s="849">
        <v>0.03</v>
      </c>
      <c r="B8247" s="1012" t="s">
        <v>3797</v>
      </c>
      <c r="C8247" s="851">
        <v>52.033299999999997</v>
      </c>
      <c r="D8247" s="1026">
        <v>73.25</v>
      </c>
      <c r="E8247" s="909">
        <v>0.40775234321098219</v>
      </c>
      <c r="F8247" s="946">
        <v>1.2232570296329466E-2</v>
      </c>
      <c r="H8247" t="s">
        <v>3848</v>
      </c>
      <c r="I8247" s="412"/>
      <c r="J8247" s="412" t="s">
        <v>2465</v>
      </c>
      <c r="L8247" s="362">
        <v>0.46179588888888884</v>
      </c>
    </row>
    <row r="8248" spans="1:12" hidden="1" outlineLevel="1" x14ac:dyDescent="0.25">
      <c r="A8248" s="849">
        <v>4.4999999999999998E-2</v>
      </c>
      <c r="B8248" s="1012" t="s">
        <v>1040</v>
      </c>
      <c r="C8248" s="851">
        <v>3956.0666700000002</v>
      </c>
      <c r="D8248" s="1026">
        <v>8704</v>
      </c>
      <c r="E8248" s="909">
        <v>1.2001651453462485</v>
      </c>
      <c r="F8248" s="946">
        <v>5.4007431540581179E-2</v>
      </c>
      <c r="H8248" t="s">
        <v>3540</v>
      </c>
      <c r="I8248" s="412"/>
      <c r="J8248" s="412" t="s">
        <v>5221</v>
      </c>
      <c r="L8248" s="261">
        <v>0.32325712222222219</v>
      </c>
    </row>
    <row r="8249" spans="1:12" hidden="1" outlineLevel="1" x14ac:dyDescent="0.25">
      <c r="A8249" s="849">
        <v>0.04</v>
      </c>
      <c r="B8249" s="1012" t="s">
        <v>2787</v>
      </c>
      <c r="C8249" s="851">
        <v>58.033299999999997</v>
      </c>
      <c r="D8249" s="1026">
        <v>89.4</v>
      </c>
      <c r="E8249" s="909">
        <v>0.54049485381668827</v>
      </c>
      <c r="F8249" s="946">
        <v>2.1619794152667533E-2</v>
      </c>
      <c r="H8249" t="s">
        <v>80</v>
      </c>
    </row>
    <row r="8250" spans="1:12" hidden="1" outlineLevel="1" x14ac:dyDescent="0.25">
      <c r="A8250" s="849">
        <v>0.03</v>
      </c>
      <c r="B8250" s="1012" t="s">
        <v>1414</v>
      </c>
      <c r="C8250" s="851">
        <v>17.596699999999998</v>
      </c>
      <c r="D8250" s="1026">
        <v>31.41</v>
      </c>
      <c r="E8250" s="909">
        <v>0.78499377724232411</v>
      </c>
      <c r="F8250" s="946">
        <v>2.3549813317269724E-2</v>
      </c>
      <c r="H8250" t="s">
        <v>2428</v>
      </c>
    </row>
    <row r="8251" spans="1:12" hidden="1" outlineLevel="1" x14ac:dyDescent="0.25">
      <c r="A8251" s="849">
        <v>3.5000000000000003E-2</v>
      </c>
      <c r="B8251" s="1012" t="s">
        <v>3800</v>
      </c>
      <c r="C8251" s="851">
        <v>174.26669999999999</v>
      </c>
      <c r="D8251" s="1026">
        <v>257</v>
      </c>
      <c r="E8251" s="909">
        <v>0.47475105685710473</v>
      </c>
      <c r="F8251" s="946">
        <v>1.6616286989998667E-2</v>
      </c>
      <c r="H8251" t="s">
        <v>2817</v>
      </c>
    </row>
    <row r="8252" spans="1:12" hidden="1" outlineLevel="1" x14ac:dyDescent="0.25">
      <c r="A8252" s="849">
        <v>0.03</v>
      </c>
      <c r="B8252" s="1012" t="s">
        <v>2728</v>
      </c>
      <c r="C8252" s="851">
        <v>56.716700000000003</v>
      </c>
      <c r="D8252" s="1026">
        <v>73.790000000000006</v>
      </c>
      <c r="E8252" s="909">
        <v>0.30102773962518969</v>
      </c>
      <c r="F8252" s="946">
        <v>9.0308321887556907E-3</v>
      </c>
      <c r="H8252" t="s">
        <v>258</v>
      </c>
    </row>
    <row r="8253" spans="1:12" hidden="1" outlineLevel="1" x14ac:dyDescent="0.25">
      <c r="A8253" s="849">
        <v>4.4999999999999998E-2</v>
      </c>
      <c r="B8253" s="1012" t="s">
        <v>1239</v>
      </c>
      <c r="C8253" s="851">
        <v>379.43329999999997</v>
      </c>
      <c r="D8253" s="1026">
        <v>486.2</v>
      </c>
      <c r="E8253" s="909">
        <v>0.28138463334662522</v>
      </c>
      <c r="F8253" s="946">
        <v>1.2662308500598135E-2</v>
      </c>
      <c r="H8253" t="s">
        <v>268</v>
      </c>
    </row>
    <row r="8254" spans="1:12" hidden="1" outlineLevel="1" x14ac:dyDescent="0.25">
      <c r="A8254" s="849">
        <v>3.5000000000000003E-2</v>
      </c>
      <c r="B8254" s="1012" t="s">
        <v>3022</v>
      </c>
      <c r="C8254" s="851">
        <v>4055</v>
      </c>
      <c r="D8254" s="1026">
        <v>5237</v>
      </c>
      <c r="E8254" s="909">
        <v>0.29149198520345254</v>
      </c>
      <c r="F8254" s="946">
        <v>1.020221948212084E-2</v>
      </c>
      <c r="H8254" t="s">
        <v>2802</v>
      </c>
    </row>
    <row r="8255" spans="1:12" hidden="1" outlineLevel="1" x14ac:dyDescent="0.25">
      <c r="A8255" s="849">
        <v>3.5000000000000003E-2</v>
      </c>
      <c r="B8255" s="1012" t="s">
        <v>577</v>
      </c>
      <c r="C8255" s="851">
        <v>17.2</v>
      </c>
      <c r="D8255" s="1026">
        <v>10.83</v>
      </c>
      <c r="E8255" s="909">
        <v>-0.37034883720930234</v>
      </c>
      <c r="F8255" s="946">
        <v>-1.2962209302325584E-2</v>
      </c>
      <c r="H8255" t="s">
        <v>2804</v>
      </c>
    </row>
    <row r="8256" spans="1:12" hidden="1" outlineLevel="1" x14ac:dyDescent="0.25">
      <c r="A8256" s="849">
        <v>3.5000000000000003E-2</v>
      </c>
      <c r="B8256" s="1012" t="s">
        <v>583</v>
      </c>
      <c r="C8256" s="851">
        <v>427.43</v>
      </c>
      <c r="D8256" s="1026">
        <v>183.2</v>
      </c>
      <c r="E8256" s="909">
        <v>-0.57139180684556545</v>
      </c>
      <c r="F8256" s="946">
        <v>-1.9998713239594793E-2</v>
      </c>
      <c r="H8256" t="s">
        <v>1594</v>
      </c>
    </row>
    <row r="8257" spans="1:8" hidden="1" outlineLevel="1" x14ac:dyDescent="0.25">
      <c r="A8257" s="990">
        <v>2.5000000000000001E-2</v>
      </c>
      <c r="B8257" s="1320" t="s">
        <v>507</v>
      </c>
      <c r="C8257" s="1041">
        <v>22.175000000000001</v>
      </c>
      <c r="D8257" s="1321">
        <v>35.89</v>
      </c>
      <c r="E8257" s="498">
        <v>0.61848928974069906</v>
      </c>
      <c r="F8257" s="946">
        <v>1.5462232243517476E-2</v>
      </c>
      <c r="H8257" t="s">
        <v>2810</v>
      </c>
    </row>
    <row r="8258" spans="1:8" hidden="1" outlineLevel="1" x14ac:dyDescent="0.25">
      <c r="A8258" s="1022"/>
      <c r="B8258" s="1022"/>
      <c r="C8258" s="1022"/>
      <c r="D8258" s="1022"/>
      <c r="E8258" s="1022"/>
      <c r="F8258" s="731">
        <v>0.3625489241107922</v>
      </c>
    </row>
    <row r="8259" spans="1:8" collapsed="1" x14ac:dyDescent="0.25">
      <c r="A8259" s="3801" t="s">
        <v>1374</v>
      </c>
      <c r="B8259" s="3802"/>
      <c r="C8259" s="3802"/>
      <c r="D8259" s="3802"/>
      <c r="E8259" s="721"/>
      <c r="F8259" s="752">
        <v>0.32329999999999998</v>
      </c>
      <c r="G8259" s="97" t="s">
        <v>781</v>
      </c>
    </row>
    <row r="8261" spans="1:8" hidden="1" outlineLevel="1" x14ac:dyDescent="0.25">
      <c r="A8261" s="689" t="s">
        <v>113</v>
      </c>
      <c r="B8261" s="689" t="s">
        <v>114</v>
      </c>
      <c r="C8261" s="689" t="s">
        <v>112</v>
      </c>
      <c r="D8261" s="689" t="s">
        <v>116</v>
      </c>
      <c r="E8261" s="689" t="s">
        <v>117</v>
      </c>
      <c r="F8261" s="1188" t="s">
        <v>121</v>
      </c>
      <c r="G8261" s="78"/>
    </row>
    <row r="8262" spans="1:8" hidden="1" outlineLevel="1" x14ac:dyDescent="0.25">
      <c r="A8262" s="695"/>
      <c r="B8262" s="695"/>
      <c r="C8262" s="696"/>
      <c r="D8262" s="697" t="s">
        <v>3702</v>
      </c>
      <c r="E8262" s="698">
        <v>41453</v>
      </c>
      <c r="F8262" s="699"/>
      <c r="G8262" s="78"/>
    </row>
    <row r="8263" spans="1:8" hidden="1" outlineLevel="1" x14ac:dyDescent="0.25">
      <c r="A8263" s="495" t="s">
        <v>4156</v>
      </c>
      <c r="B8263" s="689" t="s">
        <v>4153</v>
      </c>
      <c r="C8263" s="700" t="s">
        <v>112</v>
      </c>
      <c r="D8263" s="689" t="s">
        <v>4155</v>
      </c>
      <c r="E8263" s="495" t="s">
        <v>4154</v>
      </c>
      <c r="F8263" s="1021" t="s">
        <v>734</v>
      </c>
      <c r="G8263" s="78"/>
    </row>
    <row r="8264" spans="1:8" hidden="1" outlineLevel="1" x14ac:dyDescent="0.25">
      <c r="A8264" s="1236">
        <v>3.5000000000000003E-2</v>
      </c>
      <c r="B8264" s="1015" t="s">
        <v>1995</v>
      </c>
      <c r="C8264" s="848">
        <v>53.493999999999993</v>
      </c>
      <c r="D8264" s="708">
        <v>34.880000000000003</v>
      </c>
      <c r="E8264" s="705">
        <v>-0.34796425767375772</v>
      </c>
      <c r="F8264" s="1021">
        <v>-0.34796425767375772</v>
      </c>
      <c r="G8264" s="78"/>
      <c r="H8264" t="s">
        <v>2739</v>
      </c>
    </row>
    <row r="8265" spans="1:8" hidden="1" outlineLevel="1" x14ac:dyDescent="0.25">
      <c r="A8265" s="1237">
        <v>0.03</v>
      </c>
      <c r="B8265" s="1238" t="s">
        <v>3320</v>
      </c>
      <c r="C8265" s="851">
        <v>34.945999999999998</v>
      </c>
      <c r="D8265" s="708">
        <v>68.39</v>
      </c>
      <c r="E8265" s="709">
        <v>0.95701940136210162</v>
      </c>
      <c r="F8265" s="946">
        <v>0.06</v>
      </c>
      <c r="G8265" s="78"/>
      <c r="H8265" t="s">
        <v>4093</v>
      </c>
    </row>
    <row r="8266" spans="1:8" hidden="1" outlineLevel="1" x14ac:dyDescent="0.25">
      <c r="A8266" s="1237">
        <v>2.5000000000000001E-2</v>
      </c>
      <c r="B8266" s="1238" t="s">
        <v>157</v>
      </c>
      <c r="C8266" s="851">
        <v>9.5924000000000014</v>
      </c>
      <c r="D8266" s="708">
        <v>4.9020000000000001</v>
      </c>
      <c r="E8266" s="709">
        <v>-0.48897043492765113</v>
      </c>
      <c r="F8266" s="946">
        <v>-0.48897043492765113</v>
      </c>
      <c r="G8266" s="78"/>
      <c r="H8266" t="s">
        <v>730</v>
      </c>
    </row>
    <row r="8267" spans="1:8" hidden="1" outlineLevel="1" x14ac:dyDescent="0.25">
      <c r="A8267" s="1237">
        <v>0.03</v>
      </c>
      <c r="B8267" s="1238" t="s">
        <v>1188</v>
      </c>
      <c r="C8267" s="851">
        <v>566.17999999999995</v>
      </c>
      <c r="D8267" s="708">
        <v>455.25</v>
      </c>
      <c r="E8267" s="709">
        <v>-0.19592709032463163</v>
      </c>
      <c r="F8267" s="946">
        <v>-0.19592709032463163</v>
      </c>
      <c r="G8267" s="78"/>
      <c r="H8267" t="s">
        <v>2746</v>
      </c>
    </row>
    <row r="8268" spans="1:8" hidden="1" outlineLevel="1" x14ac:dyDescent="0.25">
      <c r="A8268" s="1237">
        <v>2.5000000000000001E-2</v>
      </c>
      <c r="B8268" s="1239" t="s">
        <v>4377</v>
      </c>
      <c r="C8268" s="851">
        <v>23.998000000000001</v>
      </c>
      <c r="D8268" s="708">
        <v>44.69</v>
      </c>
      <c r="E8268" s="709">
        <v>0.86223851987665623</v>
      </c>
      <c r="F8268" s="946">
        <v>0.06</v>
      </c>
      <c r="G8268" s="78"/>
      <c r="H8268" t="s">
        <v>4327</v>
      </c>
    </row>
    <row r="8269" spans="1:8" hidden="1" outlineLevel="1" x14ac:dyDescent="0.25">
      <c r="A8269" s="1237">
        <v>0.04</v>
      </c>
      <c r="B8269" s="1238" t="s">
        <v>4332</v>
      </c>
      <c r="C8269" s="851">
        <v>267.56</v>
      </c>
      <c r="D8269" s="708">
        <v>360.2</v>
      </c>
      <c r="E8269" s="709">
        <v>0.34624009567947378</v>
      </c>
      <c r="F8269" s="946">
        <v>0.06</v>
      </c>
      <c r="G8269" s="78"/>
      <c r="H8269" t="s">
        <v>4334</v>
      </c>
    </row>
    <row r="8270" spans="1:8" hidden="1" outlineLevel="1" x14ac:dyDescent="0.25">
      <c r="A8270" s="1237">
        <v>0.03</v>
      </c>
      <c r="B8270" s="1238" t="s">
        <v>1440</v>
      </c>
      <c r="C8270" s="851">
        <v>79.734000000000009</v>
      </c>
      <c r="D8270" s="708">
        <v>57.29</v>
      </c>
      <c r="E8270" s="709">
        <v>-0.28148594075300382</v>
      </c>
      <c r="F8270" s="946">
        <v>-0.28148594075300382</v>
      </c>
      <c r="G8270" s="78"/>
      <c r="H8270" t="s">
        <v>2569</v>
      </c>
    </row>
    <row r="8271" spans="1:8" hidden="1" outlineLevel="1" x14ac:dyDescent="0.25">
      <c r="A8271" s="1237">
        <v>2.5000000000000001E-2</v>
      </c>
      <c r="B8271" s="1238" t="s">
        <v>53</v>
      </c>
      <c r="C8271" s="851">
        <v>40.835999999999999</v>
      </c>
      <c r="D8271" s="708">
        <v>57.66</v>
      </c>
      <c r="E8271" s="709">
        <v>0.41198942109903025</v>
      </c>
      <c r="F8271" s="946">
        <v>0.06</v>
      </c>
      <c r="G8271" s="78"/>
      <c r="H8271" t="s">
        <v>2751</v>
      </c>
    </row>
    <row r="8272" spans="1:8" hidden="1" outlineLevel="1" x14ac:dyDescent="0.25">
      <c r="A8272" s="1237">
        <v>3.5000000000000003E-2</v>
      </c>
      <c r="B8272" s="1238" t="s">
        <v>2699</v>
      </c>
      <c r="C8272" s="851">
        <v>12.156000000000001</v>
      </c>
      <c r="D8272" s="708">
        <v>19.094999999999999</v>
      </c>
      <c r="E8272" s="709">
        <v>0.57082922013820325</v>
      </c>
      <c r="F8272" s="946">
        <v>0.06</v>
      </c>
      <c r="G8272" s="78"/>
      <c r="H8272" t="s">
        <v>505</v>
      </c>
    </row>
    <row r="8273" spans="1:8" hidden="1" outlineLevel="1" x14ac:dyDescent="0.25">
      <c r="A8273" s="1237">
        <v>0.03</v>
      </c>
      <c r="B8273" s="877" t="s">
        <v>3406</v>
      </c>
      <c r="C8273" s="851">
        <v>1013.4</v>
      </c>
      <c r="D8273" s="708">
        <v>1880</v>
      </c>
      <c r="E8273" s="709">
        <v>0.8551411091375567</v>
      </c>
      <c r="F8273" s="946">
        <v>0.06</v>
      </c>
      <c r="G8273" s="78"/>
      <c r="H8273" t="s">
        <v>2105</v>
      </c>
    </row>
    <row r="8274" spans="1:8" hidden="1" outlineLevel="1" x14ac:dyDescent="0.25">
      <c r="A8274" s="1237">
        <v>0.03</v>
      </c>
      <c r="B8274" s="1238" t="s">
        <v>4496</v>
      </c>
      <c r="C8274" s="851">
        <v>43.541999999999994</v>
      </c>
      <c r="D8274" s="708">
        <v>72.489999999999995</v>
      </c>
      <c r="E8274" s="709">
        <v>0.66482936015800842</v>
      </c>
      <c r="F8274" s="946">
        <v>0.06</v>
      </c>
      <c r="G8274" s="78"/>
      <c r="H8274" t="s">
        <v>2385</v>
      </c>
    </row>
    <row r="8275" spans="1:8" hidden="1" outlineLevel="1" x14ac:dyDescent="0.25">
      <c r="A8275" s="1237">
        <v>0.04</v>
      </c>
      <c r="B8275" s="853" t="s">
        <v>1031</v>
      </c>
      <c r="C8275" s="851">
        <v>5.8449999999999998</v>
      </c>
      <c r="D8275" s="708">
        <v>3.9239000000000002</v>
      </c>
      <c r="E8275" s="709">
        <v>-0.32867408041060731</v>
      </c>
      <c r="F8275" s="946">
        <v>-0.32867408041060731</v>
      </c>
      <c r="G8275" s="78"/>
      <c r="H8275" t="s">
        <v>4158</v>
      </c>
    </row>
    <row r="8276" spans="1:8" hidden="1" outlineLevel="1" x14ac:dyDescent="0.25">
      <c r="A8276" s="1237">
        <v>0.03</v>
      </c>
      <c r="B8276" s="1238" t="s">
        <v>4439</v>
      </c>
      <c r="C8276" s="851">
        <v>42.663000000000004</v>
      </c>
      <c r="D8276" s="708">
        <v>94.84</v>
      </c>
      <c r="E8276" s="709">
        <v>1.2230035393666641</v>
      </c>
      <c r="F8276" s="946">
        <v>0.06</v>
      </c>
      <c r="G8276" s="78"/>
      <c r="H8276" t="s">
        <v>3827</v>
      </c>
    </row>
    <row r="8277" spans="1:8" hidden="1" outlineLevel="1" x14ac:dyDescent="0.25">
      <c r="A8277" s="1237">
        <v>0.04</v>
      </c>
      <c r="B8277" s="877" t="s">
        <v>1381</v>
      </c>
      <c r="C8277" s="851">
        <v>59.13</v>
      </c>
      <c r="D8277" s="708">
        <v>97.14</v>
      </c>
      <c r="E8277" s="709">
        <v>0.64282090309487572</v>
      </c>
      <c r="F8277" s="946">
        <v>0.06</v>
      </c>
      <c r="G8277" s="78"/>
      <c r="H8277" t="s">
        <v>1383</v>
      </c>
    </row>
    <row r="8278" spans="1:8" hidden="1" outlineLevel="1" x14ac:dyDescent="0.25">
      <c r="A8278" s="1237">
        <v>0.04</v>
      </c>
      <c r="B8278" s="1238" t="s">
        <v>4034</v>
      </c>
      <c r="C8278" s="851">
        <v>9.0198</v>
      </c>
      <c r="D8278" s="708">
        <v>11.435</v>
      </c>
      <c r="E8278" s="709">
        <v>0.26776646932304482</v>
      </c>
      <c r="F8278" s="946">
        <v>0.06</v>
      </c>
      <c r="G8278" s="78"/>
      <c r="H8278" t="s">
        <v>4035</v>
      </c>
    </row>
    <row r="8279" spans="1:8" hidden="1" outlineLevel="1" x14ac:dyDescent="0.25">
      <c r="A8279" s="1237">
        <v>3.5000000000000003E-2</v>
      </c>
      <c r="B8279" s="1238" t="s">
        <v>4143</v>
      </c>
      <c r="C8279" s="851">
        <v>11.558</v>
      </c>
      <c r="D8279" s="708">
        <v>2.7519999999999998</v>
      </c>
      <c r="E8279" s="709">
        <v>-0.76189652188960033</v>
      </c>
      <c r="F8279" s="946">
        <v>-0.76189652188960033</v>
      </c>
      <c r="G8279" s="78"/>
      <c r="H8279" t="s">
        <v>4144</v>
      </c>
    </row>
    <row r="8280" spans="1:8" hidden="1" outlineLevel="1" x14ac:dyDescent="0.25">
      <c r="A8280" s="1237">
        <v>2.5000000000000001E-2</v>
      </c>
      <c r="B8280" s="1238" t="s">
        <v>2160</v>
      </c>
      <c r="C8280" s="851">
        <v>28.724</v>
      </c>
      <c r="D8280" s="708">
        <v>55.87</v>
      </c>
      <c r="E8280" s="709">
        <v>0.94506336164879534</v>
      </c>
      <c r="F8280" s="946">
        <v>0.06</v>
      </c>
      <c r="G8280" s="78"/>
      <c r="H8280" t="s">
        <v>5507</v>
      </c>
    </row>
    <row r="8281" spans="1:8" hidden="1" outlineLevel="1" x14ac:dyDescent="0.25">
      <c r="A8281" s="1237">
        <v>0.04</v>
      </c>
      <c r="B8281" s="1238" t="s">
        <v>816</v>
      </c>
      <c r="C8281" s="851">
        <v>63.38</v>
      </c>
      <c r="D8281" s="708">
        <v>99</v>
      </c>
      <c r="E8281" s="709">
        <v>0.56200694225307668</v>
      </c>
      <c r="F8281" s="946">
        <v>0.06</v>
      </c>
      <c r="G8281" s="78"/>
      <c r="H8281" t="s">
        <v>817</v>
      </c>
    </row>
    <row r="8282" spans="1:8" hidden="1" outlineLevel="1" x14ac:dyDescent="0.25">
      <c r="A8282" s="1237">
        <v>0.03</v>
      </c>
      <c r="B8282" s="1238" t="s">
        <v>2786</v>
      </c>
      <c r="C8282" s="851">
        <v>626.70000000000005</v>
      </c>
      <c r="D8282" s="708">
        <v>746</v>
      </c>
      <c r="E8282" s="709">
        <v>0.19036221477580972</v>
      </c>
      <c r="F8282" s="946">
        <v>0.06</v>
      </c>
      <c r="G8282" s="78"/>
      <c r="H8282" t="s">
        <v>4195</v>
      </c>
    </row>
    <row r="8283" spans="1:8" hidden="1" outlineLevel="1" x14ac:dyDescent="0.25">
      <c r="A8283" s="1237">
        <v>0.03</v>
      </c>
      <c r="B8283" s="1238" t="s">
        <v>3797</v>
      </c>
      <c r="C8283" s="851">
        <v>49.095999999999997</v>
      </c>
      <c r="D8283" s="708">
        <v>61.95</v>
      </c>
      <c r="E8283" s="709">
        <v>0.26181358970180879</v>
      </c>
      <c r="F8283" s="946">
        <v>0.06</v>
      </c>
      <c r="G8283" s="78"/>
      <c r="H8283" t="s">
        <v>3848</v>
      </c>
    </row>
    <row r="8284" spans="1:8" hidden="1" outlineLevel="1" x14ac:dyDescent="0.25">
      <c r="A8284" s="1237">
        <v>4.4999999999999998E-2</v>
      </c>
      <c r="B8284" s="1238" t="s">
        <v>1040</v>
      </c>
      <c r="C8284" s="851">
        <v>3954</v>
      </c>
      <c r="D8284" s="708">
        <v>5140</v>
      </c>
      <c r="E8284" s="709">
        <v>0.29994941831057154</v>
      </c>
      <c r="F8284" s="946">
        <v>0.06</v>
      </c>
      <c r="G8284" s="78"/>
      <c r="H8284" t="s">
        <v>3540</v>
      </c>
    </row>
    <row r="8285" spans="1:8" hidden="1" outlineLevel="1" x14ac:dyDescent="0.25">
      <c r="A8285" s="1237">
        <v>0.04</v>
      </c>
      <c r="B8285" s="1238" t="s">
        <v>2787</v>
      </c>
      <c r="C8285" s="851">
        <v>57.1</v>
      </c>
      <c r="D8285" s="708">
        <v>67.099999999999994</v>
      </c>
      <c r="E8285" s="709">
        <v>0.17513134851138346</v>
      </c>
      <c r="F8285" s="946">
        <v>0.06</v>
      </c>
      <c r="G8285" s="78"/>
      <c r="H8285" t="s">
        <v>80</v>
      </c>
    </row>
    <row r="8286" spans="1:8" hidden="1" outlineLevel="1" x14ac:dyDescent="0.25">
      <c r="A8286" s="1237">
        <v>0.03</v>
      </c>
      <c r="B8286" s="1238" t="s">
        <v>1414</v>
      </c>
      <c r="C8286" s="851">
        <v>17.857999999999997</v>
      </c>
      <c r="D8286" s="708">
        <v>28.01</v>
      </c>
      <c r="E8286" s="709">
        <v>0.56848471273378909</v>
      </c>
      <c r="F8286" s="946">
        <v>0.06</v>
      </c>
      <c r="G8286" s="78"/>
      <c r="H8286" t="s">
        <v>2428</v>
      </c>
    </row>
    <row r="8287" spans="1:8" hidden="1" outlineLevel="1" x14ac:dyDescent="0.25">
      <c r="A8287" s="1237">
        <v>3.5000000000000003E-2</v>
      </c>
      <c r="B8287" s="1238" t="s">
        <v>3800</v>
      </c>
      <c r="C8287" s="851">
        <v>175.12</v>
      </c>
      <c r="D8287" s="708">
        <v>235</v>
      </c>
      <c r="E8287" s="709">
        <v>0.34193695751484698</v>
      </c>
      <c r="F8287" s="946">
        <v>0.06</v>
      </c>
      <c r="G8287" s="78"/>
      <c r="H8287" t="s">
        <v>2817</v>
      </c>
    </row>
    <row r="8288" spans="1:8" hidden="1" outlineLevel="1" x14ac:dyDescent="0.25">
      <c r="A8288" s="1237">
        <v>0.03</v>
      </c>
      <c r="B8288" s="1238" t="s">
        <v>2728</v>
      </c>
      <c r="C8288" s="851">
        <v>53.941999999999993</v>
      </c>
      <c r="D8288" s="708">
        <v>61.28</v>
      </c>
      <c r="E8288" s="709">
        <v>0.13603500055615303</v>
      </c>
      <c r="F8288" s="946">
        <v>0.06</v>
      </c>
      <c r="G8288" s="78"/>
      <c r="H8288" t="s">
        <v>258</v>
      </c>
    </row>
    <row r="8289" spans="1:8" hidden="1" outlineLevel="1" x14ac:dyDescent="0.25">
      <c r="A8289" s="1237">
        <v>4.4999999999999998E-2</v>
      </c>
      <c r="B8289" s="1238" t="s">
        <v>1239</v>
      </c>
      <c r="C8289" s="851">
        <v>384.18</v>
      </c>
      <c r="D8289" s="708">
        <v>413.6</v>
      </c>
      <c r="E8289" s="709">
        <v>7.6578687073767471E-2</v>
      </c>
      <c r="F8289" s="946">
        <v>0.06</v>
      </c>
      <c r="G8289" s="78"/>
      <c r="H8289" t="s">
        <v>268</v>
      </c>
    </row>
    <row r="8290" spans="1:8" hidden="1" outlineLevel="1" x14ac:dyDescent="0.25">
      <c r="A8290" s="1237">
        <v>3.5000000000000003E-2</v>
      </c>
      <c r="B8290" s="1238" t="s">
        <v>3022</v>
      </c>
      <c r="C8290" s="851">
        <v>3941</v>
      </c>
      <c r="D8290" s="708">
        <v>4480</v>
      </c>
      <c r="E8290" s="709">
        <v>0.13676731793960917</v>
      </c>
      <c r="F8290" s="946">
        <v>0.06</v>
      </c>
      <c r="G8290" s="78"/>
      <c r="H8290" t="s">
        <v>2802</v>
      </c>
    </row>
    <row r="8291" spans="1:8" hidden="1" outlineLevel="1" x14ac:dyDescent="0.25">
      <c r="A8291" s="1237">
        <v>3.5000000000000003E-2</v>
      </c>
      <c r="B8291" s="1238" t="s">
        <v>577</v>
      </c>
      <c r="C8291" s="851">
        <v>16.726000000000003</v>
      </c>
      <c r="D8291" s="708">
        <v>9.8450000000000006</v>
      </c>
      <c r="E8291" s="742">
        <v>-0.41139543226115038</v>
      </c>
      <c r="F8291" s="946">
        <v>-0.41139543226115038</v>
      </c>
      <c r="G8291" s="78"/>
      <c r="H8291" t="s">
        <v>2804</v>
      </c>
    </row>
    <row r="8292" spans="1:8" hidden="1" outlineLevel="1" x14ac:dyDescent="0.25">
      <c r="A8292" s="1237">
        <v>3.5000000000000003E-2</v>
      </c>
      <c r="B8292" s="1238" t="s">
        <v>583</v>
      </c>
      <c r="C8292" s="851">
        <v>416.19</v>
      </c>
      <c r="D8292" s="708">
        <v>331.4</v>
      </c>
      <c r="E8292" s="742">
        <v>-0.20372906605156305</v>
      </c>
      <c r="F8292" s="946">
        <v>-0.20372906605156305</v>
      </c>
      <c r="G8292" s="78"/>
      <c r="H8292" t="s">
        <v>1594</v>
      </c>
    </row>
    <row r="8293" spans="1:8" hidden="1" outlineLevel="1" x14ac:dyDescent="0.25">
      <c r="A8293" s="1240">
        <v>2.5000000000000001E-2</v>
      </c>
      <c r="B8293" s="1238" t="s">
        <v>507</v>
      </c>
      <c r="C8293" s="1041">
        <v>21.246999999999996</v>
      </c>
      <c r="D8293" s="1199">
        <v>30.254999999999999</v>
      </c>
      <c r="E8293" s="748">
        <v>0.42396573633924817</v>
      </c>
      <c r="F8293" s="1023">
        <v>0.06</v>
      </c>
      <c r="G8293" s="78"/>
      <c r="H8293" t="s">
        <v>2810</v>
      </c>
    </row>
    <row r="8294" spans="1:8" hidden="1" outlineLevel="1" x14ac:dyDescent="0.25">
      <c r="A8294" s="1233" t="s">
        <v>2465</v>
      </c>
      <c r="B8294" s="1241"/>
      <c r="C8294" s="1206"/>
      <c r="D8294" s="886"/>
      <c r="E8294" s="720">
        <v>0.24515006150275534</v>
      </c>
      <c r="F8294" s="1232">
        <v>-5.5968099747607136E-2</v>
      </c>
      <c r="G8294" s="78"/>
    </row>
    <row r="8295" spans="1:8" hidden="1" outlineLevel="1" x14ac:dyDescent="0.25">
      <c r="A8295" s="1017"/>
      <c r="B8295" s="1018"/>
      <c r="C8295" s="837"/>
      <c r="D8295" s="798"/>
      <c r="E8295" s="709"/>
      <c r="F8295" s="1666"/>
      <c r="G8295" s="78"/>
    </row>
    <row r="8296" spans="1:8" hidden="1" outlineLevel="1" x14ac:dyDescent="0.25">
      <c r="A8296" s="725" t="s">
        <v>113</v>
      </c>
      <c r="B8296" s="725"/>
      <c r="C8296" s="1019"/>
      <c r="D8296" s="1019"/>
      <c r="E8296" s="729"/>
      <c r="F8296" s="1188"/>
      <c r="G8296" s="78"/>
    </row>
    <row r="8297" spans="1:8" hidden="1" outlineLevel="1" x14ac:dyDescent="0.25">
      <c r="A8297" s="732" t="s">
        <v>2475</v>
      </c>
      <c r="B8297" s="690"/>
      <c r="C8297" s="691"/>
      <c r="D8297" s="691"/>
      <c r="E8297" s="691"/>
      <c r="F8297" s="1021">
        <v>3.5000000000000003E-2</v>
      </c>
      <c r="G8297" s="78"/>
    </row>
    <row r="8298" spans="1:8" hidden="1" outlineLevel="1" x14ac:dyDescent="0.25">
      <c r="A8298" s="732" t="s">
        <v>2476</v>
      </c>
      <c r="B8298" s="706"/>
      <c r="C8298" s="1022"/>
      <c r="D8298" s="1022"/>
      <c r="E8298" s="1022"/>
      <c r="F8298" s="946">
        <v>5.0000000000000001E-3</v>
      </c>
      <c r="G8298" s="78"/>
    </row>
    <row r="8299" spans="1:8" hidden="1" outlineLevel="1" x14ac:dyDescent="0.25">
      <c r="A8299" s="732" t="s">
        <v>2477</v>
      </c>
      <c r="B8299" s="706"/>
      <c r="C8299" s="1022"/>
      <c r="D8299" s="1022"/>
      <c r="E8299" s="1022"/>
      <c r="F8299" s="946">
        <v>5.0000000000000001E-3</v>
      </c>
      <c r="G8299" s="78"/>
    </row>
    <row r="8300" spans="1:8" collapsed="1" x14ac:dyDescent="0.25">
      <c r="A8300" s="3803" t="s">
        <v>2474</v>
      </c>
      <c r="B8300" s="3804"/>
      <c r="C8300" s="3804"/>
      <c r="D8300" s="1019"/>
      <c r="E8300" s="1019"/>
      <c r="F8300" s="934">
        <v>4.4999999999999998E-2</v>
      </c>
      <c r="G8300" s="97" t="s">
        <v>781</v>
      </c>
    </row>
    <row r="8302" spans="1:8" hidden="1" outlineLevel="1" x14ac:dyDescent="0.25">
      <c r="A8302" s="689" t="s">
        <v>113</v>
      </c>
      <c r="B8302" s="689" t="s">
        <v>114</v>
      </c>
      <c r="C8302" s="689" t="s">
        <v>112</v>
      </c>
      <c r="D8302" s="689" t="s">
        <v>116</v>
      </c>
      <c r="E8302" s="689" t="s">
        <v>117</v>
      </c>
      <c r="F8302" s="1188" t="s">
        <v>121</v>
      </c>
    </row>
    <row r="8303" spans="1:8" hidden="1" outlineLevel="1" x14ac:dyDescent="0.25">
      <c r="A8303" s="751" t="s">
        <v>1457</v>
      </c>
      <c r="B8303" s="729" t="s">
        <v>115</v>
      </c>
      <c r="C8303" s="1105">
        <v>2896.2469999999998</v>
      </c>
      <c r="D8303" s="1105">
        <v>2949.65</v>
      </c>
      <c r="E8303" s="907">
        <f>IF(D8303="","",D8303/C8303-1)</f>
        <v>1.8438689794068042E-2</v>
      </c>
      <c r="F8303" s="731">
        <f>IF(E8303="","",IF(E8303&lt;0%,E8303,0%))</f>
        <v>0</v>
      </c>
    </row>
    <row r="8304" spans="1:8" hidden="1" outlineLevel="1" x14ac:dyDescent="0.25">
      <c r="A8304" s="751" t="s">
        <v>1458</v>
      </c>
      <c r="B8304" s="729" t="s">
        <v>115</v>
      </c>
      <c r="C8304" s="1105">
        <v>2949.65</v>
      </c>
      <c r="D8304" s="1105">
        <v>2633.92</v>
      </c>
      <c r="E8304" s="907">
        <f t="shared" ref="E8304:E8334" si="194">IF(D8304="","",D8304/C8304-1)</f>
        <v>-0.10703981828352516</v>
      </c>
      <c r="F8304" s="731">
        <f t="shared" ref="F8304:F8334" si="195">IF(E8304="","",IF(E8304&lt;0%,E8304,0%))</f>
        <v>-0.10703981828352516</v>
      </c>
    </row>
    <row r="8305" spans="1:6" hidden="1" outlineLevel="1" x14ac:dyDescent="0.25">
      <c r="A8305" s="751" t="s">
        <v>1459</v>
      </c>
      <c r="B8305" s="729" t="s">
        <v>115</v>
      </c>
      <c r="C8305" s="1105">
        <v>2633.92</v>
      </c>
      <c r="D8305" s="1105">
        <v>2683.46</v>
      </c>
      <c r="E8305" s="907">
        <f t="shared" si="194"/>
        <v>1.8808467986878963E-2</v>
      </c>
      <c r="F8305" s="731">
        <f t="shared" si="195"/>
        <v>0</v>
      </c>
    </row>
    <row r="8306" spans="1:6" hidden="1" outlineLevel="1" x14ac:dyDescent="0.25">
      <c r="A8306" s="751" t="s">
        <v>1460</v>
      </c>
      <c r="B8306" s="729" t="s">
        <v>115</v>
      </c>
      <c r="C8306" s="1105">
        <v>2683.46</v>
      </c>
      <c r="D8306" s="1105">
        <v>2738.96</v>
      </c>
      <c r="E8306" s="907">
        <f t="shared" si="194"/>
        <v>2.0682253508530035E-2</v>
      </c>
      <c r="F8306" s="731">
        <f t="shared" si="195"/>
        <v>0</v>
      </c>
    </row>
    <row r="8307" spans="1:6" hidden="1" outlineLevel="1" x14ac:dyDescent="0.25">
      <c r="A8307" s="751" t="s">
        <v>1461</v>
      </c>
      <c r="B8307" s="729" t="s">
        <v>115</v>
      </c>
      <c r="C8307" s="1105">
        <v>2738.96</v>
      </c>
      <c r="D8307" s="1105">
        <v>2708.83</v>
      </c>
      <c r="E8307" s="907">
        <f t="shared" si="194"/>
        <v>-1.1000525746998946E-2</v>
      </c>
      <c r="F8307" s="731">
        <f t="shared" si="195"/>
        <v>-1.1000525746998946E-2</v>
      </c>
    </row>
    <row r="8308" spans="1:6" hidden="1" outlineLevel="1" x14ac:dyDescent="0.25">
      <c r="A8308" s="751" t="s">
        <v>1462</v>
      </c>
      <c r="B8308" s="729" t="s">
        <v>115</v>
      </c>
      <c r="C8308" s="1105">
        <v>2708.83</v>
      </c>
      <c r="D8308" s="1105">
        <v>2806.47</v>
      </c>
      <c r="E8308" s="907">
        <f t="shared" si="194"/>
        <v>3.6045082194157585E-2</v>
      </c>
      <c r="F8308" s="731">
        <f t="shared" si="195"/>
        <v>0</v>
      </c>
    </row>
    <row r="8309" spans="1:6" hidden="1" outlineLevel="1" x14ac:dyDescent="0.25">
      <c r="A8309" s="751" t="s">
        <v>1463</v>
      </c>
      <c r="B8309" s="729" t="s">
        <v>115</v>
      </c>
      <c r="C8309" s="1105">
        <v>2806.47</v>
      </c>
      <c r="D8309" s="1105">
        <v>2836.11</v>
      </c>
      <c r="E8309" s="907">
        <f t="shared" si="194"/>
        <v>1.0561310115554612E-2</v>
      </c>
      <c r="F8309" s="731">
        <f t="shared" si="195"/>
        <v>0</v>
      </c>
    </row>
    <row r="8310" spans="1:6" hidden="1" outlineLevel="1" x14ac:dyDescent="0.25">
      <c r="A8310" s="751" t="s">
        <v>1464</v>
      </c>
      <c r="B8310" s="729" t="s">
        <v>115</v>
      </c>
      <c r="C8310" s="1105">
        <v>2836.11</v>
      </c>
      <c r="D8310" s="1105">
        <v>2822.43</v>
      </c>
      <c r="E8310" s="907">
        <f t="shared" si="194"/>
        <v>-4.8235082560268427E-3</v>
      </c>
      <c r="F8310" s="731">
        <f t="shared" si="195"/>
        <v>-4.8235082560268427E-3</v>
      </c>
    </row>
    <row r="8311" spans="1:6" hidden="1" outlineLevel="1" x14ac:dyDescent="0.25">
      <c r="A8311" s="751" t="s">
        <v>1465</v>
      </c>
      <c r="B8311" s="729" t="s">
        <v>115</v>
      </c>
      <c r="C8311" s="1105">
        <v>2822.43</v>
      </c>
      <c r="D8311" s="1105">
        <v>2861.67</v>
      </c>
      <c r="E8311" s="907">
        <f t="shared" si="194"/>
        <v>1.3902913446923515E-2</v>
      </c>
      <c r="F8311" s="731">
        <f t="shared" si="195"/>
        <v>0</v>
      </c>
    </row>
    <row r="8312" spans="1:6" hidden="1" outlineLevel="1" x14ac:dyDescent="0.25">
      <c r="A8312" s="751" t="s">
        <v>1466</v>
      </c>
      <c r="B8312" s="729" t="s">
        <v>115</v>
      </c>
      <c r="C8312" s="1105">
        <v>2861.67</v>
      </c>
      <c r="D8312" s="1105">
        <v>2920.4</v>
      </c>
      <c r="E8312" s="907">
        <f t="shared" si="194"/>
        <v>2.0522981336072998E-2</v>
      </c>
      <c r="F8312" s="731">
        <f t="shared" si="195"/>
        <v>0</v>
      </c>
    </row>
    <row r="8313" spans="1:6" hidden="1" outlineLevel="1" x14ac:dyDescent="0.25">
      <c r="A8313" s="751" t="s">
        <v>2175</v>
      </c>
      <c r="B8313" s="729" t="s">
        <v>115</v>
      </c>
      <c r="C8313" s="1105">
        <v>2920.4</v>
      </c>
      <c r="D8313" s="1105">
        <v>3018.38</v>
      </c>
      <c r="E8313" s="907">
        <f t="shared" si="194"/>
        <v>3.3550198602931181E-2</v>
      </c>
      <c r="F8313" s="731">
        <f t="shared" si="195"/>
        <v>0</v>
      </c>
    </row>
    <row r="8314" spans="1:6" hidden="1" outlineLevel="1" x14ac:dyDescent="0.25">
      <c r="A8314" s="751" t="s">
        <v>2176</v>
      </c>
      <c r="B8314" s="729" t="s">
        <v>115</v>
      </c>
      <c r="C8314" s="1105">
        <v>3018.38</v>
      </c>
      <c r="D8314" s="1105">
        <v>2852.11</v>
      </c>
      <c r="E8314" s="907">
        <f t="shared" si="194"/>
        <v>-5.5085840749011017E-2</v>
      </c>
      <c r="F8314" s="731">
        <f t="shared" si="195"/>
        <v>-5.5085840749011017E-2</v>
      </c>
    </row>
    <row r="8315" spans="1:6" hidden="1" outlineLevel="1" x14ac:dyDescent="0.25">
      <c r="A8315" s="751" t="s">
        <v>2177</v>
      </c>
      <c r="B8315" s="729" t="s">
        <v>115</v>
      </c>
      <c r="C8315" s="1105">
        <v>2852.11</v>
      </c>
      <c r="D8315" s="1105">
        <v>2917.72</v>
      </c>
      <c r="E8315" s="907">
        <f t="shared" si="194"/>
        <v>2.3004021584020151E-2</v>
      </c>
      <c r="F8315" s="731">
        <f t="shared" si="195"/>
        <v>0</v>
      </c>
    </row>
    <row r="8316" spans="1:6" hidden="1" outlineLevel="1" x14ac:dyDescent="0.25">
      <c r="A8316" s="751" t="s">
        <v>2178</v>
      </c>
      <c r="B8316" s="729" t="s">
        <v>115</v>
      </c>
      <c r="C8316" s="1105">
        <v>2917.72</v>
      </c>
      <c r="D8316" s="1105">
        <v>2894.6</v>
      </c>
      <c r="E8316" s="907">
        <f t="shared" si="194"/>
        <v>-7.9239954485008646E-3</v>
      </c>
      <c r="F8316" s="731">
        <f t="shared" si="195"/>
        <v>-7.9239954485008646E-3</v>
      </c>
    </row>
    <row r="8317" spans="1:6" hidden="1" outlineLevel="1" x14ac:dyDescent="0.25">
      <c r="A8317" s="751" t="s">
        <v>2179</v>
      </c>
      <c r="B8317" s="729" t="s">
        <v>115</v>
      </c>
      <c r="C8317" s="1105">
        <v>2894.6</v>
      </c>
      <c r="D8317" s="1105">
        <v>2779.94</v>
      </c>
      <c r="E8317" s="907">
        <f t="shared" si="194"/>
        <v>-3.9611690734471017E-2</v>
      </c>
      <c r="F8317" s="731">
        <f t="shared" si="195"/>
        <v>-3.9611690734471017E-2</v>
      </c>
    </row>
    <row r="8318" spans="1:6" hidden="1" outlineLevel="1" x14ac:dyDescent="0.25">
      <c r="A8318" s="751" t="s">
        <v>2180</v>
      </c>
      <c r="B8318" s="729" t="s">
        <v>115</v>
      </c>
      <c r="C8318" s="1105">
        <v>2779.94</v>
      </c>
      <c r="D8318" s="1105">
        <v>2695.29</v>
      </c>
      <c r="E8318" s="907">
        <f t="shared" si="194"/>
        <v>-3.0450297488435085E-2</v>
      </c>
      <c r="F8318" s="731">
        <f t="shared" si="195"/>
        <v>-3.0450297488435085E-2</v>
      </c>
    </row>
    <row r="8319" spans="1:6" hidden="1" outlineLevel="1" x14ac:dyDescent="0.25">
      <c r="A8319" s="751" t="s">
        <v>2181</v>
      </c>
      <c r="B8319" s="729" t="s">
        <v>115</v>
      </c>
      <c r="C8319" s="1105">
        <v>2695.29</v>
      </c>
      <c r="D8319" s="1105">
        <v>2307.33</v>
      </c>
      <c r="E8319" s="907">
        <f t="shared" si="194"/>
        <v>-0.14393998419465071</v>
      </c>
      <c r="F8319" s="731">
        <f t="shared" si="195"/>
        <v>-0.14393998419465071</v>
      </c>
    </row>
    <row r="8320" spans="1:6" hidden="1" outlineLevel="1" x14ac:dyDescent="0.25">
      <c r="A8320" s="751" t="s">
        <v>3770</v>
      </c>
      <c r="B8320" s="729" t="s">
        <v>115</v>
      </c>
      <c r="C8320" s="1105">
        <v>2307.33</v>
      </c>
      <c r="D8320" s="1105">
        <v>2083.38</v>
      </c>
      <c r="E8320" s="907">
        <f t="shared" si="194"/>
        <v>-9.706023845743772E-2</v>
      </c>
      <c r="F8320" s="731">
        <f t="shared" si="195"/>
        <v>-9.706023845743772E-2</v>
      </c>
    </row>
    <row r="8321" spans="1:7" hidden="1" outlineLevel="1" x14ac:dyDescent="0.25">
      <c r="A8321" s="751" t="s">
        <v>2419</v>
      </c>
      <c r="B8321" s="729" t="s">
        <v>115</v>
      </c>
      <c r="C8321" s="1105">
        <v>2083.38</v>
      </c>
      <c r="D8321" s="1105">
        <v>2355.48</v>
      </c>
      <c r="E8321" s="907">
        <f>IF(D8321="","",D8321/C8321-1)</f>
        <v>0.13060507444633229</v>
      </c>
      <c r="F8321" s="731">
        <f t="shared" si="195"/>
        <v>0</v>
      </c>
    </row>
    <row r="8322" spans="1:7" hidden="1" outlineLevel="1" x14ac:dyDescent="0.25">
      <c r="A8322" s="751" t="s">
        <v>2420</v>
      </c>
      <c r="B8322" s="729" t="s">
        <v>115</v>
      </c>
      <c r="C8322" s="1105">
        <v>2355.48</v>
      </c>
      <c r="D8322" s="1105">
        <v>2288.3200000000002</v>
      </c>
      <c r="E8322" s="907">
        <f t="shared" si="194"/>
        <v>-2.8512235298113309E-2</v>
      </c>
      <c r="F8322" s="731">
        <f t="shared" si="195"/>
        <v>-2.8512235298113309E-2</v>
      </c>
    </row>
    <row r="8323" spans="1:7" hidden="1" outlineLevel="1" x14ac:dyDescent="0.25">
      <c r="A8323" s="751" t="s">
        <v>696</v>
      </c>
      <c r="B8323" s="729" t="s">
        <v>115</v>
      </c>
      <c r="C8323" s="1105">
        <v>2288.3200000000002</v>
      </c>
      <c r="D8323" s="1105">
        <v>2205.91</v>
      </c>
      <c r="E8323" s="907">
        <f t="shared" si="194"/>
        <v>-3.601331981541056E-2</v>
      </c>
      <c r="F8323" s="731">
        <f t="shared" si="195"/>
        <v>-3.601331981541056E-2</v>
      </c>
    </row>
    <row r="8324" spans="1:7" hidden="1" outlineLevel="1" x14ac:dyDescent="0.25">
      <c r="A8324" s="751" t="s">
        <v>697</v>
      </c>
      <c r="B8324" s="729" t="s">
        <v>115</v>
      </c>
      <c r="C8324" s="1105">
        <v>2205.91</v>
      </c>
      <c r="D8324" s="1105">
        <v>2338.0100000000002</v>
      </c>
      <c r="E8324" s="907">
        <f t="shared" si="194"/>
        <v>5.9884582779895945E-2</v>
      </c>
      <c r="F8324" s="731">
        <f t="shared" si="195"/>
        <v>0</v>
      </c>
    </row>
    <row r="8325" spans="1:7" hidden="1" outlineLevel="1" x14ac:dyDescent="0.25">
      <c r="A8325" s="751" t="s">
        <v>698</v>
      </c>
      <c r="B8325" s="729" t="s">
        <v>115</v>
      </c>
      <c r="C8325" s="1105">
        <v>2338.0100000000002</v>
      </c>
      <c r="D8325" s="1105">
        <v>2488.29</v>
      </c>
      <c r="E8325" s="907">
        <f t="shared" si="194"/>
        <v>6.4276885043263121E-2</v>
      </c>
      <c r="F8325" s="731">
        <f t="shared" si="195"/>
        <v>0</v>
      </c>
    </row>
    <row r="8326" spans="1:7" hidden="1" outlineLevel="1" x14ac:dyDescent="0.25">
      <c r="A8326" s="751" t="s">
        <v>513</v>
      </c>
      <c r="B8326" s="729" t="s">
        <v>115</v>
      </c>
      <c r="C8326" s="1105">
        <v>2488.29</v>
      </c>
      <c r="D8326" s="1105">
        <v>2574.79</v>
      </c>
      <c r="E8326" s="907">
        <f t="shared" si="194"/>
        <v>3.4762829091464331E-2</v>
      </c>
      <c r="F8326" s="731">
        <f t="shared" si="195"/>
        <v>0</v>
      </c>
    </row>
    <row r="8327" spans="1:7" hidden="1" outlineLevel="1" x14ac:dyDescent="0.25">
      <c r="A8327" s="751" t="s">
        <v>514</v>
      </c>
      <c r="B8327" s="729" t="s">
        <v>115</v>
      </c>
      <c r="C8327" s="1105">
        <v>2574.79</v>
      </c>
      <c r="D8327" s="1105">
        <v>2367.0500000000002</v>
      </c>
      <c r="E8327" s="907">
        <f t="shared" si="194"/>
        <v>-8.0682308071726161E-2</v>
      </c>
      <c r="F8327" s="731">
        <f t="shared" si="195"/>
        <v>-8.0682308071726161E-2</v>
      </c>
    </row>
    <row r="8328" spans="1:7" hidden="1" outlineLevel="1" x14ac:dyDescent="0.25">
      <c r="A8328" s="751" t="s">
        <v>515</v>
      </c>
      <c r="B8328" s="729" t="s">
        <v>115</v>
      </c>
      <c r="C8328" s="1105">
        <v>2367.0500000000002</v>
      </c>
      <c r="D8328" s="1105">
        <v>2201.9499999999998</v>
      </c>
      <c r="E8328" s="907">
        <f t="shared" si="194"/>
        <v>-6.9749265963963691E-2</v>
      </c>
      <c r="F8328" s="731">
        <f t="shared" si="195"/>
        <v>-6.9749265963963691E-2</v>
      </c>
    </row>
    <row r="8329" spans="1:7" hidden="1" outlineLevel="1" x14ac:dyDescent="0.25">
      <c r="A8329" s="751" t="s">
        <v>516</v>
      </c>
      <c r="B8329" s="729" t="s">
        <v>115</v>
      </c>
      <c r="C8329" s="1105">
        <v>2201.9499999999998</v>
      </c>
      <c r="D8329" s="1105">
        <v>2288.3200000000002</v>
      </c>
      <c r="E8329" s="907">
        <f t="shared" si="194"/>
        <v>3.9224323894729851E-2</v>
      </c>
      <c r="F8329" s="731">
        <f t="shared" si="195"/>
        <v>0</v>
      </c>
    </row>
    <row r="8330" spans="1:7" hidden="1" outlineLevel="1" x14ac:dyDescent="0.25">
      <c r="A8330" s="751" t="s">
        <v>517</v>
      </c>
      <c r="B8330" s="729" t="s">
        <v>115</v>
      </c>
      <c r="C8330" s="1105"/>
      <c r="D8330" s="1105"/>
      <c r="E8330" s="907" t="str">
        <f t="shared" si="194"/>
        <v/>
      </c>
      <c r="F8330" s="731" t="str">
        <f t="shared" si="195"/>
        <v/>
      </c>
    </row>
    <row r="8331" spans="1:7" hidden="1" outlineLevel="1" x14ac:dyDescent="0.25">
      <c r="A8331" s="751" t="s">
        <v>518</v>
      </c>
      <c r="B8331" s="729" t="s">
        <v>115</v>
      </c>
      <c r="C8331" s="1105"/>
      <c r="D8331" s="1105"/>
      <c r="E8331" s="907" t="str">
        <f t="shared" si="194"/>
        <v/>
      </c>
      <c r="F8331" s="731" t="str">
        <f t="shared" si="195"/>
        <v/>
      </c>
    </row>
    <row r="8332" spans="1:7" hidden="1" outlineLevel="1" x14ac:dyDescent="0.25">
      <c r="A8332" s="751" t="s">
        <v>519</v>
      </c>
      <c r="B8332" s="729" t="s">
        <v>115</v>
      </c>
      <c r="C8332" s="1105"/>
      <c r="D8332" s="1105"/>
      <c r="E8332" s="907" t="str">
        <f t="shared" si="194"/>
        <v/>
      </c>
      <c r="F8332" s="731" t="str">
        <f t="shared" si="195"/>
        <v/>
      </c>
    </row>
    <row r="8333" spans="1:7" hidden="1" outlineLevel="1" x14ac:dyDescent="0.25">
      <c r="A8333" s="751" t="s">
        <v>4556</v>
      </c>
      <c r="B8333" s="729" t="s">
        <v>115</v>
      </c>
      <c r="C8333" s="1105"/>
      <c r="D8333" s="1105"/>
      <c r="E8333" s="907" t="str">
        <f t="shared" si="194"/>
        <v/>
      </c>
      <c r="F8333" s="731" t="str">
        <f t="shared" si="195"/>
        <v/>
      </c>
    </row>
    <row r="8334" spans="1:7" hidden="1" outlineLevel="1" x14ac:dyDescent="0.25">
      <c r="A8334" s="751" t="s">
        <v>4557</v>
      </c>
      <c r="B8334" s="729" t="s">
        <v>115</v>
      </c>
      <c r="C8334" s="1105"/>
      <c r="D8334" s="1105"/>
      <c r="E8334" s="907" t="str">
        <f t="shared" si="194"/>
        <v/>
      </c>
      <c r="F8334" s="731" t="str">
        <f t="shared" si="195"/>
        <v/>
      </c>
    </row>
    <row r="8335" spans="1:7" collapsed="1" x14ac:dyDescent="0.25">
      <c r="A8335" s="3801" t="s">
        <v>411</v>
      </c>
      <c r="B8335" s="3802"/>
      <c r="C8335" s="3802"/>
      <c r="D8335" s="3802"/>
      <c r="E8335" s="721"/>
      <c r="F8335" s="722">
        <f>MAX(50%+SUM(F8303:F8334),0)</f>
        <v>0</v>
      </c>
      <c r="G8335" s="97" t="s">
        <v>781</v>
      </c>
    </row>
    <row r="8337" spans="1:12" hidden="1" outlineLevel="1" x14ac:dyDescent="0.25">
      <c r="A8337" s="689" t="s">
        <v>113</v>
      </c>
      <c r="B8337" s="689" t="s">
        <v>114</v>
      </c>
      <c r="C8337" s="689" t="s">
        <v>112</v>
      </c>
      <c r="D8337" s="689" t="s">
        <v>116</v>
      </c>
      <c r="E8337" s="689" t="s">
        <v>117</v>
      </c>
      <c r="F8337" s="1188" t="s">
        <v>121</v>
      </c>
      <c r="G8337" s="78"/>
    </row>
    <row r="8338" spans="1:12" hidden="1" outlineLevel="1" x14ac:dyDescent="0.25">
      <c r="A8338" s="690">
        <v>1</v>
      </c>
      <c r="B8338" s="691" t="s">
        <v>252</v>
      </c>
      <c r="C8338" s="692">
        <v>100</v>
      </c>
      <c r="D8338" s="692"/>
      <c r="E8338" s="693"/>
      <c r="F8338" s="694"/>
      <c r="G8338" s="78"/>
    </row>
    <row r="8339" spans="1:12" hidden="1" outlineLevel="1" x14ac:dyDescent="0.25">
      <c r="A8339" s="695"/>
      <c r="B8339" s="695"/>
      <c r="C8339" s="696"/>
      <c r="D8339" s="697" t="s">
        <v>3702</v>
      </c>
      <c r="E8339" s="698">
        <v>42460</v>
      </c>
      <c r="F8339" s="699"/>
      <c r="G8339" s="78"/>
    </row>
    <row r="8340" spans="1:12" hidden="1" outlineLevel="1" x14ac:dyDescent="0.25">
      <c r="A8340" s="689" t="s">
        <v>4156</v>
      </c>
      <c r="B8340" s="495" t="s">
        <v>4153</v>
      </c>
      <c r="C8340" s="700" t="s">
        <v>112</v>
      </c>
      <c r="D8340" s="689" t="s">
        <v>4155</v>
      </c>
      <c r="E8340" s="495" t="s">
        <v>4154</v>
      </c>
      <c r="F8340" s="1021" t="s">
        <v>2519</v>
      </c>
      <c r="G8340" s="78"/>
      <c r="J8340" t="s">
        <v>2040</v>
      </c>
    </row>
    <row r="8341" spans="1:12" hidden="1" outlineLevel="1" x14ac:dyDescent="0.25">
      <c r="A8341" s="701">
        <v>2.5000000000000001E-2</v>
      </c>
      <c r="B8341" s="702" t="s">
        <v>1995</v>
      </c>
      <c r="C8341" s="848">
        <v>52.347999999999999</v>
      </c>
      <c r="D8341" s="708">
        <v>40.22</v>
      </c>
      <c r="E8341" s="705">
        <v>-0.23168029342095209</v>
      </c>
      <c r="F8341" s="1021">
        <v>-5.7920073355238024E-3</v>
      </c>
      <c r="G8341" s="78"/>
      <c r="H8341" t="s">
        <v>2739</v>
      </c>
      <c r="J8341" s="256">
        <v>41730</v>
      </c>
      <c r="K8341" s="424">
        <v>122.27079999999999</v>
      </c>
      <c r="L8341" s="37">
        <v>0.22270799999999991</v>
      </c>
    </row>
    <row r="8342" spans="1:12" hidden="1" outlineLevel="1" x14ac:dyDescent="0.25">
      <c r="A8342" s="701">
        <v>4.4999999999999998E-2</v>
      </c>
      <c r="B8342" s="706" t="s">
        <v>359</v>
      </c>
      <c r="C8342" s="851">
        <v>92.622</v>
      </c>
      <c r="D8342" s="708">
        <v>140.25</v>
      </c>
      <c r="E8342" s="709">
        <v>0.51421908401891558</v>
      </c>
      <c r="F8342" s="946">
        <v>2.3139858780851199E-2</v>
      </c>
      <c r="G8342" s="78"/>
      <c r="H8342" t="s">
        <v>360</v>
      </c>
      <c r="J8342" s="256">
        <v>41760</v>
      </c>
      <c r="K8342" s="424">
        <v>124.18210000000001</v>
      </c>
      <c r="L8342" s="37">
        <v>0.24182100000000006</v>
      </c>
    </row>
    <row r="8343" spans="1:12" hidden="1" outlineLevel="1" x14ac:dyDescent="0.25">
      <c r="A8343" s="701">
        <v>3.5000000000000003E-2</v>
      </c>
      <c r="B8343" s="710" t="s">
        <v>157</v>
      </c>
      <c r="C8343" s="851">
        <v>10.4956</v>
      </c>
      <c r="D8343" s="708">
        <v>4.7439999999999998</v>
      </c>
      <c r="E8343" s="709">
        <v>-0.54800106711383822</v>
      </c>
      <c r="F8343" s="946">
        <v>-1.9180037348984338E-2</v>
      </c>
      <c r="G8343" s="78"/>
      <c r="H8343" t="s">
        <v>730</v>
      </c>
      <c r="J8343" s="256">
        <v>41791</v>
      </c>
      <c r="K8343" s="424">
        <v>123.4982</v>
      </c>
      <c r="L8343" s="37">
        <v>0.23498200000000002</v>
      </c>
    </row>
    <row r="8344" spans="1:12" hidden="1" outlineLevel="1" x14ac:dyDescent="0.25">
      <c r="A8344" s="701">
        <v>0.04</v>
      </c>
      <c r="B8344" s="706" t="s">
        <v>1188</v>
      </c>
      <c r="C8344" s="851">
        <v>644.33000000000004</v>
      </c>
      <c r="D8344" s="708">
        <v>334</v>
      </c>
      <c r="E8344" s="709">
        <v>-0.48163208293886672</v>
      </c>
      <c r="F8344" s="946">
        <v>-1.9265283317554668E-2</v>
      </c>
      <c r="G8344" s="78"/>
      <c r="H8344" t="s">
        <v>2746</v>
      </c>
      <c r="J8344" s="256">
        <v>41821</v>
      </c>
      <c r="K8344" s="424">
        <v>121.0128</v>
      </c>
      <c r="L8344" s="37">
        <v>0.21012800000000009</v>
      </c>
    </row>
    <row r="8345" spans="1:12" hidden="1" outlineLevel="1" x14ac:dyDescent="0.25">
      <c r="A8345" s="701">
        <v>0.04</v>
      </c>
      <c r="B8345" s="706" t="s">
        <v>53</v>
      </c>
      <c r="C8345" s="851">
        <v>45.673499999999997</v>
      </c>
      <c r="D8345" s="708">
        <v>56.42</v>
      </c>
      <c r="E8345" s="709">
        <v>0.23528960994887638</v>
      </c>
      <c r="F8345" s="946">
        <v>9.4115843979550549E-3</v>
      </c>
      <c r="G8345" s="78"/>
      <c r="H8345" t="s">
        <v>2751</v>
      </c>
      <c r="J8345" s="256">
        <v>41852</v>
      </c>
      <c r="K8345" s="424">
        <v>123.9439</v>
      </c>
      <c r="L8345" s="37">
        <v>0.23943899999999996</v>
      </c>
    </row>
    <row r="8346" spans="1:12" hidden="1" outlineLevel="1" x14ac:dyDescent="0.25">
      <c r="A8346" s="701">
        <v>4.4999999999999998E-2</v>
      </c>
      <c r="B8346" s="706" t="s">
        <v>2699</v>
      </c>
      <c r="C8346" s="851">
        <v>13.064000000000002</v>
      </c>
      <c r="D8346" s="708">
        <v>24.774999999999999</v>
      </c>
      <c r="E8346" s="709">
        <v>0.89643294549908115</v>
      </c>
      <c r="F8346" s="946">
        <v>4.0339482547458651E-2</v>
      </c>
      <c r="G8346" s="78"/>
      <c r="H8346" t="s">
        <v>505</v>
      </c>
      <c r="J8346" s="256">
        <v>41883</v>
      </c>
      <c r="K8346" s="424">
        <v>124.53060000000001</v>
      </c>
      <c r="L8346" s="37">
        <v>0.24530600000000002</v>
      </c>
    </row>
    <row r="8347" spans="1:12" hidden="1" outlineLevel="1" x14ac:dyDescent="0.25">
      <c r="A8347" s="701">
        <v>2.5000000000000001E-2</v>
      </c>
      <c r="B8347" s="706" t="s">
        <v>3406</v>
      </c>
      <c r="C8347" s="851">
        <v>1144.5999999999999</v>
      </c>
      <c r="D8347" s="708">
        <v>1770.5</v>
      </c>
      <c r="E8347" s="709">
        <v>0.5468285864057314</v>
      </c>
      <c r="F8347" s="946">
        <v>1.3670714660143286E-2</v>
      </c>
      <c r="G8347" s="78"/>
      <c r="H8347" t="s">
        <v>2105</v>
      </c>
      <c r="J8347" s="256">
        <v>41913</v>
      </c>
      <c r="K8347" s="424">
        <v>125.3862</v>
      </c>
      <c r="L8347" s="37">
        <v>0.25386200000000003</v>
      </c>
    </row>
    <row r="8348" spans="1:12" hidden="1" outlineLevel="1" x14ac:dyDescent="0.25">
      <c r="A8348" s="701">
        <v>3.5000000000000003E-2</v>
      </c>
      <c r="B8348" s="706" t="s">
        <v>4387</v>
      </c>
      <c r="C8348" s="851">
        <v>28.41</v>
      </c>
      <c r="D8348" s="708">
        <v>7.6769999999999996</v>
      </c>
      <c r="E8348" s="709">
        <v>-0.72977824709609296</v>
      </c>
      <c r="F8348" s="946">
        <v>-2.5542238648363257E-2</v>
      </c>
      <c r="G8348" s="78"/>
      <c r="H8348" t="s">
        <v>3744</v>
      </c>
      <c r="J8348" s="256">
        <v>41944</v>
      </c>
      <c r="K8348" s="424">
        <v>130.3194</v>
      </c>
      <c r="L8348" s="37">
        <v>0.30319399999999996</v>
      </c>
    </row>
    <row r="8349" spans="1:12" hidden="1" outlineLevel="1" x14ac:dyDescent="0.25">
      <c r="A8349" s="701">
        <v>0.04</v>
      </c>
      <c r="B8349" s="706" t="s">
        <v>3798</v>
      </c>
      <c r="C8349" s="851">
        <v>4.1760000000000002</v>
      </c>
      <c r="D8349" s="708">
        <v>3.988</v>
      </c>
      <c r="E8349" s="709">
        <v>-4.5019157088122652E-2</v>
      </c>
      <c r="F8349" s="946">
        <v>-1.8007662835249061E-3</v>
      </c>
      <c r="G8349" s="78"/>
      <c r="H8349" t="s">
        <v>4122</v>
      </c>
      <c r="J8349" s="256">
        <v>41974</v>
      </c>
      <c r="K8349" s="424">
        <v>128.02610000000001</v>
      </c>
      <c r="L8349" s="37">
        <v>0.28026100000000009</v>
      </c>
    </row>
    <row r="8350" spans="1:12" hidden="1" outlineLevel="1" x14ac:dyDescent="0.25">
      <c r="A8350" s="701">
        <v>0.03</v>
      </c>
      <c r="B8350" s="711" t="s">
        <v>7227</v>
      </c>
      <c r="C8350" s="851">
        <v>28.334500000000002</v>
      </c>
      <c r="D8350" s="708">
        <v>14.427999999999997</v>
      </c>
      <c r="E8350" s="709">
        <v>-0.49079743775256324</v>
      </c>
      <c r="F8350" s="946">
        <v>-1.4723923132576897E-2</v>
      </c>
      <c r="G8350" s="78"/>
      <c r="H8350" t="s">
        <v>7229</v>
      </c>
      <c r="J8350" s="256">
        <v>42005</v>
      </c>
      <c r="K8350" s="424">
        <v>131.0232</v>
      </c>
      <c r="L8350" s="37">
        <v>0.31023200000000006</v>
      </c>
    </row>
    <row r="8351" spans="1:12" hidden="1" outlineLevel="1" x14ac:dyDescent="0.25">
      <c r="A8351" s="701">
        <v>0.03</v>
      </c>
      <c r="B8351" s="706" t="s">
        <v>307</v>
      </c>
      <c r="C8351" s="851">
        <v>34.753999999999998</v>
      </c>
      <c r="D8351" s="708">
        <v>115.49</v>
      </c>
      <c r="E8351" s="709">
        <v>2.3230707256718652</v>
      </c>
      <c r="F8351" s="946">
        <v>6.9692121770155949E-2</v>
      </c>
      <c r="G8351" s="78"/>
      <c r="H8351" t="s">
        <v>1700</v>
      </c>
      <c r="J8351" s="256">
        <v>42036</v>
      </c>
      <c r="K8351" s="424">
        <v>135.54599999999999</v>
      </c>
      <c r="L8351" s="37">
        <v>0.35545999999999989</v>
      </c>
    </row>
    <row r="8352" spans="1:12" hidden="1" outlineLevel="1" x14ac:dyDescent="0.25">
      <c r="A8352" s="701">
        <v>3.5000000000000003E-2</v>
      </c>
      <c r="B8352" s="706" t="s">
        <v>1771</v>
      </c>
      <c r="C8352" s="851">
        <v>692.47</v>
      </c>
      <c r="D8352" s="708">
        <v>498.7</v>
      </c>
      <c r="E8352" s="709">
        <v>-0.27982439672476789</v>
      </c>
      <c r="F8352" s="946">
        <v>-9.793853885366877E-3</v>
      </c>
      <c r="G8352" s="78"/>
      <c r="H8352" t="s">
        <v>4329</v>
      </c>
      <c r="J8352" s="256">
        <v>42064</v>
      </c>
      <c r="K8352" s="424">
        <v>136.32159999999999</v>
      </c>
      <c r="L8352" s="37">
        <v>0.36321599999999998</v>
      </c>
    </row>
    <row r="8353" spans="1:12" hidden="1" outlineLevel="1" x14ac:dyDescent="0.25">
      <c r="A8353" s="701">
        <v>0.03</v>
      </c>
      <c r="B8353" s="706" t="s">
        <v>1031</v>
      </c>
      <c r="C8353" s="851">
        <v>6.4427000000000003</v>
      </c>
      <c r="D8353" s="708">
        <v>5.9470000000000001</v>
      </c>
      <c r="E8353" s="709">
        <v>-7.6939792323094336E-2</v>
      </c>
      <c r="F8353" s="946">
        <v>-2.3081937696928299E-3</v>
      </c>
      <c r="G8353" s="78"/>
      <c r="H8353" t="s">
        <v>4158</v>
      </c>
      <c r="J8353" s="256">
        <v>42095</v>
      </c>
      <c r="K8353" s="424">
        <v>135.94479999999999</v>
      </c>
      <c r="L8353" s="37">
        <v>0.35944799999999977</v>
      </c>
    </row>
    <row r="8354" spans="1:12" hidden="1" outlineLevel="1" x14ac:dyDescent="0.25">
      <c r="A8354" s="701">
        <v>0.03</v>
      </c>
      <c r="B8354" s="706" t="s">
        <v>52</v>
      </c>
      <c r="C8354" s="851">
        <v>129.89600000000002</v>
      </c>
      <c r="D8354" s="708">
        <v>144.97</v>
      </c>
      <c r="E8354" s="709">
        <v>0.11604668350064662</v>
      </c>
      <c r="F8354" s="946">
        <v>3.4814005050193986E-3</v>
      </c>
      <c r="G8354" s="78"/>
      <c r="H8354" t="s">
        <v>4130</v>
      </c>
      <c r="J8354" s="256">
        <v>42125</v>
      </c>
      <c r="K8354" s="424">
        <v>136.65950000000001</v>
      </c>
      <c r="L8354" s="37">
        <v>0.366595</v>
      </c>
    </row>
    <row r="8355" spans="1:12" hidden="1" outlineLevel="1" x14ac:dyDescent="0.25">
      <c r="A8355" s="701">
        <v>0.03</v>
      </c>
      <c r="B8355" s="706" t="s">
        <v>4034</v>
      </c>
      <c r="C8355" s="851">
        <v>10.199499999999999</v>
      </c>
      <c r="D8355" s="708">
        <v>17.41</v>
      </c>
      <c r="E8355" s="709">
        <v>0.7069464189421053</v>
      </c>
      <c r="F8355" s="946">
        <v>2.1208392568263158E-2</v>
      </c>
      <c r="G8355" s="78"/>
      <c r="H8355" t="s">
        <v>4035</v>
      </c>
      <c r="J8355" s="256">
        <v>42156</v>
      </c>
      <c r="K8355" s="424">
        <v>130.27719999999999</v>
      </c>
      <c r="L8355" s="37">
        <v>0.30277200000000004</v>
      </c>
    </row>
    <row r="8356" spans="1:12" hidden="1" outlineLevel="1" x14ac:dyDescent="0.25">
      <c r="A8356" s="701">
        <v>3.5000000000000003E-2</v>
      </c>
      <c r="B8356" s="706" t="s">
        <v>4143</v>
      </c>
      <c r="C8356" s="851">
        <v>11.581999999999999</v>
      </c>
      <c r="D8356" s="708">
        <v>3.3439999999999999</v>
      </c>
      <c r="E8356" s="709">
        <v>-0.71127611811431524</v>
      </c>
      <c r="F8356" s="946">
        <v>-2.4894664134001036E-2</v>
      </c>
      <c r="G8356" s="78"/>
      <c r="H8356" t="s">
        <v>4144</v>
      </c>
      <c r="J8356" s="256">
        <v>42186</v>
      </c>
      <c r="K8356" s="424">
        <v>136.87799999999999</v>
      </c>
      <c r="L8356" s="37">
        <v>0.36877999999999989</v>
      </c>
    </row>
    <row r="8357" spans="1:12" hidden="1" outlineLevel="1" x14ac:dyDescent="0.25">
      <c r="A8357" s="701">
        <v>2.5000000000000001E-2</v>
      </c>
      <c r="B8357" s="706" t="s">
        <v>2160</v>
      </c>
      <c r="C8357" s="851">
        <v>30.551999999999992</v>
      </c>
      <c r="D8357" s="708">
        <v>88.19</v>
      </c>
      <c r="E8357" s="709">
        <v>1.8865540717465312</v>
      </c>
      <c r="F8357" s="946">
        <v>4.7163851793663281E-2</v>
      </c>
      <c r="G8357" s="78"/>
      <c r="H8357" t="s">
        <v>5507</v>
      </c>
      <c r="J8357" s="256">
        <v>42217</v>
      </c>
      <c r="K8357" s="424">
        <v>129.00229999999999</v>
      </c>
      <c r="L8357" s="37">
        <v>0.29002299999999992</v>
      </c>
    </row>
    <row r="8358" spans="1:12" hidden="1" outlineLevel="1" x14ac:dyDescent="0.25">
      <c r="A8358" s="701">
        <v>0.04</v>
      </c>
      <c r="B8358" s="712" t="s">
        <v>1772</v>
      </c>
      <c r="C8358" s="851">
        <v>121.37</v>
      </c>
      <c r="D8358" s="708">
        <v>166.75</v>
      </c>
      <c r="E8358" s="709">
        <v>0.3738979978577901</v>
      </c>
      <c r="F8358" s="946">
        <v>1.4955919914311604E-2</v>
      </c>
      <c r="G8358" s="78"/>
      <c r="H8358" t="s">
        <v>4330</v>
      </c>
      <c r="J8358" s="256">
        <v>42248</v>
      </c>
      <c r="K8358" s="424">
        <v>125.565</v>
      </c>
      <c r="L8358" s="37">
        <v>0.25564999999999993</v>
      </c>
    </row>
    <row r="8359" spans="1:12" hidden="1" outlineLevel="1" x14ac:dyDescent="0.25">
      <c r="A8359" s="701">
        <v>0.03</v>
      </c>
      <c r="B8359" s="706" t="s">
        <v>2786</v>
      </c>
      <c r="C8359" s="851">
        <v>654.75</v>
      </c>
      <c r="D8359" s="708">
        <v>918.9</v>
      </c>
      <c r="E8359" s="709">
        <v>0.40343642611683839</v>
      </c>
      <c r="F8359" s="946">
        <v>1.2103092783505151E-2</v>
      </c>
      <c r="G8359" s="78"/>
      <c r="H8359" t="s">
        <v>4195</v>
      </c>
      <c r="J8359" s="412" t="s">
        <v>2465</v>
      </c>
      <c r="L8359" s="362">
        <v>0.28910427777777781</v>
      </c>
    </row>
    <row r="8360" spans="1:12" hidden="1" outlineLevel="1" x14ac:dyDescent="0.25">
      <c r="A8360" s="701">
        <v>0.03</v>
      </c>
      <c r="B8360" s="706" t="s">
        <v>3797</v>
      </c>
      <c r="C8360" s="851">
        <v>52.765000000000001</v>
      </c>
      <c r="D8360" s="708">
        <v>73.25</v>
      </c>
      <c r="E8360" s="709">
        <v>0.38823083483369647</v>
      </c>
      <c r="F8360" s="946">
        <v>1.1646925045010893E-2</v>
      </c>
      <c r="G8360" s="78"/>
      <c r="H8360" t="s">
        <v>3848</v>
      </c>
      <c r="J8360" s="412" t="s">
        <v>5221</v>
      </c>
      <c r="L8360" s="362">
        <v>0.28910427777777781</v>
      </c>
    </row>
    <row r="8361" spans="1:12" hidden="1" outlineLevel="1" x14ac:dyDescent="0.25">
      <c r="A8361" s="701">
        <v>0.03</v>
      </c>
      <c r="B8361" s="706" t="s">
        <v>2787</v>
      </c>
      <c r="C8361" s="851">
        <v>56.59</v>
      </c>
      <c r="D8361" s="708">
        <v>89.4</v>
      </c>
      <c r="E8361" s="709">
        <v>0.57978441420745708</v>
      </c>
      <c r="F8361" s="946">
        <v>1.7393532426223712E-2</v>
      </c>
      <c r="G8361" s="78"/>
      <c r="H8361" t="s">
        <v>80</v>
      </c>
    </row>
    <row r="8362" spans="1:12" hidden="1" outlineLevel="1" x14ac:dyDescent="0.25">
      <c r="A8362" s="701">
        <v>0.04</v>
      </c>
      <c r="B8362" s="706" t="s">
        <v>1204</v>
      </c>
      <c r="C8362" s="851">
        <v>66.052999999999997</v>
      </c>
      <c r="D8362" s="708">
        <v>94.3</v>
      </c>
      <c r="E8362" s="709">
        <v>0.42764143945013844</v>
      </c>
      <c r="F8362" s="946">
        <v>1.7105657578005539E-2</v>
      </c>
      <c r="G8362" s="78"/>
      <c r="H8362" t="s">
        <v>2427</v>
      </c>
    </row>
    <row r="8363" spans="1:12" hidden="1" outlineLevel="1" x14ac:dyDescent="0.25">
      <c r="A8363" s="701">
        <v>3.5000000000000003E-2</v>
      </c>
      <c r="B8363" s="706" t="s">
        <v>3800</v>
      </c>
      <c r="C8363" s="851">
        <v>174.46</v>
      </c>
      <c r="D8363" s="708">
        <v>257</v>
      </c>
      <c r="E8363" s="709">
        <v>0.47311704688753853</v>
      </c>
      <c r="F8363" s="946">
        <v>1.655909664106385E-2</v>
      </c>
      <c r="G8363" s="78"/>
      <c r="H8363" t="s">
        <v>2817</v>
      </c>
    </row>
    <row r="8364" spans="1:12" hidden="1" outlineLevel="1" x14ac:dyDescent="0.25">
      <c r="A8364" s="701">
        <v>0.04</v>
      </c>
      <c r="B8364" s="706" t="s">
        <v>1857</v>
      </c>
      <c r="C8364" s="851">
        <v>1121.5999999999999</v>
      </c>
      <c r="D8364" s="708">
        <v>1496</v>
      </c>
      <c r="E8364" s="709">
        <v>0.33380884450784598</v>
      </c>
      <c r="F8364" s="946">
        <v>1.3352353780313839E-2</v>
      </c>
      <c r="G8364" s="78"/>
      <c r="H8364" t="s">
        <v>3559</v>
      </c>
    </row>
    <row r="8365" spans="1:12" hidden="1" outlineLevel="1" x14ac:dyDescent="0.25">
      <c r="A8365" s="701">
        <v>2.5000000000000001E-2</v>
      </c>
      <c r="B8365" s="706" t="s">
        <v>1239</v>
      </c>
      <c r="C8365" s="851">
        <v>394.45</v>
      </c>
      <c r="D8365" s="708">
        <v>486.2</v>
      </c>
      <c r="E8365" s="709">
        <v>0.23260235771327165</v>
      </c>
      <c r="F8365" s="946">
        <v>5.8150589428317915E-3</v>
      </c>
      <c r="G8365" s="78"/>
      <c r="H8365" t="s">
        <v>268</v>
      </c>
    </row>
    <row r="8366" spans="1:12" hidden="1" outlineLevel="1" x14ac:dyDescent="0.25">
      <c r="A8366" s="701">
        <v>0.03</v>
      </c>
      <c r="B8366" s="706" t="s">
        <v>3022</v>
      </c>
      <c r="C8366" s="851">
        <v>4110</v>
      </c>
      <c r="D8366" s="708">
        <v>5237</v>
      </c>
      <c r="E8366" s="709">
        <v>0.27420924574209238</v>
      </c>
      <c r="F8366" s="946">
        <v>8.2262773722627715E-3</v>
      </c>
      <c r="G8366" s="78"/>
      <c r="H8366" t="s">
        <v>2802</v>
      </c>
    </row>
    <row r="8367" spans="1:12" hidden="1" outlineLevel="1" x14ac:dyDescent="0.25">
      <c r="A8367" s="701">
        <v>0.03</v>
      </c>
      <c r="B8367" s="706" t="s">
        <v>577</v>
      </c>
      <c r="C8367" s="851">
        <v>17.7225</v>
      </c>
      <c r="D8367" s="708">
        <v>10.83</v>
      </c>
      <c r="E8367" s="709">
        <v>-0.38891239949217093</v>
      </c>
      <c r="F8367" s="946">
        <v>-1.1667371984765128E-2</v>
      </c>
      <c r="G8367" s="78"/>
      <c r="H8367" t="s">
        <v>2804</v>
      </c>
    </row>
    <row r="8368" spans="1:12" hidden="1" outlineLevel="1" x14ac:dyDescent="0.25">
      <c r="A8368" s="701">
        <v>3.5000000000000003E-2</v>
      </c>
      <c r="B8368" s="706" t="s">
        <v>719</v>
      </c>
      <c r="C8368" s="851">
        <v>44.1145</v>
      </c>
      <c r="D8368" s="708">
        <v>56.71</v>
      </c>
      <c r="E8368" s="709">
        <v>0.28551836697684441</v>
      </c>
      <c r="F8368" s="946">
        <v>9.9931428441895551E-3</v>
      </c>
      <c r="G8368" s="78"/>
      <c r="H8368" t="s">
        <v>1697</v>
      </c>
    </row>
    <row r="8369" spans="1:8" hidden="1" outlineLevel="1" x14ac:dyDescent="0.25">
      <c r="A8369" s="701">
        <v>3.5000000000000003E-2</v>
      </c>
      <c r="B8369" s="706" t="s">
        <v>579</v>
      </c>
      <c r="C8369" s="851">
        <v>150.05000000000001</v>
      </c>
      <c r="D8369" s="708">
        <v>208.45</v>
      </c>
      <c r="E8369" s="709">
        <v>0.38920359880039967</v>
      </c>
      <c r="F8369" s="946">
        <v>1.362212595801399E-2</v>
      </c>
      <c r="G8369" s="78"/>
      <c r="H8369" t="s">
        <v>3611</v>
      </c>
    </row>
    <row r="8370" spans="1:8" hidden="1" outlineLevel="1" x14ac:dyDescent="0.25">
      <c r="A8370" s="701">
        <v>2.5000000000000001E-2</v>
      </c>
      <c r="B8370" s="713" t="s">
        <v>4550</v>
      </c>
      <c r="C8370" s="1041">
        <v>256</v>
      </c>
      <c r="D8370" s="715">
        <v>239.2</v>
      </c>
      <c r="E8370" s="716">
        <v>-6.5625000000000044E-2</v>
      </c>
      <c r="F8370" s="1023">
        <v>-1.6406250000000012E-3</v>
      </c>
      <c r="G8370" s="78"/>
      <c r="H8370" t="s">
        <v>4551</v>
      </c>
    </row>
    <row r="8371" spans="1:8" hidden="1" outlineLevel="1" x14ac:dyDescent="0.25">
      <c r="A8371" s="717"/>
      <c r="B8371" s="750"/>
      <c r="C8371" s="727"/>
      <c r="D8371" s="727"/>
      <c r="E8371" s="716"/>
      <c r="F8371" s="770">
        <v>0.23227162546888896</v>
      </c>
      <c r="G8371" s="78"/>
    </row>
    <row r="8372" spans="1:8" collapsed="1" x14ac:dyDescent="0.25">
      <c r="A8372" s="3801" t="s">
        <v>3839</v>
      </c>
      <c r="B8372" s="3802"/>
      <c r="C8372" s="3802"/>
      <c r="D8372" s="3802"/>
      <c r="E8372" s="721"/>
      <c r="F8372" s="722">
        <v>0.28910427777777781</v>
      </c>
      <c r="G8372" s="97" t="s">
        <v>781</v>
      </c>
    </row>
    <row r="8374" spans="1:8" hidden="1" outlineLevel="1" x14ac:dyDescent="0.25">
      <c r="A8374" s="689" t="s">
        <v>113</v>
      </c>
      <c r="B8374" s="689" t="s">
        <v>114</v>
      </c>
      <c r="C8374" s="689" t="s">
        <v>112</v>
      </c>
      <c r="D8374" s="689" t="s">
        <v>116</v>
      </c>
      <c r="E8374" s="689" t="s">
        <v>117</v>
      </c>
      <c r="F8374" s="1188" t="s">
        <v>121</v>
      </c>
      <c r="G8374" s="97"/>
      <c r="H8374" s="173" t="s">
        <v>4475</v>
      </c>
    </row>
    <row r="8375" spans="1:8" hidden="1" outlineLevel="1" x14ac:dyDescent="0.25">
      <c r="A8375" s="690">
        <v>5</v>
      </c>
      <c r="B8375" s="691" t="s">
        <v>252</v>
      </c>
      <c r="C8375" s="692"/>
      <c r="D8375" s="692"/>
      <c r="E8375" s="693"/>
      <c r="F8375" s="694"/>
      <c r="G8375" s="97"/>
    </row>
    <row r="8376" spans="1:8" hidden="1" outlineLevel="1" x14ac:dyDescent="0.25">
      <c r="A8376" s="695"/>
      <c r="B8376" s="695"/>
      <c r="C8376" s="696"/>
      <c r="D8376" s="697" t="s">
        <v>3702</v>
      </c>
      <c r="E8376" s="698">
        <v>42277</v>
      </c>
      <c r="F8376" s="699"/>
      <c r="G8376" s="97"/>
    </row>
    <row r="8377" spans="1:8" hidden="1" outlineLevel="1" x14ac:dyDescent="0.25">
      <c r="A8377" s="495" t="s">
        <v>4156</v>
      </c>
      <c r="B8377" s="689" t="s">
        <v>4153</v>
      </c>
      <c r="C8377" s="497" t="s">
        <v>112</v>
      </c>
      <c r="D8377" s="689" t="s">
        <v>4155</v>
      </c>
      <c r="E8377" s="689" t="s">
        <v>4154</v>
      </c>
      <c r="F8377" s="1188" t="s">
        <v>1332</v>
      </c>
      <c r="G8377" s="97"/>
    </row>
    <row r="8378" spans="1:8" hidden="1" outlineLevel="1" x14ac:dyDescent="0.25">
      <c r="A8378" s="1213">
        <v>0.05</v>
      </c>
      <c r="B8378" s="1322" t="s">
        <v>2225</v>
      </c>
      <c r="C8378" s="1323">
        <v>9.8000000000000007</v>
      </c>
      <c r="D8378" s="1324">
        <v>2.67</v>
      </c>
      <c r="E8378" s="1219">
        <v>-0.72755102040816322</v>
      </c>
      <c r="F8378" s="1877" t="s">
        <v>2025</v>
      </c>
      <c r="G8378" s="178" t="s">
        <v>1329</v>
      </c>
      <c r="H8378" s="110" t="e">
        <v>#N/A</v>
      </c>
    </row>
    <row r="8379" spans="1:8" hidden="1" outlineLevel="1" x14ac:dyDescent="0.25">
      <c r="A8379" s="1213">
        <v>0.05</v>
      </c>
      <c r="B8379" s="788" t="s">
        <v>1384</v>
      </c>
      <c r="C8379" s="851">
        <v>5.3414000000000001</v>
      </c>
      <c r="D8379" s="708">
        <v>5.1349999999999998</v>
      </c>
      <c r="E8379" s="1219">
        <v>-3.864155464859409E-2</v>
      </c>
      <c r="F8379" s="1075" t="s">
        <v>2024</v>
      </c>
      <c r="G8379" s="198"/>
      <c r="H8379" s="110" t="s">
        <v>3556</v>
      </c>
    </row>
    <row r="8380" spans="1:8" hidden="1" outlineLevel="1" x14ac:dyDescent="0.25">
      <c r="A8380" s="1213">
        <v>0.05</v>
      </c>
      <c r="B8380" s="788" t="s">
        <v>218</v>
      </c>
      <c r="C8380" s="851">
        <v>17.215</v>
      </c>
      <c r="D8380" s="708">
        <v>21.635000000000002</v>
      </c>
      <c r="E8380" s="1219">
        <v>0.25675283183270414</v>
      </c>
      <c r="F8380" s="1075" t="s">
        <v>2024</v>
      </c>
      <c r="G8380" s="198"/>
      <c r="H8380" s="110" t="s">
        <v>656</v>
      </c>
    </row>
    <row r="8381" spans="1:8" hidden="1" outlineLevel="1" x14ac:dyDescent="0.25">
      <c r="A8381" s="1213">
        <v>0.05</v>
      </c>
      <c r="B8381" s="788" t="s">
        <v>157</v>
      </c>
      <c r="C8381" s="851">
        <v>10.624000000000001</v>
      </c>
      <c r="D8381" s="708">
        <v>4.7439999999999998</v>
      </c>
      <c r="E8381" s="1219">
        <v>-0.55346385542168686</v>
      </c>
      <c r="F8381" s="1075" t="s">
        <v>2024</v>
      </c>
      <c r="G8381" s="198"/>
      <c r="H8381" s="110" t="s">
        <v>730</v>
      </c>
    </row>
    <row r="8382" spans="1:8" hidden="1" outlineLevel="1" x14ac:dyDescent="0.25">
      <c r="A8382" s="1213">
        <v>0.05</v>
      </c>
      <c r="B8382" s="1325" t="s">
        <v>1994</v>
      </c>
      <c r="C8382" s="851">
        <v>18.87</v>
      </c>
      <c r="D8382" s="708">
        <v>15.58</v>
      </c>
      <c r="E8382" s="1219">
        <v>-0.17435082140964497</v>
      </c>
      <c r="F8382" s="1075" t="s">
        <v>2024</v>
      </c>
      <c r="G8382" s="198"/>
      <c r="H8382" s="110" t="s">
        <v>3493</v>
      </c>
    </row>
    <row r="8383" spans="1:8" hidden="1" outlineLevel="1" x14ac:dyDescent="0.25">
      <c r="A8383" s="1213">
        <v>0.05</v>
      </c>
      <c r="B8383" s="1325" t="s">
        <v>873</v>
      </c>
      <c r="C8383" s="851">
        <v>372.69</v>
      </c>
      <c r="D8383" s="708">
        <v>244.15</v>
      </c>
      <c r="E8383" s="1219">
        <v>-0.34489790442458879</v>
      </c>
      <c r="F8383" s="1075" t="s">
        <v>2024</v>
      </c>
      <c r="G8383" s="198"/>
      <c r="H8383" s="110" t="s">
        <v>3495</v>
      </c>
    </row>
    <row r="8384" spans="1:8" hidden="1" outlineLevel="1" x14ac:dyDescent="0.25">
      <c r="A8384" s="1213">
        <v>0.05</v>
      </c>
      <c r="B8384" s="1325" t="s">
        <v>3019</v>
      </c>
      <c r="C8384" s="851">
        <v>56.51</v>
      </c>
      <c r="D8384" s="708">
        <v>52.46</v>
      </c>
      <c r="E8384" s="1219">
        <v>-7.1668731198017976E-2</v>
      </c>
      <c r="F8384" s="1075" t="s">
        <v>2024</v>
      </c>
      <c r="G8384" s="198"/>
      <c r="H8384" s="110" t="s">
        <v>2745</v>
      </c>
    </row>
    <row r="8385" spans="1:9" hidden="1" outlineLevel="1" x14ac:dyDescent="0.25">
      <c r="A8385" s="1213">
        <v>0.05</v>
      </c>
      <c r="B8385" s="1325" t="s">
        <v>1847</v>
      </c>
      <c r="C8385" s="851">
        <v>47.599999999999994</v>
      </c>
      <c r="D8385" s="708">
        <v>49.61</v>
      </c>
      <c r="E8385" s="1219">
        <v>4.2226890756302593E-2</v>
      </c>
      <c r="F8385" s="1075" t="s">
        <v>2024</v>
      </c>
      <c r="G8385" s="198"/>
      <c r="H8385" s="110" t="s">
        <v>2749</v>
      </c>
    </row>
    <row r="8386" spans="1:9" hidden="1" outlineLevel="1" x14ac:dyDescent="0.25">
      <c r="A8386" s="1213">
        <v>0.05</v>
      </c>
      <c r="B8386" s="1325" t="s">
        <v>1212</v>
      </c>
      <c r="C8386" s="851">
        <v>55.33</v>
      </c>
      <c r="D8386" s="708">
        <v>23.42</v>
      </c>
      <c r="E8386" s="1219">
        <v>-0.57672148924634015</v>
      </c>
      <c r="F8386" s="1075" t="s">
        <v>2024</v>
      </c>
      <c r="G8386" s="198"/>
      <c r="H8386" s="110" t="s">
        <v>4229</v>
      </c>
    </row>
    <row r="8387" spans="1:9" hidden="1" outlineLevel="1" x14ac:dyDescent="0.25">
      <c r="A8387" s="1213">
        <v>0.05</v>
      </c>
      <c r="B8387" s="788" t="s">
        <v>4025</v>
      </c>
      <c r="C8387" s="851">
        <v>36.446000000000005</v>
      </c>
      <c r="D8387" s="708">
        <v>64.849999999999994</v>
      </c>
      <c r="E8387" s="1219">
        <v>0.77934478406409435</v>
      </c>
      <c r="F8387" s="1075" t="s">
        <v>2024</v>
      </c>
      <c r="G8387" s="198"/>
      <c r="H8387" s="110" t="s">
        <v>3977</v>
      </c>
    </row>
    <row r="8388" spans="1:9" hidden="1" outlineLevel="1" x14ac:dyDescent="0.25">
      <c r="A8388" s="1213">
        <v>0.05</v>
      </c>
      <c r="B8388" s="788" t="s">
        <v>2699</v>
      </c>
      <c r="C8388" s="851">
        <v>13.001999999999999</v>
      </c>
      <c r="D8388" s="708">
        <v>24.774999999999999</v>
      </c>
      <c r="E8388" s="1219">
        <v>0.90547608060298423</v>
      </c>
      <c r="F8388" s="1075" t="s">
        <v>2024</v>
      </c>
      <c r="G8388" s="198"/>
      <c r="H8388" s="110" t="s">
        <v>505</v>
      </c>
    </row>
    <row r="8389" spans="1:9" hidden="1" outlineLevel="1" x14ac:dyDescent="0.25">
      <c r="A8389" s="1213">
        <v>0.05</v>
      </c>
      <c r="B8389" s="788" t="s">
        <v>3021</v>
      </c>
      <c r="C8389" s="851">
        <v>17.603999999999999</v>
      </c>
      <c r="D8389" s="708">
        <v>14.05</v>
      </c>
      <c r="E8389" s="1219">
        <v>-0.20188593501476926</v>
      </c>
      <c r="F8389" s="1075" t="s">
        <v>2024</v>
      </c>
      <c r="G8389" s="198"/>
      <c r="H8389" s="110" t="s">
        <v>4124</v>
      </c>
    </row>
    <row r="8390" spans="1:9" hidden="1" outlineLevel="1" x14ac:dyDescent="0.25">
      <c r="A8390" s="1213">
        <v>0.05</v>
      </c>
      <c r="B8390" s="1325" t="s">
        <v>1176</v>
      </c>
      <c r="C8390" s="851">
        <v>2.7448000000000001</v>
      </c>
      <c r="D8390" s="708">
        <v>36.704999999999998</v>
      </c>
      <c r="E8390" s="1219">
        <v>12.372559020693673</v>
      </c>
      <c r="F8390" s="1075" t="s">
        <v>2024</v>
      </c>
      <c r="G8390" s="198"/>
      <c r="H8390" s="110" t="s">
        <v>3090</v>
      </c>
    </row>
    <row r="8391" spans="1:9" hidden="1" outlineLevel="1" x14ac:dyDescent="0.25">
      <c r="A8391" s="1213">
        <v>0.05</v>
      </c>
      <c r="B8391" s="788" t="s">
        <v>2588</v>
      </c>
      <c r="C8391" s="851">
        <v>7.6104000000000003</v>
      </c>
      <c r="D8391" s="708">
        <v>12.65</v>
      </c>
      <c r="E8391" s="1219">
        <v>0.66219909597393034</v>
      </c>
      <c r="F8391" s="1075" t="s">
        <v>2024</v>
      </c>
      <c r="G8391" s="198"/>
      <c r="H8391" s="110" t="s">
        <v>4132</v>
      </c>
    </row>
    <row r="8392" spans="1:9" hidden="1" outlineLevel="1" x14ac:dyDescent="0.25">
      <c r="A8392" s="1213">
        <v>0.05</v>
      </c>
      <c r="B8392" s="788" t="s">
        <v>3303</v>
      </c>
      <c r="C8392" s="851">
        <v>54.302</v>
      </c>
      <c r="D8392" s="708">
        <v>59.92</v>
      </c>
      <c r="E8392" s="1219">
        <v>0.10345843615336459</v>
      </c>
      <c r="F8392" s="1075" t="s">
        <v>2024</v>
      </c>
      <c r="G8392" s="198"/>
      <c r="H8392" s="110" t="e">
        <v>#N/A</v>
      </c>
    </row>
    <row r="8393" spans="1:9" hidden="1" outlineLevel="1" x14ac:dyDescent="0.25">
      <c r="A8393" s="1213">
        <v>0.05</v>
      </c>
      <c r="B8393" s="788" t="s">
        <v>156</v>
      </c>
      <c r="C8393" s="1326">
        <v>33.292999999999999</v>
      </c>
      <c r="D8393" s="1327">
        <v>4.6589999999999998</v>
      </c>
      <c r="E8393" s="742">
        <v>-0.86006067341483194</v>
      </c>
      <c r="F8393" s="1877" t="s">
        <v>2025</v>
      </c>
      <c r="G8393" s="178" t="s">
        <v>1330</v>
      </c>
      <c r="H8393" s="110" t="s">
        <v>4417</v>
      </c>
    </row>
    <row r="8394" spans="1:9" hidden="1" outlineLevel="1" x14ac:dyDescent="0.25">
      <c r="A8394" s="1213">
        <v>0.05</v>
      </c>
      <c r="B8394" s="788" t="s">
        <v>2397</v>
      </c>
      <c r="C8394" s="1328">
        <v>30.609767000000005</v>
      </c>
      <c r="D8394" s="708">
        <v>68.38</v>
      </c>
      <c r="E8394" s="1219">
        <v>1.2339274911827975</v>
      </c>
      <c r="F8394" s="1075" t="s">
        <v>2024</v>
      </c>
      <c r="G8394" s="198"/>
      <c r="H8394" s="110" t="s">
        <v>347</v>
      </c>
    </row>
    <row r="8395" spans="1:9" hidden="1" outlineLevel="1" x14ac:dyDescent="0.25">
      <c r="A8395" s="1213">
        <v>0.05</v>
      </c>
      <c r="B8395" s="1325" t="s">
        <v>1190</v>
      </c>
      <c r="C8395" s="1323">
        <v>11.193999999999999</v>
      </c>
      <c r="D8395" s="1324">
        <v>6.43</v>
      </c>
      <c r="E8395" s="1219">
        <v>-0.42558513489369298</v>
      </c>
      <c r="F8395" s="1877" t="s">
        <v>2025</v>
      </c>
      <c r="G8395" s="178" t="s">
        <v>1328</v>
      </c>
      <c r="H8395" s="110" t="s">
        <v>7569</v>
      </c>
    </row>
    <row r="8396" spans="1:9" hidden="1" outlineLevel="1" x14ac:dyDescent="0.25">
      <c r="A8396" s="1213">
        <v>0.05</v>
      </c>
      <c r="B8396" s="1325" t="s">
        <v>1205</v>
      </c>
      <c r="C8396" s="851">
        <v>24.594999999999999</v>
      </c>
      <c r="D8396" s="708">
        <v>21.045000000000002</v>
      </c>
      <c r="E8396" s="1219">
        <v>-0.14433828013823935</v>
      </c>
      <c r="F8396" s="1075" t="s">
        <v>2024</v>
      </c>
      <c r="G8396" s="198"/>
      <c r="H8396" s="110" t="s">
        <v>1092</v>
      </c>
    </row>
    <row r="8397" spans="1:9" hidden="1" outlineLevel="1" x14ac:dyDescent="0.25">
      <c r="A8397" s="1329">
        <v>0.05</v>
      </c>
      <c r="B8397" s="824" t="s">
        <v>6450</v>
      </c>
      <c r="C8397" s="1041">
        <v>105.27</v>
      </c>
      <c r="D8397" s="715">
        <v>146</v>
      </c>
      <c r="E8397" s="1226">
        <v>0.3869098508596942</v>
      </c>
      <c r="F8397" s="1076" t="s">
        <v>2024</v>
      </c>
      <c r="G8397" s="198"/>
      <c r="H8397" s="110" t="s">
        <v>6448</v>
      </c>
    </row>
    <row r="8398" spans="1:9" hidden="1" outlineLevel="1" x14ac:dyDescent="0.25">
      <c r="A8398" s="767"/>
      <c r="B8398" s="750"/>
      <c r="C8398" s="727"/>
      <c r="D8398" s="768"/>
      <c r="E8398" s="716">
        <v>0.63118445409504886</v>
      </c>
      <c r="F8398" s="770"/>
      <c r="G8398" s="97"/>
      <c r="H8398" s="417" t="s">
        <v>6670</v>
      </c>
      <c r="I8398" s="488" t="s">
        <v>6674</v>
      </c>
    </row>
    <row r="8399" spans="1:9" hidden="1" outlineLevel="1" x14ac:dyDescent="0.25">
      <c r="A8399" s="769" t="s">
        <v>4778</v>
      </c>
      <c r="B8399" s="750"/>
      <c r="C8399" s="727"/>
      <c r="D8399" s="768"/>
      <c r="E8399" s="716"/>
      <c r="F8399" s="770">
        <v>0.04</v>
      </c>
      <c r="G8399" s="97"/>
      <c r="H8399" s="478">
        <v>0.04</v>
      </c>
      <c r="I8399" s="520">
        <v>1.5</v>
      </c>
    </row>
    <row r="8400" spans="1:9" hidden="1" outlineLevel="1" x14ac:dyDescent="0.25">
      <c r="A8400" s="769" t="s">
        <v>4779</v>
      </c>
      <c r="B8400" s="750" t="s">
        <v>5253</v>
      </c>
      <c r="C8400" s="727"/>
      <c r="D8400" s="768"/>
      <c r="E8400" s="750" t="s">
        <v>6672</v>
      </c>
      <c r="F8400" s="770">
        <v>2.6666666666666668E-2</v>
      </c>
      <c r="G8400" s="97"/>
      <c r="H8400" s="478">
        <v>2.6666666666666668E-2</v>
      </c>
      <c r="I8400" s="81" t="s">
        <v>6672</v>
      </c>
    </row>
    <row r="8401" spans="1:9" hidden="1" outlineLevel="1" x14ac:dyDescent="0.25">
      <c r="A8401" s="769" t="s">
        <v>4780</v>
      </c>
      <c r="B8401" s="750" t="s">
        <v>5602</v>
      </c>
      <c r="C8401" s="727"/>
      <c r="D8401" s="768"/>
      <c r="E8401" s="750" t="s">
        <v>6672</v>
      </c>
      <c r="F8401" s="770">
        <v>1.7777777777777778E-2</v>
      </c>
      <c r="G8401" s="97"/>
      <c r="H8401" s="478">
        <v>1.7777777777777778E-2</v>
      </c>
      <c r="I8401" s="81" t="s">
        <v>6673</v>
      </c>
    </row>
    <row r="8402" spans="1:9" hidden="1" outlineLevel="1" x14ac:dyDescent="0.25">
      <c r="A8402" s="769" t="s">
        <v>4781</v>
      </c>
      <c r="B8402" s="750" t="s">
        <v>6191</v>
      </c>
      <c r="C8402" s="727"/>
      <c r="D8402" s="768"/>
      <c r="E8402" s="750" t="s">
        <v>6672</v>
      </c>
      <c r="F8402" s="770">
        <v>1.1851851851851851E-2</v>
      </c>
      <c r="G8402" s="97"/>
      <c r="H8402" s="478">
        <v>1.1851851851851851E-2</v>
      </c>
      <c r="I8402" s="81" t="s">
        <v>6672</v>
      </c>
    </row>
    <row r="8403" spans="1:9" hidden="1" outlineLevel="1" x14ac:dyDescent="0.25">
      <c r="A8403" s="769" t="s">
        <v>4782</v>
      </c>
      <c r="B8403" s="750"/>
      <c r="C8403" s="727"/>
      <c r="D8403" s="727"/>
      <c r="E8403" s="750" t="s">
        <v>6672</v>
      </c>
      <c r="F8403" s="770">
        <v>7.9000000000000008E-3</v>
      </c>
      <c r="G8403" s="97"/>
      <c r="H8403" s="478">
        <v>7.9000000000000008E-3</v>
      </c>
      <c r="I8403" s="81" t="s">
        <v>6672</v>
      </c>
    </row>
    <row r="8404" spans="1:9" collapsed="1" x14ac:dyDescent="0.25">
      <c r="A8404" s="3801" t="s">
        <v>2224</v>
      </c>
      <c r="B8404" s="3802"/>
      <c r="C8404" s="3802"/>
      <c r="D8404" s="3802"/>
      <c r="E8404" s="721"/>
      <c r="F8404" s="722">
        <v>0.1041962962962963</v>
      </c>
      <c r="G8404" s="97" t="s">
        <v>781</v>
      </c>
      <c r="H8404" s="517">
        <v>0.1041962962962963</v>
      </c>
    </row>
    <row r="8405" spans="1:9" x14ac:dyDescent="0.25">
      <c r="H8405">
        <v>119.77777777777777</v>
      </c>
    </row>
    <row r="8406" spans="1:9" hidden="1" outlineLevel="1" x14ac:dyDescent="0.25">
      <c r="A8406" s="689" t="s">
        <v>113</v>
      </c>
      <c r="B8406" s="689" t="s">
        <v>114</v>
      </c>
      <c r="C8406" s="689" t="s">
        <v>112</v>
      </c>
      <c r="D8406" s="689" t="s">
        <v>116</v>
      </c>
      <c r="E8406" s="689" t="s">
        <v>117</v>
      </c>
      <c r="F8406" s="1188" t="s">
        <v>121</v>
      </c>
      <c r="G8406" s="78"/>
    </row>
    <row r="8407" spans="1:9" hidden="1" outlineLevel="1" x14ac:dyDescent="0.25">
      <c r="A8407" s="690">
        <v>14</v>
      </c>
      <c r="B8407" s="691" t="s">
        <v>252</v>
      </c>
      <c r="C8407" s="692">
        <v>100</v>
      </c>
      <c r="D8407" s="692"/>
      <c r="E8407" s="693"/>
      <c r="F8407" s="694"/>
      <c r="G8407" s="78"/>
    </row>
    <row r="8408" spans="1:9" hidden="1" outlineLevel="1" x14ac:dyDescent="0.25">
      <c r="A8408" s="695"/>
      <c r="B8408" s="695"/>
      <c r="C8408" s="696"/>
      <c r="D8408" s="697" t="s">
        <v>3702</v>
      </c>
      <c r="E8408" s="698">
        <v>41533</v>
      </c>
      <c r="F8408" s="699"/>
      <c r="G8408" s="78"/>
    </row>
    <row r="8409" spans="1:9" hidden="1" outlineLevel="1" x14ac:dyDescent="0.25">
      <c r="A8409" s="689" t="s">
        <v>4156</v>
      </c>
      <c r="B8409" s="689" t="s">
        <v>4153</v>
      </c>
      <c r="C8409" s="497" t="s">
        <v>112</v>
      </c>
      <c r="D8409" s="495" t="s">
        <v>4155</v>
      </c>
      <c r="E8409" s="689" t="s">
        <v>4154</v>
      </c>
      <c r="F8409" s="1021" t="s">
        <v>2519</v>
      </c>
      <c r="G8409" s="78"/>
    </row>
    <row r="8410" spans="1:9" hidden="1" outlineLevel="1" x14ac:dyDescent="0.25">
      <c r="A8410" s="999">
        <v>2.5000000000000001E-2</v>
      </c>
      <c r="B8410" s="702" t="s">
        <v>1995</v>
      </c>
      <c r="C8410" s="1242">
        <v>52.463999999999999</v>
      </c>
      <c r="D8410" s="803">
        <v>35.01</v>
      </c>
      <c r="E8410" s="705">
        <v>-0.33268526989935954</v>
      </c>
      <c r="F8410" s="1021">
        <v>-8.3171317474839881E-3</v>
      </c>
      <c r="G8410" s="78"/>
      <c r="H8410" s="110" t="s">
        <v>2739</v>
      </c>
    </row>
    <row r="8411" spans="1:9" hidden="1" outlineLevel="1" x14ac:dyDescent="0.25">
      <c r="A8411" s="1002">
        <v>4.4999999999999998E-2</v>
      </c>
      <c r="B8411" s="706" t="s">
        <v>359</v>
      </c>
      <c r="C8411" s="1242">
        <v>93.084999999999994</v>
      </c>
      <c r="D8411" s="908">
        <v>115.6</v>
      </c>
      <c r="E8411" s="709">
        <v>0.2418757050008058</v>
      </c>
      <c r="F8411" s="946">
        <v>1.0884406725036261E-2</v>
      </c>
      <c r="G8411" s="78"/>
      <c r="H8411" s="110" t="s">
        <v>360</v>
      </c>
    </row>
    <row r="8412" spans="1:9" hidden="1" outlineLevel="1" x14ac:dyDescent="0.25">
      <c r="A8412" s="1002">
        <v>3.5000000000000003E-2</v>
      </c>
      <c r="B8412" s="710" t="s">
        <v>157</v>
      </c>
      <c r="C8412" s="1242">
        <v>10.510999999999999</v>
      </c>
      <c r="D8412" s="908">
        <v>5.79</v>
      </c>
      <c r="E8412" s="709">
        <v>-0.44914851108362663</v>
      </c>
      <c r="F8412" s="946">
        <v>-1.5720197887926935E-2</v>
      </c>
      <c r="G8412" s="78"/>
      <c r="H8412" s="110" t="s">
        <v>730</v>
      </c>
    </row>
    <row r="8413" spans="1:9" hidden="1" outlineLevel="1" x14ac:dyDescent="0.25">
      <c r="A8413" s="1002">
        <v>0.04</v>
      </c>
      <c r="B8413" s="706" t="s">
        <v>1188</v>
      </c>
      <c r="C8413" s="1242">
        <v>644.4</v>
      </c>
      <c r="D8413" s="908">
        <v>443.25</v>
      </c>
      <c r="E8413" s="709">
        <v>-0.31215083798882681</v>
      </c>
      <c r="F8413" s="946">
        <v>-1.2486033519553073E-2</v>
      </c>
      <c r="G8413" s="78"/>
      <c r="H8413" s="110" t="s">
        <v>2746</v>
      </c>
    </row>
    <row r="8414" spans="1:9" hidden="1" outlineLevel="1" x14ac:dyDescent="0.25">
      <c r="A8414" s="1002">
        <v>0.04</v>
      </c>
      <c r="B8414" s="706" t="s">
        <v>53</v>
      </c>
      <c r="C8414" s="1242">
        <v>45.756500000000003</v>
      </c>
      <c r="D8414" s="908">
        <v>56.26</v>
      </c>
      <c r="E8414" s="709">
        <v>0.22955208549604955</v>
      </c>
      <c r="F8414" s="946">
        <v>9.182083419841983E-3</v>
      </c>
      <c r="G8414" s="78"/>
      <c r="H8414" s="110" t="s">
        <v>2751</v>
      </c>
    </row>
    <row r="8415" spans="1:9" hidden="1" outlineLevel="1" x14ac:dyDescent="0.25">
      <c r="A8415" s="1002">
        <v>4.4999999999999998E-2</v>
      </c>
      <c r="B8415" s="706" t="s">
        <v>2699</v>
      </c>
      <c r="C8415" s="1242">
        <v>13.032500000000001</v>
      </c>
      <c r="D8415" s="908">
        <v>23.54</v>
      </c>
      <c r="E8415" s="709">
        <v>0.80625359677728747</v>
      </c>
      <c r="F8415" s="946">
        <v>3.6281411854977935E-2</v>
      </c>
      <c r="G8415" s="78"/>
      <c r="H8415" s="110" t="s">
        <v>505</v>
      </c>
    </row>
    <row r="8416" spans="1:9" hidden="1" outlineLevel="1" x14ac:dyDescent="0.25">
      <c r="A8416" s="1002">
        <v>2.5000000000000001E-2</v>
      </c>
      <c r="B8416" s="706" t="s">
        <v>3406</v>
      </c>
      <c r="C8416" s="1242">
        <v>1144.0999999999999</v>
      </c>
      <c r="D8416" s="908">
        <v>2012.5</v>
      </c>
      <c r="E8416" s="709">
        <v>0.75902456079014091</v>
      </c>
      <c r="F8416" s="946">
        <v>1.8975614019753523E-2</v>
      </c>
      <c r="G8416" s="78"/>
      <c r="H8416" s="110" t="s">
        <v>2105</v>
      </c>
    </row>
    <row r="8417" spans="1:8" hidden="1" outlineLevel="1" x14ac:dyDescent="0.25">
      <c r="A8417" s="1002">
        <v>3.5000000000000003E-2</v>
      </c>
      <c r="B8417" s="706" t="s">
        <v>4387</v>
      </c>
      <c r="C8417" s="1242">
        <v>28.341999999999995</v>
      </c>
      <c r="D8417" s="908">
        <v>13.625</v>
      </c>
      <c r="E8417" s="709">
        <v>-0.51926469550490428</v>
      </c>
      <c r="F8417" s="946">
        <v>-1.817426434267165E-2</v>
      </c>
      <c r="G8417" s="78"/>
      <c r="H8417" s="110" t="s">
        <v>3744</v>
      </c>
    </row>
    <row r="8418" spans="1:8" hidden="1" outlineLevel="1" x14ac:dyDescent="0.25">
      <c r="A8418" s="1002">
        <v>0.04</v>
      </c>
      <c r="B8418" s="706" t="s">
        <v>3798</v>
      </c>
      <c r="C8418" s="1242">
        <v>4.1754999999999995</v>
      </c>
      <c r="D8418" s="908">
        <v>2.81</v>
      </c>
      <c r="E8418" s="709">
        <v>-0.32702670338881568</v>
      </c>
      <c r="F8418" s="946">
        <v>-1.3081068135552628E-2</v>
      </c>
      <c r="G8418" s="78"/>
      <c r="H8418" s="110" t="s">
        <v>4122</v>
      </c>
    </row>
    <row r="8419" spans="1:8" hidden="1" outlineLevel="1" x14ac:dyDescent="0.25">
      <c r="A8419" s="1002">
        <v>0.03</v>
      </c>
      <c r="B8419" s="711" t="s">
        <v>4338</v>
      </c>
      <c r="C8419" s="1242">
        <v>28.429499999999997</v>
      </c>
      <c r="D8419" s="908">
        <v>18.21</v>
      </c>
      <c r="E8419" s="709">
        <v>-0.35946815807523869</v>
      </c>
      <c r="F8419" s="946">
        <v>-1.078404474225716E-2</v>
      </c>
      <c r="G8419" s="78"/>
      <c r="H8419" s="110" t="s">
        <v>7229</v>
      </c>
    </row>
    <row r="8420" spans="1:8" hidden="1" outlineLevel="1" x14ac:dyDescent="0.25">
      <c r="A8420" s="1002">
        <v>0.03</v>
      </c>
      <c r="B8420" s="706" t="s">
        <v>307</v>
      </c>
      <c r="C8420" s="1242">
        <v>34.478999999999999</v>
      </c>
      <c r="D8420" s="908">
        <v>75.540000000000006</v>
      </c>
      <c r="E8420" s="709">
        <v>1.1908988079700689</v>
      </c>
      <c r="F8420" s="946">
        <v>3.5726964239102064E-2</v>
      </c>
      <c r="G8420" s="78"/>
      <c r="H8420" s="110" t="s">
        <v>1700</v>
      </c>
    </row>
    <row r="8421" spans="1:8" hidden="1" outlineLevel="1" x14ac:dyDescent="0.25">
      <c r="A8421" s="1002">
        <v>0.03</v>
      </c>
      <c r="B8421" s="706" t="s">
        <v>1031</v>
      </c>
      <c r="C8421" s="1242">
        <v>6.4438000000000004</v>
      </c>
      <c r="D8421" s="908">
        <v>4.2489999999999997</v>
      </c>
      <c r="E8421" s="709">
        <v>-0.34060647444054759</v>
      </c>
      <c r="F8421" s="946">
        <v>-1.0218194233216427E-2</v>
      </c>
      <c r="G8421" s="78"/>
      <c r="H8421" s="110" t="s">
        <v>4158</v>
      </c>
    </row>
    <row r="8422" spans="1:8" hidden="1" outlineLevel="1" x14ac:dyDescent="0.25">
      <c r="A8422" s="1002">
        <v>0.03</v>
      </c>
      <c r="B8422" s="706" t="s">
        <v>52</v>
      </c>
      <c r="C8422" s="1242">
        <v>129.744</v>
      </c>
      <c r="D8422" s="908">
        <v>193.15</v>
      </c>
      <c r="E8422" s="709">
        <v>0.48870082624244682</v>
      </c>
      <c r="F8422" s="946">
        <v>1.4661024787273404E-2</v>
      </c>
      <c r="G8422" s="78"/>
      <c r="H8422" s="110" t="s">
        <v>4130</v>
      </c>
    </row>
    <row r="8423" spans="1:8" hidden="1" outlineLevel="1" x14ac:dyDescent="0.25">
      <c r="A8423" s="1002">
        <v>0.03</v>
      </c>
      <c r="B8423" s="706" t="s">
        <v>4034</v>
      </c>
      <c r="C8423" s="1242">
        <v>10.196000000000002</v>
      </c>
      <c r="D8423" s="908">
        <v>12.965</v>
      </c>
      <c r="E8423" s="709">
        <v>0.27157708905453104</v>
      </c>
      <c r="F8423" s="946">
        <v>8.1473126716359312E-3</v>
      </c>
      <c r="G8423" s="78"/>
      <c r="H8423" s="110" t="s">
        <v>4035</v>
      </c>
    </row>
    <row r="8424" spans="1:8" hidden="1" outlineLevel="1" x14ac:dyDescent="0.25">
      <c r="A8424" s="1002">
        <v>3.5000000000000003E-2</v>
      </c>
      <c r="B8424" s="706" t="s">
        <v>4143</v>
      </c>
      <c r="C8424" s="1242">
        <v>11.618</v>
      </c>
      <c r="D8424" s="908">
        <v>2.3479999999999999</v>
      </c>
      <c r="E8424" s="709">
        <v>-0.79789981063866411</v>
      </c>
      <c r="F8424" s="946">
        <v>-2.7926493372353246E-2</v>
      </c>
      <c r="G8424" s="78"/>
      <c r="H8424" s="110" t="s">
        <v>4144</v>
      </c>
    </row>
    <row r="8425" spans="1:8" hidden="1" outlineLevel="1" x14ac:dyDescent="0.25">
      <c r="A8425" s="1002">
        <v>2.5000000000000001E-2</v>
      </c>
      <c r="B8425" s="706" t="s">
        <v>2160</v>
      </c>
      <c r="C8425" s="1242">
        <v>30.545999999999999</v>
      </c>
      <c r="D8425" s="908">
        <v>54.79</v>
      </c>
      <c r="E8425" s="709">
        <v>0.79368820794866757</v>
      </c>
      <c r="F8425" s="946">
        <v>1.9842205198716691E-2</v>
      </c>
      <c r="G8425" s="78"/>
      <c r="H8425" s="110" t="s">
        <v>5507</v>
      </c>
    </row>
    <row r="8426" spans="1:8" hidden="1" outlineLevel="1" x14ac:dyDescent="0.25">
      <c r="A8426" s="1002">
        <v>0.04</v>
      </c>
      <c r="B8426" s="712" t="s">
        <v>1772</v>
      </c>
      <c r="C8426" s="1242">
        <v>121.55500000000001</v>
      </c>
      <c r="D8426" s="908">
        <v>145.94999999999999</v>
      </c>
      <c r="E8426" s="709">
        <v>0.20069104520587366</v>
      </c>
      <c r="F8426" s="946">
        <v>8.0276418082349463E-3</v>
      </c>
      <c r="G8426" s="78"/>
      <c r="H8426" s="110" t="s">
        <v>4330</v>
      </c>
    </row>
    <row r="8427" spans="1:8" hidden="1" outlineLevel="1" x14ac:dyDescent="0.25">
      <c r="A8427" s="1002">
        <v>0.03</v>
      </c>
      <c r="B8427" s="706" t="s">
        <v>2786</v>
      </c>
      <c r="C8427" s="1242">
        <v>654.45000000000005</v>
      </c>
      <c r="D8427" s="908">
        <v>746</v>
      </c>
      <c r="E8427" s="709">
        <v>0.13988845595538235</v>
      </c>
      <c r="F8427" s="946">
        <v>4.1966536786614706E-3</v>
      </c>
      <c r="G8427" s="78"/>
      <c r="H8427" s="110" t="s">
        <v>4195</v>
      </c>
    </row>
    <row r="8428" spans="1:8" hidden="1" outlineLevel="1" x14ac:dyDescent="0.25">
      <c r="A8428" s="1002">
        <v>0.03</v>
      </c>
      <c r="B8428" s="706" t="s">
        <v>3797</v>
      </c>
      <c r="C8428" s="1242">
        <v>52.774999999999999</v>
      </c>
      <c r="D8428" s="908">
        <v>62.3</v>
      </c>
      <c r="E8428" s="709">
        <v>0.18048318332543811</v>
      </c>
      <c r="F8428" s="946">
        <v>5.4144954997631433E-3</v>
      </c>
      <c r="G8428" s="78"/>
      <c r="H8428" s="110" t="s">
        <v>3848</v>
      </c>
    </row>
    <row r="8429" spans="1:8" hidden="1" outlineLevel="1" x14ac:dyDescent="0.25">
      <c r="A8429" s="1002">
        <v>0.03</v>
      </c>
      <c r="B8429" s="706" t="s">
        <v>2787</v>
      </c>
      <c r="C8429" s="1242">
        <v>56.585000000000001</v>
      </c>
      <c r="D8429" s="908">
        <v>69.900000000000006</v>
      </c>
      <c r="E8429" s="709">
        <v>0.23530971105416643</v>
      </c>
      <c r="F8429" s="946">
        <v>7.0592913316249927E-3</v>
      </c>
      <c r="G8429" s="78"/>
      <c r="H8429" s="110" t="s">
        <v>80</v>
      </c>
    </row>
    <row r="8430" spans="1:8" hidden="1" outlineLevel="1" x14ac:dyDescent="0.25">
      <c r="A8430" s="1002">
        <v>0.04</v>
      </c>
      <c r="B8430" s="706" t="s">
        <v>1204</v>
      </c>
      <c r="C8430" s="1242">
        <v>66.173999999999992</v>
      </c>
      <c r="D8430" s="908">
        <v>81.02</v>
      </c>
      <c r="E8430" s="709">
        <v>0.22434793121165431</v>
      </c>
      <c r="F8430" s="946">
        <v>8.9739172484661726E-3</v>
      </c>
      <c r="G8430" s="78"/>
      <c r="H8430" s="110" t="s">
        <v>2427</v>
      </c>
    </row>
    <row r="8431" spans="1:8" hidden="1" outlineLevel="1" x14ac:dyDescent="0.25">
      <c r="A8431" s="1002">
        <v>3.5000000000000003E-2</v>
      </c>
      <c r="B8431" s="939" t="s">
        <v>1414</v>
      </c>
      <c r="C8431" s="1242">
        <v>16.986999999999998</v>
      </c>
      <c r="D8431" s="908">
        <v>28.71</v>
      </c>
      <c r="E8431" s="709">
        <v>0.69011597103667532</v>
      </c>
      <c r="F8431" s="946">
        <v>2.4154058986283637E-2</v>
      </c>
      <c r="G8431" s="78"/>
      <c r="H8431" s="110" t="s">
        <v>2428</v>
      </c>
    </row>
    <row r="8432" spans="1:8" hidden="1" outlineLevel="1" x14ac:dyDescent="0.25">
      <c r="A8432" s="1002">
        <v>3.5000000000000003E-2</v>
      </c>
      <c r="B8432" s="706" t="s">
        <v>3800</v>
      </c>
      <c r="C8432" s="1242">
        <v>174.37</v>
      </c>
      <c r="D8432" s="908">
        <v>235.6</v>
      </c>
      <c r="E8432" s="709">
        <v>0.35114985375924745</v>
      </c>
      <c r="F8432" s="946">
        <v>1.2290244881573662E-2</v>
      </c>
      <c r="G8432" s="78"/>
      <c r="H8432" s="110" t="s">
        <v>2817</v>
      </c>
    </row>
    <row r="8433" spans="1:8" hidden="1" outlineLevel="1" x14ac:dyDescent="0.25">
      <c r="A8433" s="1002">
        <v>0.04</v>
      </c>
      <c r="B8433" s="706" t="s">
        <v>1857</v>
      </c>
      <c r="C8433" s="1242">
        <v>1118.5</v>
      </c>
      <c r="D8433" s="908">
        <v>1558</v>
      </c>
      <c r="E8433" s="709">
        <v>0.39293696915511855</v>
      </c>
      <c r="F8433" s="946">
        <v>1.5717478766204742E-2</v>
      </c>
      <c r="G8433" s="78"/>
      <c r="H8433" s="110" t="s">
        <v>3559</v>
      </c>
    </row>
    <row r="8434" spans="1:8" hidden="1" outlineLevel="1" x14ac:dyDescent="0.25">
      <c r="A8434" s="1002">
        <v>2.5000000000000001E-2</v>
      </c>
      <c r="B8434" s="706" t="s">
        <v>1239</v>
      </c>
      <c r="C8434" s="1242">
        <v>394.24</v>
      </c>
      <c r="D8434" s="908">
        <v>433.3</v>
      </c>
      <c r="E8434" s="709">
        <v>9.9076704545454586E-2</v>
      </c>
      <c r="F8434" s="946">
        <v>2.4769176136363647E-3</v>
      </c>
      <c r="G8434" s="78"/>
      <c r="H8434" s="110" t="s">
        <v>268</v>
      </c>
    </row>
    <row r="8435" spans="1:8" hidden="1" outlineLevel="1" x14ac:dyDescent="0.25">
      <c r="A8435" s="1002">
        <v>0.03</v>
      </c>
      <c r="B8435" s="706" t="s">
        <v>3022</v>
      </c>
      <c r="C8435" s="1242">
        <v>4122</v>
      </c>
      <c r="D8435" s="908">
        <v>4655</v>
      </c>
      <c r="E8435" s="709">
        <v>0.12930616205725376</v>
      </c>
      <c r="F8435" s="946">
        <v>3.8791848617176126E-3</v>
      </c>
      <c r="G8435" s="78"/>
      <c r="H8435" s="110" t="s">
        <v>2802</v>
      </c>
    </row>
    <row r="8436" spans="1:8" hidden="1" outlineLevel="1" x14ac:dyDescent="0.25">
      <c r="A8436" s="1002">
        <v>0.03</v>
      </c>
      <c r="B8436" s="706" t="s">
        <v>577</v>
      </c>
      <c r="C8436" s="1242">
        <v>17.766000000000002</v>
      </c>
      <c r="D8436" s="908">
        <v>11.31</v>
      </c>
      <c r="E8436" s="709">
        <v>-0.36339074636946977</v>
      </c>
      <c r="F8436" s="946">
        <v>-1.0901722391084093E-2</v>
      </c>
      <c r="G8436" s="78"/>
      <c r="H8436" s="110" t="s">
        <v>2804</v>
      </c>
    </row>
    <row r="8437" spans="1:8" hidden="1" outlineLevel="1" x14ac:dyDescent="0.25">
      <c r="A8437" s="1002">
        <v>3.5000000000000003E-2</v>
      </c>
      <c r="B8437" s="706" t="s">
        <v>719</v>
      </c>
      <c r="C8437" s="1242">
        <v>44.183500000000002</v>
      </c>
      <c r="D8437" s="908">
        <v>42.314999999999998</v>
      </c>
      <c r="E8437" s="709">
        <v>-4.2289542476263819E-2</v>
      </c>
      <c r="F8437" s="946">
        <v>-1.4801339866692337E-3</v>
      </c>
      <c r="G8437" s="78"/>
      <c r="H8437" s="110" t="s">
        <v>1697</v>
      </c>
    </row>
    <row r="8438" spans="1:8" hidden="1" outlineLevel="1" x14ac:dyDescent="0.25">
      <c r="A8438" s="1002">
        <v>3.5000000000000003E-2</v>
      </c>
      <c r="B8438" s="706" t="s">
        <v>579</v>
      </c>
      <c r="C8438" s="1242">
        <v>150.11000000000001</v>
      </c>
      <c r="D8438" s="908">
        <v>213.9</v>
      </c>
      <c r="E8438" s="709">
        <v>0.4249550329758176</v>
      </c>
      <c r="F8438" s="946">
        <v>1.4873426154153617E-2</v>
      </c>
      <c r="G8438" s="78"/>
      <c r="H8438" s="110" t="s">
        <v>3611</v>
      </c>
    </row>
    <row r="8439" spans="1:8" hidden="1" outlineLevel="1" x14ac:dyDescent="0.25">
      <c r="A8439" s="1002">
        <v>2.5000000000000001E-2</v>
      </c>
      <c r="B8439" s="713" t="s">
        <v>4550</v>
      </c>
      <c r="C8439" s="1242">
        <v>256.66000000000003</v>
      </c>
      <c r="D8439" s="715">
        <v>236.8</v>
      </c>
      <c r="E8439" s="709">
        <v>-7.7378633211252268E-2</v>
      </c>
      <c r="F8439" s="946">
        <v>-1.9344658302813068E-3</v>
      </c>
      <c r="G8439" s="78"/>
      <c r="H8439" s="110" t="s">
        <v>4551</v>
      </c>
    </row>
    <row r="8440" spans="1:8" hidden="1" outlineLevel="1" x14ac:dyDescent="0.25">
      <c r="A8440" s="1099"/>
      <c r="B8440" s="1000"/>
      <c r="C8440" s="736"/>
      <c r="D8440" s="741"/>
      <c r="E8440" s="895"/>
      <c r="F8440" s="1021">
        <v>0.12974058355760845</v>
      </c>
      <c r="G8440" s="78"/>
    </row>
    <row r="8441" spans="1:8" hidden="1" outlineLevel="1" x14ac:dyDescent="0.25">
      <c r="A8441" s="753" t="s">
        <v>4248</v>
      </c>
      <c r="B8441" s="1243">
        <v>40330</v>
      </c>
      <c r="C8441" s="719">
        <v>100</v>
      </c>
      <c r="D8441" s="719">
        <v>87.114599999999996</v>
      </c>
      <c r="E8441" s="1171"/>
      <c r="F8441" s="730">
        <v>-0.12885400000000002</v>
      </c>
      <c r="G8441" s="78"/>
    </row>
    <row r="8442" spans="1:8" hidden="1" outlineLevel="1" x14ac:dyDescent="0.25">
      <c r="A8442" s="732" t="s">
        <v>4249</v>
      </c>
      <c r="B8442" s="1244">
        <v>40422</v>
      </c>
      <c r="C8442" s="727">
        <v>100</v>
      </c>
      <c r="D8442" s="727">
        <v>93.101100000000002</v>
      </c>
      <c r="E8442" s="720"/>
      <c r="F8442" s="730">
        <v>-6.8988999999999967E-2</v>
      </c>
      <c r="G8442" s="78"/>
    </row>
    <row r="8443" spans="1:8" hidden="1" outlineLevel="1" x14ac:dyDescent="0.25">
      <c r="A8443" s="732" t="s">
        <v>4250</v>
      </c>
      <c r="B8443" s="1244">
        <v>40513</v>
      </c>
      <c r="C8443" s="727">
        <v>100</v>
      </c>
      <c r="D8443" s="727">
        <v>95.441299999999998</v>
      </c>
      <c r="E8443" s="720"/>
      <c r="F8443" s="730">
        <v>-4.5587000000000044E-2</v>
      </c>
      <c r="G8443" s="78"/>
    </row>
    <row r="8444" spans="1:8" hidden="1" outlineLevel="1" x14ac:dyDescent="0.25">
      <c r="A8444" s="732" t="s">
        <v>4251</v>
      </c>
      <c r="B8444" s="1244">
        <v>40603</v>
      </c>
      <c r="C8444" s="727">
        <v>100</v>
      </c>
      <c r="D8444" s="727">
        <v>98.515500000000003</v>
      </c>
      <c r="E8444" s="720"/>
      <c r="F8444" s="730">
        <v>-1.4844999999999997E-2</v>
      </c>
      <c r="G8444" s="78"/>
    </row>
    <row r="8445" spans="1:8" hidden="1" outlineLevel="1" x14ac:dyDescent="0.25">
      <c r="A8445" s="732" t="s">
        <v>4252</v>
      </c>
      <c r="B8445" s="1244">
        <v>40695</v>
      </c>
      <c r="C8445" s="727">
        <v>100</v>
      </c>
      <c r="D8445" s="727">
        <v>98.54</v>
      </c>
      <c r="E8445" s="720"/>
      <c r="F8445" s="730">
        <v>-1.4599999999999946E-2</v>
      </c>
      <c r="G8445" s="78"/>
    </row>
    <row r="8446" spans="1:8" hidden="1" outlineLevel="1" x14ac:dyDescent="0.25">
      <c r="A8446" s="732" t="s">
        <v>4253</v>
      </c>
      <c r="B8446" s="1244">
        <v>40787</v>
      </c>
      <c r="C8446" s="727">
        <v>100</v>
      </c>
      <c r="D8446" s="727">
        <v>88.177199999999999</v>
      </c>
      <c r="E8446" s="720"/>
      <c r="F8446" s="730">
        <v>-0.118228</v>
      </c>
      <c r="G8446" s="78"/>
    </row>
    <row r="8447" spans="1:8" hidden="1" outlineLevel="1" x14ac:dyDescent="0.25">
      <c r="A8447" s="732" t="s">
        <v>4254</v>
      </c>
      <c r="B8447" s="1244">
        <v>40878</v>
      </c>
      <c r="C8447" s="727">
        <v>100</v>
      </c>
      <c r="D8447" s="727">
        <v>93.344999999999999</v>
      </c>
      <c r="E8447" s="720"/>
      <c r="F8447" s="730">
        <v>-6.6549999999999998E-2</v>
      </c>
      <c r="G8447" s="78"/>
    </row>
    <row r="8448" spans="1:8" hidden="1" outlineLevel="1" x14ac:dyDescent="0.25">
      <c r="A8448" s="732" t="s">
        <v>4255</v>
      </c>
      <c r="B8448" s="1244">
        <v>40969</v>
      </c>
      <c r="C8448" s="727">
        <v>100</v>
      </c>
      <c r="D8448" s="727">
        <v>97.581000000000003</v>
      </c>
      <c r="E8448" s="720"/>
      <c r="F8448" s="730">
        <v>-2.4189999999999934E-2</v>
      </c>
      <c r="G8448" s="78"/>
    </row>
    <row r="8449" spans="1:14" hidden="1" outlineLevel="1" x14ac:dyDescent="0.25">
      <c r="A8449" s="732" t="s">
        <v>4256</v>
      </c>
      <c r="B8449" s="1244">
        <v>41061</v>
      </c>
      <c r="C8449" s="727">
        <v>100</v>
      </c>
      <c r="D8449" s="727">
        <v>96.088899999999995</v>
      </c>
      <c r="E8449" s="720"/>
      <c r="F8449" s="730">
        <v>-3.9111000000000007E-2</v>
      </c>
      <c r="G8449" s="78"/>
    </row>
    <row r="8450" spans="1:14" hidden="1" outlineLevel="1" x14ac:dyDescent="0.25">
      <c r="A8450" s="732" t="s">
        <v>4257</v>
      </c>
      <c r="B8450" s="1244">
        <v>41153</v>
      </c>
      <c r="C8450" s="727">
        <v>100</v>
      </c>
      <c r="D8450" s="727">
        <v>99.7774</v>
      </c>
      <c r="E8450" s="720"/>
      <c r="F8450" s="730">
        <v>-2.2259999999999502E-3</v>
      </c>
      <c r="G8450" s="78"/>
    </row>
    <row r="8451" spans="1:14" hidden="1" outlineLevel="1" x14ac:dyDescent="0.25">
      <c r="A8451" s="732" t="s">
        <v>4258</v>
      </c>
      <c r="B8451" s="1244">
        <v>41244</v>
      </c>
      <c r="C8451" s="727">
        <v>100</v>
      </c>
      <c r="D8451" s="727">
        <v>100.92319999999999</v>
      </c>
      <c r="E8451" s="720"/>
      <c r="F8451" s="730">
        <v>9.2319999999999069E-3</v>
      </c>
      <c r="G8451" s="78"/>
    </row>
    <row r="8452" spans="1:14" hidden="1" outlineLevel="1" x14ac:dyDescent="0.25">
      <c r="A8452" s="732" t="s">
        <v>4259</v>
      </c>
      <c r="B8452" s="1244">
        <v>41334</v>
      </c>
      <c r="C8452" s="727">
        <v>100</v>
      </c>
      <c r="D8452" s="727">
        <v>110.1309</v>
      </c>
      <c r="E8452" s="720"/>
      <c r="F8452" s="730">
        <v>0.10130899999999987</v>
      </c>
      <c r="G8452" s="78"/>
    </row>
    <row r="8453" spans="1:14" hidden="1" outlineLevel="1" x14ac:dyDescent="0.25">
      <c r="A8453" s="732" t="s">
        <v>4260</v>
      </c>
      <c r="B8453" s="1244">
        <v>41426</v>
      </c>
      <c r="C8453" s="727">
        <v>100</v>
      </c>
      <c r="D8453" s="727">
        <v>109.6584</v>
      </c>
      <c r="E8453" s="720"/>
      <c r="F8453" s="730">
        <v>9.6584000000000003E-2</v>
      </c>
      <c r="G8453" s="78"/>
      <c r="H8453" t="s">
        <v>1837</v>
      </c>
    </row>
    <row r="8454" spans="1:14" hidden="1" outlineLevel="1" x14ac:dyDescent="0.25">
      <c r="A8454" s="754" t="s">
        <v>4261</v>
      </c>
      <c r="B8454" s="1161">
        <v>41518</v>
      </c>
      <c r="C8454" s="727">
        <v>100</v>
      </c>
      <c r="D8454" s="727">
        <v>115.3146</v>
      </c>
      <c r="E8454" s="720"/>
      <c r="F8454" s="730">
        <v>0.153146</v>
      </c>
      <c r="G8454" s="78"/>
      <c r="H8454" s="101">
        <v>-1.1636357142857148E-2</v>
      </c>
    </row>
    <row r="8455" spans="1:14" hidden="1" outlineLevel="1" x14ac:dyDescent="0.25">
      <c r="A8455" s="749"/>
      <c r="B8455" s="750"/>
      <c r="C8455" s="727"/>
      <c r="D8455" s="727"/>
      <c r="E8455" s="720"/>
      <c r="F8455" s="770"/>
      <c r="G8455" s="78"/>
    </row>
    <row r="8456" spans="1:14" collapsed="1" x14ac:dyDescent="0.25">
      <c r="A8456" s="3801" t="s">
        <v>4247</v>
      </c>
      <c r="B8456" s="3802"/>
      <c r="C8456" s="3802"/>
      <c r="D8456" s="3802"/>
      <c r="E8456" s="721"/>
      <c r="F8456" s="722">
        <v>0</v>
      </c>
      <c r="G8456" s="175" t="s">
        <v>781</v>
      </c>
    </row>
    <row r="8458" spans="1:14" hidden="1" outlineLevel="1" x14ac:dyDescent="0.25">
      <c r="A8458" s="689" t="s">
        <v>113</v>
      </c>
      <c r="B8458" s="689" t="s">
        <v>114</v>
      </c>
      <c r="C8458" s="689" t="s">
        <v>112</v>
      </c>
      <c r="D8458" s="689" t="s">
        <v>116</v>
      </c>
      <c r="E8458" s="689" t="s">
        <v>117</v>
      </c>
      <c r="F8458" s="1188" t="s">
        <v>121</v>
      </c>
      <c r="G8458" s="78"/>
    </row>
    <row r="8459" spans="1:14" hidden="1" outlineLevel="1" x14ac:dyDescent="0.25">
      <c r="A8459" s="690">
        <v>1</v>
      </c>
      <c r="B8459" s="691" t="s">
        <v>252</v>
      </c>
      <c r="C8459" s="692">
        <v>100</v>
      </c>
      <c r="D8459" s="692"/>
      <c r="E8459" s="693"/>
      <c r="F8459" s="694"/>
      <c r="G8459" s="78"/>
    </row>
    <row r="8460" spans="1:14" hidden="1" outlineLevel="1" x14ac:dyDescent="0.25">
      <c r="A8460" s="695"/>
      <c r="B8460" s="695"/>
      <c r="C8460" s="696"/>
      <c r="D8460" s="697" t="s">
        <v>3702</v>
      </c>
      <c r="E8460" s="698">
        <v>42277</v>
      </c>
      <c r="F8460" s="699"/>
      <c r="G8460" s="78"/>
    </row>
    <row r="8461" spans="1:14" hidden="1" outlineLevel="1" x14ac:dyDescent="0.25">
      <c r="A8461" s="689" t="s">
        <v>4156</v>
      </c>
      <c r="B8461" s="495" t="s">
        <v>4153</v>
      </c>
      <c r="C8461" s="700" t="s">
        <v>3924</v>
      </c>
      <c r="D8461" s="495" t="s">
        <v>4155</v>
      </c>
      <c r="E8461" s="495" t="s">
        <v>4154</v>
      </c>
      <c r="F8461" s="1021" t="s">
        <v>2519</v>
      </c>
      <c r="G8461" s="78"/>
      <c r="J8461" s="412" t="s">
        <v>631</v>
      </c>
      <c r="N8461" t="s">
        <v>112</v>
      </c>
    </row>
    <row r="8462" spans="1:14" hidden="1" outlineLevel="1" x14ac:dyDescent="0.25">
      <c r="A8462" s="701">
        <v>0.03</v>
      </c>
      <c r="B8462" s="702" t="s">
        <v>280</v>
      </c>
      <c r="C8462" s="848">
        <v>42.097000000000001</v>
      </c>
      <c r="D8462" s="803">
        <v>57.99</v>
      </c>
      <c r="E8462" s="705">
        <v>0.37753284082001093</v>
      </c>
      <c r="F8462" s="1021">
        <v>1.1325985224600328E-2</v>
      </c>
      <c r="G8462" s="78"/>
      <c r="H8462" s="110" t="s">
        <v>1469</v>
      </c>
      <c r="J8462" s="256">
        <v>41883</v>
      </c>
      <c r="K8462">
        <v>125.8326</v>
      </c>
      <c r="L8462" s="37">
        <v>0.25832600000000006</v>
      </c>
      <c r="N8462">
        <v>40.216499999999996</v>
      </c>
    </row>
    <row r="8463" spans="1:14" hidden="1" outlineLevel="1" x14ac:dyDescent="0.25">
      <c r="A8463" s="701">
        <v>0.03</v>
      </c>
      <c r="B8463" s="706" t="s">
        <v>157</v>
      </c>
      <c r="C8463" s="851">
        <v>9.2423999999999999</v>
      </c>
      <c r="D8463" s="908">
        <v>4.7439999999999998</v>
      </c>
      <c r="E8463" s="709">
        <v>-0.48671340777287286</v>
      </c>
      <c r="F8463" s="946">
        <v>-1.4601402233186185E-2</v>
      </c>
      <c r="G8463" s="78"/>
      <c r="H8463" s="110" t="s">
        <v>730</v>
      </c>
      <c r="J8463" s="256">
        <v>41913</v>
      </c>
      <c r="K8463">
        <v>125.0744</v>
      </c>
      <c r="L8463" s="37">
        <v>0.25074400000000008</v>
      </c>
      <c r="N8463">
        <v>10.222099999999998</v>
      </c>
    </row>
    <row r="8464" spans="1:14" hidden="1" outlineLevel="1" x14ac:dyDescent="0.25">
      <c r="A8464" s="701">
        <v>0.04</v>
      </c>
      <c r="B8464" s="710" t="s">
        <v>1188</v>
      </c>
      <c r="C8464" s="851">
        <v>386.98</v>
      </c>
      <c r="D8464" s="908">
        <v>334</v>
      </c>
      <c r="E8464" s="709">
        <v>-0.13690630006718696</v>
      </c>
      <c r="F8464" s="946">
        <v>-5.4762520026874787E-3</v>
      </c>
      <c r="G8464" s="78"/>
      <c r="H8464" s="110" t="s">
        <v>2746</v>
      </c>
      <c r="J8464" s="256">
        <v>41944</v>
      </c>
      <c r="K8464">
        <v>128.30359999999999</v>
      </c>
      <c r="L8464" s="37">
        <v>0.28303599999999984</v>
      </c>
      <c r="N8464">
        <v>614.66</v>
      </c>
    </row>
    <row r="8465" spans="1:14" hidden="1" outlineLevel="1" x14ac:dyDescent="0.25">
      <c r="A8465" s="701">
        <v>0.03</v>
      </c>
      <c r="B8465" s="706" t="s">
        <v>3288</v>
      </c>
      <c r="C8465" s="851">
        <v>516.9</v>
      </c>
      <c r="D8465" s="908">
        <v>1053</v>
      </c>
      <c r="E8465" s="709">
        <v>1.0371445153801511</v>
      </c>
      <c r="F8465" s="946">
        <v>3.1114335461404533E-2</v>
      </c>
      <c r="G8465" s="78"/>
      <c r="H8465" s="110" t="s">
        <v>266</v>
      </c>
      <c r="J8465" s="256">
        <v>41974</v>
      </c>
      <c r="K8465" s="424">
        <v>125.31399999999999</v>
      </c>
      <c r="L8465" s="37">
        <v>0.25313999999999992</v>
      </c>
      <c r="N8465">
        <v>501.54</v>
      </c>
    </row>
    <row r="8466" spans="1:14" hidden="1" outlineLevel="1" x14ac:dyDescent="0.25">
      <c r="A8466" s="701">
        <v>0.04</v>
      </c>
      <c r="B8466" s="706" t="s">
        <v>4387</v>
      </c>
      <c r="C8466" s="851">
        <v>22.436</v>
      </c>
      <c r="D8466" s="908">
        <v>7.6769999999999996</v>
      </c>
      <c r="E8466" s="709">
        <v>-0.65782670707791047</v>
      </c>
      <c r="F8466" s="946">
        <v>-2.6313068283116418E-2</v>
      </c>
      <c r="G8466" s="78"/>
      <c r="H8466" s="110" t="s">
        <v>3744</v>
      </c>
      <c r="J8466" s="256">
        <v>42005</v>
      </c>
      <c r="K8466" s="424">
        <v>126.02930000000001</v>
      </c>
      <c r="L8466" s="37">
        <v>0.26029300000000011</v>
      </c>
      <c r="N8466">
        <v>26.922499999999999</v>
      </c>
    </row>
    <row r="8467" spans="1:14" hidden="1" outlineLevel="1" x14ac:dyDescent="0.25">
      <c r="A8467" s="701">
        <v>0.04</v>
      </c>
      <c r="B8467" s="706" t="s">
        <v>3021</v>
      </c>
      <c r="C8467" s="851">
        <v>15.661</v>
      </c>
      <c r="D8467" s="908">
        <v>14.05</v>
      </c>
      <c r="E8467" s="709">
        <v>-0.10286699444479908</v>
      </c>
      <c r="F8467" s="946">
        <v>-4.1146797777919632E-3</v>
      </c>
      <c r="G8467" s="78"/>
      <c r="H8467" s="110" t="s">
        <v>4124</v>
      </c>
      <c r="J8467" s="256">
        <v>42036</v>
      </c>
      <c r="K8467" s="424">
        <v>130.18960000000001</v>
      </c>
      <c r="L8467" s="37">
        <v>0.30189600000000016</v>
      </c>
      <c r="N8467">
        <v>17.420999999999999</v>
      </c>
    </row>
    <row r="8468" spans="1:14" hidden="1" outlineLevel="1" x14ac:dyDescent="0.25">
      <c r="A8468" s="701">
        <v>2.5000000000000001E-2</v>
      </c>
      <c r="B8468" s="706" t="s">
        <v>3425</v>
      </c>
      <c r="C8468" s="851">
        <v>59.212000000000003</v>
      </c>
      <c r="D8468" s="908">
        <v>74.349999999999994</v>
      </c>
      <c r="E8468" s="709">
        <v>0.25565763696547972</v>
      </c>
      <c r="F8468" s="946">
        <v>6.3914409241369935E-3</v>
      </c>
      <c r="G8468" s="78"/>
      <c r="H8468" s="110" t="s">
        <v>4126</v>
      </c>
      <c r="J8468" s="256">
        <v>42064</v>
      </c>
      <c r="K8468" s="424">
        <v>128.91579999999999</v>
      </c>
      <c r="L8468" s="37">
        <v>0.2891579999999998</v>
      </c>
      <c r="N8468">
        <v>66.359000000000009</v>
      </c>
    </row>
    <row r="8469" spans="1:14" hidden="1" outlineLevel="1" x14ac:dyDescent="0.25">
      <c r="A8469" s="701">
        <v>3.5000000000000003E-2</v>
      </c>
      <c r="B8469" s="706" t="s">
        <v>7227</v>
      </c>
      <c r="C8469" s="851">
        <v>24.828499999999998</v>
      </c>
      <c r="D8469" s="908">
        <v>14.427999999999997</v>
      </c>
      <c r="E8469" s="709">
        <v>-0.41889361016573701</v>
      </c>
      <c r="F8469" s="946">
        <v>-1.4661276355800796E-2</v>
      </c>
      <c r="G8469" s="78"/>
      <c r="H8469" s="110" t="s">
        <v>7229</v>
      </c>
      <c r="J8469" s="256">
        <v>42095</v>
      </c>
      <c r="K8469" s="424">
        <v>130.8416</v>
      </c>
      <c r="L8469" s="37">
        <v>0.30841600000000002</v>
      </c>
      <c r="N8469">
        <v>27.6875</v>
      </c>
    </row>
    <row r="8470" spans="1:14" hidden="1" outlineLevel="1" x14ac:dyDescent="0.25">
      <c r="A8470" s="701">
        <v>3.5000000000000003E-2</v>
      </c>
      <c r="B8470" s="706" t="s">
        <v>1031</v>
      </c>
      <c r="C8470" s="851">
        <v>5.4333999999999998</v>
      </c>
      <c r="D8470" s="908">
        <v>5.9470000000000001</v>
      </c>
      <c r="E8470" s="709">
        <v>9.4526447528251234E-2</v>
      </c>
      <c r="F8470" s="946">
        <v>3.3084256634887937E-3</v>
      </c>
      <c r="G8470" s="78"/>
      <c r="H8470" s="110" t="s">
        <v>4158</v>
      </c>
      <c r="J8470" s="256">
        <v>42125</v>
      </c>
      <c r="K8470" s="424">
        <v>133.17830000000001</v>
      </c>
      <c r="L8470" s="37">
        <v>0.33178300000000016</v>
      </c>
      <c r="N8470">
        <v>6.1706000000000003</v>
      </c>
    </row>
    <row r="8471" spans="1:14" hidden="1" outlineLevel="1" x14ac:dyDescent="0.25">
      <c r="A8471" s="701">
        <v>2.5000000000000001E-2</v>
      </c>
      <c r="B8471" s="711" t="s">
        <v>2920</v>
      </c>
      <c r="C8471" s="851">
        <v>18.529</v>
      </c>
      <c r="D8471" s="908">
        <v>30.14</v>
      </c>
      <c r="E8471" s="709">
        <v>0.6266393221436668</v>
      </c>
      <c r="F8471" s="946">
        <v>1.5665983053591671E-2</v>
      </c>
      <c r="G8471" s="78"/>
      <c r="H8471" s="110" t="s">
        <v>2926</v>
      </c>
      <c r="J8471" s="256">
        <v>42156</v>
      </c>
      <c r="K8471" s="424">
        <v>124.6682</v>
      </c>
      <c r="L8471" s="37">
        <v>0.24668200000000007</v>
      </c>
      <c r="N8471">
        <v>20.914999999999999</v>
      </c>
    </row>
    <row r="8472" spans="1:14" hidden="1" outlineLevel="1" x14ac:dyDescent="0.25">
      <c r="A8472" s="701">
        <v>0.03</v>
      </c>
      <c r="B8472" s="706" t="s">
        <v>1601</v>
      </c>
      <c r="C8472" s="851">
        <v>23.506</v>
      </c>
      <c r="D8472" s="908">
        <v>52.22</v>
      </c>
      <c r="E8472" s="709">
        <v>1.2215604526503872</v>
      </c>
      <c r="F8472" s="946">
        <v>3.6646813579511613E-2</v>
      </c>
      <c r="G8472" s="78"/>
      <c r="H8472" s="110" t="s">
        <v>1600</v>
      </c>
      <c r="J8472" s="256">
        <v>42186</v>
      </c>
      <c r="K8472" s="424">
        <v>128.99799999999999</v>
      </c>
      <c r="L8472" s="37">
        <v>0.2899799999999999</v>
      </c>
      <c r="N8472">
        <v>23.798999999999999</v>
      </c>
    </row>
    <row r="8473" spans="1:14" hidden="1" outlineLevel="1" x14ac:dyDescent="0.25">
      <c r="A8473" s="701">
        <v>0.03</v>
      </c>
      <c r="B8473" s="1012" t="s">
        <v>816</v>
      </c>
      <c r="C8473" s="851">
        <v>73.150000000000006</v>
      </c>
      <c r="D8473" s="908">
        <v>98.53</v>
      </c>
      <c r="E8473" s="709">
        <v>0.34695830485304158</v>
      </c>
      <c r="F8473" s="946">
        <v>1.0408749145591248E-2</v>
      </c>
      <c r="G8473" s="78"/>
      <c r="H8473" s="110" t="s">
        <v>817</v>
      </c>
      <c r="J8473" s="256">
        <v>42217</v>
      </c>
      <c r="K8473" s="424">
        <v>121.6818</v>
      </c>
      <c r="L8473" s="37">
        <v>0.21681799999999996</v>
      </c>
      <c r="N8473">
        <v>64.662999999999982</v>
      </c>
    </row>
    <row r="8474" spans="1:14" hidden="1" outlineLevel="1" x14ac:dyDescent="0.25">
      <c r="A8474" s="701">
        <v>3.5000000000000003E-2</v>
      </c>
      <c r="B8474" s="706" t="s">
        <v>1772</v>
      </c>
      <c r="C8474" s="851">
        <v>101.955</v>
      </c>
      <c r="D8474" s="908">
        <v>166.75</v>
      </c>
      <c r="E8474" s="709">
        <v>0.63552547692609496</v>
      </c>
      <c r="F8474" s="946">
        <v>2.2243391692413326E-2</v>
      </c>
      <c r="G8474" s="78"/>
      <c r="H8474" s="110" t="s">
        <v>4330</v>
      </c>
      <c r="J8474" s="412" t="s">
        <v>2465</v>
      </c>
      <c r="K8474" s="412"/>
      <c r="L8474" s="422">
        <v>0.27418933333333334</v>
      </c>
      <c r="N8474">
        <v>116.58499999999999</v>
      </c>
    </row>
    <row r="8475" spans="1:14" hidden="1" outlineLevel="1" x14ac:dyDescent="0.25">
      <c r="A8475" s="701">
        <v>4.4999999999999998E-2</v>
      </c>
      <c r="B8475" s="706" t="s">
        <v>2786</v>
      </c>
      <c r="C8475" s="851">
        <v>537.54999999999995</v>
      </c>
      <c r="D8475" s="908">
        <v>918.9</v>
      </c>
      <c r="E8475" s="709">
        <v>0.70942237931355234</v>
      </c>
      <c r="F8475" s="946">
        <v>3.1924007069109854E-2</v>
      </c>
      <c r="G8475" s="78"/>
      <c r="H8475" s="110" t="s">
        <v>4195</v>
      </c>
      <c r="J8475" t="s">
        <v>6704</v>
      </c>
      <c r="L8475" s="1269">
        <v>-7.2771999999999934E-2</v>
      </c>
      <c r="N8475">
        <v>656.95</v>
      </c>
    </row>
    <row r="8476" spans="1:14" hidden="1" outlineLevel="1" x14ac:dyDescent="0.25">
      <c r="A8476" s="701">
        <v>0.03</v>
      </c>
      <c r="B8476" s="706" t="s">
        <v>3797</v>
      </c>
      <c r="C8476" s="851">
        <v>52.48</v>
      </c>
      <c r="D8476" s="908">
        <v>73.25</v>
      </c>
      <c r="E8476" s="709">
        <v>0.39576981707317072</v>
      </c>
      <c r="F8476" s="946">
        <v>1.187309451219512E-2</v>
      </c>
      <c r="G8476" s="78"/>
      <c r="H8476" s="110" t="s">
        <v>3848</v>
      </c>
      <c r="J8476" t="s">
        <v>6703</v>
      </c>
      <c r="L8476" s="406">
        <v>0.37419203619102664</v>
      </c>
      <c r="N8476">
        <v>53.59</v>
      </c>
    </row>
    <row r="8477" spans="1:14" hidden="1" outlineLevel="1" x14ac:dyDescent="0.25">
      <c r="A8477" s="701">
        <v>0.03</v>
      </c>
      <c r="B8477" s="706" t="s">
        <v>2787</v>
      </c>
      <c r="C8477" s="851">
        <v>52.695</v>
      </c>
      <c r="D8477" s="908">
        <v>89.4</v>
      </c>
      <c r="E8477" s="709">
        <v>0.69655565044121848</v>
      </c>
      <c r="F8477" s="946">
        <v>2.0896669513236554E-2</v>
      </c>
      <c r="G8477" s="78"/>
      <c r="H8477" s="110" t="s">
        <v>80</v>
      </c>
      <c r="J8477" s="412" t="s">
        <v>5122</v>
      </c>
      <c r="L8477" s="423">
        <v>0.24322482352416733</v>
      </c>
      <c r="N8477">
        <v>58.36</v>
      </c>
    </row>
    <row r="8478" spans="1:14" hidden="1" outlineLevel="1" x14ac:dyDescent="0.25">
      <c r="A8478" s="701">
        <v>2.5000000000000001E-2</v>
      </c>
      <c r="B8478" s="706" t="s">
        <v>1602</v>
      </c>
      <c r="C8478" s="851">
        <v>74.123000000000005</v>
      </c>
      <c r="D8478" s="908">
        <v>138.88</v>
      </c>
      <c r="E8478" s="709">
        <v>0.87364245915572747</v>
      </c>
      <c r="F8478" s="946">
        <v>2.1841061478893187E-2</v>
      </c>
      <c r="G8478" s="78"/>
      <c r="H8478" s="110" t="s">
        <v>100</v>
      </c>
      <c r="N8478">
        <v>78.524000000000001</v>
      </c>
    </row>
    <row r="8479" spans="1:14" hidden="1" outlineLevel="1" x14ac:dyDescent="0.25">
      <c r="A8479" s="701">
        <v>3.5000000000000003E-2</v>
      </c>
      <c r="B8479" s="712" t="s">
        <v>1414</v>
      </c>
      <c r="C8479" s="851">
        <v>15.974</v>
      </c>
      <c r="D8479" s="908">
        <v>31.41</v>
      </c>
      <c r="E8479" s="709">
        <v>0.96632027043946422</v>
      </c>
      <c r="F8479" s="946">
        <v>3.3821209465381252E-2</v>
      </c>
      <c r="G8479" s="78"/>
      <c r="H8479" s="110" t="s">
        <v>2428</v>
      </c>
      <c r="N8479">
        <v>17.308999999999997</v>
      </c>
    </row>
    <row r="8480" spans="1:14" hidden="1" outlineLevel="1" x14ac:dyDescent="0.25">
      <c r="A8480" s="701">
        <v>3.5000000000000003E-2</v>
      </c>
      <c r="B8480" s="706" t="s">
        <v>3793</v>
      </c>
      <c r="C8480" s="851">
        <v>51.686999999999998</v>
      </c>
      <c r="D8480" s="908">
        <v>79.33</v>
      </c>
      <c r="E8480" s="709">
        <v>0.53481533074080523</v>
      </c>
      <c r="F8480" s="946">
        <v>1.8718536575928185E-2</v>
      </c>
      <c r="G8480" s="78"/>
      <c r="H8480" s="110" t="s">
        <v>3533</v>
      </c>
      <c r="N8480">
        <v>50.447000000000003</v>
      </c>
    </row>
    <row r="8481" spans="1:14" hidden="1" outlineLevel="1" x14ac:dyDescent="0.25">
      <c r="A8481" s="701">
        <v>3.5000000000000003E-2</v>
      </c>
      <c r="B8481" s="706" t="s">
        <v>54</v>
      </c>
      <c r="C8481" s="851">
        <v>17.923999999999999</v>
      </c>
      <c r="D8481" s="908">
        <v>10.41</v>
      </c>
      <c r="E8481" s="709">
        <v>-0.41921446105779958</v>
      </c>
      <c r="F8481" s="946">
        <v>-1.4672506137022987E-2</v>
      </c>
      <c r="G8481" s="78"/>
      <c r="H8481" s="110" t="s">
        <v>2816</v>
      </c>
      <c r="N8481">
        <v>17.567499999999999</v>
      </c>
    </row>
    <row r="8482" spans="1:14" hidden="1" outlineLevel="1" x14ac:dyDescent="0.25">
      <c r="A8482" s="701">
        <v>0.03</v>
      </c>
      <c r="B8482" s="706" t="s">
        <v>3800</v>
      </c>
      <c r="C8482" s="851">
        <v>138.94999999999999</v>
      </c>
      <c r="D8482" s="908">
        <v>257</v>
      </c>
      <c r="E8482" s="709">
        <v>0.8495861820798849</v>
      </c>
      <c r="F8482" s="946">
        <v>2.5487585462396545E-2</v>
      </c>
      <c r="G8482" s="78"/>
      <c r="H8482" s="110" t="s">
        <v>2817</v>
      </c>
      <c r="N8482">
        <v>179.78</v>
      </c>
    </row>
    <row r="8483" spans="1:14" hidden="1" outlineLevel="1" x14ac:dyDescent="0.25">
      <c r="A8483" s="701">
        <v>4.4999999999999998E-2</v>
      </c>
      <c r="B8483" s="706" t="s">
        <v>102</v>
      </c>
      <c r="C8483" s="851">
        <v>123.59</v>
      </c>
      <c r="D8483" s="908">
        <v>98.15</v>
      </c>
      <c r="E8483" s="709">
        <v>-0.20584189659357555</v>
      </c>
      <c r="F8483" s="946">
        <v>-9.2628853467108998E-3</v>
      </c>
      <c r="G8483" s="78"/>
      <c r="H8483" s="110" t="s">
        <v>101</v>
      </c>
      <c r="N8483">
        <v>125.23</v>
      </c>
    </row>
    <row r="8484" spans="1:14" hidden="1" outlineLevel="1" x14ac:dyDescent="0.25">
      <c r="A8484" s="701">
        <v>0.03</v>
      </c>
      <c r="B8484" s="706" t="s">
        <v>4294</v>
      </c>
      <c r="C8484" s="851">
        <v>242.69</v>
      </c>
      <c r="D8484" s="908">
        <v>499.4</v>
      </c>
      <c r="E8484" s="709">
        <v>1.0577691705467882</v>
      </c>
      <c r="F8484" s="946">
        <v>3.1733075116403643E-2</v>
      </c>
      <c r="G8484" s="78"/>
      <c r="H8484" s="110" t="s">
        <v>1894</v>
      </c>
      <c r="N8484">
        <v>246.17</v>
      </c>
    </row>
    <row r="8485" spans="1:14" hidden="1" outlineLevel="1" x14ac:dyDescent="0.25">
      <c r="A8485" s="701">
        <v>2.5000000000000001E-2</v>
      </c>
      <c r="B8485" s="706" t="s">
        <v>103</v>
      </c>
      <c r="C8485" s="851">
        <v>26.946999999999999</v>
      </c>
      <c r="D8485" s="908">
        <v>7.165</v>
      </c>
      <c r="E8485" s="709">
        <v>-0.73410769287861355</v>
      </c>
      <c r="F8485" s="946">
        <v>-1.835269232196534E-2</v>
      </c>
      <c r="G8485" s="78"/>
      <c r="H8485" s="110" t="s">
        <v>104</v>
      </c>
      <c r="N8485">
        <v>25.762</v>
      </c>
    </row>
    <row r="8486" spans="1:14" hidden="1" outlineLevel="1" x14ac:dyDescent="0.25">
      <c r="A8486" s="701">
        <v>3.5000000000000003E-2</v>
      </c>
      <c r="B8486" s="706" t="s">
        <v>6770</v>
      </c>
      <c r="C8486" s="851">
        <v>20.858000000000001</v>
      </c>
      <c r="D8486" s="908">
        <v>26.27</v>
      </c>
      <c r="E8486" s="709">
        <v>0.25946878895387848</v>
      </c>
      <c r="F8486" s="946">
        <v>9.0814076133857481E-3</v>
      </c>
      <c r="G8486" s="78"/>
      <c r="H8486" s="110" t="s">
        <v>105</v>
      </c>
      <c r="N8486">
        <v>22.101999999999997</v>
      </c>
    </row>
    <row r="8487" spans="1:14" hidden="1" outlineLevel="1" x14ac:dyDescent="0.25">
      <c r="A8487" s="701">
        <v>2.5000000000000001E-2</v>
      </c>
      <c r="B8487" s="706" t="s">
        <v>3304</v>
      </c>
      <c r="C8487" s="851">
        <v>240.85</v>
      </c>
      <c r="D8487" s="908">
        <v>312.10000000000002</v>
      </c>
      <c r="E8487" s="709">
        <v>0.29582727838903899</v>
      </c>
      <c r="F8487" s="946">
        <v>7.3956819597259752E-3</v>
      </c>
      <c r="G8487" s="78"/>
      <c r="H8487" s="110" t="s">
        <v>2012</v>
      </c>
      <c r="N8487">
        <v>297.18</v>
      </c>
    </row>
    <row r="8488" spans="1:14" hidden="1" outlineLevel="1" x14ac:dyDescent="0.25">
      <c r="A8488" s="701">
        <v>0.04</v>
      </c>
      <c r="B8488" s="706" t="s">
        <v>577</v>
      </c>
      <c r="C8488" s="851">
        <v>17.277999999999999</v>
      </c>
      <c r="D8488" s="908">
        <v>10.83</v>
      </c>
      <c r="E8488" s="709">
        <v>-0.37319134159046186</v>
      </c>
      <c r="F8488" s="946">
        <v>-1.4927653663618475E-2</v>
      </c>
      <c r="G8488" s="78"/>
      <c r="H8488" s="110" t="s">
        <v>2804</v>
      </c>
      <c r="N8488">
        <v>17.854500000000002</v>
      </c>
    </row>
    <row r="8489" spans="1:14" hidden="1" outlineLevel="1" x14ac:dyDescent="0.25">
      <c r="A8489" s="701">
        <v>0.04</v>
      </c>
      <c r="B8489" s="706" t="s">
        <v>1183</v>
      </c>
      <c r="C8489" s="851">
        <v>37.493499999999997</v>
      </c>
      <c r="D8489" s="908">
        <v>40.200000000000003</v>
      </c>
      <c r="E8489" s="709">
        <v>7.21858455465616E-2</v>
      </c>
      <c r="F8489" s="946">
        <v>2.8874338218624639E-3</v>
      </c>
      <c r="G8489" s="78"/>
      <c r="H8489" s="110" t="s">
        <v>2805</v>
      </c>
      <c r="N8489">
        <v>42.302</v>
      </c>
    </row>
    <row r="8490" spans="1:14" hidden="1" outlineLevel="1" x14ac:dyDescent="0.25">
      <c r="A8490" s="701">
        <v>0.03</v>
      </c>
      <c r="B8490" s="706" t="s">
        <v>106</v>
      </c>
      <c r="C8490" s="851">
        <v>1710.6</v>
      </c>
      <c r="D8490" s="908">
        <v>2686</v>
      </c>
      <c r="E8490" s="709">
        <v>0.57020928329241216</v>
      </c>
      <c r="F8490" s="946">
        <v>1.7106278498772363E-2</v>
      </c>
      <c r="G8490" s="78"/>
      <c r="H8490" s="110" t="s">
        <v>107</v>
      </c>
      <c r="N8490">
        <v>1979.7</v>
      </c>
    </row>
    <row r="8491" spans="1:14" hidden="1" outlineLevel="1" x14ac:dyDescent="0.25">
      <c r="A8491" s="701">
        <v>0.04</v>
      </c>
      <c r="B8491" s="713" t="s">
        <v>579</v>
      </c>
      <c r="C8491" s="1041">
        <v>151.94999999999999</v>
      </c>
      <c r="D8491" s="715">
        <v>208.45</v>
      </c>
      <c r="E8491" s="716">
        <v>0.37183283974991777</v>
      </c>
      <c r="F8491" s="1023">
        <v>1.487331358999671E-2</v>
      </c>
      <c r="G8491" s="78"/>
      <c r="H8491" s="110" t="s">
        <v>3611</v>
      </c>
      <c r="N8491">
        <v>148.66</v>
      </c>
    </row>
    <row r="8492" spans="1:14" hidden="1" outlineLevel="1" x14ac:dyDescent="0.25">
      <c r="A8492" s="717"/>
      <c r="B8492" s="750"/>
      <c r="C8492" s="727"/>
      <c r="D8492" s="727"/>
      <c r="E8492" s="716"/>
      <c r="F8492" s="770">
        <v>0.26236206330012551</v>
      </c>
      <c r="G8492" s="78"/>
    </row>
    <row r="8493" spans="1:14" hidden="1" outlineLevel="1" x14ac:dyDescent="0.25">
      <c r="A8493" s="717"/>
      <c r="B8493" s="1201" t="s">
        <v>108</v>
      </c>
      <c r="C8493" s="727"/>
      <c r="D8493" s="727"/>
      <c r="E8493" s="716"/>
      <c r="F8493" s="1828">
        <v>0</v>
      </c>
      <c r="G8493" s="78"/>
    </row>
    <row r="8494" spans="1:14" hidden="1" outlineLevel="1" x14ac:dyDescent="0.25">
      <c r="A8494" s="717"/>
      <c r="B8494" s="1201" t="s">
        <v>7232</v>
      </c>
      <c r="C8494" s="727"/>
      <c r="D8494" s="727"/>
      <c r="E8494" s="716"/>
      <c r="F8494" s="770">
        <v>0.2432</v>
      </c>
      <c r="G8494" s="78"/>
    </row>
    <row r="8495" spans="1:14" hidden="1" outlineLevel="1" x14ac:dyDescent="0.25">
      <c r="A8495" s="717"/>
      <c r="B8495" s="750"/>
      <c r="C8495" s="727"/>
      <c r="D8495" s="727"/>
      <c r="E8495" s="716"/>
      <c r="F8495" s="770"/>
      <c r="G8495" s="78"/>
    </row>
    <row r="8496" spans="1:14" collapsed="1" x14ac:dyDescent="0.25">
      <c r="A8496" s="3801" t="s">
        <v>4461</v>
      </c>
      <c r="B8496" s="3802"/>
      <c r="C8496" s="3802"/>
      <c r="D8496" s="3802"/>
      <c r="E8496" s="721"/>
      <c r="F8496" s="722">
        <v>0.24322482352416733</v>
      </c>
      <c r="G8496" s="175" t="s">
        <v>781</v>
      </c>
    </row>
    <row r="8498" spans="1:11" hidden="1" outlineLevel="1" x14ac:dyDescent="0.25">
      <c r="A8498" s="689" t="s">
        <v>113</v>
      </c>
      <c r="B8498" s="689" t="s">
        <v>114</v>
      </c>
      <c r="C8498" s="689" t="s">
        <v>112</v>
      </c>
      <c r="D8498" s="689" t="s">
        <v>116</v>
      </c>
      <c r="E8498" s="689" t="s">
        <v>117</v>
      </c>
      <c r="F8498" s="1188" t="s">
        <v>121</v>
      </c>
      <c r="G8498" s="78"/>
    </row>
    <row r="8499" spans="1:11" hidden="1" outlineLevel="1" x14ac:dyDescent="0.25">
      <c r="A8499" s="690">
        <v>1</v>
      </c>
      <c r="B8499" s="691" t="s">
        <v>252</v>
      </c>
      <c r="C8499" s="692">
        <v>100</v>
      </c>
      <c r="D8499" s="692"/>
      <c r="E8499" s="693"/>
      <c r="F8499" s="694"/>
      <c r="G8499" s="78"/>
    </row>
    <row r="8500" spans="1:11" hidden="1" outlineLevel="1" x14ac:dyDescent="0.25">
      <c r="A8500" s="695"/>
      <c r="B8500" s="695"/>
      <c r="C8500" s="696"/>
      <c r="D8500" s="697" t="s">
        <v>3702</v>
      </c>
      <c r="E8500" s="698">
        <v>42062</v>
      </c>
      <c r="F8500" s="699"/>
      <c r="G8500" s="78"/>
    </row>
    <row r="8501" spans="1:11" hidden="1" outlineLevel="1" x14ac:dyDescent="0.25">
      <c r="A8501" s="689" t="s">
        <v>4156</v>
      </c>
      <c r="B8501" s="495" t="s">
        <v>4153</v>
      </c>
      <c r="C8501" s="700" t="s">
        <v>112</v>
      </c>
      <c r="D8501" s="495" t="s">
        <v>116</v>
      </c>
      <c r="E8501" s="495" t="s">
        <v>4154</v>
      </c>
      <c r="F8501" s="1021" t="s">
        <v>2519</v>
      </c>
      <c r="G8501" s="78"/>
      <c r="I8501" s="412" t="s">
        <v>631</v>
      </c>
    </row>
    <row r="8502" spans="1:11" hidden="1" outlineLevel="1" x14ac:dyDescent="0.25">
      <c r="A8502" s="701">
        <v>2.5000000000000001E-2</v>
      </c>
      <c r="B8502" s="702" t="s">
        <v>1995</v>
      </c>
      <c r="C8502" s="1330">
        <v>54.637999999999998</v>
      </c>
      <c r="D8502" s="843">
        <v>107.87</v>
      </c>
      <c r="E8502" s="895">
        <v>0.9742669936674111</v>
      </c>
      <c r="F8502" s="1830">
        <v>2.4356674841685279E-2</v>
      </c>
      <c r="G8502" s="78"/>
      <c r="H8502" t="s">
        <v>5768</v>
      </c>
      <c r="I8502" s="256">
        <v>41699</v>
      </c>
      <c r="J8502">
        <v>132.0985</v>
      </c>
      <c r="K8502" s="37">
        <v>0.32098500000000008</v>
      </c>
    </row>
    <row r="8503" spans="1:11" hidden="1" outlineLevel="1" x14ac:dyDescent="0.25">
      <c r="A8503" s="701">
        <v>3.5000000000000003E-2</v>
      </c>
      <c r="B8503" s="706" t="s">
        <v>1903</v>
      </c>
      <c r="C8503" s="1328">
        <v>2933.9</v>
      </c>
      <c r="D8503" s="798">
        <v>4469.5</v>
      </c>
      <c r="E8503" s="896">
        <v>0.52339888885101726</v>
      </c>
      <c r="F8503" s="1666">
        <v>1.8318961109785606E-2</v>
      </c>
      <c r="G8503" s="78"/>
      <c r="H8503" t="s">
        <v>3883</v>
      </c>
      <c r="I8503" s="256">
        <v>41730</v>
      </c>
      <c r="J8503">
        <v>134.38829999999999</v>
      </c>
      <c r="K8503" s="37">
        <v>0.34388299999999994</v>
      </c>
    </row>
    <row r="8504" spans="1:11" hidden="1" outlineLevel="1" x14ac:dyDescent="0.25">
      <c r="A8504" s="701">
        <v>0.04</v>
      </c>
      <c r="B8504" s="710" t="s">
        <v>157</v>
      </c>
      <c r="C8504" s="1328">
        <v>10.3445</v>
      </c>
      <c r="D8504" s="798">
        <v>6.5330000000000004</v>
      </c>
      <c r="E8504" s="896">
        <v>-0.36845666779448016</v>
      </c>
      <c r="F8504" s="1666">
        <v>-1.4738266711779207E-2</v>
      </c>
      <c r="G8504" s="78"/>
      <c r="H8504" t="s">
        <v>730</v>
      </c>
      <c r="I8504" s="256">
        <v>41760</v>
      </c>
      <c r="J8504">
        <v>135.65979999999999</v>
      </c>
      <c r="K8504" s="37">
        <v>0.35659799999999997</v>
      </c>
    </row>
    <row r="8505" spans="1:11" hidden="1" outlineLevel="1" x14ac:dyDescent="0.25">
      <c r="A8505" s="701">
        <v>0.04</v>
      </c>
      <c r="B8505" s="706" t="s">
        <v>1188</v>
      </c>
      <c r="C8505" s="1328">
        <v>622.16999999999996</v>
      </c>
      <c r="D8505" s="798">
        <v>448.05</v>
      </c>
      <c r="E8505" s="896">
        <v>-0.2798592024687786</v>
      </c>
      <c r="F8505" s="1666">
        <v>-1.1194368098751144E-2</v>
      </c>
      <c r="G8505" s="78"/>
      <c r="H8505" t="s">
        <v>2746</v>
      </c>
      <c r="I8505" s="256">
        <v>41791</v>
      </c>
      <c r="J8505">
        <v>135.23689999999999</v>
      </c>
      <c r="K8505" s="37">
        <v>0.35236899999999993</v>
      </c>
    </row>
    <row r="8506" spans="1:11" hidden="1" outlineLevel="1" x14ac:dyDescent="0.25">
      <c r="A8506" s="701">
        <v>4.4999999999999998E-2</v>
      </c>
      <c r="B8506" s="706" t="s">
        <v>1440</v>
      </c>
      <c r="C8506" s="1328">
        <v>42.143000021005946</v>
      </c>
      <c r="D8506" s="798">
        <v>70.819999999999993</v>
      </c>
      <c r="E8506" s="896">
        <v>0.68046887892888863</v>
      </c>
      <c r="F8506" s="1666">
        <v>3.0621099551799986E-2</v>
      </c>
      <c r="G8506" s="78"/>
      <c r="H8506" t="s">
        <v>2569</v>
      </c>
      <c r="I8506" s="256">
        <v>41821</v>
      </c>
      <c r="J8506">
        <v>131.89259999999999</v>
      </c>
      <c r="K8506" s="37">
        <v>0.31892599999999982</v>
      </c>
    </row>
    <row r="8507" spans="1:11" hidden="1" outlineLevel="1" x14ac:dyDescent="0.25">
      <c r="A8507" s="701">
        <v>2.5000000000000001E-2</v>
      </c>
      <c r="B8507" s="706" t="s">
        <v>53</v>
      </c>
      <c r="C8507" s="1328">
        <v>44.006500000000003</v>
      </c>
      <c r="D8507" s="798">
        <v>62.33</v>
      </c>
      <c r="E8507" s="896">
        <v>0.4163816708895276</v>
      </c>
      <c r="F8507" s="1666">
        <v>1.0409541772238191E-2</v>
      </c>
      <c r="G8507" s="78"/>
      <c r="H8507" t="s">
        <v>2751</v>
      </c>
      <c r="I8507" s="256">
        <v>41852</v>
      </c>
      <c r="J8507">
        <v>136.23089999999999</v>
      </c>
      <c r="K8507" s="37">
        <v>0.36230899999999999</v>
      </c>
    </row>
    <row r="8508" spans="1:11" hidden="1" outlineLevel="1" x14ac:dyDescent="0.25">
      <c r="A8508" s="701">
        <v>0.03</v>
      </c>
      <c r="B8508" s="706" t="s">
        <v>2699</v>
      </c>
      <c r="C8508" s="1328">
        <v>12.999500000000001</v>
      </c>
      <c r="D8508" s="798">
        <v>30.43</v>
      </c>
      <c r="E8508" s="896">
        <v>1.3408592638178387</v>
      </c>
      <c r="F8508" s="1666">
        <v>4.022577791453516E-2</v>
      </c>
      <c r="G8508" s="78"/>
      <c r="H8508" t="s">
        <v>505</v>
      </c>
      <c r="I8508" s="256">
        <v>41883</v>
      </c>
      <c r="J8508">
        <v>136.54849999999999</v>
      </c>
      <c r="K8508" s="37">
        <v>0.36548499999999984</v>
      </c>
    </row>
    <row r="8509" spans="1:11" hidden="1" outlineLevel="1" x14ac:dyDescent="0.25">
      <c r="A8509" s="701">
        <v>0.03</v>
      </c>
      <c r="B8509" s="706" t="s">
        <v>3406</v>
      </c>
      <c r="C8509" s="1328">
        <v>1089.9000000000001</v>
      </c>
      <c r="D8509" s="798">
        <v>1935.5</v>
      </c>
      <c r="E8509" s="896">
        <v>0.77585099550417458</v>
      </c>
      <c r="F8509" s="1666">
        <v>2.3275529865125235E-2</v>
      </c>
      <c r="G8509" s="78"/>
      <c r="H8509" t="s">
        <v>2105</v>
      </c>
      <c r="I8509" s="256">
        <v>41913</v>
      </c>
      <c r="J8509">
        <v>138.75839999999999</v>
      </c>
      <c r="K8509" s="37">
        <v>0.38758399999999993</v>
      </c>
    </row>
    <row r="8510" spans="1:11" hidden="1" outlineLevel="1" x14ac:dyDescent="0.25">
      <c r="A8510" s="701">
        <v>0.03</v>
      </c>
      <c r="B8510" s="706" t="s">
        <v>3799</v>
      </c>
      <c r="C8510" s="1328">
        <v>1241.7635520668264</v>
      </c>
      <c r="D8510" s="798">
        <v>1541.5</v>
      </c>
      <c r="E8510" s="896">
        <v>0.24137964706266657</v>
      </c>
      <c r="F8510" s="1666">
        <v>7.2413894118799971E-3</v>
      </c>
      <c r="G8510" s="78"/>
      <c r="H8510" t="s">
        <v>4128</v>
      </c>
      <c r="I8510" s="256">
        <v>41944</v>
      </c>
      <c r="J8510">
        <v>144.1251</v>
      </c>
      <c r="K8510" s="37">
        <v>0.44125100000000006</v>
      </c>
    </row>
    <row r="8511" spans="1:11" hidden="1" outlineLevel="1" x14ac:dyDescent="0.25">
      <c r="A8511" s="701">
        <v>0.03</v>
      </c>
      <c r="B8511" s="711" t="s">
        <v>307</v>
      </c>
      <c r="C8511" s="1328">
        <v>32.189</v>
      </c>
      <c r="D8511" s="798">
        <v>114.75</v>
      </c>
      <c r="E8511" s="896">
        <v>2.5648824132467611</v>
      </c>
      <c r="F8511" s="1666">
        <v>7.6946472397402835E-2</v>
      </c>
      <c r="G8511" s="78"/>
      <c r="H8511" t="s">
        <v>1700</v>
      </c>
      <c r="I8511" s="256">
        <v>41974</v>
      </c>
      <c r="J8511">
        <v>141.33410000000001</v>
      </c>
      <c r="K8511" s="37">
        <v>0.41334099999999996</v>
      </c>
    </row>
    <row r="8512" spans="1:11" hidden="1" outlineLevel="1" x14ac:dyDescent="0.25">
      <c r="A8512" s="701">
        <v>3.5000000000000003E-2</v>
      </c>
      <c r="B8512" s="706" t="s">
        <v>1031</v>
      </c>
      <c r="C8512" s="1328">
        <v>6.2459000000000007</v>
      </c>
      <c r="D8512" s="798">
        <v>6.1070000000000002</v>
      </c>
      <c r="E8512" s="896">
        <v>-2.2238588514065349E-2</v>
      </c>
      <c r="F8512" s="1666">
        <v>-7.7835059799228733E-4</v>
      </c>
      <c r="G8512" s="78"/>
      <c r="H8512" t="s">
        <v>4158</v>
      </c>
      <c r="I8512" s="256">
        <v>42005</v>
      </c>
      <c r="J8512" s="424">
        <v>143.57900000000001</v>
      </c>
      <c r="K8512" s="37">
        <v>0.43579000000000012</v>
      </c>
    </row>
    <row r="8513" spans="1:11" hidden="1" outlineLevel="1" x14ac:dyDescent="0.25">
      <c r="A8513" s="701">
        <v>2.5000000000000001E-2</v>
      </c>
      <c r="B8513" s="706" t="s">
        <v>52</v>
      </c>
      <c r="C8513" s="1328">
        <v>127.30099999999997</v>
      </c>
      <c r="D8513" s="798">
        <v>161.94</v>
      </c>
      <c r="E8513" s="896">
        <v>0.27210312566279948</v>
      </c>
      <c r="F8513" s="1666">
        <v>6.8025781415699876E-3</v>
      </c>
      <c r="G8513" s="78"/>
      <c r="H8513" t="s">
        <v>4130</v>
      </c>
      <c r="I8513" s="256">
        <v>42036</v>
      </c>
      <c r="J8513">
        <v>147.5222</v>
      </c>
      <c r="K8513" s="37">
        <v>0.47522200000000003</v>
      </c>
    </row>
    <row r="8514" spans="1:11" hidden="1" outlineLevel="1" x14ac:dyDescent="0.25">
      <c r="A8514" s="701">
        <v>0.04</v>
      </c>
      <c r="B8514" s="706" t="s">
        <v>3426</v>
      </c>
      <c r="C8514" s="1328">
        <v>64.400000000000006</v>
      </c>
      <c r="D8514" s="798">
        <v>102.51</v>
      </c>
      <c r="E8514" s="896">
        <v>0.59177018633540368</v>
      </c>
      <c r="F8514" s="1666">
        <v>2.3670807453416147E-2</v>
      </c>
      <c r="G8514" s="78"/>
      <c r="H8514" t="s">
        <v>4145</v>
      </c>
      <c r="I8514" s="412" t="s">
        <v>2465</v>
      </c>
      <c r="J8514" s="412"/>
      <c r="K8514" s="422">
        <v>0.38114524999999988</v>
      </c>
    </row>
    <row r="8515" spans="1:11" hidden="1" outlineLevel="1" x14ac:dyDescent="0.25">
      <c r="A8515" s="701">
        <v>0.03</v>
      </c>
      <c r="B8515" s="706" t="s">
        <v>1381</v>
      </c>
      <c r="C8515" s="1328">
        <v>60.260999999999989</v>
      </c>
      <c r="D8515" s="798">
        <v>109.66</v>
      </c>
      <c r="E8515" s="896">
        <v>0.81975075090025085</v>
      </c>
      <c r="F8515" s="1666">
        <v>2.4592522527007523E-2</v>
      </c>
      <c r="G8515" s="78"/>
      <c r="H8515" t="s">
        <v>1383</v>
      </c>
      <c r="I8515" s="412" t="s">
        <v>5122</v>
      </c>
      <c r="K8515" s="423">
        <v>0.30491619999999992</v>
      </c>
    </row>
    <row r="8516" spans="1:11" hidden="1" outlineLevel="1" x14ac:dyDescent="0.25">
      <c r="A8516" s="701">
        <v>0.03</v>
      </c>
      <c r="B8516" s="706" t="s">
        <v>4034</v>
      </c>
      <c r="C8516" s="1328">
        <v>9.760194087419654</v>
      </c>
      <c r="D8516" s="798">
        <v>16.765000000000001</v>
      </c>
      <c r="E8516" s="896">
        <v>0.71769125181733329</v>
      </c>
      <c r="F8516" s="1666">
        <v>2.1530737554519997E-2</v>
      </c>
      <c r="G8516" s="78"/>
      <c r="H8516" t="s">
        <v>4035</v>
      </c>
      <c r="J8516" s="434"/>
    </row>
    <row r="8517" spans="1:11" hidden="1" outlineLevel="1" x14ac:dyDescent="0.25">
      <c r="A8517" s="701">
        <v>3.5000000000000003E-2</v>
      </c>
      <c r="B8517" s="706" t="s">
        <v>4143</v>
      </c>
      <c r="C8517" s="1328">
        <v>7.2326172589003015</v>
      </c>
      <c r="D8517" s="798">
        <v>3.052</v>
      </c>
      <c r="E8517" s="896">
        <v>-0.57802274187200009</v>
      </c>
      <c r="F8517" s="1666">
        <v>-2.0230795965520004E-2</v>
      </c>
      <c r="G8517" s="78"/>
      <c r="H8517" t="s">
        <v>4144</v>
      </c>
      <c r="J8517" s="434"/>
    </row>
    <row r="8518" spans="1:11" hidden="1" outlineLevel="1" x14ac:dyDescent="0.25">
      <c r="A8518" s="701">
        <v>0.03</v>
      </c>
      <c r="B8518" s="706" t="s">
        <v>2160</v>
      </c>
      <c r="C8518" s="1328">
        <v>29.476999999999997</v>
      </c>
      <c r="D8518" s="798">
        <v>64.06</v>
      </c>
      <c r="E8518" s="896">
        <v>1.1732197984869561</v>
      </c>
      <c r="F8518" s="1666">
        <v>3.5196593954608682E-2</v>
      </c>
      <c r="G8518" s="78"/>
      <c r="H8518" t="s">
        <v>5507</v>
      </c>
      <c r="J8518" s="434"/>
    </row>
    <row r="8519" spans="1:11" hidden="1" outlineLevel="1" x14ac:dyDescent="0.25">
      <c r="A8519" s="701">
        <v>3.5000000000000003E-2</v>
      </c>
      <c r="B8519" s="712" t="s">
        <v>1772</v>
      </c>
      <c r="C8519" s="1328">
        <v>116.72</v>
      </c>
      <c r="D8519" s="798">
        <v>185.5</v>
      </c>
      <c r="E8519" s="896">
        <v>0.58927347498286498</v>
      </c>
      <c r="F8519" s="1666">
        <v>2.0624571624400276E-2</v>
      </c>
      <c r="G8519" s="78"/>
      <c r="H8519" t="s">
        <v>4330</v>
      </c>
      <c r="J8519" s="434"/>
    </row>
    <row r="8520" spans="1:11" hidden="1" outlineLevel="1" x14ac:dyDescent="0.25">
      <c r="A8520" s="701">
        <v>0.04</v>
      </c>
      <c r="B8520" s="706" t="s">
        <v>2786</v>
      </c>
      <c r="C8520" s="1328">
        <v>588.61632000387112</v>
      </c>
      <c r="D8520" s="798">
        <v>886.6</v>
      </c>
      <c r="E8520" s="896">
        <v>0.50624433925680012</v>
      </c>
      <c r="F8520" s="1666">
        <v>2.0249773570272005E-2</v>
      </c>
      <c r="G8520" s="78"/>
      <c r="H8520" t="s">
        <v>4195</v>
      </c>
      <c r="J8520" s="434"/>
    </row>
    <row r="8521" spans="1:11" hidden="1" outlineLevel="1" x14ac:dyDescent="0.25">
      <c r="A8521" s="701">
        <v>2.5000000000000001E-2</v>
      </c>
      <c r="B8521" s="706" t="s">
        <v>3797</v>
      </c>
      <c r="C8521" s="1328">
        <v>53.71</v>
      </c>
      <c r="D8521" s="798">
        <v>74.400000000000006</v>
      </c>
      <c r="E8521" s="896">
        <v>0.38521690560417055</v>
      </c>
      <c r="F8521" s="1666">
        <v>9.6304226401042643E-3</v>
      </c>
      <c r="G8521" s="78"/>
      <c r="H8521" t="s">
        <v>3848</v>
      </c>
      <c r="J8521" s="434"/>
    </row>
    <row r="8522" spans="1:11" hidden="1" outlineLevel="1" x14ac:dyDescent="0.25">
      <c r="A8522" s="701">
        <v>0.03</v>
      </c>
      <c r="B8522" s="706" t="s">
        <v>1040</v>
      </c>
      <c r="C8522" s="1328">
        <v>3902</v>
      </c>
      <c r="D8522" s="798">
        <v>7420</v>
      </c>
      <c r="E8522" s="896">
        <v>0.90158892875448493</v>
      </c>
      <c r="F8522" s="1666">
        <v>2.7047667862634548E-2</v>
      </c>
      <c r="G8522" s="78"/>
      <c r="H8522" t="s">
        <v>5543</v>
      </c>
      <c r="J8522" s="434"/>
    </row>
    <row r="8523" spans="1:11" hidden="1" outlineLevel="1" x14ac:dyDescent="0.25">
      <c r="A8523" s="701">
        <v>0.03</v>
      </c>
      <c r="B8523" s="706" t="s">
        <v>2787</v>
      </c>
      <c r="C8523" s="1328">
        <v>58.23</v>
      </c>
      <c r="D8523" s="798">
        <v>97.45</v>
      </c>
      <c r="E8523" s="896">
        <v>0.67353597801820375</v>
      </c>
      <c r="F8523" s="1666">
        <v>2.020607934054611E-2</v>
      </c>
      <c r="G8523" s="78"/>
      <c r="H8523" t="s">
        <v>80</v>
      </c>
      <c r="J8523" s="434"/>
    </row>
    <row r="8524" spans="1:11" hidden="1" outlineLevel="1" x14ac:dyDescent="0.25">
      <c r="A8524" s="701">
        <v>3.5000000000000003E-2</v>
      </c>
      <c r="B8524" s="706" t="s">
        <v>3023</v>
      </c>
      <c r="C8524" s="1328">
        <v>63.465000000000003</v>
      </c>
      <c r="D8524" s="798">
        <v>85.13</v>
      </c>
      <c r="E8524" s="896">
        <v>0.34136925864649803</v>
      </c>
      <c r="F8524" s="1666">
        <v>1.1947924052627432E-2</v>
      </c>
      <c r="G8524" s="78"/>
      <c r="H8524" t="s">
        <v>2815</v>
      </c>
      <c r="J8524" s="434"/>
    </row>
    <row r="8525" spans="1:11" hidden="1" outlineLevel="1" x14ac:dyDescent="0.25">
      <c r="A8525" s="701">
        <v>2.5000000000000001E-2</v>
      </c>
      <c r="B8525" s="706" t="s">
        <v>3800</v>
      </c>
      <c r="C8525" s="1328">
        <v>176.97</v>
      </c>
      <c r="D8525" s="798">
        <v>258.8</v>
      </c>
      <c r="E8525" s="896">
        <v>0.46239475617336279</v>
      </c>
      <c r="F8525" s="1666">
        <v>1.155986890433407E-2</v>
      </c>
      <c r="G8525" s="78"/>
      <c r="H8525" t="s">
        <v>2817</v>
      </c>
      <c r="J8525" s="434"/>
    </row>
    <row r="8526" spans="1:11" hidden="1" outlineLevel="1" x14ac:dyDescent="0.25">
      <c r="A8526" s="701">
        <v>0.04</v>
      </c>
      <c r="B8526" s="706" t="s">
        <v>1857</v>
      </c>
      <c r="C8526" s="1328">
        <v>1126.5999999999999</v>
      </c>
      <c r="D8526" s="798">
        <v>1573</v>
      </c>
      <c r="E8526" s="896">
        <v>0.3962364636960769</v>
      </c>
      <c r="F8526" s="1666">
        <v>1.5849458547843077E-2</v>
      </c>
      <c r="G8526" s="78"/>
      <c r="H8526" t="s">
        <v>3559</v>
      </c>
      <c r="J8526" s="434"/>
    </row>
    <row r="8527" spans="1:11" hidden="1" outlineLevel="1" x14ac:dyDescent="0.25">
      <c r="A8527" s="701">
        <v>0.03</v>
      </c>
      <c r="B8527" s="706" t="s">
        <v>1239</v>
      </c>
      <c r="C8527" s="1328">
        <v>380.65</v>
      </c>
      <c r="D8527" s="798">
        <v>546.5</v>
      </c>
      <c r="E8527" s="896">
        <v>0.43570208853277292</v>
      </c>
      <c r="F8527" s="1666">
        <v>1.3071062655983188E-2</v>
      </c>
      <c r="G8527" s="78"/>
      <c r="H8527" t="s">
        <v>268</v>
      </c>
      <c r="J8527" s="434"/>
    </row>
    <row r="8528" spans="1:11" hidden="1" outlineLevel="1" x14ac:dyDescent="0.25">
      <c r="A8528" s="701">
        <v>3.5000000000000003E-2</v>
      </c>
      <c r="B8528" s="706" t="s">
        <v>3022</v>
      </c>
      <c r="C8528" s="1328">
        <v>4098</v>
      </c>
      <c r="D8528" s="798">
        <v>6123</v>
      </c>
      <c r="E8528" s="896">
        <v>0.49414348462664726</v>
      </c>
      <c r="F8528" s="1666">
        <v>1.7295021961932656E-2</v>
      </c>
      <c r="G8528" s="78"/>
      <c r="H8528" t="s">
        <v>2802</v>
      </c>
      <c r="J8528" s="434"/>
    </row>
    <row r="8529" spans="1:16" hidden="1" outlineLevel="1" x14ac:dyDescent="0.25">
      <c r="A8529" s="701">
        <v>4.4999999999999998E-2</v>
      </c>
      <c r="B8529" s="706" t="s">
        <v>577</v>
      </c>
      <c r="C8529" s="1328">
        <v>17.920500000000001</v>
      </c>
      <c r="D8529" s="798">
        <v>13.895</v>
      </c>
      <c r="E8529" s="896">
        <v>-0.22463100917943146</v>
      </c>
      <c r="F8529" s="1666">
        <v>-1.0108395413074416E-2</v>
      </c>
      <c r="G8529" s="78"/>
      <c r="H8529" t="s">
        <v>2804</v>
      </c>
      <c r="J8529" s="434"/>
    </row>
    <row r="8530" spans="1:16" hidden="1" outlineLevel="1" x14ac:dyDescent="0.25">
      <c r="A8530" s="701">
        <v>0.04</v>
      </c>
      <c r="B8530" s="706" t="s">
        <v>579</v>
      </c>
      <c r="C8530" s="1328">
        <v>149.3933549302393</v>
      </c>
      <c r="D8530" s="798">
        <v>224.4</v>
      </c>
      <c r="E8530" s="896">
        <v>0.50207484198199981</v>
      </c>
      <c r="F8530" s="1666">
        <v>2.0082993679279994E-2</v>
      </c>
      <c r="G8530" s="78"/>
      <c r="H8530" t="s">
        <v>3611</v>
      </c>
      <c r="J8530" s="434"/>
    </row>
    <row r="8531" spans="1:16" hidden="1" outlineLevel="1" x14ac:dyDescent="0.25">
      <c r="A8531" s="701">
        <v>3.5000000000000003E-2</v>
      </c>
      <c r="B8531" s="713" t="s">
        <v>4550</v>
      </c>
      <c r="C8531" s="1331">
        <v>266.52</v>
      </c>
      <c r="D8531" s="768">
        <v>304.8</v>
      </c>
      <c r="E8531" s="947">
        <v>0.14362899594777145</v>
      </c>
      <c r="F8531" s="770">
        <v>5.0270148581720011E-3</v>
      </c>
      <c r="G8531" s="78"/>
      <c r="H8531" t="s">
        <v>4551</v>
      </c>
      <c r="J8531" s="434"/>
    </row>
    <row r="8532" spans="1:16" hidden="1" outlineLevel="1" x14ac:dyDescent="0.25">
      <c r="A8532" s="717"/>
      <c r="B8532" s="750"/>
      <c r="C8532" s="727"/>
      <c r="D8532" s="727"/>
      <c r="E8532" s="716"/>
      <c r="F8532" s="770">
        <v>0.47520000000000001</v>
      </c>
      <c r="G8532" s="78"/>
    </row>
    <row r="8533" spans="1:16" collapsed="1" x14ac:dyDescent="0.25">
      <c r="A8533" s="3801" t="s">
        <v>4331</v>
      </c>
      <c r="B8533" s="3802"/>
      <c r="C8533" s="3802"/>
      <c r="D8533" s="3802"/>
      <c r="E8533" s="721"/>
      <c r="F8533" s="722">
        <v>0.30491619999999992</v>
      </c>
      <c r="G8533" s="175" t="s">
        <v>781</v>
      </c>
    </row>
    <row r="8535" spans="1:16" ht="14.4" hidden="1" outlineLevel="1" x14ac:dyDescent="0.3">
      <c r="A8535" s="689" t="s">
        <v>113</v>
      </c>
      <c r="B8535" s="689" t="s">
        <v>114</v>
      </c>
      <c r="C8535" s="689" t="s">
        <v>112</v>
      </c>
      <c r="D8535" s="689" t="s">
        <v>4155</v>
      </c>
      <c r="E8535" s="689" t="s">
        <v>117</v>
      </c>
      <c r="F8535" s="731" t="s">
        <v>121</v>
      </c>
      <c r="G8535" s="12"/>
      <c r="H8535" s="173" t="s">
        <v>1515</v>
      </c>
      <c r="I8535" s="173" t="s">
        <v>1516</v>
      </c>
      <c r="K8535" s="482">
        <v>41578</v>
      </c>
      <c r="L8535" s="482">
        <v>41607</v>
      </c>
      <c r="M8535" s="482">
        <v>41639</v>
      </c>
      <c r="N8535" s="482">
        <v>41670</v>
      </c>
      <c r="O8535" s="482">
        <v>41698</v>
      </c>
      <c r="P8535" s="483">
        <v>41729</v>
      </c>
    </row>
    <row r="8536" spans="1:16" hidden="1" outlineLevel="1" x14ac:dyDescent="0.25">
      <c r="A8536" s="732" t="s">
        <v>3794</v>
      </c>
      <c r="B8536" s="1045" t="s">
        <v>1991</v>
      </c>
      <c r="C8536" s="1046">
        <v>3.9399999999999998E-2</v>
      </c>
      <c r="D8536" s="1106">
        <v>3.644049267546097E-2</v>
      </c>
      <c r="E8536" s="3819">
        <v>-0.10405586513991583</v>
      </c>
      <c r="F8536" s="3816">
        <v>-0.10405586513991583</v>
      </c>
      <c r="G8536" s="12"/>
      <c r="H8536" s="300">
        <v>25.384700000000002</v>
      </c>
      <c r="I8536" s="44">
        <v>27.442</v>
      </c>
      <c r="J8536" s="146" t="s">
        <v>2040</v>
      </c>
      <c r="K8536" s="484">
        <v>3.8866648528897353E-2</v>
      </c>
      <c r="L8536" s="484">
        <v>3.6508342156182691E-2</v>
      </c>
      <c r="M8536" s="484">
        <v>3.6460422211689214E-2</v>
      </c>
      <c r="N8536" s="484">
        <v>3.6363636363636362E-2</v>
      </c>
      <c r="O8536" s="484">
        <v>3.6571094207138673E-2</v>
      </c>
      <c r="P8536" s="484">
        <v>3.644049267546097E-2</v>
      </c>
    </row>
    <row r="8537" spans="1:16" hidden="1" outlineLevel="1" x14ac:dyDescent="0.25">
      <c r="A8537" s="732" t="s">
        <v>3794</v>
      </c>
      <c r="B8537" s="1047" t="s">
        <v>2313</v>
      </c>
      <c r="C8537" s="1048">
        <v>3.8E-3</v>
      </c>
      <c r="D8537" s="1106">
        <v>3.2554202747574713E-3</v>
      </c>
      <c r="E8537" s="3820"/>
      <c r="F8537" s="3817"/>
      <c r="G8537" s="12"/>
      <c r="H8537" s="300">
        <v>265.51900000000006</v>
      </c>
      <c r="I8537" s="44">
        <v>307.18</v>
      </c>
      <c r="J8537" s="147" t="s">
        <v>2313</v>
      </c>
      <c r="K8537" s="484">
        <v>3.3910949845705179E-3</v>
      </c>
      <c r="L8537" s="484">
        <v>3.3211557622052474E-3</v>
      </c>
      <c r="M8537" s="484">
        <v>3.3665499596014004E-3</v>
      </c>
      <c r="N8537" s="484">
        <v>3.1922364808785035E-3</v>
      </c>
      <c r="O8537" s="484">
        <v>3.2211306168465131E-3</v>
      </c>
      <c r="P8537" s="484">
        <v>3.2554202747574713E-3</v>
      </c>
    </row>
    <row r="8538" spans="1:16" hidden="1" outlineLevel="1" x14ac:dyDescent="0.25">
      <c r="A8538" s="732" t="s">
        <v>3794</v>
      </c>
      <c r="B8538" s="1049" t="s">
        <v>1990</v>
      </c>
      <c r="C8538" s="1050">
        <v>0.25679999999999997</v>
      </c>
      <c r="D8538" s="1106">
        <v>0.23969893813370408</v>
      </c>
      <c r="E8538" s="3821"/>
      <c r="F8538" s="3818"/>
      <c r="G8538" s="12"/>
      <c r="H8538" s="300">
        <v>3.8938800000000002</v>
      </c>
      <c r="I8538" s="44">
        <v>4.1718999999999999</v>
      </c>
      <c r="J8538" s="148" t="s">
        <v>1990</v>
      </c>
      <c r="K8538" s="484">
        <v>0.23933178565445276</v>
      </c>
      <c r="L8538" s="484">
        <v>0.2377555872563005</v>
      </c>
      <c r="M8538" s="484">
        <v>0.24071444045928314</v>
      </c>
      <c r="N8538" s="484">
        <v>0.23536057239691205</v>
      </c>
      <c r="O8538" s="484">
        <v>0.23994625203954312</v>
      </c>
      <c r="P8538" s="484">
        <v>0.23969893813370408</v>
      </c>
    </row>
    <row r="8539" spans="1:16" ht="14.4" collapsed="1" x14ac:dyDescent="0.3">
      <c r="A8539" s="3801" t="s">
        <v>3795</v>
      </c>
      <c r="B8539" s="3802"/>
      <c r="C8539" s="3802"/>
      <c r="D8539" s="3802"/>
      <c r="E8539" s="729"/>
      <c r="F8539" s="752">
        <v>0</v>
      </c>
      <c r="G8539" s="175" t="s">
        <v>781</v>
      </c>
      <c r="H8539" s="39"/>
      <c r="I8539" s="39"/>
      <c r="J8539" s="425">
        <v>91.059266666666687</v>
      </c>
      <c r="K8539" s="485">
        <v>93.694400000000002</v>
      </c>
      <c r="L8539" s="485">
        <v>90.881100000000004</v>
      </c>
      <c r="M8539" s="485">
        <v>91.622799999999998</v>
      </c>
      <c r="N8539" s="485">
        <v>89.316900000000004</v>
      </c>
      <c r="O8539" s="485">
        <v>90.341099999999997</v>
      </c>
      <c r="P8539" s="485">
        <v>90.499300000000005</v>
      </c>
    </row>
    <row r="8540" spans="1:16" x14ac:dyDescent="0.25">
      <c r="J8540" s="425">
        <v>8.9407333333333128</v>
      </c>
    </row>
    <row r="8541" spans="1:16" hidden="1" outlineLevel="1" x14ac:dyDescent="0.25">
      <c r="A8541" s="689" t="s">
        <v>113</v>
      </c>
      <c r="B8541" s="689" t="s">
        <v>114</v>
      </c>
      <c r="C8541" s="689" t="s">
        <v>112</v>
      </c>
      <c r="D8541" s="689" t="s">
        <v>116</v>
      </c>
      <c r="E8541" s="689" t="s">
        <v>117</v>
      </c>
      <c r="F8541" s="1188" t="s">
        <v>121</v>
      </c>
      <c r="G8541" s="78"/>
    </row>
    <row r="8542" spans="1:16" hidden="1" outlineLevel="1" x14ac:dyDescent="0.25">
      <c r="A8542" s="695">
        <v>4</v>
      </c>
      <c r="B8542" s="695"/>
      <c r="C8542" s="696"/>
      <c r="D8542" s="697" t="s">
        <v>3702</v>
      </c>
      <c r="E8542" s="698">
        <v>41957</v>
      </c>
      <c r="F8542" s="699"/>
      <c r="G8542" s="78"/>
    </row>
    <row r="8543" spans="1:16" hidden="1" outlineLevel="1" x14ac:dyDescent="0.25">
      <c r="A8543" s="495" t="s">
        <v>4156</v>
      </c>
      <c r="B8543" s="689" t="s">
        <v>4153</v>
      </c>
      <c r="C8543" s="700" t="s">
        <v>112</v>
      </c>
      <c r="D8543" s="689" t="s">
        <v>4155</v>
      </c>
      <c r="E8543" s="495" t="s">
        <v>4154</v>
      </c>
      <c r="F8543" s="1021" t="s">
        <v>734</v>
      </c>
      <c r="G8543" s="78"/>
    </row>
    <row r="8544" spans="1:16" hidden="1" outlineLevel="1" x14ac:dyDescent="0.25">
      <c r="A8544" s="1236">
        <v>2.5000000000000001E-2</v>
      </c>
      <c r="B8544" s="1015" t="s">
        <v>1995</v>
      </c>
      <c r="C8544" s="848">
        <v>49.113999999999997</v>
      </c>
      <c r="D8544" s="708">
        <v>43.81</v>
      </c>
      <c r="E8544" s="705">
        <v>-0.10799364743250384</v>
      </c>
      <c r="F8544" s="1021">
        <v>-0.10799364743250384</v>
      </c>
      <c r="G8544" s="78"/>
      <c r="H8544" t="s">
        <v>2739</v>
      </c>
    </row>
    <row r="8545" spans="1:8" hidden="1" outlineLevel="1" x14ac:dyDescent="0.25">
      <c r="A8545" s="1237">
        <v>3.5000000000000003E-2</v>
      </c>
      <c r="B8545" s="1238" t="s">
        <v>1903</v>
      </c>
      <c r="C8545" s="851">
        <v>2859.7</v>
      </c>
      <c r="D8545" s="708">
        <v>4655.5</v>
      </c>
      <c r="E8545" s="709">
        <v>0.62796796866804216</v>
      </c>
      <c r="F8545" s="946">
        <v>0.08</v>
      </c>
      <c r="G8545" s="78"/>
      <c r="H8545" t="s">
        <v>3883</v>
      </c>
    </row>
    <row r="8546" spans="1:8" hidden="1" outlineLevel="1" x14ac:dyDescent="0.25">
      <c r="A8546" s="1237">
        <v>0.04</v>
      </c>
      <c r="B8546" s="1238" t="s">
        <v>157</v>
      </c>
      <c r="C8546" s="851">
        <v>8.9510000000000005</v>
      </c>
      <c r="D8546" s="708">
        <v>6.6690000000000005</v>
      </c>
      <c r="E8546" s="709">
        <v>-0.25494358172271259</v>
      </c>
      <c r="F8546" s="946">
        <v>-0.25494358172271259</v>
      </c>
      <c r="G8546" s="78"/>
      <c r="H8546" t="s">
        <v>730</v>
      </c>
    </row>
    <row r="8547" spans="1:8" hidden="1" outlineLevel="1" x14ac:dyDescent="0.25">
      <c r="A8547" s="1237">
        <v>0.04</v>
      </c>
      <c r="B8547" s="1238" t="s">
        <v>1188</v>
      </c>
      <c r="C8547" s="851">
        <v>547.55999999999995</v>
      </c>
      <c r="D8547" s="708">
        <v>431.8</v>
      </c>
      <c r="E8547" s="709">
        <v>-0.21141062166703184</v>
      </c>
      <c r="F8547" s="946">
        <v>-0.21141062166703184</v>
      </c>
      <c r="G8547" s="78"/>
      <c r="H8547" t="s">
        <v>2746</v>
      </c>
    </row>
    <row r="8548" spans="1:8" hidden="1" outlineLevel="1" x14ac:dyDescent="0.25">
      <c r="A8548" s="1237">
        <v>4.4999999999999998E-2</v>
      </c>
      <c r="B8548" s="1239" t="s">
        <v>1440</v>
      </c>
      <c r="C8548" s="851">
        <v>82.58</v>
      </c>
      <c r="D8548" s="708">
        <v>67.56</v>
      </c>
      <c r="E8548" s="709">
        <v>-0.18188423347057392</v>
      </c>
      <c r="F8548" s="946">
        <v>-0.18188423347057392</v>
      </c>
      <c r="G8548" s="78"/>
      <c r="H8548" t="s">
        <v>2569</v>
      </c>
    </row>
    <row r="8549" spans="1:8" hidden="1" outlineLevel="1" x14ac:dyDescent="0.25">
      <c r="A8549" s="1237">
        <v>2.5000000000000001E-2</v>
      </c>
      <c r="B8549" s="1238" t="s">
        <v>53</v>
      </c>
      <c r="C8549" s="851">
        <v>42.445</v>
      </c>
      <c r="D8549" s="708">
        <v>54.33</v>
      </c>
      <c r="E8549" s="709">
        <v>0.28000942396041939</v>
      </c>
      <c r="F8549" s="946">
        <v>0.08</v>
      </c>
      <c r="G8549" s="78"/>
      <c r="H8549" t="s">
        <v>2751</v>
      </c>
    </row>
    <row r="8550" spans="1:8" hidden="1" outlineLevel="1" x14ac:dyDescent="0.25">
      <c r="A8550" s="1237">
        <v>0.03</v>
      </c>
      <c r="B8550" s="1238" t="s">
        <v>2699</v>
      </c>
      <c r="C8550" s="851">
        <v>12.066000000000001</v>
      </c>
      <c r="D8550" s="708">
        <v>24.32</v>
      </c>
      <c r="E8550" s="709">
        <v>1.0155809713243826</v>
      </c>
      <c r="F8550" s="946">
        <v>0.08</v>
      </c>
      <c r="G8550" s="78"/>
      <c r="H8550" t="s">
        <v>505</v>
      </c>
    </row>
    <row r="8551" spans="1:8" hidden="1" outlineLevel="1" x14ac:dyDescent="0.25">
      <c r="A8551" s="1237">
        <v>0.03</v>
      </c>
      <c r="B8551" s="1238" t="s">
        <v>3406</v>
      </c>
      <c r="C8551" s="851">
        <v>1087.4000000000001</v>
      </c>
      <c r="D8551" s="708">
        <v>1885.5</v>
      </c>
      <c r="E8551" s="709">
        <v>0.73395254736067672</v>
      </c>
      <c r="F8551" s="946">
        <v>0.08</v>
      </c>
      <c r="G8551" s="78"/>
      <c r="H8551" t="s">
        <v>2105</v>
      </c>
    </row>
    <row r="8552" spans="1:8" hidden="1" outlineLevel="1" x14ac:dyDescent="0.25">
      <c r="A8552" s="1237">
        <v>0.03</v>
      </c>
      <c r="B8552" s="1238" t="s">
        <v>3799</v>
      </c>
      <c r="C8552" s="851">
        <v>1180.5</v>
      </c>
      <c r="D8552" s="708">
        <v>1461.5</v>
      </c>
      <c r="E8552" s="709">
        <v>0.23803473104616679</v>
      </c>
      <c r="F8552" s="946">
        <v>0.08</v>
      </c>
      <c r="G8552" s="78"/>
      <c r="H8552" t="s">
        <v>4128</v>
      </c>
    </row>
    <row r="8553" spans="1:8" hidden="1" outlineLevel="1" x14ac:dyDescent="0.25">
      <c r="A8553" s="1237">
        <v>0.03</v>
      </c>
      <c r="B8553" s="1238" t="s">
        <v>307</v>
      </c>
      <c r="C8553" s="851">
        <v>35.101999999999997</v>
      </c>
      <c r="D8553" s="708">
        <v>98.24</v>
      </c>
      <c r="E8553" s="709">
        <v>1.7987009287220102</v>
      </c>
      <c r="F8553" s="946">
        <v>0.08</v>
      </c>
      <c r="G8553" s="78"/>
      <c r="H8553" t="s">
        <v>1700</v>
      </c>
    </row>
    <row r="8554" spans="1:8" hidden="1" outlineLevel="1" x14ac:dyDescent="0.25">
      <c r="A8554" s="1237">
        <v>3.5000000000000003E-2</v>
      </c>
      <c r="B8554" s="1238" t="s">
        <v>1031</v>
      </c>
      <c r="C8554" s="851">
        <v>5.6130000000000004</v>
      </c>
      <c r="D8554" s="708">
        <v>5.492</v>
      </c>
      <c r="E8554" s="709">
        <v>-2.1557099590236994E-2</v>
      </c>
      <c r="F8554" s="946">
        <v>-2.1557099590236994E-2</v>
      </c>
      <c r="G8554" s="78"/>
      <c r="H8554" t="s">
        <v>4158</v>
      </c>
    </row>
    <row r="8555" spans="1:8" hidden="1" outlineLevel="1" x14ac:dyDescent="0.25">
      <c r="A8555" s="1237">
        <v>2.5000000000000001E-2</v>
      </c>
      <c r="B8555" s="853" t="s">
        <v>52</v>
      </c>
      <c r="C8555" s="851">
        <v>127.884</v>
      </c>
      <c r="D8555" s="708">
        <v>164.16</v>
      </c>
      <c r="E8555" s="709">
        <v>0.28366331988364446</v>
      </c>
      <c r="F8555" s="946">
        <v>0.08</v>
      </c>
      <c r="G8555" s="78"/>
      <c r="H8555" t="s">
        <v>4130</v>
      </c>
    </row>
    <row r="8556" spans="1:8" hidden="1" outlineLevel="1" x14ac:dyDescent="0.25">
      <c r="A8556" s="1237">
        <v>0.04</v>
      </c>
      <c r="B8556" s="1238" t="s">
        <v>3426</v>
      </c>
      <c r="C8556" s="851">
        <v>64.459999999999994</v>
      </c>
      <c r="D8556" s="708">
        <v>108.16</v>
      </c>
      <c r="E8556" s="709">
        <v>0.67793980763264061</v>
      </c>
      <c r="F8556" s="946">
        <v>0.08</v>
      </c>
      <c r="G8556" s="78"/>
      <c r="H8556" t="s">
        <v>4145</v>
      </c>
    </row>
    <row r="8557" spans="1:8" hidden="1" outlineLevel="1" x14ac:dyDescent="0.25">
      <c r="A8557" s="1237">
        <v>0.03</v>
      </c>
      <c r="B8557" s="1238" t="s">
        <v>1381</v>
      </c>
      <c r="C8557" s="851">
        <v>62.34</v>
      </c>
      <c r="D8557" s="708">
        <v>112.65</v>
      </c>
      <c r="E8557" s="709">
        <v>0.80702598652550539</v>
      </c>
      <c r="F8557" s="946">
        <v>0.08</v>
      </c>
      <c r="G8557" s="78"/>
      <c r="H8557" t="s">
        <v>1383</v>
      </c>
    </row>
    <row r="8558" spans="1:8" hidden="1" outlineLevel="1" x14ac:dyDescent="0.25">
      <c r="A8558" s="1237">
        <v>0.03</v>
      </c>
      <c r="B8558" s="1238" t="s">
        <v>4034</v>
      </c>
      <c r="C8558" s="851">
        <v>10.017200000000001</v>
      </c>
      <c r="D8558" s="708">
        <v>13.895</v>
      </c>
      <c r="E8558" s="709">
        <v>0.38711416363854156</v>
      </c>
      <c r="F8558" s="946">
        <v>0.08</v>
      </c>
      <c r="G8558" s="78"/>
      <c r="H8558" t="s">
        <v>4035</v>
      </c>
    </row>
    <row r="8559" spans="1:8" hidden="1" outlineLevel="1" x14ac:dyDescent="0.25">
      <c r="A8559" s="1237">
        <v>3.5000000000000003E-2</v>
      </c>
      <c r="B8559" s="1238" t="s">
        <v>4143</v>
      </c>
      <c r="C8559" s="851">
        <v>10.641999999999999</v>
      </c>
      <c r="D8559" s="708">
        <v>2.5859999999999999</v>
      </c>
      <c r="E8559" s="709">
        <v>-0.75700056380379621</v>
      </c>
      <c r="F8559" s="946">
        <v>-0.75700056380379621</v>
      </c>
      <c r="G8559" s="78"/>
      <c r="H8559" t="s">
        <v>4144</v>
      </c>
    </row>
    <row r="8560" spans="1:8" hidden="1" outlineLevel="1" x14ac:dyDescent="0.25">
      <c r="A8560" s="1237">
        <v>0.03</v>
      </c>
      <c r="B8560" s="1238" t="s">
        <v>2160</v>
      </c>
      <c r="C8560" s="851">
        <v>30.332000000000001</v>
      </c>
      <c r="D8560" s="708">
        <v>57.42</v>
      </c>
      <c r="E8560" s="709">
        <v>0.8930502439667678</v>
      </c>
      <c r="F8560" s="946">
        <v>0.08</v>
      </c>
      <c r="G8560" s="78"/>
      <c r="H8560" t="s">
        <v>5507</v>
      </c>
    </row>
    <row r="8561" spans="1:8" hidden="1" outlineLevel="1" x14ac:dyDescent="0.25">
      <c r="A8561" s="1237">
        <v>3.5000000000000003E-2</v>
      </c>
      <c r="B8561" s="1238" t="s">
        <v>1772</v>
      </c>
      <c r="C8561" s="851">
        <v>106.19</v>
      </c>
      <c r="D8561" s="708">
        <v>155.19999999999999</v>
      </c>
      <c r="E8561" s="709">
        <v>0.46153121762877847</v>
      </c>
      <c r="F8561" s="946">
        <v>0.08</v>
      </c>
      <c r="G8561" s="78"/>
      <c r="H8561" t="s">
        <v>4330</v>
      </c>
    </row>
    <row r="8562" spans="1:8" hidden="1" outlineLevel="1" x14ac:dyDescent="0.25">
      <c r="A8562" s="1237">
        <v>0.04</v>
      </c>
      <c r="B8562" s="1238" t="s">
        <v>2786</v>
      </c>
      <c r="C8562" s="851">
        <v>615.1</v>
      </c>
      <c r="D8562" s="708">
        <v>940</v>
      </c>
      <c r="E8562" s="709">
        <v>0.52820679564298478</v>
      </c>
      <c r="F8562" s="946">
        <v>0.08</v>
      </c>
      <c r="G8562" s="78"/>
      <c r="H8562" t="s">
        <v>4195</v>
      </c>
    </row>
    <row r="8563" spans="1:8" hidden="1" outlineLevel="1" x14ac:dyDescent="0.25">
      <c r="A8563" s="1237">
        <v>2.5000000000000001E-2</v>
      </c>
      <c r="B8563" s="1238" t="s">
        <v>3797</v>
      </c>
      <c r="C8563" s="851">
        <v>51.97</v>
      </c>
      <c r="D8563" s="708">
        <v>71.45</v>
      </c>
      <c r="E8563" s="709">
        <v>0.37483163363478944</v>
      </c>
      <c r="F8563" s="946">
        <v>0.08</v>
      </c>
      <c r="G8563" s="78"/>
      <c r="H8563" t="s">
        <v>3848</v>
      </c>
    </row>
    <row r="8564" spans="1:8" hidden="1" outlineLevel="1" x14ac:dyDescent="0.25">
      <c r="A8564" s="1237">
        <v>0.03</v>
      </c>
      <c r="B8564" s="1238" t="s">
        <v>1040</v>
      </c>
      <c r="C8564" s="851">
        <v>3744</v>
      </c>
      <c r="D8564" s="708">
        <v>6584</v>
      </c>
      <c r="E8564" s="709">
        <v>0.75854700854700852</v>
      </c>
      <c r="F8564" s="946">
        <v>0.08</v>
      </c>
      <c r="G8564" s="78"/>
      <c r="H8564" t="s">
        <v>3540</v>
      </c>
    </row>
    <row r="8565" spans="1:8" hidden="1" outlineLevel="1" x14ac:dyDescent="0.25">
      <c r="A8565" s="1237">
        <v>0.03</v>
      </c>
      <c r="B8565" s="1238" t="s">
        <v>2787</v>
      </c>
      <c r="C8565" s="851">
        <v>53.38</v>
      </c>
      <c r="D8565" s="708">
        <v>90.45</v>
      </c>
      <c r="E8565" s="709">
        <v>0.69445485200449597</v>
      </c>
      <c r="F8565" s="946">
        <v>0.08</v>
      </c>
      <c r="G8565" s="78"/>
      <c r="H8565" t="s">
        <v>80</v>
      </c>
    </row>
    <row r="8566" spans="1:8" hidden="1" outlineLevel="1" x14ac:dyDescent="0.25">
      <c r="A8566" s="1237">
        <v>3.5000000000000003E-2</v>
      </c>
      <c r="B8566" s="1238" t="s">
        <v>3023</v>
      </c>
      <c r="C8566" s="851">
        <v>62.173999999999999</v>
      </c>
      <c r="D8566" s="708">
        <v>88.11</v>
      </c>
      <c r="E8566" s="709">
        <v>0.41715186412326699</v>
      </c>
      <c r="F8566" s="946">
        <v>0.08</v>
      </c>
      <c r="G8566" s="78"/>
      <c r="H8566" t="s">
        <v>2815</v>
      </c>
    </row>
    <row r="8567" spans="1:8" hidden="1" outlineLevel="1" x14ac:dyDescent="0.25">
      <c r="A8567" s="1237">
        <v>2.5000000000000001E-2</v>
      </c>
      <c r="B8567" s="1238" t="s">
        <v>3800</v>
      </c>
      <c r="C8567" s="851">
        <v>164.24</v>
      </c>
      <c r="D8567" s="708">
        <v>283.39999999999998</v>
      </c>
      <c r="E8567" s="709">
        <v>0.7255236239649292</v>
      </c>
      <c r="F8567" s="946">
        <v>0.08</v>
      </c>
      <c r="G8567" s="78"/>
      <c r="H8567" t="s">
        <v>2817</v>
      </c>
    </row>
    <row r="8568" spans="1:8" hidden="1" outlineLevel="1" x14ac:dyDescent="0.25">
      <c r="A8568" s="1237">
        <v>0.04</v>
      </c>
      <c r="B8568" s="1238" t="s">
        <v>1857</v>
      </c>
      <c r="C8568" s="851">
        <v>1081.2</v>
      </c>
      <c r="D8568" s="708">
        <v>1558</v>
      </c>
      <c r="E8568" s="709">
        <v>0.44099149093599688</v>
      </c>
      <c r="F8568" s="946">
        <v>0.08</v>
      </c>
      <c r="G8568" s="78"/>
      <c r="H8568" t="s">
        <v>3559</v>
      </c>
    </row>
    <row r="8569" spans="1:8" hidden="1" outlineLevel="1" x14ac:dyDescent="0.25">
      <c r="A8569" s="1237">
        <v>0.03</v>
      </c>
      <c r="B8569" s="1238" t="s">
        <v>1239</v>
      </c>
      <c r="C8569" s="851">
        <v>369.88</v>
      </c>
      <c r="D8569" s="708">
        <v>566.5</v>
      </c>
      <c r="E8569" s="709">
        <v>0.53157780901914142</v>
      </c>
      <c r="F8569" s="946">
        <v>0.08</v>
      </c>
      <c r="G8569" s="78"/>
      <c r="H8569" t="s">
        <v>268</v>
      </c>
    </row>
    <row r="8570" spans="1:8" hidden="1" outlineLevel="1" x14ac:dyDescent="0.25">
      <c r="A8570" s="1237">
        <v>3.5000000000000003E-2</v>
      </c>
      <c r="B8570" s="1238" t="s">
        <v>3022</v>
      </c>
      <c r="C8570" s="851">
        <v>3947</v>
      </c>
      <c r="D8570" s="708">
        <v>4967.5</v>
      </c>
      <c r="E8570" s="709">
        <v>0.258550798074487</v>
      </c>
      <c r="F8570" s="946">
        <v>0.08</v>
      </c>
      <c r="G8570" s="78"/>
      <c r="H8570" t="s">
        <v>2802</v>
      </c>
    </row>
    <row r="8571" spans="1:8" hidden="1" outlineLevel="1" x14ac:dyDescent="0.25">
      <c r="A8571" s="1237">
        <v>4.4999999999999998E-2</v>
      </c>
      <c r="B8571" s="1238" t="s">
        <v>577</v>
      </c>
      <c r="C8571" s="851">
        <v>16.058</v>
      </c>
      <c r="D8571" s="708">
        <v>12.28</v>
      </c>
      <c r="E8571" s="742">
        <v>-0.23527213849794493</v>
      </c>
      <c r="F8571" s="946">
        <v>-0.23527213849794493</v>
      </c>
      <c r="G8571" s="78"/>
      <c r="H8571" t="s">
        <v>2804</v>
      </c>
    </row>
    <row r="8572" spans="1:8" hidden="1" outlineLevel="1" x14ac:dyDescent="0.25">
      <c r="A8572" s="1237">
        <v>0.04</v>
      </c>
      <c r="B8572" s="1238" t="s">
        <v>579</v>
      </c>
      <c r="C8572" s="851">
        <v>136.94</v>
      </c>
      <c r="D8572" s="708">
        <v>225.3</v>
      </c>
      <c r="E8572" s="742">
        <v>0.64524609317949477</v>
      </c>
      <c r="F8572" s="946">
        <v>0.08</v>
      </c>
      <c r="G8572" s="78"/>
      <c r="H8572" t="s">
        <v>3611</v>
      </c>
    </row>
    <row r="8573" spans="1:8" hidden="1" outlineLevel="1" x14ac:dyDescent="0.25">
      <c r="A8573" s="1240">
        <v>3.5000000000000003E-2</v>
      </c>
      <c r="B8573" s="1238" t="s">
        <v>4550</v>
      </c>
      <c r="C8573" s="1041">
        <v>238.02</v>
      </c>
      <c r="D8573" s="1199">
        <v>291.5</v>
      </c>
      <c r="E8573" s="748">
        <v>0.22468700109234518</v>
      </c>
      <c r="F8573" s="1023">
        <v>0.08</v>
      </c>
      <c r="G8573" s="78"/>
      <c r="H8573" t="s">
        <v>4551</v>
      </c>
    </row>
    <row r="8574" spans="1:8" hidden="1" outlineLevel="1" x14ac:dyDescent="0.25">
      <c r="A8574" s="1232" t="s">
        <v>2465</v>
      </c>
      <c r="B8574" s="1245"/>
      <c r="C8574" s="1246"/>
      <c r="D8574" s="1247"/>
      <c r="E8574" s="1211">
        <v>0.37130779025314548</v>
      </c>
      <c r="F8574" s="1232">
        <v>-8.5755642787768895E-3</v>
      </c>
      <c r="G8574" s="78"/>
      <c r="H8574" s="227"/>
    </row>
    <row r="8575" spans="1:8" hidden="1" outlineLevel="1" x14ac:dyDescent="0.25">
      <c r="A8575" s="1017"/>
      <c r="B8575" s="1018"/>
      <c r="C8575" s="837"/>
      <c r="D8575" s="798"/>
      <c r="E8575" s="709"/>
      <c r="F8575" s="1666"/>
      <c r="G8575" s="78"/>
    </row>
    <row r="8576" spans="1:8" hidden="1" outlineLevel="1" x14ac:dyDescent="0.25">
      <c r="A8576" s="725" t="s">
        <v>113</v>
      </c>
      <c r="B8576" s="725"/>
      <c r="C8576" s="1019"/>
      <c r="D8576" s="1019"/>
      <c r="E8576" s="729"/>
      <c r="F8576" s="1188"/>
      <c r="G8576" s="78"/>
    </row>
    <row r="8577" spans="1:7" hidden="1" outlineLevel="1" x14ac:dyDescent="0.25">
      <c r="A8577" s="732" t="s">
        <v>1180</v>
      </c>
      <c r="B8577" s="690"/>
      <c r="C8577" s="691"/>
      <c r="D8577" s="691"/>
      <c r="E8577" s="691"/>
      <c r="F8577" s="1021">
        <v>0.03</v>
      </c>
      <c r="G8577" s="78"/>
    </row>
    <row r="8578" spans="1:7" hidden="1" outlineLevel="1" x14ac:dyDescent="0.25">
      <c r="A8578" s="732" t="s">
        <v>1181</v>
      </c>
      <c r="B8578" s="706"/>
      <c r="C8578" s="1022"/>
      <c r="D8578" s="1022"/>
      <c r="E8578" s="1022"/>
      <c r="F8578" s="946">
        <v>0</v>
      </c>
      <c r="G8578" s="78"/>
    </row>
    <row r="8579" spans="1:7" hidden="1" outlineLevel="1" x14ac:dyDescent="0.25">
      <c r="A8579" s="732" t="s">
        <v>4533</v>
      </c>
      <c r="B8579" s="706"/>
      <c r="C8579" s="1022"/>
      <c r="D8579" s="1022"/>
      <c r="E8579" s="1022"/>
      <c r="F8579" s="946">
        <v>0</v>
      </c>
      <c r="G8579" s="78"/>
    </row>
    <row r="8580" spans="1:7" hidden="1" outlineLevel="1" x14ac:dyDescent="0.25">
      <c r="A8580" s="732" t="s">
        <v>4534</v>
      </c>
      <c r="B8580" s="695"/>
      <c r="C8580" s="1022"/>
      <c r="D8580" s="1022"/>
      <c r="E8580" s="1022"/>
      <c r="F8580" s="946">
        <v>1.38E-2</v>
      </c>
      <c r="G8580" s="78"/>
    </row>
    <row r="8581" spans="1:7" collapsed="1" x14ac:dyDescent="0.25">
      <c r="A8581" s="3803" t="s">
        <v>1179</v>
      </c>
      <c r="B8581" s="3804"/>
      <c r="C8581" s="3804"/>
      <c r="D8581" s="1019"/>
      <c r="E8581" s="1019"/>
      <c r="F8581" s="934">
        <v>4.3799999999999999E-2</v>
      </c>
      <c r="G8581" s="175" t="s">
        <v>781</v>
      </c>
    </row>
    <row r="8583" spans="1:7" hidden="1" outlineLevel="1" x14ac:dyDescent="0.25">
      <c r="A8583" s="689" t="s">
        <v>113</v>
      </c>
      <c r="B8583" s="689" t="s">
        <v>114</v>
      </c>
      <c r="C8583" s="689" t="s">
        <v>112</v>
      </c>
      <c r="D8583" s="689" t="s">
        <v>116</v>
      </c>
      <c r="E8583" s="689" t="s">
        <v>116</v>
      </c>
      <c r="F8583" s="1188" t="s">
        <v>4154</v>
      </c>
    </row>
    <row r="8584" spans="1:7" hidden="1" outlineLevel="1" x14ac:dyDescent="0.25">
      <c r="A8584" s="753" t="s">
        <v>4535</v>
      </c>
      <c r="B8584" s="1092" t="s">
        <v>2153</v>
      </c>
      <c r="C8584" s="793">
        <v>2667.444</v>
      </c>
      <c r="D8584" s="800">
        <v>2943.6239999999998</v>
      </c>
      <c r="E8584" s="1248">
        <v>2943.6239999999998</v>
      </c>
      <c r="F8584" s="694">
        <v>0.10353731887154893</v>
      </c>
    </row>
    <row r="8585" spans="1:7" hidden="1" outlineLevel="1" x14ac:dyDescent="0.25">
      <c r="A8585" s="732" t="s">
        <v>2860</v>
      </c>
      <c r="B8585" s="1092" t="s">
        <v>2153</v>
      </c>
      <c r="C8585" s="793"/>
      <c r="D8585" s="800"/>
      <c r="E8585" s="861"/>
      <c r="F8585" s="694"/>
    </row>
    <row r="8586" spans="1:7" hidden="1" outlineLevel="1" x14ac:dyDescent="0.25">
      <c r="A8586" s="732" t="s">
        <v>2861</v>
      </c>
      <c r="B8586" s="1092" t="s">
        <v>2153</v>
      </c>
      <c r="C8586" s="793"/>
      <c r="D8586" s="1249"/>
      <c r="E8586" s="693"/>
      <c r="F8586" s="694"/>
    </row>
    <row r="8587" spans="1:7" hidden="1" outlineLevel="1" x14ac:dyDescent="0.25">
      <c r="A8587" s="732" t="s">
        <v>2790</v>
      </c>
      <c r="B8587" s="1092" t="s">
        <v>2153</v>
      </c>
      <c r="C8587" s="793"/>
      <c r="D8587" s="1249"/>
      <c r="E8587" s="693"/>
      <c r="F8587" s="694"/>
    </row>
    <row r="8588" spans="1:7" hidden="1" outlineLevel="1" x14ac:dyDescent="0.25">
      <c r="A8588" s="754" t="s">
        <v>2869</v>
      </c>
      <c r="B8588" s="1092" t="s">
        <v>2153</v>
      </c>
      <c r="C8588" s="793"/>
      <c r="D8588" s="1249"/>
      <c r="E8588" s="693"/>
      <c r="F8588" s="694"/>
    </row>
    <row r="8589" spans="1:7" hidden="1" outlineLevel="1" x14ac:dyDescent="0.25">
      <c r="A8589" s="846"/>
      <c r="B8589" s="729"/>
      <c r="C8589" s="793"/>
      <c r="D8589" s="1249"/>
      <c r="E8589" s="693"/>
      <c r="F8589" s="694"/>
    </row>
    <row r="8590" spans="1:7" collapsed="1" x14ac:dyDescent="0.25">
      <c r="A8590" s="3801" t="s">
        <v>2456</v>
      </c>
      <c r="B8590" s="3802"/>
      <c r="C8590" s="3802"/>
      <c r="D8590" s="3802"/>
      <c r="E8590" s="729"/>
      <c r="F8590" s="752">
        <v>0.1</v>
      </c>
      <c r="G8590" s="175" t="s">
        <v>781</v>
      </c>
    </row>
    <row r="8591" spans="1:7" ht="14.25" customHeight="1" x14ac:dyDescent="0.25"/>
    <row r="8592" spans="1:7" hidden="1" outlineLevel="1" x14ac:dyDescent="0.25">
      <c r="A8592" t="s">
        <v>113</v>
      </c>
      <c r="B8592" t="s">
        <v>114</v>
      </c>
      <c r="C8592" t="s">
        <v>112</v>
      </c>
      <c r="D8592" t="s">
        <v>116</v>
      </c>
      <c r="E8592" t="s">
        <v>117</v>
      </c>
      <c r="F8592" s="1872" t="s">
        <v>121</v>
      </c>
      <c r="G8592" s="78"/>
    </row>
    <row r="8593" spans="1:14" hidden="1" outlineLevel="1" x14ac:dyDescent="0.25">
      <c r="A8593">
        <v>1</v>
      </c>
      <c r="B8593" t="s">
        <v>252</v>
      </c>
      <c r="C8593">
        <v>100</v>
      </c>
      <c r="G8593" s="78"/>
    </row>
    <row r="8594" spans="1:14" hidden="1" outlineLevel="1" x14ac:dyDescent="0.25">
      <c r="D8594" s="697" t="s">
        <v>3702</v>
      </c>
      <c r="E8594">
        <v>42475</v>
      </c>
      <c r="G8594" s="78"/>
    </row>
    <row r="8595" spans="1:14" ht="26.4" hidden="1" outlineLevel="1" x14ac:dyDescent="0.25">
      <c r="A8595" t="s">
        <v>4156</v>
      </c>
      <c r="B8595" t="s">
        <v>4153</v>
      </c>
      <c r="C8595" t="s">
        <v>3503</v>
      </c>
      <c r="D8595" t="s">
        <v>4155</v>
      </c>
      <c r="E8595" t="s">
        <v>4154</v>
      </c>
      <c r="F8595" s="1872" t="s">
        <v>2519</v>
      </c>
      <c r="G8595" s="78"/>
      <c r="J8595" s="412" t="s">
        <v>631</v>
      </c>
      <c r="N8595" s="350" t="s">
        <v>3504</v>
      </c>
    </row>
    <row r="8596" spans="1:14" hidden="1" outlineLevel="1" x14ac:dyDescent="0.25">
      <c r="A8596">
        <v>2.5000000000000001E-2</v>
      </c>
      <c r="B8596" t="s">
        <v>1995</v>
      </c>
      <c r="C8596" s="848">
        <v>52.427</v>
      </c>
      <c r="D8596">
        <v>43.41</v>
      </c>
      <c r="E8596">
        <v>-0.17199153108131315</v>
      </c>
      <c r="F8596" s="1872">
        <v>-4.2997882770328287E-3</v>
      </c>
      <c r="G8596" s="78"/>
      <c r="H8596" s="110" t="str">
        <f>VLOOKUP(B8596,indexy!$A$44:$D$818,3,FALSE)</f>
        <v>ABT UN Equity</v>
      </c>
      <c r="J8596" s="256">
        <v>41944</v>
      </c>
      <c r="K8596">
        <v>139.43539999999999</v>
      </c>
      <c r="L8596" s="37">
        <f>IF(K8596="",L8595,K8596/100-1)</f>
        <v>0.39435399999999987</v>
      </c>
      <c r="N8596" s="328">
        <v>49.183999999999997</v>
      </c>
    </row>
    <row r="8597" spans="1:14" hidden="1" outlineLevel="1" x14ac:dyDescent="0.25">
      <c r="A8597">
        <v>4.4999999999999998E-2</v>
      </c>
      <c r="B8597" t="s">
        <v>359</v>
      </c>
      <c r="C8597" s="851">
        <v>89.334000000000003</v>
      </c>
      <c r="D8597">
        <v>147.55000000000001</v>
      </c>
      <c r="E8597">
        <v>0.65166677860612987</v>
      </c>
      <c r="F8597" s="1872">
        <v>2.9325005037275843E-2</v>
      </c>
      <c r="G8597" s="78"/>
      <c r="H8597" s="110" t="str">
        <f>VLOOKUP(B8597,indexy!$A$44:$D$818,3,FALSE)</f>
        <v>ALV GY Equity</v>
      </c>
      <c r="J8597" s="256">
        <v>41974</v>
      </c>
      <c r="K8597" s="424">
        <v>136.93440000000001</v>
      </c>
      <c r="L8597" s="37">
        <f t="shared" ref="L8597:L8602" si="196">IF(K8597="",L8596,K8597/100-1)</f>
        <v>0.36934400000000012</v>
      </c>
      <c r="N8597" s="329">
        <v>82.835999999999999</v>
      </c>
    </row>
    <row r="8598" spans="1:14" hidden="1" outlineLevel="1" x14ac:dyDescent="0.25">
      <c r="A8598">
        <v>3.5000000000000003E-2</v>
      </c>
      <c r="B8598" t="s">
        <v>157</v>
      </c>
      <c r="C8598" s="851">
        <v>9.4312000000000005</v>
      </c>
      <c r="D8598">
        <v>4.0570000000000004</v>
      </c>
      <c r="E8598">
        <v>-0.56983204682330979</v>
      </c>
      <c r="F8598" s="1872">
        <v>-1.9944121638815846E-2</v>
      </c>
      <c r="G8598" s="78"/>
      <c r="H8598" s="110" t="str">
        <f>VLOOKUP(B8598,indexy!$A$44:$D$818,3,FALSE)</f>
        <v>SAN SM Equity</v>
      </c>
      <c r="J8598" s="256">
        <v>42005</v>
      </c>
      <c r="K8598" s="424">
        <v>140.22300000000001</v>
      </c>
      <c r="L8598" s="37">
        <f t="shared" si="196"/>
        <v>0.40223000000000009</v>
      </c>
      <c r="N8598" s="329">
        <v>8.6332000000000004</v>
      </c>
    </row>
    <row r="8599" spans="1:14" hidden="1" outlineLevel="1" x14ac:dyDescent="0.25">
      <c r="A8599">
        <v>0.04</v>
      </c>
      <c r="B8599" t="s">
        <v>1188</v>
      </c>
      <c r="C8599" s="851">
        <v>428.73</v>
      </c>
      <c r="D8599">
        <v>355.95</v>
      </c>
      <c r="E8599">
        <v>-0.1697571898397594</v>
      </c>
      <c r="F8599" s="1872">
        <v>-6.7902875935903764E-3</v>
      </c>
      <c r="G8599" s="78"/>
      <c r="H8599" s="110" t="str">
        <f>VLOOKUP(B8599,indexy!$A$44:$D$818,3,FALSE)</f>
        <v>BP/ LN Equity</v>
      </c>
      <c r="J8599" s="256">
        <v>42036</v>
      </c>
      <c r="K8599" s="424">
        <v>145.04949999999999</v>
      </c>
      <c r="L8599" s="37">
        <f t="shared" si="196"/>
        <v>0.45049499999999987</v>
      </c>
      <c r="N8599" s="329">
        <v>548.84</v>
      </c>
    </row>
    <row r="8600" spans="1:14" hidden="1" outlineLevel="1" x14ac:dyDescent="0.25">
      <c r="A8600">
        <v>0.04</v>
      </c>
      <c r="B8600" t="s">
        <v>53</v>
      </c>
      <c r="C8600" s="851">
        <v>44.843499999999999</v>
      </c>
      <c r="D8600">
        <v>62.16</v>
      </c>
      <c r="E8600">
        <v>0.386154069151605</v>
      </c>
      <c r="F8600" s="1872">
        <v>1.5446162766064199E-2</v>
      </c>
      <c r="G8600" s="78"/>
      <c r="H8600" s="110" t="str">
        <f>VLOOKUP(B8600,indexy!$A$44:$D$818,3,FALSE)</f>
        <v>BN FP Equity</v>
      </c>
      <c r="J8600" s="256">
        <v>42064</v>
      </c>
      <c r="K8600" s="424">
        <v>145.9359</v>
      </c>
      <c r="L8600" s="37">
        <f t="shared" si="196"/>
        <v>0.45935900000000007</v>
      </c>
      <c r="N8600" s="329">
        <v>42.207999999999998</v>
      </c>
    </row>
    <row r="8601" spans="1:14" hidden="1" outlineLevel="1" x14ac:dyDescent="0.25">
      <c r="A8601">
        <v>4.4999999999999998E-2</v>
      </c>
      <c r="B8601" t="s">
        <v>2699</v>
      </c>
      <c r="C8601" s="851">
        <v>13.471</v>
      </c>
      <c r="D8601">
        <v>25.225000000000001</v>
      </c>
      <c r="E8601">
        <v>0.87254101403013884</v>
      </c>
      <c r="F8601" s="1872">
        <v>3.9264345631356244E-2</v>
      </c>
      <c r="G8601" s="78"/>
      <c r="H8601" s="110" t="str">
        <f>VLOOKUP(B8601,indexy!$A$44:$D$818,3,FALSE)</f>
        <v>DHL GR Equity</v>
      </c>
      <c r="J8601" s="256">
        <v>42095</v>
      </c>
      <c r="K8601" s="424">
        <v>145.50069999999999</v>
      </c>
      <c r="L8601" s="37">
        <f t="shared" si="196"/>
        <v>0.45500699999999994</v>
      </c>
      <c r="N8601" s="329">
        <v>12.025</v>
      </c>
    </row>
    <row r="8602" spans="1:14" hidden="1" outlineLevel="1" x14ac:dyDescent="0.25">
      <c r="A8602">
        <v>2.5000000000000001E-2</v>
      </c>
      <c r="B8602" t="s">
        <v>3406</v>
      </c>
      <c r="C8602" s="851">
        <v>1164.4000000000001</v>
      </c>
      <c r="D8602">
        <v>1933</v>
      </c>
      <c r="E8602">
        <v>0.6600824458948813</v>
      </c>
      <c r="F8602" s="1872">
        <v>1.6502061147372033E-2</v>
      </c>
      <c r="G8602" s="78"/>
      <c r="H8602" s="110" t="str">
        <f>VLOOKUP(B8602,indexy!$A$44:$D$818,3,FALSE)</f>
        <v>DGE LN Equity</v>
      </c>
      <c r="J8602" s="256">
        <v>42125</v>
      </c>
      <c r="K8602" s="424">
        <v>146.12610000000001</v>
      </c>
      <c r="L8602" s="37">
        <f t="shared" si="196"/>
        <v>0.46126100000000014</v>
      </c>
      <c r="N8602" s="329">
        <v>1089.3</v>
      </c>
    </row>
    <row r="8603" spans="1:14" hidden="1" outlineLevel="1" x14ac:dyDescent="0.25">
      <c r="A8603">
        <v>3.5000000000000003E-2</v>
      </c>
      <c r="B8603" t="s">
        <v>4387</v>
      </c>
      <c r="C8603" s="851">
        <v>22.342500000000001</v>
      </c>
      <c r="D8603">
        <v>8.8719999999999999</v>
      </c>
      <c r="E8603">
        <v>-0.60290925366454062</v>
      </c>
      <c r="F8603" s="1872">
        <v>-2.1101823878258923E-2</v>
      </c>
      <c r="G8603" s="78"/>
      <c r="H8603" s="110" t="str">
        <f>VLOOKUP(B8603,indexy!$A$44:$D$818,3,FALSE)</f>
        <v>EOAN GY Equity</v>
      </c>
      <c r="J8603" s="256">
        <v>42156</v>
      </c>
      <c r="K8603" s="424">
        <v>139.26320000000001</v>
      </c>
      <c r="L8603" s="37">
        <f>IF(K8603="",L8602,K8603/100-1)</f>
        <v>0.39263200000000009</v>
      </c>
      <c r="N8603" s="329">
        <v>26.157499999999999</v>
      </c>
    </row>
    <row r="8604" spans="1:14" hidden="1" outlineLevel="1" x14ac:dyDescent="0.25">
      <c r="A8604">
        <v>0.04</v>
      </c>
      <c r="B8604" t="s">
        <v>3798</v>
      </c>
      <c r="C8604" s="851">
        <v>4.0315000000000003</v>
      </c>
      <c r="D8604">
        <v>3.8079999999999998</v>
      </c>
      <c r="E8604">
        <v>-5.5438422423415679E-2</v>
      </c>
      <c r="F8604" s="1872">
        <v>-2.2175368969366274E-3</v>
      </c>
      <c r="G8604" s="78"/>
      <c r="H8604" s="110" t="str">
        <f>VLOOKUP(B8604,indexy!$A$44:$D$818,3,FALSE)</f>
        <v>ENEL IM Equity</v>
      </c>
      <c r="J8604" s="256">
        <v>42186</v>
      </c>
      <c r="K8604" s="424">
        <v>146.3058</v>
      </c>
      <c r="L8604" s="37">
        <f>IF(K8604="",L8603,K8604/100-1)</f>
        <v>0.46305799999999997</v>
      </c>
      <c r="N8604" s="329">
        <v>3.7342499999999998</v>
      </c>
    </row>
    <row r="8605" spans="1:14" hidden="1" outlineLevel="1" x14ac:dyDescent="0.25">
      <c r="A8605">
        <v>0.03</v>
      </c>
      <c r="B8605" t="s">
        <v>7227</v>
      </c>
      <c r="C8605" s="851">
        <v>28.06</v>
      </c>
      <c r="D8605">
        <v>13.875</v>
      </c>
      <c r="E8605">
        <v>-0.50552387740555949</v>
      </c>
      <c r="F8605" s="1872">
        <v>-1.5165716322166784E-2</v>
      </c>
      <c r="G8605" s="78"/>
      <c r="H8605" s="110" t="str">
        <f>VLOOKUP(B8605,indexy!$A$44:$D$818,3,FALSE)</f>
        <v>ENGI FP Equity</v>
      </c>
      <c r="J8605" s="256">
        <v>42217</v>
      </c>
      <c r="K8605" s="424">
        <v>137.80330000000001</v>
      </c>
      <c r="L8605" s="37">
        <f>IF(K8605="",L8604,K8605/100-1)</f>
        <v>0.37803300000000006</v>
      </c>
      <c r="N8605" s="329">
        <v>25.645</v>
      </c>
    </row>
    <row r="8606" spans="1:14" hidden="1" outlineLevel="1" x14ac:dyDescent="0.25">
      <c r="A8606">
        <v>0.03</v>
      </c>
      <c r="B8606" t="s">
        <v>307</v>
      </c>
      <c r="C8606" s="851">
        <v>31.062000000000001</v>
      </c>
      <c r="D8606">
        <v>135.01</v>
      </c>
      <c r="E8606">
        <v>3.3464683536153492</v>
      </c>
      <c r="F8606" s="1872">
        <v>0.10039405060846048</v>
      </c>
      <c r="G8606" s="78"/>
      <c r="H8606" s="110" t="str">
        <f>VLOOKUP(B8606,indexy!$A$44:$D$818,3,FALSE)</f>
        <v>HD UN Equity</v>
      </c>
      <c r="J8606" s="256">
        <v>42248</v>
      </c>
      <c r="K8606" s="424">
        <v>134.05449999999999</v>
      </c>
      <c r="L8606" s="37">
        <f>IF(K8606="",L8605,K8606/100-1)</f>
        <v>0.34054499999999988</v>
      </c>
      <c r="N8606" s="329">
        <v>35.091999999999999</v>
      </c>
    </row>
    <row r="8607" spans="1:14" hidden="1" outlineLevel="1" x14ac:dyDescent="0.25">
      <c r="A8607">
        <v>3.5000000000000003E-2</v>
      </c>
      <c r="B8607" t="s">
        <v>1771</v>
      </c>
      <c r="C8607" s="851">
        <v>661.15</v>
      </c>
      <c r="D8607">
        <v>450.5</v>
      </c>
      <c r="E8607">
        <v>-0.31861151024729639</v>
      </c>
      <c r="F8607" s="1872">
        <v>-1.1151402858655375E-2</v>
      </c>
      <c r="G8607" s="78"/>
      <c r="H8607" s="110" t="str">
        <f>VLOOKUP(B8607,indexy!$A$44:$D$818,3,FALSE)</f>
        <v>HSBA LN Equity</v>
      </c>
      <c r="J8607" s="256">
        <v>42278</v>
      </c>
      <c r="K8607" s="424">
        <v>143.66999999999999</v>
      </c>
      <c r="L8607" s="37">
        <f>IF(K8607="",L8606,K8607/100-1)</f>
        <v>0.43669999999999987</v>
      </c>
      <c r="N8607" s="329">
        <v>652.73</v>
      </c>
    </row>
    <row r="8608" spans="1:14" hidden="1" outlineLevel="1" x14ac:dyDescent="0.25">
      <c r="A8608">
        <v>0.03</v>
      </c>
      <c r="B8608" t="s">
        <v>1031</v>
      </c>
      <c r="C8608" s="851">
        <v>5.9387999999999996</v>
      </c>
      <c r="D8608">
        <v>5.9489999999999998</v>
      </c>
      <c r="E8608">
        <v>1.717518690644626E-3</v>
      </c>
      <c r="F8608" s="1872">
        <v>5.1525560719338777E-5</v>
      </c>
      <c r="G8608" s="78"/>
      <c r="H8608" s="110" t="str">
        <f>VLOOKUP(B8608,indexy!$A$44:$D$818,3,FALSE)</f>
        <v>IBE SQ Equity</v>
      </c>
      <c r="J8608" s="412" t="s">
        <v>2465</v>
      </c>
      <c r="K8608" s="412"/>
      <c r="L8608" s="422">
        <f>AVERAGE(L8596:L8607)</f>
        <v>0.41691816666666676</v>
      </c>
      <c r="N8608" s="329">
        <v>5.5140000000000002</v>
      </c>
    </row>
    <row r="8609" spans="1:14" hidden="1" outlineLevel="1" x14ac:dyDescent="0.25">
      <c r="A8609">
        <v>0.03</v>
      </c>
      <c r="B8609" t="s">
        <v>52</v>
      </c>
      <c r="C8609" s="851">
        <v>140.595</v>
      </c>
      <c r="D8609">
        <v>151.72</v>
      </c>
      <c r="E8609">
        <v>7.9127991749351034E-2</v>
      </c>
      <c r="F8609" s="1872">
        <v>2.373839752480531E-3</v>
      </c>
      <c r="G8609" s="78"/>
      <c r="H8609" s="110" t="str">
        <f>VLOOKUP(B8609,indexy!$A$44:$D$818,3,FALSE)</f>
        <v>IBM UN Equity</v>
      </c>
      <c r="J8609" t="s">
        <v>6872</v>
      </c>
      <c r="L8609">
        <v>103.44</v>
      </c>
      <c r="N8609" s="329">
        <v>128.05500000000001</v>
      </c>
    </row>
    <row r="8610" spans="1:14" hidden="1" outlineLevel="1" x14ac:dyDescent="0.25">
      <c r="A8610">
        <v>0.03</v>
      </c>
      <c r="B8610" t="s">
        <v>4034</v>
      </c>
      <c r="C8610" s="851">
        <v>9.8055000000000003</v>
      </c>
      <c r="D8610">
        <v>19.965</v>
      </c>
      <c r="E8610">
        <v>1.0361021875478049</v>
      </c>
      <c r="F8610" s="1872">
        <v>3.1083065626434148E-2</v>
      </c>
      <c r="G8610" s="78"/>
      <c r="H8610" s="110" t="str">
        <f>VLOOKUP(B8610,indexy!$A$44:$D$818,3,FALSE)</f>
        <v>AD NA Equity</v>
      </c>
      <c r="J8610" t="s">
        <v>6873</v>
      </c>
      <c r="L8610" s="37">
        <f>(100+L8608*100)/L8609-1</f>
        <v>0.36979714488270199</v>
      </c>
      <c r="N8610" s="329">
        <v>10.0459</v>
      </c>
    </row>
    <row r="8611" spans="1:14" hidden="1" outlineLevel="1" x14ac:dyDescent="0.25">
      <c r="A8611">
        <v>3.5000000000000003E-2</v>
      </c>
      <c r="B8611" t="s">
        <v>4143</v>
      </c>
      <c r="C8611" s="851">
        <v>11.6645</v>
      </c>
      <c r="D8611">
        <v>3.4849999999999999</v>
      </c>
      <c r="E8611">
        <v>-0.70123022847100169</v>
      </c>
      <c r="F8611" s="1872">
        <v>-2.4543057996485061E-2</v>
      </c>
      <c r="G8611" s="78"/>
      <c r="H8611" s="110" t="str">
        <f>VLOOKUP(B8611,indexy!$A$44:$D$818,3,FALSE)</f>
        <v>KPN NA Equity</v>
      </c>
      <c r="J8611" s="412" t="s">
        <v>5122</v>
      </c>
      <c r="L8611" s="423">
        <f>L8610*parametry!N289</f>
        <v>0.24036814417375629</v>
      </c>
      <c r="N8611" s="329">
        <v>10.673</v>
      </c>
    </row>
    <row r="8612" spans="1:14" hidden="1" outlineLevel="1" x14ac:dyDescent="0.25">
      <c r="A8612">
        <v>2.5000000000000001E-2</v>
      </c>
      <c r="B8612" t="s">
        <v>7573</v>
      </c>
      <c r="C8612" s="851">
        <v>31.984000000000002</v>
      </c>
      <c r="D8612">
        <v>78.05</v>
      </c>
      <c r="E8612">
        <v>1.44028264132066</v>
      </c>
      <c r="F8612" s="1872">
        <v>3.6007066033016503E-2</v>
      </c>
      <c r="G8612" s="78"/>
      <c r="H8612" s="110" t="str">
        <f>VLOOKUP(B8612,indexy!$A$44:$D$818,3,FALSE)</f>
        <v>KHC UW Equity</v>
      </c>
      <c r="N8612" s="329">
        <v>30.077000000000002</v>
      </c>
    </row>
    <row r="8613" spans="1:14" hidden="1" outlineLevel="1" x14ac:dyDescent="0.25">
      <c r="A8613">
        <v>0.04</v>
      </c>
      <c r="B8613" t="s">
        <v>1772</v>
      </c>
      <c r="C8613" s="851">
        <v>109.85</v>
      </c>
      <c r="D8613">
        <v>181.05</v>
      </c>
      <c r="E8613">
        <v>0.64815657715066011</v>
      </c>
      <c r="F8613" s="1872">
        <v>2.5926263086026406E-2</v>
      </c>
      <c r="G8613" s="78"/>
      <c r="H8613" s="110" t="str">
        <f>VLOOKUP(B8613,indexy!$A$44:$D$818,3,FALSE)</f>
        <v>MUV2 GY Equity</v>
      </c>
      <c r="N8613" s="329">
        <v>105.495</v>
      </c>
    </row>
    <row r="8614" spans="1:14" hidden="1" outlineLevel="1" x14ac:dyDescent="0.25">
      <c r="A8614">
        <v>0.03</v>
      </c>
      <c r="B8614" t="s">
        <v>2786</v>
      </c>
      <c r="C8614" s="851">
        <v>583.45000000000005</v>
      </c>
      <c r="D8614">
        <v>1000.5</v>
      </c>
      <c r="E8614">
        <v>0.7147998971634244</v>
      </c>
      <c r="F8614" s="1872">
        <v>2.144399691490273E-2</v>
      </c>
      <c r="G8614" s="78"/>
      <c r="H8614" s="110" t="str">
        <f>VLOOKUP(B8614,indexy!$A$44:$D$818,3,FALSE)</f>
        <v>NG/ LN Equity</v>
      </c>
      <c r="N8614" s="329">
        <v>617.95000000000005</v>
      </c>
    </row>
    <row r="8615" spans="1:14" hidden="1" outlineLevel="1" x14ac:dyDescent="0.25">
      <c r="A8615">
        <v>0.03</v>
      </c>
      <c r="B8615" t="s">
        <v>3797</v>
      </c>
      <c r="C8615" s="851">
        <v>52.875</v>
      </c>
      <c r="D8615">
        <v>72.7</v>
      </c>
      <c r="E8615">
        <v>0.37494089834515365</v>
      </c>
      <c r="F8615" s="1872">
        <v>1.1248226950354609E-2</v>
      </c>
      <c r="G8615" s="78"/>
      <c r="H8615" s="110" t="str">
        <f>VLOOKUP(B8615,indexy!$A$44:$D$818,3,FALSE)</f>
        <v>NESN SE Equity</v>
      </c>
      <c r="N8615" s="329">
        <v>52.225000000000001</v>
      </c>
    </row>
    <row r="8616" spans="1:14" hidden="1" outlineLevel="1" x14ac:dyDescent="0.25">
      <c r="A8616">
        <v>0.03</v>
      </c>
      <c r="B8616" t="s">
        <v>2787</v>
      </c>
      <c r="C8616" s="851">
        <v>57.024999999999999</v>
      </c>
      <c r="D8616">
        <v>73.150000000000006</v>
      </c>
      <c r="E8616">
        <v>0.28277071459886027</v>
      </c>
      <c r="F8616" s="1872">
        <v>8.4831214379658074E-3</v>
      </c>
      <c r="G8616" s="78"/>
      <c r="H8616" s="110" t="str">
        <f>VLOOKUP(B8616,indexy!$A$44:$D$818,3,FALSE)</f>
        <v>NOVN SE Equity</v>
      </c>
      <c r="N8616" s="329">
        <v>53.645000000000003</v>
      </c>
    </row>
    <row r="8617" spans="1:14" hidden="1" outlineLevel="1" x14ac:dyDescent="0.25">
      <c r="A8617">
        <v>0.04</v>
      </c>
      <c r="B8617" t="s">
        <v>1204</v>
      </c>
      <c r="C8617" s="851">
        <v>65.149000000000001</v>
      </c>
      <c r="D8617">
        <v>103.77</v>
      </c>
      <c r="E8617">
        <v>0.59281032709634829</v>
      </c>
      <c r="F8617" s="1872">
        <v>2.3712413083853932E-2</v>
      </c>
      <c r="G8617" s="78"/>
      <c r="H8617" s="110" t="str">
        <f>VLOOKUP(B8617,indexy!$A$44:$D$818,3,FALSE)</f>
        <v>PEP UW Equity</v>
      </c>
      <c r="N8617" s="329">
        <v>65.91</v>
      </c>
    </row>
    <row r="8618" spans="1:14" hidden="1" outlineLevel="1" x14ac:dyDescent="0.25">
      <c r="A8618">
        <v>3.5000000000000003E-2</v>
      </c>
      <c r="B8618" t="s">
        <v>3800</v>
      </c>
      <c r="C8618" s="851">
        <v>143.82</v>
      </c>
      <c r="D8618">
        <v>248.1</v>
      </c>
      <c r="E8618">
        <v>0.72507300792657503</v>
      </c>
      <c r="F8618" s="1872">
        <v>2.5377555277430127E-2</v>
      </c>
      <c r="G8618" s="78"/>
      <c r="H8618" s="110" t="str">
        <f>VLOOKUP(B8618,indexy!$A$44:$D$818,3,FALSE)</f>
        <v>ROG SE Equity</v>
      </c>
      <c r="N8618" s="329">
        <v>164.66</v>
      </c>
    </row>
    <row r="8619" spans="1:14" hidden="1" outlineLevel="1" x14ac:dyDescent="0.25">
      <c r="A8619">
        <v>0.04</v>
      </c>
      <c r="B8619" t="s">
        <v>1857</v>
      </c>
      <c r="C8619" s="851">
        <v>1121.3</v>
      </c>
      <c r="D8619">
        <v>1526</v>
      </c>
      <c r="E8619">
        <v>0.36092036029608487</v>
      </c>
      <c r="F8619" s="1872">
        <v>1.4436814411843395E-2</v>
      </c>
      <c r="G8619" s="78"/>
      <c r="H8619" s="110" t="str">
        <f>VLOOKUP(B8619,indexy!$A$44:$D$818,3,FALSE)</f>
        <v>SSE LN Equity</v>
      </c>
      <c r="N8619" s="329">
        <v>1081.7</v>
      </c>
    </row>
    <row r="8620" spans="1:14" hidden="1" outlineLevel="1" x14ac:dyDescent="0.25">
      <c r="A8620">
        <v>2.5000000000000001E-2</v>
      </c>
      <c r="B8620" t="s">
        <v>1239</v>
      </c>
      <c r="C8620" s="851">
        <v>400.37</v>
      </c>
      <c r="D8620">
        <v>495.2</v>
      </c>
      <c r="E8620">
        <v>0.23685590828483649</v>
      </c>
      <c r="F8620" s="1872">
        <v>5.9213977071209123E-3</v>
      </c>
      <c r="G8620" s="78"/>
      <c r="H8620" s="110" t="str">
        <f>VLOOKUP(B8620,indexy!$A$44:$D$818,3,FALSE)</f>
        <v>SCMN SE Equity</v>
      </c>
      <c r="N8620" s="329">
        <v>369.21</v>
      </c>
    </row>
    <row r="8621" spans="1:14" hidden="1" outlineLevel="1" x14ac:dyDescent="0.25">
      <c r="A8621">
        <v>0.03</v>
      </c>
      <c r="B8621" t="s">
        <v>3022</v>
      </c>
      <c r="C8621" s="851">
        <v>3823.5</v>
      </c>
      <c r="D8621">
        <v>5427</v>
      </c>
      <c r="E8621">
        <v>0.41938014907806975</v>
      </c>
      <c r="F8621" s="1872">
        <v>1.2581404472342092E-2</v>
      </c>
      <c r="G8621" s="78"/>
      <c r="H8621" s="110" t="str">
        <f>VLOOKUP(B8621,indexy!$A$44:$D$818,3,FALSE)</f>
        <v>4502 JT Equity</v>
      </c>
      <c r="N8621" s="329">
        <v>3930</v>
      </c>
    </row>
    <row r="8622" spans="1:14" hidden="1" outlineLevel="1" x14ac:dyDescent="0.25">
      <c r="A8622">
        <v>0.03</v>
      </c>
      <c r="B8622" t="s">
        <v>577</v>
      </c>
      <c r="C8622" s="851">
        <v>19.329000000000001</v>
      </c>
      <c r="D8622">
        <v>9.6349999999999998</v>
      </c>
      <c r="E8622">
        <v>-0.5015262041492059</v>
      </c>
      <c r="F8622" s="1872">
        <v>-1.5045786124476176E-2</v>
      </c>
      <c r="G8622" s="78"/>
      <c r="H8622" s="110" t="str">
        <f>VLOOKUP(B8622,indexy!$A$44:$D$818,3,FALSE)</f>
        <v>TEF SQ Equity</v>
      </c>
      <c r="N8622" s="329">
        <v>15.855</v>
      </c>
    </row>
    <row r="8623" spans="1:14" hidden="1" outlineLevel="1" x14ac:dyDescent="0.25">
      <c r="A8623">
        <v>3.5000000000000003E-2</v>
      </c>
      <c r="B8623" t="s">
        <v>719</v>
      </c>
      <c r="C8623" s="851">
        <v>39.024999999999999</v>
      </c>
      <c r="D8623">
        <v>65.95</v>
      </c>
      <c r="E8623">
        <v>0.68994234465086501</v>
      </c>
      <c r="F8623" s="1872">
        <v>2.4147982062780279E-2</v>
      </c>
      <c r="G8623" s="78"/>
      <c r="H8623" s="110" t="str">
        <f>VLOOKUP(B8623,indexy!$A$44:$D$818,3,FALSE)</f>
        <v>DG FP Equity</v>
      </c>
      <c r="N8623" s="329">
        <v>38.820999999999998</v>
      </c>
    </row>
    <row r="8624" spans="1:14" hidden="1" outlineLevel="1" x14ac:dyDescent="0.25">
      <c r="A8624">
        <v>3.5000000000000003E-2</v>
      </c>
      <c r="B8624" t="s">
        <v>579</v>
      </c>
      <c r="C8624" s="851">
        <v>167.72</v>
      </c>
      <c r="D8624">
        <v>229.75</v>
      </c>
      <c r="E8624">
        <v>0.36984259480085857</v>
      </c>
      <c r="F8624" s="1872">
        <v>1.2944490818030051E-2</v>
      </c>
      <c r="G8624" s="78"/>
      <c r="H8624" s="110" t="str">
        <f>VLOOKUP(B8624,indexy!$A$44:$D$818,3,FALSE)</f>
        <v>VOD LN Equity</v>
      </c>
      <c r="N8624" s="329">
        <v>137.69499999999999</v>
      </c>
    </row>
    <row r="8625" spans="1:16" hidden="1" outlineLevel="1" x14ac:dyDescent="0.25">
      <c r="A8625">
        <v>2.5000000000000001E-2</v>
      </c>
      <c r="B8625" t="s">
        <v>4550</v>
      </c>
      <c r="C8625" s="1041">
        <v>237.85</v>
      </c>
      <c r="D8625">
        <v>210.6</v>
      </c>
      <c r="E8625">
        <v>-0.1145680050451966</v>
      </c>
      <c r="F8625" s="1872">
        <v>-2.864200126129915E-3</v>
      </c>
      <c r="G8625" s="78"/>
      <c r="H8625" s="110" t="str">
        <f>VLOOKUP(B8625,indexy!$A$44:$D$818,3,FALSE)</f>
        <v>ZURN SE Equity</v>
      </c>
      <c r="N8625" s="330">
        <v>236.58</v>
      </c>
    </row>
    <row r="8626" spans="1:16" hidden="1" outlineLevel="1" x14ac:dyDescent="0.25">
      <c r="F8626" s="1872">
        <v>0.33354706667328177</v>
      </c>
      <c r="G8626" s="78"/>
    </row>
    <row r="8627" spans="1:16" hidden="1" outlineLevel="1" x14ac:dyDescent="0.25">
      <c r="B8627" t="s">
        <v>108</v>
      </c>
      <c r="F8627" s="1872">
        <v>2.2360000000000001E-2</v>
      </c>
      <c r="G8627" s="78"/>
    </row>
    <row r="8628" spans="1:16" hidden="1" outlineLevel="1" x14ac:dyDescent="0.25">
      <c r="G8628" s="78"/>
    </row>
    <row r="8629" spans="1:16" hidden="1" outlineLevel="1" x14ac:dyDescent="0.25">
      <c r="G8629" s="78"/>
    </row>
    <row r="8630" spans="1:16" collapsed="1" x14ac:dyDescent="0.25">
      <c r="A8630" s="3801" t="s">
        <v>972</v>
      </c>
      <c r="B8630" s="3802"/>
      <c r="C8630" s="3802"/>
      <c r="D8630" s="3802"/>
      <c r="E8630" s="1914"/>
      <c r="F8630" s="3645">
        <v>0.26272814417375628</v>
      </c>
      <c r="G8630" s="78"/>
    </row>
    <row r="8632" spans="1:16" hidden="1" outlineLevel="1" x14ac:dyDescent="0.25">
      <c r="A8632" s="2926" t="s">
        <v>113</v>
      </c>
      <c r="B8632" s="2926" t="s">
        <v>114</v>
      </c>
      <c r="C8632" s="2926" t="s">
        <v>112</v>
      </c>
      <c r="D8632" s="2926" t="s">
        <v>4155</v>
      </c>
      <c r="E8632" s="2926" t="s">
        <v>117</v>
      </c>
      <c r="F8632" s="2927" t="s">
        <v>121</v>
      </c>
      <c r="N8632" s="256"/>
    </row>
    <row r="8633" spans="1:16" hidden="1" outlineLevel="1" x14ac:dyDescent="0.25">
      <c r="A8633" s="2160" t="s">
        <v>1842</v>
      </c>
      <c r="B8633" s="2917" t="s">
        <v>2153</v>
      </c>
      <c r="C8633" s="2941">
        <v>2903.9569999999999</v>
      </c>
      <c r="D8633" s="2942">
        <v>2786.9</v>
      </c>
      <c r="E8633" s="3837">
        <v>0.46801843750761951</v>
      </c>
      <c r="F8633" s="3839">
        <v>0.28081106250457172</v>
      </c>
      <c r="N8633" s="256"/>
    </row>
    <row r="8634" spans="1:16" hidden="1" outlineLevel="1" x14ac:dyDescent="0.25">
      <c r="A8634" s="1819" t="s">
        <v>1842</v>
      </c>
      <c r="B8634" s="2921" t="s">
        <v>760</v>
      </c>
      <c r="C8634" s="2943">
        <v>1202.261</v>
      </c>
      <c r="D8634" s="2944">
        <v>2584.59</v>
      </c>
      <c r="E8634" s="3858"/>
      <c r="F8634" s="3857"/>
      <c r="H8634" s="69"/>
      <c r="N8634" s="256"/>
      <c r="P8634" s="256"/>
    </row>
    <row r="8635" spans="1:16" hidden="1" outlineLevel="1" x14ac:dyDescent="0.25">
      <c r="A8635" s="2945" t="s">
        <v>1842</v>
      </c>
      <c r="B8635" s="2946" t="s">
        <v>1843</v>
      </c>
      <c r="C8635" s="2947">
        <v>11022.587</v>
      </c>
      <c r="D8635" s="2948">
        <v>18917.009999999998</v>
      </c>
      <c r="E8635" s="3886"/>
      <c r="F8635" s="3840"/>
      <c r="H8635" s="256"/>
      <c r="J8635" s="256"/>
      <c r="L8635" s="256"/>
      <c r="N8635" s="256"/>
      <c r="P8635" s="256"/>
    </row>
    <row r="8636" spans="1:16" hidden="1" outlineLevel="1" x14ac:dyDescent="0.25">
      <c r="A8636" s="1819"/>
      <c r="B8636" s="2921"/>
      <c r="C8636" s="2947"/>
      <c r="D8636" s="2948"/>
      <c r="E8636" s="2949"/>
      <c r="F8636" s="2950"/>
      <c r="H8636" s="256"/>
      <c r="J8636" s="256"/>
      <c r="L8636" s="256"/>
      <c r="N8636" s="256"/>
      <c r="P8636" s="256"/>
    </row>
    <row r="8637" spans="1:16" hidden="1" outlineLevel="1" x14ac:dyDescent="0.25">
      <c r="A8637" s="1819"/>
      <c r="B8637" s="2921" t="s">
        <v>2040</v>
      </c>
      <c r="C8637" s="2947"/>
      <c r="D8637" s="2948"/>
      <c r="E8637" s="2949"/>
      <c r="F8637" s="2950"/>
      <c r="H8637" s="256"/>
      <c r="J8637" s="256"/>
      <c r="L8637" s="256"/>
      <c r="N8637" s="256"/>
      <c r="P8637" s="256"/>
    </row>
    <row r="8638" spans="1:16" hidden="1" outlineLevel="1" x14ac:dyDescent="0.25">
      <c r="A8638" s="1819"/>
      <c r="B8638" s="2951">
        <v>42430</v>
      </c>
      <c r="C8638" s="2947"/>
      <c r="D8638" s="2948">
        <v>133.54310000000001</v>
      </c>
      <c r="E8638" s="2949">
        <v>0.33543100000000003</v>
      </c>
      <c r="F8638" s="2950"/>
      <c r="H8638" s="256"/>
      <c r="J8638" s="256"/>
      <c r="L8638" s="256"/>
      <c r="N8638" s="256"/>
      <c r="P8638" s="256"/>
    </row>
    <row r="8639" spans="1:16" hidden="1" outlineLevel="1" x14ac:dyDescent="0.25">
      <c r="A8639" s="1819"/>
      <c r="B8639" s="2951">
        <v>42795</v>
      </c>
      <c r="C8639" s="2947"/>
      <c r="D8639" s="2948">
        <v>153.54560000000001</v>
      </c>
      <c r="E8639" s="2949">
        <v>0.53545600000000015</v>
      </c>
      <c r="F8639" s="2950"/>
      <c r="H8639" s="256"/>
      <c r="J8639" s="256"/>
      <c r="L8639" s="256"/>
      <c r="N8639" s="256"/>
      <c r="P8639" s="256"/>
    </row>
    <row r="8640" spans="1:16" hidden="1" outlineLevel="1" x14ac:dyDescent="0.25">
      <c r="A8640" s="1819"/>
      <c r="B8640" s="2951">
        <v>43160</v>
      </c>
      <c r="C8640" s="2947"/>
      <c r="D8640" s="2948">
        <v>162.70339999999999</v>
      </c>
      <c r="E8640" s="2949">
        <v>0.62703399999999987</v>
      </c>
      <c r="F8640" s="2950"/>
      <c r="H8640" s="256"/>
      <c r="J8640" s="256"/>
      <c r="L8640" s="256"/>
      <c r="N8640" s="256"/>
      <c r="P8640" s="256"/>
    </row>
    <row r="8641" spans="1:16" hidden="1" outlineLevel="1" x14ac:dyDescent="0.25">
      <c r="A8641" s="1819"/>
      <c r="B8641" s="2951">
        <v>43525</v>
      </c>
      <c r="C8641" s="2947"/>
      <c r="D8641" s="2948">
        <v>166.91309999999999</v>
      </c>
      <c r="E8641" s="2949">
        <v>0.66913099999999992</v>
      </c>
      <c r="F8641" s="2950"/>
      <c r="H8641" s="256"/>
      <c r="J8641" s="256"/>
      <c r="L8641" s="256"/>
      <c r="P8641" s="256"/>
    </row>
    <row r="8642" spans="1:16" hidden="1" outlineLevel="1" x14ac:dyDescent="0.25">
      <c r="A8642" s="1819"/>
      <c r="B8642" s="2951">
        <v>43891</v>
      </c>
      <c r="C8642" s="2947"/>
      <c r="D8642" s="2948">
        <v>146.80179999999999</v>
      </c>
      <c r="E8642" s="2949">
        <v>0.46801799999999982</v>
      </c>
      <c r="F8642" s="2950"/>
      <c r="H8642" s="256"/>
      <c r="J8642" s="256"/>
      <c r="L8642" s="256"/>
      <c r="P8642" s="256"/>
    </row>
    <row r="8643" spans="1:16" hidden="1" outlineLevel="1" x14ac:dyDescent="0.25">
      <c r="A8643" s="1819"/>
      <c r="B8643" s="2921"/>
      <c r="C8643" s="2947"/>
      <c r="D8643" s="2948"/>
      <c r="E8643" s="2949"/>
      <c r="F8643" s="2950">
        <v>0.52701399999999998</v>
      </c>
      <c r="H8643" s="256"/>
      <c r="J8643" s="256"/>
      <c r="L8643" s="256"/>
    </row>
    <row r="8644" spans="1:16" collapsed="1" x14ac:dyDescent="0.25">
      <c r="A8644" s="3801" t="s">
        <v>1844</v>
      </c>
      <c r="B8644" s="3802"/>
      <c r="C8644" s="3802"/>
      <c r="D8644" s="3802"/>
      <c r="E8644" s="2952"/>
      <c r="F8644" s="1890">
        <v>0.3162084</v>
      </c>
    </row>
    <row r="8646" spans="1:16" hidden="1" outlineLevel="1" x14ac:dyDescent="0.25">
      <c r="A8646" s="689" t="s">
        <v>113</v>
      </c>
      <c r="B8646" s="689" t="s">
        <v>114</v>
      </c>
      <c r="C8646" s="689" t="s">
        <v>112</v>
      </c>
      <c r="D8646" s="689" t="s">
        <v>116</v>
      </c>
      <c r="E8646" s="689" t="s">
        <v>117</v>
      </c>
      <c r="F8646" s="1188" t="s">
        <v>121</v>
      </c>
      <c r="G8646" s="78"/>
    </row>
    <row r="8647" spans="1:16" hidden="1" outlineLevel="1" x14ac:dyDescent="0.25">
      <c r="A8647" s="695"/>
      <c r="B8647" s="695"/>
      <c r="C8647" s="696"/>
      <c r="D8647" s="697" t="s">
        <v>3702</v>
      </c>
      <c r="E8647" s="698">
        <v>41578</v>
      </c>
      <c r="F8647" s="699"/>
      <c r="G8647" s="78"/>
    </row>
    <row r="8648" spans="1:16" hidden="1" outlineLevel="1" x14ac:dyDescent="0.25">
      <c r="A8648" s="495" t="s">
        <v>4156</v>
      </c>
      <c r="B8648" s="689" t="s">
        <v>4153</v>
      </c>
      <c r="C8648" s="700" t="s">
        <v>112</v>
      </c>
      <c r="D8648" s="689" t="s">
        <v>116</v>
      </c>
      <c r="E8648" s="495" t="s">
        <v>4154</v>
      </c>
      <c r="F8648" s="1021" t="s">
        <v>5769</v>
      </c>
      <c r="G8648" s="78"/>
    </row>
    <row r="8649" spans="1:16" hidden="1" outlineLevel="1" x14ac:dyDescent="0.25">
      <c r="A8649" s="1250">
        <v>2.5000000000000001E-2</v>
      </c>
      <c r="B8649" s="1015" t="s">
        <v>1995</v>
      </c>
      <c r="C8649" s="848">
        <v>47.738</v>
      </c>
      <c r="D8649" s="708">
        <v>85.536000000000001</v>
      </c>
      <c r="E8649" s="705">
        <v>0.79178013322719853</v>
      </c>
      <c r="F8649" s="1021">
        <v>7.0000000000000007E-2</v>
      </c>
      <c r="G8649" s="78"/>
      <c r="H8649" t="s">
        <v>5768</v>
      </c>
    </row>
    <row r="8650" spans="1:16" hidden="1" outlineLevel="1" x14ac:dyDescent="0.25">
      <c r="A8650" s="1251">
        <v>4.4999999999999998E-2</v>
      </c>
      <c r="B8650" s="1238" t="s">
        <v>359</v>
      </c>
      <c r="C8650" s="851">
        <v>82.885999999999996</v>
      </c>
      <c r="D8650" s="708">
        <v>123.51</v>
      </c>
      <c r="E8650" s="709">
        <v>0.49011895856960175</v>
      </c>
      <c r="F8650" s="946">
        <v>7.0000000000000007E-2</v>
      </c>
      <c r="G8650" s="78"/>
      <c r="H8650" t="s">
        <v>360</v>
      </c>
    </row>
    <row r="8651" spans="1:16" hidden="1" outlineLevel="1" x14ac:dyDescent="0.25">
      <c r="A8651" s="1251">
        <v>3.5000000000000003E-2</v>
      </c>
      <c r="B8651" s="1238" t="s">
        <v>157</v>
      </c>
      <c r="C8651" s="851">
        <v>8.6305999999999994</v>
      </c>
      <c r="D8651" s="708">
        <v>6.4767999999999999</v>
      </c>
      <c r="E8651" s="709">
        <v>-0.24955391282182005</v>
      </c>
      <c r="F8651" s="946">
        <v>-0.24955391282182005</v>
      </c>
      <c r="G8651" s="78"/>
      <c r="H8651" t="s">
        <v>730</v>
      </c>
    </row>
    <row r="8652" spans="1:16" hidden="1" outlineLevel="1" x14ac:dyDescent="0.25">
      <c r="A8652" s="1251">
        <v>0.04</v>
      </c>
      <c r="B8652" s="1238" t="s">
        <v>1188</v>
      </c>
      <c r="C8652" s="851">
        <v>358.37</v>
      </c>
      <c r="D8652" s="708">
        <v>485.38</v>
      </c>
      <c r="E8652" s="709">
        <v>0.35441024639339225</v>
      </c>
      <c r="F8652" s="946">
        <v>7.0000000000000007E-2</v>
      </c>
      <c r="G8652" s="78"/>
      <c r="H8652" t="s">
        <v>2746</v>
      </c>
    </row>
    <row r="8653" spans="1:16" hidden="1" outlineLevel="1" x14ac:dyDescent="0.25">
      <c r="A8653" s="1251">
        <v>0.03</v>
      </c>
      <c r="B8653" s="1239" t="s">
        <v>4377</v>
      </c>
      <c r="C8653" s="851">
        <v>25.303999999999998</v>
      </c>
      <c r="D8653" s="708">
        <v>52.276000000000003</v>
      </c>
      <c r="E8653" s="709">
        <v>1.0659184318684796</v>
      </c>
      <c r="F8653" s="946">
        <v>7.0000000000000007E-2</v>
      </c>
      <c r="G8653" s="78"/>
      <c r="H8653" t="s">
        <v>4327</v>
      </c>
    </row>
    <row r="8654" spans="1:16" hidden="1" outlineLevel="1" x14ac:dyDescent="0.25">
      <c r="A8654" s="1251">
        <v>0.04</v>
      </c>
      <c r="B8654" s="1238" t="s">
        <v>53</v>
      </c>
      <c r="C8654" s="851">
        <v>43.774999999999999</v>
      </c>
      <c r="D8654" s="708">
        <v>53.795999999999999</v>
      </c>
      <c r="E8654" s="709">
        <v>0.22892061679040543</v>
      </c>
      <c r="F8654" s="946">
        <v>7.0000000000000007E-2</v>
      </c>
      <c r="G8654" s="78"/>
      <c r="H8654" t="s">
        <v>2751</v>
      </c>
    </row>
    <row r="8655" spans="1:16" hidden="1" outlineLevel="1" x14ac:dyDescent="0.25">
      <c r="A8655" s="1251">
        <v>4.4999999999999998E-2</v>
      </c>
      <c r="B8655" s="1238" t="s">
        <v>2699</v>
      </c>
      <c r="C8655" s="851">
        <v>12.311999999999999</v>
      </c>
      <c r="D8655" s="708">
        <v>24.709</v>
      </c>
      <c r="E8655" s="709">
        <v>1.0069038336582197</v>
      </c>
      <c r="F8655" s="946">
        <v>7.0000000000000007E-2</v>
      </c>
      <c r="G8655" s="78"/>
      <c r="H8655" t="s">
        <v>505</v>
      </c>
    </row>
    <row r="8656" spans="1:16" hidden="1" outlineLevel="1" x14ac:dyDescent="0.25">
      <c r="A8656" s="1251">
        <v>3.5000000000000003E-2</v>
      </c>
      <c r="B8656" s="1238" t="s">
        <v>4387</v>
      </c>
      <c r="C8656" s="851">
        <v>23.866</v>
      </c>
      <c r="D8656" s="708">
        <v>13.534000000000001</v>
      </c>
      <c r="E8656" s="709">
        <v>-0.43291712058996057</v>
      </c>
      <c r="F8656" s="946">
        <v>-0.43291712058996057</v>
      </c>
      <c r="G8656" s="78"/>
      <c r="H8656" t="s">
        <v>3744</v>
      </c>
    </row>
    <row r="8657" spans="1:8" hidden="1" outlineLevel="1" x14ac:dyDescent="0.25">
      <c r="A8657" s="1251">
        <v>0.04</v>
      </c>
      <c r="B8657" s="1238" t="s">
        <v>3798</v>
      </c>
      <c r="C8657" s="851">
        <v>3.8734999999999999</v>
      </c>
      <c r="D8657" s="708">
        <v>3.1844000000000001</v>
      </c>
      <c r="E8657" s="709">
        <v>-0.17790112301536076</v>
      </c>
      <c r="F8657" s="946">
        <v>-0.17790112301536076</v>
      </c>
      <c r="G8657" s="78"/>
      <c r="H8657" t="s">
        <v>4122</v>
      </c>
    </row>
    <row r="8658" spans="1:8" hidden="1" outlineLevel="1" x14ac:dyDescent="0.25">
      <c r="A8658" s="1251">
        <v>2.5000000000000001E-2</v>
      </c>
      <c r="B8658" s="1238" t="s">
        <v>2630</v>
      </c>
      <c r="C8658" s="851">
        <v>15.577</v>
      </c>
      <c r="D8658" s="708">
        <v>9.8892000000000007</v>
      </c>
      <c r="E8658" s="709">
        <v>-0.36514091288438077</v>
      </c>
      <c r="F8658" s="946">
        <v>-0.36514091288438077</v>
      </c>
      <c r="G8658" s="78"/>
      <c r="H8658" t="e">
        <v>#N/A</v>
      </c>
    </row>
    <row r="8659" spans="1:8" hidden="1" outlineLevel="1" x14ac:dyDescent="0.25">
      <c r="A8659" s="1251">
        <v>0.03</v>
      </c>
      <c r="B8659" s="1238" t="s">
        <v>4338</v>
      </c>
      <c r="C8659" s="851">
        <v>25.25</v>
      </c>
      <c r="D8659" s="708">
        <v>18.504999999999999</v>
      </c>
      <c r="E8659" s="709">
        <v>-0.26712871287128714</v>
      </c>
      <c r="F8659" s="946">
        <v>-0.26712871287128714</v>
      </c>
      <c r="G8659" s="78"/>
      <c r="H8659" t="s">
        <v>7229</v>
      </c>
    </row>
    <row r="8660" spans="1:8" hidden="1" outlineLevel="1" x14ac:dyDescent="0.25">
      <c r="A8660" s="1251">
        <v>0.03</v>
      </c>
      <c r="B8660" s="853" t="s">
        <v>307</v>
      </c>
      <c r="C8660" s="851">
        <v>32.28</v>
      </c>
      <c r="D8660" s="708">
        <v>76.546000000000006</v>
      </c>
      <c r="E8660" s="709">
        <v>1.3713135068153655</v>
      </c>
      <c r="F8660" s="946">
        <v>7.0000000000000007E-2</v>
      </c>
      <c r="G8660" s="78"/>
      <c r="H8660" t="s">
        <v>1700</v>
      </c>
    </row>
    <row r="8661" spans="1:8" hidden="1" outlineLevel="1" x14ac:dyDescent="0.25">
      <c r="A8661" s="1251">
        <v>3.5000000000000003E-2</v>
      </c>
      <c r="B8661" s="1238" t="s">
        <v>1771</v>
      </c>
      <c r="C8661" s="851">
        <v>648.29999999999995</v>
      </c>
      <c r="D8661" s="708">
        <v>694.32</v>
      </c>
      <c r="E8661" s="709">
        <v>7.0985654789449404E-2</v>
      </c>
      <c r="F8661" s="946">
        <v>7.0000000000000007E-2</v>
      </c>
      <c r="G8661" s="78"/>
      <c r="H8661" t="s">
        <v>4329</v>
      </c>
    </row>
    <row r="8662" spans="1:8" hidden="1" outlineLevel="1" x14ac:dyDescent="0.25">
      <c r="A8662" s="1251">
        <v>0.03</v>
      </c>
      <c r="B8662" s="1238" t="s">
        <v>52</v>
      </c>
      <c r="C8662" s="851">
        <v>128.95400000000001</v>
      </c>
      <c r="D8662" s="708">
        <v>179.30799999999999</v>
      </c>
      <c r="E8662" s="709">
        <v>0.39048032631791174</v>
      </c>
      <c r="F8662" s="946">
        <v>7.0000000000000007E-2</v>
      </c>
      <c r="G8662" s="78"/>
      <c r="H8662" t="s">
        <v>4130</v>
      </c>
    </row>
    <row r="8663" spans="1:8" hidden="1" outlineLevel="1" x14ac:dyDescent="0.25">
      <c r="A8663" s="1251">
        <v>0.03</v>
      </c>
      <c r="B8663" s="1238" t="s">
        <v>4034</v>
      </c>
      <c r="C8663" s="851">
        <v>10.587</v>
      </c>
      <c r="D8663" s="708">
        <v>14.045</v>
      </c>
      <c r="E8663" s="709">
        <v>0.32662699537168227</v>
      </c>
      <c r="F8663" s="946">
        <v>7.0000000000000007E-2</v>
      </c>
      <c r="G8663" s="78"/>
      <c r="H8663" t="s">
        <v>4035</v>
      </c>
    </row>
    <row r="8664" spans="1:8" hidden="1" outlineLevel="1" x14ac:dyDescent="0.25">
      <c r="A8664" s="1251">
        <v>3.5000000000000003E-2</v>
      </c>
      <c r="B8664" s="1238" t="s">
        <v>4143</v>
      </c>
      <c r="C8664" s="851">
        <v>6.4193000000437985</v>
      </c>
      <c r="D8664" s="708">
        <v>2.4171999999999998</v>
      </c>
      <c r="E8664" s="709">
        <v>-0.6234480395084343</v>
      </c>
      <c r="F8664" s="946">
        <v>-0.6234480395084343</v>
      </c>
      <c r="G8664" s="78"/>
      <c r="H8664" t="s">
        <v>4144</v>
      </c>
    </row>
    <row r="8665" spans="1:8" hidden="1" outlineLevel="1" x14ac:dyDescent="0.25">
      <c r="A8665" s="1251">
        <v>2.5000000000000001E-2</v>
      </c>
      <c r="B8665" s="1238" t="s">
        <v>2160</v>
      </c>
      <c r="C8665" s="851">
        <v>29.504000000000001</v>
      </c>
      <c r="D8665" s="708">
        <v>51.305999999999997</v>
      </c>
      <c r="E8665" s="709">
        <v>0.73895065075921895</v>
      </c>
      <c r="F8665" s="946">
        <v>7.0000000000000007E-2</v>
      </c>
      <c r="G8665" s="78"/>
      <c r="H8665" t="s">
        <v>5507</v>
      </c>
    </row>
    <row r="8666" spans="1:8" hidden="1" outlineLevel="1" x14ac:dyDescent="0.25">
      <c r="A8666" s="1251">
        <v>0.04</v>
      </c>
      <c r="B8666" s="1238" t="s">
        <v>1772</v>
      </c>
      <c r="C8666" s="851">
        <v>103.71</v>
      </c>
      <c r="D8666" s="708">
        <v>153.80000000000001</v>
      </c>
      <c r="E8666" s="709">
        <v>0.48298139041558219</v>
      </c>
      <c r="F8666" s="946">
        <v>7.0000000000000007E-2</v>
      </c>
      <c r="G8666" s="78"/>
      <c r="H8666" t="s">
        <v>4330</v>
      </c>
    </row>
    <row r="8667" spans="1:8" hidden="1" outlineLevel="1" x14ac:dyDescent="0.25">
      <c r="A8667" s="1251">
        <v>0.03</v>
      </c>
      <c r="B8667" s="1238" t="s">
        <v>2786</v>
      </c>
      <c r="C8667" s="851">
        <v>504.68</v>
      </c>
      <c r="D8667" s="708">
        <v>781.6</v>
      </c>
      <c r="E8667" s="709">
        <v>0.54870412934929069</v>
      </c>
      <c r="F8667" s="946">
        <v>7.0000000000000007E-2</v>
      </c>
      <c r="G8667" s="78"/>
      <c r="H8667" t="s">
        <v>4195</v>
      </c>
    </row>
    <row r="8668" spans="1:8" hidden="1" outlineLevel="1" x14ac:dyDescent="0.25">
      <c r="A8668" s="1251">
        <v>0.03</v>
      </c>
      <c r="B8668" s="1238" t="s">
        <v>3797</v>
      </c>
      <c r="C8668" s="851">
        <v>53.97</v>
      </c>
      <c r="D8668" s="708">
        <v>65.66</v>
      </c>
      <c r="E8668" s="709">
        <v>0.2166018158236056</v>
      </c>
      <c r="F8668" s="946">
        <v>7.0000000000000007E-2</v>
      </c>
      <c r="G8668" s="78"/>
      <c r="H8668" t="s">
        <v>3848</v>
      </c>
    </row>
    <row r="8669" spans="1:8" hidden="1" outlineLevel="1" x14ac:dyDescent="0.25">
      <c r="A8669" s="1251">
        <v>0.03</v>
      </c>
      <c r="B8669" s="1238" t="s">
        <v>2787</v>
      </c>
      <c r="C8669" s="851">
        <v>54.98</v>
      </c>
      <c r="D8669" s="708">
        <v>70.45</v>
      </c>
      <c r="E8669" s="709">
        <v>0.28137504547108061</v>
      </c>
      <c r="F8669" s="946">
        <v>7.0000000000000007E-2</v>
      </c>
      <c r="G8669" s="78"/>
      <c r="H8669" t="s">
        <v>80</v>
      </c>
    </row>
    <row r="8670" spans="1:8" hidden="1" outlineLevel="1" x14ac:dyDescent="0.25">
      <c r="A8670" s="1251">
        <v>0.04</v>
      </c>
      <c r="B8670" s="1238" t="s">
        <v>1204</v>
      </c>
      <c r="C8670" s="851">
        <v>63.88</v>
      </c>
      <c r="D8670" s="708">
        <v>85.105999999999995</v>
      </c>
      <c r="E8670" s="709">
        <v>0.3322792736380713</v>
      </c>
      <c r="F8670" s="946">
        <v>7.0000000000000007E-2</v>
      </c>
      <c r="G8670" s="78"/>
      <c r="H8670" t="s">
        <v>2427</v>
      </c>
    </row>
    <row r="8671" spans="1:8" hidden="1" outlineLevel="1" x14ac:dyDescent="0.25">
      <c r="A8671" s="1251">
        <v>3.5000000000000003E-2</v>
      </c>
      <c r="B8671" s="1238" t="s">
        <v>3800</v>
      </c>
      <c r="C8671" s="851">
        <v>156.82</v>
      </c>
      <c r="D8671" s="708">
        <v>251.8</v>
      </c>
      <c r="E8671" s="709">
        <v>0.6056625430429794</v>
      </c>
      <c r="F8671" s="946">
        <v>7.0000000000000007E-2</v>
      </c>
      <c r="G8671" s="78"/>
      <c r="H8671" t="s">
        <v>2817</v>
      </c>
    </row>
    <row r="8672" spans="1:8" hidden="1" outlineLevel="1" x14ac:dyDescent="0.25">
      <c r="A8672" s="1251">
        <v>0.04</v>
      </c>
      <c r="B8672" s="1238" t="s">
        <v>1857</v>
      </c>
      <c r="C8672" s="851">
        <v>1120.4000000000001</v>
      </c>
      <c r="D8672" s="708">
        <v>1404.4</v>
      </c>
      <c r="E8672" s="709">
        <v>0.25348089967868614</v>
      </c>
      <c r="F8672" s="946">
        <v>7.0000000000000007E-2</v>
      </c>
      <c r="G8672" s="78"/>
      <c r="H8672" t="s">
        <v>3559</v>
      </c>
    </row>
    <row r="8673" spans="1:8" hidden="1" outlineLevel="1" x14ac:dyDescent="0.25">
      <c r="A8673" s="1251">
        <v>2.5000000000000001E-2</v>
      </c>
      <c r="B8673" s="1238" t="s">
        <v>1239</v>
      </c>
      <c r="C8673" s="851">
        <v>373.9</v>
      </c>
      <c r="D8673" s="708">
        <v>463.56</v>
      </c>
      <c r="E8673" s="709">
        <v>0.23979673709548011</v>
      </c>
      <c r="F8673" s="946">
        <v>7.0000000000000007E-2</v>
      </c>
      <c r="G8673" s="78"/>
      <c r="H8673" t="s">
        <v>268</v>
      </c>
    </row>
    <row r="8674" spans="1:8" hidden="1" outlineLevel="1" x14ac:dyDescent="0.25">
      <c r="A8674" s="1251">
        <v>0.03</v>
      </c>
      <c r="B8674" s="1238" t="s">
        <v>3022</v>
      </c>
      <c r="C8674" s="851">
        <v>3829</v>
      </c>
      <c r="D8674" s="708">
        <v>4692</v>
      </c>
      <c r="E8674" s="709">
        <v>0.22538521807260392</v>
      </c>
      <c r="F8674" s="946">
        <v>7.0000000000000007E-2</v>
      </c>
      <c r="G8674" s="78"/>
      <c r="H8674" t="s">
        <v>2802</v>
      </c>
    </row>
    <row r="8675" spans="1:8" hidden="1" outlineLevel="1" x14ac:dyDescent="0.25">
      <c r="A8675" s="1251">
        <v>0.03</v>
      </c>
      <c r="B8675" s="1238" t="s">
        <v>577</v>
      </c>
      <c r="C8675" s="851">
        <v>15.96</v>
      </c>
      <c r="D8675" s="708">
        <v>12.695</v>
      </c>
      <c r="E8675" s="709">
        <v>-0.20457393483709274</v>
      </c>
      <c r="F8675" s="946">
        <v>-0.20457393483709274</v>
      </c>
      <c r="G8675" s="78"/>
      <c r="H8675" t="s">
        <v>2804</v>
      </c>
    </row>
    <row r="8676" spans="1:8" hidden="1" outlineLevel="1" x14ac:dyDescent="0.25">
      <c r="A8676" s="1251">
        <v>3.5000000000000003E-2</v>
      </c>
      <c r="B8676" s="1238" t="s">
        <v>719</v>
      </c>
      <c r="C8676" s="851">
        <v>38.485999999999997</v>
      </c>
      <c r="D8676" s="708">
        <v>47.414999999999999</v>
      </c>
      <c r="E8676" s="742">
        <v>0.23200644390167868</v>
      </c>
      <c r="F8676" s="946">
        <v>7.0000000000000007E-2</v>
      </c>
      <c r="G8676" s="78"/>
      <c r="H8676" t="s">
        <v>1697</v>
      </c>
    </row>
    <row r="8677" spans="1:8" hidden="1" outlineLevel="1" x14ac:dyDescent="0.25">
      <c r="A8677" s="1251">
        <v>3.5000000000000003E-2</v>
      </c>
      <c r="B8677" s="1238" t="s">
        <v>579</v>
      </c>
      <c r="C8677" s="851">
        <v>1.37549999999271</v>
      </c>
      <c r="D8677" s="708">
        <v>2.2982999999999998</v>
      </c>
      <c r="E8677" s="742">
        <v>0.67088331516697974</v>
      </c>
      <c r="F8677" s="946">
        <v>7.0000000000000007E-2</v>
      </c>
      <c r="G8677" s="78"/>
      <c r="H8677" t="s">
        <v>3611</v>
      </c>
    </row>
    <row r="8678" spans="1:8" hidden="1" outlineLevel="1" x14ac:dyDescent="0.25">
      <c r="A8678" s="1252">
        <v>2.5000000000000001E-2</v>
      </c>
      <c r="B8678" s="1238" t="s">
        <v>4550</v>
      </c>
      <c r="C8678" s="1041">
        <v>244.34</v>
      </c>
      <c r="D8678" s="1199">
        <v>250.1</v>
      </c>
      <c r="E8678" s="748">
        <v>2.3573708766472912E-2</v>
      </c>
      <c r="F8678" s="1023">
        <v>7.0000000000000007E-2</v>
      </c>
      <c r="G8678" s="78"/>
      <c r="H8678" t="s">
        <v>4551</v>
      </c>
    </row>
    <row r="8679" spans="1:8" hidden="1" outlineLevel="1" x14ac:dyDescent="0.25">
      <c r="A8679" s="1233" t="s">
        <v>2465</v>
      </c>
      <c r="B8679" s="1015"/>
      <c r="C8679" s="1234"/>
      <c r="D8679" s="798"/>
      <c r="E8679" s="709">
        <v>0.28761587061516991</v>
      </c>
      <c r="F8679" s="1232">
        <v>-2.2200000000000001E-2</v>
      </c>
      <c r="G8679" s="78"/>
    </row>
    <row r="8680" spans="1:8" hidden="1" outlineLevel="1" x14ac:dyDescent="0.25">
      <c r="A8680" s="725" t="s">
        <v>113</v>
      </c>
      <c r="B8680" s="725"/>
      <c r="C8680" s="1019"/>
      <c r="D8680" s="1019"/>
      <c r="E8680" s="729"/>
      <c r="F8680" s="1188"/>
      <c r="G8680" s="78"/>
    </row>
    <row r="8681" spans="1:8" hidden="1" outlineLevel="1" x14ac:dyDescent="0.25">
      <c r="A8681" s="732" t="s">
        <v>529</v>
      </c>
      <c r="B8681" s="690"/>
      <c r="C8681" s="691"/>
      <c r="D8681" s="691"/>
      <c r="E8681" s="691"/>
      <c r="F8681" s="1021">
        <v>0.03</v>
      </c>
      <c r="G8681" s="78"/>
    </row>
    <row r="8682" spans="1:8" hidden="1" outlineLevel="1" x14ac:dyDescent="0.25">
      <c r="A8682" s="732" t="s">
        <v>528</v>
      </c>
      <c r="B8682" s="706"/>
      <c r="C8682" s="1022"/>
      <c r="D8682" s="1022"/>
      <c r="E8682" s="1022"/>
      <c r="F8682" s="946">
        <v>0</v>
      </c>
      <c r="G8682" s="78"/>
    </row>
    <row r="8683" spans="1:8" hidden="1" outlineLevel="1" x14ac:dyDescent="0.25">
      <c r="A8683" s="732" t="s">
        <v>530</v>
      </c>
      <c r="B8683" s="706"/>
      <c r="C8683" s="1022"/>
      <c r="D8683" s="1022"/>
      <c r="E8683" s="1022"/>
      <c r="F8683" s="946">
        <v>0</v>
      </c>
      <c r="G8683" s="78"/>
    </row>
    <row r="8684" spans="1:8" hidden="1" outlineLevel="1" x14ac:dyDescent="0.25">
      <c r="A8684" s="732"/>
      <c r="B8684" s="1022"/>
      <c r="C8684" s="1022"/>
      <c r="D8684" s="1022"/>
      <c r="E8684" s="1022"/>
      <c r="F8684" s="1875"/>
      <c r="G8684" s="78"/>
    </row>
    <row r="8685" spans="1:8" collapsed="1" x14ac:dyDescent="0.25">
      <c r="A8685" s="3803" t="s">
        <v>3001</v>
      </c>
      <c r="B8685" s="3804"/>
      <c r="C8685" s="3804"/>
      <c r="D8685" s="1019"/>
      <c r="E8685" s="1019"/>
      <c r="F8685" s="934">
        <v>0.03</v>
      </c>
      <c r="G8685" s="175" t="s">
        <v>781</v>
      </c>
    </row>
    <row r="8687" spans="1:8" hidden="1" outlineLevel="1" x14ac:dyDescent="0.25">
      <c r="A8687" s="689" t="s">
        <v>113</v>
      </c>
      <c r="B8687" s="689" t="s">
        <v>114</v>
      </c>
      <c r="C8687" s="689" t="s">
        <v>112</v>
      </c>
      <c r="D8687" s="689" t="s">
        <v>116</v>
      </c>
      <c r="E8687" s="689" t="s">
        <v>117</v>
      </c>
      <c r="F8687" s="1188" t="s">
        <v>121</v>
      </c>
    </row>
    <row r="8688" spans="1:8" hidden="1" outlineLevel="1" x14ac:dyDescent="0.25">
      <c r="A8688" s="751" t="s">
        <v>4400</v>
      </c>
      <c r="B8688" s="729" t="s">
        <v>115</v>
      </c>
      <c r="C8688" s="1105">
        <v>2675.4949999999999</v>
      </c>
      <c r="D8688" s="1105">
        <v>2708.73</v>
      </c>
      <c r="E8688" s="907">
        <v>1.2422000414876511E-2</v>
      </c>
      <c r="F8688" s="731">
        <v>0</v>
      </c>
    </row>
    <row r="8689" spans="1:6" hidden="1" outlineLevel="1" x14ac:dyDescent="0.25">
      <c r="A8689" s="751" t="s">
        <v>4401</v>
      </c>
      <c r="B8689" s="729" t="s">
        <v>115</v>
      </c>
      <c r="C8689" s="1105">
        <v>2708.73</v>
      </c>
      <c r="D8689" s="1105">
        <v>2806.47</v>
      </c>
      <c r="E8689" s="907">
        <v>3.6083330564508076E-2</v>
      </c>
      <c r="F8689" s="731">
        <v>0</v>
      </c>
    </row>
    <row r="8690" spans="1:6" hidden="1" outlineLevel="1" x14ac:dyDescent="0.25">
      <c r="A8690" s="751" t="s">
        <v>4402</v>
      </c>
      <c r="B8690" s="729" t="s">
        <v>115</v>
      </c>
      <c r="C8690" s="1105">
        <v>2806.47</v>
      </c>
      <c r="D8690" s="1105">
        <v>2836.11</v>
      </c>
      <c r="E8690" s="907">
        <v>1.0561310115554612E-2</v>
      </c>
      <c r="F8690" s="731">
        <v>0</v>
      </c>
    </row>
    <row r="8691" spans="1:6" hidden="1" outlineLevel="1" x14ac:dyDescent="0.25">
      <c r="A8691" s="751" t="s">
        <v>4403</v>
      </c>
      <c r="B8691" s="729" t="s">
        <v>115</v>
      </c>
      <c r="C8691" s="1105">
        <v>2836.11</v>
      </c>
      <c r="D8691" s="1105">
        <v>2822.43</v>
      </c>
      <c r="E8691" s="907">
        <v>-4.8235082560268427E-3</v>
      </c>
      <c r="F8691" s="731">
        <v>-4.8235082560268427E-3</v>
      </c>
    </row>
    <row r="8692" spans="1:6" hidden="1" outlineLevel="1" x14ac:dyDescent="0.25">
      <c r="A8692" s="751" t="s">
        <v>4404</v>
      </c>
      <c r="B8692" s="729" t="s">
        <v>115</v>
      </c>
      <c r="C8692" s="1105">
        <v>2822.43</v>
      </c>
      <c r="D8692" s="1105">
        <v>2861.67</v>
      </c>
      <c r="E8692" s="907">
        <v>1.3902913446923515E-2</v>
      </c>
      <c r="F8692" s="731">
        <v>0</v>
      </c>
    </row>
    <row r="8693" spans="1:6" hidden="1" outlineLevel="1" x14ac:dyDescent="0.25">
      <c r="A8693" s="751" t="s">
        <v>1287</v>
      </c>
      <c r="B8693" s="729" t="s">
        <v>115</v>
      </c>
      <c r="C8693" s="1105">
        <v>2861.67</v>
      </c>
      <c r="D8693" s="1105">
        <v>2920.4</v>
      </c>
      <c r="E8693" s="907">
        <v>2.0522981336072998E-2</v>
      </c>
      <c r="F8693" s="731">
        <v>0</v>
      </c>
    </row>
    <row r="8694" spans="1:6" hidden="1" outlineLevel="1" x14ac:dyDescent="0.25">
      <c r="A8694" s="751" t="s">
        <v>1288</v>
      </c>
      <c r="B8694" s="729" t="s">
        <v>115</v>
      </c>
      <c r="C8694" s="1105">
        <v>2920.4</v>
      </c>
      <c r="D8694" s="1105">
        <v>3018.38</v>
      </c>
      <c r="E8694" s="907">
        <v>3.3550198602931181E-2</v>
      </c>
      <c r="F8694" s="731">
        <v>0</v>
      </c>
    </row>
    <row r="8695" spans="1:6" hidden="1" outlineLevel="1" x14ac:dyDescent="0.25">
      <c r="A8695" s="751" t="s">
        <v>1289</v>
      </c>
      <c r="B8695" s="729" t="s">
        <v>115</v>
      </c>
      <c r="C8695" s="1105">
        <v>3018.38</v>
      </c>
      <c r="D8695" s="1105">
        <v>2852.11</v>
      </c>
      <c r="E8695" s="907">
        <v>-5.5085840749011017E-2</v>
      </c>
      <c r="F8695" s="731">
        <v>-5.5085840749011017E-2</v>
      </c>
    </row>
    <row r="8696" spans="1:6" hidden="1" outlineLevel="1" x14ac:dyDescent="0.25">
      <c r="A8696" s="751" t="s">
        <v>1290</v>
      </c>
      <c r="B8696" s="729" t="s">
        <v>115</v>
      </c>
      <c r="C8696" s="1105">
        <v>2852.11</v>
      </c>
      <c r="D8696" s="1105">
        <v>2917.72</v>
      </c>
      <c r="E8696" s="907">
        <v>2.3004021584020151E-2</v>
      </c>
      <c r="F8696" s="731">
        <v>0</v>
      </c>
    </row>
    <row r="8697" spans="1:6" hidden="1" outlineLevel="1" x14ac:dyDescent="0.25">
      <c r="A8697" s="751" t="s">
        <v>1291</v>
      </c>
      <c r="B8697" s="729" t="s">
        <v>115</v>
      </c>
      <c r="C8697" s="1105">
        <v>2917.72</v>
      </c>
      <c r="D8697" s="1105">
        <v>2894.6</v>
      </c>
      <c r="E8697" s="907">
        <v>-7.9239954485008646E-3</v>
      </c>
      <c r="F8697" s="731">
        <v>-7.9239954485008646E-3</v>
      </c>
    </row>
    <row r="8698" spans="1:6" hidden="1" outlineLevel="1" x14ac:dyDescent="0.25">
      <c r="A8698" s="751" t="s">
        <v>1292</v>
      </c>
      <c r="B8698" s="729" t="s">
        <v>115</v>
      </c>
      <c r="C8698" s="1105">
        <v>2894.6</v>
      </c>
      <c r="D8698" s="1105">
        <v>2779.94</v>
      </c>
      <c r="E8698" s="907">
        <v>-3.9611690734471017E-2</v>
      </c>
      <c r="F8698" s="731">
        <v>-3.9611690734471017E-2</v>
      </c>
    </row>
    <row r="8699" spans="1:6" hidden="1" outlineLevel="1" x14ac:dyDescent="0.25">
      <c r="A8699" s="751" t="s">
        <v>1293</v>
      </c>
      <c r="B8699" s="729" t="s">
        <v>115</v>
      </c>
      <c r="C8699" s="1105">
        <v>2779.94</v>
      </c>
      <c r="D8699" s="1105">
        <v>2695.29</v>
      </c>
      <c r="E8699" s="907">
        <v>-3.0450297488435085E-2</v>
      </c>
      <c r="F8699" s="731">
        <v>-3.0450297488435085E-2</v>
      </c>
    </row>
    <row r="8700" spans="1:6" hidden="1" outlineLevel="1" x14ac:dyDescent="0.25">
      <c r="A8700" s="751" t="s">
        <v>1294</v>
      </c>
      <c r="B8700" s="729" t="s">
        <v>115</v>
      </c>
      <c r="C8700" s="1105">
        <v>2695.29</v>
      </c>
      <c r="D8700" s="1105">
        <v>2307.33</v>
      </c>
      <c r="E8700" s="907">
        <v>-0.14393998419465071</v>
      </c>
      <c r="F8700" s="731">
        <v>-0.14393998419465071</v>
      </c>
    </row>
    <row r="8701" spans="1:6" hidden="1" outlineLevel="1" x14ac:dyDescent="0.25">
      <c r="A8701" s="751" t="s">
        <v>1295</v>
      </c>
      <c r="B8701" s="729" t="s">
        <v>115</v>
      </c>
      <c r="C8701" s="1105">
        <v>2307.33</v>
      </c>
      <c r="D8701" s="1105">
        <v>2083.38</v>
      </c>
      <c r="E8701" s="907">
        <v>-9.706023845743772E-2</v>
      </c>
      <c r="F8701" s="731">
        <v>-9.706023845743772E-2</v>
      </c>
    </row>
    <row r="8702" spans="1:6" hidden="1" outlineLevel="1" x14ac:dyDescent="0.25">
      <c r="A8702" s="751" t="s">
        <v>1296</v>
      </c>
      <c r="B8702" s="729" t="s">
        <v>115</v>
      </c>
      <c r="C8702" s="1105">
        <v>2083.38</v>
      </c>
      <c r="D8702" s="1105">
        <v>2355.48</v>
      </c>
      <c r="E8702" s="907">
        <v>0.13060507444633229</v>
      </c>
      <c r="F8702" s="731">
        <v>0</v>
      </c>
    </row>
    <row r="8703" spans="1:6" hidden="1" outlineLevel="1" x14ac:dyDescent="0.25">
      <c r="A8703" s="751" t="s">
        <v>1297</v>
      </c>
      <c r="B8703" s="729" t="s">
        <v>115</v>
      </c>
      <c r="C8703" s="1105">
        <v>2355.48</v>
      </c>
      <c r="D8703" s="1105">
        <v>2288.3200000000002</v>
      </c>
      <c r="E8703" s="907">
        <v>-2.8512235298113309E-2</v>
      </c>
      <c r="F8703" s="731">
        <v>-2.8512235298113309E-2</v>
      </c>
    </row>
    <row r="8704" spans="1:6" hidden="1" outlineLevel="1" x14ac:dyDescent="0.25">
      <c r="A8704" s="751" t="s">
        <v>1298</v>
      </c>
      <c r="B8704" s="729" t="s">
        <v>115</v>
      </c>
      <c r="C8704" s="1105">
        <v>2288.3200000000002</v>
      </c>
      <c r="D8704" s="1105">
        <v>2205.91</v>
      </c>
      <c r="E8704" s="907">
        <v>-3.601331981541056E-2</v>
      </c>
      <c r="F8704" s="731">
        <v>-3.601331981541056E-2</v>
      </c>
    </row>
    <row r="8705" spans="1:7" hidden="1" outlineLevel="1" x14ac:dyDescent="0.25">
      <c r="A8705" s="751" t="s">
        <v>1299</v>
      </c>
      <c r="B8705" s="729" t="s">
        <v>115</v>
      </c>
      <c r="C8705" s="1105">
        <v>2205.91</v>
      </c>
      <c r="D8705" s="1105">
        <v>2338.0100000000002</v>
      </c>
      <c r="E8705" s="907">
        <v>5.9884582779895945E-2</v>
      </c>
      <c r="F8705" s="731">
        <v>0</v>
      </c>
    </row>
    <row r="8706" spans="1:7" hidden="1" outlineLevel="1" x14ac:dyDescent="0.25">
      <c r="A8706" s="751" t="s">
        <v>1300</v>
      </c>
      <c r="B8706" s="729" t="s">
        <v>115</v>
      </c>
      <c r="C8706" s="1105">
        <v>2338.0100000000002</v>
      </c>
      <c r="D8706" s="1105">
        <v>2488.29</v>
      </c>
      <c r="E8706" s="907">
        <v>6.4276885043263121E-2</v>
      </c>
      <c r="F8706" s="731">
        <v>0</v>
      </c>
    </row>
    <row r="8707" spans="1:7" hidden="1" outlineLevel="1" x14ac:dyDescent="0.25">
      <c r="A8707" s="751" t="s">
        <v>401</v>
      </c>
      <c r="B8707" s="729" t="s">
        <v>115</v>
      </c>
      <c r="C8707" s="1105">
        <v>2488.29</v>
      </c>
      <c r="D8707" s="1105">
        <v>2574.79</v>
      </c>
      <c r="E8707" s="907">
        <v>3.4762829091464331E-2</v>
      </c>
      <c r="F8707" s="731">
        <v>0</v>
      </c>
    </row>
    <row r="8708" spans="1:7" hidden="1" outlineLevel="1" x14ac:dyDescent="0.25">
      <c r="A8708" s="751" t="s">
        <v>402</v>
      </c>
      <c r="B8708" s="729" t="s">
        <v>115</v>
      </c>
      <c r="C8708" s="1105">
        <v>2574.79</v>
      </c>
      <c r="D8708" s="1105">
        <v>2367.0500000000002</v>
      </c>
      <c r="E8708" s="907">
        <v>-8.0682308071726161E-2</v>
      </c>
      <c r="F8708" s="731">
        <v>-8.0682308071726161E-2</v>
      </c>
    </row>
    <row r="8709" spans="1:7" hidden="1" outlineLevel="1" x14ac:dyDescent="0.25">
      <c r="A8709" s="751" t="s">
        <v>403</v>
      </c>
      <c r="B8709" s="729" t="s">
        <v>115</v>
      </c>
      <c r="C8709" s="1105">
        <v>2367.0500000000002</v>
      </c>
      <c r="D8709" s="1105">
        <v>2201.9499999999998</v>
      </c>
      <c r="E8709" s="907">
        <v>-6.9749265963963691E-2</v>
      </c>
      <c r="F8709" s="731">
        <v>-6.9749265963963691E-2</v>
      </c>
    </row>
    <row r="8710" spans="1:7" hidden="1" outlineLevel="1" x14ac:dyDescent="0.25">
      <c r="A8710" s="751" t="s">
        <v>404</v>
      </c>
      <c r="B8710" s="729" t="s">
        <v>115</v>
      </c>
      <c r="C8710" s="1105">
        <v>2201.9499999999998</v>
      </c>
      <c r="D8710" s="1105">
        <v>2630.4029999999998</v>
      </c>
      <c r="E8710" s="907">
        <v>0.19457889597856437</v>
      </c>
      <c r="F8710" s="731">
        <v>0</v>
      </c>
    </row>
    <row r="8711" spans="1:7" hidden="1" outlineLevel="1" x14ac:dyDescent="0.25">
      <c r="A8711" s="751" t="s">
        <v>405</v>
      </c>
      <c r="B8711" s="729" t="s">
        <v>115</v>
      </c>
      <c r="C8711" s="1105"/>
      <c r="D8711" s="1105"/>
      <c r="E8711" s="907" t="s">
        <v>5590</v>
      </c>
      <c r="F8711" s="731" t="s">
        <v>5590</v>
      </c>
    </row>
    <row r="8712" spans="1:7" hidden="1" outlineLevel="1" x14ac:dyDescent="0.25">
      <c r="A8712" s="751" t="s">
        <v>406</v>
      </c>
      <c r="B8712" s="729" t="s">
        <v>115</v>
      </c>
      <c r="C8712" s="1105"/>
      <c r="D8712" s="1105"/>
      <c r="E8712" s="907" t="s">
        <v>5590</v>
      </c>
      <c r="F8712" s="731" t="s">
        <v>5590</v>
      </c>
    </row>
    <row r="8713" spans="1:7" hidden="1" outlineLevel="1" x14ac:dyDescent="0.25">
      <c r="A8713" s="751" t="s">
        <v>407</v>
      </c>
      <c r="B8713" s="729" t="s">
        <v>115</v>
      </c>
      <c r="C8713" s="1105"/>
      <c r="D8713" s="1105"/>
      <c r="E8713" s="907" t="s">
        <v>5590</v>
      </c>
      <c r="F8713" s="731" t="s">
        <v>5590</v>
      </c>
    </row>
    <row r="8714" spans="1:7" hidden="1" outlineLevel="1" x14ac:dyDescent="0.25">
      <c r="A8714" s="751" t="s">
        <v>408</v>
      </c>
      <c r="B8714" s="729" t="s">
        <v>115</v>
      </c>
      <c r="C8714" s="1105"/>
      <c r="D8714" s="1105"/>
      <c r="E8714" s="907" t="s">
        <v>5590</v>
      </c>
      <c r="F8714" s="731" t="s">
        <v>5590</v>
      </c>
    </row>
    <row r="8715" spans="1:7" hidden="1" outlineLevel="1" x14ac:dyDescent="0.25">
      <c r="A8715" s="751" t="s">
        <v>409</v>
      </c>
      <c r="B8715" s="729" t="s">
        <v>115</v>
      </c>
      <c r="C8715" s="1105"/>
      <c r="D8715" s="1105"/>
      <c r="E8715" s="907" t="s">
        <v>5590</v>
      </c>
      <c r="F8715" s="731" t="s">
        <v>5590</v>
      </c>
    </row>
    <row r="8716" spans="1:7" hidden="1" outlineLevel="1" x14ac:dyDescent="0.25">
      <c r="A8716" s="751" t="s">
        <v>410</v>
      </c>
      <c r="B8716" s="729" t="s">
        <v>115</v>
      </c>
      <c r="C8716" s="1105"/>
      <c r="D8716" s="1105"/>
      <c r="E8716" s="907" t="s">
        <v>5590</v>
      </c>
      <c r="F8716" s="731" t="s">
        <v>5590</v>
      </c>
    </row>
    <row r="8717" spans="1:7" hidden="1" outlineLevel="1" x14ac:dyDescent="0.25">
      <c r="A8717" s="751" t="s">
        <v>348</v>
      </c>
      <c r="B8717" s="729" t="s">
        <v>115</v>
      </c>
      <c r="C8717" s="1105"/>
      <c r="D8717" s="1105"/>
      <c r="E8717" s="907" t="s">
        <v>5590</v>
      </c>
      <c r="F8717" s="731" t="s">
        <v>5590</v>
      </c>
    </row>
    <row r="8718" spans="1:7" hidden="1" outlineLevel="1" x14ac:dyDescent="0.25">
      <c r="A8718" s="751" t="s">
        <v>349</v>
      </c>
      <c r="B8718" s="729" t="s">
        <v>115</v>
      </c>
      <c r="C8718" s="1105"/>
      <c r="D8718" s="1105"/>
      <c r="E8718" s="907" t="s">
        <v>5590</v>
      </c>
      <c r="F8718" s="731" t="s">
        <v>5590</v>
      </c>
    </row>
    <row r="8719" spans="1:7" ht="12" hidden="1" customHeight="1" outlineLevel="1" x14ac:dyDescent="0.25">
      <c r="A8719" s="751" t="s">
        <v>350</v>
      </c>
      <c r="B8719" s="729" t="s">
        <v>115</v>
      </c>
      <c r="C8719" s="1105"/>
      <c r="D8719" s="1105"/>
      <c r="E8719" s="907" t="s">
        <v>5590</v>
      </c>
      <c r="F8719" s="731" t="s">
        <v>5590</v>
      </c>
    </row>
    <row r="8720" spans="1:7" collapsed="1" x14ac:dyDescent="0.25">
      <c r="A8720" s="3801" t="s">
        <v>4399</v>
      </c>
      <c r="B8720" s="3802"/>
      <c r="C8720" s="3802"/>
      <c r="D8720" s="3802"/>
      <c r="E8720" s="721"/>
      <c r="F8720" s="722">
        <v>0</v>
      </c>
      <c r="G8720" s="175" t="s">
        <v>781</v>
      </c>
    </row>
    <row r="8722" spans="1:8" hidden="1" outlineLevel="1" x14ac:dyDescent="0.25">
      <c r="A8722" s="689" t="s">
        <v>113</v>
      </c>
      <c r="B8722" s="689" t="s">
        <v>114</v>
      </c>
      <c r="C8722" s="689" t="s">
        <v>112</v>
      </c>
      <c r="D8722" s="689" t="s">
        <v>116</v>
      </c>
      <c r="E8722" s="689" t="s">
        <v>117</v>
      </c>
      <c r="F8722" s="1188" t="s">
        <v>121</v>
      </c>
      <c r="G8722" s="97"/>
      <c r="H8722" s="173" t="s">
        <v>4475</v>
      </c>
    </row>
    <row r="8723" spans="1:8" hidden="1" outlineLevel="1" x14ac:dyDescent="0.25">
      <c r="A8723" s="690">
        <v>5</v>
      </c>
      <c r="B8723" s="691" t="s">
        <v>252</v>
      </c>
      <c r="C8723" s="692"/>
      <c r="D8723" s="692"/>
      <c r="E8723" s="693"/>
      <c r="F8723" s="694"/>
      <c r="G8723" s="97"/>
    </row>
    <row r="8724" spans="1:8" hidden="1" outlineLevel="1" x14ac:dyDescent="0.25">
      <c r="A8724" s="695"/>
      <c r="B8724" s="695"/>
      <c r="C8724" s="696"/>
      <c r="D8724" s="697" t="s">
        <v>3702</v>
      </c>
      <c r="E8724" s="698">
        <v>42384</v>
      </c>
      <c r="F8724" s="699"/>
      <c r="G8724" s="97"/>
    </row>
    <row r="8725" spans="1:8" hidden="1" outlineLevel="1" x14ac:dyDescent="0.25">
      <c r="A8725" s="495" t="s">
        <v>4156</v>
      </c>
      <c r="B8725" s="689" t="s">
        <v>4153</v>
      </c>
      <c r="C8725" s="700" t="s">
        <v>112</v>
      </c>
      <c r="D8725" s="689" t="s">
        <v>4155</v>
      </c>
      <c r="E8725" s="689" t="s">
        <v>4154</v>
      </c>
      <c r="F8725" s="1021" t="s">
        <v>1332</v>
      </c>
      <c r="G8725" s="97"/>
    </row>
    <row r="8726" spans="1:8" hidden="1" outlineLevel="1" x14ac:dyDescent="0.25">
      <c r="A8726" s="1213">
        <v>0.05</v>
      </c>
      <c r="B8726" s="1322" t="s">
        <v>2703</v>
      </c>
      <c r="C8726" s="848">
        <v>82.093999999999994</v>
      </c>
      <c r="D8726" s="803">
        <v>138.69</v>
      </c>
      <c r="E8726" s="1216">
        <v>0.68940482861110453</v>
      </c>
      <c r="F8726" s="1074" t="s">
        <v>2024</v>
      </c>
      <c r="G8726" s="198"/>
      <c r="H8726" s="110" t="str">
        <f>VLOOKUP(B8726,indexy!$A$44:$D$818,3,FALSE)</f>
        <v>MMM UN Equity</v>
      </c>
    </row>
    <row r="8727" spans="1:8" hidden="1" outlineLevel="1" x14ac:dyDescent="0.25">
      <c r="A8727" s="1217">
        <v>0.05</v>
      </c>
      <c r="B8727" s="788" t="s">
        <v>4377</v>
      </c>
      <c r="C8727" s="851">
        <v>25.123999999999999</v>
      </c>
      <c r="D8727" s="908">
        <v>62.78</v>
      </c>
      <c r="E8727" s="1219">
        <v>1.4988059226237862</v>
      </c>
      <c r="F8727" s="1075" t="s">
        <v>2024</v>
      </c>
      <c r="G8727" s="198"/>
      <c r="H8727" s="110" t="str">
        <f>VLOOKUP(B8727,indexy!$A$44:$D$818,3,FALSE)</f>
        <v>BMY UN Equity</v>
      </c>
    </row>
    <row r="8728" spans="1:8" hidden="1" outlineLevel="1" x14ac:dyDescent="0.25">
      <c r="A8728" s="1217">
        <v>0.05</v>
      </c>
      <c r="B8728" s="788" t="s">
        <v>1440</v>
      </c>
      <c r="C8728" s="851">
        <v>41.631</v>
      </c>
      <c r="D8728" s="908">
        <v>63.35</v>
      </c>
      <c r="E8728" s="1219">
        <v>0.5217025774062598</v>
      </c>
      <c r="F8728" s="1075" t="s">
        <v>2024</v>
      </c>
      <c r="G8728" s="198"/>
      <c r="H8728" s="110" t="str">
        <f>VLOOKUP(B8728,indexy!$A$44:$D$818,3,FALSE)</f>
        <v>CL UN Equity</v>
      </c>
    </row>
    <row r="8729" spans="1:8" hidden="1" outlineLevel="1" x14ac:dyDescent="0.25">
      <c r="A8729" s="1217">
        <v>0.05</v>
      </c>
      <c r="B8729" s="788" t="s">
        <v>2699</v>
      </c>
      <c r="C8729" s="851">
        <v>12.749000000000001</v>
      </c>
      <c r="D8729" s="908">
        <v>22.72</v>
      </c>
      <c r="E8729" s="1219">
        <v>0.78210055690642388</v>
      </c>
      <c r="F8729" s="1075" t="s">
        <v>2024</v>
      </c>
      <c r="G8729" s="198"/>
      <c r="H8729" s="110" t="str">
        <f>VLOOKUP(B8729,indexy!$A$44:$D$818,3,FALSE)</f>
        <v>DHL GR Equity</v>
      </c>
    </row>
    <row r="8730" spans="1:8" hidden="1" outlineLevel="1" x14ac:dyDescent="0.25">
      <c r="A8730" s="1217">
        <v>0.05</v>
      </c>
      <c r="B8730" s="1717" t="s">
        <v>5194</v>
      </c>
      <c r="C8730" s="851">
        <v>21.011600000000001</v>
      </c>
      <c r="D8730" s="908">
        <v>39.04</v>
      </c>
      <c r="E8730" s="1219">
        <v>0.8580212834815053</v>
      </c>
      <c r="F8730" s="1075" t="s">
        <v>2024</v>
      </c>
      <c r="G8730" s="198"/>
      <c r="H8730" s="110" t="str">
        <f>VLOOKUP(B8730,indexy!$A$44:$D$818,3,FALSE)</f>
        <v>CAG UN Equity</v>
      </c>
    </row>
    <row r="8731" spans="1:8" hidden="1" outlineLevel="1" x14ac:dyDescent="0.25">
      <c r="A8731" s="1217">
        <v>0.05</v>
      </c>
      <c r="B8731" s="788" t="s">
        <v>1771</v>
      </c>
      <c r="C8731" s="851">
        <v>629.94000000000005</v>
      </c>
      <c r="D8731" s="908">
        <v>485.7</v>
      </c>
      <c r="E8731" s="1219">
        <v>-0.22897418801790659</v>
      </c>
      <c r="F8731" s="1075" t="s">
        <v>2024</v>
      </c>
      <c r="G8731" s="198"/>
      <c r="H8731" s="110" t="str">
        <f>VLOOKUP(B8731,indexy!$A$44:$D$818,3,FALSE)</f>
        <v>HSBA LN Equity</v>
      </c>
    </row>
    <row r="8732" spans="1:8" hidden="1" outlineLevel="1" x14ac:dyDescent="0.25">
      <c r="A8732" s="1217">
        <v>0.05</v>
      </c>
      <c r="B8732" s="1325" t="s">
        <v>3426</v>
      </c>
      <c r="C8732" s="851">
        <v>59.694000000000003</v>
      </c>
      <c r="D8732" s="908">
        <v>97</v>
      </c>
      <c r="E8732" s="1219">
        <v>0.6249539317184305</v>
      </c>
      <c r="F8732" s="1075" t="s">
        <v>2024</v>
      </c>
      <c r="G8732" s="198"/>
      <c r="H8732" s="110" t="str">
        <f>VLOOKUP(B8732,indexy!$A$44:$D$818,3,FALSE)</f>
        <v>JNJ UN Equity</v>
      </c>
    </row>
    <row r="8733" spans="1:8" hidden="1" outlineLevel="1" x14ac:dyDescent="0.25">
      <c r="A8733" s="1217">
        <v>0.05</v>
      </c>
      <c r="B8733" s="1325" t="s">
        <v>816</v>
      </c>
      <c r="C8733" s="851">
        <v>70.59</v>
      </c>
      <c r="D8733" s="908">
        <v>115.18</v>
      </c>
      <c r="E8733" s="1219">
        <v>0.63167587476979747</v>
      </c>
      <c r="F8733" s="1075" t="s">
        <v>2024</v>
      </c>
      <c r="G8733" s="198"/>
      <c r="H8733" s="110" t="str">
        <f>VLOOKUP(B8733,indexy!$A$44:$D$818,3,FALSE)</f>
        <v>MCD UN Equity</v>
      </c>
    </row>
    <row r="8734" spans="1:8" hidden="1" outlineLevel="1" x14ac:dyDescent="0.25">
      <c r="A8734" s="1217">
        <v>0.05</v>
      </c>
      <c r="B8734" s="1325" t="s">
        <v>3526</v>
      </c>
      <c r="C8734" s="851">
        <v>408.6</v>
      </c>
      <c r="D8734" s="908">
        <v>672</v>
      </c>
      <c r="E8734" s="1219">
        <v>0.6446402349486049</v>
      </c>
      <c r="F8734" s="1075" t="s">
        <v>2024</v>
      </c>
      <c r="G8734" s="198"/>
      <c r="H8734" s="110" t="str">
        <f>VLOOKUP(B8734,indexy!$A$44:$D$818,3,FALSE)</f>
        <v>8306 JT Equity</v>
      </c>
    </row>
    <row r="8735" spans="1:8" hidden="1" outlineLevel="1" x14ac:dyDescent="0.25">
      <c r="A8735" s="1217">
        <v>0.05</v>
      </c>
      <c r="B8735" s="788" t="s">
        <v>3528</v>
      </c>
      <c r="C8735" s="851">
        <v>136.80000000000001</v>
      </c>
      <c r="D8735" s="908">
        <v>222.4</v>
      </c>
      <c r="E8735" s="1219">
        <v>0.62573099415204658</v>
      </c>
      <c r="F8735" s="1075" t="s">
        <v>2024</v>
      </c>
      <c r="G8735" s="198"/>
      <c r="H8735" s="110" t="str">
        <f>VLOOKUP(B8735,indexy!$A$44:$D$818,3,FALSE)</f>
        <v>8411 JT Equity</v>
      </c>
    </row>
    <row r="8736" spans="1:8" hidden="1" outlineLevel="1" x14ac:dyDescent="0.25">
      <c r="A8736" s="1718">
        <v>0.05</v>
      </c>
      <c r="B8736" s="1719" t="s">
        <v>3530</v>
      </c>
      <c r="C8736" s="1323">
        <v>24836</v>
      </c>
      <c r="D8736" s="1222">
        <v>14870</v>
      </c>
      <c r="E8736" s="1720">
        <v>-0.40127234659365441</v>
      </c>
      <c r="F8736" s="1877" t="s">
        <v>2025</v>
      </c>
      <c r="G8736" s="198"/>
      <c r="H8736" s="110" t="e">
        <f>VLOOKUP(B8736,indexy!$A$44:$D$818,3,FALSE)</f>
        <v>#N/A</v>
      </c>
    </row>
    <row r="8737" spans="1:9" hidden="1" outlineLevel="1" x14ac:dyDescent="0.25">
      <c r="A8737" s="1217">
        <v>0.05</v>
      </c>
      <c r="B8737" s="788" t="s">
        <v>1040</v>
      </c>
      <c r="C8737" s="851">
        <v>1843</v>
      </c>
      <c r="D8737" s="908">
        <v>4791</v>
      </c>
      <c r="E8737" s="1219">
        <v>1.5995659251220835</v>
      </c>
      <c r="F8737" s="1075" t="s">
        <v>2024</v>
      </c>
      <c r="G8737" s="198"/>
      <c r="H8737" s="110" t="str">
        <f>VLOOKUP(B8737,indexy!$A$44:$D$818,3,FALSE)</f>
        <v>9432 JT Equity</v>
      </c>
    </row>
    <row r="8738" spans="1:9" hidden="1" outlineLevel="1" x14ac:dyDescent="0.25">
      <c r="A8738" s="1217">
        <v>0.05</v>
      </c>
      <c r="B8738" s="1325" t="s">
        <v>2787</v>
      </c>
      <c r="C8738" s="851">
        <v>52.68</v>
      </c>
      <c r="D8738" s="908">
        <v>80.349999999999994</v>
      </c>
      <c r="E8738" s="1219">
        <v>0.52524677296886857</v>
      </c>
      <c r="F8738" s="1075" t="s">
        <v>2024</v>
      </c>
      <c r="G8738" s="198"/>
      <c r="H8738" s="110" t="str">
        <f>VLOOKUP(B8738,indexy!$A$44:$D$818,3,FALSE)</f>
        <v>NOVN SE Equity</v>
      </c>
    </row>
    <row r="8739" spans="1:9" hidden="1" outlineLevel="1" x14ac:dyDescent="0.25">
      <c r="A8739" s="1217">
        <v>0.05</v>
      </c>
      <c r="B8739" s="788" t="s">
        <v>4273</v>
      </c>
      <c r="C8739" s="851">
        <v>1370</v>
      </c>
      <c r="D8739" s="908">
        <v>2416.5</v>
      </c>
      <c r="E8739" s="1219">
        <v>0.76386861313868604</v>
      </c>
      <c r="F8739" s="1075" t="s">
        <v>2024</v>
      </c>
      <c r="G8739" s="198"/>
      <c r="H8739" s="110" t="str">
        <f>VLOOKUP(B8739,indexy!$A$44:$D$818,3,FALSE)</f>
        <v>9437 JT Equity</v>
      </c>
    </row>
    <row r="8740" spans="1:9" hidden="1" outlineLevel="1" x14ac:dyDescent="0.25">
      <c r="A8740" s="1217">
        <v>0.05</v>
      </c>
      <c r="B8740" s="788" t="s">
        <v>3793</v>
      </c>
      <c r="C8740" s="851">
        <v>49.975999999999999</v>
      </c>
      <c r="D8740" s="908">
        <v>86.29</v>
      </c>
      <c r="E8740" s="1219">
        <v>0.72662878181527146</v>
      </c>
      <c r="F8740" s="1075" t="s">
        <v>2024</v>
      </c>
      <c r="G8740" s="198"/>
      <c r="H8740" s="110" t="str">
        <f>VLOOKUP(B8740,indexy!$A$44:$D$818,3,FALSE)</f>
        <v>PM UN Equity</v>
      </c>
    </row>
    <row r="8741" spans="1:9" hidden="1" outlineLevel="1" x14ac:dyDescent="0.25">
      <c r="A8741" s="1217">
        <v>0.05</v>
      </c>
      <c r="B8741" s="788" t="s">
        <v>3800</v>
      </c>
      <c r="C8741" s="851">
        <v>146.5</v>
      </c>
      <c r="D8741" s="908">
        <v>256.5</v>
      </c>
      <c r="E8741" s="1219">
        <v>0.75085324232081918</v>
      </c>
      <c r="F8741" s="1075" t="s">
        <v>2024</v>
      </c>
      <c r="G8741" s="198"/>
      <c r="H8741" s="110" t="str">
        <f>VLOOKUP(B8741,indexy!$A$44:$D$818,3,FALSE)</f>
        <v>ROG SE Equity</v>
      </c>
    </row>
    <row r="8742" spans="1:9" hidden="1" outlineLevel="1" x14ac:dyDescent="0.25">
      <c r="A8742" s="1217">
        <v>0.05</v>
      </c>
      <c r="B8742" s="788" t="s">
        <v>702</v>
      </c>
      <c r="C8742" s="851">
        <v>2512.6</v>
      </c>
      <c r="D8742" s="908">
        <v>4172</v>
      </c>
      <c r="E8742" s="1219">
        <v>0.66043142561490087</v>
      </c>
      <c r="F8742" s="1075" t="s">
        <v>2024</v>
      </c>
      <c r="G8742" s="198"/>
      <c r="H8742" s="110" t="str">
        <f>VLOOKUP(B8742,indexy!$A$44:$D$818,3,FALSE)</f>
        <v>8316 JT Equity</v>
      </c>
    </row>
    <row r="8743" spans="1:9" hidden="1" outlineLevel="1" x14ac:dyDescent="0.25">
      <c r="A8743" s="1217">
        <v>0.05</v>
      </c>
      <c r="B8743" s="1325" t="s">
        <v>3022</v>
      </c>
      <c r="C8743" s="851">
        <v>3943</v>
      </c>
      <c r="D8743" s="908">
        <v>5588</v>
      </c>
      <c r="E8743" s="1219">
        <v>0.41719502916560991</v>
      </c>
      <c r="F8743" s="1075" t="s">
        <v>2024</v>
      </c>
      <c r="G8743" s="198"/>
      <c r="H8743" s="110" t="str">
        <f>VLOOKUP(B8743,indexy!$A$44:$D$818,3,FALSE)</f>
        <v>4502 JT Equity</v>
      </c>
    </row>
    <row r="8744" spans="1:9" hidden="1" outlineLevel="1" x14ac:dyDescent="0.25">
      <c r="A8744" s="1217">
        <v>0.05</v>
      </c>
      <c r="B8744" s="1325" t="s">
        <v>1183</v>
      </c>
      <c r="C8744" s="851">
        <v>38.265999999999998</v>
      </c>
      <c r="D8744" s="908">
        <v>37.655000000000001</v>
      </c>
      <c r="E8744" s="1219">
        <v>-1.5967177128521359E-2</v>
      </c>
      <c r="F8744" s="1075" t="s">
        <v>2024</v>
      </c>
      <c r="G8744" s="198"/>
      <c r="H8744" s="110" t="e">
        <f>VLOOKUP(B8744,indexy!$A$44:$D$818,3,FALSE)</f>
        <v>#N/A</v>
      </c>
    </row>
    <row r="8745" spans="1:9" hidden="1" outlineLevel="1" x14ac:dyDescent="0.25">
      <c r="A8745" s="1223">
        <v>0.05</v>
      </c>
      <c r="B8745" s="1721" t="s">
        <v>106</v>
      </c>
      <c r="C8745" s="1041">
        <v>1889.8</v>
      </c>
      <c r="D8745" s="715">
        <v>2798.5</v>
      </c>
      <c r="E8745" s="1226">
        <v>0.48084453381310199</v>
      </c>
      <c r="F8745" s="1076" t="s">
        <v>2024</v>
      </c>
      <c r="G8745" s="198"/>
      <c r="H8745" s="110" t="str">
        <f>VLOOKUP(B8745,indexy!$A$44:$D$818,3,FALSE)</f>
        <v>ULVR LN Equity</v>
      </c>
    </row>
    <row r="8746" spans="1:9" hidden="1" outlineLevel="1" x14ac:dyDescent="0.25">
      <c r="A8746" s="767"/>
      <c r="C8746" s="727"/>
      <c r="D8746" s="768"/>
      <c r="E8746" s="716">
        <v>0.6077728408418609</v>
      </c>
      <c r="F8746" s="770"/>
      <c r="G8746" s="97"/>
      <c r="H8746" s="417" t="s">
        <v>6670</v>
      </c>
      <c r="I8746" s="488" t="s">
        <v>6674</v>
      </c>
    </row>
    <row r="8747" spans="1:9" hidden="1" outlineLevel="1" x14ac:dyDescent="0.25">
      <c r="A8747" s="751" t="s">
        <v>4773</v>
      </c>
      <c r="B8747" s="1722"/>
      <c r="C8747" s="727"/>
      <c r="D8747" s="768"/>
      <c r="E8747" s="716"/>
      <c r="F8747" s="770">
        <v>2.5000000000000001E-2</v>
      </c>
      <c r="G8747" s="515"/>
      <c r="H8747" s="478">
        <v>2.5000000000000001E-2</v>
      </c>
      <c r="I8747" s="518">
        <f>parametry!R294</f>
        <v>1.5</v>
      </c>
    </row>
    <row r="8748" spans="1:9" hidden="1" outlineLevel="1" x14ac:dyDescent="0.25">
      <c r="A8748" s="751" t="s">
        <v>4774</v>
      </c>
      <c r="B8748" s="1722" t="s">
        <v>5344</v>
      </c>
      <c r="C8748" s="727"/>
      <c r="D8748" s="768"/>
      <c r="E8748" s="716" t="s">
        <v>6672</v>
      </c>
      <c r="F8748" s="770">
        <v>1.67E-2</v>
      </c>
      <c r="G8748" s="516"/>
      <c r="H8748" s="478">
        <f>IF(F8748="",H8747*$I$8747,F8748)</f>
        <v>1.67E-2</v>
      </c>
      <c r="I8748" s="81" t="s">
        <v>6672</v>
      </c>
    </row>
    <row r="8749" spans="1:9" hidden="1" outlineLevel="1" x14ac:dyDescent="0.25">
      <c r="A8749" s="751" t="s">
        <v>4775</v>
      </c>
      <c r="B8749" s="1722" t="s">
        <v>6272</v>
      </c>
      <c r="C8749" s="727"/>
      <c r="D8749" s="768"/>
      <c r="E8749" s="716" t="s">
        <v>6673</v>
      </c>
      <c r="F8749" s="770">
        <v>2.5100000000000001E-2</v>
      </c>
      <c r="G8749" s="516"/>
      <c r="H8749" s="478">
        <f>IF(F8749="",H8748*$I$8747,F8749)</f>
        <v>2.5100000000000001E-2</v>
      </c>
      <c r="I8749" s="81" t="s">
        <v>6673</v>
      </c>
    </row>
    <row r="8750" spans="1:9" hidden="1" outlineLevel="1" x14ac:dyDescent="0.25">
      <c r="A8750" s="751" t="s">
        <v>4776</v>
      </c>
      <c r="B8750" s="1722" t="s">
        <v>6272</v>
      </c>
      <c r="C8750" s="727"/>
      <c r="D8750" s="768"/>
      <c r="E8750" s="716" t="s">
        <v>6673</v>
      </c>
      <c r="F8750" s="770">
        <v>3.7699999999999997E-2</v>
      </c>
      <c r="G8750" s="516"/>
      <c r="H8750" s="478">
        <f>IF(F8750="",H8749*$I$8747,F8750)</f>
        <v>3.7699999999999997E-2</v>
      </c>
    </row>
    <row r="8751" spans="1:9" hidden="1" outlineLevel="1" x14ac:dyDescent="0.25">
      <c r="A8751" s="751" t="s">
        <v>4777</v>
      </c>
      <c r="B8751" s="1722"/>
      <c r="C8751" s="727"/>
      <c r="D8751" s="727"/>
      <c r="E8751" s="716"/>
      <c r="F8751" s="770">
        <v>2.5100000000000001E-2</v>
      </c>
      <c r="G8751" s="516"/>
      <c r="H8751" s="478">
        <f>IF(F8751="",H8750*$I$8747,F8751)</f>
        <v>2.5100000000000001E-2</v>
      </c>
    </row>
    <row r="8752" spans="1:9" collapsed="1" x14ac:dyDescent="0.25">
      <c r="A8752" s="3801" t="s">
        <v>3002</v>
      </c>
      <c r="B8752" s="3802"/>
      <c r="C8752" s="3802"/>
      <c r="D8752" s="3802"/>
      <c r="E8752" s="1201"/>
      <c r="F8752" s="752">
        <v>0.12959999999999999</v>
      </c>
      <c r="G8752" s="515"/>
      <c r="H8752" s="517">
        <f>SUM(H8747:H8751)</f>
        <v>0.12959999999999999</v>
      </c>
    </row>
    <row r="8754" spans="1:8" hidden="1" outlineLevel="1" x14ac:dyDescent="0.25">
      <c r="A8754" s="689" t="s">
        <v>113</v>
      </c>
      <c r="B8754" s="689" t="s">
        <v>114</v>
      </c>
      <c r="C8754" s="689" t="s">
        <v>112</v>
      </c>
      <c r="D8754" s="689" t="s">
        <v>4155</v>
      </c>
      <c r="E8754" s="689" t="s">
        <v>116</v>
      </c>
      <c r="F8754" s="1188" t="s">
        <v>4154</v>
      </c>
    </row>
    <row r="8755" spans="1:8" hidden="1" outlineLevel="1" x14ac:dyDescent="0.25">
      <c r="A8755" s="732" t="s">
        <v>4518</v>
      </c>
      <c r="B8755" s="1092" t="s">
        <v>2153</v>
      </c>
      <c r="C8755" s="793">
        <v>2652.2440000000001</v>
      </c>
      <c r="D8755" s="1165"/>
      <c r="E8755" s="1165">
        <v>2854.7020000000002</v>
      </c>
      <c r="F8755" s="694">
        <f>E8755/C8755-1</f>
        <v>7.6334605715009607E-2</v>
      </c>
    </row>
    <row r="8756" spans="1:8" hidden="1" outlineLevel="1" x14ac:dyDescent="0.25">
      <c r="A8756" s="732" t="s">
        <v>4519</v>
      </c>
      <c r="B8756" s="1092" t="s">
        <v>2153</v>
      </c>
      <c r="C8756" s="793"/>
      <c r="D8756" s="1022"/>
      <c r="E8756" s="861"/>
      <c r="F8756" s="694"/>
    </row>
    <row r="8757" spans="1:8" hidden="1" outlineLevel="1" x14ac:dyDescent="0.25">
      <c r="A8757" s="732" t="s">
        <v>4520</v>
      </c>
      <c r="B8757" s="1092" t="s">
        <v>2153</v>
      </c>
      <c r="C8757" s="793"/>
      <c r="D8757" s="1249"/>
      <c r="E8757" s="693"/>
      <c r="F8757" s="694"/>
    </row>
    <row r="8758" spans="1:8" hidden="1" outlineLevel="1" x14ac:dyDescent="0.25">
      <c r="A8758" s="732" t="s">
        <v>4521</v>
      </c>
      <c r="B8758" s="1092" t="s">
        <v>2153</v>
      </c>
      <c r="C8758" s="793"/>
      <c r="D8758" s="1249"/>
      <c r="E8758" s="693"/>
      <c r="F8758" s="694"/>
    </row>
    <row r="8759" spans="1:8" hidden="1" outlineLevel="1" x14ac:dyDescent="0.25">
      <c r="A8759" s="690"/>
      <c r="B8759" s="695"/>
      <c r="C8759" s="793"/>
      <c r="D8759" s="1249"/>
      <c r="E8759" s="1253"/>
      <c r="F8759" s="694"/>
    </row>
    <row r="8760" spans="1:8" collapsed="1" x14ac:dyDescent="0.25">
      <c r="A8760" s="3801" t="s">
        <v>4522</v>
      </c>
      <c r="B8760" s="3802"/>
      <c r="C8760" s="3802"/>
      <c r="D8760" s="3802"/>
      <c r="E8760" s="1201" t="s">
        <v>2722</v>
      </c>
      <c r="F8760" s="752">
        <f>IF(C8755&lt;E8755,12%,(D8755/C8755-1))</f>
        <v>0.12</v>
      </c>
      <c r="G8760" s="175" t="s">
        <v>781</v>
      </c>
    </row>
    <row r="8762" spans="1:8" hidden="1" outlineLevel="1" x14ac:dyDescent="0.25">
      <c r="A8762" s="689" t="s">
        <v>113</v>
      </c>
      <c r="B8762" s="689" t="s">
        <v>114</v>
      </c>
      <c r="C8762" s="689" t="s">
        <v>112</v>
      </c>
      <c r="D8762" s="689" t="s">
        <v>116</v>
      </c>
      <c r="E8762" s="689" t="s">
        <v>117</v>
      </c>
      <c r="F8762" s="1188" t="s">
        <v>121</v>
      </c>
      <c r="G8762" s="78"/>
    </row>
    <row r="8763" spans="1:8" hidden="1" outlineLevel="1" x14ac:dyDescent="0.25">
      <c r="A8763" s="690">
        <v>1</v>
      </c>
      <c r="B8763" s="691" t="s">
        <v>252</v>
      </c>
      <c r="C8763" s="692">
        <v>100</v>
      </c>
      <c r="D8763" s="692"/>
      <c r="E8763" s="693"/>
      <c r="F8763" s="694"/>
      <c r="G8763" s="78"/>
    </row>
    <row r="8764" spans="1:8" hidden="1" outlineLevel="1" x14ac:dyDescent="0.25">
      <c r="A8764" s="695"/>
      <c r="B8764" s="695"/>
      <c r="C8764" s="696"/>
      <c r="D8764" s="697" t="s">
        <v>3702</v>
      </c>
      <c r="E8764" s="698">
        <v>41607</v>
      </c>
      <c r="F8764" s="699"/>
      <c r="G8764" s="78"/>
    </row>
    <row r="8765" spans="1:8" hidden="1" outlineLevel="1" x14ac:dyDescent="0.25">
      <c r="A8765" s="689" t="s">
        <v>4156</v>
      </c>
      <c r="B8765" s="689" t="s">
        <v>4153</v>
      </c>
      <c r="C8765" s="700" t="s">
        <v>112</v>
      </c>
      <c r="D8765" s="495" t="s">
        <v>4155</v>
      </c>
      <c r="E8765" s="689" t="s">
        <v>4154</v>
      </c>
      <c r="F8765" s="1021" t="s">
        <v>2519</v>
      </c>
      <c r="G8765" s="78"/>
    </row>
    <row r="8766" spans="1:8" hidden="1" outlineLevel="1" x14ac:dyDescent="0.25">
      <c r="A8766" s="999">
        <v>2.5000000000000001E-2</v>
      </c>
      <c r="B8766" s="702" t="s">
        <v>1995</v>
      </c>
      <c r="C8766" s="848">
        <v>47.448999999999998</v>
      </c>
      <c r="D8766" s="704">
        <v>38.19</v>
      </c>
      <c r="E8766" s="895">
        <v>-0.1951358300491054</v>
      </c>
      <c r="F8766" s="1021">
        <v>-4.8783957512276354E-3</v>
      </c>
      <c r="G8766" s="78"/>
      <c r="H8766" s="110" t="s">
        <v>2739</v>
      </c>
    </row>
    <row r="8767" spans="1:8" hidden="1" outlineLevel="1" x14ac:dyDescent="0.25">
      <c r="A8767" s="1002">
        <v>4.4999999999999998E-2</v>
      </c>
      <c r="B8767" s="706" t="s">
        <v>359</v>
      </c>
      <c r="C8767" s="851">
        <v>82.194999999999993</v>
      </c>
      <c r="D8767" s="708">
        <v>127.85</v>
      </c>
      <c r="E8767" s="896">
        <v>0.55544741164304412</v>
      </c>
      <c r="F8767" s="946">
        <v>2.4995133523936983E-2</v>
      </c>
      <c r="G8767" s="78"/>
      <c r="H8767" s="110" t="s">
        <v>360</v>
      </c>
    </row>
    <row r="8768" spans="1:8" hidden="1" outlineLevel="1" x14ac:dyDescent="0.25">
      <c r="A8768" s="1002">
        <v>3.5000000000000003E-2</v>
      </c>
      <c r="B8768" s="710" t="s">
        <v>157</v>
      </c>
      <c r="C8768" s="851">
        <v>8.3989999999999991</v>
      </c>
      <c r="D8768" s="708">
        <v>6.5430000000000001</v>
      </c>
      <c r="E8768" s="896">
        <v>-0.2209786879390403</v>
      </c>
      <c r="F8768" s="946">
        <v>-7.7342540778664115E-3</v>
      </c>
      <c r="G8768" s="78"/>
      <c r="H8768" s="110" t="s">
        <v>730</v>
      </c>
    </row>
    <row r="8769" spans="1:8" hidden="1" outlineLevel="1" x14ac:dyDescent="0.25">
      <c r="A8769" s="1002">
        <v>0.04</v>
      </c>
      <c r="B8769" s="706" t="s">
        <v>1188</v>
      </c>
      <c r="C8769" s="851">
        <v>373.98</v>
      </c>
      <c r="D8769" s="708">
        <v>482</v>
      </c>
      <c r="E8769" s="896">
        <v>0.28883897534627523</v>
      </c>
      <c r="F8769" s="946">
        <v>1.1553559013851009E-2</v>
      </c>
      <c r="G8769" s="78"/>
      <c r="H8769" s="110" t="s">
        <v>2746</v>
      </c>
    </row>
    <row r="8770" spans="1:8" hidden="1" outlineLevel="1" x14ac:dyDescent="0.25">
      <c r="A8770" s="1002">
        <v>0.04</v>
      </c>
      <c r="B8770" s="706" t="s">
        <v>4437</v>
      </c>
      <c r="C8770" s="851">
        <v>910.4</v>
      </c>
      <c r="D8770" s="708">
        <v>559</v>
      </c>
      <c r="E8770" s="896">
        <v>-0.38598418277680135</v>
      </c>
      <c r="F8770" s="946">
        <v>-1.5439367311072054E-2</v>
      </c>
      <c r="G8770" s="78"/>
      <c r="H8770" s="110" t="s">
        <v>3825</v>
      </c>
    </row>
    <row r="8771" spans="1:8" hidden="1" outlineLevel="1" x14ac:dyDescent="0.25">
      <c r="A8771" s="1002">
        <v>0.04</v>
      </c>
      <c r="B8771" s="706" t="s">
        <v>53</v>
      </c>
      <c r="C8771" s="851">
        <v>46.424999999999997</v>
      </c>
      <c r="D8771" s="708">
        <v>53.48</v>
      </c>
      <c r="E8771" s="896">
        <v>0.15196553581044703</v>
      </c>
      <c r="F8771" s="946">
        <v>6.0786214324178812E-3</v>
      </c>
      <c r="G8771" s="78"/>
      <c r="H8771" s="110" t="s">
        <v>2751</v>
      </c>
    </row>
    <row r="8772" spans="1:8" hidden="1" outlineLevel="1" x14ac:dyDescent="0.25">
      <c r="A8772" s="1002">
        <v>4.4999999999999998E-2</v>
      </c>
      <c r="B8772" s="706" t="s">
        <v>2699</v>
      </c>
      <c r="C8772" s="851">
        <v>12.195</v>
      </c>
      <c r="D8772" s="708">
        <v>26.03</v>
      </c>
      <c r="E8772" s="896">
        <v>1.1344813448134481</v>
      </c>
      <c r="F8772" s="946">
        <v>5.105166051660516E-2</v>
      </c>
      <c r="G8772" s="78"/>
      <c r="H8772" s="110" t="s">
        <v>505</v>
      </c>
    </row>
    <row r="8773" spans="1:8" hidden="1" outlineLevel="1" x14ac:dyDescent="0.25">
      <c r="A8773" s="1002">
        <v>2.5000000000000001E-2</v>
      </c>
      <c r="B8773" s="706" t="s">
        <v>3406</v>
      </c>
      <c r="C8773" s="851">
        <v>1099</v>
      </c>
      <c r="D8773" s="708">
        <v>1946</v>
      </c>
      <c r="E8773" s="896">
        <v>0.77070063694267521</v>
      </c>
      <c r="F8773" s="946">
        <v>1.9267515923566882E-2</v>
      </c>
      <c r="G8773" s="78"/>
      <c r="H8773" s="110" t="s">
        <v>2105</v>
      </c>
    </row>
    <row r="8774" spans="1:8" hidden="1" outlineLevel="1" x14ac:dyDescent="0.25">
      <c r="A8774" s="1002">
        <v>3.5000000000000003E-2</v>
      </c>
      <c r="B8774" s="706" t="s">
        <v>4387</v>
      </c>
      <c r="C8774" s="851">
        <v>23.898</v>
      </c>
      <c r="D8774" s="708">
        <v>14.16</v>
      </c>
      <c r="E8774" s="896">
        <v>-0.40748179763996983</v>
      </c>
      <c r="F8774" s="946">
        <v>-1.4261862917398945E-2</v>
      </c>
      <c r="G8774" s="78"/>
      <c r="H8774" s="110" t="s">
        <v>3744</v>
      </c>
    </row>
    <row r="8775" spans="1:8" hidden="1" outlineLevel="1" x14ac:dyDescent="0.25">
      <c r="A8775" s="1002">
        <v>0.04</v>
      </c>
      <c r="B8775" s="711" t="s">
        <v>3798</v>
      </c>
      <c r="C8775" s="851">
        <v>3.8313000000000001</v>
      </c>
      <c r="D8775" s="708">
        <v>3.3479999999999999</v>
      </c>
      <c r="E8775" s="896">
        <v>-0.12614517265680059</v>
      </c>
      <c r="F8775" s="946">
        <v>-5.0458069062720235E-3</v>
      </c>
      <c r="G8775" s="78"/>
      <c r="H8775" s="110" t="s">
        <v>4122</v>
      </c>
    </row>
    <row r="8776" spans="1:8" hidden="1" outlineLevel="1" x14ac:dyDescent="0.25">
      <c r="A8776" s="1002">
        <v>0.03</v>
      </c>
      <c r="B8776" s="706" t="s">
        <v>747</v>
      </c>
      <c r="C8776" s="851">
        <v>27.538</v>
      </c>
      <c r="D8776" s="708">
        <v>25.91</v>
      </c>
      <c r="E8776" s="896">
        <v>-5.9118309245406397E-2</v>
      </c>
      <c r="F8776" s="946">
        <v>-1.7735492773621919E-3</v>
      </c>
      <c r="G8776" s="78"/>
      <c r="H8776" s="110" t="s">
        <v>257</v>
      </c>
    </row>
    <row r="8777" spans="1:8" hidden="1" outlineLevel="1" x14ac:dyDescent="0.25">
      <c r="A8777" s="1002">
        <v>0.03</v>
      </c>
      <c r="B8777" s="706" t="s">
        <v>4338</v>
      </c>
      <c r="C8777" s="851">
        <v>25.163</v>
      </c>
      <c r="D8777" s="708">
        <v>17.07</v>
      </c>
      <c r="E8777" s="896">
        <v>-0.32162301792314107</v>
      </c>
      <c r="F8777" s="946">
        <v>-9.6486905376942326E-3</v>
      </c>
      <c r="G8777" s="78"/>
      <c r="H8777" s="110" t="s">
        <v>7229</v>
      </c>
    </row>
    <row r="8778" spans="1:8" hidden="1" outlineLevel="1" x14ac:dyDescent="0.25">
      <c r="A8778" s="1002">
        <v>0.03</v>
      </c>
      <c r="B8778" s="706" t="s">
        <v>1031</v>
      </c>
      <c r="C8778" s="851">
        <v>5.2119</v>
      </c>
      <c r="D8778" s="708">
        <v>4.6879999999999997</v>
      </c>
      <c r="E8778" s="896">
        <v>-0.10051996392870166</v>
      </c>
      <c r="F8778" s="946">
        <v>-3.0155989178610497E-3</v>
      </c>
      <c r="G8778" s="78"/>
      <c r="H8778" s="110" t="s">
        <v>4158</v>
      </c>
    </row>
    <row r="8779" spans="1:8" hidden="1" outlineLevel="1" x14ac:dyDescent="0.25">
      <c r="A8779" s="1002">
        <v>0.04</v>
      </c>
      <c r="B8779" s="706" t="s">
        <v>52</v>
      </c>
      <c r="C8779" s="851">
        <v>127.765</v>
      </c>
      <c r="D8779" s="708">
        <v>179.68</v>
      </c>
      <c r="E8779" s="896">
        <v>0.40633193754158037</v>
      </c>
      <c r="F8779" s="946">
        <v>1.6253277501663214E-2</v>
      </c>
      <c r="G8779" s="78"/>
      <c r="H8779" s="110" t="s">
        <v>4130</v>
      </c>
    </row>
    <row r="8780" spans="1:8" hidden="1" outlineLevel="1" x14ac:dyDescent="0.25">
      <c r="A8780" s="1002">
        <v>0.03</v>
      </c>
      <c r="B8780" s="706" t="s">
        <v>4034</v>
      </c>
      <c r="C8780" s="851">
        <v>10.608499999999999</v>
      </c>
      <c r="D8780" s="708">
        <v>13.4</v>
      </c>
      <c r="E8780" s="896">
        <v>0.26313804967714582</v>
      </c>
      <c r="F8780" s="946">
        <v>7.8941414903143745E-3</v>
      </c>
      <c r="G8780" s="78"/>
      <c r="H8780" s="110" t="s">
        <v>4035</v>
      </c>
    </row>
    <row r="8781" spans="1:8" hidden="1" outlineLevel="1" x14ac:dyDescent="0.25">
      <c r="A8781" s="1002">
        <v>3.5000000000000003E-2</v>
      </c>
      <c r="B8781" s="706" t="s">
        <v>4143</v>
      </c>
      <c r="C8781" s="851">
        <v>10.586</v>
      </c>
      <c r="D8781" s="708">
        <v>2.3940000000000001</v>
      </c>
      <c r="E8781" s="896">
        <v>-0.77385225769884758</v>
      </c>
      <c r="F8781" s="946">
        <v>-2.7084829019459668E-2</v>
      </c>
      <c r="G8781" s="78"/>
      <c r="H8781" s="110" t="s">
        <v>4144</v>
      </c>
    </row>
    <row r="8782" spans="1:8" hidden="1" outlineLevel="1" x14ac:dyDescent="0.25">
      <c r="A8782" s="1002">
        <v>2.5000000000000001E-2</v>
      </c>
      <c r="B8782" s="712" t="s">
        <v>2160</v>
      </c>
      <c r="C8782" s="851">
        <v>29.332000000000001</v>
      </c>
      <c r="D8782" s="708">
        <v>53.12</v>
      </c>
      <c r="E8782" s="896">
        <v>0.81099140870039532</v>
      </c>
      <c r="F8782" s="946">
        <v>2.0274785217509885E-2</v>
      </c>
      <c r="G8782" s="78"/>
      <c r="H8782" s="110" t="s">
        <v>5507</v>
      </c>
    </row>
    <row r="8783" spans="1:8" hidden="1" outlineLevel="1" x14ac:dyDescent="0.25">
      <c r="A8783" s="1002">
        <v>0.04</v>
      </c>
      <c r="B8783" s="706" t="s">
        <v>1772</v>
      </c>
      <c r="C8783" s="851">
        <v>103.19499999999999</v>
      </c>
      <c r="D8783" s="708">
        <v>161</v>
      </c>
      <c r="E8783" s="896">
        <v>0.5601531081932265</v>
      </c>
      <c r="F8783" s="946">
        <v>2.2406124327729062E-2</v>
      </c>
      <c r="G8783" s="78"/>
      <c r="H8783" s="110" t="s">
        <v>4330</v>
      </c>
    </row>
    <row r="8784" spans="1:8" hidden="1" outlineLevel="1" x14ac:dyDescent="0.25">
      <c r="A8784" s="1002">
        <v>0.03</v>
      </c>
      <c r="B8784" s="706" t="s">
        <v>2786</v>
      </c>
      <c r="C8784" s="851">
        <v>500.79</v>
      </c>
      <c r="D8784" s="708">
        <v>775</v>
      </c>
      <c r="E8784" s="896">
        <v>0.54755486331596082</v>
      </c>
      <c r="F8784" s="946">
        <v>1.6426645899478825E-2</v>
      </c>
      <c r="G8784" s="78"/>
      <c r="H8784" s="110" t="s">
        <v>4195</v>
      </c>
    </row>
    <row r="8785" spans="1:8" hidden="1" outlineLevel="1" x14ac:dyDescent="0.25">
      <c r="A8785" s="1002">
        <v>0.03</v>
      </c>
      <c r="B8785" s="706" t="s">
        <v>3797</v>
      </c>
      <c r="C8785" s="851">
        <v>53.805</v>
      </c>
      <c r="D8785" s="708">
        <v>66.2</v>
      </c>
      <c r="E8785" s="896">
        <v>0.23036892482111337</v>
      </c>
      <c r="F8785" s="946">
        <v>6.9110677446334009E-3</v>
      </c>
      <c r="G8785" s="78"/>
      <c r="H8785" s="110" t="s">
        <v>3848</v>
      </c>
    </row>
    <row r="8786" spans="1:8" hidden="1" outlineLevel="1" x14ac:dyDescent="0.25">
      <c r="A8786" s="1002">
        <v>0.03</v>
      </c>
      <c r="B8786" s="706" t="s">
        <v>2787</v>
      </c>
      <c r="C8786" s="851">
        <v>54.034999999999997</v>
      </c>
      <c r="D8786" s="708">
        <v>71.650000000000006</v>
      </c>
      <c r="E8786" s="896">
        <v>0.32599241232534482</v>
      </c>
      <c r="F8786" s="946">
        <v>9.7797723697603447E-3</v>
      </c>
      <c r="G8786" s="78"/>
      <c r="H8786" s="110" t="s">
        <v>80</v>
      </c>
    </row>
    <row r="8787" spans="1:8" hidden="1" outlineLevel="1" x14ac:dyDescent="0.25">
      <c r="A8787" s="1002">
        <v>0.04</v>
      </c>
      <c r="B8787" s="987" t="s">
        <v>1204</v>
      </c>
      <c r="C8787" s="851">
        <v>63.484000000000002</v>
      </c>
      <c r="D8787" s="708">
        <v>84.46</v>
      </c>
      <c r="E8787" s="896">
        <v>0.33041396257324673</v>
      </c>
      <c r="F8787" s="946">
        <v>1.3216558502929869E-2</v>
      </c>
      <c r="G8787" s="78"/>
      <c r="H8787" s="110" t="s">
        <v>2427</v>
      </c>
    </row>
    <row r="8788" spans="1:8" hidden="1" outlineLevel="1" x14ac:dyDescent="0.25">
      <c r="A8788" s="1002">
        <v>3.5000000000000003E-2</v>
      </c>
      <c r="B8788" s="706" t="s">
        <v>3800</v>
      </c>
      <c r="C8788" s="851">
        <v>157.38999999999999</v>
      </c>
      <c r="D8788" s="708">
        <v>252.7</v>
      </c>
      <c r="E8788" s="896">
        <v>0.60556579198170146</v>
      </c>
      <c r="F8788" s="946">
        <v>2.1194802719359553E-2</v>
      </c>
      <c r="G8788" s="78"/>
      <c r="H8788" s="110" t="s">
        <v>2817</v>
      </c>
    </row>
    <row r="8789" spans="1:8" hidden="1" outlineLevel="1" x14ac:dyDescent="0.25">
      <c r="A8789" s="1002">
        <v>0.04</v>
      </c>
      <c r="B8789" s="706" t="s">
        <v>1857</v>
      </c>
      <c r="C8789" s="851">
        <v>1106.5</v>
      </c>
      <c r="D8789" s="708">
        <v>1327</v>
      </c>
      <c r="E8789" s="896">
        <v>0.19927699954812472</v>
      </c>
      <c r="F8789" s="946">
        <v>7.9710799819249882E-3</v>
      </c>
      <c r="G8789" s="78"/>
      <c r="H8789" s="110" t="s">
        <v>3559</v>
      </c>
    </row>
    <row r="8790" spans="1:8" hidden="1" outlineLevel="1" x14ac:dyDescent="0.25">
      <c r="A8790" s="1002">
        <v>2.5000000000000001E-2</v>
      </c>
      <c r="B8790" s="706" t="s">
        <v>1239</v>
      </c>
      <c r="C8790" s="851">
        <v>372.2</v>
      </c>
      <c r="D8790" s="708">
        <v>463.2</v>
      </c>
      <c r="E8790" s="896">
        <v>0.24449220849005915</v>
      </c>
      <c r="F8790" s="946">
        <v>6.1123052122514787E-3</v>
      </c>
      <c r="G8790" s="78"/>
      <c r="H8790" s="110" t="s">
        <v>268</v>
      </c>
    </row>
    <row r="8791" spans="1:8" hidden="1" outlineLevel="1" x14ac:dyDescent="0.25">
      <c r="A8791" s="1002">
        <v>0.03</v>
      </c>
      <c r="B8791" s="706" t="s">
        <v>3022</v>
      </c>
      <c r="C8791" s="851">
        <v>3820</v>
      </c>
      <c r="D8791" s="708">
        <v>4975</v>
      </c>
      <c r="E8791" s="896">
        <v>0.30235602094240832</v>
      </c>
      <c r="F8791" s="946">
        <v>9.0706806282722496E-3</v>
      </c>
      <c r="G8791" s="78"/>
      <c r="H8791" s="110" t="s">
        <v>2802</v>
      </c>
    </row>
    <row r="8792" spans="1:8" hidden="1" outlineLevel="1" x14ac:dyDescent="0.25">
      <c r="A8792" s="1002">
        <v>0.03</v>
      </c>
      <c r="B8792" s="706" t="s">
        <v>577</v>
      </c>
      <c r="C8792" s="851">
        <v>15.752000000000001</v>
      </c>
      <c r="D8792" s="708">
        <v>12.11</v>
      </c>
      <c r="E8792" s="896">
        <v>-0.23120873539867959</v>
      </c>
      <c r="F8792" s="946">
        <v>-6.9362620619603877E-3</v>
      </c>
      <c r="G8792" s="78"/>
      <c r="H8792" s="110" t="s">
        <v>2804</v>
      </c>
    </row>
    <row r="8793" spans="1:8" hidden="1" outlineLevel="1" x14ac:dyDescent="0.25">
      <c r="A8793" s="1002">
        <v>3.5000000000000003E-2</v>
      </c>
      <c r="B8793" s="706" t="s">
        <v>719</v>
      </c>
      <c r="C8793" s="851">
        <v>37.868499999999997</v>
      </c>
      <c r="D8793" s="708">
        <v>47.325000000000003</v>
      </c>
      <c r="E8793" s="896">
        <v>0.24971942379550294</v>
      </c>
      <c r="F8793" s="946">
        <v>8.7401798328426029E-3</v>
      </c>
      <c r="G8793" s="78"/>
      <c r="H8793" s="110" t="s">
        <v>1697</v>
      </c>
    </row>
    <row r="8794" spans="1:8" hidden="1" outlineLevel="1" x14ac:dyDescent="0.25">
      <c r="A8794" s="1002">
        <v>3.5000000000000003E-2</v>
      </c>
      <c r="B8794" s="706" t="s">
        <v>579</v>
      </c>
      <c r="C8794" s="851">
        <v>139.80000000000001</v>
      </c>
      <c r="D8794" s="708">
        <v>226.8</v>
      </c>
      <c r="E8794" s="896">
        <v>0.62231759656652352</v>
      </c>
      <c r="F8794" s="946">
        <v>2.1781115879828325E-2</v>
      </c>
      <c r="G8794" s="78"/>
      <c r="H8794" s="110" t="s">
        <v>3611</v>
      </c>
    </row>
    <row r="8795" spans="1:8" hidden="1" outlineLevel="1" x14ac:dyDescent="0.25">
      <c r="A8795" s="1002">
        <v>0.01</v>
      </c>
      <c r="B8795" s="713" t="s">
        <v>4550</v>
      </c>
      <c r="C8795" s="1041">
        <v>243.08</v>
      </c>
      <c r="D8795" s="1199">
        <v>252.9</v>
      </c>
      <c r="E8795" s="947">
        <v>4.0398222807306317E-2</v>
      </c>
      <c r="F8795" s="946">
        <v>4.039822280730632E-4</v>
      </c>
      <c r="G8795" s="78"/>
      <c r="H8795" s="110" t="s">
        <v>4551</v>
      </c>
    </row>
    <row r="8796" spans="1:8" hidden="1" outlineLevel="1" x14ac:dyDescent="0.25">
      <c r="A8796" s="1099"/>
      <c r="B8796" s="1000"/>
      <c r="C8796" s="741"/>
      <c r="D8796" s="741"/>
      <c r="E8796" s="895"/>
      <c r="F8796" s="1021">
        <v>0.20556439316877459</v>
      </c>
      <c r="G8796" s="78"/>
    </row>
    <row r="8797" spans="1:8" hidden="1" outlineLevel="1" x14ac:dyDescent="0.25">
      <c r="A8797" s="753" t="s">
        <v>4524</v>
      </c>
      <c r="B8797" s="1160">
        <v>40391</v>
      </c>
      <c r="C8797" s="719">
        <v>100</v>
      </c>
      <c r="D8797" s="1207">
        <v>100.40689999999999</v>
      </c>
      <c r="E8797" s="705">
        <v>4.0689999999998783E-3</v>
      </c>
      <c r="F8797" s="731">
        <v>4.0689999999998783E-3</v>
      </c>
      <c r="G8797" s="78"/>
    </row>
    <row r="8798" spans="1:8" hidden="1" outlineLevel="1" x14ac:dyDescent="0.25">
      <c r="A8798" s="753" t="s">
        <v>4525</v>
      </c>
      <c r="B8798" s="1160">
        <v>40483</v>
      </c>
      <c r="C8798" s="727">
        <v>100</v>
      </c>
      <c r="D8798" s="814">
        <v>101.0017</v>
      </c>
      <c r="E8798" s="705">
        <v>1.0016999999999943E-2</v>
      </c>
      <c r="F8798" s="731">
        <v>1.0016999999999943E-2</v>
      </c>
      <c r="G8798" s="78"/>
    </row>
    <row r="8799" spans="1:8" hidden="1" outlineLevel="1" x14ac:dyDescent="0.25">
      <c r="A8799" s="753" t="s">
        <v>4526</v>
      </c>
      <c r="B8799" s="1160">
        <v>40575</v>
      </c>
      <c r="C8799" s="727">
        <v>100</v>
      </c>
      <c r="D8799" s="814">
        <v>110.8411</v>
      </c>
      <c r="E8799" s="705">
        <v>0.10841100000000004</v>
      </c>
      <c r="F8799" s="731">
        <v>0.10841100000000004</v>
      </c>
      <c r="G8799" s="78"/>
    </row>
    <row r="8800" spans="1:8" hidden="1" outlineLevel="1" x14ac:dyDescent="0.25">
      <c r="A8800" s="753" t="s">
        <v>4527</v>
      </c>
      <c r="B8800" s="1160">
        <v>40664</v>
      </c>
      <c r="C8800" s="727">
        <v>100</v>
      </c>
      <c r="D8800" s="814">
        <v>110.73609999999999</v>
      </c>
      <c r="E8800" s="705">
        <v>0.10736100000000004</v>
      </c>
      <c r="F8800" s="731">
        <v>0.10736100000000004</v>
      </c>
      <c r="G8800" s="78"/>
    </row>
    <row r="8801" spans="1:7" hidden="1" outlineLevel="1" x14ac:dyDescent="0.25">
      <c r="A8801" s="753" t="s">
        <v>4528</v>
      </c>
      <c r="B8801" s="1160">
        <v>40756</v>
      </c>
      <c r="C8801" s="727">
        <v>100</v>
      </c>
      <c r="D8801" s="814">
        <v>97.083200000000005</v>
      </c>
      <c r="E8801" s="705">
        <v>-2.9167999999999972E-2</v>
      </c>
      <c r="F8801" s="731">
        <v>-2.9167999999999972E-2</v>
      </c>
      <c r="G8801" s="78"/>
    </row>
    <row r="8802" spans="1:7" hidden="1" outlineLevel="1" x14ac:dyDescent="0.25">
      <c r="A8802" s="753" t="s">
        <v>4464</v>
      </c>
      <c r="B8802" s="1160">
        <v>40848</v>
      </c>
      <c r="C8802" s="727">
        <v>100</v>
      </c>
      <c r="D8802" s="814">
        <v>97.428700000000006</v>
      </c>
      <c r="E8802" s="705">
        <v>-2.5712999999999986E-2</v>
      </c>
      <c r="F8802" s="731">
        <v>-2.5712999999999986E-2</v>
      </c>
      <c r="G8802" s="78"/>
    </row>
    <row r="8803" spans="1:7" hidden="1" outlineLevel="1" x14ac:dyDescent="0.25">
      <c r="A8803" s="753" t="s">
        <v>4465</v>
      </c>
      <c r="B8803" s="1160">
        <v>40940</v>
      </c>
      <c r="C8803" s="727">
        <v>100</v>
      </c>
      <c r="D8803" s="814">
        <v>102.63509999999999</v>
      </c>
      <c r="E8803" s="705">
        <v>2.6351000000000013E-2</v>
      </c>
      <c r="F8803" s="731">
        <v>2.6351000000000013E-2</v>
      </c>
      <c r="G8803" s="78"/>
    </row>
    <row r="8804" spans="1:7" hidden="1" outlineLevel="1" x14ac:dyDescent="0.25">
      <c r="A8804" s="753" t="s">
        <v>4466</v>
      </c>
      <c r="B8804" s="1160">
        <v>41030</v>
      </c>
      <c r="C8804" s="727">
        <v>100</v>
      </c>
      <c r="D8804" s="814">
        <v>94.952200000000005</v>
      </c>
      <c r="E8804" s="705">
        <v>-5.0477999999999912E-2</v>
      </c>
      <c r="F8804" s="731">
        <v>-5.0477999999999912E-2</v>
      </c>
      <c r="G8804" s="78"/>
    </row>
    <row r="8805" spans="1:7" hidden="1" outlineLevel="1" x14ac:dyDescent="0.25">
      <c r="A8805" s="753" t="s">
        <v>4467</v>
      </c>
      <c r="B8805" s="1160">
        <v>41122</v>
      </c>
      <c r="C8805" s="727">
        <v>100</v>
      </c>
      <c r="D8805" s="814">
        <v>103.52030000000001</v>
      </c>
      <c r="E8805" s="705">
        <v>3.5203000000000095E-2</v>
      </c>
      <c r="F8805" s="731">
        <v>3.5203000000000095E-2</v>
      </c>
      <c r="G8805" s="78"/>
    </row>
    <row r="8806" spans="1:7" hidden="1" outlineLevel="1" x14ac:dyDescent="0.25">
      <c r="A8806" s="753" t="s">
        <v>4468</v>
      </c>
      <c r="B8806" s="1160">
        <v>41214</v>
      </c>
      <c r="C8806" s="727">
        <v>100</v>
      </c>
      <c r="D8806" s="814">
        <v>104.0992</v>
      </c>
      <c r="E8806" s="705">
        <v>4.0991999999999917E-2</v>
      </c>
      <c r="F8806" s="731">
        <v>4.0991999999999917E-2</v>
      </c>
      <c r="G8806" s="78"/>
    </row>
    <row r="8807" spans="1:7" hidden="1" outlineLevel="1" x14ac:dyDescent="0.25">
      <c r="A8807" s="753" t="s">
        <v>4469</v>
      </c>
      <c r="B8807" s="1160">
        <v>41306</v>
      </c>
      <c r="C8807" s="727">
        <v>100</v>
      </c>
      <c r="D8807" s="814">
        <v>109.1271</v>
      </c>
      <c r="E8807" s="705">
        <v>9.127099999999988E-2</v>
      </c>
      <c r="F8807" s="731">
        <v>9.127099999999988E-2</v>
      </c>
      <c r="G8807" s="78"/>
    </row>
    <row r="8808" spans="1:7" hidden="1" outlineLevel="1" x14ac:dyDescent="0.25">
      <c r="A8808" s="753" t="s">
        <v>4470</v>
      </c>
      <c r="B8808" s="1160">
        <v>41395</v>
      </c>
      <c r="C8808" s="727">
        <v>100</v>
      </c>
      <c r="D8808" s="814">
        <v>115.9537</v>
      </c>
      <c r="E8808" s="705">
        <v>0.15953700000000004</v>
      </c>
      <c r="F8808" s="731">
        <v>0.15953700000000004</v>
      </c>
      <c r="G8808" s="78"/>
    </row>
    <row r="8809" spans="1:7" hidden="1" outlineLevel="1" x14ac:dyDescent="0.25">
      <c r="A8809" s="753" t="s">
        <v>4471</v>
      </c>
      <c r="B8809" s="1160">
        <v>41487</v>
      </c>
      <c r="C8809" s="727">
        <v>100</v>
      </c>
      <c r="D8809" s="814">
        <v>113.29770000000001</v>
      </c>
      <c r="E8809" s="705">
        <v>0.13297700000000012</v>
      </c>
      <c r="F8809" s="731">
        <v>0.13297700000000012</v>
      </c>
      <c r="G8809" s="78"/>
    </row>
    <row r="8810" spans="1:7" hidden="1" outlineLevel="1" x14ac:dyDescent="0.25">
      <c r="A8810" s="751" t="s">
        <v>4472</v>
      </c>
      <c r="B8810" s="1160">
        <v>41579</v>
      </c>
      <c r="C8810" s="727">
        <v>100</v>
      </c>
      <c r="D8810" s="814">
        <v>123.9265</v>
      </c>
      <c r="E8810" s="705">
        <v>0.23926500000000006</v>
      </c>
      <c r="F8810" s="731">
        <v>0.23926500000000006</v>
      </c>
      <c r="G8810" s="78"/>
    </row>
    <row r="8811" spans="1:7" hidden="1" outlineLevel="1" x14ac:dyDescent="0.25">
      <c r="A8811" s="749"/>
      <c r="B8811" s="750"/>
      <c r="C8811" s="727"/>
      <c r="D8811" s="727"/>
      <c r="E8811" s="1211" t="s">
        <v>2465</v>
      </c>
      <c r="F8811" s="934">
        <v>6.0721071428571437E-2</v>
      </c>
      <c r="G8811" s="78"/>
    </row>
    <row r="8812" spans="1:7" collapsed="1" x14ac:dyDescent="0.25">
      <c r="A8812" s="3801" t="s">
        <v>4523</v>
      </c>
      <c r="B8812" s="3802"/>
      <c r="C8812" s="3802"/>
      <c r="D8812" s="3802"/>
      <c r="E8812" s="721"/>
      <c r="F8812" s="722">
        <v>4.2504750000000001E-2</v>
      </c>
      <c r="G8812" s="175" t="s">
        <v>781</v>
      </c>
    </row>
    <row r="8814" spans="1:7" hidden="1" outlineLevel="1" x14ac:dyDescent="0.25">
      <c r="A8814" s="689" t="s">
        <v>113</v>
      </c>
      <c r="B8814" s="689" t="s">
        <v>114</v>
      </c>
      <c r="C8814" s="689" t="s">
        <v>112</v>
      </c>
      <c r="D8814" s="689" t="s">
        <v>4155</v>
      </c>
      <c r="E8814" s="689" t="s">
        <v>116</v>
      </c>
      <c r="F8814" s="1188" t="s">
        <v>4154</v>
      </c>
    </row>
    <row r="8815" spans="1:7" hidden="1" outlineLevel="1" x14ac:dyDescent="0.25">
      <c r="A8815" s="732" t="s">
        <v>3079</v>
      </c>
      <c r="B8815" s="695" t="s">
        <v>3564</v>
      </c>
      <c r="C8815" s="793">
        <v>20755.315999999999</v>
      </c>
      <c r="D8815" s="1165">
        <f>VLOOKUP(B8815,indexy!A:D,2,0)</f>
        <v>16541.419999999998</v>
      </c>
      <c r="E8815" s="1248">
        <v>21981.686000000002</v>
      </c>
      <c r="F8815" s="694">
        <f>E8815/C8815-1</f>
        <v>5.9087031004490642E-2</v>
      </c>
      <c r="G8815" s="69" t="s">
        <v>2742</v>
      </c>
    </row>
    <row r="8816" spans="1:7" hidden="1" outlineLevel="1" x14ac:dyDescent="0.25">
      <c r="A8816" s="732" t="s">
        <v>3080</v>
      </c>
      <c r="B8816" s="695" t="s">
        <v>3564</v>
      </c>
      <c r="C8816" s="793"/>
      <c r="D8816" s="1022"/>
      <c r="E8816" s="861"/>
      <c r="F8816" s="694"/>
    </row>
    <row r="8817" spans="1:8" hidden="1" outlineLevel="1" x14ac:dyDescent="0.25">
      <c r="A8817" s="732" t="s">
        <v>3081</v>
      </c>
      <c r="B8817" s="695" t="s">
        <v>3564</v>
      </c>
      <c r="C8817" s="793"/>
      <c r="D8817" s="1249"/>
      <c r="E8817" s="693"/>
      <c r="F8817" s="694"/>
    </row>
    <row r="8818" spans="1:8" hidden="1" outlineLevel="1" x14ac:dyDescent="0.25">
      <c r="A8818" s="732" t="s">
        <v>3082</v>
      </c>
      <c r="B8818" s="695" t="s">
        <v>3564</v>
      </c>
      <c r="C8818" s="793"/>
      <c r="D8818" s="1249"/>
      <c r="E8818" s="693"/>
      <c r="F8818" s="694"/>
    </row>
    <row r="8819" spans="1:8" hidden="1" outlineLevel="1" x14ac:dyDescent="0.25">
      <c r="A8819" s="690"/>
      <c r="B8819" s="695"/>
      <c r="C8819" s="793"/>
      <c r="D8819" s="1249"/>
      <c r="E8819" s="693"/>
      <c r="F8819" s="694"/>
    </row>
    <row r="8820" spans="1:8" collapsed="1" x14ac:dyDescent="0.25">
      <c r="A8820" s="3801" t="s">
        <v>4398</v>
      </c>
      <c r="B8820" s="3802"/>
      <c r="C8820" s="3802"/>
      <c r="D8820" s="3802"/>
      <c r="E8820" s="729"/>
      <c r="F8820" s="752">
        <f>IF(C8815&lt;D8815,9%,(D8815/C8815-1))</f>
        <v>-0.20302731117174999</v>
      </c>
      <c r="G8820" s="175" t="s">
        <v>781</v>
      </c>
    </row>
    <row r="8822" spans="1:8" hidden="1" outlineLevel="1" x14ac:dyDescent="0.25">
      <c r="A8822" s="689" t="s">
        <v>113</v>
      </c>
      <c r="B8822" s="689" t="s">
        <v>114</v>
      </c>
      <c r="C8822" s="689" t="s">
        <v>112</v>
      </c>
      <c r="D8822" s="689" t="s">
        <v>116</v>
      </c>
      <c r="E8822" s="689" t="s">
        <v>117</v>
      </c>
      <c r="F8822" s="1188" t="s">
        <v>121</v>
      </c>
      <c r="G8822" s="78"/>
    </row>
    <row r="8823" spans="1:8" hidden="1" outlineLevel="1" x14ac:dyDescent="0.25">
      <c r="A8823" s="695">
        <v>5</v>
      </c>
      <c r="B8823" s="695"/>
      <c r="C8823" s="696"/>
      <c r="D8823" s="697" t="s">
        <v>3702</v>
      </c>
      <c r="E8823" s="698">
        <v>42475</v>
      </c>
      <c r="F8823" s="699"/>
      <c r="G8823" s="78"/>
    </row>
    <row r="8824" spans="1:8" hidden="1" outlineLevel="1" x14ac:dyDescent="0.25">
      <c r="A8824" s="495" t="s">
        <v>4156</v>
      </c>
      <c r="B8824" s="689" t="s">
        <v>4153</v>
      </c>
      <c r="C8824" s="700" t="s">
        <v>112</v>
      </c>
      <c r="D8824" s="689" t="s">
        <v>4155</v>
      </c>
      <c r="E8824" s="495" t="s">
        <v>4154</v>
      </c>
      <c r="F8824" s="1021" t="s">
        <v>734</v>
      </c>
      <c r="G8824" s="78"/>
    </row>
    <row r="8825" spans="1:8" hidden="1" outlineLevel="1" x14ac:dyDescent="0.25">
      <c r="A8825" s="1236">
        <v>2.5000000000000001E-2</v>
      </c>
      <c r="B8825" s="1015" t="s">
        <v>1995</v>
      </c>
      <c r="C8825" s="848">
        <v>50.74</v>
      </c>
      <c r="D8825" s="708">
        <v>43.41</v>
      </c>
      <c r="E8825" s="705">
        <v>-0.14446196294836433</v>
      </c>
      <c r="F8825" s="1021">
        <v>-0.14446196294836433</v>
      </c>
      <c r="G8825" s="78"/>
      <c r="H8825" t="str">
        <f>VLOOKUP(B8825,indexy!$A$44:$D$823,3,FALSE)</f>
        <v>ABT UN Equity</v>
      </c>
    </row>
    <row r="8826" spans="1:8" hidden="1" outlineLevel="1" x14ac:dyDescent="0.25">
      <c r="A8826" s="1237">
        <v>4.4999999999999998E-2</v>
      </c>
      <c r="B8826" s="1238" t="s">
        <v>359</v>
      </c>
      <c r="C8826" s="851">
        <v>89.147999999999996</v>
      </c>
      <c r="D8826" s="708">
        <v>147.55000000000001</v>
      </c>
      <c r="E8826" s="709">
        <v>0.65511284605375342</v>
      </c>
      <c r="F8826" s="946">
        <v>6.5000000000000002E-2</v>
      </c>
      <c r="G8826" s="78"/>
      <c r="H8826" t="str">
        <f>VLOOKUP(B8826,indexy!$A$44:$D$823,3,FALSE)</f>
        <v>ALV GY Equity</v>
      </c>
    </row>
    <row r="8827" spans="1:8" hidden="1" outlineLevel="1" x14ac:dyDescent="0.25">
      <c r="A8827" s="1237">
        <v>3.5000000000000003E-2</v>
      </c>
      <c r="B8827" s="1238" t="s">
        <v>157</v>
      </c>
      <c r="C8827" s="851">
        <v>9.9892000000000003</v>
      </c>
      <c r="D8827" s="708">
        <v>4.0570000000000004</v>
      </c>
      <c r="E8827" s="709">
        <v>-0.59386137027990227</v>
      </c>
      <c r="F8827" s="946">
        <v>-0.59386137027990227</v>
      </c>
      <c r="G8827" s="78"/>
      <c r="H8827" t="str">
        <f>VLOOKUP(B8827,indexy!$A$44:$D$823,3,FALSE)</f>
        <v>SAN SM Equity</v>
      </c>
    </row>
    <row r="8828" spans="1:8" hidden="1" outlineLevel="1" x14ac:dyDescent="0.25">
      <c r="A8828" s="1237">
        <v>0.04</v>
      </c>
      <c r="B8828" s="1238" t="s">
        <v>1188</v>
      </c>
      <c r="C8828" s="851">
        <v>419.7</v>
      </c>
      <c r="D8828" s="708">
        <v>355.95</v>
      </c>
      <c r="E8828" s="709">
        <v>-0.15189421015010718</v>
      </c>
      <c r="F8828" s="946">
        <v>-0.15189421015010718</v>
      </c>
      <c r="G8828" s="78"/>
      <c r="H8828" t="str">
        <f>VLOOKUP(B8828,indexy!$A$44:$D$823,3,FALSE)</f>
        <v>BP/ LN Equity</v>
      </c>
    </row>
    <row r="8829" spans="1:8" hidden="1" outlineLevel="1" x14ac:dyDescent="0.25">
      <c r="A8829" s="1237">
        <v>0.04</v>
      </c>
      <c r="B8829" s="1239" t="s">
        <v>53</v>
      </c>
      <c r="C8829" s="851">
        <v>42.854999999999997</v>
      </c>
      <c r="D8829" s="708">
        <v>62.16</v>
      </c>
      <c r="E8829" s="709">
        <v>0.45047252362618129</v>
      </c>
      <c r="F8829" s="946">
        <v>6.5000000000000002E-2</v>
      </c>
      <c r="G8829" s="78"/>
      <c r="H8829" t="str">
        <f>VLOOKUP(B8829,indexy!$A$44:$D$823,3,FALSE)</f>
        <v>BN FP Equity</v>
      </c>
    </row>
    <row r="8830" spans="1:8" hidden="1" outlineLevel="1" x14ac:dyDescent="0.25">
      <c r="A8830" s="1237">
        <v>4.4999999999999998E-2</v>
      </c>
      <c r="B8830" s="1238" t="s">
        <v>2699</v>
      </c>
      <c r="C8830" s="851">
        <v>13.702</v>
      </c>
      <c r="D8830" s="708">
        <v>25.225000000000001</v>
      </c>
      <c r="E8830" s="709">
        <v>0.840972120858269</v>
      </c>
      <c r="F8830" s="946">
        <v>6.5000000000000002E-2</v>
      </c>
      <c r="G8830" s="78"/>
      <c r="H8830" t="str">
        <f>VLOOKUP(B8830,indexy!$A$44:$D$823,3,FALSE)</f>
        <v>DHL GR Equity</v>
      </c>
    </row>
    <row r="8831" spans="1:8" hidden="1" outlineLevel="1" x14ac:dyDescent="0.25">
      <c r="A8831" s="1237">
        <v>2.5000000000000001E-2</v>
      </c>
      <c r="B8831" s="1238" t="s">
        <v>3406</v>
      </c>
      <c r="C8831" s="851">
        <v>1098.2</v>
      </c>
      <c r="D8831" s="708">
        <v>1933</v>
      </c>
      <c r="E8831" s="709">
        <v>0.76015297759970846</v>
      </c>
      <c r="F8831" s="946">
        <v>6.5000000000000002E-2</v>
      </c>
      <c r="G8831" s="78"/>
      <c r="H8831" t="str">
        <f>VLOOKUP(B8831,indexy!$A$44:$D$823,3,FALSE)</f>
        <v>DGE LN Equity</v>
      </c>
    </row>
    <row r="8832" spans="1:8" hidden="1" outlineLevel="1" x14ac:dyDescent="0.25">
      <c r="A8832" s="1237">
        <v>3.5000000000000003E-2</v>
      </c>
      <c r="B8832" s="1238" t="s">
        <v>4387</v>
      </c>
      <c r="C8832" s="851">
        <v>23.206</v>
      </c>
      <c r="D8832" s="708">
        <v>8.8719999999999999</v>
      </c>
      <c r="E8832" s="709">
        <v>-0.617685081444454</v>
      </c>
      <c r="F8832" s="946">
        <v>-0.617685081444454</v>
      </c>
      <c r="G8832" s="78"/>
      <c r="H8832" t="str">
        <f>VLOOKUP(B8832,indexy!$A$44:$D$823,3,FALSE)</f>
        <v>EOAN GY Equity</v>
      </c>
    </row>
    <row r="8833" spans="1:8" hidden="1" outlineLevel="1" x14ac:dyDescent="0.25">
      <c r="A8833" s="1237">
        <v>0.04</v>
      </c>
      <c r="B8833" s="1238" t="s">
        <v>3798</v>
      </c>
      <c r="C8833" s="851">
        <v>2.8544999999999998</v>
      </c>
      <c r="D8833" s="708">
        <v>3.8079999999999998</v>
      </c>
      <c r="E8833" s="709">
        <v>0.33403398143282548</v>
      </c>
      <c r="F8833" s="946">
        <v>6.5000000000000002E-2</v>
      </c>
      <c r="G8833" s="78"/>
      <c r="H8833" t="str">
        <f>VLOOKUP(B8833,indexy!$A$44:$D$823,3,FALSE)</f>
        <v>ENEL IM Equity</v>
      </c>
    </row>
    <row r="8834" spans="1:8" hidden="1" outlineLevel="1" x14ac:dyDescent="0.25">
      <c r="A8834" s="1237">
        <v>0.03</v>
      </c>
      <c r="B8834" s="1238" t="s">
        <v>7227</v>
      </c>
      <c r="C8834" s="851">
        <v>26.190999999999999</v>
      </c>
      <c r="D8834" s="708">
        <v>13.875</v>
      </c>
      <c r="E8834" s="709">
        <v>-0.47023786796991329</v>
      </c>
      <c r="F8834" s="946">
        <v>-0.47023786796991329</v>
      </c>
      <c r="G8834" s="78"/>
      <c r="H8834" t="str">
        <f>VLOOKUP(B8834,indexy!$A$44:$D$823,3,FALSE)</f>
        <v>ENGI FP Equity</v>
      </c>
    </row>
    <row r="8835" spans="1:8" hidden="1" outlineLevel="1" x14ac:dyDescent="0.25">
      <c r="A8835" s="1237">
        <v>0.03</v>
      </c>
      <c r="B8835" s="1238" t="s">
        <v>307</v>
      </c>
      <c r="C8835" s="851">
        <v>28.19</v>
      </c>
      <c r="D8835" s="708">
        <v>135.01</v>
      </c>
      <c r="E8835" s="709">
        <v>3.7892869811990062</v>
      </c>
      <c r="F8835" s="946">
        <v>6.5000000000000002E-2</v>
      </c>
      <c r="G8835" s="78"/>
      <c r="H8835" t="str">
        <f>VLOOKUP(B8835,indexy!$A$44:$D$823,3,FALSE)</f>
        <v>HD UN Equity</v>
      </c>
    </row>
    <row r="8836" spans="1:8" hidden="1" outlineLevel="1" x14ac:dyDescent="0.25">
      <c r="A8836" s="1237">
        <v>3.5000000000000003E-2</v>
      </c>
      <c r="B8836" s="853" t="s">
        <v>1771</v>
      </c>
      <c r="C8836" s="851">
        <v>664.18</v>
      </c>
      <c r="D8836" s="708">
        <v>450.5</v>
      </c>
      <c r="E8836" s="709">
        <v>-0.3217200156584058</v>
      </c>
      <c r="F8836" s="946">
        <v>-0.3217200156584058</v>
      </c>
      <c r="G8836" s="78"/>
      <c r="H8836" t="str">
        <f>VLOOKUP(B8836,indexy!$A$44:$D$823,3,FALSE)</f>
        <v>HSBA LN Equity</v>
      </c>
    </row>
    <row r="8837" spans="1:8" hidden="1" outlineLevel="1" x14ac:dyDescent="0.25">
      <c r="A8837" s="1237">
        <v>0.03</v>
      </c>
      <c r="B8837" s="1238" t="s">
        <v>1031</v>
      </c>
      <c r="C8837" s="851">
        <v>5.5373999999999999</v>
      </c>
      <c r="D8837" s="708">
        <v>5.9489999999999998</v>
      </c>
      <c r="E8837" s="709">
        <v>7.4330913425073142E-2</v>
      </c>
      <c r="F8837" s="946">
        <v>6.5000000000000002E-2</v>
      </c>
      <c r="G8837" s="78"/>
      <c r="H8837" t="str">
        <f>VLOOKUP(B8837,indexy!$A$44:$D$823,3,FALSE)</f>
        <v>IBE SQ Equity</v>
      </c>
    </row>
    <row r="8838" spans="1:8" hidden="1" outlineLevel="1" x14ac:dyDescent="0.25">
      <c r="A8838" s="1237">
        <v>0.03</v>
      </c>
      <c r="B8838" s="1238" t="s">
        <v>52</v>
      </c>
      <c r="C8838" s="851">
        <v>130.422</v>
      </c>
      <c r="D8838" s="708">
        <v>151.72</v>
      </c>
      <c r="E8838" s="709">
        <v>0.16330067013233962</v>
      </c>
      <c r="F8838" s="946">
        <v>6.5000000000000002E-2</v>
      </c>
      <c r="G8838" s="78"/>
      <c r="H8838" t="str">
        <f>VLOOKUP(B8838,indexy!$A$44:$D$823,3,FALSE)</f>
        <v>IBM UN Equity</v>
      </c>
    </row>
    <row r="8839" spans="1:8" hidden="1" outlineLevel="1" x14ac:dyDescent="0.25">
      <c r="A8839" s="1237">
        <v>0.03</v>
      </c>
      <c r="B8839" s="1238" t="s">
        <v>4034</v>
      </c>
      <c r="C8839" s="851">
        <v>10.093999999999999</v>
      </c>
      <c r="D8839" s="708">
        <v>19.965</v>
      </c>
      <c r="E8839" s="709">
        <v>0.97790766792153772</v>
      </c>
      <c r="F8839" s="946">
        <v>6.5000000000000002E-2</v>
      </c>
      <c r="G8839" s="78"/>
      <c r="H8839" t="str">
        <f>VLOOKUP(B8839,indexy!$A$44:$D$823,3,FALSE)</f>
        <v>AD NA Equity</v>
      </c>
    </row>
    <row r="8840" spans="1:8" hidden="1" outlineLevel="1" x14ac:dyDescent="0.25">
      <c r="A8840" s="1237">
        <v>3.5000000000000003E-2</v>
      </c>
      <c r="B8840" s="1238" t="s">
        <v>4143</v>
      </c>
      <c r="C8840" s="851">
        <v>10.856999999999999</v>
      </c>
      <c r="D8840" s="708">
        <v>3.4849999999999999</v>
      </c>
      <c r="E8840" s="709">
        <v>-0.67900893432808318</v>
      </c>
      <c r="F8840" s="946">
        <v>-0.67900893432808318</v>
      </c>
      <c r="G8840" s="78"/>
      <c r="H8840" t="str">
        <f>VLOOKUP(B8840,indexy!$A$44:$D$823,3,FALSE)</f>
        <v>KPN NA Equity</v>
      </c>
    </row>
    <row r="8841" spans="1:8" hidden="1" outlineLevel="1" x14ac:dyDescent="0.25">
      <c r="A8841" s="1237">
        <v>2.5000000000000001E-2</v>
      </c>
      <c r="B8841" s="852" t="s">
        <v>7573</v>
      </c>
      <c r="C8841" s="851">
        <v>30.018000000000001</v>
      </c>
      <c r="D8841" s="708">
        <v>78.05</v>
      </c>
      <c r="E8841" s="709">
        <v>1.6001066027050435</v>
      </c>
      <c r="F8841" s="946">
        <v>6.5000000000000002E-2</v>
      </c>
      <c r="G8841" s="78"/>
      <c r="H8841" t="str">
        <f>VLOOKUP(B8841,indexy!$A$44:$D$823,3,FALSE)</f>
        <v>KHC UW Equity</v>
      </c>
    </row>
    <row r="8842" spans="1:8" hidden="1" outlineLevel="1" x14ac:dyDescent="0.25">
      <c r="A8842" s="1237">
        <v>0.04</v>
      </c>
      <c r="B8842" s="1238" t="s">
        <v>1772</v>
      </c>
      <c r="C8842" s="851">
        <v>107.52</v>
      </c>
      <c r="D8842" s="708">
        <v>181.05</v>
      </c>
      <c r="E8842" s="709">
        <v>0.68387276785714302</v>
      </c>
      <c r="F8842" s="946">
        <v>6.5000000000000002E-2</v>
      </c>
      <c r="G8842" s="78"/>
      <c r="H8842" t="str">
        <f>VLOOKUP(B8842,indexy!$A$44:$D$823,3,FALSE)</f>
        <v>MUV2 GY Equity</v>
      </c>
    </row>
    <row r="8843" spans="1:8" hidden="1" outlineLevel="1" x14ac:dyDescent="0.25">
      <c r="A8843" s="1237">
        <v>0.03</v>
      </c>
      <c r="B8843" s="1238" t="s">
        <v>2786</v>
      </c>
      <c r="C8843" s="851">
        <v>535.29999999999995</v>
      </c>
      <c r="D8843" s="708">
        <v>1000.5</v>
      </c>
      <c r="E8843" s="709">
        <v>0.86904539510554835</v>
      </c>
      <c r="F8843" s="946">
        <v>6.5000000000000002E-2</v>
      </c>
      <c r="G8843" s="78"/>
      <c r="H8843" t="str">
        <f>VLOOKUP(B8843,indexy!$A$44:$D$823,3,FALSE)</f>
        <v>NG/ LN Equity</v>
      </c>
    </row>
    <row r="8844" spans="1:8" hidden="1" outlineLevel="1" x14ac:dyDescent="0.25">
      <c r="A8844" s="1237">
        <v>0.03</v>
      </c>
      <c r="B8844" s="1238" t="s">
        <v>3797</v>
      </c>
      <c r="C8844" s="851">
        <v>51.37</v>
      </c>
      <c r="D8844" s="708">
        <v>72.7</v>
      </c>
      <c r="E8844" s="709">
        <v>0.41522289273895274</v>
      </c>
      <c r="F8844" s="946">
        <v>6.5000000000000002E-2</v>
      </c>
      <c r="G8844" s="78"/>
      <c r="H8844" t="str">
        <f>VLOOKUP(B8844,indexy!$A$44:$D$823,3,FALSE)</f>
        <v>NESN SE Equity</v>
      </c>
    </row>
    <row r="8845" spans="1:8" hidden="1" outlineLevel="1" x14ac:dyDescent="0.25">
      <c r="A8845" s="1237">
        <v>0.03</v>
      </c>
      <c r="B8845" s="1238" t="s">
        <v>2787</v>
      </c>
      <c r="C8845" s="851">
        <v>52.83</v>
      </c>
      <c r="D8845" s="708">
        <v>73.150000000000006</v>
      </c>
      <c r="E8845" s="709">
        <v>0.38462994510694704</v>
      </c>
      <c r="F8845" s="946">
        <v>6.5000000000000002E-2</v>
      </c>
      <c r="G8845" s="78"/>
      <c r="H8845" t="str">
        <f>VLOOKUP(B8845,indexy!$A$44:$D$823,3,FALSE)</f>
        <v>NOVN SE Equity</v>
      </c>
    </row>
    <row r="8846" spans="1:8" hidden="1" outlineLevel="1" x14ac:dyDescent="0.25">
      <c r="A8846" s="1237">
        <v>0.04</v>
      </c>
      <c r="B8846" s="1238" t="s">
        <v>1204</v>
      </c>
      <c r="C8846" s="851">
        <v>65.896000000000001</v>
      </c>
      <c r="D8846" s="708">
        <v>103.77</v>
      </c>
      <c r="E8846" s="709">
        <v>0.57475415806725749</v>
      </c>
      <c r="F8846" s="946">
        <v>6.5000000000000002E-2</v>
      </c>
      <c r="G8846" s="78"/>
      <c r="H8846" t="str">
        <f>VLOOKUP(B8846,indexy!$A$44:$D$823,3,FALSE)</f>
        <v>PEP UW Equity</v>
      </c>
    </row>
    <row r="8847" spans="1:8" hidden="1" outlineLevel="1" x14ac:dyDescent="0.25">
      <c r="A8847" s="1237">
        <v>3.5000000000000003E-2</v>
      </c>
      <c r="B8847" s="1238" t="s">
        <v>3800</v>
      </c>
      <c r="C8847" s="851">
        <v>142.4</v>
      </c>
      <c r="D8847" s="708">
        <v>248.1</v>
      </c>
      <c r="E8847" s="709">
        <v>0.7422752808988764</v>
      </c>
      <c r="F8847" s="946">
        <v>6.5000000000000002E-2</v>
      </c>
      <c r="G8847" s="78"/>
      <c r="H8847" t="str">
        <f>VLOOKUP(B8847,indexy!$A$44:$D$823,3,FALSE)</f>
        <v>ROG SE Equity</v>
      </c>
    </row>
    <row r="8848" spans="1:8" hidden="1" outlineLevel="1" x14ac:dyDescent="0.25">
      <c r="A8848" s="1237">
        <v>0.04</v>
      </c>
      <c r="B8848" s="706" t="s">
        <v>1857</v>
      </c>
      <c r="C8848" s="851">
        <v>1134.5999999999999</v>
      </c>
      <c r="D8848" s="708">
        <v>1526</v>
      </c>
      <c r="E8848" s="709">
        <v>0.34496738938833071</v>
      </c>
      <c r="F8848" s="946">
        <v>6.5000000000000002E-2</v>
      </c>
      <c r="G8848" s="78"/>
      <c r="H8848" t="str">
        <f>VLOOKUP(B8848,indexy!$A$44:$D$823,3,FALSE)</f>
        <v>SSE LN Equity</v>
      </c>
    </row>
    <row r="8849" spans="1:8" hidden="1" outlineLevel="1" x14ac:dyDescent="0.25">
      <c r="A8849" s="1237">
        <v>2.5000000000000001E-2</v>
      </c>
      <c r="B8849" s="1238" t="s">
        <v>1239</v>
      </c>
      <c r="C8849" s="851">
        <v>386.74</v>
      </c>
      <c r="D8849" s="708">
        <v>495.2</v>
      </c>
      <c r="E8849" s="709">
        <v>0.28044681181155284</v>
      </c>
      <c r="F8849" s="946">
        <v>6.5000000000000002E-2</v>
      </c>
      <c r="G8849" s="78"/>
      <c r="H8849" t="str">
        <f>VLOOKUP(B8849,indexy!$A$44:$D$823,3,FALSE)</f>
        <v>SCMN SE Equity</v>
      </c>
    </row>
    <row r="8850" spans="1:8" hidden="1" outlineLevel="1" x14ac:dyDescent="0.25">
      <c r="A8850" s="1237">
        <v>0.03</v>
      </c>
      <c r="B8850" s="1238" t="s">
        <v>3022</v>
      </c>
      <c r="C8850" s="851">
        <v>4014</v>
      </c>
      <c r="D8850" s="708">
        <v>5427</v>
      </c>
      <c r="E8850" s="709">
        <v>0.35201793721973096</v>
      </c>
      <c r="F8850" s="946">
        <v>6.5000000000000002E-2</v>
      </c>
      <c r="G8850" s="78"/>
      <c r="H8850" t="str">
        <f>VLOOKUP(B8850,indexy!$A$44:$D$823,3,FALSE)</f>
        <v>4502 JT Equity</v>
      </c>
    </row>
    <row r="8851" spans="1:8" hidden="1" outlineLevel="1" x14ac:dyDescent="0.25">
      <c r="A8851" s="1237">
        <v>0.03</v>
      </c>
      <c r="B8851" s="1238" t="s">
        <v>577</v>
      </c>
      <c r="C8851" s="851">
        <v>17.623000000000001</v>
      </c>
      <c r="D8851" s="708">
        <v>9.6349999999999998</v>
      </c>
      <c r="E8851" s="709">
        <v>-0.45327129319639115</v>
      </c>
      <c r="F8851" s="946">
        <v>-0.45327129319639115</v>
      </c>
      <c r="G8851" s="78"/>
      <c r="H8851" t="str">
        <f>VLOOKUP(B8851,indexy!$A$44:$D$823,3,FALSE)</f>
        <v>TEF SQ Equity</v>
      </c>
    </row>
    <row r="8852" spans="1:8" hidden="1" outlineLevel="1" x14ac:dyDescent="0.25">
      <c r="A8852" s="1237">
        <v>3.5000000000000003E-2</v>
      </c>
      <c r="B8852" s="1238" t="s">
        <v>719</v>
      </c>
      <c r="C8852" s="851">
        <v>37.268000000000001</v>
      </c>
      <c r="D8852" s="708">
        <v>65.95</v>
      </c>
      <c r="E8852" s="742">
        <v>0.76961468283782342</v>
      </c>
      <c r="F8852" s="946">
        <v>6.5000000000000002E-2</v>
      </c>
      <c r="G8852" s="78"/>
      <c r="H8852" t="str">
        <f>VLOOKUP(B8852,indexy!$A$44:$D$823,3,FALSE)</f>
        <v>DG FP Equity</v>
      </c>
    </row>
    <row r="8853" spans="1:8" hidden="1" outlineLevel="1" x14ac:dyDescent="0.25">
      <c r="A8853" s="1237">
        <v>3.5000000000000003E-2</v>
      </c>
      <c r="B8853" s="1238" t="s">
        <v>579</v>
      </c>
      <c r="C8853" s="851">
        <v>152.80000000000001</v>
      </c>
      <c r="D8853" s="708">
        <v>229.75</v>
      </c>
      <c r="E8853" s="742">
        <v>0.50359947643979042</v>
      </c>
      <c r="F8853" s="946">
        <v>6.5000000000000002E-2</v>
      </c>
      <c r="G8853" s="78"/>
      <c r="H8853" t="str">
        <f>VLOOKUP(B8853,indexy!$A$44:$D$823,3,FALSE)</f>
        <v>VOD LN Equity</v>
      </c>
    </row>
    <row r="8854" spans="1:8" hidden="1" outlineLevel="1" x14ac:dyDescent="0.25">
      <c r="A8854" s="1240">
        <v>2.5000000000000001E-2</v>
      </c>
      <c r="B8854" s="713" t="s">
        <v>4550</v>
      </c>
      <c r="C8854" s="1041">
        <v>237.8</v>
      </c>
      <c r="D8854" s="1199">
        <v>210.6</v>
      </c>
      <c r="E8854" s="748">
        <v>-0.11438183347350717</v>
      </c>
      <c r="F8854" s="1023">
        <v>-0.11438183347350717</v>
      </c>
      <c r="G8854" s="78"/>
      <c r="H8854" t="str">
        <f>VLOOKUP(B8854,indexy!$A$44:$D$823,3,FALSE)</f>
        <v>ZURN SE Equity</v>
      </c>
    </row>
    <row r="8855" spans="1:8" hidden="1" outlineLevel="1" x14ac:dyDescent="0.25">
      <c r="A8855" s="1233" t="s">
        <v>2465</v>
      </c>
      <c r="E8855">
        <v>0.39249814140904954</v>
      </c>
      <c r="F8855" s="1872">
        <v>-7.1531777211419789E-2</v>
      </c>
      <c r="G8855" s="78"/>
    </row>
    <row r="8856" spans="1:8" hidden="1" outlineLevel="1" x14ac:dyDescent="0.25">
      <c r="E8856" s="709"/>
      <c r="G8856" s="78"/>
    </row>
    <row r="8857" spans="1:8" hidden="1" outlineLevel="1" x14ac:dyDescent="0.25">
      <c r="A8857" t="s">
        <v>113</v>
      </c>
      <c r="F8857" s="1188"/>
      <c r="G8857" s="78"/>
    </row>
    <row r="8858" spans="1:8" hidden="1" outlineLevel="1" x14ac:dyDescent="0.25">
      <c r="A8858" t="s">
        <v>471</v>
      </c>
      <c r="F8858" s="1872">
        <v>0.03</v>
      </c>
      <c r="G8858" s="78"/>
    </row>
    <row r="8859" spans="1:8" hidden="1" outlineLevel="1" x14ac:dyDescent="0.25">
      <c r="A8859" t="s">
        <v>472</v>
      </c>
      <c r="B8859" s="706"/>
      <c r="F8859" s="1872">
        <v>0</v>
      </c>
      <c r="G8859" s="78"/>
    </row>
    <row r="8860" spans="1:8" hidden="1" outlineLevel="1" x14ac:dyDescent="0.25">
      <c r="A8860" t="s">
        <v>473</v>
      </c>
      <c r="B8860" s="706"/>
      <c r="F8860" s="1872">
        <v>0</v>
      </c>
      <c r="G8860" s="78"/>
    </row>
    <row r="8861" spans="1:8" hidden="1" outlineLevel="1" x14ac:dyDescent="0.25">
      <c r="A8861" t="s">
        <v>474</v>
      </c>
      <c r="B8861" s="695"/>
      <c r="F8861" s="1872">
        <v>0</v>
      </c>
      <c r="G8861" s="78"/>
    </row>
    <row r="8862" spans="1:8" hidden="1" outlineLevel="1" x14ac:dyDescent="0.25">
      <c r="A8862" t="s">
        <v>475</v>
      </c>
      <c r="B8862" s="695"/>
      <c r="F8862" s="1872">
        <v>0</v>
      </c>
      <c r="G8862" s="78"/>
    </row>
    <row r="8863" spans="1:8" collapsed="1" x14ac:dyDescent="0.25">
      <c r="A8863" s="3803" t="s">
        <v>476</v>
      </c>
      <c r="B8863" s="3804"/>
      <c r="C8863" s="3804"/>
      <c r="D8863" s="1914"/>
      <c r="E8863" s="1914"/>
      <c r="F8863" s="1893">
        <v>0.03</v>
      </c>
      <c r="G8863" s="78"/>
    </row>
    <row r="8865" spans="1:15" hidden="1" outlineLevel="1" x14ac:dyDescent="0.25">
      <c r="A8865" s="689" t="s">
        <v>113</v>
      </c>
      <c r="B8865" s="689" t="s">
        <v>114</v>
      </c>
      <c r="C8865" s="689" t="s">
        <v>112</v>
      </c>
      <c r="D8865" s="689" t="s">
        <v>116</v>
      </c>
      <c r="E8865" s="689" t="s">
        <v>117</v>
      </c>
      <c r="F8865" s="1188" t="s">
        <v>121</v>
      </c>
      <c r="G8865" s="78"/>
    </row>
    <row r="8866" spans="1:15" hidden="1" outlineLevel="1" x14ac:dyDescent="0.25">
      <c r="A8866" s="690">
        <v>1</v>
      </c>
      <c r="B8866" s="691" t="s">
        <v>252</v>
      </c>
      <c r="C8866" s="692">
        <v>100</v>
      </c>
      <c r="D8866" s="692"/>
      <c r="E8866" s="693"/>
      <c r="F8866" s="694"/>
      <c r="G8866" s="78"/>
    </row>
    <row r="8867" spans="1:15" hidden="1" outlineLevel="1" x14ac:dyDescent="0.25">
      <c r="A8867" s="695"/>
      <c r="B8867" s="695"/>
      <c r="C8867" s="696"/>
      <c r="D8867" s="697" t="s">
        <v>3702</v>
      </c>
      <c r="E8867" s="698">
        <v>42384</v>
      </c>
      <c r="F8867" s="699"/>
      <c r="G8867" s="78"/>
    </row>
    <row r="8868" spans="1:15" ht="26.4" hidden="1" outlineLevel="1" x14ac:dyDescent="0.25">
      <c r="A8868" s="689" t="s">
        <v>4156</v>
      </c>
      <c r="B8868" s="495" t="s">
        <v>4153</v>
      </c>
      <c r="C8868" s="700" t="s">
        <v>2962</v>
      </c>
      <c r="D8868" s="495" t="s">
        <v>4155</v>
      </c>
      <c r="E8868" s="495" t="s">
        <v>4154</v>
      </c>
      <c r="F8868" s="1021" t="s">
        <v>2519</v>
      </c>
      <c r="G8868" s="78"/>
      <c r="I8868" s="354">
        <v>40401</v>
      </c>
      <c r="J8868" s="355">
        <v>40422</v>
      </c>
      <c r="K8868" s="354">
        <v>40452</v>
      </c>
      <c r="M8868" t="s">
        <v>2040</v>
      </c>
    </row>
    <row r="8869" spans="1:15" hidden="1" outlineLevel="1" x14ac:dyDescent="0.25">
      <c r="A8869" s="701">
        <v>0.03</v>
      </c>
      <c r="B8869" s="702" t="s">
        <v>2703</v>
      </c>
      <c r="C8869" s="1332">
        <v>84.243300000000005</v>
      </c>
      <c r="D8869" s="803">
        <v>138.69</v>
      </c>
      <c r="E8869" s="705">
        <v>0.64630302943972984</v>
      </c>
      <c r="F8869" s="1021">
        <v>1.9389090883191896E-2</v>
      </c>
      <c r="G8869" s="78"/>
      <c r="H8869" t="s">
        <v>2780</v>
      </c>
      <c r="I8869" s="316">
        <v>84.1</v>
      </c>
      <c r="J8869" s="356">
        <v>81.010000000000005</v>
      </c>
      <c r="K8869" s="357">
        <v>87.62</v>
      </c>
      <c r="M8869" s="256">
        <v>41852</v>
      </c>
      <c r="N8869" s="424">
        <v>151.16130000000001</v>
      </c>
      <c r="O8869" s="37">
        <v>0.5116130000000001</v>
      </c>
    </row>
    <row r="8870" spans="1:15" hidden="1" outlineLevel="1" x14ac:dyDescent="0.25">
      <c r="A8870" s="701">
        <v>0.05</v>
      </c>
      <c r="B8870" s="706" t="s">
        <v>4377</v>
      </c>
      <c r="C8870" s="1333">
        <v>26.646699999999999</v>
      </c>
      <c r="D8870" s="908">
        <v>62.78</v>
      </c>
      <c r="E8870" s="709">
        <v>1.3560140655315669</v>
      </c>
      <c r="F8870" s="946">
        <v>6.7800703276578347E-2</v>
      </c>
      <c r="G8870" s="78"/>
      <c r="H8870" t="s">
        <v>4327</v>
      </c>
      <c r="I8870" s="316">
        <v>26.25</v>
      </c>
      <c r="J8870" s="358">
        <v>26.41</v>
      </c>
      <c r="K8870" s="357">
        <v>27.28</v>
      </c>
      <c r="M8870" s="256">
        <v>41883</v>
      </c>
      <c r="N8870" s="424">
        <v>153.80600000000001</v>
      </c>
      <c r="O8870" s="37">
        <v>0.5380600000000002</v>
      </c>
    </row>
    <row r="8871" spans="1:15" hidden="1" outlineLevel="1" x14ac:dyDescent="0.25">
      <c r="A8871" s="701">
        <v>0.04</v>
      </c>
      <c r="B8871" s="710" t="s">
        <v>1440</v>
      </c>
      <c r="C8871" s="1333">
        <v>37.99335</v>
      </c>
      <c r="D8871" s="908">
        <v>63.35</v>
      </c>
      <c r="E8871" s="709">
        <v>0.66739705764298241</v>
      </c>
      <c r="F8871" s="946">
        <v>2.6695882305719298E-2</v>
      </c>
      <c r="G8871" s="78"/>
      <c r="H8871" t="s">
        <v>2569</v>
      </c>
      <c r="I8871" s="316">
        <v>76.47</v>
      </c>
      <c r="J8871" s="358">
        <v>74.92</v>
      </c>
      <c r="K8871" s="357">
        <v>76.569999999999993</v>
      </c>
      <c r="M8871" s="256">
        <v>41913</v>
      </c>
      <c r="N8871" s="424">
        <v>155.74510000000001</v>
      </c>
      <c r="O8871" s="37">
        <v>0.55745100000000014</v>
      </c>
    </row>
    <row r="8872" spans="1:15" hidden="1" outlineLevel="1" x14ac:dyDescent="0.25">
      <c r="A8872" s="701">
        <v>0.03</v>
      </c>
      <c r="B8872" s="706" t="s">
        <v>2699</v>
      </c>
      <c r="C8872" s="1333">
        <v>13.285</v>
      </c>
      <c r="D8872" s="908">
        <v>22.72</v>
      </c>
      <c r="E8872" s="709">
        <v>0.71019947308995102</v>
      </c>
      <c r="F8872" s="946">
        <v>2.1305984192698531E-2</v>
      </c>
      <c r="G8872" s="78"/>
      <c r="H8872" t="s">
        <v>505</v>
      </c>
      <c r="I8872" s="316">
        <v>13.475</v>
      </c>
      <c r="J8872" s="358">
        <v>13.25</v>
      </c>
      <c r="K8872" s="357">
        <v>13.13</v>
      </c>
      <c r="M8872" s="256">
        <v>41944</v>
      </c>
      <c r="N8872" s="424">
        <v>158.19929999999999</v>
      </c>
      <c r="O8872" s="37">
        <v>0.58199299999999998</v>
      </c>
    </row>
    <row r="8873" spans="1:15" hidden="1" outlineLevel="1" x14ac:dyDescent="0.25">
      <c r="A8873" s="701">
        <v>0.05</v>
      </c>
      <c r="B8873" s="706" t="s">
        <v>4496</v>
      </c>
      <c r="C8873" s="1333">
        <v>46.36</v>
      </c>
      <c r="D8873" s="908">
        <v>72.489999999999995</v>
      </c>
      <c r="E8873" s="709">
        <v>0.56363244176013794</v>
      </c>
      <c r="F8873" s="946">
        <v>2.8181622088006897E-2</v>
      </c>
      <c r="G8873" s="78"/>
      <c r="H8873" t="s">
        <v>2385</v>
      </c>
      <c r="I8873" s="316">
        <v>45.3</v>
      </c>
      <c r="J8873" s="358">
        <v>46.27</v>
      </c>
      <c r="K8873" s="357">
        <v>47.51</v>
      </c>
      <c r="M8873" s="256">
        <v>41974</v>
      </c>
      <c r="N8873" s="424">
        <v>154.2773</v>
      </c>
      <c r="O8873" s="37">
        <v>0.54277299999999995</v>
      </c>
    </row>
    <row r="8874" spans="1:15" hidden="1" outlineLevel="1" x14ac:dyDescent="0.25">
      <c r="A8874" s="701">
        <v>0.03</v>
      </c>
      <c r="B8874" s="706" t="s">
        <v>1771</v>
      </c>
      <c r="C8874" s="1333">
        <v>654.37</v>
      </c>
      <c r="D8874" s="908">
        <v>485.7</v>
      </c>
      <c r="E8874" s="709">
        <v>-0.25775937160933415</v>
      </c>
      <c r="F8874" s="946">
        <v>-7.7327811482800247E-3</v>
      </c>
      <c r="G8874" s="78"/>
      <c r="H8874" t="s">
        <v>4329</v>
      </c>
      <c r="I8874" s="316">
        <v>6.5750000000000002</v>
      </c>
      <c r="J8874" s="358">
        <v>6.52</v>
      </c>
      <c r="K8874" s="357">
        <v>6.5359999999999996</v>
      </c>
      <c r="M8874" s="256">
        <v>42005</v>
      </c>
      <c r="N8874" s="424">
        <v>157.64340000000001</v>
      </c>
      <c r="O8874" s="37">
        <v>0.57643400000000011</v>
      </c>
    </row>
    <row r="8875" spans="1:15" hidden="1" outlineLevel="1" x14ac:dyDescent="0.25">
      <c r="A8875" s="701">
        <v>0.05</v>
      </c>
      <c r="B8875" s="706" t="s">
        <v>3426</v>
      </c>
      <c r="C8875" s="1333">
        <v>59.52</v>
      </c>
      <c r="D8875" s="908">
        <v>97</v>
      </c>
      <c r="E8875" s="709">
        <v>0.62970430107526876</v>
      </c>
      <c r="F8875" s="946">
        <v>3.1485215053763442E-2</v>
      </c>
      <c r="G8875" s="78"/>
      <c r="H8875" t="s">
        <v>4145</v>
      </c>
      <c r="I8875" s="316">
        <v>58.5</v>
      </c>
      <c r="J8875" s="358">
        <v>58.31</v>
      </c>
      <c r="K8875" s="357">
        <v>61.75</v>
      </c>
      <c r="M8875" s="256">
        <v>42036</v>
      </c>
      <c r="N8875" s="424">
        <v>166.1069</v>
      </c>
      <c r="O8875" s="37">
        <v>0.66106899999999991</v>
      </c>
    </row>
    <row r="8876" spans="1:15" hidden="1" outlineLevel="1" x14ac:dyDescent="0.25">
      <c r="A8876" s="701">
        <v>0.05</v>
      </c>
      <c r="B8876" s="706" t="s">
        <v>816</v>
      </c>
      <c r="C8876" s="1333">
        <v>73.676699999999997</v>
      </c>
      <c r="D8876" s="908">
        <v>115.18</v>
      </c>
      <c r="E8876" s="709">
        <v>0.5633164894736058</v>
      </c>
      <c r="F8876" s="946">
        <v>2.8165824473680292E-2</v>
      </c>
      <c r="G8876" s="78"/>
      <c r="H8876" t="s">
        <v>817</v>
      </c>
      <c r="I8876" s="316">
        <v>71.569999999999993</v>
      </c>
      <c r="J8876" s="358">
        <v>74.540000000000006</v>
      </c>
      <c r="K8876" s="357">
        <v>74.92</v>
      </c>
      <c r="M8876" s="256">
        <v>42064</v>
      </c>
      <c r="N8876" s="424">
        <v>165.33670000000001</v>
      </c>
      <c r="O8876" s="37">
        <v>0.65336700000000003</v>
      </c>
    </row>
    <row r="8877" spans="1:15" hidden="1" outlineLevel="1" x14ac:dyDescent="0.25">
      <c r="A8877" s="701">
        <v>0.03</v>
      </c>
      <c r="B8877" s="706" t="s">
        <v>3526</v>
      </c>
      <c r="C8877" s="1333">
        <v>404.33330000000001</v>
      </c>
      <c r="D8877" s="908">
        <v>672</v>
      </c>
      <c r="E8877" s="709">
        <v>0.6619951906014172</v>
      </c>
      <c r="F8877" s="946">
        <v>1.9859855718042517E-2</v>
      </c>
      <c r="G8877" s="78"/>
      <c r="H8877" t="s">
        <v>3527</v>
      </c>
      <c r="I8877" s="316">
        <v>419</v>
      </c>
      <c r="J8877" s="358">
        <v>402</v>
      </c>
      <c r="K8877" s="357">
        <v>392</v>
      </c>
      <c r="M8877" s="256">
        <v>42095</v>
      </c>
      <c r="N8877" s="424">
        <v>170.61600000000001</v>
      </c>
      <c r="O8877" s="37">
        <v>0.70616000000000012</v>
      </c>
    </row>
    <row r="8878" spans="1:15" hidden="1" outlineLevel="1" x14ac:dyDescent="0.25">
      <c r="A8878" s="701">
        <v>0.03</v>
      </c>
      <c r="B8878" s="711" t="s">
        <v>3528</v>
      </c>
      <c r="C8878" s="1333">
        <v>128.66669999999999</v>
      </c>
      <c r="D8878" s="908">
        <v>222.4</v>
      </c>
      <c r="E8878" s="709">
        <v>0.72849696152928467</v>
      </c>
      <c r="F8878" s="946">
        <v>2.185490884587854E-2</v>
      </c>
      <c r="G8878" s="78"/>
      <c r="H8878" t="s">
        <v>3529</v>
      </c>
      <c r="I8878" s="316">
        <v>137</v>
      </c>
      <c r="J8878" s="358">
        <v>130</v>
      </c>
      <c r="K8878" s="357">
        <v>119</v>
      </c>
      <c r="M8878" s="256">
        <v>42125</v>
      </c>
      <c r="N8878" s="424">
        <v>174.2577</v>
      </c>
      <c r="O8878" s="37">
        <v>0.74257700000000004</v>
      </c>
    </row>
    <row r="8879" spans="1:15" hidden="1" outlineLevel="1" x14ac:dyDescent="0.25">
      <c r="A8879" s="701">
        <v>0.05</v>
      </c>
      <c r="B8879" s="706" t="s">
        <v>3530</v>
      </c>
      <c r="C8879" s="1333">
        <v>22493.333299999998</v>
      </c>
      <c r="D8879" s="908">
        <v>14870</v>
      </c>
      <c r="E8879" s="709">
        <v>-0.3389152331637747</v>
      </c>
      <c r="F8879" s="946">
        <v>-1.6945761658188736E-2</v>
      </c>
      <c r="G8879" s="78"/>
      <c r="H8879" t="s">
        <v>701</v>
      </c>
      <c r="I8879" s="316">
        <v>23190</v>
      </c>
      <c r="J8879" s="358">
        <v>23410</v>
      </c>
      <c r="K8879" s="357">
        <v>20880</v>
      </c>
      <c r="M8879" s="256">
        <v>42156</v>
      </c>
      <c r="N8879" s="424">
        <v>170.9821</v>
      </c>
      <c r="O8879" s="37">
        <v>0.70982100000000004</v>
      </c>
    </row>
    <row r="8880" spans="1:15" hidden="1" outlineLevel="1" x14ac:dyDescent="0.25">
      <c r="A8880" s="701">
        <v>0.08</v>
      </c>
      <c r="B8880" s="706" t="s">
        <v>1040</v>
      </c>
      <c r="C8880" s="1333">
        <v>3665</v>
      </c>
      <c r="D8880" s="908">
        <v>4791</v>
      </c>
      <c r="E8880" s="709">
        <v>0.30723055934515697</v>
      </c>
      <c r="F8880" s="946">
        <v>2.457844474761256E-2</v>
      </c>
      <c r="G8880" s="78"/>
      <c r="H8880" t="s">
        <v>3540</v>
      </c>
      <c r="I8880" s="316">
        <v>3710</v>
      </c>
      <c r="J8880" s="358">
        <v>3655</v>
      </c>
      <c r="K8880" s="357">
        <v>3630</v>
      </c>
      <c r="M8880" s="256">
        <v>42186</v>
      </c>
      <c r="N8880" s="424">
        <v>179.3451</v>
      </c>
      <c r="O8880" s="37">
        <v>0.79345100000000013</v>
      </c>
    </row>
    <row r="8881" spans="1:15" hidden="1" outlineLevel="1" x14ac:dyDescent="0.25">
      <c r="A8881" s="701">
        <v>0.08</v>
      </c>
      <c r="B8881" s="706" t="s">
        <v>2787</v>
      </c>
      <c r="C8881" s="1333">
        <v>54.35</v>
      </c>
      <c r="D8881" s="908">
        <v>80.349999999999994</v>
      </c>
      <c r="E8881" s="709">
        <v>0.47838086476540931</v>
      </c>
      <c r="F8881" s="946">
        <v>3.8270469181232745E-2</v>
      </c>
      <c r="G8881" s="78"/>
      <c r="H8881" t="s">
        <v>80</v>
      </c>
      <c r="I8881" s="316">
        <v>53.05</v>
      </c>
      <c r="J8881" s="358">
        <v>54.05</v>
      </c>
      <c r="K8881" s="357">
        <v>55.95</v>
      </c>
      <c r="M8881" s="256">
        <v>42217</v>
      </c>
      <c r="N8881" s="424">
        <v>169.3715</v>
      </c>
      <c r="O8881" s="37">
        <v>0.69371500000000008</v>
      </c>
    </row>
    <row r="8882" spans="1:15" hidden="1" outlineLevel="1" x14ac:dyDescent="0.25">
      <c r="A8882" s="701">
        <v>0.08</v>
      </c>
      <c r="B8882" s="706" t="s">
        <v>4273</v>
      </c>
      <c r="C8882" s="1333">
        <v>1409.666667</v>
      </c>
      <c r="D8882" s="908">
        <v>2416.5</v>
      </c>
      <c r="E8882" s="709">
        <v>0.71423504334021404</v>
      </c>
      <c r="F8882" s="946">
        <v>5.7138803467217121E-2</v>
      </c>
      <c r="G8882" s="78"/>
      <c r="H8882" t="s">
        <v>82</v>
      </c>
      <c r="I8882" s="316">
        <v>141400</v>
      </c>
      <c r="J8882" s="358">
        <v>142000</v>
      </c>
      <c r="K8882" s="357">
        <v>139500</v>
      </c>
      <c r="M8882" s="256">
        <v>42248</v>
      </c>
      <c r="N8882" s="424">
        <v>159</v>
      </c>
      <c r="O8882" s="37">
        <v>0.59000000000000008</v>
      </c>
    </row>
    <row r="8883" spans="1:15" hidden="1" outlineLevel="1" x14ac:dyDescent="0.25">
      <c r="A8883" s="701">
        <v>0.03</v>
      </c>
      <c r="B8883" s="706" t="s">
        <v>3793</v>
      </c>
      <c r="C8883" s="1333">
        <v>53.423299999999998</v>
      </c>
      <c r="D8883" s="908">
        <v>86.29</v>
      </c>
      <c r="E8883" s="709">
        <v>0.61521283784416192</v>
      </c>
      <c r="F8883" s="946">
        <v>1.8456385135324858E-2</v>
      </c>
      <c r="G8883" s="78"/>
      <c r="H8883" t="s">
        <v>3533</v>
      </c>
      <c r="I8883" s="316">
        <v>51.75</v>
      </c>
      <c r="J8883" s="358">
        <v>52.97</v>
      </c>
      <c r="K8883" s="357">
        <v>55.55</v>
      </c>
      <c r="M8883" s="256">
        <v>42278</v>
      </c>
      <c r="N8883" s="424">
        <v>171.89189999999999</v>
      </c>
      <c r="O8883" s="37">
        <v>0.71891899999999986</v>
      </c>
    </row>
    <row r="8884" spans="1:15" hidden="1" outlineLevel="1" x14ac:dyDescent="0.25">
      <c r="A8884" s="701">
        <v>0.08</v>
      </c>
      <c r="B8884" s="706" t="s">
        <v>3800</v>
      </c>
      <c r="C8884" s="1333">
        <v>139.16669999999999</v>
      </c>
      <c r="D8884" s="908">
        <v>256.5</v>
      </c>
      <c r="E8884" s="709">
        <v>0.84311333099081898</v>
      </c>
      <c r="F8884" s="946">
        <v>6.7449066479265518E-2</v>
      </c>
      <c r="G8884" s="78"/>
      <c r="H8884" t="s">
        <v>2817</v>
      </c>
      <c r="I8884" s="316">
        <v>141.80000000000001</v>
      </c>
      <c r="J8884" s="358">
        <v>140.1</v>
      </c>
      <c r="K8884" s="357">
        <v>135.6</v>
      </c>
      <c r="M8884" s="256">
        <v>42309</v>
      </c>
      <c r="N8884" s="424">
        <v>172.58320000000001</v>
      </c>
      <c r="O8884" s="37">
        <v>0.72583200000000003</v>
      </c>
    </row>
    <row r="8885" spans="1:15" ht="13.8" hidden="1" outlineLevel="1" x14ac:dyDescent="0.3">
      <c r="A8885" s="701">
        <v>0.03</v>
      </c>
      <c r="B8885" s="706" t="s">
        <v>702</v>
      </c>
      <c r="C8885" s="1333">
        <v>2525.3332999999998</v>
      </c>
      <c r="D8885" s="908">
        <v>4172</v>
      </c>
      <c r="E8885" s="709">
        <v>0.65205915591419172</v>
      </c>
      <c r="F8885" s="946">
        <v>1.9561774677425751E-2</v>
      </c>
      <c r="G8885" s="78"/>
      <c r="H8885" t="s">
        <v>703</v>
      </c>
      <c r="I8885" s="316">
        <v>2625</v>
      </c>
      <c r="J8885" s="358">
        <v>2502</v>
      </c>
      <c r="K8885" s="357">
        <v>2449</v>
      </c>
      <c r="M8885" s="256">
        <v>42339</v>
      </c>
      <c r="N8885" s="1346">
        <v>173.5641</v>
      </c>
      <c r="O8885" s="37">
        <v>0.73564099999999999</v>
      </c>
    </row>
    <row r="8886" spans="1:15" ht="13.8" hidden="1" outlineLevel="1" x14ac:dyDescent="0.3">
      <c r="A8886" s="701">
        <v>0.08</v>
      </c>
      <c r="B8886" s="712" t="s">
        <v>3022</v>
      </c>
      <c r="C8886" s="1333">
        <v>3901.6667000000002</v>
      </c>
      <c r="D8886" s="908">
        <v>5588</v>
      </c>
      <c r="E8886" s="709">
        <v>0.43220844568809524</v>
      </c>
      <c r="F8886" s="946">
        <v>3.4576675655047621E-2</v>
      </c>
      <c r="G8886" s="78"/>
      <c r="H8886" t="s">
        <v>2802</v>
      </c>
      <c r="I8886" s="316">
        <v>3985</v>
      </c>
      <c r="J8886" s="358">
        <v>3855</v>
      </c>
      <c r="K8886" s="357">
        <v>3865</v>
      </c>
      <c r="M8886" s="256">
        <v>42370</v>
      </c>
      <c r="N8886" s="1346">
        <v>168.26349999999999</v>
      </c>
      <c r="O8886" s="37">
        <v>0.68263499999999988</v>
      </c>
    </row>
    <row r="8887" spans="1:15" hidden="1" outlineLevel="1" x14ac:dyDescent="0.25">
      <c r="A8887" s="701">
        <v>0.05</v>
      </c>
      <c r="B8887" s="706" t="s">
        <v>1183</v>
      </c>
      <c r="C8887" s="1333">
        <v>38.426699999999997</v>
      </c>
      <c r="D8887" s="908">
        <v>37.655000000000001</v>
      </c>
      <c r="E8887" s="709">
        <v>-2.0082390629432068E-2</v>
      </c>
      <c r="F8887" s="946">
        <v>-1.0041195314716034E-3</v>
      </c>
      <c r="G8887" s="78"/>
      <c r="H8887" t="s">
        <v>2805</v>
      </c>
      <c r="I8887" s="316">
        <v>39.06</v>
      </c>
      <c r="J8887" s="358">
        <v>38.145000000000003</v>
      </c>
      <c r="K8887" s="357">
        <v>38.075000000000003</v>
      </c>
      <c r="M8887" s="412" t="s">
        <v>2465</v>
      </c>
      <c r="O8887" s="362">
        <v>0.65119505555555557</v>
      </c>
    </row>
    <row r="8888" spans="1:15" hidden="1" outlineLevel="1" x14ac:dyDescent="0.25">
      <c r="A8888" s="701">
        <v>0.05</v>
      </c>
      <c r="B8888" s="713" t="s">
        <v>106</v>
      </c>
      <c r="C8888" s="1334">
        <v>1765</v>
      </c>
      <c r="D8888" s="715">
        <v>2798.5</v>
      </c>
      <c r="E8888" s="716">
        <v>0.58555240793201135</v>
      </c>
      <c r="F8888" s="1023">
        <v>2.9277620396600569E-2</v>
      </c>
      <c r="G8888" s="78"/>
      <c r="H8888" t="s">
        <v>107</v>
      </c>
      <c r="I8888" s="316">
        <v>17.07</v>
      </c>
      <c r="J8888" s="358">
        <v>17.57</v>
      </c>
      <c r="K8888" s="357">
        <v>18.309999999999999</v>
      </c>
      <c r="M8888" s="412" t="s">
        <v>5221</v>
      </c>
      <c r="O8888" s="362">
        <v>0.39071703333333335</v>
      </c>
    </row>
    <row r="8889" spans="1:15" hidden="1" outlineLevel="1" x14ac:dyDescent="0.25">
      <c r="A8889" s="717"/>
      <c r="B8889" s="750"/>
      <c r="C8889" s="727"/>
      <c r="D8889" s="727"/>
      <c r="E8889" s="716"/>
      <c r="F8889" s="770">
        <v>0.52836566423934606</v>
      </c>
      <c r="G8889" s="78"/>
    </row>
    <row r="8890" spans="1:15" collapsed="1" x14ac:dyDescent="0.25">
      <c r="A8890" s="3801" t="s">
        <v>477</v>
      </c>
      <c r="B8890" s="3802"/>
      <c r="C8890" s="3802"/>
      <c r="D8890" s="3802"/>
      <c r="E8890" s="721"/>
      <c r="F8890" s="722">
        <v>0.39071703333333335</v>
      </c>
      <c r="G8890" s="78"/>
    </row>
    <row r="8892" spans="1:15" hidden="1" outlineLevel="1" x14ac:dyDescent="0.25">
      <c r="A8892" s="689" t="s">
        <v>113</v>
      </c>
      <c r="B8892" s="689" t="s">
        <v>114</v>
      </c>
      <c r="C8892" s="689" t="s">
        <v>112</v>
      </c>
      <c r="D8892" s="689" t="s">
        <v>116</v>
      </c>
      <c r="E8892" s="689" t="s">
        <v>117</v>
      </c>
      <c r="F8892" s="1188" t="s">
        <v>121</v>
      </c>
      <c r="G8892" s="78"/>
    </row>
    <row r="8893" spans="1:15" hidden="1" outlineLevel="1" x14ac:dyDescent="0.25">
      <c r="A8893" s="690">
        <v>1</v>
      </c>
      <c r="B8893" s="691" t="s">
        <v>252</v>
      </c>
      <c r="C8893" s="692">
        <v>100</v>
      </c>
      <c r="D8893" s="692"/>
      <c r="E8893" s="693"/>
      <c r="F8893" s="694"/>
      <c r="G8893" s="78"/>
    </row>
    <row r="8894" spans="1:15" hidden="1" outlineLevel="1" x14ac:dyDescent="0.25">
      <c r="A8894" s="695"/>
      <c r="B8894" s="695"/>
      <c r="C8894" s="696"/>
      <c r="D8894" s="697" t="s">
        <v>3702</v>
      </c>
      <c r="E8894" s="1022">
        <v>41362</v>
      </c>
      <c r="F8894" s="1879"/>
      <c r="G8894" s="78"/>
    </row>
    <row r="8895" spans="1:15" hidden="1" outlineLevel="1" x14ac:dyDescent="0.25">
      <c r="A8895" s="689" t="s">
        <v>4156</v>
      </c>
      <c r="B8895" s="1182" t="s">
        <v>4153</v>
      </c>
      <c r="C8895" s="1182" t="s">
        <v>112</v>
      </c>
      <c r="D8895" s="1182" t="s">
        <v>4155</v>
      </c>
      <c r="E8895" s="1182" t="s">
        <v>4154</v>
      </c>
      <c r="F8895" s="1880" t="s">
        <v>2519</v>
      </c>
      <c r="G8895" s="78"/>
      <c r="J8895" t="s">
        <v>2040</v>
      </c>
    </row>
    <row r="8896" spans="1:15" hidden="1" outlineLevel="1" x14ac:dyDescent="0.25">
      <c r="A8896" s="1102">
        <v>2.5000000000000001E-2</v>
      </c>
      <c r="B8896" s="1116" t="s">
        <v>1995</v>
      </c>
      <c r="C8896" s="1116">
        <v>50.433999999999997</v>
      </c>
      <c r="D8896" s="1116">
        <v>65.349999999999994</v>
      </c>
      <c r="E8896" s="1116">
        <v>0.29575286513066579</v>
      </c>
      <c r="F8896" s="1838">
        <v>7.3938216282666454E-3</v>
      </c>
      <c r="G8896" s="78"/>
      <c r="H8896" t="s">
        <v>2739</v>
      </c>
      <c r="J8896" s="256">
        <v>41183</v>
      </c>
      <c r="K8896" s="424">
        <v>104.8476</v>
      </c>
      <c r="L8896" s="37">
        <v>4.8475999999999964E-2</v>
      </c>
    </row>
    <row r="8897" spans="1:12" hidden="1" outlineLevel="1" x14ac:dyDescent="0.25">
      <c r="A8897" s="1102">
        <v>4.4999999999999998E-2</v>
      </c>
      <c r="B8897" s="1116" t="s">
        <v>359</v>
      </c>
      <c r="C8897" s="1116">
        <v>87.554000000000002</v>
      </c>
      <c r="D8897" s="1116">
        <v>105.95</v>
      </c>
      <c r="E8897" s="1116">
        <v>0.21011033190945017</v>
      </c>
      <c r="F8897" s="1838">
        <v>9.4549649359252572E-3</v>
      </c>
      <c r="G8897" s="78"/>
      <c r="H8897" t="s">
        <v>360</v>
      </c>
      <c r="J8897" s="256">
        <v>41214</v>
      </c>
      <c r="K8897" s="424">
        <v>105.209</v>
      </c>
      <c r="L8897" s="37">
        <v>5.208999999999997E-2</v>
      </c>
    </row>
    <row r="8898" spans="1:12" hidden="1" outlineLevel="1" x14ac:dyDescent="0.25">
      <c r="A8898" s="1102">
        <v>3.5000000000000003E-2</v>
      </c>
      <c r="B8898" s="1116" t="s">
        <v>157</v>
      </c>
      <c r="C8898" s="1116">
        <v>9.7302</v>
      </c>
      <c r="D8898" s="1116">
        <v>5.242</v>
      </c>
      <c r="E8898" s="1116">
        <v>-0.46126492775071426</v>
      </c>
      <c r="F8898" s="1838">
        <v>-1.6144272471274999E-2</v>
      </c>
      <c r="G8898" s="78"/>
      <c r="H8898" t="s">
        <v>730</v>
      </c>
      <c r="J8898" s="256">
        <v>41244</v>
      </c>
      <c r="K8898" s="424">
        <v>105.7552</v>
      </c>
      <c r="L8898" s="37">
        <v>5.7552000000000048E-2</v>
      </c>
    </row>
    <row r="8899" spans="1:12" hidden="1" outlineLevel="1" x14ac:dyDescent="0.25">
      <c r="A8899" s="1102">
        <v>0.04</v>
      </c>
      <c r="B8899" s="1116" t="s">
        <v>1188</v>
      </c>
      <c r="C8899" s="1116">
        <v>411.7</v>
      </c>
      <c r="D8899" s="1116">
        <v>459.9</v>
      </c>
      <c r="E8899" s="1116">
        <v>0.11707554044206936</v>
      </c>
      <c r="F8899" s="1838">
        <v>4.6830216176827746E-3</v>
      </c>
      <c r="G8899" s="78"/>
      <c r="H8899" t="s">
        <v>2746</v>
      </c>
      <c r="J8899" s="256">
        <v>41275</v>
      </c>
      <c r="K8899" s="424">
        <v>111.4389</v>
      </c>
      <c r="L8899" s="37">
        <v>0.11438900000000007</v>
      </c>
    </row>
    <row r="8900" spans="1:12" hidden="1" outlineLevel="1" x14ac:dyDescent="0.25">
      <c r="A8900" s="1102">
        <v>0.03</v>
      </c>
      <c r="B8900" s="1116" t="s">
        <v>4377</v>
      </c>
      <c r="C8900" s="1116">
        <v>26.364999999999998</v>
      </c>
      <c r="D8900" s="1116">
        <v>41.19</v>
      </c>
      <c r="E8900" s="1116">
        <v>0.56229850180163088</v>
      </c>
      <c r="F8900" s="1838">
        <v>1.6868955054048927E-2</v>
      </c>
      <c r="G8900" s="78"/>
      <c r="H8900" t="s">
        <v>4327</v>
      </c>
      <c r="J8900" s="256">
        <v>41306</v>
      </c>
      <c r="K8900" s="424">
        <v>111.24850000000001</v>
      </c>
      <c r="L8900" s="37">
        <v>0.11248500000000017</v>
      </c>
    </row>
    <row r="8901" spans="1:12" ht="14.4" hidden="1" outlineLevel="1" x14ac:dyDescent="0.3">
      <c r="A8901" s="1102">
        <v>0.04</v>
      </c>
      <c r="B8901" s="1116" t="s">
        <v>53</v>
      </c>
      <c r="C8901" s="1116">
        <v>42.758499999999998</v>
      </c>
      <c r="D8901" s="1116">
        <v>54.28</v>
      </c>
      <c r="E8901" s="1116">
        <v>0.26945519604289214</v>
      </c>
      <c r="F8901" s="1838">
        <v>1.0778207841715686E-2</v>
      </c>
      <c r="G8901" s="78"/>
      <c r="H8901" t="s">
        <v>2751</v>
      </c>
      <c r="J8901" s="256">
        <v>41334</v>
      </c>
      <c r="K8901" s="456">
        <v>115.5651</v>
      </c>
      <c r="L8901" s="37">
        <v>0.15565099999999998</v>
      </c>
    </row>
    <row r="8902" spans="1:12" hidden="1" outlineLevel="1" x14ac:dyDescent="0.25">
      <c r="A8902" s="1102">
        <v>4.4999999999999998E-2</v>
      </c>
      <c r="B8902" s="1116" t="s">
        <v>2699</v>
      </c>
      <c r="C8902" s="1116">
        <v>13.555999999999999</v>
      </c>
      <c r="D8902" s="1116">
        <v>17.975000000000001</v>
      </c>
      <c r="E8902" s="1116">
        <v>0.32598111537326657</v>
      </c>
      <c r="F8902" s="1838">
        <v>1.4669150191796996E-2</v>
      </c>
      <c r="G8902" s="78"/>
      <c r="H8902" t="s">
        <v>505</v>
      </c>
      <c r="J8902" s="412" t="s">
        <v>2465</v>
      </c>
      <c r="L8902" s="261">
        <v>9.0107166666666696E-2</v>
      </c>
    </row>
    <row r="8903" spans="1:12" hidden="1" outlineLevel="1" x14ac:dyDescent="0.25">
      <c r="A8903" s="1102">
        <v>3.5000000000000003E-2</v>
      </c>
      <c r="B8903" s="1116" t="s">
        <v>4387</v>
      </c>
      <c r="C8903" s="1116">
        <v>23.003499999999999</v>
      </c>
      <c r="D8903" s="1116">
        <v>13.62</v>
      </c>
      <c r="E8903" s="1116">
        <v>-0.40791618666724627</v>
      </c>
      <c r="F8903" s="1838">
        <v>-1.4277066533353621E-2</v>
      </c>
      <c r="G8903" s="78"/>
      <c r="H8903" t="s">
        <v>3744</v>
      </c>
      <c r="J8903" s="412"/>
      <c r="L8903" s="261"/>
    </row>
    <row r="8904" spans="1:12" hidden="1" outlineLevel="1" x14ac:dyDescent="0.25">
      <c r="A8904" s="1102">
        <v>0.04</v>
      </c>
      <c r="B8904" s="1116" t="s">
        <v>3798</v>
      </c>
      <c r="C8904" s="1116">
        <v>3.84</v>
      </c>
      <c r="D8904" s="1116">
        <v>2.5460000000000003</v>
      </c>
      <c r="E8904" s="1116">
        <v>-0.33697916666666661</v>
      </c>
      <c r="F8904" s="1838">
        <v>-1.3479166666666665E-2</v>
      </c>
      <c r="G8904" s="78"/>
      <c r="H8904" t="s">
        <v>4122</v>
      </c>
      <c r="J8904" s="256"/>
      <c r="L8904" s="37"/>
    </row>
    <row r="8905" spans="1:12" hidden="1" outlineLevel="1" x14ac:dyDescent="0.25">
      <c r="A8905" s="1102">
        <v>2.5000000000000001E-2</v>
      </c>
      <c r="B8905" s="1116" t="s">
        <v>2630</v>
      </c>
      <c r="C8905" s="1116">
        <v>16.335999999999999</v>
      </c>
      <c r="D8905" s="1116">
        <v>7.89</v>
      </c>
      <c r="E8905" s="1116">
        <v>-0.51701762977473065</v>
      </c>
      <c r="F8905" s="1838">
        <v>-1.2925440744368267E-2</v>
      </c>
      <c r="G8905" s="78"/>
      <c r="H8905" t="e">
        <v>#N/A</v>
      </c>
      <c r="J8905" s="256"/>
      <c r="L8905" s="37"/>
    </row>
    <row r="8906" spans="1:12" hidden="1" outlineLevel="1" x14ac:dyDescent="0.25">
      <c r="A8906" s="1102">
        <v>0.03</v>
      </c>
      <c r="B8906" s="1116" t="s">
        <v>4338</v>
      </c>
      <c r="C8906" s="1116">
        <v>25.925000000000001</v>
      </c>
      <c r="D8906" s="1116">
        <v>15.02</v>
      </c>
      <c r="E8906" s="1116">
        <v>-0.42063645130183225</v>
      </c>
      <c r="F8906" s="1838">
        <v>-1.2619093539054967E-2</v>
      </c>
      <c r="G8906" s="78"/>
      <c r="H8906" t="s">
        <v>7229</v>
      </c>
      <c r="J8906" s="256"/>
      <c r="L8906" s="37"/>
    </row>
    <row r="8907" spans="1:12" hidden="1" outlineLevel="1" x14ac:dyDescent="0.25">
      <c r="A8907" s="1102">
        <v>0.03</v>
      </c>
      <c r="B8907" s="1116" t="s">
        <v>307</v>
      </c>
      <c r="C8907" s="1116">
        <v>28.103000000000002</v>
      </c>
      <c r="D8907" s="1116">
        <v>69.78</v>
      </c>
      <c r="E8907" s="1116">
        <v>1.4830089314308079</v>
      </c>
      <c r="F8907" s="1838">
        <v>4.4490267942924239E-2</v>
      </c>
      <c r="G8907" s="78"/>
      <c r="H8907" t="s">
        <v>1700</v>
      </c>
      <c r="J8907" s="256"/>
      <c r="L8907" s="37"/>
    </row>
    <row r="8908" spans="1:12" hidden="1" outlineLevel="1" x14ac:dyDescent="0.25">
      <c r="A8908" s="1102">
        <v>3.5000000000000003E-2</v>
      </c>
      <c r="B8908" s="1116" t="s">
        <v>1771</v>
      </c>
      <c r="C8908" s="1116">
        <v>658.43</v>
      </c>
      <c r="D8908" s="1116">
        <v>702.5</v>
      </c>
      <c r="E8908" s="1116">
        <v>6.693194417022319E-2</v>
      </c>
      <c r="F8908" s="1838">
        <v>2.3426180459578121E-3</v>
      </c>
      <c r="G8908" s="78"/>
      <c r="H8908" t="s">
        <v>4329</v>
      </c>
      <c r="J8908" s="256"/>
      <c r="L8908" s="37"/>
    </row>
    <row r="8909" spans="1:12" hidden="1" outlineLevel="1" x14ac:dyDescent="0.25">
      <c r="A8909" s="1102">
        <v>0.03</v>
      </c>
      <c r="B8909" s="1116" t="s">
        <v>52</v>
      </c>
      <c r="C8909" s="1116">
        <v>129.45099999999999</v>
      </c>
      <c r="D8909" s="1116">
        <v>213.3</v>
      </c>
      <c r="E8909" s="1116">
        <v>0.64772771164378806</v>
      </c>
      <c r="F8909" s="1838">
        <v>1.9431831349313641E-2</v>
      </c>
      <c r="G8909" s="78"/>
      <c r="H8909" t="s">
        <v>4130</v>
      </c>
      <c r="J8909" s="256"/>
      <c r="L8909" s="37"/>
    </row>
    <row r="8910" spans="1:12" hidden="1" outlineLevel="1" x14ac:dyDescent="0.25">
      <c r="A8910" s="1102">
        <v>0.03</v>
      </c>
      <c r="B8910" s="1116" t="s">
        <v>4034</v>
      </c>
      <c r="C8910" s="1116">
        <v>10.024100000000001</v>
      </c>
      <c r="D8910" s="1116">
        <v>11.955</v>
      </c>
      <c r="E8910" s="1116">
        <v>0.19262577188974572</v>
      </c>
      <c r="F8910" s="1838">
        <v>5.7787731566923718E-3</v>
      </c>
      <c r="G8910" s="78"/>
      <c r="H8910" t="s">
        <v>4035</v>
      </c>
      <c r="J8910" s="256"/>
      <c r="L8910" s="37"/>
    </row>
    <row r="8911" spans="1:12" hidden="1" outlineLevel="1" x14ac:dyDescent="0.25">
      <c r="A8911" s="1102">
        <v>3.5000000000000003E-2</v>
      </c>
      <c r="B8911" s="1116" t="s">
        <v>4143</v>
      </c>
      <c r="C8911" s="1116">
        <v>10.939500000000001</v>
      </c>
      <c r="D8911" s="1116">
        <v>2.6240000000000001</v>
      </c>
      <c r="E8911" s="1116">
        <v>-0.76013528954705423</v>
      </c>
      <c r="F8911" s="1838">
        <v>-2.6604735134146899E-2</v>
      </c>
      <c r="G8911" s="78"/>
      <c r="H8911" t="s">
        <v>4144</v>
      </c>
      <c r="J8911" s="256"/>
      <c r="L8911" s="37"/>
    </row>
    <row r="8912" spans="1:12" hidden="1" outlineLevel="1" x14ac:dyDescent="0.25">
      <c r="A8912" s="1102">
        <v>2.5000000000000001E-2</v>
      </c>
      <c r="B8912" s="1116" t="s">
        <v>2160</v>
      </c>
      <c r="C8912" s="1116">
        <v>29.677</v>
      </c>
      <c r="D8912" s="1116">
        <v>51.53</v>
      </c>
      <c r="E8912" s="1116">
        <v>0.73636149206456181</v>
      </c>
      <c r="F8912" s="1838">
        <v>1.8409037301614046E-2</v>
      </c>
      <c r="G8912" s="78"/>
      <c r="H8912" t="s">
        <v>5507</v>
      </c>
      <c r="J8912" s="256"/>
      <c r="L8912" s="37"/>
    </row>
    <row r="8913" spans="1:12" hidden="1" outlineLevel="1" x14ac:dyDescent="0.25">
      <c r="A8913" s="1102">
        <v>0.04</v>
      </c>
      <c r="B8913" s="1116" t="s">
        <v>1772</v>
      </c>
      <c r="C8913" s="1116">
        <v>106.33</v>
      </c>
      <c r="D8913" s="1116">
        <v>145.9</v>
      </c>
      <c r="E8913" s="1116">
        <v>0.37214332737703382</v>
      </c>
      <c r="F8913" s="1838">
        <v>1.4885733095081352E-2</v>
      </c>
      <c r="G8913" s="78"/>
      <c r="H8913" t="s">
        <v>4330</v>
      </c>
      <c r="J8913" s="256"/>
      <c r="L8913" s="37"/>
    </row>
    <row r="8914" spans="1:12" hidden="1" outlineLevel="1" x14ac:dyDescent="0.25">
      <c r="A8914" s="1102">
        <v>0.03</v>
      </c>
      <c r="B8914" s="1116" t="s">
        <v>2786</v>
      </c>
      <c r="C8914" s="1116">
        <v>535.29999999999995</v>
      </c>
      <c r="D8914" s="1116">
        <v>765</v>
      </c>
      <c r="E8914" s="1116">
        <v>0.42910517466841025</v>
      </c>
      <c r="F8914" s="1838">
        <v>1.2873155240052307E-2</v>
      </c>
      <c r="G8914" s="78"/>
      <c r="H8914" t="s">
        <v>4195</v>
      </c>
      <c r="J8914" s="412"/>
      <c r="L8914" s="261"/>
    </row>
    <row r="8915" spans="1:12" hidden="1" outlineLevel="1" x14ac:dyDescent="0.25">
      <c r="A8915" s="1102">
        <v>0.03</v>
      </c>
      <c r="B8915" s="1116" t="s">
        <v>3797</v>
      </c>
      <c r="C8915" s="1116">
        <v>52.164999999999999</v>
      </c>
      <c r="D8915" s="1116">
        <v>68.650000000000006</v>
      </c>
      <c r="E8915" s="1116">
        <v>0.31601648614971745</v>
      </c>
      <c r="F8915" s="1838">
        <v>9.4804945844915237E-3</v>
      </c>
      <c r="G8915" s="78"/>
      <c r="H8915" t="s">
        <v>3848</v>
      </c>
      <c r="J8915" s="412"/>
      <c r="L8915" s="261"/>
    </row>
    <row r="8916" spans="1:12" hidden="1" outlineLevel="1" x14ac:dyDescent="0.25">
      <c r="A8916" s="1102">
        <v>0.03</v>
      </c>
      <c r="B8916" s="1116" t="s">
        <v>2787</v>
      </c>
      <c r="C8916" s="1116">
        <v>52.89</v>
      </c>
      <c r="D8916" s="1116">
        <v>67.45</v>
      </c>
      <c r="E8916" s="1116">
        <v>0.27528833427869159</v>
      </c>
      <c r="F8916" s="1838">
        <v>8.2586500283607471E-3</v>
      </c>
      <c r="G8916" s="78"/>
      <c r="H8916" t="s">
        <v>80</v>
      </c>
    </row>
    <row r="8917" spans="1:12" hidden="1" outlineLevel="1" x14ac:dyDescent="0.25">
      <c r="A8917" s="1102">
        <v>0.04</v>
      </c>
      <c r="B8917" s="1116" t="s">
        <v>1204</v>
      </c>
      <c r="C8917" s="1116">
        <v>65.62</v>
      </c>
      <c r="D8917" s="1116">
        <v>79.11</v>
      </c>
      <c r="E8917" s="1116">
        <v>0.2055775678146905</v>
      </c>
      <c r="F8917" s="1838">
        <v>8.2231027125876203E-3</v>
      </c>
      <c r="G8917" s="78"/>
      <c r="H8917" t="s">
        <v>2427</v>
      </c>
    </row>
    <row r="8918" spans="1:12" hidden="1" outlineLevel="1" x14ac:dyDescent="0.25">
      <c r="A8918" s="1102">
        <v>3.5000000000000003E-2</v>
      </c>
      <c r="B8918" s="1116" t="s">
        <v>3800</v>
      </c>
      <c r="C8918" s="1116">
        <v>142.41999999999999</v>
      </c>
      <c r="D8918" s="1116">
        <v>221</v>
      </c>
      <c r="E8918" s="1116">
        <v>0.55174834995084976</v>
      </c>
      <c r="F8918" s="1838">
        <v>1.9311192248279742E-2</v>
      </c>
      <c r="G8918" s="78"/>
      <c r="H8918" t="s">
        <v>2817</v>
      </c>
    </row>
    <row r="8919" spans="1:12" hidden="1" outlineLevel="1" x14ac:dyDescent="0.25">
      <c r="A8919" s="1102">
        <v>0.04</v>
      </c>
      <c r="B8919" s="1116" t="s">
        <v>1857</v>
      </c>
      <c r="C8919" s="1116">
        <v>1126.5999999999999</v>
      </c>
      <c r="D8919" s="1116">
        <v>1484</v>
      </c>
      <c r="E8919" s="1116">
        <v>0.31723770637315818</v>
      </c>
      <c r="F8919" s="1838">
        <v>1.2689508254926327E-2</v>
      </c>
      <c r="G8919" s="78"/>
      <c r="H8919" t="s">
        <v>3559</v>
      </c>
    </row>
    <row r="8920" spans="1:12" hidden="1" outlineLevel="1" x14ac:dyDescent="0.25">
      <c r="A8920" s="1102">
        <v>2.5000000000000001E-2</v>
      </c>
      <c r="B8920" s="1116" t="s">
        <v>1239</v>
      </c>
      <c r="C8920" s="1116">
        <v>388.29</v>
      </c>
      <c r="D8920" s="1116">
        <v>439.2</v>
      </c>
      <c r="E8920" s="1116">
        <v>0.13111334311983303</v>
      </c>
      <c r="F8920" s="1838">
        <v>3.2778335779958256E-3</v>
      </c>
      <c r="G8920" s="78"/>
      <c r="H8920" t="s">
        <v>268</v>
      </c>
    </row>
    <row r="8921" spans="1:12" hidden="1" outlineLevel="1" x14ac:dyDescent="0.25">
      <c r="A8921" s="1102">
        <v>0.03</v>
      </c>
      <c r="B8921" s="1116" t="s">
        <v>3022</v>
      </c>
      <c r="C8921" s="1116">
        <v>3988</v>
      </c>
      <c r="D8921" s="1116">
        <v>5030</v>
      </c>
      <c r="E8921" s="1116">
        <v>0.26128385155466405</v>
      </c>
      <c r="F8921" s="1838">
        <v>7.8385155466399216E-3</v>
      </c>
      <c r="G8921" s="78"/>
      <c r="H8921" t="s">
        <v>2802</v>
      </c>
    </row>
    <row r="8922" spans="1:12" hidden="1" outlineLevel="1" x14ac:dyDescent="0.25">
      <c r="A8922" s="1102">
        <v>0.03</v>
      </c>
      <c r="B8922" s="1116" t="s">
        <v>577</v>
      </c>
      <c r="C8922" s="1116">
        <v>17.567</v>
      </c>
      <c r="D8922" s="1116">
        <v>10.49</v>
      </c>
      <c r="E8922" s="1116">
        <v>-0.40285763078499459</v>
      </c>
      <c r="F8922" s="1838">
        <v>-1.2085728923549838E-2</v>
      </c>
      <c r="G8922" s="78"/>
      <c r="H8922" t="s">
        <v>2804</v>
      </c>
    </row>
    <row r="8923" spans="1:12" hidden="1" outlineLevel="1" x14ac:dyDescent="0.25">
      <c r="A8923" s="1102">
        <v>3.5000000000000003E-2</v>
      </c>
      <c r="B8923" s="1116" t="s">
        <v>719</v>
      </c>
      <c r="C8923" s="1116">
        <v>36.476999999999997</v>
      </c>
      <c r="D8923" s="1116">
        <v>35.145000000000003</v>
      </c>
      <c r="E8923" s="1116">
        <v>-3.6516160868492298E-2</v>
      </c>
      <c r="F8923" s="1838">
        <v>-1.2780656303972306E-3</v>
      </c>
      <c r="G8923" s="78"/>
      <c r="H8923" t="s">
        <v>1697</v>
      </c>
    </row>
    <row r="8924" spans="1:12" hidden="1" outlineLevel="1" x14ac:dyDescent="0.25">
      <c r="A8924" s="1102">
        <v>3.5000000000000003E-2</v>
      </c>
      <c r="B8924" s="1116" t="s">
        <v>579</v>
      </c>
      <c r="C8924" s="1116">
        <v>152.91999999999999</v>
      </c>
      <c r="D8924" s="1116">
        <v>186.6</v>
      </c>
      <c r="E8924" s="1116">
        <v>0.22024588019879676</v>
      </c>
      <c r="F8924" s="1838">
        <v>7.7086058069578871E-3</v>
      </c>
      <c r="G8924" s="78"/>
      <c r="H8924" t="s">
        <v>3611</v>
      </c>
    </row>
    <row r="8925" spans="1:12" hidden="1" outlineLevel="1" x14ac:dyDescent="0.25">
      <c r="A8925" s="1254">
        <v>2.5000000000000001E-2</v>
      </c>
      <c r="B8925" s="1185" t="s">
        <v>4550</v>
      </c>
      <c r="C8925" s="1185">
        <v>235.41</v>
      </c>
      <c r="D8925" s="1185">
        <v>264.2</v>
      </c>
      <c r="E8925" s="1185">
        <v>0.12229726859521683</v>
      </c>
      <c r="F8925" s="1881">
        <v>3.0574317148804211E-3</v>
      </c>
      <c r="G8925" s="78"/>
      <c r="H8925" t="s">
        <v>4551</v>
      </c>
    </row>
    <row r="8926" spans="1:12" hidden="1" outlineLevel="1" x14ac:dyDescent="0.25">
      <c r="A8926" s="1022"/>
      <c r="B8926" s="1022"/>
      <c r="C8926" s="1022"/>
      <c r="D8926" s="1022"/>
      <c r="E8926" s="1022"/>
      <c r="F8926" s="1879">
        <v>9.01E-2</v>
      </c>
      <c r="G8926" s="78"/>
    </row>
    <row r="8927" spans="1:12" collapsed="1" x14ac:dyDescent="0.25">
      <c r="A8927" s="3801" t="s">
        <v>478</v>
      </c>
      <c r="B8927" s="3802"/>
      <c r="C8927" s="3802"/>
      <c r="D8927" s="3802"/>
      <c r="E8927" s="721"/>
      <c r="F8927" s="722">
        <v>9.01E-2</v>
      </c>
      <c r="G8927" s="175" t="s">
        <v>781</v>
      </c>
    </row>
    <row r="8929" spans="1:12" hidden="1" outlineLevel="1" x14ac:dyDescent="0.25">
      <c r="A8929" s="689" t="s">
        <v>113</v>
      </c>
      <c r="B8929" s="689" t="s">
        <v>114</v>
      </c>
      <c r="C8929" s="689" t="s">
        <v>112</v>
      </c>
      <c r="D8929" s="689" t="s">
        <v>116</v>
      </c>
      <c r="E8929" s="689" t="s">
        <v>117</v>
      </c>
      <c r="F8929" s="1188" t="s">
        <v>121</v>
      </c>
      <c r="G8929" s="78"/>
    </row>
    <row r="8930" spans="1:12" hidden="1" outlineLevel="1" x14ac:dyDescent="0.25">
      <c r="A8930" s="690">
        <v>1</v>
      </c>
      <c r="B8930" s="691" t="s">
        <v>252</v>
      </c>
      <c r="C8930" s="692">
        <v>100</v>
      </c>
      <c r="D8930" s="692"/>
      <c r="E8930" s="693"/>
      <c r="F8930" s="694"/>
      <c r="G8930" s="78"/>
    </row>
    <row r="8931" spans="1:12" hidden="1" outlineLevel="1" x14ac:dyDescent="0.25">
      <c r="A8931" s="695"/>
      <c r="B8931" s="695"/>
      <c r="C8931" s="696"/>
      <c r="D8931" s="697" t="s">
        <v>3702</v>
      </c>
      <c r="E8931" s="698">
        <v>42338</v>
      </c>
      <c r="F8931" s="699"/>
      <c r="G8931" s="78"/>
    </row>
    <row r="8932" spans="1:12" hidden="1" outlineLevel="1" x14ac:dyDescent="0.25">
      <c r="A8932" s="689" t="s">
        <v>4156</v>
      </c>
      <c r="B8932" s="495" t="s">
        <v>4153</v>
      </c>
      <c r="C8932" s="700" t="s">
        <v>112</v>
      </c>
      <c r="D8932" s="495" t="s">
        <v>4155</v>
      </c>
      <c r="E8932" s="495" t="s">
        <v>4154</v>
      </c>
      <c r="F8932" s="1021" t="s">
        <v>2519</v>
      </c>
      <c r="G8932" s="78"/>
      <c r="J8932" t="s">
        <v>2040</v>
      </c>
    </row>
    <row r="8933" spans="1:12" hidden="1" outlineLevel="1" x14ac:dyDescent="0.25">
      <c r="A8933" s="701">
        <v>0.05</v>
      </c>
      <c r="B8933" s="702" t="s">
        <v>1317</v>
      </c>
      <c r="C8933" s="1332">
        <v>33.4467</v>
      </c>
      <c r="D8933" s="803">
        <v>56.01</v>
      </c>
      <c r="E8933" s="705">
        <v>0.67460466951896603</v>
      </c>
      <c r="F8933" s="1021">
        <v>3.37302334759483E-2</v>
      </c>
      <c r="G8933" s="78"/>
      <c r="H8933" t="str">
        <f>VLOOKUP(B8933,indexy!$A$44:$D$823,3,FALSE)</f>
        <v>AEP UN Equity</v>
      </c>
      <c r="J8933" s="256">
        <v>41791</v>
      </c>
      <c r="K8933" s="424">
        <v>127.5964</v>
      </c>
      <c r="L8933" s="37">
        <f t="shared" ref="L8933:L8938" si="197">IF(K8933="",L8932,K8933/100-1)</f>
        <v>0.2759640000000001</v>
      </c>
    </row>
    <row r="8934" spans="1:12" hidden="1" outlineLevel="1" x14ac:dyDescent="0.25">
      <c r="A8934" s="701">
        <v>0.05</v>
      </c>
      <c r="B8934" s="706" t="s">
        <v>1188</v>
      </c>
      <c r="C8934" s="1333">
        <v>390.27</v>
      </c>
      <c r="D8934" s="908">
        <v>385.25</v>
      </c>
      <c r="E8934" s="709">
        <v>-1.2862889794244992E-2</v>
      </c>
      <c r="F8934" s="946">
        <v>-6.431444897122496E-4</v>
      </c>
      <c r="G8934" s="78"/>
      <c r="H8934" t="str">
        <f>VLOOKUP(B8934,indexy!$A$44:$D$823,3,FALSE)</f>
        <v>BP/ LN Equity</v>
      </c>
      <c r="J8934" s="256">
        <v>41821</v>
      </c>
      <c r="K8934" s="424">
        <v>122.2522</v>
      </c>
      <c r="L8934" s="37">
        <f t="shared" si="197"/>
        <v>0.22252200000000011</v>
      </c>
    </row>
    <row r="8935" spans="1:12" hidden="1" outlineLevel="1" x14ac:dyDescent="0.25">
      <c r="A8935" s="701">
        <v>0.05</v>
      </c>
      <c r="B8935" s="710" t="s">
        <v>1319</v>
      </c>
      <c r="C8935" s="1333">
        <v>44.1967</v>
      </c>
      <c r="D8935" s="908">
        <v>62.15</v>
      </c>
      <c r="E8935" s="709">
        <v>0.40621358608221869</v>
      </c>
      <c r="F8935" s="946">
        <v>2.0310679304110936E-2</v>
      </c>
      <c r="G8935" s="78"/>
      <c r="H8935" t="str">
        <f>VLOOKUP(B8935,indexy!$A$44:$D$823,3,FALSE)</f>
        <v>ED UN Equity</v>
      </c>
      <c r="J8935" s="256">
        <v>41852</v>
      </c>
      <c r="K8935" s="424">
        <v>124.6507</v>
      </c>
      <c r="L8935" s="37">
        <f t="shared" si="197"/>
        <v>0.24650700000000003</v>
      </c>
    </row>
    <row r="8936" spans="1:12" hidden="1" outlineLevel="1" x14ac:dyDescent="0.25">
      <c r="A8936" s="701">
        <v>0.05</v>
      </c>
      <c r="B8936" s="706" t="s">
        <v>4110</v>
      </c>
      <c r="C8936" s="1333">
        <v>40.633299999999998</v>
      </c>
      <c r="D8936" s="908">
        <v>67.37</v>
      </c>
      <c r="E8936" s="709">
        <v>0.6579997194419358</v>
      </c>
      <c r="F8936" s="946">
        <v>3.2899985972096792E-2</v>
      </c>
      <c r="G8936" s="78"/>
      <c r="H8936" t="e">
        <f>VLOOKUP(B8936,indexy!$A$44:$D$823,3,FALSE)</f>
        <v>#N/A</v>
      </c>
      <c r="J8936" s="256">
        <v>41883</v>
      </c>
      <c r="K8936" s="424">
        <v>123.53700000000001</v>
      </c>
      <c r="L8936" s="37">
        <f t="shared" si="197"/>
        <v>0.23537000000000008</v>
      </c>
    </row>
    <row r="8937" spans="1:12" hidden="1" outlineLevel="1" x14ac:dyDescent="0.25">
      <c r="A8937" s="701">
        <v>0.05</v>
      </c>
      <c r="B8937" s="706" t="s">
        <v>1231</v>
      </c>
      <c r="C8937" s="1333">
        <v>49.299899999999994</v>
      </c>
      <c r="D8937" s="908">
        <v>67.760000000000005</v>
      </c>
      <c r="E8937" s="709">
        <v>0.37444497859022063</v>
      </c>
      <c r="F8937" s="946">
        <v>1.8722248929511031E-2</v>
      </c>
      <c r="G8937" s="78"/>
      <c r="H8937" t="str">
        <f>VLOOKUP(B8937,indexy!$A$44:$D$823,3,FALSE)</f>
        <v>DUK UN Equity</v>
      </c>
      <c r="J8937" s="256">
        <v>41913</v>
      </c>
      <c r="K8937" s="424">
        <v>127.3852</v>
      </c>
      <c r="L8937" s="37">
        <f t="shared" si="197"/>
        <v>0.27385199999999998</v>
      </c>
    </row>
    <row r="8938" spans="1:12" hidden="1" outlineLevel="1" x14ac:dyDescent="0.25">
      <c r="A8938" s="701">
        <v>0.05</v>
      </c>
      <c r="B8938" s="706" t="s">
        <v>4387</v>
      </c>
      <c r="C8938" s="1333">
        <v>23.381699999999999</v>
      </c>
      <c r="D8938" s="908">
        <v>8.9960000000000004</v>
      </c>
      <c r="E8938" s="709">
        <v>-0.61525466497303438</v>
      </c>
      <c r="F8938" s="946">
        <v>-3.0762733248651721E-2</v>
      </c>
      <c r="G8938" s="78"/>
      <c r="H8938" t="str">
        <f>VLOOKUP(B8938,indexy!$A$44:$D$823,3,FALSE)</f>
        <v>EOAN GY Equity</v>
      </c>
      <c r="J8938" s="256">
        <v>41944</v>
      </c>
      <c r="K8938" s="424">
        <v>126.0603</v>
      </c>
      <c r="L8938" s="37">
        <f t="shared" si="197"/>
        <v>0.26060299999999992</v>
      </c>
    </row>
    <row r="8939" spans="1:12" hidden="1" outlineLevel="1" x14ac:dyDescent="0.25">
      <c r="A8939" s="701">
        <v>0.05</v>
      </c>
      <c r="B8939" s="706" t="s">
        <v>3798</v>
      </c>
      <c r="C8939" s="1333">
        <v>3.6657999999999999</v>
      </c>
      <c r="D8939" s="908">
        <v>4.1740000000000004</v>
      </c>
      <c r="E8939" s="709">
        <v>0.13863276774510358</v>
      </c>
      <c r="F8939" s="946">
        <v>6.9316383872551797E-3</v>
      </c>
      <c r="G8939" s="78"/>
      <c r="H8939" t="str">
        <f>VLOOKUP(B8939,indexy!$A$44:$D$823,3,FALSE)</f>
        <v>ENEL IM Equity</v>
      </c>
      <c r="J8939" s="256">
        <v>41974</v>
      </c>
      <c r="K8939" s="424">
        <v>125.7824</v>
      </c>
      <c r="L8939" s="37">
        <f t="shared" ref="L8939:L8950" si="198">IF(K8939="",L8938,K8939/100-1)</f>
        <v>0.25782400000000005</v>
      </c>
    </row>
    <row r="8940" spans="1:12" hidden="1" outlineLevel="1" x14ac:dyDescent="0.25">
      <c r="A8940" s="701">
        <v>0.05</v>
      </c>
      <c r="B8940" s="706" t="s">
        <v>3021</v>
      </c>
      <c r="C8940" s="1333">
        <v>15.3233</v>
      </c>
      <c r="D8940" s="908">
        <v>15.42</v>
      </c>
      <c r="E8940" s="709">
        <v>6.310651099958875E-3</v>
      </c>
      <c r="F8940" s="946">
        <v>3.1553255499794375E-4</v>
      </c>
      <c r="G8940" s="78"/>
      <c r="H8940" t="str">
        <f>VLOOKUP(B8940,indexy!$A$44:$D$823,3,FALSE)</f>
        <v>ENI IM Equity</v>
      </c>
      <c r="J8940" s="256">
        <v>42005</v>
      </c>
      <c r="K8940" s="424">
        <v>129.6798</v>
      </c>
      <c r="L8940" s="37">
        <f t="shared" si="198"/>
        <v>0.2967979999999999</v>
      </c>
    </row>
    <row r="8941" spans="1:12" hidden="1" outlineLevel="1" x14ac:dyDescent="0.25">
      <c r="A8941" s="701">
        <v>0.05</v>
      </c>
      <c r="B8941" s="706" t="s">
        <v>3425</v>
      </c>
      <c r="C8941" s="1333">
        <v>59.773299999999999</v>
      </c>
      <c r="D8941" s="908">
        <v>81.66</v>
      </c>
      <c r="E8941" s="709">
        <v>0.36616181472329612</v>
      </c>
      <c r="F8941" s="946">
        <v>1.8308090736164805E-2</v>
      </c>
      <c r="G8941" s="78"/>
      <c r="H8941" t="str">
        <f>VLOOKUP(B8941,indexy!$A$44:$D$823,3,FALSE)</f>
        <v>XOM UN Equity</v>
      </c>
      <c r="J8941" s="256">
        <v>42036</v>
      </c>
      <c r="K8941" s="424">
        <v>126.02630000000001</v>
      </c>
      <c r="L8941" s="37">
        <f t="shared" si="198"/>
        <v>0.26026300000000013</v>
      </c>
    </row>
    <row r="8942" spans="1:12" hidden="1" outlineLevel="1" x14ac:dyDescent="0.25">
      <c r="A8942" s="701">
        <v>0.05</v>
      </c>
      <c r="B8942" s="711" t="s">
        <v>1321</v>
      </c>
      <c r="C8942" s="1333">
        <v>36.073300000000003</v>
      </c>
      <c r="D8942" s="908">
        <v>31.39</v>
      </c>
      <c r="E8942" s="709">
        <v>-0.12982732381013107</v>
      </c>
      <c r="F8942" s="946">
        <v>-6.4913661905065534E-3</v>
      </c>
      <c r="G8942" s="78"/>
      <c r="H8942" t="str">
        <f>VLOOKUP(B8942,indexy!$A$44:$D$823,3,FALSE)</f>
        <v>FE UN Equity</v>
      </c>
      <c r="J8942" s="256">
        <v>42064</v>
      </c>
      <c r="K8942" s="424">
        <v>123.6972</v>
      </c>
      <c r="L8942" s="37">
        <f t="shared" si="198"/>
        <v>0.23697199999999996</v>
      </c>
    </row>
    <row r="8943" spans="1:12" hidden="1" outlineLevel="1" x14ac:dyDescent="0.25">
      <c r="A8943" s="701">
        <v>0.05</v>
      </c>
      <c r="B8943" s="706" t="s">
        <v>7227</v>
      </c>
      <c r="C8943" s="1333">
        <v>24.8217</v>
      </c>
      <c r="D8943" s="908">
        <v>16.489999999999998</v>
      </c>
      <c r="E8943" s="709">
        <v>-0.33566194096294777</v>
      </c>
      <c r="F8943" s="946">
        <v>-1.6783097048147389E-2</v>
      </c>
      <c r="G8943" s="78"/>
      <c r="H8943" t="str">
        <f>VLOOKUP(B8943,indexy!$A$44:$D$823,3,FALSE)</f>
        <v>ENGI FP Equity</v>
      </c>
      <c r="J8943" s="256">
        <v>42095</v>
      </c>
      <c r="K8943" s="424">
        <v>126.1387</v>
      </c>
      <c r="L8943" s="37">
        <f t="shared" si="198"/>
        <v>0.26138700000000004</v>
      </c>
    </row>
    <row r="8944" spans="1:12" hidden="1" outlineLevel="1" x14ac:dyDescent="0.25">
      <c r="A8944" s="701">
        <v>0.05</v>
      </c>
      <c r="B8944" s="706" t="s">
        <v>2786</v>
      </c>
      <c r="C8944" s="1333">
        <v>498.83</v>
      </c>
      <c r="D8944" s="908">
        <v>925.8</v>
      </c>
      <c r="E8944" s="709">
        <v>0.85594290640097825</v>
      </c>
      <c r="F8944" s="946">
        <v>4.2797145320048913E-2</v>
      </c>
      <c r="G8944" s="78"/>
      <c r="H8944" t="str">
        <f>VLOOKUP(B8944,indexy!$A$44:$D$823,3,FALSE)</f>
        <v>NG/ LN Equity</v>
      </c>
      <c r="J8944" s="256">
        <v>42125</v>
      </c>
      <c r="K8944" s="424">
        <v>125.6397</v>
      </c>
      <c r="L8944" s="37">
        <f t="shared" si="198"/>
        <v>0.25639699999999999</v>
      </c>
    </row>
    <row r="8945" spans="1:15" hidden="1" outlineLevel="1" x14ac:dyDescent="0.25">
      <c r="A8945" s="701">
        <v>0.05</v>
      </c>
      <c r="B8945" s="706" t="s">
        <v>2469</v>
      </c>
      <c r="C8945" s="1333">
        <v>42.603299999999997</v>
      </c>
      <c r="D8945" s="908">
        <v>52.73</v>
      </c>
      <c r="E8945" s="709">
        <v>0.23769754925087971</v>
      </c>
      <c r="F8945" s="946">
        <v>1.1884877462543986E-2</v>
      </c>
      <c r="G8945" s="78"/>
      <c r="H8945" t="str">
        <f>VLOOKUP(B8945,indexy!$A$44:$D$823,3,FALSE)</f>
        <v>PCG UN Equity</v>
      </c>
      <c r="J8945" s="256">
        <v>42156</v>
      </c>
      <c r="K8945" s="424">
        <v>116.90649999999999</v>
      </c>
      <c r="L8945" s="37">
        <f t="shared" si="198"/>
        <v>0.16906500000000002</v>
      </c>
    </row>
    <row r="8946" spans="1:15" hidden="1" outlineLevel="1" x14ac:dyDescent="0.25">
      <c r="A8946" s="701">
        <v>0.05</v>
      </c>
      <c r="B8946" s="706" t="s">
        <v>1323</v>
      </c>
      <c r="C8946" s="1333">
        <v>31.86</v>
      </c>
      <c r="D8946" s="908">
        <v>39.1</v>
      </c>
      <c r="E8946" s="709">
        <v>0.22724419334588841</v>
      </c>
      <c r="F8946" s="946">
        <v>1.1362209667294421E-2</v>
      </c>
      <c r="G8946" s="78"/>
      <c r="H8946" t="str">
        <f>VLOOKUP(B8946,indexy!$A$44:$D$823,3,FALSE)</f>
        <v>PEG UN Equity</v>
      </c>
      <c r="J8946" s="256">
        <v>42186</v>
      </c>
      <c r="K8946" s="424">
        <v>121.6413</v>
      </c>
      <c r="L8946" s="37">
        <f t="shared" si="198"/>
        <v>0.21641299999999997</v>
      </c>
    </row>
    <row r="8947" spans="1:15" hidden="1" outlineLevel="1" x14ac:dyDescent="0.25">
      <c r="A8947" s="701">
        <v>0.05</v>
      </c>
      <c r="B8947" s="706" t="s">
        <v>54</v>
      </c>
      <c r="C8947" s="1333">
        <v>17.3017</v>
      </c>
      <c r="D8947" s="908">
        <v>12.345000000000001</v>
      </c>
      <c r="E8947" s="709">
        <v>-0.28648629903419898</v>
      </c>
      <c r="F8947" s="946">
        <v>-1.432431495170995E-2</v>
      </c>
      <c r="G8947" s="78"/>
      <c r="H8947" t="str">
        <f>VLOOKUP(B8947,indexy!$A$44:$D$823,3,FALSE)</f>
        <v>REP SQ Equity</v>
      </c>
      <c r="J8947" s="256">
        <v>42217</v>
      </c>
      <c r="K8947" s="424">
        <v>114.884</v>
      </c>
      <c r="L8947" s="37">
        <f t="shared" si="198"/>
        <v>0.14884000000000008</v>
      </c>
    </row>
    <row r="8948" spans="1:15" hidden="1" outlineLevel="1" x14ac:dyDescent="0.25">
      <c r="A8948" s="701">
        <v>0.05</v>
      </c>
      <c r="B8948" s="706" t="s">
        <v>3801</v>
      </c>
      <c r="C8948" s="1333">
        <v>55.856699999999996</v>
      </c>
      <c r="D8948" s="908">
        <v>10.89</v>
      </c>
      <c r="E8948" s="709">
        <v>-0.8050368174274527</v>
      </c>
      <c r="F8948" s="946">
        <v>-4.0251840871372638E-2</v>
      </c>
      <c r="G8948" s="78"/>
      <c r="H8948" t="str">
        <f>VLOOKUP(B8948,indexy!$A$44:$D$823,3,FALSE)</f>
        <v>RWE GY Equity</v>
      </c>
      <c r="J8948" s="256">
        <v>42248</v>
      </c>
      <c r="K8948" s="424">
        <v>115.45489999999999</v>
      </c>
      <c r="L8948" s="37">
        <f t="shared" si="198"/>
        <v>0.15454900000000005</v>
      </c>
    </row>
    <row r="8949" spans="1:15" hidden="1" outlineLevel="1" x14ac:dyDescent="0.25">
      <c r="A8949" s="701">
        <v>0.05</v>
      </c>
      <c r="B8949" s="706" t="s">
        <v>4460</v>
      </c>
      <c r="C8949" s="1333">
        <v>1264.33</v>
      </c>
      <c r="D8949" s="908">
        <v>2252</v>
      </c>
      <c r="E8949" s="709">
        <v>0.78118054621815514</v>
      </c>
      <c r="F8949" s="946">
        <v>3.9059027310907761E-2</v>
      </c>
      <c r="G8949" s="78"/>
      <c r="H8949" t="str">
        <f>VLOOKUP(B8949,indexy!$A$44:$D$823,3,FALSE)</f>
        <v>SVT LN Equity</v>
      </c>
      <c r="J8949" s="256">
        <v>42278</v>
      </c>
      <c r="K8949" s="424">
        <v>119.8246</v>
      </c>
      <c r="L8949" s="37">
        <f t="shared" si="198"/>
        <v>0.19824600000000014</v>
      </c>
    </row>
    <row r="8950" spans="1:15" hidden="1" outlineLevel="1" x14ac:dyDescent="0.25">
      <c r="A8950" s="701">
        <v>0.05</v>
      </c>
      <c r="B8950" s="712" t="s">
        <v>3427</v>
      </c>
      <c r="C8950" s="1333">
        <v>33.966700000000003</v>
      </c>
      <c r="D8950" s="908">
        <v>44.54</v>
      </c>
      <c r="E8950" s="709">
        <v>0.3112842872578141</v>
      </c>
      <c r="F8950" s="946">
        <v>1.5564214362890705E-2</v>
      </c>
      <c r="G8950" s="78"/>
      <c r="H8950" t="str">
        <f>VLOOKUP(B8950,indexy!$A$44:$D$823,3,FALSE)</f>
        <v>SO UN Equity</v>
      </c>
      <c r="J8950" s="256">
        <v>42309</v>
      </c>
      <c r="K8950" s="424">
        <v>118.5761</v>
      </c>
      <c r="L8950" s="37">
        <f t="shared" si="198"/>
        <v>0.18576100000000006</v>
      </c>
    </row>
    <row r="8951" spans="1:15" hidden="1" outlineLevel="1" x14ac:dyDescent="0.25">
      <c r="A8951" s="701">
        <v>0.05</v>
      </c>
      <c r="B8951" s="706" t="s">
        <v>3921</v>
      </c>
      <c r="C8951" s="1333">
        <v>3.0741999999999998</v>
      </c>
      <c r="D8951" s="908">
        <v>4.66</v>
      </c>
      <c r="E8951" s="709">
        <v>0.51584151974497439</v>
      </c>
      <c r="F8951" s="946">
        <v>2.5792075987248721E-2</v>
      </c>
      <c r="G8951" s="78"/>
      <c r="H8951" t="str">
        <f>VLOOKUP(B8951,indexy!$A$44:$D$823,3,FALSE)</f>
        <v>TRN IM Equity</v>
      </c>
      <c r="J8951" s="412" t="s">
        <v>2465</v>
      </c>
      <c r="L8951" s="261">
        <f>AVERAGE(L8933:L8950)</f>
        <v>0.23096294444444446</v>
      </c>
    </row>
    <row r="8952" spans="1:15" hidden="1" outlineLevel="1" x14ac:dyDescent="0.25">
      <c r="A8952" s="701">
        <v>0.05</v>
      </c>
      <c r="B8952" s="713" t="s">
        <v>1183</v>
      </c>
      <c r="C8952" s="1334">
        <v>37.884999999999998</v>
      </c>
      <c r="D8952" s="715">
        <v>47</v>
      </c>
      <c r="E8952" s="716">
        <v>0.24059654216708459</v>
      </c>
      <c r="F8952" s="1023">
        <v>1.202982710835423E-2</v>
      </c>
      <c r="G8952" s="78"/>
      <c r="H8952" t="e">
        <f>VLOOKUP(B8952,indexy!$A$44:$D$823,3,FALSE)</f>
        <v>#N/A</v>
      </c>
      <c r="J8952" s="412" t="s">
        <v>5221</v>
      </c>
      <c r="L8952" s="261">
        <v>0.17330000000000001</v>
      </c>
    </row>
    <row r="8953" spans="1:15" hidden="1" outlineLevel="1" x14ac:dyDescent="0.25">
      <c r="A8953" s="717"/>
      <c r="B8953" s="750"/>
      <c r="C8953" s="727"/>
      <c r="D8953" s="727"/>
      <c r="E8953" s="716"/>
      <c r="F8953" s="770">
        <v>0.18045128977927324</v>
      </c>
      <c r="G8953" s="78"/>
    </row>
    <row r="8954" spans="1:15" collapsed="1" x14ac:dyDescent="0.25">
      <c r="A8954" s="3801" t="s">
        <v>1316</v>
      </c>
      <c r="B8954" s="3802"/>
      <c r="C8954" s="3802"/>
      <c r="D8954" s="3802"/>
      <c r="E8954" s="721"/>
      <c r="F8954" s="722">
        <v>0.17330000000000001</v>
      </c>
      <c r="G8954" s="78"/>
    </row>
    <row r="8956" spans="1:15" hidden="1" outlineLevel="1" x14ac:dyDescent="0.25">
      <c r="A8956" s="15" t="s">
        <v>113</v>
      </c>
      <c r="B8956" s="15" t="s">
        <v>114</v>
      </c>
      <c r="C8956" s="15" t="s">
        <v>112</v>
      </c>
      <c r="D8956" s="15" t="s">
        <v>116</v>
      </c>
      <c r="E8956" s="15" t="s">
        <v>117</v>
      </c>
      <c r="F8956" s="1882" t="s">
        <v>121</v>
      </c>
    </row>
    <row r="8957" spans="1:15" hidden="1" outlineLevel="1" x14ac:dyDescent="0.25">
      <c r="A8957" s="4">
        <v>1</v>
      </c>
      <c r="B8957" s="5" t="s">
        <v>252</v>
      </c>
      <c r="C8957" s="6">
        <v>100</v>
      </c>
      <c r="D8957" s="6"/>
      <c r="E8957" s="9"/>
      <c r="F8957" s="10"/>
    </row>
    <row r="8958" spans="1:15" hidden="1" outlineLevel="1" x14ac:dyDescent="0.25">
      <c r="A8958" s="21"/>
      <c r="B8958" s="21"/>
      <c r="C8958" s="11"/>
      <c r="D8958" s="32" t="s">
        <v>3702</v>
      </c>
      <c r="E8958" s="33">
        <f>indexy!$B$2</f>
        <v>45379</v>
      </c>
      <c r="F8958" s="38"/>
    </row>
    <row r="8959" spans="1:15" ht="26.4" hidden="1" outlineLevel="1" x14ac:dyDescent="0.25">
      <c r="A8959" s="1164" t="s">
        <v>4156</v>
      </c>
      <c r="B8959" s="1164" t="s">
        <v>4153</v>
      </c>
      <c r="C8959" s="700" t="s">
        <v>1677</v>
      </c>
      <c r="D8959" s="1164" t="s">
        <v>4155</v>
      </c>
      <c r="E8959" s="1164" t="s">
        <v>4154</v>
      </c>
      <c r="F8959" s="1056" t="s">
        <v>2519</v>
      </c>
      <c r="G8959" s="314"/>
      <c r="H8959" s="314"/>
      <c r="I8959" s="345">
        <v>40366</v>
      </c>
      <c r="J8959" s="346">
        <v>40392</v>
      </c>
      <c r="K8959" s="346">
        <v>40422</v>
      </c>
      <c r="M8959" t="s">
        <v>2040</v>
      </c>
    </row>
    <row r="8960" spans="1:15" hidden="1" outlineLevel="1" x14ac:dyDescent="0.25">
      <c r="A8960" s="1127">
        <v>2.5000000000000001E-2</v>
      </c>
      <c r="B8960" s="1010" t="s">
        <v>1995</v>
      </c>
      <c r="C8960" s="848">
        <v>49.276699999999998</v>
      </c>
      <c r="D8960" s="1024">
        <v>44.92</v>
      </c>
      <c r="E8960" s="911">
        <v>-8.8412982200512524E-2</v>
      </c>
      <c r="F8960" s="1021">
        <v>-2.2103245550128131E-3</v>
      </c>
      <c r="H8960" t="str">
        <f>VLOOKUP(B8960,indexy!$A$44:$D$823,3,FALSE)</f>
        <v>ABT UN Equity</v>
      </c>
      <c r="I8960" s="347">
        <v>47.73</v>
      </c>
      <c r="J8960" s="347">
        <v>49.83</v>
      </c>
      <c r="K8960" s="158">
        <v>50.27</v>
      </c>
      <c r="M8960" s="256">
        <v>41791</v>
      </c>
      <c r="N8960" s="424">
        <v>134.78020000000001</v>
      </c>
      <c r="O8960" s="37">
        <f t="shared" ref="O8960:O8965" si="199">IF(N8960="",O8959,N8960/100-1)</f>
        <v>0.34780200000000017</v>
      </c>
    </row>
    <row r="8961" spans="1:15" hidden="1" outlineLevel="1" x14ac:dyDescent="0.25">
      <c r="A8961" s="849">
        <v>4.4999999999999998E-2</v>
      </c>
      <c r="B8961" s="1012" t="s">
        <v>359</v>
      </c>
      <c r="C8961" s="851">
        <v>85.736699999999999</v>
      </c>
      <c r="D8961" s="1026">
        <v>167.65</v>
      </c>
      <c r="E8961" s="909">
        <v>0.95540532817334944</v>
      </c>
      <c r="F8961" s="946">
        <v>4.2993239767800721E-2</v>
      </c>
      <c r="H8961" t="str">
        <f>VLOOKUP(B8961,indexy!$A$44:$D$823,3,FALSE)</f>
        <v>ALV GY Equity</v>
      </c>
      <c r="I8961" s="347">
        <v>82.12</v>
      </c>
      <c r="J8961" s="347">
        <v>91.46</v>
      </c>
      <c r="K8961" s="158">
        <v>83.63</v>
      </c>
      <c r="M8961" s="256">
        <v>41821</v>
      </c>
      <c r="N8961" s="424">
        <v>132.5446</v>
      </c>
      <c r="O8961" s="37">
        <f t="shared" si="199"/>
        <v>0.32544600000000012</v>
      </c>
    </row>
    <row r="8962" spans="1:15" hidden="1" outlineLevel="1" x14ac:dyDescent="0.25">
      <c r="A8962" s="849">
        <v>3.5000000000000003E-2</v>
      </c>
      <c r="B8962" s="1012" t="s">
        <v>157</v>
      </c>
      <c r="C8962" s="851">
        <v>9.9466999999999999</v>
      </c>
      <c r="D8962" s="1026">
        <v>5.1680000000000001</v>
      </c>
      <c r="E8962" s="909">
        <v>-0.48043069560758844</v>
      </c>
      <c r="F8962" s="946">
        <v>-1.6815074346265599E-2</v>
      </c>
      <c r="H8962" t="str">
        <f>VLOOKUP(B8962,indexy!$A$44:$D$823,3,FALSE)</f>
        <v>SAN SM Equity</v>
      </c>
      <c r="I8962" s="347">
        <v>9.8059999999999992</v>
      </c>
      <c r="J8962" s="347">
        <v>10.345000000000001</v>
      </c>
      <c r="K8962" s="158">
        <v>9.6890000000000001</v>
      </c>
      <c r="M8962" s="256">
        <v>41852</v>
      </c>
      <c r="N8962" s="424">
        <v>135.68260000000001</v>
      </c>
      <c r="O8962" s="37">
        <f t="shared" si="199"/>
        <v>0.35682600000000009</v>
      </c>
    </row>
    <row r="8963" spans="1:15" hidden="1" outlineLevel="1" x14ac:dyDescent="0.25">
      <c r="A8963" s="849">
        <v>0.04</v>
      </c>
      <c r="B8963" s="1012" t="s">
        <v>1188</v>
      </c>
      <c r="C8963" s="851">
        <v>387.97</v>
      </c>
      <c r="D8963" s="1026">
        <v>385.25</v>
      </c>
      <c r="E8963" s="909">
        <v>-7.0108513544862028E-3</v>
      </c>
      <c r="F8963" s="946">
        <v>-2.8043405417944812E-4</v>
      </c>
      <c r="H8963" t="str">
        <f>VLOOKUP(B8963,indexy!$A$44:$D$823,3,FALSE)</f>
        <v>BP/ LN Equity</v>
      </c>
      <c r="I8963" s="347">
        <v>362.05</v>
      </c>
      <c r="J8963" s="347">
        <v>413.1</v>
      </c>
      <c r="K8963" s="158">
        <v>388.75</v>
      </c>
      <c r="M8963" s="256">
        <v>41883</v>
      </c>
      <c r="N8963" s="424">
        <v>136.22399999999999</v>
      </c>
      <c r="O8963" s="37">
        <f t="shared" si="199"/>
        <v>0.3622399999999999</v>
      </c>
    </row>
    <row r="8964" spans="1:15" hidden="1" outlineLevel="1" x14ac:dyDescent="0.25">
      <c r="A8964" s="849">
        <v>0.03</v>
      </c>
      <c r="B8964" s="1319" t="s">
        <v>4377</v>
      </c>
      <c r="C8964" s="851">
        <v>25.9133</v>
      </c>
      <c r="D8964" s="1026">
        <v>67.010000000000005</v>
      </c>
      <c r="E8964" s="909">
        <v>1.5859307768597595</v>
      </c>
      <c r="F8964" s="946">
        <v>4.7577923305792781E-2</v>
      </c>
      <c r="H8964" t="str">
        <f>VLOOKUP(B8964,indexy!$A$44:$D$823,3,FALSE)</f>
        <v>BMY UN Equity</v>
      </c>
      <c r="I8964" s="347">
        <v>25.8</v>
      </c>
      <c r="J8964" s="347">
        <v>25.53</v>
      </c>
      <c r="K8964" s="158">
        <v>26.41</v>
      </c>
      <c r="M8964" s="256">
        <v>41913</v>
      </c>
      <c r="N8964" s="424">
        <v>138.0472</v>
      </c>
      <c r="O8964" s="37">
        <f t="shared" si="199"/>
        <v>0.38047200000000014</v>
      </c>
    </row>
    <row r="8965" spans="1:15" hidden="1" outlineLevel="1" x14ac:dyDescent="0.25">
      <c r="A8965" s="849">
        <v>0.04</v>
      </c>
      <c r="B8965" s="1012" t="s">
        <v>53</v>
      </c>
      <c r="C8965" s="851">
        <v>44.491700000000002</v>
      </c>
      <c r="D8965" s="1026">
        <v>66.33</v>
      </c>
      <c r="E8965" s="909">
        <v>0.49083986451405526</v>
      </c>
      <c r="F8965" s="946">
        <v>1.963359458056221E-2</v>
      </c>
      <c r="H8965" t="str">
        <f>VLOOKUP(B8965,indexy!$A$44:$D$823,3,FALSE)</f>
        <v>BN FP Equity</v>
      </c>
      <c r="I8965" s="347">
        <v>45.935000000000002</v>
      </c>
      <c r="J8965" s="347">
        <v>43.97</v>
      </c>
      <c r="K8965" s="158">
        <v>43.57</v>
      </c>
      <c r="M8965" s="256">
        <v>41944</v>
      </c>
      <c r="N8965" s="424">
        <v>142.90809999999999</v>
      </c>
      <c r="O8965" s="37">
        <f t="shared" si="199"/>
        <v>0.42908099999999982</v>
      </c>
    </row>
    <row r="8966" spans="1:15" hidden="1" outlineLevel="1" x14ac:dyDescent="0.25">
      <c r="A8966" s="849">
        <v>4.4999999999999998E-2</v>
      </c>
      <c r="B8966" s="1012" t="s">
        <v>2699</v>
      </c>
      <c r="C8966" s="851">
        <v>13.173299999999999</v>
      </c>
      <c r="D8966" s="1026">
        <v>27.664999999999999</v>
      </c>
      <c r="E8966" s="909">
        <v>1.100081224901885</v>
      </c>
      <c r="F8966" s="946">
        <v>4.950365512058482E-2</v>
      </c>
      <c r="H8966" t="str">
        <f>VLOOKUP(B8966,indexy!$A$44:$D$823,3,FALSE)</f>
        <v>DHL GR Equity</v>
      </c>
      <c r="I8966" s="347">
        <v>12.77</v>
      </c>
      <c r="J8966" s="347">
        <v>13.5</v>
      </c>
      <c r="K8966" s="158">
        <v>13.25</v>
      </c>
      <c r="M8966" s="256">
        <v>41974</v>
      </c>
      <c r="N8966" s="424">
        <v>141.0284</v>
      </c>
      <c r="O8966" s="37">
        <f t="shared" ref="O8966:O8977" si="200">IF(N8966="",O8965,N8966/100-1)</f>
        <v>0.41028400000000009</v>
      </c>
    </row>
    <row r="8967" spans="1:15" hidden="1" outlineLevel="1" x14ac:dyDescent="0.25">
      <c r="A8967" s="849">
        <v>3.5000000000000003E-2</v>
      </c>
      <c r="B8967" s="1012" t="s">
        <v>4387</v>
      </c>
      <c r="C8967" s="851">
        <v>22.831700000000001</v>
      </c>
      <c r="D8967" s="1026">
        <v>8.9960000000000004</v>
      </c>
      <c r="E8967" s="909">
        <v>-0.60598641362666816</v>
      </c>
      <c r="F8967" s="946">
        <v>-2.1209524476933389E-2</v>
      </c>
      <c r="H8967" t="str">
        <f>VLOOKUP(B8967,indexy!$A$44:$D$823,3,FALSE)</f>
        <v>EOAN GY Equity</v>
      </c>
      <c r="I8967" s="347">
        <v>22.64</v>
      </c>
      <c r="J8967" s="347">
        <v>23.38</v>
      </c>
      <c r="K8967" s="158">
        <v>22.475000000000001</v>
      </c>
      <c r="M8967" s="256">
        <v>42005</v>
      </c>
      <c r="N8967" s="424">
        <v>143.99379999999999</v>
      </c>
      <c r="O8967" s="37">
        <f t="shared" si="200"/>
        <v>0.43993799999999994</v>
      </c>
    </row>
    <row r="8968" spans="1:15" hidden="1" outlineLevel="1" x14ac:dyDescent="0.25">
      <c r="A8968" s="849">
        <v>0.04</v>
      </c>
      <c r="B8968" s="1012" t="s">
        <v>3798</v>
      </c>
      <c r="C8968" s="851">
        <v>3.7650000000000001</v>
      </c>
      <c r="D8968" s="1026">
        <v>4.1740000000000004</v>
      </c>
      <c r="E8968" s="909">
        <v>0.10863213811420991</v>
      </c>
      <c r="F8968" s="946">
        <v>4.3452855245683965E-3</v>
      </c>
      <c r="H8968" t="str">
        <f>VLOOKUP(B8968,indexy!$A$44:$D$823,3,FALSE)</f>
        <v>ENEL IM Equity</v>
      </c>
      <c r="I8968" s="347">
        <v>3.6</v>
      </c>
      <c r="J8968" s="347">
        <v>3.8424999999999998</v>
      </c>
      <c r="K8968" s="158">
        <v>3.8525</v>
      </c>
      <c r="M8968" s="256">
        <v>42036</v>
      </c>
      <c r="N8968" s="424">
        <v>149.363</v>
      </c>
      <c r="O8968" s="37">
        <f t="shared" si="200"/>
        <v>0.49363000000000001</v>
      </c>
    </row>
    <row r="8969" spans="1:15" hidden="1" outlineLevel="1" x14ac:dyDescent="0.25">
      <c r="A8969" s="849">
        <v>2.5000000000000001E-2</v>
      </c>
      <c r="B8969" s="740" t="s">
        <v>5824</v>
      </c>
      <c r="C8969" s="851">
        <v>15.8667</v>
      </c>
      <c r="D8969" s="1026">
        <v>16.36</v>
      </c>
      <c r="E8969" s="909">
        <v>3.1090270818758814E-2</v>
      </c>
      <c r="F8969" s="946">
        <v>7.7725677046897035E-4</v>
      </c>
      <c r="H8969" t="str">
        <f>VLOOKUP(B8969,indexy!$A$44:$D$823,3,FALSE)</f>
        <v>ORA FP Equity</v>
      </c>
      <c r="I8969" s="347">
        <v>14.98</v>
      </c>
      <c r="J8969" s="347">
        <v>16.43</v>
      </c>
      <c r="K8969" s="158">
        <v>16.190000000000001</v>
      </c>
      <c r="M8969" s="256">
        <v>42064</v>
      </c>
      <c r="N8969" s="424">
        <v>150.6386</v>
      </c>
      <c r="O8969" s="37">
        <f t="shared" si="200"/>
        <v>0.506386</v>
      </c>
    </row>
    <row r="8970" spans="1:15" hidden="1" outlineLevel="1" x14ac:dyDescent="0.25">
      <c r="A8970" s="849">
        <v>0.03</v>
      </c>
      <c r="B8970" s="1012" t="s">
        <v>7227</v>
      </c>
      <c r="C8970" s="851">
        <v>25.421700000000001</v>
      </c>
      <c r="D8970" s="1026">
        <v>16.489999999999998</v>
      </c>
      <c r="E8970" s="909">
        <v>-0.35134157039065061</v>
      </c>
      <c r="F8970" s="946">
        <v>-1.0540247111719518E-2</v>
      </c>
      <c r="H8970" t="str">
        <f>VLOOKUP(B8970,indexy!$A$44:$D$823,3,FALSE)</f>
        <v>ENGI FP Equity</v>
      </c>
      <c r="I8970" s="347">
        <v>24.59</v>
      </c>
      <c r="J8970" s="347">
        <v>26.24</v>
      </c>
      <c r="K8970" s="158">
        <v>25.434999999999999</v>
      </c>
      <c r="M8970" s="256">
        <v>42095</v>
      </c>
      <c r="N8970" s="424">
        <v>150.19630000000001</v>
      </c>
      <c r="O8970" s="37">
        <f t="shared" si="200"/>
        <v>0.50196300000000016</v>
      </c>
    </row>
    <row r="8971" spans="1:15" hidden="1" outlineLevel="1" x14ac:dyDescent="0.25">
      <c r="A8971" s="849">
        <v>0.03</v>
      </c>
      <c r="B8971" s="743" t="s">
        <v>307</v>
      </c>
      <c r="C8971" s="851">
        <v>28.6</v>
      </c>
      <c r="D8971" s="1026">
        <v>133.88</v>
      </c>
      <c r="E8971" s="909">
        <v>3.6811188811188806</v>
      </c>
      <c r="F8971" s="946">
        <v>0.11043356643356642</v>
      </c>
      <c r="H8971" t="str">
        <f>VLOOKUP(B8971,indexy!$A$44:$D$823,3,FALSE)</f>
        <v>HD UN Equity</v>
      </c>
      <c r="I8971" s="347">
        <v>28.01</v>
      </c>
      <c r="J8971" s="347">
        <v>29.12</v>
      </c>
      <c r="K8971" s="158">
        <v>28.67</v>
      </c>
      <c r="M8971" s="256">
        <v>42125</v>
      </c>
      <c r="N8971" s="424">
        <v>150.78389999999999</v>
      </c>
      <c r="O8971" s="37">
        <f t="shared" si="200"/>
        <v>0.50783899999999993</v>
      </c>
    </row>
    <row r="8972" spans="1:15" hidden="1" outlineLevel="1" x14ac:dyDescent="0.25">
      <c r="A8972" s="849">
        <v>3.5000000000000003E-2</v>
      </c>
      <c r="B8972" s="1012" t="s">
        <v>1771</v>
      </c>
      <c r="C8972" s="851">
        <v>648.9</v>
      </c>
      <c r="D8972" s="1026">
        <v>529.5</v>
      </c>
      <c r="E8972" s="909">
        <v>-0.18400369856680532</v>
      </c>
      <c r="F8972" s="946">
        <v>-6.4401294498381868E-3</v>
      </c>
      <c r="H8972" t="str">
        <f>VLOOKUP(B8972,indexy!$A$44:$D$823,3,FALSE)</f>
        <v>HSBA LN Equity</v>
      </c>
      <c r="I8972" s="347">
        <v>614.70000000000005</v>
      </c>
      <c r="J8972" s="347">
        <v>680</v>
      </c>
      <c r="K8972" s="158">
        <v>652</v>
      </c>
      <c r="M8972" s="256">
        <v>42156</v>
      </c>
      <c r="N8972" s="424">
        <v>144.07390000000001</v>
      </c>
      <c r="O8972" s="37">
        <f t="shared" si="200"/>
        <v>0.44073899999999999</v>
      </c>
    </row>
    <row r="8973" spans="1:15" hidden="1" outlineLevel="1" x14ac:dyDescent="0.25">
      <c r="A8973" s="849">
        <v>0.03</v>
      </c>
      <c r="B8973" s="740" t="s">
        <v>52</v>
      </c>
      <c r="C8973" s="851">
        <v>127.8433</v>
      </c>
      <c r="D8973" s="1026">
        <v>139.41999999999999</v>
      </c>
      <c r="E8973" s="909">
        <v>9.0553826442214769E-2</v>
      </c>
      <c r="F8973" s="946">
        <v>2.716614793266443E-3</v>
      </c>
      <c r="H8973" t="str">
        <f>VLOOKUP(B8973,indexy!$A$44:$D$823,3,FALSE)</f>
        <v>IBM UN Equity</v>
      </c>
      <c r="I8973" s="347">
        <v>127</v>
      </c>
      <c r="J8973" s="347">
        <v>130.76</v>
      </c>
      <c r="K8973" s="158">
        <v>125.77</v>
      </c>
      <c r="M8973" s="256">
        <v>42186</v>
      </c>
      <c r="N8973" s="424">
        <v>151.14070000000001</v>
      </c>
      <c r="O8973" s="37">
        <f t="shared" si="200"/>
        <v>0.51140700000000017</v>
      </c>
    </row>
    <row r="8974" spans="1:15" hidden="1" outlineLevel="1" x14ac:dyDescent="0.25">
      <c r="A8974" s="849">
        <v>0.03</v>
      </c>
      <c r="B8974" s="1012" t="s">
        <v>4034</v>
      </c>
      <c r="C8974" s="851">
        <v>9.9457000000000004</v>
      </c>
      <c r="D8974" s="1026">
        <v>20.59</v>
      </c>
      <c r="E8974" s="909">
        <v>1.0702414108609748</v>
      </c>
      <c r="F8974" s="946">
        <v>3.210724232582924E-2</v>
      </c>
      <c r="H8974" t="str">
        <f>VLOOKUP(B8974,indexy!$A$44:$D$823,3,FALSE)</f>
        <v>AD NA Equity</v>
      </c>
      <c r="I8974" s="347">
        <v>10.119999999999999</v>
      </c>
      <c r="J8974" s="347">
        <v>10.035</v>
      </c>
      <c r="K8974" s="158">
        <v>9.6820000000000004</v>
      </c>
      <c r="M8974" s="256">
        <v>42217</v>
      </c>
      <c r="N8974" s="424">
        <v>142.16640000000001</v>
      </c>
      <c r="O8974" s="37">
        <f t="shared" si="200"/>
        <v>0.42166400000000004</v>
      </c>
    </row>
    <row r="8975" spans="1:15" hidden="1" outlineLevel="1" x14ac:dyDescent="0.25">
      <c r="A8975" s="849">
        <v>3.5000000000000003E-2</v>
      </c>
      <c r="B8975" s="1012" t="s">
        <v>4143</v>
      </c>
      <c r="C8975" s="851">
        <v>10.97</v>
      </c>
      <c r="D8975" s="1026">
        <v>3.601</v>
      </c>
      <c r="E8975" s="909">
        <v>-0.67174111212397447</v>
      </c>
      <c r="F8975" s="946">
        <v>-2.3510938924339107E-2</v>
      </c>
      <c r="H8975" t="str">
        <f>VLOOKUP(B8975,indexy!$A$44:$D$823,3,FALSE)</f>
        <v>KPN NA Equity</v>
      </c>
      <c r="I8975" s="347">
        <v>10.565</v>
      </c>
      <c r="J8975" s="347">
        <v>10.94</v>
      </c>
      <c r="K8975" s="158">
        <v>11.404999999999999</v>
      </c>
      <c r="M8975" s="256">
        <v>42248</v>
      </c>
      <c r="N8975" s="424">
        <v>138.20769999999999</v>
      </c>
      <c r="O8975" s="37">
        <f t="shared" si="200"/>
        <v>0.38207699999999978</v>
      </c>
    </row>
    <row r="8976" spans="1:15" hidden="1" outlineLevel="1" x14ac:dyDescent="0.25">
      <c r="A8976" s="849">
        <v>2.5000000000000001E-2</v>
      </c>
      <c r="B8976" s="852" t="s">
        <v>7573</v>
      </c>
      <c r="C8976" s="851">
        <v>29.56</v>
      </c>
      <c r="D8976" s="1026">
        <v>73.69</v>
      </c>
      <c r="E8976" s="909">
        <v>1.492895805142084</v>
      </c>
      <c r="F8976" s="946">
        <v>3.7322395128552101E-2</v>
      </c>
      <c r="H8976" t="str">
        <f>VLOOKUP(B8976,indexy!$A$44:$D$823,3,FALSE)</f>
        <v>KHC UW Equity</v>
      </c>
      <c r="I8976" s="347">
        <v>28.81</v>
      </c>
      <c r="J8976" s="347">
        <v>29.49</v>
      </c>
      <c r="K8976" s="158">
        <v>30.38</v>
      </c>
      <c r="M8976" s="256">
        <v>42278</v>
      </c>
      <c r="N8976" s="424">
        <v>148.69030000000001</v>
      </c>
      <c r="O8976" s="37">
        <f t="shared" si="200"/>
        <v>0.48690300000000009</v>
      </c>
    </row>
    <row r="8977" spans="1:15" ht="13.8" hidden="1" outlineLevel="1" x14ac:dyDescent="0.3">
      <c r="A8977" s="849">
        <v>0.04</v>
      </c>
      <c r="B8977" s="1012" t="s">
        <v>1772</v>
      </c>
      <c r="C8977" s="851">
        <v>105.2167</v>
      </c>
      <c r="D8977" s="1026">
        <v>190.75</v>
      </c>
      <c r="E8977" s="909">
        <v>0.81292513450811521</v>
      </c>
      <c r="F8977" s="946">
        <v>3.2517005380324607E-2</v>
      </c>
      <c r="H8977" t="str">
        <f>VLOOKUP(B8977,indexy!$A$44:$D$823,3,FALSE)</f>
        <v>MUV2 GY Equity</v>
      </c>
      <c r="I8977" s="347">
        <v>105.3</v>
      </c>
      <c r="J8977" s="347">
        <v>108.4</v>
      </c>
      <c r="K8977" s="158">
        <v>101.95</v>
      </c>
      <c r="M8977" s="256">
        <v>42309</v>
      </c>
      <c r="N8977" s="1340">
        <v>151.60910000000001</v>
      </c>
      <c r="O8977" s="37">
        <f t="shared" si="200"/>
        <v>0.51609100000000008</v>
      </c>
    </row>
    <row r="8978" spans="1:15" hidden="1" outlineLevel="1" x14ac:dyDescent="0.25">
      <c r="A8978" s="849">
        <v>0.03</v>
      </c>
      <c r="B8978" s="1012" t="s">
        <v>2786</v>
      </c>
      <c r="C8978" s="851">
        <v>525</v>
      </c>
      <c r="D8978" s="1026">
        <v>925.8</v>
      </c>
      <c r="E8978" s="909">
        <v>0.76342857142857135</v>
      </c>
      <c r="F8978" s="946">
        <v>2.2902857142857138E-2</v>
      </c>
      <c r="H8978" t="str">
        <f>VLOOKUP(B8978,indexy!$A$44:$D$823,3,FALSE)</f>
        <v>NG/ LN Equity</v>
      </c>
      <c r="I8978" s="347">
        <v>502</v>
      </c>
      <c r="J8978" s="347">
        <v>524</v>
      </c>
      <c r="K8978" s="158">
        <v>549</v>
      </c>
      <c r="M8978" s="412" t="s">
        <v>2465</v>
      </c>
      <c r="O8978" s="261">
        <f>AVERAGE(O8960:O8977)</f>
        <v>0.43448822222222216</v>
      </c>
    </row>
    <row r="8979" spans="1:15" hidden="1" outlineLevel="1" x14ac:dyDescent="0.25">
      <c r="A8979" s="849">
        <v>0.03</v>
      </c>
      <c r="B8979" s="1012" t="s">
        <v>3797</v>
      </c>
      <c r="C8979" s="851">
        <v>52.383299999999998</v>
      </c>
      <c r="D8979" s="1026">
        <v>76.349999999999994</v>
      </c>
      <c r="E8979" s="909">
        <v>0.45752558544421595</v>
      </c>
      <c r="F8979" s="946">
        <v>1.3725767563326477E-2</v>
      </c>
      <c r="H8979" t="str">
        <f>VLOOKUP(B8979,indexy!$A$44:$D$823,3,FALSE)</f>
        <v>NESN SE Equity</v>
      </c>
      <c r="I8979" s="347">
        <v>51.5</v>
      </c>
      <c r="J8979" s="347">
        <v>51.9</v>
      </c>
      <c r="K8979" s="158">
        <v>53.75</v>
      </c>
      <c r="M8979" s="412" t="s">
        <v>5221</v>
      </c>
      <c r="O8979" s="261">
        <f>O8978*parametry!N296</f>
        <v>0.26069293333333327</v>
      </c>
    </row>
    <row r="8980" spans="1:15" hidden="1" outlineLevel="1" x14ac:dyDescent="0.25">
      <c r="A8980" s="849">
        <v>0.03</v>
      </c>
      <c r="B8980" s="1012" t="s">
        <v>2787</v>
      </c>
      <c r="C8980" s="851">
        <v>52.45</v>
      </c>
      <c r="D8980" s="1026">
        <v>87.95</v>
      </c>
      <c r="E8980" s="909">
        <v>0.67683508102955181</v>
      </c>
      <c r="F8980" s="946">
        <v>2.0305052430886553E-2</v>
      </c>
      <c r="H8980" t="str">
        <f>VLOOKUP(B8980,indexy!$A$44:$D$823,3,FALSE)</f>
        <v>NOVN SE Equity</v>
      </c>
      <c r="I8980" s="347">
        <v>51.5</v>
      </c>
      <c r="J8980" s="347">
        <v>51.8</v>
      </c>
      <c r="K8980" s="158">
        <v>54.05</v>
      </c>
    </row>
    <row r="8981" spans="1:15" hidden="1" outlineLevel="1" x14ac:dyDescent="0.25">
      <c r="A8981" s="849">
        <v>0.04</v>
      </c>
      <c r="B8981" s="1012" t="s">
        <v>1204</v>
      </c>
      <c r="C8981" s="851">
        <v>64.363299999999995</v>
      </c>
      <c r="D8981" s="1026">
        <v>100.16</v>
      </c>
      <c r="E8981" s="909">
        <v>0.55616632459802418</v>
      </c>
      <c r="F8981" s="946">
        <v>2.2246652983920968E-2</v>
      </c>
      <c r="H8981" t="str">
        <f>VLOOKUP(B8981,indexy!$A$44:$D$823,3,FALSE)</f>
        <v>PEP UW Equity</v>
      </c>
      <c r="I8981" s="347">
        <v>62.93</v>
      </c>
      <c r="J8981" s="347">
        <v>65.27</v>
      </c>
      <c r="K8981" s="158">
        <v>64.89</v>
      </c>
    </row>
    <row r="8982" spans="1:15" hidden="1" outlineLevel="1" x14ac:dyDescent="0.25">
      <c r="A8982" s="849">
        <v>3.5000000000000003E-2</v>
      </c>
      <c r="B8982" s="1012" t="s">
        <v>3800</v>
      </c>
      <c r="C8982" s="851">
        <v>141.63329999999999</v>
      </c>
      <c r="D8982" s="1026">
        <v>275.5</v>
      </c>
      <c r="E8982" s="909">
        <v>0.94516402569169844</v>
      </c>
      <c r="F8982" s="946">
        <v>3.3080740899209447E-2</v>
      </c>
      <c r="H8982" t="str">
        <f>VLOOKUP(B8982,indexy!$A$44:$D$823,3,FALSE)</f>
        <v>ROG SE Equity</v>
      </c>
      <c r="I8982" s="347">
        <v>147.80000000000001</v>
      </c>
      <c r="J8982" s="347">
        <v>137</v>
      </c>
      <c r="K8982" s="158">
        <v>140.1</v>
      </c>
    </row>
    <row r="8983" spans="1:15" hidden="1" outlineLevel="1" x14ac:dyDescent="0.25">
      <c r="A8983" s="849">
        <v>0.04</v>
      </c>
      <c r="B8983" s="706" t="s">
        <v>1857</v>
      </c>
      <c r="C8983" s="851">
        <v>1155.67</v>
      </c>
      <c r="D8983" s="1026">
        <v>1434</v>
      </c>
      <c r="E8983" s="909">
        <v>0.24083864771085173</v>
      </c>
      <c r="F8983" s="946">
        <v>9.6335459084340696E-3</v>
      </c>
      <c r="H8983" t="str">
        <f>VLOOKUP(B8983,indexy!$A$44:$D$823,3,FALSE)</f>
        <v>SSE LN Equity</v>
      </c>
      <c r="I8983" s="347">
        <v>1177</v>
      </c>
      <c r="J8983" s="347">
        <v>1129</v>
      </c>
      <c r="K8983" s="158">
        <v>1161</v>
      </c>
    </row>
    <row r="8984" spans="1:15" hidden="1" outlineLevel="1" x14ac:dyDescent="0.25">
      <c r="A8984" s="849">
        <v>2.5000000000000001E-2</v>
      </c>
      <c r="B8984" s="1012" t="s">
        <v>1239</v>
      </c>
      <c r="C8984" s="851">
        <v>390.9</v>
      </c>
      <c r="D8984" s="1026">
        <v>507</v>
      </c>
      <c r="E8984" s="909">
        <v>0.29700690713737532</v>
      </c>
      <c r="F8984" s="946">
        <v>7.4251726784343832E-3</v>
      </c>
      <c r="H8984" t="str">
        <f>VLOOKUP(B8984,indexy!$A$44:$D$823,3,FALSE)</f>
        <v>SCMN SE Equity</v>
      </c>
      <c r="I8984" s="347">
        <v>381.2</v>
      </c>
      <c r="J8984" s="347">
        <v>395.3</v>
      </c>
      <c r="K8984" s="158">
        <v>396.2</v>
      </c>
    </row>
    <row r="8985" spans="1:15" hidden="1" outlineLevel="1" x14ac:dyDescent="0.25">
      <c r="A8985" s="849">
        <v>0.03</v>
      </c>
      <c r="B8985" s="1012" t="s">
        <v>3022</v>
      </c>
      <c r="C8985" s="851">
        <v>3915</v>
      </c>
      <c r="D8985" s="1026">
        <v>5983</v>
      </c>
      <c r="E8985" s="909">
        <v>0.52822477650063848</v>
      </c>
      <c r="F8985" s="946">
        <v>1.5846743295019155E-2</v>
      </c>
      <c r="H8985" t="str">
        <f>VLOOKUP(B8985,indexy!$A$44:$D$823,3,FALSE)</f>
        <v>4502 JT Equity</v>
      </c>
      <c r="I8985" s="347">
        <v>3935</v>
      </c>
      <c r="J8985" s="347">
        <v>3955</v>
      </c>
      <c r="K8985" s="158">
        <v>3855</v>
      </c>
    </row>
    <row r="8986" spans="1:15" hidden="1" outlineLevel="1" x14ac:dyDescent="0.25">
      <c r="A8986" s="849">
        <v>0.03</v>
      </c>
      <c r="B8986" s="1012" t="s">
        <v>577</v>
      </c>
      <c r="C8986" s="851">
        <v>17.265000000000001</v>
      </c>
      <c r="D8986" s="1026">
        <v>11.675000000000001</v>
      </c>
      <c r="E8986" s="909">
        <v>-0.32377642629597447</v>
      </c>
      <c r="F8986" s="946">
        <v>-9.7132927888792346E-3</v>
      </c>
      <c r="H8986" t="str">
        <f>VLOOKUP(B8986,indexy!$A$44:$D$823,3,FALSE)</f>
        <v>TEF SQ Equity</v>
      </c>
      <c r="I8986" s="347">
        <v>15.98</v>
      </c>
      <c r="J8986" s="347">
        <v>17.89</v>
      </c>
      <c r="K8986" s="158">
        <v>17.925000000000001</v>
      </c>
    </row>
    <row r="8987" spans="1:15" hidden="1" outlineLevel="1" x14ac:dyDescent="0.25">
      <c r="A8987" s="849">
        <v>3.5000000000000003E-2</v>
      </c>
      <c r="B8987" s="1012" t="s">
        <v>719</v>
      </c>
      <c r="C8987" s="851">
        <v>36.583300000000001</v>
      </c>
      <c r="D8987" s="1026">
        <v>61.56</v>
      </c>
      <c r="E8987" s="909">
        <v>0.68273501843737439</v>
      </c>
      <c r="F8987" s="946">
        <v>2.3895725645308105E-2</v>
      </c>
      <c r="H8987" t="str">
        <f>VLOOKUP(B8987,indexy!$A$44:$D$823,3,FALSE)</f>
        <v>DG FP Equity</v>
      </c>
      <c r="I8987" s="347">
        <v>34.945</v>
      </c>
      <c r="J8987" s="347">
        <v>38.534999999999997</v>
      </c>
      <c r="K8987" s="158">
        <v>36.270000000000003</v>
      </c>
    </row>
    <row r="8988" spans="1:15" hidden="1" outlineLevel="1" x14ac:dyDescent="0.25">
      <c r="A8988" s="849">
        <v>3.5000000000000003E-2</v>
      </c>
      <c r="B8988" s="1012" t="s">
        <v>579</v>
      </c>
      <c r="C8988" s="851">
        <v>150.27000000000001</v>
      </c>
      <c r="D8988" s="1026">
        <v>224.25</v>
      </c>
      <c r="E8988" s="909">
        <v>0.49231383509682569</v>
      </c>
      <c r="F8988" s="946">
        <v>1.7230984228388899E-2</v>
      </c>
      <c r="H8988" t="str">
        <f>VLOOKUP(B8988,indexy!$A$44:$D$823,3,FALSE)</f>
        <v>VOD LN Equity</v>
      </c>
      <c r="I8988" s="347">
        <v>141.9</v>
      </c>
      <c r="J8988" s="347">
        <v>150.9</v>
      </c>
      <c r="K8988" s="158">
        <v>158</v>
      </c>
    </row>
    <row r="8989" spans="1:15" hidden="1" outlineLevel="1" x14ac:dyDescent="0.25">
      <c r="A8989" s="990">
        <v>2.5000000000000001E-2</v>
      </c>
      <c r="B8989" s="1320" t="s">
        <v>4550</v>
      </c>
      <c r="C8989" s="1041">
        <v>241.6</v>
      </c>
      <c r="D8989" s="1321">
        <v>270.89999999999998</v>
      </c>
      <c r="E8989" s="498">
        <v>0.12127483443708598</v>
      </c>
      <c r="F8989" s="946">
        <v>3.0318708609271498E-3</v>
      </c>
      <c r="H8989" t="str">
        <f>VLOOKUP(B8989,indexy!$A$44:$D$823,3,FALSE)</f>
        <v>ZURN SE Equity</v>
      </c>
      <c r="I8989" s="347">
        <v>242</v>
      </c>
      <c r="J8989" s="347">
        <v>248.3</v>
      </c>
      <c r="K8989" s="158">
        <v>234.5</v>
      </c>
    </row>
    <row r="8990" spans="1:15" hidden="1" outlineLevel="1" x14ac:dyDescent="0.25">
      <c r="A8990" s="1022"/>
      <c r="B8990" s="1022"/>
      <c r="C8990" s="1022"/>
      <c r="D8990" s="1022"/>
      <c r="E8990" s="1022"/>
      <c r="F8990" s="731">
        <v>0.47853292706086176</v>
      </c>
    </row>
    <row r="8991" spans="1:15" collapsed="1" x14ac:dyDescent="0.25">
      <c r="A8991" s="3801" t="s">
        <v>3923</v>
      </c>
      <c r="B8991" s="3802"/>
      <c r="C8991" s="3802"/>
      <c r="D8991" s="3802"/>
      <c r="E8991" s="721"/>
      <c r="F8991" s="752">
        <f>IF(O8979&lt;0,0,IF(O8979&gt;0,O8979))</f>
        <v>0.26069293333333327</v>
      </c>
    </row>
    <row r="8993" spans="1:8" hidden="1" outlineLevel="1" x14ac:dyDescent="0.25">
      <c r="A8993" s="1405" t="s">
        <v>113</v>
      </c>
      <c r="B8993" s="1405" t="s">
        <v>114</v>
      </c>
      <c r="C8993" s="1405" t="s">
        <v>112</v>
      </c>
      <c r="D8993" s="1405" t="s">
        <v>116</v>
      </c>
      <c r="E8993" s="1405" t="s">
        <v>117</v>
      </c>
      <c r="F8993" s="1883" t="s">
        <v>121</v>
      </c>
      <c r="G8993" s="78"/>
    </row>
    <row r="8994" spans="1:8" hidden="1" outlineLevel="1" x14ac:dyDescent="0.25">
      <c r="A8994" s="1411"/>
      <c r="B8994" s="1411"/>
      <c r="C8994" s="1412"/>
      <c r="D8994" s="1344" t="s">
        <v>3702</v>
      </c>
      <c r="E8994" s="1413">
        <v>42475</v>
      </c>
      <c r="F8994" s="1414"/>
      <c r="G8994" s="78"/>
    </row>
    <row r="8995" spans="1:8" hidden="1" outlineLevel="1" x14ac:dyDescent="0.25">
      <c r="A8995" s="1415" t="s">
        <v>4156</v>
      </c>
      <c r="B8995" s="1405" t="s">
        <v>4153</v>
      </c>
      <c r="C8995" s="352" t="s">
        <v>112</v>
      </c>
      <c r="D8995" s="1405" t="s">
        <v>4155</v>
      </c>
      <c r="E8995" s="1415" t="s">
        <v>4154</v>
      </c>
      <c r="F8995" s="1437" t="s">
        <v>734</v>
      </c>
      <c r="G8995" s="78"/>
    </row>
    <row r="8996" spans="1:8" hidden="1" outlineLevel="1" x14ac:dyDescent="0.25">
      <c r="A8996" s="1444">
        <v>2.5000000000000001E-2</v>
      </c>
      <c r="B8996" s="1445" t="s">
        <v>1995</v>
      </c>
      <c r="C8996" s="1341">
        <v>51.003999999999998</v>
      </c>
      <c r="D8996" s="1446">
        <v>43.41</v>
      </c>
      <c r="E8996" s="1418">
        <v>-0.14889028311504982</v>
      </c>
      <c r="F8996" s="1437">
        <v>-0.14889028311504982</v>
      </c>
      <c r="G8996" s="78"/>
      <c r="H8996" t="str">
        <f>VLOOKUP(B8996,indexy!$A$44:$D$823,3,FALSE)</f>
        <v>ABT UN Equity</v>
      </c>
    </row>
    <row r="8997" spans="1:8" hidden="1" outlineLevel="1" x14ac:dyDescent="0.25">
      <c r="A8997" s="1435">
        <v>4.4999999999999998E-2</v>
      </c>
      <c r="B8997" s="1447" t="s">
        <v>359</v>
      </c>
      <c r="C8997" s="1342">
        <v>84.186000000000007</v>
      </c>
      <c r="D8997" s="1446">
        <v>147.55000000000001</v>
      </c>
      <c r="E8997" s="1427">
        <v>0.75266671418050501</v>
      </c>
      <c r="F8997" s="1426">
        <v>0.06</v>
      </c>
      <c r="G8997" s="78"/>
      <c r="H8997" t="str">
        <f>VLOOKUP(B8997,indexy!$A$44:$D$823,3,FALSE)</f>
        <v>ALV GY Equity</v>
      </c>
    </row>
    <row r="8998" spans="1:8" hidden="1" outlineLevel="1" x14ac:dyDescent="0.25">
      <c r="A8998" s="1435">
        <v>3.5000000000000003E-2</v>
      </c>
      <c r="B8998" s="1447" t="s">
        <v>157</v>
      </c>
      <c r="C8998" s="1342">
        <v>9.8513999999999999</v>
      </c>
      <c r="D8998" s="1446">
        <v>4.0570000000000004</v>
      </c>
      <c r="E8998" s="1427">
        <v>-0.58818036015185649</v>
      </c>
      <c r="F8998" s="1426">
        <v>-0.58818036015185649</v>
      </c>
      <c r="G8998" s="78"/>
      <c r="H8998" t="str">
        <f>VLOOKUP(B8998,indexy!$A$44:$D$823,3,FALSE)</f>
        <v>SAN SM Equity</v>
      </c>
    </row>
    <row r="8999" spans="1:8" hidden="1" outlineLevel="1" x14ac:dyDescent="0.25">
      <c r="A8999" s="1435">
        <v>0.04</v>
      </c>
      <c r="B8999" s="1447" t="s">
        <v>53</v>
      </c>
      <c r="C8999" s="1342">
        <v>44.088999999999999</v>
      </c>
      <c r="D8999" s="1446">
        <v>62.16</v>
      </c>
      <c r="E8999" s="1427">
        <v>0.40987547914445788</v>
      </c>
      <c r="F8999" s="1426">
        <v>0.06</v>
      </c>
      <c r="G8999" s="78"/>
      <c r="H8999" t="str">
        <f>VLOOKUP(B8999,indexy!$A$44:$D$823,3,FALSE)</f>
        <v>BN FP Equity</v>
      </c>
    </row>
    <row r="9000" spans="1:8" hidden="1" outlineLevel="1" x14ac:dyDescent="0.25">
      <c r="A9000" s="1435">
        <v>4.4999999999999998E-2</v>
      </c>
      <c r="B9000" s="1448" t="s">
        <v>2699</v>
      </c>
      <c r="C9000" s="1342">
        <v>13.451000000000001</v>
      </c>
      <c r="D9000" s="1446">
        <v>25.225000000000001</v>
      </c>
      <c r="E9000" s="1427">
        <v>0.87532525462790867</v>
      </c>
      <c r="F9000" s="1426">
        <v>0.06</v>
      </c>
      <c r="G9000" s="78"/>
      <c r="H9000" t="str">
        <f>VLOOKUP(B9000,indexy!$A$44:$D$823,3,FALSE)</f>
        <v>DHL GR Equity</v>
      </c>
    </row>
    <row r="9001" spans="1:8" hidden="1" outlineLevel="1" x14ac:dyDescent="0.25">
      <c r="A9001" s="1435">
        <v>2.5000000000000001E-2</v>
      </c>
      <c r="B9001" s="1447" t="s">
        <v>3406</v>
      </c>
      <c r="C9001" s="1342">
        <v>1095</v>
      </c>
      <c r="D9001" s="1446">
        <v>1933</v>
      </c>
      <c r="E9001" s="1427">
        <v>0.76529680365296793</v>
      </c>
      <c r="F9001" s="1426">
        <v>0.06</v>
      </c>
      <c r="G9001" s="78"/>
      <c r="H9001" t="str">
        <f>VLOOKUP(B9001,indexy!$A$44:$D$823,3,FALSE)</f>
        <v>DGE LN Equity</v>
      </c>
    </row>
    <row r="9002" spans="1:8" hidden="1" outlineLevel="1" x14ac:dyDescent="0.25">
      <c r="A9002" s="1435">
        <v>3.5000000000000003E-2</v>
      </c>
      <c r="B9002" s="1447" t="s">
        <v>4387</v>
      </c>
      <c r="C9002" s="1342">
        <v>23.347000000000001</v>
      </c>
      <c r="D9002" s="1446">
        <v>8.8719999999999999</v>
      </c>
      <c r="E9002" s="1427">
        <v>-0.61999400351222855</v>
      </c>
      <c r="F9002" s="1426">
        <v>-0.61999400351222855</v>
      </c>
      <c r="G9002" s="78"/>
      <c r="H9002" t="str">
        <f>VLOOKUP(B9002,indexy!$A$44:$D$823,3,FALSE)</f>
        <v>EOAN GY Equity</v>
      </c>
    </row>
    <row r="9003" spans="1:8" hidden="1" outlineLevel="1" x14ac:dyDescent="0.25">
      <c r="A9003" s="1435">
        <v>0.04</v>
      </c>
      <c r="B9003" s="1447" t="s">
        <v>3798</v>
      </c>
      <c r="C9003" s="1342">
        <v>3.94</v>
      </c>
      <c r="D9003" s="1446">
        <v>3.8079999999999998</v>
      </c>
      <c r="E9003" s="1427">
        <v>-3.3502538071066068E-2</v>
      </c>
      <c r="F9003" s="1426">
        <v>-3.3502538071066068E-2</v>
      </c>
      <c r="G9003" s="78"/>
      <c r="H9003" t="str">
        <f>VLOOKUP(B9003,indexy!$A$44:$D$823,3,FALSE)</f>
        <v>ENEL IM Equity</v>
      </c>
    </row>
    <row r="9004" spans="1:8" hidden="1" outlineLevel="1" x14ac:dyDescent="0.25">
      <c r="A9004" s="1435">
        <v>0.03</v>
      </c>
      <c r="B9004" s="1447" t="s">
        <v>7227</v>
      </c>
      <c r="C9004" s="1342">
        <v>26.651</v>
      </c>
      <c r="D9004" s="1446">
        <v>13.875</v>
      </c>
      <c r="E9004" s="1427">
        <v>-0.47938163671156808</v>
      </c>
      <c r="F9004" s="1426">
        <v>-0.47938163671156808</v>
      </c>
      <c r="G9004" s="78"/>
      <c r="H9004" t="str">
        <f>VLOOKUP(B9004,indexy!$A$44:$D$823,3,FALSE)</f>
        <v>ENGI FP Equity</v>
      </c>
    </row>
    <row r="9005" spans="1:8" hidden="1" outlineLevel="1" x14ac:dyDescent="0.25">
      <c r="A9005" s="1435">
        <v>0.03</v>
      </c>
      <c r="B9005" s="1447" t="s">
        <v>307</v>
      </c>
      <c r="C9005" s="1342">
        <v>29.57</v>
      </c>
      <c r="D9005" s="1446">
        <v>135.01</v>
      </c>
      <c r="E9005" s="1427">
        <v>3.5657761244504558</v>
      </c>
      <c r="F9005" s="1426">
        <v>0.06</v>
      </c>
      <c r="G9005" s="78"/>
      <c r="H9005" t="str">
        <f>VLOOKUP(B9005,indexy!$A$44:$D$823,3,FALSE)</f>
        <v>HD UN Equity</v>
      </c>
    </row>
    <row r="9006" spans="1:8" hidden="1" outlineLevel="1" x14ac:dyDescent="0.25">
      <c r="A9006" s="1435">
        <v>3.5000000000000003E-2</v>
      </c>
      <c r="B9006" s="1447" t="s">
        <v>1771</v>
      </c>
      <c r="C9006" s="1342">
        <v>663.64</v>
      </c>
      <c r="D9006" s="1446">
        <v>450.5</v>
      </c>
      <c r="E9006" s="1427">
        <v>-0.32116810318847566</v>
      </c>
      <c r="F9006" s="1426">
        <v>-0.32116810318847566</v>
      </c>
      <c r="G9006" s="78"/>
      <c r="H9006" t="str">
        <f>VLOOKUP(B9006,indexy!$A$44:$D$823,3,FALSE)</f>
        <v>HSBA LN Equity</v>
      </c>
    </row>
    <row r="9007" spans="1:8" hidden="1" outlineLevel="1" x14ac:dyDescent="0.25">
      <c r="A9007" s="1435">
        <v>0.03</v>
      </c>
      <c r="B9007" s="1429" t="s">
        <v>1031</v>
      </c>
      <c r="C9007" s="1342">
        <v>5.7165999999999997</v>
      </c>
      <c r="D9007" s="1446">
        <v>5.9489999999999998</v>
      </c>
      <c r="E9007" s="1427">
        <v>4.0653535318196266E-2</v>
      </c>
      <c r="F9007" s="1426">
        <v>0.06</v>
      </c>
      <c r="G9007" s="78"/>
      <c r="H9007" t="str">
        <f>VLOOKUP(B9007,indexy!$A$44:$D$823,3,FALSE)</f>
        <v>IBE SQ Equity</v>
      </c>
    </row>
    <row r="9008" spans="1:8" hidden="1" outlineLevel="1" x14ac:dyDescent="0.25">
      <c r="A9008" s="1435">
        <v>0.03</v>
      </c>
      <c r="B9008" s="1447" t="s">
        <v>52</v>
      </c>
      <c r="C9008" s="1342">
        <v>127.19799999999999</v>
      </c>
      <c r="D9008" s="1446">
        <v>151.72</v>
      </c>
      <c r="E9008" s="1427">
        <v>0.19278605009512728</v>
      </c>
      <c r="F9008" s="1426">
        <v>0.06</v>
      </c>
      <c r="G9008" s="78"/>
      <c r="H9008" t="str">
        <f>VLOOKUP(B9008,indexy!$A$44:$D$823,3,FALSE)</f>
        <v>IBM UN Equity</v>
      </c>
    </row>
    <row r="9009" spans="1:8" hidden="1" outlineLevel="1" x14ac:dyDescent="0.25">
      <c r="A9009" s="1435">
        <v>0.03</v>
      </c>
      <c r="B9009" s="1447" t="s">
        <v>4034</v>
      </c>
      <c r="C9009" s="1342">
        <v>9.9385999999999992</v>
      </c>
      <c r="D9009" s="1446">
        <v>19.965</v>
      </c>
      <c r="E9009" s="1427">
        <v>1.0088342422473993</v>
      </c>
      <c r="F9009" s="1426">
        <v>0.06</v>
      </c>
      <c r="G9009" s="78"/>
      <c r="H9009" t="str">
        <f>VLOOKUP(B9009,indexy!$A$44:$D$823,3,FALSE)</f>
        <v>AD NA Equity</v>
      </c>
    </row>
    <row r="9010" spans="1:8" hidden="1" outlineLevel="1" x14ac:dyDescent="0.25">
      <c r="A9010" s="1435">
        <v>3.5000000000000003E-2</v>
      </c>
      <c r="B9010" s="1447" t="s">
        <v>4143</v>
      </c>
      <c r="C9010" s="1342">
        <v>11.375</v>
      </c>
      <c r="D9010" s="1446">
        <v>3.4849999999999999</v>
      </c>
      <c r="E9010" s="1427">
        <v>-0.69362637362637369</v>
      </c>
      <c r="F9010" s="1426">
        <v>-0.69362637362637369</v>
      </c>
      <c r="G9010" s="78"/>
      <c r="H9010" t="str">
        <f>VLOOKUP(B9010,indexy!$A$44:$D$823,3,FALSE)</f>
        <v>KPN NA Equity</v>
      </c>
    </row>
    <row r="9011" spans="1:8" hidden="1" outlineLevel="1" x14ac:dyDescent="0.25">
      <c r="A9011" s="1435">
        <v>2.5000000000000001E-2</v>
      </c>
      <c r="B9011" s="1420" t="s">
        <v>7573</v>
      </c>
      <c r="C9011" s="1342">
        <v>30.68</v>
      </c>
      <c r="D9011" s="1446">
        <v>78.05</v>
      </c>
      <c r="E9011" s="1427">
        <v>1.5440026075619295</v>
      </c>
      <c r="F9011" s="1426">
        <v>0.06</v>
      </c>
      <c r="G9011" s="78"/>
      <c r="H9011" t="str">
        <f>VLOOKUP(B9011,indexy!$A$44:$D$823,3,FALSE)</f>
        <v>KHC UW Equity</v>
      </c>
    </row>
    <row r="9012" spans="1:8" hidden="1" outlineLevel="1" x14ac:dyDescent="0.25">
      <c r="A9012" s="1435">
        <v>0.04</v>
      </c>
      <c r="B9012" s="1447" t="s">
        <v>1772</v>
      </c>
      <c r="C9012" s="1342">
        <v>103.18</v>
      </c>
      <c r="D9012" s="1446">
        <v>181.05</v>
      </c>
      <c r="E9012" s="1427">
        <v>0.75470052335723969</v>
      </c>
      <c r="F9012" s="1426">
        <v>0.06</v>
      </c>
      <c r="G9012" s="78"/>
      <c r="H9012" t="str">
        <f>VLOOKUP(B9012,indexy!$A$44:$D$823,3,FALSE)</f>
        <v>MUV2 GY Equity</v>
      </c>
    </row>
    <row r="9013" spans="1:8" hidden="1" outlineLevel="1" x14ac:dyDescent="0.25">
      <c r="A9013" s="1435">
        <v>0.03</v>
      </c>
      <c r="B9013" s="1447" t="s">
        <v>2786</v>
      </c>
      <c r="C9013" s="1342">
        <v>554.70000000000005</v>
      </c>
      <c r="D9013" s="1446">
        <v>1000.5</v>
      </c>
      <c r="E9013" s="1427">
        <v>0.80367766360194692</v>
      </c>
      <c r="F9013" s="1426">
        <v>0.06</v>
      </c>
      <c r="G9013" s="78"/>
      <c r="H9013" t="str">
        <f>VLOOKUP(B9013,indexy!$A$44:$D$823,3,FALSE)</f>
        <v>NG/ LN Equity</v>
      </c>
    </row>
    <row r="9014" spans="1:8" hidden="1" outlineLevel="1" x14ac:dyDescent="0.25">
      <c r="A9014" s="1435">
        <v>0.03</v>
      </c>
      <c r="B9014" s="1447" t="s">
        <v>3797</v>
      </c>
      <c r="C9014" s="1342">
        <v>53.79</v>
      </c>
      <c r="D9014" s="1446">
        <v>72.7</v>
      </c>
      <c r="E9014" s="1427">
        <v>0.35155233314742529</v>
      </c>
      <c r="F9014" s="1426">
        <v>0.06</v>
      </c>
      <c r="G9014" s="78"/>
      <c r="H9014" t="str">
        <f>VLOOKUP(B9014,indexy!$A$44:$D$823,3,FALSE)</f>
        <v>NESN SE Equity</v>
      </c>
    </row>
    <row r="9015" spans="1:8" hidden="1" outlineLevel="1" x14ac:dyDescent="0.25">
      <c r="A9015" s="1435">
        <v>0.03</v>
      </c>
      <c r="B9015" s="1447" t="s">
        <v>2787</v>
      </c>
      <c r="C9015" s="1342">
        <v>54.58</v>
      </c>
      <c r="D9015" s="1446">
        <v>73.150000000000006</v>
      </c>
      <c r="E9015" s="1427">
        <v>0.34023451813851247</v>
      </c>
      <c r="F9015" s="1426">
        <v>0.06</v>
      </c>
      <c r="G9015" s="78"/>
      <c r="H9015" t="str">
        <f>VLOOKUP(B9015,indexy!$A$44:$D$823,3,FALSE)</f>
        <v>NOVN SE Equity</v>
      </c>
    </row>
    <row r="9016" spans="1:8" hidden="1" outlineLevel="1" x14ac:dyDescent="0.25">
      <c r="A9016" s="1435">
        <v>0.04</v>
      </c>
      <c r="B9016" s="1447" t="s">
        <v>1204</v>
      </c>
      <c r="C9016" s="1342">
        <v>65.933999999999997</v>
      </c>
      <c r="D9016" s="1446">
        <v>103.77</v>
      </c>
      <c r="E9016" s="1427">
        <v>0.57384657384657389</v>
      </c>
      <c r="F9016" s="1426">
        <v>0.06</v>
      </c>
      <c r="G9016" s="78"/>
      <c r="H9016" t="str">
        <f>VLOOKUP(B9016,indexy!$A$44:$D$823,3,FALSE)</f>
        <v>PEP UW Equity</v>
      </c>
    </row>
    <row r="9017" spans="1:8" hidden="1" outlineLevel="1" x14ac:dyDescent="0.25">
      <c r="A9017" s="1435">
        <v>3.5000000000000003E-2</v>
      </c>
      <c r="B9017" s="1447" t="s">
        <v>3800</v>
      </c>
      <c r="C9017" s="1342">
        <v>143.52000000000001</v>
      </c>
      <c r="D9017" s="1446">
        <v>248.1</v>
      </c>
      <c r="E9017" s="1427">
        <v>0.72867892976588622</v>
      </c>
      <c r="F9017" s="1426">
        <v>0.06</v>
      </c>
      <c r="G9017" s="78"/>
      <c r="H9017" t="str">
        <f>VLOOKUP(B9017,indexy!$A$44:$D$823,3,FALSE)</f>
        <v>ROG SE Equity</v>
      </c>
    </row>
    <row r="9018" spans="1:8" hidden="1" outlineLevel="1" x14ac:dyDescent="0.25">
      <c r="A9018" s="1435">
        <v>0.04</v>
      </c>
      <c r="B9018" s="1428" t="s">
        <v>1857</v>
      </c>
      <c r="C9018" s="1342">
        <v>1172</v>
      </c>
      <c r="D9018" s="1446">
        <v>1526</v>
      </c>
      <c r="E9018" s="1427">
        <v>0.30204778156996581</v>
      </c>
      <c r="F9018" s="1426">
        <v>0.06</v>
      </c>
      <c r="G9018" s="78"/>
      <c r="H9018" t="str">
        <f>VLOOKUP(B9018,indexy!$A$44:$D$823,3,FALSE)</f>
        <v>SSE LN Equity</v>
      </c>
    </row>
    <row r="9019" spans="1:8" hidden="1" outlineLevel="1" x14ac:dyDescent="0.25">
      <c r="A9019" s="1435">
        <v>2.5000000000000001E-2</v>
      </c>
      <c r="B9019" s="1428" t="s">
        <v>1239</v>
      </c>
      <c r="C9019" s="1342">
        <v>395.24</v>
      </c>
      <c r="D9019" s="1446">
        <v>495.2</v>
      </c>
      <c r="E9019" s="1427">
        <v>0.25290962453193</v>
      </c>
      <c r="F9019" s="1426">
        <v>0.06</v>
      </c>
      <c r="G9019" s="78"/>
      <c r="H9019" t="str">
        <f>VLOOKUP(B9019,indexy!$A$44:$D$823,3,FALSE)</f>
        <v>SCMN SE Equity</v>
      </c>
    </row>
    <row r="9020" spans="1:8" hidden="1" outlineLevel="1" x14ac:dyDescent="0.25">
      <c r="A9020" s="1435">
        <v>0.03</v>
      </c>
      <c r="B9020" s="1447" t="s">
        <v>3022</v>
      </c>
      <c r="C9020" s="1342">
        <v>3980</v>
      </c>
      <c r="D9020" s="1446">
        <v>5427</v>
      </c>
      <c r="E9020" s="1427">
        <v>0.36356783919597979</v>
      </c>
      <c r="F9020" s="1426">
        <v>0.06</v>
      </c>
      <c r="G9020" s="78"/>
      <c r="H9020" t="str">
        <f>VLOOKUP(B9020,indexy!$A$44:$D$823,3,FALSE)</f>
        <v>4502 JT Equity</v>
      </c>
    </row>
    <row r="9021" spans="1:8" hidden="1" outlineLevel="1" x14ac:dyDescent="0.25">
      <c r="A9021" s="1435">
        <v>0.03</v>
      </c>
      <c r="B9021" s="1447" t="s">
        <v>577</v>
      </c>
      <c r="C9021" s="1342">
        <v>17.956</v>
      </c>
      <c r="D9021" s="1446">
        <v>9.6349999999999998</v>
      </c>
      <c r="E9021" s="1427">
        <v>-0.46341055914457563</v>
      </c>
      <c r="F9021" s="1426">
        <v>-0.46341055914457563</v>
      </c>
      <c r="G9021" s="78"/>
      <c r="H9021" t="str">
        <f>VLOOKUP(B9021,indexy!$A$44:$D$823,3,FALSE)</f>
        <v>TEF SQ Equity</v>
      </c>
    </row>
    <row r="9022" spans="1:8" hidden="1" outlineLevel="1" x14ac:dyDescent="0.25">
      <c r="A9022" s="1435">
        <v>0.04</v>
      </c>
      <c r="B9022" s="1447" t="s">
        <v>1183</v>
      </c>
      <c r="C9022" s="1342">
        <v>38.881</v>
      </c>
      <c r="D9022" s="1446">
        <v>42.545000000000002</v>
      </c>
      <c r="E9022" s="1427">
        <v>9.423625935546931E-2</v>
      </c>
      <c r="F9022" s="1426">
        <v>0.06</v>
      </c>
      <c r="G9022" s="78"/>
      <c r="H9022" t="e">
        <f>VLOOKUP(B9022,indexy!$A$44:$D$823,3,FALSE)</f>
        <v>#N/A</v>
      </c>
    </row>
    <row r="9023" spans="1:8" hidden="1" outlineLevel="1" x14ac:dyDescent="0.25">
      <c r="A9023" s="1435">
        <v>3.5000000000000003E-2</v>
      </c>
      <c r="B9023" s="1447" t="s">
        <v>719</v>
      </c>
      <c r="C9023" s="1342">
        <v>37.085999999999999</v>
      </c>
      <c r="D9023" s="1446">
        <v>65.95</v>
      </c>
      <c r="E9023" s="1449">
        <v>0.77829908860486441</v>
      </c>
      <c r="F9023" s="1426">
        <v>0.06</v>
      </c>
      <c r="G9023" s="78"/>
      <c r="H9023" t="str">
        <f>VLOOKUP(B9023,indexy!$A$44:$D$823,3,FALSE)</f>
        <v>DG FP Equity</v>
      </c>
    </row>
    <row r="9024" spans="1:8" hidden="1" outlineLevel="1" x14ac:dyDescent="0.25">
      <c r="A9024" s="1435">
        <v>3.5000000000000003E-2</v>
      </c>
      <c r="B9024" s="1447" t="s">
        <v>579</v>
      </c>
      <c r="C9024" s="1342">
        <v>159.91999999999999</v>
      </c>
      <c r="D9024" s="1446">
        <v>229.75</v>
      </c>
      <c r="E9024" s="1449">
        <v>0.43665582791395718</v>
      </c>
      <c r="F9024" s="1426">
        <v>0.06</v>
      </c>
      <c r="G9024" s="78"/>
      <c r="H9024" t="str">
        <f>VLOOKUP(B9024,indexy!$A$44:$D$823,3,FALSE)</f>
        <v>VOD LN Equity</v>
      </c>
    </row>
    <row r="9025" spans="1:9" hidden="1" outlineLevel="1" x14ac:dyDescent="0.25">
      <c r="A9025" s="1450">
        <v>2.5000000000000001E-2</v>
      </c>
      <c r="B9025" s="1442" t="s">
        <v>4550</v>
      </c>
      <c r="C9025" s="1343">
        <v>236.22</v>
      </c>
      <c r="D9025" s="1451">
        <v>210.6</v>
      </c>
      <c r="E9025" s="1452">
        <v>-0.10845821691643387</v>
      </c>
      <c r="F9025" s="1834">
        <v>-0.10845821691643387</v>
      </c>
      <c r="G9025" s="78"/>
      <c r="H9025" t="str">
        <f>VLOOKUP(B9025,indexy!$A$44:$D$823,3,FALSE)</f>
        <v>ZURN SE Equity</v>
      </c>
    </row>
    <row r="9026" spans="1:9" hidden="1" outlineLevel="1" x14ac:dyDescent="0.25">
      <c r="A9026" s="1436" t="s">
        <v>2465</v>
      </c>
      <c r="B9026" s="1453"/>
      <c r="C9026" s="1454"/>
      <c r="D9026" s="1455"/>
      <c r="E9026" s="1434">
        <v>0.37688129367073686</v>
      </c>
      <c r="F9026" s="1436">
        <v>-7.1261489316076732E-2</v>
      </c>
      <c r="G9026" s="78"/>
    </row>
    <row r="9027" spans="1:9" hidden="1" outlineLevel="1" x14ac:dyDescent="0.25">
      <c r="A9027" s="1456"/>
      <c r="B9027" s="1431"/>
      <c r="C9027" s="1457"/>
      <c r="D9027" s="1458"/>
      <c r="E9027" s="1427"/>
      <c r="F9027" s="1884"/>
      <c r="G9027" s="78"/>
    </row>
    <row r="9028" spans="1:9" hidden="1" outlineLevel="1" x14ac:dyDescent="0.25">
      <c r="A9028" s="1459" t="s">
        <v>113</v>
      </c>
      <c r="B9028" s="1459"/>
      <c r="C9028" s="1460"/>
      <c r="D9028" s="1460"/>
      <c r="E9028" s="1461"/>
      <c r="F9028" s="1883"/>
      <c r="G9028" s="78"/>
    </row>
    <row r="9029" spans="1:9" hidden="1" outlineLevel="1" x14ac:dyDescent="0.25">
      <c r="A9029" s="1425" t="s">
        <v>4768</v>
      </c>
      <c r="B9029" s="1406"/>
      <c r="C9029" s="1407"/>
      <c r="D9029" s="1407"/>
      <c r="E9029" s="1407"/>
      <c r="F9029" s="1437">
        <v>0.03</v>
      </c>
      <c r="G9029" s="78"/>
    </row>
    <row r="9030" spans="1:9" hidden="1" outlineLevel="1" x14ac:dyDescent="0.25">
      <c r="A9030" s="1425" t="s">
        <v>4769</v>
      </c>
      <c r="B9030" s="1428"/>
      <c r="C9030" s="1433"/>
      <c r="D9030" s="1433"/>
      <c r="E9030" s="1433"/>
      <c r="F9030" s="1426">
        <v>0</v>
      </c>
      <c r="G9030" s="78"/>
    </row>
    <row r="9031" spans="1:9" hidden="1" outlineLevel="1" x14ac:dyDescent="0.25">
      <c r="A9031" s="1425" t="s">
        <v>4770</v>
      </c>
      <c r="B9031" s="1428"/>
      <c r="C9031" s="1433"/>
      <c r="D9031" s="1433"/>
      <c r="E9031" s="1433"/>
      <c r="F9031" s="1426">
        <v>0</v>
      </c>
      <c r="G9031" s="78"/>
    </row>
    <row r="9032" spans="1:9" hidden="1" outlineLevel="1" x14ac:dyDescent="0.25">
      <c r="A9032" s="1425" t="s">
        <v>4771</v>
      </c>
      <c r="B9032" s="1411"/>
      <c r="C9032" s="1433"/>
      <c r="D9032" s="1433"/>
      <c r="E9032" s="1433"/>
      <c r="F9032" s="1426">
        <v>0</v>
      </c>
      <c r="G9032" s="78"/>
    </row>
    <row r="9033" spans="1:9" hidden="1" outlineLevel="1" x14ac:dyDescent="0.25">
      <c r="A9033" s="1425" t="s">
        <v>4772</v>
      </c>
      <c r="B9033" s="1411"/>
      <c r="C9033" s="1433"/>
      <c r="D9033" s="1433"/>
      <c r="E9033" s="1433"/>
      <c r="F9033" s="1426">
        <v>0</v>
      </c>
      <c r="G9033" s="78"/>
    </row>
    <row r="9034" spans="1:9" collapsed="1" x14ac:dyDescent="0.25">
      <c r="A9034" s="3801" t="s">
        <v>2941</v>
      </c>
      <c r="B9034" s="3802"/>
      <c r="C9034" s="3802"/>
      <c r="D9034" s="3802"/>
      <c r="E9034" s="721"/>
      <c r="F9034" s="752">
        <v>0.03</v>
      </c>
      <c r="G9034" s="78"/>
    </row>
    <row r="9036" spans="1:9" hidden="1" outlineLevel="1" x14ac:dyDescent="0.25">
      <c r="A9036" s="689" t="s">
        <v>113</v>
      </c>
      <c r="B9036" s="689" t="s">
        <v>114</v>
      </c>
      <c r="C9036" s="689" t="s">
        <v>112</v>
      </c>
      <c r="D9036" s="495" t="s">
        <v>4155</v>
      </c>
      <c r="E9036" s="689" t="s">
        <v>116</v>
      </c>
      <c r="F9036" s="1021" t="s">
        <v>4154</v>
      </c>
      <c r="H9036" s="438" t="s">
        <v>5391</v>
      </c>
      <c r="I9036" s="438" t="s">
        <v>5392</v>
      </c>
    </row>
    <row r="9037" spans="1:9" hidden="1" outlineLevel="1" x14ac:dyDescent="0.25">
      <c r="A9037" s="732" t="s">
        <v>2401</v>
      </c>
      <c r="B9037" s="1092" t="s">
        <v>2153</v>
      </c>
      <c r="C9037" s="793">
        <v>2795.6660000000002</v>
      </c>
      <c r="D9037" s="3808">
        <v>3015.4</v>
      </c>
      <c r="E9037" s="867">
        <v>2185.3440000000001</v>
      </c>
      <c r="F9037" s="700">
        <v>-0.21831005563611683</v>
      </c>
      <c r="H9037" s="92">
        <f>IF(C9037="","",IF(E9037="",$D$9037/C9037-1,E9037/C9037-1))</f>
        <v>-0.21831005563611683</v>
      </c>
      <c r="I9037" s="439">
        <v>0.1</v>
      </c>
    </row>
    <row r="9038" spans="1:9" hidden="1" outlineLevel="1" x14ac:dyDescent="0.25">
      <c r="A9038" s="732" t="s">
        <v>2402</v>
      </c>
      <c r="B9038" s="1092" t="s">
        <v>2153</v>
      </c>
      <c r="C9038" s="1028">
        <v>2795.6660000000002</v>
      </c>
      <c r="D9038" s="3809"/>
      <c r="E9038" s="867">
        <v>2500.3679999999999</v>
      </c>
      <c r="F9038" s="1178">
        <v>-0.10562706703876656</v>
      </c>
      <c r="H9038" s="79">
        <f>IF(C9038="","",IF(E9038="",$D$9037/C9038-1,E9038/C9038-1))</f>
        <v>-0.10562706703876656</v>
      </c>
      <c r="I9038" s="440">
        <v>0.2</v>
      </c>
    </row>
    <row r="9039" spans="1:9" hidden="1" outlineLevel="1" x14ac:dyDescent="0.25">
      <c r="A9039" s="732" t="s">
        <v>2403</v>
      </c>
      <c r="B9039" s="1092" t="s">
        <v>2153</v>
      </c>
      <c r="C9039" s="1028">
        <v>2795.6660000000002</v>
      </c>
      <c r="D9039" s="3809"/>
      <c r="E9039" s="867">
        <v>2920.96</v>
      </c>
      <c r="F9039" s="1178">
        <v>0.3</v>
      </c>
      <c r="H9039" s="79">
        <f>IF(C9039="","",IF(E9039="",$D$9037/C9039-1,E9039/C9039-1))</f>
        <v>4.4817227809044402E-2</v>
      </c>
      <c r="I9039" s="440">
        <v>0.3</v>
      </c>
    </row>
    <row r="9040" spans="1:9" hidden="1" outlineLevel="1" x14ac:dyDescent="0.25">
      <c r="A9040" s="732" t="s">
        <v>2404</v>
      </c>
      <c r="B9040" s="1092" t="s">
        <v>2153</v>
      </c>
      <c r="C9040" s="1028">
        <v>2795.6660000000002</v>
      </c>
      <c r="D9040" s="3809"/>
      <c r="E9040" s="867"/>
      <c r="F9040" s="1178" t="s">
        <v>5590</v>
      </c>
      <c r="H9040" s="79">
        <f>IF(C9040="","",IF(E9040="",$D$9037/C9040-1,E9040/C9040-1))</f>
        <v>7.8598087182088161E-2</v>
      </c>
      <c r="I9040" s="440">
        <v>0.4</v>
      </c>
    </row>
    <row r="9041" spans="1:9" hidden="1" outlineLevel="1" x14ac:dyDescent="0.25">
      <c r="A9041" s="754" t="s">
        <v>2411</v>
      </c>
      <c r="B9041" s="1092" t="s">
        <v>2153</v>
      </c>
      <c r="C9041" s="1028" t="s">
        <v>5590</v>
      </c>
      <c r="D9041" s="3810"/>
      <c r="E9041" s="867"/>
      <c r="F9041" s="1107" t="s">
        <v>5590</v>
      </c>
      <c r="H9041" s="82" t="str">
        <f>IF(C9041="","",IF(E9041="",$D$9037/C9041-1,E9041/C9041-1))</f>
        <v/>
      </c>
      <c r="I9041" s="441">
        <v>0.5</v>
      </c>
    </row>
    <row r="9042" spans="1:9" hidden="1" outlineLevel="1" x14ac:dyDescent="0.25">
      <c r="A9042" s="690"/>
      <c r="B9042" s="695"/>
      <c r="C9042" s="793"/>
      <c r="D9042" s="839"/>
      <c r="E9042" s="693"/>
      <c r="F9042" s="856"/>
      <c r="H9042" s="37">
        <f>IF(H9041="",IF(H9040="",IF(H9039="",IF(H9038="",H9037,H9038),H9039),H9040),H9041)</f>
        <v>7.8598087182088161E-2</v>
      </c>
    </row>
    <row r="9043" spans="1:9" collapsed="1" x14ac:dyDescent="0.25">
      <c r="A9043" s="3801" t="s">
        <v>2405</v>
      </c>
      <c r="B9043" s="3802"/>
      <c r="C9043" s="3802"/>
      <c r="D9043" s="3802"/>
      <c r="E9043" s="729"/>
      <c r="F9043" s="752">
        <v>0.3</v>
      </c>
      <c r="G9043" s="175" t="s">
        <v>781</v>
      </c>
    </row>
    <row r="9045" spans="1:9" hidden="1" outlineLevel="1" x14ac:dyDescent="0.25">
      <c r="A9045" s="689" t="s">
        <v>113</v>
      </c>
      <c r="B9045" s="689" t="s">
        <v>114</v>
      </c>
      <c r="C9045" s="495" t="s">
        <v>112</v>
      </c>
      <c r="D9045" s="689" t="s">
        <v>4155</v>
      </c>
      <c r="E9045" s="689" t="s">
        <v>116</v>
      </c>
      <c r="F9045" s="1021" t="s">
        <v>121</v>
      </c>
      <c r="H9045" s="438" t="s">
        <v>5391</v>
      </c>
      <c r="I9045" s="438" t="s">
        <v>5392</v>
      </c>
    </row>
    <row r="9046" spans="1:9" hidden="1" outlineLevel="1" x14ac:dyDescent="0.25">
      <c r="A9046" s="753" t="s">
        <v>2406</v>
      </c>
      <c r="B9046" s="728" t="s">
        <v>2153</v>
      </c>
      <c r="C9046" s="800">
        <v>2769.0279999999998</v>
      </c>
      <c r="D9046" s="3805">
        <f>VLOOKUP(B9046,indexy!A:D,2,0)</f>
        <v>5083.42</v>
      </c>
      <c r="E9046" s="1255">
        <v>2121.71</v>
      </c>
      <c r="F9046" s="700">
        <f>IF(H9046="","",IF(H9046&lt;0%,H9046,I9046))</f>
        <v>-0.23377083944257693</v>
      </c>
      <c r="H9046" s="79">
        <f>IF(C9046="","",IF(E9046="",$D$9046/C9046-1,E9046/C9046-1))</f>
        <v>-0.23377083944257693</v>
      </c>
      <c r="I9046" s="439">
        <v>0.12</v>
      </c>
    </row>
    <row r="9047" spans="1:9" hidden="1" outlineLevel="1" x14ac:dyDescent="0.25">
      <c r="A9047" s="732" t="s">
        <v>2407</v>
      </c>
      <c r="B9047" s="728" t="s">
        <v>2153</v>
      </c>
      <c r="C9047" s="1028">
        <f>IF(E9046="","",C9046)</f>
        <v>2769.0279999999998</v>
      </c>
      <c r="D9047" s="3806"/>
      <c r="E9047" s="1255">
        <v>2519.3829999999998</v>
      </c>
      <c r="F9047" s="1178">
        <f>IF(F9046&gt;0%,"",IF(H9047="","",IF(H9047&lt;0%,H9047,I9047)))</f>
        <v>-9.0156184769529246E-2</v>
      </c>
      <c r="H9047" s="79">
        <f>IF(C9047="","",IF(E9047="",$D$9046/C9047-1,E9047/C9047-1))</f>
        <v>-9.0156184769529246E-2</v>
      </c>
      <c r="I9047" s="440">
        <v>0.24</v>
      </c>
    </row>
    <row r="9048" spans="1:9" hidden="1" outlineLevel="1" x14ac:dyDescent="0.25">
      <c r="A9048" s="732" t="s">
        <v>2408</v>
      </c>
      <c r="B9048" s="728" t="s">
        <v>2153</v>
      </c>
      <c r="C9048" s="1028">
        <f>IF(E9047="","",C9047)</f>
        <v>2769.0279999999998</v>
      </c>
      <c r="D9048" s="3806"/>
      <c r="E9048" s="1255">
        <v>2810.5680000000002</v>
      </c>
      <c r="F9048" s="1178">
        <f>IF(F9047&gt;0%,"",IF(H9048="","",IF(H9048&lt;0%,H9048,I9048)))</f>
        <v>0.36</v>
      </c>
      <c r="H9048" s="79">
        <f>IF(C9048="","",IF(E9048="",$D$9046/C9048-1,E9048/C9048-1))</f>
        <v>1.500165400999931E-2</v>
      </c>
      <c r="I9048" s="440">
        <v>0.36</v>
      </c>
    </row>
    <row r="9049" spans="1:9" hidden="1" outlineLevel="1" x14ac:dyDescent="0.25">
      <c r="A9049" s="732" t="s">
        <v>2409</v>
      </c>
      <c r="B9049" s="728" t="s">
        <v>2153</v>
      </c>
      <c r="C9049" s="1028">
        <f>IF(E9048="","",C9048)</f>
        <v>2769.0279999999998</v>
      </c>
      <c r="D9049" s="3806"/>
      <c r="E9049" s="1255"/>
      <c r="F9049" s="1178" t="str">
        <f>IF(F9048&gt;0%,"",IF(H9049="","",IF(H9049&lt;0%,H9049,I9049)))</f>
        <v/>
      </c>
      <c r="H9049" s="79">
        <f>IF(C9049="","",IF(E9049="",$D$9046/C9049-1,E9049/C9049-1))</f>
        <v>0.83581386681535919</v>
      </c>
      <c r="I9049" s="440">
        <v>0.48</v>
      </c>
    </row>
    <row r="9050" spans="1:9" hidden="1" outlineLevel="1" x14ac:dyDescent="0.25">
      <c r="A9050" s="754" t="s">
        <v>2410</v>
      </c>
      <c r="B9050" s="728" t="s">
        <v>2153</v>
      </c>
      <c r="C9050" s="806" t="str">
        <f>IF(E9049="","",C9049)</f>
        <v/>
      </c>
      <c r="D9050" s="3807"/>
      <c r="E9050" s="1255"/>
      <c r="F9050" s="1107" t="str">
        <f>IF(F9049&gt;0%,"",IF(H9050="","",IF(H9050&lt;0%,H9050,I9050)))</f>
        <v/>
      </c>
      <c r="H9050" s="82" t="str">
        <f>IF(C9050="","",IF(E9050="",$D$9046/C9050-1,E9050/C9050-1))</f>
        <v/>
      </c>
      <c r="I9050" s="441">
        <v>0.6</v>
      </c>
    </row>
    <row r="9051" spans="1:9" hidden="1" outlineLevel="1" x14ac:dyDescent="0.25">
      <c r="A9051" s="846"/>
      <c r="B9051" s="729"/>
      <c r="C9051" s="956"/>
      <c r="D9051" s="1249"/>
      <c r="E9051" s="693"/>
      <c r="F9051" s="856"/>
      <c r="H9051" s="37">
        <f>IF(H9050="",IF(H9049="",IF(H9048="",IF(H9047="",H9046,H9047),H9048),H9049),H9050)</f>
        <v>0.83581386681535919</v>
      </c>
    </row>
    <row r="9052" spans="1:9" collapsed="1" x14ac:dyDescent="0.25">
      <c r="A9052" s="3801" t="s">
        <v>381</v>
      </c>
      <c r="B9052" s="3802"/>
      <c r="C9052" s="3802"/>
      <c r="D9052" s="3802"/>
      <c r="E9052" s="729"/>
      <c r="F9052" s="752">
        <f>IF(F9050="",IF(F9049="",IF(F9048="",IF(F9047="",F9046,F9047),F9048),F9049),IF(F9050&lt;-50%,F9050,IF(F9050&lt;0%,0%,F9050)))</f>
        <v>0.36</v>
      </c>
      <c r="G9052" s="175" t="s">
        <v>781</v>
      </c>
      <c r="H9052" s="74"/>
    </row>
    <row r="9054" spans="1:9" hidden="1" outlineLevel="1" x14ac:dyDescent="0.25">
      <c r="A9054" s="1405" t="s">
        <v>113</v>
      </c>
      <c r="B9054" s="1405" t="s">
        <v>114</v>
      </c>
      <c r="C9054" s="1405" t="s">
        <v>112</v>
      </c>
      <c r="D9054" s="1405" t="s">
        <v>116</v>
      </c>
      <c r="E9054" s="1405" t="s">
        <v>117</v>
      </c>
      <c r="F9054" s="1883" t="s">
        <v>121</v>
      </c>
    </row>
    <row r="9055" spans="1:9" hidden="1" outlineLevel="1" x14ac:dyDescent="0.25">
      <c r="A9055" s="1406">
        <v>1</v>
      </c>
      <c r="B9055" s="1407" t="s">
        <v>252</v>
      </c>
      <c r="C9055" s="1408">
        <v>100</v>
      </c>
      <c r="D9055" s="1408"/>
      <c r="E9055" s="1409"/>
      <c r="F9055" s="1410"/>
      <c r="G9055" s="78"/>
    </row>
    <row r="9056" spans="1:9" hidden="1" outlineLevel="1" x14ac:dyDescent="0.25">
      <c r="A9056" s="1411"/>
      <c r="B9056" s="1411"/>
      <c r="C9056" s="1412"/>
      <c r="D9056" s="1344" t="s">
        <v>3702</v>
      </c>
      <c r="E9056" s="1413">
        <v>42475</v>
      </c>
      <c r="F9056" s="1414"/>
      <c r="G9056" s="78"/>
    </row>
    <row r="9057" spans="1:12" hidden="1" outlineLevel="1" x14ac:dyDescent="0.25">
      <c r="A9057" s="1405" t="s">
        <v>4156</v>
      </c>
      <c r="B9057" s="1415" t="s">
        <v>4153</v>
      </c>
      <c r="C9057" s="352" t="s">
        <v>112</v>
      </c>
      <c r="D9057" s="1415" t="s">
        <v>4155</v>
      </c>
      <c r="E9057" s="1415" t="s">
        <v>4154</v>
      </c>
      <c r="F9057" s="1437" t="s">
        <v>2519</v>
      </c>
      <c r="G9057" s="78"/>
      <c r="J9057" t="s">
        <v>2040</v>
      </c>
    </row>
    <row r="9058" spans="1:12" hidden="1" outlineLevel="1" x14ac:dyDescent="0.25">
      <c r="A9058" s="1416">
        <v>0.03</v>
      </c>
      <c r="B9058" s="1438" t="s">
        <v>1993</v>
      </c>
      <c r="C9058" s="1439">
        <v>23.942</v>
      </c>
      <c r="D9058" s="1417">
        <v>61.68</v>
      </c>
      <c r="E9058" s="1418">
        <v>1.5762258792080863</v>
      </c>
      <c r="F9058" s="1437">
        <v>4.7286776376242588E-2</v>
      </c>
      <c r="G9058" s="78"/>
      <c r="H9058" t="str">
        <f>VLOOKUP(B9058,indexy!$A$44:$D$823,3,FALSE)</f>
        <v>MO UN Equity</v>
      </c>
      <c r="J9058" s="256">
        <v>41883</v>
      </c>
      <c r="K9058" s="424">
        <v>133.10820000000001</v>
      </c>
      <c r="L9058" s="37">
        <f>IF(K9058="",L9057,K9058/100-1)</f>
        <v>0.3310820000000001</v>
      </c>
    </row>
    <row r="9059" spans="1:12" hidden="1" outlineLevel="1" x14ac:dyDescent="0.25">
      <c r="A9059" s="1416">
        <v>0.03</v>
      </c>
      <c r="B9059" s="1428" t="s">
        <v>1317</v>
      </c>
      <c r="C9059" s="1440">
        <v>36.341000000000001</v>
      </c>
      <c r="D9059" s="1419">
        <v>66.05</v>
      </c>
      <c r="E9059" s="1427">
        <v>0.81750639773258849</v>
      </c>
      <c r="F9059" s="1426">
        <v>2.4525191931977653E-2</v>
      </c>
      <c r="G9059" s="78"/>
      <c r="H9059" t="str">
        <f>VLOOKUP(B9059,indexy!$A$44:$D$823,3,FALSE)</f>
        <v>AEP UN Equity</v>
      </c>
      <c r="J9059" s="256">
        <v>41913</v>
      </c>
      <c r="K9059" s="424">
        <v>137.51249999999999</v>
      </c>
      <c r="L9059" s="37">
        <f t="shared" ref="L9059:L9075" si="201">IF(K9059="",L9058,K9059/100-1)</f>
        <v>0.37512499999999993</v>
      </c>
    </row>
    <row r="9060" spans="1:12" hidden="1" outlineLevel="1" x14ac:dyDescent="0.25">
      <c r="A9060" s="1416">
        <v>0.08</v>
      </c>
      <c r="B9060" s="1430" t="s">
        <v>802</v>
      </c>
      <c r="C9060" s="1440">
        <v>18.058</v>
      </c>
      <c r="D9060" s="1419">
        <v>10.41</v>
      </c>
      <c r="E9060" s="1427">
        <v>-0.42352419980064238</v>
      </c>
      <c r="F9060" s="1426">
        <v>-3.3881935984051391E-2</v>
      </c>
      <c r="G9060" s="78"/>
      <c r="H9060" t="str">
        <f>VLOOKUP(B9060,indexy!$A$44:$D$823,3,FALSE)</f>
        <v>NLY UN Equity</v>
      </c>
      <c r="J9060" s="256">
        <v>41944</v>
      </c>
      <c r="K9060" s="424">
        <v>142.0556</v>
      </c>
      <c r="L9060" s="37">
        <f t="shared" si="201"/>
        <v>0.42055599999999993</v>
      </c>
    </row>
    <row r="9061" spans="1:12" hidden="1" outlineLevel="1" x14ac:dyDescent="0.25">
      <c r="A9061" s="1416">
        <v>0.03</v>
      </c>
      <c r="B9061" s="1428" t="s">
        <v>3998</v>
      </c>
      <c r="C9061" s="1440">
        <v>28.706</v>
      </c>
      <c r="D9061" s="1419">
        <v>38.479999999999997</v>
      </c>
      <c r="E9061" s="1427">
        <v>0.34048630948233805</v>
      </c>
      <c r="F9061" s="1426">
        <v>1.0214589284470142E-2</v>
      </c>
      <c r="G9061" s="78"/>
      <c r="H9061" t="str">
        <f>VLOOKUP(B9061,indexy!$A$44:$D$823,3,FALSE)</f>
        <v>T UN Equity</v>
      </c>
      <c r="J9061" s="256">
        <v>41974</v>
      </c>
      <c r="K9061" s="424">
        <v>141.01609999999999</v>
      </c>
      <c r="L9061" s="37">
        <f t="shared" si="201"/>
        <v>0.410161</v>
      </c>
    </row>
    <row r="9062" spans="1:12" hidden="1" outlineLevel="1" x14ac:dyDescent="0.25">
      <c r="A9062" s="1416">
        <v>0.03</v>
      </c>
      <c r="B9062" s="1428" t="s">
        <v>872</v>
      </c>
      <c r="C9062" s="1440">
        <v>340.59</v>
      </c>
      <c r="D9062" s="1419">
        <v>512</v>
      </c>
      <c r="E9062" s="1427">
        <v>0.50327373087876937</v>
      </c>
      <c r="F9062" s="1426">
        <v>1.509821192636308E-2</v>
      </c>
      <c r="G9062" s="78"/>
      <c r="H9062" t="str">
        <f>VLOOKUP(B9062,indexy!$A$44:$D$823,3,FALSE)</f>
        <v>BA/ LN Equity</v>
      </c>
      <c r="J9062" s="256">
        <v>42005</v>
      </c>
      <c r="K9062" s="424">
        <v>143.72810000000001</v>
      </c>
      <c r="L9062" s="37">
        <f t="shared" si="201"/>
        <v>0.43728100000000003</v>
      </c>
    </row>
    <row r="9063" spans="1:12" hidden="1" outlineLevel="1" x14ac:dyDescent="0.25">
      <c r="A9063" s="1416">
        <v>0.03</v>
      </c>
      <c r="B9063" s="1428" t="s">
        <v>805</v>
      </c>
      <c r="C9063" s="1440">
        <v>59.420999999999999</v>
      </c>
      <c r="D9063" s="1419">
        <v>81.2</v>
      </c>
      <c r="E9063" s="1427">
        <v>0.36652025378233288</v>
      </c>
      <c r="F9063" s="1426">
        <v>1.0995607613469986E-2</v>
      </c>
      <c r="G9063" s="78"/>
      <c r="H9063" t="str">
        <f>VLOOKUP(B9063,indexy!$A$44:$D$823,3,FALSE)</f>
        <v>BMO CT Equity</v>
      </c>
      <c r="J9063" s="256">
        <v>42036</v>
      </c>
      <c r="K9063" s="424">
        <v>141.77369999999999</v>
      </c>
      <c r="L9063" s="37">
        <f t="shared" si="201"/>
        <v>0.4177369999999998</v>
      </c>
    </row>
    <row r="9064" spans="1:12" hidden="1" outlineLevel="1" x14ac:dyDescent="0.25">
      <c r="A9064" s="1416">
        <v>7.0000000000000007E-2</v>
      </c>
      <c r="B9064" s="1428" t="s">
        <v>807</v>
      </c>
      <c r="C9064" s="1440">
        <v>33.609000000000002</v>
      </c>
      <c r="D9064" s="1419">
        <v>59.74</v>
      </c>
      <c r="E9064" s="1427">
        <v>0.77750007438483726</v>
      </c>
      <c r="F9064" s="1426">
        <v>5.4425005206938611E-2</v>
      </c>
      <c r="G9064" s="78"/>
      <c r="H9064" t="str">
        <f>VLOOKUP(B9064,indexy!$A$44:$D$823,3,FALSE)</f>
        <v>BCE CT Equity</v>
      </c>
      <c r="J9064" s="256">
        <v>42064</v>
      </c>
      <c r="K9064" s="424">
        <v>139.3802</v>
      </c>
      <c r="L9064" s="37">
        <f t="shared" si="201"/>
        <v>0.39380199999999999</v>
      </c>
    </row>
    <row r="9065" spans="1:12" hidden="1" outlineLevel="1" x14ac:dyDescent="0.25">
      <c r="A9065" s="1416">
        <v>0.03</v>
      </c>
      <c r="B9065" s="1428" t="s">
        <v>901</v>
      </c>
      <c r="C9065" s="1440">
        <v>2385</v>
      </c>
      <c r="D9065" s="1419">
        <v>4232</v>
      </c>
      <c r="E9065" s="1427">
        <v>0.77442348008385742</v>
      </c>
      <c r="F9065" s="1426">
        <v>2.3232704402515722E-2</v>
      </c>
      <c r="G9065" s="78"/>
      <c r="H9065" t="str">
        <f>VLOOKUP(B9065,indexy!$A$44:$D$823,3,FALSE)</f>
        <v>BATS LN Equity</v>
      </c>
      <c r="J9065" s="256">
        <v>42095</v>
      </c>
      <c r="K9065" s="424">
        <v>139.5926</v>
      </c>
      <c r="L9065" s="37">
        <f t="shared" si="201"/>
        <v>0.395926</v>
      </c>
    </row>
    <row r="9066" spans="1:12" hidden="1" outlineLevel="1" x14ac:dyDescent="0.25">
      <c r="A9066" s="1416">
        <v>0.03</v>
      </c>
      <c r="B9066" s="1428" t="s">
        <v>3850</v>
      </c>
      <c r="C9066" s="1440">
        <v>36.17</v>
      </c>
      <c r="D9066" s="1419">
        <v>62.02</v>
      </c>
      <c r="E9066" s="1427">
        <v>0.71468067459220341</v>
      </c>
      <c r="F9066" s="1426">
        <v>2.14404202377661E-2</v>
      </c>
      <c r="G9066" s="78"/>
      <c r="H9066" t="str">
        <f>VLOOKUP(B9066,indexy!$A$44:$D$823,3,FALSE)</f>
        <v>CPB UN Equity</v>
      </c>
      <c r="J9066" s="256">
        <v>42125</v>
      </c>
      <c r="K9066" s="424">
        <v>140.77420000000001</v>
      </c>
      <c r="L9066" s="37">
        <f t="shared" si="201"/>
        <v>0.40774200000000005</v>
      </c>
    </row>
    <row r="9067" spans="1:12" hidden="1" outlineLevel="1" x14ac:dyDescent="0.25">
      <c r="A9067" s="1416">
        <v>0.03</v>
      </c>
      <c r="B9067" s="1432" t="s">
        <v>4332</v>
      </c>
      <c r="C9067" s="1440">
        <v>328.16</v>
      </c>
      <c r="D9067" s="1419">
        <v>238.3</v>
      </c>
      <c r="E9067" s="1427">
        <v>-0.27382983910287662</v>
      </c>
      <c r="F9067" s="1426">
        <v>-8.2148951730862986E-3</v>
      </c>
      <c r="G9067" s="78"/>
      <c r="H9067" t="str">
        <f>VLOOKUP(B9067,indexy!$A$44:$D$823,3,FALSE)</f>
        <v>CNA LN Equity</v>
      </c>
      <c r="J9067" s="256">
        <v>42156</v>
      </c>
      <c r="K9067" s="424">
        <v>134.2141</v>
      </c>
      <c r="L9067" s="37">
        <f t="shared" si="201"/>
        <v>0.34214100000000003</v>
      </c>
    </row>
    <row r="9068" spans="1:12" hidden="1" outlineLevel="1" x14ac:dyDescent="0.25">
      <c r="A9068" s="1416">
        <v>0.03</v>
      </c>
      <c r="B9068" s="1428" t="s">
        <v>809</v>
      </c>
      <c r="C9068" s="1440">
        <v>66.566999999999993</v>
      </c>
      <c r="D9068" s="1419">
        <v>126.41</v>
      </c>
      <c r="E9068" s="1427">
        <v>0.89898898853786435</v>
      </c>
      <c r="F9068" s="1426">
        <v>2.6969669656135929E-2</v>
      </c>
      <c r="G9068" s="78"/>
      <c r="H9068" t="str">
        <f>VLOOKUP(B9068,indexy!$A$44:$D$823,3,FALSE)</f>
        <v>CLX UN Equity</v>
      </c>
      <c r="J9068" s="256">
        <v>42186</v>
      </c>
      <c r="K9068" s="424">
        <v>141.98990000000001</v>
      </c>
      <c r="L9068" s="37">
        <f t="shared" si="201"/>
        <v>0.41989900000000002</v>
      </c>
    </row>
    <row r="9069" spans="1:12" hidden="1" outlineLevel="1" x14ac:dyDescent="0.25">
      <c r="A9069" s="1416">
        <v>0.03</v>
      </c>
      <c r="B9069" s="1428" t="s">
        <v>1319</v>
      </c>
      <c r="C9069" s="1440">
        <v>48.414999999999999</v>
      </c>
      <c r="D9069" s="1419">
        <v>75.849999999999994</v>
      </c>
      <c r="E9069" s="1427">
        <v>0.56666322420737369</v>
      </c>
      <c r="F9069" s="1426">
        <v>1.6999896726221209E-2</v>
      </c>
      <c r="G9069" s="78"/>
      <c r="H9069" t="str">
        <f>VLOOKUP(B9069,indexy!$A$44:$D$823,3,FALSE)</f>
        <v>ED UN Equity</v>
      </c>
      <c r="J9069" s="256">
        <v>42217</v>
      </c>
      <c r="K9069" s="424">
        <v>136.14150000000001</v>
      </c>
      <c r="L9069" s="37">
        <f t="shared" si="201"/>
        <v>0.36141500000000004</v>
      </c>
    </row>
    <row r="9070" spans="1:12" hidden="1" outlineLevel="1" x14ac:dyDescent="0.25">
      <c r="A9070" s="1416">
        <v>0.03</v>
      </c>
      <c r="B9070" s="1428" t="s">
        <v>1231</v>
      </c>
      <c r="C9070" s="1440">
        <v>53.555999999999997</v>
      </c>
      <c r="D9070" s="1419">
        <v>80</v>
      </c>
      <c r="E9070" s="1427">
        <v>0.49376353723205635</v>
      </c>
      <c r="F9070" s="1426">
        <v>1.4812906116961689E-2</v>
      </c>
      <c r="G9070" s="78"/>
      <c r="H9070" t="str">
        <f>VLOOKUP(B9070,indexy!$A$44:$D$823,3,FALSE)</f>
        <v>DUK UN Equity</v>
      </c>
      <c r="J9070" s="256">
        <v>42248</v>
      </c>
      <c r="K9070" s="424">
        <v>137.7978</v>
      </c>
      <c r="L9070" s="37">
        <f t="shared" si="201"/>
        <v>0.37797799999999993</v>
      </c>
    </row>
    <row r="9071" spans="1:12" hidden="1" outlineLevel="1" x14ac:dyDescent="0.25">
      <c r="A9071" s="1416">
        <v>0.03</v>
      </c>
      <c r="B9071" s="1428" t="s">
        <v>1321</v>
      </c>
      <c r="C9071" s="1440">
        <v>38.026000000000003</v>
      </c>
      <c r="D9071" s="1419">
        <v>35.659999999999997</v>
      </c>
      <c r="E9071" s="1427">
        <v>-6.2220585914900539E-2</v>
      </c>
      <c r="F9071" s="1426">
        <v>-1.8666175774470161E-3</v>
      </c>
      <c r="G9071" s="78"/>
      <c r="H9071" t="str">
        <f>VLOOKUP(B9071,indexy!$A$44:$D$823,3,FALSE)</f>
        <v>FE UN Equity</v>
      </c>
      <c r="J9071" s="256">
        <v>42278</v>
      </c>
      <c r="K9071" s="424">
        <v>143.0558</v>
      </c>
      <c r="L9071" s="37">
        <f t="shared" si="201"/>
        <v>0.430558</v>
      </c>
    </row>
    <row r="9072" spans="1:12" hidden="1" outlineLevel="1" x14ac:dyDescent="0.25">
      <c r="A9072" s="1416">
        <v>0.03</v>
      </c>
      <c r="B9072" s="1441" t="s">
        <v>811</v>
      </c>
      <c r="C9072" s="1440">
        <v>50.658000000000001</v>
      </c>
      <c r="D9072" s="1419">
        <v>77.55</v>
      </c>
      <c r="E9072" s="1427">
        <v>0.53085396186189726</v>
      </c>
      <c r="F9072" s="1426">
        <v>1.5925618855856916E-2</v>
      </c>
      <c r="G9072" s="78"/>
      <c r="H9072" t="str">
        <f>VLOOKUP(B9072,indexy!$A$44:$D$823,3,FALSE)</f>
        <v>K UN Equity</v>
      </c>
      <c r="J9072" s="256">
        <v>42309</v>
      </c>
      <c r="K9072" s="424">
        <v>141.88630000000001</v>
      </c>
      <c r="L9072" s="37">
        <f t="shared" si="201"/>
        <v>0.41886299999999999</v>
      </c>
    </row>
    <row r="9073" spans="1:12" hidden="1" outlineLevel="1" x14ac:dyDescent="0.25">
      <c r="A9073" s="1416">
        <v>0.03</v>
      </c>
      <c r="B9073" s="1441" t="s">
        <v>1381</v>
      </c>
      <c r="C9073" s="1440">
        <v>65.616</v>
      </c>
      <c r="D9073" s="1419">
        <v>136.47</v>
      </c>
      <c r="E9073" s="1427">
        <v>1.079828090709583</v>
      </c>
      <c r="F9073" s="1426">
        <v>3.2394842721287488E-2</v>
      </c>
      <c r="G9073" s="78"/>
      <c r="H9073" t="str">
        <f>VLOOKUP(B9073,indexy!$A$44:$D$823,3,FALSE)</f>
        <v>KMB UN Equity</v>
      </c>
      <c r="J9073" s="256">
        <v>42339</v>
      </c>
      <c r="K9073" s="424">
        <v>142.9803</v>
      </c>
      <c r="L9073" s="37">
        <f t="shared" si="201"/>
        <v>0.42980299999999994</v>
      </c>
    </row>
    <row r="9074" spans="1:12" hidden="1" outlineLevel="1" x14ac:dyDescent="0.25">
      <c r="A9074" s="1416">
        <v>0.03</v>
      </c>
      <c r="B9074" s="1420" t="s">
        <v>7573</v>
      </c>
      <c r="C9074" s="1440">
        <v>31.364999999999998</v>
      </c>
      <c r="D9074" s="1419">
        <v>78.05</v>
      </c>
      <c r="E9074" s="1427">
        <v>1.4884425314841385</v>
      </c>
      <c r="F9074" s="1426">
        <v>4.4653275944524153E-2</v>
      </c>
      <c r="G9074" s="78"/>
      <c r="H9074" t="str">
        <f>VLOOKUP(B9074,indexy!$A$44:$D$823,3,FALSE)</f>
        <v>KHC UW Equity</v>
      </c>
      <c r="J9074" s="256">
        <v>42370</v>
      </c>
      <c r="K9074" s="424">
        <v>146.94970000000001</v>
      </c>
      <c r="L9074" s="37">
        <f t="shared" si="201"/>
        <v>0.46949700000000005</v>
      </c>
    </row>
    <row r="9075" spans="1:12" hidden="1" outlineLevel="1" x14ac:dyDescent="0.25">
      <c r="A9075" s="1416">
        <v>0.03</v>
      </c>
      <c r="B9075" s="1441" t="s">
        <v>816</v>
      </c>
      <c r="C9075" s="1440">
        <v>74.86</v>
      </c>
      <c r="D9075" s="1419">
        <v>127.78</v>
      </c>
      <c r="E9075" s="1427">
        <v>0.70691958322201454</v>
      </c>
      <c r="F9075" s="1426">
        <v>2.1207587496660435E-2</v>
      </c>
      <c r="G9075" s="78"/>
      <c r="H9075" t="str">
        <f>VLOOKUP(B9075,indexy!$A$44:$D$823,3,FALSE)</f>
        <v>MCD UN Equity</v>
      </c>
      <c r="J9075" s="256">
        <v>42401</v>
      </c>
      <c r="K9075" s="424">
        <v>146.94390000000001</v>
      </c>
      <c r="L9075" s="37">
        <f t="shared" si="201"/>
        <v>0.46943900000000016</v>
      </c>
    </row>
    <row r="9076" spans="1:12" hidden="1" outlineLevel="1" x14ac:dyDescent="0.25">
      <c r="A9076" s="1416">
        <v>0.03</v>
      </c>
      <c r="B9076" s="1441" t="s">
        <v>2786</v>
      </c>
      <c r="C9076" s="1440">
        <v>545.79999999999995</v>
      </c>
      <c r="D9076" s="1419">
        <v>1000.5</v>
      </c>
      <c r="E9076" s="1427">
        <v>0.83308904360571656</v>
      </c>
      <c r="F9076" s="1426">
        <v>2.4992671308171496E-2</v>
      </c>
      <c r="G9076" s="78"/>
      <c r="H9076" t="str">
        <f>VLOOKUP(B9076,indexy!$A$44:$D$823,3,FALSE)</f>
        <v>NG/ LN Equity</v>
      </c>
      <c r="J9076" t="s">
        <v>2465</v>
      </c>
      <c r="L9076" s="362">
        <f>AVERAGE(L9058:L9075)</f>
        <v>0.40605583333333334</v>
      </c>
    </row>
    <row r="9077" spans="1:12" hidden="1" outlineLevel="1" x14ac:dyDescent="0.25">
      <c r="A9077" s="1416">
        <v>0.03</v>
      </c>
      <c r="B9077" s="1441" t="s">
        <v>3797</v>
      </c>
      <c r="C9077" s="1440">
        <v>52.48</v>
      </c>
      <c r="D9077" s="1419">
        <v>72.7</v>
      </c>
      <c r="E9077" s="1427">
        <v>0.38528963414634165</v>
      </c>
      <c r="F9077" s="1426">
        <v>1.1558689024390249E-2</v>
      </c>
      <c r="G9077" s="78"/>
      <c r="H9077" t="str">
        <f>VLOOKUP(B9077,indexy!$A$44:$D$823,3,FALSE)</f>
        <v>NESN SE Equity</v>
      </c>
      <c r="J9077" t="s">
        <v>5221</v>
      </c>
      <c r="L9077" s="362">
        <f>L9076*parametry!N304</f>
        <v>0.2436335</v>
      </c>
    </row>
    <row r="9078" spans="1:12" hidden="1" outlineLevel="1" x14ac:dyDescent="0.25">
      <c r="A9078" s="1416">
        <v>0.03</v>
      </c>
      <c r="B9078" s="1441" t="s">
        <v>2787</v>
      </c>
      <c r="C9078" s="1440">
        <v>56.195</v>
      </c>
      <c r="D9078" s="1419">
        <v>73.150000000000006</v>
      </c>
      <c r="E9078" s="1427">
        <v>0.30171723462941547</v>
      </c>
      <c r="F9078" s="1426">
        <v>9.0515170388824635E-3</v>
      </c>
      <c r="G9078" s="78"/>
      <c r="H9078" t="str">
        <f>VLOOKUP(B9078,indexy!$A$44:$D$823,3,FALSE)</f>
        <v>NOVN SE Equity</v>
      </c>
    </row>
    <row r="9079" spans="1:12" hidden="1" outlineLevel="1" x14ac:dyDescent="0.25">
      <c r="A9079" s="1416">
        <v>0.03</v>
      </c>
      <c r="B9079" s="1441" t="s">
        <v>1204</v>
      </c>
      <c r="C9079" s="1440">
        <v>66.525000000000006</v>
      </c>
      <c r="D9079" s="1419">
        <v>103.77</v>
      </c>
      <c r="E9079" s="1427">
        <v>0.55986471251409231</v>
      </c>
      <c r="F9079" s="1426">
        <v>1.6795941375422768E-2</v>
      </c>
      <c r="G9079" s="78"/>
      <c r="H9079" t="str">
        <f>VLOOKUP(B9079,indexy!$A$44:$D$823,3,FALSE)</f>
        <v>PEP UW Equity</v>
      </c>
    </row>
    <row r="9080" spans="1:12" hidden="1" outlineLevel="1" x14ac:dyDescent="0.25">
      <c r="A9080" s="1416">
        <v>0.04</v>
      </c>
      <c r="B9080" s="1441" t="s">
        <v>813</v>
      </c>
      <c r="C9080" s="1440">
        <v>44.518000000000001</v>
      </c>
      <c r="D9080" s="1419">
        <v>60.82</v>
      </c>
      <c r="E9080" s="1427">
        <v>0.36618895727570866</v>
      </c>
      <c r="F9080" s="1426">
        <v>1.4647558291028347E-2</v>
      </c>
      <c r="G9080" s="78"/>
      <c r="H9080" t="str">
        <f>VLOOKUP(B9080,indexy!$A$44:$D$823,3,FALSE)</f>
        <v>PGN UN Equity</v>
      </c>
    </row>
    <row r="9081" spans="1:12" hidden="1" outlineLevel="1" x14ac:dyDescent="0.25">
      <c r="A9081" s="1416">
        <v>0.03</v>
      </c>
      <c r="B9081" s="1428" t="s">
        <v>3800</v>
      </c>
      <c r="C9081" s="1440">
        <v>134.03</v>
      </c>
      <c r="D9081" s="1419">
        <v>248.1</v>
      </c>
      <c r="E9081" s="1427">
        <v>0.8510781168395134</v>
      </c>
      <c r="F9081" s="1426">
        <v>2.5532343505185399E-2</v>
      </c>
      <c r="G9081" s="78"/>
      <c r="H9081" t="str">
        <f>VLOOKUP(B9081,indexy!$A$44:$D$823,3,FALSE)</f>
        <v>ROG SE Equity</v>
      </c>
      <c r="K9081" s="370"/>
      <c r="L9081" s="370"/>
    </row>
    <row r="9082" spans="1:12" hidden="1" outlineLevel="1" x14ac:dyDescent="0.25">
      <c r="A9082" s="1416">
        <v>0.03</v>
      </c>
      <c r="B9082" s="1441" t="s">
        <v>2297</v>
      </c>
      <c r="C9082" s="1440">
        <v>38.732999999999997</v>
      </c>
      <c r="D9082" s="1419">
        <v>50.31</v>
      </c>
      <c r="E9082" s="1427">
        <v>0.29889241731856564</v>
      </c>
      <c r="F9082" s="1426">
        <v>8.9667725195569682E-3</v>
      </c>
      <c r="G9082" s="78"/>
      <c r="H9082" t="str">
        <f>VLOOKUP(B9082,indexy!$A$44:$D$823,3,FALSE)</f>
        <v>RCI/B CT Equity</v>
      </c>
      <c r="K9082" s="370"/>
      <c r="L9082" s="370"/>
    </row>
    <row r="9083" spans="1:12" ht="13.8" hidden="1" outlineLevel="1" x14ac:dyDescent="0.3">
      <c r="A9083" s="1416">
        <v>0.03</v>
      </c>
      <c r="B9083" s="1441" t="s">
        <v>3427</v>
      </c>
      <c r="C9083" s="1440">
        <v>37.340000000000003</v>
      </c>
      <c r="D9083" s="1419">
        <v>50.68</v>
      </c>
      <c r="E9083" s="1427">
        <v>0.35725763256561316</v>
      </c>
      <c r="F9083" s="1426">
        <v>1.0717728976968394E-2</v>
      </c>
      <c r="G9083" s="78"/>
      <c r="H9083" t="str">
        <f>VLOOKUP(B9083,indexy!$A$44:$D$823,3,FALSE)</f>
        <v>SO UN Equity</v>
      </c>
      <c r="K9083" s="1354"/>
      <c r="L9083" s="1354"/>
    </row>
    <row r="9084" spans="1:12" hidden="1" outlineLevel="1" x14ac:dyDescent="0.25">
      <c r="A9084" s="1416">
        <v>0.03</v>
      </c>
      <c r="B9084" s="1441" t="s">
        <v>366</v>
      </c>
      <c r="C9084" s="1440">
        <v>38.113</v>
      </c>
      <c r="D9084" s="1419">
        <v>50.25</v>
      </c>
      <c r="E9084" s="1427">
        <v>0.31844777372550048</v>
      </c>
      <c r="F9084" s="1426">
        <v>9.5534332117650136E-3</v>
      </c>
      <c r="G9084" s="78"/>
      <c r="H9084" t="str">
        <f>VLOOKUP(B9084,indexy!$A$44:$D$823,3,FALSE)</f>
        <v>TRP CT Equity</v>
      </c>
    </row>
    <row r="9085" spans="1:12" hidden="1" outlineLevel="1" x14ac:dyDescent="0.25">
      <c r="A9085" s="1416">
        <v>0.03</v>
      </c>
      <c r="B9085" s="1441" t="s">
        <v>106</v>
      </c>
      <c r="C9085" s="1440">
        <v>1817.6</v>
      </c>
      <c r="D9085" s="1419">
        <v>3279.5</v>
      </c>
      <c r="E9085" s="1427">
        <v>0.80430237676056349</v>
      </c>
      <c r="F9085" s="1426">
        <v>2.4129071302816905E-2</v>
      </c>
      <c r="G9085" s="78"/>
      <c r="H9085" t="str">
        <f>VLOOKUP(B9085,indexy!$A$44:$D$823,3,FALSE)</f>
        <v>ULVR LN Equity</v>
      </c>
    </row>
    <row r="9086" spans="1:12" hidden="1" outlineLevel="1" x14ac:dyDescent="0.25">
      <c r="A9086" s="1416">
        <v>0.03</v>
      </c>
      <c r="B9086" s="1441" t="s">
        <v>164</v>
      </c>
      <c r="C9086" s="1440">
        <v>53.622</v>
      </c>
      <c r="D9086" s="1419">
        <v>69.06</v>
      </c>
      <c r="E9086" s="1427">
        <v>0.28790421841781355</v>
      </c>
      <c r="F9086" s="1426">
        <v>8.6371265525344056E-3</v>
      </c>
      <c r="G9086" s="78"/>
      <c r="H9086" t="e">
        <f>VLOOKUP(B9086,indexy!$A$44:$D$823,3,FALSE)</f>
        <v>#N/A</v>
      </c>
    </row>
    <row r="9087" spans="1:12" hidden="1" outlineLevel="1" x14ac:dyDescent="0.25">
      <c r="A9087" s="1416">
        <v>0.03</v>
      </c>
      <c r="B9087" s="1442" t="s">
        <v>368</v>
      </c>
      <c r="C9087" s="1443">
        <v>12.387</v>
      </c>
      <c r="D9087" s="1421">
        <v>10.07</v>
      </c>
      <c r="E9087" s="1424">
        <v>-0.18705094050213933</v>
      </c>
      <c r="F9087" s="1834">
        <v>-5.6115282150641793E-3</v>
      </c>
      <c r="G9087" s="78"/>
      <c r="H9087" t="str">
        <f>VLOOKUP(B9087,indexy!$A$44:$D$823,3,FALSE)</f>
        <v>WFD AU Equity</v>
      </c>
    </row>
    <row r="9088" spans="1:12" hidden="1" outlineLevel="1" x14ac:dyDescent="0.25">
      <c r="A9088" s="1422"/>
      <c r="B9088" s="1345"/>
      <c r="C9088" s="1423"/>
      <c r="D9088" s="1423"/>
      <c r="E9088" s="1424"/>
      <c r="F9088" s="1835">
        <v>0.49519018065446518</v>
      </c>
      <c r="G9088" s="78"/>
    </row>
    <row r="9089" spans="1:8" collapsed="1" x14ac:dyDescent="0.25">
      <c r="A9089" s="3801" t="s">
        <v>801</v>
      </c>
      <c r="B9089" s="3802"/>
      <c r="C9089" s="3802"/>
      <c r="D9089" s="3802"/>
      <c r="E9089" s="721"/>
      <c r="F9089" s="752">
        <v>0.2436335</v>
      </c>
      <c r="G9089" s="78"/>
    </row>
    <row r="9091" spans="1:8" hidden="1" outlineLevel="1" x14ac:dyDescent="0.25">
      <c r="A9091" s="689" t="s">
        <v>113</v>
      </c>
      <c r="B9091" s="689" t="s">
        <v>114</v>
      </c>
      <c r="C9091" s="689" t="s">
        <v>112</v>
      </c>
      <c r="D9091" s="689" t="s">
        <v>116</v>
      </c>
      <c r="E9091" s="689" t="s">
        <v>117</v>
      </c>
      <c r="F9091" s="1188" t="s">
        <v>121</v>
      </c>
      <c r="G9091" s="78"/>
    </row>
    <row r="9092" spans="1:8" hidden="1" outlineLevel="1" x14ac:dyDescent="0.25">
      <c r="A9092" s="690">
        <v>1</v>
      </c>
      <c r="B9092" s="691" t="s">
        <v>252</v>
      </c>
      <c r="C9092" s="692"/>
      <c r="D9092" s="692"/>
      <c r="E9092" s="693"/>
      <c r="F9092" s="694"/>
      <c r="G9092" s="78"/>
    </row>
    <row r="9093" spans="1:8" hidden="1" outlineLevel="1" x14ac:dyDescent="0.25">
      <c r="A9093" s="695"/>
      <c r="B9093" s="695"/>
      <c r="C9093" s="696"/>
      <c r="D9093" s="697" t="s">
        <v>3702</v>
      </c>
      <c r="E9093" s="698">
        <v>42338</v>
      </c>
      <c r="F9093" s="699"/>
      <c r="G9093" s="78"/>
    </row>
    <row r="9094" spans="1:8" hidden="1" outlineLevel="1" x14ac:dyDescent="0.25">
      <c r="A9094" s="689" t="s">
        <v>4156</v>
      </c>
      <c r="B9094" s="689" t="s">
        <v>4153</v>
      </c>
      <c r="C9094" s="700" t="s">
        <v>112</v>
      </c>
      <c r="D9094" s="689" t="s">
        <v>4155</v>
      </c>
      <c r="E9094" s="689" t="s">
        <v>4154</v>
      </c>
      <c r="F9094" s="1021" t="s">
        <v>2519</v>
      </c>
      <c r="G9094" s="78"/>
    </row>
    <row r="9095" spans="1:8" hidden="1" outlineLevel="1" x14ac:dyDescent="0.25">
      <c r="A9095" s="734">
        <v>2.5000000000000001E-2</v>
      </c>
      <c r="B9095" s="735" t="s">
        <v>1995</v>
      </c>
      <c r="C9095" s="807">
        <v>52.994</v>
      </c>
      <c r="D9095" s="823">
        <v>44.92</v>
      </c>
      <c r="E9095" s="817">
        <v>-0.15235687058912328</v>
      </c>
      <c r="F9095" s="1021">
        <v>-3.8089217647280823E-3</v>
      </c>
      <c r="G9095" s="78"/>
      <c r="H9095" t="str">
        <f>VLOOKUP(B9095,indexy!$A$44:$D$823,3,FALSE)</f>
        <v>ABT UN Equity</v>
      </c>
    </row>
    <row r="9096" spans="1:8" hidden="1" outlineLevel="1" x14ac:dyDescent="0.25">
      <c r="A9096" s="849">
        <v>4.4999999999999998E-2</v>
      </c>
      <c r="B9096" s="740" t="s">
        <v>359</v>
      </c>
      <c r="C9096" s="809">
        <v>88.099000000000004</v>
      </c>
      <c r="D9096" s="823">
        <v>167.65</v>
      </c>
      <c r="E9096" s="818">
        <v>0.90297279197266711</v>
      </c>
      <c r="F9096" s="946">
        <v>1.575E-2</v>
      </c>
      <c r="G9096" s="78"/>
      <c r="H9096" t="str">
        <f>VLOOKUP(B9096,indexy!$A$44:$D$823,3,FALSE)</f>
        <v>ALV GY Equity</v>
      </c>
    </row>
    <row r="9097" spans="1:8" hidden="1" outlineLevel="1" x14ac:dyDescent="0.25">
      <c r="A9097" s="849">
        <v>3.5000000000000003E-2</v>
      </c>
      <c r="B9097" s="740" t="s">
        <v>157</v>
      </c>
      <c r="C9097" s="809">
        <v>9.5310000000000006</v>
      </c>
      <c r="D9097" s="823">
        <v>5.1680000000000001</v>
      </c>
      <c r="E9097" s="818">
        <v>-0.45776938411499324</v>
      </c>
      <c r="F9097" s="946">
        <v>-1.6021928444024766E-2</v>
      </c>
      <c r="G9097" s="78"/>
      <c r="H9097" t="str">
        <f>VLOOKUP(B9097,indexy!$A$44:$D$823,3,FALSE)</f>
        <v>SAN SM Equity</v>
      </c>
    </row>
    <row r="9098" spans="1:8" hidden="1" outlineLevel="1" x14ac:dyDescent="0.25">
      <c r="A9098" s="849">
        <v>0.03</v>
      </c>
      <c r="B9098" s="740" t="s">
        <v>4377</v>
      </c>
      <c r="C9098" s="1349">
        <v>27.157</v>
      </c>
      <c r="D9098" s="823">
        <v>67.010000000000005</v>
      </c>
      <c r="E9098" s="818">
        <v>1.4675037743491552</v>
      </c>
      <c r="F9098" s="946">
        <v>1.0499999999999999E-2</v>
      </c>
      <c r="G9098" s="78"/>
      <c r="H9098" t="str">
        <f>VLOOKUP(B9098,indexy!$A$44:$D$823,3,FALSE)</f>
        <v>BMY UN Equity</v>
      </c>
    </row>
    <row r="9099" spans="1:8" hidden="1" outlineLevel="1" x14ac:dyDescent="0.25">
      <c r="A9099" s="849">
        <v>0.04</v>
      </c>
      <c r="B9099" s="740" t="s">
        <v>53</v>
      </c>
      <c r="C9099" s="809">
        <v>44.29</v>
      </c>
      <c r="D9099" s="823">
        <v>66.33</v>
      </c>
      <c r="E9099" s="818">
        <v>0.49762926168435317</v>
      </c>
      <c r="F9099" s="946">
        <v>1.3999999999999999E-2</v>
      </c>
      <c r="G9099" s="78"/>
      <c r="H9099" t="str">
        <f>VLOOKUP(B9099,indexy!$A$44:$D$823,3,FALSE)</f>
        <v>BN FP Equity</v>
      </c>
    </row>
    <row r="9100" spans="1:8" hidden="1" outlineLevel="1" x14ac:dyDescent="0.25">
      <c r="A9100" s="849">
        <v>4.4999999999999998E-2</v>
      </c>
      <c r="B9100" s="853" t="s">
        <v>2699</v>
      </c>
      <c r="C9100" s="809">
        <v>13.286</v>
      </c>
      <c r="D9100" s="823">
        <v>27.664999999999999</v>
      </c>
      <c r="E9100" s="818">
        <v>1.0822670480204728</v>
      </c>
      <c r="F9100" s="946">
        <v>1.575E-2</v>
      </c>
      <c r="G9100" s="78"/>
      <c r="H9100" t="str">
        <f>VLOOKUP(B9100,indexy!$A$44:$D$823,3,FALSE)</f>
        <v>DHL GR Equity</v>
      </c>
    </row>
    <row r="9101" spans="1:8" hidden="1" outlineLevel="1" x14ac:dyDescent="0.25">
      <c r="A9101" s="849">
        <v>3.5000000000000003E-2</v>
      </c>
      <c r="B9101" s="740" t="s">
        <v>4387</v>
      </c>
      <c r="C9101" s="809">
        <v>22.0625</v>
      </c>
      <c r="D9101" s="823">
        <v>8.9960000000000004</v>
      </c>
      <c r="E9101" s="818">
        <v>-0.59224929178470254</v>
      </c>
      <c r="F9101" s="946">
        <v>-2.0728725212464591E-2</v>
      </c>
      <c r="G9101" s="78"/>
      <c r="H9101" t="str">
        <f>VLOOKUP(B9101,indexy!$A$44:$D$823,3,FALSE)</f>
        <v>EOAN GY Equity</v>
      </c>
    </row>
    <row r="9102" spans="1:8" hidden="1" outlineLevel="1" x14ac:dyDescent="0.25">
      <c r="A9102" s="849">
        <v>0.04</v>
      </c>
      <c r="B9102" s="740" t="s">
        <v>3798</v>
      </c>
      <c r="C9102" s="809">
        <v>3.9830000000000001</v>
      </c>
      <c r="D9102" s="823">
        <v>4.1740000000000004</v>
      </c>
      <c r="E9102" s="818">
        <v>4.7953803665578887E-2</v>
      </c>
      <c r="F9102" s="946">
        <v>1.3999999999999999E-2</v>
      </c>
      <c r="G9102" s="78"/>
      <c r="H9102" t="str">
        <f>VLOOKUP(B9102,indexy!$A$44:$D$823,3,FALSE)</f>
        <v>ENEL IM Equity</v>
      </c>
    </row>
    <row r="9103" spans="1:8" hidden="1" outlineLevel="1" x14ac:dyDescent="0.25">
      <c r="A9103" s="849">
        <v>2.5000000000000001E-2</v>
      </c>
      <c r="B9103" s="740" t="s">
        <v>5824</v>
      </c>
      <c r="C9103" s="809">
        <v>16.495999999999999</v>
      </c>
      <c r="D9103" s="823">
        <v>16.36</v>
      </c>
      <c r="E9103" s="818">
        <v>-8.244422890397618E-3</v>
      </c>
      <c r="F9103" s="946">
        <v>-2.0611057225994046E-4</v>
      </c>
      <c r="G9103" s="78"/>
      <c r="H9103" t="str">
        <f>VLOOKUP(B9103,indexy!$A$44:$D$823,3,FALSE)</f>
        <v>ORA FP Equity</v>
      </c>
    </row>
    <row r="9104" spans="1:8" hidden="1" outlineLevel="1" x14ac:dyDescent="0.25">
      <c r="A9104" s="849">
        <v>0.03</v>
      </c>
      <c r="B9104" s="1350" t="s">
        <v>7227</v>
      </c>
      <c r="C9104" s="809">
        <v>27.721499999999999</v>
      </c>
      <c r="D9104" s="823">
        <v>16.489999999999998</v>
      </c>
      <c r="E9104" s="818">
        <v>-0.4051548437133633</v>
      </c>
      <c r="F9104" s="946">
        <v>-1.2154645311400899E-2</v>
      </c>
      <c r="G9104" s="78"/>
      <c r="H9104" t="str">
        <f>VLOOKUP(B9104,indexy!$A$44:$D$823,3,FALSE)</f>
        <v>ENGI FP Equity</v>
      </c>
    </row>
    <row r="9105" spans="1:8" hidden="1" outlineLevel="1" x14ac:dyDescent="0.25">
      <c r="A9105" s="849">
        <v>0.03</v>
      </c>
      <c r="B9105" s="712" t="s">
        <v>307</v>
      </c>
      <c r="C9105" s="809">
        <v>31.03</v>
      </c>
      <c r="D9105" s="823">
        <v>133.88</v>
      </c>
      <c r="E9105" s="818">
        <v>3.314534321624234</v>
      </c>
      <c r="F9105" s="946">
        <v>1.0499999999999999E-2</v>
      </c>
      <c r="G9105" s="78"/>
      <c r="H9105" t="str">
        <f>VLOOKUP(B9105,indexy!$A$44:$D$823,3,FALSE)</f>
        <v>HD UN Equity</v>
      </c>
    </row>
    <row r="9106" spans="1:8" hidden="1" outlineLevel="1" x14ac:dyDescent="0.25">
      <c r="A9106" s="849">
        <v>3.5000000000000003E-2</v>
      </c>
      <c r="B9106" s="853" t="s">
        <v>1771</v>
      </c>
      <c r="C9106" s="809">
        <v>663.64</v>
      </c>
      <c r="D9106" s="823">
        <v>529.5</v>
      </c>
      <c r="E9106" s="818">
        <v>-0.2021276595744681</v>
      </c>
      <c r="F9106" s="946">
        <v>-7.0744680851063842E-3</v>
      </c>
      <c r="G9106" s="78"/>
      <c r="H9106" t="str">
        <f>VLOOKUP(B9106,indexy!$A$44:$D$823,3,FALSE)</f>
        <v>HSBA LN Equity</v>
      </c>
    </row>
    <row r="9107" spans="1:8" hidden="1" outlineLevel="1" x14ac:dyDescent="0.25">
      <c r="A9107" s="849">
        <v>0.03</v>
      </c>
      <c r="B9107" s="1089" t="s">
        <v>4034</v>
      </c>
      <c r="C9107" s="809">
        <v>9.6984999999999992</v>
      </c>
      <c r="D9107" s="823">
        <v>20.59</v>
      </c>
      <c r="E9107" s="818">
        <v>1.123008712687529</v>
      </c>
      <c r="F9107" s="946">
        <v>1.0499999999999999E-2</v>
      </c>
      <c r="G9107" s="78"/>
      <c r="H9107" t="str">
        <f>VLOOKUP(B9107,indexy!$A$44:$D$823,3,FALSE)</f>
        <v>AD NA Equity</v>
      </c>
    </row>
    <row r="9108" spans="1:8" hidden="1" outlineLevel="1" x14ac:dyDescent="0.25">
      <c r="A9108" s="849">
        <v>3.5000000000000003E-2</v>
      </c>
      <c r="B9108" s="740" t="s">
        <v>4143</v>
      </c>
      <c r="C9108" s="809">
        <v>11.4765</v>
      </c>
      <c r="D9108" s="823">
        <v>3.601</v>
      </c>
      <c r="E9108" s="818">
        <v>-0.68622837973249684</v>
      </c>
      <c r="F9108" s="946">
        <v>-2.4017993290637391E-2</v>
      </c>
      <c r="G9108" s="78"/>
      <c r="H9108" t="str">
        <f>VLOOKUP(B9108,indexy!$A$44:$D$823,3,FALSE)</f>
        <v>KPN NA Equity</v>
      </c>
    </row>
    <row r="9109" spans="1:8" hidden="1" outlineLevel="1" x14ac:dyDescent="0.25">
      <c r="A9109" s="849">
        <v>2.5000000000000001E-2</v>
      </c>
      <c r="B9109" s="852" t="s">
        <v>7573</v>
      </c>
      <c r="C9109" s="809">
        <v>31.719000000000001</v>
      </c>
      <c r="D9109" s="823">
        <v>73.69</v>
      </c>
      <c r="E9109" s="818">
        <v>1.3232132160534693</v>
      </c>
      <c r="F9109" s="946">
        <v>8.7499999999999991E-3</v>
      </c>
      <c r="G9109" s="78"/>
      <c r="H9109" t="str">
        <f>VLOOKUP(B9109,indexy!$A$44:$D$823,3,FALSE)</f>
        <v>KHC UW Equity</v>
      </c>
    </row>
    <row r="9110" spans="1:8" hidden="1" outlineLevel="1" x14ac:dyDescent="0.25">
      <c r="A9110" s="849">
        <v>0.04</v>
      </c>
      <c r="B9110" s="740" t="s">
        <v>1772</v>
      </c>
      <c r="C9110" s="809">
        <v>107.82</v>
      </c>
      <c r="D9110" s="823">
        <v>190.75</v>
      </c>
      <c r="E9110" s="818">
        <v>0.76915229085512893</v>
      </c>
      <c r="F9110" s="946">
        <v>1.3999999999999999E-2</v>
      </c>
      <c r="G9110" s="78"/>
      <c r="H9110" t="str">
        <f>VLOOKUP(B9110,indexy!$A$44:$D$823,3,FALSE)</f>
        <v>MUV2 GY Equity</v>
      </c>
    </row>
    <row r="9111" spans="1:8" hidden="1" outlineLevel="1" x14ac:dyDescent="0.25">
      <c r="A9111" s="849">
        <v>0.03</v>
      </c>
      <c r="B9111" s="740" t="s">
        <v>2786</v>
      </c>
      <c r="C9111" s="809">
        <v>579.15</v>
      </c>
      <c r="D9111" s="823">
        <v>925.8</v>
      </c>
      <c r="E9111" s="818">
        <v>0.59854959854959855</v>
      </c>
      <c r="F9111" s="946">
        <v>1.0499999999999999E-2</v>
      </c>
      <c r="G9111" s="78"/>
      <c r="H9111" t="str">
        <f>VLOOKUP(B9111,indexy!$A$44:$D$823,3,FALSE)</f>
        <v>NG/ LN Equity</v>
      </c>
    </row>
    <row r="9112" spans="1:8" hidden="1" outlineLevel="1" x14ac:dyDescent="0.25">
      <c r="A9112" s="849">
        <v>0.03</v>
      </c>
      <c r="B9112" s="740" t="s">
        <v>3797</v>
      </c>
      <c r="C9112" s="809">
        <v>52.465000000000003</v>
      </c>
      <c r="D9112" s="823">
        <v>76.349999999999994</v>
      </c>
      <c r="E9112" s="818">
        <v>0.45525588487563118</v>
      </c>
      <c r="F9112" s="946">
        <v>1.0499999999999999E-2</v>
      </c>
      <c r="G9112" s="78"/>
      <c r="H9112" t="str">
        <f>VLOOKUP(B9112,indexy!$A$44:$D$823,3,FALSE)</f>
        <v>NESN SE Equity</v>
      </c>
    </row>
    <row r="9113" spans="1:8" hidden="1" outlineLevel="1" x14ac:dyDescent="0.25">
      <c r="A9113" s="849">
        <v>0.03</v>
      </c>
      <c r="B9113" s="740" t="s">
        <v>2787</v>
      </c>
      <c r="C9113" s="809">
        <v>57.05</v>
      </c>
      <c r="D9113" s="823">
        <v>87.95</v>
      </c>
      <c r="E9113" s="818">
        <v>0.54163014899211226</v>
      </c>
      <c r="F9113" s="946">
        <v>1.0499999999999999E-2</v>
      </c>
      <c r="G9113" s="78"/>
      <c r="H9113" t="str">
        <f>VLOOKUP(B9113,indexy!$A$44:$D$823,3,FALSE)</f>
        <v>NOVN SE Equity</v>
      </c>
    </row>
    <row r="9114" spans="1:8" hidden="1" outlineLevel="1" x14ac:dyDescent="0.25">
      <c r="A9114" s="849">
        <v>0.04</v>
      </c>
      <c r="B9114" s="740" t="s">
        <v>1204</v>
      </c>
      <c r="C9114" s="809">
        <v>65.792000000000002</v>
      </c>
      <c r="D9114" s="823">
        <v>100.16</v>
      </c>
      <c r="E9114" s="818">
        <v>0.52237354085603105</v>
      </c>
      <c r="F9114" s="946">
        <v>1.3999999999999999E-2</v>
      </c>
      <c r="G9114" s="78"/>
      <c r="H9114" t="str">
        <f>VLOOKUP(B9114,indexy!$A$44:$D$823,3,FALSE)</f>
        <v>PEP UW Equity</v>
      </c>
    </row>
    <row r="9115" spans="1:8" hidden="1" outlineLevel="1" x14ac:dyDescent="0.25">
      <c r="A9115" s="849">
        <v>3.5000000000000003E-2</v>
      </c>
      <c r="B9115" s="740" t="s">
        <v>3800</v>
      </c>
      <c r="C9115" s="809">
        <v>141.55000000000001</v>
      </c>
      <c r="D9115" s="823">
        <v>275.5</v>
      </c>
      <c r="E9115" s="818">
        <v>0.94630872483221462</v>
      </c>
      <c r="F9115" s="946">
        <v>1.225E-2</v>
      </c>
      <c r="G9115" s="78"/>
      <c r="H9115" t="str">
        <f>VLOOKUP(B9115,indexy!$A$44:$D$823,3,FALSE)</f>
        <v>ROG SE Equity</v>
      </c>
    </row>
    <row r="9116" spans="1:8" hidden="1" outlineLevel="1" x14ac:dyDescent="0.25">
      <c r="A9116" s="849">
        <v>0.04</v>
      </c>
      <c r="B9116" s="706" t="s">
        <v>1857</v>
      </c>
      <c r="C9116" s="809">
        <v>1121.0999999999999</v>
      </c>
      <c r="D9116" s="823">
        <v>1434</v>
      </c>
      <c r="E9116" s="818">
        <v>0.27910088306127911</v>
      </c>
      <c r="F9116" s="946">
        <v>1.3999999999999999E-2</v>
      </c>
      <c r="G9116" s="78"/>
      <c r="H9116" t="str">
        <f>VLOOKUP(B9116,indexy!$A$44:$D$823,3,FALSE)</f>
        <v>SSE LN Equity</v>
      </c>
    </row>
    <row r="9117" spans="1:8" hidden="1" outlineLevel="1" x14ac:dyDescent="0.25">
      <c r="A9117" s="849">
        <v>2.5000000000000001E-2</v>
      </c>
      <c r="B9117" s="740" t="s">
        <v>1239</v>
      </c>
      <c r="C9117" s="809">
        <v>396.41</v>
      </c>
      <c r="D9117" s="823">
        <v>507</v>
      </c>
      <c r="E9117" s="818">
        <v>0.27897883504452459</v>
      </c>
      <c r="F9117" s="946">
        <v>8.7499999999999991E-3</v>
      </c>
      <c r="G9117" s="78"/>
      <c r="H9117" t="str">
        <f>VLOOKUP(B9117,indexy!$A$44:$D$823,3,FALSE)</f>
        <v>SCMN SE Equity</v>
      </c>
    </row>
    <row r="9118" spans="1:8" hidden="1" outlineLevel="1" x14ac:dyDescent="0.25">
      <c r="A9118" s="849">
        <v>0.03</v>
      </c>
      <c r="B9118" s="740" t="s">
        <v>3022</v>
      </c>
      <c r="C9118" s="809">
        <v>3855</v>
      </c>
      <c r="D9118" s="823">
        <v>5983</v>
      </c>
      <c r="E9118" s="818">
        <v>0.55201037613488979</v>
      </c>
      <c r="F9118" s="946">
        <v>1.0499999999999999E-2</v>
      </c>
      <c r="G9118" s="78"/>
      <c r="H9118" t="str">
        <f>VLOOKUP(B9118,indexy!$A$44:$D$823,3,FALSE)</f>
        <v>4502 JT Equity</v>
      </c>
    </row>
    <row r="9119" spans="1:8" hidden="1" outlineLevel="1" x14ac:dyDescent="0.25">
      <c r="A9119" s="849">
        <v>0.03</v>
      </c>
      <c r="B9119" s="740" t="s">
        <v>577</v>
      </c>
      <c r="C9119" s="809">
        <v>19.3245</v>
      </c>
      <c r="D9119" s="823">
        <v>11.675000000000001</v>
      </c>
      <c r="E9119" s="818">
        <v>-0.39584465316049577</v>
      </c>
      <c r="F9119" s="946">
        <v>-1.1875339594814873E-2</v>
      </c>
      <c r="G9119" s="78"/>
      <c r="H9119" t="str">
        <f>VLOOKUP(B9119,indexy!$A$44:$D$823,3,FALSE)</f>
        <v>TEF SQ Equity</v>
      </c>
    </row>
    <row r="9120" spans="1:8" hidden="1" outlineLevel="1" x14ac:dyDescent="0.25">
      <c r="A9120" s="849">
        <v>0.04</v>
      </c>
      <c r="B9120" s="740" t="s">
        <v>1183</v>
      </c>
      <c r="C9120" s="809">
        <v>38.978000000000002</v>
      </c>
      <c r="D9120" s="823">
        <v>47</v>
      </c>
      <c r="E9120" s="818">
        <v>0.20580840474113593</v>
      </c>
      <c r="F9120" s="946">
        <v>1.3999999999999999E-2</v>
      </c>
      <c r="G9120" s="78"/>
      <c r="H9120" t="e">
        <f>VLOOKUP(B9120,indexy!$A$44:$D$823,3,FALSE)</f>
        <v>#N/A</v>
      </c>
    </row>
    <row r="9121" spans="1:9" hidden="1" outlineLevel="1" x14ac:dyDescent="0.25">
      <c r="A9121" s="849">
        <v>0.03</v>
      </c>
      <c r="B9121" s="740" t="s">
        <v>4601</v>
      </c>
      <c r="C9121" s="809">
        <v>150.405</v>
      </c>
      <c r="D9121" s="823">
        <v>243.1</v>
      </c>
      <c r="E9121" s="818">
        <v>0.61630264951298153</v>
      </c>
      <c r="F9121" s="946">
        <v>1.0499999999999999E-2</v>
      </c>
      <c r="G9121" s="78"/>
      <c r="H9121" t="str">
        <f>VLOOKUP(B9121,indexy!$A$44:$D$823,3,FALSE)</f>
        <v>UL NA Equity</v>
      </c>
    </row>
    <row r="9122" spans="1:9" hidden="1" outlineLevel="1" x14ac:dyDescent="0.25">
      <c r="A9122" s="849">
        <v>3.5000000000000003E-2</v>
      </c>
      <c r="B9122" s="740" t="s">
        <v>719</v>
      </c>
      <c r="C9122" s="809">
        <v>39.112499999999997</v>
      </c>
      <c r="D9122" s="823">
        <v>61.56</v>
      </c>
      <c r="E9122" s="818">
        <v>0.5739213806327903</v>
      </c>
      <c r="F9122" s="946">
        <v>1.225E-2</v>
      </c>
      <c r="G9122" s="78"/>
      <c r="H9122" t="str">
        <f>VLOOKUP(B9122,indexy!$A$44:$D$823,3,FALSE)</f>
        <v>DG FP Equity</v>
      </c>
    </row>
    <row r="9123" spans="1:9" hidden="1" outlineLevel="1" x14ac:dyDescent="0.25">
      <c r="A9123" s="739">
        <v>3.5000000000000003E-2</v>
      </c>
      <c r="B9123" s="740" t="s">
        <v>579</v>
      </c>
      <c r="C9123" s="809">
        <v>166.24</v>
      </c>
      <c r="D9123" s="823">
        <v>224.25</v>
      </c>
      <c r="E9123" s="818">
        <v>0.34895332050048111</v>
      </c>
      <c r="F9123" s="946">
        <v>1.225E-2</v>
      </c>
      <c r="G9123" s="78"/>
      <c r="H9123" t="str">
        <f>VLOOKUP(B9123,indexy!$A$44:$D$823,3,FALSE)</f>
        <v>VOD LN Equity</v>
      </c>
    </row>
    <row r="9124" spans="1:9" hidden="1" outlineLevel="1" x14ac:dyDescent="0.25">
      <c r="A9124" s="739">
        <v>2.5000000000000001E-2</v>
      </c>
      <c r="B9124" s="997" t="s">
        <v>4550</v>
      </c>
      <c r="C9124" s="809">
        <v>235.13</v>
      </c>
      <c r="D9124" s="823">
        <v>270.89999999999998</v>
      </c>
      <c r="E9124" s="818">
        <v>0.15212860970526942</v>
      </c>
      <c r="F9124" s="1023">
        <v>8.7499999999999991E-3</v>
      </c>
      <c r="G9124" s="78"/>
      <c r="H9124" t="str">
        <f>VLOOKUP(B9124,indexy!$A$44:$D$823,3,FALSE)</f>
        <v>ZURN SE Equity</v>
      </c>
    </row>
    <row r="9125" spans="1:9" hidden="1" outlineLevel="1" x14ac:dyDescent="0.25">
      <c r="A9125" s="854"/>
      <c r="B9125" s="718"/>
      <c r="C9125" s="855"/>
      <c r="D9125" s="867"/>
      <c r="E9125" s="820"/>
      <c r="F9125" s="770">
        <v>0.16661186772456307</v>
      </c>
      <c r="G9125" s="78"/>
    </row>
    <row r="9126" spans="1:9" collapsed="1" x14ac:dyDescent="0.25">
      <c r="A9126" s="3801" t="s">
        <v>4477</v>
      </c>
      <c r="B9126" s="3802"/>
      <c r="C9126" s="3802"/>
      <c r="D9126" s="3802"/>
      <c r="E9126" s="821"/>
      <c r="F9126" s="752">
        <v>0.1852</v>
      </c>
      <c r="G9126" s="78"/>
    </row>
    <row r="9128" spans="1:9" hidden="1" outlineLevel="1" x14ac:dyDescent="0.25">
      <c r="A9128" t="s">
        <v>113</v>
      </c>
      <c r="B9128" t="s">
        <v>114</v>
      </c>
      <c r="C9128" t="s">
        <v>112</v>
      </c>
      <c r="D9128" t="s">
        <v>4155</v>
      </c>
      <c r="E9128" t="s">
        <v>116</v>
      </c>
      <c r="F9128" s="1872" t="s">
        <v>121</v>
      </c>
      <c r="G9128" s="444"/>
      <c r="H9128" s="449" t="s">
        <v>5391</v>
      </c>
      <c r="I9128" s="438" t="s">
        <v>5392</v>
      </c>
    </row>
    <row r="9129" spans="1:9" hidden="1" outlineLevel="1" x14ac:dyDescent="0.25">
      <c r="A9129" t="s">
        <v>3125</v>
      </c>
      <c r="B9129" t="s">
        <v>3564</v>
      </c>
      <c r="C9129">
        <v>24646.418000000001</v>
      </c>
      <c r="D9129" s="3808">
        <v>24979.69</v>
      </c>
      <c r="E9129">
        <v>19573.37</v>
      </c>
      <c r="F9129" s="1872">
        <v>-0.20583307481030311</v>
      </c>
      <c r="G9129" s="444"/>
      <c r="H9129" s="92">
        <f>IF(C9129="","",IF(E9129="",$D$9129/C9129-1,E9129/C9129-1))</f>
        <v>-0.20583307481030311</v>
      </c>
      <c r="I9129" s="446">
        <v>0.09</v>
      </c>
    </row>
    <row r="9130" spans="1:9" hidden="1" outlineLevel="1" x14ac:dyDescent="0.25">
      <c r="A9130" t="s">
        <v>4287</v>
      </c>
      <c r="B9130" t="s">
        <v>3564</v>
      </c>
      <c r="C9130" s="1028">
        <v>24646.418000000001</v>
      </c>
      <c r="D9130" s="3809"/>
      <c r="E9130">
        <v>21996.776000000002</v>
      </c>
      <c r="F9130" s="1872">
        <v>-0.10750616986208705</v>
      </c>
      <c r="G9130" s="444"/>
      <c r="H9130" s="79">
        <f>IF(C9130="","",IF(E9130="",$D$9129/C9130-1,E9130/C9130-1))</f>
        <v>-0.10750616986208705</v>
      </c>
      <c r="I9130" s="447">
        <v>0.18</v>
      </c>
    </row>
    <row r="9131" spans="1:9" hidden="1" outlineLevel="1" x14ac:dyDescent="0.25">
      <c r="A9131" t="s">
        <v>4288</v>
      </c>
      <c r="B9131" t="s">
        <v>3564</v>
      </c>
      <c r="C9131" s="1028">
        <v>24646.418000000001</v>
      </c>
      <c r="D9131" s="3809"/>
      <c r="E9131">
        <v>23079.266</v>
      </c>
      <c r="F9131" s="1872">
        <v>-6.3585385916931303E-2</v>
      </c>
      <c r="G9131" s="444"/>
      <c r="H9131" s="79">
        <f>IF(C9131="","",IF(E9131="",$D$9129/C9131-1,E9131/C9131-1))</f>
        <v>-6.3585385916931303E-2</v>
      </c>
      <c r="I9131" s="447">
        <v>0.27</v>
      </c>
    </row>
    <row r="9132" spans="1:9" hidden="1" outlineLevel="1" x14ac:dyDescent="0.25">
      <c r="A9132" t="s">
        <v>4289</v>
      </c>
      <c r="B9132" t="s">
        <v>3564</v>
      </c>
      <c r="C9132" s="1028">
        <v>24646.418000000001</v>
      </c>
      <c r="D9132" s="3809"/>
      <c r="E9132">
        <v>23731.360000000001</v>
      </c>
      <c r="F9132" s="1872">
        <v>-3.712742354690246E-2</v>
      </c>
      <c r="G9132" s="444"/>
      <c r="H9132" s="79">
        <f>IF(C9132="","",IF(E9132="",$D$9129/C9132-1,E9132/C9132-1))</f>
        <v>-3.712742354690246E-2</v>
      </c>
      <c r="I9132" s="447">
        <v>0.36</v>
      </c>
    </row>
    <row r="9133" spans="1:9" hidden="1" outlineLevel="1" x14ac:dyDescent="0.25">
      <c r="A9133" t="s">
        <v>4290</v>
      </c>
      <c r="B9133" t="s">
        <v>3564</v>
      </c>
      <c r="C9133" s="1028">
        <v>24646.418000000001</v>
      </c>
      <c r="D9133" s="3810"/>
      <c r="F9133" s="1872">
        <v>0.45</v>
      </c>
      <c r="G9133" s="444"/>
      <c r="H9133" s="82">
        <f>IF(C9133="","",IF(E9133="",$D$9129/C9133-1,E9133/C9133-1))</f>
        <v>1.3522127231632597E-2</v>
      </c>
      <c r="I9133" s="448">
        <v>0.45</v>
      </c>
    </row>
    <row r="9134" spans="1:9" hidden="1" outlineLevel="1" x14ac:dyDescent="0.25">
      <c r="G9134" s="445"/>
      <c r="H9134" s="37">
        <f>IF(H9133="",IF(H9132="",IF(H9131="",IF(H9130="",H9129,H9130),H9131),H9132),H9133)</f>
        <v>1.3522127231632597E-2</v>
      </c>
    </row>
    <row r="9135" spans="1:9" collapsed="1" x14ac:dyDescent="0.25">
      <c r="A9135" s="3801" t="s">
        <v>3124</v>
      </c>
      <c r="B9135" s="3802"/>
      <c r="C9135" s="3802"/>
      <c r="D9135" s="3802"/>
      <c r="E9135" s="1813"/>
      <c r="F9135" s="1890">
        <v>0.45</v>
      </c>
      <c r="G9135" s="444"/>
    </row>
    <row r="9136" spans="1:9" x14ac:dyDescent="0.25">
      <c r="G9136" s="444"/>
    </row>
    <row r="9137" spans="1:7" hidden="1" outlineLevel="1" x14ac:dyDescent="0.25">
      <c r="A9137" s="689" t="s">
        <v>113</v>
      </c>
      <c r="B9137" s="689" t="s">
        <v>114</v>
      </c>
      <c r="C9137" s="689" t="s">
        <v>112</v>
      </c>
      <c r="D9137" s="689" t="s">
        <v>116</v>
      </c>
      <c r="E9137" s="689" t="s">
        <v>117</v>
      </c>
      <c r="F9137" s="1188" t="s">
        <v>121</v>
      </c>
      <c r="G9137" s="444"/>
    </row>
    <row r="9138" spans="1:7" hidden="1" outlineLevel="1" x14ac:dyDescent="0.25">
      <c r="A9138" s="751" t="s">
        <v>4732</v>
      </c>
      <c r="B9138" s="729" t="s">
        <v>115</v>
      </c>
      <c r="C9138" s="719">
        <v>2819.5659999999998</v>
      </c>
      <c r="D9138" s="719">
        <v>2822.43</v>
      </c>
      <c r="E9138" s="720">
        <v>1.0157591629349483E-3</v>
      </c>
      <c r="F9138" s="731">
        <v>0</v>
      </c>
      <c r="G9138" s="444"/>
    </row>
    <row r="9139" spans="1:7" hidden="1" outlineLevel="1" x14ac:dyDescent="0.25">
      <c r="A9139" s="751" t="s">
        <v>4733</v>
      </c>
      <c r="B9139" s="729" t="s">
        <v>115</v>
      </c>
      <c r="C9139" s="823">
        <v>2822.43</v>
      </c>
      <c r="D9139" s="823">
        <v>2861.67</v>
      </c>
      <c r="E9139" s="720">
        <v>1.3902913446923515E-2</v>
      </c>
      <c r="F9139" s="731">
        <v>0</v>
      </c>
      <c r="G9139" s="444"/>
    </row>
    <row r="9140" spans="1:7" hidden="1" outlineLevel="1" x14ac:dyDescent="0.25">
      <c r="A9140" s="751" t="s">
        <v>4734</v>
      </c>
      <c r="B9140" s="729" t="s">
        <v>115</v>
      </c>
      <c r="C9140" s="719">
        <v>2861.67</v>
      </c>
      <c r="D9140" s="719">
        <v>2920.4</v>
      </c>
      <c r="E9140" s="720">
        <v>2.0522981336072998E-2</v>
      </c>
      <c r="F9140" s="731">
        <v>0</v>
      </c>
      <c r="G9140" s="444"/>
    </row>
    <row r="9141" spans="1:7" hidden="1" outlineLevel="1" x14ac:dyDescent="0.25">
      <c r="A9141" s="751" t="s">
        <v>4735</v>
      </c>
      <c r="B9141" s="729" t="s">
        <v>115</v>
      </c>
      <c r="C9141" s="719">
        <v>2920.4</v>
      </c>
      <c r="D9141" s="719">
        <v>3018.38</v>
      </c>
      <c r="E9141" s="720">
        <v>3.3550198602931181E-2</v>
      </c>
      <c r="F9141" s="731">
        <v>0</v>
      </c>
      <c r="G9141" s="444"/>
    </row>
    <row r="9142" spans="1:7" hidden="1" outlineLevel="1" x14ac:dyDescent="0.25">
      <c r="A9142" s="751" t="s">
        <v>4736</v>
      </c>
      <c r="B9142" s="728" t="s">
        <v>115</v>
      </c>
      <c r="C9142" s="719">
        <v>3018.38</v>
      </c>
      <c r="D9142" s="719">
        <v>2852.11</v>
      </c>
      <c r="E9142" s="720">
        <v>-5.5085840749011017E-2</v>
      </c>
      <c r="F9142" s="731">
        <v>-0.04</v>
      </c>
      <c r="G9142" s="444"/>
    </row>
    <row r="9143" spans="1:7" hidden="1" outlineLevel="1" x14ac:dyDescent="0.25">
      <c r="A9143" s="751" t="s">
        <v>4737</v>
      </c>
      <c r="B9143" s="728" t="s">
        <v>115</v>
      </c>
      <c r="C9143" s="719">
        <v>2852.11</v>
      </c>
      <c r="D9143" s="719">
        <v>2917.72</v>
      </c>
      <c r="E9143" s="720">
        <v>2.3004021584020151E-2</v>
      </c>
      <c r="F9143" s="731">
        <v>0</v>
      </c>
      <c r="G9143" s="444"/>
    </row>
    <row r="9144" spans="1:7" hidden="1" outlineLevel="1" x14ac:dyDescent="0.25">
      <c r="A9144" s="751" t="s">
        <v>4738</v>
      </c>
      <c r="B9144" s="728" t="s">
        <v>115</v>
      </c>
      <c r="C9144" s="719">
        <v>2917.72</v>
      </c>
      <c r="D9144" s="719">
        <v>2894.6</v>
      </c>
      <c r="E9144" s="720">
        <v>-7.9239954485008646E-3</v>
      </c>
      <c r="F9144" s="731">
        <v>-0.04</v>
      </c>
      <c r="G9144" s="444"/>
    </row>
    <row r="9145" spans="1:7" hidden="1" outlineLevel="1" x14ac:dyDescent="0.25">
      <c r="A9145" s="751" t="s">
        <v>4739</v>
      </c>
      <c r="B9145" s="728" t="s">
        <v>115</v>
      </c>
      <c r="C9145" s="719">
        <v>2894.6</v>
      </c>
      <c r="D9145" s="719">
        <v>2779.94</v>
      </c>
      <c r="E9145" s="720">
        <v>-3.9611690734471017E-2</v>
      </c>
      <c r="F9145" s="731">
        <v>-0.04</v>
      </c>
      <c r="G9145" s="444"/>
    </row>
    <row r="9146" spans="1:7" hidden="1" outlineLevel="1" x14ac:dyDescent="0.25">
      <c r="A9146" s="751" t="s">
        <v>4740</v>
      </c>
      <c r="B9146" s="728" t="s">
        <v>115</v>
      </c>
      <c r="C9146" s="719">
        <v>2779.94</v>
      </c>
      <c r="D9146" s="719">
        <v>2695.29</v>
      </c>
      <c r="E9146" s="720">
        <v>-3.0450297488435085E-2</v>
      </c>
      <c r="F9146" s="731">
        <v>-0.04</v>
      </c>
      <c r="G9146" s="444"/>
    </row>
    <row r="9147" spans="1:7" hidden="1" outlineLevel="1" x14ac:dyDescent="0.25">
      <c r="A9147" s="751" t="s">
        <v>4741</v>
      </c>
      <c r="B9147" s="726" t="s">
        <v>115</v>
      </c>
      <c r="C9147" s="719">
        <v>2695.29</v>
      </c>
      <c r="D9147" s="719">
        <v>2307.33</v>
      </c>
      <c r="E9147" s="720">
        <v>-0.14393998419465071</v>
      </c>
      <c r="F9147" s="731">
        <v>-0.04</v>
      </c>
      <c r="G9147" s="444"/>
    </row>
    <row r="9148" spans="1:7" hidden="1" outlineLevel="1" x14ac:dyDescent="0.25">
      <c r="A9148" s="751" t="s">
        <v>4742</v>
      </c>
      <c r="B9148" s="729" t="s">
        <v>115</v>
      </c>
      <c r="C9148" s="719">
        <v>2307.33</v>
      </c>
      <c r="D9148" s="719">
        <v>2083.38</v>
      </c>
      <c r="E9148" s="720">
        <v>-9.706023845743772E-2</v>
      </c>
      <c r="F9148" s="731">
        <v>-0.04</v>
      </c>
      <c r="G9148" s="444"/>
    </row>
    <row r="9149" spans="1:7" hidden="1" outlineLevel="1" x14ac:dyDescent="0.25">
      <c r="A9149" s="751" t="s">
        <v>4743</v>
      </c>
      <c r="B9149" s="729" t="s">
        <v>115</v>
      </c>
      <c r="C9149" s="719">
        <v>2083.38</v>
      </c>
      <c r="D9149" s="719">
        <v>2355.48</v>
      </c>
      <c r="E9149" s="720">
        <v>0.13060507444633229</v>
      </c>
      <c r="F9149" s="731">
        <v>0</v>
      </c>
      <c r="G9149" s="444"/>
    </row>
    <row r="9150" spans="1:7" hidden="1" outlineLevel="1" x14ac:dyDescent="0.25">
      <c r="A9150" s="751" t="s">
        <v>4744</v>
      </c>
      <c r="B9150" s="729" t="s">
        <v>115</v>
      </c>
      <c r="C9150" s="719">
        <v>2355.48</v>
      </c>
      <c r="D9150" s="719">
        <v>2288.3200000000002</v>
      </c>
      <c r="E9150" s="720">
        <v>-2.8512235298113309E-2</v>
      </c>
      <c r="F9150" s="731">
        <v>-0.04</v>
      </c>
      <c r="G9150" s="444"/>
    </row>
    <row r="9151" spans="1:7" hidden="1" outlineLevel="1" x14ac:dyDescent="0.25">
      <c r="A9151" s="751" t="s">
        <v>4745</v>
      </c>
      <c r="B9151" s="729" t="s">
        <v>115</v>
      </c>
      <c r="C9151" s="719">
        <v>2288.3200000000002</v>
      </c>
      <c r="D9151" s="719">
        <v>2205.91</v>
      </c>
      <c r="E9151" s="720">
        <v>-3.601331981541056E-2</v>
      </c>
      <c r="F9151" s="731">
        <v>-0.04</v>
      </c>
      <c r="G9151" s="444"/>
    </row>
    <row r="9152" spans="1:7" hidden="1" outlineLevel="1" x14ac:dyDescent="0.25">
      <c r="A9152" s="751" t="s">
        <v>4746</v>
      </c>
      <c r="B9152" s="729" t="s">
        <v>115</v>
      </c>
      <c r="C9152" s="719">
        <v>2205.91</v>
      </c>
      <c r="D9152" s="719">
        <v>2338.0100000000002</v>
      </c>
      <c r="E9152" s="720">
        <v>5.9884582779895945E-2</v>
      </c>
      <c r="F9152" s="731">
        <v>0</v>
      </c>
      <c r="G9152" s="444"/>
    </row>
    <row r="9153" spans="1:7" hidden="1" outlineLevel="1" x14ac:dyDescent="0.25">
      <c r="A9153" s="751" t="s">
        <v>4747</v>
      </c>
      <c r="B9153" s="729" t="s">
        <v>115</v>
      </c>
      <c r="C9153" s="719">
        <v>2338.0100000000002</v>
      </c>
      <c r="D9153" s="719">
        <v>2488.29</v>
      </c>
      <c r="E9153" s="720">
        <v>6.4276885043263121E-2</v>
      </c>
      <c r="F9153" s="731">
        <v>0</v>
      </c>
      <c r="G9153" s="444"/>
    </row>
    <row r="9154" spans="1:7" hidden="1" outlineLevel="1" x14ac:dyDescent="0.25">
      <c r="A9154" s="751" t="s">
        <v>4748</v>
      </c>
      <c r="B9154" s="729" t="s">
        <v>115</v>
      </c>
      <c r="C9154" s="719">
        <v>2488.29</v>
      </c>
      <c r="D9154" s="719">
        <v>2574.79</v>
      </c>
      <c r="E9154" s="720">
        <v>3.4762829091464331E-2</v>
      </c>
      <c r="F9154" s="731">
        <v>0</v>
      </c>
      <c r="G9154" s="444"/>
    </row>
    <row r="9155" spans="1:7" hidden="1" outlineLevel="1" x14ac:dyDescent="0.25">
      <c r="A9155" s="751" t="s">
        <v>4749</v>
      </c>
      <c r="B9155" s="729" t="s">
        <v>115</v>
      </c>
      <c r="C9155" s="719">
        <v>2574.79</v>
      </c>
      <c r="D9155" s="719">
        <v>2367.0500000000002</v>
      </c>
      <c r="E9155" s="720">
        <v>-8.0682308071726161E-2</v>
      </c>
      <c r="F9155" s="731">
        <v>-0.04</v>
      </c>
      <c r="G9155" s="444"/>
    </row>
    <row r="9156" spans="1:7" hidden="1" outlineLevel="1" x14ac:dyDescent="0.25">
      <c r="A9156" s="751" t="s">
        <v>4750</v>
      </c>
      <c r="B9156" s="729" t="s">
        <v>115</v>
      </c>
      <c r="C9156" s="719">
        <v>2367.0500000000002</v>
      </c>
      <c r="D9156" s="719">
        <v>2201.9499999999998</v>
      </c>
      <c r="E9156" s="720">
        <v>-6.9749265963963691E-2</v>
      </c>
      <c r="F9156" s="731">
        <v>-0.04</v>
      </c>
      <c r="G9156" s="444"/>
    </row>
    <row r="9157" spans="1:7" hidden="1" outlineLevel="1" x14ac:dyDescent="0.25">
      <c r="A9157" s="751" t="s">
        <v>4751</v>
      </c>
      <c r="B9157" s="729" t="s">
        <v>115</v>
      </c>
      <c r="C9157" s="719">
        <v>2201.9499999999998</v>
      </c>
      <c r="D9157" s="719">
        <v>2148.21</v>
      </c>
      <c r="E9157" s="720">
        <v>-2.4405640455051114E-2</v>
      </c>
      <c r="F9157" s="731">
        <v>-0.04</v>
      </c>
      <c r="G9157" s="444"/>
    </row>
    <row r="9158" spans="1:7" hidden="1" outlineLevel="1" x14ac:dyDescent="0.25">
      <c r="A9158" s="751" t="s">
        <v>4752</v>
      </c>
      <c r="B9158" s="729" t="s">
        <v>115</v>
      </c>
      <c r="C9158" s="719">
        <v>2148.21</v>
      </c>
      <c r="D9158" s="719">
        <v>2259.09</v>
      </c>
      <c r="E9158" s="720">
        <v>5.1615065566215534E-2</v>
      </c>
      <c r="F9158" s="731">
        <v>0</v>
      </c>
      <c r="G9158" s="444"/>
    </row>
    <row r="9159" spans="1:7" hidden="1" outlineLevel="1" x14ac:dyDescent="0.25">
      <c r="A9159" s="751" t="s">
        <v>4753</v>
      </c>
      <c r="B9159" s="729" t="s">
        <v>115</v>
      </c>
      <c r="C9159" s="719">
        <v>2259.09</v>
      </c>
      <c r="D9159" s="719">
        <v>2432.29</v>
      </c>
      <c r="E9159" s="720">
        <v>7.6668038900619129E-2</v>
      </c>
      <c r="F9159" s="731">
        <v>0</v>
      </c>
      <c r="G9159" s="444"/>
    </row>
    <row r="9160" spans="1:7" hidden="1" outlineLevel="1" x14ac:dyDescent="0.25">
      <c r="A9160" s="751" t="s">
        <v>4754</v>
      </c>
      <c r="B9160" s="729" t="s">
        <v>115</v>
      </c>
      <c r="C9160" s="719">
        <v>2432.29</v>
      </c>
      <c r="D9160" s="719">
        <v>2594.56</v>
      </c>
      <c r="E9160" s="720">
        <v>6.6714906528415607E-2</v>
      </c>
      <c r="F9160" s="731">
        <v>0</v>
      </c>
      <c r="G9160" s="444"/>
    </row>
    <row r="9161" spans="1:7" hidden="1" outlineLevel="1" x14ac:dyDescent="0.25">
      <c r="A9161" s="751" t="s">
        <v>4755</v>
      </c>
      <c r="B9161" s="729" t="s">
        <v>115</v>
      </c>
      <c r="C9161" s="719">
        <v>2594.56</v>
      </c>
      <c r="D9161" s="719">
        <v>2469.09</v>
      </c>
      <c r="E9161" s="720">
        <v>-4.8358873951652614E-2</v>
      </c>
      <c r="F9161" s="731">
        <v>-0.04</v>
      </c>
      <c r="G9161" s="444"/>
    </row>
    <row r="9162" spans="1:7" hidden="1" outlineLevel="1" x14ac:dyDescent="0.25">
      <c r="A9162" s="751" t="s">
        <v>4756</v>
      </c>
      <c r="B9162" s="729" t="s">
        <v>115</v>
      </c>
      <c r="C9162" s="719"/>
      <c r="D9162" s="719"/>
      <c r="E9162" s="720" t="s">
        <v>5590</v>
      </c>
      <c r="F9162" s="731" t="s">
        <v>5590</v>
      </c>
      <c r="G9162" s="444"/>
    </row>
    <row r="9163" spans="1:7" hidden="1" outlineLevel="1" x14ac:dyDescent="0.25">
      <c r="A9163" s="751" t="s">
        <v>4757</v>
      </c>
      <c r="B9163" s="729" t="s">
        <v>115</v>
      </c>
      <c r="C9163" s="719"/>
      <c r="D9163" s="719"/>
      <c r="E9163" s="720" t="s">
        <v>5590</v>
      </c>
      <c r="F9163" s="731" t="s">
        <v>5590</v>
      </c>
      <c r="G9163" s="444"/>
    </row>
    <row r="9164" spans="1:7" hidden="1" outlineLevel="1" x14ac:dyDescent="0.25">
      <c r="A9164" s="751" t="s">
        <v>4758</v>
      </c>
      <c r="B9164" s="729" t="s">
        <v>115</v>
      </c>
      <c r="C9164" s="719"/>
      <c r="D9164" s="719"/>
      <c r="E9164" s="720" t="s">
        <v>5590</v>
      </c>
      <c r="F9164" s="731" t="s">
        <v>5590</v>
      </c>
      <c r="G9164" s="444"/>
    </row>
    <row r="9165" spans="1:7" hidden="1" outlineLevel="1" x14ac:dyDescent="0.25">
      <c r="A9165" s="751" t="s">
        <v>4759</v>
      </c>
      <c r="B9165" s="729" t="s">
        <v>115</v>
      </c>
      <c r="C9165" s="719"/>
      <c r="D9165" s="719"/>
      <c r="E9165" s="720" t="s">
        <v>5590</v>
      </c>
      <c r="F9165" s="731" t="s">
        <v>5590</v>
      </c>
      <c r="G9165" s="444"/>
    </row>
    <row r="9166" spans="1:7" hidden="1" outlineLevel="1" x14ac:dyDescent="0.25">
      <c r="A9166" s="751" t="s">
        <v>4760</v>
      </c>
      <c r="B9166" s="729" t="s">
        <v>115</v>
      </c>
      <c r="C9166" s="719"/>
      <c r="D9166" s="719"/>
      <c r="E9166" s="720" t="s">
        <v>5590</v>
      </c>
      <c r="F9166" s="731" t="s">
        <v>5590</v>
      </c>
      <c r="G9166" s="444"/>
    </row>
    <row r="9167" spans="1:7" hidden="1" outlineLevel="1" x14ac:dyDescent="0.25">
      <c r="A9167" s="751" t="s">
        <v>4761</v>
      </c>
      <c r="B9167" s="729" t="s">
        <v>115</v>
      </c>
      <c r="C9167" s="719"/>
      <c r="D9167" s="719"/>
      <c r="E9167" s="720" t="s">
        <v>5590</v>
      </c>
      <c r="F9167" s="731" t="s">
        <v>5590</v>
      </c>
      <c r="G9167" s="444"/>
    </row>
    <row r="9168" spans="1:7" hidden="1" outlineLevel="1" x14ac:dyDescent="0.25">
      <c r="A9168" s="751" t="s">
        <v>4762</v>
      </c>
      <c r="B9168" s="729" t="s">
        <v>115</v>
      </c>
      <c r="C9168" s="719"/>
      <c r="D9168" s="719"/>
      <c r="E9168" s="720" t="s">
        <v>5590</v>
      </c>
      <c r="F9168" s="731" t="s">
        <v>5590</v>
      </c>
      <c r="G9168" s="444"/>
    </row>
    <row r="9169" spans="1:12" hidden="1" outlineLevel="1" x14ac:dyDescent="0.25">
      <c r="A9169" s="751" t="s">
        <v>4763</v>
      </c>
      <c r="B9169" s="729" t="s">
        <v>115</v>
      </c>
      <c r="C9169" s="719"/>
      <c r="D9169" s="719"/>
      <c r="E9169" s="720" t="s">
        <v>5590</v>
      </c>
      <c r="F9169" s="731" t="s">
        <v>5590</v>
      </c>
      <c r="G9169" s="444"/>
    </row>
    <row r="9170" spans="1:12" hidden="1" outlineLevel="1" x14ac:dyDescent="0.25">
      <c r="A9170" s="751" t="s">
        <v>4764</v>
      </c>
      <c r="B9170" s="729" t="s">
        <v>115</v>
      </c>
      <c r="C9170" s="719"/>
      <c r="D9170" s="719"/>
      <c r="E9170" s="720" t="s">
        <v>5590</v>
      </c>
      <c r="F9170" s="731" t="s">
        <v>5590</v>
      </c>
      <c r="G9170" s="444"/>
    </row>
    <row r="9171" spans="1:12" hidden="1" outlineLevel="1" x14ac:dyDescent="0.25">
      <c r="A9171" s="751" t="s">
        <v>4765</v>
      </c>
      <c r="B9171" s="729" t="s">
        <v>115</v>
      </c>
      <c r="C9171" s="719"/>
      <c r="D9171" s="719"/>
      <c r="E9171" s="720" t="s">
        <v>5590</v>
      </c>
      <c r="F9171" s="731" t="s">
        <v>5590</v>
      </c>
      <c r="G9171" s="444"/>
    </row>
    <row r="9172" spans="1:12" hidden="1" outlineLevel="1" x14ac:dyDescent="0.25">
      <c r="A9172" s="751" t="s">
        <v>4766</v>
      </c>
      <c r="B9172" s="729" t="s">
        <v>115</v>
      </c>
      <c r="C9172" s="719"/>
      <c r="D9172" s="719"/>
      <c r="E9172" s="720" t="s">
        <v>5590</v>
      </c>
      <c r="F9172" s="731" t="s">
        <v>5590</v>
      </c>
      <c r="G9172" s="444"/>
    </row>
    <row r="9173" spans="1:12" hidden="1" outlineLevel="1" x14ac:dyDescent="0.25">
      <c r="A9173" s="751" t="s">
        <v>4767</v>
      </c>
      <c r="B9173" s="729" t="s">
        <v>115</v>
      </c>
      <c r="C9173" s="719"/>
      <c r="D9173" s="719"/>
      <c r="E9173" s="720" t="s">
        <v>5590</v>
      </c>
      <c r="F9173" s="731" t="s">
        <v>5590</v>
      </c>
      <c r="G9173" s="444"/>
    </row>
    <row r="9174" spans="1:12" collapsed="1" x14ac:dyDescent="0.25">
      <c r="A9174" s="3801" t="s">
        <v>2371</v>
      </c>
      <c r="B9174" s="3802"/>
      <c r="C9174" s="3802"/>
      <c r="D9174" s="3802"/>
      <c r="E9174" s="721"/>
      <c r="F9174" s="722">
        <v>0</v>
      </c>
      <c r="G9174" s="175" t="s">
        <v>781</v>
      </c>
    </row>
    <row r="9175" spans="1:12" x14ac:dyDescent="0.25">
      <c r="G9175" s="444"/>
    </row>
    <row r="9176" spans="1:12" hidden="1" outlineLevel="1" x14ac:dyDescent="0.25">
      <c r="A9176" s="689" t="s">
        <v>113</v>
      </c>
      <c r="B9176" s="689" t="s">
        <v>114</v>
      </c>
      <c r="C9176" s="689" t="s">
        <v>112</v>
      </c>
      <c r="D9176" s="689" t="s">
        <v>116</v>
      </c>
      <c r="E9176" s="689" t="s">
        <v>117</v>
      </c>
      <c r="F9176" s="1188" t="s">
        <v>121</v>
      </c>
      <c r="G9176" s="443"/>
    </row>
    <row r="9177" spans="1:12" hidden="1" outlineLevel="1" x14ac:dyDescent="0.25">
      <c r="A9177" s="690">
        <v>1</v>
      </c>
      <c r="B9177" s="691" t="s">
        <v>252</v>
      </c>
      <c r="C9177" s="692">
        <v>100</v>
      </c>
      <c r="D9177" s="692"/>
      <c r="E9177" s="693"/>
      <c r="F9177" s="694"/>
      <c r="G9177" s="443"/>
    </row>
    <row r="9178" spans="1:12" hidden="1" outlineLevel="1" x14ac:dyDescent="0.25">
      <c r="A9178" s="695"/>
      <c r="B9178" s="695"/>
      <c r="C9178" s="696"/>
      <c r="D9178" s="697" t="s">
        <v>3702</v>
      </c>
      <c r="E9178" s="698">
        <v>42277</v>
      </c>
      <c r="F9178" s="699"/>
      <c r="G9178" s="443"/>
    </row>
    <row r="9179" spans="1:12" hidden="1" outlineLevel="1" x14ac:dyDescent="0.25">
      <c r="A9179" s="689" t="s">
        <v>4156</v>
      </c>
      <c r="B9179" s="495" t="s">
        <v>4153</v>
      </c>
      <c r="C9179" s="700" t="s">
        <v>112</v>
      </c>
      <c r="D9179" s="495" t="s">
        <v>4155</v>
      </c>
      <c r="E9179" s="495" t="s">
        <v>4154</v>
      </c>
      <c r="F9179" s="1021" t="s">
        <v>2519</v>
      </c>
      <c r="G9179" s="78"/>
      <c r="J9179" t="s">
        <v>2040</v>
      </c>
    </row>
    <row r="9180" spans="1:12" hidden="1" outlineLevel="1" x14ac:dyDescent="0.25">
      <c r="A9180" s="701">
        <v>2.5000000000000001E-2</v>
      </c>
      <c r="B9180" s="702" t="s">
        <v>1995</v>
      </c>
      <c r="C9180" s="1332">
        <v>50.372999999999998</v>
      </c>
      <c r="D9180" s="803">
        <v>40.22</v>
      </c>
      <c r="E9180" s="705">
        <v>-0.20155638933555675</v>
      </c>
      <c r="F9180" s="1021">
        <v>-5.0389097333889193E-3</v>
      </c>
      <c r="G9180" s="78"/>
      <c r="H9180" t="s">
        <v>2739</v>
      </c>
      <c r="J9180" s="256">
        <v>41730</v>
      </c>
      <c r="K9180">
        <v>130.75110000000001</v>
      </c>
      <c r="L9180" s="37">
        <v>0.30751100000000009</v>
      </c>
    </row>
    <row r="9181" spans="1:12" hidden="1" outlineLevel="1" x14ac:dyDescent="0.25">
      <c r="A9181" s="701">
        <v>4.4999999999999998E-2</v>
      </c>
      <c r="B9181" s="706" t="s">
        <v>359</v>
      </c>
      <c r="C9181" s="1333">
        <v>85.709000000000003</v>
      </c>
      <c r="D9181" s="908">
        <v>140.25</v>
      </c>
      <c r="E9181" s="709">
        <v>0.63635090830601215</v>
      </c>
      <c r="F9181" s="946">
        <v>2.8635790873770547E-2</v>
      </c>
      <c r="G9181" s="78"/>
      <c r="H9181" t="s">
        <v>360</v>
      </c>
      <c r="J9181" s="256">
        <v>41760</v>
      </c>
      <c r="K9181">
        <v>132.2747</v>
      </c>
      <c r="L9181" s="37">
        <v>0.3227469999999999</v>
      </c>
    </row>
    <row r="9182" spans="1:12" hidden="1" outlineLevel="1" x14ac:dyDescent="0.25">
      <c r="A9182" s="701">
        <v>3.5000000000000003E-2</v>
      </c>
      <c r="B9182" s="710" t="s">
        <v>157</v>
      </c>
      <c r="C9182" s="1333">
        <v>9.1889000000000003</v>
      </c>
      <c r="D9182" s="908">
        <v>4.7439999999999998</v>
      </c>
      <c r="E9182" s="709">
        <v>-0.48372492899041242</v>
      </c>
      <c r="F9182" s="946">
        <v>-1.6930372514664435E-2</v>
      </c>
      <c r="G9182" s="78"/>
      <c r="H9182" t="s">
        <v>730</v>
      </c>
      <c r="J9182" s="256">
        <v>41791</v>
      </c>
      <c r="K9182" s="424">
        <v>131.762</v>
      </c>
      <c r="L9182" s="37">
        <v>0.31762000000000001</v>
      </c>
    </row>
    <row r="9183" spans="1:12" hidden="1" outlineLevel="1" x14ac:dyDescent="0.25">
      <c r="A9183" s="701">
        <v>0.04</v>
      </c>
      <c r="B9183" s="706" t="s">
        <v>1188</v>
      </c>
      <c r="C9183" s="1333">
        <v>590.55999999999995</v>
      </c>
      <c r="D9183" s="908">
        <v>334</v>
      </c>
      <c r="E9183" s="709">
        <v>-0.43443511243565425</v>
      </c>
      <c r="F9183" s="946">
        <v>-1.7377404497426169E-2</v>
      </c>
      <c r="G9183" s="78"/>
      <c r="H9183" t="s">
        <v>2746</v>
      </c>
      <c r="J9183" s="256">
        <v>41821</v>
      </c>
      <c r="K9183">
        <v>128.7413</v>
      </c>
      <c r="L9183" s="37">
        <v>0.28741299999999992</v>
      </c>
    </row>
    <row r="9184" spans="1:12" hidden="1" outlineLevel="1" x14ac:dyDescent="0.25">
      <c r="A9184" s="701">
        <v>0.03</v>
      </c>
      <c r="B9184" s="706" t="s">
        <v>53</v>
      </c>
      <c r="C9184" s="1333">
        <v>43.666499999999999</v>
      </c>
      <c r="D9184" s="908">
        <v>56.42</v>
      </c>
      <c r="E9184" s="709">
        <v>0.29206600025190932</v>
      </c>
      <c r="F9184" s="946">
        <v>8.7619800075572785E-3</v>
      </c>
      <c r="G9184" s="78"/>
      <c r="H9184" t="s">
        <v>2751</v>
      </c>
      <c r="J9184" s="256">
        <v>41852</v>
      </c>
      <c r="K9184">
        <v>131.7603</v>
      </c>
      <c r="L9184" s="37">
        <v>0.31760300000000008</v>
      </c>
    </row>
    <row r="9185" spans="1:12" hidden="1" outlineLevel="1" x14ac:dyDescent="0.25">
      <c r="A9185" s="701">
        <v>4.4999999999999998E-2</v>
      </c>
      <c r="B9185" s="706" t="s">
        <v>2699</v>
      </c>
      <c r="C9185" s="1333">
        <v>12.563499999999999</v>
      </c>
      <c r="D9185" s="908">
        <v>24.774999999999999</v>
      </c>
      <c r="E9185" s="709">
        <v>0.97198232976479471</v>
      </c>
      <c r="F9185" s="946">
        <v>4.3739204839415763E-2</v>
      </c>
      <c r="G9185" s="78"/>
      <c r="H9185" t="s">
        <v>505</v>
      </c>
      <c r="J9185" s="256">
        <v>41883</v>
      </c>
      <c r="K9185">
        <v>132.49719999999999</v>
      </c>
      <c r="L9185" s="37">
        <v>0.32497199999999982</v>
      </c>
    </row>
    <row r="9186" spans="1:12" hidden="1" outlineLevel="1" x14ac:dyDescent="0.25">
      <c r="A9186" s="701">
        <v>2.5000000000000001E-2</v>
      </c>
      <c r="B9186" s="706" t="s">
        <v>3406</v>
      </c>
      <c r="C9186" s="1333">
        <v>1106.0999999999999</v>
      </c>
      <c r="D9186" s="908">
        <v>1770.5</v>
      </c>
      <c r="E9186" s="709">
        <v>0.60066901726787836</v>
      </c>
      <c r="F9186" s="946">
        <v>1.5016725431696959E-2</v>
      </c>
      <c r="G9186" s="78"/>
      <c r="H9186" t="s">
        <v>2105</v>
      </c>
      <c r="J9186" s="256">
        <v>41913</v>
      </c>
      <c r="K9186">
        <v>133.3989</v>
      </c>
      <c r="L9186" s="37">
        <v>0.33398899999999987</v>
      </c>
    </row>
    <row r="9187" spans="1:12" hidden="1" outlineLevel="1" x14ac:dyDescent="0.25">
      <c r="A9187" s="701">
        <v>3.5000000000000003E-2</v>
      </c>
      <c r="B9187" s="706" t="s">
        <v>4387</v>
      </c>
      <c r="C9187" s="1333">
        <v>27.922499999999999</v>
      </c>
      <c r="D9187" s="908">
        <v>7.6769999999999996</v>
      </c>
      <c r="E9187" s="709">
        <v>-0.72506043513295726</v>
      </c>
      <c r="F9187" s="946">
        <v>-2.5377115229653507E-2</v>
      </c>
      <c r="G9187" s="78"/>
      <c r="H9187" t="s">
        <v>3744</v>
      </c>
      <c r="J9187" s="256">
        <v>41944</v>
      </c>
      <c r="K9187">
        <v>138.8065</v>
      </c>
      <c r="L9187" s="37">
        <v>0.3880650000000001</v>
      </c>
    </row>
    <row r="9188" spans="1:12" hidden="1" outlineLevel="1" x14ac:dyDescent="0.25">
      <c r="A9188" s="701">
        <v>0.04</v>
      </c>
      <c r="B9188" s="706" t="s">
        <v>3798</v>
      </c>
      <c r="C9188" s="1333">
        <v>3.9455</v>
      </c>
      <c r="D9188" s="908">
        <v>3.988</v>
      </c>
      <c r="E9188" s="709">
        <v>1.0771765302242997E-2</v>
      </c>
      <c r="F9188" s="946">
        <v>4.3087061208971992E-4</v>
      </c>
      <c r="G9188" s="78"/>
      <c r="H9188" t="s">
        <v>4122</v>
      </c>
      <c r="J9188" s="256">
        <v>41974</v>
      </c>
      <c r="K9188">
        <v>136.5181</v>
      </c>
      <c r="L9188" s="37">
        <v>0.36518099999999998</v>
      </c>
    </row>
    <row r="9189" spans="1:12" hidden="1" outlineLevel="1" x14ac:dyDescent="0.25">
      <c r="A9189" s="701">
        <v>0.03</v>
      </c>
      <c r="B9189" s="711" t="s">
        <v>7227</v>
      </c>
      <c r="C9189" s="1333">
        <v>26.774000000000001</v>
      </c>
      <c r="D9189" s="908">
        <v>14.427999999999997</v>
      </c>
      <c r="E9189" s="709">
        <v>-0.46111899604093531</v>
      </c>
      <c r="F9189" s="946">
        <v>-1.383356988122806E-2</v>
      </c>
      <c r="G9189" s="78"/>
      <c r="H9189" t="s">
        <v>7229</v>
      </c>
      <c r="J9189" s="256">
        <v>42005</v>
      </c>
      <c r="K9189">
        <v>139.69730000000001</v>
      </c>
      <c r="L9189" s="37">
        <v>0.39697300000000002</v>
      </c>
    </row>
    <row r="9190" spans="1:12" hidden="1" outlineLevel="1" x14ac:dyDescent="0.25">
      <c r="A9190" s="701">
        <v>0.03</v>
      </c>
      <c r="B9190" s="706" t="s">
        <v>307</v>
      </c>
      <c r="C9190" s="1333">
        <v>35.466000000000001</v>
      </c>
      <c r="D9190" s="908">
        <v>115.49</v>
      </c>
      <c r="E9190" s="709">
        <v>2.256358202221846</v>
      </c>
      <c r="F9190" s="946">
        <v>6.7690746066655372E-2</v>
      </c>
      <c r="G9190" s="78"/>
      <c r="H9190" t="s">
        <v>1700</v>
      </c>
      <c r="J9190" s="256">
        <v>42036</v>
      </c>
      <c r="K9190">
        <v>145.18049999999999</v>
      </c>
      <c r="L9190" s="37">
        <v>0.45180500000000001</v>
      </c>
    </row>
    <row r="9191" spans="1:12" hidden="1" outlineLevel="1" x14ac:dyDescent="0.25">
      <c r="A9191" s="701">
        <v>0.03</v>
      </c>
      <c r="B9191" s="706" t="s">
        <v>1031</v>
      </c>
      <c r="C9191" s="1333">
        <v>5.8825000000000003</v>
      </c>
      <c r="D9191" s="908">
        <v>5.9470000000000001</v>
      </c>
      <c r="E9191" s="709">
        <v>1.0964725881852821E-2</v>
      </c>
      <c r="F9191" s="946">
        <v>3.2894177645558464E-4</v>
      </c>
      <c r="G9191" s="78"/>
      <c r="H9191" t="s">
        <v>4158</v>
      </c>
      <c r="J9191" s="256">
        <v>42064</v>
      </c>
      <c r="K9191">
        <v>146.1677</v>
      </c>
      <c r="L9191" s="37">
        <v>0.46167699999999989</v>
      </c>
    </row>
    <row r="9192" spans="1:12" hidden="1" outlineLevel="1" x14ac:dyDescent="0.25">
      <c r="A9192" s="701">
        <v>0.03</v>
      </c>
      <c r="B9192" s="706" t="s">
        <v>52</v>
      </c>
      <c r="C9192" s="1333">
        <v>128.82</v>
      </c>
      <c r="D9192" s="908">
        <v>144.97</v>
      </c>
      <c r="E9192" s="709">
        <v>0.12536873156342199</v>
      </c>
      <c r="F9192" s="946">
        <v>3.7610619469026596E-3</v>
      </c>
      <c r="G9192" s="78"/>
      <c r="H9192" t="s">
        <v>4130</v>
      </c>
      <c r="J9192" s="256">
        <v>42095</v>
      </c>
      <c r="K9192">
        <v>145.1705</v>
      </c>
      <c r="L9192" s="37">
        <v>0.45170500000000002</v>
      </c>
    </row>
    <row r="9193" spans="1:12" hidden="1" outlineLevel="1" x14ac:dyDescent="0.25">
      <c r="A9193" s="701">
        <v>0.03</v>
      </c>
      <c r="B9193" s="706" t="s">
        <v>4034</v>
      </c>
      <c r="C9193" s="1333">
        <v>10.2158</v>
      </c>
      <c r="D9193" s="908">
        <v>17.41</v>
      </c>
      <c r="E9193" s="709">
        <v>0.70422287045556886</v>
      </c>
      <c r="F9193" s="946">
        <v>2.1126686113667064E-2</v>
      </c>
      <c r="G9193" s="78"/>
      <c r="H9193" t="s">
        <v>4035</v>
      </c>
      <c r="J9193" s="256">
        <v>42125</v>
      </c>
      <c r="K9193">
        <v>146.13560000000001</v>
      </c>
      <c r="L9193" s="37">
        <v>0.4613560000000001</v>
      </c>
    </row>
    <row r="9194" spans="1:12" hidden="1" outlineLevel="1" x14ac:dyDescent="0.25">
      <c r="A9194" s="701">
        <v>3.5000000000000003E-2</v>
      </c>
      <c r="B9194" s="1089" t="s">
        <v>4143</v>
      </c>
      <c r="C9194" s="1333">
        <v>11.03</v>
      </c>
      <c r="D9194" s="908">
        <v>3.3439999999999999</v>
      </c>
      <c r="E9194" s="709">
        <v>-0.69682683590208527</v>
      </c>
      <c r="F9194" s="946">
        <v>-2.4388939256572987E-2</v>
      </c>
      <c r="G9194" s="78"/>
      <c r="H9194" t="s">
        <v>4144</v>
      </c>
      <c r="J9194" s="256">
        <v>42156</v>
      </c>
      <c r="K9194">
        <v>139.5052</v>
      </c>
      <c r="L9194" s="37">
        <v>0.39505199999999996</v>
      </c>
    </row>
    <row r="9195" spans="1:12" hidden="1" outlineLevel="1" x14ac:dyDescent="0.25">
      <c r="A9195" s="701">
        <v>2.5000000000000001E-2</v>
      </c>
      <c r="B9195" s="1089" t="s">
        <v>2160</v>
      </c>
      <c r="C9195" s="1333">
        <v>29.736999999999998</v>
      </c>
      <c r="D9195" s="908">
        <v>88.19</v>
      </c>
      <c r="E9195" s="709">
        <v>1.9656656690318459</v>
      </c>
      <c r="F9195" s="946">
        <v>4.9141641725796152E-2</v>
      </c>
      <c r="G9195" s="78"/>
      <c r="H9195" t="s">
        <v>5507</v>
      </c>
      <c r="J9195" s="256">
        <v>42186</v>
      </c>
      <c r="K9195">
        <v>146.83750000000001</v>
      </c>
      <c r="L9195" s="37">
        <v>0.46837499999999999</v>
      </c>
    </row>
    <row r="9196" spans="1:12" hidden="1" outlineLevel="1" x14ac:dyDescent="0.25">
      <c r="A9196" s="701">
        <v>0.04</v>
      </c>
      <c r="B9196" s="1089" t="s">
        <v>1772</v>
      </c>
      <c r="C9196" s="1333">
        <v>109.91</v>
      </c>
      <c r="D9196" s="908">
        <v>166.75</v>
      </c>
      <c r="E9196" s="709">
        <v>0.51715039577836408</v>
      </c>
      <c r="F9196" s="946">
        <v>2.0686015831134563E-2</v>
      </c>
      <c r="G9196" s="78"/>
      <c r="H9196" t="s">
        <v>4330</v>
      </c>
      <c r="J9196" s="256">
        <v>42217</v>
      </c>
      <c r="K9196">
        <v>138.11850000000001</v>
      </c>
      <c r="L9196" s="37">
        <v>0.38118500000000011</v>
      </c>
    </row>
    <row r="9197" spans="1:12" hidden="1" outlineLevel="1" x14ac:dyDescent="0.25">
      <c r="A9197" s="701">
        <v>0.03</v>
      </c>
      <c r="B9197" s="1089" t="s">
        <v>2786</v>
      </c>
      <c r="C9197" s="1333">
        <v>630.04999999999995</v>
      </c>
      <c r="D9197" s="908">
        <v>918.9</v>
      </c>
      <c r="E9197" s="709">
        <v>0.45845567812078403</v>
      </c>
      <c r="F9197" s="946">
        <v>1.3753670343623521E-2</v>
      </c>
      <c r="G9197" s="78"/>
      <c r="H9197" t="s">
        <v>4195</v>
      </c>
      <c r="J9197" s="256">
        <v>42248</v>
      </c>
      <c r="K9197">
        <v>134.43989999999999</v>
      </c>
      <c r="L9197" s="37">
        <v>0.3443989999999999</v>
      </c>
    </row>
    <row r="9198" spans="1:12" hidden="1" outlineLevel="1" x14ac:dyDescent="0.25">
      <c r="A9198" s="701">
        <v>0.03</v>
      </c>
      <c r="B9198" s="1089" t="s">
        <v>3797</v>
      </c>
      <c r="C9198" s="1333">
        <v>52.625</v>
      </c>
      <c r="D9198" s="908">
        <v>73.25</v>
      </c>
      <c r="E9198" s="709">
        <v>0.39192399049881232</v>
      </c>
      <c r="F9198" s="946">
        <v>1.1757719714964369E-2</v>
      </c>
      <c r="G9198" s="78"/>
      <c r="H9198" t="s">
        <v>3848</v>
      </c>
      <c r="J9198" s="412" t="s">
        <v>2465</v>
      </c>
      <c r="L9198" s="362">
        <v>0.37653488888888892</v>
      </c>
    </row>
    <row r="9199" spans="1:12" hidden="1" outlineLevel="1" x14ac:dyDescent="0.25">
      <c r="A9199" s="701">
        <v>0.03</v>
      </c>
      <c r="B9199" s="1089" t="s">
        <v>2787</v>
      </c>
      <c r="C9199" s="1333">
        <v>55.145000000000003</v>
      </c>
      <c r="D9199" s="908">
        <v>89.4</v>
      </c>
      <c r="E9199" s="709">
        <v>0.6211805240728987</v>
      </c>
      <c r="F9199" s="946">
        <v>1.8635415722186962E-2</v>
      </c>
      <c r="G9199" s="78"/>
      <c r="H9199" t="s">
        <v>80</v>
      </c>
      <c r="J9199" s="412" t="s">
        <v>5221</v>
      </c>
      <c r="L9199" s="362">
        <v>0.33888140000000005</v>
      </c>
    </row>
    <row r="9200" spans="1:12" hidden="1" outlineLevel="1" x14ac:dyDescent="0.25">
      <c r="A9200" s="701">
        <v>0.04</v>
      </c>
      <c r="B9200" s="1089" t="s">
        <v>1204</v>
      </c>
      <c r="C9200" s="1333">
        <v>65.015000000000001</v>
      </c>
      <c r="D9200" s="908">
        <v>94.3</v>
      </c>
      <c r="E9200" s="709">
        <v>0.45043451511189714</v>
      </c>
      <c r="F9200" s="946">
        <v>1.8017380604475886E-2</v>
      </c>
      <c r="G9200" s="78"/>
      <c r="H9200" t="s">
        <v>2427</v>
      </c>
    </row>
    <row r="9201" spans="1:8" hidden="1" outlineLevel="1" x14ac:dyDescent="0.25">
      <c r="A9201" s="701">
        <v>3.5000000000000003E-2</v>
      </c>
      <c r="B9201" s="1089" t="s">
        <v>1414</v>
      </c>
      <c r="C9201" s="1333">
        <v>16.838999999999999</v>
      </c>
      <c r="D9201" s="908">
        <v>31.41</v>
      </c>
      <c r="E9201" s="709">
        <v>0.86531266702298248</v>
      </c>
      <c r="F9201" s="946">
        <v>3.0285943345804391E-2</v>
      </c>
      <c r="G9201" s="78"/>
      <c r="H9201" t="s">
        <v>2428</v>
      </c>
    </row>
    <row r="9202" spans="1:8" hidden="1" outlineLevel="1" x14ac:dyDescent="0.25">
      <c r="A9202" s="701">
        <v>3.5000000000000003E-2</v>
      </c>
      <c r="B9202" s="1089" t="s">
        <v>3800</v>
      </c>
      <c r="C9202" s="1333">
        <v>168.79</v>
      </c>
      <c r="D9202" s="908">
        <v>257</v>
      </c>
      <c r="E9202" s="709">
        <v>0.5226020498844719</v>
      </c>
      <c r="F9202" s="946">
        <v>1.8291071745956518E-2</v>
      </c>
      <c r="G9202" s="78"/>
      <c r="H9202" t="s">
        <v>2817</v>
      </c>
    </row>
    <row r="9203" spans="1:8" hidden="1" outlineLevel="1" x14ac:dyDescent="0.25">
      <c r="A9203" s="701">
        <v>0.04</v>
      </c>
      <c r="B9203" s="706" t="s">
        <v>1857</v>
      </c>
      <c r="C9203" s="1333">
        <v>1095.5999999999999</v>
      </c>
      <c r="D9203" s="908">
        <v>1496</v>
      </c>
      <c r="E9203" s="709">
        <v>0.36546184738955834</v>
      </c>
      <c r="F9203" s="946">
        <v>1.4618473895582334E-2</v>
      </c>
      <c r="G9203" s="78"/>
      <c r="H9203" t="s">
        <v>3559</v>
      </c>
    </row>
    <row r="9204" spans="1:8" hidden="1" outlineLevel="1" x14ac:dyDescent="0.25">
      <c r="A9204" s="701">
        <v>2.5000000000000001E-2</v>
      </c>
      <c r="B9204" s="1089" t="s">
        <v>1239</v>
      </c>
      <c r="C9204" s="1333">
        <v>374.79</v>
      </c>
      <c r="D9204" s="908">
        <v>486.2</v>
      </c>
      <c r="E9204" s="709">
        <v>0.29725979882067288</v>
      </c>
      <c r="F9204" s="946">
        <v>7.4314949705168226E-3</v>
      </c>
      <c r="G9204" s="78"/>
      <c r="H9204" t="s">
        <v>268</v>
      </c>
    </row>
    <row r="9205" spans="1:8" hidden="1" outlineLevel="1" x14ac:dyDescent="0.25">
      <c r="A9205" s="701">
        <v>0.03</v>
      </c>
      <c r="B9205" s="1089" t="s">
        <v>3022</v>
      </c>
      <c r="C9205" s="1333">
        <v>3972.5</v>
      </c>
      <c r="D9205" s="908">
        <v>5237</v>
      </c>
      <c r="E9205" s="709">
        <v>0.31831340465701707</v>
      </c>
      <c r="F9205" s="946">
        <v>9.5494021397105125E-3</v>
      </c>
      <c r="G9205" s="78"/>
      <c r="H9205" t="s">
        <v>2802</v>
      </c>
    </row>
    <row r="9206" spans="1:8" hidden="1" outlineLevel="1" x14ac:dyDescent="0.25">
      <c r="A9206" s="701">
        <v>0.03</v>
      </c>
      <c r="B9206" s="1089" t="s">
        <v>577</v>
      </c>
      <c r="C9206" s="1333">
        <v>16.711500000000001</v>
      </c>
      <c r="D9206" s="908">
        <v>10.83</v>
      </c>
      <c r="E9206" s="709">
        <v>-0.35194327259671487</v>
      </c>
      <c r="F9206" s="946">
        <v>-1.0558298177901446E-2</v>
      </c>
      <c r="G9206" s="78"/>
      <c r="H9206" t="s">
        <v>2804</v>
      </c>
    </row>
    <row r="9207" spans="1:8" hidden="1" outlineLevel="1" x14ac:dyDescent="0.25">
      <c r="A9207" s="701">
        <v>3.5000000000000003E-2</v>
      </c>
      <c r="B9207" s="1089" t="s">
        <v>719</v>
      </c>
      <c r="C9207" s="1333">
        <v>41.526000000000003</v>
      </c>
      <c r="D9207" s="908">
        <v>56.71</v>
      </c>
      <c r="E9207" s="709">
        <v>0.36565043587150203</v>
      </c>
      <c r="F9207" s="946">
        <v>1.2797765255502573E-2</v>
      </c>
      <c r="G9207" s="78"/>
      <c r="H9207" t="s">
        <v>1697</v>
      </c>
    </row>
    <row r="9208" spans="1:8" hidden="1" outlineLevel="1" x14ac:dyDescent="0.25">
      <c r="A9208" s="701">
        <v>3.5000000000000003E-2</v>
      </c>
      <c r="B9208" s="1089" t="s">
        <v>579</v>
      </c>
      <c r="C9208" s="1333">
        <v>142.63999999999999</v>
      </c>
      <c r="D9208" s="908">
        <v>208.45</v>
      </c>
      <c r="E9208" s="709">
        <v>0.46137128435221553</v>
      </c>
      <c r="F9208" s="946">
        <v>1.6147994952327546E-2</v>
      </c>
      <c r="G9208" s="78"/>
      <c r="H9208" t="s">
        <v>3611</v>
      </c>
    </row>
    <row r="9209" spans="1:8" hidden="1" outlineLevel="1" x14ac:dyDescent="0.25">
      <c r="A9209" s="701">
        <v>3.5000000000000003E-2</v>
      </c>
      <c r="B9209" s="713" t="s">
        <v>4550</v>
      </c>
      <c r="C9209" s="1334">
        <v>240.89</v>
      </c>
      <c r="D9209" s="715">
        <v>239.2</v>
      </c>
      <c r="E9209" s="716">
        <v>-7.0156502968159451E-3</v>
      </c>
      <c r="F9209" s="1023">
        <v>-2.4554776038855809E-4</v>
      </c>
      <c r="G9209" s="78"/>
      <c r="H9209" t="s">
        <v>4551</v>
      </c>
    </row>
    <row r="9210" spans="1:8" hidden="1" outlineLevel="1" x14ac:dyDescent="0.25">
      <c r="A9210" s="717"/>
      <c r="B9210" s="750"/>
      <c r="C9210" s="727"/>
      <c r="D9210" s="727"/>
      <c r="E9210" s="716"/>
      <c r="F9210" s="770">
        <v>0.31685584086456903</v>
      </c>
      <c r="G9210" s="78"/>
    </row>
    <row r="9211" spans="1:8" collapsed="1" x14ac:dyDescent="0.25">
      <c r="A9211" s="3801" t="s">
        <v>814</v>
      </c>
      <c r="B9211" s="3802"/>
      <c r="C9211" s="3802"/>
      <c r="D9211" s="3802"/>
      <c r="E9211" s="721"/>
      <c r="F9211" s="722">
        <v>0.33888140000000005</v>
      </c>
      <c r="G9211" s="175" t="s">
        <v>781</v>
      </c>
    </row>
    <row r="9213" spans="1:8" hidden="1" outlineLevel="1" x14ac:dyDescent="0.25">
      <c r="A9213" s="689" t="s">
        <v>113</v>
      </c>
      <c r="B9213" s="689" t="s">
        <v>114</v>
      </c>
      <c r="C9213" s="689" t="s">
        <v>112</v>
      </c>
      <c r="D9213" s="689" t="s">
        <v>116</v>
      </c>
      <c r="E9213" s="689" t="s">
        <v>117</v>
      </c>
      <c r="F9213" s="1188" t="s">
        <v>121</v>
      </c>
    </row>
    <row r="9214" spans="1:8" hidden="1" outlineLevel="1" x14ac:dyDescent="0.25">
      <c r="A9214" s="751" t="s">
        <v>4662</v>
      </c>
      <c r="B9214" s="729" t="s">
        <v>115</v>
      </c>
      <c r="C9214" s="1105">
        <v>2819.8270000000002</v>
      </c>
      <c r="D9214" s="1105">
        <v>2920.4</v>
      </c>
      <c r="E9214" s="907">
        <v>3.5666372440578797E-2</v>
      </c>
      <c r="F9214" s="731">
        <v>0</v>
      </c>
    </row>
    <row r="9215" spans="1:8" hidden="1" outlineLevel="1" x14ac:dyDescent="0.25">
      <c r="A9215" s="751" t="s">
        <v>4663</v>
      </c>
      <c r="B9215" s="729" t="s">
        <v>115</v>
      </c>
      <c r="C9215" s="1105">
        <v>2920.4</v>
      </c>
      <c r="D9215" s="1105">
        <v>3018.38</v>
      </c>
      <c r="E9215" s="907">
        <v>3.3550198602931181E-2</v>
      </c>
      <c r="F9215" s="731">
        <v>0</v>
      </c>
    </row>
    <row r="9216" spans="1:8" hidden="1" outlineLevel="1" x14ac:dyDescent="0.25">
      <c r="A9216" s="751" t="s">
        <v>4664</v>
      </c>
      <c r="B9216" s="729" t="s">
        <v>115</v>
      </c>
      <c r="C9216" s="1105">
        <v>3018.38</v>
      </c>
      <c r="D9216" s="1105">
        <v>2852.11</v>
      </c>
      <c r="E9216" s="907">
        <v>-5.5085840749011017E-2</v>
      </c>
      <c r="F9216" s="731">
        <v>-5.5085840749011017E-2</v>
      </c>
    </row>
    <row r="9217" spans="1:6" hidden="1" outlineLevel="1" x14ac:dyDescent="0.25">
      <c r="A9217" s="751" t="s">
        <v>4665</v>
      </c>
      <c r="B9217" s="729" t="s">
        <v>115</v>
      </c>
      <c r="C9217" s="1105">
        <v>2852.11</v>
      </c>
      <c r="D9217" s="1105">
        <v>2917.72</v>
      </c>
      <c r="E9217" s="907">
        <v>2.3004021584020151E-2</v>
      </c>
      <c r="F9217" s="731">
        <v>0</v>
      </c>
    </row>
    <row r="9218" spans="1:6" hidden="1" outlineLevel="1" x14ac:dyDescent="0.25">
      <c r="A9218" s="751" t="s">
        <v>4666</v>
      </c>
      <c r="B9218" s="729" t="s">
        <v>115</v>
      </c>
      <c r="C9218" s="1105">
        <v>2917.72</v>
      </c>
      <c r="D9218" s="1105">
        <v>2894.6</v>
      </c>
      <c r="E9218" s="907">
        <v>-7.9239954485008646E-3</v>
      </c>
      <c r="F9218" s="731">
        <v>-7.9239954485008646E-3</v>
      </c>
    </row>
    <row r="9219" spans="1:6" hidden="1" outlineLevel="1" x14ac:dyDescent="0.25">
      <c r="A9219" s="751" t="s">
        <v>4667</v>
      </c>
      <c r="B9219" s="729" t="s">
        <v>115</v>
      </c>
      <c r="C9219" s="1105">
        <v>2894.6</v>
      </c>
      <c r="D9219" s="1105">
        <v>2779.94</v>
      </c>
      <c r="E9219" s="907">
        <v>-3.9611690734471017E-2</v>
      </c>
      <c r="F9219" s="731">
        <v>-3.9611690734471017E-2</v>
      </c>
    </row>
    <row r="9220" spans="1:6" hidden="1" outlineLevel="1" x14ac:dyDescent="0.25">
      <c r="A9220" s="751" t="s">
        <v>4668</v>
      </c>
      <c r="B9220" s="729" t="s">
        <v>115</v>
      </c>
      <c r="C9220" s="1105">
        <v>2779.94</v>
      </c>
      <c r="D9220" s="1105">
        <v>2695.29</v>
      </c>
      <c r="E9220" s="907">
        <v>-3.0450297488435085E-2</v>
      </c>
      <c r="F9220" s="731">
        <v>-3.0450297488435085E-2</v>
      </c>
    </row>
    <row r="9221" spans="1:6" hidden="1" outlineLevel="1" x14ac:dyDescent="0.25">
      <c r="A9221" s="751" t="s">
        <v>4669</v>
      </c>
      <c r="B9221" s="729" t="s">
        <v>115</v>
      </c>
      <c r="C9221" s="1105">
        <v>2695.29</v>
      </c>
      <c r="D9221" s="1105">
        <v>2307.33</v>
      </c>
      <c r="E9221" s="907">
        <v>-0.14393998419465071</v>
      </c>
      <c r="F9221" s="731">
        <v>-0.14393998419465071</v>
      </c>
    </row>
    <row r="9222" spans="1:6" hidden="1" outlineLevel="1" x14ac:dyDescent="0.25">
      <c r="A9222" s="751" t="s">
        <v>4670</v>
      </c>
      <c r="B9222" s="729" t="s">
        <v>115</v>
      </c>
      <c r="C9222" s="1105">
        <v>2307.33</v>
      </c>
      <c r="D9222" s="1105">
        <v>2083.38</v>
      </c>
      <c r="E9222" s="907">
        <v>-9.706023845743772E-2</v>
      </c>
      <c r="F9222" s="731">
        <v>-9.706023845743772E-2</v>
      </c>
    </row>
    <row r="9223" spans="1:6" hidden="1" outlineLevel="1" x14ac:dyDescent="0.25">
      <c r="A9223" s="751" t="s">
        <v>4671</v>
      </c>
      <c r="B9223" s="729" t="s">
        <v>115</v>
      </c>
      <c r="C9223" s="1105">
        <v>2083.38</v>
      </c>
      <c r="D9223" s="1105">
        <v>2355.48</v>
      </c>
      <c r="E9223" s="907">
        <v>0.13060507444633229</v>
      </c>
      <c r="F9223" s="731">
        <v>0</v>
      </c>
    </row>
    <row r="9224" spans="1:6" hidden="1" outlineLevel="1" x14ac:dyDescent="0.25">
      <c r="A9224" s="751" t="s">
        <v>4672</v>
      </c>
      <c r="B9224" s="729" t="s">
        <v>115</v>
      </c>
      <c r="C9224" s="1105">
        <v>2355.48</v>
      </c>
      <c r="D9224" s="1105">
        <v>2288.3200000000002</v>
      </c>
      <c r="E9224" s="907">
        <v>-2.8512235298113309E-2</v>
      </c>
      <c r="F9224" s="731">
        <v>-2.8512235298113309E-2</v>
      </c>
    </row>
    <row r="9225" spans="1:6" hidden="1" outlineLevel="1" x14ac:dyDescent="0.25">
      <c r="A9225" s="751" t="s">
        <v>4673</v>
      </c>
      <c r="B9225" s="729" t="s">
        <v>115</v>
      </c>
      <c r="C9225" s="1105"/>
      <c r="D9225" s="1105"/>
      <c r="E9225" s="907" t="s">
        <v>5590</v>
      </c>
      <c r="F9225" s="731" t="s">
        <v>5590</v>
      </c>
    </row>
    <row r="9226" spans="1:6" hidden="1" outlineLevel="1" x14ac:dyDescent="0.25">
      <c r="A9226" s="751" t="s">
        <v>4674</v>
      </c>
      <c r="B9226" s="729" t="s">
        <v>115</v>
      </c>
      <c r="C9226" s="1105"/>
      <c r="D9226" s="1105"/>
      <c r="E9226" s="907"/>
      <c r="F9226" s="731"/>
    </row>
    <row r="9227" spans="1:6" hidden="1" outlineLevel="1" x14ac:dyDescent="0.25">
      <c r="A9227" s="751" t="s">
        <v>4675</v>
      </c>
      <c r="B9227" s="729" t="s">
        <v>115</v>
      </c>
      <c r="C9227" s="1105"/>
      <c r="D9227" s="1105"/>
      <c r="E9227" s="907"/>
      <c r="F9227" s="731"/>
    </row>
    <row r="9228" spans="1:6" hidden="1" outlineLevel="1" x14ac:dyDescent="0.25">
      <c r="A9228" s="751" t="s">
        <v>4676</v>
      </c>
      <c r="B9228" s="729" t="s">
        <v>115</v>
      </c>
      <c r="C9228" s="1105"/>
      <c r="D9228" s="1105"/>
      <c r="E9228" s="907"/>
      <c r="F9228" s="731"/>
    </row>
    <row r="9229" spans="1:6" hidden="1" outlineLevel="1" x14ac:dyDescent="0.25">
      <c r="A9229" s="751" t="s">
        <v>4677</v>
      </c>
      <c r="B9229" s="729" t="s">
        <v>115</v>
      </c>
      <c r="C9229" s="1105"/>
      <c r="D9229" s="1105"/>
      <c r="E9229" s="907"/>
      <c r="F9229" s="731"/>
    </row>
    <row r="9230" spans="1:6" hidden="1" outlineLevel="1" x14ac:dyDescent="0.25">
      <c r="A9230" s="751" t="s">
        <v>4678</v>
      </c>
      <c r="B9230" s="729" t="s">
        <v>115</v>
      </c>
      <c r="C9230" s="1105"/>
      <c r="D9230" s="1105"/>
      <c r="E9230" s="907"/>
      <c r="F9230" s="731"/>
    </row>
    <row r="9231" spans="1:6" hidden="1" outlineLevel="1" x14ac:dyDescent="0.25">
      <c r="A9231" s="751" t="s">
        <v>4679</v>
      </c>
      <c r="B9231" s="729" t="s">
        <v>115</v>
      </c>
      <c r="C9231" s="1105"/>
      <c r="D9231" s="1105"/>
      <c r="E9231" s="907"/>
      <c r="F9231" s="731"/>
    </row>
    <row r="9232" spans="1:6" hidden="1" outlineLevel="1" x14ac:dyDescent="0.25">
      <c r="A9232" s="751" t="s">
        <v>4680</v>
      </c>
      <c r="B9232" s="729" t="s">
        <v>115</v>
      </c>
      <c r="C9232" s="1105"/>
      <c r="D9232" s="1105"/>
      <c r="E9232" s="907" t="s">
        <v>5590</v>
      </c>
      <c r="F9232" s="731" t="s">
        <v>5590</v>
      </c>
    </row>
    <row r="9233" spans="1:7" hidden="1" outlineLevel="1" x14ac:dyDescent="0.25">
      <c r="A9233" s="751" t="s">
        <v>4681</v>
      </c>
      <c r="B9233" s="729" t="s">
        <v>115</v>
      </c>
      <c r="C9233" s="1105"/>
      <c r="D9233" s="1105"/>
      <c r="E9233" s="907" t="s">
        <v>5590</v>
      </c>
      <c r="F9233" s="731" t="s">
        <v>5590</v>
      </c>
    </row>
    <row r="9234" spans="1:7" hidden="1" outlineLevel="1" x14ac:dyDescent="0.25">
      <c r="A9234" s="751" t="s">
        <v>4682</v>
      </c>
      <c r="B9234" s="729" t="s">
        <v>115</v>
      </c>
      <c r="C9234" s="1105"/>
      <c r="D9234" s="1105"/>
      <c r="E9234" s="907" t="s">
        <v>5590</v>
      </c>
      <c r="F9234" s="731" t="s">
        <v>5590</v>
      </c>
    </row>
    <row r="9235" spans="1:7" hidden="1" outlineLevel="1" x14ac:dyDescent="0.25">
      <c r="A9235" s="751" t="s">
        <v>4683</v>
      </c>
      <c r="B9235" s="729" t="s">
        <v>115</v>
      </c>
      <c r="C9235" s="1105"/>
      <c r="D9235" s="1105"/>
      <c r="E9235" s="907" t="s">
        <v>5590</v>
      </c>
      <c r="F9235" s="731" t="s">
        <v>5590</v>
      </c>
    </row>
    <row r="9236" spans="1:7" hidden="1" outlineLevel="1" x14ac:dyDescent="0.25">
      <c r="A9236" s="751" t="s">
        <v>4684</v>
      </c>
      <c r="B9236" s="729" t="s">
        <v>115</v>
      </c>
      <c r="C9236" s="1105"/>
      <c r="D9236" s="1105"/>
      <c r="E9236" s="907" t="s">
        <v>5590</v>
      </c>
      <c r="F9236" s="731" t="s">
        <v>5590</v>
      </c>
    </row>
    <row r="9237" spans="1:7" hidden="1" outlineLevel="1" x14ac:dyDescent="0.25">
      <c r="A9237" s="751" t="s">
        <v>4685</v>
      </c>
      <c r="B9237" s="729" t="s">
        <v>115</v>
      </c>
      <c r="C9237" s="1105"/>
      <c r="D9237" s="1105"/>
      <c r="E9237" s="907" t="s">
        <v>5590</v>
      </c>
      <c r="F9237" s="731" t="s">
        <v>5590</v>
      </c>
    </row>
    <row r="9238" spans="1:7" hidden="1" outlineLevel="1" x14ac:dyDescent="0.25">
      <c r="A9238" s="751" t="s">
        <v>4686</v>
      </c>
      <c r="B9238" s="729" t="s">
        <v>115</v>
      </c>
      <c r="C9238" s="1105"/>
      <c r="D9238" s="1105"/>
      <c r="E9238" s="907" t="s">
        <v>5590</v>
      </c>
      <c r="F9238" s="731" t="s">
        <v>5590</v>
      </c>
    </row>
    <row r="9239" spans="1:7" hidden="1" outlineLevel="1" x14ac:dyDescent="0.25">
      <c r="A9239" s="751" t="s">
        <v>4687</v>
      </c>
      <c r="B9239" s="729" t="s">
        <v>115</v>
      </c>
      <c r="C9239" s="1105"/>
      <c r="D9239" s="1105"/>
      <c r="E9239" s="907" t="s">
        <v>5590</v>
      </c>
      <c r="F9239" s="731" t="s">
        <v>5590</v>
      </c>
    </row>
    <row r="9240" spans="1:7" hidden="1" outlineLevel="1" x14ac:dyDescent="0.25">
      <c r="A9240" s="751" t="s">
        <v>4688</v>
      </c>
      <c r="B9240" s="729" t="s">
        <v>115</v>
      </c>
      <c r="C9240" s="1105"/>
      <c r="D9240" s="1105"/>
      <c r="E9240" s="907" t="s">
        <v>5590</v>
      </c>
      <c r="F9240" s="731" t="s">
        <v>5590</v>
      </c>
    </row>
    <row r="9241" spans="1:7" hidden="1" outlineLevel="1" x14ac:dyDescent="0.25">
      <c r="A9241" s="751" t="s">
        <v>4689</v>
      </c>
      <c r="B9241" s="729" t="s">
        <v>115</v>
      </c>
      <c r="C9241" s="1105"/>
      <c r="D9241" s="1105"/>
      <c r="E9241" s="907" t="s">
        <v>5590</v>
      </c>
      <c r="F9241" s="731" t="s">
        <v>5590</v>
      </c>
    </row>
    <row r="9242" spans="1:7" hidden="1" outlineLevel="1" x14ac:dyDescent="0.25">
      <c r="A9242" s="751" t="s">
        <v>4690</v>
      </c>
      <c r="B9242" s="729" t="s">
        <v>115</v>
      </c>
      <c r="C9242" s="1105"/>
      <c r="D9242" s="1105"/>
      <c r="E9242" s="907" t="s">
        <v>5590</v>
      </c>
      <c r="F9242" s="731" t="s">
        <v>5590</v>
      </c>
    </row>
    <row r="9243" spans="1:7" hidden="1" outlineLevel="1" x14ac:dyDescent="0.25">
      <c r="A9243" s="751" t="s">
        <v>4691</v>
      </c>
      <c r="B9243" s="729" t="s">
        <v>115</v>
      </c>
      <c r="C9243" s="1105"/>
      <c r="D9243" s="1105"/>
      <c r="E9243" s="907" t="s">
        <v>5590</v>
      </c>
      <c r="F9243" s="731" t="s">
        <v>5590</v>
      </c>
    </row>
    <row r="9244" spans="1:7" hidden="1" outlineLevel="1" x14ac:dyDescent="0.25">
      <c r="A9244" s="751" t="s">
        <v>4692</v>
      </c>
      <c r="B9244" s="729" t="s">
        <v>115</v>
      </c>
      <c r="C9244" s="1105"/>
      <c r="D9244" s="1105"/>
      <c r="E9244" s="907" t="s">
        <v>5590</v>
      </c>
      <c r="F9244" s="731" t="s">
        <v>5590</v>
      </c>
    </row>
    <row r="9245" spans="1:7" hidden="1" outlineLevel="1" x14ac:dyDescent="0.25">
      <c r="A9245" s="751" t="s">
        <v>4693</v>
      </c>
      <c r="B9245" s="729" t="s">
        <v>115</v>
      </c>
      <c r="C9245" s="1105"/>
      <c r="D9245" s="1105"/>
      <c r="E9245" s="907" t="s">
        <v>5590</v>
      </c>
      <c r="F9245" s="731" t="s">
        <v>5590</v>
      </c>
    </row>
    <row r="9246" spans="1:7" hidden="1" outlineLevel="1" x14ac:dyDescent="0.25">
      <c r="A9246" s="751" t="s">
        <v>4694</v>
      </c>
      <c r="B9246" s="729" t="s">
        <v>115</v>
      </c>
      <c r="C9246" s="1105"/>
      <c r="D9246" s="1105"/>
      <c r="E9246" s="907" t="s">
        <v>5590</v>
      </c>
      <c r="F9246" s="731" t="s">
        <v>5590</v>
      </c>
    </row>
    <row r="9247" spans="1:7" hidden="1" outlineLevel="1" x14ac:dyDescent="0.25">
      <c r="A9247" s="751" t="s">
        <v>4695</v>
      </c>
      <c r="B9247" s="729" t="s">
        <v>115</v>
      </c>
      <c r="C9247" s="1105"/>
      <c r="D9247" s="1105"/>
      <c r="E9247" s="907" t="s">
        <v>5590</v>
      </c>
      <c r="F9247" s="731" t="s">
        <v>5590</v>
      </c>
    </row>
    <row r="9248" spans="1:7" collapsed="1" x14ac:dyDescent="0.25">
      <c r="A9248" s="3801" t="s">
        <v>289</v>
      </c>
      <c r="B9248" s="3802"/>
      <c r="C9248" s="3802"/>
      <c r="D9248" s="3802"/>
      <c r="E9248" s="721"/>
      <c r="F9248" s="722">
        <v>0</v>
      </c>
      <c r="G9248" s="175" t="s">
        <v>781</v>
      </c>
    </row>
    <row r="9250" spans="1:33" hidden="1" outlineLevel="1" x14ac:dyDescent="0.25">
      <c r="A9250" s="689" t="s">
        <v>113</v>
      </c>
      <c r="B9250" s="689" t="s">
        <v>114</v>
      </c>
      <c r="C9250" s="689" t="s">
        <v>112</v>
      </c>
      <c r="D9250" s="689" t="s">
        <v>4155</v>
      </c>
      <c r="E9250" s="689" t="s">
        <v>117</v>
      </c>
      <c r="F9250" s="1188" t="s">
        <v>121</v>
      </c>
      <c r="I9250" s="173" t="s">
        <v>631</v>
      </c>
      <c r="J9250" s="257">
        <v>42003</v>
      </c>
      <c r="K9250" s="257">
        <v>42034</v>
      </c>
      <c r="L9250" s="257">
        <v>42062</v>
      </c>
      <c r="M9250" s="257">
        <v>42094</v>
      </c>
      <c r="N9250" s="257">
        <v>42124</v>
      </c>
      <c r="O9250" s="257">
        <v>42155</v>
      </c>
      <c r="P9250" s="257">
        <v>42185</v>
      </c>
      <c r="Q9250" s="257">
        <v>42216</v>
      </c>
      <c r="R9250" s="257">
        <v>42247</v>
      </c>
      <c r="S9250" s="257">
        <v>42277</v>
      </c>
      <c r="T9250" s="257">
        <v>42308</v>
      </c>
      <c r="U9250" s="257">
        <v>42338</v>
      </c>
      <c r="V9250" s="257">
        <v>42369</v>
      </c>
      <c r="W9250" s="257">
        <v>42400</v>
      </c>
      <c r="X9250" s="257">
        <v>42429</v>
      </c>
      <c r="Y9250" s="257">
        <v>42460</v>
      </c>
      <c r="Z9250" s="257">
        <v>42490</v>
      </c>
      <c r="AA9250" s="257">
        <v>42521</v>
      </c>
      <c r="AB9250" s="257"/>
      <c r="AC9250" s="257"/>
      <c r="AD9250" s="257"/>
      <c r="AE9250" s="257"/>
      <c r="AF9250" s="257"/>
      <c r="AG9250" s="257"/>
    </row>
    <row r="9251" spans="1:33" ht="13.8" hidden="1" outlineLevel="1" x14ac:dyDescent="0.3">
      <c r="A9251" t="s">
        <v>1871</v>
      </c>
      <c r="B9251" s="691" t="s">
        <v>2340</v>
      </c>
      <c r="C9251" s="692">
        <v>4106.7579999999998</v>
      </c>
      <c r="D9251" s="692">
        <v>4867.71</v>
      </c>
      <c r="E9251" s="693">
        <f>D9251/C9251-1</f>
        <v>0.18529263229048332</v>
      </c>
      <c r="F9251" s="694">
        <f>'klikací hodnoty'!E9251</f>
        <v>0.18529263229048332</v>
      </c>
      <c r="I9251" s="44"/>
      <c r="J9251" s="39">
        <v>5044.71</v>
      </c>
      <c r="K9251" s="39">
        <v>5486.32</v>
      </c>
      <c r="L9251" s="39">
        <v>5847.48</v>
      </c>
      <c r="M9251" s="39">
        <v>6137.77</v>
      </c>
      <c r="N9251" s="39">
        <v>5847.84</v>
      </c>
      <c r="O9251">
        <v>5726.71</v>
      </c>
      <c r="P9251" s="39">
        <v>5491.63</v>
      </c>
      <c r="Q9251" s="39">
        <v>5674.27</v>
      </c>
      <c r="R9251" s="39">
        <v>5147.68</v>
      </c>
      <c r="S9251" s="39">
        <v>4847.12</v>
      </c>
      <c r="T9251" s="39">
        <v>5444.06</v>
      </c>
      <c r="U9251" s="39">
        <v>5711.03</v>
      </c>
      <c r="V9251" s="39">
        <v>5390.31</v>
      </c>
      <c r="W9251" s="39">
        <v>4899.58</v>
      </c>
      <c r="X9251" s="12">
        <v>4746.42</v>
      </c>
      <c r="Y9251" s="1552">
        <v>4980.74</v>
      </c>
      <c r="Z9251" s="1552">
        <v>4985.22</v>
      </c>
      <c r="AA9251" s="1552">
        <v>5002.74</v>
      </c>
    </row>
    <row r="9252" spans="1:33" collapsed="1" x14ac:dyDescent="0.25">
      <c r="A9252" s="3801" t="s">
        <v>1869</v>
      </c>
      <c r="B9252" s="3802"/>
      <c r="C9252" s="3802"/>
      <c r="D9252" s="3802"/>
      <c r="E9252" s="1892"/>
      <c r="F9252" s="1893">
        <f>IF(I9252&lt;-25%,(I9252+25%),MAX(MIN(I9252,80%),0))</f>
        <v>0.30424087970770786</v>
      </c>
      <c r="I9252" s="209">
        <f>AVERAGE(J9252:AA9252)</f>
        <v>0.30424087970770786</v>
      </c>
      <c r="J9252" s="171">
        <f>IF(J9251="",I9252,J9251/$C$9251-1)</f>
        <v>0.22839232309281443</v>
      </c>
      <c r="K9252" s="171">
        <f t="shared" ref="K9252:AA9252" si="202">IF(K9251="",J9252,K9251/$C$9251-1)</f>
        <v>0.33592483413924068</v>
      </c>
      <c r="L9252" s="171">
        <f t="shared" si="202"/>
        <v>0.42386768346223458</v>
      </c>
      <c r="M9252" s="171">
        <f t="shared" si="202"/>
        <v>0.4945536113888378</v>
      </c>
      <c r="N9252" s="171">
        <f t="shared" si="202"/>
        <v>0.42395534385030742</v>
      </c>
      <c r="O9252" s="171">
        <f>IF(O9251="",N9252,O9251/$C$9251-1)</f>
        <v>0.394460058274678</v>
      </c>
      <c r="P9252" s="171">
        <f t="shared" si="202"/>
        <v>0.33721782486331087</v>
      </c>
      <c r="Q9252" s="171">
        <f t="shared" si="202"/>
        <v>0.38169086174544509</v>
      </c>
      <c r="R9252" s="171">
        <f t="shared" si="202"/>
        <v>0.25346562909234005</v>
      </c>
      <c r="S9252" s="171">
        <f t="shared" si="202"/>
        <v>0.18027894509489006</v>
      </c>
      <c r="T9252" s="171">
        <f t="shared" si="202"/>
        <v>0.32563447858383676</v>
      </c>
      <c r="U9252" s="171">
        <f t="shared" si="202"/>
        <v>0.39064196137196294</v>
      </c>
      <c r="V9252" s="171">
        <f t="shared" si="202"/>
        <v>0.31254629564245096</v>
      </c>
      <c r="W9252" s="171">
        <f t="shared" si="202"/>
        <v>0.19305301164568256</v>
      </c>
      <c r="X9252" s="171">
        <f t="shared" si="202"/>
        <v>0.15575838654237728</v>
      </c>
      <c r="Y9252" s="171">
        <f t="shared" si="202"/>
        <v>0.21281555913448025</v>
      </c>
      <c r="Z9252" s="171">
        <f>IF(Z9251="",Y9252,Z9251/$C$9251-1)</f>
        <v>0.21390644396382763</v>
      </c>
      <c r="AA9252" s="171">
        <f t="shared" si="202"/>
        <v>0.21817258285002428</v>
      </c>
      <c r="AB9252" s="171"/>
      <c r="AC9252" s="171"/>
      <c r="AD9252" s="171"/>
      <c r="AE9252" s="171"/>
      <c r="AF9252" s="171"/>
      <c r="AG9252" s="171"/>
    </row>
    <row r="9254" spans="1:33" hidden="1" outlineLevel="1" x14ac:dyDescent="0.25">
      <c r="A9254" s="689" t="s">
        <v>113</v>
      </c>
      <c r="B9254" s="689" t="s">
        <v>114</v>
      </c>
      <c r="C9254" s="689" t="s">
        <v>112</v>
      </c>
      <c r="D9254" s="689" t="s">
        <v>4155</v>
      </c>
      <c r="E9254" s="689" t="s">
        <v>117</v>
      </c>
      <c r="F9254" s="1188" t="s">
        <v>121</v>
      </c>
      <c r="I9254" s="173" t="s">
        <v>631</v>
      </c>
      <c r="J9254" s="257">
        <v>42185</v>
      </c>
      <c r="K9254" s="257">
        <v>42216</v>
      </c>
      <c r="L9254" s="257">
        <v>42247</v>
      </c>
      <c r="M9254" s="257">
        <v>42277</v>
      </c>
      <c r="N9254" s="257">
        <v>42308</v>
      </c>
      <c r="O9254" s="257">
        <v>42338</v>
      </c>
      <c r="P9254" s="257">
        <v>42369</v>
      </c>
      <c r="Q9254" s="257">
        <v>42400</v>
      </c>
      <c r="R9254" s="257">
        <v>42429</v>
      </c>
      <c r="S9254" s="257">
        <v>42460</v>
      </c>
      <c r="T9254" s="257">
        <v>42490</v>
      </c>
      <c r="U9254" s="257">
        <v>42521</v>
      </c>
      <c r="V9254" s="257"/>
      <c r="W9254" s="257"/>
      <c r="X9254" s="257"/>
      <c r="Y9254" s="257"/>
      <c r="Z9254" s="257"/>
      <c r="AA9254" s="257"/>
    </row>
    <row r="9255" spans="1:33" ht="13.8" hidden="1" outlineLevel="1" x14ac:dyDescent="0.3">
      <c r="A9255" t="s">
        <v>2342</v>
      </c>
      <c r="B9255" s="691" t="s">
        <v>2153</v>
      </c>
      <c r="C9255" s="692">
        <v>2843.3150000000001</v>
      </c>
      <c r="D9255" s="692">
        <v>2951.39</v>
      </c>
      <c r="E9255" s="693">
        <v>3.8010209913428517E-2</v>
      </c>
      <c r="F9255" s="694">
        <v>3.8010209913428517E-2</v>
      </c>
      <c r="I9255" s="44"/>
      <c r="J9255" s="39">
        <v>3424.3</v>
      </c>
      <c r="K9255" s="39">
        <v>3600.69</v>
      </c>
      <c r="L9255" s="39">
        <v>3269.63</v>
      </c>
      <c r="M9255" s="39">
        <v>3100.67</v>
      </c>
      <c r="N9255" s="39">
        <v>3418.23</v>
      </c>
      <c r="O9255">
        <v>3506.45</v>
      </c>
      <c r="P9255" s="39">
        <v>3267.52</v>
      </c>
      <c r="Q9255" s="39">
        <v>3045.09</v>
      </c>
      <c r="R9255" s="39">
        <v>2945.75</v>
      </c>
      <c r="S9255" s="1474">
        <v>3004.93</v>
      </c>
      <c r="T9255" s="1474">
        <v>3028.21</v>
      </c>
      <c r="U9255" s="1474">
        <v>3063.48</v>
      </c>
      <c r="V9255" s="39"/>
      <c r="W9255" s="39"/>
      <c r="X9255" s="39"/>
      <c r="Y9255" s="39"/>
      <c r="Z9255" s="39"/>
      <c r="AA9255" s="39"/>
    </row>
    <row r="9256" spans="1:33" collapsed="1" x14ac:dyDescent="0.25">
      <c r="A9256" s="3801" t="s">
        <v>2343</v>
      </c>
      <c r="B9256" s="3802"/>
      <c r="C9256" s="3802"/>
      <c r="D9256" s="3802"/>
      <c r="E9256" s="1892"/>
      <c r="F9256" s="1893">
        <v>0.13350525706789432</v>
      </c>
      <c r="I9256" s="209">
        <f>AVERAGE(J9256:AA9256)</f>
        <v>0.13350525706789432</v>
      </c>
      <c r="J9256" s="171">
        <f>IF(J9255="",I9256,J9255/$C$9255-1)</f>
        <v>0.20433367389824908</v>
      </c>
      <c r="K9256" s="171">
        <f t="shared" ref="K9256:U9256" si="203">IF(K9255="",J9256,K9255/$C$9255-1)</f>
        <v>0.26637041622191004</v>
      </c>
      <c r="L9256" s="171">
        <f t="shared" si="203"/>
        <v>0.14993590228307463</v>
      </c>
      <c r="M9256" s="171">
        <f t="shared" si="203"/>
        <v>9.0512306937500675E-2</v>
      </c>
      <c r="N9256" s="171">
        <f t="shared" si="203"/>
        <v>0.2021988418448184</v>
      </c>
      <c r="O9256" s="171">
        <f t="shared" si="203"/>
        <v>0.23322600556041095</v>
      </c>
      <c r="P9256" s="171">
        <f t="shared" si="203"/>
        <v>0.14919381074555571</v>
      </c>
      <c r="Q9256" s="171">
        <f t="shared" si="203"/>
        <v>7.0964701413666731E-2</v>
      </c>
      <c r="R9256" s="171">
        <f t="shared" si="203"/>
        <v>3.602660978470551E-2</v>
      </c>
      <c r="S9256" s="171">
        <f t="shared" si="203"/>
        <v>5.684034305027752E-2</v>
      </c>
      <c r="T9256" s="171">
        <f t="shared" si="203"/>
        <v>6.5027969113517159E-2</v>
      </c>
      <c r="U9256" s="171">
        <f t="shared" si="203"/>
        <v>7.7432503961045507E-2</v>
      </c>
      <c r="V9256" s="171"/>
      <c r="W9256" s="171"/>
      <c r="X9256" s="171"/>
      <c r="Y9256" s="171"/>
      <c r="Z9256" s="171"/>
      <c r="AA9256" s="171"/>
    </row>
    <row r="9257" spans="1:33" ht="13.8" x14ac:dyDescent="0.3">
      <c r="V9257" s="370"/>
      <c r="W9257" s="1351"/>
      <c r="X9257" s="370"/>
    </row>
    <row r="9258" spans="1:33" hidden="1" outlineLevel="1" x14ac:dyDescent="0.25">
      <c r="A9258" s="689" t="s">
        <v>113</v>
      </c>
      <c r="B9258" s="689" t="s">
        <v>114</v>
      </c>
      <c r="C9258" s="689" t="s">
        <v>112</v>
      </c>
      <c r="D9258" s="689" t="s">
        <v>116</v>
      </c>
      <c r="E9258" s="689" t="s">
        <v>117</v>
      </c>
      <c r="F9258" s="1188" t="s">
        <v>121</v>
      </c>
      <c r="G9258" s="78"/>
    </row>
    <row r="9259" spans="1:33" hidden="1" outlineLevel="1" x14ac:dyDescent="0.25">
      <c r="A9259" s="695"/>
      <c r="B9259" s="695"/>
      <c r="C9259" s="696"/>
      <c r="D9259" s="697" t="s">
        <v>3702</v>
      </c>
      <c r="E9259" s="698">
        <v>42489</v>
      </c>
      <c r="F9259" s="856"/>
      <c r="G9259" s="78"/>
    </row>
    <row r="9260" spans="1:33" hidden="1" outlineLevel="1" x14ac:dyDescent="0.25">
      <c r="A9260" s="689" t="s">
        <v>4156</v>
      </c>
      <c r="B9260" s="689" t="s">
        <v>4153</v>
      </c>
      <c r="C9260" s="497" t="s">
        <v>112</v>
      </c>
      <c r="D9260" s="689" t="s">
        <v>4155</v>
      </c>
      <c r="E9260" s="689" t="s">
        <v>4154</v>
      </c>
      <c r="F9260" s="1188" t="s">
        <v>734</v>
      </c>
      <c r="G9260" s="78"/>
    </row>
    <row r="9261" spans="1:33" hidden="1" outlineLevel="1" x14ac:dyDescent="0.25">
      <c r="A9261" s="1237">
        <v>2.5000000000000001E-2</v>
      </c>
      <c r="B9261" t="s">
        <v>1995</v>
      </c>
      <c r="C9261" s="851">
        <v>50.667999999999999</v>
      </c>
      <c r="D9261" s="908">
        <v>38.9</v>
      </c>
      <c r="E9261" s="896">
        <v>-0.23225704586721407</v>
      </c>
      <c r="F9261" s="946">
        <v>-0.23225704586721407</v>
      </c>
      <c r="G9261" s="78"/>
      <c r="H9261" t="str">
        <f>VLOOKUP(B9261,indexy!$A$44:$D$823,3,FALSE)</f>
        <v>ABT UN Equity</v>
      </c>
    </row>
    <row r="9262" spans="1:33" hidden="1" outlineLevel="1" x14ac:dyDescent="0.25">
      <c r="A9262" s="1237">
        <v>4.4999999999999998E-2</v>
      </c>
      <c r="B9262" t="s">
        <v>359</v>
      </c>
      <c r="C9262" s="851">
        <v>91.912000000000006</v>
      </c>
      <c r="D9262" s="908">
        <v>148.25</v>
      </c>
      <c r="E9262" s="896">
        <v>0.61295587083297054</v>
      </c>
      <c r="F9262" s="946">
        <v>0.06</v>
      </c>
      <c r="G9262" s="78"/>
      <c r="H9262" t="str">
        <f>VLOOKUP(B9262,indexy!$A$44:$D$823,3,FALSE)</f>
        <v>ALV GY Equity</v>
      </c>
    </row>
    <row r="9263" spans="1:33" hidden="1" outlineLevel="1" x14ac:dyDescent="0.25">
      <c r="A9263" s="1237">
        <v>0.04</v>
      </c>
      <c r="B9263" t="s">
        <v>2351</v>
      </c>
      <c r="C9263" s="851">
        <v>16.335999999999999</v>
      </c>
      <c r="D9263" s="908">
        <v>24.32</v>
      </c>
      <c r="E9263" s="896">
        <v>0.48873653281096985</v>
      </c>
      <c r="F9263" s="946">
        <v>0.06</v>
      </c>
      <c r="G9263" s="78"/>
      <c r="H9263" t="str">
        <f>VLOOKUP(B9263,indexy!$A$44:$D$823,3,FALSE)</f>
        <v>ATL IM Equity</v>
      </c>
    </row>
    <row r="9264" spans="1:33" hidden="1" outlineLevel="1" x14ac:dyDescent="0.25">
      <c r="A9264" s="1237">
        <v>3.5000000000000003E-2</v>
      </c>
      <c r="B9264" t="s">
        <v>157</v>
      </c>
      <c r="C9264" s="851">
        <v>8.6115999999999993</v>
      </c>
      <c r="D9264" s="908">
        <v>4.4210000000000003</v>
      </c>
      <c r="E9264" s="896">
        <v>-0.48662269496957589</v>
      </c>
      <c r="F9264" s="946">
        <v>-0.48662269496957589</v>
      </c>
      <c r="G9264" s="78"/>
      <c r="H9264" t="str">
        <f>VLOOKUP(B9264,indexy!$A$44:$D$823,3,FALSE)</f>
        <v>SAN SM Equity</v>
      </c>
    </row>
    <row r="9265" spans="1:8" hidden="1" outlineLevel="1" x14ac:dyDescent="0.25">
      <c r="A9265" s="1237">
        <v>0.03</v>
      </c>
      <c r="B9265" s="1319" t="s">
        <v>4377</v>
      </c>
      <c r="C9265" s="851">
        <v>26.577999999999999</v>
      </c>
      <c r="D9265" s="908">
        <v>72.180000000000007</v>
      </c>
      <c r="E9265" s="896">
        <v>1.7157799683949135</v>
      </c>
      <c r="F9265" s="946">
        <v>0.06</v>
      </c>
      <c r="G9265" s="78"/>
      <c r="H9265" t="str">
        <f>VLOOKUP(B9265,indexy!$A$44:$D$823,3,FALSE)</f>
        <v>BMY UN Equity</v>
      </c>
    </row>
    <row r="9266" spans="1:8" hidden="1" outlineLevel="1" x14ac:dyDescent="0.25">
      <c r="A9266" s="1237">
        <v>0.04</v>
      </c>
      <c r="B9266" t="s">
        <v>2353</v>
      </c>
      <c r="C9266" s="851">
        <v>515.20000000000005</v>
      </c>
      <c r="D9266" s="908">
        <v>719</v>
      </c>
      <c r="E9266" s="896">
        <v>0.39557453416149047</v>
      </c>
      <c r="F9266" s="946">
        <v>0.06</v>
      </c>
      <c r="G9266" s="78"/>
      <c r="H9266" t="str">
        <f>VLOOKUP(B9266,indexy!$A$44:$D$823,3,FALSE)</f>
        <v>BLND LN Equity</v>
      </c>
    </row>
    <row r="9267" spans="1:8" hidden="1" outlineLevel="1" x14ac:dyDescent="0.25">
      <c r="A9267" s="1237">
        <v>4.4999999999999998E-2</v>
      </c>
      <c r="B9267" t="s">
        <v>1319</v>
      </c>
      <c r="C9267" s="851">
        <v>50.731999999999999</v>
      </c>
      <c r="D9267" s="908">
        <v>74.599999999999994</v>
      </c>
      <c r="E9267" s="896">
        <v>0.47047228573681288</v>
      </c>
      <c r="F9267" s="946">
        <v>0.06</v>
      </c>
      <c r="G9267" s="78"/>
      <c r="H9267" t="str">
        <f>VLOOKUP(B9267,indexy!$A$44:$D$823,3,FALSE)</f>
        <v>ED UN Equity</v>
      </c>
    </row>
    <row r="9268" spans="1:8" hidden="1" outlineLevel="1" x14ac:dyDescent="0.25">
      <c r="A9268" s="1237">
        <v>3.5000000000000003E-2</v>
      </c>
      <c r="B9268" t="s">
        <v>2699</v>
      </c>
      <c r="C9268" s="851">
        <v>13.394</v>
      </c>
      <c r="D9268" s="908">
        <v>25.64</v>
      </c>
      <c r="E9268" s="896">
        <v>0.91428998058832311</v>
      </c>
      <c r="F9268" s="946">
        <v>0.06</v>
      </c>
      <c r="G9268" s="78"/>
      <c r="H9268" t="str">
        <f>VLOOKUP(B9268,indexy!$A$44:$D$823,3,FALSE)</f>
        <v>DHL GR Equity</v>
      </c>
    </row>
    <row r="9269" spans="1:8" hidden="1" outlineLevel="1" x14ac:dyDescent="0.25">
      <c r="A9269" s="1237">
        <v>0.04</v>
      </c>
      <c r="B9269" t="s">
        <v>4387</v>
      </c>
      <c r="C9269" s="851">
        <v>22.414999999999999</v>
      </c>
      <c r="D9269" s="908">
        <v>9.0090000000000003</v>
      </c>
      <c r="E9269" s="896">
        <v>-0.59808164175775147</v>
      </c>
      <c r="F9269" s="946">
        <v>-0.59808164175775147</v>
      </c>
      <c r="G9269" s="78"/>
      <c r="H9269" t="str">
        <f>VLOOKUP(B9269,indexy!$A$44:$D$823,3,FALSE)</f>
        <v>EOAN GY Equity</v>
      </c>
    </row>
    <row r="9270" spans="1:8" hidden="1" outlineLevel="1" x14ac:dyDescent="0.25">
      <c r="A9270" s="1237">
        <v>2.5000000000000001E-2</v>
      </c>
      <c r="B9270" t="s">
        <v>3798</v>
      </c>
      <c r="C9270" s="851">
        <v>4.0904999999999996</v>
      </c>
      <c r="D9270" s="908">
        <v>3.9580000000000002</v>
      </c>
      <c r="E9270" s="896">
        <v>-3.2392128101698892E-2</v>
      </c>
      <c r="F9270" s="946">
        <v>-3.2392128101698892E-2</v>
      </c>
      <c r="G9270" s="78"/>
      <c r="H9270" t="str">
        <f>VLOOKUP(B9270,indexy!$A$44:$D$823,3,FALSE)</f>
        <v>ENEL IM Equity</v>
      </c>
    </row>
    <row r="9271" spans="1:8" hidden="1" outlineLevel="1" x14ac:dyDescent="0.25">
      <c r="A9271" s="1237">
        <v>0.03</v>
      </c>
      <c r="B9271" t="s">
        <v>5824</v>
      </c>
      <c r="C9271" s="851">
        <v>17.169</v>
      </c>
      <c r="D9271" s="908">
        <v>14.48</v>
      </c>
      <c r="E9271" s="896">
        <v>-0.15661948861319819</v>
      </c>
      <c r="F9271" s="946">
        <v>-0.15661948861319819</v>
      </c>
      <c r="G9271" s="78"/>
      <c r="H9271" t="str">
        <f>VLOOKUP(B9271,indexy!$A$44:$D$823,3,FALSE)</f>
        <v>ORA FP Equity</v>
      </c>
    </row>
    <row r="9272" spans="1:8" hidden="1" outlineLevel="1" x14ac:dyDescent="0.25">
      <c r="A9272" s="1237">
        <v>0.03</v>
      </c>
      <c r="B9272" t="s">
        <v>7227</v>
      </c>
      <c r="C9272" s="851">
        <v>28.603999999999999</v>
      </c>
      <c r="D9272" s="908">
        <v>14.4</v>
      </c>
      <c r="E9272" s="896">
        <v>-0.49657390574744786</v>
      </c>
      <c r="F9272" s="946">
        <v>-0.49657390574744786</v>
      </c>
      <c r="G9272" s="78"/>
      <c r="H9272" t="str">
        <f>VLOOKUP(B9272,indexy!$A$44:$D$823,3,FALSE)</f>
        <v>ENGI FP Equity</v>
      </c>
    </row>
    <row r="9273" spans="1:8" hidden="1" outlineLevel="1" x14ac:dyDescent="0.25">
      <c r="A9273" s="1237">
        <v>3.5000000000000003E-2</v>
      </c>
      <c r="B9273" t="s">
        <v>307</v>
      </c>
      <c r="C9273" s="851">
        <v>31.655999999999999</v>
      </c>
      <c r="D9273" s="908">
        <v>133.88999999999999</v>
      </c>
      <c r="E9273" s="896">
        <v>3.2295299469294916</v>
      </c>
      <c r="F9273" s="946">
        <v>0.06</v>
      </c>
      <c r="G9273" s="78"/>
      <c r="H9273" t="str">
        <f>VLOOKUP(B9273,indexy!$A$44:$D$823,3,FALSE)</f>
        <v>HD UN Equity</v>
      </c>
    </row>
    <row r="9274" spans="1:8" hidden="1" outlineLevel="1" x14ac:dyDescent="0.25">
      <c r="A9274" s="1237">
        <v>0.03</v>
      </c>
      <c r="B9274" t="s">
        <v>1771</v>
      </c>
      <c r="C9274" s="851">
        <v>686.32</v>
      </c>
      <c r="D9274" s="908">
        <v>452.5</v>
      </c>
      <c r="E9274" s="896">
        <v>-0.3406865602051522</v>
      </c>
      <c r="F9274" s="946">
        <v>-0.3406865602051522</v>
      </c>
      <c r="G9274" s="78"/>
      <c r="H9274" t="str">
        <f>VLOOKUP(B9274,indexy!$A$44:$D$823,3,FALSE)</f>
        <v>HSBA LN Equity</v>
      </c>
    </row>
    <row r="9275" spans="1:8" hidden="1" outlineLevel="1" x14ac:dyDescent="0.25">
      <c r="A9275" s="1237">
        <v>3.5000000000000003E-2</v>
      </c>
      <c r="B9275" t="s">
        <v>4034</v>
      </c>
      <c r="C9275" s="851">
        <v>9.7688000000000006</v>
      </c>
      <c r="D9275" s="908">
        <v>19</v>
      </c>
      <c r="E9275" s="896">
        <v>0.94496765211694367</v>
      </c>
      <c r="F9275" s="946">
        <v>0.06</v>
      </c>
      <c r="G9275" s="78"/>
      <c r="H9275" t="str">
        <f>VLOOKUP(B9275,indexy!$A$44:$D$823,3,FALSE)</f>
        <v>AD NA Equity</v>
      </c>
    </row>
    <row r="9276" spans="1:8" hidden="1" outlineLevel="1" x14ac:dyDescent="0.25">
      <c r="A9276" s="1237">
        <v>2.5000000000000001E-2</v>
      </c>
      <c r="B9276" t="s">
        <v>4143</v>
      </c>
      <c r="C9276" s="851">
        <v>11.956</v>
      </c>
      <c r="D9276" s="908">
        <v>3.4350000000000001</v>
      </c>
      <c r="E9276" s="896">
        <v>-0.7126965540314486</v>
      </c>
      <c r="F9276" s="946">
        <v>-0.7126965540314486</v>
      </c>
      <c r="G9276" s="78"/>
      <c r="H9276" t="str">
        <f>VLOOKUP(B9276,indexy!$A$44:$D$823,3,FALSE)</f>
        <v>KPN NA Equity</v>
      </c>
    </row>
    <row r="9277" spans="1:8" hidden="1" outlineLevel="1" x14ac:dyDescent="0.25">
      <c r="A9277" s="1237">
        <v>0.04</v>
      </c>
      <c r="B9277" s="852" t="s">
        <v>7573</v>
      </c>
      <c r="C9277" s="851">
        <v>31.236000000000001</v>
      </c>
      <c r="D9277" s="908">
        <v>78.069999999999993</v>
      </c>
      <c r="E9277" s="896">
        <v>1.4993597131514917</v>
      </c>
      <c r="F9277" s="946">
        <v>0.06</v>
      </c>
      <c r="G9277" s="78"/>
      <c r="H9277" t="str">
        <f>VLOOKUP(B9277,indexy!$A$44:$D$823,3,FALSE)</f>
        <v>KHC UW Equity</v>
      </c>
    </row>
    <row r="9278" spans="1:8" hidden="1" outlineLevel="1" x14ac:dyDescent="0.25">
      <c r="A9278" s="1237">
        <v>0.03</v>
      </c>
      <c r="B9278" t="s">
        <v>2786</v>
      </c>
      <c r="C9278" s="851">
        <v>587</v>
      </c>
      <c r="D9278" s="908">
        <v>974.8</v>
      </c>
      <c r="E9278" s="896">
        <v>0.6606473594548552</v>
      </c>
      <c r="F9278" s="946">
        <v>0.06</v>
      </c>
      <c r="G9278" s="78"/>
      <c r="H9278" t="str">
        <f>VLOOKUP(B9278,indexy!$A$44:$D$823,3,FALSE)</f>
        <v>NG/ LN Equity</v>
      </c>
    </row>
    <row r="9279" spans="1:8" hidden="1" outlineLevel="1" x14ac:dyDescent="0.25">
      <c r="A9279" s="1237">
        <v>0.03</v>
      </c>
      <c r="B9279" t="s">
        <v>3797</v>
      </c>
      <c r="C9279" s="851">
        <v>55.34</v>
      </c>
      <c r="D9279" s="908">
        <v>71.5</v>
      </c>
      <c r="E9279" s="896">
        <v>0.29201301048066486</v>
      </c>
      <c r="F9279" s="946">
        <v>0.06</v>
      </c>
      <c r="G9279" s="78"/>
      <c r="H9279" t="str">
        <f>VLOOKUP(B9279,indexy!$A$44:$D$823,3,FALSE)</f>
        <v>NESN SE Equity</v>
      </c>
    </row>
    <row r="9280" spans="1:8" hidden="1" outlineLevel="1" x14ac:dyDescent="0.25">
      <c r="A9280" s="1237">
        <v>0.03</v>
      </c>
      <c r="B9280" t="s">
        <v>2787</v>
      </c>
      <c r="C9280" s="851">
        <v>56.31</v>
      </c>
      <c r="D9280" s="908">
        <v>73.2</v>
      </c>
      <c r="E9280" s="896">
        <v>0.29994672349493867</v>
      </c>
      <c r="F9280" s="946">
        <v>0.06</v>
      </c>
      <c r="G9280" s="78"/>
      <c r="H9280" t="str">
        <f>VLOOKUP(B9280,indexy!$A$44:$D$823,3,FALSE)</f>
        <v>NOVN SE Equity</v>
      </c>
    </row>
    <row r="9281" spans="1:8" hidden="1" outlineLevel="1" x14ac:dyDescent="0.25">
      <c r="A9281" s="1237">
        <v>0.04</v>
      </c>
      <c r="B9281" t="s">
        <v>1204</v>
      </c>
      <c r="C9281" s="851">
        <v>65.204999999999998</v>
      </c>
      <c r="D9281" s="908">
        <v>102.96</v>
      </c>
      <c r="E9281" s="896">
        <v>0.57902001380262247</v>
      </c>
      <c r="F9281" s="946">
        <v>0.06</v>
      </c>
      <c r="G9281" s="78"/>
      <c r="H9281" t="str">
        <f>VLOOKUP(B9281,indexy!$A$44:$D$823,3,FALSE)</f>
        <v>PEP UW Equity</v>
      </c>
    </row>
    <row r="9282" spans="1:8" hidden="1" outlineLevel="1" x14ac:dyDescent="0.25">
      <c r="A9282" s="1237">
        <v>3.5000000000000003E-2</v>
      </c>
      <c r="B9282" t="s">
        <v>3800</v>
      </c>
      <c r="C9282" s="851">
        <v>143.86000000000001</v>
      </c>
      <c r="D9282" s="908">
        <v>242.5</v>
      </c>
      <c r="E9282" s="896">
        <v>0.68566662032531611</v>
      </c>
      <c r="F9282" s="946">
        <v>0.06</v>
      </c>
      <c r="G9282" s="78"/>
      <c r="H9282" t="str">
        <f>VLOOKUP(B9282,indexy!$A$44:$D$823,3,FALSE)</f>
        <v>ROG SE Equity</v>
      </c>
    </row>
    <row r="9283" spans="1:8" hidden="1" outlineLevel="1" x14ac:dyDescent="0.25">
      <c r="A9283" s="1237">
        <v>0.04</v>
      </c>
      <c r="B9283" t="s">
        <v>1857</v>
      </c>
      <c r="C9283" s="851">
        <v>1132.4000000000001</v>
      </c>
      <c r="D9283" s="908">
        <v>1510</v>
      </c>
      <c r="E9283" s="896">
        <v>0.33345107735782409</v>
      </c>
      <c r="F9283" s="946">
        <v>0.06</v>
      </c>
      <c r="G9283" s="78"/>
      <c r="H9283" t="str">
        <f>VLOOKUP(B9283,indexy!$A$44:$D$823,3,FALSE)</f>
        <v>SSE LN Equity</v>
      </c>
    </row>
    <row r="9284" spans="1:8" hidden="1" outlineLevel="1" x14ac:dyDescent="0.25">
      <c r="A9284" s="1237">
        <v>2.5000000000000001E-2</v>
      </c>
      <c r="B9284" t="s">
        <v>1239</v>
      </c>
      <c r="C9284" s="851">
        <v>412.66</v>
      </c>
      <c r="D9284" s="908">
        <v>486.5</v>
      </c>
      <c r="E9284" s="896">
        <v>0.17893665487326116</v>
      </c>
      <c r="F9284" s="946">
        <v>0.06</v>
      </c>
      <c r="G9284" s="78"/>
      <c r="H9284" t="str">
        <f>VLOOKUP(B9284,indexy!$A$44:$D$823,3,FALSE)</f>
        <v>SCMN SE Equity</v>
      </c>
    </row>
    <row r="9285" spans="1:8" hidden="1" outlineLevel="1" x14ac:dyDescent="0.25">
      <c r="A9285" s="1237">
        <v>0.03</v>
      </c>
      <c r="B9285" t="s">
        <v>3022</v>
      </c>
      <c r="C9285" s="851">
        <v>3951</v>
      </c>
      <c r="D9285" s="908">
        <v>5262</v>
      </c>
      <c r="E9285" s="896">
        <v>0.33181473044798793</v>
      </c>
      <c r="F9285" s="946">
        <v>0.06</v>
      </c>
      <c r="G9285" s="78"/>
      <c r="H9285" t="str">
        <f>VLOOKUP(B9285,indexy!$A$44:$D$823,3,FALSE)</f>
        <v>4502 JT Equity</v>
      </c>
    </row>
    <row r="9286" spans="1:8" hidden="1" outlineLevel="1" x14ac:dyDescent="0.25">
      <c r="A9286" s="1237">
        <v>0.03</v>
      </c>
      <c r="B9286" t="s">
        <v>577</v>
      </c>
      <c r="C9286" s="851">
        <v>19.035</v>
      </c>
      <c r="D9286" s="908">
        <v>9.5220000000000002</v>
      </c>
      <c r="E9286" s="896">
        <v>-0.4997635933806146</v>
      </c>
      <c r="F9286" s="946">
        <v>-0.4997635933806146</v>
      </c>
      <c r="G9286" s="78"/>
      <c r="H9286" t="str">
        <f>VLOOKUP(B9286,indexy!$A$44:$D$823,3,FALSE)</f>
        <v>TEF SQ Equity</v>
      </c>
    </row>
    <row r="9287" spans="1:8" hidden="1" outlineLevel="1" x14ac:dyDescent="0.25">
      <c r="A9287" s="1237">
        <v>0.03</v>
      </c>
      <c r="B9287" t="s">
        <v>4601</v>
      </c>
      <c r="C9287" s="851">
        <v>149.26</v>
      </c>
      <c r="D9287" s="908">
        <v>234</v>
      </c>
      <c r="E9287" s="896">
        <v>0.56773415516548309</v>
      </c>
      <c r="F9287" s="946">
        <v>0.06</v>
      </c>
      <c r="G9287" s="78"/>
      <c r="H9287" t="str">
        <f>VLOOKUP(B9287,indexy!$A$44:$D$823,3,FALSE)</f>
        <v>UL NA Equity</v>
      </c>
    </row>
    <row r="9288" spans="1:8" hidden="1" outlineLevel="1" x14ac:dyDescent="0.25">
      <c r="A9288" s="1237">
        <v>3.5000000000000003E-2</v>
      </c>
      <c r="B9288" t="s">
        <v>719</v>
      </c>
      <c r="C9288" s="851">
        <v>39.276000000000003</v>
      </c>
      <c r="D9288" s="908">
        <v>65.239999999999995</v>
      </c>
      <c r="E9288" s="896">
        <v>0.66106528159690359</v>
      </c>
      <c r="F9288" s="946">
        <v>0.06</v>
      </c>
      <c r="G9288" s="78"/>
      <c r="H9288" t="str">
        <f>VLOOKUP(B9288,indexy!$A$44:$D$823,3,FALSE)</f>
        <v>DG FP Equity</v>
      </c>
    </row>
    <row r="9289" spans="1:8" hidden="1" outlineLevel="1" x14ac:dyDescent="0.25">
      <c r="A9289" s="1237">
        <v>3.5000000000000003E-2</v>
      </c>
      <c r="B9289" t="s">
        <v>579</v>
      </c>
      <c r="C9289" s="851">
        <v>173.83</v>
      </c>
      <c r="D9289" s="908">
        <v>219.2</v>
      </c>
      <c r="E9289" s="896">
        <v>0.26100212851636639</v>
      </c>
      <c r="F9289" s="946">
        <v>0.06</v>
      </c>
      <c r="G9289" s="78"/>
      <c r="H9289" t="str">
        <f>VLOOKUP(B9289,indexy!$A$44:$D$823,3,FALSE)</f>
        <v>VOD LN Equity</v>
      </c>
    </row>
    <row r="9290" spans="1:8" hidden="1" outlineLevel="1" x14ac:dyDescent="0.25">
      <c r="A9290" s="1237">
        <v>2.5000000000000001E-2</v>
      </c>
      <c r="B9290" t="s">
        <v>4550</v>
      </c>
      <c r="C9290" s="851">
        <v>236.56</v>
      </c>
      <c r="D9290" s="908">
        <v>214.7</v>
      </c>
      <c r="E9290" s="896">
        <v>-9.2407845789651777E-2</v>
      </c>
      <c r="F9290" s="946">
        <v>-9.2407845789651777E-2</v>
      </c>
      <c r="G9290" s="78"/>
      <c r="H9290" t="str">
        <f>VLOOKUP(B9290,indexy!$A$44:$D$823,3,FALSE)</f>
        <v>ZURN SE Equity</v>
      </c>
    </row>
    <row r="9291" spans="1:8" hidden="1" outlineLevel="1" x14ac:dyDescent="0.25">
      <c r="A9291" s="1232" t="s">
        <v>2465</v>
      </c>
      <c r="B9291" s="1471"/>
      <c r="C9291" s="1472"/>
      <c r="D9291" s="1227"/>
      <c r="E9291" s="907">
        <v>0.42298148726719215</v>
      </c>
      <c r="F9291" s="1872">
        <v>-7.0208205777387941E-2</v>
      </c>
      <c r="G9291" s="78"/>
    </row>
    <row r="9292" spans="1:8" hidden="1" outlineLevel="1" x14ac:dyDescent="0.25">
      <c r="A9292" s="690"/>
      <c r="B9292" s="691"/>
      <c r="C9292" s="691"/>
      <c r="D9292" s="691"/>
      <c r="E9292" s="691"/>
      <c r="F9292" s="1830"/>
      <c r="G9292" s="78"/>
    </row>
    <row r="9293" spans="1:8" hidden="1" outlineLevel="1" x14ac:dyDescent="0.25">
      <c r="A9293" s="725" t="s">
        <v>113</v>
      </c>
      <c r="B9293" s="725"/>
      <c r="C9293" s="1019"/>
      <c r="D9293" s="1019"/>
      <c r="E9293" s="729"/>
      <c r="F9293" s="1188"/>
      <c r="G9293" s="78"/>
    </row>
    <row r="9294" spans="1:8" hidden="1" outlineLevel="1" x14ac:dyDescent="0.25">
      <c r="A9294" s="753" t="s">
        <v>2346</v>
      </c>
      <c r="B9294" s="690"/>
      <c r="C9294" s="691"/>
      <c r="D9294" s="691"/>
      <c r="E9294" s="1024"/>
      <c r="F9294" s="1021">
        <v>3.5000000000000003E-2</v>
      </c>
      <c r="G9294" s="78"/>
    </row>
    <row r="9295" spans="1:8" hidden="1" outlineLevel="1" x14ac:dyDescent="0.25">
      <c r="A9295" t="s">
        <v>2347</v>
      </c>
      <c r="B9295" s="706"/>
      <c r="C9295" s="695"/>
      <c r="D9295" s="695"/>
      <c r="E9295" s="1026"/>
      <c r="F9295" s="946">
        <v>0</v>
      </c>
      <c r="G9295" s="78"/>
    </row>
    <row r="9296" spans="1:8" hidden="1" outlineLevel="1" x14ac:dyDescent="0.25">
      <c r="A9296" t="s">
        <v>2348</v>
      </c>
      <c r="B9296" s="706"/>
      <c r="C9296" s="695"/>
      <c r="D9296" s="695"/>
      <c r="E9296" s="1026"/>
      <c r="F9296" s="946">
        <v>0</v>
      </c>
      <c r="G9296" s="78"/>
    </row>
    <row r="9297" spans="1:8" hidden="1" outlineLevel="1" x14ac:dyDescent="0.25">
      <c r="A9297" t="s">
        <v>2349</v>
      </c>
      <c r="B9297" s="706"/>
      <c r="C9297" s="695"/>
      <c r="D9297" s="695"/>
      <c r="E9297" s="1026"/>
      <c r="F9297" s="946">
        <v>0</v>
      </c>
      <c r="G9297" s="78"/>
    </row>
    <row r="9298" spans="1:8" hidden="1" outlineLevel="1" x14ac:dyDescent="0.25">
      <c r="A9298" s="754" t="s">
        <v>2350</v>
      </c>
      <c r="B9298" s="713"/>
      <c r="C9298" s="726"/>
      <c r="D9298" s="726"/>
      <c r="E9298" s="1321"/>
      <c r="F9298" s="1023">
        <v>0</v>
      </c>
      <c r="G9298" s="78"/>
    </row>
    <row r="9299" spans="1:8" collapsed="1" x14ac:dyDescent="0.25">
      <c r="A9299" s="3803" t="s">
        <v>2345</v>
      </c>
      <c r="B9299" s="3804"/>
      <c r="C9299" s="3804"/>
      <c r="D9299" s="1891"/>
      <c r="E9299" s="1891"/>
      <c r="F9299" s="1893">
        <v>3.5000000000000003E-2</v>
      </c>
      <c r="G9299" s="78"/>
    </row>
    <row r="9301" spans="1:8" hidden="1" outlineLevel="1" x14ac:dyDescent="0.25">
      <c r="A9301" s="689" t="s">
        <v>113</v>
      </c>
      <c r="B9301" s="689" t="s">
        <v>114</v>
      </c>
      <c r="C9301" s="689" t="s">
        <v>112</v>
      </c>
      <c r="D9301" s="689" t="s">
        <v>116</v>
      </c>
      <c r="E9301" s="689" t="s">
        <v>117</v>
      </c>
      <c r="F9301" s="1188" t="s">
        <v>121</v>
      </c>
      <c r="G9301" s="78"/>
    </row>
    <row r="9302" spans="1:8" hidden="1" outlineLevel="1" x14ac:dyDescent="0.25">
      <c r="A9302" s="690">
        <v>1</v>
      </c>
      <c r="B9302" s="691" t="s">
        <v>252</v>
      </c>
      <c r="C9302" s="692">
        <v>100</v>
      </c>
      <c r="D9302" s="692"/>
      <c r="E9302" s="693"/>
      <c r="F9302" s="694"/>
      <c r="G9302" s="78"/>
    </row>
    <row r="9303" spans="1:8" hidden="1" outlineLevel="1" x14ac:dyDescent="0.25">
      <c r="A9303" s="706"/>
      <c r="B9303" s="695"/>
      <c r="C9303" s="696"/>
      <c r="D9303" s="697" t="s">
        <v>3702</v>
      </c>
      <c r="E9303" s="698">
        <v>41989</v>
      </c>
      <c r="F9303" s="699"/>
      <c r="G9303" s="78"/>
    </row>
    <row r="9304" spans="1:8" hidden="1" outlineLevel="1" x14ac:dyDescent="0.25">
      <c r="A9304" s="689" t="s">
        <v>4156</v>
      </c>
      <c r="B9304" s="689" t="s">
        <v>4153</v>
      </c>
      <c r="C9304" s="700" t="s">
        <v>112</v>
      </c>
      <c r="D9304" s="495" t="s">
        <v>4155</v>
      </c>
      <c r="E9304" s="689" t="s">
        <v>4154</v>
      </c>
      <c r="F9304" s="1021" t="s">
        <v>2519</v>
      </c>
      <c r="G9304" s="78"/>
    </row>
    <row r="9305" spans="1:8" hidden="1" outlineLevel="1" x14ac:dyDescent="0.25">
      <c r="A9305" s="1101">
        <v>2.5000000000000001E-2</v>
      </c>
      <c r="B9305" s="1089" t="s">
        <v>1995</v>
      </c>
      <c r="C9305" s="848">
        <v>48.137</v>
      </c>
      <c r="D9305" s="704">
        <v>43.4</v>
      </c>
      <c r="E9305" s="895">
        <v>-9.8406631073810202E-2</v>
      </c>
      <c r="F9305" s="1021">
        <v>-2.4601657768452551E-3</v>
      </c>
      <c r="G9305" s="78"/>
      <c r="H9305" s="110" t="s">
        <v>2739</v>
      </c>
    </row>
    <row r="9306" spans="1:8" hidden="1" outlineLevel="1" x14ac:dyDescent="0.25">
      <c r="A9306" s="1102">
        <v>4.4999999999999998E-2</v>
      </c>
      <c r="B9306" s="1089" t="s">
        <v>359</v>
      </c>
      <c r="C9306" s="851">
        <v>89.912999999999997</v>
      </c>
      <c r="D9306" s="708">
        <v>134.15</v>
      </c>
      <c r="E9306" s="896">
        <v>0.49199782011500015</v>
      </c>
      <c r="F9306" s="946">
        <v>2.2139901905175004E-2</v>
      </c>
      <c r="G9306" s="78"/>
      <c r="H9306" s="110" t="s">
        <v>360</v>
      </c>
    </row>
    <row r="9307" spans="1:8" hidden="1" outlineLevel="1" x14ac:dyDescent="0.25">
      <c r="A9307" s="1102">
        <v>0.04</v>
      </c>
      <c r="B9307" s="1089" t="s">
        <v>2351</v>
      </c>
      <c r="C9307" s="851">
        <v>16.024999999999999</v>
      </c>
      <c r="D9307" s="708">
        <v>18.93</v>
      </c>
      <c r="E9307" s="896">
        <v>0.18127925117004695</v>
      </c>
      <c r="F9307" s="946">
        <v>7.2511700468018778E-3</v>
      </c>
      <c r="G9307" s="78"/>
      <c r="H9307" s="110" t="s">
        <v>2352</v>
      </c>
    </row>
    <row r="9308" spans="1:8" hidden="1" outlineLevel="1" x14ac:dyDescent="0.25">
      <c r="A9308" s="1102">
        <v>3.5000000000000003E-2</v>
      </c>
      <c r="B9308" s="1089" t="s">
        <v>157</v>
      </c>
      <c r="C9308" s="851">
        <v>8.4140999999999995</v>
      </c>
      <c r="D9308" s="708">
        <v>6.82</v>
      </c>
      <c r="E9308" s="896">
        <v>-0.18945579444028471</v>
      </c>
      <c r="F9308" s="946">
        <v>-6.6309528054099651E-3</v>
      </c>
      <c r="G9308" s="78"/>
      <c r="H9308" s="110" t="s">
        <v>730</v>
      </c>
    </row>
    <row r="9309" spans="1:8" hidden="1" outlineLevel="1" x14ac:dyDescent="0.25">
      <c r="A9309" s="1102">
        <v>0.03</v>
      </c>
      <c r="B9309" s="1231" t="s">
        <v>4377</v>
      </c>
      <c r="C9309" s="851">
        <v>26.065000000000001</v>
      </c>
      <c r="D9309" s="708">
        <v>57.69</v>
      </c>
      <c r="E9309" s="896">
        <v>1.2133128716669863</v>
      </c>
      <c r="F9309" s="946">
        <v>3.6399386150009587E-2</v>
      </c>
      <c r="G9309" s="78"/>
      <c r="H9309" s="110" t="s">
        <v>4327</v>
      </c>
    </row>
    <row r="9310" spans="1:8" hidden="1" outlineLevel="1" x14ac:dyDescent="0.25">
      <c r="A9310" s="1102">
        <v>0.04</v>
      </c>
      <c r="B9310" s="1089" t="s">
        <v>2353</v>
      </c>
      <c r="C9310" s="851">
        <v>495.6</v>
      </c>
      <c r="D9310" s="708">
        <v>739</v>
      </c>
      <c r="E9310" s="896">
        <v>0.49112187247780459</v>
      </c>
      <c r="F9310" s="946">
        <v>1.9644874899112184E-2</v>
      </c>
      <c r="G9310" s="78"/>
      <c r="H9310" s="110" t="s">
        <v>2354</v>
      </c>
    </row>
    <row r="9311" spans="1:8" hidden="1" outlineLevel="1" x14ac:dyDescent="0.25">
      <c r="A9311" s="1102">
        <v>4.4999999999999998E-2</v>
      </c>
      <c r="B9311" s="1089" t="s">
        <v>1319</v>
      </c>
      <c r="C9311" s="851">
        <v>49.078000000000003</v>
      </c>
      <c r="D9311" s="708">
        <v>64.14</v>
      </c>
      <c r="E9311" s="896">
        <v>0.30689922164717376</v>
      </c>
      <c r="F9311" s="946">
        <v>1.3810464974122819E-2</v>
      </c>
      <c r="G9311" s="78"/>
      <c r="H9311" s="110" t="s">
        <v>1320</v>
      </c>
    </row>
    <row r="9312" spans="1:8" hidden="1" outlineLevel="1" x14ac:dyDescent="0.25">
      <c r="A9312" s="1102">
        <v>3.5000000000000003E-2</v>
      </c>
      <c r="B9312" s="1089" t="s">
        <v>2699</v>
      </c>
      <c r="C9312" s="851">
        <v>13.659000000000001</v>
      </c>
      <c r="D9312" s="708">
        <v>26.315000000000001</v>
      </c>
      <c r="E9312" s="896">
        <v>0.92656856285233169</v>
      </c>
      <c r="F9312" s="946">
        <v>3.2429899699831614E-2</v>
      </c>
      <c r="G9312" s="78"/>
      <c r="H9312" s="110" t="s">
        <v>505</v>
      </c>
    </row>
    <row r="9313" spans="1:8" hidden="1" outlineLevel="1" x14ac:dyDescent="0.25">
      <c r="A9313" s="1102">
        <v>0.04</v>
      </c>
      <c r="B9313" s="1089" t="s">
        <v>4387</v>
      </c>
      <c r="C9313" s="851">
        <v>22.667999999999999</v>
      </c>
      <c r="D9313" s="708">
        <v>13.83</v>
      </c>
      <c r="E9313" s="896">
        <v>-0.38988883006881947</v>
      </c>
      <c r="F9313" s="946">
        <v>-1.559555320275278E-2</v>
      </c>
      <c r="G9313" s="78"/>
      <c r="H9313" s="110" t="s">
        <v>3744</v>
      </c>
    </row>
    <row r="9314" spans="1:8" hidden="1" outlineLevel="1" x14ac:dyDescent="0.25">
      <c r="A9314" s="1102">
        <v>2.5000000000000001E-2</v>
      </c>
      <c r="B9314" s="1089" t="s">
        <v>3798</v>
      </c>
      <c r="C9314" s="851">
        <v>4.0087999999999999</v>
      </c>
      <c r="D9314" s="708">
        <v>3.6619999999999999</v>
      </c>
      <c r="E9314" s="896">
        <v>-8.6509678706844895E-2</v>
      </c>
      <c r="F9314" s="946">
        <v>-2.1627419676711226E-3</v>
      </c>
      <c r="G9314" s="78"/>
      <c r="H9314" s="110" t="s">
        <v>4122</v>
      </c>
    </row>
    <row r="9315" spans="1:8" hidden="1" outlineLevel="1" x14ac:dyDescent="0.25">
      <c r="A9315" s="1102">
        <v>0.03</v>
      </c>
      <c r="B9315" s="1089" t="s">
        <v>5824</v>
      </c>
      <c r="C9315" s="851">
        <v>16.736999999999998</v>
      </c>
      <c r="D9315" s="708">
        <v>13.74</v>
      </c>
      <c r="E9315" s="896">
        <v>-0.17906434844954289</v>
      </c>
      <c r="F9315" s="946">
        <v>-5.3719304534862863E-3</v>
      </c>
      <c r="G9315" s="78"/>
      <c r="H9315" s="110" t="s">
        <v>5817</v>
      </c>
    </row>
    <row r="9316" spans="1:8" hidden="1" outlineLevel="1" x14ac:dyDescent="0.25">
      <c r="A9316" s="1102">
        <v>0.03</v>
      </c>
      <c r="B9316" s="711" t="s">
        <v>4338</v>
      </c>
      <c r="C9316" s="851">
        <v>27.407</v>
      </c>
      <c r="D9316" s="708">
        <v>18.77</v>
      </c>
      <c r="E9316" s="896">
        <v>-0.3151384682745284</v>
      </c>
      <c r="F9316" s="946">
        <v>-9.4541540482358521E-3</v>
      </c>
      <c r="G9316" s="78"/>
      <c r="H9316" s="110" t="s">
        <v>7229</v>
      </c>
    </row>
    <row r="9317" spans="1:8" hidden="1" outlineLevel="1" x14ac:dyDescent="0.25">
      <c r="A9317" s="1102">
        <v>3.5000000000000003E-2</v>
      </c>
      <c r="B9317" s="1089" t="s">
        <v>307</v>
      </c>
      <c r="C9317" s="851">
        <v>31.286000000000001</v>
      </c>
      <c r="D9317" s="708">
        <v>97.06</v>
      </c>
      <c r="E9317" s="896">
        <v>2.1023460972959152</v>
      </c>
      <c r="F9317" s="946">
        <v>7.3582113405357044E-2</v>
      </c>
      <c r="G9317" s="78"/>
      <c r="H9317" s="110" t="s">
        <v>1700</v>
      </c>
    </row>
    <row r="9318" spans="1:8" hidden="1" outlineLevel="1" x14ac:dyDescent="0.25">
      <c r="A9318" s="1102">
        <v>0.03</v>
      </c>
      <c r="B9318" s="1089" t="s">
        <v>1771</v>
      </c>
      <c r="C9318" s="851">
        <v>668.24</v>
      </c>
      <c r="D9318" s="708">
        <v>603.5</v>
      </c>
      <c r="E9318" s="896">
        <v>-9.6881359990422578E-2</v>
      </c>
      <c r="F9318" s="946">
        <v>-2.9064407997126773E-3</v>
      </c>
      <c r="G9318" s="78"/>
      <c r="H9318" s="110" t="s">
        <v>4329</v>
      </c>
    </row>
    <row r="9319" spans="1:8" hidden="1" outlineLevel="1" x14ac:dyDescent="0.25">
      <c r="A9319" s="1102">
        <v>3.5000000000000003E-2</v>
      </c>
      <c r="B9319" s="1089" t="s">
        <v>4034</v>
      </c>
      <c r="C9319" s="851">
        <v>9.6734000000000009</v>
      </c>
      <c r="D9319" s="708">
        <v>13.84</v>
      </c>
      <c r="E9319" s="896">
        <v>0.43072756218082553</v>
      </c>
      <c r="F9319" s="946">
        <v>1.5075464676328894E-2</v>
      </c>
      <c r="G9319" s="78"/>
      <c r="H9319" s="110" t="s">
        <v>4035</v>
      </c>
    </row>
    <row r="9320" spans="1:8" hidden="1" outlineLevel="1" x14ac:dyDescent="0.25">
      <c r="A9320" s="1102">
        <v>2.5000000000000001E-2</v>
      </c>
      <c r="B9320" s="1089" t="s">
        <v>4143</v>
      </c>
      <c r="C9320" s="851">
        <v>11.701000000000001</v>
      </c>
      <c r="D9320" s="708">
        <v>2.5310000000000001</v>
      </c>
      <c r="E9320" s="896">
        <v>-0.7836937013930434</v>
      </c>
      <c r="F9320" s="946">
        <v>-1.9592342534826085E-2</v>
      </c>
      <c r="G9320" s="78"/>
      <c r="H9320" s="110" t="s">
        <v>4144</v>
      </c>
    </row>
    <row r="9321" spans="1:8" hidden="1" outlineLevel="1" x14ac:dyDescent="0.25">
      <c r="A9321" s="1102">
        <v>0.04</v>
      </c>
      <c r="B9321" s="1089" t="s">
        <v>2160</v>
      </c>
      <c r="C9321" s="851">
        <v>30.515000000000001</v>
      </c>
      <c r="D9321" s="708">
        <v>58.83</v>
      </c>
      <c r="E9321" s="896">
        <v>0.92790430935605439</v>
      </c>
      <c r="F9321" s="946">
        <v>3.7116172374242175E-2</v>
      </c>
      <c r="G9321" s="78"/>
      <c r="H9321" s="110" t="s">
        <v>5507</v>
      </c>
    </row>
    <row r="9322" spans="1:8" hidden="1" outlineLevel="1" x14ac:dyDescent="0.25">
      <c r="A9322" s="1102">
        <v>0.03</v>
      </c>
      <c r="B9322" s="1089" t="s">
        <v>2786</v>
      </c>
      <c r="C9322" s="851">
        <v>582.9</v>
      </c>
      <c r="D9322" s="708">
        <v>877</v>
      </c>
      <c r="E9322" s="896">
        <v>0.50454623434551382</v>
      </c>
      <c r="F9322" s="946">
        <v>1.5136387030365414E-2</v>
      </c>
      <c r="G9322" s="78"/>
      <c r="H9322" s="110" t="s">
        <v>4195</v>
      </c>
    </row>
    <row r="9323" spans="1:8" hidden="1" outlineLevel="1" x14ac:dyDescent="0.25">
      <c r="A9323" s="1102">
        <v>0.03</v>
      </c>
      <c r="B9323" s="1089" t="s">
        <v>3797</v>
      </c>
      <c r="C9323" s="851">
        <v>55.034999999999997</v>
      </c>
      <c r="D9323" s="708">
        <v>70.099999999999994</v>
      </c>
      <c r="E9323" s="896">
        <v>0.27373489597528833</v>
      </c>
      <c r="F9323" s="946">
        <v>8.2120468792586492E-3</v>
      </c>
      <c r="G9323" s="78"/>
      <c r="H9323" s="110" t="s">
        <v>3848</v>
      </c>
    </row>
    <row r="9324" spans="1:8" hidden="1" outlineLevel="1" x14ac:dyDescent="0.25">
      <c r="A9324" s="1102">
        <v>0.03</v>
      </c>
      <c r="B9324" s="1089" t="s">
        <v>2787</v>
      </c>
      <c r="C9324" s="851">
        <v>55.414999999999999</v>
      </c>
      <c r="D9324" s="708">
        <v>89.1</v>
      </c>
      <c r="E9324" s="896">
        <v>0.60786790580167827</v>
      </c>
      <c r="F9324" s="946">
        <v>1.8236037174050347E-2</v>
      </c>
      <c r="G9324" s="78"/>
      <c r="H9324" s="110" t="s">
        <v>80</v>
      </c>
    </row>
    <row r="9325" spans="1:8" hidden="1" outlineLevel="1" x14ac:dyDescent="0.25">
      <c r="A9325" s="1102">
        <v>0.04</v>
      </c>
      <c r="B9325" s="1089" t="s">
        <v>1204</v>
      </c>
      <c r="C9325" s="851">
        <v>64.525999999999996</v>
      </c>
      <c r="D9325" s="708">
        <v>92.59</v>
      </c>
      <c r="E9325" s="896">
        <v>0.43492545640517011</v>
      </c>
      <c r="F9325" s="946">
        <v>1.7397018256206806E-2</v>
      </c>
      <c r="G9325" s="78"/>
      <c r="H9325" s="110" t="s">
        <v>2427</v>
      </c>
    </row>
    <row r="9326" spans="1:8" hidden="1" outlineLevel="1" x14ac:dyDescent="0.25">
      <c r="A9326" s="1102">
        <v>3.5000000000000003E-2</v>
      </c>
      <c r="B9326" s="1089" t="s">
        <v>3800</v>
      </c>
      <c r="C9326" s="851">
        <v>143.27000000000001</v>
      </c>
      <c r="D9326" s="708">
        <v>281.3</v>
      </c>
      <c r="E9326" s="896">
        <v>0.96342569972778658</v>
      </c>
      <c r="F9326" s="946">
        <v>3.3719899490472535E-2</v>
      </c>
      <c r="G9326" s="78"/>
      <c r="H9326" s="110" t="s">
        <v>2817</v>
      </c>
    </row>
    <row r="9327" spans="1:8" hidden="1" outlineLevel="1" x14ac:dyDescent="0.25">
      <c r="A9327" s="1102">
        <v>0.04</v>
      </c>
      <c r="B9327" s="1089" t="s">
        <v>1857</v>
      </c>
      <c r="C9327" s="851">
        <v>1155.7</v>
      </c>
      <c r="D9327" s="708">
        <v>1624</v>
      </c>
      <c r="E9327" s="896">
        <v>0.40520896426408237</v>
      </c>
      <c r="F9327" s="946">
        <v>1.6208358570563294E-2</v>
      </c>
      <c r="G9327" s="78"/>
      <c r="H9327" s="110" t="s">
        <v>3559</v>
      </c>
    </row>
    <row r="9328" spans="1:8" hidden="1" outlineLevel="1" x14ac:dyDescent="0.25">
      <c r="A9328" s="1102">
        <v>2.5000000000000001E-2</v>
      </c>
      <c r="B9328" s="1089" t="s">
        <v>1239</v>
      </c>
      <c r="C9328" s="851">
        <v>417.24</v>
      </c>
      <c r="D9328" s="708">
        <v>566</v>
      </c>
      <c r="E9328" s="896">
        <v>0.3565334100278017</v>
      </c>
      <c r="F9328" s="946">
        <v>8.9133352506950425E-3</v>
      </c>
      <c r="G9328" s="78"/>
      <c r="H9328" s="110" t="s">
        <v>268</v>
      </c>
    </row>
    <row r="9329" spans="1:8" hidden="1" outlineLevel="1" x14ac:dyDescent="0.25">
      <c r="A9329" s="1102">
        <v>0.03</v>
      </c>
      <c r="B9329" s="1089" t="s">
        <v>3022</v>
      </c>
      <c r="C9329" s="851">
        <v>3936</v>
      </c>
      <c r="D9329" s="708">
        <v>4836</v>
      </c>
      <c r="E9329" s="896">
        <v>0.22865853658536595</v>
      </c>
      <c r="F9329" s="946">
        <v>6.8597560975609782E-3</v>
      </c>
      <c r="G9329" s="78"/>
      <c r="H9329" s="110" t="s">
        <v>2802</v>
      </c>
    </row>
    <row r="9330" spans="1:8" hidden="1" outlineLevel="1" x14ac:dyDescent="0.25">
      <c r="A9330" s="1102">
        <v>0.03</v>
      </c>
      <c r="B9330" s="1089" t="s">
        <v>577</v>
      </c>
      <c r="C9330" s="851">
        <v>17.928999999999998</v>
      </c>
      <c r="D9330" s="708">
        <v>11.994999999999999</v>
      </c>
      <c r="E9330" s="896">
        <v>-0.33097216799598417</v>
      </c>
      <c r="F9330" s="946">
        <v>-9.9291650398795252E-3</v>
      </c>
      <c r="G9330" s="78"/>
      <c r="H9330" s="110" t="s">
        <v>2804</v>
      </c>
    </row>
    <row r="9331" spans="1:8" hidden="1" outlineLevel="1" x14ac:dyDescent="0.25">
      <c r="A9331" s="1102">
        <v>0.03</v>
      </c>
      <c r="B9331" s="1089" t="s">
        <v>4601</v>
      </c>
      <c r="C9331" s="851">
        <v>142.905</v>
      </c>
      <c r="D9331" s="708">
        <v>205.42</v>
      </c>
      <c r="E9331" s="896">
        <v>0.43745845141877471</v>
      </c>
      <c r="F9331" s="946">
        <v>1.3123753542563241E-2</v>
      </c>
      <c r="G9331" s="78"/>
      <c r="H9331" s="110" t="s">
        <v>6271</v>
      </c>
    </row>
    <row r="9332" spans="1:8" hidden="1" outlineLevel="1" x14ac:dyDescent="0.25">
      <c r="A9332" s="1102">
        <v>3.5000000000000003E-2</v>
      </c>
      <c r="B9332" s="1089" t="s">
        <v>719</v>
      </c>
      <c r="C9332" s="851">
        <v>39.890500000000003</v>
      </c>
      <c r="D9332" s="708">
        <v>42.1</v>
      </c>
      <c r="E9332" s="896">
        <v>5.5389127737180521E-2</v>
      </c>
      <c r="F9332" s="946">
        <v>1.9386194708013184E-3</v>
      </c>
      <c r="G9332" s="78"/>
      <c r="H9332" s="110" t="s">
        <v>1697</v>
      </c>
    </row>
    <row r="9333" spans="1:8" hidden="1" outlineLevel="1" x14ac:dyDescent="0.25">
      <c r="A9333" s="1102">
        <v>3.5000000000000003E-2</v>
      </c>
      <c r="B9333" s="1089" t="s">
        <v>579</v>
      </c>
      <c r="C9333" s="851">
        <v>169.56</v>
      </c>
      <c r="D9333" s="708">
        <v>219.45</v>
      </c>
      <c r="E9333" s="896">
        <v>0.29423213021939132</v>
      </c>
      <c r="F9333" s="946">
        <v>1.0298124557678697E-2</v>
      </c>
      <c r="G9333" s="78"/>
      <c r="H9333" s="110" t="s">
        <v>3611</v>
      </c>
    </row>
    <row r="9334" spans="1:8" hidden="1" outlineLevel="1" x14ac:dyDescent="0.25">
      <c r="A9334" s="1102">
        <v>2.5000000000000001E-2</v>
      </c>
      <c r="B9334" s="1089" t="s">
        <v>4550</v>
      </c>
      <c r="C9334" s="1041">
        <v>234.34</v>
      </c>
      <c r="D9334" s="1199">
        <v>299</v>
      </c>
      <c r="E9334" s="947">
        <v>0.2759238712981138</v>
      </c>
      <c r="F9334" s="946">
        <v>6.898096782452845E-3</v>
      </c>
      <c r="G9334" s="78"/>
      <c r="H9334" s="110" t="s">
        <v>4551</v>
      </c>
    </row>
    <row r="9335" spans="1:8" hidden="1" outlineLevel="1" x14ac:dyDescent="0.25">
      <c r="A9335" s="1099"/>
      <c r="B9335" s="1104"/>
      <c r="C9335" s="1105"/>
      <c r="D9335" s="741"/>
      <c r="E9335" s="907"/>
      <c r="F9335" s="1021">
        <v>0.3402874346048308</v>
      </c>
      <c r="G9335" s="78"/>
    </row>
    <row r="9336" spans="1:8" hidden="1" outlineLevel="1" x14ac:dyDescent="0.25">
      <c r="A9336" s="1149" t="s">
        <v>1957</v>
      </c>
      <c r="B9336" s="1243">
        <v>40575</v>
      </c>
      <c r="C9336" s="692">
        <v>100</v>
      </c>
      <c r="D9336" s="1256">
        <v>103.9306</v>
      </c>
      <c r="E9336" s="705">
        <v>3.9306000000000063E-2</v>
      </c>
      <c r="F9336" s="1830">
        <v>3.9306000000000063E-2</v>
      </c>
      <c r="G9336" s="78"/>
    </row>
    <row r="9337" spans="1:8" hidden="1" outlineLevel="1" x14ac:dyDescent="0.25">
      <c r="A9337" s="1149" t="s">
        <v>1958</v>
      </c>
      <c r="B9337" s="1244">
        <v>40664</v>
      </c>
      <c r="C9337" s="696">
        <v>100</v>
      </c>
      <c r="D9337" s="1257">
        <v>104.0732</v>
      </c>
      <c r="E9337" s="709">
        <v>4.073199999999999E-2</v>
      </c>
      <c r="F9337" s="1666">
        <v>4.073199999999999E-2</v>
      </c>
      <c r="G9337" s="78"/>
    </row>
    <row r="9338" spans="1:8" hidden="1" outlineLevel="1" x14ac:dyDescent="0.25">
      <c r="A9338" s="1149" t="s">
        <v>1959</v>
      </c>
      <c r="B9338" s="1244">
        <v>40756</v>
      </c>
      <c r="C9338" s="696">
        <v>100</v>
      </c>
      <c r="D9338" s="1257">
        <v>92.385800000000003</v>
      </c>
      <c r="E9338" s="709">
        <v>-7.6141999999999932E-2</v>
      </c>
      <c r="F9338" s="1666">
        <v>-7.6141999999999932E-2</v>
      </c>
      <c r="G9338" s="78"/>
    </row>
    <row r="9339" spans="1:8" hidden="1" outlineLevel="1" x14ac:dyDescent="0.25">
      <c r="A9339" s="1149" t="s">
        <v>1960</v>
      </c>
      <c r="B9339" s="1244">
        <v>40848</v>
      </c>
      <c r="C9339" s="696">
        <v>100</v>
      </c>
      <c r="D9339" s="1257">
        <v>93.600999999999999</v>
      </c>
      <c r="E9339" s="709">
        <v>-6.3989999999999991E-2</v>
      </c>
      <c r="F9339" s="1666">
        <v>-6.3989999999999991E-2</v>
      </c>
      <c r="G9339" s="78"/>
    </row>
    <row r="9340" spans="1:8" hidden="1" outlineLevel="1" x14ac:dyDescent="0.25">
      <c r="A9340" s="1149" t="s">
        <v>2182</v>
      </c>
      <c r="B9340" s="1244">
        <v>40940</v>
      </c>
      <c r="C9340" s="696">
        <v>100</v>
      </c>
      <c r="D9340" s="1257">
        <v>97.771600000000007</v>
      </c>
      <c r="E9340" s="709">
        <v>-2.228399999999997E-2</v>
      </c>
      <c r="F9340" s="1666">
        <v>-2.228399999999997E-2</v>
      </c>
      <c r="G9340" s="78"/>
    </row>
    <row r="9341" spans="1:8" hidden="1" outlineLevel="1" x14ac:dyDescent="0.25">
      <c r="A9341" s="1149" t="s">
        <v>2183</v>
      </c>
      <c r="B9341" s="1244">
        <v>41030</v>
      </c>
      <c r="C9341" s="696">
        <v>100</v>
      </c>
      <c r="D9341" s="1257">
        <v>92.545599999999993</v>
      </c>
      <c r="E9341" s="709">
        <v>-7.4544000000000055E-2</v>
      </c>
      <c r="F9341" s="1666">
        <v>-7.4544000000000055E-2</v>
      </c>
      <c r="G9341" s="78"/>
    </row>
    <row r="9342" spans="1:8" hidden="1" outlineLevel="1" x14ac:dyDescent="0.25">
      <c r="A9342" s="1149" t="s">
        <v>2184</v>
      </c>
      <c r="B9342" s="1244">
        <v>41122</v>
      </c>
      <c r="C9342" s="696">
        <v>100</v>
      </c>
      <c r="D9342" s="1257">
        <v>101.87350000000001</v>
      </c>
      <c r="E9342" s="709">
        <v>1.8735000000000168E-2</v>
      </c>
      <c r="F9342" s="1666">
        <v>1.8735000000000168E-2</v>
      </c>
      <c r="G9342" s="78"/>
    </row>
    <row r="9343" spans="1:8" hidden="1" outlineLevel="1" x14ac:dyDescent="0.25">
      <c r="A9343" s="1149" t="s">
        <v>2185</v>
      </c>
      <c r="B9343" s="1244">
        <v>41214</v>
      </c>
      <c r="C9343" s="696">
        <v>100</v>
      </c>
      <c r="D9343" s="1257">
        <v>102.80589999999999</v>
      </c>
      <c r="E9343" s="709">
        <v>2.8058999999999834E-2</v>
      </c>
      <c r="F9343" s="1666">
        <v>2.8058999999999834E-2</v>
      </c>
      <c r="G9343" s="78"/>
    </row>
    <row r="9344" spans="1:8" hidden="1" outlineLevel="1" x14ac:dyDescent="0.25">
      <c r="A9344" s="1149" t="s">
        <v>2186</v>
      </c>
      <c r="B9344" s="1244">
        <v>41306</v>
      </c>
      <c r="C9344" s="696">
        <v>100</v>
      </c>
      <c r="D9344" s="1257">
        <v>108.40730000000001</v>
      </c>
      <c r="E9344" s="709">
        <v>8.4073000000000064E-2</v>
      </c>
      <c r="F9344" s="1666">
        <v>8.4073000000000064E-2</v>
      </c>
      <c r="G9344" s="78"/>
    </row>
    <row r="9345" spans="1:9" hidden="1" outlineLevel="1" x14ac:dyDescent="0.25">
      <c r="A9345" s="1149" t="s">
        <v>2187</v>
      </c>
      <c r="B9345" s="1244">
        <v>41395</v>
      </c>
      <c r="C9345" s="696">
        <v>100</v>
      </c>
      <c r="D9345" s="1257">
        <v>116.4717</v>
      </c>
      <c r="E9345" s="709">
        <v>0.164717</v>
      </c>
      <c r="F9345" s="1666">
        <v>0.164717</v>
      </c>
      <c r="G9345" s="78"/>
    </row>
    <row r="9346" spans="1:9" hidden="1" outlineLevel="1" x14ac:dyDescent="0.25">
      <c r="A9346" s="1149" t="s">
        <v>2188</v>
      </c>
      <c r="B9346" s="1244">
        <v>41487</v>
      </c>
      <c r="C9346" s="696">
        <v>100</v>
      </c>
      <c r="D9346" s="1257">
        <v>113.3676</v>
      </c>
      <c r="E9346" s="709">
        <v>0.13367599999999991</v>
      </c>
      <c r="F9346" s="1666">
        <v>0.13367599999999991</v>
      </c>
      <c r="G9346" s="78"/>
    </row>
    <row r="9347" spans="1:9" hidden="1" outlineLevel="1" x14ac:dyDescent="0.25">
      <c r="A9347" s="1149" t="s">
        <v>2189</v>
      </c>
      <c r="B9347" s="1244">
        <v>41579</v>
      </c>
      <c r="C9347" s="696">
        <v>100</v>
      </c>
      <c r="D9347" s="1257">
        <v>125.1431</v>
      </c>
      <c r="E9347" s="709">
        <v>0.25143099999999996</v>
      </c>
      <c r="F9347" s="1666">
        <v>0.25143099999999996</v>
      </c>
      <c r="G9347" s="78"/>
    </row>
    <row r="9348" spans="1:9" hidden="1" outlineLevel="1" x14ac:dyDescent="0.25">
      <c r="A9348" s="1149" t="s">
        <v>2190</v>
      </c>
      <c r="B9348" s="1244">
        <v>41671</v>
      </c>
      <c r="C9348" s="696">
        <v>100</v>
      </c>
      <c r="D9348" s="1257">
        <v>129.9461</v>
      </c>
      <c r="E9348" s="709">
        <v>0.29946099999999998</v>
      </c>
      <c r="F9348" s="1666">
        <v>0.29946099999999998</v>
      </c>
      <c r="G9348" s="78"/>
    </row>
    <row r="9349" spans="1:9" hidden="1" outlineLevel="1" x14ac:dyDescent="0.25">
      <c r="A9349" s="1149" t="s">
        <v>2191</v>
      </c>
      <c r="B9349" s="1244">
        <v>41760</v>
      </c>
      <c r="C9349" s="696">
        <v>100</v>
      </c>
      <c r="D9349" s="1257">
        <v>133.09479999999999</v>
      </c>
      <c r="E9349" s="709">
        <v>0.33094800000000002</v>
      </c>
      <c r="F9349" s="1666">
        <v>0.33094800000000002</v>
      </c>
      <c r="G9349" s="78"/>
    </row>
    <row r="9350" spans="1:9" hidden="1" outlineLevel="1" x14ac:dyDescent="0.25">
      <c r="A9350" s="1149" t="s">
        <v>2192</v>
      </c>
      <c r="B9350" s="1244">
        <v>41852</v>
      </c>
      <c r="C9350" s="696">
        <v>100</v>
      </c>
      <c r="D9350" s="1257">
        <v>133.99619999999999</v>
      </c>
      <c r="E9350" s="709">
        <v>0.33996199999999988</v>
      </c>
      <c r="F9350" s="1666">
        <v>0.33996199999999988</v>
      </c>
      <c r="G9350" s="78"/>
    </row>
    <row r="9351" spans="1:9" hidden="1" outlineLevel="1" x14ac:dyDescent="0.25">
      <c r="A9351" s="1120" t="s">
        <v>2193</v>
      </c>
      <c r="B9351" s="1161">
        <v>41944</v>
      </c>
      <c r="C9351" s="727">
        <v>100</v>
      </c>
      <c r="D9351" s="814">
        <v>143.09280000000001</v>
      </c>
      <c r="E9351" s="716">
        <v>0.4309280000000002</v>
      </c>
      <c r="F9351" s="770">
        <v>0.4309280000000002</v>
      </c>
      <c r="G9351" s="78"/>
    </row>
    <row r="9352" spans="1:9" hidden="1" outlineLevel="1" x14ac:dyDescent="0.25">
      <c r="A9352" s="749"/>
      <c r="B9352" s="750"/>
      <c r="C9352" s="727"/>
      <c r="D9352" s="727"/>
      <c r="E9352" s="872" t="s">
        <v>2465</v>
      </c>
      <c r="F9352" s="1828">
        <v>0.12031675</v>
      </c>
      <c r="G9352" s="78"/>
    </row>
    <row r="9353" spans="1:9" collapsed="1" x14ac:dyDescent="0.25">
      <c r="A9353" s="3801" t="s">
        <v>2194</v>
      </c>
      <c r="B9353" s="3802"/>
      <c r="C9353" s="3802"/>
      <c r="D9353" s="3802"/>
      <c r="E9353" s="721"/>
      <c r="F9353" s="722">
        <v>8.4221724999999997E-2</v>
      </c>
      <c r="G9353" s="175" t="s">
        <v>781</v>
      </c>
    </row>
    <row r="9355" spans="1:9" ht="12.75" hidden="1" customHeight="1" outlineLevel="1" x14ac:dyDescent="0.25">
      <c r="A9355" s="689" t="s">
        <v>113</v>
      </c>
      <c r="B9355" s="689" t="s">
        <v>114</v>
      </c>
      <c r="C9355" s="689" t="s">
        <v>112</v>
      </c>
      <c r="D9355" s="689" t="s">
        <v>4155</v>
      </c>
      <c r="E9355" s="689" t="s">
        <v>116</v>
      </c>
      <c r="F9355" s="1021" t="s">
        <v>4154</v>
      </c>
      <c r="H9355" s="449" t="s">
        <v>5391</v>
      </c>
      <c r="I9355" s="438" t="s">
        <v>5392</v>
      </c>
    </row>
    <row r="9356" spans="1:9" ht="12.75" hidden="1" customHeight="1" outlineLevel="1" x14ac:dyDescent="0.25">
      <c r="A9356" s="732" t="s">
        <v>4103</v>
      </c>
      <c r="B9356" s="1092" t="s">
        <v>2153</v>
      </c>
      <c r="C9356" s="793">
        <v>2832.0920000000001</v>
      </c>
      <c r="D9356" s="3808">
        <v>3109</v>
      </c>
      <c r="E9356" s="1248">
        <v>2344.88</v>
      </c>
      <c r="F9356" s="700">
        <v>-0.17203254696528214</v>
      </c>
      <c r="H9356" s="92">
        <v>-0.17203254696528214</v>
      </c>
      <c r="I9356" s="446">
        <v>0.11</v>
      </c>
    </row>
    <row r="9357" spans="1:9" ht="12.75" hidden="1" customHeight="1" outlineLevel="1" x14ac:dyDescent="0.25">
      <c r="A9357" s="732" t="s">
        <v>4104</v>
      </c>
      <c r="B9357" s="1092" t="s">
        <v>2153</v>
      </c>
      <c r="C9357" s="1028">
        <v>2832.0920000000001</v>
      </c>
      <c r="D9357" s="3809"/>
      <c r="E9357" s="861">
        <v>2701.7660000000001</v>
      </c>
      <c r="F9357" s="1178">
        <v>-4.6017572875457491E-2</v>
      </c>
      <c r="H9357" s="79">
        <v>-4.6017572875457491E-2</v>
      </c>
      <c r="I9357" s="447">
        <v>0.22</v>
      </c>
    </row>
    <row r="9358" spans="1:9" ht="12.75" hidden="1" customHeight="1" outlineLevel="1" x14ac:dyDescent="0.25">
      <c r="A9358" s="732" t="s">
        <v>4105</v>
      </c>
      <c r="B9358" s="1092" t="s">
        <v>2153</v>
      </c>
      <c r="C9358" s="1028">
        <v>2832.0920000000001</v>
      </c>
      <c r="D9358" s="3809"/>
      <c r="E9358" s="861">
        <v>3085.0279999999998</v>
      </c>
      <c r="F9358" s="1178">
        <v>0.33</v>
      </c>
      <c r="H9358" s="79">
        <v>8.9310657987099251E-2</v>
      </c>
      <c r="I9358" s="447">
        <v>0.33</v>
      </c>
    </row>
    <row r="9359" spans="1:9" ht="12.75" hidden="1" customHeight="1" outlineLevel="1" x14ac:dyDescent="0.25">
      <c r="A9359" s="732" t="s">
        <v>2076</v>
      </c>
      <c r="B9359" s="1092" t="s">
        <v>2153</v>
      </c>
      <c r="C9359" s="1028">
        <v>2832.0920000000001</v>
      </c>
      <c r="D9359" s="3809"/>
      <c r="E9359" s="693"/>
      <c r="F9359" s="1178" t="s">
        <v>5590</v>
      </c>
      <c r="H9359" s="79">
        <v>9.7775072278725395E-2</v>
      </c>
      <c r="I9359" s="447">
        <v>0.44</v>
      </c>
    </row>
    <row r="9360" spans="1:9" ht="12.75" hidden="1" customHeight="1" outlineLevel="1" x14ac:dyDescent="0.25">
      <c r="A9360" s="732" t="s">
        <v>2077</v>
      </c>
      <c r="B9360" s="1092" t="s">
        <v>2153</v>
      </c>
      <c r="C9360" s="1028" t="s">
        <v>5590</v>
      </c>
      <c r="D9360" s="3810"/>
      <c r="E9360" s="1253"/>
      <c r="F9360" s="1107" t="s">
        <v>5590</v>
      </c>
      <c r="H9360" s="82" t="s">
        <v>5590</v>
      </c>
      <c r="I9360" s="448">
        <v>0.55000000000000004</v>
      </c>
    </row>
    <row r="9361" spans="1:15" ht="12.75" hidden="1" customHeight="1" outlineLevel="1" x14ac:dyDescent="0.25">
      <c r="A9361" s="690"/>
      <c r="B9361" s="695"/>
      <c r="C9361" s="793"/>
      <c r="D9361" s="1249"/>
      <c r="E9361" s="693"/>
      <c r="F9361" s="856"/>
      <c r="H9361" s="37">
        <v>9.7775072278725395E-2</v>
      </c>
    </row>
    <row r="9362" spans="1:15" collapsed="1" x14ac:dyDescent="0.25">
      <c r="A9362" s="3801" t="s">
        <v>4102</v>
      </c>
      <c r="B9362" s="3802"/>
      <c r="C9362" s="3802"/>
      <c r="D9362" s="3802"/>
      <c r="E9362" s="729"/>
      <c r="F9362" s="752">
        <v>0.33</v>
      </c>
      <c r="G9362" s="175" t="s">
        <v>781</v>
      </c>
    </row>
    <row r="9364" spans="1:15" hidden="1" outlineLevel="1" x14ac:dyDescent="0.25">
      <c r="A9364" s="689" t="s">
        <v>113</v>
      </c>
      <c r="B9364" s="689" t="s">
        <v>114</v>
      </c>
      <c r="C9364" s="689" t="s">
        <v>112</v>
      </c>
      <c r="D9364" s="689" t="s">
        <v>116</v>
      </c>
      <c r="E9364" s="689" t="s">
        <v>117</v>
      </c>
      <c r="F9364" s="1188" t="s">
        <v>121</v>
      </c>
    </row>
    <row r="9365" spans="1:15" hidden="1" outlineLevel="1" x14ac:dyDescent="0.25">
      <c r="A9365" s="690">
        <v>1</v>
      </c>
      <c r="B9365" s="691" t="s">
        <v>252</v>
      </c>
      <c r="C9365" s="692">
        <v>100</v>
      </c>
      <c r="D9365" s="692"/>
      <c r="E9365" s="693"/>
      <c r="F9365" s="694"/>
    </row>
    <row r="9366" spans="1:15" hidden="1" outlineLevel="1" x14ac:dyDescent="0.25">
      <c r="A9366" s="695"/>
      <c r="B9366" s="695"/>
      <c r="C9366" s="696"/>
      <c r="D9366" s="697" t="s">
        <v>3702</v>
      </c>
      <c r="E9366" s="698">
        <v>42506</v>
      </c>
      <c r="F9366" s="699"/>
    </row>
    <row r="9367" spans="1:15" hidden="1" outlineLevel="1" x14ac:dyDescent="0.25">
      <c r="A9367" s="899" t="s">
        <v>4156</v>
      </c>
      <c r="B9367" s="1164" t="s">
        <v>4153</v>
      </c>
      <c r="C9367" s="700" t="s">
        <v>112</v>
      </c>
      <c r="D9367" s="1164" t="s">
        <v>4155</v>
      </c>
      <c r="E9367" s="1164" t="s">
        <v>4154</v>
      </c>
      <c r="F9367" s="1056" t="s">
        <v>2519</v>
      </c>
      <c r="G9367" s="314"/>
      <c r="H9367" s="314"/>
      <c r="J9367" t="s">
        <v>2040</v>
      </c>
    </row>
    <row r="9368" spans="1:15" hidden="1" outlineLevel="1" x14ac:dyDescent="0.25">
      <c r="A9368" s="1553">
        <v>3.3333000000000002E-2</v>
      </c>
      <c r="B9368" s="1554" t="s">
        <v>6937</v>
      </c>
      <c r="C9368" s="1330">
        <v>1189.9000000000001</v>
      </c>
      <c r="D9368" s="704">
        <v>493.9</v>
      </c>
      <c r="E9368" s="911">
        <v>-0.58492310278174642</v>
      </c>
      <c r="F9368" s="1021">
        <v>-1.9497241785023954E-2</v>
      </c>
      <c r="H9368" t="s">
        <v>6936</v>
      </c>
      <c r="J9368" s="256">
        <v>41974</v>
      </c>
      <c r="K9368">
        <v>92.204700000000003</v>
      </c>
      <c r="L9368" s="37">
        <v>-7.7952999999999939E-2</v>
      </c>
    </row>
    <row r="9369" spans="1:15" ht="13.8" hidden="1" outlineLevel="1" x14ac:dyDescent="0.3">
      <c r="A9369" s="1553">
        <v>3.3333000000000002E-2</v>
      </c>
      <c r="B9369" s="1555" t="s">
        <v>938</v>
      </c>
      <c r="C9369" s="1328">
        <v>1322.85</v>
      </c>
      <c r="D9369" s="708">
        <v>1062</v>
      </c>
      <c r="E9369" s="909">
        <v>-0.19718788978342205</v>
      </c>
      <c r="F9369" s="946">
        <v>-6.5728639301508079E-3</v>
      </c>
      <c r="H9369" t="s">
        <v>1734</v>
      </c>
      <c r="J9369" s="256">
        <v>42005</v>
      </c>
      <c r="K9369">
        <v>91.671300000000002</v>
      </c>
      <c r="L9369" s="37">
        <v>-8.3287E-2</v>
      </c>
      <c r="O9369" s="1351"/>
    </row>
    <row r="9370" spans="1:15" ht="13.8" hidden="1" outlineLevel="1" x14ac:dyDescent="0.3">
      <c r="A9370" s="1553">
        <v>3.3333000000000002E-2</v>
      </c>
      <c r="B9370" s="1555" t="s">
        <v>1188</v>
      </c>
      <c r="C9370" s="1328">
        <v>500.82</v>
      </c>
      <c r="D9370" s="708">
        <v>373.75</v>
      </c>
      <c r="E9370" s="909">
        <v>-0.25372389281578211</v>
      </c>
      <c r="F9370" s="946">
        <v>-8.4573785192284655E-3</v>
      </c>
      <c r="H9370" t="s">
        <v>2746</v>
      </c>
      <c r="J9370" s="256">
        <v>42036</v>
      </c>
      <c r="K9370" s="424">
        <v>93.423500000000004</v>
      </c>
      <c r="L9370" s="37">
        <v>-6.5764999999999962E-2</v>
      </c>
      <c r="O9370" s="1351"/>
    </row>
    <row r="9371" spans="1:15" ht="13.8" hidden="1" outlineLevel="1" x14ac:dyDescent="0.3">
      <c r="A9371" s="1553">
        <v>3.3333000000000002E-2</v>
      </c>
      <c r="B9371" s="1555" t="s">
        <v>4332</v>
      </c>
      <c r="C9371" s="1328">
        <v>328.73</v>
      </c>
      <c r="D9371" s="708">
        <v>238.4</v>
      </c>
      <c r="E9371" s="909">
        <v>-0.27478477778115784</v>
      </c>
      <c r="F9371" s="946">
        <v>-9.1594009977793347E-3</v>
      </c>
      <c r="H9371" t="s">
        <v>4334</v>
      </c>
      <c r="J9371" s="256">
        <v>42064</v>
      </c>
      <c r="K9371">
        <v>90.293400000000005</v>
      </c>
      <c r="L9371" s="37">
        <v>-9.7065999999999986E-2</v>
      </c>
      <c r="O9371" s="1351"/>
    </row>
    <row r="9372" spans="1:15" ht="13.8" hidden="1" outlineLevel="1" x14ac:dyDescent="0.3">
      <c r="A9372" s="1553">
        <v>3.3333000000000002E-2</v>
      </c>
      <c r="B9372" s="1556" t="s">
        <v>4437</v>
      </c>
      <c r="C9372" s="1328">
        <v>854.91</v>
      </c>
      <c r="D9372" s="708">
        <v>461.4</v>
      </c>
      <c r="E9372" s="909">
        <v>-0.46029406604203948</v>
      </c>
      <c r="F9372" s="946">
        <v>-1.5342982103379303E-2</v>
      </c>
      <c r="H9372" t="s">
        <v>3825</v>
      </c>
      <c r="J9372" s="256">
        <v>42095</v>
      </c>
      <c r="K9372">
        <v>95.921300000000002</v>
      </c>
      <c r="L9372" s="37">
        <v>-4.0787000000000018E-2</v>
      </c>
      <c r="O9372" s="1351"/>
    </row>
    <row r="9373" spans="1:15" ht="13.8" hidden="1" outlineLevel="1" x14ac:dyDescent="0.3">
      <c r="A9373" s="1553">
        <v>3.3333000000000002E-2</v>
      </c>
      <c r="B9373" s="1555" t="s">
        <v>581</v>
      </c>
      <c r="C9373" s="1328">
        <v>93.308999999999997</v>
      </c>
      <c r="D9373" s="708">
        <v>102.18</v>
      </c>
      <c r="E9373" s="909">
        <v>9.5071214995338105E-2</v>
      </c>
      <c r="F9373" s="946">
        <v>3.1690088094396053E-3</v>
      </c>
      <c r="H9373" t="s">
        <v>589</v>
      </c>
      <c r="J9373" s="256">
        <v>42125</v>
      </c>
      <c r="K9373">
        <v>94.658199999999994</v>
      </c>
      <c r="L9373" s="37">
        <v>-5.3418000000000077E-2</v>
      </c>
      <c r="O9373" s="1351"/>
    </row>
    <row r="9374" spans="1:15" ht="13.8" hidden="1" outlineLevel="1" x14ac:dyDescent="0.3">
      <c r="A9374" s="1553">
        <v>3.3333000000000002E-2</v>
      </c>
      <c r="B9374" s="1555" t="s">
        <v>939</v>
      </c>
      <c r="C9374" s="1328">
        <v>67.923000000000002</v>
      </c>
      <c r="D9374" s="708">
        <v>47.79</v>
      </c>
      <c r="E9374" s="909">
        <v>-0.29640916920630722</v>
      </c>
      <c r="F9374" s="946">
        <v>-9.8802068371538383E-3</v>
      </c>
      <c r="H9374" t="s">
        <v>2791</v>
      </c>
      <c r="J9374" s="256">
        <v>42156</v>
      </c>
      <c r="K9374">
        <v>87.892300000000006</v>
      </c>
      <c r="L9374" s="37">
        <v>-0.12107699999999999</v>
      </c>
      <c r="O9374" s="1351"/>
    </row>
    <row r="9375" spans="1:15" ht="13.8" hidden="1" outlineLevel="1" x14ac:dyDescent="0.3">
      <c r="A9375" s="1553">
        <v>3.3333000000000002E-2</v>
      </c>
      <c r="B9375" s="1555" t="s">
        <v>1</v>
      </c>
      <c r="C9375" s="1328">
        <v>394.49</v>
      </c>
      <c r="D9375" s="708">
        <v>319.60000000000002</v>
      </c>
      <c r="E9375" s="909">
        <v>-0.18984004664250043</v>
      </c>
      <c r="F9375" s="946">
        <v>-6.3279382747344669E-3</v>
      </c>
      <c r="H9375" t="s">
        <v>7</v>
      </c>
      <c r="J9375" s="256">
        <v>42186</v>
      </c>
      <c r="K9375">
        <v>86.656599999999997</v>
      </c>
      <c r="L9375" s="37">
        <v>-0.13343400000000005</v>
      </c>
      <c r="O9375" s="1351"/>
    </row>
    <row r="9376" spans="1:15" ht="13.8" hidden="1" outlineLevel="1" x14ac:dyDescent="0.3">
      <c r="A9376" s="1553">
        <v>3.3333000000000002E-2</v>
      </c>
      <c r="B9376" s="1555" t="s">
        <v>4387</v>
      </c>
      <c r="C9376" s="1328">
        <v>24.306999999999999</v>
      </c>
      <c r="D9376" s="708">
        <v>9.0090000000000003</v>
      </c>
      <c r="E9376" s="909">
        <v>-0.62936602624758298</v>
      </c>
      <c r="F9376" s="946">
        <v>-2.0978657752910683E-2</v>
      </c>
      <c r="H9376" t="s">
        <v>3744</v>
      </c>
      <c r="J9376" s="256">
        <v>42217</v>
      </c>
      <c r="K9376">
        <v>81.488699999999994</v>
      </c>
      <c r="L9376" s="37">
        <v>-0.18511300000000008</v>
      </c>
      <c r="O9376" s="1351"/>
    </row>
    <row r="9377" spans="1:15" ht="13.8" hidden="1" outlineLevel="1" x14ac:dyDescent="0.3">
      <c r="A9377" s="1553">
        <v>3.3333000000000002E-2</v>
      </c>
      <c r="B9377" s="1146" t="s">
        <v>496</v>
      </c>
      <c r="C9377" s="1328">
        <v>31.8245</v>
      </c>
      <c r="D9377" s="708">
        <v>12.545</v>
      </c>
      <c r="E9377" s="909">
        <v>-0.60580684692611042</v>
      </c>
      <c r="F9377" s="946">
        <v>-2.019335962858804E-2</v>
      </c>
      <c r="H9377" t="s">
        <v>497</v>
      </c>
      <c r="J9377" s="256">
        <v>42248</v>
      </c>
      <c r="K9377">
        <v>78.194400000000002</v>
      </c>
      <c r="L9377" s="37">
        <v>-0.21805600000000003</v>
      </c>
      <c r="O9377" s="1351"/>
    </row>
    <row r="9378" spans="1:15" hidden="1" outlineLevel="1" x14ac:dyDescent="0.25">
      <c r="A9378" s="1553">
        <v>3.3333000000000002E-2</v>
      </c>
      <c r="B9378" s="1555" t="s">
        <v>2</v>
      </c>
      <c r="C9378" s="1328">
        <v>31.326000000000001</v>
      </c>
      <c r="D9378" s="708">
        <v>9.6</v>
      </c>
      <c r="E9378" s="909">
        <v>-0.69354529783566377</v>
      </c>
      <c r="F9378" s="946">
        <v>-2.3117945412756181E-2</v>
      </c>
      <c r="H9378" t="s">
        <v>8</v>
      </c>
      <c r="J9378" s="256">
        <v>42278</v>
      </c>
      <c r="K9378">
        <v>83.546400000000006</v>
      </c>
      <c r="L9378" s="37">
        <v>-0.1645359999999999</v>
      </c>
    </row>
    <row r="9379" spans="1:15" hidden="1" outlineLevel="1" x14ac:dyDescent="0.25">
      <c r="A9379" s="1553">
        <v>3.3333000000000002E-2</v>
      </c>
      <c r="B9379" s="1147" t="s">
        <v>3798</v>
      </c>
      <c r="C9379" s="1328">
        <v>3.972</v>
      </c>
      <c r="D9379" s="708">
        <v>3.9580000000000002</v>
      </c>
      <c r="E9379" s="909">
        <v>-3.5246727089627283E-3</v>
      </c>
      <c r="F9379" s="946">
        <v>-1.1748791540785463E-4</v>
      </c>
      <c r="H9379" t="s">
        <v>4122</v>
      </c>
      <c r="J9379" s="256">
        <v>42309</v>
      </c>
      <c r="K9379">
        <v>81.883399999999995</v>
      </c>
      <c r="L9379" s="37">
        <v>-0.18116600000000005</v>
      </c>
    </row>
    <row r="9380" spans="1:15" hidden="1" outlineLevel="1" x14ac:dyDescent="0.25">
      <c r="A9380" s="1553">
        <v>3.3333000000000002E-2</v>
      </c>
      <c r="B9380" s="1555" t="s">
        <v>3021</v>
      </c>
      <c r="C9380" s="1328">
        <v>17.53</v>
      </c>
      <c r="D9380" s="708">
        <v>14.2</v>
      </c>
      <c r="E9380" s="909">
        <v>-0.18996006845407887</v>
      </c>
      <c r="F9380" s="946">
        <v>-6.3319389617798108E-3</v>
      </c>
      <c r="H9380" t="s">
        <v>4124</v>
      </c>
      <c r="J9380" s="256">
        <v>42339</v>
      </c>
      <c r="K9380">
        <v>77.806899999999999</v>
      </c>
      <c r="L9380" s="37">
        <v>-0.22193099999999999</v>
      </c>
    </row>
    <row r="9381" spans="1:15" hidden="1" outlineLevel="1" x14ac:dyDescent="0.25">
      <c r="A9381" s="1553">
        <v>3.3333000000000002E-2</v>
      </c>
      <c r="B9381" s="1146" t="s">
        <v>3425</v>
      </c>
      <c r="C9381" s="1328">
        <v>78.174999999999997</v>
      </c>
      <c r="D9381" s="708">
        <v>88.4</v>
      </c>
      <c r="E9381" s="909">
        <v>0.13079629037416063</v>
      </c>
      <c r="F9381" s="946">
        <v>4.3598327470418963E-3</v>
      </c>
      <c r="H9381" t="s">
        <v>4126</v>
      </c>
      <c r="J9381" s="256">
        <v>42370</v>
      </c>
      <c r="K9381">
        <v>76.146199999999993</v>
      </c>
      <c r="L9381" s="37">
        <v>-0.23853800000000003</v>
      </c>
    </row>
    <row r="9382" spans="1:15" hidden="1" outlineLevel="1" x14ac:dyDescent="0.25">
      <c r="A9382" s="1553">
        <v>3.3333000000000002E-2</v>
      </c>
      <c r="B9382" s="1555" t="s">
        <v>7227</v>
      </c>
      <c r="C9382" s="1328">
        <v>28.988</v>
      </c>
      <c r="D9382" s="708">
        <v>14.4</v>
      </c>
      <c r="E9382" s="909">
        <v>-0.50324272112598312</v>
      </c>
      <c r="F9382" s="946">
        <v>-1.6774589623292396E-2</v>
      </c>
      <c r="H9382" t="s">
        <v>7229</v>
      </c>
      <c r="J9382" s="256">
        <v>42401</v>
      </c>
      <c r="K9382">
        <v>74.460400000000007</v>
      </c>
      <c r="L9382" s="37">
        <v>-0.25539599999999996</v>
      </c>
    </row>
    <row r="9383" spans="1:15" hidden="1" outlineLevel="1" x14ac:dyDescent="0.25">
      <c r="A9383" s="1553">
        <v>3.3333000000000002E-2</v>
      </c>
      <c r="B9383" s="1555" t="s">
        <v>3</v>
      </c>
      <c r="C9383" s="1328">
        <v>418.24</v>
      </c>
      <c r="D9383" s="708">
        <v>417.5</v>
      </c>
      <c r="E9383" s="909">
        <v>-1.7693190512624302E-3</v>
      </c>
      <c r="F9383" s="946">
        <v>-5.8976711935730589E-5</v>
      </c>
      <c r="H9383" t="s">
        <v>9</v>
      </c>
      <c r="J9383" s="256">
        <v>42430</v>
      </c>
      <c r="K9383">
        <v>78.4238</v>
      </c>
      <c r="L9383" s="37">
        <v>-0.21576200000000001</v>
      </c>
    </row>
    <row r="9384" spans="1:15" hidden="1" outlineLevel="1" x14ac:dyDescent="0.25">
      <c r="A9384" s="1553">
        <v>3.3333000000000002E-2</v>
      </c>
      <c r="B9384" s="1555" t="s">
        <v>4441</v>
      </c>
      <c r="C9384" s="1328">
        <v>22149</v>
      </c>
      <c r="D9384" s="708">
        <v>16650</v>
      </c>
      <c r="E9384" s="909">
        <v>-0.24827305973181635</v>
      </c>
      <c r="F9384" s="946">
        <v>-8.2756859000406354E-3</v>
      </c>
      <c r="H9384" t="s">
        <v>1045</v>
      </c>
      <c r="J9384" s="256">
        <v>42461</v>
      </c>
      <c r="K9384" s="424">
        <v>83.322774472530568</v>
      </c>
      <c r="L9384" s="37">
        <v>-0.1667722552746943</v>
      </c>
    </row>
    <row r="9385" spans="1:15" hidden="1" outlineLevel="1" x14ac:dyDescent="0.25">
      <c r="A9385" s="1553">
        <v>3.3333000000000002E-2</v>
      </c>
      <c r="B9385" s="1555" t="s">
        <v>2786</v>
      </c>
      <c r="C9385" s="1328">
        <v>538.29999999999995</v>
      </c>
      <c r="D9385" s="708">
        <v>974.8</v>
      </c>
      <c r="E9385" s="909">
        <v>0.81088612297975105</v>
      </c>
      <c r="F9385" s="946">
        <v>2.7029267137284044E-2</v>
      </c>
      <c r="H9385" t="s">
        <v>4195</v>
      </c>
      <c r="J9385" s="256">
        <v>42491</v>
      </c>
      <c r="K9385" s="424">
        <v>81.514542594357692</v>
      </c>
      <c r="L9385" s="37">
        <v>-0.18485457405642303</v>
      </c>
    </row>
    <row r="9386" spans="1:15" hidden="1" outlineLevel="1" x14ac:dyDescent="0.25">
      <c r="A9386" s="1553">
        <v>3.3333000000000002E-2</v>
      </c>
      <c r="B9386" s="1555" t="s">
        <v>4</v>
      </c>
      <c r="C9386" s="1328">
        <v>97.370999999999995</v>
      </c>
      <c r="D9386" s="708">
        <v>76.650000000000006</v>
      </c>
      <c r="E9386" s="909">
        <v>-0.21280463382321213</v>
      </c>
      <c r="F9386" s="946">
        <v>-7.0934168592291305E-3</v>
      </c>
      <c r="H9386" t="s">
        <v>10</v>
      </c>
      <c r="J9386" s="412" t="s">
        <v>2465</v>
      </c>
      <c r="L9386" s="362">
        <v>-0.15027287940728432</v>
      </c>
    </row>
    <row r="9387" spans="1:15" hidden="1" outlineLevel="1" x14ac:dyDescent="0.25">
      <c r="A9387" s="1553">
        <v>3.3333000000000002E-2</v>
      </c>
      <c r="B9387" s="1555" t="s">
        <v>54</v>
      </c>
      <c r="C9387" s="1328">
        <v>22.410499999999999</v>
      </c>
      <c r="D9387" s="708">
        <v>11.445</v>
      </c>
      <c r="E9387" s="909">
        <v>-0.48930188973918476</v>
      </c>
      <c r="F9387" s="946">
        <v>-1.6309899890676247E-2</v>
      </c>
      <c r="H9387" t="s">
        <v>6741</v>
      </c>
      <c r="J9387" s="412" t="s">
        <v>5221</v>
      </c>
      <c r="L9387" s="362">
        <v>-7.5136439703642158E-2</v>
      </c>
    </row>
    <row r="9388" spans="1:15" hidden="1" outlineLevel="1" x14ac:dyDescent="0.25">
      <c r="A9388" s="1553">
        <v>3.3333000000000002E-2</v>
      </c>
      <c r="B9388" s="1555" t="s">
        <v>2586</v>
      </c>
      <c r="C9388" s="1328">
        <v>21.364999999999998</v>
      </c>
      <c r="D9388" s="708">
        <v>23</v>
      </c>
      <c r="E9388" s="909">
        <v>7.6527030189562417E-2</v>
      </c>
      <c r="F9388" s="946">
        <v>2.550875497308684E-3</v>
      </c>
      <c r="H9388" t="s">
        <v>2720</v>
      </c>
    </row>
    <row r="9389" spans="1:15" hidden="1" outlineLevel="1" x14ac:dyDescent="0.25">
      <c r="A9389" s="1553">
        <v>3.3333000000000002E-2</v>
      </c>
      <c r="B9389" s="1555" t="s">
        <v>3801</v>
      </c>
      <c r="C9389" s="1328">
        <v>53.664000000000001</v>
      </c>
      <c r="D9389" s="708">
        <v>13.045</v>
      </c>
      <c r="E9389" s="909">
        <v>-0.75691338700059629</v>
      </c>
      <c r="F9389" s="946">
        <v>-2.5230193928890879E-2</v>
      </c>
      <c r="H9389" t="s">
        <v>2819</v>
      </c>
    </row>
    <row r="9390" spans="1:15" hidden="1" outlineLevel="1" x14ac:dyDescent="0.25">
      <c r="A9390" s="1553">
        <v>3.3333000000000002E-2</v>
      </c>
      <c r="B9390" s="1555" t="s">
        <v>1857</v>
      </c>
      <c r="C9390" s="1328">
        <v>1211.2</v>
      </c>
      <c r="D9390" s="708">
        <v>1510</v>
      </c>
      <c r="E9390" s="909">
        <v>0.24669749009247033</v>
      </c>
      <c r="F9390" s="946">
        <v>8.2231674372523142E-3</v>
      </c>
      <c r="H9390" t="s">
        <v>3559</v>
      </c>
      <c r="J9390" s="370"/>
      <c r="K9390" s="370"/>
      <c r="L9390" s="370"/>
      <c r="M9390" s="370"/>
      <c r="N9390" s="370"/>
    </row>
    <row r="9391" spans="1:15" ht="13.8" hidden="1" outlineLevel="1" x14ac:dyDescent="0.3">
      <c r="A9391" s="1553">
        <v>3.3333000000000002E-2</v>
      </c>
      <c r="B9391" s="695" t="s">
        <v>5</v>
      </c>
      <c r="C9391" s="1328">
        <v>193.63</v>
      </c>
      <c r="D9391" s="708">
        <v>39.06</v>
      </c>
      <c r="E9391" s="909">
        <v>-0.79827506068274545</v>
      </c>
      <c r="F9391" s="946">
        <v>-2.6608902597737957E-2</v>
      </c>
      <c r="H9391" t="s">
        <v>11</v>
      </c>
      <c r="J9391" s="370"/>
      <c r="K9391" s="1354"/>
      <c r="L9391" s="1354"/>
      <c r="M9391" s="1354"/>
      <c r="N9391" s="370"/>
    </row>
    <row r="9392" spans="1:15" hidden="1" outlineLevel="1" x14ac:dyDescent="0.25">
      <c r="A9392" s="1553">
        <v>3.3333000000000002E-2</v>
      </c>
      <c r="B9392" s="1555" t="s">
        <v>4460</v>
      </c>
      <c r="C9392" s="1328">
        <v>1423.3</v>
      </c>
      <c r="D9392" s="708">
        <v>2227</v>
      </c>
      <c r="E9392" s="909">
        <v>0.56467364575282808</v>
      </c>
      <c r="F9392" s="946">
        <v>1.8822266633879019E-2</v>
      </c>
      <c r="H9392" t="s">
        <v>3485</v>
      </c>
      <c r="J9392" s="370"/>
      <c r="K9392" s="370"/>
      <c r="L9392" s="370"/>
      <c r="M9392" s="370"/>
      <c r="N9392" s="370"/>
    </row>
    <row r="9393" spans="1:14" hidden="1" outlineLevel="1" x14ac:dyDescent="0.25">
      <c r="A9393" s="1553">
        <v>3.3333000000000002E-2</v>
      </c>
      <c r="B9393" s="1555" t="s">
        <v>3381</v>
      </c>
      <c r="C9393" s="1328">
        <v>141.06</v>
      </c>
      <c r="D9393" s="708">
        <v>142.30000000000001</v>
      </c>
      <c r="E9393" s="909">
        <v>8.790585566425646E-3</v>
      </c>
      <c r="F9393" s="946">
        <v>2.9301658868566608E-4</v>
      </c>
      <c r="H9393" t="s">
        <v>1728</v>
      </c>
      <c r="J9393" s="370"/>
      <c r="K9393" s="370"/>
      <c r="L9393" s="370"/>
      <c r="M9393" s="370"/>
      <c r="N9393" s="370"/>
    </row>
    <row r="9394" spans="1:14" hidden="1" outlineLevel="1" x14ac:dyDescent="0.25">
      <c r="A9394" s="1553">
        <v>3.3333000000000002E-2</v>
      </c>
      <c r="B9394" s="1555" t="s">
        <v>4226</v>
      </c>
      <c r="C9394" s="1328">
        <v>38.072000000000003</v>
      </c>
      <c r="D9394" s="708">
        <v>36.83</v>
      </c>
      <c r="E9394" s="909">
        <v>-3.2622399663794988E-2</v>
      </c>
      <c r="F9394" s="946">
        <v>-1.0874024479932784E-3</v>
      </c>
      <c r="H9394" t="s">
        <v>4225</v>
      </c>
    </row>
    <row r="9395" spans="1:14" hidden="1" outlineLevel="1" x14ac:dyDescent="0.25">
      <c r="A9395" s="1553">
        <v>3.3333000000000002E-2</v>
      </c>
      <c r="B9395" s="1555" t="s">
        <v>1183</v>
      </c>
      <c r="C9395" s="1328">
        <v>42.298999999999999</v>
      </c>
      <c r="D9395" s="708">
        <v>43.93</v>
      </c>
      <c r="E9395" s="909">
        <v>3.8558831178042041E-2</v>
      </c>
      <c r="F9395" s="946">
        <v>1.2852815196576755E-3</v>
      </c>
      <c r="H9395" t="s">
        <v>2805</v>
      </c>
    </row>
    <row r="9396" spans="1:14" hidden="1" outlineLevel="1" x14ac:dyDescent="0.25">
      <c r="A9396" s="1553">
        <v>3.3333000000000002E-2</v>
      </c>
      <c r="B9396" s="1555" t="s">
        <v>6</v>
      </c>
      <c r="C9396" s="1328">
        <v>78.941000000000003</v>
      </c>
      <c r="D9396" s="708">
        <v>11.08</v>
      </c>
      <c r="E9396" s="909">
        <v>-0.85964201112223049</v>
      </c>
      <c r="F9396" s="946">
        <v>-2.865444715673731E-2</v>
      </c>
      <c r="H9396" t="s">
        <v>12</v>
      </c>
    </row>
    <row r="9397" spans="1:14" hidden="1" outlineLevel="1" x14ac:dyDescent="0.25">
      <c r="A9397" s="1553">
        <v>3.3333000000000002E-2</v>
      </c>
      <c r="B9397" s="1557" t="s">
        <v>2983</v>
      </c>
      <c r="C9397" s="1331">
        <v>561.51</v>
      </c>
      <c r="D9397" s="1199">
        <v>939.5</v>
      </c>
      <c r="E9397" s="498">
        <v>0.67316699613542053</v>
      </c>
      <c r="F9397" s="946">
        <v>2.2438675482181973E-2</v>
      </c>
      <c r="H9397" t="s">
        <v>1713</v>
      </c>
    </row>
    <row r="9398" spans="1:14" hidden="1" outlineLevel="1" x14ac:dyDescent="0.25">
      <c r="A9398" s="1203"/>
      <c r="F9398" s="731">
        <v>-0.18789952538269539</v>
      </c>
    </row>
    <row r="9399" spans="1:14" collapsed="1" x14ac:dyDescent="0.25">
      <c r="A9399" s="3801" t="s">
        <v>0</v>
      </c>
      <c r="B9399" s="3802"/>
      <c r="C9399" s="3802"/>
      <c r="D9399" s="3802"/>
      <c r="E9399" s="1813"/>
      <c r="F9399" s="1890">
        <v>0</v>
      </c>
    </row>
    <row r="9401" spans="1:14" hidden="1" outlineLevel="1" x14ac:dyDescent="0.25">
      <c r="A9401" s="2139" t="s">
        <v>113</v>
      </c>
      <c r="B9401" s="2139" t="s">
        <v>114</v>
      </c>
      <c r="C9401" s="2139" t="s">
        <v>112</v>
      </c>
      <c r="D9401" s="2139" t="s">
        <v>116</v>
      </c>
      <c r="E9401" s="2139" t="s">
        <v>117</v>
      </c>
      <c r="F9401" s="2140" t="s">
        <v>121</v>
      </c>
      <c r="G9401" s="78"/>
    </row>
    <row r="9402" spans="1:14" hidden="1" outlineLevel="1" x14ac:dyDescent="0.25">
      <c r="A9402" s="2141"/>
      <c r="B9402" s="2141"/>
      <c r="C9402" s="2142"/>
      <c r="D9402" s="1900" t="s">
        <v>3702</v>
      </c>
      <c r="E9402" s="2143">
        <v>43601</v>
      </c>
      <c r="F9402" s="2144"/>
      <c r="G9402" s="78"/>
    </row>
    <row r="9403" spans="1:14" hidden="1" outlineLevel="1" x14ac:dyDescent="0.25">
      <c r="A9403" s="2139" t="s">
        <v>4156</v>
      </c>
      <c r="B9403" s="2139" t="s">
        <v>4153</v>
      </c>
      <c r="C9403" s="2145" t="s">
        <v>112</v>
      </c>
      <c r="D9403" s="2139" t="s">
        <v>4155</v>
      </c>
      <c r="E9403" s="2139" t="s">
        <v>4154</v>
      </c>
      <c r="F9403" s="2140" t="s">
        <v>734</v>
      </c>
      <c r="G9403" s="78"/>
    </row>
    <row r="9404" spans="1:14" hidden="1" outlineLevel="1" x14ac:dyDescent="0.25">
      <c r="A9404" s="1920">
        <v>0.03</v>
      </c>
      <c r="B9404" s="1921" t="s">
        <v>2942</v>
      </c>
      <c r="C9404" s="2108">
        <v>636.6</v>
      </c>
      <c r="D9404" s="2146">
        <v>1476.5</v>
      </c>
      <c r="E9404" s="2147">
        <v>1.3193528118127551</v>
      </c>
      <c r="F9404" s="2148">
        <v>0.08</v>
      </c>
      <c r="G9404" s="78"/>
      <c r="H9404" t="s">
        <v>2336</v>
      </c>
    </row>
    <row r="9405" spans="1:14" hidden="1" outlineLevel="1" x14ac:dyDescent="0.25">
      <c r="A9405" s="1920">
        <v>0.03</v>
      </c>
      <c r="B9405" s="1921" t="s">
        <v>805</v>
      </c>
      <c r="C9405" s="2108">
        <v>61.884</v>
      </c>
      <c r="D9405" s="2146">
        <v>104.01</v>
      </c>
      <c r="E9405" s="2147">
        <v>0.68072522784564682</v>
      </c>
      <c r="F9405" s="2148">
        <v>0.08</v>
      </c>
      <c r="G9405" s="78"/>
      <c r="H9405" t="s">
        <v>806</v>
      </c>
    </row>
    <row r="9406" spans="1:14" hidden="1" outlineLevel="1" x14ac:dyDescent="0.25">
      <c r="A9406" s="1920">
        <v>0.03</v>
      </c>
      <c r="B9406" s="1921" t="s">
        <v>4377</v>
      </c>
      <c r="C9406" s="2108">
        <v>26.356000000000002</v>
      </c>
      <c r="D9406" s="2146">
        <v>47.12</v>
      </c>
      <c r="E9406" s="2147">
        <v>0.7878281985126725</v>
      </c>
      <c r="F9406" s="2148">
        <v>0.08</v>
      </c>
      <c r="G9406" s="78"/>
      <c r="H9406" t="s">
        <v>4327</v>
      </c>
    </row>
    <row r="9407" spans="1:14" hidden="1" outlineLevel="1" x14ac:dyDescent="0.25">
      <c r="A9407" s="1920">
        <v>0.03</v>
      </c>
      <c r="B9407" s="1921" t="s">
        <v>3954</v>
      </c>
      <c r="C9407" s="2108">
        <v>82.287999999999997</v>
      </c>
      <c r="D9407" s="2146">
        <v>110.58</v>
      </c>
      <c r="E9407" s="2147">
        <v>0.34381683842115507</v>
      </c>
      <c r="F9407" s="2148">
        <v>0.08</v>
      </c>
      <c r="G9407" s="78"/>
      <c r="H9407" t="s">
        <v>3955</v>
      </c>
    </row>
    <row r="9408" spans="1:14" hidden="1" outlineLevel="1" x14ac:dyDescent="0.25">
      <c r="A9408" s="1920">
        <v>0.03</v>
      </c>
      <c r="B9408" s="1926" t="s">
        <v>4332</v>
      </c>
      <c r="C9408" s="2108">
        <v>335.98</v>
      </c>
      <c r="D9408" s="2146">
        <v>93.98</v>
      </c>
      <c r="E9408" s="2147">
        <v>-0.72028096910530381</v>
      </c>
      <c r="F9408" s="2148">
        <v>-0.72028096910530381</v>
      </c>
      <c r="G9408" s="78"/>
      <c r="H9408" t="s">
        <v>4334</v>
      </c>
    </row>
    <row r="9409" spans="1:8" hidden="1" outlineLevel="1" x14ac:dyDescent="0.25">
      <c r="A9409" s="1920">
        <v>0.08</v>
      </c>
      <c r="B9409" s="1921" t="s">
        <v>1319</v>
      </c>
      <c r="C9409" s="2108">
        <v>50.271999999999998</v>
      </c>
      <c r="D9409" s="2146">
        <v>86.37</v>
      </c>
      <c r="E9409" s="2147">
        <v>0.71805378739656289</v>
      </c>
      <c r="F9409" s="2148">
        <v>0.08</v>
      </c>
      <c r="G9409" s="78"/>
      <c r="H9409" t="s">
        <v>1320</v>
      </c>
    </row>
    <row r="9410" spans="1:8" hidden="1" outlineLevel="1" x14ac:dyDescent="0.25">
      <c r="A9410" s="1920">
        <v>0.03</v>
      </c>
      <c r="B9410" s="1921" t="s">
        <v>4387</v>
      </c>
      <c r="C9410" s="2108">
        <v>23.004999999999999</v>
      </c>
      <c r="D9410" s="2146">
        <v>9.26</v>
      </c>
      <c r="E9410" s="2147">
        <v>-0.59747880895457506</v>
      </c>
      <c r="F9410" s="2148">
        <v>-0.59747880895457506</v>
      </c>
      <c r="G9410" s="78"/>
      <c r="H9410" t="s">
        <v>3744</v>
      </c>
    </row>
    <row r="9411" spans="1:8" hidden="1" outlineLevel="1" x14ac:dyDescent="0.25">
      <c r="A9411" s="1920">
        <v>0.03</v>
      </c>
      <c r="B9411" s="1921" t="s">
        <v>3798</v>
      </c>
      <c r="C9411" s="2108">
        <v>4.1992000000000003</v>
      </c>
      <c r="D9411" s="2146">
        <v>5.59</v>
      </c>
      <c r="E9411" s="2147">
        <v>0.33120594398933112</v>
      </c>
      <c r="F9411" s="2148">
        <v>0.08</v>
      </c>
      <c r="G9411" s="78"/>
      <c r="H9411" t="s">
        <v>4122</v>
      </c>
    </row>
    <row r="9412" spans="1:8" hidden="1" outlineLevel="1" x14ac:dyDescent="0.25">
      <c r="A9412" s="1920">
        <v>0.03</v>
      </c>
      <c r="B9412" s="2149" t="s">
        <v>5824</v>
      </c>
      <c r="C9412" s="2108">
        <v>15.573</v>
      </c>
      <c r="D9412" s="2146">
        <v>13.78</v>
      </c>
      <c r="E9412" s="2147">
        <v>-0.11513516984524508</v>
      </c>
      <c r="F9412" s="2148">
        <v>-0.11513516984524508</v>
      </c>
      <c r="G9412" s="78"/>
      <c r="H9412" t="s">
        <v>5817</v>
      </c>
    </row>
    <row r="9413" spans="1:8" hidden="1" outlineLevel="1" x14ac:dyDescent="0.25">
      <c r="A9413" s="1920">
        <v>0.08</v>
      </c>
      <c r="B9413" s="1921" t="s">
        <v>1381</v>
      </c>
      <c r="C9413" s="2108">
        <v>64.634</v>
      </c>
      <c r="D9413" s="2146">
        <v>128.72</v>
      </c>
      <c r="E9413" s="2147">
        <v>0.99152149023733638</v>
      </c>
      <c r="F9413" s="2148">
        <v>0.08</v>
      </c>
      <c r="G9413" s="78"/>
      <c r="H9413" t="s">
        <v>1383</v>
      </c>
    </row>
    <row r="9414" spans="1:8" hidden="1" outlineLevel="1" x14ac:dyDescent="0.25">
      <c r="A9414" s="1920">
        <v>0.03</v>
      </c>
      <c r="B9414" s="1921" t="s">
        <v>4143</v>
      </c>
      <c r="C9414" s="2108">
        <v>11.891999999999999</v>
      </c>
      <c r="D9414" s="2146">
        <v>2.6760000000000002</v>
      </c>
      <c r="E9414" s="2147">
        <v>-0.77497477295660944</v>
      </c>
      <c r="F9414" s="2148">
        <v>-0.77497477295660944</v>
      </c>
      <c r="G9414" s="78"/>
      <c r="H9414" t="s">
        <v>4144</v>
      </c>
    </row>
    <row r="9415" spans="1:8" hidden="1" outlineLevel="1" x14ac:dyDescent="0.25">
      <c r="A9415" s="1920">
        <v>0.03</v>
      </c>
      <c r="B9415" s="2150" t="s">
        <v>7573</v>
      </c>
      <c r="C9415" s="2108">
        <v>31.527999999999999</v>
      </c>
      <c r="D9415" s="2146">
        <v>32.46</v>
      </c>
      <c r="E9415" s="2147">
        <v>2.9561025120527828E-2</v>
      </c>
      <c r="F9415" s="2148">
        <v>0.08</v>
      </c>
      <c r="G9415" s="78"/>
      <c r="H9415" t="s">
        <v>7571</v>
      </c>
    </row>
    <row r="9416" spans="1:8" hidden="1" outlineLevel="1" x14ac:dyDescent="0.25">
      <c r="A9416" s="1920">
        <v>0.03</v>
      </c>
      <c r="B9416" s="1921" t="s">
        <v>3956</v>
      </c>
      <c r="C9416" s="2108">
        <v>759.4</v>
      </c>
      <c r="D9416" s="2146">
        <v>898</v>
      </c>
      <c r="E9416" s="2147">
        <v>0.18251250987621814</v>
      </c>
      <c r="F9416" s="2148">
        <v>0.08</v>
      </c>
      <c r="G9416" s="78"/>
      <c r="H9416" t="s">
        <v>3957</v>
      </c>
    </row>
    <row r="9417" spans="1:8" hidden="1" outlineLevel="1" x14ac:dyDescent="0.25">
      <c r="A9417" s="1920">
        <v>0.03</v>
      </c>
      <c r="B9417" s="1921" t="s">
        <v>1905</v>
      </c>
      <c r="C9417" s="2108">
        <v>32.944000000000003</v>
      </c>
      <c r="D9417" s="2146">
        <v>79.13</v>
      </c>
      <c r="E9417" s="2147">
        <v>1.4019548324429332</v>
      </c>
      <c r="F9417" s="2148">
        <v>0.08</v>
      </c>
      <c r="G9417" s="78"/>
      <c r="H9417" t="s">
        <v>504</v>
      </c>
    </row>
    <row r="9418" spans="1:8" hidden="1" outlineLevel="1" x14ac:dyDescent="0.25">
      <c r="A9418" s="1920">
        <v>0.03</v>
      </c>
      <c r="B9418" s="1921" t="s">
        <v>2786</v>
      </c>
      <c r="C9418" s="2108">
        <v>574.79999999999995</v>
      </c>
      <c r="D9418" s="2146">
        <v>814.5</v>
      </c>
      <c r="E9418" s="2147">
        <v>0.41701461377870586</v>
      </c>
      <c r="F9418" s="2148">
        <v>0.08</v>
      </c>
      <c r="G9418" s="78"/>
      <c r="H9418" t="s">
        <v>4195</v>
      </c>
    </row>
    <row r="9419" spans="1:8" hidden="1" outlineLevel="1" x14ac:dyDescent="0.25">
      <c r="A9419" s="1920">
        <v>0.03</v>
      </c>
      <c r="B9419" s="1921" t="s">
        <v>2787</v>
      </c>
      <c r="C9419" s="2108">
        <v>51.38</v>
      </c>
      <c r="D9419" s="2146">
        <v>83.84</v>
      </c>
      <c r="E9419" s="2147">
        <v>0.63176333203581159</v>
      </c>
      <c r="F9419" s="2148">
        <v>0.08</v>
      </c>
      <c r="G9419" s="78"/>
      <c r="H9419" t="s">
        <v>8874</v>
      </c>
    </row>
    <row r="9420" spans="1:8" hidden="1" outlineLevel="1" x14ac:dyDescent="0.25">
      <c r="A9420" s="1920">
        <v>0.03</v>
      </c>
      <c r="B9420" s="1921" t="s">
        <v>3958</v>
      </c>
      <c r="C9420" s="2108">
        <v>1100.8</v>
      </c>
      <c r="D9420" s="2146">
        <v>810.8</v>
      </c>
      <c r="E9420" s="2147">
        <v>-0.26344476744186052</v>
      </c>
      <c r="F9420" s="2148">
        <v>-0.26344476744186052</v>
      </c>
      <c r="G9420" s="78"/>
      <c r="H9420" t="s">
        <v>3959</v>
      </c>
    </row>
    <row r="9421" spans="1:8" hidden="1" outlineLevel="1" x14ac:dyDescent="0.25">
      <c r="A9421" s="1920">
        <v>0.03</v>
      </c>
      <c r="B9421" s="1921" t="s">
        <v>3800</v>
      </c>
      <c r="C9421" s="2108">
        <v>131.94</v>
      </c>
      <c r="D9421" s="2146">
        <v>265</v>
      </c>
      <c r="E9421" s="2147">
        <v>1.0084887069880248</v>
      </c>
      <c r="F9421" s="2148">
        <v>0.08</v>
      </c>
      <c r="G9421" s="78"/>
      <c r="H9421" t="s">
        <v>8876</v>
      </c>
    </row>
    <row r="9422" spans="1:8" hidden="1" outlineLevel="1" x14ac:dyDescent="0.25">
      <c r="A9422" s="1920">
        <v>0.03</v>
      </c>
      <c r="B9422" s="1921" t="s">
        <v>102</v>
      </c>
      <c r="C9422" s="2108">
        <v>605.15</v>
      </c>
      <c r="D9422" s="2146">
        <v>564.6</v>
      </c>
      <c r="E9422" s="2147">
        <v>-6.7008179790134625E-2</v>
      </c>
      <c r="F9422" s="2148">
        <v>-6.7008179790134625E-2</v>
      </c>
      <c r="G9422" s="78"/>
      <c r="H9422" t="s">
        <v>101</v>
      </c>
    </row>
    <row r="9423" spans="1:8" hidden="1" outlineLevel="1" x14ac:dyDescent="0.25">
      <c r="A9423" s="1920">
        <v>0.03</v>
      </c>
      <c r="B9423" s="1921" t="s">
        <v>2728</v>
      </c>
      <c r="C9423" s="2108">
        <v>60.02</v>
      </c>
      <c r="D9423" s="2146">
        <v>105.41</v>
      </c>
      <c r="E9423" s="2147">
        <v>0.7562479173608796</v>
      </c>
      <c r="F9423" s="2148">
        <v>0.08</v>
      </c>
      <c r="G9423" s="78"/>
      <c r="H9423" t="s">
        <v>9049</v>
      </c>
    </row>
    <row r="9424" spans="1:8" hidden="1" outlineLevel="1" x14ac:dyDescent="0.25">
      <c r="A9424" s="1920">
        <v>0.03</v>
      </c>
      <c r="B9424" s="1921" t="s">
        <v>1857</v>
      </c>
      <c r="C9424" s="2108">
        <v>1209.8</v>
      </c>
      <c r="D9424" s="2146">
        <v>1063</v>
      </c>
      <c r="E9424" s="2147">
        <v>-0.12134237063977515</v>
      </c>
      <c r="F9424" s="2148">
        <v>-0.12134237063977515</v>
      </c>
      <c r="G9424" s="78"/>
      <c r="H9424" t="s">
        <v>3559</v>
      </c>
    </row>
    <row r="9425" spans="1:8" hidden="1" outlineLevel="1" x14ac:dyDescent="0.25">
      <c r="A9425" s="1920">
        <v>0.03</v>
      </c>
      <c r="B9425" s="1921" t="s">
        <v>4460</v>
      </c>
      <c r="C9425" s="2108">
        <v>1488.4</v>
      </c>
      <c r="D9425" s="2146">
        <v>1905.5</v>
      </c>
      <c r="E9425" s="2147">
        <v>0.28023380811609777</v>
      </c>
      <c r="F9425" s="2148">
        <v>0.08</v>
      </c>
      <c r="G9425" s="78"/>
      <c r="H9425" t="s">
        <v>3485</v>
      </c>
    </row>
    <row r="9426" spans="1:8" hidden="1" outlineLevel="1" x14ac:dyDescent="0.25">
      <c r="A9426" s="1920">
        <v>0.03</v>
      </c>
      <c r="B9426" s="1921" t="s">
        <v>3960</v>
      </c>
      <c r="C9426" s="2108">
        <v>234.64</v>
      </c>
      <c r="D9426" s="2146">
        <v>266</v>
      </c>
      <c r="E9426" s="2147">
        <v>0.13365155131264927</v>
      </c>
      <c r="F9426" s="2148">
        <v>0.08</v>
      </c>
      <c r="G9426" s="78"/>
      <c r="H9426" t="s">
        <v>8828</v>
      </c>
    </row>
    <row r="9427" spans="1:8" hidden="1" outlineLevel="1" x14ac:dyDescent="0.25">
      <c r="A9427" s="1920">
        <v>0.03</v>
      </c>
      <c r="B9427" s="1921" t="s">
        <v>3022</v>
      </c>
      <c r="C9427" s="2108">
        <v>4061</v>
      </c>
      <c r="D9427" s="2146">
        <v>3851</v>
      </c>
      <c r="E9427" s="2147">
        <v>-5.1711401132725876E-2</v>
      </c>
      <c r="F9427" s="2148">
        <v>-5.1711401132725876E-2</v>
      </c>
      <c r="G9427" s="78"/>
      <c r="H9427" t="s">
        <v>2802</v>
      </c>
    </row>
    <row r="9428" spans="1:8" hidden="1" outlineLevel="1" x14ac:dyDescent="0.25">
      <c r="A9428" s="1920">
        <v>0.03</v>
      </c>
      <c r="B9428" s="1921" t="s">
        <v>577</v>
      </c>
      <c r="C9428" s="2108">
        <v>18.071000000000002</v>
      </c>
      <c r="D9428" s="2146">
        <v>7.2169999999999996</v>
      </c>
      <c r="E9428" s="2147">
        <v>-0.60063084500027675</v>
      </c>
      <c r="F9428" s="2148">
        <v>-0.60063084500027675</v>
      </c>
      <c r="G9428" s="78"/>
      <c r="H9428" t="s">
        <v>6732</v>
      </c>
    </row>
    <row r="9429" spans="1:8" hidden="1" outlineLevel="1" x14ac:dyDescent="0.25">
      <c r="A9429" s="1920">
        <v>0.03</v>
      </c>
      <c r="B9429" s="1921" t="s">
        <v>434</v>
      </c>
      <c r="C9429" s="2108">
        <v>54.01</v>
      </c>
      <c r="D9429" s="2146">
        <v>40.65</v>
      </c>
      <c r="E9429" s="2147">
        <v>-0.24736159970375859</v>
      </c>
      <c r="F9429" s="2148">
        <v>-0.24736159970375859</v>
      </c>
      <c r="G9429" s="78"/>
      <c r="H9429" t="s">
        <v>7745</v>
      </c>
    </row>
    <row r="9430" spans="1:8" hidden="1" outlineLevel="1" x14ac:dyDescent="0.25">
      <c r="A9430" s="1920">
        <v>0.03</v>
      </c>
      <c r="B9430" s="1921" t="s">
        <v>2983</v>
      </c>
      <c r="C9430" s="2108">
        <v>582.29999999999995</v>
      </c>
      <c r="D9430" s="2146">
        <v>777</v>
      </c>
      <c r="E9430" s="2147">
        <v>0.33436373003606401</v>
      </c>
      <c r="F9430" s="2148">
        <v>0.08</v>
      </c>
      <c r="G9430" s="78"/>
      <c r="H9430" t="s">
        <v>1713</v>
      </c>
    </row>
    <row r="9431" spans="1:8" hidden="1" outlineLevel="1" x14ac:dyDescent="0.25">
      <c r="A9431" s="1920">
        <v>0.03</v>
      </c>
      <c r="B9431" s="1921" t="s">
        <v>579</v>
      </c>
      <c r="C9431" s="2108">
        <v>179.66</v>
      </c>
      <c r="D9431" s="2146">
        <v>124.86</v>
      </c>
      <c r="E9431" s="2147">
        <v>-0.305020594456195</v>
      </c>
      <c r="F9431" s="2148">
        <v>-0.305020594456195</v>
      </c>
      <c r="G9431" s="78"/>
      <c r="H9431" t="s">
        <v>3611</v>
      </c>
    </row>
    <row r="9432" spans="1:8" hidden="1" outlineLevel="1" x14ac:dyDescent="0.25">
      <c r="A9432" s="1920">
        <v>0.03</v>
      </c>
      <c r="B9432" s="1921" t="s">
        <v>1211</v>
      </c>
      <c r="C9432" s="2108">
        <v>37.155999999999999</v>
      </c>
      <c r="D9432" s="2146">
        <v>108</v>
      </c>
      <c r="E9432" s="2147">
        <v>1.9066637958876091</v>
      </c>
      <c r="F9432" s="2148">
        <v>0.08</v>
      </c>
      <c r="G9432" s="78"/>
      <c r="H9432" t="s">
        <v>685</v>
      </c>
    </row>
    <row r="9433" spans="1:8" hidden="1" outlineLevel="1" x14ac:dyDescent="0.25">
      <c r="A9433" s="1920">
        <v>0.03</v>
      </c>
      <c r="B9433" s="1921" t="s">
        <v>4550</v>
      </c>
      <c r="C9433" s="2090">
        <v>262.77999999999997</v>
      </c>
      <c r="D9433" s="2146">
        <v>328.4</v>
      </c>
      <c r="E9433" s="2147">
        <v>0.24971459015145747</v>
      </c>
      <c r="F9433" s="2148">
        <v>0.08</v>
      </c>
      <c r="G9433" s="78"/>
      <c r="H9433" t="s">
        <v>8889</v>
      </c>
    </row>
    <row r="9434" spans="1:8" hidden="1" outlineLevel="1" x14ac:dyDescent="0.25">
      <c r="A9434" s="1897" t="s">
        <v>2465</v>
      </c>
      <c r="B9434" s="1931"/>
      <c r="C9434" s="1932"/>
      <c r="D9434" s="2151"/>
      <c r="E9434" s="2152">
        <v>0.3446873208505743</v>
      </c>
      <c r="F9434" s="1897">
        <v>-6.2331684370793783E-2</v>
      </c>
      <c r="G9434" s="78"/>
    </row>
    <row r="9435" spans="1:8" hidden="1" outlineLevel="1" x14ac:dyDescent="0.25">
      <c r="A9435" s="2153"/>
      <c r="B9435" s="2154"/>
      <c r="C9435" s="2154"/>
      <c r="D9435" s="2154"/>
      <c r="E9435" s="2154"/>
      <c r="F9435" s="2155"/>
      <c r="G9435" s="78"/>
    </row>
    <row r="9436" spans="1:8" hidden="1" outlineLevel="1" x14ac:dyDescent="0.25">
      <c r="A9436" s="2156" t="s">
        <v>113</v>
      </c>
      <c r="B9436" s="2156"/>
      <c r="C9436" s="2157"/>
      <c r="D9436" s="2157"/>
      <c r="E9436" s="2158" t="s">
        <v>3992</v>
      </c>
      <c r="F9436" s="2159"/>
      <c r="G9436" s="78"/>
    </row>
    <row r="9437" spans="1:8" hidden="1" outlineLevel="1" x14ac:dyDescent="0.25">
      <c r="A9437" s="2160" t="s">
        <v>3945</v>
      </c>
      <c r="B9437" s="2161"/>
      <c r="C9437" s="2162">
        <v>100</v>
      </c>
      <c r="D9437" s="2154">
        <v>96.314300000000003</v>
      </c>
      <c r="E9437" s="2163">
        <v>-3.6856999999999918E-2</v>
      </c>
      <c r="F9437" s="2164">
        <v>0</v>
      </c>
      <c r="G9437" s="78"/>
    </row>
    <row r="9438" spans="1:8" hidden="1" outlineLevel="1" x14ac:dyDescent="0.25">
      <c r="A9438" s="2160" t="s">
        <v>3946</v>
      </c>
      <c r="B9438" s="2149"/>
      <c r="C9438" s="2146">
        <v>100</v>
      </c>
      <c r="D9438" s="2141">
        <v>97.194800000000001</v>
      </c>
      <c r="E9438" s="2165">
        <v>-2.8051999999999966E-2</v>
      </c>
      <c r="F9438" s="2148">
        <v>0</v>
      </c>
      <c r="G9438" s="78"/>
    </row>
    <row r="9439" spans="1:8" hidden="1" outlineLevel="1" x14ac:dyDescent="0.25">
      <c r="A9439" s="2160" t="s">
        <v>3947</v>
      </c>
      <c r="B9439" s="2149"/>
      <c r="C9439" s="2146">
        <v>100</v>
      </c>
      <c r="D9439" s="2141">
        <v>98.567300000000003</v>
      </c>
      <c r="E9439" s="2165">
        <v>-1.4326999999999979E-2</v>
      </c>
      <c r="F9439" s="2148">
        <v>0</v>
      </c>
      <c r="G9439" s="78"/>
    </row>
    <row r="9440" spans="1:8" hidden="1" outlineLevel="1" x14ac:dyDescent="0.25">
      <c r="A9440" s="2160" t="s">
        <v>3948</v>
      </c>
      <c r="B9440" s="2149"/>
      <c r="C9440" s="2146">
        <v>100</v>
      </c>
      <c r="D9440" s="2141">
        <v>100.8738</v>
      </c>
      <c r="E9440" s="2165">
        <v>8.7380000000001345E-3</v>
      </c>
      <c r="F9440" s="2148">
        <v>8.7380000000001345E-3</v>
      </c>
      <c r="G9440" s="78"/>
    </row>
    <row r="9441" spans="1:8" hidden="1" outlineLevel="1" x14ac:dyDescent="0.25">
      <c r="A9441" s="2160" t="s">
        <v>3949</v>
      </c>
      <c r="B9441" s="2149"/>
      <c r="C9441" s="2146">
        <v>100</v>
      </c>
      <c r="D9441" s="2141">
        <v>96.986099999999993</v>
      </c>
      <c r="E9441" s="2165">
        <v>-3.0139000000000027E-2</v>
      </c>
      <c r="F9441" s="2148">
        <v>0</v>
      </c>
      <c r="G9441" s="78"/>
    </row>
    <row r="9442" spans="1:8" hidden="1" outlineLevel="1" x14ac:dyDescent="0.25">
      <c r="A9442" s="2160" t="s">
        <v>3950</v>
      </c>
      <c r="B9442" s="2149"/>
      <c r="C9442" s="2146">
        <v>100</v>
      </c>
      <c r="D9442" s="2141">
        <v>97.447199999999995</v>
      </c>
      <c r="E9442" s="2165">
        <v>-2.5527999999999995E-2</v>
      </c>
      <c r="F9442" s="2148">
        <v>0</v>
      </c>
      <c r="G9442" s="78"/>
    </row>
    <row r="9443" spans="1:8" hidden="1" outlineLevel="1" x14ac:dyDescent="0.25">
      <c r="A9443" s="2160" t="s">
        <v>3951</v>
      </c>
      <c r="B9443" s="2149"/>
      <c r="C9443" s="2146">
        <v>100</v>
      </c>
      <c r="D9443" s="2141">
        <v>97.1751</v>
      </c>
      <c r="E9443" s="2165">
        <v>-2.8248999999999969E-2</v>
      </c>
      <c r="F9443" s="2148">
        <v>0</v>
      </c>
      <c r="G9443" s="78"/>
    </row>
    <row r="9444" spans="1:8" hidden="1" outlineLevel="1" x14ac:dyDescent="0.25">
      <c r="A9444" s="2160" t="s">
        <v>3952</v>
      </c>
      <c r="B9444" s="2166"/>
      <c r="C9444" s="2167">
        <v>100</v>
      </c>
      <c r="D9444" s="2168">
        <v>95.401700000000005</v>
      </c>
      <c r="E9444" s="2169">
        <v>-4.5982999999999996E-2</v>
      </c>
      <c r="F9444" s="2170">
        <v>0</v>
      </c>
      <c r="G9444" s="78"/>
    </row>
    <row r="9445" spans="1:8" hidden="1" outlineLevel="1" x14ac:dyDescent="0.25">
      <c r="A9445" s="2160"/>
      <c r="B9445" s="2168"/>
      <c r="C9445" s="2168"/>
      <c r="D9445" s="2168"/>
      <c r="E9445" s="2168"/>
      <c r="F9445" s="2171"/>
      <c r="G9445" s="78"/>
    </row>
    <row r="9446" spans="1:8" collapsed="1" x14ac:dyDescent="0.25">
      <c r="A9446" s="3803" t="s">
        <v>3953</v>
      </c>
      <c r="B9446" s="3804"/>
      <c r="C9446" s="3804"/>
      <c r="D9446" s="2157"/>
      <c r="E9446" s="2157"/>
      <c r="F9446" s="1948">
        <v>8.7380000000001345E-3</v>
      </c>
      <c r="G9446" s="78"/>
    </row>
    <row r="9448" spans="1:8" hidden="1" outlineLevel="1" x14ac:dyDescent="0.25">
      <c r="A9448" s="3180" t="s">
        <v>113</v>
      </c>
      <c r="B9448" s="3180" t="s">
        <v>114</v>
      </c>
      <c r="C9448" s="3180" t="s">
        <v>112</v>
      </c>
      <c r="D9448" s="3180" t="s">
        <v>116</v>
      </c>
      <c r="E9448" s="3180" t="s">
        <v>117</v>
      </c>
      <c r="F9448" s="3181" t="s">
        <v>121</v>
      </c>
      <c r="G9448" s="78"/>
    </row>
    <row r="9449" spans="1:8" hidden="1" outlineLevel="1" x14ac:dyDescent="0.25">
      <c r="A9449" s="3187"/>
      <c r="B9449" s="3187"/>
      <c r="C9449" s="3188"/>
      <c r="D9449" s="1900" t="s">
        <v>3702</v>
      </c>
      <c r="E9449" s="3189">
        <v>42643</v>
      </c>
      <c r="F9449" s="3503"/>
      <c r="G9449" s="78"/>
    </row>
    <row r="9450" spans="1:8" hidden="1" outlineLevel="1" x14ac:dyDescent="0.25">
      <c r="A9450" s="3180" t="s">
        <v>4156</v>
      </c>
      <c r="B9450" s="3180" t="s">
        <v>4153</v>
      </c>
      <c r="C9450" s="3510" t="s">
        <v>112</v>
      </c>
      <c r="D9450" s="3180" t="s">
        <v>4155</v>
      </c>
      <c r="E9450" s="3180" t="s">
        <v>4154</v>
      </c>
      <c r="F9450" s="3181" t="s">
        <v>734</v>
      </c>
      <c r="G9450" s="78"/>
    </row>
    <row r="9451" spans="1:8" hidden="1" outlineLevel="1" x14ac:dyDescent="0.25">
      <c r="A9451" s="1920">
        <v>7.0000000000000007E-2</v>
      </c>
      <c r="B9451" s="1813" t="s">
        <v>2942</v>
      </c>
      <c r="C9451" s="1902">
        <v>636.20000000000005</v>
      </c>
      <c r="D9451" s="3196">
        <v>1573.5</v>
      </c>
      <c r="E9451" s="3025">
        <v>1.4732788431310908</v>
      </c>
      <c r="F9451" s="3198">
        <v>0.08</v>
      </c>
      <c r="G9451" s="78"/>
      <c r="H9451" t="s">
        <v>2336</v>
      </c>
    </row>
    <row r="9452" spans="1:8" hidden="1" outlineLevel="1" x14ac:dyDescent="0.25">
      <c r="A9452" s="1920">
        <v>0.02</v>
      </c>
      <c r="B9452" s="1813" t="s">
        <v>805</v>
      </c>
      <c r="C9452" s="1902">
        <v>61.805999999999997</v>
      </c>
      <c r="D9452" s="3196">
        <v>85.97</v>
      </c>
      <c r="E9452" s="3025">
        <v>0.39096527845193019</v>
      </c>
      <c r="F9452" s="3198">
        <v>0.08</v>
      </c>
      <c r="G9452" s="78"/>
      <c r="H9452" t="s">
        <v>806</v>
      </c>
    </row>
    <row r="9453" spans="1:8" hidden="1" outlineLevel="1" x14ac:dyDescent="0.25">
      <c r="A9453" s="1920">
        <v>0.03</v>
      </c>
      <c r="B9453" s="1813" t="s">
        <v>4377</v>
      </c>
      <c r="C9453" s="1902">
        <v>26.143999999999998</v>
      </c>
      <c r="D9453" s="3196">
        <v>53.92</v>
      </c>
      <c r="E9453" s="3025">
        <v>1.0624235006119953</v>
      </c>
      <c r="F9453" s="3198">
        <v>0.08</v>
      </c>
      <c r="G9453" s="78"/>
      <c r="H9453" t="s">
        <v>4327</v>
      </c>
    </row>
    <row r="9454" spans="1:8" hidden="1" outlineLevel="1" x14ac:dyDescent="0.25">
      <c r="A9454" s="1920">
        <v>0.05</v>
      </c>
      <c r="B9454" s="1813" t="s">
        <v>3954</v>
      </c>
      <c r="C9454" s="1902">
        <v>82.51</v>
      </c>
      <c r="D9454" s="3196">
        <v>101.73</v>
      </c>
      <c r="E9454" s="3025">
        <v>0.23294146164101326</v>
      </c>
      <c r="F9454" s="3198">
        <v>0.08</v>
      </c>
      <c r="G9454" s="78"/>
      <c r="H9454" t="s">
        <v>3955</v>
      </c>
    </row>
    <row r="9455" spans="1:8" hidden="1" outlineLevel="1" x14ac:dyDescent="0.25">
      <c r="A9455" s="1920">
        <v>0.02</v>
      </c>
      <c r="B9455" s="1926" t="s">
        <v>4332</v>
      </c>
      <c r="C9455" s="1902">
        <v>335.62</v>
      </c>
      <c r="D9455" s="3196">
        <v>228.2</v>
      </c>
      <c r="E9455" s="3025">
        <v>-0.32006435850068538</v>
      </c>
      <c r="F9455" s="3198">
        <v>-0.32006435850068538</v>
      </c>
      <c r="G9455" s="78"/>
      <c r="H9455" t="s">
        <v>4334</v>
      </c>
    </row>
    <row r="9456" spans="1:8" hidden="1" outlineLevel="1" x14ac:dyDescent="0.25">
      <c r="A9456" s="1920">
        <v>0.08</v>
      </c>
      <c r="B9456" s="1813" t="s">
        <v>1319</v>
      </c>
      <c r="C9456" s="1902">
        <v>49.875999999999998</v>
      </c>
      <c r="D9456" s="3196">
        <v>75.3</v>
      </c>
      <c r="E9456" s="3025">
        <v>0.50974416553051571</v>
      </c>
      <c r="F9456" s="3198">
        <v>0.08</v>
      </c>
      <c r="G9456" s="78"/>
      <c r="H9456" t="s">
        <v>1320</v>
      </c>
    </row>
    <row r="9457" spans="1:8" hidden="1" outlineLevel="1" x14ac:dyDescent="0.25">
      <c r="A9457" s="1920">
        <v>0.02</v>
      </c>
      <c r="B9457" s="1813" t="s">
        <v>3798</v>
      </c>
      <c r="C9457" s="1902">
        <v>4.2304000000000004</v>
      </c>
      <c r="D9457" s="3196">
        <v>3.968</v>
      </c>
      <c r="E9457" s="3025">
        <v>-6.2027231467473576E-2</v>
      </c>
      <c r="F9457" s="3198">
        <v>-6.2027231467473576E-2</v>
      </c>
      <c r="G9457" s="78"/>
      <c r="H9457" t="s">
        <v>4122</v>
      </c>
    </row>
    <row r="9458" spans="1:8" hidden="1" outlineLevel="1" x14ac:dyDescent="0.25">
      <c r="A9458" s="1920">
        <v>0.02</v>
      </c>
      <c r="B9458" s="3028" t="s">
        <v>5824</v>
      </c>
      <c r="C9458" s="1902">
        <v>15.698</v>
      </c>
      <c r="D9458" s="3196">
        <v>13.93</v>
      </c>
      <c r="E9458" s="3025">
        <v>-0.11262581220537649</v>
      </c>
      <c r="F9458" s="3198">
        <v>-0.11262581220537649</v>
      </c>
      <c r="G9458" s="78"/>
      <c r="H9458" t="s">
        <v>5817</v>
      </c>
    </row>
    <row r="9459" spans="1:8" hidden="1" outlineLevel="1" x14ac:dyDescent="0.25">
      <c r="A9459" s="1920">
        <v>0.08</v>
      </c>
      <c r="B9459" s="1813" t="s">
        <v>1381</v>
      </c>
      <c r="C9459" s="1902">
        <v>64.668000000000006</v>
      </c>
      <c r="D9459" s="3196">
        <v>126.14</v>
      </c>
      <c r="E9459" s="3025">
        <v>0.95057833859095675</v>
      </c>
      <c r="F9459" s="3198">
        <v>0.08</v>
      </c>
      <c r="G9459" s="78"/>
      <c r="H9459" t="s">
        <v>1383</v>
      </c>
    </row>
    <row r="9460" spans="1:8" hidden="1" outlineLevel="1" x14ac:dyDescent="0.25">
      <c r="A9460" s="1920">
        <v>0.05</v>
      </c>
      <c r="B9460" s="1813" t="s">
        <v>4143</v>
      </c>
      <c r="C9460" s="1902">
        <v>11.787000000000001</v>
      </c>
      <c r="D9460" s="3196">
        <v>2.9550000000000001</v>
      </c>
      <c r="E9460" s="3025">
        <v>-0.74930007635530671</v>
      </c>
      <c r="F9460" s="3198">
        <v>-0.74930007635530671</v>
      </c>
      <c r="G9460" s="78"/>
      <c r="H9460" t="s">
        <v>4144</v>
      </c>
    </row>
    <row r="9461" spans="1:8" hidden="1" outlineLevel="1" x14ac:dyDescent="0.25">
      <c r="A9461" s="1920">
        <v>0.05</v>
      </c>
      <c r="B9461" s="2965" t="s">
        <v>7573</v>
      </c>
      <c r="C9461" s="1902">
        <v>31.53</v>
      </c>
      <c r="D9461" s="3196">
        <v>89.51</v>
      </c>
      <c r="E9461" s="3025">
        <v>1.8388836029178561</v>
      </c>
      <c r="F9461" s="3198">
        <v>0.08</v>
      </c>
      <c r="G9461" s="78"/>
      <c r="H9461" t="s">
        <v>7571</v>
      </c>
    </row>
    <row r="9462" spans="1:8" hidden="1" outlineLevel="1" x14ac:dyDescent="0.25">
      <c r="A9462" s="1920">
        <v>0.02</v>
      </c>
      <c r="B9462" s="1813" t="s">
        <v>3956</v>
      </c>
      <c r="C9462" s="1902">
        <v>766</v>
      </c>
      <c r="D9462" s="3196">
        <v>1058</v>
      </c>
      <c r="E9462" s="3025">
        <v>0.38120104438642288</v>
      </c>
      <c r="F9462" s="3198">
        <v>0.08</v>
      </c>
      <c r="G9462" s="78"/>
      <c r="H9462" t="s">
        <v>3957</v>
      </c>
    </row>
    <row r="9463" spans="1:8" hidden="1" outlineLevel="1" x14ac:dyDescent="0.25">
      <c r="A9463" s="1920">
        <v>0.02</v>
      </c>
      <c r="B9463" s="1813" t="s">
        <v>1905</v>
      </c>
      <c r="C9463" s="1902">
        <v>32.908000000000001</v>
      </c>
      <c r="D9463" s="3196">
        <v>62.41</v>
      </c>
      <c r="E9463" s="3025">
        <v>0.8964993314695513</v>
      </c>
      <c r="F9463" s="3198">
        <v>0.08</v>
      </c>
      <c r="G9463" s="78"/>
      <c r="H9463" t="s">
        <v>504</v>
      </c>
    </row>
    <row r="9464" spans="1:8" hidden="1" outlineLevel="1" x14ac:dyDescent="0.25">
      <c r="A9464" s="1920">
        <v>0.05</v>
      </c>
      <c r="B9464" s="1813" t="s">
        <v>2786</v>
      </c>
      <c r="C9464" s="1902">
        <v>571.5</v>
      </c>
      <c r="D9464" s="3196">
        <v>1092</v>
      </c>
      <c r="E9464" s="3025">
        <v>0.91076115485564313</v>
      </c>
      <c r="F9464" s="3198">
        <v>0.08</v>
      </c>
      <c r="G9464" s="78"/>
      <c r="H9464" t="s">
        <v>4195</v>
      </c>
    </row>
    <row r="9465" spans="1:8" hidden="1" outlineLevel="1" x14ac:dyDescent="0.25">
      <c r="A9465" s="1920">
        <v>0.02</v>
      </c>
      <c r="B9465" s="1813" t="s">
        <v>2787</v>
      </c>
      <c r="C9465" s="1902">
        <v>52.61</v>
      </c>
      <c r="D9465" s="3196">
        <v>76.400000000000006</v>
      </c>
      <c r="E9465" s="3025">
        <v>0.45219540011404691</v>
      </c>
      <c r="F9465" s="3198">
        <v>0.08</v>
      </c>
      <c r="G9465" s="78"/>
      <c r="H9465" t="s">
        <v>80</v>
      </c>
    </row>
    <row r="9466" spans="1:8" hidden="1" outlineLevel="1" x14ac:dyDescent="0.25">
      <c r="A9466" s="1920">
        <v>0.02</v>
      </c>
      <c r="B9466" s="1813" t="s">
        <v>3958</v>
      </c>
      <c r="C9466" s="1902">
        <v>1077</v>
      </c>
      <c r="D9466" s="3196">
        <v>753</v>
      </c>
      <c r="E9466" s="3025">
        <v>-0.30083565459610029</v>
      </c>
      <c r="F9466" s="3198">
        <v>-0.30083565459610029</v>
      </c>
      <c r="G9466" s="78"/>
      <c r="H9466" t="s">
        <v>3959</v>
      </c>
    </row>
    <row r="9467" spans="1:8" hidden="1" outlineLevel="1" x14ac:dyDescent="0.25">
      <c r="A9467" s="1920">
        <v>0.02</v>
      </c>
      <c r="B9467" s="1813" t="s">
        <v>5121</v>
      </c>
      <c r="C9467" s="1902">
        <v>546.4</v>
      </c>
      <c r="D9467" s="3196">
        <v>1463</v>
      </c>
      <c r="E9467" s="3025">
        <v>1.6775256222547585</v>
      </c>
      <c r="F9467" s="3198">
        <v>0.08</v>
      </c>
      <c r="G9467" s="78"/>
      <c r="H9467" t="s">
        <v>5119</v>
      </c>
    </row>
    <row r="9468" spans="1:8" hidden="1" outlineLevel="1" x14ac:dyDescent="0.25">
      <c r="A9468" s="1920">
        <v>7.0000000000000007E-2</v>
      </c>
      <c r="B9468" s="1813" t="s">
        <v>3800</v>
      </c>
      <c r="C9468" s="1902">
        <v>134.02000000000001</v>
      </c>
      <c r="D9468" s="3196">
        <v>241</v>
      </c>
      <c r="E9468" s="3025">
        <v>0.79823906879570194</v>
      </c>
      <c r="F9468" s="3198">
        <v>0.08</v>
      </c>
      <c r="G9468" s="78"/>
      <c r="H9468" t="s">
        <v>2817</v>
      </c>
    </row>
    <row r="9469" spans="1:8" hidden="1" outlineLevel="1" x14ac:dyDescent="0.25">
      <c r="A9469" s="1920">
        <v>0.02</v>
      </c>
      <c r="B9469" s="1813" t="s">
        <v>102</v>
      </c>
      <c r="C9469" s="1902">
        <v>609.6</v>
      </c>
      <c r="D9469" s="3196">
        <v>546</v>
      </c>
      <c r="E9469" s="3025">
        <v>-0.10433070866141736</v>
      </c>
      <c r="F9469" s="3198">
        <v>-0.10433070866141736</v>
      </c>
      <c r="G9469" s="78"/>
      <c r="H9469" t="s">
        <v>101</v>
      </c>
    </row>
    <row r="9470" spans="1:8" hidden="1" outlineLevel="1" x14ac:dyDescent="0.25">
      <c r="A9470" s="1920">
        <v>0.02</v>
      </c>
      <c r="B9470" s="1813" t="s">
        <v>2728</v>
      </c>
      <c r="C9470" s="1902">
        <v>59.316000000000003</v>
      </c>
      <c r="D9470" s="3196">
        <v>81.260000000000005</v>
      </c>
      <c r="E9470" s="3025">
        <v>0.36995077213568006</v>
      </c>
      <c r="F9470" s="3198">
        <v>0.08</v>
      </c>
      <c r="G9470" s="78"/>
      <c r="H9470" t="s">
        <v>258</v>
      </c>
    </row>
    <row r="9471" spans="1:8" hidden="1" outlineLevel="1" x14ac:dyDescent="0.25">
      <c r="A9471" s="1920">
        <v>0.02</v>
      </c>
      <c r="B9471" s="1813" t="s">
        <v>1857</v>
      </c>
      <c r="C9471" s="1902">
        <v>1217.8</v>
      </c>
      <c r="D9471" s="3196">
        <v>1568</v>
      </c>
      <c r="E9471" s="3025">
        <v>0.28756774511414029</v>
      </c>
      <c r="F9471" s="3198">
        <v>0.08</v>
      </c>
      <c r="G9471" s="78"/>
      <c r="H9471" t="s">
        <v>3559</v>
      </c>
    </row>
    <row r="9472" spans="1:8" hidden="1" outlineLevel="1" x14ac:dyDescent="0.25">
      <c r="A9472" s="1920">
        <v>0.02</v>
      </c>
      <c r="B9472" s="1813" t="s">
        <v>4460</v>
      </c>
      <c r="C9472" s="1902">
        <v>1501.2</v>
      </c>
      <c r="D9472" s="3196">
        <v>2505</v>
      </c>
      <c r="E9472" s="3025">
        <v>0.6686650679456434</v>
      </c>
      <c r="F9472" s="3198">
        <v>0.08</v>
      </c>
      <c r="G9472" s="78"/>
      <c r="H9472" t="s">
        <v>3485</v>
      </c>
    </row>
    <row r="9473" spans="1:8" hidden="1" outlineLevel="1" x14ac:dyDescent="0.25">
      <c r="A9473" s="1920">
        <v>0.02</v>
      </c>
      <c r="B9473" s="1813" t="s">
        <v>3960</v>
      </c>
      <c r="C9473" s="1902">
        <v>235.82</v>
      </c>
      <c r="D9473" s="3196">
        <v>343.9</v>
      </c>
      <c r="E9473" s="3025">
        <v>0.45831566448986516</v>
      </c>
      <c r="F9473" s="3198">
        <v>0.08</v>
      </c>
      <c r="G9473" s="78"/>
      <c r="H9473" t="s">
        <v>3571</v>
      </c>
    </row>
    <row r="9474" spans="1:8" hidden="1" outlineLevel="1" x14ac:dyDescent="0.25">
      <c r="A9474" s="1920">
        <v>7.0000000000000007E-2</v>
      </c>
      <c r="B9474" s="1813" t="s">
        <v>3022</v>
      </c>
      <c r="C9474" s="1902">
        <v>4060</v>
      </c>
      <c r="D9474" s="3196">
        <v>4823</v>
      </c>
      <c r="E9474" s="3025">
        <v>0.18793103448275872</v>
      </c>
      <c r="F9474" s="3198">
        <v>0.08</v>
      </c>
      <c r="G9474" s="78"/>
      <c r="H9474" t="s">
        <v>2802</v>
      </c>
    </row>
    <row r="9475" spans="1:8" hidden="1" outlineLevel="1" x14ac:dyDescent="0.25">
      <c r="A9475" s="1920">
        <v>0.02</v>
      </c>
      <c r="B9475" s="1813" t="s">
        <v>577</v>
      </c>
      <c r="C9475" s="1902">
        <v>18.125</v>
      </c>
      <c r="D9475" s="3196">
        <v>9.0150000000000006</v>
      </c>
      <c r="E9475" s="3025">
        <v>-0.50262068965517237</v>
      </c>
      <c r="F9475" s="3198">
        <v>-0.50262068965517237</v>
      </c>
      <c r="G9475" s="78"/>
      <c r="H9475" t="s">
        <v>2804</v>
      </c>
    </row>
    <row r="9476" spans="1:8" hidden="1" outlineLevel="1" x14ac:dyDescent="0.25">
      <c r="A9476" s="1920">
        <v>0.02</v>
      </c>
      <c r="B9476" s="1813" t="s">
        <v>434</v>
      </c>
      <c r="C9476" s="1902">
        <v>53.45</v>
      </c>
      <c r="D9476" s="3196">
        <v>38.42</v>
      </c>
      <c r="E9476" s="3025">
        <v>-0.28119738072965383</v>
      </c>
      <c r="F9476" s="3198">
        <v>-0.28119738072965383</v>
      </c>
      <c r="G9476" s="78"/>
      <c r="H9476" t="s">
        <v>7745</v>
      </c>
    </row>
    <row r="9477" spans="1:8" hidden="1" outlineLevel="1" x14ac:dyDescent="0.25">
      <c r="A9477" s="1920">
        <v>0.02</v>
      </c>
      <c r="B9477" s="2544" t="s">
        <v>2983</v>
      </c>
      <c r="C9477" s="1902">
        <v>590.70000000000005</v>
      </c>
      <c r="D9477" s="3196">
        <v>1003</v>
      </c>
      <c r="E9477" s="3025">
        <v>0.69798544100220061</v>
      </c>
      <c r="F9477" s="3198">
        <v>0.08</v>
      </c>
      <c r="G9477" s="78"/>
      <c r="H9477" t="s">
        <v>1713</v>
      </c>
    </row>
    <row r="9478" spans="1:8" hidden="1" outlineLevel="1" x14ac:dyDescent="0.25">
      <c r="A9478" s="1920">
        <v>0.02</v>
      </c>
      <c r="B9478" s="2628" t="s">
        <v>579</v>
      </c>
      <c r="C9478" s="1902">
        <v>179.21</v>
      </c>
      <c r="D9478" s="3196">
        <v>221.75</v>
      </c>
      <c r="E9478" s="3025">
        <v>0.23737514647620106</v>
      </c>
      <c r="F9478" s="3198">
        <v>0.08</v>
      </c>
      <c r="G9478" s="78"/>
      <c r="H9478" t="s">
        <v>3611</v>
      </c>
    </row>
    <row r="9479" spans="1:8" hidden="1" outlineLevel="1" x14ac:dyDescent="0.25">
      <c r="A9479" s="1920">
        <v>0.02</v>
      </c>
      <c r="B9479" s="1813" t="s">
        <v>1211</v>
      </c>
      <c r="C9479" s="1902">
        <v>37.21</v>
      </c>
      <c r="D9479" s="3196">
        <v>63.76</v>
      </c>
      <c r="E9479" s="3025">
        <v>0.71351787153990864</v>
      </c>
      <c r="F9479" s="3198">
        <v>0.08</v>
      </c>
      <c r="G9479" s="78"/>
      <c r="H9479" t="s">
        <v>685</v>
      </c>
    </row>
    <row r="9480" spans="1:8" hidden="1" outlineLevel="1" x14ac:dyDescent="0.25">
      <c r="A9480" s="1920">
        <v>0.02</v>
      </c>
      <c r="B9480" s="1813" t="s">
        <v>4550</v>
      </c>
      <c r="C9480" s="1902">
        <v>267.10000000000002</v>
      </c>
      <c r="D9480" s="3196">
        <v>250</v>
      </c>
      <c r="E9480" s="3025">
        <v>-6.4020965930363216E-2</v>
      </c>
      <c r="F9480" s="3198">
        <v>-6.4020965930363216E-2</v>
      </c>
      <c r="G9480" s="78"/>
      <c r="H9480" t="s">
        <v>4551</v>
      </c>
    </row>
    <row r="9481" spans="1:8" hidden="1" outlineLevel="1" x14ac:dyDescent="0.25">
      <c r="A9481" s="1897" t="s">
        <v>2465</v>
      </c>
      <c r="B9481" s="1931"/>
      <c r="C9481" s="1932"/>
      <c r="D9481" s="3030"/>
      <c r="E9481" s="3078">
        <v>0.54220507042238886</v>
      </c>
      <c r="F9481" s="3385">
        <v>2.5000000000000001E-3</v>
      </c>
      <c r="G9481" s="78"/>
    </row>
    <row r="9482" spans="1:8" hidden="1" outlineLevel="1" x14ac:dyDescent="0.25">
      <c r="A9482" s="3182"/>
      <c r="B9482" s="3183"/>
      <c r="C9482" s="3183"/>
      <c r="D9482" s="3183"/>
      <c r="E9482" s="3183"/>
      <c r="F9482" s="3508"/>
      <c r="G9482" s="78"/>
    </row>
    <row r="9483" spans="1:8" hidden="1" outlineLevel="1" x14ac:dyDescent="0.25">
      <c r="A9483" s="3035" t="s">
        <v>113</v>
      </c>
      <c r="B9483" s="3035"/>
      <c r="C9483" s="3042"/>
      <c r="D9483" s="3042"/>
      <c r="E9483" s="2984"/>
      <c r="F9483" s="3181"/>
      <c r="G9483" s="78"/>
    </row>
    <row r="9484" spans="1:8" hidden="1" outlineLevel="1" x14ac:dyDescent="0.25">
      <c r="A9484" s="1810" t="s">
        <v>2645</v>
      </c>
      <c r="B9484" s="3182"/>
      <c r="C9484" s="3183"/>
      <c r="D9484" s="3183"/>
      <c r="E9484" s="2992"/>
      <c r="F9484" s="3193">
        <v>0.04</v>
      </c>
      <c r="G9484" s="78"/>
    </row>
    <row r="9485" spans="1:8" hidden="1" outlineLevel="1" x14ac:dyDescent="0.25">
      <c r="A9485" s="1810" t="s">
        <v>2646</v>
      </c>
      <c r="B9485" s="3028"/>
      <c r="C9485" s="3187"/>
      <c r="D9485" s="3187"/>
      <c r="E9485" s="2199"/>
      <c r="F9485" s="3198">
        <v>0</v>
      </c>
      <c r="G9485" s="78"/>
    </row>
    <row r="9486" spans="1:8" hidden="1" outlineLevel="1" x14ac:dyDescent="0.25">
      <c r="A9486" s="1810" t="s">
        <v>2647</v>
      </c>
      <c r="B9486" s="3028"/>
      <c r="C9486" s="3187"/>
      <c r="D9486" s="3187"/>
      <c r="E9486" s="2199"/>
      <c r="F9486" s="3198">
        <v>5.6669999999999733E-3</v>
      </c>
      <c r="G9486" s="78"/>
    </row>
    <row r="9487" spans="1:8" hidden="1" outlineLevel="1" x14ac:dyDescent="0.25">
      <c r="A9487" s="1810" t="s">
        <v>2648</v>
      </c>
      <c r="B9487" s="3028"/>
      <c r="C9487" s="3187"/>
      <c r="D9487" s="3187"/>
      <c r="E9487" s="2199"/>
      <c r="F9487" s="3198">
        <v>2.2302999999999996E-2</v>
      </c>
      <c r="G9487" s="78"/>
    </row>
    <row r="9488" spans="1:8" hidden="1" outlineLevel="1" x14ac:dyDescent="0.25">
      <c r="A9488" s="1810" t="s">
        <v>2649</v>
      </c>
      <c r="B9488" s="3028"/>
      <c r="C9488" s="1813"/>
      <c r="D9488" s="1813"/>
      <c r="E9488" s="1813"/>
      <c r="F9488" s="3385">
        <v>2.5000000000000001E-3</v>
      </c>
      <c r="G9488" s="78"/>
    </row>
    <row r="9489" spans="1:12" collapsed="1" x14ac:dyDescent="0.25">
      <c r="A9489" s="3500" t="s">
        <v>3570</v>
      </c>
      <c r="B9489" s="3501"/>
      <c r="C9489" s="3501"/>
      <c r="D9489" s="3042"/>
      <c r="E9489" s="3042"/>
      <c r="F9489" s="3205">
        <v>7.0469999999999977E-2</v>
      </c>
      <c r="G9489" s="78"/>
    </row>
    <row r="9491" spans="1:12" hidden="1" outlineLevel="1" x14ac:dyDescent="0.25">
      <c r="A9491" s="689" t="s">
        <v>113</v>
      </c>
      <c r="B9491" s="689" t="s">
        <v>114</v>
      </c>
      <c r="C9491" s="689" t="s">
        <v>112</v>
      </c>
      <c r="D9491" s="689" t="s">
        <v>116</v>
      </c>
      <c r="E9491" s="689" t="s">
        <v>117</v>
      </c>
      <c r="F9491" s="1188" t="s">
        <v>121</v>
      </c>
      <c r="G9491" s="78"/>
    </row>
    <row r="9492" spans="1:12" hidden="1" outlineLevel="1" x14ac:dyDescent="0.25">
      <c r="A9492" s="690">
        <v>1</v>
      </c>
      <c r="B9492" s="691" t="s">
        <v>252</v>
      </c>
      <c r="C9492" s="692">
        <v>100</v>
      </c>
      <c r="D9492" s="692"/>
      <c r="E9492" s="693"/>
      <c r="F9492" s="694"/>
      <c r="G9492" s="78"/>
    </row>
    <row r="9493" spans="1:12" hidden="1" outlineLevel="1" x14ac:dyDescent="0.25">
      <c r="A9493" s="695"/>
      <c r="B9493" s="695"/>
      <c r="C9493" s="696"/>
      <c r="D9493" s="697" t="s">
        <v>3702</v>
      </c>
      <c r="E9493" s="698">
        <v>42580</v>
      </c>
      <c r="F9493" s="699"/>
      <c r="G9493" s="78"/>
    </row>
    <row r="9494" spans="1:12" hidden="1" outlineLevel="1" x14ac:dyDescent="0.25">
      <c r="A9494" s="689" t="s">
        <v>4156</v>
      </c>
      <c r="B9494" s="495" t="s">
        <v>4153</v>
      </c>
      <c r="C9494" s="700" t="s">
        <v>112</v>
      </c>
      <c r="D9494" s="495" t="s">
        <v>4155</v>
      </c>
      <c r="E9494" s="495" t="s">
        <v>4154</v>
      </c>
      <c r="F9494" s="1021" t="s">
        <v>2519</v>
      </c>
      <c r="G9494" s="78"/>
      <c r="J9494" t="s">
        <v>2040</v>
      </c>
    </row>
    <row r="9495" spans="1:12" hidden="1" outlineLevel="1" x14ac:dyDescent="0.25">
      <c r="A9495">
        <v>0.08</v>
      </c>
      <c r="B9495" t="s">
        <v>1995</v>
      </c>
      <c r="C9495" s="1242">
        <v>47.548000000000002</v>
      </c>
      <c r="D9495" s="704">
        <v>42.1</v>
      </c>
      <c r="E9495" s="705">
        <v>-0.1145789517960798</v>
      </c>
      <c r="F9495" s="1021">
        <v>-9.1663161436863847E-3</v>
      </c>
      <c r="G9495" s="78"/>
      <c r="H9495" t="str">
        <f>VLOOKUP(B9495,indexy!$A$44:$D$823,3,FALSE)</f>
        <v>ABT UN Equity</v>
      </c>
      <c r="J9495" s="256">
        <v>42036</v>
      </c>
      <c r="K9495">
        <v>141.0341</v>
      </c>
      <c r="L9495" s="37">
        <f t="shared" ref="L9495:L9512" si="204">IF(K9495="",L9494,K9495/100-1)</f>
        <v>0.41034099999999984</v>
      </c>
    </row>
    <row r="9496" spans="1:12" hidden="1" outlineLevel="1" x14ac:dyDescent="0.25">
      <c r="A9496">
        <v>0.03</v>
      </c>
      <c r="B9496" s="852" t="s">
        <v>2762</v>
      </c>
      <c r="C9496" s="1242">
        <v>63.357999999999997</v>
      </c>
      <c r="D9496" s="704">
        <v>129.57</v>
      </c>
      <c r="E9496" s="709">
        <v>1.0450456138135675</v>
      </c>
      <c r="F9496" s="946">
        <v>3.1351368414407027E-2</v>
      </c>
      <c r="G9496" s="78"/>
      <c r="H9496" t="str">
        <f>VLOOKUP(B9496,indexy!$A$44:$D$823,3,FALSE)</f>
        <v>CB US Equity</v>
      </c>
      <c r="J9496" s="256">
        <v>42064</v>
      </c>
      <c r="K9496">
        <v>138.10409999999999</v>
      </c>
      <c r="L9496" s="37">
        <f t="shared" si="204"/>
        <v>0.38104099999999996</v>
      </c>
    </row>
    <row r="9497" spans="1:12" hidden="1" outlineLevel="1" x14ac:dyDescent="0.25">
      <c r="A9497">
        <v>0.05</v>
      </c>
      <c r="B9497" t="s">
        <v>2763</v>
      </c>
      <c r="C9497" s="1242">
        <v>52.619</v>
      </c>
      <c r="D9497" s="704">
        <v>46.77</v>
      </c>
      <c r="E9497" s="709">
        <v>-0.11115756665843135</v>
      </c>
      <c r="F9497" s="946">
        <v>-5.5578783329215675E-3</v>
      </c>
      <c r="G9497" s="78"/>
      <c r="H9497" t="str">
        <f>VLOOKUP(B9497,indexy!$A$44:$D$823,3,FALSE)</f>
        <v>BAX UN Equity</v>
      </c>
      <c r="J9497" s="256">
        <v>42095</v>
      </c>
      <c r="K9497" s="424">
        <v>143.00409999999999</v>
      </c>
      <c r="L9497" s="37">
        <f t="shared" si="204"/>
        <v>0.4300409999999999</v>
      </c>
    </row>
    <row r="9498" spans="1:12" hidden="1" outlineLevel="1" x14ac:dyDescent="0.25">
      <c r="A9498">
        <v>0.05</v>
      </c>
      <c r="B9498" s="852" t="s">
        <v>901</v>
      </c>
      <c r="C9498" s="1242">
        <v>2451.6999999999998</v>
      </c>
      <c r="D9498" s="704">
        <v>4835</v>
      </c>
      <c r="E9498" s="709">
        <v>0.97210099114899884</v>
      </c>
      <c r="F9498" s="946">
        <v>4.8605049557449945E-2</v>
      </c>
      <c r="G9498" s="78"/>
      <c r="H9498" t="str">
        <f>VLOOKUP(B9498,indexy!$A$44:$D$823,3,FALSE)</f>
        <v>BATS LN Equity</v>
      </c>
      <c r="J9498" s="256">
        <v>42125</v>
      </c>
      <c r="K9498">
        <v>144.5017</v>
      </c>
      <c r="L9498" s="37">
        <f t="shared" si="204"/>
        <v>0.445017</v>
      </c>
    </row>
    <row r="9499" spans="1:12" hidden="1" outlineLevel="1" x14ac:dyDescent="0.25">
      <c r="A9499">
        <v>0.04</v>
      </c>
      <c r="B9499" s="852" t="s">
        <v>581</v>
      </c>
      <c r="C9499" s="1242">
        <v>102.35</v>
      </c>
      <c r="D9499" s="704">
        <v>107.03</v>
      </c>
      <c r="E9499" s="709">
        <v>4.5725451880801238E-2</v>
      </c>
      <c r="F9499" s="946">
        <v>1.8290180752320495E-3</v>
      </c>
      <c r="G9499" s="78"/>
      <c r="H9499" t="str">
        <f>VLOOKUP(B9499,indexy!$A$44:$D$823,3,FALSE)</f>
        <v>CVX UN Equity</v>
      </c>
      <c r="J9499" s="256">
        <v>42156</v>
      </c>
      <c r="K9499">
        <v>138.5565</v>
      </c>
      <c r="L9499" s="37">
        <f t="shared" si="204"/>
        <v>0.38556499999999994</v>
      </c>
    </row>
    <row r="9500" spans="1:12" hidden="1" outlineLevel="1" x14ac:dyDescent="0.25">
      <c r="A9500">
        <v>0.03</v>
      </c>
      <c r="B9500" s="852" t="s">
        <v>2765</v>
      </c>
      <c r="C9500" s="1242">
        <v>38.85</v>
      </c>
      <c r="D9500" s="704">
        <v>6.06</v>
      </c>
      <c r="E9500" s="709">
        <v>-0.84401544401544404</v>
      </c>
      <c r="F9500" s="946">
        <v>-2.532046332046332E-2</v>
      </c>
      <c r="G9500" s="78"/>
      <c r="H9500" t="e">
        <f>VLOOKUP(B9500,indexy!$A$44:$D$823,3,FALSE)</f>
        <v>#N/A</v>
      </c>
      <c r="J9500" s="256">
        <v>42186</v>
      </c>
      <c r="K9500">
        <v>145.82300000000001</v>
      </c>
      <c r="L9500" s="37">
        <f t="shared" si="204"/>
        <v>0.45823000000000014</v>
      </c>
    </row>
    <row r="9501" spans="1:12" hidden="1" outlineLevel="1" x14ac:dyDescent="0.25">
      <c r="A9501">
        <v>0.05</v>
      </c>
      <c r="B9501" s="852" t="s">
        <v>3425</v>
      </c>
      <c r="C9501" s="1242">
        <v>85.462999999999994</v>
      </c>
      <c r="D9501" s="704">
        <v>95.12</v>
      </c>
      <c r="E9501" s="709">
        <v>0.1129962673905669</v>
      </c>
      <c r="F9501" s="946">
        <v>5.6498133695283455E-3</v>
      </c>
      <c r="G9501" s="78"/>
      <c r="H9501" t="str">
        <f>VLOOKUP(B9501,indexy!$A$44:$D$823,3,FALSE)</f>
        <v>XOM UN Equity</v>
      </c>
      <c r="J9501" s="256">
        <v>42217</v>
      </c>
      <c r="K9501">
        <v>135.2971</v>
      </c>
      <c r="L9501" s="37">
        <f t="shared" si="204"/>
        <v>0.35297099999999992</v>
      </c>
    </row>
    <row r="9502" spans="1:12" hidden="1" outlineLevel="1" x14ac:dyDescent="0.25">
      <c r="A9502">
        <v>0.03</v>
      </c>
      <c r="B9502" s="852" t="s">
        <v>52</v>
      </c>
      <c r="C9502" s="1242">
        <v>161.744</v>
      </c>
      <c r="D9502" s="704">
        <v>159.78</v>
      </c>
      <c r="E9502" s="709">
        <v>-1.2142645167672383E-2</v>
      </c>
      <c r="F9502" s="946">
        <v>-3.6427935503017151E-4</v>
      </c>
      <c r="G9502" s="78"/>
      <c r="H9502" t="str">
        <f>VLOOKUP(B9502,indexy!$A$44:$D$823,3,FALSE)</f>
        <v>IBM UN Equity</v>
      </c>
      <c r="J9502" s="256">
        <v>42248</v>
      </c>
      <c r="K9502">
        <v>131.50890000000001</v>
      </c>
      <c r="L9502" s="37">
        <f t="shared" si="204"/>
        <v>0.31508900000000017</v>
      </c>
    </row>
    <row r="9503" spans="1:12" hidden="1" outlineLevel="1" x14ac:dyDescent="0.25">
      <c r="A9503">
        <v>0.08</v>
      </c>
      <c r="B9503" s="852" t="s">
        <v>1343</v>
      </c>
      <c r="C9503" s="1242">
        <v>1974.6</v>
      </c>
      <c r="D9503" s="704">
        <v>3992</v>
      </c>
      <c r="E9503" s="709">
        <v>1.0216752760052672</v>
      </c>
      <c r="F9503" s="946">
        <v>8.1734022080421381E-2</v>
      </c>
      <c r="G9503" s="78"/>
      <c r="H9503" t="str">
        <f>VLOOKUP(B9503,indexy!$A$44:$D$823,3,FALSE)</f>
        <v>IMB LN Equity</v>
      </c>
      <c r="J9503" s="256">
        <v>42278</v>
      </c>
      <c r="K9503">
        <v>140.83150000000001</v>
      </c>
      <c r="L9503" s="37">
        <f t="shared" si="204"/>
        <v>0.40831499999999998</v>
      </c>
    </row>
    <row r="9504" spans="1:12" hidden="1" outlineLevel="1" x14ac:dyDescent="0.25">
      <c r="A9504">
        <v>0.08</v>
      </c>
      <c r="B9504" t="s">
        <v>4143</v>
      </c>
      <c r="C9504" s="1242">
        <v>11.7395</v>
      </c>
      <c r="D9504" s="704">
        <v>3.1909999999999998</v>
      </c>
      <c r="E9504" s="709">
        <v>-0.72818263128753347</v>
      </c>
      <c r="F9504" s="946">
        <v>-5.825461050300268E-2</v>
      </c>
      <c r="G9504" s="78"/>
      <c r="H9504" t="str">
        <f>VLOOKUP(B9504,indexy!$A$44:$D$823,3,FALSE)</f>
        <v>KPN NA Equity</v>
      </c>
      <c r="J9504" s="256">
        <v>42309</v>
      </c>
      <c r="K9504">
        <v>141.88329999999999</v>
      </c>
      <c r="L9504" s="37">
        <f t="shared" si="204"/>
        <v>0.41883300000000001</v>
      </c>
    </row>
    <row r="9505" spans="1:12" hidden="1" outlineLevel="1" x14ac:dyDescent="0.25">
      <c r="A9505">
        <v>0.05</v>
      </c>
      <c r="B9505" s="852" t="s">
        <v>1905</v>
      </c>
      <c r="C9505" s="1242">
        <v>35.527000000000001</v>
      </c>
      <c r="D9505" s="704">
        <v>59.63</v>
      </c>
      <c r="E9505" s="709">
        <v>0.67844174852928751</v>
      </c>
      <c r="F9505" s="946">
        <v>3.3922087426464374E-2</v>
      </c>
      <c r="G9505" s="78"/>
      <c r="H9505" t="str">
        <f>VLOOKUP(B9505,indexy!$A$44:$D$823,3,FALSE)</f>
        <v>MRK UN Equity</v>
      </c>
      <c r="J9505" s="256">
        <v>42339</v>
      </c>
      <c r="K9505">
        <v>140.5009</v>
      </c>
      <c r="L9505" s="37">
        <f t="shared" si="204"/>
        <v>0.40500899999999995</v>
      </c>
    </row>
    <row r="9506" spans="1:12" hidden="1" outlineLevel="1" x14ac:dyDescent="0.25">
      <c r="A9506">
        <v>0.03</v>
      </c>
      <c r="B9506" s="852" t="s">
        <v>1001</v>
      </c>
      <c r="C9506" s="1242">
        <v>26.459</v>
      </c>
      <c r="D9506" s="704">
        <v>53.7</v>
      </c>
      <c r="E9506" s="709">
        <v>1.0295551608148457</v>
      </c>
      <c r="F9506" s="946">
        <v>3.0886654824445369E-2</v>
      </c>
      <c r="G9506" s="78"/>
      <c r="H9506" t="str">
        <f>VLOOKUP(B9506,indexy!$A$44:$D$823,3,FALSE)</f>
        <v>MSFT UW Equity</v>
      </c>
      <c r="J9506" s="256">
        <v>42370</v>
      </c>
      <c r="K9506">
        <v>138.11750000000001</v>
      </c>
      <c r="L9506" s="37">
        <f t="shared" si="204"/>
        <v>0.38117500000000004</v>
      </c>
    </row>
    <row r="9507" spans="1:12" hidden="1" outlineLevel="1" x14ac:dyDescent="0.25">
      <c r="A9507">
        <v>0.08</v>
      </c>
      <c r="B9507" s="852" t="s">
        <v>3797</v>
      </c>
      <c r="C9507" s="1242">
        <v>52.57</v>
      </c>
      <c r="D9507" s="704">
        <v>77.849999999999994</v>
      </c>
      <c r="E9507" s="709">
        <v>0.48088263268023579</v>
      </c>
      <c r="F9507" s="946">
        <v>3.8470610614418865E-2</v>
      </c>
      <c r="G9507" s="78"/>
      <c r="H9507" t="str">
        <f>VLOOKUP(B9507,indexy!$A$44:$D$823,3,FALSE)</f>
        <v>NESN SE Equity</v>
      </c>
      <c r="J9507" s="256">
        <v>42401</v>
      </c>
      <c r="K9507">
        <v>136.14920000000001</v>
      </c>
      <c r="L9507" s="37">
        <f t="shared" si="204"/>
        <v>0.36149200000000015</v>
      </c>
    </row>
    <row r="9508" spans="1:12" hidden="1" outlineLevel="1" x14ac:dyDescent="0.25">
      <c r="A9508">
        <v>0.08</v>
      </c>
      <c r="B9508" s="852" t="s">
        <v>3800</v>
      </c>
      <c r="C9508" s="1242">
        <v>137.75</v>
      </c>
      <c r="D9508" s="704">
        <v>255.6</v>
      </c>
      <c r="E9508" s="709">
        <v>0.85553539019963698</v>
      </c>
      <c r="F9508" s="946">
        <v>6.8442831215970959E-2</v>
      </c>
      <c r="G9508" s="78"/>
      <c r="H9508" t="str">
        <f>VLOOKUP(B9508,indexy!$A$44:$D$823,3,FALSE)</f>
        <v>ROG SE Equity</v>
      </c>
      <c r="J9508" s="256">
        <v>42430</v>
      </c>
      <c r="K9508">
        <v>140.26849999999999</v>
      </c>
      <c r="L9508" s="37">
        <f t="shared" si="204"/>
        <v>0.40268499999999996</v>
      </c>
    </row>
    <row r="9509" spans="1:12" hidden="1" outlineLevel="1" x14ac:dyDescent="0.25">
      <c r="A9509">
        <v>0.05</v>
      </c>
      <c r="B9509" s="852" t="s">
        <v>2586</v>
      </c>
      <c r="C9509" s="1242">
        <v>21.938500000000001</v>
      </c>
      <c r="D9509" s="704">
        <v>24.995000000000001</v>
      </c>
      <c r="E9509" s="709">
        <v>0.13932128449985193</v>
      </c>
      <c r="F9509" s="946">
        <v>6.9660642249925967E-3</v>
      </c>
      <c r="G9509" s="78"/>
      <c r="H9509" t="str">
        <f>VLOOKUP(B9509,indexy!$A$44:$D$823,3,FALSE)</f>
        <v>RDSB LN Equity</v>
      </c>
      <c r="J9509" s="256">
        <v>42461</v>
      </c>
      <c r="K9509">
        <v>140.62379999999999</v>
      </c>
      <c r="L9509" s="37">
        <f t="shared" si="204"/>
        <v>0.40623799999999988</v>
      </c>
    </row>
    <row r="9510" spans="1:12" hidden="1" outlineLevel="1" x14ac:dyDescent="0.25">
      <c r="A9510">
        <v>0.03</v>
      </c>
      <c r="B9510" s="852" t="s">
        <v>1187</v>
      </c>
      <c r="C9510" s="1242">
        <v>50.163499999999999</v>
      </c>
      <c r="D9510" s="704">
        <v>75.63</v>
      </c>
      <c r="E9510" s="709">
        <v>0.50766991936368067</v>
      </c>
      <c r="F9510" s="946">
        <v>1.523009758091042E-2</v>
      </c>
      <c r="G9510" s="78"/>
      <c r="H9510" t="str">
        <f>VLOOKUP(B9510,indexy!$A$44:$D$823,3,FALSE)</f>
        <v>SAN FP Equity</v>
      </c>
      <c r="J9510" s="256">
        <v>42491</v>
      </c>
      <c r="K9510">
        <v>144.8614</v>
      </c>
      <c r="L9510" s="37">
        <f t="shared" si="204"/>
        <v>0.44861400000000007</v>
      </c>
    </row>
    <row r="9511" spans="1:12" hidden="1" outlineLevel="1" x14ac:dyDescent="0.25">
      <c r="A9511">
        <v>0.03</v>
      </c>
      <c r="B9511" s="852" t="s">
        <v>1183</v>
      </c>
      <c r="C9511" s="1242">
        <v>43.515000000000001</v>
      </c>
      <c r="D9511" s="704">
        <v>43.93</v>
      </c>
      <c r="E9511" s="709">
        <v>9.5369412846144641E-3</v>
      </c>
      <c r="F9511" s="946">
        <v>2.8610823853843394E-4</v>
      </c>
      <c r="G9511" s="78"/>
      <c r="H9511" t="e">
        <f>VLOOKUP(B9511,indexy!$A$44:$D$823,3,FALSE)</f>
        <v>#N/A</v>
      </c>
      <c r="J9511" s="256">
        <v>42522</v>
      </c>
      <c r="K9511">
        <v>149.0471</v>
      </c>
      <c r="L9511" s="37">
        <f t="shared" si="204"/>
        <v>0.4904710000000001</v>
      </c>
    </row>
    <row r="9512" spans="1:12" hidden="1" outlineLevel="1" x14ac:dyDescent="0.25">
      <c r="A9512">
        <v>0.05</v>
      </c>
      <c r="B9512" t="s">
        <v>507</v>
      </c>
      <c r="C9512" s="1242">
        <v>21.837499999999999</v>
      </c>
      <c r="D9512" s="704">
        <v>42.015000000000001</v>
      </c>
      <c r="E9512" s="709">
        <v>0.92398397252432751</v>
      </c>
      <c r="F9512" s="946">
        <v>4.6199198626216381E-2</v>
      </c>
      <c r="G9512" s="78"/>
      <c r="H9512" t="str">
        <f>VLOOKUP(B9512,indexy!$A$44:$D$823,3,FALSE)</f>
        <v>UNA NA Equity</v>
      </c>
      <c r="J9512" s="256">
        <v>42552</v>
      </c>
      <c r="K9512">
        <v>150.85669999999999</v>
      </c>
      <c r="L9512" s="37">
        <f t="shared" si="204"/>
        <v>0.50856699999999999</v>
      </c>
    </row>
    <row r="9513" spans="1:12" hidden="1" outlineLevel="1" x14ac:dyDescent="0.25">
      <c r="A9513">
        <v>0.05</v>
      </c>
      <c r="B9513" s="852" t="s">
        <v>579</v>
      </c>
      <c r="C9513" s="1242">
        <v>176.86</v>
      </c>
      <c r="D9513" s="704">
        <v>227.9</v>
      </c>
      <c r="E9513" s="709">
        <v>0.28858984507520069</v>
      </c>
      <c r="F9513" s="946">
        <v>1.4429492253760036E-2</v>
      </c>
      <c r="G9513" s="78"/>
      <c r="H9513" t="str">
        <f>VLOOKUP(B9513,indexy!$A$44:$D$823,3,FALSE)</f>
        <v>VOD LN Equity</v>
      </c>
      <c r="J9513" s="412" t="s">
        <v>2465</v>
      </c>
      <c r="L9513" s="362">
        <f>AVERAGE(L9495:L9512)</f>
        <v>0.41164966666666669</v>
      </c>
    </row>
    <row r="9514" spans="1:12" hidden="1" outlineLevel="1" x14ac:dyDescent="0.25">
      <c r="A9514">
        <v>0.03</v>
      </c>
      <c r="B9514" s="801" t="s">
        <v>2766</v>
      </c>
      <c r="C9514" s="1242">
        <v>50.082999999999998</v>
      </c>
      <c r="D9514" s="1227">
        <v>87.49</v>
      </c>
      <c r="E9514" s="716">
        <v>0.74690014575804153</v>
      </c>
      <c r="F9514" s="1023">
        <v>2.2407004372741245E-2</v>
      </c>
      <c r="G9514" s="78"/>
      <c r="H9514" t="str">
        <f>VLOOKUP(B9514,indexy!$A$44:$D$823,3,FALSE)</f>
        <v>YUM UN Equity</v>
      </c>
      <c r="J9514" s="412" t="s">
        <v>5221</v>
      </c>
      <c r="L9514" s="362">
        <f>L9513*parametry!N323</f>
        <v>0.30873725000000002</v>
      </c>
    </row>
    <row r="9515" spans="1:12" hidden="1" outlineLevel="1" x14ac:dyDescent="0.25">
      <c r="C9515" s="696"/>
      <c r="D9515" s="696"/>
      <c r="E9515" s="709"/>
      <c r="F9515" s="1666">
        <v>0.34774587322039324</v>
      </c>
      <c r="G9515" s="78"/>
    </row>
    <row r="9516" spans="1:12" collapsed="1" x14ac:dyDescent="0.25">
      <c r="A9516" s="3801" t="s">
        <v>2761</v>
      </c>
      <c r="B9516" s="3802"/>
      <c r="C9516" s="3802"/>
      <c r="D9516" s="3802"/>
      <c r="E9516" s="1892"/>
      <c r="F9516" s="1893">
        <v>0.30873725000000002</v>
      </c>
      <c r="G9516" s="78"/>
    </row>
    <row r="9518" spans="1:12" hidden="1" outlineLevel="1" x14ac:dyDescent="0.25">
      <c r="A9518" s="689" t="s">
        <v>113</v>
      </c>
      <c r="B9518" s="689" t="s">
        <v>114</v>
      </c>
      <c r="C9518" s="689" t="s">
        <v>112</v>
      </c>
      <c r="D9518" s="689" t="s">
        <v>116</v>
      </c>
      <c r="E9518" s="689" t="s">
        <v>117</v>
      </c>
      <c r="F9518" s="1188" t="s">
        <v>121</v>
      </c>
      <c r="G9518" s="78"/>
    </row>
    <row r="9519" spans="1:12" hidden="1" outlineLevel="1" x14ac:dyDescent="0.25">
      <c r="A9519" s="690">
        <v>1</v>
      </c>
      <c r="B9519" s="691" t="s">
        <v>252</v>
      </c>
      <c r="C9519" s="692">
        <v>100</v>
      </c>
      <c r="D9519" s="692"/>
      <c r="E9519" s="693"/>
      <c r="F9519" s="694"/>
      <c r="G9519" s="78"/>
    </row>
    <row r="9520" spans="1:12" hidden="1" outlineLevel="1" x14ac:dyDescent="0.25">
      <c r="A9520" s="695"/>
      <c r="B9520" s="695"/>
      <c r="C9520" s="696"/>
      <c r="D9520" s="697" t="s">
        <v>3702</v>
      </c>
      <c r="E9520" s="698">
        <v>42613</v>
      </c>
      <c r="F9520" s="699"/>
      <c r="G9520" s="78"/>
    </row>
    <row r="9521" spans="1:12" hidden="1" outlineLevel="1" x14ac:dyDescent="0.25">
      <c r="A9521" s="689" t="s">
        <v>4156</v>
      </c>
      <c r="B9521" s="495" t="s">
        <v>4153</v>
      </c>
      <c r="C9521" s="700" t="s">
        <v>112</v>
      </c>
      <c r="D9521" s="495" t="s">
        <v>4155</v>
      </c>
      <c r="E9521" s="495" t="s">
        <v>4154</v>
      </c>
      <c r="F9521" s="1021" t="s">
        <v>2519</v>
      </c>
      <c r="G9521" s="78"/>
      <c r="J9521" t="s">
        <v>2040</v>
      </c>
    </row>
    <row r="9522" spans="1:12" hidden="1" outlineLevel="1" x14ac:dyDescent="0.25">
      <c r="A9522">
        <v>0.03</v>
      </c>
      <c r="B9522" t="s">
        <v>872</v>
      </c>
      <c r="C9522" s="1242">
        <v>325.02999999999997</v>
      </c>
      <c r="D9522" s="704">
        <v>538.5</v>
      </c>
      <c r="E9522" s="705">
        <v>0.65677014429437297</v>
      </c>
      <c r="F9522" s="1021">
        <v>1.9703104328831187E-2</v>
      </c>
      <c r="G9522" s="78"/>
      <c r="H9522" t="s">
        <v>4312</v>
      </c>
      <c r="J9522" s="256">
        <v>42064</v>
      </c>
      <c r="K9522">
        <v>146.61109999999999</v>
      </c>
      <c r="L9522" s="37">
        <f t="shared" ref="L9522:L9539" si="205">IF(K9522="",L9521,K9522/100-1)</f>
        <v>0.46611099999999994</v>
      </c>
    </row>
    <row r="9523" spans="1:12" hidden="1" outlineLevel="1" x14ac:dyDescent="0.25">
      <c r="A9523">
        <v>0.05</v>
      </c>
      <c r="B9523" s="852" t="s">
        <v>4332</v>
      </c>
      <c r="C9523" s="1242">
        <v>324.63</v>
      </c>
      <c r="D9523" s="704">
        <v>232.6</v>
      </c>
      <c r="E9523" s="709">
        <v>-0.283491975479777</v>
      </c>
      <c r="F9523" s="946">
        <v>-1.4174598773988851E-2</v>
      </c>
      <c r="G9523" s="78"/>
      <c r="H9523" t="s">
        <v>4334</v>
      </c>
      <c r="J9523" s="256">
        <v>42095</v>
      </c>
      <c r="K9523">
        <v>147.70330000000001</v>
      </c>
      <c r="L9523" s="37">
        <f t="shared" si="205"/>
        <v>0.47703300000000004</v>
      </c>
    </row>
    <row r="9524" spans="1:12" hidden="1" outlineLevel="1" x14ac:dyDescent="0.25">
      <c r="A9524">
        <v>0.05</v>
      </c>
      <c r="B9524" t="s">
        <v>1440</v>
      </c>
      <c r="C9524" s="1242">
        <v>79.540999999999997</v>
      </c>
      <c r="D9524" s="704">
        <v>74.34</v>
      </c>
      <c r="E9524" s="709">
        <v>-6.5387661709055633E-2</v>
      </c>
      <c r="F9524" s="946">
        <v>-3.2693830854527818E-3</v>
      </c>
      <c r="G9524" s="78"/>
      <c r="H9524" t="s">
        <v>2569</v>
      </c>
      <c r="J9524" s="256">
        <v>42125</v>
      </c>
      <c r="K9524" s="424">
        <v>149.4633</v>
      </c>
      <c r="L9524" s="37">
        <f t="shared" si="205"/>
        <v>0.4946330000000001</v>
      </c>
    </row>
    <row r="9525" spans="1:12" hidden="1" outlineLevel="1" x14ac:dyDescent="0.25">
      <c r="A9525">
        <v>0.08</v>
      </c>
      <c r="B9525" s="852" t="s">
        <v>1231</v>
      </c>
      <c r="C9525" s="1242">
        <v>53.655000000000001</v>
      </c>
      <c r="D9525" s="704">
        <v>79.66</v>
      </c>
      <c r="E9525" s="709">
        <v>0.48467058056099144</v>
      </c>
      <c r="F9525" s="946">
        <v>3.8773646444879316E-2</v>
      </c>
      <c r="G9525" s="78"/>
      <c r="H9525" t="s">
        <v>2041</v>
      </c>
      <c r="J9525" s="256">
        <v>42156</v>
      </c>
      <c r="K9525">
        <v>141.4888</v>
      </c>
      <c r="L9525" s="37">
        <f t="shared" si="205"/>
        <v>0.41488799999999992</v>
      </c>
    </row>
    <row r="9526" spans="1:12" hidden="1" outlineLevel="1" x14ac:dyDescent="0.25">
      <c r="A9526">
        <v>0.05</v>
      </c>
      <c r="B9526" s="706" t="s">
        <v>5824</v>
      </c>
      <c r="C9526" s="1242">
        <v>15.599500000000001</v>
      </c>
      <c r="D9526" s="704">
        <v>13.69</v>
      </c>
      <c r="E9526" s="709">
        <v>-0.12240776947979115</v>
      </c>
      <c r="F9526" s="946">
        <v>-6.1203884739895577E-3</v>
      </c>
      <c r="G9526" s="78"/>
      <c r="H9526" t="s">
        <v>5817</v>
      </c>
      <c r="J9526" s="256">
        <v>42186</v>
      </c>
      <c r="K9526">
        <v>148.785</v>
      </c>
      <c r="L9526" s="37">
        <f t="shared" si="205"/>
        <v>0.48784999999999989</v>
      </c>
    </row>
    <row r="9527" spans="1:12" hidden="1" outlineLevel="1" x14ac:dyDescent="0.25">
      <c r="A9527">
        <v>0.05</v>
      </c>
      <c r="B9527" s="852" t="s">
        <v>3269</v>
      </c>
      <c r="C9527" s="1242">
        <v>12.834</v>
      </c>
      <c r="D9527" s="704">
        <v>18.504999999999999</v>
      </c>
      <c r="E9527" s="709">
        <v>0.44187314944678202</v>
      </c>
      <c r="F9527" s="946">
        <v>2.2093657472339101E-2</v>
      </c>
      <c r="G9527" s="78"/>
      <c r="H9527" t="s">
        <v>3270</v>
      </c>
      <c r="J9527" s="256">
        <v>42217</v>
      </c>
      <c r="K9527">
        <v>140.75069999999999</v>
      </c>
      <c r="L9527" s="37">
        <f t="shared" si="205"/>
        <v>0.40750699999999984</v>
      </c>
    </row>
    <row r="9528" spans="1:12" hidden="1" outlineLevel="1" x14ac:dyDescent="0.25">
      <c r="A9528">
        <v>7.0000000000000007E-2</v>
      </c>
      <c r="B9528" s="852" t="s">
        <v>4496</v>
      </c>
      <c r="C9528" s="1242">
        <v>48.723999999999997</v>
      </c>
      <c r="D9528" s="704">
        <v>72.489999999999995</v>
      </c>
      <c r="E9528" s="709">
        <v>0.4877678351531074</v>
      </c>
      <c r="F9528" s="946">
        <v>3.4143748460717521E-2</v>
      </c>
      <c r="G9528" s="78"/>
      <c r="H9528" t="s">
        <v>8824</v>
      </c>
      <c r="J9528" s="256">
        <v>42248</v>
      </c>
      <c r="K9528">
        <v>142.5085</v>
      </c>
      <c r="L9528" s="37">
        <f t="shared" si="205"/>
        <v>0.42508499999999994</v>
      </c>
    </row>
    <row r="9529" spans="1:12" hidden="1" outlineLevel="1" x14ac:dyDescent="0.25">
      <c r="A9529">
        <v>7.0000000000000007E-2</v>
      </c>
      <c r="B9529" s="852" t="s">
        <v>1381</v>
      </c>
      <c r="C9529" s="1242">
        <v>65.132999999999996</v>
      </c>
      <c r="D9529" s="704">
        <v>128.06</v>
      </c>
      <c r="E9529" s="709">
        <v>0.96613083997359261</v>
      </c>
      <c r="F9529" s="946">
        <v>6.7629158798151484E-2</v>
      </c>
      <c r="G9529" s="78"/>
      <c r="H9529" t="s">
        <v>1383</v>
      </c>
      <c r="J9529" s="256">
        <v>42278</v>
      </c>
      <c r="K9529">
        <v>148.99420000000001</v>
      </c>
      <c r="L9529" s="37">
        <f t="shared" si="205"/>
        <v>0.4899420000000001</v>
      </c>
    </row>
    <row r="9530" spans="1:12" hidden="1" outlineLevel="1" x14ac:dyDescent="0.25">
      <c r="A9530">
        <v>0.05</v>
      </c>
      <c r="B9530" s="852" t="s">
        <v>816</v>
      </c>
      <c r="C9530" s="1242">
        <v>74.760000000000005</v>
      </c>
      <c r="D9530" s="704">
        <v>115.66</v>
      </c>
      <c r="E9530" s="709">
        <v>0.54708400214018171</v>
      </c>
      <c r="F9530" s="946">
        <v>2.7354200107009088E-2</v>
      </c>
      <c r="G9530" s="78"/>
      <c r="H9530" t="s">
        <v>817</v>
      </c>
      <c r="J9530" s="256">
        <v>42309</v>
      </c>
      <c r="K9530">
        <v>149.28229999999999</v>
      </c>
      <c r="L9530" s="37">
        <f t="shared" si="205"/>
        <v>0.49282300000000001</v>
      </c>
    </row>
    <row r="9531" spans="1:12" hidden="1" outlineLevel="1" x14ac:dyDescent="0.25">
      <c r="A9531">
        <v>0.05</v>
      </c>
      <c r="B9531" t="s">
        <v>2786</v>
      </c>
      <c r="C9531" s="1242">
        <v>588.04999999999995</v>
      </c>
      <c r="D9531" s="704">
        <v>1046.5</v>
      </c>
      <c r="E9531" s="709">
        <v>0.77961057733185957</v>
      </c>
      <c r="F9531" s="946">
        <v>3.8980528866592978E-2</v>
      </c>
      <c r="G9531" s="78"/>
      <c r="H9531" t="s">
        <v>4195</v>
      </c>
      <c r="J9531" s="256">
        <v>42339</v>
      </c>
      <c r="K9531">
        <v>148.7664</v>
      </c>
      <c r="L9531" s="37">
        <f t="shared" si="205"/>
        <v>0.4876640000000001</v>
      </c>
    </row>
    <row r="9532" spans="1:12" hidden="1" outlineLevel="1" x14ac:dyDescent="0.25">
      <c r="A9532">
        <v>7.0000000000000007E-2</v>
      </c>
      <c r="B9532" s="852" t="s">
        <v>3797</v>
      </c>
      <c r="C9532" s="1242">
        <v>51.698999999999998</v>
      </c>
      <c r="D9532" s="704">
        <v>78.3</v>
      </c>
      <c r="E9532" s="709">
        <v>0.51453606452736023</v>
      </c>
      <c r="F9532" s="946">
        <v>3.6017524516915221E-2</v>
      </c>
      <c r="G9532" s="78"/>
      <c r="H9532" t="s">
        <v>3848</v>
      </c>
      <c r="J9532" s="256">
        <v>42370</v>
      </c>
      <c r="K9532">
        <v>150.47630000000001</v>
      </c>
      <c r="L9532" s="37">
        <f t="shared" si="205"/>
        <v>0.50476300000000007</v>
      </c>
    </row>
    <row r="9533" spans="1:12" hidden="1" outlineLevel="1" x14ac:dyDescent="0.25">
      <c r="A9533">
        <v>0.02</v>
      </c>
      <c r="B9533" s="852" t="s">
        <v>1190</v>
      </c>
      <c r="C9533" s="1242">
        <v>6.0075000000000003</v>
      </c>
      <c r="D9533" s="704">
        <v>5.04</v>
      </c>
      <c r="E9533" s="709">
        <v>-0.16104868913857684</v>
      </c>
      <c r="F9533" s="946">
        <v>-3.2209737827715371E-3</v>
      </c>
      <c r="G9533" s="78"/>
      <c r="H9533" t="s">
        <v>7569</v>
      </c>
      <c r="J9533" s="256">
        <v>42401</v>
      </c>
      <c r="K9533">
        <v>145.82669999999999</v>
      </c>
      <c r="L9533" s="37">
        <f t="shared" si="205"/>
        <v>0.45826699999999998</v>
      </c>
    </row>
    <row r="9534" spans="1:12" hidden="1" outlineLevel="1" x14ac:dyDescent="0.25">
      <c r="A9534">
        <v>0.02</v>
      </c>
      <c r="B9534" s="852" t="s">
        <v>3958</v>
      </c>
      <c r="C9534" s="1242">
        <v>1081.8</v>
      </c>
      <c r="D9534" s="704">
        <v>865.5</v>
      </c>
      <c r="E9534" s="709">
        <v>-0.19994453688297276</v>
      </c>
      <c r="F9534" s="946">
        <v>-3.998890737659455E-3</v>
      </c>
      <c r="G9534" s="78"/>
      <c r="H9534" t="s">
        <v>3959</v>
      </c>
      <c r="J9534" s="256">
        <v>42430</v>
      </c>
      <c r="K9534">
        <v>152.67760000000001</v>
      </c>
      <c r="L9534" s="37">
        <f t="shared" si="205"/>
        <v>0.52677600000000013</v>
      </c>
    </row>
    <row r="9535" spans="1:12" hidden="1" outlineLevel="1" x14ac:dyDescent="0.25">
      <c r="A9535">
        <v>0.05</v>
      </c>
      <c r="B9535" s="852" t="s">
        <v>3793</v>
      </c>
      <c r="C9535" s="1242">
        <v>64.325000000000003</v>
      </c>
      <c r="D9535" s="704">
        <v>99.93</v>
      </c>
      <c r="E9535" s="709">
        <v>0.55351729498639735</v>
      </c>
      <c r="F9535" s="946">
        <v>2.7675864749319868E-2</v>
      </c>
      <c r="G9535" s="78"/>
      <c r="H9535" t="s">
        <v>3533</v>
      </c>
      <c r="J9535" s="256">
        <v>42461</v>
      </c>
      <c r="K9535">
        <v>150.16489999999999</v>
      </c>
      <c r="L9535" s="37">
        <f t="shared" si="205"/>
        <v>0.50164899999999979</v>
      </c>
    </row>
    <row r="9536" spans="1:12" hidden="1" outlineLevel="1" x14ac:dyDescent="0.25">
      <c r="A9536">
        <v>7.0000000000000007E-2</v>
      </c>
      <c r="B9536" s="852" t="s">
        <v>2769</v>
      </c>
      <c r="C9536" s="1242">
        <v>24.693000000000001</v>
      </c>
      <c r="D9536" s="704">
        <v>34.78</v>
      </c>
      <c r="E9536" s="709">
        <v>0.40849633499372295</v>
      </c>
      <c r="F9536" s="946">
        <v>2.859474344956061E-2</v>
      </c>
      <c r="G9536" s="78"/>
      <c r="H9536" t="s">
        <v>2770</v>
      </c>
      <c r="J9536" s="256">
        <v>42491</v>
      </c>
      <c r="K9536">
        <v>151.98390000000001</v>
      </c>
      <c r="L9536" s="37">
        <f t="shared" si="205"/>
        <v>0.51983900000000016</v>
      </c>
    </row>
    <row r="9537" spans="1:14" hidden="1" outlineLevel="1" x14ac:dyDescent="0.25">
      <c r="A9537">
        <v>0.05</v>
      </c>
      <c r="B9537" s="852" t="s">
        <v>2771</v>
      </c>
      <c r="C9537" s="1242">
        <v>52.54</v>
      </c>
      <c r="D9537" s="704">
        <v>104.63</v>
      </c>
      <c r="E9537" s="709">
        <v>0.99143509706889987</v>
      </c>
      <c r="F9537" s="946">
        <v>4.9571754853444998E-2</v>
      </c>
      <c r="G9537" s="78"/>
      <c r="H9537" t="s">
        <v>2772</v>
      </c>
      <c r="J9537" s="256">
        <v>42522</v>
      </c>
      <c r="K9537">
        <v>155.97450000000001</v>
      </c>
      <c r="L9537" s="37">
        <f t="shared" si="205"/>
        <v>0.55974500000000016</v>
      </c>
    </row>
    <row r="9538" spans="1:14" hidden="1" outlineLevel="1" x14ac:dyDescent="0.25">
      <c r="A9538">
        <v>0.05</v>
      </c>
      <c r="B9538" s="852" t="s">
        <v>2773</v>
      </c>
      <c r="C9538" s="1242">
        <v>2055.1</v>
      </c>
      <c r="D9538" s="704">
        <v>4361</v>
      </c>
      <c r="E9538" s="709">
        <v>1.1220378570385869</v>
      </c>
      <c r="F9538" s="946">
        <v>5.6101892851929347E-2</v>
      </c>
      <c r="G9538" s="78"/>
      <c r="H9538" t="s">
        <v>2707</v>
      </c>
      <c r="J9538" s="256">
        <v>42552</v>
      </c>
      <c r="K9538">
        <v>155.3398</v>
      </c>
      <c r="L9538" s="37">
        <f t="shared" si="205"/>
        <v>0.55339800000000006</v>
      </c>
    </row>
    <row r="9539" spans="1:14" hidden="1" outlineLevel="1" x14ac:dyDescent="0.25">
      <c r="A9539">
        <v>0.05</v>
      </c>
      <c r="B9539" t="s">
        <v>4460</v>
      </c>
      <c r="C9539" s="1242">
        <v>1436.5</v>
      </c>
      <c r="D9539" s="704">
        <v>2381</v>
      </c>
      <c r="E9539" s="709">
        <v>0.65750087017055336</v>
      </c>
      <c r="F9539" s="946">
        <v>3.2875043508527671E-2</v>
      </c>
      <c r="G9539" s="78"/>
      <c r="H9539" t="s">
        <v>3485</v>
      </c>
      <c r="J9539" s="256">
        <v>42583</v>
      </c>
      <c r="K9539">
        <v>152.08869999999999</v>
      </c>
      <c r="L9539" s="37">
        <f t="shared" si="205"/>
        <v>0.52088699999999988</v>
      </c>
    </row>
    <row r="9540" spans="1:14" hidden="1" outlineLevel="1" x14ac:dyDescent="0.25">
      <c r="A9540">
        <v>0.02</v>
      </c>
      <c r="B9540" s="852" t="s">
        <v>577</v>
      </c>
      <c r="C9540" s="1242">
        <v>17.690999999999999</v>
      </c>
      <c r="D9540" s="704">
        <v>9.0299999999999994</v>
      </c>
      <c r="E9540" s="709">
        <v>-0.48957096828896052</v>
      </c>
      <c r="F9540" s="946">
        <v>-9.7914193657792099E-3</v>
      </c>
      <c r="G9540" s="78"/>
      <c r="H9540" t="s">
        <v>2804</v>
      </c>
      <c r="J9540" s="412" t="s">
        <v>2465</v>
      </c>
      <c r="L9540" s="362">
        <f>AVERAGE(L9522:L9539)</f>
        <v>0.48827000000000009</v>
      </c>
    </row>
    <row r="9541" spans="1:14" hidden="1" outlineLevel="1" x14ac:dyDescent="0.25">
      <c r="A9541">
        <v>0.05</v>
      </c>
      <c r="B9541" s="801" t="s">
        <v>579</v>
      </c>
      <c r="C9541" s="1242">
        <v>176.26</v>
      </c>
      <c r="D9541" s="1227">
        <v>229.85</v>
      </c>
      <c r="E9541" s="716">
        <v>0.30403948712129814</v>
      </c>
      <c r="F9541" s="1023">
        <v>1.5201974356064907E-2</v>
      </c>
      <c r="G9541" s="78"/>
      <c r="H9541" t="s">
        <v>3611</v>
      </c>
      <c r="J9541" s="412" t="s">
        <v>5221</v>
      </c>
      <c r="L9541" s="362">
        <f>L9540*parametry!N327</f>
        <v>0.48827000000000009</v>
      </c>
    </row>
    <row r="9542" spans="1:14" hidden="1" outlineLevel="1" x14ac:dyDescent="0.25">
      <c r="C9542" s="696"/>
      <c r="D9542" s="696"/>
      <c r="E9542" s="709"/>
      <c r="F9542" s="1666">
        <v>0.45414118854464186</v>
      </c>
      <c r="G9542" s="78"/>
    </row>
    <row r="9543" spans="1:14" ht="13.8" collapsed="1" x14ac:dyDescent="0.3">
      <c r="A9543" s="3801" t="s">
        <v>2768</v>
      </c>
      <c r="B9543" s="3802"/>
      <c r="C9543" s="3802"/>
      <c r="D9543" s="3802"/>
      <c r="E9543" s="1892"/>
      <c r="F9543" s="1893">
        <v>0.48827000000000009</v>
      </c>
      <c r="G9543" s="78"/>
      <c r="J9543" s="370"/>
      <c r="K9543" s="1354"/>
      <c r="L9543" s="1354"/>
      <c r="M9543" s="1354"/>
      <c r="N9543" s="370"/>
    </row>
    <row r="9545" spans="1:14" hidden="1" outlineLevel="1" x14ac:dyDescent="0.25">
      <c r="A9545" s="3180" t="s">
        <v>113</v>
      </c>
      <c r="B9545" s="3180" t="s">
        <v>114</v>
      </c>
      <c r="C9545" s="3180" t="s">
        <v>112</v>
      </c>
      <c r="D9545" s="3180" t="s">
        <v>116</v>
      </c>
      <c r="E9545" s="3180" t="s">
        <v>117</v>
      </c>
      <c r="F9545" s="3181" t="s">
        <v>121</v>
      </c>
      <c r="G9545" s="78"/>
    </row>
    <row r="9546" spans="1:14" hidden="1" outlineLevel="1" x14ac:dyDescent="0.25">
      <c r="A9546" s="3187"/>
      <c r="B9546" s="3187"/>
      <c r="C9546" s="3188"/>
      <c r="D9546" s="1900" t="s">
        <v>3702</v>
      </c>
      <c r="E9546" s="3189">
        <v>42551</v>
      </c>
      <c r="F9546" s="3416"/>
      <c r="G9546" s="78"/>
    </row>
    <row r="9547" spans="1:14" hidden="1" outlineLevel="1" x14ac:dyDescent="0.25">
      <c r="A9547" s="3180" t="s">
        <v>4156</v>
      </c>
      <c r="B9547" s="3180" t="s">
        <v>4153</v>
      </c>
      <c r="C9547" s="3418" t="s">
        <v>112</v>
      </c>
      <c r="D9547" s="3180" t="s">
        <v>4155</v>
      </c>
      <c r="E9547" s="3180" t="s">
        <v>4154</v>
      </c>
      <c r="F9547" s="3181" t="s">
        <v>734</v>
      </c>
      <c r="G9547" s="78"/>
    </row>
    <row r="9548" spans="1:14" hidden="1" outlineLevel="1" x14ac:dyDescent="0.25">
      <c r="A9548" s="1920">
        <v>0.03</v>
      </c>
      <c r="B9548" s="1813" t="s">
        <v>2942</v>
      </c>
      <c r="C9548" s="1902">
        <v>632.6</v>
      </c>
      <c r="D9548" s="3196">
        <v>1600</v>
      </c>
      <c r="E9548" s="3025">
        <v>1.5292443882390137</v>
      </c>
      <c r="F9548" s="3198">
        <v>7.0000000000000007E-2</v>
      </c>
      <c r="G9548" s="78"/>
      <c r="H9548" t="str">
        <f>VLOOKUP(B9548,indexy!$A$44:$D$823,3,FALSE)</f>
        <v>4503 JT Equity</v>
      </c>
    </row>
    <row r="9549" spans="1:14" hidden="1" outlineLevel="1" x14ac:dyDescent="0.25">
      <c r="A9549" s="1920">
        <v>0.03</v>
      </c>
      <c r="B9549" s="1813" t="s">
        <v>805</v>
      </c>
      <c r="C9549" s="1902">
        <v>58.23</v>
      </c>
      <c r="D9549" s="3196">
        <v>81.95</v>
      </c>
      <c r="E9549" s="3025">
        <v>0.40735016314614469</v>
      </c>
      <c r="F9549" s="3198">
        <v>7.0000000000000007E-2</v>
      </c>
      <c r="G9549" s="78"/>
      <c r="H9549" t="str">
        <f>VLOOKUP(B9549,indexy!$A$44:$D$823,3,FALSE)</f>
        <v>BMO CT Equity</v>
      </c>
    </row>
    <row r="9550" spans="1:14" hidden="1" outlineLevel="1" x14ac:dyDescent="0.25">
      <c r="A9550" s="1920">
        <v>0.03</v>
      </c>
      <c r="B9550" s="1813" t="s">
        <v>4377</v>
      </c>
      <c r="C9550" s="1902">
        <v>25.404</v>
      </c>
      <c r="D9550" s="3196">
        <v>73.55</v>
      </c>
      <c r="E9550" s="3025">
        <v>1.8952133522279957</v>
      </c>
      <c r="F9550" s="3198">
        <v>7.0000000000000007E-2</v>
      </c>
      <c r="G9550" s="78"/>
      <c r="H9550" t="str">
        <f>VLOOKUP(B9550,indexy!$A$44:$D$823,3,FALSE)</f>
        <v>BMY UN Equity</v>
      </c>
    </row>
    <row r="9551" spans="1:14" hidden="1" outlineLevel="1" x14ac:dyDescent="0.25">
      <c r="A9551" s="1920">
        <v>0.03</v>
      </c>
      <c r="B9551" s="1813" t="s">
        <v>3954</v>
      </c>
      <c r="C9551" s="1902">
        <v>76.721999999999994</v>
      </c>
      <c r="D9551" s="3196">
        <v>97.04</v>
      </c>
      <c r="E9551" s="3025">
        <v>0.26482625583274699</v>
      </c>
      <c r="F9551" s="3198">
        <v>7.0000000000000007E-2</v>
      </c>
      <c r="G9551" s="78"/>
      <c r="H9551" t="str">
        <f>VLOOKUP(B9551,indexy!$A$44:$D$823,3,FALSE)</f>
        <v>CM CT Equity</v>
      </c>
    </row>
    <row r="9552" spans="1:14" hidden="1" outlineLevel="1" x14ac:dyDescent="0.25">
      <c r="A9552" s="1920">
        <v>0.03</v>
      </c>
      <c r="B9552" s="1926" t="s">
        <v>4332</v>
      </c>
      <c r="C9552" s="1902">
        <v>324.83999999999997</v>
      </c>
      <c r="D9552" s="3196">
        <v>225.5</v>
      </c>
      <c r="E9552" s="3025">
        <v>-0.30581209210688332</v>
      </c>
      <c r="F9552" s="3198">
        <v>-0.30581209210688332</v>
      </c>
      <c r="G9552" s="78"/>
      <c r="H9552" t="str">
        <f>VLOOKUP(B9552,indexy!$A$44:$D$823,3,FALSE)</f>
        <v>CNA LN Equity</v>
      </c>
    </row>
    <row r="9553" spans="1:8" hidden="1" outlineLevel="1" x14ac:dyDescent="0.25">
      <c r="A9553" s="1920">
        <v>0.08</v>
      </c>
      <c r="B9553" s="1813" t="s">
        <v>1319</v>
      </c>
      <c r="C9553" s="1902">
        <v>49.956000000000003</v>
      </c>
      <c r="D9553" s="3196">
        <v>80.44</v>
      </c>
      <c r="E9553" s="3025">
        <v>0.61021699095203763</v>
      </c>
      <c r="F9553" s="3198">
        <v>7.0000000000000007E-2</v>
      </c>
      <c r="G9553" s="78"/>
      <c r="H9553" t="str">
        <f>VLOOKUP(B9553,indexy!$A$44:$D$823,3,FALSE)</f>
        <v>ED UN Equity</v>
      </c>
    </row>
    <row r="9554" spans="1:8" hidden="1" outlineLevel="1" x14ac:dyDescent="0.25">
      <c r="A9554" s="1920">
        <v>0.03</v>
      </c>
      <c r="B9554" s="1813" t="s">
        <v>3798</v>
      </c>
      <c r="C9554" s="1902">
        <v>4.1624999999999996</v>
      </c>
      <c r="D9554" s="3196">
        <v>3.98</v>
      </c>
      <c r="E9554" s="3025">
        <v>-4.3843843843843766E-2</v>
      </c>
      <c r="F9554" s="3198">
        <v>-4.3843843843843766E-2</v>
      </c>
      <c r="G9554" s="78"/>
      <c r="H9554" t="str">
        <f>VLOOKUP(B9554,indexy!$A$44:$D$823,3,FALSE)</f>
        <v>ENEL IM Equity</v>
      </c>
    </row>
    <row r="9555" spans="1:8" hidden="1" outlineLevel="1" x14ac:dyDescent="0.25">
      <c r="A9555" s="1920">
        <v>0.03</v>
      </c>
      <c r="B9555" s="3028" t="s">
        <v>5824</v>
      </c>
      <c r="C9555" s="1902">
        <v>16.170000000000002</v>
      </c>
      <c r="D9555" s="3196">
        <v>14.654999999999999</v>
      </c>
      <c r="E9555" s="3025">
        <v>-9.3692022263450969E-2</v>
      </c>
      <c r="F9555" s="3198">
        <v>-9.3692022263450969E-2</v>
      </c>
      <c r="G9555" s="78"/>
      <c r="H9555" t="str">
        <f>VLOOKUP(B9555,indexy!$A$44:$D$823,3,FALSE)</f>
        <v>ORA FP Equity</v>
      </c>
    </row>
    <row r="9556" spans="1:8" hidden="1" outlineLevel="1" x14ac:dyDescent="0.25">
      <c r="A9556" s="1920">
        <v>0.08</v>
      </c>
      <c r="B9556" s="1813" t="s">
        <v>1381</v>
      </c>
      <c r="C9556" s="1902">
        <v>61.874699999999997</v>
      </c>
      <c r="D9556" s="3196">
        <v>137.47999999999999</v>
      </c>
      <c r="E9556" s="3025">
        <v>1.2219097627948092</v>
      </c>
      <c r="F9556" s="3198">
        <v>7.0000000000000007E-2</v>
      </c>
      <c r="G9556" s="78"/>
      <c r="H9556" t="str">
        <f>VLOOKUP(B9556,indexy!$A$44:$D$823,3,FALSE)</f>
        <v>KMB UN Equity</v>
      </c>
    </row>
    <row r="9557" spans="1:8" hidden="1" outlineLevel="1" x14ac:dyDescent="0.25">
      <c r="A9557" s="1920">
        <v>0.03</v>
      </c>
      <c r="B9557" s="1813" t="s">
        <v>4143</v>
      </c>
      <c r="C9557" s="1902">
        <v>7.0262000000000002</v>
      </c>
      <c r="D9557" s="3196">
        <v>3.2549999999999999</v>
      </c>
      <c r="E9557" s="3025">
        <v>-0.53673393868663011</v>
      </c>
      <c r="F9557" s="3198">
        <v>-0.53673393868663011</v>
      </c>
      <c r="G9557" s="78"/>
      <c r="H9557" t="str">
        <f>VLOOKUP(B9557,indexy!$A$44:$D$823,3,FALSE)</f>
        <v>KPN NA Equity</v>
      </c>
    </row>
    <row r="9558" spans="1:8" hidden="1" outlineLevel="1" x14ac:dyDescent="0.25">
      <c r="A9558" s="1920">
        <v>0.03</v>
      </c>
      <c r="B9558" s="2965" t="s">
        <v>7573</v>
      </c>
      <c r="C9558" s="1902">
        <v>30.611999999999998</v>
      </c>
      <c r="D9558" s="3196">
        <v>88.48</v>
      </c>
      <c r="E9558" s="3025">
        <v>1.8903697896249838</v>
      </c>
      <c r="F9558" s="3198">
        <v>7.0000000000000007E-2</v>
      </c>
      <c r="G9558" s="78"/>
      <c r="H9558" t="str">
        <f>VLOOKUP(B9558,indexy!$A$44:$D$823,3,FALSE)</f>
        <v>KHC UW Equity</v>
      </c>
    </row>
    <row r="9559" spans="1:8" hidden="1" outlineLevel="1" x14ac:dyDescent="0.25">
      <c r="A9559" s="1920">
        <v>0.03</v>
      </c>
      <c r="B9559" s="1813" t="s">
        <v>3956</v>
      </c>
      <c r="C9559" s="1902">
        <v>678.5</v>
      </c>
      <c r="D9559" s="3196">
        <v>1039</v>
      </c>
      <c r="E9559" s="3025">
        <v>0.531319086219602</v>
      </c>
      <c r="F9559" s="3198">
        <v>7.0000000000000007E-2</v>
      </c>
      <c r="G9559" s="78"/>
      <c r="H9559" t="str">
        <f>VLOOKUP(B9559,indexy!$A$44:$D$823,3,FALSE)</f>
        <v>LAND LN Equity</v>
      </c>
    </row>
    <row r="9560" spans="1:8" hidden="1" outlineLevel="1" x14ac:dyDescent="0.25">
      <c r="A9560" s="1920">
        <v>0.03</v>
      </c>
      <c r="B9560" s="1813" t="s">
        <v>1905</v>
      </c>
      <c r="C9560" s="1902">
        <v>33.392000000000003</v>
      </c>
      <c r="D9560" s="3196">
        <v>57.61</v>
      </c>
      <c r="E9560" s="3025">
        <v>0.72526353617632955</v>
      </c>
      <c r="F9560" s="3198">
        <v>7.0000000000000007E-2</v>
      </c>
      <c r="G9560" s="78"/>
      <c r="H9560" t="str">
        <f>VLOOKUP(B9560,indexy!$A$44:$D$823,3,FALSE)</f>
        <v>MRK UN Equity</v>
      </c>
    </row>
    <row r="9561" spans="1:8" hidden="1" outlineLevel="1" x14ac:dyDescent="0.25">
      <c r="A9561" s="1920">
        <v>0.03</v>
      </c>
      <c r="B9561" s="1813" t="s">
        <v>2786</v>
      </c>
      <c r="C9561" s="1902">
        <v>550.6</v>
      </c>
      <c r="D9561" s="3196">
        <v>1096</v>
      </c>
      <c r="E9561" s="3025">
        <v>0.99055575735561208</v>
      </c>
      <c r="F9561" s="3198">
        <v>7.0000000000000007E-2</v>
      </c>
      <c r="G9561" s="78"/>
      <c r="H9561" t="str">
        <f>VLOOKUP(B9561,indexy!$A$44:$D$823,3,FALSE)</f>
        <v>NG/ LN Equity</v>
      </c>
    </row>
    <row r="9562" spans="1:8" hidden="1" outlineLevel="1" x14ac:dyDescent="0.25">
      <c r="A9562" s="1920">
        <v>0.03</v>
      </c>
      <c r="B9562" s="1813" t="s">
        <v>2787</v>
      </c>
      <c r="C9562" s="1902">
        <v>53.06</v>
      </c>
      <c r="D9562" s="3196">
        <v>80.150000000000006</v>
      </c>
      <c r="E9562" s="3025">
        <v>0.51055408970976268</v>
      </c>
      <c r="F9562" s="3198">
        <v>7.0000000000000007E-2</v>
      </c>
      <c r="G9562" s="78"/>
      <c r="H9562" t="str">
        <f>VLOOKUP(B9562,indexy!$A$44:$D$823,3,FALSE)</f>
        <v>NOVN SE Equity</v>
      </c>
    </row>
    <row r="9563" spans="1:8" hidden="1" outlineLevel="1" x14ac:dyDescent="0.25">
      <c r="A9563" s="1920">
        <v>0.03</v>
      </c>
      <c r="B9563" s="1813" t="s">
        <v>3958</v>
      </c>
      <c r="C9563" s="1902">
        <v>1038.4000000000001</v>
      </c>
      <c r="D9563" s="3196">
        <v>967</v>
      </c>
      <c r="E9563" s="3025">
        <v>-6.8759630200308286E-2</v>
      </c>
      <c r="F9563" s="3198">
        <v>-6.8759630200308286E-2</v>
      </c>
      <c r="G9563" s="78"/>
      <c r="H9563" t="str">
        <f>VLOOKUP(B9563,indexy!$A$44:$D$823,3,FALSE)</f>
        <v>PSON LN Equity</v>
      </c>
    </row>
    <row r="9564" spans="1:8" hidden="1" outlineLevel="1" x14ac:dyDescent="0.25">
      <c r="A9564" s="1920">
        <v>0.03</v>
      </c>
      <c r="B9564" s="1813" t="s">
        <v>5121</v>
      </c>
      <c r="C9564" s="1902">
        <v>555.20000000000005</v>
      </c>
      <c r="D9564" s="3196">
        <v>1376</v>
      </c>
      <c r="E9564" s="3025">
        <v>1.478386167146974</v>
      </c>
      <c r="F9564" s="3198">
        <v>7.0000000000000007E-2</v>
      </c>
      <c r="G9564" s="78"/>
      <c r="H9564" t="str">
        <f>VLOOKUP(B9564,indexy!$A$44:$D$823,3,FALSE)</f>
        <v>REL LN Equity</v>
      </c>
    </row>
    <row r="9565" spans="1:8" hidden="1" outlineLevel="1" x14ac:dyDescent="0.25">
      <c r="A9565" s="1920">
        <v>0.03</v>
      </c>
      <c r="B9565" s="1813" t="s">
        <v>3800</v>
      </c>
      <c r="C9565" s="1902">
        <v>143.6</v>
      </c>
      <c r="D9565" s="3196">
        <v>256.10000000000002</v>
      </c>
      <c r="E9565" s="3025">
        <v>0.7834261838440113</v>
      </c>
      <c r="F9565" s="3198">
        <v>7.0000000000000007E-2</v>
      </c>
      <c r="G9565" s="78"/>
      <c r="H9565" t="str">
        <f>VLOOKUP(B9565,indexy!$A$44:$D$823,3,FALSE)</f>
        <v>ROG SE Equity</v>
      </c>
    </row>
    <row r="9566" spans="1:8" hidden="1" outlineLevel="1" x14ac:dyDescent="0.25">
      <c r="A9566" s="1920">
        <v>0.03</v>
      </c>
      <c r="B9566" s="1813" t="s">
        <v>102</v>
      </c>
      <c r="C9566" s="1902">
        <v>608.04999999999995</v>
      </c>
      <c r="D9566" s="3196">
        <v>499.5</v>
      </c>
      <c r="E9566" s="3025">
        <v>-0.17852150316585802</v>
      </c>
      <c r="F9566" s="3198">
        <v>-0.17852150316585802</v>
      </c>
      <c r="G9566" s="78"/>
      <c r="H9566" t="str">
        <f>VLOOKUP(B9566,indexy!$A$44:$D$823,3,FALSE)</f>
        <v>RSA LN Equity</v>
      </c>
    </row>
    <row r="9567" spans="1:8" hidden="1" outlineLevel="1" x14ac:dyDescent="0.25">
      <c r="A9567" s="1920">
        <v>0.03</v>
      </c>
      <c r="B9567" s="1813" t="s">
        <v>2728</v>
      </c>
      <c r="C9567" s="1902">
        <v>53.996000000000002</v>
      </c>
      <c r="D9567" s="3196">
        <v>76.34</v>
      </c>
      <c r="E9567" s="3025">
        <v>0.41380843025409297</v>
      </c>
      <c r="F9567" s="3198">
        <v>7.0000000000000007E-2</v>
      </c>
      <c r="G9567" s="78"/>
      <c r="H9567" t="str">
        <f>VLOOKUP(B9567,indexy!$A$44:$D$823,3,FALSE)</f>
        <v>RY CT Equity</v>
      </c>
    </row>
    <row r="9568" spans="1:8" hidden="1" outlineLevel="1" x14ac:dyDescent="0.25">
      <c r="A9568" s="1920">
        <v>0.03</v>
      </c>
      <c r="B9568" s="1813" t="s">
        <v>1857</v>
      </c>
      <c r="C9568" s="1902">
        <v>1166</v>
      </c>
      <c r="D9568" s="3196">
        <v>1554</v>
      </c>
      <c r="E9568" s="3025">
        <v>0.33276157804459694</v>
      </c>
      <c r="F9568" s="3198">
        <v>7.0000000000000007E-2</v>
      </c>
      <c r="G9568" s="78"/>
      <c r="H9568" t="str">
        <f>VLOOKUP(B9568,indexy!$A$44:$D$823,3,FALSE)</f>
        <v>SSE LN Equity</v>
      </c>
    </row>
    <row r="9569" spans="1:11" hidden="1" outlineLevel="1" x14ac:dyDescent="0.25">
      <c r="A9569" s="1920">
        <v>0.03</v>
      </c>
      <c r="B9569" s="1813" t="s">
        <v>4460</v>
      </c>
      <c r="C9569" s="1902">
        <v>1339.47</v>
      </c>
      <c r="D9569" s="3196">
        <v>2435</v>
      </c>
      <c r="E9569" s="3025">
        <v>0.8178831926060306</v>
      </c>
      <c r="F9569" s="3198">
        <v>7.0000000000000007E-2</v>
      </c>
      <c r="G9569" s="78"/>
      <c r="H9569" t="str">
        <f>VLOOKUP(B9569,indexy!$A$44:$D$823,3,FALSE)</f>
        <v>SVT LN Equity</v>
      </c>
    </row>
    <row r="9570" spans="1:11" hidden="1" outlineLevel="1" x14ac:dyDescent="0.25">
      <c r="A9570" s="1920">
        <v>0.03</v>
      </c>
      <c r="B9570" s="1813" t="s">
        <v>3960</v>
      </c>
      <c r="C9570" s="1902">
        <v>230.93</v>
      </c>
      <c r="D9570" s="3196">
        <v>293.60000000000002</v>
      </c>
      <c r="E9570" s="3025">
        <v>0.27138093794656393</v>
      </c>
      <c r="F9570" s="3198">
        <v>7.0000000000000007E-2</v>
      </c>
      <c r="G9570" s="78"/>
      <c r="H9570" t="str">
        <f>VLOOKUP(B9570,indexy!$A$44:$D$823,3,FALSE)</f>
        <v>ABDN LN Equity</v>
      </c>
    </row>
    <row r="9571" spans="1:11" hidden="1" outlineLevel="1" x14ac:dyDescent="0.25">
      <c r="A9571" s="1920">
        <v>0.03</v>
      </c>
      <c r="B9571" s="1813" t="s">
        <v>3022</v>
      </c>
      <c r="C9571" s="1902">
        <v>3987</v>
      </c>
      <c r="D9571" s="3196">
        <v>4424</v>
      </c>
      <c r="E9571" s="3025">
        <v>0.1096062202157011</v>
      </c>
      <c r="F9571" s="3198">
        <v>7.0000000000000007E-2</v>
      </c>
      <c r="G9571" s="78"/>
      <c r="H9571" t="str">
        <f>VLOOKUP(B9571,indexy!$A$44:$D$823,3,FALSE)</f>
        <v>4502 JT Equity</v>
      </c>
    </row>
    <row r="9572" spans="1:11" hidden="1" outlineLevel="1" x14ac:dyDescent="0.25">
      <c r="A9572" s="1920">
        <v>0.03</v>
      </c>
      <c r="B9572" s="1813" t="s">
        <v>577</v>
      </c>
      <c r="C9572" s="1902">
        <v>18.256799999999998</v>
      </c>
      <c r="D9572" s="3196">
        <v>8.4600000000000009</v>
      </c>
      <c r="E9572" s="3025">
        <v>-0.53661101616931761</v>
      </c>
      <c r="F9572" s="3198">
        <v>-0.53661101616931761</v>
      </c>
      <c r="G9572" s="78"/>
      <c r="H9572" t="str">
        <f>VLOOKUP(B9572,indexy!$A$44:$D$823,3,FALSE)</f>
        <v>TEF SQ Equity</v>
      </c>
    </row>
    <row r="9573" spans="1:11" hidden="1" outlineLevel="1" x14ac:dyDescent="0.25">
      <c r="A9573" s="1920">
        <v>0.03</v>
      </c>
      <c r="B9573" s="1813" t="s">
        <v>434</v>
      </c>
      <c r="C9573" s="1902">
        <v>53.111499999999999</v>
      </c>
      <c r="D9573" s="3196">
        <v>39.72</v>
      </c>
      <c r="E9573" s="3025">
        <v>-0.25213936718036589</v>
      </c>
      <c r="F9573" s="3198">
        <v>-0.25213936718036589</v>
      </c>
      <c r="G9573" s="78"/>
      <c r="H9573" t="str">
        <f>VLOOKUP(B9573,indexy!$A$44:$D$823,3,FALSE)</f>
        <v>TELIA SS Equity</v>
      </c>
    </row>
    <row r="9574" spans="1:11" hidden="1" outlineLevel="1" x14ac:dyDescent="0.25">
      <c r="A9574" s="1920">
        <v>0.03</v>
      </c>
      <c r="B9574" s="1813" t="s">
        <v>2983</v>
      </c>
      <c r="C9574" s="1902">
        <v>550.1</v>
      </c>
      <c r="D9574" s="3196">
        <v>1035</v>
      </c>
      <c r="E9574" s="3025">
        <v>0.88147609525540793</v>
      </c>
      <c r="F9574" s="3198">
        <v>7.0000000000000007E-2</v>
      </c>
      <c r="G9574" s="78"/>
      <c r="H9574" t="str">
        <f>VLOOKUP(B9574,indexy!$A$44:$D$823,3,FALSE)</f>
        <v>UU/ LN Equity</v>
      </c>
    </row>
    <row r="9575" spans="1:11" hidden="1" outlineLevel="1" x14ac:dyDescent="0.25">
      <c r="A9575" s="1920">
        <v>0.03</v>
      </c>
      <c r="B9575" s="1813" t="s">
        <v>579</v>
      </c>
      <c r="C9575" s="1902">
        <v>177.44</v>
      </c>
      <c r="D9575" s="3196">
        <v>227.65</v>
      </c>
      <c r="E9575" s="3025">
        <v>0.28296889089269617</v>
      </c>
      <c r="F9575" s="3198">
        <v>7.0000000000000007E-2</v>
      </c>
      <c r="G9575" s="78"/>
      <c r="H9575" t="str">
        <f>VLOOKUP(B9575,indexy!$A$44:$D$823,3,FALSE)</f>
        <v>VOD LN Equity</v>
      </c>
      <c r="K9575" s="1315"/>
    </row>
    <row r="9576" spans="1:11" hidden="1" outlineLevel="1" x14ac:dyDescent="0.25">
      <c r="A9576" s="1920">
        <v>0.03</v>
      </c>
      <c r="B9576" s="1813" t="s">
        <v>1211</v>
      </c>
      <c r="C9576" s="1902">
        <v>37.875999999999998</v>
      </c>
      <c r="D9576" s="3196">
        <v>66.27</v>
      </c>
      <c r="E9576" s="3025">
        <v>0.74965677473862069</v>
      </c>
      <c r="F9576" s="3198">
        <v>7.0000000000000007E-2</v>
      </c>
      <c r="G9576" s="78"/>
      <c r="H9576" t="str">
        <f>VLOOKUP(B9576,indexy!$A$44:$D$823,3,FALSE)</f>
        <v>WM UN Equity</v>
      </c>
    </row>
    <row r="9577" spans="1:11" hidden="1" outlineLevel="1" x14ac:dyDescent="0.25">
      <c r="A9577" s="1920">
        <v>0.03</v>
      </c>
      <c r="B9577" s="1813" t="s">
        <v>4550</v>
      </c>
      <c r="C9577" s="1902">
        <v>260.74</v>
      </c>
      <c r="D9577" s="3196">
        <v>239.4</v>
      </c>
      <c r="E9577" s="3025">
        <v>-8.1843982511313973E-2</v>
      </c>
      <c r="F9577" s="3198">
        <v>-8.1843982511313973E-2</v>
      </c>
      <c r="G9577" s="78"/>
      <c r="H9577" t="str">
        <f>VLOOKUP(B9577,indexy!$A$44:$D$823,3,FALSE)</f>
        <v>ZURN SE Equity</v>
      </c>
    </row>
    <row r="9578" spans="1:11" hidden="1" outlineLevel="1" x14ac:dyDescent="0.25">
      <c r="A9578" s="1897" t="s">
        <v>2465</v>
      </c>
      <c r="B9578" s="1931"/>
      <c r="C9578" s="1932"/>
      <c r="D9578" s="3030"/>
      <c r="E9578" s="3078">
        <v>0.52961294510021517</v>
      </c>
      <c r="F9578" s="3385">
        <v>-1.1838721883839144E-2</v>
      </c>
      <c r="G9578" s="78"/>
    </row>
    <row r="9579" spans="1:11" hidden="1" outlineLevel="1" x14ac:dyDescent="0.25">
      <c r="A9579" s="3419"/>
      <c r="B9579" s="3183"/>
      <c r="C9579" s="3183"/>
      <c r="D9579" s="3183"/>
      <c r="E9579" s="3183"/>
      <c r="F9579" s="3417"/>
      <c r="G9579" s="78"/>
    </row>
    <row r="9580" spans="1:11" hidden="1" outlineLevel="1" x14ac:dyDescent="0.25">
      <c r="A9580" s="3035" t="s">
        <v>113</v>
      </c>
      <c r="B9580" s="3035"/>
      <c r="C9580" s="3042"/>
      <c r="D9580" s="3042"/>
      <c r="E9580" s="2984"/>
      <c r="F9580" s="3181"/>
      <c r="G9580" s="78"/>
    </row>
    <row r="9581" spans="1:11" hidden="1" outlineLevel="1" x14ac:dyDescent="0.25">
      <c r="A9581" s="1810" t="s">
        <v>2708</v>
      </c>
      <c r="B9581" s="3182"/>
      <c r="C9581" s="3183"/>
      <c r="D9581" s="3183"/>
      <c r="E9581" s="2992"/>
      <c r="F9581" s="3193">
        <v>3.5000000000000003E-2</v>
      </c>
      <c r="G9581" s="78"/>
    </row>
    <row r="9582" spans="1:11" hidden="1" outlineLevel="1" x14ac:dyDescent="0.25">
      <c r="A9582" s="1810" t="s">
        <v>2709</v>
      </c>
      <c r="B9582" s="3028"/>
      <c r="C9582" s="3187"/>
      <c r="D9582" s="3187"/>
      <c r="E9582" s="2199"/>
      <c r="F9582" s="3198">
        <v>5.0000000000000001E-3</v>
      </c>
      <c r="G9582" s="78"/>
    </row>
    <row r="9583" spans="1:11" hidden="1" outlineLevel="1" x14ac:dyDescent="0.25">
      <c r="A9583" s="1810" t="s">
        <v>2710</v>
      </c>
      <c r="B9583" s="3028"/>
      <c r="C9583" s="3187"/>
      <c r="D9583" s="3187"/>
      <c r="E9583" s="2199"/>
      <c r="F9583" s="3198">
        <v>1.0858999999999952E-2</v>
      </c>
      <c r="G9583" s="78"/>
    </row>
    <row r="9584" spans="1:11" hidden="1" outlineLevel="1" x14ac:dyDescent="0.25">
      <c r="A9584" s="1810" t="s">
        <v>2711</v>
      </c>
      <c r="B9584" s="3028"/>
      <c r="C9584" s="3187"/>
      <c r="D9584" s="3187"/>
      <c r="E9584" s="2199"/>
      <c r="F9584" s="3198">
        <v>6.9960000000000378E-3</v>
      </c>
      <c r="G9584" s="78"/>
    </row>
    <row r="9585" spans="1:12" hidden="1" outlineLevel="1" x14ac:dyDescent="0.25">
      <c r="A9585" s="1810" t="s">
        <v>2712</v>
      </c>
      <c r="B9585" s="3028"/>
      <c r="C9585" s="3187"/>
      <c r="D9585" s="3187"/>
      <c r="E9585" s="2199"/>
      <c r="F9585" s="3198">
        <v>5.0000000000000001E-3</v>
      </c>
      <c r="G9585" s="78"/>
    </row>
    <row r="9586" spans="1:12" collapsed="1" x14ac:dyDescent="0.25">
      <c r="A9586" s="3803" t="s">
        <v>1906</v>
      </c>
      <c r="B9586" s="3804"/>
      <c r="C9586" s="3804"/>
      <c r="D9586" s="3042"/>
      <c r="E9586" s="3042"/>
      <c r="F9586" s="3205">
        <v>6.2854999999999994E-2</v>
      </c>
      <c r="G9586" s="78"/>
    </row>
    <row r="9588" spans="1:12" hidden="1" outlineLevel="1" x14ac:dyDescent="0.25">
      <c r="A9588" s="3237" t="s">
        <v>113</v>
      </c>
      <c r="B9588" s="3237" t="s">
        <v>114</v>
      </c>
      <c r="C9588" s="3237" t="s">
        <v>112</v>
      </c>
      <c r="D9588" s="3237" t="s">
        <v>116</v>
      </c>
      <c r="E9588" s="3237" t="s">
        <v>117</v>
      </c>
      <c r="F9588" s="3276" t="s">
        <v>121</v>
      </c>
    </row>
    <row r="9589" spans="1:12" hidden="1" outlineLevel="1" x14ac:dyDescent="0.25">
      <c r="A9589" s="3238">
        <v>1</v>
      </c>
      <c r="B9589" s="3239" t="s">
        <v>252</v>
      </c>
      <c r="C9589" s="3240">
        <v>100</v>
      </c>
      <c r="D9589" s="3240"/>
      <c r="E9589" s="3241"/>
      <c r="F9589" s="3242"/>
    </row>
    <row r="9590" spans="1:12" hidden="1" outlineLevel="1" x14ac:dyDescent="0.25">
      <c r="A9590" s="3243"/>
      <c r="B9590" s="3243"/>
      <c r="C9590" s="3244"/>
      <c r="D9590" s="1900" t="s">
        <v>3702</v>
      </c>
      <c r="E9590" s="3245">
        <v>42551</v>
      </c>
      <c r="F9590" s="3246"/>
    </row>
    <row r="9591" spans="1:12" hidden="1" outlineLevel="1" x14ac:dyDescent="0.25">
      <c r="A9591" s="3522" t="s">
        <v>4156</v>
      </c>
      <c r="B9591" s="3522" t="s">
        <v>4153</v>
      </c>
      <c r="C9591" s="3289" t="s">
        <v>112</v>
      </c>
      <c r="D9591" s="3522" t="s">
        <v>4155</v>
      </c>
      <c r="E9591" s="3522" t="s">
        <v>4154</v>
      </c>
      <c r="F9591" s="3523" t="s">
        <v>2519</v>
      </c>
      <c r="G9591" s="314"/>
      <c r="H9591" s="314"/>
      <c r="J9591" t="s">
        <v>2040</v>
      </c>
    </row>
    <row r="9592" spans="1:12" hidden="1" outlineLevel="1" x14ac:dyDescent="0.25">
      <c r="A9592" s="2088">
        <v>0.03</v>
      </c>
      <c r="B9592" s="2089" t="s">
        <v>2942</v>
      </c>
      <c r="C9592" s="2337">
        <v>633.33400000000006</v>
      </c>
      <c r="D9592" s="3393">
        <v>1608</v>
      </c>
      <c r="E9592" s="3524">
        <v>1.5389446958476882</v>
      </c>
      <c r="F9592" s="3277">
        <v>4.6168340875430647E-2</v>
      </c>
      <c r="H9592" t="s">
        <v>2336</v>
      </c>
      <c r="J9592" s="256">
        <v>42005</v>
      </c>
      <c r="K9592">
        <v>145.19990000000001</v>
      </c>
      <c r="L9592" s="37">
        <v>0.45199900000000004</v>
      </c>
    </row>
    <row r="9593" spans="1:12" hidden="1" outlineLevel="1" x14ac:dyDescent="0.25">
      <c r="A9593" s="2094">
        <v>0.03</v>
      </c>
      <c r="B9593" s="1921" t="s">
        <v>805</v>
      </c>
      <c r="C9593" s="1902">
        <v>61.236699999999999</v>
      </c>
      <c r="D9593" s="3395">
        <v>84.73</v>
      </c>
      <c r="E9593" s="3525">
        <v>0.38364738792260211</v>
      </c>
      <c r="F9593" s="3282">
        <v>1.1509421637678064E-2</v>
      </c>
      <c r="H9593" t="s">
        <v>806</v>
      </c>
      <c r="J9593" s="256">
        <v>42036</v>
      </c>
      <c r="K9593">
        <v>145.68960000000001</v>
      </c>
      <c r="L9593" s="37">
        <v>0.45689600000000019</v>
      </c>
    </row>
    <row r="9594" spans="1:12" hidden="1" outlineLevel="1" x14ac:dyDescent="0.25">
      <c r="A9594" s="2094">
        <v>0.03</v>
      </c>
      <c r="B9594" s="1921" t="s">
        <v>4377</v>
      </c>
      <c r="C9594" s="1902">
        <v>25.773299999999999</v>
      </c>
      <c r="D9594" s="3395">
        <v>76</v>
      </c>
      <c r="E9594" s="3525">
        <v>1.9487880868961289</v>
      </c>
      <c r="F9594" s="3282">
        <v>5.8463642606883866E-2</v>
      </c>
      <c r="H9594" t="s">
        <v>4327</v>
      </c>
      <c r="J9594" s="256">
        <v>42064</v>
      </c>
      <c r="K9594" s="424">
        <v>146.63800000000001</v>
      </c>
      <c r="L9594" s="37">
        <v>0.46638000000000002</v>
      </c>
    </row>
    <row r="9595" spans="1:12" hidden="1" outlineLevel="1" x14ac:dyDescent="0.25">
      <c r="A9595" s="2094">
        <v>0.03</v>
      </c>
      <c r="B9595" s="1921" t="s">
        <v>3954</v>
      </c>
      <c r="C9595" s="1902">
        <v>81.2333</v>
      </c>
      <c r="D9595" s="3395">
        <v>98.49</v>
      </c>
      <c r="E9595" s="3525">
        <v>0.21243381716611287</v>
      </c>
      <c r="F9595" s="3282">
        <v>6.3730145149833856E-3</v>
      </c>
      <c r="H9595" t="s">
        <v>3955</v>
      </c>
      <c r="J9595" s="256">
        <v>42095</v>
      </c>
      <c r="K9595">
        <v>146.51390000000001</v>
      </c>
      <c r="L9595" s="37">
        <v>0.46513899999999997</v>
      </c>
    </row>
    <row r="9596" spans="1:12" hidden="1" outlineLevel="1" x14ac:dyDescent="0.25">
      <c r="A9596" s="2094">
        <v>0.03</v>
      </c>
      <c r="B9596" s="1926" t="s">
        <v>4332</v>
      </c>
      <c r="C9596" s="1902">
        <v>330.17</v>
      </c>
      <c r="D9596" s="3395">
        <v>235.4</v>
      </c>
      <c r="E9596" s="3525">
        <v>-0.28703395220643912</v>
      </c>
      <c r="F9596" s="3282">
        <v>-8.6110185661931737E-3</v>
      </c>
      <c r="H9596" t="s">
        <v>4334</v>
      </c>
      <c r="J9596" s="256">
        <v>42125</v>
      </c>
      <c r="K9596">
        <v>148.4486</v>
      </c>
      <c r="L9596" s="37">
        <v>0.48448599999999997</v>
      </c>
    </row>
    <row r="9597" spans="1:12" hidden="1" outlineLevel="1" x14ac:dyDescent="0.25">
      <c r="A9597" s="2094">
        <v>0.08</v>
      </c>
      <c r="B9597" s="1921" t="s">
        <v>1319</v>
      </c>
      <c r="C9597" s="1902">
        <v>50.146700000000003</v>
      </c>
      <c r="D9597" s="3395">
        <v>79.150000000000006</v>
      </c>
      <c r="E9597" s="3525">
        <v>0.57836906516281239</v>
      </c>
      <c r="F9597" s="3282">
        <v>4.6269525213024992E-2</v>
      </c>
      <c r="H9597" t="s">
        <v>1320</v>
      </c>
      <c r="J9597" s="256">
        <v>42156</v>
      </c>
      <c r="K9597">
        <v>141.11109999999999</v>
      </c>
      <c r="L9597" s="37">
        <v>0.411111</v>
      </c>
    </row>
    <row r="9598" spans="1:12" hidden="1" outlineLevel="1" x14ac:dyDescent="0.25">
      <c r="A9598" s="2094">
        <v>0.03</v>
      </c>
      <c r="B9598" s="1921" t="s">
        <v>3798</v>
      </c>
      <c r="C9598" s="1902">
        <v>4.3178000000000001</v>
      </c>
      <c r="D9598" s="3395">
        <v>3.992</v>
      </c>
      <c r="E9598" s="3525">
        <v>-7.5455092871369644E-2</v>
      </c>
      <c r="F9598" s="3282">
        <v>-2.2636527861410894E-3</v>
      </c>
      <c r="H9598" t="s">
        <v>4122</v>
      </c>
      <c r="J9598" s="256">
        <v>42186</v>
      </c>
      <c r="K9598">
        <v>149.20840000000001</v>
      </c>
      <c r="L9598" s="37">
        <v>0.49208400000000019</v>
      </c>
    </row>
    <row r="9599" spans="1:12" hidden="1" outlineLevel="1" x14ac:dyDescent="0.25">
      <c r="A9599" s="2094">
        <v>0.03</v>
      </c>
      <c r="B9599" s="3394" t="s">
        <v>5824</v>
      </c>
      <c r="C9599" s="1902">
        <v>16.061699999999998</v>
      </c>
      <c r="D9599" s="3395">
        <v>14.635</v>
      </c>
      <c r="E9599" s="3525">
        <v>-8.8826213912599483E-2</v>
      </c>
      <c r="F9599" s="3282">
        <v>-2.6647864173779843E-3</v>
      </c>
      <c r="H9599" t="s">
        <v>5817</v>
      </c>
      <c r="J9599" s="256">
        <v>42217</v>
      </c>
      <c r="K9599">
        <v>141.39570000000001</v>
      </c>
      <c r="L9599" s="37">
        <v>0.41395700000000013</v>
      </c>
    </row>
    <row r="9600" spans="1:12" hidden="1" outlineLevel="1" x14ac:dyDescent="0.25">
      <c r="A9600" s="2094">
        <v>0.08</v>
      </c>
      <c r="B9600" s="1921" t="s">
        <v>1381</v>
      </c>
      <c r="C9600" s="1902">
        <v>64.943299999999994</v>
      </c>
      <c r="D9600" s="3395">
        <v>136.16999999999999</v>
      </c>
      <c r="E9600" s="3525">
        <v>1.096752089899959</v>
      </c>
      <c r="F9600" s="3282">
        <v>8.7740167191996718E-2</v>
      </c>
      <c r="H9600" t="s">
        <v>1383</v>
      </c>
      <c r="J9600" s="256">
        <v>42248</v>
      </c>
      <c r="K9600">
        <v>138.79990000000001</v>
      </c>
      <c r="L9600" s="37">
        <v>0.38799899999999998</v>
      </c>
    </row>
    <row r="9601" spans="1:14" hidden="1" outlineLevel="1" x14ac:dyDescent="0.25">
      <c r="A9601" s="2094">
        <v>0.03</v>
      </c>
      <c r="B9601" s="1921" t="s">
        <v>4143</v>
      </c>
      <c r="C9601" s="1902">
        <v>11.861700000000001</v>
      </c>
      <c r="D9601" s="3395">
        <v>3.1909999999999998</v>
      </c>
      <c r="E9601" s="3525">
        <v>-0.73098291138706939</v>
      </c>
      <c r="F9601" s="3282">
        <v>-2.192948734161208E-2</v>
      </c>
      <c r="H9601" t="s">
        <v>4144</v>
      </c>
      <c r="J9601" s="256">
        <v>42278</v>
      </c>
      <c r="K9601">
        <v>146.35890000000001</v>
      </c>
      <c r="L9601" s="37">
        <v>0.46358900000000003</v>
      </c>
    </row>
    <row r="9602" spans="1:14" hidden="1" outlineLevel="1" x14ac:dyDescent="0.25">
      <c r="A9602" s="2094">
        <v>0.03</v>
      </c>
      <c r="B9602" s="3292" t="s">
        <v>7573</v>
      </c>
      <c r="C9602" s="1902">
        <v>31.236699999999999</v>
      </c>
      <c r="D9602" s="3395">
        <v>88.86</v>
      </c>
      <c r="E9602" s="3525">
        <v>1.8447307173933227</v>
      </c>
      <c r="F9602" s="3282">
        <v>5.5341921521799682E-2</v>
      </c>
      <c r="H9602" t="s">
        <v>7571</v>
      </c>
      <c r="J9602" s="256">
        <v>42309</v>
      </c>
      <c r="K9602">
        <v>144.98609999999999</v>
      </c>
      <c r="L9602" s="37">
        <v>0.44986099999999984</v>
      </c>
    </row>
    <row r="9603" spans="1:14" hidden="1" outlineLevel="1" x14ac:dyDescent="0.25">
      <c r="A9603" s="2094">
        <v>0.03</v>
      </c>
      <c r="B9603" s="1929" t="s">
        <v>3956</v>
      </c>
      <c r="C9603" s="1902">
        <v>727.67</v>
      </c>
      <c r="D9603" s="3395">
        <v>1045</v>
      </c>
      <c r="E9603" s="3525">
        <v>0.43609053554495869</v>
      </c>
      <c r="F9603" s="3282">
        <v>1.3082716066348761E-2</v>
      </c>
      <c r="H9603" t="s">
        <v>3957</v>
      </c>
      <c r="J9603" s="256">
        <v>42339</v>
      </c>
      <c r="K9603">
        <v>144.4152</v>
      </c>
      <c r="L9603" s="37">
        <v>0.44415199999999988</v>
      </c>
    </row>
    <row r="9604" spans="1:14" hidden="1" outlineLevel="1" x14ac:dyDescent="0.25">
      <c r="A9604" s="2094">
        <v>0.03</v>
      </c>
      <c r="B9604" s="1921" t="s">
        <v>1905</v>
      </c>
      <c r="C9604" s="1902">
        <v>33.116700000000002</v>
      </c>
      <c r="D9604" s="3395">
        <v>59.63</v>
      </c>
      <c r="E9604" s="3525">
        <v>0.80060211313325302</v>
      </c>
      <c r="F9604" s="3282">
        <v>2.4018063393997591E-2</v>
      </c>
      <c r="H9604" t="s">
        <v>504</v>
      </c>
      <c r="J9604" s="256">
        <v>42370</v>
      </c>
      <c r="K9604">
        <v>142.0933</v>
      </c>
      <c r="L9604" s="37">
        <v>0.420933</v>
      </c>
    </row>
    <row r="9605" spans="1:14" hidden="1" outlineLevel="1" x14ac:dyDescent="0.25">
      <c r="A9605" s="2094">
        <v>0.03</v>
      </c>
      <c r="B9605" s="1921" t="s">
        <v>2786</v>
      </c>
      <c r="C9605" s="1902">
        <v>570.33000000000004</v>
      </c>
      <c r="D9605" s="3395">
        <v>1089.5</v>
      </c>
      <c r="E9605" s="3525">
        <v>0.91029754703417298</v>
      </c>
      <c r="F9605" s="3282">
        <v>2.7308926411025187E-2</v>
      </c>
      <c r="H9605" t="s">
        <v>4195</v>
      </c>
      <c r="J9605" s="256">
        <v>42401</v>
      </c>
      <c r="K9605">
        <v>139.65549999999999</v>
      </c>
      <c r="L9605" s="37">
        <v>0.39655499999999999</v>
      </c>
    </row>
    <row r="9606" spans="1:14" hidden="1" outlineLevel="1" x14ac:dyDescent="0.25">
      <c r="A9606" s="2094">
        <v>0.03</v>
      </c>
      <c r="B9606" s="1921" t="s">
        <v>2787</v>
      </c>
      <c r="C9606" s="1902">
        <v>52.1</v>
      </c>
      <c r="D9606" s="3395">
        <v>80.349999999999994</v>
      </c>
      <c r="E9606" s="3525">
        <v>0.54222648752399216</v>
      </c>
      <c r="F9606" s="3282">
        <v>1.6266794625719765E-2</v>
      </c>
      <c r="H9606" t="s">
        <v>80</v>
      </c>
      <c r="J9606" s="256">
        <v>42430</v>
      </c>
      <c r="K9606">
        <v>143.8099</v>
      </c>
      <c r="L9606" s="37">
        <v>0.43809900000000002</v>
      </c>
    </row>
    <row r="9607" spans="1:14" hidden="1" outlineLevel="1" x14ac:dyDescent="0.25">
      <c r="A9607" s="2094">
        <v>0.03</v>
      </c>
      <c r="B9607" s="1921" t="s">
        <v>3958</v>
      </c>
      <c r="C9607" s="1902">
        <v>1071.67</v>
      </c>
      <c r="D9607" s="3395">
        <v>961.5</v>
      </c>
      <c r="E9607" s="3525">
        <v>-0.10280216857801383</v>
      </c>
      <c r="F9607" s="3282">
        <v>-3.084065057340415E-3</v>
      </c>
      <c r="H9607" t="s">
        <v>3959</v>
      </c>
      <c r="J9607" s="256">
        <v>42461</v>
      </c>
      <c r="K9607">
        <v>143.18940000000001</v>
      </c>
      <c r="L9607" s="37">
        <v>0.431894</v>
      </c>
    </row>
    <row r="9608" spans="1:14" hidden="1" outlineLevel="1" x14ac:dyDescent="0.25">
      <c r="A9608" s="2094">
        <v>0.03</v>
      </c>
      <c r="B9608" s="1921" t="s">
        <v>5121</v>
      </c>
      <c r="C9608" s="1902">
        <v>546.83000000000004</v>
      </c>
      <c r="D9608" s="3395">
        <v>1394</v>
      </c>
      <c r="E9608" s="3525">
        <v>1.5492383373260425</v>
      </c>
      <c r="F9608" s="3282">
        <v>4.6477150119781277E-2</v>
      </c>
      <c r="H9608" t="s">
        <v>5119</v>
      </c>
      <c r="J9608" s="256">
        <v>42491</v>
      </c>
      <c r="K9608">
        <v>146.2209</v>
      </c>
      <c r="L9608" s="37">
        <v>0.46220900000000009</v>
      </c>
    </row>
    <row r="9609" spans="1:14" hidden="1" outlineLevel="1" x14ac:dyDescent="0.25">
      <c r="A9609" s="2094">
        <v>0.03</v>
      </c>
      <c r="B9609" s="1921" t="s">
        <v>3800</v>
      </c>
      <c r="C9609" s="1902">
        <v>139.1</v>
      </c>
      <c r="D9609" s="3395">
        <v>255.6</v>
      </c>
      <c r="E9609" s="3525">
        <v>0.83752695902228624</v>
      </c>
      <c r="F9609" s="3282">
        <v>2.5125808770668587E-2</v>
      </c>
      <c r="H9609" t="s">
        <v>2817</v>
      </c>
      <c r="J9609" s="256">
        <v>42522</v>
      </c>
      <c r="K9609">
        <v>150.43209999999999</v>
      </c>
      <c r="L9609" s="37">
        <v>0.50432100000000002</v>
      </c>
    </row>
    <row r="9610" spans="1:14" hidden="1" outlineLevel="1" x14ac:dyDescent="0.25">
      <c r="A9610" s="2094">
        <v>0.03</v>
      </c>
      <c r="B9610" s="1921" t="s">
        <v>102</v>
      </c>
      <c r="C9610" s="3526">
        <v>606.43259999999998</v>
      </c>
      <c r="D9610" s="3395">
        <v>478.3</v>
      </c>
      <c r="E9610" s="3525">
        <v>-0.21128910286155456</v>
      </c>
      <c r="F9610" s="3282">
        <v>-6.3386730858466366E-3</v>
      </c>
      <c r="H9610" t="s">
        <v>101</v>
      </c>
      <c r="J9610" s="412" t="s">
        <v>2465</v>
      </c>
      <c r="L9610" s="362">
        <v>0.44675911111111116</v>
      </c>
    </row>
    <row r="9611" spans="1:14" hidden="1" outlineLevel="1" x14ac:dyDescent="0.25">
      <c r="A9611" s="2094">
        <v>0.03</v>
      </c>
      <c r="B9611" s="1921" t="s">
        <v>2728</v>
      </c>
      <c r="C9611" s="1902">
        <v>57.066699999999997</v>
      </c>
      <c r="D9611" s="3395">
        <v>80.099999999999994</v>
      </c>
      <c r="E9611" s="3525">
        <v>0.40362067545521296</v>
      </c>
      <c r="F9611" s="3282">
        <v>1.2108620263656389E-2</v>
      </c>
      <c r="H9611" t="s">
        <v>258</v>
      </c>
      <c r="J9611" s="412" t="s">
        <v>5221</v>
      </c>
      <c r="L9611" s="362">
        <v>0.35740728888888895</v>
      </c>
    </row>
    <row r="9612" spans="1:14" hidden="1" outlineLevel="1" x14ac:dyDescent="0.25">
      <c r="A9612" s="2094">
        <v>0.03</v>
      </c>
      <c r="B9612" s="1921" t="s">
        <v>1857</v>
      </c>
      <c r="C9612" s="1902">
        <v>1221.33</v>
      </c>
      <c r="D9612" s="3395">
        <v>1586</v>
      </c>
      <c r="E9612" s="3525">
        <v>0.29858433019740782</v>
      </c>
      <c r="F9612" s="3282">
        <v>8.9575299059222336E-3</v>
      </c>
      <c r="H9612" t="s">
        <v>3559</v>
      </c>
    </row>
    <row r="9613" spans="1:14" hidden="1" outlineLevel="1" x14ac:dyDescent="0.25">
      <c r="A9613" s="2094">
        <v>0.03</v>
      </c>
      <c r="B9613" s="1921" t="s">
        <v>4460</v>
      </c>
      <c r="C9613" s="1902">
        <v>1448</v>
      </c>
      <c r="D9613" s="3395">
        <v>2450</v>
      </c>
      <c r="E9613" s="3525">
        <v>0.69198895027624308</v>
      </c>
      <c r="F9613" s="3282">
        <v>2.0759668508287293E-2</v>
      </c>
      <c r="H9613" t="s">
        <v>3485</v>
      </c>
    </row>
    <row r="9614" spans="1:14" hidden="1" outlineLevel="1" x14ac:dyDescent="0.25">
      <c r="A9614" s="2094">
        <v>0.03</v>
      </c>
      <c r="B9614" s="1921" t="s">
        <v>3960</v>
      </c>
      <c r="C9614" s="1902">
        <v>227.67</v>
      </c>
      <c r="D9614" s="3395">
        <v>284.5</v>
      </c>
      <c r="E9614" s="3525">
        <v>0.24961567180568367</v>
      </c>
      <c r="F9614" s="3282">
        <v>7.4884701541705102E-3</v>
      </c>
      <c r="H9614" t="s">
        <v>8828</v>
      </c>
      <c r="J9614" s="1352"/>
      <c r="K9614" s="1352"/>
      <c r="L9614" s="1352"/>
      <c r="M9614" s="1352"/>
      <c r="N9614" s="1352"/>
    </row>
    <row r="9615" spans="1:14" ht="13.8" hidden="1" outlineLevel="1" x14ac:dyDescent="0.3">
      <c r="A9615" s="2094">
        <v>0.03</v>
      </c>
      <c r="B9615" s="1921" t="s">
        <v>3022</v>
      </c>
      <c r="C9615" s="1902">
        <v>3983.33</v>
      </c>
      <c r="D9615" s="3395">
        <v>4375</v>
      </c>
      <c r="E9615" s="3525">
        <v>9.8327278934961404E-2</v>
      </c>
      <c r="F9615" s="3282">
        <v>2.9498183680488422E-3</v>
      </c>
      <c r="H9615" t="s">
        <v>2802</v>
      </c>
      <c r="J9615" s="1352"/>
      <c r="K9615" s="1353"/>
      <c r="L9615" s="1353"/>
      <c r="M9615" s="1353"/>
      <c r="N9615" s="1352"/>
    </row>
    <row r="9616" spans="1:14" hidden="1" outlineLevel="1" x14ac:dyDescent="0.25">
      <c r="A9616" s="2094">
        <v>0.03</v>
      </c>
      <c r="B9616" s="1921" t="s">
        <v>577</v>
      </c>
      <c r="C9616" s="1902">
        <v>18.328299999999999</v>
      </c>
      <c r="D9616" s="3395">
        <v>8.8189999999999991</v>
      </c>
      <c r="E9616" s="3525">
        <v>-0.51883153374835644</v>
      </c>
      <c r="F9616" s="3282">
        <v>-1.5564946012450693E-2</v>
      </c>
      <c r="H9616" t="s">
        <v>2804</v>
      </c>
    </row>
    <row r="9617" spans="1:23" hidden="1" outlineLevel="1" x14ac:dyDescent="0.25">
      <c r="A9617" s="2094">
        <v>0.03</v>
      </c>
      <c r="B9617" s="1921" t="s">
        <v>434</v>
      </c>
      <c r="C9617" s="1902">
        <v>53.651000000000003</v>
      </c>
      <c r="D9617" s="3395">
        <v>41.1</v>
      </c>
      <c r="E9617" s="3525">
        <v>-0.23393785763545882</v>
      </c>
      <c r="F9617" s="3282">
        <v>-7.0181357290637642E-3</v>
      </c>
      <c r="H9617" t="s">
        <v>7745</v>
      </c>
    </row>
    <row r="9618" spans="1:23" hidden="1" outlineLevel="1" x14ac:dyDescent="0.25">
      <c r="A9618" s="2094">
        <v>0.03</v>
      </c>
      <c r="B9618" s="2003" t="s">
        <v>2983</v>
      </c>
      <c r="C9618" s="1902">
        <v>578.33000000000004</v>
      </c>
      <c r="D9618" s="3395">
        <v>1019</v>
      </c>
      <c r="E9618" s="3525">
        <v>0.76196980962426286</v>
      </c>
      <c r="F9618" s="3282">
        <v>2.2859094288727885E-2</v>
      </c>
      <c r="H9618" t="s">
        <v>1713</v>
      </c>
    </row>
    <row r="9619" spans="1:23" hidden="1" outlineLevel="1" x14ac:dyDescent="0.25">
      <c r="A9619" s="2094">
        <v>0.03</v>
      </c>
      <c r="B9619" s="2099" t="s">
        <v>579</v>
      </c>
      <c r="C9619" s="1902">
        <v>176.88</v>
      </c>
      <c r="D9619" s="3395">
        <v>227.9</v>
      </c>
      <c r="E9619" s="3525">
        <v>0.28844414292175502</v>
      </c>
      <c r="F9619" s="3282">
        <v>8.6533242876526504E-3</v>
      </c>
      <c r="H9619" t="s">
        <v>3611</v>
      </c>
    </row>
    <row r="9620" spans="1:23" hidden="1" outlineLevel="1" x14ac:dyDescent="0.25">
      <c r="A9620" s="2094">
        <v>0.03</v>
      </c>
      <c r="B9620" s="1921" t="s">
        <v>1211</v>
      </c>
      <c r="C9620" s="1902">
        <v>37.42</v>
      </c>
      <c r="D9620" s="3395">
        <v>67.45</v>
      </c>
      <c r="E9620" s="3525">
        <v>0.80251202565473001</v>
      </c>
      <c r="F9620" s="3282">
        <v>2.4075360769641899E-2</v>
      </c>
      <c r="H9620" t="s">
        <v>685</v>
      </c>
    </row>
    <row r="9621" spans="1:23" hidden="1" outlineLevel="1" x14ac:dyDescent="0.25">
      <c r="A9621" s="2102">
        <v>0.03</v>
      </c>
      <c r="B9621" s="2103" t="s">
        <v>4550</v>
      </c>
      <c r="C9621" s="2562">
        <v>364.96699999999998</v>
      </c>
      <c r="D9621" s="3397">
        <v>234.8</v>
      </c>
      <c r="E9621" s="3527">
        <v>-0.35665416325311594</v>
      </c>
      <c r="F9621" s="3282">
        <v>-1.0699624897593478E-2</v>
      </c>
      <c r="H9621" t="s">
        <v>4551</v>
      </c>
    </row>
    <row r="9622" spans="1:23" hidden="1" outlineLevel="1" x14ac:dyDescent="0.25">
      <c r="A9622" s="1813"/>
      <c r="B9622" s="1813"/>
      <c r="C9622" s="1813"/>
      <c r="D9622" s="1813"/>
      <c r="E9622" s="1813"/>
      <c r="F9622" s="3440">
        <v>0.50429999999999997</v>
      </c>
    </row>
    <row r="9623" spans="1:23" collapsed="1" x14ac:dyDescent="0.25">
      <c r="A9623" s="3801" t="s">
        <v>4341</v>
      </c>
      <c r="B9623" s="3802"/>
      <c r="C9623" s="3802"/>
      <c r="D9623" s="3802"/>
      <c r="E9623" s="3506"/>
      <c r="F9623" s="1890">
        <v>0.35740728888888895</v>
      </c>
    </row>
    <row r="9625" spans="1:23" hidden="1" outlineLevel="1" x14ac:dyDescent="0.25">
      <c r="A9625" s="689" t="s">
        <v>113</v>
      </c>
      <c r="B9625" s="689" t="s">
        <v>114</v>
      </c>
      <c r="C9625" s="689" t="s">
        <v>112</v>
      </c>
      <c r="D9625" s="689" t="s">
        <v>4155</v>
      </c>
      <c r="E9625" s="689" t="s">
        <v>117</v>
      </c>
      <c r="F9625" s="1188" t="s">
        <v>121</v>
      </c>
      <c r="I9625" s="173" t="s">
        <v>3766</v>
      </c>
      <c r="J9625" s="1355">
        <v>42308</v>
      </c>
      <c r="K9625" s="1355">
        <v>42338</v>
      </c>
      <c r="L9625" s="1355">
        <v>42369</v>
      </c>
      <c r="M9625" s="1355">
        <v>42400</v>
      </c>
      <c r="N9625" s="1355">
        <v>42429</v>
      </c>
      <c r="O9625" s="1355">
        <v>42460</v>
      </c>
      <c r="P9625" s="1355">
        <v>42490</v>
      </c>
      <c r="Q9625" s="1355">
        <v>42521</v>
      </c>
      <c r="R9625" s="1355">
        <v>42551</v>
      </c>
      <c r="S9625" s="1355">
        <v>42582</v>
      </c>
      <c r="T9625" s="1355">
        <v>42613</v>
      </c>
      <c r="U9625" s="1355">
        <v>42643</v>
      </c>
      <c r="V9625" s="1355"/>
      <c r="W9625" s="1355"/>
    </row>
    <row r="9626" spans="1:23" hidden="1" outlineLevel="1" x14ac:dyDescent="0.25">
      <c r="A9626" t="s">
        <v>3126</v>
      </c>
      <c r="B9626" s="691" t="s">
        <v>2153</v>
      </c>
      <c r="C9626" s="692">
        <v>2952.029</v>
      </c>
      <c r="D9626" s="692">
        <f>VLOOKUP(B9626,indexy!A:B,2,0)</f>
        <v>5083.42</v>
      </c>
      <c r="E9626" s="693">
        <f>D9626/C9626-1</f>
        <v>0.72200882850405601</v>
      </c>
      <c r="F9626" s="694">
        <f>'klikací hodnoty'!E9626</f>
        <v>0.72200882850405601</v>
      </c>
      <c r="I9626">
        <f>AVERAGE(J9626:U9626)</f>
        <v>3096.7108333333331</v>
      </c>
      <c r="J9626" s="412">
        <v>3418.23</v>
      </c>
      <c r="K9626" s="412">
        <v>3506.45</v>
      </c>
      <c r="L9626" s="412">
        <v>3267.52</v>
      </c>
      <c r="M9626" s="412">
        <v>3045.09</v>
      </c>
      <c r="N9626" s="412">
        <v>2945.75</v>
      </c>
      <c r="O9626" s="412">
        <v>3004.93</v>
      </c>
      <c r="P9626" s="412">
        <v>3028.21</v>
      </c>
      <c r="Q9626" s="412">
        <v>3063.48</v>
      </c>
      <c r="R9626" s="412">
        <v>2864.74</v>
      </c>
      <c r="S9626" s="412">
        <v>2990.76</v>
      </c>
      <c r="T9626" s="412">
        <v>3023.13</v>
      </c>
      <c r="U9626" s="412">
        <v>3002.24</v>
      </c>
    </row>
    <row r="9627" spans="1:23" collapsed="1" x14ac:dyDescent="0.25">
      <c r="A9627" s="3801" t="s">
        <v>2573</v>
      </c>
      <c r="B9627" s="3802"/>
      <c r="C9627" s="3802"/>
      <c r="D9627" s="3802"/>
      <c r="E9627" s="1892"/>
      <c r="F9627" s="1893">
        <f>IF(I9627&lt;-30%,I9627+30%,MIN(ABS(I9627),50%))</f>
        <v>4.9010979679851685E-2</v>
      </c>
      <c r="I9627" s="406">
        <f>+I9626/C9626-1</f>
        <v>4.9010979679851685E-2</v>
      </c>
    </row>
    <row r="9629" spans="1:23" hidden="1" outlineLevel="1" x14ac:dyDescent="0.25">
      <c r="A9629" s="3180" t="s">
        <v>113</v>
      </c>
      <c r="B9629" s="3180" t="s">
        <v>114</v>
      </c>
      <c r="C9629" s="3180" t="s">
        <v>112</v>
      </c>
      <c r="D9629" s="3180" t="s">
        <v>116</v>
      </c>
      <c r="E9629" s="3180" t="s">
        <v>117</v>
      </c>
      <c r="F9629" s="3181" t="s">
        <v>121</v>
      </c>
      <c r="G9629" s="78"/>
    </row>
    <row r="9630" spans="1:23" hidden="1" outlineLevel="1" x14ac:dyDescent="0.25">
      <c r="A9630" s="3187"/>
      <c r="B9630" s="3187"/>
      <c r="C9630" s="3188"/>
      <c r="D9630" s="1900" t="s">
        <v>3702</v>
      </c>
      <c r="E9630" s="3189">
        <v>42551</v>
      </c>
      <c r="F9630" s="3503"/>
      <c r="G9630" s="78"/>
    </row>
    <row r="9631" spans="1:23" hidden="1" outlineLevel="1" x14ac:dyDescent="0.25">
      <c r="A9631" s="3180" t="s">
        <v>4156</v>
      </c>
      <c r="B9631" s="3180" t="s">
        <v>4153</v>
      </c>
      <c r="C9631" s="3510" t="s">
        <v>112</v>
      </c>
      <c r="D9631" s="3180" t="s">
        <v>4155</v>
      </c>
      <c r="E9631" s="3180" t="s">
        <v>4154</v>
      </c>
      <c r="F9631" s="3181" t="s">
        <v>734</v>
      </c>
      <c r="G9631" s="78"/>
    </row>
    <row r="9632" spans="1:23" hidden="1" outlineLevel="1" x14ac:dyDescent="0.25">
      <c r="A9632" s="1920">
        <v>0.03</v>
      </c>
      <c r="B9632" s="2089" t="s">
        <v>2942</v>
      </c>
      <c r="C9632" s="1902">
        <v>624.6</v>
      </c>
      <c r="D9632" s="3196">
        <v>1600</v>
      </c>
      <c r="E9632" s="3025">
        <v>1.5616394492475183</v>
      </c>
      <c r="F9632" s="3198">
        <v>0.06</v>
      </c>
      <c r="G9632" s="78"/>
      <c r="H9632" t="str">
        <f>VLOOKUP(B9632,indexy!$A$44:$D$823,3,FALSE)</f>
        <v>4503 JT Equity</v>
      </c>
    </row>
    <row r="9633" spans="1:8" hidden="1" outlineLevel="1" x14ac:dyDescent="0.25">
      <c r="A9633" s="1920">
        <v>0.03</v>
      </c>
      <c r="B9633" s="1813" t="s">
        <v>805</v>
      </c>
      <c r="C9633" s="1902">
        <v>57.978000000000002</v>
      </c>
      <c r="D9633" s="3196">
        <v>81.95</v>
      </c>
      <c r="E9633" s="3025">
        <v>0.41346717720514681</v>
      </c>
      <c r="F9633" s="3198">
        <v>0.06</v>
      </c>
      <c r="G9633" s="78"/>
      <c r="H9633" t="str">
        <f>VLOOKUP(B9633,indexy!$A$44:$D$823,3,FALSE)</f>
        <v>BMO CT Equity</v>
      </c>
    </row>
    <row r="9634" spans="1:8" hidden="1" outlineLevel="1" x14ac:dyDescent="0.25">
      <c r="A9634" s="1920">
        <v>0.03</v>
      </c>
      <c r="B9634" s="1813" t="s">
        <v>4377</v>
      </c>
      <c r="C9634" s="1902">
        <v>25.988</v>
      </c>
      <c r="D9634" s="3196">
        <v>73.55</v>
      </c>
      <c r="E9634" s="3025">
        <v>1.830152378020625</v>
      </c>
      <c r="F9634" s="3198">
        <v>0.06</v>
      </c>
      <c r="G9634" s="78"/>
      <c r="H9634" t="str">
        <f>VLOOKUP(B9634,indexy!$A$44:$D$823,3,FALSE)</f>
        <v>BMY UN Equity</v>
      </c>
    </row>
    <row r="9635" spans="1:8" hidden="1" outlineLevel="1" x14ac:dyDescent="0.25">
      <c r="A9635" s="1920">
        <v>0.03</v>
      </c>
      <c r="B9635" s="1813" t="s">
        <v>3954</v>
      </c>
      <c r="C9635" s="1902">
        <v>77.352000000000004</v>
      </c>
      <c r="D9635" s="3196">
        <v>97.04</v>
      </c>
      <c r="E9635" s="3025">
        <v>0.25452476988313166</v>
      </c>
      <c r="F9635" s="3198">
        <v>0.06</v>
      </c>
      <c r="G9635" s="78"/>
      <c r="H9635" t="str">
        <f>VLOOKUP(B9635,indexy!$A$44:$D$823,3,FALSE)</f>
        <v>CM CT Equity</v>
      </c>
    </row>
    <row r="9636" spans="1:8" hidden="1" outlineLevel="1" x14ac:dyDescent="0.25">
      <c r="A9636" s="1920">
        <v>0.03</v>
      </c>
      <c r="B9636" s="1926" t="s">
        <v>4332</v>
      </c>
      <c r="C9636" s="1902">
        <v>334.56</v>
      </c>
      <c r="D9636" s="3196">
        <v>225.5</v>
      </c>
      <c r="E9636" s="3025">
        <v>-0.3259803921568627</v>
      </c>
      <c r="F9636" s="3198">
        <v>-0.3259803921568627</v>
      </c>
      <c r="G9636" s="78"/>
      <c r="H9636" t="str">
        <f>VLOOKUP(B9636,indexy!$A$44:$D$823,3,FALSE)</f>
        <v>CNA LN Equity</v>
      </c>
    </row>
    <row r="9637" spans="1:8" hidden="1" outlineLevel="1" x14ac:dyDescent="0.25">
      <c r="A9637" s="1920">
        <v>0.08</v>
      </c>
      <c r="B9637" s="1813" t="s">
        <v>1319</v>
      </c>
      <c r="C9637" s="1902">
        <v>49.432000000000002</v>
      </c>
      <c r="D9637" s="3196">
        <v>80.44</v>
      </c>
      <c r="E9637" s="3025">
        <v>0.62728596860333385</v>
      </c>
      <c r="F9637" s="3198">
        <v>0.06</v>
      </c>
      <c r="G9637" s="78"/>
      <c r="H9637" t="str">
        <f>VLOOKUP(B9637,indexy!$A$44:$D$823,3,FALSE)</f>
        <v>ED UN Equity</v>
      </c>
    </row>
    <row r="9638" spans="1:8" hidden="1" outlineLevel="1" x14ac:dyDescent="0.25">
      <c r="A9638" s="1920">
        <v>0.03</v>
      </c>
      <c r="B9638" s="1813" t="s">
        <v>3798</v>
      </c>
      <c r="C9638" s="1902">
        <v>3.77</v>
      </c>
      <c r="D9638" s="3196">
        <v>3.98</v>
      </c>
      <c r="E9638" s="3025">
        <v>5.5702917771883298E-2</v>
      </c>
      <c r="F9638" s="3198">
        <v>0.06</v>
      </c>
      <c r="G9638" s="78"/>
      <c r="H9638" t="str">
        <f>VLOOKUP(B9638,indexy!$A$44:$D$823,3,FALSE)</f>
        <v>ENEL IM Equity</v>
      </c>
    </row>
    <row r="9639" spans="1:8" hidden="1" outlineLevel="1" x14ac:dyDescent="0.25">
      <c r="A9639" s="1920">
        <v>0.03</v>
      </c>
      <c r="B9639" s="3028" t="s">
        <v>5824</v>
      </c>
      <c r="C9639" s="1902">
        <v>15.932</v>
      </c>
      <c r="D9639" s="3196">
        <v>14.654999999999999</v>
      </c>
      <c r="E9639" s="3025">
        <v>-8.015315089128805E-2</v>
      </c>
      <c r="F9639" s="3198">
        <v>-8.015315089128805E-2</v>
      </c>
      <c r="G9639" s="78"/>
      <c r="H9639" t="str">
        <f>VLOOKUP(B9639,indexy!$A$44:$D$823,3,FALSE)</f>
        <v>ORA FP Equity</v>
      </c>
    </row>
    <row r="9640" spans="1:8" hidden="1" outlineLevel="1" x14ac:dyDescent="0.25">
      <c r="A9640" s="1920">
        <v>0.08</v>
      </c>
      <c r="B9640" s="1813" t="s">
        <v>1381</v>
      </c>
      <c r="C9640" s="1902">
        <v>62.985999999999997</v>
      </c>
      <c r="D9640" s="3196">
        <v>137.47999999999999</v>
      </c>
      <c r="E9640" s="3025">
        <v>1.1827072682818405</v>
      </c>
      <c r="F9640" s="3198">
        <v>0.06</v>
      </c>
      <c r="G9640" s="78"/>
      <c r="H9640" t="str">
        <f>VLOOKUP(B9640,indexy!$A$44:$D$823,3,FALSE)</f>
        <v>KMB UN Equity</v>
      </c>
    </row>
    <row r="9641" spans="1:8" hidden="1" outlineLevel="1" x14ac:dyDescent="0.25">
      <c r="A9641" s="1920">
        <v>0.03</v>
      </c>
      <c r="B9641" s="1813" t="s">
        <v>4143</v>
      </c>
      <c r="C9641" s="1902">
        <v>11.236000000000001</v>
      </c>
      <c r="D9641" s="3196">
        <v>3.2549999999999999</v>
      </c>
      <c r="E9641" s="3025">
        <v>-0.71030615877536496</v>
      </c>
      <c r="F9641" s="3198">
        <v>-0.71030615877536496</v>
      </c>
      <c r="G9641" s="78"/>
      <c r="H9641" t="str">
        <f>VLOOKUP(B9641,indexy!$A$44:$D$823,3,FALSE)</f>
        <v>KPN NA Equity</v>
      </c>
    </row>
    <row r="9642" spans="1:8" hidden="1" outlineLevel="1" x14ac:dyDescent="0.25">
      <c r="A9642" s="1920">
        <v>0.03</v>
      </c>
      <c r="B9642" s="2965" t="s">
        <v>7573</v>
      </c>
      <c r="C9642" s="1902">
        <v>31.36</v>
      </c>
      <c r="D9642" s="3196">
        <v>88.48</v>
      </c>
      <c r="E9642" s="3025">
        <v>1.8214285714285716</v>
      </c>
      <c r="F9642" s="3198">
        <v>0.06</v>
      </c>
      <c r="G9642" s="78"/>
      <c r="H9642" t="str">
        <f>VLOOKUP(B9642,indexy!$A$44:$D$823,3,FALSE)</f>
        <v>KHC UW Equity</v>
      </c>
    </row>
    <row r="9643" spans="1:8" hidden="1" outlineLevel="1" x14ac:dyDescent="0.25">
      <c r="A9643" s="1920">
        <v>0.03</v>
      </c>
      <c r="B9643" s="1813" t="s">
        <v>3956</v>
      </c>
      <c r="C9643" s="1902">
        <v>683</v>
      </c>
      <c r="D9643" s="3196">
        <v>1039</v>
      </c>
      <c r="E9643" s="3025">
        <v>0.521229868228404</v>
      </c>
      <c r="F9643" s="3198">
        <v>0.06</v>
      </c>
      <c r="G9643" s="78"/>
      <c r="H9643" t="str">
        <f>VLOOKUP(B9643,indexy!$A$44:$D$823,3,FALSE)</f>
        <v>LAND LN Equity</v>
      </c>
    </row>
    <row r="9644" spans="1:8" hidden="1" outlineLevel="1" x14ac:dyDescent="0.25">
      <c r="A9644" s="1920">
        <v>0.03</v>
      </c>
      <c r="B9644" s="1813" t="s">
        <v>1905</v>
      </c>
      <c r="C9644" s="1902">
        <v>36.904000000000003</v>
      </c>
      <c r="D9644" s="3196">
        <v>57.61</v>
      </c>
      <c r="E9644" s="3025">
        <v>0.56107738998482537</v>
      </c>
      <c r="F9644" s="3198">
        <v>0.06</v>
      </c>
      <c r="G9644" s="78"/>
      <c r="H9644" t="str">
        <f>VLOOKUP(B9644,indexy!$A$44:$D$823,3,FALSE)</f>
        <v>MRK UN Equity</v>
      </c>
    </row>
    <row r="9645" spans="1:8" hidden="1" outlineLevel="1" x14ac:dyDescent="0.25">
      <c r="A9645" s="1920">
        <v>0.03</v>
      </c>
      <c r="B9645" s="1813" t="s">
        <v>2786</v>
      </c>
      <c r="C9645" s="1902">
        <v>573.6</v>
      </c>
      <c r="D9645" s="3196">
        <v>1096</v>
      </c>
      <c r="E9645" s="3025">
        <v>0.9107391910739191</v>
      </c>
      <c r="F9645" s="3198">
        <v>0.06</v>
      </c>
      <c r="G9645" s="78"/>
      <c r="H9645" t="str">
        <f>VLOOKUP(B9645,indexy!$A$44:$D$823,3,FALSE)</f>
        <v>NG/ LN Equity</v>
      </c>
    </row>
    <row r="9646" spans="1:8" hidden="1" outlineLevel="1" x14ac:dyDescent="0.25">
      <c r="A9646" s="1920">
        <v>0.03</v>
      </c>
      <c r="B9646" s="1813" t="s">
        <v>2787</v>
      </c>
      <c r="C9646" s="1902">
        <v>55.36</v>
      </c>
      <c r="D9646" s="3196">
        <v>80.150000000000006</v>
      </c>
      <c r="E9646" s="3025">
        <v>0.44779624277456653</v>
      </c>
      <c r="F9646" s="3198">
        <v>0.06</v>
      </c>
      <c r="G9646" s="78"/>
      <c r="H9646" t="str">
        <f>VLOOKUP(B9646,indexy!$A$44:$D$823,3,FALSE)</f>
        <v>NOVN SE Equity</v>
      </c>
    </row>
    <row r="9647" spans="1:8" hidden="1" outlineLevel="1" x14ac:dyDescent="0.25">
      <c r="A9647" s="1920">
        <v>0.03</v>
      </c>
      <c r="B9647" s="1813" t="s">
        <v>3958</v>
      </c>
      <c r="C9647" s="1902">
        <v>1003.7</v>
      </c>
      <c r="D9647" s="3196">
        <v>967</v>
      </c>
      <c r="E9647" s="3025">
        <v>-3.6564710570887726E-2</v>
      </c>
      <c r="F9647" s="3198">
        <v>-3.6564710570887726E-2</v>
      </c>
      <c r="G9647" s="78"/>
      <c r="H9647" t="str">
        <f>VLOOKUP(B9647,indexy!$A$44:$D$823,3,FALSE)</f>
        <v>PSON LN Equity</v>
      </c>
    </row>
    <row r="9648" spans="1:8" hidden="1" outlineLevel="1" x14ac:dyDescent="0.25">
      <c r="A9648" s="1920">
        <v>0.03</v>
      </c>
      <c r="B9648" s="1813" t="s">
        <v>5121</v>
      </c>
      <c r="C9648" s="1902">
        <v>535.5</v>
      </c>
      <c r="D9648" s="3196">
        <v>1376</v>
      </c>
      <c r="E9648" s="3025">
        <v>1.5695611577964521</v>
      </c>
      <c r="F9648" s="3198">
        <v>0.06</v>
      </c>
      <c r="G9648" s="78"/>
      <c r="H9648" t="str">
        <f>VLOOKUP(B9648,indexy!$A$44:$D$823,3,FALSE)</f>
        <v>REL LN Equity</v>
      </c>
    </row>
    <row r="9649" spans="1:8" hidden="1" outlineLevel="1" x14ac:dyDescent="0.25">
      <c r="A9649" s="1920">
        <v>0.03</v>
      </c>
      <c r="B9649" s="1813" t="s">
        <v>3800</v>
      </c>
      <c r="C9649" s="1902">
        <v>136.32</v>
      </c>
      <c r="D9649" s="3196">
        <v>256.10000000000002</v>
      </c>
      <c r="E9649" s="3025">
        <v>0.87866784037558721</v>
      </c>
      <c r="F9649" s="3198">
        <v>0.06</v>
      </c>
      <c r="G9649" s="78"/>
      <c r="H9649" t="str">
        <f>VLOOKUP(B9649,indexy!$A$44:$D$823,3,FALSE)</f>
        <v>ROG SE Equity</v>
      </c>
    </row>
    <row r="9650" spans="1:8" hidden="1" outlineLevel="1" x14ac:dyDescent="0.25">
      <c r="A9650" s="1920">
        <v>0.03</v>
      </c>
      <c r="B9650" s="1813" t="s">
        <v>102</v>
      </c>
      <c r="C9650" s="1902">
        <v>578.25</v>
      </c>
      <c r="D9650" s="3196">
        <v>499.5</v>
      </c>
      <c r="E9650" s="3025">
        <v>-0.13618677042801552</v>
      </c>
      <c r="F9650" s="3198">
        <v>-0.13618677042801552</v>
      </c>
      <c r="G9650" s="78"/>
      <c r="H9650" t="str">
        <f>VLOOKUP(B9650,indexy!$A$44:$D$823,3,FALSE)</f>
        <v>RSA LN Equity</v>
      </c>
    </row>
    <row r="9651" spans="1:8" hidden="1" outlineLevel="1" x14ac:dyDescent="0.25">
      <c r="A9651" s="1920">
        <v>0.03</v>
      </c>
      <c r="B9651" s="1813" t="s">
        <v>2728</v>
      </c>
      <c r="C9651" s="1902">
        <v>51.91</v>
      </c>
      <c r="D9651" s="3196">
        <v>76.34</v>
      </c>
      <c r="E9651" s="3025">
        <v>0.47062223078404952</v>
      </c>
      <c r="F9651" s="3198">
        <v>0.06</v>
      </c>
      <c r="G9651" s="78"/>
      <c r="H9651" t="str">
        <f>VLOOKUP(B9651,indexy!$A$44:$D$823,3,FALSE)</f>
        <v>RY CT Equity</v>
      </c>
    </row>
    <row r="9652" spans="1:8" hidden="1" outlineLevel="1" x14ac:dyDescent="0.25">
      <c r="A9652" s="1920">
        <v>0.03</v>
      </c>
      <c r="B9652" s="1813" t="s">
        <v>1857</v>
      </c>
      <c r="C9652" s="1902">
        <v>1229.8</v>
      </c>
      <c r="D9652" s="3196">
        <v>1554</v>
      </c>
      <c r="E9652" s="3025">
        <v>0.26362010082940324</v>
      </c>
      <c r="F9652" s="3198">
        <v>0.06</v>
      </c>
      <c r="G9652" s="78"/>
      <c r="H9652" t="str">
        <f>VLOOKUP(B9652,indexy!$A$44:$D$823,3,FALSE)</f>
        <v>SSE LN Equity</v>
      </c>
    </row>
    <row r="9653" spans="1:8" hidden="1" outlineLevel="1" x14ac:dyDescent="0.25">
      <c r="A9653" s="1920">
        <v>0.03</v>
      </c>
      <c r="B9653" s="1813" t="s">
        <v>4460</v>
      </c>
      <c r="C9653" s="1902">
        <v>1469</v>
      </c>
      <c r="D9653" s="3196">
        <v>2435</v>
      </c>
      <c r="E9653" s="3025">
        <v>0.65759019741320635</v>
      </c>
      <c r="F9653" s="3198">
        <v>0.06</v>
      </c>
      <c r="G9653" s="78"/>
      <c r="H9653" t="str">
        <f>VLOOKUP(B9653,indexy!$A$44:$D$823,3,FALSE)</f>
        <v>SVT LN Equity</v>
      </c>
    </row>
    <row r="9654" spans="1:8" hidden="1" outlineLevel="1" x14ac:dyDescent="0.25">
      <c r="A9654" s="1920">
        <v>0.03</v>
      </c>
      <c r="B9654" s="1813" t="s">
        <v>3960</v>
      </c>
      <c r="C9654" s="1902">
        <v>218.22</v>
      </c>
      <c r="D9654" s="3196">
        <v>293.60000000000002</v>
      </c>
      <c r="E9654" s="3025">
        <v>0.3454312162038311</v>
      </c>
      <c r="F9654" s="3198">
        <v>0.06</v>
      </c>
      <c r="G9654" s="78"/>
      <c r="H9654" t="str">
        <f>VLOOKUP(B9654,indexy!$A$44:$D$823,3,FALSE)</f>
        <v>ABDN LN Equity</v>
      </c>
    </row>
    <row r="9655" spans="1:8" hidden="1" outlineLevel="1" x14ac:dyDescent="0.25">
      <c r="A9655" s="1920">
        <v>0.03</v>
      </c>
      <c r="B9655" s="1813" t="s">
        <v>3022</v>
      </c>
      <c r="C9655" s="1902">
        <v>3996</v>
      </c>
      <c r="D9655" s="3196">
        <v>4424</v>
      </c>
      <c r="E9655" s="3025">
        <v>0.10710710710710702</v>
      </c>
      <c r="F9655" s="3198">
        <v>0.06</v>
      </c>
      <c r="G9655" s="78"/>
      <c r="H9655" t="str">
        <f>VLOOKUP(B9655,indexy!$A$44:$D$823,3,FALSE)</f>
        <v>4502 JT Equity</v>
      </c>
    </row>
    <row r="9656" spans="1:8" hidden="1" outlineLevel="1" x14ac:dyDescent="0.25">
      <c r="A9656" s="1920">
        <v>0.03</v>
      </c>
      <c r="B9656" s="1813" t="s">
        <v>577</v>
      </c>
      <c r="C9656" s="1902">
        <v>16.850999999999999</v>
      </c>
      <c r="D9656" s="3196">
        <v>8.4600000000000009</v>
      </c>
      <c r="E9656" s="3025">
        <v>-0.49795264376001414</v>
      </c>
      <c r="F9656" s="3198">
        <v>-0.49795264376001414</v>
      </c>
      <c r="G9656" s="78"/>
      <c r="H9656" t="str">
        <f>VLOOKUP(B9656,indexy!$A$44:$D$823,3,FALSE)</f>
        <v>TEF SQ Equity</v>
      </c>
    </row>
    <row r="9657" spans="1:8" hidden="1" outlineLevel="1" x14ac:dyDescent="0.25">
      <c r="A9657" s="1920">
        <v>0.03</v>
      </c>
      <c r="B9657" s="1813" t="s">
        <v>434</v>
      </c>
      <c r="C9657" s="1902">
        <v>53.81</v>
      </c>
      <c r="D9657" s="3196">
        <v>39.72</v>
      </c>
      <c r="E9657" s="3025">
        <v>-0.26184724028990902</v>
      </c>
      <c r="F9657" s="3198">
        <v>-0.26184724028990902</v>
      </c>
      <c r="G9657" s="78"/>
      <c r="H9657" t="str">
        <f>VLOOKUP(B9657,indexy!$A$44:$D$823,3,FALSE)</f>
        <v>TELIA SS Equity</v>
      </c>
    </row>
    <row r="9658" spans="1:8" hidden="1" outlineLevel="1" x14ac:dyDescent="0.25">
      <c r="A9658" s="1920">
        <v>0.03</v>
      </c>
      <c r="B9658" s="2003" t="s">
        <v>2983</v>
      </c>
      <c r="C9658" s="1902">
        <v>596.20000000000005</v>
      </c>
      <c r="D9658" s="3196">
        <v>1035</v>
      </c>
      <c r="E9658" s="3025">
        <v>0.73599463267359932</v>
      </c>
      <c r="F9658" s="3198">
        <v>0.06</v>
      </c>
      <c r="G9658" s="78"/>
      <c r="H9658" t="str">
        <f>VLOOKUP(B9658,indexy!$A$44:$D$823,3,FALSE)</f>
        <v>UU/ LN Equity</v>
      </c>
    </row>
    <row r="9659" spans="1:8" hidden="1" outlineLevel="1" x14ac:dyDescent="0.25">
      <c r="A9659" s="1920">
        <v>0.03</v>
      </c>
      <c r="B9659" s="1813" t="s">
        <v>579</v>
      </c>
      <c r="C9659" s="1902">
        <v>174.5</v>
      </c>
      <c r="D9659" s="3196">
        <v>227.65</v>
      </c>
      <c r="E9659" s="3025">
        <v>0.30458452722063045</v>
      </c>
      <c r="F9659" s="3198">
        <v>0.06</v>
      </c>
      <c r="G9659" s="78"/>
      <c r="H9659" t="str">
        <f>VLOOKUP(B9659,indexy!$A$44:$D$823,3,FALSE)</f>
        <v>VOD LN Equity</v>
      </c>
    </row>
    <row r="9660" spans="1:8" hidden="1" outlineLevel="1" x14ac:dyDescent="0.25">
      <c r="A9660" s="1920">
        <v>0.03</v>
      </c>
      <c r="B9660" s="1813" t="s">
        <v>1211</v>
      </c>
      <c r="C9660" s="1902">
        <v>36.39</v>
      </c>
      <c r="D9660" s="3196">
        <v>66.27</v>
      </c>
      <c r="E9660" s="3025">
        <v>0.82110469909315742</v>
      </c>
      <c r="F9660" s="3198">
        <v>0.06</v>
      </c>
      <c r="G9660" s="78"/>
      <c r="H9660" t="str">
        <f>VLOOKUP(B9660,indexy!$A$44:$D$823,3,FALSE)</f>
        <v>WM UN Equity</v>
      </c>
    </row>
    <row r="9661" spans="1:8" hidden="1" outlineLevel="1" x14ac:dyDescent="0.25">
      <c r="A9661" s="1920">
        <v>0.03</v>
      </c>
      <c r="B9661" s="1813" t="s">
        <v>4550</v>
      </c>
      <c r="C9661" s="1902">
        <v>247.46</v>
      </c>
      <c r="D9661" s="3196">
        <v>239.4</v>
      </c>
      <c r="E9661" s="3025">
        <v>-3.2570920552816629E-2</v>
      </c>
      <c r="F9661" s="3198">
        <v>-3.2570920552816629E-2</v>
      </c>
      <c r="G9661" s="78"/>
      <c r="H9661" t="str">
        <f>VLOOKUP(B9661,indexy!$A$44:$D$823,3,FALSE)</f>
        <v>ZURN SE Equity</v>
      </c>
    </row>
    <row r="9662" spans="1:8" hidden="1" outlineLevel="1" x14ac:dyDescent="0.25">
      <c r="A9662" s="1897" t="s">
        <v>2465</v>
      </c>
      <c r="B9662" s="1931"/>
      <c r="C9662" s="1932"/>
      <c r="D9662" s="3030"/>
      <c r="E9662" s="3078">
        <v>0.51831384928152779</v>
      </c>
      <c r="F9662" s="3385">
        <v>-1.6846859622754767E-2</v>
      </c>
      <c r="G9662" s="78"/>
    </row>
    <row r="9663" spans="1:8" hidden="1" outlineLevel="1" x14ac:dyDescent="0.25">
      <c r="A9663" s="2153"/>
      <c r="B9663" s="3183"/>
      <c r="C9663" s="3183"/>
      <c r="D9663" s="3183"/>
      <c r="E9663" s="3183"/>
      <c r="F9663" s="3508"/>
      <c r="G9663" s="78"/>
    </row>
    <row r="9664" spans="1:8" hidden="1" outlineLevel="1" x14ac:dyDescent="0.25">
      <c r="A9664" s="3035" t="s">
        <v>113</v>
      </c>
      <c r="B9664" s="3035"/>
      <c r="C9664" s="3042"/>
      <c r="D9664" s="3042"/>
      <c r="E9664" s="2984"/>
      <c r="F9664" s="3181"/>
      <c r="G9664" s="78"/>
    </row>
    <row r="9665" spans="1:12" hidden="1" outlineLevel="1" x14ac:dyDescent="0.25">
      <c r="A9665" s="1810" t="s">
        <v>4343</v>
      </c>
      <c r="B9665" s="3182"/>
      <c r="C9665" s="3183"/>
      <c r="D9665" s="3183"/>
      <c r="E9665" s="2992"/>
      <c r="F9665" s="3193">
        <v>3.5000000000000003E-2</v>
      </c>
      <c r="G9665" s="78"/>
    </row>
    <row r="9666" spans="1:12" hidden="1" outlineLevel="1" x14ac:dyDescent="0.25">
      <c r="A9666" s="1810" t="s">
        <v>4344</v>
      </c>
      <c r="B9666" s="3028"/>
      <c r="C9666" s="3187"/>
      <c r="D9666" s="3187"/>
      <c r="E9666" s="2199"/>
      <c r="F9666" s="3198">
        <v>0</v>
      </c>
      <c r="G9666" s="78"/>
    </row>
    <row r="9667" spans="1:12" hidden="1" outlineLevel="1" x14ac:dyDescent="0.25">
      <c r="A9667" s="1810" t="s">
        <v>4345</v>
      </c>
      <c r="B9667" s="3028"/>
      <c r="C9667" s="3187"/>
      <c r="D9667" s="3187"/>
      <c r="E9667" s="2199"/>
      <c r="F9667" s="3198">
        <v>0</v>
      </c>
      <c r="G9667" s="78"/>
    </row>
    <row r="9668" spans="1:12" hidden="1" outlineLevel="1" x14ac:dyDescent="0.25">
      <c r="A9668" s="1810" t="s">
        <v>4346</v>
      </c>
      <c r="B9668" s="3028"/>
      <c r="C9668" s="3187"/>
      <c r="D9668" s="3187"/>
      <c r="E9668" s="2199"/>
      <c r="F9668" s="3198">
        <v>0</v>
      </c>
      <c r="G9668" s="78"/>
    </row>
    <row r="9669" spans="1:12" hidden="1" outlineLevel="1" x14ac:dyDescent="0.25">
      <c r="A9669" s="1810" t="s">
        <v>4347</v>
      </c>
      <c r="B9669" s="3028"/>
      <c r="C9669" s="3187"/>
      <c r="D9669" s="3187"/>
      <c r="E9669" s="2199"/>
      <c r="F9669" s="3198">
        <v>0</v>
      </c>
      <c r="G9669" s="78"/>
    </row>
    <row r="9670" spans="1:12" collapsed="1" x14ac:dyDescent="0.25">
      <c r="A9670" s="3803" t="s">
        <v>4342</v>
      </c>
      <c r="B9670" s="3804"/>
      <c r="C9670" s="3804"/>
      <c r="D9670" s="3042"/>
      <c r="E9670" s="3042"/>
      <c r="F9670" s="3205">
        <v>3.5000000000000003E-2</v>
      </c>
      <c r="G9670" s="78"/>
    </row>
    <row r="9671" spans="1:12" x14ac:dyDescent="0.25">
      <c r="A9671" s="1813"/>
      <c r="B9671" s="1813"/>
      <c r="C9671" s="1813"/>
      <c r="D9671" s="1813"/>
      <c r="E9671" s="1813"/>
      <c r="F9671" s="3385"/>
    </row>
    <row r="9672" spans="1:12" hidden="1" outlineLevel="1" x14ac:dyDescent="0.25">
      <c r="A9672" s="3180" t="s">
        <v>113</v>
      </c>
      <c r="B9672" s="3180" t="s">
        <v>114</v>
      </c>
      <c r="C9672" s="3180" t="s">
        <v>112</v>
      </c>
      <c r="D9672" s="3180" t="s">
        <v>116</v>
      </c>
      <c r="E9672" s="3180" t="s">
        <v>117</v>
      </c>
      <c r="F9672" s="3181" t="s">
        <v>121</v>
      </c>
      <c r="G9672" s="78"/>
    </row>
    <row r="9673" spans="1:12" hidden="1" outlineLevel="1" x14ac:dyDescent="0.25">
      <c r="A9673" s="3182">
        <v>1</v>
      </c>
      <c r="B9673" s="3183" t="s">
        <v>252</v>
      </c>
      <c r="C9673" s="3184">
        <v>100</v>
      </c>
      <c r="D9673" s="3184"/>
      <c r="E9673" s="3505"/>
      <c r="F9673" s="3502"/>
      <c r="G9673" s="78"/>
    </row>
    <row r="9674" spans="1:12" hidden="1" outlineLevel="1" x14ac:dyDescent="0.25">
      <c r="A9674" s="3187"/>
      <c r="B9674" s="3187"/>
      <c r="C9674" s="3188"/>
      <c r="D9674" s="1900" t="s">
        <v>3702</v>
      </c>
      <c r="E9674" s="3189">
        <v>42704</v>
      </c>
      <c r="F9674" s="3504"/>
      <c r="G9674" s="78"/>
    </row>
    <row r="9675" spans="1:12" hidden="1" outlineLevel="1" x14ac:dyDescent="0.25">
      <c r="A9675" s="3180" t="s">
        <v>4156</v>
      </c>
      <c r="B9675" s="3192" t="s">
        <v>4153</v>
      </c>
      <c r="C9675" s="3507" t="s">
        <v>112</v>
      </c>
      <c r="D9675" s="3192" t="s">
        <v>116</v>
      </c>
      <c r="E9675" s="3192" t="s">
        <v>4154</v>
      </c>
      <c r="F9675" s="3193" t="s">
        <v>2519</v>
      </c>
      <c r="G9675" s="78"/>
      <c r="J9675" t="s">
        <v>2040</v>
      </c>
    </row>
    <row r="9676" spans="1:12" hidden="1" outlineLevel="1" x14ac:dyDescent="0.25">
      <c r="A9676" s="3511">
        <v>0.03</v>
      </c>
      <c r="B9676" s="1813" t="s">
        <v>2917</v>
      </c>
      <c r="C9676" s="2331">
        <v>52.238999999999997</v>
      </c>
      <c r="D9676" s="2222">
        <v>149.4</v>
      </c>
      <c r="E9676" s="3195">
        <v>1.859932234537415</v>
      </c>
      <c r="F9676" s="3193">
        <v>5.5797967036122449E-2</v>
      </c>
      <c r="G9676" s="78"/>
      <c r="H9676" t="s">
        <v>2929</v>
      </c>
      <c r="J9676" s="892">
        <v>42125</v>
      </c>
      <c r="K9676">
        <v>149.72399999999999</v>
      </c>
      <c r="L9676" s="1109">
        <f t="shared" ref="L9676:L9693" si="206">IF(K9676="",L9675,K9676/100-1)</f>
        <v>0.4972399999999999</v>
      </c>
    </row>
    <row r="9677" spans="1:12" hidden="1" outlineLevel="1" x14ac:dyDescent="0.25">
      <c r="A9677" s="3511">
        <v>0.04</v>
      </c>
      <c r="B9677" s="2965" t="s">
        <v>3320</v>
      </c>
      <c r="C9677" s="2331">
        <v>41.647500000000001</v>
      </c>
      <c r="D9677" s="2222">
        <v>104.55</v>
      </c>
      <c r="E9677" s="3197">
        <v>1.5103547631910677</v>
      </c>
      <c r="F9677" s="3198">
        <v>6.0414190527642707E-2</v>
      </c>
      <c r="G9677" s="78"/>
      <c r="H9677" t="s">
        <v>4093</v>
      </c>
      <c r="J9677" s="892">
        <v>42156</v>
      </c>
      <c r="K9677">
        <v>146.15090000000001</v>
      </c>
      <c r="L9677" s="1109">
        <f t="shared" si="206"/>
        <v>0.46150900000000017</v>
      </c>
    </row>
    <row r="9678" spans="1:12" hidden="1" outlineLevel="1" x14ac:dyDescent="0.25">
      <c r="A9678" s="3511">
        <v>0.03</v>
      </c>
      <c r="B9678" s="1813" t="s">
        <v>1141</v>
      </c>
      <c r="C9678" s="2331">
        <v>62.034999999999997</v>
      </c>
      <c r="D9678" s="2222">
        <v>79.37</v>
      </c>
      <c r="E9678" s="3197">
        <v>0.27943902635608953</v>
      </c>
      <c r="F9678" s="3198">
        <v>8.3831707906826848E-3</v>
      </c>
      <c r="G9678" s="78"/>
      <c r="H9678" t="s">
        <v>666</v>
      </c>
      <c r="J9678" s="892">
        <v>42186</v>
      </c>
      <c r="K9678" s="1172">
        <v>154.62450000000001</v>
      </c>
      <c r="L9678" s="1109">
        <f t="shared" si="206"/>
        <v>0.54624500000000009</v>
      </c>
    </row>
    <row r="9679" spans="1:12" hidden="1" outlineLevel="1" x14ac:dyDescent="0.25">
      <c r="A9679" s="3511">
        <v>0.03</v>
      </c>
      <c r="B9679" s="2965" t="s">
        <v>1441</v>
      </c>
      <c r="C9679" s="2331">
        <v>15.441000000000001</v>
      </c>
      <c r="D9679" s="2222">
        <v>11.645</v>
      </c>
      <c r="E9679" s="3197">
        <v>-0.24583900006476267</v>
      </c>
      <c r="F9679" s="3198">
        <v>-7.3751700019428802E-3</v>
      </c>
      <c r="G9679" s="78"/>
      <c r="H9679" t="s">
        <v>1978</v>
      </c>
      <c r="J9679" s="892">
        <v>42217</v>
      </c>
      <c r="K9679">
        <v>143.52209999999999</v>
      </c>
      <c r="L9679" s="1109">
        <f t="shared" si="206"/>
        <v>0.43522099999999986</v>
      </c>
    </row>
    <row r="9680" spans="1:12" hidden="1" outlineLevel="1" x14ac:dyDescent="0.25">
      <c r="A9680" s="3511">
        <v>0.05</v>
      </c>
      <c r="B9680" s="2965" t="s">
        <v>3406</v>
      </c>
      <c r="C9680" s="2331">
        <v>1281.3</v>
      </c>
      <c r="D9680" s="2222">
        <v>2179.5</v>
      </c>
      <c r="E9680" s="3197">
        <v>0.70100678997892762</v>
      </c>
      <c r="F9680" s="3198">
        <v>3.5050339498946384E-2</v>
      </c>
      <c r="G9680" s="78"/>
      <c r="H9680" t="s">
        <v>2105</v>
      </c>
      <c r="J9680" s="892">
        <v>42248</v>
      </c>
      <c r="K9680">
        <v>143.77889999999999</v>
      </c>
      <c r="L9680" s="1109">
        <f t="shared" si="206"/>
        <v>0.43778899999999998</v>
      </c>
    </row>
    <row r="9681" spans="1:12" hidden="1" outlineLevel="1" x14ac:dyDescent="0.25">
      <c r="A9681" s="3511">
        <v>0.04</v>
      </c>
      <c r="B9681" s="2965" t="s">
        <v>3319</v>
      </c>
      <c r="C9681" s="2331">
        <v>41.981499999999997</v>
      </c>
      <c r="D9681" s="2222">
        <v>75.05</v>
      </c>
      <c r="E9681" s="3197">
        <v>0.78769219775377253</v>
      </c>
      <c r="F9681" s="3198">
        <v>3.1507687910150899E-2</v>
      </c>
      <c r="G9681" s="78"/>
      <c r="H9681" t="s">
        <v>1779</v>
      </c>
      <c r="J9681" s="892">
        <v>42278</v>
      </c>
      <c r="K9681">
        <v>158.93770000000001</v>
      </c>
      <c r="L9681" s="1109">
        <f t="shared" si="206"/>
        <v>0.58937700000000004</v>
      </c>
    </row>
    <row r="9682" spans="1:12" hidden="1" outlineLevel="1" x14ac:dyDescent="0.25">
      <c r="A9682" s="3511">
        <v>0.04</v>
      </c>
      <c r="B9682" s="2965" t="s">
        <v>1205</v>
      </c>
      <c r="C9682" s="2331">
        <v>20.245000000000001</v>
      </c>
      <c r="D9682" s="2222">
        <v>27.46</v>
      </c>
      <c r="E9682" s="3197">
        <v>0.35638429241788083</v>
      </c>
      <c r="F9682" s="3198">
        <v>1.4255371696715233E-2</v>
      </c>
      <c r="G9682" s="78"/>
      <c r="H9682" t="s">
        <v>1092</v>
      </c>
      <c r="J9682" s="892">
        <v>42309</v>
      </c>
      <c r="K9682">
        <v>161.38929999999999</v>
      </c>
      <c r="L9682" s="1109">
        <f t="shared" si="206"/>
        <v>0.61389300000000002</v>
      </c>
    </row>
    <row r="9683" spans="1:12" hidden="1" outlineLevel="1" x14ac:dyDescent="0.25">
      <c r="A9683" s="3511">
        <v>0.08</v>
      </c>
      <c r="B9683" s="2965" t="s">
        <v>7573</v>
      </c>
      <c r="C9683" s="2331">
        <v>34.548999999999999</v>
      </c>
      <c r="D9683" s="2222">
        <v>88.95</v>
      </c>
      <c r="E9683" s="3197">
        <v>1.5746041853599237</v>
      </c>
      <c r="F9683" s="3198">
        <v>0.12596833482879391</v>
      </c>
      <c r="G9683" s="78"/>
      <c r="H9683" t="s">
        <v>7571</v>
      </c>
      <c r="J9683" s="892">
        <v>42339</v>
      </c>
      <c r="K9683">
        <v>156.73480000000001</v>
      </c>
      <c r="L9683" s="1109">
        <f t="shared" si="206"/>
        <v>0.56734799999999996</v>
      </c>
    </row>
    <row r="9684" spans="1:12" hidden="1" outlineLevel="1" x14ac:dyDescent="0.25">
      <c r="A9684" s="3511">
        <v>0.05</v>
      </c>
      <c r="B9684" s="2965" t="s">
        <v>816</v>
      </c>
      <c r="C9684" s="2331">
        <v>80.471000000000004</v>
      </c>
      <c r="D9684" s="2222">
        <v>112.57</v>
      </c>
      <c r="E9684" s="3197">
        <v>0.39888904077245213</v>
      </c>
      <c r="F9684" s="3198">
        <v>1.9944452038622607E-2</v>
      </c>
      <c r="G9684" s="78"/>
      <c r="H9684" t="s">
        <v>817</v>
      </c>
      <c r="J9684" s="892">
        <v>42370</v>
      </c>
      <c r="K9684">
        <v>156.4281</v>
      </c>
      <c r="L9684" s="1109">
        <f t="shared" si="206"/>
        <v>0.56428100000000003</v>
      </c>
    </row>
    <row r="9685" spans="1:12" hidden="1" outlineLevel="1" x14ac:dyDescent="0.25">
      <c r="A9685" s="3511">
        <v>0.08</v>
      </c>
      <c r="B9685" s="1813" t="s">
        <v>3797</v>
      </c>
      <c r="C9685" s="2331">
        <v>54.414999999999999</v>
      </c>
      <c r="D9685" s="2222">
        <v>71.75</v>
      </c>
      <c r="E9685" s="3197">
        <v>0.31857024717449245</v>
      </c>
      <c r="F9685" s="3198">
        <v>2.5485619773959398E-2</v>
      </c>
      <c r="G9685" s="78"/>
      <c r="H9685" t="s">
        <v>3848</v>
      </c>
      <c r="J9685" s="892">
        <v>42401</v>
      </c>
      <c r="K9685">
        <v>151.45179999999999</v>
      </c>
      <c r="L9685" s="1109">
        <f t="shared" si="206"/>
        <v>0.51451799999999981</v>
      </c>
    </row>
    <row r="9686" spans="1:12" hidden="1" outlineLevel="1" x14ac:dyDescent="0.25">
      <c r="A9686" s="3511">
        <v>0.04</v>
      </c>
      <c r="B9686" s="2965" t="s">
        <v>1541</v>
      </c>
      <c r="C9686" s="2331">
        <v>42.151499999999999</v>
      </c>
      <c r="D9686" s="2222">
        <v>50.07</v>
      </c>
      <c r="E9686" s="3197">
        <v>0.18785808334222986</v>
      </c>
      <c r="F9686" s="3198">
        <v>7.514323333689195E-3</v>
      </c>
      <c r="G9686" s="78"/>
      <c r="H9686" t="s">
        <v>1696</v>
      </c>
      <c r="J9686" s="892">
        <v>42430</v>
      </c>
      <c r="K9686">
        <v>155.8664</v>
      </c>
      <c r="L9686" s="1109">
        <f t="shared" si="206"/>
        <v>0.55866400000000005</v>
      </c>
    </row>
    <row r="9687" spans="1:12" hidden="1" outlineLevel="1" x14ac:dyDescent="0.25">
      <c r="A9687" s="3511">
        <v>0.05</v>
      </c>
      <c r="B9687" s="2965" t="s">
        <v>1204</v>
      </c>
      <c r="C9687" s="2331">
        <v>70.572000000000003</v>
      </c>
      <c r="D9687" s="2222">
        <v>107.2</v>
      </c>
      <c r="E9687" s="3197">
        <v>0.5190160403559485</v>
      </c>
      <c r="F9687" s="3198">
        <v>2.5950802017797425E-2</v>
      </c>
      <c r="G9687" s="78"/>
      <c r="H9687" t="s">
        <v>2427</v>
      </c>
      <c r="J9687" s="892">
        <v>42461</v>
      </c>
      <c r="K9687">
        <v>155.78030000000001</v>
      </c>
      <c r="L9687" s="1109">
        <f t="shared" si="206"/>
        <v>0.55780300000000005</v>
      </c>
    </row>
    <row r="9688" spans="1:12" hidden="1" outlineLevel="1" x14ac:dyDescent="0.25">
      <c r="A9688" s="3511">
        <v>0.03</v>
      </c>
      <c r="B9688" s="2965" t="s">
        <v>4044</v>
      </c>
      <c r="C9688" s="2331">
        <v>68.921000000000006</v>
      </c>
      <c r="D9688" s="2222">
        <v>108.35</v>
      </c>
      <c r="E9688" s="3197">
        <v>0.572089783955543</v>
      </c>
      <c r="F9688" s="3198">
        <v>1.716269351866629E-2</v>
      </c>
      <c r="G9688" s="78"/>
      <c r="H9688" t="s">
        <v>4045</v>
      </c>
      <c r="J9688" s="892">
        <v>42491</v>
      </c>
      <c r="K9688">
        <v>157.0419</v>
      </c>
      <c r="L9688" s="1109">
        <f t="shared" si="206"/>
        <v>0.57041900000000001</v>
      </c>
    </row>
    <row r="9689" spans="1:12" hidden="1" outlineLevel="1" x14ac:dyDescent="0.25">
      <c r="A9689" s="3512">
        <v>0.04</v>
      </c>
      <c r="B9689" s="1813" t="s">
        <v>6450</v>
      </c>
      <c r="C9689" s="3513">
        <v>119.70067816000261</v>
      </c>
      <c r="D9689" s="2222">
        <v>202.05</v>
      </c>
      <c r="E9689" s="3197">
        <v>0.68796036167749985</v>
      </c>
      <c r="F9689" s="3198">
        <v>2.7518414467099996E-2</v>
      </c>
      <c r="G9689" s="78"/>
      <c r="H9689" t="s">
        <v>6448</v>
      </c>
      <c r="J9689" s="892">
        <v>42522</v>
      </c>
      <c r="K9689">
        <v>158.68209999999999</v>
      </c>
      <c r="L9689" s="1109">
        <f t="shared" si="206"/>
        <v>0.58682099999999981</v>
      </c>
    </row>
    <row r="9690" spans="1:12" hidden="1" outlineLevel="1" x14ac:dyDescent="0.25">
      <c r="A9690" s="3511">
        <v>0.08</v>
      </c>
      <c r="B9690" s="2965" t="s">
        <v>3023</v>
      </c>
      <c r="C9690" s="2331">
        <v>66.495999999999995</v>
      </c>
      <c r="D9690" s="2222">
        <v>86.8</v>
      </c>
      <c r="E9690" s="3197">
        <v>0.3053416746871993</v>
      </c>
      <c r="F9690" s="3198">
        <v>2.4427333974975946E-2</v>
      </c>
      <c r="G9690" s="78"/>
      <c r="H9690" t="s">
        <v>2815</v>
      </c>
      <c r="J9690" s="892">
        <v>42552</v>
      </c>
      <c r="K9690">
        <v>162.0147</v>
      </c>
      <c r="L9690" s="1109">
        <f t="shared" si="206"/>
        <v>0.620147</v>
      </c>
    </row>
    <row r="9691" spans="1:12" hidden="1" outlineLevel="1" x14ac:dyDescent="0.25">
      <c r="A9691" s="3511">
        <v>0.08</v>
      </c>
      <c r="B9691" s="2965" t="s">
        <v>577</v>
      </c>
      <c r="C9691" s="2331">
        <v>16.716490860714877</v>
      </c>
      <c r="D9691" s="2222">
        <v>9.26</v>
      </c>
      <c r="E9691" s="3197">
        <v>-0.44605598883425002</v>
      </c>
      <c r="F9691" s="3198">
        <v>-3.5684479106740004E-2</v>
      </c>
      <c r="G9691" s="78"/>
      <c r="H9691" t="s">
        <v>2804</v>
      </c>
      <c r="J9691" s="892">
        <v>42583</v>
      </c>
      <c r="K9691">
        <v>162.9958</v>
      </c>
      <c r="L9691" s="1109">
        <f t="shared" si="206"/>
        <v>0.62995800000000002</v>
      </c>
    </row>
    <row r="9692" spans="1:12" hidden="1" outlineLevel="1" x14ac:dyDescent="0.25">
      <c r="A9692" s="3511">
        <v>0.05</v>
      </c>
      <c r="B9692" s="2965" t="s">
        <v>1142</v>
      </c>
      <c r="C9692" s="2331">
        <v>33.878999999999998</v>
      </c>
      <c r="D9692" s="2222">
        <v>42.4</v>
      </c>
      <c r="E9692" s="3197">
        <v>0.25151273650343864</v>
      </c>
      <c r="F9692" s="3198">
        <v>1.2575636825171932E-2</v>
      </c>
      <c r="G9692" s="78"/>
      <c r="H9692" t="s">
        <v>1143</v>
      </c>
      <c r="J9692" s="892">
        <v>42614</v>
      </c>
      <c r="K9692">
        <v>163.2439</v>
      </c>
      <c r="L9692" s="1109">
        <f t="shared" si="206"/>
        <v>0.63243899999999997</v>
      </c>
    </row>
    <row r="9693" spans="1:12" hidden="1" outlineLevel="1" x14ac:dyDescent="0.25">
      <c r="A9693" s="3511">
        <v>0.08</v>
      </c>
      <c r="B9693" s="1813" t="s">
        <v>1183</v>
      </c>
      <c r="C9693" s="2331">
        <v>41.077500000000001</v>
      </c>
      <c r="D9693" s="2222">
        <v>43.72</v>
      </c>
      <c r="E9693" s="3197">
        <v>6.4329620838658563E-2</v>
      </c>
      <c r="F9693" s="3198">
        <v>5.1463696670926854E-3</v>
      </c>
      <c r="G9693" s="78"/>
      <c r="H9693" t="s">
        <v>2805</v>
      </c>
      <c r="J9693" s="892">
        <v>42644</v>
      </c>
      <c r="K9693">
        <v>161.15860000000001</v>
      </c>
      <c r="L9693" s="1109">
        <f t="shared" si="206"/>
        <v>0.61158599999999996</v>
      </c>
    </row>
    <row r="9694" spans="1:12" hidden="1" outlineLevel="1" x14ac:dyDescent="0.25">
      <c r="A9694" s="3511">
        <v>0.05</v>
      </c>
      <c r="B9694" s="2965" t="s">
        <v>507</v>
      </c>
      <c r="C9694" s="2331">
        <v>22.828499999999998</v>
      </c>
      <c r="D9694" s="2222">
        <v>38.18</v>
      </c>
      <c r="E9694" s="3197">
        <v>0.67247081499003447</v>
      </c>
      <c r="F9694" s="3198">
        <v>3.3623540749501725E-2</v>
      </c>
      <c r="G9694" s="78"/>
      <c r="H9694" t="s">
        <v>2810</v>
      </c>
      <c r="J9694" s="1173" t="s">
        <v>2465</v>
      </c>
      <c r="L9694" s="1630">
        <f>AVERAGE(L9676:L9693)</f>
        <v>0.5552921111111111</v>
      </c>
    </row>
    <row r="9695" spans="1:12" hidden="1" outlineLevel="1" x14ac:dyDescent="0.25">
      <c r="A9695" s="3511">
        <v>0.03</v>
      </c>
      <c r="B9695" s="3109" t="s">
        <v>1144</v>
      </c>
      <c r="C9695" s="2331">
        <v>19.974749998425988</v>
      </c>
      <c r="D9695" s="3030">
        <v>82.51</v>
      </c>
      <c r="E9695" s="2695">
        <v>3.1307150280480007</v>
      </c>
      <c r="F9695" s="2989">
        <v>9.3921450841440018E-2</v>
      </c>
      <c r="G9695" s="78"/>
      <c r="H9695" t="s">
        <v>1145</v>
      </c>
      <c r="J9695" s="412"/>
      <c r="L9695" s="362"/>
    </row>
    <row r="9696" spans="1:12" hidden="1" outlineLevel="1" x14ac:dyDescent="0.25">
      <c r="A9696" s="1813"/>
      <c r="B9696" s="1813"/>
      <c r="C9696" s="3188"/>
      <c r="D9696" s="3188"/>
      <c r="E9696" s="3197"/>
      <c r="F9696" s="2909">
        <v>0.58158805038838868</v>
      </c>
      <c r="G9696" s="78"/>
    </row>
    <row r="9697" spans="1:15" ht="13.8" collapsed="1" x14ac:dyDescent="0.3">
      <c r="A9697" s="3801" t="s">
        <v>1140</v>
      </c>
      <c r="B9697" s="3802"/>
      <c r="C9697" s="3802"/>
      <c r="D9697" s="3802"/>
      <c r="E9697" s="3506"/>
      <c r="F9697" s="3205">
        <v>0.5552921111111111</v>
      </c>
      <c r="G9697" s="78"/>
      <c r="J9697" s="370"/>
      <c r="K9697" s="1354"/>
      <c r="L9697" s="1354"/>
      <c r="M9697" s="1354"/>
      <c r="N9697" s="370"/>
      <c r="O9697" s="370"/>
    </row>
    <row r="9698" spans="1:15" x14ac:dyDescent="0.25">
      <c r="A9698" s="1813"/>
      <c r="B9698" s="1813"/>
      <c r="C9698" s="1813"/>
      <c r="D9698" s="1813"/>
      <c r="E9698" s="1813"/>
      <c r="F9698" s="3385"/>
    </row>
    <row r="9699" spans="1:15" hidden="1" outlineLevel="1" x14ac:dyDescent="0.25">
      <c r="A9699" s="3237" t="s">
        <v>113</v>
      </c>
      <c r="B9699" s="3237" t="s">
        <v>114</v>
      </c>
      <c r="C9699" s="3237" t="s">
        <v>112</v>
      </c>
      <c r="D9699" s="3237" t="s">
        <v>116</v>
      </c>
      <c r="E9699" s="3237" t="s">
        <v>117</v>
      </c>
      <c r="F9699" s="3276" t="s">
        <v>121</v>
      </c>
      <c r="G9699" s="78"/>
    </row>
    <row r="9700" spans="1:15" hidden="1" outlineLevel="1" x14ac:dyDescent="0.25">
      <c r="A9700" s="3187"/>
      <c r="B9700" s="3187"/>
      <c r="C9700" s="3188"/>
      <c r="D9700" s="1900" t="s">
        <v>3702</v>
      </c>
      <c r="E9700" s="3189">
        <v>42674</v>
      </c>
      <c r="F9700" s="3504"/>
      <c r="G9700" s="695"/>
    </row>
    <row r="9701" spans="1:15" hidden="1" outlineLevel="1" x14ac:dyDescent="0.25">
      <c r="A9701" s="3192" t="s">
        <v>4156</v>
      </c>
      <c r="B9701" s="3180" t="s">
        <v>4153</v>
      </c>
      <c r="C9701" s="3507" t="s">
        <v>112</v>
      </c>
      <c r="D9701" s="3180" t="s">
        <v>4155</v>
      </c>
      <c r="E9701" s="3192" t="s">
        <v>4154</v>
      </c>
      <c r="F9701" s="3193" t="s">
        <v>734</v>
      </c>
      <c r="G9701" s="695"/>
    </row>
    <row r="9702" spans="1:15" hidden="1" outlineLevel="1" x14ac:dyDescent="0.25">
      <c r="A9702" s="2888">
        <v>7.0000000000000007E-2</v>
      </c>
      <c r="B9702" s="2193" t="s">
        <v>2942</v>
      </c>
      <c r="C9702" s="2331">
        <v>623.20000000000005</v>
      </c>
      <c r="D9702" s="3024">
        <v>1559.5</v>
      </c>
      <c r="E9702" s="3195">
        <v>1.5024069319640563</v>
      </c>
      <c r="F9702" s="3193">
        <v>0.08</v>
      </c>
      <c r="G9702" s="695"/>
      <c r="H9702" t="s">
        <v>2336</v>
      </c>
    </row>
    <row r="9703" spans="1:15" hidden="1" outlineLevel="1" x14ac:dyDescent="0.25">
      <c r="A9703" s="1920">
        <v>0.02</v>
      </c>
      <c r="B9703" s="2198" t="s">
        <v>805</v>
      </c>
      <c r="C9703" s="2331">
        <v>60.783999999999999</v>
      </c>
      <c r="D9703" s="3024">
        <v>85.36</v>
      </c>
      <c r="E9703" s="3197">
        <v>0.40431692550671228</v>
      </c>
      <c r="F9703" s="3198">
        <v>0.08</v>
      </c>
      <c r="G9703" s="695"/>
      <c r="H9703" t="s">
        <v>806</v>
      </c>
    </row>
    <row r="9704" spans="1:15" hidden="1" outlineLevel="1" x14ac:dyDescent="0.25">
      <c r="A9704" s="1920">
        <v>0.03</v>
      </c>
      <c r="B9704" s="2198" t="s">
        <v>4377</v>
      </c>
      <c r="C9704" s="2331">
        <v>28.768000000000001</v>
      </c>
      <c r="D9704" s="3024">
        <v>50.91</v>
      </c>
      <c r="E9704" s="3197">
        <v>0.76967463848720774</v>
      </c>
      <c r="F9704" s="3198">
        <v>0.08</v>
      </c>
      <c r="G9704" s="695"/>
      <c r="H9704" t="s">
        <v>4327</v>
      </c>
    </row>
    <row r="9705" spans="1:15" hidden="1" outlineLevel="1" x14ac:dyDescent="0.25">
      <c r="A9705" s="1920">
        <v>0.05</v>
      </c>
      <c r="B9705" s="2198" t="s">
        <v>3954</v>
      </c>
      <c r="C9705" s="2331">
        <v>81.872</v>
      </c>
      <c r="D9705" s="3024">
        <v>100.5</v>
      </c>
      <c r="E9705" s="3197">
        <v>0.22752589407856161</v>
      </c>
      <c r="F9705" s="3198">
        <v>0.08</v>
      </c>
      <c r="G9705" s="695"/>
      <c r="H9705" t="s">
        <v>3955</v>
      </c>
    </row>
    <row r="9706" spans="1:15" hidden="1" outlineLevel="1" x14ac:dyDescent="0.25">
      <c r="A9706" s="1920">
        <v>0.02</v>
      </c>
      <c r="B9706" s="3514" t="s">
        <v>4332</v>
      </c>
      <c r="C9706" s="2331">
        <v>311.52</v>
      </c>
      <c r="D9706" s="3024">
        <v>214.2</v>
      </c>
      <c r="E9706" s="3197">
        <v>-0.31240369799691836</v>
      </c>
      <c r="F9706" s="3198">
        <v>-0.31240369799691836</v>
      </c>
      <c r="G9706" s="695"/>
      <c r="H9706" t="s">
        <v>4334</v>
      </c>
    </row>
    <row r="9707" spans="1:15" hidden="1" outlineLevel="1" x14ac:dyDescent="0.25">
      <c r="A9707" s="1920">
        <v>0.08</v>
      </c>
      <c r="B9707" s="2198" t="s">
        <v>1319</v>
      </c>
      <c r="C9707" s="2331">
        <v>53.533999999999999</v>
      </c>
      <c r="D9707" s="3024">
        <v>75.55</v>
      </c>
      <c r="E9707" s="3197">
        <v>0.41125266185975273</v>
      </c>
      <c r="F9707" s="3198">
        <v>0.08</v>
      </c>
      <c r="G9707" s="695"/>
      <c r="H9707" t="s">
        <v>1320</v>
      </c>
    </row>
    <row r="9708" spans="1:15" hidden="1" outlineLevel="1" x14ac:dyDescent="0.25">
      <c r="A9708" s="1920">
        <v>0.02</v>
      </c>
      <c r="B9708" s="2198" t="s">
        <v>3798</v>
      </c>
      <c r="C9708" s="2331">
        <v>4.6760000000000002</v>
      </c>
      <c r="D9708" s="3024">
        <v>3.92</v>
      </c>
      <c r="E9708" s="3197">
        <v>-0.16167664670658688</v>
      </c>
      <c r="F9708" s="3198">
        <v>-0.16167664670658688</v>
      </c>
      <c r="G9708" s="695"/>
      <c r="H9708" t="s">
        <v>4122</v>
      </c>
    </row>
    <row r="9709" spans="1:15" hidden="1" outlineLevel="1" x14ac:dyDescent="0.25">
      <c r="A9709" s="1920">
        <v>0.02</v>
      </c>
      <c r="B9709" s="3028" t="s">
        <v>5824</v>
      </c>
      <c r="C9709" s="2331">
        <v>15.698</v>
      </c>
      <c r="D9709" s="3024">
        <v>14.35</v>
      </c>
      <c r="E9709" s="3197">
        <v>-8.5870811568352745E-2</v>
      </c>
      <c r="F9709" s="3198">
        <v>-8.5870811568352745E-2</v>
      </c>
      <c r="G9709" s="695"/>
      <c r="H9709" t="s">
        <v>5817</v>
      </c>
    </row>
    <row r="9710" spans="1:15" hidden="1" outlineLevel="1" x14ac:dyDescent="0.25">
      <c r="A9710" s="1920">
        <v>0.02</v>
      </c>
      <c r="B9710" s="2198" t="s">
        <v>3269</v>
      </c>
      <c r="C9710" s="2331">
        <v>13.37</v>
      </c>
      <c r="D9710" s="3024">
        <v>17.975000000000001</v>
      </c>
      <c r="E9710" s="3197">
        <v>0.34442782348541523</v>
      </c>
      <c r="F9710" s="3198">
        <v>0.08</v>
      </c>
      <c r="G9710" s="695"/>
      <c r="H9710" t="s">
        <v>3270</v>
      </c>
    </row>
    <row r="9711" spans="1:15" hidden="1" outlineLevel="1" x14ac:dyDescent="0.25">
      <c r="A9711" s="1920">
        <v>0.08</v>
      </c>
      <c r="B9711" s="2198" t="s">
        <v>1381</v>
      </c>
      <c r="C9711" s="2331">
        <v>67.525999999999996</v>
      </c>
      <c r="D9711" s="3024">
        <v>114.41</v>
      </c>
      <c r="E9711" s="3197">
        <v>0.69431033972099643</v>
      </c>
      <c r="F9711" s="3198">
        <v>0.08</v>
      </c>
      <c r="G9711" s="695"/>
      <c r="H9711" t="s">
        <v>1383</v>
      </c>
    </row>
    <row r="9712" spans="1:15" hidden="1" outlineLevel="1" x14ac:dyDescent="0.25">
      <c r="A9712" s="1920">
        <v>0.05</v>
      </c>
      <c r="B9712" s="2198" t="s">
        <v>4143</v>
      </c>
      <c r="C9712" s="2331">
        <v>10.557</v>
      </c>
      <c r="D9712" s="3024">
        <v>2.9710000000000001</v>
      </c>
      <c r="E9712" s="3197">
        <v>-0.71857535284645258</v>
      </c>
      <c r="F9712" s="3198">
        <v>-0.71857535284645258</v>
      </c>
      <c r="G9712" s="695"/>
      <c r="H9712" t="s">
        <v>4144</v>
      </c>
    </row>
    <row r="9713" spans="1:8" hidden="1" outlineLevel="1" x14ac:dyDescent="0.25">
      <c r="A9713" s="1920">
        <v>0.05</v>
      </c>
      <c r="B9713" s="2965" t="s">
        <v>7573</v>
      </c>
      <c r="C9713" s="2331">
        <v>34.271999999999998</v>
      </c>
      <c r="D9713" s="3024">
        <v>88.95</v>
      </c>
      <c r="E9713" s="3197">
        <v>1.5954131652661068</v>
      </c>
      <c r="F9713" s="3198">
        <v>0.08</v>
      </c>
      <c r="G9713" s="695"/>
      <c r="H9713" t="s">
        <v>7571</v>
      </c>
    </row>
    <row r="9714" spans="1:8" hidden="1" outlineLevel="1" x14ac:dyDescent="0.25">
      <c r="A9714" s="1920">
        <v>0.02</v>
      </c>
      <c r="B9714" s="2198" t="s">
        <v>3956</v>
      </c>
      <c r="C9714" s="2331">
        <v>769.1</v>
      </c>
      <c r="D9714" s="3024">
        <v>999</v>
      </c>
      <c r="E9714" s="3197">
        <v>0.29892081653881153</v>
      </c>
      <c r="F9714" s="3198">
        <v>0.08</v>
      </c>
      <c r="G9714" s="695"/>
      <c r="H9714" t="s">
        <v>3957</v>
      </c>
    </row>
    <row r="9715" spans="1:8" hidden="1" outlineLevel="1" x14ac:dyDescent="0.25">
      <c r="A9715" s="1920">
        <v>0.02</v>
      </c>
      <c r="B9715" s="2198" t="s">
        <v>1905</v>
      </c>
      <c r="C9715" s="2331">
        <v>36.694000000000003</v>
      </c>
      <c r="D9715" s="3024">
        <v>58.72</v>
      </c>
      <c r="E9715" s="3197">
        <v>0.60026162315364906</v>
      </c>
      <c r="F9715" s="3198">
        <v>0.08</v>
      </c>
      <c r="G9715" s="695"/>
      <c r="H9715" t="s">
        <v>504</v>
      </c>
    </row>
    <row r="9716" spans="1:8" hidden="1" outlineLevel="1" x14ac:dyDescent="0.25">
      <c r="A9716" s="1920">
        <v>0.05</v>
      </c>
      <c r="B9716" s="2198" t="s">
        <v>2786</v>
      </c>
      <c r="C9716" s="2331">
        <v>623.1</v>
      </c>
      <c r="D9716" s="3024">
        <v>1065</v>
      </c>
      <c r="E9716" s="3197">
        <v>0.70919595570534422</v>
      </c>
      <c r="F9716" s="3198">
        <v>0.08</v>
      </c>
      <c r="G9716" s="695"/>
      <c r="H9716" t="s">
        <v>4195</v>
      </c>
    </row>
    <row r="9717" spans="1:8" hidden="1" outlineLevel="1" x14ac:dyDescent="0.25">
      <c r="A9717" s="1920">
        <v>0.02</v>
      </c>
      <c r="B9717" s="2198" t="s">
        <v>2787</v>
      </c>
      <c r="C9717" s="2331">
        <v>53.15</v>
      </c>
      <c r="D9717" s="3024">
        <v>70.400000000000006</v>
      </c>
      <c r="E9717" s="3197">
        <v>0.32455315145813746</v>
      </c>
      <c r="F9717" s="3198">
        <v>0.08</v>
      </c>
      <c r="G9717" s="695"/>
      <c r="H9717" t="s">
        <v>80</v>
      </c>
    </row>
    <row r="9718" spans="1:8" hidden="1" outlineLevel="1" x14ac:dyDescent="0.25">
      <c r="A9718" s="1920">
        <v>0.02</v>
      </c>
      <c r="B9718" s="2198" t="s">
        <v>3958</v>
      </c>
      <c r="C9718" s="2331">
        <v>1150.2</v>
      </c>
      <c r="D9718" s="3024">
        <v>757.5</v>
      </c>
      <c r="E9718" s="3197">
        <v>-0.3414188836724048</v>
      </c>
      <c r="F9718" s="3198">
        <v>-0.3414188836724048</v>
      </c>
      <c r="G9718" s="695"/>
      <c r="H9718" t="s">
        <v>3959</v>
      </c>
    </row>
    <row r="9719" spans="1:8" hidden="1" outlineLevel="1" x14ac:dyDescent="0.25">
      <c r="A9719" s="1920">
        <v>0.02</v>
      </c>
      <c r="B9719" s="2198" t="s">
        <v>5121</v>
      </c>
      <c r="C9719" s="2331">
        <v>547.5</v>
      </c>
      <c r="D9719" s="3024">
        <v>1461</v>
      </c>
      <c r="E9719" s="3197">
        <v>1.6684931506849314</v>
      </c>
      <c r="F9719" s="3198">
        <v>0.08</v>
      </c>
      <c r="G9719" s="695"/>
      <c r="H9719" t="s">
        <v>5119</v>
      </c>
    </row>
    <row r="9720" spans="1:8" hidden="1" outlineLevel="1" x14ac:dyDescent="0.25">
      <c r="A9720" s="1920">
        <v>7.0000000000000007E-2</v>
      </c>
      <c r="B9720" s="2198" t="s">
        <v>3800</v>
      </c>
      <c r="C9720" s="2331">
        <v>146.26</v>
      </c>
      <c r="D9720" s="3024">
        <v>227.5</v>
      </c>
      <c r="E9720" s="3197">
        <v>0.55544920005469711</v>
      </c>
      <c r="F9720" s="3198">
        <v>0.08</v>
      </c>
      <c r="G9720" s="695"/>
      <c r="H9720" t="s">
        <v>2817</v>
      </c>
    </row>
    <row r="9721" spans="1:8" hidden="1" outlineLevel="1" x14ac:dyDescent="0.25">
      <c r="A9721" s="1920">
        <v>0.02</v>
      </c>
      <c r="B9721" s="2198" t="s">
        <v>102</v>
      </c>
      <c r="C9721" s="2331">
        <v>614.29999999999995</v>
      </c>
      <c r="D9721" s="3024">
        <v>552.5</v>
      </c>
      <c r="E9721" s="3197">
        <v>-0.10060231157414934</v>
      </c>
      <c r="F9721" s="3198">
        <v>-0.10060231157414934</v>
      </c>
      <c r="G9721" s="695"/>
      <c r="H9721" t="s">
        <v>101</v>
      </c>
    </row>
    <row r="9722" spans="1:8" hidden="1" outlineLevel="1" x14ac:dyDescent="0.25">
      <c r="A9722" s="1920">
        <v>0.02</v>
      </c>
      <c r="B9722" s="2198" t="s">
        <v>2728</v>
      </c>
      <c r="C9722" s="2331">
        <v>58.567999999999998</v>
      </c>
      <c r="D9722" s="3024">
        <v>83.8</v>
      </c>
      <c r="E9722" s="3197">
        <v>0.43081546236852897</v>
      </c>
      <c r="F9722" s="3198">
        <v>0.08</v>
      </c>
      <c r="G9722" s="695"/>
      <c r="H9722" t="s">
        <v>258</v>
      </c>
    </row>
    <row r="9723" spans="1:8" hidden="1" outlineLevel="1" x14ac:dyDescent="0.25">
      <c r="A9723" s="1920">
        <v>0.02</v>
      </c>
      <c r="B9723" s="2198" t="s">
        <v>1857</v>
      </c>
      <c r="C9723" s="2331">
        <v>1333.4</v>
      </c>
      <c r="D9723" s="3024">
        <v>1591</v>
      </c>
      <c r="E9723" s="3197">
        <v>0.19319034048297579</v>
      </c>
      <c r="F9723" s="3198">
        <v>0.08</v>
      </c>
      <c r="G9723" s="695"/>
      <c r="H9723" t="s">
        <v>3559</v>
      </c>
    </row>
    <row r="9724" spans="1:8" hidden="1" outlineLevel="1" x14ac:dyDescent="0.25">
      <c r="A9724" s="1920">
        <v>0.02</v>
      </c>
      <c r="B9724" s="3028" t="s">
        <v>4460</v>
      </c>
      <c r="C9724" s="2331">
        <v>1491</v>
      </c>
      <c r="D9724" s="3024">
        <v>2328</v>
      </c>
      <c r="E9724" s="3197">
        <v>0.56136820925553321</v>
      </c>
      <c r="F9724" s="3198">
        <v>0.08</v>
      </c>
      <c r="G9724" s="695"/>
      <c r="H9724" t="s">
        <v>3485</v>
      </c>
    </row>
    <row r="9725" spans="1:8" hidden="1" outlineLevel="1" x14ac:dyDescent="0.25">
      <c r="A9725" s="1920">
        <v>0.02</v>
      </c>
      <c r="B9725" s="3028" t="s">
        <v>3960</v>
      </c>
      <c r="C9725" s="2331">
        <v>219.26</v>
      </c>
      <c r="D9725" s="3024">
        <v>337.8</v>
      </c>
      <c r="E9725" s="3197">
        <v>0.54063668703821954</v>
      </c>
      <c r="F9725" s="3198">
        <v>0.08</v>
      </c>
      <c r="G9725" s="695"/>
      <c r="H9725" t="s">
        <v>8828</v>
      </c>
    </row>
    <row r="9726" spans="1:8" hidden="1" outlineLevel="1" x14ac:dyDescent="0.25">
      <c r="A9726" s="1920">
        <v>7.0000000000000007E-2</v>
      </c>
      <c r="B9726" s="2198" t="s">
        <v>3022</v>
      </c>
      <c r="C9726" s="2331">
        <v>3905</v>
      </c>
      <c r="D9726" s="3024">
        <v>4700</v>
      </c>
      <c r="E9726" s="3197">
        <v>0.20358514724711907</v>
      </c>
      <c r="F9726" s="3198">
        <v>0.08</v>
      </c>
      <c r="G9726" s="695"/>
      <c r="H9726" t="s">
        <v>2802</v>
      </c>
    </row>
    <row r="9727" spans="1:8" hidden="1" outlineLevel="1" x14ac:dyDescent="0.25">
      <c r="A9727" s="1920">
        <v>0.02</v>
      </c>
      <c r="B9727" s="2198" t="s">
        <v>434</v>
      </c>
      <c r="C9727" s="2331">
        <v>49.375999999999998</v>
      </c>
      <c r="D9727" s="3024">
        <v>36.1</v>
      </c>
      <c r="E9727" s="3197">
        <v>-0.26887556707712246</v>
      </c>
      <c r="F9727" s="3198">
        <v>-0.26887556707712246</v>
      </c>
      <c r="G9727" s="695"/>
      <c r="H9727" t="s">
        <v>7745</v>
      </c>
    </row>
    <row r="9728" spans="1:8" hidden="1" outlineLevel="1" x14ac:dyDescent="0.25">
      <c r="A9728" s="1920">
        <v>0.02</v>
      </c>
      <c r="B9728" s="2198" t="s">
        <v>2983</v>
      </c>
      <c r="C9728" s="2331">
        <v>621.70000000000005</v>
      </c>
      <c r="D9728" s="3024">
        <v>940</v>
      </c>
      <c r="E9728" s="3197">
        <v>0.51198327167444102</v>
      </c>
      <c r="F9728" s="3198">
        <v>0.08</v>
      </c>
      <c r="G9728" s="695"/>
      <c r="H9728" t="s">
        <v>1713</v>
      </c>
    </row>
    <row r="9729" spans="1:9" hidden="1" outlineLevel="1" x14ac:dyDescent="0.25">
      <c r="A9729" s="1920">
        <v>0.02</v>
      </c>
      <c r="B9729" s="2198" t="s">
        <v>579</v>
      </c>
      <c r="C9729" s="2331">
        <v>168.95</v>
      </c>
      <c r="D9729" s="3024">
        <v>224.8</v>
      </c>
      <c r="E9729" s="2892">
        <v>0.33057117490381782</v>
      </c>
      <c r="F9729" s="3198">
        <v>0.08</v>
      </c>
      <c r="G9729" s="695"/>
      <c r="H9729" t="s">
        <v>3611</v>
      </c>
    </row>
    <row r="9730" spans="1:9" hidden="1" outlineLevel="1" x14ac:dyDescent="0.25">
      <c r="A9730" s="1920">
        <v>0.02</v>
      </c>
      <c r="B9730" s="2198" t="s">
        <v>1211</v>
      </c>
      <c r="C9730" s="2331">
        <v>38.880000000000003</v>
      </c>
      <c r="D9730" s="3024">
        <v>65.66</v>
      </c>
      <c r="E9730" s="2892">
        <v>0.68878600823045244</v>
      </c>
      <c r="F9730" s="3198">
        <v>0.08</v>
      </c>
      <c r="G9730" s="695"/>
      <c r="H9730" t="s">
        <v>685</v>
      </c>
    </row>
    <row r="9731" spans="1:9" hidden="1" outlineLevel="1" x14ac:dyDescent="0.25">
      <c r="A9731" s="2894">
        <v>0.02</v>
      </c>
      <c r="B9731" s="3039" t="s">
        <v>4550</v>
      </c>
      <c r="C9731" s="2331">
        <v>233.6</v>
      </c>
      <c r="D9731" s="2227">
        <v>258.89999999999998</v>
      </c>
      <c r="E9731" s="2897">
        <v>0.10830479452054798</v>
      </c>
      <c r="F9731" s="2989">
        <v>0.08</v>
      </c>
      <c r="G9731" s="695"/>
      <c r="H9731" t="s">
        <v>4551</v>
      </c>
    </row>
    <row r="9732" spans="1:9" hidden="1" outlineLevel="1" x14ac:dyDescent="0.25">
      <c r="A9732" s="2899" t="s">
        <v>2465</v>
      </c>
      <c r="B9732" s="1813"/>
      <c r="C9732" s="1813"/>
      <c r="D9732" s="3113"/>
      <c r="E9732" s="1813">
        <v>0.47522978235399804</v>
      </c>
      <c r="F9732" s="3385">
        <v>5.0542739857666798E-3</v>
      </c>
      <c r="G9732" s="695"/>
    </row>
    <row r="9733" spans="1:9" hidden="1" outlineLevel="1" x14ac:dyDescent="0.25">
      <c r="A9733" s="1813"/>
      <c r="B9733" s="1813"/>
      <c r="C9733" s="2550"/>
      <c r="D9733" s="2564"/>
      <c r="E9733" s="3197"/>
      <c r="F9733" s="2909"/>
      <c r="G9733" s="695"/>
    </row>
    <row r="9734" spans="1:9" hidden="1" outlineLevel="1" x14ac:dyDescent="0.25">
      <c r="A9734" s="3035" t="s">
        <v>113</v>
      </c>
      <c r="B9734" s="3035"/>
      <c r="C9734" s="3042"/>
      <c r="D9734" s="3042"/>
      <c r="E9734" s="3180" t="s">
        <v>6630</v>
      </c>
      <c r="F9734" s="3181" t="s">
        <v>6622</v>
      </c>
      <c r="G9734" s="1741" t="s">
        <v>7604</v>
      </c>
    </row>
    <row r="9735" spans="1:9" hidden="1" outlineLevel="1" x14ac:dyDescent="0.25">
      <c r="A9735" s="1813" t="s">
        <v>3593</v>
      </c>
      <c r="B9735" s="3182"/>
      <c r="C9735" s="3183"/>
      <c r="D9735" s="3183"/>
      <c r="E9735" s="3198">
        <v>4.4999999999999998E-2</v>
      </c>
      <c r="F9735" s="3193">
        <v>4.4999999999999998E-2</v>
      </c>
      <c r="G9735" s="1021">
        <v>4.4999999999999998E-2</v>
      </c>
    </row>
    <row r="9736" spans="1:9" hidden="1" outlineLevel="1" x14ac:dyDescent="0.25">
      <c r="A9736" s="1813" t="s">
        <v>3594</v>
      </c>
      <c r="B9736" s="3028"/>
      <c r="C9736" s="1813"/>
      <c r="D9736" s="1813"/>
      <c r="E9736" s="3198">
        <v>4.2659999999999339E-3</v>
      </c>
      <c r="F9736" s="3198">
        <v>4.2659999999999339E-3</v>
      </c>
      <c r="G9736" s="946">
        <v>4.2659999999999339E-3</v>
      </c>
    </row>
    <row r="9737" spans="1:9" hidden="1" outlineLevel="1" x14ac:dyDescent="0.25">
      <c r="A9737" s="1813" t="s">
        <v>3595</v>
      </c>
      <c r="B9737" s="3028"/>
      <c r="C9737" s="1813"/>
      <c r="D9737" s="1813"/>
      <c r="E9737" s="3198">
        <v>2.5600000000000001E-2</v>
      </c>
      <c r="F9737" s="3198">
        <v>2.5600000000000001E-2</v>
      </c>
      <c r="G9737" s="946">
        <v>2.5600000000000001E-2</v>
      </c>
    </row>
    <row r="9738" spans="1:9" hidden="1" outlineLevel="1" x14ac:dyDescent="0.25">
      <c r="A9738" s="1813" t="s">
        <v>3596</v>
      </c>
      <c r="B9738" s="3187"/>
      <c r="C9738" s="1813"/>
      <c r="D9738" s="1813"/>
      <c r="E9738" s="3198">
        <v>3.27E-2</v>
      </c>
      <c r="F9738" s="3198">
        <v>3.27E-2</v>
      </c>
      <c r="G9738" s="946">
        <v>3.27E-2</v>
      </c>
    </row>
    <row r="9739" spans="1:9" hidden="1" outlineLevel="1" x14ac:dyDescent="0.25">
      <c r="A9739" s="1813" t="s">
        <v>3597</v>
      </c>
      <c r="B9739" s="3187"/>
      <c r="C9739" s="1813"/>
      <c r="D9739" s="1813"/>
      <c r="E9739" s="3198">
        <v>3.27E-2</v>
      </c>
      <c r="F9739" s="3198">
        <v>3.27E-2</v>
      </c>
      <c r="G9739" s="946">
        <v>3.27E-2</v>
      </c>
    </row>
    <row r="9740" spans="1:9" collapsed="1" x14ac:dyDescent="0.25">
      <c r="A9740" s="3803" t="s">
        <v>3592</v>
      </c>
      <c r="B9740" s="3804"/>
      <c r="C9740" s="3804"/>
      <c r="D9740" s="3042"/>
      <c r="E9740" s="1896">
        <v>0.14026599999999995</v>
      </c>
      <c r="F9740" s="3205">
        <v>0.14026599999999995</v>
      </c>
      <c r="G9740">
        <v>0.14026599999999995</v>
      </c>
    </row>
    <row r="9742" spans="1:9" hidden="1" outlineLevel="1" x14ac:dyDescent="0.25">
      <c r="A9742" s="689" t="s">
        <v>113</v>
      </c>
      <c r="B9742" s="689" t="s">
        <v>114</v>
      </c>
      <c r="C9742" s="689" t="s">
        <v>112</v>
      </c>
      <c r="D9742" s="689" t="s">
        <v>4155</v>
      </c>
      <c r="E9742" s="689" t="s">
        <v>116</v>
      </c>
      <c r="F9742" s="1188" t="s">
        <v>4154</v>
      </c>
      <c r="G9742" s="444"/>
      <c r="H9742" s="438" t="s">
        <v>5391</v>
      </c>
      <c r="I9742" s="438" t="s">
        <v>5392</v>
      </c>
    </row>
    <row r="9743" spans="1:9" hidden="1" outlineLevel="1" x14ac:dyDescent="0.25">
      <c r="A9743" s="732" t="s">
        <v>2248</v>
      </c>
      <c r="B9743" s="1092" t="s">
        <v>2153</v>
      </c>
      <c r="C9743" s="793">
        <v>2760.51</v>
      </c>
      <c r="D9743" s="3808">
        <v>2806.7</v>
      </c>
      <c r="E9743" s="1258">
        <v>2103.1480000000001</v>
      </c>
      <c r="F9743" s="700">
        <v>-0.23813063528116185</v>
      </c>
      <c r="G9743" s="444"/>
      <c r="H9743" s="92">
        <f>IF(C9743="","",IF(E9743="",$D$9743/C9743-1,E9743/C9743-1))</f>
        <v>-0.23813063528116185</v>
      </c>
      <c r="I9743" s="439">
        <v>0.08</v>
      </c>
    </row>
    <row r="9744" spans="1:9" hidden="1" outlineLevel="1" x14ac:dyDescent="0.25">
      <c r="A9744" s="732" t="s">
        <v>2249</v>
      </c>
      <c r="B9744" s="1092" t="s">
        <v>2153</v>
      </c>
      <c r="C9744" s="793">
        <v>2622.4845</v>
      </c>
      <c r="D9744" s="3809"/>
      <c r="E9744" s="1259">
        <v>2722.6120000000001</v>
      </c>
      <c r="F9744" s="1178">
        <v>0.16</v>
      </c>
      <c r="G9744" s="444"/>
      <c r="H9744" s="79">
        <f>IF(C9744="","",IF(E9744="",$D$9743/C9744-1,E9744/C9744-1))</f>
        <v>3.8180397253062992E-2</v>
      </c>
      <c r="I9744" s="440">
        <v>0.16</v>
      </c>
    </row>
    <row r="9745" spans="1:12" hidden="1" outlineLevel="1" x14ac:dyDescent="0.25">
      <c r="A9745" s="732" t="s">
        <v>2250</v>
      </c>
      <c r="B9745" s="1092" t="s">
        <v>2153</v>
      </c>
      <c r="C9745" s="793">
        <v>2484.4590000000003</v>
      </c>
      <c r="D9745" s="3809"/>
      <c r="E9745" s="693"/>
      <c r="F9745" s="1178" t="s">
        <v>5590</v>
      </c>
      <c r="G9745" s="444"/>
      <c r="H9745" s="79">
        <f>IF(C9745="","",IF(E9745="",$D$9743/C9745-1,E9745/C9745-1))</f>
        <v>0.12970268376334637</v>
      </c>
      <c r="I9745" s="440">
        <v>0.24</v>
      </c>
    </row>
    <row r="9746" spans="1:12" hidden="1" outlineLevel="1" x14ac:dyDescent="0.25">
      <c r="A9746" s="732" t="s">
        <v>2251</v>
      </c>
      <c r="B9746" s="1092" t="s">
        <v>2153</v>
      </c>
      <c r="C9746" s="793" t="s">
        <v>5590</v>
      </c>
      <c r="D9746" s="3809"/>
      <c r="E9746" s="693"/>
      <c r="F9746" s="1178" t="s">
        <v>5590</v>
      </c>
      <c r="G9746" s="444"/>
      <c r="H9746" s="79" t="str">
        <f>IF(C9746="","",IF(E9746="",$D$9743/C9746-1,E9746/C9746-1))</f>
        <v/>
      </c>
      <c r="I9746" s="440">
        <v>0.32</v>
      </c>
    </row>
    <row r="9747" spans="1:12" hidden="1" outlineLevel="1" x14ac:dyDescent="0.25">
      <c r="A9747" s="732" t="s">
        <v>2252</v>
      </c>
      <c r="B9747" s="1092" t="s">
        <v>2153</v>
      </c>
      <c r="C9747" s="793" t="s">
        <v>5590</v>
      </c>
      <c r="D9747" s="3810"/>
      <c r="E9747" s="1253"/>
      <c r="F9747" s="1178" t="s">
        <v>5590</v>
      </c>
      <c r="G9747" s="444"/>
      <c r="H9747" s="82" t="str">
        <f>IF(C9747="","",IF(E9747="",$D$9743/C9747-1,E9747/C9747-1))</f>
        <v/>
      </c>
      <c r="I9747" s="441">
        <v>0.4</v>
      </c>
    </row>
    <row r="9748" spans="1:12" hidden="1" outlineLevel="1" x14ac:dyDescent="0.25">
      <c r="A9748" s="690"/>
      <c r="B9748" s="695"/>
      <c r="C9748" s="793"/>
      <c r="D9748" s="1249"/>
      <c r="E9748" s="693"/>
      <c r="F9748" s="693"/>
      <c r="G9748" s="445">
        <f>D9743/C9743-1</f>
        <v>1.6732415387011645E-2</v>
      </c>
      <c r="H9748" s="37">
        <f>IF(H9747="",IF(H9746="",IF(H9745="",IF(H9744="",H9743,H9744),H9745),H9746),H9747)</f>
        <v>0.12970268376334637</v>
      </c>
    </row>
    <row r="9749" spans="1:12" collapsed="1" x14ac:dyDescent="0.25">
      <c r="A9749" s="3801" t="s">
        <v>2247</v>
      </c>
      <c r="B9749" s="3802"/>
      <c r="C9749" s="3802"/>
      <c r="D9749" s="3802"/>
      <c r="E9749" s="729"/>
      <c r="F9749" s="752">
        <v>0.16</v>
      </c>
      <c r="G9749" s="175" t="s">
        <v>781</v>
      </c>
    </row>
    <row r="9751" spans="1:12" hidden="1" outlineLevel="1" x14ac:dyDescent="0.25">
      <c r="A9751" s="3180" t="s">
        <v>113</v>
      </c>
      <c r="B9751" s="3180" t="s">
        <v>114</v>
      </c>
      <c r="C9751" s="3180" t="s">
        <v>112</v>
      </c>
      <c r="D9751" s="3180" t="s">
        <v>116</v>
      </c>
      <c r="E9751" s="3180" t="s">
        <v>117</v>
      </c>
      <c r="F9751" s="3181" t="s">
        <v>121</v>
      </c>
      <c r="G9751" s="78"/>
    </row>
    <row r="9752" spans="1:12" hidden="1" outlineLevel="1" x14ac:dyDescent="0.25">
      <c r="A9752" s="3182">
        <v>1</v>
      </c>
      <c r="B9752" s="3183" t="s">
        <v>252</v>
      </c>
      <c r="C9752" s="3184">
        <v>100</v>
      </c>
      <c r="D9752" s="3184"/>
      <c r="E9752" s="3656"/>
      <c r="F9752" s="3657"/>
      <c r="G9752" s="78"/>
    </row>
    <row r="9753" spans="1:12" hidden="1" outlineLevel="1" x14ac:dyDescent="0.25">
      <c r="A9753" s="3187"/>
      <c r="B9753" s="3187"/>
      <c r="C9753" s="3188"/>
      <c r="D9753" s="1900" t="s">
        <v>3702</v>
      </c>
      <c r="E9753" s="3189">
        <v>42794</v>
      </c>
      <c r="F9753" s="3658"/>
      <c r="G9753" s="78"/>
    </row>
    <row r="9754" spans="1:12" hidden="1" outlineLevel="1" x14ac:dyDescent="0.25">
      <c r="A9754" s="3180" t="s">
        <v>4156</v>
      </c>
      <c r="B9754" s="3192" t="s">
        <v>4153</v>
      </c>
      <c r="C9754" s="3653" t="s">
        <v>112</v>
      </c>
      <c r="D9754" s="3192" t="s">
        <v>4155</v>
      </c>
      <c r="E9754" s="3192" t="s">
        <v>4154</v>
      </c>
      <c r="F9754" s="3193" t="s">
        <v>2519</v>
      </c>
      <c r="G9754" s="78"/>
      <c r="J9754" t="s">
        <v>2040</v>
      </c>
    </row>
    <row r="9755" spans="1:12" hidden="1" outlineLevel="1" x14ac:dyDescent="0.25">
      <c r="A9755" s="1813">
        <v>0.03</v>
      </c>
      <c r="B9755" s="1813" t="s">
        <v>280</v>
      </c>
      <c r="C9755" s="2331">
        <v>46.991</v>
      </c>
      <c r="D9755" s="3194">
        <v>63.31</v>
      </c>
      <c r="E9755" s="3195">
        <v>0.34727926624247196</v>
      </c>
      <c r="F9755" s="3193">
        <v>1.0418377987274158E-2</v>
      </c>
      <c r="G9755" s="78"/>
      <c r="H9755" t="s">
        <v>1469</v>
      </c>
      <c r="J9755" s="256">
        <v>42156</v>
      </c>
      <c r="K9755">
        <v>134.58179999999999</v>
      </c>
      <c r="L9755" s="37">
        <v>0.34581799999999996</v>
      </c>
    </row>
    <row r="9756" spans="1:12" hidden="1" outlineLevel="1" x14ac:dyDescent="0.25">
      <c r="A9756" s="1813">
        <v>0.03</v>
      </c>
      <c r="B9756" s="2965" t="s">
        <v>359</v>
      </c>
      <c r="C9756" s="2331">
        <v>93.519000000000005</v>
      </c>
      <c r="D9756" s="3194">
        <v>164.2</v>
      </c>
      <c r="E9756" s="3197">
        <v>0.75579294047198942</v>
      </c>
      <c r="F9756" s="3198">
        <v>2.2673788214159683E-2</v>
      </c>
      <c r="G9756" s="78"/>
      <c r="H9756" t="s">
        <v>360</v>
      </c>
      <c r="J9756" s="256">
        <v>42186</v>
      </c>
      <c r="K9756">
        <v>141.5453</v>
      </c>
      <c r="L9756" s="37">
        <v>0.41545300000000007</v>
      </c>
    </row>
    <row r="9757" spans="1:12" hidden="1" outlineLevel="1" x14ac:dyDescent="0.25">
      <c r="A9757" s="1813">
        <v>0.03</v>
      </c>
      <c r="B9757" s="1813" t="s">
        <v>3020</v>
      </c>
      <c r="C9757" s="2331">
        <v>56.691000000000003</v>
      </c>
      <c r="D9757" s="3194">
        <v>104.012</v>
      </c>
      <c r="E9757" s="3197">
        <v>0.83471803284471946</v>
      </c>
      <c r="F9757" s="3198">
        <v>2.5041540985341584E-2</v>
      </c>
      <c r="G9757" s="78"/>
      <c r="H9757" t="s">
        <v>490</v>
      </c>
      <c r="J9757" s="256">
        <v>42217</v>
      </c>
      <c r="K9757" s="424">
        <v>130.86369999999999</v>
      </c>
      <c r="L9757" s="37">
        <v>0.30863700000000005</v>
      </c>
    </row>
    <row r="9758" spans="1:12" hidden="1" outlineLevel="1" x14ac:dyDescent="0.25">
      <c r="A9758" s="1813">
        <v>7.0000000000000007E-2</v>
      </c>
      <c r="B9758" s="2965" t="s">
        <v>1212</v>
      </c>
      <c r="C9758" s="2331">
        <v>33.503</v>
      </c>
      <c r="D9758" s="3194">
        <v>15.15</v>
      </c>
      <c r="E9758" s="3197">
        <v>-0.5478016894009492</v>
      </c>
      <c r="F9758" s="3198">
        <v>-3.8346118258066449E-2</v>
      </c>
      <c r="G9758" s="78"/>
      <c r="H9758" t="s">
        <v>4229</v>
      </c>
      <c r="J9758" s="256">
        <v>42248</v>
      </c>
      <c r="K9758">
        <v>124.676</v>
      </c>
      <c r="L9758" s="37">
        <v>0.24676000000000009</v>
      </c>
    </row>
    <row r="9759" spans="1:12" hidden="1" outlineLevel="1" x14ac:dyDescent="0.25">
      <c r="A9759" s="1813">
        <v>0.05</v>
      </c>
      <c r="B9759" s="2965" t="s">
        <v>238</v>
      </c>
      <c r="C9759" s="2331">
        <v>52.356999999999999</v>
      </c>
      <c r="D9759" s="3194">
        <v>80.19</v>
      </c>
      <c r="E9759" s="3197">
        <v>0.5316003590732854</v>
      </c>
      <c r="F9759" s="3198">
        <v>2.658001795366427E-2</v>
      </c>
      <c r="G9759" s="78"/>
      <c r="H9759" t="s">
        <v>239</v>
      </c>
      <c r="J9759" s="256">
        <v>42278</v>
      </c>
      <c r="K9759">
        <v>135.6584</v>
      </c>
      <c r="L9759" s="37">
        <v>0.35658400000000001</v>
      </c>
    </row>
    <row r="9760" spans="1:12" hidden="1" outlineLevel="1" x14ac:dyDescent="0.25">
      <c r="A9760" s="1813">
        <v>0.05</v>
      </c>
      <c r="B9760" s="2965" t="s">
        <v>2699</v>
      </c>
      <c r="C9760" s="2331">
        <v>12.541</v>
      </c>
      <c r="D9760" s="3194">
        <v>32.375</v>
      </c>
      <c r="E9760" s="3197">
        <v>1.5815325731600351</v>
      </c>
      <c r="F9760" s="3198">
        <v>7.907662865800176E-2</v>
      </c>
      <c r="G9760" s="78"/>
      <c r="H9760" t="s">
        <v>505</v>
      </c>
      <c r="J9760" s="256">
        <v>42309</v>
      </c>
      <c r="K9760">
        <v>139.12719999999999</v>
      </c>
      <c r="L9760" s="37">
        <v>0.39127199999999984</v>
      </c>
    </row>
    <row r="9761" spans="1:12" hidden="1" outlineLevel="1" x14ac:dyDescent="0.25">
      <c r="A9761" s="1813">
        <v>0.05</v>
      </c>
      <c r="B9761" s="2965" t="s">
        <v>7316</v>
      </c>
      <c r="C9761" s="2331">
        <v>44.764000000000003</v>
      </c>
      <c r="D9761" s="3194">
        <v>62</v>
      </c>
      <c r="E9761" s="3197">
        <v>0.38504155124653727</v>
      </c>
      <c r="F9761" s="3198">
        <v>1.9252077562326865E-2</v>
      </c>
      <c r="G9761" s="78"/>
      <c r="H9761" t="s">
        <v>3309</v>
      </c>
      <c r="J9761" s="256">
        <v>42339</v>
      </c>
      <c r="K9761">
        <v>133.51140000000001</v>
      </c>
      <c r="L9761" s="37">
        <v>0.33511400000000013</v>
      </c>
    </row>
    <row r="9762" spans="1:12" hidden="1" outlineLevel="1" x14ac:dyDescent="0.25">
      <c r="A9762" s="1813">
        <v>0.05</v>
      </c>
      <c r="B9762" s="2965" t="s">
        <v>4387</v>
      </c>
      <c r="C9762" s="2331">
        <v>19.199000000000002</v>
      </c>
      <c r="D9762" s="3194">
        <v>7.3259999999999996</v>
      </c>
      <c r="E9762" s="3197">
        <v>-0.61841762591801663</v>
      </c>
      <c r="F9762" s="3198">
        <v>-3.0920881295900832E-2</v>
      </c>
      <c r="G9762" s="78"/>
      <c r="H9762" t="s">
        <v>3744</v>
      </c>
      <c r="J9762" s="256">
        <v>42370</v>
      </c>
      <c r="K9762">
        <v>127.4016</v>
      </c>
      <c r="L9762" s="37">
        <v>0.27401600000000004</v>
      </c>
    </row>
    <row r="9763" spans="1:12" hidden="1" outlineLevel="1" x14ac:dyDescent="0.25">
      <c r="A9763" s="1813">
        <v>0.03</v>
      </c>
      <c r="B9763" s="2965" t="s">
        <v>2844</v>
      </c>
      <c r="C9763" s="2331">
        <v>50.618000000000002</v>
      </c>
      <c r="D9763" s="3194">
        <v>78.55</v>
      </c>
      <c r="E9763" s="3197">
        <v>0.55181951084594405</v>
      </c>
      <c r="F9763" s="3198">
        <v>1.6554585325378322E-2</v>
      </c>
      <c r="G9763" s="78"/>
      <c r="H9763" t="s">
        <v>4094</v>
      </c>
      <c r="J9763" s="256">
        <v>42401</v>
      </c>
      <c r="K9763">
        <v>121.4961</v>
      </c>
      <c r="L9763" s="37">
        <v>0.21496099999999996</v>
      </c>
    </row>
    <row r="9764" spans="1:12" hidden="1" outlineLevel="1" x14ac:dyDescent="0.25">
      <c r="A9764" s="1813">
        <v>0.05</v>
      </c>
      <c r="B9764" s="1813" t="s">
        <v>4034</v>
      </c>
      <c r="C9764" s="2331">
        <v>9.2752999999999997</v>
      </c>
      <c r="D9764" s="3194">
        <v>20.059999999999999</v>
      </c>
      <c r="E9764" s="3197">
        <v>1.1627332808642308</v>
      </c>
      <c r="F9764" s="3198">
        <v>5.8136664043211543E-2</v>
      </c>
      <c r="G9764" s="78"/>
      <c r="H9764" t="s">
        <v>8151</v>
      </c>
      <c r="J9764" s="256">
        <v>42430</v>
      </c>
      <c r="K9764">
        <v>122.9933</v>
      </c>
      <c r="L9764" s="37">
        <v>0.22993299999999994</v>
      </c>
    </row>
    <row r="9765" spans="1:12" hidden="1" outlineLevel="1" x14ac:dyDescent="0.25">
      <c r="A9765" s="1813">
        <v>7.0000000000000007E-2</v>
      </c>
      <c r="B9765" s="2965" t="s">
        <v>4143</v>
      </c>
      <c r="C9765" s="2331">
        <v>10.0185</v>
      </c>
      <c r="D9765" s="3194">
        <v>2.665</v>
      </c>
      <c r="E9765" s="3197">
        <v>-0.73399211458801217</v>
      </c>
      <c r="F9765" s="3198">
        <v>-5.1379448021160859E-2</v>
      </c>
      <c r="G9765" s="78"/>
      <c r="H9765" t="s">
        <v>4144</v>
      </c>
      <c r="J9765" s="256">
        <v>42461</v>
      </c>
      <c r="K9765">
        <v>124.8674</v>
      </c>
      <c r="L9765" s="37">
        <v>0.24867400000000006</v>
      </c>
    </row>
    <row r="9766" spans="1:12" hidden="1" outlineLevel="1" x14ac:dyDescent="0.25">
      <c r="A9766" s="1813">
        <v>0.03</v>
      </c>
      <c r="B9766" s="2965" t="s">
        <v>64</v>
      </c>
      <c r="C9766" s="2331">
        <v>116.44499999999999</v>
      </c>
      <c r="D9766" s="3194">
        <v>153.35</v>
      </c>
      <c r="E9766" s="3197">
        <v>0.31693073983425646</v>
      </c>
      <c r="F9766" s="3198">
        <v>9.5079221950276939E-3</v>
      </c>
      <c r="G9766" s="78"/>
      <c r="H9766" t="s">
        <v>2388</v>
      </c>
      <c r="J9766" s="256">
        <v>42491</v>
      </c>
      <c r="K9766">
        <v>128.1628</v>
      </c>
      <c r="L9766" s="37">
        <v>0.28162799999999999</v>
      </c>
    </row>
    <row r="9767" spans="1:12" hidden="1" outlineLevel="1" x14ac:dyDescent="0.25">
      <c r="A9767" s="1813">
        <v>0.05</v>
      </c>
      <c r="B9767" s="2965" t="s">
        <v>240</v>
      </c>
      <c r="C9767" s="2331">
        <v>74.823999999999998</v>
      </c>
      <c r="D9767" s="3194">
        <v>103.15</v>
      </c>
      <c r="E9767" s="3197">
        <v>0.37856837378381281</v>
      </c>
      <c r="F9767" s="3198">
        <v>1.8928418689190641E-2</v>
      </c>
      <c r="G9767" s="78"/>
      <c r="H9767" t="s">
        <v>241</v>
      </c>
      <c r="J9767" s="256">
        <v>42522</v>
      </c>
      <c r="K9767">
        <v>126.9699</v>
      </c>
      <c r="L9767" s="37">
        <v>0.26969899999999991</v>
      </c>
    </row>
    <row r="9768" spans="1:12" hidden="1" outlineLevel="1" x14ac:dyDescent="0.25">
      <c r="A9768" s="1813">
        <v>7.0000000000000007E-2</v>
      </c>
      <c r="B9768" s="2965" t="s">
        <v>3797</v>
      </c>
      <c r="C9768" s="2331">
        <v>52.42</v>
      </c>
      <c r="D9768" s="3194">
        <v>74.25</v>
      </c>
      <c r="E9768" s="3197">
        <v>0.41644410530331921</v>
      </c>
      <c r="F9768" s="3198">
        <v>2.9151087371232346E-2</v>
      </c>
      <c r="G9768" s="78"/>
      <c r="H9768" t="s">
        <v>3848</v>
      </c>
      <c r="J9768" s="256">
        <v>42552</v>
      </c>
      <c r="K9768">
        <v>130.9888</v>
      </c>
      <c r="L9768" s="37">
        <v>0.30988799999999994</v>
      </c>
    </row>
    <row r="9769" spans="1:12" hidden="1" outlineLevel="1" x14ac:dyDescent="0.25">
      <c r="A9769" s="1813">
        <v>0.05</v>
      </c>
      <c r="B9769" s="2965" t="s">
        <v>2787</v>
      </c>
      <c r="C9769" s="2331">
        <v>51.13</v>
      </c>
      <c r="D9769" s="3194">
        <v>78.400000000000006</v>
      </c>
      <c r="E9769" s="3197">
        <v>0.5333463719929592</v>
      </c>
      <c r="F9769" s="3198">
        <v>2.6667318599647962E-2</v>
      </c>
      <c r="G9769" s="78"/>
      <c r="H9769" t="s">
        <v>80</v>
      </c>
      <c r="J9769" s="256">
        <v>42583</v>
      </c>
      <c r="K9769">
        <v>131.8047</v>
      </c>
      <c r="L9769" s="37">
        <v>0.31804699999999997</v>
      </c>
    </row>
    <row r="9770" spans="1:12" hidden="1" outlineLevel="1" x14ac:dyDescent="0.25">
      <c r="A9770" s="1813">
        <v>0.08</v>
      </c>
      <c r="B9770" s="2965" t="s">
        <v>3800</v>
      </c>
      <c r="C9770" s="2331">
        <v>139.47</v>
      </c>
      <c r="D9770" s="3194">
        <v>244.7</v>
      </c>
      <c r="E9770" s="3197">
        <v>0.75449917544991751</v>
      </c>
      <c r="F9770" s="3198">
        <v>6.03599340359934E-2</v>
      </c>
      <c r="G9770" s="78"/>
      <c r="H9770" t="s">
        <v>2817</v>
      </c>
      <c r="J9770" s="256">
        <v>42614</v>
      </c>
      <c r="K9770">
        <v>129.8579</v>
      </c>
      <c r="L9770" s="37">
        <v>0.29857899999999993</v>
      </c>
    </row>
    <row r="9771" spans="1:12" hidden="1" outlineLevel="1" x14ac:dyDescent="0.25">
      <c r="A9771" s="1813">
        <v>0.05</v>
      </c>
      <c r="B9771" s="2965" t="s">
        <v>2586</v>
      </c>
      <c r="C9771" s="2331">
        <v>21.284500000000001</v>
      </c>
      <c r="D9771" s="3194">
        <v>24.38</v>
      </c>
      <c r="E9771" s="3197">
        <v>0.14543447109398855</v>
      </c>
      <c r="F9771" s="3198">
        <v>7.2717235546994278E-3</v>
      </c>
      <c r="G9771" s="78"/>
      <c r="H9771" t="s">
        <v>2720</v>
      </c>
      <c r="J9771" s="256">
        <v>42644</v>
      </c>
      <c r="K9771">
        <v>129.8579</v>
      </c>
      <c r="L9771" s="37">
        <v>0.29857899999999993</v>
      </c>
    </row>
    <row r="9772" spans="1:12" hidden="1" outlineLevel="1" x14ac:dyDescent="0.25">
      <c r="A9772" s="1813">
        <v>0.05</v>
      </c>
      <c r="B9772" s="1813" t="s">
        <v>3801</v>
      </c>
      <c r="C9772" s="2331">
        <v>37.926499999999997</v>
      </c>
      <c r="D9772" s="3194">
        <v>13.455</v>
      </c>
      <c r="E9772" s="3197">
        <v>-0.64523486216761361</v>
      </c>
      <c r="F9772" s="3198">
        <v>-3.2261743108380682E-2</v>
      </c>
      <c r="G9772" s="78"/>
      <c r="H9772" t="s">
        <v>2819</v>
      </c>
      <c r="J9772" s="256">
        <v>42675</v>
      </c>
      <c r="K9772">
        <v>128.57579999999999</v>
      </c>
      <c r="L9772" s="37">
        <v>0.28575799999999996</v>
      </c>
    </row>
    <row r="9773" spans="1:12" hidden="1" outlineLevel="1" x14ac:dyDescent="0.25">
      <c r="A9773" s="1813">
        <v>0.03</v>
      </c>
      <c r="B9773" s="2965" t="s">
        <v>1206</v>
      </c>
      <c r="C9773" s="2331">
        <v>42.207500000000003</v>
      </c>
      <c r="D9773" s="3194">
        <v>87.95</v>
      </c>
      <c r="E9773" s="3197">
        <v>1.0837528875199904</v>
      </c>
      <c r="F9773" s="3198">
        <v>3.2512586625599714E-2</v>
      </c>
      <c r="G9773" s="78"/>
      <c r="H9773" t="s">
        <v>3484</v>
      </c>
      <c r="J9773" s="412" t="s">
        <v>2465</v>
      </c>
      <c r="L9773" s="362">
        <v>0.30163333333333342</v>
      </c>
    </row>
    <row r="9774" spans="1:12" hidden="1" outlineLevel="1" x14ac:dyDescent="0.25">
      <c r="A9774" s="1813">
        <v>0.08</v>
      </c>
      <c r="B9774" s="3109" t="s">
        <v>4550</v>
      </c>
      <c r="C9774" s="2331">
        <v>214.42</v>
      </c>
      <c r="D9774" s="3030">
        <v>277.3</v>
      </c>
      <c r="E9774" s="2695">
        <v>0.29325622609831181</v>
      </c>
      <c r="F9774" s="2989">
        <v>2.3460498087864944E-2</v>
      </c>
      <c r="G9774" s="78"/>
      <c r="H9774" t="s">
        <v>4551</v>
      </c>
    </row>
    <row r="9775" spans="1:12" hidden="1" outlineLevel="1" x14ac:dyDescent="0.25">
      <c r="A9775" s="1813"/>
      <c r="B9775" s="1813"/>
      <c r="C9775" s="3188"/>
      <c r="D9775" s="3188"/>
      <c r="E9775" s="3197"/>
      <c r="F9775" s="2909">
        <v>0.31268497920510541</v>
      </c>
      <c r="G9775" s="78"/>
    </row>
    <row r="9776" spans="1:12" collapsed="1" x14ac:dyDescent="0.25">
      <c r="A9776" s="3801" t="s">
        <v>237</v>
      </c>
      <c r="B9776" s="3802"/>
      <c r="C9776" s="3802"/>
      <c r="D9776" s="3802"/>
      <c r="E9776" s="3660"/>
      <c r="F9776" s="3205">
        <v>0.30163333333333342</v>
      </c>
      <c r="G9776" s="78"/>
      <c r="H9776" s="370"/>
    </row>
    <row r="9777" spans="1:8" x14ac:dyDescent="0.25">
      <c r="H9777" s="370"/>
    </row>
    <row r="9778" spans="1:8" hidden="1" outlineLevel="1" x14ac:dyDescent="0.25">
      <c r="A9778" s="3180" t="s">
        <v>113</v>
      </c>
      <c r="B9778" s="3180" t="s">
        <v>114</v>
      </c>
      <c r="C9778" s="3192" t="s">
        <v>112</v>
      </c>
      <c r="D9778" s="3180" t="s">
        <v>4155</v>
      </c>
      <c r="E9778" s="3180" t="s">
        <v>116</v>
      </c>
      <c r="F9778" s="3193" t="s">
        <v>2867</v>
      </c>
      <c r="H9778" s="438" t="s">
        <v>5391</v>
      </c>
    </row>
    <row r="9779" spans="1:8" hidden="1" outlineLevel="1" x14ac:dyDescent="0.25">
      <c r="A9779" s="1813" t="s">
        <v>4657</v>
      </c>
      <c r="B9779" s="3071" t="s">
        <v>2153</v>
      </c>
      <c r="C9779" s="3661">
        <v>2742.8490000000002</v>
      </c>
      <c r="D9779" s="3805">
        <v>3290.52</v>
      </c>
      <c r="E9779" s="3667">
        <v>2264.8440000000001</v>
      </c>
      <c r="F9779" s="3653">
        <v>-0.03</v>
      </c>
      <c r="H9779" s="92">
        <v>-0.17427317362348427</v>
      </c>
    </row>
    <row r="9780" spans="1:8" hidden="1" outlineLevel="1" x14ac:dyDescent="0.25">
      <c r="A9780" s="1813" t="s">
        <v>4658</v>
      </c>
      <c r="B9780" s="3071" t="s">
        <v>2153</v>
      </c>
      <c r="C9780" s="1814">
        <v>2264.8440000000001</v>
      </c>
      <c r="D9780" s="3806"/>
      <c r="E9780" s="3667">
        <v>2637.002</v>
      </c>
      <c r="F9780" s="3654">
        <v>6.5000000000000002E-2</v>
      </c>
      <c r="H9780" s="79">
        <v>0.16431948513893224</v>
      </c>
    </row>
    <row r="9781" spans="1:8" hidden="1" outlineLevel="1" x14ac:dyDescent="0.25">
      <c r="A9781" s="1813" t="s">
        <v>4659</v>
      </c>
      <c r="B9781" s="3071" t="s">
        <v>2153</v>
      </c>
      <c r="C9781" s="1814">
        <v>2637.002</v>
      </c>
      <c r="D9781" s="3806"/>
      <c r="E9781" s="3667">
        <v>3218.308</v>
      </c>
      <c r="F9781" s="3654">
        <v>6.5000000000000002E-2</v>
      </c>
      <c r="H9781" s="79">
        <v>0.2204420019400819</v>
      </c>
    </row>
    <row r="9782" spans="1:8" hidden="1" outlineLevel="1" x14ac:dyDescent="0.25">
      <c r="A9782" s="1813" t="s">
        <v>4660</v>
      </c>
      <c r="B9782" s="3071" t="s">
        <v>2153</v>
      </c>
      <c r="C9782" s="1814">
        <v>3218.308</v>
      </c>
      <c r="D9782" s="3806"/>
      <c r="E9782" s="3667">
        <v>3453.4639999999999</v>
      </c>
      <c r="F9782" s="3654">
        <v>6.5000000000000002E-2</v>
      </c>
      <c r="H9782" s="79">
        <v>7.3068208512050425E-2</v>
      </c>
    </row>
    <row r="9783" spans="1:8" hidden="1" outlineLevel="1" x14ac:dyDescent="0.25">
      <c r="A9783" s="1813" t="s">
        <v>4661</v>
      </c>
      <c r="B9783" s="3071" t="s">
        <v>2153</v>
      </c>
      <c r="C9783" s="1817">
        <v>3453.4639999999999</v>
      </c>
      <c r="D9783" s="3807"/>
      <c r="E9783" s="3667">
        <v>3311.3009999999999</v>
      </c>
      <c r="F9783" s="3655">
        <v>-0.03</v>
      </c>
      <c r="H9783" s="82">
        <v>-4.1165334284648747E-2</v>
      </c>
    </row>
    <row r="9784" spans="1:8" hidden="1" outlineLevel="1" x14ac:dyDescent="0.25">
      <c r="A9784" s="3182"/>
      <c r="B9784" s="3187"/>
      <c r="C9784" s="1820"/>
      <c r="D9784" s="3142"/>
      <c r="E9784" s="3667"/>
      <c r="F9784" s="3659"/>
      <c r="G9784" s="1269" t="b">
        <f>IF(E9783="",IF(H9784&lt;-3%,-3%,IF(H9784&gt;6.5%,6.5%,H9784)))</f>
        <v>0</v>
      </c>
      <c r="H9784" s="37">
        <v>-4.1165334284648747E-2</v>
      </c>
    </row>
    <row r="9785" spans="1:8" collapsed="1" x14ac:dyDescent="0.25">
      <c r="A9785" s="3801" t="s">
        <v>4419</v>
      </c>
      <c r="B9785" s="3802"/>
      <c r="C9785" s="3802"/>
      <c r="D9785" s="3802"/>
      <c r="E9785" s="729"/>
      <c r="F9785" s="752">
        <v>0.13500000000000001</v>
      </c>
      <c r="H9785" s="370"/>
    </row>
    <row r="9787" spans="1:8" ht="12.75" hidden="1" customHeight="1" outlineLevel="1" x14ac:dyDescent="0.25">
      <c r="A9787" s="689" t="s">
        <v>113</v>
      </c>
      <c r="B9787" s="689" t="s">
        <v>114</v>
      </c>
      <c r="C9787" s="689" t="s">
        <v>112</v>
      </c>
      <c r="D9787" s="689" t="s">
        <v>116</v>
      </c>
      <c r="E9787" s="689" t="s">
        <v>117</v>
      </c>
      <c r="F9787" s="1188" t="s">
        <v>121</v>
      </c>
      <c r="G9787" s="78"/>
    </row>
    <row r="9788" spans="1:8" ht="12.75" hidden="1" customHeight="1" outlineLevel="1" x14ac:dyDescent="0.25">
      <c r="A9788" s="690">
        <v>1</v>
      </c>
      <c r="B9788" s="691" t="s">
        <v>252</v>
      </c>
      <c r="C9788" s="692">
        <v>100</v>
      </c>
      <c r="D9788" s="692"/>
      <c r="E9788" s="693"/>
      <c r="F9788" s="694"/>
      <c r="G9788" s="78"/>
    </row>
    <row r="9789" spans="1:8" ht="12.75" hidden="1" customHeight="1" outlineLevel="1" x14ac:dyDescent="0.25">
      <c r="A9789" s="695"/>
      <c r="B9789" s="695"/>
      <c r="C9789" s="696"/>
      <c r="D9789" s="697" t="s">
        <v>3702</v>
      </c>
      <c r="E9789" s="698">
        <v>42110</v>
      </c>
      <c r="F9789" s="699"/>
      <c r="G9789" s="78"/>
    </row>
    <row r="9790" spans="1:8" ht="12.75" hidden="1" customHeight="1" outlineLevel="1" x14ac:dyDescent="0.25">
      <c r="A9790" s="689" t="s">
        <v>4156</v>
      </c>
      <c r="B9790" s="689" t="s">
        <v>4153</v>
      </c>
      <c r="C9790" s="497" t="s">
        <v>112</v>
      </c>
      <c r="D9790" s="495" t="s">
        <v>4155</v>
      </c>
      <c r="E9790" s="689" t="s">
        <v>4154</v>
      </c>
      <c r="F9790" s="1021" t="s">
        <v>2519</v>
      </c>
      <c r="G9790" s="78"/>
    </row>
    <row r="9791" spans="1:8" ht="12.75" hidden="1" customHeight="1" outlineLevel="1" x14ac:dyDescent="0.25">
      <c r="A9791" s="999">
        <v>7.0000000000000007E-2</v>
      </c>
      <c r="B9791" s="1000" t="s">
        <v>2942</v>
      </c>
      <c r="C9791" s="1001">
        <v>3088.5</v>
      </c>
      <c r="D9791" s="803">
        <v>6050</v>
      </c>
      <c r="E9791" s="705">
        <v>0.95887971507204139</v>
      </c>
      <c r="F9791" s="1021">
        <v>6.7121580055042901E-2</v>
      </c>
      <c r="G9791" s="78"/>
      <c r="H9791" t="s">
        <v>2336</v>
      </c>
    </row>
    <row r="9792" spans="1:8" ht="12.75" hidden="1" customHeight="1" outlineLevel="1" x14ac:dyDescent="0.25">
      <c r="A9792" s="1002">
        <v>0.02</v>
      </c>
      <c r="B9792" s="939" t="s">
        <v>805</v>
      </c>
      <c r="C9792" s="1003">
        <v>61.024999999999999</v>
      </c>
      <c r="D9792" s="908">
        <v>79.62</v>
      </c>
      <c r="E9792" s="709">
        <v>0.30471118394100793</v>
      </c>
      <c r="F9792" s="946">
        <v>6.0942236788201591E-3</v>
      </c>
      <c r="G9792" s="78"/>
      <c r="H9792" t="s">
        <v>806</v>
      </c>
    </row>
    <row r="9793" spans="1:8" ht="12.75" hidden="1" customHeight="1" outlineLevel="1" x14ac:dyDescent="0.25">
      <c r="A9793" s="1002">
        <v>0.03</v>
      </c>
      <c r="B9793" s="996" t="s">
        <v>4377</v>
      </c>
      <c r="C9793" s="1003">
        <v>28.984999999999999</v>
      </c>
      <c r="D9793" s="908">
        <v>63.68</v>
      </c>
      <c r="E9793" s="709">
        <v>1.196998447472831</v>
      </c>
      <c r="F9793" s="946">
        <v>3.5909953424184932E-2</v>
      </c>
      <c r="G9793" s="78"/>
      <c r="H9793" t="s">
        <v>4327</v>
      </c>
    </row>
    <row r="9794" spans="1:8" ht="12.75" hidden="1" customHeight="1" outlineLevel="1" x14ac:dyDescent="0.25">
      <c r="A9794" s="1002">
        <v>0.05</v>
      </c>
      <c r="B9794" s="996" t="s">
        <v>3954</v>
      </c>
      <c r="C9794" s="1003">
        <v>74.47</v>
      </c>
      <c r="D9794" s="908">
        <v>96.18</v>
      </c>
      <c r="E9794" s="709">
        <v>0.29152678931113218</v>
      </c>
      <c r="F9794" s="946">
        <v>1.457633946555661E-2</v>
      </c>
      <c r="G9794" s="78"/>
      <c r="H9794" t="s">
        <v>3955</v>
      </c>
    </row>
    <row r="9795" spans="1:8" ht="12.75" hidden="1" customHeight="1" outlineLevel="1" x14ac:dyDescent="0.25">
      <c r="A9795" s="1002">
        <v>0.02</v>
      </c>
      <c r="B9795" s="996" t="s">
        <v>4332</v>
      </c>
      <c r="C9795" s="1003">
        <v>323.68</v>
      </c>
      <c r="D9795" s="908">
        <v>260</v>
      </c>
      <c r="E9795" s="709">
        <v>-0.19673751853682653</v>
      </c>
      <c r="F9795" s="946">
        <v>-3.9347503707365308E-3</v>
      </c>
      <c r="G9795" s="78"/>
      <c r="H9795" t="s">
        <v>4334</v>
      </c>
    </row>
    <row r="9796" spans="1:8" ht="12.75" hidden="1" customHeight="1" outlineLevel="1" x14ac:dyDescent="0.25">
      <c r="A9796" s="1002">
        <v>0.08</v>
      </c>
      <c r="B9796" s="996" t="s">
        <v>1319</v>
      </c>
      <c r="C9796" s="1003">
        <v>53.369</v>
      </c>
      <c r="D9796" s="908">
        <v>60.91</v>
      </c>
      <c r="E9796" s="709">
        <v>0.14129925612246796</v>
      </c>
      <c r="F9796" s="946">
        <v>1.1303940489797437E-2</v>
      </c>
      <c r="G9796" s="78"/>
      <c r="H9796" t="s">
        <v>1320</v>
      </c>
    </row>
    <row r="9797" spans="1:8" ht="12.75" hidden="1" customHeight="1" outlineLevel="1" x14ac:dyDescent="0.25">
      <c r="A9797" s="1002">
        <v>0.02</v>
      </c>
      <c r="B9797" s="996" t="s">
        <v>3798</v>
      </c>
      <c r="C9797" s="1003">
        <v>4.1340000000000003</v>
      </c>
      <c r="D9797" s="908">
        <v>4.3520000000000003</v>
      </c>
      <c r="E9797" s="709">
        <v>5.2733430091920663E-2</v>
      </c>
      <c r="F9797" s="946">
        <v>1.0546686018384132E-3</v>
      </c>
      <c r="G9797" s="78"/>
      <c r="H9797" t="s">
        <v>4122</v>
      </c>
    </row>
    <row r="9798" spans="1:8" ht="12.75" hidden="1" customHeight="1" outlineLevel="1" x14ac:dyDescent="0.25">
      <c r="A9798" s="1002">
        <v>0.02</v>
      </c>
      <c r="B9798" s="706" t="s">
        <v>5824</v>
      </c>
      <c r="C9798" s="1003">
        <v>13.964499999999999</v>
      </c>
      <c r="D9798" s="908">
        <v>15.835000000000001</v>
      </c>
      <c r="E9798" s="709">
        <v>0.13394679365534046</v>
      </c>
      <c r="F9798" s="946">
        <v>2.678935873106809E-3</v>
      </c>
      <c r="G9798" s="78"/>
      <c r="H9798" t="s">
        <v>5817</v>
      </c>
    </row>
    <row r="9799" spans="1:8" ht="12.75" hidden="1" customHeight="1" outlineLevel="1" x14ac:dyDescent="0.25">
      <c r="A9799" s="1002">
        <v>0.02</v>
      </c>
      <c r="B9799" s="996" t="s">
        <v>3269</v>
      </c>
      <c r="C9799" s="1003">
        <v>14.1265</v>
      </c>
      <c r="D9799" s="908">
        <v>22.035</v>
      </c>
      <c r="E9799" s="709">
        <v>0.55983435387392499</v>
      </c>
      <c r="F9799" s="946">
        <v>1.11966870774785E-2</v>
      </c>
      <c r="G9799" s="78"/>
      <c r="H9799" t="s">
        <v>3270</v>
      </c>
    </row>
    <row r="9800" spans="1:8" ht="12.75" hidden="1" customHeight="1" outlineLevel="1" x14ac:dyDescent="0.25">
      <c r="A9800" s="1002">
        <v>0.08</v>
      </c>
      <c r="B9800" s="996" t="s">
        <v>1381</v>
      </c>
      <c r="C9800" s="1003">
        <v>66.703999999999994</v>
      </c>
      <c r="D9800" s="908">
        <v>107.68</v>
      </c>
      <c r="E9800" s="709">
        <v>0.61429599424322401</v>
      </c>
      <c r="F9800" s="946">
        <v>4.9143679539457918E-2</v>
      </c>
      <c r="G9800" s="78"/>
      <c r="H9800" t="s">
        <v>1383</v>
      </c>
    </row>
    <row r="9801" spans="1:8" ht="12.75" hidden="1" customHeight="1" outlineLevel="1" x14ac:dyDescent="0.25">
      <c r="A9801" s="1002">
        <v>0.05</v>
      </c>
      <c r="B9801" s="996" t="s">
        <v>4143</v>
      </c>
      <c r="C9801" s="1003">
        <v>9.4400999999999993</v>
      </c>
      <c r="D9801" s="908">
        <v>3.2730000000000001</v>
      </c>
      <c r="E9801" s="709">
        <v>-0.65328757110623825</v>
      </c>
      <c r="F9801" s="946">
        <v>-3.2664378555311915E-2</v>
      </c>
      <c r="G9801" s="78"/>
      <c r="H9801" t="s">
        <v>4144</v>
      </c>
    </row>
    <row r="9802" spans="1:8" ht="12.75" hidden="1" customHeight="1" outlineLevel="1" x14ac:dyDescent="0.25">
      <c r="A9802" s="1002">
        <v>0.05</v>
      </c>
      <c r="B9802" s="996" t="s">
        <v>2160</v>
      </c>
      <c r="C9802" s="1003">
        <v>35.433999999999997</v>
      </c>
      <c r="D9802" s="908">
        <v>87.05</v>
      </c>
      <c r="E9802" s="709">
        <v>1.4566800248349043</v>
      </c>
      <c r="F9802" s="946">
        <v>7.2834001241745217E-2</v>
      </c>
      <c r="G9802" s="78"/>
      <c r="H9802" t="s">
        <v>5507</v>
      </c>
    </row>
    <row r="9803" spans="1:8" ht="12.75" hidden="1" customHeight="1" outlineLevel="1" x14ac:dyDescent="0.25">
      <c r="A9803" s="1002">
        <v>0.02</v>
      </c>
      <c r="B9803" s="996" t="s">
        <v>3956</v>
      </c>
      <c r="C9803" s="1003">
        <v>862.2</v>
      </c>
      <c r="D9803" s="908">
        <v>1278</v>
      </c>
      <c r="E9803" s="709">
        <v>0.48225469728601245</v>
      </c>
      <c r="F9803" s="946">
        <v>9.6450939457202491E-3</v>
      </c>
      <c r="G9803" s="78"/>
      <c r="H9803" t="s">
        <v>3957</v>
      </c>
    </row>
    <row r="9804" spans="1:8" ht="12.75" hidden="1" customHeight="1" outlineLevel="1" x14ac:dyDescent="0.25">
      <c r="A9804" s="1002">
        <v>0.02</v>
      </c>
      <c r="B9804" s="996" t="s">
        <v>1905</v>
      </c>
      <c r="C9804" s="1003">
        <v>35.83</v>
      </c>
      <c r="D9804" s="908">
        <v>57.84</v>
      </c>
      <c r="E9804" s="709">
        <v>0.61428970136756922</v>
      </c>
      <c r="F9804" s="946">
        <v>1.2285794027351384E-2</v>
      </c>
      <c r="G9804" s="78"/>
      <c r="H9804" t="s">
        <v>504</v>
      </c>
    </row>
    <row r="9805" spans="1:8" ht="12.75" hidden="1" customHeight="1" outlineLevel="1" x14ac:dyDescent="0.25">
      <c r="A9805" s="1002">
        <v>0.05</v>
      </c>
      <c r="B9805" s="996" t="s">
        <v>2786</v>
      </c>
      <c r="C9805" s="1003">
        <v>606.04999999999995</v>
      </c>
      <c r="D9805" s="908">
        <v>899</v>
      </c>
      <c r="E9805" s="709">
        <v>0.4833759590792841</v>
      </c>
      <c r="F9805" s="946">
        <v>2.4168797953964205E-2</v>
      </c>
      <c r="G9805" s="78"/>
      <c r="H9805" t="s">
        <v>4195</v>
      </c>
    </row>
    <row r="9806" spans="1:8" ht="12.75" hidden="1" customHeight="1" outlineLevel="1" x14ac:dyDescent="0.25">
      <c r="A9806" s="1002">
        <v>0.02</v>
      </c>
      <c r="B9806" s="996" t="s">
        <v>2787</v>
      </c>
      <c r="C9806" s="1003">
        <v>50.999000000000002</v>
      </c>
      <c r="D9806" s="908">
        <v>99.05</v>
      </c>
      <c r="E9806" s="709">
        <v>0.94219494499892131</v>
      </c>
      <c r="F9806" s="946">
        <v>1.8843898899978426E-2</v>
      </c>
      <c r="G9806" s="78"/>
      <c r="H9806" t="s">
        <v>80</v>
      </c>
    </row>
    <row r="9807" spans="1:8" ht="12.75" hidden="1" customHeight="1" outlineLevel="1" x14ac:dyDescent="0.25">
      <c r="A9807" s="1002">
        <v>0.02</v>
      </c>
      <c r="B9807" s="743" t="s">
        <v>3958</v>
      </c>
      <c r="C9807" s="1003">
        <v>1165.2</v>
      </c>
      <c r="D9807" s="908">
        <v>1370</v>
      </c>
      <c r="E9807" s="709">
        <v>0.17576381737040836</v>
      </c>
      <c r="F9807" s="946">
        <v>3.5152763474081672E-3</v>
      </c>
      <c r="G9807" s="78"/>
      <c r="H9807" t="s">
        <v>3959</v>
      </c>
    </row>
    <row r="9808" spans="1:8" ht="12.75" hidden="1" customHeight="1" outlineLevel="1" x14ac:dyDescent="0.25">
      <c r="A9808" s="1002">
        <v>0.02</v>
      </c>
      <c r="B9808" s="996" t="s">
        <v>5121</v>
      </c>
      <c r="C9808" s="1003">
        <v>554.04999999999995</v>
      </c>
      <c r="D9808" s="908">
        <v>1142</v>
      </c>
      <c r="E9808" s="709">
        <v>1.0611858135547334</v>
      </c>
      <c r="F9808" s="946">
        <v>2.1223716271094668E-2</v>
      </c>
      <c r="G9808" s="78"/>
      <c r="H9808" t="s">
        <v>5119</v>
      </c>
    </row>
    <row r="9809" spans="1:8" ht="12.75" hidden="1" customHeight="1" outlineLevel="1" x14ac:dyDescent="0.25">
      <c r="A9809" s="1002">
        <v>7.0000000000000007E-2</v>
      </c>
      <c r="B9809" s="740" t="s">
        <v>3800</v>
      </c>
      <c r="C9809" s="1003">
        <v>136.81</v>
      </c>
      <c r="D9809" s="908">
        <v>275.3</v>
      </c>
      <c r="E9809" s="709">
        <v>1.0122798041078869</v>
      </c>
      <c r="F9809" s="946">
        <v>7.0859586287552082E-2</v>
      </c>
      <c r="G9809" s="78"/>
      <c r="H9809" t="s">
        <v>2817</v>
      </c>
    </row>
    <row r="9810" spans="1:8" ht="12.75" hidden="1" customHeight="1" outlineLevel="1" x14ac:dyDescent="0.25">
      <c r="A9810" s="1002">
        <v>0.02</v>
      </c>
      <c r="B9810" s="852" t="s">
        <v>102</v>
      </c>
      <c r="C9810" s="1003">
        <v>134.66</v>
      </c>
      <c r="D9810" s="908">
        <v>98.15</v>
      </c>
      <c r="E9810" s="709">
        <v>-0.27112728352888749</v>
      </c>
      <c r="F9810" s="946">
        <v>-5.4225456705777495E-3</v>
      </c>
      <c r="G9810" s="78"/>
      <c r="H9810" t="s">
        <v>101</v>
      </c>
    </row>
    <row r="9811" spans="1:8" ht="12.75" hidden="1" customHeight="1" outlineLevel="1" x14ac:dyDescent="0.25">
      <c r="A9811" s="1002">
        <v>0.02</v>
      </c>
      <c r="B9811" s="740" t="s">
        <v>2728</v>
      </c>
      <c r="C9811" s="1003">
        <v>53.543999999999997</v>
      </c>
      <c r="D9811" s="908">
        <v>81.239999999999995</v>
      </c>
      <c r="E9811" s="709">
        <v>0.51725683549977597</v>
      </c>
      <c r="F9811" s="946">
        <v>1.034513670999552E-2</v>
      </c>
      <c r="G9811" s="78"/>
      <c r="H9811" t="s">
        <v>258</v>
      </c>
    </row>
    <row r="9812" spans="1:8" ht="12.75" hidden="1" customHeight="1" outlineLevel="1" x14ac:dyDescent="0.25">
      <c r="A9812" s="1002">
        <v>0.02</v>
      </c>
      <c r="B9812" s="740" t="s">
        <v>1857</v>
      </c>
      <c r="C9812" s="1003">
        <v>1411.7</v>
      </c>
      <c r="D9812" s="908">
        <v>1560</v>
      </c>
      <c r="E9812" s="709">
        <v>0.1050506481547071</v>
      </c>
      <c r="F9812" s="946">
        <v>2.101012963094142E-3</v>
      </c>
      <c r="G9812" s="78"/>
      <c r="H9812" t="s">
        <v>3559</v>
      </c>
    </row>
    <row r="9813" spans="1:8" ht="12.75" hidden="1" customHeight="1" outlineLevel="1" x14ac:dyDescent="0.25">
      <c r="A9813" s="1002">
        <v>0.02</v>
      </c>
      <c r="B9813" s="996" t="s">
        <v>4460</v>
      </c>
      <c r="C9813" s="1003">
        <v>1453.6</v>
      </c>
      <c r="D9813" s="908">
        <v>2121</v>
      </c>
      <c r="E9813" s="709">
        <v>0.45913593835993405</v>
      </c>
      <c r="F9813" s="946">
        <v>9.1827187671986808E-3</v>
      </c>
      <c r="G9813" s="78"/>
      <c r="H9813" t="s">
        <v>3485</v>
      </c>
    </row>
    <row r="9814" spans="1:8" ht="12.75" hidden="1" customHeight="1" outlineLevel="1" x14ac:dyDescent="0.25">
      <c r="A9814" s="1002">
        <v>0.02</v>
      </c>
      <c r="B9814" s="996" t="s">
        <v>3960</v>
      </c>
      <c r="C9814" s="1003">
        <v>203.11</v>
      </c>
      <c r="D9814" s="908">
        <v>467.1</v>
      </c>
      <c r="E9814" s="709">
        <v>1.2997390576534884</v>
      </c>
      <c r="F9814" s="946">
        <v>2.599478115306977E-2</v>
      </c>
      <c r="G9814" s="78"/>
      <c r="H9814" t="s">
        <v>3571</v>
      </c>
    </row>
    <row r="9815" spans="1:8" ht="12.75" hidden="1" customHeight="1" outlineLevel="1" x14ac:dyDescent="0.25">
      <c r="A9815" s="1002">
        <v>7.0000000000000007E-2</v>
      </c>
      <c r="B9815" s="996" t="s">
        <v>3022</v>
      </c>
      <c r="C9815" s="1003">
        <v>3710.5</v>
      </c>
      <c r="D9815" s="908">
        <v>6026</v>
      </c>
      <c r="E9815" s="709">
        <v>0.62403988680770794</v>
      </c>
      <c r="F9815" s="946">
        <v>4.3682792076539557E-2</v>
      </c>
      <c r="G9815" s="78"/>
      <c r="H9815" t="s">
        <v>2802</v>
      </c>
    </row>
    <row r="9816" spans="1:8" ht="12.75" hidden="1" customHeight="1" outlineLevel="1" x14ac:dyDescent="0.25">
      <c r="A9816" s="1002">
        <v>0.02</v>
      </c>
      <c r="B9816" s="743" t="s">
        <v>434</v>
      </c>
      <c r="C9816" s="1003">
        <v>45.164000000000001</v>
      </c>
      <c r="D9816" s="908">
        <v>51.2</v>
      </c>
      <c r="E9816" s="709">
        <v>0.13364626693826942</v>
      </c>
      <c r="F9816" s="946">
        <v>2.6729253387653886E-3</v>
      </c>
      <c r="G9816" s="78"/>
      <c r="H9816" t="s">
        <v>435</v>
      </c>
    </row>
    <row r="9817" spans="1:8" ht="12.75" hidden="1" customHeight="1" outlineLevel="1" x14ac:dyDescent="0.25">
      <c r="A9817" s="1002">
        <v>0.02</v>
      </c>
      <c r="B9817" s="939" t="s">
        <v>2983</v>
      </c>
      <c r="C9817" s="1003">
        <v>590.4</v>
      </c>
      <c r="D9817" s="908">
        <v>969</v>
      </c>
      <c r="E9817" s="709">
        <v>0.6412601626016261</v>
      </c>
      <c r="F9817" s="946">
        <v>1.2825203252032522E-2</v>
      </c>
      <c r="G9817" s="78"/>
      <c r="H9817" t="s">
        <v>1713</v>
      </c>
    </row>
    <row r="9818" spans="1:8" ht="12.75" hidden="1" customHeight="1" outlineLevel="1" x14ac:dyDescent="0.25">
      <c r="A9818" s="1002">
        <v>0.02</v>
      </c>
      <c r="B9818" s="743" t="s">
        <v>579</v>
      </c>
      <c r="C9818" s="1003">
        <v>161.47</v>
      </c>
      <c r="D9818" s="908">
        <v>227.4</v>
      </c>
      <c r="E9818" s="709">
        <v>0.40831114138849323</v>
      </c>
      <c r="F9818" s="946">
        <v>8.1662228277698638E-3</v>
      </c>
      <c r="G9818" s="78"/>
      <c r="H9818" t="s">
        <v>3611</v>
      </c>
    </row>
    <row r="9819" spans="1:8" ht="12.75" hidden="1" customHeight="1" outlineLevel="1" x14ac:dyDescent="0.25">
      <c r="A9819" s="1002">
        <v>0.02</v>
      </c>
      <c r="B9819" s="743" t="s">
        <v>1211</v>
      </c>
      <c r="C9819" s="1003">
        <v>36.619999999999997</v>
      </c>
      <c r="D9819" s="908">
        <v>53.99</v>
      </c>
      <c r="E9819" s="709">
        <v>0.47433096668487185</v>
      </c>
      <c r="F9819" s="946">
        <v>9.4866193336974377E-3</v>
      </c>
      <c r="G9819" s="78"/>
      <c r="H9819" t="s">
        <v>685</v>
      </c>
    </row>
    <row r="9820" spans="1:8" ht="12.75" hidden="1" customHeight="1" outlineLevel="1" x14ac:dyDescent="0.25">
      <c r="A9820" s="1002">
        <v>0.02</v>
      </c>
      <c r="B9820" s="997" t="s">
        <v>4550</v>
      </c>
      <c r="C9820" s="1003">
        <v>198.59</v>
      </c>
      <c r="D9820" s="715">
        <v>307.39999999999998</v>
      </c>
      <c r="E9820" s="709">
        <v>0.54791278513520303</v>
      </c>
      <c r="F9820" s="946">
        <v>1.095825570270406E-2</v>
      </c>
      <c r="G9820" s="78"/>
      <c r="H9820" t="s">
        <v>4551</v>
      </c>
    </row>
    <row r="9821" spans="1:8" ht="12.75" hidden="1" customHeight="1" outlineLevel="1" x14ac:dyDescent="0.25">
      <c r="A9821" s="1099"/>
      <c r="B9821" s="1104"/>
      <c r="C9821" s="736"/>
      <c r="D9821" s="741"/>
      <c r="E9821" s="895"/>
      <c r="F9821" s="1021">
        <v>0.52585016670833884</v>
      </c>
      <c r="G9821" s="78"/>
    </row>
    <row r="9822" spans="1:8" ht="12.75" hidden="1" customHeight="1" outlineLevel="1" x14ac:dyDescent="0.25">
      <c r="A9822" s="751" t="s">
        <v>1267</v>
      </c>
      <c r="B9822" s="944">
        <v>40787</v>
      </c>
      <c r="C9822" s="719">
        <v>100</v>
      </c>
      <c r="D9822" s="719">
        <v>98.877600000000001</v>
      </c>
      <c r="E9822" s="720">
        <v>-1.1224000000000012E-2</v>
      </c>
      <c r="F9822" s="731"/>
      <c r="G9822" s="78"/>
    </row>
    <row r="9823" spans="1:8" ht="12.75" hidden="1" customHeight="1" outlineLevel="1" x14ac:dyDescent="0.25">
      <c r="A9823" s="751" t="s">
        <v>1268</v>
      </c>
      <c r="B9823" s="944">
        <v>40878</v>
      </c>
      <c r="C9823" s="719">
        <v>100</v>
      </c>
      <c r="D9823" s="727">
        <v>101.79430000000001</v>
      </c>
      <c r="E9823" s="720">
        <v>1.7943000000000042E-2</v>
      </c>
      <c r="F9823" s="731"/>
      <c r="G9823" s="78"/>
    </row>
    <row r="9824" spans="1:8" ht="12.75" hidden="1" customHeight="1" outlineLevel="1" x14ac:dyDescent="0.25">
      <c r="A9824" s="751" t="s">
        <v>1269</v>
      </c>
      <c r="B9824" s="944">
        <v>40969</v>
      </c>
      <c r="C9824" s="719">
        <v>100</v>
      </c>
      <c r="D9824" s="727">
        <v>102.66160000000001</v>
      </c>
      <c r="E9824" s="720">
        <v>2.6615999999999973E-2</v>
      </c>
      <c r="F9824" s="731"/>
      <c r="G9824" s="78"/>
    </row>
    <row r="9825" spans="1:7" ht="12.75" hidden="1" customHeight="1" outlineLevel="1" x14ac:dyDescent="0.25">
      <c r="A9825" s="751" t="s">
        <v>1270</v>
      </c>
      <c r="B9825" s="944">
        <v>41061</v>
      </c>
      <c r="C9825" s="719">
        <v>100</v>
      </c>
      <c r="D9825" s="727">
        <v>104.732</v>
      </c>
      <c r="E9825" s="720">
        <v>4.7320000000000029E-2</v>
      </c>
      <c r="F9825" s="731"/>
      <c r="G9825" s="78"/>
    </row>
    <row r="9826" spans="1:7" ht="12.75" hidden="1" customHeight="1" outlineLevel="1" x14ac:dyDescent="0.25">
      <c r="A9826" s="751" t="s">
        <v>1271</v>
      </c>
      <c r="B9826" s="944">
        <v>41153</v>
      </c>
      <c r="C9826" s="719">
        <v>100</v>
      </c>
      <c r="D9826" s="727">
        <v>107.8882</v>
      </c>
      <c r="E9826" s="720">
        <v>7.8881999999999897E-2</v>
      </c>
      <c r="F9826" s="731"/>
      <c r="G9826" s="78"/>
    </row>
    <row r="9827" spans="1:7" ht="12.75" hidden="1" customHeight="1" outlineLevel="1" x14ac:dyDescent="0.25">
      <c r="A9827" s="751" t="s">
        <v>1272</v>
      </c>
      <c r="B9827" s="944">
        <v>41244</v>
      </c>
      <c r="C9827" s="719">
        <v>100</v>
      </c>
      <c r="D9827" s="727">
        <v>107.7521</v>
      </c>
      <c r="E9827" s="720">
        <v>7.7520999999999951E-2</v>
      </c>
      <c r="F9827" s="731"/>
      <c r="G9827" s="78"/>
    </row>
    <row r="9828" spans="1:7" ht="12.75" hidden="1" customHeight="1" outlineLevel="1" x14ac:dyDescent="0.25">
      <c r="A9828" s="751" t="s">
        <v>1273</v>
      </c>
      <c r="B9828" s="944">
        <v>41334</v>
      </c>
      <c r="C9828" s="719">
        <v>100</v>
      </c>
      <c r="D9828" s="727">
        <v>121.5823</v>
      </c>
      <c r="E9828" s="720">
        <v>0.2158230000000001</v>
      </c>
      <c r="F9828" s="731"/>
      <c r="G9828" s="78"/>
    </row>
    <row r="9829" spans="1:7" ht="12.75" hidden="1" customHeight="1" outlineLevel="1" x14ac:dyDescent="0.25">
      <c r="A9829" s="751" t="s">
        <v>1274</v>
      </c>
      <c r="B9829" s="944">
        <v>41426</v>
      </c>
      <c r="C9829" s="719">
        <v>100</v>
      </c>
      <c r="D9829" s="727">
        <v>120.9539</v>
      </c>
      <c r="E9829" s="720">
        <v>0.20953900000000014</v>
      </c>
      <c r="F9829" s="731"/>
      <c r="G9829" s="78"/>
    </row>
    <row r="9830" spans="1:7" ht="12.75" hidden="1" customHeight="1" outlineLevel="1" x14ac:dyDescent="0.25">
      <c r="A9830" s="751" t="s">
        <v>1275</v>
      </c>
      <c r="B9830" s="944">
        <v>41518</v>
      </c>
      <c r="C9830" s="719">
        <v>100</v>
      </c>
      <c r="D9830" s="727">
        <v>123.7547</v>
      </c>
      <c r="E9830" s="720">
        <v>0.23754699999999995</v>
      </c>
      <c r="F9830" s="731"/>
      <c r="G9830" s="78"/>
    </row>
    <row r="9831" spans="1:7" ht="12.75" hidden="1" customHeight="1" outlineLevel="1" x14ac:dyDescent="0.25">
      <c r="A9831" s="751" t="s">
        <v>1276</v>
      </c>
      <c r="B9831" s="944">
        <v>41609</v>
      </c>
      <c r="C9831" s="719">
        <v>100</v>
      </c>
      <c r="D9831" s="727">
        <v>132.52969999999999</v>
      </c>
      <c r="E9831" s="720">
        <v>0.32529699999999995</v>
      </c>
      <c r="F9831" s="731"/>
      <c r="G9831" s="78"/>
    </row>
    <row r="9832" spans="1:7" ht="12.75" hidden="1" customHeight="1" outlineLevel="1" x14ac:dyDescent="0.25">
      <c r="A9832" s="751" t="s">
        <v>1277</v>
      </c>
      <c r="B9832" s="944">
        <v>41699</v>
      </c>
      <c r="C9832" s="719">
        <v>100</v>
      </c>
      <c r="D9832" s="727">
        <v>136.0575</v>
      </c>
      <c r="E9832" s="720">
        <v>0.36057500000000009</v>
      </c>
      <c r="F9832" s="731"/>
      <c r="G9832" s="78"/>
    </row>
    <row r="9833" spans="1:7" ht="12.75" hidden="1" customHeight="1" outlineLevel="1" x14ac:dyDescent="0.25">
      <c r="A9833" s="751" t="s">
        <v>1278</v>
      </c>
      <c r="B9833" s="944">
        <v>41791</v>
      </c>
      <c r="C9833" s="719">
        <v>100</v>
      </c>
      <c r="D9833" s="727">
        <v>139.9639</v>
      </c>
      <c r="E9833" s="720">
        <v>0.39963899999999986</v>
      </c>
      <c r="F9833" s="731"/>
      <c r="G9833" s="78"/>
    </row>
    <row r="9834" spans="1:7" ht="12.75" hidden="1" customHeight="1" outlineLevel="1" x14ac:dyDescent="0.25">
      <c r="A9834" s="751" t="s">
        <v>1279</v>
      </c>
      <c r="B9834" s="944">
        <v>41883</v>
      </c>
      <c r="C9834" s="719">
        <v>100</v>
      </c>
      <c r="D9834" s="727">
        <v>145.7038</v>
      </c>
      <c r="E9834" s="720">
        <v>0.45703800000000006</v>
      </c>
      <c r="F9834" s="731"/>
      <c r="G9834" s="78"/>
    </row>
    <row r="9835" spans="1:7" ht="12.75" hidden="1" customHeight="1" outlineLevel="1" x14ac:dyDescent="0.25">
      <c r="A9835" s="751" t="s">
        <v>1280</v>
      </c>
      <c r="B9835" s="944">
        <v>41974</v>
      </c>
      <c r="C9835" s="719">
        <v>100</v>
      </c>
      <c r="D9835" s="727">
        <v>151.85130000000001</v>
      </c>
      <c r="E9835" s="720">
        <v>0.518513</v>
      </c>
      <c r="F9835" s="731"/>
      <c r="G9835" s="78"/>
    </row>
    <row r="9836" spans="1:7" ht="12.75" hidden="1" customHeight="1" outlineLevel="1" x14ac:dyDescent="0.25">
      <c r="A9836" s="751" t="s">
        <v>1281</v>
      </c>
      <c r="B9836" s="944">
        <v>42064</v>
      </c>
      <c r="C9836" s="719">
        <v>100</v>
      </c>
      <c r="D9836" s="727">
        <v>158.19319999999999</v>
      </c>
      <c r="E9836" s="720">
        <v>0.58193199999999989</v>
      </c>
      <c r="F9836" s="731"/>
      <c r="G9836" s="78"/>
    </row>
    <row r="9837" spans="1:7" ht="12.75" hidden="1" customHeight="1" outlineLevel="1" x14ac:dyDescent="0.25">
      <c r="A9837" s="751"/>
      <c r="B9837" s="944"/>
      <c r="C9837" s="727"/>
      <c r="D9837" s="727"/>
      <c r="E9837" s="720"/>
      <c r="F9837" s="731"/>
      <c r="G9837" s="78"/>
    </row>
    <row r="9838" spans="1:7" ht="12.75" hidden="1" customHeight="1" outlineLevel="1" x14ac:dyDescent="0.25">
      <c r="A9838" s="767"/>
      <c r="B9838" s="877"/>
      <c r="C9838" s="696"/>
      <c r="D9838" s="1894" t="s">
        <v>2465</v>
      </c>
      <c r="E9838" s="1895">
        <v>0.2361974</v>
      </c>
      <c r="F9838" s="1832">
        <v>0.2361974</v>
      </c>
      <c r="G9838" s="78"/>
    </row>
    <row r="9839" spans="1:7" collapsed="1" x14ac:dyDescent="0.25">
      <c r="A9839" s="3801" t="s">
        <v>3919</v>
      </c>
      <c r="B9839" s="3802"/>
      <c r="C9839" s="3802"/>
      <c r="D9839" s="3802"/>
      <c r="E9839" s="1906"/>
      <c r="F9839" s="1907">
        <v>0.2361974</v>
      </c>
      <c r="G9839" s="175" t="s">
        <v>781</v>
      </c>
    </row>
    <row r="9841" spans="1:8" hidden="1" outlineLevel="1" x14ac:dyDescent="0.25">
      <c r="A9841" s="3237" t="s">
        <v>113</v>
      </c>
      <c r="B9841" s="3237" t="s">
        <v>114</v>
      </c>
      <c r="C9841" s="3237" t="s">
        <v>112</v>
      </c>
      <c r="D9841" s="3237" t="s">
        <v>116</v>
      </c>
      <c r="E9841" s="3237" t="s">
        <v>117</v>
      </c>
      <c r="F9841" s="3276" t="s">
        <v>121</v>
      </c>
      <c r="G9841" s="97"/>
      <c r="H9841" s="173" t="s">
        <v>4475</v>
      </c>
    </row>
    <row r="9842" spans="1:8" hidden="1" outlineLevel="1" x14ac:dyDescent="0.25">
      <c r="A9842" s="3182">
        <v>5</v>
      </c>
      <c r="B9842" s="3183" t="s">
        <v>252</v>
      </c>
      <c r="C9842" s="3184"/>
      <c r="D9842" s="3184"/>
      <c r="E9842" s="1813"/>
      <c r="F9842" s="3385"/>
      <c r="G9842" s="97"/>
    </row>
    <row r="9843" spans="1:8" hidden="1" outlineLevel="1" x14ac:dyDescent="0.25">
      <c r="A9843" s="3187"/>
      <c r="B9843" s="3187"/>
      <c r="C9843" s="3188"/>
      <c r="D9843" s="1900" t="s">
        <v>3702</v>
      </c>
      <c r="E9843" s="3189">
        <v>42580</v>
      </c>
      <c r="F9843" s="3504"/>
      <c r="G9843" s="97"/>
    </row>
    <row r="9844" spans="1:8" hidden="1" outlineLevel="1" x14ac:dyDescent="0.25">
      <c r="A9844" s="3180" t="s">
        <v>4156</v>
      </c>
      <c r="B9844" s="3180" t="s">
        <v>4153</v>
      </c>
      <c r="C9844" s="1813" t="s">
        <v>112</v>
      </c>
      <c r="D9844" s="3180" t="s">
        <v>4155</v>
      </c>
      <c r="E9844" s="3180" t="s">
        <v>4154</v>
      </c>
      <c r="F9844" s="3181" t="s">
        <v>1332</v>
      </c>
      <c r="G9844" s="97"/>
    </row>
    <row r="9845" spans="1:8" hidden="1" outlineLevel="1" x14ac:dyDescent="0.25">
      <c r="A9845" s="3090">
        <v>0.05</v>
      </c>
      <c r="B9845" s="1813" t="s">
        <v>2942</v>
      </c>
      <c r="C9845" s="1902">
        <v>612.79999999999995</v>
      </c>
      <c r="D9845" s="3024">
        <v>1608</v>
      </c>
      <c r="E9845" s="3091">
        <v>1.6240208877284599</v>
      </c>
      <c r="F9845" s="3092" t="s">
        <v>2024</v>
      </c>
      <c r="G9845" s="198"/>
      <c r="H9845" s="110" t="s">
        <v>2336</v>
      </c>
    </row>
    <row r="9846" spans="1:8" hidden="1" outlineLevel="1" x14ac:dyDescent="0.25">
      <c r="A9846" s="3090">
        <v>0.05</v>
      </c>
      <c r="B9846" s="1813" t="s">
        <v>4377</v>
      </c>
      <c r="C9846" s="1902">
        <v>28.978000000000002</v>
      </c>
      <c r="D9846" s="3024">
        <v>76</v>
      </c>
      <c r="E9846" s="3091">
        <v>1.6226792739319484</v>
      </c>
      <c r="F9846" s="3092" t="s">
        <v>2024</v>
      </c>
      <c r="G9846" s="198"/>
      <c r="H9846" s="110" t="s">
        <v>4327</v>
      </c>
    </row>
    <row r="9847" spans="1:8" hidden="1" outlineLevel="1" x14ac:dyDescent="0.25">
      <c r="A9847" s="3090">
        <v>0.05</v>
      </c>
      <c r="B9847" s="1813" t="s">
        <v>3954</v>
      </c>
      <c r="C9847" s="1902">
        <v>73.816000000000003</v>
      </c>
      <c r="D9847" s="3024">
        <v>98.49</v>
      </c>
      <c r="E9847" s="3091">
        <v>0.33426357429283615</v>
      </c>
      <c r="F9847" s="3092" t="s">
        <v>2024</v>
      </c>
      <c r="G9847" s="198"/>
      <c r="H9847" s="110" t="s">
        <v>3955</v>
      </c>
    </row>
    <row r="9848" spans="1:8" hidden="1" outlineLevel="1" x14ac:dyDescent="0.25">
      <c r="A9848" s="3515">
        <v>0.05</v>
      </c>
      <c r="B9848" s="3516" t="s">
        <v>4332</v>
      </c>
      <c r="C9848" s="3517">
        <v>323.92</v>
      </c>
      <c r="D9848" s="1813">
        <v>235.4</v>
      </c>
      <c r="E9848" s="3518">
        <v>-0.27327735243269946</v>
      </c>
      <c r="F9848" s="3385" t="s">
        <v>2025</v>
      </c>
      <c r="G9848" s="198"/>
      <c r="H9848" s="110" t="s">
        <v>4334</v>
      </c>
    </row>
    <row r="9849" spans="1:8" hidden="1" outlineLevel="1" x14ac:dyDescent="0.25">
      <c r="A9849" s="3090">
        <v>0.05</v>
      </c>
      <c r="B9849" s="3519" t="s">
        <v>1319</v>
      </c>
      <c r="C9849" s="1902">
        <v>53.24</v>
      </c>
      <c r="D9849" s="3024">
        <v>79.150000000000006</v>
      </c>
      <c r="E9849" s="3091">
        <v>0.48666416228399711</v>
      </c>
      <c r="F9849" s="3092" t="s">
        <v>2024</v>
      </c>
      <c r="G9849" s="198"/>
      <c r="H9849" s="110" t="s">
        <v>1320</v>
      </c>
    </row>
    <row r="9850" spans="1:8" hidden="1" outlineLevel="1" x14ac:dyDescent="0.25">
      <c r="A9850" s="3515">
        <v>0.05</v>
      </c>
      <c r="B9850" s="3516" t="s">
        <v>5824</v>
      </c>
      <c r="C9850" s="3517">
        <v>13.895</v>
      </c>
      <c r="D9850" s="1813">
        <v>14.635</v>
      </c>
      <c r="E9850" s="3518">
        <v>5.3256567110471442E-2</v>
      </c>
      <c r="F9850" s="3385" t="s">
        <v>2025</v>
      </c>
      <c r="G9850" s="198"/>
      <c r="H9850" s="110" t="s">
        <v>5817</v>
      </c>
    </row>
    <row r="9851" spans="1:8" hidden="1" outlineLevel="1" x14ac:dyDescent="0.25">
      <c r="A9851" s="3090">
        <v>0.05</v>
      </c>
      <c r="B9851" s="3519" t="s">
        <v>3269</v>
      </c>
      <c r="C9851" s="1902">
        <v>14.202</v>
      </c>
      <c r="D9851" s="3024">
        <v>17.914999999999999</v>
      </c>
      <c r="E9851" s="3091">
        <v>0.26144205041543445</v>
      </c>
      <c r="F9851" s="3092" t="s">
        <v>2024</v>
      </c>
      <c r="G9851" s="198"/>
      <c r="H9851" s="110" t="s">
        <v>3270</v>
      </c>
    </row>
    <row r="9852" spans="1:8" hidden="1" outlineLevel="1" x14ac:dyDescent="0.25">
      <c r="A9852" s="3090">
        <v>0.05</v>
      </c>
      <c r="B9852" s="3519" t="s">
        <v>1381</v>
      </c>
      <c r="C9852" s="1902">
        <v>64.234399999999994</v>
      </c>
      <c r="D9852" s="3024">
        <v>136.16999999999999</v>
      </c>
      <c r="E9852" s="3091">
        <v>1.1198921450188686</v>
      </c>
      <c r="F9852" s="3092" t="s">
        <v>2024</v>
      </c>
      <c r="G9852" s="198"/>
      <c r="H9852" s="110" t="s">
        <v>1383</v>
      </c>
    </row>
    <row r="9853" spans="1:8" hidden="1" outlineLevel="1" x14ac:dyDescent="0.25">
      <c r="A9853" s="3515">
        <v>0.05</v>
      </c>
      <c r="B9853" s="3516" t="s">
        <v>4143</v>
      </c>
      <c r="C9853" s="3517">
        <v>9.4431999999999992</v>
      </c>
      <c r="D9853" s="1813">
        <v>3.1909999999999998</v>
      </c>
      <c r="E9853" s="3518">
        <v>-0.66208488647915953</v>
      </c>
      <c r="F9853" s="3385" t="s">
        <v>2025</v>
      </c>
      <c r="G9853" s="198"/>
      <c r="H9853" s="110" t="s">
        <v>4144</v>
      </c>
    </row>
    <row r="9854" spans="1:8" hidden="1" outlineLevel="1" x14ac:dyDescent="0.25">
      <c r="A9854" s="3090">
        <v>0.05</v>
      </c>
      <c r="B9854" s="2965" t="s">
        <v>7573</v>
      </c>
      <c r="C9854" s="1902">
        <v>35.305999999999997</v>
      </c>
      <c r="D9854" s="3024">
        <v>88.86</v>
      </c>
      <c r="E9854" s="3091">
        <v>1.5168526596045999</v>
      </c>
      <c r="F9854" s="3092" t="s">
        <v>2024</v>
      </c>
      <c r="G9854" s="198"/>
      <c r="H9854" s="110" t="s">
        <v>7571</v>
      </c>
    </row>
    <row r="9855" spans="1:8" hidden="1" outlineLevel="1" x14ac:dyDescent="0.25">
      <c r="A9855" s="3090">
        <v>0.05</v>
      </c>
      <c r="B9855" s="1813" t="s">
        <v>2786</v>
      </c>
      <c r="C9855" s="1902">
        <v>599.79999999999995</v>
      </c>
      <c r="D9855" s="3024">
        <v>1089.5</v>
      </c>
      <c r="E9855" s="3091">
        <v>0.81643881293764609</v>
      </c>
      <c r="F9855" s="3092" t="s">
        <v>2024</v>
      </c>
      <c r="G9855" s="198"/>
      <c r="H9855" s="110" t="s">
        <v>4195</v>
      </c>
    </row>
    <row r="9856" spans="1:8" hidden="1" outlineLevel="1" x14ac:dyDescent="0.25">
      <c r="A9856" s="3090">
        <v>0.05</v>
      </c>
      <c r="B9856" s="1813" t="s">
        <v>2787</v>
      </c>
      <c r="C9856" s="1902">
        <v>50.648000000000003</v>
      </c>
      <c r="D9856" s="3024">
        <v>80.349999999999994</v>
      </c>
      <c r="E9856" s="3091">
        <v>0.58643974095719464</v>
      </c>
      <c r="F9856" s="3092" t="s">
        <v>2024</v>
      </c>
      <c r="G9856" s="198"/>
      <c r="H9856" s="110" t="s">
        <v>80</v>
      </c>
    </row>
    <row r="9857" spans="1:15" hidden="1" outlineLevel="1" x14ac:dyDescent="0.25">
      <c r="A9857" s="3090">
        <v>0.05</v>
      </c>
      <c r="B9857" s="1813" t="s">
        <v>3800</v>
      </c>
      <c r="C9857" s="1902">
        <v>138.28</v>
      </c>
      <c r="D9857" s="3024">
        <v>255.6</v>
      </c>
      <c r="E9857" s="3091">
        <v>0.84842348857390792</v>
      </c>
      <c r="F9857" s="3092" t="s">
        <v>2024</v>
      </c>
      <c r="G9857" s="198"/>
      <c r="H9857" s="110" t="s">
        <v>2817</v>
      </c>
    </row>
    <row r="9858" spans="1:15" hidden="1" outlineLevel="1" x14ac:dyDescent="0.25">
      <c r="A9858" s="3090">
        <v>0.05</v>
      </c>
      <c r="B9858" s="1813" t="s">
        <v>1857</v>
      </c>
      <c r="C9858" s="1902">
        <v>1412.8</v>
      </c>
      <c r="D9858" s="3024">
        <v>1586</v>
      </c>
      <c r="E9858" s="3091">
        <v>0.12259343148357882</v>
      </c>
      <c r="F9858" s="3092" t="s">
        <v>2024</v>
      </c>
      <c r="G9858" s="198"/>
      <c r="H9858" s="110" t="s">
        <v>3559</v>
      </c>
    </row>
    <row r="9859" spans="1:15" hidden="1" outlineLevel="1" x14ac:dyDescent="0.25">
      <c r="A9859" s="3090">
        <v>0.05</v>
      </c>
      <c r="B9859" s="1813" t="s">
        <v>4460</v>
      </c>
      <c r="C9859" s="1902">
        <v>1380.69</v>
      </c>
      <c r="D9859" s="3024">
        <v>2450</v>
      </c>
      <c r="E9859" s="3091">
        <v>0.7744750812999297</v>
      </c>
      <c r="F9859" s="3092" t="s">
        <v>2024</v>
      </c>
      <c r="G9859" s="198"/>
      <c r="H9859" s="110" t="s">
        <v>3485</v>
      </c>
    </row>
    <row r="9860" spans="1:15" hidden="1" outlineLevel="1" x14ac:dyDescent="0.25">
      <c r="A9860" s="3090">
        <v>0.05</v>
      </c>
      <c r="B9860" s="1813" t="s">
        <v>3022</v>
      </c>
      <c r="C9860" s="1902">
        <v>3711</v>
      </c>
      <c r="D9860" s="3024">
        <v>4375</v>
      </c>
      <c r="E9860" s="3091">
        <v>0.17892751279978447</v>
      </c>
      <c r="F9860" s="3092" t="s">
        <v>2024</v>
      </c>
      <c r="G9860" s="198"/>
      <c r="H9860" s="110" t="s">
        <v>2802</v>
      </c>
    </row>
    <row r="9861" spans="1:15" hidden="1" outlineLevel="1" x14ac:dyDescent="0.25">
      <c r="A9861" s="3090">
        <v>0.05</v>
      </c>
      <c r="B9861" s="2003" t="s">
        <v>2983</v>
      </c>
      <c r="C9861" s="1902">
        <v>582.70000000000005</v>
      </c>
      <c r="D9861" s="3024">
        <v>1019</v>
      </c>
      <c r="E9861" s="3091">
        <v>0.74875579200274567</v>
      </c>
      <c r="F9861" s="3092" t="s">
        <v>2024</v>
      </c>
      <c r="G9861" s="198"/>
      <c r="H9861" s="110" t="s">
        <v>1713</v>
      </c>
    </row>
    <row r="9862" spans="1:15" hidden="1" outlineLevel="1" x14ac:dyDescent="0.25">
      <c r="A9862" s="3090">
        <v>0.05</v>
      </c>
      <c r="B9862" s="1813" t="s">
        <v>579</v>
      </c>
      <c r="C9862" s="1902">
        <v>159.78</v>
      </c>
      <c r="D9862" s="3024">
        <v>227.9</v>
      </c>
      <c r="E9862" s="3091">
        <v>0.42633621229190144</v>
      </c>
      <c r="F9862" s="3092" t="s">
        <v>2024</v>
      </c>
      <c r="G9862" s="198"/>
      <c r="H9862" s="110" t="s">
        <v>3611</v>
      </c>
    </row>
    <row r="9863" spans="1:15" hidden="1" outlineLevel="1" x14ac:dyDescent="0.25">
      <c r="A9863" s="3090">
        <v>0.05</v>
      </c>
      <c r="B9863" s="3519" t="s">
        <v>1211</v>
      </c>
      <c r="C9863" s="1902">
        <v>36.131999999999998</v>
      </c>
      <c r="D9863" s="3024">
        <v>67.45</v>
      </c>
      <c r="E9863" s="3091">
        <v>0.86676630133953303</v>
      </c>
      <c r="F9863" s="3092" t="s">
        <v>2024</v>
      </c>
      <c r="G9863" s="198"/>
      <c r="H9863" s="110" t="s">
        <v>685</v>
      </c>
    </row>
    <row r="9864" spans="1:15" hidden="1" outlineLevel="1" x14ac:dyDescent="0.25">
      <c r="A9864" s="3098">
        <v>0.05</v>
      </c>
      <c r="B9864" s="1813" t="s">
        <v>4550</v>
      </c>
      <c r="C9864" s="2562">
        <v>195.12</v>
      </c>
      <c r="D9864" s="2227">
        <v>234.8</v>
      </c>
      <c r="E9864" s="3111">
        <v>0.20336203362033634</v>
      </c>
      <c r="F9864" s="3520" t="s">
        <v>2024</v>
      </c>
      <c r="G9864" s="198"/>
      <c r="H9864" s="110" t="s">
        <v>4551</v>
      </c>
    </row>
    <row r="9865" spans="1:15" hidden="1" outlineLevel="1" x14ac:dyDescent="0.25">
      <c r="A9865" s="2646"/>
      <c r="B9865" s="1813"/>
      <c r="C9865" s="3206"/>
      <c r="D9865" s="2382"/>
      <c r="E9865" s="2695">
        <v>0.58281137443906583</v>
      </c>
      <c r="F9865" s="3509"/>
      <c r="G9865" s="97"/>
      <c r="H9865" s="417" t="s">
        <v>6670</v>
      </c>
      <c r="I9865" s="488" t="s">
        <v>6674</v>
      </c>
    </row>
    <row r="9866" spans="1:15" hidden="1" outlineLevel="1" x14ac:dyDescent="0.25">
      <c r="A9866" s="3104" t="s">
        <v>4652</v>
      </c>
      <c r="B9866" s="1813"/>
      <c r="C9866" s="3206"/>
      <c r="D9866" s="2382"/>
      <c r="E9866" s="2695"/>
      <c r="F9866" s="3509">
        <v>0.03</v>
      </c>
      <c r="G9866" s="97"/>
      <c r="H9866" s="478">
        <v>0.03</v>
      </c>
      <c r="I9866" s="518">
        <v>1.5</v>
      </c>
    </row>
    <row r="9867" spans="1:15" hidden="1" outlineLevel="1" x14ac:dyDescent="0.25">
      <c r="A9867" s="3104" t="s">
        <v>4653</v>
      </c>
      <c r="B9867" s="1813" t="s">
        <v>6280</v>
      </c>
      <c r="C9867" s="3206"/>
      <c r="D9867" s="2382"/>
      <c r="E9867" s="3204" t="s">
        <v>6672</v>
      </c>
      <c r="F9867" s="3509">
        <v>0.02</v>
      </c>
      <c r="G9867" s="97"/>
      <c r="H9867" s="478">
        <v>0.02</v>
      </c>
      <c r="I9867" s="81" t="s">
        <v>6672</v>
      </c>
    </row>
    <row r="9868" spans="1:15" hidden="1" outlineLevel="1" x14ac:dyDescent="0.25">
      <c r="A9868" s="3104" t="s">
        <v>4654</v>
      </c>
      <c r="B9868" s="1813" t="s">
        <v>6281</v>
      </c>
      <c r="C9868" s="3206"/>
      <c r="D9868" s="2382"/>
      <c r="E9868" s="3204" t="s">
        <v>6672</v>
      </c>
      <c r="F9868" s="3509">
        <v>1.3333333333333334E-2</v>
      </c>
      <c r="G9868" s="97"/>
      <c r="H9868" s="478">
        <v>1.3333333333333334E-2</v>
      </c>
      <c r="I9868" s="81" t="s">
        <v>6673</v>
      </c>
    </row>
    <row r="9869" spans="1:15" hidden="1" outlineLevel="1" x14ac:dyDescent="0.25">
      <c r="A9869" s="3104" t="s">
        <v>4655</v>
      </c>
      <c r="B9869" s="1813" t="s">
        <v>6971</v>
      </c>
      <c r="C9869" s="3206"/>
      <c r="D9869" s="2382"/>
      <c r="E9869" s="3204" t="s">
        <v>6672</v>
      </c>
      <c r="F9869" s="3509">
        <v>8.8888888888888889E-3</v>
      </c>
      <c r="G9869" s="97"/>
      <c r="H9869" s="478">
        <v>8.8888888888888889E-3</v>
      </c>
    </row>
    <row r="9870" spans="1:15" hidden="1" outlineLevel="1" x14ac:dyDescent="0.25">
      <c r="A9870" s="3104" t="s">
        <v>4656</v>
      </c>
      <c r="B9870" s="1813"/>
      <c r="C9870" s="3206"/>
      <c r="D9870" s="3206"/>
      <c r="E9870" s="2695"/>
      <c r="F9870" s="3509">
        <v>1.3299999999999999E-2</v>
      </c>
      <c r="G9870" s="97"/>
      <c r="H9870" s="478">
        <v>1.3299999999999999E-2</v>
      </c>
    </row>
    <row r="9871" spans="1:15" collapsed="1" x14ac:dyDescent="0.25">
      <c r="A9871" s="3801" t="s">
        <v>2393</v>
      </c>
      <c r="B9871" s="3802"/>
      <c r="C9871" s="3802"/>
      <c r="D9871" s="3802"/>
      <c r="E9871" s="3204"/>
      <c r="F9871" s="3205">
        <v>8.5522222222222222E-2</v>
      </c>
      <c r="G9871" s="97"/>
      <c r="H9871" s="517">
        <v>8.5522222222222222E-2</v>
      </c>
      <c r="O9871" s="414"/>
    </row>
    <row r="9872" spans="1:15" x14ac:dyDescent="0.25">
      <c r="A9872" s="1813"/>
      <c r="B9872" s="1813"/>
      <c r="C9872" s="1813"/>
      <c r="D9872" s="1813"/>
      <c r="E9872" s="1813"/>
      <c r="F9872" s="3385"/>
    </row>
    <row r="9873" spans="1:9" hidden="1" outlineLevel="1" x14ac:dyDescent="0.25">
      <c r="A9873" s="3180" t="s">
        <v>113</v>
      </c>
      <c r="B9873" s="3180" t="s">
        <v>114</v>
      </c>
      <c r="C9873" s="3180" t="s">
        <v>112</v>
      </c>
      <c r="D9873" s="3180" t="s">
        <v>116</v>
      </c>
      <c r="E9873" s="3180" t="s">
        <v>117</v>
      </c>
      <c r="F9873" s="3181" t="s">
        <v>121</v>
      </c>
      <c r="G9873" s="695"/>
    </row>
    <row r="9874" spans="1:9" hidden="1" outlineLevel="1" x14ac:dyDescent="0.25">
      <c r="A9874" s="3187"/>
      <c r="B9874" s="3187"/>
      <c r="C9874" s="3188"/>
      <c r="D9874" s="1900" t="s">
        <v>3702</v>
      </c>
      <c r="E9874" s="3189">
        <f>indexy!$B$2</f>
        <v>45379</v>
      </c>
      <c r="F9874" s="3503"/>
      <c r="G9874" s="695"/>
    </row>
    <row r="9875" spans="1:9" hidden="1" outlineLevel="1" x14ac:dyDescent="0.25">
      <c r="A9875" s="3180" t="s">
        <v>4156</v>
      </c>
      <c r="B9875" s="3180" t="s">
        <v>4153</v>
      </c>
      <c r="C9875" s="3510" t="s">
        <v>112</v>
      </c>
      <c r="D9875" s="3180" t="s">
        <v>116</v>
      </c>
      <c r="E9875" s="3180" t="s">
        <v>4154</v>
      </c>
      <c r="F9875" s="3181" t="s">
        <v>734</v>
      </c>
      <c r="G9875" s="695"/>
    </row>
    <row r="9876" spans="1:9" hidden="1" outlineLevel="1" x14ac:dyDescent="0.25">
      <c r="A9876" s="1920">
        <v>7.0000000000000007E-2</v>
      </c>
      <c r="B9876" s="1813" t="s">
        <v>2942</v>
      </c>
      <c r="C9876" s="1902">
        <v>623.20000000000005</v>
      </c>
      <c r="D9876" s="3196">
        <v>1579.5</v>
      </c>
      <c r="E9876" s="3025">
        <v>1.5344993581514759</v>
      </c>
      <c r="F9876" s="3198">
        <v>0.08</v>
      </c>
      <c r="G9876" s="695"/>
      <c r="H9876" t="s">
        <v>2336</v>
      </c>
    </row>
    <row r="9877" spans="1:9" hidden="1" outlineLevel="1" x14ac:dyDescent="0.25">
      <c r="A9877" s="1920">
        <v>0.02</v>
      </c>
      <c r="B9877" s="1813" t="s">
        <v>805</v>
      </c>
      <c r="C9877" s="1902">
        <v>60.783999999999999</v>
      </c>
      <c r="D9877" s="3196">
        <v>88.53</v>
      </c>
      <c r="E9877" s="3025">
        <v>0.45646880758094244</v>
      </c>
      <c r="F9877" s="3198">
        <v>0.08</v>
      </c>
      <c r="G9877" s="695"/>
      <c r="H9877" t="s">
        <v>806</v>
      </c>
    </row>
    <row r="9878" spans="1:9" hidden="1" outlineLevel="1" x14ac:dyDescent="0.25">
      <c r="A9878" s="1920">
        <v>0.03</v>
      </c>
      <c r="B9878" s="1813" t="s">
        <v>4377</v>
      </c>
      <c r="C9878" s="1902">
        <v>28.768000000000001</v>
      </c>
      <c r="D9878" s="3196">
        <v>56.44</v>
      </c>
      <c r="E9878" s="3025">
        <v>0.96190211345939924</v>
      </c>
      <c r="F9878" s="3198">
        <v>0.08</v>
      </c>
      <c r="G9878" s="695"/>
      <c r="H9878" t="s">
        <v>4327</v>
      </c>
    </row>
    <row r="9879" spans="1:9" hidden="1" outlineLevel="1" x14ac:dyDescent="0.25">
      <c r="A9879" s="1920">
        <v>0.05</v>
      </c>
      <c r="B9879" s="1813" t="s">
        <v>3954</v>
      </c>
      <c r="C9879" s="1902">
        <v>81.872</v>
      </c>
      <c r="D9879" s="3196">
        <v>105.98</v>
      </c>
      <c r="E9879" s="3025">
        <v>0.29445964432284555</v>
      </c>
      <c r="F9879" s="3198">
        <v>0.08</v>
      </c>
      <c r="G9879" s="695"/>
      <c r="H9879" t="s">
        <v>3955</v>
      </c>
    </row>
    <row r="9880" spans="1:9" hidden="1" outlineLevel="1" x14ac:dyDescent="0.25">
      <c r="A9880" s="1920">
        <v>0.02</v>
      </c>
      <c r="B9880" s="1926" t="s">
        <v>4332</v>
      </c>
      <c r="C9880" s="1902">
        <v>311.52</v>
      </c>
      <c r="D9880" s="3196">
        <v>210.3</v>
      </c>
      <c r="E9880" s="3025">
        <v>-0.3249229583975346</v>
      </c>
      <c r="F9880" s="3198">
        <v>-0.3249229583975346</v>
      </c>
      <c r="G9880" s="695"/>
      <c r="H9880" t="s">
        <v>4334</v>
      </c>
    </row>
    <row r="9881" spans="1:9" hidden="1" outlineLevel="1" x14ac:dyDescent="0.25">
      <c r="A9881" s="1920">
        <v>0.08</v>
      </c>
      <c r="B9881" s="1813" t="s">
        <v>1319</v>
      </c>
      <c r="C9881" s="1902">
        <v>53.533999999999999</v>
      </c>
      <c r="D9881" s="3196">
        <v>69.77</v>
      </c>
      <c r="E9881" s="3025">
        <v>0.30328389434751735</v>
      </c>
      <c r="F9881" s="3198">
        <v>0.08</v>
      </c>
      <c r="G9881" s="695"/>
      <c r="H9881" t="s">
        <v>1320</v>
      </c>
    </row>
    <row r="9882" spans="1:9" hidden="1" outlineLevel="1" x14ac:dyDescent="0.25">
      <c r="A9882" s="1920">
        <v>0.02</v>
      </c>
      <c r="B9882" s="1813" t="s">
        <v>3798</v>
      </c>
      <c r="C9882" s="1902">
        <v>4.6760000000000002</v>
      </c>
      <c r="D9882" s="3196">
        <v>3.8140000000000001</v>
      </c>
      <c r="E9882" s="3025">
        <v>-0.18434559452523525</v>
      </c>
      <c r="F9882" s="3198">
        <v>-0.18434559452523525</v>
      </c>
      <c r="G9882" s="695"/>
      <c r="H9882" t="s">
        <v>4122</v>
      </c>
    </row>
    <row r="9883" spans="1:9" hidden="1" outlineLevel="1" x14ac:dyDescent="0.25">
      <c r="A9883" s="1920">
        <v>0.02</v>
      </c>
      <c r="B9883" s="3028" t="s">
        <v>5824</v>
      </c>
      <c r="C9883" s="1902">
        <v>15.698</v>
      </c>
      <c r="D9883" s="3196">
        <v>13.755000000000001</v>
      </c>
      <c r="E9883" s="3025">
        <v>-0.12377372913746976</v>
      </c>
      <c r="F9883" s="3198">
        <v>-0.12377372913746976</v>
      </c>
      <c r="G9883" s="695"/>
      <c r="H9883" t="s">
        <v>5817</v>
      </c>
    </row>
    <row r="9884" spans="1:9" hidden="1" outlineLevel="1" x14ac:dyDescent="0.25">
      <c r="A9884" s="1920">
        <v>0.02</v>
      </c>
      <c r="B9884" s="1813" t="s">
        <v>3269</v>
      </c>
      <c r="C9884" s="1902">
        <v>13.37</v>
      </c>
      <c r="D9884" s="3196">
        <v>16.149999999999999</v>
      </c>
      <c r="E9884" s="3025">
        <v>0.20792819745699331</v>
      </c>
      <c r="F9884" s="3198">
        <v>0.08</v>
      </c>
      <c r="G9884" s="695"/>
      <c r="H9884" t="s">
        <v>3270</v>
      </c>
      <c r="I9884" s="434"/>
    </row>
    <row r="9885" spans="1:9" hidden="1" outlineLevel="1" x14ac:dyDescent="0.25">
      <c r="A9885" s="1920">
        <v>0.08</v>
      </c>
      <c r="B9885" s="1813" t="s">
        <v>1381</v>
      </c>
      <c r="C9885" s="1902">
        <v>67.525999999999996</v>
      </c>
      <c r="D9885" s="3196">
        <v>115.61</v>
      </c>
      <c r="E9885" s="3025">
        <v>0.71208127239877972</v>
      </c>
      <c r="F9885" s="3198">
        <v>0.08</v>
      </c>
      <c r="G9885" s="695"/>
      <c r="H9885" t="s">
        <v>1383</v>
      </c>
    </row>
    <row r="9886" spans="1:9" hidden="1" outlineLevel="1" x14ac:dyDescent="0.25">
      <c r="A9886" s="1920">
        <v>0.05</v>
      </c>
      <c r="B9886" s="1813" t="s">
        <v>4143</v>
      </c>
      <c r="C9886" s="1902">
        <v>10.557</v>
      </c>
      <c r="D9886" s="3196">
        <v>2.7189999999999999</v>
      </c>
      <c r="E9886" s="3025">
        <v>-0.74244577057876293</v>
      </c>
      <c r="F9886" s="3198">
        <v>-0.74244577057876293</v>
      </c>
      <c r="G9886" s="695"/>
      <c r="H9886" t="s">
        <v>4144</v>
      </c>
    </row>
    <row r="9887" spans="1:9" hidden="1" outlineLevel="1" x14ac:dyDescent="0.25">
      <c r="A9887" s="1920">
        <v>0.05</v>
      </c>
      <c r="B9887" s="2965" t="s">
        <v>7573</v>
      </c>
      <c r="C9887" s="1902">
        <v>34.271999999999998</v>
      </c>
      <c r="D9887" s="3196">
        <v>81.650000000000006</v>
      </c>
      <c r="E9887" s="3025">
        <v>1.3824112978524745</v>
      </c>
      <c r="F9887" s="3198">
        <v>0.08</v>
      </c>
      <c r="G9887" s="695"/>
      <c r="H9887" t="s">
        <v>7571</v>
      </c>
      <c r="I9887" s="434"/>
    </row>
    <row r="9888" spans="1:9" hidden="1" outlineLevel="1" x14ac:dyDescent="0.25">
      <c r="A9888" s="1920">
        <v>0.02</v>
      </c>
      <c r="B9888" s="1813" t="s">
        <v>3956</v>
      </c>
      <c r="C9888" s="1902">
        <v>769.1</v>
      </c>
      <c r="D9888" s="3196">
        <v>970</v>
      </c>
      <c r="E9888" s="3025">
        <v>0.26121440644909621</v>
      </c>
      <c r="F9888" s="3198">
        <v>0.08</v>
      </c>
      <c r="G9888" s="695"/>
      <c r="H9888" t="s">
        <v>3957</v>
      </c>
    </row>
    <row r="9889" spans="1:9" hidden="1" outlineLevel="1" x14ac:dyDescent="0.25">
      <c r="A9889" s="1920">
        <v>0.02</v>
      </c>
      <c r="B9889" s="1813" t="s">
        <v>1905</v>
      </c>
      <c r="C9889" s="1902">
        <v>36.694000000000003</v>
      </c>
      <c r="D9889" s="3196">
        <v>61.19</v>
      </c>
      <c r="E9889" s="3025">
        <v>0.66757508039461477</v>
      </c>
      <c r="F9889" s="3198">
        <v>0.08</v>
      </c>
      <c r="G9889" s="695"/>
      <c r="H9889" t="s">
        <v>504</v>
      </c>
    </row>
    <row r="9890" spans="1:9" hidden="1" outlineLevel="1" x14ac:dyDescent="0.25">
      <c r="A9890" s="1920">
        <v>0.05</v>
      </c>
      <c r="B9890" s="1813" t="s">
        <v>2786</v>
      </c>
      <c r="C9890" s="1902">
        <v>623.1</v>
      </c>
      <c r="D9890" s="3196">
        <v>913.2</v>
      </c>
      <c r="E9890" s="3025">
        <v>0.46557534906114584</v>
      </c>
      <c r="F9890" s="3198">
        <v>0.08</v>
      </c>
      <c r="G9890" s="695"/>
      <c r="H9890" t="s">
        <v>4195</v>
      </c>
    </row>
    <row r="9891" spans="1:9" hidden="1" outlineLevel="1" x14ac:dyDescent="0.25">
      <c r="A9891" s="1920">
        <v>0.02</v>
      </c>
      <c r="B9891" s="1813" t="s">
        <v>2787</v>
      </c>
      <c r="C9891" s="1902">
        <v>53.15</v>
      </c>
      <c r="D9891" s="3196">
        <v>70.25</v>
      </c>
      <c r="E9891" s="3025">
        <v>0.32173095014111008</v>
      </c>
      <c r="F9891" s="3198">
        <v>0.08</v>
      </c>
      <c r="G9891" s="695"/>
      <c r="H9891" t="s">
        <v>80</v>
      </c>
    </row>
    <row r="9892" spans="1:9" hidden="1" outlineLevel="1" x14ac:dyDescent="0.25">
      <c r="A9892" s="1920">
        <v>0.02</v>
      </c>
      <c r="B9892" s="1813" t="s">
        <v>3958</v>
      </c>
      <c r="C9892" s="1902">
        <v>1150.2</v>
      </c>
      <c r="D9892" s="3196">
        <v>795.5</v>
      </c>
      <c r="E9892" s="3025">
        <v>-0.30838115110415587</v>
      </c>
      <c r="F9892" s="3198">
        <v>-0.30838115110415587</v>
      </c>
      <c r="G9892" s="695"/>
      <c r="H9892" t="s">
        <v>3959</v>
      </c>
    </row>
    <row r="9893" spans="1:9" hidden="1" outlineLevel="1" x14ac:dyDescent="0.25">
      <c r="A9893" s="1920">
        <v>0.02</v>
      </c>
      <c r="B9893" s="1813" t="s">
        <v>5121</v>
      </c>
      <c r="C9893" s="1902">
        <v>547.5</v>
      </c>
      <c r="D9893" s="3196">
        <v>1375</v>
      </c>
      <c r="E9893" s="3025">
        <v>1.5114155251141552</v>
      </c>
      <c r="F9893" s="3198">
        <v>0.08</v>
      </c>
      <c r="G9893" s="695"/>
      <c r="H9893" t="s">
        <v>5119</v>
      </c>
    </row>
    <row r="9894" spans="1:9" hidden="1" outlineLevel="1" x14ac:dyDescent="0.25">
      <c r="A9894" s="1920">
        <v>7.0000000000000007E-2</v>
      </c>
      <c r="B9894" s="1813" t="s">
        <v>3800</v>
      </c>
      <c r="C9894" s="1902">
        <v>146.26</v>
      </c>
      <c r="D9894" s="3196">
        <v>226.7</v>
      </c>
      <c r="E9894" s="3025">
        <v>0.54997948858197732</v>
      </c>
      <c r="F9894" s="3198">
        <v>0.08</v>
      </c>
      <c r="G9894" s="695"/>
      <c r="H9894" t="s">
        <v>2817</v>
      </c>
    </row>
    <row r="9895" spans="1:9" hidden="1" outlineLevel="1" x14ac:dyDescent="0.25">
      <c r="A9895" s="1920">
        <v>0.02</v>
      </c>
      <c r="B9895" s="1813" t="s">
        <v>102</v>
      </c>
      <c r="C9895" s="1902">
        <v>614.29999999999995</v>
      </c>
      <c r="D9895" s="3196">
        <v>540.5</v>
      </c>
      <c r="E9895" s="3025">
        <v>-0.12013674100602301</v>
      </c>
      <c r="F9895" s="3198">
        <v>-0.12013674100602301</v>
      </c>
      <c r="G9895" s="695"/>
      <c r="H9895" t="s">
        <v>101</v>
      </c>
    </row>
    <row r="9896" spans="1:9" hidden="1" outlineLevel="1" x14ac:dyDescent="0.25">
      <c r="A9896" s="1920">
        <v>0.02</v>
      </c>
      <c r="B9896" s="1813" t="s">
        <v>2728</v>
      </c>
      <c r="C9896" s="1902">
        <v>58.567999999999998</v>
      </c>
      <c r="D9896" s="3196">
        <v>87.08</v>
      </c>
      <c r="E9896" s="3025">
        <v>0.48681874060920638</v>
      </c>
      <c r="F9896" s="3198">
        <v>0.08</v>
      </c>
      <c r="G9896" s="695"/>
      <c r="H9896" t="s">
        <v>258</v>
      </c>
      <c r="I9896" s="434"/>
    </row>
    <row r="9897" spans="1:9" hidden="1" outlineLevel="1" x14ac:dyDescent="0.25">
      <c r="A9897" s="1920">
        <v>0.02</v>
      </c>
      <c r="B9897" s="1813" t="s">
        <v>1857</v>
      </c>
      <c r="C9897" s="1902">
        <v>1333.4</v>
      </c>
      <c r="D9897" s="3196">
        <v>1475</v>
      </c>
      <c r="E9897" s="3025">
        <v>0.10619469026548667</v>
      </c>
      <c r="F9897" s="3198">
        <v>0.08</v>
      </c>
      <c r="G9897" s="695"/>
      <c r="H9897" t="s">
        <v>3559</v>
      </c>
    </row>
    <row r="9898" spans="1:9" hidden="1" outlineLevel="1" x14ac:dyDescent="0.25">
      <c r="A9898" s="1920">
        <v>0.02</v>
      </c>
      <c r="B9898" s="1813" t="s">
        <v>4460</v>
      </c>
      <c r="C9898" s="1902">
        <v>1491</v>
      </c>
      <c r="D9898" s="3196">
        <v>2187</v>
      </c>
      <c r="E9898" s="3025">
        <v>0.46680080482897379</v>
      </c>
      <c r="F9898" s="3198">
        <v>0.08</v>
      </c>
      <c r="G9898" s="695"/>
      <c r="H9898" t="s">
        <v>3485</v>
      </c>
    </row>
    <row r="9899" spans="1:9" hidden="1" outlineLevel="1" x14ac:dyDescent="0.25">
      <c r="A9899" s="1920">
        <v>0.02</v>
      </c>
      <c r="B9899" s="1813" t="s">
        <v>3960</v>
      </c>
      <c r="C9899" s="1902">
        <v>219.26</v>
      </c>
      <c r="D9899" s="3196">
        <v>345.6</v>
      </c>
      <c r="E9899" s="3025">
        <v>0.57621089117942192</v>
      </c>
      <c r="F9899" s="3198">
        <v>0.08</v>
      </c>
      <c r="G9899" s="695"/>
      <c r="H9899" t="s">
        <v>3571</v>
      </c>
    </row>
    <row r="9900" spans="1:9" hidden="1" outlineLevel="1" x14ac:dyDescent="0.25">
      <c r="A9900" s="1920">
        <v>7.0000000000000007E-2</v>
      </c>
      <c r="B9900" s="1813" t="s">
        <v>3022</v>
      </c>
      <c r="C9900" s="1902">
        <v>3905</v>
      </c>
      <c r="D9900" s="3196">
        <v>4685</v>
      </c>
      <c r="E9900" s="3025">
        <v>0.19974391805377723</v>
      </c>
      <c r="F9900" s="3198">
        <v>0.08</v>
      </c>
      <c r="G9900" s="695"/>
      <c r="H9900" t="s">
        <v>2802</v>
      </c>
    </row>
    <row r="9901" spans="1:9" hidden="1" outlineLevel="1" x14ac:dyDescent="0.25">
      <c r="A9901" s="1920">
        <v>0.02</v>
      </c>
      <c r="B9901" s="1813" t="s">
        <v>434</v>
      </c>
      <c r="C9901" s="1902">
        <v>49.375999999999998</v>
      </c>
      <c r="D9901" s="3196">
        <v>34.659999999999997</v>
      </c>
      <c r="E9901" s="3025">
        <v>-0.29803953337653921</v>
      </c>
      <c r="F9901" s="3198">
        <v>-0.29803953337653921</v>
      </c>
      <c r="G9901" s="695"/>
      <c r="H9901" t="s">
        <v>7745</v>
      </c>
    </row>
    <row r="9902" spans="1:9" hidden="1" outlineLevel="1" x14ac:dyDescent="0.25">
      <c r="A9902" s="1920">
        <v>0.02</v>
      </c>
      <c r="B9902" s="2544" t="s">
        <v>2983</v>
      </c>
      <c r="C9902" s="1902">
        <v>621.70000000000005</v>
      </c>
      <c r="D9902" s="3196">
        <v>883</v>
      </c>
      <c r="E9902" s="3025">
        <v>0.42029917966865038</v>
      </c>
      <c r="F9902" s="3198">
        <v>0.08</v>
      </c>
      <c r="G9902" s="695"/>
      <c r="H9902" t="s">
        <v>1713</v>
      </c>
    </row>
    <row r="9903" spans="1:9" hidden="1" outlineLevel="1" x14ac:dyDescent="0.25">
      <c r="A9903" s="1920">
        <v>0.02</v>
      </c>
      <c r="B9903" s="2628" t="s">
        <v>579</v>
      </c>
      <c r="C9903" s="1902">
        <v>168.95</v>
      </c>
      <c r="D9903" s="3196">
        <v>193.9</v>
      </c>
      <c r="E9903" s="3025">
        <v>0.14767682746374677</v>
      </c>
      <c r="F9903" s="3198">
        <v>0.08</v>
      </c>
      <c r="G9903" s="695"/>
      <c r="H9903" t="s">
        <v>3611</v>
      </c>
    </row>
    <row r="9904" spans="1:9" hidden="1" outlineLevel="1" x14ac:dyDescent="0.25">
      <c r="A9904" s="1920">
        <v>0.02</v>
      </c>
      <c r="B9904" s="1813" t="s">
        <v>1211</v>
      </c>
      <c r="C9904" s="1902">
        <v>38.880000000000003</v>
      </c>
      <c r="D9904" s="3196">
        <v>69.52</v>
      </c>
      <c r="E9904" s="3025">
        <v>0.78806584362139898</v>
      </c>
      <c r="F9904" s="3198">
        <v>0.08</v>
      </c>
      <c r="G9904" s="695"/>
      <c r="H9904" t="s">
        <v>685</v>
      </c>
    </row>
    <row r="9905" spans="1:8" hidden="1" outlineLevel="1" x14ac:dyDescent="0.25">
      <c r="A9905" s="1920">
        <v>0.02</v>
      </c>
      <c r="B9905" s="1813" t="s">
        <v>4550</v>
      </c>
      <c r="C9905" s="1902">
        <v>233.6</v>
      </c>
      <c r="D9905" s="3196">
        <v>266.5</v>
      </c>
      <c r="E9905" s="3025">
        <v>0.1408390410958904</v>
      </c>
      <c r="F9905" s="3198">
        <v>0.08</v>
      </c>
      <c r="G9905" s="695"/>
      <c r="H9905" t="s">
        <v>4551</v>
      </c>
    </row>
    <row r="9906" spans="1:8" hidden="1" outlineLevel="1" x14ac:dyDescent="0.25">
      <c r="A9906" s="1897" t="s">
        <v>2465</v>
      </c>
      <c r="B9906" s="1931"/>
      <c r="C9906" s="1932"/>
      <c r="D9906" s="3030"/>
      <c r="E9906" s="3078">
        <v>0.44397468187793165</v>
      </c>
      <c r="F9906" s="3385">
        <v>2.0857173201227052E-3</v>
      </c>
      <c r="G9906" s="695"/>
    </row>
    <row r="9907" spans="1:8" hidden="1" outlineLevel="1" x14ac:dyDescent="0.25">
      <c r="A9907" s="3182"/>
      <c r="B9907" s="3183"/>
      <c r="C9907" s="3183"/>
      <c r="D9907" s="3183"/>
      <c r="E9907" s="3183"/>
      <c r="F9907" s="3508"/>
      <c r="G9907" s="78"/>
    </row>
    <row r="9908" spans="1:8" hidden="1" outlineLevel="1" x14ac:dyDescent="0.25">
      <c r="A9908" s="3035" t="s">
        <v>113</v>
      </c>
      <c r="B9908" s="3035"/>
      <c r="C9908" s="3042"/>
      <c r="D9908" s="3042"/>
      <c r="E9908" s="2984"/>
      <c r="F9908" s="3181"/>
      <c r="G9908" s="78"/>
    </row>
    <row r="9909" spans="1:8" hidden="1" outlineLevel="1" x14ac:dyDescent="0.25">
      <c r="A9909" s="1810" t="s">
        <v>1282</v>
      </c>
      <c r="B9909" s="3182"/>
      <c r="C9909" s="3183"/>
      <c r="D9909" s="3183"/>
      <c r="E9909" s="2992"/>
      <c r="F9909" s="3193">
        <v>7.4999999999999997E-2</v>
      </c>
      <c r="G9909" s="78"/>
    </row>
    <row r="9910" spans="1:8" hidden="1" outlineLevel="1" x14ac:dyDescent="0.25">
      <c r="A9910" s="1810" t="s">
        <v>1283</v>
      </c>
      <c r="B9910" s="3028"/>
      <c r="C9910" s="3187"/>
      <c r="D9910" s="3187"/>
      <c r="E9910" s="2199"/>
      <c r="F9910" s="3198">
        <v>4.2659999999999339E-3</v>
      </c>
      <c r="G9910" s="78"/>
    </row>
    <row r="9911" spans="1:8" hidden="1" outlineLevel="1" x14ac:dyDescent="0.25">
      <c r="A9911" s="1810" t="s">
        <v>1284</v>
      </c>
      <c r="B9911" s="3028"/>
      <c r="C9911" s="3187"/>
      <c r="D9911" s="3187"/>
      <c r="E9911" s="2199"/>
      <c r="F9911" s="3198">
        <v>2.5584999999999952E-2</v>
      </c>
      <c r="G9911" s="78"/>
    </row>
    <row r="9912" spans="1:8" hidden="1" outlineLevel="1" x14ac:dyDescent="0.25">
      <c r="A9912" s="1810" t="s">
        <v>1285</v>
      </c>
      <c r="B9912" s="3028"/>
      <c r="C9912" s="3187"/>
      <c r="D9912" s="3187"/>
      <c r="E9912" s="2199"/>
      <c r="F9912" s="3198">
        <v>3.2745999999999997E-2</v>
      </c>
      <c r="G9912" s="78"/>
    </row>
    <row r="9913" spans="1:8" hidden="1" outlineLevel="1" x14ac:dyDescent="0.25">
      <c r="A9913" s="1810" t="s">
        <v>1286</v>
      </c>
      <c r="B9913" s="3039"/>
      <c r="C9913" s="3146"/>
      <c r="D9913" s="3146"/>
      <c r="E9913" s="2204"/>
      <c r="F9913" s="2989">
        <v>1.35E-2</v>
      </c>
      <c r="G9913" s="78"/>
    </row>
    <row r="9914" spans="1:8" collapsed="1" x14ac:dyDescent="0.25">
      <c r="A9914" s="3803" t="s">
        <v>3157</v>
      </c>
      <c r="B9914" s="3804"/>
      <c r="C9914" s="3804"/>
      <c r="D9914" s="3042"/>
      <c r="E9914" s="3042"/>
      <c r="F9914" s="3205">
        <f>MAX(SUM(F9909:F9913),parametry!M330)</f>
        <v>0.1510969999999999</v>
      </c>
      <c r="G9914" s="78"/>
    </row>
    <row r="9916" spans="1:8" hidden="1" outlineLevel="1" x14ac:dyDescent="0.25">
      <c r="A9916" s="2324" t="s">
        <v>113</v>
      </c>
      <c r="B9916" s="2324" t="s">
        <v>114</v>
      </c>
      <c r="C9916" s="2324" t="s">
        <v>112</v>
      </c>
      <c r="D9916" s="2324" t="s">
        <v>116</v>
      </c>
      <c r="E9916" s="2324" t="s">
        <v>117</v>
      </c>
      <c r="F9916" s="2325" t="s">
        <v>121</v>
      </c>
      <c r="G9916" s="78"/>
    </row>
    <row r="9917" spans="1:8" hidden="1" outlineLevel="1" x14ac:dyDescent="0.25">
      <c r="A9917" s="2326"/>
      <c r="B9917" s="2326"/>
      <c r="C9917" s="2327"/>
      <c r="D9917" s="1900" t="s">
        <v>3702</v>
      </c>
      <c r="E9917" s="2328">
        <v>43662</v>
      </c>
      <c r="F9917" s="2329"/>
      <c r="G9917" s="78"/>
    </row>
    <row r="9918" spans="1:8" hidden="1" outlineLevel="1" x14ac:dyDescent="0.25">
      <c r="A9918" s="2324" t="s">
        <v>4156</v>
      </c>
      <c r="B9918" s="2324" t="s">
        <v>4153</v>
      </c>
      <c r="C9918" s="2330" t="s">
        <v>112</v>
      </c>
      <c r="D9918" s="2324" t="s">
        <v>4155</v>
      </c>
      <c r="E9918" s="2324" t="s">
        <v>4154</v>
      </c>
      <c r="F9918" s="2325" t="s">
        <v>734</v>
      </c>
      <c r="G9918" s="78"/>
    </row>
    <row r="9919" spans="1:8" hidden="1" outlineLevel="1" x14ac:dyDescent="0.25">
      <c r="A9919" s="1920">
        <v>7.0000000000000007E-2</v>
      </c>
      <c r="B9919" s="1921" t="s">
        <v>2942</v>
      </c>
      <c r="C9919" s="2331">
        <v>615.6</v>
      </c>
      <c r="D9919" s="2332">
        <v>1543</v>
      </c>
      <c r="E9919" s="2333">
        <v>1.5064977257959713</v>
      </c>
      <c r="F9919" s="2334">
        <v>0.08</v>
      </c>
      <c r="G9919" s="78"/>
      <c r="H9919" t="s">
        <v>2336</v>
      </c>
    </row>
    <row r="9920" spans="1:8" hidden="1" outlineLevel="1" x14ac:dyDescent="0.25">
      <c r="A9920" s="1920">
        <v>0.02</v>
      </c>
      <c r="B9920" s="1921" t="s">
        <v>805</v>
      </c>
      <c r="C9920" s="2331">
        <v>60.875999999999998</v>
      </c>
      <c r="D9920" s="2332">
        <v>99.43</v>
      </c>
      <c r="E9920" s="2333">
        <v>0.63332019186543165</v>
      </c>
      <c r="F9920" s="2334">
        <v>0.08</v>
      </c>
      <c r="G9920" s="78"/>
      <c r="H9920" t="s">
        <v>806</v>
      </c>
    </row>
    <row r="9921" spans="1:8" hidden="1" outlineLevel="1" x14ac:dyDescent="0.25">
      <c r="A9921" s="1920">
        <v>0.03</v>
      </c>
      <c r="B9921" s="1921" t="s">
        <v>4377</v>
      </c>
      <c r="C9921" s="2331">
        <v>28.783999999999999</v>
      </c>
      <c r="D9921" s="2332">
        <v>44.45</v>
      </c>
      <c r="E9921" s="2333">
        <v>0.54426070038910512</v>
      </c>
      <c r="F9921" s="2334">
        <v>0.08</v>
      </c>
      <c r="G9921" s="78"/>
      <c r="H9921" t="s">
        <v>4327</v>
      </c>
    </row>
    <row r="9922" spans="1:8" hidden="1" outlineLevel="1" x14ac:dyDescent="0.25">
      <c r="A9922" s="1920">
        <v>0.05</v>
      </c>
      <c r="B9922" s="1921" t="s">
        <v>3954</v>
      </c>
      <c r="C9922" s="2331">
        <v>82.605999999999995</v>
      </c>
      <c r="D9922" s="2332">
        <v>102.34</v>
      </c>
      <c r="E9922" s="2333">
        <v>0.23889305861559706</v>
      </c>
      <c r="F9922" s="2334">
        <v>0.08</v>
      </c>
      <c r="G9922" s="78"/>
      <c r="H9922" t="s">
        <v>3955</v>
      </c>
    </row>
    <row r="9923" spans="1:8" hidden="1" outlineLevel="1" x14ac:dyDescent="0.25">
      <c r="A9923" s="1920">
        <v>0.02</v>
      </c>
      <c r="B9923" s="1926" t="s">
        <v>4332</v>
      </c>
      <c r="C9923" s="2331">
        <v>315.36</v>
      </c>
      <c r="D9923" s="2332">
        <v>88.1</v>
      </c>
      <c r="E9923" s="2333">
        <v>-0.72063673262303407</v>
      </c>
      <c r="F9923" s="2334">
        <v>-0.72063673262303407</v>
      </c>
      <c r="G9923" s="78"/>
      <c r="H9923" t="s">
        <v>4334</v>
      </c>
    </row>
    <row r="9924" spans="1:8" hidden="1" outlineLevel="1" x14ac:dyDescent="0.25">
      <c r="A9924" s="1920">
        <v>0.08</v>
      </c>
      <c r="B9924" s="1921" t="s">
        <v>1319</v>
      </c>
      <c r="C9924" s="2331">
        <v>53.814</v>
      </c>
      <c r="D9924" s="2332">
        <v>87.82</v>
      </c>
      <c r="E9924" s="2333">
        <v>0.63191734492882889</v>
      </c>
      <c r="F9924" s="2334">
        <v>0.08</v>
      </c>
      <c r="G9924" s="78"/>
      <c r="H9924" t="s">
        <v>1320</v>
      </c>
    </row>
    <row r="9925" spans="1:8" hidden="1" outlineLevel="1" x14ac:dyDescent="0.25">
      <c r="A9925" s="1920">
        <v>0.02</v>
      </c>
      <c r="B9925" s="1921" t="s">
        <v>3798</v>
      </c>
      <c r="C9925" s="2331">
        <v>4.7072000000000003</v>
      </c>
      <c r="D9925" s="2332">
        <v>6.4509999999999996</v>
      </c>
      <c r="E9925" s="2333">
        <v>0.37045377294357573</v>
      </c>
      <c r="F9925" s="2334">
        <v>0.08</v>
      </c>
      <c r="G9925" s="78"/>
      <c r="H9925" t="s">
        <v>4122</v>
      </c>
    </row>
    <row r="9926" spans="1:8" hidden="1" outlineLevel="1" x14ac:dyDescent="0.25">
      <c r="A9926" s="1920">
        <v>0.02</v>
      </c>
      <c r="B9926" s="2335" t="s">
        <v>5824</v>
      </c>
      <c r="C9926" s="2331">
        <v>15.628</v>
      </c>
      <c r="D9926" s="2332">
        <v>13.33</v>
      </c>
      <c r="E9926" s="2333">
        <v>-0.14704376759662141</v>
      </c>
      <c r="F9926" s="2334">
        <v>-0.14704376759662141</v>
      </c>
      <c r="G9926" s="78"/>
      <c r="H9926" t="s">
        <v>5817</v>
      </c>
    </row>
    <row r="9927" spans="1:8" hidden="1" outlineLevel="1" x14ac:dyDescent="0.25">
      <c r="A9927" s="1920">
        <v>0.02</v>
      </c>
      <c r="B9927" s="1921" t="s">
        <v>3269</v>
      </c>
      <c r="C9927" s="2331">
        <v>13.321</v>
      </c>
      <c r="D9927" s="2332">
        <v>22.53</v>
      </c>
      <c r="E9927" s="2333">
        <v>0.69131446588094003</v>
      </c>
      <c r="F9927" s="2334">
        <v>0.08</v>
      </c>
      <c r="G9927" s="78"/>
      <c r="H9927" t="s">
        <v>9277</v>
      </c>
    </row>
    <row r="9928" spans="1:8" hidden="1" outlineLevel="1" x14ac:dyDescent="0.25">
      <c r="A9928" s="1920">
        <v>0.08</v>
      </c>
      <c r="B9928" s="1921" t="s">
        <v>1381</v>
      </c>
      <c r="C9928" s="2331">
        <v>68.122</v>
      </c>
      <c r="D9928" s="2332">
        <v>138.52000000000001</v>
      </c>
      <c r="E9928" s="2333">
        <v>1.0334106456064123</v>
      </c>
      <c r="F9928" s="2334">
        <v>0.08</v>
      </c>
      <c r="G9928" s="78"/>
      <c r="H9928" t="s">
        <v>1383</v>
      </c>
    </row>
    <row r="9929" spans="1:8" hidden="1" outlineLevel="1" x14ac:dyDescent="0.25">
      <c r="A9929" s="1920">
        <v>0.05</v>
      </c>
      <c r="B9929" s="1921" t="s">
        <v>4143</v>
      </c>
      <c r="C9929" s="2331">
        <v>10.412000000000001</v>
      </c>
      <c r="D9929" s="2332">
        <v>2.62</v>
      </c>
      <c r="E9929" s="2333">
        <v>-0.74836726853630431</v>
      </c>
      <c r="F9929" s="2334">
        <v>-0.74836726853630431</v>
      </c>
      <c r="G9929" s="78"/>
      <c r="H9929" t="s">
        <v>4144</v>
      </c>
    </row>
    <row r="9930" spans="1:8" hidden="1" outlineLevel="1" x14ac:dyDescent="0.25">
      <c r="A9930" s="1920">
        <v>0.05</v>
      </c>
      <c r="B9930" s="2336" t="s">
        <v>7573</v>
      </c>
      <c r="C9930" s="2331">
        <v>34.655999999999999</v>
      </c>
      <c r="D9930" s="2332">
        <v>30.32</v>
      </c>
      <c r="E9930" s="2333">
        <v>-0.12511542012927046</v>
      </c>
      <c r="F9930" s="2334">
        <v>-0.12511542012927046</v>
      </c>
      <c r="G9930" s="78"/>
      <c r="H9930" t="s">
        <v>7571</v>
      </c>
    </row>
    <row r="9931" spans="1:8" hidden="1" outlineLevel="1" x14ac:dyDescent="0.25">
      <c r="A9931" s="1920">
        <v>0.02</v>
      </c>
      <c r="B9931" s="1921" t="s">
        <v>3956</v>
      </c>
      <c r="C9931" s="2331">
        <v>758.7</v>
      </c>
      <c r="D9931" s="2332">
        <v>838.4</v>
      </c>
      <c r="E9931" s="2333">
        <v>0.10504810860682734</v>
      </c>
      <c r="F9931" s="2334">
        <v>0.08</v>
      </c>
      <c r="G9931" s="78"/>
      <c r="H9931" t="s">
        <v>3957</v>
      </c>
    </row>
    <row r="9932" spans="1:8" hidden="1" outlineLevel="1" x14ac:dyDescent="0.25">
      <c r="A9932" s="1920">
        <v>0.02</v>
      </c>
      <c r="B9932" s="1921" t="s">
        <v>1905</v>
      </c>
      <c r="C9932" s="2331">
        <v>37.095999999999997</v>
      </c>
      <c r="D9932" s="2332">
        <v>81.59</v>
      </c>
      <c r="E9932" s="2333">
        <v>1.1994285098123791</v>
      </c>
      <c r="F9932" s="2334">
        <v>0.08</v>
      </c>
      <c r="G9932" s="78"/>
      <c r="H9932" t="s">
        <v>504</v>
      </c>
    </row>
    <row r="9933" spans="1:8" hidden="1" outlineLevel="1" x14ac:dyDescent="0.25">
      <c r="A9933" s="1920">
        <v>0.05</v>
      </c>
      <c r="B9933" s="1921" t="s">
        <v>2786</v>
      </c>
      <c r="C9933" s="2331">
        <v>621.5</v>
      </c>
      <c r="D9933" s="2332">
        <v>830</v>
      </c>
      <c r="E9933" s="2333">
        <v>0.33547868061142405</v>
      </c>
      <c r="F9933" s="2334">
        <v>0.08</v>
      </c>
      <c r="G9933" s="78"/>
      <c r="H9933" t="s">
        <v>4195</v>
      </c>
    </row>
    <row r="9934" spans="1:8" hidden="1" outlineLevel="1" x14ac:dyDescent="0.25">
      <c r="A9934" s="1920">
        <v>0.02</v>
      </c>
      <c r="B9934" s="1921" t="s">
        <v>2787</v>
      </c>
      <c r="C9934" s="2331">
        <v>53.89</v>
      </c>
      <c r="D9934" s="2332">
        <v>88.03</v>
      </c>
      <c r="E9934" s="2333">
        <v>0.63351271107812201</v>
      </c>
      <c r="F9934" s="2334">
        <v>0.08</v>
      </c>
      <c r="G9934" s="78"/>
      <c r="H9934" t="s">
        <v>8874</v>
      </c>
    </row>
    <row r="9935" spans="1:8" hidden="1" outlineLevel="1" x14ac:dyDescent="0.25">
      <c r="A9935" s="1920">
        <v>0.02</v>
      </c>
      <c r="B9935" s="1921" t="s">
        <v>3958</v>
      </c>
      <c r="C9935" s="2331">
        <v>1157.4000000000001</v>
      </c>
      <c r="D9935" s="2332">
        <v>893.2</v>
      </c>
      <c r="E9935" s="2333">
        <v>-0.22827026092966995</v>
      </c>
      <c r="F9935" s="2334">
        <v>-0.22827026092966995</v>
      </c>
      <c r="G9935" s="78"/>
      <c r="H9935" t="s">
        <v>3959</v>
      </c>
    </row>
    <row r="9936" spans="1:8" hidden="1" outlineLevel="1" x14ac:dyDescent="0.25">
      <c r="A9936" s="1920">
        <v>0.02</v>
      </c>
      <c r="B9936" s="1921" t="s">
        <v>5121</v>
      </c>
      <c r="C9936" s="2331">
        <v>559.1</v>
      </c>
      <c r="D9936" s="2332">
        <v>1965</v>
      </c>
      <c r="E9936" s="2333">
        <v>2.5145769987479878</v>
      </c>
      <c r="F9936" s="2334">
        <v>0.08</v>
      </c>
      <c r="G9936" s="78"/>
      <c r="H9936" t="s">
        <v>5119</v>
      </c>
    </row>
    <row r="9937" spans="1:8" hidden="1" outlineLevel="1" x14ac:dyDescent="0.25">
      <c r="A9937" s="1920">
        <v>7.0000000000000007E-2</v>
      </c>
      <c r="B9937" s="1921" t="s">
        <v>3800</v>
      </c>
      <c r="C9937" s="2331">
        <v>148.91999999999999</v>
      </c>
      <c r="D9937" s="2332">
        <v>266.05</v>
      </c>
      <c r="E9937" s="2333">
        <v>0.78652968036529702</v>
      </c>
      <c r="F9937" s="2334">
        <v>0.08</v>
      </c>
      <c r="G9937" s="78"/>
      <c r="H9937" t="s">
        <v>8876</v>
      </c>
    </row>
    <row r="9938" spans="1:8" hidden="1" outlineLevel="1" x14ac:dyDescent="0.25">
      <c r="A9938" s="1920">
        <v>0.02</v>
      </c>
      <c r="B9938" s="1921" t="s">
        <v>102</v>
      </c>
      <c r="C9938" s="2331">
        <v>610.65</v>
      </c>
      <c r="D9938" s="2332">
        <v>597</v>
      </c>
      <c r="E9938" s="2333">
        <v>-2.2353230164578686E-2</v>
      </c>
      <c r="F9938" s="2334">
        <v>-2.2353230164578686E-2</v>
      </c>
      <c r="G9938" s="78"/>
      <c r="H9938" t="s">
        <v>101</v>
      </c>
    </row>
    <row r="9939" spans="1:8" hidden="1" outlineLevel="1" x14ac:dyDescent="0.25">
      <c r="A9939" s="1920">
        <v>0.02</v>
      </c>
      <c r="B9939" s="1921" t="s">
        <v>2728</v>
      </c>
      <c r="C9939" s="2331">
        <v>58.622</v>
      </c>
      <c r="D9939" s="2332">
        <v>104.42</v>
      </c>
      <c r="E9939" s="2333">
        <v>0.78124253693152745</v>
      </c>
      <c r="F9939" s="2334">
        <v>0.08</v>
      </c>
      <c r="G9939" s="78"/>
      <c r="H9939" t="s">
        <v>9049</v>
      </c>
    </row>
    <row r="9940" spans="1:8" hidden="1" outlineLevel="1" x14ac:dyDescent="0.25">
      <c r="A9940" s="1920">
        <v>0.02</v>
      </c>
      <c r="B9940" s="1921" t="s">
        <v>1857</v>
      </c>
      <c r="C9940" s="2331">
        <v>1343.6</v>
      </c>
      <c r="D9940" s="2332">
        <v>1151.5</v>
      </c>
      <c r="E9940" s="2333">
        <v>-0.14297409943435535</v>
      </c>
      <c r="F9940" s="2334">
        <v>-0.14297409943435535</v>
      </c>
      <c r="G9940" s="78"/>
      <c r="H9940" t="s">
        <v>3559</v>
      </c>
    </row>
    <row r="9941" spans="1:8" hidden="1" outlineLevel="1" x14ac:dyDescent="0.25">
      <c r="A9941" s="1920">
        <v>0.02</v>
      </c>
      <c r="B9941" s="1921" t="s">
        <v>4460</v>
      </c>
      <c r="C9941" s="2331">
        <v>1500.2</v>
      </c>
      <c r="D9941" s="2332">
        <v>2007</v>
      </c>
      <c r="E9941" s="2333">
        <v>0.33782162378349545</v>
      </c>
      <c r="F9941" s="2334">
        <v>0.08</v>
      </c>
      <c r="G9941" s="78"/>
      <c r="H9941" t="s">
        <v>3485</v>
      </c>
    </row>
    <row r="9942" spans="1:8" hidden="1" outlineLevel="1" x14ac:dyDescent="0.25">
      <c r="A9942" s="1920">
        <v>0.02</v>
      </c>
      <c r="B9942" s="1921" t="s">
        <v>3960</v>
      </c>
      <c r="C9942" s="2331">
        <v>215.54</v>
      </c>
      <c r="D9942" s="2332">
        <v>304.39999999999998</v>
      </c>
      <c r="E9942" s="2333">
        <v>0.41226686461909612</v>
      </c>
      <c r="F9942" s="2334">
        <v>0.08</v>
      </c>
      <c r="G9942" s="78"/>
      <c r="H9942" t="s">
        <v>8828</v>
      </c>
    </row>
    <row r="9943" spans="1:8" hidden="1" outlineLevel="1" x14ac:dyDescent="0.25">
      <c r="A9943" s="1920">
        <v>7.0000000000000007E-2</v>
      </c>
      <c r="B9943" s="1921" t="s">
        <v>3022</v>
      </c>
      <c r="C9943" s="2331">
        <v>3824</v>
      </c>
      <c r="D9943" s="2332">
        <v>3876</v>
      </c>
      <c r="E9943" s="2333">
        <v>1.3598326359832713E-2</v>
      </c>
      <c r="F9943" s="2334">
        <v>0.08</v>
      </c>
      <c r="G9943" s="78"/>
      <c r="H9943" t="s">
        <v>2802</v>
      </c>
    </row>
    <row r="9944" spans="1:8" hidden="1" outlineLevel="1" x14ac:dyDescent="0.25">
      <c r="A9944" s="1920">
        <v>0.02</v>
      </c>
      <c r="B9944" s="1921" t="s">
        <v>434</v>
      </c>
      <c r="C9944" s="2331">
        <v>49.494</v>
      </c>
      <c r="D9944" s="2332">
        <v>42.59</v>
      </c>
      <c r="E9944" s="2333">
        <v>-0.1394916555542085</v>
      </c>
      <c r="F9944" s="2334">
        <v>-0.1394916555542085</v>
      </c>
      <c r="G9944" s="78"/>
      <c r="H9944" t="s">
        <v>7745</v>
      </c>
    </row>
    <row r="9945" spans="1:8" hidden="1" outlineLevel="1" x14ac:dyDescent="0.25">
      <c r="A9945" s="1920">
        <v>0.02</v>
      </c>
      <c r="B9945" s="1921" t="s">
        <v>2983</v>
      </c>
      <c r="C9945" s="2331">
        <v>621.9</v>
      </c>
      <c r="D9945" s="2332">
        <v>763.2</v>
      </c>
      <c r="E9945" s="2333">
        <v>0.22720694645441397</v>
      </c>
      <c r="F9945" s="2334">
        <v>0.08</v>
      </c>
      <c r="G9945" s="78"/>
      <c r="H9945" t="s">
        <v>1713</v>
      </c>
    </row>
    <row r="9946" spans="1:8" hidden="1" outlineLevel="1" x14ac:dyDescent="0.25">
      <c r="A9946" s="1920">
        <v>0.02</v>
      </c>
      <c r="B9946" s="1921" t="s">
        <v>579</v>
      </c>
      <c r="C9946" s="2331">
        <v>168.59</v>
      </c>
      <c r="D9946" s="2332">
        <v>128.08000000000001</v>
      </c>
      <c r="E9946" s="2333">
        <v>-0.24028708701583723</v>
      </c>
      <c r="F9946" s="2334">
        <v>-0.24028708701583723</v>
      </c>
      <c r="G9946" s="78"/>
      <c r="H9946" t="s">
        <v>3611</v>
      </c>
    </row>
    <row r="9947" spans="1:8" hidden="1" outlineLevel="1" x14ac:dyDescent="0.25">
      <c r="A9947" s="1920">
        <v>0.02</v>
      </c>
      <c r="B9947" s="1921" t="s">
        <v>1211</v>
      </c>
      <c r="C9947" s="2331">
        <v>38.783999999999999</v>
      </c>
      <c r="D9947" s="2332">
        <v>118.17</v>
      </c>
      <c r="E9947" s="2333">
        <v>2.046875</v>
      </c>
      <c r="F9947" s="2334">
        <v>0.08</v>
      </c>
      <c r="G9947" s="78"/>
      <c r="H9947" t="s">
        <v>685</v>
      </c>
    </row>
    <row r="9948" spans="1:8" hidden="1" outlineLevel="1" x14ac:dyDescent="0.25">
      <c r="A9948" s="1920">
        <v>0.02</v>
      </c>
      <c r="B9948" s="1921" t="s">
        <v>4550</v>
      </c>
      <c r="C9948" s="2337">
        <v>230.88</v>
      </c>
      <c r="D9948" s="2332">
        <v>343.6</v>
      </c>
      <c r="E9948" s="2333">
        <v>0.48821898821898824</v>
      </c>
      <c r="F9948" s="2334">
        <v>0.08</v>
      </c>
      <c r="G9948" s="78"/>
      <c r="H9948" t="s">
        <v>8889</v>
      </c>
    </row>
    <row r="9949" spans="1:8" hidden="1" outlineLevel="1" x14ac:dyDescent="0.25">
      <c r="A9949" s="1897" t="s">
        <v>2465</v>
      </c>
      <c r="B9949" s="1931"/>
      <c r="C9949" s="1932"/>
      <c r="D9949" s="2338"/>
      <c r="E9949" s="2339">
        <v>0.47206691177153154</v>
      </c>
      <c r="F9949" s="1897">
        <v>-1.5695271099644838E-2</v>
      </c>
      <c r="G9949" s="78"/>
    </row>
    <row r="9950" spans="1:8" hidden="1" outlineLevel="1" x14ac:dyDescent="0.25">
      <c r="A9950" s="2340"/>
      <c r="B9950" s="2341"/>
      <c r="C9950" s="2341"/>
      <c r="D9950" s="2341"/>
      <c r="E9950" s="2341"/>
      <c r="F9950" s="2342"/>
      <c r="G9950" s="78"/>
    </row>
    <row r="9951" spans="1:8" hidden="1" outlineLevel="1" x14ac:dyDescent="0.25">
      <c r="A9951" s="2343" t="s">
        <v>113</v>
      </c>
      <c r="B9951" s="2344"/>
      <c r="C9951" s="2345"/>
      <c r="D9951" s="2345"/>
      <c r="E9951" s="2326"/>
      <c r="F9951" s="2334"/>
      <c r="G9951" s="78"/>
    </row>
    <row r="9952" spans="1:8" hidden="1" outlineLevel="1" x14ac:dyDescent="0.25">
      <c r="A9952" s="2160" t="s">
        <v>3159</v>
      </c>
      <c r="B9952" s="2340"/>
      <c r="C9952" s="2346">
        <v>100</v>
      </c>
      <c r="D9952" s="2341">
        <v>97.703900000000004</v>
      </c>
      <c r="E9952" s="2347">
        <v>-2.2961000000000009E-2</v>
      </c>
      <c r="F9952" s="2348">
        <v>0</v>
      </c>
      <c r="G9952" s="78"/>
    </row>
    <row r="9953" spans="1:15" hidden="1" outlineLevel="1" x14ac:dyDescent="0.25">
      <c r="A9953" s="2160" t="s">
        <v>3160</v>
      </c>
      <c r="B9953" s="2335"/>
      <c r="C9953" s="2332">
        <v>100</v>
      </c>
      <c r="D9953" s="2326">
        <v>100.40219999999999</v>
      </c>
      <c r="E9953" s="2349">
        <v>4.02199999999997E-3</v>
      </c>
      <c r="F9953" s="2334">
        <v>4.02199999999997E-3</v>
      </c>
      <c r="G9953" s="78"/>
    </row>
    <row r="9954" spans="1:15" hidden="1" outlineLevel="1" x14ac:dyDescent="0.25">
      <c r="A9954" s="2160" t="s">
        <v>3161</v>
      </c>
      <c r="B9954" s="2335"/>
      <c r="C9954" s="2332">
        <v>100</v>
      </c>
      <c r="D9954" s="2326">
        <v>102.58</v>
      </c>
      <c r="E9954" s="2349">
        <v>2.58E-2</v>
      </c>
      <c r="F9954" s="2334">
        <v>2.58E-2</v>
      </c>
      <c r="G9954" s="78"/>
      <c r="H9954" t="s">
        <v>9991</v>
      </c>
    </row>
    <row r="9955" spans="1:15" hidden="1" outlineLevel="1" x14ac:dyDescent="0.25">
      <c r="A9955" s="2160" t="s">
        <v>3162</v>
      </c>
      <c r="B9955" s="2335"/>
      <c r="C9955" s="2332">
        <v>100</v>
      </c>
      <c r="D9955" s="2326">
        <v>103.29559999999999</v>
      </c>
      <c r="E9955" s="2349">
        <v>3.2955999999999985E-2</v>
      </c>
      <c r="F9955" s="2334">
        <v>3.2955999999999985E-2</v>
      </c>
      <c r="G9955" s="78"/>
    </row>
    <row r="9956" spans="1:15" hidden="1" outlineLevel="1" x14ac:dyDescent="0.25">
      <c r="A9956" s="2160" t="s">
        <v>3163</v>
      </c>
      <c r="B9956" s="2335"/>
      <c r="C9956" s="2332">
        <v>100</v>
      </c>
      <c r="D9956" s="2326">
        <v>101.3707</v>
      </c>
      <c r="E9956" s="2349">
        <v>1.37E-2</v>
      </c>
      <c r="F9956" s="2334">
        <v>1.37E-2</v>
      </c>
      <c r="G9956" s="78"/>
    </row>
    <row r="9957" spans="1:15" hidden="1" outlineLevel="1" x14ac:dyDescent="0.25">
      <c r="A9957" s="2160" t="s">
        <v>3164</v>
      </c>
      <c r="B9957" s="2335"/>
      <c r="C9957" s="2332">
        <v>100</v>
      </c>
      <c r="D9957" s="2326">
        <v>101.968</v>
      </c>
      <c r="E9957" s="2349">
        <v>1.9680000000000142E-2</v>
      </c>
      <c r="F9957" s="2334">
        <v>1.9680000000000142E-2</v>
      </c>
      <c r="G9957" s="78"/>
    </row>
    <row r="9958" spans="1:15" hidden="1" outlineLevel="1" x14ac:dyDescent="0.25">
      <c r="A9958" s="2160" t="s">
        <v>3165</v>
      </c>
      <c r="B9958" s="2335"/>
      <c r="C9958" s="2332">
        <v>100</v>
      </c>
      <c r="D9958" s="2326">
        <v>102.35120000000001</v>
      </c>
      <c r="E9958" s="2349">
        <v>2.3511999999999977E-2</v>
      </c>
      <c r="F9958" s="2334">
        <v>2.3511999999999977E-2</v>
      </c>
      <c r="G9958" s="78"/>
    </row>
    <row r="9959" spans="1:15" hidden="1" outlineLevel="1" x14ac:dyDescent="0.25">
      <c r="A9959" s="2160" t="s">
        <v>3166</v>
      </c>
      <c r="B9959" s="2350"/>
      <c r="C9959" s="2351">
        <v>100</v>
      </c>
      <c r="D9959" s="2352">
        <v>100.5821</v>
      </c>
      <c r="E9959" s="2353">
        <v>5.8210000000000761E-3</v>
      </c>
      <c r="F9959" s="2354">
        <v>5.8210000000000761E-3</v>
      </c>
      <c r="G9959" s="78"/>
    </row>
    <row r="9960" spans="1:15" hidden="1" outlineLevel="1" x14ac:dyDescent="0.25">
      <c r="A9960" s="2160"/>
      <c r="B9960" s="2352"/>
      <c r="C9960" s="2352"/>
      <c r="D9960" s="2352"/>
      <c r="E9960" s="2352"/>
      <c r="F9960" s="2355"/>
      <c r="G9960" s="78"/>
    </row>
    <row r="9961" spans="1:15" collapsed="1" x14ac:dyDescent="0.25">
      <c r="A9961" s="3803" t="s">
        <v>3158</v>
      </c>
      <c r="B9961" s="3804"/>
      <c r="C9961" s="3804"/>
      <c r="D9961" s="2356"/>
      <c r="E9961" s="2356"/>
      <c r="F9961" s="1948">
        <v>0.12549100000000016</v>
      </c>
      <c r="G9961" s="78"/>
    </row>
    <row r="9963" spans="1:15" hidden="1" outlineLevel="1" x14ac:dyDescent="0.25">
      <c r="A9963" s="1560" t="s">
        <v>113</v>
      </c>
      <c r="B9963" s="1560" t="s">
        <v>114</v>
      </c>
      <c r="C9963" s="1560" t="s">
        <v>112</v>
      </c>
      <c r="D9963" s="1560" t="s">
        <v>116</v>
      </c>
      <c r="E9963" s="1560" t="s">
        <v>117</v>
      </c>
      <c r="F9963" s="1885" t="s">
        <v>121</v>
      </c>
      <c r="G9963" s="78"/>
    </row>
    <row r="9964" spans="1:15" hidden="1" outlineLevel="1" x14ac:dyDescent="0.25">
      <c r="A9964" s="1561">
        <v>1</v>
      </c>
      <c r="B9964" s="1562" t="s">
        <v>252</v>
      </c>
      <c r="C9964" s="1563">
        <v>100</v>
      </c>
      <c r="D9964" s="1563"/>
      <c r="E9964" s="1564"/>
      <c r="F9964" s="1565"/>
      <c r="G9964" s="78"/>
    </row>
    <row r="9965" spans="1:15" hidden="1" outlineLevel="1" x14ac:dyDescent="0.25">
      <c r="A9965" s="1566"/>
      <c r="B9965" s="1566"/>
      <c r="C9965" s="1567"/>
      <c r="D9965" s="1568" t="s">
        <v>3702</v>
      </c>
      <c r="E9965" s="1569">
        <v>42580</v>
      </c>
      <c r="F9965" s="1570"/>
      <c r="G9965" s="78"/>
    </row>
    <row r="9966" spans="1:15" hidden="1" outlineLevel="1" x14ac:dyDescent="0.25">
      <c r="A9966" s="1560" t="s">
        <v>4156</v>
      </c>
      <c r="B9966" t="s">
        <v>4153</v>
      </c>
      <c r="C9966" t="s">
        <v>2962</v>
      </c>
      <c r="D9966" t="s">
        <v>4155</v>
      </c>
      <c r="E9966" t="s">
        <v>4154</v>
      </c>
      <c r="F9966" s="1872" t="s">
        <v>2519</v>
      </c>
      <c r="G9966" s="78"/>
      <c r="I9966" s="354">
        <v>40584</v>
      </c>
      <c r="J9966" s="355">
        <v>40603</v>
      </c>
      <c r="K9966" s="354">
        <v>40634</v>
      </c>
      <c r="M9966" t="s">
        <v>2040</v>
      </c>
    </row>
    <row r="9967" spans="1:15" hidden="1" outlineLevel="1" x14ac:dyDescent="0.25">
      <c r="A9967" s="1600">
        <v>0.03</v>
      </c>
      <c r="B9967" s="1601" t="s">
        <v>2703</v>
      </c>
      <c r="C9967" s="1602">
        <v>91.35</v>
      </c>
      <c r="D9967" s="1603">
        <v>181.4</v>
      </c>
      <c r="E9967" s="503">
        <v>0.98576902025177904</v>
      </c>
      <c r="F9967" s="1865">
        <v>2.9573070607553369E-2</v>
      </c>
      <c r="G9967" s="78"/>
      <c r="H9967" t="s">
        <v>2780</v>
      </c>
      <c r="I9967" s="316">
        <v>90.46</v>
      </c>
      <c r="J9967" s="356">
        <v>90.46</v>
      </c>
      <c r="K9967" s="357">
        <v>93.13</v>
      </c>
      <c r="M9967" s="256">
        <v>42036</v>
      </c>
      <c r="N9967">
        <v>159.53270000000001</v>
      </c>
      <c r="O9967" s="37">
        <f t="shared" ref="O9967:O9984" si="207">IF(N9967="",O9966,N9967/100-1)</f>
        <v>0.59532700000000016</v>
      </c>
    </row>
    <row r="9968" spans="1:15" hidden="1" outlineLevel="1" x14ac:dyDescent="0.25">
      <c r="A9968" s="1600">
        <v>0.05</v>
      </c>
      <c r="B9968" s="1583" t="s">
        <v>4377</v>
      </c>
      <c r="C9968" s="1604">
        <v>25.86</v>
      </c>
      <c r="D9968" s="1605">
        <v>76</v>
      </c>
      <c r="E9968" s="504">
        <v>1.9389017788089715</v>
      </c>
      <c r="F9968" s="1866">
        <v>9.6945088940448579E-2</v>
      </c>
      <c r="G9968" s="78"/>
      <c r="H9968" t="s">
        <v>4327</v>
      </c>
      <c r="I9968" s="316">
        <v>25.54</v>
      </c>
      <c r="J9968" s="358">
        <v>25.58</v>
      </c>
      <c r="K9968" s="357">
        <v>26.46</v>
      </c>
      <c r="M9968" s="256">
        <v>42064</v>
      </c>
      <c r="N9968">
        <v>158.9615</v>
      </c>
      <c r="O9968" s="37">
        <f t="shared" si="207"/>
        <v>0.589615</v>
      </c>
    </row>
    <row r="9969" spans="1:15" hidden="1" outlineLevel="1" x14ac:dyDescent="0.25">
      <c r="A9969" s="1600">
        <v>0.04</v>
      </c>
      <c r="B9969" s="1606" t="s">
        <v>1440</v>
      </c>
      <c r="C9969" s="1604">
        <v>78.63</v>
      </c>
      <c r="D9969" s="1605">
        <v>74.72</v>
      </c>
      <c r="E9969" s="504">
        <v>-4.9726567467887506E-2</v>
      </c>
      <c r="F9969" s="1866">
        <v>-1.9890626987155002E-3</v>
      </c>
      <c r="G9969" s="78"/>
      <c r="H9969" t="s">
        <v>2569</v>
      </c>
      <c r="I9969" s="316">
        <v>77.73</v>
      </c>
      <c r="J9969" s="358">
        <v>77.64</v>
      </c>
      <c r="K9969" s="357">
        <v>80.52</v>
      </c>
      <c r="M9969" s="256">
        <v>42095</v>
      </c>
      <c r="N9969" s="424">
        <v>163.77209999999999</v>
      </c>
      <c r="O9969" s="37">
        <f t="shared" si="207"/>
        <v>0.63772099999999998</v>
      </c>
    </row>
    <row r="9970" spans="1:15" hidden="1" outlineLevel="1" x14ac:dyDescent="0.25">
      <c r="A9970" s="1600">
        <v>0.03</v>
      </c>
      <c r="B9970" s="1583" t="s">
        <v>2699</v>
      </c>
      <c r="C9970" s="1604">
        <v>13.2317</v>
      </c>
      <c r="D9970" s="1605">
        <v>25.785</v>
      </c>
      <c r="E9970" s="504">
        <v>0.9487291882373392</v>
      </c>
      <c r="F9970" s="1866">
        <v>2.8461875647120174E-2</v>
      </c>
      <c r="G9970" s="78"/>
      <c r="H9970" t="s">
        <v>505</v>
      </c>
      <c r="I9970" s="316">
        <v>13.685</v>
      </c>
      <c r="J9970" s="358">
        <v>13.1</v>
      </c>
      <c r="K9970" s="357">
        <v>12.91</v>
      </c>
      <c r="M9970" s="256">
        <v>42125</v>
      </c>
      <c r="N9970">
        <v>167.0214</v>
      </c>
      <c r="O9970" s="37">
        <f t="shared" si="207"/>
        <v>0.67021400000000009</v>
      </c>
    </row>
    <row r="9971" spans="1:15" hidden="1" outlineLevel="1" x14ac:dyDescent="0.25">
      <c r="A9971" s="1600">
        <v>0.05</v>
      </c>
      <c r="B9971" s="1583" t="s">
        <v>4496</v>
      </c>
      <c r="C9971" s="1604">
        <v>48.73</v>
      </c>
      <c r="D9971" s="1605">
        <v>72.489999999999995</v>
      </c>
      <c r="E9971" s="504">
        <v>0.48758465011286689</v>
      </c>
      <c r="F9971" s="1866">
        <v>2.4379232505643347E-2</v>
      </c>
      <c r="G9971" s="78"/>
      <c r="H9971" t="s">
        <v>8824</v>
      </c>
      <c r="I9971" s="316">
        <v>48</v>
      </c>
      <c r="J9971" s="358">
        <v>49.22</v>
      </c>
      <c r="K9971" s="357">
        <v>48.97</v>
      </c>
      <c r="M9971" s="256">
        <v>42156</v>
      </c>
      <c r="N9971">
        <v>163.8785</v>
      </c>
      <c r="O9971" s="37">
        <f t="shared" si="207"/>
        <v>0.63878499999999994</v>
      </c>
    </row>
    <row r="9972" spans="1:15" hidden="1" outlineLevel="1" x14ac:dyDescent="0.25">
      <c r="A9972" s="1600">
        <v>0.03</v>
      </c>
      <c r="B9972" s="1583" t="s">
        <v>1771</v>
      </c>
      <c r="C9972" s="1604">
        <v>676.03</v>
      </c>
      <c r="D9972" s="1605">
        <v>479.3</v>
      </c>
      <c r="E9972" s="504">
        <v>-0.29100779551203348</v>
      </c>
      <c r="F9972" s="1866">
        <v>-8.7302338653610038E-3</v>
      </c>
      <c r="G9972" s="78"/>
      <c r="H9972" t="s">
        <v>4329</v>
      </c>
      <c r="I9972" s="316">
        <v>7.15</v>
      </c>
      <c r="J9972" s="358">
        <v>6.58</v>
      </c>
      <c r="K9972" s="357">
        <v>6.5510000000000002</v>
      </c>
      <c r="M9972" s="256">
        <v>42186</v>
      </c>
      <c r="N9972">
        <v>171.9331</v>
      </c>
      <c r="O9972" s="37">
        <f t="shared" si="207"/>
        <v>0.71933099999999994</v>
      </c>
    </row>
    <row r="9973" spans="1:15" hidden="1" outlineLevel="1" x14ac:dyDescent="0.25">
      <c r="A9973" s="1600">
        <v>0.05</v>
      </c>
      <c r="B9973" s="1583" t="s">
        <v>3426</v>
      </c>
      <c r="C9973" s="1604">
        <v>60.37</v>
      </c>
      <c r="D9973" s="1605">
        <v>123</v>
      </c>
      <c r="E9973" s="504">
        <v>1.0374358124896474</v>
      </c>
      <c r="F9973" s="1866">
        <v>5.1871790624482376E-2</v>
      </c>
      <c r="G9973" s="78"/>
      <c r="H9973" t="s">
        <v>4145</v>
      </c>
      <c r="I9973" s="316">
        <v>60.93</v>
      </c>
      <c r="J9973" s="358">
        <v>60.69</v>
      </c>
      <c r="K9973" s="357">
        <v>59.49</v>
      </c>
      <c r="M9973" s="256">
        <v>42217</v>
      </c>
      <c r="N9973">
        <v>162.3826</v>
      </c>
      <c r="O9973" s="37">
        <f t="shared" si="207"/>
        <v>0.62382599999999999</v>
      </c>
    </row>
    <row r="9974" spans="1:15" hidden="1" outlineLevel="1" x14ac:dyDescent="0.25">
      <c r="A9974" s="1600">
        <v>0.05</v>
      </c>
      <c r="B9974" s="1583" t="s">
        <v>816</v>
      </c>
      <c r="C9974" s="1604">
        <v>75.546700000000001</v>
      </c>
      <c r="D9974" s="1605">
        <v>123.61</v>
      </c>
      <c r="E9974" s="504">
        <v>0.63620647890642479</v>
      </c>
      <c r="F9974" s="1866">
        <v>3.1810323945321239E-2</v>
      </c>
      <c r="G9974" s="78"/>
      <c r="H9974" t="s">
        <v>817</v>
      </c>
      <c r="I9974" s="316">
        <v>75.760000000000005</v>
      </c>
      <c r="J9974" s="358">
        <v>74.89</v>
      </c>
      <c r="K9974" s="357">
        <v>75.989999999999995</v>
      </c>
      <c r="M9974" s="256">
        <v>42248</v>
      </c>
      <c r="N9974">
        <v>152.62549999999999</v>
      </c>
      <c r="O9974" s="37">
        <f t="shared" si="207"/>
        <v>0.52625499999999992</v>
      </c>
    </row>
    <row r="9975" spans="1:15" hidden="1" outlineLevel="1" x14ac:dyDescent="0.25">
      <c r="A9975" s="1600">
        <v>0.03</v>
      </c>
      <c r="B9975" s="1583" t="s">
        <v>3526</v>
      </c>
      <c r="C9975" s="1604">
        <v>438.66669999999999</v>
      </c>
      <c r="D9975" s="1605">
        <v>518.79999999999995</v>
      </c>
      <c r="E9975" s="504">
        <v>0.18267468216757732</v>
      </c>
      <c r="F9975" s="1866">
        <v>5.4802404650273195E-3</v>
      </c>
      <c r="G9975" s="78"/>
      <c r="H9975" t="s">
        <v>3527</v>
      </c>
      <c r="I9975" s="316">
        <v>458</v>
      </c>
      <c r="J9975" s="358">
        <v>468</v>
      </c>
      <c r="K9975" s="357">
        <v>390</v>
      </c>
      <c r="M9975" s="256">
        <v>42278</v>
      </c>
      <c r="N9975">
        <v>164.85149999999999</v>
      </c>
      <c r="O9975" s="37">
        <f t="shared" si="207"/>
        <v>0.64851499999999995</v>
      </c>
    </row>
    <row r="9976" spans="1:15" hidden="1" outlineLevel="1" x14ac:dyDescent="0.25">
      <c r="A9976" s="1600">
        <v>0.03</v>
      </c>
      <c r="B9976" s="1607" t="s">
        <v>3528</v>
      </c>
      <c r="C9976" s="1604">
        <v>158.66669999999999</v>
      </c>
      <c r="D9976" s="1605">
        <v>163.80000000000001</v>
      </c>
      <c r="E9976" s="504">
        <v>3.2352724295646285E-2</v>
      </c>
      <c r="F9976" s="1866">
        <v>9.7058172886938855E-4</v>
      </c>
      <c r="G9976" s="78"/>
      <c r="H9976" t="s">
        <v>3529</v>
      </c>
      <c r="I9976" s="316">
        <v>167</v>
      </c>
      <c r="J9976" s="358">
        <v>172</v>
      </c>
      <c r="K9976" s="357">
        <v>137</v>
      </c>
      <c r="M9976" s="256">
        <v>42309</v>
      </c>
      <c r="N9976">
        <v>165.53880000000001</v>
      </c>
      <c r="O9976" s="37">
        <f t="shared" si="207"/>
        <v>0.65538800000000008</v>
      </c>
    </row>
    <row r="9977" spans="1:15" hidden="1" outlineLevel="1" x14ac:dyDescent="0.25">
      <c r="A9977" s="1600">
        <v>0.05</v>
      </c>
      <c r="B9977" s="1583" t="s">
        <v>3530</v>
      </c>
      <c r="C9977" s="1604">
        <v>23463.333299999998</v>
      </c>
      <c r="D9977" s="1605">
        <v>27780</v>
      </c>
      <c r="E9977" s="504">
        <v>0.18397499813038087</v>
      </c>
      <c r="F9977" s="1866">
        <v>9.1987499065190447E-3</v>
      </c>
      <c r="G9977" s="78"/>
      <c r="H9977" t="s">
        <v>701</v>
      </c>
      <c r="I9977" s="316">
        <v>24040</v>
      </c>
      <c r="J9977" s="358">
        <v>24190</v>
      </c>
      <c r="K9977" s="357">
        <v>22160</v>
      </c>
      <c r="M9977" s="256">
        <v>42339</v>
      </c>
      <c r="N9977">
        <v>166.536</v>
      </c>
      <c r="O9977" s="37">
        <f t="shared" si="207"/>
        <v>0.66535999999999995</v>
      </c>
    </row>
    <row r="9978" spans="1:15" hidden="1" outlineLevel="1" x14ac:dyDescent="0.25">
      <c r="A9978" s="1600">
        <v>0.08</v>
      </c>
      <c r="B9978" s="1583" t="s">
        <v>1040</v>
      </c>
      <c r="C9978" s="1604">
        <v>3910</v>
      </c>
      <c r="D9978" s="1605">
        <v>4874</v>
      </c>
      <c r="E9978" s="504">
        <v>0.24654731457800505</v>
      </c>
      <c r="F9978" s="1866">
        <v>1.9723785166240404E-2</v>
      </c>
      <c r="G9978" s="78"/>
      <c r="H9978" t="s">
        <v>3540</v>
      </c>
      <c r="I9978" s="316">
        <v>3925</v>
      </c>
      <c r="J9978" s="358">
        <v>4070</v>
      </c>
      <c r="K9978" s="357">
        <v>3735</v>
      </c>
      <c r="M9978" s="256">
        <v>42370</v>
      </c>
      <c r="N9978">
        <v>161.40039999999999</v>
      </c>
      <c r="O9978" s="37">
        <f t="shared" si="207"/>
        <v>0.61400399999999999</v>
      </c>
    </row>
    <row r="9979" spans="1:15" hidden="1" outlineLevel="1" x14ac:dyDescent="0.25">
      <c r="A9979" s="1600">
        <v>0.08</v>
      </c>
      <c r="B9979" s="1583" t="s">
        <v>2787</v>
      </c>
      <c r="C9979" s="1604">
        <v>52.283299999999997</v>
      </c>
      <c r="D9979" s="1605">
        <v>80.349999999999994</v>
      </c>
      <c r="E9979" s="504">
        <v>0.53681959631469311</v>
      </c>
      <c r="F9979" s="1866">
        <v>4.294556770517545E-2</v>
      </c>
      <c r="G9979" s="78"/>
      <c r="H9979" t="s">
        <v>80</v>
      </c>
      <c r="I9979" s="316">
        <v>53.7</v>
      </c>
      <c r="J9979" s="358">
        <v>53.1</v>
      </c>
      <c r="K9979" s="357">
        <v>50.05</v>
      </c>
      <c r="M9979" s="256">
        <v>42401</v>
      </c>
      <c r="N9979">
        <v>155.7123</v>
      </c>
      <c r="O9979" s="37">
        <f t="shared" si="207"/>
        <v>0.55712300000000003</v>
      </c>
    </row>
    <row r="9980" spans="1:15" hidden="1" outlineLevel="1" x14ac:dyDescent="0.25">
      <c r="A9980" s="1600">
        <v>0.08</v>
      </c>
      <c r="B9980" s="1583" t="s">
        <v>4273</v>
      </c>
      <c r="C9980" s="1604">
        <v>1511.666667</v>
      </c>
      <c r="D9980" s="1605">
        <v>2848</v>
      </c>
      <c r="E9980" s="504">
        <v>0.88401323001455068</v>
      </c>
      <c r="F9980" s="1866">
        <v>7.072105840116405E-2</v>
      </c>
      <c r="G9980" s="78"/>
      <c r="H9980" t="s">
        <v>82</v>
      </c>
      <c r="I9980" s="316">
        <v>151100</v>
      </c>
      <c r="J9980" s="358">
        <v>156400</v>
      </c>
      <c r="K9980" s="357">
        <v>146000</v>
      </c>
      <c r="M9980" s="256">
        <v>42430</v>
      </c>
      <c r="N9980">
        <v>156.8622</v>
      </c>
      <c r="O9980" s="37">
        <f t="shared" si="207"/>
        <v>0.56862199999999996</v>
      </c>
    </row>
    <row r="9981" spans="1:15" hidden="1" outlineLevel="1" x14ac:dyDescent="0.25">
      <c r="A9981" s="1600">
        <v>0.03</v>
      </c>
      <c r="B9981" s="1583" t="s">
        <v>3793</v>
      </c>
      <c r="C9981" s="1604">
        <v>62.1233</v>
      </c>
      <c r="D9981" s="1605">
        <v>103.63</v>
      </c>
      <c r="E9981" s="504">
        <v>0.66813417831956756</v>
      </c>
      <c r="F9981" s="1866">
        <v>2.0044025349587026E-2</v>
      </c>
      <c r="G9981" s="78"/>
      <c r="H9981" t="s">
        <v>3533</v>
      </c>
      <c r="I9981" s="316">
        <v>59.17</v>
      </c>
      <c r="J9981" s="358">
        <v>62.27</v>
      </c>
      <c r="K9981" s="357">
        <v>64.930000000000007</v>
      </c>
      <c r="M9981" s="256">
        <v>42461</v>
      </c>
      <c r="N9981">
        <v>160.66720000000001</v>
      </c>
      <c r="O9981" s="37">
        <f t="shared" si="207"/>
        <v>0.6066720000000001</v>
      </c>
    </row>
    <row r="9982" spans="1:15" hidden="1" outlineLevel="1" x14ac:dyDescent="0.25">
      <c r="A9982" s="1600">
        <v>0.08</v>
      </c>
      <c r="B9982" s="1583" t="s">
        <v>3800</v>
      </c>
      <c r="C9982" s="1604">
        <v>138.1</v>
      </c>
      <c r="D9982" s="1605">
        <v>255.6</v>
      </c>
      <c r="E9982" s="504">
        <v>0.85083272990586534</v>
      </c>
      <c r="F9982" s="1866">
        <v>6.8066618392469233E-2</v>
      </c>
      <c r="G9982" s="78"/>
      <c r="H9982" t="s">
        <v>2817</v>
      </c>
      <c r="I9982" s="316">
        <v>141</v>
      </c>
      <c r="J9982" s="358">
        <v>139.80000000000001</v>
      </c>
      <c r="K9982" s="357">
        <v>133.5</v>
      </c>
      <c r="M9982" s="256">
        <v>42491</v>
      </c>
      <c r="N9982">
        <v>163.43020000000001</v>
      </c>
      <c r="O9982" s="37">
        <f t="shared" si="207"/>
        <v>0.63430200000000014</v>
      </c>
    </row>
    <row r="9983" spans="1:15" hidden="1" outlineLevel="1" x14ac:dyDescent="0.25">
      <c r="A9983" s="1600">
        <v>0.03</v>
      </c>
      <c r="B9983" s="1583" t="s">
        <v>702</v>
      </c>
      <c r="C9983" s="1604">
        <v>2928</v>
      </c>
      <c r="D9983" s="1605">
        <v>3233</v>
      </c>
      <c r="E9983" s="504">
        <v>0.10416666666666674</v>
      </c>
      <c r="F9983" s="1866">
        <v>3.1250000000000019E-3</v>
      </c>
      <c r="G9983" s="78"/>
      <c r="H9983" t="s">
        <v>703</v>
      </c>
      <c r="I9983" s="316">
        <v>2998</v>
      </c>
      <c r="J9983" s="358">
        <v>3185</v>
      </c>
      <c r="K9983" s="357">
        <v>2601</v>
      </c>
      <c r="M9983" s="256">
        <v>42522</v>
      </c>
      <c r="N9983">
        <v>162.6464</v>
      </c>
      <c r="O9983" s="37">
        <f t="shared" si="207"/>
        <v>0.62646399999999991</v>
      </c>
    </row>
    <row r="9984" spans="1:15" hidden="1" outlineLevel="1" x14ac:dyDescent="0.25">
      <c r="A9984" s="1600">
        <v>0.08</v>
      </c>
      <c r="B9984" s="1586" t="s">
        <v>3022</v>
      </c>
      <c r="C9984" s="1604">
        <v>3991.6667000000002</v>
      </c>
      <c r="D9984" s="1605">
        <v>4375</v>
      </c>
      <c r="E9984" s="504">
        <v>9.6033393770075914E-2</v>
      </c>
      <c r="F9984" s="1866">
        <v>7.6826715016060729E-3</v>
      </c>
      <c r="G9984" s="78"/>
      <c r="H9984" t="s">
        <v>2802</v>
      </c>
      <c r="I9984" s="316">
        <v>4035</v>
      </c>
      <c r="J9984" s="358">
        <v>4085</v>
      </c>
      <c r="K9984" s="357">
        <v>3855</v>
      </c>
      <c r="M9984" s="256">
        <v>42552</v>
      </c>
      <c r="N9984">
        <v>166.2491</v>
      </c>
      <c r="O9984" s="37">
        <f t="shared" si="207"/>
        <v>0.66249099999999994</v>
      </c>
    </row>
    <row r="9985" spans="1:15" hidden="1" outlineLevel="1" x14ac:dyDescent="0.25">
      <c r="A9985" s="1600">
        <v>0.05</v>
      </c>
      <c r="B9985" s="1583" t="s">
        <v>1183</v>
      </c>
      <c r="C9985" s="1604">
        <v>43.511699999999998</v>
      </c>
      <c r="D9985" s="1605">
        <v>43.93</v>
      </c>
      <c r="E9985" s="504">
        <v>9.6135062523414749E-3</v>
      </c>
      <c r="F9985" s="1866">
        <v>4.8067531261707379E-4</v>
      </c>
      <c r="G9985" s="78"/>
      <c r="H9985" t="s">
        <v>2805</v>
      </c>
      <c r="I9985" s="316">
        <v>43.475000000000001</v>
      </c>
      <c r="J9985" s="358">
        <v>43.465000000000003</v>
      </c>
      <c r="K9985" s="357">
        <v>43.594999999999999</v>
      </c>
      <c r="M9985" s="412" t="s">
        <v>2465</v>
      </c>
      <c r="O9985" s="362">
        <f>AVERAGE(O9967:O9984)</f>
        <v>0.62444527777777781</v>
      </c>
    </row>
    <row r="9986" spans="1:15" hidden="1" outlineLevel="1" x14ac:dyDescent="0.25">
      <c r="A9986" s="1600">
        <v>0.05</v>
      </c>
      <c r="B9986" s="1608" t="s">
        <v>106</v>
      </c>
      <c r="C9986" s="1609">
        <v>1846</v>
      </c>
      <c r="D9986" s="1610">
        <v>3584</v>
      </c>
      <c r="E9986" s="1611">
        <v>0.9414951245937162</v>
      </c>
      <c r="F9986" s="1886">
        <v>4.7074756229685814E-2</v>
      </c>
      <c r="G9986" s="78"/>
      <c r="H9986" t="s">
        <v>107</v>
      </c>
      <c r="I9986" s="316">
        <v>18.14</v>
      </c>
      <c r="J9986" s="358">
        <v>18.23</v>
      </c>
      <c r="K9986" s="357">
        <v>19.010000000000002</v>
      </c>
      <c r="M9986" s="412" t="s">
        <v>5221</v>
      </c>
      <c r="O9986" s="362">
        <f>O9985*parametry!N321</f>
        <v>0.46833395833333336</v>
      </c>
    </row>
    <row r="9987" spans="1:15" hidden="1" outlineLevel="1" x14ac:dyDescent="0.25">
      <c r="A9987" s="1612"/>
      <c r="B9987" s="1613"/>
      <c r="C9987" s="1614"/>
      <c r="D9987" s="1614"/>
      <c r="E9987" s="1611"/>
      <c r="F9987" s="1837">
        <v>0.54783581586545349</v>
      </c>
      <c r="G9987" s="78"/>
    </row>
    <row r="9988" spans="1:15" collapsed="1" x14ac:dyDescent="0.25">
      <c r="A9988" s="3801" t="s">
        <v>1566</v>
      </c>
      <c r="B9988" s="3802"/>
      <c r="C9988" s="3802"/>
      <c r="D9988" s="3802"/>
      <c r="E9988" s="1906"/>
      <c r="F9988" s="1907">
        <v>0.46833395833333336</v>
      </c>
      <c r="G9988" s="78"/>
    </row>
    <row r="9990" spans="1:15" hidden="1" outlineLevel="1" x14ac:dyDescent="0.25">
      <c r="A9990" s="1560" t="s">
        <v>113</v>
      </c>
      <c r="B9990" s="1560" t="s">
        <v>114</v>
      </c>
      <c r="C9990" s="1560" t="s">
        <v>112</v>
      </c>
      <c r="D9990" s="1560" t="s">
        <v>116</v>
      </c>
      <c r="E9990" s="1560" t="s">
        <v>117</v>
      </c>
      <c r="F9990" s="1885" t="s">
        <v>121</v>
      </c>
      <c r="G9990" s="78"/>
    </row>
    <row r="9991" spans="1:15" hidden="1" outlineLevel="1" x14ac:dyDescent="0.25">
      <c r="A9991" s="1561">
        <v>1</v>
      </c>
      <c r="B9991" s="1562" t="s">
        <v>252</v>
      </c>
      <c r="C9991" s="1563"/>
      <c r="D9991" s="1563"/>
      <c r="E9991" s="1564"/>
      <c r="F9991" s="1565"/>
      <c r="G9991" s="78"/>
    </row>
    <row r="9992" spans="1:15" hidden="1" outlineLevel="1" x14ac:dyDescent="0.25">
      <c r="A9992" s="1566"/>
      <c r="B9992" s="1566"/>
      <c r="C9992" s="1567"/>
      <c r="D9992" s="1568"/>
      <c r="E9992" s="1569"/>
      <c r="F9992" s="1570"/>
      <c r="G9992" s="78"/>
    </row>
    <row r="9993" spans="1:15" hidden="1" outlineLevel="1" x14ac:dyDescent="0.25">
      <c r="A9993" s="1560" t="s">
        <v>4156</v>
      </c>
      <c r="B9993" s="1560" t="s">
        <v>4153</v>
      </c>
      <c r="C9993" s="1571" t="s">
        <v>112</v>
      </c>
      <c r="D9993" s="1560" t="s">
        <v>4363</v>
      </c>
      <c r="E9993" s="1560" t="s">
        <v>4154</v>
      </c>
      <c r="F9993" s="1865" t="s">
        <v>2519</v>
      </c>
      <c r="G9993" s="78"/>
    </row>
    <row r="9994" spans="1:15" hidden="1" outlineLevel="1" x14ac:dyDescent="0.25">
      <c r="A9994" s="1572">
        <v>2.5000000000000001E-2</v>
      </c>
      <c r="B9994" s="1573" t="s">
        <v>1995</v>
      </c>
      <c r="C9994" s="1574">
        <v>50.719000000000001</v>
      </c>
      <c r="D9994" s="1575">
        <v>101.01599999999999</v>
      </c>
      <c r="E9994" s="1576">
        <v>0.99167964668073094</v>
      </c>
      <c r="F9994" s="1865">
        <v>8.9999999999999993E-3</v>
      </c>
      <c r="G9994" s="78"/>
      <c r="H9994" t="str">
        <f>VLOOKUP(B9994,indexy!$A$44:$D$823,3,FALSE)</f>
        <v>ABT UN Equity</v>
      </c>
      <c r="K9994" s="37"/>
    </row>
    <row r="9995" spans="1:15" hidden="1" outlineLevel="1" x14ac:dyDescent="0.25">
      <c r="A9995" s="1577">
        <v>4.4999999999999998E-2</v>
      </c>
      <c r="B9995" s="1578" t="s">
        <v>359</v>
      </c>
      <c r="C9995" s="1579">
        <v>102.63500000000001</v>
      </c>
      <c r="D9995" s="1575">
        <v>139.655</v>
      </c>
      <c r="E9995" s="1580">
        <v>0.36069566911872153</v>
      </c>
      <c r="F9995" s="1865">
        <v>1.6199999999999999E-2</v>
      </c>
      <c r="G9995" s="78"/>
      <c r="H9995" t="str">
        <f>VLOOKUP(B9995,indexy!$A$44:$D$823,3,FALSE)</f>
        <v>ALV GY Equity</v>
      </c>
      <c r="K9995" s="37"/>
    </row>
    <row r="9996" spans="1:15" hidden="1" outlineLevel="1" x14ac:dyDescent="0.25">
      <c r="A9996" s="1577">
        <v>3.5000000000000003E-2</v>
      </c>
      <c r="B9996" s="1578" t="s">
        <v>157</v>
      </c>
      <c r="C9996" s="1579">
        <v>8.4437999999999995</v>
      </c>
      <c r="D9996" s="1575">
        <v>4.0016999999999996</v>
      </c>
      <c r="E9996" s="1580">
        <v>-0.52607830597598237</v>
      </c>
      <c r="F9996" s="1865">
        <v>-1.8412740709159384E-2</v>
      </c>
      <c r="G9996" s="78"/>
      <c r="H9996" t="str">
        <f>VLOOKUP(B9996,indexy!$A$44:$D$823,3,FALSE)</f>
        <v>SAN SM Equity</v>
      </c>
      <c r="K9996" s="37"/>
    </row>
    <row r="9997" spans="1:15" hidden="1" outlineLevel="1" x14ac:dyDescent="0.25">
      <c r="A9997" s="1577">
        <v>0.03</v>
      </c>
      <c r="B9997" s="1578" t="s">
        <v>4377</v>
      </c>
      <c r="C9997" s="1581">
        <v>27.303000000000001</v>
      </c>
      <c r="D9997" s="1575">
        <v>73.007000000000005</v>
      </c>
      <c r="E9997" s="1580">
        <v>1.6739552430135882</v>
      </c>
      <c r="F9997" s="1865">
        <v>1.0799999999999999E-2</v>
      </c>
      <c r="G9997" s="78"/>
      <c r="H9997" t="str">
        <f>VLOOKUP(B9997,indexy!$A$44:$D$823,3,FALSE)</f>
        <v>BMY UN Equity</v>
      </c>
      <c r="K9997" s="37"/>
    </row>
    <row r="9998" spans="1:15" hidden="1" outlineLevel="1" x14ac:dyDescent="0.25">
      <c r="A9998" s="1577">
        <v>0.04</v>
      </c>
      <c r="B9998" s="1578" t="s">
        <v>53</v>
      </c>
      <c r="C9998" s="1579">
        <v>46.886499999999998</v>
      </c>
      <c r="D9998" s="1575">
        <v>62.262999999999998</v>
      </c>
      <c r="E9998" s="1580">
        <v>0.32795154255489312</v>
      </c>
      <c r="F9998" s="1865">
        <v>1.44E-2</v>
      </c>
      <c r="G9998" s="78"/>
      <c r="H9998" t="str">
        <f>VLOOKUP(B9998,indexy!$A$44:$D$823,3,FALSE)</f>
        <v>BN FP Equity</v>
      </c>
      <c r="K9998" s="37"/>
    </row>
    <row r="9999" spans="1:15" hidden="1" outlineLevel="1" x14ac:dyDescent="0.25">
      <c r="A9999" s="1577">
        <v>4.4999999999999998E-2</v>
      </c>
      <c r="B9999" s="1582" t="s">
        <v>2699</v>
      </c>
      <c r="C9999" s="1579">
        <v>12.834</v>
      </c>
      <c r="D9999" s="1575">
        <v>26.088000000000001</v>
      </c>
      <c r="E9999" s="1580">
        <v>1.0327255726975224</v>
      </c>
      <c r="F9999" s="1865">
        <v>1.6199999999999999E-2</v>
      </c>
      <c r="G9999" s="78"/>
      <c r="H9999" t="str">
        <f>VLOOKUP(B9999,indexy!$A$44:$D$823,3,FALSE)</f>
        <v>DHL GR Equity</v>
      </c>
      <c r="K9999" s="37"/>
    </row>
    <row r="10000" spans="1:15" hidden="1" outlineLevel="1" x14ac:dyDescent="0.25">
      <c r="A10000" s="1577">
        <v>3.5000000000000003E-2</v>
      </c>
      <c r="B10000" s="1578" t="s">
        <v>4387</v>
      </c>
      <c r="C10000" s="1579">
        <v>22.285499999999999</v>
      </c>
      <c r="D10000" s="1575">
        <v>8.6793000000000013</v>
      </c>
      <c r="E10000" s="1580">
        <v>-0.61054048596621113</v>
      </c>
      <c r="F10000" s="1865">
        <v>-2.1368917008817392E-2</v>
      </c>
      <c r="G10000" s="78"/>
      <c r="H10000" t="str">
        <f>VLOOKUP(B10000,indexy!$A$44:$D$823,3,FALSE)</f>
        <v>EOAN GY Equity</v>
      </c>
      <c r="K10000" s="37"/>
    </row>
    <row r="10001" spans="1:11" hidden="1" outlineLevel="1" x14ac:dyDescent="0.25">
      <c r="A10001" s="1577">
        <v>0.04</v>
      </c>
      <c r="B10001" s="1578" t="s">
        <v>3798</v>
      </c>
      <c r="C10001" s="1579">
        <v>4.5907999999999998</v>
      </c>
      <c r="D10001" s="1575">
        <v>4.0272000000000006</v>
      </c>
      <c r="E10001" s="1580">
        <v>-0.12276727367779017</v>
      </c>
      <c r="F10001" s="1865">
        <v>-4.9106909471116067E-3</v>
      </c>
      <c r="G10001" s="78"/>
      <c r="H10001" t="str">
        <f>VLOOKUP(B10001,indexy!$A$44:$D$823,3,FALSE)</f>
        <v>ENEL IM Equity</v>
      </c>
      <c r="K10001" s="37"/>
    </row>
    <row r="10002" spans="1:11" hidden="1" outlineLevel="1" x14ac:dyDescent="0.25">
      <c r="A10002" s="1577">
        <v>2.5000000000000001E-2</v>
      </c>
      <c r="B10002" s="1583" t="s">
        <v>5824</v>
      </c>
      <c r="C10002" s="1579">
        <v>15.782500000000001</v>
      </c>
      <c r="D10002" s="1575">
        <v>15.149000000000001</v>
      </c>
      <c r="E10002" s="1580">
        <v>-4.0139394899413872E-2</v>
      </c>
      <c r="F10002" s="1865">
        <v>-1.0034848724853468E-3</v>
      </c>
      <c r="G10002" s="78"/>
      <c r="H10002" t="str">
        <f>VLOOKUP(B10002,indexy!$A$44:$D$823,3,FALSE)</f>
        <v>ORA FP Equity</v>
      </c>
      <c r="K10002" s="37"/>
    </row>
    <row r="10003" spans="1:11" hidden="1" outlineLevel="1" x14ac:dyDescent="0.25">
      <c r="A10003" s="1577">
        <v>0.03</v>
      </c>
      <c r="B10003" s="1584" t="s">
        <v>3269</v>
      </c>
      <c r="C10003" s="1579">
        <v>13.525499999999999</v>
      </c>
      <c r="D10003" s="1575">
        <v>17.560500000000001</v>
      </c>
      <c r="E10003" s="1580">
        <v>0.29832538538316533</v>
      </c>
      <c r="F10003" s="1865">
        <v>1.0799999999999999E-2</v>
      </c>
      <c r="G10003" s="78"/>
      <c r="H10003" t="str">
        <f>VLOOKUP(B10003,indexy!$A$44:$D$823,3,FALSE)</f>
        <v>NTGY SM Equity</v>
      </c>
      <c r="K10003" s="37"/>
    </row>
    <row r="10004" spans="1:11" hidden="1" outlineLevel="1" x14ac:dyDescent="0.25">
      <c r="A10004" s="1577">
        <v>0.03</v>
      </c>
      <c r="B10004" s="1585" t="s">
        <v>7227</v>
      </c>
      <c r="C10004" s="1579">
        <v>27.464500000000001</v>
      </c>
      <c r="D10004" s="1575">
        <v>13.835000000000003</v>
      </c>
      <c r="E10004" s="1580">
        <v>-0.49625880682335366</v>
      </c>
      <c r="F10004" s="1865">
        <v>-1.4887764204700608E-2</v>
      </c>
      <c r="G10004" s="78"/>
      <c r="H10004" t="str">
        <f>VLOOKUP(B10004,indexy!$A$44:$D$823,3,FALSE)</f>
        <v>ENGI FP Equity</v>
      </c>
      <c r="K10004" s="37"/>
    </row>
    <row r="10005" spans="1:11" hidden="1" outlineLevel="1" x14ac:dyDescent="0.25">
      <c r="A10005" s="1577">
        <v>0.03</v>
      </c>
      <c r="B10005" s="1586" t="s">
        <v>307</v>
      </c>
      <c r="C10005" s="1579">
        <v>37.69</v>
      </c>
      <c r="D10005" s="1575">
        <v>129.58799999999999</v>
      </c>
      <c r="E10005" s="1580">
        <v>2.4382594852746089</v>
      </c>
      <c r="F10005" s="1865">
        <v>1.0799999999999999E-2</v>
      </c>
      <c r="G10005" s="78"/>
      <c r="H10005" t="str">
        <f>VLOOKUP(B10005,indexy!$A$44:$D$823,3,FALSE)</f>
        <v>HD UN Equity</v>
      </c>
      <c r="K10005" s="37"/>
    </row>
    <row r="10006" spans="1:11" hidden="1" outlineLevel="1" x14ac:dyDescent="0.25">
      <c r="A10006" s="1577">
        <v>3.5000000000000003E-2</v>
      </c>
      <c r="B10006" s="1582" t="s">
        <v>1771</v>
      </c>
      <c r="C10006" s="1579">
        <v>657.05</v>
      </c>
      <c r="D10006" s="1575">
        <v>441.10999999999996</v>
      </c>
      <c r="E10006" s="1580">
        <v>-0.32865078761129296</v>
      </c>
      <c r="F10006" s="1865">
        <v>-1.1502777566395254E-2</v>
      </c>
      <c r="G10006" s="78"/>
      <c r="H10006" t="str">
        <f>VLOOKUP(B10006,indexy!$A$44:$D$823,3,FALSE)</f>
        <v>HSBA LN Equity</v>
      </c>
      <c r="K10006" s="37"/>
    </row>
    <row r="10007" spans="1:11" hidden="1" outlineLevel="1" x14ac:dyDescent="0.25">
      <c r="A10007" s="1577">
        <v>0.03</v>
      </c>
      <c r="B10007" s="1587" t="s">
        <v>4034</v>
      </c>
      <c r="C10007" s="1579">
        <v>9.7104999999999997</v>
      </c>
      <c r="D10007" s="1575">
        <v>20.117499999999996</v>
      </c>
      <c r="E10007" s="1580">
        <v>1.0717264816435814</v>
      </c>
      <c r="F10007" s="1865">
        <v>1.0799999999999999E-2</v>
      </c>
      <c r="G10007" s="78"/>
      <c r="H10007" t="str">
        <f>VLOOKUP(B10007,indexy!$A$44:$D$823,3,FALSE)</f>
        <v>AD NA Equity</v>
      </c>
      <c r="K10007" s="37"/>
    </row>
    <row r="10008" spans="1:11" hidden="1" outlineLevel="1" x14ac:dyDescent="0.25">
      <c r="A10008" s="1577">
        <v>3.5000000000000003E-2</v>
      </c>
      <c r="B10008" s="1578" t="s">
        <v>4143</v>
      </c>
      <c r="C10008" s="1579">
        <v>7.1829000000000001</v>
      </c>
      <c r="D10008" s="1575">
        <v>3.4842999999999997</v>
      </c>
      <c r="E10008" s="1580">
        <v>-0.51491737320580833</v>
      </c>
      <c r="F10008" s="1865">
        <v>-1.8022108062203293E-2</v>
      </c>
      <c r="G10008" s="78"/>
      <c r="H10008" t="str">
        <f>VLOOKUP(B10008,indexy!$A$44:$D$823,3,FALSE)</f>
        <v>KPN NA Equity</v>
      </c>
      <c r="K10008" s="37"/>
    </row>
    <row r="10009" spans="1:11" hidden="1" outlineLevel="1" x14ac:dyDescent="0.25">
      <c r="A10009" s="1577">
        <v>2.5000000000000001E-2</v>
      </c>
      <c r="B10009" s="500" t="s">
        <v>7573</v>
      </c>
      <c r="C10009" s="1579">
        <v>32.107999999999997</v>
      </c>
      <c r="D10009" s="1575">
        <v>79.637320000000017</v>
      </c>
      <c r="E10009" s="1580">
        <v>1.480295253519373</v>
      </c>
      <c r="F10009" s="1865">
        <v>8.9999999999999993E-3</v>
      </c>
      <c r="G10009" s="78"/>
      <c r="H10009" t="str">
        <f>VLOOKUP(B10009,indexy!$A$44:$D$823,3,FALSE)</f>
        <v>KHC UW Equity</v>
      </c>
      <c r="K10009" s="37"/>
    </row>
    <row r="10010" spans="1:11" hidden="1" outlineLevel="1" x14ac:dyDescent="0.25">
      <c r="A10010" s="1577">
        <v>0.04</v>
      </c>
      <c r="B10010" s="1578" t="s">
        <v>1772</v>
      </c>
      <c r="C10010" s="1579">
        <v>114.74</v>
      </c>
      <c r="D10010" s="1575">
        <v>159.14000000000001</v>
      </c>
      <c r="E10010" s="1580">
        <v>0.38696182673871382</v>
      </c>
      <c r="F10010" s="1865">
        <v>1.44E-2</v>
      </c>
      <c r="G10010" s="78"/>
      <c r="H10010" t="str">
        <f>VLOOKUP(B10010,indexy!$A$44:$D$823,3,FALSE)</f>
        <v>MUV2 GY Equity</v>
      </c>
      <c r="K10010" s="37"/>
    </row>
    <row r="10011" spans="1:11" hidden="1" outlineLevel="1" x14ac:dyDescent="0.25">
      <c r="A10011" s="1577">
        <v>0.03</v>
      </c>
      <c r="B10011" s="1578" t="s">
        <v>2786</v>
      </c>
      <c r="C10011" s="1579">
        <v>593.25</v>
      </c>
      <c r="D10011" s="1575">
        <v>977.6400000000001</v>
      </c>
      <c r="E10011" s="1580">
        <v>0.64793931731984844</v>
      </c>
      <c r="F10011" s="1865">
        <v>1.0799999999999999E-2</v>
      </c>
      <c r="G10011" s="78"/>
      <c r="H10011" t="str">
        <f>VLOOKUP(B10011,indexy!$A$44:$D$823,3,FALSE)</f>
        <v>NG/ LN Equity</v>
      </c>
      <c r="K10011" s="37"/>
    </row>
    <row r="10012" spans="1:11" hidden="1" outlineLevel="1" x14ac:dyDescent="0.25">
      <c r="A10012" s="1577">
        <v>0.03</v>
      </c>
      <c r="B10012" s="1578" t="s">
        <v>3797</v>
      </c>
      <c r="C10012" s="1579">
        <v>53.13</v>
      </c>
      <c r="D10012" s="1575">
        <v>72.710000000000008</v>
      </c>
      <c r="E10012" s="1580">
        <v>0.36853002070393392</v>
      </c>
      <c r="F10012" s="1865">
        <v>1.0799999999999999E-2</v>
      </c>
      <c r="G10012" s="78"/>
      <c r="H10012" t="str">
        <f>VLOOKUP(B10012,indexy!$A$44:$D$823,3,FALSE)</f>
        <v>NESN SE Equity</v>
      </c>
      <c r="K10012" s="37"/>
    </row>
    <row r="10013" spans="1:11" hidden="1" outlineLevel="1" x14ac:dyDescent="0.25">
      <c r="A10013" s="1577">
        <v>0.03</v>
      </c>
      <c r="B10013" s="1578" t="s">
        <v>2787</v>
      </c>
      <c r="C10013" s="1579">
        <v>50.283000000000001</v>
      </c>
      <c r="D10013" s="1575">
        <v>77.655000000000001</v>
      </c>
      <c r="E10013" s="1580">
        <v>0.54435892846488865</v>
      </c>
      <c r="F10013" s="1865">
        <v>1.0799999999999999E-2</v>
      </c>
      <c r="G10013" s="78"/>
      <c r="H10013" t="str">
        <f>VLOOKUP(B10013,indexy!$A$44:$D$823,3,FALSE)</f>
        <v>NOVN SE Equity</v>
      </c>
      <c r="K10013" s="37"/>
    </row>
    <row r="10014" spans="1:11" hidden="1" outlineLevel="1" x14ac:dyDescent="0.25">
      <c r="A10014" s="1577">
        <v>0.04</v>
      </c>
      <c r="B10014" s="1578" t="s">
        <v>1204</v>
      </c>
      <c r="C10014" s="1579">
        <v>66.093999999999994</v>
      </c>
      <c r="D10014" s="1575">
        <v>102.773</v>
      </c>
      <c r="E10014" s="1580">
        <v>0.55495203800647563</v>
      </c>
      <c r="F10014" s="1865">
        <v>1.44E-2</v>
      </c>
      <c r="G10014" s="78"/>
      <c r="H10014" t="str">
        <f>VLOOKUP(B10014,indexy!$A$44:$D$823,3,FALSE)</f>
        <v>PEP UW Equity</v>
      </c>
      <c r="K10014" s="37"/>
    </row>
    <row r="10015" spans="1:11" hidden="1" outlineLevel="1" x14ac:dyDescent="0.25">
      <c r="A10015" s="1577">
        <v>3.5000000000000003E-2</v>
      </c>
      <c r="B10015" s="1578" t="s">
        <v>3800</v>
      </c>
      <c r="C10015" s="1579">
        <v>133.4</v>
      </c>
      <c r="D10015" s="1575">
        <v>254.83</v>
      </c>
      <c r="E10015" s="1580">
        <v>0.91026986506746632</v>
      </c>
      <c r="F10015" s="1865">
        <v>1.26E-2</v>
      </c>
      <c r="G10015" s="78"/>
      <c r="H10015" t="str">
        <f>VLOOKUP(B10015,indexy!$A$44:$D$823,3,FALSE)</f>
        <v>ROG SE Equity</v>
      </c>
      <c r="K10015" s="37"/>
    </row>
    <row r="10016" spans="1:11" hidden="1" outlineLevel="1" x14ac:dyDescent="0.25">
      <c r="A10016" s="1577">
        <v>0.04</v>
      </c>
      <c r="B10016" s="1583" t="s">
        <v>1857</v>
      </c>
      <c r="C10016" s="1579">
        <v>1307.5</v>
      </c>
      <c r="D10016" s="1575">
        <v>1525</v>
      </c>
      <c r="E10016" s="1580">
        <v>0.16634799235181652</v>
      </c>
      <c r="F10016" s="1865">
        <v>1.44E-2</v>
      </c>
      <c r="G10016" s="78"/>
      <c r="H10016" t="str">
        <f>VLOOKUP(B10016,indexy!$A$44:$D$823,3,FALSE)</f>
        <v>SSE LN Equity</v>
      </c>
      <c r="K10016" s="37"/>
    </row>
    <row r="10017" spans="1:11" hidden="1" outlineLevel="1" x14ac:dyDescent="0.25">
      <c r="A10017" s="1577">
        <v>2.5000000000000001E-2</v>
      </c>
      <c r="B10017" s="1578" t="s">
        <v>1239</v>
      </c>
      <c r="C10017" s="1579">
        <v>409.38</v>
      </c>
      <c r="D10017" s="1575">
        <v>467.35000000000008</v>
      </c>
      <c r="E10017" s="1580">
        <v>0.14160437735111664</v>
      </c>
      <c r="F10017" s="1865">
        <v>8.9999999999999993E-3</v>
      </c>
      <c r="G10017" s="78"/>
      <c r="H10017" t="str">
        <f>VLOOKUP(B10017,indexy!$A$44:$D$823,3,FALSE)</f>
        <v>SCMN SE Equity</v>
      </c>
      <c r="K10017" s="37"/>
    </row>
    <row r="10018" spans="1:11" hidden="1" outlineLevel="1" x14ac:dyDescent="0.25">
      <c r="A10018" s="1577">
        <v>0.03</v>
      </c>
      <c r="B10018" s="1578" t="s">
        <v>3022</v>
      </c>
      <c r="C10018" s="1579">
        <v>3910.5</v>
      </c>
      <c r="D10018" s="1575">
        <v>4566.7</v>
      </c>
      <c r="E10018" s="1580">
        <v>0.16780462856412215</v>
      </c>
      <c r="F10018" s="1865">
        <v>1.0799999999999999E-2</v>
      </c>
      <c r="G10018" s="78"/>
      <c r="H10018" t="str">
        <f>VLOOKUP(B10018,indexy!$A$44:$D$823,3,FALSE)</f>
        <v>4502 JT Equity</v>
      </c>
      <c r="K10018" s="37"/>
    </row>
    <row r="10019" spans="1:11" hidden="1" outlineLevel="1" x14ac:dyDescent="0.25">
      <c r="A10019" s="1577">
        <v>0.04</v>
      </c>
      <c r="B10019" s="1578" t="s">
        <v>1183</v>
      </c>
      <c r="C10019" s="1579">
        <v>42.63</v>
      </c>
      <c r="D10019" s="1575">
        <v>42.369500000000002</v>
      </c>
      <c r="E10019" s="1580">
        <v>-6.1107201501290342E-3</v>
      </c>
      <c r="F10019" s="1865">
        <v>-2.4442880600516136E-4</v>
      </c>
      <c r="G10019" s="78"/>
      <c r="H10019" t="e">
        <f>VLOOKUP(B10019,indexy!$A$44:$D$823,3,FALSE)</f>
        <v>#N/A</v>
      </c>
      <c r="K10019" s="37"/>
    </row>
    <row r="10020" spans="1:11" hidden="1" outlineLevel="1" x14ac:dyDescent="0.25">
      <c r="A10020" s="1577">
        <v>0.03</v>
      </c>
      <c r="B10020" s="1578" t="s">
        <v>4601</v>
      </c>
      <c r="C10020" s="1579">
        <v>153.41499999999999</v>
      </c>
      <c r="D10020" s="1575">
        <v>238.42499999999995</v>
      </c>
      <c r="E10020" s="1580">
        <v>0.5541179154580711</v>
      </c>
      <c r="F10020" s="1865">
        <v>1.0799999999999999E-2</v>
      </c>
      <c r="G10020" s="78"/>
      <c r="H10020" t="str">
        <f>VLOOKUP(B10020,indexy!$A$44:$D$823,3,FALSE)</f>
        <v>UL NA Equity</v>
      </c>
      <c r="K10020" s="37"/>
    </row>
    <row r="10021" spans="1:11" hidden="1" outlineLevel="1" x14ac:dyDescent="0.25">
      <c r="A10021" s="1577">
        <v>3.5000000000000003E-2</v>
      </c>
      <c r="B10021" s="1578" t="s">
        <v>719</v>
      </c>
      <c r="C10021" s="1579">
        <v>43.321399999999997</v>
      </c>
      <c r="D10021" s="1575">
        <v>65.685000000000016</v>
      </c>
      <c r="E10021" s="1580">
        <v>0.51622523741153392</v>
      </c>
      <c r="F10021" s="1865">
        <v>1.26E-2</v>
      </c>
      <c r="G10021" s="78"/>
      <c r="H10021" t="str">
        <f>VLOOKUP(B10021,indexy!$A$44:$D$823,3,FALSE)</f>
        <v>DG FP Equity</v>
      </c>
      <c r="K10021" s="37"/>
    </row>
    <row r="10022" spans="1:11" hidden="1" outlineLevel="1" x14ac:dyDescent="0.25">
      <c r="A10022" s="1588">
        <v>3.5000000000000003E-2</v>
      </c>
      <c r="B10022" s="1578" t="s">
        <v>579</v>
      </c>
      <c r="C10022" s="1579">
        <v>177.47</v>
      </c>
      <c r="D10022" s="1575">
        <v>223.57</v>
      </c>
      <c r="E10022" s="1580">
        <v>0.25976221333183069</v>
      </c>
      <c r="F10022" s="1865">
        <v>1.26E-2</v>
      </c>
      <c r="G10022" s="78"/>
      <c r="H10022" t="str">
        <f>VLOOKUP(B10022,indexy!$A$44:$D$823,3,FALSE)</f>
        <v>VOD LN Equity</v>
      </c>
      <c r="K10022" s="37"/>
    </row>
    <row r="10023" spans="1:11" hidden="1" outlineLevel="1" x14ac:dyDescent="0.25">
      <c r="A10023" s="1588">
        <v>2.5000000000000001E-2</v>
      </c>
      <c r="B10023" s="1589" t="s">
        <v>4550</v>
      </c>
      <c r="C10023" s="1579">
        <v>243.06</v>
      </c>
      <c r="D10023" s="1575">
        <v>230.23000000000002</v>
      </c>
      <c r="E10023" s="1580">
        <v>-5.2785320496996579E-2</v>
      </c>
      <c r="F10023" s="1885">
        <v>-1.3196330124249146E-3</v>
      </c>
      <c r="G10023" s="78"/>
      <c r="H10023" t="str">
        <f>VLOOKUP(B10023,indexy!$A$44:$D$823,3,FALSE)</f>
        <v>ZURN SE Equity</v>
      </c>
      <c r="K10023" s="37"/>
    </row>
    <row r="10024" spans="1:11" hidden="1" outlineLevel="1" x14ac:dyDescent="0.25">
      <c r="A10024" s="1590"/>
      <c r="B10024" s="1591"/>
      <c r="C10024" s="1592"/>
      <c r="D10024" s="1593"/>
      <c r="E10024" s="1594"/>
      <c r="F10024" s="1837">
        <v>0.16032745481069702</v>
      </c>
      <c r="G10024" s="78"/>
    </row>
    <row r="10025" spans="1:11" collapsed="1" x14ac:dyDescent="0.25">
      <c r="A10025" s="3801" t="s">
        <v>1567</v>
      </c>
      <c r="B10025" s="3802"/>
      <c r="C10025" s="3802"/>
      <c r="D10025" s="3802"/>
      <c r="E10025" s="1912"/>
      <c r="F10025" s="1890">
        <v>0.16032745481069702</v>
      </c>
      <c r="G10025" s="78"/>
    </row>
    <row r="10027" spans="1:11" hidden="1" outlineLevel="1" x14ac:dyDescent="0.25">
      <c r="A10027" s="689" t="s">
        <v>113</v>
      </c>
      <c r="B10027" s="689" t="s">
        <v>114</v>
      </c>
      <c r="C10027" s="689" t="s">
        <v>112</v>
      </c>
      <c r="D10027" s="689" t="s">
        <v>116</v>
      </c>
      <c r="E10027" s="689" t="s">
        <v>117</v>
      </c>
      <c r="F10027" s="1188" t="s">
        <v>121</v>
      </c>
      <c r="G10027" s="78"/>
    </row>
    <row r="10028" spans="1:11" hidden="1" outlineLevel="1" x14ac:dyDescent="0.25">
      <c r="A10028" s="695"/>
      <c r="B10028" s="695"/>
      <c r="C10028" s="696"/>
      <c r="D10028" s="697" t="s">
        <v>3702</v>
      </c>
      <c r="E10028" s="698">
        <v>42643</v>
      </c>
      <c r="F10028" s="856"/>
      <c r="G10028" s="78"/>
    </row>
    <row r="10029" spans="1:11" hidden="1" outlineLevel="1" x14ac:dyDescent="0.25">
      <c r="A10029" s="689" t="s">
        <v>4156</v>
      </c>
      <c r="B10029" s="689" t="s">
        <v>4153</v>
      </c>
      <c r="C10029" s="497" t="s">
        <v>112</v>
      </c>
      <c r="D10029" s="689" t="s">
        <v>4155</v>
      </c>
      <c r="E10029" s="689" t="s">
        <v>4154</v>
      </c>
      <c r="F10029" s="1188" t="s">
        <v>734</v>
      </c>
      <c r="G10029" s="78"/>
    </row>
    <row r="10030" spans="1:11" hidden="1" outlineLevel="1" x14ac:dyDescent="0.25">
      <c r="A10030" s="1237">
        <v>7.0000000000000007E-2</v>
      </c>
      <c r="B10030" t="s">
        <v>2942</v>
      </c>
      <c r="C10030" s="851">
        <v>630.20000000000005</v>
      </c>
      <c r="D10030" s="908">
        <v>1573.5</v>
      </c>
      <c r="E10030" s="896">
        <v>1.4968264043160899</v>
      </c>
      <c r="F10030" s="946">
        <v>0.08</v>
      </c>
      <c r="G10030" s="78"/>
      <c r="H10030" t="str">
        <f>VLOOKUP(B10030,indexy!$A$44:$D$823,3,FALSE)</f>
        <v>4503 JT Equity</v>
      </c>
    </row>
    <row r="10031" spans="1:11" hidden="1" outlineLevel="1" x14ac:dyDescent="0.25">
      <c r="A10031" s="1237">
        <v>0.02</v>
      </c>
      <c r="B10031" t="s">
        <v>805</v>
      </c>
      <c r="C10031" s="851">
        <v>63.142000000000003</v>
      </c>
      <c r="D10031" s="908">
        <v>85.97</v>
      </c>
      <c r="E10031" s="896">
        <v>0.36153431947039993</v>
      </c>
      <c r="F10031" s="946">
        <v>0.08</v>
      </c>
      <c r="G10031" s="78"/>
      <c r="H10031" t="str">
        <f>VLOOKUP(B10031,indexy!$A$44:$D$823,3,FALSE)</f>
        <v>BMO CT Equity</v>
      </c>
    </row>
    <row r="10032" spans="1:11" hidden="1" outlineLevel="1" x14ac:dyDescent="0.25">
      <c r="A10032" s="1237">
        <v>0.03</v>
      </c>
      <c r="B10032" t="s">
        <v>4377</v>
      </c>
      <c r="C10032" s="851">
        <v>27.074000000000002</v>
      </c>
      <c r="D10032" s="908">
        <v>53.92</v>
      </c>
      <c r="E10032" s="896">
        <v>0.99157863633005827</v>
      </c>
      <c r="F10032" s="946">
        <v>0.08</v>
      </c>
      <c r="G10032" s="78"/>
      <c r="H10032" t="str">
        <f>VLOOKUP(B10032,indexy!$A$44:$D$823,3,FALSE)</f>
        <v>BMY UN Equity</v>
      </c>
    </row>
    <row r="10033" spans="1:8" hidden="1" outlineLevel="1" x14ac:dyDescent="0.25">
      <c r="A10033" s="1237">
        <v>0.05</v>
      </c>
      <c r="B10033" t="s">
        <v>3954</v>
      </c>
      <c r="C10033" s="851">
        <v>84.412000000000006</v>
      </c>
      <c r="D10033" s="908">
        <v>101.73</v>
      </c>
      <c r="E10033" s="896">
        <v>0.20516040373406619</v>
      </c>
      <c r="F10033" s="946">
        <v>0.08</v>
      </c>
      <c r="G10033" s="78"/>
      <c r="H10033" t="str">
        <f>VLOOKUP(B10033,indexy!$A$44:$D$823,3,FALSE)</f>
        <v>CM CT Equity</v>
      </c>
    </row>
    <row r="10034" spans="1:8" hidden="1" outlineLevel="1" x14ac:dyDescent="0.25">
      <c r="A10034" s="1237">
        <v>0.02</v>
      </c>
      <c r="B10034" s="1319" t="s">
        <v>4332</v>
      </c>
      <c r="C10034" s="851">
        <v>325</v>
      </c>
      <c r="D10034" s="908">
        <v>228.2</v>
      </c>
      <c r="E10034" s="896">
        <v>-0.29784615384615387</v>
      </c>
      <c r="F10034" s="946">
        <v>-0.29784615384615387</v>
      </c>
      <c r="G10034" s="78"/>
      <c r="H10034" t="str">
        <f>VLOOKUP(B10034,indexy!$A$44:$D$823,3,FALSE)</f>
        <v>CNA LN Equity</v>
      </c>
    </row>
    <row r="10035" spans="1:8" hidden="1" outlineLevel="1" x14ac:dyDescent="0.25">
      <c r="A10035" s="1237">
        <v>0.08</v>
      </c>
      <c r="B10035" t="s">
        <v>1319</v>
      </c>
      <c r="C10035" s="851">
        <v>51.003999999999998</v>
      </c>
      <c r="D10035" s="908">
        <v>75.3</v>
      </c>
      <c r="E10035" s="896">
        <v>0.47635479570229777</v>
      </c>
      <c r="F10035" s="946">
        <v>0.08</v>
      </c>
      <c r="G10035" s="78"/>
      <c r="H10035" t="str">
        <f>VLOOKUP(B10035,indexy!$A$44:$D$823,3,FALSE)</f>
        <v>ED UN Equity</v>
      </c>
    </row>
    <row r="10036" spans="1:8" hidden="1" outlineLevel="1" x14ac:dyDescent="0.25">
      <c r="A10036" s="1237">
        <v>0.02</v>
      </c>
      <c r="B10036" t="s">
        <v>3798</v>
      </c>
      <c r="C10036" s="851">
        <v>4.5811999999999999</v>
      </c>
      <c r="D10036" s="908">
        <v>3.968</v>
      </c>
      <c r="E10036" s="896">
        <v>-0.13385139264821444</v>
      </c>
      <c r="F10036" s="946">
        <v>-0.13385139264821444</v>
      </c>
      <c r="G10036" s="78"/>
      <c r="H10036" t="str">
        <f>VLOOKUP(B10036,indexy!$A$44:$D$823,3,FALSE)</f>
        <v>ENEL IM Equity</v>
      </c>
    </row>
    <row r="10037" spans="1:8" hidden="1" outlineLevel="1" x14ac:dyDescent="0.25">
      <c r="A10037" s="1237">
        <v>0.02</v>
      </c>
      <c r="B10037" s="706" t="s">
        <v>5824</v>
      </c>
      <c r="C10037" s="851">
        <v>15.861000000000001</v>
      </c>
      <c r="D10037" s="908">
        <v>13.93</v>
      </c>
      <c r="E10037" s="896">
        <v>-0.12174516108694289</v>
      </c>
      <c r="F10037" s="946">
        <v>-0.12174516108694289</v>
      </c>
      <c r="G10037" s="78"/>
      <c r="H10037" t="str">
        <f>VLOOKUP(B10037,indexy!$A$44:$D$823,3,FALSE)</f>
        <v>ORA FP Equity</v>
      </c>
    </row>
    <row r="10038" spans="1:8" hidden="1" outlineLevel="1" x14ac:dyDescent="0.25">
      <c r="A10038" s="1237">
        <v>0.08</v>
      </c>
      <c r="B10038" t="s">
        <v>1381</v>
      </c>
      <c r="C10038" s="851">
        <v>65.585999999999999</v>
      </c>
      <c r="D10038" s="908">
        <v>126.14</v>
      </c>
      <c r="E10038" s="896">
        <v>0.92327630896837753</v>
      </c>
      <c r="F10038" s="946">
        <v>0.08</v>
      </c>
      <c r="G10038" s="78"/>
      <c r="H10038" t="str">
        <f>VLOOKUP(B10038,indexy!$A$44:$D$823,3,FALSE)</f>
        <v>KMB UN Equity</v>
      </c>
    </row>
    <row r="10039" spans="1:8" hidden="1" outlineLevel="1" x14ac:dyDescent="0.25">
      <c r="A10039" s="1237">
        <v>0.05</v>
      </c>
      <c r="B10039" t="s">
        <v>4143</v>
      </c>
      <c r="C10039" s="851">
        <v>12.118</v>
      </c>
      <c r="D10039" s="908">
        <v>2.9550000000000001</v>
      </c>
      <c r="E10039" s="896">
        <v>-0.75614787918798476</v>
      </c>
      <c r="F10039" s="946">
        <v>-0.75614787918798476</v>
      </c>
      <c r="G10039" s="78"/>
      <c r="H10039" t="str">
        <f>VLOOKUP(B10039,indexy!$A$44:$D$823,3,FALSE)</f>
        <v>KPN NA Equity</v>
      </c>
    </row>
    <row r="10040" spans="1:8" hidden="1" outlineLevel="1" x14ac:dyDescent="0.25">
      <c r="A10040" s="1237">
        <v>0.05</v>
      </c>
      <c r="B10040" s="852" t="s">
        <v>7573</v>
      </c>
      <c r="C10040" s="851">
        <v>31.64</v>
      </c>
      <c r="D10040" s="908">
        <v>89.51</v>
      </c>
      <c r="E10040" s="896">
        <v>1.829013906447535</v>
      </c>
      <c r="F10040" s="946">
        <v>0.08</v>
      </c>
      <c r="G10040" s="78"/>
      <c r="H10040" t="str">
        <f>VLOOKUP(B10040,indexy!$A$44:$D$823,3,FALSE)</f>
        <v>KHC UW Equity</v>
      </c>
    </row>
    <row r="10041" spans="1:8" hidden="1" outlineLevel="1" x14ac:dyDescent="0.25">
      <c r="A10041" s="1237">
        <v>0.02</v>
      </c>
      <c r="B10041" t="s">
        <v>3956</v>
      </c>
      <c r="C10041" s="851">
        <v>742.7</v>
      </c>
      <c r="D10041" s="908">
        <v>1058</v>
      </c>
      <c r="E10041" s="896">
        <v>0.42453211256227275</v>
      </c>
      <c r="F10041" s="946">
        <v>0.08</v>
      </c>
      <c r="G10041" s="78"/>
      <c r="H10041" t="str">
        <f>VLOOKUP(B10041,indexy!$A$44:$D$823,3,FALSE)</f>
        <v>LAND LN Equity</v>
      </c>
    </row>
    <row r="10042" spans="1:8" hidden="1" outlineLevel="1" x14ac:dyDescent="0.25">
      <c r="A10042" s="1237">
        <v>0.02</v>
      </c>
      <c r="B10042" t="s">
        <v>1905</v>
      </c>
      <c r="C10042" s="851">
        <v>33.356000000000002</v>
      </c>
      <c r="D10042" s="908">
        <v>62.41</v>
      </c>
      <c r="E10042" s="896">
        <v>0.87102770116320882</v>
      </c>
      <c r="F10042" s="946">
        <v>0.08</v>
      </c>
      <c r="G10042" s="78"/>
      <c r="H10042" t="str">
        <f>VLOOKUP(B10042,indexy!$A$44:$D$823,3,FALSE)</f>
        <v>MRK UN Equity</v>
      </c>
    </row>
    <row r="10043" spans="1:8" hidden="1" outlineLevel="1" x14ac:dyDescent="0.25">
      <c r="A10043" s="1237">
        <v>0.05</v>
      </c>
      <c r="B10043" t="s">
        <v>2786</v>
      </c>
      <c r="C10043" s="851">
        <v>591.70000000000005</v>
      </c>
      <c r="D10043" s="908">
        <v>1092</v>
      </c>
      <c r="E10043" s="896">
        <v>0.845529829305391</v>
      </c>
      <c r="F10043" s="946">
        <v>0.08</v>
      </c>
      <c r="G10043" s="78"/>
      <c r="H10043" t="str">
        <f>VLOOKUP(B10043,indexy!$A$44:$D$823,3,FALSE)</f>
        <v>NG/ LN Equity</v>
      </c>
    </row>
    <row r="10044" spans="1:8" hidden="1" outlineLevel="1" x14ac:dyDescent="0.25">
      <c r="A10044" s="1237">
        <v>0.02</v>
      </c>
      <c r="B10044" t="s">
        <v>2787</v>
      </c>
      <c r="C10044" s="851">
        <v>50.7</v>
      </c>
      <c r="D10044" s="908">
        <v>76.400000000000006</v>
      </c>
      <c r="E10044" s="896">
        <v>0.50690335305719914</v>
      </c>
      <c r="F10044" s="946">
        <v>0.08</v>
      </c>
      <c r="G10044" s="78"/>
      <c r="H10044" t="str">
        <f>VLOOKUP(B10044,indexy!$A$44:$D$823,3,FALSE)</f>
        <v>NOVN SE Equity</v>
      </c>
    </row>
    <row r="10045" spans="1:8" hidden="1" outlineLevel="1" x14ac:dyDescent="0.25">
      <c r="A10045" s="1237">
        <v>0.02</v>
      </c>
      <c r="B10045" t="s">
        <v>3958</v>
      </c>
      <c r="C10045" s="851">
        <v>1122.5999999999999</v>
      </c>
      <c r="D10045" s="908">
        <v>753</v>
      </c>
      <c r="E10045" s="896">
        <v>-0.32923570283270975</v>
      </c>
      <c r="F10045" s="946">
        <v>-0.32923570283270975</v>
      </c>
      <c r="G10045" s="78"/>
      <c r="H10045" t="str">
        <f>VLOOKUP(B10045,indexy!$A$44:$D$823,3,FALSE)</f>
        <v>PSON LN Equity</v>
      </c>
    </row>
    <row r="10046" spans="1:8" hidden="1" outlineLevel="1" x14ac:dyDescent="0.25">
      <c r="A10046" s="1237">
        <v>0.02</v>
      </c>
      <c r="B10046" t="s">
        <v>5121</v>
      </c>
      <c r="C10046" s="851">
        <v>541.9</v>
      </c>
      <c r="D10046" s="908">
        <v>1463</v>
      </c>
      <c r="E10046" s="896">
        <v>1.6997601033401</v>
      </c>
      <c r="F10046" s="946">
        <v>0.08</v>
      </c>
      <c r="G10046" s="78"/>
      <c r="H10046" t="str">
        <f>VLOOKUP(B10046,indexy!$A$44:$D$823,3,FALSE)</f>
        <v>REL LN Equity</v>
      </c>
    </row>
    <row r="10047" spans="1:8" hidden="1" outlineLevel="1" x14ac:dyDescent="0.25">
      <c r="A10047" s="1237">
        <v>7.0000000000000007E-2</v>
      </c>
      <c r="B10047" t="s">
        <v>3800</v>
      </c>
      <c r="C10047" s="851">
        <v>133.28</v>
      </c>
      <c r="D10047" s="908">
        <v>241</v>
      </c>
      <c r="E10047" s="896">
        <v>0.80822328931572618</v>
      </c>
      <c r="F10047" s="946">
        <v>0.08</v>
      </c>
      <c r="G10047" s="78"/>
      <c r="H10047" t="str">
        <f>VLOOKUP(B10047,indexy!$A$44:$D$823,3,FALSE)</f>
        <v>ROG SE Equity</v>
      </c>
    </row>
    <row r="10048" spans="1:8" hidden="1" outlineLevel="1" x14ac:dyDescent="0.25">
      <c r="A10048" s="1237">
        <v>0.02</v>
      </c>
      <c r="B10048" t="s">
        <v>102</v>
      </c>
      <c r="C10048" s="851">
        <v>594.29999999999995</v>
      </c>
      <c r="D10048" s="908">
        <v>546</v>
      </c>
      <c r="E10048" s="896">
        <v>-8.1272084805653622E-2</v>
      </c>
      <c r="F10048" s="946">
        <v>-8.1272084805653622E-2</v>
      </c>
      <c r="G10048" s="78"/>
      <c r="H10048" t="str">
        <f>VLOOKUP(B10048,indexy!$A$44:$D$823,3,FALSE)</f>
        <v>RSA LN Equity</v>
      </c>
    </row>
    <row r="10049" spans="1:8" hidden="1" outlineLevel="1" x14ac:dyDescent="0.25">
      <c r="A10049" s="1237">
        <v>0.02</v>
      </c>
      <c r="B10049" t="s">
        <v>2728</v>
      </c>
      <c r="C10049" s="851">
        <v>60.384</v>
      </c>
      <c r="D10049" s="908">
        <v>81.260000000000005</v>
      </c>
      <c r="E10049" s="896">
        <v>0.34572072072072091</v>
      </c>
      <c r="F10049" s="946">
        <v>0.08</v>
      </c>
      <c r="G10049" s="78"/>
      <c r="H10049" t="str">
        <f>VLOOKUP(B10049,indexy!$A$44:$D$823,3,FALSE)</f>
        <v>RY CT Equity</v>
      </c>
    </row>
    <row r="10050" spans="1:8" hidden="1" outlineLevel="1" x14ac:dyDescent="0.25">
      <c r="A10050" s="1237">
        <v>0.02</v>
      </c>
      <c r="B10050" t="s">
        <v>1857</v>
      </c>
      <c r="C10050" s="851">
        <v>1298</v>
      </c>
      <c r="D10050" s="908">
        <v>1568</v>
      </c>
      <c r="E10050" s="896">
        <v>0.20801232665639446</v>
      </c>
      <c r="F10050" s="946">
        <v>0.08</v>
      </c>
      <c r="G10050" s="78"/>
      <c r="H10050" t="str">
        <f>VLOOKUP(B10050,indexy!$A$44:$D$823,3,FALSE)</f>
        <v>SSE LN Equity</v>
      </c>
    </row>
    <row r="10051" spans="1:8" hidden="1" outlineLevel="1" x14ac:dyDescent="0.25">
      <c r="A10051" s="1237">
        <v>0.02</v>
      </c>
      <c r="B10051" t="s">
        <v>4460</v>
      </c>
      <c r="C10051" s="851">
        <v>1449.2</v>
      </c>
      <c r="D10051" s="908">
        <v>2505</v>
      </c>
      <c r="E10051" s="896">
        <v>0.72853988407397186</v>
      </c>
      <c r="F10051" s="946">
        <v>0.08</v>
      </c>
      <c r="G10051" s="78"/>
      <c r="H10051" t="str">
        <f>VLOOKUP(B10051,indexy!$A$44:$D$823,3,FALSE)</f>
        <v>SVT LN Equity</v>
      </c>
    </row>
    <row r="10052" spans="1:8" hidden="1" outlineLevel="1" x14ac:dyDescent="0.25">
      <c r="A10052" s="1237">
        <v>0.02</v>
      </c>
      <c r="B10052" t="s">
        <v>3960</v>
      </c>
      <c r="C10052" s="851">
        <v>214.44</v>
      </c>
      <c r="D10052" s="908">
        <v>343.9</v>
      </c>
      <c r="E10052" s="896">
        <v>0.60371199403096432</v>
      </c>
      <c r="F10052" s="946">
        <v>0.08</v>
      </c>
      <c r="G10052" s="78"/>
      <c r="H10052" t="str">
        <f>VLOOKUP(B10052,indexy!$A$44:$D$823,3,FALSE)</f>
        <v>ABDN LN Equity</v>
      </c>
    </row>
    <row r="10053" spans="1:8" hidden="1" outlineLevel="1" x14ac:dyDescent="0.25">
      <c r="A10053" s="1237">
        <v>7.0000000000000007E-2</v>
      </c>
      <c r="B10053" t="s">
        <v>3022</v>
      </c>
      <c r="C10053" s="851">
        <v>3888</v>
      </c>
      <c r="D10053" s="908">
        <v>4823</v>
      </c>
      <c r="E10053" s="896">
        <v>0.24048353909465026</v>
      </c>
      <c r="F10053" s="946">
        <v>0.08</v>
      </c>
      <c r="G10053" s="78"/>
      <c r="H10053" t="str">
        <f>VLOOKUP(B10053,indexy!$A$44:$D$823,3,FALSE)</f>
        <v>4502 JT Equity</v>
      </c>
    </row>
    <row r="10054" spans="1:8" hidden="1" outlineLevel="1" x14ac:dyDescent="0.25">
      <c r="A10054" s="1237">
        <v>0.02</v>
      </c>
      <c r="B10054" t="s">
        <v>577</v>
      </c>
      <c r="C10054" s="851">
        <v>18.059000000000001</v>
      </c>
      <c r="D10054" s="908">
        <v>9.0150000000000006</v>
      </c>
      <c r="E10054" s="896">
        <v>-0.50080292374993074</v>
      </c>
      <c r="F10054" s="946">
        <v>-0.50080292374993074</v>
      </c>
      <c r="G10054" s="78"/>
      <c r="H10054" t="str">
        <f>VLOOKUP(B10054,indexy!$A$44:$D$823,3,FALSE)</f>
        <v>TEF SQ Equity</v>
      </c>
    </row>
    <row r="10055" spans="1:8" hidden="1" outlineLevel="1" x14ac:dyDescent="0.25">
      <c r="A10055" s="1237">
        <v>0.02</v>
      </c>
      <c r="B10055" t="s">
        <v>434</v>
      </c>
      <c r="C10055" s="851">
        <v>52.97</v>
      </c>
      <c r="D10055" s="908">
        <v>38.42</v>
      </c>
      <c r="E10055" s="896">
        <v>-0.27468378327355103</v>
      </c>
      <c r="F10055" s="946">
        <v>-0.27468378327355103</v>
      </c>
      <c r="G10055" s="78"/>
      <c r="H10055" t="str">
        <f>VLOOKUP(B10055,indexy!$A$44:$D$823,3,FALSE)</f>
        <v>TELIA SS Equity</v>
      </c>
    </row>
    <row r="10056" spans="1:8" hidden="1" outlineLevel="1" x14ac:dyDescent="0.25">
      <c r="A10056" s="1237">
        <v>0.02</v>
      </c>
      <c r="B10056" s="987" t="s">
        <v>2983</v>
      </c>
      <c r="C10056" s="851">
        <v>593.6</v>
      </c>
      <c r="D10056" s="908">
        <v>1003</v>
      </c>
      <c r="E10056" s="896">
        <v>0.68969002695417791</v>
      </c>
      <c r="F10056" s="946">
        <v>0.08</v>
      </c>
      <c r="G10056" s="78"/>
      <c r="H10056" t="str">
        <f>VLOOKUP(B10056,indexy!$A$44:$D$823,3,FALSE)</f>
        <v>UU/ LN Equity</v>
      </c>
    </row>
    <row r="10057" spans="1:8" hidden="1" outlineLevel="1" x14ac:dyDescent="0.25">
      <c r="A10057" s="1237">
        <v>0.02</v>
      </c>
      <c r="B10057" s="877" t="s">
        <v>579</v>
      </c>
      <c r="C10057" s="851">
        <v>177.35</v>
      </c>
      <c r="D10057" s="908">
        <v>221.75</v>
      </c>
      <c r="E10057" s="896">
        <v>0.25035241048773615</v>
      </c>
      <c r="F10057" s="946">
        <v>0.08</v>
      </c>
      <c r="G10057" s="78"/>
      <c r="H10057" t="str">
        <f>VLOOKUP(B10057,indexy!$A$44:$D$823,3,FALSE)</f>
        <v>VOD LN Equity</v>
      </c>
    </row>
    <row r="10058" spans="1:8" hidden="1" outlineLevel="1" x14ac:dyDescent="0.25">
      <c r="A10058" s="1237">
        <v>0.02</v>
      </c>
      <c r="B10058" t="s">
        <v>1211</v>
      </c>
      <c r="C10058" s="851">
        <v>37.948</v>
      </c>
      <c r="D10058" s="908">
        <v>63.76</v>
      </c>
      <c r="E10058" s="896">
        <v>0.68019394961526292</v>
      </c>
      <c r="F10058" s="946">
        <v>0.08</v>
      </c>
      <c r="G10058" s="78"/>
      <c r="H10058" t="str">
        <f>VLOOKUP(B10058,indexy!$A$44:$D$823,3,FALSE)</f>
        <v>WM UN Equity</v>
      </c>
    </row>
    <row r="10059" spans="1:8" hidden="1" outlineLevel="1" x14ac:dyDescent="0.25">
      <c r="A10059" s="1237">
        <v>0.02</v>
      </c>
      <c r="B10059" t="s">
        <v>4550</v>
      </c>
      <c r="C10059" s="851">
        <v>245.24</v>
      </c>
      <c r="D10059" s="908">
        <v>250</v>
      </c>
      <c r="E10059" s="896">
        <v>1.9409557984015668E-2</v>
      </c>
      <c r="F10059" s="946">
        <v>0.08</v>
      </c>
      <c r="G10059" s="78"/>
      <c r="H10059" t="str">
        <f>VLOOKUP(B10059,indexy!$A$44:$D$823,3,FALSE)</f>
        <v>ZURN SE Equity</v>
      </c>
    </row>
    <row r="10060" spans="1:8" hidden="1" outlineLevel="1" x14ac:dyDescent="0.25">
      <c r="A10060" s="1232" t="s">
        <v>2465</v>
      </c>
      <c r="B10060" s="1471"/>
      <c r="C10060" s="1472"/>
      <c r="D10060" s="1227"/>
      <c r="E10060" s="907">
        <v>0.53908201192682437</v>
      </c>
      <c r="F10060" s="1872">
        <v>-7.7961380042623632E-3</v>
      </c>
      <c r="G10060" s="78"/>
    </row>
    <row r="10061" spans="1:8" hidden="1" outlineLevel="1" x14ac:dyDescent="0.25">
      <c r="A10061" s="690"/>
      <c r="B10061" s="691"/>
      <c r="C10061" s="691"/>
      <c r="D10061" s="691"/>
      <c r="E10061" s="691"/>
      <c r="F10061" s="1830"/>
      <c r="G10061" s="78"/>
    </row>
    <row r="10062" spans="1:8" hidden="1" outlineLevel="1" x14ac:dyDescent="0.25">
      <c r="A10062" s="1617" t="s">
        <v>113</v>
      </c>
      <c r="B10062" s="1617"/>
      <c r="C10062" s="1618"/>
      <c r="D10062" s="1618"/>
      <c r="E10062" s="726"/>
      <c r="F10062" s="1023"/>
      <c r="G10062" s="78"/>
    </row>
    <row r="10063" spans="1:8" hidden="1" outlineLevel="1" x14ac:dyDescent="0.25">
      <c r="A10063" s="753" t="s">
        <v>293</v>
      </c>
      <c r="B10063" s="690"/>
      <c r="C10063" s="691"/>
      <c r="D10063" s="691"/>
      <c r="E10063" s="1024"/>
      <c r="F10063" s="1021">
        <v>0.04</v>
      </c>
      <c r="G10063" s="78"/>
    </row>
    <row r="10064" spans="1:8" hidden="1" outlineLevel="1" x14ac:dyDescent="0.25">
      <c r="A10064" s="753" t="s">
        <v>294</v>
      </c>
      <c r="B10064" s="706"/>
      <c r="C10064" s="695"/>
      <c r="D10064" s="695"/>
      <c r="E10064" s="1026"/>
      <c r="F10064" s="946">
        <v>0</v>
      </c>
      <c r="G10064" s="78"/>
    </row>
    <row r="10065" spans="1:13" hidden="1" outlineLevel="1" x14ac:dyDescent="0.25">
      <c r="A10065" s="753" t="s">
        <v>295</v>
      </c>
      <c r="B10065" s="706"/>
      <c r="C10065" s="695"/>
      <c r="D10065" s="695"/>
      <c r="E10065" s="1026"/>
      <c r="F10065" s="946">
        <v>9.4000000000000004E-3</v>
      </c>
      <c r="G10065" s="78"/>
    </row>
    <row r="10066" spans="1:13" hidden="1" outlineLevel="1" x14ac:dyDescent="0.25">
      <c r="A10066" s="753" t="s">
        <v>296</v>
      </c>
      <c r="B10066" s="706"/>
      <c r="C10066" s="695"/>
      <c r="D10066" s="695"/>
      <c r="E10066" s="1026"/>
      <c r="F10066" s="946">
        <v>2.3800000000000002E-2</v>
      </c>
      <c r="G10066" s="78"/>
    </row>
    <row r="10067" spans="1:13" hidden="1" outlineLevel="1" x14ac:dyDescent="0.25">
      <c r="A10067" s="753" t="s">
        <v>297</v>
      </c>
      <c r="B10067" s="713"/>
      <c r="C10067" s="726"/>
      <c r="D10067" s="726"/>
      <c r="E10067" s="1321"/>
      <c r="F10067" s="1023">
        <v>1.6999999999999999E-3</v>
      </c>
      <c r="G10067" s="78"/>
    </row>
    <row r="10068" spans="1:13" collapsed="1" x14ac:dyDescent="0.25">
      <c r="A10068" s="3803" t="s">
        <v>4378</v>
      </c>
      <c r="B10068" s="3804"/>
      <c r="C10068" s="3804"/>
      <c r="D10068" s="1019"/>
      <c r="E10068" s="1019"/>
      <c r="F10068" s="1909">
        <v>7.4899999999999994E-2</v>
      </c>
      <c r="G10068" s="78"/>
    </row>
    <row r="10070" spans="1:13" ht="12.75" hidden="1" customHeight="1" outlineLevel="1" x14ac:dyDescent="0.25">
      <c r="A10070" s="689" t="s">
        <v>113</v>
      </c>
      <c r="B10070" s="689" t="s">
        <v>114</v>
      </c>
      <c r="C10070" s="689" t="s">
        <v>112</v>
      </c>
      <c r="D10070" s="689" t="s">
        <v>116</v>
      </c>
      <c r="E10070" s="689" t="s">
        <v>117</v>
      </c>
      <c r="F10070" s="1188" t="s">
        <v>121</v>
      </c>
      <c r="G10070" s="78"/>
    </row>
    <row r="10071" spans="1:13" ht="12.75" hidden="1" customHeight="1" outlineLevel="1" x14ac:dyDescent="0.25">
      <c r="A10071" s="690">
        <v>14</v>
      </c>
      <c r="B10071" s="691" t="s">
        <v>252</v>
      </c>
      <c r="C10071" s="692">
        <v>100</v>
      </c>
      <c r="D10071" s="692"/>
      <c r="E10071" s="693"/>
      <c r="F10071" s="694"/>
      <c r="G10071" s="78"/>
    </row>
    <row r="10072" spans="1:13" ht="12.75" hidden="1" customHeight="1" outlineLevel="1" x14ac:dyDescent="0.25">
      <c r="A10072" s="695"/>
      <c r="B10072" s="695"/>
      <c r="C10072" s="696"/>
      <c r="D10072" s="697" t="s">
        <v>3702</v>
      </c>
      <c r="E10072" s="698">
        <f>indexy!$B$2</f>
        <v>45379</v>
      </c>
      <c r="F10072" s="699"/>
      <c r="G10072" s="78"/>
    </row>
    <row r="10073" spans="1:13" ht="12.75" hidden="1" customHeight="1" outlineLevel="1" x14ac:dyDescent="0.25">
      <c r="A10073" s="689" t="s">
        <v>4156</v>
      </c>
      <c r="B10073" s="689" t="s">
        <v>4153</v>
      </c>
      <c r="C10073" s="497" t="s">
        <v>112</v>
      </c>
      <c r="D10073" s="495" t="s">
        <v>4363</v>
      </c>
      <c r="E10073" s="689" t="s">
        <v>4154</v>
      </c>
      <c r="F10073" s="1021" t="s">
        <v>2519</v>
      </c>
      <c r="G10073" s="78"/>
    </row>
    <row r="10074" spans="1:13" ht="12.75" hidden="1" customHeight="1" outlineLevel="1" x14ac:dyDescent="0.25">
      <c r="A10074" s="999">
        <v>0.02</v>
      </c>
      <c r="B10074" s="1000" t="s">
        <v>1093</v>
      </c>
      <c r="C10074" s="1001">
        <v>304.85000000000002</v>
      </c>
      <c r="D10074" s="803">
        <v>539</v>
      </c>
      <c r="E10074" s="1335">
        <f>D10074/C10074-1</f>
        <v>0.76808266360505151</v>
      </c>
      <c r="F10074" s="1021">
        <f>E10074*A10074</f>
        <v>1.536165327210103E-2</v>
      </c>
      <c r="G10074" s="78"/>
      <c r="H10074" t="s">
        <v>2039</v>
      </c>
      <c r="K10074" s="434"/>
      <c r="M10074" s="434"/>
    </row>
    <row r="10075" spans="1:13" ht="12.75" hidden="1" customHeight="1" outlineLevel="1" x14ac:dyDescent="0.25">
      <c r="A10075" s="1002">
        <v>0.02</v>
      </c>
      <c r="B10075" s="939" t="s">
        <v>872</v>
      </c>
      <c r="C10075" s="1003">
        <v>277.20999999999998</v>
      </c>
      <c r="D10075" s="908">
        <v>532</v>
      </c>
      <c r="E10075" s="1336">
        <f>D10075/C10075-1</f>
        <v>0.91912268677176168</v>
      </c>
      <c r="F10075" s="946">
        <f t="shared" ref="F10075:F10103" si="208">E10075*A10075</f>
        <v>1.8382453735435234E-2</v>
      </c>
      <c r="G10075" s="78"/>
      <c r="H10075" t="s">
        <v>4312</v>
      </c>
      <c r="K10075" s="434"/>
      <c r="M10075" s="434"/>
    </row>
    <row r="10076" spans="1:13" ht="12.75" hidden="1" customHeight="1" outlineLevel="1" x14ac:dyDescent="0.25">
      <c r="A10076" s="1002">
        <v>0.02</v>
      </c>
      <c r="B10076" s="996" t="s">
        <v>901</v>
      </c>
      <c r="C10076" s="1003">
        <v>2755.4</v>
      </c>
      <c r="D10076" s="908">
        <v>3782</v>
      </c>
      <c r="E10076" s="1336">
        <f t="shared" ref="E10076:E10103" si="209">D10076/C10076-1</f>
        <v>0.37257748421281844</v>
      </c>
      <c r="F10076" s="946">
        <f t="shared" si="208"/>
        <v>7.4515496842563686E-3</v>
      </c>
      <c r="G10076" s="78"/>
      <c r="H10076" t="s">
        <v>531</v>
      </c>
      <c r="K10076" s="434"/>
      <c r="M10076" s="434"/>
    </row>
    <row r="10077" spans="1:13" ht="12.75" hidden="1" customHeight="1" outlineLevel="1" x14ac:dyDescent="0.25">
      <c r="A10077" s="1002">
        <v>0.04</v>
      </c>
      <c r="B10077" s="996" t="s">
        <v>4332</v>
      </c>
      <c r="C10077" s="1003">
        <v>295.87</v>
      </c>
      <c r="D10077" s="908">
        <v>244.3</v>
      </c>
      <c r="E10077" s="1336">
        <f t="shared" si="209"/>
        <v>-0.17429952343934829</v>
      </c>
      <c r="F10077" s="946">
        <f t="shared" si="208"/>
        <v>-6.9719809375739317E-3</v>
      </c>
      <c r="G10077" s="78"/>
      <c r="H10077" t="s">
        <v>4334</v>
      </c>
      <c r="K10077" s="434"/>
      <c r="M10077" s="434"/>
    </row>
    <row r="10078" spans="1:13" ht="12.75" hidden="1" customHeight="1" outlineLevel="1" x14ac:dyDescent="0.25">
      <c r="A10078" s="1002">
        <v>0.04</v>
      </c>
      <c r="B10078" s="996" t="s">
        <v>1440</v>
      </c>
      <c r="C10078" s="1003">
        <v>45.650500018372043</v>
      </c>
      <c r="D10078" s="908">
        <v>70.819999999999993</v>
      </c>
      <c r="E10078" s="1336">
        <f t="shared" si="209"/>
        <v>0.55135212038199999</v>
      </c>
      <c r="F10078" s="946">
        <f t="shared" si="208"/>
        <v>2.2054084815280001E-2</v>
      </c>
      <c r="G10078" s="78"/>
      <c r="H10078" t="s">
        <v>2569</v>
      </c>
      <c r="K10078" s="434"/>
      <c r="M10078" s="434"/>
    </row>
    <row r="10079" spans="1:13" ht="12.75" hidden="1" customHeight="1" outlineLevel="1" x14ac:dyDescent="0.25">
      <c r="A10079" s="1002">
        <v>0.02</v>
      </c>
      <c r="B10079" s="996" t="s">
        <v>3288</v>
      </c>
      <c r="C10079" s="1003">
        <v>552.93700013092121</v>
      </c>
      <c r="D10079" s="908">
        <v>1152</v>
      </c>
      <c r="E10079" s="1336">
        <f t="shared" si="209"/>
        <v>1.0834199912959996</v>
      </c>
      <c r="F10079" s="946">
        <f t="shared" si="208"/>
        <v>2.1668399825919994E-2</v>
      </c>
      <c r="G10079" s="78"/>
      <c r="H10079" t="s">
        <v>266</v>
      </c>
      <c r="K10079" s="434"/>
      <c r="M10079" s="434"/>
    </row>
    <row r="10080" spans="1:13" ht="12.75" hidden="1" customHeight="1" outlineLevel="1" x14ac:dyDescent="0.25">
      <c r="A10080" s="1002">
        <v>0.02</v>
      </c>
      <c r="B10080" s="996" t="s">
        <v>3406</v>
      </c>
      <c r="C10080" s="1003">
        <v>1216.2</v>
      </c>
      <c r="D10080" s="908">
        <v>1935.5</v>
      </c>
      <c r="E10080" s="1336">
        <f t="shared" si="209"/>
        <v>0.59143233020884711</v>
      </c>
      <c r="F10080" s="946">
        <f t="shared" si="208"/>
        <v>1.1828646604176943E-2</v>
      </c>
      <c r="G10080" s="78"/>
      <c r="H10080" t="s">
        <v>2105</v>
      </c>
      <c r="K10080" s="434"/>
      <c r="M10080" s="434"/>
    </row>
    <row r="10081" spans="1:13" ht="12.75" hidden="1" customHeight="1" outlineLevel="1" x14ac:dyDescent="0.25">
      <c r="A10081" s="1002">
        <v>7.0000000000000007E-2</v>
      </c>
      <c r="B10081" s="996" t="s">
        <v>1231</v>
      </c>
      <c r="C10081" s="1003">
        <f>19.132*3</f>
        <v>57.396000000000001</v>
      </c>
      <c r="D10081" s="908">
        <v>78.55</v>
      </c>
      <c r="E10081" s="1336">
        <f t="shared" si="209"/>
        <v>0.36856226914767576</v>
      </c>
      <c r="F10081" s="946">
        <f t="shared" si="208"/>
        <v>2.5799358840337305E-2</v>
      </c>
      <c r="G10081" s="78"/>
      <c r="H10081" t="s">
        <v>2041</v>
      </c>
      <c r="K10081" s="434"/>
      <c r="M10081" s="434"/>
    </row>
    <row r="10082" spans="1:13" ht="12.75" hidden="1" customHeight="1" outlineLevel="1" x14ac:dyDescent="0.25">
      <c r="A10082" s="1002">
        <v>7.0000000000000007E-2</v>
      </c>
      <c r="B10082" s="996" t="s">
        <v>3798</v>
      </c>
      <c r="C10082" s="1003">
        <v>3.0779999999999998</v>
      </c>
      <c r="D10082" s="908">
        <v>4.1180000000000003</v>
      </c>
      <c r="E10082" s="1336">
        <f t="shared" si="209"/>
        <v>0.33788174139051352</v>
      </c>
      <c r="F10082" s="946">
        <f t="shared" si="208"/>
        <v>2.3651721897335949E-2</v>
      </c>
      <c r="G10082" s="78"/>
      <c r="H10082" t="s">
        <v>4122</v>
      </c>
      <c r="K10082" s="434"/>
      <c r="M10082" s="434"/>
    </row>
    <row r="10083" spans="1:13" ht="12.75" hidden="1" customHeight="1" outlineLevel="1" x14ac:dyDescent="0.25">
      <c r="A10083" s="1002">
        <v>0.02</v>
      </c>
      <c r="B10083" s="706" t="s">
        <v>5824</v>
      </c>
      <c r="C10083" s="1003">
        <v>11.935</v>
      </c>
      <c r="D10083" s="908">
        <v>16.3</v>
      </c>
      <c r="E10083" s="1336">
        <f t="shared" si="209"/>
        <v>0.36573104315039795</v>
      </c>
      <c r="F10083" s="946">
        <f t="shared" si="208"/>
        <v>7.3146208630079593E-3</v>
      </c>
      <c r="G10083" s="78"/>
      <c r="H10083" t="s">
        <v>5817</v>
      </c>
      <c r="K10083" s="434"/>
      <c r="M10083" s="434"/>
    </row>
    <row r="10084" spans="1:13" ht="12.75" hidden="1" customHeight="1" outlineLevel="1" x14ac:dyDescent="0.25">
      <c r="A10084" s="1002">
        <v>0.02</v>
      </c>
      <c r="B10084" s="996" t="s">
        <v>3269</v>
      </c>
      <c r="C10084" s="1003">
        <v>11.9735</v>
      </c>
      <c r="D10084" s="908">
        <v>21.594999999999999</v>
      </c>
      <c r="E10084" s="1336">
        <f t="shared" si="209"/>
        <v>0.80356620871090323</v>
      </c>
      <c r="F10084" s="946">
        <f t="shared" si="208"/>
        <v>1.6071324174218065E-2</v>
      </c>
      <c r="G10084" s="78"/>
      <c r="H10084" t="s">
        <v>6730</v>
      </c>
      <c r="K10084" s="434"/>
      <c r="M10084" s="434"/>
    </row>
    <row r="10085" spans="1:13" ht="12.75" hidden="1" customHeight="1" outlineLevel="1" x14ac:dyDescent="0.25">
      <c r="A10085" s="1002">
        <v>0.06</v>
      </c>
      <c r="B10085" s="996" t="s">
        <v>4338</v>
      </c>
      <c r="C10085" s="1003">
        <v>20.431999999999999</v>
      </c>
      <c r="D10085" s="908">
        <v>19.875</v>
      </c>
      <c r="E10085" s="1336">
        <f t="shared" si="209"/>
        <v>-2.7261158966327304E-2</v>
      </c>
      <c r="F10085" s="946">
        <f t="shared" si="208"/>
        <v>-1.6356695379796382E-3</v>
      </c>
      <c r="G10085" s="78"/>
      <c r="H10085" t="s">
        <v>7229</v>
      </c>
      <c r="K10085" s="434"/>
      <c r="M10085" s="434"/>
    </row>
    <row r="10086" spans="1:13" ht="12.75" hidden="1" customHeight="1" outlineLevel="1" x14ac:dyDescent="0.25">
      <c r="A10086" s="1002">
        <v>7.0000000000000007E-2</v>
      </c>
      <c r="B10086" s="996" t="s">
        <v>4496</v>
      </c>
      <c r="C10086" s="1003">
        <v>51.122999999999998</v>
      </c>
      <c r="D10086" s="908">
        <v>72.944000000000003</v>
      </c>
      <c r="E10086" s="1336">
        <f t="shared" si="209"/>
        <v>0.42683332355299974</v>
      </c>
      <c r="F10086" s="946">
        <f t="shared" si="208"/>
        <v>2.9878332648709986E-2</v>
      </c>
      <c r="G10086" s="78"/>
      <c r="H10086" t="s">
        <v>6733</v>
      </c>
      <c r="K10086" s="434"/>
      <c r="M10086" s="434"/>
    </row>
    <row r="10087" spans="1:13" ht="12.75" hidden="1" customHeight="1" outlineLevel="1" x14ac:dyDescent="0.25">
      <c r="A10087" s="1002">
        <v>0.02</v>
      </c>
      <c r="B10087" s="996" t="s">
        <v>1771</v>
      </c>
      <c r="C10087" s="1003">
        <v>512.32000000000005</v>
      </c>
      <c r="D10087" s="908">
        <v>577.29999999999995</v>
      </c>
      <c r="E10087" s="1336">
        <f t="shared" si="209"/>
        <v>0.12683479075577742</v>
      </c>
      <c r="F10087" s="946">
        <f t="shared" si="208"/>
        <v>2.5366958151155482E-3</v>
      </c>
      <c r="G10087" s="78"/>
      <c r="H10087" t="s">
        <v>4329</v>
      </c>
      <c r="K10087" s="434"/>
      <c r="M10087" s="434"/>
    </row>
    <row r="10088" spans="1:13" ht="12.75" hidden="1" customHeight="1" outlineLevel="1" x14ac:dyDescent="0.25">
      <c r="A10088" s="1002">
        <v>0.02</v>
      </c>
      <c r="B10088" s="996" t="s">
        <v>3053</v>
      </c>
      <c r="C10088" s="1003">
        <v>44.332000000000001</v>
      </c>
      <c r="D10088" s="908">
        <v>98.86</v>
      </c>
      <c r="E10088" s="1336">
        <f t="shared" si="209"/>
        <v>1.2299918794550213</v>
      </c>
      <c r="F10088" s="946">
        <f t="shared" si="208"/>
        <v>2.4599837589100428E-2</v>
      </c>
      <c r="G10088" s="78"/>
      <c r="H10088" t="s">
        <v>3054</v>
      </c>
      <c r="K10088" s="434"/>
      <c r="M10088" s="434"/>
    </row>
    <row r="10089" spans="1:13" ht="12.75" hidden="1" customHeight="1" outlineLevel="1" x14ac:dyDescent="0.25">
      <c r="A10089" s="1002">
        <v>0.02</v>
      </c>
      <c r="B10089" s="996" t="s">
        <v>2920</v>
      </c>
      <c r="C10089" s="1003">
        <v>20.9495</v>
      </c>
      <c r="D10089" s="908">
        <v>33.25</v>
      </c>
      <c r="E10089" s="1336">
        <f t="shared" si="209"/>
        <v>0.58715005131387388</v>
      </c>
      <c r="F10089" s="946">
        <f t="shared" si="208"/>
        <v>1.1743001026277478E-2</v>
      </c>
      <c r="G10089" s="78"/>
      <c r="H10089" t="s">
        <v>6731</v>
      </c>
      <c r="K10089" s="434"/>
      <c r="M10089" s="434"/>
    </row>
    <row r="10090" spans="1:13" ht="12.75" hidden="1" customHeight="1" outlineLevel="1" x14ac:dyDescent="0.25">
      <c r="A10090" s="1002">
        <v>0.02</v>
      </c>
      <c r="B10090" s="996" t="s">
        <v>3</v>
      </c>
      <c r="C10090" s="1003">
        <v>328.57</v>
      </c>
      <c r="D10090" s="908">
        <v>432.16999999999996</v>
      </c>
      <c r="E10090" s="1336">
        <f t="shared" si="209"/>
        <v>0.31530571872051616</v>
      </c>
      <c r="F10090" s="946">
        <f t="shared" si="208"/>
        <v>6.3061143744103237E-3</v>
      </c>
      <c r="G10090" s="78"/>
      <c r="H10090" t="s">
        <v>6734</v>
      </c>
      <c r="K10090" s="434"/>
      <c r="M10090" s="434"/>
    </row>
    <row r="10091" spans="1:13" ht="12.75" hidden="1" customHeight="1" outlineLevel="1" x14ac:dyDescent="0.25">
      <c r="A10091" s="1002">
        <v>0.02</v>
      </c>
      <c r="B10091" s="996" t="s">
        <v>816</v>
      </c>
      <c r="C10091" s="1003">
        <v>87.649000000000001</v>
      </c>
      <c r="D10091" s="908">
        <v>98.9</v>
      </c>
      <c r="E10091" s="1336">
        <f t="shared" si="209"/>
        <v>0.12836427112688109</v>
      </c>
      <c r="F10091" s="946">
        <f t="shared" si="208"/>
        <v>2.567285422537622E-3</v>
      </c>
      <c r="G10091" s="78"/>
      <c r="H10091" t="s">
        <v>817</v>
      </c>
      <c r="K10091" s="434"/>
      <c r="M10091" s="434"/>
    </row>
    <row r="10092" spans="1:13" ht="12.75" hidden="1" customHeight="1" outlineLevel="1" x14ac:dyDescent="0.25">
      <c r="A10092" s="1002">
        <v>0.04</v>
      </c>
      <c r="B10092" s="996" t="s">
        <v>2786</v>
      </c>
      <c r="C10092" s="1003">
        <v>624.85</v>
      </c>
      <c r="D10092" s="908">
        <v>886.59999999999991</v>
      </c>
      <c r="E10092" s="1336">
        <f t="shared" si="209"/>
        <v>0.41890053612867062</v>
      </c>
      <c r="F10092" s="946">
        <f t="shared" si="208"/>
        <v>1.6756021445146825E-2</v>
      </c>
      <c r="G10092" s="78"/>
      <c r="H10092" t="s">
        <v>4195</v>
      </c>
      <c r="K10092" s="434"/>
      <c r="M10092" s="434"/>
    </row>
    <row r="10093" spans="1:13" ht="12.75" hidden="1" customHeight="1" outlineLevel="1" x14ac:dyDescent="0.25">
      <c r="A10093" s="1002">
        <v>0.02</v>
      </c>
      <c r="B10093" s="996" t="s">
        <v>1190</v>
      </c>
      <c r="C10093" s="1003">
        <v>4.1817036434727832</v>
      </c>
      <c r="D10093" s="908">
        <v>7.1849999999999996</v>
      </c>
      <c r="E10093" s="1336">
        <f t="shared" si="209"/>
        <v>0.71819923471024993</v>
      </c>
      <c r="F10093" s="946">
        <f t="shared" si="208"/>
        <v>1.4363984694204999E-2</v>
      </c>
      <c r="G10093" s="78"/>
      <c r="H10093" t="s">
        <v>7569</v>
      </c>
      <c r="K10093" s="434"/>
      <c r="M10093" s="434"/>
    </row>
    <row r="10094" spans="1:13" ht="12.75" hidden="1" customHeight="1" outlineLevel="1" x14ac:dyDescent="0.25">
      <c r="A10094" s="1002">
        <v>0.04</v>
      </c>
      <c r="B10094" s="996" t="s">
        <v>3958</v>
      </c>
      <c r="C10094" s="1003">
        <v>1102.3</v>
      </c>
      <c r="D10094" s="908">
        <v>1420</v>
      </c>
      <c r="E10094" s="1336">
        <f t="shared" si="209"/>
        <v>0.28821554930599658</v>
      </c>
      <c r="F10094" s="946">
        <f t="shared" si="208"/>
        <v>1.1528621972239863E-2</v>
      </c>
      <c r="G10094" s="78"/>
      <c r="H10094" t="s">
        <v>3959</v>
      </c>
      <c r="K10094" s="434"/>
      <c r="M10094" s="434"/>
    </row>
    <row r="10095" spans="1:13" ht="12.75" hidden="1" customHeight="1" outlineLevel="1" x14ac:dyDescent="0.25">
      <c r="A10095" s="1002">
        <v>0.03</v>
      </c>
      <c r="B10095" s="996" t="s">
        <v>3793</v>
      </c>
      <c r="C10095" s="1003">
        <v>67.655000000000001</v>
      </c>
      <c r="D10095" s="908">
        <v>82.96</v>
      </c>
      <c r="E10095" s="1336">
        <f t="shared" si="209"/>
        <v>0.22622126967703782</v>
      </c>
      <c r="F10095" s="946">
        <f t="shared" si="208"/>
        <v>6.7866380903111347E-3</v>
      </c>
      <c r="G10095" s="78"/>
      <c r="H10095" t="s">
        <v>3533</v>
      </c>
      <c r="K10095" s="434"/>
      <c r="M10095" s="434"/>
    </row>
    <row r="10096" spans="1:13" ht="12.75" hidden="1" customHeight="1" outlineLevel="1" x14ac:dyDescent="0.25">
      <c r="A10096" s="1002">
        <v>0.06</v>
      </c>
      <c r="B10096" s="996" t="s">
        <v>2769</v>
      </c>
      <c r="C10096" s="1003">
        <v>28.395</v>
      </c>
      <c r="D10096" s="908">
        <v>34.1</v>
      </c>
      <c r="E10096" s="1336">
        <f t="shared" si="209"/>
        <v>0.20091565416446566</v>
      </c>
      <c r="F10096" s="946">
        <f t="shared" si="208"/>
        <v>1.2054939249867939E-2</v>
      </c>
      <c r="G10096" s="78"/>
      <c r="H10096" t="s">
        <v>2770</v>
      </c>
      <c r="K10096" s="434"/>
      <c r="M10096" s="434"/>
    </row>
    <row r="10097" spans="1:13" ht="12.75" hidden="1" customHeight="1" outlineLevel="1" x14ac:dyDescent="0.25">
      <c r="A10097" s="1002">
        <v>0.02</v>
      </c>
      <c r="B10097" s="996" t="s">
        <v>3056</v>
      </c>
      <c r="C10097" s="1003">
        <v>12.907</v>
      </c>
      <c r="D10097" s="908">
        <v>12.99</v>
      </c>
      <c r="E10097" s="1336">
        <f t="shared" si="209"/>
        <v>6.4306190439296085E-3</v>
      </c>
      <c r="F10097" s="946">
        <f t="shared" si="208"/>
        <v>1.2861238087859218E-4</v>
      </c>
      <c r="G10097" s="78"/>
      <c r="H10097" t="s">
        <v>3055</v>
      </c>
      <c r="K10097" s="434"/>
      <c r="M10097" s="434"/>
    </row>
    <row r="10098" spans="1:13" ht="12.75" hidden="1" customHeight="1" outlineLevel="1" x14ac:dyDescent="0.25">
      <c r="A10098" s="1002">
        <v>0.04</v>
      </c>
      <c r="B10098" s="996" t="s">
        <v>2771</v>
      </c>
      <c r="C10098" s="1003">
        <v>51.820999999999998</v>
      </c>
      <c r="D10098" s="908">
        <v>108.2</v>
      </c>
      <c r="E10098" s="1336">
        <f t="shared" si="209"/>
        <v>1.0879566199031281</v>
      </c>
      <c r="F10098" s="946">
        <f t="shared" si="208"/>
        <v>4.3518264796125125E-2</v>
      </c>
      <c r="G10098" s="78"/>
      <c r="H10098" t="s">
        <v>2772</v>
      </c>
      <c r="K10098" s="434"/>
      <c r="M10098" s="434"/>
    </row>
    <row r="10099" spans="1:13" ht="12.75" hidden="1" customHeight="1" outlineLevel="1" x14ac:dyDescent="0.25">
      <c r="A10099" s="1002">
        <v>0.04</v>
      </c>
      <c r="B10099" s="996" t="s">
        <v>2773</v>
      </c>
      <c r="C10099" s="1003">
        <v>2118</v>
      </c>
      <c r="D10099" s="908">
        <v>4573.5</v>
      </c>
      <c r="E10099" s="1336">
        <f t="shared" si="209"/>
        <v>1.1593484419263458</v>
      </c>
      <c r="F10099" s="946">
        <f t="shared" si="208"/>
        <v>4.6373937677053834E-2</v>
      </c>
      <c r="G10099" s="78"/>
      <c r="H10099" t="s">
        <v>2707</v>
      </c>
      <c r="K10099" s="434"/>
      <c r="M10099" s="434"/>
    </row>
    <row r="10100" spans="1:13" ht="12.75" hidden="1" customHeight="1" outlineLevel="1" x14ac:dyDescent="0.25">
      <c r="A10100" s="1002">
        <v>0.06</v>
      </c>
      <c r="B10100" s="996" t="s">
        <v>4460</v>
      </c>
      <c r="C10100" s="1003">
        <v>1414.3939740917738</v>
      </c>
      <c r="D10100" s="908">
        <v>2030.9999999999998</v>
      </c>
      <c r="E10100" s="1336">
        <f t="shared" si="209"/>
        <v>0.43595068785849977</v>
      </c>
      <c r="F10100" s="946">
        <f t="shared" si="208"/>
        <v>2.6157041271509987E-2</v>
      </c>
      <c r="G10100" s="78"/>
      <c r="H10100" t="s">
        <v>3485</v>
      </c>
      <c r="K10100" s="434"/>
      <c r="M10100" s="434"/>
    </row>
    <row r="10101" spans="1:13" ht="12.75" hidden="1" customHeight="1" outlineLevel="1" x14ac:dyDescent="0.25">
      <c r="A10101" s="1002">
        <v>0.02</v>
      </c>
      <c r="B10101" s="996" t="s">
        <v>577</v>
      </c>
      <c r="C10101" s="1003">
        <v>13.569000000000001</v>
      </c>
      <c r="D10101" s="908">
        <v>13.895</v>
      </c>
      <c r="E10101" s="1336">
        <f t="shared" si="209"/>
        <v>2.4025351905077708E-2</v>
      </c>
      <c r="F10101" s="946">
        <f t="shared" si="208"/>
        <v>4.8050703810155416E-4</v>
      </c>
      <c r="G10101" s="78"/>
      <c r="H10101" t="s">
        <v>6732</v>
      </c>
      <c r="K10101" s="434"/>
      <c r="M10101" s="434"/>
    </row>
    <row r="10102" spans="1:13" ht="12.75" hidden="1" customHeight="1" outlineLevel="1" x14ac:dyDescent="0.25">
      <c r="A10102" s="1002">
        <v>0.02</v>
      </c>
      <c r="B10102" s="996" t="s">
        <v>579</v>
      </c>
      <c r="C10102" s="1003">
        <v>162.77762751295691</v>
      </c>
      <c r="D10102" s="908">
        <v>224.40000000000003</v>
      </c>
      <c r="E10102" s="1336">
        <f t="shared" si="209"/>
        <v>0.37856782549640022</v>
      </c>
      <c r="F10102" s="946">
        <f t="shared" si="208"/>
        <v>7.5713565099280048E-3</v>
      </c>
      <c r="G10102" s="78"/>
      <c r="H10102" t="s">
        <v>3611</v>
      </c>
      <c r="K10102" s="434"/>
      <c r="M10102" s="434"/>
    </row>
    <row r="10103" spans="1:13" ht="12.75" hidden="1" customHeight="1" outlineLevel="1" x14ac:dyDescent="0.25">
      <c r="A10103" s="1002">
        <v>0.02</v>
      </c>
      <c r="B10103" s="997" t="s">
        <v>368</v>
      </c>
      <c r="C10103" s="1003">
        <v>4.914684390253802</v>
      </c>
      <c r="D10103" s="715">
        <v>9.81</v>
      </c>
      <c r="E10103" s="1336">
        <f t="shared" si="209"/>
        <v>0.99605899810250009</v>
      </c>
      <c r="F10103" s="946">
        <f t="shared" si="208"/>
        <v>1.9921179962050003E-2</v>
      </c>
      <c r="G10103" s="78"/>
      <c r="H10103" t="s">
        <v>6735</v>
      </c>
      <c r="K10103" s="434"/>
      <c r="M10103" s="434"/>
    </row>
    <row r="10104" spans="1:13" ht="12.75" hidden="1" customHeight="1" outlineLevel="1" x14ac:dyDescent="0.25">
      <c r="A10104" s="1099"/>
      <c r="B10104" s="1104"/>
      <c r="C10104" s="736"/>
      <c r="D10104" s="741"/>
      <c r="E10104" s="895"/>
      <c r="F10104" s="1021">
        <f>SUM(F10074:F10103)</f>
        <v>0.44424853520008456</v>
      </c>
      <c r="G10104" s="78"/>
    </row>
    <row r="10105" spans="1:13" ht="12.75" hidden="1" customHeight="1" outlineLevel="1" x14ac:dyDescent="0.25">
      <c r="A10105" s="751" t="s">
        <v>3039</v>
      </c>
      <c r="B10105" s="944">
        <v>40848</v>
      </c>
      <c r="C10105" s="719">
        <v>100</v>
      </c>
      <c r="D10105" s="719">
        <v>104.39</v>
      </c>
      <c r="E10105" s="720">
        <f>IF(D10105="",E10104,D10105/C10105-1)</f>
        <v>4.390000000000005E-2</v>
      </c>
      <c r="F10105" s="731"/>
      <c r="G10105" s="78"/>
    </row>
    <row r="10106" spans="1:13" ht="12.75" hidden="1" customHeight="1" outlineLevel="1" x14ac:dyDescent="0.25">
      <c r="A10106" s="751" t="s">
        <v>3040</v>
      </c>
      <c r="B10106" s="944">
        <v>40940</v>
      </c>
      <c r="C10106" s="719">
        <v>100</v>
      </c>
      <c r="D10106" s="727">
        <v>106.4179</v>
      </c>
      <c r="E10106" s="720">
        <f t="shared" ref="E10106:E10118" si="210">IF(D10106="",E10105,D10106/C10106-1)</f>
        <v>6.4178999999999986E-2</v>
      </c>
      <c r="F10106" s="731"/>
      <c r="G10106" s="78"/>
    </row>
    <row r="10107" spans="1:13" ht="12.75" hidden="1" customHeight="1" outlineLevel="1" x14ac:dyDescent="0.25">
      <c r="A10107" s="751" t="s">
        <v>3041</v>
      </c>
      <c r="B10107" s="944">
        <v>41030</v>
      </c>
      <c r="C10107" s="719">
        <v>100</v>
      </c>
      <c r="D10107" s="727">
        <v>102.3069</v>
      </c>
      <c r="E10107" s="720">
        <f t="shared" si="210"/>
        <v>2.3069000000000006E-2</v>
      </c>
      <c r="F10107" s="731"/>
      <c r="G10107" s="78"/>
    </row>
    <row r="10108" spans="1:13" ht="12.75" hidden="1" customHeight="1" outlineLevel="1" x14ac:dyDescent="0.25">
      <c r="A10108" s="751" t="s">
        <v>3042</v>
      </c>
      <c r="B10108" s="944">
        <v>41122</v>
      </c>
      <c r="C10108" s="719">
        <v>100</v>
      </c>
      <c r="D10108" s="727">
        <v>109.0514</v>
      </c>
      <c r="E10108" s="720">
        <f t="shared" si="210"/>
        <v>9.0513999999999983E-2</v>
      </c>
      <c r="F10108" s="731"/>
      <c r="G10108" s="78"/>
    </row>
    <row r="10109" spans="1:13" ht="12.75" hidden="1" customHeight="1" outlineLevel="1" x14ac:dyDescent="0.25">
      <c r="A10109" s="751" t="s">
        <v>3043</v>
      </c>
      <c r="B10109" s="944">
        <v>41214</v>
      </c>
      <c r="C10109" s="719">
        <v>100</v>
      </c>
      <c r="D10109" s="727">
        <v>109.17140000000001</v>
      </c>
      <c r="E10109" s="720">
        <f t="shared" si="210"/>
        <v>9.1714000000000073E-2</v>
      </c>
      <c r="F10109" s="731"/>
      <c r="G10109" s="78"/>
    </row>
    <row r="10110" spans="1:13" ht="12.75" hidden="1" customHeight="1" outlineLevel="1" x14ac:dyDescent="0.25">
      <c r="A10110" s="751" t="s">
        <v>3044</v>
      </c>
      <c r="B10110" s="944">
        <v>41306</v>
      </c>
      <c r="C10110" s="719">
        <v>100</v>
      </c>
      <c r="D10110" s="727">
        <v>115.6874</v>
      </c>
      <c r="E10110" s="720">
        <f t="shared" si="210"/>
        <v>0.15687399999999996</v>
      </c>
      <c r="F10110" s="731"/>
      <c r="G10110" s="78"/>
    </row>
    <row r="10111" spans="1:13" ht="12.75" hidden="1" customHeight="1" outlineLevel="1" x14ac:dyDescent="0.25">
      <c r="A10111" s="751" t="s">
        <v>3045</v>
      </c>
      <c r="B10111" s="944">
        <v>41395</v>
      </c>
      <c r="C10111" s="719">
        <v>100</v>
      </c>
      <c r="D10111" s="727">
        <v>122.81100000000001</v>
      </c>
      <c r="E10111" s="720">
        <f t="shared" si="210"/>
        <v>0.22811000000000003</v>
      </c>
      <c r="F10111" s="731"/>
      <c r="G10111" s="78"/>
    </row>
    <row r="10112" spans="1:13" ht="12.75" hidden="1" customHeight="1" outlineLevel="1" x14ac:dyDescent="0.25">
      <c r="A10112" s="751" t="s">
        <v>3046</v>
      </c>
      <c r="B10112" s="944">
        <v>41487</v>
      </c>
      <c r="C10112" s="719">
        <v>100</v>
      </c>
      <c r="D10112" s="727">
        <v>119.92570000000001</v>
      </c>
      <c r="E10112" s="720">
        <f t="shared" si="210"/>
        <v>0.19925700000000002</v>
      </c>
      <c r="F10112" s="731"/>
      <c r="G10112" s="78"/>
    </row>
    <row r="10113" spans="1:8" ht="12.75" hidden="1" customHeight="1" outlineLevel="1" x14ac:dyDescent="0.25">
      <c r="A10113" s="751" t="s">
        <v>3047</v>
      </c>
      <c r="B10113" s="944">
        <v>41579</v>
      </c>
      <c r="C10113" s="719">
        <v>100</v>
      </c>
      <c r="D10113" s="727">
        <v>128.3828</v>
      </c>
      <c r="E10113" s="720">
        <f t="shared" si="210"/>
        <v>0.28382799999999997</v>
      </c>
      <c r="F10113" s="731"/>
      <c r="G10113" s="78"/>
    </row>
    <row r="10114" spans="1:8" ht="12.75" hidden="1" customHeight="1" outlineLevel="1" x14ac:dyDescent="0.25">
      <c r="A10114" s="751" t="s">
        <v>3048</v>
      </c>
      <c r="B10114" s="944">
        <v>41671</v>
      </c>
      <c r="C10114" s="719">
        <v>100</v>
      </c>
      <c r="D10114" s="727">
        <v>128.869</v>
      </c>
      <c r="E10114" s="720">
        <f t="shared" si="210"/>
        <v>0.28868999999999989</v>
      </c>
      <c r="F10114" s="731"/>
      <c r="G10114" s="78"/>
    </row>
    <row r="10115" spans="1:8" ht="12.75" hidden="1" customHeight="1" outlineLevel="1" x14ac:dyDescent="0.25">
      <c r="A10115" s="751" t="s">
        <v>3049</v>
      </c>
      <c r="B10115" s="944">
        <v>41760</v>
      </c>
      <c r="C10115" s="719">
        <v>100</v>
      </c>
      <c r="D10115" s="727">
        <v>136.7174</v>
      </c>
      <c r="E10115" s="720">
        <f t="shared" si="210"/>
        <v>0.36717399999999989</v>
      </c>
      <c r="F10115" s="731"/>
      <c r="G10115" s="78"/>
    </row>
    <row r="10116" spans="1:8" ht="12.75" hidden="1" customHeight="1" outlineLevel="1" x14ac:dyDescent="0.25">
      <c r="A10116" s="751" t="s">
        <v>3050</v>
      </c>
      <c r="B10116" s="944">
        <v>41852</v>
      </c>
      <c r="C10116" s="719">
        <v>100</v>
      </c>
      <c r="D10116" s="727">
        <v>137.22880000000001</v>
      </c>
      <c r="E10116" s="720">
        <f t="shared" si="210"/>
        <v>0.37228800000000017</v>
      </c>
      <c r="F10116" s="731"/>
      <c r="G10116" s="78"/>
    </row>
    <row r="10117" spans="1:8" ht="12.75" hidden="1" customHeight="1" outlineLevel="1" x14ac:dyDescent="0.25">
      <c r="A10117" s="751" t="s">
        <v>3051</v>
      </c>
      <c r="B10117" s="944">
        <v>41944</v>
      </c>
      <c r="C10117" s="719">
        <v>100</v>
      </c>
      <c r="D10117" s="727">
        <v>142.99199999999999</v>
      </c>
      <c r="E10117" s="720">
        <f t="shared" si="210"/>
        <v>0.42991999999999986</v>
      </c>
      <c r="F10117" s="731"/>
      <c r="G10117" s="78"/>
    </row>
    <row r="10118" spans="1:8" ht="12.75" hidden="1" customHeight="1" outlineLevel="1" x14ac:dyDescent="0.25">
      <c r="A10118" s="751" t="s">
        <v>3052</v>
      </c>
      <c r="B10118" s="944">
        <v>42036</v>
      </c>
      <c r="C10118" s="719">
        <v>100</v>
      </c>
      <c r="D10118" s="727">
        <v>144.42490000000001</v>
      </c>
      <c r="E10118" s="720">
        <f t="shared" si="210"/>
        <v>0.44424900000000012</v>
      </c>
      <c r="F10118" s="731"/>
      <c r="G10118" s="78"/>
    </row>
    <row r="10119" spans="1:8" ht="12.75" hidden="1" customHeight="1" outlineLevel="1" x14ac:dyDescent="0.25">
      <c r="A10119" s="751"/>
      <c r="B10119" s="944"/>
      <c r="C10119" s="727"/>
      <c r="D10119" s="727"/>
      <c r="E10119" s="720"/>
      <c r="F10119" s="731"/>
      <c r="G10119" s="78"/>
    </row>
    <row r="10120" spans="1:8" ht="12.75" hidden="1" customHeight="1" outlineLevel="1" x14ac:dyDescent="0.25">
      <c r="A10120" s="751"/>
      <c r="B10120" s="944"/>
      <c r="C10120" s="727"/>
      <c r="D10120" s="727"/>
      <c r="E10120" s="720"/>
      <c r="F10120" s="731"/>
      <c r="G10120" s="78"/>
    </row>
    <row r="10121" spans="1:8" ht="12.75" hidden="1" customHeight="1" outlineLevel="1" x14ac:dyDescent="0.25">
      <c r="A10121" s="749"/>
      <c r="B10121" s="750"/>
      <c r="C10121" s="727"/>
      <c r="D10121" s="727" t="s">
        <v>2465</v>
      </c>
      <c r="E10121" s="720">
        <f>AVERAGE(E10105:E10118)</f>
        <v>0.22026899999999999</v>
      </c>
      <c r="F10121" s="770">
        <f>E10121</f>
        <v>0.22026899999999999</v>
      </c>
      <c r="G10121" s="78"/>
    </row>
    <row r="10122" spans="1:8" collapsed="1" x14ac:dyDescent="0.25">
      <c r="A10122" s="3801" t="s">
        <v>3057</v>
      </c>
      <c r="B10122" s="3802"/>
      <c r="C10122" s="3802"/>
      <c r="D10122" s="3802"/>
      <c r="E10122" s="1906"/>
      <c r="F10122" s="1907">
        <f>IF(F10121&lt;0,0%,F10121*parametry!N341)</f>
        <v>0.17621520000000002</v>
      </c>
      <c r="G10122" s="175" t="s">
        <v>781</v>
      </c>
    </row>
    <row r="10124" spans="1:8" hidden="1" outlineLevel="1" x14ac:dyDescent="0.25">
      <c r="A10124" s="3180" t="s">
        <v>113</v>
      </c>
      <c r="B10124" s="3180" t="s">
        <v>114</v>
      </c>
      <c r="C10124" s="3180" t="s">
        <v>112</v>
      </c>
      <c r="D10124" s="3180" t="s">
        <v>116</v>
      </c>
      <c r="E10124" s="3180" t="s">
        <v>117</v>
      </c>
      <c r="F10124" s="3181" t="s">
        <v>121</v>
      </c>
      <c r="G10124" s="78"/>
    </row>
    <row r="10125" spans="1:8" hidden="1" outlineLevel="1" x14ac:dyDescent="0.25">
      <c r="A10125" s="3187"/>
      <c r="B10125" s="3187"/>
      <c r="C10125" s="3188"/>
      <c r="D10125" s="1900" t="s">
        <v>3702</v>
      </c>
      <c r="E10125" s="3189">
        <v>42475</v>
      </c>
      <c r="F10125" s="3503"/>
      <c r="G10125" s="78"/>
    </row>
    <row r="10126" spans="1:8" hidden="1" outlineLevel="1" x14ac:dyDescent="0.25">
      <c r="A10126" s="3180" t="s">
        <v>4156</v>
      </c>
      <c r="B10126" s="3180" t="s">
        <v>4153</v>
      </c>
      <c r="C10126" s="3510" t="s">
        <v>112</v>
      </c>
      <c r="D10126" s="3180" t="s">
        <v>4155</v>
      </c>
      <c r="E10126" s="3180" t="s">
        <v>4154</v>
      </c>
      <c r="F10126" s="3181" t="s">
        <v>734</v>
      </c>
      <c r="G10126" s="78"/>
    </row>
    <row r="10127" spans="1:8" hidden="1" outlineLevel="1" x14ac:dyDescent="0.25">
      <c r="A10127" s="1920">
        <v>7.0000000000000007E-2</v>
      </c>
      <c r="B10127" s="1921" t="s">
        <v>2942</v>
      </c>
      <c r="C10127" s="1902">
        <v>573.31999999999994</v>
      </c>
      <c r="D10127" s="3196">
        <v>1541.5</v>
      </c>
      <c r="E10127" s="3025">
        <v>1.6887253191934701</v>
      </c>
      <c r="F10127" s="3198">
        <v>0.08</v>
      </c>
      <c r="G10127" s="78"/>
      <c r="H10127" t="str">
        <f>VLOOKUP(B10127,indexy!$A$44:$D$823,3,FALSE)</f>
        <v>4503 JT Equity</v>
      </c>
    </row>
    <row r="10128" spans="1:8" hidden="1" outlineLevel="1" x14ac:dyDescent="0.25">
      <c r="A10128" s="1920">
        <v>0.02</v>
      </c>
      <c r="B10128" s="1921" t="s">
        <v>805</v>
      </c>
      <c r="C10128" s="1902">
        <v>59</v>
      </c>
      <c r="D10128" s="3196">
        <v>81.2</v>
      </c>
      <c r="E10128" s="3025">
        <v>0.37627118644067803</v>
      </c>
      <c r="F10128" s="3198">
        <v>0.08</v>
      </c>
      <c r="G10128" s="78"/>
      <c r="H10128" t="str">
        <f>VLOOKUP(B10128,indexy!$A$44:$D$823,3,FALSE)</f>
        <v>BMO CT Equity</v>
      </c>
    </row>
    <row r="10129" spans="1:8" hidden="1" outlineLevel="1" x14ac:dyDescent="0.25">
      <c r="A10129" s="1920">
        <v>0.03</v>
      </c>
      <c r="B10129" s="1921" t="s">
        <v>4377</v>
      </c>
      <c r="C10129" s="1902">
        <v>29.58</v>
      </c>
      <c r="D10129" s="3196">
        <v>68.05</v>
      </c>
      <c r="E10129" s="3025">
        <v>1.3005409060175794</v>
      </c>
      <c r="F10129" s="3198">
        <v>0.08</v>
      </c>
      <c r="G10129" s="78"/>
      <c r="H10129" t="str">
        <f>VLOOKUP(B10129,indexy!$A$44:$D$823,3,FALSE)</f>
        <v>BMY UN Equity</v>
      </c>
    </row>
    <row r="10130" spans="1:8" hidden="1" outlineLevel="1" x14ac:dyDescent="0.25">
      <c r="A10130" s="1920">
        <v>0.05</v>
      </c>
      <c r="B10130" s="1921" t="s">
        <v>3954</v>
      </c>
      <c r="C10130" s="1902">
        <v>75.043999999999997</v>
      </c>
      <c r="D10130" s="3196">
        <v>98.5</v>
      </c>
      <c r="E10130" s="3025">
        <v>0.31256329619956302</v>
      </c>
      <c r="F10130" s="3198">
        <v>0.08</v>
      </c>
      <c r="G10130" s="78"/>
      <c r="H10130" t="str">
        <f>VLOOKUP(B10130,indexy!$A$44:$D$823,3,FALSE)</f>
        <v>CM CT Equity</v>
      </c>
    </row>
    <row r="10131" spans="1:8" hidden="1" outlineLevel="1" x14ac:dyDescent="0.25">
      <c r="A10131" s="1920">
        <v>0.02</v>
      </c>
      <c r="B10131" s="1926" t="s">
        <v>4332</v>
      </c>
      <c r="C10131" s="1902">
        <v>294.14</v>
      </c>
      <c r="D10131" s="3196">
        <v>238.3</v>
      </c>
      <c r="E10131" s="3025">
        <v>-0.18984157204052488</v>
      </c>
      <c r="F10131" s="3198">
        <v>-0.18984157204052488</v>
      </c>
      <c r="G10131" s="78"/>
      <c r="H10131" t="str">
        <f>VLOOKUP(B10131,indexy!$A$44:$D$823,3,FALSE)</f>
        <v>CNA LN Equity</v>
      </c>
    </row>
    <row r="10132" spans="1:8" hidden="1" outlineLevel="1" x14ac:dyDescent="0.25">
      <c r="A10132" s="1920">
        <v>0.08</v>
      </c>
      <c r="B10132" s="1921" t="s">
        <v>1319</v>
      </c>
      <c r="C10132" s="1902">
        <v>55.86</v>
      </c>
      <c r="D10132" s="3196">
        <v>75.849999999999994</v>
      </c>
      <c r="E10132" s="3025">
        <v>0.35785893304690286</v>
      </c>
      <c r="F10132" s="3198">
        <v>0.08</v>
      </c>
      <c r="G10132" s="78"/>
      <c r="H10132" t="str">
        <f>VLOOKUP(B10132,indexy!$A$44:$D$823,3,FALSE)</f>
        <v>ED UN Equity</v>
      </c>
    </row>
    <row r="10133" spans="1:8" hidden="1" outlineLevel="1" x14ac:dyDescent="0.25">
      <c r="A10133" s="1920">
        <v>0.02</v>
      </c>
      <c r="B10133" s="1921" t="s">
        <v>3798</v>
      </c>
      <c r="C10133" s="1902">
        <v>3.0592000000000001</v>
      </c>
      <c r="D10133" s="3196">
        <v>3.8079999999999998</v>
      </c>
      <c r="E10133" s="3025">
        <v>0.24476987447698728</v>
      </c>
      <c r="F10133" s="3198">
        <v>0.08</v>
      </c>
      <c r="G10133" s="78"/>
      <c r="H10133" t="str">
        <f>VLOOKUP(B10133,indexy!$A$44:$D$823,3,FALSE)</f>
        <v>ENEL IM Equity</v>
      </c>
    </row>
    <row r="10134" spans="1:8" hidden="1" outlineLevel="1" x14ac:dyDescent="0.25">
      <c r="A10134" s="1920">
        <v>0.02</v>
      </c>
      <c r="B10134" s="3028" t="s">
        <v>5824</v>
      </c>
      <c r="C10134" s="1902">
        <v>11.901999999999999</v>
      </c>
      <c r="D10134" s="3196">
        <v>15.14</v>
      </c>
      <c r="E10134" s="3025">
        <v>0.27205511678709482</v>
      </c>
      <c r="F10134" s="3198">
        <v>0.08</v>
      </c>
      <c r="G10134" s="78"/>
      <c r="H10134" t="str">
        <f>VLOOKUP(B10134,indexy!$A$44:$D$823,3,FALSE)</f>
        <v>ORA FP Equity</v>
      </c>
    </row>
    <row r="10135" spans="1:8" hidden="1" outlineLevel="1" x14ac:dyDescent="0.25">
      <c r="A10135" s="1920">
        <v>0.02</v>
      </c>
      <c r="B10135" s="1921" t="s">
        <v>3269</v>
      </c>
      <c r="C10135" s="1902">
        <v>11.614000000000001</v>
      </c>
      <c r="D10135" s="3196">
        <v>17.48</v>
      </c>
      <c r="E10135" s="3025">
        <v>0.50508007577062153</v>
      </c>
      <c r="F10135" s="3198">
        <v>0.08</v>
      </c>
      <c r="G10135" s="78"/>
      <c r="H10135" t="str">
        <f>VLOOKUP(B10135,indexy!$A$44:$D$823,3,FALSE)</f>
        <v>NTGY SM Equity</v>
      </c>
    </row>
    <row r="10136" spans="1:8" hidden="1" outlineLevel="1" x14ac:dyDescent="0.25">
      <c r="A10136" s="1920">
        <v>0.08</v>
      </c>
      <c r="B10136" s="1921" t="s">
        <v>1381</v>
      </c>
      <c r="C10136" s="1902">
        <v>67.713999999999999</v>
      </c>
      <c r="D10136" s="3196">
        <v>136.47</v>
      </c>
      <c r="E10136" s="3025">
        <v>1.015388250583336</v>
      </c>
      <c r="F10136" s="3198">
        <v>0.08</v>
      </c>
      <c r="G10136" s="78"/>
      <c r="H10136" t="str">
        <f>VLOOKUP(B10136,indexy!$A$44:$D$823,3,FALSE)</f>
        <v>KMB UN Equity</v>
      </c>
    </row>
    <row r="10137" spans="1:8" hidden="1" outlineLevel="1" x14ac:dyDescent="0.25">
      <c r="A10137" s="1920">
        <v>0.05</v>
      </c>
      <c r="B10137" s="1921" t="s">
        <v>4143</v>
      </c>
      <c r="C10137" s="1902">
        <v>9.8490000000000002</v>
      </c>
      <c r="D10137" s="3196">
        <v>3.4849999999999999</v>
      </c>
      <c r="E10137" s="3025">
        <v>-0.64615697025078689</v>
      </c>
      <c r="F10137" s="3198">
        <v>-0.64615697025078689</v>
      </c>
      <c r="G10137" s="78"/>
      <c r="H10137" t="str">
        <f>VLOOKUP(B10137,indexy!$A$44:$D$823,3,FALSE)</f>
        <v>KPN NA Equity</v>
      </c>
    </row>
    <row r="10138" spans="1:8" hidden="1" outlineLevel="1" x14ac:dyDescent="0.25">
      <c r="A10138" s="1920">
        <v>0.05</v>
      </c>
      <c r="B10138" s="2965" t="s">
        <v>7573</v>
      </c>
      <c r="C10138" s="1902">
        <v>34.566000000000003</v>
      </c>
      <c r="D10138" s="3196">
        <v>78.05</v>
      </c>
      <c r="E10138" s="3025">
        <v>1.2579991899554472</v>
      </c>
      <c r="F10138" s="3198">
        <v>0.08</v>
      </c>
      <c r="G10138" s="78"/>
      <c r="H10138" t="str">
        <f>VLOOKUP(B10138,indexy!$A$44:$D$823,3,FALSE)</f>
        <v>KHC UW Equity</v>
      </c>
    </row>
    <row r="10139" spans="1:8" hidden="1" outlineLevel="1" x14ac:dyDescent="0.25">
      <c r="A10139" s="1920">
        <v>0.02</v>
      </c>
      <c r="B10139" s="1929" t="s">
        <v>3956</v>
      </c>
      <c r="C10139" s="1902">
        <v>709.8</v>
      </c>
      <c r="D10139" s="3196">
        <v>1110</v>
      </c>
      <c r="E10139" s="3025">
        <v>0.56382079459002554</v>
      </c>
      <c r="F10139" s="3198">
        <v>0.08</v>
      </c>
      <c r="G10139" s="78"/>
      <c r="H10139" t="str">
        <f>VLOOKUP(B10139,indexy!$A$44:$D$823,3,FALSE)</f>
        <v>LAND LN Equity</v>
      </c>
    </row>
    <row r="10140" spans="1:8" hidden="1" outlineLevel="1" x14ac:dyDescent="0.25">
      <c r="A10140" s="1920">
        <v>0.02</v>
      </c>
      <c r="B10140" s="1921" t="s">
        <v>1905</v>
      </c>
      <c r="C10140" s="1902">
        <v>32.264000000000003</v>
      </c>
      <c r="D10140" s="3196">
        <v>56.14</v>
      </c>
      <c r="E10140" s="3025">
        <v>0.74001983635011137</v>
      </c>
      <c r="F10140" s="3198">
        <v>0.08</v>
      </c>
      <c r="G10140" s="78"/>
      <c r="H10140" t="str">
        <f>VLOOKUP(B10140,indexy!$A$44:$D$823,3,FALSE)</f>
        <v>MRK UN Equity</v>
      </c>
    </row>
    <row r="10141" spans="1:8" hidden="1" outlineLevel="1" x14ac:dyDescent="0.25">
      <c r="A10141" s="1920">
        <v>0.05</v>
      </c>
      <c r="B10141" s="1921" t="s">
        <v>2786</v>
      </c>
      <c r="C10141" s="1902">
        <v>623.79999999999995</v>
      </c>
      <c r="D10141" s="3196">
        <v>1000.5</v>
      </c>
      <c r="E10141" s="3025">
        <v>0.60387944854119913</v>
      </c>
      <c r="F10141" s="3198">
        <v>0.08</v>
      </c>
      <c r="G10141" s="78"/>
      <c r="H10141" t="str">
        <f>VLOOKUP(B10141,indexy!$A$44:$D$823,3,FALSE)</f>
        <v>NG/ LN Equity</v>
      </c>
    </row>
    <row r="10142" spans="1:8" hidden="1" outlineLevel="1" x14ac:dyDescent="0.25">
      <c r="A10142" s="1920">
        <v>0.02</v>
      </c>
      <c r="B10142" s="1921" t="s">
        <v>2787</v>
      </c>
      <c r="C10142" s="1902">
        <v>48.658000000000001</v>
      </c>
      <c r="D10142" s="3196">
        <v>73.150000000000006</v>
      </c>
      <c r="E10142" s="3025">
        <v>0.50334991162809817</v>
      </c>
      <c r="F10142" s="3198">
        <v>0.08</v>
      </c>
      <c r="G10142" s="78"/>
      <c r="H10142" t="str">
        <f>VLOOKUP(B10142,indexy!$A$44:$D$823,3,FALSE)</f>
        <v>NOVN SE Equity</v>
      </c>
    </row>
    <row r="10143" spans="1:8" hidden="1" outlineLevel="1" x14ac:dyDescent="0.25">
      <c r="A10143" s="1920">
        <v>0.02</v>
      </c>
      <c r="B10143" s="1921" t="s">
        <v>3958</v>
      </c>
      <c r="C10143" s="1902">
        <v>1079.4000000000001</v>
      </c>
      <c r="D10143" s="3196">
        <v>836.5</v>
      </c>
      <c r="E10143" s="3025">
        <v>-0.22503242542153057</v>
      </c>
      <c r="F10143" s="3198">
        <v>-0.22503242542153057</v>
      </c>
      <c r="G10143" s="78"/>
      <c r="H10143" t="str">
        <f>VLOOKUP(B10143,indexy!$A$44:$D$823,3,FALSE)</f>
        <v>PSON LN Equity</v>
      </c>
    </row>
    <row r="10144" spans="1:8" hidden="1" outlineLevel="1" x14ac:dyDescent="0.25">
      <c r="A10144" s="1920">
        <v>0.02</v>
      </c>
      <c r="B10144" s="1921" t="s">
        <v>5121</v>
      </c>
      <c r="C10144" s="1902">
        <v>480.78</v>
      </c>
      <c r="D10144" s="3196">
        <v>1304</v>
      </c>
      <c r="E10144" s="3025">
        <v>1.7122592453929033</v>
      </c>
      <c r="F10144" s="3198">
        <v>0.08</v>
      </c>
      <c r="G10144" s="78"/>
      <c r="H10144" t="str">
        <f>VLOOKUP(B10144,indexy!$A$44:$D$823,3,FALSE)</f>
        <v>REL LN Equity</v>
      </c>
    </row>
    <row r="10145" spans="1:8" hidden="1" outlineLevel="1" x14ac:dyDescent="0.25">
      <c r="A10145" s="1920">
        <v>7.0000000000000007E-2</v>
      </c>
      <c r="B10145" s="1921" t="s">
        <v>3800</v>
      </c>
      <c r="C10145" s="1902">
        <v>139.68</v>
      </c>
      <c r="D10145" s="3196">
        <v>248.1</v>
      </c>
      <c r="E10145" s="3025">
        <v>0.77620274914089338</v>
      </c>
      <c r="F10145" s="3198">
        <v>0.08</v>
      </c>
      <c r="G10145" s="78"/>
      <c r="H10145" t="str">
        <f>VLOOKUP(B10145,indexy!$A$44:$D$823,3,FALSE)</f>
        <v>ROG SE Equity</v>
      </c>
    </row>
    <row r="10146" spans="1:8" hidden="1" outlineLevel="1" x14ac:dyDescent="0.25">
      <c r="A10146" s="1920">
        <v>0.02</v>
      </c>
      <c r="B10146" s="1921" t="s">
        <v>102</v>
      </c>
      <c r="C10146" s="1902">
        <v>491.5</v>
      </c>
      <c r="D10146" s="3196">
        <v>470.5</v>
      </c>
      <c r="E10146" s="3025">
        <v>-4.2726347914547325E-2</v>
      </c>
      <c r="F10146" s="3198">
        <v>-4.2726347914547325E-2</v>
      </c>
      <c r="G10146" s="78"/>
      <c r="H10146" t="str">
        <f>VLOOKUP(B10146,indexy!$A$44:$D$823,3,FALSE)</f>
        <v>RSA LN Equity</v>
      </c>
    </row>
    <row r="10147" spans="1:8" hidden="1" outlineLevel="1" x14ac:dyDescent="0.25">
      <c r="A10147" s="1920">
        <v>0.02</v>
      </c>
      <c r="B10147" s="1921" t="s">
        <v>2728</v>
      </c>
      <c r="C10147" s="1902">
        <v>47.582000000000001</v>
      </c>
      <c r="D10147" s="3196">
        <v>77.540000000000006</v>
      </c>
      <c r="E10147" s="3025">
        <v>0.62960783489554895</v>
      </c>
      <c r="F10147" s="3198">
        <v>0.08</v>
      </c>
      <c r="G10147" s="78"/>
      <c r="H10147" t="str">
        <f>VLOOKUP(B10147,indexy!$A$44:$D$823,3,FALSE)</f>
        <v>RY CT Equity</v>
      </c>
    </row>
    <row r="10148" spans="1:8" hidden="1" outlineLevel="1" x14ac:dyDescent="0.25">
      <c r="A10148" s="1920">
        <v>0.02</v>
      </c>
      <c r="B10148" s="1921" t="s">
        <v>1857</v>
      </c>
      <c r="C10148" s="1902">
        <v>1276.2</v>
      </c>
      <c r="D10148" s="3196">
        <v>1526</v>
      </c>
      <c r="E10148" s="3025">
        <v>0.19573734524369213</v>
      </c>
      <c r="F10148" s="3198">
        <v>0.08</v>
      </c>
      <c r="G10148" s="78"/>
      <c r="H10148" t="str">
        <f>VLOOKUP(B10148,indexy!$A$44:$D$823,3,FALSE)</f>
        <v>SSE LN Equity</v>
      </c>
    </row>
    <row r="10149" spans="1:8" hidden="1" outlineLevel="1" x14ac:dyDescent="0.25">
      <c r="A10149" s="1920">
        <v>0.02</v>
      </c>
      <c r="B10149" s="1921" t="s">
        <v>4460</v>
      </c>
      <c r="C10149" s="1902">
        <v>1450.8</v>
      </c>
      <c r="D10149" s="3196">
        <v>2257</v>
      </c>
      <c r="E10149" s="3025">
        <v>0.55569341053212029</v>
      </c>
      <c r="F10149" s="3198">
        <v>0.08</v>
      </c>
      <c r="G10149" s="78"/>
      <c r="H10149" t="str">
        <f>VLOOKUP(B10149,indexy!$A$44:$D$823,3,FALSE)</f>
        <v>SVT LN Equity</v>
      </c>
    </row>
    <row r="10150" spans="1:8" hidden="1" outlineLevel="1" x14ac:dyDescent="0.25">
      <c r="A10150" s="1920">
        <v>0.02</v>
      </c>
      <c r="B10150" s="1921" t="s">
        <v>3960</v>
      </c>
      <c r="C10150" s="1902">
        <v>193.1</v>
      </c>
      <c r="D10150" s="3196">
        <v>339.6</v>
      </c>
      <c r="E10150" s="3025">
        <v>0.75867426204039368</v>
      </c>
      <c r="F10150" s="3198">
        <v>0.08</v>
      </c>
      <c r="G10150" s="78"/>
      <c r="H10150" t="str">
        <f>VLOOKUP(B10150,indexy!$A$44:$D$823,3,FALSE)</f>
        <v>ABDN LN Equity</v>
      </c>
    </row>
    <row r="10151" spans="1:8" hidden="1" outlineLevel="1" x14ac:dyDescent="0.25">
      <c r="A10151" s="1920">
        <v>7.0000000000000007E-2</v>
      </c>
      <c r="B10151" s="1921" t="s">
        <v>3022</v>
      </c>
      <c r="C10151" s="1902">
        <v>3714</v>
      </c>
      <c r="D10151" s="3196">
        <v>5427</v>
      </c>
      <c r="E10151" s="3025">
        <v>0.46122778675282716</v>
      </c>
      <c r="F10151" s="3198">
        <v>0.08</v>
      </c>
      <c r="G10151" s="78"/>
      <c r="H10151" t="str">
        <f>VLOOKUP(B10151,indexy!$A$44:$D$823,3,FALSE)</f>
        <v>4502 JT Equity</v>
      </c>
    </row>
    <row r="10152" spans="1:8" hidden="1" outlineLevel="1" x14ac:dyDescent="0.25">
      <c r="A10152" s="1920">
        <v>0.02</v>
      </c>
      <c r="B10152" s="1921" t="s">
        <v>434</v>
      </c>
      <c r="C10152" s="1902">
        <v>43.456000000000003</v>
      </c>
      <c r="D10152" s="3196">
        <v>39.14</v>
      </c>
      <c r="E10152" s="3025">
        <v>-9.9318851251841034E-2</v>
      </c>
      <c r="F10152" s="3198">
        <v>-9.9318851251841034E-2</v>
      </c>
      <c r="G10152" s="78"/>
      <c r="H10152" t="str">
        <f>VLOOKUP(B10152,indexy!$A$44:$D$823,3,FALSE)</f>
        <v>TELIA SS Equity</v>
      </c>
    </row>
    <row r="10153" spans="1:8" hidden="1" outlineLevel="1" x14ac:dyDescent="0.25">
      <c r="A10153" s="1920">
        <v>0.02</v>
      </c>
      <c r="B10153" s="2544" t="s">
        <v>2983</v>
      </c>
      <c r="C10153" s="1902">
        <v>591.29999999999995</v>
      </c>
      <c r="D10153" s="3196">
        <v>961</v>
      </c>
      <c r="E10153" s="3025">
        <v>0.62523253847454763</v>
      </c>
      <c r="F10153" s="3198">
        <v>0.08</v>
      </c>
      <c r="G10153" s="78"/>
      <c r="H10153" t="str">
        <f>VLOOKUP(B10153,indexy!$A$44:$D$823,3,FALSE)</f>
        <v>UU/ LN Equity</v>
      </c>
    </row>
    <row r="10154" spans="1:8" hidden="1" outlineLevel="1" x14ac:dyDescent="0.25">
      <c r="A10154" s="1920">
        <v>0.02</v>
      </c>
      <c r="B10154" s="2628" t="s">
        <v>579</v>
      </c>
      <c r="C10154" s="1902">
        <v>161.46</v>
      </c>
      <c r="D10154" s="3196">
        <v>229.75</v>
      </c>
      <c r="E10154" s="3025">
        <v>0.42295305338783584</v>
      </c>
      <c r="F10154" s="3198">
        <v>0.08</v>
      </c>
      <c r="G10154" s="78"/>
      <c r="H10154" t="str">
        <f>VLOOKUP(B10154,indexy!$A$44:$D$823,3,FALSE)</f>
        <v>VOD LN Equity</v>
      </c>
    </row>
    <row r="10155" spans="1:8" hidden="1" outlineLevel="1" x14ac:dyDescent="0.25">
      <c r="A10155" s="1920">
        <v>0.02</v>
      </c>
      <c r="B10155" s="1921" t="s">
        <v>1211</v>
      </c>
      <c r="C10155" s="1902">
        <v>31.021999999999998</v>
      </c>
      <c r="D10155" s="3196">
        <v>56.9</v>
      </c>
      <c r="E10155" s="3025">
        <v>0.8341821932821869</v>
      </c>
      <c r="F10155" s="3198">
        <v>0.08</v>
      </c>
      <c r="G10155" s="78"/>
      <c r="H10155" t="str">
        <f>VLOOKUP(B10155,indexy!$A$44:$D$823,3,FALSE)</f>
        <v>WM UN Equity</v>
      </c>
    </row>
    <row r="10156" spans="1:8" hidden="1" outlineLevel="1" x14ac:dyDescent="0.25">
      <c r="A10156" s="1920">
        <v>0.02</v>
      </c>
      <c r="B10156" s="2630" t="s">
        <v>4550</v>
      </c>
      <c r="C10156" s="1902">
        <v>167.22</v>
      </c>
      <c r="D10156" s="3196">
        <v>210.6</v>
      </c>
      <c r="E10156" s="3025">
        <v>0.25941872981700742</v>
      </c>
      <c r="F10156" s="3198">
        <v>0.08</v>
      </c>
      <c r="G10156" s="78"/>
      <c r="H10156" t="str">
        <f>VLOOKUP(B10156,indexy!$A$44:$D$823,3,FALSE)</f>
        <v>ZURN SE Equity</v>
      </c>
    </row>
    <row r="10157" spans="1:8" hidden="1" outlineLevel="1" x14ac:dyDescent="0.25">
      <c r="A10157" s="1897" t="s">
        <v>2465</v>
      </c>
      <c r="B10157" s="1931"/>
      <c r="C10157" s="1932"/>
      <c r="D10157" s="3030"/>
      <c r="E10157" s="3078">
        <v>0.60296528419894913</v>
      </c>
      <c r="F10157" s="1897">
        <v>2.615376755489179E-2</v>
      </c>
      <c r="G10157" s="78"/>
    </row>
    <row r="10158" spans="1:8" hidden="1" outlineLevel="1" x14ac:dyDescent="0.25">
      <c r="A10158" s="3182"/>
      <c r="B10158" s="3183"/>
      <c r="C10158" s="3183"/>
      <c r="D10158" s="3183"/>
      <c r="E10158" s="3183"/>
      <c r="F10158" s="3508"/>
      <c r="G10158" s="78"/>
    </row>
    <row r="10159" spans="1:8" hidden="1" outlineLevel="1" x14ac:dyDescent="0.25">
      <c r="A10159" s="2986" t="s">
        <v>113</v>
      </c>
      <c r="B10159" s="2986"/>
      <c r="C10159" s="2987"/>
      <c r="D10159" s="2987"/>
      <c r="E10159" s="3146"/>
      <c r="F10159" s="2989"/>
      <c r="G10159" s="78"/>
    </row>
    <row r="10160" spans="1:8" hidden="1" outlineLevel="1" x14ac:dyDescent="0.25">
      <c r="A10160" s="1810" t="s">
        <v>3059</v>
      </c>
      <c r="B10160" s="3182"/>
      <c r="C10160" s="3183"/>
      <c r="D10160" s="3183"/>
      <c r="E10160" s="2992"/>
      <c r="F10160" s="3193">
        <v>0.03</v>
      </c>
      <c r="G10160" s="78"/>
    </row>
    <row r="10161" spans="1:12" hidden="1" outlineLevel="1" x14ac:dyDescent="0.25">
      <c r="A10161" s="1810" t="s">
        <v>3060</v>
      </c>
      <c r="B10161" s="3028"/>
      <c r="C10161" s="3187"/>
      <c r="D10161" s="3187"/>
      <c r="E10161" s="2199"/>
      <c r="F10161" s="3198">
        <v>2.46E-2</v>
      </c>
      <c r="G10161" s="78"/>
    </row>
    <row r="10162" spans="1:12" hidden="1" outlineLevel="1" x14ac:dyDescent="0.25">
      <c r="A10162" s="1810" t="s">
        <v>3061</v>
      </c>
      <c r="B10162" s="3028"/>
      <c r="C10162" s="3187"/>
      <c r="D10162" s="3187"/>
      <c r="E10162" s="2199"/>
      <c r="F10162" s="3198">
        <v>4.1937000000000071E-2</v>
      </c>
      <c r="G10162" s="78"/>
    </row>
    <row r="10163" spans="1:12" hidden="1" outlineLevel="1" x14ac:dyDescent="0.25">
      <c r="A10163" s="1810" t="s">
        <v>3062</v>
      </c>
      <c r="B10163" s="3028"/>
      <c r="C10163" s="3187"/>
      <c r="D10163" s="3187"/>
      <c r="E10163" s="2199"/>
      <c r="F10163" s="3198">
        <v>3.61E-2</v>
      </c>
      <c r="G10163" s="78"/>
    </row>
    <row r="10164" spans="1:12" hidden="1" outlineLevel="1" x14ac:dyDescent="0.25">
      <c r="A10164" s="1956"/>
      <c r="B10164" s="3389"/>
      <c r="C10164" s="3294"/>
      <c r="D10164" s="3294"/>
      <c r="E10164" s="3521"/>
      <c r="F10164" s="3276"/>
      <c r="G10164" s="78"/>
    </row>
    <row r="10165" spans="1:12" collapsed="1" x14ac:dyDescent="0.25">
      <c r="A10165" s="3803" t="s">
        <v>3058</v>
      </c>
      <c r="B10165" s="3804"/>
      <c r="C10165" s="3804"/>
      <c r="D10165" s="3204"/>
      <c r="E10165" s="3204"/>
      <c r="F10165" s="3205">
        <f>MAX(SUM(F10160:F10163),parametry!M340)</f>
        <v>0.13263700000000006</v>
      </c>
      <c r="G10165" s="78"/>
    </row>
    <row r="10167" spans="1:12" hidden="1" outlineLevel="1" x14ac:dyDescent="0.25">
      <c r="A10167" s="689" t="s">
        <v>113</v>
      </c>
      <c r="B10167" s="689" t="s">
        <v>114</v>
      </c>
      <c r="C10167" s="689" t="s">
        <v>112</v>
      </c>
      <c r="D10167" s="689" t="s">
        <v>116</v>
      </c>
      <c r="E10167" s="689" t="s">
        <v>117</v>
      </c>
      <c r="F10167" s="1188" t="s">
        <v>121</v>
      </c>
      <c r="G10167" s="78"/>
    </row>
    <row r="10168" spans="1:12" hidden="1" outlineLevel="1" x14ac:dyDescent="0.25">
      <c r="A10168" s="690">
        <v>1</v>
      </c>
      <c r="B10168" s="691" t="s">
        <v>252</v>
      </c>
      <c r="C10168" s="692">
        <v>100</v>
      </c>
      <c r="D10168" s="692"/>
      <c r="E10168" s="693"/>
      <c r="F10168" s="694"/>
      <c r="G10168" s="78"/>
    </row>
    <row r="10169" spans="1:12" hidden="1" outlineLevel="1" x14ac:dyDescent="0.25">
      <c r="A10169" s="695"/>
      <c r="B10169" s="695"/>
      <c r="C10169" s="696"/>
      <c r="D10169" s="697" t="s">
        <v>3702</v>
      </c>
      <c r="E10169" s="698">
        <v>42794</v>
      </c>
      <c r="F10169" s="699"/>
      <c r="G10169" s="78"/>
    </row>
    <row r="10170" spans="1:12" hidden="1" outlineLevel="1" x14ac:dyDescent="0.25">
      <c r="A10170" s="689" t="s">
        <v>4156</v>
      </c>
      <c r="B10170" s="495" t="s">
        <v>4153</v>
      </c>
      <c r="C10170" s="700" t="s">
        <v>112</v>
      </c>
      <c r="D10170" s="495" t="s">
        <v>4155</v>
      </c>
      <c r="E10170" s="495" t="s">
        <v>4154</v>
      </c>
      <c r="F10170" s="1021" t="s">
        <v>2519</v>
      </c>
      <c r="G10170" s="78"/>
      <c r="J10170" t="s">
        <v>2040</v>
      </c>
    </row>
    <row r="10171" spans="1:12" hidden="1" outlineLevel="1" x14ac:dyDescent="0.25">
      <c r="A10171">
        <v>0.08</v>
      </c>
      <c r="B10171" s="1010" t="s">
        <v>1995</v>
      </c>
      <c r="C10171" s="1242">
        <v>51.363</v>
      </c>
      <c r="D10171" s="704">
        <v>45.08</v>
      </c>
      <c r="E10171" s="705">
        <v>-0.12232540934135472</v>
      </c>
      <c r="F10171" s="1021">
        <v>-9.7860327473083784E-3</v>
      </c>
      <c r="G10171" s="78"/>
      <c r="H10171" t="s">
        <v>2739</v>
      </c>
      <c r="J10171" s="256">
        <v>42248</v>
      </c>
      <c r="K10171">
        <v>136.6901</v>
      </c>
      <c r="L10171" s="37">
        <v>0.36690099999999992</v>
      </c>
    </row>
    <row r="10172" spans="1:12" hidden="1" outlineLevel="1" x14ac:dyDescent="0.25">
      <c r="A10172">
        <v>0.02</v>
      </c>
      <c r="B10172" t="s">
        <v>2762</v>
      </c>
      <c r="C10172" s="1242">
        <v>61.448999999999998</v>
      </c>
      <c r="D10172" s="704">
        <v>138.16999999999999</v>
      </c>
      <c r="E10172" s="709">
        <v>1.2485313023808362</v>
      </c>
      <c r="F10172" s="946">
        <v>2.4970626047616726E-2</v>
      </c>
      <c r="G10172" s="78"/>
      <c r="H10172" t="s">
        <v>7741</v>
      </c>
      <c r="J10172" s="256">
        <v>42278</v>
      </c>
      <c r="K10172">
        <v>147.75790000000001</v>
      </c>
      <c r="L10172" s="37">
        <v>0.47757899999999998</v>
      </c>
    </row>
    <row r="10173" spans="1:12" hidden="1" outlineLevel="1" x14ac:dyDescent="0.25">
      <c r="A10173">
        <v>0.02</v>
      </c>
      <c r="B10173" t="s">
        <v>2763</v>
      </c>
      <c r="C10173" s="1242">
        <v>54.817</v>
      </c>
      <c r="D10173" s="704">
        <v>50.92</v>
      </c>
      <c r="E10173" s="709">
        <v>-7.1091084882426991E-2</v>
      </c>
      <c r="F10173" s="946">
        <v>-1.4218216976485398E-3</v>
      </c>
      <c r="G10173" s="78"/>
      <c r="H10173" t="s">
        <v>2764</v>
      </c>
      <c r="J10173" s="256">
        <v>42309</v>
      </c>
      <c r="K10173" s="424">
        <v>148.46700000000001</v>
      </c>
      <c r="L10173" s="37">
        <v>0.48467000000000016</v>
      </c>
    </row>
    <row r="10174" spans="1:12" hidden="1" outlineLevel="1" x14ac:dyDescent="0.25">
      <c r="A10174">
        <v>0.02</v>
      </c>
      <c r="B10174" t="s">
        <v>901</v>
      </c>
      <c r="C10174" s="1242">
        <v>2748.5</v>
      </c>
      <c r="D10174" s="704">
        <v>5080</v>
      </c>
      <c r="E10174" s="709">
        <v>0.84828088048026196</v>
      </c>
      <c r="F10174" s="946">
        <v>1.696561760960524E-2</v>
      </c>
      <c r="G10174" s="78"/>
      <c r="H10174" t="s">
        <v>531</v>
      </c>
      <c r="J10174" s="256">
        <v>42339</v>
      </c>
      <c r="K10174">
        <v>146.0367</v>
      </c>
      <c r="L10174" s="37">
        <v>0.46036699999999997</v>
      </c>
    </row>
    <row r="10175" spans="1:12" hidden="1" outlineLevel="1" x14ac:dyDescent="0.25">
      <c r="A10175">
        <v>0.05</v>
      </c>
      <c r="B10175" t="s">
        <v>581</v>
      </c>
      <c r="C10175" s="1242">
        <v>95.903000000000006</v>
      </c>
      <c r="D10175" s="704">
        <v>112.5</v>
      </c>
      <c r="E10175" s="709">
        <v>0.17306027965757065</v>
      </c>
      <c r="F10175" s="946">
        <v>8.6530139828785331E-3</v>
      </c>
      <c r="G10175" s="78"/>
      <c r="H10175" t="s">
        <v>589</v>
      </c>
      <c r="J10175" s="256">
        <v>42370</v>
      </c>
      <c r="K10175">
        <v>142.8913</v>
      </c>
      <c r="L10175" s="37">
        <v>0.4289130000000001</v>
      </c>
    </row>
    <row r="10176" spans="1:12" hidden="1" outlineLevel="1" x14ac:dyDescent="0.25">
      <c r="A10176">
        <v>0.05</v>
      </c>
      <c r="B10176" t="s">
        <v>3425</v>
      </c>
      <c r="C10176" s="1242">
        <v>72.296999999999997</v>
      </c>
      <c r="D10176" s="704">
        <v>81.319999999999993</v>
      </c>
      <c r="E10176" s="709">
        <v>0.12480462536481451</v>
      </c>
      <c r="F10176" s="946">
        <v>6.2402312682407262E-3</v>
      </c>
      <c r="G10176" s="78"/>
      <c r="H10176" t="s">
        <v>4126</v>
      </c>
      <c r="J10176" s="256">
        <v>42401</v>
      </c>
      <c r="K10176">
        <v>140.5138</v>
      </c>
      <c r="L10176" s="37">
        <v>0.405138</v>
      </c>
    </row>
    <row r="10177" spans="1:12" hidden="1" outlineLevel="1" x14ac:dyDescent="0.25">
      <c r="A10177">
        <v>0.05</v>
      </c>
      <c r="B10177" t="s">
        <v>52</v>
      </c>
      <c r="C10177" s="1242">
        <v>169.5</v>
      </c>
      <c r="D10177" s="704">
        <v>179.82</v>
      </c>
      <c r="E10177" s="709">
        <v>6.0884955752212422E-2</v>
      </c>
      <c r="F10177" s="946">
        <v>3.0442477876106212E-3</v>
      </c>
      <c r="G10177" s="78"/>
      <c r="H10177" t="s">
        <v>4130</v>
      </c>
      <c r="J10177" s="256">
        <v>42430</v>
      </c>
      <c r="K10177">
        <v>143.9486</v>
      </c>
      <c r="L10177" s="37">
        <v>0.43948600000000004</v>
      </c>
    </row>
    <row r="10178" spans="1:12" hidden="1" outlineLevel="1" x14ac:dyDescent="0.25">
      <c r="A10178">
        <v>0.05</v>
      </c>
      <c r="B10178" t="s">
        <v>1343</v>
      </c>
      <c r="C10178" s="1242">
        <v>2046.6</v>
      </c>
      <c r="D10178" s="704">
        <v>3793</v>
      </c>
      <c r="E10178" s="709">
        <v>0.85331769764487442</v>
      </c>
      <c r="F10178" s="946">
        <v>4.2665884882243724E-2</v>
      </c>
      <c r="G10178" s="78"/>
      <c r="H10178" t="s">
        <v>7747</v>
      </c>
      <c r="J10178" s="256">
        <v>42461</v>
      </c>
      <c r="K10178">
        <v>144.74719999999999</v>
      </c>
      <c r="L10178" s="37">
        <v>0.44747199999999987</v>
      </c>
    </row>
    <row r="10179" spans="1:12" hidden="1" outlineLevel="1" x14ac:dyDescent="0.25">
      <c r="A10179">
        <v>0.08</v>
      </c>
      <c r="B10179" t="s">
        <v>4143</v>
      </c>
      <c r="C10179" s="1242">
        <v>9.4932999999999996</v>
      </c>
      <c r="D10179" s="704">
        <v>2.665</v>
      </c>
      <c r="E10179" s="709">
        <v>-0.71927569970400174</v>
      </c>
      <c r="F10179" s="946">
        <v>-5.7542055976320138E-2</v>
      </c>
      <c r="G10179" s="78"/>
      <c r="H10179" t="s">
        <v>4144</v>
      </c>
      <c r="J10179" s="256">
        <v>42491</v>
      </c>
      <c r="K10179">
        <v>148.9417</v>
      </c>
      <c r="L10179" s="37">
        <v>0.48941699999999999</v>
      </c>
    </row>
    <row r="10180" spans="1:12" hidden="1" outlineLevel="1" x14ac:dyDescent="0.25">
      <c r="A10180">
        <v>0.02</v>
      </c>
      <c r="B10180" t="s">
        <v>4040</v>
      </c>
      <c r="C10180" s="1242">
        <v>34.003</v>
      </c>
      <c r="D10180" s="704">
        <v>80.91</v>
      </c>
      <c r="E10180" s="709">
        <v>1.3794959268299856</v>
      </c>
      <c r="F10180" s="946">
        <v>2.7589918536599711E-2</v>
      </c>
      <c r="G10180" s="78"/>
      <c r="H10180" t="s">
        <v>4041</v>
      </c>
      <c r="J10180" s="256">
        <v>42522</v>
      </c>
      <c r="K10180">
        <v>152.14230000000001</v>
      </c>
      <c r="L10180" s="37">
        <v>0.52142299999999997</v>
      </c>
    </row>
    <row r="10181" spans="1:12" hidden="1" outlineLevel="1" x14ac:dyDescent="0.25">
      <c r="A10181">
        <v>0.08</v>
      </c>
      <c r="B10181" t="s">
        <v>1905</v>
      </c>
      <c r="C10181" s="1242">
        <v>31.978999999999999</v>
      </c>
      <c r="D10181" s="704">
        <v>65.87</v>
      </c>
      <c r="E10181" s="709">
        <v>1.0597892366865755</v>
      </c>
      <c r="F10181" s="946">
        <v>8.4783138934926047E-2</v>
      </c>
      <c r="G10181" s="78"/>
      <c r="H10181" t="s">
        <v>504</v>
      </c>
      <c r="J10181" s="256">
        <v>42552</v>
      </c>
      <c r="K10181">
        <v>153.67420000000001</v>
      </c>
      <c r="L10181" s="37">
        <v>0.53674200000000005</v>
      </c>
    </row>
    <row r="10182" spans="1:12" hidden="1" outlineLevel="1" x14ac:dyDescent="0.25">
      <c r="A10182">
        <v>0.05</v>
      </c>
      <c r="B10182" t="s">
        <v>1001</v>
      </c>
      <c r="C10182" s="1242">
        <v>26.283000000000001</v>
      </c>
      <c r="D10182" s="704">
        <v>63.98</v>
      </c>
      <c r="E10182" s="709">
        <v>1.4342731042879424</v>
      </c>
      <c r="F10182" s="946">
        <v>7.1713655214397126E-2</v>
      </c>
      <c r="G10182" s="78"/>
      <c r="H10182" t="s">
        <v>4150</v>
      </c>
      <c r="J10182" s="256">
        <v>42583</v>
      </c>
      <c r="K10182">
        <v>152.29130000000001</v>
      </c>
      <c r="L10182" s="37">
        <v>0.52291299999999996</v>
      </c>
    </row>
    <row r="10183" spans="1:12" hidden="1" outlineLevel="1" x14ac:dyDescent="0.25">
      <c r="A10183">
        <v>0.08</v>
      </c>
      <c r="B10183" t="s">
        <v>3797</v>
      </c>
      <c r="C10183" s="1242">
        <v>48.86</v>
      </c>
      <c r="D10183" s="704">
        <v>74.25</v>
      </c>
      <c r="E10183" s="709">
        <v>0.51964797380270156</v>
      </c>
      <c r="F10183" s="946">
        <v>4.1571837904216126E-2</v>
      </c>
      <c r="G10183" s="78"/>
      <c r="H10183" t="s">
        <v>3848</v>
      </c>
      <c r="J10183" s="256">
        <v>42614</v>
      </c>
      <c r="K10183">
        <v>151.92359999999999</v>
      </c>
      <c r="L10183" s="37">
        <v>0.51923600000000003</v>
      </c>
    </row>
    <row r="10184" spans="1:12" hidden="1" outlineLevel="1" x14ac:dyDescent="0.25">
      <c r="A10184">
        <v>0.08</v>
      </c>
      <c r="B10184" t="s">
        <v>3800</v>
      </c>
      <c r="C10184" s="1242">
        <v>136.75</v>
      </c>
      <c r="D10184" s="704">
        <v>244.7</v>
      </c>
      <c r="E10184" s="709">
        <v>0.78939670932358319</v>
      </c>
      <c r="F10184" s="946">
        <v>6.3151736745886658E-2</v>
      </c>
      <c r="G10184" s="78"/>
      <c r="H10184" t="s">
        <v>2817</v>
      </c>
      <c r="J10184" s="256">
        <v>42644</v>
      </c>
      <c r="K10184">
        <v>147.7655</v>
      </c>
      <c r="L10184" s="37">
        <v>0.47765499999999994</v>
      </c>
    </row>
    <row r="10185" spans="1:12" hidden="1" outlineLevel="1" x14ac:dyDescent="0.25">
      <c r="A10185">
        <v>0.05</v>
      </c>
      <c r="B10185" t="s">
        <v>2586</v>
      </c>
      <c r="C10185" s="1242">
        <v>20.456</v>
      </c>
      <c r="D10185" s="704">
        <v>24.38</v>
      </c>
      <c r="E10185" s="709">
        <v>0.19182635901446998</v>
      </c>
      <c r="F10185" s="946">
        <v>9.5913179507235002E-3</v>
      </c>
      <c r="G10185" s="78"/>
      <c r="H10185" t="s">
        <v>2720</v>
      </c>
      <c r="J10185" s="256">
        <v>42675</v>
      </c>
      <c r="K10185">
        <v>146.58410000000001</v>
      </c>
      <c r="L10185" s="37">
        <v>0.46584100000000017</v>
      </c>
    </row>
    <row r="10186" spans="1:12" hidden="1" outlineLevel="1" x14ac:dyDescent="0.25">
      <c r="A10186">
        <v>0.05</v>
      </c>
      <c r="B10186" t="s">
        <v>1187</v>
      </c>
      <c r="C10186" s="1242">
        <v>47.520499999999998</v>
      </c>
      <c r="D10186" s="704">
        <v>81.33</v>
      </c>
      <c r="E10186" s="709">
        <v>0.7114718910785871</v>
      </c>
      <c r="F10186" s="946">
        <v>3.5573594553929354E-2</v>
      </c>
      <c r="G10186" s="78"/>
      <c r="H10186" t="s">
        <v>3483</v>
      </c>
      <c r="J10186" s="256">
        <v>42705</v>
      </c>
      <c r="K10186">
        <v>150.76240000000001</v>
      </c>
      <c r="L10186" s="37">
        <v>0.50762400000000008</v>
      </c>
    </row>
    <row r="10187" spans="1:12" hidden="1" outlineLevel="1" x14ac:dyDescent="0.25">
      <c r="A10187">
        <v>0.02</v>
      </c>
      <c r="B10187" t="s">
        <v>2893</v>
      </c>
      <c r="C10187" s="1242">
        <v>367.33</v>
      </c>
      <c r="D10187" s="704">
        <v>333.9</v>
      </c>
      <c r="E10187" s="709">
        <v>-9.1008085372825565E-2</v>
      </c>
      <c r="F10187" s="946">
        <v>-1.8201617074565114E-3</v>
      </c>
      <c r="G10187" s="78"/>
      <c r="H10187" t="s">
        <v>4416</v>
      </c>
      <c r="J10187" s="256">
        <v>42736</v>
      </c>
      <c r="K10187">
        <v>151.1728</v>
      </c>
      <c r="L10187" s="37">
        <v>0.51172799999999996</v>
      </c>
    </row>
    <row r="10188" spans="1:12" hidden="1" outlineLevel="1" x14ac:dyDescent="0.25">
      <c r="A10188">
        <v>0.05</v>
      </c>
      <c r="B10188" t="s">
        <v>1183</v>
      </c>
      <c r="C10188" s="1242">
        <v>32.185000000000002</v>
      </c>
      <c r="D10188" s="704">
        <v>47.05</v>
      </c>
      <c r="E10188" s="709">
        <v>0.4618611154264407</v>
      </c>
      <c r="F10188" s="946">
        <v>2.3093055771322035E-2</v>
      </c>
      <c r="G10188" s="78"/>
      <c r="H10188" t="s">
        <v>2805</v>
      </c>
      <c r="J10188" s="256">
        <v>42767</v>
      </c>
      <c r="K10188">
        <v>157.2054</v>
      </c>
      <c r="L10188" s="37">
        <v>0.57205400000000006</v>
      </c>
    </row>
    <row r="10189" spans="1:12" hidden="1" outlineLevel="1" x14ac:dyDescent="0.25">
      <c r="A10189">
        <v>0.05</v>
      </c>
      <c r="B10189" t="s">
        <v>507</v>
      </c>
      <c r="C10189" s="1242">
        <v>22.531500000000001</v>
      </c>
      <c r="D10189" s="704">
        <v>44.615000000000002</v>
      </c>
      <c r="E10189" s="709">
        <v>0.98011672547322637</v>
      </c>
      <c r="F10189" s="946">
        <v>4.900583627366132E-2</v>
      </c>
      <c r="G10189" s="78"/>
      <c r="H10189" t="s">
        <v>2810</v>
      </c>
      <c r="J10189" s="412" t="s">
        <v>2465</v>
      </c>
      <c r="L10189" s="362">
        <v>0.47973105555555562</v>
      </c>
    </row>
    <row r="10190" spans="1:12" hidden="1" outlineLevel="1" x14ac:dyDescent="0.25">
      <c r="A10190">
        <v>0.05</v>
      </c>
      <c r="B10190" t="s">
        <v>579</v>
      </c>
      <c r="C10190" s="1242">
        <v>161.79</v>
      </c>
      <c r="D10190" s="1227">
        <v>201.9</v>
      </c>
      <c r="E10190" s="716">
        <v>0.24791396254403875</v>
      </c>
      <c r="F10190" s="1023">
        <v>1.2395698127201938E-2</v>
      </c>
      <c r="G10190" s="78"/>
      <c r="H10190" t="s">
        <v>3611</v>
      </c>
      <c r="J10190" s="412"/>
      <c r="L10190" s="362"/>
    </row>
    <row r="10191" spans="1:12" hidden="1" outlineLevel="1" x14ac:dyDescent="0.25">
      <c r="C10191" s="727"/>
      <c r="D10191" s="727"/>
      <c r="E10191" s="716"/>
      <c r="F10191" s="770">
        <v>0.45043933946232578</v>
      </c>
      <c r="G10191" s="78"/>
    </row>
    <row r="10192" spans="1:12" collapsed="1" x14ac:dyDescent="0.25">
      <c r="A10192" s="3801" t="s">
        <v>3893</v>
      </c>
      <c r="B10192" s="3802"/>
      <c r="C10192" s="3802"/>
      <c r="D10192" s="3802"/>
      <c r="E10192" s="1914"/>
      <c r="F10192" s="1893">
        <v>0.33581173888888893</v>
      </c>
      <c r="G10192" s="78"/>
    </row>
    <row r="10194" spans="1:9" ht="14.4" hidden="1" outlineLevel="1" x14ac:dyDescent="0.3">
      <c r="A10194" s="689" t="s">
        <v>113</v>
      </c>
      <c r="B10194" s="689" t="s">
        <v>114</v>
      </c>
      <c r="C10194" s="689" t="s">
        <v>112</v>
      </c>
      <c r="D10194" s="689" t="s">
        <v>4155</v>
      </c>
      <c r="E10194" s="689" t="s">
        <v>116</v>
      </c>
      <c r="F10194" s="1188" t="s">
        <v>4154</v>
      </c>
      <c r="H10194" s="430" t="s">
        <v>5316</v>
      </c>
      <c r="I10194" s="430" t="s">
        <v>5317</v>
      </c>
    </row>
    <row r="10195" spans="1:9" hidden="1" outlineLevel="1" x14ac:dyDescent="0.25">
      <c r="A10195" s="732" t="s">
        <v>4606</v>
      </c>
      <c r="B10195" s="1092" t="s">
        <v>2153</v>
      </c>
      <c r="C10195" s="793">
        <v>2224.8560000000002</v>
      </c>
      <c r="D10195" s="1165">
        <f>E10195</f>
        <v>2361.7759999999998</v>
      </c>
      <c r="E10195" s="695">
        <f>AVERAGE(I10195:I10199)</f>
        <v>2361.7759999999998</v>
      </c>
      <c r="F10195" s="694">
        <f>IF(E10195="",IF(D10195="","",D10195/C10195-1),E10195/C10195-1)</f>
        <v>6.1541061533869845E-2</v>
      </c>
      <c r="H10195" s="436">
        <v>41122</v>
      </c>
      <c r="I10195" s="417">
        <v>2333.38</v>
      </c>
    </row>
    <row r="10196" spans="1:9" hidden="1" outlineLevel="1" x14ac:dyDescent="0.25">
      <c r="A10196" s="732" t="s">
        <v>4607</v>
      </c>
      <c r="B10196" s="1092" t="s">
        <v>2153</v>
      </c>
      <c r="C10196" s="793"/>
      <c r="D10196" s="695"/>
      <c r="E10196" s="861"/>
      <c r="F10196" s="694"/>
      <c r="H10196" s="436">
        <v>41123</v>
      </c>
      <c r="I10196" s="417">
        <v>2263.36</v>
      </c>
    </row>
    <row r="10197" spans="1:9" hidden="1" outlineLevel="1" x14ac:dyDescent="0.25">
      <c r="A10197" s="732" t="s">
        <v>4608</v>
      </c>
      <c r="B10197" s="1092" t="s">
        <v>2153</v>
      </c>
      <c r="C10197" s="793"/>
      <c r="D10197" s="1249"/>
      <c r="E10197" s="693"/>
      <c r="F10197" s="694"/>
      <c r="H10197" s="436">
        <v>41124</v>
      </c>
      <c r="I10197" s="417">
        <v>2372.58</v>
      </c>
    </row>
    <row r="10198" spans="1:9" hidden="1" outlineLevel="1" x14ac:dyDescent="0.25">
      <c r="A10198" s="732" t="s">
        <v>4609</v>
      </c>
      <c r="B10198" s="1092" t="s">
        <v>2153</v>
      </c>
      <c r="C10198" s="793"/>
      <c r="D10198" s="1249"/>
      <c r="E10198" s="693"/>
      <c r="F10198" s="694"/>
      <c r="H10198" s="436">
        <v>41127</v>
      </c>
      <c r="I10198" s="417">
        <v>2399.3200000000002</v>
      </c>
    </row>
    <row r="10199" spans="1:9" hidden="1" outlineLevel="1" x14ac:dyDescent="0.25">
      <c r="A10199" s="732" t="s">
        <v>4610</v>
      </c>
      <c r="B10199" s="1092" t="s">
        <v>2153</v>
      </c>
      <c r="C10199" s="1033"/>
      <c r="D10199" s="1260"/>
      <c r="E10199" s="1253"/>
      <c r="F10199" s="1261"/>
      <c r="H10199" s="436">
        <v>41128</v>
      </c>
      <c r="I10199" s="417">
        <v>2440.2399999999998</v>
      </c>
    </row>
    <row r="10200" spans="1:9" hidden="1" outlineLevel="1" x14ac:dyDescent="0.25">
      <c r="A10200" s="690"/>
      <c r="B10200" s="695"/>
      <c r="C10200" s="793"/>
      <c r="D10200" s="1249"/>
      <c r="E10200" s="693"/>
      <c r="F10200" s="694"/>
    </row>
    <row r="10201" spans="1:9" collapsed="1" x14ac:dyDescent="0.25">
      <c r="A10201" s="3801" t="s">
        <v>4651</v>
      </c>
      <c r="B10201" s="3802"/>
      <c r="C10201" s="3802"/>
      <c r="D10201" s="3802"/>
      <c r="E10201" s="1811"/>
      <c r="F10201" s="1890">
        <f>IF(D10195&gt;C10195,10%,(D10195/C10195-1))</f>
        <v>0.1</v>
      </c>
      <c r="G10201" s="175" t="s">
        <v>781</v>
      </c>
    </row>
    <row r="10203" spans="1:9" hidden="1" outlineLevel="1" x14ac:dyDescent="0.25">
      <c r="A10203" s="689" t="s">
        <v>113</v>
      </c>
      <c r="B10203" s="689" t="s">
        <v>114</v>
      </c>
      <c r="C10203" s="689" t="s">
        <v>112</v>
      </c>
      <c r="D10203" s="689" t="s">
        <v>116</v>
      </c>
      <c r="E10203" s="689" t="s">
        <v>117</v>
      </c>
      <c r="F10203" s="1188" t="s">
        <v>121</v>
      </c>
    </row>
    <row r="10204" spans="1:9" hidden="1" outlineLevel="1" x14ac:dyDescent="0.25">
      <c r="A10204" s="751" t="s">
        <v>5048</v>
      </c>
      <c r="B10204" s="729" t="s">
        <v>115</v>
      </c>
      <c r="C10204" s="719">
        <v>2258.2339999999999</v>
      </c>
      <c r="D10204" s="719">
        <v>2205.91</v>
      </c>
      <c r="E10204" s="720">
        <f>IF(D10204="","",D10204/C10204-1)</f>
        <v>-2.3170318044985594E-2</v>
      </c>
      <c r="F10204" s="731">
        <f>IF(E10204="","",IF(E10204&lt;0%,-4%,0%))</f>
        <v>-0.04</v>
      </c>
    </row>
    <row r="10205" spans="1:9" hidden="1" outlineLevel="1" x14ac:dyDescent="0.25">
      <c r="A10205" s="751" t="s">
        <v>5049</v>
      </c>
      <c r="B10205" s="729" t="s">
        <v>115</v>
      </c>
      <c r="C10205" s="823">
        <f t="shared" ref="C10205:C10213" si="211">IF(D10204="","",D10204)</f>
        <v>2205.91</v>
      </c>
      <c r="D10205" s="823">
        <v>2338.0100000000002</v>
      </c>
      <c r="E10205" s="720">
        <f t="shared" ref="E10205:E10239" si="212">IF(D10205="","",D10205/C10205-1)</f>
        <v>5.9884582779895945E-2</v>
      </c>
      <c r="F10205" s="731">
        <f t="shared" ref="F10205:F10239" si="213">IF(E10205="","",IF(E10205&lt;0%,-4%,0%))</f>
        <v>0</v>
      </c>
    </row>
    <row r="10206" spans="1:9" hidden="1" outlineLevel="1" x14ac:dyDescent="0.25">
      <c r="A10206" s="751" t="s">
        <v>5050</v>
      </c>
      <c r="B10206" s="729" t="s">
        <v>115</v>
      </c>
      <c r="C10206" s="719">
        <f t="shared" si="211"/>
        <v>2338.0100000000002</v>
      </c>
      <c r="D10206" s="719">
        <v>2488.29</v>
      </c>
      <c r="E10206" s="720">
        <f t="shared" si="212"/>
        <v>6.4276885043263121E-2</v>
      </c>
      <c r="F10206" s="731">
        <f t="shared" si="213"/>
        <v>0</v>
      </c>
    </row>
    <row r="10207" spans="1:9" hidden="1" outlineLevel="1" x14ac:dyDescent="0.25">
      <c r="A10207" s="751" t="s">
        <v>5051</v>
      </c>
      <c r="B10207" s="729" t="s">
        <v>115</v>
      </c>
      <c r="C10207" s="719">
        <f t="shared" si="211"/>
        <v>2488.29</v>
      </c>
      <c r="D10207" s="719">
        <v>2574.79</v>
      </c>
      <c r="E10207" s="720">
        <f t="shared" si="212"/>
        <v>3.4762829091464331E-2</v>
      </c>
      <c r="F10207" s="731">
        <f t="shared" si="213"/>
        <v>0</v>
      </c>
    </row>
    <row r="10208" spans="1:9" hidden="1" outlineLevel="1" x14ac:dyDescent="0.25">
      <c r="A10208" s="751" t="s">
        <v>5052</v>
      </c>
      <c r="B10208" s="728" t="s">
        <v>115</v>
      </c>
      <c r="C10208" s="719">
        <f t="shared" si="211"/>
        <v>2574.79</v>
      </c>
      <c r="D10208" s="719">
        <v>2367.0500000000002</v>
      </c>
      <c r="E10208" s="720">
        <f t="shared" si="212"/>
        <v>-8.0682308071726161E-2</v>
      </c>
      <c r="F10208" s="731">
        <f t="shared" si="213"/>
        <v>-0.04</v>
      </c>
    </row>
    <row r="10209" spans="1:6" hidden="1" outlineLevel="1" x14ac:dyDescent="0.25">
      <c r="A10209" s="751" t="s">
        <v>5053</v>
      </c>
      <c r="B10209" s="728" t="s">
        <v>115</v>
      </c>
      <c r="C10209" s="719">
        <f t="shared" si="211"/>
        <v>2367.0500000000002</v>
      </c>
      <c r="D10209" s="719">
        <v>2201.9499999999998</v>
      </c>
      <c r="E10209" s="720">
        <f t="shared" si="212"/>
        <v>-6.9749265963963691E-2</v>
      </c>
      <c r="F10209" s="731">
        <f t="shared" si="213"/>
        <v>-0.04</v>
      </c>
    </row>
    <row r="10210" spans="1:6" hidden="1" outlineLevel="1" x14ac:dyDescent="0.25">
      <c r="A10210" s="751" t="s">
        <v>5054</v>
      </c>
      <c r="B10210" s="728" t="s">
        <v>115</v>
      </c>
      <c r="C10210" s="719">
        <f t="shared" si="211"/>
        <v>2201.9499999999998</v>
      </c>
      <c r="D10210" s="719">
        <v>2148.21</v>
      </c>
      <c r="E10210" s="720">
        <f t="shared" si="212"/>
        <v>-2.4405640455051114E-2</v>
      </c>
      <c r="F10210" s="731">
        <f t="shared" si="213"/>
        <v>-0.04</v>
      </c>
    </row>
    <row r="10211" spans="1:6" hidden="1" outlineLevel="1" x14ac:dyDescent="0.25">
      <c r="A10211" s="751" t="s">
        <v>5055</v>
      </c>
      <c r="B10211" s="728" t="s">
        <v>115</v>
      </c>
      <c r="C10211" s="719">
        <f t="shared" si="211"/>
        <v>2148.21</v>
      </c>
      <c r="D10211" s="719">
        <v>2259.09</v>
      </c>
      <c r="E10211" s="720">
        <f t="shared" si="212"/>
        <v>5.1615065566215534E-2</v>
      </c>
      <c r="F10211" s="731">
        <f t="shared" si="213"/>
        <v>0</v>
      </c>
    </row>
    <row r="10212" spans="1:6" hidden="1" outlineLevel="1" x14ac:dyDescent="0.25">
      <c r="A10212" s="751" t="s">
        <v>5056</v>
      </c>
      <c r="B10212" s="728" t="s">
        <v>115</v>
      </c>
      <c r="C10212" s="719">
        <f t="shared" si="211"/>
        <v>2259.09</v>
      </c>
      <c r="D10212" s="719">
        <v>2432.29</v>
      </c>
      <c r="E10212" s="720">
        <f t="shared" si="212"/>
        <v>7.6668038900619129E-2</v>
      </c>
      <c r="F10212" s="731">
        <f t="shared" si="213"/>
        <v>0</v>
      </c>
    </row>
    <row r="10213" spans="1:6" hidden="1" outlineLevel="1" x14ac:dyDescent="0.25">
      <c r="A10213" s="751" t="s">
        <v>5057</v>
      </c>
      <c r="B10213" s="726" t="s">
        <v>115</v>
      </c>
      <c r="C10213" s="719">
        <f t="shared" si="211"/>
        <v>2432.29</v>
      </c>
      <c r="D10213" s="719">
        <v>2594.56</v>
      </c>
      <c r="E10213" s="720">
        <f t="shared" si="212"/>
        <v>6.6714906528415607E-2</v>
      </c>
      <c r="F10213" s="731">
        <f t="shared" si="213"/>
        <v>0</v>
      </c>
    </row>
    <row r="10214" spans="1:6" hidden="1" outlineLevel="1" x14ac:dyDescent="0.25">
      <c r="A10214" s="751" t="s">
        <v>5058</v>
      </c>
      <c r="B10214" s="729" t="s">
        <v>115</v>
      </c>
      <c r="C10214" s="719">
        <f>IF(D10213="","",D10213)</f>
        <v>2594.56</v>
      </c>
      <c r="D10214" s="719">
        <v>2469.09</v>
      </c>
      <c r="E10214" s="720">
        <f t="shared" si="212"/>
        <v>-4.8358873951652614E-2</v>
      </c>
      <c r="F10214" s="731">
        <f t="shared" si="213"/>
        <v>-0.04</v>
      </c>
    </row>
    <row r="10215" spans="1:6" hidden="1" outlineLevel="1" x14ac:dyDescent="0.25">
      <c r="A10215" s="751" t="s">
        <v>5059</v>
      </c>
      <c r="B10215" s="729" t="s">
        <v>115</v>
      </c>
      <c r="C10215" s="719">
        <f t="shared" ref="C10215:C10239" si="214">IF(D10214="","",D10214)</f>
        <v>2469.09</v>
      </c>
      <c r="D10215" s="719">
        <v>2472.84</v>
      </c>
      <c r="E10215" s="720">
        <f t="shared" si="212"/>
        <v>1.5187781733350114E-3</v>
      </c>
      <c r="F10215" s="731">
        <f t="shared" si="213"/>
        <v>0</v>
      </c>
    </row>
    <row r="10216" spans="1:6" hidden="1" outlineLevel="1" x14ac:dyDescent="0.25">
      <c r="A10216" s="751" t="s">
        <v>5060</v>
      </c>
      <c r="B10216" s="729" t="s">
        <v>115</v>
      </c>
      <c r="C10216" s="719">
        <f t="shared" si="214"/>
        <v>2472.84</v>
      </c>
      <c r="D10216" s="719">
        <v>2630.54</v>
      </c>
      <c r="E10216" s="720">
        <f t="shared" si="212"/>
        <v>6.3772828003429094E-2</v>
      </c>
      <c r="F10216" s="731">
        <f t="shared" si="213"/>
        <v>0</v>
      </c>
    </row>
    <row r="10217" spans="1:6" hidden="1" outlineLevel="1" x14ac:dyDescent="0.25">
      <c r="A10217" s="751" t="s">
        <v>5061</v>
      </c>
      <c r="B10217" s="729" t="s">
        <v>115</v>
      </c>
      <c r="C10217" s="719">
        <v>2630.54</v>
      </c>
      <c r="D10217" s="719">
        <v>2701.59</v>
      </c>
      <c r="E10217" s="720">
        <f t="shared" si="212"/>
        <v>2.7009663415116458E-2</v>
      </c>
      <c r="F10217" s="731">
        <f t="shared" si="213"/>
        <v>0</v>
      </c>
    </row>
    <row r="10218" spans="1:6" hidden="1" outlineLevel="1" x14ac:dyDescent="0.25">
      <c r="A10218" s="751" t="s">
        <v>5062</v>
      </c>
      <c r="B10218" s="729" t="s">
        <v>115</v>
      </c>
      <c r="C10218" s="719">
        <f t="shared" si="214"/>
        <v>2701.59</v>
      </c>
      <c r="D10218" s="719">
        <v>2635.35</v>
      </c>
      <c r="E10218" s="720">
        <f t="shared" si="212"/>
        <v>-2.451889442883648E-2</v>
      </c>
      <c r="F10218" s="731">
        <f t="shared" si="213"/>
        <v>-0.04</v>
      </c>
    </row>
    <row r="10219" spans="1:6" hidden="1" outlineLevel="1" x14ac:dyDescent="0.25">
      <c r="A10219" s="751" t="s">
        <v>5063</v>
      </c>
      <c r="B10219" s="729" t="s">
        <v>115</v>
      </c>
      <c r="C10219" s="719">
        <f t="shared" si="214"/>
        <v>2635.35</v>
      </c>
      <c r="D10219" s="719">
        <v>2744.7</v>
      </c>
      <c r="E10219" s="720">
        <f t="shared" si="212"/>
        <v>4.1493539757527342E-2</v>
      </c>
      <c r="F10219" s="731">
        <f t="shared" si="213"/>
        <v>0</v>
      </c>
    </row>
    <row r="10220" spans="1:6" hidden="1" outlineLevel="1" x14ac:dyDescent="0.25">
      <c r="A10220" s="751" t="s">
        <v>5064</v>
      </c>
      <c r="B10220" s="729" t="s">
        <v>115</v>
      </c>
      <c r="C10220" s="719">
        <f t="shared" si="214"/>
        <v>2744.7</v>
      </c>
      <c r="D10220" s="719">
        <v>2624.71</v>
      </c>
      <c r="E10220" s="720">
        <f t="shared" si="212"/>
        <v>-4.3716981819506562E-2</v>
      </c>
      <c r="F10220" s="731">
        <f t="shared" si="213"/>
        <v>-0.04</v>
      </c>
    </row>
    <row r="10221" spans="1:6" hidden="1" outlineLevel="1" x14ac:dyDescent="0.25">
      <c r="A10221" s="751" t="s">
        <v>5065</v>
      </c>
      <c r="B10221" s="729" t="s">
        <v>115</v>
      </c>
      <c r="C10221" s="719">
        <f t="shared" si="214"/>
        <v>2624.71</v>
      </c>
      <c r="D10221" s="719">
        <v>2795.63</v>
      </c>
      <c r="E10221" s="720">
        <f t="shared" si="212"/>
        <v>6.5119575114965134E-2</v>
      </c>
      <c r="F10221" s="731">
        <f t="shared" si="213"/>
        <v>0</v>
      </c>
    </row>
    <row r="10222" spans="1:6" hidden="1" outlineLevel="1" x14ac:dyDescent="0.25">
      <c r="A10222" s="751" t="s">
        <v>5066</v>
      </c>
      <c r="B10222" s="729" t="s">
        <v>115</v>
      </c>
      <c r="C10222" s="719">
        <f t="shared" si="214"/>
        <v>2795.63</v>
      </c>
      <c r="D10222" s="719">
        <v>2667.32</v>
      </c>
      <c r="E10222" s="720">
        <f t="shared" si="212"/>
        <v>-4.589663152849266E-2</v>
      </c>
      <c r="F10222" s="731">
        <f t="shared" si="213"/>
        <v>-0.04</v>
      </c>
    </row>
    <row r="10223" spans="1:6" hidden="1" outlineLevel="1" x14ac:dyDescent="0.25">
      <c r="A10223" s="751" t="s">
        <v>5067</v>
      </c>
      <c r="B10223" s="729" t="s">
        <v>115</v>
      </c>
      <c r="C10223" s="719">
        <f t="shared" si="214"/>
        <v>2667.32</v>
      </c>
      <c r="D10223" s="719">
        <v>2674.87</v>
      </c>
      <c r="E10223" s="720">
        <f t="shared" si="212"/>
        <v>2.8305565136541588E-3</v>
      </c>
      <c r="F10223" s="731">
        <f t="shared" si="213"/>
        <v>0</v>
      </c>
    </row>
    <row r="10224" spans="1:6" hidden="1" outlineLevel="1" x14ac:dyDescent="0.25">
      <c r="A10224" s="751" t="s">
        <v>5068</v>
      </c>
      <c r="B10224" s="729" t="s">
        <v>115</v>
      </c>
      <c r="C10224" s="719">
        <f t="shared" si="214"/>
        <v>2674.87</v>
      </c>
      <c r="D10224" s="719">
        <v>2852.08</v>
      </c>
      <c r="E10224" s="720">
        <f t="shared" si="212"/>
        <v>6.6249948595632713E-2</v>
      </c>
      <c r="F10224" s="731">
        <f t="shared" si="213"/>
        <v>0</v>
      </c>
    </row>
    <row r="10225" spans="1:7" hidden="1" outlineLevel="1" x14ac:dyDescent="0.25">
      <c r="A10225" s="751" t="s">
        <v>5069</v>
      </c>
      <c r="B10225" s="729" t="s">
        <v>115</v>
      </c>
      <c r="C10225" s="719">
        <f t="shared" si="214"/>
        <v>2852.08</v>
      </c>
      <c r="D10225" s="719">
        <v>2867.11</v>
      </c>
      <c r="E10225" s="720">
        <f t="shared" si="212"/>
        <v>5.2698381532074734E-3</v>
      </c>
      <c r="F10225" s="731">
        <f t="shared" si="213"/>
        <v>0</v>
      </c>
    </row>
    <row r="10226" spans="1:7" hidden="1" outlineLevel="1" x14ac:dyDescent="0.25">
      <c r="A10226" s="751" t="s">
        <v>5070</v>
      </c>
      <c r="B10226" s="729" t="s">
        <v>115</v>
      </c>
      <c r="C10226" s="719">
        <f t="shared" si="214"/>
        <v>2867.11</v>
      </c>
      <c r="D10226" s="719">
        <v>2977.69</v>
      </c>
      <c r="E10226" s="720">
        <f t="shared" si="212"/>
        <v>3.8568453948401027E-2</v>
      </c>
      <c r="F10226" s="731">
        <f t="shared" si="213"/>
        <v>0</v>
      </c>
    </row>
    <row r="10227" spans="1:7" hidden="1" outlineLevel="1" x14ac:dyDescent="0.25">
      <c r="A10227" s="751" t="s">
        <v>5071</v>
      </c>
      <c r="B10227" s="729" t="s">
        <v>115</v>
      </c>
      <c r="C10227" s="719">
        <f t="shared" si="214"/>
        <v>2977.69</v>
      </c>
      <c r="D10227" s="719">
        <v>3053.69</v>
      </c>
      <c r="E10227" s="720">
        <f t="shared" si="212"/>
        <v>2.5523140420930401E-2</v>
      </c>
      <c r="F10227" s="731">
        <f t="shared" si="213"/>
        <v>0</v>
      </c>
    </row>
    <row r="10228" spans="1:7" hidden="1" outlineLevel="1" x14ac:dyDescent="0.25">
      <c r="A10228" s="751" t="s">
        <v>5072</v>
      </c>
      <c r="B10228" s="729" t="s">
        <v>115</v>
      </c>
      <c r="C10228" s="719">
        <f t="shared" si="214"/>
        <v>3053.69</v>
      </c>
      <c r="D10228" s="719">
        <v>2921.92</v>
      </c>
      <c r="E10228" s="720">
        <f t="shared" si="212"/>
        <v>-4.31510729641843E-2</v>
      </c>
      <c r="F10228" s="731">
        <f t="shared" si="213"/>
        <v>-0.04</v>
      </c>
    </row>
    <row r="10229" spans="1:7" hidden="1" outlineLevel="1" x14ac:dyDescent="0.25">
      <c r="A10229" s="751" t="s">
        <v>5073</v>
      </c>
      <c r="B10229" s="729" t="s">
        <v>115</v>
      </c>
      <c r="C10229" s="719">
        <f t="shared" si="214"/>
        <v>2921.92</v>
      </c>
      <c r="D10229" s="719">
        <v>3168.76</v>
      </c>
      <c r="E10229" s="720">
        <f t="shared" si="212"/>
        <v>8.4478698937684893E-2</v>
      </c>
      <c r="F10229" s="731">
        <f t="shared" si="213"/>
        <v>0</v>
      </c>
    </row>
    <row r="10230" spans="1:7" hidden="1" outlineLevel="1" x14ac:dyDescent="0.25">
      <c r="A10230" s="751" t="s">
        <v>5074</v>
      </c>
      <c r="B10230" s="729" t="s">
        <v>115</v>
      </c>
      <c r="C10230" s="719">
        <f t="shared" si="214"/>
        <v>3168.76</v>
      </c>
      <c r="D10230" s="719">
        <v>3119.06</v>
      </c>
      <c r="E10230" s="720">
        <f t="shared" si="212"/>
        <v>-1.5684368648935298E-2</v>
      </c>
      <c r="F10230" s="731">
        <f t="shared" si="213"/>
        <v>-0.04</v>
      </c>
    </row>
    <row r="10231" spans="1:7" hidden="1" outlineLevel="1" x14ac:dyDescent="0.25">
      <c r="A10231" s="751" t="s">
        <v>5075</v>
      </c>
      <c r="B10231" s="729" t="s">
        <v>115</v>
      </c>
      <c r="C10231" s="719">
        <f t="shared" si="214"/>
        <v>3119.06</v>
      </c>
      <c r="D10231" s="719"/>
      <c r="E10231" s="720" t="str">
        <f t="shared" si="212"/>
        <v/>
      </c>
      <c r="F10231" s="731" t="str">
        <f t="shared" si="213"/>
        <v/>
      </c>
    </row>
    <row r="10232" spans="1:7" hidden="1" outlineLevel="1" x14ac:dyDescent="0.25">
      <c r="A10232" s="751" t="s">
        <v>5076</v>
      </c>
      <c r="B10232" s="729" t="s">
        <v>115</v>
      </c>
      <c r="C10232" s="719" t="str">
        <f t="shared" si="214"/>
        <v/>
      </c>
      <c r="D10232" s="719"/>
      <c r="E10232" s="720" t="str">
        <f t="shared" si="212"/>
        <v/>
      </c>
      <c r="F10232" s="731" t="str">
        <f t="shared" si="213"/>
        <v/>
      </c>
    </row>
    <row r="10233" spans="1:7" hidden="1" outlineLevel="1" x14ac:dyDescent="0.25">
      <c r="A10233" s="751" t="s">
        <v>5077</v>
      </c>
      <c r="B10233" s="729" t="s">
        <v>115</v>
      </c>
      <c r="C10233" s="719" t="str">
        <f t="shared" si="214"/>
        <v/>
      </c>
      <c r="D10233" s="719"/>
      <c r="E10233" s="720" t="str">
        <f t="shared" si="212"/>
        <v/>
      </c>
      <c r="F10233" s="731" t="str">
        <f t="shared" si="213"/>
        <v/>
      </c>
    </row>
    <row r="10234" spans="1:7" hidden="1" outlineLevel="1" x14ac:dyDescent="0.25">
      <c r="A10234" s="751" t="s">
        <v>5078</v>
      </c>
      <c r="B10234" s="729" t="s">
        <v>115</v>
      </c>
      <c r="C10234" s="719" t="str">
        <f t="shared" si="214"/>
        <v/>
      </c>
      <c r="D10234" s="719"/>
      <c r="E10234" s="720" t="str">
        <f t="shared" si="212"/>
        <v/>
      </c>
      <c r="F10234" s="731" t="str">
        <f t="shared" si="213"/>
        <v/>
      </c>
    </row>
    <row r="10235" spans="1:7" hidden="1" outlineLevel="1" x14ac:dyDescent="0.25">
      <c r="A10235" s="751" t="s">
        <v>5079</v>
      </c>
      <c r="B10235" s="729" t="s">
        <v>115</v>
      </c>
      <c r="C10235" s="719" t="str">
        <f t="shared" si="214"/>
        <v/>
      </c>
      <c r="D10235" s="719"/>
      <c r="E10235" s="720" t="str">
        <f t="shared" si="212"/>
        <v/>
      </c>
      <c r="F10235" s="731" t="str">
        <f t="shared" si="213"/>
        <v/>
      </c>
    </row>
    <row r="10236" spans="1:7" hidden="1" outlineLevel="1" x14ac:dyDescent="0.25">
      <c r="A10236" s="751" t="s">
        <v>5080</v>
      </c>
      <c r="B10236" s="729" t="s">
        <v>115</v>
      </c>
      <c r="C10236" s="719" t="str">
        <f t="shared" si="214"/>
        <v/>
      </c>
      <c r="D10236" s="719"/>
      <c r="E10236" s="720" t="str">
        <f t="shared" si="212"/>
        <v/>
      </c>
      <c r="F10236" s="731" t="str">
        <f t="shared" si="213"/>
        <v/>
      </c>
    </row>
    <row r="10237" spans="1:7" hidden="1" outlineLevel="1" x14ac:dyDescent="0.25">
      <c r="A10237" s="751" t="s">
        <v>5081</v>
      </c>
      <c r="B10237" s="729" t="s">
        <v>115</v>
      </c>
      <c r="C10237" s="719" t="str">
        <f t="shared" si="214"/>
        <v/>
      </c>
      <c r="D10237" s="719"/>
      <c r="E10237" s="720" t="str">
        <f t="shared" si="212"/>
        <v/>
      </c>
      <c r="F10237" s="731" t="str">
        <f t="shared" si="213"/>
        <v/>
      </c>
    </row>
    <row r="10238" spans="1:7" hidden="1" outlineLevel="1" x14ac:dyDescent="0.25">
      <c r="A10238" s="751" t="s">
        <v>5082</v>
      </c>
      <c r="B10238" s="729" t="s">
        <v>115</v>
      </c>
      <c r="C10238" s="719" t="str">
        <f t="shared" si="214"/>
        <v/>
      </c>
      <c r="D10238" s="719"/>
      <c r="E10238" s="720" t="str">
        <f t="shared" si="212"/>
        <v/>
      </c>
      <c r="F10238" s="731" t="str">
        <f t="shared" si="213"/>
        <v/>
      </c>
    </row>
    <row r="10239" spans="1:7" hidden="1" outlineLevel="1" x14ac:dyDescent="0.25">
      <c r="A10239" s="751" t="s">
        <v>5083</v>
      </c>
      <c r="B10239" s="729" t="s">
        <v>115</v>
      </c>
      <c r="C10239" s="719" t="str">
        <f t="shared" si="214"/>
        <v/>
      </c>
      <c r="D10239" s="719"/>
      <c r="E10239" s="720" t="str">
        <f t="shared" si="212"/>
        <v/>
      </c>
      <c r="F10239" s="731" t="str">
        <f t="shared" si="213"/>
        <v/>
      </c>
    </row>
    <row r="10240" spans="1:7" collapsed="1" x14ac:dyDescent="0.25">
      <c r="A10240" s="3801" t="s">
        <v>5084</v>
      </c>
      <c r="B10240" s="3802"/>
      <c r="C10240" s="3802"/>
      <c r="D10240" s="3802"/>
      <c r="E10240" s="1906"/>
      <c r="F10240" s="1907">
        <f>40%+SUM(F10204:F10239)</f>
        <v>0</v>
      </c>
      <c r="G10240" s="175" t="s">
        <v>781</v>
      </c>
    </row>
    <row r="10242" spans="1:8" hidden="1" outlineLevel="1" x14ac:dyDescent="0.25">
      <c r="A10242" s="3180" t="s">
        <v>113</v>
      </c>
      <c r="B10242" s="3180" t="s">
        <v>114</v>
      </c>
      <c r="C10242" s="3180" t="s">
        <v>112</v>
      </c>
      <c r="D10242" s="3180" t="s">
        <v>116</v>
      </c>
      <c r="E10242" s="3180" t="s">
        <v>117</v>
      </c>
      <c r="F10242" s="3181" t="s">
        <v>121</v>
      </c>
      <c r="G10242" s="78"/>
    </row>
    <row r="10243" spans="1:8" hidden="1" outlineLevel="1" x14ac:dyDescent="0.25">
      <c r="A10243" s="3187">
        <v>5</v>
      </c>
      <c r="B10243" s="3187"/>
      <c r="C10243" s="3188"/>
      <c r="D10243" s="1900" t="s">
        <v>3702</v>
      </c>
      <c r="E10243" s="3189">
        <v>42853</v>
      </c>
      <c r="F10243" s="3401"/>
      <c r="G10243" s="78"/>
    </row>
    <row r="10244" spans="1:8" hidden="1" outlineLevel="1" x14ac:dyDescent="0.25">
      <c r="A10244" s="3180" t="s">
        <v>4156</v>
      </c>
      <c r="B10244" s="3180" t="s">
        <v>4153</v>
      </c>
      <c r="C10244" s="3406" t="s">
        <v>112</v>
      </c>
      <c r="D10244" s="3180" t="s">
        <v>4155</v>
      </c>
      <c r="E10244" s="3180" t="s">
        <v>4154</v>
      </c>
      <c r="F10244" s="3181" t="s">
        <v>734</v>
      </c>
      <c r="G10244" s="78"/>
    </row>
    <row r="10245" spans="1:8" hidden="1" outlineLevel="1" x14ac:dyDescent="0.25">
      <c r="A10245" s="1920">
        <v>0.02</v>
      </c>
      <c r="B10245" s="1813" t="s">
        <v>1993</v>
      </c>
      <c r="C10245" s="1902">
        <v>27.57</v>
      </c>
      <c r="D10245" s="3196">
        <v>71.3</v>
      </c>
      <c r="E10245" s="3025">
        <v>1.5861443598113891</v>
      </c>
      <c r="F10245" s="3198">
        <v>0.05</v>
      </c>
      <c r="G10245" s="78"/>
      <c r="H10245" t="str">
        <f>VLOOKUP(B10245,indexy!$A$44:$D$823,3,FALSE)</f>
        <v>MO UN Equity</v>
      </c>
    </row>
    <row r="10246" spans="1:8" hidden="1" outlineLevel="1" x14ac:dyDescent="0.25">
      <c r="A10246" s="1920">
        <v>0.08</v>
      </c>
      <c r="B10246" s="1813" t="s">
        <v>2942</v>
      </c>
      <c r="C10246" s="1902">
        <v>601.64</v>
      </c>
      <c r="D10246" s="3196">
        <v>1514</v>
      </c>
      <c r="E10246" s="3025">
        <v>1.5164550229373046</v>
      </c>
      <c r="F10246" s="3198">
        <v>0.05</v>
      </c>
      <c r="G10246" s="78"/>
      <c r="H10246" t="str">
        <f>VLOOKUP(B10246,indexy!$A$44:$D$823,3,FALSE)</f>
        <v>4503 JT Equity</v>
      </c>
    </row>
    <row r="10247" spans="1:8" hidden="1" outlineLevel="1" x14ac:dyDescent="0.25">
      <c r="A10247" s="1920">
        <v>0.02</v>
      </c>
      <c r="B10247" s="2628" t="s">
        <v>1903</v>
      </c>
      <c r="C10247" s="1902">
        <v>2872.5</v>
      </c>
      <c r="D10247" s="3196">
        <v>4743</v>
      </c>
      <c r="E10247" s="3025">
        <v>0.65117493472584864</v>
      </c>
      <c r="F10247" s="3198">
        <v>0.05</v>
      </c>
      <c r="G10247" s="78"/>
      <c r="H10247" t="str">
        <f>VLOOKUP(B10247,indexy!$A$44:$D$823,3,FALSE)</f>
        <v>AZN LN Equity</v>
      </c>
    </row>
    <row r="10248" spans="1:8" hidden="1" outlineLevel="1" x14ac:dyDescent="0.25">
      <c r="A10248" s="1920">
        <v>0.08</v>
      </c>
      <c r="B10248" s="2628" t="s">
        <v>3998</v>
      </c>
      <c r="C10248" s="1902">
        <v>29.228000000000002</v>
      </c>
      <c r="D10248" s="3196">
        <v>40.28</v>
      </c>
      <c r="E10248" s="3025">
        <v>0.37813055973723819</v>
      </c>
      <c r="F10248" s="3198">
        <v>0.05</v>
      </c>
      <c r="G10248" s="78"/>
      <c r="H10248" t="str">
        <f>VLOOKUP(B10248,indexy!$A$44:$D$823,3,FALSE)</f>
        <v>T UN Equity</v>
      </c>
    </row>
    <row r="10249" spans="1:8" hidden="1" outlineLevel="1" x14ac:dyDescent="0.25">
      <c r="A10249" s="1920">
        <v>0.02</v>
      </c>
      <c r="B10249" s="1926" t="s">
        <v>805</v>
      </c>
      <c r="C10249" s="1902">
        <v>57.54</v>
      </c>
      <c r="D10249" s="3196">
        <v>97.38</v>
      </c>
      <c r="E10249" s="3025">
        <v>0.69238790406673623</v>
      </c>
      <c r="F10249" s="3198">
        <v>0.05</v>
      </c>
      <c r="G10249" s="78"/>
      <c r="H10249" t="str">
        <f>VLOOKUP(B10249,indexy!$A$44:$D$823,3,FALSE)</f>
        <v>BMO CT Equity</v>
      </c>
    </row>
    <row r="10250" spans="1:8" hidden="1" outlineLevel="1" x14ac:dyDescent="0.25">
      <c r="A10250" s="1920">
        <v>0.02</v>
      </c>
      <c r="B10250" s="1903" t="s">
        <v>4377</v>
      </c>
      <c r="C10250" s="1902">
        <v>31.463999999999999</v>
      </c>
      <c r="D10250" s="3196">
        <v>52.83</v>
      </c>
      <c r="E10250" s="3025">
        <v>0.67906178489702529</v>
      </c>
      <c r="F10250" s="3198">
        <v>0.05</v>
      </c>
      <c r="G10250" s="78"/>
      <c r="H10250" t="str">
        <f>VLOOKUP(B10250,indexy!$A$44:$D$823,3,FALSE)</f>
        <v>BMY UN Equity</v>
      </c>
    </row>
    <row r="10251" spans="1:8" hidden="1" outlineLevel="1" x14ac:dyDescent="0.25">
      <c r="A10251" s="1920">
        <v>0.02</v>
      </c>
      <c r="B10251" s="3187" t="s">
        <v>3954</v>
      </c>
      <c r="C10251" s="1902">
        <v>72.292000000000002</v>
      </c>
      <c r="D10251" s="3196">
        <v>112.17</v>
      </c>
      <c r="E10251" s="3025">
        <v>0.55162396945720138</v>
      </c>
      <c r="F10251" s="3198">
        <v>0.05</v>
      </c>
      <c r="G10251" s="78"/>
      <c r="H10251" t="str">
        <f>VLOOKUP(B10251,indexy!$A$44:$D$823,3,FALSE)</f>
        <v>CM CT Equity</v>
      </c>
    </row>
    <row r="10252" spans="1:8" hidden="1" outlineLevel="1" x14ac:dyDescent="0.25">
      <c r="A10252" s="1920">
        <v>0.05</v>
      </c>
      <c r="B10252" s="1813" t="s">
        <v>1319</v>
      </c>
      <c r="C10252" s="1902">
        <v>58.892000000000003</v>
      </c>
      <c r="D10252" s="3196">
        <v>78.53</v>
      </c>
      <c r="E10252" s="3025">
        <v>0.33345785505671399</v>
      </c>
      <c r="F10252" s="3198">
        <v>0.05</v>
      </c>
      <c r="G10252" s="78"/>
      <c r="H10252" t="str">
        <f>VLOOKUP(B10252,indexy!$A$44:$D$823,3,FALSE)</f>
        <v>ED UN Equity</v>
      </c>
    </row>
    <row r="10253" spans="1:8" hidden="1" outlineLevel="1" x14ac:dyDescent="0.25">
      <c r="A10253" s="1920">
        <v>0.02</v>
      </c>
      <c r="B10253" s="1813" t="s">
        <v>5090</v>
      </c>
      <c r="C10253" s="1902">
        <v>3055</v>
      </c>
      <c r="D10253" s="3196">
        <v>5635</v>
      </c>
      <c r="E10253" s="3025">
        <v>0.84451718494271688</v>
      </c>
      <c r="F10253" s="3198">
        <v>0.05</v>
      </c>
      <c r="G10253" s="78"/>
      <c r="H10253" t="str">
        <f>VLOOKUP(B10253,indexy!$A$44:$D$823,3,FALSE)</f>
        <v>4523 JT Equity</v>
      </c>
    </row>
    <row r="10254" spans="1:8" hidden="1" outlineLevel="1" x14ac:dyDescent="0.25">
      <c r="A10254" s="1920">
        <v>0.02</v>
      </c>
      <c r="B10254" s="3028" t="s">
        <v>5824</v>
      </c>
      <c r="C10254" s="1902">
        <v>12.56</v>
      </c>
      <c r="D10254" s="3196">
        <v>14.15</v>
      </c>
      <c r="E10254" s="3025">
        <v>0.12659235668789814</v>
      </c>
      <c r="F10254" s="3198">
        <v>0.05</v>
      </c>
      <c r="G10254" s="78"/>
      <c r="H10254" t="str">
        <f>VLOOKUP(B10254,indexy!$A$44:$D$823,3,FALSE)</f>
        <v>ORA FP Equity</v>
      </c>
    </row>
    <row r="10255" spans="1:8" hidden="1" outlineLevel="1" x14ac:dyDescent="0.25">
      <c r="A10255" s="1920">
        <v>0.02</v>
      </c>
      <c r="B10255" s="1903" t="s">
        <v>3799</v>
      </c>
      <c r="C10255" s="1902">
        <v>1386.7</v>
      </c>
      <c r="D10255" s="3196">
        <v>1647</v>
      </c>
      <c r="E10255" s="3025">
        <v>0.18771183385014778</v>
      </c>
      <c r="F10255" s="3198">
        <v>0.05</v>
      </c>
      <c r="G10255" s="78"/>
      <c r="H10255" t="str">
        <f>VLOOKUP(B10255,indexy!$A$44:$D$823,3,FALSE)</f>
        <v>GSK LN Equity</v>
      </c>
    </row>
    <row r="10256" spans="1:8" hidden="1" outlineLevel="1" x14ac:dyDescent="0.25">
      <c r="A10256" s="1920">
        <v>0.02</v>
      </c>
      <c r="B10256" s="1813" t="s">
        <v>1381</v>
      </c>
      <c r="C10256" s="1902">
        <v>70.674000000000007</v>
      </c>
      <c r="D10256" s="3196">
        <v>132.66999999999999</v>
      </c>
      <c r="E10256" s="3025">
        <v>0.87721085547726152</v>
      </c>
      <c r="F10256" s="3198">
        <v>0.05</v>
      </c>
      <c r="G10256" s="78"/>
      <c r="H10256" t="str">
        <f>VLOOKUP(B10256,indexy!$A$44:$D$823,3,FALSE)</f>
        <v>KMB UN Equity</v>
      </c>
    </row>
    <row r="10257" spans="1:8" hidden="1" outlineLevel="1" x14ac:dyDescent="0.25">
      <c r="A10257" s="1920">
        <v>0.08</v>
      </c>
      <c r="B10257" s="1813" t="s">
        <v>4143</v>
      </c>
      <c r="C10257" s="1902">
        <v>9.6486000000000001</v>
      </c>
      <c r="D10257" s="3196">
        <v>2.7850000000000001</v>
      </c>
      <c r="E10257" s="3025">
        <v>-0.71135708807495379</v>
      </c>
      <c r="F10257" s="3198">
        <v>-0.71135708807495379</v>
      </c>
      <c r="G10257" s="78"/>
      <c r="H10257" t="str">
        <f>VLOOKUP(B10257,indexy!$A$44:$D$823,3,FALSE)</f>
        <v>KPN NA Equity</v>
      </c>
    </row>
    <row r="10258" spans="1:8" hidden="1" outlineLevel="1" x14ac:dyDescent="0.25">
      <c r="A10258" s="1920">
        <v>0.02</v>
      </c>
      <c r="B10258" s="2965" t="s">
        <v>7573</v>
      </c>
      <c r="C10258" s="1902">
        <v>35.274000000000001</v>
      </c>
      <c r="D10258" s="3196">
        <v>91.5</v>
      </c>
      <c r="E10258" s="3025">
        <v>1.5939785677836364</v>
      </c>
      <c r="F10258" s="3198">
        <v>0.05</v>
      </c>
      <c r="G10258" s="78"/>
      <c r="H10258" t="str">
        <f>VLOOKUP(B10258,indexy!$A$44:$D$823,3,FALSE)</f>
        <v>KHC UW Equity</v>
      </c>
    </row>
    <row r="10259" spans="1:8" hidden="1" outlineLevel="1" x14ac:dyDescent="0.25">
      <c r="A10259" s="1920">
        <v>0.02</v>
      </c>
      <c r="B10259" s="1813" t="s">
        <v>1905</v>
      </c>
      <c r="C10259" s="1902">
        <v>34.975999999999999</v>
      </c>
      <c r="D10259" s="3196">
        <v>62.61</v>
      </c>
      <c r="E10259" s="3025">
        <v>0.7900846294602013</v>
      </c>
      <c r="F10259" s="3198">
        <v>0.05</v>
      </c>
      <c r="G10259" s="78"/>
      <c r="H10259" t="str">
        <f>VLOOKUP(B10259,indexy!$A$44:$D$823,3,FALSE)</f>
        <v>MRK UN Equity</v>
      </c>
    </row>
    <row r="10260" spans="1:8" hidden="1" outlineLevel="1" x14ac:dyDescent="0.25">
      <c r="A10260" s="1920">
        <v>0.02</v>
      </c>
      <c r="B10260" s="1813" t="s">
        <v>2786</v>
      </c>
      <c r="C10260" s="1902">
        <v>621.1</v>
      </c>
      <c r="D10260" s="3196">
        <v>1036</v>
      </c>
      <c r="E10260" s="3025">
        <v>0.66800837224279497</v>
      </c>
      <c r="F10260" s="3198">
        <v>0.05</v>
      </c>
      <c r="G10260" s="78"/>
      <c r="H10260" t="str">
        <f>VLOOKUP(B10260,indexy!$A$44:$D$823,3,FALSE)</f>
        <v>NG/ LN Equity</v>
      </c>
    </row>
    <row r="10261" spans="1:8" hidden="1" outlineLevel="1" x14ac:dyDescent="0.25">
      <c r="A10261" s="1920">
        <v>0.08</v>
      </c>
      <c r="B10261" s="1813" t="s">
        <v>2787</v>
      </c>
      <c r="C10261" s="1902">
        <v>49.954000000000001</v>
      </c>
      <c r="D10261" s="3196">
        <v>73.900000000000006</v>
      </c>
      <c r="E10261" s="3025">
        <v>0.47936101213116067</v>
      </c>
      <c r="F10261" s="3198">
        <v>0.05</v>
      </c>
      <c r="G10261" s="78"/>
      <c r="H10261" t="str">
        <f>VLOOKUP(B10261,indexy!$A$44:$D$823,3,FALSE)</f>
        <v>NOVN SE Equity</v>
      </c>
    </row>
    <row r="10262" spans="1:8" hidden="1" outlineLevel="1" x14ac:dyDescent="0.25">
      <c r="A10262" s="1920">
        <v>0.02</v>
      </c>
      <c r="B10262" s="1813" t="s">
        <v>5121</v>
      </c>
      <c r="C10262" s="1902">
        <v>539.5</v>
      </c>
      <c r="D10262" s="3196">
        <v>1583</v>
      </c>
      <c r="E10262" s="3025">
        <v>1.9341983317886933</v>
      </c>
      <c r="F10262" s="3198">
        <v>0.05</v>
      </c>
      <c r="G10262" s="78"/>
      <c r="H10262" t="str">
        <f>VLOOKUP(B10262,indexy!$A$44:$D$823,3,FALSE)</f>
        <v>REL LN Equity</v>
      </c>
    </row>
    <row r="10263" spans="1:8" hidden="1" outlineLevel="1" x14ac:dyDescent="0.25">
      <c r="A10263" s="1920">
        <v>0.08</v>
      </c>
      <c r="B10263" s="1813" t="s">
        <v>3800</v>
      </c>
      <c r="C10263" s="1902">
        <v>141.13999999999999</v>
      </c>
      <c r="D10263" s="3196">
        <v>256.7</v>
      </c>
      <c r="E10263" s="3025">
        <v>0.81876151339095937</v>
      </c>
      <c r="F10263" s="3198">
        <v>0.05</v>
      </c>
      <c r="G10263" s="78"/>
      <c r="H10263" t="str">
        <f>VLOOKUP(B10263,indexy!$A$44:$D$823,3,FALSE)</f>
        <v>ROG SE Equity</v>
      </c>
    </row>
    <row r="10264" spans="1:8" hidden="1" outlineLevel="1" x14ac:dyDescent="0.25">
      <c r="A10264" s="1920">
        <v>0.02</v>
      </c>
      <c r="B10264" s="1903" t="s">
        <v>4460</v>
      </c>
      <c r="C10264" s="1902">
        <v>1580.2</v>
      </c>
      <c r="D10264" s="3196">
        <v>2444</v>
      </c>
      <c r="E10264" s="3025">
        <v>0.54663966586508028</v>
      </c>
      <c r="F10264" s="3198">
        <v>0.05</v>
      </c>
      <c r="G10264" s="78"/>
      <c r="H10264" t="str">
        <f>VLOOKUP(B10264,indexy!$A$44:$D$823,3,FALSE)</f>
        <v>SVT LN Equity</v>
      </c>
    </row>
    <row r="10265" spans="1:8" hidden="1" outlineLevel="1" x14ac:dyDescent="0.25">
      <c r="A10265" s="1920">
        <v>0.05</v>
      </c>
      <c r="B10265" s="1928" t="s">
        <v>1857</v>
      </c>
      <c r="C10265" s="1902">
        <v>1319.2</v>
      </c>
      <c r="D10265" s="3196">
        <v>1495</v>
      </c>
      <c r="E10265" s="3025">
        <v>0.13326258338386898</v>
      </c>
      <c r="F10265" s="3198">
        <v>0.05</v>
      </c>
      <c r="G10265" s="78"/>
      <c r="H10265" t="str">
        <f>VLOOKUP(B10265,indexy!$A$44:$D$823,3,FALSE)</f>
        <v>SSE LN Equity</v>
      </c>
    </row>
    <row r="10266" spans="1:8" hidden="1" outlineLevel="1" x14ac:dyDescent="0.25">
      <c r="A10266" s="1920">
        <v>0.02</v>
      </c>
      <c r="B10266" s="3187" t="s">
        <v>494</v>
      </c>
      <c r="C10266" s="1902">
        <v>74.099999999999994</v>
      </c>
      <c r="D10266" s="3196">
        <v>191.5</v>
      </c>
      <c r="E10266" s="3025">
        <v>1.5843454790823213</v>
      </c>
      <c r="F10266" s="3198">
        <v>0.05</v>
      </c>
      <c r="G10266" s="78"/>
      <c r="H10266" t="str">
        <f>VLOOKUP(B10266,indexy!$A$44:$D$823,3,FALSE)</f>
        <v>2330 TT Equity</v>
      </c>
    </row>
    <row r="10267" spans="1:8" hidden="1" outlineLevel="1" x14ac:dyDescent="0.25">
      <c r="A10267" s="1920">
        <v>0.02</v>
      </c>
      <c r="B10267" s="1813" t="s">
        <v>3022</v>
      </c>
      <c r="C10267" s="1902">
        <v>3367</v>
      </c>
      <c r="D10267" s="3196">
        <v>5186</v>
      </c>
      <c r="E10267" s="3025">
        <v>0.54024354024354015</v>
      </c>
      <c r="F10267" s="3198">
        <v>0.05</v>
      </c>
      <c r="G10267" s="78"/>
      <c r="H10267" t="str">
        <f>VLOOKUP(B10267,indexy!$A$44:$D$823,3,FALSE)</f>
        <v>4502 JT Equity</v>
      </c>
    </row>
    <row r="10268" spans="1:8" hidden="1" outlineLevel="1" x14ac:dyDescent="0.25">
      <c r="A10268" s="1920">
        <v>0.02</v>
      </c>
      <c r="B10268" s="1813" t="s">
        <v>577</v>
      </c>
      <c r="C10268" s="1902">
        <v>14.002000000000001</v>
      </c>
      <c r="D10268" s="3196">
        <v>10.234999999999999</v>
      </c>
      <c r="E10268" s="3025">
        <v>-0.26903299528638769</v>
      </c>
      <c r="F10268" s="3198">
        <v>-0.26903299528638769</v>
      </c>
      <c r="G10268" s="78"/>
      <c r="H10268" t="str">
        <f>VLOOKUP(B10268,indexy!$A$44:$D$823,3,FALSE)</f>
        <v>TEF SQ Equity</v>
      </c>
    </row>
    <row r="10269" spans="1:8" hidden="1" outlineLevel="1" x14ac:dyDescent="0.25">
      <c r="A10269" s="1920">
        <v>0.05</v>
      </c>
      <c r="B10269" s="1813" t="s">
        <v>434</v>
      </c>
      <c r="C10269" s="1902">
        <v>44.351999999999997</v>
      </c>
      <c r="D10269" s="3196">
        <v>35.770000000000003</v>
      </c>
      <c r="E10269" s="3025">
        <v>-0.19349747474747458</v>
      </c>
      <c r="F10269" s="3198">
        <v>-0.19349747474747458</v>
      </c>
      <c r="G10269" s="78"/>
      <c r="H10269" t="str">
        <f>VLOOKUP(B10269,indexy!$A$44:$D$823,3,FALSE)</f>
        <v>TELIA SS Equity</v>
      </c>
    </row>
    <row r="10270" spans="1:8" hidden="1" outlineLevel="1" x14ac:dyDescent="0.25">
      <c r="A10270" s="1920">
        <v>0.03</v>
      </c>
      <c r="B10270" s="2544" t="s">
        <v>106</v>
      </c>
      <c r="C10270" s="1902">
        <v>2066.1999999999998</v>
      </c>
      <c r="D10270" s="3196">
        <v>4033.5</v>
      </c>
      <c r="E10270" s="3025">
        <v>0.95213435291840121</v>
      </c>
      <c r="F10270" s="3198">
        <v>0.05</v>
      </c>
      <c r="G10270" s="78"/>
      <c r="H10270" t="str">
        <f>VLOOKUP(B10270,indexy!$A$44:$D$823,3,FALSE)</f>
        <v>ULVR LN Equity</v>
      </c>
    </row>
    <row r="10271" spans="1:8" hidden="1" outlineLevel="1" x14ac:dyDescent="0.25">
      <c r="A10271" s="1920">
        <v>0.02</v>
      </c>
      <c r="B10271" s="2544" t="s">
        <v>2983</v>
      </c>
      <c r="C10271" s="1902">
        <v>622.20000000000005</v>
      </c>
      <c r="D10271" s="3196">
        <v>1014</v>
      </c>
      <c r="E10271" s="3025">
        <v>0.62970106075216958</v>
      </c>
      <c r="F10271" s="3198">
        <v>0.05</v>
      </c>
      <c r="G10271" s="78"/>
      <c r="H10271" t="str">
        <f>VLOOKUP(B10271,indexy!$A$44:$D$823,3,FALSE)</f>
        <v>UU/ LN Equity</v>
      </c>
    </row>
    <row r="10272" spans="1:8" hidden="1" outlineLevel="1" x14ac:dyDescent="0.25">
      <c r="A10272" s="1920">
        <v>0.02</v>
      </c>
      <c r="B10272" s="1903" t="s">
        <v>255</v>
      </c>
      <c r="C10272" s="1902">
        <v>37.252000000000002</v>
      </c>
      <c r="D10272" s="3196">
        <v>48.62</v>
      </c>
      <c r="E10272" s="3025">
        <v>0.30516482336518824</v>
      </c>
      <c r="F10272" s="3198">
        <v>0.05</v>
      </c>
      <c r="G10272" s="78"/>
      <c r="H10272" t="str">
        <f>VLOOKUP(B10272,indexy!$A$44:$D$823,3,FALSE)</f>
        <v>VZ UN Equity</v>
      </c>
    </row>
    <row r="10273" spans="1:8" hidden="1" outlineLevel="1" x14ac:dyDescent="0.25">
      <c r="A10273" s="1920">
        <v>0.02</v>
      </c>
      <c r="B10273" s="2628" t="s">
        <v>579</v>
      </c>
      <c r="C10273" s="1902">
        <v>178.66</v>
      </c>
      <c r="D10273" s="3196">
        <v>204</v>
      </c>
      <c r="E10273" s="3025">
        <v>0.14183365050934738</v>
      </c>
      <c r="F10273" s="3198">
        <v>0.05</v>
      </c>
      <c r="G10273" s="78"/>
      <c r="H10273" t="str">
        <f>VLOOKUP(B10273,indexy!$A$44:$D$823,3,FALSE)</f>
        <v>VOD LN Equity</v>
      </c>
    </row>
    <row r="10274" spans="1:8" hidden="1" outlineLevel="1" x14ac:dyDescent="0.25">
      <c r="A10274" s="1920">
        <v>0.02</v>
      </c>
      <c r="B10274" s="1813" t="s">
        <v>4550</v>
      </c>
      <c r="C10274" s="1902">
        <v>199.2</v>
      </c>
      <c r="D10274" s="3196">
        <v>266.7</v>
      </c>
      <c r="E10274" s="3025">
        <v>0.33885542168674698</v>
      </c>
      <c r="F10274" s="3198">
        <v>0.05</v>
      </c>
      <c r="G10274" s="78"/>
      <c r="H10274" t="str">
        <f>VLOOKUP(B10274,indexy!$A$44:$D$823,3,FALSE)</f>
        <v>ZURN SE Equity</v>
      </c>
    </row>
    <row r="10275" spans="1:8" hidden="1" outlineLevel="1" x14ac:dyDescent="0.25">
      <c r="A10275" s="1897" t="s">
        <v>2465</v>
      </c>
      <c r="B10275" s="1931"/>
      <c r="C10275" s="1932"/>
      <c r="D10275" s="3030"/>
      <c r="E10275" s="3078">
        <v>0.54074217501013544</v>
      </c>
      <c r="F10275" s="3385">
        <v>-2.9464100689097772E-2</v>
      </c>
      <c r="G10275" s="78"/>
    </row>
    <row r="10276" spans="1:8" hidden="1" outlineLevel="1" x14ac:dyDescent="0.25">
      <c r="A10276" s="3182"/>
      <c r="B10276" s="3183"/>
      <c r="C10276" s="3183"/>
      <c r="D10276" s="3183"/>
      <c r="E10276" s="3183"/>
      <c r="F10276" s="3404"/>
      <c r="G10276" s="78"/>
    </row>
    <row r="10277" spans="1:8" hidden="1" outlineLevel="1" x14ac:dyDescent="0.25">
      <c r="A10277" s="2986" t="s">
        <v>113</v>
      </c>
      <c r="B10277" s="2986"/>
      <c r="C10277" s="2987"/>
      <c r="D10277" s="2987"/>
      <c r="E10277" s="3146"/>
      <c r="F10277" s="2989"/>
      <c r="G10277" s="78"/>
    </row>
    <row r="10278" spans="1:8" hidden="1" outlineLevel="1" x14ac:dyDescent="0.25">
      <c r="A10278" s="1810" t="s">
        <v>5085</v>
      </c>
      <c r="B10278" s="3182"/>
      <c r="C10278" s="3183"/>
      <c r="D10278" s="3183"/>
      <c r="E10278" s="2992"/>
      <c r="F10278" s="3193">
        <v>2.5000000000000001E-2</v>
      </c>
      <c r="G10278" s="78"/>
    </row>
    <row r="10279" spans="1:8" hidden="1" outlineLevel="1" x14ac:dyDescent="0.25">
      <c r="A10279" s="1810" t="s">
        <v>5086</v>
      </c>
      <c r="B10279" s="3028"/>
      <c r="C10279" s="3187"/>
      <c r="D10279" s="3187"/>
      <c r="E10279" s="2199"/>
      <c r="F10279" s="3198">
        <v>0</v>
      </c>
      <c r="G10279" s="78"/>
    </row>
    <row r="10280" spans="1:8" hidden="1" outlineLevel="1" x14ac:dyDescent="0.25">
      <c r="A10280" s="1810" t="s">
        <v>5087</v>
      </c>
      <c r="B10280" s="3028"/>
      <c r="C10280" s="3187"/>
      <c r="D10280" s="3187"/>
      <c r="E10280" s="2199"/>
      <c r="F10280" s="3198">
        <v>0</v>
      </c>
      <c r="G10280" s="78"/>
    </row>
    <row r="10281" spans="1:8" hidden="1" outlineLevel="1" x14ac:dyDescent="0.25">
      <c r="A10281" s="1810" t="s">
        <v>5088</v>
      </c>
      <c r="B10281" s="3028"/>
      <c r="C10281" s="3187"/>
      <c r="D10281" s="3187"/>
      <c r="E10281" s="2199"/>
      <c r="F10281" s="3198">
        <v>4.116000000000071E-3</v>
      </c>
      <c r="G10281" s="78"/>
    </row>
    <row r="10282" spans="1:8" hidden="1" outlineLevel="1" x14ac:dyDescent="0.25">
      <c r="A10282" s="1810" t="s">
        <v>5089</v>
      </c>
      <c r="B10282" s="3039"/>
      <c r="C10282" s="3146"/>
      <c r="D10282" s="3146"/>
      <c r="E10282" s="2997">
        <v>-8.7879999999999833E-3</v>
      </c>
      <c r="F10282" s="2989">
        <v>0</v>
      </c>
      <c r="G10282" s="78"/>
    </row>
    <row r="10283" spans="1:8" collapsed="1" x14ac:dyDescent="0.25">
      <c r="A10283" s="3803" t="s">
        <v>5093</v>
      </c>
      <c r="B10283" s="3804"/>
      <c r="C10283" s="3804"/>
      <c r="D10283" s="3042"/>
      <c r="E10283" s="3042"/>
      <c r="F10283" s="3205">
        <f>MAX(SUM(F10278:F10282),parametry!M766)</f>
        <v>2.9116000000000072E-2</v>
      </c>
      <c r="G10283" s="78"/>
    </row>
    <row r="10285" spans="1:8" hidden="1" outlineLevel="1" x14ac:dyDescent="0.25">
      <c r="A10285" s="3180" t="s">
        <v>113</v>
      </c>
      <c r="B10285" s="3180" t="s">
        <v>114</v>
      </c>
      <c r="C10285" s="3180" t="s">
        <v>112</v>
      </c>
      <c r="D10285" s="3180" t="s">
        <v>116</v>
      </c>
      <c r="E10285" s="3180" t="s">
        <v>117</v>
      </c>
      <c r="F10285" s="3181" t="s">
        <v>121</v>
      </c>
      <c r="G10285" s="78"/>
    </row>
    <row r="10286" spans="1:8" hidden="1" outlineLevel="1" x14ac:dyDescent="0.25">
      <c r="A10286" s="3182">
        <v>12</v>
      </c>
      <c r="B10286" s="3183" t="s">
        <v>252</v>
      </c>
      <c r="C10286" s="3184">
        <v>100</v>
      </c>
      <c r="D10286" s="3184"/>
      <c r="E10286" s="3403"/>
      <c r="F10286" s="3400"/>
      <c r="G10286" s="78"/>
    </row>
    <row r="10287" spans="1:8" hidden="1" outlineLevel="1" x14ac:dyDescent="0.25">
      <c r="A10287" s="3187"/>
      <c r="B10287" s="3187"/>
      <c r="C10287" s="3188"/>
      <c r="D10287" s="1900" t="s">
        <v>3702</v>
      </c>
      <c r="E10287" s="3189">
        <f>indexy!$B$2</f>
        <v>45379</v>
      </c>
      <c r="F10287" s="3402"/>
      <c r="G10287" s="78"/>
    </row>
    <row r="10288" spans="1:8" hidden="1" outlineLevel="1" x14ac:dyDescent="0.25">
      <c r="A10288" s="3180" t="s">
        <v>4156</v>
      </c>
      <c r="B10288" s="3180" t="s">
        <v>4153</v>
      </c>
      <c r="C10288" s="3406" t="s">
        <v>112</v>
      </c>
      <c r="D10288" s="3180" t="s">
        <v>4155</v>
      </c>
      <c r="E10288" s="3180" t="s">
        <v>4154</v>
      </c>
      <c r="F10288" s="3193" t="s">
        <v>2519</v>
      </c>
      <c r="G10288" s="78"/>
    </row>
    <row r="10289" spans="1:11" hidden="1" outlineLevel="1" x14ac:dyDescent="0.25">
      <c r="A10289" s="3407">
        <v>0.05</v>
      </c>
      <c r="B10289" s="1813" t="s">
        <v>5108</v>
      </c>
      <c r="C10289" s="3408">
        <v>41.77</v>
      </c>
      <c r="D10289" s="3194">
        <v>13.1</v>
      </c>
      <c r="E10289" s="3195">
        <v>-0.68637778309791719</v>
      </c>
      <c r="F10289" s="3193">
        <v>-3.4318889154895858E-2</v>
      </c>
      <c r="G10289" s="78"/>
      <c r="H10289" t="s">
        <v>5109</v>
      </c>
      <c r="I10289" s="39"/>
    </row>
    <row r="10290" spans="1:11" hidden="1" outlineLevel="1" x14ac:dyDescent="0.25">
      <c r="A10290" s="2909">
        <v>0.02</v>
      </c>
      <c r="B10290" s="1813" t="s">
        <v>157</v>
      </c>
      <c r="C10290" s="3409">
        <v>7.3979999999999997</v>
      </c>
      <c r="D10290" s="3196">
        <v>4.9589999999999996</v>
      </c>
      <c r="E10290" s="3197">
        <v>-0.32968369829683697</v>
      </c>
      <c r="F10290" s="3198">
        <v>-6.5936739659367399E-3</v>
      </c>
      <c r="G10290" s="78"/>
      <c r="H10290" t="s">
        <v>730</v>
      </c>
      <c r="I10290" s="39"/>
      <c r="K10290" s="68"/>
    </row>
    <row r="10291" spans="1:11" hidden="1" outlineLevel="1" x14ac:dyDescent="0.25">
      <c r="A10291" s="2909">
        <v>0.08</v>
      </c>
      <c r="B10291" s="1903" t="s">
        <v>4377</v>
      </c>
      <c r="C10291" s="3409">
        <v>28.984999999999999</v>
      </c>
      <c r="D10291" s="3196">
        <v>58.44</v>
      </c>
      <c r="E10291" s="3197">
        <v>1.0162152837674658</v>
      </c>
      <c r="F10291" s="3198">
        <v>8.1297222701397262E-2</v>
      </c>
      <c r="G10291" s="78"/>
      <c r="H10291" t="s">
        <v>4327</v>
      </c>
      <c r="I10291" s="39"/>
      <c r="K10291" s="68"/>
    </row>
    <row r="10292" spans="1:11" hidden="1" outlineLevel="1" x14ac:dyDescent="0.25">
      <c r="A10292" s="2909">
        <v>0.05</v>
      </c>
      <c r="B10292" s="1813" t="s">
        <v>901</v>
      </c>
      <c r="C10292" s="3409">
        <v>2797.75</v>
      </c>
      <c r="D10292" s="3196">
        <v>4621.5</v>
      </c>
      <c r="E10292" s="3197">
        <v>0.6518631042802252</v>
      </c>
      <c r="F10292" s="3198">
        <v>3.2593155214011259E-2</v>
      </c>
      <c r="G10292" s="78"/>
      <c r="H10292" t="s">
        <v>531</v>
      </c>
      <c r="I10292" s="39"/>
      <c r="K10292" s="68"/>
    </row>
    <row r="10293" spans="1:11" hidden="1" outlineLevel="1" x14ac:dyDescent="0.25">
      <c r="A10293" s="2909">
        <v>0.05</v>
      </c>
      <c r="B10293" s="1813" t="s">
        <v>428</v>
      </c>
      <c r="C10293" s="3409">
        <v>72.55</v>
      </c>
      <c r="D10293" s="3196">
        <v>82.2</v>
      </c>
      <c r="E10293" s="3197">
        <v>0.13301171605789119</v>
      </c>
      <c r="F10293" s="3198">
        <v>6.6505858028945604E-3</v>
      </c>
      <c r="G10293" s="78"/>
      <c r="H10293" t="s">
        <v>1909</v>
      </c>
      <c r="I10293" s="39"/>
      <c r="K10293" s="68"/>
    </row>
    <row r="10294" spans="1:11" hidden="1" outlineLevel="1" x14ac:dyDescent="0.25">
      <c r="A10294" s="2909">
        <v>0.05</v>
      </c>
      <c r="B10294" s="2628" t="s">
        <v>2699</v>
      </c>
      <c r="C10294" s="3409">
        <v>12.629</v>
      </c>
      <c r="D10294" s="3196">
        <v>31.234999999999999</v>
      </c>
      <c r="E10294" s="3197">
        <v>1.4732757938079026</v>
      </c>
      <c r="F10294" s="3198">
        <v>7.3663789690395137E-2</v>
      </c>
      <c r="G10294" s="78"/>
      <c r="H10294" t="s">
        <v>505</v>
      </c>
      <c r="I10294" s="39"/>
      <c r="K10294" s="68"/>
    </row>
    <row r="10295" spans="1:11" hidden="1" outlineLevel="1" x14ac:dyDescent="0.25">
      <c r="A10295" s="2909">
        <v>0.05</v>
      </c>
      <c r="B10295" s="1813" t="s">
        <v>3798</v>
      </c>
      <c r="C10295" s="3409">
        <v>4.1340000000000003</v>
      </c>
      <c r="D10295" s="3196">
        <v>4.1879999999999997</v>
      </c>
      <c r="E10295" s="3197">
        <v>1.3062409288824295E-2</v>
      </c>
      <c r="F10295" s="3198">
        <v>6.5312046444121474E-4</v>
      </c>
      <c r="G10295" s="78"/>
      <c r="H10295" t="s">
        <v>4122</v>
      </c>
      <c r="I10295" s="39"/>
      <c r="K10295" s="68"/>
    </row>
    <row r="10296" spans="1:11" hidden="1" outlineLevel="1" x14ac:dyDescent="0.25">
      <c r="A10296" s="2909">
        <v>0.02</v>
      </c>
      <c r="B10296" s="1813" t="s">
        <v>7574</v>
      </c>
      <c r="C10296" s="3409">
        <v>55.219047459227916</v>
      </c>
      <c r="D10296" s="3196">
        <v>53.65</v>
      </c>
      <c r="E10296" s="3197">
        <v>-2.8414967867499974E-2</v>
      </c>
      <c r="F10296" s="3198">
        <v>-5.682993573499995E-4</v>
      </c>
      <c r="G10296" s="78"/>
      <c r="H10296" t="s">
        <v>7744</v>
      </c>
      <c r="I10296" s="39"/>
      <c r="K10296" s="68"/>
    </row>
    <row r="10297" spans="1:11" hidden="1" outlineLevel="1" x14ac:dyDescent="0.25">
      <c r="A10297" s="2909">
        <v>0.05</v>
      </c>
      <c r="B10297" s="1813" t="s">
        <v>1771</v>
      </c>
      <c r="C10297" s="3409">
        <v>606.14</v>
      </c>
      <c r="D10297" s="3196">
        <v>656.9</v>
      </c>
      <c r="E10297" s="3197">
        <v>8.3743029663114088E-2</v>
      </c>
      <c r="F10297" s="3198">
        <v>4.1871514831557047E-3</v>
      </c>
      <c r="G10297" s="78"/>
      <c r="H10297" t="s">
        <v>4329</v>
      </c>
      <c r="I10297" s="39"/>
      <c r="K10297" s="68"/>
    </row>
    <row r="10298" spans="1:11" hidden="1" outlineLevel="1" x14ac:dyDescent="0.25">
      <c r="A10298" s="2909">
        <v>0.05</v>
      </c>
      <c r="B10298" s="1813" t="s">
        <v>5112</v>
      </c>
      <c r="C10298" s="3409">
        <v>268.05</v>
      </c>
      <c r="D10298" s="3196">
        <v>216.5</v>
      </c>
      <c r="E10298" s="3197">
        <v>-0.19231486662936026</v>
      </c>
      <c r="F10298" s="3198">
        <v>-9.615743331468014E-3</v>
      </c>
      <c r="G10298" s="78"/>
      <c r="H10298" t="s">
        <v>5110</v>
      </c>
      <c r="I10298" s="39"/>
      <c r="K10298" s="68"/>
    </row>
    <row r="10299" spans="1:11" hidden="1" outlineLevel="1" x14ac:dyDescent="0.25">
      <c r="A10299" s="2909">
        <v>0.08</v>
      </c>
      <c r="B10299" s="1813" t="s">
        <v>3797</v>
      </c>
      <c r="C10299" s="3409">
        <v>51.69</v>
      </c>
      <c r="D10299" s="3196">
        <v>73.05</v>
      </c>
      <c r="E10299" s="3197">
        <v>0.41323273360417878</v>
      </c>
      <c r="F10299" s="3198">
        <v>3.3058618688334304E-2</v>
      </c>
      <c r="G10299" s="78"/>
      <c r="H10299" t="s">
        <v>3848</v>
      </c>
      <c r="I10299" s="39"/>
      <c r="K10299" s="68"/>
    </row>
    <row r="10300" spans="1:11" hidden="1" outlineLevel="1" x14ac:dyDescent="0.25">
      <c r="A10300" s="2909">
        <v>0.02</v>
      </c>
      <c r="B10300" s="1813" t="s">
        <v>1190</v>
      </c>
      <c r="C10300" s="3409">
        <v>4.1041999999999996</v>
      </c>
      <c r="D10300" s="3196">
        <v>4.7140000000000004</v>
      </c>
      <c r="E10300" s="3197">
        <v>0.14857950392281105</v>
      </c>
      <c r="F10300" s="3198">
        <v>2.9715900784562212E-3</v>
      </c>
      <c r="G10300" s="78"/>
      <c r="H10300" t="s">
        <v>7569</v>
      </c>
      <c r="I10300" s="39"/>
      <c r="K10300" s="68"/>
    </row>
    <row r="10301" spans="1:11" hidden="1" outlineLevel="1" x14ac:dyDescent="0.25">
      <c r="A10301" s="2909">
        <v>0.02</v>
      </c>
      <c r="B10301" s="1813" t="s">
        <v>4293</v>
      </c>
      <c r="C10301" s="3409">
        <v>658.65</v>
      </c>
      <c r="D10301" s="3196">
        <v>254.7</v>
      </c>
      <c r="E10301" s="3197">
        <v>-0.61329993167843311</v>
      </c>
      <c r="F10301" s="3198">
        <v>-1.2265998633568663E-2</v>
      </c>
      <c r="G10301" s="78"/>
      <c r="H10301" t="s">
        <v>1893</v>
      </c>
      <c r="I10301" s="39"/>
      <c r="K10301" s="68"/>
    </row>
    <row r="10302" spans="1:11" hidden="1" outlineLevel="1" x14ac:dyDescent="0.25">
      <c r="A10302" s="2909">
        <v>0.05</v>
      </c>
      <c r="B10302" s="1813" t="s">
        <v>1414</v>
      </c>
      <c r="C10302" s="3409">
        <v>19.957000000000001</v>
      </c>
      <c r="D10302" s="3196">
        <v>32.479999999999997</v>
      </c>
      <c r="E10302" s="3197">
        <v>0.62749912311469647</v>
      </c>
      <c r="F10302" s="3198">
        <v>3.1374956155734823E-2</v>
      </c>
      <c r="G10302" s="78"/>
      <c r="H10302" t="s">
        <v>2428</v>
      </c>
      <c r="I10302" s="39"/>
      <c r="K10302" s="68"/>
    </row>
    <row r="10303" spans="1:11" hidden="1" outlineLevel="1" x14ac:dyDescent="0.25">
      <c r="A10303" s="2909">
        <v>0.02</v>
      </c>
      <c r="B10303" s="1813" t="s">
        <v>309</v>
      </c>
      <c r="C10303" s="3409">
        <v>696.9</v>
      </c>
      <c r="D10303" s="3196">
        <v>1629.5</v>
      </c>
      <c r="E10303" s="3197">
        <v>1.338212082077773</v>
      </c>
      <c r="F10303" s="3198">
        <v>2.6764241641555459E-2</v>
      </c>
      <c r="G10303" s="78"/>
      <c r="H10303" t="s">
        <v>305</v>
      </c>
      <c r="I10303" s="39"/>
      <c r="K10303" s="68"/>
    </row>
    <row r="10304" spans="1:11" hidden="1" outlineLevel="1" x14ac:dyDescent="0.25">
      <c r="A10304" s="2909">
        <v>0.08</v>
      </c>
      <c r="B10304" s="1813" t="s">
        <v>3800</v>
      </c>
      <c r="C10304" s="3409">
        <v>136.81</v>
      </c>
      <c r="D10304" s="3196">
        <v>232.6</v>
      </c>
      <c r="E10304" s="3197">
        <v>0.7001681163657627</v>
      </c>
      <c r="F10304" s="3198">
        <v>5.6013449309261019E-2</v>
      </c>
      <c r="G10304" s="78"/>
      <c r="H10304" t="s">
        <v>2817</v>
      </c>
      <c r="I10304" s="39"/>
      <c r="K10304" s="68"/>
    </row>
    <row r="10305" spans="1:11" hidden="1" outlineLevel="1" x14ac:dyDescent="0.25">
      <c r="A10305" s="2909">
        <v>0.05</v>
      </c>
      <c r="B10305" s="1903" t="s">
        <v>1187</v>
      </c>
      <c r="C10305" s="3409">
        <v>54.85</v>
      </c>
      <c r="D10305" s="3196">
        <v>76.900000000000006</v>
      </c>
      <c r="E10305" s="3197">
        <v>0.40200546946216953</v>
      </c>
      <c r="F10305" s="3198">
        <v>2.0100273473108478E-2</v>
      </c>
      <c r="G10305" s="78"/>
      <c r="H10305" t="s">
        <v>3483</v>
      </c>
      <c r="I10305" s="39"/>
      <c r="K10305" s="68"/>
    </row>
    <row r="10306" spans="1:11" hidden="1" outlineLevel="1" x14ac:dyDescent="0.25">
      <c r="A10306" s="2909">
        <v>0.08</v>
      </c>
      <c r="B10306" s="1813" t="s">
        <v>577</v>
      </c>
      <c r="C10306" s="3409">
        <v>15.824999999999999</v>
      </c>
      <c r="D10306" s="3196">
        <v>8.82</v>
      </c>
      <c r="E10306" s="3197">
        <v>-0.44265402843601886</v>
      </c>
      <c r="F10306" s="3198">
        <v>-3.5412322274881509E-2</v>
      </c>
      <c r="G10306" s="78"/>
      <c r="H10306" t="s">
        <v>2804</v>
      </c>
      <c r="I10306" s="39"/>
      <c r="K10306" s="68"/>
    </row>
    <row r="10307" spans="1:11" hidden="1" outlineLevel="1" x14ac:dyDescent="0.25">
      <c r="A10307" s="2909">
        <v>0.05</v>
      </c>
      <c r="B10307" s="1813" t="s">
        <v>1183</v>
      </c>
      <c r="C10307" s="3409">
        <v>38.930500000000002</v>
      </c>
      <c r="D10307" s="3196">
        <v>48.72</v>
      </c>
      <c r="E10307" s="3197">
        <v>0.25146093679762638</v>
      </c>
      <c r="F10307" s="3198">
        <v>1.257304683988132E-2</v>
      </c>
      <c r="G10307" s="78"/>
      <c r="H10307" t="s">
        <v>2805</v>
      </c>
      <c r="I10307" s="39"/>
      <c r="K10307" s="68"/>
    </row>
    <row r="10308" spans="1:11" hidden="1" outlineLevel="1" x14ac:dyDescent="0.25">
      <c r="A10308" s="3405">
        <v>0.08</v>
      </c>
      <c r="B10308" s="3410" t="s">
        <v>579</v>
      </c>
      <c r="C10308" s="3411">
        <v>161.47</v>
      </c>
      <c r="D10308" s="3199">
        <v>199.85</v>
      </c>
      <c r="E10308" s="2695">
        <v>0.23769121198984333</v>
      </c>
      <c r="F10308" s="2989">
        <v>1.9015296959187467E-2</v>
      </c>
      <c r="G10308" s="78"/>
      <c r="H10308" t="s">
        <v>3611</v>
      </c>
      <c r="I10308" s="39"/>
      <c r="K10308" s="68"/>
    </row>
    <row r="10309" spans="1:11" hidden="1" outlineLevel="1" x14ac:dyDescent="0.25">
      <c r="A10309" s="2189"/>
      <c r="B10309" s="1813"/>
      <c r="C10309" s="3206"/>
      <c r="D10309" s="3206"/>
      <c r="E10309" s="2695"/>
      <c r="F10309" s="3405">
        <v>0.3347</v>
      </c>
      <c r="G10309" s="78"/>
      <c r="K10309" s="68"/>
    </row>
    <row r="10310" spans="1:11" hidden="1" outlineLevel="1" x14ac:dyDescent="0.25">
      <c r="A10310" s="2189"/>
      <c r="B10310" s="1813"/>
      <c r="C10310" s="3206"/>
      <c r="D10310" s="3206"/>
      <c r="E10310" s="2695"/>
      <c r="F10310" s="3405"/>
      <c r="G10310" s="78"/>
    </row>
    <row r="10311" spans="1:11" ht="13.8" hidden="1" outlineLevel="1" x14ac:dyDescent="0.3">
      <c r="A10311" s="1956" t="s">
        <v>5095</v>
      </c>
      <c r="B10311" s="3412">
        <v>42370</v>
      </c>
      <c r="C10311" s="3206">
        <v>100</v>
      </c>
      <c r="D10311" s="3413">
        <v>131.5616</v>
      </c>
      <c r="E10311" s="2695">
        <v>0.3156159999999999</v>
      </c>
      <c r="F10311" s="3205">
        <v>0.3156159999999999</v>
      </c>
      <c r="G10311" s="78"/>
    </row>
    <row r="10312" spans="1:11" ht="13.8" hidden="1" outlineLevel="1" x14ac:dyDescent="0.3">
      <c r="A10312" s="1956" t="s">
        <v>5096</v>
      </c>
      <c r="B10312" s="3414">
        <v>42401</v>
      </c>
      <c r="C10312" s="3206">
        <v>100</v>
      </c>
      <c r="D10312" s="3413">
        <v>127.76600000000001</v>
      </c>
      <c r="E10312" s="2695">
        <v>0.27766000000000002</v>
      </c>
      <c r="F10312" s="3205">
        <v>0.27766000000000002</v>
      </c>
      <c r="G10312" s="78"/>
    </row>
    <row r="10313" spans="1:11" hidden="1" outlineLevel="1" x14ac:dyDescent="0.25">
      <c r="A10313" s="1956" t="s">
        <v>5097</v>
      </c>
      <c r="B10313" s="3412">
        <v>42430</v>
      </c>
      <c r="C10313" s="3206">
        <v>100</v>
      </c>
      <c r="D10313" s="3206">
        <v>129.428</v>
      </c>
      <c r="E10313" s="2695">
        <v>0.29427999999999988</v>
      </c>
      <c r="F10313" s="3205">
        <v>0.29427999999999988</v>
      </c>
      <c r="G10313" s="78"/>
      <c r="H10313" s="84"/>
    </row>
    <row r="10314" spans="1:11" hidden="1" outlineLevel="1" x14ac:dyDescent="0.25">
      <c r="A10314" s="1956" t="s">
        <v>5098</v>
      </c>
      <c r="B10314" s="3414">
        <v>42461</v>
      </c>
      <c r="C10314" s="3206">
        <v>100</v>
      </c>
      <c r="D10314" s="3206">
        <v>134.20249999999999</v>
      </c>
      <c r="E10314" s="2695">
        <v>0.3420249999999998</v>
      </c>
      <c r="F10314" s="3205">
        <v>0.3420249999999998</v>
      </c>
      <c r="G10314" s="78"/>
      <c r="H10314" s="84"/>
    </row>
    <row r="10315" spans="1:11" hidden="1" outlineLevel="1" x14ac:dyDescent="0.25">
      <c r="A10315" s="1956" t="s">
        <v>5099</v>
      </c>
      <c r="B10315" s="3412">
        <v>42491</v>
      </c>
      <c r="C10315" s="3206">
        <v>100</v>
      </c>
      <c r="D10315" s="3206">
        <v>136.91059999999999</v>
      </c>
      <c r="E10315" s="2695">
        <v>0.36910599999999993</v>
      </c>
      <c r="F10315" s="3205">
        <v>0.36910599999999993</v>
      </c>
      <c r="G10315" s="78"/>
      <c r="H10315" s="84"/>
    </row>
    <row r="10316" spans="1:11" hidden="1" outlineLevel="1" x14ac:dyDescent="0.25">
      <c r="A10316" s="1956" t="s">
        <v>5100</v>
      </c>
      <c r="B10316" s="3414">
        <v>42522</v>
      </c>
      <c r="C10316" s="3206">
        <v>100</v>
      </c>
      <c r="D10316" s="3206">
        <v>137.59719999999999</v>
      </c>
      <c r="E10316" s="2695">
        <v>0.37597199999999997</v>
      </c>
      <c r="F10316" s="3205">
        <v>0.37597199999999997</v>
      </c>
      <c r="G10316" s="78"/>
      <c r="H10316" s="21"/>
    </row>
    <row r="10317" spans="1:11" hidden="1" outlineLevel="1" x14ac:dyDescent="0.25">
      <c r="A10317" s="1956" t="s">
        <v>5101</v>
      </c>
      <c r="B10317" s="3412">
        <v>42552</v>
      </c>
      <c r="C10317" s="3206">
        <v>100</v>
      </c>
      <c r="D10317" s="3206">
        <v>140.8646</v>
      </c>
      <c r="E10317" s="2695">
        <v>0.40864600000000006</v>
      </c>
      <c r="F10317" s="3205">
        <v>0.40864600000000006</v>
      </c>
      <c r="G10317" s="78"/>
      <c r="H10317" s="21"/>
    </row>
    <row r="10318" spans="1:11" hidden="1" outlineLevel="1" x14ac:dyDescent="0.25">
      <c r="A10318" s="1956" t="s">
        <v>5102</v>
      </c>
      <c r="B10318" s="3414">
        <v>42583</v>
      </c>
      <c r="C10318" s="3206">
        <v>100</v>
      </c>
      <c r="D10318" s="3206">
        <v>134.863</v>
      </c>
      <c r="E10318" s="2695">
        <v>0.34863</v>
      </c>
      <c r="F10318" s="3205">
        <v>0.34863</v>
      </c>
      <c r="G10318" s="78"/>
      <c r="H10318" s="21"/>
    </row>
    <row r="10319" spans="1:11" hidden="1" outlineLevel="1" x14ac:dyDescent="0.25">
      <c r="A10319" s="1956" t="s">
        <v>5103</v>
      </c>
      <c r="B10319" s="3412">
        <v>42614</v>
      </c>
      <c r="C10319" s="3206">
        <v>100</v>
      </c>
      <c r="D10319" s="3206">
        <v>132.3398</v>
      </c>
      <c r="E10319" s="2695">
        <v>0.32339800000000007</v>
      </c>
      <c r="F10319" s="3205">
        <v>0.32339800000000007</v>
      </c>
      <c r="G10319" s="78"/>
      <c r="H10319" s="21"/>
    </row>
    <row r="10320" spans="1:11" hidden="1" outlineLevel="1" x14ac:dyDescent="0.25">
      <c r="A10320" s="1956" t="s">
        <v>5104</v>
      </c>
      <c r="B10320" s="3414">
        <v>42644</v>
      </c>
      <c r="C10320" s="3206">
        <v>100</v>
      </c>
      <c r="D10320" s="3206">
        <v>128.85290000000001</v>
      </c>
      <c r="E10320" s="2695">
        <v>0.28852900000000004</v>
      </c>
      <c r="F10320" s="3205">
        <v>0.28852900000000004</v>
      </c>
      <c r="G10320" s="78"/>
      <c r="H10320" s="21"/>
    </row>
    <row r="10321" spans="1:8" hidden="1" outlineLevel="1" x14ac:dyDescent="0.25">
      <c r="A10321" s="1956" t="s">
        <v>5105</v>
      </c>
      <c r="B10321" s="3412">
        <v>42675</v>
      </c>
      <c r="C10321" s="3206">
        <v>100</v>
      </c>
      <c r="D10321" s="3206">
        <v>128.0821</v>
      </c>
      <c r="E10321" s="2695">
        <v>0.28082099999999999</v>
      </c>
      <c r="F10321" s="3205">
        <v>0.28082099999999999</v>
      </c>
      <c r="G10321" s="78"/>
      <c r="H10321" s="418" t="s">
        <v>1837</v>
      </c>
    </row>
    <row r="10322" spans="1:8" hidden="1" outlineLevel="1" x14ac:dyDescent="0.25">
      <c r="A10322" s="1956" t="s">
        <v>5106</v>
      </c>
      <c r="B10322" s="3414">
        <v>42705</v>
      </c>
      <c r="C10322" s="3206">
        <v>100</v>
      </c>
      <c r="D10322" s="3206">
        <v>133.47200000000001</v>
      </c>
      <c r="E10322" s="2695">
        <v>0.33472000000000013</v>
      </c>
      <c r="F10322" s="3205">
        <v>0.33472000000000013</v>
      </c>
      <c r="G10322" s="78"/>
      <c r="H10322" s="419">
        <v>0.32995025</v>
      </c>
    </row>
    <row r="10323" spans="1:8" hidden="1" outlineLevel="1" x14ac:dyDescent="0.25">
      <c r="A10323" s="2189"/>
      <c r="B10323" s="1813"/>
      <c r="C10323" s="3206"/>
      <c r="D10323" s="3206"/>
      <c r="E10323" s="3204"/>
      <c r="F10323" s="3205"/>
      <c r="G10323" s="78"/>
    </row>
    <row r="10324" spans="1:8" collapsed="1" x14ac:dyDescent="0.25">
      <c r="A10324" s="3801" t="s">
        <v>5113</v>
      </c>
      <c r="B10324" s="3802"/>
      <c r="C10324" s="3802"/>
      <c r="D10324" s="3802"/>
      <c r="E10324" s="3204"/>
      <c r="F10324" s="3205">
        <v>0.32995025</v>
      </c>
      <c r="G10324" s="78"/>
    </row>
    <row r="10326" spans="1:8" hidden="1" outlineLevel="1" x14ac:dyDescent="0.25">
      <c r="A10326" s="3180" t="s">
        <v>113</v>
      </c>
      <c r="B10326" s="3180" t="s">
        <v>114</v>
      </c>
      <c r="C10326" s="3180" t="s">
        <v>112</v>
      </c>
      <c r="D10326" s="3180" t="s">
        <v>116</v>
      </c>
      <c r="E10326" s="3180" t="s">
        <v>117</v>
      </c>
      <c r="F10326" s="3181" t="s">
        <v>121</v>
      </c>
      <c r="G10326" s="78"/>
    </row>
    <row r="10327" spans="1:8" hidden="1" outlineLevel="1" x14ac:dyDescent="0.25">
      <c r="A10327" s="3187">
        <v>4</v>
      </c>
      <c r="B10327" s="3187"/>
      <c r="C10327" s="3188"/>
      <c r="D10327" s="1900" t="s">
        <v>3702</v>
      </c>
      <c r="E10327" s="3189">
        <v>42489</v>
      </c>
      <c r="F10327" s="3401"/>
      <c r="G10327" s="78"/>
    </row>
    <row r="10328" spans="1:8" hidden="1" outlineLevel="1" x14ac:dyDescent="0.25">
      <c r="A10328" s="3180" t="s">
        <v>4156</v>
      </c>
      <c r="B10328" s="3180" t="s">
        <v>4153</v>
      </c>
      <c r="C10328" s="3406" t="s">
        <v>112</v>
      </c>
      <c r="D10328" s="3180" t="s">
        <v>4155</v>
      </c>
      <c r="E10328" s="3180" t="s">
        <v>4154</v>
      </c>
      <c r="F10328" s="3181" t="s">
        <v>734</v>
      </c>
      <c r="G10328" s="78"/>
    </row>
    <row r="10329" spans="1:8" hidden="1" outlineLevel="1" x14ac:dyDescent="0.25">
      <c r="A10329" s="1920">
        <v>7.0000000000000007E-2</v>
      </c>
      <c r="B10329" s="1813" t="s">
        <v>2942</v>
      </c>
      <c r="C10329" s="1902">
        <v>601.64</v>
      </c>
      <c r="D10329" s="3196">
        <v>1497</v>
      </c>
      <c r="E10329" s="3025">
        <v>1.4881989229439534</v>
      </c>
      <c r="F10329" s="3198">
        <v>7.0000000000000007E-2</v>
      </c>
      <c r="G10329" s="78"/>
      <c r="H10329" t="str">
        <f>VLOOKUP(B10329,indexy!$A$44:$D$823,3,FALSE)</f>
        <v>4503 JT Equity</v>
      </c>
    </row>
    <row r="10330" spans="1:8" hidden="1" outlineLevel="1" x14ac:dyDescent="0.25">
      <c r="A10330" s="1920">
        <v>0.02</v>
      </c>
      <c r="B10330" s="1813" t="s">
        <v>805</v>
      </c>
      <c r="C10330" s="1902">
        <v>57.54</v>
      </c>
      <c r="D10330" s="3196">
        <v>81.739999999999995</v>
      </c>
      <c r="E10330" s="3025">
        <v>0.42057698992005554</v>
      </c>
      <c r="F10330" s="3198">
        <v>7.0000000000000007E-2</v>
      </c>
      <c r="G10330" s="78"/>
      <c r="H10330" t="str">
        <f>VLOOKUP(B10330,indexy!$A$44:$D$823,3,FALSE)</f>
        <v>BMO CT Equity</v>
      </c>
    </row>
    <row r="10331" spans="1:8" hidden="1" outlineLevel="1" x14ac:dyDescent="0.25">
      <c r="A10331" s="1920">
        <v>0.03</v>
      </c>
      <c r="B10331" s="1813" t="s">
        <v>4377</v>
      </c>
      <c r="C10331" s="1902">
        <v>31.463999999999999</v>
      </c>
      <c r="D10331" s="3196">
        <v>72.180000000000007</v>
      </c>
      <c r="E10331" s="3025">
        <v>1.2940503432494284</v>
      </c>
      <c r="F10331" s="3198">
        <v>7.0000000000000007E-2</v>
      </c>
      <c r="G10331" s="78"/>
      <c r="H10331" t="str">
        <f>VLOOKUP(B10331,indexy!$A$44:$D$823,3,FALSE)</f>
        <v>BMY UN Equity</v>
      </c>
    </row>
    <row r="10332" spans="1:8" hidden="1" outlineLevel="1" x14ac:dyDescent="0.25">
      <c r="A10332" s="1920">
        <v>0.05</v>
      </c>
      <c r="B10332" s="1813" t="s">
        <v>3954</v>
      </c>
      <c r="C10332" s="1902">
        <v>72.292000000000002</v>
      </c>
      <c r="D10332" s="3196">
        <v>101.34</v>
      </c>
      <c r="E10332" s="3025">
        <v>0.40181486194876337</v>
      </c>
      <c r="F10332" s="3198">
        <v>7.0000000000000007E-2</v>
      </c>
      <c r="G10332" s="78"/>
      <c r="H10332" t="str">
        <f>VLOOKUP(B10332,indexy!$A$44:$D$823,3,FALSE)</f>
        <v>CM CT Equity</v>
      </c>
    </row>
    <row r="10333" spans="1:8" hidden="1" outlineLevel="1" x14ac:dyDescent="0.25">
      <c r="A10333" s="1920">
        <v>0.02</v>
      </c>
      <c r="B10333" s="1926" t="s">
        <v>4332</v>
      </c>
      <c r="C10333" s="1902">
        <v>301.14</v>
      </c>
      <c r="D10333" s="3196">
        <v>238.4</v>
      </c>
      <c r="E10333" s="3025">
        <v>-0.20834163511987769</v>
      </c>
      <c r="F10333" s="3198">
        <v>-0.20834163511987769</v>
      </c>
      <c r="G10333" s="78"/>
      <c r="H10333" t="str">
        <f>VLOOKUP(B10333,indexy!$A$44:$D$823,3,FALSE)</f>
        <v>CNA LN Equity</v>
      </c>
    </row>
    <row r="10334" spans="1:8" hidden="1" outlineLevel="1" x14ac:dyDescent="0.25">
      <c r="A10334" s="1920">
        <v>0.08</v>
      </c>
      <c r="B10334" s="1813" t="s">
        <v>1319</v>
      </c>
      <c r="C10334" s="1902">
        <v>58.892000000000003</v>
      </c>
      <c r="D10334" s="3196">
        <v>74.599999999999994</v>
      </c>
      <c r="E10334" s="3025">
        <v>0.26672553148135547</v>
      </c>
      <c r="F10334" s="3198">
        <v>7.0000000000000007E-2</v>
      </c>
      <c r="G10334" s="78"/>
      <c r="H10334" t="str">
        <f>VLOOKUP(B10334,indexy!$A$44:$D$823,3,FALSE)</f>
        <v>ED UN Equity</v>
      </c>
    </row>
    <row r="10335" spans="1:8" hidden="1" outlineLevel="1" x14ac:dyDescent="0.25">
      <c r="A10335" s="1920">
        <v>0.02</v>
      </c>
      <c r="B10335" s="1813" t="s">
        <v>3798</v>
      </c>
      <c r="C10335" s="1902">
        <v>3.2332000000000001</v>
      </c>
      <c r="D10335" s="3196">
        <v>3.9580000000000002</v>
      </c>
      <c r="E10335" s="3025">
        <v>0.22417419275021655</v>
      </c>
      <c r="F10335" s="3198">
        <v>7.0000000000000007E-2</v>
      </c>
      <c r="G10335" s="78"/>
      <c r="H10335" t="str">
        <f>VLOOKUP(B10335,indexy!$A$44:$D$823,3,FALSE)</f>
        <v>ENEL IM Equity</v>
      </c>
    </row>
    <row r="10336" spans="1:8" hidden="1" outlineLevel="1" x14ac:dyDescent="0.25">
      <c r="A10336" s="1920">
        <v>0.02</v>
      </c>
      <c r="B10336" s="3028" t="s">
        <v>5824</v>
      </c>
      <c r="C10336" s="1902">
        <v>12.56</v>
      </c>
      <c r="D10336" s="3196">
        <v>14.48</v>
      </c>
      <c r="E10336" s="3025">
        <v>0.15286624203821653</v>
      </c>
      <c r="F10336" s="3198">
        <v>7.0000000000000007E-2</v>
      </c>
      <c r="G10336" s="78"/>
      <c r="H10336" t="str">
        <f>VLOOKUP(B10336,indexy!$A$44:$D$823,3,FALSE)</f>
        <v>ORA FP Equity</v>
      </c>
    </row>
    <row r="10337" spans="1:8" hidden="1" outlineLevel="1" x14ac:dyDescent="0.25">
      <c r="A10337" s="1920">
        <v>0.02</v>
      </c>
      <c r="B10337" s="1813" t="s">
        <v>3269</v>
      </c>
      <c r="C10337" s="1902">
        <v>12.99</v>
      </c>
      <c r="D10337" s="3196">
        <v>18.164999999999999</v>
      </c>
      <c r="E10337" s="3025">
        <v>0.39838337182448025</v>
      </c>
      <c r="F10337" s="3198">
        <v>7.0000000000000007E-2</v>
      </c>
      <c r="G10337" s="78"/>
      <c r="H10337" t="str">
        <f>VLOOKUP(B10337,indexy!$A$44:$D$823,3,FALSE)</f>
        <v>NTGY SM Equity</v>
      </c>
    </row>
    <row r="10338" spans="1:8" hidden="1" outlineLevel="1" x14ac:dyDescent="0.25">
      <c r="A10338" s="1920">
        <v>0.08</v>
      </c>
      <c r="B10338" s="1813" t="s">
        <v>1381</v>
      </c>
      <c r="C10338" s="1902">
        <v>70.674000000000007</v>
      </c>
      <c r="D10338" s="3196">
        <v>125.19</v>
      </c>
      <c r="E10338" s="3025">
        <v>0.7713727820697851</v>
      </c>
      <c r="F10338" s="3198">
        <v>7.0000000000000007E-2</v>
      </c>
      <c r="G10338" s="78"/>
      <c r="H10338" t="str">
        <f>VLOOKUP(B10338,indexy!$A$44:$D$823,3,FALSE)</f>
        <v>KMB UN Equity</v>
      </c>
    </row>
    <row r="10339" spans="1:8" hidden="1" outlineLevel="1" x14ac:dyDescent="0.25">
      <c r="A10339" s="1920">
        <v>0.05</v>
      </c>
      <c r="B10339" s="1813" t="s">
        <v>4143</v>
      </c>
      <c r="C10339" s="1902">
        <v>9.6486000000000001</v>
      </c>
      <c r="D10339" s="3196">
        <v>3.4350000000000001</v>
      </c>
      <c r="E10339" s="3025">
        <v>-0.6439898016292519</v>
      </c>
      <c r="F10339" s="3198">
        <v>-0.6439898016292519</v>
      </c>
      <c r="G10339" s="78"/>
      <c r="H10339" t="str">
        <f>VLOOKUP(B10339,indexy!$A$44:$D$823,3,FALSE)</f>
        <v>KPN NA Equity</v>
      </c>
    </row>
    <row r="10340" spans="1:8" hidden="1" outlineLevel="1" x14ac:dyDescent="0.25">
      <c r="A10340" s="1920">
        <v>0.05</v>
      </c>
      <c r="B10340" s="2965" t="s">
        <v>7573</v>
      </c>
      <c r="C10340" s="1902">
        <v>35.274000000000001</v>
      </c>
      <c r="D10340" s="3196">
        <v>78.069999999999993</v>
      </c>
      <c r="E10340" s="3025">
        <v>1.2132448829165954</v>
      </c>
      <c r="F10340" s="3198">
        <v>7.0000000000000007E-2</v>
      </c>
      <c r="G10340" s="78"/>
      <c r="H10340" t="str">
        <f>VLOOKUP(B10340,indexy!$A$44:$D$823,3,FALSE)</f>
        <v>KHC UW Equity</v>
      </c>
    </row>
    <row r="10341" spans="1:8" hidden="1" outlineLevel="1" x14ac:dyDescent="0.25">
      <c r="A10341" s="1920">
        <v>0.02</v>
      </c>
      <c r="B10341" s="1813" t="s">
        <v>3956</v>
      </c>
      <c r="C10341" s="1902">
        <v>684.9</v>
      </c>
      <c r="D10341" s="3196">
        <v>1132</v>
      </c>
      <c r="E10341" s="3025">
        <v>0.65279602861731645</v>
      </c>
      <c r="F10341" s="3198">
        <v>7.0000000000000007E-2</v>
      </c>
      <c r="G10341" s="78"/>
      <c r="H10341" t="str">
        <f>VLOOKUP(B10341,indexy!$A$44:$D$823,3,FALSE)</f>
        <v>LAND LN Equity</v>
      </c>
    </row>
    <row r="10342" spans="1:8" hidden="1" outlineLevel="1" x14ac:dyDescent="0.25">
      <c r="A10342" s="1920">
        <v>0.02</v>
      </c>
      <c r="B10342" s="1813" t="s">
        <v>1905</v>
      </c>
      <c r="C10342" s="1902">
        <v>34.975999999999999</v>
      </c>
      <c r="D10342" s="3196">
        <v>54.84</v>
      </c>
      <c r="E10342" s="3025">
        <v>0.56793229643183918</v>
      </c>
      <c r="F10342" s="3198">
        <v>7.0000000000000007E-2</v>
      </c>
      <c r="G10342" s="78"/>
      <c r="H10342" t="str">
        <f>VLOOKUP(B10342,indexy!$A$44:$D$823,3,FALSE)</f>
        <v>MRK UN Equity</v>
      </c>
    </row>
    <row r="10343" spans="1:8" hidden="1" outlineLevel="1" x14ac:dyDescent="0.25">
      <c r="A10343" s="1920">
        <v>0.05</v>
      </c>
      <c r="B10343" s="1813" t="s">
        <v>2786</v>
      </c>
      <c r="C10343" s="1902">
        <v>621.1</v>
      </c>
      <c r="D10343" s="3196">
        <v>974.8</v>
      </c>
      <c r="E10343" s="3025">
        <v>0.5694735147319272</v>
      </c>
      <c r="F10343" s="3198">
        <v>7.0000000000000007E-2</v>
      </c>
      <c r="G10343" s="78"/>
      <c r="H10343" t="str">
        <f>VLOOKUP(B10343,indexy!$A$44:$D$823,3,FALSE)</f>
        <v>NG/ LN Equity</v>
      </c>
    </row>
    <row r="10344" spans="1:8" hidden="1" outlineLevel="1" x14ac:dyDescent="0.25">
      <c r="A10344" s="1920">
        <v>0.02</v>
      </c>
      <c r="B10344" s="1813" t="s">
        <v>2787</v>
      </c>
      <c r="C10344" s="1902">
        <v>49.954000000000001</v>
      </c>
      <c r="D10344" s="3196">
        <v>73.2</v>
      </c>
      <c r="E10344" s="3025">
        <v>0.46534812027064909</v>
      </c>
      <c r="F10344" s="3198">
        <v>7.0000000000000007E-2</v>
      </c>
      <c r="G10344" s="78"/>
      <c r="H10344" t="str">
        <f>VLOOKUP(B10344,indexy!$A$44:$D$823,3,FALSE)</f>
        <v>NOVN SE Equity</v>
      </c>
    </row>
    <row r="10345" spans="1:8" hidden="1" outlineLevel="1" x14ac:dyDescent="0.25">
      <c r="A10345" s="1920">
        <v>0.02</v>
      </c>
      <c r="B10345" s="1813" t="s">
        <v>3958</v>
      </c>
      <c r="C10345" s="1902">
        <v>1125.4000000000001</v>
      </c>
      <c r="D10345" s="3196">
        <v>805</v>
      </c>
      <c r="E10345" s="3025">
        <v>-0.28469877376932651</v>
      </c>
      <c r="F10345" s="3198">
        <v>-0.28469877376932651</v>
      </c>
      <c r="G10345" s="78"/>
      <c r="H10345" t="str">
        <f>VLOOKUP(B10345,indexy!$A$44:$D$823,3,FALSE)</f>
        <v>PSON LN Equity</v>
      </c>
    </row>
    <row r="10346" spans="1:8" hidden="1" outlineLevel="1" x14ac:dyDescent="0.25">
      <c r="A10346" s="1920">
        <v>0.02</v>
      </c>
      <c r="B10346" s="1903" t="s">
        <v>5121</v>
      </c>
      <c r="C10346" s="1902">
        <v>539.5</v>
      </c>
      <c r="D10346" s="3196">
        <v>1210</v>
      </c>
      <c r="E10346" s="3025">
        <v>1.2428174235403153</v>
      </c>
      <c r="F10346" s="3198">
        <v>7.0000000000000007E-2</v>
      </c>
      <c r="G10346" s="78"/>
      <c r="H10346" t="str">
        <f>VLOOKUP(B10346,indexy!$A$44:$D$823,3,FALSE)</f>
        <v>REL LN Equity</v>
      </c>
    </row>
    <row r="10347" spans="1:8" hidden="1" outlineLevel="1" x14ac:dyDescent="0.25">
      <c r="A10347" s="1920">
        <v>7.0000000000000007E-2</v>
      </c>
      <c r="B10347" s="1813" t="s">
        <v>3800</v>
      </c>
      <c r="C10347" s="1902">
        <v>141.13999999999999</v>
      </c>
      <c r="D10347" s="3196">
        <v>242.5</v>
      </c>
      <c r="E10347" s="3025">
        <v>0.71815218931557334</v>
      </c>
      <c r="F10347" s="3198">
        <v>7.0000000000000007E-2</v>
      </c>
      <c r="G10347" s="78"/>
      <c r="H10347" t="str">
        <f>VLOOKUP(B10347,indexy!$A$44:$D$823,3,FALSE)</f>
        <v>ROG SE Equity</v>
      </c>
    </row>
    <row r="10348" spans="1:8" hidden="1" outlineLevel="1" x14ac:dyDescent="0.25">
      <c r="A10348" s="1920">
        <v>0.02</v>
      </c>
      <c r="B10348" s="1813" t="s">
        <v>102</v>
      </c>
      <c r="C10348" s="1902">
        <v>483.2</v>
      </c>
      <c r="D10348" s="3196">
        <v>459.1</v>
      </c>
      <c r="E10348" s="3025">
        <v>-4.9875827814569451E-2</v>
      </c>
      <c r="F10348" s="3198">
        <v>-4.9875827814569451E-2</v>
      </c>
      <c r="G10348" s="78"/>
      <c r="H10348" t="str">
        <f>VLOOKUP(B10348,indexy!$A$44:$D$823,3,FALSE)</f>
        <v>RSA LN Equity</v>
      </c>
    </row>
    <row r="10349" spans="1:8" hidden="1" outlineLevel="1" x14ac:dyDescent="0.25">
      <c r="A10349" s="1920">
        <v>0.02</v>
      </c>
      <c r="B10349" s="1813" t="s">
        <v>2728</v>
      </c>
      <c r="C10349" s="1902">
        <v>45.62</v>
      </c>
      <c r="D10349" s="3196">
        <v>77.92</v>
      </c>
      <c r="E10349" s="3025">
        <v>0.70802279701885151</v>
      </c>
      <c r="F10349" s="3198">
        <v>7.0000000000000007E-2</v>
      </c>
      <c r="G10349" s="78"/>
      <c r="H10349" t="str">
        <f>VLOOKUP(B10349,indexy!$A$44:$D$823,3,FALSE)</f>
        <v>RY CT Equity</v>
      </c>
    </row>
    <row r="10350" spans="1:8" hidden="1" outlineLevel="1" x14ac:dyDescent="0.25">
      <c r="A10350" s="1920">
        <v>0.02</v>
      </c>
      <c r="B10350" s="1813" t="s">
        <v>4460</v>
      </c>
      <c r="C10350" s="1902">
        <v>1580.2</v>
      </c>
      <c r="D10350" s="3196">
        <v>2227</v>
      </c>
      <c r="E10350" s="3025">
        <v>0.40931527654727251</v>
      </c>
      <c r="F10350" s="3198">
        <v>7.0000000000000007E-2</v>
      </c>
      <c r="G10350" s="78"/>
      <c r="H10350" t="str">
        <f>VLOOKUP(B10350,indexy!$A$44:$D$823,3,FALSE)</f>
        <v>SVT LN Equity</v>
      </c>
    </row>
    <row r="10351" spans="1:8" hidden="1" outlineLevel="1" x14ac:dyDescent="0.25">
      <c r="A10351" s="1920">
        <v>0.02</v>
      </c>
      <c r="B10351" s="1928" t="s">
        <v>1857</v>
      </c>
      <c r="C10351" s="1902">
        <v>1319.2</v>
      </c>
      <c r="D10351" s="3196">
        <v>1510</v>
      </c>
      <c r="E10351" s="3025">
        <v>0.14463311097634923</v>
      </c>
      <c r="F10351" s="3198">
        <v>7.0000000000000007E-2</v>
      </c>
      <c r="G10351" s="78"/>
      <c r="H10351" t="str">
        <f>VLOOKUP(B10351,indexy!$A$44:$D$823,3,FALSE)</f>
        <v>SSE LN Equity</v>
      </c>
    </row>
    <row r="10352" spans="1:8" hidden="1" outlineLevel="1" x14ac:dyDescent="0.25">
      <c r="A10352" s="1920">
        <v>0.02</v>
      </c>
      <c r="B10352" s="1813" t="s">
        <v>3960</v>
      </c>
      <c r="C10352" s="1902">
        <v>204.68</v>
      </c>
      <c r="D10352" s="3196">
        <v>326.10000000000002</v>
      </c>
      <c r="E10352" s="3025">
        <v>0.5932186828219661</v>
      </c>
      <c r="F10352" s="3198">
        <v>7.0000000000000007E-2</v>
      </c>
      <c r="G10352" s="78"/>
      <c r="H10352" t="str">
        <f>VLOOKUP(B10352,indexy!$A$44:$D$823,3,FALSE)</f>
        <v>ABDN LN Equity</v>
      </c>
    </row>
    <row r="10353" spans="1:8" hidden="1" outlineLevel="1" x14ac:dyDescent="0.25">
      <c r="A10353" s="1920">
        <v>7.0000000000000007E-2</v>
      </c>
      <c r="B10353" s="1813" t="s">
        <v>3022</v>
      </c>
      <c r="C10353" s="1902">
        <v>3367</v>
      </c>
      <c r="D10353" s="3196">
        <v>5262</v>
      </c>
      <c r="E10353" s="3025">
        <v>0.56281556281556289</v>
      </c>
      <c r="F10353" s="3198">
        <v>7.0000000000000007E-2</v>
      </c>
      <c r="G10353" s="78"/>
      <c r="H10353" t="str">
        <f>VLOOKUP(B10353,indexy!$A$44:$D$823,3,FALSE)</f>
        <v>4502 JT Equity</v>
      </c>
    </row>
    <row r="10354" spans="1:8" hidden="1" outlineLevel="1" x14ac:dyDescent="0.25">
      <c r="A10354" s="1920">
        <v>0.02</v>
      </c>
      <c r="B10354" s="1813" t="s">
        <v>434</v>
      </c>
      <c r="C10354" s="1902">
        <v>44.351999999999997</v>
      </c>
      <c r="D10354" s="3196">
        <v>38.35</v>
      </c>
      <c r="E10354" s="3025">
        <v>-0.13532647907647899</v>
      </c>
      <c r="F10354" s="3198">
        <v>-0.13532647907647899</v>
      </c>
      <c r="G10354" s="78"/>
      <c r="H10354" t="str">
        <f>VLOOKUP(B10354,indexy!$A$44:$D$823,3,FALSE)</f>
        <v>TELIA SS Equity</v>
      </c>
    </row>
    <row r="10355" spans="1:8" hidden="1" outlineLevel="1" x14ac:dyDescent="0.25">
      <c r="A10355" s="1920">
        <v>0.02</v>
      </c>
      <c r="B10355" s="2544" t="s">
        <v>2983</v>
      </c>
      <c r="C10355" s="1902">
        <v>622.20000000000005</v>
      </c>
      <c r="D10355" s="3196">
        <v>939.5</v>
      </c>
      <c r="E10355" s="3025">
        <v>0.50996464159434263</v>
      </c>
      <c r="F10355" s="3198">
        <v>7.0000000000000007E-2</v>
      </c>
      <c r="G10355" s="78"/>
      <c r="H10355" t="str">
        <f>VLOOKUP(B10355,indexy!$A$44:$D$823,3,FALSE)</f>
        <v>UU/ LN Equity</v>
      </c>
    </row>
    <row r="10356" spans="1:8" hidden="1" outlineLevel="1" x14ac:dyDescent="0.25">
      <c r="A10356" s="1920">
        <v>0.02</v>
      </c>
      <c r="B10356" s="2628" t="s">
        <v>579</v>
      </c>
      <c r="C10356" s="1902">
        <v>178.66</v>
      </c>
      <c r="D10356" s="3196">
        <v>219.2</v>
      </c>
      <c r="E10356" s="3025">
        <v>0.22691145191984763</v>
      </c>
      <c r="F10356" s="3198">
        <v>7.0000000000000007E-2</v>
      </c>
      <c r="G10356" s="78"/>
      <c r="H10356" t="str">
        <f>VLOOKUP(B10356,indexy!$A$44:$D$823,3,FALSE)</f>
        <v>VOD LN Equity</v>
      </c>
    </row>
    <row r="10357" spans="1:8" hidden="1" outlineLevel="1" x14ac:dyDescent="0.25">
      <c r="A10357" s="1920">
        <v>0.02</v>
      </c>
      <c r="B10357" s="1813" t="s">
        <v>1211</v>
      </c>
      <c r="C10357" s="1902">
        <v>31.364000000000001</v>
      </c>
      <c r="D10357" s="3196">
        <v>58.79</v>
      </c>
      <c r="E10357" s="3025">
        <v>0.87444203545466137</v>
      </c>
      <c r="F10357" s="3198">
        <v>7.0000000000000007E-2</v>
      </c>
      <c r="G10357" s="78"/>
      <c r="H10357" t="str">
        <f>VLOOKUP(B10357,indexy!$A$44:$D$823,3,FALSE)</f>
        <v>WM UN Equity</v>
      </c>
    </row>
    <row r="10358" spans="1:8" hidden="1" outlineLevel="1" x14ac:dyDescent="0.25">
      <c r="A10358" s="1920">
        <v>0.02</v>
      </c>
      <c r="B10358" s="1813" t="s">
        <v>4550</v>
      </c>
      <c r="C10358" s="1902">
        <v>199.2</v>
      </c>
      <c r="D10358" s="3196">
        <v>214.7</v>
      </c>
      <c r="E10358" s="3025">
        <v>7.7811244979919758E-2</v>
      </c>
      <c r="F10358" s="3198">
        <v>7.0000000000000007E-2</v>
      </c>
      <c r="G10358" s="78"/>
      <c r="H10358" t="str">
        <f>VLOOKUP(B10358,indexy!$A$44:$D$823,3,FALSE)</f>
        <v>ZURN SE Equity</v>
      </c>
    </row>
    <row r="10359" spans="1:8" hidden="1" outlineLevel="1" x14ac:dyDescent="0.25">
      <c r="A10359" s="1897" t="s">
        <v>2465</v>
      </c>
      <c r="B10359" s="1931"/>
      <c r="C10359" s="1932"/>
      <c r="D10359" s="3030"/>
      <c r="E10359" s="3078">
        <v>0.532557639353753</v>
      </c>
      <c r="F10359" s="3385">
        <v>1.5135655602932355E-2</v>
      </c>
      <c r="G10359" s="78"/>
    </row>
    <row r="10360" spans="1:8" hidden="1" outlineLevel="1" x14ac:dyDescent="0.25">
      <c r="A10360" s="3182"/>
      <c r="B10360" s="3183"/>
      <c r="C10360" s="3183"/>
      <c r="D10360" s="3183"/>
      <c r="E10360" s="3183"/>
      <c r="F10360" s="3404"/>
      <c r="G10360" s="78"/>
    </row>
    <row r="10361" spans="1:8" hidden="1" outlineLevel="1" x14ac:dyDescent="0.25">
      <c r="A10361" s="3035" t="s">
        <v>113</v>
      </c>
      <c r="B10361" s="3035"/>
      <c r="C10361" s="3042"/>
      <c r="D10361" s="3042"/>
      <c r="E10361" s="2984"/>
      <c r="F10361" s="3181"/>
      <c r="G10361" s="78"/>
    </row>
    <row r="10362" spans="1:8" hidden="1" outlineLevel="1" x14ac:dyDescent="0.25">
      <c r="A10362" s="1810" t="s">
        <v>5115</v>
      </c>
      <c r="B10362" s="3182"/>
      <c r="C10362" s="3183"/>
      <c r="D10362" s="3183"/>
      <c r="E10362" s="2992"/>
      <c r="F10362" s="3193">
        <v>0.03</v>
      </c>
      <c r="G10362" s="78"/>
    </row>
    <row r="10363" spans="1:8" hidden="1" outlineLevel="1" x14ac:dyDescent="0.25">
      <c r="A10363" s="1810" t="s">
        <v>5116</v>
      </c>
      <c r="B10363" s="3028"/>
      <c r="C10363" s="3187"/>
      <c r="D10363" s="3187"/>
      <c r="E10363" s="2199"/>
      <c r="F10363" s="3198">
        <v>2.3699999999999999E-2</v>
      </c>
      <c r="G10363" s="78"/>
    </row>
    <row r="10364" spans="1:8" hidden="1" outlineLevel="1" x14ac:dyDescent="0.25">
      <c r="A10364" s="1810" t="s">
        <v>5117</v>
      </c>
      <c r="B10364" s="3028"/>
      <c r="C10364" s="3187"/>
      <c r="D10364" s="3187"/>
      <c r="E10364" s="2199"/>
      <c r="F10364" s="3198">
        <v>3.3399999999999999E-2</v>
      </c>
      <c r="G10364" s="78"/>
    </row>
    <row r="10365" spans="1:8" hidden="1" outlineLevel="1" x14ac:dyDescent="0.25">
      <c r="A10365" s="1810" t="s">
        <v>5118</v>
      </c>
      <c r="B10365" s="3028"/>
      <c r="C10365" s="3187"/>
      <c r="D10365" s="3187"/>
      <c r="E10365" s="2199"/>
      <c r="F10365" s="3198">
        <v>2.5399999999999999E-2</v>
      </c>
      <c r="G10365" s="78"/>
    </row>
    <row r="10366" spans="1:8" hidden="1" outlineLevel="1" x14ac:dyDescent="0.25">
      <c r="A10366" s="1810"/>
      <c r="B10366" s="3039"/>
      <c r="C10366" s="3146"/>
      <c r="D10366" s="3146"/>
      <c r="E10366" s="2204"/>
      <c r="F10366" s="2989"/>
      <c r="G10366" s="78"/>
    </row>
    <row r="10367" spans="1:8" collapsed="1" x14ac:dyDescent="0.25">
      <c r="A10367" s="3803" t="s">
        <v>5114</v>
      </c>
      <c r="B10367" s="3804"/>
      <c r="C10367" s="3804"/>
      <c r="D10367" s="3042"/>
      <c r="E10367" s="3042"/>
      <c r="F10367" s="3205">
        <v>0.1125</v>
      </c>
      <c r="G10367" s="78"/>
    </row>
    <row r="10369" spans="1:8" hidden="1" outlineLevel="1" x14ac:dyDescent="0.25">
      <c r="A10369" s="3237" t="s">
        <v>113</v>
      </c>
      <c r="B10369" s="3237" t="s">
        <v>114</v>
      </c>
      <c r="C10369" s="3237" t="s">
        <v>112</v>
      </c>
      <c r="D10369" s="3237" t="s">
        <v>116</v>
      </c>
      <c r="E10369" s="3237" t="s">
        <v>117</v>
      </c>
      <c r="F10369" s="3276" t="s">
        <v>121</v>
      </c>
      <c r="G10369" s="78"/>
    </row>
    <row r="10370" spans="1:8" hidden="1" outlineLevel="1" x14ac:dyDescent="0.25">
      <c r="A10370" s="2746"/>
      <c r="B10370" s="2746"/>
      <c r="C10370" s="2747"/>
      <c r="D10370" s="1900" t="s">
        <v>3702</v>
      </c>
      <c r="E10370" s="2748">
        <v>43830</v>
      </c>
      <c r="F10370" s="2749"/>
      <c r="G10370" s="78"/>
    </row>
    <row r="10371" spans="1:8" hidden="1" outlineLevel="1" x14ac:dyDescent="0.25">
      <c r="A10371" s="2750" t="s">
        <v>4156</v>
      </c>
      <c r="B10371" s="2750" t="s">
        <v>4153</v>
      </c>
      <c r="C10371" s="2751" t="s">
        <v>112</v>
      </c>
      <c r="D10371" s="2750" t="s">
        <v>4155</v>
      </c>
      <c r="E10371" s="2750" t="s">
        <v>4154</v>
      </c>
      <c r="F10371" s="2752" t="s">
        <v>734</v>
      </c>
      <c r="G10371" s="78"/>
    </row>
    <row r="10372" spans="1:8" hidden="1" outlineLevel="1" x14ac:dyDescent="0.25">
      <c r="A10372" s="1920">
        <v>0.02</v>
      </c>
      <c r="B10372" s="1921" t="s">
        <v>1993</v>
      </c>
      <c r="C10372" s="2108">
        <v>27.57</v>
      </c>
      <c r="D10372" s="2753">
        <v>49.91</v>
      </c>
      <c r="E10372" s="2754">
        <v>0.8103010518679723</v>
      </c>
      <c r="F10372" s="2755">
        <v>7.0000000000000007E-2</v>
      </c>
      <c r="G10372" s="78"/>
      <c r="H10372" t="s">
        <v>2812</v>
      </c>
    </row>
    <row r="10373" spans="1:8" hidden="1" outlineLevel="1" x14ac:dyDescent="0.25">
      <c r="A10373" s="1920">
        <v>0.08</v>
      </c>
      <c r="B10373" s="1921" t="s">
        <v>2942</v>
      </c>
      <c r="C10373" s="2108">
        <v>601.64</v>
      </c>
      <c r="D10373" s="2753">
        <v>1870</v>
      </c>
      <c r="E10373" s="2754">
        <v>2.1081709992686659</v>
      </c>
      <c r="F10373" s="2755">
        <v>7.0000000000000007E-2</v>
      </c>
      <c r="G10373" s="78"/>
      <c r="H10373" t="s">
        <v>2336</v>
      </c>
    </row>
    <row r="10374" spans="1:8" hidden="1" outlineLevel="1" x14ac:dyDescent="0.25">
      <c r="A10374" s="1920">
        <v>0.02</v>
      </c>
      <c r="B10374" s="2628" t="s">
        <v>1903</v>
      </c>
      <c r="C10374" s="2108">
        <v>2872.5</v>
      </c>
      <c r="D10374" s="2753">
        <v>7607</v>
      </c>
      <c r="E10374" s="2754">
        <v>1.6482158398607485</v>
      </c>
      <c r="F10374" s="2755">
        <v>7.0000000000000007E-2</v>
      </c>
      <c r="G10374" s="78"/>
      <c r="H10374" t="s">
        <v>3883</v>
      </c>
    </row>
    <row r="10375" spans="1:8" hidden="1" outlineLevel="1" x14ac:dyDescent="0.25">
      <c r="A10375" s="1920">
        <v>0.08</v>
      </c>
      <c r="B10375" s="2628" t="s">
        <v>3998</v>
      </c>
      <c r="C10375" s="2108">
        <v>29.228000000000002</v>
      </c>
      <c r="D10375" s="2753">
        <v>39.08</v>
      </c>
      <c r="E10375" s="2754">
        <v>0.33707403859312968</v>
      </c>
      <c r="F10375" s="2755">
        <v>7.0000000000000007E-2</v>
      </c>
      <c r="G10375" s="78"/>
      <c r="H10375" t="s">
        <v>4000</v>
      </c>
    </row>
    <row r="10376" spans="1:8" hidden="1" outlineLevel="1" x14ac:dyDescent="0.25">
      <c r="A10376" s="1920">
        <v>0.02</v>
      </c>
      <c r="B10376" s="1926" t="s">
        <v>805</v>
      </c>
      <c r="C10376" s="2108">
        <v>57.54</v>
      </c>
      <c r="D10376" s="2753">
        <v>100.64</v>
      </c>
      <c r="E10376" s="2754">
        <v>0.74904414320472723</v>
      </c>
      <c r="F10376" s="2755">
        <v>7.0000000000000007E-2</v>
      </c>
      <c r="G10376" s="78"/>
      <c r="H10376" t="s">
        <v>806</v>
      </c>
    </row>
    <row r="10377" spans="1:8" hidden="1" outlineLevel="1" x14ac:dyDescent="0.25">
      <c r="A10377" s="1920">
        <v>0.02</v>
      </c>
      <c r="B10377" s="1903" t="s">
        <v>4377</v>
      </c>
      <c r="C10377" s="2108">
        <v>31.463999999999999</v>
      </c>
      <c r="D10377" s="2753">
        <v>64.19</v>
      </c>
      <c r="E10377" s="2754">
        <v>1.0401093312992629</v>
      </c>
      <c r="F10377" s="2755">
        <v>7.0000000000000007E-2</v>
      </c>
      <c r="G10377" s="78"/>
      <c r="H10377" t="s">
        <v>4327</v>
      </c>
    </row>
    <row r="10378" spans="1:8" hidden="1" outlineLevel="1" x14ac:dyDescent="0.25">
      <c r="A10378" s="1920">
        <v>0.02</v>
      </c>
      <c r="B10378" s="2746" t="s">
        <v>3954</v>
      </c>
      <c r="C10378" s="2108">
        <v>72.292000000000002</v>
      </c>
      <c r="D10378" s="2753">
        <v>108.06</v>
      </c>
      <c r="E10378" s="2754">
        <v>0.49477120566591037</v>
      </c>
      <c r="F10378" s="2755">
        <v>7.0000000000000007E-2</v>
      </c>
      <c r="G10378" s="78"/>
      <c r="H10378" t="s">
        <v>3955</v>
      </c>
    </row>
    <row r="10379" spans="1:8" hidden="1" outlineLevel="1" x14ac:dyDescent="0.25">
      <c r="A10379" s="1920">
        <v>0.05</v>
      </c>
      <c r="B10379" s="2746" t="s">
        <v>1319</v>
      </c>
      <c r="C10379" s="2108">
        <v>58.892000000000003</v>
      </c>
      <c r="D10379" s="2753">
        <v>90.47</v>
      </c>
      <c r="E10379" s="2754">
        <v>0.53620186103375667</v>
      </c>
      <c r="F10379" s="2755">
        <v>7.0000000000000007E-2</v>
      </c>
      <c r="G10379" s="78"/>
      <c r="H10379" t="s">
        <v>1320</v>
      </c>
    </row>
    <row r="10380" spans="1:8" hidden="1" outlineLevel="1" x14ac:dyDescent="0.25">
      <c r="A10380" s="1920">
        <v>0.02</v>
      </c>
      <c r="B10380" s="1921" t="s">
        <v>5090</v>
      </c>
      <c r="C10380" s="2108">
        <v>3055</v>
      </c>
      <c r="D10380" s="2753">
        <v>8204</v>
      </c>
      <c r="E10380" s="2754">
        <v>1.6854337152209493</v>
      </c>
      <c r="F10380" s="2755">
        <v>7.0000000000000007E-2</v>
      </c>
      <c r="G10380" s="78"/>
      <c r="H10380" t="s">
        <v>5091</v>
      </c>
    </row>
    <row r="10381" spans="1:8" hidden="1" outlineLevel="1" x14ac:dyDescent="0.25">
      <c r="A10381" s="1920">
        <v>0.02</v>
      </c>
      <c r="B10381" s="2756" t="s">
        <v>5824</v>
      </c>
      <c r="C10381" s="2108">
        <v>12.56</v>
      </c>
      <c r="D10381" s="2753">
        <v>13.12</v>
      </c>
      <c r="E10381" s="2754">
        <v>4.4585987261146487E-2</v>
      </c>
      <c r="F10381" s="2755">
        <v>7.0000000000000007E-2</v>
      </c>
      <c r="G10381" s="78"/>
      <c r="H10381" t="s">
        <v>5817</v>
      </c>
    </row>
    <row r="10382" spans="1:8" hidden="1" outlineLevel="1" x14ac:dyDescent="0.25">
      <c r="A10382" s="1920">
        <v>0.02</v>
      </c>
      <c r="B10382" s="1903" t="s">
        <v>3799</v>
      </c>
      <c r="C10382" s="2108">
        <v>1362.0899998856185</v>
      </c>
      <c r="D10382" s="2753">
        <v>1779</v>
      </c>
      <c r="E10382" s="2754">
        <v>0.3060810960725</v>
      </c>
      <c r="F10382" s="2755">
        <v>7.0000000000000007E-2</v>
      </c>
      <c r="G10382" s="78"/>
      <c r="H10382" t="s">
        <v>4128</v>
      </c>
    </row>
    <row r="10383" spans="1:8" hidden="1" outlineLevel="1" x14ac:dyDescent="0.25">
      <c r="A10383" s="1920">
        <v>0.02</v>
      </c>
      <c r="B10383" s="1928" t="s">
        <v>1381</v>
      </c>
      <c r="C10383" s="2108">
        <v>67.73859998058002</v>
      </c>
      <c r="D10383" s="2753">
        <v>137.55000000000001</v>
      </c>
      <c r="E10383" s="2754">
        <v>1.0305999834575004</v>
      </c>
      <c r="F10383" s="2755">
        <v>7.0000000000000007E-2</v>
      </c>
      <c r="G10383" s="78"/>
      <c r="H10383" t="s">
        <v>1383</v>
      </c>
    </row>
    <row r="10384" spans="1:8" hidden="1" outlineLevel="1" x14ac:dyDescent="0.25">
      <c r="A10384" s="1920">
        <v>0.08</v>
      </c>
      <c r="B10384" s="2630" t="s">
        <v>4143</v>
      </c>
      <c r="C10384" s="2108">
        <v>5.2953597353601189</v>
      </c>
      <c r="D10384" s="2753">
        <v>2.6310000000000002</v>
      </c>
      <c r="E10384" s="2754">
        <v>-0.50314990265320003</v>
      </c>
      <c r="F10384" s="2755">
        <v>-0.50314990265320003</v>
      </c>
      <c r="G10384" s="78"/>
      <c r="H10384" t="s">
        <v>4144</v>
      </c>
    </row>
    <row r="10385" spans="1:8" hidden="1" outlineLevel="1" x14ac:dyDescent="0.25">
      <c r="A10385" s="1920">
        <v>0.02</v>
      </c>
      <c r="B10385" s="2757" t="s">
        <v>8951</v>
      </c>
      <c r="C10385" s="2108">
        <v>35.274000000000001</v>
      </c>
      <c r="D10385" s="2753">
        <v>68.212100000000007</v>
      </c>
      <c r="E10385" s="2754">
        <v>0.93377842036627556</v>
      </c>
      <c r="F10385" s="2755">
        <v>7.0000000000000007E-2</v>
      </c>
      <c r="G10385" s="78"/>
      <c r="H10385" t="s">
        <v>8952</v>
      </c>
    </row>
    <row r="10386" spans="1:8" hidden="1" outlineLevel="1" x14ac:dyDescent="0.25">
      <c r="A10386" s="1920">
        <v>0.02</v>
      </c>
      <c r="B10386" s="1921" t="s">
        <v>1905</v>
      </c>
      <c r="C10386" s="2108">
        <v>34.975999999999999</v>
      </c>
      <c r="D10386" s="2753">
        <v>90.95</v>
      </c>
      <c r="E10386" s="2754">
        <v>1.6003545288197625</v>
      </c>
      <c r="F10386" s="2755">
        <v>7.0000000000000007E-2</v>
      </c>
      <c r="G10386" s="78"/>
      <c r="H10386" t="s">
        <v>504</v>
      </c>
    </row>
    <row r="10387" spans="1:8" hidden="1" outlineLevel="1" x14ac:dyDescent="0.25">
      <c r="A10387" s="1920">
        <v>0.02</v>
      </c>
      <c r="B10387" s="1921" t="s">
        <v>2786</v>
      </c>
      <c r="C10387" s="2108">
        <v>623.3235380356017</v>
      </c>
      <c r="D10387" s="2753">
        <v>944.3</v>
      </c>
      <c r="E10387" s="2754">
        <v>0.51494359249764998</v>
      </c>
      <c r="F10387" s="2755">
        <v>7.0000000000000007E-2</v>
      </c>
      <c r="G10387" s="78"/>
      <c r="H10387" t="s">
        <v>4195</v>
      </c>
    </row>
    <row r="10388" spans="1:8" hidden="1" outlineLevel="1" x14ac:dyDescent="0.25">
      <c r="A10388" s="1920">
        <v>0.08</v>
      </c>
      <c r="B10388" s="1921" t="s">
        <v>2787</v>
      </c>
      <c r="C10388" s="2108">
        <v>49.954000000000001</v>
      </c>
      <c r="D10388" s="2753">
        <v>91.9</v>
      </c>
      <c r="E10388" s="2754">
        <v>0.83969251711574655</v>
      </c>
      <c r="F10388" s="2755">
        <v>7.0000000000000007E-2</v>
      </c>
      <c r="G10388" s="78"/>
      <c r="H10388" t="s">
        <v>8874</v>
      </c>
    </row>
    <row r="10389" spans="1:8" hidden="1" outlineLevel="1" x14ac:dyDescent="0.25">
      <c r="A10389" s="1920">
        <v>0.02</v>
      </c>
      <c r="B10389" s="1921" t="s">
        <v>5121</v>
      </c>
      <c r="C10389" s="2108">
        <v>539.5</v>
      </c>
      <c r="D10389" s="2753">
        <v>1905.5</v>
      </c>
      <c r="E10389" s="2754">
        <v>2.531974050046339</v>
      </c>
      <c r="F10389" s="2755">
        <v>7.0000000000000007E-2</v>
      </c>
      <c r="G10389" s="78"/>
      <c r="H10389" t="s">
        <v>5119</v>
      </c>
    </row>
    <row r="10390" spans="1:8" hidden="1" outlineLevel="1" x14ac:dyDescent="0.25">
      <c r="A10390" s="1920">
        <v>0.08</v>
      </c>
      <c r="B10390" s="1921" t="s">
        <v>3800</v>
      </c>
      <c r="C10390" s="2108">
        <v>141.13999999999999</v>
      </c>
      <c r="D10390" s="2753">
        <v>314</v>
      </c>
      <c r="E10390" s="2754">
        <v>1.2247413915261443</v>
      </c>
      <c r="F10390" s="2755">
        <v>7.0000000000000007E-2</v>
      </c>
      <c r="G10390" s="78"/>
      <c r="H10390" t="s">
        <v>8876</v>
      </c>
    </row>
    <row r="10391" spans="1:8" hidden="1" outlineLevel="1" x14ac:dyDescent="0.25">
      <c r="A10391" s="1920">
        <v>0.02</v>
      </c>
      <c r="B10391" s="1921" t="s">
        <v>4460</v>
      </c>
      <c r="C10391" s="2108">
        <v>1521.8700005024837</v>
      </c>
      <c r="D10391" s="2753">
        <v>2515</v>
      </c>
      <c r="E10391" s="2754">
        <v>0.65257216396249973</v>
      </c>
      <c r="F10391" s="2755">
        <v>7.0000000000000007E-2</v>
      </c>
      <c r="G10391" s="78"/>
      <c r="H10391" t="s">
        <v>3485</v>
      </c>
    </row>
    <row r="10392" spans="1:8" hidden="1" outlineLevel="1" x14ac:dyDescent="0.25">
      <c r="A10392" s="1920">
        <v>0.05</v>
      </c>
      <c r="B10392" s="1921" t="s">
        <v>1857</v>
      </c>
      <c r="C10392" s="2108">
        <v>1319.2</v>
      </c>
      <c r="D10392" s="2753">
        <v>1438.5</v>
      </c>
      <c r="E10392" s="2754">
        <v>9.0433596118859816E-2</v>
      </c>
      <c r="F10392" s="2755">
        <v>7.0000000000000007E-2</v>
      </c>
      <c r="G10392" s="78"/>
      <c r="H10392" t="s">
        <v>3559</v>
      </c>
    </row>
    <row r="10393" spans="1:8" hidden="1" outlineLevel="1" x14ac:dyDescent="0.25">
      <c r="A10393" s="1920">
        <v>0.02</v>
      </c>
      <c r="B10393" s="2746" t="s">
        <v>494</v>
      </c>
      <c r="C10393" s="2108">
        <v>74.099999999999994</v>
      </c>
      <c r="D10393" s="2753">
        <v>331</v>
      </c>
      <c r="E10393" s="2754">
        <v>3.4669365721997307</v>
      </c>
      <c r="F10393" s="2755">
        <v>7.0000000000000007E-2</v>
      </c>
      <c r="G10393" s="78"/>
      <c r="H10393" t="s">
        <v>3086</v>
      </c>
    </row>
    <row r="10394" spans="1:8" hidden="1" outlineLevel="1" x14ac:dyDescent="0.25">
      <c r="A10394" s="1920">
        <v>0.02</v>
      </c>
      <c r="B10394" s="1921" t="s">
        <v>3022</v>
      </c>
      <c r="C10394" s="2108">
        <v>3367</v>
      </c>
      <c r="D10394" s="2753">
        <v>4332</v>
      </c>
      <c r="E10394" s="2754">
        <v>0.28660528660528661</v>
      </c>
      <c r="F10394" s="2755">
        <v>7.0000000000000007E-2</v>
      </c>
      <c r="G10394" s="78"/>
      <c r="H10394" t="s">
        <v>2802</v>
      </c>
    </row>
    <row r="10395" spans="1:8" hidden="1" outlineLevel="1" x14ac:dyDescent="0.25">
      <c r="A10395" s="1920">
        <v>0.02</v>
      </c>
      <c r="B10395" s="1921" t="s">
        <v>577</v>
      </c>
      <c r="C10395" s="2108">
        <v>13.843399995630746</v>
      </c>
      <c r="D10395" s="2753">
        <v>6.2270000000000003</v>
      </c>
      <c r="E10395" s="2754">
        <v>-0.55018275842889997</v>
      </c>
      <c r="F10395" s="2755">
        <v>-0.55018275842889997</v>
      </c>
      <c r="G10395" s="78"/>
      <c r="H10395" t="s">
        <v>6732</v>
      </c>
    </row>
    <row r="10396" spans="1:8" hidden="1" outlineLevel="1" x14ac:dyDescent="0.25">
      <c r="A10396" s="1920">
        <v>0.05</v>
      </c>
      <c r="B10396" s="1921" t="s">
        <v>434</v>
      </c>
      <c r="C10396" s="2108">
        <v>44.351999999999997</v>
      </c>
      <c r="D10396" s="2753">
        <v>40.25</v>
      </c>
      <c r="E10396" s="2754">
        <v>-9.2487373737373701E-2</v>
      </c>
      <c r="F10396" s="2755">
        <v>-9.2487373737373701E-2</v>
      </c>
      <c r="G10396" s="78"/>
      <c r="H10396" t="s">
        <v>7745</v>
      </c>
    </row>
    <row r="10397" spans="1:8" hidden="1" outlineLevel="1" x14ac:dyDescent="0.25">
      <c r="A10397" s="1920">
        <v>0.03</v>
      </c>
      <c r="B10397" s="2544" t="s">
        <v>106</v>
      </c>
      <c r="C10397" s="2108">
        <v>2066.1999999999998</v>
      </c>
      <c r="D10397" s="2753">
        <v>4350.5</v>
      </c>
      <c r="E10397" s="2754">
        <v>1.1055560933113933</v>
      </c>
      <c r="F10397" s="2755">
        <v>7.0000000000000007E-2</v>
      </c>
      <c r="G10397" s="78"/>
      <c r="H10397" t="s">
        <v>107</v>
      </c>
    </row>
    <row r="10398" spans="1:8" hidden="1" outlineLevel="1" x14ac:dyDescent="0.25">
      <c r="A10398" s="1920">
        <v>0.02</v>
      </c>
      <c r="B10398" s="2544" t="s">
        <v>2983</v>
      </c>
      <c r="C10398" s="2108">
        <v>622.20000000000005</v>
      </c>
      <c r="D10398" s="2753">
        <v>943.4</v>
      </c>
      <c r="E10398" s="2754">
        <v>0.51623272259723541</v>
      </c>
      <c r="F10398" s="2755">
        <v>7.0000000000000007E-2</v>
      </c>
      <c r="G10398" s="78"/>
      <c r="H10398" t="s">
        <v>1713</v>
      </c>
    </row>
    <row r="10399" spans="1:8" hidden="1" outlineLevel="1" x14ac:dyDescent="0.25">
      <c r="A10399" s="1920">
        <v>0.02</v>
      </c>
      <c r="B10399" s="1903" t="s">
        <v>255</v>
      </c>
      <c r="C10399" s="2108">
        <v>37.252000000000002</v>
      </c>
      <c r="D10399" s="2753">
        <v>61.4</v>
      </c>
      <c r="E10399" s="2754">
        <v>0.64823365188446247</v>
      </c>
      <c r="F10399" s="2755">
        <v>7.0000000000000007E-2</v>
      </c>
      <c r="G10399" s="78"/>
      <c r="H10399" t="s">
        <v>3351</v>
      </c>
    </row>
    <row r="10400" spans="1:8" hidden="1" outlineLevel="1" x14ac:dyDescent="0.25">
      <c r="A10400" s="1920">
        <v>0.02</v>
      </c>
      <c r="B10400" s="2628" t="s">
        <v>579</v>
      </c>
      <c r="C10400" s="2108">
        <v>179.18000000293856</v>
      </c>
      <c r="D10400" s="2753">
        <v>146.76</v>
      </c>
      <c r="E10400" s="2754">
        <v>-0.18093537226480005</v>
      </c>
      <c r="F10400" s="2755">
        <v>-0.18093537226480005</v>
      </c>
      <c r="G10400" s="78"/>
      <c r="H10400" t="s">
        <v>3611</v>
      </c>
    </row>
    <row r="10401" spans="1:8" hidden="1" outlineLevel="1" x14ac:dyDescent="0.25">
      <c r="A10401" s="1920">
        <v>0.02</v>
      </c>
      <c r="B10401" s="2630" t="s">
        <v>4550</v>
      </c>
      <c r="C10401" s="2090">
        <v>199.2</v>
      </c>
      <c r="D10401" s="2753">
        <v>397.1</v>
      </c>
      <c r="E10401" s="2754">
        <v>0.99347389558232946</v>
      </c>
      <c r="F10401" s="2755">
        <v>7.0000000000000007E-2</v>
      </c>
      <c r="G10401" s="78"/>
      <c r="H10401" t="s">
        <v>8889</v>
      </c>
    </row>
    <row r="10402" spans="1:8" hidden="1" outlineLevel="1" x14ac:dyDescent="0.25">
      <c r="A10402" s="1897" t="s">
        <v>2465</v>
      </c>
      <c r="B10402" s="1931"/>
      <c r="C10402" s="1932"/>
      <c r="D10402" s="2758"/>
      <c r="E10402" s="2759">
        <v>0.76485899263371471</v>
      </c>
      <c r="F10402" s="1897">
        <v>-1.398723512998688E-3</v>
      </c>
      <c r="G10402" s="78"/>
    </row>
    <row r="10403" spans="1:8" hidden="1" outlineLevel="1" x14ac:dyDescent="0.25">
      <c r="A10403" s="2760"/>
      <c r="B10403" s="2761"/>
      <c r="C10403" s="2761"/>
      <c r="D10403" s="2761"/>
      <c r="E10403" s="2761"/>
      <c r="F10403" s="2762"/>
      <c r="G10403" s="78"/>
    </row>
    <row r="10404" spans="1:8" hidden="1" outlineLevel="1" x14ac:dyDescent="0.25">
      <c r="A10404" s="2763" t="s">
        <v>113</v>
      </c>
      <c r="B10404" s="2763"/>
      <c r="C10404" s="2764"/>
      <c r="D10404" s="2764"/>
      <c r="E10404" s="2765"/>
      <c r="F10404" s="2752"/>
      <c r="G10404" s="78"/>
    </row>
    <row r="10405" spans="1:8" hidden="1" outlineLevel="1" x14ac:dyDescent="0.25">
      <c r="A10405" s="2160" t="s">
        <v>5123</v>
      </c>
      <c r="B10405" s="2760"/>
      <c r="C10405" s="2761"/>
      <c r="D10405" s="2761"/>
      <c r="E10405" s="2761"/>
      <c r="F10405" s="2762">
        <v>0</v>
      </c>
      <c r="G10405" s="78"/>
    </row>
    <row r="10406" spans="1:8" hidden="1" outlineLevel="1" x14ac:dyDescent="0.25">
      <c r="A10406" s="2160" t="s">
        <v>5124</v>
      </c>
      <c r="B10406" s="2756"/>
      <c r="C10406" s="2746"/>
      <c r="D10406" s="2746"/>
      <c r="E10406" s="2746"/>
      <c r="F10406" s="2766">
        <v>4.7999999999999996E-3</v>
      </c>
      <c r="G10406" s="78"/>
    </row>
    <row r="10407" spans="1:8" hidden="1" outlineLevel="1" x14ac:dyDescent="0.25">
      <c r="A10407" s="2160" t="s">
        <v>5125</v>
      </c>
      <c r="B10407" s="2756"/>
      <c r="C10407" s="2746"/>
      <c r="D10407" s="2746"/>
      <c r="E10407" s="2746"/>
      <c r="F10407" s="2766">
        <v>1.3688999999999965E-2</v>
      </c>
      <c r="G10407" s="78"/>
    </row>
    <row r="10408" spans="1:8" hidden="1" outlineLevel="1" x14ac:dyDescent="0.25">
      <c r="A10408" s="2160" t="s">
        <v>5126</v>
      </c>
      <c r="B10408" s="2756"/>
      <c r="C10408" s="2746"/>
      <c r="D10408" s="2746"/>
      <c r="E10408" s="2746"/>
      <c r="F10408" s="2766">
        <v>2.1115999999999958E-2</v>
      </c>
      <c r="G10408" s="78"/>
    </row>
    <row r="10409" spans="1:8" hidden="1" outlineLevel="1" x14ac:dyDescent="0.25">
      <c r="A10409" s="2160" t="s">
        <v>5127</v>
      </c>
      <c r="B10409" s="2756"/>
      <c r="C10409" s="2746"/>
      <c r="D10409" s="2746"/>
      <c r="E10409" s="2746"/>
      <c r="F10409" s="2766">
        <v>5.1000000000000004E-3</v>
      </c>
      <c r="G10409" s="78"/>
    </row>
    <row r="10410" spans="1:8" hidden="1" outlineLevel="1" x14ac:dyDescent="0.25">
      <c r="A10410" s="2160" t="s">
        <v>5128</v>
      </c>
      <c r="B10410" s="2756"/>
      <c r="C10410" s="2746"/>
      <c r="D10410" s="2746"/>
      <c r="E10410" s="2746"/>
      <c r="F10410" s="2766">
        <v>9.0919999999999838E-3</v>
      </c>
      <c r="G10410" s="78"/>
    </row>
    <row r="10411" spans="1:8" hidden="1" outlineLevel="1" x14ac:dyDescent="0.25">
      <c r="A10411" s="2160" t="s">
        <v>5129</v>
      </c>
      <c r="B10411" s="2756"/>
      <c r="C10411" s="2746"/>
      <c r="D10411" s="2746"/>
      <c r="E10411" s="2746"/>
      <c r="F10411" s="2766">
        <v>0</v>
      </c>
      <c r="G10411" s="78"/>
    </row>
    <row r="10412" spans="1:8" hidden="1" outlineLevel="1" x14ac:dyDescent="0.25">
      <c r="A10412" s="2160" t="s">
        <v>5130</v>
      </c>
      <c r="B10412" s="2767"/>
      <c r="C10412" s="2768"/>
      <c r="D10412" s="2768"/>
      <c r="E10412" s="2768">
        <v>-0.05</v>
      </c>
      <c r="F10412" s="2769">
        <v>0</v>
      </c>
      <c r="G10412" s="78"/>
    </row>
    <row r="10413" spans="1:8" hidden="1" outlineLevel="1" x14ac:dyDescent="0.25">
      <c r="A10413" s="2160"/>
      <c r="B10413" s="2768"/>
      <c r="C10413" s="2768"/>
      <c r="D10413" s="2768"/>
      <c r="E10413" s="2768"/>
      <c r="F10413" s="2769"/>
      <c r="G10413" s="78"/>
    </row>
    <row r="10414" spans="1:8" collapsed="1" x14ac:dyDescent="0.25">
      <c r="A10414" s="3803" t="s">
        <v>5131</v>
      </c>
      <c r="B10414" s="3804"/>
      <c r="C10414" s="3804"/>
      <c r="D10414" s="2764"/>
      <c r="E10414" s="2764"/>
      <c r="F10414" s="1948">
        <v>5.37969999999999E-2</v>
      </c>
      <c r="G10414" s="78"/>
    </row>
    <row r="10416" spans="1:8" hidden="1" outlineLevel="1" x14ac:dyDescent="0.25">
      <c r="A10416" s="2618" t="s">
        <v>113</v>
      </c>
      <c r="B10416" s="2618" t="s">
        <v>114</v>
      </c>
      <c r="C10416" s="2618" t="s">
        <v>112</v>
      </c>
      <c r="D10416" s="2618" t="s">
        <v>116</v>
      </c>
      <c r="E10416" s="2618" t="s">
        <v>117</v>
      </c>
      <c r="F10416" s="2619" t="s">
        <v>121</v>
      </c>
      <c r="G10416" s="78"/>
    </row>
    <row r="10417" spans="1:8" hidden="1" outlineLevel="1" x14ac:dyDescent="0.25">
      <c r="A10417" s="2620">
        <v>8</v>
      </c>
      <c r="B10417" s="2620"/>
      <c r="C10417" s="2621"/>
      <c r="D10417" s="1900" t="s">
        <v>3702</v>
      </c>
      <c r="E10417" s="2622">
        <v>43798</v>
      </c>
      <c r="F10417" s="2623"/>
      <c r="G10417" s="78"/>
    </row>
    <row r="10418" spans="1:8" hidden="1" outlineLevel="1" x14ac:dyDescent="0.25">
      <c r="A10418" s="2618" t="s">
        <v>4156</v>
      </c>
      <c r="B10418" s="2618" t="s">
        <v>4153</v>
      </c>
      <c r="C10418" s="2624" t="s">
        <v>112</v>
      </c>
      <c r="D10418" s="2618" t="s">
        <v>4155</v>
      </c>
      <c r="E10418" s="2618" t="s">
        <v>4154</v>
      </c>
      <c r="F10418" s="2619" t="s">
        <v>734</v>
      </c>
      <c r="G10418" s="78"/>
    </row>
    <row r="10419" spans="1:8" hidden="1" outlineLevel="1" x14ac:dyDescent="0.25">
      <c r="A10419" s="1920">
        <v>3.3333000000000002E-2</v>
      </c>
      <c r="B10419" s="1921" t="s">
        <v>1993</v>
      </c>
      <c r="C10419" s="2331">
        <v>29.744</v>
      </c>
      <c r="D10419" s="2625">
        <v>49.7</v>
      </c>
      <c r="E10419" s="2626">
        <v>0.67092522861753645</v>
      </c>
      <c r="F10419" s="2627">
        <v>7.0000000000000007E-2</v>
      </c>
      <c r="G10419" s="78"/>
      <c r="H10419" t="s">
        <v>2812</v>
      </c>
    </row>
    <row r="10420" spans="1:8" hidden="1" outlineLevel="1" x14ac:dyDescent="0.25">
      <c r="A10420" s="1920">
        <v>3.3333000000000002E-2</v>
      </c>
      <c r="B10420" s="1921" t="s">
        <v>2942</v>
      </c>
      <c r="C10420" s="2331">
        <v>619.6</v>
      </c>
      <c r="D10420" s="2625">
        <v>1867.5</v>
      </c>
      <c r="E10420" s="2626">
        <v>2.0140413169786959</v>
      </c>
      <c r="F10420" s="2627">
        <v>7.0000000000000007E-2</v>
      </c>
      <c r="G10420" s="78"/>
      <c r="H10420" t="s">
        <v>2336</v>
      </c>
    </row>
    <row r="10421" spans="1:8" hidden="1" outlineLevel="1" x14ac:dyDescent="0.25">
      <c r="A10421" s="1920">
        <v>3.3333000000000002E-2</v>
      </c>
      <c r="B10421" s="2628" t="s">
        <v>1903</v>
      </c>
      <c r="C10421" s="2331">
        <v>2980.3</v>
      </c>
      <c r="D10421" s="2625">
        <v>7458</v>
      </c>
      <c r="E10421" s="2626">
        <v>1.5024326410092943</v>
      </c>
      <c r="F10421" s="2627">
        <v>7.0000000000000007E-2</v>
      </c>
      <c r="G10421" s="78"/>
      <c r="H10421" t="s">
        <v>3883</v>
      </c>
    </row>
    <row r="10422" spans="1:8" hidden="1" outlineLevel="1" x14ac:dyDescent="0.25">
      <c r="A10422" s="1920">
        <v>3.3333000000000002E-2</v>
      </c>
      <c r="B10422" s="2628" t="s">
        <v>3998</v>
      </c>
      <c r="C10422" s="2331">
        <v>30.053999999999998</v>
      </c>
      <c r="D10422" s="2625">
        <v>37.380000000000003</v>
      </c>
      <c r="E10422" s="2626">
        <v>0.2437612297863847</v>
      </c>
      <c r="F10422" s="2627">
        <v>7.0000000000000007E-2</v>
      </c>
      <c r="G10422" s="78"/>
      <c r="H10422" t="s">
        <v>4000</v>
      </c>
    </row>
    <row r="10423" spans="1:8" hidden="1" outlineLevel="1" x14ac:dyDescent="0.25">
      <c r="A10423" s="1920">
        <v>3.3333000000000002E-2</v>
      </c>
      <c r="B10423" s="1926" t="s">
        <v>805</v>
      </c>
      <c r="C10423" s="2331">
        <v>55.881999999999998</v>
      </c>
      <c r="D10423" s="2625">
        <v>102.22</v>
      </c>
      <c r="E10423" s="2626">
        <v>0.82921155291507098</v>
      </c>
      <c r="F10423" s="2627">
        <v>7.0000000000000007E-2</v>
      </c>
      <c r="G10423" s="78"/>
      <c r="H10423" t="s">
        <v>806</v>
      </c>
    </row>
    <row r="10424" spans="1:8" hidden="1" outlineLevel="1" x14ac:dyDescent="0.25">
      <c r="A10424" s="1920">
        <v>3.3333000000000002E-2</v>
      </c>
      <c r="B10424" s="1903" t="s">
        <v>4377</v>
      </c>
      <c r="C10424" s="2331">
        <v>35.182000000000002</v>
      </c>
      <c r="D10424" s="2625">
        <v>56.94</v>
      </c>
      <c r="E10424" s="2626">
        <v>0.61844124836564141</v>
      </c>
      <c r="F10424" s="2627">
        <v>7.0000000000000007E-2</v>
      </c>
      <c r="G10424" s="78"/>
      <c r="H10424" t="s">
        <v>4327</v>
      </c>
    </row>
    <row r="10425" spans="1:8" hidden="1" outlineLevel="1" x14ac:dyDescent="0.25">
      <c r="A10425" s="1920">
        <v>3.3333000000000002E-2</v>
      </c>
      <c r="B10425" s="2620" t="s">
        <v>3954</v>
      </c>
      <c r="C10425" s="2331">
        <v>73.59</v>
      </c>
      <c r="D10425" s="2625">
        <v>115.46</v>
      </c>
      <c r="E10425" s="2626">
        <v>0.56896317434434018</v>
      </c>
      <c r="F10425" s="2627">
        <v>7.0000000000000007E-2</v>
      </c>
      <c r="G10425" s="78"/>
      <c r="H10425" t="s">
        <v>3955</v>
      </c>
    </row>
    <row r="10426" spans="1:8" hidden="1" outlineLevel="1" x14ac:dyDescent="0.25">
      <c r="A10426" s="1920">
        <v>3.3333000000000002E-2</v>
      </c>
      <c r="B10426" s="2620" t="s">
        <v>1319</v>
      </c>
      <c r="C10426" s="2331">
        <v>62.258000000000003</v>
      </c>
      <c r="D10426" s="2625">
        <v>86.89</v>
      </c>
      <c r="E10426" s="2626">
        <v>0.39564393330977543</v>
      </c>
      <c r="F10426" s="2627">
        <v>7.0000000000000007E-2</v>
      </c>
      <c r="G10426" s="78"/>
      <c r="H10426" t="s">
        <v>1320</v>
      </c>
    </row>
    <row r="10427" spans="1:8" hidden="1" outlineLevel="1" x14ac:dyDescent="0.25">
      <c r="A10427" s="1920">
        <v>3.3333000000000002E-2</v>
      </c>
      <c r="B10427" s="1921" t="s">
        <v>5090</v>
      </c>
      <c r="C10427" s="2331">
        <v>3177</v>
      </c>
      <c r="D10427" s="2625">
        <v>8110</v>
      </c>
      <c r="E10427" s="2626">
        <v>1.5527226943657539</v>
      </c>
      <c r="F10427" s="2627">
        <v>7.0000000000000007E-2</v>
      </c>
      <c r="G10427" s="78"/>
      <c r="H10427" t="s">
        <v>5091</v>
      </c>
    </row>
    <row r="10428" spans="1:8" hidden="1" outlineLevel="1" x14ac:dyDescent="0.25">
      <c r="A10428" s="1920">
        <v>3.3333000000000002E-2</v>
      </c>
      <c r="B10428" s="2629" t="s">
        <v>5824</v>
      </c>
      <c r="C10428" s="2331">
        <v>11.983000000000001</v>
      </c>
      <c r="D10428" s="2625">
        <v>15</v>
      </c>
      <c r="E10428" s="2626">
        <v>0.25177334557289477</v>
      </c>
      <c r="F10428" s="2627">
        <v>7.0000000000000007E-2</v>
      </c>
      <c r="G10428" s="78"/>
      <c r="H10428" t="s">
        <v>5817</v>
      </c>
    </row>
    <row r="10429" spans="1:8" hidden="1" outlineLevel="1" x14ac:dyDescent="0.25">
      <c r="A10429" s="1920">
        <v>3.3333000000000002E-2</v>
      </c>
      <c r="B10429" s="1903" t="s">
        <v>3799</v>
      </c>
      <c r="C10429" s="2331">
        <v>1464.83</v>
      </c>
      <c r="D10429" s="2625">
        <v>1754</v>
      </c>
      <c r="E10429" s="2626">
        <v>0.19740857300847203</v>
      </c>
      <c r="F10429" s="2627">
        <v>7.0000000000000007E-2</v>
      </c>
      <c r="G10429" s="78"/>
      <c r="H10429" t="s">
        <v>4128</v>
      </c>
    </row>
    <row r="10430" spans="1:8" hidden="1" outlineLevel="1" x14ac:dyDescent="0.25">
      <c r="A10430" s="1920">
        <v>3.3333000000000002E-2</v>
      </c>
      <c r="B10430" s="1928" t="s">
        <v>1381</v>
      </c>
      <c r="C10430" s="2331">
        <v>70.637</v>
      </c>
      <c r="D10430" s="2625">
        <v>136.34</v>
      </c>
      <c r="E10430" s="2626">
        <v>0.93014992142927921</v>
      </c>
      <c r="F10430" s="2627">
        <v>7.0000000000000007E-2</v>
      </c>
      <c r="G10430" s="78"/>
      <c r="H10430" t="s">
        <v>1383</v>
      </c>
    </row>
    <row r="10431" spans="1:8" hidden="1" outlineLevel="1" x14ac:dyDescent="0.25">
      <c r="A10431" s="1920">
        <v>3.3333000000000002E-2</v>
      </c>
      <c r="B10431" s="2630" t="s">
        <v>4143</v>
      </c>
      <c r="C10431" s="2331">
        <v>5.5556999999999999</v>
      </c>
      <c r="D10431" s="2625">
        <v>2.7960000000000003</v>
      </c>
      <c r="E10431" s="2626">
        <v>-0.49673308493979151</v>
      </c>
      <c r="F10431" s="2627">
        <v>-0.49673308493979151</v>
      </c>
      <c r="G10431" s="78"/>
      <c r="H10431" t="s">
        <v>4144</v>
      </c>
    </row>
    <row r="10432" spans="1:8" hidden="1" outlineLevel="1" x14ac:dyDescent="0.25">
      <c r="A10432" s="1920">
        <v>3.3333000000000002E-2</v>
      </c>
      <c r="B10432" s="2631" t="s">
        <v>7573</v>
      </c>
      <c r="C10432" s="2331">
        <v>37.548000000000002</v>
      </c>
      <c r="D10432" s="2625">
        <v>30.5</v>
      </c>
      <c r="E10432" s="2626">
        <v>-0.18770640247150316</v>
      </c>
      <c r="F10432" s="2627">
        <v>-0.18770640247150316</v>
      </c>
      <c r="G10432" s="78"/>
      <c r="H10432" t="s">
        <v>7571</v>
      </c>
    </row>
    <row r="10433" spans="1:8" hidden="1" outlineLevel="1" x14ac:dyDescent="0.25">
      <c r="A10433" s="1920">
        <v>3.3333000000000002E-2</v>
      </c>
      <c r="B10433" s="1921" t="s">
        <v>1905</v>
      </c>
      <c r="C10433" s="2331">
        <v>37.701999999999998</v>
      </c>
      <c r="D10433" s="2625">
        <v>87.18</v>
      </c>
      <c r="E10433" s="2626">
        <v>1.3123441727229328</v>
      </c>
      <c r="F10433" s="2627">
        <v>7.0000000000000007E-2</v>
      </c>
      <c r="G10433" s="78"/>
      <c r="H10433" t="s">
        <v>504</v>
      </c>
    </row>
    <row r="10434" spans="1:8" hidden="1" outlineLevel="1" x14ac:dyDescent="0.25">
      <c r="A10434" s="1920">
        <v>3.3333000000000002E-2</v>
      </c>
      <c r="B10434" s="1921" t="s">
        <v>2786</v>
      </c>
      <c r="C10434" s="2331">
        <v>624.29999999999995</v>
      </c>
      <c r="D10434" s="2625">
        <v>889.7</v>
      </c>
      <c r="E10434" s="2626">
        <v>0.42511613006567384</v>
      </c>
      <c r="F10434" s="2627">
        <v>7.0000000000000007E-2</v>
      </c>
      <c r="G10434" s="78"/>
      <c r="H10434" t="s">
        <v>4195</v>
      </c>
    </row>
    <row r="10435" spans="1:8" hidden="1" outlineLevel="1" x14ac:dyDescent="0.25">
      <c r="A10435" s="1920">
        <v>3.3333000000000002E-2</v>
      </c>
      <c r="B10435" s="1921" t="s">
        <v>2787</v>
      </c>
      <c r="C10435" s="2331">
        <v>53.41</v>
      </c>
      <c r="D10435" s="2625">
        <v>92.06</v>
      </c>
      <c r="E10435" s="2626">
        <v>0.72364725706796484</v>
      </c>
      <c r="F10435" s="2627">
        <v>7.0000000000000007E-2</v>
      </c>
      <c r="G10435" s="78"/>
      <c r="H10435" t="s">
        <v>8874</v>
      </c>
    </row>
    <row r="10436" spans="1:8" hidden="1" outlineLevel="1" x14ac:dyDescent="0.25">
      <c r="A10436" s="1920">
        <v>3.3333000000000002E-2</v>
      </c>
      <c r="B10436" s="1921" t="s">
        <v>3800</v>
      </c>
      <c r="C10436" s="2331">
        <v>158.54</v>
      </c>
      <c r="D10436" s="2625">
        <v>308.2</v>
      </c>
      <c r="E10436" s="2626">
        <v>0.94398889870064329</v>
      </c>
      <c r="F10436" s="2627">
        <v>7.0000000000000007E-2</v>
      </c>
      <c r="G10436" s="78"/>
      <c r="H10436" t="s">
        <v>8876</v>
      </c>
    </row>
    <row r="10437" spans="1:8" hidden="1" outlineLevel="1" x14ac:dyDescent="0.25">
      <c r="A10437" s="1920">
        <v>3.3333000000000002E-2</v>
      </c>
      <c r="B10437" s="1921" t="s">
        <v>4460</v>
      </c>
      <c r="C10437" s="2331">
        <v>1440.2</v>
      </c>
      <c r="D10437" s="2625">
        <v>2243</v>
      </c>
      <c r="E10437" s="2626">
        <v>0.55742258019719482</v>
      </c>
      <c r="F10437" s="2627">
        <v>7.0000000000000007E-2</v>
      </c>
      <c r="G10437" s="78"/>
      <c r="H10437" t="s">
        <v>3485</v>
      </c>
    </row>
    <row r="10438" spans="1:8" hidden="1" outlineLevel="1" x14ac:dyDescent="0.25">
      <c r="A10438" s="1920">
        <v>3.3333000000000002E-2</v>
      </c>
      <c r="B10438" s="1921" t="s">
        <v>1857</v>
      </c>
      <c r="C10438" s="2331">
        <v>1279.4000000000001</v>
      </c>
      <c r="D10438" s="2625">
        <v>1300</v>
      </c>
      <c r="E10438" s="2626">
        <v>1.6101297483195109E-2</v>
      </c>
      <c r="F10438" s="2627">
        <v>7.0000000000000007E-2</v>
      </c>
      <c r="G10438" s="78"/>
      <c r="H10438" t="s">
        <v>3559</v>
      </c>
    </row>
    <row r="10439" spans="1:8" hidden="1" outlineLevel="1" x14ac:dyDescent="0.25">
      <c r="A10439" s="1920">
        <v>3.3333000000000002E-2</v>
      </c>
      <c r="B10439" s="2620" t="s">
        <v>494</v>
      </c>
      <c r="C10439" s="2331">
        <v>75.48</v>
      </c>
      <c r="D10439" s="2625">
        <v>305</v>
      </c>
      <c r="E10439" s="2626">
        <v>3.0408055113937467</v>
      </c>
      <c r="F10439" s="2627">
        <v>7.0000000000000007E-2</v>
      </c>
      <c r="G10439" s="78"/>
      <c r="H10439" t="s">
        <v>3086</v>
      </c>
    </row>
    <row r="10440" spans="1:8" hidden="1" outlineLevel="1" x14ac:dyDescent="0.25">
      <c r="A10440" s="1920">
        <v>3.3333000000000002E-2</v>
      </c>
      <c r="B10440" s="1921" t="s">
        <v>3022</v>
      </c>
      <c r="C10440" s="2331">
        <v>3335</v>
      </c>
      <c r="D10440" s="2625">
        <v>4455</v>
      </c>
      <c r="E10440" s="2626">
        <v>0.33583208395802089</v>
      </c>
      <c r="F10440" s="2627">
        <v>7.0000000000000007E-2</v>
      </c>
      <c r="G10440" s="78"/>
      <c r="H10440" t="s">
        <v>2802</v>
      </c>
    </row>
    <row r="10441" spans="1:8" hidden="1" outlineLevel="1" x14ac:dyDescent="0.25">
      <c r="A10441" s="1920">
        <v>3.3333000000000002E-2</v>
      </c>
      <c r="B10441" s="1921" t="s">
        <v>577</v>
      </c>
      <c r="C10441" s="2331">
        <v>13.077199999999999</v>
      </c>
      <c r="D10441" s="2625">
        <v>6.952</v>
      </c>
      <c r="E10441" s="2626">
        <v>-0.46838772825987207</v>
      </c>
      <c r="F10441" s="2627">
        <v>-0.46838772825987207</v>
      </c>
      <c r="G10441" s="78"/>
      <c r="H10441" t="s">
        <v>6732</v>
      </c>
    </row>
    <row r="10442" spans="1:8" hidden="1" outlineLevel="1" x14ac:dyDescent="0.25">
      <c r="A10442" s="1920">
        <v>3.3333000000000002E-2</v>
      </c>
      <c r="B10442" s="1921" t="s">
        <v>434</v>
      </c>
      <c r="C10442" s="2331">
        <v>46.13</v>
      </c>
      <c r="D10442" s="2625">
        <v>41.45</v>
      </c>
      <c r="E10442" s="2626">
        <v>-0.10145241708215913</v>
      </c>
      <c r="F10442" s="2627">
        <v>-0.10145241708215913</v>
      </c>
      <c r="G10442" s="78"/>
      <c r="H10442" t="s">
        <v>7745</v>
      </c>
    </row>
    <row r="10443" spans="1:8" hidden="1" outlineLevel="1" x14ac:dyDescent="0.25">
      <c r="A10443" s="1920">
        <v>3.3333000000000002E-2</v>
      </c>
      <c r="B10443" s="2544" t="s">
        <v>106</v>
      </c>
      <c r="C10443" s="2331">
        <v>2159</v>
      </c>
      <c r="D10443" s="2625">
        <v>4578</v>
      </c>
      <c r="E10443" s="2626">
        <v>1.1204261232051875</v>
      </c>
      <c r="F10443" s="2627">
        <v>7.0000000000000007E-2</v>
      </c>
      <c r="G10443" s="78"/>
      <c r="H10443" t="s">
        <v>107</v>
      </c>
    </row>
    <row r="10444" spans="1:8" hidden="1" outlineLevel="1" x14ac:dyDescent="0.25">
      <c r="A10444" s="1920">
        <v>3.3333000000000002E-2</v>
      </c>
      <c r="B10444" s="2544" t="s">
        <v>2983</v>
      </c>
      <c r="C10444" s="2331">
        <v>603.6</v>
      </c>
      <c r="D10444" s="2625">
        <v>853.4</v>
      </c>
      <c r="E10444" s="2626">
        <v>0.41385023194168324</v>
      </c>
      <c r="F10444" s="2627">
        <v>7.0000000000000007E-2</v>
      </c>
      <c r="G10444" s="78"/>
      <c r="H10444" t="s">
        <v>1713</v>
      </c>
    </row>
    <row r="10445" spans="1:8" hidden="1" outlineLevel="1" x14ac:dyDescent="0.25">
      <c r="A10445" s="1920">
        <v>3.3333000000000002E-2</v>
      </c>
      <c r="B10445" s="1903" t="s">
        <v>255</v>
      </c>
      <c r="C10445" s="2331">
        <v>39.979999999999997</v>
      </c>
      <c r="D10445" s="2625">
        <v>60.24</v>
      </c>
      <c r="E10445" s="2626">
        <v>0.5067533766883443</v>
      </c>
      <c r="F10445" s="2627">
        <v>7.0000000000000007E-2</v>
      </c>
      <c r="G10445" s="78"/>
      <c r="H10445" t="s">
        <v>3351</v>
      </c>
    </row>
    <row r="10446" spans="1:8" hidden="1" outlineLevel="1" x14ac:dyDescent="0.25">
      <c r="A10446" s="1920">
        <v>3.3333000000000002E-2</v>
      </c>
      <c r="B10446" s="2628" t="s">
        <v>579</v>
      </c>
      <c r="C10446" s="2331">
        <v>182.93</v>
      </c>
      <c r="D10446" s="2625">
        <v>153.36000000000001</v>
      </c>
      <c r="E10446" s="2626">
        <v>-0.16164653146012131</v>
      </c>
      <c r="F10446" s="2627">
        <v>-0.16164653146012131</v>
      </c>
      <c r="G10446" s="78"/>
      <c r="H10446" t="s">
        <v>3611</v>
      </c>
    </row>
    <row r="10447" spans="1:8" hidden="1" outlineLevel="1" x14ac:dyDescent="0.25">
      <c r="A10447" s="1920">
        <v>3.3333000000000002E-2</v>
      </c>
      <c r="B10447" s="2628" t="s">
        <v>5169</v>
      </c>
      <c r="C10447" s="2331">
        <v>93.957999999999998</v>
      </c>
      <c r="D10447" s="2625">
        <v>0.1525</v>
      </c>
      <c r="E10447" s="2626">
        <v>-0.99837693437493347</v>
      </c>
      <c r="F10447" s="2627">
        <v>-0.99837693437493347</v>
      </c>
      <c r="G10447" s="78"/>
      <c r="H10447" t="s">
        <v>9765</v>
      </c>
    </row>
    <row r="10448" spans="1:8" hidden="1" outlineLevel="1" x14ac:dyDescent="0.25">
      <c r="A10448" s="1920">
        <v>3.3333000000000002E-2</v>
      </c>
      <c r="B10448" s="2630" t="s">
        <v>4550</v>
      </c>
      <c r="C10448" s="2337">
        <v>210.48</v>
      </c>
      <c r="D10448" s="2625">
        <v>392.3</v>
      </c>
      <c r="E10448" s="2626">
        <v>0.86383504370961628</v>
      </c>
      <c r="F10448" s="2627">
        <v>7.0000000000000007E-2</v>
      </c>
      <c r="G10448" s="78"/>
      <c r="H10448" t="s">
        <v>8889</v>
      </c>
    </row>
    <row r="10449" spans="1:15" hidden="1" outlineLevel="1" x14ac:dyDescent="0.25">
      <c r="A10449" s="1897" t="s">
        <v>2465</v>
      </c>
      <c r="B10449" s="1931"/>
      <c r="C10449" s="1932"/>
      <c r="D10449" s="2632"/>
      <c r="E10449" s="2633">
        <v>0.58737060851014278</v>
      </c>
      <c r="F10449" s="1897">
        <v>-2.4476769952946002E-2</v>
      </c>
      <c r="G10449" s="78"/>
    </row>
    <row r="10450" spans="1:15" hidden="1" outlineLevel="1" x14ac:dyDescent="0.25">
      <c r="A10450" s="2634"/>
      <c r="B10450" s="2635"/>
      <c r="C10450" s="2635"/>
      <c r="D10450" s="2635"/>
      <c r="E10450" s="2635"/>
      <c r="F10450" s="2636"/>
      <c r="G10450" s="78"/>
    </row>
    <row r="10451" spans="1:15" hidden="1" outlineLevel="1" x14ac:dyDescent="0.25">
      <c r="A10451" s="2618" t="s">
        <v>113</v>
      </c>
      <c r="B10451" s="2618"/>
      <c r="C10451" s="2618"/>
      <c r="D10451" s="2618"/>
      <c r="E10451" s="2637"/>
      <c r="F10451" s="2619"/>
      <c r="G10451" s="78"/>
    </row>
    <row r="10452" spans="1:15" hidden="1" outlineLevel="1" x14ac:dyDescent="0.25">
      <c r="A10452" s="2160" t="s">
        <v>5147</v>
      </c>
      <c r="B10452" s="2634"/>
      <c r="C10452" s="2635"/>
      <c r="D10452" s="2635"/>
      <c r="E10452" s="2635"/>
      <c r="F10452" s="2636">
        <v>0</v>
      </c>
      <c r="G10452" s="78"/>
    </row>
    <row r="10453" spans="1:15" hidden="1" outlineLevel="1" x14ac:dyDescent="0.25">
      <c r="A10453" s="2160" t="s">
        <v>5148</v>
      </c>
      <c r="B10453" s="2629"/>
      <c r="C10453" s="2620"/>
      <c r="D10453" s="2620"/>
      <c r="E10453" s="2620"/>
      <c r="F10453" s="2638">
        <v>1.316999999999993E-2</v>
      </c>
      <c r="G10453" s="78"/>
    </row>
    <row r="10454" spans="1:15" hidden="1" outlineLevel="1" x14ac:dyDescent="0.25">
      <c r="A10454" s="2160" t="s">
        <v>5149</v>
      </c>
      <c r="B10454" s="2629"/>
      <c r="C10454" s="2620"/>
      <c r="D10454" s="2620"/>
      <c r="E10454" s="2620"/>
      <c r="F10454" s="2638">
        <v>3.9281000000000003E-2</v>
      </c>
      <c r="G10454" s="78"/>
    </row>
    <row r="10455" spans="1:15" hidden="1" outlineLevel="1" x14ac:dyDescent="0.25">
      <c r="A10455" s="2160" t="s">
        <v>5150</v>
      </c>
      <c r="B10455" s="2629"/>
      <c r="C10455" s="2620"/>
      <c r="D10455" s="2620"/>
      <c r="E10455" s="2620"/>
      <c r="F10455" s="2638">
        <v>1.1507000000000005E-2</v>
      </c>
      <c r="G10455" s="78"/>
    </row>
    <row r="10456" spans="1:15" hidden="1" outlineLevel="1" x14ac:dyDescent="0.25">
      <c r="A10456" s="2160" t="s">
        <v>5151</v>
      </c>
      <c r="B10456" s="2629"/>
      <c r="C10456" s="2620"/>
      <c r="D10456" s="2620"/>
      <c r="E10456" s="2620"/>
      <c r="F10456" s="2638">
        <v>2.7000000000000001E-3</v>
      </c>
      <c r="G10456" s="78"/>
    </row>
    <row r="10457" spans="1:15" hidden="1" outlineLevel="1" x14ac:dyDescent="0.25">
      <c r="A10457" s="2160" t="s">
        <v>5152</v>
      </c>
      <c r="B10457" s="2629"/>
      <c r="C10457" s="2620"/>
      <c r="D10457" s="2620"/>
      <c r="E10457" s="2620">
        <v>-0.6</v>
      </c>
      <c r="F10457" s="2639">
        <v>0</v>
      </c>
      <c r="G10457" s="78"/>
    </row>
    <row r="10458" spans="1:15" hidden="1" outlineLevel="1" x14ac:dyDescent="0.25">
      <c r="A10458" s="2160" t="s">
        <v>5153</v>
      </c>
      <c r="B10458" s="2629"/>
      <c r="C10458" s="2620"/>
      <c r="D10458" s="2620"/>
      <c r="E10458" s="2620">
        <v>-1.74</v>
      </c>
      <c r="F10458" s="2639">
        <v>0</v>
      </c>
      <c r="G10458" s="78"/>
    </row>
    <row r="10459" spans="1:15" hidden="1" outlineLevel="1" x14ac:dyDescent="0.25">
      <c r="A10459" s="2160" t="s">
        <v>5154</v>
      </c>
      <c r="B10459" s="2640"/>
      <c r="C10459" s="2641"/>
      <c r="D10459" s="2641"/>
      <c r="E10459" s="2641">
        <v>-1.68</v>
      </c>
      <c r="F10459" s="2642">
        <v>0</v>
      </c>
      <c r="G10459" s="78"/>
    </row>
    <row r="10460" spans="1:15" hidden="1" outlineLevel="1" x14ac:dyDescent="0.25">
      <c r="A10460" s="2160"/>
      <c r="B10460" s="2641"/>
      <c r="C10460" s="2641"/>
      <c r="D10460" s="2641"/>
      <c r="E10460" s="2641"/>
      <c r="F10460" s="2642"/>
      <c r="G10460" s="78"/>
    </row>
    <row r="10461" spans="1:15" collapsed="1" x14ac:dyDescent="0.25">
      <c r="A10461" s="3803" t="s">
        <v>5155</v>
      </c>
      <c r="B10461" s="3804"/>
      <c r="C10461" s="3804"/>
      <c r="D10461" s="2643"/>
      <c r="E10461" s="2643"/>
      <c r="F10461" s="1948">
        <v>6.665799999999994E-2</v>
      </c>
      <c r="G10461" s="78"/>
      <c r="O10461" s="414"/>
    </row>
    <row r="10463" spans="1:15" hidden="1" outlineLevel="1" x14ac:dyDescent="0.25">
      <c r="A10463" s="2489" t="s">
        <v>113</v>
      </c>
      <c r="B10463" s="2489" t="s">
        <v>114</v>
      </c>
      <c r="C10463" s="2489" t="s">
        <v>112</v>
      </c>
      <c r="D10463" s="2489" t="s">
        <v>116</v>
      </c>
      <c r="E10463" s="2489" t="s">
        <v>117</v>
      </c>
      <c r="F10463" s="2476" t="s">
        <v>121</v>
      </c>
      <c r="G10463" s="78"/>
    </row>
    <row r="10464" spans="1:15" hidden="1" outlineLevel="1" x14ac:dyDescent="0.25">
      <c r="A10464" s="2509">
        <v>5</v>
      </c>
      <c r="B10464" s="2509"/>
      <c r="C10464" s="2498"/>
      <c r="D10464" s="1900" t="s">
        <v>3702</v>
      </c>
      <c r="E10464" s="2510">
        <v>42886</v>
      </c>
      <c r="F10464" s="2539"/>
      <c r="G10464" s="78"/>
    </row>
    <row r="10465" spans="1:8" hidden="1" outlineLevel="1" x14ac:dyDescent="0.25">
      <c r="A10465" s="2489" t="s">
        <v>4156</v>
      </c>
      <c r="B10465" s="2489" t="s">
        <v>4153</v>
      </c>
      <c r="C10465" s="2541" t="s">
        <v>112</v>
      </c>
      <c r="D10465" s="2489" t="s">
        <v>4155</v>
      </c>
      <c r="E10465" s="2489" t="s">
        <v>4154</v>
      </c>
      <c r="F10465" s="2476" t="s">
        <v>734</v>
      </c>
      <c r="G10465" s="78"/>
    </row>
    <row r="10466" spans="1:8" hidden="1" outlineLevel="1" x14ac:dyDescent="0.25">
      <c r="A10466" s="1920">
        <v>0.02</v>
      </c>
      <c r="B10466" s="1813" t="s">
        <v>1993</v>
      </c>
      <c r="C10466" s="1902">
        <v>28.832000000000001</v>
      </c>
      <c r="D10466" s="2452">
        <v>75.44</v>
      </c>
      <c r="E10466" s="2525">
        <v>1.6165371809100999</v>
      </c>
      <c r="F10466" s="2451">
        <v>0.06</v>
      </c>
      <c r="G10466" s="78"/>
      <c r="H10466" t="s">
        <v>2812</v>
      </c>
    </row>
    <row r="10467" spans="1:8" hidden="1" outlineLevel="1" x14ac:dyDescent="0.25">
      <c r="A10467" s="1920">
        <v>0.02</v>
      </c>
      <c r="B10467" s="2509" t="s">
        <v>1317</v>
      </c>
      <c r="C10467" s="1902">
        <v>40.944000000000003</v>
      </c>
      <c r="D10467" s="2452">
        <v>71.78</v>
      </c>
      <c r="E10467" s="2525">
        <v>0.75312622118014838</v>
      </c>
      <c r="F10467" s="2451">
        <v>0.06</v>
      </c>
      <c r="G10467" s="78"/>
      <c r="H10467" t="s">
        <v>1318</v>
      </c>
    </row>
    <row r="10468" spans="1:8" hidden="1" outlineLevel="1" x14ac:dyDescent="0.25">
      <c r="A10468" s="1920">
        <v>0.08</v>
      </c>
      <c r="B10468" s="1813" t="s">
        <v>2942</v>
      </c>
      <c r="C10468" s="1902">
        <v>625.20000000000005</v>
      </c>
      <c r="D10468" s="2452">
        <v>1398.5</v>
      </c>
      <c r="E10468" s="2525">
        <v>1.2368841970569417</v>
      </c>
      <c r="F10468" s="2451">
        <v>0.06</v>
      </c>
      <c r="G10468" s="78"/>
      <c r="H10468" t="s">
        <v>2336</v>
      </c>
    </row>
    <row r="10469" spans="1:8" hidden="1" outlineLevel="1" x14ac:dyDescent="0.25">
      <c r="A10469" s="1920">
        <v>0.02</v>
      </c>
      <c r="B10469" s="1926" t="s">
        <v>805</v>
      </c>
      <c r="C10469" s="1902">
        <v>57.161999999999999</v>
      </c>
      <c r="D10469" s="2452">
        <v>90.67</v>
      </c>
      <c r="E10469" s="2525">
        <v>0.58619362513557971</v>
      </c>
      <c r="F10469" s="2451">
        <v>0.06</v>
      </c>
      <c r="G10469" s="78"/>
      <c r="H10469" t="s">
        <v>806</v>
      </c>
    </row>
    <row r="10470" spans="1:8" hidden="1" outlineLevel="1" x14ac:dyDescent="0.25">
      <c r="A10470" s="1920">
        <v>0.08</v>
      </c>
      <c r="B10470" s="2509" t="s">
        <v>807</v>
      </c>
      <c r="C10470" s="1902">
        <v>42.244</v>
      </c>
      <c r="D10470" s="2452">
        <v>61.21</v>
      </c>
      <c r="E10470" s="2525">
        <v>0.44896316636682143</v>
      </c>
      <c r="F10470" s="2451">
        <v>0.06</v>
      </c>
      <c r="G10470" s="78"/>
      <c r="H10470" t="s">
        <v>808</v>
      </c>
    </row>
    <row r="10471" spans="1:8" hidden="1" outlineLevel="1" x14ac:dyDescent="0.25">
      <c r="A10471" s="1920">
        <v>0.04</v>
      </c>
      <c r="B10471" s="2509" t="s">
        <v>5194</v>
      </c>
      <c r="C10471" s="1902">
        <v>24.862300000000001</v>
      </c>
      <c r="D10471" s="2452">
        <v>38.54</v>
      </c>
      <c r="E10471" s="2525">
        <v>0.55013816099073698</v>
      </c>
      <c r="F10471" s="2451">
        <v>0.06</v>
      </c>
      <c r="G10471" s="78"/>
      <c r="H10471" t="s">
        <v>5192</v>
      </c>
    </row>
    <row r="10472" spans="1:8" hidden="1" outlineLevel="1" x14ac:dyDescent="0.25">
      <c r="A10472" s="1920">
        <v>0.02</v>
      </c>
      <c r="B10472" s="1813" t="s">
        <v>1319</v>
      </c>
      <c r="C10472" s="1902">
        <v>60.283999999999999</v>
      </c>
      <c r="D10472" s="2452">
        <v>82.79</v>
      </c>
      <c r="E10472" s="2525">
        <v>0.37333289098268208</v>
      </c>
      <c r="F10472" s="2451">
        <v>0.06</v>
      </c>
      <c r="G10472" s="78"/>
      <c r="H10472" t="s">
        <v>1320</v>
      </c>
    </row>
    <row r="10473" spans="1:8" hidden="1" outlineLevel="1" x14ac:dyDescent="0.25">
      <c r="A10473" s="1920">
        <v>0.04</v>
      </c>
      <c r="B10473" s="2509" t="s">
        <v>1231</v>
      </c>
      <c r="C10473" s="1902">
        <v>64.896000000000001</v>
      </c>
      <c r="D10473" s="2452">
        <v>85.68</v>
      </c>
      <c r="E10473" s="2525">
        <v>0.32026627218934922</v>
      </c>
      <c r="F10473" s="2451">
        <v>0.06</v>
      </c>
      <c r="G10473" s="78"/>
      <c r="H10473" t="s">
        <v>2041</v>
      </c>
    </row>
    <row r="10474" spans="1:8" hidden="1" outlineLevel="1" x14ac:dyDescent="0.25">
      <c r="A10474" s="1920">
        <v>0.08</v>
      </c>
      <c r="B10474" s="1813" t="s">
        <v>3240</v>
      </c>
      <c r="C10474" s="1902">
        <v>4850</v>
      </c>
      <c r="D10474" s="2452">
        <v>10615</v>
      </c>
      <c r="E10474" s="2525">
        <v>1.1886597938144332</v>
      </c>
      <c r="F10474" s="2451">
        <v>0.06</v>
      </c>
      <c r="G10474" s="78"/>
      <c r="H10474" t="s">
        <v>633</v>
      </c>
    </row>
    <row r="10475" spans="1:8" hidden="1" outlineLevel="1" x14ac:dyDescent="0.25">
      <c r="A10475" s="1920">
        <v>0.02</v>
      </c>
      <c r="B10475" s="2509" t="s">
        <v>5090</v>
      </c>
      <c r="C10475" s="1902">
        <v>3171</v>
      </c>
      <c r="D10475" s="2452">
        <v>5836</v>
      </c>
      <c r="E10475" s="2525">
        <v>0.84042888678650263</v>
      </c>
      <c r="F10475" s="2451">
        <v>0.06</v>
      </c>
      <c r="G10475" s="78"/>
      <c r="H10475" t="s">
        <v>5091</v>
      </c>
    </row>
    <row r="10476" spans="1:8" hidden="1" outlineLevel="1" x14ac:dyDescent="0.25">
      <c r="A10476" s="1920">
        <v>0.05</v>
      </c>
      <c r="B10476" s="1813" t="s">
        <v>5232</v>
      </c>
      <c r="C10476" s="1902">
        <v>62.058</v>
      </c>
      <c r="D10476" s="2452">
        <v>79.06</v>
      </c>
      <c r="E10476" s="2525">
        <v>0.2739695123916337</v>
      </c>
      <c r="F10476" s="2451">
        <v>0.06</v>
      </c>
      <c r="G10476" s="78"/>
      <c r="H10476" t="s">
        <v>5230</v>
      </c>
    </row>
    <row r="10477" spans="1:8" hidden="1" outlineLevel="1" x14ac:dyDescent="0.25">
      <c r="A10477" s="1920">
        <v>0.02</v>
      </c>
      <c r="B10477" s="1903" t="s">
        <v>4333</v>
      </c>
      <c r="C10477" s="1902">
        <v>41.834000000000003</v>
      </c>
      <c r="D10477" s="2452">
        <v>36.31</v>
      </c>
      <c r="E10477" s="2525">
        <v>-0.13204570445092512</v>
      </c>
      <c r="F10477" s="2451">
        <v>-0.13204570445092512</v>
      </c>
      <c r="G10477" s="78"/>
      <c r="H10477" t="s">
        <v>4335</v>
      </c>
    </row>
    <row r="10478" spans="1:8" hidden="1" outlineLevel="1" x14ac:dyDescent="0.25">
      <c r="A10478" s="1920">
        <v>0.02</v>
      </c>
      <c r="B10478" s="1928" t="s">
        <v>4268</v>
      </c>
      <c r="C10478" s="1902">
        <v>16.370699999999999</v>
      </c>
      <c r="D10478" s="2452">
        <v>14.89</v>
      </c>
      <c r="E10478" s="2525">
        <v>-9.0448178758391395E-2</v>
      </c>
      <c r="F10478" s="2451">
        <v>-9.0448178758391395E-2</v>
      </c>
      <c r="G10478" s="78"/>
      <c r="H10478" t="s">
        <v>8442</v>
      </c>
    </row>
    <row r="10479" spans="1:8" hidden="1" outlineLevel="1" x14ac:dyDescent="0.25">
      <c r="A10479" s="1920">
        <v>0.02</v>
      </c>
      <c r="B10479" s="2411" t="s">
        <v>1381</v>
      </c>
      <c r="C10479" s="1902">
        <v>70.004400000000004</v>
      </c>
      <c r="D10479" s="2452">
        <v>129.72999999999999</v>
      </c>
      <c r="E10479" s="2525">
        <v>0.85316922936272555</v>
      </c>
      <c r="F10479" s="2451">
        <v>0.06</v>
      </c>
      <c r="G10479" s="78"/>
      <c r="H10479" t="s">
        <v>1383</v>
      </c>
    </row>
    <row r="10480" spans="1:8" hidden="1" outlineLevel="1" x14ac:dyDescent="0.25">
      <c r="A10480" s="1920">
        <v>0.02</v>
      </c>
      <c r="B10480" s="2509" t="s">
        <v>7573</v>
      </c>
      <c r="C10480" s="1902">
        <v>37.462000000000003</v>
      </c>
      <c r="D10480" s="2452">
        <v>92.2</v>
      </c>
      <c r="E10480" s="2525">
        <v>1.4611606427846882</v>
      </c>
      <c r="F10480" s="2451">
        <v>0.06</v>
      </c>
      <c r="G10480" s="78"/>
      <c r="H10480" t="s">
        <v>7571</v>
      </c>
    </row>
    <row r="10481" spans="1:8" hidden="1" outlineLevel="1" x14ac:dyDescent="0.25">
      <c r="A10481" s="1920">
        <v>0.05</v>
      </c>
      <c r="B10481" s="1813" t="s">
        <v>247</v>
      </c>
      <c r="C10481" s="1902">
        <v>1563.8</v>
      </c>
      <c r="D10481" s="2452">
        <v>2218</v>
      </c>
      <c r="E10481" s="2525">
        <v>0.41833994116894746</v>
      </c>
      <c r="F10481" s="2451">
        <v>0.06</v>
      </c>
      <c r="G10481" s="78"/>
      <c r="H10481" t="s">
        <v>3640</v>
      </c>
    </row>
    <row r="10482" spans="1:8" hidden="1" outlineLevel="1" x14ac:dyDescent="0.25">
      <c r="A10482" s="1920">
        <v>0.08</v>
      </c>
      <c r="B10482" s="1903" t="s">
        <v>5164</v>
      </c>
      <c r="C10482" s="1902">
        <v>1206.4000000000001</v>
      </c>
      <c r="D10482" s="2452">
        <v>1495.5</v>
      </c>
      <c r="E10482" s="2525">
        <v>0.2396385941644561</v>
      </c>
      <c r="F10482" s="2451">
        <v>0.06</v>
      </c>
      <c r="G10482" s="78"/>
      <c r="H10482" t="s">
        <v>5162</v>
      </c>
    </row>
    <row r="10483" spans="1:8" hidden="1" outlineLevel="1" x14ac:dyDescent="0.25">
      <c r="A10483" s="1920">
        <v>0.02</v>
      </c>
      <c r="B10483" s="2509" t="s">
        <v>4273</v>
      </c>
      <c r="C10483" s="1902">
        <v>1426.4</v>
      </c>
      <c r="D10483" s="2452">
        <v>2717</v>
      </c>
      <c r="E10483" s="2525">
        <v>0.90479528883903515</v>
      </c>
      <c r="F10483" s="2451">
        <v>0.06</v>
      </c>
      <c r="G10483" s="78"/>
      <c r="H10483" t="s">
        <v>82</v>
      </c>
    </row>
    <row r="10484" spans="1:8" hidden="1" outlineLevel="1" x14ac:dyDescent="0.25">
      <c r="A10484" s="1920">
        <v>0.02</v>
      </c>
      <c r="B10484" s="1903" t="s">
        <v>2769</v>
      </c>
      <c r="C10484" s="1902">
        <v>26.773</v>
      </c>
      <c r="D10484" s="2452">
        <v>39.909999999999997</v>
      </c>
      <c r="E10484" s="2525">
        <v>0.49068090987188584</v>
      </c>
      <c r="F10484" s="2451">
        <v>0.06</v>
      </c>
      <c r="G10484" s="78"/>
      <c r="H10484" t="s">
        <v>2770</v>
      </c>
    </row>
    <row r="10485" spans="1:8" hidden="1" outlineLevel="1" x14ac:dyDescent="0.25">
      <c r="A10485" s="1920">
        <v>0.02</v>
      </c>
      <c r="B10485" s="2509" t="s">
        <v>3023</v>
      </c>
      <c r="C10485" s="1902">
        <v>66.644000000000005</v>
      </c>
      <c r="D10485" s="2452">
        <v>88.09</v>
      </c>
      <c r="E10485" s="2525">
        <v>0.32179941180001204</v>
      </c>
      <c r="F10485" s="2451">
        <v>0.06</v>
      </c>
      <c r="G10485" s="78"/>
      <c r="H10485" t="s">
        <v>2815</v>
      </c>
    </row>
    <row r="10486" spans="1:8" hidden="1" outlineLevel="1" x14ac:dyDescent="0.25">
      <c r="A10486" s="1920">
        <v>0.02</v>
      </c>
      <c r="B10486" s="1813" t="s">
        <v>5167</v>
      </c>
      <c r="C10486" s="1902">
        <v>3762</v>
      </c>
      <c r="D10486" s="2452">
        <v>9932</v>
      </c>
      <c r="E10486" s="2525">
        <v>1.6400850611376927</v>
      </c>
      <c r="F10486" s="2451">
        <v>0.06</v>
      </c>
      <c r="G10486" s="78"/>
      <c r="H10486" t="s">
        <v>5165</v>
      </c>
    </row>
    <row r="10487" spans="1:8" hidden="1" outlineLevel="1" x14ac:dyDescent="0.25">
      <c r="A10487" s="1920">
        <v>0.02</v>
      </c>
      <c r="B10487" s="1903" t="s">
        <v>3427</v>
      </c>
      <c r="C10487" s="1902">
        <v>45.148000000000003</v>
      </c>
      <c r="D10487" s="2452">
        <v>50.61</v>
      </c>
      <c r="E10487" s="2525">
        <v>0.12097988836714801</v>
      </c>
      <c r="F10487" s="2451">
        <v>0.06</v>
      </c>
      <c r="G10487" s="78"/>
      <c r="H10487" t="s">
        <v>2800</v>
      </c>
    </row>
    <row r="10488" spans="1:8" hidden="1" outlineLevel="1" x14ac:dyDescent="0.25">
      <c r="A10488" s="1920">
        <v>0.02</v>
      </c>
      <c r="B10488" s="1928" t="s">
        <v>1857</v>
      </c>
      <c r="C10488" s="1902">
        <v>1296</v>
      </c>
      <c r="D10488" s="2452">
        <v>1505</v>
      </c>
      <c r="E10488" s="2525">
        <v>0.16126543209876543</v>
      </c>
      <c r="F10488" s="2451">
        <v>0.06</v>
      </c>
      <c r="G10488" s="78"/>
      <c r="H10488" t="s">
        <v>3559</v>
      </c>
    </row>
    <row r="10489" spans="1:8" hidden="1" outlineLevel="1" x14ac:dyDescent="0.25">
      <c r="A10489" s="1920">
        <v>0.02</v>
      </c>
      <c r="B10489" s="2509" t="s">
        <v>5168</v>
      </c>
      <c r="C10489" s="1902">
        <v>1050.5999999999999</v>
      </c>
      <c r="D10489" s="2452">
        <v>1412.5</v>
      </c>
      <c r="E10489" s="2525">
        <v>0.34446982676565785</v>
      </c>
      <c r="F10489" s="2451">
        <v>0.06</v>
      </c>
      <c r="G10489" s="78"/>
      <c r="H10489" t="s">
        <v>5170</v>
      </c>
    </row>
    <row r="10490" spans="1:8" hidden="1" outlineLevel="1" x14ac:dyDescent="0.25">
      <c r="A10490" s="1920">
        <v>0.02</v>
      </c>
      <c r="B10490" s="1813" t="s">
        <v>1239</v>
      </c>
      <c r="C10490" s="1902">
        <v>356.18</v>
      </c>
      <c r="D10490" s="2452">
        <v>464.4</v>
      </c>
      <c r="E10490" s="2525">
        <v>0.30383513953618957</v>
      </c>
      <c r="F10490" s="2451">
        <v>0.06</v>
      </c>
      <c r="G10490" s="78"/>
      <c r="H10490" t="s">
        <v>268</v>
      </c>
    </row>
    <row r="10491" spans="1:8" hidden="1" outlineLevel="1" x14ac:dyDescent="0.25">
      <c r="A10491" s="1920">
        <v>0.08</v>
      </c>
      <c r="B10491" s="1813" t="s">
        <v>3022</v>
      </c>
      <c r="C10491" s="1902">
        <v>3364</v>
      </c>
      <c r="D10491" s="2452">
        <v>5707</v>
      </c>
      <c r="E10491" s="2525">
        <v>0.69649227110582634</v>
      </c>
      <c r="F10491" s="2451">
        <v>0.06</v>
      </c>
      <c r="G10491" s="78"/>
      <c r="H10491" t="s">
        <v>2802</v>
      </c>
    </row>
    <row r="10492" spans="1:8" hidden="1" outlineLevel="1" x14ac:dyDescent="0.25">
      <c r="A10492" s="1920">
        <v>0.02</v>
      </c>
      <c r="B10492" s="2509" t="s">
        <v>366</v>
      </c>
      <c r="C10492" s="1902">
        <v>44.01</v>
      </c>
      <c r="D10492" s="2452">
        <v>62.71</v>
      </c>
      <c r="E10492" s="2525">
        <v>0.42490343103840034</v>
      </c>
      <c r="F10492" s="2451">
        <v>0.06</v>
      </c>
      <c r="G10492" s="78"/>
      <c r="H10492" t="s">
        <v>367</v>
      </c>
    </row>
    <row r="10493" spans="1:8" hidden="1" outlineLevel="1" x14ac:dyDescent="0.25">
      <c r="A10493" s="1920">
        <v>0.02</v>
      </c>
      <c r="B10493" s="2544" t="s">
        <v>106</v>
      </c>
      <c r="C10493" s="1902">
        <v>2160.1999999999998</v>
      </c>
      <c r="D10493" s="2452">
        <v>4331.5</v>
      </c>
      <c r="E10493" s="2525">
        <v>1.0051384131098975</v>
      </c>
      <c r="F10493" s="2451">
        <v>0.06</v>
      </c>
      <c r="G10493" s="78"/>
      <c r="H10493" t="s">
        <v>107</v>
      </c>
    </row>
    <row r="10494" spans="1:8" hidden="1" outlineLevel="1" x14ac:dyDescent="0.25">
      <c r="A10494" s="1920">
        <v>0.02</v>
      </c>
      <c r="B10494" s="1813" t="s">
        <v>5174</v>
      </c>
      <c r="C10494" s="1902">
        <v>320.64</v>
      </c>
      <c r="D10494" s="2452">
        <v>246.2</v>
      </c>
      <c r="E10494" s="2525">
        <v>-0.23216067864271461</v>
      </c>
      <c r="F10494" s="2451">
        <v>-0.23216067864271461</v>
      </c>
      <c r="G10494" s="78"/>
      <c r="H10494" t="s">
        <v>5172</v>
      </c>
    </row>
    <row r="10495" spans="1:8" hidden="1" outlineLevel="1" x14ac:dyDescent="0.25">
      <c r="A10495" s="1920">
        <v>0.02</v>
      </c>
      <c r="B10495" s="1813" t="s">
        <v>2874</v>
      </c>
      <c r="C10495" s="1902">
        <v>27.324000000000002</v>
      </c>
      <c r="D10495" s="2452">
        <v>47.91</v>
      </c>
      <c r="E10495" s="2525">
        <v>0.75340360122968786</v>
      </c>
      <c r="F10495" s="2451">
        <v>0.06</v>
      </c>
      <c r="G10495" s="78"/>
      <c r="H10495" t="s">
        <v>5175</v>
      </c>
    </row>
    <row r="10496" spans="1:8" hidden="1" outlineLevel="1" x14ac:dyDescent="0.25">
      <c r="A10496" s="1897" t="s">
        <v>2465</v>
      </c>
      <c r="B10496" s="1931"/>
      <c r="C10496" s="1932"/>
      <c r="D10496" s="2338"/>
      <c r="E10496" s="2339">
        <v>0.62429570218760611</v>
      </c>
      <c r="F10496" s="2545">
        <v>4.7306908762959371E-2</v>
      </c>
      <c r="G10496" s="78"/>
    </row>
    <row r="10497" spans="1:8" hidden="1" outlineLevel="1" x14ac:dyDescent="0.25">
      <c r="A10497" s="2504"/>
      <c r="B10497" s="2505"/>
      <c r="C10497" s="2505"/>
      <c r="D10497" s="2505"/>
      <c r="E10497" s="2505"/>
      <c r="F10497" s="2542"/>
      <c r="G10497" s="78"/>
    </row>
    <row r="10498" spans="1:8" hidden="1" outlineLevel="1" x14ac:dyDescent="0.25">
      <c r="A10498" s="2156" t="s">
        <v>113</v>
      </c>
      <c r="B10498" s="2156"/>
      <c r="C10498" s="2356"/>
      <c r="D10498" s="2356"/>
      <c r="E10498" s="2503"/>
      <c r="F10498" s="2476"/>
      <c r="G10498" s="78"/>
    </row>
    <row r="10499" spans="1:8" hidden="1" outlineLevel="1" x14ac:dyDescent="0.25">
      <c r="A10499" s="1810" t="s">
        <v>5157</v>
      </c>
      <c r="B10499" s="2504"/>
      <c r="C10499" s="2505"/>
      <c r="D10499" s="2505"/>
      <c r="E10499" s="2194"/>
      <c r="F10499" s="2446">
        <v>2.5000000000000001E-2</v>
      </c>
      <c r="G10499" s="78"/>
    </row>
    <row r="10500" spans="1:8" hidden="1" outlineLevel="1" x14ac:dyDescent="0.25">
      <c r="A10500" s="1810" t="s">
        <v>5158</v>
      </c>
      <c r="B10500" s="2335"/>
      <c r="C10500" s="2509"/>
      <c r="D10500" s="2509"/>
      <c r="E10500" s="2199"/>
      <c r="F10500" s="2451">
        <v>3.15E-2</v>
      </c>
      <c r="G10500" s="78"/>
    </row>
    <row r="10501" spans="1:8" hidden="1" outlineLevel="1" x14ac:dyDescent="0.25">
      <c r="A10501" s="1810" t="s">
        <v>5159</v>
      </c>
      <c r="B10501" s="2335"/>
      <c r="C10501" s="2509"/>
      <c r="D10501" s="2509"/>
      <c r="E10501" s="2199"/>
      <c r="F10501" s="2451">
        <v>4.6205000000000072E-2</v>
      </c>
      <c r="G10501" s="78"/>
    </row>
    <row r="10502" spans="1:8" hidden="1" outlineLevel="1" x14ac:dyDescent="0.25">
      <c r="A10502" s="1810" t="s">
        <v>5160</v>
      </c>
      <c r="B10502" s="2335"/>
      <c r="C10502" s="2509"/>
      <c r="D10502" s="2509"/>
      <c r="E10502" s="2199"/>
      <c r="F10502" s="2451">
        <v>2.8385999999999995E-2</v>
      </c>
      <c r="G10502" s="78"/>
    </row>
    <row r="10503" spans="1:8" hidden="1" outlineLevel="1" x14ac:dyDescent="0.25">
      <c r="A10503" s="1810" t="s">
        <v>5161</v>
      </c>
      <c r="B10503" s="2350"/>
      <c r="C10503" s="2495"/>
      <c r="D10503" s="2495"/>
      <c r="E10503" s="2204"/>
      <c r="F10503" s="2379">
        <v>4.1700000000000001E-2</v>
      </c>
      <c r="G10503" s="78"/>
    </row>
    <row r="10504" spans="1:8" collapsed="1" x14ac:dyDescent="0.25">
      <c r="A10504" s="3803" t="s">
        <v>5176</v>
      </c>
      <c r="B10504" s="3804"/>
      <c r="C10504" s="3804"/>
      <c r="D10504" s="2356"/>
      <c r="E10504" s="2356"/>
      <c r="F10504" s="2604">
        <v>0.17279100000000008</v>
      </c>
      <c r="G10504" s="78"/>
    </row>
    <row r="10506" spans="1:8" hidden="1" outlineLevel="1" x14ac:dyDescent="0.25">
      <c r="A10506" s="2880" t="s">
        <v>113</v>
      </c>
      <c r="B10506" s="2880" t="s">
        <v>114</v>
      </c>
      <c r="C10506" s="2880" t="s">
        <v>112</v>
      </c>
      <c r="D10506" s="2880" t="s">
        <v>116</v>
      </c>
      <c r="E10506" s="2880" t="s">
        <v>117</v>
      </c>
      <c r="F10506" s="2881" t="s">
        <v>121</v>
      </c>
      <c r="G10506" s="78"/>
    </row>
    <row r="10507" spans="1:8" hidden="1" outlineLevel="1" x14ac:dyDescent="0.25">
      <c r="A10507" s="2882">
        <v>8</v>
      </c>
      <c r="B10507" s="2882"/>
      <c r="C10507" s="2883"/>
      <c r="D10507" s="1900" t="s">
        <v>3702</v>
      </c>
      <c r="E10507" s="2884">
        <v>43906</v>
      </c>
      <c r="F10507" s="2885"/>
      <c r="G10507" s="78"/>
    </row>
    <row r="10508" spans="1:8" hidden="1" outlineLevel="1" x14ac:dyDescent="0.25">
      <c r="A10508" s="2880" t="s">
        <v>4156</v>
      </c>
      <c r="B10508" s="2880" t="s">
        <v>4153</v>
      </c>
      <c r="C10508" s="2886" t="s">
        <v>112</v>
      </c>
      <c r="D10508" s="2880" t="s">
        <v>4155</v>
      </c>
      <c r="E10508" s="2880" t="s">
        <v>4154</v>
      </c>
      <c r="F10508" s="2887" t="s">
        <v>734</v>
      </c>
      <c r="G10508" s="78"/>
    </row>
    <row r="10509" spans="1:8" hidden="1" outlineLevel="1" x14ac:dyDescent="0.25">
      <c r="A10509" s="2888">
        <v>7.0000000000000007E-2</v>
      </c>
      <c r="B10509" s="2089" t="s">
        <v>1993</v>
      </c>
      <c r="C10509" s="2331">
        <v>28.898</v>
      </c>
      <c r="D10509" s="2889">
        <v>38.22</v>
      </c>
      <c r="E10509" s="2890">
        <v>0.32258287770779992</v>
      </c>
      <c r="F10509" s="2887">
        <v>7.0000000000000007E-2</v>
      </c>
      <c r="G10509" s="78"/>
      <c r="H10509" t="s">
        <v>2812</v>
      </c>
    </row>
    <row r="10510" spans="1:8" hidden="1" outlineLevel="1" x14ac:dyDescent="0.25">
      <c r="A10510" s="1920">
        <v>0.08</v>
      </c>
      <c r="B10510" s="1921" t="s">
        <v>2942</v>
      </c>
      <c r="C10510" s="2331">
        <v>615.6</v>
      </c>
      <c r="D10510" s="2891">
        <v>1470.5</v>
      </c>
      <c r="E10510" s="2892">
        <v>1.3887264457439894</v>
      </c>
      <c r="F10510" s="2893">
        <v>7.0000000000000007E-2</v>
      </c>
      <c r="G10510" s="78"/>
      <c r="H10510" t="s">
        <v>2336</v>
      </c>
    </row>
    <row r="10511" spans="1:8" hidden="1" outlineLevel="1" x14ac:dyDescent="0.25">
      <c r="A10511" s="1920">
        <v>0.05</v>
      </c>
      <c r="B10511" s="2628" t="s">
        <v>1903</v>
      </c>
      <c r="C10511" s="2331">
        <v>3067.6</v>
      </c>
      <c r="D10511" s="2891">
        <v>6221</v>
      </c>
      <c r="E10511" s="2892">
        <v>1.0279697483374624</v>
      </c>
      <c r="F10511" s="2893">
        <v>7.0000000000000007E-2</v>
      </c>
      <c r="G10511" s="78"/>
      <c r="H10511" t="s">
        <v>3883</v>
      </c>
    </row>
    <row r="10512" spans="1:8" hidden="1" outlineLevel="1" x14ac:dyDescent="0.25">
      <c r="A10512" s="1920">
        <v>0.03</v>
      </c>
      <c r="B10512" s="2628" t="s">
        <v>3998</v>
      </c>
      <c r="C10512" s="2331">
        <v>30.152000000000001</v>
      </c>
      <c r="D10512" s="2891">
        <v>31.81</v>
      </c>
      <c r="E10512" s="2892">
        <v>5.498806049349958E-2</v>
      </c>
      <c r="F10512" s="2893">
        <v>7.0000000000000007E-2</v>
      </c>
      <c r="G10512" s="78"/>
      <c r="H10512" t="s">
        <v>4000</v>
      </c>
    </row>
    <row r="10513" spans="1:8" hidden="1" outlineLevel="1" x14ac:dyDescent="0.25">
      <c r="A10513" s="1920">
        <v>0.05</v>
      </c>
      <c r="B10513" s="1926" t="s">
        <v>805</v>
      </c>
      <c r="C10513" s="2331">
        <v>58.396000000000001</v>
      </c>
      <c r="D10513" s="2891">
        <v>62.01</v>
      </c>
      <c r="E10513" s="2892">
        <v>6.1887800534283111E-2</v>
      </c>
      <c r="F10513" s="2893">
        <v>7.0000000000000007E-2</v>
      </c>
      <c r="G10513" s="78"/>
      <c r="H10513" t="s">
        <v>806</v>
      </c>
    </row>
    <row r="10514" spans="1:8" hidden="1" outlineLevel="1" x14ac:dyDescent="0.25">
      <c r="A10514" s="1920">
        <v>0.03</v>
      </c>
      <c r="B10514" s="1903" t="s">
        <v>4377</v>
      </c>
      <c r="C10514" s="2331">
        <v>33.893999999999998</v>
      </c>
      <c r="D10514" s="2891">
        <v>51.11</v>
      </c>
      <c r="E10514" s="2892">
        <v>0.50793650793650791</v>
      </c>
      <c r="F10514" s="2893">
        <v>7.0000000000000007E-2</v>
      </c>
      <c r="G10514" s="78"/>
      <c r="H10514" t="s">
        <v>4327</v>
      </c>
    </row>
    <row r="10515" spans="1:8" hidden="1" outlineLevel="1" x14ac:dyDescent="0.25">
      <c r="A10515" s="1920">
        <v>7.0000000000000007E-2</v>
      </c>
      <c r="B10515" s="2882" t="s">
        <v>1319</v>
      </c>
      <c r="C10515" s="2331">
        <v>59.192</v>
      </c>
      <c r="D10515" s="2891">
        <v>79.55</v>
      </c>
      <c r="E10515" s="2892">
        <v>0.34393161238005132</v>
      </c>
      <c r="F10515" s="2893">
        <v>7.0000000000000007E-2</v>
      </c>
      <c r="G10515" s="78"/>
      <c r="H10515" t="s">
        <v>1320</v>
      </c>
    </row>
    <row r="10516" spans="1:8" hidden="1" outlineLevel="1" x14ac:dyDescent="0.25">
      <c r="A10516" s="1920">
        <v>0.05</v>
      </c>
      <c r="B10516" s="1921" t="s">
        <v>5090</v>
      </c>
      <c r="C10516" s="2331">
        <v>3153</v>
      </c>
      <c r="D10516" s="2891">
        <v>6706</v>
      </c>
      <c r="E10516" s="2892">
        <v>1.1268633047890897</v>
      </c>
      <c r="F10516" s="2893">
        <v>7.0000000000000007E-2</v>
      </c>
      <c r="G10516" s="78"/>
      <c r="H10516" t="s">
        <v>5091</v>
      </c>
    </row>
    <row r="10517" spans="1:8" hidden="1" outlineLevel="1" x14ac:dyDescent="0.25">
      <c r="A10517" s="1920">
        <v>0.03</v>
      </c>
      <c r="B10517" s="1903" t="s">
        <v>3799</v>
      </c>
      <c r="C10517" s="2331">
        <v>1446.2</v>
      </c>
      <c r="D10517" s="2891">
        <v>1401.4</v>
      </c>
      <c r="E10517" s="2892">
        <v>-3.0977734753146136E-2</v>
      </c>
      <c r="F10517" s="2893">
        <v>-3.0977734753146136E-2</v>
      </c>
      <c r="G10517" s="78"/>
      <c r="H10517" t="s">
        <v>4128</v>
      </c>
    </row>
    <row r="10518" spans="1:8" hidden="1" outlineLevel="1" x14ac:dyDescent="0.25">
      <c r="A10518" s="1920">
        <v>7.0000000000000007E-2</v>
      </c>
      <c r="B10518" s="1928" t="s">
        <v>1381</v>
      </c>
      <c r="C10518" s="2331">
        <v>73.138000000000005</v>
      </c>
      <c r="D10518" s="2891">
        <v>134.71</v>
      </c>
      <c r="E10518" s="2892">
        <v>0.8418605923049578</v>
      </c>
      <c r="F10518" s="2893">
        <v>7.0000000000000007E-2</v>
      </c>
      <c r="G10518" s="78"/>
      <c r="H10518" t="s">
        <v>1383</v>
      </c>
    </row>
    <row r="10519" spans="1:8" hidden="1" outlineLevel="1" x14ac:dyDescent="0.25">
      <c r="A10519" s="1920">
        <v>0.05</v>
      </c>
      <c r="B10519" s="2630" t="s">
        <v>4143</v>
      </c>
      <c r="C10519" s="2331">
        <v>4.2927</v>
      </c>
      <c r="D10519" s="2891">
        <v>1.7694999999999999</v>
      </c>
      <c r="E10519" s="2892">
        <v>-0.58778857129545514</v>
      </c>
      <c r="F10519" s="2893">
        <v>-0.58778857129545514</v>
      </c>
      <c r="G10519" s="78"/>
      <c r="H10519" t="s">
        <v>4144</v>
      </c>
    </row>
    <row r="10520" spans="1:8" hidden="1" outlineLevel="1" x14ac:dyDescent="0.25">
      <c r="A10520" s="1920">
        <v>0.03</v>
      </c>
      <c r="B10520" s="1921" t="s">
        <v>1905</v>
      </c>
      <c r="C10520" s="2331">
        <v>38.607999999999997</v>
      </c>
      <c r="D10520" s="2891">
        <v>69.92</v>
      </c>
      <c r="E10520" s="2892">
        <v>0.81102362204724421</v>
      </c>
      <c r="F10520" s="2893">
        <v>7.0000000000000007E-2</v>
      </c>
      <c r="G10520" s="78"/>
      <c r="H10520" t="s">
        <v>504</v>
      </c>
    </row>
    <row r="10521" spans="1:8" hidden="1" outlineLevel="1" x14ac:dyDescent="0.25">
      <c r="A10521" s="1920">
        <v>0.03</v>
      </c>
      <c r="B10521" s="1921" t="s">
        <v>2786</v>
      </c>
      <c r="C10521" s="2331">
        <v>628.79999999999995</v>
      </c>
      <c r="D10521" s="2891">
        <v>863.8</v>
      </c>
      <c r="E10521" s="2892">
        <v>0.37372773536895676</v>
      </c>
      <c r="F10521" s="2893">
        <v>7.0000000000000007E-2</v>
      </c>
      <c r="G10521" s="78"/>
      <c r="H10521" t="s">
        <v>4195</v>
      </c>
    </row>
    <row r="10522" spans="1:8" hidden="1" outlineLevel="1" x14ac:dyDescent="0.25">
      <c r="A10522" s="1920">
        <v>0.05</v>
      </c>
      <c r="B10522" s="1921" t="s">
        <v>3800</v>
      </c>
      <c r="C10522" s="2331">
        <v>163.26</v>
      </c>
      <c r="D10522" s="2891">
        <v>292.7</v>
      </c>
      <c r="E10522" s="2892">
        <v>0.7928457674874434</v>
      </c>
      <c r="F10522" s="2893">
        <v>7.0000000000000007E-2</v>
      </c>
      <c r="G10522" s="78"/>
      <c r="H10522" t="s">
        <v>8876</v>
      </c>
    </row>
    <row r="10523" spans="1:8" hidden="1" outlineLevel="1" x14ac:dyDescent="0.25">
      <c r="A10523" s="1920">
        <v>0.05</v>
      </c>
      <c r="B10523" s="1921" t="s">
        <v>1857</v>
      </c>
      <c r="C10523" s="2331">
        <v>1256.8</v>
      </c>
      <c r="D10523" s="2891">
        <v>1246.5</v>
      </c>
      <c r="E10523" s="2892">
        <v>-8.1954169318905201E-3</v>
      </c>
      <c r="F10523" s="2893">
        <v>-8.1954169318905201E-3</v>
      </c>
      <c r="G10523" s="78"/>
      <c r="H10523" t="s">
        <v>3559</v>
      </c>
    </row>
    <row r="10524" spans="1:8" hidden="1" outlineLevel="1" x14ac:dyDescent="0.25">
      <c r="A10524" s="1920">
        <v>0.05</v>
      </c>
      <c r="B10524" s="2882" t="s">
        <v>494</v>
      </c>
      <c r="C10524" s="2331">
        <v>76.38</v>
      </c>
      <c r="D10524" s="2891">
        <v>276.5</v>
      </c>
      <c r="E10524" s="2892">
        <v>2.6200576067033259</v>
      </c>
      <c r="F10524" s="2893">
        <v>7.0000000000000007E-2</v>
      </c>
      <c r="G10524" s="78"/>
      <c r="H10524" t="s">
        <v>3086</v>
      </c>
    </row>
    <row r="10525" spans="1:8" hidden="1" outlineLevel="1" x14ac:dyDescent="0.25">
      <c r="A10525" s="1920">
        <v>0.08</v>
      </c>
      <c r="B10525" s="1921" t="s">
        <v>3022</v>
      </c>
      <c r="C10525" s="2331">
        <v>3212</v>
      </c>
      <c r="D10525" s="2891">
        <v>3033</v>
      </c>
      <c r="E10525" s="2892">
        <v>-5.5728518057285181E-2</v>
      </c>
      <c r="F10525" s="2893">
        <v>-5.5728518057285181E-2</v>
      </c>
      <c r="G10525" s="78"/>
      <c r="H10525" t="s">
        <v>2802</v>
      </c>
    </row>
    <row r="10526" spans="1:8" hidden="1" outlineLevel="1" x14ac:dyDescent="0.25">
      <c r="A10526" s="1920">
        <v>0.05</v>
      </c>
      <c r="B10526" s="2544" t="s">
        <v>106</v>
      </c>
      <c r="C10526" s="2331">
        <v>2073</v>
      </c>
      <c r="D10526" s="2891">
        <v>3726</v>
      </c>
      <c r="E10526" s="2892">
        <v>0.79739507959479017</v>
      </c>
      <c r="F10526" s="2893">
        <v>7.0000000000000007E-2</v>
      </c>
      <c r="G10526" s="78"/>
      <c r="H10526" t="s">
        <v>107</v>
      </c>
    </row>
    <row r="10527" spans="1:8" hidden="1" outlineLevel="1" x14ac:dyDescent="0.25">
      <c r="A10527" s="1920">
        <v>0.03</v>
      </c>
      <c r="B10527" s="2544" t="s">
        <v>2983</v>
      </c>
      <c r="C10527" s="2331">
        <v>610.29999999999995</v>
      </c>
      <c r="D10527" s="2891">
        <v>846.6</v>
      </c>
      <c r="E10527" s="2892">
        <v>0.38718662952646254</v>
      </c>
      <c r="F10527" s="2893">
        <v>7.0000000000000007E-2</v>
      </c>
      <c r="G10527" s="78"/>
      <c r="H10527" t="s">
        <v>1713</v>
      </c>
    </row>
    <row r="10528" spans="1:8" hidden="1" outlineLevel="1" x14ac:dyDescent="0.25">
      <c r="A10528" s="2894">
        <v>0.05</v>
      </c>
      <c r="B10528" s="2895" t="s">
        <v>255</v>
      </c>
      <c r="C10528" s="2331">
        <v>38.954000000000001</v>
      </c>
      <c r="D10528" s="2896">
        <v>50.99</v>
      </c>
      <c r="E10528" s="2897">
        <v>0.30897982235457211</v>
      </c>
      <c r="F10528" s="2898">
        <v>7.0000000000000007E-2</v>
      </c>
      <c r="G10528" s="78"/>
      <c r="H10528" t="s">
        <v>3351</v>
      </c>
    </row>
    <row r="10529" spans="1:7" hidden="1" outlineLevel="1" x14ac:dyDescent="0.25">
      <c r="A10529" s="2899" t="s">
        <v>2465</v>
      </c>
      <c r="B10529" s="2109"/>
      <c r="C10529" s="2900"/>
      <c r="D10529" s="2896"/>
      <c r="E10529" s="2901">
        <v>0.58234339167969973</v>
      </c>
      <c r="F10529" s="2899">
        <v>2.0113187101455526E-2</v>
      </c>
      <c r="G10529" s="78"/>
    </row>
    <row r="10530" spans="1:7" hidden="1" outlineLevel="1" x14ac:dyDescent="0.25">
      <c r="A10530" s="2902"/>
      <c r="B10530" s="2903"/>
      <c r="C10530" s="2903"/>
      <c r="D10530" s="2903"/>
      <c r="E10530" s="2903"/>
      <c r="F10530" s="2904"/>
      <c r="G10530" s="78"/>
    </row>
    <row r="10531" spans="1:7" hidden="1" outlineLevel="1" x14ac:dyDescent="0.25">
      <c r="A10531" s="2905" t="s">
        <v>113</v>
      </c>
      <c r="B10531" s="2905"/>
      <c r="C10531" s="2906"/>
      <c r="D10531" s="2906"/>
      <c r="E10531" s="2907"/>
      <c r="F10531" s="2881"/>
      <c r="G10531" s="78"/>
    </row>
    <row r="10532" spans="1:7" hidden="1" outlineLevel="1" x14ac:dyDescent="0.25">
      <c r="A10532" s="2160" t="s">
        <v>5181</v>
      </c>
      <c r="B10532" s="2902"/>
      <c r="C10532" s="2903"/>
      <c r="D10532" s="2903"/>
      <c r="E10532" s="2903"/>
      <c r="F10532" s="2904">
        <v>1.9561000000000064E-2</v>
      </c>
      <c r="G10532" s="78"/>
    </row>
    <row r="10533" spans="1:7" hidden="1" outlineLevel="1" x14ac:dyDescent="0.25">
      <c r="A10533" s="2160" t="s">
        <v>5182</v>
      </c>
      <c r="B10533" s="2908"/>
      <c r="C10533" s="2882"/>
      <c r="D10533" s="2882"/>
      <c r="E10533" s="2882"/>
      <c r="F10533" s="2909">
        <v>2.86E-2</v>
      </c>
      <c r="G10533" s="78"/>
    </row>
    <row r="10534" spans="1:7" hidden="1" outlineLevel="1" x14ac:dyDescent="0.25">
      <c r="A10534" s="2160" t="s">
        <v>5183</v>
      </c>
      <c r="B10534" s="2908"/>
      <c r="C10534" s="2882"/>
      <c r="D10534" s="2882"/>
      <c r="E10534" s="2882"/>
      <c r="F10534" s="2909">
        <v>3.7644999999999984E-2</v>
      </c>
      <c r="G10534" s="78"/>
    </row>
    <row r="10535" spans="1:7" hidden="1" outlineLevel="1" x14ac:dyDescent="0.25">
      <c r="A10535" s="2160" t="s">
        <v>5184</v>
      </c>
      <c r="B10535" s="2908"/>
      <c r="C10535" s="2882"/>
      <c r="D10535" s="2882"/>
      <c r="E10535" s="2882"/>
      <c r="F10535" s="2909">
        <v>4.5666999999999972E-2</v>
      </c>
      <c r="G10535" s="78"/>
    </row>
    <row r="10536" spans="1:7" hidden="1" outlineLevel="1" x14ac:dyDescent="0.25">
      <c r="A10536" s="2160" t="s">
        <v>5185</v>
      </c>
      <c r="B10536" s="2908"/>
      <c r="C10536" s="2882"/>
      <c r="D10536" s="2882"/>
      <c r="E10536" s="2882"/>
      <c r="F10536" s="2909">
        <v>4.6600000000000003E-2</v>
      </c>
      <c r="G10536" s="78"/>
    </row>
    <row r="10537" spans="1:7" hidden="1" outlineLevel="1" x14ac:dyDescent="0.25">
      <c r="A10537" s="2160" t="s">
        <v>5186</v>
      </c>
      <c r="B10537" s="2908"/>
      <c r="C10537" s="2882"/>
      <c r="D10537" s="2882"/>
      <c r="E10537" s="2882"/>
      <c r="F10537" s="2909">
        <v>4.36E-2</v>
      </c>
      <c r="G10537" s="78"/>
    </row>
    <row r="10538" spans="1:7" hidden="1" outlineLevel="1" x14ac:dyDescent="0.25">
      <c r="A10538" s="2160" t="s">
        <v>5187</v>
      </c>
      <c r="B10538" s="2908"/>
      <c r="C10538" s="2882"/>
      <c r="D10538" s="2882"/>
      <c r="E10538" s="2882"/>
      <c r="F10538" s="2909">
        <v>3.27E-2</v>
      </c>
      <c r="G10538" s="78"/>
    </row>
    <row r="10539" spans="1:7" hidden="1" outlineLevel="1" x14ac:dyDescent="0.25">
      <c r="A10539" s="2160" t="s">
        <v>5188</v>
      </c>
      <c r="B10539" s="2910"/>
      <c r="C10539" s="2911"/>
      <c r="D10539" s="2911"/>
      <c r="E10539" s="2911"/>
      <c r="F10539" s="2912">
        <v>4.0500000000000001E-2</v>
      </c>
      <c r="G10539" s="78"/>
    </row>
    <row r="10540" spans="1:7" hidden="1" outlineLevel="1" x14ac:dyDescent="0.25">
      <c r="A10540" s="2160"/>
      <c r="B10540" s="2911"/>
      <c r="C10540" s="2911"/>
      <c r="D10540" s="2911"/>
      <c r="E10540" s="2911"/>
      <c r="F10540" s="2912"/>
      <c r="G10540" s="78"/>
    </row>
    <row r="10541" spans="1:7" collapsed="1" x14ac:dyDescent="0.25">
      <c r="A10541" s="3803" t="s">
        <v>5180</v>
      </c>
      <c r="B10541" s="3804"/>
      <c r="C10541" s="3804"/>
      <c r="D10541" s="2906"/>
      <c r="E10541" s="2906"/>
      <c r="F10541" s="1948">
        <v>0.294873</v>
      </c>
      <c r="G10541" s="78"/>
    </row>
    <row r="10543" spans="1:7" hidden="1" outlineLevel="1" x14ac:dyDescent="0.25">
      <c r="A10543" s="2489" t="s">
        <v>113</v>
      </c>
      <c r="B10543" s="2489" t="s">
        <v>114</v>
      </c>
      <c r="C10543" s="2489" t="s">
        <v>112</v>
      </c>
      <c r="D10543" s="2489" t="s">
        <v>116</v>
      </c>
      <c r="E10543" s="2489" t="s">
        <v>117</v>
      </c>
      <c r="F10543" s="2476" t="s">
        <v>121</v>
      </c>
      <c r="G10543" s="78"/>
    </row>
    <row r="10544" spans="1:7" hidden="1" outlineLevel="1" x14ac:dyDescent="0.25">
      <c r="A10544" s="2504">
        <v>1</v>
      </c>
      <c r="B10544" s="2505" t="s">
        <v>252</v>
      </c>
      <c r="C10544" s="2506">
        <v>100</v>
      </c>
      <c r="D10544" s="2506"/>
      <c r="E10544" s="2537"/>
      <c r="F10544" s="2535"/>
      <c r="G10544" s="78"/>
    </row>
    <row r="10545" spans="1:12" hidden="1" outlineLevel="1" x14ac:dyDescent="0.25">
      <c r="A10545" s="2509"/>
      <c r="B10545" s="2509"/>
      <c r="C10545" s="2498"/>
      <c r="D10545" s="1900" t="s">
        <v>3702</v>
      </c>
      <c r="E10545" s="2510">
        <v>42930</v>
      </c>
      <c r="F10545" s="2536"/>
      <c r="G10545" s="78"/>
    </row>
    <row r="10546" spans="1:12" hidden="1" outlineLevel="1" x14ac:dyDescent="0.25">
      <c r="A10546" s="2489" t="s">
        <v>4156</v>
      </c>
      <c r="B10546" s="2489" t="s">
        <v>4153</v>
      </c>
      <c r="C10546" s="2532" t="s">
        <v>112</v>
      </c>
      <c r="D10546" s="2488" t="s">
        <v>4155</v>
      </c>
      <c r="E10546" s="2488" t="s">
        <v>4154</v>
      </c>
      <c r="F10546" s="2446" t="s">
        <v>2519</v>
      </c>
      <c r="G10546" s="78"/>
      <c r="J10546" t="s">
        <v>2040</v>
      </c>
    </row>
    <row r="10547" spans="1:12" hidden="1" outlineLevel="1" x14ac:dyDescent="0.25">
      <c r="A10547" s="2546">
        <v>0.02</v>
      </c>
      <c r="B10547" s="2547" t="s">
        <v>5191</v>
      </c>
      <c r="C10547" s="2315">
        <v>31.102</v>
      </c>
      <c r="D10547" s="2447">
        <v>89.05</v>
      </c>
      <c r="E10547" s="2448">
        <v>1.8631599254067259</v>
      </c>
      <c r="F10547" s="2446">
        <v>3.7263198508134518E-2</v>
      </c>
      <c r="G10547" s="78"/>
      <c r="H10547" t="s">
        <v>5189</v>
      </c>
      <c r="J10547" s="256">
        <v>42401</v>
      </c>
      <c r="K10547">
        <v>140.31290000000001</v>
      </c>
      <c r="L10547" s="37">
        <v>0.40312900000000007</v>
      </c>
    </row>
    <row r="10548" spans="1:12" hidden="1" outlineLevel="1" x14ac:dyDescent="0.25">
      <c r="A10548" s="2548">
        <v>0.02</v>
      </c>
      <c r="B10548" s="2544" t="s">
        <v>1903</v>
      </c>
      <c r="C10548" s="2549">
        <v>2946.65</v>
      </c>
      <c r="D10548" s="2452">
        <v>4998.5</v>
      </c>
      <c r="E10548" s="2499">
        <v>0.69633312405613146</v>
      </c>
      <c r="F10548" s="2451">
        <v>1.3926662481122629E-2</v>
      </c>
      <c r="G10548" s="78"/>
      <c r="H10548" t="s">
        <v>3883</v>
      </c>
      <c r="J10548" s="256">
        <v>42430</v>
      </c>
      <c r="K10548">
        <v>143.15450000000001</v>
      </c>
      <c r="L10548" s="37">
        <v>0.43154500000000007</v>
      </c>
    </row>
    <row r="10549" spans="1:12" hidden="1" outlineLevel="1" x14ac:dyDescent="0.25">
      <c r="A10549" s="2548">
        <v>0.08</v>
      </c>
      <c r="B10549" s="1813" t="s">
        <v>3998</v>
      </c>
      <c r="C10549" s="2549">
        <v>30.024000000000001</v>
      </c>
      <c r="D10549" s="2452">
        <v>36.299999999999997</v>
      </c>
      <c r="E10549" s="2499">
        <v>0.20903277378097518</v>
      </c>
      <c r="F10549" s="2451">
        <v>1.6722621902478016E-2</v>
      </c>
      <c r="G10549" s="78"/>
      <c r="H10549" t="s">
        <v>4000</v>
      </c>
      <c r="J10549" s="256">
        <v>42461</v>
      </c>
      <c r="K10549">
        <v>141.45269999999999</v>
      </c>
      <c r="L10549" s="37">
        <v>0.41452699999999987</v>
      </c>
    </row>
    <row r="10550" spans="1:12" hidden="1" outlineLevel="1" x14ac:dyDescent="0.25">
      <c r="A10550" s="2548">
        <v>0.02</v>
      </c>
      <c r="B10550" s="1813" t="s">
        <v>581</v>
      </c>
      <c r="C10550" s="2549">
        <v>106.47</v>
      </c>
      <c r="D10550" s="2452">
        <v>104.44</v>
      </c>
      <c r="E10550" s="2499">
        <v>-1.9066403681788358E-2</v>
      </c>
      <c r="F10550" s="2451">
        <v>-3.8132807363576714E-4</v>
      </c>
      <c r="G10550" s="78"/>
      <c r="H10550" t="s">
        <v>589</v>
      </c>
      <c r="J10550" s="256">
        <v>42491</v>
      </c>
      <c r="K10550">
        <v>146.0857</v>
      </c>
      <c r="L10550" s="37">
        <v>0.46085700000000007</v>
      </c>
    </row>
    <row r="10551" spans="1:12" hidden="1" outlineLevel="1" x14ac:dyDescent="0.25">
      <c r="A10551" s="2548">
        <v>0.02</v>
      </c>
      <c r="B10551" s="1813" t="s">
        <v>3288</v>
      </c>
      <c r="C10551" s="2549">
        <v>634.25</v>
      </c>
      <c r="D10551" s="2452">
        <v>1587</v>
      </c>
      <c r="E10551" s="2499">
        <v>1.5021679148600708</v>
      </c>
      <c r="F10551" s="2451">
        <v>3.0043358297201419E-2</v>
      </c>
      <c r="G10551" s="78"/>
      <c r="H10551" t="s">
        <v>266</v>
      </c>
      <c r="J10551" s="256">
        <v>42522</v>
      </c>
      <c r="K10551">
        <v>150.87309999999999</v>
      </c>
      <c r="L10551" s="37">
        <v>0.50873100000000004</v>
      </c>
    </row>
    <row r="10552" spans="1:12" hidden="1" outlineLevel="1" x14ac:dyDescent="0.25">
      <c r="A10552" s="2548">
        <v>0.04</v>
      </c>
      <c r="B10552" s="1813" t="s">
        <v>5194</v>
      </c>
      <c r="C10552" s="2549">
        <v>26.658999999999999</v>
      </c>
      <c r="D10552" s="2452">
        <v>33.58</v>
      </c>
      <c r="E10552" s="2499">
        <v>0.25961213848981579</v>
      </c>
      <c r="F10552" s="2451">
        <v>1.0384485539592632E-2</v>
      </c>
      <c r="G10552" s="78"/>
      <c r="H10552" t="s">
        <v>5192</v>
      </c>
      <c r="J10552" s="256">
        <v>42552</v>
      </c>
      <c r="K10552">
        <v>152.715</v>
      </c>
      <c r="L10552" s="37">
        <v>0.52715000000000001</v>
      </c>
    </row>
    <row r="10553" spans="1:12" hidden="1" outlineLevel="1" x14ac:dyDescent="0.25">
      <c r="A10553" s="2548">
        <v>0.02</v>
      </c>
      <c r="B10553" s="1813" t="s">
        <v>2629</v>
      </c>
      <c r="C10553" s="2549">
        <v>8.9172999999999991</v>
      </c>
      <c r="D10553" s="2452">
        <v>15.84</v>
      </c>
      <c r="E10553" s="2499">
        <v>0.77632242943491869</v>
      </c>
      <c r="F10553" s="2451">
        <v>1.5526448588698375E-2</v>
      </c>
      <c r="G10553" s="78"/>
      <c r="H10553" t="s">
        <v>1652</v>
      </c>
      <c r="J10553" s="256">
        <v>42583</v>
      </c>
      <c r="K10553">
        <v>151.25710000000001</v>
      </c>
      <c r="L10553" s="37">
        <v>0.51257100000000011</v>
      </c>
    </row>
    <row r="10554" spans="1:12" hidden="1" outlineLevel="1" x14ac:dyDescent="0.25">
      <c r="A10554" s="2548">
        <v>0.02</v>
      </c>
      <c r="B10554" s="1813" t="s">
        <v>3425</v>
      </c>
      <c r="C10554" s="2549">
        <v>85.113</v>
      </c>
      <c r="D10554" s="2452">
        <v>81.28</v>
      </c>
      <c r="E10554" s="2499">
        <v>-4.503424858717231E-2</v>
      </c>
      <c r="F10554" s="2451">
        <v>-9.0068497174344625E-4</v>
      </c>
      <c r="G10554" s="78"/>
      <c r="H10554" t="s">
        <v>4126</v>
      </c>
      <c r="J10554" s="256">
        <v>42614</v>
      </c>
      <c r="K10554">
        <v>149.96899999999999</v>
      </c>
      <c r="L10554" s="37">
        <v>0.49968999999999997</v>
      </c>
    </row>
    <row r="10555" spans="1:12" hidden="1" outlineLevel="1" x14ac:dyDescent="0.25">
      <c r="A10555" s="2548">
        <v>0.02</v>
      </c>
      <c r="B10555" s="1813" t="s">
        <v>3053</v>
      </c>
      <c r="C10555" s="2549">
        <v>56.036999999999999</v>
      </c>
      <c r="D10555" s="2452">
        <v>145.69999999999999</v>
      </c>
      <c r="E10555" s="2499">
        <v>1.6000678123382763</v>
      </c>
      <c r="F10555" s="2451">
        <v>3.2001356246765526E-2</v>
      </c>
      <c r="G10555" s="78"/>
      <c r="H10555" t="s">
        <v>3054</v>
      </c>
      <c r="J10555" s="256">
        <v>42644</v>
      </c>
      <c r="K10555">
        <v>144.43969999999999</v>
      </c>
      <c r="L10555" s="37">
        <v>0.44439699999999993</v>
      </c>
    </row>
    <row r="10556" spans="1:12" hidden="1" outlineLevel="1" x14ac:dyDescent="0.25">
      <c r="A10556" s="2548">
        <v>0.05</v>
      </c>
      <c r="B10556" s="1813" t="s">
        <v>1381</v>
      </c>
      <c r="C10556" s="2549">
        <v>71.584999999999994</v>
      </c>
      <c r="D10556" s="2452">
        <v>124.51</v>
      </c>
      <c r="E10556" s="2499">
        <v>0.73933086540476389</v>
      </c>
      <c r="F10556" s="2451">
        <v>3.6966543270238197E-2</v>
      </c>
      <c r="G10556" s="78"/>
      <c r="H10556" t="s">
        <v>1383</v>
      </c>
      <c r="J10556" s="256">
        <v>42675</v>
      </c>
      <c r="K10556">
        <v>142.43860000000001</v>
      </c>
      <c r="L10556" s="37">
        <v>0.42438600000000015</v>
      </c>
    </row>
    <row r="10557" spans="1:12" hidden="1" outlineLevel="1" x14ac:dyDescent="0.25">
      <c r="A10557" s="2548">
        <v>0.02</v>
      </c>
      <c r="B10557" s="1928" t="s">
        <v>4034</v>
      </c>
      <c r="C10557" s="2549">
        <v>10.7005</v>
      </c>
      <c r="D10557" s="2452">
        <v>17.195</v>
      </c>
      <c r="E10557" s="2499">
        <v>0.60693425540862589</v>
      </c>
      <c r="F10557" s="2451">
        <v>1.2138685108172518E-2</v>
      </c>
      <c r="G10557" s="78"/>
      <c r="H10557" t="s">
        <v>8151</v>
      </c>
      <c r="J10557" s="256">
        <v>42705</v>
      </c>
      <c r="K10557">
        <v>149.18770000000001</v>
      </c>
      <c r="L10557" s="37">
        <v>0.49187700000000012</v>
      </c>
    </row>
    <row r="10558" spans="1:12" hidden="1" outlineLevel="1" x14ac:dyDescent="0.25">
      <c r="A10558" s="2548">
        <v>0.02</v>
      </c>
      <c r="B10558" s="1813" t="s">
        <v>1001</v>
      </c>
      <c r="C10558" s="2549">
        <v>30.715</v>
      </c>
      <c r="D10558" s="2452">
        <v>72.78</v>
      </c>
      <c r="E10558" s="2499">
        <v>1.3695262900862772</v>
      </c>
      <c r="F10558" s="2451">
        <v>2.7390525801725546E-2</v>
      </c>
      <c r="G10558" s="78"/>
      <c r="H10558" t="s">
        <v>4150</v>
      </c>
      <c r="J10558" s="256">
        <v>42736</v>
      </c>
      <c r="K10558">
        <v>145.81460000000001</v>
      </c>
      <c r="L10558" s="37">
        <v>0.45814600000000016</v>
      </c>
    </row>
    <row r="10559" spans="1:12" hidden="1" outlineLevel="1" x14ac:dyDescent="0.25">
      <c r="A10559" s="2548">
        <v>0.02</v>
      </c>
      <c r="B10559" s="1813" t="s">
        <v>1772</v>
      </c>
      <c r="C10559" s="2549">
        <v>107.97</v>
      </c>
      <c r="D10559" s="2452">
        <v>181.8</v>
      </c>
      <c r="E10559" s="2499">
        <v>0.68380105584884698</v>
      </c>
      <c r="F10559" s="2451">
        <v>1.367602111697694E-2</v>
      </c>
      <c r="G10559" s="78"/>
      <c r="H10559" t="s">
        <v>4330</v>
      </c>
      <c r="J10559" s="256">
        <v>42767</v>
      </c>
      <c r="K10559">
        <v>151.99789999999999</v>
      </c>
      <c r="L10559" s="37">
        <v>0.51997899999999997</v>
      </c>
    </row>
    <row r="10560" spans="1:12" hidden="1" outlineLevel="1" x14ac:dyDescent="0.25">
      <c r="A10560" s="2548">
        <v>0.08</v>
      </c>
      <c r="B10560" s="1813" t="s">
        <v>3797</v>
      </c>
      <c r="C10560" s="2549">
        <v>54.42</v>
      </c>
      <c r="D10560" s="2452">
        <v>84</v>
      </c>
      <c r="E10560" s="2499">
        <v>0.54355016538037471</v>
      </c>
      <c r="F10560" s="2451">
        <v>4.3484013230429976E-2</v>
      </c>
      <c r="G10560" s="78"/>
      <c r="H10560" t="s">
        <v>3848</v>
      </c>
      <c r="J10560" s="256">
        <v>42795</v>
      </c>
      <c r="K10560">
        <v>152.55189999999999</v>
      </c>
      <c r="L10560" s="37">
        <v>0.52551899999999985</v>
      </c>
    </row>
    <row r="10561" spans="1:12" hidden="1" outlineLevel="1" x14ac:dyDescent="0.25">
      <c r="A10561" s="2548">
        <v>0.02</v>
      </c>
      <c r="B10561" s="1813" t="s">
        <v>5196</v>
      </c>
      <c r="C10561" s="2549">
        <v>2753.4</v>
      </c>
      <c r="D10561" s="2452">
        <v>3655</v>
      </c>
      <c r="E10561" s="2499">
        <v>0.32744969855451433</v>
      </c>
      <c r="F10561" s="2451">
        <v>6.5489939710902867E-3</v>
      </c>
      <c r="G10561" s="78"/>
      <c r="H10561" t="s">
        <v>5197</v>
      </c>
      <c r="J10561" s="256">
        <v>42826</v>
      </c>
      <c r="K10561">
        <v>151.01140000000001</v>
      </c>
      <c r="L10561" s="37">
        <v>0.51011400000000018</v>
      </c>
    </row>
    <row r="10562" spans="1:12" hidden="1" outlineLevel="1" x14ac:dyDescent="0.25">
      <c r="A10562" s="2548">
        <v>0.08</v>
      </c>
      <c r="B10562" s="1813" t="s">
        <v>2787</v>
      </c>
      <c r="C10562" s="2549">
        <v>51.685000000000002</v>
      </c>
      <c r="D10562" s="2452">
        <v>79.900000000000006</v>
      </c>
      <c r="E10562" s="2499">
        <v>0.54590306665376809</v>
      </c>
      <c r="F10562" s="2451">
        <v>4.3672245332301449E-2</v>
      </c>
      <c r="G10562" s="78"/>
      <c r="H10562" t="s">
        <v>80</v>
      </c>
      <c r="J10562" s="256">
        <v>42856</v>
      </c>
      <c r="K10562">
        <v>156.30430000000001</v>
      </c>
      <c r="L10562" s="37">
        <v>0.56304300000000018</v>
      </c>
    </row>
    <row r="10563" spans="1:12" hidden="1" outlineLevel="1" x14ac:dyDescent="0.25">
      <c r="A10563" s="2548">
        <v>0.02</v>
      </c>
      <c r="B10563" s="1813" t="s">
        <v>1204</v>
      </c>
      <c r="C10563" s="2549">
        <v>64.055000000000007</v>
      </c>
      <c r="D10563" s="2452">
        <v>114.93</v>
      </c>
      <c r="E10563" s="2499">
        <v>0.79423932557957988</v>
      </c>
      <c r="F10563" s="2451">
        <v>1.5884786511591597E-2</v>
      </c>
      <c r="G10563" s="78"/>
      <c r="H10563" t="s">
        <v>2427</v>
      </c>
      <c r="J10563" s="256">
        <v>42887</v>
      </c>
      <c r="K10563">
        <v>152.6782</v>
      </c>
      <c r="L10563" s="37">
        <v>0.52678200000000008</v>
      </c>
    </row>
    <row r="10564" spans="1:12" hidden="1" outlineLevel="1" x14ac:dyDescent="0.25">
      <c r="A10564" s="2548">
        <v>0.05</v>
      </c>
      <c r="B10564" s="1813" t="s">
        <v>1414</v>
      </c>
      <c r="C10564" s="2549">
        <v>21.172000000000001</v>
      </c>
      <c r="D10564" s="2452">
        <v>33.43</v>
      </c>
      <c r="E10564" s="2499">
        <v>0.57897222747024357</v>
      </c>
      <c r="F10564" s="2451">
        <v>2.8948611373512179E-2</v>
      </c>
      <c r="G10564" s="78"/>
      <c r="H10564" t="s">
        <v>2428</v>
      </c>
      <c r="J10564" s="256">
        <v>42917</v>
      </c>
      <c r="K10564">
        <v>154.03659999999999</v>
      </c>
      <c r="L10564" s="37">
        <v>0.5403659999999999</v>
      </c>
    </row>
    <row r="10565" spans="1:12" hidden="1" outlineLevel="1" x14ac:dyDescent="0.25">
      <c r="A10565" s="2548">
        <v>0.02</v>
      </c>
      <c r="B10565" s="1813" t="s">
        <v>5205</v>
      </c>
      <c r="C10565" s="2549">
        <v>2294.65</v>
      </c>
      <c r="D10565" s="2452">
        <v>2050</v>
      </c>
      <c r="E10565" s="2499">
        <v>-0.10661756694920799</v>
      </c>
      <c r="F10565" s="2451">
        <v>-2.13235133898416E-3</v>
      </c>
      <c r="G10565" s="78"/>
      <c r="H10565" t="s">
        <v>5199</v>
      </c>
      <c r="J10565" s="412" t="s">
        <v>2465</v>
      </c>
      <c r="L10565" s="261">
        <v>0.48682272222222245</v>
      </c>
    </row>
    <row r="10566" spans="1:12" hidden="1" outlineLevel="1" x14ac:dyDescent="0.25">
      <c r="A10566" s="2548">
        <v>0.02</v>
      </c>
      <c r="B10566" s="1813" t="s">
        <v>4294</v>
      </c>
      <c r="C10566" s="2549">
        <v>302.12</v>
      </c>
      <c r="D10566" s="2452">
        <v>683</v>
      </c>
      <c r="E10566" s="2499">
        <v>1.2606911161128029</v>
      </c>
      <c r="F10566" s="2451">
        <v>2.5213822322256059E-2</v>
      </c>
      <c r="G10566" s="78"/>
      <c r="H10566" t="s">
        <v>1894</v>
      </c>
    </row>
    <row r="10567" spans="1:12" hidden="1" outlineLevel="1" x14ac:dyDescent="0.25">
      <c r="A10567" s="2548">
        <v>0.02</v>
      </c>
      <c r="B10567" s="1813" t="s">
        <v>3383</v>
      </c>
      <c r="C10567" s="2550">
        <v>98.805000000000007</v>
      </c>
      <c r="D10567" s="2452">
        <v>142.69999999999999</v>
      </c>
      <c r="E10567" s="2499">
        <v>0.44425889378067884</v>
      </c>
      <c r="F10567" s="2451">
        <v>8.8851778756135775E-3</v>
      </c>
      <c r="G10567" s="78"/>
      <c r="H10567" t="s">
        <v>3789</v>
      </c>
    </row>
    <row r="10568" spans="1:12" hidden="1" outlineLevel="1" x14ac:dyDescent="0.25">
      <c r="A10568" s="2548">
        <v>0.02</v>
      </c>
      <c r="B10568" s="1813" t="s">
        <v>434</v>
      </c>
      <c r="C10568" s="2550">
        <v>46.881999999999998</v>
      </c>
      <c r="D10568" s="2452">
        <v>38.78</v>
      </c>
      <c r="E10568" s="2499">
        <v>-0.17281685934900382</v>
      </c>
      <c r="F10568" s="2451">
        <v>-3.4563371869800763E-3</v>
      </c>
      <c r="G10568" s="78"/>
      <c r="H10568" t="s">
        <v>7745</v>
      </c>
    </row>
    <row r="10569" spans="1:12" hidden="1" outlineLevel="1" x14ac:dyDescent="0.25">
      <c r="A10569" s="2548">
        <v>0.02</v>
      </c>
      <c r="B10569" s="1813" t="s">
        <v>1183</v>
      </c>
      <c r="C10569" s="2550">
        <v>41.163499999999999</v>
      </c>
      <c r="D10569" s="2452">
        <v>43.335000000000001</v>
      </c>
      <c r="E10569" s="2499">
        <v>5.2753045780849606E-2</v>
      </c>
      <c r="F10569" s="2451">
        <v>1.0550609156169922E-3</v>
      </c>
      <c r="G10569" s="78"/>
      <c r="H10569" t="s">
        <v>2805</v>
      </c>
    </row>
    <row r="10570" spans="1:12" hidden="1" outlineLevel="1" x14ac:dyDescent="0.25">
      <c r="A10570" s="2548">
        <v>0.02</v>
      </c>
      <c r="B10570" s="1813" t="s">
        <v>5203</v>
      </c>
      <c r="C10570" s="2550">
        <v>59.484000000000002</v>
      </c>
      <c r="D10570" s="2452">
        <v>125.72</v>
      </c>
      <c r="E10570" s="2499">
        <v>1.1135095151637415</v>
      </c>
      <c r="F10570" s="2451">
        <v>2.2270190303274831E-2</v>
      </c>
      <c r="G10570" s="78"/>
      <c r="H10570" t="s">
        <v>5201</v>
      </c>
    </row>
    <row r="10571" spans="1:12" hidden="1" outlineLevel="1" x14ac:dyDescent="0.25">
      <c r="A10571" s="2548">
        <v>0.02</v>
      </c>
      <c r="B10571" s="1813" t="s">
        <v>5204</v>
      </c>
      <c r="C10571" s="2550">
        <v>49.707000000000001</v>
      </c>
      <c r="D10571" s="2452">
        <v>43.87</v>
      </c>
      <c r="E10571" s="2499">
        <v>-0.117428128834973</v>
      </c>
      <c r="F10571" s="2451">
        <v>-2.3485625766994601E-3</v>
      </c>
      <c r="G10571" s="78"/>
      <c r="H10571" t="s">
        <v>8168</v>
      </c>
    </row>
    <row r="10572" spans="1:12" hidden="1" outlineLevel="1" x14ac:dyDescent="0.25">
      <c r="A10572" s="2548">
        <v>0.02</v>
      </c>
      <c r="B10572" s="1813" t="s">
        <v>106</v>
      </c>
      <c r="C10572" s="2550">
        <v>2058.3000000000002</v>
      </c>
      <c r="D10572" s="2452">
        <v>4263.5</v>
      </c>
      <c r="E10572" s="2499">
        <v>1.0713695768352522</v>
      </c>
      <c r="F10572" s="2451">
        <v>2.1427391536705045E-2</v>
      </c>
      <c r="G10572" s="78"/>
      <c r="H10572" t="s">
        <v>107</v>
      </c>
    </row>
    <row r="10573" spans="1:12" hidden="1" outlineLevel="1" x14ac:dyDescent="0.25">
      <c r="A10573" s="2548">
        <v>0.08</v>
      </c>
      <c r="B10573" s="1813" t="s">
        <v>255</v>
      </c>
      <c r="C10573" s="2550">
        <v>38.045000000000002</v>
      </c>
      <c r="D10573" s="2452">
        <v>43.56</v>
      </c>
      <c r="E10573" s="2499">
        <v>0.14495991588907864</v>
      </c>
      <c r="F10573" s="2451">
        <v>1.1596793271126291E-2</v>
      </c>
      <c r="G10573" s="78"/>
      <c r="H10573" t="s">
        <v>3351</v>
      </c>
    </row>
    <row r="10574" spans="1:12" hidden="1" outlineLevel="1" x14ac:dyDescent="0.25">
      <c r="A10574" s="2548">
        <v>0.08</v>
      </c>
      <c r="B10574" s="1813" t="s">
        <v>579</v>
      </c>
      <c r="C10574" s="2550">
        <v>174.14</v>
      </c>
      <c r="D10574" s="2452">
        <v>218.8</v>
      </c>
      <c r="E10574" s="2499">
        <v>0.25646031928333546</v>
      </c>
      <c r="F10574" s="2451">
        <v>2.0516825542666838E-2</v>
      </c>
      <c r="G10574" s="78"/>
      <c r="H10574" t="s">
        <v>3611</v>
      </c>
    </row>
    <row r="10575" spans="1:12" hidden="1" outlineLevel="1" x14ac:dyDescent="0.25">
      <c r="A10575" s="2548">
        <v>0.02</v>
      </c>
      <c r="B10575" s="1813" t="s">
        <v>164</v>
      </c>
      <c r="C10575" s="2550">
        <v>61.753</v>
      </c>
      <c r="D10575" s="2452">
        <v>76.34</v>
      </c>
      <c r="E10575" s="2499">
        <v>0.23621524460350107</v>
      </c>
      <c r="F10575" s="2451">
        <v>4.7243048920700215E-3</v>
      </c>
      <c r="G10575" s="78"/>
      <c r="H10575" t="s">
        <v>2618</v>
      </c>
    </row>
    <row r="10576" spans="1:12" hidden="1" outlineLevel="1" x14ac:dyDescent="0.25">
      <c r="A10576" s="2548">
        <v>0.04</v>
      </c>
      <c r="B10576" s="1813" t="s">
        <v>5174</v>
      </c>
      <c r="C10576" s="2550">
        <v>293.08</v>
      </c>
      <c r="D10576" s="2453">
        <v>246</v>
      </c>
      <c r="E10576" s="2378">
        <v>-0.16063873345161728</v>
      </c>
      <c r="F10576" s="2379">
        <v>-6.4255493380646908E-3</v>
      </c>
      <c r="G10576" s="78"/>
      <c r="H10576" t="s">
        <v>5172</v>
      </c>
    </row>
    <row r="10577" spans="1:8" hidden="1" outlineLevel="1" x14ac:dyDescent="0.25">
      <c r="A10577" s="1813"/>
      <c r="B10577" s="2551"/>
      <c r="C10577" s="2506"/>
      <c r="D10577" s="2498"/>
      <c r="E10577" s="2499"/>
      <c r="F10577" s="2545">
        <v>0.4846233104532538</v>
      </c>
      <c r="G10577" s="78"/>
    </row>
    <row r="10578" spans="1:8" collapsed="1" x14ac:dyDescent="0.25">
      <c r="A10578" s="3801" t="s">
        <v>5195</v>
      </c>
      <c r="B10578" s="3802"/>
      <c r="C10578" s="3802"/>
      <c r="D10578" s="3802"/>
      <c r="E10578" s="1905"/>
      <c r="F10578" s="2459">
        <v>0.48682272222222245</v>
      </c>
      <c r="G10578" s="78"/>
    </row>
    <row r="10580" spans="1:8" hidden="1" outlineLevel="1" x14ac:dyDescent="0.25">
      <c r="A10580" s="2552" t="s">
        <v>113</v>
      </c>
      <c r="B10580" s="2552" t="s">
        <v>114</v>
      </c>
      <c r="C10580" s="2552" t="s">
        <v>112</v>
      </c>
      <c r="D10580" s="2552" t="s">
        <v>116</v>
      </c>
      <c r="E10580" s="2552" t="s">
        <v>117</v>
      </c>
      <c r="F10580" s="2553" t="s">
        <v>121</v>
      </c>
      <c r="G10580" s="78"/>
    </row>
    <row r="10581" spans="1:8" hidden="1" outlineLevel="1" x14ac:dyDescent="0.25">
      <c r="A10581" s="2509">
        <v>5</v>
      </c>
      <c r="B10581" s="2509"/>
      <c r="C10581" s="2498"/>
      <c r="D10581" s="1900" t="s">
        <v>3702</v>
      </c>
      <c r="E10581" s="2510">
        <v>42963</v>
      </c>
      <c r="F10581" s="2539"/>
      <c r="G10581" s="78"/>
    </row>
    <row r="10582" spans="1:8" hidden="1" outlineLevel="1" x14ac:dyDescent="0.25">
      <c r="A10582" s="2489" t="s">
        <v>4156</v>
      </c>
      <c r="B10582" s="2489" t="s">
        <v>4153</v>
      </c>
      <c r="C10582" s="2541" t="s">
        <v>112</v>
      </c>
      <c r="D10582" s="2489" t="s">
        <v>4155</v>
      </c>
      <c r="E10582" s="2489" t="s">
        <v>4154</v>
      </c>
      <c r="F10582" s="2476" t="s">
        <v>734</v>
      </c>
      <c r="G10582" s="78"/>
    </row>
    <row r="10583" spans="1:8" hidden="1" outlineLevel="1" x14ac:dyDescent="0.25">
      <c r="A10583" s="1920">
        <v>0.02</v>
      </c>
      <c r="B10583" s="1813" t="s">
        <v>1993</v>
      </c>
      <c r="C10583" s="1902">
        <v>30.312000000000001</v>
      </c>
      <c r="D10583" s="2452">
        <v>65.45</v>
      </c>
      <c r="E10583" s="2525">
        <v>1.1592108735814199</v>
      </c>
      <c r="F10583" s="2451">
        <v>0.06</v>
      </c>
      <c r="G10583" s="78"/>
      <c r="H10583" t="s">
        <v>2812</v>
      </c>
    </row>
    <row r="10584" spans="1:8" hidden="1" outlineLevel="1" x14ac:dyDescent="0.25">
      <c r="A10584" s="1920">
        <v>7.0000000000000007E-2</v>
      </c>
      <c r="B10584" s="1813" t="s">
        <v>2942</v>
      </c>
      <c r="C10584" s="1902">
        <v>678.8</v>
      </c>
      <c r="D10584" s="2452">
        <v>1399</v>
      </c>
      <c r="E10584" s="2525">
        <v>1.0609899823217446</v>
      </c>
      <c r="F10584" s="2451">
        <v>0.06</v>
      </c>
      <c r="G10584" s="78"/>
      <c r="H10584" t="s">
        <v>2336</v>
      </c>
    </row>
    <row r="10585" spans="1:8" hidden="1" outlineLevel="1" x14ac:dyDescent="0.25">
      <c r="A10585" s="1920">
        <v>0.03</v>
      </c>
      <c r="B10585" s="1813" t="s">
        <v>1903</v>
      </c>
      <c r="C10585" s="1902">
        <v>2855.3</v>
      </c>
      <c r="D10585" s="2452">
        <v>4467.5</v>
      </c>
      <c r="E10585" s="2525">
        <v>0.56463418905193841</v>
      </c>
      <c r="F10585" s="2451">
        <v>0.06</v>
      </c>
      <c r="G10585" s="78"/>
      <c r="H10585" t="s">
        <v>3883</v>
      </c>
    </row>
    <row r="10586" spans="1:8" hidden="1" outlineLevel="1" x14ac:dyDescent="0.25">
      <c r="A10586" s="1920">
        <v>7.0000000000000007E-2</v>
      </c>
      <c r="B10586" s="1926" t="s">
        <v>3998</v>
      </c>
      <c r="C10586" s="1902">
        <v>31.225999999999999</v>
      </c>
      <c r="D10586" s="2452">
        <v>38.229999999999997</v>
      </c>
      <c r="E10586" s="2525">
        <v>0.22430026260167812</v>
      </c>
      <c r="F10586" s="2451">
        <v>0.06</v>
      </c>
      <c r="G10586" s="78"/>
      <c r="H10586" t="s">
        <v>4000</v>
      </c>
    </row>
    <row r="10587" spans="1:8" hidden="1" outlineLevel="1" x14ac:dyDescent="0.25">
      <c r="A10587" s="1920">
        <v>0.03</v>
      </c>
      <c r="B10587" s="1926" t="s">
        <v>805</v>
      </c>
      <c r="C10587" s="1902">
        <v>57.75</v>
      </c>
      <c r="D10587" s="2452">
        <v>92.2</v>
      </c>
      <c r="E10587" s="2525">
        <v>0.59653679653679648</v>
      </c>
      <c r="F10587" s="2451">
        <v>0.06</v>
      </c>
      <c r="G10587" s="78"/>
      <c r="H10587" t="s">
        <v>806</v>
      </c>
    </row>
    <row r="10588" spans="1:8" hidden="1" outlineLevel="1" x14ac:dyDescent="0.25">
      <c r="A10588" s="1920">
        <v>0.03</v>
      </c>
      <c r="B10588" s="2509" t="s">
        <v>807</v>
      </c>
      <c r="C10588" s="1902">
        <v>41.32</v>
      </c>
      <c r="D10588" s="2452">
        <v>59.41</v>
      </c>
      <c r="E10588" s="2525">
        <v>0.43780251694094852</v>
      </c>
      <c r="F10588" s="2451">
        <v>0.06</v>
      </c>
      <c r="G10588" s="78"/>
      <c r="H10588" t="s">
        <v>808</v>
      </c>
    </row>
    <row r="10589" spans="1:8" hidden="1" outlineLevel="1" x14ac:dyDescent="0.25">
      <c r="A10589" s="1920">
        <v>0.02</v>
      </c>
      <c r="B10589" s="1903" t="s">
        <v>4377</v>
      </c>
      <c r="C10589" s="1902">
        <v>32.927999999999997</v>
      </c>
      <c r="D10589" s="2452">
        <v>57.5</v>
      </c>
      <c r="E10589" s="2525">
        <v>0.74623420796890194</v>
      </c>
      <c r="F10589" s="2451">
        <v>0.06</v>
      </c>
      <c r="G10589" s="78"/>
      <c r="H10589" t="s">
        <v>4327</v>
      </c>
    </row>
    <row r="10590" spans="1:8" hidden="1" outlineLevel="1" x14ac:dyDescent="0.25">
      <c r="A10590" s="1920">
        <v>0.02</v>
      </c>
      <c r="B10590" s="2509" t="s">
        <v>3954</v>
      </c>
      <c r="C10590" s="1902">
        <v>75.569999999999993</v>
      </c>
      <c r="D10590" s="2452">
        <v>107.05</v>
      </c>
      <c r="E10590" s="2525">
        <v>0.41656742093423316</v>
      </c>
      <c r="F10590" s="2451">
        <v>0.06</v>
      </c>
      <c r="G10590" s="78"/>
      <c r="H10590" t="s">
        <v>3955</v>
      </c>
    </row>
    <row r="10591" spans="1:8" hidden="1" outlineLevel="1" x14ac:dyDescent="0.25">
      <c r="A10591" s="1920">
        <v>0.05</v>
      </c>
      <c r="B10591" s="1813" t="s">
        <v>1319</v>
      </c>
      <c r="C10591" s="1902">
        <v>58.694000000000003</v>
      </c>
      <c r="D10591" s="2452">
        <v>83.44</v>
      </c>
      <c r="E10591" s="2525">
        <v>0.42161038607012635</v>
      </c>
      <c r="F10591" s="2451">
        <v>0.06</v>
      </c>
      <c r="G10591" s="78"/>
      <c r="H10591" t="s">
        <v>1320</v>
      </c>
    </row>
    <row r="10592" spans="1:8" hidden="1" outlineLevel="1" x14ac:dyDescent="0.25">
      <c r="A10592" s="1920">
        <v>0.02</v>
      </c>
      <c r="B10592" s="1813" t="s">
        <v>1231</v>
      </c>
      <c r="C10592" s="1902">
        <v>63.677999999999997</v>
      </c>
      <c r="D10592" s="2452">
        <v>86.31</v>
      </c>
      <c r="E10592" s="2525">
        <v>0.35541317252426285</v>
      </c>
      <c r="F10592" s="2451">
        <v>0.06</v>
      </c>
      <c r="G10592" s="78"/>
      <c r="H10592" t="s">
        <v>2041</v>
      </c>
    </row>
    <row r="10593" spans="1:8" hidden="1" outlineLevel="1" x14ac:dyDescent="0.25">
      <c r="A10593" s="1920">
        <v>0.02</v>
      </c>
      <c r="B10593" s="1813" t="s">
        <v>5232</v>
      </c>
      <c r="C10593" s="1902">
        <v>67.772000000000006</v>
      </c>
      <c r="D10593" s="2452">
        <v>78.12</v>
      </c>
      <c r="E10593" s="2525">
        <v>0.15268842589860121</v>
      </c>
      <c r="F10593" s="2451">
        <v>0.06</v>
      </c>
      <c r="G10593" s="78"/>
      <c r="H10593" t="s">
        <v>5230</v>
      </c>
    </row>
    <row r="10594" spans="1:8" hidden="1" outlineLevel="1" x14ac:dyDescent="0.25">
      <c r="A10594" s="1920">
        <v>0.02</v>
      </c>
      <c r="B10594" s="1903" t="s">
        <v>3799</v>
      </c>
      <c r="C10594" s="1902">
        <v>1421.8</v>
      </c>
      <c r="D10594" s="2452">
        <v>1504</v>
      </c>
      <c r="E10594" s="2525">
        <v>5.7814038542692403E-2</v>
      </c>
      <c r="F10594" s="2451">
        <v>0.06</v>
      </c>
      <c r="G10594" s="78"/>
      <c r="H10594" t="s">
        <v>4128</v>
      </c>
    </row>
    <row r="10595" spans="1:8" hidden="1" outlineLevel="1" x14ac:dyDescent="0.25">
      <c r="A10595" s="1920">
        <v>0.03</v>
      </c>
      <c r="B10595" s="1928" t="s">
        <v>2920</v>
      </c>
      <c r="C10595" s="1902">
        <v>27.058</v>
      </c>
      <c r="D10595" s="2452">
        <v>35.81</v>
      </c>
      <c r="E10595" s="2525">
        <v>0.32345332249242387</v>
      </c>
      <c r="F10595" s="2451">
        <v>0.06</v>
      </c>
      <c r="G10595" s="78"/>
      <c r="H10595" t="s">
        <v>2926</v>
      </c>
    </row>
    <row r="10596" spans="1:8" hidden="1" outlineLevel="1" x14ac:dyDescent="0.25">
      <c r="A10596" s="1920">
        <v>0.02</v>
      </c>
      <c r="B10596" s="1928" t="s">
        <v>1381</v>
      </c>
      <c r="C10596" s="1902">
        <v>72.052000000000007</v>
      </c>
      <c r="D10596" s="2452">
        <v>122.33</v>
      </c>
      <c r="E10596" s="2525">
        <v>0.69780158774218592</v>
      </c>
      <c r="F10596" s="2451">
        <v>0.06</v>
      </c>
      <c r="G10596" s="78"/>
      <c r="H10596" t="s">
        <v>1383</v>
      </c>
    </row>
    <row r="10597" spans="1:8" hidden="1" outlineLevel="1" x14ac:dyDescent="0.25">
      <c r="A10597" s="1920">
        <v>0.02</v>
      </c>
      <c r="B10597" s="2509" t="s">
        <v>1905</v>
      </c>
      <c r="C10597" s="1902">
        <v>37.735999999999997</v>
      </c>
      <c r="D10597" s="2452">
        <v>62.7</v>
      </c>
      <c r="E10597" s="2525">
        <v>0.66154335382658491</v>
      </c>
      <c r="F10597" s="2451">
        <v>0.06</v>
      </c>
      <c r="G10597" s="78"/>
      <c r="H10597" t="s">
        <v>504</v>
      </c>
    </row>
    <row r="10598" spans="1:8" hidden="1" outlineLevel="1" x14ac:dyDescent="0.25">
      <c r="A10598" s="1920">
        <v>0.02</v>
      </c>
      <c r="B10598" s="2509" t="s">
        <v>247</v>
      </c>
      <c r="C10598" s="1902">
        <v>1935.6</v>
      </c>
      <c r="D10598" s="2452">
        <v>2517</v>
      </c>
      <c r="E10598" s="2525">
        <v>0.30037197768133916</v>
      </c>
      <c r="F10598" s="2451">
        <v>0.06</v>
      </c>
      <c r="G10598" s="78"/>
      <c r="H10598" t="s">
        <v>3640</v>
      </c>
    </row>
    <row r="10599" spans="1:8" hidden="1" outlineLevel="1" x14ac:dyDescent="0.25">
      <c r="A10599" s="1920">
        <v>0.02</v>
      </c>
      <c r="B10599" s="1903" t="s">
        <v>2786</v>
      </c>
      <c r="C10599" s="1902">
        <v>650.29999999999995</v>
      </c>
      <c r="D10599" s="2452">
        <v>964.3</v>
      </c>
      <c r="E10599" s="2525">
        <v>0.48285406735352909</v>
      </c>
      <c r="F10599" s="2451">
        <v>0.06</v>
      </c>
      <c r="G10599" s="78"/>
      <c r="H10599" t="s">
        <v>4195</v>
      </c>
    </row>
    <row r="10600" spans="1:8" hidden="1" outlineLevel="1" x14ac:dyDescent="0.25">
      <c r="A10600" s="1920">
        <v>7.0000000000000007E-2</v>
      </c>
      <c r="B10600" s="2509" t="s">
        <v>2787</v>
      </c>
      <c r="C10600" s="1902">
        <v>49.753999999999998</v>
      </c>
      <c r="D10600" s="2452">
        <v>81.95</v>
      </c>
      <c r="E10600" s="2525">
        <v>0.64710375045222501</v>
      </c>
      <c r="F10600" s="2451">
        <v>0.06</v>
      </c>
      <c r="G10600" s="78"/>
      <c r="H10600" t="s">
        <v>80</v>
      </c>
    </row>
    <row r="10601" spans="1:8" hidden="1" outlineLevel="1" x14ac:dyDescent="0.25">
      <c r="A10601" s="1920">
        <v>0.02</v>
      </c>
      <c r="B10601" s="1928" t="s">
        <v>2753</v>
      </c>
      <c r="C10601" s="1902">
        <v>20.969000000000001</v>
      </c>
      <c r="D10601" s="2452">
        <v>65.400000000000006</v>
      </c>
      <c r="E10601" s="2525">
        <v>2.118889789689542</v>
      </c>
      <c r="F10601" s="2451">
        <v>0.06</v>
      </c>
      <c r="G10601" s="78"/>
      <c r="H10601" t="s">
        <v>3558</v>
      </c>
    </row>
    <row r="10602" spans="1:8" hidden="1" outlineLevel="1" x14ac:dyDescent="0.25">
      <c r="A10602" s="1920">
        <v>7.0000000000000007E-2</v>
      </c>
      <c r="B10602" s="2509" t="s">
        <v>3800</v>
      </c>
      <c r="C10602" s="1902">
        <v>158.76</v>
      </c>
      <c r="D10602" s="2452">
        <v>245.1</v>
      </c>
      <c r="E10602" s="2525">
        <v>0.54383975812547236</v>
      </c>
      <c r="F10602" s="2451">
        <v>0.06</v>
      </c>
      <c r="G10602" s="78"/>
      <c r="H10602" t="s">
        <v>2817</v>
      </c>
    </row>
    <row r="10603" spans="1:8" hidden="1" outlineLevel="1" x14ac:dyDescent="0.25">
      <c r="A10603" s="1920">
        <v>0.03</v>
      </c>
      <c r="B10603" s="2509" t="s">
        <v>4460</v>
      </c>
      <c r="C10603" s="1902">
        <v>1593.6</v>
      </c>
      <c r="D10603" s="2452">
        <v>2247</v>
      </c>
      <c r="E10603" s="2525">
        <v>0.41001506024096401</v>
      </c>
      <c r="F10603" s="2451">
        <v>0.06</v>
      </c>
      <c r="G10603" s="78"/>
      <c r="H10603" t="s">
        <v>3485</v>
      </c>
    </row>
    <row r="10604" spans="1:8" hidden="1" outlineLevel="1" x14ac:dyDescent="0.25">
      <c r="A10604" s="1920">
        <v>0.05</v>
      </c>
      <c r="B10604" s="1928" t="s">
        <v>1857</v>
      </c>
      <c r="C10604" s="1902">
        <v>1300.2</v>
      </c>
      <c r="D10604" s="2452">
        <v>1430</v>
      </c>
      <c r="E10604" s="2525">
        <v>9.9830795262267236E-2</v>
      </c>
      <c r="F10604" s="2451">
        <v>0.06</v>
      </c>
      <c r="G10604" s="78"/>
      <c r="H10604" t="s">
        <v>3559</v>
      </c>
    </row>
    <row r="10605" spans="1:8" hidden="1" outlineLevel="1" x14ac:dyDescent="0.25">
      <c r="A10605" s="1920">
        <v>7.0000000000000007E-2</v>
      </c>
      <c r="B10605" s="1813" t="s">
        <v>1239</v>
      </c>
      <c r="C10605" s="1902">
        <v>353.94</v>
      </c>
      <c r="D10605" s="2452">
        <v>478.7</v>
      </c>
      <c r="E10605" s="2525">
        <v>0.35248912245013275</v>
      </c>
      <c r="F10605" s="2451">
        <v>0.06</v>
      </c>
      <c r="G10605" s="78"/>
      <c r="H10605" t="s">
        <v>268</v>
      </c>
    </row>
    <row r="10606" spans="1:8" hidden="1" outlineLevel="1" x14ac:dyDescent="0.25">
      <c r="A10606" s="1920">
        <v>0.02</v>
      </c>
      <c r="B10606" s="1813" t="s">
        <v>3022</v>
      </c>
      <c r="C10606" s="1902">
        <v>3684</v>
      </c>
      <c r="D10606" s="2452">
        <v>5974</v>
      </c>
      <c r="E10606" s="2525">
        <v>0.62160694896851254</v>
      </c>
      <c r="F10606" s="2451">
        <v>0.06</v>
      </c>
      <c r="G10606" s="78"/>
      <c r="H10606" t="s">
        <v>2802</v>
      </c>
    </row>
    <row r="10607" spans="1:8" hidden="1" outlineLevel="1" x14ac:dyDescent="0.25">
      <c r="A10607" s="1920">
        <v>0.05</v>
      </c>
      <c r="B10607" s="1813" t="s">
        <v>434</v>
      </c>
      <c r="C10607" s="1902">
        <v>47.113999999999997</v>
      </c>
      <c r="D10607" s="2452">
        <v>37.659999999999997</v>
      </c>
      <c r="E10607" s="2525">
        <v>-0.20066222354289598</v>
      </c>
      <c r="F10607" s="2451">
        <v>-0.20066222354289598</v>
      </c>
      <c r="G10607" s="78"/>
      <c r="H10607" t="s">
        <v>7745</v>
      </c>
    </row>
    <row r="10608" spans="1:8" hidden="1" outlineLevel="1" x14ac:dyDescent="0.25">
      <c r="A10608" s="1920">
        <v>0.03</v>
      </c>
      <c r="B10608" s="2544" t="s">
        <v>106</v>
      </c>
      <c r="C10608" s="1902">
        <v>2076</v>
      </c>
      <c r="D10608" s="2452">
        <v>4465</v>
      </c>
      <c r="E10608" s="2525">
        <v>1.1507707129094413</v>
      </c>
      <c r="F10608" s="2451">
        <v>0.06</v>
      </c>
      <c r="G10608" s="78"/>
      <c r="H10608" t="s">
        <v>107</v>
      </c>
    </row>
    <row r="10609" spans="1:22" hidden="1" outlineLevel="1" x14ac:dyDescent="0.25">
      <c r="A10609" s="1920">
        <v>0.02</v>
      </c>
      <c r="B10609" s="2509" t="s">
        <v>2983</v>
      </c>
      <c r="C10609" s="1902">
        <v>616.70000000000005</v>
      </c>
      <c r="D10609" s="2452">
        <v>909.5</v>
      </c>
      <c r="E10609" s="2525">
        <v>0.47478514674882422</v>
      </c>
      <c r="F10609" s="2451">
        <v>0.06</v>
      </c>
      <c r="G10609" s="78"/>
      <c r="H10609" t="s">
        <v>1713</v>
      </c>
    </row>
    <row r="10610" spans="1:22" hidden="1" outlineLevel="1" x14ac:dyDescent="0.25">
      <c r="A10610" s="1920">
        <v>0.02</v>
      </c>
      <c r="B10610" s="2544" t="s">
        <v>255</v>
      </c>
      <c r="C10610" s="1902">
        <v>39.198</v>
      </c>
      <c r="D10610" s="2452">
        <v>48.41</v>
      </c>
      <c r="E10610" s="2525">
        <v>0.23501199040767373</v>
      </c>
      <c r="F10610" s="2451">
        <v>0.06</v>
      </c>
      <c r="G10610" s="78"/>
      <c r="H10610" t="s">
        <v>3351</v>
      </c>
    </row>
    <row r="10611" spans="1:22" hidden="1" outlineLevel="1" x14ac:dyDescent="0.25">
      <c r="A10611" s="1920">
        <v>0.02</v>
      </c>
      <c r="B10611" s="2544" t="s">
        <v>579</v>
      </c>
      <c r="C10611" s="1902">
        <v>170.02</v>
      </c>
      <c r="D10611" s="2452">
        <v>221.85</v>
      </c>
      <c r="E10611" s="2525">
        <v>0.30484648864839414</v>
      </c>
      <c r="F10611" s="2451">
        <v>0.06</v>
      </c>
      <c r="G10611" s="78"/>
      <c r="H10611" t="s">
        <v>3611</v>
      </c>
    </row>
    <row r="10612" spans="1:22" hidden="1" outlineLevel="1" x14ac:dyDescent="0.25">
      <c r="A10612" s="1920">
        <v>0.02</v>
      </c>
      <c r="B10612" s="1813" t="s">
        <v>2874</v>
      </c>
      <c r="C10612" s="1902">
        <v>26.744</v>
      </c>
      <c r="D10612" s="2452">
        <v>48.94</v>
      </c>
      <c r="E10612" s="2525">
        <v>0.82994316482201613</v>
      </c>
      <c r="F10612" s="2451">
        <v>0.06</v>
      </c>
      <c r="G10612" s="78"/>
      <c r="H10612" t="s">
        <v>5175</v>
      </c>
    </row>
    <row r="10613" spans="1:22" hidden="1" outlineLevel="1" x14ac:dyDescent="0.25">
      <c r="A10613" s="1897" t="s">
        <v>2465</v>
      </c>
      <c r="B10613" s="1931"/>
      <c r="C10613" s="1932"/>
      <c r="D10613" s="2338"/>
      <c r="E10613" s="2339">
        <v>0.51085758025801231</v>
      </c>
      <c r="F10613" s="2545">
        <v>4.6966888822855206E-2</v>
      </c>
      <c r="G10613" s="78"/>
    </row>
    <row r="10614" spans="1:22" hidden="1" outlineLevel="1" x14ac:dyDescent="0.25">
      <c r="A10614" s="2504"/>
      <c r="B10614" s="2505"/>
      <c r="C10614" s="2505"/>
      <c r="D10614" s="2505"/>
      <c r="E10614" s="2505"/>
      <c r="F10614" s="2542"/>
      <c r="G10614" s="78"/>
    </row>
    <row r="10615" spans="1:22" hidden="1" outlineLevel="1" x14ac:dyDescent="0.25">
      <c r="A10615" s="2156" t="s">
        <v>113</v>
      </c>
      <c r="B10615" s="2156"/>
      <c r="C10615" s="2356"/>
      <c r="D10615" s="2356"/>
      <c r="E10615" s="2503"/>
      <c r="F10615" s="2476"/>
      <c r="G10615" s="78"/>
    </row>
    <row r="10616" spans="1:22" hidden="1" outlineLevel="1" x14ac:dyDescent="0.25">
      <c r="A10616" s="1810" t="s">
        <v>5224</v>
      </c>
      <c r="B10616" s="2504"/>
      <c r="C10616" s="2505"/>
      <c r="D10616" s="2505"/>
      <c r="E10616" s="2194"/>
      <c r="F10616" s="2446">
        <v>0.03</v>
      </c>
      <c r="G10616" s="78"/>
    </row>
    <row r="10617" spans="1:22" hidden="1" outlineLevel="1" x14ac:dyDescent="0.25">
      <c r="A10617" s="1810" t="s">
        <v>5225</v>
      </c>
      <c r="B10617" s="2335"/>
      <c r="C10617" s="2509"/>
      <c r="D10617" s="2509"/>
      <c r="E10617" s="1813"/>
      <c r="F10617" s="2545">
        <v>4.7E-2</v>
      </c>
      <c r="G10617" s="78"/>
    </row>
    <row r="10618" spans="1:22" hidden="1" outlineLevel="1" x14ac:dyDescent="0.25">
      <c r="A10618" s="1810" t="s">
        <v>5226</v>
      </c>
      <c r="B10618" s="2335"/>
      <c r="C10618" s="2509"/>
      <c r="D10618" s="2509"/>
      <c r="E10618" s="1813"/>
      <c r="F10618" s="2545">
        <v>0.06</v>
      </c>
      <c r="G10618" s="78"/>
    </row>
    <row r="10619" spans="1:22" hidden="1" outlineLevel="1" x14ac:dyDescent="0.25">
      <c r="A10619" s="1810" t="s">
        <v>5227</v>
      </c>
      <c r="B10619" s="2335"/>
      <c r="C10619" s="2509"/>
      <c r="D10619" s="2509"/>
      <c r="E10619" s="1813"/>
      <c r="F10619" s="2545">
        <v>4.8503999999999936E-2</v>
      </c>
      <c r="G10619" s="78"/>
    </row>
    <row r="10620" spans="1:22" hidden="1" outlineLevel="1" x14ac:dyDescent="0.25">
      <c r="A10620" s="1810" t="s">
        <v>5228</v>
      </c>
      <c r="B10620" s="1813"/>
      <c r="C10620" s="1813"/>
      <c r="D10620" s="1813"/>
      <c r="E10620" s="1813"/>
      <c r="F10620" s="2545">
        <v>4.7100000000000003E-2</v>
      </c>
      <c r="G10620" s="78"/>
    </row>
    <row r="10621" spans="1:22" collapsed="1" x14ac:dyDescent="0.25">
      <c r="A10621" s="3803" t="s">
        <v>5229</v>
      </c>
      <c r="B10621" s="3804"/>
      <c r="C10621" s="3804"/>
      <c r="D10621" s="2356"/>
      <c r="E10621" s="2356"/>
      <c r="F10621" s="2459">
        <v>0.23260399999999995</v>
      </c>
      <c r="G10621" s="78"/>
    </row>
    <row r="10623" spans="1:22" ht="31.5" hidden="1" customHeight="1" outlineLevel="1" x14ac:dyDescent="0.25">
      <c r="A10623" s="2107" t="s">
        <v>4362</v>
      </c>
      <c r="B10623" s="2107" t="s">
        <v>5268</v>
      </c>
      <c r="C10623" s="2107" t="s">
        <v>4613</v>
      </c>
      <c r="D10623" s="2554" t="s">
        <v>5267</v>
      </c>
      <c r="E10623" s="2107" t="s">
        <v>4363</v>
      </c>
      <c r="F10623" s="2540" t="s">
        <v>5269</v>
      </c>
      <c r="G10623" s="78"/>
      <c r="I10623" s="173" t="s">
        <v>631</v>
      </c>
      <c r="J10623" s="256">
        <v>40695</v>
      </c>
      <c r="K10623" s="256">
        <v>40725</v>
      </c>
      <c r="L10623" s="256">
        <v>40756</v>
      </c>
      <c r="M10623" s="256">
        <v>40787</v>
      </c>
      <c r="N10623" s="256">
        <v>40817</v>
      </c>
      <c r="O10623" s="256">
        <v>40848</v>
      </c>
      <c r="P10623" s="256">
        <v>40878</v>
      </c>
      <c r="Q10623" s="256">
        <v>40909</v>
      </c>
      <c r="R10623" s="256">
        <v>40940</v>
      </c>
      <c r="S10623" s="256">
        <v>40969</v>
      </c>
      <c r="T10623" s="256">
        <v>41000</v>
      </c>
      <c r="U10623" s="256">
        <v>41030</v>
      </c>
      <c r="V10623" t="s">
        <v>5255</v>
      </c>
    </row>
    <row r="10624" spans="1:22" hidden="1" outlineLevel="1" x14ac:dyDescent="0.25">
      <c r="A10624" s="2555">
        <v>1</v>
      </c>
      <c r="B10624" s="2556" t="s">
        <v>115</v>
      </c>
      <c r="C10624" s="2557">
        <v>4376.42</v>
      </c>
      <c r="D10624" s="1821">
        <v>1882.79</v>
      </c>
      <c r="E10624" s="2557">
        <v>2405.36</v>
      </c>
      <c r="F10624" s="2535">
        <f>+(E10624-D10624)/C10624*0.95</f>
        <v>0.11343552492676665</v>
      </c>
      <c r="G10624" s="78"/>
      <c r="H10624" s="412" t="s">
        <v>5237</v>
      </c>
      <c r="I10624" s="412" t="s">
        <v>2465</v>
      </c>
      <c r="J10624" s="370">
        <v>2848.53</v>
      </c>
      <c r="K10624" s="370">
        <v>2670.37</v>
      </c>
      <c r="L10624" s="370">
        <v>2302.08</v>
      </c>
      <c r="M10624" s="370">
        <v>2179.66</v>
      </c>
      <c r="N10624" s="370">
        <v>2385.2199999999998</v>
      </c>
      <c r="O10624" s="370">
        <v>2330.4299999999998</v>
      </c>
      <c r="P10624" s="370">
        <v>2316.5500000000002</v>
      </c>
      <c r="Q10624" s="370">
        <v>2416.66</v>
      </c>
      <c r="R10624" s="370">
        <v>2512.11</v>
      </c>
      <c r="S10624" s="370">
        <v>2477.2800000000002</v>
      </c>
      <c r="T10624">
        <v>2306.4299999999998</v>
      </c>
      <c r="U10624">
        <v>2118.94</v>
      </c>
      <c r="V10624">
        <v>1882.79</v>
      </c>
    </row>
    <row r="10625" spans="1:21" collapsed="1" x14ac:dyDescent="0.25">
      <c r="A10625" s="3801" t="s">
        <v>5238</v>
      </c>
      <c r="B10625" s="3802"/>
      <c r="C10625" s="3802"/>
      <c r="D10625" s="3802"/>
      <c r="E10625" s="1906"/>
      <c r="F10625" s="1907">
        <f>F10624</f>
        <v>0.11343552492676665</v>
      </c>
      <c r="G10625" s="175" t="s">
        <v>781</v>
      </c>
      <c r="H10625" s="423">
        <f>I10625*parametry!N153</f>
        <v>-0.42786381334515422</v>
      </c>
      <c r="I10625" s="261">
        <f>AVERAGE(J10625:U10625)</f>
        <v>-0.45038296141595185</v>
      </c>
      <c r="J10625" s="37">
        <f>IF(J10624="",I10625,J10624/$C$10624-1)</f>
        <v>-0.34911868604932794</v>
      </c>
      <c r="K10625" s="37">
        <f>IF(K10624="",J10625,K10624/$C$10624-1)</f>
        <v>-0.38982775876172771</v>
      </c>
      <c r="L10625" s="37">
        <f t="shared" ref="L10625:T10625" si="215">IF(L10624="",K10625,L10624/$C$10624-1)</f>
        <v>-0.47398101644723312</v>
      </c>
      <c r="M10625" s="37">
        <f t="shared" si="215"/>
        <v>-0.50195365161479022</v>
      </c>
      <c r="N10625" s="37">
        <f t="shared" si="215"/>
        <v>-0.45498375384446654</v>
      </c>
      <c r="O10625" s="37">
        <f t="shared" si="215"/>
        <v>-0.46750311898766572</v>
      </c>
      <c r="P10625" s="37">
        <f>IF(P10624="",O10625,P10624/$C$10624-1)</f>
        <v>-0.47067466102430755</v>
      </c>
      <c r="Q10625" s="37">
        <f t="shared" si="215"/>
        <v>-0.44779979983639595</v>
      </c>
      <c r="R10625" s="37">
        <f t="shared" si="215"/>
        <v>-0.42598973590286127</v>
      </c>
      <c r="S10625" s="37">
        <f t="shared" si="215"/>
        <v>-0.43394829563890114</v>
      </c>
      <c r="T10625" s="37">
        <f t="shared" si="215"/>
        <v>-0.47298705334497149</v>
      </c>
      <c r="U10625" s="37">
        <f>IF(U10624="",T10625,U10624/$C$10624-1)</f>
        <v>-0.51582800553877362</v>
      </c>
    </row>
    <row r="10627" spans="1:21" hidden="1" outlineLevel="1" x14ac:dyDescent="0.25">
      <c r="A10627" s="2489" t="s">
        <v>113</v>
      </c>
      <c r="B10627" s="2489" t="s">
        <v>114</v>
      </c>
      <c r="C10627" s="2489" t="s">
        <v>112</v>
      </c>
      <c r="D10627" s="2489" t="s">
        <v>116</v>
      </c>
      <c r="E10627" s="2489" t="s">
        <v>117</v>
      </c>
      <c r="F10627" s="2476" t="s">
        <v>121</v>
      </c>
      <c r="G10627" s="78"/>
    </row>
    <row r="10628" spans="1:21" hidden="1" outlineLevel="1" x14ac:dyDescent="0.25">
      <c r="A10628" s="2509">
        <v>5</v>
      </c>
      <c r="B10628" s="2509"/>
      <c r="C10628" s="2498"/>
      <c r="D10628" s="1900" t="s">
        <v>3702</v>
      </c>
      <c r="E10628" s="2510">
        <v>42963</v>
      </c>
      <c r="F10628" s="2539"/>
      <c r="G10628" s="78"/>
    </row>
    <row r="10629" spans="1:21" hidden="1" outlineLevel="1" x14ac:dyDescent="0.25">
      <c r="A10629" s="2489" t="s">
        <v>4156</v>
      </c>
      <c r="B10629" s="2489" t="s">
        <v>4153</v>
      </c>
      <c r="C10629" s="2541" t="s">
        <v>112</v>
      </c>
      <c r="D10629" s="2489" t="s">
        <v>4155</v>
      </c>
      <c r="E10629" s="2489" t="s">
        <v>4154</v>
      </c>
      <c r="F10629" s="2476" t="s">
        <v>734</v>
      </c>
      <c r="G10629" s="78"/>
    </row>
    <row r="10630" spans="1:21" hidden="1" outlineLevel="1" x14ac:dyDescent="0.25">
      <c r="A10630" s="1920">
        <v>0.02</v>
      </c>
      <c r="B10630" s="1813" t="s">
        <v>1993</v>
      </c>
      <c r="C10630" s="1902">
        <v>30.312000000000001</v>
      </c>
      <c r="D10630" s="2452">
        <v>65.45</v>
      </c>
      <c r="E10630" s="2525">
        <v>1.1592108735814199</v>
      </c>
      <c r="F10630" s="2451">
        <v>0.06</v>
      </c>
      <c r="G10630" s="78"/>
      <c r="H10630" t="s">
        <v>2812</v>
      </c>
    </row>
    <row r="10631" spans="1:21" hidden="1" outlineLevel="1" x14ac:dyDescent="0.25">
      <c r="A10631" s="1920">
        <v>7.0000000000000007E-2</v>
      </c>
      <c r="B10631" s="1813" t="s">
        <v>2942</v>
      </c>
      <c r="C10631" s="1902">
        <v>678.8</v>
      </c>
      <c r="D10631" s="2452">
        <v>1399</v>
      </c>
      <c r="E10631" s="2525">
        <v>1.0609899823217446</v>
      </c>
      <c r="F10631" s="2451">
        <v>0.06</v>
      </c>
      <c r="G10631" s="78"/>
      <c r="H10631" t="s">
        <v>2336</v>
      </c>
    </row>
    <row r="10632" spans="1:21" hidden="1" outlineLevel="1" x14ac:dyDescent="0.25">
      <c r="A10632" s="1920">
        <v>0.03</v>
      </c>
      <c r="B10632" s="1813" t="s">
        <v>1903</v>
      </c>
      <c r="C10632" s="1902">
        <v>2855.3</v>
      </c>
      <c r="D10632" s="2452">
        <v>4467.5</v>
      </c>
      <c r="E10632" s="2525">
        <v>0.56463418905193841</v>
      </c>
      <c r="F10632" s="2451">
        <v>0.06</v>
      </c>
      <c r="G10632" s="78"/>
      <c r="H10632" t="s">
        <v>3883</v>
      </c>
    </row>
    <row r="10633" spans="1:21" hidden="1" outlineLevel="1" x14ac:dyDescent="0.25">
      <c r="A10633" s="1920">
        <v>7.0000000000000007E-2</v>
      </c>
      <c r="B10633" s="1926" t="s">
        <v>3998</v>
      </c>
      <c r="C10633" s="1902">
        <v>31.225999999999999</v>
      </c>
      <c r="D10633" s="2452">
        <v>38.229999999999997</v>
      </c>
      <c r="E10633" s="2525">
        <v>0.22430026260167812</v>
      </c>
      <c r="F10633" s="2451">
        <v>0.06</v>
      </c>
      <c r="G10633" s="78"/>
      <c r="H10633" t="s">
        <v>4000</v>
      </c>
    </row>
    <row r="10634" spans="1:21" hidden="1" outlineLevel="1" x14ac:dyDescent="0.25">
      <c r="A10634" s="1920">
        <v>0.03</v>
      </c>
      <c r="B10634" s="1926" t="s">
        <v>805</v>
      </c>
      <c r="C10634" s="1902">
        <v>57.75</v>
      </c>
      <c r="D10634" s="2452">
        <v>92.2</v>
      </c>
      <c r="E10634" s="2525">
        <v>0.59653679653679648</v>
      </c>
      <c r="F10634" s="2451">
        <v>0.06</v>
      </c>
      <c r="G10634" s="78"/>
      <c r="H10634" t="s">
        <v>806</v>
      </c>
    </row>
    <row r="10635" spans="1:21" hidden="1" outlineLevel="1" x14ac:dyDescent="0.25">
      <c r="A10635" s="1920">
        <v>0.02</v>
      </c>
      <c r="B10635" s="1903" t="s">
        <v>4377</v>
      </c>
      <c r="C10635" s="1902">
        <v>32.927999999999997</v>
      </c>
      <c r="D10635" s="2452">
        <v>57.5</v>
      </c>
      <c r="E10635" s="2525">
        <v>0.74623420796890194</v>
      </c>
      <c r="F10635" s="2451">
        <v>0.06</v>
      </c>
      <c r="G10635" s="78"/>
      <c r="H10635" t="s">
        <v>4327</v>
      </c>
    </row>
    <row r="10636" spans="1:21" hidden="1" outlineLevel="1" x14ac:dyDescent="0.25">
      <c r="A10636" s="1920">
        <v>0.02</v>
      </c>
      <c r="B10636" s="2509" t="s">
        <v>3954</v>
      </c>
      <c r="C10636" s="1902">
        <v>75.569999999999993</v>
      </c>
      <c r="D10636" s="2452">
        <v>107.05</v>
      </c>
      <c r="E10636" s="2525">
        <v>0.41656742093423316</v>
      </c>
      <c r="F10636" s="2451">
        <v>0.06</v>
      </c>
      <c r="G10636" s="78"/>
      <c r="H10636" t="s">
        <v>3955</v>
      </c>
    </row>
    <row r="10637" spans="1:21" hidden="1" outlineLevel="1" x14ac:dyDescent="0.25">
      <c r="A10637" s="1920">
        <v>0.02</v>
      </c>
      <c r="B10637" s="1813" t="s">
        <v>5246</v>
      </c>
      <c r="C10637" s="1902">
        <v>38.954000000000001</v>
      </c>
      <c r="D10637" s="2452">
        <v>20.89</v>
      </c>
      <c r="E10637" s="2525">
        <v>-0.46372644657801509</v>
      </c>
      <c r="F10637" s="2451">
        <v>-0.46372644657801509</v>
      </c>
      <c r="G10637" s="78"/>
      <c r="H10637" t="s">
        <v>5245</v>
      </c>
    </row>
    <row r="10638" spans="1:21" hidden="1" outlineLevel="1" x14ac:dyDescent="0.25">
      <c r="A10638" s="1920">
        <v>0.05</v>
      </c>
      <c r="B10638" s="2509" t="s">
        <v>1319</v>
      </c>
      <c r="C10638" s="1902">
        <v>58.694000000000003</v>
      </c>
      <c r="D10638" s="2452">
        <v>83.44</v>
      </c>
      <c r="E10638" s="2525">
        <v>0.42161038607012635</v>
      </c>
      <c r="F10638" s="2451">
        <v>0.06</v>
      </c>
      <c r="G10638" s="78"/>
      <c r="H10638" t="s">
        <v>1320</v>
      </c>
    </row>
    <row r="10639" spans="1:21" hidden="1" outlineLevel="1" x14ac:dyDescent="0.25">
      <c r="A10639" s="1920">
        <v>0.02</v>
      </c>
      <c r="B10639" s="2335" t="s">
        <v>5824</v>
      </c>
      <c r="C10639" s="1902">
        <v>11.141999999999999</v>
      </c>
      <c r="D10639" s="2452">
        <v>14.33</v>
      </c>
      <c r="E10639" s="2525">
        <v>0.28612457368515543</v>
      </c>
      <c r="F10639" s="2451">
        <v>0.06</v>
      </c>
      <c r="G10639" s="78"/>
      <c r="H10639" t="s">
        <v>5817</v>
      </c>
    </row>
    <row r="10640" spans="1:21" hidden="1" outlineLevel="1" x14ac:dyDescent="0.25">
      <c r="A10640" s="1920">
        <v>0.02</v>
      </c>
      <c r="B10640" s="1903" t="s">
        <v>3799</v>
      </c>
      <c r="C10640" s="1902">
        <v>1421.8</v>
      </c>
      <c r="D10640" s="2452">
        <v>1504</v>
      </c>
      <c r="E10640" s="2525">
        <v>5.7814038542692403E-2</v>
      </c>
      <c r="F10640" s="2451">
        <v>0.06</v>
      </c>
      <c r="G10640" s="78"/>
      <c r="H10640" t="s">
        <v>4128</v>
      </c>
    </row>
    <row r="10641" spans="1:8" hidden="1" outlineLevel="1" x14ac:dyDescent="0.25">
      <c r="A10641" s="1920">
        <v>0.02</v>
      </c>
      <c r="B10641" s="1928" t="s">
        <v>1381</v>
      </c>
      <c r="C10641" s="1902">
        <v>72.052000000000007</v>
      </c>
      <c r="D10641" s="2452">
        <v>122.33</v>
      </c>
      <c r="E10641" s="2525">
        <v>0.69780158774218592</v>
      </c>
      <c r="F10641" s="2451">
        <v>0.06</v>
      </c>
      <c r="G10641" s="78"/>
      <c r="H10641" t="s">
        <v>1383</v>
      </c>
    </row>
    <row r="10642" spans="1:8" hidden="1" outlineLevel="1" x14ac:dyDescent="0.25">
      <c r="A10642" s="1920">
        <v>7.0000000000000007E-2</v>
      </c>
      <c r="B10642" s="1813" t="s">
        <v>4143</v>
      </c>
      <c r="C10642" s="1902">
        <v>4.0444000000000004</v>
      </c>
      <c r="D10642" s="2452">
        <v>3.0710000000000002</v>
      </c>
      <c r="E10642" s="2525">
        <v>-0.24067846899416478</v>
      </c>
      <c r="F10642" s="2451">
        <v>-0.24067846899416478</v>
      </c>
      <c r="G10642" s="78"/>
      <c r="H10642" t="s">
        <v>4144</v>
      </c>
    </row>
    <row r="10643" spans="1:8" hidden="1" outlineLevel="1" x14ac:dyDescent="0.25">
      <c r="A10643" s="1920">
        <v>0.02</v>
      </c>
      <c r="B10643" s="1813" t="s">
        <v>1905</v>
      </c>
      <c r="C10643" s="1902">
        <v>37.735999999999997</v>
      </c>
      <c r="D10643" s="2452">
        <v>62.7</v>
      </c>
      <c r="E10643" s="2525">
        <v>0.66154335382658491</v>
      </c>
      <c r="F10643" s="2451">
        <v>0.06</v>
      </c>
      <c r="G10643" s="78"/>
      <c r="H10643" t="s">
        <v>504</v>
      </c>
    </row>
    <row r="10644" spans="1:8" hidden="1" outlineLevel="1" x14ac:dyDescent="0.25">
      <c r="A10644" s="1920">
        <v>0.02</v>
      </c>
      <c r="B10644" s="1903" t="s">
        <v>2786</v>
      </c>
      <c r="C10644" s="1902">
        <v>650.29999999999995</v>
      </c>
      <c r="D10644" s="2452">
        <v>964.3</v>
      </c>
      <c r="E10644" s="2525">
        <v>0.48285406735352909</v>
      </c>
      <c r="F10644" s="2451">
        <v>0.06</v>
      </c>
      <c r="G10644" s="78"/>
      <c r="H10644" t="s">
        <v>4195</v>
      </c>
    </row>
    <row r="10645" spans="1:8" hidden="1" outlineLevel="1" x14ac:dyDescent="0.25">
      <c r="A10645" s="1920">
        <v>7.0000000000000007E-2</v>
      </c>
      <c r="B10645" s="1813" t="s">
        <v>2787</v>
      </c>
      <c r="C10645" s="1902">
        <v>49.753999999999998</v>
      </c>
      <c r="D10645" s="2452">
        <v>81.95</v>
      </c>
      <c r="E10645" s="2525">
        <v>0.64710375045222501</v>
      </c>
      <c r="F10645" s="2451">
        <v>0.06</v>
      </c>
      <c r="G10645" s="78"/>
      <c r="H10645" t="s">
        <v>80</v>
      </c>
    </row>
    <row r="10646" spans="1:8" hidden="1" outlineLevel="1" x14ac:dyDescent="0.25">
      <c r="A10646" s="1920">
        <v>7.0000000000000007E-2</v>
      </c>
      <c r="B10646" s="1903" t="s">
        <v>3800</v>
      </c>
      <c r="C10646" s="1902">
        <v>158.76</v>
      </c>
      <c r="D10646" s="2452">
        <v>245.1</v>
      </c>
      <c r="E10646" s="2525">
        <v>0.54383975812547236</v>
      </c>
      <c r="F10646" s="2451">
        <v>0.06</v>
      </c>
      <c r="G10646" s="78"/>
      <c r="H10646" t="s">
        <v>2817</v>
      </c>
    </row>
    <row r="10647" spans="1:8" hidden="1" outlineLevel="1" x14ac:dyDescent="0.25">
      <c r="A10647" s="1920">
        <v>0.03</v>
      </c>
      <c r="B10647" s="2509" t="s">
        <v>4460</v>
      </c>
      <c r="C10647" s="1902">
        <v>1593.6</v>
      </c>
      <c r="D10647" s="2452">
        <v>2247</v>
      </c>
      <c r="E10647" s="2525">
        <v>0.41001506024096401</v>
      </c>
      <c r="F10647" s="2451">
        <v>0.06</v>
      </c>
      <c r="G10647" s="78"/>
      <c r="H10647" t="s">
        <v>3485</v>
      </c>
    </row>
    <row r="10648" spans="1:8" hidden="1" outlineLevel="1" x14ac:dyDescent="0.25">
      <c r="A10648" s="1920">
        <v>0.05</v>
      </c>
      <c r="B10648" s="1928" t="s">
        <v>1857</v>
      </c>
      <c r="C10648" s="1902">
        <v>1300.2</v>
      </c>
      <c r="D10648" s="2452">
        <v>1430</v>
      </c>
      <c r="E10648" s="2525">
        <v>9.9830795262267236E-2</v>
      </c>
      <c r="F10648" s="2451">
        <v>0.06</v>
      </c>
      <c r="G10648" s="78"/>
      <c r="H10648" t="s">
        <v>3559</v>
      </c>
    </row>
    <row r="10649" spans="1:8" hidden="1" outlineLevel="1" x14ac:dyDescent="0.25">
      <c r="A10649" s="1920">
        <v>0.03</v>
      </c>
      <c r="B10649" s="2509" t="s">
        <v>494</v>
      </c>
      <c r="C10649" s="1902">
        <v>80.02</v>
      </c>
      <c r="D10649" s="2452">
        <v>213</v>
      </c>
      <c r="E10649" s="2525">
        <v>1.6618345413646591</v>
      </c>
      <c r="F10649" s="2451">
        <v>0.06</v>
      </c>
      <c r="G10649" s="78"/>
      <c r="H10649" t="s">
        <v>3086</v>
      </c>
    </row>
    <row r="10650" spans="1:8" hidden="1" outlineLevel="1" x14ac:dyDescent="0.25">
      <c r="A10650" s="1920">
        <v>0.02</v>
      </c>
      <c r="B10650" s="1813" t="s">
        <v>3022</v>
      </c>
      <c r="C10650" s="1902">
        <v>3684</v>
      </c>
      <c r="D10650" s="2452">
        <v>5974</v>
      </c>
      <c r="E10650" s="2525">
        <v>0.62160694896851254</v>
      </c>
      <c r="F10650" s="2451">
        <v>0.06</v>
      </c>
      <c r="G10650" s="78"/>
      <c r="H10650" t="s">
        <v>2802</v>
      </c>
    </row>
    <row r="10651" spans="1:8" hidden="1" outlineLevel="1" x14ac:dyDescent="0.25">
      <c r="A10651" s="1920">
        <v>0.02</v>
      </c>
      <c r="B10651" s="1903" t="s">
        <v>577</v>
      </c>
      <c r="C10651" s="1902">
        <v>12.493</v>
      </c>
      <c r="D10651" s="2452">
        <v>9.375</v>
      </c>
      <c r="E10651" s="2525">
        <v>-0.24957976466821419</v>
      </c>
      <c r="F10651" s="2451">
        <v>-0.24957976466821419</v>
      </c>
      <c r="G10651" s="78"/>
      <c r="H10651" t="s">
        <v>2804</v>
      </c>
    </row>
    <row r="10652" spans="1:8" hidden="1" outlineLevel="1" x14ac:dyDescent="0.25">
      <c r="A10652" s="1920">
        <v>0.05</v>
      </c>
      <c r="B10652" s="1928" t="s">
        <v>434</v>
      </c>
      <c r="C10652" s="1902">
        <v>47.113999999999997</v>
      </c>
      <c r="D10652" s="2452">
        <v>37.659999999999997</v>
      </c>
      <c r="E10652" s="2525">
        <v>-0.20066222354289598</v>
      </c>
      <c r="F10652" s="2451">
        <v>-0.20066222354289598</v>
      </c>
      <c r="G10652" s="78"/>
      <c r="H10652" t="s">
        <v>7745</v>
      </c>
    </row>
    <row r="10653" spans="1:8" hidden="1" outlineLevel="1" x14ac:dyDescent="0.25">
      <c r="A10653" s="1920">
        <v>0.03</v>
      </c>
      <c r="B10653" s="1813" t="s">
        <v>5249</v>
      </c>
      <c r="C10653" s="1902">
        <v>3.238</v>
      </c>
      <c r="D10653" s="2452">
        <v>4.33</v>
      </c>
      <c r="E10653" s="2525">
        <v>0.33724521309450273</v>
      </c>
      <c r="F10653" s="2451">
        <v>0.06</v>
      </c>
      <c r="G10653" s="78"/>
      <c r="H10653" t="s">
        <v>5247</v>
      </c>
    </row>
    <row r="10654" spans="1:8" hidden="1" outlineLevel="1" x14ac:dyDescent="0.25">
      <c r="A10654" s="1920">
        <v>0.03</v>
      </c>
      <c r="B10654" s="2544" t="s">
        <v>106</v>
      </c>
      <c r="C10654" s="1902">
        <v>2076</v>
      </c>
      <c r="D10654" s="2452">
        <v>4465</v>
      </c>
      <c r="E10654" s="2525">
        <v>1.1507707129094413</v>
      </c>
      <c r="F10654" s="2451">
        <v>0.06</v>
      </c>
      <c r="G10654" s="78"/>
      <c r="H10654" t="s">
        <v>107</v>
      </c>
    </row>
    <row r="10655" spans="1:8" hidden="1" outlineLevel="1" x14ac:dyDescent="0.25">
      <c r="A10655" s="1920">
        <v>0.02</v>
      </c>
      <c r="B10655" s="2544" t="s">
        <v>2983</v>
      </c>
      <c r="C10655" s="1902">
        <v>616.70000000000005</v>
      </c>
      <c r="D10655" s="2452">
        <v>909.5</v>
      </c>
      <c r="E10655" s="2525">
        <v>0.47478514674882422</v>
      </c>
      <c r="F10655" s="2451">
        <v>0.06</v>
      </c>
      <c r="G10655" s="78"/>
      <c r="H10655" t="s">
        <v>1713</v>
      </c>
    </row>
    <row r="10656" spans="1:8" hidden="1" outlineLevel="1" x14ac:dyDescent="0.25">
      <c r="A10656" s="1920">
        <v>0.02</v>
      </c>
      <c r="B10656" s="1903" t="s">
        <v>255</v>
      </c>
      <c r="C10656" s="1902">
        <v>39.198</v>
      </c>
      <c r="D10656" s="2452">
        <v>48.41</v>
      </c>
      <c r="E10656" s="2525">
        <v>0.23501199040767373</v>
      </c>
      <c r="F10656" s="2451">
        <v>0.06</v>
      </c>
      <c r="G10656" s="78"/>
      <c r="H10656" t="s">
        <v>3351</v>
      </c>
    </row>
    <row r="10657" spans="1:8" hidden="1" outlineLevel="1" x14ac:dyDescent="0.25">
      <c r="A10657" s="1920">
        <v>0.02</v>
      </c>
      <c r="B10657" s="2544" t="s">
        <v>579</v>
      </c>
      <c r="C10657" s="1902">
        <v>170.02</v>
      </c>
      <c r="D10657" s="2452">
        <v>221.85</v>
      </c>
      <c r="E10657" s="2525">
        <v>0.30484648864839414</v>
      </c>
      <c r="F10657" s="2451">
        <v>0.06</v>
      </c>
      <c r="G10657" s="78"/>
      <c r="H10657" t="s">
        <v>3611</v>
      </c>
    </row>
    <row r="10658" spans="1:8" hidden="1" outlineLevel="1" x14ac:dyDescent="0.25">
      <c r="A10658" s="1920">
        <v>0.02</v>
      </c>
      <c r="B10658" s="2509" t="s">
        <v>5169</v>
      </c>
      <c r="C10658" s="1902">
        <v>12.098000000000001</v>
      </c>
      <c r="D10658" s="2452">
        <v>2.0099999999999998</v>
      </c>
      <c r="E10658" s="2525">
        <v>-0.83385683584063486</v>
      </c>
      <c r="F10658" s="2451">
        <v>-0.83385683584063486</v>
      </c>
      <c r="G10658" s="78"/>
      <c r="H10658" t="s">
        <v>5156</v>
      </c>
    </row>
    <row r="10659" spans="1:8" hidden="1" outlineLevel="1" x14ac:dyDescent="0.25">
      <c r="A10659" s="1920">
        <v>0.02</v>
      </c>
      <c r="B10659" s="1813" t="s">
        <v>4550</v>
      </c>
      <c r="C10659" s="1902">
        <v>230.96</v>
      </c>
      <c r="D10659" s="2452">
        <v>296.2</v>
      </c>
      <c r="E10659" s="2525">
        <v>0.28247315552476615</v>
      </c>
      <c r="F10659" s="2451">
        <v>0.06</v>
      </c>
      <c r="G10659" s="78"/>
      <c r="H10659" t="s">
        <v>4551</v>
      </c>
    </row>
    <row r="10660" spans="1:8" hidden="1" outlineLevel="1" x14ac:dyDescent="0.25">
      <c r="A10660" s="1897" t="s">
        <v>2465</v>
      </c>
      <c r="B10660" s="1931"/>
      <c r="C10660" s="1932"/>
      <c r="D10660" s="2338"/>
      <c r="E10660" s="2339">
        <v>0.41175312933783098</v>
      </c>
      <c r="F10660" s="2545">
        <v>-8.6238649484736245E-3</v>
      </c>
      <c r="G10660" s="78"/>
    </row>
    <row r="10661" spans="1:8" hidden="1" outlineLevel="1" x14ac:dyDescent="0.25">
      <c r="A10661" s="2504"/>
      <c r="B10661" s="2505"/>
      <c r="C10661" s="2505"/>
      <c r="D10661" s="2505"/>
      <c r="E10661" s="2505"/>
      <c r="F10661" s="2542"/>
      <c r="G10661" s="78"/>
    </row>
    <row r="10662" spans="1:8" hidden="1" outlineLevel="1" x14ac:dyDescent="0.25">
      <c r="A10662" s="2156" t="s">
        <v>113</v>
      </c>
      <c r="B10662" s="2156"/>
      <c r="C10662" s="2356"/>
      <c r="D10662" s="2356"/>
      <c r="E10662" s="2503"/>
      <c r="F10662" s="2476"/>
      <c r="G10662" s="78"/>
    </row>
    <row r="10663" spans="1:8" hidden="1" outlineLevel="1" x14ac:dyDescent="0.25">
      <c r="A10663" s="1810" t="s">
        <v>5239</v>
      </c>
      <c r="B10663" s="2504"/>
      <c r="C10663" s="2505"/>
      <c r="D10663" s="2505"/>
      <c r="E10663" s="2194"/>
      <c r="F10663" s="2446">
        <v>0.03</v>
      </c>
      <c r="G10663" s="78"/>
    </row>
    <row r="10664" spans="1:8" hidden="1" outlineLevel="1" x14ac:dyDescent="0.25">
      <c r="A10664" s="1810" t="s">
        <v>5240</v>
      </c>
      <c r="B10664" s="2335"/>
      <c r="C10664" s="2509"/>
      <c r="D10664" s="2509"/>
      <c r="E10664" s="1813"/>
      <c r="F10664" s="2545">
        <v>0</v>
      </c>
      <c r="G10664" s="78"/>
    </row>
    <row r="10665" spans="1:8" hidden="1" outlineLevel="1" x14ac:dyDescent="0.25">
      <c r="A10665" s="1810" t="s">
        <v>5241</v>
      </c>
      <c r="B10665" s="2335"/>
      <c r="C10665" s="2509"/>
      <c r="D10665" s="2509"/>
      <c r="E10665" s="1813"/>
      <c r="F10665" s="2545">
        <v>1.8847999999999986E-2</v>
      </c>
      <c r="G10665" s="78"/>
    </row>
    <row r="10666" spans="1:8" hidden="1" outlineLevel="1" x14ac:dyDescent="0.25">
      <c r="A10666" s="1810" t="s">
        <v>5242</v>
      </c>
      <c r="B10666" s="2335"/>
      <c r="C10666" s="2509"/>
      <c r="D10666" s="2509"/>
      <c r="E10666" s="1813"/>
      <c r="F10666" s="2545">
        <v>0</v>
      </c>
      <c r="G10666" s="78"/>
    </row>
    <row r="10667" spans="1:8" hidden="1" outlineLevel="1" x14ac:dyDescent="0.25">
      <c r="A10667" s="1810" t="s">
        <v>5243</v>
      </c>
      <c r="B10667" s="1813"/>
      <c r="C10667" s="1813"/>
      <c r="D10667" s="1813"/>
      <c r="E10667" s="1813"/>
      <c r="F10667" s="2545">
        <v>0</v>
      </c>
      <c r="G10667" s="78"/>
    </row>
    <row r="10668" spans="1:8" collapsed="1" x14ac:dyDescent="0.25">
      <c r="A10668" s="3803" t="s">
        <v>5244</v>
      </c>
      <c r="B10668" s="3804"/>
      <c r="C10668" s="3804"/>
      <c r="D10668" s="2356"/>
      <c r="E10668" s="2356"/>
      <c r="F10668" s="2459">
        <v>4.8847999999999989E-2</v>
      </c>
      <c r="G10668" s="78"/>
    </row>
    <row r="10670" spans="1:8" hidden="1" outlineLevel="1" x14ac:dyDescent="0.25">
      <c r="A10670" s="15" t="s">
        <v>113</v>
      </c>
      <c r="B10670" s="15" t="s">
        <v>114</v>
      </c>
      <c r="C10670" s="15" t="s">
        <v>112</v>
      </c>
      <c r="D10670" s="15" t="s">
        <v>116</v>
      </c>
      <c r="E10670" s="15" t="s">
        <v>117</v>
      </c>
      <c r="F10670" s="1882" t="s">
        <v>121</v>
      </c>
      <c r="G10670" s="78"/>
    </row>
    <row r="10671" spans="1:8" hidden="1" outlineLevel="1" x14ac:dyDescent="0.25">
      <c r="A10671" s="4">
        <v>6</v>
      </c>
      <c r="B10671" s="5" t="s">
        <v>252</v>
      </c>
      <c r="C10671" s="202">
        <v>1</v>
      </c>
      <c r="D10671" s="6"/>
      <c r="E10671" s="9"/>
      <c r="F10671" s="10"/>
      <c r="G10671" s="78"/>
    </row>
    <row r="10672" spans="1:8" hidden="1" outlineLevel="1" x14ac:dyDescent="0.25">
      <c r="A10672" s="124" t="s">
        <v>5259</v>
      </c>
      <c r="B10672" s="21"/>
      <c r="C10672" s="90">
        <v>1.0080739999999999</v>
      </c>
      <c r="D10672" s="11"/>
      <c r="E10672" s="216"/>
      <c r="F10672" s="200"/>
      <c r="G10672" s="78"/>
    </row>
    <row r="10673" spans="1:11" hidden="1" outlineLevel="1" x14ac:dyDescent="0.25">
      <c r="A10673" s="124" t="s">
        <v>5260</v>
      </c>
      <c r="B10673" s="21"/>
      <c r="C10673" s="90">
        <v>1.0047870000000001</v>
      </c>
      <c r="D10673" s="11"/>
      <c r="E10673" s="216"/>
      <c r="F10673" s="200"/>
      <c r="G10673" s="78"/>
    </row>
    <row r="10674" spans="1:11" hidden="1" outlineLevel="1" x14ac:dyDescent="0.25">
      <c r="A10674" s="124" t="s">
        <v>5261</v>
      </c>
      <c r="B10674" s="21"/>
      <c r="C10674" s="90">
        <v>0.98769700000000005</v>
      </c>
      <c r="D10674" s="11"/>
      <c r="E10674" s="216"/>
      <c r="F10674" s="200"/>
      <c r="G10674" s="78"/>
    </row>
    <row r="10675" spans="1:11" hidden="1" outlineLevel="1" x14ac:dyDescent="0.25">
      <c r="A10675" s="124" t="s">
        <v>5262</v>
      </c>
      <c r="B10675" s="21"/>
      <c r="C10675" s="90">
        <v>1.0520039999999999</v>
      </c>
      <c r="D10675" s="11"/>
      <c r="E10675" s="216"/>
      <c r="F10675" s="200"/>
      <c r="G10675" s="78"/>
    </row>
    <row r="10676" spans="1:11" hidden="1" outlineLevel="1" x14ac:dyDescent="0.25">
      <c r="A10676" s="124" t="s">
        <v>5263</v>
      </c>
      <c r="B10676" s="21"/>
      <c r="C10676" s="90">
        <v>1.0824830000000001</v>
      </c>
      <c r="D10676" s="11"/>
      <c r="E10676" s="216"/>
      <c r="F10676" s="200"/>
      <c r="G10676" s="78"/>
    </row>
    <row r="10677" spans="1:11" hidden="1" outlineLevel="1" x14ac:dyDescent="0.25">
      <c r="A10677" s="313" t="s">
        <v>5264</v>
      </c>
      <c r="B10677" s="7"/>
      <c r="C10677" s="30"/>
      <c r="D10677" s="11"/>
      <c r="E10677" s="216"/>
      <c r="F10677" s="200"/>
      <c r="G10677" s="78"/>
    </row>
    <row r="10678" spans="1:11" hidden="1" outlineLevel="1" x14ac:dyDescent="0.25">
      <c r="A10678" s="220"/>
      <c r="B10678" s="21"/>
      <c r="C10678" s="11"/>
      <c r="D10678" s="11"/>
      <c r="E10678" s="216"/>
      <c r="F10678" s="200"/>
      <c r="G10678" s="78"/>
    </row>
    <row r="10679" spans="1:11" hidden="1" outlineLevel="1" x14ac:dyDescent="0.25">
      <c r="A10679" s="220"/>
      <c r="B10679" s="21"/>
      <c r="C10679" s="11"/>
      <c r="D10679" s="11"/>
      <c r="E10679" s="216"/>
      <c r="F10679" s="200"/>
      <c r="G10679" s="78"/>
    </row>
    <row r="10680" spans="1:11" hidden="1" outlineLevel="1" x14ac:dyDescent="0.25">
      <c r="A10680" s="21"/>
      <c r="B10680" s="21"/>
      <c r="C10680" s="11"/>
      <c r="D10680" s="32" t="s">
        <v>3702</v>
      </c>
      <c r="E10680" s="33">
        <f>indexy!$B$2</f>
        <v>45379</v>
      </c>
      <c r="F10680" s="38"/>
      <c r="G10680" s="78"/>
    </row>
    <row r="10681" spans="1:11" hidden="1" outlineLevel="1" x14ac:dyDescent="0.25">
      <c r="A10681" s="2489" t="s">
        <v>4156</v>
      </c>
      <c r="B10681" s="2489" t="s">
        <v>4153</v>
      </c>
      <c r="C10681" s="2541" t="s">
        <v>112</v>
      </c>
      <c r="D10681" s="2489" t="s">
        <v>4155</v>
      </c>
      <c r="E10681" s="2488" t="s">
        <v>4154</v>
      </c>
      <c r="F10681" s="2476" t="s">
        <v>2519</v>
      </c>
      <c r="G10681" s="78"/>
    </row>
    <row r="10682" spans="1:11" hidden="1" outlineLevel="1" x14ac:dyDescent="0.25">
      <c r="A10682" s="2558">
        <v>0.02</v>
      </c>
      <c r="B10682" s="2089" t="s">
        <v>1993</v>
      </c>
      <c r="C10682" s="1813">
        <v>30.837</v>
      </c>
      <c r="D10682" s="2452">
        <v>65.45</v>
      </c>
      <c r="E10682" s="2456">
        <v>1.1224503032071862</v>
      </c>
      <c r="F10682" s="2451">
        <v>2.2449006064143726E-2</v>
      </c>
      <c r="G10682" s="78"/>
      <c r="H10682" t="s">
        <v>2812</v>
      </c>
      <c r="I10682" t="s">
        <v>2040</v>
      </c>
    </row>
    <row r="10683" spans="1:11" ht="13.8" hidden="1" outlineLevel="1" x14ac:dyDescent="0.3">
      <c r="A10683" s="2559">
        <v>7.0000000000000007E-2</v>
      </c>
      <c r="B10683" s="1813" t="s">
        <v>2942</v>
      </c>
      <c r="C10683" s="2560">
        <v>677.5</v>
      </c>
      <c r="D10683" s="2452">
        <v>1399</v>
      </c>
      <c r="E10683" s="2525">
        <v>1.0649446494464945</v>
      </c>
      <c r="F10683" s="2451">
        <v>7.4546125461254623E-2</v>
      </c>
      <c r="G10683" s="78"/>
      <c r="H10683" t="s">
        <v>2336</v>
      </c>
      <c r="I10683" s="892">
        <v>42430</v>
      </c>
      <c r="J10683" s="1667">
        <v>146.4811</v>
      </c>
      <c r="K10683" s="1109">
        <v>0.46481100000000009</v>
      </c>
    </row>
    <row r="10684" spans="1:11" hidden="1" outlineLevel="1" x14ac:dyDescent="0.25">
      <c r="A10684" s="2559">
        <v>0.03</v>
      </c>
      <c r="B10684" s="1813" t="s">
        <v>1903</v>
      </c>
      <c r="C10684" s="2549">
        <v>2809.9</v>
      </c>
      <c r="D10684" s="2452">
        <v>4467.5</v>
      </c>
      <c r="E10684" s="2525">
        <v>0.58991423182319647</v>
      </c>
      <c r="F10684" s="2451">
        <v>1.7697426954695894E-2</v>
      </c>
      <c r="G10684" s="78"/>
      <c r="H10684" t="s">
        <v>3883</v>
      </c>
      <c r="I10684" s="892">
        <v>42461</v>
      </c>
      <c r="J10684" s="1173">
        <v>146.1249</v>
      </c>
      <c r="K10684" s="1109">
        <v>0.46124900000000002</v>
      </c>
    </row>
    <row r="10685" spans="1:11" hidden="1" outlineLevel="1" x14ac:dyDescent="0.25">
      <c r="A10685" s="2559">
        <v>7.0000000000000007E-2</v>
      </c>
      <c r="B10685" s="1926" t="s">
        <v>3998</v>
      </c>
      <c r="C10685" s="2549">
        <v>31.414000000000001</v>
      </c>
      <c r="D10685" s="2452">
        <v>38.229999999999997</v>
      </c>
      <c r="E10685" s="2525">
        <v>0.2169733239956706</v>
      </c>
      <c r="F10685" s="2451">
        <v>1.5188132679696943E-2</v>
      </c>
      <c r="G10685" s="78"/>
      <c r="H10685" t="s">
        <v>4000</v>
      </c>
      <c r="I10685" s="892">
        <v>42491</v>
      </c>
      <c r="J10685" s="1173">
        <v>149.17359999999999</v>
      </c>
      <c r="K10685" s="1109">
        <v>0.49173599999999995</v>
      </c>
    </row>
    <row r="10686" spans="1:11" hidden="1" outlineLevel="1" x14ac:dyDescent="0.25">
      <c r="A10686" s="2559">
        <v>0.03</v>
      </c>
      <c r="B10686" s="1926" t="s">
        <v>805</v>
      </c>
      <c r="C10686" s="2549">
        <v>59.292000000000002</v>
      </c>
      <c r="D10686" s="2452">
        <v>92.2</v>
      </c>
      <c r="E10686" s="2525">
        <v>0.55501585374080831</v>
      </c>
      <c r="F10686" s="2451">
        <v>1.6650475612224248E-2</v>
      </c>
      <c r="G10686" s="78"/>
      <c r="H10686" t="s">
        <v>806</v>
      </c>
      <c r="I10686" s="892">
        <v>42522</v>
      </c>
      <c r="J10686" s="1173">
        <v>155.55600000000001</v>
      </c>
      <c r="K10686" s="1109">
        <v>0.55556000000000005</v>
      </c>
    </row>
    <row r="10687" spans="1:11" hidden="1" outlineLevel="1" x14ac:dyDescent="0.25">
      <c r="A10687" s="2559">
        <v>0.03</v>
      </c>
      <c r="B10687" s="2411" t="s">
        <v>807</v>
      </c>
      <c r="C10687" s="2549">
        <v>40.039000000000001</v>
      </c>
      <c r="D10687" s="2452">
        <v>59.41</v>
      </c>
      <c r="E10687" s="2525">
        <v>0.48380329179050419</v>
      </c>
      <c r="F10687" s="2451">
        <v>1.4514098753715125E-2</v>
      </c>
      <c r="G10687" s="78"/>
      <c r="H10687" t="s">
        <v>808</v>
      </c>
      <c r="I10687" s="892">
        <v>42552</v>
      </c>
      <c r="J10687" s="1173">
        <v>156.39259999999999</v>
      </c>
      <c r="K10687" s="1109">
        <v>0.56392599999999993</v>
      </c>
    </row>
    <row r="10688" spans="1:11" hidden="1" outlineLevel="1" x14ac:dyDescent="0.25">
      <c r="A10688" s="2559">
        <v>0.02</v>
      </c>
      <c r="B10688" s="1813" t="s">
        <v>4377</v>
      </c>
      <c r="C10688" s="2549">
        <v>33.634</v>
      </c>
      <c r="D10688" s="2452">
        <v>57.5</v>
      </c>
      <c r="E10688" s="2525">
        <v>0.70957959207944343</v>
      </c>
      <c r="F10688" s="2451">
        <v>1.419159184158887E-2</v>
      </c>
      <c r="G10688" s="78"/>
      <c r="H10688" t="s">
        <v>4327</v>
      </c>
      <c r="I10688" s="892">
        <v>42583</v>
      </c>
      <c r="J10688" s="1173">
        <v>150.98769999999999</v>
      </c>
      <c r="K10688" s="1109">
        <v>0.50987699999999991</v>
      </c>
    </row>
    <row r="10689" spans="1:11" hidden="1" outlineLevel="1" x14ac:dyDescent="0.25">
      <c r="A10689" s="2559">
        <v>0.02</v>
      </c>
      <c r="B10689" s="2411" t="s">
        <v>3954</v>
      </c>
      <c r="C10689" s="2560">
        <v>76.61</v>
      </c>
      <c r="D10689" s="2452">
        <v>107.05</v>
      </c>
      <c r="E10689" s="2525">
        <v>0.39733716225035898</v>
      </c>
      <c r="F10689" s="2451">
        <v>7.9467432450071804E-3</v>
      </c>
      <c r="G10689" s="78"/>
      <c r="H10689" t="s">
        <v>3955</v>
      </c>
      <c r="I10689" s="892">
        <v>42614</v>
      </c>
      <c r="J10689" s="1173">
        <v>150.7835</v>
      </c>
      <c r="K10689" s="1109">
        <v>0.50783500000000004</v>
      </c>
    </row>
    <row r="10690" spans="1:11" hidden="1" outlineLevel="1" x14ac:dyDescent="0.25">
      <c r="A10690" s="2559">
        <v>0.05</v>
      </c>
      <c r="B10690" s="2411" t="s">
        <v>1319</v>
      </c>
      <c r="C10690" s="2560">
        <v>58.072000000000003</v>
      </c>
      <c r="D10690" s="2452">
        <v>83.44</v>
      </c>
      <c r="E10690" s="2525">
        <v>0.43683702989392459</v>
      </c>
      <c r="F10690" s="2451">
        <v>2.1841851494696231E-2</v>
      </c>
      <c r="G10690" s="78"/>
      <c r="H10690" t="s">
        <v>1320</v>
      </c>
      <c r="I10690" s="892">
        <v>42644</v>
      </c>
      <c r="J10690" s="1173">
        <v>146.6585</v>
      </c>
      <c r="K10690" s="1109">
        <v>0.46658500000000003</v>
      </c>
    </row>
    <row r="10691" spans="1:11" hidden="1" outlineLevel="1" x14ac:dyDescent="0.25">
      <c r="A10691" s="2559">
        <v>0.02</v>
      </c>
      <c r="B10691" s="1813" t="s">
        <v>1231</v>
      </c>
      <c r="C10691" s="2560">
        <v>62.952000000000005</v>
      </c>
      <c r="D10691" s="2452">
        <v>86.31</v>
      </c>
      <c r="E10691" s="2525">
        <v>0.37104460541364848</v>
      </c>
      <c r="F10691" s="2451">
        <v>7.4208921082729697E-3</v>
      </c>
      <c r="G10691" s="78"/>
      <c r="H10691" t="s">
        <v>2041</v>
      </c>
      <c r="I10691" s="892">
        <v>42675</v>
      </c>
      <c r="J10691" s="1173">
        <v>143.53989999999999</v>
      </c>
      <c r="K10691" s="1109">
        <v>0.43539899999999987</v>
      </c>
    </row>
    <row r="10692" spans="1:11" hidden="1" outlineLevel="1" x14ac:dyDescent="0.25">
      <c r="A10692" s="2559">
        <v>0.02</v>
      </c>
      <c r="B10692" s="1813" t="s">
        <v>5232</v>
      </c>
      <c r="C10692" s="2560">
        <v>67.075999999999993</v>
      </c>
      <c r="D10692" s="2452">
        <v>78.12</v>
      </c>
      <c r="E10692" s="2525">
        <v>0.16464905480350667</v>
      </c>
      <c r="F10692" s="2451">
        <v>3.2929810960701336E-3</v>
      </c>
      <c r="G10692" s="78"/>
      <c r="H10692" t="s">
        <v>5230</v>
      </c>
      <c r="I10692" s="892">
        <v>42705</v>
      </c>
      <c r="J10692" s="1173">
        <v>149.4435</v>
      </c>
      <c r="K10692" s="1109">
        <v>0.49443499999999996</v>
      </c>
    </row>
    <row r="10693" spans="1:11" hidden="1" outlineLevel="1" x14ac:dyDescent="0.25">
      <c r="A10693" s="2559">
        <v>0.02</v>
      </c>
      <c r="B10693" s="1813" t="s">
        <v>3799</v>
      </c>
      <c r="C10693" s="2560">
        <v>1417</v>
      </c>
      <c r="D10693" s="2452">
        <v>1504</v>
      </c>
      <c r="E10693" s="2525">
        <v>6.1397318278052282E-2</v>
      </c>
      <c r="F10693" s="2451">
        <v>1.2279463655610456E-3</v>
      </c>
      <c r="G10693" s="78"/>
      <c r="H10693" t="s">
        <v>4128</v>
      </c>
      <c r="I10693" s="892">
        <v>42736</v>
      </c>
      <c r="J10693" s="1173">
        <v>147.39490000000001</v>
      </c>
      <c r="K10693" s="1109">
        <v>0.47394900000000018</v>
      </c>
    </row>
    <row r="10694" spans="1:11" hidden="1" outlineLevel="1" x14ac:dyDescent="0.25">
      <c r="A10694" s="2559">
        <v>0.02</v>
      </c>
      <c r="B10694" s="1813" t="s">
        <v>1381</v>
      </c>
      <c r="C10694" s="2560">
        <v>73.974000000000004</v>
      </c>
      <c r="D10694" s="2452">
        <v>122.33</v>
      </c>
      <c r="E10694" s="2525">
        <v>0.65368913402006101</v>
      </c>
      <c r="F10694" s="2451">
        <v>1.3073782680401221E-2</v>
      </c>
      <c r="G10694" s="78"/>
      <c r="H10694" t="s">
        <v>1383</v>
      </c>
      <c r="I10694" s="892">
        <v>42767</v>
      </c>
      <c r="J10694" s="1173">
        <v>153.6241</v>
      </c>
      <c r="K10694" s="1109">
        <v>0.53624099999999997</v>
      </c>
    </row>
    <row r="10695" spans="1:11" hidden="1" outlineLevel="1" x14ac:dyDescent="0.25">
      <c r="A10695" s="2559">
        <v>0.02</v>
      </c>
      <c r="B10695" s="1813" t="s">
        <v>1905</v>
      </c>
      <c r="C10695" s="2560">
        <v>38.520000000000003</v>
      </c>
      <c r="D10695" s="2452">
        <v>62.7</v>
      </c>
      <c r="E10695" s="2525">
        <v>0.62772585669781922</v>
      </c>
      <c r="F10695" s="2451">
        <v>1.2554517133956385E-2</v>
      </c>
      <c r="G10695" s="78"/>
      <c r="H10695" t="s">
        <v>504</v>
      </c>
      <c r="I10695" s="892">
        <v>42795</v>
      </c>
      <c r="J10695" s="1173">
        <v>153.41200000000001</v>
      </c>
      <c r="K10695" s="1109">
        <v>0.53412000000000015</v>
      </c>
    </row>
    <row r="10696" spans="1:11" hidden="1" outlineLevel="1" x14ac:dyDescent="0.25">
      <c r="A10696" s="2559">
        <v>0.02</v>
      </c>
      <c r="B10696" s="2411" t="s">
        <v>247</v>
      </c>
      <c r="C10696" s="2560">
        <v>1938.7</v>
      </c>
      <c r="D10696" s="2452">
        <v>2517</v>
      </c>
      <c r="E10696" s="2525">
        <v>0.29829267034610818</v>
      </c>
      <c r="F10696" s="2451">
        <v>5.9658534069221636E-3</v>
      </c>
      <c r="G10696" s="78"/>
      <c r="H10696" t="s">
        <v>3640</v>
      </c>
      <c r="I10696" s="892">
        <v>42826</v>
      </c>
      <c r="J10696" s="1173">
        <v>152.23230000000001</v>
      </c>
      <c r="K10696" s="1109">
        <v>0.52232300000000009</v>
      </c>
    </row>
    <row r="10697" spans="1:11" hidden="1" outlineLevel="1" x14ac:dyDescent="0.25">
      <c r="A10697" s="2559">
        <v>0.02</v>
      </c>
      <c r="B10697" s="1813" t="s">
        <v>2786</v>
      </c>
      <c r="C10697" s="2560">
        <v>634.95000000000005</v>
      </c>
      <c r="D10697" s="2452">
        <v>964.3</v>
      </c>
      <c r="E10697" s="2525">
        <v>0.51870226002047382</v>
      </c>
      <c r="F10697" s="2451">
        <v>1.0374045200409477E-2</v>
      </c>
      <c r="G10697" s="78"/>
      <c r="H10697" t="s">
        <v>4195</v>
      </c>
      <c r="I10697" s="892">
        <v>42856</v>
      </c>
      <c r="J10697" s="1173">
        <v>156.7021</v>
      </c>
      <c r="K10697" s="1109">
        <v>0.567021</v>
      </c>
    </row>
    <row r="10698" spans="1:11" hidden="1" outlineLevel="1" x14ac:dyDescent="0.25">
      <c r="A10698" s="2559">
        <v>7.0000000000000007E-2</v>
      </c>
      <c r="B10698" s="1813" t="s">
        <v>2787</v>
      </c>
      <c r="C10698" s="2560">
        <v>50.259</v>
      </c>
      <c r="D10698" s="2452">
        <v>81.95</v>
      </c>
      <c r="E10698" s="2525">
        <v>0.63055373166994966</v>
      </c>
      <c r="F10698" s="2451">
        <v>4.4138761216896479E-2</v>
      </c>
      <c r="G10698" s="78"/>
      <c r="H10698" t="s">
        <v>80</v>
      </c>
      <c r="I10698" s="892">
        <v>42887</v>
      </c>
      <c r="J10698" s="1173">
        <v>152.0472</v>
      </c>
      <c r="K10698" s="1109">
        <v>0.52047200000000005</v>
      </c>
    </row>
    <row r="10699" spans="1:11" hidden="1" outlineLevel="1" x14ac:dyDescent="0.25">
      <c r="A10699" s="2559">
        <v>0.03</v>
      </c>
      <c r="B10699" s="1813" t="s">
        <v>4273</v>
      </c>
      <c r="C10699" s="2560">
        <v>1381</v>
      </c>
      <c r="D10699" s="2452">
        <v>2574.5</v>
      </c>
      <c r="E10699" s="2525">
        <v>0.86422881969587251</v>
      </c>
      <c r="F10699" s="2451">
        <v>2.5926864590876175E-2</v>
      </c>
      <c r="G10699" s="78"/>
      <c r="H10699" t="s">
        <v>82</v>
      </c>
      <c r="I10699" s="892">
        <v>42917</v>
      </c>
      <c r="J10699" s="1173">
        <v>151.55699999999999</v>
      </c>
      <c r="K10699" s="1109">
        <v>0.51556999999999986</v>
      </c>
    </row>
    <row r="10700" spans="1:11" hidden="1" outlineLevel="1" x14ac:dyDescent="0.25">
      <c r="A10700" s="2559">
        <v>0.02</v>
      </c>
      <c r="B10700" s="1813" t="s">
        <v>2753</v>
      </c>
      <c r="C10700" s="2560">
        <v>20.699000000000002</v>
      </c>
      <c r="D10700" s="2452">
        <v>65.400000000000006</v>
      </c>
      <c r="E10700" s="2525">
        <v>2.1595729262283201</v>
      </c>
      <c r="F10700" s="2451">
        <v>4.3191458524566399E-2</v>
      </c>
      <c r="G10700" s="78"/>
      <c r="H10700" t="s">
        <v>3558</v>
      </c>
      <c r="I10700" s="892">
        <v>42948</v>
      </c>
      <c r="J10700" s="1173">
        <v>152.2184</v>
      </c>
      <c r="K10700" s="1109">
        <v>0.52218399999999998</v>
      </c>
    </row>
    <row r="10701" spans="1:11" hidden="1" outlineLevel="1" x14ac:dyDescent="0.25">
      <c r="A10701" s="2559">
        <v>7.0000000000000007E-2</v>
      </c>
      <c r="B10701" s="2411" t="s">
        <v>2754</v>
      </c>
      <c r="C10701" s="2560">
        <v>158.52000000000001</v>
      </c>
      <c r="D10701" s="2452">
        <v>245.1</v>
      </c>
      <c r="E10701" s="2525">
        <v>0.54617713853141536</v>
      </c>
      <c r="F10701" s="2451">
        <v>3.8232399697199076E-2</v>
      </c>
      <c r="G10701" s="78"/>
      <c r="H10701" t="s">
        <v>2817</v>
      </c>
      <c r="I10701" s="1173" t="s">
        <v>2465</v>
      </c>
      <c r="K10701" s="1088">
        <v>0.50796072222222222</v>
      </c>
    </row>
    <row r="10702" spans="1:11" hidden="1" outlineLevel="1" x14ac:dyDescent="0.25">
      <c r="A10702" s="2559">
        <v>0.03</v>
      </c>
      <c r="B10702" s="2411" t="s">
        <v>4460</v>
      </c>
      <c r="C10702" s="2560">
        <v>1544.3</v>
      </c>
      <c r="D10702" s="2452">
        <v>2247</v>
      </c>
      <c r="E10702" s="2525">
        <v>0.45502816810205271</v>
      </c>
      <c r="F10702" s="2451">
        <v>1.365084504306158E-2</v>
      </c>
      <c r="G10702" s="78"/>
      <c r="H10702" t="s">
        <v>3485</v>
      </c>
      <c r="I10702" s="1173" t="s">
        <v>8093</v>
      </c>
      <c r="K10702" s="1692">
        <v>0.52026372222222217</v>
      </c>
    </row>
    <row r="10703" spans="1:11" hidden="1" outlineLevel="1" x14ac:dyDescent="0.25">
      <c r="A10703" s="2559">
        <v>0.05</v>
      </c>
      <c r="B10703" s="1813" t="s">
        <v>1857</v>
      </c>
      <c r="C10703" s="2560">
        <v>1333.2</v>
      </c>
      <c r="D10703" s="2452">
        <v>1430</v>
      </c>
      <c r="E10703" s="2525">
        <v>7.2607260726072598E-2</v>
      </c>
      <c r="F10703" s="2451">
        <v>3.63036303630363E-3</v>
      </c>
      <c r="G10703" s="78"/>
      <c r="H10703" t="s">
        <v>3559</v>
      </c>
    </row>
    <row r="10704" spans="1:11" hidden="1" outlineLevel="1" x14ac:dyDescent="0.25">
      <c r="A10704" s="2559">
        <v>7.0000000000000007E-2</v>
      </c>
      <c r="B10704" s="1813" t="s">
        <v>1239</v>
      </c>
      <c r="C10704" s="2560">
        <v>364.13</v>
      </c>
      <c r="D10704" s="2452">
        <v>478.7</v>
      </c>
      <c r="E10704" s="2525">
        <v>0.31464037569000092</v>
      </c>
      <c r="F10704" s="2451">
        <v>2.2024826298300066E-2</v>
      </c>
      <c r="G10704" s="78"/>
      <c r="H10704" t="s">
        <v>268</v>
      </c>
    </row>
    <row r="10705" spans="1:12" hidden="1" outlineLevel="1" x14ac:dyDescent="0.25">
      <c r="A10705" s="2559">
        <v>0.02</v>
      </c>
      <c r="B10705" s="1813" t="s">
        <v>3022</v>
      </c>
      <c r="C10705" s="2560">
        <v>3636.5</v>
      </c>
      <c r="D10705" s="2452">
        <v>5974</v>
      </c>
      <c r="E10705" s="2525">
        <v>0.64278839543517119</v>
      </c>
      <c r="F10705" s="2451">
        <v>1.2855767908703424E-2</v>
      </c>
      <c r="G10705" s="78"/>
      <c r="H10705" t="s">
        <v>2802</v>
      </c>
    </row>
    <row r="10706" spans="1:12" hidden="1" outlineLevel="1" x14ac:dyDescent="0.25">
      <c r="A10706" s="2559">
        <v>0.05</v>
      </c>
      <c r="B10706" s="1813" t="s">
        <v>434</v>
      </c>
      <c r="C10706" s="2560">
        <v>45.430999999999997</v>
      </c>
      <c r="D10706" s="2452">
        <v>37.659999999999997</v>
      </c>
      <c r="E10706" s="2525">
        <v>-0.17105060421298235</v>
      </c>
      <c r="F10706" s="2451">
        <v>-8.5525302106491171E-3</v>
      </c>
      <c r="G10706" s="78"/>
      <c r="H10706" t="s">
        <v>7745</v>
      </c>
    </row>
    <row r="10707" spans="1:12" hidden="1" outlineLevel="1" x14ac:dyDescent="0.25">
      <c r="A10707" s="2559">
        <v>0.03</v>
      </c>
      <c r="B10707" s="2003" t="s">
        <v>106</v>
      </c>
      <c r="C10707" s="2560">
        <v>2064.4</v>
      </c>
      <c r="D10707" s="2452">
        <v>4465</v>
      </c>
      <c r="E10707" s="2525">
        <v>1.1628560356520055</v>
      </c>
      <c r="F10707" s="2451">
        <v>3.4885681069560165E-2</v>
      </c>
      <c r="G10707" s="78"/>
      <c r="H10707" t="s">
        <v>107</v>
      </c>
    </row>
    <row r="10708" spans="1:12" hidden="1" outlineLevel="1" x14ac:dyDescent="0.25">
      <c r="A10708" s="2559">
        <v>0.02</v>
      </c>
      <c r="B10708" s="2003" t="s">
        <v>2983</v>
      </c>
      <c r="C10708" s="2560">
        <v>604.75</v>
      </c>
      <c r="D10708" s="2452">
        <v>909.5</v>
      </c>
      <c r="E10708" s="2525">
        <v>0.50392724266225719</v>
      </c>
      <c r="F10708" s="2451">
        <v>1.0078544853245145E-2</v>
      </c>
      <c r="G10708" s="78"/>
      <c r="H10708" t="s">
        <v>1713</v>
      </c>
    </row>
    <row r="10709" spans="1:12" hidden="1" outlineLevel="1" x14ac:dyDescent="0.25">
      <c r="A10709" s="2559">
        <v>0.02</v>
      </c>
      <c r="B10709" s="1813" t="s">
        <v>255</v>
      </c>
      <c r="C10709" s="2560">
        <v>38.5</v>
      </c>
      <c r="D10709" s="2452">
        <v>48.41</v>
      </c>
      <c r="E10709" s="2525">
        <v>0.2574025974025973</v>
      </c>
      <c r="F10709" s="2451">
        <v>5.1480519480519458E-3</v>
      </c>
      <c r="G10709" s="78"/>
      <c r="H10709" t="s">
        <v>3351</v>
      </c>
    </row>
    <row r="10710" spans="1:12" hidden="1" outlineLevel="1" x14ac:dyDescent="0.25">
      <c r="A10710" s="2559">
        <v>0.02</v>
      </c>
      <c r="B10710" s="2003" t="s">
        <v>579</v>
      </c>
      <c r="C10710" s="2560">
        <v>173.76</v>
      </c>
      <c r="D10710" s="2452">
        <v>221.85</v>
      </c>
      <c r="E10710" s="2525">
        <v>0.27676104972375692</v>
      </c>
      <c r="F10710" s="2451">
        <v>5.5352209944751389E-3</v>
      </c>
      <c r="G10710" s="78"/>
      <c r="H10710" t="s">
        <v>3611</v>
      </c>
    </row>
    <row r="10711" spans="1:12" hidden="1" outlineLevel="1" x14ac:dyDescent="0.25">
      <c r="A10711" s="2559">
        <v>0.02</v>
      </c>
      <c r="B10711" s="1813" t="s">
        <v>2874</v>
      </c>
      <c r="C10711" s="2561">
        <v>26.460999999999999</v>
      </c>
      <c r="D10711" s="2453">
        <v>48.94</v>
      </c>
      <c r="E10711" s="1954">
        <v>0.84951437965307441</v>
      </c>
      <c r="F10711" s="2451">
        <v>1.6990287593061489E-2</v>
      </c>
      <c r="G10711" s="78"/>
      <c r="H10711" t="s">
        <v>5175</v>
      </c>
    </row>
    <row r="10712" spans="1:12" hidden="1" outlineLevel="1" x14ac:dyDescent="0.25">
      <c r="A10712" s="1813"/>
      <c r="B10712" s="2551"/>
      <c r="C10712" s="2506"/>
      <c r="D10712" s="2506"/>
      <c r="E10712" s="2448">
        <v>1.5266720126622677</v>
      </c>
      <c r="F10712" s="2542">
        <v>0.52667201266226782</v>
      </c>
      <c r="G10712" s="78"/>
      <c r="H10712" s="101"/>
    </row>
    <row r="10713" spans="1:12" collapsed="1" x14ac:dyDescent="0.25">
      <c r="A10713" s="3801" t="s">
        <v>5266</v>
      </c>
      <c r="B10713" s="3802"/>
      <c r="C10713" s="3802"/>
      <c r="D10713" s="3802"/>
      <c r="E10713" s="1905"/>
      <c r="F10713" s="2459">
        <v>0.46823734999999994</v>
      </c>
      <c r="G10713" s="78"/>
    </row>
    <row r="10715" spans="1:12" hidden="1" outlineLevel="1" x14ac:dyDescent="0.25">
      <c r="A10715" s="2489" t="s">
        <v>113</v>
      </c>
      <c r="B10715" s="2489" t="s">
        <v>114</v>
      </c>
      <c r="C10715" s="2489" t="s">
        <v>112</v>
      </c>
      <c r="D10715" s="2489" t="s">
        <v>116</v>
      </c>
      <c r="E10715" s="2489" t="s">
        <v>117</v>
      </c>
      <c r="F10715" s="2476" t="s">
        <v>121</v>
      </c>
    </row>
    <row r="10716" spans="1:12" hidden="1" outlineLevel="1" x14ac:dyDescent="0.25">
      <c r="A10716" s="2504">
        <v>1</v>
      </c>
      <c r="B10716" s="2505" t="s">
        <v>252</v>
      </c>
      <c r="C10716" s="2506">
        <v>100</v>
      </c>
      <c r="D10716" s="2506"/>
      <c r="E10716" s="2537"/>
      <c r="F10716" s="2535"/>
    </row>
    <row r="10717" spans="1:12" hidden="1" outlineLevel="1" x14ac:dyDescent="0.25">
      <c r="A10717" s="1813"/>
      <c r="B10717" s="1813"/>
      <c r="C10717" s="1813"/>
      <c r="D10717" s="1900" t="s">
        <v>3702</v>
      </c>
      <c r="E10717" s="1813">
        <v>42629</v>
      </c>
      <c r="F10717" s="2545"/>
    </row>
    <row r="10718" spans="1:12" hidden="1" outlineLevel="1" x14ac:dyDescent="0.25">
      <c r="A10718" s="1813" t="s">
        <v>4156</v>
      </c>
      <c r="B10718" s="1813" t="s">
        <v>4153</v>
      </c>
      <c r="C10718" s="1813" t="s">
        <v>112</v>
      </c>
      <c r="D10718" s="1813" t="s">
        <v>4155</v>
      </c>
      <c r="E10718" s="1813" t="s">
        <v>4154</v>
      </c>
      <c r="F10718" s="2545" t="s">
        <v>2519</v>
      </c>
      <c r="G10718" s="314"/>
      <c r="H10718" s="314"/>
    </row>
    <row r="10719" spans="1:12" hidden="1" outlineLevel="1" x14ac:dyDescent="0.25">
      <c r="A10719" s="1813">
        <v>7.0000000000000007E-2</v>
      </c>
      <c r="B10719" s="2089" t="s">
        <v>2942</v>
      </c>
      <c r="C10719" s="2337">
        <v>575.16000000000008</v>
      </c>
      <c r="D10719" s="1813">
        <v>1582.5</v>
      </c>
      <c r="E10719" s="1813">
        <v>1.7514083037763402</v>
      </c>
      <c r="F10719" s="2545">
        <v>0.12259858126434382</v>
      </c>
      <c r="H10719" t="str">
        <f>VLOOKUP(B10719,indexy!$A$44:$D$823,3,FALSE)</f>
        <v>4503 JT Equity</v>
      </c>
      <c r="J10719" t="s">
        <v>2040</v>
      </c>
    </row>
    <row r="10720" spans="1:12" ht="13.8" hidden="1" outlineLevel="1" x14ac:dyDescent="0.3">
      <c r="A10720" s="1813">
        <v>0.02</v>
      </c>
      <c r="B10720" s="1813" t="s">
        <v>805</v>
      </c>
      <c r="C10720" s="1902">
        <v>59.18</v>
      </c>
      <c r="D10720" s="1813">
        <v>85.21</v>
      </c>
      <c r="E10720" s="1813">
        <v>0.43984454207502521</v>
      </c>
      <c r="F10720" s="2545">
        <v>8.7968908415005046E-3</v>
      </c>
      <c r="H10720" t="str">
        <f>VLOOKUP(B10720,indexy!$A$44:$D$823,3,FALSE)</f>
        <v>BMO CT Equity</v>
      </c>
      <c r="J10720" s="256">
        <v>42461</v>
      </c>
      <c r="K10720" s="1356">
        <v>153.917</v>
      </c>
      <c r="L10720" s="37">
        <f>IF(K10720="",F10750,K10720/100-1)</f>
        <v>0.53916999999999993</v>
      </c>
    </row>
    <row r="10721" spans="1:12" hidden="1" outlineLevel="1" x14ac:dyDescent="0.25">
      <c r="A10721" s="1813">
        <v>0.03</v>
      </c>
      <c r="B10721" s="1813" t="s">
        <v>4377</v>
      </c>
      <c r="C10721" s="1902">
        <v>32.06</v>
      </c>
      <c r="D10721" s="1813">
        <v>55.6</v>
      </c>
      <c r="E10721" s="1813">
        <v>0.73424828446662493</v>
      </c>
      <c r="F10721" s="2545">
        <v>2.2027448533998746E-2</v>
      </c>
      <c r="H10721" t="str">
        <f>VLOOKUP(B10721,indexy!$A$44:$D$823,3,FALSE)</f>
        <v>BMY UN Equity</v>
      </c>
      <c r="J10721" s="256">
        <v>42491</v>
      </c>
      <c r="K10721" s="412">
        <v>156.7182</v>
      </c>
      <c r="L10721" s="37">
        <f>IF(K10721="",L10720,K10721/100-1)</f>
        <v>0.56718199999999985</v>
      </c>
    </row>
    <row r="10722" spans="1:12" hidden="1" outlineLevel="1" x14ac:dyDescent="0.25">
      <c r="A10722" s="1813">
        <v>0.05</v>
      </c>
      <c r="B10722" s="1813" t="s">
        <v>3954</v>
      </c>
      <c r="C10722" s="1902">
        <v>74.524000000000001</v>
      </c>
      <c r="D10722" s="1813">
        <v>100.86</v>
      </c>
      <c r="E10722" s="1813">
        <v>0.35338951210348335</v>
      </c>
      <c r="F10722" s="2545">
        <v>1.7669475605174168E-2</v>
      </c>
      <c r="H10722" t="str">
        <f>VLOOKUP(B10722,indexy!$A$44:$D$823,3,FALSE)</f>
        <v>CM CT Equity</v>
      </c>
      <c r="J10722" s="256">
        <v>42522</v>
      </c>
      <c r="K10722" s="412">
        <v>160.58260000000001</v>
      </c>
      <c r="L10722" s="37">
        <f>IF(K10722="",L10721,K10722/100-1)</f>
        <v>0.6058260000000002</v>
      </c>
    </row>
    <row r="10723" spans="1:12" hidden="1" outlineLevel="1" x14ac:dyDescent="0.25">
      <c r="A10723" s="1813">
        <v>0.02</v>
      </c>
      <c r="B10723" s="1926" t="s">
        <v>4332</v>
      </c>
      <c r="C10723" s="1902">
        <v>300.61</v>
      </c>
      <c r="D10723" s="1813">
        <v>225.3</v>
      </c>
      <c r="E10723" s="1813">
        <v>-0.25052393466617873</v>
      </c>
      <c r="F10723" s="2545">
        <v>-5.0104786933235744E-3</v>
      </c>
      <c r="H10723" t="str">
        <f>VLOOKUP(B10723,indexy!$A$44:$D$823,3,FALSE)</f>
        <v>CNA LN Equity</v>
      </c>
      <c r="J10723" s="256">
        <v>42552</v>
      </c>
      <c r="K10723" s="412">
        <v>161.05670000000001</v>
      </c>
      <c r="L10723" s="37">
        <f>IF(K10723="",L10722,K10723/100-1)</f>
        <v>0.61056700000000008</v>
      </c>
    </row>
    <row r="10724" spans="1:12" hidden="1" outlineLevel="1" x14ac:dyDescent="0.25">
      <c r="A10724" s="1813">
        <v>0.08</v>
      </c>
      <c r="B10724" s="1813" t="s">
        <v>1319</v>
      </c>
      <c r="C10724" s="1902">
        <v>58.527000000000001</v>
      </c>
      <c r="D10724" s="1813">
        <v>75.31</v>
      </c>
      <c r="E10724" s="1813">
        <v>0.286756539716712</v>
      </c>
      <c r="F10724" s="2545">
        <v>2.2940523177336962E-2</v>
      </c>
      <c r="H10724" t="str">
        <f>VLOOKUP(B10724,indexy!$A$44:$D$823,3,FALSE)</f>
        <v>ED UN Equity</v>
      </c>
      <c r="J10724" s="256">
        <v>42583</v>
      </c>
      <c r="K10724" s="412">
        <v>157.3212</v>
      </c>
      <c r="L10724" s="37">
        <f>IF(K10724="",L10723,K10724/100-1)</f>
        <v>0.57321200000000005</v>
      </c>
    </row>
    <row r="10725" spans="1:12" hidden="1" outlineLevel="1" x14ac:dyDescent="0.25">
      <c r="A10725" s="1813">
        <v>0.02</v>
      </c>
      <c r="B10725" s="1813" t="s">
        <v>3798</v>
      </c>
      <c r="C10725" s="1902">
        <v>3.3923999999999999</v>
      </c>
      <c r="D10725" s="1813">
        <v>3.88</v>
      </c>
      <c r="E10725" s="1813">
        <v>0.14373305034783646</v>
      </c>
      <c r="F10725" s="2545">
        <v>2.8746610069567292E-3</v>
      </c>
      <c r="H10725" t="str">
        <f>VLOOKUP(B10725,indexy!$A$44:$D$823,3,FALSE)</f>
        <v>ENEL IM Equity</v>
      </c>
      <c r="J10725" s="256">
        <v>42614</v>
      </c>
      <c r="K10725" s="412">
        <v>157.22929999999999</v>
      </c>
      <c r="L10725" s="37">
        <f>IF(K10725="",L10724,K10725/100-1)</f>
        <v>0.57229299999999994</v>
      </c>
    </row>
    <row r="10726" spans="1:12" hidden="1" outlineLevel="1" x14ac:dyDescent="0.25">
      <c r="A10726" s="1813">
        <v>0.02</v>
      </c>
      <c r="B10726" s="1813" t="s">
        <v>5824</v>
      </c>
      <c r="C10726" s="1902">
        <v>12.999000000000001</v>
      </c>
      <c r="D10726" s="1813">
        <v>13.365</v>
      </c>
      <c r="E10726" s="1813">
        <v>2.8156012000923214E-2</v>
      </c>
      <c r="F10726" s="2545">
        <v>5.6312024001846427E-4</v>
      </c>
      <c r="H10726" t="str">
        <f>VLOOKUP(B10726,indexy!$A$44:$D$823,3,FALSE)</f>
        <v>ORA FP Equity</v>
      </c>
      <c r="J10726" s="412" t="s">
        <v>2465</v>
      </c>
      <c r="L10726" s="261">
        <f>AVERAGE(L10720:L10725)</f>
        <v>0.57804166666666668</v>
      </c>
    </row>
    <row r="10727" spans="1:12" hidden="1" outlineLevel="1" x14ac:dyDescent="0.25">
      <c r="A10727" s="1813">
        <v>0.02</v>
      </c>
      <c r="B10727" s="1813" t="s">
        <v>3269</v>
      </c>
      <c r="C10727" s="1902">
        <v>13.4025</v>
      </c>
      <c r="D10727" s="1813">
        <v>17.96</v>
      </c>
      <c r="E10727" s="1813">
        <v>0.34004849841447493</v>
      </c>
      <c r="F10727" s="2545">
        <v>6.8009699682894985E-3</v>
      </c>
      <c r="H10727" t="str">
        <f>VLOOKUP(B10727,indexy!$A$44:$D$823,3,FALSE)</f>
        <v>NTGY SM Equity</v>
      </c>
      <c r="J10727" s="412"/>
      <c r="L10727" s="422"/>
    </row>
    <row r="10728" spans="1:12" hidden="1" outlineLevel="1" x14ac:dyDescent="0.25">
      <c r="A10728" s="1813">
        <v>0.08</v>
      </c>
      <c r="B10728" s="1813" t="s">
        <v>1381</v>
      </c>
      <c r="C10728" s="1902">
        <v>70.106999999999999</v>
      </c>
      <c r="D10728" s="1813">
        <v>121.81</v>
      </c>
      <c r="E10728" s="1813">
        <v>0.73748698418132297</v>
      </c>
      <c r="F10728" s="2545">
        <v>5.8998958734505835E-2</v>
      </c>
      <c r="H10728" t="str">
        <f>VLOOKUP(B10728,indexy!$A$44:$D$823,3,FALSE)</f>
        <v>KMB UN Equity</v>
      </c>
    </row>
    <row r="10729" spans="1:12" hidden="1" outlineLevel="1" x14ac:dyDescent="0.25">
      <c r="A10729" s="1813">
        <v>0.05</v>
      </c>
      <c r="B10729" s="1813" t="s">
        <v>4143</v>
      </c>
      <c r="C10729" s="1902">
        <v>9.5523000000000007</v>
      </c>
      <c r="D10729" s="1813">
        <v>2.8</v>
      </c>
      <c r="E10729" s="1813">
        <v>-0.70687687782000153</v>
      </c>
      <c r="F10729" s="2545">
        <v>-3.5343843891000079E-2</v>
      </c>
      <c r="H10729" t="str">
        <f>VLOOKUP(B10729,indexy!$A$44:$D$823,3,FALSE)</f>
        <v>KPN NA Equity</v>
      </c>
    </row>
    <row r="10730" spans="1:12" hidden="1" outlineLevel="1" x14ac:dyDescent="0.25">
      <c r="A10730" s="1813">
        <v>0.05</v>
      </c>
      <c r="B10730" s="1813" t="s">
        <v>7573</v>
      </c>
      <c r="C10730" s="1902">
        <v>35.146000000000001</v>
      </c>
      <c r="D10730" s="1813">
        <v>88.94</v>
      </c>
      <c r="E10730" s="1813">
        <v>1.5305866954987764</v>
      </c>
      <c r="F10730" s="2545">
        <v>7.6529334774938826E-2</v>
      </c>
      <c r="H10730" t="str">
        <f>VLOOKUP(B10730,indexy!$A$44:$D$823,3,FALSE)</f>
        <v>KHC UW Equity</v>
      </c>
    </row>
    <row r="10731" spans="1:12" hidden="1" outlineLevel="1" x14ac:dyDescent="0.25">
      <c r="A10731" s="1813">
        <v>0.02</v>
      </c>
      <c r="B10731" s="1813" t="s">
        <v>3956</v>
      </c>
      <c r="C10731" s="1902">
        <v>676.35</v>
      </c>
      <c r="D10731" s="1813">
        <v>1007</v>
      </c>
      <c r="E10731" s="1813">
        <v>0.48887410364456274</v>
      </c>
      <c r="F10731" s="2545">
        <v>9.7774820728912543E-3</v>
      </c>
      <c r="H10731" t="str">
        <f>VLOOKUP(B10731,indexy!$A$44:$D$823,3,FALSE)</f>
        <v>LAND LN Equity</v>
      </c>
    </row>
    <row r="10732" spans="1:12" hidden="1" outlineLevel="1" x14ac:dyDescent="0.25">
      <c r="A10732" s="1813">
        <v>0.02</v>
      </c>
      <c r="B10732" s="1813" t="s">
        <v>1905</v>
      </c>
      <c r="C10732" s="1902">
        <v>34.003999999999998</v>
      </c>
      <c r="D10732" s="1813">
        <v>62.28</v>
      </c>
      <c r="E10732" s="1813">
        <v>0.83154922950241161</v>
      </c>
      <c r="F10732" s="2545">
        <v>1.6630984590048234E-2</v>
      </c>
      <c r="H10732" t="str">
        <f>VLOOKUP(B10732,indexy!$A$44:$D$823,3,FALSE)</f>
        <v>MRK UN Equity</v>
      </c>
    </row>
    <row r="10733" spans="1:12" hidden="1" outlineLevel="1" x14ac:dyDescent="0.25">
      <c r="A10733" s="1813">
        <v>0.05</v>
      </c>
      <c r="B10733" s="1813" t="s">
        <v>2786</v>
      </c>
      <c r="C10733" s="1902">
        <v>627.29999999999995</v>
      </c>
      <c r="D10733" s="1813">
        <v>1052.5</v>
      </c>
      <c r="E10733" s="1813">
        <v>0.67782560178542983</v>
      </c>
      <c r="F10733" s="2545">
        <v>3.3891280089271496E-2</v>
      </c>
      <c r="H10733" t="str">
        <f>VLOOKUP(B10733,indexy!$A$44:$D$823,3,FALSE)</f>
        <v>NG/ LN Equity</v>
      </c>
    </row>
    <row r="10734" spans="1:12" hidden="1" outlineLevel="1" x14ac:dyDescent="0.25">
      <c r="A10734" s="1813">
        <v>0.02</v>
      </c>
      <c r="B10734" s="1813" t="s">
        <v>2787</v>
      </c>
      <c r="C10734" s="1902">
        <v>50.125999999999998</v>
      </c>
      <c r="D10734" s="1813">
        <v>77.55</v>
      </c>
      <c r="E10734" s="1813">
        <v>0.54710130471212537</v>
      </c>
      <c r="F10734" s="2545">
        <v>1.0942026094242508E-2</v>
      </c>
      <c r="H10734" t="str">
        <f>VLOOKUP(B10734,indexy!$A$44:$D$823,3,FALSE)</f>
        <v>NOVN SE Equity</v>
      </c>
    </row>
    <row r="10735" spans="1:12" hidden="1" outlineLevel="1" x14ac:dyDescent="0.25">
      <c r="A10735" s="1813">
        <v>0.02</v>
      </c>
      <c r="B10735" s="1813" t="s">
        <v>3958</v>
      </c>
      <c r="C10735" s="1902">
        <v>1156.3</v>
      </c>
      <c r="D10735" s="1813">
        <v>781</v>
      </c>
      <c r="E10735" s="1813">
        <v>-0.32456974833520713</v>
      </c>
      <c r="F10735" s="2545">
        <v>-6.4913949667041431E-3</v>
      </c>
      <c r="H10735" t="str">
        <f>VLOOKUP(B10735,indexy!$A$44:$D$823,3,FALSE)</f>
        <v>PSON LN Equity</v>
      </c>
    </row>
    <row r="10736" spans="1:12" hidden="1" outlineLevel="1" x14ac:dyDescent="0.25">
      <c r="A10736" s="1813">
        <v>0.02</v>
      </c>
      <c r="B10736" s="1813" t="s">
        <v>5121</v>
      </c>
      <c r="C10736" s="1902">
        <v>540.6</v>
      </c>
      <c r="D10736" s="1813">
        <v>1430</v>
      </c>
      <c r="E10736" s="1813">
        <v>1.645209027007029</v>
      </c>
      <c r="F10736" s="2545">
        <v>3.2904180540140583E-2</v>
      </c>
      <c r="H10736" t="str">
        <f>VLOOKUP(B10736,indexy!$A$44:$D$823,3,FALSE)</f>
        <v>REL LN Equity</v>
      </c>
    </row>
    <row r="10737" spans="1:8" hidden="1" outlineLevel="1" x14ac:dyDescent="0.25">
      <c r="A10737" s="1813">
        <v>7.0000000000000007E-2</v>
      </c>
      <c r="B10737" s="1813" t="s">
        <v>3800</v>
      </c>
      <c r="C10737" s="1902">
        <v>143.08000000000001</v>
      </c>
      <c r="D10737" s="1813">
        <v>240.1</v>
      </c>
      <c r="E10737" s="1813">
        <v>0.67808219178082174</v>
      </c>
      <c r="F10737" s="2545">
        <v>4.7465753424657524E-2</v>
      </c>
      <c r="H10737" t="str">
        <f>VLOOKUP(B10737,indexy!$A$44:$D$823,3,FALSE)</f>
        <v>ROG SE Equity</v>
      </c>
    </row>
    <row r="10738" spans="1:8" hidden="1" outlineLevel="1" x14ac:dyDescent="0.25">
      <c r="A10738" s="1813">
        <v>0.02</v>
      </c>
      <c r="B10738" s="1813" t="s">
        <v>102</v>
      </c>
      <c r="C10738" s="1902">
        <v>493.54</v>
      </c>
      <c r="D10738" s="1813">
        <v>532</v>
      </c>
      <c r="E10738" s="1813">
        <v>7.7926814442598413E-2</v>
      </c>
      <c r="F10738" s="2545">
        <v>1.5585362888519683E-3</v>
      </c>
      <c r="H10738" t="str">
        <f>VLOOKUP(B10738,indexy!$A$44:$D$823,3,FALSE)</f>
        <v>RSA LN Equity</v>
      </c>
    </row>
    <row r="10739" spans="1:8" hidden="1" outlineLevel="1" x14ac:dyDescent="0.25">
      <c r="A10739" s="1813">
        <v>0.02</v>
      </c>
      <c r="B10739" s="1813" t="s">
        <v>2728</v>
      </c>
      <c r="C10739" s="1902">
        <v>48.084000000000003</v>
      </c>
      <c r="D10739" s="1813">
        <v>80.760000000000005</v>
      </c>
      <c r="E10739" s="1813">
        <v>0.67956076865485393</v>
      </c>
      <c r="F10739" s="2545">
        <v>1.359121537309708E-2</v>
      </c>
      <c r="H10739" t="str">
        <f>VLOOKUP(B10739,indexy!$A$44:$D$823,3,FALSE)</f>
        <v>RY CT Equity</v>
      </c>
    </row>
    <row r="10740" spans="1:8" hidden="1" outlineLevel="1" x14ac:dyDescent="0.25">
      <c r="A10740" s="1813">
        <v>0.02</v>
      </c>
      <c r="B10740" s="1813" t="s">
        <v>4460</v>
      </c>
      <c r="C10740" s="1902">
        <v>1522.6</v>
      </c>
      <c r="D10740" s="1813">
        <v>2404</v>
      </c>
      <c r="E10740" s="1813">
        <v>0.5788782345987129</v>
      </c>
      <c r="F10740" s="2545">
        <v>1.1577564691974258E-2</v>
      </c>
      <c r="H10740" t="str">
        <f>VLOOKUP(B10740,indexy!$A$44:$D$823,3,FALSE)</f>
        <v>SVT LN Equity</v>
      </c>
    </row>
    <row r="10741" spans="1:8" hidden="1" outlineLevel="1" x14ac:dyDescent="0.25">
      <c r="A10741" s="1813">
        <v>0.02</v>
      </c>
      <c r="B10741" s="1813" t="s">
        <v>1857</v>
      </c>
      <c r="C10741" s="1902">
        <v>1345.2</v>
      </c>
      <c r="D10741" s="1813">
        <v>1520</v>
      </c>
      <c r="E10741" s="1813">
        <v>0.12994350282485878</v>
      </c>
      <c r="F10741" s="2545">
        <v>2.5988700564971755E-3</v>
      </c>
      <c r="H10741" t="str">
        <f>VLOOKUP(B10741,indexy!$A$44:$D$823,3,FALSE)</f>
        <v>SSE LN Equity</v>
      </c>
    </row>
    <row r="10742" spans="1:8" hidden="1" outlineLevel="1" x14ac:dyDescent="0.25">
      <c r="A10742" s="1813">
        <v>0.02</v>
      </c>
      <c r="B10742" s="1813" t="s">
        <v>3960</v>
      </c>
      <c r="C10742" s="1902">
        <v>214.19</v>
      </c>
      <c r="D10742" s="1813">
        <v>339.8</v>
      </c>
      <c r="E10742" s="1813">
        <v>0.5864419440683506</v>
      </c>
      <c r="F10742" s="2545">
        <v>1.1728838881367012E-2</v>
      </c>
      <c r="H10742" t="str">
        <f>VLOOKUP(B10742,indexy!$A$44:$D$823,3,FALSE)</f>
        <v>ABDN LN Equity</v>
      </c>
    </row>
    <row r="10743" spans="1:8" hidden="1" outlineLevel="1" x14ac:dyDescent="0.25">
      <c r="A10743" s="1813">
        <v>7.0000000000000007E-2</v>
      </c>
      <c r="B10743" s="1813" t="s">
        <v>3022</v>
      </c>
      <c r="C10743" s="1902">
        <v>3533.5</v>
      </c>
      <c r="D10743" s="1813">
        <v>4597</v>
      </c>
      <c r="E10743" s="1813">
        <v>0.30097636903919622</v>
      </c>
      <c r="F10743" s="2545">
        <v>2.1068345832743737E-2</v>
      </c>
      <c r="H10743" t="str">
        <f>VLOOKUP(B10743,indexy!$A$44:$D$823,3,FALSE)</f>
        <v>4502 JT Equity</v>
      </c>
    </row>
    <row r="10744" spans="1:8" hidden="1" outlineLevel="1" x14ac:dyDescent="0.25">
      <c r="A10744" s="1813">
        <v>0.02</v>
      </c>
      <c r="B10744" s="1813" t="s">
        <v>434</v>
      </c>
      <c r="C10744" s="1902">
        <v>45.518000000000001</v>
      </c>
      <c r="D10744" s="1813">
        <v>37.369999999999997</v>
      </c>
      <c r="E10744" s="1813">
        <v>-0.17900610747396639</v>
      </c>
      <c r="F10744" s="2545">
        <v>-3.580122149479328E-3</v>
      </c>
      <c r="H10744" t="str">
        <f>VLOOKUP(B10744,indexy!$A$44:$D$823,3,FALSE)</f>
        <v>TELIA SS Equity</v>
      </c>
    </row>
    <row r="10745" spans="1:8" hidden="1" outlineLevel="1" x14ac:dyDescent="0.25">
      <c r="A10745" s="1813">
        <v>0.02</v>
      </c>
      <c r="B10745" s="2003" t="s">
        <v>2983</v>
      </c>
      <c r="C10745" s="1902">
        <v>611.5</v>
      </c>
      <c r="D10745" s="1813">
        <v>979</v>
      </c>
      <c r="E10745" s="1813">
        <v>0.60098119378577275</v>
      </c>
      <c r="F10745" s="2545">
        <v>1.2019623875715455E-2</v>
      </c>
      <c r="H10745" t="str">
        <f>VLOOKUP(B10745,indexy!$A$44:$D$823,3,FALSE)</f>
        <v>UU/ LN Equity</v>
      </c>
    </row>
    <row r="10746" spans="1:8" hidden="1" outlineLevel="1" x14ac:dyDescent="0.25">
      <c r="A10746" s="1813">
        <v>0.02</v>
      </c>
      <c r="B10746" s="1813" t="s">
        <v>579</v>
      </c>
      <c r="C10746" s="1902">
        <v>174.53</v>
      </c>
      <c r="D10746" s="1813">
        <v>218.55</v>
      </c>
      <c r="E10746" s="1813">
        <v>0.25222024866785087</v>
      </c>
      <c r="F10746" s="2545">
        <v>5.0444049733570171E-3</v>
      </c>
      <c r="H10746" t="str">
        <f>VLOOKUP(B10746,indexy!$A$44:$D$823,3,FALSE)</f>
        <v>VOD LN Equity</v>
      </c>
    </row>
    <row r="10747" spans="1:8" hidden="1" outlineLevel="1" x14ac:dyDescent="0.25">
      <c r="A10747" s="1813">
        <v>0.02</v>
      </c>
      <c r="B10747" s="1813" t="s">
        <v>1211</v>
      </c>
      <c r="C10747" s="1902">
        <v>33.207000000000001</v>
      </c>
      <c r="D10747" s="1813">
        <v>62.81</v>
      </c>
      <c r="E10747" s="1813">
        <v>0.89146866624506882</v>
      </c>
      <c r="F10747" s="2545">
        <v>1.7829373324901376E-2</v>
      </c>
      <c r="H10747" t="str">
        <f>VLOOKUP(B10747,indexy!$A$44:$D$823,3,FALSE)</f>
        <v>WM UN Equity</v>
      </c>
    </row>
    <row r="10748" spans="1:8" hidden="1" outlineLevel="1" x14ac:dyDescent="0.25">
      <c r="A10748" s="1813">
        <v>0.02</v>
      </c>
      <c r="B10748" s="1813" t="s">
        <v>4550</v>
      </c>
      <c r="C10748" s="2562">
        <v>202.3</v>
      </c>
      <c r="D10748" s="1813">
        <v>252</v>
      </c>
      <c r="E10748" s="1813">
        <v>0.24567474048442905</v>
      </c>
      <c r="F10748" s="2545">
        <v>4.913494809688581E-3</v>
      </c>
      <c r="H10748" t="str">
        <f>VLOOKUP(B10748,indexy!$A$44:$D$823,3,FALSE)</f>
        <v>ZURN SE Equity</v>
      </c>
    </row>
    <row r="10749" spans="1:8" hidden="1" outlineLevel="1" x14ac:dyDescent="0.25">
      <c r="A10749" s="1813"/>
      <c r="B10749" s="1813"/>
      <c r="C10749" s="1813"/>
      <c r="D10749" s="1813"/>
      <c r="E10749" s="1813"/>
      <c r="F10749" s="2545">
        <v>0.54291609936600171</v>
      </c>
    </row>
    <row r="10750" spans="1:8" collapsed="1" x14ac:dyDescent="0.25">
      <c r="A10750" s="3801" t="s">
        <v>5265</v>
      </c>
      <c r="B10750" s="3802"/>
      <c r="C10750" s="3802"/>
      <c r="D10750" s="3802"/>
      <c r="E10750" s="1905"/>
      <c r="F10750" s="1890">
        <v>0.35</v>
      </c>
    </row>
    <row r="10751" spans="1:8" x14ac:dyDescent="0.25">
      <c r="A10751" s="368"/>
      <c r="B10751" s="368"/>
      <c r="C10751" s="368"/>
      <c r="D10751" s="368"/>
    </row>
    <row r="10752" spans="1:8" hidden="1" outlineLevel="1" x14ac:dyDescent="0.25">
      <c r="A10752" s="2489" t="s">
        <v>113</v>
      </c>
      <c r="B10752" s="2489" t="s">
        <v>114</v>
      </c>
      <c r="C10752" s="2489" t="s">
        <v>112</v>
      </c>
      <c r="D10752" s="2489" t="s">
        <v>116</v>
      </c>
      <c r="E10752" s="2489" t="s">
        <v>117</v>
      </c>
      <c r="F10752" s="2476" t="s">
        <v>121</v>
      </c>
    </row>
    <row r="10753" spans="1:20" hidden="1" outlineLevel="1" x14ac:dyDescent="0.25">
      <c r="A10753" s="2504">
        <v>14</v>
      </c>
      <c r="B10753" s="2505" t="s">
        <v>252</v>
      </c>
      <c r="C10753" s="2506">
        <v>100</v>
      </c>
      <c r="D10753" s="2506"/>
      <c r="E10753" s="2537"/>
      <c r="F10753" s="2535"/>
    </row>
    <row r="10754" spans="1:20" hidden="1" outlineLevel="1" x14ac:dyDescent="0.25">
      <c r="A10754" s="2509"/>
      <c r="B10754" s="2509"/>
      <c r="C10754" s="2498"/>
      <c r="D10754" s="1900" t="s">
        <v>3702</v>
      </c>
      <c r="E10754" s="2510">
        <v>42871</v>
      </c>
      <c r="F10754" s="2536"/>
      <c r="J10754" t="s">
        <v>5278</v>
      </c>
    </row>
    <row r="10755" spans="1:20" ht="26.4" hidden="1" outlineLevel="1" x14ac:dyDescent="0.3">
      <c r="A10755" s="2489" t="s">
        <v>4156</v>
      </c>
      <c r="B10755" s="2488" t="s">
        <v>4153</v>
      </c>
      <c r="C10755" s="2541" t="s">
        <v>5271</v>
      </c>
      <c r="D10755" s="2488" t="s">
        <v>8745</v>
      </c>
      <c r="E10755" s="2489" t="s">
        <v>4154</v>
      </c>
      <c r="F10755" s="2446" t="s">
        <v>2519</v>
      </c>
      <c r="J10755" s="1691" t="s">
        <v>5272</v>
      </c>
      <c r="K10755" s="1691" t="s">
        <v>5273</v>
      </c>
      <c r="L10755" s="1691" t="s">
        <v>5274</v>
      </c>
      <c r="M10755" s="1691" t="s">
        <v>5275</v>
      </c>
      <c r="N10755" s="1691" t="s">
        <v>5276</v>
      </c>
      <c r="O10755" s="1691" t="s">
        <v>5277</v>
      </c>
    </row>
    <row r="10756" spans="1:20" hidden="1" outlineLevel="1" x14ac:dyDescent="0.25">
      <c r="A10756" s="1991">
        <v>0.02</v>
      </c>
      <c r="B10756" s="2089" t="s">
        <v>1993</v>
      </c>
      <c r="C10756" s="1993">
        <v>28.96</v>
      </c>
      <c r="D10756" s="2447">
        <v>70.95</v>
      </c>
      <c r="E10756" s="2448">
        <v>1.4499309392265194</v>
      </c>
      <c r="F10756" s="2446">
        <v>2.8998618784530389E-2</v>
      </c>
      <c r="H10756" s="1184" t="s">
        <v>2812</v>
      </c>
      <c r="I10756" s="1184"/>
      <c r="J10756" s="1184" t="s">
        <v>1993</v>
      </c>
      <c r="K10756" s="1184">
        <v>28.83</v>
      </c>
      <c r="L10756" s="1184">
        <v>28.56</v>
      </c>
      <c r="M10756" s="1184">
        <v>28.43</v>
      </c>
      <c r="N10756" s="1184">
        <v>30.02</v>
      </c>
      <c r="O10756" s="1184">
        <v>28.96</v>
      </c>
    </row>
    <row r="10757" spans="1:20" hidden="1" outlineLevel="1" x14ac:dyDescent="0.25">
      <c r="A10757" s="2380">
        <v>0.02</v>
      </c>
      <c r="B10757" s="2411" t="s">
        <v>1317</v>
      </c>
      <c r="C10757" s="1998">
        <v>39.409999999999997</v>
      </c>
      <c r="D10757" s="2452">
        <v>67.86</v>
      </c>
      <c r="E10757" s="2499">
        <v>0.72189799543263145</v>
      </c>
      <c r="F10757" s="2451">
        <v>1.4437959908652629E-2</v>
      </c>
      <c r="H10757" s="1184" t="s">
        <v>1318</v>
      </c>
      <c r="I10757" s="1184"/>
      <c r="J10757" s="1184" t="s">
        <v>1317</v>
      </c>
      <c r="K10757" s="1184">
        <v>39.74</v>
      </c>
      <c r="L10757" s="1184">
        <v>40.770000000000003</v>
      </c>
      <c r="M10757" s="1184">
        <v>39.4</v>
      </c>
      <c r="N10757" s="1184">
        <v>37.729999999999997</v>
      </c>
      <c r="O10757" s="1184">
        <v>39.409999999999997</v>
      </c>
    </row>
    <row r="10758" spans="1:20" hidden="1" outlineLevel="1" x14ac:dyDescent="0.25">
      <c r="A10758" s="2380">
        <v>0.08</v>
      </c>
      <c r="B10758" s="1813" t="s">
        <v>2942</v>
      </c>
      <c r="C10758" s="1998">
        <v>633</v>
      </c>
      <c r="D10758" s="2452">
        <v>1460</v>
      </c>
      <c r="E10758" s="2499">
        <v>1.3064770932069512</v>
      </c>
      <c r="F10758" s="2451">
        <v>0.10451816745655609</v>
      </c>
      <c r="H10758" s="1184" t="s">
        <v>2336</v>
      </c>
      <c r="I10758" s="1184"/>
      <c r="J10758" s="1184" t="s">
        <v>2942</v>
      </c>
      <c r="K10758" s="1184">
        <v>3060</v>
      </c>
      <c r="L10758" s="1184">
        <v>3140</v>
      </c>
      <c r="M10758" s="1184">
        <v>3145</v>
      </c>
      <c r="N10758" s="1184">
        <v>3315</v>
      </c>
      <c r="O10758" s="1184">
        <v>3165</v>
      </c>
      <c r="R10758" t="s">
        <v>2040</v>
      </c>
    </row>
    <row r="10759" spans="1:20" ht="13.8" hidden="1" outlineLevel="1" x14ac:dyDescent="0.3">
      <c r="A10759" s="2380">
        <v>0.02</v>
      </c>
      <c r="B10759" s="1813" t="s">
        <v>805</v>
      </c>
      <c r="C10759" s="1998">
        <v>57.722499999999997</v>
      </c>
      <c r="D10759" s="2452">
        <v>93.8</v>
      </c>
      <c r="E10759" s="2499">
        <v>0.62501624150028157</v>
      </c>
      <c r="F10759" s="2451">
        <v>1.2500324830005632E-2</v>
      </c>
      <c r="H10759" s="1184" t="s">
        <v>806</v>
      </c>
      <c r="I10759" s="1184"/>
      <c r="J10759" s="1184" t="s">
        <v>805</v>
      </c>
      <c r="K10759" s="1184">
        <v>57.15</v>
      </c>
      <c r="L10759" s="1184">
        <v>57.04</v>
      </c>
      <c r="M10759" s="1184">
        <v>58.8</v>
      </c>
      <c r="N10759" s="1184">
        <v>57.9</v>
      </c>
      <c r="O10759" s="1184">
        <v>57.722499999999997</v>
      </c>
      <c r="R10759" s="892">
        <v>42339</v>
      </c>
      <c r="S10759" s="1667">
        <v>159.2731</v>
      </c>
      <c r="T10759" s="1109">
        <v>0.5927309999999999</v>
      </c>
    </row>
    <row r="10760" spans="1:20" hidden="1" outlineLevel="1" x14ac:dyDescent="0.25">
      <c r="A10760" s="2380">
        <v>0.08</v>
      </c>
      <c r="B10760" s="1813" t="s">
        <v>807</v>
      </c>
      <c r="C10760" s="1998">
        <v>40.914999999999999</v>
      </c>
      <c r="D10760" s="2452">
        <v>60.71</v>
      </c>
      <c r="E10760" s="2499">
        <v>0.48380789441525107</v>
      </c>
      <c r="F10760" s="2451">
        <v>3.8704631553220084E-2</v>
      </c>
      <c r="H10760" s="1184" t="s">
        <v>808</v>
      </c>
      <c r="I10760" s="1184"/>
      <c r="J10760" s="1184" t="s">
        <v>807</v>
      </c>
      <c r="K10760" s="1184">
        <v>40.18</v>
      </c>
      <c r="L10760" s="1184">
        <v>42.19</v>
      </c>
      <c r="M10760" s="1184">
        <v>40.68</v>
      </c>
      <c r="N10760" s="1184">
        <v>40.61</v>
      </c>
      <c r="O10760" s="1184">
        <v>40.914999999999999</v>
      </c>
      <c r="R10760" s="892">
        <v>42370</v>
      </c>
      <c r="S10760" s="1173">
        <v>156.8741</v>
      </c>
      <c r="T10760" s="1109">
        <v>0.56874099999999994</v>
      </c>
    </row>
    <row r="10761" spans="1:20" hidden="1" outlineLevel="1" x14ac:dyDescent="0.25">
      <c r="A10761" s="2380">
        <v>0.04</v>
      </c>
      <c r="B10761" s="1813" t="s">
        <v>1319</v>
      </c>
      <c r="C10761" s="1998">
        <v>59.164999999999999</v>
      </c>
      <c r="D10761" s="2452">
        <v>79.14</v>
      </c>
      <c r="E10761" s="2499">
        <v>0.33761514408856597</v>
      </c>
      <c r="F10761" s="2451">
        <v>1.3504605763542638E-2</v>
      </c>
      <c r="H10761" s="1184" t="s">
        <v>1320</v>
      </c>
      <c r="I10761" s="1184"/>
      <c r="J10761" s="1184" t="s">
        <v>1319</v>
      </c>
      <c r="K10761" s="1184">
        <v>58.71</v>
      </c>
      <c r="L10761" s="1184">
        <v>60.65</v>
      </c>
      <c r="M10761" s="1184">
        <v>59.01</v>
      </c>
      <c r="N10761" s="1184">
        <v>58.29</v>
      </c>
      <c r="O10761" s="1184">
        <v>59.164999999999999</v>
      </c>
      <c r="R10761" s="892">
        <v>42401</v>
      </c>
      <c r="S10761" s="1173">
        <v>153.93549999999999</v>
      </c>
      <c r="T10761" s="1109">
        <v>0.53935499999999981</v>
      </c>
    </row>
    <row r="10762" spans="1:20" hidden="1" outlineLevel="1" x14ac:dyDescent="0.25">
      <c r="A10762" s="2380">
        <v>0.02</v>
      </c>
      <c r="B10762" s="1813" t="s">
        <v>1231</v>
      </c>
      <c r="C10762" s="1998">
        <v>63.585000000000001</v>
      </c>
      <c r="D10762" s="2452">
        <v>83.12</v>
      </c>
      <c r="E10762" s="2499">
        <v>0.30722654714162156</v>
      </c>
      <c r="F10762" s="2451">
        <v>6.1445309428324315E-3</v>
      </c>
      <c r="H10762" s="1184" t="s">
        <v>2041</v>
      </c>
      <c r="I10762" s="1184"/>
      <c r="J10762" s="1184" t="s">
        <v>1231</v>
      </c>
      <c r="K10762" s="1184">
        <v>20.71</v>
      </c>
      <c r="L10762" s="1184">
        <v>21.62</v>
      </c>
      <c r="M10762" s="1184">
        <v>21.46</v>
      </c>
      <c r="N10762" s="1184">
        <v>20.99</v>
      </c>
      <c r="O10762" s="1184">
        <v>21.195</v>
      </c>
      <c r="R10762" s="892">
        <v>42430</v>
      </c>
      <c r="S10762" s="1173">
        <v>154.01679999999999</v>
      </c>
      <c r="T10762" s="1109">
        <v>0.54016799999999998</v>
      </c>
    </row>
    <row r="10763" spans="1:20" hidden="1" outlineLevel="1" x14ac:dyDescent="0.25">
      <c r="A10763" s="2380">
        <v>0.04</v>
      </c>
      <c r="B10763" s="2411" t="s">
        <v>3240</v>
      </c>
      <c r="C10763" s="1998">
        <v>4956.25</v>
      </c>
      <c r="D10763" s="2452">
        <v>10540</v>
      </c>
      <c r="E10763" s="2499">
        <v>1.126607818411097</v>
      </c>
      <c r="F10763" s="2451">
        <v>4.506431273644388E-2</v>
      </c>
      <c r="H10763" s="1184" t="s">
        <v>633</v>
      </c>
      <c r="I10763" s="1184"/>
      <c r="J10763" s="1184" t="s">
        <v>3240</v>
      </c>
      <c r="K10763" s="1184">
        <v>4810</v>
      </c>
      <c r="L10763" s="1184">
        <v>4895</v>
      </c>
      <c r="M10763" s="1184">
        <v>4830</v>
      </c>
      <c r="N10763" s="1184">
        <v>5290</v>
      </c>
      <c r="O10763" s="1184">
        <v>4956.25</v>
      </c>
      <c r="R10763" s="892">
        <v>42461</v>
      </c>
      <c r="S10763" s="1173">
        <v>154.0916</v>
      </c>
      <c r="T10763" s="1109">
        <v>0.54091599999999995</v>
      </c>
    </row>
    <row r="10764" spans="1:20" hidden="1" outlineLevel="1" x14ac:dyDescent="0.25">
      <c r="A10764" s="2380">
        <v>0.08</v>
      </c>
      <c r="B10764" s="1813" t="s">
        <v>5090</v>
      </c>
      <c r="C10764" s="1998">
        <v>3166.25</v>
      </c>
      <c r="D10764" s="2452">
        <v>6034</v>
      </c>
      <c r="E10764" s="2499">
        <v>0.90572443742597719</v>
      </c>
      <c r="F10764" s="2451">
        <v>7.2457954994078172E-2</v>
      </c>
      <c r="H10764" s="1184" t="s">
        <v>5091</v>
      </c>
      <c r="I10764" s="1184"/>
      <c r="J10764" s="1184" t="s">
        <v>5090</v>
      </c>
      <c r="K10764" s="1184">
        <v>3045</v>
      </c>
      <c r="L10764" s="1184">
        <v>3185</v>
      </c>
      <c r="M10764" s="1184">
        <v>3155</v>
      </c>
      <c r="N10764" s="1184">
        <v>3280</v>
      </c>
      <c r="O10764" s="1184">
        <v>3166.25</v>
      </c>
      <c r="R10764" s="892">
        <v>42491</v>
      </c>
      <c r="S10764" s="1173">
        <v>155.8229</v>
      </c>
      <c r="T10764" s="1109">
        <v>0.55822900000000009</v>
      </c>
    </row>
    <row r="10765" spans="1:20" hidden="1" outlineLevel="1" x14ac:dyDescent="0.25">
      <c r="A10765" s="2380">
        <v>0.02</v>
      </c>
      <c r="B10765" s="1813" t="s">
        <v>4333</v>
      </c>
      <c r="C10765" s="1998">
        <v>41.104999999999997</v>
      </c>
      <c r="D10765" s="2452">
        <v>34.51</v>
      </c>
      <c r="E10765" s="2499">
        <v>-0.16044276851964479</v>
      </c>
      <c r="F10765" s="2451">
        <v>-3.2088553703928956E-3</v>
      </c>
      <c r="H10765" s="1184" t="s">
        <v>4335</v>
      </c>
      <c r="I10765" s="1184"/>
      <c r="J10765" s="1184" t="s">
        <v>4333</v>
      </c>
      <c r="K10765" s="1184">
        <v>43.64</v>
      </c>
      <c r="L10765" s="1184">
        <v>42.07</v>
      </c>
      <c r="M10765" s="1184">
        <v>39.74</v>
      </c>
      <c r="N10765" s="1184">
        <v>38.97</v>
      </c>
      <c r="O10765" s="1184">
        <v>41.104999999999997</v>
      </c>
      <c r="R10765" s="892">
        <v>42522</v>
      </c>
      <c r="S10765" s="1173">
        <v>154.8819</v>
      </c>
      <c r="T10765" s="1109">
        <v>0.54881899999999995</v>
      </c>
    </row>
    <row r="10766" spans="1:20" hidden="1" outlineLevel="1" x14ac:dyDescent="0.25">
      <c r="A10766" s="2380">
        <v>0.05</v>
      </c>
      <c r="B10766" s="1813" t="s">
        <v>4268</v>
      </c>
      <c r="C10766" s="1998">
        <v>17.695</v>
      </c>
      <c r="D10766" s="2452">
        <v>14.89</v>
      </c>
      <c r="E10766" s="2499">
        <v>-0.15851935575021192</v>
      </c>
      <c r="F10766" s="2451">
        <v>-7.9259677875105957E-3</v>
      </c>
      <c r="H10766" s="1184" t="s">
        <v>8442</v>
      </c>
      <c r="I10766" s="1184"/>
      <c r="J10766" s="1184" t="s">
        <v>4268</v>
      </c>
      <c r="K10766" s="1184">
        <v>17.02</v>
      </c>
      <c r="L10766" s="1184">
        <v>17</v>
      </c>
      <c r="M10766" s="1184">
        <v>17.940000000000001</v>
      </c>
      <c r="N10766" s="1184">
        <v>18.82</v>
      </c>
      <c r="O10766" s="1184">
        <v>17.695</v>
      </c>
      <c r="R10766" s="892">
        <v>42552</v>
      </c>
      <c r="S10766" s="1173">
        <v>158.1798</v>
      </c>
      <c r="T10766" s="1109">
        <v>0.58179800000000004</v>
      </c>
    </row>
    <row r="10767" spans="1:20" hidden="1" outlineLevel="1" x14ac:dyDescent="0.25">
      <c r="A10767" s="2380">
        <v>0.02</v>
      </c>
      <c r="B10767" s="1813" t="s">
        <v>4496</v>
      </c>
      <c r="C10767" s="1998">
        <v>52.78</v>
      </c>
      <c r="D10767" s="2452">
        <v>75.798100000000005</v>
      </c>
      <c r="E10767" s="2499">
        <v>0.43611405835543771</v>
      </c>
      <c r="F10767" s="2451">
        <v>8.722281167108754E-3</v>
      </c>
      <c r="H10767" s="1184" t="s">
        <v>2385</v>
      </c>
      <c r="I10767" s="1184"/>
      <c r="J10767" s="1184" t="s">
        <v>4496</v>
      </c>
      <c r="K10767" s="1184">
        <v>52.59</v>
      </c>
      <c r="L10767" s="1184">
        <v>53.49</v>
      </c>
      <c r="M10767" s="1184">
        <v>52.07</v>
      </c>
      <c r="N10767" s="1184">
        <v>52.97</v>
      </c>
      <c r="O10767" s="1184">
        <v>52.78</v>
      </c>
      <c r="R10767" s="892">
        <v>42583</v>
      </c>
      <c r="S10767" s="1173">
        <v>154.32320000000001</v>
      </c>
      <c r="T10767" s="1109">
        <v>0.54323200000000016</v>
      </c>
    </row>
    <row r="10768" spans="1:20" hidden="1" outlineLevel="1" x14ac:dyDescent="0.25">
      <c r="A10768" s="2380">
        <v>0.02</v>
      </c>
      <c r="B10768" s="1813" t="s">
        <v>1381</v>
      </c>
      <c r="C10768" s="1998">
        <v>72.015000000000001</v>
      </c>
      <c r="D10768" s="2452">
        <v>127.42</v>
      </c>
      <c r="E10768" s="2499">
        <v>0.76935360688745402</v>
      </c>
      <c r="F10768" s="2451">
        <v>1.5387072137749081E-2</v>
      </c>
      <c r="H10768" s="1184" t="s">
        <v>1383</v>
      </c>
      <c r="I10768" s="1184"/>
      <c r="J10768" s="1184" t="s">
        <v>1381</v>
      </c>
      <c r="K10768" s="1184">
        <v>70.62</v>
      </c>
      <c r="L10768" s="1184">
        <v>73.22</v>
      </c>
      <c r="M10768" s="1184">
        <v>72.05</v>
      </c>
      <c r="N10768" s="1184">
        <v>72.17</v>
      </c>
      <c r="O10768" s="1184">
        <v>72.015000000000001</v>
      </c>
      <c r="R10768" s="892">
        <v>42614</v>
      </c>
      <c r="S10768" s="1173">
        <v>155.4905</v>
      </c>
      <c r="T10768" s="1109">
        <v>0.55490499999999998</v>
      </c>
    </row>
    <row r="10769" spans="1:20" hidden="1" outlineLevel="1" x14ac:dyDescent="0.25">
      <c r="A10769" s="2380">
        <v>0.02</v>
      </c>
      <c r="B10769" s="2411" t="s">
        <v>7573</v>
      </c>
      <c r="C10769" s="1998">
        <v>37.524999999999999</v>
      </c>
      <c r="D10769" s="2452">
        <v>89.11</v>
      </c>
      <c r="E10769" s="2499">
        <v>1.3746835443037977</v>
      </c>
      <c r="F10769" s="2451">
        <v>2.7493670886075953E-2</v>
      </c>
      <c r="H10769" s="1184" t="s">
        <v>7571</v>
      </c>
      <c r="I10769" s="1184"/>
      <c r="J10769" s="1184" t="s">
        <v>7573</v>
      </c>
      <c r="K10769" s="1184">
        <v>36.35</v>
      </c>
      <c r="L10769" s="1184">
        <v>37.270000000000003</v>
      </c>
      <c r="M10769" s="1184">
        <v>38.47</v>
      </c>
      <c r="N10769" s="1184">
        <v>38.01</v>
      </c>
      <c r="O10769" s="1184">
        <v>37.524999999999999</v>
      </c>
      <c r="R10769" s="892">
        <v>42644</v>
      </c>
      <c r="S10769" s="1173">
        <v>157.5147</v>
      </c>
      <c r="T10769" s="1109">
        <v>0.57514700000000007</v>
      </c>
    </row>
    <row r="10770" spans="1:20" hidden="1" outlineLevel="1" x14ac:dyDescent="0.25">
      <c r="A10770" s="2380">
        <v>0.02</v>
      </c>
      <c r="B10770" s="1813" t="s">
        <v>247</v>
      </c>
      <c r="C10770" s="1998">
        <v>1726.5</v>
      </c>
      <c r="D10770" s="2452">
        <v>2314</v>
      </c>
      <c r="E10770" s="2499">
        <v>0.34028381117868522</v>
      </c>
      <c r="F10770" s="2451">
        <v>6.8056762235737048E-3</v>
      </c>
      <c r="H10770" s="1184" t="s">
        <v>3640</v>
      </c>
      <c r="I10770" s="1184"/>
      <c r="J10770" s="1184" t="s">
        <v>247</v>
      </c>
      <c r="K10770" s="1184">
        <v>1630</v>
      </c>
      <c r="L10770" s="1184">
        <v>1581</v>
      </c>
      <c r="M10770" s="1184">
        <v>1722</v>
      </c>
      <c r="N10770" s="1184">
        <v>1973</v>
      </c>
      <c r="O10770" s="1184">
        <v>1726.5</v>
      </c>
      <c r="R10770" s="892">
        <v>42675</v>
      </c>
      <c r="S10770" s="1173">
        <v>155.17060000000001</v>
      </c>
      <c r="T10770" s="1109">
        <v>0.55170600000000003</v>
      </c>
    </row>
    <row r="10771" spans="1:20" hidden="1" outlineLevel="1" x14ac:dyDescent="0.25">
      <c r="A10771" s="2380">
        <v>0.05</v>
      </c>
      <c r="B10771" s="1813" t="s">
        <v>5164</v>
      </c>
      <c r="C10771" s="1998">
        <v>1282.5</v>
      </c>
      <c r="D10771" s="2452">
        <v>1562</v>
      </c>
      <c r="E10771" s="2499">
        <v>0.2179337231968812</v>
      </c>
      <c r="F10771" s="2451">
        <v>1.0896686159844061E-2</v>
      </c>
      <c r="H10771" s="1184" t="s">
        <v>5162</v>
      </c>
      <c r="I10771" s="1184"/>
      <c r="J10771" s="1184" t="s">
        <v>5164</v>
      </c>
      <c r="K10771" s="1184">
        <v>1222</v>
      </c>
      <c r="L10771" s="1184">
        <v>1222</v>
      </c>
      <c r="M10771" s="1184">
        <v>1298</v>
      </c>
      <c r="N10771" s="1184">
        <v>1388</v>
      </c>
      <c r="O10771" s="1184">
        <v>1282.5</v>
      </c>
      <c r="R10771" s="892">
        <v>42705</v>
      </c>
      <c r="S10771" s="1173">
        <v>160.08969999999999</v>
      </c>
      <c r="T10771" s="1109">
        <v>0.60089700000000001</v>
      </c>
    </row>
    <row r="10772" spans="1:20" hidden="1" outlineLevel="1" x14ac:dyDescent="0.25">
      <c r="A10772" s="2380">
        <v>0.08</v>
      </c>
      <c r="B10772" s="1813" t="s">
        <v>4273</v>
      </c>
      <c r="C10772" s="1998">
        <v>1394.5</v>
      </c>
      <c r="D10772" s="2452">
        <v>2747.5</v>
      </c>
      <c r="E10772" s="2499">
        <v>0.97024022947292932</v>
      </c>
      <c r="F10772" s="2451">
        <v>7.7619218357834349E-2</v>
      </c>
      <c r="H10772" s="1184" t="s">
        <v>82</v>
      </c>
      <c r="I10772" s="1184"/>
      <c r="J10772" s="1184" t="s">
        <v>4273</v>
      </c>
      <c r="K10772" s="1184">
        <v>139500</v>
      </c>
      <c r="L10772" s="1184">
        <v>143500</v>
      </c>
      <c r="M10772" s="1184">
        <v>135300</v>
      </c>
      <c r="N10772" s="1184">
        <v>139500</v>
      </c>
      <c r="O10772" s="1184">
        <v>139450</v>
      </c>
      <c r="R10772" s="892">
        <v>42736</v>
      </c>
      <c r="S10772" s="1173">
        <v>159.16120000000001</v>
      </c>
      <c r="T10772" s="1109">
        <v>0.59161200000000003</v>
      </c>
    </row>
    <row r="10773" spans="1:20" hidden="1" outlineLevel="1" x14ac:dyDescent="0.25">
      <c r="A10773" s="2380">
        <v>0.02</v>
      </c>
      <c r="B10773" s="1813" t="s">
        <v>2769</v>
      </c>
      <c r="C10773" s="1998">
        <v>28.627500000000001</v>
      </c>
      <c r="D10773" s="2452">
        <v>38.479999999999997</v>
      </c>
      <c r="E10773" s="2499">
        <v>0.34416208191424302</v>
      </c>
      <c r="F10773" s="2451">
        <v>6.8832416382848607E-3</v>
      </c>
      <c r="H10773" s="1184" t="s">
        <v>2770</v>
      </c>
      <c r="I10773" s="1184"/>
      <c r="J10773" s="1184" t="s">
        <v>2769</v>
      </c>
      <c r="K10773" s="1184">
        <v>29.26</v>
      </c>
      <c r="L10773" s="1184">
        <v>28.82</v>
      </c>
      <c r="M10773" s="1184">
        <v>27.86</v>
      </c>
      <c r="N10773" s="1184">
        <v>28.57</v>
      </c>
      <c r="O10773" s="1184">
        <v>28.627500000000001</v>
      </c>
      <c r="R10773" s="892">
        <v>42767</v>
      </c>
      <c r="S10773" s="1173">
        <v>162.83250000000001</v>
      </c>
      <c r="T10773" s="1109">
        <v>0.62832500000000002</v>
      </c>
    </row>
    <row r="10774" spans="1:20" hidden="1" outlineLevel="1" x14ac:dyDescent="0.25">
      <c r="A10774" s="2380">
        <v>0.02</v>
      </c>
      <c r="B10774" s="1813" t="s">
        <v>3023</v>
      </c>
      <c r="C10774" s="1998">
        <v>65.482500000000002</v>
      </c>
      <c r="D10774" s="2452">
        <v>86.24</v>
      </c>
      <c r="E10774" s="2499">
        <v>0.31699308975680518</v>
      </c>
      <c r="F10774" s="2451">
        <v>6.3398617951361041E-3</v>
      </c>
      <c r="H10774" s="1184" t="s">
        <v>2815</v>
      </c>
      <c r="I10774" s="1184"/>
      <c r="J10774" s="1184" t="s">
        <v>3023</v>
      </c>
      <c r="K10774" s="1184">
        <v>65.23</v>
      </c>
      <c r="L10774" s="1184">
        <v>66.83</v>
      </c>
      <c r="M10774" s="1184">
        <v>63.21</v>
      </c>
      <c r="N10774" s="1184">
        <v>66.66</v>
      </c>
      <c r="O10774" s="1184">
        <v>65.482500000000002</v>
      </c>
      <c r="R10774" s="892">
        <v>42795</v>
      </c>
      <c r="S10774" s="1173">
        <v>159.61109999999999</v>
      </c>
      <c r="T10774" s="1109">
        <v>0.59611099999999984</v>
      </c>
    </row>
    <row r="10775" spans="1:20" hidden="1" outlineLevel="1" x14ac:dyDescent="0.25">
      <c r="A10775" s="2380">
        <v>0.02</v>
      </c>
      <c r="B10775" s="1813" t="s">
        <v>813</v>
      </c>
      <c r="C10775" s="1998">
        <v>54.177500000000002</v>
      </c>
      <c r="D10775" s="2452">
        <v>60.82</v>
      </c>
      <c r="E10775" s="2499">
        <v>0.12260624798117292</v>
      </c>
      <c r="F10775" s="2451">
        <v>2.4521249596234584E-3</v>
      </c>
      <c r="H10775" s="1184" t="s">
        <v>2296</v>
      </c>
      <c r="I10775" s="1184"/>
      <c r="J10775" s="1184" t="s">
        <v>813</v>
      </c>
      <c r="K10775" s="1184">
        <v>53.84</v>
      </c>
      <c r="L10775" s="1184">
        <v>54.97</v>
      </c>
      <c r="M10775" s="1184">
        <v>54.71</v>
      </c>
      <c r="N10775" s="1184">
        <v>53.19</v>
      </c>
      <c r="O10775" s="1184">
        <v>54.177500000000002</v>
      </c>
      <c r="R10775" s="892">
        <v>42826</v>
      </c>
      <c r="S10775" s="1173">
        <v>160.8913</v>
      </c>
      <c r="T10775" s="1109">
        <v>0.60891300000000004</v>
      </c>
    </row>
    <row r="10776" spans="1:20" hidden="1" outlineLevel="1" x14ac:dyDescent="0.25">
      <c r="A10776" s="2380">
        <v>0.02</v>
      </c>
      <c r="B10776" s="1813" t="s">
        <v>1857</v>
      </c>
      <c r="C10776" s="1998">
        <v>1274.5</v>
      </c>
      <c r="D10776" s="2452">
        <v>1451</v>
      </c>
      <c r="E10776" s="2499">
        <v>0.13848568065908196</v>
      </c>
      <c r="F10776" s="2451">
        <v>2.7697136131816392E-3</v>
      </c>
      <c r="H10776" s="1184" t="s">
        <v>3559</v>
      </c>
      <c r="I10776" s="1184"/>
      <c r="J10776" s="1184" t="s">
        <v>1857</v>
      </c>
      <c r="K10776" s="1184">
        <v>12.58</v>
      </c>
      <c r="L10776" s="1184">
        <v>13.03</v>
      </c>
      <c r="M10776" s="1184">
        <v>12.34</v>
      </c>
      <c r="N10776" s="1184">
        <v>13.03</v>
      </c>
      <c r="O10776" s="1184">
        <v>12.744999999999999</v>
      </c>
      <c r="R10776" s="892">
        <v>42856</v>
      </c>
      <c r="S10776" s="1173">
        <v>163.053</v>
      </c>
      <c r="T10776" s="1109">
        <v>0.63053000000000003</v>
      </c>
    </row>
    <row r="10777" spans="1:20" hidden="1" outlineLevel="1" x14ac:dyDescent="0.25">
      <c r="A10777" s="2380">
        <v>0.02</v>
      </c>
      <c r="B10777" s="1813" t="s">
        <v>5167</v>
      </c>
      <c r="C10777" s="1998">
        <v>4010</v>
      </c>
      <c r="D10777" s="2452">
        <v>9929</v>
      </c>
      <c r="E10777" s="2499">
        <v>1.4760598503740647</v>
      </c>
      <c r="F10777" s="2451">
        <v>2.9521197007481296E-2</v>
      </c>
      <c r="H10777" s="1184" t="s">
        <v>5165</v>
      </c>
      <c r="I10777" s="1184"/>
      <c r="J10777" s="1184" t="s">
        <v>5167</v>
      </c>
      <c r="K10777" s="1184">
        <v>3830</v>
      </c>
      <c r="L10777" s="1184">
        <v>3860</v>
      </c>
      <c r="M10777" s="1184">
        <v>4010</v>
      </c>
      <c r="N10777" s="1184">
        <v>4340</v>
      </c>
      <c r="O10777" s="1184">
        <v>4010</v>
      </c>
      <c r="R10777" s="1173" t="s">
        <v>2465</v>
      </c>
      <c r="T10777" s="1088">
        <v>0.57511861111111118</v>
      </c>
    </row>
    <row r="10778" spans="1:20" hidden="1" outlineLevel="1" x14ac:dyDescent="0.25">
      <c r="A10778" s="2380">
        <v>0.02</v>
      </c>
      <c r="B10778" s="1813" t="s">
        <v>3427</v>
      </c>
      <c r="C10778" s="1998">
        <v>44.795000000000002</v>
      </c>
      <c r="D10778" s="2452">
        <v>49.34</v>
      </c>
      <c r="E10778" s="2499">
        <v>0.10146221676526412</v>
      </c>
      <c r="F10778" s="2451">
        <v>2.0292443353052826E-3</v>
      </c>
      <c r="H10778" s="1184" t="s">
        <v>2800</v>
      </c>
      <c r="I10778" s="1184"/>
      <c r="J10778" s="1184" t="s">
        <v>3427</v>
      </c>
      <c r="K10778" s="1184">
        <v>44.38</v>
      </c>
      <c r="L10778" s="1184">
        <v>45.03</v>
      </c>
      <c r="M10778" s="1184">
        <v>45.4</v>
      </c>
      <c r="N10778" s="1184">
        <v>44.37</v>
      </c>
      <c r="O10778" s="1184">
        <v>44.795000000000002</v>
      </c>
      <c r="R10778" s="1173" t="s">
        <v>5221</v>
      </c>
      <c r="T10778" s="1692">
        <v>0.28755930555555559</v>
      </c>
    </row>
    <row r="10779" spans="1:20" hidden="1" outlineLevel="1" x14ac:dyDescent="0.25">
      <c r="A10779" s="2380">
        <v>0.02</v>
      </c>
      <c r="B10779" s="1813" t="s">
        <v>5168</v>
      </c>
      <c r="C10779" s="1998">
        <v>1100</v>
      </c>
      <c r="D10779" s="2452">
        <v>1520</v>
      </c>
      <c r="E10779" s="2499">
        <v>0.38181818181818183</v>
      </c>
      <c r="F10779" s="2451">
        <v>7.6363636363636364E-3</v>
      </c>
      <c r="H10779" s="1184" t="s">
        <v>5170</v>
      </c>
      <c r="I10779" s="1184"/>
      <c r="J10779" s="1184" t="s">
        <v>5168</v>
      </c>
      <c r="K10779" s="1184">
        <v>1043</v>
      </c>
      <c r="L10779" s="1184">
        <v>1067</v>
      </c>
      <c r="M10779" s="1184">
        <v>1099</v>
      </c>
      <c r="N10779" s="1184">
        <v>1191</v>
      </c>
      <c r="O10779" s="1184">
        <v>1100</v>
      </c>
    </row>
    <row r="10780" spans="1:20" hidden="1" outlineLevel="1" x14ac:dyDescent="0.25">
      <c r="A10780" s="2380">
        <v>0.02</v>
      </c>
      <c r="B10780" s="1813" t="s">
        <v>1239</v>
      </c>
      <c r="C10780" s="1998">
        <v>356.7</v>
      </c>
      <c r="D10780" s="2452">
        <v>459.2</v>
      </c>
      <c r="E10780" s="2499">
        <v>0.28735632183908044</v>
      </c>
      <c r="F10780" s="2451">
        <v>5.7471264367816091E-3</v>
      </c>
      <c r="H10780" s="1184" t="s">
        <v>268</v>
      </c>
      <c r="I10780" s="1184"/>
      <c r="J10780" s="1184" t="s">
        <v>1239</v>
      </c>
      <c r="K10780" s="1184">
        <v>341.1</v>
      </c>
      <c r="L10780" s="1184">
        <v>360</v>
      </c>
      <c r="M10780" s="1184">
        <v>368.5</v>
      </c>
      <c r="N10780" s="1184">
        <v>357.2</v>
      </c>
      <c r="O10780" s="1184">
        <v>356.7</v>
      </c>
    </row>
    <row r="10781" spans="1:20" hidden="1" outlineLevel="1" x14ac:dyDescent="0.25">
      <c r="A10781" s="2380">
        <v>0.08</v>
      </c>
      <c r="B10781" s="1813" t="s">
        <v>3022</v>
      </c>
      <c r="C10781" s="1998">
        <v>3392.5</v>
      </c>
      <c r="D10781" s="2452">
        <v>5624</v>
      </c>
      <c r="E10781" s="2499">
        <v>0.65777450257921877</v>
      </c>
      <c r="F10781" s="2451">
        <v>5.2621960206337505E-2</v>
      </c>
      <c r="H10781" s="1184" t="s">
        <v>2802</v>
      </c>
      <c r="I10781" s="1184"/>
      <c r="J10781" s="1184" t="s">
        <v>3022</v>
      </c>
      <c r="K10781" s="1184">
        <v>3205</v>
      </c>
      <c r="L10781" s="1184">
        <v>3410</v>
      </c>
      <c r="M10781" s="1184">
        <v>3295</v>
      </c>
      <c r="N10781" s="1184">
        <v>3660</v>
      </c>
      <c r="O10781" s="1184">
        <v>3392.5</v>
      </c>
    </row>
    <row r="10782" spans="1:20" hidden="1" outlineLevel="1" x14ac:dyDescent="0.25">
      <c r="A10782" s="2380">
        <v>0.02</v>
      </c>
      <c r="B10782" s="1813" t="s">
        <v>366</v>
      </c>
      <c r="C10782" s="1998">
        <v>42.805</v>
      </c>
      <c r="D10782" s="2452">
        <v>62.91</v>
      </c>
      <c r="E10782" s="2499">
        <v>0.46968812054666498</v>
      </c>
      <c r="F10782" s="2451">
        <v>9.3937624109332995E-3</v>
      </c>
      <c r="H10782" s="1184" t="s">
        <v>367</v>
      </c>
      <c r="I10782" s="1184"/>
      <c r="J10782" s="1184" t="s">
        <v>366</v>
      </c>
      <c r="K10782" s="1184">
        <v>42.57</v>
      </c>
      <c r="L10782" s="1184">
        <v>43.91</v>
      </c>
      <c r="M10782" s="1184">
        <v>41.29</v>
      </c>
      <c r="N10782" s="1184">
        <v>43.45</v>
      </c>
      <c r="O10782" s="1184">
        <v>42.805</v>
      </c>
    </row>
    <row r="10783" spans="1:20" hidden="1" outlineLevel="1" x14ac:dyDescent="0.25">
      <c r="A10783" s="2380">
        <v>0.02</v>
      </c>
      <c r="B10783" s="1813" t="s">
        <v>106</v>
      </c>
      <c r="C10783" s="1998">
        <v>2113</v>
      </c>
      <c r="D10783" s="2452">
        <v>4156.5</v>
      </c>
      <c r="E10783" s="2499">
        <v>0.96710837671557037</v>
      </c>
      <c r="F10783" s="2451">
        <v>1.9342167534311408E-2</v>
      </c>
      <c r="H10783" s="1184" t="s">
        <v>107</v>
      </c>
      <c r="I10783" s="1184"/>
      <c r="J10783" s="1184" t="s">
        <v>106</v>
      </c>
      <c r="K10783" s="1184">
        <v>21.25</v>
      </c>
      <c r="L10783" s="1184">
        <v>21.89</v>
      </c>
      <c r="M10783" s="1184">
        <v>20.85</v>
      </c>
      <c r="N10783" s="1184">
        <v>20.53</v>
      </c>
      <c r="O10783" s="1184">
        <v>21.13</v>
      </c>
    </row>
    <row r="10784" spans="1:20" hidden="1" outlineLevel="1" x14ac:dyDescent="0.25">
      <c r="A10784" s="2380">
        <v>0.02</v>
      </c>
      <c r="B10784" s="1813" t="s">
        <v>5174</v>
      </c>
      <c r="C10784" s="1998">
        <v>305</v>
      </c>
      <c r="D10784" s="2452">
        <v>243.9</v>
      </c>
      <c r="E10784" s="2499">
        <v>-0.20032786885245901</v>
      </c>
      <c r="F10784" s="2451">
        <v>-4.0065573770491801E-3</v>
      </c>
      <c r="H10784" s="1184" t="s">
        <v>5172</v>
      </c>
      <c r="I10784" s="1184"/>
      <c r="J10784" s="1184" t="s">
        <v>5174</v>
      </c>
      <c r="K10784" s="1184">
        <v>3.1549999999999998</v>
      </c>
      <c r="L10784" s="1184">
        <v>3.28</v>
      </c>
      <c r="M10784" s="1184">
        <v>2.8610000000000002</v>
      </c>
      <c r="N10784" s="1184">
        <v>2.9039999999999999</v>
      </c>
      <c r="O10784" s="1184">
        <v>3.05</v>
      </c>
    </row>
    <row r="10785" spans="1:20" hidden="1" outlineLevel="1" x14ac:dyDescent="0.25">
      <c r="A10785" s="2004">
        <v>0.02</v>
      </c>
      <c r="B10785" s="1813" t="s">
        <v>2874</v>
      </c>
      <c r="C10785" s="2005">
        <v>26.5975</v>
      </c>
      <c r="D10785" s="2453">
        <v>45.57</v>
      </c>
      <c r="E10785" s="2378">
        <v>0.71331892095121718</v>
      </c>
      <c r="F10785" s="2379">
        <v>1.4266378419024344E-2</v>
      </c>
      <c r="H10785" s="1184" t="s">
        <v>5175</v>
      </c>
      <c r="I10785" s="1184"/>
      <c r="J10785" s="1184" t="s">
        <v>2874</v>
      </c>
      <c r="K10785" s="1184">
        <v>26.06</v>
      </c>
      <c r="L10785" s="1184">
        <v>27.34</v>
      </c>
      <c r="M10785" s="1184">
        <v>26.6</v>
      </c>
      <c r="N10785" s="1184">
        <v>26.39</v>
      </c>
      <c r="O10785" s="1184">
        <v>26.5975</v>
      </c>
    </row>
    <row r="10786" spans="1:20" hidden="1" outlineLevel="1" x14ac:dyDescent="0.25">
      <c r="A10786" s="2380"/>
      <c r="B10786" s="2563"/>
      <c r="C10786" s="2179"/>
      <c r="D10786" s="2564"/>
      <c r="E10786" s="2499" t="s">
        <v>4577</v>
      </c>
      <c r="F10786" s="2500">
        <f>SUM(F10756:F10785)</f>
        <v>0.62711747335985979</v>
      </c>
      <c r="H10786" s="432"/>
      <c r="I10786" s="370"/>
      <c r="J10786" s="370"/>
      <c r="K10786" s="370"/>
      <c r="L10786" s="370"/>
      <c r="M10786" s="370"/>
      <c r="N10786" s="370"/>
      <c r="O10786" s="370"/>
    </row>
    <row r="10787" spans="1:20" collapsed="1" x14ac:dyDescent="0.25">
      <c r="A10787" s="3801" t="s">
        <v>5270</v>
      </c>
      <c r="B10787" s="3802"/>
      <c r="C10787" s="3802"/>
      <c r="D10787" s="3802"/>
      <c r="E10787" s="1905"/>
      <c r="F10787" s="2459">
        <f>IF(0.5*T10777&lt;0,0,MIN(0.5*T10777,100%))</f>
        <v>0.28755930555555559</v>
      </c>
    </row>
    <row r="10789" spans="1:20" hidden="1" outlineLevel="1" x14ac:dyDescent="0.25">
      <c r="A10789" s="689" t="s">
        <v>113</v>
      </c>
      <c r="B10789" s="689" t="s">
        <v>114</v>
      </c>
      <c r="C10789" s="689" t="s">
        <v>112</v>
      </c>
      <c r="D10789" s="689" t="s">
        <v>116</v>
      </c>
      <c r="E10789" s="689" t="s">
        <v>117</v>
      </c>
      <c r="F10789" s="1188" t="s">
        <v>121</v>
      </c>
    </row>
    <row r="10790" spans="1:20" hidden="1" outlineLevel="1" x14ac:dyDescent="0.25">
      <c r="A10790" s="690">
        <v>14</v>
      </c>
      <c r="B10790" s="691" t="s">
        <v>252</v>
      </c>
      <c r="C10790" s="692">
        <v>100</v>
      </c>
      <c r="D10790" s="692"/>
      <c r="E10790" s="693"/>
      <c r="F10790" s="694"/>
    </row>
    <row r="10791" spans="1:20" hidden="1" outlineLevel="1" x14ac:dyDescent="0.25">
      <c r="A10791" s="695"/>
      <c r="B10791" s="695"/>
      <c r="C10791" s="696"/>
      <c r="D10791" s="697" t="s">
        <v>3702</v>
      </c>
      <c r="E10791" s="698">
        <v>42930</v>
      </c>
      <c r="F10791" s="699"/>
      <c r="J10791" t="s">
        <v>5278</v>
      </c>
    </row>
    <row r="10792" spans="1:20" ht="26.4" hidden="1" outlineLevel="1" x14ac:dyDescent="0.3">
      <c r="A10792" s="689" t="s">
        <v>4156</v>
      </c>
      <c r="B10792" s="495" t="s">
        <v>4153</v>
      </c>
      <c r="C10792" s="700" t="s">
        <v>5271</v>
      </c>
      <c r="D10792" s="495" t="s">
        <v>4155</v>
      </c>
      <c r="E10792" s="689" t="s">
        <v>4154</v>
      </c>
      <c r="F10792" s="1021" t="s">
        <v>2519</v>
      </c>
      <c r="J10792" s="430" t="s">
        <v>5272</v>
      </c>
      <c r="K10792" s="430" t="s">
        <v>5276</v>
      </c>
      <c r="L10792" s="430" t="s">
        <v>5307</v>
      </c>
      <c r="M10792" s="430" t="s">
        <v>5308</v>
      </c>
      <c r="N10792" s="430" t="s">
        <v>5309</v>
      </c>
      <c r="O10792" s="431" t="s">
        <v>5277</v>
      </c>
    </row>
    <row r="10793" spans="1:20" hidden="1" outlineLevel="1" x14ac:dyDescent="0.25">
      <c r="A10793" s="999">
        <v>0.02</v>
      </c>
      <c r="B10793" s="1230" t="s">
        <v>1993</v>
      </c>
      <c r="C10793" s="1007">
        <v>31.226700000000001</v>
      </c>
      <c r="D10793" s="704">
        <v>73.930000000000007</v>
      </c>
      <c r="E10793" s="705">
        <v>1.3675252268091089</v>
      </c>
      <c r="F10793" s="1021">
        <v>2.735050453618218E-2</v>
      </c>
      <c r="H10793" s="417" t="s">
        <v>2812</v>
      </c>
      <c r="I10793" s="417"/>
      <c r="J10793" s="417" t="s">
        <v>1993</v>
      </c>
      <c r="K10793" s="417">
        <v>30.1</v>
      </c>
      <c r="L10793" s="417">
        <v>31.16</v>
      </c>
      <c r="M10793" s="417">
        <v>32.42</v>
      </c>
      <c r="N10793" s="417"/>
      <c r="O10793" s="417">
        <v>31.226700000000001</v>
      </c>
    </row>
    <row r="10794" spans="1:20" hidden="1" outlineLevel="1" x14ac:dyDescent="0.25">
      <c r="A10794" s="1002">
        <v>7.0000000000000007E-2</v>
      </c>
      <c r="B10794" s="1089" t="s">
        <v>2942</v>
      </c>
      <c r="C10794" s="1008">
        <v>667.33334000000002</v>
      </c>
      <c r="D10794" s="708">
        <v>1360.5</v>
      </c>
      <c r="E10794" s="709">
        <v>1.0387112683445427</v>
      </c>
      <c r="F10794" s="946">
        <v>7.2709788784118004E-2</v>
      </c>
      <c r="H10794" s="417" t="s">
        <v>2336</v>
      </c>
      <c r="I10794" s="417"/>
      <c r="J10794" s="417" t="s">
        <v>2942</v>
      </c>
      <c r="K10794" s="417">
        <v>3365</v>
      </c>
      <c r="L10794" s="417">
        <v>3390</v>
      </c>
      <c r="M10794" s="417">
        <v>3255</v>
      </c>
      <c r="N10794" s="417"/>
      <c r="O10794" s="417">
        <v>3336.6667000000002</v>
      </c>
    </row>
    <row r="10795" spans="1:20" hidden="1" outlineLevel="1" x14ac:dyDescent="0.25">
      <c r="A10795" s="1002">
        <v>0.03</v>
      </c>
      <c r="B10795" s="1089" t="s">
        <v>1903</v>
      </c>
      <c r="C10795" s="1008">
        <v>2792.33</v>
      </c>
      <c r="D10795" s="708">
        <v>4998.5</v>
      </c>
      <c r="E10795" s="709">
        <v>0.7900821178012627</v>
      </c>
      <c r="F10795" s="946">
        <v>2.370246353403788E-2</v>
      </c>
      <c r="H10795" s="417" t="s">
        <v>3883</v>
      </c>
      <c r="I10795" s="417"/>
      <c r="J10795" s="417" t="s">
        <v>1903</v>
      </c>
      <c r="K10795" s="417">
        <v>28.24</v>
      </c>
      <c r="L10795" s="417">
        <v>28.25</v>
      </c>
      <c r="M10795" s="417">
        <v>27.28</v>
      </c>
      <c r="N10795" s="417"/>
      <c r="O10795" s="417">
        <v>27.923300000000001</v>
      </c>
    </row>
    <row r="10796" spans="1:20" hidden="1" outlineLevel="1" x14ac:dyDescent="0.25">
      <c r="A10796" s="1002">
        <v>7.0000000000000007E-2</v>
      </c>
      <c r="B10796" s="1231" t="s">
        <v>3998</v>
      </c>
      <c r="C10796" s="1008">
        <v>31.796700000000001</v>
      </c>
      <c r="D10796" s="708">
        <v>36.299999999999997</v>
      </c>
      <c r="E10796" s="709">
        <v>0.1416279047825717</v>
      </c>
      <c r="F10796" s="946">
        <v>9.9139533347800193E-3</v>
      </c>
      <c r="H10796" s="417" t="s">
        <v>4000</v>
      </c>
      <c r="I10796" s="417"/>
      <c r="J10796" s="417" t="s">
        <v>3998</v>
      </c>
      <c r="K10796" s="417">
        <v>30.88</v>
      </c>
      <c r="L10796" s="417">
        <v>31.45</v>
      </c>
      <c r="M10796" s="417">
        <v>33.06</v>
      </c>
      <c r="N10796" s="417"/>
      <c r="O10796" s="417">
        <v>31.796700000000001</v>
      </c>
    </row>
    <row r="10797" spans="1:20" hidden="1" outlineLevel="1" x14ac:dyDescent="0.25">
      <c r="A10797" s="1002">
        <v>0.03</v>
      </c>
      <c r="B10797" s="1231" t="s">
        <v>805</v>
      </c>
      <c r="C10797" s="1008">
        <v>58.273299999999999</v>
      </c>
      <c r="D10797" s="708">
        <v>96.91</v>
      </c>
      <c r="E10797" s="709">
        <v>0.66302577681373798</v>
      </c>
      <c r="F10797" s="946">
        <v>1.9890773304412138E-2</v>
      </c>
      <c r="H10797" s="417" t="s">
        <v>806</v>
      </c>
      <c r="I10797" s="417"/>
      <c r="J10797" s="417" t="s">
        <v>805</v>
      </c>
      <c r="K10797" s="417">
        <v>57.06</v>
      </c>
      <c r="L10797" s="417">
        <v>59.42</v>
      </c>
      <c r="M10797" s="417">
        <v>58.34</v>
      </c>
      <c r="N10797" s="417"/>
      <c r="O10797" s="417">
        <v>58.273299999999999</v>
      </c>
    </row>
    <row r="10798" spans="1:20" hidden="1" outlineLevel="1" x14ac:dyDescent="0.25">
      <c r="A10798" s="1002">
        <v>0.03</v>
      </c>
      <c r="B10798" s="706" t="s">
        <v>807</v>
      </c>
      <c r="C10798" s="1008">
        <v>40.453299999999999</v>
      </c>
      <c r="D10798" s="708">
        <v>58.16</v>
      </c>
      <c r="E10798" s="709">
        <v>0.43770718334474568</v>
      </c>
      <c r="F10798" s="946">
        <v>1.313121550034237E-2</v>
      </c>
      <c r="H10798" s="417" t="s">
        <v>808</v>
      </c>
      <c r="I10798" s="417"/>
      <c r="J10798" s="417" t="s">
        <v>807</v>
      </c>
      <c r="K10798" s="417">
        <v>41.21</v>
      </c>
      <c r="L10798" s="417">
        <v>40.15</v>
      </c>
      <c r="M10798" s="417">
        <v>40</v>
      </c>
      <c r="N10798" s="417"/>
      <c r="O10798" s="417">
        <v>40.453299999999999</v>
      </c>
    </row>
    <row r="10799" spans="1:20" hidden="1" outlineLevel="1" x14ac:dyDescent="0.25">
      <c r="A10799" s="1002">
        <v>0.02</v>
      </c>
      <c r="B10799" s="711" t="s">
        <v>4377</v>
      </c>
      <c r="C10799" s="1008">
        <v>33.296700000000001</v>
      </c>
      <c r="D10799" s="708">
        <v>55.15</v>
      </c>
      <c r="E10799" s="709">
        <v>0.65632029600530983</v>
      </c>
      <c r="F10799" s="946">
        <v>1.3126405920106197E-2</v>
      </c>
      <c r="H10799" s="417" t="s">
        <v>4327</v>
      </c>
      <c r="I10799" s="417"/>
      <c r="J10799" s="417" t="s">
        <v>4377</v>
      </c>
      <c r="K10799" s="417">
        <v>32.479999999999997</v>
      </c>
      <c r="L10799" s="417">
        <v>33.89</v>
      </c>
      <c r="M10799" s="417">
        <v>33.520000000000003</v>
      </c>
      <c r="N10799" s="417"/>
      <c r="O10799" s="417">
        <v>33.296700000000001</v>
      </c>
      <c r="R10799" t="s">
        <v>2040</v>
      </c>
    </row>
    <row r="10800" spans="1:20" ht="13.8" hidden="1" outlineLevel="1" x14ac:dyDescent="0.3">
      <c r="A10800" s="1002">
        <v>0.02</v>
      </c>
      <c r="B10800" s="706" t="s">
        <v>3954</v>
      </c>
      <c r="C10800" s="1008">
        <v>75.83</v>
      </c>
      <c r="D10800" s="708">
        <v>108.16</v>
      </c>
      <c r="E10800" s="709">
        <v>0.42634841091916131</v>
      </c>
      <c r="F10800" s="946">
        <v>8.5269682183832258E-3</v>
      </c>
      <c r="H10800" s="417" t="s">
        <v>3955</v>
      </c>
      <c r="I10800" s="417"/>
      <c r="J10800" s="417" t="s">
        <v>3954</v>
      </c>
      <c r="K10800" s="417">
        <v>76.27</v>
      </c>
      <c r="L10800" s="417">
        <v>76.540000000000006</v>
      </c>
      <c r="M10800" s="417">
        <v>74.680000000000007</v>
      </c>
      <c r="N10800" s="417"/>
      <c r="O10800" s="417">
        <v>75.83</v>
      </c>
      <c r="R10800" s="256">
        <v>42401</v>
      </c>
      <c r="S10800" s="1702">
        <v>142.9370281019774</v>
      </c>
      <c r="T10800" s="37">
        <v>0.42937028101977415</v>
      </c>
    </row>
    <row r="10801" spans="1:20" hidden="1" outlineLevel="1" x14ac:dyDescent="0.25">
      <c r="A10801" s="1002">
        <v>0.05</v>
      </c>
      <c r="B10801" s="1089" t="s">
        <v>1319</v>
      </c>
      <c r="C10801" s="1008">
        <v>58.786700000000003</v>
      </c>
      <c r="D10801" s="708">
        <v>80.73</v>
      </c>
      <c r="E10801" s="709">
        <v>0.37326980422442491</v>
      </c>
      <c r="F10801" s="946">
        <v>1.8663490211221247E-2</v>
      </c>
      <c r="H10801" s="417" t="s">
        <v>1320</v>
      </c>
      <c r="I10801" s="417"/>
      <c r="J10801" s="417" t="s">
        <v>1319</v>
      </c>
      <c r="K10801" s="417">
        <v>58.15</v>
      </c>
      <c r="L10801" s="417">
        <v>58.55</v>
      </c>
      <c r="M10801" s="417">
        <v>59.66</v>
      </c>
      <c r="N10801" s="417"/>
      <c r="O10801" s="417">
        <v>58.786700000000003</v>
      </c>
      <c r="R10801" s="256">
        <v>42430</v>
      </c>
      <c r="S10801" s="1703">
        <v>144.75830157600981</v>
      </c>
      <c r="T10801" s="37">
        <v>0.44758301576009818</v>
      </c>
    </row>
    <row r="10802" spans="1:20" hidden="1" outlineLevel="1" x14ac:dyDescent="0.25">
      <c r="A10802" s="1002">
        <v>0.02</v>
      </c>
      <c r="B10802" s="710" t="s">
        <v>1231</v>
      </c>
      <c r="C10802" s="1008">
        <v>63.66</v>
      </c>
      <c r="D10802" s="708">
        <v>83.84</v>
      </c>
      <c r="E10802" s="709">
        <v>0.31699654414074785</v>
      </c>
      <c r="F10802" s="946">
        <v>6.3399308828149571E-3</v>
      </c>
      <c r="H10802" s="417" t="s">
        <v>2041</v>
      </c>
      <c r="I10802" s="417"/>
      <c r="J10802" s="417" t="s">
        <v>1231</v>
      </c>
      <c r="K10802" s="417">
        <v>21.03</v>
      </c>
      <c r="L10802" s="417">
        <v>21.1</v>
      </c>
      <c r="M10802" s="417">
        <v>21.53</v>
      </c>
      <c r="N10802" s="417"/>
      <c r="O10802" s="417">
        <v>21.22</v>
      </c>
      <c r="R10802" s="256">
        <v>42461</v>
      </c>
      <c r="S10802" s="1703">
        <v>144.09191746376604</v>
      </c>
      <c r="T10802" s="37">
        <v>0.44091917463766039</v>
      </c>
    </row>
    <row r="10803" spans="1:20" hidden="1" outlineLevel="1" x14ac:dyDescent="0.25">
      <c r="A10803" s="1002">
        <v>0.02</v>
      </c>
      <c r="B10803" s="710" t="s">
        <v>5232</v>
      </c>
      <c r="C10803" s="1008">
        <v>66.8733</v>
      </c>
      <c r="D10803" s="708">
        <v>75.489999999999995</v>
      </c>
      <c r="E10803" s="709">
        <v>0.1288511259351639</v>
      </c>
      <c r="F10803" s="946">
        <v>2.5770225187032782E-3</v>
      </c>
      <c r="H10803" s="417" t="s">
        <v>5230</v>
      </c>
      <c r="I10803" s="417"/>
      <c r="J10803" s="417" t="s">
        <v>5232</v>
      </c>
      <c r="K10803" s="417">
        <v>66.83</v>
      </c>
      <c r="L10803" s="417">
        <v>67.489999999999995</v>
      </c>
      <c r="M10803" s="417">
        <v>66.3</v>
      </c>
      <c r="N10803" s="417"/>
      <c r="O10803" s="417">
        <v>66.8733</v>
      </c>
      <c r="R10803" s="256">
        <v>42491</v>
      </c>
      <c r="S10803" s="1703">
        <v>146.88167788716072</v>
      </c>
      <c r="T10803" s="37">
        <v>0.46881677887160711</v>
      </c>
    </row>
    <row r="10804" spans="1:20" hidden="1" outlineLevel="1" x14ac:dyDescent="0.25">
      <c r="A10804" s="1002">
        <v>0.02</v>
      </c>
      <c r="B10804" s="711" t="s">
        <v>3799</v>
      </c>
      <c r="C10804" s="1008">
        <v>1425.5</v>
      </c>
      <c r="D10804" s="708">
        <v>1608.5</v>
      </c>
      <c r="E10804" s="709">
        <v>0.12837600841809893</v>
      </c>
      <c r="F10804" s="946">
        <v>2.5675201683619787E-3</v>
      </c>
      <c r="H10804" s="417" t="s">
        <v>4128</v>
      </c>
      <c r="I10804" s="417"/>
      <c r="J10804" s="417" t="s">
        <v>3799</v>
      </c>
      <c r="K10804" s="417">
        <v>14.095000000000001</v>
      </c>
      <c r="L10804" s="417">
        <v>14.29</v>
      </c>
      <c r="M10804" s="417">
        <v>14.38</v>
      </c>
      <c r="N10804" s="417"/>
      <c r="O10804" s="417">
        <v>14.255000000000001</v>
      </c>
      <c r="R10804" s="256">
        <v>42522</v>
      </c>
      <c r="S10804" s="1703">
        <v>153.3430534627918</v>
      </c>
      <c r="T10804" s="37">
        <v>0.53343053462791801</v>
      </c>
    </row>
    <row r="10805" spans="1:20" hidden="1" outlineLevel="1" x14ac:dyDescent="0.25">
      <c r="A10805" s="1002">
        <v>0.03</v>
      </c>
      <c r="B10805" s="712" t="s">
        <v>2920</v>
      </c>
      <c r="C10805" s="1008">
        <v>28.08</v>
      </c>
      <c r="D10805" s="708">
        <v>34.68</v>
      </c>
      <c r="E10805" s="709">
        <v>0.2350427350427351</v>
      </c>
      <c r="F10805" s="946">
        <v>7.0512820512820523E-3</v>
      </c>
      <c r="H10805" s="417" t="s">
        <v>2926</v>
      </c>
      <c r="I10805" s="417"/>
      <c r="J10805" s="417" t="s">
        <v>2920</v>
      </c>
      <c r="K10805" s="417">
        <v>26.91</v>
      </c>
      <c r="L10805" s="417">
        <v>28.38</v>
      </c>
      <c r="M10805" s="417">
        <v>28.95</v>
      </c>
      <c r="N10805" s="417"/>
      <c r="O10805" s="417">
        <v>28.08</v>
      </c>
      <c r="R10805" s="256">
        <v>42552</v>
      </c>
      <c r="S10805" s="1703">
        <v>154.51790151407502</v>
      </c>
      <c r="T10805" s="37">
        <v>0.54517901514075029</v>
      </c>
    </row>
    <row r="10806" spans="1:20" hidden="1" outlineLevel="1" x14ac:dyDescent="0.25">
      <c r="A10806" s="1002">
        <v>0.02</v>
      </c>
      <c r="B10806" s="712" t="s">
        <v>1381</v>
      </c>
      <c r="C10806" s="1008">
        <v>74.763300000000001</v>
      </c>
      <c r="D10806" s="708">
        <v>124.51</v>
      </c>
      <c r="E10806" s="709">
        <v>0.66538930197035184</v>
      </c>
      <c r="F10806" s="946">
        <v>1.3307786039407037E-2</v>
      </c>
      <c r="H10806" s="417" t="s">
        <v>1383</v>
      </c>
      <c r="I10806" s="417"/>
      <c r="J10806" s="417" t="s">
        <v>1381</v>
      </c>
      <c r="K10806" s="417">
        <v>71.44</v>
      </c>
      <c r="L10806" s="417">
        <v>74.569999999999993</v>
      </c>
      <c r="M10806" s="417">
        <v>78.28</v>
      </c>
      <c r="N10806" s="417"/>
      <c r="O10806" s="417">
        <v>74.763300000000001</v>
      </c>
      <c r="R10806" s="256">
        <v>42583</v>
      </c>
      <c r="S10806" s="1703">
        <v>149.57981924814723</v>
      </c>
      <c r="T10806" s="37">
        <v>0.49579819248147228</v>
      </c>
    </row>
    <row r="10807" spans="1:20" hidden="1" outlineLevel="1" x14ac:dyDescent="0.25">
      <c r="A10807" s="1002">
        <v>0.02</v>
      </c>
      <c r="B10807" s="1089" t="s">
        <v>1905</v>
      </c>
      <c r="C10807" s="1008">
        <v>38.396700000000003</v>
      </c>
      <c r="D10807" s="708">
        <v>63.06</v>
      </c>
      <c r="E10807" s="709">
        <v>0.6423286376172952</v>
      </c>
      <c r="F10807" s="946">
        <v>1.2846572752345905E-2</v>
      </c>
      <c r="H10807" s="417" t="s">
        <v>504</v>
      </c>
      <c r="I10807" s="417"/>
      <c r="J10807" s="417" t="s">
        <v>1905</v>
      </c>
      <c r="K10807" s="417">
        <v>37.31</v>
      </c>
      <c r="L10807" s="417">
        <v>38.51</v>
      </c>
      <c r="M10807" s="417">
        <v>39.369999999999997</v>
      </c>
      <c r="N10807" s="417"/>
      <c r="O10807" s="417">
        <v>38.396700000000003</v>
      </c>
      <c r="R10807" s="256">
        <v>42614</v>
      </c>
      <c r="S10807" s="1703">
        <v>149.65944787126449</v>
      </c>
      <c r="T10807" s="37">
        <v>0.49659447871264484</v>
      </c>
    </row>
    <row r="10808" spans="1:20" hidden="1" outlineLevel="1" x14ac:dyDescent="0.25">
      <c r="A10808" s="1002">
        <v>0.02</v>
      </c>
      <c r="B10808" s="1089" t="s">
        <v>247</v>
      </c>
      <c r="C10808" s="1008">
        <v>1842</v>
      </c>
      <c r="D10808" s="708">
        <v>2420.5</v>
      </c>
      <c r="E10808" s="709">
        <v>0.31406080347448428</v>
      </c>
      <c r="F10808" s="946">
        <v>6.2812160694896858E-3</v>
      </c>
      <c r="H10808" s="417" t="s">
        <v>3640</v>
      </c>
      <c r="I10808" s="417"/>
      <c r="J10808" s="417" t="s">
        <v>247</v>
      </c>
      <c r="K10808" s="417">
        <v>1881</v>
      </c>
      <c r="L10808" s="417">
        <v>1938</v>
      </c>
      <c r="M10808" s="417">
        <v>1707</v>
      </c>
      <c r="N10808" s="417"/>
      <c r="O10808" s="417">
        <v>1842</v>
      </c>
      <c r="R10808" s="256">
        <v>42644</v>
      </c>
      <c r="S10808" s="1703">
        <v>145.08583311590013</v>
      </c>
      <c r="T10808" s="37">
        <v>0.45085833115900131</v>
      </c>
    </row>
    <row r="10809" spans="1:20" hidden="1" outlineLevel="1" x14ac:dyDescent="0.25">
      <c r="A10809" s="1002">
        <v>0.02</v>
      </c>
      <c r="B10809" s="1089" t="s">
        <v>2786</v>
      </c>
      <c r="C10809" s="1008">
        <v>652.33000000000004</v>
      </c>
      <c r="D10809" s="708">
        <v>930.1</v>
      </c>
      <c r="E10809" s="709">
        <v>0.4258120889733723</v>
      </c>
      <c r="F10809" s="946">
        <v>8.5162417794674462E-3</v>
      </c>
      <c r="H10809" s="417" t="s">
        <v>4195</v>
      </c>
      <c r="I10809" s="417"/>
      <c r="J10809" s="417" t="s">
        <v>2786</v>
      </c>
      <c r="K10809" s="417">
        <v>6.4550000000000001</v>
      </c>
      <c r="L10809" s="417">
        <v>6.4349999999999996</v>
      </c>
      <c r="M10809" s="417">
        <v>6.68</v>
      </c>
      <c r="N10809" s="417"/>
      <c r="O10809" s="417">
        <v>6.5232999999999999</v>
      </c>
      <c r="R10809" s="256">
        <v>42675</v>
      </c>
      <c r="S10809" s="1703">
        <v>142.04761493173672</v>
      </c>
      <c r="T10809" s="37">
        <v>0.42047614931736721</v>
      </c>
    </row>
    <row r="10810" spans="1:20" hidden="1" outlineLevel="1" x14ac:dyDescent="0.25">
      <c r="A10810" s="1002">
        <v>7.0000000000000007E-2</v>
      </c>
      <c r="B10810" s="1089" t="s">
        <v>2787</v>
      </c>
      <c r="C10810" s="1008">
        <v>49.856699999999996</v>
      </c>
      <c r="D10810" s="708">
        <v>79.900000000000006</v>
      </c>
      <c r="E10810" s="709">
        <v>0.60259303162864786</v>
      </c>
      <c r="F10810" s="946">
        <v>4.2181512214005353E-2</v>
      </c>
      <c r="H10810" s="417" t="s">
        <v>80</v>
      </c>
      <c r="I10810" s="417"/>
      <c r="J10810" s="417" t="s">
        <v>2787</v>
      </c>
      <c r="K10810" s="417">
        <v>49</v>
      </c>
      <c r="L10810" s="417">
        <v>50.85</v>
      </c>
      <c r="M10810" s="417">
        <v>49.72</v>
      </c>
      <c r="N10810" s="417"/>
      <c r="O10810" s="417">
        <v>49.856699999999996</v>
      </c>
      <c r="R10810" s="256">
        <v>42705</v>
      </c>
      <c r="S10810" s="1703">
        <v>148.0445179345659</v>
      </c>
      <c r="T10810" s="37">
        <v>0.480445179345659</v>
      </c>
    </row>
    <row r="10811" spans="1:20" hidden="1" outlineLevel="1" x14ac:dyDescent="0.25">
      <c r="A10811" s="1002">
        <v>0.02</v>
      </c>
      <c r="B10811" s="712" t="s">
        <v>2753</v>
      </c>
      <c r="C10811" s="1008">
        <v>20.67</v>
      </c>
      <c r="D10811" s="708">
        <v>65.56</v>
      </c>
      <c r="E10811" s="709">
        <v>2.1717464925012093</v>
      </c>
      <c r="F10811" s="946">
        <v>4.3434929850024187E-2</v>
      </c>
      <c r="H10811" s="417" t="s">
        <v>3558</v>
      </c>
      <c r="I10811" s="417"/>
      <c r="J10811" s="417" t="s">
        <v>2753</v>
      </c>
      <c r="K10811" s="417">
        <v>41.69</v>
      </c>
      <c r="L10811" s="417">
        <v>41.56</v>
      </c>
      <c r="M10811" s="417">
        <v>40.770000000000003</v>
      </c>
      <c r="N10811" s="417"/>
      <c r="O10811" s="417">
        <v>41.34</v>
      </c>
      <c r="R10811" s="256">
        <v>42736</v>
      </c>
      <c r="S10811" s="1703">
        <v>145.90019928163358</v>
      </c>
      <c r="T10811" s="37">
        <v>0.4590019928163358</v>
      </c>
    </row>
    <row r="10812" spans="1:20" hidden="1" outlineLevel="1" x14ac:dyDescent="0.25">
      <c r="A10812" s="1002">
        <v>7.0000000000000007E-2</v>
      </c>
      <c r="B10812" s="706" t="s">
        <v>2754</v>
      </c>
      <c r="C10812" s="1008">
        <v>162.19999999999999</v>
      </c>
      <c r="D10812" s="708">
        <v>245.9</v>
      </c>
      <c r="E10812" s="709">
        <v>0.51602959309494456</v>
      </c>
      <c r="F10812" s="946">
        <v>3.612207151664612E-2</v>
      </c>
      <c r="H10812" s="417" t="s">
        <v>2817</v>
      </c>
      <c r="I10812" s="417"/>
      <c r="J10812" s="417" t="s">
        <v>2754</v>
      </c>
      <c r="K10812" s="417">
        <v>160.6</v>
      </c>
      <c r="L10812" s="417">
        <v>161</v>
      </c>
      <c r="M10812" s="417">
        <v>165</v>
      </c>
      <c r="N10812" s="417"/>
      <c r="O10812" s="417">
        <v>162.19999999999999</v>
      </c>
      <c r="R10812" s="256">
        <v>42767</v>
      </c>
      <c r="S10812" s="1703">
        <v>152.14892499315431</v>
      </c>
      <c r="T10812" s="37">
        <v>0.52148924993154311</v>
      </c>
    </row>
    <row r="10813" spans="1:20" hidden="1" outlineLevel="1" x14ac:dyDescent="0.25">
      <c r="A10813" s="1002">
        <v>0.03</v>
      </c>
      <c r="B10813" s="706" t="s">
        <v>4460</v>
      </c>
      <c r="C10813" s="1008">
        <v>1611.33</v>
      </c>
      <c r="D10813" s="708">
        <v>2227</v>
      </c>
      <c r="E10813" s="709">
        <v>0.38208808872173927</v>
      </c>
      <c r="F10813" s="946">
        <v>1.1462642661652178E-2</v>
      </c>
      <c r="H10813" s="417" t="s">
        <v>3485</v>
      </c>
      <c r="I10813" s="433"/>
      <c r="J10813" s="417" t="s">
        <v>4460</v>
      </c>
      <c r="K10813" s="417">
        <v>15.81</v>
      </c>
      <c r="L10813" s="417">
        <v>15.7</v>
      </c>
      <c r="M10813" s="417">
        <v>16.829999999999998</v>
      </c>
      <c r="N10813" s="417"/>
      <c r="O10813" s="417">
        <v>16.113299999999999</v>
      </c>
      <c r="R10813" s="256">
        <v>42795</v>
      </c>
      <c r="S10813" s="1703">
        <v>152.04824798698419</v>
      </c>
      <c r="T10813" s="37">
        <v>0.52048247986984197</v>
      </c>
    </row>
    <row r="10814" spans="1:20" hidden="1" outlineLevel="1" x14ac:dyDescent="0.25">
      <c r="A10814" s="1002">
        <v>0.05</v>
      </c>
      <c r="B10814" s="712" t="s">
        <v>1857</v>
      </c>
      <c r="C10814" s="1008">
        <v>1324.33</v>
      </c>
      <c r="D10814" s="708">
        <v>1474</v>
      </c>
      <c r="E10814" s="709">
        <v>0.11301563809624504</v>
      </c>
      <c r="F10814" s="946">
        <v>5.6507819048122526E-3</v>
      </c>
      <c r="H10814" s="417" t="s">
        <v>3559</v>
      </c>
      <c r="I10814" s="433"/>
      <c r="J10814" s="417" t="s">
        <v>1857</v>
      </c>
      <c r="K10814" s="417">
        <v>12.93</v>
      </c>
      <c r="L10814" s="417">
        <v>13.55</v>
      </c>
      <c r="M10814" s="417">
        <v>13.25</v>
      </c>
      <c r="N10814" s="417"/>
      <c r="O10814" s="417">
        <v>13.2433</v>
      </c>
      <c r="R10814" s="256">
        <v>42826</v>
      </c>
      <c r="S10814" s="1703">
        <v>150.6689412079881</v>
      </c>
      <c r="T10814" s="37">
        <v>0.50668941207988105</v>
      </c>
    </row>
    <row r="10815" spans="1:20" hidden="1" outlineLevel="1" x14ac:dyDescent="0.25">
      <c r="A10815" s="1002">
        <v>7.0000000000000007E-2</v>
      </c>
      <c r="B10815" s="712" t="s">
        <v>1239</v>
      </c>
      <c r="C10815" s="1008">
        <v>358.86669999999998</v>
      </c>
      <c r="D10815" s="708">
        <v>466.1</v>
      </c>
      <c r="E10815" s="709">
        <v>0.29881095125293045</v>
      </c>
      <c r="F10815" s="946">
        <v>2.0916766587705134E-2</v>
      </c>
      <c r="H10815" s="417" t="s">
        <v>268</v>
      </c>
      <c r="I10815" s="433"/>
      <c r="J10815" s="417" t="s">
        <v>1239</v>
      </c>
      <c r="K10815" s="417">
        <v>354.5</v>
      </c>
      <c r="L10815" s="417">
        <v>369.2</v>
      </c>
      <c r="M10815" s="417">
        <v>352.9</v>
      </c>
      <c r="N10815" s="417"/>
      <c r="O10815" s="417">
        <v>358.86669999999998</v>
      </c>
      <c r="R10815" s="256">
        <v>42856</v>
      </c>
      <c r="S10815" s="1703">
        <v>155.00564580838798</v>
      </c>
      <c r="T10815" s="37">
        <v>0.55005645808387982</v>
      </c>
    </row>
    <row r="10816" spans="1:20" hidden="1" outlineLevel="1" x14ac:dyDescent="0.25">
      <c r="A10816" s="1002">
        <v>0.02</v>
      </c>
      <c r="B10816" s="1089" t="s">
        <v>3022</v>
      </c>
      <c r="C10816" s="1008">
        <v>3573.3332999999998</v>
      </c>
      <c r="D10816" s="708">
        <v>5681</v>
      </c>
      <c r="E10816" s="709">
        <v>0.58983210438276235</v>
      </c>
      <c r="F10816" s="946">
        <v>1.1796642087655247E-2</v>
      </c>
      <c r="H10816" s="417" t="s">
        <v>2802</v>
      </c>
      <c r="I10816" s="417"/>
      <c r="J10816" s="417" t="s">
        <v>3022</v>
      </c>
      <c r="K10816" s="417">
        <v>3655</v>
      </c>
      <c r="L10816" s="417">
        <v>3595</v>
      </c>
      <c r="M10816" s="417">
        <v>3470</v>
      </c>
      <c r="N10816" s="417"/>
      <c r="O10816" s="417">
        <v>3573.3332999999998</v>
      </c>
      <c r="R10816" s="256">
        <v>42887</v>
      </c>
      <c r="S10816" s="1703">
        <v>150.3376959854898</v>
      </c>
      <c r="T10816" s="37">
        <v>0.50337695985489805</v>
      </c>
    </row>
    <row r="10817" spans="1:20" hidden="1" outlineLevel="1" x14ac:dyDescent="0.25">
      <c r="A10817" s="1002">
        <v>0.05</v>
      </c>
      <c r="B10817" s="712" t="s">
        <v>434</v>
      </c>
      <c r="C10817" s="1008">
        <v>46.063299999999998</v>
      </c>
      <c r="D10817" s="708">
        <v>38.78</v>
      </c>
      <c r="E10817" s="709">
        <v>-0.15811502866707328</v>
      </c>
      <c r="F10817" s="946">
        <v>-7.9057514333536645E-3</v>
      </c>
      <c r="H10817" s="417" t="s">
        <v>7745</v>
      </c>
      <c r="I10817" s="417"/>
      <c r="J10817" s="417" t="s">
        <v>434</v>
      </c>
      <c r="K10817" s="417">
        <v>46.97</v>
      </c>
      <c r="L10817" s="417">
        <v>46.61</v>
      </c>
      <c r="M10817" s="417">
        <v>44.61</v>
      </c>
      <c r="N10817" s="417"/>
      <c r="O10817" s="417">
        <v>46.063299999999998</v>
      </c>
      <c r="R10817" s="256">
        <v>42917</v>
      </c>
      <c r="S10817" s="1703">
        <v>150.22194982623461</v>
      </c>
      <c r="T10817" s="37">
        <v>0.50221949826234602</v>
      </c>
    </row>
    <row r="10818" spans="1:20" hidden="1" outlineLevel="1" x14ac:dyDescent="0.25">
      <c r="A10818" s="1002">
        <v>0.03</v>
      </c>
      <c r="B10818" s="987" t="s">
        <v>106</v>
      </c>
      <c r="C10818" s="1008">
        <v>2088</v>
      </c>
      <c r="D10818" s="708">
        <v>4263.5</v>
      </c>
      <c r="E10818" s="709">
        <v>1.0419061302681993</v>
      </c>
      <c r="F10818" s="946">
        <v>3.125718390804598E-2</v>
      </c>
      <c r="H10818" s="417" t="s">
        <v>107</v>
      </c>
      <c r="I10818" s="417"/>
      <c r="J10818" s="417" t="s">
        <v>106</v>
      </c>
      <c r="K10818" s="417">
        <v>20.38</v>
      </c>
      <c r="L10818" s="417">
        <v>20.98</v>
      </c>
      <c r="M10818" s="417">
        <v>21.28</v>
      </c>
      <c r="N10818" s="417"/>
      <c r="O10818" s="417">
        <v>20.88</v>
      </c>
      <c r="R10818" s="412" t="s">
        <v>2465</v>
      </c>
      <c r="T10818" s="261">
        <v>0.48737706566514877</v>
      </c>
    </row>
    <row r="10819" spans="1:20" hidden="1" outlineLevel="1" x14ac:dyDescent="0.25">
      <c r="A10819" s="1002">
        <v>0.02</v>
      </c>
      <c r="B10819" s="987" t="s">
        <v>2983</v>
      </c>
      <c r="C10819" s="1008">
        <v>619</v>
      </c>
      <c r="D10819" s="708">
        <v>878</v>
      </c>
      <c r="E10819" s="709">
        <v>0.41841680129240721</v>
      </c>
      <c r="F10819" s="946">
        <v>8.3683360258481453E-3</v>
      </c>
      <c r="H10819" s="417" t="s">
        <v>1713</v>
      </c>
      <c r="I10819" s="417"/>
      <c r="J10819" s="417" t="s">
        <v>2983</v>
      </c>
      <c r="K10819" s="417">
        <v>6.1550000000000002</v>
      </c>
      <c r="L10819" s="417">
        <v>6.14</v>
      </c>
      <c r="M10819" s="417">
        <v>6.2750000000000004</v>
      </c>
      <c r="N10819" s="417"/>
      <c r="O10819" s="417">
        <v>6.19</v>
      </c>
      <c r="R10819" s="412" t="s">
        <v>5221</v>
      </c>
      <c r="T10819" s="422">
        <v>0.24368853283257438</v>
      </c>
    </row>
    <row r="10820" spans="1:20" hidden="1" outlineLevel="1" x14ac:dyDescent="0.25">
      <c r="A10820" s="1002">
        <v>0.02</v>
      </c>
      <c r="B10820" s="711" t="s">
        <v>255</v>
      </c>
      <c r="C10820" s="1008">
        <v>39.316699999999997</v>
      </c>
      <c r="D10820" s="708">
        <v>43.56</v>
      </c>
      <c r="E10820" s="709">
        <v>0.10792614843056536</v>
      </c>
      <c r="F10820" s="946">
        <v>2.1585229686113074E-3</v>
      </c>
      <c r="H10820" s="417" t="s">
        <v>3351</v>
      </c>
      <c r="I10820" s="417"/>
      <c r="J10820" s="417" t="s">
        <v>255</v>
      </c>
      <c r="K10820" s="417">
        <v>38.869999999999997</v>
      </c>
      <c r="L10820" s="417">
        <v>38.520000000000003</v>
      </c>
      <c r="M10820" s="417">
        <v>40.56</v>
      </c>
      <c r="N10820" s="417"/>
      <c r="O10820" s="417">
        <v>39.316699999999997</v>
      </c>
    </row>
    <row r="10821" spans="1:20" hidden="1" outlineLevel="1" x14ac:dyDescent="0.25">
      <c r="A10821" s="1002">
        <v>0.02</v>
      </c>
      <c r="B10821" s="712" t="s">
        <v>579</v>
      </c>
      <c r="C10821" s="1008">
        <v>172.85</v>
      </c>
      <c r="D10821" s="708">
        <v>218.8</v>
      </c>
      <c r="E10821" s="709">
        <v>0.2658374312988141</v>
      </c>
      <c r="F10821" s="946">
        <v>5.3167486259762817E-3</v>
      </c>
      <c r="H10821" s="417" t="s">
        <v>3611</v>
      </c>
      <c r="I10821" s="417"/>
      <c r="J10821" s="417" t="s">
        <v>579</v>
      </c>
      <c r="K10821" s="417">
        <v>1.7</v>
      </c>
      <c r="L10821" s="417">
        <v>1.7565</v>
      </c>
      <c r="M10821" s="417">
        <v>1.7290000000000001</v>
      </c>
      <c r="N10821" s="417"/>
      <c r="O10821" s="417">
        <v>1.7284999999999999</v>
      </c>
    </row>
    <row r="10822" spans="1:20" hidden="1" outlineLevel="1" x14ac:dyDescent="0.25">
      <c r="A10822" s="1004">
        <v>0.02</v>
      </c>
      <c r="B10822" s="1338" t="s">
        <v>2874</v>
      </c>
      <c r="C10822" s="1009">
        <v>26.6633</v>
      </c>
      <c r="D10822" s="1199">
        <v>45.92</v>
      </c>
      <c r="E10822" s="716">
        <v>0.72221742995053129</v>
      </c>
      <c r="F10822" s="1023">
        <v>1.4444348599010627E-2</v>
      </c>
      <c r="H10822" s="417" t="s">
        <v>5175</v>
      </c>
      <c r="I10822" s="417"/>
      <c r="J10822" s="417" t="s">
        <v>2874</v>
      </c>
      <c r="K10822" s="417">
        <v>26.35</v>
      </c>
      <c r="L10822" s="417">
        <v>26.58</v>
      </c>
      <c r="M10822" s="417">
        <v>27.06</v>
      </c>
      <c r="N10822" s="417"/>
      <c r="O10822" s="417">
        <v>26.6633</v>
      </c>
    </row>
    <row r="10823" spans="1:20" hidden="1" outlineLevel="1" x14ac:dyDescent="0.25">
      <c r="A10823" s="1002"/>
      <c r="B10823" s="1898"/>
      <c r="C10823" s="1084"/>
      <c r="D10823" s="798"/>
      <c r="E10823" s="709" t="s">
        <v>4577</v>
      </c>
      <c r="F10823" s="1666">
        <v>0.4917078711220948</v>
      </c>
      <c r="H10823" s="432"/>
      <c r="I10823" s="370"/>
      <c r="J10823" s="370"/>
      <c r="K10823" s="370"/>
      <c r="L10823" s="370"/>
      <c r="M10823" s="370"/>
      <c r="N10823" s="370"/>
      <c r="O10823" s="370"/>
    </row>
    <row r="10824" spans="1:20" collapsed="1" x14ac:dyDescent="0.25">
      <c r="A10824" s="3801" t="s">
        <v>5306</v>
      </c>
      <c r="B10824" s="3802"/>
      <c r="C10824" s="3802"/>
      <c r="D10824" s="3896"/>
      <c r="E10824" s="1905"/>
      <c r="F10824" s="1893">
        <v>0.24368853283257438</v>
      </c>
    </row>
    <row r="10826" spans="1:20" hidden="1" outlineLevel="1" x14ac:dyDescent="0.25">
      <c r="A10826" s="2489" t="s">
        <v>113</v>
      </c>
      <c r="B10826" s="2489" t="s">
        <v>114</v>
      </c>
      <c r="C10826" s="2489" t="s">
        <v>112</v>
      </c>
      <c r="D10826" s="2489" t="s">
        <v>116</v>
      </c>
      <c r="E10826" s="2489" t="s">
        <v>117</v>
      </c>
      <c r="F10826" s="2476" t="s">
        <v>121</v>
      </c>
      <c r="G10826" s="78"/>
    </row>
    <row r="10827" spans="1:20" hidden="1" outlineLevel="1" x14ac:dyDescent="0.25">
      <c r="A10827" s="2509">
        <v>5</v>
      </c>
      <c r="B10827" s="2509"/>
      <c r="C10827" s="2498"/>
      <c r="D10827" s="1900" t="s">
        <v>3702</v>
      </c>
      <c r="E10827" s="2510">
        <v>43039</v>
      </c>
      <c r="F10827" s="2539"/>
      <c r="G10827" s="78"/>
    </row>
    <row r="10828" spans="1:20" hidden="1" outlineLevel="1" x14ac:dyDescent="0.25">
      <c r="A10828" s="2489" t="s">
        <v>4156</v>
      </c>
      <c r="B10828" s="2489" t="s">
        <v>4153</v>
      </c>
      <c r="C10828" s="2541" t="s">
        <v>112</v>
      </c>
      <c r="D10828" s="2489" t="s">
        <v>4155</v>
      </c>
      <c r="E10828" s="2489" t="s">
        <v>4154</v>
      </c>
      <c r="F10828" s="2476" t="s">
        <v>734</v>
      </c>
      <c r="G10828" s="78"/>
    </row>
    <row r="10829" spans="1:20" hidden="1" outlineLevel="1" x14ac:dyDescent="0.25">
      <c r="A10829" s="1920">
        <v>0.02</v>
      </c>
      <c r="B10829" s="1813" t="s">
        <v>1993</v>
      </c>
      <c r="C10829" s="1902">
        <v>31.742000000000001</v>
      </c>
      <c r="D10829" s="2452">
        <v>64.22</v>
      </c>
      <c r="E10829" s="2525">
        <v>1.0231869447419824</v>
      </c>
      <c r="F10829" s="2451">
        <v>0.06</v>
      </c>
      <c r="G10829" s="78"/>
      <c r="H10829" t="s">
        <v>2812</v>
      </c>
    </row>
    <row r="10830" spans="1:20" hidden="1" outlineLevel="1" x14ac:dyDescent="0.25">
      <c r="A10830" s="1920">
        <v>7.0000000000000007E-2</v>
      </c>
      <c r="B10830" s="1813" t="s">
        <v>2942</v>
      </c>
      <c r="C10830" s="1902">
        <v>638</v>
      </c>
      <c r="D10830" s="2452">
        <v>1508.5</v>
      </c>
      <c r="E10830" s="2525">
        <v>1.3644200626959249</v>
      </c>
      <c r="F10830" s="2451">
        <v>0.06</v>
      </c>
      <c r="G10830" s="78"/>
      <c r="H10830" t="s">
        <v>2336</v>
      </c>
    </row>
    <row r="10831" spans="1:20" hidden="1" outlineLevel="1" x14ac:dyDescent="0.25">
      <c r="A10831" s="1920">
        <v>0.03</v>
      </c>
      <c r="B10831" s="1813" t="s">
        <v>1903</v>
      </c>
      <c r="C10831" s="1902">
        <v>2677.4</v>
      </c>
      <c r="D10831" s="2452">
        <v>5032</v>
      </c>
      <c r="E10831" s="2525">
        <v>0.87943527302606994</v>
      </c>
      <c r="F10831" s="2451">
        <v>0.06</v>
      </c>
      <c r="G10831" s="78"/>
      <c r="H10831" t="s">
        <v>3883</v>
      </c>
    </row>
    <row r="10832" spans="1:20" hidden="1" outlineLevel="1" x14ac:dyDescent="0.25">
      <c r="A10832" s="1920">
        <v>7.0000000000000007E-2</v>
      </c>
      <c r="B10832" s="1926" t="s">
        <v>3998</v>
      </c>
      <c r="C10832" s="1902">
        <v>33.281999999999996</v>
      </c>
      <c r="D10832" s="2452">
        <v>33.65</v>
      </c>
      <c r="E10832" s="2525">
        <v>1.1057027822847232E-2</v>
      </c>
      <c r="F10832" s="2451">
        <v>0.06</v>
      </c>
      <c r="G10832" s="78"/>
      <c r="H10832" t="s">
        <v>4000</v>
      </c>
    </row>
    <row r="10833" spans="1:8" hidden="1" outlineLevel="1" x14ac:dyDescent="0.25">
      <c r="A10833" s="1920">
        <v>0.03</v>
      </c>
      <c r="B10833" s="1926" t="s">
        <v>805</v>
      </c>
      <c r="C10833" s="1902">
        <v>56.14</v>
      </c>
      <c r="D10833" s="2452">
        <v>98.83</v>
      </c>
      <c r="E10833" s="2525">
        <v>0.76042037762736014</v>
      </c>
      <c r="F10833" s="2451">
        <v>0.06</v>
      </c>
      <c r="G10833" s="78"/>
      <c r="H10833" t="s">
        <v>806</v>
      </c>
    </row>
    <row r="10834" spans="1:8" hidden="1" outlineLevel="1" x14ac:dyDescent="0.25">
      <c r="A10834" s="1920">
        <v>0.03</v>
      </c>
      <c r="B10834" s="2335" t="s">
        <v>807</v>
      </c>
      <c r="C10834" s="1902">
        <v>40.537999999999997</v>
      </c>
      <c r="D10834" s="2452">
        <v>59.57</v>
      </c>
      <c r="E10834" s="2525">
        <v>0.46948542108638813</v>
      </c>
      <c r="F10834" s="2451">
        <v>0.06</v>
      </c>
      <c r="G10834" s="78"/>
      <c r="H10834" t="s">
        <v>808</v>
      </c>
    </row>
    <row r="10835" spans="1:8" hidden="1" outlineLevel="1" x14ac:dyDescent="0.25">
      <c r="A10835" s="1920">
        <v>0.02</v>
      </c>
      <c r="B10835" s="1903" t="s">
        <v>4377</v>
      </c>
      <c r="C10835" s="1902">
        <v>33</v>
      </c>
      <c r="D10835" s="2452">
        <v>61.66</v>
      </c>
      <c r="E10835" s="2525">
        <v>0.86848484848484842</v>
      </c>
      <c r="F10835" s="2451">
        <v>0.06</v>
      </c>
      <c r="G10835" s="78"/>
      <c r="H10835" t="s">
        <v>4327</v>
      </c>
    </row>
    <row r="10836" spans="1:8" hidden="1" outlineLevel="1" x14ac:dyDescent="0.25">
      <c r="A10836" s="1920">
        <v>0.02</v>
      </c>
      <c r="B10836" s="2509" t="s">
        <v>3954</v>
      </c>
      <c r="C10836" s="1902">
        <v>72.316000000000003</v>
      </c>
      <c r="D10836" s="2452">
        <v>113.56</v>
      </c>
      <c r="E10836" s="2525">
        <v>0.57033021737927991</v>
      </c>
      <c r="F10836" s="2451">
        <v>0.06</v>
      </c>
      <c r="G10836" s="78"/>
      <c r="H10836" t="s">
        <v>3955</v>
      </c>
    </row>
    <row r="10837" spans="1:8" hidden="1" outlineLevel="1" x14ac:dyDescent="0.25">
      <c r="A10837" s="1920">
        <v>0.05</v>
      </c>
      <c r="B10837" s="2509" t="s">
        <v>1319</v>
      </c>
      <c r="C10837" s="1902">
        <v>59.414000000000001</v>
      </c>
      <c r="D10837" s="2452">
        <v>86.05</v>
      </c>
      <c r="E10837" s="2525">
        <v>0.44831184569293425</v>
      </c>
      <c r="F10837" s="2451">
        <v>0.06</v>
      </c>
      <c r="G10837" s="78"/>
      <c r="H10837" t="s">
        <v>1320</v>
      </c>
    </row>
    <row r="10838" spans="1:8" hidden="1" outlineLevel="1" x14ac:dyDescent="0.25">
      <c r="A10838" s="1920">
        <v>0.02</v>
      </c>
      <c r="B10838" s="2565" t="s">
        <v>1231</v>
      </c>
      <c r="C10838" s="1902">
        <v>65.088000000000008</v>
      </c>
      <c r="D10838" s="2452">
        <v>88.31</v>
      </c>
      <c r="E10838" s="2525">
        <v>0.35677851524090443</v>
      </c>
      <c r="F10838" s="2451">
        <v>0.06</v>
      </c>
      <c r="G10838" s="78"/>
      <c r="H10838" t="s">
        <v>2041</v>
      </c>
    </row>
    <row r="10839" spans="1:8" hidden="1" outlineLevel="1" x14ac:dyDescent="0.25">
      <c r="A10839" s="1920">
        <v>0.02</v>
      </c>
      <c r="B10839" s="2565" t="s">
        <v>5232</v>
      </c>
      <c r="C10839" s="1902">
        <v>64.316000000000003</v>
      </c>
      <c r="D10839" s="2452">
        <v>86.26</v>
      </c>
      <c r="E10839" s="2525">
        <v>0.34119037253560558</v>
      </c>
      <c r="F10839" s="2451">
        <v>0.06</v>
      </c>
      <c r="G10839" s="78"/>
      <c r="H10839" t="s">
        <v>5230</v>
      </c>
    </row>
    <row r="10840" spans="1:8" hidden="1" outlineLevel="1" x14ac:dyDescent="0.25">
      <c r="A10840" s="1920">
        <v>0.02</v>
      </c>
      <c r="B10840" s="1903" t="s">
        <v>3799</v>
      </c>
      <c r="C10840" s="1902">
        <v>1416.7</v>
      </c>
      <c r="D10840" s="2452">
        <v>1357.5</v>
      </c>
      <c r="E10840" s="2525">
        <v>-4.1787252064657388E-2</v>
      </c>
      <c r="F10840" s="2451">
        <v>-4.1787252064657388E-2</v>
      </c>
      <c r="G10840" s="78"/>
      <c r="H10840" t="s">
        <v>4128</v>
      </c>
    </row>
    <row r="10841" spans="1:8" hidden="1" outlineLevel="1" x14ac:dyDescent="0.25">
      <c r="A10841" s="1920">
        <v>0.02</v>
      </c>
      <c r="B10841" s="1928" t="s">
        <v>1381</v>
      </c>
      <c r="C10841" s="1902">
        <v>79.578000000000003</v>
      </c>
      <c r="D10841" s="2452">
        <v>112.51</v>
      </c>
      <c r="E10841" s="2525">
        <v>0.41383296891100563</v>
      </c>
      <c r="F10841" s="2451">
        <v>0.06</v>
      </c>
      <c r="G10841" s="78"/>
      <c r="H10841" t="s">
        <v>1383</v>
      </c>
    </row>
    <row r="10842" spans="1:8" hidden="1" outlineLevel="1" x14ac:dyDescent="0.25">
      <c r="A10842" s="1920">
        <v>0.02</v>
      </c>
      <c r="B10842" s="1813" t="s">
        <v>1905</v>
      </c>
      <c r="C10842" s="1902">
        <v>38.095999999999997</v>
      </c>
      <c r="D10842" s="2452">
        <v>55.09</v>
      </c>
      <c r="E10842" s="2525">
        <v>0.44608357832843359</v>
      </c>
      <c r="F10842" s="2451">
        <v>0.06</v>
      </c>
      <c r="G10842" s="78"/>
      <c r="H10842" t="s">
        <v>504</v>
      </c>
    </row>
    <row r="10843" spans="1:8" hidden="1" outlineLevel="1" x14ac:dyDescent="0.25">
      <c r="A10843" s="1920">
        <v>0.02</v>
      </c>
      <c r="B10843" s="2023" t="s">
        <v>247</v>
      </c>
      <c r="C10843" s="1902">
        <v>1652.8</v>
      </c>
      <c r="D10843" s="2452">
        <v>2648.5</v>
      </c>
      <c r="E10843" s="2525">
        <v>0.60243223620522746</v>
      </c>
      <c r="F10843" s="2451">
        <v>0.06</v>
      </c>
      <c r="G10843" s="78"/>
      <c r="H10843" t="s">
        <v>3640</v>
      </c>
    </row>
    <row r="10844" spans="1:8" hidden="1" outlineLevel="1" x14ac:dyDescent="0.25">
      <c r="A10844" s="1920">
        <v>0.02</v>
      </c>
      <c r="B10844" s="1903" t="s">
        <v>2786</v>
      </c>
      <c r="C10844" s="1902">
        <v>673.4</v>
      </c>
      <c r="D10844" s="2452">
        <v>906</v>
      </c>
      <c r="E10844" s="2525">
        <v>0.34541134541134544</v>
      </c>
      <c r="F10844" s="2451">
        <v>0.06</v>
      </c>
      <c r="G10844" s="78"/>
      <c r="H10844" t="s">
        <v>4195</v>
      </c>
    </row>
    <row r="10845" spans="1:8" hidden="1" outlineLevel="1" x14ac:dyDescent="0.25">
      <c r="A10845" s="1920">
        <v>7.0000000000000007E-2</v>
      </c>
      <c r="B10845" s="1813" t="s">
        <v>2787</v>
      </c>
      <c r="C10845" s="1902">
        <v>49.38</v>
      </c>
      <c r="D10845" s="2452">
        <v>82.2</v>
      </c>
      <c r="E10845" s="2525">
        <v>0.6646415552855407</v>
      </c>
      <c r="F10845" s="2451">
        <v>0.06</v>
      </c>
      <c r="G10845" s="78"/>
      <c r="H10845" t="s">
        <v>8874</v>
      </c>
    </row>
    <row r="10846" spans="1:8" hidden="1" outlineLevel="1" x14ac:dyDescent="0.25">
      <c r="A10846" s="1920">
        <v>0.03</v>
      </c>
      <c r="B10846" s="1813" t="s">
        <v>4273</v>
      </c>
      <c r="C10846" s="1902">
        <v>1302.8</v>
      </c>
      <c r="D10846" s="2452">
        <v>2741</v>
      </c>
      <c r="E10846" s="2525">
        <v>1.1039299969296898</v>
      </c>
      <c r="F10846" s="2451">
        <v>0.06</v>
      </c>
      <c r="G10846" s="78"/>
      <c r="H10846" t="s">
        <v>82</v>
      </c>
    </row>
    <row r="10847" spans="1:8" hidden="1" outlineLevel="1" x14ac:dyDescent="0.25">
      <c r="A10847" s="1920">
        <v>0.02</v>
      </c>
      <c r="B10847" s="1928" t="s">
        <v>901</v>
      </c>
      <c r="C10847" s="1902">
        <v>16.715699999999998</v>
      </c>
      <c r="D10847" s="2452">
        <v>48.71</v>
      </c>
      <c r="E10847" s="2525">
        <v>1.9140269327638091</v>
      </c>
      <c r="F10847" s="2451">
        <v>0.06</v>
      </c>
      <c r="G10847" s="78"/>
      <c r="H10847" t="s">
        <v>531</v>
      </c>
    </row>
    <row r="10848" spans="1:8" hidden="1" outlineLevel="1" x14ac:dyDescent="0.25">
      <c r="A10848" s="1920">
        <v>7.0000000000000007E-2</v>
      </c>
      <c r="B10848" s="1903" t="s">
        <v>3800</v>
      </c>
      <c r="C10848" s="1902">
        <v>156.02000000000001</v>
      </c>
      <c r="D10848" s="2452">
        <v>230.5</v>
      </c>
      <c r="E10848" s="2525">
        <v>0.4773746955518523</v>
      </c>
      <c r="F10848" s="2451">
        <v>0.06</v>
      </c>
      <c r="G10848" s="78"/>
      <c r="H10848" t="s">
        <v>8876</v>
      </c>
    </row>
    <row r="10849" spans="1:8" hidden="1" outlineLevel="1" x14ac:dyDescent="0.25">
      <c r="A10849" s="1920">
        <v>0.03</v>
      </c>
      <c r="B10849" s="2509" t="s">
        <v>4460</v>
      </c>
      <c r="C10849" s="1902">
        <v>1676</v>
      </c>
      <c r="D10849" s="2452">
        <v>2111</v>
      </c>
      <c r="E10849" s="2525">
        <v>0.25954653937947492</v>
      </c>
      <c r="F10849" s="2451">
        <v>0.06</v>
      </c>
      <c r="G10849" s="78"/>
      <c r="H10849" t="s">
        <v>3485</v>
      </c>
    </row>
    <row r="10850" spans="1:8" hidden="1" outlineLevel="1" x14ac:dyDescent="0.25">
      <c r="A10850" s="1920">
        <v>0.05</v>
      </c>
      <c r="B10850" s="1928" t="s">
        <v>1857</v>
      </c>
      <c r="C10850" s="1902">
        <v>1329</v>
      </c>
      <c r="D10850" s="2452">
        <v>1382</v>
      </c>
      <c r="E10850" s="2525">
        <v>3.9879608728367266E-2</v>
      </c>
      <c r="F10850" s="2451">
        <v>0.06</v>
      </c>
      <c r="G10850" s="78"/>
      <c r="H10850" t="s">
        <v>3559</v>
      </c>
    </row>
    <row r="10851" spans="1:8" hidden="1" outlineLevel="1" x14ac:dyDescent="0.25">
      <c r="A10851" s="1920">
        <v>7.0000000000000007E-2</v>
      </c>
      <c r="B10851" s="1928" t="s">
        <v>1239</v>
      </c>
      <c r="C10851" s="1902">
        <v>359.18</v>
      </c>
      <c r="D10851" s="2452">
        <v>504</v>
      </c>
      <c r="E10851" s="2525">
        <v>0.40319616905172895</v>
      </c>
      <c r="F10851" s="2451">
        <v>0.06</v>
      </c>
      <c r="G10851" s="78"/>
      <c r="H10851" t="s">
        <v>8891</v>
      </c>
    </row>
    <row r="10852" spans="1:8" hidden="1" outlineLevel="1" x14ac:dyDescent="0.25">
      <c r="A10852" s="1920">
        <v>0.02</v>
      </c>
      <c r="B10852" s="1813" t="s">
        <v>3022</v>
      </c>
      <c r="C10852" s="1902">
        <v>3371</v>
      </c>
      <c r="D10852" s="2452">
        <v>6395</v>
      </c>
      <c r="E10852" s="2525">
        <v>0.8970631859982201</v>
      </c>
      <c r="F10852" s="2451">
        <v>0.06</v>
      </c>
      <c r="G10852" s="78"/>
      <c r="H10852" t="s">
        <v>2802</v>
      </c>
    </row>
    <row r="10853" spans="1:8" hidden="1" outlineLevel="1" x14ac:dyDescent="0.25">
      <c r="A10853" s="1920">
        <v>0.05</v>
      </c>
      <c r="B10853" s="1928" t="s">
        <v>434</v>
      </c>
      <c r="C10853" s="1902">
        <v>45.804000000000002</v>
      </c>
      <c r="D10853" s="2452">
        <v>38.75</v>
      </c>
      <c r="E10853" s="2525">
        <v>-0.1540040171164091</v>
      </c>
      <c r="F10853" s="2451">
        <v>-0.1540040171164091</v>
      </c>
      <c r="G10853" s="78"/>
      <c r="H10853" t="s">
        <v>7745</v>
      </c>
    </row>
    <row r="10854" spans="1:8" hidden="1" outlineLevel="1" x14ac:dyDescent="0.25">
      <c r="A10854" s="1920">
        <v>0.03</v>
      </c>
      <c r="B10854" s="2544" t="s">
        <v>106</v>
      </c>
      <c r="C10854" s="1902">
        <v>2077.1999999999998</v>
      </c>
      <c r="D10854" s="2452">
        <v>4269.5</v>
      </c>
      <c r="E10854" s="2525">
        <v>1.0554111303678031</v>
      </c>
      <c r="F10854" s="2451">
        <v>0.06</v>
      </c>
      <c r="G10854" s="78"/>
      <c r="H10854" t="s">
        <v>107</v>
      </c>
    </row>
    <row r="10855" spans="1:8" hidden="1" outlineLevel="1" x14ac:dyDescent="0.25">
      <c r="A10855" s="1920">
        <v>0.02</v>
      </c>
      <c r="B10855" s="2544" t="s">
        <v>2983</v>
      </c>
      <c r="C10855" s="1902">
        <v>635.6</v>
      </c>
      <c r="D10855" s="2452">
        <v>833</v>
      </c>
      <c r="E10855" s="2525">
        <v>0.31057268722466946</v>
      </c>
      <c r="F10855" s="2451">
        <v>0.06</v>
      </c>
      <c r="G10855" s="78"/>
      <c r="H10855" t="s">
        <v>1713</v>
      </c>
    </row>
    <row r="10856" spans="1:8" hidden="1" outlineLevel="1" x14ac:dyDescent="0.25">
      <c r="A10856" s="1920">
        <v>0.02</v>
      </c>
      <c r="B10856" s="1903" t="s">
        <v>255</v>
      </c>
      <c r="C10856" s="1902">
        <v>40.78</v>
      </c>
      <c r="D10856" s="2452">
        <v>47.87</v>
      </c>
      <c r="E10856" s="2525">
        <v>0.17385973516429609</v>
      </c>
      <c r="F10856" s="2451">
        <v>0.06</v>
      </c>
      <c r="G10856" s="78"/>
      <c r="H10856" t="s">
        <v>3351</v>
      </c>
    </row>
    <row r="10857" spans="1:8" hidden="1" outlineLevel="1" x14ac:dyDescent="0.25">
      <c r="A10857" s="1920">
        <v>0.02</v>
      </c>
      <c r="B10857" s="2544" t="s">
        <v>579</v>
      </c>
      <c r="C10857" s="1902">
        <v>170.88</v>
      </c>
      <c r="D10857" s="2452">
        <v>215.6</v>
      </c>
      <c r="E10857" s="2525">
        <v>0.26170411985018727</v>
      </c>
      <c r="F10857" s="2451">
        <v>0.06</v>
      </c>
      <c r="G10857" s="78"/>
      <c r="H10857" t="s">
        <v>3611</v>
      </c>
    </row>
    <row r="10858" spans="1:8" hidden="1" outlineLevel="1" x14ac:dyDescent="0.25">
      <c r="A10858" s="1920">
        <v>0.02</v>
      </c>
      <c r="B10858" s="1930" t="s">
        <v>2874</v>
      </c>
      <c r="C10858" s="1902">
        <v>27.367999999999999</v>
      </c>
      <c r="D10858" s="2452">
        <v>49.52</v>
      </c>
      <c r="E10858" s="2525">
        <v>0.80941245249926941</v>
      </c>
      <c r="F10858" s="2451">
        <v>0.06</v>
      </c>
      <c r="G10858" s="78"/>
      <c r="H10858" t="s">
        <v>5175</v>
      </c>
    </row>
    <row r="10859" spans="1:8" hidden="1" outlineLevel="1" x14ac:dyDescent="0.25">
      <c r="A10859" s="1897" t="s">
        <v>2465</v>
      </c>
      <c r="B10859" s="1931"/>
      <c r="C10859" s="1932"/>
      <c r="D10859" s="2338"/>
      <c r="E10859" s="2339">
        <v>0.54285615751978933</v>
      </c>
      <c r="F10859" s="2545">
        <v>4.7264054102886408E-2</v>
      </c>
      <c r="G10859" s="78"/>
    </row>
    <row r="10860" spans="1:8" hidden="1" outlineLevel="1" x14ac:dyDescent="0.25">
      <c r="A10860" s="2504"/>
      <c r="B10860" s="2505"/>
      <c r="C10860" s="2505"/>
      <c r="D10860" s="2505"/>
      <c r="E10860" s="2505"/>
      <c r="F10860" s="2542"/>
      <c r="G10860" s="78"/>
    </row>
    <row r="10861" spans="1:8" hidden="1" outlineLevel="1" x14ac:dyDescent="0.25">
      <c r="A10861" s="2156" t="s">
        <v>113</v>
      </c>
      <c r="B10861" s="2156"/>
      <c r="C10861" s="1813"/>
      <c r="D10861" s="1813"/>
      <c r="E10861" s="1813"/>
      <c r="F10861" s="2476"/>
      <c r="G10861" s="78"/>
    </row>
    <row r="10862" spans="1:8" hidden="1" outlineLevel="1" x14ac:dyDescent="0.25">
      <c r="A10862" s="1810" t="s">
        <v>5311</v>
      </c>
      <c r="B10862" s="2504"/>
      <c r="C10862" s="2505"/>
      <c r="D10862" s="2505"/>
      <c r="E10862" s="1813"/>
      <c r="F10862" s="2545">
        <v>2.5000000000000001E-2</v>
      </c>
      <c r="G10862" s="78"/>
    </row>
    <row r="10863" spans="1:8" hidden="1" outlineLevel="1" x14ac:dyDescent="0.25">
      <c r="A10863" s="1810" t="s">
        <v>5312</v>
      </c>
      <c r="B10863" s="2335"/>
      <c r="C10863" s="2509"/>
      <c r="D10863" s="2509"/>
      <c r="E10863" s="1813"/>
      <c r="F10863" s="2545">
        <v>5.5300000000000002E-2</v>
      </c>
      <c r="G10863" s="78"/>
    </row>
    <row r="10864" spans="1:8" hidden="1" outlineLevel="1" x14ac:dyDescent="0.25">
      <c r="A10864" s="1810" t="s">
        <v>5313</v>
      </c>
      <c r="B10864" s="2335"/>
      <c r="C10864" s="2509"/>
      <c r="D10864" s="2509"/>
      <c r="E10864" s="1813"/>
      <c r="F10864" s="2545">
        <v>0.06</v>
      </c>
      <c r="G10864" s="78"/>
    </row>
    <row r="10865" spans="1:7" hidden="1" outlineLevel="1" x14ac:dyDescent="0.25">
      <c r="A10865" s="1810" t="s">
        <v>5314</v>
      </c>
      <c r="B10865" s="2335"/>
      <c r="C10865" s="2509"/>
      <c r="D10865" s="2509"/>
      <c r="E10865" s="1813"/>
      <c r="F10865" s="2545">
        <v>4.7899999999999998E-2</v>
      </c>
      <c r="G10865" s="78"/>
    </row>
    <row r="10866" spans="1:7" hidden="1" outlineLevel="1" x14ac:dyDescent="0.25">
      <c r="A10866" s="1810" t="s">
        <v>5315</v>
      </c>
      <c r="B10866" s="1813"/>
      <c r="C10866" s="1813"/>
      <c r="D10866" s="1813"/>
      <c r="E10866" s="1813"/>
      <c r="F10866" s="2545">
        <v>4.2799999999999998E-2</v>
      </c>
      <c r="G10866" s="78"/>
    </row>
    <row r="10867" spans="1:7" collapsed="1" x14ac:dyDescent="0.25">
      <c r="A10867" s="3803" t="s">
        <v>5310</v>
      </c>
      <c r="B10867" s="3804"/>
      <c r="C10867" s="3804"/>
      <c r="D10867" s="1905"/>
      <c r="E10867" s="1905"/>
      <c r="F10867" s="2459">
        <v>0.23100000000000001</v>
      </c>
      <c r="G10867" s="78"/>
    </row>
    <row r="10869" spans="1:7" hidden="1" outlineLevel="1" x14ac:dyDescent="0.25">
      <c r="A10869" s="2489" t="s">
        <v>113</v>
      </c>
      <c r="B10869" s="2489"/>
      <c r="C10869" s="2489" t="s">
        <v>112</v>
      </c>
      <c r="D10869" s="2489" t="s">
        <v>4154</v>
      </c>
      <c r="E10869" s="1813" t="s">
        <v>5604</v>
      </c>
      <c r="F10869" s="2476" t="s">
        <v>121</v>
      </c>
    </row>
    <row r="10870" spans="1:7" hidden="1" outlineLevel="1" x14ac:dyDescent="0.25">
      <c r="A10870" s="1956" t="s">
        <v>5325</v>
      </c>
      <c r="B10870" s="1813" t="s">
        <v>5320</v>
      </c>
      <c r="C10870" s="2566">
        <v>1.3899999999999999E-2</v>
      </c>
      <c r="D10870" s="1980"/>
      <c r="E10870" s="2532" t="s">
        <v>5590</v>
      </c>
      <c r="F10870" s="2535">
        <v>2.5000000000000001E-2</v>
      </c>
    </row>
    <row r="10871" spans="1:7" hidden="1" outlineLevel="1" x14ac:dyDescent="0.25">
      <c r="A10871" s="1956" t="s">
        <v>5326</v>
      </c>
      <c r="B10871" s="1813" t="s">
        <v>5321</v>
      </c>
      <c r="C10871" s="2566">
        <v>7.28E-3</v>
      </c>
      <c r="D10871" s="1980"/>
      <c r="E10871" s="2533" t="s">
        <v>5590</v>
      </c>
      <c r="F10871" s="2535">
        <v>2.5000000000000001E-2</v>
      </c>
    </row>
    <row r="10872" spans="1:7" hidden="1" outlineLevel="1" x14ac:dyDescent="0.25">
      <c r="A10872" s="1956" t="s">
        <v>5327</v>
      </c>
      <c r="B10872" s="1813" t="s">
        <v>5322</v>
      </c>
      <c r="C10872" s="2566">
        <v>8.3999999999999995E-3</v>
      </c>
      <c r="D10872" s="1980"/>
      <c r="E10872" s="2533" t="s">
        <v>5590</v>
      </c>
      <c r="F10872" s="2535">
        <v>2.5000000000000001E-2</v>
      </c>
    </row>
    <row r="10873" spans="1:7" hidden="1" outlineLevel="1" x14ac:dyDescent="0.25">
      <c r="A10873" s="1956" t="s">
        <v>5328</v>
      </c>
      <c r="B10873" s="1813" t="s">
        <v>5323</v>
      </c>
      <c r="C10873" s="2566">
        <v>5.1000000000000004E-3</v>
      </c>
      <c r="D10873" s="1980"/>
      <c r="E10873" s="2533" t="s">
        <v>5590</v>
      </c>
      <c r="F10873" s="2535">
        <v>2.5000000000000001E-2</v>
      </c>
    </row>
    <row r="10874" spans="1:7" hidden="1" outlineLevel="1" x14ac:dyDescent="0.25">
      <c r="A10874" s="1956" t="s">
        <v>5329</v>
      </c>
      <c r="B10874" s="1813" t="s">
        <v>5324</v>
      </c>
      <c r="C10874" s="2566">
        <v>4.4000000000000003E-3</v>
      </c>
      <c r="D10874" s="2567"/>
      <c r="E10874" s="2534" t="s">
        <v>5590</v>
      </c>
      <c r="F10874" s="2535">
        <v>2.5000000000000001E-2</v>
      </c>
    </row>
    <row r="10875" spans="1:7" hidden="1" outlineLevel="1" x14ac:dyDescent="0.25">
      <c r="A10875" s="2504"/>
      <c r="B10875" s="2509"/>
      <c r="C10875" s="2566"/>
      <c r="D10875" s="2568">
        <v>4.4000000000000003E-3</v>
      </c>
      <c r="E10875" s="2538"/>
      <c r="F10875" s="2535"/>
    </row>
    <row r="10876" spans="1:7" collapsed="1" x14ac:dyDescent="0.25">
      <c r="A10876" s="3801" t="s">
        <v>5318</v>
      </c>
      <c r="B10876" s="3802"/>
      <c r="C10876" s="3802"/>
      <c r="D10876" s="3896"/>
      <c r="E10876" s="2503"/>
      <c r="F10876" s="1908">
        <v>0.125</v>
      </c>
    </row>
    <row r="10877" spans="1:7" x14ac:dyDescent="0.25">
      <c r="A10877" s="1910"/>
      <c r="B10877" s="1910"/>
      <c r="C10877" s="1910"/>
      <c r="D10877" s="1910"/>
      <c r="E10877" s="1910"/>
      <c r="F10877" s="1911"/>
    </row>
    <row r="10878" spans="1:7" hidden="1" outlineLevel="1" x14ac:dyDescent="0.25">
      <c r="A10878" s="2569" t="s">
        <v>113</v>
      </c>
      <c r="B10878" s="2569"/>
      <c r="C10878" s="2569" t="s">
        <v>112</v>
      </c>
      <c r="D10878" s="2569" t="s">
        <v>4154</v>
      </c>
      <c r="E10878" s="2569"/>
      <c r="F10878" s="2379" t="s">
        <v>121</v>
      </c>
    </row>
    <row r="10879" spans="1:7" hidden="1" outlineLevel="1" x14ac:dyDescent="0.25">
      <c r="A10879" s="1956" t="s">
        <v>5330</v>
      </c>
      <c r="B10879" s="1813" t="s">
        <v>5320</v>
      </c>
      <c r="C10879" s="2566">
        <v>1.2330000000000001E-2</v>
      </c>
      <c r="D10879" s="2570"/>
      <c r="E10879" s="2571"/>
      <c r="F10879" s="2535">
        <f>IF(C10879="","",IF(C10879&lt;2.3%,2.3%,IF(C10879&gt;6%,6%,C10879)))</f>
        <v>2.3E-2</v>
      </c>
    </row>
    <row r="10880" spans="1:7" hidden="1" outlineLevel="1" x14ac:dyDescent="0.25">
      <c r="A10880" s="1956" t="s">
        <v>5331</v>
      </c>
      <c r="B10880" s="1813" t="s">
        <v>5321</v>
      </c>
      <c r="C10880" s="2566">
        <v>7.3000000000000001E-3</v>
      </c>
      <c r="D10880" s="2572"/>
      <c r="E10880" s="2573"/>
      <c r="F10880" s="2535">
        <f>IF(C10880="","",IF(C10880&lt;2.3%,2.3%,IF(C10880&gt;6%,6%,C10880)))</f>
        <v>2.3E-2</v>
      </c>
    </row>
    <row r="10881" spans="1:8" hidden="1" outlineLevel="1" x14ac:dyDescent="0.25">
      <c r="A10881" s="1956" t="s">
        <v>5332</v>
      </c>
      <c r="B10881" s="1813" t="s">
        <v>5322</v>
      </c>
      <c r="C10881" s="2566"/>
      <c r="D10881" s="2574"/>
      <c r="E10881" s="2573"/>
      <c r="F10881" s="2535">
        <v>2.3E-2</v>
      </c>
    </row>
    <row r="10882" spans="1:8" hidden="1" outlineLevel="1" x14ac:dyDescent="0.25">
      <c r="A10882" s="1813"/>
      <c r="B10882" s="2509"/>
      <c r="C10882" s="2566"/>
      <c r="D10882" s="2568"/>
      <c r="E10882" s="2537"/>
      <c r="F10882" s="2535"/>
    </row>
    <row r="10883" spans="1:8" collapsed="1" x14ac:dyDescent="0.25">
      <c r="A10883" s="3801" t="s">
        <v>5319</v>
      </c>
      <c r="B10883" s="3802"/>
      <c r="C10883" s="3802"/>
      <c r="D10883" s="3802"/>
      <c r="E10883" s="2503"/>
      <c r="F10883" s="1890">
        <v>6.9000000000000006E-2</v>
      </c>
    </row>
    <row r="10885" spans="1:8" hidden="1" outlineLevel="1" x14ac:dyDescent="0.25">
      <c r="A10885" s="2489" t="s">
        <v>113</v>
      </c>
      <c r="B10885" s="2489" t="s">
        <v>114</v>
      </c>
      <c r="C10885" s="2489" t="s">
        <v>112</v>
      </c>
      <c r="D10885" s="2489" t="s">
        <v>116</v>
      </c>
      <c r="E10885" s="2489" t="s">
        <v>117</v>
      </c>
      <c r="F10885" s="2476" t="s">
        <v>121</v>
      </c>
      <c r="G10885" s="78"/>
    </row>
    <row r="10886" spans="1:8" hidden="1" outlineLevel="1" x14ac:dyDescent="0.25">
      <c r="A10886" s="2509">
        <v>5</v>
      </c>
      <c r="B10886" s="2509"/>
      <c r="C10886" s="2498"/>
      <c r="D10886" s="1900" t="s">
        <v>3702</v>
      </c>
      <c r="E10886" s="2510">
        <v>43039</v>
      </c>
      <c r="F10886" s="2539"/>
      <c r="G10886" s="78"/>
    </row>
    <row r="10887" spans="1:8" hidden="1" outlineLevel="1" x14ac:dyDescent="0.25">
      <c r="A10887" s="2489" t="s">
        <v>4156</v>
      </c>
      <c r="B10887" s="2489" t="s">
        <v>4153</v>
      </c>
      <c r="C10887" s="2541" t="s">
        <v>112</v>
      </c>
      <c r="D10887" s="2489" t="s">
        <v>4155</v>
      </c>
      <c r="E10887" s="2489" t="s">
        <v>4154</v>
      </c>
      <c r="F10887" s="2476" t="s">
        <v>734</v>
      </c>
      <c r="G10887" s="78"/>
    </row>
    <row r="10888" spans="1:8" hidden="1" outlineLevel="1" x14ac:dyDescent="0.25">
      <c r="A10888" s="1920">
        <v>0.02</v>
      </c>
      <c r="B10888" s="1813" t="s">
        <v>1993</v>
      </c>
      <c r="C10888" s="1902">
        <v>35.33</v>
      </c>
      <c r="D10888" s="2452">
        <v>64.22</v>
      </c>
      <c r="E10888" s="2525">
        <v>0.8177186527030853</v>
      </c>
      <c r="F10888" s="2451">
        <v>0.06</v>
      </c>
      <c r="G10888" s="78"/>
      <c r="H10888" t="s">
        <v>2812</v>
      </c>
    </row>
    <row r="10889" spans="1:8" hidden="1" outlineLevel="1" x14ac:dyDescent="0.25">
      <c r="A10889" s="1920">
        <v>7.0000000000000007E-2</v>
      </c>
      <c r="B10889" s="1813" t="s">
        <v>2942</v>
      </c>
      <c r="C10889" s="1902">
        <v>715.6</v>
      </c>
      <c r="D10889" s="2452">
        <v>1508.5</v>
      </c>
      <c r="E10889" s="2525">
        <v>1.1080212409167132</v>
      </c>
      <c r="F10889" s="2451">
        <v>0.06</v>
      </c>
      <c r="G10889" s="78"/>
      <c r="H10889" t="s">
        <v>2336</v>
      </c>
    </row>
    <row r="10890" spans="1:8" hidden="1" outlineLevel="1" x14ac:dyDescent="0.25">
      <c r="A10890" s="1920">
        <v>0.03</v>
      </c>
      <c r="B10890" s="1813" t="s">
        <v>1903</v>
      </c>
      <c r="C10890" s="1902">
        <v>2920.9</v>
      </c>
      <c r="D10890" s="2452">
        <v>5032</v>
      </c>
      <c r="E10890" s="2525">
        <v>0.72275668458351872</v>
      </c>
      <c r="F10890" s="2451">
        <v>0.06</v>
      </c>
      <c r="G10890" s="78"/>
      <c r="H10890" t="s">
        <v>3883</v>
      </c>
    </row>
    <row r="10891" spans="1:8" hidden="1" outlineLevel="1" x14ac:dyDescent="0.25">
      <c r="A10891" s="1920">
        <v>7.0000000000000007E-2</v>
      </c>
      <c r="B10891" s="1926" t="s">
        <v>3998</v>
      </c>
      <c r="C10891" s="1902">
        <v>35.292000000000002</v>
      </c>
      <c r="D10891" s="2452">
        <v>33.65</v>
      </c>
      <c r="E10891" s="2525">
        <v>-4.6526124900827415E-2</v>
      </c>
      <c r="F10891" s="2451">
        <v>-4.6526124900827415E-2</v>
      </c>
      <c r="G10891" s="78"/>
      <c r="H10891" t="s">
        <v>4000</v>
      </c>
    </row>
    <row r="10892" spans="1:8" hidden="1" outlineLevel="1" x14ac:dyDescent="0.25">
      <c r="A10892" s="1920">
        <v>0.03</v>
      </c>
      <c r="B10892" s="1926" t="s">
        <v>805</v>
      </c>
      <c r="C10892" s="1902">
        <v>57.3</v>
      </c>
      <c r="D10892" s="2452">
        <v>98.83</v>
      </c>
      <c r="E10892" s="2525">
        <v>0.72478184991274008</v>
      </c>
      <c r="F10892" s="2451">
        <v>0.06</v>
      </c>
      <c r="G10892" s="78"/>
      <c r="H10892" t="s">
        <v>806</v>
      </c>
    </row>
    <row r="10893" spans="1:8" hidden="1" outlineLevel="1" x14ac:dyDescent="0.25">
      <c r="A10893" s="1920">
        <v>0.03</v>
      </c>
      <c r="B10893" s="2335" t="s">
        <v>807</v>
      </c>
      <c r="C10893" s="1902">
        <v>42.554000000000002</v>
      </c>
      <c r="D10893" s="2452">
        <v>59.57</v>
      </c>
      <c r="E10893" s="2525">
        <v>0.39986840250035249</v>
      </c>
      <c r="F10893" s="2451">
        <v>0.06</v>
      </c>
      <c r="G10893" s="78"/>
      <c r="H10893" t="s">
        <v>808</v>
      </c>
    </row>
    <row r="10894" spans="1:8" hidden="1" outlineLevel="1" x14ac:dyDescent="0.25">
      <c r="A10894" s="1920">
        <v>0.02</v>
      </c>
      <c r="B10894" s="1903" t="s">
        <v>4377</v>
      </c>
      <c r="C10894" s="1902">
        <v>34.921999999999997</v>
      </c>
      <c r="D10894" s="2452">
        <v>61.66</v>
      </c>
      <c r="E10894" s="2525">
        <v>0.76564916098734326</v>
      </c>
      <c r="F10894" s="2451">
        <v>0.06</v>
      </c>
      <c r="G10894" s="78"/>
      <c r="H10894" t="s">
        <v>4327</v>
      </c>
    </row>
    <row r="10895" spans="1:8" hidden="1" outlineLevel="1" x14ac:dyDescent="0.25">
      <c r="A10895" s="1920">
        <v>0.02</v>
      </c>
      <c r="B10895" s="2509" t="s">
        <v>3954</v>
      </c>
      <c r="C10895" s="1902">
        <v>71.831999999999994</v>
      </c>
      <c r="D10895" s="2452">
        <v>113.56</v>
      </c>
      <c r="E10895" s="2525">
        <v>0.58091101458959815</v>
      </c>
      <c r="F10895" s="2451">
        <v>0.06</v>
      </c>
      <c r="G10895" s="78"/>
      <c r="H10895" t="s">
        <v>3955</v>
      </c>
    </row>
    <row r="10896" spans="1:8" hidden="1" outlineLevel="1" x14ac:dyDescent="0.25">
      <c r="A10896" s="1920">
        <v>0.05</v>
      </c>
      <c r="B10896" s="2411" t="s">
        <v>1319</v>
      </c>
      <c r="C10896" s="2575">
        <v>62.808</v>
      </c>
      <c r="D10896" s="2452">
        <v>86.05</v>
      </c>
      <c r="E10896" s="2525">
        <v>0.37004840147751872</v>
      </c>
      <c r="F10896" s="2451">
        <v>0.06</v>
      </c>
      <c r="G10896" s="78"/>
      <c r="H10896" t="s">
        <v>1320</v>
      </c>
    </row>
    <row r="10897" spans="1:8" hidden="1" outlineLevel="1" x14ac:dyDescent="0.25">
      <c r="A10897" s="1920">
        <v>0.02</v>
      </c>
      <c r="B10897" s="1813" t="s">
        <v>1231</v>
      </c>
      <c r="C10897" s="2575">
        <v>66.262</v>
      </c>
      <c r="D10897" s="2452">
        <v>88.31</v>
      </c>
      <c r="E10897" s="2525">
        <v>0.3327397301620838</v>
      </c>
      <c r="F10897" s="2451">
        <v>0.06</v>
      </c>
      <c r="G10897" s="78"/>
      <c r="H10897" t="s">
        <v>2041</v>
      </c>
    </row>
    <row r="10898" spans="1:8" hidden="1" outlineLevel="1" x14ac:dyDescent="0.25">
      <c r="A10898" s="1920">
        <v>0.02</v>
      </c>
      <c r="B10898" s="1813" t="s">
        <v>5232</v>
      </c>
      <c r="C10898" s="2575">
        <v>68.843999999999994</v>
      </c>
      <c r="D10898" s="2452">
        <v>86.26</v>
      </c>
      <c r="E10898" s="2525">
        <v>0.25297774678984397</v>
      </c>
      <c r="F10898" s="2451">
        <v>0.06</v>
      </c>
      <c r="G10898" s="78"/>
      <c r="H10898" t="s">
        <v>5230</v>
      </c>
    </row>
    <row r="10899" spans="1:8" hidden="1" outlineLevel="1" x14ac:dyDescent="0.25">
      <c r="A10899" s="1920">
        <v>0.02</v>
      </c>
      <c r="B10899" s="1813" t="s">
        <v>3799</v>
      </c>
      <c r="C10899" s="2575">
        <v>1459.3</v>
      </c>
      <c r="D10899" s="2452">
        <v>1357.5</v>
      </c>
      <c r="E10899" s="2525">
        <v>-6.9759473720276799E-2</v>
      </c>
      <c r="F10899" s="2451">
        <v>-6.9759473720276799E-2</v>
      </c>
      <c r="G10899" s="78"/>
      <c r="H10899" t="s">
        <v>4128</v>
      </c>
    </row>
    <row r="10900" spans="1:8" hidden="1" outlineLevel="1" x14ac:dyDescent="0.25">
      <c r="A10900" s="1920">
        <v>0.02</v>
      </c>
      <c r="B10900" s="1813" t="s">
        <v>1381</v>
      </c>
      <c r="C10900" s="2576">
        <v>81.078500000000005</v>
      </c>
      <c r="D10900" s="2452">
        <v>112.51</v>
      </c>
      <c r="E10900" s="2525">
        <v>0.38766750741565281</v>
      </c>
      <c r="F10900" s="2451">
        <v>0.06</v>
      </c>
      <c r="G10900" s="78"/>
      <c r="H10900" t="s">
        <v>1383</v>
      </c>
    </row>
    <row r="10901" spans="1:8" hidden="1" outlineLevel="1" x14ac:dyDescent="0.25">
      <c r="A10901" s="1920">
        <v>0.02</v>
      </c>
      <c r="B10901" s="1813" t="s">
        <v>1905</v>
      </c>
      <c r="C10901" s="2575">
        <v>42.218000000000004</v>
      </c>
      <c r="D10901" s="2452">
        <v>55.09</v>
      </c>
      <c r="E10901" s="2525">
        <v>0.30489364725946277</v>
      </c>
      <c r="F10901" s="2451">
        <v>0.06</v>
      </c>
      <c r="G10901" s="78"/>
      <c r="H10901" t="s">
        <v>504</v>
      </c>
    </row>
    <row r="10902" spans="1:8" hidden="1" outlineLevel="1" x14ac:dyDescent="0.25">
      <c r="A10902" s="1920">
        <v>0.02</v>
      </c>
      <c r="B10902" s="1813" t="s">
        <v>247</v>
      </c>
      <c r="C10902" s="2575">
        <v>1611.4</v>
      </c>
      <c r="D10902" s="2452">
        <v>2648.5</v>
      </c>
      <c r="E10902" s="2525">
        <v>0.64360183691200179</v>
      </c>
      <c r="F10902" s="2451">
        <v>0.06</v>
      </c>
      <c r="G10902" s="78"/>
      <c r="H10902" t="s">
        <v>3640</v>
      </c>
    </row>
    <row r="10903" spans="1:8" hidden="1" outlineLevel="1" x14ac:dyDescent="0.25">
      <c r="A10903" s="1920">
        <v>0.02</v>
      </c>
      <c r="B10903" s="1813" t="s">
        <v>2786</v>
      </c>
      <c r="C10903" s="2575">
        <v>687.8</v>
      </c>
      <c r="D10903" s="2452">
        <v>906</v>
      </c>
      <c r="E10903" s="2525">
        <v>0.31724338470485614</v>
      </c>
      <c r="F10903" s="2451">
        <v>0.06</v>
      </c>
      <c r="G10903" s="78"/>
      <c r="H10903" t="s">
        <v>4195</v>
      </c>
    </row>
    <row r="10904" spans="1:8" hidden="1" outlineLevel="1" x14ac:dyDescent="0.25">
      <c r="A10904" s="1920">
        <v>7.0000000000000007E-2</v>
      </c>
      <c r="B10904" s="1813" t="s">
        <v>2787</v>
      </c>
      <c r="C10904" s="2575">
        <v>54.46</v>
      </c>
      <c r="D10904" s="2452">
        <v>82.2</v>
      </c>
      <c r="E10904" s="2525">
        <v>0.5093646713183988</v>
      </c>
      <c r="F10904" s="2451">
        <v>0.06</v>
      </c>
      <c r="G10904" s="78"/>
      <c r="H10904" t="s">
        <v>8874</v>
      </c>
    </row>
    <row r="10905" spans="1:8" hidden="1" outlineLevel="1" x14ac:dyDescent="0.25">
      <c r="A10905" s="1920">
        <v>0.03</v>
      </c>
      <c r="B10905" s="1813" t="s">
        <v>4273</v>
      </c>
      <c r="C10905" s="2575">
        <v>1330</v>
      </c>
      <c r="D10905" s="2452">
        <v>2741</v>
      </c>
      <c r="E10905" s="2525">
        <v>1.0609022556390979</v>
      </c>
      <c r="F10905" s="2451">
        <v>0.06</v>
      </c>
      <c r="G10905" s="78"/>
      <c r="H10905" t="s">
        <v>82</v>
      </c>
    </row>
    <row r="10906" spans="1:8" hidden="1" outlineLevel="1" x14ac:dyDescent="0.25">
      <c r="A10906" s="1920">
        <v>0.02</v>
      </c>
      <c r="B10906" s="1813" t="s">
        <v>901</v>
      </c>
      <c r="C10906" s="2575">
        <v>18.933900000000001</v>
      </c>
      <c r="D10906" s="2452">
        <v>48.71</v>
      </c>
      <c r="E10906" s="2525">
        <v>1.5726342697489688</v>
      </c>
      <c r="F10906" s="2451">
        <v>0.06</v>
      </c>
      <c r="G10906" s="78"/>
      <c r="H10906" t="s">
        <v>531</v>
      </c>
    </row>
    <row r="10907" spans="1:8" hidden="1" outlineLevel="1" x14ac:dyDescent="0.25">
      <c r="A10907" s="1920">
        <v>7.0000000000000007E-2</v>
      </c>
      <c r="B10907" s="1903" t="s">
        <v>3800</v>
      </c>
      <c r="C10907" s="1902">
        <v>167.22</v>
      </c>
      <c r="D10907" s="2452">
        <v>230.5</v>
      </c>
      <c r="E10907" s="2525">
        <v>0.3784236335366582</v>
      </c>
      <c r="F10907" s="2451">
        <v>0.06</v>
      </c>
      <c r="G10907" s="78"/>
      <c r="H10907" t="s">
        <v>8876</v>
      </c>
    </row>
    <row r="10908" spans="1:8" hidden="1" outlineLevel="1" x14ac:dyDescent="0.25">
      <c r="A10908" s="1920">
        <v>0.03</v>
      </c>
      <c r="B10908" s="2509" t="s">
        <v>4460</v>
      </c>
      <c r="C10908" s="1902">
        <v>1698.2</v>
      </c>
      <c r="D10908" s="2452">
        <v>2111</v>
      </c>
      <c r="E10908" s="2525">
        <v>0.2430809091979742</v>
      </c>
      <c r="F10908" s="2451">
        <v>0.06</v>
      </c>
      <c r="G10908" s="78"/>
      <c r="H10908" t="s">
        <v>3485</v>
      </c>
    </row>
    <row r="10909" spans="1:8" hidden="1" outlineLevel="1" x14ac:dyDescent="0.25">
      <c r="A10909" s="1920">
        <v>0.05</v>
      </c>
      <c r="B10909" s="1928" t="s">
        <v>1857</v>
      </c>
      <c r="C10909" s="1902">
        <v>1424</v>
      </c>
      <c r="D10909" s="2452">
        <v>1382</v>
      </c>
      <c r="E10909" s="2525">
        <v>-2.9494382022471899E-2</v>
      </c>
      <c r="F10909" s="2451">
        <v>-2.9494382022471899E-2</v>
      </c>
      <c r="G10909" s="78"/>
      <c r="H10909" t="s">
        <v>3559</v>
      </c>
    </row>
    <row r="10910" spans="1:8" hidden="1" outlineLevel="1" x14ac:dyDescent="0.25">
      <c r="A10910" s="1920">
        <v>7.0000000000000007E-2</v>
      </c>
      <c r="B10910" s="1928" t="s">
        <v>1239</v>
      </c>
      <c r="C10910" s="1902">
        <v>380.34</v>
      </c>
      <c r="D10910" s="2452">
        <v>504</v>
      </c>
      <c r="E10910" s="2525">
        <v>0.32513014671083784</v>
      </c>
      <c r="F10910" s="2451">
        <v>0.06</v>
      </c>
      <c r="G10910" s="78"/>
      <c r="H10910" t="s">
        <v>8891</v>
      </c>
    </row>
    <row r="10911" spans="1:8" hidden="1" outlineLevel="1" x14ac:dyDescent="0.25">
      <c r="A10911" s="1920">
        <v>0.02</v>
      </c>
      <c r="B10911" s="1813" t="s">
        <v>3022</v>
      </c>
      <c r="C10911" s="1902">
        <v>3611</v>
      </c>
      <c r="D10911" s="2452">
        <v>6395</v>
      </c>
      <c r="E10911" s="2525">
        <v>0.77097756854057042</v>
      </c>
      <c r="F10911" s="2451">
        <v>0.06</v>
      </c>
      <c r="G10911" s="78"/>
      <c r="H10911" t="s">
        <v>2802</v>
      </c>
    </row>
    <row r="10912" spans="1:8" hidden="1" outlineLevel="1" x14ac:dyDescent="0.25">
      <c r="A10912" s="1920">
        <v>0.05</v>
      </c>
      <c r="B10912" s="1928" t="s">
        <v>434</v>
      </c>
      <c r="C10912" s="1902">
        <v>44.841999999999999</v>
      </c>
      <c r="D10912" s="2452">
        <v>38.75</v>
      </c>
      <c r="E10912" s="2525">
        <v>-0.13585477900182863</v>
      </c>
      <c r="F10912" s="2451">
        <v>-0.13585477900182863</v>
      </c>
      <c r="G10912" s="78"/>
      <c r="H10912" t="s">
        <v>7745</v>
      </c>
    </row>
    <row r="10913" spans="1:8" hidden="1" outlineLevel="1" x14ac:dyDescent="0.25">
      <c r="A10913" s="1920">
        <v>0.03</v>
      </c>
      <c r="B10913" s="2544" t="s">
        <v>106</v>
      </c>
      <c r="C10913" s="1902">
        <v>2141.6</v>
      </c>
      <c r="D10913" s="2452">
        <v>4269.5</v>
      </c>
      <c r="E10913" s="2525">
        <v>0.99360291370937626</v>
      </c>
      <c r="F10913" s="2451">
        <v>0.06</v>
      </c>
      <c r="G10913" s="78"/>
      <c r="H10913" t="s">
        <v>107</v>
      </c>
    </row>
    <row r="10914" spans="1:8" hidden="1" outlineLevel="1" x14ac:dyDescent="0.25">
      <c r="A10914" s="1920">
        <v>0.02</v>
      </c>
      <c r="B10914" s="2544" t="s">
        <v>2983</v>
      </c>
      <c r="C10914" s="1902">
        <v>681.3</v>
      </c>
      <c r="D10914" s="2452">
        <v>833</v>
      </c>
      <c r="E10914" s="2525">
        <v>0.22266255687655967</v>
      </c>
      <c r="F10914" s="2451">
        <v>0.06</v>
      </c>
      <c r="G10914" s="78"/>
      <c r="H10914" t="s">
        <v>1713</v>
      </c>
    </row>
    <row r="10915" spans="1:8" hidden="1" outlineLevel="1" x14ac:dyDescent="0.25">
      <c r="A10915" s="1920">
        <v>0.02</v>
      </c>
      <c r="B10915" s="1903" t="s">
        <v>255</v>
      </c>
      <c r="C10915" s="1902">
        <v>44.844000000000001</v>
      </c>
      <c r="D10915" s="2452">
        <v>47.87</v>
      </c>
      <c r="E10915" s="2525">
        <v>6.7478369458567444E-2</v>
      </c>
      <c r="F10915" s="2451">
        <v>0.06</v>
      </c>
      <c r="G10915" s="78"/>
      <c r="H10915" t="s">
        <v>3351</v>
      </c>
    </row>
    <row r="10916" spans="1:8" hidden="1" outlineLevel="1" x14ac:dyDescent="0.25">
      <c r="A10916" s="1920">
        <v>0.02</v>
      </c>
      <c r="B10916" s="2544" t="s">
        <v>579</v>
      </c>
      <c r="C10916" s="1902">
        <v>187.1</v>
      </c>
      <c r="D10916" s="2452">
        <v>215.6</v>
      </c>
      <c r="E10916" s="2525">
        <v>0.15232495991448425</v>
      </c>
      <c r="F10916" s="2451">
        <v>0.06</v>
      </c>
      <c r="G10916" s="78"/>
      <c r="H10916" t="s">
        <v>3611</v>
      </c>
    </row>
    <row r="10917" spans="1:8" hidden="1" outlineLevel="1" x14ac:dyDescent="0.25">
      <c r="A10917" s="1920">
        <v>0.02</v>
      </c>
      <c r="B10917" s="1930" t="s">
        <v>2874</v>
      </c>
      <c r="C10917" s="1902">
        <v>28.748000000000001</v>
      </c>
      <c r="D10917" s="2452">
        <v>49.52</v>
      </c>
      <c r="E10917" s="2525">
        <v>0.72255461249478237</v>
      </c>
      <c r="F10917" s="2451">
        <v>0.06</v>
      </c>
      <c r="G10917" s="78"/>
      <c r="H10917" t="s">
        <v>5175</v>
      </c>
    </row>
    <row r="10918" spans="1:8" hidden="1" outlineLevel="1" x14ac:dyDescent="0.25">
      <c r="A10918" s="1897" t="s">
        <v>2465</v>
      </c>
      <c r="B10918" s="1931"/>
      <c r="C10918" s="1932"/>
      <c r="D10918" s="2338"/>
      <c r="E10918" s="2339">
        <v>0.45063921311642902</v>
      </c>
      <c r="F10918" s="2545">
        <v>3.5680523731321516E-2</v>
      </c>
      <c r="G10918" s="78"/>
    </row>
    <row r="10919" spans="1:8" hidden="1" outlineLevel="1" x14ac:dyDescent="0.25">
      <c r="A10919" s="2504"/>
      <c r="B10919" s="2505"/>
      <c r="C10919" s="2505"/>
      <c r="D10919" s="2505"/>
      <c r="E10919" s="2505"/>
      <c r="F10919" s="2542"/>
      <c r="G10919" s="78"/>
    </row>
    <row r="10920" spans="1:8" hidden="1" outlineLevel="1" x14ac:dyDescent="0.25">
      <c r="A10920" s="2156" t="s">
        <v>113</v>
      </c>
      <c r="B10920" s="2156"/>
      <c r="C10920" s="2356"/>
      <c r="D10920" s="2356"/>
      <c r="E10920" s="2503"/>
      <c r="F10920" s="2476"/>
      <c r="G10920" s="78"/>
    </row>
    <row r="10921" spans="1:8" hidden="1" outlineLevel="1" x14ac:dyDescent="0.25">
      <c r="A10921" s="1810" t="s">
        <v>5333</v>
      </c>
      <c r="B10921" s="2504"/>
      <c r="C10921" s="2505"/>
      <c r="D10921" s="2505"/>
      <c r="E10921" s="2194"/>
      <c r="F10921" s="2446">
        <v>2.5000000000000001E-2</v>
      </c>
      <c r="G10921" s="78"/>
    </row>
    <row r="10922" spans="1:8" hidden="1" outlineLevel="1" x14ac:dyDescent="0.25">
      <c r="A10922" s="1810" t="s">
        <v>5334</v>
      </c>
      <c r="B10922" s="2335"/>
      <c r="C10922" s="2509"/>
      <c r="D10922" s="2509"/>
      <c r="E10922" s="2199"/>
      <c r="F10922" s="2451">
        <v>5.1918000000000006E-2</v>
      </c>
      <c r="G10922" s="78"/>
    </row>
    <row r="10923" spans="1:8" hidden="1" outlineLevel="1" x14ac:dyDescent="0.25">
      <c r="A10923" s="1810" t="s">
        <v>5335</v>
      </c>
      <c r="B10923" s="2335"/>
      <c r="C10923" s="2509"/>
      <c r="D10923" s="2509"/>
      <c r="E10923" s="2199"/>
      <c r="F10923" s="2451">
        <v>5.190899999999999E-2</v>
      </c>
      <c r="G10923" s="78"/>
    </row>
    <row r="10924" spans="1:8" hidden="1" outlineLevel="1" x14ac:dyDescent="0.25">
      <c r="A10924" s="1810" t="s">
        <v>5336</v>
      </c>
      <c r="B10924" s="2335"/>
      <c r="C10924" s="2509"/>
      <c r="D10924" s="2509"/>
      <c r="E10924" s="2199"/>
      <c r="F10924" s="2451">
        <v>5.0900000000000001E-2</v>
      </c>
      <c r="G10924" s="78"/>
    </row>
    <row r="10925" spans="1:8" hidden="1" outlineLevel="1" x14ac:dyDescent="0.25">
      <c r="A10925" s="1810" t="s">
        <v>5337</v>
      </c>
      <c r="B10925" s="2350"/>
      <c r="C10925" s="2495"/>
      <c r="D10925" s="2495"/>
      <c r="E10925" s="2204"/>
      <c r="F10925" s="2379">
        <v>3.44E-2</v>
      </c>
      <c r="G10925" s="78"/>
    </row>
    <row r="10926" spans="1:8" collapsed="1" x14ac:dyDescent="0.25">
      <c r="A10926" s="3803" t="s">
        <v>5338</v>
      </c>
      <c r="B10926" s="3804"/>
      <c r="C10926" s="3804"/>
      <c r="D10926" s="2356"/>
      <c r="E10926" s="2356"/>
      <c r="F10926" s="2476">
        <v>0.21412700000000001</v>
      </c>
      <c r="G10926" s="78"/>
    </row>
    <row r="10928" spans="1:8" hidden="1" outlineLevel="1" x14ac:dyDescent="0.25">
      <c r="A10928" s="2489" t="s">
        <v>113</v>
      </c>
      <c r="B10928" s="2489" t="s">
        <v>114</v>
      </c>
      <c r="C10928" s="2489" t="s">
        <v>112</v>
      </c>
      <c r="D10928" s="2489" t="s">
        <v>116</v>
      </c>
      <c r="E10928" s="2489" t="s">
        <v>117</v>
      </c>
      <c r="F10928" s="2476" t="s">
        <v>121</v>
      </c>
    </row>
    <row r="10929" spans="1:12" hidden="1" outlineLevel="1" x14ac:dyDescent="0.25">
      <c r="A10929" s="2504">
        <v>1</v>
      </c>
      <c r="B10929" s="2505" t="s">
        <v>252</v>
      </c>
      <c r="C10929" s="2506">
        <v>100</v>
      </c>
      <c r="D10929" s="2506"/>
      <c r="E10929" s="2537"/>
      <c r="F10929" s="2535"/>
    </row>
    <row r="10930" spans="1:12" hidden="1" outlineLevel="1" x14ac:dyDescent="0.25">
      <c r="A10930" s="2509"/>
      <c r="B10930" s="2509"/>
      <c r="C10930" s="2498"/>
      <c r="D10930" s="1900" t="s">
        <v>3702</v>
      </c>
      <c r="E10930" s="2510">
        <v>42475</v>
      </c>
      <c r="F10930" s="2536"/>
    </row>
    <row r="10931" spans="1:12" hidden="1" outlineLevel="1" x14ac:dyDescent="0.25">
      <c r="A10931" s="1813" t="s">
        <v>4156</v>
      </c>
      <c r="B10931" s="2107" t="s">
        <v>4153</v>
      </c>
      <c r="C10931" s="2532" t="s">
        <v>112</v>
      </c>
      <c r="D10931" s="1813" t="s">
        <v>4155</v>
      </c>
      <c r="E10931" s="1813" t="s">
        <v>4154</v>
      </c>
      <c r="F10931" s="2545" t="s">
        <v>2519</v>
      </c>
      <c r="G10931" s="314"/>
      <c r="H10931" s="314"/>
      <c r="J10931" t="s">
        <v>2040</v>
      </c>
    </row>
    <row r="10932" spans="1:12" hidden="1" outlineLevel="1" x14ac:dyDescent="0.25">
      <c r="A10932" s="1813">
        <v>0.02</v>
      </c>
      <c r="B10932" s="1813" t="s">
        <v>1993</v>
      </c>
      <c r="C10932" s="2337">
        <v>33.770000000000003</v>
      </c>
      <c r="D10932" s="2194">
        <v>61.68</v>
      </c>
      <c r="E10932" s="1813">
        <v>0.82647320106603472</v>
      </c>
      <c r="F10932" s="2545">
        <v>1.6529464021320696E-2</v>
      </c>
      <c r="H10932" t="str">
        <f>VLOOKUP(B10932,indexy!$A$44:$D$823,3,FALSE)</f>
        <v>MO UN Equity</v>
      </c>
      <c r="J10932" s="256">
        <v>42005</v>
      </c>
      <c r="K10932">
        <v>139.58920000000001</v>
      </c>
      <c r="L10932" s="37">
        <f>IF(K10932="",F10962,K10932/100-1)</f>
        <v>0.39589200000000013</v>
      </c>
    </row>
    <row r="10933" spans="1:12" hidden="1" outlineLevel="1" x14ac:dyDescent="0.25">
      <c r="A10933" s="1813">
        <v>7.0000000000000007E-2</v>
      </c>
      <c r="B10933" s="1813" t="s">
        <v>2942</v>
      </c>
      <c r="C10933" s="1902">
        <v>635</v>
      </c>
      <c r="D10933" s="1813">
        <v>1541.5</v>
      </c>
      <c r="E10933" s="2097">
        <v>1.4275590551181101</v>
      </c>
      <c r="F10933" s="2545">
        <v>9.992913385826771E-2</v>
      </c>
      <c r="H10933" t="str">
        <f>VLOOKUP(B10933,indexy!$A$44:$D$823,3,FALSE)</f>
        <v>4503 JT Equity</v>
      </c>
      <c r="J10933" s="256">
        <v>42036</v>
      </c>
      <c r="K10933">
        <v>142.20269999999999</v>
      </c>
      <c r="L10933" s="37">
        <f>IF(K10933="",L10932,K10933/100-1)</f>
        <v>0.42202699999999993</v>
      </c>
    </row>
    <row r="10934" spans="1:12" hidden="1" outlineLevel="1" x14ac:dyDescent="0.25">
      <c r="A10934" s="1813">
        <v>7.0000000000000007E-2</v>
      </c>
      <c r="B10934" s="1926" t="s">
        <v>3998</v>
      </c>
      <c r="C10934" s="1902">
        <v>35.71</v>
      </c>
      <c r="D10934" s="1813">
        <v>38.479999999999997</v>
      </c>
      <c r="E10934" s="2097">
        <v>7.7569308316997931E-2</v>
      </c>
      <c r="F10934" s="2545">
        <v>5.4298515821898556E-3</v>
      </c>
      <c r="H10934" t="str">
        <f>VLOOKUP(B10934,indexy!$A$44:$D$823,3,FALSE)</f>
        <v>T UN Equity</v>
      </c>
      <c r="J10934" s="256">
        <v>42064</v>
      </c>
      <c r="K10934">
        <v>141.1866</v>
      </c>
      <c r="L10934" s="37">
        <f>IF(K10934="",L10933,K10934/100-1)</f>
        <v>0.41186600000000007</v>
      </c>
    </row>
    <row r="10935" spans="1:12" hidden="1" outlineLevel="1" x14ac:dyDescent="0.25">
      <c r="A10935" s="1813">
        <v>0.03</v>
      </c>
      <c r="B10935" s="1926" t="s">
        <v>805</v>
      </c>
      <c r="C10935" s="1902">
        <v>55.22</v>
      </c>
      <c r="D10935" s="1813">
        <v>81.2</v>
      </c>
      <c r="E10935" s="2097">
        <v>0.47048170952553425</v>
      </c>
      <c r="F10935" s="2545">
        <v>1.4114451285766027E-2</v>
      </c>
      <c r="H10935" t="str">
        <f>VLOOKUP(B10935,indexy!$A$44:$D$823,3,FALSE)</f>
        <v>BMO CT Equity</v>
      </c>
      <c r="J10935" s="256">
        <v>42095</v>
      </c>
      <c r="K10935">
        <v>141.64570000000001</v>
      </c>
      <c r="L10935" s="37">
        <f>IF(K10935="",L10934,K10935/100-1)</f>
        <v>0.41645700000000008</v>
      </c>
    </row>
    <row r="10936" spans="1:12" hidden="1" outlineLevel="1" x14ac:dyDescent="0.25">
      <c r="A10936" s="1813">
        <v>0.03</v>
      </c>
      <c r="B10936" s="2335" t="s">
        <v>807</v>
      </c>
      <c r="C10936" s="1902">
        <v>41.12</v>
      </c>
      <c r="D10936" s="1813">
        <v>59.74</v>
      </c>
      <c r="E10936" s="2097">
        <v>0.45282101167315192</v>
      </c>
      <c r="F10936" s="2545">
        <v>1.3584630350194558E-2</v>
      </c>
      <c r="H10936" t="str">
        <f>VLOOKUP(B10936,indexy!$A$44:$D$823,3,FALSE)</f>
        <v>BCE CT Equity</v>
      </c>
      <c r="J10936" s="256">
        <v>42125</v>
      </c>
      <c r="K10936">
        <v>141.91069999999999</v>
      </c>
      <c r="L10936" s="37">
        <f>IF(K10936="",L10935,K10936/100-1)</f>
        <v>0.4191069999999999</v>
      </c>
    </row>
    <row r="10937" spans="1:12" hidden="1" outlineLevel="1" x14ac:dyDescent="0.25">
      <c r="A10937" s="1813">
        <v>0.02</v>
      </c>
      <c r="B10937" s="1903" t="s">
        <v>4377</v>
      </c>
      <c r="C10937" s="1902">
        <v>34.229999999999997</v>
      </c>
      <c r="D10937" s="1813">
        <v>68.05</v>
      </c>
      <c r="E10937" s="2097">
        <v>0.98802220274612917</v>
      </c>
      <c r="F10937" s="2545">
        <v>1.9760444054922582E-2</v>
      </c>
      <c r="H10937" t="str">
        <f>VLOOKUP(B10937,indexy!$A$44:$D$823,3,FALSE)</f>
        <v>BMY UN Equity</v>
      </c>
      <c r="J10937" s="256">
        <v>42156</v>
      </c>
      <c r="K10937">
        <v>136.22559999999999</v>
      </c>
      <c r="L10937" s="37">
        <f>IF(K10937="",L10936,K10937/100-1)</f>
        <v>0.36225599999999991</v>
      </c>
    </row>
    <row r="10938" spans="1:12" hidden="1" outlineLevel="1" x14ac:dyDescent="0.25">
      <c r="A10938" s="1813">
        <v>0.02</v>
      </c>
      <c r="B10938" s="2509" t="s">
        <v>3954</v>
      </c>
      <c r="C10938" s="1902">
        <v>71.7</v>
      </c>
      <c r="D10938" s="1813">
        <v>98.5</v>
      </c>
      <c r="E10938" s="2097">
        <v>0.3737796373779636</v>
      </c>
      <c r="F10938" s="2545">
        <v>7.475592747559272E-3</v>
      </c>
      <c r="H10938" t="str">
        <f>VLOOKUP(B10938,indexy!$A$44:$D$823,3,FALSE)</f>
        <v>CM CT Equity</v>
      </c>
      <c r="J10938" s="412" t="s">
        <v>2465</v>
      </c>
      <c r="L10938" s="261">
        <f>AVERAGE(L10932:L10937)</f>
        <v>0.40460083333333335</v>
      </c>
    </row>
    <row r="10939" spans="1:12" hidden="1" outlineLevel="1" x14ac:dyDescent="0.25">
      <c r="A10939" s="1813">
        <v>0.05</v>
      </c>
      <c r="B10939" s="2509" t="s">
        <v>1319</v>
      </c>
      <c r="C10939" s="1902">
        <v>63.1</v>
      </c>
      <c r="D10939" s="1813">
        <v>75.849999999999994</v>
      </c>
      <c r="E10939" s="2097">
        <v>0.20206022187004735</v>
      </c>
      <c r="F10939" s="2545">
        <v>1.0103011093502368E-2</v>
      </c>
      <c r="H10939" t="str">
        <f>VLOOKUP(B10939,indexy!$A$44:$D$823,3,FALSE)</f>
        <v>ED UN Equity</v>
      </c>
      <c r="J10939" s="256"/>
      <c r="L10939" s="37"/>
    </row>
    <row r="10940" spans="1:12" hidden="1" outlineLevel="1" x14ac:dyDescent="0.25">
      <c r="A10940" s="1813">
        <v>0.02</v>
      </c>
      <c r="B10940" s="2565" t="s">
        <v>1231</v>
      </c>
      <c r="C10940" s="1902">
        <v>69.78</v>
      </c>
      <c r="D10940" s="1813">
        <v>80</v>
      </c>
      <c r="E10940" s="2097">
        <v>0.1464603038119805</v>
      </c>
      <c r="F10940" s="2545">
        <v>2.9292060762396098E-3</v>
      </c>
      <c r="H10940" t="str">
        <f>VLOOKUP(B10940,indexy!$A$44:$D$823,3,FALSE)</f>
        <v>DUK UN Equity</v>
      </c>
      <c r="J10940" s="256"/>
      <c r="L10940" s="37"/>
    </row>
    <row r="10941" spans="1:12" hidden="1" outlineLevel="1" x14ac:dyDescent="0.25">
      <c r="A10941" s="1813">
        <v>0.02</v>
      </c>
      <c r="B10941" s="1813" t="s">
        <v>496</v>
      </c>
      <c r="C10941" s="1902">
        <v>16.239999999999998</v>
      </c>
      <c r="D10941" s="1813">
        <v>11.505000000000001</v>
      </c>
      <c r="E10941" s="2097">
        <v>-0.29156403940886688</v>
      </c>
      <c r="F10941" s="2545">
        <v>-5.8312807881773379E-3</v>
      </c>
      <c r="H10941" t="e">
        <f>VLOOKUP(B10941,indexy!$A$44:$D$823,3,FALSE)</f>
        <v>#N/A</v>
      </c>
      <c r="J10941" s="256"/>
      <c r="L10941" s="37"/>
    </row>
    <row r="10942" spans="1:12" hidden="1" outlineLevel="1" x14ac:dyDescent="0.25">
      <c r="A10942" s="1813">
        <v>0.02</v>
      </c>
      <c r="B10942" s="1813" t="s">
        <v>3798</v>
      </c>
      <c r="C10942" s="1902">
        <v>2.488</v>
      </c>
      <c r="D10942" s="1813">
        <v>3.8079999999999998</v>
      </c>
      <c r="E10942" s="2097">
        <v>0.53054662379421225</v>
      </c>
      <c r="F10942" s="2545">
        <v>1.0610932475884245E-2</v>
      </c>
      <c r="H10942" t="str">
        <f>VLOOKUP(B10942,indexy!$A$44:$D$823,3,FALSE)</f>
        <v>ENEL IM Equity</v>
      </c>
      <c r="J10942" s="256"/>
      <c r="L10942" s="37"/>
    </row>
    <row r="10943" spans="1:12" hidden="1" outlineLevel="1" x14ac:dyDescent="0.25">
      <c r="A10943" s="1813">
        <v>0.02</v>
      </c>
      <c r="B10943" s="2565" t="s">
        <v>5232</v>
      </c>
      <c r="C10943" s="1902">
        <v>66.55</v>
      </c>
      <c r="D10943" s="1813">
        <v>76.12</v>
      </c>
      <c r="E10943" s="2097">
        <v>0.14380165289256208</v>
      </c>
      <c r="F10943" s="2545">
        <v>2.8760330578512417E-3</v>
      </c>
      <c r="H10943" t="str">
        <f>VLOOKUP(B10943,indexy!$A$44:$D$823,3,FALSE)</f>
        <v>ETR UN Equity</v>
      </c>
      <c r="J10943" s="256"/>
      <c r="L10943" s="37"/>
    </row>
    <row r="10944" spans="1:12" hidden="1" outlineLevel="1" x14ac:dyDescent="0.25">
      <c r="A10944" s="1813">
        <v>0.03</v>
      </c>
      <c r="B10944" s="2509" t="s">
        <v>7227</v>
      </c>
      <c r="C10944" s="1902">
        <v>17.105</v>
      </c>
      <c r="D10944" s="1813">
        <v>13.875</v>
      </c>
      <c r="E10944" s="2097">
        <v>-0.18883367436422105</v>
      </c>
      <c r="F10944" s="2545">
        <v>-5.665010230926631E-3</v>
      </c>
      <c r="H10944" t="str">
        <f>VLOOKUP(B10944,indexy!$A$44:$D$823,3,FALSE)</f>
        <v>ENGI FP Equity</v>
      </c>
      <c r="J10944" s="256"/>
      <c r="L10944" s="37"/>
    </row>
    <row r="10945" spans="1:12" hidden="1" outlineLevel="1" x14ac:dyDescent="0.25">
      <c r="A10945" s="1813">
        <v>0.02</v>
      </c>
      <c r="B10945" s="2025" t="s">
        <v>3799</v>
      </c>
      <c r="C10945" s="1902">
        <v>1441</v>
      </c>
      <c r="D10945" s="1813">
        <v>1506</v>
      </c>
      <c r="E10945" s="2097">
        <v>4.5107564191533722E-2</v>
      </c>
      <c r="F10945" s="2545">
        <v>9.0215128383067447E-4</v>
      </c>
      <c r="H10945" t="str">
        <f>VLOOKUP(B10945,indexy!$A$44:$D$823,3,FALSE)</f>
        <v>GSK LN Equity</v>
      </c>
      <c r="J10945" s="256"/>
      <c r="L10945" s="37"/>
    </row>
    <row r="10946" spans="1:12" hidden="1" outlineLevel="1" x14ac:dyDescent="0.25">
      <c r="A10946" s="1813">
        <v>0.02</v>
      </c>
      <c r="B10946" s="1928" t="s">
        <v>1381</v>
      </c>
      <c r="C10946" s="1902">
        <v>82.48</v>
      </c>
      <c r="D10946" s="1813">
        <v>136.47</v>
      </c>
      <c r="E10946" s="2097">
        <v>0.65458292919495631</v>
      </c>
      <c r="F10946" s="2545">
        <v>1.3091658583899126E-2</v>
      </c>
      <c r="H10946" t="str">
        <f>VLOOKUP(B10946,indexy!$A$44:$D$823,3,FALSE)</f>
        <v>KMB UN Equity</v>
      </c>
      <c r="J10946" s="256"/>
      <c r="L10946" s="37"/>
    </row>
    <row r="10947" spans="1:12" hidden="1" outlineLevel="1" x14ac:dyDescent="0.25">
      <c r="A10947" s="1813">
        <v>0.02</v>
      </c>
      <c r="B10947" s="1813" t="s">
        <v>4143</v>
      </c>
      <c r="C10947" s="1902">
        <v>7.9589999999999996</v>
      </c>
      <c r="D10947" s="1813">
        <v>3.4849999999999999</v>
      </c>
      <c r="E10947" s="2097">
        <v>-0.56213092096997108</v>
      </c>
      <c r="F10947" s="2545">
        <v>-1.1242618419399423E-2</v>
      </c>
      <c r="H10947" t="str">
        <f>VLOOKUP(B10947,indexy!$A$44:$D$823,3,FALSE)</f>
        <v>KPN NA Equity</v>
      </c>
      <c r="J10947" s="256"/>
      <c r="L10947" s="37"/>
    </row>
    <row r="10948" spans="1:12" hidden="1" outlineLevel="1" x14ac:dyDescent="0.25">
      <c r="A10948" s="1813">
        <v>0.02</v>
      </c>
      <c r="B10948" s="1813" t="s">
        <v>1905</v>
      </c>
      <c r="C10948" s="1902">
        <v>38.94</v>
      </c>
      <c r="D10948" s="1813">
        <v>56.14</v>
      </c>
      <c r="E10948" s="2097">
        <v>0.44170518746789944</v>
      </c>
      <c r="F10948" s="2545">
        <v>8.8341037493579883E-3</v>
      </c>
      <c r="H10948" t="str">
        <f>VLOOKUP(B10948,indexy!$A$44:$D$823,3,FALSE)</f>
        <v>MRK UN Equity</v>
      </c>
      <c r="J10948" s="256"/>
      <c r="L10948" s="37"/>
    </row>
    <row r="10949" spans="1:12" hidden="1" outlineLevel="1" x14ac:dyDescent="0.25">
      <c r="A10949" s="1813">
        <v>7.0000000000000007E-2</v>
      </c>
      <c r="B10949" s="1813" t="s">
        <v>2787</v>
      </c>
      <c r="C10949" s="1902">
        <v>51</v>
      </c>
      <c r="D10949" s="1813">
        <v>73.150000000000006</v>
      </c>
      <c r="E10949" s="2097">
        <v>0.43431372549019609</v>
      </c>
      <c r="F10949" s="2545">
        <v>3.0401960784313731E-2</v>
      </c>
      <c r="H10949" t="str">
        <f>VLOOKUP(B10949,indexy!$A$44:$D$823,3,FALSE)</f>
        <v>NOVN SE Equity</v>
      </c>
      <c r="J10949" s="256"/>
      <c r="L10949" s="37"/>
    </row>
    <row r="10950" spans="1:12" hidden="1" outlineLevel="1" x14ac:dyDescent="0.25">
      <c r="A10950" s="1813">
        <v>0.03</v>
      </c>
      <c r="B10950" s="1813" t="s">
        <v>4273</v>
      </c>
      <c r="C10950" s="1902">
        <v>1249</v>
      </c>
      <c r="D10950" s="1813">
        <v>2730.5</v>
      </c>
      <c r="E10950" s="2097">
        <v>1.1861489191353081</v>
      </c>
      <c r="F10950" s="2545">
        <v>3.5584467574059239E-2</v>
      </c>
      <c r="H10950" t="str">
        <f>VLOOKUP(B10950,indexy!$A$44:$D$823,3,FALSE)</f>
        <v>9437 JT Equity</v>
      </c>
      <c r="J10950" s="412"/>
      <c r="L10950" s="261"/>
    </row>
    <row r="10951" spans="1:12" hidden="1" outlineLevel="1" x14ac:dyDescent="0.25">
      <c r="A10951" s="1813">
        <v>0.02</v>
      </c>
      <c r="B10951" s="1928" t="s">
        <v>2753</v>
      </c>
      <c r="C10951" s="1902">
        <v>42.68</v>
      </c>
      <c r="D10951" s="1813">
        <v>48.74</v>
      </c>
      <c r="E10951" s="2097">
        <v>0.14198687910028118</v>
      </c>
      <c r="F10951" s="2545">
        <v>2.8397375820056235E-3</v>
      </c>
      <c r="H10951" t="str">
        <f>VLOOKUP(B10951,indexy!$A$44:$D$823,3,FALSE)</f>
        <v>RAI UN Equity</v>
      </c>
    </row>
    <row r="10952" spans="1:12" hidden="1" outlineLevel="1" x14ac:dyDescent="0.25">
      <c r="A10952" s="1813">
        <v>7.0000000000000007E-2</v>
      </c>
      <c r="B10952" s="1903" t="s">
        <v>3800</v>
      </c>
      <c r="C10952" s="1902">
        <v>156.5</v>
      </c>
      <c r="D10952" s="1813">
        <v>248.1</v>
      </c>
      <c r="E10952" s="2097">
        <v>0.58530351437699668</v>
      </c>
      <c r="F10952" s="2545">
        <v>4.0971246006389773E-2</v>
      </c>
      <c r="H10952" t="str">
        <f>VLOOKUP(B10952,indexy!$A$44:$D$823,3,FALSE)</f>
        <v>ROG SE Equity</v>
      </c>
    </row>
    <row r="10953" spans="1:12" hidden="1" outlineLevel="1" x14ac:dyDescent="0.25">
      <c r="A10953" s="1813">
        <v>0.03</v>
      </c>
      <c r="B10953" s="2509" t="s">
        <v>4460</v>
      </c>
      <c r="C10953" s="2577">
        <v>1671.9242400000001</v>
      </c>
      <c r="D10953" s="1813">
        <v>2257</v>
      </c>
      <c r="E10953" s="2097">
        <v>0.34994154998314997</v>
      </c>
      <c r="F10953" s="2545">
        <v>1.0498246499494499E-2</v>
      </c>
      <c r="H10953" t="str">
        <f>VLOOKUP(B10953,indexy!$A$44:$D$823,3,FALSE)</f>
        <v>SVT LN Equity</v>
      </c>
    </row>
    <row r="10954" spans="1:12" hidden="1" outlineLevel="1" x14ac:dyDescent="0.25">
      <c r="A10954" s="1813">
        <v>0.05</v>
      </c>
      <c r="B10954" s="1928" t="s">
        <v>1857</v>
      </c>
      <c r="C10954" s="1902">
        <v>1364</v>
      </c>
      <c r="D10954" s="1813">
        <v>1526</v>
      </c>
      <c r="E10954" s="2097">
        <v>0.1187683284457477</v>
      </c>
      <c r="F10954" s="2545">
        <v>5.9384164222873849E-3</v>
      </c>
      <c r="H10954" t="str">
        <f>VLOOKUP(B10954,indexy!$A$44:$D$823,3,FALSE)</f>
        <v>SSE LN Equity</v>
      </c>
    </row>
    <row r="10955" spans="1:12" hidden="1" outlineLevel="1" x14ac:dyDescent="0.25">
      <c r="A10955" s="1813">
        <v>7.0000000000000007E-2</v>
      </c>
      <c r="B10955" s="1928" t="s">
        <v>1239</v>
      </c>
      <c r="C10955" s="1902">
        <v>368.7</v>
      </c>
      <c r="D10955" s="1813">
        <v>495.2</v>
      </c>
      <c r="E10955" s="2097">
        <v>0.34309736913479805</v>
      </c>
      <c r="F10955" s="2545">
        <v>2.4016815839435865E-2</v>
      </c>
      <c r="H10955" t="str">
        <f>VLOOKUP(B10955,indexy!$A$44:$D$823,3,FALSE)</f>
        <v>SCMN SE Equity</v>
      </c>
    </row>
    <row r="10956" spans="1:12" hidden="1" outlineLevel="1" x14ac:dyDescent="0.25">
      <c r="A10956" s="1813">
        <v>0.02</v>
      </c>
      <c r="B10956" s="1813" t="s">
        <v>3022</v>
      </c>
      <c r="C10956" s="1902">
        <v>3340</v>
      </c>
      <c r="D10956" s="1813">
        <v>5427</v>
      </c>
      <c r="E10956" s="2097">
        <v>0.62485029940119752</v>
      </c>
      <c r="F10956" s="2545">
        <v>1.2497005988023951E-2</v>
      </c>
      <c r="H10956" t="str">
        <f>VLOOKUP(B10956,indexy!$A$44:$D$823,3,FALSE)</f>
        <v>4502 JT Equity</v>
      </c>
    </row>
    <row r="10957" spans="1:12" hidden="1" outlineLevel="1" x14ac:dyDescent="0.25">
      <c r="A10957" s="1813">
        <v>0.05</v>
      </c>
      <c r="B10957" s="1928" t="s">
        <v>434</v>
      </c>
      <c r="C10957" s="1902">
        <v>43.52</v>
      </c>
      <c r="D10957" s="1813">
        <v>39.14</v>
      </c>
      <c r="E10957" s="2097">
        <v>-0.10064338235294124</v>
      </c>
      <c r="F10957" s="2545">
        <v>-5.0321691176470618E-3</v>
      </c>
      <c r="H10957" t="str">
        <f>VLOOKUP(B10957,indexy!$A$44:$D$823,3,FALSE)</f>
        <v>TELIA SS Equity</v>
      </c>
    </row>
    <row r="10958" spans="1:12" hidden="1" outlineLevel="1" x14ac:dyDescent="0.25">
      <c r="A10958" s="1813">
        <v>0.03</v>
      </c>
      <c r="B10958" s="2544" t="s">
        <v>106</v>
      </c>
      <c r="C10958" s="1902">
        <v>2077</v>
      </c>
      <c r="D10958" s="1813">
        <v>3279.5</v>
      </c>
      <c r="E10958" s="2097">
        <v>0.57896003851709188</v>
      </c>
      <c r="F10958" s="2545">
        <v>1.7368801155512755E-2</v>
      </c>
      <c r="H10958" t="str">
        <f>VLOOKUP(B10958,indexy!$A$44:$D$823,3,FALSE)</f>
        <v>ULVR LN Equity</v>
      </c>
    </row>
    <row r="10959" spans="1:12" hidden="1" outlineLevel="1" x14ac:dyDescent="0.25">
      <c r="A10959" s="1813">
        <v>0.02</v>
      </c>
      <c r="B10959" s="2544" t="s">
        <v>2983</v>
      </c>
      <c r="C10959" s="1902">
        <v>663</v>
      </c>
      <c r="D10959" s="1813">
        <v>961</v>
      </c>
      <c r="E10959" s="2097">
        <v>0.44947209653092002</v>
      </c>
      <c r="F10959" s="2545">
        <v>8.9894419306184008E-3</v>
      </c>
      <c r="H10959" t="str">
        <f>VLOOKUP(B10959,indexy!$A$44:$D$823,3,FALSE)</f>
        <v>UU/ LN Equity</v>
      </c>
    </row>
    <row r="10960" spans="1:12" hidden="1" outlineLevel="1" x14ac:dyDescent="0.25">
      <c r="A10960" s="1813">
        <v>0.02</v>
      </c>
      <c r="B10960" s="1903" t="s">
        <v>255</v>
      </c>
      <c r="C10960" s="1902">
        <v>43.55</v>
      </c>
      <c r="D10960" s="1813">
        <v>51.35</v>
      </c>
      <c r="E10960" s="2097">
        <v>0.17910447761194037</v>
      </c>
      <c r="F10960" s="2545">
        <v>3.5820895522388073E-3</v>
      </c>
      <c r="H10960" t="str">
        <f>VLOOKUP(B10960,indexy!$A$44:$D$823,3,FALSE)</f>
        <v>VZ UN Equity</v>
      </c>
    </row>
    <row r="10961" spans="1:12" hidden="1" outlineLevel="1" x14ac:dyDescent="0.25">
      <c r="A10961" s="1813">
        <v>0.02</v>
      </c>
      <c r="B10961" s="1930" t="s">
        <v>2874</v>
      </c>
      <c r="C10961" s="2562">
        <v>28.87</v>
      </c>
      <c r="D10961" s="1813">
        <v>40.83</v>
      </c>
      <c r="E10961" s="1813">
        <v>0.4142708694146171</v>
      </c>
      <c r="F10961" s="2545">
        <v>8.2854173882923425E-3</v>
      </c>
      <c r="H10961" t="str">
        <f>VLOOKUP(B10961,indexy!$A$44:$D$823,3,FALSE)</f>
        <v>XEL US Equity</v>
      </c>
    </row>
    <row r="10962" spans="1:12" hidden="1" outlineLevel="1" x14ac:dyDescent="0.25">
      <c r="A10962" s="1813"/>
      <c r="B10962" s="1813"/>
      <c r="C10962" s="1813"/>
      <c r="D10962" s="1813"/>
      <c r="E10962" s="1813"/>
      <c r="F10962" s="2459">
        <v>0.39937323238730787</v>
      </c>
    </row>
    <row r="10963" spans="1:12" collapsed="1" x14ac:dyDescent="0.25">
      <c r="A10963" s="3801" t="s">
        <v>5339</v>
      </c>
      <c r="B10963" s="3802"/>
      <c r="C10963" s="3802"/>
      <c r="D10963" s="3802"/>
      <c r="E10963" s="1906"/>
      <c r="F10963" s="1907">
        <v>0.40460083333333335</v>
      </c>
    </row>
    <row r="10965" spans="1:12" hidden="1" outlineLevel="1" x14ac:dyDescent="0.25">
      <c r="A10965" s="689" t="s">
        <v>113</v>
      </c>
      <c r="B10965" s="689" t="s">
        <v>114</v>
      </c>
      <c r="C10965" s="689" t="s">
        <v>112</v>
      </c>
      <c r="D10965" s="689" t="s">
        <v>116</v>
      </c>
      <c r="E10965" s="689" t="s">
        <v>117</v>
      </c>
      <c r="F10965" s="1188" t="s">
        <v>121</v>
      </c>
    </row>
    <row r="10966" spans="1:12" hidden="1" outlineLevel="1" x14ac:dyDescent="0.25">
      <c r="A10966" s="690">
        <v>1</v>
      </c>
      <c r="B10966" s="691" t="s">
        <v>252</v>
      </c>
      <c r="C10966" s="692">
        <v>100</v>
      </c>
      <c r="D10966" s="692"/>
      <c r="E10966" s="693"/>
      <c r="F10966" s="694"/>
    </row>
    <row r="10967" spans="1:12" hidden="1" outlineLevel="1" x14ac:dyDescent="0.25">
      <c r="A10967" s="695"/>
      <c r="B10967" s="695"/>
      <c r="C10967" s="696"/>
      <c r="D10967" s="697" t="s">
        <v>3702</v>
      </c>
      <c r="E10967" s="698">
        <f>indexy!$B$2</f>
        <v>45379</v>
      </c>
      <c r="F10967" s="699"/>
    </row>
    <row r="10968" spans="1:12" hidden="1" outlineLevel="1" x14ac:dyDescent="0.25">
      <c r="A10968" s="1164" t="s">
        <v>4156</v>
      </c>
      <c r="B10968" s="899" t="s">
        <v>4153</v>
      </c>
      <c r="C10968" s="700" t="s">
        <v>112</v>
      </c>
      <c r="D10968" s="1164" t="s">
        <v>4155</v>
      </c>
      <c r="E10968" s="1164" t="s">
        <v>4154</v>
      </c>
      <c r="F10968" s="1056" t="s">
        <v>2519</v>
      </c>
      <c r="G10968" s="314"/>
      <c r="H10968" s="314"/>
      <c r="J10968" t="s">
        <v>2040</v>
      </c>
    </row>
    <row r="10969" spans="1:12" hidden="1" outlineLevel="1" x14ac:dyDescent="0.25">
      <c r="A10969" s="1127">
        <v>0.02</v>
      </c>
      <c r="B10969" s="1012" t="s">
        <v>1993</v>
      </c>
      <c r="C10969" s="848">
        <v>35.909999999999997</v>
      </c>
      <c r="D10969" s="1024">
        <f>VLOOKUP(H10969,indexy!$C$44:$D$823,2,FALSE)</f>
        <v>43.62</v>
      </c>
      <c r="E10969" s="911">
        <f>D10969/C10969-1</f>
        <v>0.21470342522974106</v>
      </c>
      <c r="F10969" s="1021">
        <f>E10969*A10969</f>
        <v>4.2940685045948215E-3</v>
      </c>
      <c r="H10969" t="str">
        <f>VLOOKUP(B10969,indexy!$A$44:$D$823,3,FALSE)</f>
        <v>MO UN Equity</v>
      </c>
      <c r="J10969" s="256">
        <v>42036</v>
      </c>
      <c r="K10969">
        <v>139.78110000000001</v>
      </c>
      <c r="L10969" s="37">
        <f>IF(K10969="",F10999,K10969/100-1)</f>
        <v>0.39781100000000014</v>
      </c>
    </row>
    <row r="10970" spans="1:12" hidden="1" outlineLevel="1" x14ac:dyDescent="0.25">
      <c r="A10970" s="849">
        <v>7.0000000000000007E-2</v>
      </c>
      <c r="B10970" s="1012" t="s">
        <v>2942</v>
      </c>
      <c r="C10970" s="851">
        <f>3640/5</f>
        <v>728</v>
      </c>
      <c r="D10970" s="1026">
        <f>VLOOKUP(H10970,indexy!$C$44:$D$823,2,FALSE)</f>
        <v>1625</v>
      </c>
      <c r="E10970" s="909">
        <f t="shared" ref="E10970:E10998" si="216">D10970/C10970-1</f>
        <v>1.2321428571428572</v>
      </c>
      <c r="F10970" s="946">
        <f t="shared" ref="F10970:F10998" si="217">E10970*A10970</f>
        <v>8.6250000000000007E-2</v>
      </c>
      <c r="H10970" t="str">
        <f>VLOOKUP(B10970,indexy!$A$44:$D$823,3,FALSE)</f>
        <v>4503 JT Equity</v>
      </c>
      <c r="J10970" s="256">
        <v>42064</v>
      </c>
      <c r="K10970">
        <v>138.74250000000001</v>
      </c>
      <c r="L10970" s="37">
        <f>IF(K10970="",L10969,K10970/100-1)</f>
        <v>0.38742500000000013</v>
      </c>
    </row>
    <row r="10971" spans="1:12" hidden="1" outlineLevel="1" x14ac:dyDescent="0.25">
      <c r="A10971" s="849">
        <v>7.0000000000000007E-2</v>
      </c>
      <c r="B10971" s="1319" t="s">
        <v>3998</v>
      </c>
      <c r="C10971" s="851">
        <v>35.29</v>
      </c>
      <c r="D10971" s="1026">
        <f>VLOOKUP(H10971,indexy!$C$44:$D$823,2,FALSE)</f>
        <v>17.600000000000001</v>
      </c>
      <c r="E10971" s="909">
        <f t="shared" si="216"/>
        <v>-0.50127514876735613</v>
      </c>
      <c r="F10971" s="946">
        <f t="shared" si="217"/>
        <v>-3.5089260413714934E-2</v>
      </c>
      <c r="H10971" t="str">
        <f>VLOOKUP(B10971,indexy!$A$44:$D$823,3,FALSE)</f>
        <v>T UN Equity</v>
      </c>
      <c r="J10971" s="256">
        <v>42095</v>
      </c>
      <c r="K10971">
        <v>139.23660000000001</v>
      </c>
      <c r="L10971" s="37">
        <f>IF(K10971="",L10970,K10971/100-1)</f>
        <v>0.39236599999999999</v>
      </c>
    </row>
    <row r="10972" spans="1:12" hidden="1" outlineLevel="1" x14ac:dyDescent="0.25">
      <c r="A10972" s="849">
        <v>0.03</v>
      </c>
      <c r="B10972" s="1319" t="s">
        <v>805</v>
      </c>
      <c r="C10972" s="851">
        <v>58.11</v>
      </c>
      <c r="D10972" s="1026">
        <f>VLOOKUP(H10972,indexy!$C$44:$D$823,2,FALSE)</f>
        <v>132.25</v>
      </c>
      <c r="E10972" s="909">
        <f t="shared" si="216"/>
        <v>1.2758561349165376</v>
      </c>
      <c r="F10972" s="946">
        <f t="shared" si="217"/>
        <v>3.8275684047496129E-2</v>
      </c>
      <c r="H10972" t="str">
        <f>VLOOKUP(B10972,indexy!$A$44:$D$823,3,FALSE)</f>
        <v>BMO CT Equity</v>
      </c>
      <c r="J10972" s="256">
        <v>42125</v>
      </c>
      <c r="K10972">
        <v>139.52019999999999</v>
      </c>
      <c r="L10972" s="37">
        <f>IF(K10972="",L10971,K10972/100-1)</f>
        <v>0.39520199999999983</v>
      </c>
    </row>
    <row r="10973" spans="1:12" hidden="1" outlineLevel="1" x14ac:dyDescent="0.25">
      <c r="A10973" s="849">
        <v>0.03</v>
      </c>
      <c r="B10973" s="706" t="s">
        <v>807</v>
      </c>
      <c r="C10973" s="851">
        <v>41.98</v>
      </c>
      <c r="D10973" s="1026">
        <f>VLOOKUP(H10973,indexy!$C$44:$D$823,2,FALSE)</f>
        <v>46.03</v>
      </c>
      <c r="E10973" s="909">
        <f t="shared" si="216"/>
        <v>9.6474511672224983E-2</v>
      </c>
      <c r="F10973" s="946">
        <f t="shared" si="217"/>
        <v>2.8942353501667495E-3</v>
      </c>
      <c r="H10973" t="str">
        <f>VLOOKUP(B10973,indexy!$A$44:$D$823,3,FALSE)</f>
        <v>BCE CT Equity</v>
      </c>
      <c r="J10973" s="256">
        <v>42156</v>
      </c>
      <c r="K10973">
        <v>133.92930000000001</v>
      </c>
      <c r="L10973" s="37">
        <f>IF(K10973="",L10972,K10973/100-1)</f>
        <v>0.33929300000000007</v>
      </c>
    </row>
    <row r="10974" spans="1:12" hidden="1" outlineLevel="1" x14ac:dyDescent="0.25">
      <c r="A10974" s="849">
        <v>0.02</v>
      </c>
      <c r="B10974" s="853" t="s">
        <v>4377</v>
      </c>
      <c r="C10974" s="851">
        <v>35.42</v>
      </c>
      <c r="D10974" s="1026">
        <f>VLOOKUP(H10974,indexy!$C$44:$D$823,2,FALSE)</f>
        <v>54.23</v>
      </c>
      <c r="E10974" s="909">
        <f t="shared" si="216"/>
        <v>0.53105590062111796</v>
      </c>
      <c r="F10974" s="946">
        <f t="shared" si="217"/>
        <v>1.0621118012422359E-2</v>
      </c>
      <c r="H10974" t="str">
        <f>VLOOKUP(B10974,indexy!$A$44:$D$823,3,FALSE)</f>
        <v>BMY UN Equity</v>
      </c>
      <c r="J10974" s="256">
        <v>42186</v>
      </c>
      <c r="K10974">
        <v>141.428</v>
      </c>
      <c r="L10974" s="37">
        <f>IF(K10974="",L10973,K10974/100-1)</f>
        <v>0.41427999999999998</v>
      </c>
    </row>
    <row r="10975" spans="1:12" hidden="1" outlineLevel="1" x14ac:dyDescent="0.25">
      <c r="A10975" s="849">
        <v>0.02</v>
      </c>
      <c r="B10975" s="695" t="s">
        <v>3954</v>
      </c>
      <c r="C10975" s="851">
        <v>71.7</v>
      </c>
      <c r="D10975" s="1026">
        <f>VLOOKUP(H10975,indexy!$C$44:$D$823,2,FALSE)</f>
        <v>68.67</v>
      </c>
      <c r="E10975" s="909">
        <f t="shared" si="216"/>
        <v>-4.2259414225941483E-2</v>
      </c>
      <c r="F10975" s="946">
        <f t="shared" si="217"/>
        <v>-8.4518828451882969E-4</v>
      </c>
      <c r="H10975" t="str">
        <f>VLOOKUP(B10975,indexy!$A$44:$D$823,3,FALSE)</f>
        <v>CM CT Equity</v>
      </c>
      <c r="J10975" s="412" t="s">
        <v>2465</v>
      </c>
      <c r="L10975" s="261">
        <f>AVERAGE(L10969:L10974)</f>
        <v>0.3877295</v>
      </c>
    </row>
    <row r="10976" spans="1:12" hidden="1" outlineLevel="1" x14ac:dyDescent="0.25">
      <c r="A10976" s="849">
        <v>0.05</v>
      </c>
      <c r="B10976" s="695" t="s">
        <v>1319</v>
      </c>
      <c r="C10976" s="851">
        <v>63.77</v>
      </c>
      <c r="D10976" s="1026">
        <f>VLOOKUP(H10976,indexy!$C$44:$D$823,2,FALSE)</f>
        <v>90.81</v>
      </c>
      <c r="E10976" s="909">
        <f t="shared" si="216"/>
        <v>0.42402383565940083</v>
      </c>
      <c r="F10976" s="946">
        <f t="shared" si="217"/>
        <v>2.1201191782970044E-2</v>
      </c>
      <c r="H10976" t="str">
        <f>VLOOKUP(B10976,indexy!$A$44:$D$823,3,FALSE)</f>
        <v>ED UN Equity</v>
      </c>
    </row>
    <row r="10977" spans="1:8" hidden="1" outlineLevel="1" x14ac:dyDescent="0.25">
      <c r="A10977" s="849">
        <v>0.02</v>
      </c>
      <c r="B10977" s="710" t="s">
        <v>1231</v>
      </c>
      <c r="C10977" s="851">
        <v>66.22</v>
      </c>
      <c r="D10977" s="1026">
        <f>VLOOKUP(H10977,indexy!$C$44:$D$823,2,FALSE)</f>
        <v>96.71</v>
      </c>
      <c r="E10977" s="909">
        <f t="shared" si="216"/>
        <v>0.46043491392328595</v>
      </c>
      <c r="F10977" s="946">
        <f t="shared" si="217"/>
        <v>9.2086982784657188E-3</v>
      </c>
      <c r="H10977" t="str">
        <f>VLOOKUP(B10977,indexy!$A$44:$D$823,3,FALSE)</f>
        <v>DUK UN Equity</v>
      </c>
    </row>
    <row r="10978" spans="1:8" hidden="1" outlineLevel="1" x14ac:dyDescent="0.25">
      <c r="A10978" s="849">
        <v>0.02</v>
      </c>
      <c r="B10978" s="1018" t="s">
        <v>496</v>
      </c>
      <c r="C10978" s="851">
        <v>16.440000000000001</v>
      </c>
      <c r="D10978" s="1026" t="e">
        <f>VLOOKUP(H10978,indexy!$C$44:$D$823,2,FALSE)</f>
        <v>#N/A</v>
      </c>
      <c r="E10978" s="909" t="e">
        <f t="shared" si="216"/>
        <v>#N/A</v>
      </c>
      <c r="F10978" s="946" t="e">
        <f t="shared" si="217"/>
        <v>#N/A</v>
      </c>
      <c r="H10978" t="e">
        <f>VLOOKUP(B10978,indexy!$A$44:$D$823,3,FALSE)</f>
        <v>#N/A</v>
      </c>
    </row>
    <row r="10979" spans="1:8" hidden="1" outlineLevel="1" x14ac:dyDescent="0.25">
      <c r="A10979" s="849">
        <v>0.02</v>
      </c>
      <c r="B10979" s="1012" t="s">
        <v>3798</v>
      </c>
      <c r="C10979" s="851">
        <v>2.222</v>
      </c>
      <c r="D10979" s="1026">
        <f>VLOOKUP(H10979,indexy!$C$44:$D$823,2,FALSE)</f>
        <v>6.1189999999999998</v>
      </c>
      <c r="E10979" s="909">
        <f t="shared" si="216"/>
        <v>1.7538253825382539</v>
      </c>
      <c r="F10979" s="946">
        <f t="shared" si="217"/>
        <v>3.5076507650765081E-2</v>
      </c>
      <c r="H10979" t="str">
        <f>VLOOKUP(B10979,indexy!$A$44:$D$823,3,FALSE)</f>
        <v>ENEL IM Equity</v>
      </c>
    </row>
    <row r="10980" spans="1:8" hidden="1" outlineLevel="1" x14ac:dyDescent="0.25">
      <c r="A10980" s="849">
        <v>0.02</v>
      </c>
      <c r="B10980" s="710" t="s">
        <v>5232</v>
      </c>
      <c r="C10980" s="851">
        <v>71.31</v>
      </c>
      <c r="D10980" s="1026">
        <f>VLOOKUP(H10980,indexy!$C$44:$D$823,2,FALSE)</f>
        <v>105.68</v>
      </c>
      <c r="E10980" s="909">
        <f t="shared" si="216"/>
        <v>0.48198008694432759</v>
      </c>
      <c r="F10980" s="946">
        <f t="shared" si="217"/>
        <v>9.639601738886552E-3</v>
      </c>
      <c r="H10980" t="str">
        <f>VLOOKUP(B10980,indexy!$A$44:$D$823,3,FALSE)</f>
        <v>ETR UN Equity</v>
      </c>
    </row>
    <row r="10981" spans="1:8" hidden="1" outlineLevel="1" x14ac:dyDescent="0.25">
      <c r="A10981" s="849">
        <v>0.03</v>
      </c>
      <c r="B10981" s="695" t="s">
        <v>4338</v>
      </c>
      <c r="C10981" s="851">
        <v>17.559999999999999</v>
      </c>
      <c r="D10981" s="1026">
        <f>VLOOKUP(H10981,indexy!$C$44:$D$823,2,FALSE)</f>
        <v>15.51</v>
      </c>
      <c r="E10981" s="909">
        <f t="shared" si="216"/>
        <v>-0.11674259681093391</v>
      </c>
      <c r="F10981" s="946">
        <f t="shared" si="217"/>
        <v>-3.5022779043280172E-3</v>
      </c>
      <c r="H10981" t="str">
        <f>VLOOKUP(B10981,indexy!$A$44:$D$823,3,FALSE)</f>
        <v>ENGI FP Equity</v>
      </c>
    </row>
    <row r="10982" spans="1:8" hidden="1" outlineLevel="1" x14ac:dyDescent="0.25">
      <c r="A10982" s="849">
        <v>0.02</v>
      </c>
      <c r="B10982" s="711" t="s">
        <v>3799</v>
      </c>
      <c r="C10982" s="851">
        <v>1474.5</v>
      </c>
      <c r="D10982" s="1026">
        <f>VLOOKUP(H10982,indexy!$C$44:$D$823,2,FALSE)</f>
        <v>1708.6</v>
      </c>
      <c r="E10982" s="909">
        <f t="shared" si="216"/>
        <v>0.15876568328246865</v>
      </c>
      <c r="F10982" s="946">
        <f t="shared" si="217"/>
        <v>3.1753136656493732E-3</v>
      </c>
      <c r="H10982" t="str">
        <f>VLOOKUP(B10982,indexy!$A$44:$D$823,3,FALSE)</f>
        <v>GSK LN Equity</v>
      </c>
    </row>
    <row r="10983" spans="1:8" hidden="1" outlineLevel="1" x14ac:dyDescent="0.25">
      <c r="A10983" s="849">
        <v>0.02</v>
      </c>
      <c r="B10983" s="712" t="s">
        <v>1381</v>
      </c>
      <c r="C10983" s="851">
        <v>84.83</v>
      </c>
      <c r="D10983" s="1026">
        <f>VLOOKUP(H10983,indexy!$C$44:$D$823,2,FALSE)</f>
        <v>129.35</v>
      </c>
      <c r="E10983" s="909">
        <f t="shared" si="216"/>
        <v>0.52481433455145576</v>
      </c>
      <c r="F10983" s="946">
        <f t="shared" si="217"/>
        <v>1.0496286691029115E-2</v>
      </c>
      <c r="H10983" t="str">
        <f>VLOOKUP(B10983,indexy!$A$44:$D$823,3,FALSE)</f>
        <v>KMB UN Equity</v>
      </c>
    </row>
    <row r="10984" spans="1:8" hidden="1" outlineLevel="1" x14ac:dyDescent="0.25">
      <c r="A10984" s="849">
        <v>0.02</v>
      </c>
      <c r="B10984" s="1012" t="s">
        <v>4143</v>
      </c>
      <c r="C10984" s="851">
        <v>7.423</v>
      </c>
      <c r="D10984" s="1026">
        <f>VLOOKUP(H10984,indexy!$C$44:$D$823,2,FALSE)</f>
        <v>3.4660000000000002</v>
      </c>
      <c r="E10984" s="909">
        <f t="shared" si="216"/>
        <v>-0.53307288158426513</v>
      </c>
      <c r="F10984" s="946">
        <f t="shared" si="217"/>
        <v>-1.0661457631685302E-2</v>
      </c>
      <c r="H10984" t="str">
        <f>VLOOKUP(B10984,indexy!$A$44:$D$823,3,FALSE)</f>
        <v>KPN NA Equity</v>
      </c>
    </row>
    <row r="10985" spans="1:8" hidden="1" outlineLevel="1" x14ac:dyDescent="0.25">
      <c r="A10985" s="849">
        <v>0.02</v>
      </c>
      <c r="B10985" s="1012" t="s">
        <v>1905</v>
      </c>
      <c r="C10985" s="851">
        <v>43.41</v>
      </c>
      <c r="D10985" s="1026">
        <f>VLOOKUP(H10985,indexy!$C$44:$D$823,2,FALSE)</f>
        <v>131.94999999999999</v>
      </c>
      <c r="E10985" s="909">
        <f t="shared" si="216"/>
        <v>2.0396222068647778</v>
      </c>
      <c r="F10985" s="946">
        <f t="shared" si="217"/>
        <v>4.0792444137295554E-2</v>
      </c>
      <c r="H10985" t="str">
        <f>VLOOKUP(B10985,indexy!$A$44:$D$823,3,FALSE)</f>
        <v>MRK UN Equity</v>
      </c>
    </row>
    <row r="10986" spans="1:8" hidden="1" outlineLevel="1" x14ac:dyDescent="0.25">
      <c r="A10986" s="849">
        <v>7.0000000000000007E-2</v>
      </c>
      <c r="B10986" s="1012" t="s">
        <v>2787</v>
      </c>
      <c r="C10986" s="851">
        <v>56.2</v>
      </c>
      <c r="D10986" s="1026">
        <f>VLOOKUP(H10986,indexy!$C$44:$D$823,2,FALSE)</f>
        <v>87.37</v>
      </c>
      <c r="E10986" s="909">
        <f t="shared" si="216"/>
        <v>0.55462633451957299</v>
      </c>
      <c r="F10986" s="946">
        <f t="shared" si="217"/>
        <v>3.8823843416370116E-2</v>
      </c>
      <c r="H10986" t="str">
        <f>VLOOKUP(B10986,indexy!$A$44:$D$823,3,FALSE)</f>
        <v>NOVN SE Equity</v>
      </c>
    </row>
    <row r="10987" spans="1:8" hidden="1" outlineLevel="1" x14ac:dyDescent="0.25">
      <c r="A10987" s="849">
        <v>0.03</v>
      </c>
      <c r="B10987" s="743" t="s">
        <v>4273</v>
      </c>
      <c r="C10987" s="851">
        <f>132200/100</f>
        <v>1322</v>
      </c>
      <c r="D10987" s="1026">
        <f>VLOOKUP(H10987,indexy!$C$44:$D$823,2,FALSE)</f>
        <v>3880</v>
      </c>
      <c r="E10987" s="909">
        <f t="shared" si="216"/>
        <v>1.9349470499243568</v>
      </c>
      <c r="F10987" s="946">
        <f t="shared" si="217"/>
        <v>5.8048411497730705E-2</v>
      </c>
      <c r="H10987" t="str">
        <f>VLOOKUP(B10987,indexy!$A$44:$D$823,3,FALSE)</f>
        <v>9437 JT Equity</v>
      </c>
    </row>
    <row r="10988" spans="1:8" hidden="1" outlineLevel="1" x14ac:dyDescent="0.25">
      <c r="A10988" s="849">
        <v>0.02</v>
      </c>
      <c r="B10988" s="712" t="s">
        <v>2753</v>
      </c>
      <c r="C10988" s="851">
        <v>46.12</v>
      </c>
      <c r="D10988" s="1026">
        <f>VLOOKUP(H10988,indexy!$C$44:$D$823,2,FALSE)</f>
        <v>65.400000000000006</v>
      </c>
      <c r="E10988" s="909">
        <f t="shared" si="216"/>
        <v>0.41803989592367752</v>
      </c>
      <c r="F10988" s="946">
        <f t="shared" si="217"/>
        <v>8.3607979184735504E-3</v>
      </c>
      <c r="H10988" t="str">
        <f>VLOOKUP(B10988,indexy!$A$44:$D$823,3,FALSE)</f>
        <v>RAI UN Equity</v>
      </c>
    </row>
    <row r="10989" spans="1:8" hidden="1" outlineLevel="1" x14ac:dyDescent="0.25">
      <c r="A10989" s="849">
        <v>7.0000000000000007E-2</v>
      </c>
      <c r="B10989" s="853" t="s">
        <v>3800</v>
      </c>
      <c r="C10989" s="851">
        <v>171</v>
      </c>
      <c r="D10989" s="1026">
        <f>VLOOKUP(H10989,indexy!$C$44:$D$823,2,FALSE)</f>
        <v>229.7</v>
      </c>
      <c r="E10989" s="909">
        <f t="shared" si="216"/>
        <v>0.34327485380116962</v>
      </c>
      <c r="F10989" s="946">
        <f t="shared" si="217"/>
        <v>2.4029239766081876E-2</v>
      </c>
      <c r="H10989" t="str">
        <f>VLOOKUP(B10989,indexy!$A$44:$D$823,3,FALSE)</f>
        <v>ROG SE Equity</v>
      </c>
    </row>
    <row r="10990" spans="1:8" hidden="1" outlineLevel="1" x14ac:dyDescent="0.25">
      <c r="A10990" s="849">
        <v>0.03</v>
      </c>
      <c r="B10990" s="695" t="s">
        <v>4460</v>
      </c>
      <c r="C10990" s="1337">
        <v>1727</v>
      </c>
      <c r="D10990" s="1026">
        <f>VLOOKUP(H10990,indexy!$C$44:$D$823,2,FALSE)</f>
        <v>2470</v>
      </c>
      <c r="E10990" s="909">
        <f t="shared" si="216"/>
        <v>0.43022582513028373</v>
      </c>
      <c r="F10990" s="946">
        <f t="shared" si="217"/>
        <v>1.2906774753908511E-2</v>
      </c>
      <c r="H10990" t="str">
        <f>VLOOKUP(B10990,indexy!$A$44:$D$823,3,FALSE)</f>
        <v>SVT LN Equity</v>
      </c>
    </row>
    <row r="10991" spans="1:8" hidden="1" outlineLevel="1" x14ac:dyDescent="0.25">
      <c r="A10991" s="849">
        <v>0.05</v>
      </c>
      <c r="B10991" s="712" t="s">
        <v>1857</v>
      </c>
      <c r="C10991" s="851">
        <v>1393</v>
      </c>
      <c r="D10991" s="1026">
        <f>VLOOKUP(H10991,indexy!$C$44:$D$823,2,FALSE)</f>
        <v>1650</v>
      </c>
      <c r="E10991" s="909">
        <f t="shared" si="216"/>
        <v>0.18449389806173722</v>
      </c>
      <c r="F10991" s="946">
        <f t="shared" si="217"/>
        <v>9.2246949030868608E-3</v>
      </c>
      <c r="H10991" t="str">
        <f>VLOOKUP(B10991,indexy!$A$44:$D$823,3,FALSE)</f>
        <v>SSE LN Equity</v>
      </c>
    </row>
    <row r="10992" spans="1:8" hidden="1" outlineLevel="1" x14ac:dyDescent="0.25">
      <c r="A10992" s="849">
        <v>7.0000000000000007E-2</v>
      </c>
      <c r="B10992" s="712" t="s">
        <v>1239</v>
      </c>
      <c r="C10992" s="851">
        <v>382</v>
      </c>
      <c r="D10992" s="1026">
        <f>VLOOKUP(H10992,indexy!$C$44:$D$823,2,FALSE)</f>
        <v>551.4</v>
      </c>
      <c r="E10992" s="909">
        <f t="shared" si="216"/>
        <v>0.44345549738219892</v>
      </c>
      <c r="F10992" s="946">
        <f t="shared" si="217"/>
        <v>3.1041884816753927E-2</v>
      </c>
      <c r="H10992" t="str">
        <f>VLOOKUP(B10992,indexy!$A$44:$D$823,3,FALSE)</f>
        <v>SCMN SE Equity</v>
      </c>
    </row>
    <row r="10993" spans="1:8" hidden="1" outlineLevel="1" x14ac:dyDescent="0.25">
      <c r="A10993" s="849">
        <v>0.02</v>
      </c>
      <c r="B10993" s="1012" t="s">
        <v>3022</v>
      </c>
      <c r="C10993" s="851">
        <v>3600</v>
      </c>
      <c r="D10993" s="1026">
        <f>VLOOKUP(H10993,indexy!$C$44:$D$823,2,FALSE)</f>
        <v>4203</v>
      </c>
      <c r="E10993" s="909">
        <f t="shared" si="216"/>
        <v>0.16749999999999998</v>
      </c>
      <c r="F10993" s="946">
        <f t="shared" si="217"/>
        <v>3.3499999999999997E-3</v>
      </c>
      <c r="H10993" t="str">
        <f>VLOOKUP(B10993,indexy!$A$44:$D$823,3,FALSE)</f>
        <v>4502 JT Equity</v>
      </c>
    </row>
    <row r="10994" spans="1:8" hidden="1" outlineLevel="1" x14ac:dyDescent="0.25">
      <c r="A10994" s="849">
        <v>0.05</v>
      </c>
      <c r="B10994" s="712" t="s">
        <v>434</v>
      </c>
      <c r="C10994" s="851">
        <v>44.04</v>
      </c>
      <c r="D10994" s="1026">
        <f>VLOOKUP(H10994,indexy!$C$44:$D$823,2,FALSE)</f>
        <v>27.43</v>
      </c>
      <c r="E10994" s="909">
        <f t="shared" si="216"/>
        <v>-0.37715712988192551</v>
      </c>
      <c r="F10994" s="946">
        <f t="shared" si="217"/>
        <v>-1.8857856494096277E-2</v>
      </c>
      <c r="H10994" t="str">
        <f>VLOOKUP(B10994,indexy!$A$44:$D$823,3,FALSE)</f>
        <v>TELIA SS Equity</v>
      </c>
    </row>
    <row r="10995" spans="1:8" hidden="1" outlineLevel="1" x14ac:dyDescent="0.25">
      <c r="A10995" s="849">
        <v>0.03</v>
      </c>
      <c r="B10995" s="987" t="s">
        <v>106</v>
      </c>
      <c r="C10995" s="851">
        <v>2181</v>
      </c>
      <c r="D10995" s="1026">
        <f>VLOOKUP(H10995,indexy!$C$44:$D$823,2,FALSE)</f>
        <v>3975.5</v>
      </c>
      <c r="E10995" s="909">
        <f t="shared" si="216"/>
        <v>0.82278771205868861</v>
      </c>
      <c r="F10995" s="946">
        <f t="shared" si="217"/>
        <v>2.4683631361760657E-2</v>
      </c>
      <c r="H10995" t="str">
        <f>VLOOKUP(B10995,indexy!$A$44:$D$823,3,FALSE)</f>
        <v>ULVR LN Equity</v>
      </c>
    </row>
    <row r="10996" spans="1:8" hidden="1" outlineLevel="1" x14ac:dyDescent="0.25">
      <c r="A10996" s="849">
        <v>0.02</v>
      </c>
      <c r="B10996" s="987" t="s">
        <v>2983</v>
      </c>
      <c r="C10996" s="851">
        <v>698</v>
      </c>
      <c r="D10996" s="1026">
        <f>VLOOKUP(H10996,indexy!$C$44:$D$823,2,FALSE)</f>
        <v>1029</v>
      </c>
      <c r="E10996" s="909">
        <f t="shared" si="216"/>
        <v>0.47421203438395421</v>
      </c>
      <c r="F10996" s="946">
        <f t="shared" si="217"/>
        <v>9.4842406876790835E-3</v>
      </c>
      <c r="H10996" t="str">
        <f>VLOOKUP(B10996,indexy!$A$44:$D$823,3,FALSE)</f>
        <v>UU/ LN Equity</v>
      </c>
    </row>
    <row r="10997" spans="1:8" hidden="1" outlineLevel="1" x14ac:dyDescent="0.25">
      <c r="A10997" s="849">
        <v>0.02</v>
      </c>
      <c r="B10997" s="853" t="s">
        <v>255</v>
      </c>
      <c r="C10997" s="851">
        <v>44.49</v>
      </c>
      <c r="D10997" s="1026">
        <f>VLOOKUP(H10997,indexy!$C$44:$D$823,2,FALSE)</f>
        <v>41.96</v>
      </c>
      <c r="E10997" s="909">
        <f t="shared" si="216"/>
        <v>-5.6866711620588872E-2</v>
      </c>
      <c r="F10997" s="946">
        <f t="shared" si="217"/>
        <v>-1.1373342324117774E-3</v>
      </c>
      <c r="H10997" t="str">
        <f>VLOOKUP(B10997,indexy!$A$44:$D$823,3,FALSE)</f>
        <v>VZ UN Equity</v>
      </c>
    </row>
    <row r="10998" spans="1:8" hidden="1" outlineLevel="1" x14ac:dyDescent="0.25">
      <c r="A10998" s="990">
        <v>0.02</v>
      </c>
      <c r="B10998" s="1338" t="s">
        <v>2874</v>
      </c>
      <c r="C10998" s="1041">
        <v>29.2</v>
      </c>
      <c r="D10998" s="1321">
        <f>VLOOKUP(H10998,indexy!$C$44:$D$823,2,FALSE)</f>
        <v>53.75</v>
      </c>
      <c r="E10998" s="498">
        <f t="shared" si="216"/>
        <v>0.84075342465753433</v>
      </c>
      <c r="F10998" s="946">
        <f t="shared" si="217"/>
        <v>1.6815068493150686E-2</v>
      </c>
      <c r="H10998" t="str">
        <f>VLOOKUP(B10998,indexy!$A$44:$D$823,3,FALSE)</f>
        <v>XEL US Equity</v>
      </c>
    </row>
    <row r="10999" spans="1:8" hidden="1" outlineLevel="1" x14ac:dyDescent="0.25">
      <c r="A10999" s="1022"/>
      <c r="B10999" s="1022"/>
      <c r="C10999" s="1022"/>
      <c r="D10999" s="1022"/>
      <c r="E10999" s="1022"/>
      <c r="F10999" s="731" t="e">
        <f>SUM(F10969:F10998)</f>
        <v>#N/A</v>
      </c>
    </row>
    <row r="11000" spans="1:8" collapsed="1" x14ac:dyDescent="0.25">
      <c r="A11000" s="3801" t="s">
        <v>5340</v>
      </c>
      <c r="B11000" s="3802"/>
      <c r="C11000" s="3802"/>
      <c r="D11000" s="3802"/>
      <c r="E11000" s="721"/>
      <c r="F11000" s="752">
        <f>(L10975+5%)*0.8</f>
        <v>0.35018360000000004</v>
      </c>
      <c r="G11000" s="175" t="s">
        <v>781</v>
      </c>
    </row>
    <row r="11002" spans="1:8" hidden="1" outlineLevel="1" x14ac:dyDescent="0.25">
      <c r="A11002" s="689" t="s">
        <v>113</v>
      </c>
      <c r="B11002" s="689" t="s">
        <v>114</v>
      </c>
      <c r="C11002" s="689" t="s">
        <v>112</v>
      </c>
      <c r="D11002" s="689" t="s">
        <v>116</v>
      </c>
      <c r="E11002" s="689" t="s">
        <v>117</v>
      </c>
      <c r="F11002" s="1188" t="s">
        <v>121</v>
      </c>
      <c r="G11002" s="78"/>
    </row>
    <row r="11003" spans="1:8" hidden="1" outlineLevel="1" x14ac:dyDescent="0.25">
      <c r="A11003" s="695">
        <v>5</v>
      </c>
      <c r="B11003" s="695"/>
      <c r="C11003" s="696"/>
      <c r="D11003" s="697" t="s">
        <v>3702</v>
      </c>
      <c r="E11003" s="698">
        <v>43159</v>
      </c>
      <c r="F11003" s="856"/>
      <c r="G11003" s="78"/>
    </row>
    <row r="11004" spans="1:8" hidden="1" outlineLevel="1" x14ac:dyDescent="0.25">
      <c r="A11004" s="689" t="s">
        <v>4156</v>
      </c>
      <c r="B11004" s="689" t="s">
        <v>4153</v>
      </c>
      <c r="C11004" s="497" t="s">
        <v>112</v>
      </c>
      <c r="D11004" s="689" t="s">
        <v>4155</v>
      </c>
      <c r="E11004" s="689" t="s">
        <v>4154</v>
      </c>
      <c r="F11004" s="1188" t="s">
        <v>734</v>
      </c>
      <c r="G11004" s="78"/>
    </row>
    <row r="11005" spans="1:8" hidden="1" outlineLevel="1" x14ac:dyDescent="0.25">
      <c r="A11005" s="1237">
        <v>0.02</v>
      </c>
      <c r="B11005" t="s">
        <v>1993</v>
      </c>
      <c r="C11005" s="851">
        <v>35.594999999999999</v>
      </c>
      <c r="D11005" s="908">
        <v>62.95</v>
      </c>
      <c r="E11005" s="896">
        <v>0.76850681275460042</v>
      </c>
      <c r="F11005" s="946">
        <v>7.0000000000000007E-2</v>
      </c>
      <c r="G11005" s="78"/>
      <c r="H11005" t="s">
        <v>2812</v>
      </c>
    </row>
    <row r="11006" spans="1:8" hidden="1" outlineLevel="1" x14ac:dyDescent="0.25">
      <c r="A11006" s="1237">
        <v>7.0000000000000007E-2</v>
      </c>
      <c r="B11006" t="s">
        <v>2942</v>
      </c>
      <c r="C11006" s="851">
        <v>756.1</v>
      </c>
      <c r="D11006" s="908">
        <v>1580.5</v>
      </c>
      <c r="E11006" s="896">
        <v>1.0903319666710751</v>
      </c>
      <c r="F11006" s="946">
        <v>7.0000000000000007E-2</v>
      </c>
      <c r="G11006" s="78"/>
      <c r="H11006" t="s">
        <v>2336</v>
      </c>
    </row>
    <row r="11007" spans="1:8" hidden="1" outlineLevel="1" x14ac:dyDescent="0.25">
      <c r="A11007" s="1237">
        <v>7.0000000000000007E-2</v>
      </c>
      <c r="B11007" s="1319" t="s">
        <v>3998</v>
      </c>
      <c r="C11007" s="851">
        <v>37.496000000000002</v>
      </c>
      <c r="D11007" s="908">
        <v>36.299999999999997</v>
      </c>
      <c r="E11007" s="896">
        <v>-3.1896735651802954E-2</v>
      </c>
      <c r="F11007" s="946">
        <v>-3.1896735651802954E-2</v>
      </c>
      <c r="G11007" s="78"/>
      <c r="H11007" t="s">
        <v>4000</v>
      </c>
    </row>
    <row r="11008" spans="1:8" hidden="1" outlineLevel="1" x14ac:dyDescent="0.25">
      <c r="A11008" s="1237">
        <v>0.03</v>
      </c>
      <c r="B11008" s="1319" t="s">
        <v>805</v>
      </c>
      <c r="C11008" s="851">
        <v>57.393999999999998</v>
      </c>
      <c r="D11008" s="908">
        <v>97.44</v>
      </c>
      <c r="E11008" s="896">
        <v>0.69773843955814208</v>
      </c>
      <c r="F11008" s="946">
        <v>7.0000000000000007E-2</v>
      </c>
      <c r="G11008" s="78"/>
      <c r="H11008" t="s">
        <v>806</v>
      </c>
    </row>
    <row r="11009" spans="1:8" hidden="1" outlineLevel="1" x14ac:dyDescent="0.25">
      <c r="A11009" s="1237">
        <v>0.03</v>
      </c>
      <c r="B11009" t="s">
        <v>807</v>
      </c>
      <c r="C11009" s="851">
        <v>43.274999999999999</v>
      </c>
      <c r="D11009" s="908">
        <v>56</v>
      </c>
      <c r="E11009" s="896">
        <v>0.29404968226458705</v>
      </c>
      <c r="F11009" s="946">
        <v>7.0000000000000007E-2</v>
      </c>
      <c r="G11009" s="78"/>
      <c r="H11009" t="s">
        <v>808</v>
      </c>
    </row>
    <row r="11010" spans="1:8" hidden="1" outlineLevel="1" x14ac:dyDescent="0.25">
      <c r="A11010" s="1237">
        <v>0.02</v>
      </c>
      <c r="B11010" s="853" t="s">
        <v>4377</v>
      </c>
      <c r="C11010" s="851">
        <v>33.707000000000001</v>
      </c>
      <c r="D11010" s="908">
        <v>66.2</v>
      </c>
      <c r="E11010" s="896">
        <v>0.96398374224938443</v>
      </c>
      <c r="F11010" s="946">
        <v>7.0000000000000007E-2</v>
      </c>
      <c r="G11010" s="78"/>
      <c r="H11010" t="s">
        <v>4327</v>
      </c>
    </row>
    <row r="11011" spans="1:8" hidden="1" outlineLevel="1" x14ac:dyDescent="0.25">
      <c r="A11011" s="1237">
        <v>0.02</v>
      </c>
      <c r="B11011" s="695" t="s">
        <v>3954</v>
      </c>
      <c r="C11011" s="851">
        <v>73.486999999999995</v>
      </c>
      <c r="D11011" s="908">
        <v>117.2</v>
      </c>
      <c r="E11011" s="896">
        <v>0.59483990365642914</v>
      </c>
      <c r="F11011" s="946">
        <v>7.0000000000000007E-2</v>
      </c>
      <c r="G11011" s="78"/>
      <c r="H11011" t="s">
        <v>3955</v>
      </c>
    </row>
    <row r="11012" spans="1:8" hidden="1" outlineLevel="1" x14ac:dyDescent="0.25">
      <c r="A11012" s="1237">
        <v>0.05</v>
      </c>
      <c r="B11012" s="695" t="s">
        <v>1319</v>
      </c>
      <c r="C11012" s="851">
        <v>64.403000000000006</v>
      </c>
      <c r="D11012" s="908">
        <v>74.89</v>
      </c>
      <c r="E11012" s="896">
        <v>0.16283402947067671</v>
      </c>
      <c r="F11012" s="946">
        <v>7.0000000000000007E-2</v>
      </c>
      <c r="G11012" s="78"/>
      <c r="H11012" t="s">
        <v>1320</v>
      </c>
    </row>
    <row r="11013" spans="1:8" hidden="1" outlineLevel="1" x14ac:dyDescent="0.25">
      <c r="A11013" s="1237">
        <v>0.02</v>
      </c>
      <c r="B11013" s="710" t="s">
        <v>1231</v>
      </c>
      <c r="C11013" s="851">
        <v>67.927000000000007</v>
      </c>
      <c r="D11013" s="908">
        <v>75.34</v>
      </c>
      <c r="E11013" s="896">
        <v>0.10913186214612747</v>
      </c>
      <c r="F11013" s="946">
        <v>7.0000000000000007E-2</v>
      </c>
      <c r="G11013" s="78"/>
      <c r="H11013" t="s">
        <v>2041</v>
      </c>
    </row>
    <row r="11014" spans="1:8" hidden="1" outlineLevel="1" x14ac:dyDescent="0.25">
      <c r="A11014" s="1237">
        <v>0.02</v>
      </c>
      <c r="B11014" s="710" t="s">
        <v>496</v>
      </c>
      <c r="C11014" s="851">
        <v>16.565999999999999</v>
      </c>
      <c r="D11014" s="908">
        <v>10.705</v>
      </c>
      <c r="E11014" s="896">
        <v>-0.35379693347820829</v>
      </c>
      <c r="F11014" s="946">
        <v>-0.35379693347820829</v>
      </c>
      <c r="G11014" s="78"/>
      <c r="H11014" t="s">
        <v>497</v>
      </c>
    </row>
    <row r="11015" spans="1:8" hidden="1" outlineLevel="1" x14ac:dyDescent="0.25">
      <c r="A11015" s="1237">
        <v>0.02</v>
      </c>
      <c r="B11015" s="710" t="s">
        <v>3798</v>
      </c>
      <c r="C11015" s="851">
        <v>2.3466</v>
      </c>
      <c r="D11015" s="908">
        <v>4.7789999999999999</v>
      </c>
      <c r="E11015" s="896">
        <v>1.0365635387368957</v>
      </c>
      <c r="F11015" s="946">
        <v>7.0000000000000007E-2</v>
      </c>
      <c r="G11015" s="78"/>
      <c r="H11015" t="s">
        <v>4122</v>
      </c>
    </row>
    <row r="11016" spans="1:8" hidden="1" outlineLevel="1" x14ac:dyDescent="0.25">
      <c r="A11016" s="1237">
        <v>0.02</v>
      </c>
      <c r="B11016" s="710" t="s">
        <v>5232</v>
      </c>
      <c r="C11016" s="851">
        <v>72.236000000000004</v>
      </c>
      <c r="D11016" s="908">
        <v>75.819999999999993</v>
      </c>
      <c r="E11016" s="896">
        <v>4.9615150340550196E-2</v>
      </c>
      <c r="F11016" s="946">
        <v>7.0000000000000007E-2</v>
      </c>
      <c r="G11016" s="78"/>
      <c r="H11016" t="s">
        <v>5230</v>
      </c>
    </row>
    <row r="11017" spans="1:8" hidden="1" outlineLevel="1" x14ac:dyDescent="0.25">
      <c r="A11017" s="1237">
        <v>0.03</v>
      </c>
      <c r="B11017" s="712" t="s">
        <v>7227</v>
      </c>
      <c r="C11017" s="851">
        <v>18.829000000000001</v>
      </c>
      <c r="D11017" s="908">
        <v>12.875</v>
      </c>
      <c r="E11017" s="896">
        <v>-0.31621435020447186</v>
      </c>
      <c r="F11017" s="946">
        <v>-0.31621435020447186</v>
      </c>
      <c r="G11017" s="78"/>
      <c r="H11017" t="s">
        <v>7229</v>
      </c>
    </row>
    <row r="11018" spans="1:8" hidden="1" outlineLevel="1" x14ac:dyDescent="0.25">
      <c r="A11018" s="1237">
        <v>0.02</v>
      </c>
      <c r="B11018" s="853" t="s">
        <v>3799</v>
      </c>
      <c r="C11018" s="851">
        <v>1486.25</v>
      </c>
      <c r="D11018" s="908">
        <v>1307.2</v>
      </c>
      <c r="E11018" s="896">
        <v>-0.12047098402018497</v>
      </c>
      <c r="F11018" s="946">
        <v>-0.12047098402018497</v>
      </c>
      <c r="G11018" s="78"/>
      <c r="H11018" t="s">
        <v>4128</v>
      </c>
    </row>
    <row r="11019" spans="1:8" hidden="1" outlineLevel="1" x14ac:dyDescent="0.25">
      <c r="A11019" s="1237">
        <v>0.02</v>
      </c>
      <c r="B11019" s="712" t="s">
        <v>1381</v>
      </c>
      <c r="C11019" s="851">
        <v>81.861500000000007</v>
      </c>
      <c r="D11019" s="908">
        <v>110.92</v>
      </c>
      <c r="E11019" s="896">
        <v>0.3549715067522583</v>
      </c>
      <c r="F11019" s="946">
        <v>7.0000000000000007E-2</v>
      </c>
      <c r="G11019" s="78"/>
      <c r="H11019" t="s">
        <v>1383</v>
      </c>
    </row>
    <row r="11020" spans="1:8" hidden="1" outlineLevel="1" x14ac:dyDescent="0.25">
      <c r="A11020" s="1237">
        <v>0.02</v>
      </c>
      <c r="B11020" t="s">
        <v>4143</v>
      </c>
      <c r="C11020" s="851">
        <v>4.0038</v>
      </c>
      <c r="D11020" s="908">
        <v>2.57</v>
      </c>
      <c r="E11020" s="896">
        <v>-0.35810979569409063</v>
      </c>
      <c r="F11020" s="946">
        <v>-0.35810979569409063</v>
      </c>
      <c r="G11020" s="78"/>
      <c r="H11020" t="s">
        <v>4144</v>
      </c>
    </row>
    <row r="11021" spans="1:8" hidden="1" outlineLevel="1" x14ac:dyDescent="0.25">
      <c r="A11021" s="1237">
        <v>0.02</v>
      </c>
      <c r="B11021" t="s">
        <v>1905</v>
      </c>
      <c r="C11021" s="851">
        <v>44.29</v>
      </c>
      <c r="D11021" s="908">
        <v>54.22</v>
      </c>
      <c r="E11021" s="896">
        <v>0.2242041092797471</v>
      </c>
      <c r="F11021" s="946">
        <v>7.0000000000000007E-2</v>
      </c>
      <c r="G11021" s="78"/>
      <c r="H11021" t="s">
        <v>504</v>
      </c>
    </row>
    <row r="11022" spans="1:8" hidden="1" outlineLevel="1" x14ac:dyDescent="0.25">
      <c r="A11022" s="1237">
        <v>7.0000000000000007E-2</v>
      </c>
      <c r="B11022" t="s">
        <v>2787</v>
      </c>
      <c r="C11022" s="851">
        <v>57.39</v>
      </c>
      <c r="D11022" s="908">
        <v>79.16</v>
      </c>
      <c r="E11022" s="896">
        <v>0.37933437881163967</v>
      </c>
      <c r="F11022" s="946">
        <v>7.0000000000000007E-2</v>
      </c>
      <c r="G11022" s="78"/>
      <c r="H11022" t="s">
        <v>8874</v>
      </c>
    </row>
    <row r="11023" spans="1:8" hidden="1" outlineLevel="1" x14ac:dyDescent="0.25">
      <c r="A11023" s="1237">
        <v>0.03</v>
      </c>
      <c r="B11023" t="s">
        <v>4273</v>
      </c>
      <c r="C11023" s="851">
        <v>1311.4</v>
      </c>
      <c r="D11023" s="908">
        <v>2745</v>
      </c>
      <c r="E11023" s="896">
        <v>1.0931828580143357</v>
      </c>
      <c r="F11023" s="946">
        <v>7.0000000000000007E-2</v>
      </c>
      <c r="G11023" s="78"/>
      <c r="H11023" t="s">
        <v>82</v>
      </c>
    </row>
    <row r="11024" spans="1:8" hidden="1" outlineLevel="1" x14ac:dyDescent="0.25">
      <c r="A11024" s="1237">
        <v>0.02</v>
      </c>
      <c r="B11024" s="712" t="s">
        <v>901</v>
      </c>
      <c r="C11024" s="851">
        <v>19.1065</v>
      </c>
      <c r="D11024" s="908">
        <v>42.954999999999998</v>
      </c>
      <c r="E11024" s="896">
        <v>1.2481877894957214</v>
      </c>
      <c r="F11024" s="946">
        <v>7.0000000000000007E-2</v>
      </c>
      <c r="G11024" s="78"/>
      <c r="H11024" t="s">
        <v>531</v>
      </c>
    </row>
    <row r="11025" spans="1:8" hidden="1" outlineLevel="1" x14ac:dyDescent="0.25">
      <c r="A11025" s="1237">
        <v>7.0000000000000007E-2</v>
      </c>
      <c r="B11025" s="853" t="s">
        <v>3800</v>
      </c>
      <c r="C11025" s="851">
        <v>172.88</v>
      </c>
      <c r="D11025" s="908">
        <v>219.3</v>
      </c>
      <c r="E11025" s="896">
        <v>0.26850994909764014</v>
      </c>
      <c r="F11025" s="946">
        <v>7.0000000000000007E-2</v>
      </c>
      <c r="G11025" s="78"/>
      <c r="H11025" t="s">
        <v>8876</v>
      </c>
    </row>
    <row r="11026" spans="1:8" hidden="1" outlineLevel="1" x14ac:dyDescent="0.25">
      <c r="A11026" s="1237">
        <v>0.03</v>
      </c>
      <c r="B11026" s="695" t="s">
        <v>4460</v>
      </c>
      <c r="C11026" s="851">
        <v>1721.4</v>
      </c>
      <c r="D11026" s="908">
        <v>1707.5</v>
      </c>
      <c r="E11026" s="896">
        <v>-8.0748228186360294E-3</v>
      </c>
      <c r="F11026" s="946">
        <v>-8.0748228186360294E-3</v>
      </c>
      <c r="G11026" s="78"/>
      <c r="H11026" t="s">
        <v>3485</v>
      </c>
    </row>
    <row r="11027" spans="1:8" hidden="1" outlineLevel="1" x14ac:dyDescent="0.25">
      <c r="A11027" s="1237">
        <v>0.05</v>
      </c>
      <c r="B11027" s="712" t="s">
        <v>1857</v>
      </c>
      <c r="C11027" s="851">
        <v>1318.2</v>
      </c>
      <c r="D11027" s="908">
        <v>1225</v>
      </c>
      <c r="E11027" s="896">
        <v>-7.0702473069336969E-2</v>
      </c>
      <c r="F11027" s="946">
        <v>-7.0702473069336969E-2</v>
      </c>
      <c r="G11027" s="78"/>
      <c r="H11027" t="s">
        <v>3559</v>
      </c>
    </row>
    <row r="11028" spans="1:8" hidden="1" outlineLevel="1" x14ac:dyDescent="0.25">
      <c r="A11028" s="1237">
        <v>7.0000000000000007E-2</v>
      </c>
      <c r="B11028" s="712" t="s">
        <v>1239</v>
      </c>
      <c r="C11028" s="851">
        <v>392.35</v>
      </c>
      <c r="D11028" s="908">
        <v>512</v>
      </c>
      <c r="E11028" s="896">
        <v>0.30495730852555103</v>
      </c>
      <c r="F11028" s="946">
        <v>7.0000000000000007E-2</v>
      </c>
      <c r="G11028" s="78"/>
      <c r="H11028" t="s">
        <v>8891</v>
      </c>
    </row>
    <row r="11029" spans="1:8" hidden="1" outlineLevel="1" x14ac:dyDescent="0.25">
      <c r="A11029" s="1237">
        <v>0.02</v>
      </c>
      <c r="B11029" t="s">
        <v>3022</v>
      </c>
      <c r="C11029" s="851">
        <v>3639</v>
      </c>
      <c r="D11029" s="908">
        <v>6112</v>
      </c>
      <c r="E11029" s="896">
        <v>0.67958230283044796</v>
      </c>
      <c r="F11029" s="946">
        <v>7.0000000000000007E-2</v>
      </c>
      <c r="G11029" s="78"/>
      <c r="H11029" t="s">
        <v>2802</v>
      </c>
    </row>
    <row r="11030" spans="1:8" hidden="1" outlineLevel="1" x14ac:dyDescent="0.25">
      <c r="A11030" s="1237">
        <v>0.05</v>
      </c>
      <c r="B11030" s="712" t="s">
        <v>434</v>
      </c>
      <c r="C11030" s="851">
        <v>45.381999999999998</v>
      </c>
      <c r="D11030" s="908">
        <v>39.33</v>
      </c>
      <c r="E11030" s="896">
        <v>-0.13335683751267025</v>
      </c>
      <c r="F11030" s="946">
        <v>-0.13335683751267025</v>
      </c>
      <c r="G11030" s="78"/>
      <c r="H11030" t="s">
        <v>7745</v>
      </c>
    </row>
    <row r="11031" spans="1:8" hidden="1" outlineLevel="1" x14ac:dyDescent="0.25">
      <c r="A11031" s="1237">
        <v>0.03</v>
      </c>
      <c r="B11031" s="987" t="s">
        <v>106</v>
      </c>
      <c r="C11031" s="851">
        <v>2294.6</v>
      </c>
      <c r="D11031" s="908">
        <v>3733.5</v>
      </c>
      <c r="E11031" s="896">
        <v>0.62708097271855667</v>
      </c>
      <c r="F11031" s="946">
        <v>7.0000000000000007E-2</v>
      </c>
      <c r="G11031" s="78"/>
      <c r="H11031" t="s">
        <v>107</v>
      </c>
    </row>
    <row r="11032" spans="1:8" hidden="1" outlineLevel="1" x14ac:dyDescent="0.25">
      <c r="A11032" s="1237">
        <v>0.02</v>
      </c>
      <c r="B11032" s="987" t="s">
        <v>2983</v>
      </c>
      <c r="C11032" s="851">
        <v>683.7</v>
      </c>
      <c r="D11032" s="908">
        <v>666.2</v>
      </c>
      <c r="E11032" s="896">
        <v>-2.5596021646921208E-2</v>
      </c>
      <c r="F11032" s="946">
        <v>-2.5596021646921208E-2</v>
      </c>
      <c r="G11032" s="78"/>
      <c r="H11032" t="s">
        <v>1713</v>
      </c>
    </row>
    <row r="11033" spans="1:8" hidden="1" outlineLevel="1" x14ac:dyDescent="0.25">
      <c r="A11033" s="1237">
        <v>0.02</v>
      </c>
      <c r="B11033" s="853" t="s">
        <v>255</v>
      </c>
      <c r="C11033" s="851">
        <v>44.695999999999998</v>
      </c>
      <c r="D11033" s="908">
        <v>47.74</v>
      </c>
      <c r="E11033" s="896">
        <v>6.810452836942904E-2</v>
      </c>
      <c r="F11033" s="946">
        <v>7.0000000000000007E-2</v>
      </c>
      <c r="G11033" s="78"/>
      <c r="H11033" t="s">
        <v>3351</v>
      </c>
    </row>
    <row r="11034" spans="1:8" hidden="1" outlineLevel="1" x14ac:dyDescent="0.25">
      <c r="A11034" s="1237">
        <v>0.02</v>
      </c>
      <c r="B11034" s="1338" t="s">
        <v>2874</v>
      </c>
      <c r="C11034" s="851">
        <v>29.167000000000002</v>
      </c>
      <c r="D11034" s="908">
        <v>43.28</v>
      </c>
      <c r="E11034" s="896">
        <v>0.48386875578564803</v>
      </c>
      <c r="F11034" s="946">
        <v>7.0000000000000007E-2</v>
      </c>
      <c r="G11034" s="78"/>
      <c r="H11034" t="s">
        <v>9060</v>
      </c>
    </row>
    <row r="11035" spans="1:8" hidden="1" outlineLevel="1" x14ac:dyDescent="0.25">
      <c r="A11035" s="1232" t="s">
        <v>2465</v>
      </c>
      <c r="B11035" s="1471"/>
      <c r="C11035" s="1472"/>
      <c r="D11035" s="1227"/>
      <c r="E11035" s="907">
        <v>0.32482992540335276</v>
      </c>
      <c r="F11035" s="1872">
        <v>8.9761130877920991E-3</v>
      </c>
      <c r="G11035" s="78"/>
    </row>
    <row r="11036" spans="1:8" hidden="1" outlineLevel="1" x14ac:dyDescent="0.25">
      <c r="F11036" s="1830"/>
      <c r="G11036" s="78"/>
    </row>
    <row r="11037" spans="1:8" hidden="1" outlineLevel="1" x14ac:dyDescent="0.25">
      <c r="A11037" t="s">
        <v>113</v>
      </c>
      <c r="E11037" s="729"/>
      <c r="F11037" s="1188"/>
      <c r="G11037" s="78"/>
    </row>
    <row r="11038" spans="1:8" hidden="1" outlineLevel="1" x14ac:dyDescent="0.25">
      <c r="A11038" s="753" t="s">
        <v>5363</v>
      </c>
      <c r="E11038" s="1024"/>
      <c r="F11038" s="1872">
        <v>0.05</v>
      </c>
      <c r="G11038" s="78"/>
    </row>
    <row r="11039" spans="1:8" hidden="1" outlineLevel="1" x14ac:dyDescent="0.25">
      <c r="A11039" s="753" t="s">
        <v>5364</v>
      </c>
      <c r="C11039" s="695"/>
      <c r="D11039" s="695"/>
      <c r="E11039" s="1026"/>
      <c r="F11039" s="1872">
        <v>4.3139000000000038E-2</v>
      </c>
      <c r="G11039" s="78"/>
    </row>
    <row r="11040" spans="1:8" hidden="1" outlineLevel="1" x14ac:dyDescent="0.25">
      <c r="A11040" s="753" t="s">
        <v>5365</v>
      </c>
      <c r="C11040" s="695"/>
      <c r="D11040" s="695"/>
      <c r="E11040" s="1026"/>
      <c r="F11040" s="1872">
        <v>4.0906999999999985E-2</v>
      </c>
      <c r="G11040" s="78"/>
    </row>
    <row r="11041" spans="1:7" hidden="1" outlineLevel="1" x14ac:dyDescent="0.25">
      <c r="A11041" s="753" t="s">
        <v>5366</v>
      </c>
      <c r="C11041" s="695"/>
      <c r="D11041" s="695"/>
      <c r="E11041" s="1026"/>
      <c r="F11041" s="1872">
        <v>3.9300000000000002E-2</v>
      </c>
      <c r="G11041" s="78"/>
    </row>
    <row r="11042" spans="1:7" hidden="1" outlineLevel="1" x14ac:dyDescent="0.25">
      <c r="A11042" s="753" t="s">
        <v>5367</v>
      </c>
      <c r="B11042" s="706"/>
      <c r="C11042" s="695"/>
      <c r="D11042" s="695"/>
      <c r="E11042" s="1026"/>
      <c r="F11042" s="1872">
        <v>2.41E-2</v>
      </c>
      <c r="G11042" s="78"/>
    </row>
    <row r="11043" spans="1:7" collapsed="1" x14ac:dyDescent="0.25">
      <c r="A11043" s="3803" t="s">
        <v>5362</v>
      </c>
      <c r="B11043" s="3804"/>
      <c r="C11043" s="3804"/>
      <c r="D11043" s="1905"/>
      <c r="E11043" s="1905"/>
      <c r="F11043" s="1893">
        <v>0.19744600000000004</v>
      </c>
      <c r="G11043" s="78"/>
    </row>
    <row r="11045" spans="1:7" hidden="1" outlineLevel="1" x14ac:dyDescent="0.25">
      <c r="A11045" s="689" t="s">
        <v>113</v>
      </c>
      <c r="B11045" s="689"/>
      <c r="C11045" s="495" t="s">
        <v>112</v>
      </c>
      <c r="D11045" s="689" t="s">
        <v>116</v>
      </c>
      <c r="E11045" s="495" t="s">
        <v>4154</v>
      </c>
      <c r="F11045" s="1021" t="s">
        <v>5376</v>
      </c>
    </row>
    <row r="11046" spans="1:7" hidden="1" outlineLevel="1" x14ac:dyDescent="0.25">
      <c r="A11046" s="751" t="s">
        <v>5368</v>
      </c>
      <c r="B11046" s="728" t="s">
        <v>5373</v>
      </c>
      <c r="C11046" s="848">
        <v>115.56</v>
      </c>
      <c r="D11046" s="1242">
        <v>116.83</v>
      </c>
      <c r="E11046" s="738">
        <v>1.0989961924541269E-2</v>
      </c>
      <c r="F11046" s="700">
        <v>1.598996192454127E-2</v>
      </c>
    </row>
    <row r="11047" spans="1:7" hidden="1" outlineLevel="1" x14ac:dyDescent="0.25">
      <c r="A11047" s="751" t="s">
        <v>5369</v>
      </c>
      <c r="B11047" s="728" t="s">
        <v>5374</v>
      </c>
      <c r="C11047" s="851">
        <v>116.83</v>
      </c>
      <c r="D11047" s="1242">
        <v>117.57</v>
      </c>
      <c r="E11047" s="1699">
        <v>6.3339895574765492E-3</v>
      </c>
      <c r="F11047" s="1178">
        <v>1.133398955747655E-2</v>
      </c>
    </row>
    <row r="11048" spans="1:7" hidden="1" outlineLevel="1" x14ac:dyDescent="0.25">
      <c r="A11048" s="751" t="s">
        <v>5370</v>
      </c>
      <c r="B11048" s="728" t="s">
        <v>5375</v>
      </c>
      <c r="C11048" s="851">
        <v>117.57</v>
      </c>
      <c r="D11048" s="1242">
        <v>117.5</v>
      </c>
      <c r="E11048" s="1699">
        <v>-5.9538998043717761E-4</v>
      </c>
      <c r="F11048" s="1178">
        <v>5.0000000000000001E-3</v>
      </c>
    </row>
    <row r="11049" spans="1:7" ht="15.75" hidden="1" customHeight="1" outlineLevel="1" x14ac:dyDescent="0.25">
      <c r="A11049" s="751" t="s">
        <v>5371</v>
      </c>
      <c r="B11049" s="1700" t="s">
        <v>8248</v>
      </c>
      <c r="C11049" s="851">
        <v>100.41</v>
      </c>
      <c r="D11049" s="1242">
        <v>100.11</v>
      </c>
      <c r="E11049" s="1699">
        <v>-2.9880000000000002E-3</v>
      </c>
      <c r="F11049" s="1178">
        <v>5.0000000000000001E-3</v>
      </c>
    </row>
    <row r="11050" spans="1:7" ht="16.5" hidden="1" customHeight="1" outlineLevel="1" x14ac:dyDescent="0.25">
      <c r="A11050" s="751" t="s">
        <v>5372</v>
      </c>
      <c r="B11050" s="1700" t="s">
        <v>8249</v>
      </c>
      <c r="C11050" s="1041">
        <v>100.11</v>
      </c>
      <c r="D11050" s="1242">
        <v>101.84</v>
      </c>
      <c r="E11050" s="1701">
        <v>1.7280990909999128E-2</v>
      </c>
      <c r="F11050" s="1178">
        <v>2.2280990909999129E-2</v>
      </c>
    </row>
    <row r="11051" spans="1:7" hidden="1" outlineLevel="1" x14ac:dyDescent="0.25">
      <c r="A11051" s="690"/>
      <c r="B11051" s="695"/>
      <c r="C11051" s="956"/>
      <c r="D11051" s="838"/>
      <c r="E11051" s="891"/>
      <c r="F11051" s="856"/>
    </row>
    <row r="11052" spans="1:7" collapsed="1" x14ac:dyDescent="0.25">
      <c r="A11052" s="3801" t="s">
        <v>5377</v>
      </c>
      <c r="B11052" s="3802"/>
      <c r="C11052" s="3802"/>
      <c r="D11052" s="3802"/>
      <c r="E11052" s="1811"/>
      <c r="F11052" s="1890">
        <v>5.9604942392016941E-2</v>
      </c>
    </row>
    <row r="11054" spans="1:7" hidden="1" outlineLevel="1" x14ac:dyDescent="0.25">
      <c r="A11054" s="3017" t="s">
        <v>113</v>
      </c>
      <c r="B11054" s="3017" t="s">
        <v>114</v>
      </c>
      <c r="C11054" s="3017" t="s">
        <v>112</v>
      </c>
      <c r="D11054" s="3017" t="s">
        <v>116</v>
      </c>
      <c r="E11054" s="3017" t="s">
        <v>117</v>
      </c>
      <c r="F11054" s="3018" t="s">
        <v>121</v>
      </c>
      <c r="G11054" s="78"/>
    </row>
    <row r="11055" spans="1:7" hidden="1" outlineLevel="1" x14ac:dyDescent="0.25">
      <c r="A11055" s="3019">
        <v>8</v>
      </c>
      <c r="B11055" s="3019"/>
      <c r="C11055" s="3020"/>
      <c r="D11055" s="1900" t="s">
        <v>3702</v>
      </c>
      <c r="E11055" s="3021">
        <v>44028</v>
      </c>
      <c r="F11055" s="3022"/>
      <c r="G11055" s="78"/>
    </row>
    <row r="11056" spans="1:7" hidden="1" outlineLevel="1" x14ac:dyDescent="0.25">
      <c r="A11056" s="3017" t="s">
        <v>4156</v>
      </c>
      <c r="B11056" s="3017" t="s">
        <v>4153</v>
      </c>
      <c r="C11056" s="3023" t="s">
        <v>112</v>
      </c>
      <c r="D11056" s="3017" t="s">
        <v>4155</v>
      </c>
      <c r="E11056" s="3017" t="s">
        <v>4154</v>
      </c>
      <c r="F11056" s="3018" t="s">
        <v>734</v>
      </c>
      <c r="G11056" s="78"/>
    </row>
    <row r="11057" spans="1:8" hidden="1" outlineLevel="1" x14ac:dyDescent="0.25">
      <c r="A11057" s="2888">
        <v>0.03</v>
      </c>
      <c r="B11057" s="2021" t="s">
        <v>1993</v>
      </c>
      <c r="C11057" s="2337">
        <v>33.6</v>
      </c>
      <c r="D11057" s="3024">
        <v>41.48</v>
      </c>
      <c r="E11057" s="3025">
        <v>0.23452380952380936</v>
      </c>
      <c r="F11057" s="3026">
        <v>0.06</v>
      </c>
      <c r="G11057" s="78"/>
      <c r="H11057" t="str">
        <f>VLOOKUP(B11057,indexy!$A$44:$D$823,3,FALSE)</f>
        <v>MO UN Equity</v>
      </c>
    </row>
    <row r="11058" spans="1:8" hidden="1" outlineLevel="1" x14ac:dyDescent="0.25">
      <c r="A11058" s="1920">
        <v>0.05</v>
      </c>
      <c r="B11058" s="2023" t="s">
        <v>2942</v>
      </c>
      <c r="C11058" s="1902">
        <v>628.20000000000005</v>
      </c>
      <c r="D11058" s="3024">
        <v>1714</v>
      </c>
      <c r="E11058" s="3025">
        <v>1.7284304361668257</v>
      </c>
      <c r="F11058" s="3026">
        <v>0.06</v>
      </c>
      <c r="G11058" s="78"/>
      <c r="H11058" t="str">
        <f>VLOOKUP(B11058,indexy!$A$44:$D$823,3,FALSE)</f>
        <v>4503 JT Equity</v>
      </c>
    </row>
    <row r="11059" spans="1:8" hidden="1" outlineLevel="1" x14ac:dyDescent="0.25">
      <c r="A11059" s="1920">
        <v>0.03</v>
      </c>
      <c r="B11059" s="1928" t="s">
        <v>3998</v>
      </c>
      <c r="C11059" s="1902">
        <v>35.398000000000003</v>
      </c>
      <c r="D11059" s="3024">
        <v>30.39</v>
      </c>
      <c r="E11059" s="3025">
        <v>-0.14147691959997744</v>
      </c>
      <c r="F11059" s="3026">
        <v>-0.14147691959997744</v>
      </c>
      <c r="G11059" s="78"/>
      <c r="H11059" t="str">
        <f>VLOOKUP(B11059,indexy!$A$44:$D$823,3,FALSE)</f>
        <v>T UN Equity</v>
      </c>
    </row>
    <row r="11060" spans="1:8" hidden="1" outlineLevel="1" x14ac:dyDescent="0.25">
      <c r="A11060" s="1920">
        <v>0.05</v>
      </c>
      <c r="B11060" s="3027" t="s">
        <v>805</v>
      </c>
      <c r="C11060" s="1902">
        <v>54.844000000000001</v>
      </c>
      <c r="D11060" s="3024">
        <v>75.5</v>
      </c>
      <c r="E11060" s="3025">
        <v>0.37663190139304215</v>
      </c>
      <c r="F11060" s="3026">
        <v>0.06</v>
      </c>
      <c r="G11060" s="78"/>
      <c r="H11060" t="str">
        <f>VLOOKUP(B11060,indexy!$A$44:$D$823,3,FALSE)</f>
        <v>BMO CT Equity</v>
      </c>
    </row>
    <row r="11061" spans="1:8" hidden="1" outlineLevel="1" x14ac:dyDescent="0.25">
      <c r="A11061" s="1920">
        <v>0.08</v>
      </c>
      <c r="B11061" s="2025" t="s">
        <v>5386</v>
      </c>
      <c r="C11061" s="1902">
        <v>41.494</v>
      </c>
      <c r="D11061" s="3024">
        <v>57.22</v>
      </c>
      <c r="E11061" s="3025">
        <v>0.37899455342941146</v>
      </c>
      <c r="F11061" s="3026">
        <v>0.06</v>
      </c>
      <c r="G11061" s="78"/>
      <c r="H11061" t="str">
        <f>VLOOKUP(B11061,indexy!$A$44:$D$823,3,FALSE)</f>
        <v>BCE CT Equity</v>
      </c>
    </row>
    <row r="11062" spans="1:8" hidden="1" outlineLevel="1" x14ac:dyDescent="0.25">
      <c r="A11062" s="1920">
        <v>0.05</v>
      </c>
      <c r="B11062" s="3028" t="s">
        <v>1319</v>
      </c>
      <c r="C11062" s="1902">
        <v>62.738</v>
      </c>
      <c r="D11062" s="3024">
        <v>71.84</v>
      </c>
      <c r="E11062" s="3025">
        <v>0.14507953712263699</v>
      </c>
      <c r="F11062" s="3026">
        <v>0.06</v>
      </c>
      <c r="G11062" s="78"/>
      <c r="H11062" t="str">
        <f>VLOOKUP(B11062,indexy!$A$44:$D$823,3,FALSE)</f>
        <v>ED UN Equity</v>
      </c>
    </row>
    <row r="11063" spans="1:8" hidden="1" outlineLevel="1" x14ac:dyDescent="0.25">
      <c r="A11063" s="1920">
        <v>0.08</v>
      </c>
      <c r="B11063" s="2565" t="s">
        <v>1231</v>
      </c>
      <c r="C11063" s="1902">
        <v>69.293999999999997</v>
      </c>
      <c r="D11063" s="3024">
        <v>81.069999999999993</v>
      </c>
      <c r="E11063" s="3025">
        <v>0.16994256356971738</v>
      </c>
      <c r="F11063" s="3026">
        <v>0.06</v>
      </c>
      <c r="G11063" s="78"/>
      <c r="H11063" t="str">
        <f>VLOOKUP(B11063,indexy!$A$44:$D$823,3,FALSE)</f>
        <v>DUK UN Equity</v>
      </c>
    </row>
    <row r="11064" spans="1:8" hidden="1" outlineLevel="1" x14ac:dyDescent="0.25">
      <c r="A11064" s="1920">
        <v>0.05</v>
      </c>
      <c r="B11064" s="2565" t="s">
        <v>5232</v>
      </c>
      <c r="C11064" s="1902">
        <v>66.36</v>
      </c>
      <c r="D11064" s="3024">
        <v>98.33</v>
      </c>
      <c r="E11064" s="3025">
        <v>0.48176612417118747</v>
      </c>
      <c r="F11064" s="3026">
        <v>0.06</v>
      </c>
      <c r="G11064" s="78"/>
      <c r="H11064" t="str">
        <f>VLOOKUP(B11064,indexy!$A$44:$D$823,3,FALSE)</f>
        <v>ETR UN Equity</v>
      </c>
    </row>
    <row r="11065" spans="1:8" hidden="1" outlineLevel="1" x14ac:dyDescent="0.25">
      <c r="A11065" s="1920">
        <v>0.03</v>
      </c>
      <c r="B11065" s="2023" t="s">
        <v>247</v>
      </c>
      <c r="C11065" s="1902">
        <v>1517</v>
      </c>
      <c r="D11065" s="3024">
        <v>2331.5</v>
      </c>
      <c r="E11065" s="3025">
        <v>0.53691496374423209</v>
      </c>
      <c r="F11065" s="3026">
        <v>0.06</v>
      </c>
      <c r="G11065" s="78"/>
      <c r="H11065" t="str">
        <f>VLOOKUP(B11065,indexy!$A$44:$D$823,3,FALSE)</f>
        <v>8058 JT Equity</v>
      </c>
    </row>
    <row r="11066" spans="1:8" hidden="1" outlineLevel="1" x14ac:dyDescent="0.25">
      <c r="A11066" s="1920">
        <v>0.03</v>
      </c>
      <c r="B11066" s="2023" t="s">
        <v>2786</v>
      </c>
      <c r="C11066" s="1902">
        <v>655.5</v>
      </c>
      <c r="D11066" s="3024">
        <v>877.4</v>
      </c>
      <c r="E11066" s="3025">
        <v>0.33852021357742168</v>
      </c>
      <c r="F11066" s="3026">
        <v>0.06</v>
      </c>
      <c r="G11066" s="78"/>
      <c r="H11066" t="str">
        <f>VLOOKUP(B11066,indexy!$A$44:$D$823,3,FALSE)</f>
        <v>NG/ LN Equity</v>
      </c>
    </row>
    <row r="11067" spans="1:8" hidden="1" outlineLevel="1" x14ac:dyDescent="0.25">
      <c r="A11067" s="1920">
        <v>0.03</v>
      </c>
      <c r="B11067" s="2565" t="s">
        <v>2787</v>
      </c>
      <c r="C11067" s="1902">
        <v>51.16</v>
      </c>
      <c r="D11067" s="3024">
        <v>82.41</v>
      </c>
      <c r="E11067" s="3025">
        <v>0.61082877247849887</v>
      </c>
      <c r="F11067" s="3026">
        <v>0.06</v>
      </c>
      <c r="G11067" s="78"/>
      <c r="H11067" t="str">
        <f>VLOOKUP(B11067,indexy!$A$44:$D$823,3,FALSE)</f>
        <v>NOVN SE Equity</v>
      </c>
    </row>
    <row r="11068" spans="1:8" hidden="1" outlineLevel="1" x14ac:dyDescent="0.25">
      <c r="A11068" s="1920">
        <v>0.08</v>
      </c>
      <c r="B11068" s="2023" t="s">
        <v>4273</v>
      </c>
      <c r="C11068" s="1902">
        <v>1244</v>
      </c>
      <c r="D11068" s="3024">
        <v>2965.5</v>
      </c>
      <c r="E11068" s="3025">
        <v>1.3838424437299035</v>
      </c>
      <c r="F11068" s="3026">
        <v>0.06</v>
      </c>
      <c r="G11068" s="78"/>
      <c r="H11068" t="str">
        <f>VLOOKUP(B11068,indexy!$A$44:$D$823,3,FALSE)</f>
        <v>9437 JT Equity</v>
      </c>
    </row>
    <row r="11069" spans="1:8" hidden="1" outlineLevel="1" x14ac:dyDescent="0.25">
      <c r="A11069" s="1920">
        <v>0.05</v>
      </c>
      <c r="B11069" s="2023" t="s">
        <v>2769</v>
      </c>
      <c r="C11069" s="1902">
        <v>25.7225</v>
      </c>
      <c r="D11069" s="3024">
        <v>25.85</v>
      </c>
      <c r="E11069" s="3025">
        <v>4.9567499271065962E-3</v>
      </c>
      <c r="F11069" s="3026">
        <v>0.06</v>
      </c>
      <c r="G11069" s="78"/>
      <c r="H11069" t="str">
        <f>VLOOKUP(B11069,indexy!$A$44:$D$823,3,FALSE)</f>
        <v>PPL UN Equity</v>
      </c>
    </row>
    <row r="11070" spans="1:8" hidden="1" outlineLevel="1" x14ac:dyDescent="0.25">
      <c r="A11070" s="1920">
        <v>0.08</v>
      </c>
      <c r="B11070" s="1903" t="s">
        <v>3427</v>
      </c>
      <c r="C11070" s="1902">
        <v>47.734000000000002</v>
      </c>
      <c r="D11070" s="3024">
        <v>53.74</v>
      </c>
      <c r="E11070" s="3025">
        <v>0.1258222650521641</v>
      </c>
      <c r="F11070" s="3026">
        <v>0.06</v>
      </c>
      <c r="G11070" s="78"/>
      <c r="H11070" t="str">
        <f>VLOOKUP(B11070,indexy!$A$44:$D$823,3,FALSE)</f>
        <v>SO UN Equity</v>
      </c>
    </row>
    <row r="11071" spans="1:8" hidden="1" outlineLevel="1" x14ac:dyDescent="0.25">
      <c r="A11071" s="1920">
        <v>0.04</v>
      </c>
      <c r="B11071" s="2023" t="s">
        <v>1857</v>
      </c>
      <c r="C11071" s="1902">
        <v>1375</v>
      </c>
      <c r="D11071" s="3024">
        <v>1397</v>
      </c>
      <c r="E11071" s="3025">
        <v>1.6000000000000014E-2</v>
      </c>
      <c r="F11071" s="3026">
        <v>0.06</v>
      </c>
      <c r="G11071" s="78"/>
      <c r="H11071" t="str">
        <f>VLOOKUP(B11071,indexy!$A$44:$D$823,3,FALSE)</f>
        <v>SSE LN Equity</v>
      </c>
    </row>
    <row r="11072" spans="1:8" hidden="1" outlineLevel="1" x14ac:dyDescent="0.25">
      <c r="A11072" s="1920">
        <v>0.05</v>
      </c>
      <c r="B11072" s="1928" t="s">
        <v>1239</v>
      </c>
      <c r="C11072" s="1902">
        <v>364.82</v>
      </c>
      <c r="D11072" s="3024">
        <v>500</v>
      </c>
      <c r="E11072" s="3025">
        <v>0.37053889589386557</v>
      </c>
      <c r="F11072" s="3026">
        <v>0.06</v>
      </c>
      <c r="G11072" s="78"/>
      <c r="H11072" t="str">
        <f>VLOOKUP(B11072,indexy!$A$44:$D$823,3,FALSE)</f>
        <v>SCMN SE Equity</v>
      </c>
    </row>
    <row r="11073" spans="1:8" hidden="1" outlineLevel="1" x14ac:dyDescent="0.25">
      <c r="A11073" s="1920">
        <v>0.03</v>
      </c>
      <c r="B11073" s="2023" t="s">
        <v>5387</v>
      </c>
      <c r="C11073" s="1902">
        <v>28.89</v>
      </c>
      <c r="D11073" s="3024">
        <v>54.62</v>
      </c>
      <c r="E11073" s="3025">
        <v>0.89061959155417081</v>
      </c>
      <c r="F11073" s="3026">
        <v>0.06</v>
      </c>
      <c r="G11073" s="78"/>
      <c r="H11073" t="str">
        <f>VLOOKUP(B11073,indexy!$A$44:$D$823,3,FALSE)</f>
        <v>SYY UN Equity</v>
      </c>
    </row>
    <row r="11074" spans="1:8" hidden="1" outlineLevel="1" x14ac:dyDescent="0.25">
      <c r="A11074" s="1920">
        <v>0.08</v>
      </c>
      <c r="B11074" s="2023" t="s">
        <v>3022</v>
      </c>
      <c r="C11074" s="1902">
        <v>3334</v>
      </c>
      <c r="D11074" s="3024">
        <v>3733</v>
      </c>
      <c r="E11074" s="3025">
        <v>0.11967606478704251</v>
      </c>
      <c r="F11074" s="3026">
        <v>0.06</v>
      </c>
      <c r="G11074" s="78"/>
      <c r="H11074" t="str">
        <f>VLOOKUP(B11074,indexy!$A$44:$D$823,3,FALSE)</f>
        <v>4502 JT Equity</v>
      </c>
    </row>
    <row r="11075" spans="1:8" hidden="1" outlineLevel="1" x14ac:dyDescent="0.25">
      <c r="A11075" s="1920">
        <v>0.05</v>
      </c>
      <c r="B11075" s="2544" t="s">
        <v>2983</v>
      </c>
      <c r="C11075" s="1902">
        <v>671.9</v>
      </c>
      <c r="D11075" s="3024">
        <v>870.6</v>
      </c>
      <c r="E11075" s="3025">
        <v>0.29572853103140351</v>
      </c>
      <c r="F11075" s="3026">
        <v>0.06</v>
      </c>
      <c r="G11075" s="78"/>
      <c r="H11075" t="str">
        <f>VLOOKUP(B11075,indexy!$A$44:$D$823,3,FALSE)</f>
        <v>UU/ LN Equity</v>
      </c>
    </row>
    <row r="11076" spans="1:8" hidden="1" outlineLevel="1" x14ac:dyDescent="0.25">
      <c r="A11076" s="2894">
        <v>0.03</v>
      </c>
      <c r="B11076" s="3029" t="s">
        <v>255</v>
      </c>
      <c r="C11076" s="2562">
        <v>43.41</v>
      </c>
      <c r="D11076" s="3024">
        <v>55.78</v>
      </c>
      <c r="E11076" s="3025">
        <v>0.2849573830914538</v>
      </c>
      <c r="F11076" s="3026">
        <v>0.06</v>
      </c>
      <c r="G11076" s="78"/>
      <c r="H11076" t="str">
        <f>VLOOKUP(B11076,indexy!$A$44:$D$823,3,FALSE)</f>
        <v>VZ UN Equity</v>
      </c>
    </row>
    <row r="11077" spans="1:8" hidden="1" outlineLevel="1" x14ac:dyDescent="0.25">
      <c r="A11077" s="2899" t="s">
        <v>2465</v>
      </c>
      <c r="B11077" s="2109"/>
      <c r="C11077" s="2900"/>
      <c r="D11077" s="3030"/>
      <c r="E11077" s="3031">
        <v>0.42770547446185075</v>
      </c>
      <c r="F11077" s="1897">
        <v>5.3955692412000683E-2</v>
      </c>
      <c r="G11077" s="78"/>
    </row>
    <row r="11078" spans="1:8" hidden="1" outlineLevel="1" x14ac:dyDescent="0.25">
      <c r="A11078" s="3032"/>
      <c r="B11078" s="3033"/>
      <c r="C11078" s="3033"/>
      <c r="D11078" s="3033"/>
      <c r="E11078" s="3033"/>
      <c r="F11078" s="3034"/>
      <c r="G11078" s="78"/>
    </row>
    <row r="11079" spans="1:8" hidden="1" outlineLevel="1" x14ac:dyDescent="0.25">
      <c r="A11079" s="3035" t="s">
        <v>113</v>
      </c>
      <c r="B11079" s="3036"/>
      <c r="C11079" s="3037"/>
      <c r="D11079" s="3037"/>
      <c r="E11079" s="3037"/>
      <c r="F11079" s="3038" t="s">
        <v>1605</v>
      </c>
      <c r="G11079" s="78"/>
    </row>
    <row r="11080" spans="1:8" hidden="1" outlineLevel="1" x14ac:dyDescent="0.25">
      <c r="A11080" s="2160" t="s">
        <v>5378</v>
      </c>
      <c r="B11080" s="3032"/>
      <c r="C11080" s="3033"/>
      <c r="D11080" s="3033"/>
      <c r="E11080" s="3033"/>
      <c r="F11080" s="2972">
        <v>3.4467999999999964E-2</v>
      </c>
      <c r="G11080" s="78"/>
    </row>
    <row r="11081" spans="1:8" hidden="1" outlineLevel="1" x14ac:dyDescent="0.25">
      <c r="A11081" s="2160" t="s">
        <v>5379</v>
      </c>
      <c r="B11081" s="3028"/>
      <c r="C11081" s="3019"/>
      <c r="D11081" s="3019"/>
      <c r="E11081" s="3019"/>
      <c r="F11081" s="2972">
        <v>3.7699999999999997E-2</v>
      </c>
      <c r="G11081" s="78"/>
    </row>
    <row r="11082" spans="1:8" hidden="1" outlineLevel="1" x14ac:dyDescent="0.25">
      <c r="A11082" s="2160" t="s">
        <v>5380</v>
      </c>
      <c r="B11082" s="3028"/>
      <c r="C11082" s="3019"/>
      <c r="D11082" s="3019"/>
      <c r="E11082" s="3019"/>
      <c r="F11082" s="2972">
        <v>4.0099999999999997E-2</v>
      </c>
      <c r="G11082" s="78"/>
    </row>
    <row r="11083" spans="1:8" hidden="1" outlineLevel="1" x14ac:dyDescent="0.25">
      <c r="A11083" s="2160" t="s">
        <v>5381</v>
      </c>
      <c r="B11083" s="3028"/>
      <c r="C11083" s="3019"/>
      <c r="D11083" s="3019"/>
      <c r="E11083" s="3019"/>
      <c r="F11083" s="2972">
        <v>0.06</v>
      </c>
      <c r="G11083" s="78"/>
    </row>
    <row r="11084" spans="1:8" hidden="1" outlineLevel="1" x14ac:dyDescent="0.25">
      <c r="A11084" s="2160" t="s">
        <v>5382</v>
      </c>
      <c r="B11084" s="3028"/>
      <c r="C11084" s="3019"/>
      <c r="D11084" s="3019"/>
      <c r="E11084" s="3019"/>
      <c r="F11084" s="2972">
        <v>0.06</v>
      </c>
      <c r="G11084" s="78"/>
    </row>
    <row r="11085" spans="1:8" hidden="1" outlineLevel="1" x14ac:dyDescent="0.25">
      <c r="A11085" s="2160" t="s">
        <v>5383</v>
      </c>
      <c r="B11085" s="3028"/>
      <c r="C11085" s="3019"/>
      <c r="D11085" s="3019"/>
      <c r="E11085" s="3019"/>
      <c r="F11085" s="2972">
        <v>4.1500000000000002E-2</v>
      </c>
      <c r="G11085" s="78"/>
    </row>
    <row r="11086" spans="1:8" hidden="1" outlineLevel="1" x14ac:dyDescent="0.25">
      <c r="A11086" s="2160" t="s">
        <v>5384</v>
      </c>
      <c r="B11086" s="3028"/>
      <c r="C11086" s="3019"/>
      <c r="D11086" s="3019"/>
      <c r="E11086" s="3019"/>
      <c r="F11086" s="2972">
        <v>4.4697000000000028E-2</v>
      </c>
      <c r="G11086" s="78"/>
    </row>
    <row r="11087" spans="1:8" hidden="1" outlineLevel="1" x14ac:dyDescent="0.25">
      <c r="A11087" s="2160" t="s">
        <v>5385</v>
      </c>
      <c r="B11087" s="3039"/>
      <c r="C11087" s="3040"/>
      <c r="D11087" s="3040"/>
      <c r="E11087" s="3040"/>
      <c r="F11087" s="2972">
        <v>5.0999999999999997E-2</v>
      </c>
      <c r="G11087" s="78"/>
    </row>
    <row r="11088" spans="1:8" hidden="1" outlineLevel="1" x14ac:dyDescent="0.25">
      <c r="A11088" s="2160"/>
      <c r="B11088" s="3040"/>
      <c r="C11088" s="3040"/>
      <c r="D11088" s="3040"/>
      <c r="E11088" s="3040"/>
      <c r="F11088" s="3041"/>
      <c r="G11088" s="78"/>
    </row>
    <row r="11089" spans="1:9" collapsed="1" x14ac:dyDescent="0.25">
      <c r="A11089" s="3803" t="s">
        <v>5388</v>
      </c>
      <c r="B11089" s="3804"/>
      <c r="C11089" s="3804"/>
      <c r="D11089" s="3042"/>
      <c r="E11089" s="3042"/>
      <c r="F11089" s="1948">
        <v>0.36946499999999999</v>
      </c>
      <c r="G11089" s="78"/>
    </row>
    <row r="11091" spans="1:9" hidden="1" outlineLevel="1" x14ac:dyDescent="0.25">
      <c r="A11091" s="689" t="s">
        <v>113</v>
      </c>
      <c r="B11091" s="689" t="s">
        <v>114</v>
      </c>
      <c r="C11091" s="689" t="s">
        <v>112</v>
      </c>
      <c r="D11091" s="689" t="s">
        <v>4155</v>
      </c>
      <c r="E11091" s="689" t="s">
        <v>116</v>
      </c>
      <c r="F11091" s="1188" t="s">
        <v>4154</v>
      </c>
      <c r="G11091" s="444"/>
      <c r="H11091" s="438" t="s">
        <v>5391</v>
      </c>
      <c r="I11091" s="438" t="s">
        <v>5392</v>
      </c>
    </row>
    <row r="11092" spans="1:9" hidden="1" outlineLevel="1" x14ac:dyDescent="0.25">
      <c r="A11092" s="732" t="s">
        <v>5401</v>
      </c>
      <c r="B11092" s="1092" t="s">
        <v>2153</v>
      </c>
      <c r="C11092" s="793">
        <v>2541.6060000000002</v>
      </c>
      <c r="D11092" s="3808">
        <v>2772.67</v>
      </c>
      <c r="E11092" s="1183">
        <v>2772.67</v>
      </c>
      <c r="F11092" s="700">
        <v>0.1075</v>
      </c>
      <c r="G11092" s="444"/>
      <c r="H11092" s="92">
        <f>IF(C11092="","",IF(E11092="",$D$11092/C11092-1,E11092/C11092-1))</f>
        <v>9.0912596208853724E-2</v>
      </c>
      <c r="I11092" s="450">
        <v>0.1075</v>
      </c>
    </row>
    <row r="11093" spans="1:9" hidden="1" outlineLevel="1" x14ac:dyDescent="0.25">
      <c r="A11093" s="732" t="s">
        <v>5402</v>
      </c>
      <c r="B11093" s="1092" t="s">
        <v>2153</v>
      </c>
      <c r="C11093" s="1028">
        <v>2541.6060000000002</v>
      </c>
      <c r="D11093" s="3809"/>
      <c r="E11093" s="861"/>
      <c r="F11093" s="1178" t="s">
        <v>5590</v>
      </c>
      <c r="G11093" s="444"/>
      <c r="H11093" s="79"/>
      <c r="I11093" s="451">
        <v>0.215</v>
      </c>
    </row>
    <row r="11094" spans="1:9" hidden="1" outlineLevel="1" x14ac:dyDescent="0.25">
      <c r="A11094" s="732" t="s">
        <v>5403</v>
      </c>
      <c r="B11094" s="1092" t="s">
        <v>2153</v>
      </c>
      <c r="C11094" s="1028" t="s">
        <v>5590</v>
      </c>
      <c r="D11094" s="3809"/>
      <c r="E11094" s="861"/>
      <c r="F11094" s="1178" t="s">
        <v>5590</v>
      </c>
      <c r="G11094" s="444"/>
      <c r="H11094" s="79" t="str">
        <f>IF(C11094="","",IF(E11094="",$D$11092/C11094-1,E11094/C11094-1))</f>
        <v/>
      </c>
      <c r="I11094" s="451">
        <v>0.32250000000000001</v>
      </c>
    </row>
    <row r="11095" spans="1:9" hidden="1" outlineLevel="1" x14ac:dyDescent="0.25">
      <c r="A11095" s="732" t="s">
        <v>5404</v>
      </c>
      <c r="B11095" s="1092" t="s">
        <v>2153</v>
      </c>
      <c r="C11095" s="1028" t="s">
        <v>5590</v>
      </c>
      <c r="D11095" s="3809"/>
      <c r="E11095" s="861"/>
      <c r="F11095" s="1178" t="s">
        <v>5590</v>
      </c>
      <c r="G11095" s="444"/>
      <c r="H11095" s="79" t="str">
        <f>IF(C11095="","",IF(E11095="",$D$11092/C11095-1,E11095/C11095-1))</f>
        <v/>
      </c>
      <c r="I11095" s="451">
        <v>0.43</v>
      </c>
    </row>
    <row r="11096" spans="1:9" hidden="1" outlineLevel="1" x14ac:dyDescent="0.25">
      <c r="A11096" s="732" t="s">
        <v>5405</v>
      </c>
      <c r="B11096" s="1092" t="s">
        <v>2153</v>
      </c>
      <c r="C11096" s="1028" t="s">
        <v>5590</v>
      </c>
      <c r="D11096" s="3810"/>
      <c r="E11096" s="861"/>
      <c r="F11096" s="1178" t="s">
        <v>5590</v>
      </c>
      <c r="G11096" s="444"/>
      <c r="H11096" s="82" t="str">
        <f>IF(C11096="","",IF(E11096="",$D$11092/C11096-1,E11096/C11096-1))</f>
        <v/>
      </c>
      <c r="I11096" s="452">
        <v>0.53749999999999998</v>
      </c>
    </row>
    <row r="11097" spans="1:9" hidden="1" outlineLevel="1" x14ac:dyDescent="0.25">
      <c r="A11097" s="690"/>
      <c r="B11097" s="695"/>
      <c r="C11097" s="793"/>
      <c r="D11097" s="1249"/>
      <c r="E11097" s="693"/>
      <c r="F11097" s="693"/>
      <c r="G11097" s="445">
        <f>D11092/C11092-1</f>
        <v>9.0912596208853724E-2</v>
      </c>
      <c r="H11097" s="37">
        <f>IF(H11096="",IF(H11095="",IF(H11094="",IF(H11093="",H11092,H11093),H11094),H11095),H11096)</f>
        <v>9.0912596208853724E-2</v>
      </c>
    </row>
    <row r="11098" spans="1:9" collapsed="1" x14ac:dyDescent="0.25">
      <c r="A11098" s="3801" t="s">
        <v>5400</v>
      </c>
      <c r="B11098" s="3802"/>
      <c r="C11098" s="3802"/>
      <c r="D11098" s="3802"/>
      <c r="E11098" s="729"/>
      <c r="F11098" s="752">
        <v>0.1075</v>
      </c>
      <c r="G11098" s="175" t="s">
        <v>781</v>
      </c>
    </row>
    <row r="11100" spans="1:9" hidden="1" outlineLevel="1" x14ac:dyDescent="0.25">
      <c r="A11100" s="689" t="s">
        <v>113</v>
      </c>
      <c r="B11100" s="689" t="s">
        <v>114</v>
      </c>
      <c r="C11100" s="689" t="s">
        <v>112</v>
      </c>
      <c r="D11100" s="689" t="s">
        <v>116</v>
      </c>
      <c r="E11100" s="689" t="s">
        <v>117</v>
      </c>
      <c r="F11100" s="1188" t="s">
        <v>121</v>
      </c>
      <c r="G11100" s="78"/>
    </row>
    <row r="11101" spans="1:9" hidden="1" outlineLevel="1" x14ac:dyDescent="0.25">
      <c r="A11101" s="690">
        <v>1</v>
      </c>
      <c r="B11101" s="691" t="s">
        <v>252</v>
      </c>
      <c r="C11101" s="692">
        <v>100</v>
      </c>
      <c r="D11101" s="692"/>
      <c r="E11101" s="693"/>
      <c r="F11101" s="694"/>
      <c r="G11101" s="78"/>
    </row>
    <row r="11102" spans="1:9" hidden="1" outlineLevel="1" x14ac:dyDescent="0.25">
      <c r="A11102" s="695"/>
      <c r="B11102" s="695"/>
      <c r="C11102" s="696"/>
      <c r="D11102" s="697" t="s">
        <v>3702</v>
      </c>
      <c r="E11102" s="698">
        <v>42475</v>
      </c>
      <c r="F11102" s="699"/>
      <c r="G11102" s="78"/>
    </row>
    <row r="11103" spans="1:9" hidden="1" outlineLevel="1" x14ac:dyDescent="0.25">
      <c r="A11103" s="689" t="s">
        <v>4156</v>
      </c>
      <c r="B11103" s="495" t="s">
        <v>4153</v>
      </c>
      <c r="C11103" s="700" t="s">
        <v>112</v>
      </c>
      <c r="D11103" s="495" t="s">
        <v>4155</v>
      </c>
      <c r="E11103" s="495" t="s">
        <v>4154</v>
      </c>
      <c r="F11103" s="1021" t="s">
        <v>2519</v>
      </c>
      <c r="G11103" s="78"/>
    </row>
    <row r="11104" spans="1:9" hidden="1" outlineLevel="1" x14ac:dyDescent="0.25">
      <c r="A11104">
        <v>0.08</v>
      </c>
      <c r="B11104" s="1010" t="s">
        <v>1993</v>
      </c>
      <c r="C11104" s="703">
        <v>33.786999999999999</v>
      </c>
      <c r="D11104" s="803">
        <v>61.68</v>
      </c>
      <c r="E11104" s="705">
        <v>0.3</v>
      </c>
      <c r="F11104" s="1021"/>
      <c r="G11104" s="78"/>
      <c r="H11104" t="str">
        <f>VLOOKUP(B11104,indexy!$A$44:$D$823,3,FALSE)</f>
        <v>MO UN Equity</v>
      </c>
    </row>
    <row r="11105" spans="1:8" hidden="1" outlineLevel="1" x14ac:dyDescent="0.25">
      <c r="A11105">
        <v>0.03</v>
      </c>
      <c r="B11105" t="s">
        <v>2942</v>
      </c>
      <c r="C11105" s="707">
        <v>795.3</v>
      </c>
      <c r="D11105" s="908">
        <v>1541.5</v>
      </c>
      <c r="E11105" s="705">
        <v>0.3</v>
      </c>
      <c r="F11105" s="946"/>
      <c r="G11105" s="78"/>
      <c r="H11105" t="str">
        <f>VLOOKUP(B11105,indexy!$A$44:$D$823,3,FALSE)</f>
        <v>4503 JT Equity</v>
      </c>
    </row>
    <row r="11106" spans="1:8" hidden="1" outlineLevel="1" x14ac:dyDescent="0.25">
      <c r="A11106">
        <v>0.05</v>
      </c>
      <c r="B11106" t="s">
        <v>3998</v>
      </c>
      <c r="C11106" s="707">
        <v>37.94</v>
      </c>
      <c r="D11106" s="908">
        <v>38.479999999999997</v>
      </c>
      <c r="E11106" s="705">
        <v>0.3</v>
      </c>
      <c r="F11106" s="946"/>
      <c r="G11106" s="78"/>
      <c r="H11106" t="str">
        <f>VLOOKUP(B11106,indexy!$A$44:$D$823,3,FALSE)</f>
        <v>T UN Equity</v>
      </c>
    </row>
    <row r="11107" spans="1:8" hidden="1" outlineLevel="1" x14ac:dyDescent="0.25">
      <c r="A11107">
        <v>0.03</v>
      </c>
      <c r="B11107" t="s">
        <v>872</v>
      </c>
      <c r="C11107" s="707">
        <v>331.9</v>
      </c>
      <c r="D11107" s="908">
        <v>512</v>
      </c>
      <c r="E11107" s="705">
        <v>0.3</v>
      </c>
      <c r="F11107" s="946"/>
      <c r="G11107" s="78"/>
      <c r="H11107" t="str">
        <f>VLOOKUP(B11107,indexy!$A$44:$D$823,3,FALSE)</f>
        <v>BA/ LN Equity</v>
      </c>
    </row>
    <row r="11108" spans="1:8" hidden="1" outlineLevel="1" x14ac:dyDescent="0.25">
      <c r="A11108">
        <v>0.05</v>
      </c>
      <c r="B11108" t="s">
        <v>5386</v>
      </c>
      <c r="C11108" s="707">
        <v>43.156999999999996</v>
      </c>
      <c r="D11108" s="908">
        <v>59.74</v>
      </c>
      <c r="E11108" s="705">
        <v>0.3</v>
      </c>
      <c r="F11108" s="946"/>
      <c r="G11108" s="78"/>
      <c r="H11108" t="str">
        <f>VLOOKUP(B11108,indexy!$A$44:$D$823,3,FALSE)</f>
        <v>BCE CT Equity</v>
      </c>
    </row>
    <row r="11109" spans="1:8" hidden="1" outlineLevel="1" x14ac:dyDescent="0.25">
      <c r="A11109">
        <v>0.08</v>
      </c>
      <c r="B11109" s="1189" t="s">
        <v>5246</v>
      </c>
      <c r="C11109" s="707">
        <v>41.151000000000003</v>
      </c>
      <c r="D11109" s="908">
        <v>32.26</v>
      </c>
      <c r="E11109" s="705">
        <v>-0.21605793297854259</v>
      </c>
      <c r="F11109" s="946"/>
      <c r="G11109" s="78"/>
      <c r="H11109" t="str">
        <f>VLOOKUP(B11109,indexy!$A$44:$D$823,3,FALSE)</f>
        <v>LUMN US Equity</v>
      </c>
    </row>
    <row r="11110" spans="1:8" hidden="1" outlineLevel="1" x14ac:dyDescent="0.25">
      <c r="A11110">
        <v>0.03</v>
      </c>
      <c r="B11110" s="852" t="s">
        <v>1231</v>
      </c>
      <c r="C11110" s="707">
        <v>64.275999999999996</v>
      </c>
      <c r="D11110" s="908">
        <v>80</v>
      </c>
      <c r="E11110" s="705">
        <v>0.3</v>
      </c>
      <c r="F11110" s="946"/>
      <c r="G11110" s="78"/>
      <c r="H11110" t="str">
        <f>VLOOKUP(B11110,indexy!$A$44:$D$823,3,FALSE)</f>
        <v>DUK UN Equity</v>
      </c>
    </row>
    <row r="11111" spans="1:8" hidden="1" outlineLevel="1" x14ac:dyDescent="0.25">
      <c r="A11111">
        <v>0.05</v>
      </c>
      <c r="B11111" t="s">
        <v>496</v>
      </c>
      <c r="C11111" s="707">
        <v>16.866499999999998</v>
      </c>
      <c r="D11111" s="908">
        <v>11.505000000000001</v>
      </c>
      <c r="E11111" s="705">
        <v>-0.31787863516437898</v>
      </c>
      <c r="F11111" s="946"/>
      <c r="G11111" s="78"/>
      <c r="H11111" t="e">
        <f>VLOOKUP(B11111,indexy!$A$44:$D$823,3,FALSE)</f>
        <v>#N/A</v>
      </c>
    </row>
    <row r="11112" spans="1:8" hidden="1" outlineLevel="1" x14ac:dyDescent="0.25">
      <c r="A11112">
        <v>0.08</v>
      </c>
      <c r="B11112" s="852" t="s">
        <v>3798</v>
      </c>
      <c r="C11112" s="707">
        <v>2.9039999999999999</v>
      </c>
      <c r="D11112" s="908">
        <v>3.8079999999999998</v>
      </c>
      <c r="E11112" s="705">
        <v>0.3</v>
      </c>
      <c r="F11112" s="946"/>
      <c r="G11112" s="78"/>
      <c r="H11112" t="str">
        <f>VLOOKUP(B11112,indexy!$A$44:$D$823,3,FALSE)</f>
        <v>ENEL IM Equity</v>
      </c>
    </row>
    <row r="11113" spans="1:8" hidden="1" outlineLevel="1" x14ac:dyDescent="0.25">
      <c r="A11113">
        <v>0.05</v>
      </c>
      <c r="B11113" s="852" t="s">
        <v>7227</v>
      </c>
      <c r="C11113" s="707">
        <v>18.502500000000001</v>
      </c>
      <c r="D11113" s="908">
        <v>13.875</v>
      </c>
      <c r="E11113" s="705">
        <v>-0.25010133765707343</v>
      </c>
      <c r="F11113" s="946"/>
      <c r="G11113" s="78"/>
      <c r="H11113" t="str">
        <f>VLOOKUP(B11113,indexy!$A$44:$D$823,3,FALSE)</f>
        <v>ENGI FP Equity</v>
      </c>
    </row>
    <row r="11114" spans="1:8" hidden="1" outlineLevel="1" x14ac:dyDescent="0.25">
      <c r="A11114">
        <v>0.04</v>
      </c>
      <c r="B11114" s="852" t="s">
        <v>3799</v>
      </c>
      <c r="C11114" s="707">
        <v>1440.85</v>
      </c>
      <c r="D11114" s="908">
        <v>1506</v>
      </c>
      <c r="E11114" s="705">
        <v>0.3</v>
      </c>
      <c r="F11114" s="946"/>
      <c r="G11114" s="78"/>
      <c r="H11114" t="str">
        <f>VLOOKUP(B11114,indexy!$A$44:$D$823,3,FALSE)</f>
        <v>GSK LN Equity</v>
      </c>
    </row>
    <row r="11115" spans="1:8" hidden="1" outlineLevel="1" x14ac:dyDescent="0.25">
      <c r="A11115">
        <v>0.03</v>
      </c>
      <c r="B11115" t="s">
        <v>1381</v>
      </c>
      <c r="C11115" s="707">
        <v>85.542000000000002</v>
      </c>
      <c r="D11115" s="908">
        <v>136.47</v>
      </c>
      <c r="E11115" s="705">
        <v>0.3</v>
      </c>
      <c r="F11115" s="946"/>
      <c r="G11115" s="78"/>
      <c r="H11115" t="str">
        <f>VLOOKUP(B11115,indexy!$A$44:$D$823,3,FALSE)</f>
        <v>KMB UN Equity</v>
      </c>
    </row>
    <row r="11116" spans="1:8" hidden="1" outlineLevel="1" x14ac:dyDescent="0.25">
      <c r="A11116">
        <v>0.08</v>
      </c>
      <c r="B11116" s="852" t="s">
        <v>4143</v>
      </c>
      <c r="C11116" s="707">
        <v>6.2465000000000002</v>
      </c>
      <c r="D11116" s="908">
        <v>3.4849999999999999</v>
      </c>
      <c r="E11116" s="705">
        <v>-0.44208756903866164</v>
      </c>
      <c r="F11116" s="946"/>
      <c r="G11116" s="78"/>
      <c r="H11116" t="str">
        <f>VLOOKUP(B11116,indexy!$A$44:$D$823,3,FALSE)</f>
        <v>KPN NA Equity</v>
      </c>
    </row>
    <row r="11117" spans="1:8" hidden="1" outlineLevel="1" x14ac:dyDescent="0.25">
      <c r="A11117">
        <v>0.08</v>
      </c>
      <c r="B11117" s="852" t="s">
        <v>4273</v>
      </c>
      <c r="C11117" s="707">
        <v>1281.8</v>
      </c>
      <c r="D11117" s="908">
        <v>2730.5</v>
      </c>
      <c r="E11117" s="705">
        <v>0.3</v>
      </c>
      <c r="F11117" s="946"/>
      <c r="G11117" s="78"/>
      <c r="H11117" t="str">
        <f>VLOOKUP(B11117,indexy!$A$44:$D$823,3,FALSE)</f>
        <v>9437 JT Equity</v>
      </c>
    </row>
    <row r="11118" spans="1:8" hidden="1" outlineLevel="1" x14ac:dyDescent="0.25">
      <c r="A11118">
        <v>0.05</v>
      </c>
      <c r="B11118" s="852" t="s">
        <v>2753</v>
      </c>
      <c r="C11118" s="707">
        <v>43.639000000000003</v>
      </c>
      <c r="D11118" s="908">
        <v>48.74</v>
      </c>
      <c r="E11118" s="705">
        <v>0.3</v>
      </c>
      <c r="F11118" s="946"/>
      <c r="G11118" s="78"/>
      <c r="H11118" t="str">
        <f>VLOOKUP(B11118,indexy!$A$44:$D$823,3,FALSE)</f>
        <v>RAI UN Equity</v>
      </c>
    </row>
    <row r="11119" spans="1:8" hidden="1" outlineLevel="1" x14ac:dyDescent="0.25">
      <c r="A11119">
        <v>0.03</v>
      </c>
      <c r="B11119" s="852" t="s">
        <v>4460</v>
      </c>
      <c r="C11119" s="707">
        <v>1706.5</v>
      </c>
      <c r="D11119" s="908">
        <v>2257</v>
      </c>
      <c r="E11119" s="705">
        <v>0.3</v>
      </c>
      <c r="F11119" s="946"/>
      <c r="G11119" s="78"/>
      <c r="H11119" t="str">
        <f>VLOOKUP(B11119,indexy!$A$44:$D$823,3,FALSE)</f>
        <v>SVT LN Equity</v>
      </c>
    </row>
    <row r="11120" spans="1:8" hidden="1" outlineLevel="1" x14ac:dyDescent="0.25">
      <c r="A11120">
        <v>0.03</v>
      </c>
      <c r="B11120" s="852" t="s">
        <v>3427</v>
      </c>
      <c r="C11120" s="707">
        <v>45.658999999999999</v>
      </c>
      <c r="D11120" s="908">
        <v>50.68</v>
      </c>
      <c r="E11120" s="705">
        <v>0.3</v>
      </c>
      <c r="F11120" s="946"/>
      <c r="G11120" s="78"/>
      <c r="H11120" t="str">
        <f>VLOOKUP(B11120,indexy!$A$44:$D$823,3,FALSE)</f>
        <v>SO UN Equity</v>
      </c>
    </row>
    <row r="11121" spans="1:11" hidden="1" outlineLevel="1" x14ac:dyDescent="0.25">
      <c r="A11121">
        <v>0.05</v>
      </c>
      <c r="B11121" s="852" t="s">
        <v>1239</v>
      </c>
      <c r="C11121" s="707">
        <v>381.1</v>
      </c>
      <c r="D11121" s="908">
        <v>495.2</v>
      </c>
      <c r="E11121" s="705">
        <v>0.3</v>
      </c>
      <c r="F11121" s="946"/>
      <c r="G11121" s="78"/>
      <c r="H11121" t="str">
        <f>VLOOKUP(B11121,indexy!$A$44:$D$823,3,FALSE)</f>
        <v>SCMN SE Equity</v>
      </c>
    </row>
    <row r="11122" spans="1:11" hidden="1" outlineLevel="1" x14ac:dyDescent="0.25">
      <c r="A11122">
        <v>0.03</v>
      </c>
      <c r="B11122" s="852" t="s">
        <v>3022</v>
      </c>
      <c r="C11122" s="707">
        <v>3664.5</v>
      </c>
      <c r="D11122" s="908">
        <v>5427</v>
      </c>
      <c r="E11122" s="705">
        <v>0.3</v>
      </c>
      <c r="F11122" s="946"/>
      <c r="G11122" s="78"/>
      <c r="H11122" t="str">
        <f>VLOOKUP(B11122,indexy!$A$44:$D$823,3,FALSE)</f>
        <v>4502 JT Equity</v>
      </c>
    </row>
    <row r="11123" spans="1:11" hidden="1" outlineLevel="1" x14ac:dyDescent="0.25">
      <c r="A11123">
        <v>0.05</v>
      </c>
      <c r="B11123" s="824" t="s">
        <v>255</v>
      </c>
      <c r="C11123" s="714">
        <v>45.628999999999998</v>
      </c>
      <c r="D11123" s="715">
        <v>51.35</v>
      </c>
      <c r="E11123" s="907">
        <v>0.3</v>
      </c>
      <c r="F11123" s="1023"/>
      <c r="G11123" s="78"/>
      <c r="H11123" t="str">
        <f>VLOOKUP(B11123,indexy!$A$44:$D$823,3,FALSE)</f>
        <v>VZ UN Equity</v>
      </c>
    </row>
    <row r="11124" spans="1:11" hidden="1" outlineLevel="1" x14ac:dyDescent="0.25">
      <c r="C11124" s="696"/>
      <c r="D11124" s="696"/>
      <c r="E11124" s="709"/>
      <c r="F11124" s="1872">
        <v>0.1305</v>
      </c>
      <c r="G11124" s="78"/>
    </row>
    <row r="11125" spans="1:11" collapsed="1" x14ac:dyDescent="0.25">
      <c r="A11125" s="1824" t="s">
        <v>5413</v>
      </c>
      <c r="B11125" s="1825"/>
      <c r="C11125" s="1825"/>
      <c r="D11125" s="1825"/>
      <c r="E11125" s="1892"/>
      <c r="F11125" s="1893">
        <v>0.1305</v>
      </c>
      <c r="G11125" s="78"/>
    </row>
    <row r="11127" spans="1:11" ht="12.75" hidden="1" customHeight="1" outlineLevel="1" x14ac:dyDescent="0.25">
      <c r="A11127" s="689"/>
      <c r="B11127" s="689" t="s">
        <v>114</v>
      </c>
      <c r="C11127" s="689" t="s">
        <v>112</v>
      </c>
      <c r="D11127" s="689" t="s">
        <v>116</v>
      </c>
      <c r="E11127" s="689" t="s">
        <v>117</v>
      </c>
      <c r="F11127" s="1188" t="s">
        <v>121</v>
      </c>
      <c r="G11127" s="78"/>
    </row>
    <row r="11128" spans="1:11" ht="12.75" hidden="1" customHeight="1" outlineLevel="1" x14ac:dyDescent="0.25">
      <c r="A11128" s="690">
        <v>1</v>
      </c>
      <c r="B11128" s="691" t="s">
        <v>252</v>
      </c>
      <c r="C11128" s="692">
        <v>100</v>
      </c>
      <c r="D11128" s="692"/>
      <c r="E11128" s="693"/>
      <c r="F11128" s="694"/>
      <c r="G11128" s="78"/>
    </row>
    <row r="11129" spans="1:11" ht="12.75" hidden="1" customHeight="1" outlineLevel="1" x14ac:dyDescent="0.25">
      <c r="A11129" s="695"/>
      <c r="B11129" s="695"/>
      <c r="C11129" s="696"/>
      <c r="D11129" s="697" t="s">
        <v>3702</v>
      </c>
      <c r="E11129" s="698">
        <v>42993</v>
      </c>
      <c r="F11129" s="699"/>
      <c r="G11129" s="78"/>
    </row>
    <row r="11130" spans="1:11" ht="12.75" hidden="1" customHeight="1" outlineLevel="1" x14ac:dyDescent="0.25">
      <c r="A11130" s="689" t="s">
        <v>4156</v>
      </c>
      <c r="B11130" s="495" t="s">
        <v>4153</v>
      </c>
      <c r="C11130" s="497" t="s">
        <v>112</v>
      </c>
      <c r="D11130" s="495" t="s">
        <v>8861</v>
      </c>
      <c r="E11130" s="689" t="s">
        <v>4154</v>
      </c>
      <c r="F11130" s="1021" t="s">
        <v>2519</v>
      </c>
      <c r="G11130" s="78"/>
    </row>
    <row r="11131" spans="1:11" ht="12.75" hidden="1" customHeight="1" outlineLevel="1" x14ac:dyDescent="0.25">
      <c r="A11131" s="999">
        <v>0.02</v>
      </c>
      <c r="B11131" s="1010" t="s">
        <v>1993</v>
      </c>
      <c r="C11131" s="1716">
        <v>32.209000000000003</v>
      </c>
      <c r="D11131" s="803">
        <v>62.39</v>
      </c>
      <c r="E11131" s="705">
        <v>0.93703623210903775</v>
      </c>
      <c r="F11131" s="1021">
        <v>1.8740724642180757E-2</v>
      </c>
      <c r="G11131" s="78"/>
      <c r="H11131" t="s">
        <v>2812</v>
      </c>
    </row>
    <row r="11132" spans="1:11" ht="12.75" hidden="1" customHeight="1" outlineLevel="1" x14ac:dyDescent="0.3">
      <c r="A11132" s="1002">
        <v>7.0000000000000007E-2</v>
      </c>
      <c r="B11132" t="s">
        <v>2942</v>
      </c>
      <c r="C11132" s="1084">
        <v>618.6</v>
      </c>
      <c r="D11132" s="908">
        <v>1442.5</v>
      </c>
      <c r="E11132" s="709">
        <v>1.3318784351762041</v>
      </c>
      <c r="F11132" s="946">
        <v>9.3231490462334296E-2</v>
      </c>
      <c r="G11132" s="78"/>
      <c r="H11132" t="s">
        <v>2336</v>
      </c>
      <c r="I11132" s="256"/>
      <c r="J11132" s="1356"/>
      <c r="K11132" s="37"/>
    </row>
    <row r="11133" spans="1:11" ht="12.75" hidden="1" customHeight="1" outlineLevel="1" x14ac:dyDescent="0.25">
      <c r="A11133" s="1002">
        <v>0.03</v>
      </c>
      <c r="B11133" t="s">
        <v>1903</v>
      </c>
      <c r="C11133" s="1084">
        <v>2628.05</v>
      </c>
      <c r="D11133" s="908">
        <v>4719.5</v>
      </c>
      <c r="E11133" s="709">
        <v>0.79581819219573435</v>
      </c>
      <c r="F11133" s="946">
        <v>2.3874545765872029E-2</v>
      </c>
      <c r="G11133" s="78"/>
      <c r="H11133" t="s">
        <v>3883</v>
      </c>
      <c r="I11133" s="256"/>
      <c r="J11133" s="412"/>
      <c r="K11133" s="37"/>
    </row>
    <row r="11134" spans="1:11" ht="12.75" hidden="1" customHeight="1" outlineLevel="1" x14ac:dyDescent="0.25">
      <c r="A11134" s="1002">
        <v>7.0000000000000007E-2</v>
      </c>
      <c r="B11134" t="s">
        <v>3998</v>
      </c>
      <c r="C11134" s="1084">
        <v>34.101999999999997</v>
      </c>
      <c r="D11134" s="908">
        <v>37.1</v>
      </c>
      <c r="E11134" s="709">
        <v>8.7912732391062232E-2</v>
      </c>
      <c r="F11134" s="946">
        <v>6.1538912673743569E-3</v>
      </c>
      <c r="G11134" s="78"/>
      <c r="H11134" t="s">
        <v>4000</v>
      </c>
      <c r="I11134" s="256"/>
      <c r="J11134" s="412"/>
      <c r="K11134" s="37"/>
    </row>
    <row r="11135" spans="1:11" ht="12.75" hidden="1" customHeight="1" outlineLevel="1" x14ac:dyDescent="0.25">
      <c r="A11135" s="1002">
        <v>0.03</v>
      </c>
      <c r="B11135" s="939" t="s">
        <v>805</v>
      </c>
      <c r="C11135" s="1084">
        <v>54.521000000000001</v>
      </c>
      <c r="D11135" s="908">
        <v>91.68</v>
      </c>
      <c r="E11135" s="709">
        <v>0.68155389666367094</v>
      </c>
      <c r="F11135" s="946">
        <v>2.0446616899910126E-2</v>
      </c>
      <c r="G11135" s="78"/>
      <c r="H11135" t="s">
        <v>806</v>
      </c>
      <c r="I11135" s="256"/>
      <c r="J11135" s="412"/>
      <c r="K11135" s="37"/>
    </row>
    <row r="11136" spans="1:11" ht="12.75" hidden="1" customHeight="1" outlineLevel="1" x14ac:dyDescent="0.25">
      <c r="A11136" s="1002">
        <v>0.03</v>
      </c>
      <c r="B11136" t="s">
        <v>5386</v>
      </c>
      <c r="C11136" s="1084">
        <v>41.006</v>
      </c>
      <c r="D11136" s="908">
        <v>58.1</v>
      </c>
      <c r="E11136" s="709">
        <v>0.41686582451348575</v>
      </c>
      <c r="F11136" s="946">
        <v>1.2505974735404572E-2</v>
      </c>
      <c r="G11136" s="78"/>
      <c r="H11136" t="s">
        <v>808</v>
      </c>
      <c r="I11136" s="256"/>
      <c r="J11136" s="412"/>
      <c r="K11136" s="37"/>
    </row>
    <row r="11137" spans="1:11" ht="12.75" hidden="1" customHeight="1" outlineLevel="1" x14ac:dyDescent="0.25">
      <c r="A11137" s="1002">
        <v>0.02</v>
      </c>
      <c r="B11137" t="s">
        <v>4377</v>
      </c>
      <c r="C11137" s="1084">
        <v>33.68</v>
      </c>
      <c r="D11137" s="908">
        <v>62.48</v>
      </c>
      <c r="E11137" s="709">
        <v>0.85510688836104509</v>
      </c>
      <c r="F11137" s="946">
        <v>1.7102137767220901E-2</v>
      </c>
      <c r="G11137" s="78"/>
      <c r="H11137" t="s">
        <v>4327</v>
      </c>
      <c r="I11137" s="256"/>
      <c r="J11137" s="412"/>
      <c r="K11137" s="37"/>
    </row>
    <row r="11138" spans="1:11" ht="12.75" hidden="1" customHeight="1" outlineLevel="1" x14ac:dyDescent="0.25">
      <c r="A11138" s="1002">
        <v>0.02</v>
      </c>
      <c r="B11138" t="s">
        <v>3954</v>
      </c>
      <c r="C11138" s="1084">
        <v>70.597999999999999</v>
      </c>
      <c r="D11138" s="908">
        <v>107.27</v>
      </c>
      <c r="E11138" s="709">
        <v>0.51944814300688402</v>
      </c>
      <c r="F11138" s="946">
        <v>1.0388962860137681E-2</v>
      </c>
      <c r="G11138" s="78"/>
      <c r="H11138" t="s">
        <v>3955</v>
      </c>
      <c r="I11138" s="256"/>
      <c r="J11138" s="412"/>
      <c r="K11138" s="37"/>
    </row>
    <row r="11139" spans="1:11" ht="12.75" hidden="1" customHeight="1" outlineLevel="1" x14ac:dyDescent="0.25">
      <c r="A11139" s="1002">
        <v>0.05</v>
      </c>
      <c r="B11139" t="s">
        <v>1319</v>
      </c>
      <c r="C11139" s="1084">
        <v>60.674999999999997</v>
      </c>
      <c r="D11139" s="908">
        <v>84.44</v>
      </c>
      <c r="E11139" s="709">
        <v>0.39167696744952618</v>
      </c>
      <c r="F11139" s="946">
        <v>1.9583848372476311E-2</v>
      </c>
      <c r="G11139" s="78"/>
      <c r="H11139" t="s">
        <v>1320</v>
      </c>
      <c r="I11139" s="256"/>
      <c r="J11139" s="412"/>
      <c r="K11139" s="37"/>
    </row>
    <row r="11140" spans="1:11" ht="12.75" hidden="1" customHeight="1" outlineLevel="1" x14ac:dyDescent="0.25">
      <c r="A11140" s="1002">
        <v>0.02</v>
      </c>
      <c r="B11140" s="852" t="s">
        <v>1231</v>
      </c>
      <c r="C11140" s="1084">
        <v>67.179000000000002</v>
      </c>
      <c r="D11140" s="908">
        <v>87.3</v>
      </c>
      <c r="E11140" s="709">
        <v>0.29951324074487551</v>
      </c>
      <c r="F11140" s="946">
        <v>5.9902648148975101E-3</v>
      </c>
      <c r="G11140" s="78"/>
      <c r="H11140" t="s">
        <v>2041</v>
      </c>
      <c r="I11140" s="256"/>
      <c r="J11140" s="412"/>
      <c r="K11140" s="37"/>
    </row>
    <row r="11141" spans="1:11" ht="12.75" hidden="1" customHeight="1" outlineLevel="1" x14ac:dyDescent="0.25">
      <c r="A11141" s="1002">
        <v>0.02</v>
      </c>
      <c r="B11141" t="s">
        <v>5232</v>
      </c>
      <c r="C11141" s="1084">
        <v>64.968999999999994</v>
      </c>
      <c r="D11141" s="908">
        <v>78.87</v>
      </c>
      <c r="E11141" s="709">
        <v>0.21396358263171678</v>
      </c>
      <c r="F11141" s="946">
        <v>4.2792716526343358E-3</v>
      </c>
      <c r="G11141" s="78"/>
      <c r="H11141" t="s">
        <v>5230</v>
      </c>
      <c r="I11141" s="256"/>
      <c r="J11141" s="412"/>
      <c r="K11141" s="37"/>
    </row>
    <row r="11142" spans="1:11" ht="12.75" hidden="1" customHeight="1" outlineLevel="1" x14ac:dyDescent="0.25">
      <c r="A11142" s="1002">
        <v>0.02</v>
      </c>
      <c r="B11142" s="852" t="s">
        <v>3799</v>
      </c>
      <c r="C11142" s="1084">
        <v>1427.4</v>
      </c>
      <c r="D11142" s="908">
        <v>1454</v>
      </c>
      <c r="E11142" s="709">
        <v>1.863528093036293E-2</v>
      </c>
      <c r="F11142" s="946">
        <v>3.727056186072586E-4</v>
      </c>
      <c r="G11142" s="78"/>
      <c r="H11142" t="s">
        <v>4128</v>
      </c>
      <c r="I11142" s="256"/>
      <c r="J11142" s="412"/>
      <c r="K11142" s="37"/>
    </row>
    <row r="11143" spans="1:11" ht="12.75" hidden="1" customHeight="1" outlineLevel="1" x14ac:dyDescent="0.25">
      <c r="A11143" s="1002">
        <v>0.02</v>
      </c>
      <c r="B11143" t="s">
        <v>1381</v>
      </c>
      <c r="C11143" s="1084">
        <v>79.625</v>
      </c>
      <c r="D11143" s="908">
        <v>121.1</v>
      </c>
      <c r="E11143" s="709">
        <v>0.5208791208791208</v>
      </c>
      <c r="F11143" s="946">
        <v>1.0417582417582416E-2</v>
      </c>
      <c r="G11143" s="78"/>
      <c r="H11143" t="s">
        <v>1383</v>
      </c>
      <c r="I11143" s="256"/>
      <c r="J11143" s="412"/>
      <c r="K11143" s="37"/>
    </row>
    <row r="11144" spans="1:11" ht="12.75" hidden="1" customHeight="1" outlineLevel="1" x14ac:dyDescent="0.25">
      <c r="A11144" s="1002">
        <v>0.02</v>
      </c>
      <c r="B11144" t="s">
        <v>1905</v>
      </c>
      <c r="C11144" s="1084">
        <v>37.695</v>
      </c>
      <c r="D11144" s="908">
        <v>66.16</v>
      </c>
      <c r="E11144" s="709">
        <v>0.75513993898394993</v>
      </c>
      <c r="F11144" s="946">
        <v>1.5102798779678999E-2</v>
      </c>
      <c r="G11144" s="78"/>
      <c r="H11144" t="s">
        <v>504</v>
      </c>
      <c r="I11144" s="412"/>
      <c r="K11144" s="261"/>
    </row>
    <row r="11145" spans="1:11" ht="12.75" hidden="1" customHeight="1" outlineLevel="1" x14ac:dyDescent="0.25">
      <c r="A11145" s="1002">
        <v>0.02</v>
      </c>
      <c r="B11145" t="s">
        <v>247</v>
      </c>
      <c r="C11145" s="1084">
        <v>1535.3</v>
      </c>
      <c r="D11145" s="908">
        <v>2596</v>
      </c>
      <c r="E11145" s="709">
        <v>0.69087474760633105</v>
      </c>
      <c r="F11145" s="946">
        <v>1.3817494952126622E-2</v>
      </c>
      <c r="G11145" s="78"/>
      <c r="H11145" t="s">
        <v>3640</v>
      </c>
      <c r="I11145" s="412"/>
      <c r="K11145" s="422"/>
    </row>
    <row r="11146" spans="1:11" ht="12.75" hidden="1" customHeight="1" outlineLevel="1" x14ac:dyDescent="0.25">
      <c r="A11146" s="1002">
        <v>0.02</v>
      </c>
      <c r="B11146" t="s">
        <v>2786</v>
      </c>
      <c r="C11146" s="1084">
        <v>662.05</v>
      </c>
      <c r="D11146" s="908">
        <v>953.9</v>
      </c>
      <c r="E11146" s="709">
        <v>0.44082773204440762</v>
      </c>
      <c r="F11146" s="946">
        <v>8.8165546408881523E-3</v>
      </c>
      <c r="G11146" s="78"/>
      <c r="H11146" t="s">
        <v>4195</v>
      </c>
    </row>
    <row r="11147" spans="1:11" ht="12.75" hidden="1" customHeight="1" outlineLevel="1" x14ac:dyDescent="0.25">
      <c r="A11147" s="1002">
        <v>7.0000000000000007E-2</v>
      </c>
      <c r="B11147" t="s">
        <v>2787</v>
      </c>
      <c r="C11147" s="1084">
        <v>50.045999999999999</v>
      </c>
      <c r="D11147" s="908">
        <v>82.4</v>
      </c>
      <c r="E11147" s="709">
        <v>0.6464852335851019</v>
      </c>
      <c r="F11147" s="946">
        <v>4.5253966350957138E-2</v>
      </c>
      <c r="G11147" s="78"/>
      <c r="H11147" t="s">
        <v>80</v>
      </c>
    </row>
    <row r="11148" spans="1:11" ht="12.75" hidden="1" customHeight="1" outlineLevel="1" x14ac:dyDescent="0.25">
      <c r="A11148" s="1002">
        <v>0.03</v>
      </c>
      <c r="B11148" s="852" t="s">
        <v>4273</v>
      </c>
      <c r="C11148" s="1084">
        <v>1257.2</v>
      </c>
      <c r="D11148" s="908">
        <v>2539.5</v>
      </c>
      <c r="E11148" s="709">
        <v>1.0199650015908368</v>
      </c>
      <c r="F11148" s="946">
        <v>3.0598950047725101E-2</v>
      </c>
      <c r="G11148" s="78"/>
      <c r="H11148" t="s">
        <v>82</v>
      </c>
    </row>
    <row r="11149" spans="1:11" ht="12.75" hidden="1" customHeight="1" outlineLevel="1" x14ac:dyDescent="0.25">
      <c r="A11149" s="1002">
        <v>0.02</v>
      </c>
      <c r="B11149" s="852" t="s">
        <v>2753</v>
      </c>
      <c r="C11149" s="1084">
        <v>20.699000000000002</v>
      </c>
      <c r="D11149" s="908">
        <v>65.400000000000006</v>
      </c>
      <c r="E11149" s="709">
        <v>2.1595729262283201</v>
      </c>
      <c r="F11149" s="946">
        <v>4.3191458524566399E-2</v>
      </c>
      <c r="G11149" s="78"/>
      <c r="H11149" t="s">
        <v>3558</v>
      </c>
    </row>
    <row r="11150" spans="1:11" ht="12.75" hidden="1" customHeight="1" outlineLevel="1" x14ac:dyDescent="0.25">
      <c r="A11150" s="1002">
        <v>7.0000000000000007E-2</v>
      </c>
      <c r="B11150" t="s">
        <v>3800</v>
      </c>
      <c r="C11150" s="1084">
        <v>151.75</v>
      </c>
      <c r="D11150" s="908">
        <v>243.2</v>
      </c>
      <c r="E11150" s="709">
        <v>0.60263591433278418</v>
      </c>
      <c r="F11150" s="946">
        <v>4.2184514003294898E-2</v>
      </c>
      <c r="G11150" s="78"/>
      <c r="H11150" t="s">
        <v>2817</v>
      </c>
    </row>
    <row r="11151" spans="1:11" ht="12.75" hidden="1" customHeight="1" outlineLevel="1" x14ac:dyDescent="0.25">
      <c r="A11151" s="1002">
        <v>0.03</v>
      </c>
      <c r="B11151" t="s">
        <v>4460</v>
      </c>
      <c r="C11151" s="1084">
        <v>1729.9</v>
      </c>
      <c r="D11151" s="908">
        <v>2230</v>
      </c>
      <c r="E11151" s="709">
        <v>0.28909185502052126</v>
      </c>
      <c r="F11151" s="946">
        <v>8.6727556506156368E-3</v>
      </c>
      <c r="G11151" s="78"/>
      <c r="H11151" t="s">
        <v>3485</v>
      </c>
    </row>
    <row r="11152" spans="1:11" ht="12.75" hidden="1" customHeight="1" outlineLevel="1" x14ac:dyDescent="0.25">
      <c r="A11152" s="1002">
        <v>0.05</v>
      </c>
      <c r="B11152" t="s">
        <v>1857</v>
      </c>
      <c r="C11152" s="1084">
        <v>1338.9</v>
      </c>
      <c r="D11152" s="908">
        <v>1407</v>
      </c>
      <c r="E11152" s="709">
        <v>5.0862648442751457E-2</v>
      </c>
      <c r="F11152" s="946">
        <v>2.5431324221375732E-3</v>
      </c>
      <c r="G11152" s="78"/>
      <c r="H11152" t="s">
        <v>3559</v>
      </c>
    </row>
    <row r="11153" spans="1:8" ht="12.75" hidden="1" customHeight="1" outlineLevel="1" x14ac:dyDescent="0.25">
      <c r="A11153" s="1002">
        <v>7.0000000000000007E-2</v>
      </c>
      <c r="B11153" t="s">
        <v>1239</v>
      </c>
      <c r="C11153" s="1084">
        <v>350.95</v>
      </c>
      <c r="D11153" s="908">
        <v>482.2</v>
      </c>
      <c r="E11153" s="709">
        <v>0.37398489813363733</v>
      </c>
      <c r="F11153" s="946">
        <v>2.6178942869354616E-2</v>
      </c>
      <c r="G11153" s="78"/>
      <c r="H11153" t="s">
        <v>268</v>
      </c>
    </row>
    <row r="11154" spans="1:8" ht="12.75" hidden="1" customHeight="1" outlineLevel="1" x14ac:dyDescent="0.25">
      <c r="A11154" s="1002">
        <v>0.02</v>
      </c>
      <c r="B11154" t="s">
        <v>3022</v>
      </c>
      <c r="C11154" s="1084">
        <v>3312</v>
      </c>
      <c r="D11154" s="908">
        <v>6115</v>
      </c>
      <c r="E11154" s="709">
        <v>0.84631642512077287</v>
      </c>
      <c r="F11154" s="946">
        <v>1.6926328502415457E-2</v>
      </c>
      <c r="G11154" s="78"/>
      <c r="H11154" t="s">
        <v>2802</v>
      </c>
    </row>
    <row r="11155" spans="1:8" ht="12.75" hidden="1" customHeight="1" outlineLevel="1" x14ac:dyDescent="0.25">
      <c r="A11155" s="1002">
        <v>0.05</v>
      </c>
      <c r="B11155" t="s">
        <v>434</v>
      </c>
      <c r="C11155" s="1084">
        <v>43.773000000000003</v>
      </c>
      <c r="D11155" s="908">
        <v>38.32</v>
      </c>
      <c r="E11155" s="709">
        <v>-0.12457450940077219</v>
      </c>
      <c r="F11155" s="946">
        <v>-6.2287254700386097E-3</v>
      </c>
      <c r="G11155" s="78"/>
      <c r="H11155" t="s">
        <v>7745</v>
      </c>
    </row>
    <row r="11156" spans="1:8" ht="12.75" hidden="1" customHeight="1" outlineLevel="1" x14ac:dyDescent="0.25">
      <c r="A11156" s="1002">
        <v>0.03</v>
      </c>
      <c r="B11156" s="939" t="s">
        <v>106</v>
      </c>
      <c r="C11156" s="1084">
        <v>2031.4</v>
      </c>
      <c r="D11156" s="908">
        <v>4348.5</v>
      </c>
      <c r="E11156" s="709">
        <v>1.1406419218273109</v>
      </c>
      <c r="F11156" s="946">
        <v>3.4219257654819327E-2</v>
      </c>
      <c r="G11156" s="78"/>
      <c r="H11156" t="s">
        <v>107</v>
      </c>
    </row>
    <row r="11157" spans="1:8" ht="12.75" hidden="1" customHeight="1" outlineLevel="1" x14ac:dyDescent="0.25">
      <c r="A11157" s="1002">
        <v>0.02</v>
      </c>
      <c r="B11157" s="939" t="s">
        <v>2983</v>
      </c>
      <c r="C11157" s="1084">
        <v>660.15</v>
      </c>
      <c r="D11157" s="908">
        <v>886</v>
      </c>
      <c r="E11157" s="709">
        <v>0.34211921532984935</v>
      </c>
      <c r="F11157" s="946">
        <v>6.8423843065969873E-3</v>
      </c>
      <c r="G11157" s="78"/>
      <c r="H11157" t="s">
        <v>1713</v>
      </c>
    </row>
    <row r="11158" spans="1:8" ht="12.75" hidden="1" customHeight="1" outlineLevel="1" x14ac:dyDescent="0.25">
      <c r="A11158" s="1002">
        <v>0.02</v>
      </c>
      <c r="B11158" t="s">
        <v>255</v>
      </c>
      <c r="C11158" s="1084">
        <v>41.567999999999998</v>
      </c>
      <c r="D11158" s="908">
        <v>47.86</v>
      </c>
      <c r="E11158" s="709">
        <v>0.15136643571978459</v>
      </c>
      <c r="F11158" s="946">
        <v>3.0273287143956916E-3</v>
      </c>
      <c r="G11158" s="78"/>
      <c r="H11158" t="s">
        <v>3351</v>
      </c>
    </row>
    <row r="11159" spans="1:8" ht="12.75" hidden="1" customHeight="1" outlineLevel="1" x14ac:dyDescent="0.25">
      <c r="A11159" s="1002">
        <v>0.02</v>
      </c>
      <c r="B11159" t="s">
        <v>579</v>
      </c>
      <c r="C11159" s="1084">
        <v>171.71</v>
      </c>
      <c r="D11159" s="908">
        <v>206.45</v>
      </c>
      <c r="E11159" s="709">
        <v>0.20231786151068643</v>
      </c>
      <c r="F11159" s="946">
        <v>4.0463572302137287E-3</v>
      </c>
      <c r="G11159" s="78"/>
      <c r="H11159" t="s">
        <v>3611</v>
      </c>
    </row>
    <row r="11160" spans="1:8" ht="12.75" hidden="1" customHeight="1" outlineLevel="1" x14ac:dyDescent="0.25">
      <c r="A11160" s="1002">
        <v>0.02</v>
      </c>
      <c r="B11160" t="s">
        <v>2874</v>
      </c>
      <c r="C11160" s="1084">
        <v>28.103000000000002</v>
      </c>
      <c r="D11160" s="715">
        <v>49.08</v>
      </c>
      <c r="E11160" s="709">
        <v>0.7464327651852114</v>
      </c>
      <c r="F11160" s="946">
        <v>1.4928655303704227E-2</v>
      </c>
      <c r="G11160" s="78"/>
      <c r="H11160" t="s">
        <v>5175</v>
      </c>
    </row>
    <row r="11161" spans="1:8" ht="12.75" hidden="1" customHeight="1" outlineLevel="1" x14ac:dyDescent="0.25">
      <c r="A11161" s="1099"/>
      <c r="C11161" s="736"/>
      <c r="D11161" s="741"/>
      <c r="E11161" s="895"/>
      <c r="F11161" s="1021">
        <v>0.55321017176008458</v>
      </c>
      <c r="G11161" s="78"/>
    </row>
    <row r="11162" spans="1:8" ht="12.75" hidden="1" customHeight="1" outlineLevel="1" x14ac:dyDescent="0.25">
      <c r="A11162" s="751" t="s">
        <v>5424</v>
      </c>
      <c r="B11162" s="944">
        <v>42644</v>
      </c>
      <c r="C11162" s="719">
        <v>100</v>
      </c>
      <c r="D11162" s="719">
        <v>148.8672</v>
      </c>
      <c r="E11162" s="720">
        <v>0.488672</v>
      </c>
      <c r="F11162" s="731"/>
      <c r="G11162" s="78"/>
    </row>
    <row r="11163" spans="1:8" ht="12.75" hidden="1" customHeight="1" outlineLevel="1" x14ac:dyDescent="0.25">
      <c r="A11163" s="751" t="s">
        <v>5425</v>
      </c>
      <c r="B11163" s="944">
        <v>42675</v>
      </c>
      <c r="C11163" s="719">
        <v>100</v>
      </c>
      <c r="D11163" s="727">
        <v>145.858</v>
      </c>
      <c r="E11163" s="720">
        <v>0.45857999999999999</v>
      </c>
      <c r="F11163" s="731"/>
      <c r="G11163" s="78"/>
    </row>
    <row r="11164" spans="1:8" ht="12.75" hidden="1" customHeight="1" outlineLevel="1" x14ac:dyDescent="0.25">
      <c r="A11164" s="751" t="s">
        <v>5426</v>
      </c>
      <c r="B11164" s="944">
        <v>42705</v>
      </c>
      <c r="C11164" s="719">
        <v>100</v>
      </c>
      <c r="D11164" s="727">
        <v>151.79570000000001</v>
      </c>
      <c r="E11164" s="720">
        <v>0.517957</v>
      </c>
      <c r="F11164" s="731"/>
      <c r="G11164" s="78"/>
    </row>
    <row r="11165" spans="1:8" ht="12.75" hidden="1" customHeight="1" outlineLevel="1" x14ac:dyDescent="0.25">
      <c r="A11165" s="751" t="s">
        <v>5427</v>
      </c>
      <c r="B11165" s="944">
        <v>42736</v>
      </c>
      <c r="C11165" s="719">
        <v>100</v>
      </c>
      <c r="D11165" s="727">
        <v>149.61189999999999</v>
      </c>
      <c r="E11165" s="720">
        <v>0.49611899999999998</v>
      </c>
      <c r="F11165" s="731"/>
      <c r="G11165" s="78"/>
    </row>
    <row r="11166" spans="1:8" ht="12.75" hidden="1" customHeight="1" outlineLevel="1" x14ac:dyDescent="0.25">
      <c r="A11166" s="751" t="s">
        <v>5428</v>
      </c>
      <c r="B11166" s="944">
        <v>42767</v>
      </c>
      <c r="C11166" s="719">
        <v>100</v>
      </c>
      <c r="D11166" s="727">
        <v>155.87270000000001</v>
      </c>
      <c r="E11166" s="720">
        <v>0.5587270000000002</v>
      </c>
      <c r="F11166" s="731"/>
      <c r="G11166" s="78"/>
    </row>
    <row r="11167" spans="1:8" ht="12.75" hidden="1" customHeight="1" outlineLevel="1" x14ac:dyDescent="0.25">
      <c r="A11167" s="751" t="s">
        <v>5429</v>
      </c>
      <c r="B11167" s="944">
        <v>42795</v>
      </c>
      <c r="C11167" s="719">
        <v>100</v>
      </c>
      <c r="D11167" s="727">
        <v>155.60919999999999</v>
      </c>
      <c r="E11167" s="720">
        <v>0.55609199999999981</v>
      </c>
      <c r="F11167" s="731"/>
      <c r="G11167" s="78"/>
    </row>
    <row r="11168" spans="1:8" ht="12.75" hidden="1" customHeight="1" outlineLevel="1" x14ac:dyDescent="0.25">
      <c r="A11168" s="751" t="s">
        <v>5430</v>
      </c>
      <c r="B11168" s="944">
        <v>42826</v>
      </c>
      <c r="C11168" s="719">
        <v>100</v>
      </c>
      <c r="D11168" s="727">
        <v>154.45169999999999</v>
      </c>
      <c r="E11168" s="720">
        <v>0.54451699999999992</v>
      </c>
      <c r="F11168" s="731"/>
      <c r="G11168" s="78"/>
    </row>
    <row r="11169" spans="1:9" ht="12.75" hidden="1" customHeight="1" outlineLevel="1" x14ac:dyDescent="0.25">
      <c r="A11169" s="751" t="s">
        <v>5431</v>
      </c>
      <c r="B11169" s="944">
        <v>42856</v>
      </c>
      <c r="C11169" s="719">
        <v>100</v>
      </c>
      <c r="D11169" s="727">
        <v>158.81290000000001</v>
      </c>
      <c r="E11169" s="720">
        <v>0.58812900000000012</v>
      </c>
      <c r="F11169" s="731"/>
      <c r="G11169" s="78"/>
    </row>
    <row r="11170" spans="1:9" ht="12.75" hidden="1" customHeight="1" outlineLevel="1" x14ac:dyDescent="0.25">
      <c r="A11170" s="751" t="s">
        <v>5432</v>
      </c>
      <c r="B11170" s="944">
        <v>42887</v>
      </c>
      <c r="C11170" s="719">
        <v>100</v>
      </c>
      <c r="D11170" s="727">
        <v>154.297</v>
      </c>
      <c r="E11170" s="720">
        <v>0.54296999999999995</v>
      </c>
      <c r="F11170" s="731"/>
      <c r="G11170" s="78"/>
    </row>
    <row r="11171" spans="1:9" ht="12.75" hidden="1" customHeight="1" outlineLevel="1" x14ac:dyDescent="0.25">
      <c r="A11171" s="751" t="s">
        <v>5433</v>
      </c>
      <c r="B11171" s="944">
        <v>42917</v>
      </c>
      <c r="C11171" s="719">
        <v>100</v>
      </c>
      <c r="D11171" s="727">
        <v>153.77860000000001</v>
      </c>
      <c r="E11171" s="720">
        <v>0.5377860000000001</v>
      </c>
      <c r="F11171" s="731"/>
      <c r="G11171" s="78"/>
    </row>
    <row r="11172" spans="1:9" ht="12.75" hidden="1" customHeight="1" outlineLevel="1" x14ac:dyDescent="0.25">
      <c r="A11172" s="751" t="s">
        <v>5434</v>
      </c>
      <c r="B11172" s="944">
        <v>42948</v>
      </c>
      <c r="C11172" s="719">
        <v>100</v>
      </c>
      <c r="D11172" s="727">
        <v>154.4426</v>
      </c>
      <c r="E11172" s="720">
        <v>0.54442600000000008</v>
      </c>
      <c r="F11172" s="731"/>
      <c r="G11172" s="78"/>
    </row>
    <row r="11173" spans="1:9" ht="12.75" hidden="1" customHeight="1" outlineLevel="1" x14ac:dyDescent="0.25">
      <c r="A11173" s="751" t="s">
        <v>5435</v>
      </c>
      <c r="B11173" s="944">
        <v>42979</v>
      </c>
      <c r="C11173" s="719">
        <v>100</v>
      </c>
      <c r="D11173" s="727">
        <v>155.30240000000001</v>
      </c>
      <c r="E11173" s="720">
        <v>0.55302399999999996</v>
      </c>
      <c r="F11173" s="731"/>
      <c r="G11173" s="78"/>
    </row>
    <row r="11174" spans="1:9" ht="12.75" hidden="1" customHeight="1" outlineLevel="1" x14ac:dyDescent="0.25">
      <c r="A11174" s="751"/>
      <c r="B11174" s="944"/>
      <c r="C11174" s="727"/>
      <c r="D11174" s="727"/>
      <c r="E11174" s="720"/>
      <c r="F11174" s="731"/>
      <c r="G11174" s="78"/>
    </row>
    <row r="11175" spans="1:9" ht="12.75" hidden="1" customHeight="1" outlineLevel="1" x14ac:dyDescent="0.25">
      <c r="A11175" s="767"/>
      <c r="C11175" s="696"/>
      <c r="D11175" s="1894" t="s">
        <v>2465</v>
      </c>
      <c r="E11175" s="1895">
        <v>0.53224991666666666</v>
      </c>
      <c r="F11175" s="1872">
        <v>0.53224991666666666</v>
      </c>
      <c r="G11175" s="78"/>
    </row>
    <row r="11176" spans="1:9" collapsed="1" x14ac:dyDescent="0.25">
      <c r="A11176" s="1824" t="s">
        <v>5413</v>
      </c>
      <c r="B11176" s="1825"/>
      <c r="C11176" s="1825"/>
      <c r="D11176" s="1825"/>
      <c r="E11176" s="1892"/>
      <c r="F11176" s="1893">
        <v>0.1305</v>
      </c>
      <c r="G11176" s="78"/>
    </row>
    <row r="11178" spans="1:9" hidden="1" outlineLevel="1" x14ac:dyDescent="0.25">
      <c r="A11178" s="495" t="s">
        <v>113</v>
      </c>
      <c r="B11178" s="689" t="s">
        <v>114</v>
      </c>
      <c r="C11178" s="495" t="s">
        <v>112</v>
      </c>
      <c r="D11178" s="689" t="s">
        <v>4155</v>
      </c>
      <c r="E11178" s="689" t="s">
        <v>116</v>
      </c>
      <c r="F11178" s="1021" t="s">
        <v>121</v>
      </c>
      <c r="H11178" s="438" t="s">
        <v>5391</v>
      </c>
      <c r="I11178" s="438" t="s">
        <v>5392</v>
      </c>
    </row>
    <row r="11179" spans="1:9" hidden="1" outlineLevel="1" x14ac:dyDescent="0.25">
      <c r="A11179" s="753" t="s">
        <v>5437</v>
      </c>
      <c r="B11179" s="729" t="s">
        <v>2153</v>
      </c>
      <c r="C11179" s="800">
        <v>2505.0540000000001</v>
      </c>
      <c r="D11179" s="3805">
        <v>2893.15</v>
      </c>
      <c r="E11179" s="1183">
        <v>2920.96</v>
      </c>
      <c r="F11179" s="700">
        <v>0.1075</v>
      </c>
      <c r="H11179" s="79">
        <v>0.16602676030137475</v>
      </c>
      <c r="I11179" s="450">
        <v>0.1075</v>
      </c>
    </row>
    <row r="11180" spans="1:9" hidden="1" outlineLevel="1" x14ac:dyDescent="0.25">
      <c r="A11180" s="732" t="s">
        <v>5438</v>
      </c>
      <c r="B11180" s="729" t="s">
        <v>2153</v>
      </c>
      <c r="C11180" s="1028">
        <v>2505.0540000000001</v>
      </c>
      <c r="D11180" s="3806"/>
      <c r="E11180" s="1255"/>
      <c r="F11180" s="1178" t="s">
        <v>5590</v>
      </c>
      <c r="H11180" s="79">
        <v>0.15492520320919234</v>
      </c>
      <c r="I11180" s="451">
        <v>0.215</v>
      </c>
    </row>
    <row r="11181" spans="1:9" hidden="1" outlineLevel="1" x14ac:dyDescent="0.25">
      <c r="A11181" s="732" t="s">
        <v>5439</v>
      </c>
      <c r="B11181" s="729" t="s">
        <v>2153</v>
      </c>
      <c r="C11181" s="1028" t="s">
        <v>5590</v>
      </c>
      <c r="D11181" s="3806"/>
      <c r="E11181" s="1255"/>
      <c r="F11181" s="1178" t="s">
        <v>5590</v>
      </c>
      <c r="H11181" s="79" t="s">
        <v>5590</v>
      </c>
      <c r="I11181" s="451">
        <v>0.32250000000000001</v>
      </c>
    </row>
    <row r="11182" spans="1:9" hidden="1" outlineLevel="1" x14ac:dyDescent="0.25">
      <c r="A11182" s="732" t="s">
        <v>5440</v>
      </c>
      <c r="B11182" s="729" t="s">
        <v>2153</v>
      </c>
      <c r="C11182" s="1028" t="s">
        <v>5590</v>
      </c>
      <c r="D11182" s="3806"/>
      <c r="E11182" s="1255"/>
      <c r="F11182" s="1178" t="s">
        <v>5590</v>
      </c>
      <c r="H11182" s="79" t="s">
        <v>5590</v>
      </c>
      <c r="I11182" s="451">
        <v>0.43</v>
      </c>
    </row>
    <row r="11183" spans="1:9" hidden="1" outlineLevel="1" x14ac:dyDescent="0.25">
      <c r="A11183" s="754" t="s">
        <v>5441</v>
      </c>
      <c r="B11183" s="729" t="s">
        <v>2153</v>
      </c>
      <c r="C11183" s="806" t="s">
        <v>5590</v>
      </c>
      <c r="D11183" s="3807"/>
      <c r="E11183" s="1255"/>
      <c r="F11183" s="1107" t="s">
        <v>5590</v>
      </c>
      <c r="H11183" s="82" t="s">
        <v>5590</v>
      </c>
      <c r="I11183" s="452">
        <v>0.53749999999999998</v>
      </c>
    </row>
    <row r="11184" spans="1:9" hidden="1" outlineLevel="1" x14ac:dyDescent="0.25">
      <c r="A11184" s="846"/>
      <c r="B11184" s="729"/>
      <c r="C11184" s="956"/>
      <c r="D11184" s="1249"/>
      <c r="E11184" s="693"/>
      <c r="F11184" s="856"/>
      <c r="H11184" s="37">
        <v>0.15492520320919234</v>
      </c>
    </row>
    <row r="11185" spans="1:8" collapsed="1" x14ac:dyDescent="0.25">
      <c r="A11185" s="3801" t="s">
        <v>5436</v>
      </c>
      <c r="B11185" s="3802"/>
      <c r="C11185" s="3802"/>
      <c r="D11185" s="3802"/>
      <c r="E11185" s="729"/>
      <c r="F11185" s="752">
        <v>0.1075</v>
      </c>
      <c r="G11185" s="175" t="s">
        <v>781</v>
      </c>
      <c r="H11185" s="74"/>
    </row>
    <row r="11187" spans="1:8" hidden="1" outlineLevel="1" x14ac:dyDescent="0.25">
      <c r="A11187" s="495" t="s">
        <v>113</v>
      </c>
      <c r="B11187" s="689" t="s">
        <v>114</v>
      </c>
      <c r="C11187" s="495" t="s">
        <v>112</v>
      </c>
      <c r="D11187" s="689" t="s">
        <v>4155</v>
      </c>
      <c r="E11187" s="689" t="s">
        <v>116</v>
      </c>
      <c r="F11187" s="1021" t="s">
        <v>121</v>
      </c>
      <c r="H11187" s="449" t="s">
        <v>5391</v>
      </c>
    </row>
    <row r="11188" spans="1:8" hidden="1" outlineLevel="1" x14ac:dyDescent="0.25">
      <c r="A11188" s="753" t="s">
        <v>5672</v>
      </c>
      <c r="B11188" s="729" t="s">
        <v>5442</v>
      </c>
      <c r="C11188" s="1046">
        <v>24.8826</v>
      </c>
      <c r="D11188" s="3893">
        <v>25.510204081632654</v>
      </c>
      <c r="E11188" s="1738">
        <v>25.561699999999998</v>
      </c>
      <c r="F11188" s="700">
        <v>0</v>
      </c>
      <c r="G11188" s="37">
        <v>-2.5222608635458332E-2</v>
      </c>
      <c r="H11188" s="92">
        <v>0</v>
      </c>
    </row>
    <row r="11189" spans="1:8" hidden="1" outlineLevel="1" x14ac:dyDescent="0.25">
      <c r="A11189" t="s">
        <v>5673</v>
      </c>
      <c r="B11189" s="729" t="s">
        <v>5442</v>
      </c>
      <c r="C11189" s="1739">
        <v>24.8826</v>
      </c>
      <c r="D11189" s="3894"/>
      <c r="E11189" s="1738">
        <v>27.495999999999999</v>
      </c>
      <c r="F11189" s="1178">
        <v>0</v>
      </c>
      <c r="H11189" s="79">
        <v>0</v>
      </c>
    </row>
    <row r="11190" spans="1:8" hidden="1" outlineLevel="1" x14ac:dyDescent="0.25">
      <c r="A11190" t="s">
        <v>5674</v>
      </c>
      <c r="B11190" s="729" t="s">
        <v>5442</v>
      </c>
      <c r="C11190" s="1739">
        <v>24.8826</v>
      </c>
      <c r="D11190" s="3894"/>
      <c r="E11190" s="1738">
        <v>27.124400000000001</v>
      </c>
      <c r="F11190" s="1178">
        <v>0</v>
      </c>
      <c r="H11190" s="79">
        <v>0</v>
      </c>
    </row>
    <row r="11191" spans="1:8" hidden="1" outlineLevel="1" x14ac:dyDescent="0.25">
      <c r="A11191" t="s">
        <v>5675</v>
      </c>
      <c r="B11191" s="729" t="s">
        <v>5442</v>
      </c>
      <c r="C11191" s="1739">
        <v>24.8826</v>
      </c>
      <c r="D11191" s="3894"/>
      <c r="E11191" s="1738">
        <v>27.0229</v>
      </c>
      <c r="F11191" s="1178">
        <v>0</v>
      </c>
      <c r="H11191" s="79">
        <v>0</v>
      </c>
    </row>
    <row r="11192" spans="1:8" hidden="1" outlineLevel="1" x14ac:dyDescent="0.25">
      <c r="A11192" s="754" t="s">
        <v>5676</v>
      </c>
      <c r="B11192" s="729" t="s">
        <v>5442</v>
      </c>
      <c r="C11192" s="1740">
        <v>24.8826</v>
      </c>
      <c r="D11192" s="3895"/>
      <c r="E11192" s="1738">
        <v>25.6509</v>
      </c>
      <c r="F11192" s="1107">
        <v>0</v>
      </c>
      <c r="H11192" s="82">
        <v>0</v>
      </c>
    </row>
    <row r="11193" spans="1:8" hidden="1" outlineLevel="1" x14ac:dyDescent="0.25">
      <c r="A11193" s="846"/>
      <c r="B11193" s="729"/>
      <c r="C11193" s="956"/>
      <c r="D11193" s="1249"/>
      <c r="E11193" s="693"/>
      <c r="F11193" s="693"/>
      <c r="H11193" s="37">
        <v>0</v>
      </c>
    </row>
    <row r="11194" spans="1:8" collapsed="1" x14ac:dyDescent="0.25">
      <c r="A11194" s="3801" t="s">
        <v>5443</v>
      </c>
      <c r="B11194" s="3802"/>
      <c r="C11194" s="3802"/>
      <c r="D11194" s="3802"/>
      <c r="E11194" s="729"/>
      <c r="F11194" s="752">
        <v>0</v>
      </c>
      <c r="H11194" s="74"/>
    </row>
    <row r="11196" spans="1:8" hidden="1" outlineLevel="1" x14ac:dyDescent="0.25">
      <c r="A11196" s="689" t="s">
        <v>113</v>
      </c>
      <c r="B11196" s="689" t="s">
        <v>114</v>
      </c>
      <c r="C11196" s="689" t="s">
        <v>112</v>
      </c>
      <c r="D11196" s="689" t="s">
        <v>116</v>
      </c>
      <c r="E11196" s="689" t="s">
        <v>117</v>
      </c>
      <c r="F11196" s="1188" t="s">
        <v>121</v>
      </c>
      <c r="G11196" s="695"/>
    </row>
    <row r="11197" spans="1:8" hidden="1" outlineLevel="1" x14ac:dyDescent="0.25">
      <c r="A11197" s="695"/>
      <c r="B11197" s="695"/>
      <c r="C11197" s="696"/>
      <c r="D11197" s="697" t="s">
        <v>3702</v>
      </c>
      <c r="E11197" s="698">
        <v>43098</v>
      </c>
      <c r="F11197" s="699"/>
      <c r="G11197" s="695"/>
    </row>
    <row r="11198" spans="1:8" hidden="1" outlineLevel="1" x14ac:dyDescent="0.25">
      <c r="A11198" s="495" t="s">
        <v>4156</v>
      </c>
      <c r="B11198" s="689" t="s">
        <v>4153</v>
      </c>
      <c r="C11198" s="700" t="s">
        <v>112</v>
      </c>
      <c r="D11198" s="689" t="s">
        <v>4155</v>
      </c>
      <c r="E11198" s="495" t="s">
        <v>4154</v>
      </c>
      <c r="F11198" s="1021" t="s">
        <v>734</v>
      </c>
      <c r="G11198" s="695"/>
    </row>
    <row r="11199" spans="1:8" hidden="1" outlineLevel="1" x14ac:dyDescent="0.25">
      <c r="A11199" s="1236">
        <v>0.02</v>
      </c>
      <c r="B11199" s="1010" t="s">
        <v>1993</v>
      </c>
      <c r="C11199" s="1242">
        <v>34.043999999999997</v>
      </c>
      <c r="D11199" s="708">
        <v>71.41</v>
      </c>
      <c r="E11199" s="705">
        <v>1.0975796028668783</v>
      </c>
      <c r="F11199" s="1021">
        <v>0.06</v>
      </c>
      <c r="G11199" s="695"/>
      <c r="H11199" t="s">
        <v>2812</v>
      </c>
    </row>
    <row r="11200" spans="1:8" hidden="1" outlineLevel="1" x14ac:dyDescent="0.25">
      <c r="A11200" s="1237">
        <v>7.0000000000000007E-2</v>
      </c>
      <c r="B11200" s="1238" t="s">
        <v>2942</v>
      </c>
      <c r="C11200" s="1242">
        <v>800.2</v>
      </c>
      <c r="D11200" s="708">
        <v>1437</v>
      </c>
      <c r="E11200" s="709">
        <v>0.7958010497375656</v>
      </c>
      <c r="F11200" s="946">
        <v>0.06</v>
      </c>
      <c r="G11200" s="695"/>
      <c r="H11200" t="s">
        <v>2336</v>
      </c>
    </row>
    <row r="11201" spans="1:8" hidden="1" outlineLevel="1" x14ac:dyDescent="0.25">
      <c r="A11201" s="1237">
        <v>7.0000000000000007E-2</v>
      </c>
      <c r="B11201" t="s">
        <v>3998</v>
      </c>
      <c r="C11201" s="1242">
        <v>37.642000000000003</v>
      </c>
      <c r="D11201" s="708">
        <v>38.880000000000003</v>
      </c>
      <c r="E11201" s="709">
        <v>3.2888794431751744E-2</v>
      </c>
      <c r="F11201" s="946">
        <v>0.06</v>
      </c>
      <c r="G11201" s="695"/>
      <c r="H11201" t="s">
        <v>4000</v>
      </c>
    </row>
    <row r="11202" spans="1:8" hidden="1" outlineLevel="1" x14ac:dyDescent="0.25">
      <c r="A11202" s="1237">
        <v>0.03</v>
      </c>
      <c r="B11202" s="1238" t="s">
        <v>805</v>
      </c>
      <c r="C11202" s="1242">
        <v>57.985999999999997</v>
      </c>
      <c r="D11202" s="708">
        <v>100.59</v>
      </c>
      <c r="E11202" s="709">
        <v>0.73472907253474995</v>
      </c>
      <c r="F11202" s="946">
        <v>0.06</v>
      </c>
      <c r="G11202" s="695"/>
      <c r="H11202" t="s">
        <v>806</v>
      </c>
    </row>
    <row r="11203" spans="1:8" hidden="1" outlineLevel="1" x14ac:dyDescent="0.25">
      <c r="A11203" s="1237">
        <v>0.03</v>
      </c>
      <c r="B11203" t="s">
        <v>5386</v>
      </c>
      <c r="C11203" s="1242">
        <v>44.002000000000002</v>
      </c>
      <c r="D11203" s="708">
        <v>60.38</v>
      </c>
      <c r="E11203" s="709">
        <v>0.37221035407481473</v>
      </c>
      <c r="F11203" s="946">
        <v>0.06</v>
      </c>
      <c r="G11203" s="695"/>
      <c r="H11203" t="s">
        <v>808</v>
      </c>
    </row>
    <row r="11204" spans="1:8" hidden="1" outlineLevel="1" x14ac:dyDescent="0.25">
      <c r="A11204" s="1237">
        <v>0.02</v>
      </c>
      <c r="B11204" s="1238" t="s">
        <v>4377</v>
      </c>
      <c r="C11204" s="1242">
        <v>33.462000000000003</v>
      </c>
      <c r="D11204" s="708">
        <v>61.28</v>
      </c>
      <c r="E11204" s="709">
        <v>0.83133106210029273</v>
      </c>
      <c r="F11204" s="946">
        <v>0.06</v>
      </c>
      <c r="G11204" s="695"/>
      <c r="H11204" t="s">
        <v>4327</v>
      </c>
    </row>
    <row r="11205" spans="1:8" hidden="1" outlineLevel="1" x14ac:dyDescent="0.25">
      <c r="A11205" s="1237">
        <v>0.02</v>
      </c>
      <c r="B11205" s="1238" t="s">
        <v>3954</v>
      </c>
      <c r="C11205" s="1242">
        <v>77.221999999999994</v>
      </c>
      <c r="D11205" s="708">
        <v>122.54</v>
      </c>
      <c r="E11205" s="709">
        <v>0.58685348734816523</v>
      </c>
      <c r="F11205" s="946">
        <v>0.06</v>
      </c>
      <c r="G11205" s="695"/>
      <c r="H11205" t="s">
        <v>3955</v>
      </c>
    </row>
    <row r="11206" spans="1:8" hidden="1" outlineLevel="1" x14ac:dyDescent="0.25">
      <c r="A11206" s="1237">
        <v>0.05</v>
      </c>
      <c r="B11206" s="1238" t="s">
        <v>1319</v>
      </c>
      <c r="C11206" s="1242">
        <v>60.52</v>
      </c>
      <c r="D11206" s="708">
        <v>84.95</v>
      </c>
      <c r="E11206" s="709">
        <v>0.40366820885657639</v>
      </c>
      <c r="F11206" s="946">
        <v>0.06</v>
      </c>
      <c r="G11206" s="695"/>
      <c r="H11206" t="s">
        <v>1320</v>
      </c>
    </row>
    <row r="11207" spans="1:8" hidden="1" outlineLevel="1" x14ac:dyDescent="0.25">
      <c r="A11207" s="1237">
        <v>0.02</v>
      </c>
      <c r="B11207" s="852" t="s">
        <v>1231</v>
      </c>
      <c r="C11207" s="1242">
        <v>64.543999999999997</v>
      </c>
      <c r="D11207" s="708">
        <v>84.11</v>
      </c>
      <c r="E11207" s="709">
        <v>0.3031420426375806</v>
      </c>
      <c r="F11207" s="946">
        <v>0.06</v>
      </c>
      <c r="G11207" s="695"/>
      <c r="H11207" t="s">
        <v>2041</v>
      </c>
    </row>
    <row r="11208" spans="1:8" hidden="1" outlineLevel="1" x14ac:dyDescent="0.25">
      <c r="A11208" s="1237">
        <v>0.02</v>
      </c>
      <c r="B11208" t="s">
        <v>496</v>
      </c>
      <c r="C11208" s="1242">
        <v>17.332999999999998</v>
      </c>
      <c r="D11208" s="708">
        <v>10.42</v>
      </c>
      <c r="E11208" s="709">
        <v>-0.39883459297294177</v>
      </c>
      <c r="F11208" s="946">
        <v>-0.39883459297294177</v>
      </c>
      <c r="G11208" s="695"/>
      <c r="H11208" t="s">
        <v>497</v>
      </c>
    </row>
    <row r="11209" spans="1:8" hidden="1" outlineLevel="1" x14ac:dyDescent="0.25">
      <c r="A11209" s="1237">
        <v>0.02</v>
      </c>
      <c r="B11209" s="1238" t="s">
        <v>3798</v>
      </c>
      <c r="C11209" s="1242">
        <v>2.8996</v>
      </c>
      <c r="D11209" s="708">
        <v>5.13</v>
      </c>
      <c r="E11209" s="709">
        <v>0.76920954614429582</v>
      </c>
      <c r="F11209" s="946">
        <v>0.06</v>
      </c>
      <c r="G11209" s="695"/>
      <c r="H11209" t="s">
        <v>4122</v>
      </c>
    </row>
    <row r="11210" spans="1:8" hidden="1" outlineLevel="1" x14ac:dyDescent="0.25">
      <c r="A11210" s="1237">
        <v>0.02</v>
      </c>
      <c r="B11210" t="s">
        <v>5232</v>
      </c>
      <c r="C11210" s="1242">
        <v>68.14</v>
      </c>
      <c r="D11210" s="708">
        <v>81.39</v>
      </c>
      <c r="E11210" s="709">
        <v>0.19445259759319056</v>
      </c>
      <c r="F11210" s="946">
        <v>0.06</v>
      </c>
      <c r="G11210" s="695"/>
      <c r="H11210" t="s">
        <v>5230</v>
      </c>
    </row>
    <row r="11211" spans="1:8" hidden="1" outlineLevel="1" x14ac:dyDescent="0.25">
      <c r="A11211" s="1237">
        <v>0.03</v>
      </c>
      <c r="B11211" s="712" t="s">
        <v>7227</v>
      </c>
      <c r="C11211" s="1242">
        <v>19.637</v>
      </c>
      <c r="D11211" s="708">
        <v>14.335000000000001</v>
      </c>
      <c r="E11211" s="709">
        <v>-0.27000050924275598</v>
      </c>
      <c r="F11211" s="946">
        <v>-0.27000050924275598</v>
      </c>
      <c r="G11211" s="695"/>
      <c r="H11211" t="s">
        <v>7229</v>
      </c>
    </row>
    <row r="11212" spans="1:8" hidden="1" outlineLevel="1" x14ac:dyDescent="0.25">
      <c r="A11212" s="1237">
        <v>0.02</v>
      </c>
      <c r="B11212" s="852" t="s">
        <v>3799</v>
      </c>
      <c r="C11212" s="1242">
        <v>1422.1</v>
      </c>
      <c r="D11212" s="708">
        <v>1322.5</v>
      </c>
      <c r="E11212" s="709">
        <v>-7.0037268827789823E-2</v>
      </c>
      <c r="F11212" s="946">
        <v>-7.0037268827789823E-2</v>
      </c>
      <c r="G11212" s="695"/>
      <c r="H11212" t="s">
        <v>4128</v>
      </c>
    </row>
    <row r="11213" spans="1:8" hidden="1" outlineLevel="1" x14ac:dyDescent="0.25">
      <c r="A11213" s="1237">
        <v>0.02</v>
      </c>
      <c r="B11213" s="1238" t="s">
        <v>1381</v>
      </c>
      <c r="C11213" s="1242">
        <v>79.218999999999994</v>
      </c>
      <c r="D11213" s="708">
        <v>120.66</v>
      </c>
      <c r="E11213" s="709">
        <v>0.52311945366641854</v>
      </c>
      <c r="F11213" s="946">
        <v>0.06</v>
      </c>
      <c r="G11213" s="695"/>
      <c r="H11213" t="s">
        <v>1383</v>
      </c>
    </row>
    <row r="11214" spans="1:8" hidden="1" outlineLevel="1" x14ac:dyDescent="0.25">
      <c r="A11214" s="1237">
        <v>0.02</v>
      </c>
      <c r="B11214" s="1238" t="s">
        <v>4143</v>
      </c>
      <c r="C11214" s="1242">
        <v>4.0418000000000003</v>
      </c>
      <c r="D11214" s="708">
        <v>2.9079999999999999</v>
      </c>
      <c r="E11214" s="709">
        <v>-0.28051858083032322</v>
      </c>
      <c r="F11214" s="946">
        <v>-0.28051858083032322</v>
      </c>
      <c r="G11214" s="695"/>
      <c r="H11214" t="s">
        <v>4144</v>
      </c>
    </row>
    <row r="11215" spans="1:8" hidden="1" outlineLevel="1" x14ac:dyDescent="0.25">
      <c r="A11215" s="1237">
        <v>0.02</v>
      </c>
      <c r="B11215" s="1238" t="s">
        <v>1905</v>
      </c>
      <c r="C11215" s="1242">
        <v>44.366</v>
      </c>
      <c r="D11215" s="708">
        <v>56.27</v>
      </c>
      <c r="E11215" s="709">
        <v>0.26831357345715201</v>
      </c>
      <c r="F11215" s="946">
        <v>0.06</v>
      </c>
      <c r="G11215" s="695"/>
      <c r="H11215" t="s">
        <v>504</v>
      </c>
    </row>
    <row r="11216" spans="1:8" hidden="1" outlineLevel="1" x14ac:dyDescent="0.25">
      <c r="A11216" s="1237">
        <v>7.0000000000000007E-2</v>
      </c>
      <c r="B11216" s="1238" t="s">
        <v>2787</v>
      </c>
      <c r="C11216" s="1242">
        <v>56.08</v>
      </c>
      <c r="D11216" s="708">
        <v>82.4</v>
      </c>
      <c r="E11216" s="709">
        <v>0.46932952924393745</v>
      </c>
      <c r="F11216" s="946">
        <v>0.06</v>
      </c>
      <c r="G11216" s="695"/>
      <c r="H11216" t="s">
        <v>8874</v>
      </c>
    </row>
    <row r="11217" spans="1:8" hidden="1" outlineLevel="1" x14ac:dyDescent="0.25">
      <c r="A11217" s="1237">
        <v>0.03</v>
      </c>
      <c r="B11217" s="852" t="s">
        <v>4273</v>
      </c>
      <c r="C11217" s="1242">
        <v>1289.4000000000001</v>
      </c>
      <c r="D11217" s="708">
        <v>2661</v>
      </c>
      <c r="E11217" s="709">
        <v>1.0637505816658908</v>
      </c>
      <c r="F11217" s="946">
        <v>0.06</v>
      </c>
      <c r="G11217" s="695"/>
      <c r="H11217" t="s">
        <v>82</v>
      </c>
    </row>
    <row r="11218" spans="1:8" hidden="1" outlineLevel="1" x14ac:dyDescent="0.25">
      <c r="A11218" s="1237">
        <v>0.02</v>
      </c>
      <c r="B11218" s="852" t="s">
        <v>901</v>
      </c>
      <c r="C11218" s="1184">
        <v>18.2105</v>
      </c>
      <c r="D11218" s="708">
        <v>50.18</v>
      </c>
      <c r="E11218" s="709">
        <v>1.755553114961149</v>
      </c>
      <c r="F11218" s="946">
        <v>0.06</v>
      </c>
      <c r="G11218" s="695"/>
      <c r="H11218" t="s">
        <v>531</v>
      </c>
    </row>
    <row r="11219" spans="1:8" hidden="1" outlineLevel="1" x14ac:dyDescent="0.25">
      <c r="A11219" s="1237">
        <v>7.0000000000000007E-2</v>
      </c>
      <c r="B11219" s="1238" t="s">
        <v>3800</v>
      </c>
      <c r="C11219" s="1242">
        <v>175.72</v>
      </c>
      <c r="D11219" s="708">
        <v>246.5</v>
      </c>
      <c r="E11219" s="709">
        <v>0.40279990894605056</v>
      </c>
      <c r="F11219" s="946">
        <v>0.06</v>
      </c>
      <c r="G11219" s="695"/>
      <c r="H11219" t="s">
        <v>8876</v>
      </c>
    </row>
    <row r="11220" spans="1:8" hidden="1" outlineLevel="1" x14ac:dyDescent="0.25">
      <c r="A11220" s="1237">
        <v>0.03</v>
      </c>
      <c r="B11220" s="1238" t="s">
        <v>4460</v>
      </c>
      <c r="C11220" s="1242">
        <v>1692</v>
      </c>
      <c r="D11220" s="708">
        <v>2162</v>
      </c>
      <c r="E11220" s="709">
        <v>0.27777777777777768</v>
      </c>
      <c r="F11220" s="946">
        <v>0.06</v>
      </c>
      <c r="G11220" s="695"/>
      <c r="H11220" t="s">
        <v>3485</v>
      </c>
    </row>
    <row r="11221" spans="1:8" hidden="1" outlineLevel="1" x14ac:dyDescent="0.25">
      <c r="A11221" s="1237">
        <v>0.05</v>
      </c>
      <c r="B11221" s="1238" t="s">
        <v>1857</v>
      </c>
      <c r="C11221" s="1242">
        <v>1367.6</v>
      </c>
      <c r="D11221" s="708">
        <v>1320</v>
      </c>
      <c r="E11221" s="709">
        <v>-3.4805498683825653E-2</v>
      </c>
      <c r="F11221" s="946">
        <v>-3.4805498683825653E-2</v>
      </c>
      <c r="G11221" s="695"/>
      <c r="H11221" t="s">
        <v>3559</v>
      </c>
    </row>
    <row r="11222" spans="1:8" hidden="1" outlineLevel="1" x14ac:dyDescent="0.25">
      <c r="A11222" s="1237">
        <v>7.0000000000000007E-2</v>
      </c>
      <c r="B11222" t="s">
        <v>1239</v>
      </c>
      <c r="C11222" s="1242">
        <v>385.18</v>
      </c>
      <c r="D11222" s="708">
        <v>518.5</v>
      </c>
      <c r="E11222" s="709">
        <v>0.34612389012929023</v>
      </c>
      <c r="F11222" s="946">
        <v>0.06</v>
      </c>
      <c r="G11222" s="695"/>
      <c r="H11222" t="s">
        <v>8891</v>
      </c>
    </row>
    <row r="11223" spans="1:8" hidden="1" outlineLevel="1" x14ac:dyDescent="0.25">
      <c r="A11223" s="1237">
        <v>0.02</v>
      </c>
      <c r="B11223" s="1238" t="s">
        <v>3022</v>
      </c>
      <c r="C11223" s="1242">
        <v>3665</v>
      </c>
      <c r="D11223" s="708">
        <v>6401</v>
      </c>
      <c r="E11223" s="709">
        <v>0.74652114597544328</v>
      </c>
      <c r="F11223" s="946">
        <v>0.06</v>
      </c>
      <c r="G11223" s="695"/>
      <c r="H11223" t="s">
        <v>2802</v>
      </c>
    </row>
    <row r="11224" spans="1:8" hidden="1" outlineLevel="1" x14ac:dyDescent="0.25">
      <c r="A11224" s="1237">
        <v>0.05</v>
      </c>
      <c r="B11224" s="1238" t="s">
        <v>434</v>
      </c>
      <c r="C11224" s="1242">
        <v>47.875999999999998</v>
      </c>
      <c r="D11224" s="708">
        <v>36.549999999999997</v>
      </c>
      <c r="E11224" s="709">
        <v>-0.23656947113376225</v>
      </c>
      <c r="F11224" s="946">
        <v>-0.23656947113376225</v>
      </c>
      <c r="G11224" s="695"/>
      <c r="H11224" t="s">
        <v>7745</v>
      </c>
    </row>
    <row r="11225" spans="1:8" hidden="1" outlineLevel="1" x14ac:dyDescent="0.25">
      <c r="A11225" s="1237">
        <v>0.03</v>
      </c>
      <c r="B11225" s="939" t="s">
        <v>106</v>
      </c>
      <c r="C11225" s="1242">
        <v>2249.6</v>
      </c>
      <c r="D11225" s="708">
        <v>4125.5</v>
      </c>
      <c r="E11225" s="709">
        <v>0.83388157894736858</v>
      </c>
      <c r="F11225" s="946">
        <v>0.06</v>
      </c>
      <c r="G11225" s="695"/>
      <c r="H11225" t="s">
        <v>107</v>
      </c>
    </row>
    <row r="11226" spans="1:8" hidden="1" outlineLevel="1" x14ac:dyDescent="0.25">
      <c r="A11226" s="1237">
        <v>0.02</v>
      </c>
      <c r="B11226" s="1238" t="s">
        <v>2983</v>
      </c>
      <c r="C11226" s="1242">
        <v>687.7</v>
      </c>
      <c r="D11226" s="708">
        <v>829.5</v>
      </c>
      <c r="E11226" s="742">
        <v>0.20619456158208505</v>
      </c>
      <c r="F11226" s="946">
        <v>0.06</v>
      </c>
      <c r="G11226" s="695"/>
      <c r="H11226" t="s">
        <v>1713</v>
      </c>
    </row>
    <row r="11227" spans="1:8" hidden="1" outlineLevel="1" x14ac:dyDescent="0.25">
      <c r="A11227" s="1237">
        <v>0.02</v>
      </c>
      <c r="B11227" t="s">
        <v>255</v>
      </c>
      <c r="C11227" s="1242">
        <v>44.497999999999998</v>
      </c>
      <c r="D11227" s="708">
        <v>52.93</v>
      </c>
      <c r="E11227" s="742">
        <v>0.18949166254663141</v>
      </c>
      <c r="F11227" s="946">
        <v>0.06</v>
      </c>
      <c r="G11227" s="695"/>
      <c r="H11227" t="s">
        <v>3351</v>
      </c>
    </row>
    <row r="11228" spans="1:8" hidden="1" outlineLevel="1" x14ac:dyDescent="0.25">
      <c r="A11228" s="1252">
        <v>0.02</v>
      </c>
      <c r="B11228" t="s">
        <v>2874</v>
      </c>
      <c r="C11228" s="1242">
        <v>28.096</v>
      </c>
      <c r="D11228" s="1199">
        <v>48.11</v>
      </c>
      <c r="E11228" s="748">
        <v>0.71234339407744862</v>
      </c>
      <c r="F11228" s="1023">
        <v>0.06</v>
      </c>
      <c r="G11228" s="695"/>
      <c r="H11228" t="s">
        <v>5175</v>
      </c>
    </row>
    <row r="11229" spans="1:8" hidden="1" outlineLevel="1" x14ac:dyDescent="0.25">
      <c r="A11229" s="1233" t="s">
        <v>2465</v>
      </c>
      <c r="D11229" s="886"/>
      <c r="E11229">
        <v>0.38896544574539998</v>
      </c>
      <c r="F11229" s="1233">
        <v>1.1943427379216826E-2</v>
      </c>
      <c r="G11229" s="695"/>
    </row>
    <row r="11230" spans="1:8" hidden="1" outlineLevel="1" x14ac:dyDescent="0.25">
      <c r="C11230" s="837"/>
      <c r="D11230" s="798"/>
      <c r="E11230" s="709"/>
      <c r="F11230" s="1666"/>
      <c r="G11230" s="695"/>
    </row>
    <row r="11231" spans="1:8" hidden="1" outlineLevel="1" x14ac:dyDescent="0.25">
      <c r="A11231" s="725" t="s">
        <v>113</v>
      </c>
      <c r="B11231" s="725"/>
      <c r="C11231" s="1019"/>
      <c r="D11231" s="1019"/>
      <c r="E11231" s="1741" t="s">
        <v>6630</v>
      </c>
      <c r="F11231" s="1232" t="s">
        <v>6622</v>
      </c>
      <c r="G11231" s="1741" t="s">
        <v>7604</v>
      </c>
    </row>
    <row r="11232" spans="1:8" hidden="1" outlineLevel="1" x14ac:dyDescent="0.25">
      <c r="A11232" t="s">
        <v>5446</v>
      </c>
      <c r="B11232" s="690"/>
      <c r="C11232" s="691"/>
      <c r="D11232" s="691"/>
      <c r="E11232" s="946">
        <v>0.03</v>
      </c>
      <c r="F11232" s="1021">
        <v>0.03</v>
      </c>
      <c r="G11232" s="1021">
        <v>0.03</v>
      </c>
    </row>
    <row r="11233" spans="1:8" hidden="1" outlineLevel="1" x14ac:dyDescent="0.25">
      <c r="A11233" t="s">
        <v>5447</v>
      </c>
      <c r="B11233" s="706"/>
      <c r="E11233" s="946">
        <v>3.441100000000006E-2</v>
      </c>
      <c r="F11233" s="946">
        <v>3.441100000000006E-2</v>
      </c>
      <c r="G11233" s="946">
        <v>3.441100000000006E-2</v>
      </c>
    </row>
    <row r="11234" spans="1:8" hidden="1" outlineLevel="1" x14ac:dyDescent="0.25">
      <c r="A11234" t="s">
        <v>5448</v>
      </c>
      <c r="B11234" s="706"/>
      <c r="E11234" s="946">
        <v>3.441100000000006E-2</v>
      </c>
      <c r="F11234" s="946">
        <v>2.4863E-2</v>
      </c>
      <c r="G11234" s="946">
        <v>3.441100000000006E-2</v>
      </c>
    </row>
    <row r="11235" spans="1:8" hidden="1" outlineLevel="1" x14ac:dyDescent="0.25">
      <c r="A11235" t="s">
        <v>5449</v>
      </c>
      <c r="B11235" s="695"/>
      <c r="E11235" s="946">
        <v>3.441100000000006E-2</v>
      </c>
      <c r="F11235" s="946">
        <v>2.4799999999999999E-2</v>
      </c>
      <c r="G11235" s="946">
        <v>3.441100000000006E-2</v>
      </c>
    </row>
    <row r="11236" spans="1:8" hidden="1" outlineLevel="1" x14ac:dyDescent="0.25">
      <c r="A11236" t="s">
        <v>5450</v>
      </c>
      <c r="B11236" s="695"/>
      <c r="E11236" s="946">
        <v>3.441100000000006E-2</v>
      </c>
      <c r="F11236" s="1023">
        <v>1.5800000000000002E-2</v>
      </c>
      <c r="G11236" s="946">
        <v>3.44E-2</v>
      </c>
    </row>
    <row r="11237" spans="1:8" collapsed="1" x14ac:dyDescent="0.25">
      <c r="A11237" s="3803" t="s">
        <v>5445</v>
      </c>
      <c r="B11237" s="3804"/>
      <c r="C11237" s="3804"/>
      <c r="D11237" s="1891"/>
      <c r="E11237" s="1896">
        <v>0.16764400000000021</v>
      </c>
      <c r="F11237" s="1893"/>
      <c r="G11237">
        <v>0.16763300000000014</v>
      </c>
    </row>
    <row r="11239" spans="1:8" hidden="1" outlineLevel="1" x14ac:dyDescent="0.25">
      <c r="A11239" s="689" t="s">
        <v>113</v>
      </c>
      <c r="B11239" s="689" t="s">
        <v>114</v>
      </c>
      <c r="C11239" s="689" t="s">
        <v>112</v>
      </c>
      <c r="D11239" s="689" t="s">
        <v>116</v>
      </c>
      <c r="E11239" s="689" t="s">
        <v>117</v>
      </c>
      <c r="F11239" s="1188" t="s">
        <v>121</v>
      </c>
      <c r="G11239" s="78"/>
    </row>
    <row r="11240" spans="1:8" hidden="1" outlineLevel="1" x14ac:dyDescent="0.25">
      <c r="A11240" s="695"/>
      <c r="B11240" s="695"/>
      <c r="C11240" s="696"/>
      <c r="D11240" s="697" t="s">
        <v>3702</v>
      </c>
      <c r="E11240" s="698">
        <v>43159</v>
      </c>
      <c r="F11240" s="699"/>
      <c r="G11240" s="78"/>
    </row>
    <row r="11241" spans="1:8" hidden="1" outlineLevel="1" x14ac:dyDescent="0.25">
      <c r="A11241" s="495" t="s">
        <v>4156</v>
      </c>
      <c r="B11241" s="689" t="s">
        <v>4153</v>
      </c>
      <c r="C11241" s="700" t="s">
        <v>112</v>
      </c>
      <c r="D11241" s="689" t="s">
        <v>4155</v>
      </c>
      <c r="E11241" s="495" t="s">
        <v>4154</v>
      </c>
      <c r="F11241" s="1021" t="s">
        <v>734</v>
      </c>
      <c r="G11241" s="78"/>
    </row>
    <row r="11242" spans="1:8" hidden="1" outlineLevel="1" x14ac:dyDescent="0.25">
      <c r="A11242" s="1236">
        <v>0.02</v>
      </c>
      <c r="B11242" s="1010" t="s">
        <v>1993</v>
      </c>
      <c r="C11242" s="1242">
        <v>31.821999999999999</v>
      </c>
      <c r="D11242" s="708">
        <v>62.95</v>
      </c>
      <c r="E11242" s="705">
        <v>0.97819118848595332</v>
      </c>
      <c r="F11242" s="1021">
        <v>0.06</v>
      </c>
      <c r="G11242" s="78"/>
      <c r="H11242" t="s">
        <v>2812</v>
      </c>
    </row>
    <row r="11243" spans="1:8" hidden="1" outlineLevel="1" x14ac:dyDescent="0.25">
      <c r="A11243" s="1237">
        <v>7.0000000000000007E-2</v>
      </c>
      <c r="B11243" s="1238" t="s">
        <v>2942</v>
      </c>
      <c r="C11243" s="1242">
        <v>798.8</v>
      </c>
      <c r="D11243" s="708">
        <v>1580.5</v>
      </c>
      <c r="E11243" s="709">
        <v>0.97859288933400101</v>
      </c>
      <c r="F11243" s="946">
        <v>0.06</v>
      </c>
      <c r="G11243" s="78"/>
      <c r="H11243" t="s">
        <v>2336</v>
      </c>
    </row>
    <row r="11244" spans="1:8" hidden="1" outlineLevel="1" x14ac:dyDescent="0.25">
      <c r="A11244" s="1237">
        <v>7.0000000000000007E-2</v>
      </c>
      <c r="B11244" t="s">
        <v>3998</v>
      </c>
      <c r="C11244" s="1242">
        <v>34.811999999999998</v>
      </c>
      <c r="D11244" s="708">
        <v>36.299999999999997</v>
      </c>
      <c r="E11244" s="709">
        <v>4.2743881420199914E-2</v>
      </c>
      <c r="F11244" s="946">
        <v>0.06</v>
      </c>
      <c r="G11244" s="78"/>
      <c r="H11244" t="s">
        <v>4000</v>
      </c>
    </row>
    <row r="11245" spans="1:8" hidden="1" outlineLevel="1" x14ac:dyDescent="0.25">
      <c r="A11245" s="1237">
        <v>0.03</v>
      </c>
      <c r="B11245" s="1238" t="s">
        <v>805</v>
      </c>
      <c r="C11245" s="1242">
        <v>59.326000000000001</v>
      </c>
      <c r="D11245" s="708">
        <v>97.44</v>
      </c>
      <c r="E11245" s="709">
        <v>0.6424501904729798</v>
      </c>
      <c r="F11245" s="946">
        <v>0.06</v>
      </c>
      <c r="G11245" s="78"/>
      <c r="H11245" t="s">
        <v>806</v>
      </c>
    </row>
    <row r="11246" spans="1:8" hidden="1" outlineLevel="1" x14ac:dyDescent="0.25">
      <c r="A11246" s="1237">
        <v>0.03</v>
      </c>
      <c r="B11246" t="s">
        <v>5386</v>
      </c>
      <c r="C11246" s="1242">
        <v>43.24</v>
      </c>
      <c r="D11246" s="708">
        <v>56</v>
      </c>
      <c r="E11246" s="709">
        <v>0.2950971322849214</v>
      </c>
      <c r="F11246" s="946">
        <v>0.06</v>
      </c>
      <c r="G11246" s="78"/>
      <c r="H11246" t="s">
        <v>808</v>
      </c>
    </row>
    <row r="11247" spans="1:8" hidden="1" outlineLevel="1" x14ac:dyDescent="0.25">
      <c r="A11247" s="1237">
        <v>0.02</v>
      </c>
      <c r="B11247" s="1238" t="s">
        <v>4377</v>
      </c>
      <c r="C11247" s="1242">
        <v>33.323999999999998</v>
      </c>
      <c r="D11247" s="708">
        <v>66.2</v>
      </c>
      <c r="E11247" s="709">
        <v>0.98655623574600915</v>
      </c>
      <c r="F11247" s="946">
        <v>0.06</v>
      </c>
      <c r="G11247" s="78"/>
      <c r="H11247" t="s">
        <v>4327</v>
      </c>
    </row>
    <row r="11248" spans="1:8" hidden="1" outlineLevel="1" x14ac:dyDescent="0.25">
      <c r="A11248" s="1237">
        <v>0.02</v>
      </c>
      <c r="B11248" s="1238" t="s">
        <v>3954</v>
      </c>
      <c r="C11248" s="1242">
        <v>78.400000000000006</v>
      </c>
      <c r="D11248" s="708">
        <v>117.2</v>
      </c>
      <c r="E11248" s="709">
        <v>0.4948979591836733</v>
      </c>
      <c r="F11248" s="946">
        <v>0.06</v>
      </c>
      <c r="G11248" s="78"/>
      <c r="H11248" t="s">
        <v>3955</v>
      </c>
    </row>
    <row r="11249" spans="1:8" hidden="1" outlineLevel="1" x14ac:dyDescent="0.25">
      <c r="A11249" s="1237">
        <v>0.05</v>
      </c>
      <c r="B11249" s="1238" t="s">
        <v>1319</v>
      </c>
      <c r="C11249" s="1242">
        <v>59.456000000000003</v>
      </c>
      <c r="D11249" s="708">
        <v>74.89</v>
      </c>
      <c r="E11249" s="709">
        <v>0.25958692142088258</v>
      </c>
      <c r="F11249" s="946">
        <v>0.06</v>
      </c>
      <c r="G11249" s="78"/>
      <c r="H11249" t="s">
        <v>1320</v>
      </c>
    </row>
    <row r="11250" spans="1:8" hidden="1" outlineLevel="1" x14ac:dyDescent="0.25">
      <c r="A11250" s="1237">
        <v>0.02</v>
      </c>
      <c r="B11250" s="852" t="s">
        <v>1231</v>
      </c>
      <c r="C11250" s="1242">
        <v>65.022000000000006</v>
      </c>
      <c r="D11250" s="708">
        <v>75.34</v>
      </c>
      <c r="E11250" s="709">
        <v>0.15868475285288053</v>
      </c>
      <c r="F11250" s="946">
        <v>0.06</v>
      </c>
      <c r="G11250" s="78"/>
      <c r="H11250" t="s">
        <v>2041</v>
      </c>
    </row>
    <row r="11251" spans="1:8" hidden="1" outlineLevel="1" x14ac:dyDescent="0.25">
      <c r="A11251" s="1237">
        <v>0.02</v>
      </c>
      <c r="B11251" t="s">
        <v>496</v>
      </c>
      <c r="C11251" s="1242">
        <v>16.503</v>
      </c>
      <c r="D11251" s="708">
        <v>10.705</v>
      </c>
      <c r="E11251" s="709">
        <v>-0.35133006120099375</v>
      </c>
      <c r="F11251" s="946">
        <v>-0.35133006120099375</v>
      </c>
      <c r="G11251" s="78"/>
      <c r="H11251" t="s">
        <v>497</v>
      </c>
    </row>
    <row r="11252" spans="1:8" hidden="1" outlineLevel="1" x14ac:dyDescent="0.25">
      <c r="A11252" s="1237">
        <v>0.02</v>
      </c>
      <c r="B11252" s="1238" t="s">
        <v>3798</v>
      </c>
      <c r="C11252" s="1242">
        <v>2.8992</v>
      </c>
      <c r="D11252" s="708">
        <v>4.7789999999999999</v>
      </c>
      <c r="E11252" s="709">
        <v>0.64838576158940397</v>
      </c>
      <c r="F11252" s="946">
        <v>0.06</v>
      </c>
      <c r="G11252" s="78"/>
      <c r="H11252" t="s">
        <v>4122</v>
      </c>
    </row>
    <row r="11253" spans="1:8" hidden="1" outlineLevel="1" x14ac:dyDescent="0.25">
      <c r="A11253" s="1237">
        <v>0.02</v>
      </c>
      <c r="B11253" t="s">
        <v>5232</v>
      </c>
      <c r="C11253" s="1242">
        <v>71.231999999999999</v>
      </c>
      <c r="D11253" s="708">
        <v>75.819999999999993</v>
      </c>
      <c r="E11253" s="709">
        <v>6.4409254267744798E-2</v>
      </c>
      <c r="F11253" s="946">
        <v>0.06</v>
      </c>
      <c r="G11253" s="78"/>
      <c r="H11253" t="s">
        <v>5230</v>
      </c>
    </row>
    <row r="11254" spans="1:8" hidden="1" outlineLevel="1" x14ac:dyDescent="0.25">
      <c r="A11254" s="1237">
        <v>0.03</v>
      </c>
      <c r="B11254" s="712" t="s">
        <v>7227</v>
      </c>
      <c r="C11254" s="1242">
        <v>17.634</v>
      </c>
      <c r="D11254" s="708">
        <v>12.875</v>
      </c>
      <c r="E11254" s="709">
        <v>-0.26987637518430307</v>
      </c>
      <c r="F11254" s="946">
        <v>-0.26987637518430307</v>
      </c>
      <c r="G11254" s="78"/>
      <c r="H11254" t="s">
        <v>7229</v>
      </c>
    </row>
    <row r="11255" spans="1:8" hidden="1" outlineLevel="1" x14ac:dyDescent="0.25">
      <c r="A11255" s="1237">
        <v>0.02</v>
      </c>
      <c r="B11255" s="852" t="s">
        <v>3799</v>
      </c>
      <c r="C11255" s="1242">
        <v>1403</v>
      </c>
      <c r="D11255" s="708">
        <v>1307.2</v>
      </c>
      <c r="E11255" s="709">
        <v>-6.8282252316464676E-2</v>
      </c>
      <c r="F11255" s="946">
        <v>-6.8282252316464676E-2</v>
      </c>
      <c r="G11255" s="78"/>
      <c r="H11255" t="s">
        <v>4128</v>
      </c>
    </row>
    <row r="11256" spans="1:8" hidden="1" outlineLevel="1" x14ac:dyDescent="0.25">
      <c r="A11256" s="1237">
        <v>0.02</v>
      </c>
      <c r="B11256" s="1238" t="s">
        <v>1381</v>
      </c>
      <c r="C11256" s="1242">
        <v>79.826700000000002</v>
      </c>
      <c r="D11256" s="708">
        <v>110.92</v>
      </c>
      <c r="E11256" s="709">
        <v>0.38951002609402607</v>
      </c>
      <c r="F11256" s="946">
        <v>0.06</v>
      </c>
      <c r="G11256" s="78"/>
      <c r="H11256" t="s">
        <v>1383</v>
      </c>
    </row>
    <row r="11257" spans="1:8" hidden="1" outlineLevel="1" x14ac:dyDescent="0.25">
      <c r="A11257" s="1237">
        <v>0.02</v>
      </c>
      <c r="B11257" s="1238" t="s">
        <v>4143</v>
      </c>
      <c r="C11257" s="1242">
        <v>3.0286</v>
      </c>
      <c r="D11257" s="708">
        <v>2.57</v>
      </c>
      <c r="E11257" s="709">
        <v>-0.15142309978207757</v>
      </c>
      <c r="F11257" s="946">
        <v>-0.15142309978207757</v>
      </c>
      <c r="G11257" s="78"/>
      <c r="H11257" t="s">
        <v>4144</v>
      </c>
    </row>
    <row r="11258" spans="1:8" hidden="1" outlineLevel="1" x14ac:dyDescent="0.25">
      <c r="A11258" s="1237">
        <v>0.02</v>
      </c>
      <c r="B11258" s="1238" t="s">
        <v>1905</v>
      </c>
      <c r="C11258" s="1242">
        <v>45.878</v>
      </c>
      <c r="D11258" s="708">
        <v>54.22</v>
      </c>
      <c r="E11258" s="709">
        <v>0.1818300710580234</v>
      </c>
      <c r="F11258" s="946">
        <v>0.06</v>
      </c>
      <c r="G11258" s="78"/>
      <c r="H11258" t="s">
        <v>504</v>
      </c>
    </row>
    <row r="11259" spans="1:8" hidden="1" outlineLevel="1" x14ac:dyDescent="0.25">
      <c r="A11259" s="1237">
        <v>7.0000000000000007E-2</v>
      </c>
      <c r="B11259" s="1238" t="s">
        <v>2787</v>
      </c>
      <c r="C11259" s="1242">
        <v>56.58</v>
      </c>
      <c r="D11259" s="708">
        <v>79.16</v>
      </c>
      <c r="E11259" s="709">
        <v>0.39908094733121247</v>
      </c>
      <c r="F11259" s="946">
        <v>0.06</v>
      </c>
      <c r="G11259" s="78"/>
      <c r="H11259" t="s">
        <v>8874</v>
      </c>
    </row>
    <row r="11260" spans="1:8" hidden="1" outlineLevel="1" x14ac:dyDescent="0.25">
      <c r="A11260" s="1237">
        <v>0.03</v>
      </c>
      <c r="B11260" s="852" t="s">
        <v>4273</v>
      </c>
      <c r="C11260" s="1242">
        <v>1179.2</v>
      </c>
      <c r="D11260" s="708">
        <v>2745</v>
      </c>
      <c r="E11260" s="709">
        <v>1.3278493894165537</v>
      </c>
      <c r="F11260" s="946">
        <v>0.06</v>
      </c>
      <c r="G11260" s="78"/>
      <c r="H11260" t="s">
        <v>82</v>
      </c>
    </row>
    <row r="11261" spans="1:8" hidden="1" outlineLevel="1" x14ac:dyDescent="0.25">
      <c r="A11261" s="1237">
        <v>0.02</v>
      </c>
      <c r="B11261" s="852" t="s">
        <v>901</v>
      </c>
      <c r="C11261" s="1242">
        <v>17.161000000000001</v>
      </c>
      <c r="D11261" s="708">
        <v>42.954999999999998</v>
      </c>
      <c r="E11261" s="709">
        <v>1.5030592622807526</v>
      </c>
      <c r="F11261" s="946">
        <v>0.06</v>
      </c>
      <c r="G11261" s="78"/>
      <c r="H11261" t="s">
        <v>531</v>
      </c>
    </row>
    <row r="11262" spans="1:8" hidden="1" outlineLevel="1" x14ac:dyDescent="0.25">
      <c r="A11262" s="1237">
        <v>7.0000000000000007E-2</v>
      </c>
      <c r="B11262" s="1238" t="s">
        <v>3800</v>
      </c>
      <c r="C11262" s="1242">
        <v>180.3</v>
      </c>
      <c r="D11262" s="708">
        <v>219.3</v>
      </c>
      <c r="E11262" s="709">
        <v>0.21630615640599005</v>
      </c>
      <c r="F11262" s="946">
        <v>0.06</v>
      </c>
      <c r="G11262" s="78"/>
      <c r="H11262" t="s">
        <v>8876</v>
      </c>
    </row>
    <row r="11263" spans="1:8" hidden="1" outlineLevel="1" x14ac:dyDescent="0.25">
      <c r="A11263" s="1237">
        <v>0.03</v>
      </c>
      <c r="B11263" s="1238" t="s">
        <v>4460</v>
      </c>
      <c r="C11263" s="1242">
        <v>1630</v>
      </c>
      <c r="D11263" s="708">
        <v>1707.5</v>
      </c>
      <c r="E11263" s="709">
        <v>4.7546012269938709E-2</v>
      </c>
      <c r="F11263" s="946">
        <v>0.06</v>
      </c>
      <c r="G11263" s="78"/>
      <c r="H11263" t="s">
        <v>3485</v>
      </c>
    </row>
    <row r="11264" spans="1:8" hidden="1" outlineLevel="1" x14ac:dyDescent="0.25">
      <c r="A11264" s="1237">
        <v>0.05</v>
      </c>
      <c r="B11264" s="1238" t="s">
        <v>1857</v>
      </c>
      <c r="C11264" s="1242">
        <v>1446.8</v>
      </c>
      <c r="D11264" s="708">
        <v>1225</v>
      </c>
      <c r="E11264" s="709">
        <v>-0.15330384296378208</v>
      </c>
      <c r="F11264" s="946">
        <v>-0.15330384296378208</v>
      </c>
      <c r="G11264" s="78"/>
      <c r="H11264" t="s">
        <v>3559</v>
      </c>
    </row>
    <row r="11265" spans="1:8" hidden="1" outlineLevel="1" x14ac:dyDescent="0.25">
      <c r="A11265" s="1237">
        <v>7.0000000000000007E-2</v>
      </c>
      <c r="B11265" t="s">
        <v>1239</v>
      </c>
      <c r="C11265" s="1242">
        <v>385.06</v>
      </c>
      <c r="D11265" s="708">
        <v>512</v>
      </c>
      <c r="E11265" s="709">
        <v>0.3296629096764141</v>
      </c>
      <c r="F11265" s="946">
        <v>0.06</v>
      </c>
      <c r="G11265" s="78"/>
      <c r="H11265" t="s">
        <v>8891</v>
      </c>
    </row>
    <row r="11266" spans="1:8" hidden="1" outlineLevel="1" x14ac:dyDescent="0.25">
      <c r="A11266" s="1237">
        <v>0.02</v>
      </c>
      <c r="B11266" s="1238" t="s">
        <v>3022</v>
      </c>
      <c r="C11266" s="1242">
        <v>3689</v>
      </c>
      <c r="D11266" s="708">
        <v>6112</v>
      </c>
      <c r="E11266" s="709">
        <v>0.65681756573597183</v>
      </c>
      <c r="F11266" s="946">
        <v>0.06</v>
      </c>
      <c r="G11266" s="78"/>
      <c r="H11266" t="s">
        <v>2802</v>
      </c>
    </row>
    <row r="11267" spans="1:8" hidden="1" outlineLevel="1" x14ac:dyDescent="0.25">
      <c r="A11267" s="1237">
        <v>0.05</v>
      </c>
      <c r="B11267" s="1238" t="s">
        <v>434</v>
      </c>
      <c r="C11267" s="1242">
        <v>44.072000000000003</v>
      </c>
      <c r="D11267" s="708">
        <v>39.33</v>
      </c>
      <c r="E11267" s="709">
        <v>-0.10759666001089141</v>
      </c>
      <c r="F11267" s="946">
        <v>-0.10759666001089141</v>
      </c>
      <c r="G11267" s="78"/>
      <c r="H11267" t="s">
        <v>7745</v>
      </c>
    </row>
    <row r="11268" spans="1:8" hidden="1" outlineLevel="1" x14ac:dyDescent="0.25">
      <c r="A11268" s="1237">
        <v>0.03</v>
      </c>
      <c r="B11268" s="939" t="s">
        <v>106</v>
      </c>
      <c r="C11268" s="1242">
        <v>2315.4</v>
      </c>
      <c r="D11268" s="708">
        <v>3733.5</v>
      </c>
      <c r="E11268" s="709">
        <v>0.61246436900751489</v>
      </c>
      <c r="F11268" s="946">
        <v>0.06</v>
      </c>
      <c r="G11268" s="78"/>
      <c r="H11268" t="s">
        <v>107</v>
      </c>
    </row>
    <row r="11269" spans="1:8" hidden="1" outlineLevel="1" x14ac:dyDescent="0.25">
      <c r="A11269" s="1237">
        <v>0.02</v>
      </c>
      <c r="B11269" s="1238" t="s">
        <v>2983</v>
      </c>
      <c r="C11269" s="1242">
        <v>696.3</v>
      </c>
      <c r="D11269" s="708">
        <v>666.2</v>
      </c>
      <c r="E11269" s="742">
        <v>-4.3228493465460205E-2</v>
      </c>
      <c r="F11269" s="946">
        <v>-4.3228493465460205E-2</v>
      </c>
      <c r="G11269" s="78"/>
      <c r="H11269" t="s">
        <v>1713</v>
      </c>
    </row>
    <row r="11270" spans="1:8" hidden="1" outlineLevel="1" x14ac:dyDescent="0.25">
      <c r="A11270" s="1237">
        <v>0.02</v>
      </c>
      <c r="B11270" t="s">
        <v>255</v>
      </c>
      <c r="C11270" s="1242">
        <v>44.646000000000001</v>
      </c>
      <c r="D11270" s="708">
        <v>47.74</v>
      </c>
      <c r="E11270" s="742">
        <v>6.9300721229225593E-2</v>
      </c>
      <c r="F11270" s="946">
        <v>0.06</v>
      </c>
      <c r="G11270" s="78"/>
      <c r="H11270" t="s">
        <v>3351</v>
      </c>
    </row>
    <row r="11271" spans="1:8" hidden="1" outlineLevel="1" x14ac:dyDescent="0.25">
      <c r="A11271" s="1240">
        <v>0.02</v>
      </c>
      <c r="B11271" t="s">
        <v>2874</v>
      </c>
      <c r="C11271" s="1242">
        <v>27.954000000000001</v>
      </c>
      <c r="D11271" s="1199">
        <v>43.28</v>
      </c>
      <c r="E11271" s="748">
        <v>0.54825785218573375</v>
      </c>
      <c r="F11271" s="946">
        <v>0.06</v>
      </c>
      <c r="G11271" s="78"/>
      <c r="H11271" t="s">
        <v>9060</v>
      </c>
    </row>
    <row r="11272" spans="1:8" hidden="1" outlineLevel="1" x14ac:dyDescent="0.25">
      <c r="A11272" s="1233" t="s">
        <v>2465</v>
      </c>
      <c r="D11272" s="886"/>
      <c r="E11272">
        <v>0.33856005224097391</v>
      </c>
      <c r="F11272" s="1872">
        <v>1.3973405460437304E-2</v>
      </c>
      <c r="G11272" s="78"/>
    </row>
    <row r="11273" spans="1:8" hidden="1" outlineLevel="1" x14ac:dyDescent="0.25">
      <c r="C11273" s="837"/>
      <c r="D11273" s="798"/>
      <c r="E11273" s="709"/>
      <c r="G11273" s="78"/>
    </row>
    <row r="11274" spans="1:8" hidden="1" outlineLevel="1" x14ac:dyDescent="0.25">
      <c r="A11274" t="s">
        <v>113</v>
      </c>
      <c r="D11274" s="1741"/>
      <c r="E11274" s="1741" t="s">
        <v>2867</v>
      </c>
      <c r="F11274" s="1232" t="s">
        <v>6622</v>
      </c>
      <c r="G11274" s="78"/>
    </row>
    <row r="11275" spans="1:8" hidden="1" outlineLevel="1" x14ac:dyDescent="0.25">
      <c r="A11275" t="s">
        <v>5451</v>
      </c>
      <c r="E11275">
        <v>3.5000000000000003E-2</v>
      </c>
      <c r="F11275" s="1872">
        <v>3.5000000000000003E-2</v>
      </c>
      <c r="G11275" s="78"/>
    </row>
    <row r="11276" spans="1:8" hidden="1" outlineLevel="1" x14ac:dyDescent="0.25">
      <c r="A11276" t="s">
        <v>5452</v>
      </c>
      <c r="E11276">
        <v>5.0092000000000067E-2</v>
      </c>
      <c r="F11276" s="1872">
        <v>5.0092000000000067E-2</v>
      </c>
      <c r="G11276" s="78"/>
    </row>
    <row r="11277" spans="1:8" hidden="1" outlineLevel="1" x14ac:dyDescent="0.25">
      <c r="A11277" t="s">
        <v>5453</v>
      </c>
      <c r="E11277">
        <v>3.2606999999999997E-2</v>
      </c>
      <c r="F11277" s="1872">
        <v>5.0092000000000067E-2</v>
      </c>
      <c r="G11277" s="78"/>
    </row>
    <row r="11278" spans="1:8" hidden="1" outlineLevel="1" x14ac:dyDescent="0.25">
      <c r="A11278" t="s">
        <v>5454</v>
      </c>
      <c r="B11278" s="695"/>
      <c r="E11278">
        <v>3.2899999999999999E-2</v>
      </c>
      <c r="F11278" s="1872">
        <v>5.0092000000000067E-2</v>
      </c>
      <c r="G11278" s="78"/>
    </row>
    <row r="11279" spans="1:8" hidden="1" outlineLevel="1" x14ac:dyDescent="0.25">
      <c r="A11279" t="s">
        <v>5455</v>
      </c>
      <c r="B11279" s="695"/>
      <c r="E11279">
        <v>1.61E-2</v>
      </c>
      <c r="F11279" s="1872">
        <v>5.0092000000000067E-2</v>
      </c>
      <c r="G11279" s="78"/>
    </row>
    <row r="11280" spans="1:8" collapsed="1" x14ac:dyDescent="0.25">
      <c r="A11280" s="3803" t="s">
        <v>5456</v>
      </c>
      <c r="B11280" s="3804"/>
      <c r="C11280" s="3804"/>
      <c r="D11280" s="1892"/>
      <c r="E11280" s="1892"/>
      <c r="F11280" s="1897">
        <v>0.2353680000000003</v>
      </c>
      <c r="G11280" s="78"/>
    </row>
    <row r="11282" spans="1:8" hidden="1" outlineLevel="1" x14ac:dyDescent="0.25">
      <c r="A11282" s="689" t="s">
        <v>113</v>
      </c>
      <c r="B11282" s="689" t="s">
        <v>114</v>
      </c>
      <c r="C11282" s="689" t="s">
        <v>112</v>
      </c>
      <c r="D11282" s="689" t="s">
        <v>116</v>
      </c>
      <c r="E11282" s="689" t="s">
        <v>117</v>
      </c>
      <c r="F11282" s="1188" t="s">
        <v>121</v>
      </c>
      <c r="G11282" s="695"/>
    </row>
    <row r="11283" spans="1:8" hidden="1" outlineLevel="1" x14ac:dyDescent="0.25">
      <c r="A11283" s="695"/>
      <c r="B11283" s="695"/>
      <c r="C11283" s="696"/>
      <c r="D11283" s="697" t="s">
        <v>3702</v>
      </c>
      <c r="E11283" s="698">
        <v>43159</v>
      </c>
      <c r="F11283" s="699"/>
      <c r="G11283" s="695"/>
    </row>
    <row r="11284" spans="1:8" hidden="1" outlineLevel="1" x14ac:dyDescent="0.25">
      <c r="A11284" s="495" t="s">
        <v>4156</v>
      </c>
      <c r="B11284" s="689" t="s">
        <v>4153</v>
      </c>
      <c r="C11284" s="700" t="s">
        <v>112</v>
      </c>
      <c r="D11284" s="689" t="s">
        <v>4155</v>
      </c>
      <c r="E11284" s="495" t="s">
        <v>4154</v>
      </c>
      <c r="F11284" s="1021" t="s">
        <v>734</v>
      </c>
      <c r="G11284" s="695"/>
    </row>
    <row r="11285" spans="1:8" hidden="1" outlineLevel="1" x14ac:dyDescent="0.25">
      <c r="A11285" s="1236">
        <v>0.02</v>
      </c>
      <c r="B11285" s="1010" t="s">
        <v>1993</v>
      </c>
      <c r="C11285" s="1242">
        <v>31.288</v>
      </c>
      <c r="D11285" s="708">
        <v>62.95</v>
      </c>
      <c r="E11285" s="705">
        <v>1.0119534645870623</v>
      </c>
      <c r="F11285" s="1021">
        <v>0.05</v>
      </c>
      <c r="G11285" s="695"/>
      <c r="H11285" t="s">
        <v>2812</v>
      </c>
    </row>
    <row r="11286" spans="1:8" hidden="1" outlineLevel="1" x14ac:dyDescent="0.25">
      <c r="A11286" s="1237">
        <v>7.0000000000000007E-2</v>
      </c>
      <c r="B11286" s="1238" t="s">
        <v>2942</v>
      </c>
      <c r="C11286" s="1242">
        <v>809.4</v>
      </c>
      <c r="D11286" s="708">
        <v>1580.5</v>
      </c>
      <c r="E11286" s="709">
        <v>0.95268099827032371</v>
      </c>
      <c r="F11286" s="946">
        <v>0.05</v>
      </c>
      <c r="G11286" s="695"/>
      <c r="H11286" t="s">
        <v>2336</v>
      </c>
    </row>
    <row r="11287" spans="1:8" hidden="1" outlineLevel="1" x14ac:dyDescent="0.25">
      <c r="A11287" s="1237">
        <v>7.0000000000000007E-2</v>
      </c>
      <c r="B11287" t="s">
        <v>3998</v>
      </c>
      <c r="C11287" s="1242">
        <v>33.637999999999998</v>
      </c>
      <c r="D11287" s="708">
        <v>36.299999999999997</v>
      </c>
      <c r="E11287" s="709">
        <v>7.9136690647481966E-2</v>
      </c>
      <c r="F11287" s="946">
        <v>0.05</v>
      </c>
      <c r="G11287" s="695"/>
      <c r="H11287" t="s">
        <v>4000</v>
      </c>
    </row>
    <row r="11288" spans="1:8" hidden="1" outlineLevel="1" x14ac:dyDescent="0.25">
      <c r="A11288" s="1237">
        <v>0.03</v>
      </c>
      <c r="B11288" s="1238" t="s">
        <v>805</v>
      </c>
      <c r="C11288" s="1242">
        <v>58.67</v>
      </c>
      <c r="D11288" s="708">
        <v>97.44</v>
      </c>
      <c r="E11288" s="709">
        <v>0.66081472643599781</v>
      </c>
      <c r="F11288" s="946">
        <v>0.05</v>
      </c>
      <c r="G11288" s="695"/>
      <c r="H11288" t="s">
        <v>806</v>
      </c>
    </row>
    <row r="11289" spans="1:8" hidden="1" outlineLevel="1" x14ac:dyDescent="0.25">
      <c r="A11289" s="1237">
        <v>0.03</v>
      </c>
      <c r="B11289" t="s">
        <v>5386</v>
      </c>
      <c r="C11289" s="1242">
        <v>42.57</v>
      </c>
      <c r="D11289" s="708">
        <v>56</v>
      </c>
      <c r="E11289" s="709">
        <v>0.31548038524782718</v>
      </c>
      <c r="F11289" s="946">
        <v>0.05</v>
      </c>
      <c r="G11289" s="695"/>
      <c r="H11289" t="s">
        <v>808</v>
      </c>
    </row>
    <row r="11290" spans="1:8" hidden="1" outlineLevel="1" x14ac:dyDescent="0.25">
      <c r="A11290" s="1237">
        <v>0.02</v>
      </c>
      <c r="B11290" s="1238" t="s">
        <v>4377</v>
      </c>
      <c r="C11290" s="1242">
        <v>32.155999999999999</v>
      </c>
      <c r="D11290" s="708">
        <v>66.2</v>
      </c>
      <c r="E11290" s="709">
        <v>1.0587137703694491</v>
      </c>
      <c r="F11290" s="946">
        <v>0.05</v>
      </c>
      <c r="G11290" s="695"/>
      <c r="H11290" t="s">
        <v>4327</v>
      </c>
    </row>
    <row r="11291" spans="1:8" hidden="1" outlineLevel="1" x14ac:dyDescent="0.25">
      <c r="A11291" s="1237">
        <v>0.02</v>
      </c>
      <c r="B11291" s="1238" t="s">
        <v>3954</v>
      </c>
      <c r="C11291" s="1242">
        <v>78.385999999999996</v>
      </c>
      <c r="D11291" s="708">
        <v>117.2</v>
      </c>
      <c r="E11291" s="709">
        <v>0.4951649529252673</v>
      </c>
      <c r="F11291" s="946">
        <v>0.05</v>
      </c>
      <c r="G11291" s="695"/>
      <c r="H11291" t="s">
        <v>3955</v>
      </c>
    </row>
    <row r="11292" spans="1:8" hidden="1" outlineLevel="1" x14ac:dyDescent="0.25">
      <c r="A11292" s="1237">
        <v>0.05</v>
      </c>
      <c r="B11292" s="1238" t="s">
        <v>1319</v>
      </c>
      <c r="C11292" s="1242">
        <v>55.746000000000002</v>
      </c>
      <c r="D11292" s="708">
        <v>74.89</v>
      </c>
      <c r="E11292" s="709">
        <v>0.3434147741541993</v>
      </c>
      <c r="F11292" s="946">
        <v>0.05</v>
      </c>
      <c r="G11292" s="695"/>
      <c r="H11292" t="s">
        <v>1320</v>
      </c>
    </row>
    <row r="11293" spans="1:8" hidden="1" outlineLevel="1" x14ac:dyDescent="0.25">
      <c r="A11293" s="1237">
        <v>0.02</v>
      </c>
      <c r="B11293" s="852" t="s">
        <v>1231</v>
      </c>
      <c r="C11293" s="1242">
        <v>62.183999999999997</v>
      </c>
      <c r="D11293" s="708">
        <v>75.34</v>
      </c>
      <c r="E11293" s="709">
        <v>0.21156567605815013</v>
      </c>
      <c r="F11293" s="946">
        <v>0.05</v>
      </c>
      <c r="G11293" s="695"/>
      <c r="H11293" t="s">
        <v>2041</v>
      </c>
    </row>
    <row r="11294" spans="1:8" hidden="1" outlineLevel="1" x14ac:dyDescent="0.25">
      <c r="A11294" s="1237">
        <v>0.02</v>
      </c>
      <c r="B11294" t="s">
        <v>496</v>
      </c>
      <c r="C11294" s="1242">
        <v>15.523</v>
      </c>
      <c r="D11294" s="708">
        <v>10.705</v>
      </c>
      <c r="E11294" s="709">
        <v>-0.31037814855375889</v>
      </c>
      <c r="F11294" s="946">
        <v>-0.31037814855375889</v>
      </c>
      <c r="G11294" s="695"/>
      <c r="H11294" t="s">
        <v>497</v>
      </c>
    </row>
    <row r="11295" spans="1:8" hidden="1" outlineLevel="1" x14ac:dyDescent="0.25">
      <c r="A11295" s="1237">
        <v>0.02</v>
      </c>
      <c r="B11295" s="1238" t="s">
        <v>3798</v>
      </c>
      <c r="C11295" s="1242">
        <v>2.7715999999999998</v>
      </c>
      <c r="D11295" s="708">
        <v>4.7789999999999999</v>
      </c>
      <c r="E11295" s="709">
        <v>0.72427478712656956</v>
      </c>
      <c r="F11295" s="946">
        <v>0.05</v>
      </c>
      <c r="G11295" s="695"/>
      <c r="H11295" t="s">
        <v>4122</v>
      </c>
    </row>
    <row r="11296" spans="1:8" hidden="1" outlineLevel="1" x14ac:dyDescent="0.25">
      <c r="A11296" s="1237">
        <v>0.02</v>
      </c>
      <c r="B11296" t="s">
        <v>5232</v>
      </c>
      <c r="C11296" s="1242">
        <v>64.73</v>
      </c>
      <c r="D11296" s="708">
        <v>75.819999999999993</v>
      </c>
      <c r="E11296" s="709">
        <v>0.1713270508265099</v>
      </c>
      <c r="F11296" s="946">
        <v>0.05</v>
      </c>
      <c r="G11296" s="695"/>
      <c r="H11296" t="s">
        <v>5230</v>
      </c>
    </row>
    <row r="11297" spans="1:8" hidden="1" outlineLevel="1" x14ac:dyDescent="0.25">
      <c r="A11297" s="1237">
        <v>0.03</v>
      </c>
      <c r="B11297" s="712" t="s">
        <v>7227</v>
      </c>
      <c r="C11297" s="1242">
        <v>16.791</v>
      </c>
      <c r="D11297" s="708">
        <v>12.875</v>
      </c>
      <c r="E11297" s="709">
        <v>-0.23322017747602886</v>
      </c>
      <c r="F11297" s="946">
        <v>-0.23322017747602886</v>
      </c>
      <c r="G11297" s="695"/>
      <c r="H11297" t="s">
        <v>7229</v>
      </c>
    </row>
    <row r="11298" spans="1:8" hidden="1" outlineLevel="1" x14ac:dyDescent="0.25">
      <c r="A11298" s="1237">
        <v>0.02</v>
      </c>
      <c r="B11298" s="852" t="s">
        <v>3799</v>
      </c>
      <c r="C11298" s="1242">
        <v>1366.9</v>
      </c>
      <c r="D11298" s="708">
        <v>1307.2</v>
      </c>
      <c r="E11298" s="709">
        <v>-4.3675470041700248E-2</v>
      </c>
      <c r="F11298" s="946">
        <v>-4.3675470041700248E-2</v>
      </c>
      <c r="G11298" s="695"/>
      <c r="H11298" t="s">
        <v>4128</v>
      </c>
    </row>
    <row r="11299" spans="1:8" hidden="1" outlineLevel="1" x14ac:dyDescent="0.25">
      <c r="A11299" s="1237">
        <v>0.02</v>
      </c>
      <c r="B11299" s="1238" t="s">
        <v>1381</v>
      </c>
      <c r="C11299" s="1242">
        <v>83.37</v>
      </c>
      <c r="D11299" s="708">
        <v>110.92</v>
      </c>
      <c r="E11299" s="709">
        <v>0.33045459997601045</v>
      </c>
      <c r="F11299" s="946">
        <v>0.05</v>
      </c>
      <c r="G11299" s="695"/>
      <c r="H11299" t="s">
        <v>1383</v>
      </c>
    </row>
    <row r="11300" spans="1:8" hidden="1" outlineLevel="1" x14ac:dyDescent="0.25">
      <c r="A11300" s="1237">
        <v>0.02</v>
      </c>
      <c r="B11300" s="1238" t="s">
        <v>4143</v>
      </c>
      <c r="C11300" s="1242">
        <v>4.6618000000000004</v>
      </c>
      <c r="D11300" s="708">
        <v>2.57</v>
      </c>
      <c r="E11300" s="709">
        <v>-0.44871079840405004</v>
      </c>
      <c r="F11300" s="946">
        <v>-0.44871079840405004</v>
      </c>
      <c r="G11300" s="695"/>
      <c r="H11300" t="s">
        <v>4144</v>
      </c>
    </row>
    <row r="11301" spans="1:8" hidden="1" outlineLevel="1" x14ac:dyDescent="0.25">
      <c r="A11301" s="1237">
        <v>0.02</v>
      </c>
      <c r="B11301" s="1238" t="s">
        <v>1905</v>
      </c>
      <c r="C11301" s="1242">
        <v>44.01</v>
      </c>
      <c r="D11301" s="708">
        <v>54.22</v>
      </c>
      <c r="E11301" s="709">
        <v>0.23199272892524436</v>
      </c>
      <c r="F11301" s="946">
        <v>0.05</v>
      </c>
      <c r="G11301" s="695"/>
      <c r="H11301" t="s">
        <v>504</v>
      </c>
    </row>
    <row r="11302" spans="1:8" hidden="1" outlineLevel="1" x14ac:dyDescent="0.25">
      <c r="A11302" s="1237">
        <v>7.0000000000000007E-2</v>
      </c>
      <c r="B11302" s="1238" t="s">
        <v>2787</v>
      </c>
      <c r="C11302" s="1242">
        <v>57.03</v>
      </c>
      <c r="D11302" s="708">
        <v>79.16</v>
      </c>
      <c r="E11302" s="709">
        <v>0.38804138172891456</v>
      </c>
      <c r="F11302" s="946">
        <v>0.05</v>
      </c>
      <c r="G11302" s="695"/>
      <c r="H11302" t="s">
        <v>8874</v>
      </c>
    </row>
    <row r="11303" spans="1:8" hidden="1" outlineLevel="1" x14ac:dyDescent="0.25">
      <c r="A11303" s="1237">
        <v>0.03</v>
      </c>
      <c r="B11303" s="852" t="s">
        <v>4273</v>
      </c>
      <c r="C11303" s="1242">
        <v>1157.2</v>
      </c>
      <c r="D11303" s="708">
        <v>2745</v>
      </c>
      <c r="E11303" s="709">
        <v>1.3721050812305564</v>
      </c>
      <c r="F11303" s="946">
        <v>0.05</v>
      </c>
      <c r="G11303" s="695"/>
      <c r="H11303" t="s">
        <v>82</v>
      </c>
    </row>
    <row r="11304" spans="1:8" hidden="1" outlineLevel="1" x14ac:dyDescent="0.25">
      <c r="A11304" s="1237">
        <v>0.02</v>
      </c>
      <c r="B11304" s="852" t="s">
        <v>901</v>
      </c>
      <c r="C11304" s="1242">
        <v>16.980599999999999</v>
      </c>
      <c r="D11304" s="708">
        <v>42.954999999999998</v>
      </c>
      <c r="E11304" s="709">
        <v>1.5296514846354077</v>
      </c>
      <c r="F11304" s="946">
        <v>0.05</v>
      </c>
      <c r="G11304" s="695"/>
      <c r="H11304" t="s">
        <v>531</v>
      </c>
    </row>
    <row r="11305" spans="1:8" hidden="1" outlineLevel="1" x14ac:dyDescent="0.25">
      <c r="A11305" s="1237">
        <v>7.0000000000000007E-2</v>
      </c>
      <c r="B11305" s="1238" t="s">
        <v>3800</v>
      </c>
      <c r="C11305" s="1242">
        <v>180.04</v>
      </c>
      <c r="D11305" s="708">
        <v>219.3</v>
      </c>
      <c r="E11305" s="709">
        <v>0.21806265274383474</v>
      </c>
      <c r="F11305" s="946">
        <v>0.05</v>
      </c>
      <c r="G11305" s="695"/>
      <c r="H11305" t="s">
        <v>8876</v>
      </c>
    </row>
    <row r="11306" spans="1:8" hidden="1" outlineLevel="1" x14ac:dyDescent="0.25">
      <c r="A11306" s="1237">
        <v>0.03</v>
      </c>
      <c r="B11306" s="1238" t="s">
        <v>4460</v>
      </c>
      <c r="C11306" s="1242">
        <v>1522.8</v>
      </c>
      <c r="D11306" s="708">
        <v>1707.5</v>
      </c>
      <c r="E11306" s="709">
        <v>0.12128972944575778</v>
      </c>
      <c r="F11306" s="946">
        <v>0.05</v>
      </c>
      <c r="G11306" s="695"/>
      <c r="H11306" t="s">
        <v>3485</v>
      </c>
    </row>
    <row r="11307" spans="1:8" hidden="1" outlineLevel="1" x14ac:dyDescent="0.25">
      <c r="A11307" s="1237">
        <v>0.05</v>
      </c>
      <c r="B11307" s="1238" t="s">
        <v>1857</v>
      </c>
      <c r="C11307" s="1242">
        <v>1403.8</v>
      </c>
      <c r="D11307" s="708">
        <v>1225</v>
      </c>
      <c r="E11307" s="709">
        <v>-0.127368571021513</v>
      </c>
      <c r="F11307" s="946">
        <v>-0.127368571021513</v>
      </c>
      <c r="G11307" s="695"/>
      <c r="H11307" t="s">
        <v>3559</v>
      </c>
    </row>
    <row r="11308" spans="1:8" hidden="1" outlineLevel="1" x14ac:dyDescent="0.25">
      <c r="A11308" s="1237">
        <v>7.0000000000000007E-2</v>
      </c>
      <c r="B11308" t="s">
        <v>1239</v>
      </c>
      <c r="C11308" s="1242">
        <v>382.58</v>
      </c>
      <c r="D11308" s="708">
        <v>512</v>
      </c>
      <c r="E11308" s="709">
        <v>0.33828218934601928</v>
      </c>
      <c r="F11308" s="946">
        <v>0.05</v>
      </c>
      <c r="G11308" s="695"/>
      <c r="H11308" t="s">
        <v>8891</v>
      </c>
    </row>
    <row r="11309" spans="1:8" hidden="1" outlineLevel="1" x14ac:dyDescent="0.25">
      <c r="A11309" s="1237">
        <v>0.02</v>
      </c>
      <c r="B11309" s="1238" t="s">
        <v>3022</v>
      </c>
      <c r="C11309" s="1242">
        <v>3683</v>
      </c>
      <c r="D11309" s="708">
        <v>6112</v>
      </c>
      <c r="E11309" s="709">
        <v>0.65951669834374149</v>
      </c>
      <c r="F11309" s="946">
        <v>0.05</v>
      </c>
      <c r="G11309" s="695"/>
      <c r="H11309" t="s">
        <v>2802</v>
      </c>
    </row>
    <row r="11310" spans="1:8" hidden="1" outlineLevel="1" x14ac:dyDescent="0.25">
      <c r="A11310" s="1237">
        <v>0.05</v>
      </c>
      <c r="B11310" s="1238" t="s">
        <v>434</v>
      </c>
      <c r="C11310" s="1242">
        <v>43.404000000000003</v>
      </c>
      <c r="D11310" s="708">
        <v>39.33</v>
      </c>
      <c r="E11310" s="709">
        <v>-9.3862316837157955E-2</v>
      </c>
      <c r="F11310" s="946">
        <v>-9.3862316837157955E-2</v>
      </c>
      <c r="G11310" s="695"/>
      <c r="H11310" t="s">
        <v>7745</v>
      </c>
    </row>
    <row r="11311" spans="1:8" hidden="1" outlineLevel="1" x14ac:dyDescent="0.25">
      <c r="A11311" s="1237">
        <v>0.03</v>
      </c>
      <c r="B11311" s="939" t="s">
        <v>106</v>
      </c>
      <c r="C11311" s="1242">
        <v>2318.8000000000002</v>
      </c>
      <c r="D11311" s="708">
        <v>3733.5</v>
      </c>
      <c r="E11311" s="709">
        <v>0.61010005175090543</v>
      </c>
      <c r="F11311" s="946">
        <v>0.05</v>
      </c>
      <c r="G11311" s="695"/>
      <c r="H11311" t="s">
        <v>107</v>
      </c>
    </row>
    <row r="11312" spans="1:8" hidden="1" outlineLevel="1" x14ac:dyDescent="0.25">
      <c r="A11312" s="1237">
        <v>0.02</v>
      </c>
      <c r="B11312" s="1238" t="s">
        <v>2983</v>
      </c>
      <c r="C11312" s="1242">
        <v>652.9</v>
      </c>
      <c r="D11312" s="708">
        <v>666.2</v>
      </c>
      <c r="E11312" s="742">
        <v>2.0370654005207545E-2</v>
      </c>
      <c r="F11312" s="946">
        <v>0.05</v>
      </c>
      <c r="G11312" s="695"/>
      <c r="H11312" t="s">
        <v>1713</v>
      </c>
    </row>
    <row r="11313" spans="1:8" hidden="1" outlineLevel="1" x14ac:dyDescent="0.25">
      <c r="A11313" s="1237">
        <v>0.02</v>
      </c>
      <c r="B11313" t="s">
        <v>255</v>
      </c>
      <c r="C11313" s="1242">
        <v>42.707999999999998</v>
      </c>
      <c r="D11313" s="708">
        <v>47.74</v>
      </c>
      <c r="E11313" s="742">
        <v>0.11782335862133575</v>
      </c>
      <c r="F11313" s="946">
        <v>0.05</v>
      </c>
      <c r="G11313" s="695"/>
      <c r="H11313" t="s">
        <v>3351</v>
      </c>
    </row>
    <row r="11314" spans="1:8" hidden="1" outlineLevel="1" x14ac:dyDescent="0.25">
      <c r="A11314" s="1240">
        <v>0.02</v>
      </c>
      <c r="B11314" t="s">
        <v>2874</v>
      </c>
      <c r="C11314" s="1242">
        <v>26.52</v>
      </c>
      <c r="D11314" s="1199">
        <v>43.28</v>
      </c>
      <c r="E11314" s="748">
        <v>0.63197586726998489</v>
      </c>
      <c r="F11314" s="946">
        <v>0.05</v>
      </c>
      <c r="G11314" s="695"/>
      <c r="H11314" t="s">
        <v>9060</v>
      </c>
    </row>
    <row r="11315" spans="1:8" hidden="1" outlineLevel="1" x14ac:dyDescent="0.25">
      <c r="A11315" s="1233" t="s">
        <v>2465</v>
      </c>
      <c r="D11315" s="886"/>
      <c r="E11315">
        <v>0.35768097563879575</v>
      </c>
      <c r="F11315" s="1872">
        <v>6.3865619427954066E-3</v>
      </c>
      <c r="G11315" s="695"/>
    </row>
    <row r="11316" spans="1:8" hidden="1" outlineLevel="1" x14ac:dyDescent="0.25">
      <c r="C11316" s="837"/>
      <c r="D11316" s="798"/>
      <c r="E11316" s="709"/>
      <c r="G11316" s="695"/>
      <c r="H11316" s="415"/>
    </row>
    <row r="11317" spans="1:8" hidden="1" outlineLevel="1" x14ac:dyDescent="0.25">
      <c r="A11317" t="s">
        <v>113</v>
      </c>
      <c r="D11317" s="1741" t="s">
        <v>6622</v>
      </c>
      <c r="E11317" s="1741" t="s">
        <v>6630</v>
      </c>
      <c r="F11317" s="1232" t="s">
        <v>7604</v>
      </c>
      <c r="H11317" s="415"/>
    </row>
    <row r="11318" spans="1:8" hidden="1" outlineLevel="1" x14ac:dyDescent="0.25">
      <c r="A11318" t="s">
        <v>5457</v>
      </c>
      <c r="D11318">
        <v>0.03</v>
      </c>
      <c r="E11318">
        <v>0.03</v>
      </c>
      <c r="F11318" s="1872">
        <v>0.03</v>
      </c>
      <c r="H11318" s="415"/>
    </row>
    <row r="11319" spans="1:8" hidden="1" outlineLevel="1" x14ac:dyDescent="0.25">
      <c r="A11319" t="s">
        <v>5458</v>
      </c>
      <c r="D11319">
        <v>4.7206999999999937E-2</v>
      </c>
      <c r="E11319">
        <v>4.7206999999999937E-2</v>
      </c>
      <c r="F11319" s="1872">
        <v>4.7206999999999937E-2</v>
      </c>
      <c r="H11319" s="415"/>
    </row>
    <row r="11320" spans="1:8" hidden="1" outlineLevel="1" x14ac:dyDescent="0.25">
      <c r="A11320" t="s">
        <v>5459</v>
      </c>
      <c r="D11320">
        <v>4.0837999999999965E-2</v>
      </c>
      <c r="E11320">
        <v>4.7206999999999937E-2</v>
      </c>
      <c r="F11320" s="1872">
        <v>4.7206999999999937E-2</v>
      </c>
      <c r="H11320" s="415"/>
    </row>
    <row r="11321" spans="1:8" hidden="1" outlineLevel="1" x14ac:dyDescent="0.25">
      <c r="A11321" t="s">
        <v>5460</v>
      </c>
      <c r="B11321" s="695"/>
      <c r="D11321">
        <v>2.1299999999999999E-2</v>
      </c>
      <c r="E11321">
        <v>4.7206999999999937E-2</v>
      </c>
      <c r="F11321" s="1872">
        <v>4.7199999999999999E-2</v>
      </c>
      <c r="H11321" s="415"/>
    </row>
    <row r="11322" spans="1:8" hidden="1" outlineLevel="1" x14ac:dyDescent="0.25">
      <c r="A11322" t="s">
        <v>5461</v>
      </c>
      <c r="B11322" s="695"/>
      <c r="D11322">
        <v>1.546599999999998E-2</v>
      </c>
      <c r="E11322">
        <v>4.7206999999999937E-2</v>
      </c>
      <c r="F11322" s="1872">
        <v>4.7206999999999937E-2</v>
      </c>
      <c r="H11322" s="415"/>
    </row>
    <row r="11323" spans="1:8" collapsed="1" x14ac:dyDescent="0.25">
      <c r="A11323" s="3803" t="s">
        <v>5462</v>
      </c>
      <c r="B11323" s="3804"/>
      <c r="C11323" s="3804"/>
      <c r="D11323" s="1892">
        <v>0.15481099999999987</v>
      </c>
      <c r="E11323" s="1896">
        <v>0.21882799999999977</v>
      </c>
      <c r="F11323" s="1893">
        <v>0.21882099999999982</v>
      </c>
      <c r="H11323" s="415"/>
    </row>
    <row r="11325" spans="1:8" hidden="1" outlineLevel="1" x14ac:dyDescent="0.25">
      <c r="A11325" s="3073" t="s">
        <v>113</v>
      </c>
      <c r="B11325" s="3073" t="s">
        <v>114</v>
      </c>
      <c r="C11325" s="3073" t="s">
        <v>112</v>
      </c>
      <c r="D11325" s="3073" t="s">
        <v>116</v>
      </c>
      <c r="E11325" s="3073" t="s">
        <v>117</v>
      </c>
      <c r="F11325" s="3044" t="s">
        <v>121</v>
      </c>
    </row>
    <row r="11326" spans="1:8" hidden="1" outlineLevel="1" x14ac:dyDescent="0.25">
      <c r="A11326" s="3045">
        <v>1</v>
      </c>
      <c r="B11326" s="3046" t="s">
        <v>252</v>
      </c>
      <c r="C11326" s="3047">
        <v>100</v>
      </c>
      <c r="D11326" s="3047"/>
      <c r="E11326" s="3082"/>
      <c r="F11326" s="3083"/>
    </row>
    <row r="11327" spans="1:8" hidden="1" outlineLevel="1" x14ac:dyDescent="0.25">
      <c r="A11327" s="3050"/>
      <c r="B11327" s="3050"/>
      <c r="C11327" s="3051"/>
      <c r="D11327" s="1900" t="s">
        <v>3702</v>
      </c>
      <c r="E11327" s="3052">
        <v>43188</v>
      </c>
      <c r="F11327" s="3084"/>
    </row>
    <row r="11328" spans="1:8" hidden="1" outlineLevel="1" x14ac:dyDescent="0.25">
      <c r="A11328" s="2085" t="s">
        <v>4156</v>
      </c>
      <c r="B11328" s="2107" t="s">
        <v>4153</v>
      </c>
      <c r="C11328" s="3081" t="s">
        <v>112</v>
      </c>
      <c r="D11328" s="2085" t="s">
        <v>4363</v>
      </c>
      <c r="E11328" s="2085" t="s">
        <v>4154</v>
      </c>
      <c r="F11328" s="3080" t="s">
        <v>2519</v>
      </c>
      <c r="G11328" s="314"/>
      <c r="H11328" s="314"/>
    </row>
    <row r="11329" spans="1:11" hidden="1" outlineLevel="1" x14ac:dyDescent="0.25">
      <c r="A11329" s="1813">
        <v>7.0000000000000007E-2</v>
      </c>
      <c r="B11329" s="2089" t="s">
        <v>1993</v>
      </c>
      <c r="C11329" s="2337">
        <v>31.582999999999998</v>
      </c>
      <c r="D11329" s="2960">
        <v>62.32</v>
      </c>
      <c r="E11329" s="2092">
        <v>0.97321343760884038</v>
      </c>
      <c r="F11329" s="3056">
        <v>6.8124940632618827E-2</v>
      </c>
      <c r="H11329" t="s">
        <v>2812</v>
      </c>
      <c r="I11329" t="s">
        <v>2040</v>
      </c>
      <c r="J11329" s="370"/>
    </row>
    <row r="11330" spans="1:11" hidden="1" outlineLevel="1" x14ac:dyDescent="0.25">
      <c r="A11330" s="1813">
        <v>0.02</v>
      </c>
      <c r="B11330" s="1813" t="s">
        <v>3320</v>
      </c>
      <c r="C11330" s="1902">
        <v>65.534000000000006</v>
      </c>
      <c r="D11330" s="2965">
        <v>89.28</v>
      </c>
      <c r="E11330" s="2097">
        <v>0.36234626300851458</v>
      </c>
      <c r="F11330" s="3061">
        <v>7.246925260170292E-3</v>
      </c>
      <c r="H11330" t="s">
        <v>4093</v>
      </c>
      <c r="I11330" s="256">
        <v>42644</v>
      </c>
      <c r="J11330" s="1628">
        <v>158.94229999999999</v>
      </c>
      <c r="K11330" s="37">
        <v>0.58942299999999981</v>
      </c>
    </row>
    <row r="11331" spans="1:11" hidden="1" outlineLevel="1" x14ac:dyDescent="0.25">
      <c r="A11331" s="1813">
        <v>0.02</v>
      </c>
      <c r="B11331" s="1813" t="s">
        <v>139</v>
      </c>
      <c r="C11331" s="1902">
        <v>1781.5</v>
      </c>
      <c r="D11331" s="2965">
        <v>5690</v>
      </c>
      <c r="E11331" s="2097">
        <v>2.1939376929553749</v>
      </c>
      <c r="F11331" s="3061">
        <v>4.38787538591075E-2</v>
      </c>
      <c r="H11331" t="s">
        <v>1776</v>
      </c>
      <c r="I11331" s="256">
        <v>42675</v>
      </c>
      <c r="J11331" s="1628">
        <v>153.54759999999999</v>
      </c>
      <c r="K11331" s="37">
        <v>0.53547599999999984</v>
      </c>
    </row>
    <row r="11332" spans="1:11" hidden="1" outlineLevel="1" x14ac:dyDescent="0.25">
      <c r="A11332" s="1813">
        <v>0.02</v>
      </c>
      <c r="B11332" s="1813" t="s">
        <v>5479</v>
      </c>
      <c r="C11332" s="1902">
        <v>1404.1</v>
      </c>
      <c r="D11332" s="2965">
        <v>2491</v>
      </c>
      <c r="E11332" s="2097">
        <v>0.77409016451819679</v>
      </c>
      <c r="F11332" s="3061">
        <v>1.5481803290363937E-2</v>
      </c>
      <c r="H11332" t="s">
        <v>5477</v>
      </c>
      <c r="I11332" s="256">
        <v>42705</v>
      </c>
      <c r="J11332" s="412">
        <v>159.11019999999999</v>
      </c>
      <c r="K11332" s="37">
        <v>0.59110200000000002</v>
      </c>
    </row>
    <row r="11333" spans="1:11" hidden="1" outlineLevel="1" x14ac:dyDescent="0.25">
      <c r="A11333" s="1813">
        <v>0.05</v>
      </c>
      <c r="B11333" s="3050" t="s">
        <v>3850</v>
      </c>
      <c r="C11333" s="1902">
        <v>36.216999999999999</v>
      </c>
      <c r="D11333" s="2965">
        <v>43.31</v>
      </c>
      <c r="E11333" s="2097">
        <v>0.19584725405196468</v>
      </c>
      <c r="F11333" s="3061">
        <v>9.7923627025982354E-3</v>
      </c>
      <c r="H11333" t="s">
        <v>8253</v>
      </c>
      <c r="I11333" s="256">
        <v>42736</v>
      </c>
      <c r="J11333" s="412">
        <v>160.95070000000001</v>
      </c>
      <c r="K11333" s="37">
        <v>0.60950700000000002</v>
      </c>
    </row>
    <row r="11334" spans="1:11" hidden="1" outlineLevel="1" x14ac:dyDescent="0.25">
      <c r="A11334" s="1813">
        <v>0.02</v>
      </c>
      <c r="B11334" s="1813" t="s">
        <v>5481</v>
      </c>
      <c r="C11334" s="3105">
        <v>13.208680898307065</v>
      </c>
      <c r="D11334" s="2965">
        <v>8.67</v>
      </c>
      <c r="E11334" s="2097">
        <v>-0.34361348671000003</v>
      </c>
      <c r="F11334" s="3061">
        <v>-6.8722697342000006E-3</v>
      </c>
      <c r="H11334" t="s">
        <v>5480</v>
      </c>
      <c r="I11334" s="256">
        <v>42767</v>
      </c>
      <c r="J11334" s="412">
        <v>165.9127</v>
      </c>
      <c r="K11334" s="37">
        <v>0.65912700000000002</v>
      </c>
    </row>
    <row r="11335" spans="1:11" hidden="1" outlineLevel="1" x14ac:dyDescent="0.25">
      <c r="A11335" s="1813">
        <v>0.02</v>
      </c>
      <c r="B11335" s="1813" t="s">
        <v>5821</v>
      </c>
      <c r="C11335" s="3106">
        <v>7.959800001189592</v>
      </c>
      <c r="D11335" s="2965">
        <v>7.27</v>
      </c>
      <c r="E11335" s="2097">
        <v>-8.6660468992500017E-2</v>
      </c>
      <c r="F11335" s="3061">
        <v>-1.7332093798500003E-3</v>
      </c>
      <c r="H11335" t="s">
        <v>5819</v>
      </c>
      <c r="I11335" s="256">
        <v>42795</v>
      </c>
      <c r="J11335" s="412">
        <v>166.12309999999999</v>
      </c>
      <c r="K11335" s="37">
        <v>0.6612309999999999</v>
      </c>
    </row>
    <row r="11336" spans="1:11" hidden="1" outlineLevel="1" x14ac:dyDescent="0.25">
      <c r="A11336" s="1813">
        <v>0.02</v>
      </c>
      <c r="B11336" s="1813" t="s">
        <v>5194</v>
      </c>
      <c r="C11336" s="3105">
        <v>21.647327038495561</v>
      </c>
      <c r="D11336" s="2965">
        <v>36.880000000000003</v>
      </c>
      <c r="E11336" s="2097">
        <v>0.7036745430239999</v>
      </c>
      <c r="F11336" s="3061">
        <v>1.4073490860479999E-2</v>
      </c>
      <c r="H11336" t="s">
        <v>5192</v>
      </c>
      <c r="I11336" s="256">
        <v>42826</v>
      </c>
      <c r="J11336" s="412">
        <v>166.70179999999999</v>
      </c>
      <c r="K11336" s="37">
        <v>0.66701799999999989</v>
      </c>
    </row>
    <row r="11337" spans="1:11" hidden="1" outlineLevel="1" x14ac:dyDescent="0.25">
      <c r="A11337" s="1813">
        <v>0.02</v>
      </c>
      <c r="B11337" s="1903" t="s">
        <v>53</v>
      </c>
      <c r="C11337" s="1902">
        <v>48.981000000000002</v>
      </c>
      <c r="D11337" s="2965">
        <v>65.73</v>
      </c>
      <c r="E11337" s="2097">
        <v>0.3419489189685796</v>
      </c>
      <c r="F11337" s="3061">
        <v>6.8389783793715922E-3</v>
      </c>
      <c r="H11337" t="s">
        <v>2751</v>
      </c>
      <c r="I11337" s="256">
        <v>42856</v>
      </c>
      <c r="J11337" s="412">
        <v>172.2843</v>
      </c>
      <c r="K11337" s="37">
        <v>0.72284300000000012</v>
      </c>
    </row>
    <row r="11338" spans="1:11" hidden="1" outlineLevel="1" x14ac:dyDescent="0.25">
      <c r="A11338" s="1813">
        <v>0.02</v>
      </c>
      <c r="B11338" s="1903" t="s">
        <v>3406</v>
      </c>
      <c r="C11338" s="1902">
        <v>1814.3</v>
      </c>
      <c r="D11338" s="2965">
        <v>2412</v>
      </c>
      <c r="E11338" s="2097">
        <v>0.32943835087912698</v>
      </c>
      <c r="F11338" s="3061">
        <v>6.5887670175825402E-3</v>
      </c>
      <c r="H11338" t="s">
        <v>2105</v>
      </c>
      <c r="I11338" s="256">
        <v>42887</v>
      </c>
      <c r="J11338" s="412">
        <v>166.26599999999999</v>
      </c>
      <c r="K11338" s="37">
        <v>0.6626599999999998</v>
      </c>
    </row>
    <row r="11339" spans="1:11" hidden="1" outlineLevel="1" x14ac:dyDescent="0.25">
      <c r="A11339" s="1813">
        <v>0.02</v>
      </c>
      <c r="B11339" s="1813" t="s">
        <v>5486</v>
      </c>
      <c r="C11339" s="1902">
        <v>43.396999999999998</v>
      </c>
      <c r="D11339" s="2965">
        <v>118.38</v>
      </c>
      <c r="E11339" s="2097">
        <v>1.7278383298384683</v>
      </c>
      <c r="F11339" s="3061">
        <v>3.4556766596769366E-2</v>
      </c>
      <c r="H11339" t="s">
        <v>5485</v>
      </c>
      <c r="I11339" s="256">
        <v>42917</v>
      </c>
      <c r="J11339" s="412">
        <v>162.40469999999999</v>
      </c>
      <c r="K11339" s="37">
        <v>0.62404700000000002</v>
      </c>
    </row>
    <row r="11340" spans="1:11" hidden="1" outlineLevel="1" x14ac:dyDescent="0.25">
      <c r="A11340" s="1813">
        <v>0.05</v>
      </c>
      <c r="B11340" s="1813" t="s">
        <v>5489</v>
      </c>
      <c r="C11340" s="1902">
        <v>39.808999999999997</v>
      </c>
      <c r="D11340" s="2965">
        <v>45.06</v>
      </c>
      <c r="E11340" s="2097">
        <v>0.13190484563792126</v>
      </c>
      <c r="F11340" s="3061">
        <v>6.5952422818960632E-3</v>
      </c>
      <c r="H11340" t="s">
        <v>5487</v>
      </c>
      <c r="I11340" s="256">
        <v>42948</v>
      </c>
      <c r="J11340" s="412">
        <v>160.89769999999999</v>
      </c>
      <c r="K11340" s="37">
        <v>0.60897699999999988</v>
      </c>
    </row>
    <row r="11341" spans="1:11" hidden="1" outlineLevel="1" x14ac:dyDescent="0.25">
      <c r="A11341" s="1813">
        <v>0.02</v>
      </c>
      <c r="B11341" s="1813" t="s">
        <v>3319</v>
      </c>
      <c r="C11341" s="1902">
        <v>49.111499999999999</v>
      </c>
      <c r="D11341" s="2965">
        <v>87.3</v>
      </c>
      <c r="E11341" s="2097">
        <v>0.77758773403378023</v>
      </c>
      <c r="F11341" s="3061">
        <v>1.5551754680675605E-2</v>
      </c>
      <c r="H11341" t="s">
        <v>1779</v>
      </c>
      <c r="I11341" s="256">
        <v>42979</v>
      </c>
      <c r="J11341" s="412">
        <v>158.53659999999999</v>
      </c>
      <c r="K11341" s="37">
        <v>0.58536599999999983</v>
      </c>
    </row>
    <row r="11342" spans="1:11" hidden="1" outlineLevel="1" x14ac:dyDescent="0.25">
      <c r="A11342" s="1813">
        <v>0.02</v>
      </c>
      <c r="B11342" s="1813" t="s">
        <v>5492</v>
      </c>
      <c r="C11342" s="1902">
        <v>71.495000000000005</v>
      </c>
      <c r="D11342" s="2965">
        <v>98.96</v>
      </c>
      <c r="E11342" s="2097">
        <v>0.38415273795370286</v>
      </c>
      <c r="F11342" s="3061">
        <v>7.683054759074057E-3</v>
      </c>
      <c r="H11342" t="s">
        <v>5490</v>
      </c>
      <c r="I11342" s="256">
        <v>43009</v>
      </c>
      <c r="J11342" s="412">
        <v>161.7116</v>
      </c>
      <c r="K11342" s="37">
        <v>0.617116</v>
      </c>
    </row>
    <row r="11343" spans="1:11" hidden="1" outlineLevel="1" x14ac:dyDescent="0.25">
      <c r="A11343" s="1813">
        <v>7.0000000000000007E-2</v>
      </c>
      <c r="B11343" s="1903" t="s">
        <v>4496</v>
      </c>
      <c r="C11343" s="1902">
        <v>57.802</v>
      </c>
      <c r="D11343" s="2965">
        <v>76.708399999999997</v>
      </c>
      <c r="E11343" s="2097">
        <v>0.32708902806131279</v>
      </c>
      <c r="F11343" s="3061">
        <v>2.2896231964291899E-2</v>
      </c>
      <c r="H11343" t="s">
        <v>8824</v>
      </c>
      <c r="I11343" s="256">
        <v>43040</v>
      </c>
      <c r="J11343" s="412">
        <v>156.10839999999999</v>
      </c>
      <c r="K11343" s="37">
        <v>0.56108399999999992</v>
      </c>
    </row>
    <row r="11344" spans="1:11" hidden="1" outlineLevel="1" x14ac:dyDescent="0.25">
      <c r="A11344" s="1813">
        <v>0.02</v>
      </c>
      <c r="B11344" s="1813" t="s">
        <v>5495</v>
      </c>
      <c r="C11344" s="1902">
        <v>2263.8000000000002</v>
      </c>
      <c r="D11344" s="2965">
        <v>3035</v>
      </c>
      <c r="E11344" s="2097">
        <v>0.34066613658450384</v>
      </c>
      <c r="F11344" s="3061">
        <v>6.8133227316900767E-3</v>
      </c>
      <c r="H11344" t="s">
        <v>5493</v>
      </c>
      <c r="I11344" s="256">
        <v>43070</v>
      </c>
      <c r="J11344" s="412">
        <v>168.54650000000001</v>
      </c>
      <c r="K11344" s="37">
        <v>0.68546499999999999</v>
      </c>
    </row>
    <row r="11345" spans="1:11" hidden="1" outlineLevel="1" x14ac:dyDescent="0.25">
      <c r="A11345" s="1813">
        <v>7.0000000000000007E-2</v>
      </c>
      <c r="B11345" s="3050" t="s">
        <v>811</v>
      </c>
      <c r="C11345" s="1902">
        <v>54.094999999999999</v>
      </c>
      <c r="D11345" s="2965">
        <v>65.010000000000005</v>
      </c>
      <c r="E11345" s="2097">
        <v>0.20177465569830866</v>
      </c>
      <c r="F11345" s="3061">
        <v>1.4124225898881607E-2</v>
      </c>
      <c r="H11345" t="s">
        <v>812</v>
      </c>
      <c r="I11345" s="256">
        <v>43101</v>
      </c>
      <c r="J11345" s="412">
        <v>167.14410000000001</v>
      </c>
      <c r="K11345" s="37">
        <v>0.67144100000000018</v>
      </c>
    </row>
    <row r="11346" spans="1:11" hidden="1" outlineLevel="1" x14ac:dyDescent="0.25">
      <c r="A11346" s="1813">
        <v>0.02</v>
      </c>
      <c r="B11346" s="1813" t="s">
        <v>3321</v>
      </c>
      <c r="C11346" s="1902">
        <v>993.2</v>
      </c>
      <c r="D11346" s="2965">
        <v>2813.5</v>
      </c>
      <c r="E11346" s="2097">
        <v>1.8327627869512684</v>
      </c>
      <c r="F11346" s="3061">
        <v>3.6655255739025366E-2</v>
      </c>
      <c r="H11346" t="s">
        <v>1780</v>
      </c>
      <c r="I11346" s="256">
        <v>43132</v>
      </c>
      <c r="J11346" s="412">
        <v>156.91849999999999</v>
      </c>
      <c r="K11346" s="37">
        <v>0.56918500000000005</v>
      </c>
    </row>
    <row r="11347" spans="1:11" hidden="1" outlineLevel="1" x14ac:dyDescent="0.25">
      <c r="A11347" s="1813">
        <v>1.2500000000000001E-2</v>
      </c>
      <c r="B11347" s="2965" t="s">
        <v>7573</v>
      </c>
      <c r="C11347" s="3107">
        <v>36.05102473999554</v>
      </c>
      <c r="D11347" s="2965">
        <v>62.29</v>
      </c>
      <c r="E11347" s="2097">
        <v>0.72782883286239985</v>
      </c>
      <c r="F11347" s="3061">
        <v>9.0978604107799978E-3</v>
      </c>
      <c r="H11347" t="s">
        <v>7571</v>
      </c>
      <c r="I11347" s="256">
        <v>43160</v>
      </c>
      <c r="J11347" s="412">
        <v>155.4153</v>
      </c>
      <c r="K11347" s="37">
        <v>0.55415300000000012</v>
      </c>
    </row>
    <row r="11348" spans="1:11" hidden="1" outlineLevel="1" x14ac:dyDescent="0.25">
      <c r="A11348" s="1813">
        <v>0.02</v>
      </c>
      <c r="B11348" s="1813" t="s">
        <v>5497</v>
      </c>
      <c r="C11348" s="1902">
        <v>63.460999999999999</v>
      </c>
      <c r="D11348" s="2965">
        <v>106.39</v>
      </c>
      <c r="E11348" s="2097">
        <v>0.67646270938056441</v>
      </c>
      <c r="F11348" s="3061">
        <v>1.3529254187611289E-2</v>
      </c>
      <c r="H11348" t="s">
        <v>5496</v>
      </c>
      <c r="I11348" s="412" t="s">
        <v>2465</v>
      </c>
      <c r="K11348" s="261">
        <v>0.62084561111111092</v>
      </c>
    </row>
    <row r="11349" spans="1:11" hidden="1" outlineLevel="1" x14ac:dyDescent="0.25">
      <c r="A11349" s="1813">
        <v>0.02</v>
      </c>
      <c r="B11349" s="1813" t="s">
        <v>3869</v>
      </c>
      <c r="C11349" s="1902">
        <v>40.290999999999997</v>
      </c>
      <c r="D11349" s="2965">
        <v>75.33</v>
      </c>
      <c r="E11349" s="2097">
        <v>0.86964830855526065</v>
      </c>
      <c r="F11349" s="3061">
        <v>1.7392966171105213E-2</v>
      </c>
      <c r="H11349" t="s">
        <v>1984</v>
      </c>
      <c r="I11349" s="412"/>
      <c r="K11349" s="422"/>
    </row>
    <row r="11350" spans="1:11" hidden="1" outlineLevel="1" x14ac:dyDescent="0.25">
      <c r="A11350" s="1813">
        <v>3.7499999999999999E-2</v>
      </c>
      <c r="B11350" s="1813" t="s">
        <v>5500</v>
      </c>
      <c r="C11350" s="2577">
        <v>25.646000000000001</v>
      </c>
      <c r="D11350" s="2965">
        <v>41.73</v>
      </c>
      <c r="E11350" s="2097">
        <v>0.62715433205958027</v>
      </c>
      <c r="F11350" s="3061">
        <v>2.3518287452234259E-2</v>
      </c>
      <c r="H11350" t="s">
        <v>5498</v>
      </c>
    </row>
    <row r="11351" spans="1:11" hidden="1" outlineLevel="1" x14ac:dyDescent="0.25">
      <c r="A11351" s="1813">
        <v>7.0000000000000007E-2</v>
      </c>
      <c r="B11351" s="1903" t="s">
        <v>3797</v>
      </c>
      <c r="C11351" s="1902">
        <v>59.445</v>
      </c>
      <c r="D11351" s="2965">
        <v>75.62</v>
      </c>
      <c r="E11351" s="2097">
        <v>0.27210026074522675</v>
      </c>
      <c r="F11351" s="3061">
        <v>1.9047018252165874E-2</v>
      </c>
      <c r="H11351" t="s">
        <v>8872</v>
      </c>
    </row>
    <row r="11352" spans="1:11" hidden="1" outlineLevel="1" x14ac:dyDescent="0.25">
      <c r="A11352" s="1813">
        <v>0.05</v>
      </c>
      <c r="B11352" s="1903" t="s">
        <v>1204</v>
      </c>
      <c r="C11352" s="1902">
        <v>68.650000000000006</v>
      </c>
      <c r="D11352" s="2965">
        <v>109.15</v>
      </c>
      <c r="E11352" s="2097">
        <v>0.5899490167516388</v>
      </c>
      <c r="F11352" s="3061">
        <v>2.9497450837581943E-2</v>
      </c>
      <c r="H11352" t="s">
        <v>9047</v>
      </c>
    </row>
    <row r="11353" spans="1:11" hidden="1" outlineLevel="1" x14ac:dyDescent="0.25">
      <c r="A11353" s="1813">
        <v>0.02</v>
      </c>
      <c r="B11353" s="1813" t="s">
        <v>4044</v>
      </c>
      <c r="C11353" s="1902">
        <v>83.537999999999997</v>
      </c>
      <c r="D11353" s="2965">
        <v>135.25</v>
      </c>
      <c r="E11353" s="2097">
        <v>0.61902367784720735</v>
      </c>
      <c r="F11353" s="3061">
        <v>1.2380473556944147E-2</v>
      </c>
      <c r="H11353" t="s">
        <v>4045</v>
      </c>
    </row>
    <row r="11354" spans="1:11" hidden="1" outlineLevel="1" x14ac:dyDescent="0.25">
      <c r="A11354" s="1813">
        <v>0.02</v>
      </c>
      <c r="B11354" s="1813" t="s">
        <v>1044</v>
      </c>
      <c r="C11354" s="1902">
        <v>83.26</v>
      </c>
      <c r="D11354" s="2965">
        <v>115.8</v>
      </c>
      <c r="E11354" s="2097">
        <v>0.39082392505404751</v>
      </c>
      <c r="F11354" s="3061">
        <v>7.816478501080951E-3</v>
      </c>
      <c r="H11354" t="s">
        <v>1985</v>
      </c>
    </row>
    <row r="11355" spans="1:11" hidden="1" outlineLevel="1" x14ac:dyDescent="0.25">
      <c r="A11355" s="1813">
        <v>7.0000000000000007E-2</v>
      </c>
      <c r="B11355" s="1813" t="s">
        <v>901</v>
      </c>
      <c r="C11355" s="2095">
        <v>17.040193485301504</v>
      </c>
      <c r="D11355" s="2965">
        <v>41.31</v>
      </c>
      <c r="E11355" s="2097">
        <v>1.4242682476365718</v>
      </c>
      <c r="F11355" s="3061">
        <v>9.9698777334560035E-2</v>
      </c>
      <c r="H11355" t="s">
        <v>531</v>
      </c>
    </row>
    <row r="11356" spans="1:11" hidden="1" outlineLevel="1" x14ac:dyDescent="0.25">
      <c r="A11356" s="1813">
        <v>0.05</v>
      </c>
      <c r="B11356" s="1813" t="s">
        <v>5503</v>
      </c>
      <c r="C11356" s="1902">
        <v>755.8</v>
      </c>
      <c r="D11356" s="2965">
        <v>544.6</v>
      </c>
      <c r="E11356" s="2097">
        <v>-0.27943900502778507</v>
      </c>
      <c r="F11356" s="3061">
        <v>-1.3971950251389254E-2</v>
      </c>
      <c r="H11356" t="s">
        <v>5501</v>
      </c>
    </row>
    <row r="11357" spans="1:11" hidden="1" outlineLevel="1" x14ac:dyDescent="0.25">
      <c r="A11357" s="1813">
        <v>0.02</v>
      </c>
      <c r="B11357" s="3050" t="s">
        <v>1142</v>
      </c>
      <c r="C11357" s="1902">
        <v>36.576999999999998</v>
      </c>
      <c r="D11357" s="2965">
        <v>43.43</v>
      </c>
      <c r="E11357" s="2097">
        <v>0.18735817590288995</v>
      </c>
      <c r="F11357" s="3061">
        <v>3.7471635180577989E-3</v>
      </c>
      <c r="H11357" t="s">
        <v>1143</v>
      </c>
    </row>
    <row r="11358" spans="1:11" hidden="1" outlineLevel="1" x14ac:dyDescent="0.25">
      <c r="A11358" s="1813">
        <v>0.02</v>
      </c>
      <c r="B11358" s="1813" t="s">
        <v>5506</v>
      </c>
      <c r="C11358" s="1902">
        <v>84.923000000000002</v>
      </c>
      <c r="D11358" s="2965">
        <v>124.01</v>
      </c>
      <c r="E11358" s="2097">
        <v>0.46026400386232247</v>
      </c>
      <c r="F11358" s="3061">
        <v>9.2052800772464503E-3</v>
      </c>
      <c r="H11358" t="s">
        <v>5504</v>
      </c>
    </row>
    <row r="11359" spans="1:11" hidden="1" outlineLevel="1" x14ac:dyDescent="0.25">
      <c r="A11359" s="1813">
        <v>0.02</v>
      </c>
      <c r="B11359" s="3108" t="s">
        <v>106</v>
      </c>
      <c r="C11359" s="2562">
        <v>2324.6</v>
      </c>
      <c r="D11359" s="3109">
        <v>3955.5</v>
      </c>
      <c r="E11359" s="2997">
        <v>0.70158306805471926</v>
      </c>
      <c r="F11359" s="3061">
        <v>1.4031661361094386E-2</v>
      </c>
      <c r="H11359" t="s">
        <v>107</v>
      </c>
    </row>
    <row r="11360" spans="1:11" hidden="1" outlineLevel="1" x14ac:dyDescent="0.25">
      <c r="A11360" s="1813"/>
      <c r="B11360" s="1813"/>
      <c r="C11360" s="1813"/>
      <c r="D11360" s="1813"/>
      <c r="E11360" s="1813"/>
      <c r="F11360" s="3085">
        <v>0.55420000000000003</v>
      </c>
    </row>
    <row r="11361" spans="1:12" collapsed="1" x14ac:dyDescent="0.25">
      <c r="A11361" s="3801" t="s">
        <v>5476</v>
      </c>
      <c r="B11361" s="3802"/>
      <c r="C11361" s="3802"/>
      <c r="D11361" s="3802"/>
      <c r="E11361" s="3087"/>
      <c r="F11361" s="1890">
        <v>0.4</v>
      </c>
    </row>
    <row r="11363" spans="1:12" hidden="1" outlineLevel="1" x14ac:dyDescent="0.25">
      <c r="A11363" s="3073" t="s">
        <v>113</v>
      </c>
      <c r="B11363" s="3073" t="s">
        <v>114</v>
      </c>
      <c r="C11363" s="3073" t="s">
        <v>112</v>
      </c>
      <c r="D11363" s="3073" t="s">
        <v>116</v>
      </c>
      <c r="E11363" s="3073" t="s">
        <v>117</v>
      </c>
      <c r="F11363" s="3044" t="s">
        <v>121</v>
      </c>
      <c r="G11363" s="97"/>
      <c r="H11363" s="173" t="s">
        <v>4475</v>
      </c>
    </row>
    <row r="11364" spans="1:12" hidden="1" outlineLevel="1" x14ac:dyDescent="0.25">
      <c r="A11364" s="3045">
        <v>5</v>
      </c>
      <c r="B11364" s="3046" t="s">
        <v>252</v>
      </c>
      <c r="C11364" s="3047"/>
      <c r="D11364" s="3047"/>
      <c r="E11364" s="3082"/>
      <c r="F11364" s="3083"/>
      <c r="G11364" s="97"/>
    </row>
    <row r="11365" spans="1:12" hidden="1" outlineLevel="1" x14ac:dyDescent="0.25">
      <c r="A11365" s="3050"/>
      <c r="B11365" s="3050"/>
      <c r="C11365" s="3051"/>
      <c r="D11365" s="1900" t="s">
        <v>3702</v>
      </c>
      <c r="E11365" s="3052">
        <v>43055</v>
      </c>
      <c r="F11365" s="3084"/>
      <c r="G11365" s="97"/>
    </row>
    <row r="11366" spans="1:12" hidden="1" outlineLevel="1" x14ac:dyDescent="0.25">
      <c r="A11366" s="3076" t="s">
        <v>4156</v>
      </c>
      <c r="B11366" s="3073" t="s">
        <v>4153</v>
      </c>
      <c r="C11366" s="3081" t="s">
        <v>112</v>
      </c>
      <c r="D11366" s="3076" t="s">
        <v>4155</v>
      </c>
      <c r="E11366" s="3073" t="s">
        <v>4154</v>
      </c>
      <c r="F11366" s="3056" t="s">
        <v>1332</v>
      </c>
      <c r="G11366" s="97"/>
    </row>
    <row r="11367" spans="1:12" hidden="1" outlineLevel="1" x14ac:dyDescent="0.25">
      <c r="A11367" s="3088">
        <v>0.04</v>
      </c>
      <c r="B11367" s="2089" t="s">
        <v>1993</v>
      </c>
      <c r="C11367" s="2337">
        <v>31.975999999999999</v>
      </c>
      <c r="D11367" s="2222">
        <v>65.88</v>
      </c>
      <c r="E11367" s="3089">
        <v>1.0602952214160619</v>
      </c>
      <c r="F11367" s="3005" t="s">
        <v>2024</v>
      </c>
      <c r="G11367" s="198"/>
      <c r="H11367" s="110" t="s">
        <v>2812</v>
      </c>
      <c r="L11367" s="74"/>
    </row>
    <row r="11368" spans="1:12" hidden="1" outlineLevel="1" x14ac:dyDescent="0.25">
      <c r="A11368" s="3090">
        <v>0.05</v>
      </c>
      <c r="B11368" s="1813" t="s">
        <v>805</v>
      </c>
      <c r="C11368" s="1902">
        <v>61</v>
      </c>
      <c r="D11368" s="3024">
        <v>98.95</v>
      </c>
      <c r="E11368" s="3091">
        <v>0.62213114754098364</v>
      </c>
      <c r="F11368" s="3092" t="s">
        <v>2024</v>
      </c>
      <c r="G11368" s="198"/>
      <c r="H11368" s="110" t="s">
        <v>806</v>
      </c>
      <c r="L11368" s="74"/>
    </row>
    <row r="11369" spans="1:12" hidden="1" outlineLevel="1" x14ac:dyDescent="0.25">
      <c r="A11369" s="3090">
        <v>0.08</v>
      </c>
      <c r="B11369" s="1813" t="s">
        <v>5386</v>
      </c>
      <c r="C11369" s="1902">
        <v>42.728000000000002</v>
      </c>
      <c r="D11369" s="3024">
        <v>61.49</v>
      </c>
      <c r="E11369" s="3091">
        <v>0.43910316420146045</v>
      </c>
      <c r="F11369" s="3092" t="s">
        <v>2024</v>
      </c>
      <c r="G11369" s="198"/>
      <c r="H11369" s="110" t="s">
        <v>808</v>
      </c>
      <c r="L11369" s="74"/>
    </row>
    <row r="11370" spans="1:12" hidden="1" outlineLevel="1" x14ac:dyDescent="0.25">
      <c r="A11370" s="3090">
        <v>0.04</v>
      </c>
      <c r="B11370" s="2965" t="s">
        <v>2353</v>
      </c>
      <c r="C11370" s="1902">
        <v>569.20000000000005</v>
      </c>
      <c r="D11370" s="3024">
        <v>618.5</v>
      </c>
      <c r="E11370" s="3091">
        <v>8.6612789880534002E-2</v>
      </c>
      <c r="F11370" s="3092" t="s">
        <v>2024</v>
      </c>
      <c r="G11370" s="198"/>
      <c r="H11370" s="110" t="s">
        <v>2354</v>
      </c>
      <c r="L11370" s="74"/>
    </row>
    <row r="11371" spans="1:12" hidden="1" outlineLevel="1" x14ac:dyDescent="0.25">
      <c r="A11371" s="3090">
        <v>0.08</v>
      </c>
      <c r="B11371" s="1813" t="s">
        <v>3954</v>
      </c>
      <c r="C11371" s="1902">
        <v>81.882000000000005</v>
      </c>
      <c r="D11371" s="3024">
        <v>114.18</v>
      </c>
      <c r="E11371" s="3091">
        <v>0.39444566571407624</v>
      </c>
      <c r="F11371" s="3092" t="s">
        <v>2024</v>
      </c>
      <c r="G11371" s="198"/>
      <c r="H11371" s="110" t="s">
        <v>3955</v>
      </c>
      <c r="L11371" s="74"/>
    </row>
    <row r="11372" spans="1:12" hidden="1" outlineLevel="1" x14ac:dyDescent="0.25">
      <c r="A11372" s="3090">
        <v>0.05</v>
      </c>
      <c r="B11372" s="2225" t="s">
        <v>5516</v>
      </c>
      <c r="C11372" s="1902">
        <v>1314.6</v>
      </c>
      <c r="D11372" s="3024">
        <v>2662.5</v>
      </c>
      <c r="E11372" s="3091">
        <v>1.0253308991328161</v>
      </c>
      <c r="F11372" s="3092" t="s">
        <v>2024</v>
      </c>
      <c r="G11372" s="198"/>
      <c r="H11372" s="110" t="s">
        <v>5514</v>
      </c>
      <c r="L11372" s="74"/>
    </row>
    <row r="11373" spans="1:12" hidden="1" outlineLevel="1" x14ac:dyDescent="0.25">
      <c r="A11373" s="3090">
        <v>0.08</v>
      </c>
      <c r="B11373" s="2965" t="s">
        <v>1231</v>
      </c>
      <c r="C11373" s="1902">
        <v>64.591999999999999</v>
      </c>
      <c r="D11373" s="3024">
        <v>89.21</v>
      </c>
      <c r="E11373" s="3091">
        <v>0.3811307901907357</v>
      </c>
      <c r="F11373" s="3092" t="s">
        <v>2024</v>
      </c>
      <c r="G11373" s="198"/>
      <c r="H11373" s="110" t="s">
        <v>2041</v>
      </c>
      <c r="L11373" s="74"/>
    </row>
    <row r="11374" spans="1:12" hidden="1" outlineLevel="1" x14ac:dyDescent="0.25">
      <c r="A11374" s="3090">
        <v>0.05</v>
      </c>
      <c r="B11374" s="1813" t="s">
        <v>3798</v>
      </c>
      <c r="C11374" s="1902">
        <v>3.16</v>
      </c>
      <c r="D11374" s="3024">
        <v>5.2949999999999999</v>
      </c>
      <c r="E11374" s="3091">
        <v>0.67563291139240489</v>
      </c>
      <c r="F11374" s="3092" t="s">
        <v>2024</v>
      </c>
      <c r="G11374" s="198"/>
      <c r="H11374" s="110" t="s">
        <v>4122</v>
      </c>
      <c r="L11374" s="74"/>
    </row>
    <row r="11375" spans="1:12" hidden="1" outlineLevel="1" x14ac:dyDescent="0.25">
      <c r="A11375" s="3090">
        <v>0.02</v>
      </c>
      <c r="B11375" s="2965" t="s">
        <v>3799</v>
      </c>
      <c r="C11375" s="1902">
        <v>1332.69</v>
      </c>
      <c r="D11375" s="3024">
        <v>1318</v>
      </c>
      <c r="E11375" s="3091">
        <v>-1.1022818509931032E-2</v>
      </c>
      <c r="F11375" s="3092" t="s">
        <v>2024</v>
      </c>
      <c r="G11375" s="198"/>
      <c r="H11375" s="110" t="s">
        <v>4128</v>
      </c>
      <c r="L11375" s="74"/>
    </row>
    <row r="11376" spans="1:12" hidden="1" outlineLevel="1" x14ac:dyDescent="0.25">
      <c r="A11376" s="3090">
        <v>0.02</v>
      </c>
      <c r="B11376" s="3050" t="s">
        <v>4034</v>
      </c>
      <c r="C11376" s="1902">
        <v>10.288500000000001</v>
      </c>
      <c r="D11376" s="3024">
        <v>16.97</v>
      </c>
      <c r="E11376" s="3091">
        <v>0.64941439471254281</v>
      </c>
      <c r="F11376" s="3092" t="s">
        <v>2024</v>
      </c>
      <c r="G11376" s="198"/>
      <c r="H11376" s="110" t="s">
        <v>8151</v>
      </c>
      <c r="L11376" s="74"/>
    </row>
    <row r="11377" spans="1:12" hidden="1" outlineLevel="1" x14ac:dyDescent="0.25">
      <c r="A11377" s="3090">
        <v>0.05</v>
      </c>
      <c r="B11377" s="1813" t="s">
        <v>2787</v>
      </c>
      <c r="C11377" s="1902">
        <v>57.88</v>
      </c>
      <c r="D11377" s="3024">
        <v>82.4</v>
      </c>
      <c r="E11377" s="3091">
        <v>0.42363510711817565</v>
      </c>
      <c r="F11377" s="3092" t="s">
        <v>2024</v>
      </c>
      <c r="G11377" s="198"/>
      <c r="H11377" s="110" t="s">
        <v>8874</v>
      </c>
      <c r="L11377" s="74"/>
    </row>
    <row r="11378" spans="1:12" hidden="1" outlineLevel="1" x14ac:dyDescent="0.25">
      <c r="A11378" s="3090">
        <v>0.04</v>
      </c>
      <c r="B11378" s="2965" t="s">
        <v>4273</v>
      </c>
      <c r="C11378" s="1902">
        <v>1231.5999999999999</v>
      </c>
      <c r="D11378" s="3024">
        <v>2798</v>
      </c>
      <c r="E11378" s="3091">
        <v>1.2718415069827866</v>
      </c>
      <c r="F11378" s="3092" t="s">
        <v>2024</v>
      </c>
      <c r="G11378" s="198"/>
      <c r="H11378" s="110" t="s">
        <v>82</v>
      </c>
      <c r="L11378" s="74"/>
    </row>
    <row r="11379" spans="1:12" hidden="1" outlineLevel="1" x14ac:dyDescent="0.25">
      <c r="A11379" s="3090">
        <v>0.04</v>
      </c>
      <c r="B11379" s="2965" t="s">
        <v>901</v>
      </c>
      <c r="C11379" s="1902">
        <v>17.280999999999999</v>
      </c>
      <c r="D11379" s="3024">
        <v>49.55</v>
      </c>
      <c r="E11379" s="3091">
        <v>1.867310919506973</v>
      </c>
      <c r="F11379" s="3092" t="s">
        <v>2024</v>
      </c>
      <c r="G11379" s="198"/>
      <c r="H11379" s="110" t="s">
        <v>531</v>
      </c>
      <c r="L11379" s="74"/>
    </row>
    <row r="11380" spans="1:12" hidden="1" outlineLevel="1" x14ac:dyDescent="0.25">
      <c r="A11380" s="3090">
        <v>0.08</v>
      </c>
      <c r="B11380" s="1813" t="s">
        <v>3800</v>
      </c>
      <c r="C11380" s="1902">
        <v>185.68</v>
      </c>
      <c r="D11380" s="3024">
        <v>229</v>
      </c>
      <c r="E11380" s="3091">
        <v>0.23330461008186121</v>
      </c>
      <c r="F11380" s="3092" t="s">
        <v>2024</v>
      </c>
      <c r="G11380" s="198"/>
      <c r="H11380" s="110" t="s">
        <v>8876</v>
      </c>
      <c r="L11380" s="74"/>
    </row>
    <row r="11381" spans="1:12" hidden="1" outlineLevel="1" x14ac:dyDescent="0.25">
      <c r="A11381" s="3090">
        <v>0.04</v>
      </c>
      <c r="B11381" s="3093" t="s">
        <v>5519</v>
      </c>
      <c r="C11381" s="3094">
        <v>350.98</v>
      </c>
      <c r="D11381" s="3095">
        <v>229.1</v>
      </c>
      <c r="E11381" s="3096">
        <v>-0.34725625391760218</v>
      </c>
      <c r="F11381" s="3097" t="s">
        <v>7602</v>
      </c>
      <c r="G11381" s="198"/>
      <c r="H11381" s="110" t="s">
        <v>5517</v>
      </c>
      <c r="L11381" s="74"/>
    </row>
    <row r="11382" spans="1:12" hidden="1" outlineLevel="1" x14ac:dyDescent="0.25">
      <c r="A11382" s="3090">
        <v>0.04</v>
      </c>
      <c r="B11382" s="1813" t="s">
        <v>4460</v>
      </c>
      <c r="C11382" s="1902">
        <v>1593</v>
      </c>
      <c r="D11382" s="3024">
        <v>2144</v>
      </c>
      <c r="E11382" s="3091">
        <v>0.34588826114249849</v>
      </c>
      <c r="F11382" s="3092" t="s">
        <v>2024</v>
      </c>
      <c r="G11382" s="198"/>
      <c r="H11382" s="110" t="s">
        <v>3485</v>
      </c>
      <c r="L11382" s="74"/>
    </row>
    <row r="11383" spans="1:12" hidden="1" outlineLevel="1" x14ac:dyDescent="0.25">
      <c r="A11383" s="3090">
        <v>0.05</v>
      </c>
      <c r="B11383" s="2225" t="s">
        <v>5168</v>
      </c>
      <c r="C11383" s="1902">
        <v>1091.5999999999999</v>
      </c>
      <c r="D11383" s="3024">
        <v>1658.5</v>
      </c>
      <c r="E11383" s="3091">
        <v>0.51932942469769161</v>
      </c>
      <c r="F11383" s="3092" t="s">
        <v>2024</v>
      </c>
      <c r="G11383" s="198"/>
      <c r="H11383" s="110" t="s">
        <v>5170</v>
      </c>
      <c r="L11383" s="74"/>
    </row>
    <row r="11384" spans="1:12" hidden="1" outlineLevel="1" x14ac:dyDescent="0.25">
      <c r="A11384" s="3090">
        <v>0.08</v>
      </c>
      <c r="B11384" s="1813" t="s">
        <v>1239</v>
      </c>
      <c r="C11384" s="1902">
        <v>396.34</v>
      </c>
      <c r="D11384" s="3024">
        <v>507.5</v>
      </c>
      <c r="E11384" s="3091">
        <v>0.28046626633698346</v>
      </c>
      <c r="F11384" s="3092" t="s">
        <v>2024</v>
      </c>
      <c r="G11384" s="198"/>
      <c r="H11384" s="110" t="s">
        <v>8891</v>
      </c>
      <c r="L11384" s="74"/>
    </row>
    <row r="11385" spans="1:12" hidden="1" outlineLevel="1" x14ac:dyDescent="0.25">
      <c r="A11385" s="3090">
        <v>0.03</v>
      </c>
      <c r="B11385" s="2225" t="s">
        <v>5522</v>
      </c>
      <c r="C11385" s="1902">
        <v>36.310499999999998</v>
      </c>
      <c r="D11385" s="3024">
        <v>42.55</v>
      </c>
      <c r="E11385" s="3091">
        <v>0.17183734732377687</v>
      </c>
      <c r="F11385" s="3092" t="s">
        <v>2024</v>
      </c>
      <c r="G11385" s="198"/>
      <c r="H11385" s="110" t="s">
        <v>5520</v>
      </c>
      <c r="L11385" s="74"/>
    </row>
    <row r="11386" spans="1:12" hidden="1" outlineLevel="1" x14ac:dyDescent="0.25">
      <c r="A11386" s="3098">
        <v>0.04</v>
      </c>
      <c r="B11386" s="3099" t="s">
        <v>5174</v>
      </c>
      <c r="C11386" s="3100">
        <v>263.66000000000003</v>
      </c>
      <c r="D11386" s="3101">
        <v>210.8</v>
      </c>
      <c r="E11386" s="3102">
        <v>-0.20048547371614966</v>
      </c>
      <c r="F11386" s="3103" t="s">
        <v>7602</v>
      </c>
      <c r="G11386" s="198"/>
      <c r="H11386" s="110" t="s">
        <v>5172</v>
      </c>
      <c r="L11386" s="74"/>
    </row>
    <row r="11387" spans="1:12" hidden="1" outlineLevel="1" x14ac:dyDescent="0.25">
      <c r="A11387" s="2646"/>
      <c r="B11387" s="1813"/>
      <c r="C11387" s="3069"/>
      <c r="D11387" s="2382"/>
      <c r="E11387" s="2695">
        <v>0.48287024501168269</v>
      </c>
      <c r="F11387" s="3086"/>
      <c r="G11387" s="97"/>
      <c r="H11387" s="417" t="s">
        <v>6670</v>
      </c>
      <c r="I11387" s="488" t="s">
        <v>6674</v>
      </c>
    </row>
    <row r="11388" spans="1:12" hidden="1" outlineLevel="1" x14ac:dyDescent="0.25">
      <c r="A11388" s="3104" t="s">
        <v>5509</v>
      </c>
      <c r="B11388" s="1813"/>
      <c r="C11388" s="3069"/>
      <c r="D11388" s="2382"/>
      <c r="E11388" s="2695"/>
      <c r="F11388" s="3086">
        <v>3.2000000000000001E-2</v>
      </c>
      <c r="G11388" s="97"/>
      <c r="H11388" s="478">
        <v>3.2000000000000001E-2</v>
      </c>
      <c r="I11388" s="520">
        <v>1.5</v>
      </c>
    </row>
    <row r="11389" spans="1:12" hidden="1" outlineLevel="1" x14ac:dyDescent="0.25">
      <c r="A11389" s="3104" t="s">
        <v>5510</v>
      </c>
      <c r="B11389" s="1813" t="s">
        <v>7601</v>
      </c>
      <c r="C11389" s="3069"/>
      <c r="D11389" s="2382"/>
      <c r="E11389" s="2695" t="s">
        <v>6672</v>
      </c>
      <c r="F11389" s="3086">
        <v>2.1333333333333333E-2</v>
      </c>
      <c r="G11389" s="97"/>
      <c r="H11389" s="478">
        <v>2.1333333333333333E-2</v>
      </c>
      <c r="I11389" s="81" t="s">
        <v>6672</v>
      </c>
    </row>
    <row r="11390" spans="1:12" hidden="1" outlineLevel="1" x14ac:dyDescent="0.25">
      <c r="A11390" s="3104" t="s">
        <v>5511</v>
      </c>
      <c r="B11390" s="1813" t="s">
        <v>7603</v>
      </c>
      <c r="C11390" s="3069"/>
      <c r="D11390" s="2382"/>
      <c r="E11390" s="2695" t="s">
        <v>6672</v>
      </c>
      <c r="F11390" s="3086">
        <v>1.4222222222222221E-2</v>
      </c>
      <c r="G11390" s="97"/>
      <c r="H11390" s="478">
        <v>1.4222222222222221E-2</v>
      </c>
      <c r="I11390" s="81" t="s">
        <v>6673</v>
      </c>
    </row>
    <row r="11391" spans="1:12" hidden="1" outlineLevel="1" x14ac:dyDescent="0.25">
      <c r="A11391" s="3104" t="s">
        <v>5512</v>
      </c>
      <c r="B11391" s="1813"/>
      <c r="C11391" s="3069"/>
      <c r="D11391" s="2382"/>
      <c r="E11391" s="2695"/>
      <c r="F11391" s="3086">
        <v>2.1299999999999999E-2</v>
      </c>
      <c r="G11391" s="97"/>
      <c r="H11391" s="478">
        <v>2.1299999999999999E-2</v>
      </c>
    </row>
    <row r="11392" spans="1:12" hidden="1" outlineLevel="1" x14ac:dyDescent="0.25">
      <c r="A11392" s="3104" t="s">
        <v>5513</v>
      </c>
      <c r="B11392" s="1813"/>
      <c r="C11392" s="3069"/>
      <c r="D11392" s="3069"/>
      <c r="E11392" s="2695"/>
      <c r="F11392" s="3086">
        <v>3.2000000000000001E-2</v>
      </c>
      <c r="G11392" s="97"/>
      <c r="H11392" s="478">
        <v>3.2000000000000001E-2</v>
      </c>
    </row>
    <row r="11393" spans="1:15" collapsed="1" x14ac:dyDescent="0.25">
      <c r="A11393" s="3801" t="s">
        <v>5508</v>
      </c>
      <c r="B11393" s="3802"/>
      <c r="C11393" s="3802"/>
      <c r="D11393" s="3802"/>
      <c r="E11393" s="3087"/>
      <c r="F11393" s="3068">
        <v>0.12085555555555555</v>
      </c>
      <c r="G11393" s="97"/>
      <c r="H11393" s="517">
        <v>0.12085555555555555</v>
      </c>
      <c r="O11393" s="414"/>
    </row>
    <row r="11395" spans="1:15" hidden="1" outlineLevel="1" x14ac:dyDescent="0.25">
      <c r="A11395" s="689" t="s">
        <v>113</v>
      </c>
      <c r="B11395" s="689" t="s">
        <v>114</v>
      </c>
      <c r="C11395" s="689" t="s">
        <v>112</v>
      </c>
      <c r="D11395" s="689" t="s">
        <v>116</v>
      </c>
      <c r="E11395" s="689" t="s">
        <v>117</v>
      </c>
      <c r="F11395" s="1188" t="s">
        <v>121</v>
      </c>
      <c r="G11395" s="78"/>
    </row>
    <row r="11396" spans="1:15" hidden="1" outlineLevel="1" x14ac:dyDescent="0.25">
      <c r="A11396" s="695">
        <v>5</v>
      </c>
      <c r="B11396" s="695"/>
      <c r="C11396" s="696"/>
      <c r="D11396" s="697" t="s">
        <v>3702</v>
      </c>
      <c r="E11396" s="698">
        <v>43220</v>
      </c>
      <c r="F11396" s="856"/>
      <c r="G11396" s="78"/>
    </row>
    <row r="11397" spans="1:15" hidden="1" outlineLevel="1" x14ac:dyDescent="0.25">
      <c r="A11397" s="689" t="s">
        <v>4156</v>
      </c>
      <c r="B11397" s="689" t="s">
        <v>4153</v>
      </c>
      <c r="C11397" s="497" t="s">
        <v>112</v>
      </c>
      <c r="D11397" s="689" t="s">
        <v>4155</v>
      </c>
      <c r="E11397" s="689" t="s">
        <v>4154</v>
      </c>
      <c r="F11397" s="1188" t="s">
        <v>734</v>
      </c>
      <c r="G11397" s="78"/>
    </row>
    <row r="11398" spans="1:15" hidden="1" outlineLevel="1" x14ac:dyDescent="0.25">
      <c r="A11398" s="1237">
        <v>0.05</v>
      </c>
      <c r="B11398" t="s">
        <v>1993</v>
      </c>
      <c r="C11398" s="851">
        <v>32.531999999999996</v>
      </c>
      <c r="D11398" s="908">
        <v>56.11</v>
      </c>
      <c r="E11398" s="896">
        <v>0.72476330997172034</v>
      </c>
      <c r="F11398" s="946">
        <v>0.06</v>
      </c>
      <c r="G11398" s="78"/>
      <c r="H11398" t="s">
        <v>2812</v>
      </c>
    </row>
    <row r="11399" spans="1:15" hidden="1" outlineLevel="1" x14ac:dyDescent="0.25">
      <c r="A11399" s="1237">
        <v>0.02</v>
      </c>
      <c r="B11399" t="s">
        <v>2942</v>
      </c>
      <c r="C11399" s="851">
        <v>844.8</v>
      </c>
      <c r="D11399" s="908">
        <v>1605.5</v>
      </c>
      <c r="E11399" s="896">
        <v>0.90044981060606077</v>
      </c>
      <c r="F11399" s="946">
        <v>0.06</v>
      </c>
      <c r="G11399" s="78"/>
      <c r="H11399" t="s">
        <v>2336</v>
      </c>
    </row>
    <row r="11400" spans="1:15" hidden="1" outlineLevel="1" x14ac:dyDescent="0.25">
      <c r="A11400" s="1237">
        <v>0.02</v>
      </c>
      <c r="B11400" s="1319" t="s">
        <v>805</v>
      </c>
      <c r="C11400" s="851">
        <v>62.148000000000003</v>
      </c>
      <c r="D11400" s="908">
        <v>97.51</v>
      </c>
      <c r="E11400" s="896">
        <v>0.56899658878805437</v>
      </c>
      <c r="F11400" s="946">
        <v>0.06</v>
      </c>
      <c r="G11400" s="78"/>
      <c r="H11400" t="s">
        <v>806</v>
      </c>
    </row>
    <row r="11401" spans="1:15" hidden="1" outlineLevel="1" x14ac:dyDescent="0.25">
      <c r="A11401" s="1237">
        <v>0.02</v>
      </c>
      <c r="B11401" s="706" t="s">
        <v>807</v>
      </c>
      <c r="C11401" s="851">
        <v>42.158000000000001</v>
      </c>
      <c r="D11401" s="908">
        <v>54.49</v>
      </c>
      <c r="E11401" s="896">
        <v>0.29251862042791399</v>
      </c>
      <c r="F11401" s="946">
        <v>0.06</v>
      </c>
      <c r="G11401" s="78"/>
      <c r="H11401" t="s">
        <v>808</v>
      </c>
    </row>
    <row r="11402" spans="1:15" hidden="1" outlineLevel="1" x14ac:dyDescent="0.25">
      <c r="A11402" s="1237">
        <v>0.02</v>
      </c>
      <c r="B11402" s="695" t="s">
        <v>3954</v>
      </c>
      <c r="C11402" s="851">
        <v>81.736000000000004</v>
      </c>
      <c r="D11402" s="908">
        <v>111.83</v>
      </c>
      <c r="E11402" s="896">
        <v>0.36818537731232248</v>
      </c>
      <c r="F11402" s="946">
        <v>0.06</v>
      </c>
      <c r="G11402" s="78"/>
      <c r="H11402" t="s">
        <v>3955</v>
      </c>
    </row>
    <row r="11403" spans="1:15" hidden="1" outlineLevel="1" x14ac:dyDescent="0.25">
      <c r="A11403" s="1237">
        <v>0.02</v>
      </c>
      <c r="B11403" s="695" t="s">
        <v>5194</v>
      </c>
      <c r="C11403" s="851">
        <v>27.208500000000001</v>
      </c>
      <c r="D11403" s="908">
        <v>37.07</v>
      </c>
      <c r="E11403" s="896">
        <v>0.36244188397008292</v>
      </c>
      <c r="F11403" s="946">
        <v>0.06</v>
      </c>
      <c r="G11403" s="78"/>
      <c r="H11403" t="s">
        <v>5192</v>
      </c>
    </row>
    <row r="11404" spans="1:15" hidden="1" outlineLevel="1" x14ac:dyDescent="0.25">
      <c r="A11404" s="1237">
        <v>0.02</v>
      </c>
      <c r="B11404" s="710" t="s">
        <v>1319</v>
      </c>
      <c r="C11404" s="851">
        <v>55.975999999999999</v>
      </c>
      <c r="D11404" s="908">
        <v>80.13</v>
      </c>
      <c r="E11404" s="896">
        <v>0.43150635986851493</v>
      </c>
      <c r="F11404" s="946">
        <v>0.06</v>
      </c>
      <c r="G11404" s="78"/>
      <c r="H11404" t="s">
        <v>1320</v>
      </c>
    </row>
    <row r="11405" spans="1:15" hidden="1" outlineLevel="1" x14ac:dyDescent="0.25">
      <c r="A11405" s="1237">
        <v>0.05</v>
      </c>
      <c r="B11405" s="710" t="s">
        <v>1231</v>
      </c>
      <c r="C11405" s="851">
        <v>65.272000000000006</v>
      </c>
      <c r="D11405" s="908">
        <v>80.16</v>
      </c>
      <c r="E11405" s="896">
        <v>0.22809167790170348</v>
      </c>
      <c r="F11405" s="946">
        <v>0.06</v>
      </c>
      <c r="G11405" s="78"/>
      <c r="H11405" t="s">
        <v>2041</v>
      </c>
    </row>
    <row r="11406" spans="1:15" hidden="1" outlineLevel="1" x14ac:dyDescent="0.25">
      <c r="A11406" s="1237">
        <v>0.02</v>
      </c>
      <c r="B11406" t="s">
        <v>5232</v>
      </c>
      <c r="C11406" s="851">
        <v>63.043999999999997</v>
      </c>
      <c r="D11406" s="908">
        <v>81.59</v>
      </c>
      <c r="E11406" s="896">
        <v>0.29417549647865004</v>
      </c>
      <c r="F11406" s="946">
        <v>0.06</v>
      </c>
      <c r="G11406" s="78"/>
      <c r="H11406" t="s">
        <v>5230</v>
      </c>
    </row>
    <row r="11407" spans="1:15" hidden="1" outlineLevel="1" x14ac:dyDescent="0.25">
      <c r="A11407" s="1237">
        <v>0.04</v>
      </c>
      <c r="B11407" s="853" t="s">
        <v>5489</v>
      </c>
      <c r="C11407" s="851">
        <v>41.13</v>
      </c>
      <c r="D11407" s="908">
        <v>43.74</v>
      </c>
      <c r="E11407" s="896">
        <v>6.3457330415754853E-2</v>
      </c>
      <c r="F11407" s="946">
        <v>0.06</v>
      </c>
      <c r="G11407" s="78"/>
      <c r="H11407" t="s">
        <v>5487</v>
      </c>
    </row>
    <row r="11408" spans="1:15" hidden="1" outlineLevel="1" x14ac:dyDescent="0.25">
      <c r="A11408" s="1237">
        <v>0.02</v>
      </c>
      <c r="B11408" s="853" t="s">
        <v>3799</v>
      </c>
      <c r="C11408" s="851">
        <v>1377.4</v>
      </c>
      <c r="D11408" s="908">
        <v>1461.4</v>
      </c>
      <c r="E11408" s="896">
        <v>6.0984463481922546E-2</v>
      </c>
      <c r="F11408" s="946">
        <v>0.06</v>
      </c>
      <c r="G11408" s="78"/>
      <c r="H11408" t="s">
        <v>4128</v>
      </c>
    </row>
    <row r="11409" spans="1:8" hidden="1" outlineLevel="1" x14ac:dyDescent="0.25">
      <c r="A11409" s="1237">
        <v>0.02</v>
      </c>
      <c r="B11409" s="853" t="s">
        <v>3426</v>
      </c>
      <c r="C11409" s="851">
        <v>72.048000000000002</v>
      </c>
      <c r="D11409" s="908">
        <v>126.49</v>
      </c>
      <c r="E11409" s="896">
        <v>0.75563513213413258</v>
      </c>
      <c r="F11409" s="946">
        <v>0.06</v>
      </c>
      <c r="G11409" s="78"/>
      <c r="H11409" t="s">
        <v>4145</v>
      </c>
    </row>
    <row r="11410" spans="1:8" hidden="1" outlineLevel="1" x14ac:dyDescent="0.25">
      <c r="A11410" s="1237">
        <v>0.02</v>
      </c>
      <c r="B11410" s="712" t="s">
        <v>1381</v>
      </c>
      <c r="C11410" s="851">
        <v>81.339200000000005</v>
      </c>
      <c r="D11410" s="908">
        <v>103.54</v>
      </c>
      <c r="E11410" s="896">
        <v>0.27294096819245817</v>
      </c>
      <c r="F11410" s="946">
        <v>0.06</v>
      </c>
      <c r="G11410" s="78"/>
      <c r="H11410" t="s">
        <v>1383</v>
      </c>
    </row>
    <row r="11411" spans="1:8" hidden="1" outlineLevel="1" x14ac:dyDescent="0.25">
      <c r="A11411" s="1237">
        <v>0.04</v>
      </c>
      <c r="B11411" s="853" t="s">
        <v>2786</v>
      </c>
      <c r="C11411" s="851">
        <v>687.9</v>
      </c>
      <c r="D11411" s="908">
        <v>842.8</v>
      </c>
      <c r="E11411" s="896">
        <v>0.22517807820904201</v>
      </c>
      <c r="F11411" s="946">
        <v>0.06</v>
      </c>
      <c r="G11411" s="78"/>
      <c r="H11411" t="s">
        <v>4195</v>
      </c>
    </row>
    <row r="11412" spans="1:8" hidden="1" outlineLevel="1" x14ac:dyDescent="0.25">
      <c r="A11412" s="1237">
        <v>0.05</v>
      </c>
      <c r="B11412" t="s">
        <v>2787</v>
      </c>
      <c r="C11412" s="851">
        <v>59.75</v>
      </c>
      <c r="D11412" s="908">
        <v>76.7</v>
      </c>
      <c r="E11412" s="896">
        <v>0.28368200836820079</v>
      </c>
      <c r="F11412" s="946">
        <v>0.06</v>
      </c>
      <c r="G11412" s="78"/>
      <c r="H11412" t="s">
        <v>8874</v>
      </c>
    </row>
    <row r="11413" spans="1:8" hidden="1" outlineLevel="1" x14ac:dyDescent="0.25">
      <c r="A11413" s="1237">
        <v>7.0000000000000007E-2</v>
      </c>
      <c r="B11413" t="s">
        <v>4273</v>
      </c>
      <c r="C11413" s="851">
        <v>1277</v>
      </c>
      <c r="D11413" s="908">
        <v>2835</v>
      </c>
      <c r="E11413" s="896">
        <v>1.2200469851213782</v>
      </c>
      <c r="F11413" s="946">
        <v>0.06</v>
      </c>
      <c r="G11413" s="78"/>
      <c r="H11413" t="s">
        <v>82</v>
      </c>
    </row>
    <row r="11414" spans="1:8" hidden="1" outlineLevel="1" x14ac:dyDescent="0.25">
      <c r="A11414" s="1237">
        <v>7.0000000000000007E-2</v>
      </c>
      <c r="B11414" s="712" t="s">
        <v>901</v>
      </c>
      <c r="C11414" s="851">
        <v>17.471399999999999</v>
      </c>
      <c r="D11414" s="908">
        <v>39.99</v>
      </c>
      <c r="E11414" s="896">
        <v>1.2888835468250974</v>
      </c>
      <c r="F11414" s="946">
        <v>0.06</v>
      </c>
      <c r="G11414" s="78"/>
      <c r="H11414" t="s">
        <v>531</v>
      </c>
    </row>
    <row r="11415" spans="1:8" hidden="1" outlineLevel="1" x14ac:dyDescent="0.25">
      <c r="A11415" s="1237">
        <v>7.0000000000000007E-2</v>
      </c>
      <c r="B11415" s="853" t="s">
        <v>3800</v>
      </c>
      <c r="C11415" s="851">
        <v>193.42</v>
      </c>
      <c r="D11415" s="908">
        <v>220.85</v>
      </c>
      <c r="E11415" s="896">
        <v>0.14181573777272272</v>
      </c>
      <c r="F11415" s="946">
        <v>0.06</v>
      </c>
      <c r="G11415" s="78"/>
      <c r="H11415" t="s">
        <v>8876</v>
      </c>
    </row>
    <row r="11416" spans="1:8" hidden="1" outlineLevel="1" x14ac:dyDescent="0.25">
      <c r="A11416" s="1237">
        <v>0.02</v>
      </c>
      <c r="B11416" s="853" t="s">
        <v>3427</v>
      </c>
      <c r="C11416" s="851">
        <v>43.152000000000001</v>
      </c>
      <c r="D11416" s="908">
        <v>46.12</v>
      </c>
      <c r="E11416" s="896">
        <v>6.8780126065999259E-2</v>
      </c>
      <c r="F11416" s="946">
        <v>0.06</v>
      </c>
      <c r="G11416" s="78"/>
      <c r="H11416" t="s">
        <v>2800</v>
      </c>
    </row>
    <row r="11417" spans="1:8" hidden="1" outlineLevel="1" x14ac:dyDescent="0.25">
      <c r="A11417" s="1237">
        <v>0.04</v>
      </c>
      <c r="B11417" s="712" t="s">
        <v>1857</v>
      </c>
      <c r="C11417" s="851">
        <v>1451.2</v>
      </c>
      <c r="D11417" s="908">
        <v>1381</v>
      </c>
      <c r="E11417" s="896">
        <v>-4.8373759647188597E-2</v>
      </c>
      <c r="F11417" s="946">
        <v>-4.8373759647188597E-2</v>
      </c>
      <c r="G11417" s="78"/>
      <c r="H11417" t="s">
        <v>3559</v>
      </c>
    </row>
    <row r="11418" spans="1:8" hidden="1" outlineLevel="1" x14ac:dyDescent="0.25">
      <c r="A11418" s="1237">
        <v>7.0000000000000007E-2</v>
      </c>
      <c r="B11418" s="712" t="s">
        <v>1239</v>
      </c>
      <c r="C11418" s="851">
        <v>407.76</v>
      </c>
      <c r="D11418" s="908">
        <v>477</v>
      </c>
      <c r="E11418" s="896">
        <v>0.16980576809888182</v>
      </c>
      <c r="F11418" s="946">
        <v>0.06</v>
      </c>
      <c r="G11418" s="78"/>
      <c r="H11418" t="s">
        <v>8891</v>
      </c>
    </row>
    <row r="11419" spans="1:8" hidden="1" outlineLevel="1" x14ac:dyDescent="0.25">
      <c r="A11419" s="1237">
        <v>7.0000000000000007E-2</v>
      </c>
      <c r="B11419" t="s">
        <v>3022</v>
      </c>
      <c r="C11419" s="851">
        <v>4164</v>
      </c>
      <c r="D11419" s="908">
        <v>4621</v>
      </c>
      <c r="E11419" s="896">
        <v>0.10975024015369828</v>
      </c>
      <c r="F11419" s="946">
        <v>0.06</v>
      </c>
      <c r="G11419" s="78"/>
      <c r="H11419" t="s">
        <v>2802</v>
      </c>
    </row>
    <row r="11420" spans="1:8" hidden="1" outlineLevel="1" x14ac:dyDescent="0.25">
      <c r="A11420" s="1237">
        <v>0.02</v>
      </c>
      <c r="B11420" t="s">
        <v>5503</v>
      </c>
      <c r="C11420" s="851">
        <v>771.9</v>
      </c>
      <c r="D11420" s="908">
        <v>574.6</v>
      </c>
      <c r="E11420" s="896">
        <v>-0.25560305739085365</v>
      </c>
      <c r="F11420" s="946">
        <v>-0.25560305739085365</v>
      </c>
      <c r="G11420" s="78"/>
      <c r="H11420" t="s">
        <v>5501</v>
      </c>
    </row>
    <row r="11421" spans="1:8" hidden="1" outlineLevel="1" x14ac:dyDescent="0.25">
      <c r="A11421" s="1237">
        <v>0.02</v>
      </c>
      <c r="B11421" s="712" t="s">
        <v>434</v>
      </c>
      <c r="C11421" s="851">
        <v>45.576000000000001</v>
      </c>
      <c r="D11421" s="908">
        <v>43.18</v>
      </c>
      <c r="E11421" s="896">
        <v>-5.2571528874846396E-2</v>
      </c>
      <c r="F11421" s="946">
        <v>-5.2571528874846396E-2</v>
      </c>
      <c r="G11421" s="78"/>
      <c r="H11421" t="s">
        <v>7745</v>
      </c>
    </row>
    <row r="11422" spans="1:8" hidden="1" outlineLevel="1" x14ac:dyDescent="0.25">
      <c r="A11422" s="1237">
        <v>0.02</v>
      </c>
      <c r="B11422" s="712" t="s">
        <v>3665</v>
      </c>
      <c r="C11422" s="851">
        <v>32.316000000000003</v>
      </c>
      <c r="D11422" s="908">
        <v>45.95</v>
      </c>
      <c r="E11422" s="896">
        <v>0.42189627429137277</v>
      </c>
      <c r="F11422" s="946">
        <v>0.06</v>
      </c>
      <c r="G11422" s="78"/>
      <c r="H11422" t="s">
        <v>7021</v>
      </c>
    </row>
    <row r="11423" spans="1:8" hidden="1" outlineLevel="1" x14ac:dyDescent="0.25">
      <c r="A11423" s="1237">
        <v>0.02</v>
      </c>
      <c r="B11423" s="987" t="s">
        <v>5534</v>
      </c>
      <c r="C11423" s="851">
        <v>6.0744999999999996</v>
      </c>
      <c r="D11423" s="908">
        <v>11.6</v>
      </c>
      <c r="E11423" s="896">
        <v>0.90962219112684184</v>
      </c>
      <c r="F11423" s="946">
        <v>0.06</v>
      </c>
      <c r="G11423" s="78"/>
      <c r="H11423" t="s">
        <v>5532</v>
      </c>
    </row>
    <row r="11424" spans="1:8" hidden="1" outlineLevel="1" x14ac:dyDescent="0.25">
      <c r="A11424" s="1237">
        <v>0.02</v>
      </c>
      <c r="B11424" s="853" t="s">
        <v>255</v>
      </c>
      <c r="C11424" s="851">
        <v>43.116</v>
      </c>
      <c r="D11424" s="908">
        <v>49.35</v>
      </c>
      <c r="E11424" s="896">
        <v>0.14458669635402166</v>
      </c>
      <c r="F11424" s="946">
        <v>0.06</v>
      </c>
      <c r="G11424" s="78"/>
      <c r="H11424" t="s">
        <v>3351</v>
      </c>
    </row>
    <row r="11425" spans="1:8" hidden="1" outlineLevel="1" x14ac:dyDescent="0.25">
      <c r="A11425" s="1237">
        <v>0.02</v>
      </c>
      <c r="B11425" t="s">
        <v>5522</v>
      </c>
      <c r="C11425" s="851">
        <v>36.9831</v>
      </c>
      <c r="D11425" s="908">
        <v>43.77</v>
      </c>
      <c r="E11425" s="896">
        <v>0.18351355078400688</v>
      </c>
      <c r="F11425" s="946">
        <v>0.06</v>
      </c>
      <c r="G11425" s="78"/>
      <c r="H11425" t="s">
        <v>5520</v>
      </c>
    </row>
    <row r="11426" spans="1:8" hidden="1" outlineLevel="1" x14ac:dyDescent="0.25">
      <c r="A11426" s="1237">
        <v>0.02</v>
      </c>
      <c r="B11426" s="987" t="s">
        <v>5537</v>
      </c>
      <c r="C11426" s="851">
        <v>29.95</v>
      </c>
      <c r="D11426" s="908">
        <v>27.86</v>
      </c>
      <c r="E11426" s="896">
        <v>-6.9782971619365641E-2</v>
      </c>
      <c r="F11426" s="946">
        <v>-6.9782971619365641E-2</v>
      </c>
      <c r="G11426" s="78"/>
      <c r="H11426" t="s">
        <v>5535</v>
      </c>
    </row>
    <row r="11427" spans="1:8" hidden="1" outlineLevel="1" x14ac:dyDescent="0.25">
      <c r="A11427" s="1237">
        <v>0.02</v>
      </c>
      <c r="B11427" s="1338" t="s">
        <v>2874</v>
      </c>
      <c r="C11427" s="851">
        <v>27.161999999999999</v>
      </c>
      <c r="D11427" s="908">
        <v>46.84</v>
      </c>
      <c r="E11427" s="896">
        <v>0.72446800677417</v>
      </c>
      <c r="F11427" s="946">
        <v>0.06</v>
      </c>
      <c r="G11427" s="78"/>
      <c r="H11427" t="s">
        <v>9060</v>
      </c>
    </row>
    <row r="11428" spans="1:8" hidden="1" outlineLevel="1" x14ac:dyDescent="0.25">
      <c r="A11428" s="1232" t="s">
        <v>2465</v>
      </c>
      <c r="B11428" s="1471"/>
      <c r="C11428" s="1472"/>
      <c r="D11428" s="1227"/>
      <c r="E11428">
        <v>0.40421335500463929</v>
      </c>
      <c r="F11428" s="1872">
        <v>4.4505898456411147E-2</v>
      </c>
      <c r="G11428" s="78"/>
    </row>
    <row r="11429" spans="1:8" hidden="1" outlineLevel="1" x14ac:dyDescent="0.25">
      <c r="A11429" s="690"/>
      <c r="B11429" s="691"/>
      <c r="C11429" s="691"/>
      <c r="D11429" s="691"/>
      <c r="E11429" s="691"/>
      <c r="F11429" s="1830"/>
      <c r="G11429" s="78"/>
    </row>
    <row r="11430" spans="1:8" hidden="1" outlineLevel="1" x14ac:dyDescent="0.25">
      <c r="A11430" s="725" t="s">
        <v>113</v>
      </c>
      <c r="B11430" s="725"/>
      <c r="C11430" s="1019"/>
      <c r="D11430" s="1019"/>
      <c r="E11430" s="729"/>
      <c r="F11430" s="1188"/>
      <c r="G11430" s="78"/>
    </row>
    <row r="11431" spans="1:8" hidden="1" outlineLevel="1" x14ac:dyDescent="0.25">
      <c r="A11431" s="753" t="s">
        <v>5527</v>
      </c>
      <c r="B11431" s="690"/>
      <c r="C11431" s="691"/>
      <c r="D11431" s="691"/>
      <c r="E11431" s="1024"/>
      <c r="F11431" s="1021">
        <v>0.03</v>
      </c>
      <c r="G11431" s="78"/>
    </row>
    <row r="11432" spans="1:8" hidden="1" outlineLevel="1" x14ac:dyDescent="0.25">
      <c r="A11432" s="753" t="s">
        <v>5528</v>
      </c>
      <c r="B11432" s="706"/>
      <c r="C11432" s="695"/>
      <c r="D11432" s="695"/>
      <c r="E11432" s="1026"/>
      <c r="F11432" s="946">
        <v>5.4664999999999964E-2</v>
      </c>
      <c r="G11432" s="78"/>
    </row>
    <row r="11433" spans="1:8" hidden="1" outlineLevel="1" x14ac:dyDescent="0.25">
      <c r="A11433" s="753" t="s">
        <v>5529</v>
      </c>
      <c r="B11433" s="706"/>
      <c r="C11433" s="695"/>
      <c r="D11433" s="695"/>
      <c r="E11433" s="1026"/>
      <c r="F11433" s="946">
        <v>4.1998999999999995E-2</v>
      </c>
      <c r="G11433" s="78"/>
    </row>
    <row r="11434" spans="1:8" hidden="1" outlineLevel="1" x14ac:dyDescent="0.25">
      <c r="A11434" s="753" t="s">
        <v>5530</v>
      </c>
      <c r="B11434" s="706"/>
      <c r="C11434" s="695"/>
      <c r="D11434" s="695"/>
      <c r="E11434" s="1026"/>
      <c r="F11434" s="946">
        <v>4.6899999999999997E-2</v>
      </c>
      <c r="G11434" s="78"/>
    </row>
    <row r="11435" spans="1:8" hidden="1" outlineLevel="1" x14ac:dyDescent="0.25">
      <c r="A11435" s="753" t="s">
        <v>5531</v>
      </c>
      <c r="B11435" s="713"/>
      <c r="C11435" s="726"/>
      <c r="D11435" s="726"/>
      <c r="E11435" s="1321"/>
      <c r="F11435" s="1023">
        <v>4.5499999999999999E-2</v>
      </c>
      <c r="G11435" s="78"/>
    </row>
    <row r="11436" spans="1:8" collapsed="1" x14ac:dyDescent="0.25">
      <c r="A11436" s="3803" t="s">
        <v>5526</v>
      </c>
      <c r="B11436" s="3804"/>
      <c r="C11436" s="3804"/>
      <c r="D11436" s="1891"/>
      <c r="E11436" s="1891"/>
      <c r="F11436" s="1893">
        <v>0.21906399999999993</v>
      </c>
      <c r="G11436" s="78"/>
    </row>
    <row r="11438" spans="1:8" hidden="1" outlineLevel="1" x14ac:dyDescent="0.25">
      <c r="A11438" s="15" t="s">
        <v>113</v>
      </c>
      <c r="B11438" s="15" t="s">
        <v>114</v>
      </c>
      <c r="C11438" s="15" t="s">
        <v>112</v>
      </c>
      <c r="D11438" s="15" t="s">
        <v>116</v>
      </c>
      <c r="E11438" s="15" t="s">
        <v>117</v>
      </c>
      <c r="F11438" s="1882" t="s">
        <v>121</v>
      </c>
    </row>
    <row r="11439" spans="1:8" hidden="1" outlineLevel="1" x14ac:dyDescent="0.25">
      <c r="A11439" s="4">
        <v>1</v>
      </c>
      <c r="B11439" s="5" t="s">
        <v>252</v>
      </c>
      <c r="C11439" s="6">
        <v>100</v>
      </c>
      <c r="D11439" s="6"/>
      <c r="E11439" s="9"/>
      <c r="F11439" s="10"/>
    </row>
    <row r="11440" spans="1:8" hidden="1" outlineLevel="1" x14ac:dyDescent="0.25">
      <c r="A11440" s="21"/>
      <c r="B11440" s="21"/>
      <c r="C11440" s="11"/>
      <c r="D11440" s="32" t="s">
        <v>3702</v>
      </c>
      <c r="E11440" s="33">
        <f>indexy!$B$2</f>
        <v>45379</v>
      </c>
      <c r="F11440" s="200"/>
    </row>
    <row r="11441" spans="1:32" hidden="1" outlineLevel="1" x14ac:dyDescent="0.25">
      <c r="A11441" s="899" t="s">
        <v>4156</v>
      </c>
      <c r="B11441" s="899" t="s">
        <v>4153</v>
      </c>
      <c r="C11441" s="497" t="s">
        <v>112</v>
      </c>
      <c r="D11441" s="899" t="s">
        <v>4363</v>
      </c>
      <c r="E11441" s="899" t="s">
        <v>4154</v>
      </c>
      <c r="F11441" s="1093" t="s">
        <v>8254</v>
      </c>
      <c r="G11441" s="899" t="s">
        <v>2519</v>
      </c>
      <c r="H11441" s="1751"/>
      <c r="I11441" s="1752" t="s">
        <v>3766</v>
      </c>
      <c r="J11441" s="1752" t="s">
        <v>4577</v>
      </c>
      <c r="K11441" s="1752" t="s">
        <v>8777</v>
      </c>
      <c r="L11441" s="1752" t="s">
        <v>2519</v>
      </c>
      <c r="M11441" s="1759"/>
      <c r="N11441" s="1723"/>
      <c r="O11441" s="1723"/>
      <c r="P11441" s="1723"/>
      <c r="Q11441" s="1723"/>
      <c r="R11441" s="1723"/>
      <c r="S11441" s="1723"/>
      <c r="T11441" s="1723"/>
      <c r="U11441" s="1723"/>
      <c r="V11441" s="1723"/>
      <c r="W11441" s="1723"/>
      <c r="X11441" s="1723"/>
      <c r="Y11441" s="1723"/>
      <c r="Z11441" s="1302"/>
      <c r="AA11441" s="1302"/>
      <c r="AB11441" s="1302"/>
      <c r="AC11441" s="1302"/>
      <c r="AD11441" s="1302"/>
      <c r="AE11441" s="1302"/>
      <c r="AF11441" s="1302"/>
    </row>
    <row r="11442" spans="1:32" hidden="1" outlineLevel="1" x14ac:dyDescent="0.25">
      <c r="A11442" s="1553">
        <v>0.02</v>
      </c>
      <c r="B11442" s="1753" t="s">
        <v>3998</v>
      </c>
      <c r="C11442" s="1754">
        <v>34.112000000000002</v>
      </c>
      <c r="D11442" s="1092">
        <v>32.700000000000003</v>
      </c>
      <c r="E11442" s="907">
        <v>-4.139305816135086E-2</v>
      </c>
      <c r="F11442" s="1188">
        <v>-8.2786116322701719E-3</v>
      </c>
      <c r="G11442" s="1755">
        <v>-1.6557223264540344E-4</v>
      </c>
      <c r="H11442" t="s">
        <v>4000</v>
      </c>
      <c r="I11442" s="1756">
        <v>36.908299999999997</v>
      </c>
      <c r="J11442" s="907">
        <v>8.1974085365853488E-2</v>
      </c>
      <c r="K11442" s="907">
        <v>5.7381859756097435E-2</v>
      </c>
      <c r="L11442" s="1184">
        <v>1.1476371951219487E-3</v>
      </c>
      <c r="M11442" s="1760"/>
      <c r="N11442" s="415"/>
      <c r="O11442" s="415"/>
      <c r="P11442" s="415"/>
      <c r="Q11442" s="415"/>
      <c r="R11442" s="415"/>
      <c r="S11442" s="415"/>
      <c r="T11442" s="415"/>
      <c r="U11442" s="415"/>
      <c r="V11442" s="415"/>
      <c r="W11442" s="415"/>
      <c r="X11442" s="415"/>
      <c r="Y11442" s="415"/>
      <c r="Z11442" s="444"/>
      <c r="AA11442" s="434"/>
      <c r="AB11442" s="434"/>
    </row>
    <row r="11443" spans="1:32" hidden="1" outlineLevel="1" x14ac:dyDescent="0.25">
      <c r="A11443" s="1553">
        <v>0.02</v>
      </c>
      <c r="B11443" s="1753" t="s">
        <v>805</v>
      </c>
      <c r="C11443" s="1754">
        <v>60.161000000000001</v>
      </c>
      <c r="D11443" s="1092">
        <v>97.51</v>
      </c>
      <c r="E11443" s="907">
        <v>0.62081747311381141</v>
      </c>
      <c r="F11443" s="1188">
        <v>0.35</v>
      </c>
      <c r="G11443" s="1755">
        <v>6.9999999999999993E-3</v>
      </c>
      <c r="H11443" t="s">
        <v>806</v>
      </c>
      <c r="I11443" s="1756">
        <v>96.398300000000006</v>
      </c>
      <c r="J11443" s="907">
        <v>0.6023387244227989</v>
      </c>
      <c r="K11443" s="907">
        <v>0.35</v>
      </c>
      <c r="L11443" s="1184">
        <v>6.9999999999999993E-3</v>
      </c>
      <c r="M11443" s="1760"/>
      <c r="N11443" s="415"/>
      <c r="O11443" s="415"/>
      <c r="P11443" s="415"/>
      <c r="Q11443" s="415"/>
      <c r="R11443" s="415"/>
      <c r="S11443" s="415"/>
      <c r="T11443" s="415"/>
      <c r="U11443" s="415"/>
      <c r="V11443" s="415"/>
      <c r="W11443" s="415"/>
      <c r="X11443" s="415"/>
      <c r="Y11443" s="415"/>
      <c r="Z11443" s="444"/>
      <c r="AA11443" s="434"/>
      <c r="AB11443" s="434"/>
    </row>
    <row r="11444" spans="1:32" hidden="1" outlineLevel="1" x14ac:dyDescent="0.25">
      <c r="A11444" s="1553">
        <v>7.0000000000000007E-2</v>
      </c>
      <c r="B11444" s="1092" t="s">
        <v>807</v>
      </c>
      <c r="C11444" s="1754">
        <v>42.677999999999997</v>
      </c>
      <c r="D11444" s="1092">
        <v>54.49</v>
      </c>
      <c r="E11444" s="907">
        <v>0.27677023290688418</v>
      </c>
      <c r="F11444" s="1188">
        <v>0.19373916303481892</v>
      </c>
      <c r="G11444" s="1755">
        <v>1.3561741412437326E-2</v>
      </c>
      <c r="H11444" t="s">
        <v>808</v>
      </c>
      <c r="I11444" s="1756">
        <v>58.430799999999998</v>
      </c>
      <c r="J11444" s="907">
        <v>0.36910820563287872</v>
      </c>
      <c r="K11444" s="907">
        <v>0.2583757439430151</v>
      </c>
      <c r="L11444" s="1184">
        <v>1.8086302076011057E-2</v>
      </c>
      <c r="M11444" s="1760"/>
      <c r="N11444" s="415"/>
      <c r="O11444" s="415"/>
      <c r="P11444" s="415"/>
      <c r="Q11444" s="415"/>
      <c r="R11444" s="415"/>
      <c r="S11444" s="415"/>
      <c r="T11444" s="415"/>
      <c r="U11444" s="415"/>
      <c r="V11444" s="415"/>
      <c r="W11444" s="415"/>
      <c r="X11444" s="415"/>
      <c r="Y11444" s="415"/>
      <c r="Z11444" s="444"/>
      <c r="AA11444" s="434"/>
      <c r="AB11444" s="434"/>
    </row>
    <row r="11445" spans="1:32" hidden="1" outlineLevel="1" x14ac:dyDescent="0.25">
      <c r="A11445" s="1553">
        <v>0.02</v>
      </c>
      <c r="B11445" s="1757" t="s">
        <v>4377</v>
      </c>
      <c r="C11445" s="1754">
        <v>32.813000000000002</v>
      </c>
      <c r="D11445" s="1092">
        <v>52.13</v>
      </c>
      <c r="E11445" s="907">
        <v>0.58869960076798833</v>
      </c>
      <c r="F11445" s="1188">
        <v>0.35</v>
      </c>
      <c r="G11445" s="1755">
        <v>6.9999999999999993E-3</v>
      </c>
      <c r="H11445" t="s">
        <v>4327</v>
      </c>
      <c r="I11445" s="1756">
        <v>60.091700000000003</v>
      </c>
      <c r="J11445" s="907">
        <v>0.83133818913235613</v>
      </c>
      <c r="K11445" s="907">
        <v>0.35</v>
      </c>
      <c r="L11445" s="1184">
        <v>6.9999999999999993E-3</v>
      </c>
      <c r="M11445" s="1760"/>
      <c r="N11445" s="415"/>
      <c r="O11445" s="415"/>
      <c r="P11445" s="415"/>
      <c r="Q11445" s="415"/>
      <c r="R11445" s="415"/>
      <c r="S11445" s="415"/>
      <c r="T11445" s="415"/>
      <c r="U11445" s="415"/>
      <c r="V11445" s="415"/>
      <c r="W11445" s="415"/>
      <c r="X11445" s="415"/>
      <c r="Y11445" s="415"/>
      <c r="Z11445" s="444"/>
      <c r="AA11445" s="434"/>
      <c r="AB11445" s="434"/>
    </row>
    <row r="11446" spans="1:32" hidden="1" outlineLevel="1" x14ac:dyDescent="0.25">
      <c r="A11446" s="1553">
        <v>0.02</v>
      </c>
      <c r="B11446" s="1092" t="s">
        <v>3954</v>
      </c>
      <c r="C11446" s="1754">
        <v>81.408000000000001</v>
      </c>
      <c r="D11446" s="1092">
        <v>111.83</v>
      </c>
      <c r="E11446" s="907">
        <v>0.37369791666666652</v>
      </c>
      <c r="F11446" s="1188">
        <v>0.26158854166666656</v>
      </c>
      <c r="G11446" s="1755">
        <v>5.2317708333333313E-3</v>
      </c>
      <c r="H11446" t="s">
        <v>3955</v>
      </c>
      <c r="I11446" s="1756">
        <v>112.68</v>
      </c>
      <c r="J11446" s="907">
        <v>0.38413915094339623</v>
      </c>
      <c r="K11446" s="907">
        <v>0.26889740566037734</v>
      </c>
      <c r="L11446" s="1184">
        <v>5.3779481132075471E-3</v>
      </c>
      <c r="M11446" s="1760"/>
      <c r="N11446" s="415"/>
      <c r="O11446" s="415"/>
      <c r="P11446" s="415"/>
      <c r="Q11446" s="415"/>
      <c r="R11446" s="415"/>
      <c r="S11446" s="415"/>
      <c r="T11446" s="415"/>
      <c r="U11446" s="415"/>
      <c r="V11446" s="415"/>
      <c r="W11446" s="415"/>
      <c r="X11446" s="415"/>
      <c r="Y11446" s="415"/>
      <c r="Z11446" s="444"/>
      <c r="AA11446" s="434"/>
      <c r="AB11446" s="434"/>
    </row>
    <row r="11447" spans="1:32" hidden="1" outlineLevel="1" x14ac:dyDescent="0.25">
      <c r="A11447" s="1553">
        <v>7.0000000000000007E-2</v>
      </c>
      <c r="B11447" s="1092" t="s">
        <v>1319</v>
      </c>
      <c r="C11447" s="1754">
        <v>56.389000000000003</v>
      </c>
      <c r="D11447" s="1092">
        <v>80.13</v>
      </c>
      <c r="E11447" s="907">
        <v>0.421021830498856</v>
      </c>
      <c r="F11447" s="1188">
        <v>0.29471528134919917</v>
      </c>
      <c r="G11447" s="1755">
        <v>2.0630069694443944E-2</v>
      </c>
      <c r="H11447" t="s">
        <v>1320</v>
      </c>
      <c r="I11447" s="1756">
        <v>82.064999999999998</v>
      </c>
      <c r="J11447" s="907">
        <v>0.45533703381865243</v>
      </c>
      <c r="K11447" s="907">
        <v>0.3187359236730567</v>
      </c>
      <c r="L11447" s="1184">
        <v>2.2311514657113972E-2</v>
      </c>
      <c r="M11447" s="1760"/>
      <c r="N11447" s="415"/>
      <c r="O11447" s="415"/>
      <c r="P11447" s="415"/>
      <c r="Q11447" s="415"/>
      <c r="R11447" s="415"/>
      <c r="S11447" s="415"/>
      <c r="T11447" s="415"/>
      <c r="U11447" s="415"/>
      <c r="V11447" s="415"/>
      <c r="W11447" s="415"/>
      <c r="X11447" s="415"/>
      <c r="Y11447" s="415"/>
      <c r="Z11447" s="444"/>
      <c r="AA11447" s="434"/>
      <c r="AB11447" s="434"/>
    </row>
    <row r="11448" spans="1:32" hidden="1" outlineLevel="1" x14ac:dyDescent="0.25">
      <c r="A11448" s="1553">
        <v>0.02</v>
      </c>
      <c r="B11448" s="1104" t="s">
        <v>496</v>
      </c>
      <c r="C11448" s="1754">
        <v>12.977199999150773</v>
      </c>
      <c r="D11448" s="1092">
        <v>11.65</v>
      </c>
      <c r="E11448" s="907">
        <v>-0.10227167642000001</v>
      </c>
      <c r="F11448" s="1188">
        <v>-2.0454335284000005E-2</v>
      </c>
      <c r="G11448" s="1755">
        <v>-4.0908670568000008E-4</v>
      </c>
      <c r="H11448" t="s">
        <v>497</v>
      </c>
      <c r="I11448" s="1756">
        <v>10.3901</v>
      </c>
      <c r="J11448" s="907">
        <v>-0.19935733434948011</v>
      </c>
      <c r="K11448" s="907">
        <v>-3.9871466869896025E-2</v>
      </c>
      <c r="L11448" s="1184">
        <v>-7.9742933739792047E-4</v>
      </c>
      <c r="M11448" s="1760"/>
      <c r="N11448" s="415"/>
      <c r="O11448" s="415"/>
      <c r="P11448" s="415"/>
      <c r="Q11448" s="415"/>
      <c r="R11448" s="415"/>
      <c r="S11448" s="415"/>
      <c r="T11448" s="415"/>
      <c r="U11448" s="415"/>
      <c r="V11448" s="415"/>
      <c r="W11448" s="415"/>
      <c r="X11448" s="415"/>
      <c r="Y11448" s="415"/>
      <c r="Z11448" s="444"/>
      <c r="AA11448" s="434"/>
      <c r="AB11448" s="434"/>
    </row>
    <row r="11449" spans="1:32" hidden="1" outlineLevel="1" x14ac:dyDescent="0.25">
      <c r="A11449" s="1553">
        <v>0.02</v>
      </c>
      <c r="B11449" s="1471" t="s">
        <v>3798</v>
      </c>
      <c r="C11449" s="1754">
        <v>3.048</v>
      </c>
      <c r="D11449" s="1092">
        <v>5.2679999999999998</v>
      </c>
      <c r="E11449" s="907">
        <v>0.7283464566929132</v>
      </c>
      <c r="F11449" s="1188">
        <v>0.35</v>
      </c>
      <c r="G11449" s="1755">
        <v>6.9999999999999993E-3</v>
      </c>
      <c r="H11449" t="s">
        <v>4122</v>
      </c>
      <c r="I11449" s="1756">
        <v>5.0411000000000001</v>
      </c>
      <c r="J11449" s="907">
        <v>0.65390419947506562</v>
      </c>
      <c r="K11449" s="907">
        <v>0.35</v>
      </c>
      <c r="L11449" s="1184">
        <v>6.9999999999999993E-3</v>
      </c>
      <c r="M11449" s="1760"/>
      <c r="N11449" s="415"/>
      <c r="O11449" s="415"/>
      <c r="P11449" s="415"/>
      <c r="Q11449" s="415"/>
      <c r="R11449" s="415"/>
      <c r="S11449" s="415"/>
      <c r="T11449" s="415"/>
      <c r="U11449" s="415"/>
      <c r="V11449" s="415"/>
      <c r="W11449" s="415"/>
      <c r="X11449" s="415"/>
      <c r="Y11449" s="415"/>
      <c r="Z11449" s="444"/>
      <c r="AA11449" s="434"/>
      <c r="AB11449" s="434"/>
    </row>
    <row r="11450" spans="1:32" hidden="1" outlineLevel="1" x14ac:dyDescent="0.25">
      <c r="A11450" s="1553">
        <v>0.05</v>
      </c>
      <c r="B11450" s="1104" t="s">
        <v>5232</v>
      </c>
      <c r="C11450" s="1754">
        <v>64.105000000000004</v>
      </c>
      <c r="D11450" s="1092">
        <v>81.59</v>
      </c>
      <c r="E11450" s="907">
        <v>0.27275563528585911</v>
      </c>
      <c r="F11450" s="1188">
        <v>0.19092894470010136</v>
      </c>
      <c r="G11450" s="1755">
        <v>9.5464472350050688E-3</v>
      </c>
      <c r="H11450" t="s">
        <v>5230</v>
      </c>
      <c r="I11450" s="1756">
        <v>79.757499999999993</v>
      </c>
      <c r="J11450" s="907">
        <v>0.24416972155058092</v>
      </c>
      <c r="K11450" s="907">
        <v>0.17091880508540663</v>
      </c>
      <c r="L11450" s="1184">
        <v>8.5459402542703324E-3</v>
      </c>
      <c r="M11450" s="1760"/>
      <c r="N11450" s="415"/>
      <c r="O11450" s="415"/>
      <c r="P11450" s="415"/>
      <c r="Q11450" s="415"/>
      <c r="R11450" s="415"/>
      <c r="S11450" s="415"/>
      <c r="T11450" s="415"/>
      <c r="U11450" s="415"/>
      <c r="V11450" s="415"/>
      <c r="W11450" s="415"/>
      <c r="X11450" s="415"/>
      <c r="Y11450" s="415"/>
      <c r="Z11450" s="444"/>
      <c r="AA11450" s="434"/>
      <c r="AB11450" s="434"/>
    </row>
    <row r="11451" spans="1:32" hidden="1" outlineLevel="1" x14ac:dyDescent="0.25">
      <c r="A11451" s="1553">
        <v>0.02</v>
      </c>
      <c r="B11451" s="1092" t="s">
        <v>7227</v>
      </c>
      <c r="C11451" s="1754">
        <v>15.2965</v>
      </c>
      <c r="D11451" s="1092">
        <v>14.55</v>
      </c>
      <c r="E11451" s="907">
        <v>-4.8802013532507349E-2</v>
      </c>
      <c r="F11451" s="1188">
        <v>-9.7604027065014698E-3</v>
      </c>
      <c r="G11451" s="1755">
        <v>-1.9520805413002939E-4</v>
      </c>
      <c r="H11451" t="s">
        <v>7229</v>
      </c>
      <c r="I11451" s="1756">
        <v>13.9421</v>
      </c>
      <c r="J11451" s="907">
        <v>-8.8543130781551294E-2</v>
      </c>
      <c r="K11451" s="907">
        <v>-1.7708626156310258E-2</v>
      </c>
      <c r="L11451" s="1184">
        <v>-3.5417252312620515E-4</v>
      </c>
      <c r="M11451" s="1760"/>
      <c r="N11451" s="415"/>
      <c r="O11451" s="415"/>
      <c r="P11451" s="415"/>
      <c r="Q11451" s="415"/>
      <c r="R11451" s="415"/>
      <c r="S11451" s="415"/>
      <c r="T11451" s="415"/>
      <c r="U11451" s="415"/>
      <c r="V11451" s="415"/>
      <c r="W11451" s="415"/>
      <c r="X11451" s="415"/>
      <c r="Y11451" s="415"/>
      <c r="Z11451" s="444"/>
      <c r="AA11451" s="434"/>
      <c r="AB11451" s="434"/>
    </row>
    <row r="11452" spans="1:32" hidden="1" outlineLevel="1" x14ac:dyDescent="0.25">
      <c r="A11452" s="1553">
        <v>0.05</v>
      </c>
      <c r="B11452" s="1757" t="s">
        <v>3799</v>
      </c>
      <c r="C11452" s="1754">
        <v>1343.3899999514847</v>
      </c>
      <c r="D11452" s="1092">
        <v>1461.4</v>
      </c>
      <c r="E11452" s="907">
        <v>8.7844929657640236E-2</v>
      </c>
      <c r="F11452" s="1188">
        <v>6.1491450760348162E-2</v>
      </c>
      <c r="G11452" s="1755">
        <v>3.0745725380174082E-3</v>
      </c>
      <c r="H11452" t="s">
        <v>4128</v>
      </c>
      <c r="I11452" s="1756">
        <v>14.431699999999999</v>
      </c>
      <c r="J11452" s="907">
        <v>-0.98925725217507854</v>
      </c>
      <c r="K11452" s="907">
        <v>-0.19785145043501573</v>
      </c>
      <c r="L11452" s="1184">
        <v>-9.8925725217507872E-3</v>
      </c>
      <c r="M11452" s="1760"/>
      <c r="N11452" s="415"/>
      <c r="O11452" s="415"/>
      <c r="P11452" s="415"/>
      <c r="Q11452" s="415"/>
      <c r="R11452" s="415"/>
      <c r="S11452" s="415"/>
      <c r="T11452" s="415"/>
      <c r="U11452" s="415"/>
      <c r="V11452" s="415"/>
      <c r="W11452" s="415"/>
      <c r="X11452" s="415"/>
      <c r="Y11452" s="415"/>
      <c r="Z11452" s="444"/>
      <c r="AA11452" s="434"/>
      <c r="AB11452" s="434"/>
    </row>
    <row r="11453" spans="1:32" hidden="1" outlineLevel="1" x14ac:dyDescent="0.25">
      <c r="A11453" s="1553">
        <v>0.02</v>
      </c>
      <c r="B11453" s="1722" t="s">
        <v>1381</v>
      </c>
      <c r="C11453" s="1754">
        <v>81.983299985396314</v>
      </c>
      <c r="D11453" s="1092">
        <v>103.54</v>
      </c>
      <c r="E11453" s="907">
        <v>0.26294013559399998</v>
      </c>
      <c r="F11453" s="1188">
        <v>0.18405809491579997</v>
      </c>
      <c r="G11453" s="1755">
        <v>3.6811618983159993E-3</v>
      </c>
      <c r="H11453" t="s">
        <v>1383</v>
      </c>
      <c r="I11453" s="1756">
        <v>118.1242</v>
      </c>
      <c r="J11453" s="907">
        <v>0.44083246247762009</v>
      </c>
      <c r="K11453" s="907">
        <v>0.30858272373433404</v>
      </c>
      <c r="L11453" s="1184">
        <v>6.171654474686681E-3</v>
      </c>
      <c r="M11453" s="1760"/>
      <c r="N11453" s="415"/>
      <c r="O11453" s="415"/>
      <c r="P11453" s="415"/>
      <c r="Q11453" s="415"/>
      <c r="R11453" s="415"/>
      <c r="S11453" s="415"/>
      <c r="T11453" s="415"/>
      <c r="U11453" s="415"/>
      <c r="V11453" s="415"/>
      <c r="W11453" s="415"/>
      <c r="X11453" s="415"/>
      <c r="Y11453" s="415"/>
      <c r="Z11453" s="444"/>
      <c r="AA11453" s="434"/>
      <c r="AB11453" s="434"/>
    </row>
    <row r="11454" spans="1:32" hidden="1" outlineLevel="1" x14ac:dyDescent="0.25">
      <c r="A11454" s="1553">
        <v>0.02</v>
      </c>
      <c r="B11454" s="1471" t="s">
        <v>4143</v>
      </c>
      <c r="C11454" s="1754">
        <v>2.3391999998761159</v>
      </c>
      <c r="D11454" s="1092">
        <v>2.577</v>
      </c>
      <c r="E11454" s="907">
        <v>0.10165868678885004</v>
      </c>
      <c r="F11454" s="1188">
        <v>7.1161080752195016E-2</v>
      </c>
      <c r="G11454" s="1755">
        <v>1.4232216150439003E-3</v>
      </c>
      <c r="H11454" t="s">
        <v>4144</v>
      </c>
      <c r="I11454" s="1756">
        <v>2.8443000000000001</v>
      </c>
      <c r="J11454" s="907">
        <v>0.21592852263621509</v>
      </c>
      <c r="K11454" s="907">
        <v>0.15114996584535056</v>
      </c>
      <c r="L11454" s="1184">
        <v>3.0229993169070112E-3</v>
      </c>
      <c r="M11454" s="1760"/>
      <c r="N11454" s="415"/>
      <c r="O11454" s="415"/>
      <c r="P11454" s="415"/>
      <c r="Q11454" s="415"/>
      <c r="R11454" s="415"/>
      <c r="S11454" s="415"/>
      <c r="T11454" s="415"/>
      <c r="U11454" s="415"/>
      <c r="V11454" s="415"/>
      <c r="W11454" s="415"/>
      <c r="X11454" s="415"/>
      <c r="Y11454" s="415"/>
      <c r="Z11454" s="444"/>
      <c r="AA11454" s="434"/>
      <c r="AB11454" s="434"/>
    </row>
    <row r="11455" spans="1:32" hidden="1" outlineLevel="1" x14ac:dyDescent="0.25">
      <c r="A11455" s="1553">
        <v>0.02</v>
      </c>
      <c r="B11455" s="1471" t="s">
        <v>1905</v>
      </c>
      <c r="C11455" s="1754">
        <v>44.070999999999998</v>
      </c>
      <c r="D11455" s="1092">
        <v>58.87</v>
      </c>
      <c r="E11455" s="907">
        <v>0.33579905153048495</v>
      </c>
      <c r="F11455" s="1188">
        <v>0.23505933607133944</v>
      </c>
      <c r="G11455" s="1755">
        <v>4.7011867214267885E-3</v>
      </c>
      <c r="H11455" t="s">
        <v>504</v>
      </c>
      <c r="I11455" s="1756">
        <v>59.534199999999998</v>
      </c>
      <c r="J11455" s="907">
        <v>0.35087018674411752</v>
      </c>
      <c r="K11455" s="907">
        <v>0.24560913072088225</v>
      </c>
      <c r="L11455" s="1184">
        <v>4.9121826144176454E-3</v>
      </c>
      <c r="M11455" s="1760"/>
      <c r="N11455" s="415"/>
      <c r="O11455" s="415"/>
      <c r="P11455" s="415"/>
      <c r="Q11455" s="415"/>
      <c r="R11455" s="415"/>
      <c r="S11455" s="415"/>
      <c r="T11455" s="415"/>
      <c r="U11455" s="415"/>
      <c r="V11455" s="415"/>
      <c r="W11455" s="415"/>
      <c r="X11455" s="415"/>
      <c r="Y11455" s="415"/>
      <c r="Z11455" s="444"/>
      <c r="AA11455" s="434"/>
      <c r="AB11455" s="434"/>
    </row>
    <row r="11456" spans="1:32" hidden="1" outlineLevel="1" x14ac:dyDescent="0.25">
      <c r="A11456" s="1553">
        <v>7.0000000000000007E-2</v>
      </c>
      <c r="B11456" s="1471" t="s">
        <v>2787</v>
      </c>
      <c r="C11456" s="1754">
        <v>58.395000000000003</v>
      </c>
      <c r="D11456" s="1092">
        <v>76.7</v>
      </c>
      <c r="E11456" s="907">
        <v>0.31346861888860356</v>
      </c>
      <c r="F11456" s="1188">
        <v>0.21942803322202248</v>
      </c>
      <c r="G11456" s="1755">
        <v>1.5359962325541574E-2</v>
      </c>
      <c r="H11456" t="s">
        <v>8874</v>
      </c>
      <c r="I11456" s="1756">
        <v>80.951700000000002</v>
      </c>
      <c r="J11456" s="907">
        <v>0.38627793475468786</v>
      </c>
      <c r="K11456" s="907">
        <v>0.27039455432828147</v>
      </c>
      <c r="L11456" s="1184">
        <v>1.8927618802979704E-2</v>
      </c>
      <c r="M11456" s="1760"/>
      <c r="N11456" s="415"/>
      <c r="O11456" s="415"/>
      <c r="P11456" s="415"/>
      <c r="Q11456" s="415"/>
      <c r="R11456" s="415"/>
      <c r="S11456" s="415"/>
      <c r="T11456" s="415"/>
      <c r="U11456" s="415"/>
      <c r="V11456" s="415"/>
      <c r="W11456" s="415"/>
      <c r="X11456" s="415"/>
      <c r="Y11456" s="415"/>
      <c r="Z11456" s="444"/>
      <c r="AA11456" s="434"/>
      <c r="AB11456" s="434"/>
    </row>
    <row r="11457" spans="1:28" hidden="1" outlineLevel="1" x14ac:dyDescent="0.25">
      <c r="A11457" s="1553">
        <v>7.0000000000000007E-2</v>
      </c>
      <c r="B11457" s="1757" t="s">
        <v>4273</v>
      </c>
      <c r="C11457" s="1754">
        <v>1217.7</v>
      </c>
      <c r="D11457" s="1092">
        <v>2835</v>
      </c>
      <c r="E11457" s="907">
        <v>1.3281596452328159</v>
      </c>
      <c r="F11457" s="1188">
        <v>0.35</v>
      </c>
      <c r="G11457" s="1755">
        <v>2.4500000000000001E-2</v>
      </c>
      <c r="H11457" t="s">
        <v>82</v>
      </c>
      <c r="I11457" s="1756">
        <v>2697.2082999999998</v>
      </c>
      <c r="J11457" s="907">
        <v>1.2150022994169332</v>
      </c>
      <c r="K11457" s="907">
        <v>0.35</v>
      </c>
      <c r="L11457" s="1184">
        <v>2.4500000000000001E-2</v>
      </c>
      <c r="M11457" s="1760"/>
      <c r="N11457" s="415"/>
      <c r="O11457" s="415"/>
      <c r="P11457" s="415"/>
      <c r="Q11457" s="415"/>
      <c r="R11457" s="415"/>
      <c r="S11457" s="415"/>
      <c r="T11457" s="415"/>
      <c r="U11457" s="415"/>
      <c r="V11457" s="415"/>
      <c r="W11457" s="415"/>
      <c r="X11457" s="415"/>
      <c r="Y11457" s="415"/>
      <c r="Z11457" s="444"/>
      <c r="AA11457" s="434"/>
      <c r="AB11457" s="434"/>
    </row>
    <row r="11458" spans="1:28" hidden="1" outlineLevel="1" x14ac:dyDescent="0.25">
      <c r="A11458" s="1553">
        <v>0.02</v>
      </c>
      <c r="B11458" s="1757" t="s">
        <v>3023</v>
      </c>
      <c r="C11458" s="1754">
        <v>70.105000000000004</v>
      </c>
      <c r="D11458" s="1092">
        <v>72.34</v>
      </c>
      <c r="E11458" s="907">
        <v>3.1880750303116656E-2</v>
      </c>
      <c r="F11458" s="1188">
        <v>2.2316525212181658E-2</v>
      </c>
      <c r="G11458" s="1755">
        <v>4.4633050424363317E-4</v>
      </c>
      <c r="H11458" t="s">
        <v>2815</v>
      </c>
      <c r="I11458" s="1756">
        <v>86.166700000000006</v>
      </c>
      <c r="J11458" s="907">
        <v>0.22910919335282798</v>
      </c>
      <c r="K11458" s="907">
        <v>0.16037643534697957</v>
      </c>
      <c r="L11458" s="1184">
        <v>3.2075287069395914E-3</v>
      </c>
      <c r="M11458" s="1760"/>
      <c r="N11458" s="415"/>
      <c r="O11458" s="415"/>
      <c r="P11458" s="415"/>
      <c r="Q11458" s="415"/>
      <c r="R11458" s="415"/>
      <c r="S11458" s="415"/>
      <c r="T11458" s="415"/>
      <c r="U11458" s="415"/>
      <c r="V11458" s="415"/>
      <c r="W11458" s="415"/>
      <c r="X11458" s="415"/>
      <c r="Y11458" s="415"/>
      <c r="Z11458" s="444"/>
      <c r="AA11458" s="434"/>
      <c r="AB11458" s="434"/>
    </row>
    <row r="11459" spans="1:28" hidden="1" outlineLevel="1" x14ac:dyDescent="0.25">
      <c r="A11459" s="1553">
        <v>0.05</v>
      </c>
      <c r="B11459" s="1722" t="s">
        <v>2753</v>
      </c>
      <c r="C11459" s="1754">
        <v>21.314</v>
      </c>
      <c r="D11459" s="1092">
        <v>65.400000000000006</v>
      </c>
      <c r="E11459" s="907">
        <v>2.0684057427043259</v>
      </c>
      <c r="F11459" s="1188">
        <v>0.35</v>
      </c>
      <c r="G11459" s="1755">
        <v>1.7499999999999998E-2</v>
      </c>
      <c r="H11459" t="s">
        <v>3558</v>
      </c>
      <c r="I11459" s="1756"/>
      <c r="J11459" s="907"/>
      <c r="K11459" s="907"/>
      <c r="L11459" s="1184"/>
      <c r="M11459" s="1760"/>
      <c r="N11459" s="415"/>
      <c r="O11459" s="415"/>
      <c r="P11459" s="415"/>
      <c r="Q11459" s="415"/>
      <c r="R11459" s="415"/>
      <c r="S11459" s="415"/>
      <c r="T11459" s="415"/>
      <c r="U11459" s="415"/>
      <c r="V11459" s="415"/>
      <c r="W11459" s="415"/>
      <c r="X11459" s="415"/>
      <c r="Y11459" s="415"/>
      <c r="Z11459" s="444"/>
      <c r="AA11459" s="434"/>
      <c r="AB11459" s="434"/>
    </row>
    <row r="11460" spans="1:28" hidden="1" outlineLevel="1" x14ac:dyDescent="0.25">
      <c r="A11460" s="1553">
        <v>0.05</v>
      </c>
      <c r="B11460" s="1757" t="s">
        <v>3800</v>
      </c>
      <c r="C11460" s="1754">
        <v>186.44</v>
      </c>
      <c r="D11460" s="1092">
        <v>220.85</v>
      </c>
      <c r="E11460" s="907">
        <v>0.1845633984123578</v>
      </c>
      <c r="F11460" s="1188">
        <v>0.12919437888865046</v>
      </c>
      <c r="G11460" s="1755">
        <v>6.4597189444325232E-3</v>
      </c>
      <c r="H11460" t="s">
        <v>8876</v>
      </c>
      <c r="I11460" s="1756">
        <v>238.29169999999999</v>
      </c>
      <c r="J11460" s="907">
        <v>0.27811467496245434</v>
      </c>
      <c r="K11460" s="907">
        <v>0.19468027247371802</v>
      </c>
      <c r="L11460" s="1184">
        <v>9.7340136236859012E-3</v>
      </c>
      <c r="M11460" s="1760"/>
      <c r="N11460" s="415"/>
      <c r="O11460" s="415"/>
      <c r="P11460" s="415"/>
      <c r="Q11460" s="415"/>
      <c r="R11460" s="415"/>
      <c r="S11460" s="415"/>
      <c r="T11460" s="415"/>
      <c r="U11460" s="415"/>
      <c r="V11460" s="415"/>
      <c r="W11460" s="415"/>
      <c r="X11460" s="415"/>
      <c r="Y11460" s="415"/>
      <c r="Z11460" s="444"/>
      <c r="AA11460" s="434"/>
      <c r="AB11460" s="434"/>
    </row>
    <row r="11461" spans="1:28" hidden="1" outlineLevel="1" x14ac:dyDescent="0.25">
      <c r="A11461" s="1553">
        <v>0.02</v>
      </c>
      <c r="B11461" s="1092" t="s">
        <v>4460</v>
      </c>
      <c r="C11461" s="1754">
        <v>1566.9</v>
      </c>
      <c r="D11461" s="1092">
        <v>1940</v>
      </c>
      <c r="E11461" s="907">
        <v>0.23811347246154813</v>
      </c>
      <c r="F11461" s="1188">
        <v>0.16667943072308367</v>
      </c>
      <c r="G11461" s="1755">
        <v>3.3335886144616736E-3</v>
      </c>
      <c r="H11461" t="s">
        <v>3485</v>
      </c>
      <c r="I11461" s="1756">
        <v>20.984200000000001</v>
      </c>
      <c r="J11461" s="907">
        <v>-0.98660782436658367</v>
      </c>
      <c r="K11461" s="907">
        <v>-0.19732156487331676</v>
      </c>
      <c r="L11461" s="1184">
        <v>-3.9464312974663348E-3</v>
      </c>
      <c r="M11461" s="1760"/>
      <c r="N11461" s="415"/>
      <c r="O11461" s="415"/>
      <c r="P11461" s="415"/>
      <c r="Q11461" s="415"/>
      <c r="R11461" s="415"/>
      <c r="S11461" s="415"/>
      <c r="T11461" s="415"/>
      <c r="U11461" s="415"/>
      <c r="V11461" s="415"/>
      <c r="W11461" s="415"/>
      <c r="X11461" s="415"/>
      <c r="Y11461" s="415"/>
      <c r="Z11461" s="444"/>
      <c r="AA11461" s="434"/>
      <c r="AB11461" s="434"/>
    </row>
    <row r="11462" spans="1:28" hidden="1" outlineLevel="1" x14ac:dyDescent="0.25">
      <c r="A11462" s="1553">
        <v>0.05</v>
      </c>
      <c r="B11462" s="1722" t="s">
        <v>1857</v>
      </c>
      <c r="C11462" s="1754">
        <v>1442.4</v>
      </c>
      <c r="D11462" s="1092">
        <v>1381</v>
      </c>
      <c r="E11462" s="907">
        <v>-4.2567942318358365E-2</v>
      </c>
      <c r="F11462" s="1188">
        <v>-8.513588463671673E-3</v>
      </c>
      <c r="G11462" s="1755">
        <v>-4.2567942318358365E-4</v>
      </c>
      <c r="H11462" t="s">
        <v>3559</v>
      </c>
      <c r="I11462" s="1756">
        <v>13.680400000000001</v>
      </c>
      <c r="J11462" s="907">
        <v>-0.99051552967276757</v>
      </c>
      <c r="K11462" s="907">
        <v>-0.19810310593455352</v>
      </c>
      <c r="L11462" s="1184">
        <v>-9.905155296727676E-3</v>
      </c>
      <c r="M11462" s="1760"/>
      <c r="N11462" s="415"/>
      <c r="O11462" s="415"/>
      <c r="P11462" s="415"/>
      <c r="Q11462" s="415"/>
      <c r="R11462" s="415"/>
      <c r="S11462" s="415"/>
      <c r="T11462" s="415"/>
      <c r="U11462" s="415"/>
      <c r="V11462" s="415"/>
      <c r="W11462" s="415"/>
      <c r="X11462" s="415"/>
      <c r="Y11462" s="415"/>
      <c r="Z11462" s="444"/>
      <c r="AA11462" s="434"/>
      <c r="AB11462" s="434"/>
    </row>
    <row r="11463" spans="1:28" hidden="1" outlineLevel="1" x14ac:dyDescent="0.25">
      <c r="A11463" s="1553">
        <v>7.0000000000000007E-2</v>
      </c>
      <c r="B11463" s="1722" t="s">
        <v>1239</v>
      </c>
      <c r="C11463" s="1754">
        <v>395.92</v>
      </c>
      <c r="D11463" s="1092">
        <v>477</v>
      </c>
      <c r="E11463" s="907">
        <v>0.20478884623156191</v>
      </c>
      <c r="F11463" s="1188">
        <v>0.14335219236209332</v>
      </c>
      <c r="G11463" s="1755">
        <v>1.0034653465346533E-2</v>
      </c>
      <c r="H11463" t="s">
        <v>8891</v>
      </c>
      <c r="I11463" s="1756">
        <v>491.00830000000002</v>
      </c>
      <c r="J11463" s="907">
        <v>0.24017048898767435</v>
      </c>
      <c r="K11463" s="907">
        <v>0.16811934229137204</v>
      </c>
      <c r="L11463" s="1184">
        <v>1.1768353960396044E-2</v>
      </c>
      <c r="M11463" s="1760"/>
      <c r="N11463" s="415"/>
      <c r="O11463" s="415"/>
      <c r="P11463" s="415"/>
      <c r="Q11463" s="415"/>
      <c r="R11463" s="415"/>
      <c r="S11463" s="415"/>
      <c r="T11463" s="415"/>
      <c r="U11463" s="415"/>
      <c r="V11463" s="415"/>
      <c r="W11463" s="415"/>
      <c r="X11463" s="415"/>
      <c r="Y11463" s="415"/>
      <c r="Z11463" s="444"/>
      <c r="AA11463" s="434"/>
      <c r="AB11463" s="434"/>
    </row>
    <row r="11464" spans="1:28" hidden="1" outlineLevel="1" x14ac:dyDescent="0.25">
      <c r="A11464" s="1553">
        <v>0.02</v>
      </c>
      <c r="B11464" s="1722" t="s">
        <v>434</v>
      </c>
      <c r="C11464" s="1754">
        <v>44.615000000000002</v>
      </c>
      <c r="D11464" s="1092">
        <v>43.18</v>
      </c>
      <c r="E11464" s="907">
        <v>-3.2164070379917087E-2</v>
      </c>
      <c r="F11464" s="1188">
        <v>-6.4328140759834177E-3</v>
      </c>
      <c r="G11464" s="1755">
        <v>-1.2865628151966836E-4</v>
      </c>
      <c r="H11464" t="s">
        <v>7745</v>
      </c>
      <c r="I11464" s="1756">
        <v>38.840000000000003</v>
      </c>
      <c r="J11464" s="907">
        <v>-0.12944077104112961</v>
      </c>
      <c r="K11464" s="907">
        <v>-2.5888154208225923E-2</v>
      </c>
      <c r="L11464" s="1184">
        <v>-5.1776308416451842E-4</v>
      </c>
      <c r="M11464" s="1760"/>
      <c r="N11464" s="415"/>
      <c r="O11464" s="415"/>
      <c r="P11464" s="415"/>
      <c r="Q11464" s="415"/>
      <c r="R11464" s="415"/>
      <c r="S11464" s="415"/>
      <c r="T11464" s="415"/>
      <c r="U11464" s="415"/>
      <c r="V11464" s="415"/>
      <c r="W11464" s="415"/>
      <c r="X11464" s="415"/>
      <c r="Y11464" s="415"/>
      <c r="Z11464" s="444"/>
      <c r="AA11464" s="434"/>
      <c r="AB11464" s="434"/>
    </row>
    <row r="11465" spans="1:28" hidden="1" outlineLevel="1" x14ac:dyDescent="0.25">
      <c r="A11465" s="1553">
        <v>0.02</v>
      </c>
      <c r="B11465" s="1722" t="s">
        <v>3665</v>
      </c>
      <c r="C11465" s="1754">
        <v>32.481499999999997</v>
      </c>
      <c r="D11465" s="1092">
        <v>45.95</v>
      </c>
      <c r="E11465" s="907">
        <v>0.41465141696042385</v>
      </c>
      <c r="F11465" s="1188">
        <v>0.29025599187229667</v>
      </c>
      <c r="G11465" s="1755">
        <v>5.8051198374459339E-3</v>
      </c>
      <c r="H11465" t="s">
        <v>7021</v>
      </c>
      <c r="I11465" s="1756">
        <v>45.972499999999997</v>
      </c>
      <c r="J11465" s="907">
        <v>0.41534411896002332</v>
      </c>
      <c r="K11465" s="907">
        <v>0.2907408832720163</v>
      </c>
      <c r="L11465" s="1184">
        <v>5.814817665440326E-3</v>
      </c>
      <c r="M11465" s="1760"/>
      <c r="N11465" s="415"/>
      <c r="O11465" s="415"/>
      <c r="P11465" s="415"/>
      <c r="Q11465" s="415"/>
      <c r="R11465" s="415"/>
      <c r="S11465" s="415"/>
      <c r="T11465" s="415"/>
      <c r="U11465" s="415"/>
      <c r="V11465" s="415"/>
      <c r="W11465" s="415"/>
      <c r="X11465" s="415"/>
      <c r="Y11465" s="415"/>
      <c r="Z11465" s="444"/>
      <c r="AA11465" s="434"/>
      <c r="AB11465" s="434"/>
    </row>
    <row r="11466" spans="1:28" hidden="1" outlineLevel="1" x14ac:dyDescent="0.25">
      <c r="A11466" s="1553">
        <v>0.02</v>
      </c>
      <c r="B11466" s="1092" t="s">
        <v>366</v>
      </c>
      <c r="C11466" s="1754">
        <v>45.994999999999997</v>
      </c>
      <c r="D11466" s="1092">
        <v>54.44</v>
      </c>
      <c r="E11466" s="907">
        <v>0.18360691379497762</v>
      </c>
      <c r="F11466" s="1188">
        <v>0.12852483965648434</v>
      </c>
      <c r="G11466" s="1755">
        <v>2.5704967931296867E-3</v>
      </c>
      <c r="H11466" t="s">
        <v>367</v>
      </c>
      <c r="I11466" s="1756">
        <v>59.789200000000001</v>
      </c>
      <c r="J11466" s="907">
        <v>0.29990651157734538</v>
      </c>
      <c r="K11466" s="907">
        <v>0.20993455810414174</v>
      </c>
      <c r="L11466" s="1184">
        <v>4.1986911620828351E-3</v>
      </c>
      <c r="M11466" s="1760"/>
      <c r="N11466" s="415"/>
      <c r="O11466" s="415"/>
      <c r="P11466" s="415"/>
      <c r="Q11466" s="415"/>
      <c r="R11466" s="415"/>
      <c r="S11466" s="415"/>
      <c r="T11466" s="415"/>
      <c r="U11466" s="415"/>
      <c r="V11466" s="415"/>
      <c r="W11466" s="415"/>
      <c r="X11466" s="415"/>
      <c r="Y11466" s="415"/>
      <c r="Z11466" s="444"/>
      <c r="AA11466" s="434"/>
      <c r="AB11466" s="434"/>
    </row>
    <row r="11467" spans="1:28" hidden="1" outlineLevel="1" x14ac:dyDescent="0.25">
      <c r="A11467" s="1553">
        <v>0.02</v>
      </c>
      <c r="B11467" s="1758" t="s">
        <v>106</v>
      </c>
      <c r="C11467" s="1754">
        <v>2420.4</v>
      </c>
      <c r="D11467" s="1092">
        <v>4077.5</v>
      </c>
      <c r="E11467" s="907">
        <v>0.68463890266071714</v>
      </c>
      <c r="F11467" s="1188">
        <v>0.35</v>
      </c>
      <c r="G11467" s="1755">
        <v>6.9999999999999993E-3</v>
      </c>
      <c r="H11467" t="s">
        <v>107</v>
      </c>
      <c r="I11467" s="1756">
        <v>41.642899999999997</v>
      </c>
      <c r="J11467" s="907">
        <v>-0.98279503387869771</v>
      </c>
      <c r="K11467" s="907">
        <v>-0.19655900677573956</v>
      </c>
      <c r="L11467" s="1184">
        <v>-3.9311801355147915E-3</v>
      </c>
      <c r="M11467" s="1760"/>
      <c r="N11467" s="415"/>
      <c r="O11467" s="415"/>
      <c r="P11467" s="415"/>
      <c r="Q11467" s="415"/>
      <c r="R11467" s="415"/>
      <c r="S11467" s="415"/>
      <c r="T11467" s="415"/>
      <c r="U11467" s="415"/>
      <c r="V11467" s="415"/>
      <c r="W11467" s="415"/>
      <c r="X11467" s="415"/>
      <c r="Y11467" s="415"/>
      <c r="Z11467" s="444"/>
      <c r="AA11467" s="434"/>
      <c r="AB11467" s="434"/>
    </row>
    <row r="11468" spans="1:28" hidden="1" outlineLevel="1" x14ac:dyDescent="0.25">
      <c r="A11468" s="1553">
        <v>0.02</v>
      </c>
      <c r="B11468" s="1757" t="s">
        <v>255</v>
      </c>
      <c r="C11468" s="1754">
        <v>44.158000000000001</v>
      </c>
      <c r="D11468" s="1092">
        <v>49.35</v>
      </c>
      <c r="E11468" s="907">
        <v>0.11757778884913272</v>
      </c>
      <c r="F11468" s="1188">
        <v>8.2304452194392905E-2</v>
      </c>
      <c r="G11468" s="1755">
        <v>1.6460890438878581E-3</v>
      </c>
      <c r="H11468" t="s">
        <v>3351</v>
      </c>
      <c r="I11468" s="1756">
        <v>48.985799999999998</v>
      </c>
      <c r="J11468" s="907">
        <v>0.10933013270528558</v>
      </c>
      <c r="K11468" s="907">
        <v>7.6531092893699901E-2</v>
      </c>
      <c r="L11468" s="1184">
        <v>1.530621857873998E-3</v>
      </c>
      <c r="M11468" s="1760"/>
      <c r="N11468" s="415"/>
      <c r="O11468" s="415"/>
      <c r="P11468" s="415"/>
      <c r="Q11468" s="415"/>
      <c r="R11468" s="415"/>
      <c r="S11468" s="415"/>
      <c r="T11468" s="415"/>
      <c r="U11468" s="415"/>
      <c r="V11468" s="415"/>
      <c r="W11468" s="415"/>
      <c r="X11468" s="415"/>
      <c r="Y11468" s="415"/>
      <c r="Z11468" s="444"/>
      <c r="AA11468" s="434"/>
      <c r="AB11468" s="434"/>
    </row>
    <row r="11469" spans="1:28" hidden="1" outlineLevel="1" x14ac:dyDescent="0.25">
      <c r="A11469" s="1553">
        <v>0.02</v>
      </c>
      <c r="B11469" s="1184" t="s">
        <v>5522</v>
      </c>
      <c r="C11469" s="1754">
        <v>35.817399979368822</v>
      </c>
      <c r="D11469" s="1092">
        <v>43.77</v>
      </c>
      <c r="E11469" s="907">
        <v>0.22203175063550007</v>
      </c>
      <c r="F11469" s="1188">
        <v>0.15542222544485004</v>
      </c>
      <c r="G11469" s="1755">
        <v>3.1084445088970011E-3</v>
      </c>
      <c r="H11469" t="s">
        <v>5520</v>
      </c>
      <c r="I11469" s="1756">
        <v>42.342500000000001</v>
      </c>
      <c r="J11469" s="907">
        <v>0.1821768197688749</v>
      </c>
      <c r="K11469" s="907">
        <v>0.12752377383821242</v>
      </c>
      <c r="L11469" s="1184">
        <v>2.5504754767642487E-3</v>
      </c>
      <c r="M11469" s="1760"/>
      <c r="N11469" s="415"/>
      <c r="O11469" s="415"/>
      <c r="P11469" s="415"/>
      <c r="Q11469" s="415"/>
      <c r="R11469" s="415"/>
      <c r="S11469" s="415"/>
      <c r="T11469" s="415"/>
      <c r="U11469" s="415"/>
      <c r="V11469" s="415"/>
      <c r="W11469" s="415"/>
      <c r="X11469" s="415"/>
      <c r="Y11469" s="415"/>
      <c r="Z11469" s="444"/>
      <c r="AA11469" s="434"/>
      <c r="AB11469" s="434"/>
    </row>
    <row r="11470" spans="1:28" hidden="1" outlineLevel="1" x14ac:dyDescent="0.25">
      <c r="A11470" s="1553">
        <v>0.02</v>
      </c>
      <c r="B11470" s="1184" t="s">
        <v>5537</v>
      </c>
      <c r="C11470" s="1754">
        <v>29.497</v>
      </c>
      <c r="D11470" s="1092">
        <v>27.86</v>
      </c>
      <c r="E11470" s="907">
        <v>-5.5497169203647889E-2</v>
      </c>
      <c r="F11470" s="1188">
        <v>-1.1099433840729579E-2</v>
      </c>
      <c r="G11470" s="1755">
        <v>-2.2198867681459157E-4</v>
      </c>
      <c r="H11470" t="s">
        <v>5535</v>
      </c>
      <c r="I11470" s="1756">
        <v>26.524999999999999</v>
      </c>
      <c r="J11470" s="907">
        <v>-0.10075600908566973</v>
      </c>
      <c r="K11470" s="907">
        <v>-2.0151201817133948E-2</v>
      </c>
      <c r="L11470" s="1184">
        <v>-4.0302403634267896E-4</v>
      </c>
      <c r="M11470" s="1760"/>
      <c r="N11470" s="415"/>
      <c r="O11470" s="415"/>
      <c r="P11470" s="415"/>
      <c r="Q11470" s="415"/>
      <c r="R11470" s="415"/>
      <c r="S11470" s="415"/>
      <c r="T11470" s="415"/>
      <c r="U11470" s="415"/>
      <c r="V11470" s="415"/>
      <c r="W11470" s="415"/>
      <c r="X11470" s="415"/>
      <c r="Y11470" s="415"/>
      <c r="Z11470" s="444"/>
      <c r="AA11470" s="434"/>
      <c r="AB11470" s="434"/>
    </row>
    <row r="11471" spans="1:28" hidden="1" outlineLevel="1" x14ac:dyDescent="0.25">
      <c r="A11471" s="1553">
        <v>0.02</v>
      </c>
      <c r="B11471" s="1471" t="s">
        <v>2874</v>
      </c>
      <c r="C11471" s="1754">
        <v>27.273</v>
      </c>
      <c r="D11471" s="1092">
        <v>46.84</v>
      </c>
      <c r="E11471" s="907">
        <v>0.71744949217174514</v>
      </c>
      <c r="F11471" s="1188">
        <v>0.35</v>
      </c>
      <c r="G11471" s="1755">
        <v>6.9999999999999993E-3</v>
      </c>
      <c r="H11471" t="s">
        <v>9060</v>
      </c>
      <c r="I11471" s="1756">
        <v>47.366700000000002</v>
      </c>
      <c r="J11471" s="907">
        <v>0.73676163238367631</v>
      </c>
      <c r="K11471" s="907">
        <v>0.35</v>
      </c>
      <c r="L11471" s="1184">
        <v>6.9999999999999993E-3</v>
      </c>
      <c r="M11471" s="1760"/>
      <c r="N11471" s="415"/>
      <c r="O11471" s="415"/>
      <c r="P11471" s="415"/>
      <c r="Q11471" s="415"/>
      <c r="R11471" s="415"/>
      <c r="S11471" s="415"/>
      <c r="T11471" s="415"/>
      <c r="U11471" s="415"/>
      <c r="V11471" s="415"/>
      <c r="W11471" s="415"/>
      <c r="X11471" s="415"/>
      <c r="Y11471" s="415"/>
      <c r="Z11471" s="444"/>
      <c r="AA11471" s="434"/>
      <c r="AB11471" s="434"/>
    </row>
    <row r="11472" spans="1:28" hidden="1" outlineLevel="1" x14ac:dyDescent="0.25">
      <c r="E11472" s="498">
        <v>0.4134803667760909</v>
      </c>
      <c r="F11472" s="770"/>
      <c r="G11472" s="907">
        <v>0.1860683846114369</v>
      </c>
      <c r="J11472" s="1109"/>
      <c r="K11472" s="1175"/>
      <c r="L11472" s="1692">
        <v>0.2034</v>
      </c>
      <c r="M11472" s="370"/>
    </row>
    <row r="11473" spans="1:13" collapsed="1" x14ac:dyDescent="0.25">
      <c r="A11473" s="3801" t="s">
        <v>5538</v>
      </c>
      <c r="B11473" s="3802"/>
      <c r="C11473" s="3802"/>
      <c r="D11473" s="3802"/>
      <c r="E11473" s="1892"/>
      <c r="F11473" s="1890">
        <v>0.2034</v>
      </c>
      <c r="G11473" s="415"/>
      <c r="H11473" s="415"/>
      <c r="I11473" s="415"/>
      <c r="J11473" s="171"/>
      <c r="K11473" s="415"/>
      <c r="L11473" s="415"/>
      <c r="M11473" s="370"/>
    </row>
    <row r="11475" spans="1:13" hidden="1" outlineLevel="1" x14ac:dyDescent="0.25">
      <c r="A11475" s="689" t="s">
        <v>113</v>
      </c>
      <c r="B11475" s="689" t="s">
        <v>114</v>
      </c>
      <c r="C11475" s="689" t="s">
        <v>112</v>
      </c>
      <c r="D11475" s="689" t="s">
        <v>116</v>
      </c>
      <c r="E11475" s="689" t="s">
        <v>117</v>
      </c>
      <c r="F11475" s="1188" t="s">
        <v>121</v>
      </c>
    </row>
    <row r="11476" spans="1:13" hidden="1" outlineLevel="1" x14ac:dyDescent="0.25">
      <c r="A11476" s="690">
        <v>1</v>
      </c>
      <c r="B11476" s="691" t="s">
        <v>252</v>
      </c>
      <c r="C11476" s="692">
        <v>100</v>
      </c>
      <c r="D11476" s="692"/>
      <c r="E11476" s="693"/>
      <c r="F11476" s="694"/>
    </row>
    <row r="11477" spans="1:13" hidden="1" outlineLevel="1" x14ac:dyDescent="0.25">
      <c r="A11477" s="695"/>
      <c r="B11477" s="695"/>
      <c r="C11477" s="696"/>
      <c r="D11477" s="697" t="s">
        <v>3702</v>
      </c>
      <c r="E11477" s="698">
        <v>43188</v>
      </c>
      <c r="F11477" s="699"/>
    </row>
    <row r="11478" spans="1:13" hidden="1" outlineLevel="1" x14ac:dyDescent="0.25">
      <c r="A11478" s="1164" t="s">
        <v>4156</v>
      </c>
      <c r="B11478" s="899" t="s">
        <v>4153</v>
      </c>
      <c r="C11478" s="700" t="s">
        <v>112</v>
      </c>
      <c r="D11478" s="1164" t="s">
        <v>4155</v>
      </c>
      <c r="E11478" s="1164" t="s">
        <v>4154</v>
      </c>
      <c r="F11478" s="1056" t="s">
        <v>2519</v>
      </c>
      <c r="G11478" s="314"/>
      <c r="H11478" s="314"/>
    </row>
    <row r="11479" spans="1:13" hidden="1" outlineLevel="1" x14ac:dyDescent="0.25">
      <c r="A11479">
        <v>0.05</v>
      </c>
      <c r="B11479" t="s">
        <v>1993</v>
      </c>
      <c r="C11479" s="1330">
        <v>33.015000000000001</v>
      </c>
      <c r="D11479" s="704">
        <v>62.32</v>
      </c>
      <c r="E11479" s="911">
        <v>0.88762683628653649</v>
      </c>
      <c r="F11479" s="1021">
        <v>4.4381341814326826E-2</v>
      </c>
      <c r="H11479" t="s">
        <v>2812</v>
      </c>
      <c r="I11479" t="s">
        <v>2040</v>
      </c>
      <c r="J11479" s="370"/>
    </row>
    <row r="11480" spans="1:13" ht="13.8" hidden="1" outlineLevel="1" x14ac:dyDescent="0.3">
      <c r="A11480">
        <v>0.02</v>
      </c>
      <c r="B11480" t="s">
        <v>2942</v>
      </c>
      <c r="C11480" s="1328">
        <v>809.2</v>
      </c>
      <c r="D11480" s="708">
        <v>1616</v>
      </c>
      <c r="E11480" s="909">
        <v>0.99703410776075119</v>
      </c>
      <c r="F11480" s="946">
        <v>1.9940682155215023E-2</v>
      </c>
      <c r="H11480" t="s">
        <v>2336</v>
      </c>
      <c r="I11480" s="256">
        <v>42644</v>
      </c>
      <c r="J11480" s="1354">
        <v>145.41540000000001</v>
      </c>
      <c r="K11480" s="37">
        <v>0.45415399999999995</v>
      </c>
    </row>
    <row r="11481" spans="1:13" hidden="1" outlineLevel="1" x14ac:dyDescent="0.25">
      <c r="A11481">
        <v>0.02</v>
      </c>
      <c r="B11481" s="1319" t="s">
        <v>805</v>
      </c>
      <c r="C11481" s="1328">
        <v>60.161000000000001</v>
      </c>
      <c r="D11481" s="708">
        <v>97.32</v>
      </c>
      <c r="E11481" s="909">
        <v>0.61765928092950562</v>
      </c>
      <c r="F11481" s="946">
        <v>1.2353185618590112E-2</v>
      </c>
      <c r="H11481" t="s">
        <v>806</v>
      </c>
      <c r="I11481" s="256">
        <v>42675</v>
      </c>
      <c r="J11481" s="1628">
        <v>141.23609999999999</v>
      </c>
      <c r="K11481" s="37">
        <v>0.41236099999999998</v>
      </c>
    </row>
    <row r="11482" spans="1:13" hidden="1" outlineLevel="1" x14ac:dyDescent="0.25">
      <c r="A11482">
        <v>0.02</v>
      </c>
      <c r="B11482" s="706" t="s">
        <v>807</v>
      </c>
      <c r="C11482" s="1328">
        <v>42.677999999999997</v>
      </c>
      <c r="D11482" s="708">
        <v>55.44</v>
      </c>
      <c r="E11482" s="909">
        <v>0.29902994517081405</v>
      </c>
      <c r="F11482" s="946">
        <v>5.9805989034162812E-3</v>
      </c>
      <c r="H11482" t="s">
        <v>808</v>
      </c>
      <c r="I11482" s="256">
        <v>42705</v>
      </c>
      <c r="J11482" s="412">
        <v>146.34800000000001</v>
      </c>
      <c r="K11482" s="37">
        <v>0.46348000000000011</v>
      </c>
    </row>
    <row r="11483" spans="1:13" hidden="1" outlineLevel="1" x14ac:dyDescent="0.25">
      <c r="A11483">
        <v>0.02</v>
      </c>
      <c r="B11483" s="695" t="s">
        <v>3954</v>
      </c>
      <c r="C11483" s="1328">
        <v>81.408000000000001</v>
      </c>
      <c r="D11483" s="708">
        <v>113.72</v>
      </c>
      <c r="E11483" s="909">
        <v>0.39691430817610063</v>
      </c>
      <c r="F11483" s="946">
        <v>7.9382861635220129E-3</v>
      </c>
      <c r="H11483" t="s">
        <v>3955</v>
      </c>
      <c r="I11483" s="256">
        <v>42736</v>
      </c>
      <c r="J11483" s="412">
        <v>146.91630000000001</v>
      </c>
      <c r="K11483" s="37">
        <v>0.469163</v>
      </c>
    </row>
    <row r="11484" spans="1:13" hidden="1" outlineLevel="1" x14ac:dyDescent="0.25">
      <c r="A11484">
        <v>0.02</v>
      </c>
      <c r="B11484" s="695" t="s">
        <v>1319</v>
      </c>
      <c r="C11484" s="1328">
        <v>56.389000000000003</v>
      </c>
      <c r="D11484" s="708">
        <v>77.94</v>
      </c>
      <c r="E11484" s="909">
        <v>0.38218446860203215</v>
      </c>
      <c r="F11484" s="946">
        <v>7.6436893720406435E-3</v>
      </c>
      <c r="H11484" t="s">
        <v>1320</v>
      </c>
      <c r="I11484" s="256">
        <v>42767</v>
      </c>
      <c r="J11484" s="412">
        <v>152.68979999999999</v>
      </c>
      <c r="K11484" s="37">
        <v>0.52689799999999987</v>
      </c>
    </row>
    <row r="11485" spans="1:13" hidden="1" outlineLevel="1" x14ac:dyDescent="0.25">
      <c r="A11485">
        <v>0.02</v>
      </c>
      <c r="B11485" s="710" t="s">
        <v>1231</v>
      </c>
      <c r="C11485" s="1328">
        <v>64.501999999999995</v>
      </c>
      <c r="D11485" s="708">
        <v>77.47</v>
      </c>
      <c r="E11485" s="909">
        <v>0.20104802951846468</v>
      </c>
      <c r="F11485" s="946">
        <v>4.0209605903692939E-3</v>
      </c>
      <c r="H11485" t="s">
        <v>2041</v>
      </c>
      <c r="I11485" s="256">
        <v>42795</v>
      </c>
      <c r="J11485" s="412">
        <v>152.9299</v>
      </c>
      <c r="K11485" s="37">
        <v>0.52929899999999996</v>
      </c>
    </row>
    <row r="11486" spans="1:13" hidden="1" outlineLevel="1" x14ac:dyDescent="0.25">
      <c r="A11486">
        <v>0.05</v>
      </c>
      <c r="B11486" s="710" t="s">
        <v>5232</v>
      </c>
      <c r="C11486" s="1328">
        <v>64.105000000000004</v>
      </c>
      <c r="D11486" s="708">
        <v>78.78</v>
      </c>
      <c r="E11486" s="909">
        <v>0.2289213009905624</v>
      </c>
      <c r="F11486" s="946">
        <v>1.1446065049528121E-2</v>
      </c>
      <c r="H11486" t="s">
        <v>5230</v>
      </c>
      <c r="I11486" s="256">
        <v>42826</v>
      </c>
      <c r="J11486" s="412">
        <v>153.40780000000001</v>
      </c>
      <c r="K11486" s="37">
        <v>0.53407800000000005</v>
      </c>
    </row>
    <row r="11487" spans="1:13" hidden="1" outlineLevel="1" x14ac:dyDescent="0.25">
      <c r="A11487">
        <v>0.02</v>
      </c>
      <c r="B11487" t="s">
        <v>5489</v>
      </c>
      <c r="C11487" s="1328">
        <v>41.389000000000003</v>
      </c>
      <c r="D11487" s="708">
        <v>45.06</v>
      </c>
      <c r="E11487" s="909">
        <v>8.8695063905868787E-2</v>
      </c>
      <c r="F11487" s="946">
        <v>1.7739012781173757E-3</v>
      </c>
      <c r="H11487" t="s">
        <v>5487</v>
      </c>
      <c r="I11487" s="256">
        <v>42856</v>
      </c>
      <c r="J11487" s="412">
        <v>158.34030000000001</v>
      </c>
      <c r="K11487" s="37">
        <v>0.58340300000000012</v>
      </c>
    </row>
    <row r="11488" spans="1:13" hidden="1" outlineLevel="1" x14ac:dyDescent="0.25">
      <c r="A11488">
        <v>0.04</v>
      </c>
      <c r="B11488" s="853" t="s">
        <v>3799</v>
      </c>
      <c r="C11488" s="1328">
        <v>1343.3885017841999</v>
      </c>
      <c r="D11488" s="708">
        <v>1394</v>
      </c>
      <c r="E11488" s="909">
        <v>3.7674506033497535E-2</v>
      </c>
      <c r="F11488" s="946">
        <v>1.5069802413399014E-3</v>
      </c>
      <c r="H11488" t="s">
        <v>4128</v>
      </c>
      <c r="I11488" s="256">
        <v>42887</v>
      </c>
      <c r="J11488" s="412">
        <v>153.846</v>
      </c>
      <c r="K11488" s="37">
        <v>0.53845999999999994</v>
      </c>
    </row>
    <row r="11489" spans="1:11" hidden="1" outlineLevel="1" x14ac:dyDescent="0.25">
      <c r="A11489">
        <v>0.02</v>
      </c>
      <c r="B11489" s="853" t="s">
        <v>4496</v>
      </c>
      <c r="C11489" s="1328">
        <v>58.963000000000001</v>
      </c>
      <c r="D11489" s="708">
        <v>76.708399999999997</v>
      </c>
      <c r="E11489" s="909">
        <v>0.30095822804131389</v>
      </c>
      <c r="F11489" s="946">
        <v>6.0191645608262782E-3</v>
      </c>
      <c r="H11489" t="s">
        <v>8824</v>
      </c>
      <c r="I11489" s="256">
        <v>42917</v>
      </c>
      <c r="J11489" s="412">
        <v>149.62360000000001</v>
      </c>
      <c r="K11489" s="37">
        <v>0.49623600000000012</v>
      </c>
    </row>
    <row r="11490" spans="1:11" hidden="1" outlineLevel="1" x14ac:dyDescent="0.25">
      <c r="A11490">
        <v>0.02</v>
      </c>
      <c r="B11490" s="853" t="s">
        <v>3426</v>
      </c>
      <c r="C11490" s="1328">
        <v>70.781999999999996</v>
      </c>
      <c r="D11490" s="708">
        <v>128.15</v>
      </c>
      <c r="E11490" s="909">
        <v>0.81048854228476186</v>
      </c>
      <c r="F11490" s="946">
        <v>1.6209770845695238E-2</v>
      </c>
      <c r="H11490" t="s">
        <v>4145</v>
      </c>
      <c r="I11490" s="256">
        <v>42948</v>
      </c>
      <c r="J11490" s="412">
        <v>151.07509999999999</v>
      </c>
      <c r="K11490" s="37">
        <v>0.51075099999999996</v>
      </c>
    </row>
    <row r="11491" spans="1:11" hidden="1" outlineLevel="1" x14ac:dyDescent="0.25">
      <c r="A11491">
        <v>0.02</v>
      </c>
      <c r="B11491" s="712" t="s">
        <v>1381</v>
      </c>
      <c r="C11491" s="1328">
        <v>81.983262346349335</v>
      </c>
      <c r="D11491" s="708">
        <v>110.13</v>
      </c>
      <c r="E11491" s="909">
        <v>0.34332297652099975</v>
      </c>
      <c r="F11491" s="946">
        <v>6.8664595304199954E-3</v>
      </c>
      <c r="H11491" t="s">
        <v>1383</v>
      </c>
      <c r="I11491" s="256">
        <v>42979</v>
      </c>
      <c r="J11491" s="412">
        <v>150.08869999999999</v>
      </c>
      <c r="K11491" s="37">
        <v>0.50088699999999986</v>
      </c>
    </row>
    <row r="11492" spans="1:11" hidden="1" outlineLevel="1" x14ac:dyDescent="0.25">
      <c r="A11492">
        <v>0.04</v>
      </c>
      <c r="B11492" s="853" t="s">
        <v>2786</v>
      </c>
      <c r="C11492" s="1328">
        <v>709</v>
      </c>
      <c r="D11492" s="708">
        <v>802.2</v>
      </c>
      <c r="E11492" s="909">
        <v>0.13145275035260928</v>
      </c>
      <c r="F11492" s="946">
        <v>5.2581100141043712E-3</v>
      </c>
      <c r="H11492" t="s">
        <v>4195</v>
      </c>
      <c r="I11492" s="256">
        <v>43009</v>
      </c>
      <c r="J11492" s="412">
        <v>153.47649999999999</v>
      </c>
      <c r="K11492" s="37">
        <v>0.53476499999999993</v>
      </c>
    </row>
    <row r="11493" spans="1:11" hidden="1" outlineLevel="1" x14ac:dyDescent="0.25">
      <c r="A11493">
        <v>0.05</v>
      </c>
      <c r="B11493" t="s">
        <v>2787</v>
      </c>
      <c r="C11493" s="1328">
        <v>58.395000000000003</v>
      </c>
      <c r="D11493" s="708">
        <v>77.260000000000005</v>
      </c>
      <c r="E11493" s="909">
        <v>0.3230584810343351</v>
      </c>
      <c r="F11493" s="946">
        <v>1.6152924051716755E-2</v>
      </c>
      <c r="H11493" t="s">
        <v>8874</v>
      </c>
      <c r="I11493" s="256">
        <v>43040</v>
      </c>
      <c r="J11493" s="412">
        <v>155.77160000000001</v>
      </c>
      <c r="K11493" s="37">
        <v>0.5577160000000001</v>
      </c>
    </row>
    <row r="11494" spans="1:11" hidden="1" outlineLevel="1" x14ac:dyDescent="0.25">
      <c r="A11494">
        <v>7.0000000000000007E-2</v>
      </c>
      <c r="B11494" t="s">
        <v>4273</v>
      </c>
      <c r="C11494" s="1328">
        <v>1217.7</v>
      </c>
      <c r="D11494" s="708">
        <v>2689.5</v>
      </c>
      <c r="E11494" s="909">
        <v>1.2086720867208673</v>
      </c>
      <c r="F11494" s="946">
        <v>8.4607046070460726E-2</v>
      </c>
      <c r="H11494" t="s">
        <v>82</v>
      </c>
      <c r="I11494" s="256">
        <v>43070</v>
      </c>
      <c r="J11494" s="412">
        <v>155.69329999999999</v>
      </c>
      <c r="K11494" s="37">
        <v>0.5569329999999999</v>
      </c>
    </row>
    <row r="11495" spans="1:11" hidden="1" outlineLevel="1" x14ac:dyDescent="0.25">
      <c r="A11495">
        <v>7.0000000000000007E-2</v>
      </c>
      <c r="B11495" s="712" t="s">
        <v>901</v>
      </c>
      <c r="C11495" s="1328">
        <v>17.641086263293889</v>
      </c>
      <c r="D11495" s="708">
        <v>41.31</v>
      </c>
      <c r="E11495" s="909">
        <v>1.3416925343171426</v>
      </c>
      <c r="F11495" s="946">
        <v>9.3918477402199996E-2</v>
      </c>
      <c r="H11495" t="s">
        <v>531</v>
      </c>
      <c r="I11495" s="256">
        <v>43101</v>
      </c>
      <c r="J11495" s="412">
        <v>152.5085</v>
      </c>
      <c r="K11495" s="37">
        <v>0.52508500000000002</v>
      </c>
    </row>
    <row r="11496" spans="1:11" hidden="1" outlineLevel="1" x14ac:dyDescent="0.25">
      <c r="A11496">
        <v>7.0000000000000007E-2</v>
      </c>
      <c r="B11496" s="853" t="s">
        <v>3800</v>
      </c>
      <c r="C11496" s="1328">
        <v>186.44</v>
      </c>
      <c r="D11496" s="708">
        <v>219.1</v>
      </c>
      <c r="E11496" s="909">
        <v>0.17517700064363861</v>
      </c>
      <c r="F11496" s="946">
        <v>1.2262390045054705E-2</v>
      </c>
      <c r="H11496" t="s">
        <v>8876</v>
      </c>
      <c r="I11496" s="256">
        <v>43132</v>
      </c>
      <c r="J11496" s="412">
        <v>145.35939999999999</v>
      </c>
      <c r="K11496" s="37">
        <v>0.45359399999999983</v>
      </c>
    </row>
    <row r="11497" spans="1:11" hidden="1" outlineLevel="1" x14ac:dyDescent="0.25">
      <c r="A11497">
        <v>0.02</v>
      </c>
      <c r="B11497" s="853" t="s">
        <v>3427</v>
      </c>
      <c r="C11497" s="1328">
        <v>43.494</v>
      </c>
      <c r="D11497" s="708">
        <v>44.66</v>
      </c>
      <c r="E11497" s="909">
        <v>2.6808295397066084E-2</v>
      </c>
      <c r="F11497" s="946">
        <v>5.3616590794132175E-4</v>
      </c>
      <c r="H11497" t="s">
        <v>2800</v>
      </c>
      <c r="I11497" s="256">
        <v>43160</v>
      </c>
      <c r="J11497" s="412">
        <v>142.69159999999999</v>
      </c>
      <c r="K11497" s="37">
        <v>0.42691599999999985</v>
      </c>
    </row>
    <row r="11498" spans="1:11" hidden="1" outlineLevel="1" x14ac:dyDescent="0.25">
      <c r="A11498">
        <v>0.04</v>
      </c>
      <c r="B11498" s="712" t="s">
        <v>1857</v>
      </c>
      <c r="C11498" s="1328">
        <v>1442.4</v>
      </c>
      <c r="D11498" s="708">
        <v>1276</v>
      </c>
      <c r="E11498" s="909">
        <v>-0.11536328341652802</v>
      </c>
      <c r="F11498" s="946">
        <v>-4.6145313366611207E-3</v>
      </c>
      <c r="H11498" t="s">
        <v>3559</v>
      </c>
      <c r="I11498" s="412" t="s">
        <v>2465</v>
      </c>
      <c r="K11498" s="261">
        <v>0.50412105555555553</v>
      </c>
    </row>
    <row r="11499" spans="1:11" hidden="1" outlineLevel="1" x14ac:dyDescent="0.25">
      <c r="A11499">
        <v>7.0000000000000007E-2</v>
      </c>
      <c r="B11499" s="712" t="s">
        <v>1239</v>
      </c>
      <c r="C11499" s="1328">
        <v>395.92</v>
      </c>
      <c r="D11499" s="708">
        <v>473.6</v>
      </c>
      <c r="E11499" s="909">
        <v>0.196201252778339</v>
      </c>
      <c r="F11499" s="946">
        <v>1.3734087694483732E-2</v>
      </c>
      <c r="H11499" t="s">
        <v>8891</v>
      </c>
      <c r="K11499" s="434"/>
    </row>
    <row r="11500" spans="1:11" hidden="1" outlineLevel="1" x14ac:dyDescent="0.25">
      <c r="A11500">
        <v>7.0000000000000007E-2</v>
      </c>
      <c r="B11500" t="s">
        <v>3022</v>
      </c>
      <c r="C11500" s="1328">
        <v>3841.5</v>
      </c>
      <c r="D11500" s="708">
        <v>5120</v>
      </c>
      <c r="E11500" s="909">
        <v>0.33281270337107904</v>
      </c>
      <c r="F11500" s="946">
        <v>2.3296889235975535E-2</v>
      </c>
      <c r="H11500" t="s">
        <v>2802</v>
      </c>
      <c r="K11500" s="434"/>
    </row>
    <row r="11501" spans="1:11" hidden="1" outlineLevel="1" x14ac:dyDescent="0.25">
      <c r="A11501">
        <v>0.02</v>
      </c>
      <c r="B11501" t="s">
        <v>5503</v>
      </c>
      <c r="C11501" s="1328">
        <v>763.05</v>
      </c>
      <c r="D11501" s="708">
        <v>544.6</v>
      </c>
      <c r="E11501" s="909">
        <v>-0.28628530240482264</v>
      </c>
      <c r="F11501" s="946">
        <v>-5.7257060480964527E-3</v>
      </c>
      <c r="H11501" t="s">
        <v>5501</v>
      </c>
      <c r="K11501" s="434"/>
    </row>
    <row r="11502" spans="1:11" hidden="1" outlineLevel="1" x14ac:dyDescent="0.25">
      <c r="A11502">
        <v>0.02</v>
      </c>
      <c r="B11502" s="712" t="s">
        <v>434</v>
      </c>
      <c r="C11502" s="1328">
        <v>44.615000000000002</v>
      </c>
      <c r="D11502" s="708">
        <v>39.21</v>
      </c>
      <c r="E11502" s="909">
        <v>-0.12114759609996639</v>
      </c>
      <c r="F11502" s="946">
        <v>-2.422951921999328E-3</v>
      </c>
      <c r="H11502" t="s">
        <v>7745</v>
      </c>
      <c r="K11502" s="434"/>
    </row>
    <row r="11503" spans="1:11" hidden="1" outlineLevel="1" x14ac:dyDescent="0.25">
      <c r="A11503">
        <v>0.02</v>
      </c>
      <c r="B11503" s="712" t="s">
        <v>3665</v>
      </c>
      <c r="C11503" s="1328">
        <v>32.481499999999997</v>
      </c>
      <c r="D11503" s="708">
        <v>45.24</v>
      </c>
      <c r="E11503" s="909">
        <v>0.39279282052860887</v>
      </c>
      <c r="F11503" s="946">
        <v>7.8558564105721783E-3</v>
      </c>
      <c r="H11503" t="s">
        <v>7021</v>
      </c>
      <c r="K11503" s="434"/>
    </row>
    <row r="11504" spans="1:11" hidden="1" outlineLevel="1" x14ac:dyDescent="0.25">
      <c r="A11504">
        <v>0.02</v>
      </c>
      <c r="B11504" s="987" t="s">
        <v>5534</v>
      </c>
      <c r="C11504" s="1328">
        <v>6.1623160353934257</v>
      </c>
      <c r="D11504" s="708">
        <v>11.42</v>
      </c>
      <c r="E11504" s="909">
        <v>0.8531993384319998</v>
      </c>
      <c r="F11504" s="946">
        <v>1.7063986768639995E-2</v>
      </c>
      <c r="H11504" t="s">
        <v>5532</v>
      </c>
      <c r="K11504" s="434"/>
    </row>
    <row r="11505" spans="1:11" hidden="1" outlineLevel="1" x14ac:dyDescent="0.25">
      <c r="A11505">
        <v>0.02</v>
      </c>
      <c r="B11505" s="853" t="s">
        <v>255</v>
      </c>
      <c r="C11505" s="1328">
        <v>44.158000000000001</v>
      </c>
      <c r="D11505" s="708">
        <v>47.82</v>
      </c>
      <c r="E11505" s="909">
        <v>8.2929480501834352E-2</v>
      </c>
      <c r="F11505" s="946">
        <v>1.658589610036687E-3</v>
      </c>
      <c r="H11505" t="s">
        <v>3351</v>
      </c>
      <c r="K11505" s="434"/>
    </row>
    <row r="11506" spans="1:11" hidden="1" outlineLevel="1" x14ac:dyDescent="0.25">
      <c r="A11506">
        <v>0.02</v>
      </c>
      <c r="B11506" t="s">
        <v>5522</v>
      </c>
      <c r="C11506" s="1328">
        <v>35.817421531868959</v>
      </c>
      <c r="D11506" s="708">
        <v>41.56</v>
      </c>
      <c r="E11506" s="909">
        <v>0.1603291979860002</v>
      </c>
      <c r="F11506" s="946">
        <v>3.2065839597200043E-3</v>
      </c>
      <c r="H11506" t="s">
        <v>5520</v>
      </c>
      <c r="K11506" s="434"/>
    </row>
    <row r="11507" spans="1:11" hidden="1" outlineLevel="1" x14ac:dyDescent="0.25">
      <c r="A11507">
        <v>0.02</v>
      </c>
      <c r="B11507" s="987" t="s">
        <v>5537</v>
      </c>
      <c r="C11507" s="1328">
        <v>29.497</v>
      </c>
      <c r="D11507" s="708">
        <v>26.29</v>
      </c>
      <c r="E11507" s="909">
        <v>-0.10872292097501446</v>
      </c>
      <c r="F11507" s="946">
        <v>-2.1744584195002893E-3</v>
      </c>
      <c r="H11507" t="s">
        <v>5535</v>
      </c>
      <c r="K11507" s="434"/>
    </row>
    <row r="11508" spans="1:11" hidden="1" outlineLevel="1" x14ac:dyDescent="0.25">
      <c r="A11508">
        <v>0.02</v>
      </c>
      <c r="B11508" s="1338" t="s">
        <v>2874</v>
      </c>
      <c r="C11508" s="1331">
        <v>27.273</v>
      </c>
      <c r="D11508" s="1199">
        <v>45.48</v>
      </c>
      <c r="E11508" s="498">
        <v>0.66758332416675814</v>
      </c>
      <c r="F11508" s="946">
        <v>1.3351666483335163E-2</v>
      </c>
      <c r="H11508" t="s">
        <v>9060</v>
      </c>
      <c r="K11508" s="434"/>
    </row>
    <row r="11509" spans="1:11" hidden="1" outlineLevel="1" x14ac:dyDescent="0.25">
      <c r="E11509" s="909"/>
      <c r="F11509" s="1830">
        <v>0.4269</v>
      </c>
    </row>
    <row r="11510" spans="1:11" collapsed="1" x14ac:dyDescent="0.25">
      <c r="A11510" s="3801" t="s">
        <v>5539</v>
      </c>
      <c r="B11510" s="3802"/>
      <c r="C11510" s="3802"/>
      <c r="D11510" s="3802"/>
      <c r="E11510" s="1892"/>
      <c r="F11510" s="1890">
        <v>0.45370895</v>
      </c>
    </row>
    <row r="11512" spans="1:11" hidden="1" outlineLevel="1" x14ac:dyDescent="0.25">
      <c r="A11512" s="3073" t="s">
        <v>113</v>
      </c>
      <c r="B11512" s="3073" t="s">
        <v>114</v>
      </c>
      <c r="C11512" s="3073" t="s">
        <v>112</v>
      </c>
      <c r="D11512" s="3073" t="s">
        <v>116</v>
      </c>
      <c r="E11512" s="3073" t="s">
        <v>117</v>
      </c>
      <c r="F11512" s="3044" t="s">
        <v>121</v>
      </c>
      <c r="G11512" s="97"/>
      <c r="H11512" s="173" t="s">
        <v>4475</v>
      </c>
    </row>
    <row r="11513" spans="1:11" hidden="1" outlineLevel="1" x14ac:dyDescent="0.25">
      <c r="A11513" s="3045">
        <v>5</v>
      </c>
      <c r="B11513" s="3046" t="s">
        <v>252</v>
      </c>
      <c r="C11513" s="3047"/>
      <c r="D11513" s="3047"/>
      <c r="E11513" s="3082"/>
      <c r="F11513" s="3083"/>
      <c r="G11513" s="97"/>
    </row>
    <row r="11514" spans="1:11" hidden="1" outlineLevel="1" x14ac:dyDescent="0.25">
      <c r="A11514" s="3050"/>
      <c r="B11514" s="3050"/>
      <c r="C11514" s="3051"/>
      <c r="D11514" s="1900" t="s">
        <v>3702</v>
      </c>
      <c r="E11514" s="3052">
        <v>43343</v>
      </c>
      <c r="F11514" s="3084"/>
      <c r="G11514" s="97"/>
    </row>
    <row r="11515" spans="1:11" hidden="1" outlineLevel="1" x14ac:dyDescent="0.25">
      <c r="A11515" s="3076" t="s">
        <v>4156</v>
      </c>
      <c r="B11515" s="3073" t="s">
        <v>4153</v>
      </c>
      <c r="C11515" s="3081" t="s">
        <v>112</v>
      </c>
      <c r="D11515" s="3076" t="s">
        <v>4155</v>
      </c>
      <c r="E11515" s="3073" t="s">
        <v>4154</v>
      </c>
      <c r="F11515" s="3080" t="s">
        <v>2519</v>
      </c>
      <c r="G11515" s="97"/>
    </row>
    <row r="11516" spans="1:11" hidden="1" outlineLevel="1" x14ac:dyDescent="0.25">
      <c r="A11516" s="3088">
        <v>0.04</v>
      </c>
      <c r="B11516" s="2089" t="s">
        <v>1993</v>
      </c>
      <c r="C11516" s="2337">
        <v>33.808</v>
      </c>
      <c r="D11516" s="2222">
        <v>58.52</v>
      </c>
      <c r="E11516" s="3089">
        <v>0.7309512541410319</v>
      </c>
      <c r="F11516" s="3056">
        <v>5.5E-2</v>
      </c>
      <c r="G11516" s="198"/>
      <c r="H11516" s="110" t="s">
        <v>2812</v>
      </c>
    </row>
    <row r="11517" spans="1:11" hidden="1" outlineLevel="1" x14ac:dyDescent="0.25">
      <c r="A11517" s="3090">
        <v>0.05</v>
      </c>
      <c r="B11517" s="1813" t="s">
        <v>805</v>
      </c>
      <c r="C11517" s="1902">
        <v>64.116</v>
      </c>
      <c r="D11517" s="3024">
        <v>106.97</v>
      </c>
      <c r="E11517" s="3091">
        <v>0.66838230706843849</v>
      </c>
      <c r="F11517" s="3061">
        <v>5.5E-2</v>
      </c>
      <c r="G11517" s="198"/>
      <c r="H11517" s="110" t="s">
        <v>806</v>
      </c>
    </row>
    <row r="11518" spans="1:11" hidden="1" outlineLevel="1" x14ac:dyDescent="0.25">
      <c r="A11518" s="3090">
        <v>0.08</v>
      </c>
      <c r="B11518" s="1813" t="s">
        <v>5386</v>
      </c>
      <c r="C11518" s="1902">
        <v>46.814</v>
      </c>
      <c r="D11518" s="3024">
        <v>53.23</v>
      </c>
      <c r="E11518" s="3091">
        <v>0.13705301832785066</v>
      </c>
      <c r="F11518" s="3061">
        <v>5.5E-2</v>
      </c>
      <c r="G11518" s="198"/>
      <c r="H11518" s="110" t="s">
        <v>808</v>
      </c>
    </row>
    <row r="11519" spans="1:11" hidden="1" outlineLevel="1" x14ac:dyDescent="0.25">
      <c r="A11519" s="3090">
        <v>0.04</v>
      </c>
      <c r="B11519" s="2965" t="s">
        <v>2353</v>
      </c>
      <c r="C11519" s="1902">
        <v>555.4</v>
      </c>
      <c r="D11519" s="3024">
        <v>635.6</v>
      </c>
      <c r="E11519" s="3091">
        <v>0.14440043212099396</v>
      </c>
      <c r="F11519" s="3061">
        <v>5.5E-2</v>
      </c>
      <c r="G11519" s="198"/>
      <c r="H11519" s="110" t="s">
        <v>2354</v>
      </c>
    </row>
    <row r="11520" spans="1:11" hidden="1" outlineLevel="1" x14ac:dyDescent="0.25">
      <c r="A11520" s="3090">
        <v>0.08</v>
      </c>
      <c r="B11520" s="1813" t="s">
        <v>3954</v>
      </c>
      <c r="C11520" s="1902">
        <v>82.331999999999994</v>
      </c>
      <c r="D11520" s="3024">
        <v>122.3</v>
      </c>
      <c r="E11520" s="3091">
        <v>0.48544915707136971</v>
      </c>
      <c r="F11520" s="3061">
        <v>5.5E-2</v>
      </c>
      <c r="G11520" s="198"/>
      <c r="H11520" s="110" t="s">
        <v>3955</v>
      </c>
    </row>
    <row r="11521" spans="1:8" hidden="1" outlineLevel="1" x14ac:dyDescent="0.25">
      <c r="A11521" s="3090">
        <v>0.05</v>
      </c>
      <c r="B11521" s="2225" t="s">
        <v>5516</v>
      </c>
      <c r="C11521" s="1902">
        <v>1825.8</v>
      </c>
      <c r="D11521" s="3024">
        <v>4338</v>
      </c>
      <c r="E11521" s="3091">
        <v>1.375944791324351</v>
      </c>
      <c r="F11521" s="3061">
        <v>5.5E-2</v>
      </c>
      <c r="G11521" s="198"/>
      <c r="H11521" s="110" t="s">
        <v>5514</v>
      </c>
    </row>
    <row r="11522" spans="1:8" hidden="1" outlineLevel="1" x14ac:dyDescent="0.25">
      <c r="A11522" s="3090">
        <v>0.08</v>
      </c>
      <c r="B11522" s="2965" t="s">
        <v>1231</v>
      </c>
      <c r="C11522" s="1902">
        <v>69.790000000000006</v>
      </c>
      <c r="D11522" s="3024">
        <v>81.239999999999995</v>
      </c>
      <c r="E11522" s="3091">
        <v>0.16406361942971759</v>
      </c>
      <c r="F11522" s="3061">
        <v>5.5E-2</v>
      </c>
      <c r="G11522" s="198"/>
      <c r="H11522" s="110" t="s">
        <v>2041</v>
      </c>
    </row>
    <row r="11523" spans="1:8" hidden="1" outlineLevel="1" x14ac:dyDescent="0.25">
      <c r="A11523" s="3090">
        <v>0.05</v>
      </c>
      <c r="B11523" s="1813" t="s">
        <v>3798</v>
      </c>
      <c r="C11523" s="1902">
        <v>2.6543999999999999</v>
      </c>
      <c r="D11523" s="3024">
        <v>4.26</v>
      </c>
      <c r="E11523" s="3091">
        <v>0.60488245931283902</v>
      </c>
      <c r="F11523" s="3061">
        <v>5.5E-2</v>
      </c>
      <c r="G11523" s="198"/>
      <c r="H11523" s="110" t="s">
        <v>4122</v>
      </c>
    </row>
    <row r="11524" spans="1:8" hidden="1" outlineLevel="1" x14ac:dyDescent="0.25">
      <c r="A11524" s="3090">
        <v>0.02</v>
      </c>
      <c r="B11524" s="2965" t="s">
        <v>3799</v>
      </c>
      <c r="C11524" s="1902">
        <v>1494.9</v>
      </c>
      <c r="D11524" s="3024">
        <v>1560.4</v>
      </c>
      <c r="E11524" s="3091">
        <v>4.3815639842129883E-2</v>
      </c>
      <c r="F11524" s="3061">
        <v>5.5E-2</v>
      </c>
      <c r="G11524" s="198"/>
      <c r="H11524" s="110" t="s">
        <v>4128</v>
      </c>
    </row>
    <row r="11525" spans="1:8" hidden="1" outlineLevel="1" x14ac:dyDescent="0.25">
      <c r="A11525" s="3090">
        <v>0.02</v>
      </c>
      <c r="B11525" s="3050" t="s">
        <v>4034</v>
      </c>
      <c r="C11525" s="1902">
        <v>11.553000000000001</v>
      </c>
      <c r="D11525" s="3024">
        <v>20.96</v>
      </c>
      <c r="E11525" s="3091">
        <v>0.81424738163247645</v>
      </c>
      <c r="F11525" s="3061">
        <v>5.5E-2</v>
      </c>
      <c r="G11525" s="198"/>
      <c r="H11525" s="110" t="s">
        <v>8151</v>
      </c>
    </row>
    <row r="11526" spans="1:8" hidden="1" outlineLevel="1" x14ac:dyDescent="0.25">
      <c r="A11526" s="3090">
        <v>0.05</v>
      </c>
      <c r="B11526" s="1813" t="s">
        <v>2787</v>
      </c>
      <c r="C11526" s="1902">
        <v>65.61</v>
      </c>
      <c r="D11526" s="3024">
        <v>80.38</v>
      </c>
      <c r="E11526" s="3091">
        <v>0.22511812223746364</v>
      </c>
      <c r="F11526" s="3061">
        <v>5.5E-2</v>
      </c>
      <c r="G11526" s="198"/>
      <c r="H11526" s="110" t="s">
        <v>8874</v>
      </c>
    </row>
    <row r="11527" spans="1:8" hidden="1" outlineLevel="1" x14ac:dyDescent="0.25">
      <c r="A11527" s="3090">
        <v>0.04</v>
      </c>
      <c r="B11527" s="2965" t="s">
        <v>4273</v>
      </c>
      <c r="C11527" s="1902">
        <v>1459.8</v>
      </c>
      <c r="D11527" s="3024">
        <v>2885</v>
      </c>
      <c r="E11527" s="3091">
        <v>0.9762981230305523</v>
      </c>
      <c r="F11527" s="3061">
        <v>5.5E-2</v>
      </c>
      <c r="G11527" s="198"/>
      <c r="H11527" s="110" t="s">
        <v>82</v>
      </c>
    </row>
    <row r="11528" spans="1:8" hidden="1" outlineLevel="1" x14ac:dyDescent="0.25">
      <c r="A11528" s="3090">
        <v>0.04</v>
      </c>
      <c r="B11528" s="2965" t="s">
        <v>901</v>
      </c>
      <c r="C11528" s="1902">
        <v>17.817399999999999</v>
      </c>
      <c r="D11528" s="3024">
        <v>37.215000000000003</v>
      </c>
      <c r="E11528" s="3091">
        <v>1.0886885853154786</v>
      </c>
      <c r="F11528" s="3061">
        <v>5.5E-2</v>
      </c>
      <c r="G11528" s="198"/>
      <c r="H11528" s="110" t="s">
        <v>531</v>
      </c>
    </row>
    <row r="11529" spans="1:8" hidden="1" outlineLevel="1" x14ac:dyDescent="0.25">
      <c r="A11529" s="3090">
        <v>0.08</v>
      </c>
      <c r="B11529" s="1813" t="s">
        <v>3800</v>
      </c>
      <c r="C11529" s="1902">
        <v>215.08</v>
      </c>
      <c r="D11529" s="3024">
        <v>240.8</v>
      </c>
      <c r="E11529" s="3091">
        <v>0.11958341082387958</v>
      </c>
      <c r="F11529" s="3061">
        <v>5.5E-2</v>
      </c>
      <c r="G11529" s="198"/>
      <c r="H11529" s="110" t="s">
        <v>8876</v>
      </c>
    </row>
    <row r="11530" spans="1:8" hidden="1" outlineLevel="1" x14ac:dyDescent="0.25">
      <c r="A11530" s="3090">
        <v>0.04</v>
      </c>
      <c r="B11530" s="2225" t="s">
        <v>5519</v>
      </c>
      <c r="C11530" s="1902">
        <v>358.64</v>
      </c>
      <c r="D11530" s="3024">
        <v>324.2</v>
      </c>
      <c r="E11530" s="3091">
        <v>-9.6029444568369371E-2</v>
      </c>
      <c r="F11530" s="3061">
        <v>-9.6029444568369371E-2</v>
      </c>
      <c r="G11530" s="198"/>
      <c r="H11530" s="110" t="s">
        <v>5517</v>
      </c>
    </row>
    <row r="11531" spans="1:8" hidden="1" outlineLevel="1" x14ac:dyDescent="0.25">
      <c r="A11531" s="3090">
        <v>0.04</v>
      </c>
      <c r="B11531" s="1813" t="s">
        <v>4460</v>
      </c>
      <c r="C11531" s="1902">
        <v>1643.2</v>
      </c>
      <c r="D11531" s="3024">
        <v>2001</v>
      </c>
      <c r="E11531" s="3091">
        <v>0.21774586173320354</v>
      </c>
      <c r="F11531" s="3061">
        <v>5.5E-2</v>
      </c>
      <c r="G11531" s="198"/>
      <c r="H11531" s="110" t="s">
        <v>3485</v>
      </c>
    </row>
    <row r="11532" spans="1:8" hidden="1" outlineLevel="1" x14ac:dyDescent="0.25">
      <c r="A11532" s="3090">
        <v>0.05</v>
      </c>
      <c r="B11532" s="2225" t="s">
        <v>5168</v>
      </c>
      <c r="C11532" s="1902">
        <v>1222.8</v>
      </c>
      <c r="D11532" s="3024">
        <v>1803.5</v>
      </c>
      <c r="E11532" s="3091">
        <v>0.47489368662087017</v>
      </c>
      <c r="F11532" s="3061">
        <v>5.5E-2</v>
      </c>
      <c r="G11532" s="198"/>
      <c r="H11532" s="110" t="s">
        <v>5170</v>
      </c>
    </row>
    <row r="11533" spans="1:8" hidden="1" outlineLevel="1" x14ac:dyDescent="0.25">
      <c r="A11533" s="3090">
        <v>0.08</v>
      </c>
      <c r="B11533" s="1813" t="s">
        <v>1239</v>
      </c>
      <c r="C11533" s="1902">
        <v>434.26</v>
      </c>
      <c r="D11533" s="3024">
        <v>432.9</v>
      </c>
      <c r="E11533" s="3091">
        <v>-3.1317643807857731E-3</v>
      </c>
      <c r="F11533" s="3061">
        <v>-3.1317643807857731E-3</v>
      </c>
      <c r="G11533" s="198"/>
      <c r="H11533" s="110" t="s">
        <v>8891</v>
      </c>
    </row>
    <row r="11534" spans="1:8" hidden="1" outlineLevel="1" x14ac:dyDescent="0.25">
      <c r="A11534" s="3090">
        <v>0.03</v>
      </c>
      <c r="B11534" s="2225" t="s">
        <v>5522</v>
      </c>
      <c r="C11534" s="1902">
        <v>42.457999999999998</v>
      </c>
      <c r="D11534" s="3024">
        <v>51.45</v>
      </c>
      <c r="E11534" s="3091">
        <v>0.21178576475575883</v>
      </c>
      <c r="F11534" s="3061">
        <v>5.5E-2</v>
      </c>
      <c r="G11534" s="198"/>
      <c r="H11534" s="110" t="s">
        <v>5520</v>
      </c>
    </row>
    <row r="11535" spans="1:8" hidden="1" outlineLevel="1" x14ac:dyDescent="0.25">
      <c r="A11535" s="3098">
        <v>0.04</v>
      </c>
      <c r="B11535" s="3110" t="s">
        <v>5174</v>
      </c>
      <c r="C11535" s="2562">
        <v>272.08</v>
      </c>
      <c r="D11535" s="2227">
        <v>263.25</v>
      </c>
      <c r="E11535" s="3111">
        <v>-3.2453690091149623E-2</v>
      </c>
      <c r="F11535" s="2989">
        <v>-3.2453690091149623E-2</v>
      </c>
      <c r="G11535" s="198"/>
      <c r="H11535" s="110" t="s">
        <v>5172</v>
      </c>
    </row>
    <row r="11536" spans="1:8" hidden="1" outlineLevel="1" x14ac:dyDescent="0.25">
      <c r="A11536" s="3112"/>
      <c r="B11536" s="2216"/>
      <c r="C11536" s="3066"/>
      <c r="D11536" s="3113"/>
      <c r="E11536" s="3067">
        <v>0.38440134186939517</v>
      </c>
      <c r="F11536" s="3068">
        <v>4.081013346315638E-2</v>
      </c>
      <c r="G11536" s="97"/>
    </row>
    <row r="11537" spans="1:11" hidden="1" outlineLevel="1" x14ac:dyDescent="0.25">
      <c r="A11537" s="3104" t="s">
        <v>5553</v>
      </c>
      <c r="B11537" s="1813"/>
      <c r="C11537" s="3069"/>
      <c r="D11537" s="2382"/>
      <c r="E11537" s="2695"/>
      <c r="F11537" s="3086">
        <v>0.02</v>
      </c>
      <c r="G11537" s="97"/>
    </row>
    <row r="11538" spans="1:11" hidden="1" outlineLevel="1" x14ac:dyDescent="0.25">
      <c r="A11538" s="3104" t="s">
        <v>5554</v>
      </c>
      <c r="B11538" s="1813"/>
      <c r="C11538" s="3069"/>
      <c r="D11538" s="2382"/>
      <c r="E11538" s="2695"/>
      <c r="F11538" s="3086">
        <v>3.1E-2</v>
      </c>
      <c r="G11538" s="97"/>
    </row>
    <row r="11539" spans="1:11" hidden="1" outlineLevel="1" x14ac:dyDescent="0.25">
      <c r="A11539" s="3104" t="s">
        <v>5555</v>
      </c>
      <c r="B11539" s="1813"/>
      <c r="C11539" s="3069"/>
      <c r="D11539" s="2382"/>
      <c r="E11539" s="2695"/>
      <c r="F11539" s="3086">
        <v>2.0899999999999998E-2</v>
      </c>
      <c r="G11539" s="97"/>
    </row>
    <row r="11540" spans="1:11" hidden="1" outlineLevel="1" x14ac:dyDescent="0.25">
      <c r="A11540" s="3104" t="s">
        <v>5556</v>
      </c>
      <c r="B11540" s="1813"/>
      <c r="C11540" s="3069"/>
      <c r="D11540" s="2382"/>
      <c r="E11540" s="2695"/>
      <c r="F11540" s="3086">
        <v>3.5999999999999997E-2</v>
      </c>
      <c r="G11540" s="97"/>
    </row>
    <row r="11541" spans="1:11" hidden="1" outlineLevel="1" x14ac:dyDescent="0.25">
      <c r="A11541" s="3104" t="s">
        <v>5557</v>
      </c>
      <c r="B11541" s="1813"/>
      <c r="C11541" s="3069"/>
      <c r="D11541" s="3069"/>
      <c r="E11541" s="2695"/>
      <c r="F11541" s="3086">
        <v>4.6399999999999997E-2</v>
      </c>
      <c r="G11541" s="97"/>
    </row>
    <row r="11542" spans="1:11" collapsed="1" x14ac:dyDescent="0.25">
      <c r="A11542" s="3801" t="s">
        <v>5823</v>
      </c>
      <c r="B11542" s="3802"/>
      <c r="C11542" s="3802"/>
      <c r="D11542" s="3802"/>
      <c r="E11542" s="3087"/>
      <c r="F11542" s="3068">
        <f>(SUM(F11537:F11541))</f>
        <v>0.15429999999999999</v>
      </c>
      <c r="G11542" s="97"/>
    </row>
    <row r="11544" spans="1:11" ht="12.75" hidden="1" customHeight="1" outlineLevel="1" x14ac:dyDescent="0.25">
      <c r="A11544" s="689" t="s">
        <v>113</v>
      </c>
      <c r="B11544" s="689" t="s">
        <v>114</v>
      </c>
      <c r="C11544" s="689" t="s">
        <v>112</v>
      </c>
      <c r="D11544" s="689" t="s">
        <v>116</v>
      </c>
      <c r="E11544" s="689" t="s">
        <v>117</v>
      </c>
      <c r="F11544" s="1188" t="s">
        <v>121</v>
      </c>
      <c r="G11544" s="78"/>
    </row>
    <row r="11545" spans="1:11" ht="12.75" hidden="1" customHeight="1" outlineLevel="1" x14ac:dyDescent="0.25">
      <c r="A11545" s="690">
        <v>1</v>
      </c>
      <c r="B11545" s="691" t="s">
        <v>252</v>
      </c>
      <c r="C11545" s="692">
        <v>100</v>
      </c>
      <c r="D11545" s="692"/>
      <c r="E11545" s="693"/>
      <c r="F11545" s="694"/>
      <c r="G11545" s="78"/>
    </row>
    <row r="11546" spans="1:11" ht="12.75" hidden="1" customHeight="1" outlineLevel="1" x14ac:dyDescent="0.25">
      <c r="A11546" s="695"/>
      <c r="B11546" s="695"/>
      <c r="C11546" s="696"/>
      <c r="D11546" s="697" t="s">
        <v>3702</v>
      </c>
      <c r="E11546" s="698">
        <v>43404</v>
      </c>
      <c r="F11546" s="699"/>
      <c r="G11546" s="78"/>
    </row>
    <row r="11547" spans="1:11" ht="12.75" hidden="1" customHeight="1" outlineLevel="1" x14ac:dyDescent="0.25">
      <c r="A11547" s="689" t="s">
        <v>4156</v>
      </c>
      <c r="B11547" s="495" t="s">
        <v>4153</v>
      </c>
      <c r="C11547" s="497" t="s">
        <v>112</v>
      </c>
      <c r="D11547" s="495" t="s">
        <v>4155</v>
      </c>
      <c r="E11547" s="689" t="s">
        <v>4154</v>
      </c>
      <c r="F11547" s="1021" t="s">
        <v>2519</v>
      </c>
      <c r="G11547" s="78"/>
    </row>
    <row r="11548" spans="1:11" ht="12.75" hidden="1" customHeight="1" outlineLevel="1" x14ac:dyDescent="0.25">
      <c r="A11548" s="999">
        <v>0.05</v>
      </c>
      <c r="B11548" s="1010" t="s">
        <v>1993</v>
      </c>
      <c r="C11548" s="1716">
        <v>33.899000000000001</v>
      </c>
      <c r="D11548" s="803">
        <v>65.040000000000006</v>
      </c>
      <c r="E11548" s="705">
        <v>0.91864066786630882</v>
      </c>
      <c r="F11548" s="1021">
        <v>4.5932033393315447E-2</v>
      </c>
      <c r="G11548" s="78"/>
      <c r="H11548" t="str">
        <f>VLOOKUP(B11548,indexy!$A$44:$D$823,3,FALSE)</f>
        <v>MO UN Equity</v>
      </c>
      <c r="K11548" s="434"/>
    </row>
    <row r="11549" spans="1:11" ht="12.75" hidden="1" customHeight="1" outlineLevel="1" x14ac:dyDescent="0.25">
      <c r="A11549" s="1002">
        <v>0.02</v>
      </c>
      <c r="B11549" t="s">
        <v>2942</v>
      </c>
      <c r="C11549" s="1084">
        <v>1039</v>
      </c>
      <c r="D11549" s="908">
        <v>1747</v>
      </c>
      <c r="E11549" s="709">
        <v>0.68142444658325307</v>
      </c>
      <c r="F11549" s="946">
        <v>1.3628488931665062E-2</v>
      </c>
      <c r="G11549" s="78"/>
      <c r="H11549" t="str">
        <f>VLOOKUP(B11549,indexy!$A$44:$D$823,3,FALSE)</f>
        <v>4503 JT Equity</v>
      </c>
      <c r="K11549" s="434"/>
    </row>
    <row r="11550" spans="1:11" ht="12.75" hidden="1" customHeight="1" outlineLevel="1" x14ac:dyDescent="0.25">
      <c r="A11550" s="1002">
        <v>0.02</v>
      </c>
      <c r="B11550" s="939" t="s">
        <v>805</v>
      </c>
      <c r="C11550" s="1084">
        <v>64.034000000000006</v>
      </c>
      <c r="D11550" s="908">
        <v>98.43</v>
      </c>
      <c r="E11550" s="709">
        <v>0.53715213792672634</v>
      </c>
      <c r="F11550" s="946">
        <v>1.0743042758534526E-2</v>
      </c>
      <c r="G11550" s="78"/>
      <c r="H11550" t="str">
        <f>VLOOKUP(B11550,indexy!$A$44:$D$823,3,FALSE)</f>
        <v>BMO CT Equity</v>
      </c>
      <c r="K11550" s="434"/>
    </row>
    <row r="11551" spans="1:11" ht="12.75" hidden="1" customHeight="1" outlineLevel="1" x14ac:dyDescent="0.25">
      <c r="A11551" s="1002">
        <v>0.02</v>
      </c>
      <c r="B11551" t="s">
        <v>5386</v>
      </c>
      <c r="C11551" s="1084">
        <v>46.905999999999999</v>
      </c>
      <c r="D11551" s="908">
        <v>50.95</v>
      </c>
      <c r="E11551" s="709">
        <v>8.6214983157804959E-2</v>
      </c>
      <c r="F11551" s="946">
        <v>1.7242996631560991E-3</v>
      </c>
      <c r="G11551" s="78"/>
      <c r="H11551" t="str">
        <f>VLOOKUP(B11551,indexy!$A$44:$D$823,3,FALSE)</f>
        <v>BCE CT Equity</v>
      </c>
      <c r="K11551" s="434"/>
    </row>
    <row r="11552" spans="1:11" ht="12.75" hidden="1" customHeight="1" outlineLevel="1" x14ac:dyDescent="0.25">
      <c r="A11552" s="1002">
        <v>0.02</v>
      </c>
      <c r="B11552" t="s">
        <v>3954</v>
      </c>
      <c r="C11552" s="1084">
        <v>82.551000000000002</v>
      </c>
      <c r="D11552" s="908">
        <v>113.68</v>
      </c>
      <c r="E11552" s="709">
        <v>0.37708810311201568</v>
      </c>
      <c r="F11552" s="946">
        <v>7.5417620622403141E-3</v>
      </c>
      <c r="G11552" s="78"/>
      <c r="H11552" t="str">
        <f>VLOOKUP(B11552,indexy!$A$44:$D$823,3,FALSE)</f>
        <v>CM CT Equity</v>
      </c>
      <c r="K11552" s="434"/>
    </row>
    <row r="11553" spans="1:11" ht="12.75" hidden="1" customHeight="1" outlineLevel="1" x14ac:dyDescent="0.25">
      <c r="A11553" s="1002">
        <v>0.02</v>
      </c>
      <c r="B11553" t="s">
        <v>1319</v>
      </c>
      <c r="C11553" s="1084">
        <v>58.938000000000002</v>
      </c>
      <c r="D11553" s="908">
        <v>76</v>
      </c>
      <c r="E11553" s="709">
        <v>0.28949065119277884</v>
      </c>
      <c r="F11553" s="946">
        <v>5.7898130238555768E-3</v>
      </c>
      <c r="G11553" s="78"/>
      <c r="H11553" t="str">
        <f>VLOOKUP(B11553,indexy!$A$44:$D$823,3,FALSE)</f>
        <v>ED UN Equity</v>
      </c>
      <c r="K11553" s="434"/>
    </row>
    <row r="11554" spans="1:11" ht="12.75" hidden="1" customHeight="1" outlineLevel="1" x14ac:dyDescent="0.25">
      <c r="A11554" s="1002">
        <v>0.02</v>
      </c>
      <c r="B11554" s="852" t="s">
        <v>1231</v>
      </c>
      <c r="C11554" s="1084">
        <v>69.823999999999998</v>
      </c>
      <c r="D11554" s="908">
        <v>82.63</v>
      </c>
      <c r="E11554" s="709">
        <v>0.18340398716773598</v>
      </c>
      <c r="F11554" s="946">
        <v>3.6680797433547197E-3</v>
      </c>
      <c r="G11554" s="78"/>
      <c r="H11554" t="str">
        <f>VLOOKUP(B11554,indexy!$A$44:$D$823,3,FALSE)</f>
        <v>DUK UN Equity</v>
      </c>
      <c r="K11554" s="434"/>
    </row>
    <row r="11555" spans="1:11" ht="12.75" hidden="1" customHeight="1" outlineLevel="1" x14ac:dyDescent="0.25">
      <c r="A11555" s="1002">
        <v>0.05</v>
      </c>
      <c r="B11555" t="s">
        <v>5232</v>
      </c>
      <c r="C11555" s="1084">
        <v>63.893999999999998</v>
      </c>
      <c r="D11555" s="908">
        <v>83.95</v>
      </c>
      <c r="E11555" s="709">
        <v>0.31389488840892743</v>
      </c>
      <c r="F11555" s="946">
        <v>1.5694744420446372E-2</v>
      </c>
      <c r="G11555" s="78"/>
      <c r="H11555" t="str">
        <f>VLOOKUP(B11555,indexy!$A$44:$D$823,3,FALSE)</f>
        <v>ETR UN Equity</v>
      </c>
      <c r="K11555" s="434"/>
    </row>
    <row r="11556" spans="1:11" ht="12.75" hidden="1" customHeight="1" outlineLevel="1" x14ac:dyDescent="0.25">
      <c r="A11556" s="1002">
        <v>0.02</v>
      </c>
      <c r="B11556" s="852" t="s">
        <v>5489</v>
      </c>
      <c r="C11556" s="1084">
        <v>46.426000000000002</v>
      </c>
      <c r="D11556" s="908">
        <v>43.8</v>
      </c>
      <c r="E11556" s="709">
        <v>-5.656313272735114E-2</v>
      </c>
      <c r="F11556" s="946">
        <v>-1.1312626545470228E-3</v>
      </c>
      <c r="G11556" s="78"/>
      <c r="H11556" t="str">
        <f>VLOOKUP(B11556,indexy!$A$44:$D$823,3,FALSE)</f>
        <v>GIS UN Equity</v>
      </c>
      <c r="K11556" s="434"/>
    </row>
    <row r="11557" spans="1:11" ht="12.75" hidden="1" customHeight="1" outlineLevel="1" x14ac:dyDescent="0.25">
      <c r="A11557" s="1002">
        <v>0.04</v>
      </c>
      <c r="B11557" s="852" t="s">
        <v>3799</v>
      </c>
      <c r="C11557" s="1084">
        <v>1475.474982398026</v>
      </c>
      <c r="D11557" s="908">
        <v>1511.2</v>
      </c>
      <c r="E11557" s="709">
        <v>2.4212553942400072E-2</v>
      </c>
      <c r="F11557" s="946">
        <v>9.6850215769600295E-4</v>
      </c>
      <c r="G11557" s="78"/>
      <c r="H11557" t="str">
        <f>VLOOKUP(B11557,indexy!$A$44:$D$823,3,FALSE)</f>
        <v>GSK LN Equity</v>
      </c>
      <c r="K11557" s="434"/>
    </row>
    <row r="11558" spans="1:11" ht="12.75" hidden="1" customHeight="1" outlineLevel="1" x14ac:dyDescent="0.25">
      <c r="A11558" s="1002">
        <v>0.02</v>
      </c>
      <c r="B11558" s="852" t="s">
        <v>4496</v>
      </c>
      <c r="C11558" s="1084">
        <v>72.507999999999996</v>
      </c>
      <c r="D11558" s="908">
        <v>76.708399999999997</v>
      </c>
      <c r="E11558" s="709">
        <v>5.7930159430683581E-2</v>
      </c>
      <c r="F11558" s="946">
        <v>1.1586031886136716E-3</v>
      </c>
      <c r="G11558" s="78"/>
      <c r="H11558" t="str">
        <f>VLOOKUP(B11558,indexy!$A$44:$D$823,3,FALSE)</f>
        <v>HNZ UN Cash</v>
      </c>
      <c r="K11558" s="434"/>
    </row>
    <row r="11559" spans="1:11" ht="12.75" hidden="1" customHeight="1" outlineLevel="1" x14ac:dyDescent="0.25">
      <c r="A11559" s="1002">
        <v>0.02</v>
      </c>
      <c r="B11559" s="852" t="s">
        <v>3426</v>
      </c>
      <c r="C11559" s="1084">
        <v>78.69</v>
      </c>
      <c r="D11559" s="908">
        <v>139.99</v>
      </c>
      <c r="E11559" s="709">
        <v>0.77900622696657784</v>
      </c>
      <c r="F11559" s="946">
        <v>1.5580124539331558E-2</v>
      </c>
      <c r="G11559" s="78"/>
      <c r="H11559" t="str">
        <f>VLOOKUP(B11559,indexy!$A$44:$D$823,3,FALSE)</f>
        <v>JNJ UN Equity</v>
      </c>
      <c r="K11559" s="434"/>
    </row>
    <row r="11560" spans="1:11" ht="12.75" hidden="1" customHeight="1" outlineLevel="1" x14ac:dyDescent="0.25">
      <c r="A11560" s="1002">
        <v>0.02</v>
      </c>
      <c r="B11560" t="s">
        <v>1381</v>
      </c>
      <c r="C11560" s="1084">
        <v>89.990278710152054</v>
      </c>
      <c r="D11560" s="908">
        <v>104.3</v>
      </c>
      <c r="E11560" s="709">
        <v>0.15901407902000009</v>
      </c>
      <c r="F11560" s="946">
        <v>3.180281580400002E-3</v>
      </c>
      <c r="G11560" s="78"/>
      <c r="H11560" t="str">
        <f>VLOOKUP(B11560,indexy!$A$44:$D$823,3,FALSE)</f>
        <v>KMB UN Equity</v>
      </c>
      <c r="K11560" s="434"/>
    </row>
    <row r="11561" spans="1:11" ht="12.75" hidden="1" customHeight="1" outlineLevel="1" x14ac:dyDescent="0.25">
      <c r="A11561" s="1002">
        <v>0.04</v>
      </c>
      <c r="B11561" t="s">
        <v>2786</v>
      </c>
      <c r="C11561" s="1084">
        <v>742.04705205154255</v>
      </c>
      <c r="D11561" s="908">
        <v>829.2</v>
      </c>
      <c r="E11561" s="709">
        <v>0.11744935541150014</v>
      </c>
      <c r="F11561" s="946">
        <v>4.6979742164600059E-3</v>
      </c>
      <c r="G11561" s="78"/>
      <c r="H11561" t="str">
        <f>VLOOKUP(B11561,indexy!$A$44:$D$823,3,FALSE)</f>
        <v>NG/ LN Equity</v>
      </c>
      <c r="K11561" s="434"/>
    </row>
    <row r="11562" spans="1:11" ht="12.75" hidden="1" customHeight="1" outlineLevel="1" x14ac:dyDescent="0.25">
      <c r="A11562" s="1002">
        <v>0.05</v>
      </c>
      <c r="B11562" t="s">
        <v>2787</v>
      </c>
      <c r="C11562" s="1084">
        <v>65.765000000000001</v>
      </c>
      <c r="D11562" s="908">
        <v>88.24</v>
      </c>
      <c r="E11562" s="709">
        <v>0.34174712993233469</v>
      </c>
      <c r="F11562" s="946">
        <v>1.7087356496616735E-2</v>
      </c>
      <c r="G11562" s="78"/>
      <c r="H11562" t="str">
        <f>VLOOKUP(B11562,indexy!$A$44:$D$823,3,FALSE)</f>
        <v>NOVN SE Equity</v>
      </c>
      <c r="K11562" s="434"/>
    </row>
    <row r="11563" spans="1:11" ht="12.75" hidden="1" customHeight="1" outlineLevel="1" x14ac:dyDescent="0.25">
      <c r="A11563" s="1002">
        <v>7.0000000000000007E-2</v>
      </c>
      <c r="B11563" s="852" t="s">
        <v>4273</v>
      </c>
      <c r="C11563" s="1084">
        <v>1460.1</v>
      </c>
      <c r="D11563" s="908">
        <v>2844.5</v>
      </c>
      <c r="E11563" s="709">
        <v>0.94815423601123228</v>
      </c>
      <c r="F11563" s="946">
        <v>6.6370796520786271E-2</v>
      </c>
      <c r="G11563" s="78"/>
      <c r="H11563" t="str">
        <f>VLOOKUP(B11563,indexy!$A$44:$D$823,3,FALSE)</f>
        <v>9437 JT Equity</v>
      </c>
      <c r="K11563" s="434"/>
    </row>
    <row r="11564" spans="1:11" ht="12.75" hidden="1" customHeight="1" outlineLevel="1" x14ac:dyDescent="0.25">
      <c r="A11564" s="1002">
        <v>7.0000000000000007E-2</v>
      </c>
      <c r="B11564" s="852" t="s">
        <v>901</v>
      </c>
      <c r="C11564" s="1084">
        <v>17.836003961947235</v>
      </c>
      <c r="D11564" s="908">
        <v>33.935000000000002</v>
      </c>
      <c r="E11564" s="709">
        <v>0.902612270797857</v>
      </c>
      <c r="F11564" s="946">
        <v>6.3182858955849991E-2</v>
      </c>
      <c r="G11564" s="78"/>
      <c r="H11564" t="str">
        <f>VLOOKUP(B11564,indexy!$A$44:$D$823,3,FALSE)</f>
        <v>BATS LN Equity</v>
      </c>
      <c r="K11564" s="434"/>
    </row>
    <row r="11565" spans="1:11" ht="12.75" hidden="1" customHeight="1" outlineLevel="1" x14ac:dyDescent="0.25">
      <c r="A11565" s="1002">
        <v>7.0000000000000007E-2</v>
      </c>
      <c r="B11565" t="s">
        <v>3800</v>
      </c>
      <c r="C11565" s="1084">
        <v>215.28</v>
      </c>
      <c r="D11565" s="908">
        <v>245.1</v>
      </c>
      <c r="E11565" s="709">
        <v>0.13851727982162765</v>
      </c>
      <c r="F11565" s="946">
        <v>9.6962095875139358E-3</v>
      </c>
      <c r="G11565" s="78"/>
      <c r="H11565" t="str">
        <f>VLOOKUP(B11565,indexy!$A$44:$D$823,3,FALSE)</f>
        <v>ROG SE Equity</v>
      </c>
      <c r="K11565" s="434"/>
    </row>
    <row r="11566" spans="1:11" ht="12.75" hidden="1" customHeight="1" outlineLevel="1" x14ac:dyDescent="0.25">
      <c r="A11566" s="1002">
        <v>0.02</v>
      </c>
      <c r="B11566" s="852" t="s">
        <v>3427</v>
      </c>
      <c r="C11566" s="1084">
        <v>45.396999999999998</v>
      </c>
      <c r="D11566" s="908">
        <v>45.03</v>
      </c>
      <c r="E11566" s="709">
        <v>-8.0842346410555654E-3</v>
      </c>
      <c r="F11566" s="946">
        <v>-1.6168469282111132E-4</v>
      </c>
      <c r="G11566" s="78"/>
      <c r="H11566" t="str">
        <f>VLOOKUP(B11566,indexy!$A$44:$D$823,3,FALSE)</f>
        <v>SO UN Equity</v>
      </c>
      <c r="K11566" s="434"/>
    </row>
    <row r="11567" spans="1:11" ht="12.75" hidden="1" customHeight="1" outlineLevel="1" x14ac:dyDescent="0.25">
      <c r="A11567" s="1002">
        <v>0.04</v>
      </c>
      <c r="B11567" t="s">
        <v>1857</v>
      </c>
      <c r="C11567" s="1084">
        <v>1463.7</v>
      </c>
      <c r="D11567" s="908">
        <v>1141.5</v>
      </c>
      <c r="E11567" s="709">
        <v>-0.22012707522033204</v>
      </c>
      <c r="F11567" s="946">
        <v>-8.8050830088132817E-3</v>
      </c>
      <c r="G11567" s="78"/>
      <c r="H11567" t="str">
        <f>VLOOKUP(B11567,indexy!$A$44:$D$823,3,FALSE)</f>
        <v>SSE LN Equity</v>
      </c>
      <c r="K11567" s="434"/>
    </row>
    <row r="11568" spans="1:11" ht="12.75" hidden="1" customHeight="1" outlineLevel="1" x14ac:dyDescent="0.25">
      <c r="A11568" s="1002">
        <v>7.0000000000000007E-2</v>
      </c>
      <c r="B11568" t="s">
        <v>1239</v>
      </c>
      <c r="C11568" s="1084">
        <v>433.87</v>
      </c>
      <c r="D11568" s="908">
        <v>461.4</v>
      </c>
      <c r="E11568" s="709">
        <v>6.345218613870518E-2</v>
      </c>
      <c r="F11568" s="946">
        <v>4.4416530297093628E-3</v>
      </c>
      <c r="G11568" s="78"/>
      <c r="H11568" t="str">
        <f>VLOOKUP(B11568,indexy!$A$44:$D$823,3,FALSE)</f>
        <v>SCMN SE Equity</v>
      </c>
      <c r="K11568" s="434"/>
    </row>
    <row r="11569" spans="1:11" ht="12.75" hidden="1" customHeight="1" outlineLevel="1" x14ac:dyDescent="0.25">
      <c r="A11569" s="1002">
        <v>7.0000000000000007E-2</v>
      </c>
      <c r="B11569" t="s">
        <v>3022</v>
      </c>
      <c r="C11569" s="1084">
        <v>5141</v>
      </c>
      <c r="D11569" s="908">
        <v>4570</v>
      </c>
      <c r="E11569" s="709">
        <v>-0.11106788562536474</v>
      </c>
      <c r="F11569" s="946">
        <v>-7.7747519937755322E-3</v>
      </c>
      <c r="G11569" s="78"/>
      <c r="H11569" t="str">
        <f>VLOOKUP(B11569,indexy!$A$44:$D$823,3,FALSE)</f>
        <v>4502 JT Equity</v>
      </c>
      <c r="K11569" s="434"/>
    </row>
    <row r="11570" spans="1:11" ht="12.75" hidden="1" customHeight="1" outlineLevel="1" x14ac:dyDescent="0.25">
      <c r="A11570" s="1002">
        <v>0.02</v>
      </c>
      <c r="B11570" t="s">
        <v>5503</v>
      </c>
      <c r="C11570" s="1084">
        <v>830.2</v>
      </c>
      <c r="D11570" s="908">
        <v>673.2</v>
      </c>
      <c r="E11570" s="709">
        <v>-0.18911105757648761</v>
      </c>
      <c r="F11570" s="946">
        <v>-3.7822211515297524E-3</v>
      </c>
      <c r="G11570" s="78"/>
      <c r="H11570" t="str">
        <f>VLOOKUP(B11570,indexy!$A$44:$D$823,3,FALSE)</f>
        <v>TATE LN Equity</v>
      </c>
      <c r="K11570" s="434"/>
    </row>
    <row r="11571" spans="1:11" ht="12.75" hidden="1" customHeight="1" outlineLevel="1" x14ac:dyDescent="0.25">
      <c r="A11571" s="1002">
        <v>0.02</v>
      </c>
      <c r="B11571" t="s">
        <v>434</v>
      </c>
      <c r="C11571" s="1084">
        <v>45.356999999999999</v>
      </c>
      <c r="D11571" s="908">
        <v>41.26</v>
      </c>
      <c r="E11571" s="709">
        <v>-9.0327843552263198E-2</v>
      </c>
      <c r="F11571" s="946">
        <v>-1.8065568710452641E-3</v>
      </c>
      <c r="G11571" s="78"/>
      <c r="H11571" t="str">
        <f>VLOOKUP(B11571,indexy!$A$44:$D$823,3,FALSE)</f>
        <v>TELIA SS Equity</v>
      </c>
      <c r="K11571" s="434"/>
    </row>
    <row r="11572" spans="1:11" ht="12.75" hidden="1" customHeight="1" outlineLevel="1" x14ac:dyDescent="0.25">
      <c r="A11572" s="1002">
        <v>0.02</v>
      </c>
      <c r="B11572" t="s">
        <v>3665</v>
      </c>
      <c r="C11572" s="1084">
        <v>34.676499999999997</v>
      </c>
      <c r="D11572" s="908">
        <v>45.08</v>
      </c>
      <c r="E11572" s="709">
        <v>0.30001586088561427</v>
      </c>
      <c r="F11572" s="946">
        <v>6.0003172177122855E-3</v>
      </c>
      <c r="G11572" s="78"/>
      <c r="H11572" t="str">
        <f>VLOOKUP(B11572,indexy!$A$44:$D$823,3,FALSE)</f>
        <v>T CT Equity</v>
      </c>
      <c r="K11572" s="434"/>
    </row>
    <row r="11573" spans="1:11" ht="12.75" hidden="1" customHeight="1" outlineLevel="1" x14ac:dyDescent="0.25">
      <c r="A11573" s="1002">
        <v>0.02</v>
      </c>
      <c r="B11573" s="939" t="s">
        <v>5534</v>
      </c>
      <c r="C11573" s="1084">
        <v>6.1455518523347781</v>
      </c>
      <c r="D11573" s="908">
        <v>11.34</v>
      </c>
      <c r="E11573" s="709">
        <v>0.84523705478000011</v>
      </c>
      <c r="F11573" s="946">
        <v>1.6904741095600001E-2</v>
      </c>
      <c r="G11573" s="78"/>
      <c r="H11573" t="str">
        <f>VLOOKUP(B11573,indexy!$A$44:$D$823,3,FALSE)</f>
        <v>TCL AT Equity</v>
      </c>
      <c r="K11573" s="434"/>
    </row>
    <row r="11574" spans="1:11" ht="12.75" hidden="1" customHeight="1" outlineLevel="1" x14ac:dyDescent="0.25">
      <c r="A11574" s="1002">
        <v>0.02</v>
      </c>
      <c r="B11574" t="s">
        <v>255</v>
      </c>
      <c r="C11574" s="1084">
        <v>48.234999999999999</v>
      </c>
      <c r="D11574" s="908">
        <v>57.09</v>
      </c>
      <c r="E11574" s="709">
        <v>0.18358038768529084</v>
      </c>
      <c r="F11574" s="946">
        <v>3.6716077537058169E-3</v>
      </c>
      <c r="G11574" s="78"/>
      <c r="H11574" t="str">
        <f>VLOOKUP(B11574,indexy!$A$44:$D$823,3,FALSE)</f>
        <v>VZ UN Equity</v>
      </c>
      <c r="K11574" s="434"/>
    </row>
    <row r="11575" spans="1:11" ht="12.75" hidden="1" customHeight="1" outlineLevel="1" x14ac:dyDescent="0.25">
      <c r="A11575" s="1002">
        <v>0.02</v>
      </c>
      <c r="B11575" t="s">
        <v>5522</v>
      </c>
      <c r="C11575" s="1084">
        <v>41.894964284574371</v>
      </c>
      <c r="D11575" s="908">
        <v>46.62</v>
      </c>
      <c r="E11575" s="709">
        <v>0.11278290353299991</v>
      </c>
      <c r="F11575" s="946">
        <v>2.2556580706599985E-3</v>
      </c>
      <c r="G11575" s="78"/>
      <c r="H11575" t="str">
        <f>VLOOKUP(B11575,indexy!$A$44:$D$823,3,FALSE)</f>
        <v>WES AT Equity</v>
      </c>
      <c r="K11575" s="434"/>
    </row>
    <row r="11576" spans="1:11" ht="12.75" hidden="1" customHeight="1" outlineLevel="1" x14ac:dyDescent="0.25">
      <c r="A11576" s="1002">
        <v>0.02</v>
      </c>
      <c r="B11576" t="s">
        <v>5537</v>
      </c>
      <c r="C11576" s="1084">
        <v>35.057000000000002</v>
      </c>
      <c r="D11576" s="908">
        <v>28.43</v>
      </c>
      <c r="E11576" s="709">
        <v>-0.18903500014262498</v>
      </c>
      <c r="F11576" s="946">
        <v>-3.7807000028524996E-3</v>
      </c>
      <c r="G11576" s="78"/>
      <c r="H11576" t="str">
        <f>VLOOKUP(B11576,indexy!$A$44:$D$823,3,FALSE)</f>
        <v>WOW AT Equity</v>
      </c>
      <c r="K11576" s="434"/>
    </row>
    <row r="11577" spans="1:11" ht="12.75" hidden="1" customHeight="1" outlineLevel="1" x14ac:dyDescent="0.25">
      <c r="A11577" s="1002">
        <v>0.02</v>
      </c>
      <c r="B11577" t="s">
        <v>2874</v>
      </c>
      <c r="C11577" s="1084">
        <v>28.928999999999998</v>
      </c>
      <c r="D11577" s="715">
        <v>49.01</v>
      </c>
      <c r="E11577" s="709">
        <v>0.69414774102112076</v>
      </c>
      <c r="F11577" s="946">
        <v>1.3882954820422415E-2</v>
      </c>
      <c r="G11577" s="78"/>
      <c r="H11577" t="str">
        <f>VLOOKUP(B11577,indexy!$A$44:$D$823,3,FALSE)</f>
        <v>XEL US Equity</v>
      </c>
      <c r="K11577" s="434"/>
    </row>
    <row r="11578" spans="1:11" ht="12.75" hidden="1" customHeight="1" outlineLevel="1" x14ac:dyDescent="0.25">
      <c r="A11578" s="1099"/>
      <c r="F11578" s="1872">
        <v>0.30655964285226162</v>
      </c>
      <c r="G11578" s="78"/>
    </row>
    <row r="11579" spans="1:11" ht="12.75" hidden="1" customHeight="1" outlineLevel="1" x14ac:dyDescent="0.25">
      <c r="A11579" s="751" t="s">
        <v>5566</v>
      </c>
      <c r="B11579" s="944">
        <v>42856</v>
      </c>
      <c r="C11579">
        <v>100</v>
      </c>
      <c r="D11579">
        <v>144.57130000000001</v>
      </c>
      <c r="E11579">
        <v>0.44571300000000003</v>
      </c>
      <c r="G11579" s="78"/>
    </row>
    <row r="11580" spans="1:11" ht="12.75" hidden="1" customHeight="1" outlineLevel="1" x14ac:dyDescent="0.25">
      <c r="A11580" s="751" t="s">
        <v>5567</v>
      </c>
      <c r="B11580" s="944">
        <v>42887</v>
      </c>
      <c r="C11580">
        <v>100</v>
      </c>
      <c r="D11580">
        <v>140.39699999999999</v>
      </c>
      <c r="E11580">
        <v>0.40396999999999994</v>
      </c>
      <c r="G11580" s="78"/>
    </row>
    <row r="11581" spans="1:11" ht="12.75" hidden="1" customHeight="1" outlineLevel="1" x14ac:dyDescent="0.25">
      <c r="A11581" s="751" t="s">
        <v>5568</v>
      </c>
      <c r="B11581" s="944">
        <v>42917</v>
      </c>
      <c r="C11581">
        <v>100</v>
      </c>
      <c r="D11581">
        <v>136.20820000000001</v>
      </c>
      <c r="E11581">
        <v>0.36208200000000001</v>
      </c>
      <c r="G11581" s="78"/>
    </row>
    <row r="11582" spans="1:11" ht="12.75" hidden="1" customHeight="1" outlineLevel="1" x14ac:dyDescent="0.25">
      <c r="A11582" s="751" t="s">
        <v>5569</v>
      </c>
      <c r="B11582" s="944">
        <v>42948</v>
      </c>
      <c r="C11582">
        <v>100</v>
      </c>
      <c r="D11582">
        <v>137.55439999999999</v>
      </c>
      <c r="E11582">
        <v>0.37554399999999988</v>
      </c>
      <c r="G11582" s="78"/>
    </row>
    <row r="11583" spans="1:11" ht="12.75" hidden="1" customHeight="1" outlineLevel="1" x14ac:dyDescent="0.25">
      <c r="A11583" s="751" t="s">
        <v>5570</v>
      </c>
      <c r="B11583" s="944">
        <v>42979</v>
      </c>
      <c r="C11583">
        <v>100</v>
      </c>
      <c r="D11583">
        <v>136.4975</v>
      </c>
      <c r="E11583">
        <v>0.36497500000000005</v>
      </c>
      <c r="G11583" s="78"/>
    </row>
    <row r="11584" spans="1:11" ht="12.75" hidden="1" customHeight="1" outlineLevel="1" x14ac:dyDescent="0.25">
      <c r="A11584" s="751" t="s">
        <v>5571</v>
      </c>
      <c r="B11584" s="944">
        <v>43009</v>
      </c>
      <c r="C11584">
        <v>100</v>
      </c>
      <c r="D11584">
        <v>139.6293</v>
      </c>
      <c r="E11584">
        <v>0.39629300000000001</v>
      </c>
      <c r="G11584" s="78"/>
    </row>
    <row r="11585" spans="1:7" ht="12.75" hidden="1" customHeight="1" outlineLevel="1" x14ac:dyDescent="0.25">
      <c r="A11585" s="751" t="s">
        <v>5572</v>
      </c>
      <c r="B11585" s="944">
        <v>43040</v>
      </c>
      <c r="C11585">
        <v>100</v>
      </c>
      <c r="D11585">
        <v>141.68369999999999</v>
      </c>
      <c r="E11585">
        <v>0.4168369999999999</v>
      </c>
      <c r="G11585" s="78"/>
    </row>
    <row r="11586" spans="1:7" ht="12.75" hidden="1" customHeight="1" outlineLevel="1" x14ac:dyDescent="0.25">
      <c r="A11586" s="751" t="s">
        <v>5573</v>
      </c>
      <c r="B11586" s="944">
        <v>43070</v>
      </c>
      <c r="C11586">
        <v>100</v>
      </c>
      <c r="D11586">
        <v>141.7251</v>
      </c>
      <c r="E11586">
        <v>0.41725100000000004</v>
      </c>
      <c r="G11586" s="78"/>
    </row>
    <row r="11587" spans="1:7" ht="12.75" hidden="1" customHeight="1" outlineLevel="1" x14ac:dyDescent="0.25">
      <c r="A11587" s="751" t="s">
        <v>5574</v>
      </c>
      <c r="B11587" s="944">
        <v>43101</v>
      </c>
      <c r="C11587">
        <v>100</v>
      </c>
      <c r="D11587">
        <v>138.68770000000001</v>
      </c>
      <c r="E11587">
        <v>0.38687700000000014</v>
      </c>
      <c r="G11587" s="78"/>
    </row>
    <row r="11588" spans="1:7" ht="12.75" hidden="1" customHeight="1" outlineLevel="1" x14ac:dyDescent="0.25">
      <c r="A11588" s="751" t="s">
        <v>5575</v>
      </c>
      <c r="B11588" s="944">
        <v>43132</v>
      </c>
      <c r="C11588">
        <v>100</v>
      </c>
      <c r="D11588">
        <v>131.90719999999999</v>
      </c>
      <c r="E11588">
        <v>0.3190719999999998</v>
      </c>
      <c r="G11588" s="78"/>
    </row>
    <row r="11589" spans="1:7" ht="12.75" hidden="1" customHeight="1" outlineLevel="1" x14ac:dyDescent="0.25">
      <c r="A11589" s="751" t="s">
        <v>5576</v>
      </c>
      <c r="B11589" s="944">
        <v>43160</v>
      </c>
      <c r="C11589">
        <v>100</v>
      </c>
      <c r="D11589">
        <v>129.7621</v>
      </c>
      <c r="E11589">
        <v>0.29762100000000014</v>
      </c>
      <c r="G11589" s="78"/>
    </row>
    <row r="11590" spans="1:7" ht="12.75" hidden="1" customHeight="1" outlineLevel="1" x14ac:dyDescent="0.25">
      <c r="A11590" s="751" t="s">
        <v>5577</v>
      </c>
      <c r="B11590" s="944">
        <v>43191</v>
      </c>
      <c r="C11590">
        <v>100</v>
      </c>
      <c r="D11590">
        <v>129.68430000000001</v>
      </c>
      <c r="E11590">
        <v>0.29684299999999997</v>
      </c>
      <c r="G11590" s="78"/>
    </row>
    <row r="11591" spans="1:7" ht="12.75" hidden="1" customHeight="1" outlineLevel="1" x14ac:dyDescent="0.25">
      <c r="A11591" s="751" t="s">
        <v>5578</v>
      </c>
      <c r="B11591" s="944">
        <v>43221</v>
      </c>
      <c r="C11591">
        <v>100</v>
      </c>
      <c r="D11591">
        <v>127.51779999999999</v>
      </c>
      <c r="E11591">
        <v>0.27517799999999992</v>
      </c>
      <c r="G11591" s="78"/>
    </row>
    <row r="11592" spans="1:7" ht="12.75" hidden="1" customHeight="1" outlineLevel="1" x14ac:dyDescent="0.25">
      <c r="A11592" s="751" t="s">
        <v>5579</v>
      </c>
      <c r="B11592" s="944">
        <v>43252</v>
      </c>
      <c r="C11592">
        <v>100</v>
      </c>
      <c r="D11592">
        <v>129.26070000000001</v>
      </c>
      <c r="E11592">
        <v>0.29260700000000006</v>
      </c>
      <c r="G11592" s="78"/>
    </row>
    <row r="11593" spans="1:7" ht="12.75" hidden="1" customHeight="1" outlineLevel="1" x14ac:dyDescent="0.25">
      <c r="A11593" s="751" t="s">
        <v>5580</v>
      </c>
      <c r="B11593" s="944">
        <v>43282</v>
      </c>
      <c r="C11593">
        <v>100</v>
      </c>
      <c r="D11593">
        <v>134.0111</v>
      </c>
      <c r="E11593">
        <v>0.34011100000000005</v>
      </c>
      <c r="G11593" s="78"/>
    </row>
    <row r="11594" spans="1:7" ht="12.75" hidden="1" customHeight="1" outlineLevel="1" x14ac:dyDescent="0.25">
      <c r="A11594" s="751" t="s">
        <v>5581</v>
      </c>
      <c r="B11594" s="944">
        <v>43313</v>
      </c>
      <c r="C11594">
        <v>100</v>
      </c>
      <c r="D11594">
        <v>131.93709999999999</v>
      </c>
      <c r="E11594">
        <v>0.31937099999999985</v>
      </c>
      <c r="G11594" s="78"/>
    </row>
    <row r="11595" spans="1:7" ht="12.75" hidden="1" customHeight="1" outlineLevel="1" x14ac:dyDescent="0.25">
      <c r="A11595" s="751" t="s">
        <v>5582</v>
      </c>
      <c r="B11595" s="944">
        <v>43344</v>
      </c>
      <c r="C11595">
        <v>100</v>
      </c>
      <c r="D11595">
        <v>131.9983</v>
      </c>
      <c r="E11595">
        <v>0.31998299999999991</v>
      </c>
      <c r="G11595" s="78"/>
    </row>
    <row r="11596" spans="1:7" ht="12.75" hidden="1" customHeight="1" outlineLevel="1" x14ac:dyDescent="0.25">
      <c r="A11596" s="751" t="s">
        <v>5583</v>
      </c>
      <c r="B11596" s="944">
        <v>43374</v>
      </c>
      <c r="C11596">
        <v>100</v>
      </c>
      <c r="D11596">
        <v>130.7747</v>
      </c>
      <c r="E11596">
        <v>0.30774699999999999</v>
      </c>
      <c r="G11596" s="78"/>
    </row>
    <row r="11597" spans="1:7" ht="12.75" hidden="1" customHeight="1" outlineLevel="1" x14ac:dyDescent="0.25">
      <c r="A11597" s="767"/>
      <c r="D11597" s="1894" t="s">
        <v>2465</v>
      </c>
      <c r="E11597" s="1895">
        <v>0.35211527777777779</v>
      </c>
      <c r="F11597" s="1872">
        <v>0.35211527777777779</v>
      </c>
      <c r="G11597" s="78"/>
    </row>
    <row r="11598" spans="1:7" collapsed="1" x14ac:dyDescent="0.25">
      <c r="A11598" s="3801" t="s">
        <v>5565</v>
      </c>
      <c r="B11598" s="3802"/>
      <c r="C11598" s="3802"/>
      <c r="D11598" s="3802"/>
      <c r="E11598" s="1892"/>
      <c r="F11598" s="1893">
        <v>0.22887493055555558</v>
      </c>
      <c r="G11598" s="78"/>
    </row>
    <row r="11600" spans="1:7" hidden="1" outlineLevel="1" x14ac:dyDescent="0.25">
      <c r="A11600" s="689" t="s">
        <v>113</v>
      </c>
      <c r="B11600" s="689" t="s">
        <v>114</v>
      </c>
      <c r="C11600" s="689" t="s">
        <v>112</v>
      </c>
      <c r="D11600" s="689" t="s">
        <v>116</v>
      </c>
      <c r="E11600" s="689" t="s">
        <v>117</v>
      </c>
      <c r="F11600" s="1188" t="s">
        <v>121</v>
      </c>
      <c r="G11600" s="78"/>
    </row>
    <row r="11601" spans="1:8" hidden="1" outlineLevel="1" x14ac:dyDescent="0.25">
      <c r="A11601" s="695">
        <v>5</v>
      </c>
      <c r="B11601" s="695"/>
      <c r="C11601" s="696"/>
      <c r="D11601" s="697" t="s">
        <v>3702</v>
      </c>
      <c r="E11601" s="698">
        <v>43280</v>
      </c>
      <c r="F11601" s="856"/>
      <c r="G11601" s="78"/>
    </row>
    <row r="11602" spans="1:8" hidden="1" outlineLevel="1" x14ac:dyDescent="0.25">
      <c r="A11602" s="689" t="s">
        <v>4156</v>
      </c>
      <c r="B11602" s="689" t="s">
        <v>4153</v>
      </c>
      <c r="C11602" t="s">
        <v>112</v>
      </c>
      <c r="D11602" s="689" t="s">
        <v>4155</v>
      </c>
      <c r="E11602" s="689" t="s">
        <v>4154</v>
      </c>
      <c r="F11602" s="1188" t="s">
        <v>734</v>
      </c>
      <c r="G11602" s="78"/>
    </row>
    <row r="11603" spans="1:8" hidden="1" outlineLevel="1" x14ac:dyDescent="0.25">
      <c r="A11603" s="1237">
        <v>0.05</v>
      </c>
      <c r="B11603" t="s">
        <v>1993</v>
      </c>
      <c r="C11603" s="851">
        <v>34.061999999999998</v>
      </c>
      <c r="D11603" s="908">
        <v>56.79</v>
      </c>
      <c r="E11603" s="896">
        <v>0.66725383124889914</v>
      </c>
      <c r="F11603" s="946">
        <v>5.5E-2</v>
      </c>
      <c r="G11603" s="78"/>
      <c r="H11603" t="str">
        <f>VLOOKUP(B11603,indexy!$A$44:$D$823,3,FALSE)</f>
        <v>MO UN Equity</v>
      </c>
    </row>
    <row r="11604" spans="1:8" hidden="1" outlineLevel="1" x14ac:dyDescent="0.25">
      <c r="A11604" s="1237">
        <v>0.02</v>
      </c>
      <c r="B11604" t="s">
        <v>2942</v>
      </c>
      <c r="C11604" s="851">
        <v>1038.4000000000001</v>
      </c>
      <c r="D11604" s="908">
        <v>1689</v>
      </c>
      <c r="E11604" s="896">
        <v>0.62654083204930644</v>
      </c>
      <c r="F11604" s="946">
        <v>5.5E-2</v>
      </c>
      <c r="G11604" s="78"/>
      <c r="H11604" t="str">
        <f>VLOOKUP(B11604,indexy!$A$44:$D$823,3,FALSE)</f>
        <v>4503 JT Equity</v>
      </c>
    </row>
    <row r="11605" spans="1:8" hidden="1" outlineLevel="1" x14ac:dyDescent="0.25">
      <c r="A11605" s="1237">
        <v>0.02</v>
      </c>
      <c r="B11605" s="1319" t="s">
        <v>805</v>
      </c>
      <c r="C11605" s="851">
        <v>64.12</v>
      </c>
      <c r="D11605" s="908">
        <v>101.62</v>
      </c>
      <c r="E11605" s="896">
        <v>0.58484092326887072</v>
      </c>
      <c r="F11605" s="946">
        <v>5.5E-2</v>
      </c>
      <c r="G11605" s="78"/>
      <c r="H11605" t="str">
        <f>VLOOKUP(B11605,indexy!$A$44:$D$823,3,FALSE)</f>
        <v>BMO CT Equity</v>
      </c>
    </row>
    <row r="11606" spans="1:8" hidden="1" outlineLevel="1" x14ac:dyDescent="0.25">
      <c r="A11606" s="1237">
        <v>0.02</v>
      </c>
      <c r="B11606" s="877" t="s">
        <v>5386</v>
      </c>
      <c r="C11606" s="851">
        <v>47.043999999999997</v>
      </c>
      <c r="D11606" s="908">
        <v>53.24</v>
      </c>
      <c r="E11606" s="896">
        <v>0.13170648754357628</v>
      </c>
      <c r="F11606" s="946">
        <v>5.5E-2</v>
      </c>
      <c r="G11606" s="78"/>
      <c r="H11606" t="str">
        <f>VLOOKUP(B11606,indexy!$A$44:$D$823,3,FALSE)</f>
        <v>BCE CT Equity</v>
      </c>
    </row>
    <row r="11607" spans="1:8" hidden="1" outlineLevel="1" x14ac:dyDescent="0.25">
      <c r="A11607" s="1237">
        <v>0.02</v>
      </c>
      <c r="B11607" s="1319" t="s">
        <v>3954</v>
      </c>
      <c r="C11607" s="851">
        <v>82.98</v>
      </c>
      <c r="D11607" s="908">
        <v>114.36</v>
      </c>
      <c r="E11607" s="896">
        <v>0.37816341287057109</v>
      </c>
      <c r="F11607" s="946">
        <v>5.5E-2</v>
      </c>
      <c r="G11607" s="78"/>
      <c r="H11607" t="str">
        <f>VLOOKUP(B11607,indexy!$A$44:$D$823,3,FALSE)</f>
        <v>CM CT Equity</v>
      </c>
    </row>
    <row r="11608" spans="1:8" hidden="1" outlineLevel="1" x14ac:dyDescent="0.25">
      <c r="A11608" s="1237">
        <v>0.02</v>
      </c>
      <c r="B11608" s="853" t="s">
        <v>1319</v>
      </c>
      <c r="C11608" s="851">
        <v>58.923999999999999</v>
      </c>
      <c r="D11608" s="908">
        <v>77.98</v>
      </c>
      <c r="E11608" s="896">
        <v>0.32339963342610822</v>
      </c>
      <c r="F11608" s="946">
        <v>5.5E-2</v>
      </c>
      <c r="G11608" s="78"/>
      <c r="H11608" t="str">
        <f>VLOOKUP(B11608,indexy!$A$44:$D$823,3,FALSE)</f>
        <v>ED UN Equity</v>
      </c>
    </row>
    <row r="11609" spans="1:8" hidden="1" outlineLevel="1" x14ac:dyDescent="0.25">
      <c r="A11609" s="1237">
        <v>0.02</v>
      </c>
      <c r="B11609" s="695" t="s">
        <v>1231</v>
      </c>
      <c r="C11609" s="851">
        <v>69.686000000000007</v>
      </c>
      <c r="D11609" s="908">
        <v>79.08</v>
      </c>
      <c r="E11609" s="896">
        <v>0.13480469534770245</v>
      </c>
      <c r="F11609" s="946">
        <v>5.5E-2</v>
      </c>
      <c r="G11609" s="78"/>
      <c r="H11609" t="str">
        <f>VLOOKUP(B11609,indexy!$A$44:$D$823,3,FALSE)</f>
        <v>DUK UN Equity</v>
      </c>
    </row>
    <row r="11610" spans="1:8" hidden="1" outlineLevel="1" x14ac:dyDescent="0.25">
      <c r="A11610" s="1237">
        <v>0.05</v>
      </c>
      <c r="B11610" t="s">
        <v>5232</v>
      </c>
      <c r="C11610" s="851">
        <v>63.524000000000001</v>
      </c>
      <c r="D11610" s="908">
        <v>80.790000000000006</v>
      </c>
      <c r="E11610" s="896">
        <v>0.27180278320005047</v>
      </c>
      <c r="F11610" s="946">
        <v>5.5E-2</v>
      </c>
      <c r="G11610" s="78"/>
      <c r="H11610" t="str">
        <f>VLOOKUP(B11610,indexy!$A$44:$D$823,3,FALSE)</f>
        <v>ETR UN Equity</v>
      </c>
    </row>
    <row r="11611" spans="1:8" hidden="1" outlineLevel="1" x14ac:dyDescent="0.25">
      <c r="A11611" s="1237">
        <v>0.02</v>
      </c>
      <c r="B11611" t="s">
        <v>5489</v>
      </c>
      <c r="C11611" s="851">
        <v>46.247999999999998</v>
      </c>
      <c r="D11611" s="908">
        <v>44.26</v>
      </c>
      <c r="E11611" s="896">
        <v>-4.2985642622383691E-2</v>
      </c>
      <c r="F11611" s="946">
        <v>-4.2985642622383691E-2</v>
      </c>
      <c r="G11611" s="78"/>
      <c r="H11611" t="str">
        <f>VLOOKUP(B11611,indexy!$A$44:$D$823,3,FALSE)</f>
        <v>GIS UN Equity</v>
      </c>
    </row>
    <row r="11612" spans="1:8" hidden="1" outlineLevel="1" x14ac:dyDescent="0.25">
      <c r="A11612" s="1237">
        <v>0.04</v>
      </c>
      <c r="B11612" t="s">
        <v>3799</v>
      </c>
      <c r="C11612" s="851">
        <v>1490.4</v>
      </c>
      <c r="D11612" s="908">
        <v>1529.8</v>
      </c>
      <c r="E11612" s="896">
        <v>2.6435856146000969E-2</v>
      </c>
      <c r="F11612" s="946">
        <v>5.5E-2</v>
      </c>
      <c r="G11612" s="78"/>
      <c r="H11612" t="str">
        <f>VLOOKUP(B11612,indexy!$A$44:$D$823,3,FALSE)</f>
        <v>GSK LN Equity</v>
      </c>
    </row>
    <row r="11613" spans="1:8" hidden="1" outlineLevel="1" x14ac:dyDescent="0.25">
      <c r="A11613" s="1237">
        <v>0.02</v>
      </c>
      <c r="B11613" s="853" t="s">
        <v>4496</v>
      </c>
      <c r="C11613" s="851">
        <v>72.5</v>
      </c>
      <c r="D11613" s="908">
        <v>76.708399999999997</v>
      </c>
      <c r="E11613" s="896">
        <v>5.8046896551724014E-2</v>
      </c>
      <c r="F11613" s="946">
        <v>5.5E-2</v>
      </c>
      <c r="G11613" s="78"/>
      <c r="H11613" t="str">
        <f>VLOOKUP(B11613,indexy!$A$44:$D$823,3,FALSE)</f>
        <v>HNZ UN Cash</v>
      </c>
    </row>
    <row r="11614" spans="1:8" hidden="1" outlineLevel="1" x14ac:dyDescent="0.25">
      <c r="A11614" s="1237">
        <v>0.02</v>
      </c>
      <c r="B11614" t="s">
        <v>3426</v>
      </c>
      <c r="C11614" s="851">
        <v>78.298000000000002</v>
      </c>
      <c r="D11614" s="908">
        <v>121.34</v>
      </c>
      <c r="E11614" s="896">
        <v>0.54972029936907707</v>
      </c>
      <c r="F11614" s="946">
        <v>5.5E-2</v>
      </c>
      <c r="G11614" s="78"/>
      <c r="H11614" t="str">
        <f>VLOOKUP(B11614,indexy!$A$44:$D$823,3,FALSE)</f>
        <v>JNJ UN Equity</v>
      </c>
    </row>
    <row r="11615" spans="1:8" hidden="1" outlineLevel="1" x14ac:dyDescent="0.25">
      <c r="A11615" s="1237">
        <v>0.02</v>
      </c>
      <c r="B11615" t="s">
        <v>1381</v>
      </c>
      <c r="C11615" s="851">
        <v>93.903999999999996</v>
      </c>
      <c r="D11615" s="908">
        <v>105.34</v>
      </c>
      <c r="E11615" s="896">
        <v>0.12178394956551375</v>
      </c>
      <c r="F11615" s="946">
        <v>5.5E-2</v>
      </c>
      <c r="G11615" s="78"/>
      <c r="H11615" t="str">
        <f>VLOOKUP(B11615,indexy!$A$44:$D$823,3,FALSE)</f>
        <v>KMB UN Equity</v>
      </c>
    </row>
    <row r="11616" spans="1:8" hidden="1" outlineLevel="1" x14ac:dyDescent="0.25">
      <c r="A11616" s="1237">
        <v>0.04</v>
      </c>
      <c r="B11616" t="s">
        <v>2786</v>
      </c>
      <c r="C11616" s="851">
        <v>737.6</v>
      </c>
      <c r="D11616" s="908">
        <v>838.4</v>
      </c>
      <c r="E11616" s="896">
        <v>0.1366594360086768</v>
      </c>
      <c r="F11616" s="946">
        <v>5.5E-2</v>
      </c>
      <c r="G11616" s="78"/>
      <c r="H11616" t="str">
        <f>VLOOKUP(B11616,indexy!$A$44:$D$823,3,FALSE)</f>
        <v>NG/ LN Equity</v>
      </c>
    </row>
    <row r="11617" spans="1:8" hidden="1" outlineLevel="1" x14ac:dyDescent="0.25">
      <c r="A11617" s="1237">
        <v>0.05</v>
      </c>
      <c r="B11617" t="s">
        <v>2787</v>
      </c>
      <c r="C11617" s="851">
        <v>65.42</v>
      </c>
      <c r="D11617" s="908">
        <v>75.28</v>
      </c>
      <c r="E11617" s="896">
        <v>0.15071843472944058</v>
      </c>
      <c r="F11617" s="946">
        <v>5.5E-2</v>
      </c>
      <c r="G11617" s="78"/>
      <c r="H11617" t="str">
        <f>VLOOKUP(B11617,indexy!$A$44:$D$823,3,FALSE)</f>
        <v>NOVN SE Equity</v>
      </c>
    </row>
    <row r="11618" spans="1:8" hidden="1" outlineLevel="1" x14ac:dyDescent="0.25">
      <c r="A11618" s="1237">
        <v>7.0000000000000007E-2</v>
      </c>
      <c r="B11618" t="s">
        <v>4273</v>
      </c>
      <c r="C11618" s="851">
        <v>1458.4</v>
      </c>
      <c r="D11618" s="908">
        <v>2822.5</v>
      </c>
      <c r="E11618" s="896">
        <v>0.93534009873834334</v>
      </c>
      <c r="F11618" s="946">
        <v>5.5E-2</v>
      </c>
      <c r="G11618" s="78"/>
      <c r="H11618" t="str">
        <f>VLOOKUP(B11618,indexy!$A$44:$D$823,3,FALSE)</f>
        <v>9437 JT Equity</v>
      </c>
    </row>
    <row r="11619" spans="1:8" hidden="1" outlineLevel="1" x14ac:dyDescent="0.25">
      <c r="A11619" s="1237">
        <v>7.0000000000000007E-2</v>
      </c>
      <c r="B11619" t="s">
        <v>901</v>
      </c>
      <c r="C11619" s="851">
        <v>17.866199999999999</v>
      </c>
      <c r="D11619" s="908">
        <v>38.299999999999997</v>
      </c>
      <c r="E11619" s="896">
        <v>1.1437127089140389</v>
      </c>
      <c r="F11619" s="946">
        <v>5.5E-2</v>
      </c>
      <c r="G11619" s="78"/>
      <c r="H11619" t="str">
        <f>VLOOKUP(B11619,indexy!$A$44:$D$823,3,FALSE)</f>
        <v>BATS LN Equity</v>
      </c>
    </row>
    <row r="11620" spans="1:8" hidden="1" outlineLevel="1" x14ac:dyDescent="0.25">
      <c r="A11620" s="1237">
        <v>7.0000000000000007E-2</v>
      </c>
      <c r="B11620" t="s">
        <v>3800</v>
      </c>
      <c r="C11620" s="851">
        <v>213.54</v>
      </c>
      <c r="D11620" s="908">
        <v>220.55</v>
      </c>
      <c r="E11620" s="896">
        <v>3.2827573288376932E-2</v>
      </c>
      <c r="F11620" s="946">
        <v>5.5E-2</v>
      </c>
      <c r="G11620" s="78"/>
      <c r="H11620" t="str">
        <f>VLOOKUP(B11620,indexy!$A$44:$D$823,3,FALSE)</f>
        <v>ROG SE Equity</v>
      </c>
    </row>
    <row r="11621" spans="1:8" hidden="1" outlineLevel="1" x14ac:dyDescent="0.25">
      <c r="A11621" s="1237">
        <v>0.02</v>
      </c>
      <c r="B11621" t="s">
        <v>3427</v>
      </c>
      <c r="C11621" s="851">
        <v>45.302</v>
      </c>
      <c r="D11621" s="908">
        <v>46.31</v>
      </c>
      <c r="E11621" s="896">
        <v>2.2250673259458731E-2</v>
      </c>
      <c r="F11621" s="946">
        <v>5.5E-2</v>
      </c>
      <c r="G11621" s="78"/>
      <c r="H11621" t="str">
        <f>VLOOKUP(B11621,indexy!$A$44:$D$823,3,FALSE)</f>
        <v>SO UN Equity</v>
      </c>
    </row>
    <row r="11622" spans="1:8" hidden="1" outlineLevel="1" x14ac:dyDescent="0.25">
      <c r="A11622" s="1237">
        <v>0.04</v>
      </c>
      <c r="B11622" s="853" t="s">
        <v>1857</v>
      </c>
      <c r="C11622" s="851">
        <v>1456</v>
      </c>
      <c r="D11622" s="908">
        <v>1355</v>
      </c>
      <c r="E11622" s="896">
        <v>-6.9368131868131844E-2</v>
      </c>
      <c r="F11622" s="946">
        <v>-6.9368131868131844E-2</v>
      </c>
      <c r="G11622" s="78"/>
      <c r="H11622" t="str">
        <f>VLOOKUP(B11622,indexy!$A$44:$D$823,3,FALSE)</f>
        <v>SSE LN Equity</v>
      </c>
    </row>
    <row r="11623" spans="1:8" hidden="1" outlineLevel="1" x14ac:dyDescent="0.25">
      <c r="A11623" s="1237">
        <v>7.0000000000000007E-2</v>
      </c>
      <c r="B11623" s="712" t="s">
        <v>1239</v>
      </c>
      <c r="C11623" s="851">
        <v>432.58</v>
      </c>
      <c r="D11623" s="908">
        <v>443.2</v>
      </c>
      <c r="E11623" s="896">
        <v>2.4550372185491609E-2</v>
      </c>
      <c r="F11623" s="946">
        <v>5.5E-2</v>
      </c>
      <c r="G11623" s="78"/>
      <c r="H11623" t="str">
        <f>VLOOKUP(B11623,indexy!$A$44:$D$823,3,FALSE)</f>
        <v>SCMN SE Equity</v>
      </c>
    </row>
    <row r="11624" spans="1:8" hidden="1" outlineLevel="1" x14ac:dyDescent="0.25">
      <c r="A11624" s="1237">
        <v>7.0000000000000007E-2</v>
      </c>
      <c r="B11624" s="695" t="s">
        <v>3022</v>
      </c>
      <c r="C11624" s="851">
        <v>5082</v>
      </c>
      <c r="D11624" s="908">
        <v>4678</v>
      </c>
      <c r="E11624" s="896">
        <v>-7.9496261314443095E-2</v>
      </c>
      <c r="F11624" s="946">
        <v>-7.9496261314443095E-2</v>
      </c>
      <c r="G11624" s="78"/>
      <c r="H11624" t="str">
        <f>VLOOKUP(B11624,indexy!$A$44:$D$823,3,FALSE)</f>
        <v>4502 JT Equity</v>
      </c>
    </row>
    <row r="11625" spans="1:8" hidden="1" outlineLevel="1" x14ac:dyDescent="0.25">
      <c r="A11625" s="1237">
        <v>0.02</v>
      </c>
      <c r="B11625" t="s">
        <v>5503</v>
      </c>
      <c r="C11625" s="851">
        <v>827.1</v>
      </c>
      <c r="D11625" s="908">
        <v>646.79999999999995</v>
      </c>
      <c r="E11625" s="896">
        <v>-0.21799056945955753</v>
      </c>
      <c r="F11625" s="946">
        <v>-0.21799056945955753</v>
      </c>
      <c r="G11625" s="78"/>
      <c r="H11625" t="str">
        <f>VLOOKUP(B11625,indexy!$A$44:$D$823,3,FALSE)</f>
        <v>TATE LN Equity</v>
      </c>
    </row>
    <row r="11626" spans="1:8" hidden="1" outlineLevel="1" x14ac:dyDescent="0.25">
      <c r="A11626" s="1237">
        <v>0.02</v>
      </c>
      <c r="B11626" t="s">
        <v>434</v>
      </c>
      <c r="C11626" s="851">
        <v>45.106000000000002</v>
      </c>
      <c r="D11626" s="908">
        <v>40.96</v>
      </c>
      <c r="E11626" s="896">
        <v>-9.1916818161663638E-2</v>
      </c>
      <c r="F11626" s="946">
        <v>-9.1916818161663638E-2</v>
      </c>
      <c r="G11626" s="78"/>
      <c r="H11626" t="str">
        <f>VLOOKUP(B11626,indexy!$A$44:$D$823,3,FALSE)</f>
        <v>TELIA SS Equity</v>
      </c>
    </row>
    <row r="11627" spans="1:8" hidden="1" outlineLevel="1" x14ac:dyDescent="0.25">
      <c r="A11627" s="1237">
        <v>0.02</v>
      </c>
      <c r="B11627" t="s">
        <v>3665</v>
      </c>
      <c r="C11627" s="851">
        <v>34.622</v>
      </c>
      <c r="D11627" s="908">
        <v>46.7</v>
      </c>
      <c r="E11627" s="896">
        <v>0.34885333025244081</v>
      </c>
      <c r="F11627" s="946">
        <v>5.5E-2</v>
      </c>
      <c r="G11627" s="78"/>
      <c r="H11627" t="str">
        <f>VLOOKUP(B11627,indexy!$A$44:$D$823,3,FALSE)</f>
        <v>T CT Equity</v>
      </c>
    </row>
    <row r="11628" spans="1:8" hidden="1" outlineLevel="1" x14ac:dyDescent="0.25">
      <c r="A11628" s="1237">
        <v>0.02</v>
      </c>
      <c r="B11628" s="987" t="s">
        <v>5534</v>
      </c>
      <c r="C11628" s="851">
        <v>6.1440000000000001</v>
      </c>
      <c r="D11628" s="908">
        <v>11.97</v>
      </c>
      <c r="E11628" s="896">
        <v>0.9482421875</v>
      </c>
      <c r="F11628" s="946">
        <v>5.5E-2</v>
      </c>
      <c r="G11628" s="78"/>
      <c r="H11628" t="str">
        <f>VLOOKUP(B11628,indexy!$A$44:$D$823,3,FALSE)</f>
        <v>TCL AT Equity</v>
      </c>
    </row>
    <row r="11629" spans="1:8" hidden="1" outlineLevel="1" x14ac:dyDescent="0.25">
      <c r="A11629" s="1237">
        <v>0.02</v>
      </c>
      <c r="B11629" s="987" t="s">
        <v>255</v>
      </c>
      <c r="C11629" s="851">
        <v>47.91</v>
      </c>
      <c r="D11629" s="908">
        <v>50.31</v>
      </c>
      <c r="E11629" s="896">
        <v>5.009392611145902E-2</v>
      </c>
      <c r="F11629" s="946">
        <v>5.5E-2</v>
      </c>
      <c r="G11629" s="78"/>
      <c r="H11629" t="str">
        <f>VLOOKUP(B11629,indexy!$A$44:$D$823,3,FALSE)</f>
        <v>VZ UN Equity</v>
      </c>
    </row>
    <row r="11630" spans="1:8" hidden="1" outlineLevel="1" x14ac:dyDescent="0.25">
      <c r="A11630" s="1237">
        <v>0.02</v>
      </c>
      <c r="B11630" s="853" t="s">
        <v>5522</v>
      </c>
      <c r="C11630" s="851">
        <v>42.56</v>
      </c>
      <c r="D11630" s="908">
        <v>49.36</v>
      </c>
      <c r="E11630" s="896">
        <v>0.15977443609022557</v>
      </c>
      <c r="F11630" s="946">
        <v>5.5E-2</v>
      </c>
      <c r="G11630" s="78"/>
      <c r="H11630" t="str">
        <f>VLOOKUP(B11630,indexy!$A$44:$D$823,3,FALSE)</f>
        <v>WES AT Equity</v>
      </c>
    </row>
    <row r="11631" spans="1:8" hidden="1" outlineLevel="1" x14ac:dyDescent="0.25">
      <c r="A11631" s="1237">
        <v>0.02</v>
      </c>
      <c r="B11631" s="877" t="s">
        <v>5537</v>
      </c>
      <c r="C11631" s="851">
        <v>35.366</v>
      </c>
      <c r="D11631" s="908">
        <v>30.52</v>
      </c>
      <c r="E11631" s="896">
        <v>-0.13702426058926653</v>
      </c>
      <c r="F11631" s="946">
        <v>-0.13702426058926653</v>
      </c>
      <c r="G11631" s="78"/>
      <c r="H11631" t="str">
        <f>VLOOKUP(B11631,indexy!$A$44:$D$823,3,FALSE)</f>
        <v>WOW AT Equity</v>
      </c>
    </row>
    <row r="11632" spans="1:8" hidden="1" outlineLevel="1" x14ac:dyDescent="0.25">
      <c r="A11632" s="1237">
        <v>0.02</v>
      </c>
      <c r="B11632" t="s">
        <v>2874</v>
      </c>
      <c r="C11632" s="851">
        <v>28.986000000000001</v>
      </c>
      <c r="D11632" s="908">
        <v>45.68</v>
      </c>
      <c r="E11632" s="896">
        <v>0.57593320913544455</v>
      </c>
      <c r="F11632" s="946">
        <v>5.5E-2</v>
      </c>
      <c r="G11632" s="78"/>
      <c r="H11632" t="str">
        <f>VLOOKUP(B11632,indexy!$A$44:$D$823,3,FALSE)</f>
        <v>XEL US Equity</v>
      </c>
    </row>
    <row r="11633" spans="1:12" hidden="1" outlineLevel="1" x14ac:dyDescent="0.25">
      <c r="A11633" s="1232" t="s">
        <v>2465</v>
      </c>
      <c r="B11633" s="1471"/>
      <c r="C11633" s="1472"/>
      <c r="D11633" s="1227"/>
      <c r="E11633" s="907">
        <v>0.29270800532737995</v>
      </c>
      <c r="F11633" s="1872">
        <v>2.6412190616606275E-2</v>
      </c>
      <c r="G11633" s="78"/>
    </row>
    <row r="11634" spans="1:12" hidden="1" outlineLevel="1" x14ac:dyDescent="0.25">
      <c r="A11634" s="728"/>
      <c r="B11634" s="729"/>
      <c r="C11634" s="729"/>
      <c r="D11634" s="729"/>
      <c r="E11634" s="729"/>
      <c r="F11634" s="731"/>
      <c r="G11634" s="78"/>
    </row>
    <row r="11635" spans="1:12" hidden="1" outlineLevel="1" x14ac:dyDescent="0.25">
      <c r="A11635" s="1617" t="s">
        <v>113</v>
      </c>
      <c r="B11635" s="1617"/>
      <c r="C11635" s="1618"/>
      <c r="D11635" s="1618"/>
      <c r="E11635" s="726"/>
      <c r="F11635" s="1023"/>
      <c r="G11635" s="78"/>
    </row>
    <row r="11636" spans="1:12" hidden="1" outlineLevel="1" x14ac:dyDescent="0.25">
      <c r="A11636" s="753" t="s">
        <v>5584</v>
      </c>
      <c r="B11636" s="690"/>
      <c r="C11636" s="691"/>
      <c r="D11636" s="691"/>
      <c r="E11636" s="1024"/>
      <c r="F11636" s="1021">
        <v>3.5000000000000003E-2</v>
      </c>
      <c r="G11636" s="78"/>
    </row>
    <row r="11637" spans="1:12" hidden="1" outlineLevel="1" x14ac:dyDescent="0.25">
      <c r="A11637" s="753" t="s">
        <v>5585</v>
      </c>
      <c r="B11637" s="706"/>
      <c r="C11637" s="695"/>
      <c r="D11637" s="695"/>
      <c r="E11637" s="1026"/>
      <c r="F11637" s="946">
        <v>4.2617999999999941E-2</v>
      </c>
      <c r="G11637" s="78"/>
    </row>
    <row r="11638" spans="1:12" hidden="1" outlineLevel="1" x14ac:dyDescent="0.25">
      <c r="A11638" s="753" t="s">
        <v>5586</v>
      </c>
      <c r="B11638" s="706"/>
      <c r="C11638" s="695"/>
      <c r="D11638" s="695"/>
      <c r="E11638" s="1026"/>
      <c r="F11638" s="946">
        <v>2.6482000000000026E-2</v>
      </c>
      <c r="G11638" s="78"/>
    </row>
    <row r="11639" spans="1:12" hidden="1" outlineLevel="1" x14ac:dyDescent="0.25">
      <c r="A11639" s="753" t="s">
        <v>5587</v>
      </c>
      <c r="B11639" s="706"/>
      <c r="C11639" s="695"/>
      <c r="D11639" s="695"/>
      <c r="E11639" s="1026"/>
      <c r="F11639" s="946">
        <v>4.0599999999999997E-2</v>
      </c>
      <c r="G11639" s="78"/>
    </row>
    <row r="11640" spans="1:12" hidden="1" outlineLevel="1" x14ac:dyDescent="0.25">
      <c r="A11640" s="753" t="s">
        <v>5588</v>
      </c>
      <c r="B11640" s="713"/>
      <c r="C11640" s="726"/>
      <c r="D11640" s="726"/>
      <c r="E11640" s="1321"/>
      <c r="F11640" s="1023">
        <v>2.5999999999999999E-2</v>
      </c>
      <c r="G11640" s="78"/>
    </row>
    <row r="11641" spans="1:12" collapsed="1" x14ac:dyDescent="0.25">
      <c r="A11641" s="3803" t="s">
        <v>5589</v>
      </c>
      <c r="B11641" s="3804"/>
      <c r="C11641" s="3804"/>
      <c r="D11641" s="1891"/>
      <c r="E11641" s="1891"/>
      <c r="F11641" s="1893">
        <v>0.17069999999999996</v>
      </c>
      <c r="G11641" s="78"/>
    </row>
    <row r="11643" spans="1:12" hidden="1" outlineLevel="1" x14ac:dyDescent="0.25">
      <c r="A11643" s="3180" t="s">
        <v>113</v>
      </c>
      <c r="B11643" s="3180" t="s">
        <v>114</v>
      </c>
      <c r="C11643" s="3180" t="s">
        <v>112</v>
      </c>
      <c r="D11643" s="3180" t="s">
        <v>116</v>
      </c>
      <c r="E11643" s="3180" t="s">
        <v>117</v>
      </c>
      <c r="F11643" s="3181" t="s">
        <v>121</v>
      </c>
    </row>
    <row r="11644" spans="1:12" hidden="1" outlineLevel="1" x14ac:dyDescent="0.25">
      <c r="A11644" s="3182">
        <v>1</v>
      </c>
      <c r="B11644" s="3183" t="s">
        <v>252</v>
      </c>
      <c r="C11644" s="3184">
        <v>100</v>
      </c>
      <c r="D11644" s="3184"/>
      <c r="E11644" s="3209"/>
      <c r="F11644" s="3210"/>
    </row>
    <row r="11645" spans="1:12" hidden="1" outlineLevel="1" x14ac:dyDescent="0.25">
      <c r="A11645" s="3187"/>
      <c r="B11645" s="3187" t="s">
        <v>8094</v>
      </c>
      <c r="C11645" s="3188"/>
      <c r="D11645" s="1900" t="s">
        <v>3702</v>
      </c>
      <c r="E11645" s="3189">
        <v>43404</v>
      </c>
      <c r="F11645" s="3211"/>
    </row>
    <row r="11646" spans="1:12" hidden="1" outlineLevel="1" x14ac:dyDescent="0.25">
      <c r="A11646" s="2085" t="s">
        <v>4156</v>
      </c>
      <c r="B11646" s="2085" t="s">
        <v>4153</v>
      </c>
      <c r="C11646" s="3208" t="s">
        <v>112</v>
      </c>
      <c r="D11646" s="2085" t="s">
        <v>4155</v>
      </c>
      <c r="E11646" s="2085" t="s">
        <v>4154</v>
      </c>
      <c r="F11646" s="3207" t="s">
        <v>2519</v>
      </c>
      <c r="G11646" s="314"/>
      <c r="H11646" s="314"/>
    </row>
    <row r="11647" spans="1:12" hidden="1" outlineLevel="1" x14ac:dyDescent="0.25">
      <c r="A11647" s="1813">
        <v>0.05</v>
      </c>
      <c r="B11647" s="2089" t="s">
        <v>1993</v>
      </c>
      <c r="C11647" s="2337">
        <v>33.899000000000001</v>
      </c>
      <c r="D11647" s="2992">
        <v>65.040000000000006</v>
      </c>
      <c r="E11647" s="2092">
        <v>0.91864066786630882</v>
      </c>
      <c r="F11647" s="3193">
        <v>4.5932033393315447E-2</v>
      </c>
      <c r="H11647" t="str">
        <f>VLOOKUP(B11647,indexy!$A$44:$D$823,3,FALSE)</f>
        <v>MO UN Equity</v>
      </c>
      <c r="J11647" t="s">
        <v>2040</v>
      </c>
    </row>
    <row r="11648" spans="1:12" hidden="1" outlineLevel="1" x14ac:dyDescent="0.25">
      <c r="A11648" s="1813">
        <v>0.02</v>
      </c>
      <c r="B11648" s="1813" t="s">
        <v>2942</v>
      </c>
      <c r="C11648" s="1902">
        <v>1039</v>
      </c>
      <c r="D11648" s="2199">
        <v>1747</v>
      </c>
      <c r="E11648" s="2097">
        <v>0.68142444658325307</v>
      </c>
      <c r="F11648" s="3198">
        <v>1.3628488931665062E-2</v>
      </c>
      <c r="H11648" t="str">
        <f>VLOOKUP(B11648,indexy!$A$44:$D$823,3,FALSE)</f>
        <v>4503 JT Equity</v>
      </c>
      <c r="J11648" s="256">
        <v>42856</v>
      </c>
      <c r="K11648">
        <v>144.57130000000001</v>
      </c>
      <c r="L11648" s="37">
        <f>IF(K11648="",F11678,K11648/100-1)</f>
        <v>0.44571300000000003</v>
      </c>
    </row>
    <row r="11649" spans="1:12" hidden="1" outlineLevel="1" x14ac:dyDescent="0.25">
      <c r="A11649" s="1813">
        <v>0.02</v>
      </c>
      <c r="B11649" s="1926" t="s">
        <v>805</v>
      </c>
      <c r="C11649" s="1902">
        <v>64.034000000000006</v>
      </c>
      <c r="D11649" s="2199">
        <v>98.43</v>
      </c>
      <c r="E11649" s="2097">
        <v>0.53715213792672634</v>
      </c>
      <c r="F11649" s="3198">
        <v>1.0743042758534526E-2</v>
      </c>
      <c r="H11649" t="str">
        <f>VLOOKUP(B11649,indexy!$A$44:$D$823,3,FALSE)</f>
        <v>BMO CT Equity</v>
      </c>
      <c r="J11649" s="256">
        <v>42887</v>
      </c>
      <c r="K11649">
        <v>140.39699999999999</v>
      </c>
      <c r="L11649" s="37">
        <f>IF(K11649="",L11648,K11649/100-1)</f>
        <v>0.40396999999999994</v>
      </c>
    </row>
    <row r="11650" spans="1:12" hidden="1" outlineLevel="1" x14ac:dyDescent="0.25">
      <c r="A11650" s="1813">
        <v>0.02</v>
      </c>
      <c r="B11650" s="1813" t="s">
        <v>5386</v>
      </c>
      <c r="C11650" s="1902">
        <v>46.905999999999999</v>
      </c>
      <c r="D11650" s="2199">
        <v>50.95</v>
      </c>
      <c r="E11650" s="2097">
        <v>8.6214983157804959E-2</v>
      </c>
      <c r="F11650" s="3198">
        <v>1.7242996631560991E-3</v>
      </c>
      <c r="H11650" t="str">
        <f>VLOOKUP(B11650,indexy!$A$44:$D$823,3,FALSE)</f>
        <v>BCE CT Equity</v>
      </c>
      <c r="J11650" s="256">
        <v>42917</v>
      </c>
      <c r="K11650">
        <v>136.20820000000001</v>
      </c>
      <c r="L11650" s="37">
        <f>IF(K11650="",L11649,K11650/100-1)</f>
        <v>0.36208200000000001</v>
      </c>
    </row>
    <row r="11651" spans="1:12" hidden="1" outlineLevel="1" x14ac:dyDescent="0.25">
      <c r="A11651" s="1813">
        <v>0.02</v>
      </c>
      <c r="B11651" s="1926" t="s">
        <v>3954</v>
      </c>
      <c r="C11651" s="1902">
        <v>82.551000000000002</v>
      </c>
      <c r="D11651" s="2199">
        <v>113.68</v>
      </c>
      <c r="E11651" s="2097">
        <v>0.37708810311201568</v>
      </c>
      <c r="F11651" s="3198">
        <v>7.5417620622403141E-3</v>
      </c>
      <c r="H11651" t="str">
        <f>VLOOKUP(B11651,indexy!$A$44:$D$823,3,FALSE)</f>
        <v>CM CT Equity</v>
      </c>
      <c r="J11651" s="256">
        <v>42948</v>
      </c>
      <c r="K11651">
        <v>137.55439999999999</v>
      </c>
      <c r="L11651" s="37">
        <f>IF(K11651="",L11650,K11651/100-1)</f>
        <v>0.37554399999999988</v>
      </c>
    </row>
    <row r="11652" spans="1:12" hidden="1" outlineLevel="1" x14ac:dyDescent="0.25">
      <c r="A11652" s="1813">
        <v>0.02</v>
      </c>
      <c r="B11652" s="1813" t="s">
        <v>1319</v>
      </c>
      <c r="C11652" s="1902">
        <v>58.938000000000002</v>
      </c>
      <c r="D11652" s="2199">
        <v>76</v>
      </c>
      <c r="E11652" s="2097">
        <v>0.28949065119277884</v>
      </c>
      <c r="F11652" s="3198">
        <v>5.7898130238555768E-3</v>
      </c>
      <c r="H11652" t="str">
        <f>VLOOKUP(B11652,indexy!$A$44:$D$823,3,FALSE)</f>
        <v>ED UN Equity</v>
      </c>
      <c r="J11652" s="256">
        <v>42979</v>
      </c>
      <c r="K11652">
        <v>136.4975</v>
      </c>
      <c r="L11652" s="37">
        <f>IF(K11652="",L11651,K11652/100-1)</f>
        <v>0.36497500000000005</v>
      </c>
    </row>
    <row r="11653" spans="1:12" hidden="1" outlineLevel="1" x14ac:dyDescent="0.25">
      <c r="A11653" s="1813">
        <v>0.02</v>
      </c>
      <c r="B11653" s="2965" t="s">
        <v>1231</v>
      </c>
      <c r="C11653" s="1902">
        <v>69.823999999999998</v>
      </c>
      <c r="D11653" s="2199">
        <v>82.63</v>
      </c>
      <c r="E11653" s="2097">
        <v>0.18340398716773598</v>
      </c>
      <c r="F11653" s="3198">
        <v>3.6680797433547197E-3</v>
      </c>
      <c r="H11653" t="str">
        <f>VLOOKUP(B11653,indexy!$A$44:$D$823,3,FALSE)</f>
        <v>DUK UN Equity</v>
      </c>
      <c r="J11653" s="256">
        <v>43009</v>
      </c>
      <c r="K11653">
        <v>139.6293</v>
      </c>
      <c r="L11653" s="37">
        <f>IF(K11653="",$F$11677,K11653/100-1)</f>
        <v>0.39629300000000001</v>
      </c>
    </row>
    <row r="11654" spans="1:12" hidden="1" outlineLevel="1" x14ac:dyDescent="0.25">
      <c r="A11654" s="1813">
        <v>0.05</v>
      </c>
      <c r="B11654" s="1813" t="s">
        <v>5232</v>
      </c>
      <c r="C11654" s="1902">
        <v>63.893999999999998</v>
      </c>
      <c r="D11654" s="2199">
        <v>83.95</v>
      </c>
      <c r="E11654" s="2097">
        <v>0.31389488840892743</v>
      </c>
      <c r="F11654" s="3198">
        <v>1.5694744420446372E-2</v>
      </c>
      <c r="H11654" t="str">
        <f>VLOOKUP(B11654,indexy!$A$44:$D$823,3,FALSE)</f>
        <v>ETR UN Equity</v>
      </c>
      <c r="J11654" s="256">
        <v>43040</v>
      </c>
      <c r="K11654">
        <v>141.68369999999999</v>
      </c>
      <c r="L11654" s="37">
        <f t="shared" ref="L11654:L11665" si="218">IF(K11654="",$F$11677,K11654/100-1)</f>
        <v>0.4168369999999999</v>
      </c>
    </row>
    <row r="11655" spans="1:12" hidden="1" outlineLevel="1" x14ac:dyDescent="0.25">
      <c r="A11655" s="1813">
        <v>0.02</v>
      </c>
      <c r="B11655" s="1813" t="s">
        <v>5489</v>
      </c>
      <c r="C11655" s="1902">
        <v>46.426000000000002</v>
      </c>
      <c r="D11655" s="2199">
        <v>43.8</v>
      </c>
      <c r="E11655" s="2097">
        <v>-5.656313272735114E-2</v>
      </c>
      <c r="F11655" s="3198">
        <v>-1.1312626545470228E-3</v>
      </c>
      <c r="H11655" t="str">
        <f>VLOOKUP(B11655,indexy!$A$44:$D$823,3,FALSE)</f>
        <v>GIS UN Equity</v>
      </c>
      <c r="J11655" s="256">
        <v>43070</v>
      </c>
      <c r="K11655">
        <v>141.7251</v>
      </c>
      <c r="L11655" s="37">
        <f t="shared" si="218"/>
        <v>0.41725100000000004</v>
      </c>
    </row>
    <row r="11656" spans="1:12" hidden="1" outlineLevel="1" x14ac:dyDescent="0.25">
      <c r="A11656" s="1813">
        <v>0.04</v>
      </c>
      <c r="B11656" s="1813" t="s">
        <v>3799</v>
      </c>
      <c r="C11656" s="2577">
        <v>1475.474982398026</v>
      </c>
      <c r="D11656" s="2199">
        <v>1511.2</v>
      </c>
      <c r="E11656" s="2097">
        <v>2.4212553942400072E-2</v>
      </c>
      <c r="F11656" s="3198">
        <v>9.6850215769600295E-4</v>
      </c>
      <c r="H11656" t="str">
        <f>VLOOKUP(B11656,indexy!$A$44:$D$823,3,FALSE)</f>
        <v>GSK LN Equity</v>
      </c>
      <c r="J11656" s="256">
        <v>43101</v>
      </c>
      <c r="K11656">
        <v>138.68770000000001</v>
      </c>
      <c r="L11656" s="37">
        <f t="shared" si="218"/>
        <v>0.38687700000000014</v>
      </c>
    </row>
    <row r="11657" spans="1:12" hidden="1" outlineLevel="1" x14ac:dyDescent="0.25">
      <c r="A11657" s="1813">
        <v>0.02</v>
      </c>
      <c r="B11657" s="1813" t="s">
        <v>4496</v>
      </c>
      <c r="C11657" s="1902">
        <v>72.507999999999996</v>
      </c>
      <c r="D11657" s="2199">
        <v>76.708399999999997</v>
      </c>
      <c r="E11657" s="2097">
        <v>5.7930159430683581E-2</v>
      </c>
      <c r="F11657" s="3198">
        <v>1.1586031886136716E-3</v>
      </c>
      <c r="H11657" t="str">
        <f>VLOOKUP(B11657,indexy!$A$44:$D$823,3,FALSE)</f>
        <v>HNZ UN Cash</v>
      </c>
      <c r="J11657" s="256">
        <v>43132</v>
      </c>
      <c r="K11657">
        <v>131.90719999999999</v>
      </c>
      <c r="L11657" s="37">
        <f t="shared" si="218"/>
        <v>0.3190719999999998</v>
      </c>
    </row>
    <row r="11658" spans="1:12" hidden="1" outlineLevel="1" x14ac:dyDescent="0.25">
      <c r="A11658" s="1813">
        <v>0.02</v>
      </c>
      <c r="B11658" s="1813" t="s">
        <v>3426</v>
      </c>
      <c r="C11658" s="1902">
        <v>78.69</v>
      </c>
      <c r="D11658" s="2199">
        <v>139.99</v>
      </c>
      <c r="E11658" s="2097">
        <v>0.77900622696657784</v>
      </c>
      <c r="F11658" s="3198">
        <v>1.5580124539331558E-2</v>
      </c>
      <c r="H11658" t="str">
        <f>VLOOKUP(B11658,indexy!$A$44:$D$823,3,FALSE)</f>
        <v>JNJ UN Equity</v>
      </c>
      <c r="J11658" s="256">
        <v>43160</v>
      </c>
      <c r="K11658">
        <v>129.7621</v>
      </c>
      <c r="L11658" s="37">
        <f t="shared" si="218"/>
        <v>0.29762100000000014</v>
      </c>
    </row>
    <row r="11659" spans="1:12" hidden="1" outlineLevel="1" x14ac:dyDescent="0.25">
      <c r="A11659" s="1813">
        <v>0.02</v>
      </c>
      <c r="B11659" s="1813" t="s">
        <v>1381</v>
      </c>
      <c r="C11659" s="2577">
        <v>89.990278710152054</v>
      </c>
      <c r="D11659" s="2199">
        <v>104.3</v>
      </c>
      <c r="E11659" s="2097">
        <v>0.15901407902000009</v>
      </c>
      <c r="F11659" s="3198">
        <v>3.180281580400002E-3</v>
      </c>
      <c r="H11659" t="str">
        <f>VLOOKUP(B11659,indexy!$A$44:$D$823,3,FALSE)</f>
        <v>KMB UN Equity</v>
      </c>
      <c r="J11659" s="256">
        <v>43191</v>
      </c>
      <c r="K11659">
        <v>129.68430000000001</v>
      </c>
      <c r="L11659" s="37">
        <f t="shared" si="218"/>
        <v>0.29684299999999997</v>
      </c>
    </row>
    <row r="11660" spans="1:12" hidden="1" outlineLevel="1" x14ac:dyDescent="0.25">
      <c r="A11660" s="1813">
        <v>0.04</v>
      </c>
      <c r="B11660" s="1813" t="s">
        <v>2786</v>
      </c>
      <c r="C11660" s="2577">
        <v>742.04705205154255</v>
      </c>
      <c r="D11660" s="2199">
        <v>829.2</v>
      </c>
      <c r="E11660" s="2097">
        <v>0.11744935541150014</v>
      </c>
      <c r="F11660" s="3198">
        <v>4.6979742164600059E-3</v>
      </c>
      <c r="H11660" t="str">
        <f>VLOOKUP(B11660,indexy!$A$44:$D$823,3,FALSE)</f>
        <v>NG/ LN Equity</v>
      </c>
      <c r="J11660" s="256">
        <v>43221</v>
      </c>
      <c r="K11660">
        <v>127.51779999999999</v>
      </c>
      <c r="L11660" s="37">
        <f t="shared" si="218"/>
        <v>0.27517799999999992</v>
      </c>
    </row>
    <row r="11661" spans="1:12" hidden="1" outlineLevel="1" x14ac:dyDescent="0.25">
      <c r="A11661" s="1813">
        <v>0.05</v>
      </c>
      <c r="B11661" s="1813" t="s">
        <v>2787</v>
      </c>
      <c r="C11661" s="1902">
        <v>65.765000000000001</v>
      </c>
      <c r="D11661" s="2199">
        <v>88.24</v>
      </c>
      <c r="E11661" s="2097">
        <v>0.34174712993233469</v>
      </c>
      <c r="F11661" s="3198">
        <v>1.7087356496616735E-2</v>
      </c>
      <c r="H11661" t="str">
        <f>VLOOKUP(B11661,indexy!$A$44:$D$823,3,FALSE)</f>
        <v>NOVN SE Equity</v>
      </c>
      <c r="J11661" s="256">
        <v>43252</v>
      </c>
      <c r="K11661">
        <v>129.26070000000001</v>
      </c>
      <c r="L11661" s="37">
        <f t="shared" si="218"/>
        <v>0.29260700000000006</v>
      </c>
    </row>
    <row r="11662" spans="1:12" hidden="1" outlineLevel="1" x14ac:dyDescent="0.25">
      <c r="A11662" s="1813">
        <v>7.0000000000000007E-2</v>
      </c>
      <c r="B11662" s="1813" t="s">
        <v>4273</v>
      </c>
      <c r="C11662" s="1902">
        <v>1460.1</v>
      </c>
      <c r="D11662" s="2199">
        <v>2844.5</v>
      </c>
      <c r="E11662" s="2097">
        <v>0.94815423601123228</v>
      </c>
      <c r="F11662" s="3198">
        <v>6.6370796520786271E-2</v>
      </c>
      <c r="H11662" t="str">
        <f>VLOOKUP(B11662,indexy!$A$44:$D$823,3,FALSE)</f>
        <v>9437 JT Equity</v>
      </c>
      <c r="J11662" s="256">
        <v>43282</v>
      </c>
      <c r="K11662">
        <v>134.0111</v>
      </c>
      <c r="L11662" s="37">
        <f t="shared" si="218"/>
        <v>0.34011100000000005</v>
      </c>
    </row>
    <row r="11663" spans="1:12" hidden="1" outlineLevel="1" x14ac:dyDescent="0.25">
      <c r="A11663" s="1813">
        <v>7.0000000000000007E-2</v>
      </c>
      <c r="B11663" s="1813" t="s">
        <v>901</v>
      </c>
      <c r="C11663" s="2577">
        <v>17.836003961947235</v>
      </c>
      <c r="D11663" s="2199">
        <v>33.935000000000002</v>
      </c>
      <c r="E11663" s="2097">
        <v>0.902612270797857</v>
      </c>
      <c r="F11663" s="3198">
        <v>6.3182858955849991E-2</v>
      </c>
      <c r="H11663" t="str">
        <f>VLOOKUP(B11663,indexy!$A$44:$D$823,3,FALSE)</f>
        <v>BATS LN Equity</v>
      </c>
      <c r="J11663" s="256">
        <v>43313</v>
      </c>
      <c r="K11663">
        <v>131.93709999999999</v>
      </c>
      <c r="L11663" s="37">
        <f t="shared" si="218"/>
        <v>0.31937099999999985</v>
      </c>
    </row>
    <row r="11664" spans="1:12" hidden="1" outlineLevel="1" x14ac:dyDescent="0.25">
      <c r="A11664" s="1813">
        <v>7.0000000000000007E-2</v>
      </c>
      <c r="B11664" s="1813" t="s">
        <v>3800</v>
      </c>
      <c r="C11664" s="1902">
        <v>215.28</v>
      </c>
      <c r="D11664" s="2199">
        <v>245.1</v>
      </c>
      <c r="E11664" s="2097">
        <v>0.13851727982162765</v>
      </c>
      <c r="F11664" s="3198">
        <v>9.6962095875139358E-3</v>
      </c>
      <c r="H11664" t="str">
        <f>VLOOKUP(B11664,indexy!$A$44:$D$823,3,FALSE)</f>
        <v>ROG SE Equity</v>
      </c>
      <c r="J11664" s="256">
        <v>43344</v>
      </c>
      <c r="K11664">
        <v>131.9983</v>
      </c>
      <c r="L11664" s="37">
        <f t="shared" si="218"/>
        <v>0.31998299999999991</v>
      </c>
    </row>
    <row r="11665" spans="1:12" hidden="1" outlineLevel="1" x14ac:dyDescent="0.25">
      <c r="A11665" s="1813">
        <v>0.02</v>
      </c>
      <c r="B11665" s="1813" t="s">
        <v>3427</v>
      </c>
      <c r="C11665" s="1902">
        <v>45.396999999999998</v>
      </c>
      <c r="D11665" s="2199">
        <v>45.03</v>
      </c>
      <c r="E11665" s="2097">
        <v>-8.0842346410555654E-3</v>
      </c>
      <c r="F11665" s="3198">
        <v>-1.6168469282111132E-4</v>
      </c>
      <c r="H11665" t="str">
        <f>VLOOKUP(B11665,indexy!$A$44:$D$823,3,FALSE)</f>
        <v>SO UN Equity</v>
      </c>
      <c r="J11665" s="256">
        <v>43374</v>
      </c>
      <c r="K11665">
        <v>130.7747</v>
      </c>
      <c r="L11665" s="37">
        <f t="shared" si="218"/>
        <v>0.30774699999999999</v>
      </c>
    </row>
    <row r="11666" spans="1:12" hidden="1" outlineLevel="1" x14ac:dyDescent="0.25">
      <c r="A11666" s="1813">
        <v>0.04</v>
      </c>
      <c r="B11666" s="1813" t="s">
        <v>1857</v>
      </c>
      <c r="C11666" s="1902">
        <v>1463.7</v>
      </c>
      <c r="D11666" s="2199">
        <v>1141.5</v>
      </c>
      <c r="E11666" s="2097">
        <v>-0.22012707522033204</v>
      </c>
      <c r="F11666" s="3198">
        <v>-8.8050830088132817E-3</v>
      </c>
      <c r="H11666" t="str">
        <f>VLOOKUP(B11666,indexy!$A$44:$D$823,3,FALSE)</f>
        <v>SSE LN Equity</v>
      </c>
      <c r="J11666" s="412" t="s">
        <v>2465</v>
      </c>
      <c r="L11666" s="261">
        <f>AVERAGE(L11648:L11665)</f>
        <v>0.35211527777777779</v>
      </c>
    </row>
    <row r="11667" spans="1:12" hidden="1" outlineLevel="1" x14ac:dyDescent="0.25">
      <c r="A11667" s="1813">
        <v>7.0000000000000007E-2</v>
      </c>
      <c r="B11667" s="1813" t="s">
        <v>1239</v>
      </c>
      <c r="C11667" s="1902">
        <v>433.87</v>
      </c>
      <c r="D11667" s="2199">
        <v>461.4</v>
      </c>
      <c r="E11667" s="2097">
        <v>6.345218613870518E-2</v>
      </c>
      <c r="F11667" s="3198">
        <v>4.4416530297093628E-3</v>
      </c>
      <c r="H11667" t="str">
        <f>VLOOKUP(B11667,indexy!$A$44:$D$823,3,FALSE)</f>
        <v>SCMN SE Equity</v>
      </c>
    </row>
    <row r="11668" spans="1:12" hidden="1" outlineLevel="1" x14ac:dyDescent="0.25">
      <c r="A11668" s="1813">
        <v>7.0000000000000007E-2</v>
      </c>
      <c r="B11668" s="2965" t="s">
        <v>3022</v>
      </c>
      <c r="C11668" s="1902">
        <v>5141</v>
      </c>
      <c r="D11668" s="2199">
        <v>4570</v>
      </c>
      <c r="E11668" s="2097">
        <v>-0.11106788562536474</v>
      </c>
      <c r="F11668" s="3198">
        <v>-7.7747519937755322E-3</v>
      </c>
      <c r="H11668" t="str">
        <f>VLOOKUP(B11668,indexy!$A$44:$D$823,3,FALSE)</f>
        <v>4502 JT Equity</v>
      </c>
    </row>
    <row r="11669" spans="1:12" hidden="1" outlineLevel="1" x14ac:dyDescent="0.25">
      <c r="A11669" s="1813">
        <v>0.02</v>
      </c>
      <c r="B11669" s="1813" t="s">
        <v>5503</v>
      </c>
      <c r="C11669" s="1902">
        <v>830.2</v>
      </c>
      <c r="D11669" s="2199">
        <v>673.2</v>
      </c>
      <c r="E11669" s="2097">
        <v>-0.18911105757648761</v>
      </c>
      <c r="F11669" s="3198">
        <v>-3.7822211515297524E-3</v>
      </c>
      <c r="H11669" t="str">
        <f>VLOOKUP(B11669,indexy!$A$44:$D$823,3,FALSE)</f>
        <v>TATE LN Equity</v>
      </c>
    </row>
    <row r="11670" spans="1:12" hidden="1" outlineLevel="1" x14ac:dyDescent="0.25">
      <c r="A11670" s="1813">
        <v>0.02</v>
      </c>
      <c r="B11670" s="1813" t="s">
        <v>434</v>
      </c>
      <c r="C11670" s="1902">
        <v>45.356999999999999</v>
      </c>
      <c r="D11670" s="2199">
        <v>41.26</v>
      </c>
      <c r="E11670" s="2097">
        <v>-9.0327843552263198E-2</v>
      </c>
      <c r="F11670" s="3198">
        <v>-1.8065568710452641E-3</v>
      </c>
      <c r="H11670" t="str">
        <f>VLOOKUP(B11670,indexy!$A$44:$D$823,3,FALSE)</f>
        <v>TELIA SS Equity</v>
      </c>
    </row>
    <row r="11671" spans="1:12" hidden="1" outlineLevel="1" x14ac:dyDescent="0.25">
      <c r="A11671" s="1813">
        <v>0.02</v>
      </c>
      <c r="B11671" s="1813" t="s">
        <v>3665</v>
      </c>
      <c r="C11671" s="1902">
        <v>34.676499999999997</v>
      </c>
      <c r="D11671" s="2199">
        <v>45.08</v>
      </c>
      <c r="E11671" s="2097">
        <v>0.30001586088561427</v>
      </c>
      <c r="F11671" s="3198">
        <v>6.0003172177122855E-3</v>
      </c>
      <c r="H11671" t="str">
        <f>VLOOKUP(B11671,indexy!$A$44:$D$823,3,FALSE)</f>
        <v>T CT Equity</v>
      </c>
    </row>
    <row r="11672" spans="1:12" hidden="1" outlineLevel="1" x14ac:dyDescent="0.25">
      <c r="A11672" s="1813">
        <v>0.02</v>
      </c>
      <c r="B11672" s="2003" t="s">
        <v>5534</v>
      </c>
      <c r="C11672" s="2577">
        <v>6.1455518523347781</v>
      </c>
      <c r="D11672" s="2199">
        <v>11.34</v>
      </c>
      <c r="E11672" s="2097">
        <v>0.84523705478000011</v>
      </c>
      <c r="F11672" s="3198">
        <v>1.6904741095600001E-2</v>
      </c>
      <c r="H11672" t="str">
        <f>VLOOKUP(B11672,indexy!$A$44:$D$823,3,FALSE)</f>
        <v>TCL AT Equity</v>
      </c>
    </row>
    <row r="11673" spans="1:12" hidden="1" outlineLevel="1" x14ac:dyDescent="0.25">
      <c r="A11673" s="1813">
        <v>0.02</v>
      </c>
      <c r="B11673" s="2003" t="s">
        <v>255</v>
      </c>
      <c r="C11673" s="1902">
        <v>48.234999999999999</v>
      </c>
      <c r="D11673" s="2199">
        <v>57.09</v>
      </c>
      <c r="E11673" s="2097">
        <v>0.18358038768529084</v>
      </c>
      <c r="F11673" s="3198">
        <v>3.6716077537058169E-3</v>
      </c>
      <c r="H11673" t="str">
        <f>VLOOKUP(B11673,indexy!$A$44:$D$823,3,FALSE)</f>
        <v>VZ UN Equity</v>
      </c>
    </row>
    <row r="11674" spans="1:12" hidden="1" outlineLevel="1" x14ac:dyDescent="0.25">
      <c r="A11674" s="1813">
        <v>0.02</v>
      </c>
      <c r="B11674" s="1813" t="s">
        <v>5522</v>
      </c>
      <c r="C11674" s="2577">
        <v>41.894964284574371</v>
      </c>
      <c r="D11674" s="2199">
        <v>46.62</v>
      </c>
      <c r="E11674" s="2097">
        <v>0.11278290353299991</v>
      </c>
      <c r="F11674" s="3198">
        <v>2.2556580706599985E-3</v>
      </c>
      <c r="H11674" t="str">
        <f>VLOOKUP(B11674,indexy!$A$44:$D$823,3,FALSE)</f>
        <v>WES AT Equity</v>
      </c>
    </row>
    <row r="11675" spans="1:12" hidden="1" outlineLevel="1" x14ac:dyDescent="0.25">
      <c r="A11675" s="1813">
        <v>0.02</v>
      </c>
      <c r="B11675" s="1813" t="s">
        <v>5537</v>
      </c>
      <c r="C11675" s="1902">
        <v>35.057000000000002</v>
      </c>
      <c r="D11675" s="2199">
        <v>28.43</v>
      </c>
      <c r="E11675" s="2097">
        <v>-0.18903500014262498</v>
      </c>
      <c r="F11675" s="3198">
        <v>-3.7807000028524996E-3</v>
      </c>
      <c r="H11675" t="str">
        <f>VLOOKUP(B11675,indexy!$A$44:$D$823,3,FALSE)</f>
        <v>WOW AT Equity</v>
      </c>
    </row>
    <row r="11676" spans="1:12" hidden="1" outlineLevel="1" x14ac:dyDescent="0.25">
      <c r="A11676" s="1813">
        <v>0.02</v>
      </c>
      <c r="B11676" s="1813" t="s">
        <v>2874</v>
      </c>
      <c r="C11676" s="2562">
        <v>28.928999999999998</v>
      </c>
      <c r="D11676" s="2204">
        <v>49.01</v>
      </c>
      <c r="E11676" s="2997">
        <v>0.69414774102112076</v>
      </c>
      <c r="F11676" s="3198">
        <v>1.3882954820422415E-2</v>
      </c>
      <c r="H11676" t="str">
        <f>VLOOKUP(B11676,indexy!$A$44:$D$823,3,FALSE)</f>
        <v>XEL US Equity</v>
      </c>
    </row>
    <row r="11677" spans="1:12" hidden="1" outlineLevel="1" x14ac:dyDescent="0.25">
      <c r="A11677" s="1813"/>
      <c r="B11677" s="1813"/>
      <c r="C11677" s="1813"/>
      <c r="D11677" s="1813"/>
      <c r="E11677" s="1813"/>
      <c r="F11677" s="3215">
        <v>0.30655964285226162</v>
      </c>
    </row>
    <row r="11678" spans="1:12" collapsed="1" x14ac:dyDescent="0.25">
      <c r="A11678" s="3801" t="s">
        <v>5591</v>
      </c>
      <c r="B11678" s="3802"/>
      <c r="C11678" s="3802"/>
      <c r="D11678" s="3802"/>
      <c r="E11678" s="3214"/>
      <c r="F11678" s="1890">
        <v>0.35211527777777779</v>
      </c>
    </row>
    <row r="11680" spans="1:12" hidden="1" outlineLevel="1" x14ac:dyDescent="0.25">
      <c r="A11680" s="3180" t="s">
        <v>113</v>
      </c>
      <c r="B11680" s="3180" t="s">
        <v>114</v>
      </c>
      <c r="C11680" s="3180" t="s">
        <v>112</v>
      </c>
      <c r="D11680" s="3180" t="s">
        <v>116</v>
      </c>
      <c r="E11680" s="3180" t="s">
        <v>117</v>
      </c>
      <c r="F11680" s="3181" t="s">
        <v>121</v>
      </c>
    </row>
    <row r="11681" spans="1:15" hidden="1" outlineLevel="1" x14ac:dyDescent="0.25">
      <c r="A11681" s="3182">
        <v>1</v>
      </c>
      <c r="B11681" s="3183" t="s">
        <v>252</v>
      </c>
      <c r="C11681" s="3184">
        <v>100</v>
      </c>
      <c r="D11681" s="3184"/>
      <c r="E11681" s="3209"/>
      <c r="F11681" s="3210"/>
    </row>
    <row r="11682" spans="1:15" hidden="1" outlineLevel="1" x14ac:dyDescent="0.25">
      <c r="A11682" s="3187"/>
      <c r="B11682" s="3187"/>
      <c r="C11682" s="3188"/>
      <c r="D11682" s="1900" t="s">
        <v>3702</v>
      </c>
      <c r="E11682" s="3189">
        <v>43434</v>
      </c>
      <c r="F11682" s="3211"/>
    </row>
    <row r="11683" spans="1:15" hidden="1" outlineLevel="1" x14ac:dyDescent="0.25">
      <c r="A11683" s="2085" t="s">
        <v>4156</v>
      </c>
      <c r="B11683" s="2107" t="s">
        <v>4153</v>
      </c>
      <c r="C11683" s="3208" t="s">
        <v>112</v>
      </c>
      <c r="D11683" s="2085" t="s">
        <v>4155</v>
      </c>
      <c r="E11683" s="2085" t="s">
        <v>4154</v>
      </c>
      <c r="F11683" s="3207" t="s">
        <v>2519</v>
      </c>
      <c r="G11683" s="314"/>
      <c r="H11683" s="314"/>
    </row>
    <row r="11684" spans="1:15" hidden="1" outlineLevel="1" x14ac:dyDescent="0.25">
      <c r="A11684" s="1813">
        <v>7.0000000000000007E-2</v>
      </c>
      <c r="B11684" s="2089" t="s">
        <v>1993</v>
      </c>
      <c r="C11684" s="2090">
        <v>35.298000000000002</v>
      </c>
      <c r="D11684" s="2960">
        <v>54.83</v>
      </c>
      <c r="E11684" s="2092">
        <v>0.55334579862881728</v>
      </c>
      <c r="F11684" s="3193">
        <v>3.8734205904017216E-2</v>
      </c>
      <c r="H11684" t="s">
        <v>2812</v>
      </c>
      <c r="I11684" t="s">
        <v>2040</v>
      </c>
      <c r="J11684" s="370"/>
      <c r="N11684" s="434"/>
      <c r="O11684" s="1728"/>
    </row>
    <row r="11685" spans="1:15" hidden="1" outlineLevel="1" x14ac:dyDescent="0.25">
      <c r="A11685" s="1813">
        <v>0.02</v>
      </c>
      <c r="B11685" s="1813" t="s">
        <v>3320</v>
      </c>
      <c r="C11685" s="2095">
        <v>75.763000000000005</v>
      </c>
      <c r="D11685" s="2965">
        <v>67.64</v>
      </c>
      <c r="E11685" s="2097">
        <v>-0.10721592333988894</v>
      </c>
      <c r="F11685" s="3198">
        <v>-2.1443184667977789E-3</v>
      </c>
      <c r="H11685" t="s">
        <v>4093</v>
      </c>
      <c r="I11685" s="256">
        <v>42887</v>
      </c>
      <c r="J11685" s="1628">
        <v>140.1671</v>
      </c>
      <c r="K11685" s="37">
        <v>0.40167100000000011</v>
      </c>
      <c r="N11685" s="434"/>
      <c r="O11685" s="1728"/>
    </row>
    <row r="11686" spans="1:15" hidden="1" outlineLevel="1" x14ac:dyDescent="0.25">
      <c r="A11686" s="1813">
        <v>0.02</v>
      </c>
      <c r="B11686" s="1813" t="s">
        <v>139</v>
      </c>
      <c r="C11686" s="2095">
        <v>2331.3000000000002</v>
      </c>
      <c r="D11686" s="2965">
        <v>4754</v>
      </c>
      <c r="E11686" s="2097">
        <v>1.0392055934457169</v>
      </c>
      <c r="F11686" s="3198">
        <v>2.0784111868914341E-2</v>
      </c>
      <c r="H11686" t="s">
        <v>1776</v>
      </c>
      <c r="I11686" s="256">
        <v>42917</v>
      </c>
      <c r="J11686" s="1628">
        <v>136.5343</v>
      </c>
      <c r="K11686" s="37">
        <v>0.36534299999999997</v>
      </c>
      <c r="N11686" s="434"/>
      <c r="O11686" s="1728"/>
    </row>
    <row r="11687" spans="1:15" hidden="1" outlineLevel="1" x14ac:dyDescent="0.25">
      <c r="A11687" s="1813">
        <v>0.02</v>
      </c>
      <c r="B11687" s="1813" t="s">
        <v>5479</v>
      </c>
      <c r="C11687" s="2095">
        <v>1843.1</v>
      </c>
      <c r="D11687" s="2965">
        <v>2424</v>
      </c>
      <c r="E11687" s="2097">
        <v>0.31517551950518152</v>
      </c>
      <c r="F11687" s="3198">
        <v>6.3035103901036308E-3</v>
      </c>
      <c r="H11687" t="s">
        <v>5477</v>
      </c>
      <c r="I11687" s="256">
        <v>42948</v>
      </c>
      <c r="J11687" s="412">
        <v>135.3306</v>
      </c>
      <c r="K11687" s="37">
        <v>0.35330600000000012</v>
      </c>
      <c r="N11687" s="434"/>
      <c r="O11687" s="1728"/>
    </row>
    <row r="11688" spans="1:15" hidden="1" outlineLevel="1" x14ac:dyDescent="0.25">
      <c r="A11688" s="1813">
        <v>0.05</v>
      </c>
      <c r="B11688" s="3187" t="s">
        <v>3850</v>
      </c>
      <c r="C11688" s="2095">
        <v>45.781999999999996</v>
      </c>
      <c r="D11688" s="2965">
        <v>39.200000000000003</v>
      </c>
      <c r="E11688" s="2097">
        <v>-0.14376829321567419</v>
      </c>
      <c r="F11688" s="3198">
        <v>-7.1884146607837096E-3</v>
      </c>
      <c r="H11688" t="s">
        <v>8253</v>
      </c>
      <c r="I11688" s="256">
        <v>42979</v>
      </c>
      <c r="J11688" s="412">
        <v>133.37479999999999</v>
      </c>
      <c r="K11688" s="37">
        <v>0.33374799999999993</v>
      </c>
      <c r="N11688" s="434"/>
      <c r="O11688" s="1728"/>
    </row>
    <row r="11689" spans="1:15" hidden="1" outlineLevel="1" x14ac:dyDescent="0.25">
      <c r="A11689" s="1813">
        <v>0.02</v>
      </c>
      <c r="B11689" s="1813" t="s">
        <v>5481</v>
      </c>
      <c r="C11689" s="2095">
        <v>14.46009264336981</v>
      </c>
      <c r="D11689" s="2965">
        <v>8.64</v>
      </c>
      <c r="E11689" s="2097">
        <v>-0.402493454704</v>
      </c>
      <c r="F11689" s="3198">
        <v>-8.0498690940800002E-3</v>
      </c>
      <c r="H11689" t="s">
        <v>5480</v>
      </c>
      <c r="I11689" s="256">
        <v>43009</v>
      </c>
      <c r="J11689" s="412">
        <v>136.1011</v>
      </c>
      <c r="K11689" s="37">
        <v>0.36101099999999997</v>
      </c>
      <c r="N11689" s="434"/>
      <c r="O11689" s="1728"/>
    </row>
    <row r="11690" spans="1:15" hidden="1" outlineLevel="1" x14ac:dyDescent="0.25">
      <c r="A11690" s="1813">
        <v>0.02</v>
      </c>
      <c r="B11690" s="1813" t="s">
        <v>5821</v>
      </c>
      <c r="C11690" s="2095">
        <v>8.0491999944396131</v>
      </c>
      <c r="D11690" s="2965">
        <v>4.2699999999999996</v>
      </c>
      <c r="E11690" s="2097">
        <v>-0.46951249777000004</v>
      </c>
      <c r="F11690" s="3198">
        <v>-9.3902499554000003E-3</v>
      </c>
      <c r="H11690" t="s">
        <v>5819</v>
      </c>
      <c r="I11690" s="256">
        <v>43040</v>
      </c>
      <c r="J11690" s="412">
        <v>138.4829</v>
      </c>
      <c r="K11690" s="37">
        <v>0.38482900000000009</v>
      </c>
      <c r="N11690" s="434"/>
      <c r="O11690" s="1728"/>
    </row>
    <row r="11691" spans="1:15" hidden="1" outlineLevel="1" x14ac:dyDescent="0.25">
      <c r="A11691" s="1813">
        <v>0.02</v>
      </c>
      <c r="B11691" s="1813" t="s">
        <v>5194</v>
      </c>
      <c r="C11691" s="2095">
        <v>27.393179215618119</v>
      </c>
      <c r="D11691" s="2965">
        <v>32.340000000000003</v>
      </c>
      <c r="E11691" s="2097">
        <v>0.18058585845200015</v>
      </c>
      <c r="F11691" s="3198">
        <v>3.6117171690400029E-3</v>
      </c>
      <c r="H11691" t="s">
        <v>5192</v>
      </c>
      <c r="I11691" s="256">
        <v>43070</v>
      </c>
      <c r="J11691" s="412">
        <v>142.0257</v>
      </c>
      <c r="K11691" s="37">
        <v>0.4202570000000001</v>
      </c>
      <c r="N11691" s="434"/>
      <c r="O11691" s="1728"/>
    </row>
    <row r="11692" spans="1:15" hidden="1" outlineLevel="1" x14ac:dyDescent="0.25">
      <c r="A11692" s="1813">
        <v>0.02</v>
      </c>
      <c r="B11692" s="1903" t="s">
        <v>53</v>
      </c>
      <c r="C11692" s="2095">
        <v>55.478000000000002</v>
      </c>
      <c r="D11692" s="2965">
        <v>66.06</v>
      </c>
      <c r="E11692" s="2097">
        <v>0.19074227621759987</v>
      </c>
      <c r="F11692" s="3198">
        <v>3.8148455243519975E-3</v>
      </c>
      <c r="H11692" t="s">
        <v>2751</v>
      </c>
      <c r="I11692" s="256">
        <v>43101</v>
      </c>
      <c r="J11692" s="412">
        <v>140.9341</v>
      </c>
      <c r="K11692" s="37">
        <v>0.40934099999999995</v>
      </c>
      <c r="N11692" s="434"/>
      <c r="O11692" s="1728"/>
    </row>
    <row r="11693" spans="1:15" hidden="1" outlineLevel="1" x14ac:dyDescent="0.25">
      <c r="A11693" s="1813">
        <v>0.02</v>
      </c>
      <c r="B11693" s="1903" t="s">
        <v>3406</v>
      </c>
      <c r="C11693" s="2095">
        <v>1979.05</v>
      </c>
      <c r="D11693" s="2965">
        <v>2823.5</v>
      </c>
      <c r="E11693" s="2097">
        <v>0.42669462620954501</v>
      </c>
      <c r="F11693" s="3198">
        <v>8.5338925241909003E-3</v>
      </c>
      <c r="H11693" t="s">
        <v>2105</v>
      </c>
      <c r="I11693" s="256">
        <v>43132</v>
      </c>
      <c r="J11693" s="412">
        <v>132.49039999999999</v>
      </c>
      <c r="K11693" s="37">
        <v>0.32490399999999986</v>
      </c>
      <c r="N11693" s="434"/>
      <c r="O11693" s="1728"/>
    </row>
    <row r="11694" spans="1:15" hidden="1" outlineLevel="1" x14ac:dyDescent="0.25">
      <c r="A11694" s="1813">
        <v>0.02</v>
      </c>
      <c r="B11694" s="1813" t="s">
        <v>5486</v>
      </c>
      <c r="C11694" s="2095">
        <v>47.281999999999996</v>
      </c>
      <c r="D11694" s="2965">
        <v>27</v>
      </c>
      <c r="E11694" s="2097">
        <v>-0.42895816589822766</v>
      </c>
      <c r="F11694" s="3198">
        <v>-8.579163317964553E-3</v>
      </c>
      <c r="H11694" t="s">
        <v>9280</v>
      </c>
      <c r="I11694" s="256">
        <v>43160</v>
      </c>
      <c r="J11694" s="412">
        <v>131.25190000000001</v>
      </c>
      <c r="K11694" s="37">
        <v>0.31251899999999999</v>
      </c>
      <c r="N11694" s="434"/>
      <c r="O11694" s="1728"/>
    </row>
    <row r="11695" spans="1:15" hidden="1" outlineLevel="1" x14ac:dyDescent="0.25">
      <c r="A11695" s="1813">
        <v>0.05</v>
      </c>
      <c r="B11695" s="1813" t="s">
        <v>5489</v>
      </c>
      <c r="C11695" s="2095">
        <v>49.542999999999999</v>
      </c>
      <c r="D11695" s="2965">
        <v>42.31</v>
      </c>
      <c r="E11695" s="2097">
        <v>-0.14599438871283521</v>
      </c>
      <c r="F11695" s="3198">
        <v>-7.299719435641761E-3</v>
      </c>
      <c r="H11695" t="s">
        <v>5487</v>
      </c>
      <c r="I11695" s="256">
        <v>43191</v>
      </c>
      <c r="J11695" s="412">
        <v>127.8505</v>
      </c>
      <c r="K11695" s="37">
        <v>0.278505</v>
      </c>
      <c r="N11695" s="434"/>
      <c r="O11695" s="1728"/>
    </row>
    <row r="11696" spans="1:15" hidden="1" outlineLevel="1" x14ac:dyDescent="0.25">
      <c r="A11696" s="1813">
        <v>0.02</v>
      </c>
      <c r="B11696" s="1813" t="s">
        <v>3319</v>
      </c>
      <c r="C11696" s="2095">
        <v>56.378999999999998</v>
      </c>
      <c r="D11696" s="2965">
        <v>80.819999999999993</v>
      </c>
      <c r="E11696" s="2097">
        <v>0.43351247805033788</v>
      </c>
      <c r="F11696" s="3198">
        <v>8.6702495610067581E-3</v>
      </c>
      <c r="H11696" t="s">
        <v>1779</v>
      </c>
      <c r="I11696" s="256">
        <v>43221</v>
      </c>
      <c r="J11696" s="412">
        <v>126.7467</v>
      </c>
      <c r="K11696" s="37">
        <v>0.26746700000000012</v>
      </c>
      <c r="N11696" s="434"/>
      <c r="O11696" s="1728"/>
    </row>
    <row r="11697" spans="1:15" hidden="1" outlineLevel="1" x14ac:dyDescent="0.25">
      <c r="A11697" s="1813">
        <v>0.02</v>
      </c>
      <c r="B11697" s="1813" t="s">
        <v>5492</v>
      </c>
      <c r="C11697" s="2095">
        <v>88.031000000000006</v>
      </c>
      <c r="D11697" s="2965">
        <v>108.3</v>
      </c>
      <c r="E11697" s="2097">
        <v>0.23024843521032357</v>
      </c>
      <c r="F11697" s="3198">
        <v>4.604968704206471E-3</v>
      </c>
      <c r="H11697" t="s">
        <v>5490</v>
      </c>
      <c r="I11697" s="256">
        <v>43252</v>
      </c>
      <c r="J11697" s="412">
        <v>129.5377</v>
      </c>
      <c r="K11697" s="37">
        <v>0.295377</v>
      </c>
      <c r="N11697" s="434"/>
      <c r="O11697" s="1728"/>
    </row>
    <row r="11698" spans="1:15" hidden="1" outlineLevel="1" x14ac:dyDescent="0.25">
      <c r="A11698" s="1813">
        <v>7.0000000000000007E-2</v>
      </c>
      <c r="B11698" s="1903" t="s">
        <v>4496</v>
      </c>
      <c r="C11698" s="2095">
        <v>72.346000000000004</v>
      </c>
      <c r="D11698" s="2965">
        <v>76.708399999999997</v>
      </c>
      <c r="E11698" s="2097">
        <v>6.0299118126779572E-2</v>
      </c>
      <c r="F11698" s="3198">
        <v>4.2209382688745706E-3</v>
      </c>
      <c r="H11698" t="s">
        <v>8824</v>
      </c>
      <c r="I11698" s="256">
        <v>43282</v>
      </c>
      <c r="J11698" s="412">
        <v>134.27260000000001</v>
      </c>
      <c r="K11698" s="37">
        <v>0.34272600000000009</v>
      </c>
      <c r="N11698" s="434"/>
      <c r="O11698" s="1728"/>
    </row>
    <row r="11699" spans="1:15" hidden="1" outlineLevel="1" x14ac:dyDescent="0.25">
      <c r="A11699" s="1813">
        <v>0.02</v>
      </c>
      <c r="B11699" s="1813" t="s">
        <v>5495</v>
      </c>
      <c r="C11699" s="2095">
        <v>3390.5</v>
      </c>
      <c r="D11699" s="2965">
        <v>2823.5</v>
      </c>
      <c r="E11699" s="2097">
        <v>-0.16723197168559212</v>
      </c>
      <c r="F11699" s="3198">
        <v>-3.3446394337118424E-3</v>
      </c>
      <c r="H11699" t="s">
        <v>5493</v>
      </c>
      <c r="I11699" s="256">
        <v>43313</v>
      </c>
      <c r="J11699" s="412">
        <v>130.94409999999999</v>
      </c>
      <c r="K11699" s="37">
        <v>0.30944099999999986</v>
      </c>
      <c r="N11699" s="434"/>
      <c r="O11699" s="1728"/>
    </row>
    <row r="11700" spans="1:15" hidden="1" outlineLevel="1" x14ac:dyDescent="0.25">
      <c r="A11700" s="1813">
        <v>7.0000000000000007E-2</v>
      </c>
      <c r="B11700" s="3187" t="s">
        <v>811</v>
      </c>
      <c r="C11700" s="2095">
        <v>64.790000000000006</v>
      </c>
      <c r="D11700" s="2965">
        <v>63.65</v>
      </c>
      <c r="E11700" s="2097">
        <v>-1.7595307917888658E-2</v>
      </c>
      <c r="F11700" s="3198">
        <v>-1.2316715542522061E-3</v>
      </c>
      <c r="H11700" t="s">
        <v>812</v>
      </c>
      <c r="I11700" s="256">
        <v>43344</v>
      </c>
      <c r="J11700" s="412">
        <v>129.7611</v>
      </c>
      <c r="K11700" s="37">
        <v>0.29761100000000007</v>
      </c>
      <c r="N11700" s="434"/>
      <c r="O11700" s="1728"/>
    </row>
    <row r="11701" spans="1:15" hidden="1" outlineLevel="1" x14ac:dyDescent="0.25">
      <c r="A11701" s="1813">
        <v>0.02</v>
      </c>
      <c r="B11701" s="1813" t="s">
        <v>3321</v>
      </c>
      <c r="C11701" s="2095">
        <v>1657.6</v>
      </c>
      <c r="D11701" s="2965">
        <v>2665</v>
      </c>
      <c r="E11701" s="2097">
        <v>0.60774613899613916</v>
      </c>
      <c r="F11701" s="3198">
        <v>1.2154922779922783E-2</v>
      </c>
      <c r="H11701" t="s">
        <v>1780</v>
      </c>
      <c r="I11701" s="256">
        <v>43374</v>
      </c>
      <c r="J11701" s="412">
        <v>130.453</v>
      </c>
      <c r="K11701" s="37">
        <v>0.30452999999999997</v>
      </c>
      <c r="N11701" s="434"/>
      <c r="O11701" s="1728"/>
    </row>
    <row r="11702" spans="1:15" hidden="1" outlineLevel="1" x14ac:dyDescent="0.25">
      <c r="A11702" s="1813">
        <v>0.02</v>
      </c>
      <c r="B11702" s="1813" t="s">
        <v>5497</v>
      </c>
      <c r="C11702" s="2095">
        <v>71.472999999999999</v>
      </c>
      <c r="D11702" s="2965">
        <v>150</v>
      </c>
      <c r="E11702" s="2097">
        <v>1.0986946119513661</v>
      </c>
      <c r="F11702" s="3198">
        <v>2.1973892239027321E-2</v>
      </c>
      <c r="H11702" t="s">
        <v>5496</v>
      </c>
      <c r="I11702" s="256">
        <v>43405</v>
      </c>
      <c r="J11702" s="412">
        <v>127.65130000000001</v>
      </c>
      <c r="K11702" s="37">
        <v>0.27651300000000001</v>
      </c>
      <c r="N11702" s="434"/>
      <c r="O11702" s="1728"/>
    </row>
    <row r="11703" spans="1:15" hidden="1" outlineLevel="1" x14ac:dyDescent="0.25">
      <c r="A11703" s="1813">
        <v>0.02</v>
      </c>
      <c r="B11703" s="1813" t="s">
        <v>3869</v>
      </c>
      <c r="C11703" s="2095">
        <v>51.043999999999997</v>
      </c>
      <c r="D11703" s="2965">
        <v>65.77</v>
      </c>
      <c r="E11703" s="2097">
        <v>0.2884961993574171</v>
      </c>
      <c r="F11703" s="3198">
        <v>5.769923987148342E-3</v>
      </c>
      <c r="H11703" t="s">
        <v>1984</v>
      </c>
      <c r="I11703" s="412" t="s">
        <v>2465</v>
      </c>
      <c r="K11703" s="261">
        <v>0.3355054999999999</v>
      </c>
      <c r="N11703" s="434"/>
      <c r="O11703" s="1728"/>
    </row>
    <row r="11704" spans="1:15" hidden="1" outlineLevel="1" x14ac:dyDescent="0.25">
      <c r="A11704" s="1813">
        <v>0.05</v>
      </c>
      <c r="B11704" s="1813" t="s">
        <v>5500</v>
      </c>
      <c r="C11704" s="2095">
        <v>30.521999999999998</v>
      </c>
      <c r="D11704" s="2965">
        <v>44.98</v>
      </c>
      <c r="E11704" s="2097">
        <v>0.47369110805320758</v>
      </c>
      <c r="F11704" s="3198">
        <v>2.368455540266038E-2</v>
      </c>
      <c r="H11704" t="s">
        <v>5498</v>
      </c>
      <c r="N11704" s="434"/>
      <c r="O11704" s="1728"/>
    </row>
    <row r="11705" spans="1:15" hidden="1" outlineLevel="1" x14ac:dyDescent="0.25">
      <c r="A11705" s="1813">
        <v>7.0000000000000007E-2</v>
      </c>
      <c r="B11705" s="1903" t="s">
        <v>3797</v>
      </c>
      <c r="C11705" s="2095">
        <v>66.069999999999993</v>
      </c>
      <c r="D11705" s="2965">
        <v>85.14</v>
      </c>
      <c r="E11705" s="2097">
        <v>0.28863326774632969</v>
      </c>
      <c r="F11705" s="3198">
        <v>2.020432874224308E-2</v>
      </c>
      <c r="H11705" t="s">
        <v>8872</v>
      </c>
      <c r="N11705" s="434"/>
      <c r="O11705" s="1728"/>
    </row>
    <row r="11706" spans="1:15" hidden="1" outlineLevel="1" x14ac:dyDescent="0.25">
      <c r="A11706" s="1813">
        <v>0.05</v>
      </c>
      <c r="B11706" s="1903" t="s">
        <v>1204</v>
      </c>
      <c r="C11706" s="2095">
        <v>80.438999999999993</v>
      </c>
      <c r="D11706" s="2965">
        <v>121.94</v>
      </c>
      <c r="E11706" s="2097">
        <v>0.51593132684394405</v>
      </c>
      <c r="F11706" s="3198">
        <v>2.5796566342197205E-2</v>
      </c>
      <c r="H11706" t="s">
        <v>9047</v>
      </c>
      <c r="N11706" s="434"/>
      <c r="O11706" s="1728"/>
    </row>
    <row r="11707" spans="1:15" hidden="1" outlineLevel="1" x14ac:dyDescent="0.25">
      <c r="A11707" s="1813">
        <v>0.02</v>
      </c>
      <c r="B11707" s="1813" t="s">
        <v>4044</v>
      </c>
      <c r="C11707" s="2095">
        <v>94.561999999999998</v>
      </c>
      <c r="D11707" s="2965">
        <v>141.19999999999999</v>
      </c>
      <c r="E11707" s="2097">
        <v>0.49320022842156463</v>
      </c>
      <c r="F11707" s="3198">
        <v>9.8640045684312925E-3</v>
      </c>
      <c r="H11707" t="s">
        <v>4045</v>
      </c>
      <c r="N11707" s="434"/>
      <c r="O11707" s="1728"/>
    </row>
    <row r="11708" spans="1:15" hidden="1" outlineLevel="1" x14ac:dyDescent="0.25">
      <c r="A11708" s="1813">
        <v>0.02</v>
      </c>
      <c r="B11708" s="1813" t="s">
        <v>1044</v>
      </c>
      <c r="C11708" s="2095">
        <v>87.238</v>
      </c>
      <c r="D11708" s="2965">
        <v>102.3</v>
      </c>
      <c r="E11708" s="2097">
        <v>0.17265411861803348</v>
      </c>
      <c r="F11708" s="3198">
        <v>3.4530823723606698E-3</v>
      </c>
      <c r="H11708" t="s">
        <v>1985</v>
      </c>
      <c r="N11708" s="434"/>
      <c r="O11708" s="1728"/>
    </row>
    <row r="11709" spans="1:15" hidden="1" outlineLevel="1" x14ac:dyDescent="0.25">
      <c r="A11709" s="1813">
        <v>7.0000000000000007E-2</v>
      </c>
      <c r="B11709" s="1813" t="s">
        <v>901</v>
      </c>
      <c r="C11709" s="2095">
        <v>18.806454071877432</v>
      </c>
      <c r="D11709" s="2965">
        <v>27.5</v>
      </c>
      <c r="E11709" s="2097">
        <v>0.46226395974999979</v>
      </c>
      <c r="F11709" s="3198">
        <v>3.2358477182499991E-2</v>
      </c>
      <c r="H11709" t="s">
        <v>531</v>
      </c>
      <c r="N11709" s="434"/>
      <c r="O11709" s="1728"/>
    </row>
    <row r="11710" spans="1:15" hidden="1" outlineLevel="1" x14ac:dyDescent="0.25">
      <c r="A11710" s="1813">
        <v>0.05</v>
      </c>
      <c r="B11710" s="1813" t="s">
        <v>5503</v>
      </c>
      <c r="C11710" s="2095">
        <v>840.6</v>
      </c>
      <c r="D11710" s="2965">
        <v>718</v>
      </c>
      <c r="E11710" s="2097">
        <v>-0.14584820366404949</v>
      </c>
      <c r="F11710" s="3198">
        <v>-7.2924101832024749E-3</v>
      </c>
      <c r="H11710" t="s">
        <v>5501</v>
      </c>
      <c r="N11710" s="434"/>
      <c r="O11710" s="1728"/>
    </row>
    <row r="11711" spans="1:15" hidden="1" outlineLevel="1" x14ac:dyDescent="0.25">
      <c r="A11711" s="1813">
        <v>0.02</v>
      </c>
      <c r="B11711" s="3187" t="s">
        <v>1142</v>
      </c>
      <c r="C11711" s="2095">
        <v>41.652999999999999</v>
      </c>
      <c r="D11711" s="2965">
        <v>50.4</v>
      </c>
      <c r="E11711" s="2097">
        <v>0.20999687897630426</v>
      </c>
      <c r="F11711" s="3198">
        <v>4.199937579526085E-3</v>
      </c>
      <c r="H11711" t="s">
        <v>1143</v>
      </c>
      <c r="N11711" s="434"/>
      <c r="O11711" s="1728"/>
    </row>
    <row r="11712" spans="1:15" hidden="1" outlineLevel="1" x14ac:dyDescent="0.25">
      <c r="A11712" s="1813">
        <v>0.02</v>
      </c>
      <c r="B11712" s="1813" t="s">
        <v>5506</v>
      </c>
      <c r="C11712" s="2095">
        <v>100.932</v>
      </c>
      <c r="D11712" s="2965">
        <v>104.51</v>
      </c>
      <c r="E11712" s="2097">
        <v>3.544960963817223E-2</v>
      </c>
      <c r="F11712" s="3198">
        <v>7.0899219276344462E-4</v>
      </c>
      <c r="H11712" t="s">
        <v>5504</v>
      </c>
      <c r="N11712" s="434"/>
      <c r="O11712" s="1728"/>
    </row>
    <row r="11713" spans="1:15" hidden="1" outlineLevel="1" x14ac:dyDescent="0.25">
      <c r="A11713" s="1813">
        <v>0.02</v>
      </c>
      <c r="B11713" s="3108" t="s">
        <v>106</v>
      </c>
      <c r="C11713" s="2104">
        <v>2773.8</v>
      </c>
      <c r="D11713" s="3109">
        <v>4243.5</v>
      </c>
      <c r="E11713" s="2997">
        <v>0.52985074626865658</v>
      </c>
      <c r="F11713" s="3198">
        <v>1.0597014925373132E-2</v>
      </c>
      <c r="H11713" t="s">
        <v>107</v>
      </c>
      <c r="N11713" s="434"/>
      <c r="O11713" s="1728"/>
    </row>
    <row r="11714" spans="1:15" hidden="1" outlineLevel="1" x14ac:dyDescent="0.25">
      <c r="A11714" s="1813" t="s">
        <v>2734</v>
      </c>
      <c r="B11714" s="1813"/>
      <c r="C11714" s="1813"/>
      <c r="D11714" s="1813"/>
      <c r="E11714" s="1813"/>
      <c r="F11714" s="3212">
        <v>0.21552368212702525</v>
      </c>
    </row>
    <row r="11715" spans="1:15" collapsed="1" x14ac:dyDescent="0.25">
      <c r="A11715" s="3801" t="s">
        <v>5603</v>
      </c>
      <c r="B11715" s="3802"/>
      <c r="C11715" s="3802"/>
      <c r="D11715" s="3802"/>
      <c r="E11715" s="3214"/>
      <c r="F11715" s="1890">
        <v>0.20130329999999994</v>
      </c>
    </row>
    <row r="11716" spans="1:15" x14ac:dyDescent="0.25">
      <c r="A11716" t="s">
        <v>2734</v>
      </c>
    </row>
    <row r="11717" spans="1:15" hidden="1" outlineLevel="1" x14ac:dyDescent="0.25">
      <c r="A11717" s="3180" t="s">
        <v>113</v>
      </c>
      <c r="B11717" s="3180" t="s">
        <v>114</v>
      </c>
      <c r="C11717" s="3180" t="s">
        <v>112</v>
      </c>
      <c r="D11717" s="3180" t="s">
        <v>116</v>
      </c>
      <c r="E11717" s="3180" t="s">
        <v>117</v>
      </c>
      <c r="F11717" s="3181" t="s">
        <v>121</v>
      </c>
    </row>
    <row r="11718" spans="1:15" hidden="1" outlineLevel="1" x14ac:dyDescent="0.25">
      <c r="A11718" s="3182">
        <v>1</v>
      </c>
      <c r="B11718" s="3183" t="s">
        <v>252</v>
      </c>
      <c r="C11718" s="3184">
        <v>100</v>
      </c>
      <c r="D11718" s="3184"/>
      <c r="E11718" s="3209"/>
      <c r="F11718" s="3210"/>
    </row>
    <row r="11719" spans="1:15" hidden="1" outlineLevel="1" x14ac:dyDescent="0.25">
      <c r="A11719" s="3187" t="s">
        <v>2734</v>
      </c>
      <c r="B11719" s="3187"/>
      <c r="C11719" s="3188"/>
      <c r="D11719" s="1900" t="s">
        <v>3702</v>
      </c>
      <c r="E11719" s="3189">
        <v>43465</v>
      </c>
      <c r="F11719" s="3211"/>
    </row>
    <row r="11720" spans="1:15" ht="26.4" hidden="1" outlineLevel="1" x14ac:dyDescent="0.25">
      <c r="A11720" s="3180" t="s">
        <v>4156</v>
      </c>
      <c r="B11720" s="3192" t="s">
        <v>4153</v>
      </c>
      <c r="C11720" s="3213" t="s">
        <v>5271</v>
      </c>
      <c r="D11720" s="3192" t="s">
        <v>4155</v>
      </c>
      <c r="E11720" s="3180" t="s">
        <v>4154</v>
      </c>
      <c r="F11720" s="3193" t="s">
        <v>2519</v>
      </c>
    </row>
    <row r="11721" spans="1:15" hidden="1" outlineLevel="1" x14ac:dyDescent="0.25">
      <c r="A11721" s="1991">
        <v>0.05</v>
      </c>
      <c r="B11721" s="2089" t="s">
        <v>1993</v>
      </c>
      <c r="C11721" s="1993">
        <v>37.116999999999997</v>
      </c>
      <c r="D11721" s="3194">
        <v>49.39</v>
      </c>
      <c r="E11721" s="3195">
        <v>0.33065711129671049</v>
      </c>
      <c r="F11721" s="3193">
        <v>1.6532855564835525E-2</v>
      </c>
      <c r="H11721" s="417" t="s">
        <v>2812</v>
      </c>
      <c r="J11721" t="s">
        <v>2040</v>
      </c>
      <c r="K11721" s="370"/>
    </row>
    <row r="11722" spans="1:15" hidden="1" outlineLevel="1" x14ac:dyDescent="0.25">
      <c r="A11722" s="2380">
        <v>0.02</v>
      </c>
      <c r="B11722" s="1813" t="s">
        <v>2942</v>
      </c>
      <c r="C11722" s="1998">
        <v>1141.5999999999999</v>
      </c>
      <c r="D11722" s="3196">
        <v>1401.5</v>
      </c>
      <c r="E11722" s="3197">
        <v>0.22766292922214437</v>
      </c>
      <c r="F11722" s="3198">
        <v>4.5532585844428874E-3</v>
      </c>
      <c r="H11722" s="417" t="s">
        <v>2336</v>
      </c>
      <c r="J11722" s="256">
        <v>42917</v>
      </c>
      <c r="K11722" s="1628">
        <v>126.77330000000001</v>
      </c>
      <c r="L11722" s="37">
        <f>IF(K11722="",F11752,K11722/100-1)</f>
        <v>0.267733</v>
      </c>
    </row>
    <row r="11723" spans="1:15" hidden="1" outlineLevel="1" x14ac:dyDescent="0.25">
      <c r="A11723" s="2380">
        <v>0.02</v>
      </c>
      <c r="B11723" s="1926" t="s">
        <v>805</v>
      </c>
      <c r="C11723" s="1998">
        <v>62.478999999999999</v>
      </c>
      <c r="D11723" s="3196">
        <v>89.19</v>
      </c>
      <c r="E11723" s="3197">
        <v>0.42751964660125807</v>
      </c>
      <c r="F11723" s="3198">
        <v>8.5503929320251623E-3</v>
      </c>
      <c r="H11723" s="417" t="s">
        <v>806</v>
      </c>
      <c r="J11723" s="256">
        <v>42948</v>
      </c>
      <c r="K11723" s="1628">
        <v>128.0292</v>
      </c>
      <c r="L11723" s="37">
        <f>IF(K11723="",$F$11751,K11723/100-1)</f>
        <v>0.28029199999999999</v>
      </c>
    </row>
    <row r="11724" spans="1:15" hidden="1" outlineLevel="1" x14ac:dyDescent="0.25">
      <c r="A11724" s="2380">
        <v>0.02</v>
      </c>
      <c r="B11724" s="1813" t="s">
        <v>5386</v>
      </c>
      <c r="C11724" s="1998">
        <v>48.052999999999997</v>
      </c>
      <c r="D11724" s="3196">
        <v>53.93</v>
      </c>
      <c r="E11724" s="3197">
        <v>0.122302457702953</v>
      </c>
      <c r="F11724" s="3198">
        <v>2.4460491540590603E-3</v>
      </c>
      <c r="H11724" s="417" t="s">
        <v>808</v>
      </c>
      <c r="J11724" s="256">
        <v>42979</v>
      </c>
      <c r="K11724" s="412">
        <v>127.1353</v>
      </c>
      <c r="L11724" s="37">
        <f t="shared" ref="L11724:L11739" si="219">IF(K11724="",$F$11751,K11724/100-1)</f>
        <v>0.27135299999999996</v>
      </c>
    </row>
    <row r="11725" spans="1:15" hidden="1" outlineLevel="1" x14ac:dyDescent="0.25">
      <c r="A11725" s="2380">
        <v>0.02</v>
      </c>
      <c r="B11725" s="1813" t="s">
        <v>3954</v>
      </c>
      <c r="C11725" s="1998">
        <v>79.364000000000004</v>
      </c>
      <c r="D11725" s="3196">
        <v>101.68</v>
      </c>
      <c r="E11725" s="3197">
        <v>0.28118542412176817</v>
      </c>
      <c r="F11725" s="3198">
        <v>5.6237084824353632E-3</v>
      </c>
      <c r="H11725" s="417" t="s">
        <v>3955</v>
      </c>
      <c r="J11725" s="256">
        <v>43009</v>
      </c>
      <c r="K11725" s="412">
        <v>130.12899999999999</v>
      </c>
      <c r="L11725" s="37">
        <f t="shared" si="219"/>
        <v>0.30128999999999984</v>
      </c>
    </row>
    <row r="11726" spans="1:15" hidden="1" outlineLevel="1" x14ac:dyDescent="0.25">
      <c r="A11726" s="2380">
        <v>0.02</v>
      </c>
      <c r="B11726" s="1813" t="s">
        <v>1319</v>
      </c>
      <c r="C11726" s="1998">
        <v>60.16</v>
      </c>
      <c r="D11726" s="3196">
        <v>76.459999999999994</v>
      </c>
      <c r="E11726" s="3197">
        <v>0.27094414893617014</v>
      </c>
      <c r="F11726" s="3198">
        <v>5.4188829787234025E-3</v>
      </c>
      <c r="H11726" s="417" t="s">
        <v>1320</v>
      </c>
      <c r="J11726" s="256">
        <v>43040</v>
      </c>
      <c r="K11726" s="412">
        <v>132.03710000000001</v>
      </c>
      <c r="L11726" s="37">
        <f t="shared" si="219"/>
        <v>0.32037100000000018</v>
      </c>
    </row>
    <row r="11727" spans="1:15" hidden="1" outlineLevel="1" x14ac:dyDescent="0.25">
      <c r="A11727" s="2380">
        <v>0.02</v>
      </c>
      <c r="B11727" s="2965" t="s">
        <v>1231</v>
      </c>
      <c r="C11727" s="1998">
        <v>71.042000000000002</v>
      </c>
      <c r="D11727" s="3196">
        <v>86.3</v>
      </c>
      <c r="E11727" s="3197">
        <v>0.21477435882998774</v>
      </c>
      <c r="F11727" s="3198">
        <v>4.2954871765997554E-3</v>
      </c>
      <c r="H11727" s="417" t="s">
        <v>2041</v>
      </c>
      <c r="J11727" s="256">
        <v>43070</v>
      </c>
      <c r="K11727" s="412">
        <v>132.06219999999999</v>
      </c>
      <c r="L11727" s="37">
        <f t="shared" si="219"/>
        <v>0.32062199999999996</v>
      </c>
    </row>
    <row r="11728" spans="1:15" hidden="1" outlineLevel="1" x14ac:dyDescent="0.25">
      <c r="A11728" s="2380">
        <v>0.05</v>
      </c>
      <c r="B11728" s="2965" t="s">
        <v>5232</v>
      </c>
      <c r="C11728" s="1998">
        <v>69.361999999999995</v>
      </c>
      <c r="D11728" s="3196">
        <v>86.07</v>
      </c>
      <c r="E11728" s="3197">
        <v>0.24088117412992704</v>
      </c>
      <c r="F11728" s="3198">
        <v>1.2044058706496353E-2</v>
      </c>
      <c r="H11728" s="417" t="s">
        <v>5230</v>
      </c>
      <c r="J11728" s="256">
        <v>43101</v>
      </c>
      <c r="K11728" s="412">
        <v>129.29409999999999</v>
      </c>
      <c r="L11728" s="37">
        <f t="shared" si="219"/>
        <v>0.2929409999999999</v>
      </c>
    </row>
    <row r="11729" spans="1:12" hidden="1" outlineLevel="1" x14ac:dyDescent="0.25">
      <c r="A11729" s="2380">
        <v>0.02</v>
      </c>
      <c r="B11729" s="1813" t="s">
        <v>5489</v>
      </c>
      <c r="C11729" s="1998">
        <v>49.783000000000001</v>
      </c>
      <c r="D11729" s="3196">
        <v>38.94</v>
      </c>
      <c r="E11729" s="3197">
        <v>-0.21780527489303581</v>
      </c>
      <c r="F11729" s="3198">
        <v>-4.3561054978607161E-3</v>
      </c>
      <c r="H11729" s="417" t="s">
        <v>5487</v>
      </c>
      <c r="J11729" s="256">
        <v>43132</v>
      </c>
      <c r="K11729" s="412">
        <v>123.071</v>
      </c>
      <c r="L11729" s="37">
        <f t="shared" si="219"/>
        <v>0.23070999999999997</v>
      </c>
    </row>
    <row r="11730" spans="1:12" hidden="1" outlineLevel="1" x14ac:dyDescent="0.25">
      <c r="A11730" s="2380">
        <v>0.04</v>
      </c>
      <c r="B11730" s="1813" t="s">
        <v>3799</v>
      </c>
      <c r="C11730" s="1998">
        <v>1699.9727119530291</v>
      </c>
      <c r="D11730" s="3196">
        <v>1491.2</v>
      </c>
      <c r="E11730" s="3197">
        <v>-0.12280944893120005</v>
      </c>
      <c r="F11730" s="3198">
        <v>-4.9123779572480021E-3</v>
      </c>
      <c r="H11730" s="417" t="s">
        <v>4128</v>
      </c>
      <c r="J11730" s="256">
        <v>43160</v>
      </c>
      <c r="K11730" s="412">
        <v>120.88590000000001</v>
      </c>
      <c r="L11730" s="37">
        <f t="shared" si="219"/>
        <v>0.20885900000000013</v>
      </c>
    </row>
    <row r="11731" spans="1:12" hidden="1" outlineLevel="1" x14ac:dyDescent="0.25">
      <c r="A11731" s="2380">
        <v>0.02</v>
      </c>
      <c r="B11731" s="1813" t="s">
        <v>4496</v>
      </c>
      <c r="C11731" s="1998">
        <v>72.438000000000002</v>
      </c>
      <c r="D11731" s="3196">
        <v>76.708399999999997</v>
      </c>
      <c r="E11731" s="3197">
        <v>5.8952483503133646E-2</v>
      </c>
      <c r="F11731" s="3198">
        <v>1.179049670062673E-3</v>
      </c>
      <c r="H11731" s="417" t="s">
        <v>8824</v>
      </c>
      <c r="J11731" s="256">
        <v>43191</v>
      </c>
      <c r="K11731" s="412">
        <v>120.7568</v>
      </c>
      <c r="L11731" s="37">
        <f t="shared" si="219"/>
        <v>0.20756799999999997</v>
      </c>
    </row>
    <row r="11732" spans="1:12" hidden="1" outlineLevel="1" x14ac:dyDescent="0.25">
      <c r="A11732" s="2380">
        <v>0.02</v>
      </c>
      <c r="B11732" s="1813" t="s">
        <v>3426</v>
      </c>
      <c r="C11732" s="1998">
        <v>87.509</v>
      </c>
      <c r="D11732" s="3196">
        <v>129.05000000000001</v>
      </c>
      <c r="E11732" s="3197">
        <v>0.47470545886708804</v>
      </c>
      <c r="F11732" s="3198">
        <v>9.4941091773417616E-3</v>
      </c>
      <c r="H11732" s="417" t="s">
        <v>4145</v>
      </c>
      <c r="J11732" s="256">
        <v>43221</v>
      </c>
      <c r="K11732" s="412">
        <v>118.7251</v>
      </c>
      <c r="L11732" s="37">
        <f t="shared" si="219"/>
        <v>0.18725100000000006</v>
      </c>
    </row>
    <row r="11733" spans="1:12" hidden="1" outlineLevel="1" x14ac:dyDescent="0.25">
      <c r="A11733" s="2380">
        <v>0.02</v>
      </c>
      <c r="B11733" s="1813" t="s">
        <v>1381</v>
      </c>
      <c r="C11733" s="1998">
        <v>99.150328778772092</v>
      </c>
      <c r="D11733" s="3196">
        <v>113.94</v>
      </c>
      <c r="E11733" s="3197">
        <v>0.14916411678499997</v>
      </c>
      <c r="F11733" s="3198">
        <v>2.9832823356999993E-3</v>
      </c>
      <c r="H11733" s="417" t="s">
        <v>1383</v>
      </c>
      <c r="J11733" s="256">
        <v>43252</v>
      </c>
      <c r="K11733" s="412">
        <v>120.39019999999999</v>
      </c>
      <c r="L11733" s="37">
        <f t="shared" si="219"/>
        <v>0.20390200000000003</v>
      </c>
    </row>
    <row r="11734" spans="1:12" hidden="1" outlineLevel="1" x14ac:dyDescent="0.25">
      <c r="A11734" s="2380">
        <v>0.04</v>
      </c>
      <c r="B11734" s="1813" t="s">
        <v>2786</v>
      </c>
      <c r="C11734" s="1998">
        <v>841.65236700697881</v>
      </c>
      <c r="D11734" s="3196">
        <v>764.2</v>
      </c>
      <c r="E11734" s="3197">
        <v>-9.2024177728399992E-2</v>
      </c>
      <c r="F11734" s="3198">
        <v>-3.6809671091359995E-3</v>
      </c>
      <c r="H11734" s="417" t="s">
        <v>4195</v>
      </c>
      <c r="J11734" s="256">
        <v>43282</v>
      </c>
      <c r="K11734" s="412">
        <v>124.7139</v>
      </c>
      <c r="L11734" s="37">
        <f t="shared" si="219"/>
        <v>0.247139</v>
      </c>
    </row>
    <row r="11735" spans="1:12" hidden="1" outlineLevel="1" x14ac:dyDescent="0.25">
      <c r="A11735" s="2380">
        <v>0.05</v>
      </c>
      <c r="B11735" s="1813" t="s">
        <v>2787</v>
      </c>
      <c r="C11735" s="1998">
        <v>71.989999999999995</v>
      </c>
      <c r="D11735" s="3196">
        <v>84.04</v>
      </c>
      <c r="E11735" s="3197">
        <v>0.1673843589387416</v>
      </c>
      <c r="F11735" s="3198">
        <v>8.3692179469370808E-3</v>
      </c>
      <c r="H11735" s="417" t="s">
        <v>8874</v>
      </c>
      <c r="J11735" s="256">
        <v>43313</v>
      </c>
      <c r="K11735" s="412">
        <v>122.83969999999999</v>
      </c>
      <c r="L11735" s="37">
        <f t="shared" si="219"/>
        <v>0.22839699999999996</v>
      </c>
    </row>
    <row r="11736" spans="1:12" hidden="1" outlineLevel="1" x14ac:dyDescent="0.25">
      <c r="A11736" s="2380">
        <v>7.0000000000000007E-2</v>
      </c>
      <c r="B11736" s="1813" t="s">
        <v>4273</v>
      </c>
      <c r="C11736" s="1998">
        <v>1619.4</v>
      </c>
      <c r="D11736" s="3196">
        <v>2472.5</v>
      </c>
      <c r="E11736" s="3197">
        <v>0.52680004940101255</v>
      </c>
      <c r="F11736" s="3198">
        <v>3.6876003458070884E-2</v>
      </c>
      <c r="H11736" s="417" t="s">
        <v>82</v>
      </c>
      <c r="J11736" s="256">
        <v>43344</v>
      </c>
      <c r="K11736" s="412">
        <v>122.95180000000001</v>
      </c>
      <c r="L11736" s="37">
        <f t="shared" si="219"/>
        <v>0.22951800000000011</v>
      </c>
    </row>
    <row r="11737" spans="1:12" hidden="1" outlineLevel="1" x14ac:dyDescent="0.25">
      <c r="A11737" s="2380">
        <v>7.0000000000000007E-2</v>
      </c>
      <c r="B11737" s="1813" t="s">
        <v>901</v>
      </c>
      <c r="C11737" s="1998">
        <v>20.319031959657625</v>
      </c>
      <c r="D11737" s="3196">
        <v>25</v>
      </c>
      <c r="E11737" s="3197">
        <v>0.23037357535714253</v>
      </c>
      <c r="F11737" s="3198">
        <v>1.612615027499998E-2</v>
      </c>
      <c r="H11737" s="417" t="s">
        <v>531</v>
      </c>
      <c r="J11737" s="256">
        <v>43374</v>
      </c>
      <c r="K11737" s="412">
        <v>121.7838</v>
      </c>
      <c r="L11737" s="37">
        <f t="shared" si="219"/>
        <v>0.21783799999999998</v>
      </c>
    </row>
    <row r="11738" spans="1:12" hidden="1" outlineLevel="1" x14ac:dyDescent="0.25">
      <c r="A11738" s="2380">
        <v>7.0000000000000007E-2</v>
      </c>
      <c r="B11738" s="1813" t="s">
        <v>3800</v>
      </c>
      <c r="C11738" s="1998">
        <v>249.33</v>
      </c>
      <c r="D11738" s="3196">
        <v>243.4</v>
      </c>
      <c r="E11738" s="3197">
        <v>-2.3783740424337285E-2</v>
      </c>
      <c r="F11738" s="3198">
        <v>-1.6648618297036102E-3</v>
      </c>
      <c r="H11738" s="417" t="s">
        <v>8876</v>
      </c>
      <c r="J11738" s="256">
        <v>43405</v>
      </c>
      <c r="K11738" s="412">
        <v>119.5848</v>
      </c>
      <c r="L11738" s="37">
        <f t="shared" si="219"/>
        <v>0.19584800000000002</v>
      </c>
    </row>
    <row r="11739" spans="1:12" hidden="1" outlineLevel="1" x14ac:dyDescent="0.25">
      <c r="A11739" s="2380">
        <v>0.02</v>
      </c>
      <c r="B11739" s="1813" t="s">
        <v>3427</v>
      </c>
      <c r="C11739" s="1998">
        <v>46.097999999999999</v>
      </c>
      <c r="D11739" s="3196">
        <v>43.92</v>
      </c>
      <c r="E11739" s="3197">
        <v>-4.7247169074580153E-2</v>
      </c>
      <c r="F11739" s="3198">
        <v>-9.4494338149160313E-4</v>
      </c>
      <c r="H11739" s="417" t="s">
        <v>2800</v>
      </c>
      <c r="J11739" s="256">
        <v>43435</v>
      </c>
      <c r="K11739" s="412">
        <v>112.02809999999999</v>
      </c>
      <c r="L11739" s="37">
        <f t="shared" si="219"/>
        <v>0.12028099999999986</v>
      </c>
    </row>
    <row r="11740" spans="1:12" hidden="1" outlineLevel="1" x14ac:dyDescent="0.25">
      <c r="A11740" s="2380">
        <v>0.04</v>
      </c>
      <c r="B11740" s="1813" t="s">
        <v>1857</v>
      </c>
      <c r="C11740" s="1998">
        <v>1620.3</v>
      </c>
      <c r="D11740" s="3196">
        <v>1081.5</v>
      </c>
      <c r="E11740" s="3197">
        <v>-0.33253101277541197</v>
      </c>
      <c r="F11740" s="3198">
        <v>-1.330124051101648E-2</v>
      </c>
      <c r="H11740" s="417" t="s">
        <v>3559</v>
      </c>
      <c r="J11740" s="412" t="s">
        <v>2465</v>
      </c>
      <c r="L11740" s="261">
        <f>AVERAGE(L11722:L11739)</f>
        <v>0.24066183333333335</v>
      </c>
    </row>
    <row r="11741" spans="1:12" hidden="1" outlineLevel="1" x14ac:dyDescent="0.25">
      <c r="A11741" s="2380">
        <v>7.0000000000000007E-2</v>
      </c>
      <c r="B11741" s="1813" t="s">
        <v>1239</v>
      </c>
      <c r="C11741" s="1998">
        <v>429.57</v>
      </c>
      <c r="D11741" s="3196">
        <v>469.7</v>
      </c>
      <c r="E11741" s="3197">
        <v>9.3419000395744467E-2</v>
      </c>
      <c r="F11741" s="3198">
        <v>6.5393300277021135E-3</v>
      </c>
      <c r="H11741" s="417" t="s">
        <v>8891</v>
      </c>
      <c r="K11741" s="434"/>
    </row>
    <row r="11742" spans="1:12" hidden="1" outlineLevel="1" x14ac:dyDescent="0.25">
      <c r="A11742" s="2380">
        <v>7.0000000000000007E-2</v>
      </c>
      <c r="B11742" s="1813" t="s">
        <v>3022</v>
      </c>
      <c r="C11742" s="1998">
        <v>4913.5</v>
      </c>
      <c r="D11742" s="3196">
        <v>3705</v>
      </c>
      <c r="E11742" s="3197">
        <v>-0.24595502187849805</v>
      </c>
      <c r="F11742" s="3198">
        <v>-1.7216851531494864E-2</v>
      </c>
      <c r="H11742" s="417" t="s">
        <v>2802</v>
      </c>
      <c r="K11742" s="434"/>
    </row>
    <row r="11743" spans="1:12" hidden="1" outlineLevel="1" x14ac:dyDescent="0.25">
      <c r="A11743" s="2380">
        <v>0.02</v>
      </c>
      <c r="B11743" s="1813" t="s">
        <v>5503</v>
      </c>
      <c r="C11743" s="1998">
        <v>862.75</v>
      </c>
      <c r="D11743" s="3196">
        <v>660</v>
      </c>
      <c r="E11743" s="3197">
        <v>-0.23500434656621272</v>
      </c>
      <c r="F11743" s="3198">
        <v>-4.7000869313242547E-3</v>
      </c>
      <c r="H11743" s="417" t="s">
        <v>5501</v>
      </c>
      <c r="K11743" s="434"/>
    </row>
    <row r="11744" spans="1:12" hidden="1" outlineLevel="1" x14ac:dyDescent="0.25">
      <c r="A11744" s="2380">
        <v>0.02</v>
      </c>
      <c r="B11744" s="1813" t="s">
        <v>434</v>
      </c>
      <c r="C11744" s="1998">
        <v>45.875</v>
      </c>
      <c r="D11744" s="3196">
        <v>41.98</v>
      </c>
      <c r="E11744" s="3197">
        <v>-8.4904632152588588E-2</v>
      </c>
      <c r="F11744" s="3198">
        <v>-1.6980926430517718E-3</v>
      </c>
      <c r="H11744" s="417" t="s">
        <v>7745</v>
      </c>
      <c r="K11744" s="434"/>
    </row>
    <row r="11745" spans="1:14" hidden="1" outlineLevel="1" x14ac:dyDescent="0.25">
      <c r="A11745" s="2380">
        <v>0.02</v>
      </c>
      <c r="B11745" s="1813" t="s">
        <v>3665</v>
      </c>
      <c r="C11745" s="1998">
        <v>37.363</v>
      </c>
      <c r="D11745" s="3196">
        <v>45.25</v>
      </c>
      <c r="E11745" s="3197">
        <v>0.21109118646789615</v>
      </c>
      <c r="F11745" s="3198">
        <v>4.2218237293579234E-3</v>
      </c>
      <c r="H11745" s="417" t="s">
        <v>7021</v>
      </c>
      <c r="K11745" s="434"/>
    </row>
    <row r="11746" spans="1:14" hidden="1" outlineLevel="1" x14ac:dyDescent="0.25">
      <c r="A11746" s="2380">
        <v>0.02</v>
      </c>
      <c r="B11746" s="1813" t="s">
        <v>5534</v>
      </c>
      <c r="C11746" s="1998">
        <v>6.9176903466859354</v>
      </c>
      <c r="D11746" s="3196">
        <v>11.65</v>
      </c>
      <c r="E11746" s="3197">
        <v>0.68408810110749996</v>
      </c>
      <c r="F11746" s="3198">
        <v>1.3681762022149999E-2</v>
      </c>
      <c r="H11746" s="417" t="s">
        <v>5532</v>
      </c>
      <c r="K11746" s="434"/>
    </row>
    <row r="11747" spans="1:14" hidden="1" outlineLevel="1" x14ac:dyDescent="0.25">
      <c r="A11747" s="2380">
        <v>0.02</v>
      </c>
      <c r="B11747" s="1813" t="s">
        <v>255</v>
      </c>
      <c r="C11747" s="1998">
        <v>52.542999999999999</v>
      </c>
      <c r="D11747" s="3196">
        <v>56.22</v>
      </c>
      <c r="E11747" s="3197">
        <v>6.9980777648782855E-2</v>
      </c>
      <c r="F11747" s="3198">
        <v>1.3996155529756571E-3</v>
      </c>
      <c r="H11747" s="417" t="s">
        <v>3351</v>
      </c>
      <c r="K11747" s="434"/>
    </row>
    <row r="11748" spans="1:14" hidden="1" outlineLevel="1" x14ac:dyDescent="0.25">
      <c r="A11748" s="2380">
        <v>0.02</v>
      </c>
      <c r="B11748" s="1813" t="s">
        <v>5522</v>
      </c>
      <c r="C11748" s="1998">
        <v>42.386048779547657</v>
      </c>
      <c r="D11748" s="3196">
        <v>46.62</v>
      </c>
      <c r="E11748" s="3197">
        <v>9.9890207800999997E-2</v>
      </c>
      <c r="F11748" s="3198">
        <v>1.99780415602E-3</v>
      </c>
      <c r="H11748" s="417" t="s">
        <v>5520</v>
      </c>
      <c r="K11748" s="434"/>
    </row>
    <row r="11749" spans="1:14" hidden="1" outlineLevel="1" x14ac:dyDescent="0.25">
      <c r="A11749" s="2380">
        <v>0.02</v>
      </c>
      <c r="B11749" s="1813" t="s">
        <v>5537</v>
      </c>
      <c r="C11749" s="1998">
        <v>34.442</v>
      </c>
      <c r="D11749" s="3196">
        <v>29.42</v>
      </c>
      <c r="E11749" s="3197">
        <v>-0.14581034783113633</v>
      </c>
      <c r="F11749" s="3198">
        <v>-2.9162069566227265E-3</v>
      </c>
      <c r="H11749" s="417" t="s">
        <v>5535</v>
      </c>
      <c r="K11749" s="434"/>
    </row>
    <row r="11750" spans="1:14" hidden="1" outlineLevel="1" x14ac:dyDescent="0.25">
      <c r="A11750" s="2004">
        <v>0.02</v>
      </c>
      <c r="B11750" s="1813" t="s">
        <v>2874</v>
      </c>
      <c r="C11750" s="2005">
        <v>30.08</v>
      </c>
      <c r="D11750" s="3199">
        <v>49.27</v>
      </c>
      <c r="E11750" s="2695">
        <v>0.63796542553191515</v>
      </c>
      <c r="F11750" s="2989">
        <v>1.2759308510638303E-2</v>
      </c>
      <c r="H11750" s="417" t="s">
        <v>9060</v>
      </c>
      <c r="K11750" s="434"/>
    </row>
    <row r="11751" spans="1:14" hidden="1" outlineLevel="1" x14ac:dyDescent="0.25">
      <c r="A11751" s="2380" t="s">
        <v>2734</v>
      </c>
      <c r="B11751" s="2563"/>
      <c r="C11751" s="2179"/>
      <c r="D11751" s="2564"/>
      <c r="E11751" s="3197" t="s">
        <v>4577</v>
      </c>
      <c r="F11751" s="2909">
        <v>0.11970041609262382</v>
      </c>
      <c r="H11751" s="432"/>
    </row>
    <row r="11752" spans="1:14" collapsed="1" x14ac:dyDescent="0.25">
      <c r="A11752" s="3801" t="s">
        <v>5605</v>
      </c>
      <c r="B11752" s="3802"/>
      <c r="C11752" s="3802"/>
      <c r="D11752" s="3802"/>
      <c r="E11752" s="3214"/>
      <c r="F11752" s="3205">
        <v>0.12033091666666668</v>
      </c>
    </row>
    <row r="11753" spans="1:14" x14ac:dyDescent="0.25">
      <c r="A11753" t="s">
        <v>2734</v>
      </c>
    </row>
    <row r="11754" spans="1:14" ht="14.4" hidden="1" outlineLevel="1" x14ac:dyDescent="0.3">
      <c r="A11754" s="495" t="s">
        <v>113</v>
      </c>
      <c r="B11754" s="689" t="s">
        <v>114</v>
      </c>
      <c r="C11754" s="495" t="s">
        <v>112</v>
      </c>
      <c r="D11754" s="689" t="s">
        <v>4155</v>
      </c>
      <c r="E11754" s="689" t="s">
        <v>116</v>
      </c>
      <c r="F11754" s="1021" t="s">
        <v>121</v>
      </c>
      <c r="H11754" s="438" t="s">
        <v>5391</v>
      </c>
      <c r="I11754" s="438" t="s">
        <v>5392</v>
      </c>
      <c r="L11754" s="487" t="s">
        <v>5316</v>
      </c>
      <c r="M11754" s="487" t="s">
        <v>5317</v>
      </c>
    </row>
    <row r="11755" spans="1:14" hidden="1" outlineLevel="1" x14ac:dyDescent="0.25">
      <c r="A11755" s="753" t="s">
        <v>6007</v>
      </c>
      <c r="B11755" s="729" t="s">
        <v>2153</v>
      </c>
      <c r="C11755" s="800">
        <v>2801.4580000000001</v>
      </c>
      <c r="D11755" s="3805">
        <v>3257.62</v>
      </c>
      <c r="E11755" s="1255">
        <v>3257.62</v>
      </c>
      <c r="F11755" s="700">
        <v>0.08</v>
      </c>
      <c r="H11755" s="79">
        <v>0.1628</v>
      </c>
      <c r="I11755" s="450">
        <v>0.08</v>
      </c>
      <c r="L11755" s="436">
        <v>41792</v>
      </c>
      <c r="M11755" s="417">
        <v>3247.8</v>
      </c>
    </row>
    <row r="11756" spans="1:14" hidden="1" outlineLevel="1" x14ac:dyDescent="0.25">
      <c r="A11756" s="732" t="s">
        <v>6008</v>
      </c>
      <c r="B11756" s="729" t="s">
        <v>2153</v>
      </c>
      <c r="C11756" s="1028"/>
      <c r="D11756" s="3806"/>
      <c r="E11756" s="1255"/>
      <c r="F11756" s="1178" t="s">
        <v>5590</v>
      </c>
      <c r="H11756" s="79"/>
      <c r="I11756" s="451">
        <v>0.16</v>
      </c>
      <c r="L11756" s="436">
        <v>41793</v>
      </c>
      <c r="M11756" s="417">
        <v>3241.04</v>
      </c>
    </row>
    <row r="11757" spans="1:14" hidden="1" outlineLevel="1" x14ac:dyDescent="0.25">
      <c r="A11757" s="732" t="s">
        <v>6009</v>
      </c>
      <c r="B11757" s="729" t="s">
        <v>2153</v>
      </c>
      <c r="C11757" s="1028" t="s">
        <v>5590</v>
      </c>
      <c r="D11757" s="3806"/>
      <c r="E11757" s="1255"/>
      <c r="F11757" s="1178" t="s">
        <v>5590</v>
      </c>
      <c r="H11757" s="79" t="str">
        <f>IF(C11757="","",IF(E11757="",$D$9046/C11757-1,E11757/C11757-1))</f>
        <v/>
      </c>
      <c r="I11757" s="451">
        <v>0.24</v>
      </c>
      <c r="L11757" s="436">
        <v>41794</v>
      </c>
      <c r="M11757" s="417">
        <v>3237.93</v>
      </c>
    </row>
    <row r="11758" spans="1:14" hidden="1" outlineLevel="1" x14ac:dyDescent="0.25">
      <c r="A11758" s="732" t="s">
        <v>6010</v>
      </c>
      <c r="B11758" s="729" t="s">
        <v>2153</v>
      </c>
      <c r="C11758" s="1028" t="s">
        <v>5590</v>
      </c>
      <c r="D11758" s="3806"/>
      <c r="E11758" s="1255"/>
      <c r="F11758" s="1178" t="s">
        <v>5590</v>
      </c>
      <c r="H11758" s="79" t="str">
        <f>IF(C11758="","",IF(E11758="",$D$9046/C11758-1,E11758/C11758-1))</f>
        <v/>
      </c>
      <c r="I11758" s="451">
        <v>0.32</v>
      </c>
      <c r="L11758" s="436">
        <v>41795</v>
      </c>
      <c r="M11758" s="417">
        <v>3267.05</v>
      </c>
    </row>
    <row r="11759" spans="1:14" hidden="1" outlineLevel="1" x14ac:dyDescent="0.25">
      <c r="A11759" s="754" t="s">
        <v>6011</v>
      </c>
      <c r="B11759" s="729" t="s">
        <v>2153</v>
      </c>
      <c r="C11759" s="806" t="s">
        <v>5590</v>
      </c>
      <c r="D11759" s="3807"/>
      <c r="E11759" s="1255"/>
      <c r="F11759" s="1107" t="s">
        <v>5590</v>
      </c>
      <c r="H11759" s="82" t="str">
        <f>IF(C11759="","",IF(E11759="",$D$9046/C11759-1,E11759/C11759-1))</f>
        <v/>
      </c>
      <c r="I11759" s="452">
        <v>0.4</v>
      </c>
      <c r="L11759" s="436">
        <v>41796</v>
      </c>
      <c r="M11759" s="417">
        <v>3294.28</v>
      </c>
      <c r="N11759">
        <f>AVERAGE(M11755:M11759)</f>
        <v>3257.62</v>
      </c>
    </row>
    <row r="11760" spans="1:14" hidden="1" outlineLevel="1" x14ac:dyDescent="0.25">
      <c r="A11760" s="846"/>
      <c r="B11760" s="729"/>
      <c r="C11760" s="956"/>
      <c r="D11760" s="1249"/>
      <c r="E11760" s="693"/>
      <c r="F11760" s="856"/>
      <c r="H11760" s="37">
        <f>IF(H11759="",IF(H11758="",IF(H11757="",IF(H11756="",H11755,H11756),H11757),H11758),H11759)</f>
        <v>0.1628</v>
      </c>
    </row>
    <row r="11761" spans="1:11" collapsed="1" x14ac:dyDescent="0.25">
      <c r="A11761" s="3801" t="s">
        <v>5606</v>
      </c>
      <c r="B11761" s="3802"/>
      <c r="C11761" s="3802"/>
      <c r="D11761" s="3802"/>
      <c r="E11761" s="1811"/>
      <c r="F11761" s="1890">
        <v>0.08</v>
      </c>
      <c r="G11761" s="175" t="s">
        <v>781</v>
      </c>
      <c r="H11761" s="74"/>
    </row>
    <row r="11762" spans="1:11" x14ac:dyDescent="0.25">
      <c r="A11762" t="s">
        <v>2734</v>
      </c>
    </row>
    <row r="11763" spans="1:11" hidden="1" outlineLevel="1" x14ac:dyDescent="0.25">
      <c r="A11763" s="689" t="s">
        <v>113</v>
      </c>
      <c r="B11763" s="689" t="s">
        <v>114</v>
      </c>
      <c r="C11763" s="689" t="s">
        <v>112</v>
      </c>
      <c r="D11763" s="689" t="s">
        <v>116</v>
      </c>
      <c r="E11763" s="689" t="s">
        <v>117</v>
      </c>
      <c r="F11763" s="1188" t="s">
        <v>121</v>
      </c>
    </row>
    <row r="11764" spans="1:11" hidden="1" outlineLevel="1" x14ac:dyDescent="0.25">
      <c r="A11764" s="690" t="s">
        <v>2734</v>
      </c>
      <c r="B11764" s="691" t="s">
        <v>252</v>
      </c>
      <c r="C11764" s="692">
        <v>100</v>
      </c>
      <c r="D11764" s="692"/>
      <c r="E11764" s="693"/>
      <c r="F11764" s="694"/>
    </row>
    <row r="11765" spans="1:11" hidden="1" outlineLevel="1" x14ac:dyDescent="0.25">
      <c r="A11765" s="695" t="s">
        <v>2734</v>
      </c>
      <c r="B11765" s="695"/>
      <c r="C11765" s="696"/>
      <c r="D11765" s="697" t="s">
        <v>3702</v>
      </c>
      <c r="E11765" s="698">
        <v>43496</v>
      </c>
      <c r="F11765" s="699"/>
    </row>
    <row r="11766" spans="1:11" ht="26.4" hidden="1" outlineLevel="1" x14ac:dyDescent="0.25">
      <c r="A11766" s="689" t="s">
        <v>4156</v>
      </c>
      <c r="B11766" s="495" t="s">
        <v>4153</v>
      </c>
      <c r="C11766" s="497" t="s">
        <v>5271</v>
      </c>
      <c r="D11766" s="495" t="s">
        <v>4155</v>
      </c>
      <c r="E11766" s="689" t="s">
        <v>4154</v>
      </c>
      <c r="F11766" s="1021" t="s">
        <v>2519</v>
      </c>
    </row>
    <row r="11767" spans="1:11" hidden="1" outlineLevel="1" x14ac:dyDescent="0.25">
      <c r="A11767" s="999">
        <v>0.05</v>
      </c>
      <c r="B11767" s="1010" t="s">
        <v>1993</v>
      </c>
      <c r="C11767" s="1007">
        <v>36.347000000000001</v>
      </c>
      <c r="D11767" s="803">
        <v>49.35</v>
      </c>
      <c r="E11767" s="705">
        <v>0.35774616887225896</v>
      </c>
      <c r="F11767" s="1021">
        <v>1.788730844361295E-2</v>
      </c>
      <c r="H11767" s="417" t="s">
        <v>2812</v>
      </c>
      <c r="I11767" t="s">
        <v>2040</v>
      </c>
      <c r="J11767" s="370"/>
    </row>
    <row r="11768" spans="1:11" hidden="1" outlineLevel="1" x14ac:dyDescent="0.25">
      <c r="A11768" s="1002">
        <v>0.02</v>
      </c>
      <c r="B11768" t="s">
        <v>2942</v>
      </c>
      <c r="C11768" s="1008">
        <v>1043.2</v>
      </c>
      <c r="D11768" s="908">
        <v>1609.5</v>
      </c>
      <c r="E11768" s="709">
        <v>0.54284892638036797</v>
      </c>
      <c r="F11768" s="946">
        <v>1.085697852760736E-2</v>
      </c>
      <c r="H11768" s="417" t="s">
        <v>2336</v>
      </c>
      <c r="I11768" s="256">
        <v>42948</v>
      </c>
      <c r="J11768" s="1628">
        <v>134.2756</v>
      </c>
      <c r="K11768" s="37">
        <v>0.34275600000000006</v>
      </c>
    </row>
    <row r="11769" spans="1:11" hidden="1" outlineLevel="1" x14ac:dyDescent="0.25">
      <c r="A11769" s="1002">
        <v>0.02</v>
      </c>
      <c r="B11769" s="1319" t="s">
        <v>805</v>
      </c>
      <c r="C11769" s="1008">
        <v>61.823</v>
      </c>
      <c r="D11769" s="908">
        <v>96.18</v>
      </c>
      <c r="E11769" s="709">
        <v>0.55573168561862096</v>
      </c>
      <c r="F11769" s="946">
        <v>1.111463371237242E-2</v>
      </c>
      <c r="H11769" s="417" t="s">
        <v>806</v>
      </c>
      <c r="I11769" s="256">
        <v>42979</v>
      </c>
      <c r="J11769" s="1628">
        <v>133.3023</v>
      </c>
      <c r="K11769" s="37">
        <v>0.33302300000000007</v>
      </c>
    </row>
    <row r="11770" spans="1:11" hidden="1" outlineLevel="1" x14ac:dyDescent="0.25">
      <c r="A11770" s="1002">
        <v>0.02</v>
      </c>
      <c r="B11770" t="s">
        <v>5386</v>
      </c>
      <c r="C11770" s="1008">
        <v>46.767000000000003</v>
      </c>
      <c r="D11770" s="908">
        <v>57.13</v>
      </c>
      <c r="E11770" s="709">
        <v>0.22158787178993733</v>
      </c>
      <c r="F11770" s="946">
        <v>4.4317574357987466E-3</v>
      </c>
      <c r="H11770" s="417" t="s">
        <v>808</v>
      </c>
      <c r="I11770" s="256">
        <v>43009</v>
      </c>
      <c r="J11770" s="412">
        <v>136.6232</v>
      </c>
      <c r="K11770" s="37">
        <v>0.36623199999999989</v>
      </c>
    </row>
    <row r="11771" spans="1:11" hidden="1" outlineLevel="1" x14ac:dyDescent="0.25">
      <c r="A11771" s="1002">
        <v>0.02</v>
      </c>
      <c r="B11771" t="s">
        <v>3954</v>
      </c>
      <c r="C11771" s="1008">
        <v>78.959999999999994</v>
      </c>
      <c r="D11771" s="908">
        <v>111.41</v>
      </c>
      <c r="E11771" s="709">
        <v>0.41096757852077004</v>
      </c>
      <c r="F11771" s="946">
        <v>8.2193515704154004E-3</v>
      </c>
      <c r="H11771" s="417" t="s">
        <v>3955</v>
      </c>
      <c r="I11771" s="256">
        <v>43040</v>
      </c>
      <c r="J11771" s="412">
        <v>138.72900000000001</v>
      </c>
      <c r="K11771" s="37">
        <v>0.38729000000000013</v>
      </c>
    </row>
    <row r="11772" spans="1:11" hidden="1" outlineLevel="1" x14ac:dyDescent="0.25">
      <c r="A11772" s="1002">
        <v>0.02</v>
      </c>
      <c r="B11772" t="s">
        <v>1319</v>
      </c>
      <c r="C11772" s="1008">
        <v>57.493000000000002</v>
      </c>
      <c r="D11772" s="908">
        <v>77.650000000000006</v>
      </c>
      <c r="E11772" s="709">
        <v>0.35059920338128125</v>
      </c>
      <c r="F11772" s="946">
        <v>7.0119840676256253E-3</v>
      </c>
      <c r="H11772" s="417" t="s">
        <v>1320</v>
      </c>
      <c r="I11772" s="256">
        <v>43070</v>
      </c>
      <c r="J11772" s="412">
        <v>138.68629999999999</v>
      </c>
      <c r="K11772" s="37">
        <v>0.38686299999999996</v>
      </c>
    </row>
    <row r="11773" spans="1:11" hidden="1" outlineLevel="1" x14ac:dyDescent="0.25">
      <c r="A11773" s="1002">
        <v>0.02</v>
      </c>
      <c r="B11773" s="852" t="s">
        <v>1231</v>
      </c>
      <c r="C11773" s="1008">
        <v>67.436999999999998</v>
      </c>
      <c r="D11773" s="908">
        <v>87.78</v>
      </c>
      <c r="E11773" s="709">
        <v>0.30165932648249494</v>
      </c>
      <c r="F11773" s="946">
        <v>6.0331865296498989E-3</v>
      </c>
      <c r="H11773" s="417" t="s">
        <v>2041</v>
      </c>
      <c r="I11773" s="256">
        <v>43101</v>
      </c>
      <c r="J11773" s="412">
        <v>135.81180000000001</v>
      </c>
      <c r="K11773" s="37">
        <v>0.35811800000000016</v>
      </c>
    </row>
    <row r="11774" spans="1:11" hidden="1" outlineLevel="1" x14ac:dyDescent="0.25">
      <c r="A11774" s="1002">
        <v>0.05</v>
      </c>
      <c r="B11774" s="852" t="s">
        <v>5232</v>
      </c>
      <c r="C11774" s="1008">
        <v>68.655000000000001</v>
      </c>
      <c r="D11774" s="908">
        <v>89.19</v>
      </c>
      <c r="E11774" s="709">
        <v>0.29910421673585308</v>
      </c>
      <c r="F11774" s="946">
        <v>1.4955210836792654E-2</v>
      </c>
      <c r="H11774" s="417" t="s">
        <v>5230</v>
      </c>
      <c r="I11774" s="256">
        <v>43132</v>
      </c>
      <c r="J11774" s="412">
        <v>129.1361</v>
      </c>
      <c r="K11774" s="37">
        <v>0.29136099999999998</v>
      </c>
    </row>
    <row r="11775" spans="1:11" hidden="1" outlineLevel="1" x14ac:dyDescent="0.25">
      <c r="A11775" s="1002">
        <v>0.02</v>
      </c>
      <c r="B11775" t="s">
        <v>5489</v>
      </c>
      <c r="C11775" s="1008">
        <v>47.923000000000002</v>
      </c>
      <c r="D11775" s="908">
        <v>44.44</v>
      </c>
      <c r="E11775" s="709">
        <v>-7.2679089372535199E-2</v>
      </c>
      <c r="F11775" s="946">
        <v>-1.453581787450704E-3</v>
      </c>
      <c r="H11775" s="417" t="s">
        <v>5487</v>
      </c>
      <c r="I11775" s="256">
        <v>43160</v>
      </c>
      <c r="J11775" s="412">
        <v>126.7897</v>
      </c>
      <c r="K11775" s="37">
        <v>0.26789700000000005</v>
      </c>
    </row>
    <row r="11776" spans="1:11" hidden="1" outlineLevel="1" x14ac:dyDescent="0.25">
      <c r="A11776" s="1002">
        <v>0.04</v>
      </c>
      <c r="B11776" t="s">
        <v>3799</v>
      </c>
      <c r="C11776" s="1008">
        <v>1681.2933181729491</v>
      </c>
      <c r="D11776" s="908">
        <v>1477.2</v>
      </c>
      <c r="E11776" s="709">
        <v>-0.12139066750990002</v>
      </c>
      <c r="F11776" s="946">
        <v>-4.8556267003960008E-3</v>
      </c>
      <c r="H11776" s="417" t="s">
        <v>4128</v>
      </c>
      <c r="I11776" s="256">
        <v>43191</v>
      </c>
      <c r="J11776" s="412">
        <v>126.8912</v>
      </c>
      <c r="K11776" s="37">
        <v>0.26891200000000004</v>
      </c>
    </row>
    <row r="11777" spans="1:11" hidden="1" outlineLevel="1" x14ac:dyDescent="0.25">
      <c r="A11777" s="1002">
        <v>0.02</v>
      </c>
      <c r="B11777" t="s">
        <v>3426</v>
      </c>
      <c r="C11777" s="1008">
        <v>85.210999999999999</v>
      </c>
      <c r="D11777" s="908">
        <v>133.08000000000001</v>
      </c>
      <c r="E11777" s="709">
        <v>0.56177019398903916</v>
      </c>
      <c r="F11777" s="946">
        <v>1.1235403879780783E-2</v>
      </c>
      <c r="H11777" s="417" t="s">
        <v>4145</v>
      </c>
      <c r="I11777" s="256">
        <v>43221</v>
      </c>
      <c r="J11777" s="412">
        <v>124.61969999999999</v>
      </c>
      <c r="K11777" s="37">
        <v>0.246197</v>
      </c>
    </row>
    <row r="11778" spans="1:11" hidden="1" outlineLevel="1" x14ac:dyDescent="0.25">
      <c r="A11778" s="1002">
        <v>0.02</v>
      </c>
      <c r="B11778" t="s">
        <v>1381</v>
      </c>
      <c r="C11778" s="1008">
        <v>94.708802019176503</v>
      </c>
      <c r="D11778" s="908">
        <v>111.38</v>
      </c>
      <c r="E11778" s="709">
        <v>0.17602585636599999</v>
      </c>
      <c r="F11778" s="946">
        <v>3.5205171273199999E-3</v>
      </c>
      <c r="H11778" s="417" t="s">
        <v>1383</v>
      </c>
      <c r="I11778" s="256">
        <v>43252</v>
      </c>
      <c r="J11778" s="412">
        <v>126.3098</v>
      </c>
      <c r="K11778" s="37">
        <v>0.26309800000000005</v>
      </c>
    </row>
    <row r="11779" spans="1:11" hidden="1" outlineLevel="1" x14ac:dyDescent="0.25">
      <c r="A11779" s="1002">
        <v>0.02</v>
      </c>
      <c r="B11779" t="s">
        <v>816</v>
      </c>
      <c r="C11779" s="1008">
        <v>98.192999999999998</v>
      </c>
      <c r="D11779" s="908">
        <v>178.78</v>
      </c>
      <c r="E11779" s="709">
        <v>0.82070004990172429</v>
      </c>
      <c r="F11779" s="946">
        <v>1.6414000998034486E-2</v>
      </c>
      <c r="H11779" s="417" t="s">
        <v>817</v>
      </c>
      <c r="I11779" s="256">
        <v>43282</v>
      </c>
      <c r="J11779" s="412">
        <v>130.7869</v>
      </c>
      <c r="K11779" s="37">
        <v>0.30786899999999995</v>
      </c>
    </row>
    <row r="11780" spans="1:11" hidden="1" outlineLevel="1" x14ac:dyDescent="0.25">
      <c r="A11780" s="1002">
        <v>0.04</v>
      </c>
      <c r="B11780" t="s">
        <v>2786</v>
      </c>
      <c r="C11780" s="1008">
        <v>787.4088681002894</v>
      </c>
      <c r="D11780" s="908">
        <v>825.2</v>
      </c>
      <c r="E11780" s="709">
        <v>4.7994292966100138E-2</v>
      </c>
      <c r="F11780" s="946">
        <v>1.9197717186440057E-3</v>
      </c>
      <c r="H11780" s="417" t="s">
        <v>4195</v>
      </c>
      <c r="I11780" s="256">
        <v>43313</v>
      </c>
      <c r="J11780" s="412">
        <v>128.97569999999999</v>
      </c>
      <c r="K11780" s="37">
        <v>0.28975699999999982</v>
      </c>
    </row>
    <row r="11781" spans="1:11" hidden="1" outlineLevel="1" x14ac:dyDescent="0.25">
      <c r="A11781" s="1002">
        <v>0.05</v>
      </c>
      <c r="B11781" t="s">
        <v>2787</v>
      </c>
      <c r="C11781" s="1008">
        <v>69.075000000000003</v>
      </c>
      <c r="D11781" s="908">
        <v>86.5</v>
      </c>
      <c r="E11781" s="709">
        <v>0.25226203402099157</v>
      </c>
      <c r="F11781" s="946">
        <v>1.2613101701049579E-2</v>
      </c>
      <c r="H11781" s="417" t="s">
        <v>8874</v>
      </c>
      <c r="I11781" s="256">
        <v>43344</v>
      </c>
      <c r="J11781" s="412">
        <v>129.25989999999999</v>
      </c>
      <c r="K11781" s="37">
        <v>0.29259899999999983</v>
      </c>
    </row>
    <row r="11782" spans="1:11" hidden="1" outlineLevel="1" x14ac:dyDescent="0.25">
      <c r="A11782" s="1002">
        <v>7.0000000000000007E-2</v>
      </c>
      <c r="B11782" t="s">
        <v>4273</v>
      </c>
      <c r="C11782" s="1008">
        <v>1497.7</v>
      </c>
      <c r="D11782" s="908">
        <v>2605.5</v>
      </c>
      <c r="E11782" s="709">
        <v>0.73966749015156563</v>
      </c>
      <c r="F11782" s="946">
        <v>5.1776724310609597E-2</v>
      </c>
      <c r="H11782" s="417" t="s">
        <v>82</v>
      </c>
      <c r="I11782" s="256">
        <v>43374</v>
      </c>
      <c r="J11782" s="412">
        <v>128.18029999999999</v>
      </c>
      <c r="K11782" s="37">
        <v>0.2818029999999998</v>
      </c>
    </row>
    <row r="11783" spans="1:11" hidden="1" outlineLevel="1" x14ac:dyDescent="0.25">
      <c r="A11783" s="1002">
        <v>7.0000000000000007E-2</v>
      </c>
      <c r="B11783" t="s">
        <v>901</v>
      </c>
      <c r="C11783" s="1008">
        <v>20.096387118721598</v>
      </c>
      <c r="D11783" s="908">
        <v>26.87</v>
      </c>
      <c r="E11783" s="709">
        <v>0.33705625002457151</v>
      </c>
      <c r="F11783" s="946">
        <v>2.3593937501720008E-2</v>
      </c>
      <c r="H11783" s="417" t="s">
        <v>531</v>
      </c>
      <c r="I11783" s="256">
        <v>43405</v>
      </c>
      <c r="J11783" s="412">
        <v>126.1417</v>
      </c>
      <c r="K11783" s="37">
        <v>0.26141700000000001</v>
      </c>
    </row>
    <row r="11784" spans="1:11" hidden="1" outlineLevel="1" x14ac:dyDescent="0.25">
      <c r="A11784" s="1002">
        <v>7.0000000000000007E-2</v>
      </c>
      <c r="B11784" t="s">
        <v>3800</v>
      </c>
      <c r="C11784" s="1008">
        <v>240.08</v>
      </c>
      <c r="D11784" s="908">
        <v>263.95</v>
      </c>
      <c r="E11784" s="709">
        <v>9.9425191602799057E-2</v>
      </c>
      <c r="F11784" s="946">
        <v>6.9597634121959344E-3</v>
      </c>
      <c r="H11784" s="417" t="s">
        <v>8876</v>
      </c>
      <c r="I11784" s="256">
        <v>43435</v>
      </c>
      <c r="J11784" s="412">
        <v>118.0226</v>
      </c>
      <c r="K11784" s="37">
        <v>0.180226</v>
      </c>
    </row>
    <row r="11785" spans="1:11" hidden="1" outlineLevel="1" x14ac:dyDescent="0.25">
      <c r="A11785" s="1002">
        <v>0.02</v>
      </c>
      <c r="B11785" t="s">
        <v>3427</v>
      </c>
      <c r="C11785" s="1008">
        <v>44.298000000000002</v>
      </c>
      <c r="D11785" s="908">
        <v>48.6</v>
      </c>
      <c r="E11785" s="709">
        <v>9.7114993904916735E-2</v>
      </c>
      <c r="F11785" s="946">
        <v>1.9422998780983347E-3</v>
      </c>
      <c r="H11785" s="417" t="s">
        <v>2800</v>
      </c>
      <c r="I11785" s="256">
        <v>43466</v>
      </c>
      <c r="J11785" s="412">
        <v>123.877</v>
      </c>
      <c r="K11785" s="37">
        <v>0.23876999999999993</v>
      </c>
    </row>
    <row r="11786" spans="1:11" hidden="1" outlineLevel="1" x14ac:dyDescent="0.25">
      <c r="A11786" s="1002">
        <v>0.04</v>
      </c>
      <c r="B11786" t="s">
        <v>1857</v>
      </c>
      <c r="C11786" s="1008">
        <v>1551.3</v>
      </c>
      <c r="D11786" s="908">
        <v>1170</v>
      </c>
      <c r="E11786" s="709">
        <v>-0.24579385031908718</v>
      </c>
      <c r="F11786" s="946">
        <v>-9.831754012763488E-3</v>
      </c>
      <c r="H11786" s="417" t="s">
        <v>3559</v>
      </c>
      <c r="I11786" s="412" t="s">
        <v>2465</v>
      </c>
      <c r="K11786" s="261">
        <v>0.29801044444444441</v>
      </c>
    </row>
    <row r="11787" spans="1:11" hidden="1" outlineLevel="1" x14ac:dyDescent="0.25">
      <c r="A11787" s="1002">
        <v>7.0000000000000007E-2</v>
      </c>
      <c r="B11787" t="s">
        <v>1239</v>
      </c>
      <c r="C11787" s="1008">
        <v>411.3</v>
      </c>
      <c r="D11787" s="908">
        <v>476</v>
      </c>
      <c r="E11787" s="709">
        <v>0.15730610260150746</v>
      </c>
      <c r="F11787" s="946">
        <v>1.1011427182105522E-2</v>
      </c>
      <c r="H11787" s="417" t="s">
        <v>8891</v>
      </c>
      <c r="K11787" s="434"/>
    </row>
    <row r="11788" spans="1:11" hidden="1" outlineLevel="1" x14ac:dyDescent="0.25">
      <c r="A11788" s="1002">
        <v>7.0000000000000007E-2</v>
      </c>
      <c r="B11788" t="s">
        <v>3022</v>
      </c>
      <c r="C11788" s="1008">
        <v>4525.5</v>
      </c>
      <c r="D11788" s="908">
        <v>4389</v>
      </c>
      <c r="E11788" s="709">
        <v>-3.0162412993039456E-2</v>
      </c>
      <c r="F11788" s="946">
        <v>-2.1113689095127622E-3</v>
      </c>
      <c r="H11788" s="417" t="s">
        <v>2802</v>
      </c>
      <c r="K11788" s="434"/>
    </row>
    <row r="11789" spans="1:11" hidden="1" outlineLevel="1" x14ac:dyDescent="0.25">
      <c r="A11789" s="1002">
        <v>0.02</v>
      </c>
      <c r="B11789" t="s">
        <v>5503</v>
      </c>
      <c r="C11789" s="1008">
        <v>834.2</v>
      </c>
      <c r="D11789" s="908">
        <v>687.8</v>
      </c>
      <c r="E11789" s="709">
        <v>-0.17549748261807729</v>
      </c>
      <c r="F11789" s="946">
        <v>-3.5099496523615459E-3</v>
      </c>
      <c r="H11789" s="417" t="s">
        <v>5501</v>
      </c>
      <c r="K11789" s="434"/>
    </row>
    <row r="11790" spans="1:11" hidden="1" outlineLevel="1" x14ac:dyDescent="0.25">
      <c r="A11790" s="1002">
        <v>0.02</v>
      </c>
      <c r="B11790" t="s">
        <v>434</v>
      </c>
      <c r="C11790" s="1008">
        <v>44.835999999999999</v>
      </c>
      <c r="D11790" s="908">
        <v>39.380000000000003</v>
      </c>
      <c r="E11790" s="709">
        <v>-0.12168792934249251</v>
      </c>
      <c r="F11790" s="946">
        <v>-2.4337585868498502E-3</v>
      </c>
      <c r="H11790" s="417" t="s">
        <v>7745</v>
      </c>
      <c r="K11790" s="434"/>
    </row>
    <row r="11791" spans="1:11" hidden="1" outlineLevel="1" x14ac:dyDescent="0.25">
      <c r="A11791" s="1002">
        <v>0.02</v>
      </c>
      <c r="B11791" t="s">
        <v>3665</v>
      </c>
      <c r="C11791" s="1008">
        <v>36.292000000000002</v>
      </c>
      <c r="D11791" s="908">
        <v>46.02</v>
      </c>
      <c r="E11791" s="709">
        <v>0.26804805466769532</v>
      </c>
      <c r="F11791" s="946">
        <v>5.3609610933539062E-3</v>
      </c>
      <c r="H11791" s="417" t="s">
        <v>7021</v>
      </c>
      <c r="K11791" s="434"/>
    </row>
    <row r="11792" spans="1:11" hidden="1" outlineLevel="1" x14ac:dyDescent="0.25">
      <c r="A11792" s="1002">
        <v>0.02</v>
      </c>
      <c r="B11792" t="s">
        <v>5534</v>
      </c>
      <c r="C11792" s="1008">
        <v>6.76089593942101</v>
      </c>
      <c r="D11792" s="908">
        <v>12.17</v>
      </c>
      <c r="E11792" s="709">
        <v>0.80005728664449993</v>
      </c>
      <c r="F11792" s="946">
        <v>1.600114573289E-2</v>
      </c>
      <c r="H11792" s="417" t="s">
        <v>5532</v>
      </c>
      <c r="K11792" s="434"/>
    </row>
    <row r="11793" spans="1:11" hidden="1" outlineLevel="1" x14ac:dyDescent="0.25">
      <c r="A11793" s="1002">
        <v>0.02</v>
      </c>
      <c r="B11793" t="s">
        <v>255</v>
      </c>
      <c r="C11793" s="1008">
        <v>49.534999999999997</v>
      </c>
      <c r="D11793" s="908">
        <v>55.06</v>
      </c>
      <c r="E11793" s="709">
        <v>0.11153729686080571</v>
      </c>
      <c r="F11793" s="946">
        <v>2.2307459372161143E-3</v>
      </c>
      <c r="H11793" s="417" t="s">
        <v>3351</v>
      </c>
      <c r="K11793" s="434"/>
    </row>
    <row r="11794" spans="1:11" hidden="1" outlineLevel="1" x14ac:dyDescent="0.25">
      <c r="A11794" s="1002">
        <v>0.02</v>
      </c>
      <c r="B11794" t="s">
        <v>5522</v>
      </c>
      <c r="C11794" s="1008">
        <v>39.344301174991386</v>
      </c>
      <c r="D11794" s="908">
        <v>46.62</v>
      </c>
      <c r="E11794" s="709">
        <v>0.18492382906100002</v>
      </c>
      <c r="F11794" s="946">
        <v>3.6984765812200005E-3</v>
      </c>
      <c r="H11794" s="417" t="s">
        <v>5520</v>
      </c>
      <c r="K11794" s="434"/>
    </row>
    <row r="11795" spans="1:11" hidden="1" outlineLevel="1" x14ac:dyDescent="0.25">
      <c r="A11795" s="1002">
        <v>0.02</v>
      </c>
      <c r="B11795" t="s">
        <v>5537</v>
      </c>
      <c r="C11795" s="1008">
        <v>32.844000000000001</v>
      </c>
      <c r="D11795" s="908">
        <v>29.37</v>
      </c>
      <c r="E11795" s="709">
        <v>-0.10577274388016078</v>
      </c>
      <c r="F11795" s="946">
        <v>-2.1154548776032155E-3</v>
      </c>
      <c r="H11795" s="417" t="s">
        <v>5535</v>
      </c>
      <c r="K11795" s="434"/>
    </row>
    <row r="11796" spans="1:11" hidden="1" outlineLevel="1" x14ac:dyDescent="0.25">
      <c r="A11796" s="1004">
        <v>0.02</v>
      </c>
      <c r="B11796" t="s">
        <v>2874</v>
      </c>
      <c r="C11796" s="1009">
        <v>28.946000000000002</v>
      </c>
      <c r="D11796" s="715">
        <v>52.36</v>
      </c>
      <c r="E11796" s="716">
        <v>0.80888551095142658</v>
      </c>
      <c r="F11796" s="1023">
        <v>1.6177710219028533E-2</v>
      </c>
      <c r="H11796" s="417" t="s">
        <v>9060</v>
      </c>
      <c r="K11796" s="434"/>
    </row>
    <row r="11797" spans="1:11" hidden="1" outlineLevel="1" x14ac:dyDescent="0.25">
      <c r="A11797" s="1002" t="s">
        <v>2734</v>
      </c>
      <c r="B11797" s="1898"/>
      <c r="C11797" s="1084"/>
      <c r="D11797" s="798"/>
      <c r="E11797" s="709" t="s">
        <v>4577</v>
      </c>
      <c r="F11797" s="1666">
        <v>0.23865490387020424</v>
      </c>
      <c r="H11797" s="432"/>
    </row>
    <row r="11798" spans="1:11" collapsed="1" x14ac:dyDescent="0.25">
      <c r="A11798" s="3801" t="s">
        <v>5613</v>
      </c>
      <c r="B11798" s="3802"/>
      <c r="C11798" s="3802"/>
      <c r="D11798" s="3802"/>
      <c r="E11798" s="1892"/>
      <c r="F11798" s="1893">
        <v>0.17880626666666663</v>
      </c>
    </row>
    <row r="11799" spans="1:11" x14ac:dyDescent="0.25">
      <c r="A11799" t="s">
        <v>2734</v>
      </c>
    </row>
    <row r="11800" spans="1:11" hidden="1" outlineLevel="1" x14ac:dyDescent="0.25">
      <c r="A11800" s="689" t="s">
        <v>113</v>
      </c>
      <c r="B11800" s="689" t="s">
        <v>114</v>
      </c>
      <c r="C11800" s="689" t="s">
        <v>112</v>
      </c>
      <c r="D11800" s="689" t="s">
        <v>116</v>
      </c>
      <c r="E11800" s="689" t="s">
        <v>117</v>
      </c>
      <c r="F11800" s="1188" t="s">
        <v>121</v>
      </c>
    </row>
    <row r="11801" spans="1:11" hidden="1" outlineLevel="1" x14ac:dyDescent="0.25">
      <c r="A11801" s="690"/>
      <c r="B11801" s="691" t="s">
        <v>252</v>
      </c>
      <c r="C11801" s="692">
        <v>100</v>
      </c>
      <c r="D11801" s="692"/>
      <c r="E11801" s="693"/>
      <c r="F11801" s="694"/>
    </row>
    <row r="11802" spans="1:11" hidden="1" outlineLevel="1" x14ac:dyDescent="0.25">
      <c r="A11802" s="695" t="s">
        <v>2734</v>
      </c>
      <c r="B11802" s="695"/>
      <c r="C11802" s="696"/>
      <c r="D11802" s="697" t="s">
        <v>3702</v>
      </c>
      <c r="E11802" s="698">
        <v>43496</v>
      </c>
      <c r="F11802" s="699"/>
    </row>
    <row r="11803" spans="1:11" ht="26.4" hidden="1" outlineLevel="1" x14ac:dyDescent="0.25">
      <c r="A11803" s="689" t="s">
        <v>4156</v>
      </c>
      <c r="B11803" s="689" t="s">
        <v>4153</v>
      </c>
      <c r="C11803" s="497" t="s">
        <v>5271</v>
      </c>
      <c r="D11803" s="495" t="s">
        <v>4155</v>
      </c>
      <c r="E11803" s="689" t="s">
        <v>4154</v>
      </c>
      <c r="F11803" s="1021" t="s">
        <v>2519</v>
      </c>
      <c r="I11803" t="s">
        <v>2040</v>
      </c>
      <c r="J11803" s="370"/>
    </row>
    <row r="11804" spans="1:11" hidden="1" outlineLevel="1" x14ac:dyDescent="0.25">
      <c r="A11804" s="999">
        <v>0.02</v>
      </c>
      <c r="B11804" t="s">
        <v>2942</v>
      </c>
      <c r="C11804" s="1007">
        <v>989.8</v>
      </c>
      <c r="D11804" s="803">
        <v>1609.5</v>
      </c>
      <c r="E11804" s="705">
        <v>0.62608607799555482</v>
      </c>
      <c r="F11804" s="1021">
        <v>1.2521721559911096E-2</v>
      </c>
      <c r="H11804" s="417" t="s">
        <v>2336</v>
      </c>
      <c r="I11804" s="256">
        <v>42948</v>
      </c>
      <c r="J11804" s="1628">
        <v>131.7843</v>
      </c>
      <c r="K11804" s="37">
        <v>0.3178430000000001</v>
      </c>
    </row>
    <row r="11805" spans="1:11" hidden="1" outlineLevel="1" x14ac:dyDescent="0.25">
      <c r="A11805" s="1002">
        <v>0.04</v>
      </c>
      <c r="B11805" s="1319" t="s">
        <v>3998</v>
      </c>
      <c r="C11805" s="1008">
        <v>35.655999999999999</v>
      </c>
      <c r="D11805" s="908">
        <v>30.06</v>
      </c>
      <c r="E11805" s="709">
        <v>-0.15694413282477004</v>
      </c>
      <c r="F11805" s="946">
        <v>-6.2777653129908019E-3</v>
      </c>
      <c r="H11805" s="417" t="s">
        <v>4000</v>
      </c>
      <c r="I11805" s="256">
        <v>42979</v>
      </c>
      <c r="J11805" s="1628">
        <v>130.76159999999999</v>
      </c>
      <c r="K11805" s="37">
        <v>0.30761599999999989</v>
      </c>
    </row>
    <row r="11806" spans="1:11" hidden="1" outlineLevel="1" x14ac:dyDescent="0.25">
      <c r="A11806" s="1002">
        <v>0.02</v>
      </c>
      <c r="B11806" s="1319" t="s">
        <v>805</v>
      </c>
      <c r="C11806" s="1008">
        <v>60.149000000000001</v>
      </c>
      <c r="D11806" s="908">
        <v>96.18</v>
      </c>
      <c r="E11806" s="709">
        <v>0.59902907779015457</v>
      </c>
      <c r="F11806" s="946">
        <v>1.1980581555803092E-2</v>
      </c>
      <c r="H11806" s="417" t="s">
        <v>806</v>
      </c>
      <c r="I11806" s="256">
        <v>43009</v>
      </c>
      <c r="J11806" s="412">
        <v>132.04390000000001</v>
      </c>
      <c r="K11806" s="37">
        <v>0.32043900000000014</v>
      </c>
    </row>
    <row r="11807" spans="1:11" hidden="1" outlineLevel="1" x14ac:dyDescent="0.25">
      <c r="A11807" s="1002">
        <v>0.03</v>
      </c>
      <c r="B11807" t="s">
        <v>5386</v>
      </c>
      <c r="C11807" s="1008">
        <v>44.47</v>
      </c>
      <c r="D11807" s="908">
        <v>57.13</v>
      </c>
      <c r="E11807" s="709">
        <v>0.28468630537440975</v>
      </c>
      <c r="F11807" s="946">
        <v>8.5405891612322926E-3</v>
      </c>
      <c r="H11807" s="417" t="s">
        <v>808</v>
      </c>
      <c r="I11807" s="256">
        <v>43040</v>
      </c>
      <c r="J11807" s="412">
        <v>133.37790000000001</v>
      </c>
      <c r="K11807" s="37">
        <v>0.33377900000000005</v>
      </c>
    </row>
    <row r="11808" spans="1:11" hidden="1" outlineLevel="1" x14ac:dyDescent="0.25">
      <c r="A11808" s="1002">
        <v>7.0000000000000007E-2</v>
      </c>
      <c r="B11808" t="s">
        <v>901</v>
      </c>
      <c r="C11808" s="1008">
        <v>22.625213474545436</v>
      </c>
      <c r="D11808" s="908">
        <v>26.87</v>
      </c>
      <c r="E11808" s="709">
        <v>0.18761310385999996</v>
      </c>
      <c r="F11808" s="946">
        <v>1.3132917270199999E-2</v>
      </c>
      <c r="H11808" s="417" t="s">
        <v>531</v>
      </c>
      <c r="I11808" s="256">
        <v>43070</v>
      </c>
      <c r="J11808" s="412">
        <v>133.28270000000001</v>
      </c>
      <c r="K11808" s="37">
        <v>0.33282699999999998</v>
      </c>
    </row>
    <row r="11809" spans="1:11" hidden="1" outlineLevel="1" x14ac:dyDescent="0.25">
      <c r="A11809" s="1002">
        <v>0.02</v>
      </c>
      <c r="B11809" t="s">
        <v>1319</v>
      </c>
      <c r="C11809" s="1008">
        <v>57.470999999999997</v>
      </c>
      <c r="D11809" s="908">
        <v>77.650000000000006</v>
      </c>
      <c r="E11809" s="709">
        <v>0.3511162151345899</v>
      </c>
      <c r="F11809" s="946">
        <v>7.0223243026917986E-3</v>
      </c>
      <c r="H11809" s="417" t="s">
        <v>1320</v>
      </c>
      <c r="I11809" s="256">
        <v>43101</v>
      </c>
      <c r="J11809" s="412">
        <v>131.21899999999999</v>
      </c>
      <c r="K11809" s="37">
        <v>0.31218999999999997</v>
      </c>
    </row>
    <row r="11810" spans="1:11" hidden="1" outlineLevel="1" x14ac:dyDescent="0.25">
      <c r="A11810" s="1002">
        <v>0.02</v>
      </c>
      <c r="B11810" s="852" t="s">
        <v>1231</v>
      </c>
      <c r="C11810" s="1008">
        <v>67.221000000000004</v>
      </c>
      <c r="D11810" s="908">
        <v>87.78</v>
      </c>
      <c r="E11810" s="709">
        <v>0.30584192439862545</v>
      </c>
      <c r="F11810" s="946">
        <v>6.1168384879725091E-3</v>
      </c>
      <c r="H11810" s="417" t="s">
        <v>2041</v>
      </c>
      <c r="I11810" s="256">
        <v>43132</v>
      </c>
      <c r="J11810" s="412">
        <v>124.8771</v>
      </c>
      <c r="K11810" s="37">
        <v>0.24877100000000008</v>
      </c>
    </row>
    <row r="11811" spans="1:11" hidden="1" outlineLevel="1" x14ac:dyDescent="0.25">
      <c r="A11811" s="1002">
        <v>0.02</v>
      </c>
      <c r="B11811" s="852" t="s">
        <v>496</v>
      </c>
      <c r="C11811" s="1008">
        <v>16.752922438425387</v>
      </c>
      <c r="D11811" s="908">
        <v>14.43</v>
      </c>
      <c r="E11811" s="709">
        <v>-0.13865774446000001</v>
      </c>
      <c r="F11811" s="946">
        <v>-2.7731548892000004E-3</v>
      </c>
      <c r="H11811" s="417" t="s">
        <v>497</v>
      </c>
      <c r="I11811" s="256">
        <v>43160</v>
      </c>
      <c r="J11811" s="412">
        <v>124.33540000000001</v>
      </c>
      <c r="K11811" s="37">
        <v>0.24335400000000007</v>
      </c>
    </row>
    <row r="11812" spans="1:11" hidden="1" outlineLevel="1" x14ac:dyDescent="0.25">
      <c r="A11812" s="1002">
        <v>0.03</v>
      </c>
      <c r="B11812" s="852" t="s">
        <v>5232</v>
      </c>
      <c r="C11812" s="1008">
        <v>68.388999999999996</v>
      </c>
      <c r="D11812" s="908">
        <v>89.19</v>
      </c>
      <c r="E11812" s="709">
        <v>0.30415710128821893</v>
      </c>
      <c r="F11812" s="946">
        <v>9.1247130386465682E-3</v>
      </c>
      <c r="H11812" s="417" t="s">
        <v>5230</v>
      </c>
      <c r="I11812" s="256">
        <v>43191</v>
      </c>
      <c r="J11812" s="412">
        <v>124.94029999999999</v>
      </c>
      <c r="K11812" s="37">
        <v>0.24940300000000004</v>
      </c>
    </row>
    <row r="11813" spans="1:11" hidden="1" outlineLevel="1" x14ac:dyDescent="0.25">
      <c r="A11813" s="1002">
        <v>0.02</v>
      </c>
      <c r="B11813" t="s">
        <v>7227</v>
      </c>
      <c r="C11813" s="1008">
        <v>15.3995</v>
      </c>
      <c r="D11813" s="908">
        <v>13.984999999999999</v>
      </c>
      <c r="E11813" s="709">
        <v>-9.185363161141602E-2</v>
      </c>
      <c r="F11813" s="946">
        <v>-1.8370726322283204E-3</v>
      </c>
      <c r="H11813" s="417" t="s">
        <v>7229</v>
      </c>
      <c r="I11813" s="256">
        <v>43221</v>
      </c>
      <c r="J11813" s="412">
        <v>122.26090000000001</v>
      </c>
      <c r="K11813" s="37">
        <v>0.22260900000000006</v>
      </c>
    </row>
    <row r="11814" spans="1:11" hidden="1" outlineLevel="1" x14ac:dyDescent="0.25">
      <c r="A11814" s="1002">
        <v>7.0000000000000007E-2</v>
      </c>
      <c r="B11814" t="s">
        <v>3799</v>
      </c>
      <c r="C11814" s="1008">
        <v>1643.3430979575101</v>
      </c>
      <c r="D11814" s="908">
        <v>1477.2</v>
      </c>
      <c r="E11814" s="709">
        <v>-0.1011006759112002</v>
      </c>
      <c r="F11814" s="946">
        <v>-7.0770473137840148E-3</v>
      </c>
      <c r="H11814" s="417" t="s">
        <v>4128</v>
      </c>
      <c r="I11814" s="256">
        <v>43252</v>
      </c>
      <c r="J11814" s="412">
        <v>123.4325</v>
      </c>
      <c r="K11814" s="37">
        <v>0.23432500000000012</v>
      </c>
    </row>
    <row r="11815" spans="1:11" hidden="1" outlineLevel="1" x14ac:dyDescent="0.25">
      <c r="A11815" s="1002">
        <v>7.0000000000000007E-2</v>
      </c>
      <c r="B11815" t="s">
        <v>3426</v>
      </c>
      <c r="C11815" s="1008">
        <v>84.777000000000001</v>
      </c>
      <c r="D11815" s="908">
        <v>133.08000000000001</v>
      </c>
      <c r="E11815" s="709">
        <v>0.56976538447928116</v>
      </c>
      <c r="F11815" s="946">
        <v>3.9883576913549684E-2</v>
      </c>
      <c r="H11815" s="417" t="s">
        <v>4145</v>
      </c>
      <c r="I11815" s="256">
        <v>43282</v>
      </c>
      <c r="J11815" s="412">
        <v>129.3519</v>
      </c>
      <c r="K11815" s="37">
        <v>0.29351900000000009</v>
      </c>
    </row>
    <row r="11816" spans="1:11" hidden="1" outlineLevel="1" x14ac:dyDescent="0.25">
      <c r="A11816" s="1002">
        <v>0.04</v>
      </c>
      <c r="B11816" t="s">
        <v>1381</v>
      </c>
      <c r="C11816" s="1008">
        <v>93.452254473376598</v>
      </c>
      <c r="D11816" s="908">
        <v>111.38</v>
      </c>
      <c r="E11816" s="709">
        <v>0.1918385557165001</v>
      </c>
      <c r="F11816" s="946">
        <v>7.6735422286600043E-3</v>
      </c>
      <c r="H11816" s="417" t="s">
        <v>1383</v>
      </c>
      <c r="I11816" s="256">
        <v>43313</v>
      </c>
      <c r="J11816" s="412">
        <v>127.48260000000001</v>
      </c>
      <c r="K11816" s="37">
        <v>0.27482600000000001</v>
      </c>
    </row>
    <row r="11817" spans="1:11" hidden="1" outlineLevel="1" x14ac:dyDescent="0.25">
      <c r="A11817" s="1002">
        <v>0.02</v>
      </c>
      <c r="B11817" t="s">
        <v>816</v>
      </c>
      <c r="C11817" s="1008">
        <v>98.566999999999993</v>
      </c>
      <c r="D11817" s="908">
        <v>178.78</v>
      </c>
      <c r="E11817" s="709">
        <v>0.81379163411689515</v>
      </c>
      <c r="F11817" s="946">
        <v>1.6275832682337902E-2</v>
      </c>
      <c r="H11817" s="417" t="s">
        <v>817</v>
      </c>
      <c r="I11817" s="256">
        <v>43344</v>
      </c>
      <c r="J11817" s="412">
        <v>128.77680000000001</v>
      </c>
      <c r="K11817" s="37">
        <v>0.28776800000000002</v>
      </c>
    </row>
    <row r="11818" spans="1:11" hidden="1" outlineLevel="1" x14ac:dyDescent="0.25">
      <c r="A11818" s="1002">
        <v>0.03</v>
      </c>
      <c r="B11818" t="s">
        <v>1905</v>
      </c>
      <c r="C11818" s="1008">
        <v>47.674999999999997</v>
      </c>
      <c r="D11818" s="908">
        <v>74.430000000000007</v>
      </c>
      <c r="E11818" s="709">
        <v>0.56119559517566886</v>
      </c>
      <c r="F11818" s="946">
        <v>1.6835867855270064E-2</v>
      </c>
      <c r="H11818" s="417" t="s">
        <v>504</v>
      </c>
      <c r="I11818" s="256">
        <v>43374</v>
      </c>
      <c r="J11818" s="412">
        <v>126.9748</v>
      </c>
      <c r="K11818" s="37">
        <v>0.2697480000000001</v>
      </c>
    </row>
    <row r="11819" spans="1:11" hidden="1" outlineLevel="1" x14ac:dyDescent="0.25">
      <c r="A11819" s="1002">
        <v>0.02</v>
      </c>
      <c r="B11819" t="s">
        <v>1039</v>
      </c>
      <c r="C11819" s="1008">
        <v>62.225000000000001</v>
      </c>
      <c r="D11819" s="908">
        <v>86.44</v>
      </c>
      <c r="E11819" s="709">
        <v>0.38915226998794683</v>
      </c>
      <c r="F11819" s="946">
        <v>7.7830453997589366E-3</v>
      </c>
      <c r="H11819" s="417" t="s">
        <v>8872</v>
      </c>
      <c r="I11819" s="256">
        <v>43405</v>
      </c>
      <c r="J11819" s="412">
        <v>128.8142</v>
      </c>
      <c r="K11819" s="37">
        <v>0.2881419999999999</v>
      </c>
    </row>
    <row r="11820" spans="1:11" hidden="1" outlineLevel="1" x14ac:dyDescent="0.25">
      <c r="A11820" s="1002">
        <v>0.04</v>
      </c>
      <c r="B11820" t="s">
        <v>2787</v>
      </c>
      <c r="C11820" s="1008">
        <v>67.03</v>
      </c>
      <c r="D11820" s="908">
        <v>86.5</v>
      </c>
      <c r="E11820" s="709">
        <v>0.29046695509473364</v>
      </c>
      <c r="F11820" s="946">
        <v>1.1618678203789345E-2</v>
      </c>
      <c r="H11820" s="417" t="s">
        <v>8874</v>
      </c>
      <c r="I11820" s="256">
        <v>43435</v>
      </c>
      <c r="J11820" s="412">
        <v>120.5932</v>
      </c>
      <c r="K11820" s="37">
        <v>0.205932</v>
      </c>
    </row>
    <row r="11821" spans="1:11" hidden="1" outlineLevel="1" x14ac:dyDescent="0.25">
      <c r="A11821" s="1002">
        <v>7.0000000000000007E-2</v>
      </c>
      <c r="B11821" t="s">
        <v>4273</v>
      </c>
      <c r="C11821" s="1008">
        <v>1447</v>
      </c>
      <c r="D11821" s="908">
        <v>2605.5</v>
      </c>
      <c r="E11821" s="709">
        <v>0.80062197650310996</v>
      </c>
      <c r="F11821" s="946">
        <v>5.6043538355217699E-2</v>
      </c>
      <c r="H11821" s="417" t="s">
        <v>82</v>
      </c>
      <c r="I11821" s="256">
        <v>43466</v>
      </c>
      <c r="J11821" s="412">
        <v>124.3218</v>
      </c>
      <c r="K11821" s="37">
        <v>0.24321799999999993</v>
      </c>
    </row>
    <row r="11822" spans="1:11" hidden="1" outlineLevel="1" x14ac:dyDescent="0.25">
      <c r="A11822" s="1002">
        <v>0.02</v>
      </c>
      <c r="B11822" t="s">
        <v>1204</v>
      </c>
      <c r="C11822" s="1008">
        <v>81.903000000000006</v>
      </c>
      <c r="D11822" s="908">
        <v>112.67</v>
      </c>
      <c r="E11822" s="709">
        <v>0.37565168553044437</v>
      </c>
      <c r="F11822" s="946">
        <v>7.5130337106088874E-3</v>
      </c>
      <c r="H11822" s="417" t="s">
        <v>9047</v>
      </c>
      <c r="I11822" s="412" t="s">
        <v>2465</v>
      </c>
      <c r="K11822" s="261">
        <v>0.27701716666666665</v>
      </c>
    </row>
    <row r="11823" spans="1:11" hidden="1" outlineLevel="1" x14ac:dyDescent="0.25">
      <c r="A11823" s="1002">
        <v>0.02</v>
      </c>
      <c r="B11823" t="s">
        <v>1414</v>
      </c>
      <c r="C11823" s="1008">
        <v>28.792000000000002</v>
      </c>
      <c r="D11823" s="908">
        <v>42.45</v>
      </c>
      <c r="E11823" s="709">
        <v>0.47436787996665752</v>
      </c>
      <c r="F11823" s="946">
        <v>9.4873575993331509E-3</v>
      </c>
      <c r="H11823" s="417" t="s">
        <v>2428</v>
      </c>
      <c r="K11823" s="424"/>
    </row>
    <row r="11824" spans="1:11" hidden="1" outlineLevel="1" x14ac:dyDescent="0.25">
      <c r="A11824" s="1002">
        <v>0.02</v>
      </c>
      <c r="B11824" t="s">
        <v>3793</v>
      </c>
      <c r="C11824" s="1008">
        <v>91.331000000000003</v>
      </c>
      <c r="D11824" s="908">
        <v>76.72</v>
      </c>
      <c r="E11824" s="709">
        <v>-0.15997853959772701</v>
      </c>
      <c r="F11824" s="946">
        <v>-3.1995707919545402E-3</v>
      </c>
      <c r="H11824" s="417" t="s">
        <v>3533</v>
      </c>
      <c r="K11824" s="434"/>
    </row>
    <row r="11825" spans="1:11" hidden="1" outlineLevel="1" x14ac:dyDescent="0.25">
      <c r="A11825" s="1002">
        <v>0.06</v>
      </c>
      <c r="B11825" t="s">
        <v>3023</v>
      </c>
      <c r="C11825" s="1008">
        <v>77.885999999999996</v>
      </c>
      <c r="D11825" s="908">
        <v>96.47</v>
      </c>
      <c r="E11825" s="709">
        <v>0.23860514084687878</v>
      </c>
      <c r="F11825" s="946">
        <v>1.4316308450812727E-2</v>
      </c>
      <c r="H11825" s="417" t="s">
        <v>2815</v>
      </c>
      <c r="K11825" s="434"/>
    </row>
    <row r="11826" spans="1:11" hidden="1" outlineLevel="1" x14ac:dyDescent="0.25">
      <c r="A11826" s="1002">
        <v>0.02</v>
      </c>
      <c r="B11826" t="s">
        <v>1187</v>
      </c>
      <c r="C11826" s="1008">
        <v>80.450999999999993</v>
      </c>
      <c r="D11826" s="908">
        <v>75.819999999999993</v>
      </c>
      <c r="E11826" s="709">
        <v>-5.7562988651477354E-2</v>
      </c>
      <c r="F11826" s="946">
        <v>-1.151259773029547E-3</v>
      </c>
      <c r="H11826" s="417" t="s">
        <v>3483</v>
      </c>
      <c r="K11826" s="434"/>
    </row>
    <row r="11827" spans="1:11" hidden="1" outlineLevel="1" x14ac:dyDescent="0.25">
      <c r="A11827" s="1002">
        <v>0.03</v>
      </c>
      <c r="B11827" t="s">
        <v>4460</v>
      </c>
      <c r="C11827" s="1008">
        <v>1812.2</v>
      </c>
      <c r="D11827" s="908">
        <v>1998.5</v>
      </c>
      <c r="E11827" s="709">
        <v>0.10280322260236163</v>
      </c>
      <c r="F11827" s="946">
        <v>3.0840966780708487E-3</v>
      </c>
      <c r="H11827" s="417" t="s">
        <v>3485</v>
      </c>
      <c r="K11827" s="434"/>
    </row>
    <row r="11828" spans="1:11" hidden="1" outlineLevel="1" x14ac:dyDescent="0.25">
      <c r="A11828" s="1002">
        <v>0.02</v>
      </c>
      <c r="B11828" t="s">
        <v>1857</v>
      </c>
      <c r="C11828" s="1008">
        <v>1515.9</v>
      </c>
      <c r="D11828" s="908">
        <v>1170</v>
      </c>
      <c r="E11828" s="709">
        <v>-0.22818127844844649</v>
      </c>
      <c r="F11828" s="946">
        <v>-4.5636255689689301E-3</v>
      </c>
      <c r="H11828" s="417" t="s">
        <v>3559</v>
      </c>
      <c r="K11828" s="434"/>
    </row>
    <row r="11829" spans="1:11" hidden="1" outlineLevel="1" x14ac:dyDescent="0.25">
      <c r="A11829" s="1002">
        <v>7.0000000000000007E-2</v>
      </c>
      <c r="B11829" t="s">
        <v>1239</v>
      </c>
      <c r="C11829" s="1008">
        <v>403.53</v>
      </c>
      <c r="D11829" s="908">
        <v>476</v>
      </c>
      <c r="E11829" s="709">
        <v>0.17959011721557272</v>
      </c>
      <c r="F11829" s="946">
        <v>1.2571308205090092E-2</v>
      </c>
      <c r="H11829" s="417" t="s">
        <v>8891</v>
      </c>
      <c r="K11829" s="434"/>
    </row>
    <row r="11830" spans="1:11" hidden="1" outlineLevel="1" x14ac:dyDescent="0.25">
      <c r="A11830" s="1002">
        <v>0.04</v>
      </c>
      <c r="B11830" t="s">
        <v>434</v>
      </c>
      <c r="C11830" s="1008">
        <v>43.973999999999997</v>
      </c>
      <c r="D11830" s="908">
        <v>39.380000000000003</v>
      </c>
      <c r="E11830" s="709">
        <v>-0.10447082366853133</v>
      </c>
      <c r="F11830" s="946">
        <v>-4.1788329467412535E-3</v>
      </c>
      <c r="H11830" s="417" t="s">
        <v>7745</v>
      </c>
      <c r="K11830" s="434"/>
    </row>
    <row r="11831" spans="1:11" hidden="1" outlineLevel="1" x14ac:dyDescent="0.25">
      <c r="A11831" s="1002">
        <v>0.02</v>
      </c>
      <c r="B11831" t="s">
        <v>507</v>
      </c>
      <c r="C11831" s="1008">
        <v>30.338999991579406</v>
      </c>
      <c r="D11831" s="908">
        <v>46.645000000000003</v>
      </c>
      <c r="E11831" s="709">
        <v>0.53746003536525033</v>
      </c>
      <c r="F11831" s="946">
        <v>1.0749200707305007E-2</v>
      </c>
      <c r="H11831" s="417" t="s">
        <v>2810</v>
      </c>
      <c r="K11831" s="434"/>
    </row>
    <row r="11832" spans="1:11" hidden="1" outlineLevel="1" x14ac:dyDescent="0.25">
      <c r="A11832" s="1004">
        <v>0.03</v>
      </c>
      <c r="B11832" t="s">
        <v>579</v>
      </c>
      <c r="C11832" s="1009">
        <v>188.9592096010407</v>
      </c>
      <c r="D11832" s="715">
        <v>138.58000000000001</v>
      </c>
      <c r="E11832" s="716">
        <v>-0.26661420582467987</v>
      </c>
      <c r="F11832" s="1023">
        <v>-7.9984261747403952E-3</v>
      </c>
      <c r="H11832" s="417" t="s">
        <v>3611</v>
      </c>
      <c r="K11832" s="434"/>
    </row>
    <row r="11833" spans="1:11" hidden="1" outlineLevel="1" x14ac:dyDescent="0.25">
      <c r="A11833" s="1002" t="s">
        <v>2734</v>
      </c>
      <c r="B11833" s="1898"/>
      <c r="C11833" s="1084"/>
      <c r="D11833" s="798"/>
      <c r="E11833" s="709" t="s">
        <v>4577</v>
      </c>
      <c r="F11833" s="1666">
        <v>0.2432183169626238</v>
      </c>
      <c r="H11833" s="432"/>
    </row>
    <row r="11834" spans="1:11" collapsed="1" x14ac:dyDescent="0.25">
      <c r="A11834" s="3801" t="s">
        <v>5622</v>
      </c>
      <c r="B11834" s="3802"/>
      <c r="C11834" s="3802"/>
      <c r="D11834" s="3802"/>
      <c r="E11834" s="1892"/>
      <c r="F11834" s="1893">
        <v>0.20776287499999999</v>
      </c>
    </row>
    <row r="11835" spans="1:11" x14ac:dyDescent="0.25">
      <c r="A11835" t="s">
        <v>2734</v>
      </c>
    </row>
    <row r="11836" spans="1:11" hidden="1" outlineLevel="1" x14ac:dyDescent="0.25">
      <c r="A11836" s="2666" t="s">
        <v>113</v>
      </c>
      <c r="B11836" s="2666" t="s">
        <v>114</v>
      </c>
      <c r="C11836" s="2666" t="s">
        <v>112</v>
      </c>
      <c r="D11836" s="2666" t="s">
        <v>116</v>
      </c>
      <c r="E11836" s="2666" t="s">
        <v>117</v>
      </c>
      <c r="F11836" s="2667" t="s">
        <v>121</v>
      </c>
      <c r="G11836" s="78"/>
    </row>
    <row r="11837" spans="1:11" hidden="1" outlineLevel="1" x14ac:dyDescent="0.25">
      <c r="A11837" s="2668">
        <v>1</v>
      </c>
      <c r="B11837" s="2669" t="s">
        <v>252</v>
      </c>
      <c r="C11837" s="2670">
        <v>100</v>
      </c>
      <c r="D11837" s="2670"/>
      <c r="E11837" s="2671"/>
      <c r="F11837" s="2672"/>
      <c r="G11837" s="78"/>
    </row>
    <row r="11838" spans="1:11" hidden="1" outlineLevel="1" x14ac:dyDescent="0.25">
      <c r="A11838" s="2673" t="s">
        <v>2734</v>
      </c>
      <c r="B11838" s="2673"/>
      <c r="C11838" s="2674"/>
      <c r="D11838" s="1900" t="s">
        <v>3702</v>
      </c>
      <c r="E11838" s="2675">
        <v>43830</v>
      </c>
      <c r="F11838" s="2676"/>
      <c r="G11838" s="78"/>
    </row>
    <row r="11839" spans="1:11" ht="14.4" hidden="1" outlineLevel="1" x14ac:dyDescent="0.3">
      <c r="A11839" s="2666" t="s">
        <v>4156</v>
      </c>
      <c r="B11839" s="2677" t="s">
        <v>4153</v>
      </c>
      <c r="C11839" s="2678" t="s">
        <v>112</v>
      </c>
      <c r="D11839" s="2677" t="s">
        <v>116</v>
      </c>
      <c r="E11839" s="2677" t="s">
        <v>4154</v>
      </c>
      <c r="F11839" s="2679" t="s">
        <v>2519</v>
      </c>
      <c r="G11839" s="78"/>
      <c r="H11839" s="1559"/>
    </row>
    <row r="11840" spans="1:11" hidden="1" outlineLevel="1" x14ac:dyDescent="0.25">
      <c r="A11840" s="2220">
        <v>0.05</v>
      </c>
      <c r="B11840" s="2089" t="s">
        <v>872</v>
      </c>
      <c r="C11840" s="2680">
        <v>3.8963999999999999</v>
      </c>
      <c r="D11840" s="2681">
        <v>5.5444000000000004</v>
      </c>
      <c r="E11840" s="2682">
        <v>0.42295452212298557</v>
      </c>
      <c r="F11840" s="2683">
        <v>2.1147726106149279E-2</v>
      </c>
      <c r="G11840" s="78"/>
      <c r="H11840" s="417" t="str">
        <f>VLOOKUP(B11840,indexy!$A$44:$D$823,3,FALSE)</f>
        <v>BA/ LN Equity</v>
      </c>
    </row>
    <row r="11841" spans="1:8" hidden="1" outlineLevel="1" x14ac:dyDescent="0.25">
      <c r="A11841" s="2220">
        <v>0.02</v>
      </c>
      <c r="B11841" s="1921" t="s">
        <v>51</v>
      </c>
      <c r="C11841" s="2684">
        <v>31.739000000000001</v>
      </c>
      <c r="D11841" s="2685">
        <v>37.064</v>
      </c>
      <c r="E11841" s="2686">
        <v>0.16777466208765235</v>
      </c>
      <c r="F11841" s="2687">
        <v>3.355493241753047E-3</v>
      </c>
      <c r="G11841" s="78"/>
      <c r="H11841" s="417" t="str">
        <f>VLOOKUP(B11841,indexy!$A$44:$D$823,3,FALSE)</f>
        <v>SGO FP Equity</v>
      </c>
    </row>
    <row r="11842" spans="1:8" hidden="1" outlineLevel="1" x14ac:dyDescent="0.25">
      <c r="A11842" s="2220">
        <v>0.05</v>
      </c>
      <c r="B11842" s="2099" t="s">
        <v>5634</v>
      </c>
      <c r="C11842" s="2684">
        <v>36.101999999999997</v>
      </c>
      <c r="D11842" s="2685">
        <v>4.6040000000000001</v>
      </c>
      <c r="E11842" s="2686">
        <v>-0.87247243920004425</v>
      </c>
      <c r="F11842" s="2687">
        <v>-4.3623621960002218E-2</v>
      </c>
      <c r="G11842" s="78"/>
      <c r="H11842" s="417" t="str">
        <f>VLOOKUP(B11842,indexy!$A$44:$D$823,3,FALSE)</f>
        <v>CPG CT Equity</v>
      </c>
    </row>
    <row r="11843" spans="1:8" hidden="1" outlineLevel="1" x14ac:dyDescent="0.25">
      <c r="A11843" s="2220">
        <v>0.05</v>
      </c>
      <c r="B11843" s="1929" t="s">
        <v>2629</v>
      </c>
      <c r="C11843" s="2684">
        <v>8.8076000000000008</v>
      </c>
      <c r="D11843" s="2685">
        <v>14.986000000000001</v>
      </c>
      <c r="E11843" s="2686">
        <v>0.7</v>
      </c>
      <c r="F11843" s="2687">
        <v>3.4999999999999996E-2</v>
      </c>
      <c r="G11843" s="78"/>
      <c r="H11843" s="417" t="str">
        <f>VLOOKUP(B11843,indexy!$A$44:$D$823,3,FALSE)</f>
        <v>DTE GY Equity</v>
      </c>
    </row>
    <row r="11844" spans="1:8" hidden="1" outlineLevel="1" x14ac:dyDescent="0.25">
      <c r="A11844" s="2220">
        <v>7.0000000000000007E-2</v>
      </c>
      <c r="B11844" s="2688" t="s">
        <v>4338</v>
      </c>
      <c r="C11844" s="2684">
        <v>15.513</v>
      </c>
      <c r="D11844" s="2685">
        <v>14.351000000000001</v>
      </c>
      <c r="E11844" s="2686">
        <v>-7.4904918455488856E-2</v>
      </c>
      <c r="F11844" s="2687">
        <v>-5.2433442918842204E-3</v>
      </c>
      <c r="G11844" s="78"/>
      <c r="H11844" s="417" t="str">
        <f>VLOOKUP(B11844,indexy!$A$44:$D$823,3,FALSE)</f>
        <v>ENGI FP Equity</v>
      </c>
    </row>
    <row r="11845" spans="1:8" hidden="1" outlineLevel="1" x14ac:dyDescent="0.25">
      <c r="A11845" s="2220">
        <v>0.05</v>
      </c>
      <c r="B11845" s="2225" t="s">
        <v>2920</v>
      </c>
      <c r="C11845" s="2684">
        <v>24.98</v>
      </c>
      <c r="D11845" s="2685">
        <v>56.527999999999999</v>
      </c>
      <c r="E11845" s="2686">
        <v>0.7</v>
      </c>
      <c r="F11845" s="2687">
        <v>3.4999999999999996E-2</v>
      </c>
      <c r="G11845" s="78"/>
      <c r="H11845" s="417" t="str">
        <f>VLOOKUP(B11845,indexy!$A$44:$D$823,3,FALSE)</f>
        <v>INTC UW Equity</v>
      </c>
    </row>
    <row r="11846" spans="1:8" hidden="1" outlineLevel="1" x14ac:dyDescent="0.25">
      <c r="A11846" s="2220">
        <v>0.04</v>
      </c>
      <c r="B11846" s="1921" t="s">
        <v>5631</v>
      </c>
      <c r="C11846" s="2684">
        <v>667.4</v>
      </c>
      <c r="D11846" s="2685">
        <v>820.92</v>
      </c>
      <c r="E11846" s="2686">
        <v>0.23002697033263408</v>
      </c>
      <c r="F11846" s="2687">
        <v>9.2010788133053637E-3</v>
      </c>
      <c r="G11846" s="78"/>
      <c r="H11846" s="417" t="str">
        <f>VLOOKUP(B11846,indexy!$A$44:$D$823,3,FALSE)</f>
        <v>8002 JT Equity</v>
      </c>
    </row>
    <row r="11847" spans="1:8" hidden="1" outlineLevel="1" x14ac:dyDescent="0.25">
      <c r="A11847" s="2220">
        <v>0.06</v>
      </c>
      <c r="B11847" s="2099" t="s">
        <v>8336</v>
      </c>
      <c r="C11847" s="2684">
        <v>27.7254</v>
      </c>
      <c r="D11847" s="2685">
        <v>25.41</v>
      </c>
      <c r="E11847" s="2686">
        <v>-8.3511869982038189E-2</v>
      </c>
      <c r="F11847" s="2687">
        <v>-5.0107121989222915E-3</v>
      </c>
      <c r="G11847" s="78"/>
      <c r="H11847" s="417" t="str">
        <f>VLOOKUP(B11847,indexy!$A$44:$D$823,3,FALSE)</f>
        <v>NAB AT Equity</v>
      </c>
    </row>
    <row r="11848" spans="1:8" hidden="1" outlineLevel="1" x14ac:dyDescent="0.25">
      <c r="A11848" s="2220">
        <v>0.02</v>
      </c>
      <c r="B11848" s="2689" t="s">
        <v>9767</v>
      </c>
      <c r="C11848" s="2684">
        <v>15.939</v>
      </c>
      <c r="D11848" s="2685">
        <v>22.92</v>
      </c>
      <c r="E11848" s="2686">
        <v>0.4379823075475251</v>
      </c>
      <c r="F11848" s="2687">
        <v>8.7596461509505015E-3</v>
      </c>
      <c r="G11848" s="78"/>
      <c r="H11848" s="417" t="str">
        <f>VLOOKUP(B11848,indexy!$A$44:$D$823,3,FALSE)</f>
        <v>NTGY SQ Equity</v>
      </c>
    </row>
    <row r="11849" spans="1:8" hidden="1" outlineLevel="1" x14ac:dyDescent="0.25">
      <c r="A11849" s="2220">
        <v>0.05</v>
      </c>
      <c r="B11849" s="2689" t="s">
        <v>1040</v>
      </c>
      <c r="C11849" s="2684">
        <v>2439</v>
      </c>
      <c r="D11849" s="2685">
        <v>5582.6</v>
      </c>
      <c r="E11849" s="2686">
        <v>0.7</v>
      </c>
      <c r="F11849" s="2687">
        <v>3.4999999999999996E-2</v>
      </c>
      <c r="G11849" s="78"/>
      <c r="H11849" s="417" t="str">
        <f>VLOOKUP(B11849,indexy!$A$44:$D$823,3,FALSE)</f>
        <v>9432 JT Equity</v>
      </c>
    </row>
    <row r="11850" spans="1:8" hidden="1" outlineLevel="1" x14ac:dyDescent="0.25">
      <c r="A11850" s="2220">
        <v>0.05</v>
      </c>
      <c r="B11850" s="2689" t="s">
        <v>4273</v>
      </c>
      <c r="C11850" s="2684">
        <v>1433.4</v>
      </c>
      <c r="D11850" s="2685">
        <v>3001</v>
      </c>
      <c r="E11850" s="2686">
        <v>0.7</v>
      </c>
      <c r="F11850" s="2687">
        <v>3.4999999999999996E-2</v>
      </c>
      <c r="G11850" s="78"/>
      <c r="H11850" s="417" t="str">
        <f>VLOOKUP(B11850,indexy!$A$44:$D$823,3,FALSE)</f>
        <v>9437 JT Equity</v>
      </c>
    </row>
    <row r="11851" spans="1:8" hidden="1" outlineLevel="1" x14ac:dyDescent="0.25">
      <c r="A11851" s="2220">
        <v>7.0000000000000007E-2</v>
      </c>
      <c r="B11851" s="2099" t="s">
        <v>5824</v>
      </c>
      <c r="C11851" s="2684">
        <v>7.4926000000000004</v>
      </c>
      <c r="D11851" s="2685">
        <v>13.92</v>
      </c>
      <c r="E11851" s="2686">
        <v>0.7</v>
      </c>
      <c r="F11851" s="2687">
        <v>4.9000000000000002E-2</v>
      </c>
      <c r="G11851" s="78"/>
      <c r="H11851" s="417" t="str">
        <f>VLOOKUP(B11851,indexy!$A$44:$D$823,3,FALSE)</f>
        <v>ORA FP Equity</v>
      </c>
    </row>
    <row r="11852" spans="1:8" hidden="1" outlineLevel="1" x14ac:dyDescent="0.25">
      <c r="A11852" s="2220">
        <v>0.05</v>
      </c>
      <c r="B11852" s="2689" t="s">
        <v>3056</v>
      </c>
      <c r="C11852" s="2684">
        <v>14.866</v>
      </c>
      <c r="D11852" s="2685">
        <v>12.332000000000001</v>
      </c>
      <c r="E11852" s="2686">
        <v>-0.1704560742634198</v>
      </c>
      <c r="F11852" s="2687">
        <v>-8.5228037131709899E-3</v>
      </c>
      <c r="G11852" s="78"/>
      <c r="H11852" s="417" t="str">
        <f>VLOOKUP(B11852,indexy!$A$44:$D$823,3,FALSE)</f>
        <v>QBE AT Equity</v>
      </c>
    </row>
    <row r="11853" spans="1:8" hidden="1" outlineLevel="1" x14ac:dyDescent="0.25">
      <c r="A11853" s="2220">
        <v>0.02</v>
      </c>
      <c r="B11853" s="2689" t="s">
        <v>5629</v>
      </c>
      <c r="C11853" s="2684">
        <v>10.4998</v>
      </c>
      <c r="D11853" s="2685">
        <v>17.463999999999999</v>
      </c>
      <c r="E11853" s="2686">
        <v>0.66326977656717245</v>
      </c>
      <c r="F11853" s="2687">
        <v>1.3265395531343449E-2</v>
      </c>
      <c r="G11853" s="78"/>
      <c r="H11853" s="417" t="str">
        <f>VLOOKUP(B11853,indexy!$A$44:$D$823,3,FALSE)</f>
        <v>REE SQ Equity</v>
      </c>
    </row>
    <row r="11854" spans="1:8" hidden="1" outlineLevel="1" x14ac:dyDescent="0.25">
      <c r="A11854" s="2220">
        <v>0.05</v>
      </c>
      <c r="B11854" s="2689" t="s">
        <v>5519</v>
      </c>
      <c r="C11854" s="2684">
        <v>3.702</v>
      </c>
      <c r="D11854" s="2685">
        <v>2.149</v>
      </c>
      <c r="E11854" s="2686">
        <v>-0.41950297136682868</v>
      </c>
      <c r="F11854" s="2687">
        <v>-2.0975148568341435E-2</v>
      </c>
      <c r="G11854" s="78"/>
      <c r="H11854" s="417" t="str">
        <f>VLOOKUP(B11854,indexy!$A$44:$D$823,3,FALSE)</f>
        <v>SBRY LN Equity</v>
      </c>
    </row>
    <row r="11855" spans="1:8" hidden="1" outlineLevel="1" x14ac:dyDescent="0.25">
      <c r="A11855" s="2220">
        <v>0.06</v>
      </c>
      <c r="B11855" s="1921" t="s">
        <v>4460</v>
      </c>
      <c r="C11855" s="2684">
        <v>17.66</v>
      </c>
      <c r="D11855" s="2685">
        <v>22.224</v>
      </c>
      <c r="E11855" s="2686">
        <v>0.25843714609286517</v>
      </c>
      <c r="F11855" s="2687">
        <v>1.550622876557191E-2</v>
      </c>
      <c r="G11855" s="78"/>
      <c r="H11855" s="417" t="str">
        <f>VLOOKUP(B11855,indexy!$A$44:$D$823,3,FALSE)</f>
        <v>SVT LN Equity</v>
      </c>
    </row>
    <row r="11856" spans="1:8" hidden="1" outlineLevel="1" x14ac:dyDescent="0.25">
      <c r="A11856" s="2220">
        <v>0.05</v>
      </c>
      <c r="B11856" s="2689" t="s">
        <v>1724</v>
      </c>
      <c r="C11856" s="2684">
        <v>155.6</v>
      </c>
      <c r="D11856" s="2685">
        <v>123.14</v>
      </c>
      <c r="E11856" s="2686">
        <v>-0.20861182519280197</v>
      </c>
      <c r="F11856" s="2687">
        <v>-1.0430591259640099E-2</v>
      </c>
      <c r="G11856" s="78"/>
      <c r="H11856" s="417" t="str">
        <f>VLOOKUP(B11856,indexy!$A$44:$D$823,3,FALSE)</f>
        <v>SWEDA SS Equity</v>
      </c>
    </row>
    <row r="11857" spans="1:17" hidden="1" outlineLevel="1" x14ac:dyDescent="0.25">
      <c r="A11857" s="2220">
        <v>7.0000000000000007E-2</v>
      </c>
      <c r="B11857" s="2689" t="s">
        <v>3169</v>
      </c>
      <c r="C11857" s="2684">
        <v>14.891999999999999</v>
      </c>
      <c r="D11857" s="2685">
        <v>24.488</v>
      </c>
      <c r="E11857" s="2686">
        <v>0.64437281762019882</v>
      </c>
      <c r="F11857" s="2687">
        <v>4.5106097233413925E-2</v>
      </c>
      <c r="G11857" s="78"/>
      <c r="H11857" s="417" t="str">
        <f>VLOOKUP(B11857,indexy!$A$44:$D$823,3,FALSE)</f>
        <v>VIV FP Equity</v>
      </c>
    </row>
    <row r="11858" spans="1:17" hidden="1" outlineLevel="1" x14ac:dyDescent="0.25">
      <c r="A11858" s="2220">
        <v>7.0000000000000007E-2</v>
      </c>
      <c r="B11858" s="2689" t="s">
        <v>579</v>
      </c>
      <c r="C11858" s="2684">
        <v>1.8609</v>
      </c>
      <c r="D11858" s="2685">
        <v>1.4578</v>
      </c>
      <c r="E11858" s="2686">
        <v>-0.21661561609973667</v>
      </c>
      <c r="F11858" s="2687">
        <v>-1.5163093126981568E-2</v>
      </c>
      <c r="G11858" s="78"/>
      <c r="H11858" s="417" t="str">
        <f>VLOOKUP(B11858,indexy!$A$44:$D$823,3,FALSE)</f>
        <v>VOD LN Equity</v>
      </c>
    </row>
    <row r="11859" spans="1:17" hidden="1" outlineLevel="1" x14ac:dyDescent="0.25">
      <c r="A11859" s="2220">
        <v>0.05</v>
      </c>
      <c r="B11859" s="2109" t="s">
        <v>5626</v>
      </c>
      <c r="C11859" s="2690">
        <v>28.422999999999998</v>
      </c>
      <c r="D11859" s="2691">
        <v>24.306000000000001</v>
      </c>
      <c r="E11859" s="2692">
        <v>-0.14484748267248349</v>
      </c>
      <c r="F11859" s="2693">
        <v>-7.2423741336241744E-3</v>
      </c>
      <c r="G11859" s="78"/>
      <c r="H11859" s="417" t="str">
        <f>VLOOKUP(B11859,indexy!$A$44:$D$823,3,FALSE)</f>
        <v>WBC AT Equity</v>
      </c>
    </row>
    <row r="11860" spans="1:17" hidden="1" outlineLevel="1" x14ac:dyDescent="0.25">
      <c r="A11860" s="2228" t="s">
        <v>2734</v>
      </c>
      <c r="B11860" s="2190"/>
      <c r="C11860" s="2694"/>
      <c r="D11860" s="2694"/>
      <c r="E11860" s="2695"/>
      <c r="F11860" s="2693">
        <v>0.191</v>
      </c>
      <c r="G11860" s="78"/>
    </row>
    <row r="11861" spans="1:17" collapsed="1" x14ac:dyDescent="0.25">
      <c r="A11861" s="3801" t="s">
        <v>5623</v>
      </c>
      <c r="B11861" s="3802"/>
      <c r="C11861" s="3802"/>
      <c r="D11861" s="3802"/>
      <c r="E11861" s="1906"/>
      <c r="F11861" s="1907">
        <v>9.5500000000000002E-2</v>
      </c>
      <c r="G11861" s="78"/>
    </row>
    <row r="11862" spans="1:17" x14ac:dyDescent="0.25">
      <c r="A11862" t="s">
        <v>2734</v>
      </c>
    </row>
    <row r="11863" spans="1:17" hidden="1" outlineLevel="1" x14ac:dyDescent="0.25">
      <c r="A11863" s="1775" t="s">
        <v>113</v>
      </c>
      <c r="B11863" s="1775" t="s">
        <v>114</v>
      </c>
      <c r="C11863" s="1775" t="s">
        <v>112</v>
      </c>
      <c r="D11863" s="1775" t="s">
        <v>116</v>
      </c>
      <c r="E11863" s="1775" t="s">
        <v>117</v>
      </c>
      <c r="F11863" s="1860" t="s">
        <v>121</v>
      </c>
    </row>
    <row r="11864" spans="1:17" hidden="1" outlineLevel="1" x14ac:dyDescent="0.25">
      <c r="A11864" s="1776"/>
      <c r="B11864" s="1777" t="s">
        <v>252</v>
      </c>
      <c r="C11864" s="1778">
        <v>100</v>
      </c>
      <c r="D11864" s="1778"/>
      <c r="E11864" s="1779"/>
      <c r="F11864" s="1780"/>
    </row>
    <row r="11865" spans="1:17" hidden="1" outlineLevel="1" x14ac:dyDescent="0.25">
      <c r="A11865" s="1781" t="s">
        <v>2734</v>
      </c>
      <c r="B11865" s="1781"/>
      <c r="C11865" s="1782"/>
      <c r="D11865" s="697" t="s">
        <v>3702</v>
      </c>
      <c r="E11865" s="1783">
        <v>43524</v>
      </c>
      <c r="F11865" s="1784"/>
    </row>
    <row r="11866" spans="1:17" ht="26.4" hidden="1" outlineLevel="1" x14ac:dyDescent="0.25">
      <c r="A11866" s="1775" t="s">
        <v>4156</v>
      </c>
      <c r="B11866" s="1775" t="s">
        <v>4153</v>
      </c>
      <c r="C11866" s="1785" t="s">
        <v>5271</v>
      </c>
      <c r="D11866" s="1786" t="s">
        <v>4155</v>
      </c>
      <c r="E11866" s="1775" t="s">
        <v>4154</v>
      </c>
      <c r="F11866" s="1874" t="s">
        <v>2519</v>
      </c>
    </row>
    <row r="11867" spans="1:17" hidden="1" outlineLevel="1" x14ac:dyDescent="0.25">
      <c r="A11867" s="999">
        <v>0.06</v>
      </c>
      <c r="B11867" s="1231" t="s">
        <v>3998</v>
      </c>
      <c r="C11867" s="1007">
        <v>34.67</v>
      </c>
      <c r="D11867" s="1787">
        <v>31.12</v>
      </c>
      <c r="E11867" s="1788">
        <v>-0.10239400057686765</v>
      </c>
      <c r="F11867" s="1874">
        <v>-6.1436400346120586E-3</v>
      </c>
      <c r="H11867" s="417" t="s">
        <v>4000</v>
      </c>
      <c r="J11867" s="466" t="s">
        <v>5661</v>
      </c>
      <c r="K11867" s="466" t="s">
        <v>5662</v>
      </c>
      <c r="L11867" s="466" t="s">
        <v>5663</v>
      </c>
      <c r="M11867" s="466" t="s">
        <v>5664</v>
      </c>
      <c r="O11867" t="s">
        <v>2040</v>
      </c>
      <c r="P11867" s="370"/>
    </row>
    <row r="11868" spans="1:17" hidden="1" outlineLevel="1" x14ac:dyDescent="0.25">
      <c r="A11868" s="1002">
        <v>0.02</v>
      </c>
      <c r="B11868" s="1231" t="s">
        <v>872</v>
      </c>
      <c r="C11868" s="1008">
        <v>439.88000000579763</v>
      </c>
      <c r="D11868" s="1789">
        <v>466</v>
      </c>
      <c r="E11868" s="1790">
        <v>5.9379830848999893E-2</v>
      </c>
      <c r="F11868" s="1876">
        <v>1.1875966169799979E-3</v>
      </c>
      <c r="H11868" s="417" t="s">
        <v>4312</v>
      </c>
      <c r="J11868" s="417">
        <v>35.58</v>
      </c>
      <c r="K11868" s="417">
        <v>35.72</v>
      </c>
      <c r="L11868" s="417">
        <v>33.32</v>
      </c>
      <c r="M11868" s="417">
        <v>34.06</v>
      </c>
      <c r="O11868" s="256">
        <v>42979</v>
      </c>
      <c r="P11868" s="1628">
        <v>121.8372</v>
      </c>
      <c r="Q11868" s="37">
        <v>0.21837200000000001</v>
      </c>
    </row>
    <row r="11869" spans="1:17" hidden="1" outlineLevel="1" x14ac:dyDescent="0.25">
      <c r="A11869" s="1002">
        <v>0.06</v>
      </c>
      <c r="B11869" s="1231" t="s">
        <v>805</v>
      </c>
      <c r="C11869" s="1008">
        <v>65.422499999999999</v>
      </c>
      <c r="D11869" s="1789">
        <v>102.62</v>
      </c>
      <c r="E11869" s="1790">
        <v>0.56857350299973253</v>
      </c>
      <c r="F11869" s="1876">
        <v>3.4114410179983949E-2</v>
      </c>
      <c r="H11869" s="417" t="s">
        <v>806</v>
      </c>
      <c r="J11869" s="417">
        <v>4.1369999999999996</v>
      </c>
      <c r="K11869" s="417">
        <v>4.4870000000000001</v>
      </c>
      <c r="L11869" s="417">
        <v>4.4119999999999999</v>
      </c>
      <c r="M11869" s="417">
        <v>4.5590000000000002</v>
      </c>
      <c r="O11869" s="256">
        <v>43009</v>
      </c>
      <c r="P11869" s="1628">
        <v>121.8779</v>
      </c>
      <c r="Q11869" s="37">
        <v>0.21877900000000006</v>
      </c>
    </row>
    <row r="11870" spans="1:17" hidden="1" outlineLevel="1" x14ac:dyDescent="0.25">
      <c r="A11870" s="1002">
        <v>0.05</v>
      </c>
      <c r="B11870" s="1231" t="s">
        <v>4377</v>
      </c>
      <c r="C11870" s="1008">
        <v>44.230000000000004</v>
      </c>
      <c r="D11870" s="1789">
        <v>51.66</v>
      </c>
      <c r="E11870" s="1790">
        <v>0.16798553018313345</v>
      </c>
      <c r="F11870" s="1876">
        <v>8.3992765091566723E-3</v>
      </c>
      <c r="H11870" s="417" t="s">
        <v>4327</v>
      </c>
      <c r="J11870" s="417">
        <v>62.02</v>
      </c>
      <c r="K11870" s="417">
        <v>63.89</v>
      </c>
      <c r="L11870" s="417">
        <v>66.599999999999994</v>
      </c>
      <c r="M11870" s="417">
        <v>69.180000000000007</v>
      </c>
      <c r="O11870" s="256">
        <v>43040</v>
      </c>
      <c r="P11870" s="412">
        <v>122.55249999999999</v>
      </c>
      <c r="Q11870" s="37">
        <v>0.22552499999999998</v>
      </c>
    </row>
    <row r="11871" spans="1:17" hidden="1" outlineLevel="1" x14ac:dyDescent="0.25">
      <c r="A11871" s="1002">
        <v>0.02</v>
      </c>
      <c r="B11871" s="1089" t="s">
        <v>901</v>
      </c>
      <c r="C11871" s="1008">
        <v>3398.1249999999995</v>
      </c>
      <c r="D11871" s="1789">
        <v>2758.5</v>
      </c>
      <c r="E11871" s="1790">
        <v>-0.18822880264851927</v>
      </c>
      <c r="F11871" s="1876">
        <v>-3.7645760529703854E-3</v>
      </c>
      <c r="H11871" s="417" t="s">
        <v>531</v>
      </c>
      <c r="J11871" s="417">
        <v>43.97</v>
      </c>
      <c r="K11871" s="417">
        <v>43.99</v>
      </c>
      <c r="L11871" s="417">
        <v>41.72</v>
      </c>
      <c r="M11871" s="417">
        <v>47.24</v>
      </c>
      <c r="O11871" s="256">
        <v>43070</v>
      </c>
      <c r="P11871" s="412">
        <v>123.1643</v>
      </c>
      <c r="Q11871" s="37">
        <v>0.23164300000000004</v>
      </c>
    </row>
    <row r="11872" spans="1:17" hidden="1" outlineLevel="1" x14ac:dyDescent="0.25">
      <c r="A11872" s="1002">
        <v>0.05</v>
      </c>
      <c r="B11872" s="1231" t="s">
        <v>939</v>
      </c>
      <c r="C11872" s="1008">
        <v>66.490000000000009</v>
      </c>
      <c r="D11872" s="1789">
        <v>67.849999999999994</v>
      </c>
      <c r="E11872" s="1790">
        <v>2.0454203639644897E-2</v>
      </c>
      <c r="F11872" s="1876">
        <v>1.0227101819822448E-3</v>
      </c>
      <c r="H11872" s="417" t="s">
        <v>2791</v>
      </c>
      <c r="J11872" s="417">
        <v>35.369999999999997</v>
      </c>
      <c r="K11872" s="417">
        <v>35.765000000000001</v>
      </c>
      <c r="L11872" s="417">
        <v>32.75</v>
      </c>
      <c r="M11872" s="417">
        <v>32.04</v>
      </c>
      <c r="O11872" s="256">
        <v>43101</v>
      </c>
      <c r="P11872" s="412">
        <v>123.11620000000001</v>
      </c>
      <c r="Q11872" s="37">
        <v>0.23116200000000009</v>
      </c>
    </row>
    <row r="11873" spans="1:17" hidden="1" outlineLevel="1" x14ac:dyDescent="0.25">
      <c r="A11873" s="1002">
        <v>0.02</v>
      </c>
      <c r="B11873" s="1791" t="s">
        <v>2699</v>
      </c>
      <c r="C11873" s="1008">
        <v>22.05</v>
      </c>
      <c r="D11873" s="1789">
        <v>27.32</v>
      </c>
      <c r="E11873" s="1790">
        <v>0.23900226757369603</v>
      </c>
      <c r="F11873" s="1876">
        <v>4.7800453514739204E-3</v>
      </c>
      <c r="H11873" s="417" t="s">
        <v>505</v>
      </c>
      <c r="J11873" s="417">
        <v>63.04</v>
      </c>
      <c r="K11873" s="417">
        <v>66.09</v>
      </c>
      <c r="L11873" s="417">
        <v>66.790000000000006</v>
      </c>
      <c r="M11873" s="417">
        <v>70.040000000000006</v>
      </c>
      <c r="O11873" s="256">
        <v>43132</v>
      </c>
      <c r="P11873" s="412">
        <v>118.0979</v>
      </c>
      <c r="Q11873" s="37">
        <v>0.180979</v>
      </c>
    </row>
    <row r="11874" spans="1:17" hidden="1" outlineLevel="1" x14ac:dyDescent="0.25">
      <c r="A11874" s="1002">
        <v>0.02</v>
      </c>
      <c r="B11874" s="711" t="s">
        <v>2629</v>
      </c>
      <c r="C11874" s="1008">
        <v>9.6927500000000002</v>
      </c>
      <c r="D11874" s="1789">
        <v>14.484999999999999</v>
      </c>
      <c r="E11874" s="1790">
        <v>0.4944159294317918</v>
      </c>
      <c r="F11874" s="1876">
        <v>9.8883185886358364E-3</v>
      </c>
      <c r="H11874" s="417" t="s">
        <v>1652</v>
      </c>
      <c r="J11874" s="417">
        <v>19.61</v>
      </c>
      <c r="K11874" s="417">
        <v>21.295000000000002</v>
      </c>
      <c r="L11874" s="417">
        <v>22.64</v>
      </c>
      <c r="M11874" s="417">
        <v>24.655000000000001</v>
      </c>
      <c r="O11874" s="256">
        <v>43160</v>
      </c>
      <c r="P11874" s="412">
        <v>117.825</v>
      </c>
      <c r="Q11874" s="37">
        <v>0.17825000000000002</v>
      </c>
    </row>
    <row r="11875" spans="1:17" hidden="1" outlineLevel="1" x14ac:dyDescent="0.25">
      <c r="A11875" s="1002">
        <v>0.04</v>
      </c>
      <c r="B11875" s="1089" t="s">
        <v>3799</v>
      </c>
      <c r="C11875" s="1008">
        <v>1644.3091040295265</v>
      </c>
      <c r="D11875" s="1789">
        <v>1497.4</v>
      </c>
      <c r="E11875" s="1790">
        <v>-8.9343970467299916E-2</v>
      </c>
      <c r="F11875" s="1876">
        <v>-3.5737588186919968E-3</v>
      </c>
      <c r="H11875" s="417" t="s">
        <v>4128</v>
      </c>
      <c r="J11875" s="417">
        <v>8.8819999999999997</v>
      </c>
      <c r="K11875" s="417">
        <v>9.2530000000000001</v>
      </c>
      <c r="L11875" s="417">
        <v>9.8160000000000007</v>
      </c>
      <c r="M11875" s="417">
        <v>10.82</v>
      </c>
      <c r="O11875" s="256">
        <v>43191</v>
      </c>
      <c r="P11875" s="412">
        <v>119.9937</v>
      </c>
      <c r="Q11875" s="37">
        <v>0.19993700000000003</v>
      </c>
    </row>
    <row r="11876" spans="1:17" hidden="1" outlineLevel="1" x14ac:dyDescent="0.25">
      <c r="A11876" s="1002">
        <v>0.02</v>
      </c>
      <c r="B11876" s="1089" t="s">
        <v>1771</v>
      </c>
      <c r="C11876" s="1008">
        <v>707.45</v>
      </c>
      <c r="D11876" s="1789">
        <v>612.9</v>
      </c>
      <c r="E11876" s="1790">
        <v>-0.13364902113223553</v>
      </c>
      <c r="F11876" s="1876">
        <v>-2.6729804226447106E-3</v>
      </c>
      <c r="H11876" s="417" t="s">
        <v>4329</v>
      </c>
      <c r="J11876" s="417">
        <v>17.295000000000002</v>
      </c>
      <c r="K11876" s="417">
        <v>17.125</v>
      </c>
      <c r="L11876" s="417">
        <v>16.72</v>
      </c>
      <c r="M11876" s="417">
        <v>15.585000000000001</v>
      </c>
      <c r="O11876" s="256">
        <v>43221</v>
      </c>
      <c r="P11876" s="412">
        <v>118.9889</v>
      </c>
      <c r="Q11876" s="37">
        <v>0.18988899999999997</v>
      </c>
    </row>
    <row r="11877" spans="1:17" hidden="1" outlineLevel="1" x14ac:dyDescent="0.25">
      <c r="A11877" s="1002">
        <v>0.02</v>
      </c>
      <c r="B11877" s="1089" t="s">
        <v>1343</v>
      </c>
      <c r="C11877" s="1008">
        <v>2229</v>
      </c>
      <c r="D11877" s="1789">
        <v>2510.5</v>
      </c>
      <c r="E11877" s="1790">
        <v>0.12628981606101397</v>
      </c>
      <c r="F11877" s="1876">
        <v>2.5257963212202794E-3</v>
      </c>
      <c r="H11877" s="417" t="s">
        <v>7747</v>
      </c>
      <c r="J11877" s="417">
        <v>7.1740000000000004</v>
      </c>
      <c r="K11877" s="417">
        <v>7.5419999999999998</v>
      </c>
      <c r="L11877" s="417">
        <v>6.8710000000000004</v>
      </c>
      <c r="M11877" s="417">
        <v>6.7110000000000003</v>
      </c>
      <c r="O11877" s="256">
        <v>43252</v>
      </c>
      <c r="P11877" s="412">
        <v>119.7501</v>
      </c>
      <c r="Q11877" s="37">
        <v>0.19750099999999993</v>
      </c>
    </row>
    <row r="11878" spans="1:17" hidden="1" outlineLevel="1" x14ac:dyDescent="0.25">
      <c r="A11878" s="1002">
        <v>0.02</v>
      </c>
      <c r="B11878" s="1089" t="s">
        <v>2920</v>
      </c>
      <c r="C11878" s="1008">
        <v>22.822500000000002</v>
      </c>
      <c r="D11878" s="1789">
        <v>52.96</v>
      </c>
      <c r="E11878" s="1790">
        <v>1.3205170336290939</v>
      </c>
      <c r="F11878" s="1876">
        <v>2.641034067258188E-2</v>
      </c>
      <c r="H11878" s="417" t="s">
        <v>6731</v>
      </c>
      <c r="J11878" s="417">
        <v>23.19</v>
      </c>
      <c r="K11878" s="417">
        <v>22.27</v>
      </c>
      <c r="L11878" s="417">
        <v>21.33</v>
      </c>
      <c r="M11878" s="417">
        <v>22.37</v>
      </c>
      <c r="O11878" s="256">
        <v>43282</v>
      </c>
      <c r="P11878" s="412">
        <v>123.1652</v>
      </c>
      <c r="Q11878" s="37">
        <v>0.23165199999999997</v>
      </c>
    </row>
    <row r="11879" spans="1:17" hidden="1" outlineLevel="1" x14ac:dyDescent="0.25">
      <c r="A11879" s="1002">
        <v>0.02</v>
      </c>
      <c r="B11879" s="1089" t="s">
        <v>1905</v>
      </c>
      <c r="C11879" s="1008">
        <v>47.984999999999999</v>
      </c>
      <c r="D11879" s="1789">
        <v>81.290000000000006</v>
      </c>
      <c r="E11879" s="1790">
        <v>0.69407106387412743</v>
      </c>
      <c r="F11879" s="1876">
        <v>1.3881421277482549E-2</v>
      </c>
      <c r="H11879" s="417" t="s">
        <v>504</v>
      </c>
      <c r="J11879" s="417">
        <v>23.19</v>
      </c>
      <c r="K11879" s="417">
        <v>23.2</v>
      </c>
      <c r="L11879" s="417">
        <v>22.07</v>
      </c>
      <c r="M11879" s="417">
        <v>22.83</v>
      </c>
      <c r="O11879" s="256">
        <v>43313</v>
      </c>
      <c r="P11879" s="412">
        <v>121.81740000000001</v>
      </c>
      <c r="Q11879" s="37">
        <v>0.21817400000000009</v>
      </c>
    </row>
    <row r="11880" spans="1:17" hidden="1" outlineLevel="1" x14ac:dyDescent="0.25">
      <c r="A11880" s="1002">
        <v>0.02</v>
      </c>
      <c r="B11880" s="1089" t="s">
        <v>1772</v>
      </c>
      <c r="C11880" s="1008">
        <v>144.22499999999999</v>
      </c>
      <c r="D11880" s="1789">
        <v>207.1</v>
      </c>
      <c r="E11880" s="1790">
        <v>0.43595077136418792</v>
      </c>
      <c r="F11880" s="1876">
        <v>8.7190154272837588E-3</v>
      </c>
      <c r="H11880" s="417" t="s">
        <v>4330</v>
      </c>
      <c r="J11880" s="417">
        <v>47.41</v>
      </c>
      <c r="K11880" s="417">
        <v>48.58</v>
      </c>
      <c r="L11880" s="417">
        <v>47.21</v>
      </c>
      <c r="M11880" s="417">
        <v>48.74</v>
      </c>
      <c r="O11880" s="256">
        <v>43344</v>
      </c>
      <c r="P11880" s="412">
        <v>123.2539</v>
      </c>
      <c r="Q11880" s="37">
        <v>0.23253900000000005</v>
      </c>
    </row>
    <row r="11881" spans="1:17" hidden="1" outlineLevel="1" x14ac:dyDescent="0.25">
      <c r="A11881" s="1002">
        <v>7.0000000000000007E-2</v>
      </c>
      <c r="B11881" s="1089" t="s">
        <v>2786</v>
      </c>
      <c r="C11881" s="1008">
        <v>759.71005996794918</v>
      </c>
      <c r="D11881" s="1789">
        <v>847.9</v>
      </c>
      <c r="E11881" s="1790">
        <v>0.11608368070809982</v>
      </c>
      <c r="F11881" s="1876">
        <v>8.125857649566989E-3</v>
      </c>
      <c r="H11881" s="417" t="s">
        <v>4195</v>
      </c>
      <c r="J11881" s="417">
        <v>141.5</v>
      </c>
      <c r="K11881" s="417">
        <v>150.94999999999999</v>
      </c>
      <c r="L11881" s="417">
        <v>139.1</v>
      </c>
      <c r="M11881" s="417">
        <v>145.35</v>
      </c>
      <c r="O11881" s="256">
        <v>43374</v>
      </c>
      <c r="P11881" s="412">
        <v>119.1018</v>
      </c>
      <c r="Q11881" s="37">
        <v>0.19101799999999991</v>
      </c>
    </row>
    <row r="11882" spans="1:17" hidden="1" outlineLevel="1" x14ac:dyDescent="0.25">
      <c r="A11882" s="1002">
        <v>0.02</v>
      </c>
      <c r="B11882" s="1791" t="s">
        <v>1040</v>
      </c>
      <c r="C11882" s="1008">
        <v>2546.25</v>
      </c>
      <c r="D11882" s="1789">
        <v>4801</v>
      </c>
      <c r="E11882" s="1790">
        <v>0.88551791850760919</v>
      </c>
      <c r="F11882" s="1876">
        <v>1.7710358370152186E-2</v>
      </c>
      <c r="H11882" s="417" t="s">
        <v>5543</v>
      </c>
      <c r="J11882" s="417">
        <v>7.55</v>
      </c>
      <c r="K11882" s="417">
        <v>7.9050000000000002</v>
      </c>
      <c r="L11882" s="417">
        <v>7.5149999999999997</v>
      </c>
      <c r="M11882" s="417">
        <v>7.31</v>
      </c>
      <c r="O11882" s="256">
        <v>43405</v>
      </c>
      <c r="P11882" s="412">
        <v>119.1382</v>
      </c>
      <c r="Q11882" s="37">
        <v>0.19138199999999994</v>
      </c>
    </row>
    <row r="11883" spans="1:17" hidden="1" outlineLevel="1" x14ac:dyDescent="0.25">
      <c r="A11883" s="1002">
        <v>7.0000000000000007E-2</v>
      </c>
      <c r="B11883" s="1089" t="s">
        <v>2787</v>
      </c>
      <c r="C11883" s="1008">
        <v>68.849999999999994</v>
      </c>
      <c r="D11883" s="1789">
        <v>91.04</v>
      </c>
      <c r="E11883" s="1790">
        <v>0.32229484386347163</v>
      </c>
      <c r="F11883" s="1876">
        <v>2.2560639070443016E-2</v>
      </c>
      <c r="H11883" s="417" t="s">
        <v>8874</v>
      </c>
      <c r="J11883" s="417">
        <v>5150</v>
      </c>
      <c r="K11883" s="417">
        <v>5100</v>
      </c>
      <c r="L11883" s="417">
        <v>5020</v>
      </c>
      <c r="M11883" s="417">
        <v>5100</v>
      </c>
      <c r="O11883" s="256">
        <v>43435</v>
      </c>
      <c r="P11883" s="412">
        <v>111.86660000000001</v>
      </c>
      <c r="Q11883" s="37">
        <v>0.11866600000000016</v>
      </c>
    </row>
    <row r="11884" spans="1:17" hidden="1" outlineLevel="1" x14ac:dyDescent="0.25">
      <c r="A11884" s="1002">
        <v>0.02</v>
      </c>
      <c r="B11884" s="712" t="s">
        <v>5630</v>
      </c>
      <c r="C11884" s="1008">
        <v>1554</v>
      </c>
      <c r="D11884" s="1789">
        <v>2591.5</v>
      </c>
      <c r="E11884" s="1790">
        <v>0.66763191763191765</v>
      </c>
      <c r="F11884" s="1876">
        <v>1.3352638352638353E-2</v>
      </c>
      <c r="H11884" s="417" t="s">
        <v>82</v>
      </c>
      <c r="J11884" s="417">
        <v>68.5</v>
      </c>
      <c r="K11884" s="417">
        <v>67.55</v>
      </c>
      <c r="L11884" s="417">
        <v>69.849999999999994</v>
      </c>
      <c r="M11884" s="417">
        <v>69.5</v>
      </c>
      <c r="O11884" s="256">
        <v>43466</v>
      </c>
      <c r="P11884" s="412">
        <v>116.0677</v>
      </c>
      <c r="Q11884" s="37">
        <v>0.16067699999999996</v>
      </c>
    </row>
    <row r="11885" spans="1:17" hidden="1" outlineLevel="1" x14ac:dyDescent="0.25">
      <c r="A11885" s="1002">
        <v>0.02</v>
      </c>
      <c r="B11885" s="712" t="s">
        <v>3793</v>
      </c>
      <c r="C11885" s="1008">
        <v>87.262499999999989</v>
      </c>
      <c r="D11885" s="1789">
        <v>86.94</v>
      </c>
      <c r="E11885" s="1790">
        <v>-3.6957455951868168E-3</v>
      </c>
      <c r="F11885" s="1876">
        <v>-7.3914911903736331E-5</v>
      </c>
      <c r="H11885" s="417" t="s">
        <v>3533</v>
      </c>
      <c r="J11885" s="417">
        <v>1545</v>
      </c>
      <c r="K11885" s="417">
        <v>1522</v>
      </c>
      <c r="L11885" s="417">
        <v>1583</v>
      </c>
      <c r="M11885" s="417">
        <v>1566</v>
      </c>
      <c r="O11885" s="256">
        <v>43497</v>
      </c>
      <c r="P11885" s="412">
        <v>120.4404</v>
      </c>
      <c r="Q11885" s="37">
        <v>0.20440400000000003</v>
      </c>
    </row>
    <row r="11886" spans="1:17" hidden="1" outlineLevel="1" x14ac:dyDescent="0.25">
      <c r="A11886" s="1002">
        <v>0.02</v>
      </c>
      <c r="B11886" s="1089" t="s">
        <v>3800</v>
      </c>
      <c r="C11886" s="1008">
        <v>237.85</v>
      </c>
      <c r="D11886" s="1789">
        <v>277.3</v>
      </c>
      <c r="E11886" s="1790">
        <v>0.16586083666176177</v>
      </c>
      <c r="F11886" s="1876">
        <v>3.3172167332352356E-3</v>
      </c>
      <c r="H11886" s="417" t="s">
        <v>8876</v>
      </c>
      <c r="J11886" s="417">
        <v>88.57</v>
      </c>
      <c r="K11886" s="417">
        <v>89.71</v>
      </c>
      <c r="L11886" s="417">
        <v>83.4</v>
      </c>
      <c r="M11886" s="417">
        <v>87.37</v>
      </c>
      <c r="O11886" s="412" t="s">
        <v>2465</v>
      </c>
      <c r="Q11886" s="261">
        <v>0.20114161111111109</v>
      </c>
    </row>
    <row r="11887" spans="1:17" hidden="1" outlineLevel="1" x14ac:dyDescent="0.25">
      <c r="A11887" s="1002">
        <v>0.05</v>
      </c>
      <c r="B11887" s="712" t="s">
        <v>5205</v>
      </c>
      <c r="C11887" s="1008">
        <v>2089.25</v>
      </c>
      <c r="D11887" s="1789">
        <v>2349.5</v>
      </c>
      <c r="E11887" s="1790">
        <v>0.12456623190140004</v>
      </c>
      <c r="F11887" s="1876">
        <v>6.2283115950700022E-3</v>
      </c>
      <c r="H11887" s="417" t="s">
        <v>5199</v>
      </c>
      <c r="J11887" s="417">
        <v>240.7</v>
      </c>
      <c r="K11887" s="417">
        <v>228.7</v>
      </c>
      <c r="L11887" s="417">
        <v>236.5</v>
      </c>
      <c r="M11887" s="417">
        <v>245.5</v>
      </c>
      <c r="P11887" s="434"/>
    </row>
    <row r="11888" spans="1:17" hidden="1" outlineLevel="1" x14ac:dyDescent="0.25">
      <c r="A11888" s="1002">
        <v>0.02</v>
      </c>
      <c r="B11888" s="1089" t="s">
        <v>1214</v>
      </c>
      <c r="C11888" s="1008">
        <v>84.06</v>
      </c>
      <c r="D11888" s="1789">
        <v>96.13</v>
      </c>
      <c r="E11888" s="1790">
        <v>0.14358791339519383</v>
      </c>
      <c r="F11888" s="1876">
        <v>2.8717582679038769E-3</v>
      </c>
      <c r="H11888" s="417" t="s">
        <v>3775</v>
      </c>
      <c r="J11888" s="417">
        <v>21.29</v>
      </c>
      <c r="K11888" s="417">
        <v>21.33</v>
      </c>
      <c r="L11888" s="417">
        <v>20.75</v>
      </c>
      <c r="M11888" s="417">
        <v>20.2</v>
      </c>
      <c r="P11888" s="434"/>
    </row>
    <row r="11889" spans="1:16" hidden="1" outlineLevel="1" x14ac:dyDescent="0.25">
      <c r="A11889" s="1002">
        <v>0.06</v>
      </c>
      <c r="B11889" s="1089" t="s">
        <v>1857</v>
      </c>
      <c r="C11889" s="1008">
        <v>1548.9999999999998</v>
      </c>
      <c r="D11889" s="1789">
        <v>1188.5</v>
      </c>
      <c r="E11889" s="1790">
        <v>-0.2327307940606842</v>
      </c>
      <c r="F11889" s="1876">
        <v>-1.3963847643641052E-2</v>
      </c>
      <c r="H11889" s="417" t="s">
        <v>3559</v>
      </c>
      <c r="J11889" s="417">
        <v>78.150000000000006</v>
      </c>
      <c r="K11889" s="417">
        <v>84.45</v>
      </c>
      <c r="L11889" s="417">
        <v>81.739999999999995</v>
      </c>
      <c r="M11889" s="417">
        <v>91.9</v>
      </c>
      <c r="P11889" s="434"/>
    </row>
    <row r="11890" spans="1:16" hidden="1" outlineLevel="1" x14ac:dyDescent="0.25">
      <c r="A11890" s="1002">
        <v>0.02</v>
      </c>
      <c r="B11890" s="1089" t="s">
        <v>5249</v>
      </c>
      <c r="C11890" s="1008">
        <v>4.9225000000000003</v>
      </c>
      <c r="D11890" s="1789">
        <v>3.13</v>
      </c>
      <c r="E11890" s="1790">
        <v>-0.36414423565261556</v>
      </c>
      <c r="F11890" s="1876">
        <v>-7.2828847130523115E-3</v>
      </c>
      <c r="H11890" s="417" t="s">
        <v>5247</v>
      </c>
      <c r="J11890" s="417">
        <v>15.77</v>
      </c>
      <c r="K11890" s="417">
        <v>15.75</v>
      </c>
      <c r="L11890" s="417">
        <v>15.75</v>
      </c>
      <c r="M11890" s="417">
        <v>14.69</v>
      </c>
      <c r="P11890" s="434"/>
    </row>
    <row r="11891" spans="1:16" hidden="1" outlineLevel="1" x14ac:dyDescent="0.25">
      <c r="A11891" s="1002">
        <v>0.02</v>
      </c>
      <c r="B11891" s="1089" t="s">
        <v>1183</v>
      </c>
      <c r="C11891" s="1008">
        <v>41.021249999999995</v>
      </c>
      <c r="D11891" s="1789">
        <v>49.99</v>
      </c>
      <c r="E11891" s="1790">
        <v>0.21863668220739263</v>
      </c>
      <c r="F11891" s="1876">
        <v>4.3727336441478524E-3</v>
      </c>
      <c r="H11891" s="417" t="s">
        <v>2805</v>
      </c>
      <c r="J11891" s="417">
        <v>4.79</v>
      </c>
      <c r="K11891" s="417">
        <v>5.0199999999999996</v>
      </c>
      <c r="L11891" s="417">
        <v>4.9400000000000004</v>
      </c>
      <c r="M11891" s="417">
        <v>4.9400000000000004</v>
      </c>
      <c r="P11891" s="434"/>
    </row>
    <row r="11892" spans="1:16" hidden="1" outlineLevel="1" x14ac:dyDescent="0.25">
      <c r="A11892" s="1002">
        <v>0.05</v>
      </c>
      <c r="B11892" s="1089" t="s">
        <v>255</v>
      </c>
      <c r="C11892" s="1008">
        <v>48.542499999999997</v>
      </c>
      <c r="D11892" s="1789">
        <v>56.92</v>
      </c>
      <c r="E11892" s="1790">
        <v>0.17258072822784176</v>
      </c>
      <c r="F11892" s="1876">
        <v>8.6290364113920884E-3</v>
      </c>
      <c r="H11892" s="417" t="s">
        <v>3351</v>
      </c>
      <c r="J11892" s="417">
        <v>38.04</v>
      </c>
      <c r="K11892" s="417">
        <v>40.5</v>
      </c>
      <c r="L11892" s="417">
        <v>42.39</v>
      </c>
      <c r="M11892" s="417">
        <v>43.155000000000001</v>
      </c>
      <c r="P11892" s="434"/>
    </row>
    <row r="11893" spans="1:16" hidden="1" outlineLevel="1" x14ac:dyDescent="0.25">
      <c r="A11893" s="1002">
        <v>0.02</v>
      </c>
      <c r="B11893" s="1089" t="s">
        <v>719</v>
      </c>
      <c r="C11893" s="1008">
        <v>40.561125777777583</v>
      </c>
      <c r="D11893" s="1789">
        <v>83.92</v>
      </c>
      <c r="E11893" s="1790">
        <v>1.068976104356</v>
      </c>
      <c r="F11893" s="1876">
        <v>2.137952208712E-2</v>
      </c>
      <c r="H11893" s="417" t="s">
        <v>1697</v>
      </c>
      <c r="J11893" s="417">
        <v>51.17</v>
      </c>
      <c r="K11893" s="417">
        <v>50.01</v>
      </c>
      <c r="L11893" s="417">
        <v>46.01</v>
      </c>
      <c r="M11893" s="417">
        <v>46.98</v>
      </c>
      <c r="P11893" s="434"/>
    </row>
    <row r="11894" spans="1:16" hidden="1" outlineLevel="1" x14ac:dyDescent="0.25">
      <c r="A11894" s="1002">
        <v>0.02</v>
      </c>
      <c r="B11894" s="1089" t="s">
        <v>5522</v>
      </c>
      <c r="C11894" s="1008">
        <v>40.192041917020049</v>
      </c>
      <c r="D11894" s="1789">
        <v>46.62</v>
      </c>
      <c r="E11894" s="1790">
        <v>0.15993111512599989</v>
      </c>
      <c r="F11894" s="1876">
        <v>3.1986223025199977E-3</v>
      </c>
      <c r="H11894" s="417" t="s">
        <v>5520</v>
      </c>
      <c r="J11894" s="417">
        <v>39.28</v>
      </c>
      <c r="K11894" s="417">
        <v>40.884999999999998</v>
      </c>
      <c r="L11894" s="417">
        <v>39.83</v>
      </c>
      <c r="M11894" s="417">
        <v>43.86</v>
      </c>
      <c r="P11894" s="434"/>
    </row>
    <row r="11895" spans="1:16" hidden="1" outlineLevel="1" x14ac:dyDescent="0.25">
      <c r="A11895" s="1002">
        <v>0.02</v>
      </c>
      <c r="B11895" s="712" t="s">
        <v>5537</v>
      </c>
      <c r="C11895" s="1008">
        <v>34.262499999999996</v>
      </c>
      <c r="D11895" s="1789">
        <v>28.67</v>
      </c>
      <c r="E11895" s="1790">
        <v>-0.16322510032834714</v>
      </c>
      <c r="F11895" s="1876">
        <v>-3.264502006566943E-3</v>
      </c>
      <c r="H11895" s="417" t="s">
        <v>5535</v>
      </c>
      <c r="J11895" s="417">
        <v>38.909999999999997</v>
      </c>
      <c r="K11895" s="417">
        <v>40.74</v>
      </c>
      <c r="L11895" s="417">
        <v>41.52</v>
      </c>
      <c r="M11895" s="417">
        <v>40.880000000000003</v>
      </c>
      <c r="P11895" s="434"/>
    </row>
    <row r="11896" spans="1:16" hidden="1" outlineLevel="1" x14ac:dyDescent="0.25">
      <c r="A11896" s="1004">
        <v>0.06</v>
      </c>
      <c r="B11896" s="1338" t="s">
        <v>4550</v>
      </c>
      <c r="C11896" s="1009">
        <v>243.57499999999999</v>
      </c>
      <c r="D11896" s="1792">
        <v>330</v>
      </c>
      <c r="E11896" s="1793">
        <v>0.35481884429847077</v>
      </c>
      <c r="F11896" s="1875">
        <v>2.1289130657908245E-2</v>
      </c>
      <c r="H11896" s="417" t="s">
        <v>8889</v>
      </c>
      <c r="J11896" s="417">
        <v>32.53</v>
      </c>
      <c r="K11896" s="417">
        <v>33.51</v>
      </c>
      <c r="L11896" s="417">
        <v>36.1</v>
      </c>
      <c r="M11896" s="417">
        <v>34.909999999999997</v>
      </c>
      <c r="P11896" s="434"/>
    </row>
    <row r="11897" spans="1:16" hidden="1" outlineLevel="1" x14ac:dyDescent="0.25">
      <c r="A11897" s="1794" t="s">
        <v>2734</v>
      </c>
      <c r="B11897" s="1898"/>
      <c r="C11897" s="1084"/>
      <c r="D11897" s="1899"/>
      <c r="E11897" s="1790" t="s">
        <v>4577</v>
      </c>
      <c r="F11897" s="1838">
        <v>0.20322465166479572</v>
      </c>
      <c r="H11897" s="432"/>
      <c r="J11897" s="417">
        <v>252.4</v>
      </c>
      <c r="K11897" s="417">
        <v>252.9</v>
      </c>
      <c r="L11897" s="417">
        <v>235.2</v>
      </c>
      <c r="M11897" s="417">
        <v>233.8</v>
      </c>
    </row>
    <row r="11898" spans="1:16" collapsed="1" x14ac:dyDescent="0.25">
      <c r="A11898" s="3801" t="s">
        <v>5637</v>
      </c>
      <c r="B11898" s="3802"/>
      <c r="C11898" s="3802"/>
      <c r="D11898" s="3802"/>
      <c r="E11898" s="1892"/>
      <c r="F11898" s="1893">
        <v>0.12068496666666664</v>
      </c>
    </row>
    <row r="11899" spans="1:16" x14ac:dyDescent="0.25">
      <c r="A11899" t="s">
        <v>2734</v>
      </c>
    </row>
    <row r="11900" spans="1:16" hidden="1" outlineLevel="1" x14ac:dyDescent="0.25">
      <c r="A11900" s="1775" t="s">
        <v>113</v>
      </c>
      <c r="B11900" s="1775" t="s">
        <v>114</v>
      </c>
      <c r="C11900" s="1775" t="s">
        <v>112</v>
      </c>
      <c r="D11900" s="1775" t="s">
        <v>116</v>
      </c>
      <c r="E11900" s="1775" t="s">
        <v>117</v>
      </c>
      <c r="F11900" s="1860" t="s">
        <v>121</v>
      </c>
    </row>
    <row r="11901" spans="1:16" hidden="1" outlineLevel="1" x14ac:dyDescent="0.25">
      <c r="A11901" s="1776" t="s">
        <v>2734</v>
      </c>
      <c r="B11901" s="1777" t="s">
        <v>252</v>
      </c>
      <c r="C11901" s="1778">
        <v>100</v>
      </c>
      <c r="D11901" s="1778"/>
      <c r="E11901" s="1779"/>
      <c r="F11901" s="1780"/>
    </row>
    <row r="11902" spans="1:16" hidden="1" outlineLevel="1" x14ac:dyDescent="0.25">
      <c r="A11902" s="1781" t="s">
        <v>2734</v>
      </c>
      <c r="B11902" s="1781"/>
      <c r="C11902" s="1782"/>
      <c r="D11902" s="697" t="s">
        <v>3702</v>
      </c>
      <c r="E11902" s="1783">
        <v>43524</v>
      </c>
      <c r="F11902" s="1784"/>
    </row>
    <row r="11903" spans="1:16" ht="26.4" hidden="1" outlineLevel="1" x14ac:dyDescent="0.25">
      <c r="A11903" s="1775" t="s">
        <v>4156</v>
      </c>
      <c r="B11903" s="1775" t="s">
        <v>4153</v>
      </c>
      <c r="C11903" s="1795" t="s">
        <v>5271</v>
      </c>
      <c r="D11903" s="1786" t="s">
        <v>4155</v>
      </c>
      <c r="E11903" s="1775" t="s">
        <v>4154</v>
      </c>
      <c r="F11903" s="1874" t="s">
        <v>2519</v>
      </c>
    </row>
    <row r="11904" spans="1:16" hidden="1" outlineLevel="1" x14ac:dyDescent="0.25">
      <c r="A11904" s="1991">
        <v>7.0000000000000007E-2</v>
      </c>
      <c r="B11904" s="1992" t="s">
        <v>3998</v>
      </c>
      <c r="C11904" s="1993">
        <v>35.719000000000001</v>
      </c>
      <c r="D11904" s="1994">
        <v>31.12</v>
      </c>
      <c r="E11904" s="1995">
        <v>-0.12875500433942721</v>
      </c>
      <c r="F11904" s="1996">
        <v>-9.0128503037599055E-3</v>
      </c>
      <c r="H11904" s="417" t="s">
        <v>4000</v>
      </c>
      <c r="J11904" t="s">
        <v>2040</v>
      </c>
      <c r="K11904" s="370"/>
      <c r="P11904" s="434"/>
    </row>
    <row r="11905" spans="1:16" hidden="1" outlineLevel="1" x14ac:dyDescent="0.25">
      <c r="A11905" s="1997">
        <v>0.02</v>
      </c>
      <c r="B11905" s="1926" t="s">
        <v>805</v>
      </c>
      <c r="C11905" s="1998">
        <v>63.161999999999999</v>
      </c>
      <c r="D11905" s="1999">
        <v>102.62</v>
      </c>
      <c r="E11905" s="2000">
        <v>0.62471106044773772</v>
      </c>
      <c r="F11905" s="2001">
        <v>1.2494221208954754E-2</v>
      </c>
      <c r="H11905" s="417" t="s">
        <v>806</v>
      </c>
      <c r="J11905" s="256">
        <v>42979</v>
      </c>
      <c r="K11905" s="1628">
        <v>127.6032</v>
      </c>
      <c r="L11905" s="37">
        <v>0.27603200000000006</v>
      </c>
      <c r="P11905" s="434"/>
    </row>
    <row r="11906" spans="1:16" hidden="1" outlineLevel="1" x14ac:dyDescent="0.25">
      <c r="A11906" s="1997">
        <v>0.03</v>
      </c>
      <c r="B11906" s="1813" t="s">
        <v>5386</v>
      </c>
      <c r="C11906" s="1998">
        <v>43.570999999999998</v>
      </c>
      <c r="D11906" s="1999">
        <v>58.52</v>
      </c>
      <c r="E11906" s="2000">
        <v>0.34309517798535727</v>
      </c>
      <c r="F11906" s="2001">
        <v>1.0292855339560718E-2</v>
      </c>
      <c r="H11906" s="417" t="s">
        <v>808</v>
      </c>
      <c r="J11906" s="256">
        <v>43009</v>
      </c>
      <c r="K11906" s="1628">
        <v>130.98660000000001</v>
      </c>
      <c r="L11906" s="37">
        <v>0.3098660000000002</v>
      </c>
      <c r="P11906" s="434"/>
    </row>
    <row r="11907" spans="1:16" hidden="1" outlineLevel="1" x14ac:dyDescent="0.25">
      <c r="A11907" s="1997">
        <v>0.02</v>
      </c>
      <c r="B11907" s="2002" t="s">
        <v>1142</v>
      </c>
      <c r="C11907" s="1998">
        <v>40.808999999999997</v>
      </c>
      <c r="D11907" s="1999">
        <v>45.34</v>
      </c>
      <c r="E11907" s="2000">
        <v>0.11102942978264618</v>
      </c>
      <c r="F11907" s="2001">
        <v>2.2205885956529236E-3</v>
      </c>
      <c r="H11907" s="417" t="s">
        <v>1143</v>
      </c>
      <c r="J11907" s="256">
        <v>43040</v>
      </c>
      <c r="K11907" s="412">
        <v>132.0127</v>
      </c>
      <c r="L11907" s="37">
        <v>0.32012700000000005</v>
      </c>
      <c r="P11907" s="434"/>
    </row>
    <row r="11908" spans="1:16" hidden="1" outlineLevel="1" x14ac:dyDescent="0.25">
      <c r="A11908" s="1997">
        <v>0.02</v>
      </c>
      <c r="B11908" s="1926" t="s">
        <v>939</v>
      </c>
      <c r="C11908" s="1998">
        <v>64.63</v>
      </c>
      <c r="D11908" s="1999">
        <v>67.849999999999994</v>
      </c>
      <c r="E11908" s="2000">
        <v>4.9822064056939563E-2</v>
      </c>
      <c r="F11908" s="2001">
        <v>9.9644128113879132E-4</v>
      </c>
      <c r="H11908" s="417" t="s">
        <v>2791</v>
      </c>
      <c r="J11908" s="256">
        <v>43070</v>
      </c>
      <c r="K11908" s="412">
        <v>131.15039999999999</v>
      </c>
      <c r="L11908" s="37">
        <v>0.311504</v>
      </c>
      <c r="P11908" s="434"/>
    </row>
    <row r="11909" spans="1:16" hidden="1" outlineLevel="1" x14ac:dyDescent="0.25">
      <c r="A11909" s="1997">
        <v>0.02</v>
      </c>
      <c r="B11909" s="1813" t="s">
        <v>1319</v>
      </c>
      <c r="C11909" s="1998">
        <v>59.165999999999997</v>
      </c>
      <c r="D11909" s="1999">
        <v>82.45</v>
      </c>
      <c r="E11909" s="2000">
        <v>0.3935368285839842</v>
      </c>
      <c r="F11909" s="2001">
        <v>7.8707365716796842E-3</v>
      </c>
      <c r="H11909" s="417" t="s">
        <v>1320</v>
      </c>
      <c r="J11909" s="256">
        <v>43101</v>
      </c>
      <c r="K11909" s="412">
        <v>129.5866</v>
      </c>
      <c r="L11909" s="37">
        <v>0.29586599999999996</v>
      </c>
      <c r="P11909" s="434"/>
    </row>
    <row r="11910" spans="1:16" hidden="1" outlineLevel="1" x14ac:dyDescent="0.25">
      <c r="A11910" s="1997">
        <v>0.05</v>
      </c>
      <c r="B11910" s="2002" t="s">
        <v>1231</v>
      </c>
      <c r="C11910" s="1998">
        <v>69.876999999999995</v>
      </c>
      <c r="D11910" s="1999">
        <v>89.66</v>
      </c>
      <c r="E11910" s="2000">
        <v>0.2831117535097385</v>
      </c>
      <c r="F11910" s="2001">
        <v>1.4155587675486926E-2</v>
      </c>
      <c r="H11910" s="417" t="s">
        <v>2041</v>
      </c>
      <c r="J11910" s="256">
        <v>43132</v>
      </c>
      <c r="K11910" s="412">
        <v>123.4252</v>
      </c>
      <c r="L11910" s="37">
        <v>0.23425200000000013</v>
      </c>
      <c r="P11910" s="434"/>
    </row>
    <row r="11911" spans="1:16" hidden="1" outlineLevel="1" x14ac:dyDescent="0.25">
      <c r="A11911" s="1997">
        <v>0.03</v>
      </c>
      <c r="B11911" s="1813" t="s">
        <v>3021</v>
      </c>
      <c r="C11911" s="1998">
        <v>16.140999999999998</v>
      </c>
      <c r="D11911" s="1999">
        <v>15.166</v>
      </c>
      <c r="E11911" s="2000">
        <v>-6.0405179356917027E-2</v>
      </c>
      <c r="F11911" s="2001">
        <v>-1.8121553807075108E-3</v>
      </c>
      <c r="H11911" s="417" t="s">
        <v>4124</v>
      </c>
      <c r="J11911" s="256">
        <v>43160</v>
      </c>
      <c r="K11911" s="412">
        <v>124.619</v>
      </c>
      <c r="L11911" s="37">
        <v>0.24618999999999991</v>
      </c>
      <c r="P11911" s="434"/>
    </row>
    <row r="11912" spans="1:16" hidden="1" outlineLevel="1" x14ac:dyDescent="0.25">
      <c r="A11912" s="1997">
        <v>0.06</v>
      </c>
      <c r="B11912" s="2002" t="s">
        <v>5232</v>
      </c>
      <c r="C11912" s="1998">
        <v>70.692999999999998</v>
      </c>
      <c r="D11912" s="1999">
        <v>93.33</v>
      </c>
      <c r="E11912" s="2000">
        <v>0.32021558004328576</v>
      </c>
      <c r="F11912" s="2001">
        <v>1.9212934802597146E-2</v>
      </c>
      <c r="H11912" s="417" t="s">
        <v>5230</v>
      </c>
      <c r="J11912" s="256">
        <v>43191</v>
      </c>
      <c r="K11912" s="412">
        <v>127.15989999999999</v>
      </c>
      <c r="L11912" s="37">
        <v>0.27159899999999992</v>
      </c>
      <c r="P11912" s="434"/>
    </row>
    <row r="11913" spans="1:16" hidden="1" outlineLevel="1" x14ac:dyDescent="0.25">
      <c r="A11913" s="1997">
        <v>0.02</v>
      </c>
      <c r="B11913" s="1813" t="s">
        <v>7227</v>
      </c>
      <c r="C11913" s="1998">
        <v>15.414999999999999</v>
      </c>
      <c r="D11913" s="1999">
        <v>13.25</v>
      </c>
      <c r="E11913" s="2000">
        <v>-0.14044761595848199</v>
      </c>
      <c r="F11913" s="2001">
        <v>-2.8089523191696399E-3</v>
      </c>
      <c r="H11913" s="417" t="s">
        <v>7229</v>
      </c>
      <c r="J11913" s="256">
        <v>43221</v>
      </c>
      <c r="K11913" s="412">
        <v>125.5192</v>
      </c>
      <c r="L11913" s="37">
        <v>0.25519200000000009</v>
      </c>
      <c r="P11913" s="434"/>
    </row>
    <row r="11914" spans="1:16" hidden="1" outlineLevel="1" x14ac:dyDescent="0.25">
      <c r="A11914" s="1997">
        <v>0.05</v>
      </c>
      <c r="B11914" s="1813" t="s">
        <v>3799</v>
      </c>
      <c r="C11914" s="1998">
        <v>1707.6613281149162</v>
      </c>
      <c r="D11914" s="1999">
        <v>1497.4</v>
      </c>
      <c r="E11914" s="2000">
        <v>-0.1231282366434</v>
      </c>
      <c r="F11914" s="2001">
        <v>-6.1564118321700001E-3</v>
      </c>
      <c r="H11914" s="417" t="s">
        <v>4128</v>
      </c>
      <c r="J11914" s="256">
        <v>43252</v>
      </c>
      <c r="K11914" s="412">
        <v>125.7148</v>
      </c>
      <c r="L11914" s="37">
        <v>0.25714799999999993</v>
      </c>
      <c r="P11914" s="434"/>
    </row>
    <row r="11915" spans="1:16" hidden="1" outlineLevel="1" x14ac:dyDescent="0.25">
      <c r="A11915" s="1997">
        <v>0.02</v>
      </c>
      <c r="B11915" s="1813" t="s">
        <v>5655</v>
      </c>
      <c r="C11915" s="1998">
        <v>46.831000000000003</v>
      </c>
      <c r="D11915" s="1999">
        <v>84.9</v>
      </c>
      <c r="E11915" s="2000">
        <v>0.81290171040550052</v>
      </c>
      <c r="F11915" s="2001">
        <v>1.6258034208110009E-2</v>
      </c>
      <c r="H11915" s="417" t="s">
        <v>5653</v>
      </c>
      <c r="J11915" s="256">
        <v>43282</v>
      </c>
      <c r="K11915" s="412">
        <v>129.8357</v>
      </c>
      <c r="L11915" s="37">
        <v>0.29835699999999998</v>
      </c>
      <c r="P11915" s="434"/>
    </row>
    <row r="11916" spans="1:16" hidden="1" outlineLevel="1" x14ac:dyDescent="0.25">
      <c r="A11916" s="1997">
        <v>0.02</v>
      </c>
      <c r="B11916" s="1813" t="s">
        <v>2920</v>
      </c>
      <c r="C11916" s="1998">
        <v>23.611000000000001</v>
      </c>
      <c r="D11916" s="1999">
        <v>52.96</v>
      </c>
      <c r="E11916" s="2000">
        <v>1.2430223201050357</v>
      </c>
      <c r="F11916" s="2001">
        <v>2.4860446402100715E-2</v>
      </c>
      <c r="H11916" s="417" t="s">
        <v>6731</v>
      </c>
      <c r="J11916" s="256">
        <v>43313</v>
      </c>
      <c r="K11916" s="412">
        <v>128.20070000000001</v>
      </c>
      <c r="L11916" s="37">
        <v>0.28200700000000012</v>
      </c>
      <c r="P11916" s="434"/>
    </row>
    <row r="11917" spans="1:16" hidden="1" outlineLevel="1" x14ac:dyDescent="0.25">
      <c r="A11917" s="1997">
        <v>0.02</v>
      </c>
      <c r="B11917" s="1813" t="s">
        <v>3426</v>
      </c>
      <c r="C11917" s="1998">
        <v>89.97</v>
      </c>
      <c r="D11917" s="1999">
        <v>136.63999999999999</v>
      </c>
      <c r="E11917" s="2000">
        <v>0.51872846504390346</v>
      </c>
      <c r="F11917" s="2001">
        <v>1.0374569300878069E-2</v>
      </c>
      <c r="H11917" s="417" t="s">
        <v>4145</v>
      </c>
      <c r="J11917" s="256">
        <v>43344</v>
      </c>
      <c r="K11917" s="412">
        <v>128.23599999999999</v>
      </c>
      <c r="L11917" s="37">
        <v>0.28235999999999994</v>
      </c>
      <c r="P11917" s="434"/>
    </row>
    <row r="11918" spans="1:16" hidden="1" outlineLevel="1" x14ac:dyDescent="0.25">
      <c r="A11918" s="1997">
        <v>0.02</v>
      </c>
      <c r="B11918" s="1813" t="s">
        <v>816</v>
      </c>
      <c r="C11918" s="1998">
        <v>100.44</v>
      </c>
      <c r="D11918" s="1999">
        <v>183.84</v>
      </c>
      <c r="E11918" s="2000">
        <v>0.83034647550776586</v>
      </c>
      <c r="F11918" s="2001">
        <v>1.6606929510155317E-2</v>
      </c>
      <c r="H11918" s="417" t="s">
        <v>817</v>
      </c>
      <c r="J11918" s="256">
        <v>43374</v>
      </c>
      <c r="K11918" s="412">
        <v>126.3244</v>
      </c>
      <c r="L11918" s="37">
        <v>0.26324400000000003</v>
      </c>
      <c r="P11918" s="434"/>
    </row>
    <row r="11919" spans="1:16" hidden="1" outlineLevel="1" x14ac:dyDescent="0.25">
      <c r="A11919" s="1997">
        <v>0.02</v>
      </c>
      <c r="B11919" s="2002" t="s">
        <v>1001</v>
      </c>
      <c r="C11919" s="1998">
        <v>34.978499999999997</v>
      </c>
      <c r="D11919" s="1999">
        <v>112.03</v>
      </c>
      <c r="E11919" s="2000">
        <v>2.2028245922495251</v>
      </c>
      <c r="F11919" s="2001">
        <v>4.4056491844990504E-2</v>
      </c>
      <c r="H11919" s="417" t="s">
        <v>8270</v>
      </c>
      <c r="J11919" s="256">
        <v>43405</v>
      </c>
      <c r="K11919" s="412">
        <v>128.2433</v>
      </c>
      <c r="L11919" s="37">
        <v>0.28243300000000016</v>
      </c>
      <c r="P11919" s="434"/>
    </row>
    <row r="11920" spans="1:16" hidden="1" outlineLevel="1" x14ac:dyDescent="0.25">
      <c r="A11920" s="1997">
        <v>0.06</v>
      </c>
      <c r="B11920" s="1813" t="s">
        <v>2786</v>
      </c>
      <c r="C11920" s="1998">
        <v>764.1759909584938</v>
      </c>
      <c r="D11920" s="1999">
        <v>847.9</v>
      </c>
      <c r="E11920" s="2000">
        <v>0.10956116134516658</v>
      </c>
      <c r="F11920" s="2001">
        <v>6.5736696807099943E-3</v>
      </c>
      <c r="H11920" s="417" t="s">
        <v>4195</v>
      </c>
      <c r="J11920" s="256">
        <v>43435</v>
      </c>
      <c r="K11920" s="412">
        <v>120.2026</v>
      </c>
      <c r="L11920" s="37">
        <v>0.20202600000000004</v>
      </c>
      <c r="P11920" s="434"/>
    </row>
    <row r="11921" spans="1:16" hidden="1" outlineLevel="1" x14ac:dyDescent="0.25">
      <c r="A11921" s="1997">
        <v>0.03</v>
      </c>
      <c r="B11921" s="1813" t="s">
        <v>3092</v>
      </c>
      <c r="C11921" s="1998">
        <v>83.647999999999996</v>
      </c>
      <c r="D11921" s="1999">
        <v>187.72</v>
      </c>
      <c r="E11921" s="2000">
        <v>1.2441660290742158</v>
      </c>
      <c r="F11921" s="2001">
        <v>3.7324980872226472E-2</v>
      </c>
      <c r="H11921" s="417" t="s">
        <v>8862</v>
      </c>
      <c r="J11921" s="256">
        <v>43466</v>
      </c>
      <c r="K11921" s="412">
        <v>125.75660000000001</v>
      </c>
      <c r="L11921" s="37">
        <v>0.25756599999999996</v>
      </c>
      <c r="P11921" s="434"/>
    </row>
    <row r="11922" spans="1:16" hidden="1" outlineLevel="1" x14ac:dyDescent="0.25">
      <c r="A11922" s="1997">
        <v>0.04</v>
      </c>
      <c r="B11922" s="1813" t="s">
        <v>2787</v>
      </c>
      <c r="C11922" s="1998">
        <v>69.05</v>
      </c>
      <c r="D11922" s="1999">
        <v>91.04</v>
      </c>
      <c r="E11922" s="2000">
        <v>0.31846488052136146</v>
      </c>
      <c r="F11922" s="2001">
        <v>1.2738595220854458E-2</v>
      </c>
      <c r="H11922" s="417" t="s">
        <v>8874</v>
      </c>
      <c r="J11922" s="256">
        <v>43497</v>
      </c>
      <c r="K11922" s="412">
        <v>129.5147</v>
      </c>
      <c r="L11922" s="37">
        <v>0.29514700000000005</v>
      </c>
      <c r="P11922" s="434"/>
    </row>
    <row r="11923" spans="1:16" hidden="1" outlineLevel="1" x14ac:dyDescent="0.25">
      <c r="A11923" s="1997">
        <v>0.03</v>
      </c>
      <c r="B11923" s="1813" t="s">
        <v>5630</v>
      </c>
      <c r="C11923" s="1998">
        <v>1562.5</v>
      </c>
      <c r="D11923" s="1999">
        <v>2591.5</v>
      </c>
      <c r="E11923" s="2000">
        <v>0.65856000000000003</v>
      </c>
      <c r="F11923" s="2001">
        <v>1.9756800000000001E-2</v>
      </c>
      <c r="H11923" s="417" t="s">
        <v>82</v>
      </c>
      <c r="J11923" s="412" t="s">
        <v>2465</v>
      </c>
      <c r="L11923" s="261">
        <v>0.27449533333333337</v>
      </c>
      <c r="P11923" s="434"/>
    </row>
    <row r="11924" spans="1:16" hidden="1" outlineLevel="1" x14ac:dyDescent="0.25">
      <c r="A11924" s="1997">
        <v>0.02</v>
      </c>
      <c r="B11924" s="1813" t="s">
        <v>1204</v>
      </c>
      <c r="C11924" s="1998">
        <v>84.36</v>
      </c>
      <c r="D11924" s="1999">
        <v>115.64</v>
      </c>
      <c r="E11924" s="2000">
        <v>0.37079184447605495</v>
      </c>
      <c r="F11924" s="2001">
        <v>7.4158368895210994E-3</v>
      </c>
      <c r="H11924" s="417" t="s">
        <v>9047</v>
      </c>
      <c r="P11924" s="434"/>
    </row>
    <row r="11925" spans="1:16" hidden="1" outlineLevel="1" x14ac:dyDescent="0.25">
      <c r="A11925" s="1997">
        <v>0.05</v>
      </c>
      <c r="B11925" s="1813" t="s">
        <v>901</v>
      </c>
      <c r="C11925" s="1998">
        <v>21.31638153719113</v>
      </c>
      <c r="D11925" s="1999">
        <v>27.585000000000001</v>
      </c>
      <c r="E11925" s="2000">
        <v>0.29407516711370008</v>
      </c>
      <c r="F11925" s="2001">
        <v>1.4703758355685005E-2</v>
      </c>
      <c r="H11925" s="417" t="s">
        <v>531</v>
      </c>
      <c r="P11925" s="434"/>
    </row>
    <row r="11926" spans="1:16" hidden="1" outlineLevel="1" x14ac:dyDescent="0.25">
      <c r="A11926" s="1997">
        <v>0.05</v>
      </c>
      <c r="B11926" s="1813" t="s">
        <v>5656</v>
      </c>
      <c r="C11926" s="1998">
        <v>3.8</v>
      </c>
      <c r="D11926" s="1999">
        <v>3.02</v>
      </c>
      <c r="E11926" s="2000">
        <v>-0.20526315789473681</v>
      </c>
      <c r="F11926" s="2001">
        <v>-1.0263157894736842E-2</v>
      </c>
      <c r="H11926" s="417" t="s">
        <v>5657</v>
      </c>
      <c r="P11926" s="434"/>
    </row>
    <row r="11927" spans="1:16" hidden="1" outlineLevel="1" x14ac:dyDescent="0.25">
      <c r="A11927" s="1997">
        <v>0.06</v>
      </c>
      <c r="B11927" s="1813" t="s">
        <v>3427</v>
      </c>
      <c r="C11927" s="1998">
        <v>44.939</v>
      </c>
      <c r="D11927" s="1999">
        <v>49.69</v>
      </c>
      <c r="E11927" s="2000">
        <v>0.10572108858675078</v>
      </c>
      <c r="F11927" s="2001">
        <v>6.3432653152050468E-3</v>
      </c>
      <c r="H11927" s="417" t="s">
        <v>2800</v>
      </c>
      <c r="P11927" s="434"/>
    </row>
    <row r="11928" spans="1:16" hidden="1" outlineLevel="1" x14ac:dyDescent="0.25">
      <c r="A11928" s="1997">
        <v>0.06</v>
      </c>
      <c r="B11928" s="1813" t="s">
        <v>1857</v>
      </c>
      <c r="C11928" s="1998">
        <v>1606.2</v>
      </c>
      <c r="D11928" s="1999">
        <v>1188.5</v>
      </c>
      <c r="E11928" s="2000">
        <v>-0.26005478769767154</v>
      </c>
      <c r="F11928" s="2001">
        <v>-1.5603287261860293E-2</v>
      </c>
      <c r="H11928" s="417" t="s">
        <v>3559</v>
      </c>
      <c r="P11928" s="434"/>
    </row>
    <row r="11929" spans="1:16" hidden="1" outlineLevel="1" x14ac:dyDescent="0.25">
      <c r="A11929" s="1997">
        <v>0.02</v>
      </c>
      <c r="B11929" s="1813" t="s">
        <v>1183</v>
      </c>
      <c r="C11929" s="1998">
        <v>38.808</v>
      </c>
      <c r="D11929" s="1999">
        <v>49.99</v>
      </c>
      <c r="E11929" s="2000">
        <v>0.28813646670789539</v>
      </c>
      <c r="F11929" s="2001">
        <v>5.7627293341579082E-3</v>
      </c>
      <c r="H11929" s="417" t="s">
        <v>2805</v>
      </c>
      <c r="P11929" s="434"/>
    </row>
    <row r="11930" spans="1:16" hidden="1" outlineLevel="1" x14ac:dyDescent="0.25">
      <c r="A11930" s="1997">
        <v>0.02</v>
      </c>
      <c r="B11930" s="1813" t="s">
        <v>255</v>
      </c>
      <c r="C11930" s="1998">
        <v>50.518999999999998</v>
      </c>
      <c r="D11930" s="1999">
        <v>56.92</v>
      </c>
      <c r="E11930" s="2000">
        <v>0.12670480413309848</v>
      </c>
      <c r="F11930" s="2001">
        <v>2.5340960826619697E-3</v>
      </c>
      <c r="H11930" s="417" t="s">
        <v>3351</v>
      </c>
      <c r="P11930" s="434"/>
    </row>
    <row r="11931" spans="1:16" hidden="1" outlineLevel="1" x14ac:dyDescent="0.25">
      <c r="A11931" s="1997">
        <v>0.02</v>
      </c>
      <c r="B11931" s="2003" t="s">
        <v>579</v>
      </c>
      <c r="C11931" s="1998">
        <v>198.05010121417757</v>
      </c>
      <c r="D11931" s="1999">
        <v>134.28</v>
      </c>
      <c r="E11931" s="2000">
        <v>-0.32198974311663997</v>
      </c>
      <c r="F11931" s="2001">
        <v>-6.4397948623327993E-3</v>
      </c>
      <c r="H11931" s="417" t="s">
        <v>3611</v>
      </c>
      <c r="P11931" s="434"/>
    </row>
    <row r="11932" spans="1:16" hidden="1" outlineLevel="1" x14ac:dyDescent="0.25">
      <c r="A11932" s="1997">
        <v>0.02</v>
      </c>
      <c r="B11932" s="1813" t="s">
        <v>1211</v>
      </c>
      <c r="C11932" s="1998">
        <v>41.789000000000001</v>
      </c>
      <c r="D11932" s="1999">
        <v>101.25</v>
      </c>
      <c r="E11932" s="2000">
        <v>1.4228864055134127</v>
      </c>
      <c r="F11932" s="2001">
        <v>2.8457728110268254E-2</v>
      </c>
      <c r="H11932" s="417" t="s">
        <v>685</v>
      </c>
      <c r="P11932" s="434"/>
    </row>
    <row r="11933" spans="1:16" hidden="1" outlineLevel="1" x14ac:dyDescent="0.25">
      <c r="A11933" s="2004">
        <v>0.03</v>
      </c>
      <c r="B11933" s="1813" t="s">
        <v>2874</v>
      </c>
      <c r="C11933" s="2005">
        <v>29.439</v>
      </c>
      <c r="D11933" s="1813">
        <v>54.86</v>
      </c>
      <c r="E11933" s="2006">
        <v>0.86351438567886141</v>
      </c>
      <c r="F11933" s="2007">
        <v>2.5905431570365841E-2</v>
      </c>
      <c r="H11933" s="417" t="s">
        <v>9060</v>
      </c>
      <c r="P11933" s="434"/>
    </row>
    <row r="11934" spans="1:16" hidden="1" outlineLevel="1" x14ac:dyDescent="0.25">
      <c r="A11934" s="1794" t="s">
        <v>2734</v>
      </c>
      <c r="B11934" s="1898"/>
      <c r="C11934" s="1084"/>
      <c r="D11934" s="1899"/>
      <c r="E11934" s="1790" t="s">
        <v>4577</v>
      </c>
      <c r="F11934" s="1838">
        <v>0.29482011831822463</v>
      </c>
      <c r="H11934" s="432"/>
    </row>
    <row r="11935" spans="1:16" collapsed="1" x14ac:dyDescent="0.25">
      <c r="A11935" s="3801" t="s">
        <v>5659</v>
      </c>
      <c r="B11935" s="3802"/>
      <c r="C11935" s="3802"/>
      <c r="D11935" s="3802"/>
      <c r="E11935" s="1892"/>
      <c r="F11935" s="1893">
        <v>0.27449533333333337</v>
      </c>
    </row>
    <row r="11936" spans="1:16" x14ac:dyDescent="0.25">
      <c r="A11936" t="s">
        <v>2734</v>
      </c>
    </row>
    <row r="11937" spans="1:21" hidden="1" outlineLevel="1" x14ac:dyDescent="0.25">
      <c r="A11937" s="2008" t="s">
        <v>113</v>
      </c>
      <c r="B11937" s="2008" t="s">
        <v>114</v>
      </c>
      <c r="C11937" s="2008" t="s">
        <v>112</v>
      </c>
      <c r="D11937" s="2008" t="s">
        <v>116</v>
      </c>
      <c r="E11937" s="2008" t="s">
        <v>117</v>
      </c>
      <c r="F11937" s="2009" t="s">
        <v>121</v>
      </c>
      <c r="G11937" s="78"/>
    </row>
    <row r="11938" spans="1:21" hidden="1" outlineLevel="1" x14ac:dyDescent="0.25">
      <c r="A11938" s="2010">
        <v>1</v>
      </c>
      <c r="B11938" s="2011" t="s">
        <v>252</v>
      </c>
      <c r="C11938" s="2012">
        <v>100</v>
      </c>
      <c r="D11938" s="2012"/>
      <c r="E11938" s="2013"/>
      <c r="F11938" s="2014"/>
      <c r="G11938" s="78"/>
    </row>
    <row r="11939" spans="1:21" hidden="1" outlineLevel="1" x14ac:dyDescent="0.25">
      <c r="A11939" s="2015" t="s">
        <v>2734</v>
      </c>
      <c r="B11939" s="2015"/>
      <c r="C11939" s="2016"/>
      <c r="D11939" s="1900" t="s">
        <v>3702</v>
      </c>
      <c r="E11939" s="2017">
        <v>43524</v>
      </c>
      <c r="F11939" s="2018"/>
      <c r="G11939" s="78"/>
    </row>
    <row r="11940" spans="1:21" hidden="1" outlineLevel="1" x14ac:dyDescent="0.25">
      <c r="A11940" s="2008" t="s">
        <v>4156</v>
      </c>
      <c r="B11940" s="2019" t="s">
        <v>4153</v>
      </c>
      <c r="C11940" s="2020" t="s">
        <v>112</v>
      </c>
      <c r="D11940" s="2019" t="s">
        <v>4155</v>
      </c>
      <c r="E11940" s="2019" t="s">
        <v>4154</v>
      </c>
      <c r="F11940" s="1996" t="s">
        <v>2519</v>
      </c>
      <c r="G11940" s="78"/>
      <c r="J11940" s="417" t="s">
        <v>5661</v>
      </c>
      <c r="K11940" s="417" t="s">
        <v>5662</v>
      </c>
      <c r="L11940" s="417" t="s">
        <v>5663</v>
      </c>
      <c r="M11940" s="417" t="s">
        <v>5664</v>
      </c>
      <c r="O11940" t="s">
        <v>2040</v>
      </c>
      <c r="P11940" s="370"/>
    </row>
    <row r="11941" spans="1:21" hidden="1" outlineLevel="1" x14ac:dyDescent="0.25">
      <c r="A11941" s="1813">
        <v>0.05</v>
      </c>
      <c r="B11941" s="2021" t="s">
        <v>139</v>
      </c>
      <c r="C11941" s="1993">
        <v>2578.25</v>
      </c>
      <c r="D11941" s="2022">
        <v>4807</v>
      </c>
      <c r="E11941" s="1995">
        <v>0.86444293610006784</v>
      </c>
      <c r="F11941" s="1996">
        <v>4.3222146805003393E-2</v>
      </c>
      <c r="G11941" s="78"/>
      <c r="H11941" s="417" t="s">
        <v>1776</v>
      </c>
      <c r="J11941" s="417">
        <v>2682</v>
      </c>
      <c r="K11941" s="417">
        <v>2523</v>
      </c>
      <c r="L11941" s="417">
        <v>2515</v>
      </c>
      <c r="M11941" s="417">
        <v>2593</v>
      </c>
      <c r="O11941" s="256">
        <v>42979</v>
      </c>
      <c r="P11941" s="1628">
        <v>137.91079999999999</v>
      </c>
      <c r="Q11941" s="37">
        <f>IF(P11941="",K11971,P11941/100-1)</f>
        <v>0.379108</v>
      </c>
      <c r="U11941" s="434"/>
    </row>
    <row r="11942" spans="1:21" hidden="1" outlineLevel="1" x14ac:dyDescent="0.25">
      <c r="A11942" s="1813">
        <v>0.03</v>
      </c>
      <c r="B11942" s="2023" t="s">
        <v>5479</v>
      </c>
      <c r="C11942" s="1998">
        <v>1883.25</v>
      </c>
      <c r="D11942" s="2024">
        <v>2243</v>
      </c>
      <c r="E11942" s="1995">
        <v>0.19102615159962832</v>
      </c>
      <c r="F11942" s="2001">
        <v>5.7307845479888497E-3</v>
      </c>
      <c r="G11942" s="78"/>
      <c r="H11942" s="417" t="s">
        <v>5477</v>
      </c>
      <c r="J11942" s="417">
        <v>18.149999999999999</v>
      </c>
      <c r="K11942" s="417">
        <v>19.54</v>
      </c>
      <c r="L11942" s="417">
        <v>18.78</v>
      </c>
      <c r="M11942" s="417">
        <v>18.86</v>
      </c>
      <c r="O11942" s="256">
        <v>43009</v>
      </c>
      <c r="P11942" s="1628">
        <v>139.68170000000001</v>
      </c>
      <c r="Q11942" s="37">
        <f>IF(P11942="",$F$11961,P11942/100-1)</f>
        <v>0.39681699999999998</v>
      </c>
      <c r="U11942" s="434"/>
    </row>
    <row r="11943" spans="1:21" hidden="1" outlineLevel="1" x14ac:dyDescent="0.25">
      <c r="A11943" s="1813">
        <v>0.05</v>
      </c>
      <c r="B11943" s="1928" t="s">
        <v>3850</v>
      </c>
      <c r="C11943" s="1998">
        <v>44.172500000000007</v>
      </c>
      <c r="D11943" s="2024">
        <v>36.020000000000003</v>
      </c>
      <c r="E11943" s="1995">
        <v>-0.18456052974135495</v>
      </c>
      <c r="F11943" s="2001">
        <v>-9.2280264870677475E-3</v>
      </c>
      <c r="G11943" s="78"/>
      <c r="H11943" s="417" t="s">
        <v>8253</v>
      </c>
      <c r="J11943" s="417">
        <v>45.21</v>
      </c>
      <c r="K11943" s="417">
        <v>47.52</v>
      </c>
      <c r="L11943" s="417">
        <v>42.75</v>
      </c>
      <c r="M11943" s="417">
        <v>41.21</v>
      </c>
      <c r="O11943" s="256">
        <v>43040</v>
      </c>
      <c r="P11943" s="412">
        <v>142.82069999999999</v>
      </c>
      <c r="Q11943" s="37">
        <f t="shared" ref="Q11943:Q11958" si="220">IF(P11943="",$F$11961,P11943/100-1)</f>
        <v>0.42820699999999978</v>
      </c>
      <c r="U11943" s="434"/>
    </row>
    <row r="11944" spans="1:21" hidden="1" outlineLevel="1" x14ac:dyDescent="0.25">
      <c r="A11944" s="1813">
        <v>0.03</v>
      </c>
      <c r="B11944" s="2025" t="s">
        <v>5821</v>
      </c>
      <c r="C11944" s="1998">
        <v>7.3964999988831277</v>
      </c>
      <c r="D11944" s="2024">
        <v>4.53</v>
      </c>
      <c r="E11944" s="1995">
        <v>-0.38754816457999985</v>
      </c>
      <c r="F11944" s="2001">
        <v>-1.1626444937399996E-2</v>
      </c>
      <c r="G11944" s="78"/>
      <c r="H11944" s="417" t="s">
        <v>5819</v>
      </c>
      <c r="J11944" s="417">
        <v>36.520000000000003</v>
      </c>
      <c r="K11944" s="417">
        <v>38.479999999999997</v>
      </c>
      <c r="L11944" s="417">
        <v>34.57</v>
      </c>
      <c r="M11944" s="417">
        <v>38.36</v>
      </c>
      <c r="O11944" s="256">
        <v>43070</v>
      </c>
      <c r="P11944" s="412">
        <v>146.55690000000001</v>
      </c>
      <c r="Q11944" s="37">
        <f t="shared" si="220"/>
        <v>0.46556900000000012</v>
      </c>
      <c r="U11944" s="434"/>
    </row>
    <row r="11945" spans="1:21" hidden="1" outlineLevel="1" x14ac:dyDescent="0.25">
      <c r="A11945" s="1813">
        <v>0.05</v>
      </c>
      <c r="B11945" s="2025" t="s">
        <v>5194</v>
      </c>
      <c r="C11945" s="1998">
        <v>26.645767119623464</v>
      </c>
      <c r="D11945" s="2024">
        <v>23.37</v>
      </c>
      <c r="E11945" s="1995">
        <v>-0.12293761725520003</v>
      </c>
      <c r="F11945" s="2001">
        <v>-6.1468808627600019E-3</v>
      </c>
      <c r="G11945" s="78"/>
      <c r="H11945" s="417" t="s">
        <v>5192</v>
      </c>
      <c r="J11945" s="417">
        <v>35.99</v>
      </c>
      <c r="K11945" s="417">
        <v>36.57</v>
      </c>
      <c r="L11945" s="417">
        <v>33.9</v>
      </c>
      <c r="M11945" s="417">
        <v>30.51</v>
      </c>
      <c r="O11945" s="256">
        <v>43101</v>
      </c>
      <c r="P11945" s="412">
        <v>147.03749999999999</v>
      </c>
      <c r="Q11945" s="37">
        <f t="shared" si="220"/>
        <v>0.47037499999999999</v>
      </c>
      <c r="U11945" s="434"/>
    </row>
    <row r="11946" spans="1:21" hidden="1" outlineLevel="1" x14ac:dyDescent="0.25">
      <c r="A11946" s="1813">
        <v>0.04</v>
      </c>
      <c r="B11946" s="1813" t="s">
        <v>3406</v>
      </c>
      <c r="C11946" s="1998">
        <v>2003.875</v>
      </c>
      <c r="D11946" s="2024">
        <v>2913.5</v>
      </c>
      <c r="E11946" s="1995">
        <v>0.45393300480319376</v>
      </c>
      <c r="F11946" s="2001">
        <v>1.8157320192127752E-2</v>
      </c>
      <c r="G11946" s="78"/>
      <c r="H11946" s="417" t="s">
        <v>2105</v>
      </c>
      <c r="J11946" s="417">
        <v>19.88</v>
      </c>
      <c r="K11946" s="417">
        <v>20.77</v>
      </c>
      <c r="L11946" s="417">
        <v>19.940000000000001</v>
      </c>
      <c r="M11946" s="417">
        <v>19.565000000000001</v>
      </c>
      <c r="O11946" s="256">
        <v>43132</v>
      </c>
      <c r="P11946" s="412">
        <v>137.92400000000001</v>
      </c>
      <c r="Q11946" s="37">
        <f t="shared" si="220"/>
        <v>0.37924000000000002</v>
      </c>
      <c r="U11946" s="434"/>
    </row>
    <row r="11947" spans="1:21" hidden="1" outlineLevel="1" x14ac:dyDescent="0.25">
      <c r="A11947" s="1813">
        <v>7.0000000000000007E-2</v>
      </c>
      <c r="B11947" s="2023" t="s">
        <v>5486</v>
      </c>
      <c r="C11947" s="1998">
        <v>7.37809994858784</v>
      </c>
      <c r="D11947" s="2024">
        <v>25.15</v>
      </c>
      <c r="E11947" s="1995">
        <v>2.4087366903742855</v>
      </c>
      <c r="F11947" s="2001">
        <v>0.1686115683262</v>
      </c>
      <c r="G11947" s="78"/>
      <c r="H11947" s="417" t="s">
        <v>9280</v>
      </c>
      <c r="J11947" s="417">
        <v>46.96</v>
      </c>
      <c r="K11947" s="417">
        <v>47.26</v>
      </c>
      <c r="L11947" s="417">
        <v>44.6</v>
      </c>
      <c r="M11947" s="417">
        <v>44.48</v>
      </c>
      <c r="O11947" s="256">
        <v>43160</v>
      </c>
      <c r="P11947" s="412">
        <v>136.70089999999999</v>
      </c>
      <c r="Q11947" s="37">
        <f t="shared" si="220"/>
        <v>0.36700899999999992</v>
      </c>
      <c r="U11947" s="434"/>
    </row>
    <row r="11948" spans="1:21" hidden="1" outlineLevel="1" x14ac:dyDescent="0.25">
      <c r="A11948" s="1813">
        <v>0.05</v>
      </c>
      <c r="B11948" s="1928" t="s">
        <v>5489</v>
      </c>
      <c r="C11948" s="1998">
        <v>49.952499999999993</v>
      </c>
      <c r="D11948" s="2024">
        <v>47.13</v>
      </c>
      <c r="E11948" s="1995">
        <v>-5.650367849456972E-2</v>
      </c>
      <c r="F11948" s="2001">
        <v>-2.8251839247284863E-3</v>
      </c>
      <c r="G11948" s="78"/>
      <c r="H11948" s="417" t="s">
        <v>5487</v>
      </c>
      <c r="J11948" s="417">
        <v>49.91</v>
      </c>
      <c r="K11948" s="417">
        <v>52.73</v>
      </c>
      <c r="L11948" s="417">
        <v>49.19</v>
      </c>
      <c r="M11948" s="417">
        <v>47.98</v>
      </c>
      <c r="O11948" s="256">
        <v>43191</v>
      </c>
      <c r="P11948" s="412">
        <v>135.6285</v>
      </c>
      <c r="Q11948" s="37">
        <f t="shared" si="220"/>
        <v>0.35628499999999996</v>
      </c>
      <c r="U11948" s="434"/>
    </row>
    <row r="11949" spans="1:21" hidden="1" outlineLevel="1" x14ac:dyDescent="0.25">
      <c r="A11949" s="1813">
        <v>0.03</v>
      </c>
      <c r="B11949" s="2026" t="s">
        <v>5492</v>
      </c>
      <c r="C11949" s="1998">
        <v>92.82</v>
      </c>
      <c r="D11949" s="2024">
        <v>110.68</v>
      </c>
      <c r="E11949" s="1995">
        <v>0.19241542770954556</v>
      </c>
      <c r="F11949" s="2001">
        <v>5.7724628312863669E-3</v>
      </c>
      <c r="G11949" s="78"/>
      <c r="H11949" s="417" t="s">
        <v>5490</v>
      </c>
      <c r="J11949" s="417">
        <v>90.71</v>
      </c>
      <c r="K11949" s="417">
        <v>96.95</v>
      </c>
      <c r="L11949" s="417">
        <v>91.04</v>
      </c>
      <c r="M11949" s="417">
        <v>92.58</v>
      </c>
      <c r="O11949" s="256">
        <v>43221</v>
      </c>
      <c r="P11949" s="412">
        <v>135.126</v>
      </c>
      <c r="Q11949" s="37">
        <f t="shared" si="220"/>
        <v>0.35126000000000013</v>
      </c>
      <c r="U11949" s="434"/>
    </row>
    <row r="11950" spans="1:21" hidden="1" outlineLevel="1" x14ac:dyDescent="0.25">
      <c r="A11950" s="1813">
        <v>0.08</v>
      </c>
      <c r="B11950" s="2026" t="s">
        <v>1343</v>
      </c>
      <c r="C11950" s="1998">
        <v>2220.5</v>
      </c>
      <c r="D11950" s="2024">
        <v>2510.5</v>
      </c>
      <c r="E11950" s="1995">
        <v>0.1306012159423553</v>
      </c>
      <c r="F11950" s="2001">
        <v>1.0448097275388424E-2</v>
      </c>
      <c r="G11950" s="78"/>
      <c r="H11950" s="417" t="s">
        <v>7747</v>
      </c>
      <c r="J11950" s="417">
        <v>22.85</v>
      </c>
      <c r="K11950" s="417">
        <v>22.27</v>
      </c>
      <c r="L11950" s="417">
        <v>21.33</v>
      </c>
      <c r="M11950" s="417">
        <v>22.37</v>
      </c>
      <c r="O11950" s="256">
        <v>43252</v>
      </c>
      <c r="P11950" s="412">
        <v>138.28489999999999</v>
      </c>
      <c r="Q11950" s="37">
        <f t="shared" si="220"/>
        <v>0.38284899999999999</v>
      </c>
      <c r="U11950" s="434"/>
    </row>
    <row r="11951" spans="1:21" hidden="1" outlineLevel="1" x14ac:dyDescent="0.25">
      <c r="A11951" s="1813">
        <v>0.05</v>
      </c>
      <c r="B11951" s="2026" t="s">
        <v>811</v>
      </c>
      <c r="C11951" s="1998">
        <v>62.722499999999997</v>
      </c>
      <c r="D11951" s="2024">
        <v>56.26</v>
      </c>
      <c r="E11951" s="1995">
        <v>-0.10303320180158637</v>
      </c>
      <c r="F11951" s="2001">
        <v>-5.1516600900793188E-3</v>
      </c>
      <c r="G11951" s="78"/>
      <c r="H11951" s="417" t="s">
        <v>812</v>
      </c>
      <c r="J11951" s="417">
        <v>65.97</v>
      </c>
      <c r="K11951" s="417">
        <v>65.42</v>
      </c>
      <c r="L11951" s="417">
        <v>60.75</v>
      </c>
      <c r="M11951" s="417">
        <v>58.75</v>
      </c>
      <c r="O11951" s="256">
        <v>43282</v>
      </c>
      <c r="P11951" s="412">
        <v>146.0393</v>
      </c>
      <c r="Q11951" s="37">
        <f t="shared" si="220"/>
        <v>0.46039300000000005</v>
      </c>
      <c r="U11951" s="434"/>
    </row>
    <row r="11952" spans="1:21" hidden="1" outlineLevel="1" x14ac:dyDescent="0.25">
      <c r="A11952" s="1813">
        <v>0.03</v>
      </c>
      <c r="B11952" s="1928" t="s">
        <v>5497</v>
      </c>
      <c r="C11952" s="1998">
        <v>68.842500000000001</v>
      </c>
      <c r="D11952" s="2024">
        <v>135.97999999999999</v>
      </c>
      <c r="E11952" s="1995">
        <v>0.97523332243890026</v>
      </c>
      <c r="F11952" s="2001">
        <v>2.9256999673167007E-2</v>
      </c>
      <c r="G11952" s="78"/>
      <c r="H11952" s="417" t="s">
        <v>5496</v>
      </c>
      <c r="J11952" s="417">
        <v>70.489999999999995</v>
      </c>
      <c r="K11952" s="417">
        <v>72.540000000000006</v>
      </c>
      <c r="L11952" s="417">
        <v>67.459999999999994</v>
      </c>
      <c r="M11952" s="417">
        <v>64.88</v>
      </c>
      <c r="O11952" s="256">
        <v>43313</v>
      </c>
      <c r="P11952" s="412">
        <v>140.9504</v>
      </c>
      <c r="Q11952" s="37">
        <f t="shared" si="220"/>
        <v>0.40950400000000009</v>
      </c>
      <c r="U11952" s="434"/>
    </row>
    <row r="11953" spans="1:21" hidden="1" outlineLevel="1" x14ac:dyDescent="0.25">
      <c r="A11953" s="1813">
        <v>0.03</v>
      </c>
      <c r="B11953" s="2026" t="s">
        <v>5500</v>
      </c>
      <c r="C11953" s="1998">
        <v>30.627499999999998</v>
      </c>
      <c r="D11953" s="2024">
        <v>47.16</v>
      </c>
      <c r="E11953" s="1995">
        <v>0.53979266998612352</v>
      </c>
      <c r="F11953" s="2001">
        <v>1.6193780099583704E-2</v>
      </c>
      <c r="G11953" s="78"/>
      <c r="H11953" s="417" t="s">
        <v>5498</v>
      </c>
      <c r="J11953" s="417">
        <v>29.15</v>
      </c>
      <c r="K11953" s="417">
        <v>31.72</v>
      </c>
      <c r="L11953" s="417">
        <v>30.79</v>
      </c>
      <c r="M11953" s="417">
        <v>30.85</v>
      </c>
      <c r="O11953" s="256">
        <v>43344</v>
      </c>
      <c r="P11953" s="412">
        <v>139.39500000000001</v>
      </c>
      <c r="Q11953" s="37">
        <f t="shared" si="220"/>
        <v>0.39395000000000002</v>
      </c>
      <c r="U11953" s="434"/>
    </row>
    <row r="11954" spans="1:21" hidden="1" outlineLevel="1" x14ac:dyDescent="0.25">
      <c r="A11954" s="1813">
        <v>7.0000000000000007E-2</v>
      </c>
      <c r="B11954" s="2026" t="s">
        <v>3797</v>
      </c>
      <c r="C11954" s="1998">
        <v>63.087499999999999</v>
      </c>
      <c r="D11954" s="2024">
        <v>90.36</v>
      </c>
      <c r="E11954" s="1995">
        <v>0.4322964137111156</v>
      </c>
      <c r="F11954" s="2001">
        <v>3.0260748959778094E-2</v>
      </c>
      <c r="G11954" s="78"/>
      <c r="H11954" s="417" t="s">
        <v>8872</v>
      </c>
      <c r="J11954" s="417">
        <v>63.35</v>
      </c>
      <c r="K11954" s="417">
        <v>64.5</v>
      </c>
      <c r="L11954" s="417">
        <v>61.4</v>
      </c>
      <c r="M11954" s="417">
        <v>63.1</v>
      </c>
      <c r="O11954" s="256">
        <v>43374</v>
      </c>
      <c r="P11954" s="412">
        <v>142.7225</v>
      </c>
      <c r="Q11954" s="37">
        <f t="shared" si="220"/>
        <v>0.42722499999999997</v>
      </c>
      <c r="U11954" s="434"/>
    </row>
    <row r="11955" spans="1:21" hidden="1" outlineLevel="1" x14ac:dyDescent="0.25">
      <c r="A11955" s="1813">
        <v>0.05</v>
      </c>
      <c r="B11955" s="2025" t="s">
        <v>1204</v>
      </c>
      <c r="C11955" s="1998">
        <v>81.802499999999995</v>
      </c>
      <c r="D11955" s="2024">
        <v>115.64</v>
      </c>
      <c r="E11955" s="1995">
        <v>0.41364872711714207</v>
      </c>
      <c r="F11955" s="2001">
        <v>2.0682436355857106E-2</v>
      </c>
      <c r="G11955" s="78"/>
      <c r="H11955" s="417" t="s">
        <v>9047</v>
      </c>
      <c r="J11955" s="417">
        <v>82.99</v>
      </c>
      <c r="K11955" s="417">
        <v>84.2</v>
      </c>
      <c r="L11955" s="417">
        <v>80.2</v>
      </c>
      <c r="M11955" s="417">
        <v>79.819999999999993</v>
      </c>
      <c r="O11955" s="256">
        <v>43405</v>
      </c>
      <c r="P11955" s="412">
        <v>141.3494</v>
      </c>
      <c r="Q11955" s="37">
        <f t="shared" si="220"/>
        <v>0.41349400000000003</v>
      </c>
      <c r="U11955" s="434"/>
    </row>
    <row r="11956" spans="1:21" hidden="1" outlineLevel="1" x14ac:dyDescent="0.25">
      <c r="A11956" s="1813">
        <v>0.08</v>
      </c>
      <c r="B11956" s="2023" t="s">
        <v>901</v>
      </c>
      <c r="C11956" s="1998">
        <v>20.418766923697756</v>
      </c>
      <c r="D11956" s="2024">
        <v>27.585000000000001</v>
      </c>
      <c r="E11956" s="1995">
        <v>0.35096306760743756</v>
      </c>
      <c r="F11956" s="2001">
        <v>2.8077045408595007E-2</v>
      </c>
      <c r="G11956" s="78"/>
      <c r="H11956" s="417" t="s">
        <v>531</v>
      </c>
      <c r="J11956" s="417">
        <v>50.49</v>
      </c>
      <c r="K11956" s="417">
        <v>50.26</v>
      </c>
      <c r="L11956" s="417">
        <v>47.39</v>
      </c>
      <c r="M11956" s="417">
        <v>49.22</v>
      </c>
      <c r="O11956" s="256">
        <v>43435</v>
      </c>
      <c r="P11956" s="412">
        <v>129.74539999999999</v>
      </c>
      <c r="Q11956" s="37">
        <f t="shared" si="220"/>
        <v>0.29745399999999989</v>
      </c>
      <c r="U11956" s="434"/>
    </row>
    <row r="11957" spans="1:21" hidden="1" outlineLevel="1" x14ac:dyDescent="0.25">
      <c r="A11957" s="1813">
        <v>7.0000000000000007E-2</v>
      </c>
      <c r="B11957" s="2026" t="s">
        <v>5503</v>
      </c>
      <c r="C11957" s="1998">
        <v>820.13000002712658</v>
      </c>
      <c r="D11957" s="2024">
        <v>695</v>
      </c>
      <c r="E11957" s="1995">
        <v>-0.15257337254214309</v>
      </c>
      <c r="F11957" s="2001">
        <v>-1.0680136077950018E-2</v>
      </c>
      <c r="G11957" s="78"/>
      <c r="H11957" s="417" t="s">
        <v>5501</v>
      </c>
      <c r="J11957" s="417">
        <v>8.7850000000000001</v>
      </c>
      <c r="K11957" s="417">
        <v>8.4649999999999999</v>
      </c>
      <c r="L11957" s="417">
        <v>8.1750000000000007</v>
      </c>
      <c r="M11957" s="417">
        <v>7.38</v>
      </c>
      <c r="O11957" s="256">
        <v>43466</v>
      </c>
      <c r="P11957" s="412">
        <v>136.49449999999999</v>
      </c>
      <c r="Q11957" s="37">
        <f t="shared" si="220"/>
        <v>0.36494499999999985</v>
      </c>
      <c r="U11957" s="434"/>
    </row>
    <row r="11958" spans="1:21" hidden="1" outlineLevel="1" x14ac:dyDescent="0.25">
      <c r="A11958" s="1813">
        <v>0.05</v>
      </c>
      <c r="B11958" s="2026" t="s">
        <v>1142</v>
      </c>
      <c r="C11958" s="1998">
        <v>39.275000000000006</v>
      </c>
      <c r="D11958" s="2024">
        <v>45.34</v>
      </c>
      <c r="E11958" s="1995">
        <v>0.1544239338001272</v>
      </c>
      <c r="F11958" s="2001">
        <v>7.7211966900063607E-3</v>
      </c>
      <c r="G11958" s="78"/>
      <c r="H11958" s="417" t="s">
        <v>1143</v>
      </c>
      <c r="J11958" s="417">
        <v>40.68</v>
      </c>
      <c r="K11958" s="417">
        <v>40.57</v>
      </c>
      <c r="L11958" s="417">
        <v>37.9</v>
      </c>
      <c r="M11958" s="417">
        <v>37.950000000000003</v>
      </c>
      <c r="O11958" s="256">
        <v>43497</v>
      </c>
      <c r="P11958" s="412">
        <v>136.56809999999999</v>
      </c>
      <c r="Q11958" s="37">
        <f t="shared" si="220"/>
        <v>0.36568099999999992</v>
      </c>
      <c r="U11958" s="434"/>
    </row>
    <row r="11959" spans="1:21" hidden="1" outlineLevel="1" x14ac:dyDescent="0.25">
      <c r="A11959" s="1813">
        <v>0.04</v>
      </c>
      <c r="B11959" s="2026" t="s">
        <v>5506</v>
      </c>
      <c r="C11959" s="1998">
        <v>107.25</v>
      </c>
      <c r="D11959" s="2024">
        <v>105.91</v>
      </c>
      <c r="E11959" s="1995">
        <v>-1.2494172494172506E-2</v>
      </c>
      <c r="F11959" s="2001">
        <v>-4.9976689976690021E-4</v>
      </c>
      <c r="G11959" s="78"/>
      <c r="H11959" s="417" t="s">
        <v>5504</v>
      </c>
      <c r="J11959" s="417">
        <v>104.53</v>
      </c>
      <c r="K11959" s="417">
        <v>113.67</v>
      </c>
      <c r="L11959" s="417">
        <v>105.39</v>
      </c>
      <c r="M11959" s="417">
        <v>105.41</v>
      </c>
      <c r="O11959" s="412" t="s">
        <v>2465</v>
      </c>
      <c r="Q11959" s="261">
        <f>AVERAGE(Q11941:Q11958)</f>
        <v>0.39496472222222223</v>
      </c>
      <c r="U11959" s="434"/>
    </row>
    <row r="11960" spans="1:21" hidden="1" outlineLevel="1" x14ac:dyDescent="0.25">
      <c r="A11960" s="1813">
        <v>0.05</v>
      </c>
      <c r="B11960" s="1930" t="s">
        <v>106</v>
      </c>
      <c r="C11960" s="2005">
        <v>2579</v>
      </c>
      <c r="D11960" s="2027">
        <v>4008</v>
      </c>
      <c r="E11960" s="1813">
        <v>0.55409073284218691</v>
      </c>
      <c r="F11960" s="2007">
        <v>2.7704536642109347E-2</v>
      </c>
      <c r="G11960" s="78"/>
      <c r="H11960" s="417" t="s">
        <v>107</v>
      </c>
      <c r="J11960" s="417">
        <v>27.65</v>
      </c>
      <c r="K11960" s="417">
        <v>27.08</v>
      </c>
      <c r="L11960" s="417">
        <v>24.85</v>
      </c>
      <c r="M11960" s="417">
        <v>23.58</v>
      </c>
      <c r="P11960" s="434"/>
      <c r="U11960" s="434"/>
    </row>
    <row r="11961" spans="1:21" hidden="1" outlineLevel="1" x14ac:dyDescent="0.25">
      <c r="A11961" s="1813" t="s">
        <v>2734</v>
      </c>
      <c r="B11961" s="1813"/>
      <c r="C11961" s="1813"/>
      <c r="D11961" s="1813"/>
      <c r="E11961" s="2000"/>
      <c r="F11961" s="2028">
        <v>0.36568102452733897</v>
      </c>
      <c r="G11961" s="78"/>
    </row>
    <row r="11962" spans="1:21" collapsed="1" x14ac:dyDescent="0.25">
      <c r="A11962" s="3801" t="s">
        <v>5660</v>
      </c>
      <c r="B11962" s="3802"/>
      <c r="C11962" s="3802"/>
      <c r="D11962" s="3802"/>
      <c r="E11962" s="1988"/>
      <c r="F11962" s="1893">
        <v>0.19748236111111112</v>
      </c>
      <c r="G11962" s="78"/>
    </row>
    <row r="11963" spans="1:21" x14ac:dyDescent="0.25">
      <c r="A11963" t="s">
        <v>2734</v>
      </c>
    </row>
    <row r="11964" spans="1:21" hidden="1" outlineLevel="1" x14ac:dyDescent="0.25">
      <c r="A11964" s="495" t="s">
        <v>113</v>
      </c>
      <c r="B11964" s="689" t="s">
        <v>114</v>
      </c>
      <c r="C11964" s="495" t="s">
        <v>112</v>
      </c>
      <c r="D11964" s="689" t="s">
        <v>4155</v>
      </c>
      <c r="E11964" s="689" t="s">
        <v>116</v>
      </c>
      <c r="F11964" s="1021" t="s">
        <v>121</v>
      </c>
      <c r="H11964" s="438" t="s">
        <v>5391</v>
      </c>
      <c r="I11964" s="438" t="s">
        <v>5392</v>
      </c>
    </row>
    <row r="11965" spans="1:21" hidden="1" outlineLevel="1" x14ac:dyDescent="0.25">
      <c r="A11965" s="753" t="s">
        <v>5667</v>
      </c>
      <c r="B11965" s="729" t="s">
        <v>2153</v>
      </c>
      <c r="C11965" s="800">
        <v>2821.14</v>
      </c>
      <c r="D11965" s="3805">
        <f>VLOOKUP(B11965,indexy!A:D,2,0)</f>
        <v>5083.42</v>
      </c>
      <c r="E11965" s="1262">
        <v>3055.6959999999999</v>
      </c>
      <c r="F11965" s="700">
        <f>IF(H11965="","",IF(H11965&lt;0%,H11965,I11965))</f>
        <v>7.4999999999999997E-2</v>
      </c>
      <c r="H11965" s="79">
        <f>IF(C11965="","",IF(E11965="",$D$11179/C11965-1,E11965/C11965-1))</f>
        <v>8.3142275817577271E-2</v>
      </c>
      <c r="I11965" s="450">
        <v>7.4999999999999997E-2</v>
      </c>
    </row>
    <row r="11966" spans="1:21" hidden="1" outlineLevel="1" x14ac:dyDescent="0.25">
      <c r="A11966" s="732" t="s">
        <v>5668</v>
      </c>
      <c r="B11966" s="729" t="s">
        <v>2153</v>
      </c>
      <c r="C11966" s="1028">
        <f>IF(E11965="","",C11965)</f>
        <v>2821.14</v>
      </c>
      <c r="D11966" s="3806"/>
      <c r="E11966" s="1255"/>
      <c r="F11966" s="1178" t="str">
        <f>IF(F11965&gt;0%,"",IF(H11966="","",IF(H11966&lt;0%,H11966,I11966)))</f>
        <v/>
      </c>
      <c r="H11966" s="79">
        <f>IF(C11966="","",IF(E11966="",$D$9046/C11966-1,E11966/C11966-1))</f>
        <v>0.80190277689161138</v>
      </c>
      <c r="I11966" s="451">
        <v>0.15</v>
      </c>
    </row>
    <row r="11967" spans="1:21" hidden="1" outlineLevel="1" x14ac:dyDescent="0.25">
      <c r="A11967" s="732" t="s">
        <v>5669</v>
      </c>
      <c r="B11967" s="729" t="s">
        <v>2153</v>
      </c>
      <c r="C11967" s="1028" t="str">
        <f>IF(E11966="","",C11966)</f>
        <v/>
      </c>
      <c r="D11967" s="3806"/>
      <c r="E11967" s="1255"/>
      <c r="F11967" s="1178" t="str">
        <f>IF(F11966&gt;0%,"",IF(H11967="","",IF(H11967&lt;0%,H11967,I11967)))</f>
        <v/>
      </c>
      <c r="H11967" s="79" t="str">
        <f>IF(C11967="","",IF(E11967="",$D$9046/C11967-1,E11967/C11967-1))</f>
        <v/>
      </c>
      <c r="I11967" s="451">
        <v>0.22500000000000001</v>
      </c>
    </row>
    <row r="11968" spans="1:21" hidden="1" outlineLevel="1" x14ac:dyDescent="0.25">
      <c r="A11968" s="732" t="s">
        <v>5670</v>
      </c>
      <c r="B11968" s="729" t="s">
        <v>2153</v>
      </c>
      <c r="C11968" s="1028" t="str">
        <f>IF(E11967="","",C11967)</f>
        <v/>
      </c>
      <c r="D11968" s="3806"/>
      <c r="E11968" s="1255"/>
      <c r="F11968" s="1178" t="str">
        <f>IF(F11967&gt;0%,"",IF(H11968="","",IF(H11968&lt;0%,H11968,I11968)))</f>
        <v/>
      </c>
      <c r="H11968" s="79" t="str">
        <f>IF(C11968="","",IF(E11968="",$D$9046/C11968-1,E11968/C11968-1))</f>
        <v/>
      </c>
      <c r="I11968" s="451">
        <v>0.3</v>
      </c>
    </row>
    <row r="11969" spans="1:12" hidden="1" outlineLevel="1" x14ac:dyDescent="0.25">
      <c r="A11969" s="754" t="s">
        <v>5671</v>
      </c>
      <c r="B11969" s="729" t="s">
        <v>2153</v>
      </c>
      <c r="C11969" s="806" t="str">
        <f>IF(E11968="","",C11968)</f>
        <v/>
      </c>
      <c r="D11969" s="3807"/>
      <c r="E11969" s="1255"/>
      <c r="F11969" s="1107" t="str">
        <f>IF(F11968&gt;0%,"",IF(H11969="","",IF(H11969&lt;0%,H11969,I11969)))</f>
        <v/>
      </c>
      <c r="H11969" s="82" t="str">
        <f>IF(C11969="","",IF(E11969="",$D$9046/C11969-1,E11969/C11969-1))</f>
        <v/>
      </c>
      <c r="I11969" s="452">
        <v>0.375</v>
      </c>
    </row>
    <row r="11970" spans="1:12" hidden="1" outlineLevel="1" x14ac:dyDescent="0.25">
      <c r="A11970" s="846" t="s">
        <v>2734</v>
      </c>
      <c r="B11970" s="729"/>
      <c r="C11970" s="956"/>
      <c r="D11970" s="1249"/>
      <c r="E11970" s="693"/>
      <c r="F11970" s="856"/>
      <c r="H11970" s="37">
        <f>IF(H11969="",IF(H11968="",IF(H11967="",IF(H11966="",H11965,H11966),H11967),H11968),H11969)</f>
        <v>0.80190277689161138</v>
      </c>
    </row>
    <row r="11971" spans="1:12" collapsed="1" x14ac:dyDescent="0.25">
      <c r="A11971" s="3801" t="s">
        <v>5666</v>
      </c>
      <c r="B11971" s="3802"/>
      <c r="C11971" s="3802"/>
      <c r="D11971" s="3802"/>
      <c r="E11971" s="1811"/>
      <c r="F11971" s="1890">
        <f>IF(F11969="",IF(F11968="",IF(F11967="",IF(F11966="",F11965,F11966),F11967),F11968),IF(F11969&lt;-50%,F11969,IF(F11969&lt;0%,0%,F11969)))</f>
        <v>7.4999999999999997E-2</v>
      </c>
      <c r="G11971" s="175" t="s">
        <v>781</v>
      </c>
      <c r="H11971" s="74"/>
    </row>
    <row r="11972" spans="1:12" x14ac:dyDescent="0.25">
      <c r="A11972" t="s">
        <v>2734</v>
      </c>
    </row>
    <row r="11973" spans="1:12" hidden="1" outlineLevel="1" x14ac:dyDescent="0.25">
      <c r="A11973" s="2074" t="s">
        <v>113</v>
      </c>
      <c r="B11973" s="2074" t="s">
        <v>114</v>
      </c>
      <c r="C11973" s="2074" t="s">
        <v>112</v>
      </c>
      <c r="D11973" s="2074" t="s">
        <v>116</v>
      </c>
      <c r="E11973" s="2074" t="s">
        <v>117</v>
      </c>
      <c r="F11973" s="2075" t="s">
        <v>121</v>
      </c>
    </row>
    <row r="11974" spans="1:12" hidden="1" outlineLevel="1" x14ac:dyDescent="0.25">
      <c r="A11974" s="2076">
        <v>1</v>
      </c>
      <c r="B11974" s="2077" t="s">
        <v>252</v>
      </c>
      <c r="C11974" s="2078">
        <v>100</v>
      </c>
      <c r="D11974" s="2078"/>
      <c r="E11974" s="2079"/>
      <c r="F11974" s="2080"/>
    </row>
    <row r="11975" spans="1:12" hidden="1" outlineLevel="1" x14ac:dyDescent="0.25">
      <c r="A11975" s="2081" t="s">
        <v>2734</v>
      </c>
      <c r="B11975" s="2081"/>
      <c r="C11975" s="2082"/>
      <c r="D11975" s="1900" t="s">
        <v>3702</v>
      </c>
      <c r="E11975" s="2083">
        <v>43585</v>
      </c>
      <c r="F11975" s="2084"/>
    </row>
    <row r="11976" spans="1:12" hidden="1" outlineLevel="1" x14ac:dyDescent="0.25">
      <c r="A11976" s="2085" t="s">
        <v>4156</v>
      </c>
      <c r="B11976" s="2085" t="s">
        <v>4153</v>
      </c>
      <c r="C11976" s="2086" t="s">
        <v>112</v>
      </c>
      <c r="D11976" s="2085" t="s">
        <v>4155</v>
      </c>
      <c r="E11976" s="2085" t="s">
        <v>4154</v>
      </c>
      <c r="F11976" s="2087" t="s">
        <v>2519</v>
      </c>
      <c r="G11976" s="314"/>
      <c r="H11976" s="314"/>
      <c r="J11976" t="s">
        <v>2040</v>
      </c>
    </row>
    <row r="11977" spans="1:12" hidden="1" outlineLevel="1" x14ac:dyDescent="0.25">
      <c r="A11977" s="2088">
        <v>0.06</v>
      </c>
      <c r="B11977" s="2089" t="s">
        <v>3998</v>
      </c>
      <c r="C11977" s="2090">
        <v>34.628</v>
      </c>
      <c r="D11977" s="2091">
        <v>30.96</v>
      </c>
      <c r="E11977" s="2092">
        <v>-0.10592584036040198</v>
      </c>
      <c r="F11977" s="2093">
        <v>-6.3555504216241182E-3</v>
      </c>
      <c r="H11977" t="str">
        <f>VLOOKUP(B11977,indexy!$A$44:$D$823,3,FALSE)</f>
        <v>T UN Equity</v>
      </c>
      <c r="J11977" s="256">
        <v>43009</v>
      </c>
      <c r="K11977" s="412">
        <v>122.55889999999999</v>
      </c>
      <c r="L11977" s="37">
        <f>IF(K11977="",$F$12007,K11977/100-1)</f>
        <v>0.22558900000000004</v>
      </c>
    </row>
    <row r="11978" spans="1:12" hidden="1" outlineLevel="1" x14ac:dyDescent="0.25">
      <c r="A11978" s="2094">
        <v>0.02</v>
      </c>
      <c r="B11978" s="1921" t="s">
        <v>872</v>
      </c>
      <c r="C11978" s="2095">
        <v>442.93</v>
      </c>
      <c r="D11978" s="2096">
        <v>494</v>
      </c>
      <c r="E11978" s="2097">
        <v>0.11530038606551818</v>
      </c>
      <c r="F11978" s="2098">
        <v>2.3060077213103635E-3</v>
      </c>
      <c r="H11978" t="str">
        <f>VLOOKUP(B11978,indexy!$A$44:$D$823,3,FALSE)</f>
        <v>BA/ LN Equity</v>
      </c>
      <c r="J11978" s="256">
        <v>43040</v>
      </c>
      <c r="K11978" s="412">
        <v>123.2488</v>
      </c>
      <c r="L11978" s="37">
        <f>IF(K11978="",$F$12007,K11978/100-1)</f>
        <v>0.23248800000000003</v>
      </c>
    </row>
    <row r="11979" spans="1:12" hidden="1" outlineLevel="1" x14ac:dyDescent="0.25">
      <c r="A11979" s="2094">
        <v>0.06</v>
      </c>
      <c r="B11979" s="1926" t="s">
        <v>805</v>
      </c>
      <c r="C11979" s="2095">
        <v>63.936999999999998</v>
      </c>
      <c r="D11979" s="2096">
        <v>105.82</v>
      </c>
      <c r="E11979" s="2097">
        <v>0.65506670628900321</v>
      </c>
      <c r="F11979" s="2098">
        <v>3.9304002377340191E-2</v>
      </c>
      <c r="H11979" t="str">
        <f>VLOOKUP(B11979,indexy!$A$44:$D$823,3,FALSE)</f>
        <v>BMO CT Equity</v>
      </c>
      <c r="J11979" s="256">
        <v>43070</v>
      </c>
      <c r="K11979" s="412">
        <v>123.85339999999999</v>
      </c>
      <c r="L11979" s="37">
        <f>IF(K11979="",$F$12007,K11979/100-1)</f>
        <v>0.23853400000000002</v>
      </c>
    </row>
    <row r="11980" spans="1:12" hidden="1" outlineLevel="1" x14ac:dyDescent="0.25">
      <c r="A11980" s="2094">
        <v>0.05</v>
      </c>
      <c r="B11980" s="2099" t="s">
        <v>4377</v>
      </c>
      <c r="C11980" s="2095">
        <v>42.798000000000002</v>
      </c>
      <c r="D11980" s="2096">
        <v>46.43</v>
      </c>
      <c r="E11980" s="2097">
        <v>8.4863778681246727E-2</v>
      </c>
      <c r="F11980" s="2098">
        <v>4.2431889340623363E-3</v>
      </c>
      <c r="H11980" t="str">
        <f>VLOOKUP(B11980,indexy!$A$44:$D$823,3,FALSE)</f>
        <v>BMY UN Equity</v>
      </c>
      <c r="J11980" s="256">
        <v>43101</v>
      </c>
      <c r="K11980" s="412">
        <v>123.7979</v>
      </c>
      <c r="L11980" s="37">
        <f t="shared" ref="L11980:L11994" si="221">IF(K11980="",$F$12007,K11980/100-1)</f>
        <v>0.23797899999999994</v>
      </c>
    </row>
    <row r="11981" spans="1:12" hidden="1" outlineLevel="1" x14ac:dyDescent="0.25">
      <c r="A11981" s="2094">
        <v>0.02</v>
      </c>
      <c r="B11981" s="1926" t="s">
        <v>901</v>
      </c>
      <c r="C11981" s="2095">
        <v>3432.65</v>
      </c>
      <c r="D11981" s="2096">
        <v>2990</v>
      </c>
      <c r="E11981" s="2097">
        <v>-0.12895284983904565</v>
      </c>
      <c r="F11981" s="2098">
        <v>-2.5790569967809132E-3</v>
      </c>
      <c r="H11981" t="str">
        <f>VLOOKUP(B11981,indexy!$A$44:$D$823,3,FALSE)</f>
        <v>BATS LN Equity</v>
      </c>
      <c r="J11981" s="256">
        <v>43132</v>
      </c>
      <c r="K11981" s="412">
        <v>118.7765</v>
      </c>
      <c r="L11981" s="37">
        <f t="shared" si="221"/>
        <v>0.18776499999999996</v>
      </c>
    </row>
    <row r="11982" spans="1:12" hidden="1" outlineLevel="1" x14ac:dyDescent="0.25">
      <c r="A11982" s="2094">
        <v>0.05</v>
      </c>
      <c r="B11982" s="1929" t="s">
        <v>939</v>
      </c>
      <c r="C11982" s="2095">
        <v>66.741</v>
      </c>
      <c r="D11982" s="2096">
        <v>63.12</v>
      </c>
      <c r="E11982" s="2097">
        <v>-5.4254506225558496E-2</v>
      </c>
      <c r="F11982" s="2098">
        <v>-2.7127253112779249E-3</v>
      </c>
      <c r="H11982" t="str">
        <f>VLOOKUP(B11982,indexy!$A$44:$D$823,3,FALSE)</f>
        <v>COP UN Equity</v>
      </c>
      <c r="J11982" s="256">
        <v>43160</v>
      </c>
      <c r="K11982" s="412">
        <v>118.483</v>
      </c>
      <c r="L11982" s="37">
        <f t="shared" si="221"/>
        <v>0.18483000000000005</v>
      </c>
    </row>
    <row r="11983" spans="1:12" hidden="1" outlineLevel="1" x14ac:dyDescent="0.25">
      <c r="A11983" s="2094">
        <v>0.02</v>
      </c>
      <c r="B11983" s="2100" t="s">
        <v>2699</v>
      </c>
      <c r="C11983" s="2095">
        <v>21.65</v>
      </c>
      <c r="D11983" s="2096">
        <v>30.9</v>
      </c>
      <c r="E11983" s="2097">
        <v>0.42725173210161671</v>
      </c>
      <c r="F11983" s="2098">
        <v>8.5450346420323352E-3</v>
      </c>
      <c r="H11983" t="str">
        <f>VLOOKUP(B11983,indexy!$A$44:$D$823,3,FALSE)</f>
        <v>DHL GR Equity</v>
      </c>
      <c r="J11983" s="256">
        <v>43191</v>
      </c>
      <c r="K11983" s="412">
        <v>120.623</v>
      </c>
      <c r="L11983" s="37">
        <f t="shared" si="221"/>
        <v>0.20623000000000014</v>
      </c>
    </row>
    <row r="11984" spans="1:12" hidden="1" outlineLevel="1" x14ac:dyDescent="0.25">
      <c r="A11984" s="2094">
        <v>0.02</v>
      </c>
      <c r="B11984" s="1921" t="s">
        <v>2629</v>
      </c>
      <c r="C11984" s="2095">
        <v>9.7012999999999998</v>
      </c>
      <c r="D11984" s="2096">
        <v>14.914</v>
      </c>
      <c r="E11984" s="2097">
        <v>0.53731974065331456</v>
      </c>
      <c r="F11984" s="2098">
        <v>1.0746394813066291E-2</v>
      </c>
      <c r="H11984" t="str">
        <f>VLOOKUP(B11984,indexy!$A$44:$D$823,3,FALSE)</f>
        <v>DTE GY Equity</v>
      </c>
      <c r="J11984" s="256">
        <v>43221</v>
      </c>
      <c r="K11984" s="412">
        <v>119.64409999999999</v>
      </c>
      <c r="L11984" s="37">
        <f t="shared" si="221"/>
        <v>0.19644099999999987</v>
      </c>
    </row>
    <row r="11985" spans="1:12" hidden="1" outlineLevel="1" x14ac:dyDescent="0.25">
      <c r="A11985" s="2094">
        <v>0.04</v>
      </c>
      <c r="B11985" s="1921" t="s">
        <v>3799</v>
      </c>
      <c r="C11985" s="2095">
        <v>1640.1395081343803</v>
      </c>
      <c r="D11985" s="2096">
        <v>1573.4</v>
      </c>
      <c r="E11985" s="2097">
        <v>-4.0691360584499847E-2</v>
      </c>
      <c r="F11985" s="2098">
        <v>-1.6276544233799939E-3</v>
      </c>
      <c r="H11985" t="str">
        <f>VLOOKUP(B11985,indexy!$A$44:$D$823,3,FALSE)</f>
        <v>GSK LN Equity</v>
      </c>
      <c r="J11985" s="256">
        <v>43252</v>
      </c>
      <c r="K11985" s="412">
        <v>120.4106</v>
      </c>
      <c r="L11985" s="37">
        <f t="shared" si="221"/>
        <v>0.20410600000000012</v>
      </c>
    </row>
    <row r="11986" spans="1:12" hidden="1" outlineLevel="1" x14ac:dyDescent="0.25">
      <c r="A11986" s="2094">
        <v>0.02</v>
      </c>
      <c r="B11986" s="1921" t="s">
        <v>1771</v>
      </c>
      <c r="C11986" s="2095">
        <v>707.81</v>
      </c>
      <c r="D11986" s="2096">
        <v>667.1</v>
      </c>
      <c r="E11986" s="2097">
        <v>-5.7515434933103404E-2</v>
      </c>
      <c r="F11986" s="2098">
        <v>-1.1503086986620681E-3</v>
      </c>
      <c r="H11986" t="str">
        <f>VLOOKUP(B11986,indexy!$A$44:$D$823,3,FALSE)</f>
        <v>HSBA LN Equity</v>
      </c>
      <c r="J11986" s="256">
        <v>43282</v>
      </c>
      <c r="K11986" s="412">
        <v>123.8476</v>
      </c>
      <c r="L11986" s="37">
        <f t="shared" si="221"/>
        <v>0.23847599999999991</v>
      </c>
    </row>
    <row r="11987" spans="1:12" hidden="1" outlineLevel="1" x14ac:dyDescent="0.25">
      <c r="A11987" s="2094">
        <v>0.02</v>
      </c>
      <c r="B11987" s="1929" t="s">
        <v>1343</v>
      </c>
      <c r="C11987" s="2095">
        <v>2165</v>
      </c>
      <c r="D11987" s="2096">
        <v>2436</v>
      </c>
      <c r="E11987" s="2097">
        <v>0.12517321016166272</v>
      </c>
      <c r="F11987" s="2098">
        <v>2.5034642032332544E-3</v>
      </c>
      <c r="H11987" t="str">
        <f>VLOOKUP(B11987,indexy!$A$44:$D$823,3,FALSE)</f>
        <v>IMB LN Equity</v>
      </c>
      <c r="J11987" s="256">
        <v>43313</v>
      </c>
      <c r="K11987" s="412">
        <v>122.50190000000001</v>
      </c>
      <c r="L11987" s="37">
        <f t="shared" si="221"/>
        <v>0.22501900000000008</v>
      </c>
    </row>
    <row r="11988" spans="1:12" hidden="1" outlineLevel="1" x14ac:dyDescent="0.25">
      <c r="A11988" s="2094">
        <v>0.02</v>
      </c>
      <c r="B11988" s="1929" t="s">
        <v>2920</v>
      </c>
      <c r="C11988" s="2095">
        <v>22.411999999999999</v>
      </c>
      <c r="D11988" s="2096">
        <v>51.04</v>
      </c>
      <c r="E11988" s="2097">
        <v>1.2773514188827413</v>
      </c>
      <c r="F11988" s="2098">
        <v>2.5547028377654827E-2</v>
      </c>
      <c r="H11988" t="str">
        <f>VLOOKUP(B11988,indexy!$A$44:$D$823,3,FALSE)</f>
        <v>INTC UW Equity</v>
      </c>
      <c r="J11988" s="256">
        <v>43344</v>
      </c>
      <c r="K11988" s="412">
        <v>123.9448</v>
      </c>
      <c r="L11988" s="37">
        <f t="shared" si="221"/>
        <v>0.23944800000000011</v>
      </c>
    </row>
    <row r="11989" spans="1:12" hidden="1" outlineLevel="1" x14ac:dyDescent="0.25">
      <c r="A11989" s="2094">
        <v>0.02</v>
      </c>
      <c r="B11989" s="2101" t="s">
        <v>1905</v>
      </c>
      <c r="C11989" s="2095">
        <v>48.168999999999997</v>
      </c>
      <c r="D11989" s="2096">
        <v>78.709999999999994</v>
      </c>
      <c r="E11989" s="2097">
        <v>0.63403848948493846</v>
      </c>
      <c r="F11989" s="2098">
        <v>1.268076978969877E-2</v>
      </c>
      <c r="H11989" t="str">
        <f>VLOOKUP(B11989,indexy!$A$44:$D$823,3,FALSE)</f>
        <v>MRK UN Equity</v>
      </c>
      <c r="J11989" s="256">
        <v>43374</v>
      </c>
      <c r="K11989" s="412">
        <v>119.7264</v>
      </c>
      <c r="L11989" s="37">
        <f t="shared" si="221"/>
        <v>0.19726399999999988</v>
      </c>
    </row>
    <row r="11990" spans="1:12" hidden="1" outlineLevel="1" x14ac:dyDescent="0.25">
      <c r="A11990" s="2094">
        <v>0.02</v>
      </c>
      <c r="B11990" s="2101" t="s">
        <v>1772</v>
      </c>
      <c r="C11990" s="2095">
        <v>143.44499999999999</v>
      </c>
      <c r="D11990" s="2096">
        <v>223</v>
      </c>
      <c r="E11990" s="2097">
        <v>0.55460280943915796</v>
      </c>
      <c r="F11990" s="2098">
        <v>1.1092056188783159E-2</v>
      </c>
      <c r="H11990" t="str">
        <f>VLOOKUP(B11990,indexy!$A$44:$D$823,3,FALSE)</f>
        <v>MUV2 GY Equity</v>
      </c>
      <c r="J11990" s="256">
        <v>43405</v>
      </c>
      <c r="K11990" s="412">
        <v>119.7779</v>
      </c>
      <c r="L11990" s="37">
        <f t="shared" si="221"/>
        <v>0.19777899999999993</v>
      </c>
    </row>
    <row r="11991" spans="1:12" hidden="1" outlineLevel="1" x14ac:dyDescent="0.25">
      <c r="A11991" s="2094">
        <v>7.0000000000000007E-2</v>
      </c>
      <c r="B11991" s="2101" t="s">
        <v>2786</v>
      </c>
      <c r="C11991" s="2095">
        <v>755.44484503197623</v>
      </c>
      <c r="D11991" s="2096">
        <v>836.1</v>
      </c>
      <c r="E11991" s="2097">
        <v>0.10676511395694255</v>
      </c>
      <c r="F11991" s="2098">
        <v>7.4735579769859787E-3</v>
      </c>
      <c r="H11991" t="str">
        <f>VLOOKUP(B11991,indexy!$A$44:$D$823,3,FALSE)</f>
        <v>NG/ LN Equity</v>
      </c>
      <c r="J11991" s="256">
        <v>43435</v>
      </c>
      <c r="K11991" s="412">
        <v>112.46769999999999</v>
      </c>
      <c r="L11991" s="37">
        <f t="shared" si="221"/>
        <v>0.12467699999999993</v>
      </c>
    </row>
    <row r="11992" spans="1:12" hidden="1" outlineLevel="1" x14ac:dyDescent="0.25">
      <c r="A11992" s="2094">
        <v>0.02</v>
      </c>
      <c r="B11992" s="1921" t="s">
        <v>1040</v>
      </c>
      <c r="C11992" s="2095">
        <v>2536.5</v>
      </c>
      <c r="D11992" s="2096">
        <v>4616</v>
      </c>
      <c r="E11992" s="2097">
        <v>0.81983047506406459</v>
      </c>
      <c r="F11992" s="2098">
        <v>1.6396609501281294E-2</v>
      </c>
      <c r="H11992" t="str">
        <f>VLOOKUP(B11992,indexy!$A$44:$D$823,3,FALSE)</f>
        <v>9432 JT Equity</v>
      </c>
      <c r="J11992" s="256">
        <v>43466</v>
      </c>
      <c r="K11992" s="412">
        <v>116.6729</v>
      </c>
      <c r="L11992" s="37">
        <f t="shared" si="221"/>
        <v>0.16672899999999991</v>
      </c>
    </row>
    <row r="11993" spans="1:12" hidden="1" outlineLevel="1" x14ac:dyDescent="0.25">
      <c r="A11993" s="2094">
        <v>7.0000000000000007E-2</v>
      </c>
      <c r="B11993" s="1921" t="s">
        <v>2787</v>
      </c>
      <c r="C11993" s="2095">
        <v>68.114999999999995</v>
      </c>
      <c r="D11993" s="2096">
        <v>83.21</v>
      </c>
      <c r="E11993" s="2097">
        <v>0.22161051163473533</v>
      </c>
      <c r="F11993" s="2098">
        <v>1.5512735814431475E-2</v>
      </c>
      <c r="H11993" t="str">
        <f>VLOOKUP(B11993,indexy!$A$44:$D$823,3,FALSE)</f>
        <v>NOVN SE Equity</v>
      </c>
      <c r="J11993" s="256">
        <v>43497</v>
      </c>
      <c r="K11993" s="412">
        <v>121.0733</v>
      </c>
      <c r="L11993" s="37">
        <f t="shared" si="221"/>
        <v>0.21073300000000006</v>
      </c>
    </row>
    <row r="11994" spans="1:12" hidden="1" outlineLevel="1" x14ac:dyDescent="0.25">
      <c r="A11994" s="2094">
        <v>0.02</v>
      </c>
      <c r="B11994" s="1921" t="s">
        <v>5630</v>
      </c>
      <c r="C11994" s="2095">
        <v>1541.3</v>
      </c>
      <c r="D11994" s="2096">
        <v>2410.5</v>
      </c>
      <c r="E11994" s="2097">
        <v>0.56393953156426391</v>
      </c>
      <c r="F11994" s="2098">
        <v>1.1278790631285278E-2</v>
      </c>
      <c r="H11994" t="str">
        <f>VLOOKUP(B11994,indexy!$A$44:$D$823,3,FALSE)</f>
        <v>9437 JT Equity</v>
      </c>
      <c r="J11994" s="256">
        <v>43525</v>
      </c>
      <c r="K11994" s="412">
        <v>122.4727</v>
      </c>
      <c r="L11994" s="37">
        <f t="shared" si="221"/>
        <v>0.22472700000000012</v>
      </c>
    </row>
    <row r="11995" spans="1:12" hidden="1" outlineLevel="1" x14ac:dyDescent="0.25">
      <c r="A11995" s="2094">
        <v>0.02</v>
      </c>
      <c r="B11995" s="1921" t="s">
        <v>3793</v>
      </c>
      <c r="C11995" s="2095">
        <v>87.334000000000003</v>
      </c>
      <c r="D11995" s="2096">
        <v>86.56</v>
      </c>
      <c r="E11995" s="2097">
        <v>-8.8625277669636127E-3</v>
      </c>
      <c r="F11995" s="2098">
        <v>-1.7725055533927226E-4</v>
      </c>
      <c r="H11995" t="str">
        <f>VLOOKUP(B11995,indexy!$A$44:$D$823,3,FALSE)</f>
        <v>PM UN Equity</v>
      </c>
      <c r="J11995" s="412" t="s">
        <v>2465</v>
      </c>
      <c r="L11995" s="261">
        <f>AVERAGE(L11977:L11994)</f>
        <v>0.20771188888888889</v>
      </c>
    </row>
    <row r="11996" spans="1:12" hidden="1" outlineLevel="1" x14ac:dyDescent="0.25">
      <c r="A11996" s="2094">
        <v>0.02</v>
      </c>
      <c r="B11996" s="1929" t="s">
        <v>3800</v>
      </c>
      <c r="C11996" s="2095">
        <v>237.41</v>
      </c>
      <c r="D11996" s="2096">
        <v>268.60000000000002</v>
      </c>
      <c r="E11996" s="2097">
        <v>0.13137610041700021</v>
      </c>
      <c r="F11996" s="2098">
        <v>2.6275220083400042E-3</v>
      </c>
      <c r="H11996" t="str">
        <f>VLOOKUP(B11996,indexy!$A$44:$D$823,3,FALSE)</f>
        <v>ROG SE Equity</v>
      </c>
      <c r="J11996" s="412" t="s">
        <v>5122</v>
      </c>
      <c r="L11996" s="423">
        <f>L11995*parametry!N395</f>
        <v>0.15578391666666666</v>
      </c>
    </row>
    <row r="11997" spans="1:12" hidden="1" outlineLevel="1" x14ac:dyDescent="0.25">
      <c r="A11997" s="2094">
        <v>0.05</v>
      </c>
      <c r="B11997" s="2099" t="s">
        <v>5205</v>
      </c>
      <c r="C11997" s="2095">
        <v>2061.15</v>
      </c>
      <c r="D11997" s="2096">
        <v>2450</v>
      </c>
      <c r="E11997" s="2097">
        <v>0.1886568177958905</v>
      </c>
      <c r="F11997" s="2098">
        <v>9.4328408897945259E-3</v>
      </c>
      <c r="H11997" t="str">
        <f>VLOOKUP(B11997,indexy!$A$44:$D$823,3,FALSE)</f>
        <v>RDSA LN Equity</v>
      </c>
    </row>
    <row r="11998" spans="1:12" hidden="1" outlineLevel="1" x14ac:dyDescent="0.25">
      <c r="A11998" s="2094">
        <v>0.02</v>
      </c>
      <c r="B11998" s="2100" t="s">
        <v>1214</v>
      </c>
      <c r="C11998" s="2095">
        <v>83.373999999999995</v>
      </c>
      <c r="D11998" s="2096">
        <v>106.74</v>
      </c>
      <c r="E11998" s="2097">
        <v>0.28025523544510289</v>
      </c>
      <c r="F11998" s="2098">
        <v>5.6051047089020582E-3</v>
      </c>
      <c r="H11998" t="str">
        <f>VLOOKUP(B11998,indexy!$A$44:$D$823,3,FALSE)</f>
        <v>SIE GY Equity</v>
      </c>
    </row>
    <row r="11999" spans="1:12" hidden="1" outlineLevel="1" x14ac:dyDescent="0.25">
      <c r="A11999" s="2094">
        <v>0.06</v>
      </c>
      <c r="B11999" s="1921" t="s">
        <v>1857</v>
      </c>
      <c r="C11999" s="2095">
        <v>1563.8</v>
      </c>
      <c r="D11999" s="2096">
        <v>1144.5</v>
      </c>
      <c r="E11999" s="2097">
        <v>-0.26812891674127126</v>
      </c>
      <c r="F11999" s="2098">
        <v>-1.6087735004476276E-2</v>
      </c>
      <c r="H11999" t="str">
        <f>VLOOKUP(B11999,indexy!$A$44:$D$823,3,FALSE)</f>
        <v>SSE LN Equity</v>
      </c>
    </row>
    <row r="12000" spans="1:12" hidden="1" outlineLevel="1" x14ac:dyDescent="0.25">
      <c r="A12000" s="2094">
        <v>0.02</v>
      </c>
      <c r="B12000" s="1921" t="s">
        <v>5249</v>
      </c>
      <c r="C12000" s="2095">
        <v>5.0620000000000003</v>
      </c>
      <c r="D12000" s="2096">
        <v>3.38</v>
      </c>
      <c r="E12000" s="2097">
        <v>-0.33227973133148958</v>
      </c>
      <c r="F12000" s="2098">
        <v>-6.6455946266297918E-3</v>
      </c>
      <c r="H12000" t="str">
        <f>VLOOKUP(B12000,indexy!$A$44:$D$823,3,FALSE)</f>
        <v>TLS AT Equity</v>
      </c>
    </row>
    <row r="12001" spans="1:13" hidden="1" outlineLevel="1" x14ac:dyDescent="0.25">
      <c r="A12001" s="2094">
        <v>0.02</v>
      </c>
      <c r="B12001" s="1921" t="s">
        <v>1183</v>
      </c>
      <c r="C12001" s="2095">
        <v>40.6935</v>
      </c>
      <c r="D12001" s="2096">
        <v>49.545000000000002</v>
      </c>
      <c r="E12001" s="2097">
        <v>0.21751631095875257</v>
      </c>
      <c r="F12001" s="2098">
        <v>4.3503262191750512E-3</v>
      </c>
      <c r="H12001" t="e">
        <f>VLOOKUP(B12001,indexy!$A$44:$D$823,3,FALSE)</f>
        <v>#N/A</v>
      </c>
    </row>
    <row r="12002" spans="1:13" hidden="1" outlineLevel="1" x14ac:dyDescent="0.25">
      <c r="A12002" s="2094">
        <v>0.05</v>
      </c>
      <c r="B12002" s="2003" t="s">
        <v>255</v>
      </c>
      <c r="C12002" s="2095">
        <v>48.822000000000003</v>
      </c>
      <c r="D12002" s="2096">
        <v>57.19</v>
      </c>
      <c r="E12002" s="2097">
        <v>0.17139814018270449</v>
      </c>
      <c r="F12002" s="2098">
        <v>8.5699070091352254E-3</v>
      </c>
      <c r="H12002" t="str">
        <f>VLOOKUP(B12002,indexy!$A$44:$D$823,3,FALSE)</f>
        <v>VZ UN Equity</v>
      </c>
    </row>
    <row r="12003" spans="1:13" hidden="1" outlineLevel="1" x14ac:dyDescent="0.25">
      <c r="A12003" s="2094">
        <v>0.02</v>
      </c>
      <c r="B12003" s="2003" t="s">
        <v>719</v>
      </c>
      <c r="C12003" s="2095">
        <v>40.660836008501221</v>
      </c>
      <c r="D12003" s="2096">
        <v>90.02</v>
      </c>
      <c r="E12003" s="2097">
        <v>1.2139239828020001</v>
      </c>
      <c r="F12003" s="2098">
        <v>2.4278479656040002E-2</v>
      </c>
      <c r="H12003" t="str">
        <f>VLOOKUP(B12003,indexy!$A$44:$D$823,3,FALSE)</f>
        <v>DG FP Equity</v>
      </c>
    </row>
    <row r="12004" spans="1:13" hidden="1" outlineLevel="1" x14ac:dyDescent="0.25">
      <c r="A12004" s="2094">
        <v>0.02</v>
      </c>
      <c r="B12004" s="1929" t="s">
        <v>5522</v>
      </c>
      <c r="C12004" s="2095">
        <v>40.507030470083016</v>
      </c>
      <c r="D12004" s="2096">
        <v>46.62</v>
      </c>
      <c r="E12004" s="2097">
        <v>0.1509113222809999</v>
      </c>
      <c r="F12004" s="2098">
        <v>3.0182264456199981E-3</v>
      </c>
      <c r="H12004" t="str">
        <f>VLOOKUP(B12004,indexy!$A$44:$D$823,3,FALSE)</f>
        <v>WES AT Equity</v>
      </c>
    </row>
    <row r="12005" spans="1:13" hidden="1" outlineLevel="1" x14ac:dyDescent="0.25">
      <c r="A12005" s="2094">
        <v>0.02</v>
      </c>
      <c r="B12005" s="2099" t="s">
        <v>5537</v>
      </c>
      <c r="C12005" s="2095">
        <v>33.223999999999997</v>
      </c>
      <c r="D12005" s="2096">
        <v>31.85</v>
      </c>
      <c r="E12005" s="2097">
        <v>-4.135564652058743E-2</v>
      </c>
      <c r="F12005" s="2098">
        <v>-8.2711293041174859E-4</v>
      </c>
      <c r="H12005" t="str">
        <f>VLOOKUP(B12005,indexy!$A$44:$D$823,3,FALSE)</f>
        <v>WOW AT Equity</v>
      </c>
    </row>
    <row r="12006" spans="1:13" hidden="1" outlineLevel="1" x14ac:dyDescent="0.25">
      <c r="A12006" s="2102">
        <v>0.06</v>
      </c>
      <c r="B12006" s="2103" t="s">
        <v>4550</v>
      </c>
      <c r="C12006" s="2104">
        <v>248.39</v>
      </c>
      <c r="D12006" s="2105">
        <v>324.89999999999998</v>
      </c>
      <c r="E12006" s="2106">
        <v>0.30802367245058182</v>
      </c>
      <c r="F12006" s="2098">
        <v>1.848142034703491E-2</v>
      </c>
      <c r="H12006" t="str">
        <f>VLOOKUP(B12006,indexy!$A$44:$D$823,3,FALSE)</f>
        <v>ZURN SE Equity</v>
      </c>
    </row>
    <row r="12007" spans="1:13" hidden="1" outlineLevel="1" x14ac:dyDescent="0.25">
      <c r="A12007" s="1813" t="s">
        <v>2734</v>
      </c>
      <c r="B12007" s="1813"/>
      <c r="C12007" s="1813"/>
      <c r="D12007" s="1813"/>
      <c r="E12007" s="1813"/>
      <c r="F12007" s="1948">
        <v>0.20583047928662523</v>
      </c>
    </row>
    <row r="12008" spans="1:13" collapsed="1" x14ac:dyDescent="0.25">
      <c r="A12008" s="3801" t="s">
        <v>5677</v>
      </c>
      <c r="B12008" s="3802"/>
      <c r="C12008" s="3802"/>
      <c r="D12008" s="3802"/>
      <c r="E12008" s="1906"/>
      <c r="F12008" s="1890">
        <f>IF(L11995&lt;-10%,-10%,IF(L11995&lt;0%,L11995,IF(L11995&lt;10%,10%,IF(L11995&gt;80%,80%,IF(L11996&lt;10%,10%,L11995*parametry!N395)))))</f>
        <v>0.15578391666666666</v>
      </c>
    </row>
    <row r="12009" spans="1:13" x14ac:dyDescent="0.25">
      <c r="A12009" t="s">
        <v>2734</v>
      </c>
    </row>
    <row r="12010" spans="1:13" hidden="1" outlineLevel="1" x14ac:dyDescent="0.25">
      <c r="A12010" s="2074" t="s">
        <v>113</v>
      </c>
      <c r="B12010" s="2074" t="s">
        <v>114</v>
      </c>
      <c r="C12010" s="2074" t="s">
        <v>112</v>
      </c>
      <c r="D12010" s="2074" t="s">
        <v>116</v>
      </c>
      <c r="E12010" s="2074" t="s">
        <v>117</v>
      </c>
      <c r="F12010" s="2075" t="s">
        <v>121</v>
      </c>
    </row>
    <row r="12011" spans="1:13" hidden="1" outlineLevel="1" x14ac:dyDescent="0.25">
      <c r="A12011" s="2076">
        <v>1</v>
      </c>
      <c r="B12011" s="2077" t="s">
        <v>252</v>
      </c>
      <c r="C12011" s="2078">
        <v>100</v>
      </c>
      <c r="D12011" s="2078"/>
      <c r="E12011" s="2079"/>
      <c r="F12011" s="2080"/>
    </row>
    <row r="12012" spans="1:13" hidden="1" outlineLevel="1" x14ac:dyDescent="0.25">
      <c r="A12012" s="2081" t="s">
        <v>2734</v>
      </c>
      <c r="B12012" s="2081"/>
      <c r="C12012" s="2082"/>
      <c r="D12012" s="1900" t="s">
        <v>3702</v>
      </c>
      <c r="E12012" s="2083">
        <v>43585</v>
      </c>
      <c r="F12012" s="2084"/>
      <c r="J12012" s="370"/>
      <c r="K12012" s="370"/>
      <c r="L12012" s="370"/>
      <c r="M12012" s="370"/>
    </row>
    <row r="12013" spans="1:13" hidden="1" outlineLevel="1" x14ac:dyDescent="0.25">
      <c r="A12013" s="2085" t="s">
        <v>4156</v>
      </c>
      <c r="B12013" s="2107" t="s">
        <v>4153</v>
      </c>
      <c r="C12013" s="2086" t="s">
        <v>112</v>
      </c>
      <c r="D12013" s="2085" t="s">
        <v>4155</v>
      </c>
      <c r="E12013" s="2085" t="s">
        <v>4154</v>
      </c>
      <c r="F12013" s="2087" t="s">
        <v>2519</v>
      </c>
      <c r="G12013" s="314"/>
      <c r="H12013" s="314"/>
      <c r="J12013" s="370"/>
      <c r="K12013" s="370"/>
      <c r="L12013" s="370"/>
      <c r="M12013" s="370"/>
    </row>
    <row r="12014" spans="1:13" hidden="1" outlineLevel="1" x14ac:dyDescent="0.25">
      <c r="A12014" s="2088">
        <v>0.02</v>
      </c>
      <c r="B12014" s="1921" t="s">
        <v>2942</v>
      </c>
      <c r="C12014" s="2108">
        <v>1091.9998995360093</v>
      </c>
      <c r="D12014" s="2091">
        <v>1509</v>
      </c>
      <c r="E12014" s="2092">
        <v>0.38186825899999999</v>
      </c>
      <c r="F12014" s="2093">
        <v>7.6373651800000003E-3</v>
      </c>
      <c r="G12014" s="1737"/>
      <c r="H12014" t="s">
        <v>2336</v>
      </c>
      <c r="J12014" t="s">
        <v>2040</v>
      </c>
      <c r="K12014" t="s">
        <v>9010</v>
      </c>
      <c r="M12014" s="370"/>
    </row>
    <row r="12015" spans="1:13" hidden="1" outlineLevel="1" x14ac:dyDescent="0.25">
      <c r="A12015" s="2094">
        <v>0.04</v>
      </c>
      <c r="B12015" s="1926" t="s">
        <v>3998</v>
      </c>
      <c r="C12015" s="2108">
        <v>34.625000001190237</v>
      </c>
      <c r="D12015" s="2096">
        <v>30.96</v>
      </c>
      <c r="E12015" s="2097">
        <v>-0.1058483754820001</v>
      </c>
      <c r="F12015" s="2098">
        <v>-4.2339350192800041E-3</v>
      </c>
      <c r="G12015" s="1737"/>
      <c r="H12015" t="s">
        <v>4000</v>
      </c>
      <c r="J12015" s="256">
        <v>43040</v>
      </c>
      <c r="K12015">
        <v>129.1951</v>
      </c>
      <c r="L12015" s="37">
        <v>0.29195100000000007</v>
      </c>
      <c r="M12015" s="370"/>
    </row>
    <row r="12016" spans="1:13" hidden="1" outlineLevel="1" x14ac:dyDescent="0.25">
      <c r="A12016" s="2094">
        <v>0.02</v>
      </c>
      <c r="B12016" s="1926" t="s">
        <v>805</v>
      </c>
      <c r="C12016" s="2108">
        <v>70.732499969620392</v>
      </c>
      <c r="D12016" s="2096">
        <v>105.82</v>
      </c>
      <c r="E12016" s="2097">
        <v>0.49605909653199998</v>
      </c>
      <c r="F12016" s="2098">
        <v>9.9211819306400002E-3</v>
      </c>
      <c r="G12016" s="1737"/>
      <c r="H12016" t="s">
        <v>806</v>
      </c>
      <c r="J12016" s="256">
        <v>43070</v>
      </c>
      <c r="K12016">
        <v>128.92410000000001</v>
      </c>
      <c r="L12016" s="37">
        <v>0.28924100000000008</v>
      </c>
      <c r="M12016" s="370"/>
    </row>
    <row r="12017" spans="1:13" hidden="1" outlineLevel="1" x14ac:dyDescent="0.25">
      <c r="A12017" s="2094">
        <v>0.03</v>
      </c>
      <c r="B12017" s="2099" t="s">
        <v>5386</v>
      </c>
      <c r="C12017" s="2108">
        <v>45.269999967586678</v>
      </c>
      <c r="D12017" s="2096">
        <v>59.94</v>
      </c>
      <c r="E12017" s="2097">
        <v>0.32405566695200005</v>
      </c>
      <c r="F12017" s="2098">
        <v>9.7216700085600016E-3</v>
      </c>
      <c r="G12017" s="1737"/>
      <c r="H12017" t="s">
        <v>808</v>
      </c>
      <c r="J12017" s="256">
        <v>43101</v>
      </c>
      <c r="K12017">
        <v>127.2526</v>
      </c>
      <c r="L12017" s="37">
        <v>0.27252600000000005</v>
      </c>
      <c r="M12017" s="370"/>
    </row>
    <row r="12018" spans="1:13" hidden="1" outlineLevel="1" x14ac:dyDescent="0.25">
      <c r="A12018" s="2094">
        <v>0.02</v>
      </c>
      <c r="B12018" s="1921" t="s">
        <v>1319</v>
      </c>
      <c r="C12018" s="2108">
        <v>56.062499932549805</v>
      </c>
      <c r="D12018" s="2096">
        <v>86.16</v>
      </c>
      <c r="E12018" s="2097">
        <v>0.53685618913999988</v>
      </c>
      <c r="F12018" s="2098">
        <v>1.0737123782799998E-2</v>
      </c>
      <c r="G12018" s="1737"/>
      <c r="H12018" t="s">
        <v>1320</v>
      </c>
      <c r="J12018" s="256">
        <v>43132</v>
      </c>
      <c r="K12018">
        <v>121.10590000000001</v>
      </c>
      <c r="L12018" s="37">
        <v>0.21105900000000011</v>
      </c>
      <c r="M12018" s="370"/>
    </row>
    <row r="12019" spans="1:13" hidden="1" outlineLevel="1" x14ac:dyDescent="0.25">
      <c r="A12019" s="2094">
        <v>0.02</v>
      </c>
      <c r="B12019" s="2100" t="s">
        <v>1231</v>
      </c>
      <c r="C12019" s="2108">
        <v>68.709999915280576</v>
      </c>
      <c r="D12019" s="2096">
        <v>91.12</v>
      </c>
      <c r="E12019" s="2097">
        <v>0.32615339997600001</v>
      </c>
      <c r="F12019" s="2098">
        <v>6.5230679995200002E-3</v>
      </c>
      <c r="G12019" s="1737"/>
      <c r="H12019" t="s">
        <v>2041</v>
      </c>
      <c r="J12019" s="256">
        <v>43160</v>
      </c>
      <c r="K12019">
        <v>120.3772</v>
      </c>
      <c r="L12019" s="37">
        <v>0.20377200000000006</v>
      </c>
      <c r="M12019" s="370"/>
    </row>
    <row r="12020" spans="1:13" hidden="1" outlineLevel="1" x14ac:dyDescent="0.25">
      <c r="A12020" s="2094">
        <v>0.02</v>
      </c>
      <c r="B12020" s="2100" t="s">
        <v>496</v>
      </c>
      <c r="C12020" s="2108">
        <v>22.98982195407093</v>
      </c>
      <c r="D12020" s="2096">
        <v>12.84</v>
      </c>
      <c r="E12020" s="2097">
        <v>-0.44149197737799994</v>
      </c>
      <c r="F12020" s="2098">
        <v>-8.8298395475599999E-3</v>
      </c>
      <c r="G12020" s="1737"/>
      <c r="H12020" t="s">
        <v>497</v>
      </c>
      <c r="J12020" s="256">
        <v>43191</v>
      </c>
      <c r="K12020">
        <v>120.9924</v>
      </c>
      <c r="L12020" s="37">
        <v>0.209924</v>
      </c>
      <c r="M12020" s="370"/>
    </row>
    <row r="12021" spans="1:13" hidden="1" outlineLevel="1" x14ac:dyDescent="0.25">
      <c r="A12021" s="2094">
        <v>0.03</v>
      </c>
      <c r="B12021" s="2100" t="s">
        <v>5232</v>
      </c>
      <c r="C12021" s="2108">
        <v>63.504999964564213</v>
      </c>
      <c r="D12021" s="2096">
        <v>96.9</v>
      </c>
      <c r="E12021" s="2097">
        <v>0.52586410604</v>
      </c>
      <c r="F12021" s="2098">
        <v>1.57759231812E-2</v>
      </c>
      <c r="G12021" s="1737"/>
      <c r="H12021" t="s">
        <v>5230</v>
      </c>
      <c r="J12021" s="256">
        <v>43221</v>
      </c>
      <c r="K12021">
        <v>118.2058</v>
      </c>
      <c r="L12021" s="37">
        <v>0.18205800000000005</v>
      </c>
      <c r="M12021" s="370"/>
    </row>
    <row r="12022" spans="1:13" hidden="1" outlineLevel="1" x14ac:dyDescent="0.25">
      <c r="A12022" s="2094">
        <v>0.02</v>
      </c>
      <c r="B12022" s="1921" t="s">
        <v>7227</v>
      </c>
      <c r="C12022" s="2108">
        <v>17.881299998512009</v>
      </c>
      <c r="D12022" s="2096">
        <v>13.205</v>
      </c>
      <c r="E12022" s="2097">
        <v>-0.26151901701225011</v>
      </c>
      <c r="F12022" s="2098">
        <v>-5.2303803402450021E-3</v>
      </c>
      <c r="G12022" s="1737"/>
      <c r="H12022" t="s">
        <v>7229</v>
      </c>
      <c r="J12022" s="256">
        <v>43252</v>
      </c>
      <c r="K12022">
        <v>119.74290000000001</v>
      </c>
      <c r="L12022" s="37">
        <v>0.19742900000000008</v>
      </c>
      <c r="M12022" s="370"/>
    </row>
    <row r="12023" spans="1:13" hidden="1" outlineLevel="1" x14ac:dyDescent="0.25">
      <c r="A12023" s="2094">
        <v>7.0000000000000007E-2</v>
      </c>
      <c r="B12023" s="1921" t="s">
        <v>3799</v>
      </c>
      <c r="C12023" s="2108">
        <v>1596.50168347567</v>
      </c>
      <c r="D12023" s="2096">
        <v>1573.4</v>
      </c>
      <c r="E12023" s="2097">
        <v>-1.4470190488854562E-2</v>
      </c>
      <c r="F12023" s="2098">
        <v>-1.0129133342198194E-3</v>
      </c>
      <c r="G12023" s="1737"/>
      <c r="H12023" t="s">
        <v>4128</v>
      </c>
      <c r="J12023" s="256">
        <v>43282</v>
      </c>
      <c r="K12023">
        <v>125.4806</v>
      </c>
      <c r="L12023" s="37">
        <v>0.25480599999999987</v>
      </c>
      <c r="M12023" s="370"/>
    </row>
    <row r="12024" spans="1:13" hidden="1" outlineLevel="1" x14ac:dyDescent="0.25">
      <c r="A12024" s="2094">
        <v>0.03</v>
      </c>
      <c r="B12024" s="2025" t="s">
        <v>1031</v>
      </c>
      <c r="C12024" s="2108">
        <v>4.4222999999475956</v>
      </c>
      <c r="D12024" s="2096">
        <v>8.0980000000000008</v>
      </c>
      <c r="E12024" s="2097">
        <v>0.83117382359766689</v>
      </c>
      <c r="F12024" s="2098">
        <v>2.4935214707930007E-2</v>
      </c>
      <c r="G12024" s="1737"/>
      <c r="H12024" t="s">
        <v>7872</v>
      </c>
      <c r="J12024" s="256">
        <v>43313</v>
      </c>
      <c r="K12024">
        <v>123.4324</v>
      </c>
      <c r="L12024" s="37">
        <v>0.23432399999999998</v>
      </c>
      <c r="M12024" s="370"/>
    </row>
    <row r="12025" spans="1:13" hidden="1" outlineLevel="1" x14ac:dyDescent="0.25">
      <c r="A12025" s="2094">
        <v>7.0000000000000007E-2</v>
      </c>
      <c r="B12025" s="1921" t="s">
        <v>3426</v>
      </c>
      <c r="C12025" s="2108">
        <v>90.570000004903733</v>
      </c>
      <c r="D12025" s="2096">
        <v>141.19999999999999</v>
      </c>
      <c r="E12025" s="2097">
        <v>0.55901512633714256</v>
      </c>
      <c r="F12025" s="2098">
        <v>3.9131058843599985E-2</v>
      </c>
      <c r="G12025" s="1737"/>
      <c r="H12025" t="s">
        <v>4145</v>
      </c>
      <c r="J12025" s="256">
        <v>43344</v>
      </c>
      <c r="K12025">
        <v>124.72929999999999</v>
      </c>
      <c r="L12025" s="37">
        <v>0.24729299999999999</v>
      </c>
      <c r="M12025" s="370"/>
    </row>
    <row r="12026" spans="1:13" hidden="1" outlineLevel="1" x14ac:dyDescent="0.25">
      <c r="A12026" s="2094">
        <v>0.04</v>
      </c>
      <c r="B12026" s="1921" t="s">
        <v>1381</v>
      </c>
      <c r="C12026" s="2108">
        <v>96.469502249733907</v>
      </c>
      <c r="D12026" s="2096">
        <v>128.38</v>
      </c>
      <c r="E12026" s="2097">
        <v>0.33078327353300008</v>
      </c>
      <c r="F12026" s="2098">
        <v>1.3231330941320004E-2</v>
      </c>
      <c r="G12026" s="1737"/>
      <c r="H12026" t="s">
        <v>1383</v>
      </c>
      <c r="J12026" s="256">
        <v>43374</v>
      </c>
      <c r="K12026">
        <v>123.07</v>
      </c>
      <c r="L12026" s="37">
        <v>0.23069999999999991</v>
      </c>
      <c r="M12026" s="370"/>
    </row>
    <row r="12027" spans="1:13" hidden="1" outlineLevel="1" x14ac:dyDescent="0.25">
      <c r="A12027" s="2094">
        <v>0.02</v>
      </c>
      <c r="B12027" s="1921" t="s">
        <v>816</v>
      </c>
      <c r="C12027" s="2108">
        <v>96.537500102933109</v>
      </c>
      <c r="D12027" s="2096">
        <v>197.57</v>
      </c>
      <c r="E12027" s="2097">
        <v>1.046562214573</v>
      </c>
      <c r="F12027" s="2098">
        <v>2.093124429146E-2</v>
      </c>
      <c r="G12027" s="1737"/>
      <c r="H12027" t="s">
        <v>817</v>
      </c>
      <c r="J12027" s="256">
        <v>43405</v>
      </c>
      <c r="K12027">
        <v>125.1571</v>
      </c>
      <c r="L12027" s="37">
        <v>0.25157099999999999</v>
      </c>
      <c r="M12027" s="370"/>
    </row>
    <row r="12028" spans="1:13" hidden="1" outlineLevel="1" x14ac:dyDescent="0.25">
      <c r="A12028" s="2094">
        <v>0.03</v>
      </c>
      <c r="B12028" s="1921" t="s">
        <v>1905</v>
      </c>
      <c r="C12028" s="2108">
        <v>47.905000016032204</v>
      </c>
      <c r="D12028" s="2096">
        <v>78.709999999999994</v>
      </c>
      <c r="E12028" s="2097">
        <v>0.64304352309066659</v>
      </c>
      <c r="F12028" s="2098">
        <v>1.9291305692719998E-2</v>
      </c>
      <c r="G12028" s="1737"/>
      <c r="H12028" t="s">
        <v>504</v>
      </c>
      <c r="J12028" s="256">
        <v>43435</v>
      </c>
      <c r="K12028">
        <v>117.59269999999999</v>
      </c>
      <c r="L12028" s="37">
        <v>0.17592699999999994</v>
      </c>
      <c r="M12028" s="370"/>
    </row>
    <row r="12029" spans="1:13" hidden="1" outlineLevel="1" x14ac:dyDescent="0.25">
      <c r="A12029" s="2094">
        <v>0.02</v>
      </c>
      <c r="B12029" s="1921" t="s">
        <v>1039</v>
      </c>
      <c r="C12029" s="2108">
        <v>63.862500052367253</v>
      </c>
      <c r="D12029" s="2096">
        <v>98.05</v>
      </c>
      <c r="E12029" s="2097">
        <v>0.53532980887999981</v>
      </c>
      <c r="F12029" s="2098">
        <v>1.0706596177599996E-2</v>
      </c>
      <c r="G12029" s="1737"/>
      <c r="H12029" t="s">
        <v>8872</v>
      </c>
      <c r="J12029" s="256">
        <v>43466</v>
      </c>
      <c r="K12029">
        <v>121.0052</v>
      </c>
      <c r="L12029" s="37">
        <v>0.21005200000000013</v>
      </c>
      <c r="M12029" s="370"/>
    </row>
    <row r="12030" spans="1:13" hidden="1" outlineLevel="1" x14ac:dyDescent="0.25">
      <c r="A12030" s="2094">
        <v>0.04</v>
      </c>
      <c r="B12030" s="1921" t="s">
        <v>2787</v>
      </c>
      <c r="C12030" s="2108">
        <v>70.737500032517147</v>
      </c>
      <c r="D12030" s="2096">
        <v>83.21</v>
      </c>
      <c r="E12030" s="2097">
        <v>0.17632090421274982</v>
      </c>
      <c r="F12030" s="2098">
        <v>7.0528361685099931E-3</v>
      </c>
      <c r="G12030" s="1737"/>
      <c r="H12030" t="s">
        <v>8874</v>
      </c>
      <c r="J12030" s="256">
        <v>43497</v>
      </c>
      <c r="K12030">
        <v>123.8963</v>
      </c>
      <c r="L12030" s="37">
        <v>0.23896300000000004</v>
      </c>
      <c r="M12030" s="370"/>
    </row>
    <row r="12031" spans="1:13" hidden="1" outlineLevel="1" x14ac:dyDescent="0.25">
      <c r="A12031" s="2094">
        <v>7.0000000000000007E-2</v>
      </c>
      <c r="B12031" s="1921" t="s">
        <v>4273</v>
      </c>
      <c r="C12031" s="2108">
        <v>1594.7500100640118</v>
      </c>
      <c r="D12031" s="2096">
        <v>2410.5</v>
      </c>
      <c r="E12031" s="2097">
        <v>0.51152217262142852</v>
      </c>
      <c r="F12031" s="2098">
        <v>3.5806552083499997E-2</v>
      </c>
      <c r="G12031" s="1737"/>
      <c r="H12031" t="s">
        <v>82</v>
      </c>
      <c r="J12031" s="256">
        <v>43525</v>
      </c>
      <c r="K12031">
        <v>128.20769999999999</v>
      </c>
      <c r="L12031" s="37">
        <v>0.28207699999999991</v>
      </c>
      <c r="M12031" s="370"/>
    </row>
    <row r="12032" spans="1:13" hidden="1" outlineLevel="1" x14ac:dyDescent="0.25">
      <c r="A12032" s="2094">
        <v>0.02</v>
      </c>
      <c r="B12032" s="1929" t="s">
        <v>1204</v>
      </c>
      <c r="C12032" s="2108">
        <v>81.834999952208364</v>
      </c>
      <c r="D12032" s="2096">
        <v>128.05000000000001</v>
      </c>
      <c r="E12032" s="2097">
        <v>0.56473391672000006</v>
      </c>
      <c r="F12032" s="2098">
        <v>1.1294678334400001E-2</v>
      </c>
      <c r="G12032" s="1737"/>
      <c r="H12032" t="s">
        <v>9047</v>
      </c>
      <c r="J12032" s="256">
        <v>43556</v>
      </c>
      <c r="K12032">
        <v>127.6987</v>
      </c>
      <c r="L12032" s="37">
        <v>0.27698700000000009</v>
      </c>
      <c r="M12032" s="370"/>
    </row>
    <row r="12033" spans="1:14" hidden="1" outlineLevel="1" x14ac:dyDescent="0.25">
      <c r="A12033" s="2094">
        <v>0.02</v>
      </c>
      <c r="B12033" s="1921" t="s">
        <v>1414</v>
      </c>
      <c r="C12033" s="2108">
        <v>30.042500013196168</v>
      </c>
      <c r="D12033" s="2096">
        <v>40.61</v>
      </c>
      <c r="E12033" s="2097">
        <v>0.35175168451900007</v>
      </c>
      <c r="F12033" s="2098">
        <v>7.0350336903800019E-3</v>
      </c>
      <c r="G12033" s="1737"/>
      <c r="H12033" t="s">
        <v>2428</v>
      </c>
      <c r="J12033" s="412" t="s">
        <v>2465</v>
      </c>
      <c r="L12033" s="261">
        <v>0.23670333333333338</v>
      </c>
      <c r="M12033" s="370"/>
    </row>
    <row r="12034" spans="1:14" hidden="1" outlineLevel="1" x14ac:dyDescent="0.25">
      <c r="A12034" s="2094">
        <v>0.02</v>
      </c>
      <c r="B12034" s="2099" t="s">
        <v>3793</v>
      </c>
      <c r="C12034" s="2108">
        <v>86.597500175240867</v>
      </c>
      <c r="D12034" s="2096">
        <v>86.56</v>
      </c>
      <c r="E12034" s="2097">
        <v>-4.330399280000341E-4</v>
      </c>
      <c r="F12034" s="2098">
        <v>-8.6607985600006827E-6</v>
      </c>
      <c r="G12034" s="1737"/>
      <c r="H12034" t="s">
        <v>3533</v>
      </c>
      <c r="J12034" s="412"/>
      <c r="L12034" s="423"/>
      <c r="M12034" s="370"/>
    </row>
    <row r="12035" spans="1:14" hidden="1" outlineLevel="1" x14ac:dyDescent="0.25">
      <c r="A12035" s="2094">
        <v>0.06</v>
      </c>
      <c r="B12035" s="1921" t="s">
        <v>3023</v>
      </c>
      <c r="C12035" s="2108">
        <v>79.449999959943966</v>
      </c>
      <c r="D12035" s="2096">
        <v>106.48</v>
      </c>
      <c r="E12035" s="2097">
        <v>0.34021397172666656</v>
      </c>
      <c r="F12035" s="2098">
        <v>2.0412838303599991E-2</v>
      </c>
      <c r="G12035" s="1737"/>
      <c r="H12035" t="s">
        <v>2815</v>
      </c>
      <c r="J12035" s="370"/>
      <c r="K12035" s="370"/>
      <c r="L12035" s="370"/>
      <c r="M12035" s="370"/>
    </row>
    <row r="12036" spans="1:14" ht="13.8" hidden="1" outlineLevel="1" x14ac:dyDescent="0.3">
      <c r="A12036" s="2094">
        <v>7.0000000000000007E-2</v>
      </c>
      <c r="B12036" s="1921" t="s">
        <v>901</v>
      </c>
      <c r="C12036" s="2108">
        <v>22.959743499623318</v>
      </c>
      <c r="D12036" s="2096">
        <v>29.9</v>
      </c>
      <c r="E12036" s="2097">
        <v>0.30227935693142838</v>
      </c>
      <c r="F12036" s="2098">
        <v>2.1159554985199988E-2</v>
      </c>
      <c r="G12036" s="1737"/>
      <c r="H12036" t="s">
        <v>531</v>
      </c>
      <c r="J12036" s="370"/>
      <c r="K12036" s="2073"/>
      <c r="L12036" s="2073"/>
      <c r="M12036" s="2073"/>
      <c r="N12036" s="2073"/>
    </row>
    <row r="12037" spans="1:14" hidden="1" outlineLevel="1" x14ac:dyDescent="0.25">
      <c r="A12037" s="2094">
        <v>0.02</v>
      </c>
      <c r="B12037" s="1921" t="s">
        <v>1187</v>
      </c>
      <c r="C12037" s="2108">
        <v>76.127500042326886</v>
      </c>
      <c r="D12037" s="2096">
        <v>77.489999999999995</v>
      </c>
      <c r="E12037" s="2097">
        <v>1.7897605423999874E-2</v>
      </c>
      <c r="F12037" s="2098">
        <v>3.5795210847999748E-4</v>
      </c>
      <c r="G12037" s="1737"/>
      <c r="H12037" t="s">
        <v>3483</v>
      </c>
      <c r="J12037" s="370"/>
      <c r="K12037" s="370"/>
      <c r="L12037" s="370"/>
      <c r="M12037" s="370"/>
    </row>
    <row r="12038" spans="1:14" hidden="1" outlineLevel="1" x14ac:dyDescent="0.25">
      <c r="A12038" s="2094">
        <v>0.02</v>
      </c>
      <c r="B12038" s="1921" t="s">
        <v>1857</v>
      </c>
      <c r="C12038" s="2108">
        <v>1442.0000000115399</v>
      </c>
      <c r="D12038" s="2096">
        <v>1144.5</v>
      </c>
      <c r="E12038" s="2097">
        <v>-0.20631067961800209</v>
      </c>
      <c r="F12038" s="2098">
        <v>-4.1262135923600422E-3</v>
      </c>
      <c r="G12038" s="1737"/>
      <c r="H12038" t="s">
        <v>3559</v>
      </c>
      <c r="J12038" s="370"/>
      <c r="K12038" s="370"/>
      <c r="L12038" s="370"/>
      <c r="M12038" s="370"/>
    </row>
    <row r="12039" spans="1:14" hidden="1" outlineLevel="1" x14ac:dyDescent="0.25">
      <c r="A12039" s="2094">
        <v>7.0000000000000007E-2</v>
      </c>
      <c r="B12039" s="2099" t="s">
        <v>1239</v>
      </c>
      <c r="C12039" s="2108">
        <v>448.30000092605979</v>
      </c>
      <c r="D12039" s="2096">
        <v>474.7</v>
      </c>
      <c r="E12039" s="2097">
        <v>5.8889134551428413E-2</v>
      </c>
      <c r="F12039" s="2098">
        <v>4.1222394185999895E-3</v>
      </c>
      <c r="G12039" s="1737"/>
      <c r="H12039" t="s">
        <v>8891</v>
      </c>
      <c r="J12039" s="370"/>
      <c r="K12039" s="370"/>
      <c r="L12039" s="370"/>
      <c r="M12039" s="370"/>
    </row>
    <row r="12040" spans="1:14" hidden="1" outlineLevel="1" x14ac:dyDescent="0.25">
      <c r="A12040" s="2094">
        <v>0.04</v>
      </c>
      <c r="B12040" s="1921" t="s">
        <v>434</v>
      </c>
      <c r="C12040" s="2108">
        <v>51.014999987635235</v>
      </c>
      <c r="D12040" s="2096">
        <v>40.44</v>
      </c>
      <c r="E12040" s="2097">
        <v>-0.20729197275699995</v>
      </c>
      <c r="F12040" s="2098">
        <v>-8.2916789102799975E-3</v>
      </c>
      <c r="G12040" s="1737"/>
      <c r="H12040" t="s">
        <v>7745</v>
      </c>
      <c r="J12040" s="370"/>
      <c r="K12040" s="370"/>
      <c r="L12040" s="370"/>
      <c r="M12040" s="370"/>
    </row>
    <row r="12041" spans="1:14" hidden="1" outlineLevel="1" x14ac:dyDescent="0.25">
      <c r="A12041" s="2094">
        <v>0.02</v>
      </c>
      <c r="B12041" s="2099" t="s">
        <v>507</v>
      </c>
      <c r="C12041" s="2108">
        <v>28.567500009638003</v>
      </c>
      <c r="D12041" s="2096">
        <v>53.96</v>
      </c>
      <c r="E12041" s="2097">
        <v>0.88885971757399718</v>
      </c>
      <c r="F12041" s="2098">
        <v>1.7777194351479945E-2</v>
      </c>
      <c r="G12041" s="1737"/>
      <c r="H12041" t="s">
        <v>2810</v>
      </c>
      <c r="J12041" s="370"/>
      <c r="K12041" s="370"/>
      <c r="L12041" s="370"/>
      <c r="M12041" s="370"/>
    </row>
    <row r="12042" spans="1:14" hidden="1" outlineLevel="1" x14ac:dyDescent="0.25">
      <c r="A12042" s="2102">
        <v>0.03</v>
      </c>
      <c r="B12042" s="2109" t="s">
        <v>579</v>
      </c>
      <c r="C12042" s="2108">
        <v>227.590368598336</v>
      </c>
      <c r="D12042" s="2105">
        <v>142</v>
      </c>
      <c r="E12042" s="2106">
        <v>-0.37607201537333323</v>
      </c>
      <c r="F12042" s="2098">
        <v>-1.1282160461199996E-2</v>
      </c>
      <c r="G12042" s="1737"/>
      <c r="H12042" t="s">
        <v>3611</v>
      </c>
      <c r="J12042" s="370"/>
      <c r="K12042" s="370"/>
      <c r="L12042" s="370"/>
      <c r="M12042" s="370"/>
    </row>
    <row r="12043" spans="1:14" hidden="1" outlineLevel="1" x14ac:dyDescent="0.25">
      <c r="A12043" s="1813" t="s">
        <v>2734</v>
      </c>
      <c r="B12043" s="1813"/>
      <c r="C12043" s="1813"/>
      <c r="D12043" s="1813"/>
      <c r="E12043" s="1813"/>
      <c r="F12043" s="1948">
        <v>0.27054618017779508</v>
      </c>
      <c r="G12043" s="434"/>
    </row>
    <row r="12044" spans="1:14" collapsed="1" x14ac:dyDescent="0.25">
      <c r="A12044" s="3801" t="s">
        <v>9847</v>
      </c>
      <c r="B12044" s="3802"/>
      <c r="C12044" s="3802"/>
      <c r="D12044" s="3802"/>
      <c r="E12044" s="1906"/>
      <c r="F12044" s="1907">
        <f>MAX(-5%,(95%+$L$12033*parametry!N397)-1)</f>
        <v>0.13936266666666675</v>
      </c>
      <c r="G12044" s="434"/>
    </row>
    <row r="12045" spans="1:14" x14ac:dyDescent="0.25">
      <c r="A12045" t="s">
        <v>2734</v>
      </c>
      <c r="G12045" s="434"/>
    </row>
    <row r="12046" spans="1:14" hidden="1" outlineLevel="1" x14ac:dyDescent="0.25">
      <c r="A12046" s="2176" t="s">
        <v>113</v>
      </c>
      <c r="B12046" s="2176" t="s">
        <v>114</v>
      </c>
      <c r="C12046" s="2176" t="s">
        <v>112</v>
      </c>
      <c r="D12046" s="2176" t="s">
        <v>4155</v>
      </c>
      <c r="E12046" s="2176"/>
      <c r="F12046" s="2155" t="s">
        <v>121</v>
      </c>
      <c r="G12046" s="434"/>
      <c r="J12046" t="s">
        <v>5773</v>
      </c>
    </row>
    <row r="12047" spans="1:14" hidden="1" outlineLevel="1" x14ac:dyDescent="0.25">
      <c r="A12047" s="1810" t="s">
        <v>2734</v>
      </c>
      <c r="B12047" s="2193" t="s">
        <v>3563</v>
      </c>
      <c r="C12047" s="2090">
        <v>10840.817500000001</v>
      </c>
      <c r="D12047" s="2194">
        <v>10811.62</v>
      </c>
      <c r="E12047" s="2195"/>
      <c r="F12047" s="2196">
        <v>-2.6932931949089634E-3</v>
      </c>
      <c r="G12047" s="434"/>
      <c r="J12047" s="417" t="s">
        <v>5664</v>
      </c>
      <c r="K12047" s="417" t="s">
        <v>5770</v>
      </c>
      <c r="L12047" s="417" t="s">
        <v>5771</v>
      </c>
      <c r="M12047" s="417" t="s">
        <v>5772</v>
      </c>
    </row>
    <row r="12048" spans="1:14" hidden="1" outlineLevel="1" x14ac:dyDescent="0.25">
      <c r="A12048" s="2197" t="s">
        <v>2734</v>
      </c>
      <c r="B12048" s="2198" t="s">
        <v>3564</v>
      </c>
      <c r="C12048" s="2095">
        <v>23400.585000000003</v>
      </c>
      <c r="D12048" s="2199">
        <v>28275.07</v>
      </c>
      <c r="E12048" s="2200"/>
      <c r="F12048" s="2201">
        <v>0.2083061171333962</v>
      </c>
      <c r="G12048" s="434"/>
      <c r="J12048" s="417">
        <v>10427.17</v>
      </c>
      <c r="K12048" s="417">
        <v>10678.69</v>
      </c>
      <c r="L12048" s="417">
        <v>11548.07</v>
      </c>
      <c r="M12048" s="417">
        <v>10709.34</v>
      </c>
    </row>
    <row r="12049" spans="1:13" hidden="1" outlineLevel="1" x14ac:dyDescent="0.25">
      <c r="A12049" s="2202" t="s">
        <v>2734</v>
      </c>
      <c r="B12049" s="2203" t="s">
        <v>1124</v>
      </c>
      <c r="C12049" s="2104">
        <v>296.995</v>
      </c>
      <c r="D12049" s="2204">
        <v>387.68</v>
      </c>
      <c r="E12049" s="2205"/>
      <c r="F12049" s="2206">
        <v>0.3053418407717301</v>
      </c>
      <c r="G12049" s="434"/>
      <c r="J12049" s="417">
        <v>22973.95</v>
      </c>
      <c r="K12049" s="417">
        <v>23249.79</v>
      </c>
      <c r="L12049" s="417">
        <v>24038.55</v>
      </c>
      <c r="M12049" s="417">
        <v>23340.05</v>
      </c>
    </row>
    <row r="12050" spans="1:13" hidden="1" outlineLevel="1" x14ac:dyDescent="0.25">
      <c r="A12050" s="2202" t="s">
        <v>2734</v>
      </c>
      <c r="B12050" s="2198"/>
      <c r="C12050" s="1902"/>
      <c r="D12050" s="2150"/>
      <c r="E12050" s="2207" t="s">
        <v>3766</v>
      </c>
      <c r="F12050" s="2148">
        <v>0.17031822157007245</v>
      </c>
      <c r="G12050" s="434"/>
      <c r="J12050" s="417">
        <v>292.99</v>
      </c>
      <c r="K12050" s="417">
        <v>296.49</v>
      </c>
      <c r="L12050" s="417">
        <v>296.41000000000003</v>
      </c>
      <c r="M12050" s="417">
        <v>302.08999999999997</v>
      </c>
    </row>
    <row r="12051" spans="1:13" hidden="1" outlineLevel="1" x14ac:dyDescent="0.25">
      <c r="A12051" s="2208" t="s">
        <v>2734</v>
      </c>
      <c r="B12051" s="2021"/>
      <c r="C12051" s="2209"/>
      <c r="D12051" s="2154"/>
      <c r="E12051" s="2210"/>
      <c r="F12051" s="2155"/>
      <c r="G12051" s="434"/>
    </row>
    <row r="12052" spans="1:13" hidden="1" outlineLevel="1" x14ac:dyDescent="0.25">
      <c r="A12052" s="2160" t="s">
        <v>2734</v>
      </c>
      <c r="B12052" s="1930"/>
      <c r="C12052" s="2211"/>
      <c r="D12052" s="2168"/>
      <c r="E12052" s="2212"/>
      <c r="F12052" s="2171"/>
      <c r="G12052" s="434"/>
    </row>
    <row r="12053" spans="1:13" ht="12.75" hidden="1" customHeight="1" outlineLevel="1" x14ac:dyDescent="0.25">
      <c r="A12053" s="1810" t="s">
        <v>5706</v>
      </c>
      <c r="B12053" s="2213">
        <v>43070</v>
      </c>
      <c r="C12053" s="2142">
        <v>100</v>
      </c>
      <c r="D12053" s="2142">
        <v>122.7803</v>
      </c>
      <c r="E12053" s="2180">
        <v>0.22780299999999998</v>
      </c>
      <c r="F12053" s="2214"/>
      <c r="G12053" s="434"/>
    </row>
    <row r="12054" spans="1:13" ht="12.75" hidden="1" customHeight="1" outlineLevel="1" x14ac:dyDescent="0.25">
      <c r="A12054" s="2197" t="s">
        <v>5707</v>
      </c>
      <c r="B12054" s="2213">
        <v>43101</v>
      </c>
      <c r="C12054" s="2142">
        <v>100</v>
      </c>
      <c r="D12054" s="2142">
        <v>135.07990000000001</v>
      </c>
      <c r="E12054" s="2180">
        <v>0.35079900000000008</v>
      </c>
      <c r="F12054" s="2214"/>
      <c r="G12054" s="434"/>
    </row>
    <row r="12055" spans="1:13" ht="12.75" hidden="1" customHeight="1" outlineLevel="1" x14ac:dyDescent="0.25">
      <c r="A12055" s="2197" t="s">
        <v>5708</v>
      </c>
      <c r="B12055" s="2213">
        <v>43132</v>
      </c>
      <c r="C12055" s="2142">
        <v>100</v>
      </c>
      <c r="D12055" s="2142">
        <v>127.2146</v>
      </c>
      <c r="E12055" s="2180">
        <v>0.272146</v>
      </c>
      <c r="F12055" s="2214"/>
      <c r="G12055" s="434"/>
    </row>
    <row r="12056" spans="1:13" ht="12.75" hidden="1" customHeight="1" outlineLevel="1" x14ac:dyDescent="0.25">
      <c r="A12056" s="2197" t="s">
        <v>5709</v>
      </c>
      <c r="B12056" s="2213">
        <v>43160</v>
      </c>
      <c r="C12056" s="2142">
        <v>100</v>
      </c>
      <c r="D12056" s="2142">
        <v>125.4863</v>
      </c>
      <c r="E12056" s="2180">
        <v>0.25486300000000006</v>
      </c>
      <c r="F12056" s="2214"/>
      <c r="G12056" s="434"/>
    </row>
    <row r="12057" spans="1:13" ht="12.75" hidden="1" customHeight="1" outlineLevel="1" x14ac:dyDescent="0.25">
      <c r="A12057" s="2197" t="s">
        <v>5710</v>
      </c>
      <c r="B12057" s="2213">
        <v>43191</v>
      </c>
      <c r="C12057" s="2142">
        <v>100</v>
      </c>
      <c r="D12057" s="2142">
        <v>126.0822</v>
      </c>
      <c r="E12057" s="2180">
        <v>0.26082200000000011</v>
      </c>
      <c r="F12057" s="2214"/>
      <c r="G12057" s="434"/>
    </row>
    <row r="12058" spans="1:13" ht="12.75" hidden="1" customHeight="1" outlineLevel="1" x14ac:dyDescent="0.25">
      <c r="A12058" s="2197" t="s">
        <v>5711</v>
      </c>
      <c r="B12058" s="2213">
        <v>43221</v>
      </c>
      <c r="C12058" s="2142">
        <v>100</v>
      </c>
      <c r="D12058" s="2142">
        <v>125.00060000000001</v>
      </c>
      <c r="E12058" s="2180">
        <v>0.25000599999999995</v>
      </c>
      <c r="F12058" s="2214"/>
      <c r="G12058" s="434"/>
    </row>
    <row r="12059" spans="1:13" ht="12.75" hidden="1" customHeight="1" outlineLevel="1" x14ac:dyDescent="0.25">
      <c r="A12059" s="2197" t="s">
        <v>5712</v>
      </c>
      <c r="B12059" s="2213">
        <v>43252</v>
      </c>
      <c r="C12059" s="2142">
        <v>100</v>
      </c>
      <c r="D12059" s="2142">
        <v>119.6245</v>
      </c>
      <c r="E12059" s="2180">
        <v>0.196245</v>
      </c>
      <c r="F12059" s="2214"/>
      <c r="G12059" s="434"/>
    </row>
    <row r="12060" spans="1:13" ht="12.75" hidden="1" customHeight="1" outlineLevel="1" x14ac:dyDescent="0.25">
      <c r="A12060" s="2197" t="s">
        <v>5713</v>
      </c>
      <c r="B12060" s="2213">
        <v>43282</v>
      </c>
      <c r="C12060" s="2142">
        <v>100</v>
      </c>
      <c r="D12060" s="2142">
        <v>120.7025</v>
      </c>
      <c r="E12060" s="2180">
        <v>0.20702500000000001</v>
      </c>
      <c r="F12060" s="2214"/>
      <c r="G12060" s="434"/>
    </row>
    <row r="12061" spans="1:13" ht="12.75" hidden="1" customHeight="1" outlineLevel="1" x14ac:dyDescent="0.25">
      <c r="A12061" s="2197" t="s">
        <v>5714</v>
      </c>
      <c r="B12061" s="2213">
        <v>43313</v>
      </c>
      <c r="C12061" s="2142">
        <v>100</v>
      </c>
      <c r="D12061" s="2142">
        <v>119.6318</v>
      </c>
      <c r="E12061" s="2180">
        <v>0.19631799999999999</v>
      </c>
      <c r="F12061" s="2214"/>
      <c r="G12061" s="434"/>
    </row>
    <row r="12062" spans="1:13" ht="12.75" hidden="1" customHeight="1" outlineLevel="1" x14ac:dyDescent="0.25">
      <c r="A12062" s="2197" t="s">
        <v>5715</v>
      </c>
      <c r="B12062" s="2213">
        <v>43344</v>
      </c>
      <c r="C12062" s="2142">
        <v>100</v>
      </c>
      <c r="D12062" s="2142">
        <v>119.7529</v>
      </c>
      <c r="E12062" s="2180">
        <v>0.19752900000000007</v>
      </c>
      <c r="F12062" s="2214"/>
      <c r="G12062" s="434"/>
    </row>
    <row r="12063" spans="1:13" ht="12.75" hidden="1" customHeight="1" outlineLevel="1" x14ac:dyDescent="0.25">
      <c r="A12063" s="2197" t="s">
        <v>5716</v>
      </c>
      <c r="B12063" s="2213">
        <v>43374</v>
      </c>
      <c r="C12063" s="2142">
        <v>100</v>
      </c>
      <c r="D12063" s="2142">
        <v>108.1358</v>
      </c>
      <c r="E12063" s="2180">
        <v>8.1358000000000041E-2</v>
      </c>
      <c r="F12063" s="2214"/>
      <c r="G12063" s="434"/>
    </row>
    <row r="12064" spans="1:13" ht="12.75" hidden="1" customHeight="1" outlineLevel="1" x14ac:dyDescent="0.25">
      <c r="A12064" s="2197" t="s">
        <v>5717</v>
      </c>
      <c r="B12064" s="2213">
        <v>43405</v>
      </c>
      <c r="C12064" s="2142">
        <v>100</v>
      </c>
      <c r="D12064" s="2142">
        <v>111.3027</v>
      </c>
      <c r="E12064" s="2180">
        <v>0.11302699999999999</v>
      </c>
      <c r="F12064" s="2214"/>
      <c r="G12064" s="434"/>
    </row>
    <row r="12065" spans="1:11" ht="12.75" hidden="1" customHeight="1" outlineLevel="1" x14ac:dyDescent="0.25">
      <c r="A12065" s="2197" t="s">
        <v>5718</v>
      </c>
      <c r="B12065" s="2213">
        <v>43435</v>
      </c>
      <c r="C12065" s="2142">
        <v>100</v>
      </c>
      <c r="D12065" s="2142">
        <v>108.1785</v>
      </c>
      <c r="E12065" s="2180">
        <v>8.1784999999999997E-2</v>
      </c>
      <c r="F12065" s="2214"/>
      <c r="G12065" s="434"/>
    </row>
    <row r="12066" spans="1:11" ht="12.75" hidden="1" customHeight="1" outlineLevel="1" x14ac:dyDescent="0.25">
      <c r="A12066" s="2197" t="s">
        <v>5719</v>
      </c>
      <c r="B12066" s="2213">
        <v>43466</v>
      </c>
      <c r="C12066" s="2142">
        <v>100</v>
      </c>
      <c r="D12066" s="2142">
        <v>114.63760000000001</v>
      </c>
      <c r="E12066" s="2180">
        <v>0.14637600000000006</v>
      </c>
      <c r="F12066" s="2214"/>
      <c r="G12066" s="434"/>
    </row>
    <row r="12067" spans="1:11" ht="12.75" hidden="1" customHeight="1" outlineLevel="1" x14ac:dyDescent="0.25">
      <c r="A12067" s="2197" t="s">
        <v>5720</v>
      </c>
      <c r="B12067" s="2213">
        <v>43497</v>
      </c>
      <c r="C12067" s="2142">
        <v>100</v>
      </c>
      <c r="D12067" s="2142">
        <v>118.6605</v>
      </c>
      <c r="E12067" s="2180">
        <v>0.18660499999999991</v>
      </c>
      <c r="F12067" s="2214"/>
      <c r="G12067" s="434"/>
    </row>
    <row r="12068" spans="1:11" ht="12.75" hidden="1" customHeight="1" outlineLevel="1" x14ac:dyDescent="0.25">
      <c r="A12068" s="2197" t="s">
        <v>5721</v>
      </c>
      <c r="B12068" s="2213">
        <v>43525</v>
      </c>
      <c r="C12068" s="2142">
        <v>100</v>
      </c>
      <c r="D12068" s="2142">
        <v>120.33629999999999</v>
      </c>
      <c r="E12068" s="2180">
        <v>0.20336299999999996</v>
      </c>
      <c r="F12068" s="2214"/>
      <c r="G12068" s="434"/>
    </row>
    <row r="12069" spans="1:11" ht="12.75" hidden="1" customHeight="1" outlineLevel="1" x14ac:dyDescent="0.25">
      <c r="A12069" s="2197" t="s">
        <v>5722</v>
      </c>
      <c r="B12069" s="2213">
        <v>43556</v>
      </c>
      <c r="C12069" s="2142">
        <v>100</v>
      </c>
      <c r="D12069" s="2142">
        <v>123.62220000000001</v>
      </c>
      <c r="E12069" s="2180">
        <v>0.23622200000000015</v>
      </c>
      <c r="F12069" s="2214"/>
      <c r="G12069" s="434"/>
    </row>
    <row r="12070" spans="1:11" ht="12.75" hidden="1" customHeight="1" outlineLevel="1" x14ac:dyDescent="0.25">
      <c r="A12070" s="2197" t="s">
        <v>5723</v>
      </c>
      <c r="B12070" s="2185">
        <v>43586</v>
      </c>
      <c r="C12070" s="2188">
        <v>100</v>
      </c>
      <c r="D12070" s="2188">
        <v>113.4922</v>
      </c>
      <c r="E12070" s="2180">
        <v>0.13492199999999999</v>
      </c>
      <c r="F12070" s="2171"/>
      <c r="G12070" s="434"/>
    </row>
    <row r="12071" spans="1:11" ht="12.75" hidden="1" customHeight="1" outlineLevel="1" x14ac:dyDescent="0.25">
      <c r="A12071" s="2215" t="s">
        <v>2734</v>
      </c>
      <c r="B12071" s="2216"/>
      <c r="C12071" s="2186"/>
      <c r="D12071" s="2217" t="s">
        <v>2465</v>
      </c>
      <c r="E12071" s="1987">
        <v>0.19984522222222226</v>
      </c>
      <c r="F12071" s="1948">
        <v>0.19984522222222226</v>
      </c>
      <c r="G12071" s="434"/>
    </row>
    <row r="12072" spans="1:11" collapsed="1" x14ac:dyDescent="0.25">
      <c r="A12072" s="3801" t="s">
        <v>5704</v>
      </c>
      <c r="B12072" s="3802"/>
      <c r="C12072" s="3802"/>
      <c r="D12072" s="3802"/>
      <c r="E12072" s="2218"/>
      <c r="F12072" s="1890">
        <v>0.13989165555555558</v>
      </c>
      <c r="G12072" s="434"/>
    </row>
    <row r="12073" spans="1:11" x14ac:dyDescent="0.25">
      <c r="A12073" t="s">
        <v>2734</v>
      </c>
      <c r="G12073" s="434"/>
    </row>
    <row r="12074" spans="1:11" ht="12.75" hidden="1" customHeight="1" outlineLevel="1" x14ac:dyDescent="0.25">
      <c r="A12074" s="2392" t="s">
        <v>113</v>
      </c>
      <c r="B12074" s="2392" t="s">
        <v>114</v>
      </c>
      <c r="C12074" s="2392" t="s">
        <v>112</v>
      </c>
      <c r="D12074" s="2392" t="s">
        <v>116</v>
      </c>
      <c r="E12074" s="2392" t="s">
        <v>117</v>
      </c>
      <c r="F12074" s="2393" t="s">
        <v>121</v>
      </c>
      <c r="G12074" s="434"/>
    </row>
    <row r="12075" spans="1:11" ht="12.75" hidden="1" customHeight="1" outlineLevel="1" x14ac:dyDescent="0.25">
      <c r="A12075" s="2394">
        <v>1</v>
      </c>
      <c r="B12075" s="2395" t="s">
        <v>252</v>
      </c>
      <c r="C12075" s="2396">
        <v>100</v>
      </c>
      <c r="D12075" s="2396"/>
      <c r="E12075" s="2397"/>
      <c r="F12075" s="2398"/>
      <c r="G12075" s="434"/>
    </row>
    <row r="12076" spans="1:11" ht="12.75" hidden="1" customHeight="1" outlineLevel="1" x14ac:dyDescent="0.25">
      <c r="A12076" s="2399" t="s">
        <v>2734</v>
      </c>
      <c r="B12076" s="2399"/>
      <c r="C12076" s="2400"/>
      <c r="D12076" s="1900" t="s">
        <v>3702</v>
      </c>
      <c r="E12076" s="2401">
        <v>43693</v>
      </c>
      <c r="F12076" s="2402"/>
      <c r="G12076" s="434"/>
    </row>
    <row r="12077" spans="1:11" ht="12.75" hidden="1" customHeight="1" outlineLevel="1" x14ac:dyDescent="0.25">
      <c r="A12077" s="2392" t="s">
        <v>4156</v>
      </c>
      <c r="B12077" s="2403" t="s">
        <v>4153</v>
      </c>
      <c r="C12077" s="2404" t="s">
        <v>112</v>
      </c>
      <c r="D12077" s="2403" t="s">
        <v>4155</v>
      </c>
      <c r="E12077" s="2392" t="s">
        <v>4154</v>
      </c>
      <c r="F12077" s="2405" t="s">
        <v>2519</v>
      </c>
      <c r="G12077" s="434"/>
    </row>
    <row r="12078" spans="1:11" ht="12.75" hidden="1" customHeight="1" outlineLevel="1" x14ac:dyDescent="0.25">
      <c r="A12078" s="1991">
        <v>0.02</v>
      </c>
      <c r="B12078" s="2089" t="s">
        <v>6072</v>
      </c>
      <c r="C12078" s="2177">
        <v>14.778669058454348</v>
      </c>
      <c r="D12078" s="2406">
        <v>19.010000000000002</v>
      </c>
      <c r="E12078" s="2407">
        <v>0.28631339701900016</v>
      </c>
      <c r="F12078" s="2405">
        <v>5.7262679403800032E-3</v>
      </c>
      <c r="G12078" s="434"/>
      <c r="H12078" t="s">
        <v>8514</v>
      </c>
      <c r="K12078" s="434"/>
    </row>
    <row r="12079" spans="1:11" ht="12.75" hidden="1" customHeight="1" outlineLevel="1" x14ac:dyDescent="0.25">
      <c r="A12079" s="2380">
        <v>0.02</v>
      </c>
      <c r="B12079" s="2101" t="s">
        <v>5745</v>
      </c>
      <c r="C12079" s="2179">
        <v>30.744</v>
      </c>
      <c r="D12079" s="2408">
        <v>26.39</v>
      </c>
      <c r="E12079" s="2409">
        <v>-0.14162112932604731</v>
      </c>
      <c r="F12079" s="2410">
        <v>-2.8324225865209462E-3</v>
      </c>
      <c r="G12079" s="434"/>
      <c r="H12079" t="s">
        <v>5743</v>
      </c>
      <c r="K12079" s="434"/>
    </row>
    <row r="12080" spans="1:11" ht="12.75" hidden="1" customHeight="1" outlineLevel="1" x14ac:dyDescent="0.25">
      <c r="A12080" s="2380">
        <v>0.02</v>
      </c>
      <c r="B12080" s="2003" t="s">
        <v>5748</v>
      </c>
      <c r="C12080" s="2179">
        <v>59.59</v>
      </c>
      <c r="D12080" s="2408">
        <v>67.72</v>
      </c>
      <c r="E12080" s="2409">
        <v>0.13643228729652623</v>
      </c>
      <c r="F12080" s="2410">
        <v>2.7286457459305248E-3</v>
      </c>
      <c r="G12080" s="434"/>
      <c r="H12080" t="s">
        <v>5746</v>
      </c>
      <c r="K12080" s="434"/>
    </row>
    <row r="12081" spans="1:11" ht="12.75" hidden="1" customHeight="1" outlineLevel="1" x14ac:dyDescent="0.25">
      <c r="A12081" s="2380">
        <v>0.05</v>
      </c>
      <c r="B12081" s="1929" t="s">
        <v>1141</v>
      </c>
      <c r="C12081" s="2179">
        <v>80.328000000000003</v>
      </c>
      <c r="D12081" s="2408">
        <v>59.56</v>
      </c>
      <c r="E12081" s="2409">
        <v>-0.25853998605716566</v>
      </c>
      <c r="F12081" s="2410">
        <v>-1.2926999302858283E-2</v>
      </c>
      <c r="G12081" s="434"/>
      <c r="H12081" t="s">
        <v>666</v>
      </c>
      <c r="K12081" s="434"/>
    </row>
    <row r="12082" spans="1:11" ht="12.75" hidden="1" customHeight="1" outlineLevel="1" x14ac:dyDescent="0.25">
      <c r="A12082" s="2380">
        <v>0.04</v>
      </c>
      <c r="B12082" s="2101" t="s">
        <v>807</v>
      </c>
      <c r="C12082" s="2179">
        <v>43.901000000000003</v>
      </c>
      <c r="D12082" s="2408">
        <v>62.01</v>
      </c>
      <c r="E12082" s="2409">
        <v>0.41249629848978375</v>
      </c>
      <c r="F12082" s="2410">
        <v>1.6499851939591352E-2</v>
      </c>
      <c r="G12082" s="434"/>
      <c r="H12082" t="s">
        <v>808</v>
      </c>
      <c r="K12082" s="434"/>
    </row>
    <row r="12083" spans="1:11" ht="12.75" hidden="1" customHeight="1" outlineLevel="1" x14ac:dyDescent="0.25">
      <c r="A12083" s="2380">
        <v>0.02</v>
      </c>
      <c r="B12083" s="2101" t="s">
        <v>2582</v>
      </c>
      <c r="C12083" s="2179">
        <v>1764.2141403511687</v>
      </c>
      <c r="D12083" s="2408">
        <v>1755.2</v>
      </c>
      <c r="E12083" s="2409">
        <v>-5.1094366296000615E-3</v>
      </c>
      <c r="F12083" s="2410">
        <v>-1.0218873259200123E-4</v>
      </c>
      <c r="G12083" s="434"/>
      <c r="H12083" t="s">
        <v>9582</v>
      </c>
      <c r="K12083" s="434"/>
    </row>
    <row r="12084" spans="1:11" ht="12.75" hidden="1" customHeight="1" outlineLevel="1" x14ac:dyDescent="0.25">
      <c r="A12084" s="2380">
        <v>7.0000000000000007E-2</v>
      </c>
      <c r="B12084" s="2411" t="s">
        <v>901</v>
      </c>
      <c r="C12084" s="2179">
        <v>2826.1822474878577</v>
      </c>
      <c r="D12084" s="2408">
        <v>3029</v>
      </c>
      <c r="E12084" s="2409">
        <v>7.1763861899714065E-2</v>
      </c>
      <c r="F12084" s="2410">
        <v>5.0234703329799851E-3</v>
      </c>
      <c r="G12084" s="434"/>
      <c r="H12084" t="s">
        <v>531</v>
      </c>
      <c r="K12084" s="434"/>
    </row>
    <row r="12085" spans="1:11" ht="12.75" hidden="1" customHeight="1" outlineLevel="1" x14ac:dyDescent="0.25">
      <c r="A12085" s="2380">
        <v>0.03</v>
      </c>
      <c r="B12085" s="2101" t="s">
        <v>2353</v>
      </c>
      <c r="C12085" s="2179">
        <v>582.85</v>
      </c>
      <c r="D12085" s="2408">
        <v>477.8</v>
      </c>
      <c r="E12085" s="2409">
        <v>-0.18023505190014588</v>
      </c>
      <c r="F12085" s="2410">
        <v>-5.4070515570043762E-3</v>
      </c>
      <c r="G12085" s="434"/>
      <c r="H12085" t="s">
        <v>2354</v>
      </c>
      <c r="K12085" s="434"/>
    </row>
    <row r="12086" spans="1:11" ht="12.75" hidden="1" customHeight="1" outlineLevel="1" x14ac:dyDescent="0.25">
      <c r="A12086" s="2380">
        <v>0.05</v>
      </c>
      <c r="B12086" s="2411" t="s">
        <v>4055</v>
      </c>
      <c r="C12086" s="2179">
        <v>63.494999999999997</v>
      </c>
      <c r="D12086" s="2408">
        <v>82.1</v>
      </c>
      <c r="E12086" s="2409">
        <v>0.29301519804709031</v>
      </c>
      <c r="F12086" s="2410">
        <v>1.4650759902354517E-2</v>
      </c>
      <c r="G12086" s="434"/>
      <c r="H12086" t="s">
        <v>4056</v>
      </c>
      <c r="K12086" s="434"/>
    </row>
    <row r="12087" spans="1:11" ht="12.75" hidden="1" customHeight="1" outlineLevel="1" x14ac:dyDescent="0.25">
      <c r="A12087" s="2380">
        <v>0.04</v>
      </c>
      <c r="B12087" s="2411" t="s">
        <v>1319</v>
      </c>
      <c r="C12087" s="2179">
        <v>55.71</v>
      </c>
      <c r="D12087" s="2408">
        <v>87.2</v>
      </c>
      <c r="E12087" s="2409">
        <v>0.56524860886734873</v>
      </c>
      <c r="F12087" s="2410">
        <v>2.2609944354693951E-2</v>
      </c>
      <c r="G12087" s="434"/>
      <c r="H12087" t="s">
        <v>1320</v>
      </c>
      <c r="K12087" s="434"/>
    </row>
    <row r="12088" spans="1:11" ht="12.75" hidden="1" customHeight="1" outlineLevel="1" x14ac:dyDescent="0.25">
      <c r="A12088" s="2380">
        <v>0.02</v>
      </c>
      <c r="B12088" s="2411" t="s">
        <v>8914</v>
      </c>
      <c r="C12088" s="2179">
        <v>109.74192874040646</v>
      </c>
      <c r="D12088" s="2408">
        <v>274.10000000000002</v>
      </c>
      <c r="E12088" s="2409">
        <v>1.4976779900449997</v>
      </c>
      <c r="F12088" s="2410">
        <v>2.9953559800899993E-2</v>
      </c>
      <c r="G12088" s="434"/>
      <c r="H12088" t="s">
        <v>8915</v>
      </c>
      <c r="K12088" s="434"/>
    </row>
    <row r="12089" spans="1:11" ht="12.75" hidden="1" customHeight="1" outlineLevel="1" x14ac:dyDescent="0.25">
      <c r="A12089" s="2380">
        <v>0.02</v>
      </c>
      <c r="B12089" s="2411" t="s">
        <v>9591</v>
      </c>
      <c r="C12089" s="2179">
        <v>61.649000000000001</v>
      </c>
      <c r="D12089" s="2408">
        <v>76.86</v>
      </c>
      <c r="E12089" s="2409">
        <v>0.2467355512660383</v>
      </c>
      <c r="F12089" s="2410">
        <v>4.9347110253207659E-3</v>
      </c>
      <c r="G12089" s="434"/>
      <c r="H12089" t="s">
        <v>2622</v>
      </c>
      <c r="K12089" s="434"/>
    </row>
    <row r="12090" spans="1:11" ht="12.75" hidden="1" customHeight="1" outlineLevel="1" x14ac:dyDescent="0.25">
      <c r="A12090" s="2380">
        <v>0.02</v>
      </c>
      <c r="B12090" s="2101" t="s">
        <v>1231</v>
      </c>
      <c r="C12090" s="2179">
        <v>66.686000000000007</v>
      </c>
      <c r="D12090" s="2408">
        <v>89.77</v>
      </c>
      <c r="E12090" s="2409">
        <v>0.34615961371202331</v>
      </c>
      <c r="F12090" s="2410">
        <v>6.9231922742404662E-3</v>
      </c>
      <c r="G12090" s="434"/>
      <c r="H12090" t="s">
        <v>2041</v>
      </c>
      <c r="K12090" s="434"/>
    </row>
    <row r="12091" spans="1:11" ht="12.75" hidden="1" customHeight="1" outlineLevel="1" x14ac:dyDescent="0.25">
      <c r="A12091" s="2380">
        <v>0.05</v>
      </c>
      <c r="B12091" s="2101" t="s">
        <v>1036</v>
      </c>
      <c r="C12091" s="2179">
        <v>123.89015083534186</v>
      </c>
      <c r="D12091" s="2408">
        <v>167.3</v>
      </c>
      <c r="E12091" s="2409">
        <v>0.35038983221800013</v>
      </c>
      <c r="F12091" s="2410">
        <v>1.7519491610900006E-2</v>
      </c>
      <c r="G12091" s="434"/>
      <c r="H12091" t="s">
        <v>1066</v>
      </c>
      <c r="K12091" s="434"/>
    </row>
    <row r="12092" spans="1:11" ht="12.75" hidden="1" customHeight="1" outlineLevel="1" x14ac:dyDescent="0.25">
      <c r="A12092" s="2380">
        <v>0.02</v>
      </c>
      <c r="B12092" s="2101" t="s">
        <v>2920</v>
      </c>
      <c r="C12092" s="2179">
        <v>23.498000000000001</v>
      </c>
      <c r="D12092" s="2408">
        <v>46.5</v>
      </c>
      <c r="E12092" s="2409">
        <v>0.97889182058047486</v>
      </c>
      <c r="F12092" s="2410">
        <v>1.9577836411609498E-2</v>
      </c>
      <c r="G12092" s="434"/>
      <c r="H12092" t="s">
        <v>6731</v>
      </c>
      <c r="K12092" s="434"/>
    </row>
    <row r="12093" spans="1:11" ht="12.75" hidden="1" customHeight="1" outlineLevel="1" x14ac:dyDescent="0.25">
      <c r="A12093" s="2380">
        <v>0.05</v>
      </c>
      <c r="B12093" s="2411" t="s">
        <v>5751</v>
      </c>
      <c r="C12093" s="2179">
        <v>10.659000000000001</v>
      </c>
      <c r="D12093" s="2408">
        <v>5.89</v>
      </c>
      <c r="E12093" s="2409">
        <v>-0.44741532976827103</v>
      </c>
      <c r="F12093" s="2410">
        <v>-2.2370766488413553E-2</v>
      </c>
      <c r="G12093" s="434"/>
      <c r="H12093" t="s">
        <v>5749</v>
      </c>
      <c r="K12093" s="434"/>
    </row>
    <row r="12094" spans="1:11" ht="12.75" hidden="1" customHeight="1" outlineLevel="1" x14ac:dyDescent="0.25">
      <c r="A12094" s="2380">
        <v>0.03</v>
      </c>
      <c r="B12094" s="2411" t="s">
        <v>4034</v>
      </c>
      <c r="C12094" s="2179">
        <v>12.914</v>
      </c>
      <c r="D12094" s="2408">
        <v>20.984999999999999</v>
      </c>
      <c r="E12094" s="2409">
        <v>0.62498064116462748</v>
      </c>
      <c r="F12094" s="2410">
        <v>1.8749419234938825E-2</v>
      </c>
      <c r="G12094" s="434"/>
      <c r="H12094" t="s">
        <v>8151</v>
      </c>
      <c r="K12094" s="434"/>
    </row>
    <row r="12095" spans="1:11" ht="12.75" hidden="1" customHeight="1" outlineLevel="1" x14ac:dyDescent="0.25">
      <c r="A12095" s="2380">
        <v>0.02</v>
      </c>
      <c r="B12095" s="2099" t="s">
        <v>5754</v>
      </c>
      <c r="C12095" s="2179">
        <v>40.69</v>
      </c>
      <c r="D12095" s="2408">
        <v>81.47</v>
      </c>
      <c r="E12095" s="2409">
        <v>1.002211845662325</v>
      </c>
      <c r="F12095" s="2410">
        <v>2.0044236913246499E-2</v>
      </c>
      <c r="G12095" s="434"/>
      <c r="H12095" t="s">
        <v>5752</v>
      </c>
      <c r="K12095" s="434"/>
    </row>
    <row r="12096" spans="1:11" ht="12.75" hidden="1" customHeight="1" outlineLevel="1" x14ac:dyDescent="0.25">
      <c r="A12096" s="2380">
        <v>0.05</v>
      </c>
      <c r="B12096" s="2411" t="s">
        <v>3958</v>
      </c>
      <c r="C12096" s="2179">
        <v>1284</v>
      </c>
      <c r="D12096" s="2408">
        <v>814.4</v>
      </c>
      <c r="E12096" s="2409">
        <v>-0.36573208722741435</v>
      </c>
      <c r="F12096" s="2410">
        <v>-1.828660436137072E-2</v>
      </c>
      <c r="G12096" s="434"/>
      <c r="H12096" t="s">
        <v>3959</v>
      </c>
      <c r="K12096" s="434"/>
    </row>
    <row r="12097" spans="1:11" ht="12.75" hidden="1" customHeight="1" outlineLevel="1" x14ac:dyDescent="0.25">
      <c r="A12097" s="2380">
        <v>0.03</v>
      </c>
      <c r="B12097" s="2099" t="s">
        <v>2769</v>
      </c>
      <c r="C12097" s="2179">
        <v>28.14909023772999</v>
      </c>
      <c r="D12097" s="2408">
        <v>29.41</v>
      </c>
      <c r="E12097" s="2409">
        <v>4.4793979187999877E-2</v>
      </c>
      <c r="F12097" s="2410">
        <v>1.3438193756399963E-3</v>
      </c>
      <c r="G12097" s="434"/>
      <c r="H12097" t="s">
        <v>2770</v>
      </c>
      <c r="K12097" s="434"/>
    </row>
    <row r="12098" spans="1:11" ht="12.75" hidden="1" customHeight="1" outlineLevel="1" x14ac:dyDescent="0.25">
      <c r="A12098" s="2380">
        <v>0.02</v>
      </c>
      <c r="B12098" s="2101" t="s">
        <v>2728</v>
      </c>
      <c r="C12098" s="2179">
        <v>66.070999999999998</v>
      </c>
      <c r="D12098" s="2408">
        <v>99.74</v>
      </c>
      <c r="E12098" s="2409">
        <v>0.50958817030164516</v>
      </c>
      <c r="F12098" s="2410">
        <v>1.0191763406032903E-2</v>
      </c>
      <c r="G12098" s="434"/>
      <c r="H12098" t="s">
        <v>9049</v>
      </c>
      <c r="K12098" s="434"/>
    </row>
    <row r="12099" spans="1:11" ht="12.75" hidden="1" customHeight="1" outlineLevel="1" x14ac:dyDescent="0.25">
      <c r="A12099" s="2380">
        <v>0.02</v>
      </c>
      <c r="B12099" s="2099" t="s">
        <v>5755</v>
      </c>
      <c r="C12099" s="2179">
        <v>22.922888530788541</v>
      </c>
      <c r="D12099" s="2408">
        <v>8.99</v>
      </c>
      <c r="E12099" s="2409">
        <v>-0.60781556879599996</v>
      </c>
      <c r="F12099" s="2410">
        <v>-1.2156311375919999E-2</v>
      </c>
      <c r="G12099" s="434"/>
      <c r="H12099" t="s">
        <v>8917</v>
      </c>
      <c r="K12099" s="434"/>
    </row>
    <row r="12100" spans="1:11" ht="12.75" hidden="1" customHeight="1" outlineLevel="1" x14ac:dyDescent="0.25">
      <c r="A12100" s="2380">
        <v>0.04</v>
      </c>
      <c r="B12100" s="2101" t="s">
        <v>1214</v>
      </c>
      <c r="C12100" s="2179">
        <v>88.843999999999994</v>
      </c>
      <c r="D12100" s="2408">
        <v>85.84</v>
      </c>
      <c r="E12100" s="2409">
        <v>-3.3812075097924388E-2</v>
      </c>
      <c r="F12100" s="2410">
        <v>-1.3524830039169755E-3</v>
      </c>
      <c r="G12100" s="434"/>
      <c r="H12100" t="s">
        <v>3775</v>
      </c>
      <c r="K12100" s="434"/>
    </row>
    <row r="12101" spans="1:11" ht="12.75" hidden="1" customHeight="1" outlineLevel="1" x14ac:dyDescent="0.25">
      <c r="A12101" s="2380">
        <v>0.02</v>
      </c>
      <c r="B12101" s="1929" t="s">
        <v>3427</v>
      </c>
      <c r="C12101" s="2179">
        <v>41.579000000000001</v>
      </c>
      <c r="D12101" s="2408">
        <v>57.48</v>
      </c>
      <c r="E12101" s="2409">
        <v>0.38242862983717729</v>
      </c>
      <c r="F12101" s="2410">
        <v>7.6485725967435463E-3</v>
      </c>
      <c r="G12101" s="434"/>
      <c r="H12101" t="s">
        <v>2800</v>
      </c>
      <c r="K12101" s="434"/>
    </row>
    <row r="12102" spans="1:11" ht="12.75" hidden="1" customHeight="1" outlineLevel="1" x14ac:dyDescent="0.25">
      <c r="A12102" s="2380">
        <v>0.02</v>
      </c>
      <c r="B12102" s="2003" t="s">
        <v>1857</v>
      </c>
      <c r="C12102" s="2179">
        <v>1562.8</v>
      </c>
      <c r="D12102" s="2408">
        <v>1107</v>
      </c>
      <c r="E12102" s="2409">
        <v>-0.29165600204760689</v>
      </c>
      <c r="F12102" s="2410">
        <v>-5.8331200409521382E-3</v>
      </c>
      <c r="G12102" s="434"/>
      <c r="H12102" t="s">
        <v>3559</v>
      </c>
      <c r="K12102" s="434"/>
    </row>
    <row r="12103" spans="1:11" ht="12.75" hidden="1" customHeight="1" outlineLevel="1" x14ac:dyDescent="0.25">
      <c r="A12103" s="2380">
        <v>0.08</v>
      </c>
      <c r="B12103" s="1929" t="s">
        <v>1239</v>
      </c>
      <c r="C12103" s="2179">
        <v>433.67</v>
      </c>
      <c r="D12103" s="2408">
        <v>487.2</v>
      </c>
      <c r="E12103" s="2409">
        <v>0.12343486983189966</v>
      </c>
      <c r="F12103" s="2410">
        <v>9.8747895865519738E-3</v>
      </c>
      <c r="G12103" s="434"/>
      <c r="H12103" t="s">
        <v>8891</v>
      </c>
      <c r="K12103" s="434"/>
    </row>
    <row r="12104" spans="1:11" ht="12.75" hidden="1" customHeight="1" outlineLevel="1" x14ac:dyDescent="0.25">
      <c r="A12104" s="2380">
        <v>0.02</v>
      </c>
      <c r="B12104" s="1929" t="s">
        <v>5758</v>
      </c>
      <c r="C12104" s="2179">
        <v>54.610887921266482</v>
      </c>
      <c r="D12104" s="2408">
        <v>73.2</v>
      </c>
      <c r="E12104" s="2409">
        <v>0.34039204975999993</v>
      </c>
      <c r="F12104" s="2410">
        <v>6.8078409951999987E-3</v>
      </c>
      <c r="G12104" s="434"/>
      <c r="H12104" t="s">
        <v>5756</v>
      </c>
      <c r="K12104" s="434"/>
    </row>
    <row r="12105" spans="1:11" ht="12.75" hidden="1" customHeight="1" outlineLevel="1" x14ac:dyDescent="0.25">
      <c r="A12105" s="2380">
        <v>0.03</v>
      </c>
      <c r="B12105" s="1929" t="s">
        <v>255</v>
      </c>
      <c r="C12105" s="2179">
        <v>47.878</v>
      </c>
      <c r="D12105" s="2408">
        <v>56.65</v>
      </c>
      <c r="E12105" s="2409">
        <v>0.18321567316930532</v>
      </c>
      <c r="F12105" s="2410">
        <v>5.4964701950791593E-3</v>
      </c>
      <c r="G12105" s="434"/>
      <c r="H12105" t="s">
        <v>3351</v>
      </c>
      <c r="K12105" s="434"/>
    </row>
    <row r="12106" spans="1:11" ht="12.75" hidden="1" customHeight="1" outlineLevel="1" x14ac:dyDescent="0.25">
      <c r="A12106" s="2380">
        <v>0.08</v>
      </c>
      <c r="B12106" s="2109" t="s">
        <v>5174</v>
      </c>
      <c r="C12106" s="2179">
        <v>293.58</v>
      </c>
      <c r="D12106" s="2412">
        <v>181.05</v>
      </c>
      <c r="E12106" s="2409">
        <v>-0.38330267729409351</v>
      </c>
      <c r="F12106" s="2410">
        <v>-3.066421418352748E-2</v>
      </c>
      <c r="G12106" s="434"/>
      <c r="H12106" t="s">
        <v>5172</v>
      </c>
      <c r="K12106" s="434"/>
    </row>
    <row r="12107" spans="1:11" ht="12.75" hidden="1" customHeight="1" outlineLevel="1" x14ac:dyDescent="0.25">
      <c r="A12107" s="2181" t="s">
        <v>2734</v>
      </c>
      <c r="B12107" s="2103"/>
      <c r="C12107" s="2413"/>
      <c r="D12107" s="2414"/>
      <c r="E12107" s="2415"/>
      <c r="F12107" s="2405">
        <v>0.11437248200925752</v>
      </c>
      <c r="G12107" s="434"/>
    </row>
    <row r="12108" spans="1:11" ht="12.75" hidden="1" customHeight="1" outlineLevel="1" x14ac:dyDescent="0.25">
      <c r="A12108" s="2181"/>
      <c r="B12108" s="2416"/>
      <c r="C12108" s="2396"/>
      <c r="D12108" s="2400"/>
      <c r="E12108" s="2407"/>
      <c r="F12108" s="2417"/>
      <c r="G12108" s="434"/>
    </row>
    <row r="12109" spans="1:11" ht="12.75" hidden="1" customHeight="1" outlineLevel="1" x14ac:dyDescent="0.25">
      <c r="A12109" s="1956" t="s">
        <v>5724</v>
      </c>
      <c r="B12109" s="2185">
        <v>43160</v>
      </c>
      <c r="C12109" s="2418">
        <v>100</v>
      </c>
      <c r="D12109" s="2418">
        <v>113.8475</v>
      </c>
      <c r="E12109" s="2419">
        <v>0.1384749999999999</v>
      </c>
      <c r="F12109" s="2420"/>
      <c r="G12109" s="434"/>
    </row>
    <row r="12110" spans="1:11" ht="12.75" hidden="1" customHeight="1" outlineLevel="1" x14ac:dyDescent="0.25">
      <c r="A12110" s="1956" t="s">
        <v>5725</v>
      </c>
      <c r="B12110" s="2185">
        <v>43191</v>
      </c>
      <c r="C12110" s="2418">
        <v>100</v>
      </c>
      <c r="D12110" s="2421">
        <v>117.20099999999999</v>
      </c>
      <c r="E12110" s="2419">
        <v>0.17201</v>
      </c>
      <c r="F12110" s="2420"/>
      <c r="G12110" s="434"/>
    </row>
    <row r="12111" spans="1:11" ht="12.75" hidden="1" customHeight="1" outlineLevel="1" x14ac:dyDescent="0.25">
      <c r="A12111" s="1956" t="s">
        <v>5726</v>
      </c>
      <c r="B12111" s="2185">
        <v>43221</v>
      </c>
      <c r="C12111" s="2418">
        <v>100</v>
      </c>
      <c r="D12111" s="2421">
        <v>116.4361</v>
      </c>
      <c r="E12111" s="2419">
        <v>0.16436099999999998</v>
      </c>
      <c r="F12111" s="2420"/>
      <c r="G12111" s="434"/>
    </row>
    <row r="12112" spans="1:11" ht="12.75" hidden="1" customHeight="1" outlineLevel="1" x14ac:dyDescent="0.25">
      <c r="A12112" s="1956" t="s">
        <v>5727</v>
      </c>
      <c r="B12112" s="2185">
        <v>43252</v>
      </c>
      <c r="C12112" s="2418">
        <v>100</v>
      </c>
      <c r="D12112" s="2421">
        <v>116.70950000000001</v>
      </c>
      <c r="E12112" s="2419">
        <v>0.16709499999999999</v>
      </c>
      <c r="F12112" s="2420"/>
      <c r="G12112" s="434"/>
    </row>
    <row r="12113" spans="1:7" ht="12.75" hidden="1" customHeight="1" outlineLevel="1" x14ac:dyDescent="0.25">
      <c r="A12113" s="1956" t="s">
        <v>5728</v>
      </c>
      <c r="B12113" s="2185">
        <v>43282</v>
      </c>
      <c r="C12113" s="2418">
        <v>100</v>
      </c>
      <c r="D12113" s="2421">
        <v>121.1117</v>
      </c>
      <c r="E12113" s="2419">
        <v>0.211117</v>
      </c>
      <c r="F12113" s="2420"/>
      <c r="G12113" s="434"/>
    </row>
    <row r="12114" spans="1:7" ht="12.75" hidden="1" customHeight="1" outlineLevel="1" x14ac:dyDescent="0.25">
      <c r="A12114" s="1956" t="s">
        <v>5729</v>
      </c>
      <c r="B12114" s="2185">
        <v>43313</v>
      </c>
      <c r="C12114" s="2418">
        <v>100</v>
      </c>
      <c r="D12114" s="2421">
        <v>118.99339999999999</v>
      </c>
      <c r="E12114" s="2419">
        <v>0.18993400000000005</v>
      </c>
      <c r="F12114" s="2420"/>
      <c r="G12114" s="434"/>
    </row>
    <row r="12115" spans="1:7" ht="12.75" hidden="1" customHeight="1" outlineLevel="1" x14ac:dyDescent="0.25">
      <c r="A12115" s="1956" t="s">
        <v>5730</v>
      </c>
      <c r="B12115" s="2185">
        <v>43344</v>
      </c>
      <c r="C12115" s="2418">
        <v>100</v>
      </c>
      <c r="D12115" s="2421">
        <v>116.9158</v>
      </c>
      <c r="E12115" s="2419">
        <v>0.16915800000000014</v>
      </c>
      <c r="F12115" s="2420"/>
      <c r="G12115" s="434"/>
    </row>
    <row r="12116" spans="1:7" ht="12.75" hidden="1" customHeight="1" outlineLevel="1" x14ac:dyDescent="0.25">
      <c r="A12116" s="1956" t="s">
        <v>5731</v>
      </c>
      <c r="B12116" s="2185">
        <v>43374</v>
      </c>
      <c r="C12116" s="2418">
        <v>100</v>
      </c>
      <c r="D12116" s="2421">
        <v>113.0647</v>
      </c>
      <c r="E12116" s="2419">
        <v>0.13064699999999996</v>
      </c>
      <c r="F12116" s="2420"/>
      <c r="G12116" s="434"/>
    </row>
    <row r="12117" spans="1:7" ht="12.75" hidden="1" customHeight="1" outlineLevel="1" x14ac:dyDescent="0.25">
      <c r="A12117" s="1956" t="s">
        <v>5732</v>
      </c>
      <c r="B12117" s="2185">
        <v>43405</v>
      </c>
      <c r="C12117" s="2418">
        <v>100</v>
      </c>
      <c r="D12117" s="2421">
        <v>113.7758</v>
      </c>
      <c r="E12117" s="2419">
        <v>0.13775800000000005</v>
      </c>
      <c r="F12117" s="2420"/>
      <c r="G12117" s="434"/>
    </row>
    <row r="12118" spans="1:7" ht="12.75" hidden="1" customHeight="1" outlineLevel="1" x14ac:dyDescent="0.25">
      <c r="A12118" s="1956" t="s">
        <v>5733</v>
      </c>
      <c r="B12118" s="2185">
        <v>43435</v>
      </c>
      <c r="C12118" s="2418">
        <v>100</v>
      </c>
      <c r="D12118" s="2421">
        <v>108.7469</v>
      </c>
      <c r="E12118" s="2419">
        <v>8.7469000000000019E-2</v>
      </c>
      <c r="F12118" s="2420"/>
      <c r="G12118" s="434"/>
    </row>
    <row r="12119" spans="1:7" ht="12.75" hidden="1" customHeight="1" outlineLevel="1" x14ac:dyDescent="0.25">
      <c r="A12119" s="1956" t="s">
        <v>5734</v>
      </c>
      <c r="B12119" s="2185">
        <v>43466</v>
      </c>
      <c r="C12119" s="2418">
        <v>100</v>
      </c>
      <c r="D12119" s="2421">
        <v>113.30549999999999</v>
      </c>
      <c r="E12119" s="2419">
        <v>0.13305499999999992</v>
      </c>
      <c r="F12119" s="2420"/>
      <c r="G12119" s="434"/>
    </row>
    <row r="12120" spans="1:7" ht="12.75" hidden="1" customHeight="1" outlineLevel="1" x14ac:dyDescent="0.25">
      <c r="A12120" s="1956" t="s">
        <v>5735</v>
      </c>
      <c r="B12120" s="2185">
        <v>43497</v>
      </c>
      <c r="C12120" s="2418">
        <v>100</v>
      </c>
      <c r="D12120" s="2421">
        <v>115.7625</v>
      </c>
      <c r="E12120" s="2419">
        <v>0.15762500000000013</v>
      </c>
      <c r="F12120" s="2420"/>
      <c r="G12120" s="434"/>
    </row>
    <row r="12121" spans="1:7" ht="12.75" hidden="1" customHeight="1" outlineLevel="1" x14ac:dyDescent="0.25">
      <c r="A12121" s="1956" t="s">
        <v>5736</v>
      </c>
      <c r="B12121" s="2185">
        <v>43525</v>
      </c>
      <c r="C12121" s="2418">
        <v>100</v>
      </c>
      <c r="D12121" s="2421">
        <v>117.88760000000001</v>
      </c>
      <c r="E12121" s="2419">
        <v>0.17887600000000003</v>
      </c>
      <c r="F12121" s="2420"/>
      <c r="G12121" s="434"/>
    </row>
    <row r="12122" spans="1:7" ht="12.75" hidden="1" customHeight="1" outlineLevel="1" x14ac:dyDescent="0.25">
      <c r="A12122" s="1956" t="s">
        <v>5737</v>
      </c>
      <c r="B12122" s="2185">
        <v>43556</v>
      </c>
      <c r="C12122" s="2418">
        <v>100</v>
      </c>
      <c r="D12122" s="2421">
        <v>117.8725</v>
      </c>
      <c r="E12122" s="2419">
        <v>0.17872500000000002</v>
      </c>
      <c r="F12122" s="2420"/>
      <c r="G12122" s="434"/>
    </row>
    <row r="12123" spans="1:7" ht="12.75" hidden="1" customHeight="1" outlineLevel="1" x14ac:dyDescent="0.25">
      <c r="A12123" s="1956" t="s">
        <v>5738</v>
      </c>
      <c r="B12123" s="2185">
        <v>43586</v>
      </c>
      <c r="C12123" s="2418">
        <v>100</v>
      </c>
      <c r="D12123" s="2421">
        <v>112.6934</v>
      </c>
      <c r="E12123" s="2419">
        <v>0.12693399999999988</v>
      </c>
      <c r="F12123" s="2420"/>
      <c r="G12123" s="434"/>
    </row>
    <row r="12124" spans="1:7" ht="12.75" hidden="1" customHeight="1" outlineLevel="1" x14ac:dyDescent="0.25">
      <c r="A12124" s="1956" t="s">
        <v>5739</v>
      </c>
      <c r="B12124" s="2185">
        <v>43617</v>
      </c>
      <c r="C12124" s="2418">
        <v>100</v>
      </c>
      <c r="D12124" s="2421">
        <v>115.136</v>
      </c>
      <c r="E12124" s="2419">
        <v>0.15135999999999994</v>
      </c>
      <c r="F12124" s="2420"/>
      <c r="G12124" s="434"/>
    </row>
    <row r="12125" spans="1:7" ht="12.75" hidden="1" customHeight="1" outlineLevel="1" x14ac:dyDescent="0.25">
      <c r="A12125" s="1956" t="s">
        <v>5740</v>
      </c>
      <c r="B12125" s="2185">
        <v>43647</v>
      </c>
      <c r="C12125" s="2418">
        <v>100</v>
      </c>
      <c r="D12125" s="2421">
        <v>114.78919999999999</v>
      </c>
      <c r="E12125" s="2419">
        <v>0.14789199999999991</v>
      </c>
      <c r="F12125" s="2420"/>
      <c r="G12125" s="434"/>
    </row>
    <row r="12126" spans="1:7" ht="12.75" hidden="1" customHeight="1" outlineLevel="1" x14ac:dyDescent="0.25">
      <c r="A12126" s="1956" t="s">
        <v>5741</v>
      </c>
      <c r="B12126" s="2185">
        <v>43678</v>
      </c>
      <c r="C12126" s="2418">
        <v>100</v>
      </c>
      <c r="D12126" s="2421">
        <v>112.98180000000001</v>
      </c>
      <c r="E12126" s="2419">
        <v>0.12981799999999999</v>
      </c>
      <c r="F12126" s="2420"/>
      <c r="G12126" s="434"/>
    </row>
    <row r="12127" spans="1:7" ht="12.75" hidden="1" customHeight="1" outlineLevel="1" x14ac:dyDescent="0.25">
      <c r="A12127" s="2189" t="s">
        <v>2734</v>
      </c>
      <c r="B12127" s="2190"/>
      <c r="C12127" s="2421"/>
      <c r="D12127" s="2191" t="s">
        <v>2465</v>
      </c>
      <c r="E12127" s="1987">
        <v>0.15401716666666665</v>
      </c>
      <c r="F12127" s="2192">
        <v>0.15401716666666665</v>
      </c>
      <c r="G12127" s="434"/>
    </row>
    <row r="12128" spans="1:7" collapsed="1" x14ac:dyDescent="0.25">
      <c r="A12128" s="3801" t="s">
        <v>5759</v>
      </c>
      <c r="B12128" s="3802"/>
      <c r="C12128" s="3802"/>
      <c r="D12128" s="3802"/>
      <c r="E12128" s="1906"/>
      <c r="F12128" s="1907">
        <v>7.7008583333333325E-2</v>
      </c>
      <c r="G12128" s="434"/>
    </row>
    <row r="12129" spans="1:8" x14ac:dyDescent="0.25">
      <c r="A12129" t="s">
        <v>2734</v>
      </c>
      <c r="G12129" s="434"/>
    </row>
    <row r="12130" spans="1:8" hidden="1" outlineLevel="1" x14ac:dyDescent="0.25">
      <c r="A12130" s="3237" t="s">
        <v>113</v>
      </c>
      <c r="B12130" s="3237" t="s">
        <v>114</v>
      </c>
      <c r="C12130" s="3237" t="s">
        <v>112</v>
      </c>
      <c r="D12130" s="3237" t="s">
        <v>116</v>
      </c>
      <c r="E12130" s="3237" t="s">
        <v>117</v>
      </c>
      <c r="F12130" s="3276" t="s">
        <v>121</v>
      </c>
    </row>
    <row r="12131" spans="1:8" hidden="1" outlineLevel="1" x14ac:dyDescent="0.25">
      <c r="A12131" s="3243" t="s">
        <v>2734</v>
      </c>
      <c r="B12131" s="3243"/>
      <c r="C12131" s="3244"/>
      <c r="D12131" s="1900" t="s">
        <v>3702</v>
      </c>
      <c r="E12131" s="3245">
        <v>44439</v>
      </c>
      <c r="F12131" s="3386"/>
    </row>
    <row r="12132" spans="1:8" hidden="1" outlineLevel="1" x14ac:dyDescent="0.25">
      <c r="A12132" s="3237" t="s">
        <v>4156</v>
      </c>
      <c r="B12132" s="3237" t="s">
        <v>4153</v>
      </c>
      <c r="C12132" s="3247" t="s">
        <v>112</v>
      </c>
      <c r="D12132" s="3237" t="s">
        <v>4155</v>
      </c>
      <c r="E12132" s="3237" t="s">
        <v>4154</v>
      </c>
      <c r="F12132" s="3276" t="s">
        <v>734</v>
      </c>
    </row>
    <row r="12133" spans="1:8" hidden="1" outlineLevel="1" x14ac:dyDescent="0.25">
      <c r="A12133" s="1920">
        <v>0.06</v>
      </c>
      <c r="B12133" s="1926" t="s">
        <v>3998</v>
      </c>
      <c r="C12133" s="2108">
        <v>33.978000000000002</v>
      </c>
      <c r="D12133" s="3280">
        <v>27.42</v>
      </c>
      <c r="E12133" s="3260">
        <v>-0.19300723997880975</v>
      </c>
      <c r="F12133" s="3282">
        <v>-0.19300723997880975</v>
      </c>
      <c r="H12133" t="s">
        <v>4000</v>
      </c>
    </row>
    <row r="12134" spans="1:8" hidden="1" outlineLevel="1" x14ac:dyDescent="0.25">
      <c r="A12134" s="1920">
        <v>0.06</v>
      </c>
      <c r="B12134" s="1921" t="s">
        <v>805</v>
      </c>
      <c r="C12134" s="2108">
        <v>68.599000000000004</v>
      </c>
      <c r="D12134" s="3280">
        <v>125.56</v>
      </c>
      <c r="E12134" s="3260">
        <v>0.83034738115715956</v>
      </c>
      <c r="F12134" s="3282">
        <v>0.06</v>
      </c>
      <c r="H12134" t="s">
        <v>806</v>
      </c>
    </row>
    <row r="12135" spans="1:8" hidden="1" outlineLevel="1" x14ac:dyDescent="0.25">
      <c r="A12135" s="1920">
        <v>0.05</v>
      </c>
      <c r="B12135" s="1921" t="s">
        <v>4377</v>
      </c>
      <c r="C12135" s="2108">
        <v>46.764000000000003</v>
      </c>
      <c r="D12135" s="3280">
        <v>66.86</v>
      </c>
      <c r="E12135" s="3260">
        <v>0.42973227268839276</v>
      </c>
      <c r="F12135" s="3282">
        <v>0.06</v>
      </c>
      <c r="H12135" t="s">
        <v>4327</v>
      </c>
    </row>
    <row r="12136" spans="1:8" hidden="1" outlineLevel="1" x14ac:dyDescent="0.25">
      <c r="A12136" s="1920">
        <v>0.02</v>
      </c>
      <c r="B12136" s="1903" t="s">
        <v>901</v>
      </c>
      <c r="C12136" s="2108">
        <v>3264.75</v>
      </c>
      <c r="D12136" s="3280">
        <v>2729</v>
      </c>
      <c r="E12136" s="3260">
        <v>-0.16410138601730606</v>
      </c>
      <c r="F12136" s="3282">
        <v>-0.16410138601730606</v>
      </c>
      <c r="H12136" t="s">
        <v>531</v>
      </c>
    </row>
    <row r="12137" spans="1:8" hidden="1" outlineLevel="1" x14ac:dyDescent="0.25">
      <c r="A12137" s="1920">
        <v>0.05</v>
      </c>
      <c r="B12137" s="2630" t="s">
        <v>939</v>
      </c>
      <c r="C12137" s="2108">
        <v>70.289000000000001</v>
      </c>
      <c r="D12137" s="3280">
        <v>55.53</v>
      </c>
      <c r="E12137" s="3260">
        <v>-0.20997595640854183</v>
      </c>
      <c r="F12137" s="3282">
        <v>-0.20997595640854183</v>
      </c>
      <c r="H12137" t="s">
        <v>2791</v>
      </c>
    </row>
    <row r="12138" spans="1:8" hidden="1" outlineLevel="1" x14ac:dyDescent="0.25">
      <c r="A12138" s="1920">
        <v>0.02</v>
      </c>
      <c r="B12138" s="1921" t="s">
        <v>2699</v>
      </c>
      <c r="C12138" s="2108">
        <v>24.216999999999999</v>
      </c>
      <c r="D12138" s="3280">
        <v>59.58</v>
      </c>
      <c r="E12138" s="3260">
        <v>1.4602551926332743</v>
      </c>
      <c r="F12138" s="3282">
        <v>0.06</v>
      </c>
      <c r="H12138" t="s">
        <v>505</v>
      </c>
    </row>
    <row r="12139" spans="1:8" hidden="1" outlineLevel="1" x14ac:dyDescent="0.25">
      <c r="A12139" s="1920">
        <v>0.02</v>
      </c>
      <c r="B12139" s="1921" t="s">
        <v>2629</v>
      </c>
      <c r="C12139" s="2108">
        <v>10.724500000000001</v>
      </c>
      <c r="D12139" s="3280">
        <v>18.007999999999999</v>
      </c>
      <c r="E12139" s="3260">
        <v>0.67914588092684958</v>
      </c>
      <c r="F12139" s="3282">
        <v>0.06</v>
      </c>
      <c r="H12139" t="s">
        <v>1652</v>
      </c>
    </row>
    <row r="12140" spans="1:8" hidden="1" outlineLevel="1" x14ac:dyDescent="0.25">
      <c r="A12140" s="1920">
        <v>0.04</v>
      </c>
      <c r="B12140" s="1921" t="s">
        <v>3799</v>
      </c>
      <c r="C12140" s="2108">
        <v>1574.3</v>
      </c>
      <c r="D12140" s="3280">
        <v>1462</v>
      </c>
      <c r="E12140" s="3260">
        <v>-7.1333290986470121E-2</v>
      </c>
      <c r="F12140" s="3282">
        <v>-7.1333290986470121E-2</v>
      </c>
      <c r="H12140" t="s">
        <v>4128</v>
      </c>
    </row>
    <row r="12141" spans="1:8" hidden="1" outlineLevel="1" x14ac:dyDescent="0.25">
      <c r="A12141" s="1920">
        <v>0.02</v>
      </c>
      <c r="B12141" s="1921" t="s">
        <v>1771</v>
      </c>
      <c r="C12141" s="2108">
        <v>677.16</v>
      </c>
      <c r="D12141" s="3280">
        <v>386.2</v>
      </c>
      <c r="E12141" s="3260">
        <v>-0.42967688581723673</v>
      </c>
      <c r="F12141" s="3282">
        <v>-0.42967688581723673</v>
      </c>
      <c r="H12141" t="s">
        <v>4329</v>
      </c>
    </row>
    <row r="12142" spans="1:8" hidden="1" outlineLevel="1" x14ac:dyDescent="0.25">
      <c r="A12142" s="1920">
        <v>0.02</v>
      </c>
      <c r="B12142" s="1921" t="s">
        <v>1343</v>
      </c>
      <c r="C12142" s="2108">
        <v>2260.5</v>
      </c>
      <c r="D12142" s="3280">
        <v>1541.5</v>
      </c>
      <c r="E12142" s="3260">
        <v>-0.31807122318071224</v>
      </c>
      <c r="F12142" s="3282">
        <v>-0.31807122318071224</v>
      </c>
      <c r="H12142" t="s">
        <v>7747</v>
      </c>
    </row>
    <row r="12143" spans="1:8" hidden="1" outlineLevel="1" x14ac:dyDescent="0.25">
      <c r="A12143" s="1920">
        <v>0.02</v>
      </c>
      <c r="B12143" s="1921" t="s">
        <v>2920</v>
      </c>
      <c r="C12143" s="2108">
        <v>23.146000000000001</v>
      </c>
      <c r="D12143" s="3280">
        <v>54.06</v>
      </c>
      <c r="E12143" s="3260">
        <v>1.335608744491489</v>
      </c>
      <c r="F12143" s="3282">
        <v>0.06</v>
      </c>
      <c r="H12143" t="s">
        <v>6731</v>
      </c>
    </row>
    <row r="12144" spans="1:8" hidden="1" outlineLevel="1" x14ac:dyDescent="0.25">
      <c r="A12144" s="1920">
        <v>0.02</v>
      </c>
      <c r="B12144" s="1921" t="s">
        <v>1905</v>
      </c>
      <c r="C12144" s="2108">
        <v>47.966000000000001</v>
      </c>
      <c r="D12144" s="3280">
        <v>76.290000000000006</v>
      </c>
      <c r="E12144" s="3260">
        <v>0.59050160530375684</v>
      </c>
      <c r="F12144" s="3282">
        <v>0.06</v>
      </c>
      <c r="H12144" t="s">
        <v>504</v>
      </c>
    </row>
    <row r="12145" spans="1:8" hidden="1" outlineLevel="1" x14ac:dyDescent="0.25">
      <c r="A12145" s="1920">
        <v>0.02</v>
      </c>
      <c r="B12145" s="1921" t="s">
        <v>1772</v>
      </c>
      <c r="C12145" s="2108">
        <v>144.785</v>
      </c>
      <c r="D12145" s="3280">
        <v>247.45</v>
      </c>
      <c r="E12145" s="3260">
        <v>0.70908588596885025</v>
      </c>
      <c r="F12145" s="3282">
        <v>0.06</v>
      </c>
      <c r="H12145" t="s">
        <v>4330</v>
      </c>
    </row>
    <row r="12146" spans="1:8" hidden="1" outlineLevel="1" x14ac:dyDescent="0.25">
      <c r="A12146" s="1920">
        <v>7.0000000000000007E-2</v>
      </c>
      <c r="B12146" s="1921" t="s">
        <v>2786</v>
      </c>
      <c r="C12146" s="2108">
        <v>740.05</v>
      </c>
      <c r="D12146" s="3280">
        <v>941.3</v>
      </c>
      <c r="E12146" s="3260">
        <v>0.27194108506182024</v>
      </c>
      <c r="F12146" s="3282">
        <v>0.06</v>
      </c>
      <c r="H12146" t="s">
        <v>4195</v>
      </c>
    </row>
    <row r="12147" spans="1:8" hidden="1" outlineLevel="1" x14ac:dyDescent="0.25">
      <c r="A12147" s="1920">
        <v>0.02</v>
      </c>
      <c r="B12147" s="1921" t="s">
        <v>1040</v>
      </c>
      <c r="C12147" s="2108">
        <v>2571</v>
      </c>
      <c r="D12147" s="3280">
        <v>2936</v>
      </c>
      <c r="E12147" s="3260">
        <v>0.1419681057954103</v>
      </c>
      <c r="F12147" s="3282">
        <v>0.06</v>
      </c>
      <c r="H12147" t="s">
        <v>5543</v>
      </c>
    </row>
    <row r="12148" spans="1:8" hidden="1" outlineLevel="1" x14ac:dyDescent="0.25">
      <c r="A12148" s="1920">
        <v>7.0000000000000007E-2</v>
      </c>
      <c r="B12148" s="1921" t="s">
        <v>2787</v>
      </c>
      <c r="C12148" s="2108">
        <v>69.31</v>
      </c>
      <c r="D12148" s="3280">
        <v>84.79</v>
      </c>
      <c r="E12148" s="3260">
        <v>0.22334439474823253</v>
      </c>
      <c r="F12148" s="3282">
        <v>0.06</v>
      </c>
      <c r="H12148" t="s">
        <v>8874</v>
      </c>
    </row>
    <row r="12149" spans="1:8" hidden="1" outlineLevel="1" x14ac:dyDescent="0.25">
      <c r="A12149" s="1920">
        <v>0.02</v>
      </c>
      <c r="B12149" s="1921" t="s">
        <v>4273</v>
      </c>
      <c r="C12149" s="2108">
        <v>1581.3</v>
      </c>
      <c r="D12149" s="3280">
        <v>3880</v>
      </c>
      <c r="E12149" s="3260">
        <v>1.4536773540757606</v>
      </c>
      <c r="F12149" s="3282">
        <v>0.06</v>
      </c>
      <c r="H12149" t="s">
        <v>82</v>
      </c>
    </row>
    <row r="12150" spans="1:8" hidden="1" outlineLevel="1" x14ac:dyDescent="0.25">
      <c r="A12150" s="1920">
        <v>0.02</v>
      </c>
      <c r="B12150" s="1921" t="s">
        <v>3793</v>
      </c>
      <c r="C12150" s="2108">
        <v>87.53</v>
      </c>
      <c r="D12150" s="3280">
        <v>103</v>
      </c>
      <c r="E12150" s="3260">
        <v>0.17673940363304008</v>
      </c>
      <c r="F12150" s="3282">
        <v>0.06</v>
      </c>
      <c r="H12150" t="s">
        <v>3533</v>
      </c>
    </row>
    <row r="12151" spans="1:8" hidden="1" outlineLevel="1" x14ac:dyDescent="0.25">
      <c r="A12151" s="1920">
        <v>0.02</v>
      </c>
      <c r="B12151" s="1921" t="s">
        <v>3800</v>
      </c>
      <c r="C12151" s="2108">
        <v>241.88</v>
      </c>
      <c r="D12151" s="3280">
        <v>367.75</v>
      </c>
      <c r="E12151" s="3260">
        <v>0.52038200760707798</v>
      </c>
      <c r="F12151" s="3282">
        <v>0.06</v>
      </c>
      <c r="H12151" t="s">
        <v>8876</v>
      </c>
    </row>
    <row r="12152" spans="1:8" hidden="1" outlineLevel="1" x14ac:dyDescent="0.25">
      <c r="A12152" s="1920">
        <v>0.05</v>
      </c>
      <c r="B12152" s="1921" t="s">
        <v>5205</v>
      </c>
      <c r="C12152" s="2108">
        <v>2038</v>
      </c>
      <c r="D12152" s="3280">
        <v>1431.6</v>
      </c>
      <c r="E12152" s="3260">
        <v>-0.29754661432777241</v>
      </c>
      <c r="F12152" s="3282">
        <v>-0.29754661432777241</v>
      </c>
      <c r="H12152" t="s">
        <v>5199</v>
      </c>
    </row>
    <row r="12153" spans="1:8" hidden="1" outlineLevel="1" x14ac:dyDescent="0.25">
      <c r="A12153" s="1920">
        <v>0.02</v>
      </c>
      <c r="B12153" s="1921" t="s">
        <v>1214</v>
      </c>
      <c r="C12153" s="2108">
        <v>90.263999999999996</v>
      </c>
      <c r="D12153" s="3280">
        <v>140.84</v>
      </c>
      <c r="E12153" s="3260">
        <v>0.56031197376584263</v>
      </c>
      <c r="F12153" s="3282">
        <v>0.06</v>
      </c>
      <c r="H12153" t="s">
        <v>3775</v>
      </c>
    </row>
    <row r="12154" spans="1:8" hidden="1" outlineLevel="1" x14ac:dyDescent="0.25">
      <c r="A12154" s="1920">
        <v>0.06</v>
      </c>
      <c r="B12154" s="1921" t="s">
        <v>1857</v>
      </c>
      <c r="C12154" s="2108">
        <v>1491.5</v>
      </c>
      <c r="D12154" s="3280">
        <v>1632.5</v>
      </c>
      <c r="E12154" s="3260">
        <v>9.4535702313107706E-2</v>
      </c>
      <c r="F12154" s="3282">
        <v>0.06</v>
      </c>
      <c r="H12154" t="s">
        <v>3559</v>
      </c>
    </row>
    <row r="12155" spans="1:8" hidden="1" outlineLevel="1" x14ac:dyDescent="0.25">
      <c r="A12155" s="1920">
        <v>0.02</v>
      </c>
      <c r="B12155" s="1921" t="s">
        <v>1239</v>
      </c>
      <c r="C12155" s="2108">
        <v>434.68</v>
      </c>
      <c r="D12155" s="3280">
        <v>537.4</v>
      </c>
      <c r="E12155" s="3260">
        <v>0.23631176957762023</v>
      </c>
      <c r="F12155" s="3282">
        <v>0.06</v>
      </c>
      <c r="H12155" t="s">
        <v>8891</v>
      </c>
    </row>
    <row r="12156" spans="1:8" hidden="1" outlineLevel="1" x14ac:dyDescent="0.25">
      <c r="A12156" s="1920">
        <v>0.02</v>
      </c>
      <c r="B12156" s="1921" t="s">
        <v>5249</v>
      </c>
      <c r="C12156" s="2108">
        <v>4.9560000000000004</v>
      </c>
      <c r="D12156" s="3280">
        <v>3.84</v>
      </c>
      <c r="E12156" s="3260">
        <v>-0.22518159806295412</v>
      </c>
      <c r="F12156" s="3282">
        <v>-0.22518159806295412</v>
      </c>
      <c r="H12156" t="s">
        <v>5247</v>
      </c>
    </row>
    <row r="12157" spans="1:8" hidden="1" outlineLevel="1" x14ac:dyDescent="0.25">
      <c r="A12157" s="1920">
        <v>0.02</v>
      </c>
      <c r="B12157" s="1921" t="s">
        <v>10633</v>
      </c>
      <c r="C12157" s="2108">
        <v>43.027999999999999</v>
      </c>
      <c r="D12157" s="3280">
        <v>37.344999999999999</v>
      </c>
      <c r="E12157" s="3260">
        <v>-0.13207678720832949</v>
      </c>
      <c r="F12157" s="3282">
        <v>-0.13207678720832949</v>
      </c>
      <c r="H12157" t="s">
        <v>10634</v>
      </c>
    </row>
    <row r="12158" spans="1:8" hidden="1" outlineLevel="1" x14ac:dyDescent="0.25">
      <c r="A12158" s="1920">
        <v>0.05</v>
      </c>
      <c r="B12158" s="1921" t="s">
        <v>255</v>
      </c>
      <c r="C12158" s="2108">
        <v>47.143999999999998</v>
      </c>
      <c r="D12158" s="3280">
        <v>55</v>
      </c>
      <c r="E12158" s="3260">
        <v>0.16663838452401158</v>
      </c>
      <c r="F12158" s="3282">
        <v>0.06</v>
      </c>
      <c r="H12158" t="s">
        <v>3351</v>
      </c>
    </row>
    <row r="12159" spans="1:8" hidden="1" outlineLevel="1" x14ac:dyDescent="0.25">
      <c r="A12159" s="1920">
        <v>0.02</v>
      </c>
      <c r="B12159" s="1921" t="s">
        <v>719</v>
      </c>
      <c r="C12159" s="2108">
        <v>42.887700000000002</v>
      </c>
      <c r="D12159" s="3280">
        <v>90.89</v>
      </c>
      <c r="E12159" s="3260">
        <v>1.1192556373972025</v>
      </c>
      <c r="F12159" s="3282">
        <v>0.06</v>
      </c>
      <c r="H12159" t="s">
        <v>1697</v>
      </c>
    </row>
    <row r="12160" spans="1:8" hidden="1" outlineLevel="1" x14ac:dyDescent="0.25">
      <c r="A12160" s="1920">
        <v>0.02</v>
      </c>
      <c r="B12160" s="1921" t="s">
        <v>5522</v>
      </c>
      <c r="C12160" s="2108">
        <v>41.011899999999997</v>
      </c>
      <c r="D12160" s="3280">
        <v>46.62</v>
      </c>
      <c r="E12160" s="3260">
        <v>0.13674323793825693</v>
      </c>
      <c r="F12160" s="3282">
        <v>0.06</v>
      </c>
      <c r="H12160" t="s">
        <v>5520</v>
      </c>
    </row>
    <row r="12161" spans="1:8" hidden="1" outlineLevel="1" x14ac:dyDescent="0.25">
      <c r="A12161" s="1920">
        <v>0.02</v>
      </c>
      <c r="B12161" s="1921" t="s">
        <v>5537</v>
      </c>
      <c r="C12161" s="2108">
        <v>35.027000000000001</v>
      </c>
      <c r="D12161" s="3280">
        <v>41.75</v>
      </c>
      <c r="E12161" s="3260">
        <v>0.19193764810003699</v>
      </c>
      <c r="F12161" s="3282">
        <v>0.06</v>
      </c>
      <c r="H12161" t="s">
        <v>5535</v>
      </c>
    </row>
    <row r="12162" spans="1:8" hidden="1" outlineLevel="1" x14ac:dyDescent="0.25">
      <c r="A12162" s="1920">
        <v>0.06</v>
      </c>
      <c r="B12162" s="1921" t="s">
        <v>4550</v>
      </c>
      <c r="C12162" s="2090">
        <v>233.54</v>
      </c>
      <c r="D12162" s="3280">
        <v>402</v>
      </c>
      <c r="E12162" s="3260">
        <v>0.72133253404127773</v>
      </c>
      <c r="F12162" s="3282">
        <v>0.06</v>
      </c>
      <c r="H12162" t="s">
        <v>8889</v>
      </c>
    </row>
    <row r="12163" spans="1:8" hidden="1" outlineLevel="1" x14ac:dyDescent="0.25">
      <c r="A12163" s="1897" t="s">
        <v>2465</v>
      </c>
      <c r="B12163" s="1931"/>
      <c r="C12163" s="1932"/>
      <c r="D12163" s="3387"/>
      <c r="E12163" s="3388">
        <v>0.28430789026157216</v>
      </c>
      <c r="F12163" s="1897">
        <v>-2.319205218073388E-2</v>
      </c>
    </row>
    <row r="12164" spans="1:8" hidden="1" outlineLevel="1" x14ac:dyDescent="0.25">
      <c r="A12164" s="3439" t="s">
        <v>2734</v>
      </c>
      <c r="B12164" s="3239"/>
      <c r="C12164" s="3239"/>
      <c r="D12164" s="3239"/>
      <c r="E12164" s="3239"/>
      <c r="F12164" s="3440"/>
    </row>
    <row r="12165" spans="1:8" hidden="1" outlineLevel="1" x14ac:dyDescent="0.25">
      <c r="A12165" s="3441" t="s">
        <v>113</v>
      </c>
      <c r="B12165" s="3441"/>
      <c r="C12165" s="3398"/>
      <c r="D12165" s="3237" t="s">
        <v>6631</v>
      </c>
      <c r="E12165" s="3287" t="s">
        <v>3992</v>
      </c>
      <c r="F12165" s="3285"/>
    </row>
    <row r="12166" spans="1:8" hidden="1" outlineLevel="1" x14ac:dyDescent="0.25">
      <c r="A12166" s="2160" t="s">
        <v>5761</v>
      </c>
      <c r="B12166" s="3238"/>
      <c r="C12166" s="3278">
        <v>100</v>
      </c>
      <c r="D12166" s="3290">
        <v>97.940799999999996</v>
      </c>
      <c r="E12166" s="3442">
        <v>-2.0592000000000055E-2</v>
      </c>
      <c r="F12166" s="3277">
        <v>0</v>
      </c>
    </row>
    <row r="12167" spans="1:8" hidden="1" outlineLevel="1" x14ac:dyDescent="0.25">
      <c r="A12167" s="2160" t="s">
        <v>5762</v>
      </c>
      <c r="B12167" s="3394"/>
      <c r="C12167" s="3280">
        <v>100</v>
      </c>
      <c r="D12167" s="3290">
        <v>101.5624</v>
      </c>
      <c r="E12167" s="3443">
        <v>1.562399999999986E-2</v>
      </c>
      <c r="F12167" s="3282">
        <v>1.5599999999999999E-2</v>
      </c>
    </row>
    <row r="12168" spans="1:8" hidden="1" outlineLevel="1" x14ac:dyDescent="0.25">
      <c r="A12168" s="2160" t="s">
        <v>5763</v>
      </c>
      <c r="B12168" s="3394"/>
      <c r="C12168" s="3280">
        <v>100</v>
      </c>
      <c r="D12168" s="3290">
        <v>101.3194</v>
      </c>
      <c r="E12168" s="3443">
        <v>1.3193999999999928E-2</v>
      </c>
      <c r="F12168" s="3282">
        <v>1.32E-2</v>
      </c>
    </row>
    <row r="12169" spans="1:8" hidden="1" outlineLevel="1" x14ac:dyDescent="0.25">
      <c r="A12169" s="2160" t="s">
        <v>5764</v>
      </c>
      <c r="B12169" s="3394"/>
      <c r="C12169" s="3280">
        <v>100</v>
      </c>
      <c r="D12169" s="3290">
        <v>101.6836</v>
      </c>
      <c r="E12169" s="3443">
        <v>1.6836000000000073E-2</v>
      </c>
      <c r="F12169" s="3282">
        <v>1.6799999999999999E-2</v>
      </c>
    </row>
    <row r="12170" spans="1:8" hidden="1" outlineLevel="1" x14ac:dyDescent="0.25">
      <c r="A12170" s="2160" t="s">
        <v>5765</v>
      </c>
      <c r="B12170" s="3394"/>
      <c r="C12170" s="3280">
        <v>100</v>
      </c>
      <c r="D12170" s="3290">
        <v>101.07080000000001</v>
      </c>
      <c r="E12170" s="3443">
        <v>1.0708000000000162E-2</v>
      </c>
      <c r="F12170" s="3282">
        <v>1.0699999999999999E-2</v>
      </c>
    </row>
    <row r="12171" spans="1:8" hidden="1" outlineLevel="1" x14ac:dyDescent="0.25">
      <c r="A12171" s="2160" t="s">
        <v>5766</v>
      </c>
      <c r="B12171" s="3394"/>
      <c r="C12171" s="3280">
        <v>100</v>
      </c>
      <c r="D12171" s="3290">
        <v>93.080200000000005</v>
      </c>
      <c r="E12171" s="3443">
        <v>-6.9197999999999982E-2</v>
      </c>
      <c r="F12171" s="3282">
        <v>0</v>
      </c>
    </row>
    <row r="12172" spans="1:8" hidden="1" outlineLevel="1" x14ac:dyDescent="0.25">
      <c r="A12172" s="2160" t="s">
        <v>5767</v>
      </c>
      <c r="B12172" s="3394"/>
      <c r="C12172" s="3280">
        <v>100</v>
      </c>
      <c r="D12172" s="3290">
        <v>97.901600000000002</v>
      </c>
      <c r="E12172" s="3443">
        <v>-2.0984000000000003E-2</v>
      </c>
      <c r="F12172" s="3282">
        <v>0</v>
      </c>
    </row>
    <row r="12173" spans="1:8" hidden="1" outlineLevel="1" x14ac:dyDescent="0.25">
      <c r="A12173" s="2208"/>
      <c r="B12173" s="3389"/>
      <c r="C12173" s="3387"/>
      <c r="D12173" s="3294"/>
      <c r="E12173" s="3444"/>
      <c r="F12173" s="3276"/>
      <c r="G12173" s="78"/>
    </row>
    <row r="12174" spans="1:8" hidden="1" outlineLevel="1" x14ac:dyDescent="0.25">
      <c r="A12174" s="2160" t="s">
        <v>2734</v>
      </c>
      <c r="B12174" s="3392"/>
      <c r="C12174" s="3392"/>
      <c r="D12174" s="3392"/>
      <c r="E12174" s="3392"/>
      <c r="F12174" s="3445"/>
      <c r="G12174" s="78"/>
    </row>
    <row r="12175" spans="1:8" collapsed="1" x14ac:dyDescent="0.25">
      <c r="A12175" s="3803" t="s">
        <v>5760</v>
      </c>
      <c r="B12175" s="3804"/>
      <c r="C12175" s="3804"/>
      <c r="D12175" s="3398"/>
      <c r="E12175" s="3398"/>
      <c r="F12175" s="1948">
        <v>5.6300000000000003E-2</v>
      </c>
      <c r="G12175" s="78"/>
    </row>
    <row r="12176" spans="1:8" x14ac:dyDescent="0.25">
      <c r="A12176" t="s">
        <v>2734</v>
      </c>
    </row>
    <row r="12177" spans="1:21" hidden="1" outlineLevel="1" x14ac:dyDescent="0.25">
      <c r="A12177" s="2139" t="s">
        <v>113</v>
      </c>
      <c r="B12177" s="2139" t="s">
        <v>114</v>
      </c>
      <c r="C12177" s="2139" t="s">
        <v>112</v>
      </c>
      <c r="D12177" s="2139" t="s">
        <v>116</v>
      </c>
      <c r="E12177" s="2139" t="s">
        <v>117</v>
      </c>
      <c r="F12177" s="2140" t="s">
        <v>121</v>
      </c>
      <c r="G12177" s="78"/>
    </row>
    <row r="12178" spans="1:21" hidden="1" outlineLevel="1" x14ac:dyDescent="0.25">
      <c r="A12178" s="2161">
        <v>1</v>
      </c>
      <c r="B12178" s="2154" t="s">
        <v>252</v>
      </c>
      <c r="C12178" s="2172">
        <v>100</v>
      </c>
      <c r="D12178" s="2172"/>
      <c r="E12178" s="2173"/>
      <c r="F12178" s="2174"/>
      <c r="G12178" s="78"/>
    </row>
    <row r="12179" spans="1:21" hidden="1" outlineLevel="1" x14ac:dyDescent="0.25">
      <c r="A12179" s="2141" t="s">
        <v>2734</v>
      </c>
      <c r="B12179" s="2141"/>
      <c r="C12179" s="2142"/>
      <c r="D12179" s="1900" t="s">
        <v>3702</v>
      </c>
      <c r="E12179" s="2143">
        <v>43601</v>
      </c>
      <c r="F12179" s="2175"/>
      <c r="G12179" s="78"/>
    </row>
    <row r="12180" spans="1:21" hidden="1" outlineLevel="1" x14ac:dyDescent="0.25">
      <c r="A12180" s="2139" t="s">
        <v>4156</v>
      </c>
      <c r="B12180" s="2176" t="s">
        <v>4153</v>
      </c>
      <c r="C12180" s="2219" t="s">
        <v>112</v>
      </c>
      <c r="D12180" s="2176" t="s">
        <v>4155</v>
      </c>
      <c r="E12180" s="2176" t="s">
        <v>4154</v>
      </c>
      <c r="F12180" s="2164" t="s">
        <v>2519</v>
      </c>
      <c r="G12180" s="78"/>
    </row>
    <row r="12181" spans="1:21" hidden="1" outlineLevel="1" x14ac:dyDescent="0.25">
      <c r="A12181" s="2220">
        <v>0.03</v>
      </c>
      <c r="B12181" s="2089" t="s">
        <v>5821</v>
      </c>
      <c r="C12181" s="2221">
        <v>7.4440000000000008</v>
      </c>
      <c r="D12181" s="2222">
        <v>4.1399999999999997</v>
      </c>
      <c r="E12181" s="2178">
        <v>-0.44384739387426131</v>
      </c>
      <c r="F12181" s="2164">
        <v>-1.3315421816227838E-2</v>
      </c>
      <c r="G12181" s="78"/>
      <c r="H12181" s="417" t="s">
        <v>5819</v>
      </c>
      <c r="J12181" t="s">
        <v>2040</v>
      </c>
      <c r="M12181" s="434"/>
      <c r="U12181" s="434"/>
    </row>
    <row r="12182" spans="1:21" hidden="1" outlineLevel="1" x14ac:dyDescent="0.25">
      <c r="A12182" s="2220">
        <v>0.05</v>
      </c>
      <c r="B12182" s="1921" t="s">
        <v>139</v>
      </c>
      <c r="C12182" s="2223">
        <v>2788.75</v>
      </c>
      <c r="D12182" s="2224">
        <v>4706</v>
      </c>
      <c r="E12182" s="2178">
        <v>0.6874943971313312</v>
      </c>
      <c r="F12182" s="2148">
        <v>3.4374719856566559E-2</v>
      </c>
      <c r="G12182" s="78"/>
      <c r="H12182" s="417" t="s">
        <v>1776</v>
      </c>
      <c r="J12182" s="256">
        <v>43070</v>
      </c>
      <c r="K12182">
        <v>145.27170000000001</v>
      </c>
      <c r="L12182" s="37">
        <f>IF(K12182="",$F$12201,K12182/100-1)</f>
        <v>0.45271700000000004</v>
      </c>
      <c r="M12182" s="434"/>
      <c r="N12182" s="417" t="s">
        <v>5664</v>
      </c>
      <c r="O12182" s="417" t="s">
        <v>5770</v>
      </c>
      <c r="P12182" s="417" t="s">
        <v>5771</v>
      </c>
      <c r="Q12182" s="417" t="s">
        <v>5772</v>
      </c>
      <c r="U12182" s="434"/>
    </row>
    <row r="12183" spans="1:21" hidden="1" outlineLevel="1" x14ac:dyDescent="0.25">
      <c r="A12183" s="2220">
        <v>0.03</v>
      </c>
      <c r="B12183" s="1921" t="s">
        <v>5479</v>
      </c>
      <c r="C12183" s="2223">
        <v>2236</v>
      </c>
      <c r="D12183" s="2224">
        <v>2559</v>
      </c>
      <c r="E12183" s="2178">
        <v>0.14445438282647594</v>
      </c>
      <c r="F12183" s="2148">
        <v>4.3336314847942778E-3</v>
      </c>
      <c r="G12183" s="78"/>
      <c r="H12183" s="417" t="s">
        <v>5477</v>
      </c>
      <c r="J12183" s="256">
        <v>43101</v>
      </c>
      <c r="K12183">
        <v>145.70670000000001</v>
      </c>
      <c r="L12183" s="37">
        <f t="shared" ref="L12183:L12199" si="222">IF(K12183="",$F$12201,K12183/100-1)</f>
        <v>0.45706700000000011</v>
      </c>
      <c r="M12183" s="434"/>
      <c r="N12183" s="417">
        <v>7.7040000000000006</v>
      </c>
      <c r="O12183" s="417">
        <v>7.4720000000000004</v>
      </c>
      <c r="P12183" s="417">
        <v>7.32</v>
      </c>
      <c r="Q12183" s="417">
        <v>7.28</v>
      </c>
      <c r="U12183" s="434"/>
    </row>
    <row r="12184" spans="1:21" hidden="1" outlineLevel="1" x14ac:dyDescent="0.25">
      <c r="A12184" s="2220">
        <v>0.05</v>
      </c>
      <c r="B12184" s="2099" t="s">
        <v>3850</v>
      </c>
      <c r="C12184" s="2223">
        <v>41.337499999999999</v>
      </c>
      <c r="D12184" s="2224">
        <v>38.93</v>
      </c>
      <c r="E12184" s="2178">
        <v>-5.8240096764439087E-2</v>
      </c>
      <c r="F12184" s="2148">
        <v>-2.9120048382219547E-3</v>
      </c>
      <c r="G12184" s="78"/>
      <c r="H12184" s="417" t="s">
        <v>8253</v>
      </c>
      <c r="J12184" s="256">
        <v>43132</v>
      </c>
      <c r="K12184">
        <v>136.60589999999999</v>
      </c>
      <c r="L12184" s="37">
        <f t="shared" si="222"/>
        <v>0.36605899999999991</v>
      </c>
      <c r="M12184" s="434"/>
      <c r="N12184" s="417">
        <v>2760</v>
      </c>
      <c r="O12184" s="417">
        <v>2668</v>
      </c>
      <c r="P12184" s="417">
        <v>2799</v>
      </c>
      <c r="Q12184" s="417">
        <v>2928</v>
      </c>
      <c r="U12184" s="434"/>
    </row>
    <row r="12185" spans="1:21" hidden="1" outlineLevel="1" x14ac:dyDescent="0.25">
      <c r="A12185" s="2220">
        <v>0.05</v>
      </c>
      <c r="B12185" s="1929" t="s">
        <v>1142</v>
      </c>
      <c r="C12185" s="2223">
        <v>39.532499999999999</v>
      </c>
      <c r="D12185" s="2224">
        <v>49.58</v>
      </c>
      <c r="E12185" s="2178">
        <v>0.25415797128944528</v>
      </c>
      <c r="F12185" s="2148">
        <v>1.2707898564472265E-2</v>
      </c>
      <c r="G12185" s="78"/>
      <c r="H12185" s="417" t="s">
        <v>1143</v>
      </c>
      <c r="J12185" s="256">
        <v>43160</v>
      </c>
      <c r="K12185">
        <v>135.45179999999999</v>
      </c>
      <c r="L12185" s="37">
        <f t="shared" si="222"/>
        <v>0.35451799999999989</v>
      </c>
      <c r="M12185" s="434"/>
      <c r="N12185" s="417">
        <v>19.059999999999999</v>
      </c>
      <c r="O12185" s="417">
        <v>22.51</v>
      </c>
      <c r="P12185" s="417">
        <v>22.99</v>
      </c>
      <c r="Q12185" s="417">
        <v>24.88</v>
      </c>
      <c r="U12185" s="434"/>
    </row>
    <row r="12186" spans="1:21" hidden="1" outlineLevel="1" x14ac:dyDescent="0.25">
      <c r="A12186" s="2220">
        <v>0.05</v>
      </c>
      <c r="B12186" s="1929" t="s">
        <v>5194</v>
      </c>
      <c r="C12186" s="2223">
        <v>25.103086729365259</v>
      </c>
      <c r="D12186" s="2224">
        <v>29.1</v>
      </c>
      <c r="E12186" s="2178">
        <v>0.15921999209600024</v>
      </c>
      <c r="F12186" s="2148">
        <v>7.960999604800012E-3</v>
      </c>
      <c r="G12186" s="78"/>
      <c r="H12186" s="417" t="s">
        <v>5192</v>
      </c>
      <c r="J12186" s="256">
        <v>43191</v>
      </c>
      <c r="K12186">
        <v>134.36099999999999</v>
      </c>
      <c r="L12186" s="37">
        <f t="shared" si="222"/>
        <v>0.34360999999999997</v>
      </c>
      <c r="M12186" s="434"/>
      <c r="N12186" s="417">
        <v>41</v>
      </c>
      <c r="O12186" s="417">
        <v>42.69</v>
      </c>
      <c r="P12186" s="417">
        <v>38.619999999999997</v>
      </c>
      <c r="Q12186" s="417">
        <v>43.04</v>
      </c>
      <c r="U12186" s="434"/>
    </row>
    <row r="12187" spans="1:21" hidden="1" outlineLevel="1" x14ac:dyDescent="0.25">
      <c r="A12187" s="2220">
        <v>0.04</v>
      </c>
      <c r="B12187" s="2225" t="s">
        <v>3406</v>
      </c>
      <c r="C12187" s="2223">
        <v>1952.625</v>
      </c>
      <c r="D12187" s="2224">
        <v>3350.5</v>
      </c>
      <c r="E12187" s="2178">
        <v>0.71589526918891244</v>
      </c>
      <c r="F12187" s="2148">
        <v>2.8635810767556499E-2</v>
      </c>
      <c r="G12187" s="78"/>
      <c r="H12187" s="417" t="s">
        <v>2105</v>
      </c>
      <c r="J12187" s="256">
        <v>43221</v>
      </c>
      <c r="K12187">
        <v>133.8837</v>
      </c>
      <c r="L12187" s="37">
        <f t="shared" si="222"/>
        <v>0.33883700000000005</v>
      </c>
      <c r="M12187" s="434"/>
      <c r="N12187" s="417">
        <v>37.78</v>
      </c>
      <c r="O12187" s="417">
        <v>39.61</v>
      </c>
      <c r="P12187" s="417">
        <v>40.08</v>
      </c>
      <c r="Q12187" s="417">
        <v>40.659999999999997</v>
      </c>
      <c r="U12187" s="434"/>
    </row>
    <row r="12188" spans="1:21" hidden="1" outlineLevel="1" x14ac:dyDescent="0.25">
      <c r="A12188" s="2220">
        <v>7.0000000000000007E-2</v>
      </c>
      <c r="B12188" s="1921" t="s">
        <v>5486</v>
      </c>
      <c r="C12188" s="2223">
        <v>7.522602834009489</v>
      </c>
      <c r="D12188" s="2224">
        <v>28.6</v>
      </c>
      <c r="E12188" s="2178">
        <v>2.8018755783171425</v>
      </c>
      <c r="F12188" s="2148">
        <v>0.19613129048219999</v>
      </c>
      <c r="G12188" s="78"/>
      <c r="H12188" s="417" t="s">
        <v>9280</v>
      </c>
      <c r="J12188" s="256">
        <v>43252</v>
      </c>
      <c r="K12188">
        <v>137.02029999999999</v>
      </c>
      <c r="L12188" s="37">
        <f t="shared" si="222"/>
        <v>0.37020299999999984</v>
      </c>
      <c r="M12188" s="434"/>
      <c r="N12188" s="417">
        <v>30.78</v>
      </c>
      <c r="O12188" s="417">
        <v>31.8</v>
      </c>
      <c r="P12188" s="417">
        <v>32.89</v>
      </c>
      <c r="Q12188" s="417">
        <v>33.57</v>
      </c>
      <c r="U12188" s="434"/>
    </row>
    <row r="12189" spans="1:21" hidden="1" outlineLevel="1" x14ac:dyDescent="0.25">
      <c r="A12189" s="2220">
        <v>0.05</v>
      </c>
      <c r="B12189" s="2099" t="s">
        <v>5489</v>
      </c>
      <c r="C12189" s="2223">
        <v>49.607500000000002</v>
      </c>
      <c r="D12189" s="2224">
        <v>52.1</v>
      </c>
      <c r="E12189" s="2178">
        <v>5.0244418686690606E-2</v>
      </c>
      <c r="F12189" s="2148">
        <v>2.5122209343345307E-3</v>
      </c>
      <c r="G12189" s="78"/>
      <c r="H12189" s="417" t="s">
        <v>5487</v>
      </c>
      <c r="J12189" s="256">
        <v>43282</v>
      </c>
      <c r="K12189">
        <v>144.756</v>
      </c>
      <c r="L12189" s="37">
        <f t="shared" si="222"/>
        <v>0.44755999999999996</v>
      </c>
      <c r="M12189" s="434"/>
      <c r="N12189" s="417">
        <v>19.21</v>
      </c>
      <c r="O12189" s="417">
        <v>19.795000000000002</v>
      </c>
      <c r="P12189" s="417">
        <v>19.260000000000002</v>
      </c>
      <c r="Q12189" s="417">
        <v>19.84</v>
      </c>
      <c r="U12189" s="434"/>
    </row>
    <row r="12190" spans="1:21" hidden="1" outlineLevel="1" x14ac:dyDescent="0.25">
      <c r="A12190" s="2220">
        <v>0.03</v>
      </c>
      <c r="B12190" s="2150" t="s">
        <v>5492</v>
      </c>
      <c r="C12190" s="2223">
        <v>96.347499999999997</v>
      </c>
      <c r="D12190" s="2224">
        <v>128.49</v>
      </c>
      <c r="E12190" s="2178">
        <v>0.33361010923999079</v>
      </c>
      <c r="F12190" s="2148">
        <v>1.0008303277199723E-2</v>
      </c>
      <c r="G12190" s="78"/>
      <c r="H12190" s="417" t="s">
        <v>5490</v>
      </c>
      <c r="J12190" s="256">
        <v>43313</v>
      </c>
      <c r="K12190">
        <v>139.85990000000001</v>
      </c>
      <c r="L12190" s="37">
        <f t="shared" si="222"/>
        <v>0.39859900000000015</v>
      </c>
      <c r="M12190" s="434"/>
      <c r="N12190" s="417">
        <v>44.05</v>
      </c>
      <c r="O12190" s="417">
        <v>47.43</v>
      </c>
      <c r="P12190" s="417">
        <v>47.74</v>
      </c>
      <c r="Q12190" s="417">
        <v>47.67</v>
      </c>
      <c r="U12190" s="434"/>
    </row>
    <row r="12191" spans="1:21" hidden="1" outlineLevel="1" x14ac:dyDescent="0.25">
      <c r="A12191" s="2220">
        <v>0.08</v>
      </c>
      <c r="B12191" s="2150" t="s">
        <v>1343</v>
      </c>
      <c r="C12191" s="2223">
        <v>2290</v>
      </c>
      <c r="D12191" s="2224">
        <v>2130</v>
      </c>
      <c r="E12191" s="2178">
        <v>-6.9868995633187825E-2</v>
      </c>
      <c r="F12191" s="2148">
        <v>-5.5895196506550258E-3</v>
      </c>
      <c r="G12191" s="78"/>
      <c r="H12191" s="417" t="s">
        <v>7747</v>
      </c>
      <c r="J12191" s="256">
        <v>43344</v>
      </c>
      <c r="K12191">
        <v>138.2527</v>
      </c>
      <c r="L12191" s="37">
        <f t="shared" si="222"/>
        <v>0.38252700000000006</v>
      </c>
      <c r="M12191" s="434"/>
      <c r="N12191" s="417">
        <v>48.45</v>
      </c>
      <c r="O12191" s="417">
        <v>50.32</v>
      </c>
      <c r="P12191" s="417">
        <v>50.26</v>
      </c>
      <c r="Q12191" s="417">
        <v>49.4</v>
      </c>
      <c r="U12191" s="434"/>
    </row>
    <row r="12192" spans="1:21" hidden="1" outlineLevel="1" x14ac:dyDescent="0.25">
      <c r="A12192" s="2220">
        <v>0.05</v>
      </c>
      <c r="B12192" s="2150" t="s">
        <v>811</v>
      </c>
      <c r="C12192" s="2223">
        <v>61.087499999999999</v>
      </c>
      <c r="D12192" s="2224">
        <v>57.4</v>
      </c>
      <c r="E12192" s="2178">
        <v>-6.0364231634949861E-2</v>
      </c>
      <c r="F12192" s="2148">
        <v>-3.0182115817474933E-3</v>
      </c>
      <c r="G12192" s="78"/>
      <c r="H12192" s="417" t="s">
        <v>812</v>
      </c>
      <c r="J12192" s="256">
        <v>43374</v>
      </c>
      <c r="K12192">
        <v>141.51609999999999</v>
      </c>
      <c r="L12192" s="37">
        <f t="shared" si="222"/>
        <v>0.41516099999999989</v>
      </c>
      <c r="M12192" s="434"/>
      <c r="N12192" s="417">
        <v>93.76</v>
      </c>
      <c r="O12192" s="417">
        <v>99.21</v>
      </c>
      <c r="P12192" s="417">
        <v>96.49</v>
      </c>
      <c r="Q12192" s="417">
        <v>95.93</v>
      </c>
      <c r="U12192" s="434"/>
    </row>
    <row r="12193" spans="1:21" hidden="1" outlineLevel="1" x14ac:dyDescent="0.25">
      <c r="A12193" s="2220">
        <v>0.03</v>
      </c>
      <c r="B12193" s="2099" t="s">
        <v>5497</v>
      </c>
      <c r="C12193" s="2223">
        <v>68.057500000000005</v>
      </c>
      <c r="D12193" s="2224">
        <v>155.84</v>
      </c>
      <c r="E12193" s="2178">
        <v>1.2898284538809093</v>
      </c>
      <c r="F12193" s="2148">
        <v>3.8694853616427279E-2</v>
      </c>
      <c r="G12193" s="78"/>
      <c r="H12193" s="417" t="s">
        <v>5496</v>
      </c>
      <c r="J12193" s="256">
        <v>43405</v>
      </c>
      <c r="K12193">
        <v>140.19569999999999</v>
      </c>
      <c r="L12193" s="37">
        <f t="shared" si="222"/>
        <v>0.4019569999999999</v>
      </c>
      <c r="M12193" s="434"/>
      <c r="N12193" s="417">
        <v>21.98</v>
      </c>
      <c r="O12193" s="417">
        <v>23.05</v>
      </c>
      <c r="P12193" s="417">
        <v>23.13</v>
      </c>
      <c r="Q12193" s="417">
        <v>23.44</v>
      </c>
      <c r="U12193" s="434"/>
    </row>
    <row r="12194" spans="1:21" hidden="1" outlineLevel="1" x14ac:dyDescent="0.25">
      <c r="A12194" s="2220">
        <v>0.03</v>
      </c>
      <c r="B12194" s="2150" t="s">
        <v>5500</v>
      </c>
      <c r="C12194" s="2223">
        <v>33.2575</v>
      </c>
      <c r="D12194" s="2224">
        <v>52.8</v>
      </c>
      <c r="E12194" s="2178">
        <v>0.58761181688340969</v>
      </c>
      <c r="F12194" s="2148">
        <v>1.762835450650229E-2</v>
      </c>
      <c r="G12194" s="78"/>
      <c r="H12194" s="417" t="s">
        <v>5498</v>
      </c>
      <c r="J12194" s="256">
        <v>43435</v>
      </c>
      <c r="K12194">
        <v>128.624</v>
      </c>
      <c r="L12194" s="37">
        <f t="shared" si="222"/>
        <v>0.28624000000000005</v>
      </c>
      <c r="M12194" s="434"/>
      <c r="N12194" s="417">
        <v>60.66</v>
      </c>
      <c r="O12194" s="417">
        <v>62.29</v>
      </c>
      <c r="P12194" s="417">
        <v>60.59</v>
      </c>
      <c r="Q12194" s="417">
        <v>60.81</v>
      </c>
      <c r="U12194" s="434"/>
    </row>
    <row r="12195" spans="1:21" hidden="1" outlineLevel="1" x14ac:dyDescent="0.25">
      <c r="A12195" s="2220">
        <v>7.0000000000000007E-2</v>
      </c>
      <c r="B12195" s="2150" t="s">
        <v>3797</v>
      </c>
      <c r="C12195" s="2223">
        <v>64.662499999999994</v>
      </c>
      <c r="D12195" s="2224">
        <v>100.42</v>
      </c>
      <c r="E12195" s="2178">
        <v>0.5529866615116954</v>
      </c>
      <c r="F12195" s="2148">
        <v>3.8709066305818683E-2</v>
      </c>
      <c r="G12195" s="78"/>
      <c r="H12195" s="417" t="s">
        <v>8872</v>
      </c>
      <c r="J12195" s="256">
        <v>43466</v>
      </c>
      <c r="K12195">
        <v>135.1499</v>
      </c>
      <c r="L12195" s="37">
        <f t="shared" si="222"/>
        <v>0.35149900000000001</v>
      </c>
      <c r="M12195" s="434"/>
      <c r="N12195" s="417">
        <v>66.27</v>
      </c>
      <c r="O12195" s="417">
        <v>68.709999999999994</v>
      </c>
      <c r="P12195" s="417">
        <v>68.91</v>
      </c>
      <c r="Q12195" s="417">
        <v>68.34</v>
      </c>
      <c r="U12195" s="434"/>
    </row>
    <row r="12196" spans="1:21" hidden="1" outlineLevel="1" x14ac:dyDescent="0.25">
      <c r="A12196" s="2220">
        <v>0.05</v>
      </c>
      <c r="B12196" s="1929" t="s">
        <v>1204</v>
      </c>
      <c r="C12196" s="2223">
        <v>82.762499999999989</v>
      </c>
      <c r="D12196" s="2224">
        <v>130.27000000000001</v>
      </c>
      <c r="E12196" s="2178">
        <v>0.57402205104969073</v>
      </c>
      <c r="F12196" s="2148">
        <v>2.8701102552484536E-2</v>
      </c>
      <c r="G12196" s="78"/>
      <c r="H12196" s="417" t="s">
        <v>9047</v>
      </c>
      <c r="J12196" s="256">
        <v>43497</v>
      </c>
      <c r="K12196">
        <v>135.26779999999999</v>
      </c>
      <c r="L12196" s="37">
        <f t="shared" si="222"/>
        <v>0.35267800000000005</v>
      </c>
      <c r="M12196" s="434"/>
      <c r="N12196" s="417">
        <v>31.2</v>
      </c>
      <c r="O12196" s="417">
        <v>33.58</v>
      </c>
      <c r="P12196" s="417">
        <v>33.44</v>
      </c>
      <c r="Q12196" s="417">
        <v>34.81</v>
      </c>
      <c r="U12196" s="434"/>
    </row>
    <row r="12197" spans="1:21" hidden="1" outlineLevel="1" x14ac:dyDescent="0.25">
      <c r="A12197" s="2220">
        <v>0.08</v>
      </c>
      <c r="B12197" s="1921" t="s">
        <v>901</v>
      </c>
      <c r="C12197" s="2223">
        <v>20.78915192448828</v>
      </c>
      <c r="D12197" s="2224">
        <v>29.27</v>
      </c>
      <c r="E12197" s="2178">
        <v>0.40794584148099977</v>
      </c>
      <c r="F12197" s="2148">
        <v>3.2635667318479986E-2</v>
      </c>
      <c r="G12197" s="78"/>
      <c r="H12197" s="417" t="s">
        <v>531</v>
      </c>
      <c r="J12197" s="256">
        <v>43525</v>
      </c>
      <c r="K12197">
        <v>146.09739999999999</v>
      </c>
      <c r="L12197" s="37">
        <f t="shared" si="222"/>
        <v>0.46097399999999999</v>
      </c>
      <c r="M12197" s="434"/>
      <c r="N12197" s="417">
        <v>61.45</v>
      </c>
      <c r="O12197" s="417">
        <v>65.45</v>
      </c>
      <c r="P12197" s="417">
        <v>65.599999999999994</v>
      </c>
      <c r="Q12197" s="417">
        <v>66.150000000000006</v>
      </c>
      <c r="U12197" s="434"/>
    </row>
    <row r="12198" spans="1:21" hidden="1" outlineLevel="1" x14ac:dyDescent="0.25">
      <c r="A12198" s="2220">
        <v>7.0000000000000007E-2</v>
      </c>
      <c r="B12198" s="2150" t="s">
        <v>5503</v>
      </c>
      <c r="C12198" s="2223">
        <v>777.625</v>
      </c>
      <c r="D12198" s="2224">
        <v>798</v>
      </c>
      <c r="E12198" s="2178">
        <v>2.6201575309435787E-2</v>
      </c>
      <c r="F12198" s="2148">
        <v>1.8341102716605052E-3</v>
      </c>
      <c r="G12198" s="78"/>
      <c r="H12198" s="417" t="s">
        <v>5501</v>
      </c>
      <c r="J12198" s="256">
        <v>43556</v>
      </c>
      <c r="K12198">
        <v>149.54419999999999</v>
      </c>
      <c r="L12198" s="37">
        <f t="shared" si="222"/>
        <v>0.49544199999999994</v>
      </c>
      <c r="M12198" s="434"/>
      <c r="N12198" s="417">
        <v>80.69</v>
      </c>
      <c r="O12198" s="417">
        <v>84.56</v>
      </c>
      <c r="P12198" s="417">
        <v>83.7</v>
      </c>
      <c r="Q12198" s="417">
        <v>82.1</v>
      </c>
      <c r="U12198" s="434"/>
    </row>
    <row r="12199" spans="1:21" hidden="1" outlineLevel="1" x14ac:dyDescent="0.25">
      <c r="A12199" s="2220">
        <v>0.04</v>
      </c>
      <c r="B12199" s="2150" t="s">
        <v>5506</v>
      </c>
      <c r="C12199" s="2223">
        <v>106</v>
      </c>
      <c r="D12199" s="2224">
        <v>125.74</v>
      </c>
      <c r="E12199" s="2178">
        <v>0.18622641509433957</v>
      </c>
      <c r="F12199" s="2148">
        <v>7.4490566037735831E-3</v>
      </c>
      <c r="G12199" s="78"/>
      <c r="H12199" s="417" t="s">
        <v>5504</v>
      </c>
      <c r="J12199" s="256">
        <v>43586</v>
      </c>
      <c r="K12199">
        <v>144.37280000000001</v>
      </c>
      <c r="L12199" s="37">
        <f t="shared" si="222"/>
        <v>0.44372800000000012</v>
      </c>
      <c r="M12199" s="434"/>
      <c r="N12199" s="417">
        <v>50.28</v>
      </c>
      <c r="O12199" s="417">
        <v>51.33</v>
      </c>
      <c r="P12199" s="417">
        <v>50.06</v>
      </c>
      <c r="Q12199" s="417">
        <v>49.27</v>
      </c>
      <c r="U12199" s="434"/>
    </row>
    <row r="12200" spans="1:21" hidden="1" outlineLevel="1" x14ac:dyDescent="0.25">
      <c r="A12200" s="2220">
        <v>0.05</v>
      </c>
      <c r="B12200" s="2109" t="s">
        <v>106</v>
      </c>
      <c r="C12200" s="2226">
        <v>2431.75</v>
      </c>
      <c r="D12200" s="2227">
        <v>4775</v>
      </c>
      <c r="E12200" s="2152">
        <v>0.96360645625578289</v>
      </c>
      <c r="F12200" s="2170">
        <v>4.8180322812789146E-2</v>
      </c>
      <c r="G12200" s="78"/>
      <c r="H12200" s="417" t="s">
        <v>107</v>
      </c>
      <c r="J12200" s="412" t="s">
        <v>2465</v>
      </c>
      <c r="L12200" s="261">
        <f>AVERAGE(L12182:L12199)</f>
        <v>0.39552088888888881</v>
      </c>
      <c r="M12200" s="434"/>
      <c r="N12200" s="417">
        <v>7.46</v>
      </c>
      <c r="O12200" s="417">
        <v>7.875</v>
      </c>
      <c r="P12200" s="417">
        <v>7.8</v>
      </c>
      <c r="Q12200" s="417">
        <v>7.97</v>
      </c>
      <c r="U12200" s="434"/>
    </row>
    <row r="12201" spans="1:21" hidden="1" outlineLevel="1" x14ac:dyDescent="0.25">
      <c r="A12201" s="2228" t="s">
        <v>2734</v>
      </c>
      <c r="B12201" s="2190"/>
      <c r="C12201" s="2188"/>
      <c r="D12201" s="2188"/>
      <c r="E12201" s="2229"/>
      <c r="F12201" s="2171">
        <v>0.48566225107300759</v>
      </c>
      <c r="G12201" s="78"/>
      <c r="J12201" s="412" t="s">
        <v>5122</v>
      </c>
      <c r="L12201" s="423">
        <f>L12200*parametry!S670</f>
        <v>0</v>
      </c>
      <c r="N12201" s="417">
        <v>106.51</v>
      </c>
      <c r="O12201" s="417">
        <v>111.01</v>
      </c>
      <c r="P12201" s="417">
        <v>104.45</v>
      </c>
      <c r="Q12201" s="417">
        <v>102.03</v>
      </c>
    </row>
    <row r="12202" spans="1:21" collapsed="1" x14ac:dyDescent="0.25">
      <c r="A12202" s="3801" t="s">
        <v>5774</v>
      </c>
      <c r="B12202" s="3802"/>
      <c r="C12202" s="3802"/>
      <c r="D12202" s="3802"/>
      <c r="E12202" s="1906"/>
      <c r="F12202" s="1907">
        <v>0.23731253333333327</v>
      </c>
      <c r="G12202" s="78"/>
      <c r="N12202" s="417">
        <v>23.53</v>
      </c>
      <c r="O12202" s="417">
        <v>25.07</v>
      </c>
      <c r="P12202" s="417">
        <v>24.31</v>
      </c>
      <c r="Q12202" s="417">
        <v>24.36</v>
      </c>
    </row>
    <row r="12203" spans="1:21" x14ac:dyDescent="0.25">
      <c r="A12203" t="s">
        <v>2734</v>
      </c>
      <c r="G12203" s="78"/>
    </row>
    <row r="12204" spans="1:21" ht="12.75" hidden="1" customHeight="1" outlineLevel="1" x14ac:dyDescent="0.25">
      <c r="A12204" s="2139" t="s">
        <v>113</v>
      </c>
      <c r="B12204" s="2139" t="s">
        <v>114</v>
      </c>
      <c r="C12204" s="2139" t="s">
        <v>112</v>
      </c>
      <c r="D12204" s="2139" t="s">
        <v>116</v>
      </c>
      <c r="E12204" s="2139" t="s">
        <v>117</v>
      </c>
      <c r="F12204" s="2140" t="s">
        <v>121</v>
      </c>
      <c r="G12204" s="78"/>
    </row>
    <row r="12205" spans="1:21" ht="12.75" hidden="1" customHeight="1" outlineLevel="1" x14ac:dyDescent="0.25">
      <c r="A12205" s="2161">
        <v>1</v>
      </c>
      <c r="B12205" s="2154" t="s">
        <v>252</v>
      </c>
      <c r="C12205" s="2172">
        <v>100</v>
      </c>
      <c r="D12205" s="2172"/>
      <c r="E12205" s="2173"/>
      <c r="F12205" s="2174"/>
      <c r="G12205" s="78"/>
    </row>
    <row r="12206" spans="1:21" ht="12.75" hidden="1" customHeight="1" outlineLevel="1" x14ac:dyDescent="0.25">
      <c r="A12206" s="2141" t="s">
        <v>2734</v>
      </c>
      <c r="B12206" s="2141"/>
      <c r="C12206" s="2142"/>
      <c r="D12206" s="1900" t="s">
        <v>3702</v>
      </c>
      <c r="E12206" s="2143">
        <v>43601</v>
      </c>
      <c r="F12206" s="2175"/>
      <c r="G12206" s="78"/>
    </row>
    <row r="12207" spans="1:21" ht="12.75" hidden="1" customHeight="1" outlineLevel="1" x14ac:dyDescent="0.25">
      <c r="A12207" s="2139" t="s">
        <v>4156</v>
      </c>
      <c r="B12207" s="2176" t="s">
        <v>4153</v>
      </c>
      <c r="C12207" s="2145" t="s">
        <v>112</v>
      </c>
      <c r="D12207" s="2176" t="s">
        <v>4155</v>
      </c>
      <c r="E12207" s="2139" t="s">
        <v>4154</v>
      </c>
      <c r="F12207" s="2164" t="s">
        <v>2519</v>
      </c>
      <c r="G12207" s="78"/>
    </row>
    <row r="12208" spans="1:21" ht="12.75" hidden="1" customHeight="1" outlineLevel="1" x14ac:dyDescent="0.25">
      <c r="A12208" s="1991">
        <v>0.05</v>
      </c>
      <c r="B12208" s="1992" t="s">
        <v>3998</v>
      </c>
      <c r="C12208" s="2177">
        <v>34.009</v>
      </c>
      <c r="D12208" s="2162">
        <v>31.62</v>
      </c>
      <c r="E12208" s="2178">
        <v>-7.0246111323473137E-2</v>
      </c>
      <c r="F12208" s="2164">
        <v>-3.5123055661736569E-3</v>
      </c>
      <c r="G12208" s="78"/>
      <c r="H12208" t="s">
        <v>4000</v>
      </c>
      <c r="J12208" s="434"/>
    </row>
    <row r="12209" spans="1:10" ht="12.75" hidden="1" customHeight="1" outlineLevel="1" x14ac:dyDescent="0.25">
      <c r="A12209" s="1997">
        <v>0.02</v>
      </c>
      <c r="B12209" s="1921" t="s">
        <v>805</v>
      </c>
      <c r="C12209" s="2179">
        <v>70.135999999999996</v>
      </c>
      <c r="D12209" s="2146">
        <v>104.01</v>
      </c>
      <c r="E12209" s="2180">
        <v>0.48297593247405057</v>
      </c>
      <c r="F12209" s="2148">
        <v>9.6595186494810113E-3</v>
      </c>
      <c r="G12209" s="78"/>
      <c r="H12209" t="s">
        <v>806</v>
      </c>
      <c r="J12209" s="434"/>
    </row>
    <row r="12210" spans="1:10" ht="12.75" hidden="1" customHeight="1" outlineLevel="1" x14ac:dyDescent="0.25">
      <c r="A12210" s="1997">
        <v>0.04</v>
      </c>
      <c r="B12210" s="1921" t="s">
        <v>807</v>
      </c>
      <c r="C12210" s="2179">
        <v>44.575000000000003</v>
      </c>
      <c r="D12210" s="2146">
        <v>60.85</v>
      </c>
      <c r="E12210" s="2180">
        <v>0.36511497476163757</v>
      </c>
      <c r="F12210" s="2148">
        <v>1.4604598990465503E-2</v>
      </c>
      <c r="G12210" s="78"/>
      <c r="H12210" t="s">
        <v>808</v>
      </c>
      <c r="J12210" s="434"/>
    </row>
    <row r="12211" spans="1:10" ht="12.75" hidden="1" customHeight="1" outlineLevel="1" x14ac:dyDescent="0.25">
      <c r="A12211" s="1997">
        <v>0.02</v>
      </c>
      <c r="B12211" s="2150" t="s">
        <v>2353</v>
      </c>
      <c r="C12211" s="2179">
        <v>590.4</v>
      </c>
      <c r="D12211" s="2146">
        <v>564.4</v>
      </c>
      <c r="E12211" s="2180">
        <v>-4.4037940379403784E-2</v>
      </c>
      <c r="F12211" s="2148">
        <v>-8.8075880758807566E-4</v>
      </c>
      <c r="G12211" s="78"/>
      <c r="H12211" t="s">
        <v>2354</v>
      </c>
      <c r="J12211" s="434"/>
    </row>
    <row r="12212" spans="1:10" ht="12.75" hidden="1" customHeight="1" outlineLevel="1" x14ac:dyDescent="0.25">
      <c r="A12212" s="1997">
        <v>0.04</v>
      </c>
      <c r="B12212" s="2101" t="s">
        <v>3954</v>
      </c>
      <c r="C12212" s="2179">
        <v>82.941000000000003</v>
      </c>
      <c r="D12212" s="2146">
        <v>110.58</v>
      </c>
      <c r="E12212" s="2180">
        <v>0.33323687922740253</v>
      </c>
      <c r="F12212" s="2148">
        <v>1.3329475169096102E-2</v>
      </c>
      <c r="G12212" s="78"/>
      <c r="H12212" t="s">
        <v>3955</v>
      </c>
      <c r="J12212" s="434"/>
    </row>
    <row r="12213" spans="1:10" ht="12.75" hidden="1" customHeight="1" outlineLevel="1" x14ac:dyDescent="0.25">
      <c r="A12213" s="1997">
        <v>7.0000000000000007E-2</v>
      </c>
      <c r="B12213" s="1921" t="s">
        <v>4055</v>
      </c>
      <c r="C12213" s="2179">
        <v>62.4</v>
      </c>
      <c r="D12213" s="2146">
        <v>87.7</v>
      </c>
      <c r="E12213" s="2180">
        <v>0.40544871794871806</v>
      </c>
      <c r="F12213" s="2148">
        <v>2.8381410256410267E-2</v>
      </c>
      <c r="G12213" s="78"/>
      <c r="H12213" t="s">
        <v>4056</v>
      </c>
      <c r="J12213" s="434"/>
    </row>
    <row r="12214" spans="1:10" ht="12.75" hidden="1" customHeight="1" outlineLevel="1" x14ac:dyDescent="0.25">
      <c r="A12214" s="1997">
        <v>0.02</v>
      </c>
      <c r="B12214" s="1921" t="s">
        <v>939</v>
      </c>
      <c r="C12214" s="2179">
        <v>71.725999999999999</v>
      </c>
      <c r="D12214" s="2146">
        <v>62.57</v>
      </c>
      <c r="E12214" s="2180">
        <v>-0.12765245517664447</v>
      </c>
      <c r="F12214" s="2148">
        <v>-2.5530491035328897E-3</v>
      </c>
      <c r="G12214" s="78"/>
      <c r="H12214" t="s">
        <v>2791</v>
      </c>
      <c r="J12214" s="434"/>
    </row>
    <row r="12215" spans="1:10" ht="12.75" hidden="1" customHeight="1" outlineLevel="1" x14ac:dyDescent="0.25">
      <c r="A12215" s="1997">
        <v>0.02</v>
      </c>
      <c r="B12215" s="1921" t="s">
        <v>5634</v>
      </c>
      <c r="C12215" s="2179">
        <v>39.073</v>
      </c>
      <c r="D12215" s="2146">
        <v>5.4</v>
      </c>
      <c r="E12215" s="2180">
        <v>-0.86179714892636861</v>
      </c>
      <c r="F12215" s="2148">
        <v>-1.7235942978527371E-2</v>
      </c>
      <c r="G12215" s="78"/>
      <c r="H12215" t="s">
        <v>5635</v>
      </c>
      <c r="J12215" s="434"/>
    </row>
    <row r="12216" spans="1:10" ht="12.75" hidden="1" customHeight="1" outlineLevel="1" x14ac:dyDescent="0.25">
      <c r="A12216" s="1997">
        <v>0.02</v>
      </c>
      <c r="B12216" s="1921" t="s">
        <v>9591</v>
      </c>
      <c r="C12216" s="2179">
        <v>62.542000000000002</v>
      </c>
      <c r="D12216" s="2146">
        <v>75.319999999999993</v>
      </c>
      <c r="E12216" s="2180">
        <v>0.20431070320744449</v>
      </c>
      <c r="F12216" s="2148">
        <v>4.0862140641488897E-3</v>
      </c>
      <c r="G12216" s="78"/>
      <c r="H12216" t="s">
        <v>2622</v>
      </c>
      <c r="J12216" s="434"/>
    </row>
    <row r="12217" spans="1:10" ht="12.75" hidden="1" customHeight="1" outlineLevel="1" x14ac:dyDescent="0.25">
      <c r="A12217" s="1997">
        <v>0.04</v>
      </c>
      <c r="B12217" s="1921" t="s">
        <v>1231</v>
      </c>
      <c r="C12217" s="2179">
        <v>68.352999999999994</v>
      </c>
      <c r="D12217" s="2146">
        <v>86.24</v>
      </c>
      <c r="E12217" s="2180">
        <v>0.26168566119994741</v>
      </c>
      <c r="F12217" s="2148">
        <v>1.0467426447997896E-2</v>
      </c>
      <c r="G12217" s="78"/>
      <c r="H12217" t="s">
        <v>2041</v>
      </c>
      <c r="J12217" s="434"/>
    </row>
    <row r="12218" spans="1:10" ht="12.75" hidden="1" customHeight="1" outlineLevel="1" x14ac:dyDescent="0.25">
      <c r="A12218" s="1997">
        <v>0.02</v>
      </c>
      <c r="B12218" s="1921" t="s">
        <v>496</v>
      </c>
      <c r="C12218" s="2179">
        <v>23.009479443039996</v>
      </c>
      <c r="D12218" s="2146">
        <v>12.725</v>
      </c>
      <c r="E12218" s="2180">
        <v>-0.44696706279249998</v>
      </c>
      <c r="F12218" s="2148">
        <v>-8.9393412558499991E-3</v>
      </c>
      <c r="G12218" s="78"/>
      <c r="H12218" t="s">
        <v>497</v>
      </c>
      <c r="J12218" s="434"/>
    </row>
    <row r="12219" spans="1:10" ht="12.75" hidden="1" customHeight="1" outlineLevel="1" x14ac:dyDescent="0.25">
      <c r="A12219" s="1997">
        <v>0.02</v>
      </c>
      <c r="B12219" s="1921" t="s">
        <v>4333</v>
      </c>
      <c r="C12219" s="2179">
        <v>29.466000000000001</v>
      </c>
      <c r="D12219" s="2146">
        <v>48.91</v>
      </c>
      <c r="E12219" s="2180">
        <v>0.6598791827869408</v>
      </c>
      <c r="F12219" s="2148">
        <v>1.3197583655738816E-2</v>
      </c>
      <c r="G12219" s="78"/>
      <c r="H12219" t="s">
        <v>4335</v>
      </c>
      <c r="J12219" s="434"/>
    </row>
    <row r="12220" spans="1:10" ht="12.75" hidden="1" customHeight="1" outlineLevel="1" x14ac:dyDescent="0.25">
      <c r="A12220" s="1997">
        <v>0.02</v>
      </c>
      <c r="B12220" s="1921" t="s">
        <v>3799</v>
      </c>
      <c r="C12220" s="2179">
        <v>1541.321077948297</v>
      </c>
      <c r="D12220" s="2146">
        <v>1550</v>
      </c>
      <c r="E12220" s="2180">
        <v>5.6308332999999156E-3</v>
      </c>
      <c r="F12220" s="2148">
        <v>1.1261666599999831E-4</v>
      </c>
      <c r="G12220" s="78"/>
      <c r="H12220" t="s">
        <v>4128</v>
      </c>
      <c r="J12220" s="434"/>
    </row>
    <row r="12221" spans="1:10" ht="12.75" hidden="1" customHeight="1" outlineLevel="1" x14ac:dyDescent="0.25">
      <c r="A12221" s="1997">
        <v>0.02</v>
      </c>
      <c r="B12221" s="1921" t="s">
        <v>2920</v>
      </c>
      <c r="C12221" s="2179">
        <v>23.262</v>
      </c>
      <c r="D12221" s="2146">
        <v>45.53</v>
      </c>
      <c r="E12221" s="2180">
        <v>0.9572693663485512</v>
      </c>
      <c r="F12221" s="2148">
        <v>1.9145387326971023E-2</v>
      </c>
      <c r="G12221" s="78"/>
      <c r="H12221" t="s">
        <v>6731</v>
      </c>
      <c r="J12221" s="434"/>
    </row>
    <row r="12222" spans="1:10" ht="12.75" hidden="1" customHeight="1" outlineLevel="1" x14ac:dyDescent="0.25">
      <c r="A12222" s="1997">
        <v>0.02</v>
      </c>
      <c r="B12222" s="1921" t="s">
        <v>1772</v>
      </c>
      <c r="C12222" s="2179">
        <v>144.37</v>
      </c>
      <c r="D12222" s="2146">
        <v>219.3</v>
      </c>
      <c r="E12222" s="2180">
        <v>0.51901364549421625</v>
      </c>
      <c r="F12222" s="2148">
        <v>1.0380272909884325E-2</v>
      </c>
      <c r="G12222" s="78"/>
      <c r="H12222" t="s">
        <v>4330</v>
      </c>
      <c r="J12222" s="434"/>
    </row>
    <row r="12223" spans="1:10" ht="12.75" hidden="1" customHeight="1" outlineLevel="1" x14ac:dyDescent="0.25">
      <c r="A12223" s="1997">
        <v>0.02</v>
      </c>
      <c r="B12223" s="1921" t="s">
        <v>2786</v>
      </c>
      <c r="C12223" s="2179">
        <v>751.22980892833027</v>
      </c>
      <c r="D12223" s="2146">
        <v>814.5</v>
      </c>
      <c r="E12223" s="2180">
        <v>8.422215188975013E-2</v>
      </c>
      <c r="F12223" s="2148">
        <v>1.6844430377950027E-3</v>
      </c>
      <c r="G12223" s="78"/>
      <c r="H12223" t="s">
        <v>4195</v>
      </c>
      <c r="J12223" s="434"/>
    </row>
    <row r="12224" spans="1:10" ht="12.75" hidden="1" customHeight="1" outlineLevel="1" x14ac:dyDescent="0.25">
      <c r="A12224" s="1997">
        <v>0.02</v>
      </c>
      <c r="B12224" s="1921" t="s">
        <v>5754</v>
      </c>
      <c r="C12224" s="2179">
        <v>40.54</v>
      </c>
      <c r="D12224" s="2146">
        <v>86.64</v>
      </c>
      <c r="E12224" s="2180">
        <v>1.1371484953132711</v>
      </c>
      <c r="F12224" s="2148">
        <v>2.2742969906265422E-2</v>
      </c>
      <c r="G12224" s="78"/>
      <c r="H12224" t="s">
        <v>5752</v>
      </c>
      <c r="J12224" s="434"/>
    </row>
    <row r="12225" spans="1:10" ht="12.75" hidden="1" customHeight="1" outlineLevel="1" x14ac:dyDescent="0.25">
      <c r="A12225" s="1997">
        <v>0.05</v>
      </c>
      <c r="B12225" s="1921" t="s">
        <v>3958</v>
      </c>
      <c r="C12225" s="2179">
        <v>1291</v>
      </c>
      <c r="D12225" s="2146">
        <v>810.8</v>
      </c>
      <c r="E12225" s="2180">
        <v>-0.37195972114639819</v>
      </c>
      <c r="F12225" s="2148">
        <v>-1.859798605731991E-2</v>
      </c>
      <c r="G12225" s="78"/>
      <c r="H12225" t="s">
        <v>3959</v>
      </c>
      <c r="J12225" s="434"/>
    </row>
    <row r="12226" spans="1:10" ht="12.75" hidden="1" customHeight="1" outlineLevel="1" x14ac:dyDescent="0.25">
      <c r="A12226" s="1997">
        <v>7.0000000000000007E-2</v>
      </c>
      <c r="B12226" s="1921" t="s">
        <v>5775</v>
      </c>
      <c r="C12226" s="2179">
        <v>27.961646150810104</v>
      </c>
      <c r="D12226" s="2146">
        <v>29.93</v>
      </c>
      <c r="E12226" s="2180">
        <v>7.0394777137714026E-2</v>
      </c>
      <c r="F12226" s="2148">
        <v>4.9276343996399827E-3</v>
      </c>
      <c r="G12226" s="78"/>
      <c r="H12226" t="s">
        <v>2770</v>
      </c>
      <c r="J12226" s="434"/>
    </row>
    <row r="12227" spans="1:10" ht="12.75" hidden="1" customHeight="1" outlineLevel="1" x14ac:dyDescent="0.25">
      <c r="A12227" s="1997">
        <v>0.02</v>
      </c>
      <c r="B12227" s="2101" t="s">
        <v>2728</v>
      </c>
      <c r="C12227" s="2179">
        <v>67.980999999999995</v>
      </c>
      <c r="D12227" s="2146">
        <v>105.41</v>
      </c>
      <c r="E12227" s="2180">
        <v>0.55058030920404244</v>
      </c>
      <c r="F12227" s="2148">
        <v>1.101160618408085E-2</v>
      </c>
      <c r="G12227" s="78"/>
      <c r="H12227" t="s">
        <v>9049</v>
      </c>
      <c r="J12227" s="434"/>
    </row>
    <row r="12228" spans="1:10" ht="12.75" hidden="1" customHeight="1" outlineLevel="1" x14ac:dyDescent="0.25">
      <c r="A12228" s="1997">
        <v>0.03</v>
      </c>
      <c r="B12228" s="1921" t="s">
        <v>1214</v>
      </c>
      <c r="C12228" s="2179">
        <v>90.183999999999997</v>
      </c>
      <c r="D12228" s="2146">
        <v>108.66</v>
      </c>
      <c r="E12228" s="2180">
        <v>0.20487004346669035</v>
      </c>
      <c r="F12228" s="2148">
        <v>6.1461013040007102E-3</v>
      </c>
      <c r="G12228" s="78"/>
      <c r="H12228" t="s">
        <v>3775</v>
      </c>
      <c r="J12228" s="434"/>
    </row>
    <row r="12229" spans="1:10" ht="12.75" hidden="1" customHeight="1" outlineLevel="1" x14ac:dyDescent="0.25">
      <c r="A12229" s="1997">
        <v>7.0000000000000007E-2</v>
      </c>
      <c r="B12229" s="1921" t="s">
        <v>3427</v>
      </c>
      <c r="C12229" s="2179">
        <v>41.335999999999999</v>
      </c>
      <c r="D12229" s="2146">
        <v>54.06</v>
      </c>
      <c r="E12229" s="2180">
        <v>0.30781885039674872</v>
      </c>
      <c r="F12229" s="2148">
        <v>2.1547319527772411E-2</v>
      </c>
      <c r="G12229" s="78"/>
      <c r="H12229" t="s">
        <v>2800</v>
      </c>
      <c r="J12229" s="434"/>
    </row>
    <row r="12230" spans="1:10" ht="12.75" hidden="1" customHeight="1" outlineLevel="1" x14ac:dyDescent="0.25">
      <c r="A12230" s="1997">
        <v>0.02</v>
      </c>
      <c r="B12230" s="1921" t="s">
        <v>1857</v>
      </c>
      <c r="C12230" s="2179">
        <v>1443.1</v>
      </c>
      <c r="D12230" s="2146">
        <v>1063</v>
      </c>
      <c r="E12230" s="2180">
        <v>-0.2633913103735015</v>
      </c>
      <c r="F12230" s="2148">
        <v>-5.2678262074700296E-3</v>
      </c>
      <c r="G12230" s="78"/>
      <c r="H12230" t="s">
        <v>3559</v>
      </c>
      <c r="J12230" s="434"/>
    </row>
    <row r="12231" spans="1:10" ht="12.75" hidden="1" customHeight="1" outlineLevel="1" x14ac:dyDescent="0.25">
      <c r="A12231" s="1997">
        <v>0.02</v>
      </c>
      <c r="B12231" s="1921" t="s">
        <v>3381</v>
      </c>
      <c r="C12231" s="2179">
        <v>135.59</v>
      </c>
      <c r="D12231" s="2146">
        <v>184</v>
      </c>
      <c r="E12231" s="2180">
        <v>0.35703222951545088</v>
      </c>
      <c r="F12231" s="2148">
        <v>7.1406445903090176E-3</v>
      </c>
      <c r="G12231" s="78"/>
      <c r="H12231" t="s">
        <v>9199</v>
      </c>
      <c r="J12231" s="434"/>
    </row>
    <row r="12232" spans="1:10" ht="12.75" hidden="1" customHeight="1" outlineLevel="1" x14ac:dyDescent="0.25">
      <c r="A12232" s="1997">
        <v>7.0000000000000007E-2</v>
      </c>
      <c r="B12232" s="1921" t="s">
        <v>1239</v>
      </c>
      <c r="C12232" s="2179">
        <v>444.51</v>
      </c>
      <c r="D12232" s="2146">
        <v>481.5</v>
      </c>
      <c r="E12232" s="2180">
        <v>8.3215225754201372E-2</v>
      </c>
      <c r="F12232" s="2148">
        <v>5.8250658027940968E-3</v>
      </c>
      <c r="G12232" s="78"/>
      <c r="H12232" t="s">
        <v>8891</v>
      </c>
      <c r="J12232" s="434"/>
    </row>
    <row r="12233" spans="1:10" ht="12.75" hidden="1" customHeight="1" outlineLevel="1" x14ac:dyDescent="0.25">
      <c r="A12233" s="1997">
        <v>0.02</v>
      </c>
      <c r="B12233" s="1921" t="s">
        <v>5249</v>
      </c>
      <c r="C12233" s="2179">
        <v>4.9509999999999996</v>
      </c>
      <c r="D12233" s="2146">
        <v>3.51</v>
      </c>
      <c r="E12233" s="2180">
        <v>-0.29105231266410825</v>
      </c>
      <c r="F12233" s="2148">
        <v>-5.8210462532821651E-3</v>
      </c>
      <c r="G12233" s="78"/>
      <c r="H12233" t="s">
        <v>5247</v>
      </c>
      <c r="J12233" s="434"/>
    </row>
    <row r="12234" spans="1:10" ht="12.75" hidden="1" customHeight="1" outlineLevel="1" x14ac:dyDescent="0.25">
      <c r="A12234" s="1997">
        <v>0.02</v>
      </c>
      <c r="B12234" s="1921" t="s">
        <v>1183</v>
      </c>
      <c r="C12234" s="2179">
        <v>43.780500000000004</v>
      </c>
      <c r="D12234" s="2146">
        <v>48.604999999999997</v>
      </c>
      <c r="E12234" s="2180">
        <v>0.11019746234053951</v>
      </c>
      <c r="F12234" s="2148">
        <v>2.2039492468107903E-3</v>
      </c>
      <c r="G12234" s="78"/>
      <c r="H12234" t="s">
        <v>2805</v>
      </c>
      <c r="J12234" s="434"/>
    </row>
    <row r="12235" spans="1:10" ht="12.75" hidden="1" customHeight="1" outlineLevel="1" x14ac:dyDescent="0.25">
      <c r="A12235" s="1997">
        <v>0.02</v>
      </c>
      <c r="B12235" s="1921" t="s">
        <v>255</v>
      </c>
      <c r="C12235" s="2179">
        <v>47.277999999999999</v>
      </c>
      <c r="D12235" s="2146">
        <v>57.38</v>
      </c>
      <c r="E12235" s="2180">
        <v>0.213672321164178</v>
      </c>
      <c r="F12235" s="2148">
        <v>4.2734464232835603E-3</v>
      </c>
      <c r="G12235" s="78"/>
      <c r="H12235" t="s">
        <v>3351</v>
      </c>
      <c r="J12235" s="434"/>
    </row>
    <row r="12236" spans="1:10" ht="12.75" hidden="1" customHeight="1" outlineLevel="1" x14ac:dyDescent="0.25">
      <c r="A12236" s="1997">
        <v>7.0000000000000007E-2</v>
      </c>
      <c r="B12236" s="1921" t="s">
        <v>5174</v>
      </c>
      <c r="C12236" s="2179">
        <v>278.39</v>
      </c>
      <c r="D12236" s="2146">
        <v>211.1</v>
      </c>
      <c r="E12236" s="2180">
        <v>-0.24171126836452461</v>
      </c>
      <c r="F12236" s="2148">
        <v>-1.6919788785516726E-2</v>
      </c>
      <c r="G12236" s="78"/>
      <c r="H12236" t="s">
        <v>5172</v>
      </c>
      <c r="J12236" s="434"/>
    </row>
    <row r="12237" spans="1:10" ht="12.75" hidden="1" customHeight="1" outlineLevel="1" x14ac:dyDescent="0.25">
      <c r="A12237" s="1997">
        <v>0.04</v>
      </c>
      <c r="B12237" s="2109" t="s">
        <v>4550</v>
      </c>
      <c r="C12237" s="2179">
        <v>236.5</v>
      </c>
      <c r="D12237" s="2167">
        <v>328.4</v>
      </c>
      <c r="E12237" s="2180">
        <v>0.38858350951374199</v>
      </c>
      <c r="F12237" s="2148">
        <v>1.554334038054968E-2</v>
      </c>
      <c r="G12237" s="78"/>
      <c r="H12237" t="s">
        <v>8889</v>
      </c>
      <c r="J12237" s="434"/>
    </row>
    <row r="12238" spans="1:10" ht="12.75" hidden="1" customHeight="1" outlineLevel="1" x14ac:dyDescent="0.25">
      <c r="A12238" s="2181" t="s">
        <v>2734</v>
      </c>
      <c r="B12238" s="2103"/>
      <c r="C12238" s="2182"/>
      <c r="D12238" s="2183"/>
      <c r="E12238" s="2184"/>
      <c r="F12238" s="2164">
        <v>0.14668297992423457</v>
      </c>
      <c r="G12238" s="78"/>
    </row>
    <row r="12239" spans="1:10" ht="12.75" hidden="1" customHeight="1" outlineLevel="1" x14ac:dyDescent="0.25">
      <c r="A12239" s="1956" t="s">
        <v>5783</v>
      </c>
      <c r="B12239" s="2185">
        <v>43070</v>
      </c>
      <c r="C12239" s="2186">
        <v>100</v>
      </c>
      <c r="D12239" s="2186">
        <v>112.7765</v>
      </c>
      <c r="E12239" s="2187">
        <v>0.12776499999999991</v>
      </c>
      <c r="F12239" s="2159"/>
      <c r="G12239" s="78"/>
    </row>
    <row r="12240" spans="1:10" ht="12.75" hidden="1" customHeight="1" outlineLevel="1" x14ac:dyDescent="0.25">
      <c r="A12240" s="1956" t="s">
        <v>5784</v>
      </c>
      <c r="B12240" s="2185">
        <v>43101</v>
      </c>
      <c r="C12240" s="2186">
        <v>100</v>
      </c>
      <c r="D12240" s="2188">
        <v>111.9871</v>
      </c>
      <c r="E12240" s="2187">
        <v>0.11987100000000006</v>
      </c>
      <c r="F12240" s="2159"/>
      <c r="G12240" s="78"/>
    </row>
    <row r="12241" spans="1:7" ht="12.75" hidden="1" customHeight="1" outlineLevel="1" x14ac:dyDescent="0.25">
      <c r="A12241" s="1956" t="s">
        <v>5785</v>
      </c>
      <c r="B12241" s="2185">
        <v>43132</v>
      </c>
      <c r="C12241" s="2186">
        <v>100</v>
      </c>
      <c r="D12241" s="2188">
        <v>108.4863</v>
      </c>
      <c r="E12241" s="2187">
        <v>8.4862999999999911E-2</v>
      </c>
      <c r="F12241" s="2159"/>
      <c r="G12241" s="78"/>
    </row>
    <row r="12242" spans="1:7" ht="12.75" hidden="1" customHeight="1" outlineLevel="1" x14ac:dyDescent="0.25">
      <c r="A12242" s="1956" t="s">
        <v>5786</v>
      </c>
      <c r="B12242" s="2185">
        <v>43160</v>
      </c>
      <c r="C12242" s="2186">
        <v>100</v>
      </c>
      <c r="D12242" s="2188">
        <v>108.1005</v>
      </c>
      <c r="E12242" s="2187">
        <v>8.1004999999999994E-2</v>
      </c>
      <c r="F12242" s="2159"/>
      <c r="G12242" s="78"/>
    </row>
    <row r="12243" spans="1:7" ht="12.75" hidden="1" customHeight="1" outlineLevel="1" x14ac:dyDescent="0.25">
      <c r="A12243" s="1956" t="s">
        <v>5787</v>
      </c>
      <c r="B12243" s="2185">
        <v>43191</v>
      </c>
      <c r="C12243" s="2186">
        <v>100</v>
      </c>
      <c r="D12243" s="2188">
        <v>110.84520000000001</v>
      </c>
      <c r="E12243" s="2187">
        <v>0.10845199999999999</v>
      </c>
      <c r="F12243" s="2159"/>
      <c r="G12243" s="78"/>
    </row>
    <row r="12244" spans="1:7" ht="12.75" hidden="1" customHeight="1" outlineLevel="1" x14ac:dyDescent="0.25">
      <c r="A12244" s="1956" t="s">
        <v>5788</v>
      </c>
      <c r="B12244" s="2185">
        <v>43221</v>
      </c>
      <c r="C12244" s="2186">
        <v>100</v>
      </c>
      <c r="D12244" s="2188">
        <v>110.1444</v>
      </c>
      <c r="E12244" s="2187">
        <v>0.10144400000000009</v>
      </c>
      <c r="F12244" s="2159"/>
      <c r="G12244" s="78"/>
    </row>
    <row r="12245" spans="1:7" ht="12.75" hidden="1" customHeight="1" outlineLevel="1" x14ac:dyDescent="0.25">
      <c r="A12245" s="1956" t="s">
        <v>5789</v>
      </c>
      <c r="B12245" s="2185">
        <v>43252</v>
      </c>
      <c r="C12245" s="2186">
        <v>100</v>
      </c>
      <c r="D12245" s="2188">
        <v>111.33929999999999</v>
      </c>
      <c r="E12245" s="2187">
        <v>0.11339299999999986</v>
      </c>
      <c r="F12245" s="2159"/>
      <c r="G12245" s="78"/>
    </row>
    <row r="12246" spans="1:7" ht="12.75" hidden="1" customHeight="1" outlineLevel="1" x14ac:dyDescent="0.25">
      <c r="A12246" s="1956" t="s">
        <v>5790</v>
      </c>
      <c r="B12246" s="2185">
        <v>43282</v>
      </c>
      <c r="C12246" s="2186">
        <v>100</v>
      </c>
      <c r="D12246" s="2188">
        <v>114.53879999999999</v>
      </c>
      <c r="E12246" s="2187">
        <v>0.14538799999999985</v>
      </c>
      <c r="F12246" s="2159"/>
      <c r="G12246" s="78"/>
    </row>
    <row r="12247" spans="1:7" ht="12.75" hidden="1" customHeight="1" outlineLevel="1" x14ac:dyDescent="0.25">
      <c r="A12247" s="1956" t="s">
        <v>5791</v>
      </c>
      <c r="B12247" s="2185">
        <v>43313</v>
      </c>
      <c r="C12247" s="2186">
        <v>100</v>
      </c>
      <c r="D12247" s="2188">
        <v>113.7971</v>
      </c>
      <c r="E12247" s="2187">
        <v>0.13797100000000007</v>
      </c>
      <c r="F12247" s="2159"/>
      <c r="G12247" s="78"/>
    </row>
    <row r="12248" spans="1:7" ht="12.75" hidden="1" customHeight="1" outlineLevel="1" x14ac:dyDescent="0.25">
      <c r="A12248" s="1956" t="s">
        <v>5792</v>
      </c>
      <c r="B12248" s="2185">
        <v>43344</v>
      </c>
      <c r="C12248" s="2186">
        <v>100</v>
      </c>
      <c r="D12248" s="2188">
        <v>114.021</v>
      </c>
      <c r="E12248" s="2187">
        <v>0.14020999999999995</v>
      </c>
      <c r="F12248" s="2159"/>
      <c r="G12248" s="78"/>
    </row>
    <row r="12249" spans="1:7" ht="12.75" hidden="1" customHeight="1" outlineLevel="1" x14ac:dyDescent="0.25">
      <c r="A12249" s="1956" t="s">
        <v>5793</v>
      </c>
      <c r="B12249" s="2185">
        <v>43374</v>
      </c>
      <c r="C12249" s="2186">
        <v>100</v>
      </c>
      <c r="D12249" s="2188">
        <v>111.687</v>
      </c>
      <c r="E12249" s="2187">
        <v>0.11687000000000003</v>
      </c>
      <c r="F12249" s="2159"/>
      <c r="G12249" s="78"/>
    </row>
    <row r="12250" spans="1:7" ht="12.75" hidden="1" customHeight="1" outlineLevel="1" x14ac:dyDescent="0.25">
      <c r="A12250" s="1956" t="s">
        <v>5794</v>
      </c>
      <c r="B12250" s="2185">
        <v>43405</v>
      </c>
      <c r="C12250" s="2186">
        <v>100</v>
      </c>
      <c r="D12250" s="2188">
        <v>113.3561</v>
      </c>
      <c r="E12250" s="2187">
        <v>0.13356100000000004</v>
      </c>
      <c r="F12250" s="2159"/>
      <c r="G12250" s="78"/>
    </row>
    <row r="12251" spans="1:7" ht="12.75" hidden="1" customHeight="1" outlineLevel="1" x14ac:dyDescent="0.25">
      <c r="A12251" s="1956" t="s">
        <v>5795</v>
      </c>
      <c r="B12251" s="2185">
        <v>43435</v>
      </c>
      <c r="C12251" s="2186">
        <v>100</v>
      </c>
      <c r="D12251" s="2188">
        <v>107.4932</v>
      </c>
      <c r="E12251" s="2187">
        <v>7.4931999999999999E-2</v>
      </c>
      <c r="F12251" s="2159"/>
      <c r="G12251" s="78"/>
    </row>
    <row r="12252" spans="1:7" ht="12.75" hidden="1" customHeight="1" outlineLevel="1" x14ac:dyDescent="0.25">
      <c r="A12252" s="1956" t="s">
        <v>5796</v>
      </c>
      <c r="B12252" s="2185">
        <v>43466</v>
      </c>
      <c r="C12252" s="2186">
        <v>100</v>
      </c>
      <c r="D12252" s="2188">
        <v>112.8939</v>
      </c>
      <c r="E12252" s="2187">
        <v>0.12893899999999991</v>
      </c>
      <c r="F12252" s="2159"/>
      <c r="G12252" s="78"/>
    </row>
    <row r="12253" spans="1:7" ht="12.75" hidden="1" customHeight="1" outlineLevel="1" x14ac:dyDescent="0.25">
      <c r="A12253" s="1956" t="s">
        <v>5797</v>
      </c>
      <c r="B12253" s="2185">
        <v>43497</v>
      </c>
      <c r="C12253" s="2186">
        <v>100</v>
      </c>
      <c r="D12253" s="2188">
        <v>115.4049</v>
      </c>
      <c r="E12253" s="2187">
        <v>0.15404899999999988</v>
      </c>
      <c r="F12253" s="2159"/>
      <c r="G12253" s="78"/>
    </row>
    <row r="12254" spans="1:7" ht="12.75" hidden="1" customHeight="1" outlineLevel="1" x14ac:dyDescent="0.25">
      <c r="A12254" s="1956" t="s">
        <v>5798</v>
      </c>
      <c r="B12254" s="2185">
        <v>43525</v>
      </c>
      <c r="C12254" s="2186">
        <v>100</v>
      </c>
      <c r="D12254" s="2188">
        <v>115.95529999999999</v>
      </c>
      <c r="E12254" s="2187">
        <v>0.15955299999999983</v>
      </c>
      <c r="F12254" s="2159"/>
      <c r="G12254" s="78"/>
    </row>
    <row r="12255" spans="1:7" ht="12.75" hidden="1" customHeight="1" outlineLevel="1" x14ac:dyDescent="0.25">
      <c r="A12255" s="1956" t="s">
        <v>5799</v>
      </c>
      <c r="B12255" s="2185">
        <v>43556</v>
      </c>
      <c r="C12255" s="2186">
        <v>100</v>
      </c>
      <c r="D12255" s="2188">
        <v>116.4842</v>
      </c>
      <c r="E12255" s="2187">
        <v>0.16484199999999993</v>
      </c>
      <c r="F12255" s="2159"/>
      <c r="G12255" s="78"/>
    </row>
    <row r="12256" spans="1:7" ht="12.75" hidden="1" customHeight="1" outlineLevel="1" x14ac:dyDescent="0.25">
      <c r="A12256" s="1956" t="s">
        <v>5800</v>
      </c>
      <c r="B12256" s="2185">
        <v>43586</v>
      </c>
      <c r="C12256" s="2186">
        <v>100</v>
      </c>
      <c r="D12256" s="2188">
        <v>112.2577</v>
      </c>
      <c r="E12256" s="2187">
        <v>0.12257699999999994</v>
      </c>
      <c r="F12256" s="2159"/>
      <c r="G12256" s="78"/>
    </row>
    <row r="12257" spans="1:8" ht="12.75" hidden="1" customHeight="1" outlineLevel="1" x14ac:dyDescent="0.25">
      <c r="A12257" s="2189" t="s">
        <v>2734</v>
      </c>
      <c r="B12257" s="2190"/>
      <c r="C12257" s="2188"/>
      <c r="D12257" s="2191" t="s">
        <v>2465</v>
      </c>
      <c r="E12257" s="1987">
        <v>0.12309361111111104</v>
      </c>
      <c r="F12257" s="2192">
        <v>0.12309361111111104</v>
      </c>
      <c r="G12257" s="78"/>
    </row>
    <row r="12258" spans="1:8" collapsed="1" x14ac:dyDescent="0.25">
      <c r="A12258" s="3801" t="s">
        <v>5776</v>
      </c>
      <c r="B12258" s="3802"/>
      <c r="C12258" s="3802"/>
      <c r="D12258" s="3802"/>
      <c r="E12258" s="1906"/>
      <c r="F12258" s="1907">
        <v>7.3856166666666626E-2</v>
      </c>
      <c r="G12258" s="78"/>
    </row>
    <row r="12259" spans="1:8" x14ac:dyDescent="0.25">
      <c r="A12259" t="s">
        <v>2734</v>
      </c>
      <c r="G12259" s="78"/>
    </row>
    <row r="12260" spans="1:8" hidden="1" outlineLevel="1" x14ac:dyDescent="0.25">
      <c r="A12260" s="1915" t="s">
        <v>113</v>
      </c>
      <c r="B12260" s="1915" t="s">
        <v>114</v>
      </c>
      <c r="C12260" s="1915" t="s">
        <v>112</v>
      </c>
      <c r="D12260" s="1915" t="s">
        <v>116</v>
      </c>
      <c r="E12260" s="1915" t="s">
        <v>117</v>
      </c>
      <c r="F12260" s="1909" t="s">
        <v>121</v>
      </c>
      <c r="G12260" s="1889"/>
      <c r="H12260" s="1813"/>
    </row>
    <row r="12261" spans="1:8" hidden="1" outlineLevel="1" x14ac:dyDescent="0.25">
      <c r="A12261" s="1889">
        <v>5</v>
      </c>
      <c r="B12261" s="1889"/>
      <c r="C12261" s="1916"/>
      <c r="D12261" s="1900" t="s">
        <v>3702</v>
      </c>
      <c r="E12261" s="1917">
        <v>43524</v>
      </c>
      <c r="F12261" s="1918"/>
      <c r="G12261" s="1889"/>
      <c r="H12261" s="1813"/>
    </row>
    <row r="12262" spans="1:8" hidden="1" outlineLevel="1" x14ac:dyDescent="0.25">
      <c r="A12262" s="1915" t="s">
        <v>4156</v>
      </c>
      <c r="B12262" s="1915" t="s">
        <v>4153</v>
      </c>
      <c r="C12262" s="1919" t="s">
        <v>112</v>
      </c>
      <c r="D12262" s="1915" t="s">
        <v>4155</v>
      </c>
      <c r="E12262" s="1915" t="s">
        <v>4154</v>
      </c>
      <c r="F12262" s="1909" t="s">
        <v>734</v>
      </c>
      <c r="G12262" s="1889"/>
      <c r="H12262" s="1813"/>
    </row>
    <row r="12263" spans="1:8" hidden="1" outlineLevel="1" x14ac:dyDescent="0.25">
      <c r="A12263" s="1920">
        <v>0.05</v>
      </c>
      <c r="B12263" s="1921" t="s">
        <v>6072</v>
      </c>
      <c r="C12263" s="1902">
        <v>14.937099999999999</v>
      </c>
      <c r="D12263" s="1922">
        <v>21.21</v>
      </c>
      <c r="E12263" s="1923">
        <v>0.41995434187359004</v>
      </c>
      <c r="F12263" s="1924">
        <v>0.06</v>
      </c>
      <c r="G12263" s="1889"/>
      <c r="H12263" s="1813" t="s">
        <v>8514</v>
      </c>
    </row>
    <row r="12264" spans="1:8" hidden="1" outlineLevel="1" x14ac:dyDescent="0.25">
      <c r="A12264" s="1920">
        <v>0.05</v>
      </c>
      <c r="B12264" s="1925" t="s">
        <v>807</v>
      </c>
      <c r="C12264" s="1902">
        <v>45.002000000000002</v>
      </c>
      <c r="D12264" s="1922">
        <v>58.52</v>
      </c>
      <c r="E12264" s="1923">
        <v>0.30038664948224514</v>
      </c>
      <c r="F12264" s="1924">
        <v>0.06</v>
      </c>
      <c r="G12264" s="1889"/>
      <c r="H12264" s="1813" t="s">
        <v>808</v>
      </c>
    </row>
    <row r="12265" spans="1:8" hidden="1" outlineLevel="1" x14ac:dyDescent="0.25">
      <c r="A12265" s="1920">
        <v>0.02</v>
      </c>
      <c r="B12265" s="1926" t="s">
        <v>2582</v>
      </c>
      <c r="C12265" s="1902">
        <v>1746.94</v>
      </c>
      <c r="D12265" s="1922">
        <v>1746</v>
      </c>
      <c r="E12265" s="1923">
        <v>-5.3808373498809292E-4</v>
      </c>
      <c r="F12265" s="1924">
        <v>-5.3808373498809292E-4</v>
      </c>
      <c r="G12265" s="1889"/>
      <c r="H12265" s="1813" t="s">
        <v>9582</v>
      </c>
    </row>
    <row r="12266" spans="1:8" hidden="1" outlineLevel="1" x14ac:dyDescent="0.25">
      <c r="A12266" s="1920">
        <v>0.08</v>
      </c>
      <c r="B12266" s="1925" t="s">
        <v>1141</v>
      </c>
      <c r="C12266" s="1902">
        <v>82.024000000000001</v>
      </c>
      <c r="D12266" s="1922">
        <v>74.31</v>
      </c>
      <c r="E12266" s="1923">
        <v>-9.4045645177021298E-2</v>
      </c>
      <c r="F12266" s="1924">
        <v>-9.4045645177021298E-2</v>
      </c>
      <c r="G12266" s="1889"/>
      <c r="H12266" s="1813" t="s">
        <v>666</v>
      </c>
    </row>
    <row r="12267" spans="1:8" hidden="1" outlineLevel="1" x14ac:dyDescent="0.25">
      <c r="A12267" s="1920">
        <v>0.05</v>
      </c>
      <c r="B12267" s="1889" t="s">
        <v>901</v>
      </c>
      <c r="C12267" s="1902">
        <v>3321.4</v>
      </c>
      <c r="D12267" s="1922">
        <v>2758.5</v>
      </c>
      <c r="E12267" s="1923">
        <v>-0.16947672668151992</v>
      </c>
      <c r="F12267" s="1924">
        <v>-0.16947672668151992</v>
      </c>
      <c r="G12267" s="1889"/>
      <c r="H12267" s="1813" t="s">
        <v>531</v>
      </c>
    </row>
    <row r="12268" spans="1:8" hidden="1" outlineLevel="1" x14ac:dyDescent="0.25">
      <c r="A12268" s="1920">
        <v>0.05</v>
      </c>
      <c r="B12268" s="1927" t="s">
        <v>2353</v>
      </c>
      <c r="C12268" s="1902">
        <v>606</v>
      </c>
      <c r="D12268" s="1922">
        <v>604.20000000000005</v>
      </c>
      <c r="E12268" s="1923">
        <v>-2.9702970297028619E-3</v>
      </c>
      <c r="F12268" s="1924">
        <v>-2.9702970297028619E-3</v>
      </c>
      <c r="G12268" s="1889"/>
      <c r="H12268" s="1813" t="s">
        <v>2354</v>
      </c>
    </row>
    <row r="12269" spans="1:8" hidden="1" outlineLevel="1" x14ac:dyDescent="0.25">
      <c r="A12269" s="1920">
        <v>0.08</v>
      </c>
      <c r="B12269" s="1921" t="s">
        <v>4055</v>
      </c>
      <c r="C12269" s="1902">
        <v>62.06</v>
      </c>
      <c r="D12269" s="1922">
        <v>93</v>
      </c>
      <c r="E12269" s="1923">
        <v>0.49854979052529802</v>
      </c>
      <c r="F12269" s="1924">
        <v>0.06</v>
      </c>
      <c r="G12269" s="1889"/>
      <c r="H12269" s="1813" t="s">
        <v>4056</v>
      </c>
    </row>
    <row r="12270" spans="1:8" hidden="1" outlineLevel="1" x14ac:dyDescent="0.25">
      <c r="A12270" s="1920">
        <v>0.03</v>
      </c>
      <c r="B12270" s="1889" t="s">
        <v>1319</v>
      </c>
      <c r="C12270" s="1902">
        <v>56.793999999999997</v>
      </c>
      <c r="D12270" s="1922">
        <v>82.45</v>
      </c>
      <c r="E12270" s="1923">
        <v>0.4517378596330599</v>
      </c>
      <c r="F12270" s="1924">
        <v>0.06</v>
      </c>
      <c r="G12270" s="1889"/>
      <c r="H12270" s="1813" t="s">
        <v>1320</v>
      </c>
    </row>
    <row r="12271" spans="1:8" hidden="1" outlineLevel="1" x14ac:dyDescent="0.25">
      <c r="A12271" s="1920">
        <v>0.02</v>
      </c>
      <c r="B12271" s="1813" t="s">
        <v>8914</v>
      </c>
      <c r="C12271" s="1902">
        <v>109.4851</v>
      </c>
      <c r="D12271" s="1922">
        <v>218.74</v>
      </c>
      <c r="E12271" s="1923">
        <v>0.99789743079195259</v>
      </c>
      <c r="F12271" s="1924">
        <v>0.06</v>
      </c>
      <c r="G12271" s="1889"/>
      <c r="H12271" s="1813" t="s">
        <v>8915</v>
      </c>
    </row>
    <row r="12272" spans="1:8" hidden="1" outlineLevel="1" x14ac:dyDescent="0.25">
      <c r="A12272" s="1920">
        <v>0.05</v>
      </c>
      <c r="B12272" s="1903" t="s">
        <v>1036</v>
      </c>
      <c r="C12272" s="1902">
        <v>125.3472</v>
      </c>
      <c r="D12272" s="1922">
        <v>194.5</v>
      </c>
      <c r="E12272" s="1923">
        <v>0.55169002578438131</v>
      </c>
      <c r="F12272" s="1924">
        <v>0.06</v>
      </c>
      <c r="G12272" s="1889"/>
      <c r="H12272" s="1813" t="s">
        <v>1066</v>
      </c>
    </row>
    <row r="12273" spans="1:8" hidden="1" outlineLevel="1" x14ac:dyDescent="0.25">
      <c r="A12273" s="1920">
        <v>0.04</v>
      </c>
      <c r="B12273" s="1903" t="s">
        <v>2920</v>
      </c>
      <c r="C12273" s="1902">
        <v>23.942</v>
      </c>
      <c r="D12273" s="1922">
        <v>52.96</v>
      </c>
      <c r="E12273" s="1923">
        <v>1.2120123632110933</v>
      </c>
      <c r="F12273" s="1924">
        <v>0.06</v>
      </c>
      <c r="G12273" s="1889"/>
      <c r="H12273" s="1813" t="s">
        <v>6731</v>
      </c>
    </row>
    <row r="12274" spans="1:8" hidden="1" outlineLevel="1" x14ac:dyDescent="0.25">
      <c r="A12274" s="1920">
        <v>0.08</v>
      </c>
      <c r="B12274" s="1903" t="s">
        <v>5751</v>
      </c>
      <c r="C12274" s="1902">
        <v>10.852</v>
      </c>
      <c r="D12274" s="1922">
        <v>6.16</v>
      </c>
      <c r="E12274" s="1923">
        <v>-0.43236269812016215</v>
      </c>
      <c r="F12274" s="1924">
        <v>-0.43236269812016215</v>
      </c>
      <c r="G12274" s="1889"/>
      <c r="H12274" s="1813" t="s">
        <v>5749</v>
      </c>
    </row>
    <row r="12275" spans="1:8" hidden="1" outlineLevel="1" x14ac:dyDescent="0.25">
      <c r="A12275" s="1920">
        <v>0.05</v>
      </c>
      <c r="B12275" s="1928" t="s">
        <v>3958</v>
      </c>
      <c r="C12275" s="1902">
        <v>1333</v>
      </c>
      <c r="D12275" s="1922">
        <v>846</v>
      </c>
      <c r="E12275" s="1923">
        <v>-0.36534133533383351</v>
      </c>
      <c r="F12275" s="1924">
        <v>-0.36534133533383351</v>
      </c>
      <c r="G12275" s="1889"/>
      <c r="H12275" s="1813" t="s">
        <v>3959</v>
      </c>
    </row>
    <row r="12276" spans="1:8" hidden="1" outlineLevel="1" x14ac:dyDescent="0.25">
      <c r="A12276" s="1920">
        <v>0.04</v>
      </c>
      <c r="B12276" s="1903" t="s">
        <v>2769</v>
      </c>
      <c r="C12276" s="1902">
        <v>28.101800000000001</v>
      </c>
      <c r="D12276" s="1922">
        <v>32.17</v>
      </c>
      <c r="E12276" s="1923">
        <v>0.14476652741105545</v>
      </c>
      <c r="F12276" s="1924">
        <v>0.06</v>
      </c>
      <c r="G12276" s="1889"/>
      <c r="H12276" s="1813" t="s">
        <v>2770</v>
      </c>
    </row>
    <row r="12277" spans="1:8" hidden="1" outlineLevel="1" x14ac:dyDescent="0.25">
      <c r="A12277" s="1920">
        <v>0.05</v>
      </c>
      <c r="B12277" s="1921" t="s">
        <v>1343</v>
      </c>
      <c r="C12277" s="1902">
        <v>13.403700000000001</v>
      </c>
      <c r="D12277" s="1922">
        <v>25.105</v>
      </c>
      <c r="E12277" s="1923">
        <v>0.87299029372486703</v>
      </c>
      <c r="F12277" s="1924">
        <v>0.06</v>
      </c>
      <c r="G12277" s="1889"/>
      <c r="H12277" s="1813" t="s">
        <v>7747</v>
      </c>
    </row>
    <row r="12278" spans="1:8" hidden="1" outlineLevel="1" x14ac:dyDescent="0.25">
      <c r="A12278" s="1920">
        <v>0.03</v>
      </c>
      <c r="B12278" s="1929" t="s">
        <v>5755</v>
      </c>
      <c r="C12278" s="1902">
        <v>24.217700000000001</v>
      </c>
      <c r="D12278" s="1922">
        <v>12.95</v>
      </c>
      <c r="E12278" s="1923">
        <v>-0.46526713932371777</v>
      </c>
      <c r="F12278" s="1924">
        <v>-0.46526713932371777</v>
      </c>
      <c r="G12278" s="1889"/>
      <c r="H12278" s="1813" t="s">
        <v>8917</v>
      </c>
    </row>
    <row r="12279" spans="1:8" hidden="1" outlineLevel="1" x14ac:dyDescent="0.25">
      <c r="A12279" s="1920">
        <v>0.05</v>
      </c>
      <c r="B12279" s="1928" t="s">
        <v>1857</v>
      </c>
      <c r="C12279" s="1902">
        <v>1440.6</v>
      </c>
      <c r="D12279" s="1922">
        <v>1188.5</v>
      </c>
      <c r="E12279" s="1923">
        <v>-0.17499652922393438</v>
      </c>
      <c r="F12279" s="1924">
        <v>-0.17499652922393438</v>
      </c>
      <c r="G12279" s="1889"/>
      <c r="H12279" s="1813" t="s">
        <v>3559</v>
      </c>
    </row>
    <row r="12280" spans="1:8" hidden="1" outlineLevel="1" x14ac:dyDescent="0.25">
      <c r="A12280" s="1920">
        <v>0.08</v>
      </c>
      <c r="B12280" s="1903" t="s">
        <v>1239</v>
      </c>
      <c r="C12280" s="1902">
        <v>462.5</v>
      </c>
      <c r="D12280" s="1922">
        <v>462.1</v>
      </c>
      <c r="E12280" s="1923">
        <v>-8.6486486486481162E-4</v>
      </c>
      <c r="F12280" s="1924">
        <v>-8.6486486486481162E-4</v>
      </c>
      <c r="G12280" s="1889"/>
      <c r="H12280" s="1813" t="s">
        <v>8891</v>
      </c>
    </row>
    <row r="12281" spans="1:8" hidden="1" outlineLevel="1" x14ac:dyDescent="0.25">
      <c r="A12281" s="1920">
        <v>0.02</v>
      </c>
      <c r="B12281" s="1903" t="s">
        <v>5758</v>
      </c>
      <c r="C12281" s="1902">
        <v>56.877699999999997</v>
      </c>
      <c r="D12281" s="1922">
        <v>62.75</v>
      </c>
      <c r="E12281" s="1923">
        <v>0.10324432949996232</v>
      </c>
      <c r="F12281" s="1924">
        <v>0.06</v>
      </c>
      <c r="G12281" s="1889"/>
      <c r="H12281" s="1813" t="s">
        <v>5756</v>
      </c>
    </row>
    <row r="12282" spans="1:8" hidden="1" outlineLevel="1" x14ac:dyDescent="0.25">
      <c r="A12282" s="1920">
        <v>0.08</v>
      </c>
      <c r="B12282" s="1930" t="s">
        <v>5174</v>
      </c>
      <c r="C12282" s="1902">
        <v>282.56</v>
      </c>
      <c r="D12282" s="1922">
        <v>230.1</v>
      </c>
      <c r="E12282" s="1923">
        <v>-0.18565968289920731</v>
      </c>
      <c r="F12282" s="1924">
        <v>-0.18565968289920731</v>
      </c>
      <c r="G12282" s="1889"/>
      <c r="H12282" s="1813" t="s">
        <v>5172</v>
      </c>
    </row>
    <row r="12283" spans="1:8" hidden="1" outlineLevel="1" x14ac:dyDescent="0.25">
      <c r="A12283" s="1897" t="s">
        <v>2465</v>
      </c>
      <c r="B12283" s="1931"/>
      <c r="C12283" s="1932"/>
      <c r="D12283" s="1933"/>
      <c r="E12283" s="1934">
        <v>0.13033852385223282</v>
      </c>
      <c r="F12283" s="1897">
        <v>-8.0842651552761269E-2</v>
      </c>
      <c r="G12283" s="1889"/>
      <c r="H12283" s="1813"/>
    </row>
    <row r="12284" spans="1:8" hidden="1" outlineLevel="1" x14ac:dyDescent="0.25">
      <c r="A12284" s="1935" t="s">
        <v>2734</v>
      </c>
      <c r="B12284" s="1936"/>
      <c r="C12284" s="1936"/>
      <c r="D12284" s="1936"/>
      <c r="E12284" s="1936"/>
      <c r="F12284" s="1904"/>
      <c r="G12284" s="1889"/>
      <c r="H12284" s="1813"/>
    </row>
    <row r="12285" spans="1:8" hidden="1" outlineLevel="1" x14ac:dyDescent="0.25">
      <c r="A12285" s="1937" t="s">
        <v>113</v>
      </c>
      <c r="B12285" s="1937"/>
      <c r="C12285" s="1938"/>
      <c r="D12285" s="1938"/>
      <c r="E12285" s="1939"/>
      <c r="F12285" s="1909"/>
      <c r="G12285" s="1889"/>
      <c r="H12285" s="1813"/>
    </row>
    <row r="12286" spans="1:8" hidden="1" outlineLevel="1" x14ac:dyDescent="0.25">
      <c r="A12286" s="1810" t="s">
        <v>5778</v>
      </c>
      <c r="B12286" s="1935"/>
      <c r="C12286" s="1936"/>
      <c r="D12286" s="1936"/>
      <c r="E12286" s="1940"/>
      <c r="F12286" s="1941">
        <v>0.02</v>
      </c>
      <c r="G12286" s="1889"/>
      <c r="H12286" s="1813"/>
    </row>
    <row r="12287" spans="1:8" hidden="1" outlineLevel="1" x14ac:dyDescent="0.25">
      <c r="A12287" s="1810" t="s">
        <v>5779</v>
      </c>
      <c r="B12287" s="1925"/>
      <c r="C12287" s="1889"/>
      <c r="D12287" s="1889"/>
      <c r="E12287" s="1942"/>
      <c r="F12287" s="1924">
        <v>0</v>
      </c>
      <c r="G12287" s="1889"/>
      <c r="H12287" s="1813"/>
    </row>
    <row r="12288" spans="1:8" hidden="1" outlineLevel="1" x14ac:dyDescent="0.25">
      <c r="A12288" s="1810" t="s">
        <v>5780</v>
      </c>
      <c r="B12288" s="1925"/>
      <c r="C12288" s="1889"/>
      <c r="D12288" s="1889"/>
      <c r="E12288" s="1942"/>
      <c r="F12288" s="1924">
        <v>0</v>
      </c>
      <c r="G12288" s="1889"/>
      <c r="H12288" s="1813"/>
    </row>
    <row r="12289" spans="1:16" hidden="1" outlineLevel="1" x14ac:dyDescent="0.25">
      <c r="A12289" s="1810" t="s">
        <v>5781</v>
      </c>
      <c r="B12289" s="1925"/>
      <c r="C12289" s="1889"/>
      <c r="D12289" s="1889"/>
      <c r="E12289" s="1943">
        <v>-4.0500000000000001E-2</v>
      </c>
      <c r="F12289" s="1924">
        <v>0</v>
      </c>
      <c r="G12289" s="1889"/>
      <c r="H12289" s="1813"/>
    </row>
    <row r="12290" spans="1:16" hidden="1" outlineLevel="1" x14ac:dyDescent="0.25">
      <c r="A12290" s="1810" t="s">
        <v>5782</v>
      </c>
      <c r="B12290" s="1944"/>
      <c r="C12290" s="1945"/>
      <c r="D12290" s="1945"/>
      <c r="E12290" s="1946">
        <v>-7.1199999999999999E-2</v>
      </c>
      <c r="F12290" s="1947">
        <v>0</v>
      </c>
      <c r="G12290" s="1889"/>
      <c r="H12290" s="1813"/>
    </row>
    <row r="12291" spans="1:16" collapsed="1" x14ac:dyDescent="0.25">
      <c r="A12291" s="3803" t="s">
        <v>5777</v>
      </c>
      <c r="B12291" s="3804"/>
      <c r="C12291" s="3804"/>
      <c r="D12291" s="1938"/>
      <c r="E12291" s="1938"/>
      <c r="F12291" s="1948">
        <v>0.02</v>
      </c>
      <c r="G12291" s="1889"/>
      <c r="H12291" s="1813"/>
    </row>
    <row r="12292" spans="1:16" x14ac:dyDescent="0.25">
      <c r="A12292" t="s">
        <v>2734</v>
      </c>
      <c r="G12292" s="78"/>
    </row>
    <row r="12293" spans="1:16" hidden="1" outlineLevel="1" x14ac:dyDescent="0.25">
      <c r="A12293" s="2357" t="s">
        <v>113</v>
      </c>
      <c r="B12293" s="2357" t="s">
        <v>114</v>
      </c>
      <c r="C12293" s="2357" t="s">
        <v>112</v>
      </c>
      <c r="D12293" s="2357" t="s">
        <v>116</v>
      </c>
      <c r="E12293" s="2357" t="s">
        <v>117</v>
      </c>
      <c r="F12293" s="2358" t="s">
        <v>121</v>
      </c>
      <c r="G12293" s="78"/>
    </row>
    <row r="12294" spans="1:16" hidden="1" outlineLevel="1" x14ac:dyDescent="0.25">
      <c r="A12294" s="2359">
        <v>1</v>
      </c>
      <c r="B12294" s="2360" t="s">
        <v>252</v>
      </c>
      <c r="C12294" s="2361">
        <v>100</v>
      </c>
      <c r="D12294" s="2361"/>
      <c r="E12294" s="2362"/>
      <c r="F12294" s="2363"/>
      <c r="G12294" s="78"/>
    </row>
    <row r="12295" spans="1:16" hidden="1" outlineLevel="1" x14ac:dyDescent="0.25">
      <c r="A12295" s="2364" t="s">
        <v>2734</v>
      </c>
      <c r="B12295" s="2364"/>
      <c r="C12295" s="2365"/>
      <c r="D12295" s="1900" t="s">
        <v>3702</v>
      </c>
      <c r="E12295" s="2366">
        <v>43662</v>
      </c>
      <c r="F12295" s="2367"/>
      <c r="G12295" s="78"/>
    </row>
    <row r="12296" spans="1:16" ht="26.4" hidden="1" outlineLevel="1" x14ac:dyDescent="0.25">
      <c r="A12296" s="2357" t="s">
        <v>4156</v>
      </c>
      <c r="B12296" s="2368" t="s">
        <v>4153</v>
      </c>
      <c r="C12296" s="2369" t="s">
        <v>5271</v>
      </c>
      <c r="D12296" s="2368" t="s">
        <v>4155</v>
      </c>
      <c r="E12296" s="2357" t="s">
        <v>4154</v>
      </c>
      <c r="F12296" s="2370" t="s">
        <v>2519</v>
      </c>
      <c r="G12296" s="78"/>
    </row>
    <row r="12297" spans="1:16" hidden="1" outlineLevel="1" x14ac:dyDescent="0.25">
      <c r="A12297" s="1991">
        <v>0.06</v>
      </c>
      <c r="B12297" s="1992" t="s">
        <v>3998</v>
      </c>
      <c r="C12297" s="1993">
        <v>34.213999999999999</v>
      </c>
      <c r="D12297" s="2371">
        <v>33.58</v>
      </c>
      <c r="E12297" s="2372">
        <v>-1.8530426141345702E-2</v>
      </c>
      <c r="F12297" s="2370">
        <v>-1.111825568480742E-3</v>
      </c>
      <c r="G12297" s="78"/>
      <c r="H12297" s="417" t="s">
        <v>4000</v>
      </c>
      <c r="J12297" t="s">
        <v>2040</v>
      </c>
      <c r="K12297" t="s">
        <v>9010</v>
      </c>
      <c r="O12297" s="434"/>
      <c r="P12297" s="434"/>
    </row>
    <row r="12298" spans="1:16" hidden="1" outlineLevel="1" x14ac:dyDescent="0.25">
      <c r="A12298" s="1997">
        <v>0.02</v>
      </c>
      <c r="B12298" s="1921" t="s">
        <v>872</v>
      </c>
      <c r="C12298" s="1998">
        <v>427.42</v>
      </c>
      <c r="D12298" s="2373">
        <v>516.79999999999995</v>
      </c>
      <c r="E12298" s="2374">
        <v>0.20911515605259456</v>
      </c>
      <c r="F12298" s="2375">
        <v>4.1823031210518917E-3</v>
      </c>
      <c r="G12298" s="78"/>
      <c r="H12298" s="417" t="s">
        <v>4312</v>
      </c>
      <c r="J12298" s="256">
        <v>43132</v>
      </c>
      <c r="K12298">
        <v>115.13460000000001</v>
      </c>
      <c r="L12298" s="37">
        <v>0.15134599999999998</v>
      </c>
      <c r="O12298" s="434"/>
      <c r="P12298" s="434"/>
    </row>
    <row r="12299" spans="1:16" hidden="1" outlineLevel="1" x14ac:dyDescent="0.25">
      <c r="A12299" s="1997">
        <v>0.06</v>
      </c>
      <c r="B12299" s="1926" t="s">
        <v>805</v>
      </c>
      <c r="C12299" s="1998">
        <v>69.495999999999995</v>
      </c>
      <c r="D12299" s="2373">
        <v>99.43</v>
      </c>
      <c r="E12299" s="2374">
        <v>0.43072982617704625</v>
      </c>
      <c r="F12299" s="2375">
        <v>2.5843789570622774E-2</v>
      </c>
      <c r="G12299" s="78"/>
      <c r="H12299" s="417" t="s">
        <v>806</v>
      </c>
      <c r="J12299" s="256">
        <v>43160</v>
      </c>
      <c r="K12299">
        <v>114.9361</v>
      </c>
      <c r="L12299" s="37">
        <v>0.14936099999999985</v>
      </c>
      <c r="O12299" s="434"/>
      <c r="P12299" s="434"/>
    </row>
    <row r="12300" spans="1:16" hidden="1" outlineLevel="1" x14ac:dyDescent="0.25">
      <c r="A12300" s="1997">
        <v>0.05</v>
      </c>
      <c r="B12300" s="2099" t="s">
        <v>4377</v>
      </c>
      <c r="C12300" s="1998">
        <v>51.345999999999997</v>
      </c>
      <c r="D12300" s="2373">
        <v>44.45</v>
      </c>
      <c r="E12300" s="2374">
        <v>-0.13430452226074074</v>
      </c>
      <c r="F12300" s="2375">
        <v>-6.7152261130370376E-3</v>
      </c>
      <c r="G12300" s="78"/>
      <c r="H12300" s="417" t="s">
        <v>4327</v>
      </c>
      <c r="J12300" s="256">
        <v>43191</v>
      </c>
      <c r="K12300">
        <v>117.229</v>
      </c>
      <c r="L12300" s="37">
        <v>0.17229000000000005</v>
      </c>
      <c r="O12300" s="434"/>
      <c r="P12300" s="434"/>
    </row>
    <row r="12301" spans="1:16" hidden="1" outlineLevel="1" x14ac:dyDescent="0.25">
      <c r="A12301" s="1997">
        <v>0.02</v>
      </c>
      <c r="B12301" s="1921" t="s">
        <v>901</v>
      </c>
      <c r="C12301" s="1998">
        <v>3165.6</v>
      </c>
      <c r="D12301" s="2373">
        <v>2951.5</v>
      </c>
      <c r="E12301" s="2374">
        <v>-6.76333080616629E-2</v>
      </c>
      <c r="F12301" s="2375">
        <v>-1.3526661612332581E-3</v>
      </c>
      <c r="G12301" s="78"/>
      <c r="H12301" s="417" t="s">
        <v>531</v>
      </c>
      <c r="J12301" s="256">
        <v>43221</v>
      </c>
      <c r="K12301">
        <v>116.26130000000001</v>
      </c>
      <c r="L12301" s="37">
        <v>0.16261300000000012</v>
      </c>
      <c r="O12301" s="434"/>
      <c r="P12301" s="434"/>
    </row>
    <row r="12302" spans="1:16" hidden="1" outlineLevel="1" x14ac:dyDescent="0.25">
      <c r="A12302" s="1997">
        <v>0.05</v>
      </c>
      <c r="B12302" s="1921" t="s">
        <v>939</v>
      </c>
      <c r="C12302" s="1998">
        <v>69.686999999999998</v>
      </c>
      <c r="D12302" s="2373">
        <v>59.75</v>
      </c>
      <c r="E12302" s="2374">
        <v>-0.14259474507440406</v>
      </c>
      <c r="F12302" s="2375">
        <v>-7.1297372537202034E-3</v>
      </c>
      <c r="G12302" s="78"/>
      <c r="H12302" s="417" t="s">
        <v>2791</v>
      </c>
      <c r="J12302" s="256">
        <v>43252</v>
      </c>
      <c r="K12302">
        <v>117.03660000000001</v>
      </c>
      <c r="L12302" s="37">
        <v>0.17036600000000002</v>
      </c>
      <c r="O12302" s="434"/>
      <c r="P12302" s="434"/>
    </row>
    <row r="12303" spans="1:16" hidden="1" outlineLevel="1" x14ac:dyDescent="0.25">
      <c r="A12303" s="1997">
        <v>0.02</v>
      </c>
      <c r="B12303" s="2376" t="s">
        <v>2699</v>
      </c>
      <c r="C12303" s="1998">
        <v>25.049499999999998</v>
      </c>
      <c r="D12303" s="2373">
        <v>29.54</v>
      </c>
      <c r="E12303" s="2374">
        <v>0.17926505519072244</v>
      </c>
      <c r="F12303" s="2375">
        <v>3.5853011038144492E-3</v>
      </c>
      <c r="G12303" s="78"/>
      <c r="H12303" s="417" t="s">
        <v>505</v>
      </c>
      <c r="J12303" s="256">
        <v>43282</v>
      </c>
      <c r="K12303">
        <v>120.2277</v>
      </c>
      <c r="L12303" s="37">
        <v>0.20227700000000004</v>
      </c>
      <c r="O12303" s="434"/>
      <c r="P12303" s="434"/>
    </row>
    <row r="12304" spans="1:16" hidden="1" outlineLevel="1" x14ac:dyDescent="0.25">
      <c r="A12304" s="1997">
        <v>0.02</v>
      </c>
      <c r="B12304" s="2376" t="s">
        <v>2629</v>
      </c>
      <c r="C12304" s="1998">
        <v>11.6655</v>
      </c>
      <c r="D12304" s="2373">
        <v>15</v>
      </c>
      <c r="E12304" s="2374">
        <v>0.28584287000128583</v>
      </c>
      <c r="F12304" s="2375">
        <v>5.7168574000257171E-3</v>
      </c>
      <c r="G12304" s="78"/>
      <c r="H12304" s="417" t="s">
        <v>1652</v>
      </c>
      <c r="J12304" s="256">
        <v>43313</v>
      </c>
      <c r="K12304">
        <v>118.806</v>
      </c>
      <c r="L12304" s="37">
        <v>0.18805999999999989</v>
      </c>
      <c r="O12304" s="434"/>
      <c r="P12304" s="434"/>
    </row>
    <row r="12305" spans="1:16" hidden="1" outlineLevel="1" x14ac:dyDescent="0.25">
      <c r="A12305" s="1997">
        <v>0.04</v>
      </c>
      <c r="B12305" s="1921" t="s">
        <v>3799</v>
      </c>
      <c r="C12305" s="1998">
        <v>1555.3183019445696</v>
      </c>
      <c r="D12305" s="2373">
        <v>1665</v>
      </c>
      <c r="E12305" s="2374">
        <v>7.0520418822499931E-2</v>
      </c>
      <c r="F12305" s="2375">
        <v>2.8208167528999974E-3</v>
      </c>
      <c r="G12305" s="78"/>
      <c r="H12305" s="417" t="s">
        <v>4128</v>
      </c>
      <c r="J12305" s="256">
        <v>43344</v>
      </c>
      <c r="K12305">
        <v>120.1455</v>
      </c>
      <c r="L12305" s="37">
        <v>0.20145499999999994</v>
      </c>
      <c r="O12305" s="434"/>
      <c r="P12305" s="434"/>
    </row>
    <row r="12306" spans="1:16" hidden="1" outlineLevel="1" x14ac:dyDescent="0.25">
      <c r="A12306" s="1997">
        <v>0.02</v>
      </c>
      <c r="B12306" s="1921" t="s">
        <v>1771</v>
      </c>
      <c r="C12306" s="1998">
        <v>650.9</v>
      </c>
      <c r="D12306" s="2373">
        <v>670.5</v>
      </c>
      <c r="E12306" s="2374">
        <v>3.0112152404363268E-2</v>
      </c>
      <c r="F12306" s="2375">
        <v>6.0224304808726543E-4</v>
      </c>
      <c r="G12306" s="78"/>
      <c r="H12306" s="417" t="s">
        <v>4329</v>
      </c>
      <c r="J12306" s="256">
        <v>43374</v>
      </c>
      <c r="K12306">
        <v>116.2927</v>
      </c>
      <c r="L12306" s="37">
        <v>0.16292700000000004</v>
      </c>
      <c r="O12306" s="434"/>
      <c r="P12306" s="434"/>
    </row>
    <row r="12307" spans="1:16" hidden="1" outlineLevel="1" x14ac:dyDescent="0.25">
      <c r="A12307" s="1997">
        <v>0.02</v>
      </c>
      <c r="B12307" s="1921" t="s">
        <v>1343</v>
      </c>
      <c r="C12307" s="1998">
        <v>2261.8000000000002</v>
      </c>
      <c r="D12307" s="2373">
        <v>2051</v>
      </c>
      <c r="E12307" s="2374">
        <v>-9.3200106110177816E-2</v>
      </c>
      <c r="F12307" s="2375">
        <v>-1.8640021222035563E-3</v>
      </c>
      <c r="G12307" s="78"/>
      <c r="H12307" s="417" t="s">
        <v>7747</v>
      </c>
      <c r="J12307" s="256">
        <v>43405</v>
      </c>
      <c r="K12307">
        <v>116.2289</v>
      </c>
      <c r="L12307" s="37">
        <v>0.16228899999999991</v>
      </c>
      <c r="O12307" s="434"/>
      <c r="P12307" s="434"/>
    </row>
    <row r="12308" spans="1:16" hidden="1" outlineLevel="1" x14ac:dyDescent="0.25">
      <c r="A12308" s="1997">
        <v>0.02</v>
      </c>
      <c r="B12308" s="1921" t="s">
        <v>2920</v>
      </c>
      <c r="C12308" s="1998">
        <v>24.713000000000001</v>
      </c>
      <c r="D12308" s="2373">
        <v>49.17</v>
      </c>
      <c r="E12308" s="2374">
        <v>0.98964107959373604</v>
      </c>
      <c r="F12308" s="2375">
        <v>1.9792821591874721E-2</v>
      </c>
      <c r="G12308" s="78"/>
      <c r="H12308" s="417" t="s">
        <v>6731</v>
      </c>
      <c r="J12308" s="256">
        <v>43435</v>
      </c>
      <c r="K12308">
        <v>109.1459</v>
      </c>
      <c r="L12308" s="37">
        <v>9.1458999999999957E-2</v>
      </c>
      <c r="O12308" s="434"/>
      <c r="P12308" s="434"/>
    </row>
    <row r="12309" spans="1:16" hidden="1" outlineLevel="1" x14ac:dyDescent="0.25">
      <c r="A12309" s="1997">
        <v>0.02</v>
      </c>
      <c r="B12309" s="1921" t="s">
        <v>1905</v>
      </c>
      <c r="C12309" s="1998">
        <v>48.771000000000001</v>
      </c>
      <c r="D12309" s="2373">
        <v>81.59</v>
      </c>
      <c r="E12309" s="2374">
        <v>0.6729203830144963</v>
      </c>
      <c r="F12309" s="2375">
        <v>1.3458407660289926E-2</v>
      </c>
      <c r="G12309" s="78"/>
      <c r="H12309" s="417" t="s">
        <v>504</v>
      </c>
      <c r="J12309" s="256">
        <v>43466</v>
      </c>
      <c r="K12309">
        <v>113.35380000000001</v>
      </c>
      <c r="L12309" s="37">
        <v>0.13353800000000016</v>
      </c>
      <c r="O12309" s="434"/>
      <c r="P12309" s="434"/>
    </row>
    <row r="12310" spans="1:16" hidden="1" outlineLevel="1" x14ac:dyDescent="0.25">
      <c r="A12310" s="1997">
        <v>0.02</v>
      </c>
      <c r="B12310" s="1921" t="s">
        <v>1772</v>
      </c>
      <c r="C12310" s="1998">
        <v>156.565</v>
      </c>
      <c r="D12310" s="2373">
        <v>223.5</v>
      </c>
      <c r="E12310" s="2374">
        <v>0.42752211541532281</v>
      </c>
      <c r="F12310" s="2375">
        <v>8.5504423083064569E-3</v>
      </c>
      <c r="G12310" s="78"/>
      <c r="H12310" s="417" t="s">
        <v>4330</v>
      </c>
      <c r="J12310" s="256">
        <v>43497</v>
      </c>
      <c r="K12310">
        <v>117.5277</v>
      </c>
      <c r="L12310" s="37">
        <v>0.17527699999999991</v>
      </c>
      <c r="O12310" s="434"/>
      <c r="P12310" s="434"/>
    </row>
    <row r="12311" spans="1:16" hidden="1" outlineLevel="1" x14ac:dyDescent="0.25">
      <c r="A12311" s="1997">
        <v>7.0000000000000007E-2</v>
      </c>
      <c r="B12311" s="1921" t="s">
        <v>2786</v>
      </c>
      <c r="C12311" s="1998">
        <v>762.31936797245123</v>
      </c>
      <c r="D12311" s="2373">
        <v>830</v>
      </c>
      <c r="E12311" s="2374">
        <v>8.8782516712857085E-2</v>
      </c>
      <c r="F12311" s="2375">
        <v>6.2147761698999968E-3</v>
      </c>
      <c r="G12311" s="78"/>
      <c r="H12311" s="417" t="s">
        <v>4195</v>
      </c>
      <c r="J12311" s="256">
        <v>43525</v>
      </c>
      <c r="K12311">
        <v>119.0181</v>
      </c>
      <c r="L12311" s="37">
        <v>0.19018099999999993</v>
      </c>
      <c r="O12311" s="434"/>
      <c r="P12311" s="434"/>
    </row>
    <row r="12312" spans="1:16" hidden="1" outlineLevel="1" x14ac:dyDescent="0.25">
      <c r="A12312" s="1997">
        <v>0.02</v>
      </c>
      <c r="B12312" s="1921" t="s">
        <v>1040</v>
      </c>
      <c r="C12312" s="1998">
        <v>2678.5</v>
      </c>
      <c r="D12312" s="2373">
        <v>5148</v>
      </c>
      <c r="E12312" s="2374">
        <v>0.92197125256673518</v>
      </c>
      <c r="F12312" s="2375">
        <v>1.8439425051334703E-2</v>
      </c>
      <c r="G12312" s="78"/>
      <c r="H12312" s="417" t="s">
        <v>5543</v>
      </c>
      <c r="J12312" s="256">
        <v>43556</v>
      </c>
      <c r="K12312">
        <v>118.5338</v>
      </c>
      <c r="L12312" s="37">
        <v>0.185338</v>
      </c>
      <c r="O12312" s="434"/>
      <c r="P12312" s="434"/>
    </row>
    <row r="12313" spans="1:16" hidden="1" outlineLevel="1" x14ac:dyDescent="0.25">
      <c r="A12313" s="1997">
        <v>7.0000000000000007E-2</v>
      </c>
      <c r="B12313" s="1921" t="s">
        <v>2787</v>
      </c>
      <c r="C12313" s="1998">
        <v>60.665253348259419</v>
      </c>
      <c r="D12313" s="2373">
        <v>88.03</v>
      </c>
      <c r="E12313" s="2374">
        <v>0.45107776101499986</v>
      </c>
      <c r="F12313" s="2375">
        <v>3.157544327104999E-2</v>
      </c>
      <c r="G12313" s="78"/>
      <c r="H12313" s="417" t="s">
        <v>8874</v>
      </c>
      <c r="J12313" s="256">
        <v>43586</v>
      </c>
      <c r="K12313">
        <v>114.6802</v>
      </c>
      <c r="L12313" s="37">
        <v>0.1468020000000001</v>
      </c>
      <c r="O12313" s="434"/>
      <c r="P12313" s="434"/>
    </row>
    <row r="12314" spans="1:16" hidden="1" outlineLevel="1" x14ac:dyDescent="0.25">
      <c r="A12314" s="1997">
        <v>0.02</v>
      </c>
      <c r="B12314" s="1921" t="s">
        <v>4273</v>
      </c>
      <c r="C12314" s="1998">
        <v>1654.3</v>
      </c>
      <c r="D12314" s="2373">
        <v>2588.5</v>
      </c>
      <c r="E12314" s="2374">
        <v>0.56471014930786434</v>
      </c>
      <c r="F12314" s="2375">
        <v>1.1294202986157287E-2</v>
      </c>
      <c r="G12314" s="78"/>
      <c r="H12314" s="417" t="s">
        <v>82</v>
      </c>
      <c r="J12314" s="256">
        <v>43617</v>
      </c>
      <c r="K12314">
        <v>119.01309999999999</v>
      </c>
      <c r="L12314" s="37">
        <v>0.19013100000000005</v>
      </c>
      <c r="O12314" s="434"/>
      <c r="P12314" s="434"/>
    </row>
    <row r="12315" spans="1:16" hidden="1" outlineLevel="1" x14ac:dyDescent="0.25">
      <c r="A12315" s="1997">
        <v>0.02</v>
      </c>
      <c r="B12315" s="1929" t="s">
        <v>3793</v>
      </c>
      <c r="C12315" s="1998">
        <v>85.480999999999995</v>
      </c>
      <c r="D12315" s="2373">
        <v>81.58</v>
      </c>
      <c r="E12315" s="2374">
        <v>-4.5635872299107372E-2</v>
      </c>
      <c r="F12315" s="2375">
        <v>-9.1271744598214744E-4</v>
      </c>
      <c r="G12315" s="78"/>
      <c r="H12315" s="417" t="s">
        <v>3533</v>
      </c>
      <c r="J12315" s="256">
        <v>43647</v>
      </c>
      <c r="K12315">
        <v>120.6169</v>
      </c>
      <c r="L12315" s="37">
        <v>0.20616900000000005</v>
      </c>
      <c r="O12315" s="434"/>
      <c r="P12315" s="434"/>
    </row>
    <row r="12316" spans="1:16" hidden="1" outlineLevel="1" x14ac:dyDescent="0.25">
      <c r="A12316" s="1997">
        <v>0.02</v>
      </c>
      <c r="B12316" s="1921" t="s">
        <v>3800</v>
      </c>
      <c r="C12316" s="1998">
        <v>238.49</v>
      </c>
      <c r="D12316" s="2373">
        <v>266.05</v>
      </c>
      <c r="E12316" s="2374">
        <v>0.11556040085538188</v>
      </c>
      <c r="F12316" s="2375">
        <v>2.3112080171076377E-3</v>
      </c>
      <c r="G12316" s="78"/>
      <c r="H12316" s="417" t="s">
        <v>8876</v>
      </c>
      <c r="J12316" s="412" t="s">
        <v>2465</v>
      </c>
      <c r="L12316" s="261">
        <v>0.16899327777777776</v>
      </c>
      <c r="O12316" s="434"/>
      <c r="P12316" s="434"/>
    </row>
    <row r="12317" spans="1:16" hidden="1" outlineLevel="1" x14ac:dyDescent="0.25">
      <c r="A12317" s="1997">
        <v>0.05</v>
      </c>
      <c r="B12317" s="2099" t="s">
        <v>5205</v>
      </c>
      <c r="C12317" s="1998">
        <v>2075.35</v>
      </c>
      <c r="D12317" s="2373">
        <v>2593</v>
      </c>
      <c r="E12317" s="2374">
        <v>0.24942780735779513</v>
      </c>
      <c r="F12317" s="2375">
        <v>1.2471390367889757E-2</v>
      </c>
      <c r="G12317" s="78"/>
      <c r="H12317" s="417" t="s">
        <v>5199</v>
      </c>
      <c r="O12317" s="434"/>
      <c r="P12317" s="434"/>
    </row>
    <row r="12318" spans="1:16" hidden="1" outlineLevel="1" x14ac:dyDescent="0.25">
      <c r="A12318" s="1997">
        <v>0.02</v>
      </c>
      <c r="B12318" s="1921" t="s">
        <v>1214</v>
      </c>
      <c r="C12318" s="1998">
        <v>94.765000000000001</v>
      </c>
      <c r="D12318" s="2373">
        <v>100.34</v>
      </c>
      <c r="E12318" s="2374">
        <v>5.8829736717142422E-2</v>
      </c>
      <c r="F12318" s="2375">
        <v>1.1765947343428485E-3</v>
      </c>
      <c r="G12318" s="78"/>
      <c r="H12318" s="417" t="s">
        <v>3775</v>
      </c>
      <c r="O12318" s="434"/>
      <c r="P12318" s="434"/>
    </row>
    <row r="12319" spans="1:16" hidden="1" outlineLevel="1" x14ac:dyDescent="0.25">
      <c r="A12319" s="1997">
        <v>0.06</v>
      </c>
      <c r="B12319" s="1921" t="s">
        <v>1857</v>
      </c>
      <c r="C12319" s="1998">
        <v>1330.4</v>
      </c>
      <c r="D12319" s="2373">
        <v>1151.5</v>
      </c>
      <c r="E12319" s="2374">
        <v>-0.13447083583884556</v>
      </c>
      <c r="F12319" s="2375">
        <v>-8.068250150330733E-3</v>
      </c>
      <c r="G12319" s="78"/>
      <c r="H12319" s="417" t="s">
        <v>3559</v>
      </c>
      <c r="O12319" s="434"/>
      <c r="P12319" s="434"/>
    </row>
    <row r="12320" spans="1:16" hidden="1" outlineLevel="1" x14ac:dyDescent="0.25">
      <c r="A12320" s="1997">
        <v>0.02</v>
      </c>
      <c r="B12320" s="1921" t="s">
        <v>5249</v>
      </c>
      <c r="C12320" s="1998">
        <v>4.8537832347338599</v>
      </c>
      <c r="D12320" s="2373">
        <v>3.74</v>
      </c>
      <c r="E12320" s="2374">
        <v>-0.22946703238900001</v>
      </c>
      <c r="F12320" s="2375">
        <v>-4.5893406477800006E-3</v>
      </c>
      <c r="G12320" s="78"/>
      <c r="H12320" s="417" t="s">
        <v>5247</v>
      </c>
      <c r="O12320" s="434"/>
      <c r="P12320" s="434"/>
    </row>
    <row r="12321" spans="1:26" hidden="1" outlineLevel="1" x14ac:dyDescent="0.25">
      <c r="A12321" s="1997">
        <v>0.02</v>
      </c>
      <c r="B12321" s="1921" t="s">
        <v>1183</v>
      </c>
      <c r="C12321" s="1998">
        <v>42.3155</v>
      </c>
      <c r="D12321" s="2373">
        <v>49.965000000000003</v>
      </c>
      <c r="E12321" s="2374">
        <v>0.18077300280039243</v>
      </c>
      <c r="F12321" s="2375">
        <v>3.6154600560078486E-3</v>
      </c>
      <c r="G12321" s="78"/>
      <c r="H12321" s="417" t="s">
        <v>2805</v>
      </c>
      <c r="O12321" s="434"/>
      <c r="P12321" s="434"/>
    </row>
    <row r="12322" spans="1:26" hidden="1" outlineLevel="1" x14ac:dyDescent="0.25">
      <c r="A12322" s="1997">
        <v>0.05</v>
      </c>
      <c r="B12322" s="1921" t="s">
        <v>255</v>
      </c>
      <c r="C12322" s="1998">
        <v>48.527999999999999</v>
      </c>
      <c r="D12322" s="2373">
        <v>57.41</v>
      </c>
      <c r="E12322" s="2374">
        <v>0.18302835476425972</v>
      </c>
      <c r="F12322" s="2375">
        <v>9.1514177382129858E-3</v>
      </c>
      <c r="G12322" s="78"/>
      <c r="H12322" s="417" t="s">
        <v>3351</v>
      </c>
      <c r="O12322" s="434"/>
      <c r="P12322" s="434"/>
    </row>
    <row r="12323" spans="1:26" hidden="1" outlineLevel="1" x14ac:dyDescent="0.25">
      <c r="A12323" s="1997">
        <v>0.02</v>
      </c>
      <c r="B12323" s="1921" t="s">
        <v>719</v>
      </c>
      <c r="C12323" s="1998">
        <v>44.973026314385542</v>
      </c>
      <c r="D12323" s="2373">
        <v>94.3</v>
      </c>
      <c r="E12323" s="2374">
        <v>1.0968124168650002</v>
      </c>
      <c r="F12323" s="2375">
        <v>2.1936248337300006E-2</v>
      </c>
      <c r="G12323" s="78"/>
      <c r="H12323" s="417" t="s">
        <v>1697</v>
      </c>
      <c r="O12323" s="434"/>
      <c r="P12323" s="434"/>
    </row>
    <row r="12324" spans="1:26" hidden="1" outlineLevel="1" x14ac:dyDescent="0.25">
      <c r="A12324" s="1997">
        <v>0.02</v>
      </c>
      <c r="B12324" s="1921" t="s">
        <v>5522</v>
      </c>
      <c r="C12324" s="1998">
        <v>28.543777561675373</v>
      </c>
      <c r="D12324" s="2373">
        <v>46.62</v>
      </c>
      <c r="E12324" s="2374">
        <v>0.63328066508600012</v>
      </c>
      <c r="F12324" s="2375">
        <v>1.2665613301720002E-2</v>
      </c>
      <c r="G12324" s="78"/>
      <c r="H12324" s="417" t="s">
        <v>5520</v>
      </c>
      <c r="J12324" s="31"/>
      <c r="O12324" s="434"/>
      <c r="P12324" s="434"/>
    </row>
    <row r="12325" spans="1:26" hidden="1" outlineLevel="1" x14ac:dyDescent="0.25">
      <c r="A12325" s="1997">
        <v>0.02</v>
      </c>
      <c r="B12325" s="2099" t="s">
        <v>5537</v>
      </c>
      <c r="C12325" s="1998">
        <v>32.687623703553889</v>
      </c>
      <c r="D12325" s="2373">
        <v>34.06</v>
      </c>
      <c r="E12325" s="2374">
        <v>4.1984584406999925E-2</v>
      </c>
      <c r="F12325" s="2375">
        <v>8.3969168813999848E-4</v>
      </c>
      <c r="G12325" s="78"/>
      <c r="H12325" s="417" t="s">
        <v>5535</v>
      </c>
      <c r="O12325" s="434"/>
      <c r="P12325" s="434"/>
    </row>
    <row r="12326" spans="1:26" hidden="1" outlineLevel="1" x14ac:dyDescent="0.25">
      <c r="A12326" s="2004">
        <v>0.06</v>
      </c>
      <c r="B12326" s="2109" t="s">
        <v>4550</v>
      </c>
      <c r="C12326" s="2005">
        <v>246.77</v>
      </c>
      <c r="D12326" s="2377">
        <v>343.6</v>
      </c>
      <c r="E12326" s="2378">
        <v>0.39238967459577756</v>
      </c>
      <c r="F12326" s="2379">
        <v>2.3543380475746653E-2</v>
      </c>
      <c r="G12326" s="78"/>
      <c r="H12326" s="417" t="s">
        <v>8889</v>
      </c>
      <c r="O12326" s="434"/>
      <c r="P12326" s="434"/>
    </row>
    <row r="12327" spans="1:26" hidden="1" outlineLevel="1" x14ac:dyDescent="0.25">
      <c r="A12327" s="2380" t="s">
        <v>2734</v>
      </c>
      <c r="B12327" s="2381"/>
      <c r="C12327" s="2179"/>
      <c r="D12327" s="2382"/>
      <c r="E12327" s="2374" t="s">
        <v>4577</v>
      </c>
      <c r="F12327" s="2383">
        <v>0.20804406928911523</v>
      </c>
      <c r="G12327" s="78"/>
      <c r="H12327" s="432"/>
    </row>
    <row r="12328" spans="1:26" collapsed="1" x14ac:dyDescent="0.25">
      <c r="A12328" s="3801" t="s">
        <v>5818</v>
      </c>
      <c r="B12328" s="3802"/>
      <c r="C12328" s="3802"/>
      <c r="D12328" s="3802"/>
      <c r="E12328" s="1906"/>
      <c r="F12328" s="1907">
        <v>0.10139596666666666</v>
      </c>
      <c r="G12328" s="78"/>
    </row>
    <row r="12329" spans="1:26" x14ac:dyDescent="0.25">
      <c r="A12329" t="s">
        <v>2734</v>
      </c>
      <c r="G12329" s="78"/>
    </row>
    <row r="12330" spans="1:26" hidden="1" outlineLevel="1" x14ac:dyDescent="0.25">
      <c r="A12330" s="689" t="s">
        <v>113</v>
      </c>
      <c r="B12330" s="689" t="s">
        <v>114</v>
      </c>
      <c r="C12330" s="495" t="s">
        <v>112</v>
      </c>
      <c r="D12330" s="495" t="s">
        <v>4155</v>
      </c>
      <c r="E12330" s="495" t="s">
        <v>116</v>
      </c>
      <c r="F12330" s="1188" t="s">
        <v>121</v>
      </c>
      <c r="G12330" s="78"/>
    </row>
    <row r="12331" spans="1:26" hidden="1" outlineLevel="1" x14ac:dyDescent="0.25">
      <c r="A12331" s="753" t="s">
        <v>1327</v>
      </c>
      <c r="B12331" s="799" t="s">
        <v>2153</v>
      </c>
      <c r="C12331" s="3890">
        <v>2969.7179999999998</v>
      </c>
      <c r="D12331" s="3808">
        <f>VLOOKUP(B12331,indexy!A:D,2,0)</f>
        <v>5083.42</v>
      </c>
      <c r="E12331" s="1145">
        <v>3066.47</v>
      </c>
      <c r="F12331" s="700">
        <f>IF(E12331="",D12331/C12331-1,E12331/C12331-1)</f>
        <v>3.2579524385817127E-2</v>
      </c>
      <c r="G12331" s="78"/>
      <c r="I12331" s="473">
        <v>43101</v>
      </c>
      <c r="J12331" s="473">
        <v>43132</v>
      </c>
      <c r="K12331" s="473">
        <v>43160</v>
      </c>
      <c r="L12331" s="473">
        <v>43191</v>
      </c>
      <c r="M12331" s="473">
        <v>43221</v>
      </c>
      <c r="N12331" s="473">
        <v>43252</v>
      </c>
      <c r="O12331" s="473">
        <v>43282</v>
      </c>
      <c r="P12331" s="473">
        <v>43313</v>
      </c>
      <c r="Q12331" s="473">
        <v>43344</v>
      </c>
      <c r="R12331" s="473">
        <v>43374</v>
      </c>
      <c r="S12331" s="473">
        <v>43405</v>
      </c>
      <c r="T12331" s="473">
        <v>43435</v>
      </c>
      <c r="U12331" s="473">
        <v>43466</v>
      </c>
      <c r="V12331" s="473">
        <v>43497</v>
      </c>
      <c r="W12331" s="473">
        <v>43525</v>
      </c>
      <c r="X12331" s="473">
        <v>43556</v>
      </c>
      <c r="Y12331" s="473">
        <v>43586</v>
      </c>
      <c r="Z12331" s="473">
        <v>43617</v>
      </c>
    </row>
    <row r="12332" spans="1:26" hidden="1" outlineLevel="1" x14ac:dyDescent="0.25">
      <c r="A12332" s="732" t="s">
        <v>2734</v>
      </c>
      <c r="B12332" s="852"/>
      <c r="C12332" s="3891"/>
      <c r="D12332" s="3891"/>
      <c r="E12332" s="1263"/>
      <c r="F12332" s="497"/>
      <c r="G12332" s="78"/>
      <c r="H12332" s="474" t="s">
        <v>631</v>
      </c>
      <c r="I12332" s="417"/>
      <c r="J12332" s="417"/>
      <c r="K12332" s="417"/>
      <c r="L12332" s="417"/>
      <c r="M12332" s="417"/>
      <c r="N12332" s="417"/>
      <c r="O12332" s="417"/>
      <c r="P12332" s="417"/>
      <c r="Q12332" s="417"/>
      <c r="R12332" s="417"/>
      <c r="S12332" s="417"/>
      <c r="T12332" s="417"/>
      <c r="U12332" s="417"/>
      <c r="V12332" s="417"/>
      <c r="W12332" s="417"/>
      <c r="X12332" s="417"/>
      <c r="Y12332" s="417"/>
      <c r="Z12332" s="417"/>
    </row>
    <row r="12333" spans="1:26" hidden="1" outlineLevel="1" x14ac:dyDescent="0.25">
      <c r="A12333" s="732" t="s">
        <v>1328</v>
      </c>
      <c r="B12333" s="852"/>
      <c r="C12333" s="3891"/>
      <c r="D12333" s="3809"/>
      <c r="E12333" s="807"/>
      <c r="F12333" s="700" t="str">
        <f>IF(H12333="","",IF(H12333&gt;80%,80%,IF(H12333&gt;0%,H12333,IF(H12333&lt;-20%,H12333,0%))))</f>
        <v/>
      </c>
      <c r="G12333" s="78"/>
      <c r="H12333" s="278" t="str">
        <f>IF(I12333="","",AVERAGE(I12333:Z12333))</f>
        <v/>
      </c>
      <c r="I12333" s="72" t="str">
        <f>IF(I12332="","",I12332/$C$12331-1)</f>
        <v/>
      </c>
      <c r="J12333" s="72" t="str">
        <f>IF(J12332="","",J12332/$C$12331-1)</f>
        <v/>
      </c>
      <c r="K12333" s="72" t="str">
        <f>IF(K12332="","",K12332/$C$12331-1)</f>
        <v/>
      </c>
      <c r="L12333" s="72" t="str">
        <f>IF(L12332="","",L12332/$C$12331-1)</f>
        <v/>
      </c>
      <c r="M12333" s="72" t="str">
        <f t="shared" ref="M12333:Z12333" si="223">IF(M12332="","",M12332/$C$12331-1)</f>
        <v/>
      </c>
      <c r="N12333" s="72" t="str">
        <f t="shared" si="223"/>
        <v/>
      </c>
      <c r="O12333" s="72" t="str">
        <f t="shared" si="223"/>
        <v/>
      </c>
      <c r="P12333" s="72" t="str">
        <f t="shared" si="223"/>
        <v/>
      </c>
      <c r="Q12333" s="72" t="str">
        <f t="shared" si="223"/>
        <v/>
      </c>
      <c r="R12333" s="72" t="str">
        <f t="shared" si="223"/>
        <v/>
      </c>
      <c r="S12333" s="72" t="str">
        <f t="shared" si="223"/>
        <v/>
      </c>
      <c r="T12333" s="72" t="str">
        <f t="shared" si="223"/>
        <v/>
      </c>
      <c r="U12333" s="72" t="str">
        <f t="shared" si="223"/>
        <v/>
      </c>
      <c r="V12333" s="72" t="str">
        <f t="shared" si="223"/>
        <v/>
      </c>
      <c r="W12333" s="72" t="str">
        <f t="shared" si="223"/>
        <v/>
      </c>
      <c r="X12333" s="72" t="str">
        <f t="shared" si="223"/>
        <v/>
      </c>
      <c r="Y12333" s="72" t="str">
        <f t="shared" si="223"/>
        <v/>
      </c>
      <c r="Z12333" s="72" t="str">
        <f t="shared" si="223"/>
        <v/>
      </c>
    </row>
    <row r="12334" spans="1:26" collapsed="1" x14ac:dyDescent="0.25">
      <c r="A12334" s="3801" t="s">
        <v>5822</v>
      </c>
      <c r="B12334" s="3802"/>
      <c r="C12334" s="3802"/>
      <c r="D12334" s="3802"/>
      <c r="E12334" s="729"/>
      <c r="F12334" s="752">
        <f>IF(H12333="",IF(F12331&gt;0%,9%,F12331),F12333)</f>
        <v>0.09</v>
      </c>
      <c r="G12334" s="175" t="s">
        <v>781</v>
      </c>
    </row>
    <row r="12335" spans="1:26" x14ac:dyDescent="0.25">
      <c r="A12335" t="s">
        <v>2734</v>
      </c>
    </row>
    <row r="12336" spans="1:26" hidden="1" outlineLevel="1" x14ac:dyDescent="0.25">
      <c r="A12336" s="2357" t="s">
        <v>113</v>
      </c>
      <c r="B12336" s="2357" t="s">
        <v>114</v>
      </c>
      <c r="C12336" s="2357" t="s">
        <v>112</v>
      </c>
      <c r="D12336" s="2357" t="s">
        <v>116</v>
      </c>
      <c r="E12336" s="2357" t="s">
        <v>117</v>
      </c>
      <c r="F12336" s="2358" t="s">
        <v>121</v>
      </c>
    </row>
    <row r="12337" spans="1:12" hidden="1" outlineLevel="1" x14ac:dyDescent="0.25">
      <c r="A12337" s="2359" t="s">
        <v>2734</v>
      </c>
      <c r="B12337" s="2360" t="s">
        <v>252</v>
      </c>
      <c r="C12337" s="2361">
        <v>100</v>
      </c>
      <c r="D12337" s="2361"/>
      <c r="E12337" s="2362"/>
      <c r="F12337" s="2363"/>
    </row>
    <row r="12338" spans="1:12" hidden="1" outlineLevel="1" x14ac:dyDescent="0.25">
      <c r="A12338" s="2364" t="s">
        <v>2734</v>
      </c>
      <c r="B12338" s="2364"/>
      <c r="C12338" s="2365"/>
      <c r="D12338" s="1900" t="s">
        <v>3702</v>
      </c>
      <c r="E12338" s="2366">
        <v>43662</v>
      </c>
      <c r="F12338" s="2367"/>
    </row>
    <row r="12339" spans="1:12" ht="26.4" hidden="1" outlineLevel="1" x14ac:dyDescent="0.25">
      <c r="A12339" s="2357" t="s">
        <v>4156</v>
      </c>
      <c r="B12339" s="2357" t="s">
        <v>4153</v>
      </c>
      <c r="C12339" s="2369" t="s">
        <v>5271</v>
      </c>
      <c r="D12339" s="2368" t="s">
        <v>4155</v>
      </c>
      <c r="E12339" s="2357" t="s">
        <v>4154</v>
      </c>
      <c r="F12339" s="2370" t="s">
        <v>2519</v>
      </c>
    </row>
    <row r="12340" spans="1:12" hidden="1" outlineLevel="1" x14ac:dyDescent="0.25">
      <c r="A12340" s="1991">
        <v>7.0000000000000007E-2</v>
      </c>
      <c r="B12340" s="1926" t="s">
        <v>3998</v>
      </c>
      <c r="C12340" s="1993">
        <v>34.472000000000001</v>
      </c>
      <c r="D12340" s="2371">
        <v>33.58</v>
      </c>
      <c r="E12340" s="2372">
        <v>-2.5876073334880623E-2</v>
      </c>
      <c r="F12340" s="2370">
        <v>-1.8113251334416437E-3</v>
      </c>
      <c r="H12340" s="417" t="s">
        <v>4000</v>
      </c>
      <c r="I12340" t="s">
        <v>2734</v>
      </c>
      <c r="J12340" t="s">
        <v>2040</v>
      </c>
      <c r="K12340" t="s">
        <v>9010</v>
      </c>
    </row>
    <row r="12341" spans="1:12" hidden="1" outlineLevel="1" x14ac:dyDescent="0.25">
      <c r="A12341" s="1997">
        <v>0.03</v>
      </c>
      <c r="B12341" s="1926" t="s">
        <v>805</v>
      </c>
      <c r="C12341" s="1998">
        <v>71.016999999999996</v>
      </c>
      <c r="D12341" s="2373">
        <v>99.43</v>
      </c>
      <c r="E12341" s="2374">
        <v>0.4000873030401173</v>
      </c>
      <c r="F12341" s="2375">
        <v>1.200261909120352E-2</v>
      </c>
      <c r="H12341" s="417" t="s">
        <v>806</v>
      </c>
      <c r="J12341" s="256">
        <v>43132</v>
      </c>
      <c r="K12341">
        <v>112.3817</v>
      </c>
      <c r="L12341" s="37">
        <v>0.12381699999999984</v>
      </c>
    </row>
    <row r="12342" spans="1:12" hidden="1" outlineLevel="1" x14ac:dyDescent="0.25">
      <c r="A12342" s="1997">
        <v>0.03</v>
      </c>
      <c r="B12342" s="1926" t="s">
        <v>1188</v>
      </c>
      <c r="C12342" s="1998">
        <v>491.45</v>
      </c>
      <c r="D12342" s="2373">
        <v>543.6</v>
      </c>
      <c r="E12342" s="2374">
        <v>0.10611455895818511</v>
      </c>
      <c r="F12342" s="2375">
        <v>3.1834367687455533E-3</v>
      </c>
      <c r="H12342" s="417" t="s">
        <v>2746</v>
      </c>
      <c r="J12342" s="256">
        <v>43160</v>
      </c>
      <c r="K12342">
        <v>112.57989999999999</v>
      </c>
      <c r="L12342" s="37">
        <v>0.12579899999999999</v>
      </c>
    </row>
    <row r="12343" spans="1:12" hidden="1" outlineLevel="1" x14ac:dyDescent="0.25">
      <c r="A12343" s="1997">
        <v>0.02</v>
      </c>
      <c r="B12343" s="2099" t="s">
        <v>4332</v>
      </c>
      <c r="C12343" s="1998">
        <v>338</v>
      </c>
      <c r="D12343" s="2373">
        <v>88.1</v>
      </c>
      <c r="E12343" s="2374">
        <v>-0.73934911242603552</v>
      </c>
      <c r="F12343" s="2375">
        <v>-1.478698224852071E-2</v>
      </c>
      <c r="H12343" s="417" t="s">
        <v>4334</v>
      </c>
      <c r="J12343" s="256">
        <v>43191</v>
      </c>
      <c r="K12343">
        <v>115.8668</v>
      </c>
      <c r="L12343" s="37">
        <v>0.15866800000000003</v>
      </c>
    </row>
    <row r="12344" spans="1:12" hidden="1" outlineLevel="1" x14ac:dyDescent="0.25">
      <c r="A12344" s="1997">
        <v>0.04</v>
      </c>
      <c r="B12344" s="1921" t="s">
        <v>1440</v>
      </c>
      <c r="C12344" s="1998">
        <v>64.578999999999994</v>
      </c>
      <c r="D12344" s="2373">
        <v>74.5</v>
      </c>
      <c r="E12344" s="2374">
        <v>0.15362579166602153</v>
      </c>
      <c r="F12344" s="2375">
        <v>6.145031666640861E-3</v>
      </c>
      <c r="H12344" s="417" t="s">
        <v>2569</v>
      </c>
      <c r="J12344" s="256">
        <v>43221</v>
      </c>
      <c r="K12344">
        <v>114.8026</v>
      </c>
      <c r="L12344" s="37">
        <v>0.14802599999999999</v>
      </c>
    </row>
    <row r="12345" spans="1:12" hidden="1" outlineLevel="1" x14ac:dyDescent="0.25">
      <c r="A12345" s="1997">
        <v>0.02</v>
      </c>
      <c r="B12345" s="1921" t="s">
        <v>7227</v>
      </c>
      <c r="C12345" s="1998">
        <v>16.8005</v>
      </c>
      <c r="D12345" s="2373">
        <v>13.765000000000001</v>
      </c>
      <c r="E12345" s="2374">
        <v>-0.18067914645397454</v>
      </c>
      <c r="F12345" s="2375">
        <v>-3.613582929079491E-3</v>
      </c>
      <c r="H12345" s="417" t="s">
        <v>7229</v>
      </c>
      <c r="J12345" s="256">
        <v>43252</v>
      </c>
      <c r="K12345">
        <v>115.5108</v>
      </c>
      <c r="L12345" s="37">
        <v>0.15510800000000002</v>
      </c>
    </row>
    <row r="12346" spans="1:12" hidden="1" outlineLevel="1" x14ac:dyDescent="0.25">
      <c r="A12346" s="1997">
        <v>0.02</v>
      </c>
      <c r="B12346" s="2376" t="s">
        <v>3799</v>
      </c>
      <c r="C12346" s="1998">
        <v>1581.2427382464937</v>
      </c>
      <c r="D12346" s="2373">
        <v>1665</v>
      </c>
      <c r="E12346" s="2374">
        <v>5.2969262547500007E-2</v>
      </c>
      <c r="F12346" s="2375">
        <v>1.0593852509500001E-3</v>
      </c>
      <c r="H12346" s="417" t="s">
        <v>4128</v>
      </c>
      <c r="J12346" s="256">
        <v>43282</v>
      </c>
      <c r="K12346">
        <v>119.09650000000001</v>
      </c>
      <c r="L12346" s="37">
        <v>0.19096500000000005</v>
      </c>
    </row>
    <row r="12347" spans="1:12" hidden="1" outlineLevel="1" x14ac:dyDescent="0.25">
      <c r="A12347" s="1997">
        <v>0.05</v>
      </c>
      <c r="B12347" s="2376" t="s">
        <v>1343</v>
      </c>
      <c r="C12347" s="1998">
        <v>2292.9</v>
      </c>
      <c r="D12347" s="2373">
        <v>2051</v>
      </c>
      <c r="E12347" s="2374">
        <v>-0.10549958567752626</v>
      </c>
      <c r="F12347" s="2375">
        <v>-5.2749792838763139E-3</v>
      </c>
      <c r="H12347" s="417" t="s">
        <v>7747</v>
      </c>
      <c r="J12347" s="256">
        <v>43313</v>
      </c>
      <c r="K12347">
        <v>118.3723</v>
      </c>
      <c r="L12347" s="37">
        <v>0.18372299999999986</v>
      </c>
    </row>
    <row r="12348" spans="1:12" hidden="1" outlineLevel="1" x14ac:dyDescent="0.25">
      <c r="A12348" s="1997">
        <v>0.02</v>
      </c>
      <c r="B12348" s="2376" t="s">
        <v>2920</v>
      </c>
      <c r="C12348" s="1998">
        <v>25.62</v>
      </c>
      <c r="D12348" s="2373">
        <v>49.17</v>
      </c>
      <c r="E12348" s="2374">
        <v>0.91920374707259955</v>
      </c>
      <c r="F12348" s="2375">
        <v>1.8384074941451993E-2</v>
      </c>
      <c r="H12348" s="417" t="s">
        <v>6731</v>
      </c>
      <c r="J12348" s="256">
        <v>43344</v>
      </c>
      <c r="K12348">
        <v>119.3344</v>
      </c>
      <c r="L12348" s="37">
        <v>0.19334399999999996</v>
      </c>
    </row>
    <row r="12349" spans="1:12" hidden="1" outlineLevel="1" x14ac:dyDescent="0.25">
      <c r="A12349" s="1997">
        <v>0.02</v>
      </c>
      <c r="B12349" s="1921" t="s">
        <v>3426</v>
      </c>
      <c r="C12349" s="1998">
        <v>93.152000000000001</v>
      </c>
      <c r="D12349" s="2373">
        <v>132.5</v>
      </c>
      <c r="E12349" s="2374">
        <v>0.42240638955685328</v>
      </c>
      <c r="F12349" s="2375">
        <v>8.4481277911370653E-3</v>
      </c>
      <c r="H12349" s="417" t="s">
        <v>4145</v>
      </c>
      <c r="J12349" s="256">
        <v>43374</v>
      </c>
      <c r="K12349">
        <v>118.6159</v>
      </c>
      <c r="L12349" s="37">
        <v>0.18615899999999996</v>
      </c>
    </row>
    <row r="12350" spans="1:12" hidden="1" outlineLevel="1" x14ac:dyDescent="0.25">
      <c r="A12350" s="1997">
        <v>0.02</v>
      </c>
      <c r="B12350" s="1921" t="s">
        <v>1381</v>
      </c>
      <c r="C12350" s="1998">
        <v>100.01773964639239</v>
      </c>
      <c r="D12350" s="2373">
        <v>138.52000000000001</v>
      </c>
      <c r="E12350" s="2374">
        <v>0.38495431400199998</v>
      </c>
      <c r="F12350" s="2375">
        <v>7.6990862800399998E-3</v>
      </c>
      <c r="H12350" s="417" t="s">
        <v>1383</v>
      </c>
      <c r="J12350" s="256">
        <v>43405</v>
      </c>
      <c r="K12350">
        <v>120.4913</v>
      </c>
      <c r="L12350" s="37">
        <v>0.2049129999999999</v>
      </c>
    </row>
    <row r="12351" spans="1:12" hidden="1" outlineLevel="1" x14ac:dyDescent="0.25">
      <c r="A12351" s="1997">
        <v>7.0000000000000007E-2</v>
      </c>
      <c r="B12351" s="1921" t="s">
        <v>816</v>
      </c>
      <c r="C12351" s="1998">
        <v>96.072000000000003</v>
      </c>
      <c r="D12351" s="2373">
        <v>213.72</v>
      </c>
      <c r="E12351" s="2374">
        <v>1.2245815638271296</v>
      </c>
      <c r="F12351" s="2375">
        <v>8.5720709467899073E-2</v>
      </c>
      <c r="H12351" s="417" t="s">
        <v>817</v>
      </c>
      <c r="J12351" s="256">
        <v>43435</v>
      </c>
      <c r="K12351">
        <v>113.71</v>
      </c>
      <c r="L12351" s="37">
        <v>0.1371</v>
      </c>
    </row>
    <row r="12352" spans="1:12" hidden="1" outlineLevel="1" x14ac:dyDescent="0.25">
      <c r="A12352" s="1997">
        <v>0.03</v>
      </c>
      <c r="B12352" s="1921" t="s">
        <v>1905</v>
      </c>
      <c r="C12352" s="1998">
        <v>50.137</v>
      </c>
      <c r="D12352" s="2373">
        <v>81.59</v>
      </c>
      <c r="E12352" s="2374">
        <v>0.62734108542593292</v>
      </c>
      <c r="F12352" s="2375">
        <v>1.8820232562777987E-2</v>
      </c>
      <c r="H12352" s="417" t="s">
        <v>504</v>
      </c>
      <c r="J12352" s="256">
        <v>43466</v>
      </c>
      <c r="K12352">
        <v>118.29219999999999</v>
      </c>
      <c r="L12352" s="37">
        <v>0.18292200000000003</v>
      </c>
    </row>
    <row r="12353" spans="1:12" hidden="1" outlineLevel="1" x14ac:dyDescent="0.25">
      <c r="A12353" s="1997">
        <v>0.02</v>
      </c>
      <c r="B12353" s="1921" t="s">
        <v>2786</v>
      </c>
      <c r="C12353" s="1998">
        <v>785.45188716546613</v>
      </c>
      <c r="D12353" s="2373">
        <v>830</v>
      </c>
      <c r="E12353" s="2374">
        <v>5.671653930999998E-2</v>
      </c>
      <c r="F12353" s="2375">
        <v>1.1343307861999997E-3</v>
      </c>
      <c r="H12353" s="417" t="s">
        <v>4195</v>
      </c>
      <c r="J12353" s="256">
        <v>43497</v>
      </c>
      <c r="K12353">
        <v>121.27679999999999</v>
      </c>
      <c r="L12353" s="37">
        <v>0.21276799999999985</v>
      </c>
    </row>
    <row r="12354" spans="1:12" hidden="1" outlineLevel="1" x14ac:dyDescent="0.25">
      <c r="A12354" s="1997">
        <v>7.0000000000000007E-2</v>
      </c>
      <c r="B12354" s="1921" t="s">
        <v>3797</v>
      </c>
      <c r="C12354" s="1998">
        <v>66.094999999999999</v>
      </c>
      <c r="D12354" s="2373">
        <v>101.9</v>
      </c>
      <c r="E12354" s="2374">
        <v>0.54172025115364253</v>
      </c>
      <c r="F12354" s="2375">
        <v>3.7920417580754984E-2</v>
      </c>
      <c r="H12354" s="417" t="s">
        <v>8872</v>
      </c>
      <c r="J12354" s="256">
        <v>43525</v>
      </c>
      <c r="K12354">
        <v>123.5615</v>
      </c>
      <c r="L12354" s="37">
        <v>0.23561499999999991</v>
      </c>
    </row>
    <row r="12355" spans="1:12" hidden="1" outlineLevel="1" x14ac:dyDescent="0.25">
      <c r="A12355" s="1997">
        <v>0.04</v>
      </c>
      <c r="B12355" s="1921" t="s">
        <v>2787</v>
      </c>
      <c r="C12355" s="1998">
        <v>72.424999999999997</v>
      </c>
      <c r="D12355" s="2373">
        <v>88.03</v>
      </c>
      <c r="E12355" s="2374">
        <v>0.21546427338626173</v>
      </c>
      <c r="F12355" s="2375">
        <v>8.6185709354504696E-3</v>
      </c>
      <c r="H12355" s="417" t="s">
        <v>8874</v>
      </c>
      <c r="J12355" s="256">
        <v>43556</v>
      </c>
      <c r="K12355">
        <v>123.8892</v>
      </c>
      <c r="L12355" s="37">
        <v>0.2388920000000001</v>
      </c>
    </row>
    <row r="12356" spans="1:12" hidden="1" outlineLevel="1" x14ac:dyDescent="0.25">
      <c r="A12356" s="1997">
        <v>0.02</v>
      </c>
      <c r="B12356" s="1921" t="s">
        <v>1414</v>
      </c>
      <c r="C12356" s="1998">
        <v>30.67</v>
      </c>
      <c r="D12356" s="2373">
        <v>42.85</v>
      </c>
      <c r="E12356" s="2374">
        <v>0.39713074665797188</v>
      </c>
      <c r="F12356" s="2375">
        <v>7.9426149331594375E-3</v>
      </c>
      <c r="H12356" s="417" t="s">
        <v>2428</v>
      </c>
      <c r="J12356" s="256">
        <v>43586</v>
      </c>
      <c r="K12356">
        <v>120.3776</v>
      </c>
      <c r="L12356" s="37">
        <v>0.20377599999999996</v>
      </c>
    </row>
    <row r="12357" spans="1:12" hidden="1" outlineLevel="1" x14ac:dyDescent="0.25">
      <c r="A12357" s="1997">
        <v>0.02</v>
      </c>
      <c r="B12357" s="1921" t="s">
        <v>3793</v>
      </c>
      <c r="C12357" s="1998">
        <v>84.649000000000001</v>
      </c>
      <c r="D12357" s="2373">
        <v>81.58</v>
      </c>
      <c r="E12357" s="2374">
        <v>-3.6255596640243914E-2</v>
      </c>
      <c r="F12357" s="2375">
        <v>-7.2511193280487833E-4</v>
      </c>
      <c r="H12357" s="417" t="s">
        <v>3533</v>
      </c>
      <c r="J12357" s="256">
        <v>43617</v>
      </c>
      <c r="K12357">
        <v>124.3732</v>
      </c>
      <c r="L12357" s="37">
        <v>0.24373200000000006</v>
      </c>
    </row>
    <row r="12358" spans="1:12" hidden="1" outlineLevel="1" x14ac:dyDescent="0.25">
      <c r="A12358" s="1997">
        <v>0.04</v>
      </c>
      <c r="B12358" s="1929" t="s">
        <v>2297</v>
      </c>
      <c r="C12358" s="1998">
        <v>47.481000000000002</v>
      </c>
      <c r="D12358" s="2373">
        <v>70.33</v>
      </c>
      <c r="E12358" s="2374">
        <v>0.48122406857479816</v>
      </c>
      <c r="F12358" s="2375">
        <v>1.9248962742991926E-2</v>
      </c>
      <c r="H12358" s="417" t="s">
        <v>2298</v>
      </c>
      <c r="J12358" s="256">
        <v>43647</v>
      </c>
      <c r="K12358">
        <v>125.3246</v>
      </c>
      <c r="L12358" s="37">
        <v>0.25324600000000008</v>
      </c>
    </row>
    <row r="12359" spans="1:12" hidden="1" outlineLevel="1" x14ac:dyDescent="0.25">
      <c r="A12359" s="1997">
        <v>0.04</v>
      </c>
      <c r="B12359" s="1921" t="s">
        <v>5519</v>
      </c>
      <c r="C12359" s="1998">
        <v>362.28</v>
      </c>
      <c r="D12359" s="2373">
        <v>201.1</v>
      </c>
      <c r="E12359" s="2374">
        <v>-0.44490449376173125</v>
      </c>
      <c r="F12359" s="2375">
        <v>-1.7796179750469251E-2</v>
      </c>
      <c r="H12359" s="417" t="s">
        <v>5517</v>
      </c>
      <c r="J12359" s="412" t="s">
        <v>2465</v>
      </c>
      <c r="L12359" s="261">
        <v>0.18769849999999996</v>
      </c>
    </row>
    <row r="12360" spans="1:12" hidden="1" outlineLevel="1" x14ac:dyDescent="0.25">
      <c r="A12360" s="1997">
        <v>7.0000000000000007E-2</v>
      </c>
      <c r="B12360" s="2099" t="s">
        <v>4460</v>
      </c>
      <c r="C12360" s="1998">
        <v>1680</v>
      </c>
      <c r="D12360" s="2373">
        <v>2007</v>
      </c>
      <c r="E12360" s="2374">
        <v>0.19464285714285712</v>
      </c>
      <c r="F12360" s="2375">
        <v>1.3625E-2</v>
      </c>
      <c r="H12360" s="417" t="s">
        <v>3485</v>
      </c>
      <c r="K12360" s="434"/>
    </row>
    <row r="12361" spans="1:12" hidden="1" outlineLevel="1" x14ac:dyDescent="0.25">
      <c r="A12361" s="1997">
        <v>0.03</v>
      </c>
      <c r="B12361" s="1921" t="s">
        <v>1214</v>
      </c>
      <c r="C12361" s="1998">
        <v>98.802999999999997</v>
      </c>
      <c r="D12361" s="2373">
        <v>100.34</v>
      </c>
      <c r="E12361" s="2374">
        <v>1.5556207807455369E-2</v>
      </c>
      <c r="F12361" s="2375">
        <v>4.6668623422366104E-4</v>
      </c>
      <c r="H12361" s="417" t="s">
        <v>3775</v>
      </c>
      <c r="K12361" s="434"/>
    </row>
    <row r="12362" spans="1:12" hidden="1" outlineLevel="1" x14ac:dyDescent="0.25">
      <c r="A12362" s="1997">
        <v>0.02</v>
      </c>
      <c r="B12362" s="1921" t="s">
        <v>1857</v>
      </c>
      <c r="C12362" s="1998">
        <v>1355</v>
      </c>
      <c r="D12362" s="2373">
        <v>1151.5</v>
      </c>
      <c r="E12362" s="2374">
        <v>-0.15018450184501841</v>
      </c>
      <c r="F12362" s="2375">
        <v>-3.0036900369003684E-3</v>
      </c>
      <c r="H12362" s="417" t="s">
        <v>3559</v>
      </c>
      <c r="K12362" s="434"/>
    </row>
    <row r="12363" spans="1:12" hidden="1" outlineLevel="1" x14ac:dyDescent="0.25">
      <c r="A12363" s="1997">
        <v>0.03</v>
      </c>
      <c r="B12363" s="1921" t="s">
        <v>6118</v>
      </c>
      <c r="C12363" s="1998">
        <v>73.466068168322252</v>
      </c>
      <c r="D12363" s="2373">
        <v>96.24</v>
      </c>
      <c r="E12363" s="2374">
        <v>0.30999252307199976</v>
      </c>
      <c r="F12363" s="2375">
        <v>9.2997756921599922E-3</v>
      </c>
      <c r="H12363" s="417" t="s">
        <v>8893</v>
      </c>
      <c r="K12363" s="434"/>
    </row>
    <row r="12364" spans="1:12" hidden="1" outlineLevel="1" x14ac:dyDescent="0.25">
      <c r="A12364" s="1997">
        <v>0.02</v>
      </c>
      <c r="B12364" s="1921" t="s">
        <v>434</v>
      </c>
      <c r="C12364" s="1998">
        <v>52.884999999999998</v>
      </c>
      <c r="D12364" s="2373">
        <v>42.59</v>
      </c>
      <c r="E12364" s="2374">
        <v>-0.19466767514418071</v>
      </c>
      <c r="F12364" s="2375">
        <v>-3.8933535028836141E-3</v>
      </c>
      <c r="H12364" s="417" t="s">
        <v>7745</v>
      </c>
      <c r="K12364" s="434"/>
    </row>
    <row r="12365" spans="1:12" hidden="1" outlineLevel="1" x14ac:dyDescent="0.25">
      <c r="A12365" s="1997">
        <v>0.03</v>
      </c>
      <c r="B12365" s="1921" t="s">
        <v>1142</v>
      </c>
      <c r="C12365" s="1998">
        <v>40.350999999999999</v>
      </c>
      <c r="D12365" s="2373">
        <v>52.14</v>
      </c>
      <c r="E12365" s="2374">
        <v>0.29216128472652469</v>
      </c>
      <c r="F12365" s="2375">
        <v>8.7648385417957407E-3</v>
      </c>
      <c r="H12365" s="417" t="s">
        <v>1143</v>
      </c>
      <c r="K12365" s="434"/>
    </row>
    <row r="12366" spans="1:12" hidden="1" outlineLevel="1" x14ac:dyDescent="0.25">
      <c r="A12366" s="1997">
        <v>0.03</v>
      </c>
      <c r="B12366" s="2099" t="s">
        <v>1183</v>
      </c>
      <c r="C12366" s="1998">
        <v>43.7485</v>
      </c>
      <c r="D12366" s="2373">
        <v>49.965000000000003</v>
      </c>
      <c r="E12366" s="2374">
        <v>0.14209630044458677</v>
      </c>
      <c r="F12366" s="2375">
        <v>4.2628890133376025E-3</v>
      </c>
      <c r="H12366" s="417" t="s">
        <v>2805</v>
      </c>
      <c r="K12366" s="434"/>
    </row>
    <row r="12367" spans="1:12" hidden="1" outlineLevel="1" x14ac:dyDescent="0.25">
      <c r="A12367" s="1997">
        <v>0.02</v>
      </c>
      <c r="B12367" s="1921" t="s">
        <v>507</v>
      </c>
      <c r="C12367" s="1998">
        <v>28.821000000000002</v>
      </c>
      <c r="D12367" s="2373">
        <v>54.31</v>
      </c>
      <c r="E12367" s="2374">
        <v>0.88438985461989517</v>
      </c>
      <c r="F12367" s="2375">
        <v>1.7687797092397903E-2</v>
      </c>
      <c r="H12367" s="417" t="s">
        <v>2810</v>
      </c>
      <c r="K12367" s="434"/>
    </row>
    <row r="12368" spans="1:12" hidden="1" outlineLevel="1" x14ac:dyDescent="0.25">
      <c r="A12368" s="1997">
        <v>0.02</v>
      </c>
      <c r="B12368" s="2099" t="s">
        <v>5174</v>
      </c>
      <c r="C12368" s="1998">
        <v>252.84</v>
      </c>
      <c r="D12368" s="2373">
        <v>207.6</v>
      </c>
      <c r="E12368" s="2374">
        <v>-0.17892738490745141</v>
      </c>
      <c r="F12368" s="2375">
        <v>-3.5785476981490282E-3</v>
      </c>
      <c r="H12368" s="417" t="s">
        <v>5172</v>
      </c>
      <c r="K12368" s="434"/>
    </row>
    <row r="12369" spans="1:12" hidden="1" outlineLevel="1" x14ac:dyDescent="0.25">
      <c r="A12369" s="2004">
        <v>0.04</v>
      </c>
      <c r="B12369" s="2109" t="s">
        <v>4550</v>
      </c>
      <c r="C12369" s="2005">
        <v>261.8</v>
      </c>
      <c r="D12369" s="2377">
        <v>343.6</v>
      </c>
      <c r="E12369" s="2378">
        <v>0.3124522536287242</v>
      </c>
      <c r="F12369" s="2379">
        <v>1.2498090145148967E-2</v>
      </c>
      <c r="H12369" s="417" t="s">
        <v>8889</v>
      </c>
      <c r="K12369" s="434"/>
    </row>
    <row r="12370" spans="1:12" hidden="1" outlineLevel="1" x14ac:dyDescent="0.25">
      <c r="A12370" s="2380" t="s">
        <v>2734</v>
      </c>
      <c r="B12370" s="2381"/>
      <c r="C12370" s="2179"/>
      <c r="D12370" s="2382"/>
      <c r="E12370" s="2374" t="s">
        <v>4577</v>
      </c>
      <c r="F12370" s="2383">
        <v>0.24844892500234139</v>
      </c>
      <c r="H12370" s="432"/>
    </row>
    <row r="12371" spans="1:12" collapsed="1" x14ac:dyDescent="0.25">
      <c r="A12371" s="3801" t="s">
        <v>5837</v>
      </c>
      <c r="B12371" s="3802"/>
      <c r="C12371" s="3802"/>
      <c r="D12371" s="3802"/>
      <c r="E12371" s="1906"/>
      <c r="F12371" s="1907">
        <v>0.15015879999999998</v>
      </c>
    </row>
    <row r="12372" spans="1:12" x14ac:dyDescent="0.25">
      <c r="A12372" t="s">
        <v>2734</v>
      </c>
    </row>
    <row r="12373" spans="1:12" ht="12.75" hidden="1" customHeight="1" outlineLevel="1" x14ac:dyDescent="0.25">
      <c r="A12373" s="2282" t="s">
        <v>113</v>
      </c>
      <c r="B12373" s="2282" t="s">
        <v>114</v>
      </c>
      <c r="C12373" s="2282" t="s">
        <v>112</v>
      </c>
      <c r="D12373" s="2282" t="s">
        <v>116</v>
      </c>
      <c r="E12373" s="2282" t="s">
        <v>117</v>
      </c>
      <c r="F12373" s="2283" t="s">
        <v>121</v>
      </c>
      <c r="G12373" s="78"/>
    </row>
    <row r="12374" spans="1:12" ht="12.75" hidden="1" customHeight="1" outlineLevel="1" x14ac:dyDescent="0.25">
      <c r="A12374" s="2284">
        <v>1</v>
      </c>
      <c r="B12374" s="2285" t="s">
        <v>252</v>
      </c>
      <c r="C12374" s="2286">
        <v>100</v>
      </c>
      <c r="D12374" s="2286"/>
      <c r="E12374" s="2287"/>
      <c r="F12374" s="2288"/>
      <c r="G12374" s="78"/>
    </row>
    <row r="12375" spans="1:12" ht="12.75" hidden="1" customHeight="1" outlineLevel="1" x14ac:dyDescent="0.25">
      <c r="A12375" s="2289" t="s">
        <v>2734</v>
      </c>
      <c r="B12375" s="2289"/>
      <c r="C12375" s="2290"/>
      <c r="D12375" s="1900" t="s">
        <v>3702</v>
      </c>
      <c r="E12375" s="2291">
        <v>43644</v>
      </c>
      <c r="F12375" s="2292"/>
      <c r="G12375" s="78"/>
    </row>
    <row r="12376" spans="1:12" ht="12.75" hidden="1" customHeight="1" outlineLevel="1" x14ac:dyDescent="0.25">
      <c r="A12376" s="2282" t="s">
        <v>4156</v>
      </c>
      <c r="B12376" s="2293" t="s">
        <v>4153</v>
      </c>
      <c r="C12376" s="2294" t="s">
        <v>112</v>
      </c>
      <c r="D12376" s="2293" t="s">
        <v>4155</v>
      </c>
      <c r="E12376" s="2282" t="s">
        <v>4154</v>
      </c>
      <c r="F12376" s="2295" t="s">
        <v>2519</v>
      </c>
      <c r="G12376" s="78"/>
    </row>
    <row r="12377" spans="1:12" ht="12.75" hidden="1" customHeight="1" outlineLevel="1" x14ac:dyDescent="0.25">
      <c r="A12377" s="1991">
        <v>0.02</v>
      </c>
      <c r="B12377" s="1992" t="s">
        <v>1995</v>
      </c>
      <c r="C12377" s="2177">
        <v>37.54</v>
      </c>
      <c r="D12377" s="2296">
        <v>84.1</v>
      </c>
      <c r="E12377" s="2297">
        <v>1.2402770378263184</v>
      </c>
      <c r="F12377" s="2295">
        <v>2.4805540756526367E-2</v>
      </c>
      <c r="G12377" s="78"/>
      <c r="H12377" t="s">
        <v>2739</v>
      </c>
      <c r="K12377" s="434"/>
      <c r="L12377" s="434"/>
    </row>
    <row r="12378" spans="1:12" ht="12.75" hidden="1" customHeight="1" outlineLevel="1" x14ac:dyDescent="0.25">
      <c r="A12378" s="1997">
        <v>0.02</v>
      </c>
      <c r="B12378" s="1921" t="s">
        <v>5841</v>
      </c>
      <c r="C12378" s="2179">
        <v>66.957499999999996</v>
      </c>
      <c r="D12378" s="2298">
        <v>212.7</v>
      </c>
      <c r="E12378" s="2299">
        <v>2.1766418997125041</v>
      </c>
      <c r="F12378" s="2300">
        <v>4.3532837994250083E-2</v>
      </c>
      <c r="G12378" s="78"/>
      <c r="H12378" t="s">
        <v>5839</v>
      </c>
      <c r="K12378" s="434"/>
      <c r="L12378" s="434"/>
    </row>
    <row r="12379" spans="1:12" ht="12.75" hidden="1" customHeight="1" outlineLevel="1" x14ac:dyDescent="0.25">
      <c r="A12379" s="1997">
        <v>0.05</v>
      </c>
      <c r="B12379" s="1921" t="s">
        <v>9082</v>
      </c>
      <c r="C12379" s="2179">
        <v>68.182500000000005</v>
      </c>
      <c r="D12379" s="2298">
        <v>116.9607</v>
      </c>
      <c r="E12379" s="2299">
        <v>0.71540644593554048</v>
      </c>
      <c r="F12379" s="2300">
        <v>3.5770322296777027E-2</v>
      </c>
      <c r="G12379" s="78"/>
      <c r="H12379" t="s">
        <v>9083</v>
      </c>
      <c r="K12379" s="434"/>
      <c r="L12379" s="434"/>
    </row>
    <row r="12380" spans="1:12" ht="12.75" hidden="1" customHeight="1" outlineLevel="1" x14ac:dyDescent="0.25">
      <c r="A12380" s="1997">
        <v>0.02</v>
      </c>
      <c r="B12380" s="1921" t="s">
        <v>7835</v>
      </c>
      <c r="C12380" s="2179">
        <v>96.050128177695427</v>
      </c>
      <c r="D12380" s="2298">
        <v>60.94</v>
      </c>
      <c r="E12380" s="2299">
        <v>-0.365539628565</v>
      </c>
      <c r="F12380" s="2300">
        <v>-7.3107925713000003E-3</v>
      </c>
      <c r="G12380" s="78"/>
      <c r="H12380" t="s">
        <v>5541</v>
      </c>
      <c r="K12380" s="434"/>
      <c r="L12380" s="434"/>
    </row>
    <row r="12381" spans="1:12" ht="12.75" hidden="1" customHeight="1" outlineLevel="1" x14ac:dyDescent="0.25">
      <c r="A12381" s="1997">
        <v>0.05</v>
      </c>
      <c r="B12381" s="1921" t="s">
        <v>4377</v>
      </c>
      <c r="C12381" s="2179">
        <v>51.0625</v>
      </c>
      <c r="D12381" s="2298">
        <v>45.35</v>
      </c>
      <c r="E12381" s="2299">
        <v>-0.11187270501835977</v>
      </c>
      <c r="F12381" s="2300">
        <v>-5.5936352509179891E-3</v>
      </c>
      <c r="G12381" s="78"/>
      <c r="H12381" t="s">
        <v>4327</v>
      </c>
      <c r="K12381" s="434"/>
      <c r="L12381" s="434"/>
    </row>
    <row r="12382" spans="1:12" ht="12.75" hidden="1" customHeight="1" outlineLevel="1" x14ac:dyDescent="0.25">
      <c r="A12382" s="1997">
        <v>0.08</v>
      </c>
      <c r="B12382" s="1921" t="s">
        <v>5090</v>
      </c>
      <c r="C12382" s="2179">
        <v>3980.75</v>
      </c>
      <c r="D12382" s="2298">
        <v>6091</v>
      </c>
      <c r="E12382" s="2299">
        <v>0.53011367204672477</v>
      </c>
      <c r="F12382" s="2300">
        <v>4.2409093763737984E-2</v>
      </c>
      <c r="G12382" s="78"/>
      <c r="H12382" t="s">
        <v>5091</v>
      </c>
      <c r="K12382" s="434"/>
      <c r="L12382" s="434"/>
    </row>
    <row r="12383" spans="1:12" ht="12.75" hidden="1" customHeight="1" outlineLevel="1" x14ac:dyDescent="0.25">
      <c r="A12383" s="1997">
        <v>0.05</v>
      </c>
      <c r="B12383" s="1921" t="s">
        <v>2844</v>
      </c>
      <c r="C12383" s="2179">
        <v>50.634999999999998</v>
      </c>
      <c r="D12383" s="2298">
        <v>69.040000000000006</v>
      </c>
      <c r="E12383" s="2299">
        <v>0.36348375629505303</v>
      </c>
      <c r="F12383" s="2300">
        <v>1.8174187814752652E-2</v>
      </c>
      <c r="G12383" s="78"/>
      <c r="H12383" t="s">
        <v>4094</v>
      </c>
      <c r="K12383" s="434"/>
      <c r="L12383" s="434"/>
    </row>
    <row r="12384" spans="1:12" ht="12.75" hidden="1" customHeight="1" outlineLevel="1" x14ac:dyDescent="0.25">
      <c r="A12384" s="1997">
        <v>0.08</v>
      </c>
      <c r="B12384" s="1921" t="s">
        <v>3799</v>
      </c>
      <c r="C12384" s="2179">
        <v>1578.1377198146799</v>
      </c>
      <c r="D12384" s="2298">
        <v>1576.6</v>
      </c>
      <c r="E12384" s="2299">
        <v>-9.7438886059997287E-4</v>
      </c>
      <c r="F12384" s="2300">
        <v>-7.7951108847997835E-5</v>
      </c>
      <c r="G12384" s="78"/>
      <c r="H12384" t="s">
        <v>4128</v>
      </c>
      <c r="K12384" s="434"/>
      <c r="L12384" s="434"/>
    </row>
    <row r="12385" spans="1:12" ht="12.75" hidden="1" customHeight="1" outlineLevel="1" x14ac:dyDescent="0.25">
      <c r="A12385" s="1997">
        <v>0.02</v>
      </c>
      <c r="B12385" s="1921" t="s">
        <v>5844</v>
      </c>
      <c r="C12385" s="2179">
        <v>100.77249999999999</v>
      </c>
      <c r="D12385" s="2298">
        <v>265.3</v>
      </c>
      <c r="E12385" s="2299">
        <v>1.6326626807908906</v>
      </c>
      <c r="F12385" s="2300">
        <v>3.2653253615817814E-2</v>
      </c>
      <c r="G12385" s="78"/>
      <c r="H12385" t="s">
        <v>5842</v>
      </c>
      <c r="K12385" s="434"/>
      <c r="L12385" s="434"/>
    </row>
    <row r="12386" spans="1:12" ht="12.75" hidden="1" customHeight="1" outlineLevel="1" x14ac:dyDescent="0.25">
      <c r="A12386" s="1997">
        <v>0.08</v>
      </c>
      <c r="B12386" s="1921" t="s">
        <v>3426</v>
      </c>
      <c r="C12386" s="2179">
        <v>91.597499999999997</v>
      </c>
      <c r="D12386" s="2298">
        <v>139.28</v>
      </c>
      <c r="E12386" s="2299">
        <v>0.52056551761783898</v>
      </c>
      <c r="F12386" s="2300">
        <v>4.1645241409427117E-2</v>
      </c>
      <c r="G12386" s="78"/>
      <c r="H12386" t="s">
        <v>4145</v>
      </c>
      <c r="K12386" s="434"/>
      <c r="L12386" s="434"/>
    </row>
    <row r="12387" spans="1:12" ht="12.75" hidden="1" customHeight="1" outlineLevel="1" x14ac:dyDescent="0.25">
      <c r="A12387" s="1997">
        <v>0.02</v>
      </c>
      <c r="B12387" s="1921" t="s">
        <v>4040</v>
      </c>
      <c r="C12387" s="2179">
        <v>56.947499999999998</v>
      </c>
      <c r="D12387" s="2298">
        <v>97.39</v>
      </c>
      <c r="E12387" s="2299">
        <v>0.71017164932613386</v>
      </c>
      <c r="F12387" s="2300">
        <v>1.4203432986522678E-2</v>
      </c>
      <c r="G12387" s="78"/>
      <c r="H12387" t="s">
        <v>4041</v>
      </c>
      <c r="K12387" s="434"/>
      <c r="L12387" s="434"/>
    </row>
    <row r="12388" spans="1:12" ht="12.75" hidden="1" customHeight="1" outlineLevel="1" x14ac:dyDescent="0.25">
      <c r="A12388" s="1997">
        <v>0.08</v>
      </c>
      <c r="B12388" s="1921" t="s">
        <v>1905</v>
      </c>
      <c r="C12388" s="2179">
        <v>49.94</v>
      </c>
      <c r="D12388" s="2298">
        <v>83.85</v>
      </c>
      <c r="E12388" s="2299">
        <v>0.67901481778133754</v>
      </c>
      <c r="F12388" s="2300">
        <v>5.4321185422507003E-2</v>
      </c>
      <c r="G12388" s="78"/>
      <c r="H12388" t="s">
        <v>504</v>
      </c>
      <c r="K12388" s="434"/>
      <c r="L12388" s="434"/>
    </row>
    <row r="12389" spans="1:12" ht="12.75" hidden="1" customHeight="1" outlineLevel="1" x14ac:dyDescent="0.25">
      <c r="A12389" s="1997">
        <v>0.08</v>
      </c>
      <c r="B12389" s="1921" t="s">
        <v>2787</v>
      </c>
      <c r="C12389" s="2179">
        <v>71.762500000000003</v>
      </c>
      <c r="D12389" s="2298">
        <v>89.2</v>
      </c>
      <c r="E12389" s="2299">
        <v>0.242989026302038</v>
      </c>
      <c r="F12389" s="2300">
        <v>1.9439122104163039E-2</v>
      </c>
      <c r="G12389" s="78"/>
      <c r="H12389" t="s">
        <v>8874</v>
      </c>
      <c r="K12389" s="434"/>
      <c r="L12389" s="434"/>
    </row>
    <row r="12390" spans="1:12" ht="12.75" hidden="1" customHeight="1" outlineLevel="1" x14ac:dyDescent="0.25">
      <c r="A12390" s="1997">
        <v>0.05</v>
      </c>
      <c r="B12390" s="1921" t="s">
        <v>5847</v>
      </c>
      <c r="C12390" s="2179">
        <v>2972.75</v>
      </c>
      <c r="D12390" s="2298">
        <v>3516</v>
      </c>
      <c r="E12390" s="2299">
        <v>0.1827432511983853</v>
      </c>
      <c r="F12390" s="2300">
        <v>9.1371625599192662E-3</v>
      </c>
      <c r="G12390" s="78"/>
      <c r="H12390" t="s">
        <v>5845</v>
      </c>
      <c r="K12390" s="434"/>
      <c r="L12390" s="434"/>
    </row>
    <row r="12391" spans="1:12" ht="12.75" hidden="1" customHeight="1" outlineLevel="1" x14ac:dyDescent="0.25">
      <c r="A12391" s="1997">
        <v>0.05</v>
      </c>
      <c r="B12391" s="1921" t="s">
        <v>1414</v>
      </c>
      <c r="C12391" s="2179">
        <v>31.227499999999999</v>
      </c>
      <c r="D12391" s="2298">
        <v>43.32</v>
      </c>
      <c r="E12391" s="2299">
        <v>0.38723881194460019</v>
      </c>
      <c r="F12391" s="2300">
        <v>1.936194059723001E-2</v>
      </c>
      <c r="G12391" s="78"/>
      <c r="H12391" t="s">
        <v>2428</v>
      </c>
      <c r="K12391" s="434"/>
      <c r="L12391" s="434"/>
    </row>
    <row r="12392" spans="1:12" ht="12.75" hidden="1" customHeight="1" outlineLevel="1" x14ac:dyDescent="0.25">
      <c r="A12392" s="1997">
        <v>0.05</v>
      </c>
      <c r="B12392" s="1921" t="s">
        <v>3800</v>
      </c>
      <c r="C12392" s="2179">
        <v>252.82499999999999</v>
      </c>
      <c r="D12392" s="2298">
        <v>274.64999999999998</v>
      </c>
      <c r="E12392" s="2299">
        <v>8.6324532779590513E-2</v>
      </c>
      <c r="F12392" s="2300">
        <v>4.3162266389795258E-3</v>
      </c>
      <c r="G12392" s="78"/>
      <c r="H12392" t="s">
        <v>8876</v>
      </c>
      <c r="K12392" s="434"/>
      <c r="L12392" s="434"/>
    </row>
    <row r="12393" spans="1:12" ht="12.75" hidden="1" customHeight="1" outlineLevel="1" x14ac:dyDescent="0.25">
      <c r="A12393" s="1997">
        <v>0.05</v>
      </c>
      <c r="B12393" s="1921" t="s">
        <v>1187</v>
      </c>
      <c r="C12393" s="2179">
        <v>76.254999999999995</v>
      </c>
      <c r="D12393" s="2298">
        <v>75.91</v>
      </c>
      <c r="E12393" s="2299">
        <v>-4.5242934889515585E-3</v>
      </c>
      <c r="F12393" s="2300">
        <v>-2.2621467444757795E-4</v>
      </c>
      <c r="G12393" s="78"/>
      <c r="H12393" t="s">
        <v>3483</v>
      </c>
      <c r="K12393" s="434"/>
      <c r="L12393" s="434"/>
    </row>
    <row r="12394" spans="1:12" ht="12.75" hidden="1" customHeight="1" outlineLevel="1" x14ac:dyDescent="0.25">
      <c r="A12394" s="1997">
        <v>0.05</v>
      </c>
      <c r="B12394" s="1921" t="s">
        <v>5850</v>
      </c>
      <c r="C12394" s="2179">
        <v>2233.75</v>
      </c>
      <c r="D12394" s="2298">
        <v>6209</v>
      </c>
      <c r="E12394" s="2299">
        <v>1.7796306659205374</v>
      </c>
      <c r="F12394" s="2300">
        <v>8.8981533296026871E-2</v>
      </c>
      <c r="G12394" s="78"/>
      <c r="H12394" t="s">
        <v>5848</v>
      </c>
      <c r="K12394" s="434"/>
      <c r="L12394" s="434"/>
    </row>
    <row r="12395" spans="1:12" ht="12.75" hidden="1" customHeight="1" outlineLevel="1" x14ac:dyDescent="0.25">
      <c r="A12395" s="1997">
        <v>0.05</v>
      </c>
      <c r="B12395" s="1921" t="s">
        <v>5853</v>
      </c>
      <c r="C12395" s="2179">
        <v>840.88</v>
      </c>
      <c r="D12395" s="2298">
        <v>1705</v>
      </c>
      <c r="E12395" s="2299">
        <v>1.0276377128722292</v>
      </c>
      <c r="F12395" s="2300">
        <v>5.1381885643611458E-2</v>
      </c>
      <c r="G12395" s="78"/>
      <c r="H12395" t="s">
        <v>5851</v>
      </c>
      <c r="K12395" s="434"/>
      <c r="L12395" s="434"/>
    </row>
    <row r="12396" spans="1:12" ht="12.75" hidden="1" customHeight="1" outlineLevel="1" x14ac:dyDescent="0.25">
      <c r="A12396" s="1997">
        <v>0.05</v>
      </c>
      <c r="B12396" s="2109" t="s">
        <v>5856</v>
      </c>
      <c r="C12396" s="2179">
        <v>72.787499999999994</v>
      </c>
      <c r="D12396" s="2302">
        <v>244.01</v>
      </c>
      <c r="E12396" s="2299">
        <v>2.3523613257770908</v>
      </c>
      <c r="F12396" s="2300">
        <v>0.11761806628885454</v>
      </c>
      <c r="G12396" s="78"/>
      <c r="H12396" t="s">
        <v>5854</v>
      </c>
      <c r="K12396" s="434"/>
      <c r="L12396" s="434"/>
    </row>
    <row r="12397" spans="1:12" ht="12.75" hidden="1" customHeight="1" outlineLevel="1" x14ac:dyDescent="0.25">
      <c r="A12397" s="2181" t="s">
        <v>2734</v>
      </c>
      <c r="B12397" s="2103"/>
      <c r="C12397" s="2303"/>
      <c r="D12397" s="2304"/>
      <c r="E12397" s="2305"/>
      <c r="F12397" s="2295">
        <v>0.60454243958358989</v>
      </c>
      <c r="G12397" s="78"/>
    </row>
    <row r="12398" spans="1:12" ht="12.75" hidden="1" customHeight="1" outlineLevel="1" x14ac:dyDescent="0.25">
      <c r="A12398" s="1956" t="s">
        <v>5857</v>
      </c>
      <c r="B12398" s="2306">
        <v>43101</v>
      </c>
      <c r="C12398" s="2307">
        <v>100</v>
      </c>
      <c r="D12398" s="2307">
        <v>153.52119999999999</v>
      </c>
      <c r="E12398" s="2308">
        <v>0.53521200000000002</v>
      </c>
      <c r="F12398" s="2309"/>
      <c r="G12398" s="78"/>
    </row>
    <row r="12399" spans="1:12" ht="12.75" hidden="1" customHeight="1" outlineLevel="1" x14ac:dyDescent="0.25">
      <c r="A12399" s="1956" t="s">
        <v>5858</v>
      </c>
      <c r="B12399" s="2310">
        <v>43132</v>
      </c>
      <c r="C12399" s="2307">
        <v>100</v>
      </c>
      <c r="D12399" s="2311">
        <v>147.00059999999999</v>
      </c>
      <c r="E12399" s="2308">
        <v>0.47000599999999992</v>
      </c>
      <c r="F12399" s="2309"/>
      <c r="G12399" s="78"/>
    </row>
    <row r="12400" spans="1:12" ht="12.75" hidden="1" customHeight="1" outlineLevel="1" x14ac:dyDescent="0.25">
      <c r="A12400" s="1956" t="s">
        <v>5859</v>
      </c>
      <c r="B12400" s="2310">
        <v>43160</v>
      </c>
      <c r="C12400" s="2307">
        <v>100</v>
      </c>
      <c r="D12400" s="2311">
        <v>147.48500000000001</v>
      </c>
      <c r="E12400" s="2308">
        <v>0.47485000000000022</v>
      </c>
      <c r="F12400" s="2309"/>
      <c r="G12400" s="78"/>
    </row>
    <row r="12401" spans="1:7" ht="12.75" hidden="1" customHeight="1" outlineLevel="1" x14ac:dyDescent="0.25">
      <c r="A12401" s="1956" t="s">
        <v>5860</v>
      </c>
      <c r="B12401" s="2310">
        <v>43191</v>
      </c>
      <c r="C12401" s="2307">
        <v>100</v>
      </c>
      <c r="D12401" s="2311">
        <v>153.02850000000001</v>
      </c>
      <c r="E12401" s="2308">
        <v>0.53028500000000012</v>
      </c>
      <c r="F12401" s="2309"/>
      <c r="G12401" s="78"/>
    </row>
    <row r="12402" spans="1:7" ht="12.75" hidden="1" customHeight="1" outlineLevel="1" x14ac:dyDescent="0.25">
      <c r="A12402" s="1956" t="s">
        <v>5861</v>
      </c>
      <c r="B12402" s="2310">
        <v>43221</v>
      </c>
      <c r="C12402" s="2307">
        <v>100</v>
      </c>
      <c r="D12402" s="2311">
        <v>153.67590000000001</v>
      </c>
      <c r="E12402" s="2308">
        <v>0.53675900000000021</v>
      </c>
      <c r="F12402" s="2309"/>
      <c r="G12402" s="78"/>
    </row>
    <row r="12403" spans="1:7" ht="12.75" hidden="1" customHeight="1" outlineLevel="1" x14ac:dyDescent="0.25">
      <c r="A12403" s="1956" t="s">
        <v>5862</v>
      </c>
      <c r="B12403" s="2310">
        <v>43252</v>
      </c>
      <c r="C12403" s="2307">
        <v>100</v>
      </c>
      <c r="D12403" s="2311">
        <v>155.7294</v>
      </c>
      <c r="E12403" s="2308">
        <v>0.55729399999999996</v>
      </c>
      <c r="F12403" s="2309"/>
      <c r="G12403" s="78"/>
    </row>
    <row r="12404" spans="1:7" ht="12.75" hidden="1" customHeight="1" outlineLevel="1" x14ac:dyDescent="0.25">
      <c r="A12404" s="1956" t="s">
        <v>5863</v>
      </c>
      <c r="B12404" s="2310">
        <v>43282</v>
      </c>
      <c r="C12404" s="2307">
        <v>100</v>
      </c>
      <c r="D12404" s="2311">
        <v>165.1259</v>
      </c>
      <c r="E12404" s="2308">
        <v>0.65125900000000003</v>
      </c>
      <c r="F12404" s="2309"/>
      <c r="G12404" s="78"/>
    </row>
    <row r="12405" spans="1:7" ht="12.75" hidden="1" customHeight="1" outlineLevel="1" x14ac:dyDescent="0.25">
      <c r="A12405" s="1956" t="s">
        <v>5864</v>
      </c>
      <c r="B12405" s="2310">
        <v>43313</v>
      </c>
      <c r="C12405" s="2307">
        <v>100</v>
      </c>
      <c r="D12405" s="2311">
        <v>170.14840000000001</v>
      </c>
      <c r="E12405" s="2308">
        <v>0.701484</v>
      </c>
      <c r="F12405" s="2309"/>
      <c r="G12405" s="78"/>
    </row>
    <row r="12406" spans="1:7" ht="12.75" hidden="1" customHeight="1" outlineLevel="1" x14ac:dyDescent="0.25">
      <c r="A12406" s="1956" t="s">
        <v>5865</v>
      </c>
      <c r="B12406" s="2310">
        <v>43344</v>
      </c>
      <c r="C12406" s="2307">
        <v>100</v>
      </c>
      <c r="D12406" s="2311">
        <v>177.92490000000001</v>
      </c>
      <c r="E12406" s="2308">
        <v>0.77924900000000008</v>
      </c>
      <c r="F12406" s="2309"/>
      <c r="G12406" s="78"/>
    </row>
    <row r="12407" spans="1:7" ht="12.75" hidden="1" customHeight="1" outlineLevel="1" x14ac:dyDescent="0.25">
      <c r="A12407" s="1956" t="s">
        <v>5866</v>
      </c>
      <c r="B12407" s="2310">
        <v>43374</v>
      </c>
      <c r="C12407" s="2307">
        <v>100</v>
      </c>
      <c r="D12407" s="2311">
        <v>168.28989999999999</v>
      </c>
      <c r="E12407" s="2308">
        <v>0.68289899999999992</v>
      </c>
      <c r="F12407" s="2309"/>
      <c r="G12407" s="78"/>
    </row>
    <row r="12408" spans="1:7" ht="12.75" hidden="1" customHeight="1" outlineLevel="1" x14ac:dyDescent="0.25">
      <c r="A12408" s="1956" t="s">
        <v>5867</v>
      </c>
      <c r="B12408" s="2310">
        <v>43405</v>
      </c>
      <c r="C12408" s="2307">
        <v>100</v>
      </c>
      <c r="D12408" s="2311">
        <v>178.59540000000001</v>
      </c>
      <c r="E12408" s="2308">
        <v>0.78595400000000004</v>
      </c>
      <c r="F12408" s="2309"/>
      <c r="G12408" s="78"/>
    </row>
    <row r="12409" spans="1:7" ht="12.75" hidden="1" customHeight="1" outlineLevel="1" x14ac:dyDescent="0.25">
      <c r="A12409" s="1956" t="s">
        <v>5868</v>
      </c>
      <c r="B12409" s="2310">
        <v>43435</v>
      </c>
      <c r="C12409" s="2307">
        <v>100</v>
      </c>
      <c r="D12409" s="2311">
        <v>159.4915</v>
      </c>
      <c r="E12409" s="2308">
        <v>0.59491500000000008</v>
      </c>
      <c r="F12409" s="2309"/>
      <c r="G12409" s="78"/>
    </row>
    <row r="12410" spans="1:7" ht="12.75" hidden="1" customHeight="1" outlineLevel="1" x14ac:dyDescent="0.25">
      <c r="A12410" s="1956" t="s">
        <v>5869</v>
      </c>
      <c r="B12410" s="2310">
        <v>43466</v>
      </c>
      <c r="C12410" s="2307">
        <v>100</v>
      </c>
      <c r="D12410" s="2311">
        <v>163.66370000000001</v>
      </c>
      <c r="E12410" s="2308">
        <v>0.63663700000000012</v>
      </c>
      <c r="F12410" s="2309"/>
      <c r="G12410" s="78"/>
    </row>
    <row r="12411" spans="1:7" ht="12.75" hidden="1" customHeight="1" outlineLevel="1" x14ac:dyDescent="0.25">
      <c r="A12411" s="1956" t="s">
        <v>5870</v>
      </c>
      <c r="B12411" s="2310">
        <v>43497</v>
      </c>
      <c r="C12411" s="2307">
        <v>100</v>
      </c>
      <c r="D12411" s="2311">
        <v>167.03460000000001</v>
      </c>
      <c r="E12411" s="2308">
        <v>0.67034600000000011</v>
      </c>
      <c r="F12411" s="2309"/>
      <c r="G12411" s="78"/>
    </row>
    <row r="12412" spans="1:7" ht="12.75" hidden="1" customHeight="1" outlineLevel="1" x14ac:dyDescent="0.25">
      <c r="A12412" s="1956" t="s">
        <v>5871</v>
      </c>
      <c r="B12412" s="2310">
        <v>43525</v>
      </c>
      <c r="C12412" s="2307">
        <v>100</v>
      </c>
      <c r="D12412" s="2311">
        <v>162.2105</v>
      </c>
      <c r="E12412" s="2308">
        <v>0.62210499999999991</v>
      </c>
      <c r="F12412" s="2309"/>
      <c r="G12412" s="78"/>
    </row>
    <row r="12413" spans="1:7" ht="12.75" hidden="1" customHeight="1" outlineLevel="1" x14ac:dyDescent="0.25">
      <c r="A12413" s="1956" t="s">
        <v>5872</v>
      </c>
      <c r="B12413" s="2310">
        <v>43556</v>
      </c>
      <c r="C12413" s="2307">
        <v>100</v>
      </c>
      <c r="D12413" s="2311">
        <v>157.8741</v>
      </c>
      <c r="E12413" s="2308">
        <v>0.57874099999999995</v>
      </c>
      <c r="F12413" s="2309"/>
      <c r="G12413" s="78"/>
    </row>
    <row r="12414" spans="1:7" ht="12.75" hidden="1" customHeight="1" outlineLevel="1" x14ac:dyDescent="0.25">
      <c r="A12414" s="1956" t="s">
        <v>5873</v>
      </c>
      <c r="B12414" s="2310">
        <v>43586</v>
      </c>
      <c r="C12414" s="2307">
        <v>100</v>
      </c>
      <c r="D12414" s="2311">
        <v>154.6627</v>
      </c>
      <c r="E12414" s="2308">
        <v>0.54662699999999997</v>
      </c>
      <c r="F12414" s="2309"/>
      <c r="G12414" s="78"/>
    </row>
    <row r="12415" spans="1:7" ht="12.75" hidden="1" customHeight="1" outlineLevel="1" x14ac:dyDescent="0.25">
      <c r="A12415" s="1956" t="s">
        <v>5874</v>
      </c>
      <c r="B12415" s="2310">
        <v>43617</v>
      </c>
      <c r="C12415" s="2307">
        <v>100</v>
      </c>
      <c r="D12415" s="2311">
        <v>160.1576</v>
      </c>
      <c r="E12415" s="2308">
        <v>0.60157600000000011</v>
      </c>
      <c r="F12415" s="2309"/>
      <c r="G12415" s="78"/>
    </row>
    <row r="12416" spans="1:7" ht="12.75" hidden="1" customHeight="1" outlineLevel="1" x14ac:dyDescent="0.25">
      <c r="A12416" s="2189" t="s">
        <v>2734</v>
      </c>
      <c r="B12416" s="2190"/>
      <c r="C12416" s="2311"/>
      <c r="D12416" s="2191" t="s">
        <v>2465</v>
      </c>
      <c r="E12416" s="1987">
        <v>0.60867766666666678</v>
      </c>
      <c r="F12416" s="2192">
        <v>0.60867766666666678</v>
      </c>
      <c r="G12416" s="78"/>
    </row>
    <row r="12417" spans="1:17" collapsed="1" x14ac:dyDescent="0.25">
      <c r="A12417" s="2280" t="s">
        <v>5838</v>
      </c>
      <c r="B12417" s="2281"/>
      <c r="C12417" s="2281"/>
      <c r="D12417" s="2281"/>
      <c r="E12417" s="1906"/>
      <c r="F12417" s="1907">
        <v>0.36520660000000005</v>
      </c>
      <c r="G12417" s="78"/>
    </row>
    <row r="12418" spans="1:17" x14ac:dyDescent="0.25">
      <c r="A12418" t="s">
        <v>2734</v>
      </c>
    </row>
    <row r="12419" spans="1:17" ht="12.75" hidden="1" customHeight="1" outlineLevel="1" x14ac:dyDescent="0.25">
      <c r="A12419" s="2282" t="s">
        <v>113</v>
      </c>
      <c r="B12419" s="2282" t="s">
        <v>114</v>
      </c>
      <c r="C12419" s="2282" t="s">
        <v>112</v>
      </c>
      <c r="D12419" s="2282" t="s">
        <v>116</v>
      </c>
      <c r="E12419" s="2282" t="s">
        <v>117</v>
      </c>
      <c r="F12419" s="2283" t="s">
        <v>121</v>
      </c>
      <c r="G12419" s="78"/>
    </row>
    <row r="12420" spans="1:17" ht="12.75" hidden="1" customHeight="1" outlineLevel="1" x14ac:dyDescent="0.25">
      <c r="A12420" s="2284">
        <v>1</v>
      </c>
      <c r="B12420" s="2285" t="s">
        <v>252</v>
      </c>
      <c r="C12420" s="2286">
        <v>100</v>
      </c>
      <c r="D12420" s="2286"/>
      <c r="E12420" s="2287"/>
      <c r="F12420" s="2288"/>
      <c r="G12420" s="78"/>
    </row>
    <row r="12421" spans="1:17" ht="12.75" hidden="1" customHeight="1" outlineLevel="1" x14ac:dyDescent="0.25">
      <c r="A12421" s="2289" t="s">
        <v>2734</v>
      </c>
      <c r="B12421" s="2289"/>
      <c r="C12421" s="2290"/>
      <c r="D12421" s="1900" t="s">
        <v>3702</v>
      </c>
      <c r="E12421" s="2291">
        <v>43644</v>
      </c>
      <c r="F12421" s="2292"/>
      <c r="G12421" s="78"/>
      <c r="I12421" s="3216">
        <v>2</v>
      </c>
      <c r="J12421" s="3217" t="s">
        <v>252</v>
      </c>
      <c r="K12421" s="3218"/>
      <c r="L12421" s="3218"/>
      <c r="M12421" s="3218"/>
      <c r="N12421" s="3218"/>
      <c r="O12421" s="3218"/>
    </row>
    <row r="12422" spans="1:17" ht="12.75" hidden="1" customHeight="1" outlineLevel="1" x14ac:dyDescent="0.3">
      <c r="A12422" s="2282" t="s">
        <v>4156</v>
      </c>
      <c r="B12422" s="2293" t="s">
        <v>4153</v>
      </c>
      <c r="C12422" s="2294" t="s">
        <v>112</v>
      </c>
      <c r="D12422" s="2293" t="s">
        <v>4155</v>
      </c>
      <c r="E12422" s="2282" t="s">
        <v>4154</v>
      </c>
      <c r="F12422" s="2295" t="s">
        <v>2519</v>
      </c>
      <c r="G12422" s="78"/>
      <c r="I12422" s="3219" t="s">
        <v>4156</v>
      </c>
      <c r="J12422" s="3220" t="s">
        <v>5272</v>
      </c>
      <c r="K12422" s="3221" t="s">
        <v>6667</v>
      </c>
      <c r="L12422" s="3219" t="s">
        <v>6668</v>
      </c>
      <c r="M12422" s="3219" t="s">
        <v>4154</v>
      </c>
      <c r="N12422" s="3222" t="s">
        <v>2519</v>
      </c>
      <c r="O12422" s="3223"/>
    </row>
    <row r="12423" spans="1:17" ht="12.75" hidden="1" customHeight="1" outlineLevel="1" x14ac:dyDescent="0.25">
      <c r="A12423" s="1991">
        <v>0.02</v>
      </c>
      <c r="B12423" s="1992" t="s">
        <v>6072</v>
      </c>
      <c r="C12423" s="2177">
        <v>14.612551865983383</v>
      </c>
      <c r="D12423" s="2296">
        <v>20.010000000000002</v>
      </c>
      <c r="E12423" s="2297">
        <v>0.36937067416550007</v>
      </c>
      <c r="F12423" s="2295">
        <v>7.3874134833100012E-3</v>
      </c>
      <c r="G12423" s="78"/>
      <c r="H12423" t="s">
        <v>8514</v>
      </c>
      <c r="I12423" s="3224">
        <v>0.1</v>
      </c>
      <c r="J12423" s="3223" t="s">
        <v>5913</v>
      </c>
      <c r="K12423" s="3223">
        <v>25.347999999999999</v>
      </c>
      <c r="L12423" s="3223">
        <v>37.04</v>
      </c>
      <c r="M12423" s="3225">
        <v>0.46125927094839825</v>
      </c>
      <c r="N12423" s="3226">
        <v>4.6125927094839828E-2</v>
      </c>
      <c r="O12423" s="3223" t="s">
        <v>5899</v>
      </c>
      <c r="Q12423" s="434"/>
    </row>
    <row r="12424" spans="1:17" ht="12.75" hidden="1" customHeight="1" outlineLevel="1" x14ac:dyDescent="0.25">
      <c r="A12424" s="1997">
        <v>0.02</v>
      </c>
      <c r="B12424" s="1921" t="s">
        <v>5745</v>
      </c>
      <c r="C12424" s="2179">
        <v>31.908000000000001</v>
      </c>
      <c r="D12424" s="2298">
        <v>28.21</v>
      </c>
      <c r="E12424" s="2299">
        <v>-0.11589570013789641</v>
      </c>
      <c r="F12424" s="2300">
        <v>-2.3179140027579283E-3</v>
      </c>
      <c r="G12424" s="78"/>
      <c r="H12424" t="s">
        <v>5743</v>
      </c>
      <c r="I12424" s="3224">
        <v>0.1</v>
      </c>
      <c r="J12424" s="3223" t="s">
        <v>5910</v>
      </c>
      <c r="K12424" s="3223">
        <v>118.008</v>
      </c>
      <c r="L12424" s="3223">
        <v>161.62</v>
      </c>
      <c r="M12424" s="3225">
        <v>0.3695681648701783</v>
      </c>
      <c r="N12424" s="3226">
        <v>3.6956816487017832E-2</v>
      </c>
      <c r="O12424" s="3223" t="s">
        <v>5900</v>
      </c>
      <c r="Q12424" s="434"/>
    </row>
    <row r="12425" spans="1:17" ht="12.75" hidden="1" customHeight="1" outlineLevel="1" x14ac:dyDescent="0.25">
      <c r="A12425" s="1997">
        <v>0.02</v>
      </c>
      <c r="B12425" s="1921" t="s">
        <v>5748</v>
      </c>
      <c r="C12425" s="2179">
        <v>65.756</v>
      </c>
      <c r="D12425" s="2298">
        <v>70.34</v>
      </c>
      <c r="E12425" s="2299">
        <v>6.971226960277388E-2</v>
      </c>
      <c r="F12425" s="2300">
        <v>1.3942453920554776E-3</v>
      </c>
      <c r="G12425" s="78"/>
      <c r="H12425" t="s">
        <v>5746</v>
      </c>
      <c r="I12425" s="3224">
        <v>0.1</v>
      </c>
      <c r="J12425" s="3223" t="s">
        <v>5912</v>
      </c>
      <c r="K12425" s="3223">
        <v>34.851999999999997</v>
      </c>
      <c r="L12425" s="3223">
        <v>37.823999999999998</v>
      </c>
      <c r="M12425" s="3225">
        <v>8.527487662114086E-2</v>
      </c>
      <c r="N12425" s="3226">
        <v>8.527487662114086E-3</v>
      </c>
      <c r="O12425" s="3223" t="s">
        <v>5901</v>
      </c>
      <c r="Q12425" s="434"/>
    </row>
    <row r="12426" spans="1:17" ht="12.75" hidden="1" customHeight="1" outlineLevel="1" x14ac:dyDescent="0.25">
      <c r="A12426" s="1997">
        <v>0.04</v>
      </c>
      <c r="B12426" s="2301" t="s">
        <v>807</v>
      </c>
      <c r="C12426" s="2179">
        <v>46.677999999999997</v>
      </c>
      <c r="D12426" s="2298">
        <v>59.58</v>
      </c>
      <c r="E12426" s="2299">
        <v>0.27640430181241693</v>
      </c>
      <c r="F12426" s="2300">
        <v>1.1056172072496677E-2</v>
      </c>
      <c r="G12426" s="78"/>
      <c r="H12426" t="s">
        <v>808</v>
      </c>
      <c r="I12426" s="3224">
        <v>0.1</v>
      </c>
      <c r="J12426" s="3223" t="s">
        <v>5911</v>
      </c>
      <c r="K12426" s="3223">
        <v>51.173999999999999</v>
      </c>
      <c r="L12426" s="3223">
        <v>70.856000000000009</v>
      </c>
      <c r="M12426" s="3225">
        <v>0.38460937194669187</v>
      </c>
      <c r="N12426" s="3226">
        <v>3.8460937194669191E-2</v>
      </c>
      <c r="O12426" s="3223" t="s">
        <v>5902</v>
      </c>
      <c r="Q12426" s="434"/>
    </row>
    <row r="12427" spans="1:17" ht="12.75" hidden="1" customHeight="1" outlineLevel="1" x14ac:dyDescent="0.25">
      <c r="A12427" s="1997">
        <v>0.02</v>
      </c>
      <c r="B12427" s="2101" t="s">
        <v>2582</v>
      </c>
      <c r="C12427" s="2179">
        <v>1734.2743234109182</v>
      </c>
      <c r="D12427" s="2298">
        <v>2015</v>
      </c>
      <c r="E12427" s="2299">
        <v>0.16186924571250016</v>
      </c>
      <c r="F12427" s="2300">
        <v>3.2373849142500032E-3</v>
      </c>
      <c r="G12427" s="78"/>
      <c r="H12427" t="s">
        <v>9582</v>
      </c>
      <c r="I12427" s="3224">
        <v>0.1</v>
      </c>
      <c r="J12427" s="3223" t="s">
        <v>5914</v>
      </c>
      <c r="K12427" s="3223">
        <v>116.012</v>
      </c>
      <c r="L12427" s="3223">
        <v>126.46600000000001</v>
      </c>
      <c r="M12427" s="3225">
        <v>9.0111367789539099E-2</v>
      </c>
      <c r="N12427" s="3226">
        <v>9.0111367789539095E-3</v>
      </c>
      <c r="O12427" s="3223" t="s">
        <v>5903</v>
      </c>
      <c r="Q12427" s="434"/>
    </row>
    <row r="12428" spans="1:17" ht="12.75" hidden="1" customHeight="1" outlineLevel="1" x14ac:dyDescent="0.25">
      <c r="A12428" s="1997">
        <v>0.05</v>
      </c>
      <c r="B12428" s="1921" t="s">
        <v>1141</v>
      </c>
      <c r="C12428" s="2179">
        <v>84.438000000000002</v>
      </c>
      <c r="D12428" s="2298">
        <v>65.09</v>
      </c>
      <c r="E12428" s="2299">
        <v>-0.22913853952012131</v>
      </c>
      <c r="F12428" s="2300">
        <v>-1.1456926976006067E-2</v>
      </c>
      <c r="G12428" s="78"/>
      <c r="H12428" t="s">
        <v>666</v>
      </c>
      <c r="I12428" s="3224">
        <v>0.1</v>
      </c>
      <c r="J12428" s="3223" t="s">
        <v>5915</v>
      </c>
      <c r="K12428" s="3223">
        <v>43.542000000000002</v>
      </c>
      <c r="L12428" s="3223">
        <v>41.532000000000004</v>
      </c>
      <c r="M12428" s="3225">
        <v>-4.6162326030039891E-2</v>
      </c>
      <c r="N12428" s="3226">
        <v>-4.6162326030039893E-3</v>
      </c>
      <c r="O12428" s="3223" t="s">
        <v>5904</v>
      </c>
      <c r="Q12428" s="434"/>
    </row>
    <row r="12429" spans="1:17" ht="12.75" hidden="1" customHeight="1" outlineLevel="1" x14ac:dyDescent="0.25">
      <c r="A12429" s="1997">
        <v>7.0000000000000007E-2</v>
      </c>
      <c r="B12429" s="1921" t="s">
        <v>901</v>
      </c>
      <c r="C12429" s="2179">
        <v>2820.6441160204454</v>
      </c>
      <c r="D12429" s="2298">
        <v>2749</v>
      </c>
      <c r="E12429" s="2299">
        <v>-2.5399913308285615E-2</v>
      </c>
      <c r="F12429" s="2300">
        <v>-1.7779939315799933E-3</v>
      </c>
      <c r="G12429" s="78"/>
      <c r="H12429" t="s">
        <v>531</v>
      </c>
      <c r="I12429" s="3224">
        <v>0.1</v>
      </c>
      <c r="J12429" s="3223" t="s">
        <v>5897</v>
      </c>
      <c r="K12429" s="3223">
        <v>76.822000000000003</v>
      </c>
      <c r="L12429" s="3223">
        <v>88.194000000000003</v>
      </c>
      <c r="M12429" s="3225">
        <v>0.14803051209288998</v>
      </c>
      <c r="N12429" s="3226">
        <v>1.4803051209288999E-2</v>
      </c>
      <c r="O12429" s="3223" t="s">
        <v>253</v>
      </c>
      <c r="Q12429" s="434"/>
    </row>
    <row r="12430" spans="1:17" ht="12.75" hidden="1" customHeight="1" outlineLevel="1" x14ac:dyDescent="0.25">
      <c r="A12430" s="1997">
        <v>0.03</v>
      </c>
      <c r="B12430" s="1921" t="s">
        <v>2353</v>
      </c>
      <c r="C12430" s="2179">
        <v>609.1</v>
      </c>
      <c r="D12430" s="2298">
        <v>538.4</v>
      </c>
      <c r="E12430" s="2299">
        <v>-0.11607289443441149</v>
      </c>
      <c r="F12430" s="2300">
        <v>-3.4821868330323445E-3</v>
      </c>
      <c r="G12430" s="78"/>
      <c r="H12430" t="s">
        <v>2354</v>
      </c>
      <c r="I12430" s="3224">
        <v>0.1</v>
      </c>
      <c r="J12430" s="3223" t="s">
        <v>5898</v>
      </c>
      <c r="K12430" s="3223">
        <v>39.200000000000003</v>
      </c>
      <c r="L12430" s="3223">
        <v>44.333999999999996</v>
      </c>
      <c r="M12430" s="3225">
        <v>0.13096938775510192</v>
      </c>
      <c r="N12430" s="3226">
        <v>1.3096938775510193E-2</v>
      </c>
      <c r="O12430" s="3223" t="s">
        <v>2123</v>
      </c>
      <c r="Q12430" s="434"/>
    </row>
    <row r="12431" spans="1:17" ht="12.75" hidden="1" customHeight="1" outlineLevel="1" x14ac:dyDescent="0.25">
      <c r="A12431" s="1997">
        <v>0.05</v>
      </c>
      <c r="B12431" s="1921" t="s">
        <v>4055</v>
      </c>
      <c r="C12431" s="2179">
        <v>63.36</v>
      </c>
      <c r="D12431" s="2298">
        <v>86.2</v>
      </c>
      <c r="E12431" s="2299">
        <v>0.36047979797979801</v>
      </c>
      <c r="F12431" s="2300">
        <v>1.8023989898989901E-2</v>
      </c>
      <c r="G12431" s="78"/>
      <c r="H12431" t="s">
        <v>4056</v>
      </c>
      <c r="I12431" s="3224">
        <v>0.1</v>
      </c>
      <c r="J12431" s="3223" t="s">
        <v>3817</v>
      </c>
      <c r="K12431" s="3223">
        <v>44.287999999999997</v>
      </c>
      <c r="L12431" s="3223">
        <v>54.39200000000001</v>
      </c>
      <c r="M12431" s="3225">
        <v>0.22814306358381531</v>
      </c>
      <c r="N12431" s="3226">
        <v>2.2814306358381532E-2</v>
      </c>
      <c r="O12431" s="3223" t="s">
        <v>1914</v>
      </c>
      <c r="Q12431" s="434"/>
    </row>
    <row r="12432" spans="1:17" ht="12.75" hidden="1" customHeight="1" outlineLevel="1" x14ac:dyDescent="0.25">
      <c r="A12432" s="1997">
        <v>0.04</v>
      </c>
      <c r="B12432" s="1921" t="s">
        <v>1319</v>
      </c>
      <c r="C12432" s="2179">
        <v>55.472000000000001</v>
      </c>
      <c r="D12432" s="2298">
        <v>87.68</v>
      </c>
      <c r="E12432" s="2299">
        <v>0.58061724834150574</v>
      </c>
      <c r="F12432" s="2300">
        <v>2.3224689933660229E-2</v>
      </c>
      <c r="G12432" s="78"/>
      <c r="H12432" t="s">
        <v>1320</v>
      </c>
      <c r="I12432" s="3224">
        <v>0.1</v>
      </c>
      <c r="J12432" s="3223" t="s">
        <v>5916</v>
      </c>
      <c r="K12432" s="3223">
        <v>29.884</v>
      </c>
      <c r="L12432" s="3223">
        <v>35.356000000000002</v>
      </c>
      <c r="M12432" s="3225">
        <v>0.18310801766831752</v>
      </c>
      <c r="N12432" s="3226">
        <v>1.8310801766831752E-2</v>
      </c>
      <c r="O12432" s="3223" t="s">
        <v>5905</v>
      </c>
      <c r="Q12432" s="434"/>
    </row>
    <row r="12433" spans="1:17" ht="12.75" hidden="1" customHeight="1" outlineLevel="1" x14ac:dyDescent="0.25">
      <c r="A12433" s="1997">
        <v>0.02</v>
      </c>
      <c r="B12433" s="1921" t="s">
        <v>8914</v>
      </c>
      <c r="C12433" s="2179">
        <v>116.54637497680798</v>
      </c>
      <c r="D12433" s="2298">
        <v>264.26</v>
      </c>
      <c r="E12433" s="2299">
        <v>1.2674235904170001</v>
      </c>
      <c r="F12433" s="2300">
        <v>2.5348471808340003E-2</v>
      </c>
      <c r="G12433" s="78"/>
      <c r="H12433" t="s">
        <v>8915</v>
      </c>
      <c r="I12433" s="3218"/>
      <c r="J12433" s="3218"/>
      <c r="K12433" s="3218"/>
      <c r="L12433" s="3218"/>
      <c r="M12433" s="3218"/>
      <c r="N12433" s="3227">
        <v>0.20349117072460332</v>
      </c>
      <c r="O12433" s="3218"/>
      <c r="Q12433" s="434"/>
    </row>
    <row r="12434" spans="1:17" ht="12.75" hidden="1" customHeight="1" outlineLevel="1" x14ac:dyDescent="0.25">
      <c r="A12434" s="1997">
        <v>0.05</v>
      </c>
      <c r="B12434" s="1921" t="s">
        <v>1036</v>
      </c>
      <c r="C12434" s="2179">
        <v>123.74346615318474</v>
      </c>
      <c r="D12434" s="2298">
        <v>194.5</v>
      </c>
      <c r="E12434" s="2299">
        <v>0.57180016082000007</v>
      </c>
      <c r="F12434" s="2300">
        <v>2.8590008041000006E-2</v>
      </c>
      <c r="G12434" s="78"/>
      <c r="H12434" t="s">
        <v>1066</v>
      </c>
      <c r="Q12434" s="434"/>
    </row>
    <row r="12435" spans="1:17" ht="12.75" hidden="1" customHeight="1" outlineLevel="1" x14ac:dyDescent="0.25">
      <c r="A12435" s="1997">
        <v>0.02</v>
      </c>
      <c r="B12435" s="1921" t="s">
        <v>2920</v>
      </c>
      <c r="C12435" s="2179">
        <v>23.802</v>
      </c>
      <c r="D12435" s="2298">
        <v>47.87</v>
      </c>
      <c r="E12435" s="2299">
        <v>1.0111755314679436</v>
      </c>
      <c r="F12435" s="2300">
        <v>2.0223510629358871E-2</v>
      </c>
      <c r="G12435" s="78"/>
      <c r="H12435" t="s">
        <v>6731</v>
      </c>
      <c r="Q12435" s="434"/>
    </row>
    <row r="12436" spans="1:17" ht="12.75" hidden="1" customHeight="1" outlineLevel="1" x14ac:dyDescent="0.25">
      <c r="A12436" s="1997">
        <v>0.05</v>
      </c>
      <c r="B12436" s="1921" t="s">
        <v>5751</v>
      </c>
      <c r="C12436" s="2179">
        <v>11.2</v>
      </c>
      <c r="D12436" s="2298">
        <v>6.66</v>
      </c>
      <c r="E12436" s="2299">
        <v>-0.40535714285714286</v>
      </c>
      <c r="F12436" s="2300">
        <v>-2.0267857142857143E-2</v>
      </c>
      <c r="G12436" s="78"/>
      <c r="H12436" t="s">
        <v>5749</v>
      </c>
      <c r="Q12436" s="434"/>
    </row>
    <row r="12437" spans="1:17" ht="12.75" hidden="1" customHeight="1" outlineLevel="1" x14ac:dyDescent="0.25">
      <c r="A12437" s="1997">
        <v>0.03</v>
      </c>
      <c r="B12437" s="1921" t="s">
        <v>2786</v>
      </c>
      <c r="C12437" s="2179">
        <v>780.98595597002975</v>
      </c>
      <c r="D12437" s="2298">
        <v>835.8</v>
      </c>
      <c r="E12437" s="2299">
        <v>7.0185697464800079E-2</v>
      </c>
      <c r="F12437" s="2300">
        <v>2.1055709239440022E-3</v>
      </c>
      <c r="G12437" s="78"/>
      <c r="H12437" t="s">
        <v>4195</v>
      </c>
      <c r="Q12437" s="434"/>
    </row>
    <row r="12438" spans="1:17" ht="12.75" hidden="1" customHeight="1" outlineLevel="1" x14ac:dyDescent="0.25">
      <c r="A12438" s="1997">
        <v>0.05</v>
      </c>
      <c r="B12438" s="1921" t="s">
        <v>3958</v>
      </c>
      <c r="C12438" s="2179">
        <v>1344.6</v>
      </c>
      <c r="D12438" s="2298">
        <v>819.4</v>
      </c>
      <c r="E12438" s="2299">
        <v>-0.39059943477614156</v>
      </c>
      <c r="F12438" s="2300">
        <v>-1.9529971738807078E-2</v>
      </c>
      <c r="G12438" s="78"/>
      <c r="H12438" t="s">
        <v>3959</v>
      </c>
      <c r="Q12438" s="434"/>
    </row>
    <row r="12439" spans="1:17" ht="12.75" hidden="1" customHeight="1" outlineLevel="1" x14ac:dyDescent="0.25">
      <c r="A12439" s="1997">
        <v>0.03</v>
      </c>
      <c r="B12439" s="1921" t="s">
        <v>2769</v>
      </c>
      <c r="C12439" s="2179">
        <v>28.396850495088724</v>
      </c>
      <c r="D12439" s="2298">
        <v>31.01</v>
      </c>
      <c r="E12439" s="2299">
        <v>9.2022511629000103E-2</v>
      </c>
      <c r="F12439" s="2300">
        <v>2.760675348870003E-3</v>
      </c>
      <c r="G12439" s="78"/>
      <c r="H12439" t="s">
        <v>2770</v>
      </c>
      <c r="Q12439" s="434"/>
    </row>
    <row r="12440" spans="1:17" ht="12.75" hidden="1" customHeight="1" outlineLevel="1" x14ac:dyDescent="0.25">
      <c r="A12440" s="1997">
        <v>0.02</v>
      </c>
      <c r="B12440" s="1921" t="s">
        <v>2728</v>
      </c>
      <c r="C12440" s="2179">
        <v>70.873999999999995</v>
      </c>
      <c r="D12440" s="2298">
        <v>104.07</v>
      </c>
      <c r="E12440" s="2299">
        <v>0.46838050625052907</v>
      </c>
      <c r="F12440" s="2300">
        <v>9.3676101250105819E-3</v>
      </c>
      <c r="G12440" s="78"/>
      <c r="H12440" t="s">
        <v>9049</v>
      </c>
      <c r="Q12440" s="434"/>
    </row>
    <row r="12441" spans="1:17" ht="12.75" hidden="1" customHeight="1" outlineLevel="1" x14ac:dyDescent="0.25">
      <c r="A12441" s="1997">
        <v>0.02</v>
      </c>
      <c r="B12441" s="2101" t="s">
        <v>2586</v>
      </c>
      <c r="C12441" s="2179">
        <v>2171.4</v>
      </c>
      <c r="D12441" s="2298">
        <v>2581</v>
      </c>
      <c r="E12441" s="2299">
        <v>0.18863406097448654</v>
      </c>
      <c r="F12441" s="2300">
        <v>3.772681219489731E-3</v>
      </c>
      <c r="G12441" s="78"/>
      <c r="H12441" t="s">
        <v>7803</v>
      </c>
      <c r="Q12441" s="434"/>
    </row>
    <row r="12442" spans="1:17" ht="12.75" hidden="1" customHeight="1" outlineLevel="1" x14ac:dyDescent="0.25">
      <c r="A12442" s="1997">
        <v>0.02</v>
      </c>
      <c r="B12442" s="1921" t="s">
        <v>5755</v>
      </c>
      <c r="C12442" s="2179">
        <v>22.590271076193456</v>
      </c>
      <c r="D12442" s="2298">
        <v>8.27</v>
      </c>
      <c r="E12442" s="2299">
        <v>-0.63391320218750002</v>
      </c>
      <c r="F12442" s="2300">
        <v>-1.267826404375E-2</v>
      </c>
      <c r="G12442" s="78"/>
      <c r="H12442" t="s">
        <v>8917</v>
      </c>
      <c r="Q12442" s="434"/>
    </row>
    <row r="12443" spans="1:17" ht="12.75" hidden="1" customHeight="1" outlineLevel="1" x14ac:dyDescent="0.25">
      <c r="A12443" s="1997">
        <v>0.04</v>
      </c>
      <c r="B12443" s="1921" t="s">
        <v>1214</v>
      </c>
      <c r="C12443" s="2179">
        <v>97.772000000000006</v>
      </c>
      <c r="D12443" s="2298">
        <v>104.6</v>
      </c>
      <c r="E12443" s="2299">
        <v>6.9835944851286635E-2</v>
      </c>
      <c r="F12443" s="2300">
        <v>2.7934377940514654E-3</v>
      </c>
      <c r="G12443" s="78"/>
      <c r="H12443" t="s">
        <v>3775</v>
      </c>
      <c r="Q12443" s="434"/>
    </row>
    <row r="12444" spans="1:17" ht="12.75" hidden="1" customHeight="1" outlineLevel="1" x14ac:dyDescent="0.25">
      <c r="A12444" s="1997">
        <v>0.02</v>
      </c>
      <c r="B12444" s="1921" t="s">
        <v>3427</v>
      </c>
      <c r="C12444" s="2179">
        <v>40.853999999999999</v>
      </c>
      <c r="D12444" s="2298">
        <v>55.28</v>
      </c>
      <c r="E12444" s="2299">
        <v>0.35311107847456813</v>
      </c>
      <c r="F12444" s="2300">
        <v>7.0622215694913625E-3</v>
      </c>
      <c r="G12444" s="78"/>
      <c r="H12444" t="s">
        <v>2800</v>
      </c>
      <c r="Q12444" s="434"/>
    </row>
    <row r="12445" spans="1:17" ht="12.75" hidden="1" customHeight="1" outlineLevel="1" x14ac:dyDescent="0.25">
      <c r="A12445" s="1997">
        <v>0.02</v>
      </c>
      <c r="B12445" s="1921" t="s">
        <v>1857</v>
      </c>
      <c r="C12445" s="2179">
        <v>1355.6</v>
      </c>
      <c r="D12445" s="2298">
        <v>1122</v>
      </c>
      <c r="E12445" s="2299">
        <v>-0.17232221894364108</v>
      </c>
      <c r="F12445" s="2300">
        <v>-3.4464443788728219E-3</v>
      </c>
      <c r="G12445" s="78"/>
      <c r="H12445" t="s">
        <v>3559</v>
      </c>
      <c r="Q12445" s="434"/>
    </row>
    <row r="12446" spans="1:17" ht="12.75" hidden="1" customHeight="1" outlineLevel="1" x14ac:dyDescent="0.25">
      <c r="A12446" s="1997">
        <v>0.02</v>
      </c>
      <c r="B12446" s="1921" t="s">
        <v>2778</v>
      </c>
      <c r="C12446" s="2179">
        <v>1381.3473405858276</v>
      </c>
      <c r="D12446" s="2298">
        <v>714.2</v>
      </c>
      <c r="E12446" s="2299">
        <v>-0.48296856336139993</v>
      </c>
      <c r="F12446" s="2300">
        <v>-9.6593712672279983E-3</v>
      </c>
      <c r="G12446" s="78"/>
      <c r="H12446" t="s">
        <v>1947</v>
      </c>
      <c r="Q12446" s="434"/>
    </row>
    <row r="12447" spans="1:17" ht="12.75" hidden="1" customHeight="1" outlineLevel="1" x14ac:dyDescent="0.25">
      <c r="A12447" s="1997">
        <v>0.08</v>
      </c>
      <c r="B12447" s="1921" t="s">
        <v>1239</v>
      </c>
      <c r="C12447" s="2179">
        <v>462.84</v>
      </c>
      <c r="D12447" s="2298">
        <v>490.1</v>
      </c>
      <c r="E12447" s="2299">
        <v>5.8897243107769448E-2</v>
      </c>
      <c r="F12447" s="2300">
        <v>4.7117794486215558E-3</v>
      </c>
      <c r="G12447" s="78"/>
      <c r="H12447" t="s">
        <v>8891</v>
      </c>
      <c r="Q12447" s="434"/>
    </row>
    <row r="12448" spans="1:17" ht="12.75" hidden="1" customHeight="1" outlineLevel="1" x14ac:dyDescent="0.25">
      <c r="A12448" s="1997">
        <v>0.03</v>
      </c>
      <c r="B12448" s="1921" t="s">
        <v>3641</v>
      </c>
      <c r="C12448" s="2179">
        <v>102.08199999999999</v>
      </c>
      <c r="D12448" s="2298">
        <v>103.27</v>
      </c>
      <c r="E12448" s="2299">
        <v>1.1637703023059887E-2</v>
      </c>
      <c r="F12448" s="2300">
        <v>3.491310906917966E-4</v>
      </c>
      <c r="G12448" s="78"/>
      <c r="H12448" t="s">
        <v>3642</v>
      </c>
      <c r="Q12448" s="434"/>
    </row>
    <row r="12449" spans="1:17" ht="12.75" hidden="1" customHeight="1" outlineLevel="1" x14ac:dyDescent="0.25">
      <c r="A12449" s="1997">
        <v>0.02</v>
      </c>
      <c r="B12449" s="1921" t="s">
        <v>5758</v>
      </c>
      <c r="C12449" s="2179">
        <v>50.35929278078261</v>
      </c>
      <c r="D12449" s="2298">
        <v>68.349999999999994</v>
      </c>
      <c r="E12449" s="2299">
        <v>0.35724701888749988</v>
      </c>
      <c r="F12449" s="2300">
        <v>7.1449403777499977E-3</v>
      </c>
      <c r="G12449" s="78"/>
      <c r="H12449" t="s">
        <v>5756</v>
      </c>
      <c r="Q12449" s="434"/>
    </row>
    <row r="12450" spans="1:17" ht="12.75" hidden="1" customHeight="1" outlineLevel="1" x14ac:dyDescent="0.25">
      <c r="A12450" s="1997">
        <v>0.02</v>
      </c>
      <c r="B12450" s="1921" t="s">
        <v>579</v>
      </c>
      <c r="C12450" s="2179">
        <v>235.00878239746515</v>
      </c>
      <c r="D12450" s="2298">
        <v>129.32</v>
      </c>
      <c r="E12450" s="2299">
        <v>-0.44972269257034003</v>
      </c>
      <c r="F12450" s="2300">
        <v>-8.9944538514068004E-3</v>
      </c>
      <c r="G12450" s="78"/>
      <c r="H12450" t="s">
        <v>3611</v>
      </c>
      <c r="Q12450" s="434"/>
    </row>
    <row r="12451" spans="1:17" ht="12.75" hidden="1" customHeight="1" outlineLevel="1" x14ac:dyDescent="0.25">
      <c r="A12451" s="1997">
        <v>0.08</v>
      </c>
      <c r="B12451" s="2109" t="s">
        <v>5174</v>
      </c>
      <c r="C12451" s="2179">
        <v>265.02</v>
      </c>
      <c r="D12451" s="2302">
        <v>201.4</v>
      </c>
      <c r="E12451" s="2299">
        <v>-0.24005735416194995</v>
      </c>
      <c r="F12451" s="2300">
        <v>-1.9204588332955998E-2</v>
      </c>
      <c r="G12451" s="78"/>
      <c r="H12451" t="s">
        <v>5172</v>
      </c>
      <c r="Q12451" s="434"/>
    </row>
    <row r="12452" spans="1:17" ht="12.75" hidden="1" customHeight="1" outlineLevel="1" x14ac:dyDescent="0.25">
      <c r="A12452" s="2181" t="s">
        <v>2734</v>
      </c>
      <c r="B12452" s="2103"/>
      <c r="C12452" s="2303"/>
      <c r="D12452" s="2304"/>
      <c r="E12452" s="2305"/>
      <c r="F12452" s="2295">
        <v>6.5737961572127496E-2</v>
      </c>
      <c r="G12452" s="78"/>
    </row>
    <row r="12453" spans="1:17" ht="12.75" hidden="1" customHeight="1" outlineLevel="1" x14ac:dyDescent="0.25">
      <c r="A12453" s="1956" t="s">
        <v>5875</v>
      </c>
      <c r="B12453" s="2306">
        <v>43101</v>
      </c>
      <c r="C12453" s="2307">
        <v>100</v>
      </c>
      <c r="D12453" s="2307">
        <v>115.32089999999999</v>
      </c>
      <c r="E12453" s="2308">
        <v>0.15320899999999993</v>
      </c>
      <c r="F12453" s="2309"/>
      <c r="G12453" s="78"/>
    </row>
    <row r="12454" spans="1:17" ht="12.75" hidden="1" customHeight="1" outlineLevel="1" x14ac:dyDescent="0.25">
      <c r="A12454" s="1956" t="s">
        <v>5876</v>
      </c>
      <c r="B12454" s="2310">
        <v>43132</v>
      </c>
      <c r="C12454" s="2307">
        <v>100</v>
      </c>
      <c r="D12454" s="2311">
        <v>109.9691</v>
      </c>
      <c r="E12454" s="2308">
        <v>9.9690999999999974E-2</v>
      </c>
      <c r="F12454" s="2309"/>
      <c r="G12454" s="78"/>
    </row>
    <row r="12455" spans="1:17" ht="12.75" hidden="1" customHeight="1" outlineLevel="1" x14ac:dyDescent="0.25">
      <c r="A12455" s="1956" t="s">
        <v>5877</v>
      </c>
      <c r="B12455" s="2310">
        <v>43160</v>
      </c>
      <c r="C12455" s="2307">
        <v>100</v>
      </c>
      <c r="D12455" s="2311">
        <v>108.21939999999999</v>
      </c>
      <c r="E12455" s="2308">
        <v>8.2193999999999878E-2</v>
      </c>
      <c r="F12455" s="2309"/>
      <c r="G12455" s="78"/>
    </row>
    <row r="12456" spans="1:17" ht="12.75" hidden="1" customHeight="1" outlineLevel="1" x14ac:dyDescent="0.25">
      <c r="A12456" s="1956" t="s">
        <v>5878</v>
      </c>
      <c r="B12456" s="2310">
        <v>43191</v>
      </c>
      <c r="C12456" s="2307">
        <v>100</v>
      </c>
      <c r="D12456" s="2311">
        <v>112.3017</v>
      </c>
      <c r="E12456" s="2308">
        <v>0.12301699999999993</v>
      </c>
      <c r="F12456" s="2309"/>
      <c r="G12456" s="78"/>
    </row>
    <row r="12457" spans="1:17" ht="12.75" hidden="1" customHeight="1" outlineLevel="1" x14ac:dyDescent="0.25">
      <c r="A12457" s="1956" t="s">
        <v>5879</v>
      </c>
      <c r="B12457" s="2310">
        <v>43221</v>
      </c>
      <c r="C12457" s="2307">
        <v>100</v>
      </c>
      <c r="D12457" s="2311">
        <v>111.6373</v>
      </c>
      <c r="E12457" s="2308">
        <v>0.11637300000000006</v>
      </c>
      <c r="F12457" s="2309"/>
      <c r="G12457" s="78"/>
    </row>
    <row r="12458" spans="1:17" ht="12.75" hidden="1" customHeight="1" outlineLevel="1" x14ac:dyDescent="0.25">
      <c r="A12458" s="1956" t="s">
        <v>5880</v>
      </c>
      <c r="B12458" s="2310">
        <v>43252</v>
      </c>
      <c r="C12458" s="2307">
        <v>100</v>
      </c>
      <c r="D12458" s="2311">
        <v>110.8896</v>
      </c>
      <c r="E12458" s="2308">
        <v>0.1088960000000001</v>
      </c>
      <c r="F12458" s="2309"/>
      <c r="G12458" s="78"/>
    </row>
    <row r="12459" spans="1:17" ht="12.75" hidden="1" customHeight="1" outlineLevel="1" x14ac:dyDescent="0.25">
      <c r="A12459" s="1956" t="s">
        <v>5881</v>
      </c>
      <c r="B12459" s="2310">
        <v>43282</v>
      </c>
      <c r="C12459" s="2307">
        <v>100</v>
      </c>
      <c r="D12459" s="2311">
        <v>114.87779999999999</v>
      </c>
      <c r="E12459" s="2308">
        <v>0.14877799999999985</v>
      </c>
      <c r="F12459" s="2309"/>
      <c r="G12459" s="78"/>
    </row>
    <row r="12460" spans="1:17" ht="12.75" hidden="1" customHeight="1" outlineLevel="1" x14ac:dyDescent="0.25">
      <c r="A12460" s="1956" t="s">
        <v>5882</v>
      </c>
      <c r="B12460" s="2310">
        <v>43313</v>
      </c>
      <c r="C12460" s="2307">
        <v>100</v>
      </c>
      <c r="D12460" s="2311">
        <v>112.3792</v>
      </c>
      <c r="E12460" s="2308">
        <v>0.1237919999999999</v>
      </c>
      <c r="F12460" s="2309"/>
      <c r="G12460" s="78"/>
    </row>
    <row r="12461" spans="1:17" ht="12.75" hidden="1" customHeight="1" outlineLevel="1" x14ac:dyDescent="0.25">
      <c r="A12461" s="1956" t="s">
        <v>5883</v>
      </c>
      <c r="B12461" s="2310">
        <v>43344</v>
      </c>
      <c r="C12461" s="2307">
        <v>100</v>
      </c>
      <c r="D12461" s="2311">
        <v>110.5381</v>
      </c>
      <c r="E12461" s="2308">
        <v>0.10538099999999995</v>
      </c>
      <c r="F12461" s="2309"/>
      <c r="G12461" s="78"/>
    </row>
    <row r="12462" spans="1:17" ht="12.75" hidden="1" customHeight="1" outlineLevel="1" x14ac:dyDescent="0.25">
      <c r="A12462" s="1956" t="s">
        <v>5884</v>
      </c>
      <c r="B12462" s="2310">
        <v>43374</v>
      </c>
      <c r="C12462" s="2307">
        <v>100</v>
      </c>
      <c r="D12462" s="2311">
        <v>106.1584</v>
      </c>
      <c r="E12462" s="2308">
        <v>6.1584000000000083E-2</v>
      </c>
      <c r="F12462" s="2309"/>
      <c r="G12462" s="78"/>
    </row>
    <row r="12463" spans="1:17" ht="12.75" hidden="1" customHeight="1" outlineLevel="1" x14ac:dyDescent="0.25">
      <c r="A12463" s="1956" t="s">
        <v>5885</v>
      </c>
      <c r="B12463" s="2310">
        <v>43405</v>
      </c>
      <c r="C12463" s="2307">
        <v>100</v>
      </c>
      <c r="D12463" s="2311">
        <v>105.8514</v>
      </c>
      <c r="E12463" s="2308">
        <v>5.8513999999999955E-2</v>
      </c>
      <c r="F12463" s="2309"/>
      <c r="G12463" s="78"/>
    </row>
    <row r="12464" spans="1:17" ht="12.75" hidden="1" customHeight="1" outlineLevel="1" x14ac:dyDescent="0.25">
      <c r="A12464" s="1956" t="s">
        <v>5886</v>
      </c>
      <c r="B12464" s="2310">
        <v>43435</v>
      </c>
      <c r="C12464" s="2307">
        <v>100</v>
      </c>
      <c r="D12464" s="2311">
        <v>100.7281</v>
      </c>
      <c r="E12464" s="2308">
        <v>7.2809999999998709E-3</v>
      </c>
      <c r="F12464" s="2309"/>
      <c r="G12464" s="78"/>
    </row>
    <row r="12465" spans="1:9" ht="12.75" hidden="1" customHeight="1" outlineLevel="1" x14ac:dyDescent="0.25">
      <c r="A12465" s="1956" t="s">
        <v>5887</v>
      </c>
      <c r="B12465" s="2310">
        <v>43466</v>
      </c>
      <c r="C12465" s="2307">
        <v>100</v>
      </c>
      <c r="D12465" s="2311">
        <v>105.261</v>
      </c>
      <c r="E12465" s="2308">
        <v>5.2610000000000046E-2</v>
      </c>
      <c r="F12465" s="2309"/>
      <c r="G12465" s="78"/>
    </row>
    <row r="12466" spans="1:9" ht="12.75" hidden="1" customHeight="1" outlineLevel="1" x14ac:dyDescent="0.25">
      <c r="A12466" s="1956" t="s">
        <v>5888</v>
      </c>
      <c r="B12466" s="2310">
        <v>43497</v>
      </c>
      <c r="C12466" s="2307">
        <v>100</v>
      </c>
      <c r="D12466" s="2311">
        <v>107.3415</v>
      </c>
      <c r="E12466" s="2308">
        <v>7.3415000000000008E-2</v>
      </c>
      <c r="F12466" s="2309"/>
      <c r="G12466" s="78"/>
    </row>
    <row r="12467" spans="1:9" ht="12.75" hidden="1" customHeight="1" outlineLevel="1" x14ac:dyDescent="0.25">
      <c r="A12467" s="1956" t="s">
        <v>5889</v>
      </c>
      <c r="B12467" s="2310">
        <v>43525</v>
      </c>
      <c r="C12467" s="2307">
        <v>100</v>
      </c>
      <c r="D12467" s="2311">
        <v>108.961</v>
      </c>
      <c r="E12467" s="2308">
        <v>8.9609999999999967E-2</v>
      </c>
      <c r="F12467" s="2309"/>
      <c r="G12467" s="78"/>
    </row>
    <row r="12468" spans="1:9" ht="12.75" hidden="1" customHeight="1" outlineLevel="1" x14ac:dyDescent="0.25">
      <c r="A12468" s="1956" t="s">
        <v>5890</v>
      </c>
      <c r="B12468" s="2310">
        <v>43556</v>
      </c>
      <c r="C12468" s="2307">
        <v>100</v>
      </c>
      <c r="D12468" s="2311">
        <v>109.161</v>
      </c>
      <c r="E12468" s="2308">
        <v>9.1609999999999969E-2</v>
      </c>
      <c r="F12468" s="2309"/>
      <c r="G12468" s="78"/>
    </row>
    <row r="12469" spans="1:9" ht="12.75" hidden="1" customHeight="1" outlineLevel="1" x14ac:dyDescent="0.25">
      <c r="A12469" s="1956" t="s">
        <v>5891</v>
      </c>
      <c r="B12469" s="2310">
        <v>43586</v>
      </c>
      <c r="C12469" s="2307">
        <v>100</v>
      </c>
      <c r="D12469" s="2311">
        <v>104.05</v>
      </c>
      <c r="E12469" s="2308">
        <v>4.049999999999998E-2</v>
      </c>
      <c r="F12469" s="2309"/>
      <c r="G12469" s="78"/>
    </row>
    <row r="12470" spans="1:9" ht="12.75" hidden="1" customHeight="1" outlineLevel="1" x14ac:dyDescent="0.25">
      <c r="A12470" s="1956" t="s">
        <v>5892</v>
      </c>
      <c r="B12470" s="2310">
        <v>43617</v>
      </c>
      <c r="C12470" s="2307">
        <v>100</v>
      </c>
      <c r="D12470" s="2311">
        <v>106.9808</v>
      </c>
      <c r="E12470" s="2308">
        <v>6.9808000000000092E-2</v>
      </c>
      <c r="F12470" s="2309"/>
      <c r="G12470" s="78"/>
    </row>
    <row r="12471" spans="1:9" ht="12.75" hidden="1" customHeight="1" outlineLevel="1" x14ac:dyDescent="0.25">
      <c r="A12471" s="2189" t="s">
        <v>2734</v>
      </c>
      <c r="B12471" s="2190"/>
      <c r="C12471" s="2311"/>
      <c r="D12471" s="2191" t="s">
        <v>2465</v>
      </c>
      <c r="E12471" s="1987">
        <v>8.9236833333333307E-2</v>
      </c>
      <c r="F12471" s="2192">
        <v>8.9236833333333307E-2</v>
      </c>
      <c r="G12471" s="78"/>
    </row>
    <row r="12472" spans="1:9" collapsed="1" x14ac:dyDescent="0.25">
      <c r="A12472" s="3801" t="s">
        <v>5893</v>
      </c>
      <c r="B12472" s="3802"/>
      <c r="C12472" s="3802"/>
      <c r="D12472" s="3802"/>
      <c r="E12472" s="1906"/>
      <c r="F12472" s="1907">
        <v>8.9236833333333307E-2</v>
      </c>
      <c r="G12472" s="78"/>
    </row>
    <row r="12473" spans="1:9" x14ac:dyDescent="0.25">
      <c r="A12473" t="s">
        <v>2734</v>
      </c>
    </row>
    <row r="12474" spans="1:9" hidden="1" outlineLevel="1" x14ac:dyDescent="0.25">
      <c r="A12474" s="495" t="s">
        <v>113</v>
      </c>
      <c r="B12474" s="689" t="s">
        <v>114</v>
      </c>
      <c r="C12474" s="495" t="s">
        <v>112</v>
      </c>
      <c r="D12474" s="689" t="s">
        <v>4155</v>
      </c>
      <c r="E12474" s="689" t="s">
        <v>116</v>
      </c>
      <c r="F12474" s="1021" t="s">
        <v>121</v>
      </c>
      <c r="H12474" s="438" t="s">
        <v>5391</v>
      </c>
      <c r="I12474" s="438" t="s">
        <v>5392</v>
      </c>
    </row>
    <row r="12475" spans="1:9" hidden="1" outlineLevel="1" x14ac:dyDescent="0.25">
      <c r="A12475" s="753" t="s">
        <v>5917</v>
      </c>
      <c r="B12475" s="729" t="s">
        <v>2153</v>
      </c>
      <c r="C12475" s="800">
        <v>3032.77</v>
      </c>
      <c r="D12475" s="3805">
        <f>VLOOKUP(B12475,indexy!A:D,2,0)</f>
        <v>5083.42</v>
      </c>
      <c r="E12475" s="1262">
        <v>3075.018</v>
      </c>
      <c r="F12475" s="700">
        <f>IF(H12475="","",IF(H12475&lt;0%,H12475,I12475))</f>
        <v>7.0000000000000007E-2</v>
      </c>
      <c r="H12475" s="79">
        <f>IF(C12475="","",IF(E12475="",$D$12475/C12475-1,E12475/C12475-1))</f>
        <v>1.3930499180617062E-2</v>
      </c>
      <c r="I12475" s="450">
        <v>7.0000000000000007E-2</v>
      </c>
    </row>
    <row r="12476" spans="1:9" hidden="1" outlineLevel="1" x14ac:dyDescent="0.25">
      <c r="A12476" s="732" t="s">
        <v>5918</v>
      </c>
      <c r="B12476" s="729" t="s">
        <v>2153</v>
      </c>
      <c r="C12476" s="1028">
        <f>IF(E12475="","",C12475)</f>
        <v>3032.77</v>
      </c>
      <c r="D12476" s="3806"/>
      <c r="E12476" s="1255"/>
      <c r="F12476" s="1178" t="str">
        <f>IF(F12475&gt;0%,"",IF(H12476="","",IF(H12476&lt;0%,H12476,I12476)))</f>
        <v/>
      </c>
      <c r="H12476" s="79">
        <f>IF(C12476="","",IF(E12476="",$D$9046/C12476-1,E12476/C12476-1))</f>
        <v>0.67616403485922105</v>
      </c>
      <c r="I12476" s="451">
        <v>0.14000000000000001</v>
      </c>
    </row>
    <row r="12477" spans="1:9" hidden="1" outlineLevel="1" x14ac:dyDescent="0.25">
      <c r="A12477" s="732" t="s">
        <v>5919</v>
      </c>
      <c r="B12477" s="729" t="s">
        <v>2153</v>
      </c>
      <c r="C12477" s="1028" t="str">
        <f>IF(E12476="","",C12476)</f>
        <v/>
      </c>
      <c r="D12477" s="3806"/>
      <c r="E12477" s="1255"/>
      <c r="F12477" s="1178" t="str">
        <f>IF(F12476&gt;0%,"",IF(H12477="","",IF(H12477&lt;0%,H12477,I12477)))</f>
        <v/>
      </c>
      <c r="H12477" s="79" t="str">
        <f>IF(C12477="","",IF(E12477="",$D$9046/C12477-1,E12477/C12477-1))</f>
        <v/>
      </c>
      <c r="I12477" s="451">
        <v>0.21</v>
      </c>
    </row>
    <row r="12478" spans="1:9" hidden="1" outlineLevel="1" x14ac:dyDescent="0.25">
      <c r="A12478" s="732" t="s">
        <v>5920</v>
      </c>
      <c r="B12478" s="729" t="s">
        <v>2153</v>
      </c>
      <c r="C12478" s="1028" t="str">
        <f>IF(E12477="","",C12477)</f>
        <v/>
      </c>
      <c r="D12478" s="3806"/>
      <c r="E12478" s="1255"/>
      <c r="F12478" s="1178" t="str">
        <f>IF(F12477&gt;0%,"",IF(H12478="","",IF(H12478&lt;0%,H12478,I12478)))</f>
        <v/>
      </c>
      <c r="H12478" s="79" t="str">
        <f>IF(C12478="","",IF(E12478="",$D$9046/C12478-1,E12478/C12478-1))</f>
        <v/>
      </c>
      <c r="I12478" s="451">
        <v>0.28000000000000003</v>
      </c>
    </row>
    <row r="12479" spans="1:9" hidden="1" outlineLevel="1" x14ac:dyDescent="0.25">
      <c r="A12479" s="754" t="s">
        <v>5921</v>
      </c>
      <c r="B12479" s="729" t="s">
        <v>2153</v>
      </c>
      <c r="C12479" s="806" t="str">
        <f>IF(E12478="","",C12478)</f>
        <v/>
      </c>
      <c r="D12479" s="3807"/>
      <c r="E12479" s="1255"/>
      <c r="F12479" s="1107" t="str">
        <f>IF(F12478&gt;0%,"",IF(H12479="","",IF(H12479&lt;0%,H12479,I12479)))</f>
        <v/>
      </c>
      <c r="H12479" s="82" t="str">
        <f>IF(C12479="","",IF(E12479="",$D$9046/C12479-1,E12479/C12479-1))</f>
        <v/>
      </c>
      <c r="I12479" s="452">
        <v>0.35</v>
      </c>
    </row>
    <row r="12480" spans="1:9" hidden="1" outlineLevel="1" x14ac:dyDescent="0.25">
      <c r="A12480" s="846" t="s">
        <v>2734</v>
      </c>
      <c r="B12480" s="729"/>
      <c r="C12480" s="956"/>
      <c r="D12480" s="1249"/>
      <c r="E12480" s="693"/>
      <c r="F12480" s="856">
        <f>IF(F12479="",IF(F12478="",IF(F12477="",IF(F12476="",F12475,F12476),F12477),F12478),F12479)</f>
        <v>7.0000000000000007E-2</v>
      </c>
      <c r="H12480" s="37">
        <f>IF(H12479="",IF(H12478="",IF(H12477="",IF(H12476="",H12475,H12476),H12477),H12478),H12479)</f>
        <v>0.67616403485922105</v>
      </c>
    </row>
    <row r="12481" spans="1:11" collapsed="1" x14ac:dyDescent="0.25">
      <c r="A12481" s="3801" t="s">
        <v>5922</v>
      </c>
      <c r="B12481" s="3802"/>
      <c r="C12481" s="3802"/>
      <c r="D12481" s="3802"/>
      <c r="E12481" s="729"/>
      <c r="F12481" s="752">
        <f>IF(F12480&lt;-40%,F12480,IF(F12480&lt;0%,0%,F12480))</f>
        <v>7.0000000000000007E-2</v>
      </c>
      <c r="G12481" s="175" t="s">
        <v>781</v>
      </c>
      <c r="H12481" s="74"/>
    </row>
    <row r="12482" spans="1:11" x14ac:dyDescent="0.25">
      <c r="A12482" t="s">
        <v>2734</v>
      </c>
    </row>
    <row r="12483" spans="1:11" ht="12.75" hidden="1" customHeight="1" outlineLevel="1" x14ac:dyDescent="0.25">
      <c r="A12483" s="2252" t="s">
        <v>113</v>
      </c>
      <c r="B12483" s="2252" t="s">
        <v>114</v>
      </c>
      <c r="C12483" s="2252" t="s">
        <v>112</v>
      </c>
      <c r="D12483" s="2252" t="s">
        <v>116</v>
      </c>
      <c r="E12483" s="2252" t="s">
        <v>117</v>
      </c>
      <c r="F12483" s="2253" t="s">
        <v>121</v>
      </c>
      <c r="G12483" s="78"/>
    </row>
    <row r="12484" spans="1:11" ht="12.75" hidden="1" customHeight="1" outlineLevel="1" x14ac:dyDescent="0.25">
      <c r="A12484" s="2254">
        <v>1</v>
      </c>
      <c r="B12484" s="2255" t="s">
        <v>252</v>
      </c>
      <c r="C12484" s="2256">
        <v>100</v>
      </c>
      <c r="D12484" s="2256"/>
      <c r="E12484" s="2257"/>
      <c r="F12484" s="2258"/>
      <c r="G12484" s="78"/>
    </row>
    <row r="12485" spans="1:11" ht="12.75" hidden="1" customHeight="1" outlineLevel="1" x14ac:dyDescent="0.25">
      <c r="A12485" s="2259" t="s">
        <v>2734</v>
      </c>
      <c r="B12485" s="2259"/>
      <c r="C12485" s="2260"/>
      <c r="D12485" s="1900" t="s">
        <v>3702</v>
      </c>
      <c r="E12485" s="2261">
        <v>43630</v>
      </c>
      <c r="F12485" s="2262"/>
      <c r="G12485" s="78"/>
    </row>
    <row r="12486" spans="1:11" ht="12.75" hidden="1" customHeight="1" outlineLevel="1" x14ac:dyDescent="0.25">
      <c r="A12486" s="2252" t="s">
        <v>4156</v>
      </c>
      <c r="B12486" s="2263" t="s">
        <v>4153</v>
      </c>
      <c r="C12486" s="2264" t="s">
        <v>112</v>
      </c>
      <c r="D12486" s="2263" t="s">
        <v>4155</v>
      </c>
      <c r="E12486" s="2252" t="s">
        <v>4154</v>
      </c>
      <c r="F12486" s="2265" t="s">
        <v>2519</v>
      </c>
      <c r="G12486" s="78"/>
    </row>
    <row r="12487" spans="1:11" ht="12.75" hidden="1" customHeight="1" outlineLevel="1" x14ac:dyDescent="0.25">
      <c r="A12487" s="1991">
        <v>0.02</v>
      </c>
      <c r="B12487" s="1992" t="s">
        <v>6072</v>
      </c>
      <c r="C12487" s="2177">
        <v>14.561660466259461</v>
      </c>
      <c r="D12487" s="2266">
        <v>19.57</v>
      </c>
      <c r="E12487" s="2267">
        <v>0.34394013961150005</v>
      </c>
      <c r="F12487" s="2265">
        <v>6.8788027922300011E-3</v>
      </c>
      <c r="G12487" s="78"/>
      <c r="H12487" t="s">
        <v>8514</v>
      </c>
      <c r="K12487" s="434"/>
    </row>
    <row r="12488" spans="1:11" ht="12.75" hidden="1" customHeight="1" outlineLevel="1" x14ac:dyDescent="0.25">
      <c r="A12488" s="1997">
        <v>0.02</v>
      </c>
      <c r="B12488" s="1921" t="s">
        <v>5745</v>
      </c>
      <c r="C12488" s="2179">
        <v>31.6525</v>
      </c>
      <c r="D12488" s="2268">
        <v>28.22</v>
      </c>
      <c r="E12488" s="2269">
        <v>-0.10844325092804674</v>
      </c>
      <c r="F12488" s="2270">
        <v>-2.1688650185609348E-3</v>
      </c>
      <c r="G12488" s="78"/>
      <c r="H12488" t="s">
        <v>5743</v>
      </c>
      <c r="K12488" s="434"/>
    </row>
    <row r="12489" spans="1:11" ht="12.75" hidden="1" customHeight="1" outlineLevel="1" x14ac:dyDescent="0.25">
      <c r="A12489" s="1997">
        <v>0.02</v>
      </c>
      <c r="B12489" s="1921" t="s">
        <v>5748</v>
      </c>
      <c r="C12489" s="2179">
        <v>64.047499999999999</v>
      </c>
      <c r="D12489" s="2268">
        <v>70.59</v>
      </c>
      <c r="E12489" s="2269">
        <v>0.10215074749209574</v>
      </c>
      <c r="F12489" s="2270">
        <v>2.0430149498419149E-3</v>
      </c>
      <c r="G12489" s="78"/>
      <c r="H12489" t="s">
        <v>5746</v>
      </c>
      <c r="K12489" s="434"/>
    </row>
    <row r="12490" spans="1:11" ht="12.75" hidden="1" customHeight="1" outlineLevel="1" x14ac:dyDescent="0.25">
      <c r="A12490" s="1997">
        <v>0.05</v>
      </c>
      <c r="B12490" s="1921" t="s">
        <v>1141</v>
      </c>
      <c r="C12490" s="2179">
        <v>82.602500000000006</v>
      </c>
      <c r="D12490" s="2268">
        <v>62.46</v>
      </c>
      <c r="E12490" s="2269">
        <v>-0.24384855179927978</v>
      </c>
      <c r="F12490" s="2270">
        <v>-1.219242758996399E-2</v>
      </c>
      <c r="G12490" s="78"/>
      <c r="H12490" t="s">
        <v>666</v>
      </c>
      <c r="K12490" s="434"/>
    </row>
    <row r="12491" spans="1:11" ht="12.75" hidden="1" customHeight="1" outlineLevel="1" x14ac:dyDescent="0.25">
      <c r="A12491" s="1997">
        <v>0.04</v>
      </c>
      <c r="B12491" s="2271" t="s">
        <v>807</v>
      </c>
      <c r="C12491" s="2179">
        <v>46.234999999999999</v>
      </c>
      <c r="D12491" s="2268">
        <v>59.88</v>
      </c>
      <c r="E12491" s="2269">
        <v>0.29512274251108472</v>
      </c>
      <c r="F12491" s="2270">
        <v>1.180490970044339E-2</v>
      </c>
      <c r="G12491" s="78"/>
      <c r="H12491" t="s">
        <v>808</v>
      </c>
      <c r="K12491" s="434"/>
    </row>
    <row r="12492" spans="1:11" ht="12.75" hidden="1" customHeight="1" outlineLevel="1" x14ac:dyDescent="0.25">
      <c r="A12492" s="1997">
        <v>0.02</v>
      </c>
      <c r="B12492" s="2101" t="s">
        <v>2582</v>
      </c>
      <c r="C12492" s="2179">
        <v>1727.1316054689059</v>
      </c>
      <c r="D12492" s="2268">
        <v>1910</v>
      </c>
      <c r="E12492" s="2269">
        <v>0.10587982638500004</v>
      </c>
      <c r="F12492" s="2270">
        <v>2.1175965277000007E-3</v>
      </c>
      <c r="G12492" s="78"/>
      <c r="H12492" t="s">
        <v>9582</v>
      </c>
      <c r="K12492" s="434"/>
    </row>
    <row r="12493" spans="1:11" ht="12.75" hidden="1" customHeight="1" outlineLevel="1" x14ac:dyDescent="0.25">
      <c r="A12493" s="1997">
        <v>7.0000000000000007E-2</v>
      </c>
      <c r="B12493" s="1921" t="s">
        <v>901</v>
      </c>
      <c r="C12493" s="2179">
        <v>2751.4213860568079</v>
      </c>
      <c r="D12493" s="2268">
        <v>2885.5</v>
      </c>
      <c r="E12493" s="2269">
        <v>4.8730672307285783E-2</v>
      </c>
      <c r="F12493" s="2270">
        <v>3.4111470615100052E-3</v>
      </c>
      <c r="G12493" s="78"/>
      <c r="H12493" t="s">
        <v>531</v>
      </c>
      <c r="K12493" s="434"/>
    </row>
    <row r="12494" spans="1:11" ht="12.75" hidden="1" customHeight="1" outlineLevel="1" x14ac:dyDescent="0.25">
      <c r="A12494" s="1997">
        <v>0.03</v>
      </c>
      <c r="B12494" s="1921" t="s">
        <v>2353</v>
      </c>
      <c r="C12494" s="2179">
        <v>623.13</v>
      </c>
      <c r="D12494" s="2268">
        <v>539.20000000000005</v>
      </c>
      <c r="E12494" s="2269">
        <v>-0.13469099545841146</v>
      </c>
      <c r="F12494" s="2270">
        <v>-4.0407298637523438E-3</v>
      </c>
      <c r="G12494" s="78"/>
      <c r="H12494" t="s">
        <v>2354</v>
      </c>
      <c r="K12494" s="434"/>
    </row>
    <row r="12495" spans="1:11" ht="12.75" hidden="1" customHeight="1" outlineLevel="1" x14ac:dyDescent="0.25">
      <c r="A12495" s="1997">
        <v>0.05</v>
      </c>
      <c r="B12495" s="1921" t="s">
        <v>4055</v>
      </c>
      <c r="C12495" s="2179">
        <v>61.262500000000003</v>
      </c>
      <c r="D12495" s="2268">
        <v>89.05</v>
      </c>
      <c r="E12495" s="2269">
        <v>0.45358090185676381</v>
      </c>
      <c r="F12495" s="2270">
        <v>2.267904509283819E-2</v>
      </c>
      <c r="G12495" s="78"/>
      <c r="H12495" t="s">
        <v>4056</v>
      </c>
      <c r="K12495" s="434"/>
    </row>
    <row r="12496" spans="1:11" ht="12.75" hidden="1" customHeight="1" outlineLevel="1" x14ac:dyDescent="0.25">
      <c r="A12496" s="1997">
        <v>0.04</v>
      </c>
      <c r="B12496" s="1921" t="s">
        <v>1319</v>
      </c>
      <c r="C12496" s="2179">
        <v>55.012500000000003</v>
      </c>
      <c r="D12496" s="2268">
        <v>88.54</v>
      </c>
      <c r="E12496" s="2269">
        <v>0.60945239718245858</v>
      </c>
      <c r="F12496" s="2270">
        <v>2.4378095887298345E-2</v>
      </c>
      <c r="G12496" s="78"/>
      <c r="H12496" t="s">
        <v>1320</v>
      </c>
      <c r="K12496" s="434"/>
    </row>
    <row r="12497" spans="1:11" ht="12.75" hidden="1" customHeight="1" outlineLevel="1" x14ac:dyDescent="0.25">
      <c r="A12497" s="1997">
        <v>0.02</v>
      </c>
      <c r="B12497" s="1921" t="s">
        <v>8914</v>
      </c>
      <c r="C12497" s="2179">
        <v>110.35129584643902</v>
      </c>
      <c r="D12497" s="2268">
        <v>260.14999999999998</v>
      </c>
      <c r="E12497" s="2269">
        <v>1.3574711833199999</v>
      </c>
      <c r="F12497" s="2270">
        <v>2.71494236664E-2</v>
      </c>
      <c r="G12497" s="78"/>
      <c r="H12497" t="s">
        <v>8915</v>
      </c>
      <c r="K12497" s="434"/>
    </row>
    <row r="12498" spans="1:11" ht="12.75" hidden="1" customHeight="1" outlineLevel="1" x14ac:dyDescent="0.25">
      <c r="A12498" s="1997">
        <v>0.02</v>
      </c>
      <c r="B12498" s="1921" t="s">
        <v>9591</v>
      </c>
      <c r="C12498" s="2179">
        <v>65.105000000000004</v>
      </c>
      <c r="D12498" s="2268">
        <v>76.66</v>
      </c>
      <c r="E12498" s="2269">
        <v>0.17748252822363852</v>
      </c>
      <c r="F12498" s="2270">
        <v>3.5496505644727707E-3</v>
      </c>
      <c r="G12498" s="78"/>
      <c r="H12498" t="s">
        <v>2622</v>
      </c>
      <c r="K12498" s="434"/>
    </row>
    <row r="12499" spans="1:11" ht="12.75" hidden="1" customHeight="1" outlineLevel="1" x14ac:dyDescent="0.25">
      <c r="A12499" s="1997">
        <v>0.02</v>
      </c>
      <c r="B12499" s="1921" t="s">
        <v>1231</v>
      </c>
      <c r="C12499" s="2179">
        <v>70.16</v>
      </c>
      <c r="D12499" s="2268">
        <v>87.87</v>
      </c>
      <c r="E12499" s="2269">
        <v>0.25242303306727498</v>
      </c>
      <c r="F12499" s="2270">
        <v>5.0484606613454995E-3</v>
      </c>
      <c r="G12499" s="78"/>
      <c r="H12499" t="s">
        <v>2041</v>
      </c>
      <c r="K12499" s="434"/>
    </row>
    <row r="12500" spans="1:11" ht="12.75" hidden="1" customHeight="1" outlineLevel="1" x14ac:dyDescent="0.25">
      <c r="A12500" s="1997">
        <v>0.05</v>
      </c>
      <c r="B12500" s="1921" t="s">
        <v>1036</v>
      </c>
      <c r="C12500" s="2179">
        <v>122.23750003541832</v>
      </c>
      <c r="D12500" s="2268">
        <v>194.2</v>
      </c>
      <c r="E12500" s="2269">
        <v>0.58871050163599992</v>
      </c>
      <c r="F12500" s="2270">
        <v>2.9435525081799998E-2</v>
      </c>
      <c r="G12500" s="78"/>
      <c r="H12500" t="s">
        <v>1066</v>
      </c>
      <c r="K12500" s="434"/>
    </row>
    <row r="12501" spans="1:11" ht="12.75" hidden="1" customHeight="1" outlineLevel="1" x14ac:dyDescent="0.25">
      <c r="A12501" s="1997">
        <v>0.02</v>
      </c>
      <c r="B12501" s="1921" t="s">
        <v>2920</v>
      </c>
      <c r="C12501" s="2179">
        <v>24.3825</v>
      </c>
      <c r="D12501" s="2268">
        <v>46.19</v>
      </c>
      <c r="E12501" s="2269">
        <v>0.89439146929150004</v>
      </c>
      <c r="F12501" s="2270">
        <v>1.7887829385830001E-2</v>
      </c>
      <c r="G12501" s="78"/>
      <c r="H12501" t="s">
        <v>6731</v>
      </c>
      <c r="K12501" s="434"/>
    </row>
    <row r="12502" spans="1:11" ht="12.75" hidden="1" customHeight="1" outlineLevel="1" x14ac:dyDescent="0.25">
      <c r="A12502" s="1997">
        <v>0.05</v>
      </c>
      <c r="B12502" s="1921" t="s">
        <v>5751</v>
      </c>
      <c r="C12502" s="2179">
        <v>10.935</v>
      </c>
      <c r="D12502" s="2268">
        <v>6.3</v>
      </c>
      <c r="E12502" s="2269">
        <v>-0.42386831275720172</v>
      </c>
      <c r="F12502" s="2270">
        <v>-2.1193415637860088E-2</v>
      </c>
      <c r="G12502" s="78"/>
      <c r="H12502" t="s">
        <v>5749</v>
      </c>
      <c r="K12502" s="434"/>
    </row>
    <row r="12503" spans="1:11" ht="12.75" hidden="1" customHeight="1" outlineLevel="1" x14ac:dyDescent="0.25">
      <c r="A12503" s="1997">
        <v>0.03</v>
      </c>
      <c r="B12503" s="1921" t="s">
        <v>4034</v>
      </c>
      <c r="C12503" s="2179">
        <v>13.26968534654501</v>
      </c>
      <c r="D12503" s="2268">
        <v>20.574999999999999</v>
      </c>
      <c r="E12503" s="2269">
        <v>0.55052659220416644</v>
      </c>
      <c r="F12503" s="2270">
        <v>1.6515797766124992E-2</v>
      </c>
      <c r="G12503" s="78"/>
      <c r="H12503" t="s">
        <v>8151</v>
      </c>
      <c r="K12503" s="434"/>
    </row>
    <row r="12504" spans="1:11" ht="12.75" hidden="1" customHeight="1" outlineLevel="1" x14ac:dyDescent="0.25">
      <c r="A12504" s="1997">
        <v>0.02</v>
      </c>
      <c r="B12504" s="1921" t="s">
        <v>5754</v>
      </c>
      <c r="C12504" s="2179">
        <v>42.814999999999998</v>
      </c>
      <c r="D12504" s="2268">
        <v>86.68</v>
      </c>
      <c r="E12504" s="2269">
        <v>1.0245241153801241</v>
      </c>
      <c r="F12504" s="2270">
        <v>2.0490482307602483E-2</v>
      </c>
      <c r="G12504" s="78"/>
      <c r="H12504" t="s">
        <v>5752</v>
      </c>
      <c r="K12504" s="434"/>
    </row>
    <row r="12505" spans="1:11" ht="12.75" hidden="1" customHeight="1" outlineLevel="1" x14ac:dyDescent="0.25">
      <c r="A12505" s="1997">
        <v>0.05</v>
      </c>
      <c r="B12505" s="1921" t="s">
        <v>3958</v>
      </c>
      <c r="C12505" s="2179">
        <v>1273.25</v>
      </c>
      <c r="D12505" s="2268">
        <v>798.6</v>
      </c>
      <c r="E12505" s="2269">
        <v>-0.37278617710583151</v>
      </c>
      <c r="F12505" s="2270">
        <v>-1.8639308855291577E-2</v>
      </c>
      <c r="G12505" s="78"/>
      <c r="H12505" t="s">
        <v>3959</v>
      </c>
      <c r="K12505" s="434"/>
    </row>
    <row r="12506" spans="1:11" ht="12.75" hidden="1" customHeight="1" outlineLevel="1" x14ac:dyDescent="0.25">
      <c r="A12506" s="1997">
        <v>0.03</v>
      </c>
      <c r="B12506" s="1921" t="s">
        <v>2769</v>
      </c>
      <c r="C12506" s="2179">
        <v>28.086454202914023</v>
      </c>
      <c r="D12506" s="2268">
        <v>31.45</v>
      </c>
      <c r="E12506" s="2269">
        <v>0.11975686830333321</v>
      </c>
      <c r="F12506" s="2270">
        <v>3.592706049099996E-3</v>
      </c>
      <c r="G12506" s="78"/>
      <c r="H12506" t="s">
        <v>2770</v>
      </c>
      <c r="K12506" s="434"/>
    </row>
    <row r="12507" spans="1:11" ht="12.75" hidden="1" customHeight="1" outlineLevel="1" x14ac:dyDescent="0.25">
      <c r="A12507" s="1997">
        <v>0.02</v>
      </c>
      <c r="B12507" s="1921" t="s">
        <v>2728</v>
      </c>
      <c r="C12507" s="2179">
        <v>70.209999999999994</v>
      </c>
      <c r="D12507" s="2268">
        <v>103.55</v>
      </c>
      <c r="E12507" s="2269">
        <v>0.47486113089303528</v>
      </c>
      <c r="F12507" s="2270">
        <v>9.4972226178607049E-3</v>
      </c>
      <c r="G12507" s="78"/>
      <c r="H12507" t="s">
        <v>9049</v>
      </c>
      <c r="K12507" s="434"/>
    </row>
    <row r="12508" spans="1:11" ht="12.75" hidden="1" customHeight="1" outlineLevel="1" x14ac:dyDescent="0.25">
      <c r="A12508" s="1997">
        <v>0.02</v>
      </c>
      <c r="B12508" s="1921" t="s">
        <v>5755</v>
      </c>
      <c r="C12508" s="2179">
        <v>22.206672024810928</v>
      </c>
      <c r="D12508" s="2268">
        <v>8.02</v>
      </c>
      <c r="E12508" s="2269">
        <v>-0.63884728017600001</v>
      </c>
      <c r="F12508" s="2270">
        <v>-1.2776945603520001E-2</v>
      </c>
      <c r="G12508" s="78"/>
      <c r="H12508" t="s">
        <v>8917</v>
      </c>
      <c r="K12508" s="434"/>
    </row>
    <row r="12509" spans="1:11" ht="12.75" hidden="1" customHeight="1" outlineLevel="1" x14ac:dyDescent="0.25">
      <c r="A12509" s="1997">
        <v>0.04</v>
      </c>
      <c r="B12509" s="1921" t="s">
        <v>1214</v>
      </c>
      <c r="C12509" s="2179">
        <v>96.1875</v>
      </c>
      <c r="D12509" s="2268">
        <v>104.02</v>
      </c>
      <c r="E12509" s="2269">
        <v>8.1429499675113703E-2</v>
      </c>
      <c r="F12509" s="2270">
        <v>3.2571799870045482E-3</v>
      </c>
      <c r="G12509" s="78"/>
      <c r="H12509" t="s">
        <v>3775</v>
      </c>
      <c r="K12509" s="434"/>
    </row>
    <row r="12510" spans="1:11" ht="12.75" hidden="1" customHeight="1" outlineLevel="1" x14ac:dyDescent="0.25">
      <c r="A12510" s="1997">
        <v>0.02</v>
      </c>
      <c r="B12510" s="1921" t="s">
        <v>3427</v>
      </c>
      <c r="C12510" s="2179">
        <v>40.972499999999997</v>
      </c>
      <c r="D12510" s="2268">
        <v>55.65</v>
      </c>
      <c r="E12510" s="2269">
        <v>0.35822807980962845</v>
      </c>
      <c r="F12510" s="2270">
        <v>7.1645615961925691E-3</v>
      </c>
      <c r="G12510" s="78"/>
      <c r="H12510" t="s">
        <v>2800</v>
      </c>
      <c r="K12510" s="434"/>
    </row>
    <row r="12511" spans="1:11" ht="12.75" hidden="1" customHeight="1" outlineLevel="1" x14ac:dyDescent="0.25">
      <c r="A12511" s="1997">
        <v>0.02</v>
      </c>
      <c r="B12511" s="1921" t="s">
        <v>1857</v>
      </c>
      <c r="C12511" s="2179">
        <v>1346.5</v>
      </c>
      <c r="D12511" s="2268">
        <v>1122</v>
      </c>
      <c r="E12511" s="2269">
        <v>-0.16672855551429633</v>
      </c>
      <c r="F12511" s="2270">
        <v>-3.3345711102859268E-3</v>
      </c>
      <c r="G12511" s="78"/>
      <c r="H12511" t="s">
        <v>3559</v>
      </c>
      <c r="K12511" s="434"/>
    </row>
    <row r="12512" spans="1:11" ht="12.75" hidden="1" customHeight="1" outlineLevel="1" x14ac:dyDescent="0.25">
      <c r="A12512" s="1997">
        <v>0.08</v>
      </c>
      <c r="B12512" s="1921" t="s">
        <v>1239</v>
      </c>
      <c r="C12512" s="2179">
        <v>474.9</v>
      </c>
      <c r="D12512" s="2268">
        <v>496</v>
      </c>
      <c r="E12512" s="2269">
        <v>4.4430406401347655E-2</v>
      </c>
      <c r="F12512" s="2270">
        <v>3.5544325121078125E-3</v>
      </c>
      <c r="G12512" s="78"/>
      <c r="H12512" t="s">
        <v>8891</v>
      </c>
      <c r="K12512" s="434"/>
    </row>
    <row r="12513" spans="1:11" ht="12.75" hidden="1" customHeight="1" outlineLevel="1" x14ac:dyDescent="0.25">
      <c r="A12513" s="1997">
        <v>0.02</v>
      </c>
      <c r="B12513" s="1921" t="s">
        <v>5758</v>
      </c>
      <c r="C12513" s="2179">
        <v>51.403910842949472</v>
      </c>
      <c r="D12513" s="2268">
        <v>66.760000000000005</v>
      </c>
      <c r="E12513" s="2269">
        <v>0.29873386879000008</v>
      </c>
      <c r="F12513" s="2270">
        <v>5.9746773758000016E-3</v>
      </c>
      <c r="G12513" s="78"/>
      <c r="H12513" t="s">
        <v>5756</v>
      </c>
      <c r="K12513" s="434"/>
    </row>
    <row r="12514" spans="1:11" ht="12.75" hidden="1" customHeight="1" outlineLevel="1" x14ac:dyDescent="0.25">
      <c r="A12514" s="1997">
        <v>0.03</v>
      </c>
      <c r="B12514" s="1921" t="s">
        <v>255</v>
      </c>
      <c r="C12514" s="2179">
        <v>48.717500000000001</v>
      </c>
      <c r="D12514" s="2268">
        <v>58.28</v>
      </c>
      <c r="E12514" s="2269">
        <v>0.19628470262226094</v>
      </c>
      <c r="F12514" s="2270">
        <v>5.8885410786678281E-3</v>
      </c>
      <c r="G12514" s="78"/>
      <c r="H12514" t="s">
        <v>3351</v>
      </c>
      <c r="K12514" s="434"/>
    </row>
    <row r="12515" spans="1:11" ht="12.75" hidden="1" customHeight="1" outlineLevel="1" x14ac:dyDescent="0.25">
      <c r="A12515" s="1997">
        <v>0.08</v>
      </c>
      <c r="B12515" s="2109" t="s">
        <v>5174</v>
      </c>
      <c r="C12515" s="2179">
        <v>259</v>
      </c>
      <c r="D12515" s="2272">
        <v>197.8</v>
      </c>
      <c r="E12515" s="2269">
        <v>-0.23629343629343624</v>
      </c>
      <c r="F12515" s="2270">
        <v>-1.8903474903474899E-2</v>
      </c>
      <c r="G12515" s="78"/>
      <c r="H12515" t="s">
        <v>5172</v>
      </c>
      <c r="K12515" s="434"/>
    </row>
    <row r="12516" spans="1:11" ht="12.75" hidden="1" customHeight="1" outlineLevel="1" x14ac:dyDescent="0.25">
      <c r="A12516" s="2181" t="s">
        <v>2734</v>
      </c>
      <c r="B12516" s="2103"/>
      <c r="C12516" s="2273"/>
      <c r="D12516" s="2274"/>
      <c r="E12516" s="2275"/>
      <c r="F12516" s="2265">
        <v>0.13906936407946133</v>
      </c>
      <c r="G12516" s="78"/>
    </row>
    <row r="12517" spans="1:11" ht="12.75" hidden="1" customHeight="1" outlineLevel="1" x14ac:dyDescent="0.25">
      <c r="A12517" s="1956" t="s">
        <v>5924</v>
      </c>
      <c r="B12517" s="2185">
        <v>43101</v>
      </c>
      <c r="C12517" s="2276">
        <v>100</v>
      </c>
      <c r="D12517" s="2276">
        <v>119.5067</v>
      </c>
      <c r="E12517" s="2277">
        <v>0.19506699999999988</v>
      </c>
      <c r="F12517" s="2278"/>
      <c r="G12517" s="78"/>
    </row>
    <row r="12518" spans="1:11" ht="12.75" hidden="1" customHeight="1" outlineLevel="1" x14ac:dyDescent="0.25">
      <c r="A12518" s="1956" t="s">
        <v>5925</v>
      </c>
      <c r="B12518" s="2185">
        <v>43132</v>
      </c>
      <c r="C12518" s="2276">
        <v>100</v>
      </c>
      <c r="D12518" s="2279">
        <v>114.7931</v>
      </c>
      <c r="E12518" s="2277">
        <v>0.14793100000000003</v>
      </c>
      <c r="F12518" s="2278"/>
      <c r="G12518" s="78"/>
    </row>
    <row r="12519" spans="1:11" ht="12.75" hidden="1" customHeight="1" outlineLevel="1" x14ac:dyDescent="0.25">
      <c r="A12519" s="1956" t="s">
        <v>5926</v>
      </c>
      <c r="B12519" s="2185">
        <v>43160</v>
      </c>
      <c r="C12519" s="2276">
        <v>100</v>
      </c>
      <c r="D12519" s="2279">
        <v>112.9075</v>
      </c>
      <c r="E12519" s="2277">
        <v>0.12907500000000005</v>
      </c>
      <c r="F12519" s="2278"/>
      <c r="G12519" s="78"/>
    </row>
    <row r="12520" spans="1:11" ht="12.75" hidden="1" customHeight="1" outlineLevel="1" x14ac:dyDescent="0.25">
      <c r="A12520" s="1956" t="s">
        <v>5927</v>
      </c>
      <c r="B12520" s="2185">
        <v>43191</v>
      </c>
      <c r="C12520" s="2276">
        <v>100</v>
      </c>
      <c r="D12520" s="2279">
        <v>116.37779999999999</v>
      </c>
      <c r="E12520" s="2277">
        <v>0.16377799999999998</v>
      </c>
      <c r="F12520" s="2278"/>
      <c r="G12520" s="78"/>
    </row>
    <row r="12521" spans="1:11" ht="12.75" hidden="1" customHeight="1" outlineLevel="1" x14ac:dyDescent="0.25">
      <c r="A12521" s="1956" t="s">
        <v>5928</v>
      </c>
      <c r="B12521" s="2185">
        <v>43221</v>
      </c>
      <c r="C12521" s="2276">
        <v>100</v>
      </c>
      <c r="D12521" s="2279">
        <v>115.69</v>
      </c>
      <c r="E12521" s="2277">
        <v>0.15690000000000004</v>
      </c>
      <c r="F12521" s="2278"/>
      <c r="G12521" s="78"/>
    </row>
    <row r="12522" spans="1:11" ht="12.75" hidden="1" customHeight="1" outlineLevel="1" x14ac:dyDescent="0.25">
      <c r="A12522" s="1956" t="s">
        <v>5929</v>
      </c>
      <c r="B12522" s="2185">
        <v>43252</v>
      </c>
      <c r="C12522" s="2276">
        <v>100</v>
      </c>
      <c r="D12522" s="2279">
        <v>116.0065</v>
      </c>
      <c r="E12522" s="2277">
        <v>0.16006500000000012</v>
      </c>
      <c r="F12522" s="2278"/>
      <c r="G12522" s="78"/>
    </row>
    <row r="12523" spans="1:11" ht="12.75" hidden="1" customHeight="1" outlineLevel="1" x14ac:dyDescent="0.25">
      <c r="A12523" s="1956" t="s">
        <v>5930</v>
      </c>
      <c r="B12523" s="2185">
        <v>43282</v>
      </c>
      <c r="C12523" s="2276">
        <v>100</v>
      </c>
      <c r="D12523" s="2279">
        <v>120.37179999999999</v>
      </c>
      <c r="E12523" s="2277">
        <v>0.20371799999999984</v>
      </c>
      <c r="F12523" s="2278"/>
      <c r="G12523" s="78"/>
    </row>
    <row r="12524" spans="1:11" ht="12.75" hidden="1" customHeight="1" outlineLevel="1" x14ac:dyDescent="0.25">
      <c r="A12524" s="1956" t="s">
        <v>5931</v>
      </c>
      <c r="B12524" s="2185">
        <v>43313</v>
      </c>
      <c r="C12524" s="2276">
        <v>100</v>
      </c>
      <c r="D12524" s="2279">
        <v>118.3317</v>
      </c>
      <c r="E12524" s="2277">
        <v>0.18331699999999995</v>
      </c>
      <c r="F12524" s="2278"/>
      <c r="G12524" s="78"/>
    </row>
    <row r="12525" spans="1:11" ht="12.75" hidden="1" customHeight="1" outlineLevel="1" x14ac:dyDescent="0.25">
      <c r="A12525" s="1956" t="s">
        <v>5932</v>
      </c>
      <c r="B12525" s="2185">
        <v>43344</v>
      </c>
      <c r="C12525" s="2276">
        <v>100</v>
      </c>
      <c r="D12525" s="2279">
        <v>116.20440000000001</v>
      </c>
      <c r="E12525" s="2277">
        <v>0.16204400000000008</v>
      </c>
      <c r="F12525" s="2278"/>
      <c r="G12525" s="78"/>
    </row>
    <row r="12526" spans="1:11" ht="12.75" hidden="1" customHeight="1" outlineLevel="1" x14ac:dyDescent="0.25">
      <c r="A12526" s="1956" t="s">
        <v>5933</v>
      </c>
      <c r="B12526" s="2185">
        <v>43374</v>
      </c>
      <c r="C12526" s="2276">
        <v>100</v>
      </c>
      <c r="D12526" s="2279">
        <v>112.3429</v>
      </c>
      <c r="E12526" s="2277">
        <v>0.12342900000000001</v>
      </c>
      <c r="F12526" s="2278"/>
      <c r="G12526" s="78"/>
    </row>
    <row r="12527" spans="1:11" ht="12.75" hidden="1" customHeight="1" outlineLevel="1" x14ac:dyDescent="0.25">
      <c r="A12527" s="1956" t="s">
        <v>5934</v>
      </c>
      <c r="B12527" s="2185">
        <v>43405</v>
      </c>
      <c r="C12527" s="2276">
        <v>100</v>
      </c>
      <c r="D12527" s="2279">
        <v>112.8691</v>
      </c>
      <c r="E12527" s="2277">
        <v>0.12869100000000011</v>
      </c>
      <c r="F12527" s="2278"/>
      <c r="G12527" s="78"/>
    </row>
    <row r="12528" spans="1:11" ht="12.75" hidden="1" customHeight="1" outlineLevel="1" x14ac:dyDescent="0.25">
      <c r="A12528" s="1956" t="s">
        <v>5935</v>
      </c>
      <c r="B12528" s="2185">
        <v>43435</v>
      </c>
      <c r="C12528" s="2276">
        <v>100</v>
      </c>
      <c r="D12528" s="2279">
        <v>107.8395</v>
      </c>
      <c r="E12528" s="2277">
        <v>7.8394999999999992E-2</v>
      </c>
      <c r="F12528" s="2278"/>
      <c r="G12528" s="78"/>
    </row>
    <row r="12529" spans="1:11" ht="12.75" hidden="1" customHeight="1" outlineLevel="1" x14ac:dyDescent="0.25">
      <c r="A12529" s="1956" t="s">
        <v>5936</v>
      </c>
      <c r="B12529" s="2185">
        <v>43466</v>
      </c>
      <c r="C12529" s="2276">
        <v>100</v>
      </c>
      <c r="D12529" s="2279">
        <v>112.4563</v>
      </c>
      <c r="E12529" s="2277">
        <v>0.12456299999999998</v>
      </c>
      <c r="F12529" s="2278"/>
      <c r="G12529" s="78"/>
    </row>
    <row r="12530" spans="1:11" ht="12.75" hidden="1" customHeight="1" outlineLevel="1" x14ac:dyDescent="0.25">
      <c r="A12530" s="1956" t="s">
        <v>5937</v>
      </c>
      <c r="B12530" s="2185">
        <v>43497</v>
      </c>
      <c r="C12530" s="2276">
        <v>100</v>
      </c>
      <c r="D12530" s="2279">
        <v>114.8711</v>
      </c>
      <c r="E12530" s="2277">
        <v>0.14871100000000004</v>
      </c>
      <c r="F12530" s="2278"/>
      <c r="G12530" s="78"/>
    </row>
    <row r="12531" spans="1:11" ht="12.75" hidden="1" customHeight="1" outlineLevel="1" x14ac:dyDescent="0.25">
      <c r="A12531" s="1956" t="s">
        <v>5938</v>
      </c>
      <c r="B12531" s="2185">
        <v>43525</v>
      </c>
      <c r="C12531" s="2276">
        <v>100</v>
      </c>
      <c r="D12531" s="2279">
        <v>116.9731</v>
      </c>
      <c r="E12531" s="2277">
        <v>0.16973100000000008</v>
      </c>
      <c r="F12531" s="2278"/>
      <c r="G12531" s="78"/>
    </row>
    <row r="12532" spans="1:11" ht="12.75" hidden="1" customHeight="1" outlineLevel="1" x14ac:dyDescent="0.25">
      <c r="A12532" s="1956" t="s">
        <v>5939</v>
      </c>
      <c r="B12532" s="2185">
        <v>43556</v>
      </c>
      <c r="C12532" s="2276">
        <v>100</v>
      </c>
      <c r="D12532" s="2279">
        <v>116.82680000000001</v>
      </c>
      <c r="E12532" s="2277">
        <v>0.16826800000000008</v>
      </c>
      <c r="F12532" s="2278"/>
      <c r="G12532" s="78"/>
    </row>
    <row r="12533" spans="1:11" ht="12.75" hidden="1" customHeight="1" outlineLevel="1" x14ac:dyDescent="0.25">
      <c r="A12533" s="1956" t="s">
        <v>5940</v>
      </c>
      <c r="B12533" s="2185">
        <v>43586</v>
      </c>
      <c r="C12533" s="2276">
        <v>100</v>
      </c>
      <c r="D12533" s="2279">
        <v>111.6781</v>
      </c>
      <c r="E12533" s="2277">
        <v>0.11678100000000002</v>
      </c>
      <c r="F12533" s="2278"/>
      <c r="G12533" s="78"/>
    </row>
    <row r="12534" spans="1:11" ht="12.75" hidden="1" customHeight="1" outlineLevel="1" x14ac:dyDescent="0.25">
      <c r="A12534" s="1956" t="s">
        <v>5941</v>
      </c>
      <c r="B12534" s="2185">
        <v>43617</v>
      </c>
      <c r="C12534" s="2276">
        <v>100</v>
      </c>
      <c r="D12534" s="2279">
        <v>114.0975</v>
      </c>
      <c r="E12534" s="2277">
        <v>0.14097500000000007</v>
      </c>
      <c r="F12534" s="2278"/>
      <c r="G12534" s="78"/>
    </row>
    <row r="12535" spans="1:11" ht="12.75" hidden="1" customHeight="1" outlineLevel="1" x14ac:dyDescent="0.25">
      <c r="A12535" s="2189" t="s">
        <v>2734</v>
      </c>
      <c r="B12535" s="2190"/>
      <c r="C12535" s="2279"/>
      <c r="D12535" s="2191" t="s">
        <v>2465</v>
      </c>
      <c r="E12535" s="1987">
        <v>0.15007994444444445</v>
      </c>
      <c r="F12535" s="2192">
        <v>0.15007994444444445</v>
      </c>
      <c r="G12535" s="78"/>
    </row>
    <row r="12536" spans="1:11" collapsed="1" x14ac:dyDescent="0.25">
      <c r="A12536" s="3801" t="s">
        <v>5923</v>
      </c>
      <c r="B12536" s="3802"/>
      <c r="C12536" s="3802"/>
      <c r="D12536" s="3802"/>
      <c r="E12536" s="1906"/>
      <c r="F12536" s="1907">
        <v>0.15007994444444445</v>
      </c>
      <c r="G12536" s="78"/>
    </row>
    <row r="12537" spans="1:11" x14ac:dyDescent="0.25">
      <c r="A12537" t="s">
        <v>2734</v>
      </c>
    </row>
    <row r="12538" spans="1:11" ht="12.75" hidden="1" customHeight="1" outlineLevel="1" x14ac:dyDescent="0.25">
      <c r="A12538" s="2252" t="s">
        <v>113</v>
      </c>
      <c r="B12538" s="2252" t="s">
        <v>114</v>
      </c>
      <c r="C12538" s="2252" t="s">
        <v>112</v>
      </c>
      <c r="D12538" s="2252" t="s">
        <v>116</v>
      </c>
      <c r="E12538" s="2252" t="s">
        <v>117</v>
      </c>
      <c r="F12538" s="2253" t="s">
        <v>121</v>
      </c>
      <c r="G12538" s="78"/>
    </row>
    <row r="12539" spans="1:11" ht="12.75" hidden="1" customHeight="1" outlineLevel="1" x14ac:dyDescent="0.25">
      <c r="A12539" s="2254">
        <v>1</v>
      </c>
      <c r="B12539" s="2255" t="s">
        <v>252</v>
      </c>
      <c r="C12539" s="2256">
        <v>100</v>
      </c>
      <c r="D12539" s="2256"/>
      <c r="E12539" s="2257"/>
      <c r="F12539" s="2258"/>
      <c r="G12539" s="78"/>
    </row>
    <row r="12540" spans="1:11" ht="12.75" hidden="1" customHeight="1" outlineLevel="1" x14ac:dyDescent="0.25">
      <c r="A12540" s="2259" t="s">
        <v>2734</v>
      </c>
      <c r="B12540" s="2259"/>
      <c r="C12540" s="2260"/>
      <c r="D12540" s="1900" t="s">
        <v>3702</v>
      </c>
      <c r="E12540" s="2261">
        <v>43630</v>
      </c>
      <c r="F12540" s="2262"/>
      <c r="G12540" s="78"/>
    </row>
    <row r="12541" spans="1:11" ht="12.75" hidden="1" customHeight="1" outlineLevel="1" x14ac:dyDescent="0.25">
      <c r="A12541" s="2252" t="s">
        <v>4156</v>
      </c>
      <c r="B12541" s="2263" t="s">
        <v>4153</v>
      </c>
      <c r="C12541" s="2264" t="s">
        <v>112</v>
      </c>
      <c r="D12541" s="2263" t="s">
        <v>4155</v>
      </c>
      <c r="E12541" s="2252" t="s">
        <v>4154</v>
      </c>
      <c r="F12541" s="2265" t="s">
        <v>2519</v>
      </c>
      <c r="G12541" s="78"/>
    </row>
    <row r="12542" spans="1:11" ht="12.75" hidden="1" customHeight="1" outlineLevel="1" x14ac:dyDescent="0.25">
      <c r="A12542" s="1991">
        <v>0.02</v>
      </c>
      <c r="B12542" s="1992" t="s">
        <v>2917</v>
      </c>
      <c r="C12542" s="2177">
        <v>87.155000000000001</v>
      </c>
      <c r="D12542" s="2266">
        <v>260.60000000000002</v>
      </c>
      <c r="E12542" s="2267">
        <v>1.9900751534622225</v>
      </c>
      <c r="F12542" s="2265">
        <v>3.9801503069244452E-2</v>
      </c>
      <c r="G12542" s="78"/>
      <c r="H12542" t="s">
        <v>2929</v>
      </c>
      <c r="K12542" s="434"/>
    </row>
    <row r="12543" spans="1:11" ht="12.75" hidden="1" customHeight="1" outlineLevel="1" x14ac:dyDescent="0.25">
      <c r="A12543" s="1997">
        <v>0.02</v>
      </c>
      <c r="B12543" s="1921" t="s">
        <v>5942</v>
      </c>
      <c r="C12543" s="2179">
        <v>84.844999999999999</v>
      </c>
      <c r="D12543" s="2268">
        <v>122</v>
      </c>
      <c r="E12543" s="2269">
        <v>0.43791620012964816</v>
      </c>
      <c r="F12543" s="2270">
        <v>8.7583240025929637E-3</v>
      </c>
      <c r="G12543" s="78"/>
      <c r="H12543" t="s">
        <v>5982</v>
      </c>
      <c r="K12543" s="434"/>
    </row>
    <row r="12544" spans="1:11" ht="12.75" hidden="1" customHeight="1" outlineLevel="1" x14ac:dyDescent="0.25">
      <c r="A12544" s="1997">
        <v>0.04</v>
      </c>
      <c r="B12544" s="1921" t="s">
        <v>3320</v>
      </c>
      <c r="C12544" s="2179">
        <v>75.914728447246816</v>
      </c>
      <c r="D12544" s="2268">
        <v>75.38</v>
      </c>
      <c r="E12544" s="2269">
        <v>-7.0438037279999532E-3</v>
      </c>
      <c r="F12544" s="2270">
        <v>-2.8175214911999811E-4</v>
      </c>
      <c r="G12544" s="78"/>
      <c r="H12544" t="s">
        <v>4093</v>
      </c>
      <c r="K12544" s="434"/>
    </row>
    <row r="12545" spans="1:11" ht="12.75" hidden="1" customHeight="1" outlineLevel="1" x14ac:dyDescent="0.25">
      <c r="A12545" s="1997">
        <v>0.06</v>
      </c>
      <c r="B12545" s="1921" t="s">
        <v>3998</v>
      </c>
      <c r="C12545" s="2179">
        <v>34.217500000000001</v>
      </c>
      <c r="D12545" s="2268">
        <v>32.35</v>
      </c>
      <c r="E12545" s="2269">
        <v>-5.4577336158398437E-2</v>
      </c>
      <c r="F12545" s="2270">
        <v>-3.2746401695039062E-3</v>
      </c>
      <c r="G12545" s="78"/>
      <c r="H12545" t="s">
        <v>4000</v>
      </c>
      <c r="K12545" s="434"/>
    </row>
    <row r="12546" spans="1:11" ht="12.75" hidden="1" customHeight="1" outlineLevel="1" x14ac:dyDescent="0.25">
      <c r="A12546" s="1997">
        <v>0.02</v>
      </c>
      <c r="B12546" s="2271" t="s">
        <v>873</v>
      </c>
      <c r="C12546" s="2179">
        <v>265.58</v>
      </c>
      <c r="D12546" s="2268">
        <v>149</v>
      </c>
      <c r="E12546" s="2269">
        <v>-0.43896377739287595</v>
      </c>
      <c r="F12546" s="2270">
        <v>-8.7792755478575193E-3</v>
      </c>
      <c r="G12546" s="78"/>
      <c r="H12546" t="s">
        <v>3495</v>
      </c>
      <c r="K12546" s="434"/>
    </row>
    <row r="12547" spans="1:11" ht="12.75" hidden="1" customHeight="1" outlineLevel="1" x14ac:dyDescent="0.25">
      <c r="A12547" s="1997">
        <v>0.02</v>
      </c>
      <c r="B12547" s="2101" t="s">
        <v>2629</v>
      </c>
      <c r="C12547" s="2179">
        <v>11.6938</v>
      </c>
      <c r="D12547" s="2268">
        <v>15.39</v>
      </c>
      <c r="E12547" s="2269">
        <v>0.3160820263729498</v>
      </c>
      <c r="F12547" s="2270">
        <v>6.3216405274589965E-3</v>
      </c>
      <c r="G12547" s="78"/>
      <c r="H12547" t="s">
        <v>1652</v>
      </c>
      <c r="K12547" s="434"/>
    </row>
    <row r="12548" spans="1:11" ht="12.75" hidden="1" customHeight="1" outlineLevel="1" x14ac:dyDescent="0.25">
      <c r="A12548" s="1997">
        <v>0.02</v>
      </c>
      <c r="B12548" s="1921" t="s">
        <v>3406</v>
      </c>
      <c r="C12548" s="2179">
        <v>1925.13</v>
      </c>
      <c r="D12548" s="2268">
        <v>3418.5</v>
      </c>
      <c r="E12548" s="2269">
        <v>0.77572423680478719</v>
      </c>
      <c r="F12548" s="2270">
        <v>1.5514484736095744E-2</v>
      </c>
      <c r="G12548" s="78"/>
      <c r="H12548" t="s">
        <v>2105</v>
      </c>
      <c r="K12548" s="434"/>
    </row>
    <row r="12549" spans="1:11" ht="12.75" hidden="1" customHeight="1" outlineLevel="1" x14ac:dyDescent="0.25">
      <c r="A12549" s="1997">
        <v>0.02</v>
      </c>
      <c r="B12549" s="1921" t="s">
        <v>5943</v>
      </c>
      <c r="C12549" s="2179">
        <v>15.406485186616347</v>
      </c>
      <c r="D12549" s="2268">
        <v>9.98</v>
      </c>
      <c r="E12549" s="2269">
        <v>-0.35222084212499993</v>
      </c>
      <c r="F12549" s="2270">
        <v>-7.044416842499999E-3</v>
      </c>
      <c r="G12549" s="78"/>
      <c r="H12549" t="s">
        <v>5984</v>
      </c>
      <c r="K12549" s="434"/>
    </row>
    <row r="12550" spans="1:11" ht="12.75" hidden="1" customHeight="1" outlineLevel="1" x14ac:dyDescent="0.25">
      <c r="A12550" s="1997">
        <v>0.02</v>
      </c>
      <c r="B12550" s="1921" t="s">
        <v>3407</v>
      </c>
      <c r="C12550" s="2179">
        <v>26.39</v>
      </c>
      <c r="D12550" s="2268">
        <v>10.23</v>
      </c>
      <c r="E12550" s="2269">
        <v>-0.612353164077302</v>
      </c>
      <c r="F12550" s="2270">
        <v>-1.2247063281546041E-2</v>
      </c>
      <c r="G12550" s="78"/>
      <c r="H12550" t="s">
        <v>4127</v>
      </c>
      <c r="K12550" s="434"/>
    </row>
    <row r="12551" spans="1:11" ht="12.75" hidden="1" customHeight="1" outlineLevel="1" x14ac:dyDescent="0.25">
      <c r="A12551" s="1997">
        <v>0.03</v>
      </c>
      <c r="B12551" s="1921" t="s">
        <v>3799</v>
      </c>
      <c r="C12551" s="2179">
        <v>1586.6444839452752</v>
      </c>
      <c r="D12551" s="2268">
        <v>1584.4</v>
      </c>
      <c r="E12551" s="2269">
        <v>-1.4146104990665487E-3</v>
      </c>
      <c r="F12551" s="2270">
        <v>-4.2438314971996458E-5</v>
      </c>
      <c r="G12551" s="78"/>
      <c r="H12551" t="s">
        <v>4128</v>
      </c>
      <c r="K12551" s="434"/>
    </row>
    <row r="12552" spans="1:11" ht="12.75" hidden="1" customHeight="1" outlineLevel="1" x14ac:dyDescent="0.25">
      <c r="A12552" s="1997">
        <v>0.02</v>
      </c>
      <c r="B12552" s="1921" t="s">
        <v>52</v>
      </c>
      <c r="C12552" s="2179">
        <v>178.97499999999999</v>
      </c>
      <c r="D12552" s="2268">
        <v>135.15</v>
      </c>
      <c r="E12552" s="2269">
        <v>-0.24486660148065365</v>
      </c>
      <c r="F12552" s="2270">
        <v>-4.8973320296130732E-3</v>
      </c>
      <c r="G12552" s="78"/>
      <c r="H12552" t="s">
        <v>4130</v>
      </c>
      <c r="K12552" s="434"/>
    </row>
    <row r="12553" spans="1:11" ht="12.75" hidden="1" customHeight="1" outlineLevel="1" x14ac:dyDescent="0.25">
      <c r="A12553" s="1997">
        <v>0.02</v>
      </c>
      <c r="B12553" s="1921" t="s">
        <v>3426</v>
      </c>
      <c r="C12553" s="2179">
        <v>91.534999999999997</v>
      </c>
      <c r="D12553" s="2268">
        <v>140.09</v>
      </c>
      <c r="E12553" s="2269">
        <v>0.53045283224995909</v>
      </c>
      <c r="F12553" s="2270">
        <v>1.0609056644999183E-2</v>
      </c>
      <c r="G12553" s="78"/>
      <c r="H12553" t="s">
        <v>4145</v>
      </c>
      <c r="K12553" s="434"/>
    </row>
    <row r="12554" spans="1:11" ht="12.75" hidden="1" customHeight="1" outlineLevel="1" x14ac:dyDescent="0.25">
      <c r="A12554" s="1997">
        <v>0.02</v>
      </c>
      <c r="B12554" s="1921" t="s">
        <v>811</v>
      </c>
      <c r="C12554" s="2179">
        <v>60.122500000000002</v>
      </c>
      <c r="D12554" s="2268">
        <v>56.63</v>
      </c>
      <c r="E12554" s="2269">
        <v>-5.8089733460850779E-2</v>
      </c>
      <c r="F12554" s="2270">
        <v>-1.1617946692170156E-3</v>
      </c>
      <c r="G12554" s="78"/>
      <c r="H12554" t="s">
        <v>812</v>
      </c>
      <c r="K12554" s="434"/>
    </row>
    <row r="12555" spans="1:11" ht="12.75" hidden="1" customHeight="1" outlineLevel="1" x14ac:dyDescent="0.25">
      <c r="A12555" s="1997">
        <v>0.05</v>
      </c>
      <c r="B12555" s="1921" t="s">
        <v>816</v>
      </c>
      <c r="C12555" s="2179">
        <v>95.737499999999997</v>
      </c>
      <c r="D12555" s="2268">
        <v>205.29</v>
      </c>
      <c r="E12555" s="2269">
        <v>1.144300822561692</v>
      </c>
      <c r="F12555" s="2270">
        <v>5.72150411280846E-2</v>
      </c>
      <c r="G12555" s="78"/>
      <c r="H12555" t="s">
        <v>817</v>
      </c>
      <c r="K12555" s="434"/>
    </row>
    <row r="12556" spans="1:11" ht="12.75" hidden="1" customHeight="1" outlineLevel="1" x14ac:dyDescent="0.25">
      <c r="A12556" s="1997">
        <v>0.02</v>
      </c>
      <c r="B12556" s="1921" t="s">
        <v>1001</v>
      </c>
      <c r="C12556" s="2179">
        <v>37.467500000000001</v>
      </c>
      <c r="D12556" s="2268">
        <v>132.44999999999999</v>
      </c>
      <c r="E12556" s="2269">
        <v>2.5350637218923064</v>
      </c>
      <c r="F12556" s="2270">
        <v>5.0701274437846132E-2</v>
      </c>
      <c r="G12556" s="78"/>
      <c r="H12556" t="s">
        <v>8270</v>
      </c>
      <c r="K12556" s="434"/>
    </row>
    <row r="12557" spans="1:11" ht="12.75" hidden="1" customHeight="1" outlineLevel="1" x14ac:dyDescent="0.25">
      <c r="A12557" s="1997">
        <v>0.05</v>
      </c>
      <c r="B12557" s="1921" t="s">
        <v>3797</v>
      </c>
      <c r="C12557" s="2179">
        <v>65.900000000000006</v>
      </c>
      <c r="D12557" s="2268">
        <v>101.4</v>
      </c>
      <c r="E12557" s="2269">
        <v>0.53869499241274643</v>
      </c>
      <c r="F12557" s="2270">
        <v>2.6934749620637324E-2</v>
      </c>
      <c r="G12557" s="78"/>
      <c r="H12557" t="s">
        <v>8872</v>
      </c>
      <c r="K12557" s="434"/>
    </row>
    <row r="12558" spans="1:11" ht="12.75" hidden="1" customHeight="1" outlineLevel="1" x14ac:dyDescent="0.25">
      <c r="A12558" s="1997">
        <v>0.02</v>
      </c>
      <c r="B12558" s="1921" t="s">
        <v>1541</v>
      </c>
      <c r="C12558" s="2179">
        <v>38.166250001898774</v>
      </c>
      <c r="D12558" s="2268">
        <v>83.44</v>
      </c>
      <c r="E12558" s="2269">
        <v>1.1862247403359998</v>
      </c>
      <c r="F12558" s="2270">
        <v>2.3724494806719995E-2</v>
      </c>
      <c r="G12558" s="78"/>
      <c r="H12558" t="s">
        <v>1696</v>
      </c>
      <c r="K12558" s="434"/>
    </row>
    <row r="12559" spans="1:11" ht="12.75" hidden="1" customHeight="1" outlineLevel="1" x14ac:dyDescent="0.25">
      <c r="A12559" s="1997">
        <v>0.04</v>
      </c>
      <c r="B12559" s="1921" t="s">
        <v>2787</v>
      </c>
      <c r="C12559" s="2179">
        <v>71.525000000000006</v>
      </c>
      <c r="D12559" s="2268">
        <v>89.41</v>
      </c>
      <c r="E12559" s="2269">
        <v>0.25005242922055215</v>
      </c>
      <c r="F12559" s="2270">
        <v>1.0002097168822086E-2</v>
      </c>
      <c r="G12559" s="78"/>
      <c r="H12559" t="s">
        <v>8874</v>
      </c>
      <c r="K12559" s="434"/>
    </row>
    <row r="12560" spans="1:11" ht="12.75" hidden="1" customHeight="1" outlineLevel="1" x14ac:dyDescent="0.25">
      <c r="A12560" s="1997">
        <v>0.02</v>
      </c>
      <c r="B12560" s="1921" t="s">
        <v>1414</v>
      </c>
      <c r="C12560" s="2179">
        <v>31.052499999999998</v>
      </c>
      <c r="D12560" s="2268">
        <v>42.76</v>
      </c>
      <c r="E12560" s="2269">
        <v>0.37702278399484745</v>
      </c>
      <c r="F12560" s="2270">
        <v>7.5404556798969492E-3</v>
      </c>
      <c r="G12560" s="78"/>
      <c r="H12560" t="s">
        <v>2428</v>
      </c>
      <c r="K12560" s="434"/>
    </row>
    <row r="12561" spans="1:11" ht="12.75" hidden="1" customHeight="1" outlineLevel="1" x14ac:dyDescent="0.25">
      <c r="A12561" s="1997">
        <v>0.06</v>
      </c>
      <c r="B12561" s="1921" t="s">
        <v>3793</v>
      </c>
      <c r="C12561" s="2179">
        <v>83.972499999999997</v>
      </c>
      <c r="D12561" s="2268">
        <v>77.2</v>
      </c>
      <c r="E12561" s="2269">
        <v>-8.065140373336499E-2</v>
      </c>
      <c r="F12561" s="2270">
        <v>-4.8390842240018991E-3</v>
      </c>
      <c r="G12561" s="78"/>
      <c r="H12561" t="s">
        <v>3533</v>
      </c>
      <c r="K12561" s="434"/>
    </row>
    <row r="12562" spans="1:11" ht="12.75" hidden="1" customHeight="1" outlineLevel="1" x14ac:dyDescent="0.25">
      <c r="A12562" s="1997">
        <v>0.02</v>
      </c>
      <c r="B12562" s="1921" t="s">
        <v>3023</v>
      </c>
      <c r="C12562" s="2179">
        <v>80.522499999999994</v>
      </c>
      <c r="D12562" s="2268">
        <v>111.2</v>
      </c>
      <c r="E12562" s="2269">
        <v>0.38098047129684254</v>
      </c>
      <c r="F12562" s="2270">
        <v>7.6196094259368512E-3</v>
      </c>
      <c r="G12562" s="78"/>
      <c r="H12562" t="s">
        <v>2815</v>
      </c>
      <c r="K12562" s="434"/>
    </row>
    <row r="12563" spans="1:11" ht="12.75" hidden="1" customHeight="1" outlineLevel="1" x14ac:dyDescent="0.25">
      <c r="A12563" s="1997">
        <v>7.0000000000000007E-2</v>
      </c>
      <c r="B12563" s="1921" t="s">
        <v>2586</v>
      </c>
      <c r="C12563" s="2179">
        <v>21.8475</v>
      </c>
      <c r="D12563" s="2268">
        <v>25.164999999999999</v>
      </c>
      <c r="E12563" s="2269">
        <v>0.15184803753289855</v>
      </c>
      <c r="F12563" s="2270">
        <v>1.0629362627302899E-2</v>
      </c>
      <c r="G12563" s="78"/>
      <c r="H12563" t="s">
        <v>7803</v>
      </c>
      <c r="K12563" s="434"/>
    </row>
    <row r="12564" spans="1:11" ht="12.75" hidden="1" customHeight="1" outlineLevel="1" x14ac:dyDescent="0.25">
      <c r="A12564" s="1997">
        <v>0.03</v>
      </c>
      <c r="B12564" s="1921" t="s">
        <v>1214</v>
      </c>
      <c r="C12564" s="2179">
        <v>96.1875</v>
      </c>
      <c r="D12564" s="2268">
        <v>104.02</v>
      </c>
      <c r="E12564" s="2269">
        <v>8.1429499675113703E-2</v>
      </c>
      <c r="F12564" s="2270">
        <v>2.4428849902534112E-3</v>
      </c>
      <c r="G12564" s="78"/>
      <c r="H12564" t="s">
        <v>3775</v>
      </c>
      <c r="K12564" s="434"/>
    </row>
    <row r="12565" spans="1:11" ht="12.75" hidden="1" customHeight="1" outlineLevel="1" x14ac:dyDescent="0.25">
      <c r="A12565" s="1997">
        <v>7.0000000000000007E-2</v>
      </c>
      <c r="B12565" s="1921" t="s">
        <v>1239</v>
      </c>
      <c r="C12565" s="2179">
        <v>474.9</v>
      </c>
      <c r="D12565" s="2268">
        <v>496</v>
      </c>
      <c r="E12565" s="2269">
        <v>4.4430406401347655E-2</v>
      </c>
      <c r="F12565" s="2270">
        <v>3.1101284480943361E-3</v>
      </c>
      <c r="G12565" s="78"/>
      <c r="H12565" t="s">
        <v>8891</v>
      </c>
      <c r="K12565" s="434"/>
    </row>
    <row r="12566" spans="1:11" ht="12.75" hidden="1" customHeight="1" outlineLevel="1" x14ac:dyDescent="0.25">
      <c r="A12566" s="1997">
        <v>0.04</v>
      </c>
      <c r="B12566" s="1921" t="s">
        <v>1142</v>
      </c>
      <c r="C12566" s="2179">
        <v>39.497500000000002</v>
      </c>
      <c r="D12566" s="2268">
        <v>51.31</v>
      </c>
      <c r="E12566" s="2269">
        <v>0.29906956136464324</v>
      </c>
      <c r="F12566" s="2270">
        <v>1.196278245458573E-2</v>
      </c>
      <c r="G12566" s="78"/>
      <c r="H12566" t="s">
        <v>1143</v>
      </c>
      <c r="K12566" s="434"/>
    </row>
    <row r="12567" spans="1:11" ht="12.75" hidden="1" customHeight="1" outlineLevel="1" x14ac:dyDescent="0.25">
      <c r="A12567" s="1997">
        <v>0.06</v>
      </c>
      <c r="B12567" s="1921" t="s">
        <v>1183</v>
      </c>
      <c r="C12567" s="2179">
        <v>43.438800000000001</v>
      </c>
      <c r="D12567" s="2268">
        <v>47.25</v>
      </c>
      <c r="E12567" s="2269">
        <v>8.7737230310229508E-2</v>
      </c>
      <c r="F12567" s="2270">
        <v>5.2642338186137706E-3</v>
      </c>
      <c r="G12567" s="78"/>
      <c r="H12567" t="s">
        <v>2805</v>
      </c>
      <c r="K12567" s="434"/>
    </row>
    <row r="12568" spans="1:11" ht="12.75" hidden="1" customHeight="1" outlineLevel="1" x14ac:dyDescent="0.25">
      <c r="A12568" s="1997">
        <v>0.03</v>
      </c>
      <c r="B12568" s="1921" t="s">
        <v>507</v>
      </c>
      <c r="C12568" s="2179">
        <v>28.448799999999999</v>
      </c>
      <c r="D12568" s="2268">
        <v>54.59</v>
      </c>
      <c r="E12568" s="2269">
        <v>0.91888585810297818</v>
      </c>
      <c r="F12568" s="2270">
        <v>2.7566575743089343E-2</v>
      </c>
      <c r="G12568" s="78"/>
      <c r="H12568" t="s">
        <v>2810</v>
      </c>
      <c r="K12568" s="434"/>
    </row>
    <row r="12569" spans="1:11" ht="12.75" hidden="1" customHeight="1" outlineLevel="1" x14ac:dyDescent="0.25">
      <c r="A12569" s="1997">
        <v>0.06</v>
      </c>
      <c r="B12569" s="1921" t="s">
        <v>3641</v>
      </c>
      <c r="C12569" s="2179">
        <v>99.722499999999997</v>
      </c>
      <c r="D12569" s="2268">
        <v>101.62</v>
      </c>
      <c r="E12569" s="2269">
        <v>1.9027802150969109E-2</v>
      </c>
      <c r="F12569" s="2270">
        <v>1.1416681290581465E-3</v>
      </c>
      <c r="G12569" s="78"/>
      <c r="H12569" t="s">
        <v>3642</v>
      </c>
      <c r="K12569" s="434"/>
    </row>
    <row r="12570" spans="1:11" ht="12.75" hidden="1" customHeight="1" outlineLevel="1" x14ac:dyDescent="0.25">
      <c r="A12570" s="1997">
        <v>0.03</v>
      </c>
      <c r="B12570" s="2109" t="s">
        <v>255</v>
      </c>
      <c r="C12570" s="2179">
        <v>48.717500000000001</v>
      </c>
      <c r="D12570" s="2272">
        <v>58.28</v>
      </c>
      <c r="E12570" s="2269">
        <v>0.19628470262226094</v>
      </c>
      <c r="F12570" s="2270">
        <v>5.8885410786678281E-3</v>
      </c>
      <c r="G12570" s="78"/>
      <c r="H12570" t="s">
        <v>3351</v>
      </c>
      <c r="K12570" s="434"/>
    </row>
    <row r="12571" spans="1:11" ht="12.75" hidden="1" customHeight="1" outlineLevel="1" x14ac:dyDescent="0.25">
      <c r="A12571" s="2181" t="s">
        <v>2734</v>
      </c>
      <c r="B12571" s="2103"/>
      <c r="C12571" s="2273"/>
      <c r="D12571" s="2274"/>
      <c r="E12571" s="2275"/>
      <c r="F12571" s="2265">
        <v>0.29018111130966928</v>
      </c>
      <c r="G12571" s="78"/>
    </row>
    <row r="12572" spans="1:11" ht="12.75" hidden="1" customHeight="1" outlineLevel="1" x14ac:dyDescent="0.25">
      <c r="A12572" s="1956" t="s">
        <v>5944</v>
      </c>
      <c r="B12572" s="2185">
        <v>43101</v>
      </c>
      <c r="C12572" s="2276">
        <v>100</v>
      </c>
      <c r="D12572" s="2276">
        <v>123.8817</v>
      </c>
      <c r="E12572" s="2277">
        <v>0.23881700000000006</v>
      </c>
      <c r="F12572" s="2278"/>
      <c r="G12572" s="78"/>
    </row>
    <row r="12573" spans="1:11" ht="12.75" hidden="1" customHeight="1" outlineLevel="1" x14ac:dyDescent="0.25">
      <c r="A12573" s="1956" t="s">
        <v>5945</v>
      </c>
      <c r="B12573" s="2185">
        <v>43132</v>
      </c>
      <c r="C12573" s="2276">
        <v>100</v>
      </c>
      <c r="D12573" s="2279">
        <v>117.16079999999999</v>
      </c>
      <c r="E12573" s="2277">
        <v>0.17160799999999998</v>
      </c>
      <c r="F12573" s="2278"/>
      <c r="G12573" s="78"/>
    </row>
    <row r="12574" spans="1:11" ht="12.75" hidden="1" customHeight="1" outlineLevel="1" x14ac:dyDescent="0.25">
      <c r="A12574" s="1956" t="s">
        <v>5946</v>
      </c>
      <c r="B12574" s="2185">
        <v>43160</v>
      </c>
      <c r="C12574" s="2276">
        <v>100</v>
      </c>
      <c r="D12574" s="2279">
        <v>116.057</v>
      </c>
      <c r="E12574" s="2277">
        <v>0.1605700000000001</v>
      </c>
      <c r="F12574" s="2278"/>
      <c r="G12574" s="78"/>
    </row>
    <row r="12575" spans="1:11" ht="12.75" hidden="1" customHeight="1" outlineLevel="1" x14ac:dyDescent="0.25">
      <c r="A12575" s="1956" t="s">
        <v>5947</v>
      </c>
      <c r="B12575" s="2185">
        <v>43191</v>
      </c>
      <c r="C12575" s="2276">
        <v>100</v>
      </c>
      <c r="D12575" s="2279">
        <v>118.0616</v>
      </c>
      <c r="E12575" s="2277">
        <v>0.18061599999999989</v>
      </c>
      <c r="F12575" s="2278"/>
      <c r="G12575" s="78"/>
    </row>
    <row r="12576" spans="1:11" ht="12.75" hidden="1" customHeight="1" outlineLevel="1" x14ac:dyDescent="0.25">
      <c r="A12576" s="1956" t="s">
        <v>5948</v>
      </c>
      <c r="B12576" s="2185">
        <v>43221</v>
      </c>
      <c r="C12576" s="2276">
        <v>100</v>
      </c>
      <c r="D12576" s="2279">
        <v>117.02160000000001</v>
      </c>
      <c r="E12576" s="2277">
        <v>0.17021600000000014</v>
      </c>
      <c r="F12576" s="2278"/>
      <c r="G12576" s="78"/>
    </row>
    <row r="12577" spans="1:7" ht="12.75" hidden="1" customHeight="1" outlineLevel="1" x14ac:dyDescent="0.25">
      <c r="A12577" s="1956" t="s">
        <v>5949</v>
      </c>
      <c r="B12577" s="2185">
        <v>43252</v>
      </c>
      <c r="C12577" s="2276">
        <v>100</v>
      </c>
      <c r="D12577" s="2279">
        <v>117.8584</v>
      </c>
      <c r="E12577" s="2277">
        <v>0.17858400000000008</v>
      </c>
      <c r="F12577" s="2278"/>
      <c r="G12577" s="78"/>
    </row>
    <row r="12578" spans="1:7" ht="12.75" hidden="1" customHeight="1" outlineLevel="1" x14ac:dyDescent="0.25">
      <c r="A12578" s="1956" t="s">
        <v>5950</v>
      </c>
      <c r="B12578" s="2185">
        <v>43282</v>
      </c>
      <c r="C12578" s="2276">
        <v>100</v>
      </c>
      <c r="D12578" s="2279">
        <v>122.5051</v>
      </c>
      <c r="E12578" s="2277">
        <v>0.22505099999999989</v>
      </c>
      <c r="F12578" s="2278"/>
      <c r="G12578" s="78"/>
    </row>
    <row r="12579" spans="1:7" ht="12.75" hidden="1" customHeight="1" outlineLevel="1" x14ac:dyDescent="0.25">
      <c r="A12579" s="1956" t="s">
        <v>5951</v>
      </c>
      <c r="B12579" s="2185">
        <v>43313</v>
      </c>
      <c r="C12579" s="2276">
        <v>100</v>
      </c>
      <c r="D12579" s="2279">
        <v>121.59059999999999</v>
      </c>
      <c r="E12579" s="2277">
        <v>0.21590599999999993</v>
      </c>
      <c r="F12579" s="2278"/>
      <c r="G12579" s="78"/>
    </row>
    <row r="12580" spans="1:7" ht="12.75" hidden="1" customHeight="1" outlineLevel="1" x14ac:dyDescent="0.25">
      <c r="A12580" s="1956" t="s">
        <v>5952</v>
      </c>
      <c r="B12580" s="2185">
        <v>43344</v>
      </c>
      <c r="C12580" s="2276">
        <v>100</v>
      </c>
      <c r="D12580" s="2279">
        <v>123.01909999999999</v>
      </c>
      <c r="E12580" s="2277">
        <v>0.23019100000000003</v>
      </c>
      <c r="F12580" s="2278"/>
      <c r="G12580" s="78"/>
    </row>
    <row r="12581" spans="1:7" ht="12.75" hidden="1" customHeight="1" outlineLevel="1" x14ac:dyDescent="0.25">
      <c r="A12581" s="1956" t="s">
        <v>5953</v>
      </c>
      <c r="B12581" s="2185">
        <v>43374</v>
      </c>
      <c r="C12581" s="2276">
        <v>100</v>
      </c>
      <c r="D12581" s="2279">
        <v>120.6776</v>
      </c>
      <c r="E12581" s="2277">
        <v>0.20677600000000007</v>
      </c>
      <c r="F12581" s="2278"/>
      <c r="G12581" s="78"/>
    </row>
    <row r="12582" spans="1:7" ht="12.75" hidden="1" customHeight="1" outlineLevel="1" x14ac:dyDescent="0.25">
      <c r="A12582" s="1956" t="s">
        <v>5954</v>
      </c>
      <c r="B12582" s="2185">
        <v>43405</v>
      </c>
      <c r="C12582" s="2276">
        <v>100</v>
      </c>
      <c r="D12582" s="2279">
        <v>122.9404</v>
      </c>
      <c r="E12582" s="2277">
        <v>0.22940399999999994</v>
      </c>
      <c r="F12582" s="2278"/>
      <c r="G12582" s="78"/>
    </row>
    <row r="12583" spans="1:7" ht="12.75" hidden="1" customHeight="1" outlineLevel="1" x14ac:dyDescent="0.25">
      <c r="A12583" s="1956" t="s">
        <v>5955</v>
      </c>
      <c r="B12583" s="2185">
        <v>43435</v>
      </c>
      <c r="C12583" s="2276">
        <v>100</v>
      </c>
      <c r="D12583" s="2279">
        <v>113.58410000000001</v>
      </c>
      <c r="E12583" s="2277">
        <v>0.1358410000000001</v>
      </c>
      <c r="F12583" s="2278"/>
      <c r="G12583" s="78"/>
    </row>
    <row r="12584" spans="1:7" ht="12.75" hidden="1" customHeight="1" outlineLevel="1" x14ac:dyDescent="0.25">
      <c r="A12584" s="1956" t="s">
        <v>5956</v>
      </c>
      <c r="B12584" s="2185">
        <v>43466</v>
      </c>
      <c r="C12584" s="2276">
        <v>100</v>
      </c>
      <c r="D12584" s="2279">
        <v>118.63330000000001</v>
      </c>
      <c r="E12584" s="2277">
        <v>0.18633300000000008</v>
      </c>
      <c r="F12584" s="2278"/>
      <c r="G12584" s="78"/>
    </row>
    <row r="12585" spans="1:7" ht="12.75" hidden="1" customHeight="1" outlineLevel="1" x14ac:dyDescent="0.25">
      <c r="A12585" s="1956" t="s">
        <v>5957</v>
      </c>
      <c r="B12585" s="2185">
        <v>43497</v>
      </c>
      <c r="C12585" s="2276">
        <v>100</v>
      </c>
      <c r="D12585" s="2279">
        <v>121.94629999999999</v>
      </c>
      <c r="E12585" s="2277">
        <v>0.21946299999999996</v>
      </c>
      <c r="F12585" s="2278"/>
      <c r="G12585" s="78"/>
    </row>
    <row r="12586" spans="1:7" ht="12.75" hidden="1" customHeight="1" outlineLevel="1" x14ac:dyDescent="0.25">
      <c r="A12586" s="1956" t="s">
        <v>5958</v>
      </c>
      <c r="B12586" s="2185">
        <v>43525</v>
      </c>
      <c r="C12586" s="2276">
        <v>100</v>
      </c>
      <c r="D12586" s="2279">
        <v>125.6052</v>
      </c>
      <c r="E12586" s="2277">
        <v>0.25605199999999995</v>
      </c>
      <c r="F12586" s="2278"/>
      <c r="G12586" s="78"/>
    </row>
    <row r="12587" spans="1:7" ht="12.75" hidden="1" customHeight="1" outlineLevel="1" x14ac:dyDescent="0.25">
      <c r="A12587" s="1956" t="s">
        <v>5959</v>
      </c>
      <c r="B12587" s="2185">
        <v>43556</v>
      </c>
      <c r="C12587" s="2276">
        <v>100</v>
      </c>
      <c r="D12587" s="2279">
        <v>128.26920000000001</v>
      </c>
      <c r="E12587" s="2277">
        <v>0.28269200000000017</v>
      </c>
      <c r="F12587" s="2278"/>
      <c r="G12587" s="78"/>
    </row>
    <row r="12588" spans="1:7" ht="12.75" hidden="1" customHeight="1" outlineLevel="1" x14ac:dyDescent="0.25">
      <c r="A12588" s="1956" t="s">
        <v>5960</v>
      </c>
      <c r="B12588" s="2185">
        <v>43586</v>
      </c>
      <c r="C12588" s="2276">
        <v>100</v>
      </c>
      <c r="D12588" s="2279">
        <v>124.8112</v>
      </c>
      <c r="E12588" s="2277">
        <v>0.24811199999999989</v>
      </c>
      <c r="F12588" s="2278"/>
      <c r="G12588" s="78"/>
    </row>
    <row r="12589" spans="1:7" ht="12.75" hidden="1" customHeight="1" outlineLevel="1" x14ac:dyDescent="0.25">
      <c r="A12589" s="1956" t="s">
        <v>5961</v>
      </c>
      <c r="B12589" s="2185">
        <v>43617</v>
      </c>
      <c r="C12589" s="2276">
        <v>100</v>
      </c>
      <c r="D12589" s="2279">
        <v>130.8065</v>
      </c>
      <c r="E12589" s="2277">
        <v>0.30806500000000003</v>
      </c>
      <c r="F12589" s="2278"/>
      <c r="G12589" s="78"/>
    </row>
    <row r="12590" spans="1:7" ht="12.75" hidden="1" customHeight="1" outlineLevel="1" x14ac:dyDescent="0.25">
      <c r="A12590" s="2189" t="s">
        <v>2734</v>
      </c>
      <c r="B12590" s="2190"/>
      <c r="C12590" s="2279"/>
      <c r="D12590" s="2191" t="s">
        <v>2465</v>
      </c>
      <c r="E12590" s="1987">
        <v>0.21357205555555561</v>
      </c>
      <c r="F12590" s="2192">
        <v>0.21357205555555561</v>
      </c>
      <c r="G12590" s="78"/>
    </row>
    <row r="12591" spans="1:7" collapsed="1" x14ac:dyDescent="0.25">
      <c r="A12591" s="3801" t="s">
        <v>5962</v>
      </c>
      <c r="B12591" s="3802"/>
      <c r="C12591" s="3802"/>
      <c r="D12591" s="3802"/>
      <c r="E12591" s="1906"/>
      <c r="F12591" s="1907">
        <v>0.12814323333333336</v>
      </c>
      <c r="G12591" s="78"/>
    </row>
    <row r="12592" spans="1:7" x14ac:dyDescent="0.25">
      <c r="A12592" t="s">
        <v>2734</v>
      </c>
    </row>
    <row r="12593" spans="1:17" ht="12.75" hidden="1" customHeight="1" outlineLevel="1" x14ac:dyDescent="0.25">
      <c r="A12593" s="2357" t="s">
        <v>113</v>
      </c>
      <c r="B12593" s="2357" t="s">
        <v>114</v>
      </c>
      <c r="C12593" s="2357" t="s">
        <v>112</v>
      </c>
      <c r="D12593" s="2357" t="s">
        <v>116</v>
      </c>
      <c r="E12593" s="2357" t="s">
        <v>117</v>
      </c>
      <c r="F12593" s="2358" t="s">
        <v>121</v>
      </c>
      <c r="G12593" s="78"/>
    </row>
    <row r="12594" spans="1:17" ht="12.75" hidden="1" customHeight="1" outlineLevel="1" x14ac:dyDescent="0.25">
      <c r="A12594" s="2359">
        <v>1</v>
      </c>
      <c r="B12594" s="2360" t="s">
        <v>252</v>
      </c>
      <c r="C12594" s="2361">
        <v>100</v>
      </c>
      <c r="D12594" s="2361"/>
      <c r="E12594" s="2362"/>
      <c r="F12594" s="2363"/>
      <c r="G12594" s="78"/>
    </row>
    <row r="12595" spans="1:17" ht="12.75" hidden="1" customHeight="1" outlineLevel="1" x14ac:dyDescent="0.25">
      <c r="A12595" s="2364" t="s">
        <v>2734</v>
      </c>
      <c r="B12595" s="2364"/>
      <c r="C12595" s="2365"/>
      <c r="D12595" s="1900" t="s">
        <v>3702</v>
      </c>
      <c r="E12595" s="2366">
        <v>43662</v>
      </c>
      <c r="F12595" s="2367"/>
      <c r="G12595" s="78"/>
      <c r="J12595" t="s">
        <v>5773</v>
      </c>
    </row>
    <row r="12596" spans="1:17" ht="12.75" hidden="1" customHeight="1" outlineLevel="1" x14ac:dyDescent="0.25">
      <c r="A12596" s="2357" t="s">
        <v>4156</v>
      </c>
      <c r="B12596" s="2368" t="s">
        <v>4153</v>
      </c>
      <c r="C12596" s="2369" t="s">
        <v>112</v>
      </c>
      <c r="D12596" s="2368" t="s">
        <v>4155</v>
      </c>
      <c r="E12596" s="2357" t="s">
        <v>4154</v>
      </c>
      <c r="F12596" s="2370" t="s">
        <v>2519</v>
      </c>
      <c r="G12596" s="78"/>
      <c r="J12596" s="417" t="s">
        <v>5771</v>
      </c>
      <c r="K12596" s="417" t="s">
        <v>6040</v>
      </c>
      <c r="L12596" s="417" t="s">
        <v>6041</v>
      </c>
      <c r="M12596" s="417" t="s">
        <v>6042</v>
      </c>
    </row>
    <row r="12597" spans="1:17" ht="12.75" hidden="1" customHeight="1" outlineLevel="1" x14ac:dyDescent="0.25">
      <c r="A12597" s="1991">
        <v>0.02</v>
      </c>
      <c r="B12597" s="1992" t="s">
        <v>2917</v>
      </c>
      <c r="C12597" s="2108">
        <v>83.397499999999994</v>
      </c>
      <c r="D12597" s="2371">
        <v>280.7</v>
      </c>
      <c r="E12597" s="2372">
        <v>2.3658083275877577</v>
      </c>
      <c r="F12597" s="2370">
        <v>4.7316166551755155E-2</v>
      </c>
      <c r="G12597" s="78"/>
      <c r="H12597" t="s">
        <v>2929</v>
      </c>
      <c r="I12597" s="481" t="s">
        <v>6043</v>
      </c>
      <c r="J12597" s="417">
        <v>92.64</v>
      </c>
      <c r="K12597" s="417">
        <v>81.02</v>
      </c>
      <c r="L12597" s="417">
        <v>81.069999999999993</v>
      </c>
      <c r="M12597" s="417">
        <v>78.86</v>
      </c>
      <c r="Q12597" s="434"/>
    </row>
    <row r="12598" spans="1:17" ht="12.75" hidden="1" customHeight="1" outlineLevel="1" x14ac:dyDescent="0.25">
      <c r="A12598" s="1997">
        <v>0.02</v>
      </c>
      <c r="B12598" s="1921" t="s">
        <v>5942</v>
      </c>
      <c r="C12598" s="2108">
        <v>88.397499999999994</v>
      </c>
      <c r="D12598" s="2373">
        <v>128.06</v>
      </c>
      <c r="E12598" s="2374">
        <v>0.44868350349274588</v>
      </c>
      <c r="F12598" s="2375">
        <v>8.9736700698549183E-3</v>
      </c>
      <c r="G12598" s="78"/>
      <c r="H12598" t="s">
        <v>5982</v>
      </c>
      <c r="I12598" s="453" t="s">
        <v>6044</v>
      </c>
      <c r="J12598" s="417">
        <v>89.59</v>
      </c>
      <c r="K12598" s="417">
        <v>82.86</v>
      </c>
      <c r="L12598" s="417">
        <v>89.97</v>
      </c>
      <c r="M12598" s="417">
        <v>91.17</v>
      </c>
      <c r="Q12598" s="434"/>
    </row>
    <row r="12599" spans="1:17" ht="12.75" hidden="1" customHeight="1" outlineLevel="1" x14ac:dyDescent="0.25">
      <c r="A12599" s="1997">
        <v>0.04</v>
      </c>
      <c r="B12599" s="1921" t="s">
        <v>3320</v>
      </c>
      <c r="C12599" s="2108">
        <v>74.868314309132458</v>
      </c>
      <c r="D12599" s="2373">
        <v>78.75</v>
      </c>
      <c r="E12599" s="2374">
        <v>5.1846842374999813E-2</v>
      </c>
      <c r="F12599" s="2375">
        <v>2.0738736949999924E-3</v>
      </c>
      <c r="G12599" s="78"/>
      <c r="H12599" t="s">
        <v>4093</v>
      </c>
      <c r="I12599" s="453" t="s">
        <v>6045</v>
      </c>
      <c r="J12599" s="417">
        <v>76.8</v>
      </c>
      <c r="K12599" s="417">
        <v>69.92</v>
      </c>
      <c r="L12599" s="417">
        <v>74.09</v>
      </c>
      <c r="M12599" s="417">
        <v>77.27</v>
      </c>
      <c r="Q12599" s="434"/>
    </row>
    <row r="12600" spans="1:17" ht="12.75" hidden="1" customHeight="1" outlineLevel="1" x14ac:dyDescent="0.25">
      <c r="A12600" s="1997">
        <v>0.06</v>
      </c>
      <c r="B12600" s="1921" t="s">
        <v>3998</v>
      </c>
      <c r="C12600" s="2108">
        <v>33.525000000000006</v>
      </c>
      <c r="D12600" s="2373">
        <v>33.58</v>
      </c>
      <c r="E12600" s="2374">
        <v>1.6405667412375813E-3</v>
      </c>
      <c r="F12600" s="2375">
        <v>9.8434004474254869E-5</v>
      </c>
      <c r="G12600" s="78"/>
      <c r="H12600" t="s">
        <v>4000</v>
      </c>
      <c r="I12600" s="453" t="s">
        <v>6046</v>
      </c>
      <c r="J12600" s="417">
        <v>35.200000000000003</v>
      </c>
      <c r="K12600" s="417">
        <v>31.95</v>
      </c>
      <c r="L12600" s="417">
        <v>31.86</v>
      </c>
      <c r="M12600" s="417">
        <v>35.090000000000003</v>
      </c>
      <c r="Q12600" s="434"/>
    </row>
    <row r="12601" spans="1:17" ht="12.75" hidden="1" customHeight="1" outlineLevel="1" x14ac:dyDescent="0.25">
      <c r="A12601" s="1997">
        <v>0.02</v>
      </c>
      <c r="B12601" s="1921" t="s">
        <v>873</v>
      </c>
      <c r="C12601" s="2108">
        <v>2.55525</v>
      </c>
      <c r="D12601" s="2373">
        <v>1.5808000000000002</v>
      </c>
      <c r="E12601" s="2374">
        <v>-0.38135211818804415</v>
      </c>
      <c r="F12601" s="2375">
        <v>-7.6270423637608831E-3</v>
      </c>
      <c r="G12601" s="78"/>
      <c r="H12601" t="s">
        <v>3495</v>
      </c>
      <c r="I12601" s="453" t="s">
        <v>6047</v>
      </c>
      <c r="J12601" s="417">
        <v>2.7109999999999999</v>
      </c>
      <c r="K12601" s="417">
        <v>2.657</v>
      </c>
      <c r="L12601" s="417">
        <v>2.4784999999999999</v>
      </c>
      <c r="M12601" s="417">
        <v>2.3744999999999998</v>
      </c>
      <c r="Q12601" s="434"/>
    </row>
    <row r="12602" spans="1:17" ht="12.75" hidden="1" customHeight="1" outlineLevel="1" x14ac:dyDescent="0.25">
      <c r="A12602" s="1997">
        <v>0.02</v>
      </c>
      <c r="B12602" s="1921" t="s">
        <v>2629</v>
      </c>
      <c r="C12602" s="2108">
        <v>11.9275</v>
      </c>
      <c r="D12602" s="2373">
        <v>15</v>
      </c>
      <c r="E12602" s="2374">
        <v>0.25759798784321952</v>
      </c>
      <c r="F12602" s="2375">
        <v>5.1519597568643908E-3</v>
      </c>
      <c r="G12602" s="78"/>
      <c r="H12602" t="s">
        <v>1652</v>
      </c>
      <c r="I12602" s="453" t="s">
        <v>6048</v>
      </c>
      <c r="J12602" s="417">
        <v>12.43</v>
      </c>
      <c r="K12602" s="417">
        <v>11.68</v>
      </c>
      <c r="L12602" s="417">
        <v>11.95</v>
      </c>
      <c r="M12602" s="417">
        <v>11.65</v>
      </c>
      <c r="Q12602" s="434"/>
    </row>
    <row r="12603" spans="1:17" ht="12.75" hidden="1" customHeight="1" outlineLevel="1" x14ac:dyDescent="0.25">
      <c r="A12603" s="1997">
        <v>0.02</v>
      </c>
      <c r="B12603" s="1921" t="s">
        <v>3406</v>
      </c>
      <c r="C12603" s="2108">
        <v>18.681249999999999</v>
      </c>
      <c r="D12603" s="2373">
        <v>34.200000000000003</v>
      </c>
      <c r="E12603" s="2374">
        <v>0.83071261291401832</v>
      </c>
      <c r="F12603" s="2375">
        <v>1.6614252258280365E-2</v>
      </c>
      <c r="G12603" s="78"/>
      <c r="H12603" t="s">
        <v>2105</v>
      </c>
      <c r="I12603" s="453" t="s">
        <v>6049</v>
      </c>
      <c r="J12603" s="417">
        <v>19.864999999999998</v>
      </c>
      <c r="K12603" s="417">
        <v>17.925000000000001</v>
      </c>
      <c r="L12603" s="417">
        <v>18.420000000000002</v>
      </c>
      <c r="M12603" s="417">
        <v>18.515000000000001</v>
      </c>
      <c r="Q12603" s="434"/>
    </row>
    <row r="12604" spans="1:17" ht="12.75" hidden="1" customHeight="1" outlineLevel="1" x14ac:dyDescent="0.25">
      <c r="A12604" s="1997">
        <v>0.02</v>
      </c>
      <c r="B12604" s="1921" t="s">
        <v>5943</v>
      </c>
      <c r="C12604" s="2108">
        <v>14.791672388732684</v>
      </c>
      <c r="D12604" s="2373">
        <v>10.51</v>
      </c>
      <c r="E12604" s="2374">
        <v>-0.28946506359850011</v>
      </c>
      <c r="F12604" s="2375">
        <v>-5.7893012719700022E-3</v>
      </c>
      <c r="G12604" s="78"/>
      <c r="H12604" t="s">
        <v>5984</v>
      </c>
      <c r="I12604" s="453" t="s">
        <v>6050</v>
      </c>
      <c r="J12604" s="417">
        <v>15.28</v>
      </c>
      <c r="K12604" s="417">
        <v>14.55</v>
      </c>
      <c r="L12604" s="417">
        <v>15.2</v>
      </c>
      <c r="M12604" s="417">
        <v>16.32</v>
      </c>
      <c r="Q12604" s="434"/>
    </row>
    <row r="12605" spans="1:17" ht="12.75" hidden="1" customHeight="1" outlineLevel="1" x14ac:dyDescent="0.25">
      <c r="A12605" s="1997">
        <v>0.02</v>
      </c>
      <c r="B12605" s="1921" t="s">
        <v>3407</v>
      </c>
      <c r="C12605" s="2108">
        <v>25.807500000000001</v>
      </c>
      <c r="D12605" s="2373">
        <v>10.38</v>
      </c>
      <c r="E12605" s="2374">
        <v>-0.59779133972682352</v>
      </c>
      <c r="F12605" s="2375">
        <v>-1.1955826794536471E-2</v>
      </c>
      <c r="G12605" s="78"/>
      <c r="H12605" t="s">
        <v>4127</v>
      </c>
      <c r="I12605" s="453" t="s">
        <v>6051</v>
      </c>
      <c r="J12605" s="417">
        <v>27.89</v>
      </c>
      <c r="K12605" s="417">
        <v>24.35</v>
      </c>
      <c r="L12605" s="417">
        <v>25.12</v>
      </c>
      <c r="M12605" s="417">
        <v>25.87</v>
      </c>
      <c r="Q12605" s="434"/>
    </row>
    <row r="12606" spans="1:17" ht="12.75" hidden="1" customHeight="1" outlineLevel="1" x14ac:dyDescent="0.25">
      <c r="A12606" s="1997">
        <v>0.03</v>
      </c>
      <c r="B12606" s="1921" t="s">
        <v>3799</v>
      </c>
      <c r="C12606" s="2108">
        <v>15.860234806293148</v>
      </c>
      <c r="D12606" s="2373">
        <v>16.649999999999999</v>
      </c>
      <c r="E12606" s="2374">
        <v>4.9795302739999769E-2</v>
      </c>
      <c r="F12606" s="2375">
        <v>1.4938590821999931E-3</v>
      </c>
      <c r="G12606" s="78"/>
      <c r="H12606" t="s">
        <v>4128</v>
      </c>
      <c r="I12606" s="453" t="s">
        <v>6052</v>
      </c>
      <c r="J12606" s="417">
        <v>16.07</v>
      </c>
      <c r="K12606" s="417">
        <v>15.715</v>
      </c>
      <c r="L12606" s="417">
        <v>16.64</v>
      </c>
      <c r="M12606" s="417">
        <v>15.935</v>
      </c>
      <c r="Q12606" s="434"/>
    </row>
    <row r="12607" spans="1:17" ht="12.75" hidden="1" customHeight="1" outlineLevel="1" x14ac:dyDescent="0.25">
      <c r="A12607" s="1997">
        <v>0.02</v>
      </c>
      <c r="B12607" s="1921" t="s">
        <v>52</v>
      </c>
      <c r="C12607" s="2108">
        <v>184.51749999999998</v>
      </c>
      <c r="D12607" s="2373">
        <v>143.53</v>
      </c>
      <c r="E12607" s="2374">
        <v>-0.22213340198084186</v>
      </c>
      <c r="F12607" s="2375">
        <v>-4.442668039616837E-3</v>
      </c>
      <c r="G12607" s="78"/>
      <c r="H12607" t="s">
        <v>4130</v>
      </c>
      <c r="I12607" s="453" t="s">
        <v>6053</v>
      </c>
      <c r="J12607" s="417">
        <v>186.41</v>
      </c>
      <c r="K12607" s="417">
        <v>172.9</v>
      </c>
      <c r="L12607" s="417">
        <v>184.26</v>
      </c>
      <c r="M12607" s="417">
        <v>194.5</v>
      </c>
      <c r="Q12607" s="434"/>
    </row>
    <row r="12608" spans="1:17" ht="12.75" hidden="1" customHeight="1" outlineLevel="1" x14ac:dyDescent="0.25">
      <c r="A12608" s="1997">
        <v>0.02</v>
      </c>
      <c r="B12608" s="1921" t="s">
        <v>3426</v>
      </c>
      <c r="C12608" s="2108">
        <v>92.144999999999996</v>
      </c>
      <c r="D12608" s="2373">
        <v>132.5</v>
      </c>
      <c r="E12608" s="2374">
        <v>0.43795105540181245</v>
      </c>
      <c r="F12608" s="2375">
        <v>8.7590211080362489E-3</v>
      </c>
      <c r="G12608" s="78"/>
      <c r="H12608" t="s">
        <v>4145</v>
      </c>
      <c r="I12608" s="453" t="s">
        <v>6054</v>
      </c>
      <c r="J12608" s="417">
        <v>92.3</v>
      </c>
      <c r="K12608" s="417">
        <v>86.78</v>
      </c>
      <c r="L12608" s="417">
        <v>91.56</v>
      </c>
      <c r="M12608" s="417">
        <v>97.94</v>
      </c>
      <c r="Q12608" s="434"/>
    </row>
    <row r="12609" spans="1:17" ht="12.75" hidden="1" customHeight="1" outlineLevel="1" x14ac:dyDescent="0.25">
      <c r="A12609" s="1997">
        <v>0.02</v>
      </c>
      <c r="B12609" s="1921" t="s">
        <v>811</v>
      </c>
      <c r="C12609" s="2108">
        <v>60.362499999999997</v>
      </c>
      <c r="D12609" s="2373">
        <v>55.22</v>
      </c>
      <c r="E12609" s="2374">
        <v>-8.5193621867881486E-2</v>
      </c>
      <c r="F12609" s="2375">
        <v>-1.7038724373576297E-3</v>
      </c>
      <c r="G12609" s="78"/>
      <c r="H12609" t="s">
        <v>812</v>
      </c>
      <c r="I12609" s="453" t="s">
        <v>6055</v>
      </c>
      <c r="J12609" s="417">
        <v>61.26</v>
      </c>
      <c r="K12609" s="417">
        <v>56.9</v>
      </c>
      <c r="L12609" s="417">
        <v>60.67</v>
      </c>
      <c r="M12609" s="417">
        <v>62.62</v>
      </c>
      <c r="Q12609" s="434"/>
    </row>
    <row r="12610" spans="1:17" ht="12.75" hidden="1" customHeight="1" outlineLevel="1" x14ac:dyDescent="0.25">
      <c r="A12610" s="1997">
        <v>0.05</v>
      </c>
      <c r="B12610" s="1921" t="s">
        <v>816</v>
      </c>
      <c r="C12610" s="2108">
        <v>95.5625</v>
      </c>
      <c r="D12610" s="2373">
        <v>213.72</v>
      </c>
      <c r="E12610" s="2374">
        <v>1.2364421190320471</v>
      </c>
      <c r="F12610" s="2375">
        <v>6.1822105951602362E-2</v>
      </c>
      <c r="G12610" s="78"/>
      <c r="H12610" t="s">
        <v>817</v>
      </c>
      <c r="I12610" s="453" t="s">
        <v>6056</v>
      </c>
      <c r="J12610" s="417">
        <v>97.01</v>
      </c>
      <c r="K12610" s="417">
        <v>93.02</v>
      </c>
      <c r="L12610" s="417">
        <v>94.32</v>
      </c>
      <c r="M12610" s="417">
        <v>97.9</v>
      </c>
      <c r="Q12610" s="434"/>
    </row>
    <row r="12611" spans="1:17" ht="12.75" hidden="1" customHeight="1" outlineLevel="1" x14ac:dyDescent="0.25">
      <c r="A12611" s="1997">
        <v>0.02</v>
      </c>
      <c r="B12611" s="1921" t="s">
        <v>1001</v>
      </c>
      <c r="C12611" s="2108">
        <v>38.2425</v>
      </c>
      <c r="D12611" s="2373">
        <v>137.08000000000001</v>
      </c>
      <c r="E12611" s="2374">
        <v>2.5844936915735115</v>
      </c>
      <c r="F12611" s="2375">
        <v>5.168987383147023E-2</v>
      </c>
      <c r="G12611" s="78"/>
      <c r="H12611" t="s">
        <v>8270</v>
      </c>
      <c r="I12611" s="453" t="s">
        <v>6057</v>
      </c>
      <c r="J12611" s="417">
        <v>37.29</v>
      </c>
      <c r="K12611" s="417">
        <v>36.479999999999997</v>
      </c>
      <c r="L12611" s="417">
        <v>37.78</v>
      </c>
      <c r="M12611" s="417">
        <v>41.42</v>
      </c>
      <c r="Q12611" s="434"/>
    </row>
    <row r="12612" spans="1:17" ht="12.75" hidden="1" customHeight="1" outlineLevel="1" x14ac:dyDescent="0.25">
      <c r="A12612" s="1997">
        <v>0.05</v>
      </c>
      <c r="B12612" s="1921" t="s">
        <v>3797</v>
      </c>
      <c r="C12612" s="2108">
        <v>65.775000000000006</v>
      </c>
      <c r="D12612" s="2373">
        <v>101.9</v>
      </c>
      <c r="E12612" s="2374">
        <v>0.54922082858228816</v>
      </c>
      <c r="F12612" s="2375">
        <v>2.7461041429114409E-2</v>
      </c>
      <c r="G12612" s="78"/>
      <c r="H12612" t="s">
        <v>8872</v>
      </c>
      <c r="I12612" s="453" t="s">
        <v>6058</v>
      </c>
      <c r="J12612" s="417">
        <v>65.3</v>
      </c>
      <c r="K12612" s="417">
        <v>65.650000000000006</v>
      </c>
      <c r="L12612" s="417">
        <v>65.8</v>
      </c>
      <c r="M12612" s="417">
        <v>66.349999999999994</v>
      </c>
      <c r="Q12612" s="434"/>
    </row>
    <row r="12613" spans="1:17" ht="12.75" hidden="1" customHeight="1" outlineLevel="1" x14ac:dyDescent="0.25">
      <c r="A12613" s="1997">
        <v>0.02</v>
      </c>
      <c r="B12613" s="1921" t="s">
        <v>1541</v>
      </c>
      <c r="C12613" s="2108">
        <v>37.674999950928317</v>
      </c>
      <c r="D12613" s="2373">
        <v>88.6</v>
      </c>
      <c r="E12613" s="2374">
        <v>1.3516921065799994</v>
      </c>
      <c r="F12613" s="2375">
        <v>2.7033842131599987E-2</v>
      </c>
      <c r="G12613" s="78"/>
      <c r="H12613" t="s">
        <v>1696</v>
      </c>
      <c r="I12613" s="453" t="s">
        <v>6059</v>
      </c>
      <c r="J12613" s="417">
        <v>78.739999999999995</v>
      </c>
      <c r="K12613" s="417">
        <v>70.88</v>
      </c>
      <c r="L12613" s="417">
        <v>77.39</v>
      </c>
      <c r="M12613" s="417">
        <v>74.39</v>
      </c>
      <c r="Q12613" s="434"/>
    </row>
    <row r="12614" spans="1:17" ht="12.75" hidden="1" customHeight="1" outlineLevel="1" x14ac:dyDescent="0.25">
      <c r="A12614" s="1997">
        <v>0.04</v>
      </c>
      <c r="B12614" s="1921" t="s">
        <v>2787</v>
      </c>
      <c r="C12614" s="2108">
        <v>72.224999999999994</v>
      </c>
      <c r="D12614" s="2373">
        <v>88.03</v>
      </c>
      <c r="E12614" s="2374">
        <v>0.21883004499826941</v>
      </c>
      <c r="F12614" s="2375">
        <v>8.7532017999307765E-3</v>
      </c>
      <c r="G12614" s="78"/>
      <c r="H12614" t="s">
        <v>8874</v>
      </c>
      <c r="I12614" s="453" t="s">
        <v>6060</v>
      </c>
      <c r="J12614" s="417">
        <v>71.2</v>
      </c>
      <c r="K12614" s="417">
        <v>71.45</v>
      </c>
      <c r="L12614" s="417">
        <v>72</v>
      </c>
      <c r="M12614" s="417">
        <v>74.25</v>
      </c>
      <c r="Q12614" s="434"/>
    </row>
    <row r="12615" spans="1:17" ht="12.75" hidden="1" customHeight="1" outlineLevel="1" x14ac:dyDescent="0.25">
      <c r="A12615" s="1997">
        <v>0.02</v>
      </c>
      <c r="B12615" s="1921" t="s">
        <v>1414</v>
      </c>
      <c r="C12615" s="2108">
        <v>31.305000000000003</v>
      </c>
      <c r="D12615" s="2373">
        <v>42.85</v>
      </c>
      <c r="E12615" s="2374">
        <v>0.36879092796677848</v>
      </c>
      <c r="F12615" s="2375">
        <v>7.3758185593355702E-3</v>
      </c>
      <c r="G12615" s="78"/>
      <c r="H12615" t="s">
        <v>2428</v>
      </c>
      <c r="I12615" s="453" t="s">
        <v>6061</v>
      </c>
      <c r="J12615" s="417">
        <v>30.69</v>
      </c>
      <c r="K12615" s="417">
        <v>30.6</v>
      </c>
      <c r="L12615" s="417">
        <v>31.98</v>
      </c>
      <c r="M12615" s="417">
        <v>31.95</v>
      </c>
      <c r="Q12615" s="434"/>
    </row>
    <row r="12616" spans="1:17" ht="12.75" hidden="1" customHeight="1" outlineLevel="1" x14ac:dyDescent="0.25">
      <c r="A12616" s="1997">
        <v>0.06</v>
      </c>
      <c r="B12616" s="1921" t="s">
        <v>3793</v>
      </c>
      <c r="C12616" s="2108">
        <v>81.162499999999994</v>
      </c>
      <c r="D12616" s="2373">
        <v>81.58</v>
      </c>
      <c r="E12616" s="2374">
        <v>5.1440012320962403E-3</v>
      </c>
      <c r="F12616" s="2375">
        <v>3.0864007392577441E-4</v>
      </c>
      <c r="G12616" s="78"/>
      <c r="H12616" t="s">
        <v>3533</v>
      </c>
      <c r="I12616" s="453" t="s">
        <v>6062</v>
      </c>
      <c r="J12616" s="417">
        <v>86.6</v>
      </c>
      <c r="K12616" s="417">
        <v>75.39</v>
      </c>
      <c r="L12616" s="417">
        <v>80.45</v>
      </c>
      <c r="M12616" s="417">
        <v>82.21</v>
      </c>
      <c r="Q12616" s="434"/>
    </row>
    <row r="12617" spans="1:17" ht="12.75" hidden="1" customHeight="1" outlineLevel="1" x14ac:dyDescent="0.25">
      <c r="A12617" s="1997">
        <v>0.02</v>
      </c>
      <c r="B12617" s="1921" t="s">
        <v>3023</v>
      </c>
      <c r="C12617" s="2108">
        <v>78.88</v>
      </c>
      <c r="D12617" s="2373">
        <v>115.89</v>
      </c>
      <c r="E12617" s="2374">
        <v>0.46919371196754578</v>
      </c>
      <c r="F12617" s="2375">
        <v>9.3838742393509162E-3</v>
      </c>
      <c r="G12617" s="78"/>
      <c r="H12617" t="s">
        <v>2815</v>
      </c>
      <c r="I12617" s="453" t="s">
        <v>6063</v>
      </c>
      <c r="J12617" s="417">
        <v>82</v>
      </c>
      <c r="K12617" s="417">
        <v>75.7</v>
      </c>
      <c r="L12617" s="417">
        <v>77.48</v>
      </c>
      <c r="M12617" s="417">
        <v>80.34</v>
      </c>
      <c r="Q12617" s="434"/>
    </row>
    <row r="12618" spans="1:17" ht="12.75" hidden="1" customHeight="1" outlineLevel="1" x14ac:dyDescent="0.25">
      <c r="A12618" s="1997">
        <v>7.0000000000000007E-2</v>
      </c>
      <c r="B12618" s="1921" t="s">
        <v>2586</v>
      </c>
      <c r="C12618" s="2108">
        <v>22.822499999999998</v>
      </c>
      <c r="D12618" s="2373">
        <v>25.945</v>
      </c>
      <c r="E12618" s="2374">
        <v>0.13681673786833182</v>
      </c>
      <c r="F12618" s="2375">
        <v>9.5771716507832283E-3</v>
      </c>
      <c r="G12618" s="78"/>
      <c r="H12618" t="s">
        <v>7803</v>
      </c>
      <c r="I12618" s="453" t="s">
        <v>6064</v>
      </c>
      <c r="J12618" s="417">
        <v>22.66</v>
      </c>
      <c r="K12618" s="417">
        <v>22.08</v>
      </c>
      <c r="L12618" s="417">
        <v>23.06</v>
      </c>
      <c r="M12618" s="417">
        <v>23.49</v>
      </c>
      <c r="Q12618" s="434"/>
    </row>
    <row r="12619" spans="1:17" ht="12.75" hidden="1" customHeight="1" outlineLevel="1" x14ac:dyDescent="0.25">
      <c r="A12619" s="1997">
        <v>0.03</v>
      </c>
      <c r="B12619" s="1921" t="s">
        <v>1214</v>
      </c>
      <c r="C12619" s="2108">
        <v>95.765000000000001</v>
      </c>
      <c r="D12619" s="2373">
        <v>100.34</v>
      </c>
      <c r="E12619" s="2374">
        <v>4.777319479977038E-2</v>
      </c>
      <c r="F12619" s="2375">
        <v>1.4331958439931112E-3</v>
      </c>
      <c r="G12619" s="78"/>
      <c r="H12619" t="s">
        <v>3775</v>
      </c>
      <c r="I12619" s="453" t="s">
        <v>6065</v>
      </c>
      <c r="J12619" s="417">
        <v>99.29</v>
      </c>
      <c r="K12619" s="417">
        <v>92.72</v>
      </c>
      <c r="L12619" s="417">
        <v>92.97</v>
      </c>
      <c r="M12619" s="417">
        <v>98.08</v>
      </c>
      <c r="Q12619" s="434"/>
    </row>
    <row r="12620" spans="1:17" ht="12.75" hidden="1" customHeight="1" outlineLevel="1" x14ac:dyDescent="0.25">
      <c r="A12620" s="1997">
        <v>7.0000000000000007E-2</v>
      </c>
      <c r="B12620" s="1921" t="s">
        <v>1239</v>
      </c>
      <c r="C12620" s="2108">
        <v>501.97500000000002</v>
      </c>
      <c r="D12620" s="2373">
        <v>479.2</v>
      </c>
      <c r="E12620" s="2374">
        <v>-4.5370785397679247E-2</v>
      </c>
      <c r="F12620" s="2375">
        <v>-3.1759549778375474E-3</v>
      </c>
      <c r="G12620" s="78"/>
      <c r="H12620" t="s">
        <v>8891</v>
      </c>
      <c r="I12620" s="453" t="s">
        <v>6066</v>
      </c>
      <c r="J12620" s="417">
        <v>470.9</v>
      </c>
      <c r="K12620" s="417">
        <v>492</v>
      </c>
      <c r="L12620" s="417">
        <v>510.5</v>
      </c>
      <c r="M12620" s="417">
        <v>534.5</v>
      </c>
      <c r="Q12620" s="434"/>
    </row>
    <row r="12621" spans="1:17" ht="12.75" hidden="1" customHeight="1" outlineLevel="1" x14ac:dyDescent="0.25">
      <c r="A12621" s="1997">
        <v>0.04</v>
      </c>
      <c r="B12621" s="1921" t="s">
        <v>1142</v>
      </c>
      <c r="C12621" s="2108">
        <v>38.704999999999998</v>
      </c>
      <c r="D12621" s="2373">
        <v>52.14</v>
      </c>
      <c r="E12621" s="2374">
        <v>0.34711277612711533</v>
      </c>
      <c r="F12621" s="2375">
        <v>1.3884511045084614E-2</v>
      </c>
      <c r="G12621" s="78"/>
      <c r="H12621" t="s">
        <v>1143</v>
      </c>
      <c r="I12621" s="453" t="s">
        <v>6067</v>
      </c>
      <c r="J12621" s="417">
        <v>41.09</v>
      </c>
      <c r="K12621" s="417">
        <v>37.200000000000003</v>
      </c>
      <c r="L12621" s="417">
        <v>38.119999999999997</v>
      </c>
      <c r="M12621" s="417">
        <v>38.409999999999997</v>
      </c>
      <c r="Q12621" s="434"/>
    </row>
    <row r="12622" spans="1:17" ht="12.75" hidden="1" customHeight="1" outlineLevel="1" x14ac:dyDescent="0.25">
      <c r="A12622" s="1997">
        <v>0.06</v>
      </c>
      <c r="B12622" s="1921" t="s">
        <v>1183</v>
      </c>
      <c r="C12622" s="2108">
        <v>45.048749999999998</v>
      </c>
      <c r="D12622" s="2373">
        <v>49.965000000000003</v>
      </c>
      <c r="E12622" s="2374">
        <v>0.10913177391159579</v>
      </c>
      <c r="F12622" s="2375">
        <v>6.5479064346957473E-3</v>
      </c>
      <c r="G12622" s="78"/>
      <c r="H12622" t="s">
        <v>2805</v>
      </c>
      <c r="I12622" s="453" t="s">
        <v>6068</v>
      </c>
      <c r="J12622" s="417">
        <v>44.325000000000003</v>
      </c>
      <c r="K12622" s="417">
        <v>41.765000000000001</v>
      </c>
      <c r="L12622" s="417">
        <v>46.22</v>
      </c>
      <c r="M12622" s="417">
        <v>47.884999999999998</v>
      </c>
      <c r="Q12622" s="434"/>
    </row>
    <row r="12623" spans="1:17" ht="12.75" hidden="1" customHeight="1" outlineLevel="1" x14ac:dyDescent="0.25">
      <c r="A12623" s="1997">
        <v>0.03</v>
      </c>
      <c r="B12623" s="1921" t="s">
        <v>507</v>
      </c>
      <c r="C12623" s="2108">
        <v>28.61</v>
      </c>
      <c r="D12623" s="2373">
        <v>54.31</v>
      </c>
      <c r="E12623" s="2374">
        <v>0.89828731212862656</v>
      </c>
      <c r="F12623" s="2375">
        <v>2.6948619363858797E-2</v>
      </c>
      <c r="G12623" s="78"/>
      <c r="H12623" t="s">
        <v>2810</v>
      </c>
      <c r="I12623" s="453" t="s">
        <v>6069</v>
      </c>
      <c r="J12623" s="417">
        <v>29.145</v>
      </c>
      <c r="K12623" s="417">
        <v>27.574999999999999</v>
      </c>
      <c r="L12623" s="417">
        <v>28.02</v>
      </c>
      <c r="M12623" s="417">
        <v>29.7</v>
      </c>
      <c r="Q12623" s="434"/>
    </row>
    <row r="12624" spans="1:17" ht="12.75" hidden="1" customHeight="1" outlineLevel="1" x14ac:dyDescent="0.25">
      <c r="A12624" s="1997">
        <v>0.06</v>
      </c>
      <c r="B12624" s="1921" t="s">
        <v>3641</v>
      </c>
      <c r="C12624" s="2108">
        <v>97.91500000000002</v>
      </c>
      <c r="D12624" s="2373">
        <v>105.61</v>
      </c>
      <c r="E12624" s="2374">
        <v>7.8588571720369371E-2</v>
      </c>
      <c r="F12624" s="2375">
        <v>4.7153143032221618E-3</v>
      </c>
      <c r="G12624" s="78"/>
      <c r="H12624" t="s">
        <v>3642</v>
      </c>
      <c r="I12624" s="453" t="s">
        <v>6070</v>
      </c>
      <c r="J12624" s="417">
        <v>104.92</v>
      </c>
      <c r="K12624" s="417">
        <v>93.62</v>
      </c>
      <c r="L12624" s="417">
        <v>95.78</v>
      </c>
      <c r="M12624" s="417">
        <v>97.34</v>
      </c>
      <c r="Q12624" s="434"/>
    </row>
    <row r="12625" spans="1:17" ht="12.75" hidden="1" customHeight="1" outlineLevel="1" x14ac:dyDescent="0.25">
      <c r="A12625" s="1997">
        <v>0.03</v>
      </c>
      <c r="B12625" s="2109" t="s">
        <v>255</v>
      </c>
      <c r="C12625" s="2108">
        <v>47.655000000000001</v>
      </c>
      <c r="D12625" s="2377">
        <v>57.41</v>
      </c>
      <c r="E12625" s="2374">
        <v>0.20470045115937463</v>
      </c>
      <c r="F12625" s="2375">
        <v>6.1410135347812382E-3</v>
      </c>
      <c r="G12625" s="78"/>
      <c r="H12625" t="s">
        <v>3351</v>
      </c>
      <c r="I12625" s="408" t="s">
        <v>6071</v>
      </c>
      <c r="J12625" s="417">
        <v>49.15</v>
      </c>
      <c r="K12625" s="417">
        <v>46.41</v>
      </c>
      <c r="L12625" s="417">
        <v>47.31</v>
      </c>
      <c r="M12625" s="417">
        <v>47.75</v>
      </c>
      <c r="Q12625" s="434"/>
    </row>
    <row r="12626" spans="1:17" ht="12.75" hidden="1" customHeight="1" outlineLevel="1" x14ac:dyDescent="0.25">
      <c r="A12626" s="2181" t="s">
        <v>2734</v>
      </c>
      <c r="B12626" s="2103"/>
      <c r="C12626" s="2384"/>
      <c r="D12626" s="2385"/>
      <c r="E12626" s="2386"/>
      <c r="F12626" s="2370">
        <v>0.31886270083413482</v>
      </c>
      <c r="G12626" s="78"/>
    </row>
    <row r="12627" spans="1:17" ht="12.75" hidden="1" customHeight="1" outlineLevel="1" x14ac:dyDescent="0.25">
      <c r="A12627" s="1956" t="s">
        <v>5964</v>
      </c>
      <c r="B12627" s="2185">
        <v>43132</v>
      </c>
      <c r="C12627" s="2387">
        <v>100</v>
      </c>
      <c r="D12627" s="2387">
        <v>117.0616</v>
      </c>
      <c r="E12627" s="2388">
        <v>0.17061599999999988</v>
      </c>
      <c r="F12627" s="2389"/>
      <c r="G12627" s="78"/>
    </row>
    <row r="12628" spans="1:17" ht="12.75" hidden="1" customHeight="1" outlineLevel="1" x14ac:dyDescent="0.25">
      <c r="A12628" s="1956" t="s">
        <v>5965</v>
      </c>
      <c r="B12628" s="2185">
        <v>43160</v>
      </c>
      <c r="C12628" s="2387">
        <v>100</v>
      </c>
      <c r="D12628" s="2390">
        <v>116.0074</v>
      </c>
      <c r="E12628" s="2388">
        <v>0.16007400000000005</v>
      </c>
      <c r="F12628" s="2389"/>
      <c r="G12628" s="78"/>
    </row>
    <row r="12629" spans="1:17" ht="12.75" hidden="1" customHeight="1" outlineLevel="1" x14ac:dyDescent="0.25">
      <c r="A12629" s="1956" t="s">
        <v>5966</v>
      </c>
      <c r="B12629" s="2185">
        <v>43191</v>
      </c>
      <c r="C12629" s="2387">
        <v>100</v>
      </c>
      <c r="D12629" s="2390">
        <v>117.8926</v>
      </c>
      <c r="E12629" s="2388">
        <v>0.17892599999999992</v>
      </c>
      <c r="F12629" s="2389"/>
      <c r="G12629" s="78"/>
    </row>
    <row r="12630" spans="1:17" ht="12.75" hidden="1" customHeight="1" outlineLevel="1" x14ac:dyDescent="0.25">
      <c r="A12630" s="1956" t="s">
        <v>5967</v>
      </c>
      <c r="B12630" s="2185">
        <v>43221</v>
      </c>
      <c r="C12630" s="2387">
        <v>100</v>
      </c>
      <c r="D12630" s="2390">
        <v>116.863</v>
      </c>
      <c r="E12630" s="2388">
        <v>0.16863000000000006</v>
      </c>
      <c r="F12630" s="2389"/>
      <c r="G12630" s="78"/>
    </row>
    <row r="12631" spans="1:17" ht="12.75" hidden="1" customHeight="1" outlineLevel="1" x14ac:dyDescent="0.25">
      <c r="A12631" s="1956" t="s">
        <v>5968</v>
      </c>
      <c r="B12631" s="2185">
        <v>43252</v>
      </c>
      <c r="C12631" s="2387">
        <v>100</v>
      </c>
      <c r="D12631" s="2390">
        <v>117.68510000000001</v>
      </c>
      <c r="E12631" s="2388">
        <v>0.17685100000000009</v>
      </c>
      <c r="F12631" s="2389"/>
      <c r="G12631" s="78"/>
    </row>
    <row r="12632" spans="1:17" ht="12.75" hidden="1" customHeight="1" outlineLevel="1" x14ac:dyDescent="0.25">
      <c r="A12632" s="1956" t="s">
        <v>5969</v>
      </c>
      <c r="B12632" s="2185">
        <v>43282</v>
      </c>
      <c r="C12632" s="2387">
        <v>100</v>
      </c>
      <c r="D12632" s="2390">
        <v>122.3169</v>
      </c>
      <c r="E12632" s="2388">
        <v>0.22316899999999995</v>
      </c>
      <c r="F12632" s="2389"/>
      <c r="G12632" s="78"/>
    </row>
    <row r="12633" spans="1:17" ht="12.75" hidden="1" customHeight="1" outlineLevel="1" x14ac:dyDescent="0.25">
      <c r="A12633" s="1956" t="s">
        <v>5970</v>
      </c>
      <c r="B12633" s="2185">
        <v>43313</v>
      </c>
      <c r="C12633" s="2387">
        <v>100</v>
      </c>
      <c r="D12633" s="2390">
        <v>121.43859999999999</v>
      </c>
      <c r="E12633" s="2388">
        <v>0.21438599999999997</v>
      </c>
      <c r="F12633" s="2389"/>
      <c r="G12633" s="78"/>
    </row>
    <row r="12634" spans="1:17" ht="12.75" hidden="1" customHeight="1" outlineLevel="1" x14ac:dyDescent="0.25">
      <c r="A12634" s="1956" t="s">
        <v>5971</v>
      </c>
      <c r="B12634" s="2185">
        <v>43344</v>
      </c>
      <c r="C12634" s="2387">
        <v>100</v>
      </c>
      <c r="D12634" s="2390">
        <v>122.8199</v>
      </c>
      <c r="E12634" s="2388">
        <v>0.22819900000000004</v>
      </c>
      <c r="F12634" s="2389"/>
      <c r="G12634" s="78"/>
    </row>
    <row r="12635" spans="1:17" ht="12.75" hidden="1" customHeight="1" outlineLevel="1" x14ac:dyDescent="0.25">
      <c r="A12635" s="1956" t="s">
        <v>5972</v>
      </c>
      <c r="B12635" s="2185">
        <v>43374</v>
      </c>
      <c r="C12635" s="2387">
        <v>100</v>
      </c>
      <c r="D12635" s="2390">
        <v>120.5108</v>
      </c>
      <c r="E12635" s="2388">
        <v>0.20510800000000007</v>
      </c>
      <c r="F12635" s="2389"/>
      <c r="G12635" s="78"/>
    </row>
    <row r="12636" spans="1:17" ht="12.75" hidden="1" customHeight="1" outlineLevel="1" x14ac:dyDescent="0.25">
      <c r="A12636" s="1956" t="s">
        <v>5973</v>
      </c>
      <c r="B12636" s="2185">
        <v>43405</v>
      </c>
      <c r="C12636" s="2387">
        <v>100</v>
      </c>
      <c r="D12636" s="2390">
        <v>122.7777</v>
      </c>
      <c r="E12636" s="2388">
        <v>0.2277769999999999</v>
      </c>
      <c r="F12636" s="2389"/>
      <c r="G12636" s="78"/>
    </row>
    <row r="12637" spans="1:17" ht="12.75" hidden="1" customHeight="1" outlineLevel="1" x14ac:dyDescent="0.25">
      <c r="A12637" s="1956" t="s">
        <v>5974</v>
      </c>
      <c r="B12637" s="2185">
        <v>43435</v>
      </c>
      <c r="C12637" s="2387">
        <v>100</v>
      </c>
      <c r="D12637" s="2390">
        <v>113.3638</v>
      </c>
      <c r="E12637" s="2388">
        <v>0.13363799999999992</v>
      </c>
      <c r="F12637" s="2389"/>
      <c r="G12637" s="78"/>
    </row>
    <row r="12638" spans="1:17" ht="12.75" hidden="1" customHeight="1" outlineLevel="1" x14ac:dyDescent="0.25">
      <c r="A12638" s="1956" t="s">
        <v>5975</v>
      </c>
      <c r="B12638" s="2185">
        <v>43466</v>
      </c>
      <c r="C12638" s="2387">
        <v>100</v>
      </c>
      <c r="D12638" s="2390">
        <v>118.4755</v>
      </c>
      <c r="E12638" s="2388">
        <v>0.184755</v>
      </c>
      <c r="F12638" s="2389"/>
      <c r="G12638" s="78"/>
    </row>
    <row r="12639" spans="1:17" ht="12.75" hidden="1" customHeight="1" outlineLevel="1" x14ac:dyDescent="0.25">
      <c r="A12639" s="1956" t="s">
        <v>5976</v>
      </c>
      <c r="B12639" s="2185">
        <v>43497</v>
      </c>
      <c r="C12639" s="2387">
        <v>100</v>
      </c>
      <c r="D12639" s="2390">
        <v>121.818</v>
      </c>
      <c r="E12639" s="2388">
        <v>0.21818000000000004</v>
      </c>
      <c r="F12639" s="2389"/>
      <c r="G12639" s="78"/>
    </row>
    <row r="12640" spans="1:17" ht="12.75" hidden="1" customHeight="1" outlineLevel="1" x14ac:dyDescent="0.25">
      <c r="A12640" s="1956" t="s">
        <v>5977</v>
      </c>
      <c r="B12640" s="2185">
        <v>43525</v>
      </c>
      <c r="C12640" s="2387">
        <v>100</v>
      </c>
      <c r="D12640" s="2390">
        <v>125.4624</v>
      </c>
      <c r="E12640" s="2388">
        <v>0.25462399999999996</v>
      </c>
      <c r="F12640" s="2389"/>
      <c r="G12640" s="78"/>
    </row>
    <row r="12641" spans="1:17" ht="12.75" hidden="1" customHeight="1" outlineLevel="1" x14ac:dyDescent="0.25">
      <c r="A12641" s="1956" t="s">
        <v>5978</v>
      </c>
      <c r="B12641" s="2185">
        <v>43556</v>
      </c>
      <c r="C12641" s="2387">
        <v>100</v>
      </c>
      <c r="D12641" s="2390">
        <v>128.137</v>
      </c>
      <c r="E12641" s="2388">
        <v>0.2813699999999999</v>
      </c>
      <c r="F12641" s="2389"/>
      <c r="G12641" s="78"/>
    </row>
    <row r="12642" spans="1:17" ht="12.75" hidden="1" customHeight="1" outlineLevel="1" x14ac:dyDescent="0.25">
      <c r="A12642" s="1956" t="s">
        <v>5979</v>
      </c>
      <c r="B12642" s="2185">
        <v>43586</v>
      </c>
      <c r="C12642" s="2387">
        <v>100</v>
      </c>
      <c r="D12642" s="2390">
        <v>124.6645</v>
      </c>
      <c r="E12642" s="2388">
        <v>0.246645</v>
      </c>
      <c r="F12642" s="2389"/>
      <c r="G12642" s="78"/>
    </row>
    <row r="12643" spans="1:17" ht="12.75" hidden="1" customHeight="1" outlineLevel="1" x14ac:dyDescent="0.25">
      <c r="A12643" s="1956" t="s">
        <v>5980</v>
      </c>
      <c r="B12643" s="2185">
        <v>43617</v>
      </c>
      <c r="C12643" s="2387">
        <v>100</v>
      </c>
      <c r="D12643" s="2390">
        <v>130.66669999999999</v>
      </c>
      <c r="E12643" s="2388">
        <v>0.30666700000000002</v>
      </c>
      <c r="F12643" s="2389"/>
      <c r="G12643" s="78"/>
    </row>
    <row r="12644" spans="1:17" ht="12.75" hidden="1" customHeight="1" outlineLevel="1" x14ac:dyDescent="0.25">
      <c r="A12644" s="1956" t="s">
        <v>5981</v>
      </c>
      <c r="B12644" s="2185">
        <v>43647</v>
      </c>
      <c r="C12644" s="2387">
        <v>100</v>
      </c>
      <c r="D12644" s="2390">
        <v>133.78919999999999</v>
      </c>
      <c r="E12644" s="2388">
        <v>0.33789199999999986</v>
      </c>
      <c r="F12644" s="2389"/>
      <c r="G12644" s="78"/>
    </row>
    <row r="12645" spans="1:17" ht="12.75" hidden="1" customHeight="1" outlineLevel="1" x14ac:dyDescent="0.25">
      <c r="A12645" s="2189" t="s">
        <v>2734</v>
      </c>
      <c r="B12645" s="2190"/>
      <c r="C12645" s="2390"/>
      <c r="D12645" s="2191" t="s">
        <v>2465</v>
      </c>
      <c r="E12645" s="1987">
        <v>0.21763927777777775</v>
      </c>
      <c r="F12645" s="2192">
        <v>0.21763927777777775</v>
      </c>
      <c r="G12645" s="78"/>
    </row>
    <row r="12646" spans="1:17" collapsed="1" x14ac:dyDescent="0.25">
      <c r="A12646" s="3801" t="s">
        <v>5963</v>
      </c>
      <c r="B12646" s="3802"/>
      <c r="C12646" s="3802"/>
      <c r="D12646" s="3802"/>
      <c r="E12646" s="1906"/>
      <c r="F12646" s="1907">
        <v>0.11970160277777778</v>
      </c>
      <c r="G12646" s="78"/>
    </row>
    <row r="12647" spans="1:17" x14ac:dyDescent="0.25">
      <c r="A12647" s="159"/>
      <c r="B12647" s="159"/>
      <c r="C12647" s="159"/>
      <c r="D12647" s="159"/>
      <c r="E12647" s="160"/>
      <c r="F12647" s="160"/>
      <c r="G12647" s="78"/>
    </row>
    <row r="12648" spans="1:17" hidden="1" x14ac:dyDescent="0.25">
      <c r="A12648" t="s">
        <v>2734</v>
      </c>
    </row>
    <row r="12649" spans="1:17" ht="12.75" hidden="1" customHeight="1" outlineLevel="1" x14ac:dyDescent="0.25">
      <c r="A12649" s="2357" t="s">
        <v>113</v>
      </c>
      <c r="B12649" s="2357" t="s">
        <v>114</v>
      </c>
      <c r="C12649" s="2357" t="s">
        <v>112</v>
      </c>
      <c r="D12649" s="2357" t="s">
        <v>116</v>
      </c>
      <c r="E12649" s="2357" t="s">
        <v>117</v>
      </c>
      <c r="F12649" s="2358" t="s">
        <v>121</v>
      </c>
      <c r="G12649" s="78"/>
    </row>
    <row r="12650" spans="1:17" ht="12.75" hidden="1" customHeight="1" outlineLevel="1" x14ac:dyDescent="0.25">
      <c r="A12650" s="2359">
        <v>1</v>
      </c>
      <c r="B12650" s="2360" t="s">
        <v>252</v>
      </c>
      <c r="C12650" s="2361">
        <v>100</v>
      </c>
      <c r="D12650" s="2361"/>
      <c r="E12650" s="2362"/>
      <c r="F12650" s="2363"/>
      <c r="G12650" s="78"/>
    </row>
    <row r="12651" spans="1:17" ht="12.75" hidden="1" customHeight="1" outlineLevel="1" x14ac:dyDescent="0.25">
      <c r="A12651" s="2364" t="s">
        <v>2734</v>
      </c>
      <c r="B12651" s="2364"/>
      <c r="C12651" s="2365"/>
      <c r="D12651" s="1900" t="s">
        <v>3702</v>
      </c>
      <c r="E12651" s="2366">
        <v>43662</v>
      </c>
      <c r="F12651" s="2367"/>
      <c r="G12651" s="78"/>
      <c r="J12651" t="s">
        <v>5773</v>
      </c>
    </row>
    <row r="12652" spans="1:17" ht="12.75" hidden="1" customHeight="1" outlineLevel="1" x14ac:dyDescent="0.25">
      <c r="A12652" s="2357" t="s">
        <v>4156</v>
      </c>
      <c r="B12652" s="2368" t="s">
        <v>4153</v>
      </c>
      <c r="C12652" s="2369" t="s">
        <v>112</v>
      </c>
      <c r="D12652" s="2368" t="s">
        <v>4155</v>
      </c>
      <c r="E12652" s="2357" t="s">
        <v>4154</v>
      </c>
      <c r="F12652" s="2370" t="s">
        <v>2519</v>
      </c>
      <c r="G12652" s="78"/>
      <c r="J12652" s="417" t="s">
        <v>5771</v>
      </c>
      <c r="K12652" s="417" t="s">
        <v>6040</v>
      </c>
      <c r="L12652" s="417" t="s">
        <v>6041</v>
      </c>
      <c r="M12652" s="417" t="s">
        <v>6042</v>
      </c>
    </row>
    <row r="12653" spans="1:17" ht="12.75" hidden="1" customHeight="1" outlineLevel="1" x14ac:dyDescent="0.25">
      <c r="A12653" s="1991">
        <v>0.02</v>
      </c>
      <c r="B12653" s="1992" t="s">
        <v>6072</v>
      </c>
      <c r="C12653" s="2108">
        <v>14.583265314553364</v>
      </c>
      <c r="D12653" s="2371">
        <v>20.47</v>
      </c>
      <c r="E12653" s="2372">
        <v>0.40366368974799971</v>
      </c>
      <c r="F12653" s="2370">
        <v>8.0732737949599943E-3</v>
      </c>
      <c r="G12653" s="78"/>
      <c r="H12653" t="s">
        <v>8514</v>
      </c>
      <c r="I12653" s="481" t="s">
        <v>6072</v>
      </c>
      <c r="J12653" s="417">
        <v>14.99</v>
      </c>
      <c r="K12653" s="417">
        <v>15.3</v>
      </c>
      <c r="L12653" s="417">
        <v>15.43</v>
      </c>
      <c r="M12653" s="417">
        <v>15.03</v>
      </c>
      <c r="Q12653" s="434"/>
    </row>
    <row r="12654" spans="1:17" ht="12.75" hidden="1" customHeight="1" outlineLevel="1" x14ac:dyDescent="0.25">
      <c r="A12654" s="1997">
        <v>0.02</v>
      </c>
      <c r="B12654" s="1921" t="s">
        <v>5745</v>
      </c>
      <c r="C12654" s="2108">
        <v>31.765000000000001</v>
      </c>
      <c r="D12654" s="2373">
        <v>26.99</v>
      </c>
      <c r="E12654" s="2374">
        <v>-0.15032268219738709</v>
      </c>
      <c r="F12654" s="2375">
        <v>-3.006453643947742E-3</v>
      </c>
      <c r="G12654" s="78"/>
      <c r="H12654" t="s">
        <v>5743</v>
      </c>
      <c r="I12654" s="453" t="s">
        <v>6073</v>
      </c>
      <c r="J12654" s="417">
        <v>32.21</v>
      </c>
      <c r="K12654" s="417">
        <v>29.83</v>
      </c>
      <c r="L12654" s="417">
        <v>31.95</v>
      </c>
      <c r="M12654" s="417">
        <v>33.07</v>
      </c>
      <c r="Q12654" s="434"/>
    </row>
    <row r="12655" spans="1:17" ht="12.75" hidden="1" customHeight="1" outlineLevel="1" x14ac:dyDescent="0.25">
      <c r="A12655" s="1997">
        <v>0.02</v>
      </c>
      <c r="B12655" s="1921" t="s">
        <v>5748</v>
      </c>
      <c r="C12655" s="2108">
        <v>63.627499999999998</v>
      </c>
      <c r="D12655" s="2373">
        <v>69.42</v>
      </c>
      <c r="E12655" s="2374">
        <v>9.1037680248320374E-2</v>
      </c>
      <c r="F12655" s="2375">
        <v>1.8207536049664075E-3</v>
      </c>
      <c r="G12655" s="78"/>
      <c r="H12655" t="s">
        <v>5746</v>
      </c>
      <c r="I12655" s="453" t="s">
        <v>6074</v>
      </c>
      <c r="J12655" s="417">
        <v>66.22</v>
      </c>
      <c r="K12655" s="417">
        <v>60.59</v>
      </c>
      <c r="L12655" s="417">
        <v>63.03</v>
      </c>
      <c r="M12655" s="417">
        <v>64.67</v>
      </c>
      <c r="Q12655" s="434"/>
    </row>
    <row r="12656" spans="1:17" ht="12.75" hidden="1" customHeight="1" outlineLevel="1" x14ac:dyDescent="0.25">
      <c r="A12656" s="1997">
        <v>0.04</v>
      </c>
      <c r="B12656" s="1921" t="s">
        <v>807</v>
      </c>
      <c r="C12656" s="2108">
        <v>47.042499999999997</v>
      </c>
      <c r="D12656" s="2373">
        <v>60</v>
      </c>
      <c r="E12656" s="2374">
        <v>0.27544241908912159</v>
      </c>
      <c r="F12656" s="2375">
        <v>1.1017696763564865E-2</v>
      </c>
      <c r="G12656" s="78"/>
      <c r="H12656" t="s">
        <v>808</v>
      </c>
      <c r="I12656" s="453" t="s">
        <v>5386</v>
      </c>
      <c r="J12656" s="417">
        <v>46.08</v>
      </c>
      <c r="K12656" s="417">
        <v>46.06</v>
      </c>
      <c r="L12656" s="417">
        <v>48.15</v>
      </c>
      <c r="M12656" s="417">
        <v>47.88</v>
      </c>
      <c r="Q12656" s="434"/>
    </row>
    <row r="12657" spans="1:17" ht="12.75" hidden="1" customHeight="1" outlineLevel="1" x14ac:dyDescent="0.25">
      <c r="A12657" s="1997">
        <v>0.02</v>
      </c>
      <c r="B12657" s="1921" t="s">
        <v>2582</v>
      </c>
      <c r="C12657" s="2108">
        <v>1729.105863847725</v>
      </c>
      <c r="D12657" s="2373">
        <v>2030</v>
      </c>
      <c r="E12657" s="2374">
        <v>0.17401718566999991</v>
      </c>
      <c r="F12657" s="2375">
        <v>3.4803437133999983E-3</v>
      </c>
      <c r="G12657" s="78"/>
      <c r="H12657" t="s">
        <v>9582</v>
      </c>
      <c r="I12657" s="453" t="s">
        <v>6075</v>
      </c>
      <c r="J12657" s="417">
        <v>18.655000000000001</v>
      </c>
      <c r="K12657" s="417">
        <v>17.745000000000001</v>
      </c>
      <c r="L12657" s="417">
        <v>19.05</v>
      </c>
      <c r="M12657" s="417">
        <v>18.82</v>
      </c>
      <c r="Q12657" s="434"/>
    </row>
    <row r="12658" spans="1:17" ht="12.75" hidden="1" customHeight="1" outlineLevel="1" x14ac:dyDescent="0.25">
      <c r="A12658" s="1997">
        <v>0.05</v>
      </c>
      <c r="B12658" s="1921" t="s">
        <v>1141</v>
      </c>
      <c r="C12658" s="2108">
        <v>84.737499999999997</v>
      </c>
      <c r="D12658" s="2373">
        <v>67.12</v>
      </c>
      <c r="E12658" s="2374">
        <v>-0.20790677091016363</v>
      </c>
      <c r="F12658" s="2375">
        <v>-1.0395338545508183E-2</v>
      </c>
      <c r="G12658" s="78"/>
      <c r="H12658" t="s">
        <v>666</v>
      </c>
      <c r="I12658" s="453" t="s">
        <v>6076</v>
      </c>
      <c r="J12658" s="417">
        <v>85.22</v>
      </c>
      <c r="K12658" s="417">
        <v>79.989999999999995</v>
      </c>
      <c r="L12658" s="417">
        <v>81.650000000000006</v>
      </c>
      <c r="M12658" s="417">
        <v>92.09</v>
      </c>
      <c r="Q12658" s="434"/>
    </row>
    <row r="12659" spans="1:17" ht="12.75" hidden="1" customHeight="1" outlineLevel="1" x14ac:dyDescent="0.25">
      <c r="A12659" s="1997">
        <v>7.0000000000000007E-2</v>
      </c>
      <c r="B12659" s="1921" t="s">
        <v>901</v>
      </c>
      <c r="C12659" s="2108">
        <v>2770.6884217110642</v>
      </c>
      <c r="D12659" s="2373">
        <v>2951.5</v>
      </c>
      <c r="E12659" s="2374">
        <v>6.5258719411428467E-2</v>
      </c>
      <c r="F12659" s="2375">
        <v>4.5681103587999934E-3</v>
      </c>
      <c r="G12659" s="78"/>
      <c r="H12659" t="s">
        <v>531</v>
      </c>
      <c r="I12659" s="453" t="s">
        <v>6077</v>
      </c>
      <c r="J12659" s="417">
        <v>32.204999999999998</v>
      </c>
      <c r="K12659" s="417">
        <v>29.164999999999999</v>
      </c>
      <c r="L12659" s="417">
        <v>32.104999999999997</v>
      </c>
      <c r="M12659" s="417">
        <v>33.305</v>
      </c>
      <c r="Q12659" s="434"/>
    </row>
    <row r="12660" spans="1:17" ht="12.75" hidden="1" customHeight="1" outlineLevel="1" x14ac:dyDescent="0.25">
      <c r="A12660" s="1997">
        <v>0.03</v>
      </c>
      <c r="B12660" s="1921" t="s">
        <v>2353</v>
      </c>
      <c r="C12660" s="2108">
        <v>655.88000005526874</v>
      </c>
      <c r="D12660" s="2373">
        <v>536.6</v>
      </c>
      <c r="E12660" s="2374">
        <v>-0.18186253589866652</v>
      </c>
      <c r="F12660" s="2375">
        <v>-5.4558760769599958E-3</v>
      </c>
      <c r="G12660" s="78"/>
      <c r="H12660" t="s">
        <v>2354</v>
      </c>
      <c r="I12660" s="453" t="s">
        <v>6078</v>
      </c>
      <c r="J12660" s="417">
        <v>6.2050000000000001</v>
      </c>
      <c r="K12660" s="417">
        <v>6.59</v>
      </c>
      <c r="L12660" s="417">
        <v>6.8849999999999998</v>
      </c>
      <c r="M12660" s="417">
        <v>6.5549999999999997</v>
      </c>
      <c r="Q12660" s="434"/>
    </row>
    <row r="12661" spans="1:17" ht="12.75" hidden="1" customHeight="1" outlineLevel="1" x14ac:dyDescent="0.25">
      <c r="A12661" s="1997">
        <v>0.05</v>
      </c>
      <c r="B12661" s="1921" t="s">
        <v>4055</v>
      </c>
      <c r="C12661" s="2108">
        <v>59.862499999999997</v>
      </c>
      <c r="D12661" s="2373">
        <v>87.65</v>
      </c>
      <c r="E12661" s="2374">
        <v>0.46418876592190461</v>
      </c>
      <c r="F12661" s="2375">
        <v>2.3209438296095231E-2</v>
      </c>
      <c r="G12661" s="78"/>
      <c r="H12661" t="s">
        <v>4056</v>
      </c>
      <c r="I12661" s="453" t="s">
        <v>4055</v>
      </c>
      <c r="J12661" s="417">
        <v>61.4</v>
      </c>
      <c r="K12661" s="417">
        <v>58.85</v>
      </c>
      <c r="L12661" s="417">
        <v>60.1</v>
      </c>
      <c r="M12661" s="417">
        <v>59.1</v>
      </c>
      <c r="Q12661" s="434"/>
    </row>
    <row r="12662" spans="1:17" ht="12.75" hidden="1" customHeight="1" outlineLevel="1" x14ac:dyDescent="0.25">
      <c r="A12662" s="1997">
        <v>0.04</v>
      </c>
      <c r="B12662" s="1921" t="s">
        <v>1319</v>
      </c>
      <c r="C12662" s="2108">
        <v>54.385000000000005</v>
      </c>
      <c r="D12662" s="2373">
        <v>87.82</v>
      </c>
      <c r="E12662" s="2374">
        <v>0.6147834880941434</v>
      </c>
      <c r="F12662" s="2375">
        <v>2.4591339523765736E-2</v>
      </c>
      <c r="G12662" s="78"/>
      <c r="H12662" t="s">
        <v>1320</v>
      </c>
      <c r="I12662" s="453" t="s">
        <v>6079</v>
      </c>
      <c r="J12662" s="417">
        <v>55.23</v>
      </c>
      <c r="K12662" s="417">
        <v>53.74</v>
      </c>
      <c r="L12662" s="417">
        <v>55.46</v>
      </c>
      <c r="M12662" s="417">
        <v>53.11</v>
      </c>
      <c r="Q12662" s="434"/>
    </row>
    <row r="12663" spans="1:17" ht="12.75" hidden="1" customHeight="1" outlineLevel="1" x14ac:dyDescent="0.25">
      <c r="A12663" s="1997">
        <v>0.05</v>
      </c>
      <c r="B12663" s="1921" t="s">
        <v>1036</v>
      </c>
      <c r="C12663" s="2108">
        <v>120.94178246461372</v>
      </c>
      <c r="D12663" s="2373">
        <v>195.1</v>
      </c>
      <c r="E12663" s="2374">
        <v>0.6131728508059997</v>
      </c>
      <c r="F12663" s="2375">
        <v>3.0658642540299985E-2</v>
      </c>
      <c r="G12663" s="78"/>
      <c r="H12663" t="s">
        <v>1066</v>
      </c>
      <c r="I12663" s="453" t="s">
        <v>1036</v>
      </c>
      <c r="J12663" s="417">
        <v>125.5</v>
      </c>
      <c r="K12663" s="417">
        <v>120.2</v>
      </c>
      <c r="L12663" s="417">
        <v>125</v>
      </c>
      <c r="M12663" s="417">
        <v>124</v>
      </c>
      <c r="Q12663" s="434"/>
    </row>
    <row r="12664" spans="1:17" ht="12.75" hidden="1" customHeight="1" outlineLevel="1" x14ac:dyDescent="0.25">
      <c r="A12664" s="1997">
        <v>0.02</v>
      </c>
      <c r="B12664" s="1921" t="s">
        <v>2920</v>
      </c>
      <c r="C12664" s="2108">
        <v>25.072499999999998</v>
      </c>
      <c r="D12664" s="2373">
        <v>49.17</v>
      </c>
      <c r="E12664" s="2374">
        <v>0.96111277295842079</v>
      </c>
      <c r="F12664" s="2375">
        <v>1.9222255459168416E-2</v>
      </c>
      <c r="G12664" s="78"/>
      <c r="H12664" t="s">
        <v>6731</v>
      </c>
      <c r="I12664" s="453" t="s">
        <v>6080</v>
      </c>
      <c r="J12664" s="417">
        <v>25.85</v>
      </c>
      <c r="K12664" s="417">
        <v>23.95</v>
      </c>
      <c r="L12664" s="417">
        <v>24.5</v>
      </c>
      <c r="M12664" s="417">
        <v>25.99</v>
      </c>
      <c r="Q12664" s="434"/>
    </row>
    <row r="12665" spans="1:17" ht="12.75" hidden="1" customHeight="1" outlineLevel="1" x14ac:dyDescent="0.25">
      <c r="A12665" s="1997">
        <v>0.05</v>
      </c>
      <c r="B12665" s="1921" t="s">
        <v>5751</v>
      </c>
      <c r="C12665" s="2108">
        <v>10.66</v>
      </c>
      <c r="D12665" s="2373">
        <v>6.66</v>
      </c>
      <c r="E12665" s="2374">
        <v>-0.37523452157598502</v>
      </c>
      <c r="F12665" s="2375">
        <v>-1.8761726078799251E-2</v>
      </c>
      <c r="G12665" s="78"/>
      <c r="H12665" t="s">
        <v>5749</v>
      </c>
      <c r="I12665" s="453" t="s">
        <v>6081</v>
      </c>
      <c r="J12665" s="417">
        <v>11.1</v>
      </c>
      <c r="K12665" s="417">
        <v>10.3</v>
      </c>
      <c r="L12665" s="417">
        <v>10.41</v>
      </c>
      <c r="M12665" s="417">
        <v>10.83</v>
      </c>
      <c r="Q12665" s="434"/>
    </row>
    <row r="12666" spans="1:17" ht="12.75" hidden="1" customHeight="1" outlineLevel="1" x14ac:dyDescent="0.25">
      <c r="A12666" s="1997">
        <v>0.03</v>
      </c>
      <c r="B12666" s="1921" t="s">
        <v>4034</v>
      </c>
      <c r="C12666" s="2108">
        <v>13.150428027627187</v>
      </c>
      <c r="D12666" s="2373">
        <v>20.54</v>
      </c>
      <c r="E12666" s="2374">
        <v>0.56192634618799997</v>
      </c>
      <c r="F12666" s="2375">
        <v>1.685779038564E-2</v>
      </c>
      <c r="G12666" s="78"/>
      <c r="H12666" t="s">
        <v>8151</v>
      </c>
      <c r="I12666" s="453" t="s">
        <v>6082</v>
      </c>
      <c r="J12666" s="417">
        <v>13.1</v>
      </c>
      <c r="K12666" s="417">
        <v>12.555</v>
      </c>
      <c r="L12666" s="417">
        <v>13.44</v>
      </c>
      <c r="M12666" s="417">
        <v>14.48</v>
      </c>
      <c r="Q12666" s="434"/>
    </row>
    <row r="12667" spans="1:17" ht="12.75" hidden="1" customHeight="1" outlineLevel="1" x14ac:dyDescent="0.25">
      <c r="A12667" s="1997">
        <v>0.03</v>
      </c>
      <c r="B12667" s="1921" t="s">
        <v>2786</v>
      </c>
      <c r="C12667" s="2108">
        <v>811.27400024630117</v>
      </c>
      <c r="D12667" s="2373">
        <v>830</v>
      </c>
      <c r="E12667" s="2374">
        <v>2.3082213589999956E-2</v>
      </c>
      <c r="F12667" s="2375">
        <v>6.9246640769999863E-4</v>
      </c>
      <c r="G12667" s="78"/>
      <c r="H12667" t="s">
        <v>4195</v>
      </c>
      <c r="I12667" s="453" t="s">
        <v>6083</v>
      </c>
      <c r="J12667" s="417">
        <v>7.8650000000000002</v>
      </c>
      <c r="K12667" s="417">
        <v>7.92</v>
      </c>
      <c r="L12667" s="417">
        <v>8.2650000000000006</v>
      </c>
      <c r="M12667" s="417">
        <v>8.2850000000000001</v>
      </c>
      <c r="Q12667" s="434"/>
    </row>
    <row r="12668" spans="1:17" ht="12.75" hidden="1" customHeight="1" outlineLevel="1" x14ac:dyDescent="0.25">
      <c r="A12668" s="1997">
        <v>0.05</v>
      </c>
      <c r="B12668" s="1921" t="s">
        <v>3958</v>
      </c>
      <c r="C12668" s="2108">
        <v>1128.5</v>
      </c>
      <c r="D12668" s="2373">
        <v>893.2</v>
      </c>
      <c r="E12668" s="2374">
        <v>-0.20850686752326097</v>
      </c>
      <c r="F12668" s="2375">
        <v>-1.0425343376163049E-2</v>
      </c>
      <c r="G12668" s="78"/>
      <c r="H12668" t="s">
        <v>3959</v>
      </c>
      <c r="I12668" s="453" t="s">
        <v>6084</v>
      </c>
      <c r="J12668" s="417">
        <v>13.4</v>
      </c>
      <c r="K12668" s="417">
        <v>11.07</v>
      </c>
      <c r="L12668" s="417">
        <v>10.23</v>
      </c>
      <c r="M12668" s="417">
        <v>10.44</v>
      </c>
      <c r="Q12668" s="434"/>
    </row>
    <row r="12669" spans="1:17" ht="12.75" hidden="1" customHeight="1" outlineLevel="1" x14ac:dyDescent="0.25">
      <c r="A12669" s="1997">
        <v>0.03</v>
      </c>
      <c r="B12669" s="1921" t="s">
        <v>2769</v>
      </c>
      <c r="C12669" s="2108">
        <v>29.049193013127603</v>
      </c>
      <c r="D12669" s="2373">
        <v>30.36</v>
      </c>
      <c r="E12669" s="2374">
        <v>4.5123697111999928E-2</v>
      </c>
      <c r="F12669" s="2375">
        <v>1.3537109133599978E-3</v>
      </c>
      <c r="G12669" s="78"/>
      <c r="H12669" t="s">
        <v>2770</v>
      </c>
      <c r="I12669" s="453" t="s">
        <v>5775</v>
      </c>
      <c r="J12669" s="417">
        <v>29.95</v>
      </c>
      <c r="K12669" s="417">
        <v>30.49</v>
      </c>
      <c r="L12669" s="417">
        <v>32.01</v>
      </c>
      <c r="M12669" s="417">
        <v>32.770000000000003</v>
      </c>
      <c r="Q12669" s="434"/>
    </row>
    <row r="12670" spans="1:17" ht="12.75" hidden="1" customHeight="1" outlineLevel="1" x14ac:dyDescent="0.25">
      <c r="A12670" s="1997">
        <v>0.02</v>
      </c>
      <c r="B12670" s="1921" t="s">
        <v>2728</v>
      </c>
      <c r="C12670" s="2108">
        <v>71.265000000000015</v>
      </c>
      <c r="D12670" s="2373">
        <v>104.42</v>
      </c>
      <c r="E12670" s="2374">
        <v>0.46523538904090334</v>
      </c>
      <c r="F12670" s="2375">
        <v>9.3047077808180671E-3</v>
      </c>
      <c r="G12670" s="78"/>
      <c r="H12670" t="s">
        <v>9049</v>
      </c>
      <c r="I12670" s="453" t="s">
        <v>6086</v>
      </c>
      <c r="J12670" s="417">
        <v>71.48</v>
      </c>
      <c r="K12670" s="417">
        <v>68.5</v>
      </c>
      <c r="L12670" s="417">
        <v>71.900000000000006</v>
      </c>
      <c r="M12670" s="417">
        <v>73.180000000000007</v>
      </c>
      <c r="Q12670" s="434"/>
    </row>
    <row r="12671" spans="1:17" ht="12.75" hidden="1" customHeight="1" outlineLevel="1" x14ac:dyDescent="0.25">
      <c r="A12671" s="1997">
        <v>0.02</v>
      </c>
      <c r="B12671" s="1921" t="s">
        <v>7805</v>
      </c>
      <c r="C12671" s="2108">
        <v>2282.25</v>
      </c>
      <c r="D12671" s="2373">
        <v>2594.5</v>
      </c>
      <c r="E12671" s="2374">
        <v>0.13681673786833159</v>
      </c>
      <c r="F12671" s="2375">
        <v>2.7363347573666321E-3</v>
      </c>
      <c r="G12671" s="78"/>
      <c r="H12671" t="s">
        <v>7803</v>
      </c>
      <c r="I12671" s="453" t="s">
        <v>6064</v>
      </c>
      <c r="J12671" s="417">
        <v>22.66</v>
      </c>
      <c r="K12671" s="417">
        <v>22.08</v>
      </c>
      <c r="L12671" s="417">
        <v>23.06</v>
      </c>
      <c r="M12671" s="417">
        <v>23.49</v>
      </c>
      <c r="Q12671" s="434"/>
    </row>
    <row r="12672" spans="1:17" ht="12.75" hidden="1" customHeight="1" outlineLevel="1" x14ac:dyDescent="0.25">
      <c r="A12672" s="1997">
        <v>0.02</v>
      </c>
      <c r="B12672" s="1921" t="s">
        <v>5519</v>
      </c>
      <c r="C12672" s="2108">
        <v>340.83000001011072</v>
      </c>
      <c r="D12672" s="2373">
        <v>201.1</v>
      </c>
      <c r="E12672" s="2374">
        <v>-0.40996977967305004</v>
      </c>
      <c r="F12672" s="2375">
        <v>-8.1993955934610008E-3</v>
      </c>
      <c r="G12672" s="78"/>
      <c r="H12672" t="s">
        <v>5517</v>
      </c>
      <c r="I12672" s="453" t="s">
        <v>6087</v>
      </c>
      <c r="J12672" s="417">
        <v>3.7109999999999999</v>
      </c>
      <c r="K12672" s="417">
        <v>3.4550000000000001</v>
      </c>
      <c r="L12672" s="417">
        <v>3.3719999999999999</v>
      </c>
      <c r="M12672" s="417">
        <v>3.0950000000000002</v>
      </c>
      <c r="Q12672" s="434"/>
    </row>
    <row r="12673" spans="1:17" ht="12.75" hidden="1" customHeight="1" outlineLevel="1" x14ac:dyDescent="0.25">
      <c r="A12673" s="1997">
        <v>0.02</v>
      </c>
      <c r="B12673" s="1921" t="s">
        <v>5755</v>
      </c>
      <c r="C12673" s="2108">
        <v>22.087880078811633</v>
      </c>
      <c r="D12673" s="2373">
        <v>8.4</v>
      </c>
      <c r="E12673" s="2374">
        <v>-0.61970094141999998</v>
      </c>
      <c r="F12673" s="2375">
        <v>-1.2394018828399999E-2</v>
      </c>
      <c r="G12673" s="78"/>
      <c r="H12673" t="s">
        <v>8917</v>
      </c>
      <c r="I12673" s="453" t="s">
        <v>6088</v>
      </c>
      <c r="J12673" s="417">
        <v>22.33</v>
      </c>
      <c r="K12673" s="417">
        <v>21.89</v>
      </c>
      <c r="L12673" s="417">
        <v>22.62</v>
      </c>
      <c r="M12673" s="417">
        <v>22.41</v>
      </c>
      <c r="Q12673" s="434"/>
    </row>
    <row r="12674" spans="1:17" ht="12.75" hidden="1" customHeight="1" outlineLevel="1" x14ac:dyDescent="0.25">
      <c r="A12674" s="1997">
        <v>0.04</v>
      </c>
      <c r="B12674" s="1921" t="s">
        <v>1214</v>
      </c>
      <c r="C12674" s="2108">
        <v>95.765000000000001</v>
      </c>
      <c r="D12674" s="2373">
        <v>100.34</v>
      </c>
      <c r="E12674" s="2374">
        <v>4.777319479977038E-2</v>
      </c>
      <c r="F12674" s="2375">
        <v>1.9109277919908151E-3</v>
      </c>
      <c r="G12674" s="78"/>
      <c r="H12674" t="s">
        <v>3775</v>
      </c>
      <c r="I12674" s="453" t="s">
        <v>6065</v>
      </c>
      <c r="J12674" s="417">
        <v>99.29</v>
      </c>
      <c r="K12674" s="417">
        <v>92.72</v>
      </c>
      <c r="L12674" s="417">
        <v>92.97</v>
      </c>
      <c r="M12674" s="417">
        <v>98.08</v>
      </c>
      <c r="Q12674" s="434"/>
    </row>
    <row r="12675" spans="1:17" ht="12.75" hidden="1" customHeight="1" outlineLevel="1" x14ac:dyDescent="0.25">
      <c r="A12675" s="1997">
        <v>0.02</v>
      </c>
      <c r="B12675" s="1921" t="s">
        <v>3427</v>
      </c>
      <c r="C12675" s="2108">
        <v>41.95</v>
      </c>
      <c r="D12675" s="2373">
        <v>55.66</v>
      </c>
      <c r="E12675" s="2374">
        <v>0.32681764004767566</v>
      </c>
      <c r="F12675" s="2375">
        <v>6.5363528009535132E-3</v>
      </c>
      <c r="G12675" s="78"/>
      <c r="H12675" t="s">
        <v>2800</v>
      </c>
      <c r="I12675" s="453" t="s">
        <v>6089</v>
      </c>
      <c r="J12675" s="417">
        <v>41</v>
      </c>
      <c r="K12675" s="417">
        <v>41.25</v>
      </c>
      <c r="L12675" s="417">
        <v>42.05</v>
      </c>
      <c r="M12675" s="417">
        <v>43.5</v>
      </c>
      <c r="Q12675" s="434"/>
    </row>
    <row r="12676" spans="1:17" ht="12.75" hidden="1" customHeight="1" outlineLevel="1" x14ac:dyDescent="0.25">
      <c r="A12676" s="1997">
        <v>0.02</v>
      </c>
      <c r="B12676" s="1921" t="s">
        <v>1857</v>
      </c>
      <c r="C12676" s="2108">
        <v>1396.9999999168786</v>
      </c>
      <c r="D12676" s="2373">
        <v>1151.5</v>
      </c>
      <c r="E12676" s="2374">
        <v>-0.17573371505474999</v>
      </c>
      <c r="F12676" s="2375">
        <v>-3.5146743010949998E-3</v>
      </c>
      <c r="G12676" s="78"/>
      <c r="H12676" t="s">
        <v>3559</v>
      </c>
      <c r="I12676" s="453" t="s">
        <v>6090</v>
      </c>
      <c r="J12676" s="417">
        <v>13.71</v>
      </c>
      <c r="K12676" s="417">
        <v>13.32</v>
      </c>
      <c r="L12676" s="417">
        <v>13.96</v>
      </c>
      <c r="M12676" s="417">
        <v>14.89</v>
      </c>
      <c r="Q12676" s="434"/>
    </row>
    <row r="12677" spans="1:17" ht="12.75" hidden="1" customHeight="1" outlineLevel="1" x14ac:dyDescent="0.25">
      <c r="A12677" s="1997">
        <v>0.02</v>
      </c>
      <c r="B12677" s="1921" t="s">
        <v>2778</v>
      </c>
      <c r="C12677" s="2108">
        <v>1213.6687339082166</v>
      </c>
      <c r="D12677" s="2373">
        <v>721.2</v>
      </c>
      <c r="E12677" s="2374">
        <v>-0.40576865840679999</v>
      </c>
      <c r="F12677" s="2375">
        <v>-8.1153731681360003E-3</v>
      </c>
      <c r="G12677" s="78"/>
      <c r="H12677" t="s">
        <v>1947</v>
      </c>
      <c r="I12677" s="453" t="s">
        <v>6091</v>
      </c>
      <c r="J12677" s="417">
        <v>13.56</v>
      </c>
      <c r="K12677" s="417">
        <v>12.275</v>
      </c>
      <c r="L12677" s="417">
        <v>12.52</v>
      </c>
      <c r="M12677" s="417">
        <v>12.65</v>
      </c>
      <c r="Q12677" s="434"/>
    </row>
    <row r="12678" spans="1:17" ht="12.75" hidden="1" customHeight="1" outlineLevel="1" x14ac:dyDescent="0.25">
      <c r="A12678" s="1997">
        <v>0.08</v>
      </c>
      <c r="B12678" s="1921" t="s">
        <v>1239</v>
      </c>
      <c r="C12678" s="2108">
        <v>501.9749986708643</v>
      </c>
      <c r="D12678" s="2373">
        <v>479.2</v>
      </c>
      <c r="E12678" s="2374">
        <v>-4.5370782869999959E-2</v>
      </c>
      <c r="F12678" s="2375">
        <v>-3.6296626295999968E-3</v>
      </c>
      <c r="G12678" s="78"/>
      <c r="H12678" t="s">
        <v>8891</v>
      </c>
      <c r="I12678" s="453" t="s">
        <v>6066</v>
      </c>
      <c r="J12678" s="417">
        <v>470.9</v>
      </c>
      <c r="K12678" s="417">
        <v>492</v>
      </c>
      <c r="L12678" s="417">
        <v>510.5</v>
      </c>
      <c r="M12678" s="417">
        <v>534.5</v>
      </c>
      <c r="Q12678" s="434"/>
    </row>
    <row r="12679" spans="1:17" ht="12.75" hidden="1" customHeight="1" outlineLevel="1" x14ac:dyDescent="0.25">
      <c r="A12679" s="1997">
        <v>0.02</v>
      </c>
      <c r="B12679" s="1921" t="s">
        <v>5758</v>
      </c>
      <c r="C12679" s="2108">
        <v>52.975190250992689</v>
      </c>
      <c r="D12679" s="2373">
        <v>68.17</v>
      </c>
      <c r="E12679" s="2374">
        <v>0.28682879055300003</v>
      </c>
      <c r="F12679" s="2375">
        <v>5.7365758110600011E-3</v>
      </c>
      <c r="G12679" s="78"/>
      <c r="H12679" t="s">
        <v>5756</v>
      </c>
      <c r="I12679" s="453" t="s">
        <v>6092</v>
      </c>
      <c r="J12679" s="417">
        <v>57.69</v>
      </c>
      <c r="K12679" s="417">
        <v>61.55</v>
      </c>
      <c r="L12679" s="417">
        <v>62.79</v>
      </c>
      <c r="M12679" s="417">
        <v>61.39</v>
      </c>
      <c r="Q12679" s="434"/>
    </row>
    <row r="12680" spans="1:17" ht="12.75" hidden="1" customHeight="1" outlineLevel="1" x14ac:dyDescent="0.25">
      <c r="A12680" s="1997">
        <v>0.02</v>
      </c>
      <c r="B12680" s="1921" t="s">
        <v>579</v>
      </c>
      <c r="C12680" s="2108">
        <v>233.65000000390194</v>
      </c>
      <c r="D12680" s="2373">
        <v>128.08000000000001</v>
      </c>
      <c r="E12680" s="2374">
        <v>-0.45182965975663991</v>
      </c>
      <c r="F12680" s="2375">
        <v>-9.0365931951327978E-3</v>
      </c>
      <c r="G12680" s="78"/>
      <c r="H12680" t="s">
        <v>3611</v>
      </c>
      <c r="I12680" s="453" t="s">
        <v>6093</v>
      </c>
      <c r="J12680" s="417">
        <v>2.4286799999999999</v>
      </c>
      <c r="K12680" s="417">
        <v>2.27888</v>
      </c>
      <c r="L12680" s="417">
        <v>2.4355000000000002</v>
      </c>
      <c r="M12680" s="417">
        <v>2.2029999999999998</v>
      </c>
      <c r="Q12680" s="434"/>
    </row>
    <row r="12681" spans="1:17" ht="12.75" hidden="1" customHeight="1" outlineLevel="1" x14ac:dyDescent="0.25">
      <c r="A12681" s="1997">
        <v>0.08</v>
      </c>
      <c r="B12681" s="2109" t="s">
        <v>5174</v>
      </c>
      <c r="C12681" s="2108">
        <v>235.90000000159824</v>
      </c>
      <c r="D12681" s="2377">
        <v>207.6</v>
      </c>
      <c r="E12681" s="2374">
        <v>-0.11996608733110015</v>
      </c>
      <c r="F12681" s="2375">
        <v>-9.5972869864880111E-3</v>
      </c>
      <c r="G12681" s="78"/>
      <c r="H12681" t="s">
        <v>5172</v>
      </c>
      <c r="I12681" s="408" t="s">
        <v>6094</v>
      </c>
      <c r="J12681" s="417">
        <v>2.637</v>
      </c>
      <c r="K12681" s="417">
        <v>2.3860000000000001</v>
      </c>
      <c r="L12681" s="417">
        <v>2.3050000000000002</v>
      </c>
      <c r="M12681" s="417">
        <v>2.1080000000000001</v>
      </c>
      <c r="Q12681" s="434"/>
    </row>
    <row r="12682" spans="1:17" ht="12.75" hidden="1" customHeight="1" outlineLevel="1" x14ac:dyDescent="0.25">
      <c r="A12682" s="2181" t="s">
        <v>2734</v>
      </c>
      <c r="B12682" s="2103"/>
      <c r="C12682" s="2384"/>
      <c r="D12682" s="2385"/>
      <c r="E12682" s="2386"/>
      <c r="F12682" s="2370">
        <v>6.9238978280218633E-2</v>
      </c>
      <c r="G12682" s="78"/>
    </row>
    <row r="12683" spans="1:17" ht="12.75" hidden="1" customHeight="1" outlineLevel="1" x14ac:dyDescent="0.25">
      <c r="A12683" s="1956" t="s">
        <v>5987</v>
      </c>
      <c r="B12683" s="2185">
        <v>43132</v>
      </c>
      <c r="C12683" s="2387">
        <v>100</v>
      </c>
      <c r="D12683" s="2387">
        <v>110.4794</v>
      </c>
      <c r="E12683" s="2388">
        <v>0.10479400000000005</v>
      </c>
      <c r="F12683" s="2389"/>
      <c r="G12683" s="78"/>
    </row>
    <row r="12684" spans="1:17" ht="12.75" hidden="1" customHeight="1" outlineLevel="1" x14ac:dyDescent="0.25">
      <c r="A12684" s="1956" t="s">
        <v>5988</v>
      </c>
      <c r="B12684" s="2185">
        <v>43160</v>
      </c>
      <c r="C12684" s="2387">
        <v>100</v>
      </c>
      <c r="D12684" s="2390">
        <v>108.76260000000001</v>
      </c>
      <c r="E12684" s="2388">
        <v>8.7625999999999982E-2</v>
      </c>
      <c r="F12684" s="2389"/>
      <c r="G12684" s="78"/>
    </row>
    <row r="12685" spans="1:17" ht="12.75" hidden="1" customHeight="1" outlineLevel="1" x14ac:dyDescent="0.25">
      <c r="A12685" s="1956" t="s">
        <v>5989</v>
      </c>
      <c r="B12685" s="2185">
        <v>43191</v>
      </c>
      <c r="C12685" s="2387">
        <v>100</v>
      </c>
      <c r="D12685" s="2390">
        <v>113.1906</v>
      </c>
      <c r="E12685" s="2388">
        <v>0.13190600000000008</v>
      </c>
      <c r="F12685" s="2389"/>
      <c r="G12685" s="78"/>
    </row>
    <row r="12686" spans="1:17" ht="12.75" hidden="1" customHeight="1" outlineLevel="1" x14ac:dyDescent="0.25">
      <c r="A12686" s="1956" t="s">
        <v>5990</v>
      </c>
      <c r="B12686" s="2185">
        <v>43221</v>
      </c>
      <c r="C12686" s="2387">
        <v>100</v>
      </c>
      <c r="D12686" s="2390">
        <v>112.49679999999999</v>
      </c>
      <c r="E12686" s="2388">
        <v>0.12496799999999997</v>
      </c>
      <c r="F12686" s="2389"/>
      <c r="G12686" s="78"/>
    </row>
    <row r="12687" spans="1:17" ht="12.75" hidden="1" customHeight="1" outlineLevel="1" x14ac:dyDescent="0.25">
      <c r="A12687" s="1956" t="s">
        <v>5991</v>
      </c>
      <c r="B12687" s="2185">
        <v>43252</v>
      </c>
      <c r="C12687" s="2387">
        <v>100</v>
      </c>
      <c r="D12687" s="2390">
        <v>112.0727</v>
      </c>
      <c r="E12687" s="2388">
        <v>0.12072700000000003</v>
      </c>
      <c r="F12687" s="2389"/>
      <c r="G12687" s="78"/>
    </row>
    <row r="12688" spans="1:17" ht="12.75" hidden="1" customHeight="1" outlineLevel="1" x14ac:dyDescent="0.25">
      <c r="A12688" s="1956" t="s">
        <v>5992</v>
      </c>
      <c r="B12688" s="2185">
        <v>43282</v>
      </c>
      <c r="C12688" s="2387">
        <v>100</v>
      </c>
      <c r="D12688" s="2390">
        <v>115.92230000000001</v>
      </c>
      <c r="E12688" s="2388">
        <v>0.15922300000000011</v>
      </c>
      <c r="F12688" s="2389"/>
      <c r="G12688" s="78"/>
    </row>
    <row r="12689" spans="1:36" ht="12.75" hidden="1" customHeight="1" outlineLevel="1" x14ac:dyDescent="0.25">
      <c r="A12689" s="1956" t="s">
        <v>5993</v>
      </c>
      <c r="B12689" s="2185">
        <v>43313</v>
      </c>
      <c r="C12689" s="2387">
        <v>100</v>
      </c>
      <c r="D12689" s="2390">
        <v>112.90940000000001</v>
      </c>
      <c r="E12689" s="2388">
        <v>0.12909400000000004</v>
      </c>
      <c r="F12689" s="2389"/>
      <c r="G12689" s="78"/>
    </row>
    <row r="12690" spans="1:36" ht="12.75" hidden="1" customHeight="1" outlineLevel="1" x14ac:dyDescent="0.25">
      <c r="A12690" s="1956" t="s">
        <v>5994</v>
      </c>
      <c r="B12690" s="2185">
        <v>43344</v>
      </c>
      <c r="C12690" s="2387">
        <v>100</v>
      </c>
      <c r="D12690" s="2390">
        <v>110.9061</v>
      </c>
      <c r="E12690" s="2388">
        <v>0.10906099999999985</v>
      </c>
      <c r="F12690" s="2389"/>
      <c r="G12690" s="78"/>
    </row>
    <row r="12691" spans="1:36" ht="12.75" hidden="1" customHeight="1" outlineLevel="1" x14ac:dyDescent="0.25">
      <c r="A12691" s="1956" t="s">
        <v>5995</v>
      </c>
      <c r="B12691" s="2185">
        <v>43374</v>
      </c>
      <c r="C12691" s="2387">
        <v>100</v>
      </c>
      <c r="D12691" s="2390">
        <v>106.8169</v>
      </c>
      <c r="E12691" s="2388">
        <v>6.8169000000000146E-2</v>
      </c>
      <c r="F12691" s="2389"/>
      <c r="G12691" s="78"/>
    </row>
    <row r="12692" spans="1:36" ht="12.75" hidden="1" customHeight="1" outlineLevel="1" x14ac:dyDescent="0.25">
      <c r="A12692" s="1956" t="s">
        <v>5996</v>
      </c>
      <c r="B12692" s="2185">
        <v>43405</v>
      </c>
      <c r="C12692" s="2387">
        <v>100</v>
      </c>
      <c r="D12692" s="2390">
        <v>106.6831</v>
      </c>
      <c r="E12692" s="2388">
        <v>6.6830999999999863E-2</v>
      </c>
      <c r="F12692" s="2389"/>
      <c r="G12692" s="78"/>
    </row>
    <row r="12693" spans="1:36" ht="12.75" hidden="1" customHeight="1" outlineLevel="1" x14ac:dyDescent="0.25">
      <c r="A12693" s="1956" t="s">
        <v>5997</v>
      </c>
      <c r="B12693" s="2185">
        <v>43435</v>
      </c>
      <c r="C12693" s="2387">
        <v>100</v>
      </c>
      <c r="D12693" s="2390">
        <v>102.1075</v>
      </c>
      <c r="E12693" s="2388">
        <v>2.1074999999999955E-2</v>
      </c>
      <c r="F12693" s="2389"/>
      <c r="G12693" s="78"/>
    </row>
    <row r="12694" spans="1:36" ht="12.75" hidden="1" customHeight="1" outlineLevel="1" x14ac:dyDescent="0.25">
      <c r="A12694" s="1956" t="s">
        <v>5998</v>
      </c>
      <c r="B12694" s="2185">
        <v>43466</v>
      </c>
      <c r="C12694" s="2387">
        <v>100</v>
      </c>
      <c r="D12694" s="2390">
        <v>106.5866</v>
      </c>
      <c r="E12694" s="2388">
        <v>6.586599999999998E-2</v>
      </c>
      <c r="F12694" s="2389"/>
      <c r="G12694" s="78"/>
    </row>
    <row r="12695" spans="1:36" ht="12.75" hidden="1" customHeight="1" outlineLevel="1" x14ac:dyDescent="0.25">
      <c r="A12695" s="1956" t="s">
        <v>5999</v>
      </c>
      <c r="B12695" s="2185">
        <v>43497</v>
      </c>
      <c r="C12695" s="2387">
        <v>100</v>
      </c>
      <c r="D12695" s="2390">
        <v>107.99679999999999</v>
      </c>
      <c r="E12695" s="2388">
        <v>7.9968000000000039E-2</v>
      </c>
      <c r="F12695" s="2389"/>
      <c r="G12695" s="78"/>
    </row>
    <row r="12696" spans="1:36" ht="12.75" hidden="1" customHeight="1" outlineLevel="1" x14ac:dyDescent="0.25">
      <c r="A12696" s="1956" t="s">
        <v>6000</v>
      </c>
      <c r="B12696" s="2185">
        <v>43525</v>
      </c>
      <c r="C12696" s="2387">
        <v>100</v>
      </c>
      <c r="D12696" s="2390">
        <v>109.40219999999999</v>
      </c>
      <c r="E12696" s="2388">
        <v>9.4021999999999828E-2</v>
      </c>
      <c r="F12696" s="2389"/>
      <c r="G12696" s="78"/>
    </row>
    <row r="12697" spans="1:36" ht="12.75" hidden="1" customHeight="1" outlineLevel="1" x14ac:dyDescent="0.25">
      <c r="A12697" s="1956" t="s">
        <v>6001</v>
      </c>
      <c r="B12697" s="2185">
        <v>43556</v>
      </c>
      <c r="C12697" s="2387">
        <v>100</v>
      </c>
      <c r="D12697" s="2390">
        <v>109.1276</v>
      </c>
      <c r="E12697" s="2388">
        <v>9.1275999999999913E-2</v>
      </c>
      <c r="F12697" s="2389"/>
      <c r="G12697" s="78"/>
    </row>
    <row r="12698" spans="1:36" ht="12.75" hidden="1" customHeight="1" outlineLevel="1" x14ac:dyDescent="0.25">
      <c r="A12698" s="1956" t="s">
        <v>6002</v>
      </c>
      <c r="B12698" s="2185">
        <v>43586</v>
      </c>
      <c r="C12698" s="2387">
        <v>100</v>
      </c>
      <c r="D12698" s="2390">
        <v>103.9893</v>
      </c>
      <c r="E12698" s="2388">
        <v>3.9892999999999956E-2</v>
      </c>
      <c r="F12698" s="2389"/>
      <c r="G12698" s="78"/>
      <c r="J12698" s="31"/>
    </row>
    <row r="12699" spans="1:36" ht="12.75" hidden="1" customHeight="1" outlineLevel="1" x14ac:dyDescent="0.25">
      <c r="A12699" s="1956" t="s">
        <v>6003</v>
      </c>
      <c r="B12699" s="2185">
        <v>43617</v>
      </c>
      <c r="C12699" s="2387">
        <v>100</v>
      </c>
      <c r="D12699" s="2390">
        <v>106.08329999999999</v>
      </c>
      <c r="E12699" s="2388">
        <v>6.0832999999999915E-2</v>
      </c>
      <c r="F12699" s="2389"/>
      <c r="G12699" s="78"/>
    </row>
    <row r="12700" spans="1:36" ht="12.75" hidden="1" customHeight="1" outlineLevel="1" x14ac:dyDescent="0.25">
      <c r="A12700" s="1956" t="s">
        <v>6004</v>
      </c>
      <c r="B12700" s="2185">
        <v>43647</v>
      </c>
      <c r="C12700" s="2387">
        <v>100</v>
      </c>
      <c r="D12700" s="2390">
        <v>105.9297</v>
      </c>
      <c r="E12700" s="2388">
        <v>5.9296999999999933E-2</v>
      </c>
      <c r="F12700" s="2389"/>
      <c r="G12700" s="78"/>
    </row>
    <row r="12701" spans="1:36" ht="12.75" hidden="1" customHeight="1" outlineLevel="1" x14ac:dyDescent="0.25">
      <c r="A12701" s="2189" t="s">
        <v>2734</v>
      </c>
      <c r="B12701" s="2190"/>
      <c r="C12701" s="2390"/>
      <c r="D12701" s="2191" t="s">
        <v>2465</v>
      </c>
      <c r="E12701" s="1987">
        <v>8.9701611111111093E-2</v>
      </c>
      <c r="F12701" s="2192">
        <v>8.9701611111111093E-2</v>
      </c>
      <c r="G12701" s="78"/>
    </row>
    <row r="12702" spans="1:36" collapsed="1" x14ac:dyDescent="0.25">
      <c r="A12702" s="3801" t="s">
        <v>5986</v>
      </c>
      <c r="B12702" s="3802"/>
      <c r="C12702" s="3802"/>
      <c r="D12702" s="3802"/>
      <c r="E12702" s="1906"/>
      <c r="F12702" s="1907">
        <v>4.4850805555555547E-2</v>
      </c>
      <c r="G12702" s="78"/>
    </row>
    <row r="12703" spans="1:36" x14ac:dyDescent="0.25">
      <c r="A12703" t="s">
        <v>2734</v>
      </c>
    </row>
    <row r="12704" spans="1:36" hidden="1" outlineLevel="1" x14ac:dyDescent="0.25">
      <c r="A12704" s="2282" t="s">
        <v>113</v>
      </c>
      <c r="B12704" s="2282" t="s">
        <v>114</v>
      </c>
      <c r="C12704" s="2293" t="s">
        <v>112</v>
      </c>
      <c r="D12704" s="2293" t="s">
        <v>4155</v>
      </c>
      <c r="E12704" s="2293" t="s">
        <v>116</v>
      </c>
      <c r="F12704" s="2283" t="s">
        <v>121</v>
      </c>
      <c r="G12704" s="78"/>
      <c r="H12704" s="361" t="s">
        <v>3766</v>
      </c>
      <c r="I12704" s="1355">
        <v>43101</v>
      </c>
      <c r="J12704" s="1355">
        <v>43132</v>
      </c>
      <c r="K12704" s="1355">
        <v>43160</v>
      </c>
      <c r="L12704" s="1355">
        <v>43191</v>
      </c>
      <c r="M12704" s="1355">
        <v>43221</v>
      </c>
      <c r="N12704" s="1355">
        <v>43252</v>
      </c>
      <c r="O12704" s="1355">
        <v>43282</v>
      </c>
      <c r="P12704" s="1355">
        <v>43313</v>
      </c>
      <c r="Q12704" s="1355">
        <v>43344</v>
      </c>
      <c r="R12704" s="1355">
        <v>43374</v>
      </c>
      <c r="S12704" s="1355">
        <v>43405</v>
      </c>
      <c r="T12704" s="1355">
        <v>43435</v>
      </c>
      <c r="U12704" s="1355">
        <v>43466</v>
      </c>
      <c r="V12704" s="1355">
        <v>43497</v>
      </c>
      <c r="W12704" s="1355">
        <v>43525</v>
      </c>
      <c r="X12704" s="1355">
        <v>43556</v>
      </c>
      <c r="Y12704" s="1355">
        <v>43586</v>
      </c>
      <c r="Z12704" s="1355">
        <v>43617</v>
      </c>
      <c r="AA12704" s="1355"/>
      <c r="AB12704" s="1355"/>
      <c r="AC12704" s="1355"/>
      <c r="AD12704" s="1355"/>
      <c r="AE12704" s="1355"/>
      <c r="AF12704" s="1355"/>
      <c r="AG12704" s="1355"/>
      <c r="AH12704" s="1355"/>
      <c r="AI12704" s="1355"/>
      <c r="AJ12704" s="1355"/>
    </row>
    <row r="12705" spans="1:26" hidden="1" outlineLevel="1" x14ac:dyDescent="0.25">
      <c r="A12705" s="1810" t="s">
        <v>1327</v>
      </c>
      <c r="B12705" s="2314" t="s">
        <v>2153</v>
      </c>
      <c r="C12705" s="3808">
        <v>3083.0819999999999</v>
      </c>
      <c r="D12705" s="3808">
        <v>3372.7538888888894</v>
      </c>
      <c r="E12705" s="2315">
        <v>3066.4720000000002</v>
      </c>
      <c r="F12705" s="2316">
        <v>-5.3874661783240851E-3</v>
      </c>
      <c r="G12705" s="78"/>
      <c r="H12705">
        <v>3372.7538888888894</v>
      </c>
      <c r="I12705">
        <v>3609.29</v>
      </c>
      <c r="J12705">
        <v>3438.96</v>
      </c>
      <c r="K12705">
        <v>3361.5</v>
      </c>
      <c r="L12705" s="1772">
        <v>3536.52</v>
      </c>
      <c r="M12705" s="1772">
        <v>3406.65</v>
      </c>
      <c r="N12705" s="1772">
        <v>3395.6</v>
      </c>
      <c r="O12705" s="1772">
        <v>3525.49</v>
      </c>
      <c r="P12705" s="1772">
        <v>3392.9</v>
      </c>
      <c r="Q12705" s="1772">
        <v>3399.2</v>
      </c>
      <c r="R12705" s="2136">
        <v>3197.51</v>
      </c>
      <c r="S12705" s="2136">
        <v>3173.13</v>
      </c>
      <c r="T12705" s="2136">
        <v>3001.42</v>
      </c>
      <c r="U12705" s="2136">
        <v>3159.43</v>
      </c>
      <c r="V12705" s="2136">
        <v>3298.26</v>
      </c>
      <c r="W12705" s="2136">
        <v>3351.71</v>
      </c>
      <c r="X12705" s="2136">
        <v>3514.62</v>
      </c>
      <c r="Y12705" s="1763">
        <v>3473.69</v>
      </c>
      <c r="Z12705" s="1763">
        <v>3473.69</v>
      </c>
    </row>
    <row r="12706" spans="1:26" hidden="1" outlineLevel="1" x14ac:dyDescent="0.25">
      <c r="A12706" s="2197" t="s">
        <v>6006</v>
      </c>
      <c r="B12706" s="2317" t="s">
        <v>2153</v>
      </c>
      <c r="C12706" s="3810"/>
      <c r="D12706" s="3810"/>
      <c r="E12706" s="2318">
        <v>3362.0171999999998</v>
      </c>
      <c r="F12706" s="2316">
        <v>9.0472845029746285E-2</v>
      </c>
      <c r="G12706" s="78"/>
    </row>
    <row r="12707" spans="1:26" hidden="1" outlineLevel="1" x14ac:dyDescent="0.25">
      <c r="A12707" s="2197" t="s">
        <v>2734</v>
      </c>
      <c r="B12707" s="2301"/>
      <c r="C12707" s="1817"/>
      <c r="D12707" s="1817"/>
      <c r="E12707" s="2319"/>
      <c r="F12707" s="2316">
        <v>6.7854633772309714E-2</v>
      </c>
      <c r="G12707" s="78"/>
    </row>
    <row r="12708" spans="1:26" collapsed="1" x14ac:dyDescent="0.25">
      <c r="A12708" s="3801" t="s">
        <v>6005</v>
      </c>
      <c r="B12708" s="3802"/>
      <c r="C12708" s="3802"/>
      <c r="D12708" s="3802"/>
      <c r="E12708" s="2320"/>
      <c r="F12708" s="1890">
        <v>6.7854633772309714E-2</v>
      </c>
      <c r="G12708" s="78"/>
    </row>
    <row r="12709" spans="1:26" x14ac:dyDescent="0.25">
      <c r="A12709" t="s">
        <v>2734</v>
      </c>
    </row>
    <row r="12710" spans="1:26" ht="12.75" hidden="1" customHeight="1" outlineLevel="1" x14ac:dyDescent="0.25">
      <c r="A12710" s="2433" t="s">
        <v>113</v>
      </c>
      <c r="B12710" s="2433" t="s">
        <v>114</v>
      </c>
      <c r="C12710" s="2433" t="s">
        <v>112</v>
      </c>
      <c r="D12710" s="2433" t="s">
        <v>116</v>
      </c>
      <c r="E12710" s="2433" t="s">
        <v>117</v>
      </c>
      <c r="F12710" s="2434" t="s">
        <v>121</v>
      </c>
      <c r="G12710" s="78"/>
    </row>
    <row r="12711" spans="1:26" ht="12.75" hidden="1" customHeight="1" outlineLevel="1" x14ac:dyDescent="0.25">
      <c r="A12711" s="2435">
        <v>1</v>
      </c>
      <c r="B12711" s="2436" t="s">
        <v>252</v>
      </c>
      <c r="C12711" s="2437">
        <v>100</v>
      </c>
      <c r="D12711" s="2437"/>
      <c r="E12711" s="2438"/>
      <c r="F12711" s="2439"/>
      <c r="G12711" s="78"/>
    </row>
    <row r="12712" spans="1:26" ht="12.75" hidden="1" customHeight="1" outlineLevel="1" x14ac:dyDescent="0.25">
      <c r="A12712" s="2440" t="s">
        <v>2734</v>
      </c>
      <c r="B12712" s="2440"/>
      <c r="C12712" s="2441"/>
      <c r="D12712" s="1900" t="s">
        <v>3702</v>
      </c>
      <c r="E12712" s="2442">
        <v>43738</v>
      </c>
      <c r="F12712" s="2443"/>
      <c r="G12712" s="78"/>
      <c r="H12712" s="1813"/>
      <c r="I12712" s="1813"/>
      <c r="J12712" s="1813" t="s">
        <v>5773</v>
      </c>
      <c r="K12712" s="1813"/>
      <c r="L12712" s="1813"/>
      <c r="M12712" s="1813"/>
    </row>
    <row r="12713" spans="1:26" ht="12.75" hidden="1" customHeight="1" outlineLevel="1" x14ac:dyDescent="0.25">
      <c r="A12713" s="2433" t="s">
        <v>4156</v>
      </c>
      <c r="B12713" s="2444" t="s">
        <v>4153</v>
      </c>
      <c r="C12713" s="2445" t="s">
        <v>112</v>
      </c>
      <c r="D12713" s="2444" t="s">
        <v>4155</v>
      </c>
      <c r="E12713" s="2433" t="s">
        <v>4154</v>
      </c>
      <c r="F12713" s="2446" t="s">
        <v>2519</v>
      </c>
      <c r="G12713" s="78"/>
      <c r="H12713" s="1813" t="s">
        <v>9421</v>
      </c>
      <c r="I12713" s="1813"/>
      <c r="J12713" s="2461" t="s">
        <v>5771</v>
      </c>
      <c r="K12713" s="2461" t="s">
        <v>6040</v>
      </c>
      <c r="L12713" s="2461" t="s">
        <v>6041</v>
      </c>
      <c r="M12713" s="2461" t="s">
        <v>6042</v>
      </c>
    </row>
    <row r="12714" spans="1:26" ht="12.75" hidden="1" customHeight="1" outlineLevel="1" x14ac:dyDescent="0.25">
      <c r="A12714" s="1991">
        <v>0.05</v>
      </c>
      <c r="B12714" s="1992" t="s">
        <v>3998</v>
      </c>
      <c r="C12714" s="2090">
        <v>33.8675</v>
      </c>
      <c r="D12714" s="2447">
        <v>37.840000000000003</v>
      </c>
      <c r="E12714" s="2448">
        <v>0.11729534214217185</v>
      </c>
      <c r="F12714" s="2446">
        <v>5.8647671071085927E-3</v>
      </c>
      <c r="G12714" s="78"/>
      <c r="H12714" s="1813" t="s">
        <v>4000</v>
      </c>
      <c r="I12714" s="1992" t="s">
        <v>3998</v>
      </c>
      <c r="J12714" s="2461">
        <v>32.94</v>
      </c>
      <c r="K12714" s="2461">
        <v>31.86</v>
      </c>
      <c r="L12714" s="2461">
        <v>35.090000000000003</v>
      </c>
      <c r="M12714" s="2461">
        <v>35.58</v>
      </c>
      <c r="Q12714" s="434"/>
    </row>
    <row r="12715" spans="1:26" ht="12.75" hidden="1" customHeight="1" outlineLevel="1" x14ac:dyDescent="0.25">
      <c r="A12715" s="2380">
        <v>7.0000000000000007E-2</v>
      </c>
      <c r="B12715" s="2023" t="s">
        <v>807</v>
      </c>
      <c r="C12715" s="1998">
        <v>47.965000000000003</v>
      </c>
      <c r="D12715" s="2449">
        <v>64.08</v>
      </c>
      <c r="E12715" s="2450">
        <v>0.33597414781611579</v>
      </c>
      <c r="F12715" s="2451">
        <v>2.3518190347128109E-2</v>
      </c>
      <c r="G12715" s="78"/>
      <c r="H12715" s="1813" t="s">
        <v>808</v>
      </c>
      <c r="I12715" s="1921" t="s">
        <v>807</v>
      </c>
      <c r="J12715" s="2461">
        <v>46.88</v>
      </c>
      <c r="K12715" s="2461">
        <v>48.15</v>
      </c>
      <c r="L12715" s="2461">
        <v>47.88</v>
      </c>
      <c r="M12715" s="2461">
        <v>48.95</v>
      </c>
      <c r="Q12715" s="434"/>
    </row>
    <row r="12716" spans="1:26" ht="12.75" hidden="1" customHeight="1" outlineLevel="1" x14ac:dyDescent="0.25">
      <c r="A12716" s="2380">
        <v>0.05</v>
      </c>
      <c r="B12716" s="1921" t="s">
        <v>1188</v>
      </c>
      <c r="C12716" s="2179">
        <v>490.57500000000005</v>
      </c>
      <c r="D12716" s="2452">
        <v>515.79999999999995</v>
      </c>
      <c r="E12716" s="2450">
        <v>5.1419252917494607E-2</v>
      </c>
      <c r="F12716" s="2451">
        <v>2.5709626458747304E-3</v>
      </c>
      <c r="G12716" s="78"/>
      <c r="H12716" s="1813" t="s">
        <v>2746</v>
      </c>
      <c r="I12716" s="1921" t="s">
        <v>1188</v>
      </c>
      <c r="J12716" s="2461">
        <v>4.8704999999999998</v>
      </c>
      <c r="K12716" s="2461">
        <v>4.9290000000000003</v>
      </c>
      <c r="L12716" s="2461">
        <v>4.843</v>
      </c>
      <c r="M12716" s="2461">
        <v>4.9805000000000001</v>
      </c>
      <c r="Q12716" s="434"/>
    </row>
    <row r="12717" spans="1:26" ht="12.75" hidden="1" customHeight="1" outlineLevel="1" x14ac:dyDescent="0.25">
      <c r="A12717" s="2380">
        <v>0.04</v>
      </c>
      <c r="B12717" s="1921" t="s">
        <v>3954</v>
      </c>
      <c r="C12717" s="2179">
        <v>93.467500000000001</v>
      </c>
      <c r="D12717" s="2452">
        <v>109.31</v>
      </c>
      <c r="E12717" s="2450">
        <v>0.16949741888891867</v>
      </c>
      <c r="F12717" s="2451">
        <v>6.779896755556747E-3</v>
      </c>
      <c r="G12717" s="78"/>
      <c r="H12717" s="1813" t="s">
        <v>3955</v>
      </c>
      <c r="I12717" s="1921" t="s">
        <v>3954</v>
      </c>
      <c r="J12717" s="2461">
        <v>88.32</v>
      </c>
      <c r="K12717" s="2461">
        <v>92.8</v>
      </c>
      <c r="L12717" s="2461">
        <v>95.35</v>
      </c>
      <c r="M12717" s="2461">
        <v>97.4</v>
      </c>
      <c r="Q12717" s="434"/>
    </row>
    <row r="12718" spans="1:26" ht="12.75" hidden="1" customHeight="1" outlineLevel="1" x14ac:dyDescent="0.25">
      <c r="A12718" s="2380">
        <v>0.03</v>
      </c>
      <c r="B12718" s="1921" t="s">
        <v>5090</v>
      </c>
      <c r="C12718" s="2179">
        <v>3925</v>
      </c>
      <c r="D12718" s="2452">
        <v>5491</v>
      </c>
      <c r="E12718" s="2450">
        <v>0.39898089171974527</v>
      </c>
      <c r="F12718" s="2451">
        <v>1.1969426751592358E-2</v>
      </c>
      <c r="G12718" s="78"/>
      <c r="H12718" s="1813" t="s">
        <v>5091</v>
      </c>
      <c r="I12718" s="1921" t="s">
        <v>5090</v>
      </c>
      <c r="J12718" s="2461">
        <v>3855</v>
      </c>
      <c r="K12718" s="2461">
        <v>3933</v>
      </c>
      <c r="L12718" s="2461">
        <v>3937</v>
      </c>
      <c r="M12718" s="2461">
        <v>3975</v>
      </c>
      <c r="Q12718" s="434"/>
    </row>
    <row r="12719" spans="1:26" ht="12.75" hidden="1" customHeight="1" outlineLevel="1" x14ac:dyDescent="0.25">
      <c r="A12719" s="2380">
        <v>0.05</v>
      </c>
      <c r="B12719" s="1921" t="s">
        <v>6109</v>
      </c>
      <c r="C12719" s="2179">
        <v>66.715000000000003</v>
      </c>
      <c r="D12719" s="2452">
        <v>117.36</v>
      </c>
      <c r="E12719" s="2450">
        <v>0.75912463463988589</v>
      </c>
      <c r="F12719" s="2451">
        <v>3.7956231731994299E-2</v>
      </c>
      <c r="G12719" s="78"/>
      <c r="H12719" s="1813" t="s">
        <v>5230</v>
      </c>
      <c r="I12719" s="1921" t="s">
        <v>6109</v>
      </c>
      <c r="J12719" s="2461">
        <v>63.56</v>
      </c>
      <c r="K12719" s="2461">
        <v>63.28</v>
      </c>
      <c r="L12719" s="2461">
        <v>67.06</v>
      </c>
      <c r="M12719" s="2461">
        <v>72.959999999999994</v>
      </c>
      <c r="Q12719" s="434"/>
    </row>
    <row r="12720" spans="1:26" ht="12.75" hidden="1" customHeight="1" outlineLevel="1" x14ac:dyDescent="0.25">
      <c r="A12720" s="2380">
        <v>0.03</v>
      </c>
      <c r="B12720" s="1921" t="s">
        <v>7227</v>
      </c>
      <c r="C12720" s="2179">
        <v>18.414999999999999</v>
      </c>
      <c r="D12720" s="2452">
        <v>14.98</v>
      </c>
      <c r="E12720" s="2450">
        <v>-0.18653271789302195</v>
      </c>
      <c r="F12720" s="2451">
        <v>-5.5959815367906587E-3</v>
      </c>
      <c r="G12720" s="78"/>
      <c r="H12720" s="1813" t="s">
        <v>7229</v>
      </c>
      <c r="I12720" s="1921" t="s">
        <v>7227</v>
      </c>
      <c r="J12720" s="2461">
        <v>17.059999999999999</v>
      </c>
      <c r="K12720" s="2461">
        <v>18.225000000000001</v>
      </c>
      <c r="L12720" s="2461">
        <v>19.829999999999998</v>
      </c>
      <c r="M12720" s="2461">
        <v>18.545000000000002</v>
      </c>
      <c r="Q12720" s="434"/>
    </row>
    <row r="12721" spans="1:17" ht="12.75" hidden="1" customHeight="1" outlineLevel="1" x14ac:dyDescent="0.25">
      <c r="A12721" s="2380">
        <v>0.04</v>
      </c>
      <c r="B12721" s="1921" t="s">
        <v>1386</v>
      </c>
      <c r="C12721" s="2179">
        <v>1613.012493744329</v>
      </c>
      <c r="D12721" s="2452">
        <v>1744.6</v>
      </c>
      <c r="E12721" s="2450">
        <v>8.1578727236150117E-2</v>
      </c>
      <c r="F12721" s="2451">
        <v>3.2631490894460048E-3</v>
      </c>
      <c r="G12721" s="78"/>
      <c r="H12721" s="1813" t="s">
        <v>4128</v>
      </c>
      <c r="I12721" s="1921" t="s">
        <v>1386</v>
      </c>
      <c r="J12721" s="2461">
        <v>16.504999999999999</v>
      </c>
      <c r="K12721" s="2461">
        <v>16.64</v>
      </c>
      <c r="L12721" s="2461">
        <v>15.935</v>
      </c>
      <c r="M12721" s="2461">
        <v>16.375</v>
      </c>
      <c r="Q12721" s="434"/>
    </row>
    <row r="12722" spans="1:17" ht="12.75" hidden="1" customHeight="1" outlineLevel="1" x14ac:dyDescent="0.25">
      <c r="A12722" s="2380">
        <v>0.05</v>
      </c>
      <c r="B12722" s="1921" t="s">
        <v>579</v>
      </c>
      <c r="C12722" s="2179">
        <v>2.7935370598922611</v>
      </c>
      <c r="D12722" s="2452">
        <v>1.62</v>
      </c>
      <c r="E12722" s="2450">
        <v>-0.42009002734959999</v>
      </c>
      <c r="F12722" s="2451">
        <v>-2.100450136748E-2</v>
      </c>
      <c r="G12722" s="78"/>
      <c r="H12722" s="1813" t="s">
        <v>3611</v>
      </c>
      <c r="I12722" s="1921" t="s">
        <v>6112</v>
      </c>
      <c r="J12722" s="2461">
        <v>98.69</v>
      </c>
      <c r="K12722" s="2461">
        <v>100.05</v>
      </c>
      <c r="L12722" s="2461">
        <v>99.76</v>
      </c>
      <c r="M12722" s="2461">
        <v>99</v>
      </c>
      <c r="Q12722" s="434"/>
    </row>
    <row r="12723" spans="1:17" ht="12.75" hidden="1" customHeight="1" outlineLevel="1" x14ac:dyDescent="0.25">
      <c r="A12723" s="2380">
        <v>0.03</v>
      </c>
      <c r="B12723" s="1921" t="s">
        <v>6113</v>
      </c>
      <c r="C12723" s="2179">
        <v>828.20439487827139</v>
      </c>
      <c r="D12723" s="2452">
        <v>881.9</v>
      </c>
      <c r="E12723" s="2450">
        <v>6.4833760185033507E-2</v>
      </c>
      <c r="F12723" s="2451">
        <v>1.9450128055510051E-3</v>
      </c>
      <c r="G12723" s="78"/>
      <c r="H12723" s="1813" t="s">
        <v>4195</v>
      </c>
      <c r="I12723" s="1921" t="s">
        <v>6113</v>
      </c>
      <c r="J12723" s="2461">
        <v>8.0950000000000006</v>
      </c>
      <c r="K12723" s="2461">
        <v>8.2650000000000006</v>
      </c>
      <c r="L12723" s="2461">
        <v>8.2850000000000001</v>
      </c>
      <c r="M12723" s="2461">
        <v>8.3650000000000002</v>
      </c>
      <c r="Q12723" s="434"/>
    </row>
    <row r="12724" spans="1:17" ht="12.75" hidden="1" customHeight="1" outlineLevel="1" x14ac:dyDescent="0.25">
      <c r="A12724" s="2380">
        <v>0.05</v>
      </c>
      <c r="B12724" s="1921" t="s">
        <v>5775</v>
      </c>
      <c r="C12724" s="2179">
        <v>30.176641329837558</v>
      </c>
      <c r="D12724" s="2452">
        <v>31.49</v>
      </c>
      <c r="E12724" s="2450">
        <v>4.3522360749399969E-2</v>
      </c>
      <c r="F12724" s="2451">
        <v>2.1761180374699983E-3</v>
      </c>
      <c r="G12724" s="78"/>
      <c r="H12724" s="1813" t="s">
        <v>2770</v>
      </c>
      <c r="I12724" s="1921" t="s">
        <v>5775</v>
      </c>
      <c r="J12724" s="2461">
        <v>31.09</v>
      </c>
      <c r="K12724" s="2461">
        <v>32.01</v>
      </c>
      <c r="L12724" s="2461">
        <v>32.770000000000003</v>
      </c>
      <c r="M12724" s="2461">
        <v>34.21</v>
      </c>
      <c r="Q12724" s="434"/>
    </row>
    <row r="12725" spans="1:17" ht="12.75" hidden="1" customHeight="1" outlineLevel="1" x14ac:dyDescent="0.25">
      <c r="A12725" s="2380">
        <v>0.05</v>
      </c>
      <c r="B12725" s="1921" t="s">
        <v>901</v>
      </c>
      <c r="C12725" s="2179">
        <v>21.743048522672897</v>
      </c>
      <c r="D12725" s="2452">
        <v>30.074999999999999</v>
      </c>
      <c r="E12725" s="2450">
        <v>0.38320070291149988</v>
      </c>
      <c r="F12725" s="2451">
        <v>1.9160035145574995E-2</v>
      </c>
      <c r="G12725" s="78"/>
      <c r="H12725" s="1813" t="s">
        <v>531</v>
      </c>
      <c r="I12725" s="1921" t="s">
        <v>2753</v>
      </c>
      <c r="J12725" s="2461">
        <v>47.29</v>
      </c>
      <c r="K12725" s="2461">
        <v>53.29</v>
      </c>
      <c r="L12725" s="2461">
        <v>53.69</v>
      </c>
      <c r="M12725" s="2461">
        <v>55.89</v>
      </c>
      <c r="Q12725" s="434"/>
    </row>
    <row r="12726" spans="1:17" ht="12.75" hidden="1" customHeight="1" outlineLevel="1" x14ac:dyDescent="0.25">
      <c r="A12726" s="2380">
        <v>0.03</v>
      </c>
      <c r="B12726" s="1921" t="s">
        <v>2297</v>
      </c>
      <c r="C12726" s="2179">
        <v>44.002500022573287</v>
      </c>
      <c r="D12726" s="2452">
        <v>64.53</v>
      </c>
      <c r="E12726" s="2450">
        <v>0.46650758404399983</v>
      </c>
      <c r="F12726" s="2451">
        <v>1.3995227521319995E-2</v>
      </c>
      <c r="G12726" s="78"/>
      <c r="H12726" s="1813" t="s">
        <v>2298</v>
      </c>
      <c r="I12726" s="1921" t="s">
        <v>2297</v>
      </c>
      <c r="J12726" s="2461">
        <v>43.28</v>
      </c>
      <c r="K12726" s="2461">
        <v>42.9</v>
      </c>
      <c r="L12726" s="2461">
        <v>46.25</v>
      </c>
      <c r="M12726" s="2461">
        <v>43.58</v>
      </c>
      <c r="Q12726" s="434"/>
    </row>
    <row r="12727" spans="1:17" ht="12.75" hidden="1" customHeight="1" outlineLevel="1" x14ac:dyDescent="0.25">
      <c r="A12727" s="2380">
        <v>0.08</v>
      </c>
      <c r="B12727" s="1921" t="s">
        <v>6116</v>
      </c>
      <c r="C12727" s="2179">
        <v>3.4839115220004775</v>
      </c>
      <c r="D12727" s="2452">
        <v>4.6340000000000003</v>
      </c>
      <c r="E12727" s="2450">
        <v>0.33011414633719993</v>
      </c>
      <c r="F12727" s="2451">
        <v>2.6409131706975994E-2</v>
      </c>
      <c r="G12727" s="78"/>
      <c r="H12727" s="1813" t="s">
        <v>6114</v>
      </c>
      <c r="I12727" s="1921" t="s">
        <v>6116</v>
      </c>
      <c r="J12727" s="2461">
        <v>4.1260000000000003</v>
      </c>
      <c r="K12727" s="2461">
        <v>4.05</v>
      </c>
      <c r="L12727" s="2461">
        <v>4.24</v>
      </c>
      <c r="M12727" s="2461">
        <v>4.3280000000000003</v>
      </c>
      <c r="Q12727" s="434"/>
    </row>
    <row r="12728" spans="1:17" ht="12.75" hidden="1" customHeight="1" outlineLevel="1" x14ac:dyDescent="0.25">
      <c r="A12728" s="2380">
        <v>7.0000000000000007E-2</v>
      </c>
      <c r="B12728" s="1921" t="s">
        <v>3427</v>
      </c>
      <c r="C12728" s="2179">
        <v>43.095000010607535</v>
      </c>
      <c r="D12728" s="2452">
        <v>61.77</v>
      </c>
      <c r="E12728" s="2450">
        <v>0.4333449352545713</v>
      </c>
      <c r="F12728" s="2451">
        <v>3.0334145467819994E-2</v>
      </c>
      <c r="G12728" s="78"/>
      <c r="H12728" s="1813" t="s">
        <v>2800</v>
      </c>
      <c r="I12728" s="1921" t="s">
        <v>3427</v>
      </c>
      <c r="J12728" s="2461">
        <v>41.61</v>
      </c>
      <c r="K12728" s="2461">
        <v>42.05</v>
      </c>
      <c r="L12728" s="2461">
        <v>43.5</v>
      </c>
      <c r="M12728" s="2461">
        <v>45.22</v>
      </c>
      <c r="Q12728" s="434"/>
    </row>
    <row r="12729" spans="1:17" ht="12.75" hidden="1" customHeight="1" outlineLevel="1" x14ac:dyDescent="0.25">
      <c r="A12729" s="2380">
        <v>0.03</v>
      </c>
      <c r="B12729" s="1921" t="s">
        <v>1857</v>
      </c>
      <c r="C12729" s="2179">
        <v>1443.4999997117811</v>
      </c>
      <c r="D12729" s="2452">
        <v>1245.5</v>
      </c>
      <c r="E12729" s="2450">
        <v>-0.13716660876433329</v>
      </c>
      <c r="F12729" s="2451">
        <v>-4.1149982629299989E-3</v>
      </c>
      <c r="G12729" s="78"/>
      <c r="H12729" s="1813" t="s">
        <v>3559</v>
      </c>
      <c r="I12729" s="1921" t="s">
        <v>1857</v>
      </c>
      <c r="J12729" s="2461">
        <v>13.6</v>
      </c>
      <c r="K12729" s="2461">
        <v>13.96</v>
      </c>
      <c r="L12729" s="2461">
        <v>14.89</v>
      </c>
      <c r="M12729" s="2461">
        <v>15.29</v>
      </c>
      <c r="Q12729" s="434"/>
    </row>
    <row r="12730" spans="1:17" ht="12.75" hidden="1" customHeight="1" outlineLevel="1" x14ac:dyDescent="0.25">
      <c r="A12730" s="2380">
        <v>0.05</v>
      </c>
      <c r="B12730" s="1921" t="s">
        <v>6118</v>
      </c>
      <c r="C12730" s="2179">
        <v>74.734489136286754</v>
      </c>
      <c r="D12730" s="2452">
        <v>104.1</v>
      </c>
      <c r="E12730" s="2450">
        <v>0.39293117813599987</v>
      </c>
      <c r="F12730" s="2451">
        <v>1.9646558906799994E-2</v>
      </c>
      <c r="G12730" s="78"/>
      <c r="H12730" s="1813" t="s">
        <v>8893</v>
      </c>
      <c r="I12730" s="1921" t="s">
        <v>6118</v>
      </c>
      <c r="J12730" s="2461">
        <v>82.3</v>
      </c>
      <c r="K12730" s="2461">
        <v>80.75</v>
      </c>
      <c r="L12730" s="2461">
        <v>78.258200000000002</v>
      </c>
      <c r="M12730" s="2461">
        <v>76.45</v>
      </c>
      <c r="Q12730" s="434"/>
    </row>
    <row r="12731" spans="1:17" ht="12.75" hidden="1" customHeight="1" outlineLevel="1" x14ac:dyDescent="0.25">
      <c r="A12731" s="2380">
        <v>0.08</v>
      </c>
      <c r="B12731" s="1921" t="s">
        <v>1239</v>
      </c>
      <c r="C12731" s="2179">
        <v>521.1250004820406</v>
      </c>
      <c r="D12731" s="2452">
        <v>492.3</v>
      </c>
      <c r="E12731" s="2450">
        <v>-5.5313025579999953E-2</v>
      </c>
      <c r="F12731" s="2451">
        <v>-4.4250420463999964E-3</v>
      </c>
      <c r="G12731" s="78"/>
      <c r="H12731" s="1813" t="s">
        <v>8891</v>
      </c>
      <c r="I12731" s="1921" t="s">
        <v>1239</v>
      </c>
      <c r="J12731" s="2461">
        <v>505</v>
      </c>
      <c r="K12731" s="2461">
        <v>510.5</v>
      </c>
      <c r="L12731" s="2461">
        <v>534.5</v>
      </c>
      <c r="M12731" s="2461">
        <v>534.5</v>
      </c>
      <c r="Q12731" s="434"/>
    </row>
    <row r="12732" spans="1:17" ht="12.75" hidden="1" customHeight="1" outlineLevel="1" x14ac:dyDescent="0.25">
      <c r="A12732" s="2380">
        <v>0.05</v>
      </c>
      <c r="B12732" s="1921" t="s">
        <v>1183</v>
      </c>
      <c r="C12732" s="2179">
        <v>47.238799978365762</v>
      </c>
      <c r="D12732" s="2452">
        <v>47.884999999999998</v>
      </c>
      <c r="E12732" s="2450">
        <v>1.3679433472699953E-2</v>
      </c>
      <c r="F12732" s="2451">
        <v>6.8397167363499773E-4</v>
      </c>
      <c r="G12732" s="78"/>
      <c r="H12732" s="1813" t="s">
        <v>2805</v>
      </c>
      <c r="I12732" s="1921" t="s">
        <v>1183</v>
      </c>
      <c r="J12732" s="2461">
        <v>44</v>
      </c>
      <c r="K12732" s="2461">
        <v>46.22</v>
      </c>
      <c r="L12732" s="2461">
        <v>47.884999999999998</v>
      </c>
      <c r="M12732" s="2461">
        <v>50.85</v>
      </c>
      <c r="Q12732" s="434"/>
    </row>
    <row r="12733" spans="1:17" ht="12.75" hidden="1" customHeight="1" outlineLevel="1" x14ac:dyDescent="0.25">
      <c r="A12733" s="2380">
        <v>7.0000000000000007E-2</v>
      </c>
      <c r="B12733" s="2109" t="s">
        <v>4550</v>
      </c>
      <c r="C12733" s="2179">
        <v>264.7250000583341</v>
      </c>
      <c r="D12733" s="2453">
        <v>382</v>
      </c>
      <c r="E12733" s="2450">
        <v>0.44300689362857115</v>
      </c>
      <c r="F12733" s="2451">
        <v>3.1010482553999984E-2</v>
      </c>
      <c r="G12733" s="78"/>
      <c r="H12733" s="1813" t="s">
        <v>8889</v>
      </c>
      <c r="I12733" s="2109" t="s">
        <v>4550</v>
      </c>
      <c r="J12733" s="2461">
        <v>268.10000000000002</v>
      </c>
      <c r="K12733" s="2461">
        <v>265.3</v>
      </c>
      <c r="L12733" s="2461">
        <v>274</v>
      </c>
      <c r="M12733" s="2461">
        <v>251.5</v>
      </c>
      <c r="Q12733" s="434"/>
    </row>
    <row r="12734" spans="1:17" ht="12.75" hidden="1" customHeight="1" outlineLevel="1" x14ac:dyDescent="0.25">
      <c r="A12734" s="2181" t="s">
        <v>2734</v>
      </c>
      <c r="B12734" s="2103"/>
      <c r="C12734" s="2454"/>
      <c r="D12734" s="2455"/>
      <c r="E12734" s="2456"/>
      <c r="F12734" s="2446">
        <v>0.20214278503424718</v>
      </c>
      <c r="G12734" s="78"/>
    </row>
    <row r="12735" spans="1:17" ht="12.75" hidden="1" customHeight="1" outlineLevel="1" x14ac:dyDescent="0.25">
      <c r="A12735" s="1956" t="s">
        <v>6120</v>
      </c>
      <c r="B12735" s="2310">
        <v>43191</v>
      </c>
      <c r="C12735" s="2457">
        <v>100</v>
      </c>
      <c r="D12735" s="2457">
        <v>112.8672</v>
      </c>
      <c r="E12735" s="2458">
        <v>0.1286719999999999</v>
      </c>
      <c r="F12735" s="2459"/>
      <c r="G12735" s="78"/>
    </row>
    <row r="12736" spans="1:17" ht="12.75" hidden="1" customHeight="1" outlineLevel="1" x14ac:dyDescent="0.25">
      <c r="A12736" s="1956" t="s">
        <v>6121</v>
      </c>
      <c r="B12736" s="2310">
        <v>43221</v>
      </c>
      <c r="C12736" s="2457">
        <v>100</v>
      </c>
      <c r="D12736" s="2460">
        <v>109.33839999999999</v>
      </c>
      <c r="E12736" s="2458">
        <v>9.3383999999999912E-2</v>
      </c>
      <c r="F12736" s="2459"/>
      <c r="G12736" s="78"/>
    </row>
    <row r="12737" spans="1:7" ht="12.75" hidden="1" customHeight="1" outlineLevel="1" x14ac:dyDescent="0.25">
      <c r="A12737" s="1956" t="s">
        <v>6122</v>
      </c>
      <c r="B12737" s="2310">
        <v>43252</v>
      </c>
      <c r="C12737" s="2457">
        <v>100</v>
      </c>
      <c r="D12737" s="2460">
        <v>109.7629</v>
      </c>
      <c r="E12737" s="2458">
        <v>9.7628999999999966E-2</v>
      </c>
      <c r="F12737" s="2459"/>
      <c r="G12737" s="78"/>
    </row>
    <row r="12738" spans="1:7" ht="12.75" hidden="1" customHeight="1" outlineLevel="1" x14ac:dyDescent="0.25">
      <c r="A12738" s="1956" t="s">
        <v>6123</v>
      </c>
      <c r="B12738" s="2310">
        <v>43282</v>
      </c>
      <c r="C12738" s="2457">
        <v>100</v>
      </c>
      <c r="D12738" s="2460">
        <v>114.6404</v>
      </c>
      <c r="E12738" s="2458">
        <v>0.14640399999999998</v>
      </c>
      <c r="F12738" s="2459"/>
      <c r="G12738" s="78"/>
    </row>
    <row r="12739" spans="1:7" ht="12.75" hidden="1" customHeight="1" outlineLevel="1" x14ac:dyDescent="0.25">
      <c r="A12739" s="1956" t="s">
        <v>6124</v>
      </c>
      <c r="B12739" s="2310">
        <v>43313</v>
      </c>
      <c r="C12739" s="2457">
        <v>100</v>
      </c>
      <c r="D12739" s="2460">
        <v>110.9705</v>
      </c>
      <c r="E12739" s="2458">
        <v>0.10970499999999994</v>
      </c>
      <c r="F12739" s="2459"/>
      <c r="G12739" s="78"/>
    </row>
    <row r="12740" spans="1:7" ht="12.75" hidden="1" customHeight="1" outlineLevel="1" x14ac:dyDescent="0.25">
      <c r="A12740" s="1956" t="s">
        <v>6125</v>
      </c>
      <c r="B12740" s="2310">
        <v>43344</v>
      </c>
      <c r="C12740" s="2457">
        <v>100</v>
      </c>
      <c r="D12740" s="2460">
        <v>112.33629999999999</v>
      </c>
      <c r="E12740" s="2458">
        <v>0.12336299999999989</v>
      </c>
      <c r="F12740" s="2459"/>
      <c r="G12740" s="78"/>
    </row>
    <row r="12741" spans="1:7" ht="12.75" hidden="1" customHeight="1" outlineLevel="1" x14ac:dyDescent="0.25">
      <c r="A12741" s="1956" t="s">
        <v>6126</v>
      </c>
      <c r="B12741" s="2310">
        <v>43374</v>
      </c>
      <c r="C12741" s="2457">
        <v>100</v>
      </c>
      <c r="D12741" s="2460">
        <v>109.90179999999999</v>
      </c>
      <c r="E12741" s="2458">
        <v>9.901800000000005E-2</v>
      </c>
      <c r="F12741" s="2459"/>
      <c r="G12741" s="78"/>
    </row>
    <row r="12742" spans="1:7" ht="12.75" hidden="1" customHeight="1" outlineLevel="1" x14ac:dyDescent="0.25">
      <c r="A12742" s="1956" t="s">
        <v>6127</v>
      </c>
      <c r="B12742" s="2310">
        <v>43405</v>
      </c>
      <c r="C12742" s="2457">
        <v>100</v>
      </c>
      <c r="D12742" s="2460">
        <v>111.60039999999999</v>
      </c>
      <c r="E12742" s="2458">
        <v>0.116004</v>
      </c>
      <c r="F12742" s="2459"/>
      <c r="G12742" s="78"/>
    </row>
    <row r="12743" spans="1:7" ht="12.75" hidden="1" customHeight="1" outlineLevel="1" x14ac:dyDescent="0.25">
      <c r="A12743" s="1956" t="s">
        <v>6128</v>
      </c>
      <c r="B12743" s="2310">
        <v>43435</v>
      </c>
      <c r="C12743" s="2457">
        <v>100</v>
      </c>
      <c r="D12743" s="2460">
        <v>104.9243</v>
      </c>
      <c r="E12743" s="2458">
        <v>4.9242999999999926E-2</v>
      </c>
      <c r="F12743" s="2459"/>
      <c r="G12743" s="78"/>
    </row>
    <row r="12744" spans="1:7" ht="12.75" hidden="1" customHeight="1" outlineLevel="1" x14ac:dyDescent="0.25">
      <c r="A12744" s="1956" t="s">
        <v>6129</v>
      </c>
      <c r="B12744" s="2310">
        <v>43466</v>
      </c>
      <c r="C12744" s="2457">
        <v>100</v>
      </c>
      <c r="D12744" s="2460">
        <v>110.4859</v>
      </c>
      <c r="E12744" s="2458">
        <v>0.10485900000000004</v>
      </c>
      <c r="F12744" s="2459"/>
      <c r="G12744" s="78"/>
    </row>
    <row r="12745" spans="1:7" ht="12.75" hidden="1" customHeight="1" outlineLevel="1" x14ac:dyDescent="0.25">
      <c r="A12745" s="1956" t="s">
        <v>6130</v>
      </c>
      <c r="B12745" s="2310">
        <v>43497</v>
      </c>
      <c r="C12745" s="2457">
        <v>100</v>
      </c>
      <c r="D12745" s="2460">
        <v>113.6</v>
      </c>
      <c r="E12745" s="2458">
        <v>0.1359999999999999</v>
      </c>
      <c r="F12745" s="2459"/>
      <c r="G12745" s="78"/>
    </row>
    <row r="12746" spans="1:7" ht="12.75" hidden="1" customHeight="1" outlineLevel="1" x14ac:dyDescent="0.25">
      <c r="A12746" s="1956" t="s">
        <v>6131</v>
      </c>
      <c r="B12746" s="2310">
        <v>43525</v>
      </c>
      <c r="C12746" s="2457">
        <v>100</v>
      </c>
      <c r="D12746" s="2460">
        <v>113.94580000000001</v>
      </c>
      <c r="E12746" s="2458">
        <v>0.13945800000000008</v>
      </c>
      <c r="F12746" s="2459"/>
      <c r="G12746" s="78"/>
    </row>
    <row r="12747" spans="1:7" ht="12.75" hidden="1" customHeight="1" outlineLevel="1" x14ac:dyDescent="0.25">
      <c r="A12747" s="1956" t="s">
        <v>6132</v>
      </c>
      <c r="B12747" s="2310">
        <v>43556</v>
      </c>
      <c r="C12747" s="2457">
        <v>100</v>
      </c>
      <c r="D12747" s="2460">
        <v>113.432</v>
      </c>
      <c r="E12747" s="2458">
        <v>0.13431999999999999</v>
      </c>
      <c r="F12747" s="2459"/>
      <c r="G12747" s="78"/>
    </row>
    <row r="12748" spans="1:7" ht="12.75" hidden="1" customHeight="1" outlineLevel="1" x14ac:dyDescent="0.25">
      <c r="A12748" s="1956" t="s">
        <v>6133</v>
      </c>
      <c r="B12748" s="2310">
        <v>43586</v>
      </c>
      <c r="C12748" s="2457">
        <v>100</v>
      </c>
      <c r="D12748" s="2460">
        <v>111.14619999999999</v>
      </c>
      <c r="E12748" s="2458">
        <v>0.11146199999999995</v>
      </c>
      <c r="F12748" s="2459"/>
      <c r="G12748" s="78"/>
    </row>
    <row r="12749" spans="1:7" ht="12.75" hidden="1" customHeight="1" outlineLevel="1" x14ac:dyDescent="0.25">
      <c r="A12749" s="1956" t="s">
        <v>6134</v>
      </c>
      <c r="B12749" s="2310">
        <v>43617</v>
      </c>
      <c r="C12749" s="2457">
        <v>100</v>
      </c>
      <c r="D12749" s="2460">
        <v>113.45189999999999</v>
      </c>
      <c r="E12749" s="2458">
        <v>0.13451900000000006</v>
      </c>
      <c r="F12749" s="2459"/>
      <c r="G12749" s="78"/>
    </row>
    <row r="12750" spans="1:7" ht="12.75" hidden="1" customHeight="1" outlineLevel="1" x14ac:dyDescent="0.25">
      <c r="A12750" s="1956" t="s">
        <v>6135</v>
      </c>
      <c r="B12750" s="2310">
        <v>43647</v>
      </c>
      <c r="C12750" s="2457">
        <v>100</v>
      </c>
      <c r="D12750" s="2460">
        <v>114.4515</v>
      </c>
      <c r="E12750" s="2458">
        <v>0.14451499999999995</v>
      </c>
      <c r="F12750" s="2459"/>
      <c r="G12750" s="78"/>
    </row>
    <row r="12751" spans="1:7" ht="12.75" hidden="1" customHeight="1" outlineLevel="1" x14ac:dyDescent="0.25">
      <c r="A12751" s="1956" t="s">
        <v>6136</v>
      </c>
      <c r="B12751" s="2310">
        <v>43678</v>
      </c>
      <c r="C12751" s="2457">
        <v>100</v>
      </c>
      <c r="D12751" s="2460">
        <v>115.4662</v>
      </c>
      <c r="E12751" s="2458">
        <v>0.15466200000000008</v>
      </c>
      <c r="F12751" s="2459"/>
      <c r="G12751" s="78"/>
    </row>
    <row r="12752" spans="1:7" ht="12.75" hidden="1" customHeight="1" outlineLevel="1" x14ac:dyDescent="0.25">
      <c r="A12752" s="1956" t="s">
        <v>6137</v>
      </c>
      <c r="B12752" s="2310">
        <v>43709</v>
      </c>
      <c r="C12752" s="2457">
        <v>100</v>
      </c>
      <c r="D12752" s="2460">
        <v>120.2847</v>
      </c>
      <c r="E12752" s="2458">
        <v>0.202847</v>
      </c>
      <c r="F12752" s="2459"/>
      <c r="G12752" s="78"/>
    </row>
    <row r="12753" spans="1:11" ht="12.75" hidden="1" customHeight="1" outlineLevel="1" x14ac:dyDescent="0.25">
      <c r="A12753" s="2189" t="s">
        <v>2734</v>
      </c>
      <c r="B12753" s="2190"/>
      <c r="C12753" s="2460"/>
      <c r="D12753" s="2191" t="s">
        <v>2465</v>
      </c>
      <c r="E12753" s="1987">
        <v>0.12367022222222222</v>
      </c>
      <c r="F12753" s="2192">
        <v>0.12367022222222222</v>
      </c>
      <c r="G12753" s="78"/>
    </row>
    <row r="12754" spans="1:11" collapsed="1" x14ac:dyDescent="0.25">
      <c r="A12754" s="3801" t="s">
        <v>6108</v>
      </c>
      <c r="B12754" s="3802"/>
      <c r="C12754" s="3802"/>
      <c r="D12754" s="3802"/>
      <c r="E12754" s="1906"/>
      <c r="F12754" s="1907">
        <v>9.8936177777777787E-2</v>
      </c>
      <c r="G12754" s="78"/>
    </row>
    <row r="12755" spans="1:11" x14ac:dyDescent="0.25">
      <c r="A12755" t="s">
        <v>2734</v>
      </c>
    </row>
    <row r="12756" spans="1:11" ht="12.75" hidden="1" customHeight="1" outlineLevel="1" x14ac:dyDescent="0.25">
      <c r="A12756" s="2578" t="s">
        <v>113</v>
      </c>
      <c r="B12756" s="2578" t="s">
        <v>114</v>
      </c>
      <c r="C12756" s="2578" t="s">
        <v>112</v>
      </c>
      <c r="D12756" s="2578" t="s">
        <v>116</v>
      </c>
      <c r="E12756" s="2578" t="s">
        <v>117</v>
      </c>
      <c r="F12756" s="2579" t="s">
        <v>121</v>
      </c>
      <c r="G12756" s="78"/>
    </row>
    <row r="12757" spans="1:11" ht="12.75" hidden="1" customHeight="1" outlineLevel="1" x14ac:dyDescent="0.25">
      <c r="A12757" s="2580">
        <v>1</v>
      </c>
      <c r="B12757" s="2581" t="s">
        <v>252</v>
      </c>
      <c r="C12757" s="2582">
        <v>100</v>
      </c>
      <c r="D12757" s="2582"/>
      <c r="E12757" s="2583"/>
      <c r="F12757" s="2584"/>
      <c r="G12757" s="78"/>
    </row>
    <row r="12758" spans="1:11" ht="12.75" hidden="1" customHeight="1" outlineLevel="1" x14ac:dyDescent="0.25">
      <c r="A12758" s="2585" t="s">
        <v>2734</v>
      </c>
      <c r="B12758" s="2585"/>
      <c r="C12758" s="2586"/>
      <c r="D12758" s="1900" t="s">
        <v>3702</v>
      </c>
      <c r="E12758" s="2587">
        <v>43798</v>
      </c>
      <c r="F12758" s="2588"/>
      <c r="G12758" s="78"/>
    </row>
    <row r="12759" spans="1:11" ht="12.75" hidden="1" customHeight="1" outlineLevel="1" x14ac:dyDescent="0.25">
      <c r="A12759" s="2578" t="s">
        <v>4156</v>
      </c>
      <c r="B12759" s="2578" t="s">
        <v>4153</v>
      </c>
      <c r="C12759" s="2589" t="s">
        <v>112</v>
      </c>
      <c r="D12759" s="2590" t="s">
        <v>4155</v>
      </c>
      <c r="E12759" s="2578" t="s">
        <v>4154</v>
      </c>
      <c r="F12759" s="2591" t="s">
        <v>2519</v>
      </c>
      <c r="G12759" s="78"/>
    </row>
    <row r="12760" spans="1:11" ht="12.75" hidden="1" customHeight="1" outlineLevel="1" x14ac:dyDescent="0.25">
      <c r="A12760" s="1991">
        <v>0.02</v>
      </c>
      <c r="B12760" s="1921" t="s">
        <v>1317</v>
      </c>
      <c r="C12760" s="2108">
        <v>49.49</v>
      </c>
      <c r="D12760" s="2592">
        <v>91.35</v>
      </c>
      <c r="E12760" s="2593">
        <v>0.84582743988684572</v>
      </c>
      <c r="F12760" s="2591">
        <v>1.6916548797736915E-2</v>
      </c>
      <c r="G12760" s="78"/>
      <c r="H12760" t="s">
        <v>1318</v>
      </c>
      <c r="K12760" s="434"/>
    </row>
    <row r="12761" spans="1:11" ht="12.75" hidden="1" customHeight="1" outlineLevel="1" x14ac:dyDescent="0.25">
      <c r="A12761" s="2380">
        <v>0.02</v>
      </c>
      <c r="B12761" s="1921" t="s">
        <v>3998</v>
      </c>
      <c r="C12761" s="2108">
        <v>32.741999999999997</v>
      </c>
      <c r="D12761" s="2597">
        <v>37.380000000000003</v>
      </c>
      <c r="E12761" s="2595">
        <v>0.14165292285138364</v>
      </c>
      <c r="F12761" s="2596">
        <v>2.8330584570276729E-3</v>
      </c>
      <c r="G12761" s="78"/>
      <c r="H12761" t="s">
        <v>4000</v>
      </c>
      <c r="K12761" s="434"/>
    </row>
    <row r="12762" spans="1:11" ht="12.75" hidden="1" customHeight="1" outlineLevel="1" x14ac:dyDescent="0.25">
      <c r="A12762" s="2380">
        <v>0.03</v>
      </c>
      <c r="B12762" s="1921" t="s">
        <v>805</v>
      </c>
      <c r="C12762" s="2108">
        <v>72.566000000000003</v>
      </c>
      <c r="D12762" s="2597">
        <v>102.22</v>
      </c>
      <c r="E12762" s="2595">
        <v>0.40864867844445052</v>
      </c>
      <c r="F12762" s="2596">
        <v>1.2259460353333515E-2</v>
      </c>
      <c r="G12762" s="78"/>
      <c r="H12762" t="s">
        <v>806</v>
      </c>
      <c r="K12762" s="434"/>
    </row>
    <row r="12763" spans="1:11" ht="12.75" hidden="1" customHeight="1" outlineLevel="1" x14ac:dyDescent="0.25">
      <c r="A12763" s="2380">
        <v>0.08</v>
      </c>
      <c r="B12763" s="1921" t="s">
        <v>807</v>
      </c>
      <c r="C12763" s="2108">
        <v>47.723999999999997</v>
      </c>
      <c r="D12763" s="2597">
        <v>63.94</v>
      </c>
      <c r="E12763" s="2595">
        <v>0.33978710921129829</v>
      </c>
      <c r="F12763" s="2596">
        <v>2.7182968736903863E-2</v>
      </c>
      <c r="G12763" s="78"/>
      <c r="H12763" t="s">
        <v>808</v>
      </c>
      <c r="K12763" s="434"/>
    </row>
    <row r="12764" spans="1:11" ht="12.75" hidden="1" customHeight="1" outlineLevel="1" x14ac:dyDescent="0.25">
      <c r="A12764" s="2380">
        <v>0.03</v>
      </c>
      <c r="B12764" s="1921" t="s">
        <v>1188</v>
      </c>
      <c r="C12764" s="2108">
        <v>478.55</v>
      </c>
      <c r="D12764" s="2597">
        <v>480.2</v>
      </c>
      <c r="E12764" s="2595">
        <v>3.4479155783093685E-3</v>
      </c>
      <c r="F12764" s="2596">
        <v>1.0343746734928105E-4</v>
      </c>
      <c r="G12764" s="78"/>
      <c r="H12764" t="s">
        <v>2746</v>
      </c>
      <c r="K12764" s="434"/>
    </row>
    <row r="12765" spans="1:11" ht="12.75" hidden="1" customHeight="1" outlineLevel="1" x14ac:dyDescent="0.25">
      <c r="A12765" s="2380">
        <v>0.02</v>
      </c>
      <c r="B12765" s="1921" t="s">
        <v>6078</v>
      </c>
      <c r="C12765" s="2108">
        <v>675.2</v>
      </c>
      <c r="D12765" s="2597">
        <v>575.6</v>
      </c>
      <c r="E12765" s="2595">
        <v>-0.14751184834123221</v>
      </c>
      <c r="F12765" s="2596">
        <v>-2.9502369668246444E-3</v>
      </c>
      <c r="G12765" s="78"/>
      <c r="H12765" t="s">
        <v>2354</v>
      </c>
      <c r="K12765" s="434"/>
    </row>
    <row r="12766" spans="1:11" ht="12.75" hidden="1" customHeight="1" outlineLevel="1" x14ac:dyDescent="0.25">
      <c r="A12766" s="2380">
        <v>0.08</v>
      </c>
      <c r="B12766" s="1921" t="s">
        <v>3954</v>
      </c>
      <c r="C12766" s="2108">
        <v>95.305999999999997</v>
      </c>
      <c r="D12766" s="2597">
        <v>115.46</v>
      </c>
      <c r="E12766" s="2595">
        <v>0.21146622458187303</v>
      </c>
      <c r="F12766" s="2596">
        <v>1.6917297966549841E-2</v>
      </c>
      <c r="G12766" s="78"/>
      <c r="H12766" t="s">
        <v>3955</v>
      </c>
      <c r="K12766" s="434"/>
    </row>
    <row r="12767" spans="1:11" ht="12.75" hidden="1" customHeight="1" outlineLevel="1" x14ac:dyDescent="0.25">
      <c r="A12767" s="2380">
        <v>0.08</v>
      </c>
      <c r="B12767" s="1921" t="s">
        <v>6158</v>
      </c>
      <c r="C12767" s="2108">
        <v>23.672000000000001</v>
      </c>
      <c r="D12767" s="2597">
        <v>24.56</v>
      </c>
      <c r="E12767" s="2595">
        <v>3.7512673200405411E-2</v>
      </c>
      <c r="F12767" s="2596">
        <v>3.0010138560324327E-3</v>
      </c>
      <c r="G12767" s="78"/>
      <c r="H12767" t="s">
        <v>6156</v>
      </c>
      <c r="K12767" s="434"/>
    </row>
    <row r="12768" spans="1:11" ht="12.75" hidden="1" customHeight="1" outlineLevel="1" x14ac:dyDescent="0.25">
      <c r="A12768" s="2380">
        <v>0.02</v>
      </c>
      <c r="B12768" s="1921" t="s">
        <v>6079</v>
      </c>
      <c r="C12768" s="2108">
        <v>54.393000000000001</v>
      </c>
      <c r="D12768" s="2597">
        <v>86.89</v>
      </c>
      <c r="E12768" s="2595">
        <v>0.59744820105528285</v>
      </c>
      <c r="F12768" s="2596">
        <v>1.1948964021105657E-2</v>
      </c>
      <c r="G12768" s="78"/>
      <c r="H12768" t="s">
        <v>1320</v>
      </c>
      <c r="K12768" s="434"/>
    </row>
    <row r="12769" spans="1:11" ht="12.75" hidden="1" customHeight="1" outlineLevel="1" x14ac:dyDescent="0.25">
      <c r="A12769" s="2380">
        <v>0.02</v>
      </c>
      <c r="B12769" s="1921" t="s">
        <v>6161</v>
      </c>
      <c r="C12769" s="2108">
        <v>9931.4</v>
      </c>
      <c r="D12769" s="2597">
        <v>13385</v>
      </c>
      <c r="E12769" s="2595">
        <v>0.34774553436574918</v>
      </c>
      <c r="F12769" s="2596">
        <v>6.9549106873149835E-3</v>
      </c>
      <c r="G12769" s="78"/>
      <c r="H12769" t="s">
        <v>6159</v>
      </c>
      <c r="K12769" s="434"/>
    </row>
    <row r="12770" spans="1:11" ht="12.75" hidden="1" customHeight="1" outlineLevel="1" x14ac:dyDescent="0.25">
      <c r="A12770" s="2380">
        <v>0.02</v>
      </c>
      <c r="B12770" s="1921" t="s">
        <v>3021</v>
      </c>
      <c r="C12770" s="2108">
        <v>17.388999999999999</v>
      </c>
      <c r="D12770" s="2597">
        <v>13.714</v>
      </c>
      <c r="E12770" s="2595">
        <v>-0.21134050261659665</v>
      </c>
      <c r="F12770" s="2596">
        <v>-4.2268100523319332E-3</v>
      </c>
      <c r="G12770" s="78"/>
      <c r="H12770" t="s">
        <v>4124</v>
      </c>
      <c r="K12770" s="434"/>
    </row>
    <row r="12771" spans="1:11" ht="12.75" hidden="1" customHeight="1" outlineLevel="1" x14ac:dyDescent="0.25">
      <c r="A12771" s="2380">
        <v>0.02</v>
      </c>
      <c r="B12771" s="1921" t="s">
        <v>6109</v>
      </c>
      <c r="C12771" s="2108">
        <v>63.865000000000002</v>
      </c>
      <c r="D12771" s="2597">
        <v>116.39</v>
      </c>
      <c r="E12771" s="2595">
        <v>0.82243795506145778</v>
      </c>
      <c r="F12771" s="2596">
        <v>1.6448759101229157E-2</v>
      </c>
      <c r="G12771" s="78"/>
      <c r="H12771" t="s">
        <v>5230</v>
      </c>
      <c r="K12771" s="434"/>
    </row>
    <row r="12772" spans="1:11" ht="12.75" hidden="1" customHeight="1" outlineLevel="1" x14ac:dyDescent="0.25">
      <c r="A12772" s="2380">
        <v>0.03</v>
      </c>
      <c r="B12772" s="1921" t="s">
        <v>7227</v>
      </c>
      <c r="C12772" s="2108">
        <v>19.222999999999999</v>
      </c>
      <c r="D12772" s="2597">
        <v>14.36</v>
      </c>
      <c r="E12772" s="2595">
        <v>-0.25297820319409037</v>
      </c>
      <c r="F12772" s="2596">
        <v>-7.5893460958227112E-3</v>
      </c>
      <c r="G12772" s="78"/>
      <c r="H12772" t="s">
        <v>7229</v>
      </c>
      <c r="K12772" s="434"/>
    </row>
    <row r="12773" spans="1:11" ht="12.75" hidden="1" customHeight="1" outlineLevel="1" x14ac:dyDescent="0.25">
      <c r="A12773" s="2380">
        <v>0.03</v>
      </c>
      <c r="B12773" s="1921" t="s">
        <v>1386</v>
      </c>
      <c r="C12773" s="2108">
        <v>1625.1072773264316</v>
      </c>
      <c r="D12773" s="2597">
        <v>1754</v>
      </c>
      <c r="E12773" s="2595">
        <v>7.9313362552666744E-2</v>
      </c>
      <c r="F12773" s="2596">
        <v>2.3794008765800024E-3</v>
      </c>
      <c r="G12773" s="78"/>
      <c r="H12773" t="s">
        <v>4128</v>
      </c>
      <c r="K12773" s="434"/>
    </row>
    <row r="12774" spans="1:11" ht="12.75" hidden="1" customHeight="1" outlineLevel="1" x14ac:dyDescent="0.25">
      <c r="A12774" s="2380">
        <v>0.02</v>
      </c>
      <c r="B12774" s="2225" t="s">
        <v>10139</v>
      </c>
      <c r="C12774" s="2108">
        <v>33.764342081696313</v>
      </c>
      <c r="D12774" s="2597">
        <v>34.880000000000003</v>
      </c>
      <c r="E12774" s="2595">
        <v>3.3042489488000149E-2</v>
      </c>
      <c r="F12774" s="2596">
        <v>6.6084978976000297E-4</v>
      </c>
      <c r="G12774" s="78"/>
      <c r="H12774" t="s">
        <v>10140</v>
      </c>
      <c r="K12774" s="434"/>
    </row>
    <row r="12775" spans="1:11" ht="12.75" hidden="1" customHeight="1" outlineLevel="1" x14ac:dyDescent="0.25">
      <c r="A12775" s="2380">
        <v>0.02</v>
      </c>
      <c r="B12775" s="1921" t="s">
        <v>6163</v>
      </c>
      <c r="C12775" s="2108">
        <v>58.334000000000003</v>
      </c>
      <c r="D12775" s="2597">
        <v>84.57</v>
      </c>
      <c r="E12775" s="2595">
        <v>0.44975485994445763</v>
      </c>
      <c r="F12775" s="2596">
        <v>8.9950971988891522E-3</v>
      </c>
      <c r="G12775" s="78"/>
      <c r="H12775" t="s">
        <v>9170</v>
      </c>
      <c r="K12775" s="434"/>
    </row>
    <row r="12776" spans="1:11" ht="12.75" hidden="1" customHeight="1" outlineLevel="1" x14ac:dyDescent="0.25">
      <c r="A12776" s="2380">
        <v>0.02</v>
      </c>
      <c r="B12776" s="1921" t="s">
        <v>1772</v>
      </c>
      <c r="C12776" s="2108">
        <v>151.19499999999999</v>
      </c>
      <c r="D12776" s="2597">
        <v>260.60000000000002</v>
      </c>
      <c r="E12776" s="2595">
        <v>0.72360197096464862</v>
      </c>
      <c r="F12776" s="2596">
        <v>1.4472039419292973E-2</v>
      </c>
      <c r="G12776" s="78"/>
      <c r="H12776" t="s">
        <v>4330</v>
      </c>
      <c r="K12776" s="434"/>
    </row>
    <row r="12777" spans="1:11" ht="12.75" hidden="1" customHeight="1" outlineLevel="1" x14ac:dyDescent="0.25">
      <c r="A12777" s="2380">
        <v>0.03</v>
      </c>
      <c r="B12777" s="1921" t="s">
        <v>6113</v>
      </c>
      <c r="C12777" s="2108">
        <v>829.35851217636639</v>
      </c>
      <c r="D12777" s="2597">
        <v>889.7</v>
      </c>
      <c r="E12777" s="2595">
        <v>7.2756819804366879E-2</v>
      </c>
      <c r="F12777" s="2596">
        <v>2.1827045941310063E-3</v>
      </c>
      <c r="G12777" s="78"/>
      <c r="H12777" t="s">
        <v>4195</v>
      </c>
      <c r="K12777" s="434"/>
    </row>
    <row r="12778" spans="1:11" ht="12.75" hidden="1" customHeight="1" outlineLevel="1" x14ac:dyDescent="0.25">
      <c r="A12778" s="2380">
        <v>0.02</v>
      </c>
      <c r="B12778" s="1921" t="s">
        <v>5775</v>
      </c>
      <c r="C12778" s="2108">
        <v>29.929808986088439</v>
      </c>
      <c r="D12778" s="2597">
        <v>34.03</v>
      </c>
      <c r="E12778" s="2595">
        <v>0.1369935576875001</v>
      </c>
      <c r="F12778" s="2596">
        <v>2.7398711537500019E-3</v>
      </c>
      <c r="G12778" s="78"/>
      <c r="H12778" t="s">
        <v>2770</v>
      </c>
      <c r="K12778" s="434"/>
    </row>
    <row r="12779" spans="1:11" ht="12.75" hidden="1" customHeight="1" outlineLevel="1" x14ac:dyDescent="0.25">
      <c r="A12779" s="2380">
        <v>0.08</v>
      </c>
      <c r="B12779" s="1921" t="s">
        <v>901</v>
      </c>
      <c r="C12779" s="2108">
        <v>22.272761158961679</v>
      </c>
      <c r="D12779" s="2597">
        <v>30.6</v>
      </c>
      <c r="E12779" s="2595">
        <v>0.37387546077500011</v>
      </c>
      <c r="F12779" s="2596">
        <v>2.9910036862000011E-2</v>
      </c>
      <c r="G12779" s="78"/>
      <c r="H12779" t="s">
        <v>531</v>
      </c>
      <c r="K12779" s="434"/>
    </row>
    <row r="12780" spans="1:11" ht="12.75" hidden="1" customHeight="1" outlineLevel="1" x14ac:dyDescent="0.25">
      <c r="A12780" s="2380">
        <v>0.03</v>
      </c>
      <c r="B12780" s="1921" t="s">
        <v>6164</v>
      </c>
      <c r="C12780" s="2108">
        <v>3.4393014749080613</v>
      </c>
      <c r="D12780" s="2597">
        <v>4.5120000000000005</v>
      </c>
      <c r="E12780" s="2595">
        <v>0.31189429973440008</v>
      </c>
      <c r="F12780" s="2596">
        <v>9.3568289920320027E-3</v>
      </c>
      <c r="G12780" s="78"/>
      <c r="H12780" t="s">
        <v>6114</v>
      </c>
      <c r="K12780" s="434"/>
    </row>
    <row r="12781" spans="1:11" ht="12.75" hidden="1" customHeight="1" outlineLevel="1" x14ac:dyDescent="0.25">
      <c r="A12781" s="2380">
        <v>0.03</v>
      </c>
      <c r="B12781" s="1921" t="s">
        <v>3427</v>
      </c>
      <c r="C12781" s="2108">
        <v>42.814</v>
      </c>
      <c r="D12781" s="2597">
        <v>61.99</v>
      </c>
      <c r="E12781" s="2595">
        <v>0.44789087681599482</v>
      </c>
      <c r="F12781" s="2596">
        <v>1.3436726304479844E-2</v>
      </c>
      <c r="G12781" s="78"/>
      <c r="H12781" t="s">
        <v>2800</v>
      </c>
      <c r="K12781" s="434"/>
    </row>
    <row r="12782" spans="1:11" ht="12.75" hidden="1" customHeight="1" outlineLevel="1" x14ac:dyDescent="0.25">
      <c r="A12782" s="2380">
        <v>0.03</v>
      </c>
      <c r="B12782" s="1921" t="s">
        <v>1857</v>
      </c>
      <c r="C12782" s="2108">
        <v>1433.2</v>
      </c>
      <c r="D12782" s="2597">
        <v>1300</v>
      </c>
      <c r="E12782" s="2595">
        <v>-9.2938878035166095E-2</v>
      </c>
      <c r="F12782" s="2596">
        <v>-2.7881663410549828E-3</v>
      </c>
      <c r="G12782" s="78"/>
      <c r="H12782" t="s">
        <v>3559</v>
      </c>
      <c r="K12782" s="434"/>
    </row>
    <row r="12783" spans="1:11" ht="12.75" hidden="1" customHeight="1" outlineLevel="1" x14ac:dyDescent="0.25">
      <c r="A12783" s="2380">
        <v>0.02</v>
      </c>
      <c r="B12783" s="1921" t="s">
        <v>3381</v>
      </c>
      <c r="C12783" s="2108">
        <v>163.66999999999999</v>
      </c>
      <c r="D12783" s="2597">
        <v>169.8</v>
      </c>
      <c r="E12783" s="2595">
        <v>3.7453412354127247E-2</v>
      </c>
      <c r="F12783" s="2596">
        <v>7.4906824708254494E-4</v>
      </c>
      <c r="G12783" s="78"/>
      <c r="H12783" t="s">
        <v>9199</v>
      </c>
      <c r="K12783" s="434"/>
    </row>
    <row r="12784" spans="1:11" ht="12.75" hidden="1" customHeight="1" outlineLevel="1" x14ac:dyDescent="0.25">
      <c r="A12784" s="2380">
        <v>0.03</v>
      </c>
      <c r="B12784" s="1921" t="s">
        <v>1239</v>
      </c>
      <c r="C12784" s="2108">
        <v>519.65</v>
      </c>
      <c r="D12784" s="2597">
        <v>517.6</v>
      </c>
      <c r="E12784" s="2595">
        <v>-3.9449629558355737E-3</v>
      </c>
      <c r="F12784" s="2596">
        <v>-1.1834888867506721E-4</v>
      </c>
      <c r="G12784" s="78"/>
      <c r="H12784" t="s">
        <v>8891</v>
      </c>
      <c r="K12784" s="434"/>
    </row>
    <row r="12785" spans="1:11" ht="12.75" hidden="1" customHeight="1" outlineLevel="1" x14ac:dyDescent="0.25">
      <c r="A12785" s="2380">
        <v>0.02</v>
      </c>
      <c r="B12785" s="1921" t="s">
        <v>5387</v>
      </c>
      <c r="C12785" s="2108">
        <v>36.158000000000001</v>
      </c>
      <c r="D12785" s="2597">
        <v>80.55</v>
      </c>
      <c r="E12785" s="2595">
        <v>1.2277227722772275</v>
      </c>
      <c r="F12785" s="2596">
        <v>2.4554455445544549E-2</v>
      </c>
      <c r="G12785" s="78"/>
      <c r="H12785" t="s">
        <v>5389</v>
      </c>
      <c r="K12785" s="434"/>
    </row>
    <row r="12786" spans="1:11" ht="12.75" hidden="1" customHeight="1" outlineLevel="1" x14ac:dyDescent="0.25">
      <c r="A12786" s="2380">
        <v>0.02</v>
      </c>
      <c r="B12786" s="1921" t="s">
        <v>6165</v>
      </c>
      <c r="C12786" s="2108">
        <v>48.140999999999998</v>
      </c>
      <c r="D12786" s="2597">
        <v>41.45</v>
      </c>
      <c r="E12786" s="2595">
        <v>-0.1389875573835192</v>
      </c>
      <c r="F12786" s="2596">
        <v>-2.7797511476703842E-3</v>
      </c>
      <c r="G12786" s="78"/>
      <c r="H12786" t="s">
        <v>7745</v>
      </c>
      <c r="K12786" s="434"/>
    </row>
    <row r="12787" spans="1:11" ht="12.75" hidden="1" customHeight="1" outlineLevel="1" x14ac:dyDescent="0.25">
      <c r="A12787" s="2380">
        <v>0.02</v>
      </c>
      <c r="B12787" s="1921" t="s">
        <v>3626</v>
      </c>
      <c r="C12787" s="2108">
        <v>51.405000000000001</v>
      </c>
      <c r="D12787" s="2597">
        <v>76.59</v>
      </c>
      <c r="E12787" s="2595">
        <v>0.48993288590604034</v>
      </c>
      <c r="F12787" s="2596">
        <v>9.7986577181208064E-3</v>
      </c>
      <c r="G12787" s="78"/>
      <c r="H12787" t="s">
        <v>7752</v>
      </c>
      <c r="K12787" s="434"/>
    </row>
    <row r="12788" spans="1:11" ht="12.75" hidden="1" customHeight="1" outlineLevel="1" x14ac:dyDescent="0.25">
      <c r="A12788" s="2380">
        <v>0.03</v>
      </c>
      <c r="B12788" s="1921" t="s">
        <v>6068</v>
      </c>
      <c r="C12788" s="2108">
        <v>46.530999999999999</v>
      </c>
      <c r="D12788" s="2597">
        <v>47.64</v>
      </c>
      <c r="E12788" s="2595">
        <v>2.3833573316713652E-2</v>
      </c>
      <c r="F12788" s="2596">
        <v>7.1500719950140957E-4</v>
      </c>
      <c r="G12788" s="78"/>
      <c r="H12788" t="s">
        <v>2805</v>
      </c>
      <c r="K12788" s="434"/>
    </row>
    <row r="12789" spans="1:11" ht="12.75" hidden="1" customHeight="1" outlineLevel="1" x14ac:dyDescent="0.25">
      <c r="A12789" s="2380">
        <v>0.08</v>
      </c>
      <c r="B12789" s="2109" t="s">
        <v>4550</v>
      </c>
      <c r="C12789" s="2108">
        <v>265.14999999999998</v>
      </c>
      <c r="D12789" s="2598">
        <v>392.3</v>
      </c>
      <c r="E12789" s="2595">
        <v>0.47953988308504636</v>
      </c>
      <c r="F12789" s="2596">
        <v>3.8363190646803706E-2</v>
      </c>
      <c r="G12789" s="78"/>
      <c r="H12789" t="s">
        <v>8889</v>
      </c>
      <c r="K12789" s="434"/>
    </row>
    <row r="12790" spans="1:11" ht="12.75" hidden="1" customHeight="1" outlineLevel="1" x14ac:dyDescent="0.25">
      <c r="A12790" s="2181" t="s">
        <v>2734</v>
      </c>
      <c r="B12790" s="2103"/>
      <c r="C12790" s="2599"/>
      <c r="D12790" s="2600"/>
      <c r="E12790" s="2601"/>
      <c r="F12790" s="2591">
        <v>0.25242769440017154</v>
      </c>
      <c r="G12790" s="78"/>
    </row>
    <row r="12791" spans="1:11" ht="12.75" hidden="1" customHeight="1" outlineLevel="1" x14ac:dyDescent="0.25">
      <c r="A12791" s="1956" t="s">
        <v>6138</v>
      </c>
      <c r="B12791" s="2185">
        <v>43252</v>
      </c>
      <c r="C12791" s="2602">
        <v>100</v>
      </c>
      <c r="D12791" s="2602">
        <v>118.04640000000001</v>
      </c>
      <c r="E12791" s="2603">
        <v>0.18046399999999996</v>
      </c>
      <c r="F12791" s="2604"/>
      <c r="G12791" s="78"/>
    </row>
    <row r="12792" spans="1:11" ht="12.75" hidden="1" customHeight="1" outlineLevel="1" x14ac:dyDescent="0.25">
      <c r="A12792" s="1956" t="s">
        <v>6139</v>
      </c>
      <c r="B12792" s="2185">
        <v>43282</v>
      </c>
      <c r="C12792" s="2602">
        <v>100</v>
      </c>
      <c r="D12792" s="2605">
        <v>121.6494</v>
      </c>
      <c r="E12792" s="2603">
        <v>0.21649399999999996</v>
      </c>
      <c r="F12792" s="2604"/>
      <c r="G12792" s="78"/>
    </row>
    <row r="12793" spans="1:11" ht="12.75" hidden="1" customHeight="1" outlineLevel="1" x14ac:dyDescent="0.25">
      <c r="A12793" s="1956" t="s">
        <v>6140</v>
      </c>
      <c r="B12793" s="2185">
        <v>43313</v>
      </c>
      <c r="C12793" s="2602">
        <v>100</v>
      </c>
      <c r="D12793" s="2605">
        <v>118.52500000000001</v>
      </c>
      <c r="E12793" s="2603">
        <v>0.18525000000000014</v>
      </c>
      <c r="F12793" s="2604"/>
      <c r="G12793" s="78"/>
    </row>
    <row r="12794" spans="1:11" ht="12.75" hidden="1" customHeight="1" outlineLevel="1" x14ac:dyDescent="0.25">
      <c r="A12794" s="1956" t="s">
        <v>6141</v>
      </c>
      <c r="B12794" s="2185">
        <v>43344</v>
      </c>
      <c r="C12794" s="2602">
        <v>100</v>
      </c>
      <c r="D12794" s="2605">
        <v>117.7901</v>
      </c>
      <c r="E12794" s="2603">
        <v>0.17790099999999986</v>
      </c>
      <c r="F12794" s="2604"/>
      <c r="G12794" s="78"/>
    </row>
    <row r="12795" spans="1:11" ht="12.75" hidden="1" customHeight="1" outlineLevel="1" x14ac:dyDescent="0.25">
      <c r="A12795" s="1956" t="s">
        <v>6142</v>
      </c>
      <c r="B12795" s="2185">
        <v>43374</v>
      </c>
      <c r="C12795" s="2602">
        <v>100</v>
      </c>
      <c r="D12795" s="2605">
        <v>115.29259999999999</v>
      </c>
      <c r="E12795" s="2603">
        <v>0.1529259999999999</v>
      </c>
      <c r="F12795" s="2604"/>
      <c r="G12795" s="78"/>
    </row>
    <row r="12796" spans="1:11" ht="12.75" hidden="1" customHeight="1" outlineLevel="1" x14ac:dyDescent="0.25">
      <c r="A12796" s="1956" t="s">
        <v>6143</v>
      </c>
      <c r="B12796" s="2185">
        <v>43405</v>
      </c>
      <c r="C12796" s="2602">
        <v>100</v>
      </c>
      <c r="D12796" s="2605">
        <v>114.54219999999999</v>
      </c>
      <c r="E12796" s="2603">
        <v>0.14542199999999994</v>
      </c>
      <c r="F12796" s="2604"/>
      <c r="G12796" s="78"/>
    </row>
    <row r="12797" spans="1:11" ht="12.75" hidden="1" customHeight="1" outlineLevel="1" x14ac:dyDescent="0.25">
      <c r="A12797" s="1956" t="s">
        <v>6144</v>
      </c>
      <c r="B12797" s="2185">
        <v>43435</v>
      </c>
      <c r="C12797" s="2602">
        <v>100</v>
      </c>
      <c r="D12797" s="2605">
        <v>108.5665</v>
      </c>
      <c r="E12797" s="2603">
        <v>8.5665000000000102E-2</v>
      </c>
      <c r="F12797" s="2604"/>
      <c r="G12797" s="78"/>
    </row>
    <row r="12798" spans="1:11" ht="12.75" hidden="1" customHeight="1" outlineLevel="1" x14ac:dyDescent="0.25">
      <c r="A12798" s="1956" t="s">
        <v>6145</v>
      </c>
      <c r="B12798" s="2185">
        <v>43466</v>
      </c>
      <c r="C12798" s="2602">
        <v>100</v>
      </c>
      <c r="D12798" s="2605">
        <v>115.62479999999999</v>
      </c>
      <c r="E12798" s="2603">
        <v>0.15624799999999994</v>
      </c>
      <c r="F12798" s="2604"/>
      <c r="G12798" s="78"/>
    </row>
    <row r="12799" spans="1:11" ht="12.75" hidden="1" customHeight="1" outlineLevel="1" x14ac:dyDescent="0.25">
      <c r="A12799" s="1956" t="s">
        <v>6146</v>
      </c>
      <c r="B12799" s="2185">
        <v>43497</v>
      </c>
      <c r="C12799" s="2602">
        <v>100</v>
      </c>
      <c r="D12799" s="2605">
        <v>118.0976</v>
      </c>
      <c r="E12799" s="2603">
        <v>0.18097600000000003</v>
      </c>
      <c r="F12799" s="2604"/>
      <c r="G12799" s="78"/>
    </row>
    <row r="12800" spans="1:11" ht="12.75" hidden="1" customHeight="1" outlineLevel="1" x14ac:dyDescent="0.25">
      <c r="A12800" s="1956" t="s">
        <v>6147</v>
      </c>
      <c r="B12800" s="2185">
        <v>43525</v>
      </c>
      <c r="C12800" s="2602">
        <v>100</v>
      </c>
      <c r="D12800" s="2605">
        <v>120.50879999999999</v>
      </c>
      <c r="E12800" s="2603">
        <v>0.20508799999999994</v>
      </c>
      <c r="F12800" s="2604"/>
      <c r="G12800" s="78"/>
    </row>
    <row r="12801" spans="1:10" ht="12.75" hidden="1" customHeight="1" outlineLevel="1" x14ac:dyDescent="0.25">
      <c r="A12801" s="1956" t="s">
        <v>6148</v>
      </c>
      <c r="B12801" s="2185">
        <v>43556</v>
      </c>
      <c r="C12801" s="2602">
        <v>100</v>
      </c>
      <c r="D12801" s="2605">
        <v>120.7282</v>
      </c>
      <c r="E12801" s="2603">
        <v>0.20728199999999997</v>
      </c>
      <c r="F12801" s="2604"/>
      <c r="G12801" s="78"/>
    </row>
    <row r="12802" spans="1:10" ht="12.75" hidden="1" customHeight="1" outlineLevel="1" x14ac:dyDescent="0.25">
      <c r="A12802" s="1956" t="s">
        <v>6149</v>
      </c>
      <c r="B12802" s="2185">
        <v>43586</v>
      </c>
      <c r="C12802" s="2602">
        <v>100</v>
      </c>
      <c r="D12802" s="2605">
        <v>116.4122</v>
      </c>
      <c r="E12802" s="2603">
        <v>0.16412199999999988</v>
      </c>
      <c r="F12802" s="2604"/>
      <c r="G12802" s="78"/>
    </row>
    <row r="12803" spans="1:10" ht="12.75" hidden="1" customHeight="1" outlineLevel="1" x14ac:dyDescent="0.25">
      <c r="A12803" s="1956" t="s">
        <v>6150</v>
      </c>
      <c r="B12803" s="2185">
        <v>43617</v>
      </c>
      <c r="C12803" s="2602">
        <v>100</v>
      </c>
      <c r="D12803" s="2605">
        <v>118.5153</v>
      </c>
      <c r="E12803" s="2603">
        <v>0.1851529999999999</v>
      </c>
      <c r="F12803" s="2604"/>
      <c r="G12803" s="78"/>
    </row>
    <row r="12804" spans="1:10" ht="12.75" hidden="1" customHeight="1" outlineLevel="1" x14ac:dyDescent="0.25">
      <c r="A12804" s="1956" t="s">
        <v>6151</v>
      </c>
      <c r="B12804" s="2185">
        <v>43647</v>
      </c>
      <c r="C12804" s="2602">
        <v>100</v>
      </c>
      <c r="D12804" s="2605">
        <v>119.60769999999999</v>
      </c>
      <c r="E12804" s="2603">
        <v>0.19607699999999983</v>
      </c>
      <c r="F12804" s="2604"/>
      <c r="G12804" s="78"/>
    </row>
    <row r="12805" spans="1:10" ht="12.75" hidden="1" customHeight="1" outlineLevel="1" x14ac:dyDescent="0.25">
      <c r="A12805" s="1956" t="s">
        <v>6152</v>
      </c>
      <c r="B12805" s="2185">
        <v>43678</v>
      </c>
      <c r="C12805" s="2602">
        <v>100</v>
      </c>
      <c r="D12805" s="2605">
        <v>120.2929</v>
      </c>
      <c r="E12805" s="2603">
        <v>0.20292900000000014</v>
      </c>
      <c r="F12805" s="2604"/>
      <c r="G12805" s="78"/>
    </row>
    <row r="12806" spans="1:10" ht="12.75" hidden="1" customHeight="1" outlineLevel="1" x14ac:dyDescent="0.25">
      <c r="A12806" s="1956" t="s">
        <v>6153</v>
      </c>
      <c r="B12806" s="2185">
        <v>43709</v>
      </c>
      <c r="C12806" s="2602">
        <v>100</v>
      </c>
      <c r="D12806" s="2605">
        <v>126.61499999999999</v>
      </c>
      <c r="E12806" s="2603">
        <v>0.26614999999999989</v>
      </c>
      <c r="F12806" s="2604"/>
      <c r="G12806" s="78"/>
      <c r="J12806" s="31"/>
    </row>
    <row r="12807" spans="1:10" ht="12.75" hidden="1" customHeight="1" outlineLevel="1" x14ac:dyDescent="0.25">
      <c r="A12807" s="1956" t="s">
        <v>6154</v>
      </c>
      <c r="B12807" s="2185">
        <v>43739</v>
      </c>
      <c r="C12807" s="2602">
        <v>100</v>
      </c>
      <c r="D12807" s="2605">
        <v>125.84</v>
      </c>
      <c r="E12807" s="2603">
        <v>0.25839999999999996</v>
      </c>
      <c r="F12807" s="2604"/>
      <c r="G12807" s="78"/>
    </row>
    <row r="12808" spans="1:10" ht="12.75" hidden="1" customHeight="1" outlineLevel="1" x14ac:dyDescent="0.25">
      <c r="A12808" s="1956" t="s">
        <v>6155</v>
      </c>
      <c r="B12808" s="2185">
        <v>43770</v>
      </c>
      <c r="C12808" s="2602">
        <v>100</v>
      </c>
      <c r="D12808" s="2605">
        <v>125.3075</v>
      </c>
      <c r="E12808" s="2603">
        <v>0.25307499999999994</v>
      </c>
      <c r="F12808" s="2604"/>
      <c r="G12808" s="78"/>
    </row>
    <row r="12809" spans="1:10" ht="12.75" hidden="1" customHeight="1" outlineLevel="1" x14ac:dyDescent="0.25">
      <c r="A12809" s="2189" t="s">
        <v>2734</v>
      </c>
      <c r="B12809" s="2190"/>
      <c r="C12809" s="2605"/>
      <c r="D12809" s="2191" t="s">
        <v>2465</v>
      </c>
      <c r="E12809" s="1987">
        <v>0.18997899999999993</v>
      </c>
      <c r="F12809" s="2192">
        <v>0.18997899999999993</v>
      </c>
      <c r="G12809" s="78"/>
    </row>
    <row r="12810" spans="1:10" collapsed="1" x14ac:dyDescent="0.25">
      <c r="A12810" s="3801" t="s">
        <v>6119</v>
      </c>
      <c r="B12810" s="3802"/>
      <c r="C12810" s="3802"/>
      <c r="D12810" s="3802"/>
      <c r="E12810" s="1906"/>
      <c r="F12810" s="1907">
        <v>0.11398739999999995</v>
      </c>
      <c r="G12810" s="78"/>
    </row>
    <row r="12811" spans="1:10" x14ac:dyDescent="0.25">
      <c r="A12811" t="s">
        <v>2734</v>
      </c>
    </row>
    <row r="12812" spans="1:10" hidden="1" outlineLevel="1" x14ac:dyDescent="0.25">
      <c r="A12812" s="689" t="s">
        <v>113</v>
      </c>
      <c r="B12812" s="689" t="s">
        <v>114</v>
      </c>
      <c r="C12812" s="495" t="s">
        <v>112</v>
      </c>
      <c r="D12812" s="495" t="s">
        <v>4155</v>
      </c>
      <c r="E12812" s="495" t="s">
        <v>116</v>
      </c>
      <c r="F12812" s="1188" t="s">
        <v>121</v>
      </c>
      <c r="G12812" s="78"/>
    </row>
    <row r="12813" spans="1:10" hidden="1" outlineLevel="1" x14ac:dyDescent="0.25">
      <c r="A12813" s="753" t="s">
        <v>1327</v>
      </c>
      <c r="B12813" s="799" t="s">
        <v>2153</v>
      </c>
      <c r="C12813" s="3808">
        <v>3073.13</v>
      </c>
      <c r="D12813" s="3808">
        <f>VLOOKUP(B12813,indexy!A:D,2,0)</f>
        <v>5083.42</v>
      </c>
      <c r="E12813" s="1145">
        <v>3591.8939999999998</v>
      </c>
      <c r="F12813" s="700">
        <f>IF(E12813="",D12813/C12813-1,E12813/C12813-1)</f>
        <v>0.16880639608477344</v>
      </c>
      <c r="G12813" s="78"/>
    </row>
    <row r="12814" spans="1:10" hidden="1" outlineLevel="1" x14ac:dyDescent="0.25">
      <c r="A12814" s="732" t="s">
        <v>6006</v>
      </c>
      <c r="B12814" s="1092" t="s">
        <v>2153</v>
      </c>
      <c r="C12814" s="3810"/>
      <c r="D12814" s="3810"/>
      <c r="E12814" s="1263"/>
      <c r="F12814" s="700">
        <f>IF(E12813="","",IF(E12814="",D12813/C12813-1,E12814/C12813-1))</f>
        <v>0.65415065421898833</v>
      </c>
      <c r="G12814" s="78"/>
    </row>
    <row r="12815" spans="1:10" hidden="1" outlineLevel="1" x14ac:dyDescent="0.25">
      <c r="A12815" s="732" t="s">
        <v>2734</v>
      </c>
      <c r="B12815" s="852"/>
      <c r="C12815" s="806"/>
      <c r="D12815" s="806"/>
      <c r="E12815" s="807"/>
      <c r="F12815" s="700">
        <f>IF(F12814="","",IF(F12814&gt;80%,80%,IF(F12814&gt;0%,F12814*parametry!N418,IF(F12814&lt;-20%,F12814,0%))))</f>
        <v>0.49061299066424124</v>
      </c>
      <c r="G12815" s="78"/>
    </row>
    <row r="12816" spans="1:10" collapsed="1" x14ac:dyDescent="0.25">
      <c r="A12816" s="3801" t="s">
        <v>6166</v>
      </c>
      <c r="B12816" s="3802"/>
      <c r="C12816" s="3802"/>
      <c r="D12816" s="3802"/>
      <c r="E12816" s="729"/>
      <c r="F12816" s="752">
        <f>IF(E12813="",IF(F12813&gt;0%,7%,F12813),IF(F12815&gt;0%,7%,F12815))</f>
        <v>7.0000000000000007E-2</v>
      </c>
      <c r="G12816" s="175" t="s">
        <v>781</v>
      </c>
    </row>
    <row r="12817" spans="1:11" x14ac:dyDescent="0.25">
      <c r="A12817" t="s">
        <v>2734</v>
      </c>
    </row>
    <row r="12818" spans="1:11" ht="12.75" hidden="1" customHeight="1" outlineLevel="1" x14ac:dyDescent="0.25">
      <c r="A12818" s="2357" t="s">
        <v>113</v>
      </c>
      <c r="B12818" s="2357" t="s">
        <v>114</v>
      </c>
      <c r="C12818" s="2357" t="s">
        <v>112</v>
      </c>
      <c r="D12818" s="2357" t="s">
        <v>116</v>
      </c>
      <c r="E12818" s="2357" t="s">
        <v>117</v>
      </c>
      <c r="F12818" s="2358" t="s">
        <v>121</v>
      </c>
      <c r="G12818" s="78"/>
    </row>
    <row r="12819" spans="1:11" ht="12.75" hidden="1" customHeight="1" outlineLevel="1" x14ac:dyDescent="0.25">
      <c r="A12819" s="2359">
        <v>1</v>
      </c>
      <c r="B12819" s="2360" t="s">
        <v>252</v>
      </c>
      <c r="C12819" s="2361">
        <v>100</v>
      </c>
      <c r="D12819" s="2361"/>
      <c r="E12819" s="2362"/>
      <c r="F12819" s="2363"/>
      <c r="G12819" s="78"/>
    </row>
    <row r="12820" spans="1:11" ht="12.75" hidden="1" customHeight="1" outlineLevel="1" x14ac:dyDescent="0.25">
      <c r="A12820" s="2364" t="s">
        <v>2734</v>
      </c>
      <c r="B12820" s="2364"/>
      <c r="C12820" s="2365"/>
      <c r="D12820" s="1900" t="s">
        <v>3702</v>
      </c>
      <c r="E12820" s="2366">
        <v>43662</v>
      </c>
      <c r="F12820" s="2367"/>
      <c r="G12820" s="78"/>
    </row>
    <row r="12821" spans="1:11" ht="12.75" hidden="1" customHeight="1" outlineLevel="1" x14ac:dyDescent="0.25">
      <c r="A12821" s="2357" t="s">
        <v>4156</v>
      </c>
      <c r="B12821" s="2357" t="s">
        <v>4153</v>
      </c>
      <c r="C12821" s="2369" t="s">
        <v>112</v>
      </c>
      <c r="D12821" s="2368" t="s">
        <v>4155</v>
      </c>
      <c r="E12821" s="2357" t="s">
        <v>4154</v>
      </c>
      <c r="F12821" s="2370" t="s">
        <v>2519</v>
      </c>
      <c r="G12821" s="78"/>
    </row>
    <row r="12822" spans="1:11" ht="12.75" hidden="1" customHeight="1" outlineLevel="1" x14ac:dyDescent="0.25">
      <c r="A12822" s="1991">
        <v>0.02</v>
      </c>
      <c r="B12822" s="1921" t="s">
        <v>1317</v>
      </c>
      <c r="C12822" s="2108">
        <v>49.49</v>
      </c>
      <c r="D12822" s="2371">
        <v>90.51</v>
      </c>
      <c r="E12822" s="2372">
        <v>0.82885431400282883</v>
      </c>
      <c r="F12822" s="2370">
        <v>1.6577086280056576E-2</v>
      </c>
      <c r="G12822" s="78"/>
      <c r="H12822" t="s">
        <v>1318</v>
      </c>
      <c r="K12822" s="434"/>
    </row>
    <row r="12823" spans="1:11" ht="12.75" hidden="1" customHeight="1" outlineLevel="1" x14ac:dyDescent="0.25">
      <c r="A12823" s="1997">
        <v>0.02</v>
      </c>
      <c r="B12823" s="1921" t="s">
        <v>3998</v>
      </c>
      <c r="C12823" s="2108">
        <v>32.741999999999997</v>
      </c>
      <c r="D12823" s="2373">
        <v>33.58</v>
      </c>
      <c r="E12823" s="2374">
        <v>2.5594038238348382E-2</v>
      </c>
      <c r="F12823" s="2375">
        <v>5.1188076476696767E-4</v>
      </c>
      <c r="G12823" s="78"/>
      <c r="H12823" t="s">
        <v>4000</v>
      </c>
      <c r="K12823" s="434"/>
    </row>
    <row r="12824" spans="1:11" ht="12.75" hidden="1" customHeight="1" outlineLevel="1" x14ac:dyDescent="0.25">
      <c r="A12824" s="1997">
        <v>0.03</v>
      </c>
      <c r="B12824" s="1921" t="s">
        <v>805</v>
      </c>
      <c r="C12824" s="2108">
        <v>72.566000000000003</v>
      </c>
      <c r="D12824" s="2373">
        <v>99.43</v>
      </c>
      <c r="E12824" s="2374">
        <v>0.37020092054130038</v>
      </c>
      <c r="F12824" s="2375">
        <v>1.110602761623901E-2</v>
      </c>
      <c r="G12824" s="78"/>
      <c r="H12824" t="s">
        <v>806</v>
      </c>
      <c r="K12824" s="434"/>
    </row>
    <row r="12825" spans="1:11" ht="12.75" hidden="1" customHeight="1" outlineLevel="1" x14ac:dyDescent="0.25">
      <c r="A12825" s="1997">
        <v>0.08</v>
      </c>
      <c r="B12825" s="1921" t="s">
        <v>807</v>
      </c>
      <c r="C12825" s="2108">
        <v>47.723999999999997</v>
      </c>
      <c r="D12825" s="2373">
        <v>60</v>
      </c>
      <c r="E12825" s="2374">
        <v>0.25722906713603222</v>
      </c>
      <c r="F12825" s="2375">
        <v>2.057832537088258E-2</v>
      </c>
      <c r="G12825" s="78"/>
      <c r="H12825" t="s">
        <v>808</v>
      </c>
      <c r="K12825" s="434"/>
    </row>
    <row r="12826" spans="1:11" ht="12.75" hidden="1" customHeight="1" outlineLevel="1" x14ac:dyDescent="0.25">
      <c r="A12826" s="1997">
        <v>0.03</v>
      </c>
      <c r="B12826" s="1921" t="s">
        <v>1188</v>
      </c>
      <c r="C12826" s="2108">
        <v>478.55</v>
      </c>
      <c r="D12826" s="2373">
        <v>543.6</v>
      </c>
      <c r="E12826" s="2374">
        <v>0.1359314596175949</v>
      </c>
      <c r="F12826" s="2375">
        <v>4.0779437885278469E-3</v>
      </c>
      <c r="G12826" s="78"/>
      <c r="H12826" t="s">
        <v>2746</v>
      </c>
      <c r="K12826" s="434"/>
    </row>
    <row r="12827" spans="1:11" ht="12.75" hidden="1" customHeight="1" outlineLevel="1" x14ac:dyDescent="0.25">
      <c r="A12827" s="1997">
        <v>0.02</v>
      </c>
      <c r="B12827" s="1921" t="s">
        <v>6078</v>
      </c>
      <c r="C12827" s="2108">
        <v>675.2</v>
      </c>
      <c r="D12827" s="2373">
        <v>536.6</v>
      </c>
      <c r="E12827" s="2374">
        <v>-0.20527251184834128</v>
      </c>
      <c r="F12827" s="2375">
        <v>-4.1054502369668256E-3</v>
      </c>
      <c r="G12827" s="78"/>
      <c r="H12827" t="s">
        <v>2354</v>
      </c>
      <c r="K12827" s="434"/>
    </row>
    <row r="12828" spans="1:11" ht="12.75" hidden="1" customHeight="1" outlineLevel="1" x14ac:dyDescent="0.25">
      <c r="A12828" s="1997">
        <v>0.08</v>
      </c>
      <c r="B12828" s="1921" t="s">
        <v>3954</v>
      </c>
      <c r="C12828" s="2108">
        <v>95.305999999999997</v>
      </c>
      <c r="D12828" s="2373">
        <v>102.34</v>
      </c>
      <c r="E12828" s="2374">
        <v>7.3804377478857708E-2</v>
      </c>
      <c r="F12828" s="2375">
        <v>5.904350198308617E-3</v>
      </c>
      <c r="G12828" s="78"/>
      <c r="H12828" t="s">
        <v>3955</v>
      </c>
      <c r="K12828" s="434"/>
    </row>
    <row r="12829" spans="1:11" ht="12.75" hidden="1" customHeight="1" outlineLevel="1" x14ac:dyDescent="0.25">
      <c r="A12829" s="1997">
        <v>0.08</v>
      </c>
      <c r="B12829" s="1921" t="s">
        <v>6158</v>
      </c>
      <c r="C12829" s="2108">
        <v>23.672000000000001</v>
      </c>
      <c r="D12829" s="2373">
        <v>28.9</v>
      </c>
      <c r="E12829" s="2374">
        <v>0.22085163906725236</v>
      </c>
      <c r="F12829" s="2375">
        <v>1.7668131125380189E-2</v>
      </c>
      <c r="G12829" s="78"/>
      <c r="H12829" t="s">
        <v>6156</v>
      </c>
      <c r="K12829" s="434"/>
    </row>
    <row r="12830" spans="1:11" ht="12.75" hidden="1" customHeight="1" outlineLevel="1" x14ac:dyDescent="0.25">
      <c r="A12830" s="1997">
        <v>0.02</v>
      </c>
      <c r="B12830" s="1921" t="s">
        <v>6079</v>
      </c>
      <c r="C12830" s="2108">
        <v>54.393000000000001</v>
      </c>
      <c r="D12830" s="2373">
        <v>87.82</v>
      </c>
      <c r="E12830" s="2374">
        <v>0.61454598937363247</v>
      </c>
      <c r="F12830" s="2375">
        <v>1.229091978747265E-2</v>
      </c>
      <c r="G12830" s="78"/>
      <c r="H12830" t="s">
        <v>1320</v>
      </c>
      <c r="K12830" s="434"/>
    </row>
    <row r="12831" spans="1:11" ht="12.75" hidden="1" customHeight="1" outlineLevel="1" x14ac:dyDescent="0.25">
      <c r="A12831" s="1997">
        <v>0.02</v>
      </c>
      <c r="B12831" s="1921" t="s">
        <v>6161</v>
      </c>
      <c r="C12831" s="2108">
        <v>9931.4</v>
      </c>
      <c r="D12831" s="2373">
        <v>14350</v>
      </c>
      <c r="E12831" s="2374">
        <v>0.44491209698531931</v>
      </c>
      <c r="F12831" s="2375">
        <v>8.8982419397063868E-3</v>
      </c>
      <c r="G12831" s="78"/>
      <c r="H12831" t="s">
        <v>6159</v>
      </c>
      <c r="K12831" s="434"/>
    </row>
    <row r="12832" spans="1:11" ht="12.75" hidden="1" customHeight="1" outlineLevel="1" x14ac:dyDescent="0.25">
      <c r="A12832" s="1997">
        <v>0.02</v>
      </c>
      <c r="B12832" s="1921" t="s">
        <v>3021</v>
      </c>
      <c r="C12832" s="2108">
        <v>17.388999999999999</v>
      </c>
      <c r="D12832" s="2373">
        <v>14.666</v>
      </c>
      <c r="E12832" s="2374">
        <v>-0.15659324860544022</v>
      </c>
      <c r="F12832" s="2375">
        <v>-3.1318649721088043E-3</v>
      </c>
      <c r="G12832" s="78"/>
      <c r="H12832" t="s">
        <v>4124</v>
      </c>
      <c r="K12832" s="434"/>
    </row>
    <row r="12833" spans="1:11" ht="12.75" hidden="1" customHeight="1" outlineLevel="1" x14ac:dyDescent="0.25">
      <c r="A12833" s="1997">
        <v>0.02</v>
      </c>
      <c r="B12833" s="1921" t="s">
        <v>6109</v>
      </c>
      <c r="C12833" s="2108">
        <v>63.865000000000002</v>
      </c>
      <c r="D12833" s="2373">
        <v>104.88</v>
      </c>
      <c r="E12833" s="2374">
        <v>0.64221404525170267</v>
      </c>
      <c r="F12833" s="2375">
        <v>1.2844280905034054E-2</v>
      </c>
      <c r="G12833" s="78"/>
      <c r="H12833" t="s">
        <v>5230</v>
      </c>
      <c r="K12833" s="434"/>
    </row>
    <row r="12834" spans="1:11" ht="12.75" hidden="1" customHeight="1" outlineLevel="1" x14ac:dyDescent="0.25">
      <c r="A12834" s="1997">
        <v>0.03</v>
      </c>
      <c r="B12834" s="1921" t="s">
        <v>7227</v>
      </c>
      <c r="C12834" s="2108">
        <v>19.222999999999999</v>
      </c>
      <c r="D12834" s="2373">
        <v>13.765000000000001</v>
      </c>
      <c r="E12834" s="2374">
        <v>-0.28393070800603437</v>
      </c>
      <c r="F12834" s="2375">
        <v>-8.5179212401810308E-3</v>
      </c>
      <c r="G12834" s="78"/>
      <c r="H12834" t="s">
        <v>7229</v>
      </c>
      <c r="K12834" s="434"/>
    </row>
    <row r="12835" spans="1:11" ht="12.75" hidden="1" customHeight="1" outlineLevel="1" x14ac:dyDescent="0.25">
      <c r="A12835" s="1997">
        <v>0.03</v>
      </c>
      <c r="B12835" s="1921" t="s">
        <v>1386</v>
      </c>
      <c r="C12835" s="2108">
        <v>1625.1072773264316</v>
      </c>
      <c r="D12835" s="2373">
        <v>1665</v>
      </c>
      <c r="E12835" s="2374">
        <v>2.4547747234999973E-2</v>
      </c>
      <c r="F12835" s="2375">
        <v>7.3643241704999911E-4</v>
      </c>
      <c r="G12835" s="78"/>
      <c r="H12835" t="s">
        <v>4128</v>
      </c>
      <c r="K12835" s="434"/>
    </row>
    <row r="12836" spans="1:11" ht="12.75" hidden="1" customHeight="1" outlineLevel="1" x14ac:dyDescent="0.25">
      <c r="A12836" s="1997">
        <v>0.02</v>
      </c>
      <c r="B12836" s="2225" t="s">
        <v>6530</v>
      </c>
      <c r="C12836" s="2108">
        <v>33.764342081696313</v>
      </c>
      <c r="D12836" s="2373">
        <v>32.270000000000003</v>
      </c>
      <c r="E12836" s="2374">
        <v>-4.4257994960499869E-2</v>
      </c>
      <c r="F12836" s="2375">
        <v>-8.8515989920999742E-4</v>
      </c>
      <c r="G12836" s="78"/>
      <c r="H12836" t="s">
        <v>6162</v>
      </c>
      <c r="K12836" s="434"/>
    </row>
    <row r="12837" spans="1:11" ht="12.75" hidden="1" customHeight="1" outlineLevel="1" x14ac:dyDescent="0.25">
      <c r="A12837" s="1997">
        <v>0.02</v>
      </c>
      <c r="B12837" s="1921" t="s">
        <v>6163</v>
      </c>
      <c r="C12837" s="2108">
        <v>58.334000000000003</v>
      </c>
      <c r="D12837" s="2373">
        <v>84.65</v>
      </c>
      <c r="E12837" s="2374">
        <v>0.45112627284259621</v>
      </c>
      <c r="F12837" s="2375">
        <v>9.0225254568519243E-3</v>
      </c>
      <c r="G12837" s="78"/>
      <c r="H12837" t="s">
        <v>9170</v>
      </c>
      <c r="K12837" s="434"/>
    </row>
    <row r="12838" spans="1:11" ht="12.75" hidden="1" customHeight="1" outlineLevel="1" x14ac:dyDescent="0.25">
      <c r="A12838" s="1997">
        <v>0.02</v>
      </c>
      <c r="B12838" s="1921" t="s">
        <v>1772</v>
      </c>
      <c r="C12838" s="2108">
        <v>151.19499999999999</v>
      </c>
      <c r="D12838" s="2373">
        <v>223.5</v>
      </c>
      <c r="E12838" s="2374">
        <v>0.47822348622639654</v>
      </c>
      <c r="F12838" s="2375">
        <v>9.5644697245279315E-3</v>
      </c>
      <c r="G12838" s="78"/>
      <c r="H12838" t="s">
        <v>4330</v>
      </c>
      <c r="K12838" s="434"/>
    </row>
    <row r="12839" spans="1:11" ht="12.75" hidden="1" customHeight="1" outlineLevel="1" x14ac:dyDescent="0.25">
      <c r="A12839" s="1997">
        <v>0.03</v>
      </c>
      <c r="B12839" s="1921" t="s">
        <v>6113</v>
      </c>
      <c r="C12839" s="2108">
        <v>829.35851217636639</v>
      </c>
      <c r="D12839" s="2373">
        <v>830</v>
      </c>
      <c r="E12839" s="2374">
        <v>7.7347469666677604E-4</v>
      </c>
      <c r="F12839" s="2375">
        <v>2.3204240900003281E-5</v>
      </c>
      <c r="G12839" s="78"/>
      <c r="H12839" t="s">
        <v>4195</v>
      </c>
      <c r="K12839" s="434"/>
    </row>
    <row r="12840" spans="1:11" ht="12.75" hidden="1" customHeight="1" outlineLevel="1" x14ac:dyDescent="0.25">
      <c r="A12840" s="1997">
        <v>0.02</v>
      </c>
      <c r="B12840" s="1921" t="s">
        <v>5775</v>
      </c>
      <c r="C12840" s="2108">
        <v>29.929808986088439</v>
      </c>
      <c r="D12840" s="2373">
        <v>30.36</v>
      </c>
      <c r="E12840" s="2374">
        <v>1.4373329749999941E-2</v>
      </c>
      <c r="F12840" s="2375">
        <v>2.8746659499999882E-4</v>
      </c>
      <c r="G12840" s="78"/>
      <c r="H12840" t="s">
        <v>2770</v>
      </c>
      <c r="K12840" s="434"/>
    </row>
    <row r="12841" spans="1:11" ht="12.75" hidden="1" customHeight="1" outlineLevel="1" x14ac:dyDescent="0.25">
      <c r="A12841" s="1997">
        <v>0.08</v>
      </c>
      <c r="B12841" s="1921" t="s">
        <v>901</v>
      </c>
      <c r="C12841" s="2108">
        <v>22.272761158961679</v>
      </c>
      <c r="D12841" s="2373">
        <v>29.515000000000001</v>
      </c>
      <c r="E12841" s="2374">
        <v>0.32516124917562506</v>
      </c>
      <c r="F12841" s="2375">
        <v>2.6012899934050007E-2</v>
      </c>
      <c r="G12841" s="78"/>
      <c r="H12841" t="s">
        <v>531</v>
      </c>
      <c r="K12841" s="434"/>
    </row>
    <row r="12842" spans="1:11" ht="12.75" hidden="1" customHeight="1" outlineLevel="1" x14ac:dyDescent="0.25">
      <c r="A12842" s="1997">
        <v>0.03</v>
      </c>
      <c r="B12842" s="1921" t="s">
        <v>6164</v>
      </c>
      <c r="C12842" s="2108">
        <v>3.4393014749080613</v>
      </c>
      <c r="D12842" s="2373">
        <v>4.6440000000000001</v>
      </c>
      <c r="E12842" s="2374">
        <v>0.35027418616280004</v>
      </c>
      <c r="F12842" s="2375">
        <v>1.0508225584884E-2</v>
      </c>
      <c r="G12842" s="78"/>
      <c r="H12842" t="s">
        <v>6114</v>
      </c>
      <c r="K12842" s="434"/>
    </row>
    <row r="12843" spans="1:11" ht="12.75" hidden="1" customHeight="1" outlineLevel="1" x14ac:dyDescent="0.25">
      <c r="A12843" s="1997">
        <v>0.03</v>
      </c>
      <c r="B12843" s="1921" t="s">
        <v>3427</v>
      </c>
      <c r="C12843" s="2108">
        <v>42.814</v>
      </c>
      <c r="D12843" s="2373">
        <v>55.66</v>
      </c>
      <c r="E12843" s="2374">
        <v>0.30004204232260467</v>
      </c>
      <c r="F12843" s="2375">
        <v>9.0012612696781392E-3</v>
      </c>
      <c r="G12843" s="78"/>
      <c r="H12843" t="s">
        <v>2800</v>
      </c>
      <c r="K12843" s="434"/>
    </row>
    <row r="12844" spans="1:11" ht="12.75" hidden="1" customHeight="1" outlineLevel="1" x14ac:dyDescent="0.25">
      <c r="A12844" s="1997">
        <v>0.03</v>
      </c>
      <c r="B12844" s="1921" t="s">
        <v>1857</v>
      </c>
      <c r="C12844" s="2108">
        <v>1433.2</v>
      </c>
      <c r="D12844" s="2373">
        <v>1151.5</v>
      </c>
      <c r="E12844" s="2374">
        <v>-0.19655316773653364</v>
      </c>
      <c r="F12844" s="2375">
        <v>-5.8965950320960091E-3</v>
      </c>
      <c r="G12844" s="78"/>
      <c r="H12844" t="s">
        <v>3559</v>
      </c>
      <c r="K12844" s="434"/>
    </row>
    <row r="12845" spans="1:11" ht="12.75" hidden="1" customHeight="1" outlineLevel="1" x14ac:dyDescent="0.25">
      <c r="A12845" s="1997">
        <v>0.02</v>
      </c>
      <c r="B12845" s="1921" t="s">
        <v>3381</v>
      </c>
      <c r="C12845" s="2108">
        <v>163.66999999999999</v>
      </c>
      <c r="D12845" s="2373">
        <v>167.7</v>
      </c>
      <c r="E12845" s="2374">
        <v>2.4622716441620396E-2</v>
      </c>
      <c r="F12845" s="2375">
        <v>4.9245432883240794E-4</v>
      </c>
      <c r="G12845" s="78"/>
      <c r="H12845" t="s">
        <v>9199</v>
      </c>
      <c r="K12845" s="434"/>
    </row>
    <row r="12846" spans="1:11" ht="12.75" hidden="1" customHeight="1" outlineLevel="1" x14ac:dyDescent="0.25">
      <c r="A12846" s="1997">
        <v>0.03</v>
      </c>
      <c r="B12846" s="1921" t="s">
        <v>1239</v>
      </c>
      <c r="C12846" s="2108">
        <v>519.65</v>
      </c>
      <c r="D12846" s="2373">
        <v>479.2</v>
      </c>
      <c r="E12846" s="2374">
        <v>-7.7840854421244998E-2</v>
      </c>
      <c r="F12846" s="2375">
        <v>-2.3352256326373499E-3</v>
      </c>
      <c r="G12846" s="78"/>
      <c r="H12846" t="s">
        <v>8891</v>
      </c>
      <c r="K12846" s="434"/>
    </row>
    <row r="12847" spans="1:11" ht="12.75" hidden="1" customHeight="1" outlineLevel="1" x14ac:dyDescent="0.25">
      <c r="A12847" s="1997">
        <v>0.02</v>
      </c>
      <c r="B12847" s="1921" t="s">
        <v>5387</v>
      </c>
      <c r="C12847" s="2108">
        <v>36.158000000000001</v>
      </c>
      <c r="D12847" s="2373">
        <v>72.650000000000006</v>
      </c>
      <c r="E12847" s="2374">
        <v>1.0092372365728193</v>
      </c>
      <c r="F12847" s="2375">
        <v>2.0184744731456386E-2</v>
      </c>
      <c r="G12847" s="78"/>
      <c r="H12847" t="s">
        <v>5389</v>
      </c>
      <c r="K12847" s="434"/>
    </row>
    <row r="12848" spans="1:11" ht="12.75" hidden="1" customHeight="1" outlineLevel="1" x14ac:dyDescent="0.25">
      <c r="A12848" s="1997">
        <v>0.02</v>
      </c>
      <c r="B12848" s="1921" t="s">
        <v>6165</v>
      </c>
      <c r="C12848" s="2108">
        <v>48.140999999999998</v>
      </c>
      <c r="D12848" s="2373">
        <v>42.59</v>
      </c>
      <c r="E12848" s="2374">
        <v>-0.11530711867223353</v>
      </c>
      <c r="F12848" s="2375">
        <v>-2.3061423734446708E-3</v>
      </c>
      <c r="G12848" s="78"/>
      <c r="H12848" t="s">
        <v>7745</v>
      </c>
      <c r="K12848" s="434"/>
    </row>
    <row r="12849" spans="1:11" ht="12.75" hidden="1" customHeight="1" outlineLevel="1" x14ac:dyDescent="0.25">
      <c r="A12849" s="1997">
        <v>0.02</v>
      </c>
      <c r="B12849" s="1921" t="s">
        <v>3626</v>
      </c>
      <c r="C12849" s="2108">
        <v>51.405000000000001</v>
      </c>
      <c r="D12849" s="2373">
        <v>76.709999999999994</v>
      </c>
      <c r="E12849" s="2374">
        <v>0.49226728917420459</v>
      </c>
      <c r="F12849" s="2375">
        <v>9.845345783484092E-3</v>
      </c>
      <c r="G12849" s="78"/>
      <c r="H12849" t="s">
        <v>7752</v>
      </c>
      <c r="K12849" s="434"/>
    </row>
    <row r="12850" spans="1:11" ht="12.75" hidden="1" customHeight="1" outlineLevel="1" x14ac:dyDescent="0.25">
      <c r="A12850" s="1997">
        <v>0.03</v>
      </c>
      <c r="B12850" s="1921" t="s">
        <v>6068</v>
      </c>
      <c r="C12850" s="2108">
        <v>46.530999999999999</v>
      </c>
      <c r="D12850" s="2373">
        <v>49.965000000000003</v>
      </c>
      <c r="E12850" s="2374">
        <v>7.3800262190797605E-2</v>
      </c>
      <c r="F12850" s="2375">
        <v>2.2140078657239279E-3</v>
      </c>
      <c r="G12850" s="78"/>
      <c r="H12850" t="s">
        <v>2805</v>
      </c>
      <c r="K12850" s="434"/>
    </row>
    <row r="12851" spans="1:11" ht="12.75" hidden="1" customHeight="1" outlineLevel="1" x14ac:dyDescent="0.25">
      <c r="A12851" s="1997">
        <v>0.08</v>
      </c>
      <c r="B12851" s="2109" t="s">
        <v>4550</v>
      </c>
      <c r="C12851" s="2108">
        <v>265.14999999999998</v>
      </c>
      <c r="D12851" s="2377">
        <v>343.6</v>
      </c>
      <c r="E12851" s="2374">
        <v>0.29587026211578382</v>
      </c>
      <c r="F12851" s="2375">
        <v>2.3669620969262707E-2</v>
      </c>
      <c r="G12851" s="78"/>
      <c r="H12851" t="s">
        <v>8889</v>
      </c>
      <c r="K12851" s="434"/>
    </row>
    <row r="12852" spans="1:11" ht="12.75" hidden="1" customHeight="1" outlineLevel="1" x14ac:dyDescent="0.25">
      <c r="A12852" s="2181" t="s">
        <v>2734</v>
      </c>
      <c r="B12852" s="2103"/>
      <c r="C12852" s="2384"/>
      <c r="D12852" s="2385"/>
      <c r="E12852" s="2386"/>
      <c r="F12852" s="2370">
        <v>0.20484148729143173</v>
      </c>
      <c r="G12852" s="78"/>
    </row>
    <row r="12853" spans="1:11" ht="12.75" hidden="1" customHeight="1" outlineLevel="1" x14ac:dyDescent="0.25">
      <c r="A12853" s="1956" t="s">
        <v>6168</v>
      </c>
      <c r="B12853" s="2185">
        <v>43132</v>
      </c>
      <c r="C12853" s="2387">
        <v>100</v>
      </c>
      <c r="D12853" s="2387">
        <v>116.571</v>
      </c>
      <c r="E12853" s="2388">
        <v>0.16571000000000002</v>
      </c>
      <c r="F12853" s="2389"/>
      <c r="G12853" s="78"/>
    </row>
    <row r="12854" spans="1:11" ht="12.75" hidden="1" customHeight="1" outlineLevel="1" x14ac:dyDescent="0.25">
      <c r="A12854" s="1956" t="s">
        <v>6169</v>
      </c>
      <c r="B12854" s="2185">
        <v>43160</v>
      </c>
      <c r="C12854" s="2387">
        <v>100</v>
      </c>
      <c r="D12854" s="2390">
        <v>116.9836</v>
      </c>
      <c r="E12854" s="2388">
        <v>0.16983599999999988</v>
      </c>
      <c r="F12854" s="2389"/>
      <c r="G12854" s="78"/>
    </row>
    <row r="12855" spans="1:11" ht="12.75" hidden="1" customHeight="1" outlineLevel="1" x14ac:dyDescent="0.25">
      <c r="A12855" s="1956" t="s">
        <v>6170</v>
      </c>
      <c r="B12855" s="2185">
        <v>43191</v>
      </c>
      <c r="C12855" s="2387">
        <v>100</v>
      </c>
      <c r="D12855" s="2390">
        <v>118.27589999999999</v>
      </c>
      <c r="E12855" s="2388">
        <v>0.18275899999999989</v>
      </c>
      <c r="F12855" s="2389"/>
      <c r="G12855" s="78"/>
    </row>
    <row r="12856" spans="1:11" ht="12.75" hidden="1" customHeight="1" outlineLevel="1" x14ac:dyDescent="0.25">
      <c r="A12856" s="1956" t="s">
        <v>6171</v>
      </c>
      <c r="B12856" s="2185">
        <v>43221</v>
      </c>
      <c r="C12856" s="2387">
        <v>100</v>
      </c>
      <c r="D12856" s="2390">
        <v>116.6551</v>
      </c>
      <c r="E12856" s="2388">
        <v>0.16655100000000012</v>
      </c>
      <c r="F12856" s="2389"/>
      <c r="G12856" s="78"/>
    </row>
    <row r="12857" spans="1:11" ht="12.75" hidden="1" customHeight="1" outlineLevel="1" x14ac:dyDescent="0.25">
      <c r="A12857" s="1956" t="s">
        <v>6172</v>
      </c>
      <c r="B12857" s="2185">
        <v>43252</v>
      </c>
      <c r="C12857" s="2387">
        <v>100</v>
      </c>
      <c r="D12857" s="2390">
        <v>118.04640000000001</v>
      </c>
      <c r="E12857" s="2388">
        <v>0.18046399999999996</v>
      </c>
      <c r="F12857" s="2389"/>
      <c r="G12857" s="78"/>
    </row>
    <row r="12858" spans="1:11" ht="12.75" hidden="1" customHeight="1" outlineLevel="1" x14ac:dyDescent="0.25">
      <c r="A12858" s="1956" t="s">
        <v>6173</v>
      </c>
      <c r="B12858" s="2185">
        <v>43282</v>
      </c>
      <c r="C12858" s="2387">
        <v>100</v>
      </c>
      <c r="D12858" s="2390">
        <v>121.6494</v>
      </c>
      <c r="E12858" s="2388">
        <v>0.21649399999999996</v>
      </c>
      <c r="F12858" s="2389"/>
      <c r="G12858" s="78"/>
    </row>
    <row r="12859" spans="1:11" ht="12.75" hidden="1" customHeight="1" outlineLevel="1" x14ac:dyDescent="0.25">
      <c r="A12859" s="1956" t="s">
        <v>6174</v>
      </c>
      <c r="B12859" s="2185">
        <v>43313</v>
      </c>
      <c r="C12859" s="2387">
        <v>100</v>
      </c>
      <c r="D12859" s="2390">
        <v>118.52500000000001</v>
      </c>
      <c r="E12859" s="2388">
        <v>0.18525000000000014</v>
      </c>
      <c r="F12859" s="2389"/>
      <c r="G12859" s="78"/>
    </row>
    <row r="12860" spans="1:11" ht="12.75" hidden="1" customHeight="1" outlineLevel="1" x14ac:dyDescent="0.25">
      <c r="A12860" s="1956" t="s">
        <v>6175</v>
      </c>
      <c r="B12860" s="2185">
        <v>43344</v>
      </c>
      <c r="C12860" s="2387">
        <v>100</v>
      </c>
      <c r="D12860" s="2390">
        <v>117.7901</v>
      </c>
      <c r="E12860" s="2388">
        <v>0.17790099999999986</v>
      </c>
      <c r="F12860" s="2389"/>
      <c r="G12860" s="78"/>
    </row>
    <row r="12861" spans="1:11" ht="12.75" hidden="1" customHeight="1" outlineLevel="1" x14ac:dyDescent="0.25">
      <c r="A12861" s="1956" t="s">
        <v>6176</v>
      </c>
      <c r="B12861" s="2185">
        <v>43374</v>
      </c>
      <c r="C12861" s="2387">
        <v>100</v>
      </c>
      <c r="D12861" s="2390">
        <v>115.29259999999999</v>
      </c>
      <c r="E12861" s="2388">
        <v>0.1529259999999999</v>
      </c>
      <c r="F12861" s="2389"/>
      <c r="G12861" s="78"/>
    </row>
    <row r="12862" spans="1:11" ht="12.75" hidden="1" customHeight="1" outlineLevel="1" x14ac:dyDescent="0.25">
      <c r="A12862" s="1956" t="s">
        <v>6177</v>
      </c>
      <c r="B12862" s="2185">
        <v>43405</v>
      </c>
      <c r="C12862" s="2387">
        <v>100</v>
      </c>
      <c r="D12862" s="2390">
        <v>114.54219999999999</v>
      </c>
      <c r="E12862" s="2388">
        <v>0.14542199999999994</v>
      </c>
      <c r="F12862" s="2389"/>
      <c r="G12862" s="78"/>
    </row>
    <row r="12863" spans="1:11" ht="12.75" hidden="1" customHeight="1" outlineLevel="1" x14ac:dyDescent="0.25">
      <c r="A12863" s="1956" t="s">
        <v>6178</v>
      </c>
      <c r="B12863" s="2185">
        <v>43435</v>
      </c>
      <c r="C12863" s="2387">
        <v>100</v>
      </c>
      <c r="D12863" s="2390">
        <v>108.5665</v>
      </c>
      <c r="E12863" s="2388">
        <v>8.5665000000000102E-2</v>
      </c>
      <c r="F12863" s="2389"/>
      <c r="G12863" s="78"/>
    </row>
    <row r="12864" spans="1:11" ht="12.75" hidden="1" customHeight="1" outlineLevel="1" x14ac:dyDescent="0.25">
      <c r="A12864" s="1956" t="s">
        <v>6179</v>
      </c>
      <c r="B12864" s="2185">
        <v>43466</v>
      </c>
      <c r="C12864" s="2387">
        <v>100</v>
      </c>
      <c r="D12864" s="2390">
        <v>115.62479999999999</v>
      </c>
      <c r="E12864" s="2388">
        <v>0.15624799999999994</v>
      </c>
      <c r="F12864" s="2389"/>
      <c r="G12864" s="78"/>
    </row>
    <row r="12865" spans="1:18" ht="12.75" hidden="1" customHeight="1" outlineLevel="1" x14ac:dyDescent="0.25">
      <c r="A12865" s="1956" t="s">
        <v>6180</v>
      </c>
      <c r="B12865" s="2185">
        <v>43497</v>
      </c>
      <c r="C12865" s="2387">
        <v>100</v>
      </c>
      <c r="D12865" s="2390">
        <v>118.0976</v>
      </c>
      <c r="E12865" s="2388">
        <v>0.18097600000000003</v>
      </c>
      <c r="F12865" s="2389"/>
      <c r="G12865" s="78"/>
    </row>
    <row r="12866" spans="1:18" ht="12.75" hidden="1" customHeight="1" outlineLevel="1" x14ac:dyDescent="0.25">
      <c r="A12866" s="1956" t="s">
        <v>9887</v>
      </c>
      <c r="B12866" s="2185">
        <v>43525</v>
      </c>
      <c r="C12866" s="2387">
        <v>100</v>
      </c>
      <c r="D12866" s="2390">
        <v>120.50879999999999</v>
      </c>
      <c r="E12866" s="2388">
        <v>0.20508799999999994</v>
      </c>
      <c r="F12866" s="2389"/>
      <c r="G12866" s="78"/>
    </row>
    <row r="12867" spans="1:18" ht="12.75" hidden="1" customHeight="1" outlineLevel="1" x14ac:dyDescent="0.25">
      <c r="A12867" s="1956" t="s">
        <v>6181</v>
      </c>
      <c r="B12867" s="2185">
        <v>43556</v>
      </c>
      <c r="C12867" s="2387">
        <v>100</v>
      </c>
      <c r="D12867" s="2390">
        <v>120.7282</v>
      </c>
      <c r="E12867" s="2388">
        <v>0.20728199999999997</v>
      </c>
      <c r="F12867" s="2389"/>
      <c r="G12867" s="78"/>
    </row>
    <row r="12868" spans="1:18" ht="12.75" hidden="1" customHeight="1" outlineLevel="1" x14ac:dyDescent="0.25">
      <c r="A12868" s="1956" t="s">
        <v>6182</v>
      </c>
      <c r="B12868" s="2185">
        <v>43586</v>
      </c>
      <c r="C12868" s="2387">
        <v>100</v>
      </c>
      <c r="D12868" s="2390">
        <v>116.4122</v>
      </c>
      <c r="E12868" s="2388">
        <v>0.16412199999999988</v>
      </c>
      <c r="F12868" s="2389"/>
      <c r="G12868" s="78"/>
    </row>
    <row r="12869" spans="1:18" ht="12.75" hidden="1" customHeight="1" outlineLevel="1" x14ac:dyDescent="0.25">
      <c r="A12869" s="1956" t="s">
        <v>6183</v>
      </c>
      <c r="B12869" s="2185">
        <v>43617</v>
      </c>
      <c r="C12869" s="2387">
        <v>100</v>
      </c>
      <c r="D12869" s="2390">
        <v>118.5153</v>
      </c>
      <c r="E12869" s="2388">
        <v>0.1851529999999999</v>
      </c>
      <c r="F12869" s="2389"/>
      <c r="G12869" s="78"/>
    </row>
    <row r="12870" spans="1:18" ht="12.75" hidden="1" customHeight="1" outlineLevel="1" x14ac:dyDescent="0.25">
      <c r="A12870" s="1956" t="s">
        <v>6184</v>
      </c>
      <c r="B12870" s="2185">
        <v>43647</v>
      </c>
      <c r="C12870" s="2387">
        <v>100</v>
      </c>
      <c r="D12870" s="2390">
        <v>119.60769999999999</v>
      </c>
      <c r="E12870" s="2388">
        <v>0.19607699999999983</v>
      </c>
      <c r="F12870" s="2389"/>
      <c r="G12870" s="78"/>
    </row>
    <row r="12871" spans="1:18" ht="12.75" hidden="1" customHeight="1" outlineLevel="1" x14ac:dyDescent="0.25">
      <c r="A12871" s="2189" t="s">
        <v>2734</v>
      </c>
      <c r="B12871" s="2190"/>
      <c r="C12871" s="2390"/>
      <c r="D12871" s="2191" t="s">
        <v>2465</v>
      </c>
      <c r="E12871" s="1987">
        <v>0.17355133333333328</v>
      </c>
      <c r="F12871" s="2192">
        <v>0.17355133333333328</v>
      </c>
      <c r="G12871" s="78"/>
    </row>
    <row r="12872" spans="1:18" collapsed="1" x14ac:dyDescent="0.25">
      <c r="A12872" s="3801" t="s">
        <v>6167</v>
      </c>
      <c r="B12872" s="3802"/>
      <c r="C12872" s="3802"/>
      <c r="D12872" s="3802"/>
      <c r="E12872" s="1906"/>
      <c r="F12872" s="1907">
        <v>0.10619619999999995</v>
      </c>
      <c r="G12872" s="78"/>
    </row>
    <row r="12873" spans="1:18" x14ac:dyDescent="0.25">
      <c r="A12873" t="s">
        <v>2734</v>
      </c>
    </row>
    <row r="12874" spans="1:18" ht="12.75" hidden="1" customHeight="1" outlineLevel="1" x14ac:dyDescent="0.25">
      <c r="A12874" s="2799" t="s">
        <v>113</v>
      </c>
      <c r="B12874" s="2799" t="s">
        <v>114</v>
      </c>
      <c r="C12874" s="2799" t="s">
        <v>112</v>
      </c>
      <c r="D12874" s="2799" t="s">
        <v>116</v>
      </c>
      <c r="E12874" s="2799" t="s">
        <v>117</v>
      </c>
      <c r="F12874" s="2800" t="s">
        <v>121</v>
      </c>
      <c r="G12874" s="78"/>
    </row>
    <row r="12875" spans="1:18" ht="12.75" hidden="1" customHeight="1" outlineLevel="1" x14ac:dyDescent="0.25">
      <c r="A12875" s="2801">
        <v>1</v>
      </c>
      <c r="B12875" s="2802" t="s">
        <v>252</v>
      </c>
      <c r="C12875" s="2803">
        <v>100</v>
      </c>
      <c r="D12875" s="2803"/>
      <c r="E12875" s="2804"/>
      <c r="F12875" s="2805"/>
      <c r="G12875" s="78"/>
    </row>
    <row r="12876" spans="1:18" ht="12.75" hidden="1" customHeight="1" outlineLevel="1" x14ac:dyDescent="0.25">
      <c r="A12876" s="2806" t="s">
        <v>2734</v>
      </c>
      <c r="B12876" s="2806"/>
      <c r="C12876" s="2807"/>
      <c r="D12876" s="1900" t="s">
        <v>3702</v>
      </c>
      <c r="E12876" s="2808">
        <v>43875</v>
      </c>
      <c r="F12876" s="2809"/>
      <c r="G12876" s="78"/>
      <c r="I12876" s="3">
        <v>2</v>
      </c>
      <c r="J12876" s="192" t="s">
        <v>252</v>
      </c>
    </row>
    <row r="12877" spans="1:18" ht="12.75" hidden="1" customHeight="1" outlineLevel="1" x14ac:dyDescent="0.3">
      <c r="A12877" s="2799" t="s">
        <v>4156</v>
      </c>
      <c r="B12877" s="2799" t="s">
        <v>4153</v>
      </c>
      <c r="C12877" s="2810" t="s">
        <v>112</v>
      </c>
      <c r="D12877" s="2811" t="s">
        <v>4155</v>
      </c>
      <c r="E12877" s="2799" t="s">
        <v>4154</v>
      </c>
      <c r="F12877" s="2812" t="s">
        <v>2519</v>
      </c>
      <c r="G12877" s="78"/>
      <c r="I12877" s="22" t="s">
        <v>4156</v>
      </c>
      <c r="J12877" s="476" t="s">
        <v>5272</v>
      </c>
      <c r="K12877" s="98" t="s">
        <v>112</v>
      </c>
      <c r="L12877" s="23" t="s">
        <v>4155</v>
      </c>
      <c r="M12877" s="22" t="s">
        <v>4154</v>
      </c>
      <c r="N12877" s="24" t="s">
        <v>2519</v>
      </c>
      <c r="O12877" s="417"/>
    </row>
    <row r="12878" spans="1:18" ht="12.75" hidden="1" customHeight="1" outlineLevel="1" x14ac:dyDescent="0.25">
      <c r="A12878" s="1991">
        <v>0.02</v>
      </c>
      <c r="B12878" s="1921" t="s">
        <v>1317</v>
      </c>
      <c r="C12878" s="2108">
        <v>51.966000000000001</v>
      </c>
      <c r="D12878" s="2813">
        <v>103.76</v>
      </c>
      <c r="E12878" s="2814">
        <v>0.99669014355540164</v>
      </c>
      <c r="F12878" s="2812">
        <v>1.9933802871108033E-2</v>
      </c>
      <c r="G12878" s="78"/>
      <c r="H12878" t="s">
        <v>1318</v>
      </c>
      <c r="I12878" s="477">
        <v>0.1</v>
      </c>
      <c r="J12878" s="417" t="s">
        <v>3320</v>
      </c>
      <c r="K12878" s="417">
        <v>78.384</v>
      </c>
      <c r="L12878" s="417">
        <v>117.37</v>
      </c>
      <c r="M12878" s="72">
        <v>0.49737191263523184</v>
      </c>
      <c r="N12878" s="478">
        <v>4.9737191263523189E-2</v>
      </c>
      <c r="O12878" s="417" t="s">
        <v>4093</v>
      </c>
      <c r="R12878" s="434"/>
    </row>
    <row r="12879" spans="1:18" ht="12.75" hidden="1" customHeight="1" outlineLevel="1" x14ac:dyDescent="0.25">
      <c r="A12879" s="2380">
        <v>0.02</v>
      </c>
      <c r="B12879" s="1921" t="s">
        <v>3998</v>
      </c>
      <c r="C12879" s="2108">
        <v>35.463999999999999</v>
      </c>
      <c r="D12879" s="2815">
        <v>38.25</v>
      </c>
      <c r="E12879" s="2816">
        <v>7.8558538235957709E-2</v>
      </c>
      <c r="F12879" s="2817">
        <v>1.5711707647191543E-3</v>
      </c>
      <c r="G12879" s="78"/>
      <c r="H12879" t="s">
        <v>4000</v>
      </c>
      <c r="I12879" s="477">
        <v>0.1</v>
      </c>
      <c r="J12879" s="417" t="s">
        <v>139</v>
      </c>
      <c r="K12879" s="417">
        <v>2841.5</v>
      </c>
      <c r="L12879" s="417">
        <v>4090.2</v>
      </c>
      <c r="M12879" s="72">
        <v>0.43945099419320766</v>
      </c>
      <c r="N12879" s="478">
        <v>4.3945099419320767E-2</v>
      </c>
      <c r="O12879" s="417" t="s">
        <v>1776</v>
      </c>
      <c r="R12879" s="434"/>
    </row>
    <row r="12880" spans="1:18" ht="12.75" hidden="1" customHeight="1" outlineLevel="1" x14ac:dyDescent="0.25">
      <c r="A12880" s="2380">
        <v>0.03</v>
      </c>
      <c r="B12880" s="1921" t="s">
        <v>8301</v>
      </c>
      <c r="C12880" s="2108">
        <v>6.9248259220986359</v>
      </c>
      <c r="D12880" s="2815">
        <v>3.9234999999999998</v>
      </c>
      <c r="E12880" s="2816">
        <v>-0.43341536030829997</v>
      </c>
      <c r="F12880" s="2817">
        <v>-1.3002460809248998E-2</v>
      </c>
      <c r="G12880" s="78"/>
      <c r="H12880" t="s">
        <v>8302</v>
      </c>
      <c r="I12880" s="477">
        <v>0.1</v>
      </c>
      <c r="J12880" s="417" t="s">
        <v>140</v>
      </c>
      <c r="K12880" s="417">
        <v>88.120999999999995</v>
      </c>
      <c r="L12880" s="417">
        <v>93.036000000000001</v>
      </c>
      <c r="M12880" s="72">
        <v>5.5775581302981214E-2</v>
      </c>
      <c r="N12880" s="478">
        <v>5.5775581302981219E-3</v>
      </c>
      <c r="O12880" s="417" t="s">
        <v>1777</v>
      </c>
      <c r="R12880" s="434"/>
    </row>
    <row r="12881" spans="1:18" ht="12.75" hidden="1" customHeight="1" outlineLevel="1" x14ac:dyDescent="0.25">
      <c r="A12881" s="2380">
        <v>0.03</v>
      </c>
      <c r="B12881" s="1921" t="s">
        <v>805</v>
      </c>
      <c r="C12881" s="2108">
        <v>75.850999999999999</v>
      </c>
      <c r="D12881" s="2815">
        <v>101.81</v>
      </c>
      <c r="E12881" s="2816">
        <v>0.34223675363541695</v>
      </c>
      <c r="F12881" s="2817">
        <v>1.0267102609062507E-2</v>
      </c>
      <c r="G12881" s="78"/>
      <c r="H12881" t="s">
        <v>806</v>
      </c>
      <c r="I12881" s="477">
        <v>0.1</v>
      </c>
      <c r="J12881" s="417" t="s">
        <v>4515</v>
      </c>
      <c r="K12881" s="417">
        <v>534.70000000000005</v>
      </c>
      <c r="L12881" s="417">
        <v>611.29999999999995</v>
      </c>
      <c r="M12881" s="72">
        <v>0.14325790162708052</v>
      </c>
      <c r="N12881" s="478">
        <v>1.4325790162708053E-2</v>
      </c>
      <c r="O12881" s="417" t="s">
        <v>1778</v>
      </c>
      <c r="R12881" s="434"/>
    </row>
    <row r="12882" spans="1:18" ht="12.75" hidden="1" customHeight="1" outlineLevel="1" x14ac:dyDescent="0.25">
      <c r="A12882" s="2380">
        <v>0.08</v>
      </c>
      <c r="B12882" s="1921" t="s">
        <v>807</v>
      </c>
      <c r="C12882" s="2108">
        <v>48.548000000000002</v>
      </c>
      <c r="D12882" s="2815">
        <v>64.33</v>
      </c>
      <c r="E12882" s="2816">
        <v>0.32508033286644133</v>
      </c>
      <c r="F12882" s="2817">
        <v>2.6006426629315307E-2</v>
      </c>
      <c r="G12882" s="78"/>
      <c r="H12882" t="s">
        <v>808</v>
      </c>
      <c r="I12882" s="477">
        <v>0.1</v>
      </c>
      <c r="J12882" s="417" t="s">
        <v>3406</v>
      </c>
      <c r="K12882" s="417">
        <v>1851.7</v>
      </c>
      <c r="L12882" s="417">
        <v>1935.3</v>
      </c>
      <c r="M12882" s="72">
        <v>4.5147702111573151E-2</v>
      </c>
      <c r="N12882" s="478">
        <v>4.5147702111573151E-3</v>
      </c>
      <c r="O12882" s="417" t="s">
        <v>2105</v>
      </c>
      <c r="R12882" s="434"/>
    </row>
    <row r="12883" spans="1:18" ht="12.75" hidden="1" customHeight="1" outlineLevel="1" x14ac:dyDescent="0.25">
      <c r="A12883" s="2380">
        <v>0.02</v>
      </c>
      <c r="B12883" s="1921" t="s">
        <v>6078</v>
      </c>
      <c r="C12883" s="2108">
        <v>674.55</v>
      </c>
      <c r="D12883" s="2815">
        <v>587.79999999999995</v>
      </c>
      <c r="E12883" s="2816">
        <v>-0.12860425468831072</v>
      </c>
      <c r="F12883" s="2817">
        <v>-2.5720850937662144E-3</v>
      </c>
      <c r="G12883" s="78"/>
      <c r="H12883" t="s">
        <v>2354</v>
      </c>
      <c r="I12883" s="477">
        <v>0.1</v>
      </c>
      <c r="J12883" s="417" t="s">
        <v>3319</v>
      </c>
      <c r="K12883" s="417">
        <v>50.994</v>
      </c>
      <c r="L12883" s="417">
        <v>74.756</v>
      </c>
      <c r="M12883" s="72">
        <v>0.46597638937914265</v>
      </c>
      <c r="N12883" s="478">
        <v>4.6597638937914271E-2</v>
      </c>
      <c r="O12883" s="417" t="s">
        <v>1779</v>
      </c>
      <c r="R12883" s="434"/>
    </row>
    <row r="12884" spans="1:18" ht="12.75" hidden="1" customHeight="1" outlineLevel="1" x14ac:dyDescent="0.25">
      <c r="A12884" s="2380">
        <v>0.08</v>
      </c>
      <c r="B12884" s="1921" t="s">
        <v>10025</v>
      </c>
      <c r="C12884" s="2108">
        <v>17.818082220366641</v>
      </c>
      <c r="D12884" s="2815">
        <v>46.09</v>
      </c>
      <c r="E12884" s="2816">
        <v>1.5866981322668749</v>
      </c>
      <c r="F12884" s="2817">
        <v>0.12693585058134998</v>
      </c>
      <c r="G12884" s="78"/>
      <c r="H12884" t="s">
        <v>10024</v>
      </c>
      <c r="I12884" s="477">
        <v>0.1</v>
      </c>
      <c r="J12884" s="417" t="s">
        <v>3321</v>
      </c>
      <c r="K12884" s="417">
        <v>1402.6</v>
      </c>
      <c r="L12884" s="417">
        <v>1641.6</v>
      </c>
      <c r="M12884" s="72">
        <v>0.17039783259660624</v>
      </c>
      <c r="N12884" s="478">
        <v>1.7039783259660626E-2</v>
      </c>
      <c r="O12884" s="417" t="s">
        <v>1780</v>
      </c>
      <c r="R12884" s="434"/>
    </row>
    <row r="12885" spans="1:18" ht="12.75" hidden="1" customHeight="1" outlineLevel="1" x14ac:dyDescent="0.25">
      <c r="A12885" s="2380">
        <v>0.08</v>
      </c>
      <c r="B12885" s="1921" t="s">
        <v>3954</v>
      </c>
      <c r="C12885" s="2108">
        <v>95.900999999999996</v>
      </c>
      <c r="D12885" s="2815">
        <v>110.05</v>
      </c>
      <c r="E12885" s="2816">
        <v>0.14753756478034652</v>
      </c>
      <c r="F12885" s="2817">
        <v>1.1803005182427722E-2</v>
      </c>
      <c r="G12885" s="78"/>
      <c r="H12885" t="s">
        <v>3955</v>
      </c>
      <c r="I12885" s="477">
        <v>0.1</v>
      </c>
      <c r="J12885" s="417" t="s">
        <v>3869</v>
      </c>
      <c r="K12885" s="417">
        <v>58.218000000000004</v>
      </c>
      <c r="L12885" s="417">
        <v>77.055999999999997</v>
      </c>
      <c r="M12885" s="72">
        <v>0.32357690061493005</v>
      </c>
      <c r="N12885" s="478">
        <v>3.2357690061493007E-2</v>
      </c>
      <c r="O12885" s="417" t="s">
        <v>1984</v>
      </c>
      <c r="R12885" s="434"/>
    </row>
    <row r="12886" spans="1:18" ht="12.75" hidden="1" customHeight="1" outlineLevel="1" x14ac:dyDescent="0.25">
      <c r="A12886" s="2380">
        <v>0.02</v>
      </c>
      <c r="B12886" s="1921" t="s">
        <v>6079</v>
      </c>
      <c r="C12886" s="2108">
        <v>56.780999999999999</v>
      </c>
      <c r="D12886" s="2815">
        <v>94.3</v>
      </c>
      <c r="E12886" s="2816">
        <v>0.66076680579771407</v>
      </c>
      <c r="F12886" s="2817">
        <v>1.3215336115954282E-2</v>
      </c>
      <c r="G12886" s="78"/>
      <c r="H12886" t="s">
        <v>1320</v>
      </c>
      <c r="I12886" s="477">
        <v>0.1</v>
      </c>
      <c r="J12886" s="417" t="s">
        <v>4044</v>
      </c>
      <c r="K12886" s="417">
        <v>86.025999999999996</v>
      </c>
      <c r="L12886" s="417">
        <v>114.08000000000001</v>
      </c>
      <c r="M12886" s="72">
        <v>0.32611071071536535</v>
      </c>
      <c r="N12886" s="478">
        <v>3.2611071071536539E-2</v>
      </c>
      <c r="O12886" s="417" t="s">
        <v>4045</v>
      </c>
      <c r="R12886" s="434"/>
    </row>
    <row r="12887" spans="1:18" ht="12.75" hidden="1" customHeight="1" outlineLevel="1" x14ac:dyDescent="0.25">
      <c r="A12887" s="2380">
        <v>0.02</v>
      </c>
      <c r="B12887" s="1921" t="s">
        <v>6161</v>
      </c>
      <c r="C12887" s="2108">
        <v>10007.799999999999</v>
      </c>
      <c r="D12887" s="2815">
        <v>12715</v>
      </c>
      <c r="E12887" s="2816">
        <v>0.27050900297767755</v>
      </c>
      <c r="F12887" s="2817">
        <v>5.410180059553551E-3</v>
      </c>
      <c r="G12887" s="78"/>
      <c r="H12887" t="s">
        <v>6159</v>
      </c>
      <c r="I12887" s="477">
        <v>0.1</v>
      </c>
      <c r="J12887" s="417" t="s">
        <v>4442</v>
      </c>
      <c r="K12887" s="417">
        <v>3095.05</v>
      </c>
      <c r="L12887" s="417">
        <v>3627.4</v>
      </c>
      <c r="M12887" s="72">
        <v>0.17200045233518035</v>
      </c>
      <c r="N12887" s="478">
        <v>1.7200045233518035E-2</v>
      </c>
      <c r="O12887" s="417" t="s">
        <v>1986</v>
      </c>
      <c r="R12887" s="434"/>
    </row>
    <row r="12888" spans="1:18" ht="12.75" hidden="1" customHeight="1" outlineLevel="1" x14ac:dyDescent="0.25">
      <c r="A12888" s="2380">
        <v>0.02</v>
      </c>
      <c r="B12888" s="1921" t="s">
        <v>3021</v>
      </c>
      <c r="C12888" s="2108">
        <v>18.532</v>
      </c>
      <c r="D12888" s="2815">
        <v>12.891999999999999</v>
      </c>
      <c r="E12888" s="2816">
        <v>-0.30433844161450463</v>
      </c>
      <c r="F12888" s="2817">
        <v>-6.086768832290093E-3</v>
      </c>
      <c r="G12888" s="78"/>
      <c r="H12888" t="s">
        <v>4124</v>
      </c>
      <c r="N12888" s="406">
        <v>0.26390663775112988</v>
      </c>
      <c r="R12888" s="434"/>
    </row>
    <row r="12889" spans="1:18" ht="12.75" hidden="1" customHeight="1" outlineLevel="1" x14ac:dyDescent="0.25">
      <c r="A12889" s="2380">
        <v>0.02</v>
      </c>
      <c r="B12889" s="1921" t="s">
        <v>6109</v>
      </c>
      <c r="C12889" s="2108">
        <v>71.292000000000002</v>
      </c>
      <c r="D12889" s="2815">
        <v>134.13</v>
      </c>
      <c r="E12889" s="2816">
        <v>0.88141726981989543</v>
      </c>
      <c r="F12889" s="2817">
        <v>1.7628345396397908E-2</v>
      </c>
      <c r="G12889" s="78"/>
      <c r="H12889" t="s">
        <v>5230</v>
      </c>
      <c r="R12889" s="434"/>
    </row>
    <row r="12890" spans="1:18" ht="12.75" hidden="1" customHeight="1" outlineLevel="1" x14ac:dyDescent="0.25">
      <c r="A12890" s="2380">
        <v>0.03</v>
      </c>
      <c r="B12890" s="1921" t="s">
        <v>7227</v>
      </c>
      <c r="C12890" s="2108">
        <v>19.5975</v>
      </c>
      <c r="D12890" s="2815">
        <v>16.135000000000002</v>
      </c>
      <c r="E12890" s="2816">
        <v>-0.17668069906875872</v>
      </c>
      <c r="F12890" s="2817">
        <v>-5.3004209720627611E-3</v>
      </c>
      <c r="G12890" s="78"/>
      <c r="H12890" t="s">
        <v>7229</v>
      </c>
      <c r="R12890" s="434"/>
    </row>
    <row r="12891" spans="1:18" ht="12.75" hidden="1" customHeight="1" outlineLevel="1" x14ac:dyDescent="0.25">
      <c r="A12891" s="2380">
        <v>0.03</v>
      </c>
      <c r="B12891" s="1921" t="s">
        <v>1386</v>
      </c>
      <c r="C12891" s="2108">
        <v>1577.7434314369134</v>
      </c>
      <c r="D12891" s="2815">
        <v>1668.6</v>
      </c>
      <c r="E12891" s="2816">
        <v>5.7586402676599757E-2</v>
      </c>
      <c r="F12891" s="2817">
        <v>1.7275920802979927E-3</v>
      </c>
      <c r="G12891" s="78"/>
      <c r="H12891" t="s">
        <v>4128</v>
      </c>
      <c r="R12891" s="434"/>
    </row>
    <row r="12892" spans="1:18" ht="12.75" hidden="1" customHeight="1" outlineLevel="1" x14ac:dyDescent="0.25">
      <c r="A12892" s="2380">
        <v>0.02</v>
      </c>
      <c r="B12892" s="2225" t="s">
        <v>6530</v>
      </c>
      <c r="C12892" s="2108">
        <v>37.098080348146489</v>
      </c>
      <c r="D12892" s="2815">
        <v>37.31</v>
      </c>
      <c r="E12892" s="2816">
        <v>5.7124155715000402E-3</v>
      </c>
      <c r="F12892" s="2817">
        <v>1.142483114300008E-4</v>
      </c>
      <c r="G12892" s="78"/>
      <c r="H12892" t="s">
        <v>10140</v>
      </c>
      <c r="R12892" s="434"/>
    </row>
    <row r="12893" spans="1:18" ht="12.75" hidden="1" customHeight="1" outlineLevel="1" x14ac:dyDescent="0.25">
      <c r="A12893" s="2380">
        <v>0.02</v>
      </c>
      <c r="B12893" s="1921" t="s">
        <v>6163</v>
      </c>
      <c r="C12893" s="2108">
        <v>62.119</v>
      </c>
      <c r="D12893" s="2815">
        <v>89.32</v>
      </c>
      <c r="E12893" s="2816">
        <v>0.43788534908804055</v>
      </c>
      <c r="F12893" s="2817">
        <v>8.7577069817608121E-3</v>
      </c>
      <c r="G12893" s="78"/>
      <c r="H12893" t="s">
        <v>9170</v>
      </c>
      <c r="R12893" s="434"/>
    </row>
    <row r="12894" spans="1:18" ht="12.75" hidden="1" customHeight="1" outlineLevel="1" x14ac:dyDescent="0.25">
      <c r="A12894" s="2380">
        <v>0.02</v>
      </c>
      <c r="B12894" s="1921" t="s">
        <v>1772</v>
      </c>
      <c r="C12894" s="2108">
        <v>164.05500000000001</v>
      </c>
      <c r="D12894" s="2815">
        <v>282.3</v>
      </c>
      <c r="E12894" s="2816">
        <v>0.72076437780012803</v>
      </c>
      <c r="F12894" s="2817">
        <v>1.4415287556002561E-2</v>
      </c>
      <c r="G12894" s="78"/>
      <c r="H12894" t="s">
        <v>4330</v>
      </c>
      <c r="R12894" s="434"/>
    </row>
    <row r="12895" spans="1:18" ht="12.75" hidden="1" customHeight="1" outlineLevel="1" x14ac:dyDescent="0.25">
      <c r="A12895" s="2380">
        <v>0.03</v>
      </c>
      <c r="B12895" s="1921" t="s">
        <v>6113</v>
      </c>
      <c r="C12895" s="2108">
        <v>825.34419207103667</v>
      </c>
      <c r="D12895" s="2815">
        <v>1040</v>
      </c>
      <c r="E12895" s="2816">
        <v>0.26008035192000012</v>
      </c>
      <c r="F12895" s="2817">
        <v>7.8024105576000036E-3</v>
      </c>
      <c r="G12895" s="78"/>
      <c r="H12895" t="s">
        <v>4195</v>
      </c>
      <c r="R12895" s="434"/>
    </row>
    <row r="12896" spans="1:18" ht="12.75" hidden="1" customHeight="1" outlineLevel="1" x14ac:dyDescent="0.25">
      <c r="A12896" s="2380">
        <v>0.02</v>
      </c>
      <c r="B12896" s="1921" t="s">
        <v>5824</v>
      </c>
      <c r="C12896" s="2108">
        <v>10.87</v>
      </c>
      <c r="D12896" s="2815">
        <v>13.36</v>
      </c>
      <c r="E12896" s="2816">
        <v>0.22907083716651333</v>
      </c>
      <c r="F12896" s="2817">
        <v>4.5814167433302667E-3</v>
      </c>
      <c r="G12896" s="78"/>
      <c r="H12896" t="s">
        <v>5817</v>
      </c>
      <c r="R12896" s="434"/>
    </row>
    <row r="12897" spans="1:18" ht="12.75" hidden="1" customHeight="1" outlineLevel="1" x14ac:dyDescent="0.25">
      <c r="A12897" s="2380">
        <v>0.02</v>
      </c>
      <c r="B12897" s="1921" t="s">
        <v>2769</v>
      </c>
      <c r="C12897" s="2108">
        <v>30.719486798779005</v>
      </c>
      <c r="D12897" s="2815">
        <v>35.369999999999997</v>
      </c>
      <c r="E12897" s="2816">
        <v>0.15138642229549992</v>
      </c>
      <c r="F12897" s="2817">
        <v>3.0277284459099985E-3</v>
      </c>
      <c r="G12897" s="78"/>
      <c r="H12897" t="s">
        <v>2770</v>
      </c>
      <c r="R12897" s="434"/>
    </row>
    <row r="12898" spans="1:18" ht="12.75" hidden="1" customHeight="1" outlineLevel="1" x14ac:dyDescent="0.25">
      <c r="A12898" s="2380">
        <v>0.08</v>
      </c>
      <c r="B12898" s="1921" t="s">
        <v>901</v>
      </c>
      <c r="C12898" s="2108">
        <v>22.555826352536272</v>
      </c>
      <c r="D12898" s="2815">
        <v>33.47</v>
      </c>
      <c r="E12898" s="2816">
        <v>0.48387381055700018</v>
      </c>
      <c r="F12898" s="2817">
        <v>3.8709904844560016E-2</v>
      </c>
      <c r="G12898" s="78"/>
      <c r="H12898" t="s">
        <v>531</v>
      </c>
      <c r="R12898" s="434"/>
    </row>
    <row r="12899" spans="1:18" ht="12.75" hidden="1" customHeight="1" outlineLevel="1" x14ac:dyDescent="0.25">
      <c r="A12899" s="2380">
        <v>0.03</v>
      </c>
      <c r="B12899" s="1921" t="s">
        <v>6164</v>
      </c>
      <c r="C12899" s="2108">
        <v>3.5275228368171589</v>
      </c>
      <c r="D12899" s="2815">
        <v>4.9950000000000001</v>
      </c>
      <c r="E12899" s="2816">
        <v>0.41600784206600006</v>
      </c>
      <c r="F12899" s="2817">
        <v>1.2480235261980001E-2</v>
      </c>
      <c r="G12899" s="78"/>
      <c r="H12899" t="s">
        <v>6114</v>
      </c>
      <c r="R12899" s="434"/>
    </row>
    <row r="12900" spans="1:18" ht="12.75" hidden="1" customHeight="1" outlineLevel="1" x14ac:dyDescent="0.25">
      <c r="A12900" s="2380">
        <v>0.03</v>
      </c>
      <c r="B12900" s="1921" t="s">
        <v>3427</v>
      </c>
      <c r="C12900" s="2108">
        <v>45.307000000000002</v>
      </c>
      <c r="D12900" s="2815">
        <v>69.02</v>
      </c>
      <c r="E12900" s="2816">
        <v>0.52338490740945098</v>
      </c>
      <c r="F12900" s="2817">
        <v>1.5701547222283528E-2</v>
      </c>
      <c r="G12900" s="78"/>
      <c r="H12900" t="s">
        <v>2800</v>
      </c>
      <c r="R12900" s="434"/>
    </row>
    <row r="12901" spans="1:18" ht="12.75" hidden="1" customHeight="1" outlineLevel="1" x14ac:dyDescent="0.25">
      <c r="A12901" s="2380">
        <v>0.03</v>
      </c>
      <c r="B12901" s="1921" t="s">
        <v>1857</v>
      </c>
      <c r="C12901" s="2108">
        <v>1493.3</v>
      </c>
      <c r="D12901" s="2815">
        <v>1659</v>
      </c>
      <c r="E12901" s="2816">
        <v>0.11096229826558623</v>
      </c>
      <c r="F12901" s="2817">
        <v>3.3288689479675868E-3</v>
      </c>
      <c r="G12901" s="78"/>
      <c r="H12901" t="s">
        <v>3559</v>
      </c>
      <c r="R12901" s="434"/>
    </row>
    <row r="12902" spans="1:18" ht="12.75" hidden="1" customHeight="1" outlineLevel="1" x14ac:dyDescent="0.25">
      <c r="A12902" s="2380">
        <v>0.02</v>
      </c>
      <c r="B12902" s="1921" t="s">
        <v>3381</v>
      </c>
      <c r="C12902" s="2108">
        <v>172.65</v>
      </c>
      <c r="D12902" s="2815">
        <v>160.80000000000001</v>
      </c>
      <c r="E12902" s="2816">
        <v>-6.8635968722849716E-2</v>
      </c>
      <c r="F12902" s="2817">
        <v>-1.3727193744569944E-3</v>
      </c>
      <c r="G12902" s="78"/>
      <c r="H12902" t="s">
        <v>9199</v>
      </c>
      <c r="R12902" s="434"/>
    </row>
    <row r="12903" spans="1:18" ht="12.75" hidden="1" customHeight="1" outlineLevel="1" x14ac:dyDescent="0.25">
      <c r="A12903" s="2380">
        <v>0.03</v>
      </c>
      <c r="B12903" s="1921" t="s">
        <v>1239</v>
      </c>
      <c r="C12903" s="2108">
        <v>521.15</v>
      </c>
      <c r="D12903" s="2815">
        <v>571</v>
      </c>
      <c r="E12903" s="2816">
        <v>9.5653842463782057E-2</v>
      </c>
      <c r="F12903" s="2817">
        <v>2.8696152739134616E-3</v>
      </c>
      <c r="G12903" s="78"/>
      <c r="H12903" t="s">
        <v>8891</v>
      </c>
      <c r="R12903" s="434"/>
    </row>
    <row r="12904" spans="1:18" ht="12.75" hidden="1" customHeight="1" outlineLevel="1" x14ac:dyDescent="0.25">
      <c r="A12904" s="2380">
        <v>0.02</v>
      </c>
      <c r="B12904" s="1921" t="s">
        <v>6165</v>
      </c>
      <c r="C12904" s="2108">
        <v>45.418999999999997</v>
      </c>
      <c r="D12904" s="2815">
        <v>41.42</v>
      </c>
      <c r="E12904" s="2816">
        <v>-8.804685263876344E-2</v>
      </c>
      <c r="F12904" s="2817">
        <v>-1.7609370527752689E-3</v>
      </c>
      <c r="G12904" s="78"/>
      <c r="H12904" t="s">
        <v>7745</v>
      </c>
      <c r="R12904" s="434"/>
    </row>
    <row r="12905" spans="1:18" ht="12.75" hidden="1" customHeight="1" outlineLevel="1" x14ac:dyDescent="0.25">
      <c r="A12905" s="2380">
        <v>0.02</v>
      </c>
      <c r="B12905" s="1921" t="s">
        <v>3626</v>
      </c>
      <c r="C12905" s="2108">
        <v>51.567999999999998</v>
      </c>
      <c r="D12905" s="2815">
        <v>75.290000000000006</v>
      </c>
      <c r="E12905" s="2816">
        <v>0.46001396214706802</v>
      </c>
      <c r="F12905" s="2817">
        <v>9.2002792429413602E-3</v>
      </c>
      <c r="G12905" s="78"/>
      <c r="H12905" t="s">
        <v>7752</v>
      </c>
      <c r="R12905" s="434"/>
    </row>
    <row r="12906" spans="1:18" ht="12.75" hidden="1" customHeight="1" outlineLevel="1" x14ac:dyDescent="0.25">
      <c r="A12906" s="2380">
        <v>0.03</v>
      </c>
      <c r="B12906" s="1921" t="s">
        <v>6211</v>
      </c>
      <c r="C12906" s="2108">
        <v>2621.4</v>
      </c>
      <c r="D12906" s="2815">
        <v>4605.5</v>
      </c>
      <c r="E12906" s="2816">
        <v>0.75688563363088424</v>
      </c>
      <c r="F12906" s="2817">
        <v>2.2706569008926526E-2</v>
      </c>
      <c r="G12906" s="78"/>
      <c r="H12906" t="s">
        <v>107</v>
      </c>
      <c r="R12906" s="434"/>
    </row>
    <row r="12907" spans="1:18" ht="12.75" hidden="1" customHeight="1" outlineLevel="1" x14ac:dyDescent="0.25">
      <c r="A12907" s="2380">
        <v>0.08</v>
      </c>
      <c r="B12907" s="2109" t="s">
        <v>4550</v>
      </c>
      <c r="C12907" s="2108">
        <v>249.91</v>
      </c>
      <c r="D12907" s="2818">
        <v>433.1</v>
      </c>
      <c r="E12907" s="2816">
        <v>0.73302388859989609</v>
      </c>
      <c r="F12907" s="2817">
        <v>5.8641911087991688E-2</v>
      </c>
      <c r="G12907" s="78"/>
      <c r="H12907" t="s">
        <v>8889</v>
      </c>
      <c r="R12907" s="434"/>
    </row>
    <row r="12908" spans="1:18" ht="12.75" hidden="1" customHeight="1" outlineLevel="1" x14ac:dyDescent="0.25">
      <c r="A12908" s="2181" t="s">
        <v>2734</v>
      </c>
      <c r="B12908" s="2103"/>
      <c r="C12908" s="2819"/>
      <c r="D12908" s="2820"/>
      <c r="E12908" s="2821"/>
      <c r="F12908" s="2812">
        <v>0.40674114964218389</v>
      </c>
      <c r="G12908" s="78"/>
    </row>
    <row r="12909" spans="1:18" ht="12.75" hidden="1" customHeight="1" outlineLevel="1" x14ac:dyDescent="0.25">
      <c r="A12909" s="1956" t="s">
        <v>6192</v>
      </c>
      <c r="B12909" s="2185">
        <v>43313</v>
      </c>
      <c r="C12909" s="2822">
        <v>100</v>
      </c>
      <c r="D12909" s="2822">
        <v>119.8676</v>
      </c>
      <c r="E12909" s="2823">
        <v>0.19867599999999985</v>
      </c>
      <c r="F12909" s="2824"/>
      <c r="G12909" s="78"/>
    </row>
    <row r="12910" spans="1:18" ht="12.75" hidden="1" customHeight="1" outlineLevel="1" x14ac:dyDescent="0.25">
      <c r="A12910" s="1956" t="s">
        <v>6193</v>
      </c>
      <c r="B12910" s="2185">
        <v>43344</v>
      </c>
      <c r="C12910" s="2822">
        <v>100</v>
      </c>
      <c r="D12910" s="2825">
        <v>120.4222</v>
      </c>
      <c r="E12910" s="2823">
        <v>0.20422200000000013</v>
      </c>
      <c r="F12910" s="2824"/>
      <c r="G12910" s="78"/>
    </row>
    <row r="12911" spans="1:18" ht="12.75" hidden="1" customHeight="1" outlineLevel="1" x14ac:dyDescent="0.25">
      <c r="A12911" s="1956" t="s">
        <v>6194</v>
      </c>
      <c r="B12911" s="2185">
        <v>43374</v>
      </c>
      <c r="C12911" s="2822">
        <v>100</v>
      </c>
      <c r="D12911" s="2825">
        <v>119.9027</v>
      </c>
      <c r="E12911" s="2823">
        <v>0.19902700000000006</v>
      </c>
      <c r="F12911" s="2824"/>
      <c r="G12911" s="78"/>
    </row>
    <row r="12912" spans="1:18" ht="12.75" hidden="1" customHeight="1" outlineLevel="1" x14ac:dyDescent="0.25">
      <c r="A12912" s="1956" t="s">
        <v>6195</v>
      </c>
      <c r="B12912" s="2185">
        <v>43405</v>
      </c>
      <c r="C12912" s="2822">
        <v>100</v>
      </c>
      <c r="D12912" s="2825">
        <v>120.23050000000001</v>
      </c>
      <c r="E12912" s="2823">
        <v>0.20230499999999996</v>
      </c>
      <c r="F12912" s="2824"/>
      <c r="G12912" s="78"/>
    </row>
    <row r="12913" spans="1:7" ht="12.75" hidden="1" customHeight="1" outlineLevel="1" x14ac:dyDescent="0.25">
      <c r="A12913" s="1956" t="s">
        <v>6196</v>
      </c>
      <c r="B12913" s="2185">
        <v>43435</v>
      </c>
      <c r="C12913" s="2822">
        <v>100</v>
      </c>
      <c r="D12913" s="2825">
        <v>112.2004</v>
      </c>
      <c r="E12913" s="2823">
        <v>0.122004</v>
      </c>
      <c r="F12913" s="2824"/>
      <c r="G12913" s="78"/>
    </row>
    <row r="12914" spans="1:7" ht="12.75" hidden="1" customHeight="1" outlineLevel="1" x14ac:dyDescent="0.25">
      <c r="A12914" s="1956" t="s">
        <v>6197</v>
      </c>
      <c r="B12914" s="2185">
        <v>43466</v>
      </c>
      <c r="C12914" s="2822">
        <v>100</v>
      </c>
      <c r="D12914" s="2825">
        <v>118.8355</v>
      </c>
      <c r="E12914" s="2823">
        <v>0.18835500000000005</v>
      </c>
      <c r="F12914" s="2824"/>
      <c r="G12914" s="78"/>
    </row>
    <row r="12915" spans="1:7" ht="12.75" hidden="1" customHeight="1" outlineLevel="1" x14ac:dyDescent="0.25">
      <c r="A12915" s="1956" t="s">
        <v>6198</v>
      </c>
      <c r="B12915" s="2185">
        <v>43497</v>
      </c>
      <c r="C12915" s="2822">
        <v>100</v>
      </c>
      <c r="D12915" s="2825">
        <v>122.13939999999999</v>
      </c>
      <c r="E12915" s="2823">
        <v>0.22139399999999987</v>
      </c>
      <c r="F12915" s="2824"/>
      <c r="G12915" s="78"/>
    </row>
    <row r="12916" spans="1:7" ht="12.75" hidden="1" customHeight="1" outlineLevel="1" x14ac:dyDescent="0.25">
      <c r="A12916" s="1956" t="s">
        <v>6199</v>
      </c>
      <c r="B12916" s="2185">
        <v>43525</v>
      </c>
      <c r="C12916" s="2822">
        <v>100</v>
      </c>
      <c r="D12916" s="2825">
        <v>125.395</v>
      </c>
      <c r="E12916" s="2823">
        <v>0.2539499999999999</v>
      </c>
      <c r="F12916" s="2824"/>
      <c r="G12916" s="78"/>
    </row>
    <row r="12917" spans="1:7" ht="12.75" hidden="1" customHeight="1" outlineLevel="1" x14ac:dyDescent="0.25">
      <c r="A12917" s="1956" t="s">
        <v>6200</v>
      </c>
      <c r="B12917" s="2185">
        <v>43556</v>
      </c>
      <c r="C12917" s="2822">
        <v>100</v>
      </c>
      <c r="D12917" s="2825">
        <v>127.2389</v>
      </c>
      <c r="E12917" s="2823">
        <v>0.27238899999999999</v>
      </c>
      <c r="F12917" s="2824"/>
      <c r="G12917" s="78"/>
    </row>
    <row r="12918" spans="1:7" ht="12.75" hidden="1" customHeight="1" outlineLevel="1" x14ac:dyDescent="0.25">
      <c r="A12918" s="1956" t="s">
        <v>6201</v>
      </c>
      <c r="B12918" s="2185">
        <v>43586</v>
      </c>
      <c r="C12918" s="2822">
        <v>100</v>
      </c>
      <c r="D12918" s="2825">
        <v>123.06229999999999</v>
      </c>
      <c r="E12918" s="2823">
        <v>0.23062300000000002</v>
      </c>
      <c r="F12918" s="2824"/>
      <c r="G12918" s="78"/>
    </row>
    <row r="12919" spans="1:7" ht="12.75" hidden="1" customHeight="1" outlineLevel="1" x14ac:dyDescent="0.25">
      <c r="A12919" s="1956" t="s">
        <v>6202</v>
      </c>
      <c r="B12919" s="2185">
        <v>43617</v>
      </c>
      <c r="C12919" s="2822">
        <v>100</v>
      </c>
      <c r="D12919" s="2825">
        <v>125.4087</v>
      </c>
      <c r="E12919" s="2823">
        <v>0.25408699999999995</v>
      </c>
      <c r="F12919" s="2824"/>
      <c r="G12919" s="78"/>
    </row>
    <row r="12920" spans="1:7" ht="12.75" hidden="1" customHeight="1" outlineLevel="1" x14ac:dyDescent="0.25">
      <c r="A12920" s="1956" t="s">
        <v>6203</v>
      </c>
      <c r="B12920" s="2185">
        <v>43647</v>
      </c>
      <c r="C12920" s="2822">
        <v>100</v>
      </c>
      <c r="D12920" s="2825">
        <v>126.962</v>
      </c>
      <c r="E12920" s="2823">
        <v>0.26961999999999997</v>
      </c>
      <c r="F12920" s="2824"/>
      <c r="G12920" s="78"/>
    </row>
    <row r="12921" spans="1:7" ht="12.75" hidden="1" customHeight="1" outlineLevel="1" x14ac:dyDescent="0.25">
      <c r="A12921" s="1956" t="s">
        <v>6204</v>
      </c>
      <c r="B12921" s="2185">
        <v>43678</v>
      </c>
      <c r="C12921" s="2822">
        <v>100</v>
      </c>
      <c r="D12921" s="2825">
        <v>128.7559</v>
      </c>
      <c r="E12921" s="2823">
        <v>0.2875589999999999</v>
      </c>
      <c r="F12921" s="2824"/>
      <c r="G12921" s="78"/>
    </row>
    <row r="12922" spans="1:7" ht="12.75" hidden="1" customHeight="1" outlineLevel="1" x14ac:dyDescent="0.25">
      <c r="A12922" s="1956" t="s">
        <v>6205</v>
      </c>
      <c r="B12922" s="2185">
        <v>43709</v>
      </c>
      <c r="C12922" s="2822">
        <v>100</v>
      </c>
      <c r="D12922" s="2825">
        <v>133.87889999999999</v>
      </c>
      <c r="E12922" s="2823">
        <v>0.33878899999999978</v>
      </c>
      <c r="F12922" s="2824"/>
      <c r="G12922" s="78"/>
    </row>
    <row r="12923" spans="1:7" ht="12.75" hidden="1" customHeight="1" outlineLevel="1" x14ac:dyDescent="0.25">
      <c r="A12923" s="1956" t="s">
        <v>6206</v>
      </c>
      <c r="B12923" s="2185">
        <v>43739</v>
      </c>
      <c r="C12923" s="2822">
        <v>100</v>
      </c>
      <c r="D12923" s="2825">
        <v>133.17019999999999</v>
      </c>
      <c r="E12923" s="2823">
        <v>0.33170199999999994</v>
      </c>
      <c r="F12923" s="2824"/>
      <c r="G12923" s="78"/>
    </row>
    <row r="12924" spans="1:7" ht="12.75" hidden="1" customHeight="1" outlineLevel="1" x14ac:dyDescent="0.25">
      <c r="A12924" s="1956" t="s">
        <v>6207</v>
      </c>
      <c r="B12924" s="2185">
        <v>43770</v>
      </c>
      <c r="C12924" s="2822">
        <v>100</v>
      </c>
      <c r="D12924" s="2825">
        <v>133.90950000000001</v>
      </c>
      <c r="E12924" s="2823">
        <v>0.33909500000000015</v>
      </c>
      <c r="F12924" s="2824"/>
      <c r="G12924" s="78"/>
    </row>
    <row r="12925" spans="1:7" ht="12.75" hidden="1" customHeight="1" outlineLevel="1" x14ac:dyDescent="0.25">
      <c r="A12925" s="1956" t="s">
        <v>6208</v>
      </c>
      <c r="B12925" s="2185">
        <v>43800</v>
      </c>
      <c r="C12925" s="2822">
        <v>100</v>
      </c>
      <c r="D12925" s="2825">
        <v>134.54220000000001</v>
      </c>
      <c r="E12925" s="2823">
        <v>0.34542200000000012</v>
      </c>
      <c r="F12925" s="2824"/>
      <c r="G12925" s="78"/>
    </row>
    <row r="12926" spans="1:7" ht="12.75" hidden="1" customHeight="1" outlineLevel="1" x14ac:dyDescent="0.25">
      <c r="A12926" s="1956" t="s">
        <v>6209</v>
      </c>
      <c r="B12926" s="2185">
        <v>43831</v>
      </c>
      <c r="C12926" s="2822">
        <v>100</v>
      </c>
      <c r="D12926" s="2825">
        <v>136.42320000000001</v>
      </c>
      <c r="E12926" s="2823">
        <v>0.36423200000000011</v>
      </c>
      <c r="F12926" s="2824"/>
      <c r="G12926" s="78"/>
    </row>
    <row r="12927" spans="1:7" ht="12.75" hidden="1" customHeight="1" outlineLevel="1" x14ac:dyDescent="0.25">
      <c r="A12927" s="2189"/>
      <c r="B12927" s="2190"/>
      <c r="C12927" s="2825"/>
      <c r="D12927" s="2191" t="s">
        <v>2465</v>
      </c>
      <c r="E12927" s="1987">
        <v>0.25685838888888884</v>
      </c>
      <c r="F12927" s="2192">
        <v>0.25685838888888884</v>
      </c>
      <c r="G12927" s="78"/>
    </row>
    <row r="12928" spans="1:7" collapsed="1" x14ac:dyDescent="0.25">
      <c r="A12928" s="3801" t="s">
        <v>6210</v>
      </c>
      <c r="B12928" s="3802"/>
      <c r="C12928" s="3802"/>
      <c r="D12928" s="3802"/>
      <c r="E12928" s="1906"/>
      <c r="F12928" s="1907">
        <v>0.25685838888888884</v>
      </c>
      <c r="G12928" s="78"/>
    </row>
    <row r="12929" spans="1:18" x14ac:dyDescent="0.25">
      <c r="A12929" t="s">
        <v>2734</v>
      </c>
    </row>
    <row r="12930" spans="1:18" ht="12.75" hidden="1" customHeight="1" outlineLevel="1" x14ac:dyDescent="0.25">
      <c r="A12930" s="2772" t="s">
        <v>113</v>
      </c>
      <c r="B12930" s="2772" t="s">
        <v>114</v>
      </c>
      <c r="C12930" s="2772" t="s">
        <v>112</v>
      </c>
      <c r="D12930" s="2772" t="s">
        <v>116</v>
      </c>
      <c r="E12930" s="2772" t="s">
        <v>117</v>
      </c>
      <c r="F12930" s="2773" t="s">
        <v>121</v>
      </c>
      <c r="G12930" s="78"/>
    </row>
    <row r="12931" spans="1:18" ht="12.75" hidden="1" customHeight="1" outlineLevel="1" x14ac:dyDescent="0.25">
      <c r="A12931" s="2774">
        <v>1</v>
      </c>
      <c r="B12931" s="2775" t="s">
        <v>252</v>
      </c>
      <c r="C12931" s="2776">
        <v>100</v>
      </c>
      <c r="D12931" s="2776"/>
      <c r="E12931" s="2777"/>
      <c r="F12931" s="2778"/>
      <c r="G12931" s="78"/>
    </row>
    <row r="12932" spans="1:18" ht="12.75" hidden="1" customHeight="1" outlineLevel="1" x14ac:dyDescent="0.25">
      <c r="A12932" s="2779" t="s">
        <v>2734</v>
      </c>
      <c r="B12932" s="2779"/>
      <c r="C12932" s="2780"/>
      <c r="D12932" s="1900" t="s">
        <v>3702</v>
      </c>
      <c r="E12932" s="2781">
        <v>43861</v>
      </c>
      <c r="F12932" s="2782"/>
      <c r="G12932" s="78"/>
      <c r="J12932" t="s">
        <v>5773</v>
      </c>
      <c r="O12932" t="s">
        <v>7865</v>
      </c>
    </row>
    <row r="12933" spans="1:18" ht="12.75" hidden="1" customHeight="1" outlineLevel="1" x14ac:dyDescent="0.3">
      <c r="A12933" s="2772" t="s">
        <v>4156</v>
      </c>
      <c r="B12933" s="2783" t="s">
        <v>4153</v>
      </c>
      <c r="C12933" s="2784" t="s">
        <v>112</v>
      </c>
      <c r="D12933" s="2783" t="s">
        <v>4155</v>
      </c>
      <c r="E12933" s="2772" t="s">
        <v>4154</v>
      </c>
      <c r="F12933" s="2785" t="s">
        <v>2519</v>
      </c>
      <c r="G12933" s="78"/>
      <c r="J12933" s="417" t="s">
        <v>6224</v>
      </c>
      <c r="K12933" s="417" t="s">
        <v>6225</v>
      </c>
      <c r="L12933" s="417" t="s">
        <v>6226</v>
      </c>
      <c r="M12933" s="417" t="s">
        <v>6227</v>
      </c>
      <c r="O12933" s="1462">
        <v>42125</v>
      </c>
      <c r="P12933">
        <v>102.92667996957972</v>
      </c>
      <c r="Q12933" s="1558" t="s">
        <v>8091</v>
      </c>
    </row>
    <row r="12934" spans="1:18" ht="12.75" hidden="1" customHeight="1" outlineLevel="1" x14ac:dyDescent="0.3">
      <c r="A12934" s="1991">
        <v>0.02</v>
      </c>
      <c r="B12934" s="1992" t="s">
        <v>1317</v>
      </c>
      <c r="C12934" s="2108">
        <v>53.465000000000003</v>
      </c>
      <c r="D12934" s="2786">
        <v>104.22</v>
      </c>
      <c r="E12934" s="2787">
        <v>0.94931263443374148</v>
      </c>
      <c r="F12934" s="2785">
        <v>1.8986252688674831E-2</v>
      </c>
      <c r="G12934" s="78"/>
      <c r="H12934" t="s">
        <v>1318</v>
      </c>
      <c r="I12934" s="481" t="s">
        <v>1317</v>
      </c>
      <c r="J12934" s="417">
        <v>53.46</v>
      </c>
      <c r="K12934" s="417">
        <v>55.21</v>
      </c>
      <c r="L12934" s="417">
        <v>52.31</v>
      </c>
      <c r="M12934" s="417">
        <v>52.88</v>
      </c>
      <c r="O12934" s="1462">
        <v>42491</v>
      </c>
      <c r="P12934">
        <v>105.8058</v>
      </c>
      <c r="Q12934" s="1559" t="s">
        <v>8092</v>
      </c>
      <c r="R12934" s="434"/>
    </row>
    <row r="12935" spans="1:18" ht="12.75" hidden="1" customHeight="1" outlineLevel="1" x14ac:dyDescent="0.25">
      <c r="A12935" s="2380">
        <v>0.05</v>
      </c>
      <c r="B12935" s="1921" t="s">
        <v>3998</v>
      </c>
      <c r="C12935" s="2108">
        <v>35.147499999999994</v>
      </c>
      <c r="D12935" s="2788">
        <v>37.619999999999997</v>
      </c>
      <c r="E12935" s="2789">
        <v>7.0346397325556698E-2</v>
      </c>
      <c r="F12935" s="2790">
        <v>3.5173198662778351E-3</v>
      </c>
      <c r="G12935" s="78"/>
      <c r="H12935" t="s">
        <v>4000</v>
      </c>
      <c r="I12935" s="453" t="s">
        <v>3998</v>
      </c>
      <c r="J12935" s="417">
        <v>34.94</v>
      </c>
      <c r="K12935" s="417">
        <v>35.479999999999997</v>
      </c>
      <c r="L12935" s="417">
        <v>35.33</v>
      </c>
      <c r="M12935" s="417">
        <v>34.840000000000003</v>
      </c>
      <c r="R12935" s="434"/>
    </row>
    <row r="12936" spans="1:18" ht="12.75" hidden="1" customHeight="1" outlineLevel="1" x14ac:dyDescent="0.25">
      <c r="A12936" s="2380">
        <v>0.02</v>
      </c>
      <c r="B12936" s="1921" t="s">
        <v>6246</v>
      </c>
      <c r="C12936" s="2108">
        <v>436.22499999999997</v>
      </c>
      <c r="D12936" s="2788">
        <v>631.4</v>
      </c>
      <c r="E12936" s="2789">
        <v>0.44741819015416362</v>
      </c>
      <c r="F12936" s="2790">
        <v>8.9483638030832726E-3</v>
      </c>
      <c r="G12936" s="78"/>
      <c r="H12936" t="s">
        <v>4312</v>
      </c>
      <c r="I12936" s="453" t="s">
        <v>6246</v>
      </c>
      <c r="J12936" s="417">
        <v>4.3029999999999999</v>
      </c>
      <c r="K12936" s="417">
        <v>4.3250000000000002</v>
      </c>
      <c r="L12936" s="417">
        <v>4.2610000000000001</v>
      </c>
      <c r="M12936" s="417">
        <v>4.5599999999999996</v>
      </c>
      <c r="R12936" s="434"/>
    </row>
    <row r="12937" spans="1:18" ht="12.75" hidden="1" customHeight="1" outlineLevel="1" x14ac:dyDescent="0.25">
      <c r="A12937" s="2380">
        <v>7.0000000000000007E-2</v>
      </c>
      <c r="B12937" s="1921" t="s">
        <v>805</v>
      </c>
      <c r="C12937" s="2108">
        <v>80.155000000000001</v>
      </c>
      <c r="D12937" s="2788">
        <v>100.93</v>
      </c>
      <c r="E12937" s="2789">
        <v>0.25918532842617426</v>
      </c>
      <c r="F12937" s="2790">
        <v>1.8142972989832199E-2</v>
      </c>
      <c r="G12937" s="78"/>
      <c r="H12937" t="s">
        <v>806</v>
      </c>
      <c r="I12937" s="453" t="s">
        <v>805</v>
      </c>
      <c r="J12937" s="417">
        <v>77.209999999999994</v>
      </c>
      <c r="K12937" s="417">
        <v>78.790000000000006</v>
      </c>
      <c r="L12937" s="417">
        <v>80</v>
      </c>
      <c r="M12937" s="417">
        <v>84.62</v>
      </c>
      <c r="R12937" s="434"/>
    </row>
    <row r="12938" spans="1:18" ht="12.75" hidden="1" customHeight="1" outlineLevel="1" x14ac:dyDescent="0.25">
      <c r="A12938" s="2380">
        <v>0.05</v>
      </c>
      <c r="B12938" s="1921" t="s">
        <v>807</v>
      </c>
      <c r="C12938" s="2108">
        <v>49.2425</v>
      </c>
      <c r="D12938" s="2788">
        <v>62.36</v>
      </c>
      <c r="E12938" s="2789">
        <v>0.26638574402193238</v>
      </c>
      <c r="F12938" s="2790">
        <v>1.3319287201096619E-2</v>
      </c>
      <c r="G12938" s="78"/>
      <c r="H12938" t="s">
        <v>808</v>
      </c>
      <c r="I12938" s="453" t="s">
        <v>807</v>
      </c>
      <c r="J12938" s="417">
        <v>50.47</v>
      </c>
      <c r="K12938" s="417">
        <v>48.19</v>
      </c>
      <c r="L12938" s="417">
        <v>49.12</v>
      </c>
      <c r="M12938" s="417">
        <v>49.19</v>
      </c>
      <c r="R12938" s="434"/>
    </row>
    <row r="12939" spans="1:18" ht="12.75" hidden="1" customHeight="1" outlineLevel="1" x14ac:dyDescent="0.25">
      <c r="A12939" s="2380">
        <v>0.02</v>
      </c>
      <c r="B12939" s="1921" t="s">
        <v>6078</v>
      </c>
      <c r="C12939" s="2108">
        <v>715.12500000000011</v>
      </c>
      <c r="D12939" s="2788">
        <v>554.6</v>
      </c>
      <c r="E12939" s="2789">
        <v>-0.22447124628561455</v>
      </c>
      <c r="F12939" s="2790">
        <v>-4.4894249257122912E-3</v>
      </c>
      <c r="G12939" s="78"/>
      <c r="H12939" t="s">
        <v>2354</v>
      </c>
      <c r="I12939" s="453" t="s">
        <v>6078</v>
      </c>
      <c r="J12939" s="417">
        <v>7.2549999999999999</v>
      </c>
      <c r="K12939" s="417">
        <v>7.0650000000000004</v>
      </c>
      <c r="L12939" s="417">
        <v>6.99</v>
      </c>
      <c r="M12939" s="417">
        <v>7.2949999999999999</v>
      </c>
      <c r="R12939" s="434"/>
    </row>
    <row r="12940" spans="1:18" ht="12.75" hidden="1" customHeight="1" outlineLevel="1" x14ac:dyDescent="0.25">
      <c r="A12940" s="2380">
        <v>0.02</v>
      </c>
      <c r="B12940" s="1921" t="s">
        <v>3954</v>
      </c>
      <c r="C12940" s="2108">
        <v>99.77</v>
      </c>
      <c r="D12940" s="2788">
        <v>107.92</v>
      </c>
      <c r="E12940" s="2789">
        <v>8.1687882128896439E-2</v>
      </c>
      <c r="F12940" s="2790">
        <v>1.6337576425779288E-3</v>
      </c>
      <c r="G12940" s="78"/>
      <c r="H12940" t="s">
        <v>3955</v>
      </c>
      <c r="I12940" s="453" t="s">
        <v>3954</v>
      </c>
      <c r="J12940" s="417">
        <v>96.75</v>
      </c>
      <c r="K12940" s="417">
        <v>97.34</v>
      </c>
      <c r="L12940" s="417">
        <v>100.22</v>
      </c>
      <c r="M12940" s="417">
        <v>104.77</v>
      </c>
      <c r="R12940" s="434"/>
    </row>
    <row r="12941" spans="1:18" ht="12.75" hidden="1" customHeight="1" outlineLevel="1" x14ac:dyDescent="0.25">
      <c r="A12941" s="2380">
        <v>0.02</v>
      </c>
      <c r="B12941" s="1921" t="s">
        <v>939</v>
      </c>
      <c r="C12941" s="2108">
        <v>82.164999999999992</v>
      </c>
      <c r="D12941" s="2788">
        <v>59.43</v>
      </c>
      <c r="E12941" s="2789">
        <v>-0.27669932452990931</v>
      </c>
      <c r="F12941" s="2790">
        <v>-5.5339864905981865E-3</v>
      </c>
      <c r="G12941" s="78"/>
      <c r="H12941" t="s">
        <v>2791</v>
      </c>
      <c r="I12941" s="453" t="s">
        <v>939</v>
      </c>
      <c r="J12941" s="417">
        <v>81.63</v>
      </c>
      <c r="K12941" s="417">
        <v>86.11</v>
      </c>
      <c r="L12941" s="417">
        <v>80.7</v>
      </c>
      <c r="M12941" s="417">
        <v>80.22</v>
      </c>
      <c r="R12941" s="434"/>
    </row>
    <row r="12942" spans="1:18" ht="12.75" hidden="1" customHeight="1" outlineLevel="1" x14ac:dyDescent="0.25">
      <c r="A12942" s="2380">
        <v>0.05</v>
      </c>
      <c r="B12942" s="1921" t="s">
        <v>6079</v>
      </c>
      <c r="C12942" s="2108">
        <v>56.357500000000002</v>
      </c>
      <c r="D12942" s="2788">
        <v>94</v>
      </c>
      <c r="E12942" s="2789">
        <v>0.66792352393204091</v>
      </c>
      <c r="F12942" s="2790">
        <v>3.3396176196602047E-2</v>
      </c>
      <c r="G12942" s="78"/>
      <c r="H12942" t="s">
        <v>1320</v>
      </c>
      <c r="I12942" s="453" t="s">
        <v>6079</v>
      </c>
      <c r="J12942" s="417">
        <v>55.09</v>
      </c>
      <c r="K12942" s="417">
        <v>57.09</v>
      </c>
      <c r="L12942" s="417">
        <v>56.09</v>
      </c>
      <c r="M12942" s="417">
        <v>57.16</v>
      </c>
      <c r="R12942" s="434"/>
    </row>
    <row r="12943" spans="1:18" ht="12.75" hidden="1" customHeight="1" outlineLevel="1" x14ac:dyDescent="0.25">
      <c r="A12943" s="2380">
        <v>0.02</v>
      </c>
      <c r="B12943" s="1921" t="s">
        <v>3021</v>
      </c>
      <c r="C12943" s="2108">
        <v>19.2575</v>
      </c>
      <c r="D12943" s="2788">
        <v>12.657999999999999</v>
      </c>
      <c r="E12943" s="2789">
        <v>-0.34269765026613008</v>
      </c>
      <c r="F12943" s="2790">
        <v>-6.853953005322602E-3</v>
      </c>
      <c r="G12943" s="78"/>
      <c r="H12943" t="s">
        <v>4124</v>
      </c>
      <c r="I12943" s="453" t="s">
        <v>3021</v>
      </c>
      <c r="J12943" s="417">
        <v>19.23</v>
      </c>
      <c r="K12943" s="417">
        <v>20.100000000000001</v>
      </c>
      <c r="L12943" s="417">
        <v>18.78</v>
      </c>
      <c r="M12943" s="417">
        <v>18.920000000000002</v>
      </c>
      <c r="R12943" s="434"/>
    </row>
    <row r="12944" spans="1:18" ht="12.75" hidden="1" customHeight="1" outlineLevel="1" x14ac:dyDescent="0.25">
      <c r="A12944" s="2380">
        <v>0.02</v>
      </c>
      <c r="B12944" s="1921" t="s">
        <v>7227</v>
      </c>
      <c r="C12944" s="2108">
        <v>19.765000000000001</v>
      </c>
      <c r="D12944" s="2788">
        <v>15.56</v>
      </c>
      <c r="E12944" s="2789">
        <v>-0.21274981027068052</v>
      </c>
      <c r="F12944" s="2790">
        <v>-4.2549962054136102E-3</v>
      </c>
      <c r="G12944" s="78"/>
      <c r="H12944" t="s">
        <v>7229</v>
      </c>
      <c r="I12944" s="453" t="s">
        <v>7227</v>
      </c>
      <c r="J12944" s="417">
        <v>21.09</v>
      </c>
      <c r="K12944" s="417">
        <v>20.16</v>
      </c>
      <c r="L12944" s="417">
        <v>18.844999999999999</v>
      </c>
      <c r="M12944" s="417">
        <v>18.965</v>
      </c>
      <c r="R12944" s="434"/>
    </row>
    <row r="12945" spans="1:18" ht="12.75" hidden="1" customHeight="1" outlineLevel="1" x14ac:dyDescent="0.25">
      <c r="A12945" s="2380">
        <v>0.05</v>
      </c>
      <c r="B12945" s="1921" t="s">
        <v>1386</v>
      </c>
      <c r="C12945" s="2108">
        <v>1492.3800798315176</v>
      </c>
      <c r="D12945" s="2788">
        <v>1784</v>
      </c>
      <c r="E12945" s="2789">
        <v>0.19540593184639987</v>
      </c>
      <c r="F12945" s="2790">
        <v>9.7702965923199946E-3</v>
      </c>
      <c r="G12945" s="78"/>
      <c r="H12945" t="s">
        <v>4128</v>
      </c>
      <c r="I12945" s="453" t="s">
        <v>1386</v>
      </c>
      <c r="J12945" s="417">
        <v>16.055</v>
      </c>
      <c r="K12945" s="417">
        <v>15.74</v>
      </c>
      <c r="L12945" s="417">
        <v>14.164999999999999</v>
      </c>
      <c r="M12945" s="417">
        <v>14.6</v>
      </c>
      <c r="R12945" s="434"/>
    </row>
    <row r="12946" spans="1:18" ht="12.75" hidden="1" customHeight="1" outlineLevel="1" x14ac:dyDescent="0.25">
      <c r="A12946" s="2380">
        <v>0.02</v>
      </c>
      <c r="B12946" s="1921" t="s">
        <v>6163</v>
      </c>
      <c r="C12946" s="2108">
        <v>64.442499999999995</v>
      </c>
      <c r="D12946" s="2788">
        <v>84.91</v>
      </c>
      <c r="E12946" s="2789">
        <v>0.31760872095278736</v>
      </c>
      <c r="F12946" s="2790">
        <v>6.3521744190557471E-3</v>
      </c>
      <c r="G12946" s="78"/>
      <c r="H12946" t="s">
        <v>9170</v>
      </c>
      <c r="I12946" s="453" t="s">
        <v>6163</v>
      </c>
      <c r="J12946" s="417">
        <v>62.87</v>
      </c>
      <c r="K12946" s="417">
        <v>63.06</v>
      </c>
      <c r="L12946" s="417">
        <v>64.58</v>
      </c>
      <c r="M12946" s="417">
        <v>67.260000000000005</v>
      </c>
      <c r="R12946" s="434"/>
    </row>
    <row r="12947" spans="1:18" ht="12.75" hidden="1" customHeight="1" outlineLevel="1" x14ac:dyDescent="0.25">
      <c r="A12947" s="2380">
        <v>0.02</v>
      </c>
      <c r="B12947" s="1921" t="s">
        <v>1771</v>
      </c>
      <c r="C12947" s="2108">
        <v>624.97500000000002</v>
      </c>
      <c r="D12947" s="2788">
        <v>551.79999999999995</v>
      </c>
      <c r="E12947" s="2789">
        <v>-0.11708468338733558</v>
      </c>
      <c r="F12947" s="2790">
        <v>-2.3416936677467114E-3</v>
      </c>
      <c r="G12947" s="78"/>
      <c r="H12947" t="s">
        <v>4329</v>
      </c>
      <c r="I12947" s="453" t="s">
        <v>1771</v>
      </c>
      <c r="J12947" s="417">
        <v>6.2489999999999997</v>
      </c>
      <c r="K12947" s="417">
        <v>5.9820000000000002</v>
      </c>
      <c r="L12947" s="417">
        <v>6.2930000000000001</v>
      </c>
      <c r="M12947" s="417">
        <v>6.4749999999999996</v>
      </c>
      <c r="R12947" s="434"/>
    </row>
    <row r="12948" spans="1:18" ht="12.75" hidden="1" customHeight="1" outlineLevel="1" x14ac:dyDescent="0.25">
      <c r="A12948" s="2380">
        <v>0.02</v>
      </c>
      <c r="B12948" s="1921" t="s">
        <v>6247</v>
      </c>
      <c r="C12948" s="2108">
        <v>31.8825</v>
      </c>
      <c r="D12948" s="2788">
        <v>63.93</v>
      </c>
      <c r="E12948" s="2789">
        <v>1.0051752528816751</v>
      </c>
      <c r="F12948" s="2790">
        <v>2.0103505057633503E-2</v>
      </c>
      <c r="G12948" s="78"/>
      <c r="H12948" t="s">
        <v>6731</v>
      </c>
      <c r="I12948" s="453" t="s">
        <v>6247</v>
      </c>
      <c r="J12948" s="417">
        <v>28.24</v>
      </c>
      <c r="K12948" s="417">
        <v>30.98</v>
      </c>
      <c r="L12948" s="417">
        <v>33.74</v>
      </c>
      <c r="M12948" s="417">
        <v>34.57</v>
      </c>
      <c r="R12948" s="434"/>
    </row>
    <row r="12949" spans="1:18" ht="12.75" hidden="1" customHeight="1" outlineLevel="1" x14ac:dyDescent="0.25">
      <c r="A12949" s="2380">
        <v>0.02</v>
      </c>
      <c r="B12949" s="1921" t="s">
        <v>1772</v>
      </c>
      <c r="C12949" s="2108">
        <v>158.125</v>
      </c>
      <c r="D12949" s="2788">
        <v>266.3</v>
      </c>
      <c r="E12949" s="2789">
        <v>0.6841106719367589</v>
      </c>
      <c r="F12949" s="2790">
        <v>1.3682213438735179E-2</v>
      </c>
      <c r="G12949" s="78"/>
      <c r="H12949" t="s">
        <v>4330</v>
      </c>
      <c r="I12949" s="453" t="s">
        <v>1772</v>
      </c>
      <c r="J12949" s="417">
        <v>162.19999999999999</v>
      </c>
      <c r="K12949" s="417">
        <v>162.55000000000001</v>
      </c>
      <c r="L12949" s="417">
        <v>155.19999999999999</v>
      </c>
      <c r="M12949" s="417">
        <v>152.55000000000001</v>
      </c>
      <c r="R12949" s="434"/>
    </row>
    <row r="12950" spans="1:18" ht="12.75" hidden="1" customHeight="1" outlineLevel="1" x14ac:dyDescent="0.25">
      <c r="A12950" s="2380">
        <v>0.02</v>
      </c>
      <c r="B12950" s="1921" t="s">
        <v>6113</v>
      </c>
      <c r="C12950" s="2108">
        <v>860.31895513120401</v>
      </c>
      <c r="D12950" s="2788">
        <v>1005.8</v>
      </c>
      <c r="E12950" s="2789">
        <v>0.16910128970319982</v>
      </c>
      <c r="F12950" s="2790">
        <v>3.3820257940639963E-3</v>
      </c>
      <c r="G12950" s="78"/>
      <c r="H12950" t="s">
        <v>4195</v>
      </c>
      <c r="I12950" s="453" t="s">
        <v>6113</v>
      </c>
      <c r="J12950" s="417">
        <v>8.31</v>
      </c>
      <c r="K12950" s="417">
        <v>8.5549999999999997</v>
      </c>
      <c r="L12950" s="417">
        <v>8.4</v>
      </c>
      <c r="M12950" s="417">
        <v>9.0250000000000004</v>
      </c>
      <c r="R12950" s="434"/>
    </row>
    <row r="12951" spans="1:18" ht="12.75" hidden="1" customHeight="1" outlineLevel="1" x14ac:dyDescent="0.25">
      <c r="A12951" s="2380">
        <v>0.05</v>
      </c>
      <c r="B12951" s="1921" t="s">
        <v>5630</v>
      </c>
      <c r="C12951" s="2108">
        <v>1778.75</v>
      </c>
      <c r="D12951" s="2788">
        <v>3107</v>
      </c>
      <c r="E12951" s="2789">
        <v>0.7467322557976106</v>
      </c>
      <c r="F12951" s="2790">
        <v>3.7336612789880534E-2</v>
      </c>
      <c r="G12951" s="78"/>
      <c r="H12951" t="s">
        <v>82</v>
      </c>
      <c r="I12951" s="453" t="s">
        <v>5630</v>
      </c>
      <c r="J12951" s="417">
        <v>1732</v>
      </c>
      <c r="K12951" s="417">
        <v>1755</v>
      </c>
      <c r="L12951" s="417">
        <v>1818</v>
      </c>
      <c r="M12951" s="417">
        <v>1810</v>
      </c>
      <c r="R12951" s="434"/>
    </row>
    <row r="12952" spans="1:18" ht="12.75" hidden="1" customHeight="1" outlineLevel="1" x14ac:dyDescent="0.25">
      <c r="A12952" s="2380">
        <v>7.0000000000000007E-2</v>
      </c>
      <c r="B12952" s="1921" t="s">
        <v>2769</v>
      </c>
      <c r="C12952" s="2108">
        <v>31.842295424029384</v>
      </c>
      <c r="D12952" s="2788">
        <v>36.19</v>
      </c>
      <c r="E12952" s="2789">
        <v>0.13653866714299978</v>
      </c>
      <c r="F12952" s="2790">
        <v>9.5577067000099849E-3</v>
      </c>
      <c r="G12952" s="78"/>
      <c r="H12952" t="s">
        <v>2770</v>
      </c>
      <c r="I12952" s="453" t="s">
        <v>2769</v>
      </c>
      <c r="J12952" s="417">
        <v>34.69</v>
      </c>
      <c r="K12952" s="417">
        <v>35.159999999999997</v>
      </c>
      <c r="L12952" s="417">
        <v>33.14</v>
      </c>
      <c r="M12952" s="417">
        <v>34.270000000000003</v>
      </c>
      <c r="R12952" s="434"/>
    </row>
    <row r="12953" spans="1:18" ht="12.75" hidden="1" customHeight="1" outlineLevel="1" x14ac:dyDescent="0.25">
      <c r="A12953" s="2380">
        <v>0.02</v>
      </c>
      <c r="B12953" s="1921" t="s">
        <v>2728</v>
      </c>
      <c r="C12953" s="2108">
        <v>78.1875</v>
      </c>
      <c r="D12953" s="2788">
        <v>104.58</v>
      </c>
      <c r="E12953" s="2789">
        <v>0.33755395683453226</v>
      </c>
      <c r="F12953" s="2790">
        <v>6.751079136690645E-3</v>
      </c>
      <c r="G12953" s="78"/>
      <c r="H12953" t="s">
        <v>9049</v>
      </c>
      <c r="I12953" s="453" t="s">
        <v>2728</v>
      </c>
      <c r="J12953" s="417">
        <v>75.23</v>
      </c>
      <c r="K12953" s="417">
        <v>77.010000000000005</v>
      </c>
      <c r="L12953" s="417">
        <v>79.37</v>
      </c>
      <c r="M12953" s="417">
        <v>81.14</v>
      </c>
      <c r="R12953" s="434"/>
    </row>
    <row r="12954" spans="1:18" ht="12.75" hidden="1" customHeight="1" outlineLevel="1" x14ac:dyDescent="0.25">
      <c r="A12954" s="2380">
        <v>0.02</v>
      </c>
      <c r="B12954" s="1921" t="s">
        <v>5519</v>
      </c>
      <c r="C12954" s="2108">
        <v>311.07499999999999</v>
      </c>
      <c r="D12954" s="2788">
        <v>202.4</v>
      </c>
      <c r="E12954" s="2789">
        <v>-0.34935304990757854</v>
      </c>
      <c r="F12954" s="2790">
        <v>-6.9870609981515707E-3</v>
      </c>
      <c r="G12954" s="78"/>
      <c r="H12954" t="s">
        <v>5517</v>
      </c>
      <c r="I12954" s="453" t="s">
        <v>5519</v>
      </c>
      <c r="J12954" s="417">
        <v>3.298</v>
      </c>
      <c r="K12954" s="417">
        <v>3.141</v>
      </c>
      <c r="L12954" s="417">
        <v>3.109</v>
      </c>
      <c r="M12954" s="417">
        <v>2.895</v>
      </c>
      <c r="R12954" s="434"/>
    </row>
    <row r="12955" spans="1:18" ht="12.75" hidden="1" customHeight="1" outlineLevel="1" x14ac:dyDescent="0.25">
      <c r="A12955" s="2380">
        <v>7.0000000000000007E-2</v>
      </c>
      <c r="B12955" s="1921" t="s">
        <v>6164</v>
      </c>
      <c r="C12955" s="2108">
        <v>3.6886516638898108</v>
      </c>
      <c r="D12955" s="2788">
        <v>4.8369999999999997</v>
      </c>
      <c r="E12955" s="2789">
        <v>0.31131926805449983</v>
      </c>
      <c r="F12955" s="2790">
        <v>2.179234876381499E-2</v>
      </c>
      <c r="G12955" s="78"/>
      <c r="H12955" t="s">
        <v>6114</v>
      </c>
      <c r="I12955" s="453" t="s">
        <v>6164</v>
      </c>
      <c r="J12955" s="417">
        <v>4.452</v>
      </c>
      <c r="K12955" s="417">
        <v>4.452</v>
      </c>
      <c r="L12955" s="417">
        <v>4.3760000000000003</v>
      </c>
      <c r="M12955" s="417">
        <v>4.4480000000000004</v>
      </c>
      <c r="R12955" s="434"/>
    </row>
    <row r="12956" spans="1:18" ht="12.75" hidden="1" customHeight="1" outlineLevel="1" x14ac:dyDescent="0.25">
      <c r="A12956" s="2380">
        <v>7.0000000000000007E-2</v>
      </c>
      <c r="B12956" s="1921" t="s">
        <v>3427</v>
      </c>
      <c r="C12956" s="2108">
        <v>43.952500000000001</v>
      </c>
      <c r="D12956" s="2788">
        <v>70.400000000000006</v>
      </c>
      <c r="E12956" s="2789">
        <v>0.60172913941186512</v>
      </c>
      <c r="F12956" s="2790">
        <v>4.212103975883056E-2</v>
      </c>
      <c r="G12956" s="78"/>
      <c r="H12956" t="s">
        <v>2800</v>
      </c>
      <c r="I12956" s="453" t="s">
        <v>3427</v>
      </c>
      <c r="J12956" s="417">
        <v>43.61</v>
      </c>
      <c r="K12956" s="417">
        <v>45.08</v>
      </c>
      <c r="L12956" s="417">
        <v>43.32</v>
      </c>
      <c r="M12956" s="417">
        <v>43.8</v>
      </c>
      <c r="R12956" s="434"/>
    </row>
    <row r="12957" spans="1:18" ht="12.75" hidden="1" customHeight="1" outlineLevel="1" x14ac:dyDescent="0.25">
      <c r="A12957" s="2380">
        <v>0.02</v>
      </c>
      <c r="B12957" s="1921" t="s">
        <v>1857</v>
      </c>
      <c r="C12957" s="2108">
        <v>1529.25</v>
      </c>
      <c r="D12957" s="2788">
        <v>1508.5</v>
      </c>
      <c r="E12957" s="2789">
        <v>-1.3568742847801185E-2</v>
      </c>
      <c r="F12957" s="2790">
        <v>-2.7137485695602373E-4</v>
      </c>
      <c r="G12957" s="78"/>
      <c r="H12957" t="s">
        <v>3559</v>
      </c>
      <c r="I12957" s="453" t="s">
        <v>1857</v>
      </c>
      <c r="J12957" s="417">
        <v>15.76</v>
      </c>
      <c r="K12957" s="417">
        <v>15.84</v>
      </c>
      <c r="L12957" s="417">
        <v>14.38</v>
      </c>
      <c r="M12957" s="417">
        <v>15.19</v>
      </c>
      <c r="R12957" s="434"/>
    </row>
    <row r="12958" spans="1:18" ht="12.75" hidden="1" customHeight="1" outlineLevel="1" x14ac:dyDescent="0.25">
      <c r="A12958" s="2380">
        <v>0.02</v>
      </c>
      <c r="B12958" s="1921" t="s">
        <v>3381</v>
      </c>
      <c r="C12958" s="2108">
        <v>183.27500000000001</v>
      </c>
      <c r="D12958" s="2788">
        <v>167.15</v>
      </c>
      <c r="E12958" s="2789">
        <v>-8.7982539899058798E-2</v>
      </c>
      <c r="F12958" s="2790">
        <v>-1.7596507979811759E-3</v>
      </c>
      <c r="G12958" s="78"/>
      <c r="H12958" t="s">
        <v>9199</v>
      </c>
      <c r="I12958" s="453" t="s">
        <v>3381</v>
      </c>
      <c r="J12958" s="417">
        <v>183.5</v>
      </c>
      <c r="K12958" s="417">
        <v>191</v>
      </c>
      <c r="L12958" s="417">
        <v>180.2</v>
      </c>
      <c r="M12958" s="417">
        <v>178.4</v>
      </c>
      <c r="R12958" s="434"/>
    </row>
    <row r="12959" spans="1:18" ht="12.75" hidden="1" customHeight="1" outlineLevel="1" x14ac:dyDescent="0.25">
      <c r="A12959" s="2380">
        <v>0.02</v>
      </c>
      <c r="B12959" s="1921" t="s">
        <v>1239</v>
      </c>
      <c r="C12959" s="2108">
        <v>521.875</v>
      </c>
      <c r="D12959" s="2788">
        <v>529.6</v>
      </c>
      <c r="E12959" s="2789">
        <v>1.4802395209580821E-2</v>
      </c>
      <c r="F12959" s="2790">
        <v>2.960479041916164E-4</v>
      </c>
      <c r="G12959" s="78"/>
      <c r="H12959" t="s">
        <v>8891</v>
      </c>
      <c r="I12959" s="453" t="s">
        <v>1239</v>
      </c>
      <c r="J12959" s="417">
        <v>531</v>
      </c>
      <c r="K12959" s="417">
        <v>522.5</v>
      </c>
      <c r="L12959" s="417">
        <v>501</v>
      </c>
      <c r="M12959" s="417">
        <v>533</v>
      </c>
      <c r="R12959" s="434"/>
    </row>
    <row r="12960" spans="1:18" ht="12.75" hidden="1" customHeight="1" outlineLevel="1" x14ac:dyDescent="0.25">
      <c r="A12960" s="2380">
        <v>0.02</v>
      </c>
      <c r="B12960" s="1921" t="s">
        <v>3626</v>
      </c>
      <c r="C12960" s="2108">
        <v>55.967500000000001</v>
      </c>
      <c r="D12960" s="2788">
        <v>73.14</v>
      </c>
      <c r="E12960" s="2789">
        <v>0.30682985661321305</v>
      </c>
      <c r="F12960" s="2790">
        <v>6.1365971322642609E-3</v>
      </c>
      <c r="G12960" s="78"/>
      <c r="H12960" t="s">
        <v>7752</v>
      </c>
      <c r="I12960" s="453" t="s">
        <v>3626</v>
      </c>
      <c r="J12960" s="417">
        <v>54.99</v>
      </c>
      <c r="K12960" s="417">
        <v>55.06</v>
      </c>
      <c r="L12960" s="417">
        <v>56.52</v>
      </c>
      <c r="M12960" s="417">
        <v>57.3</v>
      </c>
      <c r="R12960" s="434"/>
    </row>
    <row r="12961" spans="1:18" ht="12.75" hidden="1" customHeight="1" outlineLevel="1" x14ac:dyDescent="0.25">
      <c r="A12961" s="2380">
        <v>0.02</v>
      </c>
      <c r="B12961" s="1921" t="s">
        <v>6211</v>
      </c>
      <c r="C12961" s="2108">
        <v>2642.4999999999995</v>
      </c>
      <c r="D12961" s="2788">
        <v>4533.5</v>
      </c>
      <c r="E12961" s="2789">
        <v>0.71561021759697296</v>
      </c>
      <c r="F12961" s="2790">
        <v>1.4312204351939459E-2</v>
      </c>
      <c r="G12961" s="78"/>
      <c r="H12961" t="s">
        <v>107</v>
      </c>
      <c r="I12961" s="453" t="s">
        <v>6211</v>
      </c>
      <c r="J12961" s="417">
        <v>26.85</v>
      </c>
      <c r="K12961" s="417">
        <v>26.58</v>
      </c>
      <c r="L12961" s="417">
        <v>25.67</v>
      </c>
      <c r="M12961" s="417">
        <v>26.6</v>
      </c>
      <c r="R12961" s="434"/>
    </row>
    <row r="12962" spans="1:18" ht="12.75" hidden="1" customHeight="1" outlineLevel="1" x14ac:dyDescent="0.25">
      <c r="A12962" s="2380">
        <v>0.02</v>
      </c>
      <c r="B12962" s="1921" t="s">
        <v>3169</v>
      </c>
      <c r="C12962" s="2108">
        <v>19</v>
      </c>
      <c r="D12962" s="2788">
        <v>24.76</v>
      </c>
      <c r="E12962" s="2789">
        <v>0.30315789473684229</v>
      </c>
      <c r="F12962" s="2790">
        <v>6.0631578947368458E-3</v>
      </c>
      <c r="G12962" s="78"/>
      <c r="H12962" t="s">
        <v>657</v>
      </c>
      <c r="I12962" s="453" t="s">
        <v>3169</v>
      </c>
      <c r="J12962" s="417">
        <v>19.265000000000001</v>
      </c>
      <c r="K12962" s="417">
        <v>18.135000000000002</v>
      </c>
      <c r="L12962" s="417">
        <v>18.675000000000001</v>
      </c>
      <c r="M12962" s="417">
        <v>19.925000000000001</v>
      </c>
      <c r="R12962" s="434"/>
    </row>
    <row r="12963" spans="1:18" ht="12.75" hidden="1" customHeight="1" outlineLevel="1" x14ac:dyDescent="0.25">
      <c r="A12963" s="2380">
        <v>7.0000000000000007E-2</v>
      </c>
      <c r="B12963" s="2109" t="s">
        <v>4550</v>
      </c>
      <c r="C12963" s="2108">
        <v>268.67500000000001</v>
      </c>
      <c r="D12963" s="2791">
        <v>400.7</v>
      </c>
      <c r="E12963" s="2789">
        <v>0.49139294686889357</v>
      </c>
      <c r="F12963" s="2790">
        <v>3.4397506280822554E-2</v>
      </c>
      <c r="G12963" s="78"/>
      <c r="H12963" t="s">
        <v>8889</v>
      </c>
      <c r="I12963" s="408" t="s">
        <v>4550</v>
      </c>
      <c r="J12963" s="417">
        <v>268.5</v>
      </c>
      <c r="K12963" s="417">
        <v>268.3</v>
      </c>
      <c r="L12963" s="417">
        <v>262.10000000000002</v>
      </c>
      <c r="M12963" s="417">
        <v>275.8</v>
      </c>
      <c r="R12963" s="434"/>
    </row>
    <row r="12964" spans="1:18" ht="12.75" hidden="1" customHeight="1" outlineLevel="1" x14ac:dyDescent="0.25">
      <c r="A12964" s="2181" t="s">
        <v>2734</v>
      </c>
      <c r="B12964" s="2103"/>
      <c r="C12964" s="2792"/>
      <c r="D12964" s="2793"/>
      <c r="E12964" s="2794"/>
      <c r="F12964" s="2785">
        <v>0.29750650545525242</v>
      </c>
      <c r="G12964" s="78"/>
    </row>
    <row r="12965" spans="1:18" ht="12.75" hidden="1" customHeight="1" outlineLevel="1" x14ac:dyDescent="0.25">
      <c r="A12965" s="1956" t="s">
        <v>6228</v>
      </c>
      <c r="B12965" s="2185">
        <v>43313</v>
      </c>
      <c r="C12965" s="2795">
        <v>100</v>
      </c>
      <c r="D12965" s="2795">
        <v>112.30840000000001</v>
      </c>
      <c r="E12965" s="2796">
        <v>0.12308399999999997</v>
      </c>
      <c r="F12965" s="2797"/>
      <c r="G12965" s="78"/>
    </row>
    <row r="12966" spans="1:18" ht="12.75" hidden="1" customHeight="1" outlineLevel="1" x14ac:dyDescent="0.25">
      <c r="A12966" s="1956" t="s">
        <v>6229</v>
      </c>
      <c r="B12966" s="2185">
        <v>43344</v>
      </c>
      <c r="C12966" s="2795">
        <v>100</v>
      </c>
      <c r="D12966" s="2798">
        <v>112.8218</v>
      </c>
      <c r="E12966" s="2796">
        <v>0.12821799999999994</v>
      </c>
      <c r="F12966" s="2797"/>
      <c r="G12966" s="78"/>
    </row>
    <row r="12967" spans="1:18" ht="12.75" hidden="1" customHeight="1" outlineLevel="1" x14ac:dyDescent="0.25">
      <c r="A12967" s="1956" t="s">
        <v>6230</v>
      </c>
      <c r="B12967" s="2185">
        <v>43374</v>
      </c>
      <c r="C12967" s="2795">
        <v>100</v>
      </c>
      <c r="D12967" s="2798">
        <v>109.9858</v>
      </c>
      <c r="E12967" s="2796">
        <v>9.9858000000000002E-2</v>
      </c>
      <c r="F12967" s="2797"/>
      <c r="G12967" s="78"/>
    </row>
    <row r="12968" spans="1:18" ht="12.75" hidden="1" customHeight="1" outlineLevel="1" x14ac:dyDescent="0.25">
      <c r="A12968" s="1956" t="s">
        <v>6231</v>
      </c>
      <c r="B12968" s="2185">
        <v>43405</v>
      </c>
      <c r="C12968" s="2795">
        <v>100</v>
      </c>
      <c r="D12968" s="2798">
        <v>111.8263</v>
      </c>
      <c r="E12968" s="2796">
        <v>0.11826300000000001</v>
      </c>
      <c r="F12968" s="2797"/>
      <c r="G12968" s="78"/>
    </row>
    <row r="12969" spans="1:18" ht="12.75" hidden="1" customHeight="1" outlineLevel="1" x14ac:dyDescent="0.25">
      <c r="A12969" s="1956" t="s">
        <v>6232</v>
      </c>
      <c r="B12969" s="2185">
        <v>43435</v>
      </c>
      <c r="C12969" s="2795">
        <v>100</v>
      </c>
      <c r="D12969" s="2798">
        <v>105.24760000000001</v>
      </c>
      <c r="E12969" s="2796">
        <v>5.2475999999999967E-2</v>
      </c>
      <c r="F12969" s="2797"/>
      <c r="G12969" s="78"/>
    </row>
    <row r="12970" spans="1:18" ht="12.75" hidden="1" customHeight="1" outlineLevel="1" x14ac:dyDescent="0.25">
      <c r="A12970" s="1956" t="s">
        <v>6233</v>
      </c>
      <c r="B12970" s="2185">
        <v>43466</v>
      </c>
      <c r="C12970" s="2795">
        <v>100</v>
      </c>
      <c r="D12970" s="2798">
        <v>111.67749999999999</v>
      </c>
      <c r="E12970" s="2796">
        <v>0.11677499999999985</v>
      </c>
      <c r="F12970" s="2797"/>
      <c r="G12970" s="78"/>
    </row>
    <row r="12971" spans="1:18" ht="12.75" hidden="1" customHeight="1" outlineLevel="1" x14ac:dyDescent="0.25">
      <c r="A12971" s="1956" t="s">
        <v>6234</v>
      </c>
      <c r="B12971" s="2185">
        <v>43497</v>
      </c>
      <c r="C12971" s="2795">
        <v>100</v>
      </c>
      <c r="D12971" s="2798">
        <v>114.5866</v>
      </c>
      <c r="E12971" s="2796">
        <v>0.14586600000000005</v>
      </c>
      <c r="F12971" s="2797"/>
      <c r="G12971" s="78"/>
    </row>
    <row r="12972" spans="1:18" ht="12.75" hidden="1" customHeight="1" outlineLevel="1" x14ac:dyDescent="0.25">
      <c r="A12972" s="1956" t="s">
        <v>6235</v>
      </c>
      <c r="B12972" s="2185">
        <v>43525</v>
      </c>
      <c r="C12972" s="2795">
        <v>100</v>
      </c>
      <c r="D12972" s="2798">
        <v>115.8112</v>
      </c>
      <c r="E12972" s="2796">
        <v>0.15811200000000003</v>
      </c>
      <c r="F12972" s="2797"/>
      <c r="G12972" s="78"/>
    </row>
    <row r="12973" spans="1:18" ht="12.75" hidden="1" customHeight="1" outlineLevel="1" x14ac:dyDescent="0.25">
      <c r="A12973" s="1956" t="s">
        <v>6236</v>
      </c>
      <c r="B12973" s="2185">
        <v>43556</v>
      </c>
      <c r="C12973" s="2795">
        <v>100</v>
      </c>
      <c r="D12973" s="2798">
        <v>116.6465</v>
      </c>
      <c r="E12973" s="2796">
        <v>0.16646500000000009</v>
      </c>
      <c r="F12973" s="2797"/>
      <c r="G12973" s="78"/>
    </row>
    <row r="12974" spans="1:18" ht="12.75" hidden="1" customHeight="1" outlineLevel="1" x14ac:dyDescent="0.25">
      <c r="A12974" s="1956" t="s">
        <v>6237</v>
      </c>
      <c r="B12974" s="2185">
        <v>43586</v>
      </c>
      <c r="C12974" s="2795">
        <v>100</v>
      </c>
      <c r="D12974" s="2798">
        <v>113.6729</v>
      </c>
      <c r="E12974" s="2796">
        <v>0.13672899999999988</v>
      </c>
      <c r="F12974" s="2797"/>
      <c r="G12974" s="78"/>
    </row>
    <row r="12975" spans="1:18" ht="12.75" hidden="1" customHeight="1" outlineLevel="1" x14ac:dyDescent="0.25">
      <c r="A12975" s="1956" t="s">
        <v>6238</v>
      </c>
      <c r="B12975" s="2185">
        <v>43617</v>
      </c>
      <c r="C12975" s="2795">
        <v>100</v>
      </c>
      <c r="D12975" s="2798">
        <v>116.3378</v>
      </c>
      <c r="E12975" s="2796">
        <v>0.16337800000000002</v>
      </c>
      <c r="F12975" s="2797"/>
      <c r="G12975" s="78"/>
    </row>
    <row r="12976" spans="1:18" ht="12.75" hidden="1" customHeight="1" outlineLevel="1" x14ac:dyDescent="0.25">
      <c r="A12976" s="1956" t="s">
        <v>6239</v>
      </c>
      <c r="B12976" s="2185">
        <v>43647</v>
      </c>
      <c r="C12976" s="2795">
        <v>100</v>
      </c>
      <c r="D12976" s="2798">
        <v>117.3813</v>
      </c>
      <c r="E12976" s="2796">
        <v>0.173813</v>
      </c>
      <c r="F12976" s="2797"/>
      <c r="G12976" s="78"/>
    </row>
    <row r="12977" spans="1:11" ht="12.75" hidden="1" customHeight="1" outlineLevel="1" x14ac:dyDescent="0.25">
      <c r="A12977" s="1956" t="s">
        <v>6240</v>
      </c>
      <c r="B12977" s="2185">
        <v>43678</v>
      </c>
      <c r="C12977" s="2795">
        <v>100</v>
      </c>
      <c r="D12977" s="2798">
        <v>118.2508</v>
      </c>
      <c r="E12977" s="2796">
        <v>0.18250799999999989</v>
      </c>
      <c r="F12977" s="2797"/>
      <c r="G12977" s="78"/>
    </row>
    <row r="12978" spans="1:11" ht="12.75" hidden="1" customHeight="1" outlineLevel="1" x14ac:dyDescent="0.25">
      <c r="A12978" s="1956" t="s">
        <v>6241</v>
      </c>
      <c r="B12978" s="2185">
        <v>43709</v>
      </c>
      <c r="C12978" s="2795">
        <v>100</v>
      </c>
      <c r="D12978" s="2798">
        <v>124.0076</v>
      </c>
      <c r="E12978" s="2796">
        <v>0.24007599999999996</v>
      </c>
      <c r="F12978" s="2797"/>
      <c r="G12978" s="78"/>
    </row>
    <row r="12979" spans="1:11" ht="12.75" hidden="1" customHeight="1" outlineLevel="1" x14ac:dyDescent="0.25">
      <c r="A12979" s="1956" t="s">
        <v>6242</v>
      </c>
      <c r="B12979" s="2185">
        <v>43739</v>
      </c>
      <c r="C12979" s="2795">
        <v>100</v>
      </c>
      <c r="D12979" s="2798">
        <v>125.1696</v>
      </c>
      <c r="E12979" s="2796">
        <v>0.25169599999999992</v>
      </c>
      <c r="F12979" s="2797"/>
      <c r="G12979" s="78"/>
    </row>
    <row r="12980" spans="1:11" ht="12.75" hidden="1" customHeight="1" outlineLevel="1" x14ac:dyDescent="0.25">
      <c r="A12980" s="1956" t="s">
        <v>6243</v>
      </c>
      <c r="B12980" s="2185">
        <v>43770</v>
      </c>
      <c r="C12980" s="2795">
        <v>100</v>
      </c>
      <c r="D12980" s="2798">
        <v>125.2449</v>
      </c>
      <c r="E12980" s="2796">
        <v>0.25244899999999992</v>
      </c>
      <c r="F12980" s="2797"/>
      <c r="G12980" s="78"/>
    </row>
    <row r="12981" spans="1:11" ht="12.75" hidden="1" customHeight="1" outlineLevel="1" x14ac:dyDescent="0.25">
      <c r="A12981" s="1956" t="s">
        <v>6244</v>
      </c>
      <c r="B12981" s="2185">
        <v>43800</v>
      </c>
      <c r="C12981" s="2795">
        <v>100</v>
      </c>
      <c r="D12981" s="2798">
        <v>127.0412</v>
      </c>
      <c r="E12981" s="2796">
        <v>0.2704120000000001</v>
      </c>
      <c r="F12981" s="2797"/>
      <c r="G12981" s="78"/>
    </row>
    <row r="12982" spans="1:11" ht="12.75" hidden="1" customHeight="1" outlineLevel="1" x14ac:dyDescent="0.25">
      <c r="A12982" s="1956" t="s">
        <v>6245</v>
      </c>
      <c r="B12982" s="2185">
        <v>43831</v>
      </c>
      <c r="C12982" s="2795">
        <v>100</v>
      </c>
      <c r="D12982" s="2798">
        <v>129.7961</v>
      </c>
      <c r="E12982" s="2796">
        <v>0.29796099999999992</v>
      </c>
      <c r="F12982" s="2797"/>
      <c r="G12982" s="78"/>
    </row>
    <row r="12983" spans="1:11" ht="12.75" hidden="1" customHeight="1" outlineLevel="1" x14ac:dyDescent="0.25">
      <c r="A12983" s="2189" t="s">
        <v>2734</v>
      </c>
      <c r="B12983" s="2190"/>
      <c r="C12983" s="2798"/>
      <c r="D12983" s="2191" t="s">
        <v>2465</v>
      </c>
      <c r="E12983" s="1987">
        <v>0.17100772222222219</v>
      </c>
      <c r="F12983" s="2192">
        <v>0.17100772222222219</v>
      </c>
      <c r="G12983" s="78"/>
    </row>
    <row r="12984" spans="1:11" collapsed="1" x14ac:dyDescent="0.25">
      <c r="A12984" s="3801" t="s">
        <v>6223</v>
      </c>
      <c r="B12984" s="3802"/>
      <c r="C12984" s="3802"/>
      <c r="D12984" s="3802"/>
      <c r="E12984" s="1906"/>
      <c r="F12984" s="1907">
        <v>0.11115501944444442</v>
      </c>
      <c r="G12984" s="78"/>
    </row>
    <row r="12986" spans="1:11" ht="12.75" hidden="1" customHeight="1" outlineLevel="1" x14ac:dyDescent="0.25">
      <c r="A12986" s="3237" t="s">
        <v>113</v>
      </c>
      <c r="B12986" s="3237" t="s">
        <v>114</v>
      </c>
      <c r="C12986" s="3237" t="s">
        <v>112</v>
      </c>
      <c r="D12986" s="3237" t="s">
        <v>116</v>
      </c>
      <c r="E12986" s="3237" t="s">
        <v>117</v>
      </c>
      <c r="F12986" s="3276" t="s">
        <v>121</v>
      </c>
      <c r="G12986" s="78"/>
    </row>
    <row r="12987" spans="1:11" ht="12.75" hidden="1" customHeight="1" outlineLevel="1" x14ac:dyDescent="0.25">
      <c r="A12987" s="3238">
        <v>1</v>
      </c>
      <c r="B12987" s="3239" t="s">
        <v>252</v>
      </c>
      <c r="C12987" s="3240">
        <v>100</v>
      </c>
      <c r="D12987" s="3240"/>
      <c r="E12987" s="3241"/>
      <c r="F12987" s="3242"/>
      <c r="G12987" s="78"/>
    </row>
    <row r="12988" spans="1:11" ht="12.75" hidden="1" customHeight="1" outlineLevel="1" x14ac:dyDescent="0.25">
      <c r="A12988" s="3243" t="s">
        <v>2734</v>
      </c>
      <c r="B12988" s="3243"/>
      <c r="C12988" s="3244"/>
      <c r="D12988" s="1900" t="s">
        <v>3702</v>
      </c>
      <c r="E12988" s="3245">
        <v>44347</v>
      </c>
      <c r="F12988" s="3246"/>
      <c r="G12988" s="78"/>
    </row>
    <row r="12989" spans="1:11" ht="12.75" hidden="1" customHeight="1" outlineLevel="1" x14ac:dyDescent="0.25">
      <c r="A12989" s="3237" t="s">
        <v>4156</v>
      </c>
      <c r="B12989" s="3248" t="s">
        <v>4153</v>
      </c>
      <c r="C12989" s="3247" t="s">
        <v>112</v>
      </c>
      <c r="D12989" s="3248" t="s">
        <v>4155</v>
      </c>
      <c r="E12989" s="3237" t="s">
        <v>4154</v>
      </c>
      <c r="F12989" s="3277" t="s">
        <v>2519</v>
      </c>
      <c r="G12989" s="78"/>
    </row>
    <row r="12990" spans="1:11" ht="12.75" hidden="1" customHeight="1" outlineLevel="1" x14ac:dyDescent="0.25">
      <c r="A12990" s="1991">
        <v>0.08</v>
      </c>
      <c r="B12990" s="1992" t="s">
        <v>5386</v>
      </c>
      <c r="C12990" s="2090">
        <v>48.856000000000002</v>
      </c>
      <c r="D12990" s="3278">
        <v>59.82</v>
      </c>
      <c r="E12990" s="3279">
        <v>0.22441460618961839</v>
      </c>
      <c r="F12990" s="3277">
        <v>1.7953168495169473E-2</v>
      </c>
      <c r="G12990" s="78"/>
      <c r="H12990" t="s">
        <v>808</v>
      </c>
      <c r="K12990" s="434"/>
    </row>
    <row r="12991" spans="1:11" ht="12.75" hidden="1" customHeight="1" outlineLevel="1" x14ac:dyDescent="0.25">
      <c r="A12991" s="2380">
        <v>0.08</v>
      </c>
      <c r="B12991" s="2023" t="s">
        <v>3954</v>
      </c>
      <c r="C12991" s="1998">
        <v>98.507000000000005</v>
      </c>
      <c r="D12991" s="3399">
        <v>140.71</v>
      </c>
      <c r="E12991" s="3281">
        <v>0.42842640624524142</v>
      </c>
      <c r="F12991" s="3282">
        <v>3.4274112499619314E-2</v>
      </c>
      <c r="G12991" s="78"/>
      <c r="H12991" t="s">
        <v>3955</v>
      </c>
      <c r="K12991" s="434"/>
    </row>
    <row r="12992" spans="1:11" ht="12.75" hidden="1" customHeight="1" outlineLevel="1" x14ac:dyDescent="0.25">
      <c r="A12992" s="2380">
        <v>0.05</v>
      </c>
      <c r="B12992" s="1921" t="s">
        <v>6266</v>
      </c>
      <c r="C12992" s="2179">
        <v>309.04000000000002</v>
      </c>
      <c r="D12992" s="3280">
        <v>54.66</v>
      </c>
      <c r="E12992" s="3281">
        <v>-0.82312969194926222</v>
      </c>
      <c r="F12992" s="3282">
        <v>-4.1156484597463114E-2</v>
      </c>
      <c r="G12992" s="78"/>
      <c r="H12992" t="s">
        <v>4334</v>
      </c>
      <c r="K12992" s="434"/>
    </row>
    <row r="12993" spans="1:11" ht="12.75" hidden="1" customHeight="1" outlineLevel="1" x14ac:dyDescent="0.25">
      <c r="A12993" s="2380">
        <v>0.05</v>
      </c>
      <c r="B12993" s="1921" t="s">
        <v>6267</v>
      </c>
      <c r="C12993" s="2179">
        <v>24.285499999999999</v>
      </c>
      <c r="D12993" s="3280">
        <v>19.225000000000001</v>
      </c>
      <c r="E12993" s="3281">
        <v>-0.20837536801795298</v>
      </c>
      <c r="F12993" s="3282">
        <v>-1.041876840089765E-2</v>
      </c>
      <c r="G12993" s="78"/>
      <c r="H12993" t="s">
        <v>6268</v>
      </c>
      <c r="K12993" s="434"/>
    </row>
    <row r="12994" spans="1:11" ht="12.75" hidden="1" customHeight="1" outlineLevel="1" x14ac:dyDescent="0.25">
      <c r="A12994" s="2380">
        <v>0.02</v>
      </c>
      <c r="B12994" s="1921" t="s">
        <v>7227</v>
      </c>
      <c r="C12994" s="2179">
        <v>19.28719719013619</v>
      </c>
      <c r="D12994" s="3280">
        <v>12.15</v>
      </c>
      <c r="E12994" s="3281">
        <v>-0.37004843781999996</v>
      </c>
      <c r="F12994" s="3282">
        <v>-7.400968756399999E-3</v>
      </c>
      <c r="G12994" s="78"/>
      <c r="H12994" t="s">
        <v>7229</v>
      </c>
      <c r="K12994" s="434"/>
    </row>
    <row r="12995" spans="1:11" ht="12.75" hidden="1" customHeight="1" outlineLevel="1" x14ac:dyDescent="0.25">
      <c r="A12995" s="2380">
        <v>0.05</v>
      </c>
      <c r="B12995" s="1921" t="s">
        <v>3799</v>
      </c>
      <c r="C12995" s="2179">
        <v>1525.7959881223801</v>
      </c>
      <c r="D12995" s="3280">
        <v>1344.2</v>
      </c>
      <c r="E12995" s="3281">
        <v>-0.11901721431699996</v>
      </c>
      <c r="F12995" s="3282">
        <v>-5.9508607158499987E-3</v>
      </c>
      <c r="G12995" s="78"/>
      <c r="H12995" t="s">
        <v>4128</v>
      </c>
      <c r="K12995" s="434"/>
    </row>
    <row r="12996" spans="1:11" ht="12.75" hidden="1" customHeight="1" outlineLevel="1" x14ac:dyDescent="0.25">
      <c r="A12996" s="2380">
        <v>0.02</v>
      </c>
      <c r="B12996" s="1921" t="s">
        <v>1771</v>
      </c>
      <c r="C12996" s="2179">
        <v>599.01</v>
      </c>
      <c r="D12996" s="3280">
        <v>455.3</v>
      </c>
      <c r="E12996" s="3281">
        <v>-0.23991252232850868</v>
      </c>
      <c r="F12996" s="3282">
        <v>-4.7982504465701736E-3</v>
      </c>
      <c r="G12996" s="78"/>
      <c r="H12996" t="s">
        <v>4329</v>
      </c>
      <c r="K12996" s="434"/>
    </row>
    <row r="12997" spans="1:11" ht="12.75" hidden="1" customHeight="1" outlineLevel="1" x14ac:dyDescent="0.25">
      <c r="A12997" s="2380">
        <v>0.05</v>
      </c>
      <c r="B12997" s="1921" t="s">
        <v>1772</v>
      </c>
      <c r="C12997" s="2179">
        <v>161.63999999999999</v>
      </c>
      <c r="D12997" s="3280">
        <v>236.15</v>
      </c>
      <c r="E12997" s="3281">
        <v>0.46096263301163098</v>
      </c>
      <c r="F12997" s="3282">
        <v>2.304813165058155E-2</v>
      </c>
      <c r="G12997" s="78"/>
      <c r="H12997" t="s">
        <v>4330</v>
      </c>
      <c r="K12997" s="434"/>
    </row>
    <row r="12998" spans="1:11" ht="12.75" hidden="1" customHeight="1" outlineLevel="1" x14ac:dyDescent="0.25">
      <c r="A12998" s="2380">
        <v>0.05</v>
      </c>
      <c r="B12998" s="1921" t="s">
        <v>2786</v>
      </c>
      <c r="C12998" s="2179">
        <v>862.47665198511413</v>
      </c>
      <c r="D12998" s="3280">
        <v>939.2</v>
      </c>
      <c r="E12998" s="3281">
        <v>8.8957014474880136E-2</v>
      </c>
      <c r="F12998" s="3282">
        <v>4.4478507237440072E-3</v>
      </c>
      <c r="G12998" s="78"/>
      <c r="H12998" t="s">
        <v>4195</v>
      </c>
      <c r="K12998" s="434"/>
    </row>
    <row r="12999" spans="1:11" ht="12.75" hidden="1" customHeight="1" outlineLevel="1" x14ac:dyDescent="0.25">
      <c r="A12999" s="2380">
        <v>0.05</v>
      </c>
      <c r="B12999" s="1921" t="s">
        <v>901</v>
      </c>
      <c r="C12999" s="2179">
        <v>24.57659729414328</v>
      </c>
      <c r="D12999" s="3280">
        <v>27.13</v>
      </c>
      <c r="E12999" s="3281">
        <v>0.10389569700379986</v>
      </c>
      <c r="F12999" s="3282">
        <v>5.1947848501899931E-3</v>
      </c>
      <c r="G12999" s="78"/>
      <c r="H12999" t="s">
        <v>531</v>
      </c>
      <c r="K12999" s="434"/>
    </row>
    <row r="13000" spans="1:11" ht="12.75" hidden="1" customHeight="1" outlineLevel="1" x14ac:dyDescent="0.25">
      <c r="A13000" s="2380">
        <v>0.05</v>
      </c>
      <c r="B13000" s="1921" t="s">
        <v>6270</v>
      </c>
      <c r="C13000" s="2179">
        <v>37.23085557611126</v>
      </c>
      <c r="D13000" s="3280">
        <v>38.1</v>
      </c>
      <c r="E13000" s="3281">
        <v>2.3344734103999842E-2</v>
      </c>
      <c r="F13000" s="3282">
        <v>1.1672367051999922E-3</v>
      </c>
      <c r="G13000" s="78"/>
      <c r="H13000" t="s">
        <v>8166</v>
      </c>
      <c r="K13000" s="434"/>
    </row>
    <row r="13001" spans="1:11" ht="12.75" hidden="1" customHeight="1" outlineLevel="1" x14ac:dyDescent="0.25">
      <c r="A13001" s="2380">
        <v>0.08</v>
      </c>
      <c r="B13001" s="1921" t="s">
        <v>6164</v>
      </c>
      <c r="C13001" s="2179">
        <v>3.6257315227879432</v>
      </c>
      <c r="D13001" s="3280">
        <v>4.8070000000000004</v>
      </c>
      <c r="E13001" s="3281">
        <v>0.32580141959980025</v>
      </c>
      <c r="F13001" s="3282">
        <v>2.6064113567984021E-2</v>
      </c>
      <c r="G13001" s="78"/>
      <c r="H13001" t="s">
        <v>6114</v>
      </c>
      <c r="K13001" s="434"/>
    </row>
    <row r="13002" spans="1:11" ht="12.75" hidden="1" customHeight="1" outlineLevel="1" x14ac:dyDescent="0.25">
      <c r="A13002" s="2380">
        <v>0.05</v>
      </c>
      <c r="B13002" s="1921" t="s">
        <v>1857</v>
      </c>
      <c r="C13002" s="2179">
        <v>1534.2</v>
      </c>
      <c r="D13002" s="3280">
        <v>1542</v>
      </c>
      <c r="E13002" s="3281">
        <v>5.0840829096596707E-3</v>
      </c>
      <c r="F13002" s="3282">
        <v>2.5420414548298352E-4</v>
      </c>
      <c r="G13002" s="78"/>
      <c r="H13002" t="s">
        <v>3559</v>
      </c>
      <c r="K13002" s="434"/>
    </row>
    <row r="13003" spans="1:11" ht="12.75" hidden="1" customHeight="1" outlineLevel="1" x14ac:dyDescent="0.25">
      <c r="A13003" s="2380">
        <v>0.05</v>
      </c>
      <c r="B13003" s="1921" t="s">
        <v>3381</v>
      </c>
      <c r="C13003" s="2179">
        <v>187.76</v>
      </c>
      <c r="D13003" s="3280">
        <v>179.66</v>
      </c>
      <c r="E13003" s="3281">
        <v>-4.3140178951853403E-2</v>
      </c>
      <c r="F13003" s="3282">
        <v>-2.1570089475926703E-3</v>
      </c>
      <c r="G13003" s="78"/>
      <c r="H13003" t="s">
        <v>9199</v>
      </c>
      <c r="K13003" s="434"/>
    </row>
    <row r="13004" spans="1:11" ht="12.75" hidden="1" customHeight="1" outlineLevel="1" x14ac:dyDescent="0.25">
      <c r="A13004" s="2380">
        <v>0.02</v>
      </c>
      <c r="B13004" s="1921" t="s">
        <v>1724</v>
      </c>
      <c r="C13004" s="2179">
        <v>175.88</v>
      </c>
      <c r="D13004" s="3280">
        <v>149.08000000000001</v>
      </c>
      <c r="E13004" s="3281">
        <v>-0.15237662042301559</v>
      </c>
      <c r="F13004" s="3282">
        <v>-3.0475324084603119E-3</v>
      </c>
      <c r="G13004" s="78"/>
      <c r="H13004" t="s">
        <v>1725</v>
      </c>
      <c r="K13004" s="434"/>
    </row>
    <row r="13005" spans="1:11" ht="12.75" hidden="1" customHeight="1" outlineLevel="1" x14ac:dyDescent="0.25">
      <c r="A13005" s="2380">
        <v>0.05</v>
      </c>
      <c r="B13005" s="1921" t="s">
        <v>6118</v>
      </c>
      <c r="C13005" s="2179">
        <v>75.359649291625857</v>
      </c>
      <c r="D13005" s="3280">
        <v>86.4</v>
      </c>
      <c r="E13005" s="3281">
        <v>0.146502150848</v>
      </c>
      <c r="F13005" s="3282">
        <v>7.3251075424000008E-3</v>
      </c>
      <c r="G13005" s="78"/>
      <c r="H13005" t="s">
        <v>8893</v>
      </c>
      <c r="K13005" s="434"/>
    </row>
    <row r="13006" spans="1:11" ht="12.75" hidden="1" customHeight="1" outlineLevel="1" x14ac:dyDescent="0.25">
      <c r="A13006" s="2380">
        <v>0.08</v>
      </c>
      <c r="B13006" s="1921" t="s">
        <v>1239</v>
      </c>
      <c r="C13006" s="2179">
        <v>511.75</v>
      </c>
      <c r="D13006" s="3280">
        <v>506</v>
      </c>
      <c r="E13006" s="3281">
        <v>-1.1235955056179803E-2</v>
      </c>
      <c r="F13006" s="3282">
        <v>-8.9887640449438423E-4</v>
      </c>
      <c r="G13006" s="78"/>
      <c r="H13006" t="s">
        <v>8891</v>
      </c>
      <c r="K13006" s="434"/>
    </row>
    <row r="13007" spans="1:11" ht="12.75" hidden="1" customHeight="1" outlineLevel="1" x14ac:dyDescent="0.25">
      <c r="A13007" s="2380">
        <v>0.02</v>
      </c>
      <c r="B13007" s="1921" t="s">
        <v>6165</v>
      </c>
      <c r="C13007" s="2179">
        <v>50.865000000000002</v>
      </c>
      <c r="D13007" s="3280">
        <v>36.21</v>
      </c>
      <c r="E13007" s="3281">
        <v>-0.28811560011795934</v>
      </c>
      <c r="F13007" s="3282">
        <v>-5.762312002359187E-3</v>
      </c>
      <c r="G13007" s="78"/>
      <c r="H13007" t="s">
        <v>7745</v>
      </c>
      <c r="K13007" s="434"/>
    </row>
    <row r="13008" spans="1:11" ht="12.75" hidden="1" customHeight="1" outlineLevel="1" x14ac:dyDescent="0.25">
      <c r="A13008" s="2380">
        <v>0.02</v>
      </c>
      <c r="B13008" s="1921" t="s">
        <v>9301</v>
      </c>
      <c r="C13008" s="2179">
        <v>205.42</v>
      </c>
      <c r="D13008" s="3280">
        <v>71.180000000000007</v>
      </c>
      <c r="E13008" s="3281">
        <v>-0.65349040989192875</v>
      </c>
      <c r="F13008" s="3282">
        <v>-1.3069808197838576E-2</v>
      </c>
      <c r="G13008" s="78"/>
      <c r="H13008" t="s">
        <v>9302</v>
      </c>
      <c r="K13008" s="434"/>
    </row>
    <row r="13009" spans="1:11" ht="12.75" hidden="1" customHeight="1" outlineLevel="1" x14ac:dyDescent="0.25">
      <c r="A13009" s="2380">
        <v>0.08</v>
      </c>
      <c r="B13009" s="2109" t="s">
        <v>4550</v>
      </c>
      <c r="C13009" s="2179">
        <v>272.26</v>
      </c>
      <c r="D13009" s="3283">
        <v>375.6</v>
      </c>
      <c r="E13009" s="3281">
        <v>0.3795636523910968</v>
      </c>
      <c r="F13009" s="3282">
        <v>3.0365092191287746E-2</v>
      </c>
      <c r="G13009" s="78"/>
      <c r="H13009" t="s">
        <v>8889</v>
      </c>
      <c r="K13009" s="434"/>
    </row>
    <row r="13010" spans="1:11" ht="12.75" hidden="1" customHeight="1" outlineLevel="1" x14ac:dyDescent="0.25">
      <c r="A13010" s="2181" t="s">
        <v>2734</v>
      </c>
      <c r="B13010" s="2103"/>
      <c r="C13010" s="3258"/>
      <c r="D13010" s="3259"/>
      <c r="E13010" s="3284"/>
      <c r="F13010" s="3277">
        <v>5.5432931493733004E-2</v>
      </c>
      <c r="G13010" s="78"/>
    </row>
    <row r="13011" spans="1:11" ht="12.75" hidden="1" customHeight="1" outlineLevel="1" x14ac:dyDescent="0.25">
      <c r="A13011" s="1956" t="s">
        <v>6405</v>
      </c>
      <c r="B13011" s="2310">
        <v>43800</v>
      </c>
      <c r="C13011" s="3261">
        <v>100</v>
      </c>
      <c r="D13011" s="3261">
        <v>110.5946</v>
      </c>
      <c r="E13011" s="3262">
        <v>0.1059460000000001</v>
      </c>
      <c r="F13011" s="3285"/>
      <c r="G13011" s="78"/>
    </row>
    <row r="13012" spans="1:11" ht="12.75" hidden="1" customHeight="1" outlineLevel="1" x14ac:dyDescent="0.25">
      <c r="A13012" s="1956" t="s">
        <v>6406</v>
      </c>
      <c r="B13012" s="2310">
        <v>43831</v>
      </c>
      <c r="C13012" s="3261">
        <v>100</v>
      </c>
      <c r="D13012" s="3264">
        <v>112.8716</v>
      </c>
      <c r="E13012" s="3262">
        <v>0.12871600000000005</v>
      </c>
      <c r="F13012" s="3285"/>
      <c r="G13012" s="78"/>
    </row>
    <row r="13013" spans="1:11" ht="12.75" hidden="1" customHeight="1" outlineLevel="1" x14ac:dyDescent="0.25">
      <c r="A13013" s="1956" t="s">
        <v>6407</v>
      </c>
      <c r="B13013" s="2310">
        <v>43862</v>
      </c>
      <c r="C13013" s="3261">
        <v>100</v>
      </c>
      <c r="D13013" s="3264">
        <v>104.194</v>
      </c>
      <c r="E13013" s="3262">
        <v>4.1940000000000088E-2</v>
      </c>
      <c r="F13013" s="3285"/>
      <c r="G13013" s="78"/>
    </row>
    <row r="13014" spans="1:11" ht="12.75" hidden="1" customHeight="1" outlineLevel="1" x14ac:dyDescent="0.25">
      <c r="A13014" s="1956" t="s">
        <v>6408</v>
      </c>
      <c r="B13014" s="2310">
        <v>43891</v>
      </c>
      <c r="C13014" s="3261">
        <v>100</v>
      </c>
      <c r="D13014" s="3264">
        <v>91.637600000000006</v>
      </c>
      <c r="E13014" s="3262">
        <v>-8.3623999999999921E-2</v>
      </c>
      <c r="F13014" s="3285"/>
      <c r="G13014" s="78"/>
    </row>
    <row r="13015" spans="1:11" ht="12.75" hidden="1" customHeight="1" outlineLevel="1" x14ac:dyDescent="0.25">
      <c r="A13015" s="1956" t="s">
        <v>6409</v>
      </c>
      <c r="B13015" s="2310">
        <v>43922</v>
      </c>
      <c r="C13015" s="3261">
        <v>100</v>
      </c>
      <c r="D13015" s="3264">
        <v>92.308199999999999</v>
      </c>
      <c r="E13015" s="3262">
        <v>-7.6918000000000042E-2</v>
      </c>
      <c r="F13015" s="3285"/>
      <c r="G13015" s="78"/>
    </row>
    <row r="13016" spans="1:11" ht="12.75" hidden="1" customHeight="1" outlineLevel="1" x14ac:dyDescent="0.25">
      <c r="A13016" s="1956" t="s">
        <v>6410</v>
      </c>
      <c r="B13016" s="2310">
        <v>43952</v>
      </c>
      <c r="C13016" s="3261">
        <v>100</v>
      </c>
      <c r="D13016" s="3264">
        <v>92.950100000000006</v>
      </c>
      <c r="E13016" s="3262">
        <v>-7.0498999999999978E-2</v>
      </c>
      <c r="F13016" s="3285"/>
      <c r="G13016" s="78"/>
    </row>
    <row r="13017" spans="1:11" ht="12.75" hidden="1" customHeight="1" outlineLevel="1" x14ac:dyDescent="0.25">
      <c r="A13017" s="1956" t="s">
        <v>6411</v>
      </c>
      <c r="B13017" s="2310">
        <v>43983</v>
      </c>
      <c r="C13017" s="3261">
        <v>100</v>
      </c>
      <c r="D13017" s="3264">
        <v>96.111999999999995</v>
      </c>
      <c r="E13017" s="3262">
        <v>-3.8880000000000026E-2</v>
      </c>
      <c r="F13017" s="3285"/>
      <c r="G13017" s="78"/>
    </row>
    <row r="13018" spans="1:11" ht="12.75" hidden="1" customHeight="1" outlineLevel="1" x14ac:dyDescent="0.25">
      <c r="A13018" s="1956" t="s">
        <v>6412</v>
      </c>
      <c r="B13018" s="2310">
        <v>44013</v>
      </c>
      <c r="C13018" s="3261">
        <v>100</v>
      </c>
      <c r="D13018" s="3264">
        <v>94.038200000000003</v>
      </c>
      <c r="E13018" s="3262">
        <v>-5.9617999999999949E-2</v>
      </c>
      <c r="F13018" s="3285"/>
      <c r="G13018" s="78"/>
    </row>
    <row r="13019" spans="1:11" ht="12.75" hidden="1" customHeight="1" outlineLevel="1" x14ac:dyDescent="0.25">
      <c r="A13019" s="1956" t="s">
        <v>6413</v>
      </c>
      <c r="B13019" s="2310">
        <v>44044</v>
      </c>
      <c r="C13019" s="3261">
        <v>100</v>
      </c>
      <c r="D13019" s="3264">
        <v>94.882800000000003</v>
      </c>
      <c r="E13019" s="3262">
        <v>-5.1171999999999995E-2</v>
      </c>
      <c r="F13019" s="3285"/>
      <c r="G13019" s="78"/>
    </row>
    <row r="13020" spans="1:11" ht="12.75" hidden="1" customHeight="1" outlineLevel="1" x14ac:dyDescent="0.25">
      <c r="A13020" s="1956" t="s">
        <v>6414</v>
      </c>
      <c r="B13020" s="2310">
        <v>44075</v>
      </c>
      <c r="C13020" s="3261">
        <v>100</v>
      </c>
      <c r="D13020" s="3264">
        <v>92.93</v>
      </c>
      <c r="E13020" s="3262">
        <v>-7.0699999999999985E-2</v>
      </c>
      <c r="F13020" s="3285"/>
      <c r="G13020" s="78"/>
    </row>
    <row r="13021" spans="1:11" ht="12.75" hidden="1" customHeight="1" outlineLevel="1" x14ac:dyDescent="0.25">
      <c r="A13021" s="1956" t="s">
        <v>6415</v>
      </c>
      <c r="B13021" s="2310">
        <v>44105</v>
      </c>
      <c r="C13021" s="3261">
        <v>100</v>
      </c>
      <c r="D13021" s="3264">
        <v>88.934299999999993</v>
      </c>
      <c r="E13021" s="3262">
        <v>-0.11065700000000012</v>
      </c>
      <c r="F13021" s="3285"/>
      <c r="G13021" s="78"/>
    </row>
    <row r="13022" spans="1:11" ht="12.75" hidden="1" customHeight="1" outlineLevel="1" x14ac:dyDescent="0.25">
      <c r="A13022" s="1956" t="s">
        <v>6416</v>
      </c>
      <c r="B13022" s="2310">
        <v>44136</v>
      </c>
      <c r="C13022" s="3261">
        <v>100</v>
      </c>
      <c r="D13022" s="3264">
        <v>98.582800000000006</v>
      </c>
      <c r="E13022" s="3262">
        <v>-1.4171999999999962E-2</v>
      </c>
      <c r="F13022" s="3285"/>
      <c r="G13022" s="78"/>
    </row>
    <row r="13023" spans="1:11" ht="12.75" hidden="1" customHeight="1" outlineLevel="1" x14ac:dyDescent="0.25">
      <c r="A13023" s="1956" t="s">
        <v>6417</v>
      </c>
      <c r="B13023" s="2310">
        <v>44166</v>
      </c>
      <c r="C13023" s="3261">
        <v>100</v>
      </c>
      <c r="D13023" s="3264">
        <v>98.298699999999997</v>
      </c>
      <c r="E13023" s="3262">
        <v>-1.7013000000000056E-2</v>
      </c>
      <c r="F13023" s="3285"/>
      <c r="G13023" s="78"/>
    </row>
    <row r="13024" spans="1:11" ht="12.75" hidden="1" customHeight="1" outlineLevel="1" x14ac:dyDescent="0.25">
      <c r="A13024" s="1956" t="s">
        <v>6418</v>
      </c>
      <c r="B13024" s="2310">
        <v>44197</v>
      </c>
      <c r="C13024" s="3261">
        <v>100</v>
      </c>
      <c r="D13024" s="3264">
        <v>96.822699999999998</v>
      </c>
      <c r="E13024" s="3262">
        <v>-3.1773000000000051E-2</v>
      </c>
      <c r="F13024" s="3285"/>
      <c r="G13024" s="78"/>
    </row>
    <row r="13025" spans="1:14" ht="12.75" hidden="1" customHeight="1" outlineLevel="1" x14ac:dyDescent="0.25">
      <c r="A13025" s="1956" t="s">
        <v>6419</v>
      </c>
      <c r="B13025" s="2310">
        <v>44228</v>
      </c>
      <c r="C13025" s="3261">
        <v>100</v>
      </c>
      <c r="D13025" s="3264">
        <v>97.128900000000002</v>
      </c>
      <c r="E13025" s="3262">
        <v>-2.8710999999999931E-2</v>
      </c>
      <c r="F13025" s="3285"/>
      <c r="G13025" s="78"/>
    </row>
    <row r="13026" spans="1:14" ht="12.75" hidden="1" customHeight="1" outlineLevel="1" x14ac:dyDescent="0.25">
      <c r="A13026" s="1956" t="s">
        <v>6420</v>
      </c>
      <c r="B13026" s="2310">
        <v>44256</v>
      </c>
      <c r="C13026" s="3261">
        <v>100</v>
      </c>
      <c r="D13026" s="3264">
        <v>104.2812</v>
      </c>
      <c r="E13026" s="3262">
        <v>4.2812000000000072E-2</v>
      </c>
      <c r="F13026" s="3285"/>
      <c r="G13026" s="78"/>
    </row>
    <row r="13027" spans="1:14" ht="12.75" hidden="1" customHeight="1" outlineLevel="1" x14ac:dyDescent="0.25">
      <c r="A13027" s="1956" t="s">
        <v>6421</v>
      </c>
      <c r="B13027" s="2310">
        <v>44287</v>
      </c>
      <c r="C13027" s="3261">
        <v>100</v>
      </c>
      <c r="D13027" s="3264">
        <v>102.9539</v>
      </c>
      <c r="E13027" s="3262">
        <v>2.9538999999999982E-2</v>
      </c>
      <c r="F13027" s="3285"/>
      <c r="G13027" s="78"/>
    </row>
    <row r="13028" spans="1:14" ht="12.75" hidden="1" customHeight="1" outlineLevel="1" x14ac:dyDescent="0.25">
      <c r="A13028" s="1956" t="s">
        <v>6422</v>
      </c>
      <c r="B13028" s="2310">
        <v>44317</v>
      </c>
      <c r="C13028" s="3261">
        <v>100</v>
      </c>
      <c r="D13028" s="3264">
        <v>105.5433</v>
      </c>
      <c r="E13028" s="3262">
        <v>5.5433000000000066E-2</v>
      </c>
      <c r="F13028" s="3285"/>
      <c r="G13028" s="78"/>
    </row>
    <row r="13029" spans="1:14" ht="12.75" hidden="1" customHeight="1" outlineLevel="1" x14ac:dyDescent="0.25">
      <c r="A13029" s="2189" t="s">
        <v>2734</v>
      </c>
      <c r="B13029" s="2190"/>
      <c r="C13029" s="3264"/>
      <c r="D13029" s="2191" t="s">
        <v>2465</v>
      </c>
      <c r="E13029" s="1987">
        <v>-1.3852833333333314E-2</v>
      </c>
      <c r="F13029" s="2192">
        <v>-1.3852833333333314E-2</v>
      </c>
      <c r="G13029" s="78"/>
    </row>
    <row r="13030" spans="1:14" collapsed="1" x14ac:dyDescent="0.25">
      <c r="A13030" s="3801" t="s">
        <v>6265</v>
      </c>
      <c r="B13030" s="3802"/>
      <c r="C13030" s="3802"/>
      <c r="D13030" s="3802"/>
      <c r="E13030" s="1906"/>
      <c r="F13030" s="1907">
        <v>0</v>
      </c>
      <c r="G13030" s="78"/>
    </row>
    <row r="13032" spans="1:14" hidden="1" outlineLevel="1" x14ac:dyDescent="0.25">
      <c r="A13032" s="2488" t="s">
        <v>113</v>
      </c>
      <c r="B13032" s="2489" t="s">
        <v>114</v>
      </c>
      <c r="C13032" s="2488" t="s">
        <v>112</v>
      </c>
      <c r="D13032" s="2488" t="s">
        <v>4155</v>
      </c>
      <c r="E13032" s="2488"/>
      <c r="F13032" s="2490" t="s">
        <v>121</v>
      </c>
      <c r="G13032" s="12"/>
    </row>
    <row r="13033" spans="1:14" hidden="1" outlineLevel="1" x14ac:dyDescent="0.25">
      <c r="A13033" s="1810" t="s">
        <v>2734</v>
      </c>
      <c r="B13033" s="2491" t="s">
        <v>6283</v>
      </c>
      <c r="C13033" s="2108">
        <v>338.0625</v>
      </c>
      <c r="D13033" s="2492">
        <v>396.75</v>
      </c>
      <c r="E13033" s="2493"/>
      <c r="F13033" s="2494">
        <v>0.17359955629506385</v>
      </c>
      <c r="G13033" s="12"/>
    </row>
    <row r="13034" spans="1:14" hidden="1" outlineLevel="1" x14ac:dyDescent="0.25">
      <c r="A13034" s="2160" t="s">
        <v>2734</v>
      </c>
      <c r="B13034" s="1930"/>
      <c r="C13034" s="2211"/>
      <c r="D13034" s="2495"/>
      <c r="E13034" s="2496"/>
      <c r="F13034" s="2497"/>
      <c r="G13034" s="12"/>
      <c r="M13034" s="370"/>
    </row>
    <row r="13035" spans="1:14" ht="12.75" hidden="1" customHeight="1" outlineLevel="1" x14ac:dyDescent="0.25">
      <c r="A13035" s="1810" t="s">
        <v>6286</v>
      </c>
      <c r="B13035" s="2213">
        <v>43221</v>
      </c>
      <c r="C13035" s="2498"/>
      <c r="D13035" s="2498">
        <v>383.06</v>
      </c>
      <c r="E13035" s="2499">
        <v>0.13310408578295441</v>
      </c>
      <c r="F13035" s="2500"/>
      <c r="G13035" s="78"/>
      <c r="I13035" s="417" t="s">
        <v>5316</v>
      </c>
      <c r="J13035" s="417" t="s">
        <v>6284</v>
      </c>
      <c r="L13035" s="256"/>
      <c r="M13035" s="1628"/>
      <c r="N13035" s="37"/>
    </row>
    <row r="13036" spans="1:14" ht="12.75" hidden="1" customHeight="1" outlineLevel="1" x14ac:dyDescent="0.25">
      <c r="A13036" s="2197" t="s">
        <v>6287</v>
      </c>
      <c r="B13036" s="2213">
        <v>43252</v>
      </c>
      <c r="C13036" s="2498"/>
      <c r="D13036" s="2498">
        <v>379.93</v>
      </c>
      <c r="E13036" s="2499">
        <v>0.12384544278055087</v>
      </c>
      <c r="F13036" s="2500"/>
      <c r="G13036" s="78"/>
      <c r="I13036" s="436">
        <v>41705</v>
      </c>
      <c r="J13036" s="417">
        <v>333.06</v>
      </c>
      <c r="L13036" s="256"/>
      <c r="M13036" s="1628"/>
      <c r="N13036" s="37"/>
    </row>
    <row r="13037" spans="1:14" ht="12.75" hidden="1" customHeight="1" outlineLevel="1" x14ac:dyDescent="0.25">
      <c r="A13037" s="2197" t="s">
        <v>6288</v>
      </c>
      <c r="B13037" s="2213">
        <v>43282</v>
      </c>
      <c r="C13037" s="2498"/>
      <c r="D13037" s="2498">
        <v>391.61</v>
      </c>
      <c r="E13037" s="2499">
        <v>0.15839526714734697</v>
      </c>
      <c r="F13037" s="2500"/>
      <c r="G13037" s="78"/>
      <c r="I13037" s="436">
        <v>41730</v>
      </c>
      <c r="J13037" s="417">
        <v>336.35</v>
      </c>
      <c r="L13037" s="256"/>
      <c r="M13037" s="1628"/>
      <c r="N13037" s="37"/>
    </row>
    <row r="13038" spans="1:14" ht="12.75" hidden="1" customHeight="1" outlineLevel="1" x14ac:dyDescent="0.25">
      <c r="A13038" s="2197" t="s">
        <v>6289</v>
      </c>
      <c r="B13038" s="2213">
        <v>43313</v>
      </c>
      <c r="C13038" s="2498"/>
      <c r="D13038" s="2498">
        <v>382.26</v>
      </c>
      <c r="E13038" s="2499">
        <v>0.13073765945646132</v>
      </c>
      <c r="F13038" s="2500"/>
      <c r="G13038" s="78"/>
      <c r="I13038" s="436">
        <v>41761</v>
      </c>
      <c r="J13038" s="417">
        <v>337.76</v>
      </c>
      <c r="L13038" s="256"/>
      <c r="M13038" s="1628"/>
      <c r="N13038" s="37"/>
    </row>
    <row r="13039" spans="1:14" ht="12.75" hidden="1" customHeight="1" outlineLevel="1" x14ac:dyDescent="0.25">
      <c r="A13039" s="2197" t="s">
        <v>6290</v>
      </c>
      <c r="B13039" s="2213">
        <v>43344</v>
      </c>
      <c r="C13039" s="2498"/>
      <c r="D13039" s="2498">
        <v>383.18</v>
      </c>
      <c r="E13039" s="2499">
        <v>0.13345904973192835</v>
      </c>
      <c r="F13039" s="2500"/>
      <c r="G13039" s="78"/>
      <c r="I13039" s="436">
        <v>41792</v>
      </c>
      <c r="J13039" s="417">
        <v>345.08</v>
      </c>
      <c r="L13039" s="256"/>
      <c r="M13039" s="1628"/>
      <c r="N13039" s="37"/>
    </row>
    <row r="13040" spans="1:14" ht="12.75" hidden="1" customHeight="1" outlineLevel="1" x14ac:dyDescent="0.25">
      <c r="A13040" s="2197" t="s">
        <v>6291</v>
      </c>
      <c r="B13040" s="2213">
        <v>43374</v>
      </c>
      <c r="C13040" s="2498"/>
      <c r="D13040" s="2498">
        <v>361.61</v>
      </c>
      <c r="E13040" s="2499">
        <v>6.9654279903863969E-2</v>
      </c>
      <c r="F13040" s="2500"/>
      <c r="G13040" s="78"/>
      <c r="I13040" s="417" t="s">
        <v>6285</v>
      </c>
      <c r="J13040" s="417">
        <f>AVERAGE(J13036:J13039)</f>
        <v>338.0625</v>
      </c>
      <c r="L13040" s="256"/>
      <c r="M13040" s="1628"/>
      <c r="N13040" s="37"/>
    </row>
    <row r="13041" spans="1:14" ht="12.75" hidden="1" customHeight="1" outlineLevel="1" x14ac:dyDescent="0.25">
      <c r="A13041" s="2197" t="s">
        <v>6292</v>
      </c>
      <c r="B13041" s="2213">
        <v>43405</v>
      </c>
      <c r="C13041" s="2498"/>
      <c r="D13041" s="2498">
        <v>357.49</v>
      </c>
      <c r="E13041" s="2499">
        <v>5.7467184322425702E-2</v>
      </c>
      <c r="F13041" s="2500"/>
      <c r="G13041" s="78"/>
      <c r="L13041" s="256"/>
      <c r="M13041" s="1628"/>
      <c r="N13041" s="37"/>
    </row>
    <row r="13042" spans="1:14" ht="12.75" hidden="1" customHeight="1" outlineLevel="1" x14ac:dyDescent="0.25">
      <c r="A13042" s="2197" t="s">
        <v>6293</v>
      </c>
      <c r="B13042" s="2213">
        <v>43435</v>
      </c>
      <c r="C13042" s="2498"/>
      <c r="D13042" s="2498">
        <v>337.65</v>
      </c>
      <c r="E13042" s="2499">
        <v>-1.2201885745979357E-3</v>
      </c>
      <c r="F13042" s="2500"/>
      <c r="G13042" s="78"/>
      <c r="L13042" s="256"/>
      <c r="M13042" s="1628"/>
      <c r="N13042" s="37"/>
    </row>
    <row r="13043" spans="1:14" ht="12.75" hidden="1" customHeight="1" outlineLevel="1" x14ac:dyDescent="0.25">
      <c r="A13043" s="2197" t="s">
        <v>6294</v>
      </c>
      <c r="B13043" s="2213">
        <v>43466</v>
      </c>
      <c r="C13043" s="2498"/>
      <c r="D13043" s="2498">
        <v>358.67</v>
      </c>
      <c r="E13043" s="2499">
        <v>6.0957663154002528E-2</v>
      </c>
      <c r="F13043" s="2500"/>
      <c r="G13043" s="78"/>
      <c r="L13043" s="256"/>
      <c r="M13043" s="1628"/>
      <c r="N13043" s="37"/>
    </row>
    <row r="13044" spans="1:14" ht="12.75" hidden="1" customHeight="1" outlineLevel="1" x14ac:dyDescent="0.25">
      <c r="A13044" s="2197" t="s">
        <v>6295</v>
      </c>
      <c r="B13044" s="2213">
        <v>43497</v>
      </c>
      <c r="C13044" s="2498"/>
      <c r="D13044" s="2498">
        <v>372.8</v>
      </c>
      <c r="E13044" s="2499">
        <v>0.10275466814568324</v>
      </c>
      <c r="F13044" s="2500"/>
      <c r="G13044" s="78"/>
      <c r="L13044" s="256"/>
      <c r="M13044" s="1628"/>
      <c r="N13044" s="37"/>
    </row>
    <row r="13045" spans="1:14" ht="12.75" hidden="1" customHeight="1" outlineLevel="1" x14ac:dyDescent="0.25">
      <c r="A13045" s="2197" t="s">
        <v>6296</v>
      </c>
      <c r="B13045" s="2213">
        <v>43525</v>
      </c>
      <c r="C13045" s="2498"/>
      <c r="D13045" s="2498">
        <v>379.09</v>
      </c>
      <c r="E13045" s="2499">
        <v>0.12136069513773329</v>
      </c>
      <c r="F13045" s="2500"/>
      <c r="G13045" s="78"/>
      <c r="L13045" s="256"/>
      <c r="M13045" s="1628"/>
      <c r="N13045" s="37"/>
    </row>
    <row r="13046" spans="1:14" ht="12.75" hidden="1" customHeight="1" outlineLevel="1" x14ac:dyDescent="0.25">
      <c r="A13046" s="2197" t="s">
        <v>6297</v>
      </c>
      <c r="B13046" s="2213">
        <v>43556</v>
      </c>
      <c r="C13046" s="2498"/>
      <c r="D13046" s="2498">
        <v>391.35</v>
      </c>
      <c r="E13046" s="2499">
        <v>0.15762617859123695</v>
      </c>
      <c r="F13046" s="2500"/>
      <c r="G13046" s="78"/>
      <c r="L13046" s="256"/>
      <c r="M13046" s="1628"/>
      <c r="N13046" s="37"/>
    </row>
    <row r="13047" spans="1:14" ht="12.75" hidden="1" customHeight="1" outlineLevel="1" x14ac:dyDescent="0.25">
      <c r="A13047" s="2197" t="s">
        <v>6298</v>
      </c>
      <c r="B13047" s="2213">
        <v>43586</v>
      </c>
      <c r="C13047" s="2498"/>
      <c r="D13047" s="2498">
        <v>369.06</v>
      </c>
      <c r="E13047" s="2499">
        <v>9.169162506932893E-2</v>
      </c>
      <c r="F13047" s="2500"/>
      <c r="G13047" s="78"/>
      <c r="L13047" s="256"/>
      <c r="M13047" s="1628"/>
      <c r="N13047" s="37"/>
    </row>
    <row r="13048" spans="1:14" ht="12.75" hidden="1" customHeight="1" outlineLevel="1" x14ac:dyDescent="0.25">
      <c r="A13048" s="2197" t="s">
        <v>6299</v>
      </c>
      <c r="B13048" s="2213">
        <v>43617</v>
      </c>
      <c r="C13048" s="2498"/>
      <c r="D13048" s="2498">
        <v>384.87</v>
      </c>
      <c r="E13048" s="2499">
        <v>0.13845812534664459</v>
      </c>
      <c r="F13048" s="2500"/>
      <c r="G13048" s="78"/>
      <c r="L13048" s="256"/>
      <c r="M13048" s="1628"/>
      <c r="N13048" s="37"/>
    </row>
    <row r="13049" spans="1:14" ht="12.75" hidden="1" customHeight="1" outlineLevel="1" x14ac:dyDescent="0.25">
      <c r="A13049" s="2197" t="s">
        <v>6300</v>
      </c>
      <c r="B13049" s="2213">
        <v>43647</v>
      </c>
      <c r="C13049" s="2498"/>
      <c r="D13049" s="2498">
        <v>385.77</v>
      </c>
      <c r="E13049" s="2499">
        <v>0.14112035496394881</v>
      </c>
      <c r="F13049" s="2500"/>
      <c r="G13049" s="78"/>
      <c r="L13049" s="256"/>
      <c r="M13049" s="1628"/>
      <c r="N13049" s="37"/>
    </row>
    <row r="13050" spans="1:14" ht="12.75" hidden="1" customHeight="1" outlineLevel="1" x14ac:dyDescent="0.25">
      <c r="A13050" s="2197" t="s">
        <v>6301</v>
      </c>
      <c r="B13050" s="2213">
        <v>43678</v>
      </c>
      <c r="C13050" s="2498"/>
      <c r="D13050" s="2498">
        <v>379.48</v>
      </c>
      <c r="E13050" s="2499">
        <v>0.12251432797189876</v>
      </c>
      <c r="F13050" s="2500"/>
      <c r="G13050" s="78"/>
      <c r="L13050" s="256"/>
      <c r="M13050" s="1628"/>
      <c r="N13050" s="37"/>
    </row>
    <row r="13051" spans="1:14" ht="12.75" hidden="1" customHeight="1" outlineLevel="1" x14ac:dyDescent="0.25">
      <c r="A13051" s="2197" t="s">
        <v>6302</v>
      </c>
      <c r="B13051" s="2213">
        <v>43709</v>
      </c>
      <c r="C13051" s="2498"/>
      <c r="D13051" s="2498">
        <v>393.15</v>
      </c>
      <c r="E13051" s="2499">
        <v>0.16295063782584585</v>
      </c>
      <c r="F13051" s="2500"/>
      <c r="G13051" s="78"/>
      <c r="L13051" s="256"/>
      <c r="M13051" s="1628"/>
      <c r="N13051" s="37"/>
    </row>
    <row r="13052" spans="1:14" ht="12.75" hidden="1" customHeight="1" outlineLevel="1" x14ac:dyDescent="0.25">
      <c r="A13052" s="2197" t="s">
        <v>6303</v>
      </c>
      <c r="B13052" s="2213">
        <v>43739</v>
      </c>
      <c r="C13052" s="2501"/>
      <c r="D13052" s="2501">
        <v>396.75</v>
      </c>
      <c r="E13052" s="2499">
        <v>0.17359955629506385</v>
      </c>
      <c r="F13052" s="2192"/>
      <c r="G13052" s="78"/>
      <c r="L13052" s="256"/>
      <c r="M13052" s="1628"/>
      <c r="N13052" s="37"/>
    </row>
    <row r="13053" spans="1:14" ht="12.75" hidden="1" customHeight="1" outlineLevel="1" x14ac:dyDescent="0.25">
      <c r="A13053" s="2215" t="s">
        <v>2734</v>
      </c>
      <c r="B13053" s="2216"/>
      <c r="C13053" s="2502"/>
      <c r="D13053" s="2217" t="s">
        <v>2465</v>
      </c>
      <c r="E13053" s="1987">
        <v>0.11547092294735112</v>
      </c>
      <c r="F13053" s="1948">
        <v>0.11547092294735112</v>
      </c>
      <c r="G13053" s="78"/>
      <c r="L13053" s="412"/>
      <c r="M13053" s="1628"/>
      <c r="N13053" s="261"/>
    </row>
    <row r="13054" spans="1:14" collapsed="1" x14ac:dyDescent="0.25">
      <c r="A13054" s="3801" t="s">
        <v>6304</v>
      </c>
      <c r="B13054" s="3802"/>
      <c r="C13054" s="3802"/>
      <c r="D13054" s="3802"/>
      <c r="E13054" s="2503"/>
      <c r="F13054" s="1890">
        <v>5.7799999999999997E-2</v>
      </c>
      <c r="G13054" s="12"/>
    </row>
    <row r="13056" spans="1:14" ht="12.75" hidden="1" customHeight="1" outlineLevel="1" x14ac:dyDescent="0.25">
      <c r="A13056" s="2578" t="s">
        <v>113</v>
      </c>
      <c r="B13056" s="2578" t="s">
        <v>114</v>
      </c>
      <c r="C13056" s="2578" t="s">
        <v>112</v>
      </c>
      <c r="D13056" s="2578" t="s">
        <v>116</v>
      </c>
      <c r="E13056" s="2578" t="s">
        <v>117</v>
      </c>
      <c r="F13056" s="2579" t="s">
        <v>121</v>
      </c>
      <c r="G13056" s="78"/>
    </row>
    <row r="13057" spans="1:26" ht="12.75" hidden="1" customHeight="1" outlineLevel="1" x14ac:dyDescent="0.25">
      <c r="A13057" s="2580">
        <v>1</v>
      </c>
      <c r="B13057" s="2581" t="s">
        <v>252</v>
      </c>
      <c r="C13057" s="2582">
        <v>100</v>
      </c>
      <c r="D13057" s="2582"/>
      <c r="E13057" s="2583"/>
      <c r="F13057" s="2584"/>
      <c r="G13057" s="78"/>
    </row>
    <row r="13058" spans="1:26" ht="12.75" hidden="1" customHeight="1" outlineLevel="1" x14ac:dyDescent="0.25">
      <c r="A13058" s="2585" t="s">
        <v>2734</v>
      </c>
      <c r="B13058" s="2585"/>
      <c r="C13058" s="2586"/>
      <c r="D13058" s="1900" t="s">
        <v>3702</v>
      </c>
      <c r="E13058" s="2587">
        <v>43798</v>
      </c>
      <c r="F13058" s="2588"/>
      <c r="G13058" s="78"/>
      <c r="J13058" t="s">
        <v>5773</v>
      </c>
      <c r="O13058" t="s">
        <v>6702</v>
      </c>
    </row>
    <row r="13059" spans="1:26" ht="12.75" hidden="1" customHeight="1" outlineLevel="1" x14ac:dyDescent="0.25">
      <c r="A13059" s="2578" t="s">
        <v>4156</v>
      </c>
      <c r="B13059" s="2590" t="s">
        <v>4153</v>
      </c>
      <c r="C13059" s="2589" t="s">
        <v>112</v>
      </c>
      <c r="D13059" s="2590" t="s">
        <v>4155</v>
      </c>
      <c r="E13059" s="2578" t="s">
        <v>4154</v>
      </c>
      <c r="F13059" s="2591" t="s">
        <v>2519</v>
      </c>
      <c r="G13059" s="78"/>
      <c r="J13059" s="417" t="s">
        <v>6042</v>
      </c>
      <c r="K13059" s="417" t="s">
        <v>6306</v>
      </c>
      <c r="L13059" s="417" t="s">
        <v>6224</v>
      </c>
      <c r="M13059" s="417" t="s">
        <v>6225</v>
      </c>
      <c r="O13059" s="1264">
        <v>42065</v>
      </c>
      <c r="P13059" s="1264">
        <v>42066</v>
      </c>
      <c r="Q13059" s="1264">
        <v>42067</v>
      </c>
      <c r="R13059" s="1264">
        <v>42068</v>
      </c>
      <c r="S13059" s="1264">
        <v>42069</v>
      </c>
      <c r="T13059" s="481" t="s">
        <v>3766</v>
      </c>
      <c r="U13059" s="24" t="s">
        <v>4154</v>
      </c>
      <c r="V13059" s="24" t="s">
        <v>2519</v>
      </c>
    </row>
    <row r="13060" spans="1:26" ht="12.75" hidden="1" customHeight="1" outlineLevel="1" x14ac:dyDescent="0.25">
      <c r="A13060" s="1991">
        <v>0.02</v>
      </c>
      <c r="B13060" s="1992" t="s">
        <v>1317</v>
      </c>
      <c r="C13060" s="2108">
        <v>53.3125</v>
      </c>
      <c r="D13060" s="2592">
        <v>91.35</v>
      </c>
      <c r="E13060" s="2593">
        <v>0.71348182883939026</v>
      </c>
      <c r="F13060" s="2591">
        <v>1.4269636576787805E-2</v>
      </c>
      <c r="G13060" s="78"/>
      <c r="H13060" t="s">
        <v>1318</v>
      </c>
      <c r="I13060" s="481" t="s">
        <v>6325</v>
      </c>
      <c r="J13060" s="417">
        <v>50.69</v>
      </c>
      <c r="K13060" s="417">
        <v>53.87</v>
      </c>
      <c r="L13060" s="417">
        <v>53.48</v>
      </c>
      <c r="M13060" s="417">
        <v>55.21</v>
      </c>
      <c r="O13060" s="1265">
        <v>56.15</v>
      </c>
      <c r="P13060" s="481">
        <v>56.73</v>
      </c>
      <c r="Q13060" s="1266">
        <v>56.58</v>
      </c>
      <c r="R13060" s="481">
        <v>57.08</v>
      </c>
      <c r="S13060" s="1266">
        <v>55.01</v>
      </c>
      <c r="T13060" s="481">
        <v>56.309999999999988</v>
      </c>
      <c r="U13060" s="85">
        <v>5.6225087924970385E-2</v>
      </c>
      <c r="V13060" s="450">
        <v>1.1245017584994078E-3</v>
      </c>
      <c r="Z13060" s="434"/>
    </row>
    <row r="13061" spans="1:26" ht="12.75" hidden="1" customHeight="1" outlineLevel="1" x14ac:dyDescent="0.25">
      <c r="A13061" s="2380">
        <v>0.02</v>
      </c>
      <c r="B13061" s="1921" t="s">
        <v>3998</v>
      </c>
      <c r="C13061" s="2108">
        <v>35.497499999999995</v>
      </c>
      <c r="D13061" s="2597">
        <v>37.380000000000003</v>
      </c>
      <c r="E13061" s="2595">
        <v>5.3031903655187174E-2</v>
      </c>
      <c r="F13061" s="2596">
        <v>1.0606380731037436E-3</v>
      </c>
      <c r="G13061" s="78"/>
      <c r="H13061" t="s">
        <v>4000</v>
      </c>
      <c r="I13061" s="453" t="s">
        <v>6046</v>
      </c>
      <c r="J13061" s="417">
        <v>35.49</v>
      </c>
      <c r="K13061" s="417">
        <v>35.58</v>
      </c>
      <c r="L13061" s="417">
        <v>35.44</v>
      </c>
      <c r="M13061" s="417">
        <v>35.479999999999997</v>
      </c>
      <c r="O13061" s="459">
        <v>34.64</v>
      </c>
      <c r="P13061" s="453">
        <v>34.409999999999997</v>
      </c>
      <c r="Q13061" s="370">
        <v>34</v>
      </c>
      <c r="R13061" s="453">
        <v>34</v>
      </c>
      <c r="S13061" s="370">
        <v>33.479999999999997</v>
      </c>
      <c r="T13061" s="453">
        <v>34.106000000000002</v>
      </c>
      <c r="U13061" s="81">
        <v>-3.9199943658003944E-2</v>
      </c>
      <c r="V13061" s="451">
        <v>-7.8399887316007891E-4</v>
      </c>
      <c r="Z13061" s="434"/>
    </row>
    <row r="13062" spans="1:26" ht="12.75" hidden="1" customHeight="1" outlineLevel="1" x14ac:dyDescent="0.25">
      <c r="A13062" s="2380">
        <v>0.03</v>
      </c>
      <c r="B13062" s="1921" t="s">
        <v>805</v>
      </c>
      <c r="C13062" s="2108">
        <v>76.217500000000001</v>
      </c>
      <c r="D13062" s="2597">
        <v>102.22</v>
      </c>
      <c r="E13062" s="2595">
        <v>0.34116180667169616</v>
      </c>
      <c r="F13062" s="2596">
        <v>1.0234854200150884E-2</v>
      </c>
      <c r="G13062" s="78"/>
      <c r="H13062" t="s">
        <v>806</v>
      </c>
      <c r="I13062" s="453" t="s">
        <v>6326</v>
      </c>
      <c r="J13062" s="417">
        <v>74.48</v>
      </c>
      <c r="K13062" s="417">
        <v>75.36</v>
      </c>
      <c r="L13062" s="417">
        <v>76.239999999999995</v>
      </c>
      <c r="M13062" s="417">
        <v>78.790000000000006</v>
      </c>
      <c r="O13062" s="459">
        <v>77.150000000000006</v>
      </c>
      <c r="P13062" s="453">
        <v>76.12</v>
      </c>
      <c r="Q13062" s="370">
        <v>76.27</v>
      </c>
      <c r="R13062" s="453">
        <v>76.3</v>
      </c>
      <c r="S13062" s="370">
        <v>76.06</v>
      </c>
      <c r="T13062" s="453">
        <v>76.38000000000001</v>
      </c>
      <c r="U13062" s="81">
        <v>2.1320562862860992E-3</v>
      </c>
      <c r="V13062" s="451">
        <v>6.396168858858297E-5</v>
      </c>
      <c r="Z13062" s="434"/>
    </row>
    <row r="13063" spans="1:26" ht="12.75" hidden="1" customHeight="1" outlineLevel="1" x14ac:dyDescent="0.25">
      <c r="A13063" s="2380">
        <v>0.08</v>
      </c>
      <c r="B13063" s="1921" t="s">
        <v>807</v>
      </c>
      <c r="C13063" s="2108">
        <v>48.88</v>
      </c>
      <c r="D13063" s="2597">
        <v>63.94</v>
      </c>
      <c r="E13063" s="2595">
        <v>0.30810147299508994</v>
      </c>
      <c r="F13063" s="2596">
        <v>2.4648117839607197E-2</v>
      </c>
      <c r="G13063" s="78"/>
      <c r="H13063" t="s">
        <v>808</v>
      </c>
      <c r="I13063" s="453" t="s">
        <v>5386</v>
      </c>
      <c r="J13063" s="417">
        <v>48.07</v>
      </c>
      <c r="K13063" s="417">
        <v>48.95</v>
      </c>
      <c r="L13063" s="417">
        <v>50.31</v>
      </c>
      <c r="M13063" s="417">
        <v>48.19</v>
      </c>
      <c r="O13063" s="459">
        <v>54.75</v>
      </c>
      <c r="P13063" s="453">
        <v>54.55</v>
      </c>
      <c r="Q13063" s="370">
        <v>55.11</v>
      </c>
      <c r="R13063" s="453">
        <v>55.1</v>
      </c>
      <c r="S13063" s="370">
        <v>54.24</v>
      </c>
      <c r="T13063" s="453">
        <v>54.75</v>
      </c>
      <c r="U13063" s="81">
        <v>0.1200900163666121</v>
      </c>
      <c r="V13063" s="451">
        <v>9.6072013093289679E-3</v>
      </c>
      <c r="Z13063" s="434"/>
    </row>
    <row r="13064" spans="1:26" ht="12.75" hidden="1" customHeight="1" outlineLevel="1" x14ac:dyDescent="0.25">
      <c r="A13064" s="2380">
        <v>0.02</v>
      </c>
      <c r="B13064" s="1921" t="s">
        <v>6078</v>
      </c>
      <c r="C13064" s="2108">
        <v>695.50000000000011</v>
      </c>
      <c r="D13064" s="2597">
        <v>575.6</v>
      </c>
      <c r="E13064" s="2595">
        <v>-0.17239396117900796</v>
      </c>
      <c r="F13064" s="2596">
        <v>-3.4478792235801592E-3</v>
      </c>
      <c r="G13064" s="78"/>
      <c r="H13064" t="s">
        <v>2354</v>
      </c>
      <c r="I13064" s="453" t="s">
        <v>6078</v>
      </c>
      <c r="J13064" s="417">
        <v>6.66</v>
      </c>
      <c r="K13064" s="417">
        <v>6.9</v>
      </c>
      <c r="L13064" s="417">
        <v>7.1950000000000003</v>
      </c>
      <c r="M13064" s="417">
        <v>7.0650000000000004</v>
      </c>
      <c r="O13064" s="459">
        <v>845</v>
      </c>
      <c r="P13064" s="453">
        <v>850</v>
      </c>
      <c r="Q13064" s="370">
        <v>848.5</v>
      </c>
      <c r="R13064" s="453">
        <v>862.5</v>
      </c>
      <c r="S13064" s="370">
        <v>839.5</v>
      </c>
      <c r="T13064" s="453">
        <v>849.1</v>
      </c>
      <c r="U13064" s="81">
        <v>0.22084831056793663</v>
      </c>
      <c r="V13064" s="451">
        <v>4.4169662113587331E-3</v>
      </c>
      <c r="Z13064" s="434"/>
    </row>
    <row r="13065" spans="1:26" ht="12.75" hidden="1" customHeight="1" outlineLevel="1" x14ac:dyDescent="0.25">
      <c r="A13065" s="2380">
        <v>0.08</v>
      </c>
      <c r="B13065" s="1921" t="s">
        <v>10025</v>
      </c>
      <c r="C13065" s="2108">
        <v>18.023779879455049</v>
      </c>
      <c r="D13065" s="2597">
        <v>44.15</v>
      </c>
      <c r="E13065" s="2595">
        <v>1.4495416774550001</v>
      </c>
      <c r="F13065" s="2596">
        <v>0.11596333419640001</v>
      </c>
      <c r="G13065" s="78"/>
      <c r="H13065" t="s">
        <v>10024</v>
      </c>
      <c r="I13065" s="453" t="s">
        <v>6327</v>
      </c>
      <c r="J13065" s="417">
        <v>8.9649999999999999</v>
      </c>
      <c r="K13065" s="417">
        <v>9.0050000000000008</v>
      </c>
      <c r="L13065" s="417">
        <v>8.7949999999999999</v>
      </c>
      <c r="M13065" s="417">
        <v>9.09</v>
      </c>
      <c r="O13065" s="459">
        <v>1005</v>
      </c>
      <c r="P13065" s="453">
        <v>985</v>
      </c>
      <c r="Q13065" s="370">
        <v>996</v>
      </c>
      <c r="R13065" s="453">
        <v>1003</v>
      </c>
      <c r="S13065" s="370">
        <v>996</v>
      </c>
      <c r="T13065" s="453">
        <v>997</v>
      </c>
      <c r="U13065" s="81">
        <v>54.315810926900006</v>
      </c>
      <c r="V13065" s="451">
        <v>4.3452648741520008</v>
      </c>
      <c r="Z13065" s="434"/>
    </row>
    <row r="13066" spans="1:26" ht="12.75" hidden="1" customHeight="1" outlineLevel="1" x14ac:dyDescent="0.25">
      <c r="A13066" s="2380">
        <v>0.08</v>
      </c>
      <c r="B13066" s="1921" t="s">
        <v>3954</v>
      </c>
      <c r="C13066" s="2108">
        <v>96.507499999999993</v>
      </c>
      <c r="D13066" s="2597">
        <v>115.46</v>
      </c>
      <c r="E13066" s="2595">
        <v>0.19638370074864642</v>
      </c>
      <c r="F13066" s="2596">
        <v>1.5710696059891713E-2</v>
      </c>
      <c r="G13066" s="78"/>
      <c r="H13066" t="s">
        <v>3955</v>
      </c>
      <c r="I13066" s="453" t="s">
        <v>6328</v>
      </c>
      <c r="J13066" s="417">
        <v>95.1</v>
      </c>
      <c r="K13066" s="417">
        <v>97.4</v>
      </c>
      <c r="L13066" s="417">
        <v>96.19</v>
      </c>
      <c r="M13066" s="417">
        <v>97.34</v>
      </c>
      <c r="O13066" s="459">
        <v>95.5</v>
      </c>
      <c r="P13066" s="453">
        <v>94.67</v>
      </c>
      <c r="Q13066" s="370">
        <v>94.38</v>
      </c>
      <c r="R13066" s="453">
        <v>93.85</v>
      </c>
      <c r="S13066" s="370">
        <v>94.44</v>
      </c>
      <c r="T13066" s="453">
        <v>94.567999999999998</v>
      </c>
      <c r="U13066" s="81">
        <v>-2.0096883661891551E-2</v>
      </c>
      <c r="V13066" s="451">
        <v>-1.6077506929513242E-3</v>
      </c>
      <c r="Z13066" s="434"/>
    </row>
    <row r="13067" spans="1:26" ht="12.75" hidden="1" customHeight="1" outlineLevel="1" x14ac:dyDescent="0.25">
      <c r="A13067" s="2380">
        <v>0.02</v>
      </c>
      <c r="B13067" s="1921" t="s">
        <v>6079</v>
      </c>
      <c r="C13067" s="2108">
        <v>56.23</v>
      </c>
      <c r="D13067" s="2597">
        <v>86.89</v>
      </c>
      <c r="E13067" s="2595">
        <v>0.54526053707985067</v>
      </c>
      <c r="F13067" s="2596">
        <v>1.0905210741597013E-2</v>
      </c>
      <c r="G13067" s="78"/>
      <c r="H13067" t="s">
        <v>1320</v>
      </c>
      <c r="I13067" s="453" t="s">
        <v>6079</v>
      </c>
      <c r="J13067" s="417">
        <v>54.75</v>
      </c>
      <c r="K13067" s="417">
        <v>58.08</v>
      </c>
      <c r="L13067" s="417">
        <v>55</v>
      </c>
      <c r="M13067" s="417">
        <v>57.09</v>
      </c>
      <c r="O13067" s="459">
        <v>61.82</v>
      </c>
      <c r="P13067" s="453">
        <v>62.17</v>
      </c>
      <c r="Q13067" s="370">
        <v>61.87</v>
      </c>
      <c r="R13067" s="453">
        <v>62.32</v>
      </c>
      <c r="S13067" s="370">
        <v>59.98</v>
      </c>
      <c r="T13067" s="453">
        <v>61.632000000000005</v>
      </c>
      <c r="U13067" s="81">
        <v>9.6069713675973833E-2</v>
      </c>
      <c r="V13067" s="451">
        <v>1.9213942735194767E-3</v>
      </c>
      <c r="Z13067" s="434"/>
    </row>
    <row r="13068" spans="1:26" ht="12.75" hidden="1" customHeight="1" outlineLevel="1" x14ac:dyDescent="0.25">
      <c r="A13068" s="2380">
        <v>0.02</v>
      </c>
      <c r="B13068" s="1921" t="s">
        <v>6161</v>
      </c>
      <c r="C13068" s="2108">
        <v>10773.25</v>
      </c>
      <c r="D13068" s="2597">
        <v>13385</v>
      </c>
      <c r="E13068" s="2595">
        <v>0.24242916482955468</v>
      </c>
      <c r="F13068" s="2596">
        <v>4.8485832965910938E-3</v>
      </c>
      <c r="G13068" s="78"/>
      <c r="H13068" t="s">
        <v>6159</v>
      </c>
      <c r="I13068" s="453" t="s">
        <v>6329</v>
      </c>
      <c r="J13068" s="417">
        <v>9978</v>
      </c>
      <c r="K13068" s="417">
        <v>10110</v>
      </c>
      <c r="L13068" s="417">
        <v>11055</v>
      </c>
      <c r="M13068" s="417">
        <v>11950</v>
      </c>
      <c r="O13068" s="459">
        <v>12810</v>
      </c>
      <c r="P13068" s="453">
        <v>12915</v>
      </c>
      <c r="Q13068" s="370">
        <v>12915</v>
      </c>
      <c r="R13068" s="453">
        <v>12660</v>
      </c>
      <c r="S13068" s="370">
        <v>13090</v>
      </c>
      <c r="T13068" s="453">
        <v>12878</v>
      </c>
      <c r="U13068" s="81">
        <v>0.19536815724131529</v>
      </c>
      <c r="V13068" s="451">
        <v>3.907363144826306E-3</v>
      </c>
      <c r="Z13068" s="434"/>
    </row>
    <row r="13069" spans="1:26" ht="12.75" hidden="1" customHeight="1" outlineLevel="1" x14ac:dyDescent="0.25">
      <c r="A13069" s="2380">
        <v>0.02</v>
      </c>
      <c r="B13069" s="1921" t="s">
        <v>3021</v>
      </c>
      <c r="C13069" s="2108">
        <v>18.947499999999998</v>
      </c>
      <c r="D13069" s="2597">
        <v>13.714</v>
      </c>
      <c r="E13069" s="2595">
        <v>-0.27621058187095915</v>
      </c>
      <c r="F13069" s="2596">
        <v>-5.5242116374191828E-3</v>
      </c>
      <c r="G13069" s="78"/>
      <c r="H13069" t="s">
        <v>4124</v>
      </c>
      <c r="I13069" s="453" t="s">
        <v>6330</v>
      </c>
      <c r="J13069" s="417">
        <v>18.170000000000002</v>
      </c>
      <c r="K13069" s="417">
        <v>18.71</v>
      </c>
      <c r="L13069" s="417">
        <v>18.809999999999999</v>
      </c>
      <c r="M13069" s="417">
        <v>20.100000000000001</v>
      </c>
      <c r="O13069" s="459">
        <v>16.52</v>
      </c>
      <c r="P13069" s="453">
        <v>16.329999999999998</v>
      </c>
      <c r="Q13069" s="370">
        <v>16.329999999999998</v>
      </c>
      <c r="R13069" s="453">
        <v>16.41</v>
      </c>
      <c r="S13069" s="370">
        <v>16.260000000000002</v>
      </c>
      <c r="T13069" s="453">
        <v>16.369999999999997</v>
      </c>
      <c r="U13069" s="81">
        <v>-0.13603377754321155</v>
      </c>
      <c r="V13069" s="451">
        <v>-2.7206755508642311E-3</v>
      </c>
      <c r="Z13069" s="434"/>
    </row>
    <row r="13070" spans="1:26" ht="12.75" hidden="1" customHeight="1" outlineLevel="1" x14ac:dyDescent="0.25">
      <c r="A13070" s="2380">
        <v>0.02</v>
      </c>
      <c r="B13070" s="1921" t="s">
        <v>5232</v>
      </c>
      <c r="C13070" s="2108">
        <v>74.792500000000004</v>
      </c>
      <c r="D13070" s="2597">
        <v>116.39</v>
      </c>
      <c r="E13070" s="2595">
        <v>0.55617207607714669</v>
      </c>
      <c r="F13070" s="2596">
        <v>1.1123441521542933E-2</v>
      </c>
      <c r="G13070" s="78"/>
      <c r="H13070" t="s">
        <v>5230</v>
      </c>
      <c r="I13070" s="453" t="s">
        <v>6109</v>
      </c>
      <c r="J13070" s="417">
        <v>69.14</v>
      </c>
      <c r="K13070" s="417">
        <v>72.959999999999994</v>
      </c>
      <c r="L13070" s="417">
        <v>75.77</v>
      </c>
      <c r="M13070" s="417">
        <v>81.3</v>
      </c>
      <c r="O13070" s="459">
        <v>77.67</v>
      </c>
      <c r="P13070" s="453">
        <v>77.48</v>
      </c>
      <c r="Q13070" s="370">
        <v>76.5</v>
      </c>
      <c r="R13070" s="453">
        <v>77.02</v>
      </c>
      <c r="S13070" s="370">
        <v>74.67</v>
      </c>
      <c r="T13070" s="453">
        <v>76.668000000000006</v>
      </c>
      <c r="U13070" s="81">
        <v>2.5076043720961394E-2</v>
      </c>
      <c r="V13070" s="451">
        <v>5.0152087441922787E-4</v>
      </c>
      <c r="Z13070" s="434"/>
    </row>
    <row r="13071" spans="1:26" ht="12.75" hidden="1" customHeight="1" outlineLevel="1" x14ac:dyDescent="0.25">
      <c r="A13071" s="2380">
        <v>0.03</v>
      </c>
      <c r="B13071" s="1921" t="s">
        <v>7227</v>
      </c>
      <c r="C13071" s="2108">
        <v>19.75</v>
      </c>
      <c r="D13071" s="2597">
        <v>14.36</v>
      </c>
      <c r="E13071" s="2595">
        <v>-0.27291139240506335</v>
      </c>
      <c r="F13071" s="2596">
        <v>-8.1873417721519005E-3</v>
      </c>
      <c r="G13071" s="78"/>
      <c r="H13071" t="s">
        <v>7229</v>
      </c>
      <c r="I13071" s="453" t="s">
        <v>7227</v>
      </c>
      <c r="J13071" s="417">
        <v>19.805</v>
      </c>
      <c r="K13071" s="417">
        <v>18.545000000000002</v>
      </c>
      <c r="L13071" s="417">
        <v>20.49</v>
      </c>
      <c r="M13071" s="417">
        <v>20.16</v>
      </c>
      <c r="O13071" s="459">
        <v>19.440000000000001</v>
      </c>
      <c r="P13071" s="453">
        <v>18.989999999999998</v>
      </c>
      <c r="Q13071" s="370">
        <v>19</v>
      </c>
      <c r="R13071" s="453">
        <v>19.100000000000001</v>
      </c>
      <c r="S13071" s="370">
        <v>18.895</v>
      </c>
      <c r="T13071" s="453">
        <v>19.085000000000001</v>
      </c>
      <c r="U13071" s="81">
        <v>-3.3670886075949369E-2</v>
      </c>
      <c r="V13071" s="451">
        <v>-1.0101265822784809E-3</v>
      </c>
      <c r="Z13071" s="434"/>
    </row>
    <row r="13072" spans="1:26" ht="12.75" hidden="1" customHeight="1" outlineLevel="1" x14ac:dyDescent="0.25">
      <c r="A13072" s="2380">
        <v>0.03</v>
      </c>
      <c r="B13072" s="1921" t="s">
        <v>1386</v>
      </c>
      <c r="C13072" s="2108">
        <v>1567.0483701368876</v>
      </c>
      <c r="D13072" s="2597">
        <v>1754</v>
      </c>
      <c r="E13072" s="2595">
        <v>0.11930176082999999</v>
      </c>
      <c r="F13072" s="2596">
        <v>3.5790528248999995E-3</v>
      </c>
      <c r="G13072" s="78"/>
      <c r="H13072" t="s">
        <v>4128</v>
      </c>
      <c r="I13072" s="453" t="s">
        <v>6052</v>
      </c>
      <c r="J13072" s="417">
        <v>15.54</v>
      </c>
      <c r="K13072" s="417">
        <v>16.375</v>
      </c>
      <c r="L13072" s="417">
        <v>15.935</v>
      </c>
      <c r="M13072" s="417">
        <v>15.74</v>
      </c>
      <c r="O13072" s="459">
        <v>1554</v>
      </c>
      <c r="P13072" s="453">
        <v>1551</v>
      </c>
      <c r="Q13072" s="370">
        <v>1566</v>
      </c>
      <c r="R13072" s="453">
        <v>1571</v>
      </c>
      <c r="S13072" s="370">
        <v>1560</v>
      </c>
      <c r="T13072" s="453">
        <v>1560.4</v>
      </c>
      <c r="U13072" s="81">
        <v>-4.2426068419998408E-3</v>
      </c>
      <c r="V13072" s="451">
        <v>-1.2727820525999521E-4</v>
      </c>
      <c r="Z13072" s="434"/>
    </row>
    <row r="13073" spans="1:26" ht="12.75" hidden="1" customHeight="1" outlineLevel="1" x14ac:dyDescent="0.25">
      <c r="A13073" s="2380">
        <v>0.02</v>
      </c>
      <c r="B13073" s="1921" t="s">
        <v>6530</v>
      </c>
      <c r="C13073" s="2108">
        <v>37.754905096976941</v>
      </c>
      <c r="D13073" s="2597">
        <v>34.880000000000003</v>
      </c>
      <c r="E13073" s="2595">
        <v>-7.6146532208000051E-2</v>
      </c>
      <c r="F13073" s="2596">
        <v>-1.522930644160001E-3</v>
      </c>
      <c r="G13073" s="78"/>
      <c r="H13073" t="s">
        <v>10140</v>
      </c>
      <c r="I13073" s="453" t="s">
        <v>6331</v>
      </c>
      <c r="J13073" s="417">
        <v>40.21</v>
      </c>
      <c r="K13073" s="417">
        <v>42.18</v>
      </c>
      <c r="L13073" s="417">
        <v>42.04</v>
      </c>
      <c r="M13073" s="417">
        <v>41.46</v>
      </c>
      <c r="O13073" s="459">
        <v>42.18</v>
      </c>
      <c r="P13073" s="453">
        <v>42.22</v>
      </c>
      <c r="Q13073" s="370">
        <v>41.78</v>
      </c>
      <c r="R13073" s="453">
        <v>41.94</v>
      </c>
      <c r="S13073" s="370">
        <v>40.340000000000003</v>
      </c>
      <c r="T13073" s="453">
        <v>41.692</v>
      </c>
      <c r="U13073" s="81">
        <v>0.10428035490779997</v>
      </c>
      <c r="V13073" s="451">
        <v>2.0856070981559996E-3</v>
      </c>
      <c r="Z13073" s="434"/>
    </row>
    <row r="13074" spans="1:26" ht="12.75" hidden="1" customHeight="1" outlineLevel="1" x14ac:dyDescent="0.25">
      <c r="A13074" s="2380">
        <v>0.02</v>
      </c>
      <c r="B13074" s="1921" t="s">
        <v>6163</v>
      </c>
      <c r="C13074" s="2108">
        <v>62.745000000000005</v>
      </c>
      <c r="D13074" s="2597">
        <v>84.57</v>
      </c>
      <c r="E13074" s="2595">
        <v>0.34783648099450137</v>
      </c>
      <c r="F13074" s="2596">
        <v>6.9567296198900274E-3</v>
      </c>
      <c r="G13074" s="78"/>
      <c r="H13074" t="s">
        <v>9170</v>
      </c>
      <c r="I13074" s="453" t="s">
        <v>6332</v>
      </c>
      <c r="J13074" s="417">
        <v>61.2</v>
      </c>
      <c r="K13074" s="417">
        <v>63.25</v>
      </c>
      <c r="L13074" s="417">
        <v>63.47</v>
      </c>
      <c r="M13074" s="417">
        <v>63.06</v>
      </c>
      <c r="O13074" s="459">
        <v>77.38</v>
      </c>
      <c r="P13074" s="453">
        <v>77.569999999999993</v>
      </c>
      <c r="Q13074" s="370">
        <v>76.72</v>
      </c>
      <c r="R13074" s="453">
        <v>76.680000000000007</v>
      </c>
      <c r="S13074" s="370">
        <v>73.62</v>
      </c>
      <c r="T13074" s="453">
        <v>76.394000000000005</v>
      </c>
      <c r="U13074" s="81">
        <v>0.21753127739262101</v>
      </c>
      <c r="V13074" s="451">
        <v>4.35062554785242E-3</v>
      </c>
      <c r="Z13074" s="434"/>
    </row>
    <row r="13075" spans="1:26" ht="12.75" hidden="1" customHeight="1" outlineLevel="1" x14ac:dyDescent="0.25">
      <c r="A13075" s="2380">
        <v>0.02</v>
      </c>
      <c r="B13075" s="1921" t="s">
        <v>1772</v>
      </c>
      <c r="C13075" s="2108">
        <v>160.38749999999999</v>
      </c>
      <c r="D13075" s="2597">
        <v>260.60000000000002</v>
      </c>
      <c r="E13075" s="2595">
        <v>0.62481490141064633</v>
      </c>
      <c r="F13075" s="2596">
        <v>1.2496298028212926E-2</v>
      </c>
      <c r="G13075" s="78"/>
      <c r="H13075" t="s">
        <v>4330</v>
      </c>
      <c r="I13075" s="453" t="s">
        <v>6333</v>
      </c>
      <c r="J13075" s="417">
        <v>158.94999999999999</v>
      </c>
      <c r="K13075" s="417">
        <v>158.05000000000001</v>
      </c>
      <c r="L13075" s="417">
        <v>162</v>
      </c>
      <c r="M13075" s="417">
        <v>162.55000000000001</v>
      </c>
      <c r="O13075" s="459">
        <v>185.6</v>
      </c>
      <c r="P13075" s="453">
        <v>184.45</v>
      </c>
      <c r="Q13075" s="370">
        <v>185.35</v>
      </c>
      <c r="R13075" s="453">
        <v>187.25</v>
      </c>
      <c r="S13075" s="370">
        <v>187.05</v>
      </c>
      <c r="T13075" s="453">
        <v>185.94</v>
      </c>
      <c r="U13075" s="81">
        <v>0.15931727846621468</v>
      </c>
      <c r="V13075" s="451">
        <v>3.1863455693242936E-3</v>
      </c>
      <c r="Z13075" s="434"/>
    </row>
    <row r="13076" spans="1:26" ht="12.75" hidden="1" customHeight="1" outlineLevel="1" x14ac:dyDescent="0.25">
      <c r="A13076" s="2380">
        <v>0.03</v>
      </c>
      <c r="B13076" s="1921" t="s">
        <v>6113</v>
      </c>
      <c r="C13076" s="2108">
        <v>854.29747490437239</v>
      </c>
      <c r="D13076" s="2597">
        <v>889.7</v>
      </c>
      <c r="E13076" s="2595">
        <v>4.14405123924666E-2</v>
      </c>
      <c r="F13076" s="2596">
        <v>1.2432153717739979E-3</v>
      </c>
      <c r="G13076" s="78"/>
      <c r="H13076" t="s">
        <v>4195</v>
      </c>
      <c r="I13076" s="453" t="s">
        <v>6083</v>
      </c>
      <c r="J13076" s="417">
        <v>8.17</v>
      </c>
      <c r="K13076" s="417">
        <v>8.3650000000000002</v>
      </c>
      <c r="L13076" s="417">
        <v>8.9600000000000009</v>
      </c>
      <c r="M13076" s="417">
        <v>8.5549999999999997</v>
      </c>
      <c r="O13076" s="459">
        <v>885.9</v>
      </c>
      <c r="P13076" s="453">
        <v>884.5</v>
      </c>
      <c r="Q13076" s="370">
        <v>872</v>
      </c>
      <c r="R13076" s="453">
        <v>880</v>
      </c>
      <c r="S13076" s="370">
        <v>865.5</v>
      </c>
      <c r="T13076" s="453">
        <v>877.57999999999993</v>
      </c>
      <c r="U13076" s="81">
        <v>2.7253416730786517E-2</v>
      </c>
      <c r="V13076" s="451">
        <v>8.1760250192359552E-4</v>
      </c>
      <c r="Z13076" s="434"/>
    </row>
    <row r="13077" spans="1:26" ht="12.75" hidden="1" customHeight="1" outlineLevel="1" x14ac:dyDescent="0.25">
      <c r="A13077" s="2380">
        <v>0.02</v>
      </c>
      <c r="B13077" s="1921" t="s">
        <v>2769</v>
      </c>
      <c r="C13077" s="2108">
        <v>31.770380010550912</v>
      </c>
      <c r="D13077" s="2597">
        <v>34.03</v>
      </c>
      <c r="E13077" s="2595">
        <v>7.1123480068500111E-2</v>
      </c>
      <c r="F13077" s="2596">
        <v>1.4224696013700022E-3</v>
      </c>
      <c r="G13077" s="78"/>
      <c r="H13077" t="s">
        <v>2770</v>
      </c>
      <c r="I13077" s="453" t="s">
        <v>5775</v>
      </c>
      <c r="J13077" s="417">
        <v>32.799999999999997</v>
      </c>
      <c r="K13077" s="417">
        <v>34.21</v>
      </c>
      <c r="L13077" s="417">
        <v>34.78</v>
      </c>
      <c r="M13077" s="417">
        <v>35.159999999999997</v>
      </c>
      <c r="O13077" s="459">
        <v>33.4</v>
      </c>
      <c r="P13077" s="453">
        <v>33.5</v>
      </c>
      <c r="Q13077" s="370">
        <v>33.25</v>
      </c>
      <c r="R13077" s="453">
        <v>33.409999999999997</v>
      </c>
      <c r="S13077" s="370">
        <v>31.74</v>
      </c>
      <c r="T13077" s="453">
        <v>33.06</v>
      </c>
      <c r="U13077" s="81">
        <v>4.0591896887000045E-2</v>
      </c>
      <c r="V13077" s="451">
        <v>8.1183793774000093E-4</v>
      </c>
      <c r="Z13077" s="434"/>
    </row>
    <row r="13078" spans="1:26" ht="12.75" hidden="1" customHeight="1" outlineLevel="1" x14ac:dyDescent="0.25">
      <c r="A13078" s="2380">
        <v>0.08</v>
      </c>
      <c r="B13078" s="1921" t="s">
        <v>901</v>
      </c>
      <c r="C13078" s="2108">
        <v>23.624976824931327</v>
      </c>
      <c r="D13078" s="2597">
        <v>30.6</v>
      </c>
      <c r="E13078" s="2595">
        <v>0.2952393658100001</v>
      </c>
      <c r="F13078" s="2596">
        <v>2.3619149264800007E-2</v>
      </c>
      <c r="G13078" s="78"/>
      <c r="H13078" t="s">
        <v>531</v>
      </c>
      <c r="I13078" s="453" t="s">
        <v>6085</v>
      </c>
      <c r="J13078" s="417">
        <v>53.25</v>
      </c>
      <c r="K13078" s="417">
        <v>55.89</v>
      </c>
      <c r="L13078" s="417">
        <v>58.91</v>
      </c>
      <c r="M13078" s="417">
        <v>60.3</v>
      </c>
      <c r="O13078" s="459">
        <v>75.88</v>
      </c>
      <c r="P13078" s="453">
        <v>75.42</v>
      </c>
      <c r="Q13078" s="370">
        <v>74.739999999999995</v>
      </c>
      <c r="R13078" s="453">
        <v>73.88</v>
      </c>
      <c r="S13078" s="370">
        <v>70.430000000000007</v>
      </c>
      <c r="T13078" s="453">
        <v>74.070000000000007</v>
      </c>
      <c r="U13078" s="81">
        <v>2.1352411707695005</v>
      </c>
      <c r="V13078" s="451">
        <v>0.17081929366156004</v>
      </c>
      <c r="Z13078" s="434"/>
    </row>
    <row r="13079" spans="1:26" ht="12.75" hidden="1" customHeight="1" outlineLevel="1" x14ac:dyDescent="0.25">
      <c r="A13079" s="2380">
        <v>0.03</v>
      </c>
      <c r="B13079" s="1921" t="s">
        <v>3800</v>
      </c>
      <c r="C13079" s="2108">
        <v>261.54999999999995</v>
      </c>
      <c r="D13079" s="2597">
        <v>308.2</v>
      </c>
      <c r="E13079" s="2595">
        <v>0.17835977824507765</v>
      </c>
      <c r="F13079" s="2596">
        <v>5.3507933473523296E-3</v>
      </c>
      <c r="G13079" s="78"/>
      <c r="H13079" t="s">
        <v>8876</v>
      </c>
      <c r="I13079" s="453" t="s">
        <v>6334</v>
      </c>
      <c r="J13079" s="417">
        <v>258.89999999999998</v>
      </c>
      <c r="K13079" s="417">
        <v>254.7</v>
      </c>
      <c r="L13079" s="417">
        <v>268.39999999999998</v>
      </c>
      <c r="M13079" s="417">
        <v>264.2</v>
      </c>
      <c r="O13079" s="459">
        <v>261</v>
      </c>
      <c r="P13079" s="453">
        <v>260</v>
      </c>
      <c r="Q13079" s="370">
        <v>260.2</v>
      </c>
      <c r="R13079" s="453">
        <v>256.10000000000002</v>
      </c>
      <c r="S13079" s="370">
        <v>260</v>
      </c>
      <c r="T13079" s="453">
        <v>259.46000000000004</v>
      </c>
      <c r="U13079" s="81">
        <v>-7.9908239342378895E-3</v>
      </c>
      <c r="V13079" s="451">
        <v>-2.3972471802713669E-4</v>
      </c>
      <c r="Z13079" s="434"/>
    </row>
    <row r="13080" spans="1:26" ht="12.75" hidden="1" customHeight="1" outlineLevel="1" x14ac:dyDescent="0.25">
      <c r="A13080" s="2380">
        <v>0.03</v>
      </c>
      <c r="B13080" s="1921" t="s">
        <v>6164</v>
      </c>
      <c r="C13080" s="2108">
        <v>3.6025109946903351</v>
      </c>
      <c r="D13080" s="2597">
        <v>4.5120000000000005</v>
      </c>
      <c r="E13080" s="2595">
        <v>0.25245974450880015</v>
      </c>
      <c r="F13080" s="2596">
        <v>7.5737923352640043E-3</v>
      </c>
      <c r="G13080" s="78"/>
      <c r="H13080" t="s">
        <v>6114</v>
      </c>
      <c r="I13080" s="453" t="s">
        <v>6164</v>
      </c>
      <c r="J13080" s="417">
        <v>4.1619999999999999</v>
      </c>
      <c r="K13080" s="417">
        <v>4.3280000000000003</v>
      </c>
      <c r="L13080" s="417">
        <v>4.3719999999999999</v>
      </c>
      <c r="M13080" s="417">
        <v>4.452</v>
      </c>
      <c r="O13080" s="459">
        <v>4.524</v>
      </c>
      <c r="P13080" s="453">
        <v>4.45</v>
      </c>
      <c r="Q13080" s="370">
        <v>4.5039999999999996</v>
      </c>
      <c r="R13080" s="453">
        <v>4.6159999999999997</v>
      </c>
      <c r="S13080" s="370">
        <v>4.5140000000000002</v>
      </c>
      <c r="T13080" s="453">
        <v>4.5216000000000003</v>
      </c>
      <c r="U13080" s="81">
        <v>0.25512455247584009</v>
      </c>
      <c r="V13080" s="451">
        <v>7.6537365742752024E-3</v>
      </c>
      <c r="Z13080" s="434"/>
    </row>
    <row r="13081" spans="1:26" ht="12.75" hidden="1" customHeight="1" outlineLevel="1" x14ac:dyDescent="0.25">
      <c r="A13081" s="2380">
        <v>0.03</v>
      </c>
      <c r="B13081" s="1921" t="s">
        <v>3427</v>
      </c>
      <c r="C13081" s="2108">
        <v>44.545000000000002</v>
      </c>
      <c r="D13081" s="2597">
        <v>61.99</v>
      </c>
      <c r="E13081" s="2595">
        <v>0.39162644516780776</v>
      </c>
      <c r="F13081" s="2596">
        <v>1.1748793355034232E-2</v>
      </c>
      <c r="G13081" s="78"/>
      <c r="H13081" t="s">
        <v>2800</v>
      </c>
      <c r="I13081" s="453" t="s">
        <v>6089</v>
      </c>
      <c r="J13081" s="417">
        <v>44.21</v>
      </c>
      <c r="K13081" s="417">
        <v>45.22</v>
      </c>
      <c r="L13081" s="417">
        <v>43.67</v>
      </c>
      <c r="M13081" s="417">
        <v>45.08</v>
      </c>
      <c r="O13081" s="459">
        <v>44.87</v>
      </c>
      <c r="P13081" s="453">
        <v>45.15</v>
      </c>
      <c r="Q13081" s="370">
        <v>44.83</v>
      </c>
      <c r="R13081" s="453">
        <v>45.02</v>
      </c>
      <c r="S13081" s="370">
        <v>44.09</v>
      </c>
      <c r="T13081" s="453">
        <v>44.792000000000002</v>
      </c>
      <c r="U13081" s="81">
        <v>5.5449545403525313E-3</v>
      </c>
      <c r="V13081" s="451">
        <v>1.6634863621057592E-4</v>
      </c>
      <c r="Z13081" s="434"/>
    </row>
    <row r="13082" spans="1:26" ht="12.75" hidden="1" customHeight="1" outlineLevel="1" x14ac:dyDescent="0.25">
      <c r="A13082" s="2380">
        <v>0.03</v>
      </c>
      <c r="B13082" s="1921" t="s">
        <v>1857</v>
      </c>
      <c r="C13082" s="2108">
        <v>1541.2500000000002</v>
      </c>
      <c r="D13082" s="2597">
        <v>1300</v>
      </c>
      <c r="E13082" s="2595">
        <v>-0.15652879156528809</v>
      </c>
      <c r="F13082" s="2596">
        <v>-4.6958637469586423E-3</v>
      </c>
      <c r="G13082" s="78"/>
      <c r="H13082" t="s">
        <v>3559</v>
      </c>
      <c r="I13082" s="453" t="s">
        <v>6090</v>
      </c>
      <c r="J13082" s="417">
        <v>14.82</v>
      </c>
      <c r="K13082" s="417">
        <v>15.29</v>
      </c>
      <c r="L13082" s="417">
        <v>15.7</v>
      </c>
      <c r="M13082" s="417">
        <v>15.84</v>
      </c>
      <c r="O13082" s="459">
        <v>1561</v>
      </c>
      <c r="P13082" s="453">
        <v>1566</v>
      </c>
      <c r="Q13082" s="370">
        <v>1549</v>
      </c>
      <c r="R13082" s="453">
        <v>1555</v>
      </c>
      <c r="S13082" s="370">
        <v>1517</v>
      </c>
      <c r="T13082" s="453">
        <v>1549.6</v>
      </c>
      <c r="U13082" s="81">
        <v>5.4176804541765655E-3</v>
      </c>
      <c r="V13082" s="451">
        <v>1.6253041362529697E-4</v>
      </c>
      <c r="Z13082" s="434"/>
    </row>
    <row r="13083" spans="1:26" ht="12.75" hidden="1" customHeight="1" outlineLevel="1" x14ac:dyDescent="0.25">
      <c r="A13083" s="2380">
        <v>0.02</v>
      </c>
      <c r="B13083" s="1921" t="s">
        <v>3381</v>
      </c>
      <c r="C13083" s="2108">
        <v>181.125</v>
      </c>
      <c r="D13083" s="2597">
        <v>169.8</v>
      </c>
      <c r="E13083" s="2595">
        <v>-6.2525879917184168E-2</v>
      </c>
      <c r="F13083" s="2596">
        <v>-1.2505175983436834E-3</v>
      </c>
      <c r="G13083" s="78"/>
      <c r="H13083" t="s">
        <v>9199</v>
      </c>
      <c r="I13083" s="453" t="s">
        <v>6335</v>
      </c>
      <c r="J13083" s="417">
        <v>166.5</v>
      </c>
      <c r="K13083" s="417">
        <v>183</v>
      </c>
      <c r="L13083" s="417">
        <v>184</v>
      </c>
      <c r="M13083" s="417">
        <v>191</v>
      </c>
      <c r="O13083" s="459">
        <v>143.1</v>
      </c>
      <c r="P13083" s="453">
        <v>143.80000000000001</v>
      </c>
      <c r="Q13083" s="370">
        <v>143.4</v>
      </c>
      <c r="R13083" s="453">
        <v>145.1</v>
      </c>
      <c r="S13083" s="370">
        <v>146</v>
      </c>
      <c r="T13083" s="453">
        <v>144.28</v>
      </c>
      <c r="U13083" s="81">
        <v>-0.20342305037957209</v>
      </c>
      <c r="V13083" s="451">
        <v>-4.068461007591442E-3</v>
      </c>
      <c r="Z13083" s="434"/>
    </row>
    <row r="13084" spans="1:26" ht="12.75" hidden="1" customHeight="1" outlineLevel="1" x14ac:dyDescent="0.25">
      <c r="A13084" s="2380">
        <v>0.03</v>
      </c>
      <c r="B13084" s="1921" t="s">
        <v>1239</v>
      </c>
      <c r="C13084" s="2108">
        <v>530.75</v>
      </c>
      <c r="D13084" s="2597">
        <v>517.6</v>
      </c>
      <c r="E13084" s="2595">
        <v>-2.477626000942057E-2</v>
      </c>
      <c r="F13084" s="2596">
        <v>-7.4328780028261711E-4</v>
      </c>
      <c r="G13084" s="78"/>
      <c r="H13084" t="s">
        <v>8891</v>
      </c>
      <c r="I13084" s="453" t="s">
        <v>6066</v>
      </c>
      <c r="J13084" s="417">
        <v>532</v>
      </c>
      <c r="K13084" s="417">
        <v>534.5</v>
      </c>
      <c r="L13084" s="417">
        <v>534</v>
      </c>
      <c r="M13084" s="417">
        <v>522.5</v>
      </c>
      <c r="O13084" s="459">
        <v>547.5</v>
      </c>
      <c r="P13084" s="453">
        <v>546.5</v>
      </c>
      <c r="Q13084" s="370">
        <v>548.5</v>
      </c>
      <c r="R13084" s="453">
        <v>553</v>
      </c>
      <c r="S13084" s="370">
        <v>553.5</v>
      </c>
      <c r="T13084" s="453">
        <v>549.79999999999995</v>
      </c>
      <c r="U13084" s="81">
        <v>3.5892604804521833E-2</v>
      </c>
      <c r="V13084" s="451">
        <v>1.076778144135655E-3</v>
      </c>
      <c r="Z13084" s="434"/>
    </row>
    <row r="13085" spans="1:26" ht="12.75" hidden="1" customHeight="1" outlineLevel="1" x14ac:dyDescent="0.25">
      <c r="A13085" s="2380">
        <v>0.02</v>
      </c>
      <c r="B13085" s="1921" t="s">
        <v>5387</v>
      </c>
      <c r="C13085" s="2108">
        <v>36.712499999999999</v>
      </c>
      <c r="D13085" s="2597">
        <v>80.55</v>
      </c>
      <c r="E13085" s="2595">
        <v>1.1940755873340141</v>
      </c>
      <c r="F13085" s="2596">
        <v>2.3881511746680281E-2</v>
      </c>
      <c r="G13085" s="78"/>
      <c r="H13085" t="s">
        <v>5389</v>
      </c>
      <c r="I13085" s="453" t="s">
        <v>6336</v>
      </c>
      <c r="J13085" s="417">
        <v>35.86</v>
      </c>
      <c r="K13085" s="417">
        <v>36.200000000000003</v>
      </c>
      <c r="L13085" s="417">
        <v>37.64</v>
      </c>
      <c r="M13085" s="417">
        <v>37.15</v>
      </c>
      <c r="O13085" s="459">
        <v>38.97</v>
      </c>
      <c r="P13085" s="453">
        <v>38.9</v>
      </c>
      <c r="Q13085" s="370">
        <v>38.81</v>
      </c>
      <c r="R13085" s="453">
        <v>39.119999999999997</v>
      </c>
      <c r="S13085" s="370">
        <v>38.65</v>
      </c>
      <c r="T13085" s="453">
        <v>38.89</v>
      </c>
      <c r="U13085" s="81">
        <v>5.9312223357167237E-2</v>
      </c>
      <c r="V13085" s="451">
        <v>1.1862444671433448E-3</v>
      </c>
      <c r="Z13085" s="434"/>
    </row>
    <row r="13086" spans="1:26" ht="12.75" hidden="1" customHeight="1" outlineLevel="1" x14ac:dyDescent="0.25">
      <c r="A13086" s="2380">
        <v>0.02</v>
      </c>
      <c r="B13086" s="1921" t="s">
        <v>434</v>
      </c>
      <c r="C13086" s="2108">
        <v>47.739999999999995</v>
      </c>
      <c r="D13086" s="2597">
        <v>41.45</v>
      </c>
      <c r="E13086" s="2595">
        <v>-0.13175534143276069</v>
      </c>
      <c r="F13086" s="2596">
        <v>-2.6351068286552138E-3</v>
      </c>
      <c r="G13086" s="78"/>
      <c r="H13086" t="s">
        <v>7745</v>
      </c>
      <c r="I13086" s="453" t="s">
        <v>6165</v>
      </c>
      <c r="J13086" s="417">
        <v>44.8</v>
      </c>
      <c r="K13086" s="417">
        <v>47.66</v>
      </c>
      <c r="L13086" s="417">
        <v>49.2</v>
      </c>
      <c r="M13086" s="417">
        <v>49.3</v>
      </c>
      <c r="O13086" s="459">
        <v>52.85</v>
      </c>
      <c r="P13086" s="453">
        <v>52.4</v>
      </c>
      <c r="Q13086" s="370">
        <v>52.4</v>
      </c>
      <c r="R13086" s="453">
        <v>52.5</v>
      </c>
      <c r="S13086" s="370">
        <v>51.9</v>
      </c>
      <c r="T13086" s="453">
        <v>52.410000000000004</v>
      </c>
      <c r="U13086" s="81">
        <v>9.782153330540444E-2</v>
      </c>
      <c r="V13086" s="451">
        <v>1.9564306661080887E-3</v>
      </c>
      <c r="Z13086" s="434"/>
    </row>
    <row r="13087" spans="1:26" ht="12.75" hidden="1" customHeight="1" outlineLevel="1" x14ac:dyDescent="0.25">
      <c r="A13087" s="2380">
        <v>0.02</v>
      </c>
      <c r="B13087" s="1921" t="s">
        <v>3626</v>
      </c>
      <c r="C13087" s="2108">
        <v>53.167500000000004</v>
      </c>
      <c r="D13087" s="2597">
        <v>76.59</v>
      </c>
      <c r="E13087" s="2595">
        <v>0.44054168429961904</v>
      </c>
      <c r="F13087" s="2596">
        <v>8.8108336859923815E-3</v>
      </c>
      <c r="G13087" s="78"/>
      <c r="H13087" t="s">
        <v>7752</v>
      </c>
      <c r="I13087" s="453" t="s">
        <v>6337</v>
      </c>
      <c r="J13087" s="417">
        <v>51.35</v>
      </c>
      <c r="K13087" s="417">
        <v>52.27</v>
      </c>
      <c r="L13087" s="417">
        <v>53.99</v>
      </c>
      <c r="M13087" s="417">
        <v>55.06</v>
      </c>
      <c r="O13087" s="459">
        <v>54.61</v>
      </c>
      <c r="P13087" s="453">
        <v>54.17</v>
      </c>
      <c r="Q13087" s="370">
        <v>54.16</v>
      </c>
      <c r="R13087" s="453">
        <v>54.12</v>
      </c>
      <c r="S13087" s="370">
        <v>54.3</v>
      </c>
      <c r="T13087" s="453">
        <v>54.272000000000006</v>
      </c>
      <c r="U13087" s="81">
        <v>2.0773969060046138E-2</v>
      </c>
      <c r="V13087" s="451">
        <v>4.1547938120092278E-4</v>
      </c>
      <c r="Z13087" s="434"/>
    </row>
    <row r="13088" spans="1:26" ht="12.75" hidden="1" customHeight="1" outlineLevel="1" x14ac:dyDescent="0.25">
      <c r="A13088" s="2380">
        <v>0.03</v>
      </c>
      <c r="B13088" s="1921" t="s">
        <v>6211</v>
      </c>
      <c r="C13088" s="2108">
        <v>2623.75</v>
      </c>
      <c r="D13088" s="2597">
        <v>4578</v>
      </c>
      <c r="E13088" s="2595">
        <v>0.74483087184373509</v>
      </c>
      <c r="F13088" s="2596">
        <v>2.2344926155312052E-2</v>
      </c>
      <c r="G13088" s="78"/>
      <c r="H13088" t="s">
        <v>107</v>
      </c>
      <c r="I13088" s="453" t="s">
        <v>6211</v>
      </c>
      <c r="J13088" s="417">
        <v>25.37</v>
      </c>
      <c r="K13088" s="417">
        <v>26.21</v>
      </c>
      <c r="L13088" s="417">
        <v>26.79</v>
      </c>
      <c r="M13088" s="417">
        <v>26.58</v>
      </c>
      <c r="O13088" s="459">
        <v>2875</v>
      </c>
      <c r="P13088" s="453">
        <v>2871</v>
      </c>
      <c r="Q13088" s="370">
        <v>2880</v>
      </c>
      <c r="R13088" s="453">
        <v>2913</v>
      </c>
      <c r="S13088" s="370">
        <v>2871</v>
      </c>
      <c r="T13088" s="453">
        <v>2882</v>
      </c>
      <c r="U13088" s="81">
        <v>9.8427822772748863E-2</v>
      </c>
      <c r="V13088" s="451">
        <v>2.952834683182466E-3</v>
      </c>
      <c r="Z13088" s="434"/>
    </row>
    <row r="13089" spans="1:26" ht="12.75" hidden="1" customHeight="1" outlineLevel="1" x14ac:dyDescent="0.25">
      <c r="A13089" s="2380">
        <v>0.08</v>
      </c>
      <c r="B13089" s="2109" t="s">
        <v>4550</v>
      </c>
      <c r="C13089" s="2108">
        <v>260.52499999999998</v>
      </c>
      <c r="D13089" s="2598">
        <v>392.3</v>
      </c>
      <c r="E13089" s="2595">
        <v>0.50580558487669136</v>
      </c>
      <c r="F13089" s="2596">
        <v>4.0464446790135312E-2</v>
      </c>
      <c r="G13089" s="78"/>
      <c r="H13089" t="s">
        <v>8889</v>
      </c>
      <c r="I13089" s="408" t="s">
        <v>6338</v>
      </c>
      <c r="J13089" s="417">
        <v>254.8</v>
      </c>
      <c r="K13089" s="417">
        <v>251.5</v>
      </c>
      <c r="L13089" s="417">
        <v>267.5</v>
      </c>
      <c r="M13089" s="417">
        <v>268.3</v>
      </c>
      <c r="O13089" s="1267">
        <v>305.2</v>
      </c>
      <c r="P13089" s="408">
        <v>303.5</v>
      </c>
      <c r="Q13089" s="1268">
        <v>305.5</v>
      </c>
      <c r="R13089" s="408">
        <v>308</v>
      </c>
      <c r="S13089" s="1268">
        <v>309.7</v>
      </c>
      <c r="T13089" s="408">
        <v>306.38</v>
      </c>
      <c r="U13089" s="29">
        <v>0.17600997984838318</v>
      </c>
      <c r="V13089" s="452">
        <v>1.4080798387870654E-2</v>
      </c>
      <c r="Z13089" s="434"/>
    </row>
    <row r="13090" spans="1:26" ht="12.75" hidden="1" customHeight="1" outlineLevel="1" x14ac:dyDescent="0.25">
      <c r="A13090" s="2181" t="s">
        <v>2734</v>
      </c>
      <c r="B13090" s="2103"/>
      <c r="C13090" s="2599"/>
      <c r="D13090" s="2600"/>
      <c r="E13090" s="2601"/>
      <c r="F13090" s="2591">
        <v>0.35024938538083861</v>
      </c>
      <c r="G13090" s="78"/>
      <c r="V13090" s="478">
        <v>4.5679722614527165</v>
      </c>
    </row>
    <row r="13091" spans="1:26" ht="12.75" hidden="1" customHeight="1" outlineLevel="1" x14ac:dyDescent="0.25">
      <c r="A13091" s="1956" t="s">
        <v>6307</v>
      </c>
      <c r="B13091" s="2185">
        <v>43252</v>
      </c>
      <c r="C13091" s="2602">
        <v>100</v>
      </c>
      <c r="D13091" s="2602">
        <v>118.2015</v>
      </c>
      <c r="E13091" s="2603">
        <v>0.18201500000000004</v>
      </c>
      <c r="F13091" s="2604"/>
      <c r="G13091" s="78"/>
    </row>
    <row r="13092" spans="1:26" ht="12.75" hidden="1" customHeight="1" outlineLevel="1" x14ac:dyDescent="0.25">
      <c r="A13092" s="1956" t="s">
        <v>6308</v>
      </c>
      <c r="B13092" s="2185">
        <v>43282</v>
      </c>
      <c r="C13092" s="2602">
        <v>100</v>
      </c>
      <c r="D13092" s="2605">
        <v>122.23260000000001</v>
      </c>
      <c r="E13092" s="2603">
        <v>0.22232600000000002</v>
      </c>
      <c r="F13092" s="2604"/>
      <c r="G13092" s="78"/>
    </row>
    <row r="13093" spans="1:26" ht="12.75" hidden="1" customHeight="1" outlineLevel="1" x14ac:dyDescent="0.25">
      <c r="A13093" s="1956" t="s">
        <v>6309</v>
      </c>
      <c r="B13093" s="2185">
        <v>43313</v>
      </c>
      <c r="C13093" s="2602">
        <v>100</v>
      </c>
      <c r="D13093" s="2605">
        <v>119.92</v>
      </c>
      <c r="E13093" s="2603">
        <v>0.19920000000000004</v>
      </c>
      <c r="F13093" s="2604"/>
      <c r="G13093" s="78"/>
    </row>
    <row r="13094" spans="1:26" ht="12.75" hidden="1" customHeight="1" outlineLevel="1" x14ac:dyDescent="0.25">
      <c r="A13094" s="1956" t="s">
        <v>6310</v>
      </c>
      <c r="B13094" s="2185">
        <v>43344</v>
      </c>
      <c r="C13094" s="2602">
        <v>100</v>
      </c>
      <c r="D13094" s="2605">
        <v>120.3925</v>
      </c>
      <c r="E13094" s="2603">
        <v>0.20392499999999991</v>
      </c>
      <c r="F13094" s="2604"/>
      <c r="G13094" s="78"/>
    </row>
    <row r="13095" spans="1:26" ht="12.75" hidden="1" customHeight="1" outlineLevel="1" x14ac:dyDescent="0.25">
      <c r="A13095" s="1956" t="s">
        <v>6311</v>
      </c>
      <c r="B13095" s="2185">
        <v>43374</v>
      </c>
      <c r="C13095" s="2602">
        <v>100</v>
      </c>
      <c r="D13095" s="2605">
        <v>119.9114</v>
      </c>
      <c r="E13095" s="2603">
        <v>0.19911400000000001</v>
      </c>
      <c r="F13095" s="2604"/>
      <c r="G13095" s="78"/>
    </row>
    <row r="13096" spans="1:26" ht="12.75" hidden="1" customHeight="1" outlineLevel="1" x14ac:dyDescent="0.25">
      <c r="A13096" s="1956" t="s">
        <v>6312</v>
      </c>
      <c r="B13096" s="2185">
        <v>43405</v>
      </c>
      <c r="C13096" s="2602">
        <v>100</v>
      </c>
      <c r="D13096" s="2605">
        <v>120.0407</v>
      </c>
      <c r="E13096" s="2603">
        <v>0.200407</v>
      </c>
      <c r="F13096" s="2604"/>
      <c r="G13096" s="78"/>
    </row>
    <row r="13097" spans="1:26" ht="12.75" hidden="1" customHeight="1" outlineLevel="1" x14ac:dyDescent="0.25">
      <c r="A13097" s="1956" t="s">
        <v>6313</v>
      </c>
      <c r="B13097" s="2185">
        <v>43435</v>
      </c>
      <c r="C13097" s="2602">
        <v>100</v>
      </c>
      <c r="D13097" s="2605">
        <v>111.9841</v>
      </c>
      <c r="E13097" s="2603">
        <v>0.11984100000000009</v>
      </c>
      <c r="F13097" s="2604"/>
      <c r="G13097" s="78"/>
    </row>
    <row r="13098" spans="1:26" ht="12.75" hidden="1" customHeight="1" outlineLevel="1" x14ac:dyDescent="0.25">
      <c r="A13098" s="1956" t="s">
        <v>6314</v>
      </c>
      <c r="B13098" s="2185">
        <v>43466</v>
      </c>
      <c r="C13098" s="2602">
        <v>100</v>
      </c>
      <c r="D13098" s="2605">
        <v>118.83110000000001</v>
      </c>
      <c r="E13098" s="2603">
        <v>0.18831100000000012</v>
      </c>
      <c r="F13098" s="2604"/>
      <c r="G13098" s="78"/>
    </row>
    <row r="13099" spans="1:26" ht="12.75" hidden="1" customHeight="1" outlineLevel="1" x14ac:dyDescent="0.25">
      <c r="A13099" s="1956" t="s">
        <v>6315</v>
      </c>
      <c r="B13099" s="2185">
        <v>43497</v>
      </c>
      <c r="C13099" s="2602">
        <v>100</v>
      </c>
      <c r="D13099" s="2605">
        <v>122.37730000000001</v>
      </c>
      <c r="E13099" s="2603">
        <v>0.223773</v>
      </c>
      <c r="F13099" s="2604"/>
      <c r="G13099" s="78"/>
    </row>
    <row r="13100" spans="1:26" ht="12.75" hidden="1" customHeight="1" outlineLevel="1" x14ac:dyDescent="0.25">
      <c r="A13100" s="1956" t="s">
        <v>6316</v>
      </c>
      <c r="B13100" s="2185">
        <v>43525</v>
      </c>
      <c r="C13100" s="2602">
        <v>100</v>
      </c>
      <c r="D13100" s="2605">
        <v>125.34650000000001</v>
      </c>
      <c r="E13100" s="2603">
        <v>0.25346500000000005</v>
      </c>
      <c r="F13100" s="2604"/>
      <c r="G13100" s="78"/>
    </row>
    <row r="13101" spans="1:26" ht="12.75" hidden="1" customHeight="1" outlineLevel="1" x14ac:dyDescent="0.25">
      <c r="A13101" s="1956" t="s">
        <v>6317</v>
      </c>
      <c r="B13101" s="2185">
        <v>43556</v>
      </c>
      <c r="C13101" s="2602">
        <v>100</v>
      </c>
      <c r="D13101" s="2605">
        <v>127.2929</v>
      </c>
      <c r="E13101" s="2603">
        <v>0.27292899999999998</v>
      </c>
      <c r="F13101" s="2604"/>
      <c r="G13101" s="78"/>
    </row>
    <row r="13102" spans="1:26" ht="12.75" hidden="1" customHeight="1" outlineLevel="1" x14ac:dyDescent="0.25">
      <c r="A13102" s="1956" t="s">
        <v>6318</v>
      </c>
      <c r="B13102" s="2185">
        <v>43586</v>
      </c>
      <c r="C13102" s="2602">
        <v>100</v>
      </c>
      <c r="D13102" s="2605">
        <v>123.2967</v>
      </c>
      <c r="E13102" s="2603">
        <v>0.23296699999999992</v>
      </c>
      <c r="F13102" s="2604"/>
      <c r="G13102" s="78"/>
    </row>
    <row r="13103" spans="1:26" ht="12.75" hidden="1" customHeight="1" outlineLevel="1" x14ac:dyDescent="0.25">
      <c r="A13103" s="1956" t="s">
        <v>6319</v>
      </c>
      <c r="B13103" s="2185">
        <v>43617</v>
      </c>
      <c r="C13103" s="2602">
        <v>100</v>
      </c>
      <c r="D13103" s="2605">
        <v>125.8122</v>
      </c>
      <c r="E13103" s="2603">
        <v>0.25812199999999996</v>
      </c>
      <c r="F13103" s="2604"/>
      <c r="G13103" s="78"/>
    </row>
    <row r="13104" spans="1:26" ht="12.75" hidden="1" customHeight="1" outlineLevel="1" x14ac:dyDescent="0.25">
      <c r="A13104" s="1956" t="s">
        <v>6320</v>
      </c>
      <c r="B13104" s="2185">
        <v>43647</v>
      </c>
      <c r="C13104" s="2602">
        <v>100</v>
      </c>
      <c r="D13104" s="2605">
        <v>127.2839</v>
      </c>
      <c r="E13104" s="2603">
        <v>0.27283900000000005</v>
      </c>
      <c r="F13104" s="2604"/>
      <c r="G13104" s="78"/>
    </row>
    <row r="13105" spans="1:13" ht="12.75" hidden="1" customHeight="1" outlineLevel="1" x14ac:dyDescent="0.25">
      <c r="A13105" s="1956" t="s">
        <v>6321</v>
      </c>
      <c r="B13105" s="2185">
        <v>43678</v>
      </c>
      <c r="C13105" s="2602">
        <v>100</v>
      </c>
      <c r="D13105" s="2605">
        <v>129.53980000000001</v>
      </c>
      <c r="E13105" s="2603">
        <v>0.29539800000000005</v>
      </c>
      <c r="F13105" s="2604"/>
      <c r="G13105" s="78"/>
    </row>
    <row r="13106" spans="1:13" ht="12.75" hidden="1" customHeight="1" outlineLevel="1" x14ac:dyDescent="0.25">
      <c r="A13106" s="1956" t="s">
        <v>6322</v>
      </c>
      <c r="B13106" s="2185">
        <v>43709</v>
      </c>
      <c r="C13106" s="2602">
        <v>100</v>
      </c>
      <c r="D13106" s="2605">
        <v>134.8201</v>
      </c>
      <c r="E13106" s="2603">
        <v>0.34820099999999998</v>
      </c>
      <c r="F13106" s="2604"/>
      <c r="G13106" s="78"/>
    </row>
    <row r="13107" spans="1:13" ht="12.75" hidden="1" customHeight="1" outlineLevel="1" x14ac:dyDescent="0.25">
      <c r="A13107" s="1956" t="s">
        <v>6323</v>
      </c>
      <c r="B13107" s="2185">
        <v>43739</v>
      </c>
      <c r="C13107" s="2602">
        <v>100</v>
      </c>
      <c r="D13107" s="2605">
        <v>134.29300000000001</v>
      </c>
      <c r="E13107" s="2603">
        <v>0.34292999999999996</v>
      </c>
      <c r="F13107" s="2604"/>
      <c r="G13107" s="78"/>
    </row>
    <row r="13108" spans="1:13" ht="12.75" hidden="1" customHeight="1" outlineLevel="1" x14ac:dyDescent="0.25">
      <c r="A13108" s="1956" t="s">
        <v>6324</v>
      </c>
      <c r="B13108" s="2185">
        <v>43770</v>
      </c>
      <c r="C13108" s="2602">
        <v>100</v>
      </c>
      <c r="D13108" s="2605">
        <v>135.08799999999999</v>
      </c>
      <c r="E13108" s="2603">
        <v>0.35087999999999986</v>
      </c>
      <c r="F13108" s="2604"/>
      <c r="G13108" s="78"/>
    </row>
    <row r="13109" spans="1:13" ht="12.75" hidden="1" customHeight="1" outlineLevel="1" x14ac:dyDescent="0.25">
      <c r="A13109" s="2189" t="s">
        <v>2734</v>
      </c>
      <c r="B13109" s="2190"/>
      <c r="C13109" s="2605"/>
      <c r="D13109" s="2191" t="s">
        <v>2465</v>
      </c>
      <c r="E13109" s="1987">
        <v>0.24259127777777781</v>
      </c>
      <c r="F13109" s="2192">
        <v>0.24259127777777781</v>
      </c>
      <c r="G13109" s="78"/>
    </row>
    <row r="13110" spans="1:13" collapsed="1" x14ac:dyDescent="0.25">
      <c r="A13110" s="3801" t="s">
        <v>6305</v>
      </c>
      <c r="B13110" s="3802"/>
      <c r="C13110" s="3802"/>
      <c r="D13110" s="3802"/>
      <c r="E13110" s="1906"/>
      <c r="F13110" s="1907">
        <v>0.18194345833333336</v>
      </c>
      <c r="G13110" s="78"/>
    </row>
    <row r="13112" spans="1:13" ht="12.75" hidden="1" customHeight="1" outlineLevel="1" x14ac:dyDescent="0.25">
      <c r="A13112" s="2666" t="s">
        <v>113</v>
      </c>
      <c r="B13112" s="2666" t="s">
        <v>114</v>
      </c>
      <c r="C13112" s="2666" t="s">
        <v>112</v>
      </c>
      <c r="D13112" s="2666" t="s">
        <v>116</v>
      </c>
      <c r="E13112" s="2666" t="s">
        <v>117</v>
      </c>
      <c r="F13112" s="2667" t="s">
        <v>121</v>
      </c>
      <c r="G13112" s="78"/>
    </row>
    <row r="13113" spans="1:13" ht="12.75" hidden="1" customHeight="1" outlineLevel="1" x14ac:dyDescent="0.25">
      <c r="A13113" s="2668">
        <v>1</v>
      </c>
      <c r="B13113" s="2669" t="s">
        <v>252</v>
      </c>
      <c r="C13113" s="2670">
        <v>100</v>
      </c>
      <c r="D13113" s="2670"/>
      <c r="E13113" s="2671"/>
      <c r="F13113" s="2672"/>
      <c r="G13113" s="78"/>
    </row>
    <row r="13114" spans="1:13" ht="12.75" hidden="1" customHeight="1" outlineLevel="1" x14ac:dyDescent="0.25">
      <c r="A13114" s="2673" t="s">
        <v>2734</v>
      </c>
      <c r="B13114" s="2673"/>
      <c r="C13114" s="2674"/>
      <c r="D13114" s="1900" t="s">
        <v>3702</v>
      </c>
      <c r="E13114" s="2675">
        <v>43830</v>
      </c>
      <c r="F13114" s="2676"/>
      <c r="G13114" s="78"/>
    </row>
    <row r="13115" spans="1:13" ht="12.75" hidden="1" customHeight="1" outlineLevel="1" x14ac:dyDescent="0.25">
      <c r="A13115" s="2666" t="s">
        <v>4156</v>
      </c>
      <c r="B13115" s="2666" t="s">
        <v>4153</v>
      </c>
      <c r="C13115" s="2696" t="s">
        <v>112</v>
      </c>
      <c r="D13115" s="2677" t="s">
        <v>4155</v>
      </c>
      <c r="E13115" s="2666" t="s">
        <v>4154</v>
      </c>
      <c r="F13115" s="2679" t="s">
        <v>2519</v>
      </c>
      <c r="G13115" s="78"/>
      <c r="H13115" s="1771" t="s">
        <v>9422</v>
      </c>
    </row>
    <row r="13116" spans="1:13" ht="12.75" hidden="1" customHeight="1" outlineLevel="1" x14ac:dyDescent="0.25">
      <c r="A13116" s="1991">
        <v>0.02</v>
      </c>
      <c r="B13116" s="1921" t="s">
        <v>1317</v>
      </c>
      <c r="C13116" s="2108">
        <v>51.796999999999997</v>
      </c>
      <c r="D13116" s="2697">
        <v>94.51</v>
      </c>
      <c r="E13116" s="2698">
        <v>0.82462304766685346</v>
      </c>
      <c r="F13116" s="2679">
        <v>1.6492460953337069E-2</v>
      </c>
      <c r="G13116" s="78"/>
      <c r="H13116" t="s">
        <v>1318</v>
      </c>
      <c r="K13116" s="434"/>
      <c r="M13116" s="406"/>
    </row>
    <row r="13117" spans="1:13" ht="12.75" hidden="1" customHeight="1" outlineLevel="1" x14ac:dyDescent="0.25">
      <c r="A13117" s="2380">
        <v>0.02</v>
      </c>
      <c r="B13117" s="1921" t="s">
        <v>3998</v>
      </c>
      <c r="C13117" s="2108">
        <v>36.139000000000003</v>
      </c>
      <c r="D13117" s="2699">
        <v>39.08</v>
      </c>
      <c r="E13117" s="2700">
        <v>8.138022634826636E-2</v>
      </c>
      <c r="F13117" s="2701">
        <v>1.6276045269653272E-3</v>
      </c>
      <c r="G13117" s="78"/>
      <c r="H13117" t="s">
        <v>4000</v>
      </c>
      <c r="K13117" s="434"/>
      <c r="M13117" s="406"/>
    </row>
    <row r="13118" spans="1:13" ht="12.75" hidden="1" customHeight="1" outlineLevel="1" x14ac:dyDescent="0.25">
      <c r="A13118" s="2380">
        <v>0.03</v>
      </c>
      <c r="B13118" s="1921" t="s">
        <v>805</v>
      </c>
      <c r="C13118" s="2108">
        <v>75.408000074442782</v>
      </c>
      <c r="D13118" s="2699">
        <v>100.64</v>
      </c>
      <c r="E13118" s="2700">
        <v>0.33460640649066664</v>
      </c>
      <c r="F13118" s="2701">
        <v>1.0038192194719998E-2</v>
      </c>
      <c r="G13118" s="78"/>
      <c r="H13118" t="s">
        <v>806</v>
      </c>
      <c r="K13118" s="434"/>
      <c r="M13118" s="406"/>
    </row>
    <row r="13119" spans="1:13" ht="12.75" hidden="1" customHeight="1" outlineLevel="1" x14ac:dyDescent="0.25">
      <c r="A13119" s="2380">
        <v>0.08</v>
      </c>
      <c r="B13119" s="1921" t="s">
        <v>807</v>
      </c>
      <c r="C13119" s="2108">
        <v>49.762999999999998</v>
      </c>
      <c r="D13119" s="2699">
        <v>60.16</v>
      </c>
      <c r="E13119" s="2700">
        <v>0.20893032976307691</v>
      </c>
      <c r="F13119" s="2701">
        <v>1.6714426381046154E-2</v>
      </c>
      <c r="G13119" s="78"/>
      <c r="H13119" t="s">
        <v>808</v>
      </c>
      <c r="K13119" s="434"/>
      <c r="M13119" s="406"/>
    </row>
    <row r="13120" spans="1:13" ht="12.75" hidden="1" customHeight="1" outlineLevel="1" x14ac:dyDescent="0.25">
      <c r="A13120" s="2380">
        <v>0.02</v>
      </c>
      <c r="B13120" s="1921" t="s">
        <v>6078</v>
      </c>
      <c r="C13120" s="2108">
        <v>709.19999999999993</v>
      </c>
      <c r="D13120" s="2699">
        <v>638.79999999999995</v>
      </c>
      <c r="E13120" s="2700">
        <v>-9.9266779469825095E-2</v>
      </c>
      <c r="F13120" s="2701">
        <v>-1.9853355893965021E-3</v>
      </c>
      <c r="G13120" s="78"/>
      <c r="H13120" t="s">
        <v>2354</v>
      </c>
      <c r="K13120" s="434"/>
      <c r="M13120" s="406"/>
    </row>
    <row r="13121" spans="1:13" ht="12.75" hidden="1" customHeight="1" outlineLevel="1" x14ac:dyDescent="0.25">
      <c r="A13121" s="2380">
        <v>0.08</v>
      </c>
      <c r="B13121" s="1921" t="s">
        <v>10025</v>
      </c>
      <c r="C13121" s="2108">
        <v>17.359635820845213</v>
      </c>
      <c r="D13121" s="2699">
        <v>44.97</v>
      </c>
      <c r="E13121" s="2700">
        <v>1.5904921315227498</v>
      </c>
      <c r="F13121" s="2701">
        <v>0.12723937052181999</v>
      </c>
      <c r="G13121" s="78"/>
      <c r="H13121" t="s">
        <v>10024</v>
      </c>
      <c r="K13121" s="434"/>
      <c r="M13121" s="406"/>
    </row>
    <row r="13122" spans="1:13" ht="12.75" hidden="1" customHeight="1" outlineLevel="1" x14ac:dyDescent="0.25">
      <c r="A13122" s="2380">
        <v>0.08</v>
      </c>
      <c r="B13122" s="1921" t="s">
        <v>3954</v>
      </c>
      <c r="C13122" s="2108">
        <v>97.292000000000002</v>
      </c>
      <c r="D13122" s="2699">
        <v>108.06</v>
      </c>
      <c r="E13122" s="2700">
        <v>0.1106771368663404</v>
      </c>
      <c r="F13122" s="2701">
        <v>8.8541709493072315E-3</v>
      </c>
      <c r="G13122" s="78"/>
      <c r="H13122" t="s">
        <v>3955</v>
      </c>
      <c r="K13122" s="434"/>
      <c r="M13122" s="406"/>
    </row>
    <row r="13123" spans="1:13" ht="12.75" hidden="1" customHeight="1" outlineLevel="1" x14ac:dyDescent="0.25">
      <c r="A13123" s="2380">
        <v>0.02</v>
      </c>
      <c r="B13123" s="1921" t="s">
        <v>6079</v>
      </c>
      <c r="C13123" s="2108">
        <v>54.777999999999999</v>
      </c>
      <c r="D13123" s="2699">
        <v>90.47</v>
      </c>
      <c r="E13123" s="2700">
        <v>0.65157544999817452</v>
      </c>
      <c r="F13123" s="2701">
        <v>1.3031508999963491E-2</v>
      </c>
      <c r="G13123" s="78"/>
      <c r="H13123" t="s">
        <v>1320</v>
      </c>
      <c r="K13123" s="434"/>
      <c r="M13123" s="406"/>
    </row>
    <row r="13124" spans="1:13" ht="12.75" hidden="1" customHeight="1" outlineLevel="1" x14ac:dyDescent="0.25">
      <c r="A13124" s="2380">
        <v>0.02</v>
      </c>
      <c r="B13124" s="1921" t="s">
        <v>6161</v>
      </c>
      <c r="C13124" s="2108">
        <v>10342.5</v>
      </c>
      <c r="D13124" s="2699">
        <v>13480</v>
      </c>
      <c r="E13124" s="2700">
        <v>0.3033599226492627</v>
      </c>
      <c r="F13124" s="2701">
        <v>6.0671984529852546E-3</v>
      </c>
      <c r="G13124" s="78"/>
      <c r="H13124" t="s">
        <v>6159</v>
      </c>
      <c r="K13124" s="434"/>
      <c r="M13124" s="406"/>
    </row>
    <row r="13125" spans="1:13" ht="12.75" hidden="1" customHeight="1" outlineLevel="1" x14ac:dyDescent="0.25">
      <c r="A13125" s="2380">
        <v>0.02</v>
      </c>
      <c r="B13125" s="1921" t="s">
        <v>3021</v>
      </c>
      <c r="C13125" s="2108">
        <v>18.553999999999998</v>
      </c>
      <c r="D13125" s="2699">
        <v>13.846</v>
      </c>
      <c r="E13125" s="2700">
        <v>-0.25374582300312598</v>
      </c>
      <c r="F13125" s="2701">
        <v>-5.0749164600625198E-3</v>
      </c>
      <c r="G13125" s="78"/>
      <c r="H13125" t="s">
        <v>4124</v>
      </c>
      <c r="K13125" s="434"/>
      <c r="M13125" s="406"/>
    </row>
    <row r="13126" spans="1:13" ht="12.75" hidden="1" customHeight="1" outlineLevel="1" x14ac:dyDescent="0.25">
      <c r="A13126" s="2380">
        <v>0.02</v>
      </c>
      <c r="B13126" s="1921" t="s">
        <v>6109</v>
      </c>
      <c r="C13126" s="2108">
        <v>73.980999999999995</v>
      </c>
      <c r="D13126" s="2699">
        <v>119.8</v>
      </c>
      <c r="E13126" s="2700">
        <v>0.61933469404306529</v>
      </c>
      <c r="F13126" s="2701">
        <v>1.2386693880861306E-2</v>
      </c>
      <c r="G13126" s="78"/>
      <c r="H13126" t="s">
        <v>5230</v>
      </c>
      <c r="K13126" s="434"/>
      <c r="M13126" s="406"/>
    </row>
    <row r="13127" spans="1:13" ht="12.75" hidden="1" customHeight="1" outlineLevel="1" x14ac:dyDescent="0.25">
      <c r="A13127" s="2380">
        <v>0.03</v>
      </c>
      <c r="B13127" s="1921" t="s">
        <v>7227</v>
      </c>
      <c r="C13127" s="2108">
        <v>19.640999999999998</v>
      </c>
      <c r="D13127" s="2699">
        <v>14.4</v>
      </c>
      <c r="E13127" s="2700">
        <v>-0.26683977394226355</v>
      </c>
      <c r="F13127" s="2701">
        <v>-8.0051932182679062E-3</v>
      </c>
      <c r="G13127" s="78"/>
      <c r="H13127" t="s">
        <v>7229</v>
      </c>
      <c r="K13127" s="434"/>
      <c r="M13127" s="406"/>
    </row>
    <row r="13128" spans="1:13" ht="12.75" hidden="1" customHeight="1" outlineLevel="1" x14ac:dyDescent="0.25">
      <c r="A13128" s="2380">
        <v>0.03</v>
      </c>
      <c r="B13128" s="1921" t="s">
        <v>1386</v>
      </c>
      <c r="C13128" s="2519">
        <v>1604.9000173930506</v>
      </c>
      <c r="D13128" s="2699">
        <v>1779</v>
      </c>
      <c r="E13128" s="2700">
        <v>0.10848026713199999</v>
      </c>
      <c r="F13128" s="2701">
        <v>3.2544080139599993E-3</v>
      </c>
      <c r="G13128" s="78"/>
      <c r="H13128" t="s">
        <v>4128</v>
      </c>
      <c r="K13128" s="434"/>
      <c r="M13128" s="406"/>
    </row>
    <row r="13129" spans="1:13" ht="12.75" hidden="1" customHeight="1" outlineLevel="1" x14ac:dyDescent="0.25">
      <c r="A13129" s="2380">
        <v>0.02</v>
      </c>
      <c r="B13129" s="2225" t="s">
        <v>6530</v>
      </c>
      <c r="C13129" s="2108">
        <v>38.337990673973231</v>
      </c>
      <c r="D13129" s="2699">
        <v>34.47</v>
      </c>
      <c r="E13129" s="2700">
        <v>-0.10089184659850003</v>
      </c>
      <c r="F13129" s="2701">
        <v>-2.0178369319700006E-3</v>
      </c>
      <c r="G13129" s="78"/>
      <c r="H13129" t="s">
        <v>10140</v>
      </c>
      <c r="K13129" s="434"/>
      <c r="M13129" s="406"/>
    </row>
    <row r="13130" spans="1:13" ht="12.75" hidden="1" customHeight="1" outlineLevel="1" x14ac:dyDescent="0.25">
      <c r="A13130" s="2380">
        <v>0.02</v>
      </c>
      <c r="B13130" s="1921" t="s">
        <v>6163</v>
      </c>
      <c r="C13130" s="2108">
        <v>64.33</v>
      </c>
      <c r="D13130" s="2699">
        <v>81.78</v>
      </c>
      <c r="E13130" s="2700">
        <v>0.27125757811285567</v>
      </c>
      <c r="F13130" s="2701">
        <v>5.4251515622571137E-3</v>
      </c>
      <c r="G13130" s="78"/>
      <c r="H13130" t="s">
        <v>9170</v>
      </c>
      <c r="K13130" s="434"/>
      <c r="M13130" s="406"/>
    </row>
    <row r="13131" spans="1:13" ht="12.75" hidden="1" customHeight="1" outlineLevel="1" x14ac:dyDescent="0.25">
      <c r="A13131" s="2380">
        <v>0.02</v>
      </c>
      <c r="B13131" s="1921" t="s">
        <v>1772</v>
      </c>
      <c r="C13131" s="2108">
        <v>156.80000000000001</v>
      </c>
      <c r="D13131" s="2699">
        <v>263</v>
      </c>
      <c r="E13131" s="2700">
        <v>0.67729591836734682</v>
      </c>
      <c r="F13131" s="2701">
        <v>1.3545918367346936E-2</v>
      </c>
      <c r="G13131" s="78"/>
      <c r="H13131" t="s">
        <v>4330</v>
      </c>
      <c r="K13131" s="434"/>
      <c r="M13131" s="406"/>
    </row>
    <row r="13132" spans="1:13" ht="12.75" hidden="1" customHeight="1" outlineLevel="1" x14ac:dyDescent="0.25">
      <c r="A13132" s="2380">
        <v>0.03</v>
      </c>
      <c r="B13132" s="1921" t="s">
        <v>6113</v>
      </c>
      <c r="C13132" s="2108">
        <v>872.71316790531796</v>
      </c>
      <c r="D13132" s="2699">
        <v>944.3</v>
      </c>
      <c r="E13132" s="2700">
        <v>8.2027904158366693E-2</v>
      </c>
      <c r="F13132" s="2701">
        <v>2.4608371247510008E-3</v>
      </c>
      <c r="G13132" s="78"/>
      <c r="H13132" t="s">
        <v>4195</v>
      </c>
      <c r="K13132" s="434"/>
      <c r="M13132" s="406"/>
    </row>
    <row r="13133" spans="1:13" ht="12.75" hidden="1" customHeight="1" outlineLevel="1" x14ac:dyDescent="0.25">
      <c r="A13133" s="2380">
        <v>0.02</v>
      </c>
      <c r="B13133" s="1921" t="s">
        <v>5775</v>
      </c>
      <c r="C13133" s="2108">
        <v>31.116645531514969</v>
      </c>
      <c r="D13133" s="2699">
        <v>35.880000000000003</v>
      </c>
      <c r="E13133" s="2700">
        <v>0.15308059037599997</v>
      </c>
      <c r="F13133" s="2701">
        <v>3.0616118075199993E-3</v>
      </c>
      <c r="G13133" s="78"/>
      <c r="H13133" t="s">
        <v>2770</v>
      </c>
      <c r="K13133" s="434"/>
      <c r="M13133" s="406"/>
    </row>
    <row r="13134" spans="1:13" ht="12.75" hidden="1" customHeight="1" outlineLevel="1" x14ac:dyDescent="0.25">
      <c r="A13134" s="2380">
        <v>0.08</v>
      </c>
      <c r="B13134" s="1921" t="s">
        <v>901</v>
      </c>
      <c r="C13134" s="2108">
        <v>23.800651061395136</v>
      </c>
      <c r="D13134" s="2699">
        <v>32.314999999999998</v>
      </c>
      <c r="E13134" s="2700">
        <v>0.35773596766918736</v>
      </c>
      <c r="F13134" s="2701">
        <v>2.8618877413534988E-2</v>
      </c>
      <c r="G13134" s="78"/>
      <c r="H13134" t="s">
        <v>531</v>
      </c>
      <c r="K13134" s="434"/>
      <c r="M13134" s="406"/>
    </row>
    <row r="13135" spans="1:13" ht="12.75" hidden="1" customHeight="1" outlineLevel="1" x14ac:dyDescent="0.25">
      <c r="A13135" s="2380">
        <v>0.03</v>
      </c>
      <c r="B13135" s="1921" t="s">
        <v>3800</v>
      </c>
      <c r="C13135" s="2108">
        <v>263.64</v>
      </c>
      <c r="D13135" s="2699">
        <v>314</v>
      </c>
      <c r="E13135" s="2700">
        <v>0.19101805492338042</v>
      </c>
      <c r="F13135" s="2701">
        <v>5.7305416477014121E-3</v>
      </c>
      <c r="G13135" s="78"/>
      <c r="H13135" t="s">
        <v>8876</v>
      </c>
      <c r="K13135" s="434"/>
      <c r="M13135" s="406"/>
    </row>
    <row r="13136" spans="1:13" ht="12.75" hidden="1" customHeight="1" outlineLevel="1" x14ac:dyDescent="0.25">
      <c r="A13136" s="2380">
        <v>0.03</v>
      </c>
      <c r="B13136" s="1921" t="s">
        <v>6164</v>
      </c>
      <c r="C13136" s="2108">
        <v>3.5837847620233583</v>
      </c>
      <c r="D13136" s="2699">
        <v>4.6859999999999999</v>
      </c>
      <c r="E13136" s="2700">
        <v>0.30755620417180007</v>
      </c>
      <c r="F13136" s="2701">
        <v>9.2266861251540013E-3</v>
      </c>
      <c r="G13136" s="78"/>
      <c r="H13136" t="s">
        <v>6114</v>
      </c>
      <c r="K13136" s="434"/>
      <c r="M13136" s="406"/>
    </row>
    <row r="13137" spans="1:13" ht="12.75" hidden="1" customHeight="1" outlineLevel="1" x14ac:dyDescent="0.25">
      <c r="A13137" s="2380">
        <v>0.03</v>
      </c>
      <c r="B13137" s="1921" t="s">
        <v>3427</v>
      </c>
      <c r="C13137" s="2108">
        <v>43.253999975284671</v>
      </c>
      <c r="D13137" s="2699">
        <v>63.7</v>
      </c>
      <c r="E13137" s="2700">
        <v>0.47269616766999989</v>
      </c>
      <c r="F13137" s="2701">
        <v>1.4180885030099996E-2</v>
      </c>
      <c r="G13137" s="78"/>
      <c r="H13137" t="s">
        <v>2800</v>
      </c>
      <c r="K13137" s="434"/>
      <c r="M13137" s="406"/>
    </row>
    <row r="13138" spans="1:13" ht="12.75" hidden="1" customHeight="1" outlineLevel="1" x14ac:dyDescent="0.25">
      <c r="A13138" s="2380">
        <v>0.03</v>
      </c>
      <c r="B13138" s="1921" t="s">
        <v>1857</v>
      </c>
      <c r="C13138" s="2108">
        <v>1541.8999999737362</v>
      </c>
      <c r="D13138" s="2699">
        <v>1438.5</v>
      </c>
      <c r="E13138" s="2700">
        <v>-6.7060120614499952E-2</v>
      </c>
      <c r="F13138" s="2701">
        <v>-2.0118036184349985E-3</v>
      </c>
      <c r="G13138" s="78"/>
      <c r="H13138" t="s">
        <v>3559</v>
      </c>
      <c r="K13138" s="434"/>
      <c r="M13138" s="406"/>
    </row>
    <row r="13139" spans="1:13" ht="12.75" hidden="1" customHeight="1" outlineLevel="1" x14ac:dyDescent="0.25">
      <c r="A13139" s="2380">
        <v>0.02</v>
      </c>
      <c r="B13139" s="1921" t="s">
        <v>3381</v>
      </c>
      <c r="C13139" s="2108">
        <v>181.87</v>
      </c>
      <c r="D13139" s="2699">
        <v>175.5</v>
      </c>
      <c r="E13139" s="2700">
        <v>-3.5025017869907082E-2</v>
      </c>
      <c r="F13139" s="2701">
        <v>-7.0050035739814163E-4</v>
      </c>
      <c r="G13139" s="78"/>
      <c r="H13139" t="s">
        <v>9199</v>
      </c>
      <c r="K13139" s="434"/>
      <c r="M13139" s="406"/>
    </row>
    <row r="13140" spans="1:13" ht="12.75" hidden="1" customHeight="1" outlineLevel="1" x14ac:dyDescent="0.25">
      <c r="A13140" s="2380">
        <v>0.03</v>
      </c>
      <c r="B13140" s="1921" t="s">
        <v>1239</v>
      </c>
      <c r="C13140" s="2108">
        <v>539.99999567999998</v>
      </c>
      <c r="D13140" s="2699">
        <v>512.6</v>
      </c>
      <c r="E13140" s="2700">
        <v>-5.0740733146666495E-2</v>
      </c>
      <c r="F13140" s="2701">
        <v>-1.5222219943999949E-3</v>
      </c>
      <c r="G13140" s="78"/>
      <c r="H13140" t="s">
        <v>8891</v>
      </c>
      <c r="K13140" s="434"/>
      <c r="M13140" s="406"/>
    </row>
    <row r="13141" spans="1:13" ht="12.75" hidden="1" customHeight="1" outlineLevel="1" x14ac:dyDescent="0.25">
      <c r="A13141" s="2380">
        <v>0.02</v>
      </c>
      <c r="B13141" s="1921" t="s">
        <v>5387</v>
      </c>
      <c r="C13141" s="2108">
        <v>36.616</v>
      </c>
      <c r="D13141" s="2699">
        <v>85.54</v>
      </c>
      <c r="E13141" s="2700">
        <v>1.3361372077780209</v>
      </c>
      <c r="F13141" s="2701">
        <v>2.6722744155560418E-2</v>
      </c>
      <c r="G13141" s="78"/>
      <c r="H13141" t="s">
        <v>5389</v>
      </c>
      <c r="K13141" s="434"/>
      <c r="M13141" s="406"/>
    </row>
    <row r="13142" spans="1:13" ht="12.75" hidden="1" customHeight="1" outlineLevel="1" x14ac:dyDescent="0.25">
      <c r="A13142" s="2380">
        <v>0.02</v>
      </c>
      <c r="B13142" s="1921" t="s">
        <v>6165</v>
      </c>
      <c r="C13142" s="2108">
        <v>49.061999999999998</v>
      </c>
      <c r="D13142" s="2699">
        <v>40.25</v>
      </c>
      <c r="E13142" s="2700">
        <v>-0.17960947372712077</v>
      </c>
      <c r="F13142" s="2701">
        <v>-3.5921894745424153E-3</v>
      </c>
      <c r="G13142" s="78"/>
      <c r="H13142" t="s">
        <v>7745</v>
      </c>
      <c r="K13142" s="434"/>
      <c r="M13142" s="406"/>
    </row>
    <row r="13143" spans="1:13" ht="12.75" hidden="1" customHeight="1" outlineLevel="1" x14ac:dyDescent="0.25">
      <c r="A13143" s="2380">
        <v>0.02</v>
      </c>
      <c r="B13143" s="1921" t="s">
        <v>3626</v>
      </c>
      <c r="C13143" s="2108">
        <v>52.258000000000003</v>
      </c>
      <c r="D13143" s="2699">
        <v>72.83</v>
      </c>
      <c r="E13143" s="2700">
        <v>0.39366221439779547</v>
      </c>
      <c r="F13143" s="2701">
        <v>7.8732442879559088E-3</v>
      </c>
      <c r="G13143" s="78"/>
      <c r="H13143" t="s">
        <v>7752</v>
      </c>
      <c r="K13143" s="434"/>
      <c r="M13143" s="406"/>
    </row>
    <row r="13144" spans="1:13" ht="12.75" hidden="1" customHeight="1" outlineLevel="1" x14ac:dyDescent="0.25">
      <c r="A13144" s="2380">
        <v>0.03</v>
      </c>
      <c r="B13144" s="1921" t="s">
        <v>6211</v>
      </c>
      <c r="C13144" s="2108">
        <v>2676.9000008919429</v>
      </c>
      <c r="D13144" s="2699">
        <v>4350.5</v>
      </c>
      <c r="E13144" s="2700">
        <v>0.62520079141933338</v>
      </c>
      <c r="F13144" s="2701">
        <v>1.8756023742580001E-2</v>
      </c>
      <c r="G13144" s="78"/>
      <c r="H13144" t="s">
        <v>107</v>
      </c>
      <c r="K13144" s="434"/>
      <c r="M13144" s="406"/>
    </row>
    <row r="13145" spans="1:13" ht="12.75" hidden="1" customHeight="1" outlineLevel="1" x14ac:dyDescent="0.25">
      <c r="A13145" s="2380">
        <v>0.08</v>
      </c>
      <c r="B13145" s="2109" t="s">
        <v>4550</v>
      </c>
      <c r="C13145" s="2108">
        <v>261.13</v>
      </c>
      <c r="D13145" s="2702">
        <v>397.1</v>
      </c>
      <c r="E13145" s="2700">
        <v>0.52069850266150963</v>
      </c>
      <c r="F13145" s="2701">
        <v>4.1655880212920771E-2</v>
      </c>
      <c r="G13145" s="78"/>
      <c r="H13145" t="s">
        <v>8889</v>
      </c>
      <c r="K13145" s="434"/>
      <c r="M13145" s="406"/>
    </row>
    <row r="13146" spans="1:13" ht="12.75" hidden="1" customHeight="1" outlineLevel="1" x14ac:dyDescent="0.25">
      <c r="A13146" s="2181" t="s">
        <v>2734</v>
      </c>
      <c r="B13146" s="2103"/>
      <c r="C13146" s="2703"/>
      <c r="D13146" s="2704"/>
      <c r="E13146" s="2682"/>
      <c r="F13146" s="2679">
        <v>0.36805443870787585</v>
      </c>
      <c r="G13146" s="78"/>
    </row>
    <row r="13147" spans="1:13" ht="12.75" hidden="1" customHeight="1" outlineLevel="1" x14ac:dyDescent="0.25">
      <c r="A13147" s="1956" t="s">
        <v>6340</v>
      </c>
      <c r="B13147" s="2185">
        <v>43282</v>
      </c>
      <c r="C13147" s="2705">
        <v>100</v>
      </c>
      <c r="D13147" s="2705">
        <v>122.5752</v>
      </c>
      <c r="E13147" s="2706">
        <v>0.22575199999999995</v>
      </c>
      <c r="F13147" s="2707"/>
      <c r="G13147" s="78"/>
      <c r="H13147" s="2135" t="s">
        <v>9894</v>
      </c>
      <c r="I13147" t="s">
        <v>9895</v>
      </c>
    </row>
    <row r="13148" spans="1:13" ht="12.75" hidden="1" customHeight="1" outlineLevel="1" x14ac:dyDescent="0.25">
      <c r="A13148" s="1956" t="s">
        <v>6341</v>
      </c>
      <c r="B13148" s="2185">
        <v>43313</v>
      </c>
      <c r="C13148" s="2705">
        <v>100</v>
      </c>
      <c r="D13148" s="2694">
        <v>120.2649</v>
      </c>
      <c r="E13148" s="2706">
        <v>0.20264900000000008</v>
      </c>
      <c r="F13148" s="2707"/>
      <c r="G13148" s="78"/>
    </row>
    <row r="13149" spans="1:13" ht="12.75" hidden="1" customHeight="1" outlineLevel="1" x14ac:dyDescent="0.25">
      <c r="A13149" s="1956" t="s">
        <v>6342</v>
      </c>
      <c r="B13149" s="2185">
        <v>43344</v>
      </c>
      <c r="C13149" s="2705">
        <v>100</v>
      </c>
      <c r="D13149" s="2694">
        <v>120.79559999999999</v>
      </c>
      <c r="E13149" s="2706">
        <v>0.20795600000000003</v>
      </c>
      <c r="F13149" s="2707"/>
      <c r="G13149" s="78"/>
    </row>
    <row r="13150" spans="1:13" ht="12.75" hidden="1" customHeight="1" outlineLevel="1" x14ac:dyDescent="0.25">
      <c r="A13150" s="1956" t="s">
        <v>6343</v>
      </c>
      <c r="B13150" s="2185">
        <v>43374</v>
      </c>
      <c r="C13150" s="2705">
        <v>100</v>
      </c>
      <c r="D13150" s="2694">
        <v>120.3797</v>
      </c>
      <c r="E13150" s="2706">
        <v>0.20379700000000001</v>
      </c>
      <c r="F13150" s="2707"/>
      <c r="G13150" s="78"/>
    </row>
    <row r="13151" spans="1:13" ht="12.75" hidden="1" customHeight="1" outlineLevel="1" x14ac:dyDescent="0.25">
      <c r="A13151" s="1956" t="s">
        <v>6344</v>
      </c>
      <c r="B13151" s="2185">
        <v>43405</v>
      </c>
      <c r="C13151" s="2705">
        <v>100</v>
      </c>
      <c r="D13151" s="2694">
        <v>120.52119999999999</v>
      </c>
      <c r="E13151" s="2706">
        <v>0.20521199999999995</v>
      </c>
      <c r="F13151" s="2707"/>
      <c r="G13151" s="78"/>
    </row>
    <row r="13152" spans="1:13" ht="12.75" hidden="1" customHeight="1" outlineLevel="1" x14ac:dyDescent="0.25">
      <c r="A13152" s="1956" t="s">
        <v>6345</v>
      </c>
      <c r="B13152" s="2185">
        <v>43435</v>
      </c>
      <c r="C13152" s="2705">
        <v>100</v>
      </c>
      <c r="D13152" s="2694">
        <v>112.4024</v>
      </c>
      <c r="E13152" s="2706">
        <v>0.12402399999999991</v>
      </c>
      <c r="F13152" s="2707"/>
      <c r="G13152" s="78"/>
    </row>
    <row r="13153" spans="1:7" ht="12.75" hidden="1" customHeight="1" outlineLevel="1" x14ac:dyDescent="0.25">
      <c r="A13153" s="1956" t="s">
        <v>6346</v>
      </c>
      <c r="B13153" s="2185">
        <v>43466</v>
      </c>
      <c r="C13153" s="2705">
        <v>100</v>
      </c>
      <c r="D13153" s="2694">
        <v>119.291</v>
      </c>
      <c r="E13153" s="2706">
        <v>0.19290999999999991</v>
      </c>
      <c r="F13153" s="2707"/>
      <c r="G13153" s="78"/>
    </row>
    <row r="13154" spans="1:7" ht="12.75" hidden="1" customHeight="1" outlineLevel="1" x14ac:dyDescent="0.25">
      <c r="A13154" s="1956" t="s">
        <v>6347</v>
      </c>
      <c r="B13154" s="2185">
        <v>43497</v>
      </c>
      <c r="C13154" s="2705">
        <v>100</v>
      </c>
      <c r="D13154" s="2694">
        <v>122.8843</v>
      </c>
      <c r="E13154" s="2706">
        <v>0.22884299999999991</v>
      </c>
      <c r="F13154" s="2707"/>
      <c r="G13154" s="78"/>
    </row>
    <row r="13155" spans="1:7" ht="12.75" hidden="1" customHeight="1" outlineLevel="1" x14ac:dyDescent="0.25">
      <c r="A13155" s="1956" t="s">
        <v>6348</v>
      </c>
      <c r="B13155" s="2185">
        <v>43525</v>
      </c>
      <c r="C13155" s="2705">
        <v>100</v>
      </c>
      <c r="D13155" s="2694">
        <v>125.8561</v>
      </c>
      <c r="E13155" s="2706">
        <v>0.25856100000000004</v>
      </c>
      <c r="F13155" s="2707"/>
      <c r="G13155" s="78"/>
    </row>
    <row r="13156" spans="1:7" ht="12.75" hidden="1" customHeight="1" outlineLevel="1" x14ac:dyDescent="0.25">
      <c r="A13156" s="1956" t="s">
        <v>6349</v>
      </c>
      <c r="B13156" s="2185">
        <v>43556</v>
      </c>
      <c r="C13156" s="2705">
        <v>100</v>
      </c>
      <c r="D13156" s="2694">
        <v>127.874</v>
      </c>
      <c r="E13156" s="2706">
        <v>0.27873999999999999</v>
      </c>
      <c r="F13156" s="2707"/>
      <c r="G13156" s="78"/>
    </row>
    <row r="13157" spans="1:7" ht="12.75" hidden="1" customHeight="1" outlineLevel="1" x14ac:dyDescent="0.25">
      <c r="A13157" s="1956" t="s">
        <v>6350</v>
      </c>
      <c r="B13157" s="2185">
        <v>43586</v>
      </c>
      <c r="C13157" s="2705">
        <v>100</v>
      </c>
      <c r="D13157" s="2694">
        <v>123.8276</v>
      </c>
      <c r="E13157" s="2603">
        <v>0.23827599999999993</v>
      </c>
      <c r="F13157" s="2707"/>
      <c r="G13157" s="78"/>
    </row>
    <row r="13158" spans="1:7" ht="12.75" hidden="1" customHeight="1" outlineLevel="1" x14ac:dyDescent="0.25">
      <c r="A13158" s="1956" t="s">
        <v>6351</v>
      </c>
      <c r="B13158" s="2185">
        <v>43617</v>
      </c>
      <c r="C13158" s="2705">
        <v>100</v>
      </c>
      <c r="D13158" s="2694">
        <v>126.36660000000001</v>
      </c>
      <c r="E13158" s="2603">
        <v>0.26366599999999996</v>
      </c>
      <c r="F13158" s="2707"/>
      <c r="G13158" s="78"/>
    </row>
    <row r="13159" spans="1:7" ht="12.75" hidden="1" customHeight="1" outlineLevel="1" x14ac:dyDescent="0.25">
      <c r="A13159" s="1956" t="s">
        <v>6352</v>
      </c>
      <c r="B13159" s="2185">
        <v>43647</v>
      </c>
      <c r="C13159" s="2705">
        <v>100</v>
      </c>
      <c r="D13159" s="2694">
        <v>127.83880000000001</v>
      </c>
      <c r="E13159" s="2603">
        <v>0.27838800000000008</v>
      </c>
      <c r="F13159" s="2707"/>
      <c r="G13159" s="78"/>
    </row>
    <row r="13160" spans="1:7" ht="12.75" hidden="1" customHeight="1" outlineLevel="1" x14ac:dyDescent="0.25">
      <c r="A13160" s="1956" t="s">
        <v>6353</v>
      </c>
      <c r="B13160" s="2185">
        <v>43678</v>
      </c>
      <c r="C13160" s="2705">
        <v>100</v>
      </c>
      <c r="D13160" s="2694">
        <v>130.09299999999999</v>
      </c>
      <c r="E13160" s="2603">
        <v>0.30092999999999992</v>
      </c>
      <c r="F13160" s="2707"/>
      <c r="G13160" s="78"/>
    </row>
    <row r="13161" spans="1:7" ht="12.75" hidden="1" customHeight="1" outlineLevel="1" x14ac:dyDescent="0.25">
      <c r="A13161" s="1956" t="s">
        <v>6354</v>
      </c>
      <c r="B13161" s="2185">
        <v>43709</v>
      </c>
      <c r="C13161" s="2705">
        <v>100</v>
      </c>
      <c r="D13161" s="2694">
        <v>135.40039999999999</v>
      </c>
      <c r="E13161" s="2603">
        <v>0.35400399999999999</v>
      </c>
      <c r="F13161" s="2707"/>
      <c r="G13161" s="78"/>
    </row>
    <row r="13162" spans="1:7" ht="12.75" hidden="1" customHeight="1" outlineLevel="1" x14ac:dyDescent="0.25">
      <c r="A13162" s="1956" t="s">
        <v>6355</v>
      </c>
      <c r="B13162" s="2185">
        <v>43739</v>
      </c>
      <c r="C13162" s="2705">
        <v>100</v>
      </c>
      <c r="D13162" s="2694">
        <v>134.88800000000001</v>
      </c>
      <c r="E13162" s="2603">
        <v>0.34888000000000008</v>
      </c>
      <c r="F13162" s="2707"/>
      <c r="G13162" s="78"/>
    </row>
    <row r="13163" spans="1:7" ht="12.75" hidden="1" customHeight="1" outlineLevel="1" x14ac:dyDescent="0.25">
      <c r="A13163" s="1956" t="s">
        <v>6356</v>
      </c>
      <c r="B13163" s="2185">
        <v>43770</v>
      </c>
      <c r="C13163" s="2705">
        <v>100</v>
      </c>
      <c r="D13163" s="2694">
        <v>135.65530000000001</v>
      </c>
      <c r="E13163" s="2603">
        <v>0.35655300000000012</v>
      </c>
      <c r="F13163" s="2707"/>
      <c r="G13163" s="78"/>
    </row>
    <row r="13164" spans="1:7" ht="12.75" hidden="1" customHeight="1" outlineLevel="1" x14ac:dyDescent="0.25">
      <c r="A13164" s="1956" t="s">
        <v>6357</v>
      </c>
      <c r="B13164" s="2185">
        <v>43800</v>
      </c>
      <c r="C13164" s="2705">
        <v>100</v>
      </c>
      <c r="D13164" s="2694">
        <v>136.869</v>
      </c>
      <c r="E13164" s="2603">
        <v>0.36868999999999996</v>
      </c>
      <c r="F13164" s="2707"/>
      <c r="G13164" s="78"/>
    </row>
    <row r="13165" spans="1:7" ht="12.75" hidden="1" customHeight="1" outlineLevel="1" x14ac:dyDescent="0.25">
      <c r="A13165" s="2189" t="s">
        <v>2734</v>
      </c>
      <c r="B13165" s="2190"/>
      <c r="C13165" s="2694"/>
      <c r="D13165" s="2191" t="s">
        <v>2465</v>
      </c>
      <c r="E13165" s="1987">
        <v>0.25765727777777775</v>
      </c>
      <c r="F13165" s="2192">
        <v>0.25765727777777775</v>
      </c>
      <c r="G13165" s="78"/>
    </row>
    <row r="13166" spans="1:7" collapsed="1" x14ac:dyDescent="0.25">
      <c r="A13166" s="3801" t="s">
        <v>6339</v>
      </c>
      <c r="B13166" s="3802"/>
      <c r="C13166" s="3802"/>
      <c r="D13166" s="3802"/>
      <c r="E13166" s="1906"/>
      <c r="F13166" s="1907">
        <v>0.15612582222222221</v>
      </c>
      <c r="G13166" s="78"/>
    </row>
    <row r="13168" spans="1:7" ht="12.75" hidden="1" customHeight="1" outlineLevel="1" x14ac:dyDescent="0.25">
      <c r="A13168" s="2835" t="s">
        <v>113</v>
      </c>
      <c r="B13168" s="2835" t="s">
        <v>114</v>
      </c>
      <c r="C13168" s="2835" t="s">
        <v>112</v>
      </c>
      <c r="D13168" s="2835" t="s">
        <v>116</v>
      </c>
      <c r="E13168" s="2835" t="s">
        <v>117</v>
      </c>
      <c r="F13168" s="2836" t="s">
        <v>121</v>
      </c>
      <c r="G13168" s="78"/>
    </row>
    <row r="13169" spans="1:19" ht="12.75" hidden="1" customHeight="1" outlineLevel="1" x14ac:dyDescent="0.25">
      <c r="A13169" s="2837">
        <v>1</v>
      </c>
      <c r="B13169" s="2838" t="s">
        <v>252</v>
      </c>
      <c r="C13169" s="2839">
        <v>100</v>
      </c>
      <c r="D13169" s="2839"/>
      <c r="E13169" s="2840"/>
      <c r="F13169" s="2841"/>
      <c r="G13169" s="78"/>
    </row>
    <row r="13170" spans="1:19" ht="12.75" hidden="1" customHeight="1" outlineLevel="1" x14ac:dyDescent="0.25">
      <c r="A13170" s="2842" t="s">
        <v>2734</v>
      </c>
      <c r="B13170" s="2842"/>
      <c r="C13170" s="2843"/>
      <c r="D13170" s="1900" t="s">
        <v>3702</v>
      </c>
      <c r="E13170" s="2844">
        <v>43889</v>
      </c>
      <c r="F13170" s="2845"/>
      <c r="G13170" s="78"/>
      <c r="I13170" s="3">
        <v>2</v>
      </c>
      <c r="J13170" s="192" t="s">
        <v>252</v>
      </c>
    </row>
    <row r="13171" spans="1:19" ht="12.75" hidden="1" customHeight="1" outlineLevel="1" x14ac:dyDescent="0.3">
      <c r="A13171" s="2835" t="s">
        <v>4156</v>
      </c>
      <c r="B13171" s="2835" t="s">
        <v>4153</v>
      </c>
      <c r="C13171" s="2846" t="s">
        <v>112</v>
      </c>
      <c r="D13171" s="2847" t="s">
        <v>4155</v>
      </c>
      <c r="E13171" s="2835" t="s">
        <v>4154</v>
      </c>
      <c r="F13171" s="2848" t="s">
        <v>2519</v>
      </c>
      <c r="G13171" s="78"/>
      <c r="I13171" s="22" t="s">
        <v>4156</v>
      </c>
      <c r="J13171" s="476" t="s">
        <v>5272</v>
      </c>
      <c r="K13171" s="98" t="s">
        <v>112</v>
      </c>
      <c r="L13171" s="23" t="s">
        <v>116</v>
      </c>
      <c r="M13171" s="22" t="s">
        <v>4154</v>
      </c>
      <c r="N13171" s="24" t="s">
        <v>2519</v>
      </c>
      <c r="O13171" s="417"/>
    </row>
    <row r="13172" spans="1:19" ht="12.75" hidden="1" customHeight="1" outlineLevel="1" x14ac:dyDescent="0.25">
      <c r="A13172" s="1991">
        <v>0.02</v>
      </c>
      <c r="B13172" s="1921" t="s">
        <v>2703</v>
      </c>
      <c r="C13172" s="2108">
        <v>141.31700000000001</v>
      </c>
      <c r="D13172" s="2849">
        <v>149.24</v>
      </c>
      <c r="E13172" s="2850">
        <v>5.6065441525081861E-2</v>
      </c>
      <c r="F13172" s="2848">
        <v>1.1213088305016372E-3</v>
      </c>
      <c r="G13172" s="78"/>
      <c r="H13172" t="s">
        <v>2780</v>
      </c>
      <c r="I13172" s="477">
        <v>0.1</v>
      </c>
      <c r="J13172" s="417" t="s">
        <v>3320</v>
      </c>
      <c r="K13172" s="417">
        <v>80.072000000000003</v>
      </c>
      <c r="L13172" s="417">
        <v>106.61999999999998</v>
      </c>
      <c r="M13172" s="72">
        <v>0.33155160355679847</v>
      </c>
      <c r="N13172" s="478">
        <v>3.315516035567985E-2</v>
      </c>
      <c r="O13172" s="417" t="s">
        <v>4093</v>
      </c>
      <c r="R13172" s="434"/>
      <c r="S13172" s="434"/>
    </row>
    <row r="13173" spans="1:19" ht="12.75" hidden="1" customHeight="1" outlineLevel="1" x14ac:dyDescent="0.25">
      <c r="A13173" s="2380">
        <v>0.02</v>
      </c>
      <c r="B13173" s="1921" t="s">
        <v>4266</v>
      </c>
      <c r="C13173" s="2108">
        <v>21.077999999999999</v>
      </c>
      <c r="D13173" s="2851">
        <v>20.81</v>
      </c>
      <c r="E13173" s="2852">
        <v>-1.2714678812031588E-2</v>
      </c>
      <c r="F13173" s="2853">
        <v>-2.5429357624063176E-4</v>
      </c>
      <c r="G13173" s="78"/>
      <c r="H13173" t="s">
        <v>8883</v>
      </c>
      <c r="I13173" s="477">
        <v>0.1</v>
      </c>
      <c r="J13173" s="417" t="s">
        <v>139</v>
      </c>
      <c r="K13173" s="417">
        <v>2884.5</v>
      </c>
      <c r="L13173" s="417">
        <v>3905.7</v>
      </c>
      <c r="M13173" s="72">
        <v>0.35403016120644826</v>
      </c>
      <c r="N13173" s="478">
        <v>3.540301612064483E-2</v>
      </c>
      <c r="O13173" s="417" t="s">
        <v>1776</v>
      </c>
      <c r="R13173" s="434"/>
      <c r="S13173" s="434"/>
    </row>
    <row r="13174" spans="1:19" ht="12.75" hidden="1" customHeight="1" outlineLevel="1" x14ac:dyDescent="0.25">
      <c r="A13174" s="2380">
        <v>0.02</v>
      </c>
      <c r="B13174" s="1921" t="s">
        <v>3320</v>
      </c>
      <c r="C13174" s="2108">
        <v>80.072000000000003</v>
      </c>
      <c r="D13174" s="2851">
        <v>50.73</v>
      </c>
      <c r="E13174" s="2852">
        <v>-0.36644519932061148</v>
      </c>
      <c r="F13174" s="2853">
        <v>-7.32890398641223E-3</v>
      </c>
      <c r="G13174" s="78"/>
      <c r="H13174" t="s">
        <v>4093</v>
      </c>
      <c r="I13174" s="477">
        <v>0.1</v>
      </c>
      <c r="J13174" s="417" t="s">
        <v>140</v>
      </c>
      <c r="K13174" s="417">
        <v>91.111000000000004</v>
      </c>
      <c r="L13174" s="417">
        <v>91.265999999999991</v>
      </c>
      <c r="M13174" s="72">
        <v>1.7012215868554836E-3</v>
      </c>
      <c r="N13174" s="478">
        <v>1.7012215868554838E-4</v>
      </c>
      <c r="O13174" s="417" t="s">
        <v>1777</v>
      </c>
      <c r="R13174" s="434"/>
      <c r="S13174" s="434"/>
    </row>
    <row r="13175" spans="1:19" ht="12.75" hidden="1" customHeight="1" outlineLevel="1" x14ac:dyDescent="0.25">
      <c r="A13175" s="2380">
        <v>0.02</v>
      </c>
      <c r="B13175" s="1921" t="s">
        <v>343</v>
      </c>
      <c r="C13175" s="2108">
        <v>3.4950000000000001</v>
      </c>
      <c r="D13175" s="2851">
        <v>3.08</v>
      </c>
      <c r="E13175" s="2852">
        <v>-0.11874105865522178</v>
      </c>
      <c r="F13175" s="2853">
        <v>-2.3748211731044358E-3</v>
      </c>
      <c r="G13175" s="78"/>
      <c r="H13175" t="s">
        <v>3451</v>
      </c>
      <c r="I13175" s="477">
        <v>0.1</v>
      </c>
      <c r="J13175" s="417" t="s">
        <v>4515</v>
      </c>
      <c r="K13175" s="417">
        <v>558.65</v>
      </c>
      <c r="L13175" s="417">
        <v>617.70000000000005</v>
      </c>
      <c r="M13175" s="72">
        <v>0.10570124407052739</v>
      </c>
      <c r="N13175" s="478">
        <v>1.0570124407052739E-2</v>
      </c>
      <c r="O13175" s="417" t="s">
        <v>1778</v>
      </c>
      <c r="R13175" s="434"/>
      <c r="S13175" s="434"/>
    </row>
    <row r="13176" spans="1:19" ht="12.75" hidden="1" customHeight="1" outlineLevel="1" x14ac:dyDescent="0.25">
      <c r="A13176" s="2380">
        <v>0.02</v>
      </c>
      <c r="B13176" s="1921" t="s">
        <v>2582</v>
      </c>
      <c r="C13176" s="2108">
        <v>1726.2245481126274</v>
      </c>
      <c r="D13176" s="2851">
        <v>1418.4</v>
      </c>
      <c r="E13176" s="2852">
        <v>-0.17832242534679987</v>
      </c>
      <c r="F13176" s="2853">
        <v>-3.5664485069359974E-3</v>
      </c>
      <c r="G13176" s="78"/>
      <c r="H13176" t="s">
        <v>9582</v>
      </c>
      <c r="I13176" s="477">
        <v>0.1</v>
      </c>
      <c r="J13176" s="417" t="s">
        <v>3406</v>
      </c>
      <c r="K13176" s="417">
        <v>1896.55</v>
      </c>
      <c r="L13176" s="417">
        <v>1794.6</v>
      </c>
      <c r="M13176" s="72">
        <v>-5.3755503414094075E-2</v>
      </c>
      <c r="N13176" s="478">
        <v>-5.3755503414094075E-3</v>
      </c>
      <c r="O13176" s="417" t="s">
        <v>2105</v>
      </c>
      <c r="R13176" s="434"/>
      <c r="S13176" s="434"/>
    </row>
    <row r="13177" spans="1:19" ht="12.75" hidden="1" customHeight="1" outlineLevel="1" x14ac:dyDescent="0.25">
      <c r="A13177" s="2380">
        <v>0.02</v>
      </c>
      <c r="B13177" s="1921" t="s">
        <v>901</v>
      </c>
      <c r="C13177" s="2108">
        <v>3487.1000000000004</v>
      </c>
      <c r="D13177" s="2851">
        <v>3062.5</v>
      </c>
      <c r="E13177" s="2852">
        <v>-0.12176306959938066</v>
      </c>
      <c r="F13177" s="2853">
        <v>-2.4352613919876131E-3</v>
      </c>
      <c r="G13177" s="78"/>
      <c r="H13177" t="s">
        <v>531</v>
      </c>
      <c r="I13177" s="477">
        <v>0.1</v>
      </c>
      <c r="J13177" s="417" t="s">
        <v>3319</v>
      </c>
      <c r="K13177" s="417">
        <v>51.381500000000003</v>
      </c>
      <c r="L13177" s="417">
        <v>70.603999999999999</v>
      </c>
      <c r="M13177" s="72">
        <v>0.37411325087823433</v>
      </c>
      <c r="N13177" s="478">
        <v>3.7411325087823431E-2</v>
      </c>
      <c r="O13177" s="417" t="s">
        <v>1779</v>
      </c>
      <c r="R13177" s="434"/>
      <c r="S13177" s="434"/>
    </row>
    <row r="13178" spans="1:19" ht="12.75" hidden="1" customHeight="1" outlineLevel="1" x14ac:dyDescent="0.25">
      <c r="A13178" s="2380">
        <v>0.02</v>
      </c>
      <c r="B13178" s="1921" t="s">
        <v>581</v>
      </c>
      <c r="C13178" s="2108">
        <v>124.277</v>
      </c>
      <c r="D13178" s="2851">
        <v>93.34</v>
      </c>
      <c r="E13178" s="2852">
        <v>-0.24893584492705811</v>
      </c>
      <c r="F13178" s="2853">
        <v>-4.9787168985411627E-3</v>
      </c>
      <c r="G13178" s="78"/>
      <c r="H13178" t="s">
        <v>589</v>
      </c>
      <c r="I13178" s="477">
        <v>0.1</v>
      </c>
      <c r="J13178" s="417" t="s">
        <v>3321</v>
      </c>
      <c r="K13178" s="417">
        <v>1396.2</v>
      </c>
      <c r="L13178" s="417">
        <v>1648.7</v>
      </c>
      <c r="M13178" s="72">
        <v>0.18084801604354683</v>
      </c>
      <c r="N13178" s="478">
        <v>1.8084801604354685E-2</v>
      </c>
      <c r="O13178" s="417" t="s">
        <v>1780</v>
      </c>
      <c r="R13178" s="434"/>
      <c r="S13178" s="434"/>
    </row>
    <row r="13179" spans="1:19" ht="12.75" hidden="1" customHeight="1" outlineLevel="1" x14ac:dyDescent="0.25">
      <c r="A13179" s="2380">
        <v>0.02</v>
      </c>
      <c r="B13179" s="1921" t="s">
        <v>428</v>
      </c>
      <c r="C13179" s="2108">
        <v>73.566393753124387</v>
      </c>
      <c r="D13179" s="2851">
        <v>61.3</v>
      </c>
      <c r="E13179" s="2852">
        <v>-0.16673909277499999</v>
      </c>
      <c r="F13179" s="2853">
        <v>-3.3347818554999996E-3</v>
      </c>
      <c r="G13179" s="78"/>
      <c r="H13179" t="s">
        <v>1909</v>
      </c>
      <c r="I13179" s="477">
        <v>0.1</v>
      </c>
      <c r="J13179" s="417" t="s">
        <v>3869</v>
      </c>
      <c r="K13179" s="417">
        <v>64.253</v>
      </c>
      <c r="L13179" s="417">
        <v>73.63</v>
      </c>
      <c r="M13179" s="72">
        <v>0.14593871103294775</v>
      </c>
      <c r="N13179" s="478">
        <v>1.4593871103294777E-2</v>
      </c>
      <c r="O13179" s="417" t="s">
        <v>1984</v>
      </c>
      <c r="R13179" s="434"/>
      <c r="S13179" s="434"/>
    </row>
    <row r="13180" spans="1:19" ht="12.75" hidden="1" customHeight="1" outlineLevel="1" x14ac:dyDescent="0.25">
      <c r="A13180" s="2380">
        <v>0.08</v>
      </c>
      <c r="B13180" s="1921" t="s">
        <v>4055</v>
      </c>
      <c r="C13180" s="2108">
        <v>62.994999999999997</v>
      </c>
      <c r="D13180" s="2851">
        <v>81.8</v>
      </c>
      <c r="E13180" s="2852">
        <v>0.29851575521866813</v>
      </c>
      <c r="F13180" s="2853">
        <v>2.3881260417493451E-2</v>
      </c>
      <c r="G13180" s="78"/>
      <c r="H13180" t="s">
        <v>4056</v>
      </c>
      <c r="I13180" s="477">
        <v>0.1</v>
      </c>
      <c r="J13180" s="417" t="s">
        <v>4044</v>
      </c>
      <c r="K13180" s="417">
        <v>87.730999999999995</v>
      </c>
      <c r="L13180" s="417">
        <v>111.12</v>
      </c>
      <c r="M13180" s="72">
        <v>0.26659903568863919</v>
      </c>
      <c r="N13180" s="478">
        <v>2.665990356886392E-2</v>
      </c>
      <c r="O13180" s="417" t="s">
        <v>4045</v>
      </c>
      <c r="R13180" s="434"/>
      <c r="S13180" s="434"/>
    </row>
    <row r="13181" spans="1:19" ht="12.75" hidden="1" customHeight="1" outlineLevel="1" x14ac:dyDescent="0.25">
      <c r="A13181" s="2380">
        <v>0.02</v>
      </c>
      <c r="B13181" s="1921" t="s">
        <v>939</v>
      </c>
      <c r="C13181" s="2108">
        <v>78.334999999999994</v>
      </c>
      <c r="D13181" s="2851">
        <v>48.42</v>
      </c>
      <c r="E13181" s="2852">
        <v>-0.38188549179804676</v>
      </c>
      <c r="F13181" s="2853">
        <v>-7.6377098359609354E-3</v>
      </c>
      <c r="G13181" s="78"/>
      <c r="H13181" t="s">
        <v>2791</v>
      </c>
      <c r="I13181" s="477">
        <v>0.1</v>
      </c>
      <c r="J13181" s="417" t="s">
        <v>4442</v>
      </c>
      <c r="K13181" s="417">
        <v>3239.6500000000005</v>
      </c>
      <c r="L13181" s="417">
        <v>3487.3</v>
      </c>
      <c r="M13181" s="72">
        <v>7.6443442964517549E-2</v>
      </c>
      <c r="N13181" s="478">
        <v>7.6443442964517555E-3</v>
      </c>
      <c r="O13181" s="417" t="s">
        <v>1986</v>
      </c>
      <c r="R13181" s="434"/>
      <c r="S13181" s="434"/>
    </row>
    <row r="13182" spans="1:19" ht="12.75" hidden="1" customHeight="1" outlineLevel="1" x14ac:dyDescent="0.25">
      <c r="A13182" s="2380">
        <v>0.02</v>
      </c>
      <c r="B13182" s="1921" t="s">
        <v>4025</v>
      </c>
      <c r="C13182" s="2108">
        <v>66.138000000000005</v>
      </c>
      <c r="D13182" s="2851">
        <v>37.54</v>
      </c>
      <c r="E13182" s="2852">
        <v>-0.43239892346306219</v>
      </c>
      <c r="F13182" s="2853">
        <v>-8.6479784692612433E-3</v>
      </c>
      <c r="G13182" s="78"/>
      <c r="H13182" t="s">
        <v>3977</v>
      </c>
      <c r="N13182" s="406">
        <v>0.1783171183614421</v>
      </c>
      <c r="R13182" s="434"/>
      <c r="S13182" s="434"/>
    </row>
    <row r="13183" spans="1:19" ht="12.75" hidden="1" customHeight="1" outlineLevel="1" x14ac:dyDescent="0.25">
      <c r="A13183" s="2380">
        <v>0.02</v>
      </c>
      <c r="B13183" s="1921" t="s">
        <v>6377</v>
      </c>
      <c r="C13183" s="2108">
        <v>34.811</v>
      </c>
      <c r="D13183" s="2851">
        <v>9.9600000000000009</v>
      </c>
      <c r="E13183" s="2852">
        <v>-0.71388354255838671</v>
      </c>
      <c r="F13183" s="2853">
        <v>-1.4277670851167735E-2</v>
      </c>
      <c r="G13183" s="78"/>
      <c r="H13183" t="s">
        <v>6379</v>
      </c>
      <c r="R13183" s="434"/>
      <c r="S13183" s="434"/>
    </row>
    <row r="13184" spans="1:19" ht="12.75" hidden="1" customHeight="1" outlineLevel="1" x14ac:dyDescent="0.25">
      <c r="A13184" s="2380">
        <v>0.02</v>
      </c>
      <c r="B13184" s="1921" t="s">
        <v>6380</v>
      </c>
      <c r="C13184" s="2108">
        <v>8.2194000000000003</v>
      </c>
      <c r="D13184" s="2851">
        <v>6.03</v>
      </c>
      <c r="E13184" s="2852">
        <v>-0.26636980801518362</v>
      </c>
      <c r="F13184" s="2853">
        <v>-5.3273961603036721E-3</v>
      </c>
      <c r="G13184" s="78"/>
      <c r="H13184" t="s">
        <v>6381</v>
      </c>
      <c r="R13184" s="434"/>
      <c r="S13184" s="434"/>
    </row>
    <row r="13185" spans="1:19" ht="12.75" hidden="1" customHeight="1" outlineLevel="1" x14ac:dyDescent="0.25">
      <c r="A13185" s="2380">
        <v>0.02</v>
      </c>
      <c r="B13185" s="1921" t="s">
        <v>1771</v>
      </c>
      <c r="C13185" s="2108">
        <v>618.29</v>
      </c>
      <c r="D13185" s="2851">
        <v>523.9</v>
      </c>
      <c r="E13185" s="2852">
        <v>-0.15266298985912763</v>
      </c>
      <c r="F13185" s="2853">
        <v>-3.0532597971825526E-3</v>
      </c>
      <c r="G13185" s="78"/>
      <c r="H13185" t="s">
        <v>4329</v>
      </c>
      <c r="R13185" s="434"/>
      <c r="S13185" s="434"/>
    </row>
    <row r="13186" spans="1:19" ht="12.75" hidden="1" customHeight="1" outlineLevel="1" x14ac:dyDescent="0.3">
      <c r="A13186" s="2380">
        <v>0.02</v>
      </c>
      <c r="B13186" s="2225" t="s">
        <v>1381</v>
      </c>
      <c r="C13186" s="2108">
        <v>105.86629321131917</v>
      </c>
      <c r="D13186" s="2851">
        <v>131.19</v>
      </c>
      <c r="E13186" s="2852">
        <v>0.23920462330850012</v>
      </c>
      <c r="F13186" s="2853">
        <v>4.7840924661700021E-3</v>
      </c>
      <c r="G13186" s="78"/>
      <c r="H13186" t="s">
        <v>1383</v>
      </c>
      <c r="I13186" s="1558" t="s">
        <v>9587</v>
      </c>
      <c r="R13186" s="434"/>
      <c r="S13186" s="434"/>
    </row>
    <row r="13187" spans="1:19" ht="12.75" hidden="1" customHeight="1" outlineLevel="1" x14ac:dyDescent="0.25">
      <c r="A13187" s="2380">
        <v>0.08</v>
      </c>
      <c r="B13187" s="1921" t="s">
        <v>816</v>
      </c>
      <c r="C13187" s="2108">
        <v>102.66200000000001</v>
      </c>
      <c r="D13187" s="2851">
        <v>194.17</v>
      </c>
      <c r="E13187" s="2852">
        <v>0.89135220432097539</v>
      </c>
      <c r="F13187" s="2853">
        <v>7.1308176345678029E-2</v>
      </c>
      <c r="G13187" s="78"/>
      <c r="H13187" t="s">
        <v>817</v>
      </c>
      <c r="R13187" s="434"/>
      <c r="S13187" s="434"/>
    </row>
    <row r="13188" spans="1:19" ht="12.75" hidden="1" customHeight="1" outlineLevel="1" x14ac:dyDescent="0.25">
      <c r="A13188" s="2380">
        <v>0.05</v>
      </c>
      <c r="B13188" s="1921" t="s">
        <v>1905</v>
      </c>
      <c r="C13188" s="2108">
        <v>55.98</v>
      </c>
      <c r="D13188" s="2851">
        <v>76.56</v>
      </c>
      <c r="E13188" s="2852">
        <v>0.36763129689174723</v>
      </c>
      <c r="F13188" s="2853">
        <v>1.8381564844587361E-2</v>
      </c>
      <c r="G13188" s="78"/>
      <c r="H13188" t="s">
        <v>504</v>
      </c>
      <c r="R13188" s="434"/>
      <c r="S13188" s="434"/>
    </row>
    <row r="13189" spans="1:19" ht="12.75" hidden="1" customHeight="1" outlineLevel="1" x14ac:dyDescent="0.25">
      <c r="A13189" s="2380">
        <v>0.08</v>
      </c>
      <c r="B13189" s="1921" t="s">
        <v>2786</v>
      </c>
      <c r="C13189" s="2108">
        <v>872.71316796878705</v>
      </c>
      <c r="D13189" s="2851">
        <v>982.8</v>
      </c>
      <c r="E13189" s="2852">
        <v>0.12614320039129989</v>
      </c>
      <c r="F13189" s="2853">
        <v>1.0091456031303991E-2</v>
      </c>
      <c r="G13189" s="78"/>
      <c r="H13189" t="s">
        <v>4195</v>
      </c>
      <c r="R13189" s="434"/>
      <c r="S13189" s="434"/>
    </row>
    <row r="13190" spans="1:19" ht="12.75" hidden="1" customHeight="1" outlineLevel="1" x14ac:dyDescent="0.25">
      <c r="A13190" s="2380">
        <v>0.08</v>
      </c>
      <c r="B13190" s="1921" t="s">
        <v>3797</v>
      </c>
      <c r="C13190" s="2108">
        <v>70.344999999999999</v>
      </c>
      <c r="D13190" s="2851">
        <v>98.85</v>
      </c>
      <c r="E13190" s="2852">
        <v>0.40521714407562714</v>
      </c>
      <c r="F13190" s="2853">
        <v>3.2417371526050169E-2</v>
      </c>
      <c r="G13190" s="78"/>
      <c r="H13190" t="s">
        <v>8872</v>
      </c>
      <c r="R13190" s="434"/>
      <c r="S13190" s="434"/>
    </row>
    <row r="13191" spans="1:19" ht="12.75" hidden="1" customHeight="1" outlineLevel="1" x14ac:dyDescent="0.25">
      <c r="A13191" s="2380">
        <v>0.05</v>
      </c>
      <c r="B13191" s="1921" t="s">
        <v>2787</v>
      </c>
      <c r="C13191" s="2108">
        <v>69.966907066289181</v>
      </c>
      <c r="D13191" s="2851">
        <v>81.25</v>
      </c>
      <c r="E13191" s="2852">
        <v>0.1612632801249998</v>
      </c>
      <c r="F13191" s="2853">
        <v>8.0631640062499895E-3</v>
      </c>
      <c r="G13191" s="78"/>
      <c r="H13191" t="s">
        <v>8874</v>
      </c>
      <c r="R13191" s="434"/>
      <c r="S13191" s="434"/>
    </row>
    <row r="13192" spans="1:19" ht="12.75" hidden="1" customHeight="1" outlineLevel="1" x14ac:dyDescent="0.25">
      <c r="A13192" s="2380">
        <v>0.02</v>
      </c>
      <c r="B13192" s="1921" t="s">
        <v>1414</v>
      </c>
      <c r="C13192" s="2108">
        <v>29.24</v>
      </c>
      <c r="D13192" s="2851">
        <v>33.42</v>
      </c>
      <c r="E13192" s="2852">
        <v>0.14295485636114913</v>
      </c>
      <c r="F13192" s="2853">
        <v>2.8590971272229827E-3</v>
      </c>
      <c r="G13192" s="78"/>
      <c r="H13192" t="s">
        <v>2428</v>
      </c>
      <c r="R13192" s="434"/>
      <c r="S13192" s="434"/>
    </row>
    <row r="13193" spans="1:19" ht="12.75" hidden="1" customHeight="1" outlineLevel="1" x14ac:dyDescent="0.25">
      <c r="A13193" s="2380">
        <v>0.05</v>
      </c>
      <c r="B13193" s="1921" t="s">
        <v>3793</v>
      </c>
      <c r="C13193" s="2108">
        <v>85.870999999999995</v>
      </c>
      <c r="D13193" s="2851">
        <v>81.87</v>
      </c>
      <c r="E13193" s="2852">
        <v>-4.6593145532251801E-2</v>
      </c>
      <c r="F13193" s="2853">
        <v>-2.3296572766125902E-3</v>
      </c>
      <c r="G13193" s="78"/>
      <c r="H13193" t="s">
        <v>3533</v>
      </c>
      <c r="R13193" s="434"/>
      <c r="S13193" s="434"/>
    </row>
    <row r="13194" spans="1:19" ht="12.75" hidden="1" customHeight="1" outlineLevel="1" x14ac:dyDescent="0.25">
      <c r="A13194" s="2380">
        <v>0.02</v>
      </c>
      <c r="B13194" s="1921" t="s">
        <v>3023</v>
      </c>
      <c r="C13194" s="2108">
        <v>80.906000000000006</v>
      </c>
      <c r="D13194" s="2851">
        <v>113.23</v>
      </c>
      <c r="E13194" s="2852">
        <v>0.39952537512669029</v>
      </c>
      <c r="F13194" s="2853">
        <v>7.9905075025338054E-3</v>
      </c>
      <c r="G13194" s="78"/>
      <c r="H13194" t="s">
        <v>2815</v>
      </c>
      <c r="R13194" s="434"/>
      <c r="S13194" s="434"/>
    </row>
    <row r="13195" spans="1:19" ht="12.75" hidden="1" customHeight="1" outlineLevel="1" x14ac:dyDescent="0.25">
      <c r="A13195" s="2380">
        <v>0.02</v>
      </c>
      <c r="B13195" s="1921" t="s">
        <v>3800</v>
      </c>
      <c r="C13195" s="2108">
        <v>263.64</v>
      </c>
      <c r="D13195" s="2851">
        <v>309.7</v>
      </c>
      <c r="E13195" s="2852">
        <v>0.17470793506296456</v>
      </c>
      <c r="F13195" s="2853">
        <v>3.4941587012592913E-3</v>
      </c>
      <c r="G13195" s="78"/>
      <c r="H13195" t="s">
        <v>8876</v>
      </c>
      <c r="R13195" s="434"/>
      <c r="S13195" s="434"/>
    </row>
    <row r="13196" spans="1:19" ht="12.75" hidden="1" customHeight="1" outlineLevel="1" x14ac:dyDescent="0.25">
      <c r="A13196" s="2380">
        <v>0.03</v>
      </c>
      <c r="B13196" s="1921" t="s">
        <v>8338</v>
      </c>
      <c r="C13196" s="2108">
        <v>91.01</v>
      </c>
      <c r="D13196" s="2851">
        <v>70.2</v>
      </c>
      <c r="E13196" s="2852">
        <v>-0.22865619162729367</v>
      </c>
      <c r="F13196" s="2853">
        <v>-6.8596857488188098E-3</v>
      </c>
      <c r="G13196" s="78"/>
      <c r="H13196" t="s">
        <v>8339</v>
      </c>
      <c r="R13196" s="434"/>
      <c r="S13196" s="434"/>
    </row>
    <row r="13197" spans="1:19" ht="12.75" hidden="1" customHeight="1" outlineLevel="1" x14ac:dyDescent="0.25">
      <c r="A13197" s="2380">
        <v>0.02</v>
      </c>
      <c r="B13197" s="1921" t="s">
        <v>106</v>
      </c>
      <c r="C13197" s="2108">
        <v>2676.8999999999996</v>
      </c>
      <c r="D13197" s="2851">
        <v>4170</v>
      </c>
      <c r="E13197" s="2852">
        <v>0.55777204975904993</v>
      </c>
      <c r="F13197" s="2853">
        <v>1.1155440995180999E-2</v>
      </c>
      <c r="G13197" s="78"/>
      <c r="H13197" t="s">
        <v>107</v>
      </c>
      <c r="R13197" s="434"/>
      <c r="S13197" s="434"/>
    </row>
    <row r="13198" spans="1:19" ht="12.75" hidden="1" customHeight="1" outlineLevel="1" x14ac:dyDescent="0.25">
      <c r="A13198" s="2380">
        <v>0.02</v>
      </c>
      <c r="B13198" s="1921" t="s">
        <v>6385</v>
      </c>
      <c r="C13198" s="2108">
        <v>13.555999999999999</v>
      </c>
      <c r="D13198" s="2851">
        <v>9.82</v>
      </c>
      <c r="E13198" s="2852">
        <v>-0.27559752139274118</v>
      </c>
      <c r="F13198" s="2853">
        <v>-5.5119504278548235E-3</v>
      </c>
      <c r="G13198" s="78"/>
      <c r="H13198" t="s">
        <v>6383</v>
      </c>
      <c r="R13198" s="434"/>
      <c r="S13198" s="434"/>
    </row>
    <row r="13199" spans="1:19" ht="12.75" hidden="1" customHeight="1" outlineLevel="1" x14ac:dyDescent="0.25">
      <c r="A13199" s="2380">
        <v>0.02</v>
      </c>
      <c r="B13199" s="1921" t="s">
        <v>579</v>
      </c>
      <c r="C13199" s="2108">
        <v>215.85000000000002</v>
      </c>
      <c r="D13199" s="2851">
        <v>134.36000000000001</v>
      </c>
      <c r="E13199" s="2852">
        <v>-0.37753069261060923</v>
      </c>
      <c r="F13199" s="2853">
        <v>-7.5506138522121848E-3</v>
      </c>
      <c r="G13199" s="78"/>
      <c r="H13199" t="s">
        <v>3611</v>
      </c>
      <c r="R13199" s="434"/>
      <c r="S13199" s="434"/>
    </row>
    <row r="13200" spans="1:19" ht="12.75" hidden="1" customHeight="1" outlineLevel="1" x14ac:dyDescent="0.25">
      <c r="A13200" s="2380">
        <v>0.02</v>
      </c>
      <c r="B13200" s="1921" t="s">
        <v>9584</v>
      </c>
      <c r="C13200" s="2108">
        <v>3.2112564748670676</v>
      </c>
      <c r="D13200" s="2851">
        <v>3.46</v>
      </c>
      <c r="E13200" s="2852">
        <v>7.7459874999000089E-2</v>
      </c>
      <c r="F13200" s="2853">
        <v>1.5491974999800018E-3</v>
      </c>
      <c r="G13200" s="78"/>
      <c r="H13200" t="s">
        <v>9585</v>
      </c>
      <c r="R13200" s="434"/>
      <c r="S13200" s="434"/>
    </row>
    <row r="13201" spans="1:19" ht="12.75" hidden="1" customHeight="1" outlineLevel="1" x14ac:dyDescent="0.25">
      <c r="A13201" s="2380">
        <v>0.08</v>
      </c>
      <c r="B13201" s="2109" t="s">
        <v>4550</v>
      </c>
      <c r="C13201" s="2108">
        <v>261.13</v>
      </c>
      <c r="D13201" s="2854">
        <v>370.9</v>
      </c>
      <c r="E13201" s="2852">
        <v>0.42036533527361852</v>
      </c>
      <c r="F13201" s="2853">
        <v>3.3629226821889485E-2</v>
      </c>
      <c r="G13201" s="78"/>
      <c r="H13201" t="s">
        <v>8889</v>
      </c>
      <c r="R13201" s="434"/>
      <c r="S13201" s="434"/>
    </row>
    <row r="13202" spans="1:19" ht="12.75" hidden="1" customHeight="1" outlineLevel="1" x14ac:dyDescent="0.25">
      <c r="A13202" s="2181" t="s">
        <v>2734</v>
      </c>
      <c r="B13202" s="2103"/>
      <c r="C13202" s="2855"/>
      <c r="D13202" s="2856"/>
      <c r="E13202" s="2857"/>
      <c r="F13202" s="2848">
        <v>0.14525687330800457</v>
      </c>
      <c r="G13202" s="78"/>
    </row>
    <row r="13203" spans="1:19" ht="12.75" hidden="1" customHeight="1" outlineLevel="1" x14ac:dyDescent="0.25">
      <c r="A13203" s="1956" t="s">
        <v>6359</v>
      </c>
      <c r="B13203" s="2185">
        <v>43344</v>
      </c>
      <c r="C13203" s="2858">
        <v>100</v>
      </c>
      <c r="D13203" s="2858">
        <v>113.1343</v>
      </c>
      <c r="E13203" s="2859">
        <v>0.13134299999999999</v>
      </c>
      <c r="F13203" s="2860"/>
      <c r="G13203" s="78"/>
    </row>
    <row r="13204" spans="1:19" ht="12.75" hidden="1" customHeight="1" outlineLevel="1" x14ac:dyDescent="0.25">
      <c r="A13204" s="1956" t="s">
        <v>6360</v>
      </c>
      <c r="B13204" s="2185">
        <v>43374</v>
      </c>
      <c r="C13204" s="2858">
        <v>100</v>
      </c>
      <c r="D13204" s="2861">
        <v>112.7914</v>
      </c>
      <c r="E13204" s="2859">
        <v>0.12791399999999986</v>
      </c>
      <c r="F13204" s="2860"/>
      <c r="G13204" s="78"/>
    </row>
    <row r="13205" spans="1:19" ht="12.75" hidden="1" customHeight="1" outlineLevel="1" x14ac:dyDescent="0.25">
      <c r="A13205" s="1956" t="s">
        <v>6361</v>
      </c>
      <c r="B13205" s="2185">
        <v>43405</v>
      </c>
      <c r="C13205" s="2858">
        <v>100</v>
      </c>
      <c r="D13205" s="2861">
        <v>115.0411</v>
      </c>
      <c r="E13205" s="2859">
        <v>0.15041100000000007</v>
      </c>
      <c r="F13205" s="2860"/>
      <c r="G13205" s="78"/>
    </row>
    <row r="13206" spans="1:19" ht="12.75" hidden="1" customHeight="1" outlineLevel="1" x14ac:dyDescent="0.25">
      <c r="A13206" s="1956" t="s">
        <v>6362</v>
      </c>
      <c r="B13206" s="2185">
        <v>43435</v>
      </c>
      <c r="C13206" s="2858">
        <v>100</v>
      </c>
      <c r="D13206" s="2861">
        <v>108.6206</v>
      </c>
      <c r="E13206" s="2859">
        <v>8.6206000000000005E-2</v>
      </c>
      <c r="F13206" s="2860"/>
      <c r="G13206" s="78"/>
    </row>
    <row r="13207" spans="1:19" ht="12.75" hidden="1" customHeight="1" outlineLevel="1" x14ac:dyDescent="0.25">
      <c r="A13207" s="1956" t="s">
        <v>6363</v>
      </c>
      <c r="B13207" s="2185">
        <v>43466</v>
      </c>
      <c r="C13207" s="2858">
        <v>100</v>
      </c>
      <c r="D13207" s="2861">
        <v>113.1495</v>
      </c>
      <c r="E13207" s="2859">
        <v>0.13149500000000014</v>
      </c>
      <c r="F13207" s="2860"/>
      <c r="G13207" s="78"/>
    </row>
    <row r="13208" spans="1:19" ht="12.75" hidden="1" customHeight="1" outlineLevel="1" x14ac:dyDescent="0.25">
      <c r="A13208" s="1956" t="s">
        <v>6364</v>
      </c>
      <c r="B13208" s="2185">
        <v>43497</v>
      </c>
      <c r="C13208" s="2858">
        <v>100</v>
      </c>
      <c r="D13208" s="2861">
        <v>117.21469999999999</v>
      </c>
      <c r="E13208" s="2859">
        <v>0.17214699999999983</v>
      </c>
      <c r="F13208" s="2860"/>
      <c r="G13208" s="78"/>
    </row>
    <row r="13209" spans="1:19" ht="12.75" hidden="1" customHeight="1" outlineLevel="1" x14ac:dyDescent="0.25">
      <c r="A13209" s="1956" t="s">
        <v>6365</v>
      </c>
      <c r="B13209" s="2185">
        <v>43525</v>
      </c>
      <c r="C13209" s="2858">
        <v>100</v>
      </c>
      <c r="D13209" s="2861">
        <v>119.82389999999999</v>
      </c>
      <c r="E13209" s="2859">
        <v>0.19823900000000005</v>
      </c>
      <c r="F13209" s="2860"/>
      <c r="G13209" s="78"/>
    </row>
    <row r="13210" spans="1:19" ht="12.75" hidden="1" customHeight="1" outlineLevel="1" x14ac:dyDescent="0.25">
      <c r="A13210" s="1956" t="s">
        <v>6366</v>
      </c>
      <c r="B13210" s="2185">
        <v>43556</v>
      </c>
      <c r="C13210" s="2858">
        <v>100</v>
      </c>
      <c r="D13210" s="2861">
        <v>119.70699999999999</v>
      </c>
      <c r="E13210" s="2859">
        <v>0.19706999999999986</v>
      </c>
      <c r="F13210" s="2860"/>
      <c r="G13210" s="78"/>
    </row>
    <row r="13211" spans="1:19" ht="12.75" hidden="1" customHeight="1" outlineLevel="1" x14ac:dyDescent="0.25">
      <c r="A13211" s="1956" t="s">
        <v>6367</v>
      </c>
      <c r="B13211" s="2185">
        <v>43586</v>
      </c>
      <c r="C13211" s="2858">
        <v>100</v>
      </c>
      <c r="D13211" s="2861">
        <v>117.01519999999999</v>
      </c>
      <c r="E13211" s="2859">
        <v>0.17015199999999986</v>
      </c>
      <c r="F13211" s="2860"/>
      <c r="G13211" s="78"/>
    </row>
    <row r="13212" spans="1:19" ht="12.75" hidden="1" customHeight="1" outlineLevel="1" x14ac:dyDescent="0.25">
      <c r="A13212" s="1956" t="s">
        <v>6368</v>
      </c>
      <c r="B13212" s="2185">
        <v>43617</v>
      </c>
      <c r="C13212" s="2858">
        <v>100</v>
      </c>
      <c r="D13212" s="2861">
        <v>121.40649999999999</v>
      </c>
      <c r="E13212" s="2859">
        <v>0.21406499999999995</v>
      </c>
      <c r="F13212" s="2860"/>
      <c r="G13212" s="78"/>
    </row>
    <row r="13213" spans="1:19" ht="12.75" hidden="1" customHeight="1" outlineLevel="1" x14ac:dyDescent="0.25">
      <c r="A13213" s="1956" t="s">
        <v>6369</v>
      </c>
      <c r="B13213" s="2185">
        <v>43647</v>
      </c>
      <c r="C13213" s="2858">
        <v>100</v>
      </c>
      <c r="D13213" s="2861">
        <v>122.54170000000001</v>
      </c>
      <c r="E13213" s="2859">
        <v>0.22541699999999998</v>
      </c>
      <c r="F13213" s="2860"/>
      <c r="G13213" s="78"/>
    </row>
    <row r="13214" spans="1:19" ht="12.75" hidden="1" customHeight="1" outlineLevel="1" x14ac:dyDescent="0.25">
      <c r="A13214" s="1956" t="s">
        <v>6370</v>
      </c>
      <c r="B13214" s="2185">
        <v>43678</v>
      </c>
      <c r="C13214" s="2858">
        <v>100</v>
      </c>
      <c r="D13214" s="2861">
        <v>120.9588</v>
      </c>
      <c r="E13214" s="2859">
        <v>0.20958799999999989</v>
      </c>
      <c r="F13214" s="2860"/>
      <c r="G13214" s="78"/>
    </row>
    <row r="13215" spans="1:19" ht="12.75" hidden="1" customHeight="1" outlineLevel="1" x14ac:dyDescent="0.25">
      <c r="A13215" s="1956" t="s">
        <v>6371</v>
      </c>
      <c r="B13215" s="2185">
        <v>43709</v>
      </c>
      <c r="C13215" s="2858">
        <v>100</v>
      </c>
      <c r="D13215" s="2861">
        <v>122.15940000000001</v>
      </c>
      <c r="E13215" s="2859">
        <v>0.22159400000000007</v>
      </c>
      <c r="F13215" s="2860"/>
      <c r="G13215" s="78"/>
    </row>
    <row r="13216" spans="1:19" ht="12.75" hidden="1" customHeight="1" outlineLevel="1" x14ac:dyDescent="0.25">
      <c r="A13216" s="1956" t="s">
        <v>6372</v>
      </c>
      <c r="B13216" s="2185">
        <v>43739</v>
      </c>
      <c r="C13216" s="2858">
        <v>100</v>
      </c>
      <c r="D13216" s="2861">
        <v>120.673</v>
      </c>
      <c r="E13216" s="2859">
        <v>0.20673000000000008</v>
      </c>
      <c r="F13216" s="2860"/>
      <c r="G13216" s="78"/>
    </row>
    <row r="13217" spans="1:13" ht="12.75" hidden="1" customHeight="1" outlineLevel="1" x14ac:dyDescent="0.25">
      <c r="A13217" s="1956" t="s">
        <v>6373</v>
      </c>
      <c r="B13217" s="2185">
        <v>43770</v>
      </c>
      <c r="C13217" s="2858">
        <v>100</v>
      </c>
      <c r="D13217" s="2861">
        <v>121.33329999999999</v>
      </c>
      <c r="E13217" s="2859">
        <v>0.21333299999999999</v>
      </c>
      <c r="F13217" s="2860"/>
      <c r="G13217" s="78"/>
    </row>
    <row r="13218" spans="1:13" ht="12.75" hidden="1" customHeight="1" outlineLevel="1" x14ac:dyDescent="0.25">
      <c r="A13218" s="1956" t="s">
        <v>6374</v>
      </c>
      <c r="B13218" s="2185">
        <v>43800</v>
      </c>
      <c r="C13218" s="2858">
        <v>100</v>
      </c>
      <c r="D13218" s="2861">
        <v>124.1525</v>
      </c>
      <c r="E13218" s="2859">
        <v>0.24152499999999999</v>
      </c>
      <c r="F13218" s="2860"/>
      <c r="G13218" s="78"/>
    </row>
    <row r="13219" spans="1:13" ht="12.75" hidden="1" customHeight="1" outlineLevel="1" x14ac:dyDescent="0.25">
      <c r="A13219" s="1956" t="s">
        <v>6375</v>
      </c>
      <c r="B13219" s="2185">
        <v>43831</v>
      </c>
      <c r="C13219" s="2858">
        <v>100</v>
      </c>
      <c r="D13219" s="2861">
        <v>123.5611</v>
      </c>
      <c r="E13219" s="2859">
        <v>0.23561100000000001</v>
      </c>
      <c r="F13219" s="2860"/>
      <c r="G13219" s="78"/>
    </row>
    <row r="13220" spans="1:13" ht="12.75" hidden="1" customHeight="1" outlineLevel="1" x14ac:dyDescent="0.25">
      <c r="A13220" s="1956" t="s">
        <v>6376</v>
      </c>
      <c r="B13220" s="2185">
        <v>43862</v>
      </c>
      <c r="C13220" s="2858">
        <v>100</v>
      </c>
      <c r="D13220" s="2861">
        <v>114.5257</v>
      </c>
      <c r="E13220" s="2859">
        <v>0.14525699999999997</v>
      </c>
      <c r="F13220" s="2860"/>
      <c r="G13220" s="78"/>
    </row>
    <row r="13221" spans="1:13" ht="12.75" hidden="1" customHeight="1" outlineLevel="1" x14ac:dyDescent="0.25">
      <c r="A13221" s="2189"/>
      <c r="B13221" s="2190"/>
      <c r="C13221" s="2861"/>
      <c r="D13221" s="2191" t="s">
        <v>2465</v>
      </c>
      <c r="E13221" s="1987">
        <v>0.18211649999999996</v>
      </c>
      <c r="F13221" s="2192">
        <v>0.18211649999999996</v>
      </c>
      <c r="G13221" s="78"/>
    </row>
    <row r="13222" spans="1:13" collapsed="1" x14ac:dyDescent="0.25">
      <c r="A13222" s="3801" t="s">
        <v>6358</v>
      </c>
      <c r="B13222" s="3802"/>
      <c r="C13222" s="3802"/>
      <c r="D13222" s="3802"/>
      <c r="E13222" s="1906"/>
      <c r="F13222" s="1907">
        <v>0.12748154999999997</v>
      </c>
      <c r="G13222" s="78"/>
    </row>
    <row r="13224" spans="1:13" ht="12.75" hidden="1" customHeight="1" outlineLevel="1" x14ac:dyDescent="0.25">
      <c r="A13224" s="2666" t="s">
        <v>113</v>
      </c>
      <c r="B13224" s="2666" t="s">
        <v>114</v>
      </c>
      <c r="C13224" s="2666" t="s">
        <v>112</v>
      </c>
      <c r="D13224" s="2666" t="s">
        <v>116</v>
      </c>
      <c r="E13224" s="2666" t="s">
        <v>117</v>
      </c>
      <c r="F13224" s="2667" t="s">
        <v>121</v>
      </c>
      <c r="G13224" s="78"/>
    </row>
    <row r="13225" spans="1:13" ht="12.75" hidden="1" customHeight="1" outlineLevel="1" x14ac:dyDescent="0.25">
      <c r="A13225" s="2668">
        <v>1</v>
      </c>
      <c r="B13225" s="2669" t="s">
        <v>252</v>
      </c>
      <c r="C13225" s="2670">
        <v>100</v>
      </c>
      <c r="D13225" s="2670"/>
      <c r="E13225" s="2671"/>
      <c r="F13225" s="2672"/>
      <c r="G13225" s="78"/>
    </row>
    <row r="13226" spans="1:13" ht="12.75" hidden="1" customHeight="1" outlineLevel="1" x14ac:dyDescent="0.25">
      <c r="A13226" s="2673" t="s">
        <v>2734</v>
      </c>
      <c r="B13226" s="2673"/>
      <c r="C13226" s="2674"/>
      <c r="D13226" s="1900" t="s">
        <v>3702</v>
      </c>
      <c r="E13226" s="2675">
        <v>43830</v>
      </c>
      <c r="F13226" s="2676"/>
      <c r="G13226" s="78"/>
    </row>
    <row r="13227" spans="1:13" ht="12.75" hidden="1" customHeight="1" outlineLevel="1" x14ac:dyDescent="0.25">
      <c r="A13227" s="2666" t="s">
        <v>4156</v>
      </c>
      <c r="B13227" s="2666" t="s">
        <v>4153</v>
      </c>
      <c r="C13227" s="2696" t="s">
        <v>112</v>
      </c>
      <c r="D13227" s="2677" t="s">
        <v>4155</v>
      </c>
      <c r="E13227" s="2666" t="s">
        <v>4154</v>
      </c>
      <c r="F13227" s="2679" t="s">
        <v>2519</v>
      </c>
      <c r="G13227" s="78"/>
    </row>
    <row r="13228" spans="1:13" ht="12.75" hidden="1" customHeight="1" outlineLevel="1" x14ac:dyDescent="0.3">
      <c r="A13228" s="1991">
        <v>0.02</v>
      </c>
      <c r="B13228" s="1921" t="s">
        <v>1317</v>
      </c>
      <c r="C13228" s="2108">
        <v>53.283999999999999</v>
      </c>
      <c r="D13228" s="2697">
        <v>94.51</v>
      </c>
      <c r="E13228" s="2698">
        <v>0.77370317543727962</v>
      </c>
      <c r="F13228" s="2679">
        <v>1.5474063508745592E-2</v>
      </c>
      <c r="G13228" s="78"/>
      <c r="H13228" t="s">
        <v>1318</v>
      </c>
      <c r="I13228" t="s">
        <v>8095</v>
      </c>
      <c r="J13228" s="1558">
        <v>102.4978</v>
      </c>
      <c r="M13228" s="434"/>
    </row>
    <row r="13229" spans="1:13" ht="12.75" hidden="1" customHeight="1" outlineLevel="1" x14ac:dyDescent="0.3">
      <c r="A13229" s="2380">
        <v>0.02</v>
      </c>
      <c r="B13229" s="1921" t="s">
        <v>3998</v>
      </c>
      <c r="C13229" s="2108">
        <v>35.253999999999998</v>
      </c>
      <c r="D13229" s="2699">
        <v>39.08</v>
      </c>
      <c r="E13229" s="2700">
        <v>0.10852669200658083</v>
      </c>
      <c r="F13229" s="2701">
        <v>2.1705338401316167E-3</v>
      </c>
      <c r="G13229" s="78"/>
      <c r="H13229" t="s">
        <v>4000</v>
      </c>
      <c r="I13229" t="s">
        <v>8096</v>
      </c>
      <c r="J13229" s="1559">
        <v>107.89279999999999</v>
      </c>
      <c r="M13229" s="434"/>
    </row>
    <row r="13230" spans="1:13" ht="12.75" hidden="1" customHeight="1" outlineLevel="1" x14ac:dyDescent="0.25">
      <c r="A13230" s="2380">
        <v>0.02</v>
      </c>
      <c r="B13230" s="1921" t="s">
        <v>805</v>
      </c>
      <c r="C13230" s="2108">
        <v>76.515000000000001</v>
      </c>
      <c r="D13230" s="2699">
        <v>100.64</v>
      </c>
      <c r="E13230" s="2700">
        <v>0.31529765405476051</v>
      </c>
      <c r="F13230" s="2701">
        <v>6.30595308109521E-3</v>
      </c>
      <c r="G13230" s="78"/>
      <c r="H13230" t="s">
        <v>806</v>
      </c>
      <c r="I13230" t="s">
        <v>8747</v>
      </c>
      <c r="J13230">
        <v>115.6495</v>
      </c>
      <c r="K13230" t="s">
        <v>8748</v>
      </c>
      <c r="M13230" s="434"/>
    </row>
    <row r="13231" spans="1:13" ht="12.75" hidden="1" customHeight="1" outlineLevel="1" x14ac:dyDescent="0.25">
      <c r="A13231" s="2380">
        <v>0.08</v>
      </c>
      <c r="B13231" s="1921" t="s">
        <v>807</v>
      </c>
      <c r="C13231" s="2108">
        <v>50.164000000000001</v>
      </c>
      <c r="D13231" s="2699">
        <v>60.16</v>
      </c>
      <c r="E13231" s="2700">
        <v>0.1992664061877043</v>
      </c>
      <c r="F13231" s="2701">
        <v>1.5941312495016343E-2</v>
      </c>
      <c r="G13231" s="78"/>
      <c r="H13231" t="s">
        <v>808</v>
      </c>
      <c r="M13231" s="434"/>
    </row>
    <row r="13232" spans="1:13" ht="12.75" hidden="1" customHeight="1" outlineLevel="1" x14ac:dyDescent="0.25">
      <c r="A13232" s="2380">
        <v>0.02</v>
      </c>
      <c r="B13232" s="1921" t="s">
        <v>6078</v>
      </c>
      <c r="C13232" s="2108">
        <v>717.65</v>
      </c>
      <c r="D13232" s="2699">
        <v>638.79999999999995</v>
      </c>
      <c r="E13232" s="2700">
        <v>-0.10987250052253883</v>
      </c>
      <c r="F13232" s="2701">
        <v>-2.1974500104507766E-3</v>
      </c>
      <c r="G13232" s="78"/>
      <c r="H13232" t="s">
        <v>2354</v>
      </c>
      <c r="M13232" s="434"/>
    </row>
    <row r="13233" spans="1:13" ht="12.75" hidden="1" customHeight="1" outlineLevel="1" x14ac:dyDescent="0.25">
      <c r="A13233" s="2380">
        <v>0.02</v>
      </c>
      <c r="B13233" s="1921" t="s">
        <v>3954</v>
      </c>
      <c r="C13233" s="2108">
        <v>97.478999999999999</v>
      </c>
      <c r="D13233" s="2699">
        <v>108.06</v>
      </c>
      <c r="E13233" s="2700">
        <v>0.1085464561597882</v>
      </c>
      <c r="F13233" s="2701">
        <v>2.1709291231957642E-3</v>
      </c>
      <c r="G13233" s="78"/>
      <c r="H13233" t="s">
        <v>3955</v>
      </c>
      <c r="M13233" s="434"/>
    </row>
    <row r="13234" spans="1:13" ht="12.75" hidden="1" customHeight="1" outlineLevel="1" x14ac:dyDescent="0.25">
      <c r="A13234" s="2380">
        <v>0.02</v>
      </c>
      <c r="B13234" s="1921" t="s">
        <v>581</v>
      </c>
      <c r="C13234" s="2108">
        <v>122.866</v>
      </c>
      <c r="D13234" s="2699">
        <v>120.51</v>
      </c>
      <c r="E13234" s="2700">
        <v>-1.9175361776244015E-2</v>
      </c>
      <c r="F13234" s="2701">
        <v>-3.8350723552488031E-4</v>
      </c>
      <c r="G13234" s="78"/>
      <c r="H13234" t="s">
        <v>589</v>
      </c>
      <c r="M13234" s="434"/>
    </row>
    <row r="13235" spans="1:13" ht="12.75" hidden="1" customHeight="1" outlineLevel="1" x14ac:dyDescent="0.25">
      <c r="A13235" s="2380">
        <v>0.02</v>
      </c>
      <c r="B13235" s="1921" t="s">
        <v>939</v>
      </c>
      <c r="C13235" s="2108">
        <v>79.652000000000001</v>
      </c>
      <c r="D13235" s="2699">
        <v>65.03</v>
      </c>
      <c r="E13235" s="2700">
        <v>-0.18357354492040379</v>
      </c>
      <c r="F13235" s="2701">
        <v>-3.6714708984080758E-3</v>
      </c>
      <c r="G13235" s="78"/>
      <c r="H13235" t="s">
        <v>2791</v>
      </c>
      <c r="M13235" s="434"/>
    </row>
    <row r="13236" spans="1:13" ht="12.75" hidden="1" customHeight="1" outlineLevel="1" x14ac:dyDescent="0.25">
      <c r="A13236" s="2380">
        <v>0.02</v>
      </c>
      <c r="B13236" s="1921" t="s">
        <v>6079</v>
      </c>
      <c r="C13236" s="2108">
        <v>54.889000000000003</v>
      </c>
      <c r="D13236" s="2699">
        <v>90.47</v>
      </c>
      <c r="E13236" s="2700">
        <v>0.64823552988759126</v>
      </c>
      <c r="F13236" s="2701">
        <v>1.2964710597751825E-2</v>
      </c>
      <c r="G13236" s="78"/>
      <c r="H13236" t="s">
        <v>1320</v>
      </c>
      <c r="M13236" s="434"/>
    </row>
    <row r="13237" spans="1:13" ht="12.75" hidden="1" customHeight="1" outlineLevel="1" x14ac:dyDescent="0.25">
      <c r="A13237" s="2380">
        <v>0.02</v>
      </c>
      <c r="B13237" s="1921" t="s">
        <v>5232</v>
      </c>
      <c r="C13237" s="2108">
        <v>75.936000000000007</v>
      </c>
      <c r="D13237" s="2699">
        <v>119.8</v>
      </c>
      <c r="E13237" s="2700">
        <v>0.5776443320691107</v>
      </c>
      <c r="F13237" s="2701">
        <v>1.1552886641382215E-2</v>
      </c>
      <c r="G13237" s="78"/>
      <c r="H13237" t="s">
        <v>5230</v>
      </c>
      <c r="M13237" s="434"/>
    </row>
    <row r="13238" spans="1:13" ht="12.75" hidden="1" customHeight="1" outlineLevel="1" x14ac:dyDescent="0.25">
      <c r="A13238" s="2380">
        <v>0.03</v>
      </c>
      <c r="B13238" s="1921" t="s">
        <v>6404</v>
      </c>
      <c r="C13238" s="2108">
        <v>250.32999999999998</v>
      </c>
      <c r="D13238" s="2699">
        <v>218</v>
      </c>
      <c r="E13238" s="2700">
        <v>-0.12914952263012813</v>
      </c>
      <c r="F13238" s="2701">
        <v>-3.8744856789038437E-3</v>
      </c>
      <c r="G13238" s="78"/>
      <c r="H13238" t="s">
        <v>6402</v>
      </c>
      <c r="M13238" s="434"/>
    </row>
    <row r="13239" spans="1:13" ht="12.75" hidden="1" customHeight="1" outlineLevel="1" x14ac:dyDescent="0.25">
      <c r="A13239" s="2380">
        <v>0.02</v>
      </c>
      <c r="B13239" s="1921" t="s">
        <v>7227</v>
      </c>
      <c r="C13239" s="2108">
        <v>20.480499999999999</v>
      </c>
      <c r="D13239" s="2699">
        <v>14.4</v>
      </c>
      <c r="E13239" s="2700">
        <v>-0.29689216571861032</v>
      </c>
      <c r="F13239" s="2701">
        <v>-5.937843314372207E-3</v>
      </c>
      <c r="G13239" s="78"/>
      <c r="H13239" t="s">
        <v>7229</v>
      </c>
      <c r="M13239" s="434"/>
    </row>
    <row r="13240" spans="1:13" ht="12.75" hidden="1" customHeight="1" outlineLevel="1" x14ac:dyDescent="0.25">
      <c r="A13240" s="2380">
        <v>0.02</v>
      </c>
      <c r="B13240" s="1921" t="s">
        <v>1386</v>
      </c>
      <c r="C13240" s="2519">
        <v>1578.581293757366</v>
      </c>
      <c r="D13240" s="2699">
        <v>1779</v>
      </c>
      <c r="E13240" s="2700">
        <v>0.12696128291599984</v>
      </c>
      <c r="F13240" s="2701">
        <v>2.539225658319997E-3</v>
      </c>
      <c r="G13240" s="78"/>
      <c r="H13240" t="s">
        <v>4128</v>
      </c>
      <c r="M13240" s="434"/>
    </row>
    <row r="13241" spans="1:13" ht="12.75" hidden="1" customHeight="1" outlineLevel="1" x14ac:dyDescent="0.25">
      <c r="A13241" s="2380">
        <v>0.02</v>
      </c>
      <c r="B13241" s="2225" t="s">
        <v>6163</v>
      </c>
      <c r="C13241" s="2108">
        <v>63.668999999999997</v>
      </c>
      <c r="D13241" s="2699">
        <v>81.78</v>
      </c>
      <c r="E13241" s="2700">
        <v>0.28445554351411206</v>
      </c>
      <c r="F13241" s="2701">
        <v>5.6891108702822411E-3</v>
      </c>
      <c r="G13241" s="78"/>
      <c r="H13241" t="s">
        <v>9170</v>
      </c>
      <c r="M13241" s="434"/>
    </row>
    <row r="13242" spans="1:13" ht="12.75" hidden="1" customHeight="1" outlineLevel="1" x14ac:dyDescent="0.25">
      <c r="A13242" s="2380">
        <v>0.02</v>
      </c>
      <c r="B13242" s="2689" t="s">
        <v>7573</v>
      </c>
      <c r="C13242" s="2108">
        <v>47.967175332818684</v>
      </c>
      <c r="D13242" s="2699">
        <v>32.130000000000003</v>
      </c>
      <c r="E13242" s="2700">
        <v>-0.33016693651299989</v>
      </c>
      <c r="F13242" s="2701">
        <v>-6.6033387302599977E-3</v>
      </c>
      <c r="G13242" s="78"/>
      <c r="H13242" t="s">
        <v>7571</v>
      </c>
      <c r="M13242" s="434"/>
    </row>
    <row r="13243" spans="1:13" ht="12.75" hidden="1" customHeight="1" outlineLevel="1" x14ac:dyDescent="0.25">
      <c r="A13243" s="2380">
        <v>0.05</v>
      </c>
      <c r="B13243" s="1921" t="s">
        <v>816</v>
      </c>
      <c r="C13243" s="2108">
        <v>101.876</v>
      </c>
      <c r="D13243" s="2699">
        <v>197.61</v>
      </c>
      <c r="E13243" s="2700">
        <v>0.9397110212415094</v>
      </c>
      <c r="F13243" s="2701">
        <v>4.698555106207547E-2</v>
      </c>
      <c r="G13243" s="78"/>
      <c r="H13243" t="s">
        <v>817</v>
      </c>
      <c r="M13243" s="434"/>
    </row>
    <row r="13244" spans="1:13" ht="12.75" hidden="1" customHeight="1" outlineLevel="1" x14ac:dyDescent="0.25">
      <c r="A13244" s="2380">
        <v>0.02</v>
      </c>
      <c r="B13244" s="1921" t="s">
        <v>1772</v>
      </c>
      <c r="C13244" s="2108">
        <v>161.55000000000001</v>
      </c>
      <c r="D13244" s="2699">
        <v>263</v>
      </c>
      <c r="E13244" s="2700">
        <v>0.62797895388424618</v>
      </c>
      <c r="F13244" s="2701">
        <v>1.2559579077684924E-2</v>
      </c>
      <c r="G13244" s="78"/>
      <c r="H13244" t="s">
        <v>4330</v>
      </c>
      <c r="M13244" s="434"/>
    </row>
    <row r="13245" spans="1:13" ht="12.75" hidden="1" customHeight="1" outlineLevel="1" x14ac:dyDescent="0.25">
      <c r="A13245" s="2380">
        <v>0.02</v>
      </c>
      <c r="B13245" s="1921" t="s">
        <v>6113</v>
      </c>
      <c r="C13245" s="2108">
        <v>875.47301281598629</v>
      </c>
      <c r="D13245" s="2699">
        <v>944.3</v>
      </c>
      <c r="E13245" s="2700">
        <v>7.8616914715200048E-2</v>
      </c>
      <c r="F13245" s="2701">
        <v>1.572338294304001E-3</v>
      </c>
      <c r="G13245" s="78"/>
      <c r="H13245" t="s">
        <v>4195</v>
      </c>
      <c r="M13245" s="434"/>
    </row>
    <row r="13246" spans="1:13" ht="12.75" hidden="1" customHeight="1" outlineLevel="1" x14ac:dyDescent="0.25">
      <c r="A13246" s="2380">
        <v>7.0000000000000007E-2</v>
      </c>
      <c r="B13246" s="1921" t="s">
        <v>5775</v>
      </c>
      <c r="C13246" s="2108">
        <v>32.146660073062158</v>
      </c>
      <c r="D13246" s="2699">
        <v>35.880000000000003</v>
      </c>
      <c r="E13246" s="2700">
        <v>0.11613461300342864</v>
      </c>
      <c r="F13246" s="2701">
        <v>8.1294229102400056E-3</v>
      </c>
      <c r="G13246" s="78"/>
      <c r="H13246" t="s">
        <v>2770</v>
      </c>
      <c r="M13246" s="434"/>
    </row>
    <row r="13247" spans="1:13" ht="12.75" hidden="1" customHeight="1" outlineLevel="1" x14ac:dyDescent="0.25">
      <c r="A13247" s="2380">
        <v>0.04</v>
      </c>
      <c r="B13247" s="1921" t="s">
        <v>5629</v>
      </c>
      <c r="C13247" s="2108">
        <v>15.579750000000001</v>
      </c>
      <c r="D13247" s="2699">
        <v>17.925000000000001</v>
      </c>
      <c r="E13247" s="2700">
        <v>0.15053194049968699</v>
      </c>
      <c r="F13247" s="2701">
        <v>6.02127761998748E-3</v>
      </c>
      <c r="G13247" s="78"/>
      <c r="H13247" t="s">
        <v>5627</v>
      </c>
      <c r="M13247" s="434"/>
    </row>
    <row r="13248" spans="1:13" ht="12.75" hidden="1" customHeight="1" outlineLevel="1" x14ac:dyDescent="0.25">
      <c r="A13248" s="2380">
        <v>0.02</v>
      </c>
      <c r="B13248" s="1921" t="s">
        <v>901</v>
      </c>
      <c r="C13248" s="2108">
        <v>24.480586851173978</v>
      </c>
      <c r="D13248" s="2699">
        <v>32.314999999999998</v>
      </c>
      <c r="E13248" s="2700">
        <v>0.32002554499424996</v>
      </c>
      <c r="F13248" s="2701">
        <v>6.4005108998849989E-3</v>
      </c>
      <c r="G13248" s="78"/>
      <c r="H13248" t="s">
        <v>531</v>
      </c>
      <c r="M13248" s="434"/>
    </row>
    <row r="13249" spans="1:13" ht="12.75" hidden="1" customHeight="1" outlineLevel="1" x14ac:dyDescent="0.25">
      <c r="A13249" s="2380">
        <v>0.08</v>
      </c>
      <c r="B13249" s="1921" t="s">
        <v>6164</v>
      </c>
      <c r="C13249" s="2108">
        <v>3.580455653945958</v>
      </c>
      <c r="D13249" s="2699">
        <v>4.6859999999999999</v>
      </c>
      <c r="E13249" s="2700">
        <v>0.3087719700803</v>
      </c>
      <c r="F13249" s="2701">
        <v>2.4701757606423999E-2</v>
      </c>
      <c r="G13249" s="78"/>
      <c r="H13249" t="s">
        <v>6114</v>
      </c>
      <c r="I13249">
        <v>8.1697387900000001E-2</v>
      </c>
      <c r="J13249">
        <v>24.480586851173978</v>
      </c>
      <c r="M13249" s="434"/>
    </row>
    <row r="13250" spans="1:13" ht="12.75" hidden="1" customHeight="1" outlineLevel="1" x14ac:dyDescent="0.25">
      <c r="A13250" s="2380">
        <v>7.0000000000000007E-2</v>
      </c>
      <c r="B13250" s="1921" t="s">
        <v>3427</v>
      </c>
      <c r="C13250" s="2108">
        <v>43.609000000000002</v>
      </c>
      <c r="D13250" s="2699">
        <v>63.7</v>
      </c>
      <c r="E13250" s="2700">
        <v>0.46070765209016495</v>
      </c>
      <c r="F13250" s="2701">
        <v>3.2249535646311549E-2</v>
      </c>
      <c r="G13250" s="78"/>
      <c r="H13250" t="s">
        <v>2800</v>
      </c>
      <c r="M13250" s="434"/>
    </row>
    <row r="13251" spans="1:13" ht="12.75" hidden="1" customHeight="1" outlineLevel="1" x14ac:dyDescent="0.25">
      <c r="A13251" s="2380">
        <v>0.04</v>
      </c>
      <c r="B13251" s="1921" t="s">
        <v>1857</v>
      </c>
      <c r="C13251" s="2108">
        <v>1554.4</v>
      </c>
      <c r="D13251" s="2699">
        <v>1438.5</v>
      </c>
      <c r="E13251" s="2700">
        <v>-7.456253216675246E-2</v>
      </c>
      <c r="F13251" s="2701">
        <v>-2.9825012866700985E-3</v>
      </c>
      <c r="G13251" s="78"/>
      <c r="H13251" t="s">
        <v>3559</v>
      </c>
      <c r="M13251" s="434"/>
    </row>
    <row r="13252" spans="1:13" ht="12.75" hidden="1" customHeight="1" outlineLevel="1" x14ac:dyDescent="0.25">
      <c r="A13252" s="2380">
        <v>0.02</v>
      </c>
      <c r="B13252" s="1921" t="s">
        <v>3381</v>
      </c>
      <c r="C13252" s="2108">
        <v>183.45</v>
      </c>
      <c r="D13252" s="2699">
        <v>175.5</v>
      </c>
      <c r="E13252" s="2700">
        <v>-4.3336058871627059E-2</v>
      </c>
      <c r="F13252" s="2701">
        <v>-8.6672117743254119E-4</v>
      </c>
      <c r="G13252" s="78"/>
      <c r="H13252" t="s">
        <v>9199</v>
      </c>
      <c r="M13252" s="434"/>
    </row>
    <row r="13253" spans="1:13" ht="12.75" hidden="1" customHeight="1" outlineLevel="1" x14ac:dyDescent="0.25">
      <c r="A13253" s="2380">
        <v>0.02</v>
      </c>
      <c r="B13253" s="1921" t="s">
        <v>6118</v>
      </c>
      <c r="C13253" s="2108">
        <v>76.742661419689057</v>
      </c>
      <c r="D13253" s="2699">
        <v>108.7</v>
      </c>
      <c r="E13253" s="2700">
        <v>0.41642207852999991</v>
      </c>
      <c r="F13253" s="2701">
        <v>8.3284415705999985E-3</v>
      </c>
      <c r="G13253" s="78"/>
      <c r="H13253" t="s">
        <v>8893</v>
      </c>
      <c r="M13253" s="434"/>
    </row>
    <row r="13254" spans="1:13" ht="12.75" hidden="1" customHeight="1" outlineLevel="1" x14ac:dyDescent="0.25">
      <c r="A13254" s="2380">
        <v>7.0000000000000007E-2</v>
      </c>
      <c r="B13254" s="1921" t="s">
        <v>1239</v>
      </c>
      <c r="C13254" s="2108">
        <v>533.75</v>
      </c>
      <c r="D13254" s="2699">
        <v>512.6</v>
      </c>
      <c r="E13254" s="2700">
        <v>-3.962529274004678E-2</v>
      </c>
      <c r="F13254" s="2701">
        <v>-2.7737704918032748E-3</v>
      </c>
      <c r="G13254" s="78"/>
      <c r="H13254" t="s">
        <v>8891</v>
      </c>
      <c r="M13254" s="434"/>
    </row>
    <row r="13255" spans="1:13" ht="12.75" hidden="1" customHeight="1" outlineLevel="1" x14ac:dyDescent="0.25">
      <c r="A13255" s="2380">
        <v>0.02</v>
      </c>
      <c r="B13255" s="1921" t="s">
        <v>6165</v>
      </c>
      <c r="C13255" s="2108">
        <v>49.307000000000002</v>
      </c>
      <c r="D13255" s="2699">
        <v>40.25</v>
      </c>
      <c r="E13255" s="2700">
        <v>-0.18368588638530026</v>
      </c>
      <c r="F13255" s="2701">
        <v>-3.6737177277060052E-3</v>
      </c>
      <c r="G13255" s="78"/>
      <c r="H13255" t="s">
        <v>7745</v>
      </c>
      <c r="M13255" s="434"/>
    </row>
    <row r="13256" spans="1:13" ht="12.75" hidden="1" customHeight="1" outlineLevel="1" x14ac:dyDescent="0.25">
      <c r="A13256" s="2380">
        <v>0.04</v>
      </c>
      <c r="B13256" s="1921" t="s">
        <v>6337</v>
      </c>
      <c r="C13256" s="2108">
        <v>53.973999999999997</v>
      </c>
      <c r="D13256" s="2699">
        <v>72.83</v>
      </c>
      <c r="E13256" s="2700">
        <v>0.34935339237410612</v>
      </c>
      <c r="F13256" s="2701">
        <v>1.3974135694964245E-2</v>
      </c>
      <c r="G13256" s="78"/>
      <c r="H13256" t="s">
        <v>7752</v>
      </c>
      <c r="M13256" s="434"/>
    </row>
    <row r="13257" spans="1:13" ht="12.75" hidden="1" customHeight="1" outlineLevel="1" x14ac:dyDescent="0.25">
      <c r="A13257" s="2380">
        <v>0.05</v>
      </c>
      <c r="B13257" s="2109" t="s">
        <v>4550</v>
      </c>
      <c r="C13257" s="2108">
        <v>266.55</v>
      </c>
      <c r="D13257" s="2702">
        <v>397.1</v>
      </c>
      <c r="E13257" s="2700">
        <v>0.48977677734008629</v>
      </c>
      <c r="F13257" s="2701">
        <v>2.4488838867004314E-2</v>
      </c>
      <c r="G13257" s="78"/>
      <c r="H13257" t="s">
        <v>8889</v>
      </c>
      <c r="M13257" s="434"/>
    </row>
    <row r="13258" spans="1:13" ht="12.75" hidden="1" customHeight="1" outlineLevel="1" x14ac:dyDescent="0.25">
      <c r="A13258" s="2181" t="s">
        <v>2734</v>
      </c>
      <c r="B13258" s="2103"/>
      <c r="C13258" s="2703"/>
      <c r="D13258" s="2704"/>
      <c r="E13258" s="2682"/>
      <c r="F13258" s="2679">
        <v>0.2272553085138701</v>
      </c>
      <c r="G13258" s="78"/>
    </row>
    <row r="13259" spans="1:13" ht="12.75" hidden="1" customHeight="1" outlineLevel="1" x14ac:dyDescent="0.25">
      <c r="A13259" s="1956" t="s">
        <v>6390</v>
      </c>
      <c r="B13259" s="2185">
        <v>43466</v>
      </c>
      <c r="C13259" s="2705">
        <v>100</v>
      </c>
      <c r="D13259" s="2705">
        <v>110.0728</v>
      </c>
      <c r="E13259" s="2706">
        <v>0.10072799999999993</v>
      </c>
      <c r="F13259" s="2707"/>
      <c r="G13259" s="78"/>
    </row>
    <row r="13260" spans="1:13" ht="12.75" hidden="1" customHeight="1" outlineLevel="1" x14ac:dyDescent="0.25">
      <c r="A13260" s="1956" t="s">
        <v>6391</v>
      </c>
      <c r="B13260" s="2185">
        <v>43497</v>
      </c>
      <c r="C13260" s="2705">
        <v>100</v>
      </c>
      <c r="D13260" s="2694">
        <v>111.8824</v>
      </c>
      <c r="E13260" s="2706">
        <v>0.11882400000000004</v>
      </c>
      <c r="F13260" s="2707"/>
      <c r="G13260" s="78"/>
    </row>
    <row r="13261" spans="1:13" ht="12.75" hidden="1" customHeight="1" outlineLevel="1" x14ac:dyDescent="0.25">
      <c r="A13261" s="1956" t="s">
        <v>6392</v>
      </c>
      <c r="B13261" s="2185">
        <v>43525</v>
      </c>
      <c r="C13261" s="2705">
        <v>100</v>
      </c>
      <c r="D13261" s="2694">
        <v>113.51139999999999</v>
      </c>
      <c r="E13261" s="2706">
        <v>0.13511399999999996</v>
      </c>
      <c r="F13261" s="2707"/>
      <c r="G13261" s="78"/>
    </row>
    <row r="13262" spans="1:13" ht="12.75" hidden="1" customHeight="1" outlineLevel="1" x14ac:dyDescent="0.25">
      <c r="A13262" s="1956" t="s">
        <v>6393</v>
      </c>
      <c r="B13262" s="2185">
        <v>43556</v>
      </c>
      <c r="C13262" s="2705">
        <v>100</v>
      </c>
      <c r="D13262" s="2694">
        <v>114.3492</v>
      </c>
      <c r="E13262" s="2706">
        <v>0.14349199999999995</v>
      </c>
      <c r="F13262" s="2707"/>
      <c r="G13262" s="78"/>
    </row>
    <row r="13263" spans="1:13" ht="12.75" hidden="1" customHeight="1" outlineLevel="1" x14ac:dyDescent="0.25">
      <c r="A13263" s="1956" t="s">
        <v>6394</v>
      </c>
      <c r="B13263" s="2185">
        <v>43586</v>
      </c>
      <c r="C13263" s="2705">
        <v>100</v>
      </c>
      <c r="D13263" s="2694">
        <v>112.3019</v>
      </c>
      <c r="E13263" s="2706">
        <v>0.12301899999999999</v>
      </c>
      <c r="F13263" s="2707"/>
      <c r="G13263" s="78"/>
    </row>
    <row r="13264" spans="1:13" ht="12.75" hidden="1" customHeight="1" outlineLevel="1" x14ac:dyDescent="0.25">
      <c r="A13264" s="1956" t="s">
        <v>6395</v>
      </c>
      <c r="B13264" s="2185">
        <v>43617</v>
      </c>
      <c r="C13264" s="2705">
        <v>100</v>
      </c>
      <c r="D13264" s="2694">
        <v>114.685</v>
      </c>
      <c r="E13264" s="2706">
        <v>0.14684999999999993</v>
      </c>
      <c r="F13264" s="2707"/>
      <c r="G13264" s="78"/>
    </row>
    <row r="13265" spans="1:11" ht="12.75" hidden="1" customHeight="1" outlineLevel="1" x14ac:dyDescent="0.25">
      <c r="A13265" s="1956" t="s">
        <v>6396</v>
      </c>
      <c r="B13265" s="2185">
        <v>43647</v>
      </c>
      <c r="C13265" s="2705">
        <v>100</v>
      </c>
      <c r="D13265" s="2694">
        <v>114.566</v>
      </c>
      <c r="E13265" s="2706">
        <v>0.14566000000000012</v>
      </c>
      <c r="F13265" s="2707"/>
      <c r="G13265" s="78"/>
    </row>
    <row r="13266" spans="1:11" ht="12.75" hidden="1" customHeight="1" outlineLevel="1" x14ac:dyDescent="0.25">
      <c r="A13266" s="1956" t="s">
        <v>6397</v>
      </c>
      <c r="B13266" s="2185">
        <v>43678</v>
      </c>
      <c r="C13266" s="2705">
        <v>100</v>
      </c>
      <c r="D13266" s="2694">
        <v>116.0929</v>
      </c>
      <c r="E13266" s="2706">
        <v>0.1609290000000001</v>
      </c>
      <c r="F13266" s="2707"/>
      <c r="G13266" s="78"/>
    </row>
    <row r="13267" spans="1:11" ht="12.75" hidden="1" customHeight="1" outlineLevel="1" x14ac:dyDescent="0.25">
      <c r="A13267" s="1956" t="s">
        <v>6398</v>
      </c>
      <c r="B13267" s="2185">
        <v>43709</v>
      </c>
      <c r="C13267" s="2705">
        <v>100</v>
      </c>
      <c r="D13267" s="2694">
        <v>120.99379999999999</v>
      </c>
      <c r="E13267" s="2706">
        <v>0.20993799999999996</v>
      </c>
      <c r="F13267" s="2707"/>
      <c r="G13267" s="78"/>
    </row>
    <row r="13268" spans="1:11" ht="12.75" hidden="1" customHeight="1" outlineLevel="1" x14ac:dyDescent="0.25">
      <c r="A13268" s="1956" t="s">
        <v>6399</v>
      </c>
      <c r="B13268" s="2185">
        <v>43739</v>
      </c>
      <c r="C13268" s="2705">
        <v>100</v>
      </c>
      <c r="D13268" s="2694">
        <v>120.7838</v>
      </c>
      <c r="E13268" s="2706">
        <v>0.20783799999999997</v>
      </c>
      <c r="F13268" s="2707"/>
      <c r="G13268" s="78"/>
    </row>
    <row r="13269" spans="1:11" ht="12.75" hidden="1" customHeight="1" outlineLevel="1" x14ac:dyDescent="0.25">
      <c r="A13269" s="1956" t="s">
        <v>6400</v>
      </c>
      <c r="B13269" s="2185">
        <v>43770</v>
      </c>
      <c r="C13269" s="2705">
        <v>100</v>
      </c>
      <c r="D13269" s="2694">
        <v>120.9599</v>
      </c>
      <c r="E13269" s="2706">
        <v>0.20959900000000009</v>
      </c>
      <c r="F13269" s="2707"/>
      <c r="G13269" s="78"/>
    </row>
    <row r="13270" spans="1:11" ht="12.75" hidden="1" customHeight="1" outlineLevel="1" x14ac:dyDescent="0.25">
      <c r="A13270" s="1956" t="s">
        <v>6401</v>
      </c>
      <c r="B13270" s="2185">
        <v>43800</v>
      </c>
      <c r="C13270" s="2705">
        <v>100</v>
      </c>
      <c r="D13270" s="2694">
        <v>122.76609999999999</v>
      </c>
      <c r="E13270" s="2706">
        <v>0.22766099999999989</v>
      </c>
      <c r="F13270" s="2707"/>
      <c r="G13270" s="78"/>
    </row>
    <row r="13271" spans="1:11" ht="12.75" hidden="1" customHeight="1" outlineLevel="1" x14ac:dyDescent="0.25">
      <c r="A13271" s="2189" t="s">
        <v>2734</v>
      </c>
      <c r="B13271" s="2190"/>
      <c r="C13271" s="2694"/>
      <c r="D13271" s="2191" t="s">
        <v>2465</v>
      </c>
      <c r="E13271" s="1987">
        <v>0.16080433333333333</v>
      </c>
      <c r="F13271" s="2192">
        <v>0.16080433333333333</v>
      </c>
      <c r="G13271" s="78"/>
    </row>
    <row r="13272" spans="1:11" collapsed="1" x14ac:dyDescent="0.25">
      <c r="A13272" s="3801" t="s">
        <v>6389</v>
      </c>
      <c r="B13272" s="3802"/>
      <c r="C13272" s="3802"/>
      <c r="D13272" s="3802"/>
      <c r="E13272" s="1906"/>
      <c r="F13272" s="1907">
        <v>0.14472389999999999</v>
      </c>
      <c r="G13272" s="78"/>
    </row>
    <row r="13274" spans="1:11" ht="12.75" hidden="1" customHeight="1" outlineLevel="1" x14ac:dyDescent="0.25">
      <c r="A13274" s="2914" t="s">
        <v>113</v>
      </c>
      <c r="B13274" s="2914" t="s">
        <v>114</v>
      </c>
      <c r="C13274" s="2914" t="s">
        <v>112</v>
      </c>
      <c r="D13274" s="2914" t="s">
        <v>116</v>
      </c>
      <c r="E13274" s="2914" t="s">
        <v>117</v>
      </c>
      <c r="F13274" s="2915" t="s">
        <v>121</v>
      </c>
      <c r="G13274" s="78"/>
    </row>
    <row r="13275" spans="1:11" ht="12.75" hidden="1" customHeight="1" outlineLevel="1" x14ac:dyDescent="0.25">
      <c r="A13275" s="2916">
        <v>1</v>
      </c>
      <c r="B13275" s="2917" t="s">
        <v>252</v>
      </c>
      <c r="C13275" s="2918">
        <v>100</v>
      </c>
      <c r="D13275" s="2918"/>
      <c r="E13275" s="2919"/>
      <c r="F13275" s="2920"/>
      <c r="G13275" s="78"/>
    </row>
    <row r="13276" spans="1:11" ht="12.75" hidden="1" customHeight="1" outlineLevel="1" x14ac:dyDescent="0.25">
      <c r="A13276" s="2921" t="s">
        <v>2734</v>
      </c>
      <c r="B13276" s="2921"/>
      <c r="C13276" s="2922"/>
      <c r="D13276" s="1900" t="s">
        <v>3702</v>
      </c>
      <c r="E13276" s="2923">
        <v>43921</v>
      </c>
      <c r="F13276" s="2924"/>
      <c r="G13276" s="78"/>
    </row>
    <row r="13277" spans="1:11" ht="12.75" hidden="1" customHeight="1" outlineLevel="1" x14ac:dyDescent="0.25">
      <c r="A13277" s="2914" t="s">
        <v>4156</v>
      </c>
      <c r="B13277" s="2914" t="s">
        <v>4153</v>
      </c>
      <c r="C13277" s="2925" t="s">
        <v>112</v>
      </c>
      <c r="D13277" s="2926" t="s">
        <v>4155</v>
      </c>
      <c r="E13277" s="2914" t="s">
        <v>4154</v>
      </c>
      <c r="F13277" s="2927" t="s">
        <v>2519</v>
      </c>
      <c r="G13277" s="78"/>
    </row>
    <row r="13278" spans="1:11" ht="12.75" hidden="1" customHeight="1" outlineLevel="1" x14ac:dyDescent="0.25">
      <c r="A13278" s="1991">
        <v>0.02</v>
      </c>
      <c r="B13278" s="1921" t="s">
        <v>3018</v>
      </c>
      <c r="C13278" s="2108">
        <v>34.712000000000003</v>
      </c>
      <c r="D13278" s="2928">
        <v>25</v>
      </c>
      <c r="E13278" s="2929">
        <v>-0.27978796957824392</v>
      </c>
      <c r="F13278" s="2927">
        <v>-5.5957593915648782E-3</v>
      </c>
      <c r="G13278" s="78"/>
      <c r="H13278" t="str">
        <f>VLOOKUP(B13278,indexy!$A$44:$D$823,3,FALSE)</f>
        <v>AC FP Equity</v>
      </c>
      <c r="K13278" s="434"/>
    </row>
    <row r="13279" spans="1:11" ht="12.75" hidden="1" customHeight="1" outlineLevel="1" x14ac:dyDescent="0.25">
      <c r="A13279" s="2380">
        <v>0.05</v>
      </c>
      <c r="B13279" s="1921" t="s">
        <v>359</v>
      </c>
      <c r="C13279" s="2108">
        <v>125.325</v>
      </c>
      <c r="D13279" s="2930">
        <v>156.88</v>
      </c>
      <c r="E13279" s="2931">
        <v>0.25178535806902058</v>
      </c>
      <c r="F13279" s="2932">
        <v>1.258926790345103E-2</v>
      </c>
      <c r="G13279" s="78"/>
      <c r="H13279" t="str">
        <f>VLOOKUP(B13279,indexy!$A$44:$D$823,3,FALSE)</f>
        <v>ALV GY Equity</v>
      </c>
      <c r="K13279" s="434"/>
    </row>
    <row r="13280" spans="1:11" ht="12.75" hidden="1" customHeight="1" outlineLevel="1" x14ac:dyDescent="0.25">
      <c r="A13280" s="2380">
        <v>0.02</v>
      </c>
      <c r="B13280" s="1921" t="s">
        <v>3320</v>
      </c>
      <c r="C13280" s="2108">
        <v>81.483000000000004</v>
      </c>
      <c r="D13280" s="2930">
        <v>40.47</v>
      </c>
      <c r="E13280" s="2931">
        <v>-0.50333198335849194</v>
      </c>
      <c r="F13280" s="2932">
        <v>-1.0066639667169839E-2</v>
      </c>
      <c r="G13280" s="78"/>
      <c r="H13280" t="str">
        <f>VLOOKUP(B13280,indexy!$A$44:$D$823,3,FALSE)</f>
        <v>ABI BB Equity</v>
      </c>
      <c r="K13280" s="434"/>
    </row>
    <row r="13281" spans="1:11" ht="12.75" hidden="1" customHeight="1" outlineLevel="1" x14ac:dyDescent="0.25">
      <c r="A13281" s="2380">
        <v>0.02</v>
      </c>
      <c r="B13281" s="1921" t="s">
        <v>2697</v>
      </c>
      <c r="C13281" s="2108">
        <v>15.23</v>
      </c>
      <c r="D13281" s="2930">
        <v>12.41</v>
      </c>
      <c r="E13281" s="2931">
        <v>-0.18516086671043996</v>
      </c>
      <c r="F13281" s="2932">
        <v>-3.7032173342087995E-3</v>
      </c>
      <c r="G13281" s="78"/>
      <c r="H13281" t="str">
        <f>VLOOKUP(B13281,indexy!$A$44:$D$823,3,FALSE)</f>
        <v>G IM Equity</v>
      </c>
      <c r="K13281" s="434"/>
    </row>
    <row r="13282" spans="1:11" ht="12.75" hidden="1" customHeight="1" outlineLevel="1" x14ac:dyDescent="0.25">
      <c r="A13282" s="2380">
        <v>0.03</v>
      </c>
      <c r="B13282" s="1921" t="s">
        <v>2351</v>
      </c>
      <c r="C13282" s="2108">
        <v>17.952000000000002</v>
      </c>
      <c r="D13282" s="2930">
        <v>11.43</v>
      </c>
      <c r="E13282" s="2931">
        <v>-0.36330213903743325</v>
      </c>
      <c r="F13282" s="2932">
        <v>-1.0899064171122998E-2</v>
      </c>
      <c r="G13282" s="78"/>
      <c r="H13282" t="str">
        <f>VLOOKUP(B13282,indexy!$A$44:$D$823,3,FALSE)</f>
        <v>ATL IM Equity</v>
      </c>
      <c r="K13282" s="434"/>
    </row>
    <row r="13283" spans="1:11" ht="12.75" hidden="1" customHeight="1" outlineLevel="1" x14ac:dyDescent="0.25">
      <c r="A13283" s="2380">
        <v>0.02</v>
      </c>
      <c r="B13283" s="1921" t="s">
        <v>218</v>
      </c>
      <c r="C13283" s="2108">
        <v>17.9955</v>
      </c>
      <c r="D13283" s="2930">
        <v>15.788</v>
      </c>
      <c r="E13283" s="2931">
        <v>-0.12266955627795839</v>
      </c>
      <c r="F13283" s="2932">
        <v>-2.4533911255591677E-3</v>
      </c>
      <c r="G13283" s="78"/>
      <c r="H13283" t="str">
        <f>VLOOKUP(B13283,indexy!$A$44:$D$823,3,FALSE)</f>
        <v>CS FP Equity</v>
      </c>
      <c r="K13283" s="434"/>
    </row>
    <row r="13284" spans="1:11" ht="12.75" hidden="1" customHeight="1" outlineLevel="1" x14ac:dyDescent="0.25">
      <c r="A13284" s="2380">
        <v>0.02</v>
      </c>
      <c r="B13284" s="1921" t="s">
        <v>8301</v>
      </c>
      <c r="C13284" s="2108">
        <v>7.134618462572111</v>
      </c>
      <c r="D13284" s="2930">
        <v>2.218</v>
      </c>
      <c r="E13284" s="2931">
        <v>-0.68912142791719999</v>
      </c>
      <c r="F13284" s="2932">
        <v>-1.3782428558344001E-2</v>
      </c>
      <c r="G13284" s="78"/>
      <c r="H13284" t="str">
        <f>VLOOKUP(B13284,indexy!$A$44:$D$823,3,FALSE)</f>
        <v>SAN SQ Equity</v>
      </c>
      <c r="K13284" s="434"/>
    </row>
    <row r="13285" spans="1:11" ht="12.75" hidden="1" customHeight="1" outlineLevel="1" x14ac:dyDescent="0.25">
      <c r="A13285" s="2380">
        <v>0.02</v>
      </c>
      <c r="B13285" s="1921" t="s">
        <v>901</v>
      </c>
      <c r="C13285" s="2108">
        <v>3487.95</v>
      </c>
      <c r="D13285" s="2930">
        <v>2759</v>
      </c>
      <c r="E13285" s="2931">
        <v>-0.20899095457216987</v>
      </c>
      <c r="F13285" s="2932">
        <v>-4.1798190914433975E-3</v>
      </c>
      <c r="G13285" s="78"/>
      <c r="H13285" t="str">
        <f>VLOOKUP(B13285,indexy!$A$44:$D$823,3,FALSE)</f>
        <v>BATS LN Equity</v>
      </c>
      <c r="K13285" s="434"/>
    </row>
    <row r="13286" spans="1:11" ht="12.75" hidden="1" customHeight="1" outlineLevel="1" x14ac:dyDescent="0.25">
      <c r="A13286" s="2380">
        <v>0.02</v>
      </c>
      <c r="B13286" s="1921" t="s">
        <v>6444</v>
      </c>
      <c r="C13286" s="2108">
        <v>2227.4</v>
      </c>
      <c r="D13286" s="2930">
        <v>981.4</v>
      </c>
      <c r="E13286" s="2931">
        <v>-0.55939660590823381</v>
      </c>
      <c r="F13286" s="2932">
        <v>-1.1187932118164677E-2</v>
      </c>
      <c r="G13286" s="78"/>
      <c r="H13286" t="str">
        <f>VLOOKUP(B13286,indexy!$A$44:$D$823,3,FALSE)</f>
        <v>CCL LN Equity</v>
      </c>
      <c r="K13286" s="434"/>
    </row>
    <row r="13287" spans="1:11" ht="12.75" hidden="1" customHeight="1" outlineLevel="1" x14ac:dyDescent="0.25">
      <c r="A13287" s="2380">
        <v>0.02</v>
      </c>
      <c r="B13287" s="1921" t="s">
        <v>3288</v>
      </c>
      <c r="C13287" s="2108">
        <v>962.96799493438778</v>
      </c>
      <c r="D13287" s="2930">
        <v>1264</v>
      </c>
      <c r="E13287" s="2931">
        <v>0.31260852556800001</v>
      </c>
      <c r="F13287" s="2932">
        <v>6.25217051136E-3</v>
      </c>
      <c r="G13287" s="78"/>
      <c r="H13287" t="str">
        <f>VLOOKUP(B13287,indexy!$A$44:$D$823,3,FALSE)</f>
        <v>CPG LN Equity</v>
      </c>
      <c r="K13287" s="434"/>
    </row>
    <row r="13288" spans="1:11" ht="12.75" hidden="1" customHeight="1" outlineLevel="1" x14ac:dyDescent="0.25">
      <c r="A13288" s="2380">
        <v>0.02</v>
      </c>
      <c r="B13288" s="1921" t="s">
        <v>53</v>
      </c>
      <c r="C13288" s="2108">
        <v>53.189</v>
      </c>
      <c r="D13288" s="2930">
        <v>58.64</v>
      </c>
      <c r="E13288" s="2931">
        <v>0.10248359623230363</v>
      </c>
      <c r="F13288" s="2932">
        <v>2.0496719246460727E-3</v>
      </c>
      <c r="G13288" s="78"/>
      <c r="H13288" t="str">
        <f>VLOOKUP(B13288,indexy!$A$44:$D$823,3,FALSE)</f>
        <v>BN FP Equity</v>
      </c>
      <c r="K13288" s="434"/>
    </row>
    <row r="13289" spans="1:11" ht="12.75" hidden="1" customHeight="1" outlineLevel="1" x14ac:dyDescent="0.25">
      <c r="A13289" s="2380">
        <v>0.02</v>
      </c>
      <c r="B13289" s="1921" t="s">
        <v>3406</v>
      </c>
      <c r="C13289" s="2108">
        <v>1736.75</v>
      </c>
      <c r="D13289" s="2930">
        <v>2586.5</v>
      </c>
      <c r="E13289" s="2931">
        <v>0.4892759464517058</v>
      </c>
      <c r="F13289" s="2932">
        <v>9.785518929034117E-3</v>
      </c>
      <c r="G13289" s="78"/>
      <c r="H13289" t="str">
        <f>VLOOKUP(B13289,indexy!$A$44:$D$823,3,FALSE)</f>
        <v>DGE LN Equity</v>
      </c>
      <c r="K13289" s="434"/>
    </row>
    <row r="13290" spans="1:11" ht="12.75" hidden="1" customHeight="1" outlineLevel="1" x14ac:dyDescent="0.25">
      <c r="A13290" s="2380">
        <v>0.02</v>
      </c>
      <c r="B13290" s="1921" t="s">
        <v>6447</v>
      </c>
      <c r="C13290" s="2519">
        <v>1282.6000000000001</v>
      </c>
      <c r="D13290" s="2930">
        <v>571</v>
      </c>
      <c r="E13290" s="2931">
        <v>-0.55481054108841421</v>
      </c>
      <c r="F13290" s="2932">
        <v>-1.1096210821768284E-2</v>
      </c>
      <c r="G13290" s="78"/>
      <c r="H13290" t="str">
        <f>VLOOKUP(B13290,indexy!$A$44:$D$823,3,FALSE)</f>
        <v>EZJ LN Equity</v>
      </c>
      <c r="K13290" s="434"/>
    </row>
    <row r="13291" spans="1:11" ht="12.75" hidden="1" customHeight="1" outlineLevel="1" x14ac:dyDescent="0.25">
      <c r="A13291" s="2380">
        <v>0.02</v>
      </c>
      <c r="B13291" s="1921" t="s">
        <v>496</v>
      </c>
      <c r="C13291" s="2108">
        <v>22.372465058203066</v>
      </c>
      <c r="D13291" s="2930">
        <v>7.1859999999999999</v>
      </c>
      <c r="E13291" s="2931">
        <v>-0.67880159913960003</v>
      </c>
      <c r="F13291" s="2932">
        <v>-1.3576031982792001E-2</v>
      </c>
      <c r="G13291" s="78"/>
      <c r="H13291" t="e">
        <f>VLOOKUP(B13291,indexy!$A$44:$D$823,3,FALSE)</f>
        <v>#N/A</v>
      </c>
      <c r="K13291" s="434"/>
    </row>
    <row r="13292" spans="1:11" ht="12.75" hidden="1" customHeight="1" outlineLevel="1" x14ac:dyDescent="0.25">
      <c r="A13292" s="2380">
        <v>0.08</v>
      </c>
      <c r="B13292" s="1921" t="s">
        <v>7227</v>
      </c>
      <c r="C13292" s="2108">
        <v>18.782</v>
      </c>
      <c r="D13292" s="2930">
        <v>9.4120000000000008</v>
      </c>
      <c r="E13292" s="2931">
        <v>-0.49888190820998823</v>
      </c>
      <c r="F13292" s="2932">
        <v>-3.9910552656799061E-2</v>
      </c>
      <c r="G13292" s="78"/>
      <c r="H13292" t="str">
        <f>VLOOKUP(B13292,indexy!$A$44:$D$823,3,FALSE)</f>
        <v>ENGI FP Equity</v>
      </c>
      <c r="K13292" s="434"/>
    </row>
    <row r="13293" spans="1:11" ht="12.75" hidden="1" customHeight="1" outlineLevel="1" x14ac:dyDescent="0.25">
      <c r="A13293" s="2380">
        <v>0.02</v>
      </c>
      <c r="B13293" s="1921" t="s">
        <v>1031</v>
      </c>
      <c r="C13293" s="2108">
        <v>5.4034000000000004</v>
      </c>
      <c r="D13293" s="2930">
        <v>8.984</v>
      </c>
      <c r="E13293" s="2931">
        <v>0.66265684568975081</v>
      </c>
      <c r="F13293" s="2932">
        <v>1.3253136913795016E-2</v>
      </c>
      <c r="G13293" s="78"/>
      <c r="H13293" t="str">
        <f>VLOOKUP(B13293,indexy!$A$44:$D$823,3,FALSE)</f>
        <v>IBE SQ Equity</v>
      </c>
      <c r="K13293" s="434"/>
    </row>
    <row r="13294" spans="1:11" ht="12.75" hidden="1" customHeight="1" outlineLevel="1" x14ac:dyDescent="0.25">
      <c r="A13294" s="2380">
        <v>0.05</v>
      </c>
      <c r="B13294" s="1921" t="s">
        <v>1343</v>
      </c>
      <c r="C13294" s="2108">
        <v>2520.6</v>
      </c>
      <c r="D13294" s="2930">
        <v>1496.8</v>
      </c>
      <c r="E13294" s="2931">
        <v>-0.40617313338094108</v>
      </c>
      <c r="F13294" s="2932">
        <v>-2.0308656669047055E-2</v>
      </c>
      <c r="G13294" s="78"/>
      <c r="H13294" t="str">
        <f>VLOOKUP(B13294,indexy!$A$44:$D$823,3,FALSE)</f>
        <v>IMB LN Equity</v>
      </c>
      <c r="K13294" s="434"/>
    </row>
    <row r="13295" spans="1:11" ht="12.75" hidden="1" customHeight="1" outlineLevel="1" x14ac:dyDescent="0.25">
      <c r="A13295" s="2380">
        <v>0.02</v>
      </c>
      <c r="B13295" s="1921" t="s">
        <v>1528</v>
      </c>
      <c r="C13295" s="2108">
        <v>115.45206914410566</v>
      </c>
      <c r="D13295" s="2930">
        <v>338.45</v>
      </c>
      <c r="E13295" s="2931">
        <v>1.9315195691949998</v>
      </c>
      <c r="F13295" s="2932">
        <v>3.8630391383899995E-2</v>
      </c>
      <c r="G13295" s="78"/>
      <c r="H13295" t="str">
        <f>VLOOKUP(B13295,indexy!$A$44:$D$823,3,FALSE)</f>
        <v>MC FP Equity</v>
      </c>
      <c r="K13295" s="434"/>
    </row>
    <row r="13296" spans="1:11" ht="12.75" hidden="1" customHeight="1" outlineLevel="1" x14ac:dyDescent="0.25">
      <c r="A13296" s="2380">
        <v>0.02</v>
      </c>
      <c r="B13296" s="1921" t="s">
        <v>6450</v>
      </c>
      <c r="C13296" s="2108">
        <v>146.07857826744876</v>
      </c>
      <c r="D13296" s="2930">
        <v>475.9</v>
      </c>
      <c r="E13296" s="2931">
        <v>2.2578356501299996</v>
      </c>
      <c r="F13296" s="2932">
        <v>4.5156713002599991E-2</v>
      </c>
      <c r="G13296" s="78"/>
      <c r="H13296" t="str">
        <f>VLOOKUP(B13296,indexy!$A$44:$D$823,3,FALSE)</f>
        <v>KER FP Equity</v>
      </c>
      <c r="K13296" s="434"/>
    </row>
    <row r="13297" spans="1:11" ht="12.75" hidden="1" customHeight="1" outlineLevel="1" x14ac:dyDescent="0.25">
      <c r="A13297" s="2380">
        <v>0.08</v>
      </c>
      <c r="B13297" s="1921" t="s">
        <v>2787</v>
      </c>
      <c r="C13297" s="2108">
        <v>69.170878962080167</v>
      </c>
      <c r="D13297" s="2930">
        <v>79.849999999999994</v>
      </c>
      <c r="E13297" s="2931">
        <v>0.15438752836687497</v>
      </c>
      <c r="F13297" s="2932">
        <v>1.2351002269349999E-2</v>
      </c>
      <c r="G13297" s="78"/>
      <c r="H13297" t="str">
        <f>VLOOKUP(B13297,indexy!$A$44:$D$823,3,FALSE)</f>
        <v>NOVN SE Equity</v>
      </c>
      <c r="K13297" s="434"/>
    </row>
    <row r="13298" spans="1:11" ht="12.75" hidden="1" customHeight="1" outlineLevel="1" x14ac:dyDescent="0.25">
      <c r="A13298" s="2380">
        <v>0.02</v>
      </c>
      <c r="B13298" s="1921" t="s">
        <v>5824</v>
      </c>
      <c r="C13298" s="2108">
        <v>11.064</v>
      </c>
      <c r="D13298" s="2930">
        <v>11.135</v>
      </c>
      <c r="E13298" s="2931">
        <v>6.4172089660159415E-3</v>
      </c>
      <c r="F13298" s="2932">
        <v>1.2834417932031884E-4</v>
      </c>
      <c r="G13298" s="78"/>
      <c r="H13298" t="str">
        <f>VLOOKUP(B13298,indexy!$A$44:$D$823,3,FALSE)</f>
        <v>ORA FP Equity</v>
      </c>
      <c r="K13298" s="434"/>
    </row>
    <row r="13299" spans="1:11" ht="12.75" hidden="1" customHeight="1" outlineLevel="1" x14ac:dyDescent="0.25">
      <c r="A13299" s="2380">
        <v>0.02</v>
      </c>
      <c r="B13299" s="1921" t="s">
        <v>3800</v>
      </c>
      <c r="C13299" s="2108">
        <v>261.23</v>
      </c>
      <c r="D13299" s="2930">
        <v>314.05</v>
      </c>
      <c r="E13299" s="2931">
        <v>0.20219729740075798</v>
      </c>
      <c r="F13299" s="2932">
        <v>4.0439459480151596E-3</v>
      </c>
      <c r="G13299" s="78"/>
      <c r="H13299" t="str">
        <f>VLOOKUP(B13299,indexy!$A$44:$D$823,3,FALSE)</f>
        <v>ROG SE Equity</v>
      </c>
      <c r="K13299" s="434"/>
    </row>
    <row r="13300" spans="1:11" ht="12.75" hidden="1" customHeight="1" outlineLevel="1" x14ac:dyDescent="0.25">
      <c r="A13300" s="2380">
        <v>0.08</v>
      </c>
      <c r="B13300" s="1921" t="s">
        <v>6270</v>
      </c>
      <c r="C13300" s="2108">
        <v>36.527000000000001</v>
      </c>
      <c r="D13300" s="2930">
        <v>26.62</v>
      </c>
      <c r="E13300" s="2931">
        <v>-0.2712240260629124</v>
      </c>
      <c r="F13300" s="2932">
        <v>-2.1697922085032992E-2</v>
      </c>
      <c r="G13300" s="78"/>
      <c r="H13300" t="str">
        <f>VLOOKUP(B13300,indexy!$A$44:$D$823,3,FALSE)</f>
        <v>SAMPO FH Equity</v>
      </c>
      <c r="K13300" s="434"/>
    </row>
    <row r="13301" spans="1:11" ht="12.75" hidden="1" customHeight="1" outlineLevel="1" x14ac:dyDescent="0.25">
      <c r="A13301" s="2380">
        <v>0.02</v>
      </c>
      <c r="B13301" s="1921" t="s">
        <v>1187</v>
      </c>
      <c r="C13301" s="2108">
        <v>78.367000000000004</v>
      </c>
      <c r="D13301" s="2930">
        <v>80.14</v>
      </c>
      <c r="E13301" s="2931">
        <v>2.2624318909745034E-2</v>
      </c>
      <c r="F13301" s="2932">
        <v>4.5248637819490068E-4</v>
      </c>
      <c r="G13301" s="78"/>
      <c r="H13301" t="str">
        <f>VLOOKUP(B13301,indexy!$A$44:$D$823,3,FALSE)</f>
        <v>SAN FP Equity</v>
      </c>
      <c r="K13301" s="434"/>
    </row>
    <row r="13302" spans="1:11" ht="12.75" hidden="1" customHeight="1" outlineLevel="1" x14ac:dyDescent="0.25">
      <c r="A13302" s="2380">
        <v>0.02</v>
      </c>
      <c r="B13302" s="1921" t="s">
        <v>6451</v>
      </c>
      <c r="C13302" s="2108">
        <v>200.32313724622915</v>
      </c>
      <c r="D13302" s="2930">
        <v>568</v>
      </c>
      <c r="E13302" s="2931">
        <v>1.8354188527999997</v>
      </c>
      <c r="F13302" s="2932">
        <v>3.6708377055999997E-2</v>
      </c>
      <c r="G13302" s="78"/>
      <c r="H13302" t="e">
        <f>VLOOKUP(B13302,indexy!$A$44:$D$823,3,FALSE)</f>
        <v>#N/A</v>
      </c>
      <c r="K13302" s="434"/>
    </row>
    <row r="13303" spans="1:11" ht="12.75" hidden="1" customHeight="1" outlineLevel="1" x14ac:dyDescent="0.25">
      <c r="A13303" s="2380">
        <v>0.08</v>
      </c>
      <c r="B13303" s="1921" t="s">
        <v>577</v>
      </c>
      <c r="C13303" s="2108">
        <v>11.588735962746108</v>
      </c>
      <c r="D13303" s="2930">
        <v>4.1734999999999998</v>
      </c>
      <c r="E13303" s="2931">
        <v>-0.63986581337115633</v>
      </c>
      <c r="F13303" s="2932">
        <v>-5.1189265069692506E-2</v>
      </c>
      <c r="G13303" s="78"/>
      <c r="H13303" t="str">
        <f>VLOOKUP(B13303,indexy!$A$44:$D$823,3,FALSE)</f>
        <v>TEF SQ Equity</v>
      </c>
      <c r="K13303" s="434"/>
    </row>
    <row r="13304" spans="1:11" ht="12.75" hidden="1" customHeight="1" outlineLevel="1" x14ac:dyDescent="0.25">
      <c r="A13304" s="2380">
        <v>0.02</v>
      </c>
      <c r="B13304" s="1921" t="s">
        <v>9583</v>
      </c>
      <c r="C13304" s="2108">
        <v>9.1453634072274284</v>
      </c>
      <c r="D13304" s="2930">
        <v>3.6280000000000001</v>
      </c>
      <c r="E13304" s="2931">
        <v>-0.6032962454905999</v>
      </c>
      <c r="F13304" s="2932">
        <v>-1.2065924909811999E-2</v>
      </c>
      <c r="G13304" s="78"/>
      <c r="H13304" t="e">
        <f>VLOOKUP(B13304,indexy!$A$44:$D$823,3,FALSE)</f>
        <v>#N/A</v>
      </c>
      <c r="K13304" s="434"/>
    </row>
    <row r="13305" spans="1:11" ht="12.75" hidden="1" customHeight="1" outlineLevel="1" x14ac:dyDescent="0.25">
      <c r="A13305" s="2380">
        <v>0.05</v>
      </c>
      <c r="B13305" s="1921" t="s">
        <v>507</v>
      </c>
      <c r="C13305" s="2108">
        <v>30.541</v>
      </c>
      <c r="D13305" s="2930">
        <v>44.805</v>
      </c>
      <c r="E13305" s="2931">
        <v>0.46704430110343464</v>
      </c>
      <c r="F13305" s="2932">
        <v>2.3352215055171734E-2</v>
      </c>
      <c r="G13305" s="78"/>
      <c r="H13305" t="str">
        <f>VLOOKUP(B13305,indexy!$A$44:$D$823,3,FALSE)</f>
        <v>UNA NA Equity</v>
      </c>
      <c r="K13305" s="434"/>
    </row>
    <row r="13306" spans="1:11" ht="12.75" hidden="1" customHeight="1" outlineLevel="1" x14ac:dyDescent="0.25">
      <c r="A13306" s="2380">
        <v>0.02</v>
      </c>
      <c r="B13306" s="1921" t="s">
        <v>106</v>
      </c>
      <c r="C13306" s="2108">
        <v>2587.1</v>
      </c>
      <c r="D13306" s="2930">
        <v>4075.5</v>
      </c>
      <c r="E13306" s="2931">
        <v>0.57531599087781693</v>
      </c>
      <c r="F13306" s="2932">
        <v>1.150631981755634E-2</v>
      </c>
      <c r="G13306" s="78"/>
      <c r="H13306" t="str">
        <f>VLOOKUP(B13306,indexy!$A$44:$D$823,3,FALSE)</f>
        <v>ULVR LN Equity</v>
      </c>
      <c r="K13306" s="434"/>
    </row>
    <row r="13307" spans="1:11" ht="12.75" hidden="1" customHeight="1" outlineLevel="1" x14ac:dyDescent="0.25">
      <c r="A13307" s="2380">
        <v>0.08</v>
      </c>
      <c r="B13307" s="2109" t="s">
        <v>4550</v>
      </c>
      <c r="C13307" s="2108">
        <v>269.51</v>
      </c>
      <c r="D13307" s="2933">
        <v>343.4</v>
      </c>
      <c r="E13307" s="2931">
        <v>0.27416422396200502</v>
      </c>
      <c r="F13307" s="2932">
        <v>2.1933137916960402E-2</v>
      </c>
      <c r="G13307" s="78"/>
      <c r="H13307" t="str">
        <f>VLOOKUP(B13307,indexy!$A$44:$D$823,3,FALSE)</f>
        <v>ZURN SE Equity</v>
      </c>
      <c r="K13307" s="434"/>
    </row>
    <row r="13308" spans="1:11" ht="12.75" hidden="1" customHeight="1" outlineLevel="1" x14ac:dyDescent="0.25">
      <c r="A13308" s="2181" t="s">
        <v>2734</v>
      </c>
      <c r="B13308" s="2103"/>
      <c r="C13308" s="2934"/>
      <c r="D13308" s="2935"/>
      <c r="E13308" s="2936"/>
      <c r="F13308" s="2927">
        <v>8.5000000000000006E-3</v>
      </c>
      <c r="G13308" s="78"/>
    </row>
    <row r="13309" spans="1:11" ht="12.75" hidden="1" customHeight="1" outlineLevel="1" x14ac:dyDescent="0.25">
      <c r="A13309" s="1956" t="s">
        <v>6423</v>
      </c>
      <c r="B13309" s="2185">
        <v>43374</v>
      </c>
      <c r="C13309" s="2937">
        <v>100</v>
      </c>
      <c r="D13309" s="2937">
        <v>117.077</v>
      </c>
      <c r="E13309" s="2938">
        <v>0.17077000000000009</v>
      </c>
      <c r="F13309" s="2939"/>
      <c r="G13309" s="78"/>
    </row>
    <row r="13310" spans="1:11" ht="12.75" hidden="1" customHeight="1" outlineLevel="1" x14ac:dyDescent="0.25">
      <c r="A13310" s="1956" t="s">
        <v>6424</v>
      </c>
      <c r="B13310" s="2185">
        <v>43405</v>
      </c>
      <c r="C13310" s="2937">
        <v>100</v>
      </c>
      <c r="D13310" s="2940">
        <v>116.6895</v>
      </c>
      <c r="E13310" s="2938">
        <v>0.16689500000000002</v>
      </c>
      <c r="F13310" s="2939"/>
      <c r="G13310" s="78"/>
    </row>
    <row r="13311" spans="1:11" ht="12.75" hidden="1" customHeight="1" outlineLevel="1" x14ac:dyDescent="0.25">
      <c r="A13311" s="1956" t="s">
        <v>6425</v>
      </c>
      <c r="B13311" s="2185">
        <v>43435</v>
      </c>
      <c r="C13311" s="2937">
        <v>100</v>
      </c>
      <c r="D13311" s="2940">
        <v>112.13939999999999</v>
      </c>
      <c r="E13311" s="2938">
        <v>0.121394</v>
      </c>
      <c r="F13311" s="2939"/>
      <c r="G13311" s="78"/>
    </row>
    <row r="13312" spans="1:11" ht="12.75" hidden="1" customHeight="1" outlineLevel="1" x14ac:dyDescent="0.25">
      <c r="A13312" s="1956" t="s">
        <v>6426</v>
      </c>
      <c r="B13312" s="2185">
        <v>43466</v>
      </c>
      <c r="C13312" s="2937">
        <v>100</v>
      </c>
      <c r="D13312" s="2940">
        <v>117.9914</v>
      </c>
      <c r="E13312" s="2938">
        <v>0.17991399999999991</v>
      </c>
      <c r="F13312" s="2939"/>
      <c r="G13312" s="78"/>
    </row>
    <row r="13313" spans="1:10" ht="12.75" hidden="1" customHeight="1" outlineLevel="1" x14ac:dyDescent="0.25">
      <c r="A13313" s="1956" t="s">
        <v>6427</v>
      </c>
      <c r="B13313" s="2185">
        <v>43497</v>
      </c>
      <c r="C13313" s="2937">
        <v>100</v>
      </c>
      <c r="D13313" s="2940">
        <v>120.77249999999999</v>
      </c>
      <c r="E13313" s="2938">
        <v>0.20772499999999994</v>
      </c>
      <c r="F13313" s="2939"/>
      <c r="G13313" s="78"/>
    </row>
    <row r="13314" spans="1:10" ht="12.75" hidden="1" customHeight="1" outlineLevel="1" x14ac:dyDescent="0.25">
      <c r="A13314" s="1956" t="s">
        <v>6428</v>
      </c>
      <c r="B13314" s="2185">
        <v>43525</v>
      </c>
      <c r="C13314" s="2937">
        <v>100</v>
      </c>
      <c r="D13314" s="2940">
        <v>124.4131</v>
      </c>
      <c r="E13314" s="2938">
        <v>0.2441310000000001</v>
      </c>
      <c r="F13314" s="2939"/>
      <c r="G13314" s="78"/>
    </row>
    <row r="13315" spans="1:10" ht="12.75" hidden="1" customHeight="1" outlineLevel="1" x14ac:dyDescent="0.25">
      <c r="A13315" s="1956" t="s">
        <v>6429</v>
      </c>
      <c r="B13315" s="2185">
        <v>43556</v>
      </c>
      <c r="C13315" s="2937">
        <v>100</v>
      </c>
      <c r="D13315" s="2940">
        <v>126.7929</v>
      </c>
      <c r="E13315" s="2938">
        <v>0.26792900000000008</v>
      </c>
      <c r="F13315" s="2939"/>
      <c r="G13315" s="78"/>
    </row>
    <row r="13316" spans="1:10" ht="12.75" hidden="1" customHeight="1" outlineLevel="1" x14ac:dyDescent="0.25">
      <c r="A13316" s="1956" t="s">
        <v>6430</v>
      </c>
      <c r="B13316" s="2185">
        <v>43586</v>
      </c>
      <c r="C13316" s="2937">
        <v>100</v>
      </c>
      <c r="D13316" s="2940">
        <v>121.2842</v>
      </c>
      <c r="E13316" s="2938">
        <v>0.21284199999999998</v>
      </c>
      <c r="F13316" s="2939"/>
      <c r="G13316" s="78"/>
    </row>
    <row r="13317" spans="1:10" ht="12.75" hidden="1" customHeight="1" outlineLevel="1" x14ac:dyDescent="0.25">
      <c r="A13317" s="1956" t="s">
        <v>6431</v>
      </c>
      <c r="B13317" s="2185">
        <v>43617</v>
      </c>
      <c r="C13317" s="2937">
        <v>100</v>
      </c>
      <c r="D13317" s="2940">
        <v>125.5672</v>
      </c>
      <c r="E13317" s="2938">
        <v>0.2556719999999999</v>
      </c>
      <c r="F13317" s="2939"/>
      <c r="G13317" s="78"/>
    </row>
    <row r="13318" spans="1:10" ht="12.75" hidden="1" customHeight="1" outlineLevel="1" x14ac:dyDescent="0.25">
      <c r="A13318" s="1956" t="s">
        <v>6432</v>
      </c>
      <c r="B13318" s="2185">
        <v>43647</v>
      </c>
      <c r="C13318" s="2937">
        <v>100</v>
      </c>
      <c r="D13318" s="2940">
        <v>125.9631</v>
      </c>
      <c r="E13318" s="2938">
        <v>0.25963099999999995</v>
      </c>
      <c r="F13318" s="2939"/>
      <c r="G13318" s="78"/>
    </row>
    <row r="13319" spans="1:10" ht="12.75" hidden="1" customHeight="1" outlineLevel="1" x14ac:dyDescent="0.25">
      <c r="A13319" s="1956" t="s">
        <v>6433</v>
      </c>
      <c r="B13319" s="2185">
        <v>43678</v>
      </c>
      <c r="C13319" s="2937">
        <v>100</v>
      </c>
      <c r="D13319" s="2940">
        <v>124.8142</v>
      </c>
      <c r="E13319" s="2938">
        <v>0.24814200000000008</v>
      </c>
      <c r="F13319" s="2939"/>
      <c r="G13319" s="78"/>
    </row>
    <row r="13320" spans="1:10" ht="12.75" hidden="1" customHeight="1" outlineLevel="1" x14ac:dyDescent="0.25">
      <c r="A13320" s="1956" t="s">
        <v>6434</v>
      </c>
      <c r="B13320" s="2185">
        <v>43709</v>
      </c>
      <c r="C13320" s="2937">
        <v>100</v>
      </c>
      <c r="D13320" s="2940">
        <v>127.931</v>
      </c>
      <c r="E13320" s="2938">
        <v>0.27930999999999995</v>
      </c>
      <c r="F13320" s="2939"/>
      <c r="G13320" s="78"/>
    </row>
    <row r="13321" spans="1:10" ht="12.75" hidden="1" customHeight="1" outlineLevel="1" x14ac:dyDescent="0.25">
      <c r="A13321" s="1956" t="s">
        <v>6435</v>
      </c>
      <c r="B13321" s="2185">
        <v>43739</v>
      </c>
      <c r="C13321" s="2937">
        <v>100</v>
      </c>
      <c r="D13321" s="2940">
        <v>127.4739</v>
      </c>
      <c r="E13321" s="2938">
        <v>0.27473900000000007</v>
      </c>
      <c r="F13321" s="2939"/>
      <c r="G13321" s="78"/>
    </row>
    <row r="13322" spans="1:10" ht="12.75" hidden="1" customHeight="1" outlineLevel="1" x14ac:dyDescent="0.25">
      <c r="A13322" s="1956" t="s">
        <v>6436</v>
      </c>
      <c r="B13322" s="2185">
        <v>43770</v>
      </c>
      <c r="C13322" s="2937">
        <v>100</v>
      </c>
      <c r="D13322" s="2940">
        <v>129.43680000000001</v>
      </c>
      <c r="E13322" s="2938">
        <v>0.29436799999999996</v>
      </c>
      <c r="F13322" s="2939"/>
      <c r="G13322" s="78"/>
    </row>
    <row r="13323" spans="1:10" ht="12.75" hidden="1" customHeight="1" outlineLevel="1" x14ac:dyDescent="0.25">
      <c r="A13323" s="1956" t="s">
        <v>6437</v>
      </c>
      <c r="B13323" s="2185">
        <v>43800</v>
      </c>
      <c r="C13323" s="2937">
        <v>100</v>
      </c>
      <c r="D13323" s="2940">
        <v>130.94120000000001</v>
      </c>
      <c r="E13323" s="2938">
        <v>0.30941200000000002</v>
      </c>
      <c r="F13323" s="2939"/>
      <c r="G13323" s="78"/>
    </row>
    <row r="13324" spans="1:10" ht="12.75" hidden="1" customHeight="1" outlineLevel="1" x14ac:dyDescent="0.25">
      <c r="A13324" s="1956" t="s">
        <v>6438</v>
      </c>
      <c r="B13324" s="2185">
        <v>43831</v>
      </c>
      <c r="C13324" s="2937">
        <v>100</v>
      </c>
      <c r="D13324" s="2940">
        <v>130.92089999999999</v>
      </c>
      <c r="E13324" s="2938">
        <v>0.30920899999999985</v>
      </c>
      <c r="F13324" s="2939"/>
      <c r="G13324" s="78"/>
      <c r="J13324" s="31"/>
    </row>
    <row r="13325" spans="1:10" ht="12.75" hidden="1" customHeight="1" outlineLevel="1" x14ac:dyDescent="0.25">
      <c r="A13325" s="1956" t="s">
        <v>6439</v>
      </c>
      <c r="B13325" s="2185">
        <v>43862</v>
      </c>
      <c r="C13325" s="2937">
        <v>100</v>
      </c>
      <c r="D13325" s="2940">
        <v>119.2337</v>
      </c>
      <c r="E13325" s="2938">
        <v>0.19233699999999998</v>
      </c>
      <c r="F13325" s="2939"/>
      <c r="G13325" s="78"/>
    </row>
    <row r="13326" spans="1:10" ht="12.75" hidden="1" customHeight="1" outlineLevel="1" x14ac:dyDescent="0.25">
      <c r="A13326" s="1956" t="s">
        <v>6440</v>
      </c>
      <c r="B13326" s="2185">
        <v>43891</v>
      </c>
      <c r="C13326" s="2937">
        <v>100</v>
      </c>
      <c r="D13326" s="2940">
        <v>100.8519</v>
      </c>
      <c r="E13326" s="2938">
        <v>8.5189999999999433E-3</v>
      </c>
      <c r="F13326" s="2939"/>
      <c r="G13326" s="78"/>
    </row>
    <row r="13327" spans="1:10" ht="12.75" hidden="1" customHeight="1" outlineLevel="1" x14ac:dyDescent="0.25">
      <c r="A13327" s="2189" t="s">
        <v>2734</v>
      </c>
      <c r="B13327" s="2190"/>
      <c r="C13327" s="2940"/>
      <c r="D13327" s="2191" t="s">
        <v>2465</v>
      </c>
      <c r="E13327" s="1987">
        <v>0.22238549999999999</v>
      </c>
      <c r="F13327" s="2192">
        <v>0.22238549999999999</v>
      </c>
      <c r="G13327" s="78"/>
    </row>
    <row r="13328" spans="1:10" collapsed="1" x14ac:dyDescent="0.25">
      <c r="A13328" s="3801" t="s">
        <v>6441</v>
      </c>
      <c r="B13328" s="3802"/>
      <c r="C13328" s="3802"/>
      <c r="D13328" s="3802"/>
      <c r="E13328" s="1906"/>
      <c r="F13328" s="1907">
        <v>0.11119274999999999</v>
      </c>
      <c r="G13328" s="78"/>
    </row>
    <row r="13330" spans="1:49" hidden="1" outlineLevel="1" x14ac:dyDescent="0.25">
      <c r="A13330" s="689" t="s">
        <v>113</v>
      </c>
      <c r="B13330" s="689" t="s">
        <v>114</v>
      </c>
      <c r="C13330" s="495" t="s">
        <v>112</v>
      </c>
      <c r="D13330" s="495" t="s">
        <v>4155</v>
      </c>
      <c r="E13330" s="495" t="s">
        <v>116</v>
      </c>
      <c r="F13330" s="1188" t="s">
        <v>121</v>
      </c>
      <c r="G13330" s="78"/>
      <c r="J13330" s="31"/>
    </row>
    <row r="13331" spans="1:49" hidden="1" outlineLevel="1" x14ac:dyDescent="0.25">
      <c r="A13331" s="753" t="s">
        <v>1327</v>
      </c>
      <c r="B13331" s="799" t="s">
        <v>2153</v>
      </c>
      <c r="C13331" s="3808">
        <v>3029.442</v>
      </c>
      <c r="D13331" s="3808">
        <f>VLOOKUP(B13331,indexy!A:D,2,0)</f>
        <v>5083.42</v>
      </c>
      <c r="E13331" s="1145">
        <v>3647.5459999999998</v>
      </c>
      <c r="F13331" s="700">
        <f>IF(E13331="",D13331/C13331-1,E13331/C13331-1)</f>
        <v>0.20403229373594201</v>
      </c>
      <c r="G13331" s="78"/>
    </row>
    <row r="13332" spans="1:49" hidden="1" outlineLevel="1" x14ac:dyDescent="0.25">
      <c r="A13332" s="732" t="s">
        <v>6006</v>
      </c>
      <c r="B13332" s="1092" t="s">
        <v>2153</v>
      </c>
      <c r="C13332" s="3810"/>
      <c r="D13332" s="3810"/>
      <c r="E13332" s="1263"/>
      <c r="F13332" s="700">
        <f>IF(E13331="","",IF(E13332="",D13331/C13331-1,E13332/C13331-1))</f>
        <v>0.67800538845107461</v>
      </c>
      <c r="G13332" s="78"/>
    </row>
    <row r="13333" spans="1:49" hidden="1" outlineLevel="1" x14ac:dyDescent="0.25">
      <c r="A13333" s="732" t="s">
        <v>2734</v>
      </c>
      <c r="B13333" s="852"/>
      <c r="C13333" s="806"/>
      <c r="D13333" s="806"/>
      <c r="E13333" s="807"/>
      <c r="F13333" s="700">
        <f>IF(F13332="","",IF(F13332&gt;85%,85%,IF(F13332&gt;0%,F13332*parametry!N432,IF(F13332&lt;-15%,F13332,0%))))</f>
        <v>0.4746037719157522</v>
      </c>
      <c r="G13333" s="78"/>
    </row>
    <row r="13334" spans="1:49" collapsed="1" x14ac:dyDescent="0.25">
      <c r="A13334" s="3801" t="s">
        <v>6461</v>
      </c>
      <c r="B13334" s="3802"/>
      <c r="C13334" s="3802"/>
      <c r="D13334" s="3802"/>
      <c r="E13334" s="729"/>
      <c r="F13334" s="752">
        <f>IF(E13331="",IF(F13331&gt;0%,7%,F13331),IF(F13331&gt;0%,7%,F13333))</f>
        <v>7.0000000000000007E-2</v>
      </c>
      <c r="G13334" s="175" t="s">
        <v>781</v>
      </c>
    </row>
    <row r="13336" spans="1:49" hidden="1" outlineLevel="1" x14ac:dyDescent="0.25">
      <c r="A13336" s="689" t="s">
        <v>113</v>
      </c>
      <c r="B13336" s="689" t="s">
        <v>114</v>
      </c>
      <c r="C13336" s="495" t="s">
        <v>112</v>
      </c>
      <c r="D13336" s="495" t="s">
        <v>4155</v>
      </c>
      <c r="E13336" s="495" t="s">
        <v>116</v>
      </c>
      <c r="F13336" s="1188" t="s">
        <v>121</v>
      </c>
      <c r="G13336" s="78"/>
      <c r="J13336" s="31"/>
    </row>
    <row r="13337" spans="1:49" hidden="1" outlineLevel="1" x14ac:dyDescent="0.25">
      <c r="A13337" s="753" t="s">
        <v>1327</v>
      </c>
      <c r="B13337" s="799" t="s">
        <v>2153</v>
      </c>
      <c r="C13337" s="3808">
        <v>3033.5360000000001</v>
      </c>
      <c r="D13337" s="3808">
        <f>VLOOKUP(B13337,indexy!A:D,2,0)</f>
        <v>5083.42</v>
      </c>
      <c r="E13337" s="1145">
        <v>3158.8220000000001</v>
      </c>
      <c r="F13337" s="700">
        <f>IF(E13337="",D13337/C13337-1,E13337/C13337-1)</f>
        <v>4.1300317517247276E-2</v>
      </c>
      <c r="G13337" s="78"/>
    </row>
    <row r="13338" spans="1:49" hidden="1" outlineLevel="1" x14ac:dyDescent="0.25">
      <c r="A13338" s="732" t="s">
        <v>6006</v>
      </c>
      <c r="B13338" s="1092" t="s">
        <v>2153</v>
      </c>
      <c r="C13338" s="3810"/>
      <c r="D13338" s="3810"/>
      <c r="E13338" s="1263"/>
      <c r="F13338" s="700">
        <f>IF(E13337="","",IF(E13338="",D13337/C13337-1,E13338/C13337-1))</f>
        <v>0.67574078567058371</v>
      </c>
      <c r="G13338" s="78"/>
    </row>
    <row r="13339" spans="1:49" hidden="1" outlineLevel="1" x14ac:dyDescent="0.25">
      <c r="A13339" s="732" t="s">
        <v>2734</v>
      </c>
      <c r="B13339" s="852"/>
      <c r="C13339" s="806"/>
      <c r="D13339" s="806"/>
      <c r="E13339" s="807"/>
      <c r="F13339" s="700">
        <f>IF(F13338="","",IF(F13338&gt;85%,85%,IF(F13338&gt;0%,F13338*parametry!N435,IF(F13338&lt;-15%,F13338,0%))))</f>
        <v>0.40544447140235024</v>
      </c>
      <c r="G13339" s="78"/>
    </row>
    <row r="13340" spans="1:49" collapsed="1" x14ac:dyDescent="0.25">
      <c r="A13340" s="3801" t="s">
        <v>6465</v>
      </c>
      <c r="B13340" s="3802"/>
      <c r="C13340" s="3802"/>
      <c r="D13340" s="3802"/>
      <c r="E13340" s="729"/>
      <c r="F13340" s="752">
        <f>IF(E13337="",IF(F13337&gt;0%,7%,F13337),IF(F13337&gt;0%,7%,F13339))</f>
        <v>7.0000000000000007E-2</v>
      </c>
      <c r="G13340" s="175" t="s">
        <v>781</v>
      </c>
    </row>
    <row r="13342" spans="1:49" hidden="1" outlineLevel="1" x14ac:dyDescent="0.25">
      <c r="A13342" s="2957" t="s">
        <v>113</v>
      </c>
      <c r="B13342" s="2957" t="s">
        <v>114</v>
      </c>
      <c r="C13342" s="2958" t="s">
        <v>112</v>
      </c>
      <c r="D13342" s="2958" t="s">
        <v>4363</v>
      </c>
      <c r="E13342" s="2958" t="s">
        <v>116</v>
      </c>
      <c r="F13342" s="2959" t="s">
        <v>121</v>
      </c>
      <c r="G13342" s="78"/>
    </row>
    <row r="13343" spans="1:49" hidden="1" outlineLevel="1" x14ac:dyDescent="0.25">
      <c r="A13343" s="1810" t="s">
        <v>1327</v>
      </c>
      <c r="B13343" s="2960" t="s">
        <v>3563</v>
      </c>
      <c r="C13343" s="3808">
        <v>10395.378000000001</v>
      </c>
      <c r="D13343" s="3808">
        <v>10520.401111111112</v>
      </c>
      <c r="E13343" s="2961">
        <v>10036.816000000001</v>
      </c>
      <c r="F13343" s="2962">
        <v>-3.4492444622985285E-2</v>
      </c>
      <c r="G13343" s="78"/>
      <c r="H13343" t="s">
        <v>3766</v>
      </c>
      <c r="I13343" s="1462">
        <v>43465</v>
      </c>
      <c r="J13343" s="1462">
        <v>43496</v>
      </c>
      <c r="K13343" s="1462">
        <v>43524</v>
      </c>
      <c r="L13343" s="1462">
        <v>43555</v>
      </c>
      <c r="M13343" s="1462">
        <v>43585</v>
      </c>
      <c r="N13343" s="1462">
        <v>43616</v>
      </c>
      <c r="O13343" s="1462">
        <v>43646</v>
      </c>
      <c r="P13343" s="1462">
        <v>43677</v>
      </c>
      <c r="Q13343" s="1462">
        <v>43708</v>
      </c>
      <c r="R13343" s="1462">
        <v>43738</v>
      </c>
      <c r="S13343" s="1462">
        <v>43769</v>
      </c>
      <c r="T13343" s="1462">
        <v>43799</v>
      </c>
      <c r="U13343" s="1462">
        <v>43830</v>
      </c>
      <c r="V13343" s="1462">
        <v>43861</v>
      </c>
      <c r="W13343" s="1462">
        <v>43890</v>
      </c>
      <c r="X13343" s="1462">
        <v>43921</v>
      </c>
      <c r="Y13343" s="1462">
        <v>43951</v>
      </c>
      <c r="Z13343" s="1462">
        <v>43982</v>
      </c>
      <c r="AA13343" s="2137"/>
      <c r="AB13343" s="2137"/>
      <c r="AC13343" s="2137"/>
      <c r="AD13343" s="2137"/>
      <c r="AE13343" s="2137"/>
      <c r="AF13343" s="2137"/>
      <c r="AG13343" s="2137"/>
      <c r="AH13343" s="2137"/>
      <c r="AI13343" s="2137"/>
      <c r="AJ13343" s="2137"/>
      <c r="AK13343" s="2137"/>
      <c r="AL13343" s="2137"/>
      <c r="AM13343" s="2137"/>
      <c r="AN13343" s="2137"/>
      <c r="AO13343" s="2137"/>
      <c r="AP13343" s="2137"/>
      <c r="AQ13343" s="2137"/>
      <c r="AR13343" s="2137"/>
      <c r="AS13343" s="2137"/>
      <c r="AT13343" s="2137"/>
      <c r="AU13343" s="2137"/>
      <c r="AV13343" s="2137"/>
      <c r="AW13343" s="2137"/>
    </row>
    <row r="13344" spans="1:49" hidden="1" outlineLevel="1" x14ac:dyDescent="0.25">
      <c r="A13344" s="2197" t="s">
        <v>6006</v>
      </c>
      <c r="B13344" s="2963" t="s">
        <v>3563</v>
      </c>
      <c r="C13344" s="3810"/>
      <c r="D13344" s="3810"/>
      <c r="E13344" s="2964"/>
      <c r="F13344" s="2962">
        <v>1.2026797978015979E-2</v>
      </c>
      <c r="G13344" s="78"/>
      <c r="H13344" s="2138">
        <f>AVERAGE(I13344:Z13344)</f>
        <v>10520.401111111112</v>
      </c>
      <c r="I13344">
        <v>10124.75</v>
      </c>
      <c r="J13344">
        <v>11035.73</v>
      </c>
      <c r="K13344">
        <v>11367.45</v>
      </c>
      <c r="L13344">
        <v>11379.62</v>
      </c>
      <c r="M13344">
        <v>11542.25</v>
      </c>
      <c r="N13344" s="2432">
        <v>10387.17</v>
      </c>
      <c r="O13344" s="2432">
        <v>10881.85</v>
      </c>
      <c r="P13344" s="2432">
        <v>10621.57</v>
      </c>
      <c r="Q13344" s="2432">
        <v>10083.200000000001</v>
      </c>
      <c r="R13344" s="2432">
        <v>10200.969999999999</v>
      </c>
      <c r="S13344" s="2432">
        <v>10533.24</v>
      </c>
      <c r="T13344" s="2432">
        <v>10301.82</v>
      </c>
      <c r="U13344" s="2432">
        <v>11168.06</v>
      </c>
      <c r="V13344" s="2432">
        <v>10240.51</v>
      </c>
      <c r="W13344" s="415">
        <v>10302.36</v>
      </c>
      <c r="X13344" s="415">
        <v>9594.77</v>
      </c>
      <c r="Y13344" s="415">
        <v>10040.870000000001</v>
      </c>
      <c r="Z13344" s="415">
        <v>9561.0300000000007</v>
      </c>
    </row>
    <row r="13345" spans="1:11" hidden="1" outlineLevel="1" x14ac:dyDescent="0.25">
      <c r="A13345" s="2197" t="s">
        <v>2734</v>
      </c>
      <c r="B13345" s="2965"/>
      <c r="C13345" s="1817"/>
      <c r="D13345" s="1817"/>
      <c r="E13345" s="2966"/>
      <c r="F13345" s="2962">
        <v>8.4187585846111843E-3</v>
      </c>
      <c r="G13345" s="78"/>
    </row>
    <row r="13346" spans="1:11" collapsed="1" x14ac:dyDescent="0.25">
      <c r="A13346" s="3801" t="s">
        <v>6466</v>
      </c>
      <c r="B13346" s="3802"/>
      <c r="C13346" s="3802"/>
      <c r="D13346" s="3802"/>
      <c r="E13346" s="2967"/>
      <c r="F13346" s="1907">
        <v>8.4187585846111843E-3</v>
      </c>
      <c r="G13346" s="78"/>
    </row>
    <row r="13348" spans="1:11" ht="12.75" hidden="1" customHeight="1" outlineLevel="1" x14ac:dyDescent="0.25">
      <c r="A13348" s="2578" t="s">
        <v>113</v>
      </c>
      <c r="B13348" s="2578" t="s">
        <v>114</v>
      </c>
      <c r="C13348" s="2578" t="s">
        <v>112</v>
      </c>
      <c r="D13348" s="2578" t="s">
        <v>116</v>
      </c>
      <c r="E13348" s="2578" t="s">
        <v>117</v>
      </c>
      <c r="F13348" s="2579" t="s">
        <v>121</v>
      </c>
      <c r="G13348" s="78"/>
    </row>
    <row r="13349" spans="1:11" ht="12.75" hidden="1" customHeight="1" outlineLevel="1" x14ac:dyDescent="0.25">
      <c r="A13349" s="2580">
        <v>1</v>
      </c>
      <c r="B13349" s="2581" t="s">
        <v>252</v>
      </c>
      <c r="C13349" s="2582">
        <v>100</v>
      </c>
      <c r="D13349" s="2582"/>
      <c r="E13349" s="2583"/>
      <c r="F13349" s="2584"/>
      <c r="G13349" s="78"/>
    </row>
    <row r="13350" spans="1:11" ht="12.75" hidden="1" customHeight="1" outlineLevel="1" x14ac:dyDescent="0.25">
      <c r="A13350" s="2585" t="s">
        <v>2734</v>
      </c>
      <c r="B13350" s="2585"/>
      <c r="C13350" s="2586"/>
      <c r="D13350" s="1900" t="s">
        <v>3702</v>
      </c>
      <c r="E13350" s="2587">
        <v>43798</v>
      </c>
      <c r="F13350" s="2588"/>
      <c r="G13350" s="78"/>
    </row>
    <row r="13351" spans="1:11" ht="12.75" hidden="1" customHeight="1" outlineLevel="1" x14ac:dyDescent="0.25">
      <c r="A13351" s="2578" t="s">
        <v>4156</v>
      </c>
      <c r="B13351" s="2578" t="s">
        <v>4153</v>
      </c>
      <c r="C13351" s="2589" t="s">
        <v>112</v>
      </c>
      <c r="D13351" s="2590" t="s">
        <v>4155</v>
      </c>
      <c r="E13351" s="2578" t="s">
        <v>4154</v>
      </c>
      <c r="F13351" s="2591" t="s">
        <v>2519</v>
      </c>
      <c r="G13351" s="78"/>
    </row>
    <row r="13352" spans="1:11" ht="12.75" hidden="1" customHeight="1" outlineLevel="1" x14ac:dyDescent="0.25">
      <c r="A13352" s="1991">
        <v>0.03</v>
      </c>
      <c r="B13352" s="1921" t="s">
        <v>3998</v>
      </c>
      <c r="C13352" s="2090">
        <v>35.404999984026446</v>
      </c>
      <c r="D13352" s="2592">
        <v>37.380000000000003</v>
      </c>
      <c r="E13352" s="2593">
        <v>5.5783081961999992E-2</v>
      </c>
      <c r="F13352" s="2591">
        <v>1.6734924588599996E-3</v>
      </c>
      <c r="G13352" s="78"/>
      <c r="H13352" t="s">
        <v>4000</v>
      </c>
      <c r="K13352" s="434"/>
    </row>
    <row r="13353" spans="1:11" ht="12.75" hidden="1" customHeight="1" outlineLevel="1" x14ac:dyDescent="0.25">
      <c r="A13353" s="2380">
        <v>0.05</v>
      </c>
      <c r="B13353" s="1921" t="s">
        <v>805</v>
      </c>
      <c r="C13353" s="1998">
        <v>76.342499962561632</v>
      </c>
      <c r="D13353" s="2594">
        <v>102.22</v>
      </c>
      <c r="E13353" s="2595">
        <v>0.33896584536960006</v>
      </c>
      <c r="F13353" s="2596">
        <v>1.6948292268480002E-2</v>
      </c>
      <c r="G13353" s="78"/>
      <c r="H13353" t="s">
        <v>806</v>
      </c>
      <c r="K13353" s="434"/>
    </row>
    <row r="13354" spans="1:11" ht="12.75" hidden="1" customHeight="1" outlineLevel="1" x14ac:dyDescent="0.25">
      <c r="A13354" s="2380">
        <v>0.08</v>
      </c>
      <c r="B13354" s="1921" t="s">
        <v>807</v>
      </c>
      <c r="C13354" s="2179">
        <v>48.880000003861518</v>
      </c>
      <c r="D13354" s="2597">
        <v>63.94</v>
      </c>
      <c r="E13354" s="2595">
        <v>0.30810147289174994</v>
      </c>
      <c r="F13354" s="2596">
        <v>2.4648117831339994E-2</v>
      </c>
      <c r="G13354" s="78"/>
      <c r="H13354" t="s">
        <v>808</v>
      </c>
      <c r="K13354" s="434"/>
    </row>
    <row r="13355" spans="1:11" ht="12.75" hidden="1" customHeight="1" outlineLevel="1" x14ac:dyDescent="0.25">
      <c r="A13355" s="2380">
        <v>0.08</v>
      </c>
      <c r="B13355" s="1921" t="s">
        <v>6701</v>
      </c>
      <c r="C13355" s="2179">
        <v>885.34964338730015</v>
      </c>
      <c r="D13355" s="2597">
        <v>1727.5</v>
      </c>
      <c r="E13355" s="2595">
        <v>0.95120652377593773</v>
      </c>
      <c r="F13355" s="2596">
        <v>7.6096521902075026E-2</v>
      </c>
      <c r="G13355" s="78"/>
      <c r="H13355" t="s">
        <v>6700</v>
      </c>
      <c r="K13355" s="434"/>
    </row>
    <row r="13356" spans="1:11" ht="12.75" hidden="1" customHeight="1" outlineLevel="1" x14ac:dyDescent="0.25">
      <c r="A13356" s="2380">
        <v>0.08</v>
      </c>
      <c r="B13356" s="1921" t="s">
        <v>3954</v>
      </c>
      <c r="C13356" s="2179">
        <v>96.602499977545946</v>
      </c>
      <c r="D13356" s="2597">
        <v>115.46</v>
      </c>
      <c r="E13356" s="2595">
        <v>0.19520716365349999</v>
      </c>
      <c r="F13356" s="2596">
        <v>1.561657309228E-2</v>
      </c>
      <c r="G13356" s="78"/>
      <c r="H13356" t="s">
        <v>3955</v>
      </c>
      <c r="K13356" s="434"/>
    </row>
    <row r="13357" spans="1:11" ht="12.75" hidden="1" customHeight="1" outlineLevel="1" x14ac:dyDescent="0.25">
      <c r="A13357" s="2380">
        <v>0.03</v>
      </c>
      <c r="B13357" s="1921" t="s">
        <v>6079</v>
      </c>
      <c r="C13357" s="2179">
        <v>56.392500041110132</v>
      </c>
      <c r="D13357" s="2597">
        <v>86.89</v>
      </c>
      <c r="E13357" s="2595">
        <v>0.54080773040133345</v>
      </c>
      <c r="F13357" s="2596">
        <v>1.6224231912040005E-2</v>
      </c>
      <c r="G13357" s="78"/>
      <c r="H13357" t="s">
        <v>1320</v>
      </c>
      <c r="K13357" s="434"/>
    </row>
    <row r="13358" spans="1:11" ht="12.75" hidden="1" customHeight="1" outlineLevel="1" x14ac:dyDescent="0.25">
      <c r="A13358" s="2380">
        <v>0.03</v>
      </c>
      <c r="B13358" s="1921" t="s">
        <v>3021</v>
      </c>
      <c r="C13358" s="2179">
        <v>18.96500000588231</v>
      </c>
      <c r="D13358" s="2597">
        <v>13.714</v>
      </c>
      <c r="E13358" s="2595">
        <v>-0.27687846054593324</v>
      </c>
      <c r="F13358" s="2596">
        <v>-8.3063538163779971E-3</v>
      </c>
      <c r="G13358" s="78"/>
      <c r="H13358" t="s">
        <v>4124</v>
      </c>
      <c r="K13358" s="434"/>
    </row>
    <row r="13359" spans="1:11" ht="12.75" hidden="1" customHeight="1" outlineLevel="1" x14ac:dyDescent="0.25">
      <c r="A13359" s="2380">
        <v>0.02</v>
      </c>
      <c r="B13359" s="1921" t="s">
        <v>5232</v>
      </c>
      <c r="C13359" s="2179">
        <v>75.03250004602306</v>
      </c>
      <c r="D13359" s="2597">
        <v>116.39</v>
      </c>
      <c r="E13359" s="2595">
        <v>0.55119448143950001</v>
      </c>
      <c r="F13359" s="2596">
        <v>1.1023889628789999E-2</v>
      </c>
      <c r="G13359" s="78"/>
      <c r="H13359" t="s">
        <v>5230</v>
      </c>
      <c r="K13359" s="434"/>
    </row>
    <row r="13360" spans="1:11" ht="12.75" hidden="1" customHeight="1" outlineLevel="1" x14ac:dyDescent="0.25">
      <c r="A13360" s="2380">
        <v>0.03</v>
      </c>
      <c r="B13360" s="1921" t="s">
        <v>7227</v>
      </c>
      <c r="C13360" s="2179">
        <v>19.777500000153278</v>
      </c>
      <c r="D13360" s="2597">
        <v>14.36</v>
      </c>
      <c r="E13360" s="2595">
        <v>-0.2739223865560001</v>
      </c>
      <c r="F13360" s="2596">
        <v>-8.2176715966800033E-3</v>
      </c>
      <c r="G13360" s="78"/>
      <c r="H13360" t="s">
        <v>7229</v>
      </c>
      <c r="K13360" s="434"/>
    </row>
    <row r="13361" spans="1:11" ht="12.75" hidden="1" customHeight="1" outlineLevel="1" x14ac:dyDescent="0.25">
      <c r="A13361" s="2380">
        <v>0.05</v>
      </c>
      <c r="B13361" s="1921" t="s">
        <v>1386</v>
      </c>
      <c r="C13361" s="2179">
        <v>1573.8301235558474</v>
      </c>
      <c r="D13361" s="2597">
        <v>1754</v>
      </c>
      <c r="E13361" s="2595">
        <v>0.11447860461400006</v>
      </c>
      <c r="F13361" s="2596">
        <v>5.7239302307000028E-3</v>
      </c>
      <c r="G13361" s="78"/>
      <c r="H13361" t="s">
        <v>4128</v>
      </c>
      <c r="K13361" s="434"/>
    </row>
    <row r="13362" spans="1:11" ht="12.75" hidden="1" customHeight="1" outlineLevel="1" x14ac:dyDescent="0.25">
      <c r="A13362" s="2380">
        <v>0.05</v>
      </c>
      <c r="B13362" s="1921" t="s">
        <v>6113</v>
      </c>
      <c r="C13362" s="2179">
        <v>854.67883539817478</v>
      </c>
      <c r="D13362" s="2597">
        <v>889.7</v>
      </c>
      <c r="E13362" s="2595">
        <v>4.0975818227100058E-2</v>
      </c>
      <c r="F13362" s="2596">
        <v>2.0487909113550032E-3</v>
      </c>
      <c r="G13362" s="78"/>
      <c r="H13362" t="s">
        <v>4195</v>
      </c>
      <c r="K13362" s="434"/>
    </row>
    <row r="13363" spans="1:11" ht="12.75" hidden="1" customHeight="1" outlineLevel="1" x14ac:dyDescent="0.25">
      <c r="A13363" s="2380">
        <v>0.08</v>
      </c>
      <c r="B13363" s="1921" t="s">
        <v>901</v>
      </c>
      <c r="C13363" s="2179">
        <v>23.704640637526449</v>
      </c>
      <c r="D13363" s="2597">
        <v>30.6</v>
      </c>
      <c r="E13363" s="2595">
        <v>0.290886475265</v>
      </c>
      <c r="F13363" s="2596">
        <v>2.3270918021200002E-2</v>
      </c>
      <c r="G13363" s="78"/>
      <c r="H13363" t="s">
        <v>531</v>
      </c>
      <c r="K13363" s="434"/>
    </row>
    <row r="13364" spans="1:11" ht="12.75" hidden="1" customHeight="1" outlineLevel="1" x14ac:dyDescent="0.25">
      <c r="A13364" s="2380">
        <v>0.03</v>
      </c>
      <c r="B13364" s="1921" t="s">
        <v>6164</v>
      </c>
      <c r="C13364" s="2179">
        <v>3.6070885181922279</v>
      </c>
      <c r="D13364" s="2597">
        <v>4.5120000000000005</v>
      </c>
      <c r="E13364" s="2595">
        <v>0.2508703285888001</v>
      </c>
      <c r="F13364" s="2596">
        <v>7.5261098576640028E-3</v>
      </c>
      <c r="G13364" s="78"/>
      <c r="H13364" t="s">
        <v>6114</v>
      </c>
      <c r="K13364" s="434"/>
    </row>
    <row r="13365" spans="1:11" ht="12.75" hidden="1" customHeight="1" outlineLevel="1" x14ac:dyDescent="0.25">
      <c r="A13365" s="2380">
        <v>0.05</v>
      </c>
      <c r="B13365" s="1921" t="s">
        <v>3427</v>
      </c>
      <c r="C13365" s="2179">
        <v>44.567499986542842</v>
      </c>
      <c r="D13365" s="2597">
        <v>61.99</v>
      </c>
      <c r="E13365" s="2595">
        <v>0.39092387992860012</v>
      </c>
      <c r="F13365" s="2596">
        <v>1.9546193996430008E-2</v>
      </c>
      <c r="G13365" s="78"/>
      <c r="H13365" t="s">
        <v>2800</v>
      </c>
      <c r="K13365" s="434"/>
    </row>
    <row r="13366" spans="1:11" ht="12.75" hidden="1" customHeight="1" outlineLevel="1" x14ac:dyDescent="0.25">
      <c r="A13366" s="2380">
        <v>0.05</v>
      </c>
      <c r="B13366" s="1921" t="s">
        <v>1857</v>
      </c>
      <c r="C13366" s="2179">
        <v>1538.7500001119442</v>
      </c>
      <c r="D13366" s="2597">
        <v>1300</v>
      </c>
      <c r="E13366" s="2595">
        <v>-0.15515840786000012</v>
      </c>
      <c r="F13366" s="2596">
        <v>-7.7579203930000064E-3</v>
      </c>
      <c r="G13366" s="78"/>
      <c r="H13366" t="s">
        <v>3559</v>
      </c>
      <c r="K13366" s="434"/>
    </row>
    <row r="13367" spans="1:11" ht="12.75" hidden="1" customHeight="1" outlineLevel="1" x14ac:dyDescent="0.25">
      <c r="A13367" s="2380">
        <v>0.05</v>
      </c>
      <c r="B13367" s="1921" t="s">
        <v>1239</v>
      </c>
      <c r="C13367" s="2179">
        <v>527.37500273707622</v>
      </c>
      <c r="D13367" s="2597">
        <v>517.6</v>
      </c>
      <c r="E13367" s="2595">
        <v>-1.8535203007999823E-2</v>
      </c>
      <c r="F13367" s="2596">
        <v>-9.2676015039999118E-4</v>
      </c>
      <c r="G13367" s="78"/>
      <c r="H13367" t="s">
        <v>8891</v>
      </c>
      <c r="K13367" s="434"/>
    </row>
    <row r="13368" spans="1:11" ht="12.75" hidden="1" customHeight="1" outlineLevel="1" x14ac:dyDescent="0.25">
      <c r="A13368" s="2380">
        <v>0.03</v>
      </c>
      <c r="B13368" s="1921" t="s">
        <v>5387</v>
      </c>
      <c r="C13368" s="2179">
        <v>36.727499979680516</v>
      </c>
      <c r="D13368" s="2597">
        <v>80.55</v>
      </c>
      <c r="E13368" s="2595">
        <v>1.1931794988649997</v>
      </c>
      <c r="F13368" s="2596">
        <v>3.5795384965949993E-2</v>
      </c>
      <c r="G13368" s="78"/>
      <c r="H13368" t="s">
        <v>5389</v>
      </c>
      <c r="K13368" s="434"/>
    </row>
    <row r="13369" spans="1:11" ht="12.75" hidden="1" customHeight="1" outlineLevel="1" x14ac:dyDescent="0.25">
      <c r="A13369" s="2380">
        <v>0.05</v>
      </c>
      <c r="B13369" s="1921" t="s">
        <v>6165</v>
      </c>
      <c r="C13369" s="2179">
        <v>47.740000000782935</v>
      </c>
      <c r="D13369" s="2597">
        <v>41.45</v>
      </c>
      <c r="E13369" s="2595">
        <v>-0.13175534144699996</v>
      </c>
      <c r="F13369" s="2596">
        <v>-6.5877670723499988E-3</v>
      </c>
      <c r="G13369" s="78"/>
      <c r="H13369" t="s">
        <v>7745</v>
      </c>
      <c r="K13369" s="434"/>
    </row>
    <row r="13370" spans="1:11" ht="12.75" hidden="1" customHeight="1" outlineLevel="1" x14ac:dyDescent="0.25">
      <c r="A13370" s="2380">
        <v>0.05</v>
      </c>
      <c r="B13370" s="1921" t="s">
        <v>106</v>
      </c>
      <c r="C13370" s="2179">
        <v>2645.0000003385599</v>
      </c>
      <c r="D13370" s="2597">
        <v>4578</v>
      </c>
      <c r="E13370" s="2595">
        <v>0.73081285422080011</v>
      </c>
      <c r="F13370" s="2596">
        <v>3.654064271104001E-2</v>
      </c>
      <c r="G13370" s="78"/>
      <c r="H13370" t="s">
        <v>107</v>
      </c>
      <c r="K13370" s="434"/>
    </row>
    <row r="13371" spans="1:11" ht="12.75" hidden="1" customHeight="1" outlineLevel="1" x14ac:dyDescent="0.25">
      <c r="A13371" s="2380">
        <v>0.08</v>
      </c>
      <c r="B13371" s="2109" t="s">
        <v>4550</v>
      </c>
      <c r="C13371" s="2179">
        <v>259.82499980805426</v>
      </c>
      <c r="D13371" s="2598">
        <v>392.3</v>
      </c>
      <c r="E13371" s="2595">
        <v>0.50986240850500009</v>
      </c>
      <c r="F13371" s="2596">
        <v>4.078899268040001E-2</v>
      </c>
      <c r="G13371" s="78"/>
      <c r="H13371" t="s">
        <v>8889</v>
      </c>
      <c r="K13371" s="434"/>
    </row>
    <row r="13372" spans="1:11" ht="12.75" hidden="1" customHeight="1" outlineLevel="1" x14ac:dyDescent="0.25">
      <c r="A13372" s="2181" t="s">
        <v>2734</v>
      </c>
      <c r="B13372" s="2103"/>
      <c r="C13372" s="2599"/>
      <c r="D13372" s="2600"/>
      <c r="E13372" s="2601"/>
      <c r="F13372" s="2591">
        <v>0.3016756094397961</v>
      </c>
      <c r="G13372" s="78"/>
    </row>
    <row r="13373" spans="1:11" ht="12.75" hidden="1" customHeight="1" outlineLevel="1" x14ac:dyDescent="0.25">
      <c r="A13373" s="1956" t="s">
        <v>6467</v>
      </c>
      <c r="B13373" s="2310">
        <v>43252</v>
      </c>
      <c r="C13373" s="2602">
        <v>100</v>
      </c>
      <c r="D13373" s="2602">
        <v>117.8891</v>
      </c>
      <c r="E13373" s="2603">
        <v>0.17889099999999991</v>
      </c>
      <c r="F13373" s="2604"/>
      <c r="G13373" s="78"/>
    </row>
    <row r="13374" spans="1:11" ht="12.75" hidden="1" customHeight="1" outlineLevel="1" x14ac:dyDescent="0.25">
      <c r="A13374" s="1956" t="s">
        <v>6468</v>
      </c>
      <c r="B13374" s="2310">
        <v>43282</v>
      </c>
      <c r="C13374" s="2602">
        <v>100</v>
      </c>
      <c r="D13374" s="2605">
        <v>121.6498</v>
      </c>
      <c r="E13374" s="2603">
        <v>0.21649800000000008</v>
      </c>
      <c r="F13374" s="2604"/>
      <c r="G13374" s="78"/>
    </row>
    <row r="13375" spans="1:11" ht="12.75" hidden="1" customHeight="1" outlineLevel="1" x14ac:dyDescent="0.25">
      <c r="A13375" s="1956" t="s">
        <v>6469</v>
      </c>
      <c r="B13375" s="2310">
        <v>43313</v>
      </c>
      <c r="C13375" s="2602">
        <v>100</v>
      </c>
      <c r="D13375" s="2605">
        <v>119.378</v>
      </c>
      <c r="E13375" s="2603">
        <v>0.19378000000000006</v>
      </c>
      <c r="F13375" s="2604"/>
      <c r="G13375" s="78"/>
    </row>
    <row r="13376" spans="1:11" ht="12.75" hidden="1" customHeight="1" outlineLevel="1" x14ac:dyDescent="0.25">
      <c r="A13376" s="1956" t="s">
        <v>6470</v>
      </c>
      <c r="B13376" s="2310">
        <v>43344</v>
      </c>
      <c r="C13376" s="2602">
        <v>100</v>
      </c>
      <c r="D13376" s="2605">
        <v>119.958</v>
      </c>
      <c r="E13376" s="2603">
        <v>0.19958000000000009</v>
      </c>
      <c r="F13376" s="2604"/>
      <c r="G13376" s="78"/>
    </row>
    <row r="13377" spans="1:7" ht="12.75" hidden="1" customHeight="1" outlineLevel="1" x14ac:dyDescent="0.25">
      <c r="A13377" s="1956" t="s">
        <v>6471</v>
      </c>
      <c r="B13377" s="2310">
        <v>43374</v>
      </c>
      <c r="C13377" s="2602">
        <v>100</v>
      </c>
      <c r="D13377" s="2605">
        <v>119.2307</v>
      </c>
      <c r="E13377" s="2603">
        <v>0.19230700000000001</v>
      </c>
      <c r="F13377" s="2604"/>
      <c r="G13377" s="78"/>
    </row>
    <row r="13378" spans="1:7" ht="12.75" hidden="1" customHeight="1" outlineLevel="1" x14ac:dyDescent="0.25">
      <c r="A13378" s="1956" t="s">
        <v>6472</v>
      </c>
      <c r="B13378" s="2310">
        <v>43405</v>
      </c>
      <c r="C13378" s="2602">
        <v>100</v>
      </c>
      <c r="D13378" s="2605">
        <v>119.30119999999999</v>
      </c>
      <c r="E13378" s="2603">
        <v>0.19301199999999996</v>
      </c>
      <c r="F13378" s="2604"/>
      <c r="G13378" s="78"/>
    </row>
    <row r="13379" spans="1:7" ht="12.75" hidden="1" customHeight="1" outlineLevel="1" x14ac:dyDescent="0.25">
      <c r="A13379" s="1956" t="s">
        <v>6473</v>
      </c>
      <c r="B13379" s="2310">
        <v>43435</v>
      </c>
      <c r="C13379" s="2602">
        <v>100</v>
      </c>
      <c r="D13379" s="2605">
        <v>111.11689999999999</v>
      </c>
      <c r="E13379" s="2603">
        <v>0.11116899999999985</v>
      </c>
      <c r="F13379" s="2604"/>
      <c r="G13379" s="78"/>
    </row>
    <row r="13380" spans="1:7" ht="12.75" hidden="1" customHeight="1" outlineLevel="1" x14ac:dyDescent="0.25">
      <c r="A13380" s="1956" t="s">
        <v>6474</v>
      </c>
      <c r="B13380" s="2310">
        <v>43466</v>
      </c>
      <c r="C13380" s="2602">
        <v>100</v>
      </c>
      <c r="D13380" s="2605">
        <v>116.9606</v>
      </c>
      <c r="E13380" s="2603">
        <v>0.16960599999999992</v>
      </c>
      <c r="F13380" s="2604"/>
      <c r="G13380" s="78"/>
    </row>
    <row r="13381" spans="1:7" ht="12.75" hidden="1" customHeight="1" outlineLevel="1" x14ac:dyDescent="0.25">
      <c r="A13381" s="1956" t="s">
        <v>6475</v>
      </c>
      <c r="B13381" s="2310">
        <v>43497</v>
      </c>
      <c r="C13381" s="2602">
        <v>100</v>
      </c>
      <c r="D13381" s="2605">
        <v>120.58240000000001</v>
      </c>
      <c r="E13381" s="2603">
        <v>0.20582400000000001</v>
      </c>
      <c r="F13381" s="2604"/>
      <c r="G13381" s="78"/>
    </row>
    <row r="13382" spans="1:7" ht="12.75" hidden="1" customHeight="1" outlineLevel="1" x14ac:dyDescent="0.25">
      <c r="A13382" s="1956" t="s">
        <v>6476</v>
      </c>
      <c r="B13382" s="2310">
        <v>43525</v>
      </c>
      <c r="C13382" s="2602">
        <v>100</v>
      </c>
      <c r="D13382" s="2605">
        <v>124.2338</v>
      </c>
      <c r="E13382" s="2603">
        <v>0.24233799999999994</v>
      </c>
      <c r="F13382" s="2604"/>
      <c r="G13382" s="78"/>
    </row>
    <row r="13383" spans="1:7" ht="12.75" hidden="1" customHeight="1" outlineLevel="1" x14ac:dyDescent="0.25">
      <c r="A13383" s="1956" t="s">
        <v>6477</v>
      </c>
      <c r="B13383" s="2310">
        <v>43556</v>
      </c>
      <c r="C13383" s="2602">
        <v>100</v>
      </c>
      <c r="D13383" s="2605">
        <v>126.3887</v>
      </c>
      <c r="E13383" s="2603">
        <v>0.26388699999999998</v>
      </c>
      <c r="F13383" s="2604"/>
      <c r="G13383" s="78"/>
    </row>
    <row r="13384" spans="1:7" ht="12.75" hidden="1" customHeight="1" outlineLevel="1" x14ac:dyDescent="0.25">
      <c r="A13384" s="1956" t="s">
        <v>6478</v>
      </c>
      <c r="B13384" s="2310">
        <v>43586</v>
      </c>
      <c r="C13384" s="2602">
        <v>100</v>
      </c>
      <c r="D13384" s="2605">
        <v>122.5106</v>
      </c>
      <c r="E13384" s="2603">
        <v>0.22510600000000003</v>
      </c>
      <c r="F13384" s="2604"/>
      <c r="G13384" s="78"/>
    </row>
    <row r="13385" spans="1:7" ht="12.75" hidden="1" customHeight="1" outlineLevel="1" x14ac:dyDescent="0.25">
      <c r="A13385" s="1956" t="s">
        <v>6479</v>
      </c>
      <c r="B13385" s="2310">
        <v>43617</v>
      </c>
      <c r="C13385" s="2602">
        <v>100</v>
      </c>
      <c r="D13385" s="2605">
        <v>125.33069999999999</v>
      </c>
      <c r="E13385" s="2603">
        <v>0.25330699999999995</v>
      </c>
      <c r="F13385" s="2604"/>
      <c r="G13385" s="78"/>
    </row>
    <row r="13386" spans="1:7" ht="12.75" hidden="1" customHeight="1" outlineLevel="1" x14ac:dyDescent="0.25">
      <c r="A13386" s="1956" t="s">
        <v>6480</v>
      </c>
      <c r="B13386" s="2310">
        <v>43647</v>
      </c>
      <c r="C13386" s="2602">
        <v>100</v>
      </c>
      <c r="D13386" s="2605">
        <v>127.29470000000001</v>
      </c>
      <c r="E13386" s="2603">
        <v>0.27294700000000005</v>
      </c>
      <c r="F13386" s="2604"/>
      <c r="G13386" s="78"/>
    </row>
    <row r="13387" spans="1:7" ht="12.75" hidden="1" customHeight="1" outlineLevel="1" x14ac:dyDescent="0.25">
      <c r="A13387" s="1956" t="s">
        <v>6481</v>
      </c>
      <c r="B13387" s="2310">
        <v>43678</v>
      </c>
      <c r="C13387" s="2602">
        <v>100</v>
      </c>
      <c r="D13387" s="2605">
        <v>129.7724</v>
      </c>
      <c r="E13387" s="2603">
        <v>0.2977240000000001</v>
      </c>
      <c r="F13387" s="2604"/>
      <c r="G13387" s="78"/>
    </row>
    <row r="13388" spans="1:7" ht="12.75" hidden="1" customHeight="1" outlineLevel="1" x14ac:dyDescent="0.25">
      <c r="A13388" s="1956" t="s">
        <v>6482</v>
      </c>
      <c r="B13388" s="2310">
        <v>43709</v>
      </c>
      <c r="C13388" s="2602">
        <v>100</v>
      </c>
      <c r="D13388" s="2605">
        <v>134.36580000000001</v>
      </c>
      <c r="E13388" s="2603">
        <v>0.34365800000000002</v>
      </c>
      <c r="F13388" s="2604"/>
      <c r="G13388" s="78"/>
    </row>
    <row r="13389" spans="1:7" ht="12.75" hidden="1" customHeight="1" outlineLevel="1" x14ac:dyDescent="0.25">
      <c r="A13389" s="1956" t="s">
        <v>6483</v>
      </c>
      <c r="B13389" s="2310">
        <v>43739</v>
      </c>
      <c r="C13389" s="2602">
        <v>100</v>
      </c>
      <c r="D13389" s="2605">
        <v>133.14109999999999</v>
      </c>
      <c r="E13389" s="2603">
        <v>0.3314109999999999</v>
      </c>
      <c r="F13389" s="2604"/>
      <c r="G13389" s="78"/>
    </row>
    <row r="13390" spans="1:7" ht="12.75" hidden="1" customHeight="1" outlineLevel="1" x14ac:dyDescent="0.25">
      <c r="A13390" s="1956" t="s">
        <v>6484</v>
      </c>
      <c r="B13390" s="2310">
        <v>43770</v>
      </c>
      <c r="C13390" s="2602">
        <v>100</v>
      </c>
      <c r="D13390" s="2605">
        <v>134.26650000000001</v>
      </c>
      <c r="E13390" s="2603">
        <v>0.342665</v>
      </c>
      <c r="F13390" s="2604"/>
      <c r="G13390" s="78"/>
    </row>
    <row r="13391" spans="1:7" ht="12.75" hidden="1" customHeight="1" outlineLevel="1" x14ac:dyDescent="0.25">
      <c r="A13391" s="2189" t="s">
        <v>2734</v>
      </c>
      <c r="B13391" s="2190"/>
      <c r="C13391" s="2605"/>
      <c r="D13391" s="2191" t="s">
        <v>2465</v>
      </c>
      <c r="E13391" s="1987">
        <v>0.23520611111111112</v>
      </c>
      <c r="F13391" s="2192">
        <v>0.23520611111111112</v>
      </c>
      <c r="G13391" s="78"/>
    </row>
    <row r="13392" spans="1:7" collapsed="1" x14ac:dyDescent="0.25">
      <c r="A13392" s="3801" t="s">
        <v>6485</v>
      </c>
      <c r="B13392" s="3802"/>
      <c r="C13392" s="3802"/>
      <c r="D13392" s="3802"/>
      <c r="E13392" s="1906"/>
      <c r="F13392" s="1907">
        <v>0.16464427777777776</v>
      </c>
      <c r="G13392" s="78"/>
    </row>
    <row r="13394" spans="1:11" ht="12.75" hidden="1" customHeight="1" outlineLevel="1" x14ac:dyDescent="0.25">
      <c r="A13394" s="3219" t="s">
        <v>113</v>
      </c>
      <c r="B13394" s="3219" t="s">
        <v>114</v>
      </c>
      <c r="C13394" s="3219" t="s">
        <v>112</v>
      </c>
      <c r="D13394" s="3219" t="s">
        <v>116</v>
      </c>
      <c r="E13394" s="3219" t="s">
        <v>117</v>
      </c>
      <c r="F13394" s="3350" t="s">
        <v>121</v>
      </c>
      <c r="G13394" s="78"/>
    </row>
    <row r="13395" spans="1:11" ht="12.75" hidden="1" customHeight="1" outlineLevel="1" x14ac:dyDescent="0.25">
      <c r="A13395" s="3303">
        <v>1</v>
      </c>
      <c r="B13395" s="3304" t="s">
        <v>252</v>
      </c>
      <c r="C13395" s="3305">
        <v>100</v>
      </c>
      <c r="D13395" s="3305"/>
      <c r="E13395" s="3306"/>
      <c r="F13395" s="3307"/>
      <c r="G13395" s="78"/>
    </row>
    <row r="13396" spans="1:11" ht="12.75" hidden="1" customHeight="1" outlineLevel="1" x14ac:dyDescent="0.25">
      <c r="A13396" s="3308" t="s">
        <v>2734</v>
      </c>
      <c r="B13396" s="3308"/>
      <c r="C13396" s="3309"/>
      <c r="D13396" s="3310" t="s">
        <v>3702</v>
      </c>
      <c r="E13396" s="3311">
        <v>44243</v>
      </c>
      <c r="F13396" s="3312"/>
      <c r="G13396" s="78"/>
    </row>
    <row r="13397" spans="1:11" ht="12.75" hidden="1" customHeight="1" outlineLevel="1" x14ac:dyDescent="0.25">
      <c r="A13397" s="3219" t="s">
        <v>4156</v>
      </c>
      <c r="B13397" s="3219" t="s">
        <v>4153</v>
      </c>
      <c r="C13397" s="3221" t="s">
        <v>112</v>
      </c>
      <c r="D13397" s="3222" t="s">
        <v>4155</v>
      </c>
      <c r="E13397" s="3219" t="s">
        <v>4154</v>
      </c>
      <c r="F13397" s="3351" t="s">
        <v>2519</v>
      </c>
      <c r="G13397" s="78"/>
    </row>
    <row r="13398" spans="1:11" ht="12.75" hidden="1" customHeight="1" outlineLevel="1" x14ac:dyDescent="0.25">
      <c r="A13398" s="3313">
        <v>0.03</v>
      </c>
      <c r="B13398" s="3314" t="s">
        <v>3998</v>
      </c>
      <c r="C13398" s="3352">
        <v>35.805</v>
      </c>
      <c r="D13398" s="3316">
        <v>27.89</v>
      </c>
      <c r="E13398" s="3317">
        <v>-0.221058511381092</v>
      </c>
      <c r="F13398" s="3351">
        <v>-6.6317553414327601E-3</v>
      </c>
      <c r="G13398" s="78"/>
      <c r="H13398" t="s">
        <v>4000</v>
      </c>
      <c r="K13398" s="434"/>
    </row>
    <row r="13399" spans="1:11" ht="12.75" hidden="1" customHeight="1" outlineLevel="1" x14ac:dyDescent="0.25">
      <c r="A13399" s="3319">
        <v>0.05</v>
      </c>
      <c r="B13399" s="3314" t="s">
        <v>805</v>
      </c>
      <c r="C13399" s="3353">
        <v>75.751000000000005</v>
      </c>
      <c r="D13399" s="3316">
        <v>103.98</v>
      </c>
      <c r="E13399" s="3320">
        <v>0.37265514646671338</v>
      </c>
      <c r="F13399" s="3354">
        <v>1.8632757323335671E-2</v>
      </c>
      <c r="G13399" s="78"/>
      <c r="H13399" t="s">
        <v>806</v>
      </c>
      <c r="K13399" s="434"/>
    </row>
    <row r="13400" spans="1:11" ht="12.75" hidden="1" customHeight="1" outlineLevel="1" x14ac:dyDescent="0.25">
      <c r="A13400" s="3319">
        <v>0.08</v>
      </c>
      <c r="B13400" s="3314" t="s">
        <v>807</v>
      </c>
      <c r="C13400" s="3355">
        <v>49.923000000000002</v>
      </c>
      <c r="D13400" s="3316">
        <v>54.43</v>
      </c>
      <c r="E13400" s="3320">
        <v>9.0279029705746749E-2</v>
      </c>
      <c r="F13400" s="3354">
        <v>7.2223223764597399E-3</v>
      </c>
      <c r="G13400" s="78"/>
      <c r="H13400" t="s">
        <v>808</v>
      </c>
      <c r="K13400" s="434"/>
    </row>
    <row r="13401" spans="1:11" ht="12.75" hidden="1" customHeight="1" outlineLevel="1" x14ac:dyDescent="0.25">
      <c r="A13401" s="3319">
        <v>0.08</v>
      </c>
      <c r="B13401" s="3314" t="s">
        <v>3954</v>
      </c>
      <c r="C13401" s="3355">
        <v>97.882999999999996</v>
      </c>
      <c r="D13401" s="3316">
        <v>117.33</v>
      </c>
      <c r="E13401" s="3320">
        <v>0.19867597029106188</v>
      </c>
      <c r="F13401" s="3354">
        <v>1.5894077623284951E-2</v>
      </c>
      <c r="G13401" s="78"/>
      <c r="H13401" t="s">
        <v>3955</v>
      </c>
      <c r="K13401" s="434"/>
    </row>
    <row r="13402" spans="1:11" ht="12.75" hidden="1" customHeight="1" outlineLevel="1" x14ac:dyDescent="0.25">
      <c r="A13402" s="3319">
        <v>0.03</v>
      </c>
      <c r="B13402" s="3314" t="s">
        <v>6079</v>
      </c>
      <c r="C13402" s="3355">
        <v>54.484999999999999</v>
      </c>
      <c r="D13402" s="3316">
        <v>65.650000000000006</v>
      </c>
      <c r="E13402" s="3320">
        <v>0.2049187849866938</v>
      </c>
      <c r="F13402" s="3354">
        <v>6.1475635496008136E-3</v>
      </c>
      <c r="G13402" s="78"/>
      <c r="H13402" t="s">
        <v>1320</v>
      </c>
      <c r="K13402" s="434"/>
    </row>
    <row r="13403" spans="1:11" ht="12.75" hidden="1" customHeight="1" outlineLevel="1" x14ac:dyDescent="0.25">
      <c r="A13403" s="3319">
        <v>0.03</v>
      </c>
      <c r="B13403" s="3314" t="s">
        <v>3021</v>
      </c>
      <c r="C13403" s="3355">
        <v>18.533999999999999</v>
      </c>
      <c r="D13403" s="3316">
        <v>9.4819999999999993</v>
      </c>
      <c r="E13403" s="3320">
        <v>-0.48839969785259518</v>
      </c>
      <c r="F13403" s="3354">
        <v>-1.4651990935577855E-2</v>
      </c>
      <c r="G13403" s="78"/>
      <c r="H13403" t="s">
        <v>4124</v>
      </c>
      <c r="K13403" s="434"/>
    </row>
    <row r="13404" spans="1:11" ht="12.75" hidden="1" customHeight="1" outlineLevel="1" x14ac:dyDescent="0.25">
      <c r="A13404" s="3319">
        <v>0.02</v>
      </c>
      <c r="B13404" s="3314" t="s">
        <v>5232</v>
      </c>
      <c r="C13404" s="3355">
        <v>74.02</v>
      </c>
      <c r="D13404" s="3316">
        <v>86.81</v>
      </c>
      <c r="E13404" s="3320">
        <v>0.17279113753039721</v>
      </c>
      <c r="F13404" s="3354">
        <v>3.4558227506079442E-3</v>
      </c>
      <c r="G13404" s="78"/>
      <c r="H13404" t="s">
        <v>5230</v>
      </c>
      <c r="K13404" s="434"/>
    </row>
    <row r="13405" spans="1:11" ht="12.75" hidden="1" customHeight="1" outlineLevel="1" x14ac:dyDescent="0.25">
      <c r="A13405" s="3319">
        <v>0.03</v>
      </c>
      <c r="B13405" s="3314" t="s">
        <v>7227</v>
      </c>
      <c r="C13405" s="3355">
        <v>19.356203247079097</v>
      </c>
      <c r="D13405" s="3316">
        <v>12.085000000000001</v>
      </c>
      <c r="E13405" s="3320">
        <v>-0.37565235052883317</v>
      </c>
      <c r="F13405" s="3354">
        <v>-1.1269570515864994E-2</v>
      </c>
      <c r="G13405" s="78"/>
      <c r="H13405" t="s">
        <v>7229</v>
      </c>
      <c r="K13405" s="434"/>
    </row>
    <row r="13406" spans="1:11" ht="12.75" hidden="1" customHeight="1" outlineLevel="1" x14ac:dyDescent="0.25">
      <c r="A13406" s="3319">
        <v>0.05</v>
      </c>
      <c r="B13406" s="3314" t="s">
        <v>1386</v>
      </c>
      <c r="C13406" s="3355">
        <v>1604.8014462732535</v>
      </c>
      <c r="D13406" s="3316">
        <v>1190.8</v>
      </c>
      <c r="E13406" s="3320">
        <v>-0.25797674050871988</v>
      </c>
      <c r="F13406" s="3354">
        <v>-1.2898837025435995E-2</v>
      </c>
      <c r="G13406" s="78"/>
      <c r="H13406" t="s">
        <v>4128</v>
      </c>
      <c r="K13406" s="434"/>
    </row>
    <row r="13407" spans="1:11" ht="12.75" hidden="1" customHeight="1" outlineLevel="1" x14ac:dyDescent="0.25">
      <c r="A13407" s="3319">
        <v>0.05</v>
      </c>
      <c r="B13407" s="3314" t="s">
        <v>6113</v>
      </c>
      <c r="C13407" s="3355">
        <v>883.20057895677394</v>
      </c>
      <c r="D13407" s="3316">
        <v>806.4</v>
      </c>
      <c r="E13407" s="3320">
        <v>-8.695712025855995E-2</v>
      </c>
      <c r="F13407" s="3354">
        <v>-4.3478560129279979E-3</v>
      </c>
      <c r="G13407" s="78"/>
      <c r="H13407" t="s">
        <v>4195</v>
      </c>
      <c r="K13407" s="434"/>
    </row>
    <row r="13408" spans="1:11" ht="12.75" hidden="1" customHeight="1" outlineLevel="1" x14ac:dyDescent="0.25">
      <c r="A13408" s="3319">
        <v>0.08</v>
      </c>
      <c r="B13408" s="3314" t="s">
        <v>901</v>
      </c>
      <c r="C13408" s="3355">
        <v>23.952115773260569</v>
      </c>
      <c r="D13408" s="3316">
        <v>24.855</v>
      </c>
      <c r="E13408" s="3320">
        <v>3.7695385046000229E-2</v>
      </c>
      <c r="F13408" s="3354">
        <v>3.0156308036800184E-3</v>
      </c>
      <c r="G13408" s="78"/>
      <c r="H13408" t="s">
        <v>531</v>
      </c>
      <c r="K13408" s="434"/>
    </row>
    <row r="13409" spans="1:11" ht="12.75" hidden="1" customHeight="1" outlineLevel="1" x14ac:dyDescent="0.25">
      <c r="A13409" s="3319">
        <v>0.03</v>
      </c>
      <c r="B13409" s="3314" t="s">
        <v>6164</v>
      </c>
      <c r="C13409" s="3355">
        <v>3.5266905598972462</v>
      </c>
      <c r="D13409" s="3316">
        <v>4.2960000000000003</v>
      </c>
      <c r="E13409" s="3320">
        <v>0.21813919510000002</v>
      </c>
      <c r="F13409" s="3354">
        <v>6.5441758530000007E-3</v>
      </c>
      <c r="G13409" s="78"/>
      <c r="H13409" t="s">
        <v>6114</v>
      </c>
      <c r="K13409" s="434"/>
    </row>
    <row r="13410" spans="1:11" ht="12.75" hidden="1" customHeight="1" outlineLevel="1" x14ac:dyDescent="0.25">
      <c r="A13410" s="3319">
        <v>0.05</v>
      </c>
      <c r="B13410" s="3314" t="s">
        <v>3427</v>
      </c>
      <c r="C13410" s="3355">
        <v>43.198999999999998</v>
      </c>
      <c r="D13410" s="3316">
        <v>56.72</v>
      </c>
      <c r="E13410" s="3320">
        <v>0.31299335632769276</v>
      </c>
      <c r="F13410" s="3354">
        <v>1.5649667816384639E-2</v>
      </c>
      <c r="G13410" s="78"/>
      <c r="H13410" t="s">
        <v>2800</v>
      </c>
      <c r="K13410" s="434"/>
    </row>
    <row r="13411" spans="1:11" ht="12.75" hidden="1" customHeight="1" outlineLevel="1" x14ac:dyDescent="0.25">
      <c r="A13411" s="3319">
        <v>0.05</v>
      </c>
      <c r="B13411" s="3314" t="s">
        <v>1857</v>
      </c>
      <c r="C13411" s="3355">
        <v>1552.7</v>
      </c>
      <c r="D13411" s="3316">
        <v>1324.5</v>
      </c>
      <c r="E13411" s="3320">
        <v>-0.14696979455142656</v>
      </c>
      <c r="F13411" s="3354">
        <v>-7.3484897275713284E-3</v>
      </c>
      <c r="G13411" s="78"/>
      <c r="H13411" t="s">
        <v>3559</v>
      </c>
      <c r="K13411" s="434"/>
    </row>
    <row r="13412" spans="1:11" ht="12.75" hidden="1" customHeight="1" outlineLevel="1" x14ac:dyDescent="0.25">
      <c r="A13412" s="3319">
        <v>0.05</v>
      </c>
      <c r="B13412" s="3314" t="s">
        <v>1239</v>
      </c>
      <c r="C13412" s="3355">
        <v>541.6</v>
      </c>
      <c r="D13412" s="3316">
        <v>456.5</v>
      </c>
      <c r="E13412" s="3320">
        <v>-0.15712703101920245</v>
      </c>
      <c r="F13412" s="3354">
        <v>-7.8563515509601223E-3</v>
      </c>
      <c r="G13412" s="78"/>
      <c r="H13412" t="s">
        <v>8891</v>
      </c>
      <c r="K13412" s="434"/>
    </row>
    <row r="13413" spans="1:11" ht="12.75" hidden="1" customHeight="1" outlineLevel="1" x14ac:dyDescent="0.25">
      <c r="A13413" s="3319">
        <v>0.08</v>
      </c>
      <c r="B13413" s="3314" t="s">
        <v>577</v>
      </c>
      <c r="C13413" s="3355">
        <v>11.972835601361476</v>
      </c>
      <c r="D13413" s="3316">
        <v>3.5259999999999998</v>
      </c>
      <c r="E13413" s="3320">
        <v>-0.70550000706607507</v>
      </c>
      <c r="F13413" s="3354">
        <v>-5.644000056528601E-2</v>
      </c>
      <c r="G13413" s="78"/>
      <c r="H13413" t="s">
        <v>6732</v>
      </c>
      <c r="K13413" s="434"/>
    </row>
    <row r="13414" spans="1:11" ht="12.75" hidden="1" customHeight="1" outlineLevel="1" x14ac:dyDescent="0.25">
      <c r="A13414" s="3319">
        <v>0.05</v>
      </c>
      <c r="B13414" s="3314" t="s">
        <v>6165</v>
      </c>
      <c r="C13414" s="3355">
        <v>49.371000000000002</v>
      </c>
      <c r="D13414" s="3316">
        <v>34.11</v>
      </c>
      <c r="E13414" s="3320">
        <v>-0.30910858601203139</v>
      </c>
      <c r="F13414" s="3354">
        <v>-1.5455429300601571E-2</v>
      </c>
      <c r="G13414" s="78"/>
      <c r="H13414" t="s">
        <v>7745</v>
      </c>
      <c r="K13414" s="434"/>
    </row>
    <row r="13415" spans="1:11" ht="12.75" hidden="1" customHeight="1" outlineLevel="1" x14ac:dyDescent="0.25">
      <c r="A13415" s="3319">
        <v>0.03</v>
      </c>
      <c r="B13415" s="3314" t="s">
        <v>9301</v>
      </c>
      <c r="C13415" s="3355">
        <v>198.98</v>
      </c>
      <c r="D13415" s="3316">
        <v>60.82</v>
      </c>
      <c r="E13415" s="3320">
        <v>-0.69434113981304657</v>
      </c>
      <c r="F13415" s="3354">
        <v>-2.0830234194391395E-2</v>
      </c>
      <c r="G13415" s="78"/>
      <c r="H13415" t="s">
        <v>9302</v>
      </c>
      <c r="K13415" s="434"/>
    </row>
    <row r="13416" spans="1:11" ht="12.75" hidden="1" customHeight="1" outlineLevel="1" x14ac:dyDescent="0.25">
      <c r="A13416" s="3319">
        <v>0.05</v>
      </c>
      <c r="B13416" s="3314" t="s">
        <v>106</v>
      </c>
      <c r="C13416" s="3355">
        <v>2682.8</v>
      </c>
      <c r="D13416" s="3316">
        <v>3733</v>
      </c>
      <c r="E13416" s="3320">
        <v>0.39145668704338732</v>
      </c>
      <c r="F13416" s="3354">
        <v>1.9572834352169367E-2</v>
      </c>
      <c r="G13416" s="78"/>
      <c r="H13416" t="s">
        <v>107</v>
      </c>
      <c r="K13416" s="434"/>
    </row>
    <row r="13417" spans="1:11" ht="12.75" hidden="1" customHeight="1" outlineLevel="1" x14ac:dyDescent="0.25">
      <c r="A13417" s="3319">
        <v>0.08</v>
      </c>
      <c r="B13417" s="3323" t="s">
        <v>4550</v>
      </c>
      <c r="C13417" s="3355">
        <v>263.81</v>
      </c>
      <c r="D13417" s="3316">
        <v>371.5</v>
      </c>
      <c r="E13417" s="3320">
        <v>0.40821045449376436</v>
      </c>
      <c r="F13417" s="3354">
        <v>3.2656836359501153E-2</v>
      </c>
      <c r="G13417" s="78"/>
      <c r="H13417" t="s">
        <v>8889</v>
      </c>
      <c r="K13417" s="434"/>
    </row>
    <row r="13418" spans="1:11" ht="12.75" hidden="1" customHeight="1" outlineLevel="1" x14ac:dyDescent="0.25">
      <c r="A13418" s="3324" t="s">
        <v>2734</v>
      </c>
      <c r="B13418" s="3325"/>
      <c r="C13418" s="3326"/>
      <c r="D13418" s="3316"/>
      <c r="E13418" s="3327"/>
      <c r="F13418" s="3351">
        <v>-2.893882636202573E-2</v>
      </c>
      <c r="G13418" s="78"/>
    </row>
    <row r="13419" spans="1:11" ht="12.75" hidden="1" customHeight="1" outlineLevel="1" x14ac:dyDescent="0.25">
      <c r="A13419" s="3328" t="s">
        <v>6486</v>
      </c>
      <c r="B13419" s="3356">
        <v>43709</v>
      </c>
      <c r="C13419" s="3330">
        <v>100</v>
      </c>
      <c r="D13419" s="3330">
        <v>113.7555</v>
      </c>
      <c r="E13419" s="3331">
        <v>0.13755499999999987</v>
      </c>
      <c r="F13419" s="3357"/>
      <c r="G13419" s="78"/>
    </row>
    <row r="13420" spans="1:11" ht="12.75" hidden="1" customHeight="1" outlineLevel="1" x14ac:dyDescent="0.25">
      <c r="A13420" s="3328" t="s">
        <v>6487</v>
      </c>
      <c r="B13420" s="3356">
        <v>43739</v>
      </c>
      <c r="C13420" s="3330">
        <v>100</v>
      </c>
      <c r="D13420" s="3333">
        <v>112.61</v>
      </c>
      <c r="E13420" s="3331">
        <v>0.1261000000000001</v>
      </c>
      <c r="F13420" s="3357"/>
      <c r="G13420" s="78"/>
    </row>
    <row r="13421" spans="1:11" ht="12.75" hidden="1" customHeight="1" outlineLevel="1" x14ac:dyDescent="0.25">
      <c r="A13421" s="3328" t="s">
        <v>6488</v>
      </c>
      <c r="B13421" s="3356">
        <v>43770</v>
      </c>
      <c r="C13421" s="3330">
        <v>100</v>
      </c>
      <c r="D13421" s="3333">
        <v>114.0471</v>
      </c>
      <c r="E13421" s="3331">
        <v>0.14047100000000001</v>
      </c>
      <c r="F13421" s="3357"/>
      <c r="G13421" s="78"/>
    </row>
    <row r="13422" spans="1:11" ht="12.75" hidden="1" customHeight="1" outlineLevel="1" x14ac:dyDescent="0.25">
      <c r="A13422" s="3328" t="s">
        <v>6489</v>
      </c>
      <c r="B13422" s="3356">
        <v>43800</v>
      </c>
      <c r="C13422" s="3330">
        <v>100</v>
      </c>
      <c r="D13422" s="3333">
        <v>113.9939</v>
      </c>
      <c r="E13422" s="3331">
        <v>0.13993900000000004</v>
      </c>
      <c r="F13422" s="3357"/>
      <c r="G13422" s="78"/>
    </row>
    <row r="13423" spans="1:11" ht="12.75" hidden="1" customHeight="1" outlineLevel="1" x14ac:dyDescent="0.25">
      <c r="A13423" s="3328" t="s">
        <v>6490</v>
      </c>
      <c r="B13423" s="3356">
        <v>43831</v>
      </c>
      <c r="C13423" s="3330">
        <v>100</v>
      </c>
      <c r="D13423" s="3333">
        <v>117.0018</v>
      </c>
      <c r="E13423" s="3331">
        <v>0.170018</v>
      </c>
      <c r="F13423" s="3357"/>
      <c r="G13423" s="78"/>
    </row>
    <row r="13424" spans="1:11" ht="12.75" hidden="1" customHeight="1" outlineLevel="1" x14ac:dyDescent="0.25">
      <c r="A13424" s="3328" t="s">
        <v>6491</v>
      </c>
      <c r="B13424" s="3356">
        <v>43862</v>
      </c>
      <c r="C13424" s="3330">
        <v>100</v>
      </c>
      <c r="D13424" s="3333">
        <v>107.6018</v>
      </c>
      <c r="E13424" s="3331">
        <v>7.6017999999999919E-2</v>
      </c>
      <c r="F13424" s="3357"/>
      <c r="G13424" s="78"/>
    </row>
    <row r="13425" spans="1:7" ht="12.75" hidden="1" customHeight="1" outlineLevel="1" x14ac:dyDescent="0.25">
      <c r="A13425" s="3328" t="s">
        <v>6492</v>
      </c>
      <c r="B13425" s="3356">
        <v>43891</v>
      </c>
      <c r="C13425" s="3330">
        <v>100</v>
      </c>
      <c r="D13425" s="3333">
        <v>96.201499999999996</v>
      </c>
      <c r="E13425" s="3331">
        <v>-3.7985000000000047E-2</v>
      </c>
      <c r="F13425" s="3357"/>
      <c r="G13425" s="78"/>
    </row>
    <row r="13426" spans="1:7" ht="12.75" hidden="1" customHeight="1" outlineLevel="1" x14ac:dyDescent="0.25">
      <c r="A13426" s="3328" t="s">
        <v>6493</v>
      </c>
      <c r="B13426" s="3356">
        <v>43922</v>
      </c>
      <c r="C13426" s="3330">
        <v>100</v>
      </c>
      <c r="D13426" s="3333">
        <v>96.287199999999999</v>
      </c>
      <c r="E13426" s="3331">
        <v>-3.712800000000005E-2</v>
      </c>
      <c r="F13426" s="3357"/>
      <c r="G13426" s="78"/>
    </row>
    <row r="13427" spans="1:7" ht="12.75" hidden="1" customHeight="1" outlineLevel="1" x14ac:dyDescent="0.25">
      <c r="A13427" s="3328" t="s">
        <v>6494</v>
      </c>
      <c r="B13427" s="3356">
        <v>43952</v>
      </c>
      <c r="C13427" s="3330">
        <v>100</v>
      </c>
      <c r="D13427" s="3333">
        <v>97.464600000000004</v>
      </c>
      <c r="E13427" s="3331">
        <v>-2.5353999999999988E-2</v>
      </c>
      <c r="F13427" s="3357"/>
      <c r="G13427" s="78"/>
    </row>
    <row r="13428" spans="1:7" ht="12.75" hidden="1" customHeight="1" outlineLevel="1" x14ac:dyDescent="0.25">
      <c r="A13428" s="3328" t="s">
        <v>6495</v>
      </c>
      <c r="B13428" s="3356">
        <v>43983</v>
      </c>
      <c r="C13428" s="3330">
        <v>100</v>
      </c>
      <c r="D13428" s="3333">
        <v>98.463899999999995</v>
      </c>
      <c r="E13428" s="3331">
        <v>-1.5361000000000069E-2</v>
      </c>
      <c r="F13428" s="3357"/>
      <c r="G13428" s="78"/>
    </row>
    <row r="13429" spans="1:7" ht="12.75" hidden="1" customHeight="1" outlineLevel="1" x14ac:dyDescent="0.25">
      <c r="A13429" s="3328" t="s">
        <v>6496</v>
      </c>
      <c r="B13429" s="3356">
        <v>44013</v>
      </c>
      <c r="C13429" s="3330">
        <v>100</v>
      </c>
      <c r="D13429" s="3333">
        <v>96.264899999999997</v>
      </c>
      <c r="E13429" s="3331">
        <v>-3.7351000000000023E-2</v>
      </c>
      <c r="F13429" s="3357"/>
      <c r="G13429" s="78"/>
    </row>
    <row r="13430" spans="1:7" ht="12.75" hidden="1" customHeight="1" outlineLevel="1" x14ac:dyDescent="0.25">
      <c r="A13430" s="3328" t="s">
        <v>6497</v>
      </c>
      <c r="B13430" s="3356">
        <v>44044</v>
      </c>
      <c r="C13430" s="3330">
        <v>100</v>
      </c>
      <c r="D13430" s="3333">
        <v>95.879000000000005</v>
      </c>
      <c r="E13430" s="3331">
        <v>-4.1209999999999969E-2</v>
      </c>
      <c r="F13430" s="3357"/>
      <c r="G13430" s="78"/>
    </row>
    <row r="13431" spans="1:7" ht="12.75" hidden="1" customHeight="1" outlineLevel="1" x14ac:dyDescent="0.25">
      <c r="A13431" s="3328" t="s">
        <v>6498</v>
      </c>
      <c r="B13431" s="3356">
        <v>44075</v>
      </c>
      <c r="C13431" s="3330">
        <v>100</v>
      </c>
      <c r="D13431" s="3333">
        <v>96.352199999999996</v>
      </c>
      <c r="E13431" s="3331">
        <v>-3.647800000000001E-2</v>
      </c>
      <c r="F13431" s="3357"/>
      <c r="G13431" s="78"/>
    </row>
    <row r="13432" spans="1:7" ht="12.75" hidden="1" customHeight="1" outlineLevel="1" x14ac:dyDescent="0.25">
      <c r="A13432" s="3328" t="s">
        <v>6499</v>
      </c>
      <c r="B13432" s="3356">
        <v>44105</v>
      </c>
      <c r="C13432" s="3330">
        <v>100</v>
      </c>
      <c r="D13432" s="3333">
        <v>93.088200000000001</v>
      </c>
      <c r="E13432" s="3331">
        <v>-6.9118000000000013E-2</v>
      </c>
      <c r="F13432" s="3357"/>
      <c r="G13432" s="78"/>
    </row>
    <row r="13433" spans="1:7" ht="12.75" hidden="1" customHeight="1" outlineLevel="1" x14ac:dyDescent="0.25">
      <c r="A13433" s="3328" t="s">
        <v>6500</v>
      </c>
      <c r="B13433" s="3356">
        <v>44136</v>
      </c>
      <c r="C13433" s="3330">
        <v>100</v>
      </c>
      <c r="D13433" s="3333">
        <v>101.2333</v>
      </c>
      <c r="E13433" s="3331">
        <v>1.2332999999999927E-2</v>
      </c>
      <c r="F13433" s="3357"/>
      <c r="G13433" s="78"/>
    </row>
    <row r="13434" spans="1:7" ht="12.75" hidden="1" customHeight="1" outlineLevel="1" x14ac:dyDescent="0.25">
      <c r="A13434" s="3328" t="s">
        <v>6501</v>
      </c>
      <c r="B13434" s="3356">
        <v>44166</v>
      </c>
      <c r="C13434" s="3330">
        <v>100</v>
      </c>
      <c r="D13434" s="3333">
        <v>100.8814</v>
      </c>
      <c r="E13434" s="3331">
        <v>8.8140000000000995E-3</v>
      </c>
      <c r="F13434" s="3357"/>
      <c r="G13434" s="78"/>
    </row>
    <row r="13435" spans="1:7" ht="12.75" hidden="1" customHeight="1" outlineLevel="1" x14ac:dyDescent="0.25">
      <c r="A13435" s="3328" t="s">
        <v>6502</v>
      </c>
      <c r="B13435" s="3356">
        <v>44197</v>
      </c>
      <c r="C13435" s="3330">
        <v>100</v>
      </c>
      <c r="D13435" s="3333">
        <v>99.6083</v>
      </c>
      <c r="E13435" s="3331">
        <v>-3.9169999999999483E-3</v>
      </c>
      <c r="F13435" s="3357"/>
      <c r="G13435" s="78"/>
    </row>
    <row r="13436" spans="1:7" ht="12.75" hidden="1" customHeight="1" outlineLevel="1" x14ac:dyDescent="0.25">
      <c r="A13436" s="3328" t="s">
        <v>6503</v>
      </c>
      <c r="B13436" s="3356">
        <v>44228</v>
      </c>
      <c r="C13436" s="3330">
        <v>100</v>
      </c>
      <c r="D13436" s="3333">
        <v>97.106099999999998</v>
      </c>
      <c r="E13436" s="3331">
        <v>-2.8939000000000048E-2</v>
      </c>
      <c r="F13436" s="3357"/>
      <c r="G13436" s="78"/>
    </row>
    <row r="13437" spans="1:7" ht="12.75" hidden="1" customHeight="1" outlineLevel="1" x14ac:dyDescent="0.25">
      <c r="A13437" s="3334" t="s">
        <v>2734</v>
      </c>
      <c r="B13437" s="3335"/>
      <c r="C13437" s="3333"/>
      <c r="D13437" s="3336" t="s">
        <v>2465</v>
      </c>
      <c r="E13437" s="3337">
        <v>2.6578166666666656E-2</v>
      </c>
      <c r="F13437" s="3358">
        <v>2.6578166666666656E-2</v>
      </c>
      <c r="G13437" s="78"/>
    </row>
    <row r="13438" spans="1:7" collapsed="1" x14ac:dyDescent="0.25">
      <c r="A13438" s="3897" t="s">
        <v>6504</v>
      </c>
      <c r="B13438" s="3898"/>
      <c r="C13438" s="3898"/>
      <c r="D13438" s="3898"/>
      <c r="E13438" s="3339"/>
      <c r="F13438" s="3340">
        <v>1.5946899999999993E-2</v>
      </c>
      <c r="G13438" s="78"/>
    </row>
    <row r="13440" spans="1:7" ht="12.75" hidden="1" customHeight="1" outlineLevel="1" x14ac:dyDescent="0.25">
      <c r="A13440" s="3237" t="s">
        <v>113</v>
      </c>
      <c r="B13440" s="3237" t="s">
        <v>114</v>
      </c>
      <c r="C13440" s="3237" t="s">
        <v>112</v>
      </c>
      <c r="D13440" s="3237" t="s">
        <v>116</v>
      </c>
      <c r="E13440" s="3237" t="s">
        <v>117</v>
      </c>
      <c r="F13440" s="3276" t="s">
        <v>121</v>
      </c>
      <c r="G13440" s="78"/>
    </row>
    <row r="13441" spans="1:11" ht="12.75" hidden="1" customHeight="1" outlineLevel="1" x14ac:dyDescent="0.25">
      <c r="A13441" s="3238">
        <v>1</v>
      </c>
      <c r="B13441" s="3239" t="s">
        <v>252</v>
      </c>
      <c r="C13441" s="3240">
        <v>100</v>
      </c>
      <c r="D13441" s="3240"/>
      <c r="E13441" s="3241"/>
      <c r="F13441" s="3242"/>
      <c r="G13441" s="78"/>
    </row>
    <row r="13442" spans="1:11" ht="12.75" hidden="1" customHeight="1" outlineLevel="1" x14ac:dyDescent="0.25">
      <c r="A13442" s="3243" t="s">
        <v>2734</v>
      </c>
      <c r="B13442" s="3243"/>
      <c r="C13442" s="3244"/>
      <c r="D13442" s="1900" t="s">
        <v>3702</v>
      </c>
      <c r="E13442" s="3245">
        <v>44546</v>
      </c>
      <c r="F13442" s="3246"/>
      <c r="G13442" s="78"/>
    </row>
    <row r="13443" spans="1:11" ht="12.75" hidden="1" customHeight="1" outlineLevel="1" x14ac:dyDescent="0.25">
      <c r="A13443" s="3237" t="s">
        <v>4156</v>
      </c>
      <c r="B13443" s="3237" t="s">
        <v>4153</v>
      </c>
      <c r="C13443" s="3247" t="s">
        <v>112</v>
      </c>
      <c r="D13443" s="3248" t="s">
        <v>4155</v>
      </c>
      <c r="E13443" s="3237" t="s">
        <v>4154</v>
      </c>
      <c r="F13443" s="3277" t="s">
        <v>2519</v>
      </c>
      <c r="G13443" s="78"/>
    </row>
    <row r="13444" spans="1:11" ht="12.75" hidden="1" customHeight="1" outlineLevel="1" x14ac:dyDescent="0.25">
      <c r="A13444" s="1991">
        <v>0.02</v>
      </c>
      <c r="B13444" s="1921" t="s">
        <v>359</v>
      </c>
      <c r="C13444" s="2108">
        <v>127.105</v>
      </c>
      <c r="D13444" s="3278">
        <v>205.35</v>
      </c>
      <c r="E13444" s="3279">
        <v>0.61559340702568743</v>
      </c>
      <c r="F13444" s="3277">
        <v>1.2311868140513748E-2</v>
      </c>
      <c r="G13444" s="78"/>
      <c r="H13444" t="s">
        <v>360</v>
      </c>
      <c r="K13444" s="434"/>
    </row>
    <row r="13445" spans="1:11" ht="12.75" hidden="1" customHeight="1" outlineLevel="1" x14ac:dyDescent="0.25">
      <c r="A13445" s="2380">
        <v>0.08</v>
      </c>
      <c r="B13445" s="1921" t="s">
        <v>807</v>
      </c>
      <c r="C13445" s="2108">
        <v>49.456000000000003</v>
      </c>
      <c r="D13445" s="3280">
        <v>65.13</v>
      </c>
      <c r="E13445" s="3281">
        <v>0.31692817858298272</v>
      </c>
      <c r="F13445" s="3282">
        <v>2.5354254286638619E-2</v>
      </c>
      <c r="G13445" s="78"/>
      <c r="H13445" t="s">
        <v>808</v>
      </c>
      <c r="K13445" s="434"/>
    </row>
    <row r="13446" spans="1:11" ht="12.75" hidden="1" customHeight="1" outlineLevel="1" x14ac:dyDescent="0.25">
      <c r="A13446" s="2380">
        <v>0.02</v>
      </c>
      <c r="B13446" s="1921" t="s">
        <v>6078</v>
      </c>
      <c r="C13446" s="2108">
        <v>715.25</v>
      </c>
      <c r="D13446" s="3280">
        <v>507.8</v>
      </c>
      <c r="E13446" s="3281">
        <v>-0.29003844809507162</v>
      </c>
      <c r="F13446" s="3282">
        <v>-5.8007689619014322E-3</v>
      </c>
      <c r="G13446" s="78"/>
      <c r="H13446" t="s">
        <v>2354</v>
      </c>
      <c r="K13446" s="434"/>
    </row>
    <row r="13447" spans="1:11" ht="12.75" hidden="1" customHeight="1" outlineLevel="1" x14ac:dyDescent="0.25">
      <c r="A13447" s="2380">
        <v>7.0000000000000007E-2</v>
      </c>
      <c r="B13447" s="1921" t="s">
        <v>3954</v>
      </c>
      <c r="C13447" s="2108">
        <f>100.537/2</f>
        <v>50.268500000000003</v>
      </c>
      <c r="D13447" s="3280">
        <v>145.76</v>
      </c>
      <c r="E13447" s="3281">
        <v>0.44981449615564406</v>
      </c>
      <c r="F13447" s="3282">
        <v>3.1487014730895088E-2</v>
      </c>
      <c r="G13447" s="78"/>
      <c r="H13447" t="s">
        <v>3955</v>
      </c>
      <c r="K13447" s="434"/>
    </row>
    <row r="13448" spans="1:11" ht="12.75" hidden="1" customHeight="1" outlineLevel="1" x14ac:dyDescent="0.25">
      <c r="A13448" s="2380">
        <v>0.02</v>
      </c>
      <c r="B13448" s="1921" t="s">
        <v>4332</v>
      </c>
      <c r="C13448" s="2108">
        <v>311.58999999999997</v>
      </c>
      <c r="D13448" s="3280">
        <v>67.819999999999993</v>
      </c>
      <c r="E13448" s="3281">
        <v>-0.78234218042941039</v>
      </c>
      <c r="F13448" s="3282">
        <v>-1.5646843608588208E-2</v>
      </c>
      <c r="G13448" s="78"/>
      <c r="H13448" t="s">
        <v>4334</v>
      </c>
      <c r="K13448" s="434"/>
    </row>
    <row r="13449" spans="1:11" ht="12.75" hidden="1" customHeight="1" outlineLevel="1" x14ac:dyDescent="0.25">
      <c r="A13449" s="2380">
        <v>0.03</v>
      </c>
      <c r="B13449" s="1921" t="s">
        <v>6267</v>
      </c>
      <c r="C13449" s="2108">
        <v>24.93</v>
      </c>
      <c r="D13449" s="3280">
        <v>20.95</v>
      </c>
      <c r="E13449" s="3281">
        <v>-0.15964701163257122</v>
      </c>
      <c r="F13449" s="3282">
        <v>-4.7894103489771363E-3</v>
      </c>
      <c r="G13449" s="78"/>
      <c r="H13449" t="s">
        <v>6268</v>
      </c>
      <c r="K13449" s="434"/>
    </row>
    <row r="13450" spans="1:11" ht="12.75" hidden="1" customHeight="1" outlineLevel="1" x14ac:dyDescent="0.25">
      <c r="A13450" s="2380">
        <v>0.02</v>
      </c>
      <c r="B13450" s="1921" t="s">
        <v>3021</v>
      </c>
      <c r="C13450" s="2108">
        <v>19.48</v>
      </c>
      <c r="D13450" s="3280">
        <v>12.198</v>
      </c>
      <c r="E13450" s="3281">
        <v>-0.37381930184804923</v>
      </c>
      <c r="F13450" s="3282">
        <v>-7.4763860369609844E-3</v>
      </c>
      <c r="G13450" s="78"/>
      <c r="H13450" t="s">
        <v>4124</v>
      </c>
      <c r="K13450" s="434"/>
    </row>
    <row r="13451" spans="1:11" ht="12.75" hidden="1" customHeight="1" outlineLevel="1" x14ac:dyDescent="0.25">
      <c r="A13451" s="2380">
        <v>0.02</v>
      </c>
      <c r="B13451" s="1921" t="s">
        <v>7227</v>
      </c>
      <c r="C13451" s="2108">
        <v>19.662500000000001</v>
      </c>
      <c r="D13451" s="3280">
        <v>13</v>
      </c>
      <c r="E13451" s="3281">
        <v>-0.33884297520661166</v>
      </c>
      <c r="F13451" s="3282">
        <v>-6.776859504132233E-3</v>
      </c>
      <c r="G13451" s="78"/>
      <c r="H13451" t="s">
        <v>7229</v>
      </c>
      <c r="K13451" s="434"/>
    </row>
    <row r="13452" spans="1:11" ht="12.75" hidden="1" customHeight="1" outlineLevel="1" x14ac:dyDescent="0.25">
      <c r="A13452" s="2380">
        <v>0.05</v>
      </c>
      <c r="B13452" s="1921" t="s">
        <v>1386</v>
      </c>
      <c r="C13452" s="2108">
        <v>1426.3861259639066</v>
      </c>
      <c r="D13452" s="3280">
        <v>1618.6</v>
      </c>
      <c r="E13452" s="3281">
        <v>0.13475584944167984</v>
      </c>
      <c r="F13452" s="3282">
        <v>6.7377924720839928E-3</v>
      </c>
      <c r="G13452" s="78"/>
      <c r="H13452" t="s">
        <v>4128</v>
      </c>
      <c r="K13452" s="434"/>
    </row>
    <row r="13453" spans="1:11" ht="12.75" hidden="1" customHeight="1" outlineLevel="1" x14ac:dyDescent="0.25">
      <c r="A13453" s="2380">
        <v>0.02</v>
      </c>
      <c r="B13453" s="1921" t="s">
        <v>1771</v>
      </c>
      <c r="C13453" s="2108">
        <v>626.54999999999995</v>
      </c>
      <c r="D13453" s="3280">
        <v>448.25</v>
      </c>
      <c r="E13453" s="3281">
        <v>-0.28457425584550311</v>
      </c>
      <c r="F13453" s="3282">
        <v>-5.691485116910062E-3</v>
      </c>
      <c r="G13453" s="78"/>
      <c r="H13453" t="s">
        <v>4329</v>
      </c>
      <c r="K13453" s="434"/>
    </row>
    <row r="13454" spans="1:11" ht="12.75" hidden="1" customHeight="1" outlineLevel="1" x14ac:dyDescent="0.25">
      <c r="A13454" s="2380">
        <v>0.02</v>
      </c>
      <c r="B13454" s="1921" t="s">
        <v>3426</v>
      </c>
      <c r="C13454" s="2108">
        <v>101.54900000000001</v>
      </c>
      <c r="D13454" s="3280">
        <v>173.01</v>
      </c>
      <c r="E13454" s="3281">
        <v>0.70370953923721524</v>
      </c>
      <c r="F13454" s="3282">
        <v>1.4074190784744305E-2</v>
      </c>
      <c r="G13454" s="78"/>
      <c r="H13454" t="s">
        <v>4145</v>
      </c>
      <c r="K13454" s="434"/>
    </row>
    <row r="13455" spans="1:11" ht="12.75" hidden="1" customHeight="1" outlineLevel="1" x14ac:dyDescent="0.25">
      <c r="A13455" s="2380">
        <v>0.02</v>
      </c>
      <c r="B13455" s="1921" t="s">
        <v>4376</v>
      </c>
      <c r="C13455" s="2108">
        <v>58.338999999999999</v>
      </c>
      <c r="D13455" s="3280">
        <v>160.41</v>
      </c>
      <c r="E13455" s="3281">
        <v>1.7496186084780336</v>
      </c>
      <c r="F13455" s="3282">
        <v>3.4992372169560672E-2</v>
      </c>
      <c r="G13455" s="78"/>
      <c r="H13455" t="s">
        <v>4326</v>
      </c>
      <c r="K13455" s="434"/>
    </row>
    <row r="13456" spans="1:11" ht="12.75" hidden="1" customHeight="1" outlineLevel="1" x14ac:dyDescent="0.25">
      <c r="A13456" s="2380">
        <v>0.02</v>
      </c>
      <c r="B13456" s="1921" t="s">
        <v>1772</v>
      </c>
      <c r="C13456" s="2519">
        <v>161.17500000000001</v>
      </c>
      <c r="D13456" s="3280">
        <v>256.85000000000002</v>
      </c>
      <c r="E13456" s="3281">
        <v>0.59360943074298134</v>
      </c>
      <c r="F13456" s="3282">
        <v>1.1872188614859627E-2</v>
      </c>
      <c r="G13456" s="78"/>
      <c r="H13456" t="s">
        <v>4330</v>
      </c>
      <c r="K13456" s="434"/>
    </row>
    <row r="13457" spans="1:11" ht="12.75" hidden="1" customHeight="1" outlineLevel="1" x14ac:dyDescent="0.25">
      <c r="A13457" s="2380">
        <v>0.02</v>
      </c>
      <c r="B13457" s="1921" t="s">
        <v>6113</v>
      </c>
      <c r="C13457" s="2108">
        <v>867.94616307185061</v>
      </c>
      <c r="D13457" s="3280">
        <v>1043.8</v>
      </c>
      <c r="E13457" s="3281">
        <v>0.20260915297530002</v>
      </c>
      <c r="F13457" s="3282">
        <v>4.0521830595060008E-3</v>
      </c>
      <c r="G13457" s="78"/>
      <c r="H13457" t="s">
        <v>4195</v>
      </c>
      <c r="K13457" s="434"/>
    </row>
    <row r="13458" spans="1:11" ht="12.75" hidden="1" customHeight="1" outlineLevel="1" x14ac:dyDescent="0.25">
      <c r="A13458" s="2380">
        <v>0.02</v>
      </c>
      <c r="B13458" s="1921" t="s">
        <v>3958</v>
      </c>
      <c r="C13458" s="2108">
        <v>1127.0999999999999</v>
      </c>
      <c r="D13458" s="3280">
        <v>588.6</v>
      </c>
      <c r="E13458" s="3281">
        <v>-0.47777482033537388</v>
      </c>
      <c r="F13458" s="3282">
        <v>-9.5554964067074786E-3</v>
      </c>
      <c r="G13458" s="78"/>
      <c r="H13458" t="s">
        <v>3959</v>
      </c>
      <c r="K13458" s="434"/>
    </row>
    <row r="13459" spans="1:11" ht="12.75" hidden="1" customHeight="1" outlineLevel="1" x14ac:dyDescent="0.25">
      <c r="A13459" s="2380">
        <v>0.03</v>
      </c>
      <c r="B13459" s="1921" t="s">
        <v>1414</v>
      </c>
      <c r="C13459" s="2108">
        <v>29.681000000000001</v>
      </c>
      <c r="D13459" s="3280">
        <v>61.25</v>
      </c>
      <c r="E13459" s="3281">
        <v>1.0636097166537515</v>
      </c>
      <c r="F13459" s="3282">
        <v>3.1908291499612544E-2</v>
      </c>
      <c r="G13459" s="78"/>
      <c r="H13459" t="s">
        <v>2428</v>
      </c>
      <c r="K13459" s="434"/>
    </row>
    <row r="13460" spans="1:11" ht="12.75" hidden="1" customHeight="1" outlineLevel="1" x14ac:dyDescent="0.25">
      <c r="A13460" s="2380">
        <v>0.05</v>
      </c>
      <c r="B13460" s="1921" t="s">
        <v>3793</v>
      </c>
      <c r="C13460" s="2108">
        <v>83.921000000000006</v>
      </c>
      <c r="D13460" s="3280">
        <v>94.38</v>
      </c>
      <c r="E13460" s="3281">
        <v>0.12462911547765154</v>
      </c>
      <c r="F13460" s="3282">
        <v>6.2314557738825773E-3</v>
      </c>
      <c r="G13460" s="78"/>
      <c r="H13460" t="s">
        <v>3533</v>
      </c>
      <c r="K13460" s="434"/>
    </row>
    <row r="13461" spans="1:11" ht="12.75" hidden="1" customHeight="1" outlineLevel="1" x14ac:dyDescent="0.25">
      <c r="A13461" s="2380">
        <v>0.02</v>
      </c>
      <c r="B13461" s="1921" t="s">
        <v>6270</v>
      </c>
      <c r="C13461" s="2108">
        <v>37.557000000000002</v>
      </c>
      <c r="D13461" s="3280">
        <v>43.71</v>
      </c>
      <c r="E13461" s="3281">
        <v>0.16383097691508897</v>
      </c>
      <c r="F13461" s="3282">
        <v>3.2766195383017796E-3</v>
      </c>
      <c r="G13461" s="78"/>
      <c r="H13461" t="s">
        <v>8166</v>
      </c>
      <c r="K13461" s="434"/>
    </row>
    <row r="13462" spans="1:11" ht="12.75" hidden="1" customHeight="1" outlineLevel="1" x14ac:dyDescent="0.25">
      <c r="A13462" s="2380">
        <v>0.02</v>
      </c>
      <c r="B13462" s="1921" t="s">
        <v>6524</v>
      </c>
      <c r="C13462" s="2108">
        <v>92.82</v>
      </c>
      <c r="D13462" s="3280">
        <v>124.3</v>
      </c>
      <c r="E13462" s="3281">
        <v>0.3391510450333981</v>
      </c>
      <c r="F13462" s="3282">
        <v>6.7830209006679619E-3</v>
      </c>
      <c r="G13462" s="78"/>
      <c r="H13462" t="s">
        <v>6525</v>
      </c>
      <c r="K13462" s="434"/>
    </row>
    <row r="13463" spans="1:11" ht="12.75" hidden="1" customHeight="1" outlineLevel="1" x14ac:dyDescent="0.25">
      <c r="A13463" s="2380">
        <v>0.08</v>
      </c>
      <c r="B13463" s="1921" t="s">
        <v>6164</v>
      </c>
      <c r="C13463" s="2108">
        <v>3.6926465935271153</v>
      </c>
      <c r="D13463" s="3280">
        <v>5.1580000000000004</v>
      </c>
      <c r="E13463" s="3281">
        <v>0.39683012423705</v>
      </c>
      <c r="F13463" s="3282">
        <v>3.1746409938964E-2</v>
      </c>
      <c r="G13463" s="78"/>
      <c r="H13463" t="s">
        <v>6114</v>
      </c>
      <c r="K13463" s="434"/>
    </row>
    <row r="13464" spans="1:11" ht="12.75" hidden="1" customHeight="1" outlineLevel="1" x14ac:dyDescent="0.25">
      <c r="A13464" s="2380">
        <v>0.05</v>
      </c>
      <c r="B13464" s="1921" t="s">
        <v>1857</v>
      </c>
      <c r="C13464" s="2108">
        <v>1472.5</v>
      </c>
      <c r="D13464" s="3280">
        <v>1592</v>
      </c>
      <c r="E13464" s="3281">
        <v>8.115449915110351E-2</v>
      </c>
      <c r="F13464" s="3282">
        <v>4.0577249575551753E-3</v>
      </c>
      <c r="G13464" s="78"/>
      <c r="H13464" t="s">
        <v>3559</v>
      </c>
      <c r="K13464" s="434"/>
    </row>
    <row r="13465" spans="1:11" ht="12.75" hidden="1" customHeight="1" outlineLevel="1" x14ac:dyDescent="0.25">
      <c r="A13465" s="2380">
        <v>0.03</v>
      </c>
      <c r="B13465" s="1921" t="s">
        <v>3381</v>
      </c>
      <c r="C13465" s="2108">
        <v>183.86</v>
      </c>
      <c r="D13465" s="3280">
        <v>239.75</v>
      </c>
      <c r="E13465" s="3281">
        <v>0.30398129011204178</v>
      </c>
      <c r="F13465" s="3282">
        <v>9.1194387033612535E-3</v>
      </c>
      <c r="G13465" s="78"/>
      <c r="H13465" t="s">
        <v>9199</v>
      </c>
      <c r="K13465" s="434"/>
    </row>
    <row r="13466" spans="1:11" ht="12.75" hidden="1" customHeight="1" outlineLevel="1" x14ac:dyDescent="0.25">
      <c r="A13466" s="2380">
        <v>0.02</v>
      </c>
      <c r="B13466" s="1921" t="s">
        <v>6527</v>
      </c>
      <c r="C13466" s="2108">
        <v>105.69792461173743</v>
      </c>
      <c r="D13466" s="3280">
        <v>94.16</v>
      </c>
      <c r="E13466" s="3281">
        <v>-0.10915942440799997</v>
      </c>
      <c r="F13466" s="3282">
        <v>-2.1831884881599994E-3</v>
      </c>
      <c r="G13466" s="78"/>
      <c r="H13466" t="s">
        <v>6528</v>
      </c>
      <c r="K13466" s="434"/>
    </row>
    <row r="13467" spans="1:11" ht="12.75" hidden="1" customHeight="1" outlineLevel="1" x14ac:dyDescent="0.25">
      <c r="A13467" s="2380">
        <v>0.02</v>
      </c>
      <c r="B13467" s="1921" t="s">
        <v>1724</v>
      </c>
      <c r="C13467" s="2108">
        <v>178.09</v>
      </c>
      <c r="D13467" s="3280">
        <v>180.26</v>
      </c>
      <c r="E13467" s="3281">
        <v>1.2184850356561139E-2</v>
      </c>
      <c r="F13467" s="3282">
        <v>2.4369700713122277E-4</v>
      </c>
      <c r="G13467" s="78"/>
      <c r="H13467" t="s">
        <v>1725</v>
      </c>
      <c r="K13467" s="434"/>
    </row>
    <row r="13468" spans="1:11" ht="12.75" hidden="1" customHeight="1" outlineLevel="1" x14ac:dyDescent="0.25">
      <c r="A13468" s="2380">
        <v>0.02</v>
      </c>
      <c r="B13468" s="1921" t="s">
        <v>6118</v>
      </c>
      <c r="C13468" s="2108">
        <v>75.722327301044118</v>
      </c>
      <c r="D13468" s="3280">
        <v>89.28</v>
      </c>
      <c r="E13468" s="3281">
        <v>0.17904458542399992</v>
      </c>
      <c r="F13468" s="3282">
        <v>3.5808917084799987E-3</v>
      </c>
      <c r="G13468" s="78"/>
      <c r="H13468" t="s">
        <v>8893</v>
      </c>
      <c r="K13468" s="434"/>
    </row>
    <row r="13469" spans="1:11" ht="12.75" hidden="1" customHeight="1" outlineLevel="1" x14ac:dyDescent="0.25">
      <c r="A13469" s="2380">
        <v>0.08</v>
      </c>
      <c r="B13469" s="1921" t="s">
        <v>1239</v>
      </c>
      <c r="C13469" s="2108">
        <v>508.9</v>
      </c>
      <c r="D13469" s="3280">
        <v>519.79999999999995</v>
      </c>
      <c r="E13469" s="3281">
        <v>2.1418746315582604E-2</v>
      </c>
      <c r="F13469" s="3282">
        <v>1.7134997052466083E-3</v>
      </c>
      <c r="G13469" s="78"/>
      <c r="H13469" t="s">
        <v>8891</v>
      </c>
      <c r="K13469" s="434"/>
    </row>
    <row r="13470" spans="1:11" ht="12.75" hidden="1" customHeight="1" outlineLevel="1" x14ac:dyDescent="0.25">
      <c r="A13470" s="2380">
        <v>0.02</v>
      </c>
      <c r="B13470" s="1921" t="s">
        <v>577</v>
      </c>
      <c r="C13470" s="2108">
        <v>12.066265245189189</v>
      </c>
      <c r="D13470" s="3280">
        <v>3.823</v>
      </c>
      <c r="E13470" s="3281">
        <v>-0.68316625548040011</v>
      </c>
      <c r="F13470" s="3282">
        <v>-1.3663325109608002E-2</v>
      </c>
      <c r="G13470" s="78"/>
      <c r="H13470" t="s">
        <v>6732</v>
      </c>
      <c r="K13470" s="434"/>
    </row>
    <row r="13471" spans="1:11" ht="12.75" hidden="1" customHeight="1" outlineLevel="1" x14ac:dyDescent="0.25">
      <c r="A13471" s="2380">
        <v>0.02</v>
      </c>
      <c r="B13471" s="1921" t="s">
        <v>6165</v>
      </c>
      <c r="C13471" s="2108">
        <v>51.92</v>
      </c>
      <c r="D13471" s="3280">
        <v>34.590000000000003</v>
      </c>
      <c r="E13471" s="3281">
        <v>-0.33378274268104768</v>
      </c>
      <c r="F13471" s="3282">
        <v>-6.6756548536209539E-3</v>
      </c>
      <c r="G13471" s="78"/>
      <c r="H13471" t="s">
        <v>7745</v>
      </c>
      <c r="K13471" s="434"/>
    </row>
    <row r="13472" spans="1:11" ht="12.75" hidden="1" customHeight="1" outlineLevel="1" x14ac:dyDescent="0.25">
      <c r="A13472" s="2380">
        <v>0.02</v>
      </c>
      <c r="B13472" s="1921" t="s">
        <v>9301</v>
      </c>
      <c r="C13472" s="2108">
        <v>201.87</v>
      </c>
      <c r="D13472" s="3280">
        <v>56.93</v>
      </c>
      <c r="E13472" s="3281">
        <v>-0.71798682320305152</v>
      </c>
      <c r="F13472" s="3282">
        <v>-1.4359736464061031E-2</v>
      </c>
      <c r="G13472" s="78"/>
      <c r="H13472" t="s">
        <v>9302</v>
      </c>
      <c r="K13472" s="434"/>
    </row>
    <row r="13473" spans="1:11" ht="12.75" hidden="1" customHeight="1" outlineLevel="1" x14ac:dyDescent="0.25">
      <c r="A13473" s="2380">
        <v>7.0000000000000007E-2</v>
      </c>
      <c r="B13473" s="2109" t="s">
        <v>4550</v>
      </c>
      <c r="C13473" s="2108">
        <v>269.05</v>
      </c>
      <c r="D13473" s="3283">
        <v>391.2</v>
      </c>
      <c r="E13473" s="3281">
        <v>0.45400483181564755</v>
      </c>
      <c r="F13473" s="3282">
        <v>3.1780338227095334E-2</v>
      </c>
      <c r="G13473" s="78"/>
      <c r="H13473" t="s">
        <v>8889</v>
      </c>
      <c r="K13473" s="434"/>
    </row>
    <row r="13474" spans="1:11" ht="12.75" hidden="1" customHeight="1" outlineLevel="1" x14ac:dyDescent="0.25">
      <c r="A13474" s="2181" t="s">
        <v>2734</v>
      </c>
      <c r="B13474" s="2103"/>
      <c r="C13474" s="3258"/>
      <c r="D13474" s="3259"/>
      <c r="E13474" s="3284"/>
      <c r="F13474" s="3277">
        <v>0.17870409731947304</v>
      </c>
      <c r="G13474" s="78"/>
    </row>
    <row r="13475" spans="1:11" ht="12.75" hidden="1" customHeight="1" outlineLevel="1" x14ac:dyDescent="0.25">
      <c r="A13475" s="1956" t="s">
        <v>6506</v>
      </c>
      <c r="B13475" s="2185">
        <v>43405</v>
      </c>
      <c r="C13475" s="3261">
        <v>100</v>
      </c>
      <c r="D13475" s="3261">
        <v>104.6973</v>
      </c>
      <c r="E13475" s="3262">
        <v>4.6972999999999931E-2</v>
      </c>
      <c r="F13475" s="3285"/>
      <c r="G13475" s="78"/>
    </row>
    <row r="13476" spans="1:11" ht="12.75" hidden="1" customHeight="1" outlineLevel="1" x14ac:dyDescent="0.25">
      <c r="A13476" s="1956" t="s">
        <v>6507</v>
      </c>
      <c r="B13476" s="2185">
        <v>43435</v>
      </c>
      <c r="C13476" s="3261">
        <v>100</v>
      </c>
      <c r="D13476" s="3264">
        <v>98.293599999999998</v>
      </c>
      <c r="E13476" s="3262">
        <v>-1.7063999999999968E-2</v>
      </c>
      <c r="F13476" s="3285"/>
      <c r="G13476" s="78"/>
    </row>
    <row r="13477" spans="1:11" ht="12.75" hidden="1" customHeight="1" outlineLevel="1" x14ac:dyDescent="0.25">
      <c r="A13477" s="1956" t="s">
        <v>6508</v>
      </c>
      <c r="B13477" s="2185">
        <v>43466</v>
      </c>
      <c r="C13477" s="3261">
        <v>100</v>
      </c>
      <c r="D13477" s="3264">
        <v>103.46899999999999</v>
      </c>
      <c r="E13477" s="3262">
        <v>3.4689999999999888E-2</v>
      </c>
      <c r="F13477" s="3285"/>
      <c r="G13477" s="78"/>
    </row>
    <row r="13478" spans="1:11" ht="12.75" hidden="1" customHeight="1" outlineLevel="1" x14ac:dyDescent="0.25">
      <c r="A13478" s="1956" t="s">
        <v>6509</v>
      </c>
      <c r="B13478" s="2185">
        <v>43497</v>
      </c>
      <c r="C13478" s="3261">
        <v>100</v>
      </c>
      <c r="D13478" s="3264">
        <v>105.2201</v>
      </c>
      <c r="E13478" s="3262">
        <v>5.2200999999999942E-2</v>
      </c>
      <c r="F13478" s="3285"/>
      <c r="G13478" s="78"/>
    </row>
    <row r="13479" spans="1:11" ht="12.75" hidden="1" customHeight="1" outlineLevel="1" x14ac:dyDescent="0.25">
      <c r="A13479" s="1956" t="s">
        <v>6510</v>
      </c>
      <c r="B13479" s="2185">
        <v>43525</v>
      </c>
      <c r="C13479" s="3261">
        <v>100</v>
      </c>
      <c r="D13479" s="3264">
        <v>105.3348</v>
      </c>
      <c r="E13479" s="3262">
        <v>5.3347999999999951E-2</v>
      </c>
      <c r="F13479" s="3285"/>
      <c r="G13479" s="78"/>
    </row>
    <row r="13480" spans="1:11" ht="12.75" hidden="1" customHeight="1" outlineLevel="1" x14ac:dyDescent="0.25">
      <c r="A13480" s="1956" t="s">
        <v>6511</v>
      </c>
      <c r="B13480" s="2185">
        <v>43556</v>
      </c>
      <c r="C13480" s="3261">
        <v>100</v>
      </c>
      <c r="D13480" s="3264">
        <v>106.5629</v>
      </c>
      <c r="E13480" s="3262">
        <v>6.5628999999999937E-2</v>
      </c>
      <c r="F13480" s="3285"/>
      <c r="G13480" s="78"/>
    </row>
    <row r="13481" spans="1:11" ht="12.75" hidden="1" customHeight="1" outlineLevel="1" x14ac:dyDescent="0.25">
      <c r="A13481" s="1956" t="s">
        <v>6512</v>
      </c>
      <c r="B13481" s="2185">
        <v>43586</v>
      </c>
      <c r="C13481" s="3261">
        <v>100</v>
      </c>
      <c r="D13481" s="3264">
        <v>102.07550000000001</v>
      </c>
      <c r="E13481" s="3262">
        <v>2.0755000000000079E-2</v>
      </c>
      <c r="F13481" s="3285"/>
      <c r="G13481" s="78"/>
    </row>
    <row r="13482" spans="1:11" ht="12.75" hidden="1" customHeight="1" outlineLevel="1" x14ac:dyDescent="0.25">
      <c r="A13482" s="1956" t="s">
        <v>6513</v>
      </c>
      <c r="B13482" s="2185">
        <v>43617</v>
      </c>
      <c r="C13482" s="3261">
        <v>100</v>
      </c>
      <c r="D13482" s="3264">
        <v>103.97190000000001</v>
      </c>
      <c r="E13482" s="3262">
        <v>3.971900000000006E-2</v>
      </c>
      <c r="F13482" s="3285"/>
      <c r="G13482" s="78"/>
    </row>
    <row r="13483" spans="1:11" ht="12.75" hidden="1" customHeight="1" outlineLevel="1" x14ac:dyDescent="0.25">
      <c r="A13483" s="1956" t="s">
        <v>6514</v>
      </c>
      <c r="B13483" s="2185">
        <v>43647</v>
      </c>
      <c r="C13483" s="3261">
        <v>100</v>
      </c>
      <c r="D13483" s="3264">
        <v>103.3049</v>
      </c>
      <c r="E13483" s="3262">
        <v>3.3049000000000106E-2</v>
      </c>
      <c r="F13483" s="3285"/>
      <c r="G13483" s="78"/>
    </row>
    <row r="13484" spans="1:11" ht="12.75" hidden="1" customHeight="1" outlineLevel="1" x14ac:dyDescent="0.25">
      <c r="A13484" s="1956" t="s">
        <v>6515</v>
      </c>
      <c r="B13484" s="2185">
        <v>43678</v>
      </c>
      <c r="C13484" s="3261">
        <v>100</v>
      </c>
      <c r="D13484" s="3264">
        <v>102.437</v>
      </c>
      <c r="E13484" s="3262">
        <v>2.4370000000000003E-2</v>
      </c>
      <c r="F13484" s="3285"/>
      <c r="G13484" s="78"/>
    </row>
    <row r="13485" spans="1:11" ht="12.75" hidden="1" customHeight="1" outlineLevel="1" x14ac:dyDescent="0.25">
      <c r="A13485" s="1956" t="s">
        <v>6516</v>
      </c>
      <c r="B13485" s="2185">
        <v>43709</v>
      </c>
      <c r="C13485" s="3261">
        <v>100</v>
      </c>
      <c r="D13485" s="3264">
        <v>107.12269999999999</v>
      </c>
      <c r="E13485" s="3262">
        <v>7.1226999999999929E-2</v>
      </c>
      <c r="F13485" s="3285"/>
      <c r="G13485" s="78"/>
    </row>
    <row r="13486" spans="1:11" ht="12.75" hidden="1" customHeight="1" outlineLevel="1" x14ac:dyDescent="0.25">
      <c r="A13486" s="1956" t="s">
        <v>6517</v>
      </c>
      <c r="B13486" s="2185">
        <v>43739</v>
      </c>
      <c r="C13486" s="3261">
        <v>100</v>
      </c>
      <c r="D13486" s="3264">
        <v>108.523</v>
      </c>
      <c r="E13486" s="3262">
        <v>8.5229999999999917E-2</v>
      </c>
      <c r="F13486" s="3285"/>
      <c r="G13486" s="78"/>
    </row>
    <row r="13487" spans="1:11" ht="12.75" hidden="1" customHeight="1" outlineLevel="1" x14ac:dyDescent="0.25">
      <c r="A13487" s="1956" t="s">
        <v>6518</v>
      </c>
      <c r="B13487" s="2185">
        <v>43770</v>
      </c>
      <c r="C13487" s="3261">
        <v>100</v>
      </c>
      <c r="D13487" s="3264">
        <v>109.2976</v>
      </c>
      <c r="E13487" s="3262">
        <v>9.2975999999999948E-2</v>
      </c>
      <c r="F13487" s="3285"/>
      <c r="G13487" s="78"/>
    </row>
    <row r="13488" spans="1:11" ht="12.75" hidden="1" customHeight="1" outlineLevel="1" x14ac:dyDescent="0.25">
      <c r="A13488" s="1956" t="s">
        <v>6519</v>
      </c>
      <c r="B13488" s="2185">
        <v>43800</v>
      </c>
      <c r="C13488" s="3261">
        <v>100</v>
      </c>
      <c r="D13488" s="3264">
        <v>110.71729999999999</v>
      </c>
      <c r="E13488" s="3262">
        <v>0.10717299999999996</v>
      </c>
      <c r="F13488" s="3285"/>
      <c r="G13488" s="78"/>
    </row>
    <row r="13489" spans="1:17" ht="12.75" hidden="1" customHeight="1" outlineLevel="1" x14ac:dyDescent="0.25">
      <c r="A13489" s="1956" t="s">
        <v>6520</v>
      </c>
      <c r="B13489" s="2185">
        <v>43831</v>
      </c>
      <c r="C13489" s="3261">
        <v>100</v>
      </c>
      <c r="D13489" s="3264">
        <v>111.25830000000001</v>
      </c>
      <c r="E13489" s="3262">
        <v>0.1125830000000001</v>
      </c>
      <c r="F13489" s="3285"/>
      <c r="G13489" s="78"/>
    </row>
    <row r="13490" spans="1:17" ht="12.75" hidden="1" customHeight="1" outlineLevel="1" x14ac:dyDescent="0.25">
      <c r="A13490" s="1956" t="s">
        <v>6521</v>
      </c>
      <c r="B13490" s="2185">
        <v>43862</v>
      </c>
      <c r="C13490" s="3261">
        <v>100</v>
      </c>
      <c r="D13490" s="3264">
        <v>103.4449</v>
      </c>
      <c r="E13490" s="3262">
        <v>3.4448999999999952E-2</v>
      </c>
      <c r="F13490" s="3285"/>
      <c r="G13490" s="78"/>
    </row>
    <row r="13491" spans="1:17" ht="12.75" hidden="1" customHeight="1" outlineLevel="1" x14ac:dyDescent="0.25">
      <c r="A13491" s="1956" t="s">
        <v>6522</v>
      </c>
      <c r="B13491" s="2185">
        <v>43891</v>
      </c>
      <c r="C13491" s="3261">
        <v>100</v>
      </c>
      <c r="D13491" s="3264">
        <v>91.381299999999996</v>
      </c>
      <c r="E13491" s="3262">
        <v>-8.6187000000000014E-2</v>
      </c>
      <c r="F13491" s="3285"/>
      <c r="G13491" s="78"/>
    </row>
    <row r="13492" spans="1:17" ht="12.75" hidden="1" customHeight="1" outlineLevel="1" x14ac:dyDescent="0.25">
      <c r="A13492" s="1956" t="s">
        <v>6523</v>
      </c>
      <c r="B13492" s="2185">
        <v>43922</v>
      </c>
      <c r="C13492" s="3261">
        <v>100</v>
      </c>
      <c r="D13492" s="3264">
        <v>92.606399999999994</v>
      </c>
      <c r="E13492" s="3262">
        <v>-7.3936000000000113E-2</v>
      </c>
      <c r="F13492" s="3285"/>
      <c r="G13492" s="78"/>
    </row>
    <row r="13493" spans="1:17" ht="12.75" hidden="1" customHeight="1" outlineLevel="1" x14ac:dyDescent="0.25">
      <c r="A13493" s="2189" t="s">
        <v>2734</v>
      </c>
      <c r="B13493" s="2190"/>
      <c r="C13493" s="3264"/>
      <c r="D13493" s="2191" t="s">
        <v>2465</v>
      </c>
      <c r="E13493" s="1987">
        <v>3.8732499999999975E-2</v>
      </c>
      <c r="F13493" s="2192">
        <v>3.8732499999999975E-2</v>
      </c>
      <c r="G13493" s="78"/>
    </row>
    <row r="13494" spans="1:17" collapsed="1" x14ac:dyDescent="0.25">
      <c r="A13494" s="3801" t="s">
        <v>6505</v>
      </c>
      <c r="B13494" s="3802"/>
      <c r="C13494" s="3802"/>
      <c r="D13494" s="3802"/>
      <c r="E13494" s="1906"/>
      <c r="F13494" s="1907">
        <v>3.8732499999999975E-2</v>
      </c>
      <c r="G13494" s="78"/>
    </row>
    <row r="13496" spans="1:17" ht="12.75" hidden="1" customHeight="1" outlineLevel="1" x14ac:dyDescent="0.25">
      <c r="A13496" s="2835" t="s">
        <v>113</v>
      </c>
      <c r="B13496" s="2835" t="s">
        <v>114</v>
      </c>
      <c r="C13496" s="2835" t="s">
        <v>112</v>
      </c>
      <c r="D13496" s="2835" t="s">
        <v>116</v>
      </c>
      <c r="E13496" s="2835" t="s">
        <v>117</v>
      </c>
      <c r="F13496" s="2836" t="s">
        <v>121</v>
      </c>
      <c r="G13496" s="78"/>
    </row>
    <row r="13497" spans="1:17" ht="12.75" hidden="1" customHeight="1" outlineLevel="1" x14ac:dyDescent="0.25">
      <c r="A13497" s="2837">
        <v>1</v>
      </c>
      <c r="B13497" s="2838" t="s">
        <v>252</v>
      </c>
      <c r="C13497" s="2839">
        <v>100</v>
      </c>
      <c r="D13497" s="2839"/>
      <c r="E13497" s="2840"/>
      <c r="F13497" s="2841"/>
      <c r="G13497" s="78"/>
    </row>
    <row r="13498" spans="1:17" ht="12.75" hidden="1" customHeight="1" outlineLevel="1" x14ac:dyDescent="0.25">
      <c r="A13498" s="2842" t="s">
        <v>2734</v>
      </c>
      <c r="B13498" s="2842"/>
      <c r="C13498" s="2843"/>
      <c r="D13498" s="1900" t="s">
        <v>3702</v>
      </c>
      <c r="E13498" s="2844">
        <v>43889</v>
      </c>
      <c r="F13498" s="2845"/>
      <c r="G13498" s="78"/>
      <c r="I13498" s="3071">
        <v>2</v>
      </c>
      <c r="J13498" s="3072" t="s">
        <v>252</v>
      </c>
      <c r="K13498" s="1813"/>
      <c r="L13498" s="1813"/>
      <c r="M13498" s="1813"/>
      <c r="N13498" s="1813"/>
      <c r="O13498" s="1813"/>
    </row>
    <row r="13499" spans="1:17" ht="12.75" hidden="1" customHeight="1" outlineLevel="1" x14ac:dyDescent="0.3">
      <c r="A13499" s="2835" t="s">
        <v>4156</v>
      </c>
      <c r="B13499" s="2835" t="s">
        <v>4153</v>
      </c>
      <c r="C13499" s="2846" t="s">
        <v>112</v>
      </c>
      <c r="D13499" s="2847" t="s">
        <v>4155</v>
      </c>
      <c r="E13499" s="2835" t="s">
        <v>4154</v>
      </c>
      <c r="F13499" s="2848" t="s">
        <v>2519</v>
      </c>
      <c r="G13499" s="78"/>
      <c r="I13499" s="3073" t="s">
        <v>4156</v>
      </c>
      <c r="J13499" s="3074" t="s">
        <v>5272</v>
      </c>
      <c r="K13499" s="3075" t="s">
        <v>112</v>
      </c>
      <c r="L13499" s="3073" t="s">
        <v>6972</v>
      </c>
      <c r="M13499" s="3073" t="s">
        <v>4154</v>
      </c>
      <c r="N13499" s="3076" t="s">
        <v>2519</v>
      </c>
      <c r="O13499" s="2461"/>
    </row>
    <row r="13500" spans="1:17" ht="12.75" hidden="1" customHeight="1" outlineLevel="1" x14ac:dyDescent="0.25">
      <c r="A13500" s="1991">
        <v>0.02</v>
      </c>
      <c r="B13500" s="1921" t="s">
        <v>3998</v>
      </c>
      <c r="C13500" s="2108">
        <v>35.944000000000003</v>
      </c>
      <c r="D13500" s="2849">
        <v>35.22</v>
      </c>
      <c r="E13500" s="2850">
        <v>-2.0142443801469012E-2</v>
      </c>
      <c r="F13500" s="2848">
        <v>-4.0284887602938025E-4</v>
      </c>
      <c r="G13500" s="78"/>
      <c r="H13500" t="s">
        <v>4000</v>
      </c>
      <c r="I13500" s="3077">
        <v>0.1</v>
      </c>
      <c r="J13500" s="2461" t="s">
        <v>1164</v>
      </c>
      <c r="K13500" s="2461">
        <v>343.81599999999997</v>
      </c>
      <c r="L13500" s="2461">
        <v>435.512</v>
      </c>
      <c r="M13500" s="3078">
        <v>0.26670079344765818</v>
      </c>
      <c r="N13500" s="3079">
        <v>2.6670079344765819E-2</v>
      </c>
      <c r="O13500" s="2461" t="s">
        <v>915</v>
      </c>
      <c r="Q13500" s="434"/>
    </row>
    <row r="13501" spans="1:17" ht="12.75" hidden="1" customHeight="1" outlineLevel="1" x14ac:dyDescent="0.25">
      <c r="A13501" s="2380">
        <v>0.03</v>
      </c>
      <c r="B13501" s="1921" t="s">
        <v>805</v>
      </c>
      <c r="C13501" s="2108">
        <v>80.251999999999995</v>
      </c>
      <c r="D13501" s="2851">
        <v>91.21</v>
      </c>
      <c r="E13501" s="2852">
        <v>0.13654488361660766</v>
      </c>
      <c r="F13501" s="2853">
        <v>4.0963465084982295E-3</v>
      </c>
      <c r="G13501" s="78"/>
      <c r="H13501" t="s">
        <v>806</v>
      </c>
      <c r="I13501" s="3077">
        <v>0.1</v>
      </c>
      <c r="J13501" s="2461" t="s">
        <v>6551</v>
      </c>
      <c r="K13501" s="2461">
        <v>95.100499999999997</v>
      </c>
      <c r="L13501" s="2461">
        <v>125.46</v>
      </c>
      <c r="M13501" s="3078">
        <v>0.31923596616211269</v>
      </c>
      <c r="N13501" s="3079">
        <v>3.1923596616211268E-2</v>
      </c>
      <c r="O13501" s="2461" t="s">
        <v>6550</v>
      </c>
      <c r="Q13501" s="434"/>
    </row>
    <row r="13502" spans="1:17" ht="12.75" hidden="1" customHeight="1" outlineLevel="1" x14ac:dyDescent="0.25">
      <c r="A13502" s="2380">
        <v>0.08</v>
      </c>
      <c r="B13502" s="1921" t="s">
        <v>807</v>
      </c>
      <c r="C13502" s="2108">
        <v>48.548000000000002</v>
      </c>
      <c r="D13502" s="2851">
        <v>58.95</v>
      </c>
      <c r="E13502" s="2852">
        <v>0.21426217351899157</v>
      </c>
      <c r="F13502" s="2853">
        <v>1.7140973881519327E-2</v>
      </c>
      <c r="G13502" s="78"/>
      <c r="H13502" t="s">
        <v>808</v>
      </c>
      <c r="I13502" s="3077">
        <v>0.1</v>
      </c>
      <c r="J13502" s="2461" t="s">
        <v>6554</v>
      </c>
      <c r="K13502" s="2461">
        <v>50.886499999999998</v>
      </c>
      <c r="L13502" s="2461">
        <v>61.4</v>
      </c>
      <c r="M13502" s="3078">
        <v>0.20660686036571585</v>
      </c>
      <c r="N13502" s="3079">
        <v>2.0660686036571587E-2</v>
      </c>
      <c r="O13502" s="2461" t="s">
        <v>6552</v>
      </c>
      <c r="Q13502" s="434"/>
    </row>
    <row r="13503" spans="1:17" ht="12.75" hidden="1" customHeight="1" outlineLevel="1" x14ac:dyDescent="0.25">
      <c r="A13503" s="2380">
        <v>0.02</v>
      </c>
      <c r="B13503" s="1921" t="s">
        <v>2353</v>
      </c>
      <c r="C13503" s="2108">
        <v>693.9</v>
      </c>
      <c r="D13503" s="2851">
        <v>501</v>
      </c>
      <c r="E13503" s="2852">
        <v>-0.27799394725464766</v>
      </c>
      <c r="F13503" s="2853">
        <v>-5.5598789450929534E-3</v>
      </c>
      <c r="G13503" s="78"/>
      <c r="H13503" t="s">
        <v>2354</v>
      </c>
      <c r="I13503" s="3077">
        <v>0.1</v>
      </c>
      <c r="J13503" s="2461" t="s">
        <v>160</v>
      </c>
      <c r="K13503" s="2461">
        <v>80.069999999999993</v>
      </c>
      <c r="L13503" s="2461">
        <v>86.5</v>
      </c>
      <c r="M13503" s="3078">
        <v>8.0304733358311564E-2</v>
      </c>
      <c r="N13503" s="3079">
        <v>8.0304733358311561E-3</v>
      </c>
      <c r="O13503" s="2461" t="s">
        <v>1056</v>
      </c>
      <c r="Q13503" s="434"/>
    </row>
    <row r="13504" spans="1:17" ht="12.75" hidden="1" customHeight="1" outlineLevel="1" x14ac:dyDescent="0.25">
      <c r="A13504" s="2380">
        <v>0.08</v>
      </c>
      <c r="B13504" s="1921" t="s">
        <v>3954</v>
      </c>
      <c r="C13504" s="2108">
        <v>98.066000000000003</v>
      </c>
      <c r="D13504" s="2851">
        <v>102.16</v>
      </c>
      <c r="E13504" s="2852">
        <v>4.1747394611791888E-2</v>
      </c>
      <c r="F13504" s="2853">
        <v>3.3397915689433511E-3</v>
      </c>
      <c r="G13504" s="78"/>
      <c r="H13504" t="s">
        <v>3955</v>
      </c>
      <c r="I13504" s="3077">
        <v>0.1</v>
      </c>
      <c r="J13504" s="2461" t="s">
        <v>159</v>
      </c>
      <c r="K13504" s="2461">
        <v>579.98699999999997</v>
      </c>
      <c r="L13504" s="2461">
        <v>521.99</v>
      </c>
      <c r="M13504" s="3078">
        <v>-9.9997068899820074E-2</v>
      </c>
      <c r="N13504" s="3079">
        <v>-9.9997068899820088E-3</v>
      </c>
      <c r="O13504" s="2461" t="s">
        <v>6555</v>
      </c>
      <c r="Q13504" s="434"/>
    </row>
    <row r="13505" spans="1:17" ht="12.75" hidden="1" customHeight="1" outlineLevel="1" x14ac:dyDescent="0.25">
      <c r="A13505" s="2380">
        <v>0.02</v>
      </c>
      <c r="B13505" s="1921" t="s">
        <v>6079</v>
      </c>
      <c r="C13505" s="2108">
        <v>56.441000000000003</v>
      </c>
      <c r="D13505" s="2851">
        <v>78.819999999999993</v>
      </c>
      <c r="E13505" s="2852">
        <v>0.39650254247798578</v>
      </c>
      <c r="F13505" s="2853">
        <v>7.9300508495597152E-3</v>
      </c>
      <c r="G13505" s="78"/>
      <c r="H13505" t="s">
        <v>1320</v>
      </c>
      <c r="I13505" s="3077">
        <v>0.1</v>
      </c>
      <c r="J13505" s="2461" t="s">
        <v>52</v>
      </c>
      <c r="K13505" s="2461">
        <v>189.50800000000001</v>
      </c>
      <c r="L13505" s="2461">
        <v>164.494</v>
      </c>
      <c r="M13505" s="3078">
        <v>-0.13199442767587655</v>
      </c>
      <c r="N13505" s="3079">
        <v>-1.3199442767587655E-2</v>
      </c>
      <c r="O13505" s="2461" t="s">
        <v>4130</v>
      </c>
      <c r="Q13505" s="434"/>
    </row>
    <row r="13506" spans="1:17" ht="12.75" hidden="1" customHeight="1" outlineLevel="1" x14ac:dyDescent="0.25">
      <c r="A13506" s="2380">
        <v>0.02</v>
      </c>
      <c r="B13506" s="1921" t="s">
        <v>6161</v>
      </c>
      <c r="C13506" s="2108">
        <v>11932.5</v>
      </c>
      <c r="D13506" s="2851">
        <v>10975</v>
      </c>
      <c r="E13506" s="2852">
        <v>-8.0243033731405844E-2</v>
      </c>
      <c r="F13506" s="2853">
        <v>-1.6048606746281169E-3</v>
      </c>
      <c r="G13506" s="78"/>
      <c r="H13506" t="s">
        <v>6159</v>
      </c>
      <c r="I13506" s="3077">
        <v>0.1</v>
      </c>
      <c r="J13506" s="2461" t="s">
        <v>1001</v>
      </c>
      <c r="K13506" s="2461">
        <v>42.714500000000001</v>
      </c>
      <c r="L13506" s="2461">
        <v>44.354999999999997</v>
      </c>
      <c r="M13506" s="3078">
        <v>3.8406161841997299E-2</v>
      </c>
      <c r="N13506" s="3079">
        <v>3.8406161841997299E-3</v>
      </c>
      <c r="O13506" s="2461" t="s">
        <v>8270</v>
      </c>
      <c r="Q13506" s="434"/>
    </row>
    <row r="13507" spans="1:17" ht="12.75" hidden="1" customHeight="1" outlineLevel="1" x14ac:dyDescent="0.25">
      <c r="A13507" s="2380">
        <v>0.02</v>
      </c>
      <c r="B13507" s="1921" t="s">
        <v>3021</v>
      </c>
      <c r="C13507" s="2108">
        <v>19.584</v>
      </c>
      <c r="D13507" s="2851">
        <v>11.157999999999999</v>
      </c>
      <c r="E13507" s="2852">
        <v>-0.43024918300653592</v>
      </c>
      <c r="F13507" s="2853">
        <v>-8.6049836601307193E-3</v>
      </c>
      <c r="G13507" s="78"/>
      <c r="H13507" t="s">
        <v>4124</v>
      </c>
      <c r="I13507" s="3077">
        <v>0.1</v>
      </c>
      <c r="J13507" s="2461" t="s">
        <v>1002</v>
      </c>
      <c r="K13507" s="2461">
        <v>40.335999999999999</v>
      </c>
      <c r="L13507" s="2461">
        <v>40.136000000000003</v>
      </c>
      <c r="M13507" s="3078">
        <v>-4.9583498611660559E-3</v>
      </c>
      <c r="N13507" s="3079">
        <v>-4.9583498611660559E-4</v>
      </c>
      <c r="O13507" s="2461" t="s">
        <v>6557</v>
      </c>
      <c r="Q13507" s="434"/>
    </row>
    <row r="13508" spans="1:17" ht="12.75" hidden="1" customHeight="1" outlineLevel="1" x14ac:dyDescent="0.25">
      <c r="A13508" s="2380">
        <v>0.02</v>
      </c>
      <c r="B13508" s="1921" t="s">
        <v>5232</v>
      </c>
      <c r="C13508" s="2108">
        <v>77.772999999999996</v>
      </c>
      <c r="D13508" s="2851">
        <v>116.91</v>
      </c>
      <c r="E13508" s="2852">
        <v>0.50322091214174591</v>
      </c>
      <c r="F13508" s="2853">
        <v>1.0064418242834919E-2</v>
      </c>
      <c r="G13508" s="78"/>
      <c r="H13508" t="s">
        <v>5230</v>
      </c>
      <c r="I13508" s="3077">
        <v>0.1</v>
      </c>
      <c r="J13508" s="2461" t="s">
        <v>6559</v>
      </c>
      <c r="K13508" s="2461">
        <v>79.832999999999998</v>
      </c>
      <c r="L13508" s="2461">
        <v>62.765999999999998</v>
      </c>
      <c r="M13508" s="3078">
        <v>-0.21378377362744727</v>
      </c>
      <c r="N13508" s="3079">
        <v>-2.1378377362744727E-2</v>
      </c>
      <c r="O13508" s="2461" t="s">
        <v>6558</v>
      </c>
      <c r="Q13508" s="434"/>
    </row>
    <row r="13509" spans="1:17" ht="12.75" hidden="1" customHeight="1" outlineLevel="1" x14ac:dyDescent="0.25">
      <c r="A13509" s="2380">
        <v>0.03</v>
      </c>
      <c r="B13509" s="1921" t="s">
        <v>7227</v>
      </c>
      <c r="C13509" s="2108">
        <v>19.760999999999999</v>
      </c>
      <c r="D13509" s="2851">
        <v>15.03</v>
      </c>
      <c r="E13509" s="2852">
        <v>-0.23941096098375592</v>
      </c>
      <c r="F13509" s="2853">
        <v>-7.1823288295126773E-3</v>
      </c>
      <c r="G13509" s="78"/>
      <c r="H13509" t="s">
        <v>7229</v>
      </c>
      <c r="I13509" s="3077">
        <v>0.1</v>
      </c>
      <c r="J13509" s="2461" t="s">
        <v>161</v>
      </c>
      <c r="K13509" s="2461">
        <v>1308500</v>
      </c>
      <c r="L13509" s="2461">
        <v>1266400</v>
      </c>
      <c r="M13509" s="3078">
        <v>-3.2174245319067651E-2</v>
      </c>
      <c r="N13509" s="3079">
        <v>-3.2174245319067651E-3</v>
      </c>
      <c r="O13509" s="2461" t="e">
        <v>#N/A</v>
      </c>
      <c r="Q13509" s="434"/>
    </row>
    <row r="13510" spans="1:17" ht="12.75" hidden="1" customHeight="1" outlineLevel="1" x14ac:dyDescent="0.25">
      <c r="A13510" s="2380">
        <v>0.03</v>
      </c>
      <c r="B13510" s="1921" t="s">
        <v>1386</v>
      </c>
      <c r="C13510" s="2108">
        <v>1534.7660398530559</v>
      </c>
      <c r="D13510" s="2851">
        <v>1562.2</v>
      </c>
      <c r="E13510" s="2852">
        <v>1.787501119686663E-2</v>
      </c>
      <c r="F13510" s="2853">
        <v>5.3625033590599892E-4</v>
      </c>
      <c r="G13510" s="78"/>
      <c r="H13510" t="s">
        <v>4128</v>
      </c>
      <c r="N13510" s="406">
        <v>4.2834664979241807E-2</v>
      </c>
      <c r="Q13510" s="434"/>
    </row>
    <row r="13511" spans="1:17" ht="12.75" hidden="1" customHeight="1" outlineLevel="1" x14ac:dyDescent="0.25">
      <c r="A13511" s="2380">
        <v>0.02</v>
      </c>
      <c r="B13511" s="1921" t="s">
        <v>6530</v>
      </c>
      <c r="C13511" s="2108">
        <v>37.788133216811104</v>
      </c>
      <c r="D13511" s="2851">
        <v>31.64</v>
      </c>
      <c r="E13511" s="2852">
        <v>-0.16270010432999993</v>
      </c>
      <c r="F13511" s="2853">
        <v>-3.2540020865999986E-3</v>
      </c>
      <c r="G13511" s="78"/>
      <c r="H13511" t="s">
        <v>10140</v>
      </c>
      <c r="Q13511" s="434"/>
    </row>
    <row r="13512" spans="1:17" ht="12.75" hidden="1" customHeight="1" outlineLevel="1" x14ac:dyDescent="0.25">
      <c r="A13512" s="2380">
        <v>0.02</v>
      </c>
      <c r="B13512" s="1921" t="s">
        <v>6163</v>
      </c>
      <c r="C13512" s="2519">
        <v>63.087000000000003</v>
      </c>
      <c r="D13512" s="2851">
        <v>74.819999999999993</v>
      </c>
      <c r="E13512" s="2852">
        <v>0.18598126396880477</v>
      </c>
      <c r="F13512" s="2853">
        <v>3.7196252793760954E-3</v>
      </c>
      <c r="G13512" s="78"/>
      <c r="H13512" t="s">
        <v>9170</v>
      </c>
      <c r="Q13512" s="434"/>
    </row>
    <row r="13513" spans="1:17" ht="12.75" hidden="1" customHeight="1" outlineLevel="1" x14ac:dyDescent="0.25">
      <c r="A13513" s="2380">
        <v>0.02</v>
      </c>
      <c r="B13513" s="1921" t="s">
        <v>1772</v>
      </c>
      <c r="C13513" s="2108">
        <v>161.64500000000001</v>
      </c>
      <c r="D13513" s="2851">
        <v>230.7</v>
      </c>
      <c r="E13513" s="2852">
        <v>0.42720158371740524</v>
      </c>
      <c r="F13513" s="2853">
        <v>8.5440316743481057E-3</v>
      </c>
      <c r="G13513" s="78"/>
      <c r="H13513" t="s">
        <v>4330</v>
      </c>
      <c r="Q13513" s="434"/>
    </row>
    <row r="13514" spans="1:17" ht="12.75" hidden="1" customHeight="1" outlineLevel="1" x14ac:dyDescent="0.25">
      <c r="A13514" s="2380">
        <v>0.03</v>
      </c>
      <c r="B13514" s="1921" t="s">
        <v>6113</v>
      </c>
      <c r="C13514" s="2108">
        <v>852.95</v>
      </c>
      <c r="D13514" s="2851">
        <v>982.8</v>
      </c>
      <c r="E13514" s="2852">
        <v>0.1522363561756257</v>
      </c>
      <c r="F13514" s="2853">
        <v>4.5670906852687708E-3</v>
      </c>
      <c r="G13514" s="78"/>
      <c r="H13514" t="s">
        <v>4195</v>
      </c>
      <c r="Q13514" s="434"/>
    </row>
    <row r="13515" spans="1:17" ht="12.75" hidden="1" customHeight="1" outlineLevel="1" x14ac:dyDescent="0.25">
      <c r="A13515" s="2380">
        <v>0.02</v>
      </c>
      <c r="B13515" s="1921" t="s">
        <v>5824</v>
      </c>
      <c r="C13515" s="2108">
        <v>11.343999999999999</v>
      </c>
      <c r="D13515" s="2851">
        <v>12.19</v>
      </c>
      <c r="E13515" s="2852">
        <v>7.4576868829337117E-2</v>
      </c>
      <c r="F13515" s="2853">
        <v>1.4915373765867423E-3</v>
      </c>
      <c r="G13515" s="78"/>
      <c r="H13515" t="s">
        <v>5817</v>
      </c>
      <c r="Q13515" s="434"/>
    </row>
    <row r="13516" spans="1:17" ht="12.75" hidden="1" customHeight="1" outlineLevel="1" x14ac:dyDescent="0.25">
      <c r="A13516" s="2380">
        <v>0.02</v>
      </c>
      <c r="B13516" s="1921" t="s">
        <v>2769</v>
      </c>
      <c r="C13516" s="2108">
        <v>31.364405835871491</v>
      </c>
      <c r="D13516" s="2851">
        <v>30.01</v>
      </c>
      <c r="E13516" s="2852">
        <v>-4.3182894742499922E-2</v>
      </c>
      <c r="F13516" s="2853">
        <v>-8.6365789484999845E-4</v>
      </c>
      <c r="G13516" s="78"/>
      <c r="H13516" t="s">
        <v>2770</v>
      </c>
      <c r="Q13516" s="434"/>
    </row>
    <row r="13517" spans="1:17" ht="12.75" hidden="1" customHeight="1" outlineLevel="1" x14ac:dyDescent="0.25">
      <c r="A13517" s="2380">
        <v>0.08</v>
      </c>
      <c r="B13517" s="1921" t="s">
        <v>901</v>
      </c>
      <c r="C13517" s="2108">
        <v>25.08023813997109</v>
      </c>
      <c r="D13517" s="2851">
        <v>30.625</v>
      </c>
      <c r="E13517" s="2852">
        <v>0.22108090956249993</v>
      </c>
      <c r="F13517" s="2853">
        <v>1.7686472764999996E-2</v>
      </c>
      <c r="G13517" s="78"/>
      <c r="H13517" t="s">
        <v>531</v>
      </c>
      <c r="Q13517" s="434"/>
    </row>
    <row r="13518" spans="1:17" ht="12.75" hidden="1" customHeight="1" outlineLevel="1" x14ac:dyDescent="0.25">
      <c r="A13518" s="2380">
        <v>0.03</v>
      </c>
      <c r="B13518" s="1921" t="s">
        <v>6164</v>
      </c>
      <c r="C13518" s="2108">
        <v>3.6229017813228275</v>
      </c>
      <c r="D13518" s="2851">
        <v>4.4710000000000001</v>
      </c>
      <c r="E13518" s="2852">
        <v>0.2340936271166334</v>
      </c>
      <c r="F13518" s="2853">
        <v>7.0228088134990018E-3</v>
      </c>
      <c r="G13518" s="78"/>
      <c r="H13518" t="s">
        <v>6114</v>
      </c>
      <c r="Q13518" s="434"/>
    </row>
    <row r="13519" spans="1:17" ht="12.75" hidden="1" customHeight="1" outlineLevel="1" x14ac:dyDescent="0.25">
      <c r="A13519" s="2380">
        <v>0.03</v>
      </c>
      <c r="B13519" s="1921" t="s">
        <v>3427</v>
      </c>
      <c r="C13519" s="2108">
        <v>44.524000000000001</v>
      </c>
      <c r="D13519" s="2851">
        <v>60.36</v>
      </c>
      <c r="E13519" s="2852">
        <v>0.35567334471296386</v>
      </c>
      <c r="F13519" s="2853">
        <v>1.0670200341388915E-2</v>
      </c>
      <c r="G13519" s="78"/>
      <c r="H13519" t="s">
        <v>2800</v>
      </c>
      <c r="Q13519" s="434"/>
    </row>
    <row r="13520" spans="1:17" ht="12.75" hidden="1" customHeight="1" outlineLevel="1" x14ac:dyDescent="0.25">
      <c r="A13520" s="2380">
        <v>0.03</v>
      </c>
      <c r="B13520" s="1921" t="s">
        <v>1857</v>
      </c>
      <c r="C13520" s="2108">
        <v>1550.7</v>
      </c>
      <c r="D13520" s="2851">
        <v>1529</v>
      </c>
      <c r="E13520" s="2852">
        <v>-1.3993680273424958E-2</v>
      </c>
      <c r="F13520" s="2853">
        <v>-4.1981040820274874E-4</v>
      </c>
      <c r="G13520" s="78"/>
      <c r="H13520" t="s">
        <v>3559</v>
      </c>
      <c r="Q13520" s="434"/>
    </row>
    <row r="13521" spans="1:17" ht="12.75" hidden="1" customHeight="1" outlineLevel="1" x14ac:dyDescent="0.25">
      <c r="A13521" s="2380">
        <v>0.02</v>
      </c>
      <c r="B13521" s="1921" t="s">
        <v>3381</v>
      </c>
      <c r="C13521" s="2108">
        <v>187.35</v>
      </c>
      <c r="D13521" s="2851">
        <v>141.25</v>
      </c>
      <c r="E13521" s="2852">
        <v>-0.24606351748065114</v>
      </c>
      <c r="F13521" s="2853">
        <v>-4.9212703496130227E-3</v>
      </c>
      <c r="G13521" s="78"/>
      <c r="H13521" t="s">
        <v>9199</v>
      </c>
      <c r="Q13521" s="434"/>
    </row>
    <row r="13522" spans="1:17" ht="12.75" hidden="1" customHeight="1" outlineLevel="1" x14ac:dyDescent="0.25">
      <c r="A13522" s="2380">
        <v>0.03</v>
      </c>
      <c r="B13522" s="1921" t="s">
        <v>1239</v>
      </c>
      <c r="C13522" s="2108">
        <v>512.45000000000005</v>
      </c>
      <c r="D13522" s="2851">
        <v>513.6</v>
      </c>
      <c r="E13522" s="2852">
        <v>2.2441213776953628E-3</v>
      </c>
      <c r="F13522" s="2853">
        <v>6.7323641330860887E-5</v>
      </c>
      <c r="G13522" s="78"/>
      <c r="H13522" t="s">
        <v>8891</v>
      </c>
      <c r="Q13522" s="434"/>
    </row>
    <row r="13523" spans="1:17" ht="12.75" hidden="1" customHeight="1" outlineLevel="1" x14ac:dyDescent="0.25">
      <c r="A13523" s="2380">
        <v>0.02</v>
      </c>
      <c r="B13523" s="1921" t="s">
        <v>3022</v>
      </c>
      <c r="C13523" s="2108">
        <v>4693.1000000000004</v>
      </c>
      <c r="D13523" s="2851">
        <v>3763</v>
      </c>
      <c r="E13523" s="2852">
        <v>-0.19818456883509838</v>
      </c>
      <c r="F13523" s="2853">
        <v>-3.9636913767019675E-3</v>
      </c>
      <c r="G13523" s="78"/>
      <c r="H13523" t="s">
        <v>2802</v>
      </c>
      <c r="Q13523" s="434"/>
    </row>
    <row r="13524" spans="1:17" ht="12.75" hidden="1" customHeight="1" outlineLevel="1" x14ac:dyDescent="0.25">
      <c r="A13524" s="2380">
        <v>0.08</v>
      </c>
      <c r="B13524" s="1921" t="s">
        <v>577</v>
      </c>
      <c r="C13524" s="2108">
        <v>12.095925446115171</v>
      </c>
      <c r="D13524" s="2851">
        <v>5.36</v>
      </c>
      <c r="E13524" s="2852">
        <v>-0.55687557567400003</v>
      </c>
      <c r="F13524" s="2853">
        <v>-4.4550046053920003E-2</v>
      </c>
      <c r="G13524" s="78"/>
      <c r="H13524" t="s">
        <v>6732</v>
      </c>
      <c r="Q13524" s="434"/>
    </row>
    <row r="13525" spans="1:17" ht="12.75" hidden="1" customHeight="1" outlineLevel="1" x14ac:dyDescent="0.25">
      <c r="A13525" s="2380">
        <v>0.02</v>
      </c>
      <c r="B13525" s="1921" t="s">
        <v>6165</v>
      </c>
      <c r="C13525" s="2108">
        <v>50.575000000000003</v>
      </c>
      <c r="D13525" s="2851">
        <v>37.93</v>
      </c>
      <c r="E13525" s="2852">
        <v>-0.25002471576866048</v>
      </c>
      <c r="F13525" s="2853">
        <v>-5.0004943153732096E-3</v>
      </c>
      <c r="G13525" s="78"/>
      <c r="H13525" t="s">
        <v>7745</v>
      </c>
      <c r="Q13525" s="434"/>
    </row>
    <row r="13526" spans="1:17" ht="12.75" hidden="1" customHeight="1" outlineLevel="1" x14ac:dyDescent="0.25">
      <c r="A13526" s="2380">
        <v>0.02</v>
      </c>
      <c r="B13526" s="1921" t="s">
        <v>3626</v>
      </c>
      <c r="C13526" s="2108">
        <v>55.244</v>
      </c>
      <c r="D13526" s="2851">
        <v>69.040000000000006</v>
      </c>
      <c r="E13526" s="2852">
        <v>0.24972847730070247</v>
      </c>
      <c r="F13526" s="2853">
        <v>4.9945695460140499E-3</v>
      </c>
      <c r="G13526" s="78"/>
      <c r="H13526" t="s">
        <v>7752</v>
      </c>
      <c r="Q13526" s="434"/>
    </row>
    <row r="13527" spans="1:17" ht="12.75" hidden="1" customHeight="1" outlineLevel="1" x14ac:dyDescent="0.25">
      <c r="A13527" s="2380">
        <v>0.03</v>
      </c>
      <c r="B13527" s="1921" t="s">
        <v>9301</v>
      </c>
      <c r="C13527" s="2108">
        <v>205.96</v>
      </c>
      <c r="D13527" s="2851">
        <v>109</v>
      </c>
      <c r="E13527" s="2852">
        <v>-0.47077102349970867</v>
      </c>
      <c r="F13527" s="2853">
        <v>-1.4123130704991259E-2</v>
      </c>
      <c r="G13527" s="78"/>
      <c r="H13527" t="s">
        <v>9302</v>
      </c>
      <c r="Q13527" s="434"/>
    </row>
    <row r="13528" spans="1:17" ht="12.75" hidden="1" customHeight="1" outlineLevel="1" x14ac:dyDescent="0.25">
      <c r="A13528" s="2380">
        <v>0.03</v>
      </c>
      <c r="B13528" s="1921" t="s">
        <v>106</v>
      </c>
      <c r="C13528" s="2108">
        <v>2634.1</v>
      </c>
      <c r="D13528" s="2851">
        <v>4170</v>
      </c>
      <c r="E13528" s="2852">
        <v>0.58308340609695919</v>
      </c>
      <c r="F13528" s="2853">
        <v>1.7492502182908775E-2</v>
      </c>
      <c r="G13528" s="78"/>
      <c r="H13528" t="s">
        <v>107</v>
      </c>
      <c r="Q13528" s="434"/>
    </row>
    <row r="13529" spans="1:17" ht="12.75" hidden="1" customHeight="1" outlineLevel="1" x14ac:dyDescent="0.25">
      <c r="A13529" s="2380">
        <v>0.08</v>
      </c>
      <c r="B13529" s="2109" t="s">
        <v>4550</v>
      </c>
      <c r="C13529" s="2108">
        <v>272.08999999999997</v>
      </c>
      <c r="D13529" s="2854">
        <v>370.9</v>
      </c>
      <c r="E13529" s="2852">
        <v>0.36315189826895522</v>
      </c>
      <c r="F13529" s="2853">
        <v>2.9052151861516419E-2</v>
      </c>
      <c r="G13529" s="78"/>
      <c r="H13529" t="s">
        <v>8889</v>
      </c>
      <c r="Q13529" s="434"/>
    </row>
    <row r="13530" spans="1:17" ht="12.75" hidden="1" customHeight="1" outlineLevel="1" x14ac:dyDescent="0.25">
      <c r="A13530" s="2181" t="s">
        <v>2734</v>
      </c>
      <c r="B13530" s="2103"/>
      <c r="C13530" s="2855"/>
      <c r="D13530" s="2856"/>
      <c r="E13530" s="2857"/>
      <c r="F13530" s="2848">
        <v>4.7965141378853222E-2</v>
      </c>
      <c r="G13530" s="78"/>
    </row>
    <row r="13531" spans="1:17" ht="12.75" hidden="1" customHeight="1" outlineLevel="1" x14ac:dyDescent="0.25">
      <c r="A13531" s="1956" t="s">
        <v>6532</v>
      </c>
      <c r="B13531" s="2185">
        <v>43344</v>
      </c>
      <c r="C13531" s="2858">
        <v>100</v>
      </c>
      <c r="D13531" s="2858">
        <v>104.9037</v>
      </c>
      <c r="E13531" s="2859">
        <v>4.9036999999999997E-2</v>
      </c>
      <c r="F13531" s="2860"/>
      <c r="G13531" s="78"/>
    </row>
    <row r="13532" spans="1:17" ht="12.75" hidden="1" customHeight="1" outlineLevel="1" x14ac:dyDescent="0.25">
      <c r="A13532" s="1956" t="s">
        <v>6533</v>
      </c>
      <c r="B13532" s="2185">
        <v>43374</v>
      </c>
      <c r="C13532" s="2858">
        <v>100</v>
      </c>
      <c r="D13532" s="2861">
        <v>103.0522</v>
      </c>
      <c r="E13532" s="2859">
        <v>3.0521999999999938E-2</v>
      </c>
      <c r="F13532" s="2860"/>
      <c r="G13532" s="78"/>
    </row>
    <row r="13533" spans="1:17" ht="12.75" hidden="1" customHeight="1" outlineLevel="1" x14ac:dyDescent="0.25">
      <c r="A13533" s="1956" t="s">
        <v>6534</v>
      </c>
      <c r="B13533" s="2185">
        <v>43405</v>
      </c>
      <c r="C13533" s="2858">
        <v>100</v>
      </c>
      <c r="D13533" s="2861">
        <v>103.26649999999999</v>
      </c>
      <c r="E13533" s="2859">
        <v>3.2664999999999944E-2</v>
      </c>
      <c r="F13533" s="2860"/>
      <c r="G13533" s="78"/>
    </row>
    <row r="13534" spans="1:17" ht="12.75" hidden="1" customHeight="1" outlineLevel="1" x14ac:dyDescent="0.25">
      <c r="A13534" s="1956" t="s">
        <v>6535</v>
      </c>
      <c r="B13534" s="2185">
        <v>43435</v>
      </c>
      <c r="C13534" s="2858">
        <v>100</v>
      </c>
      <c r="D13534" s="2861">
        <v>97.035499999999999</v>
      </c>
      <c r="E13534" s="2859">
        <v>-2.9645000000000032E-2</v>
      </c>
      <c r="F13534" s="2860"/>
      <c r="G13534" s="78"/>
    </row>
    <row r="13535" spans="1:17" ht="12.75" hidden="1" customHeight="1" outlineLevel="1" x14ac:dyDescent="0.25">
      <c r="A13535" s="1956" t="s">
        <v>6536</v>
      </c>
      <c r="B13535" s="2185">
        <v>43466</v>
      </c>
      <c r="C13535" s="2858">
        <v>100</v>
      </c>
      <c r="D13535" s="2861">
        <v>102.8062</v>
      </c>
      <c r="E13535" s="2859">
        <v>2.8062000000000031E-2</v>
      </c>
      <c r="F13535" s="2860"/>
      <c r="G13535" s="78"/>
    </row>
    <row r="13536" spans="1:17" ht="12.75" hidden="1" customHeight="1" outlineLevel="1" x14ac:dyDescent="0.25">
      <c r="A13536" s="1956" t="s">
        <v>6537</v>
      </c>
      <c r="B13536" s="2185">
        <v>43497</v>
      </c>
      <c r="C13536" s="2858">
        <v>100</v>
      </c>
      <c r="D13536" s="2861">
        <v>104.7739</v>
      </c>
      <c r="E13536" s="2859">
        <v>4.7738999999999976E-2</v>
      </c>
      <c r="F13536" s="2860"/>
      <c r="G13536" s="78"/>
    </row>
    <row r="13537" spans="1:7" ht="12.75" hidden="1" customHeight="1" outlineLevel="1" x14ac:dyDescent="0.25">
      <c r="A13537" s="1956" t="s">
        <v>6538</v>
      </c>
      <c r="B13537" s="2185">
        <v>43525</v>
      </c>
      <c r="C13537" s="2858">
        <v>100</v>
      </c>
      <c r="D13537" s="2861">
        <v>107.2611</v>
      </c>
      <c r="E13537" s="2859">
        <v>7.2610999999999981E-2</v>
      </c>
      <c r="F13537" s="2860"/>
      <c r="G13537" s="78"/>
    </row>
    <row r="13538" spans="1:7" ht="12.75" hidden="1" customHeight="1" outlineLevel="1" x14ac:dyDescent="0.25">
      <c r="A13538" s="1956" t="s">
        <v>6539</v>
      </c>
      <c r="B13538" s="2185">
        <v>43556</v>
      </c>
      <c r="C13538" s="2858">
        <v>100</v>
      </c>
      <c r="D13538" s="2861">
        <v>107.2728</v>
      </c>
      <c r="E13538" s="2859">
        <v>7.2728000000000126E-2</v>
      </c>
      <c r="F13538" s="2860"/>
      <c r="G13538" s="78"/>
    </row>
    <row r="13539" spans="1:7" ht="12.75" hidden="1" customHeight="1" outlineLevel="1" x14ac:dyDescent="0.25">
      <c r="A13539" s="1956" t="s">
        <v>6540</v>
      </c>
      <c r="B13539" s="2185">
        <v>43586</v>
      </c>
      <c r="C13539" s="2858">
        <v>100</v>
      </c>
      <c r="D13539" s="2861">
        <v>104.02719999999999</v>
      </c>
      <c r="E13539" s="2859">
        <v>4.0271999999999863E-2</v>
      </c>
      <c r="F13539" s="2860"/>
      <c r="G13539" s="78"/>
    </row>
    <row r="13540" spans="1:7" ht="12.75" hidden="1" customHeight="1" outlineLevel="1" x14ac:dyDescent="0.25">
      <c r="A13540" s="1956" t="s">
        <v>6541</v>
      </c>
      <c r="B13540" s="2185">
        <v>43617</v>
      </c>
      <c r="C13540" s="2858">
        <v>100</v>
      </c>
      <c r="D13540" s="2861">
        <v>105.6494</v>
      </c>
      <c r="E13540" s="2859">
        <v>5.6494000000000044E-2</v>
      </c>
      <c r="F13540" s="2860"/>
      <c r="G13540" s="78"/>
    </row>
    <row r="13541" spans="1:7" ht="12.75" hidden="1" customHeight="1" outlineLevel="1" x14ac:dyDescent="0.25">
      <c r="A13541" s="1956" t="s">
        <v>6542</v>
      </c>
      <c r="B13541" s="2185">
        <v>43647</v>
      </c>
      <c r="C13541" s="2858">
        <v>100</v>
      </c>
      <c r="D13541" s="2861">
        <v>106.3728</v>
      </c>
      <c r="E13541" s="2859">
        <v>6.3728000000000007E-2</v>
      </c>
      <c r="F13541" s="2860"/>
      <c r="G13541" s="78"/>
    </row>
    <row r="13542" spans="1:7" ht="12.75" hidden="1" customHeight="1" outlineLevel="1" x14ac:dyDescent="0.25">
      <c r="A13542" s="1956" t="s">
        <v>6543</v>
      </c>
      <c r="B13542" s="2185">
        <v>43678</v>
      </c>
      <c r="C13542" s="2858">
        <v>100</v>
      </c>
      <c r="D13542" s="2861">
        <v>107.30370000000001</v>
      </c>
      <c r="E13542" s="2859">
        <v>7.3037000000000019E-2</v>
      </c>
      <c r="F13542" s="2860"/>
      <c r="G13542" s="78"/>
    </row>
    <row r="13543" spans="1:7" ht="12.75" hidden="1" customHeight="1" outlineLevel="1" x14ac:dyDescent="0.25">
      <c r="A13543" s="1956" t="s">
        <v>6544</v>
      </c>
      <c r="B13543" s="2185">
        <v>43709</v>
      </c>
      <c r="C13543" s="2858">
        <v>100</v>
      </c>
      <c r="D13543" s="2861">
        <v>112.3353</v>
      </c>
      <c r="E13543" s="2859">
        <v>0.12335300000000005</v>
      </c>
      <c r="F13543" s="2860"/>
      <c r="G13543" s="78"/>
    </row>
    <row r="13544" spans="1:7" ht="12.75" hidden="1" customHeight="1" outlineLevel="1" x14ac:dyDescent="0.25">
      <c r="A13544" s="1956" t="s">
        <v>6545</v>
      </c>
      <c r="B13544" s="2185">
        <v>43739</v>
      </c>
      <c r="C13544" s="2858">
        <v>100</v>
      </c>
      <c r="D13544" s="2861">
        <v>111.946</v>
      </c>
      <c r="E13544" s="2859">
        <v>0.1194599999999999</v>
      </c>
      <c r="F13544" s="2860"/>
      <c r="G13544" s="78"/>
    </row>
    <row r="13545" spans="1:7" ht="12.75" hidden="1" customHeight="1" outlineLevel="1" x14ac:dyDescent="0.25">
      <c r="A13545" s="1956" t="s">
        <v>6546</v>
      </c>
      <c r="B13545" s="2185">
        <v>43770</v>
      </c>
      <c r="C13545" s="2858">
        <v>100</v>
      </c>
      <c r="D13545" s="2861">
        <v>113.3424</v>
      </c>
      <c r="E13545" s="2859">
        <v>0.13342399999999999</v>
      </c>
      <c r="F13545" s="2860"/>
      <c r="G13545" s="78"/>
    </row>
    <row r="13546" spans="1:7" ht="12.75" hidden="1" customHeight="1" outlineLevel="1" x14ac:dyDescent="0.25">
      <c r="A13546" s="1956" t="s">
        <v>6547</v>
      </c>
      <c r="B13546" s="2185">
        <v>43800</v>
      </c>
      <c r="C13546" s="2858">
        <v>100</v>
      </c>
      <c r="D13546" s="2861">
        <v>112.7842</v>
      </c>
      <c r="E13546" s="2859">
        <v>0.12784200000000001</v>
      </c>
      <c r="F13546" s="2860"/>
      <c r="G13546" s="78"/>
    </row>
    <row r="13547" spans="1:7" ht="12.75" hidden="1" customHeight="1" outlineLevel="1" x14ac:dyDescent="0.25">
      <c r="A13547" s="1956" t="s">
        <v>6548</v>
      </c>
      <c r="B13547" s="2185">
        <v>43831</v>
      </c>
      <c r="C13547" s="2858">
        <v>100</v>
      </c>
      <c r="D13547" s="2861">
        <v>114.72580000000001</v>
      </c>
      <c r="E13547" s="2859">
        <v>0.14725800000000011</v>
      </c>
      <c r="F13547" s="2860"/>
      <c r="G13547" s="78"/>
    </row>
    <row r="13548" spans="1:7" ht="12.75" hidden="1" customHeight="1" outlineLevel="1" x14ac:dyDescent="0.25">
      <c r="A13548" s="1956" t="s">
        <v>6549</v>
      </c>
      <c r="B13548" s="2185">
        <v>43862</v>
      </c>
      <c r="C13548" s="2858">
        <v>100</v>
      </c>
      <c r="D13548" s="2861">
        <v>104.8501</v>
      </c>
      <c r="E13548" s="2859">
        <v>4.8500999999999905E-2</v>
      </c>
      <c r="F13548" s="2860"/>
      <c r="G13548" s="78"/>
    </row>
    <row r="13549" spans="1:7" ht="12.75" hidden="1" customHeight="1" outlineLevel="1" x14ac:dyDescent="0.25">
      <c r="A13549" s="2189" t="s">
        <v>2734</v>
      </c>
      <c r="B13549" s="2190"/>
      <c r="C13549" s="2861"/>
      <c r="D13549" s="2191" t="s">
        <v>2465</v>
      </c>
      <c r="E13549" s="1987">
        <v>6.87271111111111E-2</v>
      </c>
      <c r="F13549" s="2192">
        <v>6.87271111111111E-2</v>
      </c>
      <c r="G13549" s="78"/>
    </row>
    <row r="13550" spans="1:7" collapsed="1" x14ac:dyDescent="0.25">
      <c r="A13550" s="3801" t="s">
        <v>6531</v>
      </c>
      <c r="B13550" s="3802"/>
      <c r="C13550" s="3802"/>
      <c r="D13550" s="3802"/>
      <c r="E13550" s="1906"/>
      <c r="F13550" s="1907">
        <v>4.810897777777777E-2</v>
      </c>
      <c r="G13550" s="78"/>
    </row>
    <row r="13552" spans="1:7" ht="12.75" hidden="1" customHeight="1" outlineLevel="1" x14ac:dyDescent="0.25">
      <c r="A13552" s="3043" t="s">
        <v>113</v>
      </c>
      <c r="B13552" s="3043" t="s">
        <v>114</v>
      </c>
      <c r="C13552" s="3043" t="s">
        <v>112</v>
      </c>
      <c r="D13552" s="3043" t="s">
        <v>116</v>
      </c>
      <c r="E13552" s="3043" t="s">
        <v>117</v>
      </c>
      <c r="F13552" s="3044" t="s">
        <v>121</v>
      </c>
      <c r="G13552" s="78"/>
    </row>
    <row r="13553" spans="1:18" ht="12.75" hidden="1" customHeight="1" outlineLevel="1" x14ac:dyDescent="0.25">
      <c r="A13553" s="3045">
        <v>1</v>
      </c>
      <c r="B13553" s="3046" t="s">
        <v>252</v>
      </c>
      <c r="C13553" s="3047">
        <v>100</v>
      </c>
      <c r="D13553" s="3047"/>
      <c r="E13553" s="3048"/>
      <c r="F13553" s="3049"/>
      <c r="G13553" s="78"/>
    </row>
    <row r="13554" spans="1:18" ht="12.75" hidden="1" customHeight="1" outlineLevel="1" x14ac:dyDescent="0.25">
      <c r="A13554" s="3050" t="s">
        <v>2734</v>
      </c>
      <c r="B13554" s="3050"/>
      <c r="C13554" s="3051"/>
      <c r="D13554" s="1900" t="s">
        <v>3702</v>
      </c>
      <c r="E13554" s="3052">
        <v>44043</v>
      </c>
      <c r="F13554" s="3053"/>
      <c r="G13554" s="78"/>
      <c r="I13554" s="3389">
        <v>2</v>
      </c>
      <c r="J13554" s="3521" t="s">
        <v>252</v>
      </c>
      <c r="K13554" s="1813"/>
      <c r="L13554" s="1813"/>
      <c r="M13554" s="1813"/>
      <c r="N13554" s="1813"/>
      <c r="O13554" s="1813"/>
    </row>
    <row r="13555" spans="1:18" ht="12.75" hidden="1" customHeight="1" outlineLevel="1" x14ac:dyDescent="0.3">
      <c r="A13555" s="3043" t="s">
        <v>4156</v>
      </c>
      <c r="B13555" s="3043" t="s">
        <v>4153</v>
      </c>
      <c r="C13555" s="3054" t="s">
        <v>112</v>
      </c>
      <c r="D13555" s="3055" t="s">
        <v>4155</v>
      </c>
      <c r="E13555" s="3043" t="s">
        <v>4154</v>
      </c>
      <c r="F13555" s="3056" t="s">
        <v>2519</v>
      </c>
      <c r="G13555" s="78"/>
      <c r="I13555" s="3237" t="s">
        <v>4156</v>
      </c>
      <c r="J13555" s="3074" t="s">
        <v>5272</v>
      </c>
      <c r="K13555" s="3247" t="s">
        <v>112</v>
      </c>
      <c r="L13555" s="3237" t="s">
        <v>6972</v>
      </c>
      <c r="M13555" s="3237" t="s">
        <v>4154</v>
      </c>
      <c r="N13555" s="3248" t="s">
        <v>2519</v>
      </c>
      <c r="O13555" s="2461"/>
    </row>
    <row r="13556" spans="1:18" ht="12.75" hidden="1" customHeight="1" outlineLevel="1" x14ac:dyDescent="0.25">
      <c r="A13556" s="1991">
        <v>0.02</v>
      </c>
      <c r="B13556" s="1921" t="s">
        <v>8301</v>
      </c>
      <c r="C13556" s="2108">
        <v>7.1835995640463066</v>
      </c>
      <c r="D13556" s="3057">
        <v>1.8086</v>
      </c>
      <c r="E13556" s="3058">
        <v>-0.74823206891264005</v>
      </c>
      <c r="F13556" s="3056">
        <v>-1.4964641378252801E-2</v>
      </c>
      <c r="G13556" s="78"/>
      <c r="H13556" t="s">
        <v>8302</v>
      </c>
      <c r="I13556" s="3077">
        <v>0.1</v>
      </c>
      <c r="J13556" s="2461" t="s">
        <v>6562</v>
      </c>
      <c r="K13556" s="2461">
        <v>66.64</v>
      </c>
      <c r="L13556" s="2461">
        <v>82.35</v>
      </c>
      <c r="M13556" s="3388">
        <v>0.23574429771908756</v>
      </c>
      <c r="N13556" s="3079">
        <v>2.3574429771908757E-2</v>
      </c>
      <c r="O13556" s="2461" t="s">
        <v>8895</v>
      </c>
      <c r="R13556" s="434"/>
    </row>
    <row r="13557" spans="1:18" ht="12.75" hidden="1" customHeight="1" outlineLevel="1" x14ac:dyDescent="0.25">
      <c r="A13557" s="2380">
        <v>0.08</v>
      </c>
      <c r="B13557" s="1921" t="s">
        <v>807</v>
      </c>
      <c r="C13557" s="2108">
        <v>48.435000000000002</v>
      </c>
      <c r="D13557" s="3059">
        <v>56.16</v>
      </c>
      <c r="E13557" s="3060">
        <v>0.15949210281820991</v>
      </c>
      <c r="F13557" s="3061">
        <v>1.2759368225456794E-2</v>
      </c>
      <c r="G13557" s="78"/>
      <c r="H13557" t="s">
        <v>808</v>
      </c>
      <c r="I13557" s="3077">
        <v>0.1</v>
      </c>
      <c r="J13557" s="2461" t="s">
        <v>359</v>
      </c>
      <c r="K13557" s="2461">
        <v>126.7</v>
      </c>
      <c r="L13557" s="2461">
        <v>153.58000000000001</v>
      </c>
      <c r="M13557" s="3388">
        <v>0.21215469613259685</v>
      </c>
      <c r="N13557" s="3079">
        <v>2.1215469613259687E-2</v>
      </c>
      <c r="O13557" s="2461" t="s">
        <v>360</v>
      </c>
      <c r="R13557" s="434"/>
    </row>
    <row r="13558" spans="1:18" ht="12.75" hidden="1" customHeight="1" outlineLevel="1" x14ac:dyDescent="0.25">
      <c r="A13558" s="2380">
        <v>0.04</v>
      </c>
      <c r="B13558" s="1921" t="s">
        <v>901</v>
      </c>
      <c r="C13558" s="2108">
        <v>2839.5971405608902</v>
      </c>
      <c r="D13558" s="3059">
        <v>2524.5</v>
      </c>
      <c r="E13558" s="3060">
        <v>-0.11096543804049996</v>
      </c>
      <c r="F13558" s="3061">
        <v>-4.4386175216199987E-3</v>
      </c>
      <c r="G13558" s="78"/>
      <c r="H13558" t="s">
        <v>531</v>
      </c>
      <c r="I13558" s="3077">
        <v>0.1</v>
      </c>
      <c r="J13558" s="2461" t="s">
        <v>1184</v>
      </c>
      <c r="K13558" s="2461">
        <v>75.972999999999999</v>
      </c>
      <c r="L13558" s="2461">
        <v>80.471999999999994</v>
      </c>
      <c r="M13558" s="3388">
        <v>5.9218406539165214E-2</v>
      </c>
      <c r="N13558" s="3079">
        <v>5.9218406539165219E-3</v>
      </c>
      <c r="O13558" s="2461" t="s">
        <v>3497</v>
      </c>
      <c r="R13558" s="434"/>
    </row>
    <row r="13559" spans="1:18" ht="12.75" hidden="1" customHeight="1" outlineLevel="1" x14ac:dyDescent="0.25">
      <c r="A13559" s="2380">
        <v>0.02</v>
      </c>
      <c r="B13559" s="1921" t="s">
        <v>6078</v>
      </c>
      <c r="C13559" s="2108">
        <v>717.1</v>
      </c>
      <c r="D13559" s="3059">
        <v>366.1</v>
      </c>
      <c r="E13559" s="3060">
        <v>-0.48947148235950355</v>
      </c>
      <c r="F13559" s="3061">
        <v>-9.7894296471900712E-3</v>
      </c>
      <c r="G13559" s="78"/>
      <c r="H13559" t="s">
        <v>2354</v>
      </c>
      <c r="I13559" s="3077">
        <v>0.1</v>
      </c>
      <c r="J13559" s="2461" t="s">
        <v>1141</v>
      </c>
      <c r="K13559" s="2461">
        <v>88.287999999999997</v>
      </c>
      <c r="L13559" s="2461">
        <v>92.194000000000003</v>
      </c>
      <c r="M13559" s="3388">
        <v>4.4241573033708015E-2</v>
      </c>
      <c r="N13559" s="3079">
        <v>4.4241573033708013E-3</v>
      </c>
      <c r="O13559" s="2461" t="s">
        <v>666</v>
      </c>
      <c r="R13559" s="434"/>
    </row>
    <row r="13560" spans="1:18" ht="12.75" hidden="1" customHeight="1" outlineLevel="1" x14ac:dyDescent="0.25">
      <c r="A13560" s="2380">
        <v>0.08</v>
      </c>
      <c r="B13560" s="1921" t="s">
        <v>3954</v>
      </c>
      <c r="C13560" s="2108">
        <v>102.264</v>
      </c>
      <c r="D13560" s="3059">
        <v>92.73</v>
      </c>
      <c r="E13560" s="3060">
        <v>-9.3229288899319362E-2</v>
      </c>
      <c r="F13560" s="3061">
        <v>-7.4583431119455493E-3</v>
      </c>
      <c r="G13560" s="78"/>
      <c r="H13560" t="s">
        <v>3955</v>
      </c>
      <c r="I13560" s="3077">
        <v>0.1</v>
      </c>
      <c r="J13560" s="2461" t="s">
        <v>4025</v>
      </c>
      <c r="K13560" s="2461">
        <v>60.976999999999997</v>
      </c>
      <c r="L13560" s="2461">
        <v>83.373999999999995</v>
      </c>
      <c r="M13560" s="3388">
        <v>0.36730242550469838</v>
      </c>
      <c r="N13560" s="3079">
        <v>3.673024255046984E-2</v>
      </c>
      <c r="O13560" s="2461" t="s">
        <v>3977</v>
      </c>
      <c r="R13560" s="434"/>
    </row>
    <row r="13561" spans="1:18" ht="12.75" hidden="1" customHeight="1" outlineLevel="1" x14ac:dyDescent="0.25">
      <c r="A13561" s="2380">
        <v>0.02</v>
      </c>
      <c r="B13561" s="1921" t="s">
        <v>4332</v>
      </c>
      <c r="C13561" s="2108">
        <v>313.64999999999998</v>
      </c>
      <c r="D13561" s="3059">
        <v>48.77</v>
      </c>
      <c r="E13561" s="3060">
        <v>-0.84450820978798025</v>
      </c>
      <c r="F13561" s="3061">
        <v>-1.6890164195759606E-2</v>
      </c>
      <c r="G13561" s="78"/>
      <c r="H13561" t="s">
        <v>4334</v>
      </c>
      <c r="I13561" s="3077">
        <v>0.1</v>
      </c>
      <c r="J13561" s="2461" t="s">
        <v>238</v>
      </c>
      <c r="K13561" s="2461">
        <v>53.932000000000002</v>
      </c>
      <c r="L13561" s="2461">
        <v>83.927999999999997</v>
      </c>
      <c r="M13561" s="3388">
        <v>0.5561818586368017</v>
      </c>
      <c r="N13561" s="3079">
        <v>5.561818586368017E-2</v>
      </c>
      <c r="O13561" s="2461" t="s">
        <v>239</v>
      </c>
      <c r="R13561" s="434"/>
    </row>
    <row r="13562" spans="1:18" ht="12.75" hidden="1" customHeight="1" outlineLevel="1" x14ac:dyDescent="0.25">
      <c r="A13562" s="2380">
        <v>0.03</v>
      </c>
      <c r="B13562" s="1921" t="s">
        <v>6267</v>
      </c>
      <c r="C13562" s="2108">
        <v>24.3035</v>
      </c>
      <c r="D13562" s="3059">
        <v>21.37</v>
      </c>
      <c r="E13562" s="3060">
        <v>-0.12070277943506069</v>
      </c>
      <c r="F13562" s="3061">
        <v>-3.6210833830518205E-3</v>
      </c>
      <c r="G13562" s="78"/>
      <c r="H13562" t="s">
        <v>6268</v>
      </c>
      <c r="I13562" s="3077">
        <v>0.1</v>
      </c>
      <c r="J13562" s="2461" t="s">
        <v>2699</v>
      </c>
      <c r="K13562" s="2461">
        <v>23.9755</v>
      </c>
      <c r="L13562" s="2461">
        <v>27.664000000000001</v>
      </c>
      <c r="M13562" s="3388">
        <v>0.15384454964442873</v>
      </c>
      <c r="N13562" s="3079">
        <v>1.5384454964442873E-2</v>
      </c>
      <c r="O13562" s="2461" t="s">
        <v>505</v>
      </c>
      <c r="R13562" s="434"/>
    </row>
    <row r="13563" spans="1:18" ht="12.75" hidden="1" customHeight="1" outlineLevel="1" x14ac:dyDescent="0.25">
      <c r="A13563" s="2380">
        <v>0.02</v>
      </c>
      <c r="B13563" s="1921" t="s">
        <v>7227</v>
      </c>
      <c r="C13563" s="2108">
        <v>18.8155</v>
      </c>
      <c r="D13563" s="3059">
        <v>11.29</v>
      </c>
      <c r="E13563" s="3060">
        <v>-0.39996279663043777</v>
      </c>
      <c r="F13563" s="3061">
        <v>-7.9992559326087561E-3</v>
      </c>
      <c r="G13563" s="78"/>
      <c r="H13563" t="s">
        <v>7229</v>
      </c>
      <c r="I13563" s="3077">
        <v>0.1</v>
      </c>
      <c r="J13563" s="2461" t="s">
        <v>1772</v>
      </c>
      <c r="K13563" s="2461">
        <v>149.16499999999999</v>
      </c>
      <c r="L13563" s="2461">
        <v>171.17</v>
      </c>
      <c r="M13563" s="3388">
        <v>0.1475212013542051</v>
      </c>
      <c r="N13563" s="3079">
        <v>1.475212013542051E-2</v>
      </c>
      <c r="O13563" s="2461" t="s">
        <v>4330</v>
      </c>
      <c r="R13563" s="434"/>
    </row>
    <row r="13564" spans="1:18" ht="12.75" hidden="1" customHeight="1" outlineLevel="1" x14ac:dyDescent="0.25">
      <c r="A13564" s="2380">
        <v>0.05</v>
      </c>
      <c r="B13564" s="1921" t="s">
        <v>1386</v>
      </c>
      <c r="C13564" s="2108">
        <v>1383.408733845197</v>
      </c>
      <c r="D13564" s="3059">
        <v>1529.8</v>
      </c>
      <c r="E13564" s="3060">
        <v>0.10581924385276009</v>
      </c>
      <c r="F13564" s="3061">
        <v>5.2909621926380051E-3</v>
      </c>
      <c r="G13564" s="78"/>
      <c r="H13564" t="s">
        <v>4128</v>
      </c>
      <c r="I13564" s="3077">
        <v>0.1</v>
      </c>
      <c r="J13564" s="2461" t="s">
        <v>1214</v>
      </c>
      <c r="K13564" s="2461">
        <v>91.93</v>
      </c>
      <c r="L13564" s="2461">
        <v>99.366</v>
      </c>
      <c r="M13564" s="3388">
        <v>8.0887631893832079E-2</v>
      </c>
      <c r="N13564" s="3079">
        <v>8.0887631893832076E-3</v>
      </c>
      <c r="O13564" s="2461" t="s">
        <v>3775</v>
      </c>
      <c r="R13564" s="434"/>
    </row>
    <row r="13565" spans="1:18" ht="12.75" hidden="1" customHeight="1" outlineLevel="1" x14ac:dyDescent="0.25">
      <c r="A13565" s="2380">
        <v>0.02</v>
      </c>
      <c r="B13565" s="1921" t="s">
        <v>1771</v>
      </c>
      <c r="C13565" s="2108">
        <v>640.95000000000005</v>
      </c>
      <c r="D13565" s="3059">
        <v>342.2</v>
      </c>
      <c r="E13565" s="3060">
        <v>-0.4661050003900461</v>
      </c>
      <c r="F13565" s="3061">
        <v>-9.3221000078009229E-3</v>
      </c>
      <c r="G13565" s="78"/>
      <c r="H13565" t="s">
        <v>4329</v>
      </c>
      <c r="I13565" s="3077">
        <v>0.1</v>
      </c>
      <c r="J13565" s="2461" t="s">
        <v>4271</v>
      </c>
      <c r="K13565" s="2461">
        <v>13.031499999999999</v>
      </c>
      <c r="L13565" s="2461">
        <v>14.664999999999999</v>
      </c>
      <c r="M13565" s="3388">
        <v>0.12535011318727696</v>
      </c>
      <c r="N13565" s="3079">
        <v>1.2535011318727696E-2</v>
      </c>
      <c r="O13565" s="2461" t="s">
        <v>1804</v>
      </c>
      <c r="R13565" s="434"/>
    </row>
    <row r="13566" spans="1:18" ht="12.75" hidden="1" customHeight="1" outlineLevel="1" x14ac:dyDescent="0.25">
      <c r="A13566" s="2380">
        <v>0.02</v>
      </c>
      <c r="B13566" s="1921" t="s">
        <v>6113</v>
      </c>
      <c r="C13566" s="2108">
        <v>876.07516127050008</v>
      </c>
      <c r="D13566" s="3059">
        <v>900.4</v>
      </c>
      <c r="E13566" s="3060">
        <v>2.7765698429599972E-2</v>
      </c>
      <c r="F13566" s="3061">
        <v>5.5531396859199945E-4</v>
      </c>
      <c r="G13566" s="78"/>
      <c r="H13566" t="s">
        <v>4195</v>
      </c>
      <c r="N13566" s="406">
        <v>0.19824467536458007</v>
      </c>
      <c r="R13566" s="434"/>
    </row>
    <row r="13567" spans="1:18" ht="12.75" hidden="1" customHeight="1" outlineLevel="1" x14ac:dyDescent="0.25">
      <c r="A13567" s="2380">
        <v>0.02</v>
      </c>
      <c r="B13567" s="1921" t="s">
        <v>5824</v>
      </c>
      <c r="C13567" s="2108">
        <v>11.1435</v>
      </c>
      <c r="D13567" s="3059">
        <v>9.9120000000000008</v>
      </c>
      <c r="E13567" s="3060">
        <v>-0.11051285502759445</v>
      </c>
      <c r="F13567" s="3061">
        <v>-2.2102571005518891E-3</v>
      </c>
      <c r="G13567" s="78"/>
      <c r="H13567" t="s">
        <v>5817</v>
      </c>
      <c r="R13567" s="434"/>
    </row>
    <row r="13568" spans="1:18" ht="12.75" hidden="1" customHeight="1" outlineLevel="1" x14ac:dyDescent="0.25">
      <c r="A13568" s="2380">
        <v>0.02</v>
      </c>
      <c r="B13568" s="1921" t="s">
        <v>3958</v>
      </c>
      <c r="C13568" s="2519">
        <v>1123.4000000000001</v>
      </c>
      <c r="D13568" s="3059">
        <v>531</v>
      </c>
      <c r="E13568" s="3060">
        <v>-0.52732775502937512</v>
      </c>
      <c r="F13568" s="3061">
        <v>-1.0546555100587503E-2</v>
      </c>
      <c r="G13568" s="78"/>
      <c r="H13568" t="s">
        <v>3959</v>
      </c>
      <c r="R13568" s="434"/>
    </row>
    <row r="13569" spans="1:18" ht="12.75" hidden="1" customHeight="1" outlineLevel="1" x14ac:dyDescent="0.25">
      <c r="A13569" s="2380">
        <v>0.05</v>
      </c>
      <c r="B13569" s="1921" t="s">
        <v>3793</v>
      </c>
      <c r="C13569" s="2108">
        <v>84.738</v>
      </c>
      <c r="D13569" s="3059">
        <v>76.81</v>
      </c>
      <c r="E13569" s="3060">
        <v>-9.3558970001652142E-2</v>
      </c>
      <c r="F13569" s="3061">
        <v>-4.6779485000826076E-3</v>
      </c>
      <c r="G13569" s="78"/>
      <c r="H13569" t="s">
        <v>3533</v>
      </c>
      <c r="R13569" s="434"/>
    </row>
    <row r="13570" spans="1:18" ht="12.75" hidden="1" customHeight="1" outlineLevel="1" x14ac:dyDescent="0.25">
      <c r="A13570" s="2380">
        <v>0</v>
      </c>
      <c r="B13570" s="1921" t="s">
        <v>901</v>
      </c>
      <c r="C13570" s="2108">
        <v>2839.5971405608902</v>
      </c>
      <c r="D13570" s="3059">
        <v>2524.5</v>
      </c>
      <c r="E13570" s="3060">
        <v>-0.11096543804049996</v>
      </c>
      <c r="F13570" s="3061">
        <v>0</v>
      </c>
      <c r="G13570" s="78"/>
      <c r="H13570" t="s">
        <v>531</v>
      </c>
      <c r="R13570" s="434"/>
    </row>
    <row r="13571" spans="1:18" ht="12.75" hidden="1" customHeight="1" outlineLevel="1" x14ac:dyDescent="0.25">
      <c r="A13571" s="2380">
        <v>0.02</v>
      </c>
      <c r="B13571" s="1921" t="s">
        <v>6270</v>
      </c>
      <c r="C13571" s="2108">
        <v>36.676000000000002</v>
      </c>
      <c r="D13571" s="3059">
        <v>30.67</v>
      </c>
      <c r="E13571" s="3060">
        <v>-0.16375831606500169</v>
      </c>
      <c r="F13571" s="3061">
        <v>-3.2751663213000338E-3</v>
      </c>
      <c r="G13571" s="78"/>
      <c r="H13571" t="s">
        <v>8166</v>
      </c>
      <c r="R13571" s="434"/>
    </row>
    <row r="13572" spans="1:18" ht="12.75" hidden="1" customHeight="1" outlineLevel="1" x14ac:dyDescent="0.25">
      <c r="A13572" s="2380">
        <v>0.02</v>
      </c>
      <c r="B13572" s="1921" t="s">
        <v>6524</v>
      </c>
      <c r="C13572" s="2108">
        <v>90.284999999999997</v>
      </c>
      <c r="D13572" s="3059">
        <v>84.64</v>
      </c>
      <c r="E13572" s="3060">
        <v>-6.2524228830924233E-2</v>
      </c>
      <c r="F13572" s="3061">
        <v>-1.2504845766184848E-3</v>
      </c>
      <c r="G13572" s="78"/>
      <c r="H13572" t="s">
        <v>6525</v>
      </c>
      <c r="R13572" s="434"/>
    </row>
    <row r="13573" spans="1:18" ht="12.75" hidden="1" customHeight="1" outlineLevel="1" x14ac:dyDescent="0.25">
      <c r="A13573" s="2380">
        <v>0.08</v>
      </c>
      <c r="B13573" s="1921" t="s">
        <v>6164</v>
      </c>
      <c r="C13573" s="2108">
        <v>3.5717999732490933</v>
      </c>
      <c r="D13573" s="3059">
        <v>4.5</v>
      </c>
      <c r="E13573" s="3060">
        <v>0.25986898306250006</v>
      </c>
      <c r="F13573" s="3061">
        <v>2.0789518645000005E-2</v>
      </c>
      <c r="G13573" s="78"/>
      <c r="H13573" t="s">
        <v>6114</v>
      </c>
      <c r="R13573" s="434"/>
    </row>
    <row r="13574" spans="1:18" ht="12.75" hidden="1" customHeight="1" outlineLevel="1" x14ac:dyDescent="0.25">
      <c r="A13574" s="2380">
        <v>0.05</v>
      </c>
      <c r="B13574" s="1921" t="s">
        <v>1857</v>
      </c>
      <c r="C13574" s="2108">
        <v>1488.3</v>
      </c>
      <c r="D13574" s="3059">
        <v>1301</v>
      </c>
      <c r="E13574" s="3060">
        <v>-0.12584828327622122</v>
      </c>
      <c r="F13574" s="3061">
        <v>-6.2924141638110616E-3</v>
      </c>
      <c r="G13574" s="78"/>
      <c r="H13574" t="s">
        <v>3559</v>
      </c>
      <c r="R13574" s="434"/>
    </row>
    <row r="13575" spans="1:18" ht="12.75" hidden="1" customHeight="1" outlineLevel="1" x14ac:dyDescent="0.25">
      <c r="A13575" s="2380">
        <v>0.02</v>
      </c>
      <c r="B13575" s="1921" t="s">
        <v>3381</v>
      </c>
      <c r="C13575" s="2108">
        <v>174.15</v>
      </c>
      <c r="D13575" s="3059">
        <v>134.30000000000001</v>
      </c>
      <c r="E13575" s="3060">
        <v>-0.22882572494975595</v>
      </c>
      <c r="F13575" s="3061">
        <v>-4.5765144989951189E-3</v>
      </c>
      <c r="G13575" s="78"/>
      <c r="H13575" t="s">
        <v>9199</v>
      </c>
      <c r="R13575" s="434"/>
    </row>
    <row r="13576" spans="1:18" ht="12.75" hidden="1" customHeight="1" outlineLevel="1" x14ac:dyDescent="0.25">
      <c r="A13576" s="2380">
        <v>0.02</v>
      </c>
      <c r="B13576" s="1921" t="s">
        <v>6527</v>
      </c>
      <c r="C13576" s="2108">
        <v>103.63359864484561</v>
      </c>
      <c r="D13576" s="3059">
        <v>82.78</v>
      </c>
      <c r="E13576" s="3060">
        <v>-0.20122430290499993</v>
      </c>
      <c r="F13576" s="3061">
        <v>-4.0244860580999986E-3</v>
      </c>
      <c r="G13576" s="78"/>
      <c r="H13576" t="s">
        <v>6528</v>
      </c>
      <c r="R13576" s="434"/>
    </row>
    <row r="13577" spans="1:18" ht="12.75" hidden="1" customHeight="1" outlineLevel="1" x14ac:dyDescent="0.25">
      <c r="A13577" s="2380">
        <v>0.02</v>
      </c>
      <c r="B13577" s="1921" t="s">
        <v>1724</v>
      </c>
      <c r="C13577" s="2108">
        <v>174.3</v>
      </c>
      <c r="D13577" s="3059">
        <v>141.97999999999999</v>
      </c>
      <c r="E13577" s="3060">
        <v>-0.18542742398164092</v>
      </c>
      <c r="F13577" s="3061">
        <v>-3.7085484796328186E-3</v>
      </c>
      <c r="G13577" s="78"/>
      <c r="H13577" t="s">
        <v>1725</v>
      </c>
      <c r="R13577" s="434"/>
    </row>
    <row r="13578" spans="1:18" ht="12.75" hidden="1" customHeight="1" outlineLevel="1" x14ac:dyDescent="0.25">
      <c r="A13578" s="2380">
        <v>0.02</v>
      </c>
      <c r="B13578" s="1921" t="s">
        <v>6118</v>
      </c>
      <c r="C13578" s="2108">
        <v>71.181598990055548</v>
      </c>
      <c r="D13578" s="3059">
        <v>71.760000000000005</v>
      </c>
      <c r="E13578" s="3060">
        <v>8.125709708000084E-3</v>
      </c>
      <c r="F13578" s="3061">
        <v>1.6251419416000168E-4</v>
      </c>
      <c r="G13578" s="78"/>
      <c r="H13578" t="s">
        <v>8893</v>
      </c>
      <c r="R13578" s="434"/>
    </row>
    <row r="13579" spans="1:18" ht="12.75" hidden="1" customHeight="1" outlineLevel="1" x14ac:dyDescent="0.25">
      <c r="A13579" s="2380">
        <v>0.08</v>
      </c>
      <c r="B13579" s="1921" t="s">
        <v>1239</v>
      </c>
      <c r="C13579" s="2108">
        <v>520.20000000000005</v>
      </c>
      <c r="D13579" s="3059">
        <v>485.8</v>
      </c>
      <c r="E13579" s="3060">
        <v>-6.6128412149173421E-2</v>
      </c>
      <c r="F13579" s="3061">
        <v>-5.290272971933874E-3</v>
      </c>
      <c r="G13579" s="78"/>
      <c r="H13579" t="s">
        <v>8891</v>
      </c>
      <c r="R13579" s="434"/>
    </row>
    <row r="13580" spans="1:18" ht="12.75" hidden="1" customHeight="1" outlineLevel="1" x14ac:dyDescent="0.25">
      <c r="A13580" s="2380">
        <v>0.02</v>
      </c>
      <c r="B13580" s="1921" t="s">
        <v>577</v>
      </c>
      <c r="C13580" s="2108">
        <v>11.644101674591127</v>
      </c>
      <c r="D13580" s="3059">
        <v>3.548</v>
      </c>
      <c r="E13580" s="3060">
        <v>-0.69529637415120005</v>
      </c>
      <c r="F13580" s="3061">
        <v>-1.3905927483024001E-2</v>
      </c>
      <c r="G13580" s="78"/>
      <c r="H13580" t="s">
        <v>6732</v>
      </c>
      <c r="R13580" s="434"/>
    </row>
    <row r="13581" spans="1:18" ht="12.75" hidden="1" customHeight="1" outlineLevel="1" x14ac:dyDescent="0.25">
      <c r="A13581" s="2380">
        <v>0.02</v>
      </c>
      <c r="B13581" s="1921" t="s">
        <v>6165</v>
      </c>
      <c r="C13581" s="2108">
        <v>50.634999999999998</v>
      </c>
      <c r="D13581" s="3059">
        <v>34.08</v>
      </c>
      <c r="E13581" s="3060">
        <v>-0.32694776340475951</v>
      </c>
      <c r="F13581" s="3061">
        <v>-6.5389552680951901E-3</v>
      </c>
      <c r="G13581" s="78"/>
      <c r="H13581" t="s">
        <v>7745</v>
      </c>
      <c r="R13581" s="434"/>
    </row>
    <row r="13582" spans="1:18" ht="12.75" hidden="1" customHeight="1" outlineLevel="1" x14ac:dyDescent="0.25">
      <c r="A13582" s="2380">
        <v>0.02</v>
      </c>
      <c r="B13582" s="1921" t="s">
        <v>6</v>
      </c>
      <c r="C13582" s="2108">
        <v>38.942</v>
      </c>
      <c r="D13582" s="3059">
        <v>2.04</v>
      </c>
      <c r="E13582" s="3060">
        <v>-0.94761440090390836</v>
      </c>
      <c r="F13582" s="3061">
        <v>-1.8952288018078169E-2</v>
      </c>
      <c r="G13582" s="78"/>
      <c r="H13582" t="s">
        <v>12</v>
      </c>
      <c r="R13582" s="434"/>
    </row>
    <row r="13583" spans="1:18" ht="12.75" hidden="1" customHeight="1" outlineLevel="1" x14ac:dyDescent="0.25">
      <c r="A13583" s="2380">
        <v>0.02</v>
      </c>
      <c r="B13583" s="1921" t="s">
        <v>9301</v>
      </c>
      <c r="C13583" s="2108">
        <v>197.11500000000001</v>
      </c>
      <c r="D13583" s="3059">
        <v>44.52</v>
      </c>
      <c r="E13583" s="3060">
        <v>-0.7741419983258504</v>
      </c>
      <c r="F13583" s="3061">
        <v>-1.5482839966517009E-2</v>
      </c>
      <c r="G13583" s="78"/>
      <c r="H13583" t="s">
        <v>9302</v>
      </c>
      <c r="R13583" s="434"/>
    </row>
    <row r="13584" spans="1:18" ht="12.75" hidden="1" customHeight="1" outlineLevel="1" x14ac:dyDescent="0.25">
      <c r="A13584" s="2380">
        <v>0.02</v>
      </c>
      <c r="B13584" s="1921" t="s">
        <v>5174</v>
      </c>
      <c r="C13584" s="2108">
        <v>168.36125896386889</v>
      </c>
      <c r="D13584" s="3059">
        <v>186.85</v>
      </c>
      <c r="E13584" s="3060">
        <v>0.10981588727664993</v>
      </c>
      <c r="F13584" s="3061">
        <v>2.1963177455329988E-3</v>
      </c>
      <c r="G13584" s="78"/>
      <c r="H13584" t="s">
        <v>5172</v>
      </c>
      <c r="R13584" s="434"/>
    </row>
    <row r="13585" spans="1:18" ht="12.75" hidden="1" customHeight="1" outlineLevel="1" x14ac:dyDescent="0.25">
      <c r="A13585" s="2380">
        <v>0.08</v>
      </c>
      <c r="B13585" s="2109" t="s">
        <v>4550</v>
      </c>
      <c r="C13585" s="2108">
        <v>270.95</v>
      </c>
      <c r="D13585" s="3062">
        <v>336.2</v>
      </c>
      <c r="E13585" s="3060">
        <v>0.2408193393615059</v>
      </c>
      <c r="F13585" s="3061">
        <v>1.9265547148920474E-2</v>
      </c>
      <c r="G13585" s="78"/>
      <c r="H13585" t="s">
        <v>8889</v>
      </c>
      <c r="R13585" s="434"/>
    </row>
    <row r="13586" spans="1:18" ht="12.75" hidden="1" customHeight="1" outlineLevel="1" x14ac:dyDescent="0.25">
      <c r="A13586" s="2181" t="s">
        <v>2734</v>
      </c>
      <c r="B13586" s="2103"/>
      <c r="C13586" s="3063"/>
      <c r="D13586" s="3064"/>
      <c r="E13586" s="3065"/>
      <c r="F13586" s="3056">
        <v>-0.11419675156525699</v>
      </c>
      <c r="G13586" s="78"/>
    </row>
    <row r="13587" spans="1:18" ht="12.75" hidden="1" customHeight="1" outlineLevel="1" x14ac:dyDescent="0.25">
      <c r="A13587" s="1956" t="s">
        <v>6563</v>
      </c>
      <c r="B13587" s="2185">
        <v>43497</v>
      </c>
      <c r="C13587" s="3066">
        <v>100</v>
      </c>
      <c r="D13587" s="3066">
        <v>100.18</v>
      </c>
      <c r="E13587" s="3067">
        <v>1.8000000000000238E-3</v>
      </c>
      <c r="F13587" s="3068"/>
      <c r="G13587" s="78"/>
    </row>
    <row r="13588" spans="1:18" ht="12.75" hidden="1" customHeight="1" outlineLevel="1" x14ac:dyDescent="0.25">
      <c r="A13588" s="1956" t="s">
        <v>6564</v>
      </c>
      <c r="B13588" s="2185">
        <v>43525</v>
      </c>
      <c r="C13588" s="3066">
        <v>100</v>
      </c>
      <c r="D13588" s="3069">
        <v>101.0017</v>
      </c>
      <c r="E13588" s="3067">
        <v>1.0016999999999943E-2</v>
      </c>
      <c r="F13588" s="3068"/>
      <c r="G13588" s="78"/>
    </row>
    <row r="13589" spans="1:18" ht="12.75" hidden="1" customHeight="1" outlineLevel="1" x14ac:dyDescent="0.25">
      <c r="A13589" s="1956" t="s">
        <v>6565</v>
      </c>
      <c r="B13589" s="2185">
        <v>43556</v>
      </c>
      <c r="C13589" s="3066">
        <v>100</v>
      </c>
      <c r="D13589" s="3069">
        <v>101.1073</v>
      </c>
      <c r="E13589" s="3067">
        <v>1.1072999999999888E-2</v>
      </c>
      <c r="F13589" s="3068"/>
      <c r="G13589" s="78"/>
    </row>
    <row r="13590" spans="1:18" ht="12.75" hidden="1" customHeight="1" outlineLevel="1" x14ac:dyDescent="0.25">
      <c r="A13590" s="1956" t="s">
        <v>6566</v>
      </c>
      <c r="B13590" s="2185">
        <v>43586</v>
      </c>
      <c r="C13590" s="3066">
        <v>100</v>
      </c>
      <c r="D13590" s="3069">
        <v>96.849699999999999</v>
      </c>
      <c r="E13590" s="3067">
        <v>-3.1503000000000059E-2</v>
      </c>
      <c r="F13590" s="3068"/>
      <c r="G13590" s="78"/>
    </row>
    <row r="13591" spans="1:18" ht="12.75" hidden="1" customHeight="1" outlineLevel="1" x14ac:dyDescent="0.25">
      <c r="A13591" s="1956" t="s">
        <v>6567</v>
      </c>
      <c r="B13591" s="2185">
        <v>43617</v>
      </c>
      <c r="C13591" s="3066">
        <v>100</v>
      </c>
      <c r="D13591" s="3069">
        <v>97.940700000000007</v>
      </c>
      <c r="E13591" s="3067">
        <v>-2.0592999999999972E-2</v>
      </c>
      <c r="F13591" s="3068"/>
      <c r="G13591" s="78"/>
    </row>
    <row r="13592" spans="1:18" ht="12.75" hidden="1" customHeight="1" outlineLevel="1" x14ac:dyDescent="0.25">
      <c r="A13592" s="1956" t="s">
        <v>6568</v>
      </c>
      <c r="B13592" s="2185">
        <v>43647</v>
      </c>
      <c r="C13592" s="3066">
        <v>100</v>
      </c>
      <c r="D13592" s="3069">
        <v>97.986599999999996</v>
      </c>
      <c r="E13592" s="3067">
        <v>-2.0134000000000096E-2</v>
      </c>
      <c r="F13592" s="3068"/>
      <c r="G13592" s="78"/>
    </row>
    <row r="13593" spans="1:18" ht="12.75" hidden="1" customHeight="1" outlineLevel="1" x14ac:dyDescent="0.25">
      <c r="A13593" s="1956" t="s">
        <v>6569</v>
      </c>
      <c r="B13593" s="2185">
        <v>43678</v>
      </c>
      <c r="C13593" s="3066">
        <v>100</v>
      </c>
      <c r="D13593" s="3069">
        <v>97.574799999999996</v>
      </c>
      <c r="E13593" s="3067">
        <v>-2.4252000000000051E-2</v>
      </c>
      <c r="F13593" s="3068"/>
      <c r="G13593" s="78"/>
    </row>
    <row r="13594" spans="1:18" ht="12.75" hidden="1" customHeight="1" outlineLevel="1" x14ac:dyDescent="0.25">
      <c r="A13594" s="1956" t="s">
        <v>6570</v>
      </c>
      <c r="B13594" s="2185">
        <v>43709</v>
      </c>
      <c r="C13594" s="3066">
        <v>100</v>
      </c>
      <c r="D13594" s="3069">
        <v>102.1679</v>
      </c>
      <c r="E13594" s="3067">
        <v>2.1679000000000004E-2</v>
      </c>
      <c r="F13594" s="3068"/>
      <c r="G13594" s="78"/>
    </row>
    <row r="13595" spans="1:18" ht="12.75" hidden="1" customHeight="1" outlineLevel="1" x14ac:dyDescent="0.25">
      <c r="A13595" s="1956" t="s">
        <v>6571</v>
      </c>
      <c r="B13595" s="2185">
        <v>43739</v>
      </c>
      <c r="C13595" s="3066">
        <v>100</v>
      </c>
      <c r="D13595" s="3069">
        <v>102.4213</v>
      </c>
      <c r="E13595" s="3067">
        <v>2.421300000000004E-2</v>
      </c>
      <c r="F13595" s="3068"/>
      <c r="G13595" s="78"/>
    </row>
    <row r="13596" spans="1:18" ht="12.75" hidden="1" customHeight="1" outlineLevel="1" x14ac:dyDescent="0.25">
      <c r="A13596" s="1956" t="s">
        <v>6572</v>
      </c>
      <c r="B13596" s="2185">
        <v>43770</v>
      </c>
      <c r="C13596" s="3066">
        <v>100</v>
      </c>
      <c r="D13596" s="3069">
        <v>103.34099999999999</v>
      </c>
      <c r="E13596" s="3067">
        <v>3.340999999999994E-2</v>
      </c>
      <c r="F13596" s="3068"/>
      <c r="G13596" s="78"/>
    </row>
    <row r="13597" spans="1:18" ht="12.75" hidden="1" customHeight="1" outlineLevel="1" x14ac:dyDescent="0.25">
      <c r="A13597" s="1956" t="s">
        <v>6573</v>
      </c>
      <c r="B13597" s="2185">
        <v>43800</v>
      </c>
      <c r="C13597" s="3066">
        <v>100</v>
      </c>
      <c r="D13597" s="3069">
        <v>104.2097</v>
      </c>
      <c r="E13597" s="3067">
        <v>4.2097000000000051E-2</v>
      </c>
      <c r="F13597" s="3068"/>
      <c r="G13597" s="78"/>
    </row>
    <row r="13598" spans="1:18" ht="12.75" hidden="1" customHeight="1" outlineLevel="1" x14ac:dyDescent="0.25">
      <c r="A13598" s="1956" t="s">
        <v>6574</v>
      </c>
      <c r="B13598" s="2185">
        <v>43831</v>
      </c>
      <c r="C13598" s="3066">
        <v>100</v>
      </c>
      <c r="D13598" s="3069">
        <v>105.0639</v>
      </c>
      <c r="E13598" s="3067">
        <v>5.0639000000000101E-2</v>
      </c>
      <c r="F13598" s="3068"/>
      <c r="G13598" s="78"/>
    </row>
    <row r="13599" spans="1:18" ht="12.75" hidden="1" customHeight="1" outlineLevel="1" x14ac:dyDescent="0.25">
      <c r="A13599" s="1956" t="s">
        <v>6575</v>
      </c>
      <c r="B13599" s="2185">
        <v>43862</v>
      </c>
      <c r="C13599" s="3066">
        <v>100</v>
      </c>
      <c r="D13599" s="3069">
        <v>98.485600000000005</v>
      </c>
      <c r="E13599" s="3067">
        <v>-1.5143999999999935E-2</v>
      </c>
      <c r="F13599" s="3068"/>
      <c r="G13599" s="78"/>
    </row>
    <row r="13600" spans="1:18" ht="12.75" hidden="1" customHeight="1" outlineLevel="1" x14ac:dyDescent="0.25">
      <c r="A13600" s="1956" t="s">
        <v>6576</v>
      </c>
      <c r="B13600" s="2185">
        <v>43891</v>
      </c>
      <c r="C13600" s="3066">
        <v>100</v>
      </c>
      <c r="D13600" s="3069">
        <v>87.512500000000003</v>
      </c>
      <c r="E13600" s="3067">
        <v>-0.12487499999999996</v>
      </c>
      <c r="F13600" s="3068"/>
      <c r="G13600" s="78"/>
    </row>
    <row r="13601" spans="1:11" ht="12.75" hidden="1" customHeight="1" outlineLevel="1" x14ac:dyDescent="0.25">
      <c r="A13601" s="1956" t="s">
        <v>6577</v>
      </c>
      <c r="B13601" s="2185">
        <v>43922</v>
      </c>
      <c r="C13601" s="3066">
        <v>100</v>
      </c>
      <c r="D13601" s="3069">
        <v>87.565799999999996</v>
      </c>
      <c r="E13601" s="3067">
        <v>-0.12434200000000006</v>
      </c>
      <c r="F13601" s="3068"/>
      <c r="G13601" s="78"/>
    </row>
    <row r="13602" spans="1:11" ht="12.75" hidden="1" customHeight="1" outlineLevel="1" x14ac:dyDescent="0.25">
      <c r="A13602" s="1956" t="s">
        <v>6578</v>
      </c>
      <c r="B13602" s="2185">
        <v>43952</v>
      </c>
      <c r="C13602" s="3066">
        <v>100</v>
      </c>
      <c r="D13602" s="3069">
        <v>88.188199999999995</v>
      </c>
      <c r="E13602" s="3067">
        <v>-0.11811800000000006</v>
      </c>
      <c r="F13602" s="3068"/>
      <c r="G13602" s="78"/>
    </row>
    <row r="13603" spans="1:11" ht="12.75" hidden="1" customHeight="1" outlineLevel="1" x14ac:dyDescent="0.25">
      <c r="A13603" s="1956" t="s">
        <v>6579</v>
      </c>
      <c r="B13603" s="2185">
        <v>43983</v>
      </c>
      <c r="C13603" s="3066">
        <v>100</v>
      </c>
      <c r="D13603" s="3069">
        <v>90.079599999999999</v>
      </c>
      <c r="E13603" s="3067">
        <v>-9.9203999999999959E-2</v>
      </c>
      <c r="F13603" s="3068"/>
      <c r="G13603" s="78"/>
    </row>
    <row r="13604" spans="1:11" ht="12.75" hidden="1" customHeight="1" outlineLevel="1" x14ac:dyDescent="0.25">
      <c r="A13604" s="1956" t="s">
        <v>6580</v>
      </c>
      <c r="B13604" s="2185">
        <v>44013</v>
      </c>
      <c r="C13604" s="3066">
        <v>100</v>
      </c>
      <c r="D13604" s="3069">
        <v>88.718000000000004</v>
      </c>
      <c r="E13604" s="3067">
        <v>-0.11281999999999992</v>
      </c>
      <c r="F13604" s="3068"/>
      <c r="G13604" s="78"/>
    </row>
    <row r="13605" spans="1:11" ht="12.75" hidden="1" customHeight="1" outlineLevel="1" x14ac:dyDescent="0.25">
      <c r="A13605" s="2189" t="s">
        <v>2734</v>
      </c>
      <c r="B13605" s="2190"/>
      <c r="C13605" s="3069"/>
      <c r="D13605" s="2191" t="s">
        <v>2465</v>
      </c>
      <c r="E13605" s="1987">
        <v>-2.7558722222222228E-2</v>
      </c>
      <c r="F13605" s="2192">
        <v>0</v>
      </c>
      <c r="G13605" s="78"/>
    </row>
    <row r="13606" spans="1:11" collapsed="1" x14ac:dyDescent="0.25">
      <c r="A13606" s="3801" t="s">
        <v>6560</v>
      </c>
      <c r="B13606" s="3802"/>
      <c r="C13606" s="3802"/>
      <c r="D13606" s="3802"/>
      <c r="E13606" s="1906"/>
      <c r="F13606" s="1907">
        <v>0</v>
      </c>
      <c r="G13606" s="78"/>
    </row>
    <row r="13608" spans="1:11" ht="12.75" hidden="1" customHeight="1" outlineLevel="1" x14ac:dyDescent="0.25">
      <c r="A13608" s="15" t="s">
        <v>113</v>
      </c>
      <c r="B13608" s="15" t="s">
        <v>114</v>
      </c>
      <c r="C13608" s="15" t="s">
        <v>112</v>
      </c>
      <c r="D13608" s="15" t="s">
        <v>116</v>
      </c>
      <c r="E13608" s="15" t="s">
        <v>117</v>
      </c>
      <c r="F13608" s="1882" t="s">
        <v>121</v>
      </c>
      <c r="G13608" s="78"/>
    </row>
    <row r="13609" spans="1:11" ht="12.75" hidden="1" customHeight="1" outlineLevel="1" x14ac:dyDescent="0.25">
      <c r="A13609" s="4">
        <v>1</v>
      </c>
      <c r="B13609" s="5" t="s">
        <v>252</v>
      </c>
      <c r="C13609" s="6">
        <v>100</v>
      </c>
      <c r="D13609" s="6"/>
      <c r="E13609" s="9"/>
      <c r="F13609" s="10"/>
      <c r="G13609" s="78"/>
    </row>
    <row r="13610" spans="1:11" ht="12.75" hidden="1" customHeight="1" outlineLevel="1" x14ac:dyDescent="0.25">
      <c r="A13610" s="21" t="s">
        <v>2734</v>
      </c>
      <c r="B13610" s="21"/>
      <c r="C13610" s="11"/>
      <c r="D13610" s="32" t="s">
        <v>3702</v>
      </c>
      <c r="E13610" s="33">
        <v>44742</v>
      </c>
      <c r="F13610" s="38"/>
      <c r="G13610" s="78"/>
    </row>
    <row r="13611" spans="1:11" ht="12.75" hidden="1" customHeight="1" outlineLevel="1" x14ac:dyDescent="0.25">
      <c r="A13611" s="22" t="s">
        <v>4156</v>
      </c>
      <c r="B13611" s="24" t="s">
        <v>4153</v>
      </c>
      <c r="C13611" s="98" t="s">
        <v>112</v>
      </c>
      <c r="D13611" s="131" t="s">
        <v>4155</v>
      </c>
      <c r="E13611" s="22" t="s">
        <v>4154</v>
      </c>
      <c r="F13611" s="189" t="s">
        <v>2519</v>
      </c>
      <c r="G13611" s="78"/>
    </row>
    <row r="13612" spans="1:11" ht="12.75" hidden="1" customHeight="1" outlineLevel="1" x14ac:dyDescent="0.25">
      <c r="A13612" s="134">
        <v>0.08</v>
      </c>
      <c r="B13612" s="458" t="s">
        <v>5386</v>
      </c>
      <c r="C13612" s="454">
        <v>48.139000000000003</v>
      </c>
      <c r="D13612" s="107">
        <v>63.27</v>
      </c>
      <c r="E13612" s="85">
        <v>0.31431895136999111</v>
      </c>
      <c r="F13612" s="189">
        <v>2.5145516109599288E-2</v>
      </c>
      <c r="G13612" s="78"/>
      <c r="H13612" t="s">
        <v>808</v>
      </c>
      <c r="K13612" s="434"/>
    </row>
    <row r="13613" spans="1:11" ht="12.75" hidden="1" customHeight="1" outlineLevel="1" x14ac:dyDescent="0.25">
      <c r="A13613" s="135">
        <v>0.08</v>
      </c>
      <c r="B13613" s="151" t="s">
        <v>3954</v>
      </c>
      <c r="C13613" s="139">
        <v>53.230499999999999</v>
      </c>
      <c r="D13613" s="234">
        <v>62.51</v>
      </c>
      <c r="E13613" s="81">
        <v>0.17432674876245757</v>
      </c>
      <c r="F13613" s="80">
        <v>1.3946139900996607E-2</v>
      </c>
      <c r="G13613" s="78"/>
      <c r="H13613" t="s">
        <v>3955</v>
      </c>
      <c r="K13613" s="434"/>
    </row>
    <row r="13614" spans="1:11" ht="12.75" hidden="1" customHeight="1" outlineLevel="1" x14ac:dyDescent="0.25">
      <c r="A13614" s="135">
        <v>0.05</v>
      </c>
      <c r="B13614" s="141" t="s">
        <v>6266</v>
      </c>
      <c r="C13614" s="429">
        <v>320.51</v>
      </c>
      <c r="D13614" s="77">
        <v>80</v>
      </c>
      <c r="E13614" s="81">
        <v>-0.75039780350067087</v>
      </c>
      <c r="F13614" s="80">
        <v>-3.7519890175033543E-2</v>
      </c>
      <c r="G13614" s="78"/>
      <c r="H13614" t="s">
        <v>4334</v>
      </c>
      <c r="K13614" s="434"/>
    </row>
    <row r="13615" spans="1:11" ht="12.75" hidden="1" customHeight="1" outlineLevel="1" x14ac:dyDescent="0.25">
      <c r="A13615" s="135">
        <v>0.05</v>
      </c>
      <c r="B13615" s="141" t="s">
        <v>6267</v>
      </c>
      <c r="C13615" s="429">
        <v>25.236999999999998</v>
      </c>
      <c r="D13615" s="77">
        <v>21.07</v>
      </c>
      <c r="E13615" s="81">
        <v>-0.16511471252526044</v>
      </c>
      <c r="F13615" s="80">
        <v>-8.2557356262630225E-3</v>
      </c>
      <c r="G13615" s="78"/>
      <c r="H13615" t="s">
        <v>6268</v>
      </c>
      <c r="K13615" s="434"/>
    </row>
    <row r="13616" spans="1:11" ht="12.75" hidden="1" customHeight="1" outlineLevel="1" x14ac:dyDescent="0.25">
      <c r="A13616" s="135">
        <v>0.02</v>
      </c>
      <c r="B13616" s="211" t="s">
        <v>7227</v>
      </c>
      <c r="C13616" s="429">
        <v>18.958203439425137</v>
      </c>
      <c r="D13616" s="77">
        <v>10.965999999999999</v>
      </c>
      <c r="E13616" s="81">
        <v>-0.42156966323110001</v>
      </c>
      <c r="F13616" s="80">
        <v>-8.4313932646220002E-3</v>
      </c>
      <c r="G13616" s="78"/>
      <c r="H13616" t="s">
        <v>7229</v>
      </c>
      <c r="K13616" s="434"/>
    </row>
    <row r="13617" spans="1:11" ht="12.75" hidden="1" customHeight="1" outlineLevel="1" x14ac:dyDescent="0.25">
      <c r="A13617" s="135">
        <v>0.05</v>
      </c>
      <c r="B13617" s="141" t="s">
        <v>3799</v>
      </c>
      <c r="C13617" s="429">
        <v>1416.9232137446702</v>
      </c>
      <c r="D13617" s="77">
        <v>1765.6</v>
      </c>
      <c r="E13617" s="81">
        <v>0.24608022712384003</v>
      </c>
      <c r="F13617" s="80">
        <v>1.2304011356192003E-2</v>
      </c>
      <c r="G13617" s="78"/>
      <c r="H13617" t="s">
        <v>4128</v>
      </c>
      <c r="K13617" s="434"/>
    </row>
    <row r="13618" spans="1:11" ht="12.75" hidden="1" customHeight="1" outlineLevel="1" x14ac:dyDescent="0.25">
      <c r="A13618" s="135">
        <v>0.02</v>
      </c>
      <c r="B13618" s="141" t="s">
        <v>1771</v>
      </c>
      <c r="C13618" s="429">
        <v>658.17</v>
      </c>
      <c r="D13618" s="77">
        <v>535.6</v>
      </c>
      <c r="E13618" s="81">
        <v>-0.1862284820031298</v>
      </c>
      <c r="F13618" s="80">
        <v>-3.7245696400625963E-3</v>
      </c>
      <c r="G13618" s="78"/>
      <c r="H13618" t="s">
        <v>4329</v>
      </c>
      <c r="K13618" s="434"/>
    </row>
    <row r="13619" spans="1:11" ht="12.75" hidden="1" customHeight="1" outlineLevel="1" x14ac:dyDescent="0.25">
      <c r="A13619" s="135">
        <v>0.05</v>
      </c>
      <c r="B13619" s="141" t="s">
        <v>1772</v>
      </c>
      <c r="C13619" s="429">
        <v>154.14500000000001</v>
      </c>
      <c r="D13619" s="77">
        <v>224.2</v>
      </c>
      <c r="E13619" s="81">
        <v>0.45447468292841142</v>
      </c>
      <c r="F13619" s="80">
        <v>2.2723734146420572E-2</v>
      </c>
      <c r="G13619" s="78"/>
      <c r="H13619" t="s">
        <v>4330</v>
      </c>
      <c r="K13619" s="434"/>
    </row>
    <row r="13620" spans="1:11" ht="12.75" hidden="1" customHeight="1" outlineLevel="1" x14ac:dyDescent="0.25">
      <c r="A13620" s="135">
        <v>0.05</v>
      </c>
      <c r="B13620" s="141" t="s">
        <v>2786</v>
      </c>
      <c r="C13620" s="429">
        <v>894.99264389078132</v>
      </c>
      <c r="D13620" s="77">
        <v>1052</v>
      </c>
      <c r="E13620" s="81">
        <v>0.17542865539839991</v>
      </c>
      <c r="F13620" s="80">
        <v>8.7714327699199967E-3</v>
      </c>
      <c r="G13620" s="78"/>
      <c r="H13620" t="s">
        <v>4195</v>
      </c>
      <c r="K13620" s="434"/>
    </row>
    <row r="13621" spans="1:11" ht="12.75" hidden="1" customHeight="1" outlineLevel="1" x14ac:dyDescent="0.25">
      <c r="A13621" s="135">
        <v>0.05</v>
      </c>
      <c r="B13621" s="141" t="s">
        <v>901</v>
      </c>
      <c r="C13621" s="429">
        <v>23.769199362804812</v>
      </c>
      <c r="D13621" s="77">
        <v>35.195</v>
      </c>
      <c r="E13621" s="81">
        <v>0.48069774933499998</v>
      </c>
      <c r="F13621" s="80">
        <v>2.4034887466750001E-2</v>
      </c>
      <c r="G13621" s="78"/>
      <c r="H13621" t="s">
        <v>531</v>
      </c>
      <c r="K13621" s="434"/>
    </row>
    <row r="13622" spans="1:11" ht="12.75" hidden="1" customHeight="1" outlineLevel="1" x14ac:dyDescent="0.25">
      <c r="A13622" s="135">
        <v>0.05</v>
      </c>
      <c r="B13622" s="141" t="s">
        <v>6270</v>
      </c>
      <c r="C13622" s="429">
        <v>37.041711454077799</v>
      </c>
      <c r="D13622" s="77">
        <v>41.52</v>
      </c>
      <c r="E13622" s="81">
        <v>0.12089853222559999</v>
      </c>
      <c r="F13622" s="80">
        <v>6.0449266112799997E-3</v>
      </c>
      <c r="G13622" s="78"/>
      <c r="H13622" t="s">
        <v>8166</v>
      </c>
      <c r="K13622" s="434"/>
    </row>
    <row r="13623" spans="1:11" ht="12.75" hidden="1" customHeight="1" outlineLevel="1" x14ac:dyDescent="0.25">
      <c r="A13623" s="135">
        <v>0.08</v>
      </c>
      <c r="B13623" s="141" t="s">
        <v>6164</v>
      </c>
      <c r="C13623" s="429">
        <v>3.6482030016468316</v>
      </c>
      <c r="D13623" s="77">
        <v>4.9989999999999997</v>
      </c>
      <c r="E13623" s="81">
        <v>0.37026366069635008</v>
      </c>
      <c r="F13623" s="80">
        <v>2.9621092855708006E-2</v>
      </c>
      <c r="G13623" s="78"/>
      <c r="H13623" t="s">
        <v>6114</v>
      </c>
      <c r="K13623" s="434"/>
    </row>
    <row r="13624" spans="1:11" ht="12.75" hidden="1" customHeight="1" outlineLevel="1" x14ac:dyDescent="0.25">
      <c r="A13624" s="135">
        <v>0.05</v>
      </c>
      <c r="B13624" s="141" t="s">
        <v>1857</v>
      </c>
      <c r="C13624" s="429">
        <v>1498.1</v>
      </c>
      <c r="D13624" s="77">
        <v>1616</v>
      </c>
      <c r="E13624" s="81">
        <v>7.8699686269274371E-2</v>
      </c>
      <c r="F13624" s="80">
        <v>3.9349843134637184E-3</v>
      </c>
      <c r="G13624" s="78"/>
      <c r="H13624" t="s">
        <v>3559</v>
      </c>
      <c r="K13624" s="434"/>
    </row>
    <row r="13625" spans="1:11" ht="12.75" hidden="1" customHeight="1" outlineLevel="1" x14ac:dyDescent="0.25">
      <c r="A13625" s="135">
        <v>0.05</v>
      </c>
      <c r="B13625" s="141" t="s">
        <v>3381</v>
      </c>
      <c r="C13625" s="429">
        <v>178.36</v>
      </c>
      <c r="D13625" s="77">
        <v>342.55</v>
      </c>
      <c r="E13625" s="81">
        <v>0.92055393586005829</v>
      </c>
      <c r="F13625" s="80">
        <v>4.602769679300292E-2</v>
      </c>
      <c r="G13625" s="78"/>
      <c r="H13625" t="s">
        <v>9199</v>
      </c>
      <c r="K13625" s="434"/>
    </row>
    <row r="13626" spans="1:11" ht="12.75" hidden="1" customHeight="1" outlineLevel="1" x14ac:dyDescent="0.25">
      <c r="A13626" s="135">
        <v>0.02</v>
      </c>
      <c r="B13626" s="141" t="s">
        <v>1724</v>
      </c>
      <c r="C13626" s="429">
        <v>176.07</v>
      </c>
      <c r="D13626" s="77">
        <v>129.30000000000001</v>
      </c>
      <c r="E13626" s="81">
        <v>-0.26563298688021797</v>
      </c>
      <c r="F13626" s="80">
        <v>-5.3126597376043595E-3</v>
      </c>
      <c r="G13626" s="78"/>
      <c r="H13626" t="s">
        <v>1725</v>
      </c>
      <c r="K13626" s="434"/>
    </row>
    <row r="13627" spans="1:11" ht="12.75" hidden="1" customHeight="1" outlineLevel="1" x14ac:dyDescent="0.25">
      <c r="A13627" s="135">
        <v>0.05</v>
      </c>
      <c r="B13627" s="141" t="s">
        <v>6118</v>
      </c>
      <c r="C13627" s="429">
        <v>73.652644878924903</v>
      </c>
      <c r="D13627" s="77">
        <v>73.98</v>
      </c>
      <c r="E13627" s="81">
        <v>4.4445806611999039E-3</v>
      </c>
      <c r="F13627" s="80">
        <v>2.222290330599952E-4</v>
      </c>
      <c r="G13627" s="78"/>
      <c r="H13627" t="s">
        <v>8893</v>
      </c>
      <c r="K13627" s="434"/>
    </row>
    <row r="13628" spans="1:11" ht="12.75" hidden="1" customHeight="1" outlineLevel="1" x14ac:dyDescent="0.25">
      <c r="A13628" s="135">
        <v>0.08</v>
      </c>
      <c r="B13628" s="141" t="s">
        <v>1239</v>
      </c>
      <c r="C13628" s="429">
        <v>534.54999999999995</v>
      </c>
      <c r="D13628" s="77">
        <v>527.4</v>
      </c>
      <c r="E13628" s="81">
        <v>-1.3375736600879207E-2</v>
      </c>
      <c r="F13628" s="80">
        <v>-1.0700589280703365E-3</v>
      </c>
      <c r="G13628" s="78"/>
      <c r="H13628" t="s">
        <v>8891</v>
      </c>
      <c r="K13628" s="434"/>
    </row>
    <row r="13629" spans="1:11" ht="12.75" hidden="1" customHeight="1" outlineLevel="1" x14ac:dyDescent="0.25">
      <c r="A13629" s="135">
        <v>0.02</v>
      </c>
      <c r="B13629" s="141" t="s">
        <v>6165</v>
      </c>
      <c r="C13629" s="429">
        <v>49.823</v>
      </c>
      <c r="D13629" s="77">
        <v>39.18</v>
      </c>
      <c r="E13629" s="81">
        <v>-0.21361620135278891</v>
      </c>
      <c r="F13629" s="80">
        <v>-4.2723240270557787E-3</v>
      </c>
      <c r="G13629" s="78"/>
      <c r="H13629" t="s">
        <v>7745</v>
      </c>
      <c r="K13629" s="434"/>
    </row>
    <row r="13630" spans="1:11" ht="12.75" hidden="1" customHeight="1" outlineLevel="1" x14ac:dyDescent="0.25">
      <c r="A13630" s="135">
        <v>0.02</v>
      </c>
      <c r="B13630" s="141" t="s">
        <v>9301</v>
      </c>
      <c r="C13630" s="429">
        <v>205.27500000000001</v>
      </c>
      <c r="D13630" s="77">
        <v>48.65</v>
      </c>
      <c r="E13630" s="81">
        <v>-0.763000852514919</v>
      </c>
      <c r="F13630" s="80">
        <v>-1.5260017050298381E-2</v>
      </c>
      <c r="G13630" s="78"/>
      <c r="H13630" t="s">
        <v>9302</v>
      </c>
      <c r="K13630" s="434"/>
    </row>
    <row r="13631" spans="1:11" ht="12.75" hidden="1" customHeight="1" outlineLevel="1" x14ac:dyDescent="0.25">
      <c r="A13631" s="135">
        <v>0.08</v>
      </c>
      <c r="B13631" s="309" t="s">
        <v>4550</v>
      </c>
      <c r="C13631" s="429">
        <v>280.64</v>
      </c>
      <c r="D13631" s="34">
        <v>415.2</v>
      </c>
      <c r="E13631" s="81">
        <v>0.47947548460661338</v>
      </c>
      <c r="F13631" s="80">
        <v>3.8358038768529071E-2</v>
      </c>
      <c r="G13631" s="78"/>
      <c r="H13631" t="s">
        <v>8889</v>
      </c>
      <c r="K13631" s="434"/>
    </row>
    <row r="13632" spans="1:11" ht="12.75" hidden="1" customHeight="1" outlineLevel="1" x14ac:dyDescent="0.25">
      <c r="A13632" s="167" t="s">
        <v>2734</v>
      </c>
      <c r="B13632" s="140"/>
      <c r="C13632" s="25"/>
      <c r="D13632" s="26"/>
      <c r="E13632" s="92"/>
      <c r="F13632" s="189">
        <v>0.1507</v>
      </c>
      <c r="G13632" s="78"/>
    </row>
    <row r="13633" spans="1:7" ht="12.75" hidden="1" customHeight="1" outlineLevel="1" x14ac:dyDescent="0.25">
      <c r="A13633" s="221" t="s">
        <v>6582</v>
      </c>
      <c r="B13633" s="475">
        <v>44197</v>
      </c>
      <c r="C13633" s="13">
        <v>100</v>
      </c>
      <c r="D13633" s="13">
        <v>96.518600000000006</v>
      </c>
      <c r="E13633" s="14">
        <v>-3.4813999999999901E-2</v>
      </c>
      <c r="F13633" s="1836"/>
      <c r="G13633" s="78"/>
    </row>
    <row r="13634" spans="1:7" ht="12.75" hidden="1" customHeight="1" outlineLevel="1" x14ac:dyDescent="0.25">
      <c r="A13634" s="221" t="s">
        <v>6583</v>
      </c>
      <c r="B13634" s="475">
        <v>44228</v>
      </c>
      <c r="C13634" s="13">
        <v>100</v>
      </c>
      <c r="D13634" s="8">
        <v>96.773200000000003</v>
      </c>
      <c r="E13634" s="14">
        <v>-3.2267999999999963E-2</v>
      </c>
      <c r="F13634" s="1836"/>
      <c r="G13634" s="78"/>
    </row>
    <row r="13635" spans="1:7" ht="12.75" hidden="1" customHeight="1" outlineLevel="1" x14ac:dyDescent="0.25">
      <c r="A13635" s="221" t="s">
        <v>6584</v>
      </c>
      <c r="B13635" s="475">
        <v>44256</v>
      </c>
      <c r="C13635" s="13">
        <v>100</v>
      </c>
      <c r="D13635" s="8">
        <v>103.9134</v>
      </c>
      <c r="E13635" s="14">
        <v>3.9134000000000002E-2</v>
      </c>
      <c r="F13635" s="1836"/>
      <c r="G13635" s="78"/>
    </row>
    <row r="13636" spans="1:7" ht="12.75" hidden="1" customHeight="1" outlineLevel="1" x14ac:dyDescent="0.25">
      <c r="A13636" s="221" t="s">
        <v>6585</v>
      </c>
      <c r="B13636" s="475">
        <v>44287</v>
      </c>
      <c r="C13636" s="13">
        <v>100</v>
      </c>
      <c r="D13636" s="8">
        <v>102.5416</v>
      </c>
      <c r="E13636" s="14">
        <v>2.5416000000000105E-2</v>
      </c>
      <c r="F13636" s="1836"/>
      <c r="G13636" s="78"/>
    </row>
    <row r="13637" spans="1:7" ht="12.75" hidden="1" customHeight="1" outlineLevel="1" x14ac:dyDescent="0.25">
      <c r="A13637" s="221" t="s">
        <v>6586</v>
      </c>
      <c r="B13637" s="475">
        <v>44317</v>
      </c>
      <c r="C13637" s="13">
        <v>100</v>
      </c>
      <c r="D13637" s="8">
        <v>105.0515</v>
      </c>
      <c r="E13637" s="14">
        <v>5.0515000000000088E-2</v>
      </c>
      <c r="F13637" s="1836"/>
      <c r="G13637" s="78"/>
    </row>
    <row r="13638" spans="1:7" ht="12.75" hidden="1" customHeight="1" outlineLevel="1" x14ac:dyDescent="0.25">
      <c r="A13638" s="221" t="s">
        <v>6587</v>
      </c>
      <c r="B13638" s="475">
        <v>44348</v>
      </c>
      <c r="C13638" s="13">
        <v>100</v>
      </c>
      <c r="D13638" s="8">
        <v>105.6824</v>
      </c>
      <c r="E13638" s="14">
        <v>5.6823999999999986E-2</v>
      </c>
      <c r="F13638" s="1836"/>
      <c r="G13638" s="78"/>
    </row>
    <row r="13639" spans="1:7" ht="12.75" hidden="1" customHeight="1" outlineLevel="1" x14ac:dyDescent="0.25">
      <c r="A13639" s="221" t="s">
        <v>6588</v>
      </c>
      <c r="B13639" s="475">
        <v>44378</v>
      </c>
      <c r="C13639" s="13">
        <v>100</v>
      </c>
      <c r="D13639" s="8">
        <v>105.9782</v>
      </c>
      <c r="E13639" s="14">
        <v>5.9782000000000002E-2</v>
      </c>
      <c r="F13639" s="1836"/>
      <c r="G13639" s="78"/>
    </row>
    <row r="13640" spans="1:7" ht="12.75" hidden="1" customHeight="1" outlineLevel="1" x14ac:dyDescent="0.25">
      <c r="A13640" s="221" t="s">
        <v>6589</v>
      </c>
      <c r="B13640" s="475">
        <v>44409</v>
      </c>
      <c r="C13640" s="13">
        <v>100</v>
      </c>
      <c r="D13640" s="8">
        <v>109.9366</v>
      </c>
      <c r="E13640" s="14">
        <v>9.9366000000000065E-2</v>
      </c>
      <c r="F13640" s="1836"/>
      <c r="G13640" s="78"/>
    </row>
    <row r="13641" spans="1:7" ht="12.75" hidden="1" customHeight="1" outlineLevel="1" x14ac:dyDescent="0.25">
      <c r="A13641" s="221" t="s">
        <v>6590</v>
      </c>
      <c r="B13641" s="475">
        <v>44440</v>
      </c>
      <c r="C13641" s="13">
        <v>100</v>
      </c>
      <c r="D13641" s="8">
        <v>107.5637</v>
      </c>
      <c r="E13641" s="14">
        <v>7.5636999999999954E-2</v>
      </c>
      <c r="F13641" s="1836"/>
      <c r="G13641" s="78"/>
    </row>
    <row r="13642" spans="1:7" ht="12.75" hidden="1" customHeight="1" outlineLevel="1" x14ac:dyDescent="0.25">
      <c r="A13642" s="221" t="s">
        <v>6591</v>
      </c>
      <c r="B13642" s="475">
        <v>44470</v>
      </c>
      <c r="C13642" s="13">
        <v>100</v>
      </c>
      <c r="D13642" s="8">
        <v>111.05929999999999</v>
      </c>
      <c r="E13642" s="14">
        <v>0.11059299999999994</v>
      </c>
      <c r="F13642" s="1836"/>
      <c r="G13642" s="78"/>
    </row>
    <row r="13643" spans="1:7" ht="12.75" hidden="1" customHeight="1" outlineLevel="1" x14ac:dyDescent="0.25">
      <c r="A13643" s="221" t="s">
        <v>6592</v>
      </c>
      <c r="B13643" s="475">
        <v>44501</v>
      </c>
      <c r="C13643" s="13">
        <v>100</v>
      </c>
      <c r="D13643" s="8">
        <v>109.7715</v>
      </c>
      <c r="E13643" s="14">
        <v>9.7714999999999996E-2</v>
      </c>
      <c r="F13643" s="1836"/>
      <c r="G13643" s="78"/>
    </row>
    <row r="13644" spans="1:7" ht="12.75" hidden="1" customHeight="1" outlineLevel="1" x14ac:dyDescent="0.25">
      <c r="A13644" s="221" t="s">
        <v>6593</v>
      </c>
      <c r="B13644" s="475">
        <v>44531</v>
      </c>
      <c r="C13644" s="13">
        <v>100</v>
      </c>
      <c r="D13644" s="8">
        <v>114.7191</v>
      </c>
      <c r="E13644" s="14">
        <v>0.14719100000000007</v>
      </c>
      <c r="F13644" s="1836"/>
      <c r="G13644" s="78"/>
    </row>
    <row r="13645" spans="1:7" ht="12.75" hidden="1" customHeight="1" outlineLevel="1" x14ac:dyDescent="0.25">
      <c r="A13645" s="221" t="s">
        <v>6594</v>
      </c>
      <c r="B13645" s="475">
        <v>44562</v>
      </c>
      <c r="C13645" s="13">
        <v>100</v>
      </c>
      <c r="D13645" s="8">
        <v>118.9631</v>
      </c>
      <c r="E13645" s="14">
        <v>0.18963099999999988</v>
      </c>
      <c r="F13645" s="1836"/>
      <c r="G13645" s="78"/>
    </row>
    <row r="13646" spans="1:7" ht="12.75" hidden="1" customHeight="1" outlineLevel="1" x14ac:dyDescent="0.25">
      <c r="A13646" s="221" t="s">
        <v>6595</v>
      </c>
      <c r="B13646" s="475">
        <v>44593</v>
      </c>
      <c r="C13646" s="13">
        <v>100</v>
      </c>
      <c r="D13646" s="8">
        <v>117.93389999999999</v>
      </c>
      <c r="E13646" s="14">
        <v>0.17933899999999992</v>
      </c>
      <c r="F13646" s="1836"/>
      <c r="G13646" s="78"/>
    </row>
    <row r="13647" spans="1:7" ht="12.75" hidden="1" customHeight="1" outlineLevel="1" x14ac:dyDescent="0.25">
      <c r="A13647" s="221" t="s">
        <v>6596</v>
      </c>
      <c r="B13647" s="475">
        <v>44621</v>
      </c>
      <c r="C13647" s="13">
        <v>100</v>
      </c>
      <c r="D13647" s="8">
        <v>121.6776</v>
      </c>
      <c r="E13647" s="14">
        <v>0.21677600000000008</v>
      </c>
      <c r="F13647" s="1836"/>
      <c r="G13647" s="78"/>
    </row>
    <row r="13648" spans="1:7" ht="12.75" hidden="1" customHeight="1" outlineLevel="1" x14ac:dyDescent="0.25">
      <c r="A13648" s="221" t="s">
        <v>6597</v>
      </c>
      <c r="B13648" s="475">
        <v>44652</v>
      </c>
      <c r="C13648" s="13">
        <v>100</v>
      </c>
      <c r="D13648" s="8">
        <v>121.3537</v>
      </c>
      <c r="E13648" s="14">
        <v>0.21353700000000009</v>
      </c>
      <c r="F13648" s="1836"/>
      <c r="G13648" s="78"/>
    </row>
    <row r="13649" spans="1:11" ht="12.75" hidden="1" customHeight="1" outlineLevel="1" x14ac:dyDescent="0.25">
      <c r="A13649" s="221" t="s">
        <v>6598</v>
      </c>
      <c r="B13649" s="475">
        <v>44682</v>
      </c>
      <c r="C13649" s="13">
        <v>100</v>
      </c>
      <c r="D13649" s="8">
        <v>121.87779999999999</v>
      </c>
      <c r="E13649" s="14">
        <v>0.21877799999999992</v>
      </c>
      <c r="F13649" s="1836"/>
      <c r="G13649" s="78"/>
    </row>
    <row r="13650" spans="1:11" ht="12.75" hidden="1" customHeight="1" outlineLevel="1" x14ac:dyDescent="0.25">
      <c r="A13650" s="221" t="s">
        <v>6599</v>
      </c>
      <c r="B13650" s="475">
        <v>44713</v>
      </c>
      <c r="C13650" s="13">
        <v>100</v>
      </c>
      <c r="D13650" s="8">
        <v>115.07170000000001</v>
      </c>
      <c r="E13650" s="14">
        <v>0.15071699999999999</v>
      </c>
      <c r="F13650" s="1836"/>
      <c r="G13650" s="78"/>
    </row>
    <row r="13651" spans="1:11" ht="12.75" hidden="1" customHeight="1" outlineLevel="1" x14ac:dyDescent="0.25">
      <c r="A13651" s="27" t="s">
        <v>2734</v>
      </c>
      <c r="B13651" s="28"/>
      <c r="C13651" s="8"/>
      <c r="D13651" s="411" t="s">
        <v>2465</v>
      </c>
      <c r="E13651" s="407">
        <v>0.10354827777777779</v>
      </c>
      <c r="F13651" s="489">
        <v>0.10354827777777779</v>
      </c>
      <c r="G13651" s="78"/>
    </row>
    <row r="13652" spans="1:11" collapsed="1" x14ac:dyDescent="0.25">
      <c r="A13652" s="3801" t="s">
        <v>6581</v>
      </c>
      <c r="B13652" s="3802"/>
      <c r="C13652" s="3802"/>
      <c r="D13652" s="3802"/>
      <c r="E13652" s="1906"/>
      <c r="F13652" s="1907">
        <v>5.1774138888888897E-2</v>
      </c>
      <c r="G13652" s="78"/>
    </row>
    <row r="13654" spans="1:11" ht="12.75" hidden="1" customHeight="1" outlineLevel="1" x14ac:dyDescent="0.25">
      <c r="A13654" s="3043" t="s">
        <v>113</v>
      </c>
      <c r="B13654" s="3043" t="s">
        <v>114</v>
      </c>
      <c r="C13654" s="3043" t="s">
        <v>112</v>
      </c>
      <c r="D13654" s="3043" t="s">
        <v>116</v>
      </c>
      <c r="E13654" s="3043" t="s">
        <v>117</v>
      </c>
      <c r="F13654" s="3044" t="s">
        <v>121</v>
      </c>
      <c r="G13654" s="78"/>
    </row>
    <row r="13655" spans="1:11" ht="12.75" hidden="1" customHeight="1" outlineLevel="1" x14ac:dyDescent="0.25">
      <c r="A13655" s="3045">
        <v>1</v>
      </c>
      <c r="B13655" s="3046" t="s">
        <v>252</v>
      </c>
      <c r="C13655" s="3047">
        <v>100</v>
      </c>
      <c r="D13655" s="3047"/>
      <c r="E13655" s="3048"/>
      <c r="F13655" s="3049"/>
      <c r="G13655" s="78"/>
    </row>
    <row r="13656" spans="1:11" ht="12.75" hidden="1" customHeight="1" outlineLevel="1" x14ac:dyDescent="0.25">
      <c r="A13656" s="3050" t="s">
        <v>2734</v>
      </c>
      <c r="B13656" s="3050"/>
      <c r="C13656" s="3051"/>
      <c r="D13656" s="1900" t="s">
        <v>3702</v>
      </c>
      <c r="E13656" s="3052">
        <v>44043</v>
      </c>
      <c r="F13656" s="3053"/>
      <c r="G13656" s="78"/>
    </row>
    <row r="13657" spans="1:11" ht="12.75" hidden="1" customHeight="1" outlineLevel="1" x14ac:dyDescent="0.25">
      <c r="A13657" s="3043" t="s">
        <v>4156</v>
      </c>
      <c r="B13657" s="3043" t="s">
        <v>4153</v>
      </c>
      <c r="C13657" s="3054" t="s">
        <v>112</v>
      </c>
      <c r="D13657" s="3055" t="s">
        <v>4155</v>
      </c>
      <c r="E13657" s="3043" t="s">
        <v>4154</v>
      </c>
      <c r="F13657" s="3056" t="s">
        <v>2519</v>
      </c>
      <c r="G13657" s="78"/>
    </row>
    <row r="13658" spans="1:11" ht="12.75" hidden="1" customHeight="1" outlineLevel="1" x14ac:dyDescent="0.25">
      <c r="A13658" s="1991">
        <v>0.02</v>
      </c>
      <c r="B13658" s="1921" t="s">
        <v>359</v>
      </c>
      <c r="C13658" s="2108">
        <v>121.98999999999998</v>
      </c>
      <c r="D13658" s="3057">
        <v>176.22</v>
      </c>
      <c r="E13658" s="3058">
        <v>0.44454463480613193</v>
      </c>
      <c r="F13658" s="3056">
        <v>8.8908926961226396E-3</v>
      </c>
      <c r="G13658" s="78"/>
      <c r="H13658" t="s">
        <v>360</v>
      </c>
      <c r="K13658" s="434"/>
    </row>
    <row r="13659" spans="1:11" ht="12.75" hidden="1" customHeight="1" outlineLevel="1" x14ac:dyDescent="0.25">
      <c r="A13659" s="2380">
        <v>0.02</v>
      </c>
      <c r="B13659" s="1921" t="s">
        <v>8301</v>
      </c>
      <c r="C13659" s="2108">
        <v>6.9287601469146027</v>
      </c>
      <c r="D13659" s="3059">
        <v>1.8086</v>
      </c>
      <c r="E13659" s="3060">
        <v>-0.73897205825411993</v>
      </c>
      <c r="F13659" s="3061">
        <v>-1.4779441165082398E-2</v>
      </c>
      <c r="G13659" s="78"/>
      <c r="H13659" t="s">
        <v>8302</v>
      </c>
      <c r="K13659" s="434"/>
    </row>
    <row r="13660" spans="1:11" ht="12.75" hidden="1" customHeight="1" outlineLevel="1" x14ac:dyDescent="0.25">
      <c r="A13660" s="2380">
        <v>0.02</v>
      </c>
      <c r="B13660" s="1921" t="s">
        <v>6601</v>
      </c>
      <c r="C13660" s="2108">
        <v>36.638000000000005</v>
      </c>
      <c r="D13660" s="3059">
        <v>0.62</v>
      </c>
      <c r="E13660" s="3060">
        <v>-0.98307767891260445</v>
      </c>
      <c r="F13660" s="3061">
        <v>-1.966155357825209E-2</v>
      </c>
      <c r="G13660" s="78"/>
      <c r="H13660" t="s">
        <v>6602</v>
      </c>
      <c r="K13660" s="434"/>
    </row>
    <row r="13661" spans="1:11" ht="12.75" hidden="1" customHeight="1" outlineLevel="1" x14ac:dyDescent="0.25">
      <c r="A13661" s="2380">
        <v>0.08</v>
      </c>
      <c r="B13661" s="1921" t="s">
        <v>807</v>
      </c>
      <c r="C13661" s="2108">
        <v>47.751999999999995</v>
      </c>
      <c r="D13661" s="3059">
        <v>56.16</v>
      </c>
      <c r="E13661" s="3060">
        <v>0.17607639470598091</v>
      </c>
      <c r="F13661" s="3061">
        <v>1.4086111576478473E-2</v>
      </c>
      <c r="G13661" s="78"/>
      <c r="H13661" t="s">
        <v>808</v>
      </c>
      <c r="K13661" s="434"/>
    </row>
    <row r="13662" spans="1:11" ht="12.75" hidden="1" customHeight="1" outlineLevel="1" x14ac:dyDescent="0.25">
      <c r="A13662" s="2380">
        <v>0.02</v>
      </c>
      <c r="B13662" s="1921" t="s">
        <v>901</v>
      </c>
      <c r="C13662" s="2108">
        <v>3435.4</v>
      </c>
      <c r="D13662" s="3059">
        <v>2524.5</v>
      </c>
      <c r="E13662" s="3060">
        <v>-0.26515107411072947</v>
      </c>
      <c r="F13662" s="3061">
        <v>-5.3030214822145892E-3</v>
      </c>
      <c r="G13662" s="78"/>
      <c r="H13662" t="s">
        <v>531</v>
      </c>
      <c r="K13662" s="434"/>
    </row>
    <row r="13663" spans="1:11" ht="12.75" hidden="1" customHeight="1" outlineLevel="1" x14ac:dyDescent="0.25">
      <c r="A13663" s="2380">
        <v>0.02</v>
      </c>
      <c r="B13663" s="1921" t="s">
        <v>6078</v>
      </c>
      <c r="C13663" s="2108">
        <v>680.4</v>
      </c>
      <c r="D13663" s="3059">
        <v>366.1</v>
      </c>
      <c r="E13663" s="3060">
        <v>-0.4619341563786008</v>
      </c>
      <c r="F13663" s="3061">
        <v>-9.2386831275720165E-3</v>
      </c>
      <c r="G13663" s="78"/>
      <c r="H13663" t="s">
        <v>2354</v>
      </c>
      <c r="K13663" s="434"/>
    </row>
    <row r="13664" spans="1:11" ht="12.75" hidden="1" customHeight="1" outlineLevel="1" x14ac:dyDescent="0.25">
      <c r="A13664" s="2380">
        <v>0.08</v>
      </c>
      <c r="B13664" s="1921" t="s">
        <v>3954</v>
      </c>
      <c r="C13664" s="2108">
        <v>98.705999999999989</v>
      </c>
      <c r="D13664" s="3059">
        <v>92.73</v>
      </c>
      <c r="E13664" s="3060">
        <v>-6.0543432010211951E-2</v>
      </c>
      <c r="F13664" s="3061">
        <v>-4.8434745608169558E-3</v>
      </c>
      <c r="G13664" s="78"/>
      <c r="H13664" t="s">
        <v>3955</v>
      </c>
      <c r="K13664" s="434"/>
    </row>
    <row r="13665" spans="1:11" ht="12.75" hidden="1" customHeight="1" outlineLevel="1" x14ac:dyDescent="0.25">
      <c r="A13665" s="2380">
        <v>0.02</v>
      </c>
      <c r="B13665" s="1921" t="s">
        <v>4332</v>
      </c>
      <c r="C13665" s="2108">
        <v>295.42</v>
      </c>
      <c r="D13665" s="3059">
        <v>48.77</v>
      </c>
      <c r="E13665" s="3060">
        <v>-0.83491300521291723</v>
      </c>
      <c r="F13665" s="3061">
        <v>-1.6698260104258345E-2</v>
      </c>
      <c r="G13665" s="78"/>
      <c r="H13665" t="s">
        <v>4334</v>
      </c>
      <c r="K13665" s="434"/>
    </row>
    <row r="13666" spans="1:11" ht="12.75" hidden="1" customHeight="1" outlineLevel="1" x14ac:dyDescent="0.25">
      <c r="A13666" s="2380">
        <v>0.03</v>
      </c>
      <c r="B13666" s="1921" t="s">
        <v>6267</v>
      </c>
      <c r="C13666" s="2108">
        <v>24.726499999999998</v>
      </c>
      <c r="D13666" s="3059">
        <v>21.37</v>
      </c>
      <c r="E13666" s="3060">
        <v>-0.13574505085636857</v>
      </c>
      <c r="F13666" s="3061">
        <v>-4.0723515256910568E-3</v>
      </c>
      <c r="G13666" s="78"/>
      <c r="H13666" t="s">
        <v>6268</v>
      </c>
      <c r="K13666" s="434"/>
    </row>
    <row r="13667" spans="1:11" ht="12.75" hidden="1" customHeight="1" outlineLevel="1" x14ac:dyDescent="0.25">
      <c r="A13667" s="2380">
        <v>0.02</v>
      </c>
      <c r="B13667" s="1921" t="s">
        <v>7227</v>
      </c>
      <c r="C13667" s="2108">
        <v>18.094500000000004</v>
      </c>
      <c r="D13667" s="3059">
        <v>11.29</v>
      </c>
      <c r="E13667" s="3060">
        <v>-0.3760534969189534</v>
      </c>
      <c r="F13667" s="3061">
        <v>-7.521069938379068E-3</v>
      </c>
      <c r="G13667" s="78"/>
      <c r="H13667" t="s">
        <v>7229</v>
      </c>
      <c r="K13667" s="434"/>
    </row>
    <row r="13668" spans="1:11" ht="12.75" hidden="1" customHeight="1" outlineLevel="1" x14ac:dyDescent="0.25">
      <c r="A13668" s="2380">
        <v>0.05</v>
      </c>
      <c r="B13668" s="1921" t="s">
        <v>1386</v>
      </c>
      <c r="C13668" s="2108">
        <v>1347.1342379139649</v>
      </c>
      <c r="D13668" s="3059">
        <v>1529.8</v>
      </c>
      <c r="E13668" s="3060">
        <v>0.13559581290791978</v>
      </c>
      <c r="F13668" s="3061">
        <v>6.7797906453959892E-3</v>
      </c>
      <c r="G13668" s="78"/>
      <c r="H13668" t="s">
        <v>4128</v>
      </c>
      <c r="K13668" s="434"/>
    </row>
    <row r="13669" spans="1:11" ht="12.75" hidden="1" customHeight="1" outlineLevel="1" x14ac:dyDescent="0.25">
      <c r="A13669" s="2380">
        <v>0.02</v>
      </c>
      <c r="B13669" s="1921" t="s">
        <v>1771</v>
      </c>
      <c r="C13669" s="2108">
        <v>625.39</v>
      </c>
      <c r="D13669" s="3059">
        <v>342.2</v>
      </c>
      <c r="E13669" s="3060">
        <v>-0.45282143942180075</v>
      </c>
      <c r="F13669" s="3061">
        <v>-9.0564287884360144E-3</v>
      </c>
      <c r="G13669" s="78"/>
      <c r="H13669" t="s">
        <v>4329</v>
      </c>
      <c r="K13669" s="434"/>
    </row>
    <row r="13670" spans="1:11" ht="12.75" hidden="1" customHeight="1" outlineLevel="1" x14ac:dyDescent="0.25">
      <c r="A13670" s="2380">
        <v>0.02</v>
      </c>
      <c r="B13670" s="1921" t="s">
        <v>1772</v>
      </c>
      <c r="C13670" s="2519">
        <v>147.95999999999998</v>
      </c>
      <c r="D13670" s="3059">
        <v>224.8</v>
      </c>
      <c r="E13670" s="3060">
        <v>0.51932954852662916</v>
      </c>
      <c r="F13670" s="3061">
        <v>1.0386590970532584E-2</v>
      </c>
      <c r="G13670" s="78"/>
      <c r="H13670" t="s">
        <v>4330</v>
      </c>
      <c r="K13670" s="434"/>
    </row>
    <row r="13671" spans="1:11" ht="12.75" hidden="1" customHeight="1" outlineLevel="1" x14ac:dyDescent="0.25">
      <c r="A13671" s="2380">
        <v>0.02</v>
      </c>
      <c r="B13671" s="1921" t="s">
        <v>6113</v>
      </c>
      <c r="C13671" s="2108">
        <v>876.07516127050008</v>
      </c>
      <c r="D13671" s="3059">
        <v>900.4</v>
      </c>
      <c r="E13671" s="3060">
        <v>2.7765698429599972E-2</v>
      </c>
      <c r="F13671" s="3061">
        <v>5.5531396859199945E-4</v>
      </c>
      <c r="G13671" s="78"/>
      <c r="H13671" t="s">
        <v>4195</v>
      </c>
      <c r="K13671" s="434"/>
    </row>
    <row r="13672" spans="1:11" ht="12.75" hidden="1" customHeight="1" outlineLevel="1" x14ac:dyDescent="0.25">
      <c r="A13672" s="2380">
        <v>0.02</v>
      </c>
      <c r="B13672" s="1921" t="s">
        <v>5824</v>
      </c>
      <c r="C13672" s="2108">
        <v>10.8535</v>
      </c>
      <c r="D13672" s="3059">
        <v>9.9120000000000008</v>
      </c>
      <c r="E13672" s="3060">
        <v>-8.6746210899709686E-2</v>
      </c>
      <c r="F13672" s="3061">
        <v>-1.7349242179941938E-3</v>
      </c>
      <c r="G13672" s="78"/>
      <c r="H13672" t="s">
        <v>5817</v>
      </c>
      <c r="K13672" s="434"/>
    </row>
    <row r="13673" spans="1:11" ht="12.75" hidden="1" customHeight="1" outlineLevel="1" x14ac:dyDescent="0.25">
      <c r="A13673" s="2380">
        <v>0.02</v>
      </c>
      <c r="B13673" s="1921" t="s">
        <v>3958</v>
      </c>
      <c r="C13673" s="2108">
        <v>1150.7</v>
      </c>
      <c r="D13673" s="3059">
        <v>531</v>
      </c>
      <c r="E13673" s="3060">
        <v>-0.53854175719127495</v>
      </c>
      <c r="F13673" s="3061">
        <v>-1.07708351438255E-2</v>
      </c>
      <c r="G13673" s="78"/>
      <c r="H13673" t="s">
        <v>3959</v>
      </c>
      <c r="K13673" s="434"/>
    </row>
    <row r="13674" spans="1:11" ht="12.75" hidden="1" customHeight="1" outlineLevel="1" x14ac:dyDescent="0.25">
      <c r="A13674" s="2380">
        <v>0.05</v>
      </c>
      <c r="B13674" s="1921" t="s">
        <v>3793</v>
      </c>
      <c r="C13674" s="2108">
        <v>84.676999999999992</v>
      </c>
      <c r="D13674" s="3059">
        <v>76.81</v>
      </c>
      <c r="E13674" s="3060">
        <v>-9.2905983915348767E-2</v>
      </c>
      <c r="F13674" s="3061">
        <v>-4.6452991957674382E-3</v>
      </c>
      <c r="G13674" s="78"/>
      <c r="H13674" t="s">
        <v>3533</v>
      </c>
      <c r="K13674" s="434"/>
    </row>
    <row r="13675" spans="1:11" ht="12.75" hidden="1" customHeight="1" outlineLevel="1" x14ac:dyDescent="0.25">
      <c r="A13675" s="2380">
        <v>0.02</v>
      </c>
      <c r="B13675" s="1921" t="s">
        <v>6270</v>
      </c>
      <c r="C13675" s="2108">
        <v>36.860999999999997</v>
      </c>
      <c r="D13675" s="3059">
        <v>30.67</v>
      </c>
      <c r="E13675" s="3060">
        <v>-0.16795529150050181</v>
      </c>
      <c r="F13675" s="3061">
        <v>-3.3591058300100362E-3</v>
      </c>
      <c r="G13675" s="78"/>
      <c r="H13675" t="s">
        <v>8166</v>
      </c>
      <c r="K13675" s="434"/>
    </row>
    <row r="13676" spans="1:11" ht="12.75" hidden="1" customHeight="1" outlineLevel="1" x14ac:dyDescent="0.25">
      <c r="A13676" s="2380">
        <v>0.02</v>
      </c>
      <c r="B13676" s="1921" t="s">
        <v>6524</v>
      </c>
      <c r="C13676" s="2108">
        <v>88.594999999999999</v>
      </c>
      <c r="D13676" s="3059">
        <v>84.64</v>
      </c>
      <c r="E13676" s="3060">
        <v>-4.4641345448388714E-2</v>
      </c>
      <c r="F13676" s="3061">
        <v>-8.9282690896777431E-4</v>
      </c>
      <c r="G13676" s="78"/>
      <c r="H13676" t="s">
        <v>6525</v>
      </c>
      <c r="K13676" s="434"/>
    </row>
    <row r="13677" spans="1:11" ht="12.75" hidden="1" customHeight="1" outlineLevel="1" x14ac:dyDescent="0.25">
      <c r="A13677" s="2380">
        <v>0.08</v>
      </c>
      <c r="B13677" s="1921" t="s">
        <v>6164</v>
      </c>
      <c r="C13677" s="2108">
        <v>3.4038464746030441</v>
      </c>
      <c r="D13677" s="3059">
        <v>4.5</v>
      </c>
      <c r="E13677" s="3060">
        <v>0.32203377372500008</v>
      </c>
      <c r="F13677" s="3061">
        <v>2.5762701898000007E-2</v>
      </c>
      <c r="G13677" s="78"/>
      <c r="H13677" t="s">
        <v>6114</v>
      </c>
      <c r="K13677" s="434"/>
    </row>
    <row r="13678" spans="1:11" ht="12.75" hidden="1" customHeight="1" outlineLevel="1" x14ac:dyDescent="0.25">
      <c r="A13678" s="2380">
        <v>0.05</v>
      </c>
      <c r="B13678" s="1921" t="s">
        <v>1857</v>
      </c>
      <c r="C13678" s="2108">
        <v>1505.7</v>
      </c>
      <c r="D13678" s="3059">
        <v>1301</v>
      </c>
      <c r="E13678" s="3060">
        <v>-0.13595005645214853</v>
      </c>
      <c r="F13678" s="3061">
        <v>-6.797502822607427E-3</v>
      </c>
      <c r="G13678" s="78"/>
      <c r="H13678" t="s">
        <v>3559</v>
      </c>
      <c r="K13678" s="434"/>
    </row>
    <row r="13679" spans="1:11" ht="12.75" hidden="1" customHeight="1" outlineLevel="1" x14ac:dyDescent="0.25">
      <c r="A13679" s="2380">
        <v>0.02</v>
      </c>
      <c r="B13679" s="1921" t="s">
        <v>3381</v>
      </c>
      <c r="C13679" s="2108">
        <v>156.69999999999999</v>
      </c>
      <c r="D13679" s="3059">
        <v>134.30000000000001</v>
      </c>
      <c r="E13679" s="3060">
        <v>-0.14294830887045296</v>
      </c>
      <c r="F13679" s="3061">
        <v>-2.8589661774090593E-3</v>
      </c>
      <c r="G13679" s="78"/>
      <c r="H13679" t="s">
        <v>9199</v>
      </c>
      <c r="K13679" s="434"/>
    </row>
    <row r="13680" spans="1:11" ht="12.75" hidden="1" customHeight="1" outlineLevel="1" x14ac:dyDescent="0.25">
      <c r="A13680" s="2380">
        <v>0.02</v>
      </c>
      <c r="B13680" s="1921" t="s">
        <v>1724</v>
      </c>
      <c r="C13680" s="2108">
        <v>174.13000000000002</v>
      </c>
      <c r="D13680" s="3059">
        <v>141.97999999999999</v>
      </c>
      <c r="E13680" s="3060">
        <v>-0.18463217136622079</v>
      </c>
      <c r="F13680" s="3061">
        <v>-3.6926434273244157E-3</v>
      </c>
      <c r="G13680" s="78"/>
      <c r="H13680" t="s">
        <v>1725</v>
      </c>
      <c r="K13680" s="434"/>
    </row>
    <row r="13681" spans="1:11" ht="12.75" hidden="1" customHeight="1" outlineLevel="1" x14ac:dyDescent="0.25">
      <c r="A13681" s="2380">
        <v>0.02</v>
      </c>
      <c r="B13681" s="1921" t="s">
        <v>6118</v>
      </c>
      <c r="C13681" s="2108">
        <v>70.838263779798211</v>
      </c>
      <c r="D13681" s="3059">
        <v>71.760000000000005</v>
      </c>
      <c r="E13681" s="3060">
        <v>1.301184093200014E-2</v>
      </c>
      <c r="F13681" s="3061">
        <v>2.602368186400028E-4</v>
      </c>
      <c r="G13681" s="78"/>
      <c r="H13681" t="s">
        <v>8893</v>
      </c>
      <c r="K13681" s="434"/>
    </row>
    <row r="13682" spans="1:11" ht="12.75" hidden="1" customHeight="1" outlineLevel="1" x14ac:dyDescent="0.25">
      <c r="A13682" s="2380">
        <v>0.08</v>
      </c>
      <c r="B13682" s="1921" t="s">
        <v>1239</v>
      </c>
      <c r="C13682" s="2108">
        <v>527.6</v>
      </c>
      <c r="D13682" s="3059">
        <v>485.8</v>
      </c>
      <c r="E13682" s="3060">
        <v>-7.9226686884003028E-2</v>
      </c>
      <c r="F13682" s="3061">
        <v>-6.3381349507202426E-3</v>
      </c>
      <c r="G13682" s="78"/>
      <c r="H13682" t="s">
        <v>8891</v>
      </c>
      <c r="K13682" s="434"/>
    </row>
    <row r="13683" spans="1:11" ht="12.75" hidden="1" customHeight="1" outlineLevel="1" x14ac:dyDescent="0.25">
      <c r="A13683" s="2380">
        <v>0.02</v>
      </c>
      <c r="B13683" s="1921" t="s">
        <v>577</v>
      </c>
      <c r="C13683" s="2108">
        <v>11.398416318968568</v>
      </c>
      <c r="D13683" s="3059">
        <v>3.548</v>
      </c>
      <c r="E13683" s="3060">
        <v>-0.68872868820420008</v>
      </c>
      <c r="F13683" s="3061">
        <v>-1.3774573764084003E-2</v>
      </c>
      <c r="G13683" s="78"/>
      <c r="H13683" t="s">
        <v>6732</v>
      </c>
      <c r="K13683" s="434"/>
    </row>
    <row r="13684" spans="1:11" ht="12.75" hidden="1" customHeight="1" outlineLevel="1" x14ac:dyDescent="0.25">
      <c r="A13684" s="2380">
        <v>0.02</v>
      </c>
      <c r="B13684" s="1921" t="s">
        <v>6165</v>
      </c>
      <c r="C13684" s="2108">
        <v>46.767000000000003</v>
      </c>
      <c r="D13684" s="3059">
        <v>34.08</v>
      </c>
      <c r="E13684" s="3060">
        <v>-0.27128103149656813</v>
      </c>
      <c r="F13684" s="3061">
        <v>-5.4256206299313622E-3</v>
      </c>
      <c r="G13684" s="78"/>
      <c r="H13684" t="s">
        <v>7745</v>
      </c>
      <c r="K13684" s="434"/>
    </row>
    <row r="13685" spans="1:11" ht="12.75" hidden="1" customHeight="1" outlineLevel="1" x14ac:dyDescent="0.25">
      <c r="A13685" s="2380">
        <v>0.02</v>
      </c>
      <c r="B13685" s="1921" t="s">
        <v>6</v>
      </c>
      <c r="C13685" s="2108">
        <v>29.621999999999996</v>
      </c>
      <c r="D13685" s="3059">
        <v>2.04</v>
      </c>
      <c r="E13685" s="3060">
        <v>-0.93113226655863879</v>
      </c>
      <c r="F13685" s="3061">
        <v>-1.8622645331172777E-2</v>
      </c>
      <c r="G13685" s="78"/>
      <c r="H13685" t="s">
        <v>12</v>
      </c>
      <c r="K13685" s="434"/>
    </row>
    <row r="13686" spans="1:11" ht="12.75" hidden="1" customHeight="1" outlineLevel="1" x14ac:dyDescent="0.25">
      <c r="A13686" s="2380">
        <v>0.02</v>
      </c>
      <c r="B13686" s="1921" t="s">
        <v>5174</v>
      </c>
      <c r="C13686" s="2108">
        <v>154.14482370640985</v>
      </c>
      <c r="D13686" s="3059">
        <v>186.85</v>
      </c>
      <c r="E13686" s="3060">
        <v>0.21217174542222494</v>
      </c>
      <c r="F13686" s="3061">
        <v>4.2434349084444992E-3</v>
      </c>
      <c r="G13686" s="78"/>
      <c r="H13686" t="s">
        <v>5172</v>
      </c>
      <c r="K13686" s="434"/>
    </row>
    <row r="13687" spans="1:11" ht="12.75" hidden="1" customHeight="1" outlineLevel="1" x14ac:dyDescent="0.25">
      <c r="A13687" s="2380">
        <v>0.08</v>
      </c>
      <c r="B13687" s="2109" t="s">
        <v>4550</v>
      </c>
      <c r="C13687" s="2108">
        <v>276.57000000000005</v>
      </c>
      <c r="D13687" s="3062">
        <v>336.2</v>
      </c>
      <c r="E13687" s="3060">
        <v>0.2156054525075024</v>
      </c>
      <c r="F13687" s="3061">
        <v>1.7248436200600192E-2</v>
      </c>
      <c r="G13687" s="78"/>
      <c r="H13687" t="s">
        <v>8889</v>
      </c>
      <c r="K13687" s="434"/>
    </row>
    <row r="13688" spans="1:11" ht="12.75" hidden="1" customHeight="1" outlineLevel="1" x14ac:dyDescent="0.25">
      <c r="A13688" s="2181" t="s">
        <v>2734</v>
      </c>
      <c r="B13688" s="2103"/>
      <c r="C13688" s="3063"/>
      <c r="D13688" s="3064"/>
      <c r="E13688" s="3065"/>
      <c r="F13688" s="3056">
        <v>-8.1873852987710369E-2</v>
      </c>
      <c r="G13688" s="78"/>
    </row>
    <row r="13689" spans="1:11" ht="12.75" hidden="1" customHeight="1" outlineLevel="1" x14ac:dyDescent="0.25">
      <c r="A13689" s="1956" t="s">
        <v>6604</v>
      </c>
      <c r="B13689" s="2185">
        <v>43497</v>
      </c>
      <c r="C13689" s="3066">
        <v>100</v>
      </c>
      <c r="D13689" s="3066">
        <v>102.39619999999999</v>
      </c>
      <c r="E13689" s="3067">
        <v>2.3962000000000039E-2</v>
      </c>
      <c r="F13689" s="3068"/>
      <c r="G13689" s="78"/>
    </row>
    <row r="13690" spans="1:11" ht="12.75" hidden="1" customHeight="1" outlineLevel="1" x14ac:dyDescent="0.25">
      <c r="A13690" s="1956" t="s">
        <v>6605</v>
      </c>
      <c r="B13690" s="2185">
        <v>43525</v>
      </c>
      <c r="C13690" s="3066">
        <v>100</v>
      </c>
      <c r="D13690" s="3069">
        <v>103.0612</v>
      </c>
      <c r="E13690" s="3067">
        <v>3.0612000000000084E-2</v>
      </c>
      <c r="F13690" s="3068"/>
      <c r="G13690" s="78"/>
    </row>
    <row r="13691" spans="1:11" ht="12.75" hidden="1" customHeight="1" outlineLevel="1" x14ac:dyDescent="0.25">
      <c r="A13691" s="1956" t="s">
        <v>6606</v>
      </c>
      <c r="B13691" s="2185">
        <v>43556</v>
      </c>
      <c r="C13691" s="3066">
        <v>100</v>
      </c>
      <c r="D13691" s="3069">
        <v>103.6165</v>
      </c>
      <c r="E13691" s="3067">
        <v>3.6165000000000003E-2</v>
      </c>
      <c r="F13691" s="3068"/>
      <c r="G13691" s="78"/>
    </row>
    <row r="13692" spans="1:11" ht="12.75" hidden="1" customHeight="1" outlineLevel="1" x14ac:dyDescent="0.25">
      <c r="A13692" s="1956" t="s">
        <v>6607</v>
      </c>
      <c r="B13692" s="2185">
        <v>43586</v>
      </c>
      <c r="C13692" s="3066">
        <v>100</v>
      </c>
      <c r="D13692" s="3069">
        <v>99.403099999999995</v>
      </c>
      <c r="E13692" s="3067">
        <v>-5.9690000000000021E-3</v>
      </c>
      <c r="F13692" s="3068"/>
      <c r="G13692" s="78"/>
    </row>
    <row r="13693" spans="1:11" ht="12.75" hidden="1" customHeight="1" outlineLevel="1" x14ac:dyDescent="0.25">
      <c r="A13693" s="1956" t="s">
        <v>6608</v>
      </c>
      <c r="B13693" s="2185">
        <v>43617</v>
      </c>
      <c r="C13693" s="3066">
        <v>100</v>
      </c>
      <c r="D13693" s="3069">
        <v>100.8408</v>
      </c>
      <c r="E13693" s="3067">
        <v>8.4079999999999711E-3</v>
      </c>
      <c r="F13693" s="3068"/>
      <c r="G13693" s="78"/>
    </row>
    <row r="13694" spans="1:11" ht="12.75" hidden="1" customHeight="1" outlineLevel="1" x14ac:dyDescent="0.25">
      <c r="A13694" s="1956" t="s">
        <v>6609</v>
      </c>
      <c r="B13694" s="2185">
        <v>43647</v>
      </c>
      <c r="C13694" s="3066">
        <v>100</v>
      </c>
      <c r="D13694" s="3069">
        <v>100.8505</v>
      </c>
      <c r="E13694" s="3067">
        <v>8.5049999999999848E-3</v>
      </c>
      <c r="F13694" s="3068"/>
      <c r="G13694" s="78"/>
    </row>
    <row r="13695" spans="1:11" ht="12.75" hidden="1" customHeight="1" outlineLevel="1" x14ac:dyDescent="0.25">
      <c r="A13695" s="1956" t="s">
        <v>6610</v>
      </c>
      <c r="B13695" s="2185">
        <v>43678</v>
      </c>
      <c r="C13695" s="3066">
        <v>100</v>
      </c>
      <c r="D13695" s="3069">
        <v>100.3158</v>
      </c>
      <c r="E13695" s="3067">
        <v>3.1579999999999941E-3</v>
      </c>
      <c r="F13695" s="3068"/>
      <c r="G13695" s="78"/>
    </row>
    <row r="13696" spans="1:11" ht="12.75" hidden="1" customHeight="1" outlineLevel="1" x14ac:dyDescent="0.25">
      <c r="A13696" s="1956" t="s">
        <v>6611</v>
      </c>
      <c r="B13696" s="2185">
        <v>43709</v>
      </c>
      <c r="C13696" s="3066">
        <v>100</v>
      </c>
      <c r="D13696" s="3069">
        <v>105.12479999999999</v>
      </c>
      <c r="E13696" s="3067">
        <v>5.124799999999996E-2</v>
      </c>
      <c r="F13696" s="3068"/>
      <c r="G13696" s="78"/>
    </row>
    <row r="13697" spans="1:7" ht="12.75" hidden="1" customHeight="1" outlineLevel="1" x14ac:dyDescent="0.25">
      <c r="A13697" s="1956" t="s">
        <v>6612</v>
      </c>
      <c r="B13697" s="2185">
        <v>43739</v>
      </c>
      <c r="C13697" s="3066">
        <v>100</v>
      </c>
      <c r="D13697" s="3069">
        <v>105.7013</v>
      </c>
      <c r="E13697" s="3067">
        <v>5.701299999999998E-2</v>
      </c>
      <c r="F13697" s="3068"/>
      <c r="G13697" s="78"/>
    </row>
    <row r="13698" spans="1:7" ht="12.75" hidden="1" customHeight="1" outlineLevel="1" x14ac:dyDescent="0.25">
      <c r="A13698" s="1956" t="s">
        <v>6613</v>
      </c>
      <c r="B13698" s="2185">
        <v>43770</v>
      </c>
      <c r="C13698" s="3066">
        <v>100</v>
      </c>
      <c r="D13698" s="3069">
        <v>106.4567</v>
      </c>
      <c r="E13698" s="3067">
        <v>6.4567000000000041E-2</v>
      </c>
      <c r="F13698" s="3068"/>
      <c r="G13698" s="78"/>
    </row>
    <row r="13699" spans="1:7" ht="12.75" hidden="1" customHeight="1" outlineLevel="1" x14ac:dyDescent="0.25">
      <c r="A13699" s="1956" t="s">
        <v>6614</v>
      </c>
      <c r="B13699" s="2185">
        <v>43800</v>
      </c>
      <c r="C13699" s="3066">
        <v>100</v>
      </c>
      <c r="D13699" s="3069">
        <v>107.1639</v>
      </c>
      <c r="E13699" s="3067">
        <v>7.1639000000000008E-2</v>
      </c>
      <c r="F13699" s="3068"/>
      <c r="G13699" s="78"/>
    </row>
    <row r="13700" spans="1:7" ht="12.75" hidden="1" customHeight="1" outlineLevel="1" x14ac:dyDescent="0.25">
      <c r="A13700" s="1956" t="s">
        <v>6615</v>
      </c>
      <c r="B13700" s="2185">
        <v>43831</v>
      </c>
      <c r="C13700" s="3066">
        <v>100</v>
      </c>
      <c r="D13700" s="3069">
        <v>108.13079999999999</v>
      </c>
      <c r="E13700" s="3067">
        <v>8.1307999999999936E-2</v>
      </c>
      <c r="F13700" s="3068"/>
      <c r="G13700" s="78"/>
    </row>
    <row r="13701" spans="1:7" ht="12.75" hidden="1" customHeight="1" outlineLevel="1" x14ac:dyDescent="0.25">
      <c r="A13701" s="1956" t="s">
        <v>6616</v>
      </c>
      <c r="B13701" s="2185">
        <v>43862</v>
      </c>
      <c r="C13701" s="3066">
        <v>100</v>
      </c>
      <c r="D13701" s="3069">
        <v>100.8947</v>
      </c>
      <c r="E13701" s="3067">
        <v>8.9470000000000383E-3</v>
      </c>
      <c r="F13701" s="3068"/>
      <c r="G13701" s="78"/>
    </row>
    <row r="13702" spans="1:7" ht="12.75" hidden="1" customHeight="1" outlineLevel="1" x14ac:dyDescent="0.25">
      <c r="A13702" s="1956" t="s">
        <v>6617</v>
      </c>
      <c r="B13702" s="2185">
        <v>43891</v>
      </c>
      <c r="C13702" s="3066">
        <v>100</v>
      </c>
      <c r="D13702" s="3069">
        <v>89.505600000000001</v>
      </c>
      <c r="E13702" s="3067">
        <v>-0.10494400000000004</v>
      </c>
      <c r="F13702" s="3068"/>
      <c r="G13702" s="78"/>
    </row>
    <row r="13703" spans="1:7" ht="12.75" hidden="1" customHeight="1" outlineLevel="1" x14ac:dyDescent="0.25">
      <c r="A13703" s="1956" t="s">
        <v>6618</v>
      </c>
      <c r="B13703" s="2185">
        <v>43922</v>
      </c>
      <c r="C13703" s="3066">
        <v>100</v>
      </c>
      <c r="D13703" s="3069">
        <v>89.614800000000002</v>
      </c>
      <c r="E13703" s="3067">
        <v>-0.10385199999999994</v>
      </c>
      <c r="F13703" s="3068"/>
      <c r="G13703" s="78"/>
    </row>
    <row r="13704" spans="1:7" ht="12.75" hidden="1" customHeight="1" outlineLevel="1" x14ac:dyDescent="0.25">
      <c r="A13704" s="1956" t="s">
        <v>6619</v>
      </c>
      <c r="B13704" s="2185">
        <v>43952</v>
      </c>
      <c r="C13704" s="3066">
        <v>100</v>
      </c>
      <c r="D13704" s="3069">
        <v>90.207700000000003</v>
      </c>
      <c r="E13704" s="3067">
        <v>-9.7922999999999982E-2</v>
      </c>
      <c r="F13704" s="3068"/>
      <c r="G13704" s="78"/>
    </row>
    <row r="13705" spans="1:7" ht="12.75" hidden="1" customHeight="1" outlineLevel="1" x14ac:dyDescent="0.25">
      <c r="A13705" s="1956" t="s">
        <v>6620</v>
      </c>
      <c r="B13705" s="2185">
        <v>43983</v>
      </c>
      <c r="C13705" s="3066">
        <v>100</v>
      </c>
      <c r="D13705" s="3069">
        <v>92.853499999999997</v>
      </c>
      <c r="E13705" s="3067">
        <v>-7.1465000000000001E-2</v>
      </c>
      <c r="F13705" s="3068"/>
      <c r="G13705" s="78"/>
    </row>
    <row r="13706" spans="1:7" ht="12.75" hidden="1" customHeight="1" outlineLevel="1" x14ac:dyDescent="0.25">
      <c r="A13706" s="1956" t="s">
        <v>6621</v>
      </c>
      <c r="B13706" s="2185">
        <v>44013</v>
      </c>
      <c r="C13706" s="3066">
        <v>100</v>
      </c>
      <c r="D13706" s="3069">
        <v>91.957899999999995</v>
      </c>
      <c r="E13706" s="3067">
        <v>-8.0421000000000076E-2</v>
      </c>
      <c r="F13706" s="3068"/>
      <c r="G13706" s="78"/>
    </row>
    <row r="13707" spans="1:7" ht="12.75" hidden="1" customHeight="1" outlineLevel="1" x14ac:dyDescent="0.25">
      <c r="A13707" s="2189" t="s">
        <v>2734</v>
      </c>
      <c r="B13707" s="2190"/>
      <c r="C13707" s="3069"/>
      <c r="D13707" s="2191" t="s">
        <v>2465</v>
      </c>
      <c r="E13707" s="1987">
        <v>-1.057888888888889E-3</v>
      </c>
      <c r="F13707" s="2192">
        <v>-1.057888888888889E-3</v>
      </c>
      <c r="G13707" s="78"/>
    </row>
    <row r="13708" spans="1:7" collapsed="1" x14ac:dyDescent="0.25">
      <c r="A13708" s="3801" t="s">
        <v>6600</v>
      </c>
      <c r="B13708" s="3802"/>
      <c r="C13708" s="3802"/>
      <c r="D13708" s="3802"/>
      <c r="E13708" s="1906"/>
      <c r="F13708" s="1907">
        <v>-1.057888888888889E-3</v>
      </c>
      <c r="G13708" s="78"/>
    </row>
    <row r="13710" spans="1:7" ht="12.75" hidden="1" customHeight="1" outlineLevel="1" x14ac:dyDescent="0.25">
      <c r="A13710" s="2914" t="s">
        <v>113</v>
      </c>
      <c r="B13710" s="2914" t="s">
        <v>114</v>
      </c>
      <c r="C13710" s="2914" t="s">
        <v>112</v>
      </c>
      <c r="D13710" s="2914" t="s">
        <v>116</v>
      </c>
      <c r="E13710" s="2914" t="s">
        <v>117</v>
      </c>
      <c r="F13710" s="2915" t="s">
        <v>121</v>
      </c>
      <c r="G13710" s="78"/>
    </row>
    <row r="13711" spans="1:7" ht="12.75" hidden="1" customHeight="1" outlineLevel="1" x14ac:dyDescent="0.25">
      <c r="A13711" s="2916">
        <v>1</v>
      </c>
      <c r="B13711" s="2917" t="s">
        <v>252</v>
      </c>
      <c r="C13711" s="2918">
        <v>100</v>
      </c>
      <c r="D13711" s="1900" t="s">
        <v>3702</v>
      </c>
      <c r="E13711" s="2923">
        <v>43921</v>
      </c>
      <c r="F13711" s="2924"/>
      <c r="G13711" s="78"/>
    </row>
    <row r="13712" spans="1:7" ht="40.5" hidden="1" customHeight="1" outlineLevel="1" x14ac:dyDescent="0.25">
      <c r="A13712" s="2925" t="s">
        <v>4156</v>
      </c>
      <c r="B13712" s="2925" t="s">
        <v>4153</v>
      </c>
      <c r="C13712" s="2925" t="s">
        <v>112</v>
      </c>
      <c r="D13712" s="2925" t="s">
        <v>4155</v>
      </c>
      <c r="E13712" s="2925" t="s">
        <v>4154</v>
      </c>
      <c r="F13712" s="2925" t="s">
        <v>2519</v>
      </c>
      <c r="G13712" s="78"/>
    </row>
    <row r="13713" spans="1:14" ht="12.75" hidden="1" customHeight="1" outlineLevel="1" x14ac:dyDescent="0.25">
      <c r="A13713" s="1991">
        <v>0.02</v>
      </c>
      <c r="B13713" s="1921" t="s">
        <v>3998</v>
      </c>
      <c r="C13713" s="2108">
        <v>35.426000000000002</v>
      </c>
      <c r="D13713" s="2928">
        <v>29.15</v>
      </c>
      <c r="E13713" s="2929">
        <v>-0.17715801953367594</v>
      </c>
      <c r="F13713" s="2927">
        <v>-3.5431603906735188E-3</v>
      </c>
      <c r="G13713" s="78"/>
      <c r="H13713" t="s">
        <v>4000</v>
      </c>
      <c r="L13713" s="434"/>
      <c r="M13713" s="434"/>
      <c r="N13713" s="74"/>
    </row>
    <row r="13714" spans="1:14" ht="12.75" hidden="1" customHeight="1" outlineLevel="1" x14ac:dyDescent="0.25">
      <c r="A13714" s="2380">
        <v>0.03</v>
      </c>
      <c r="B13714" s="1921" t="s">
        <v>805</v>
      </c>
      <c r="C13714" s="2108">
        <v>81.96</v>
      </c>
      <c r="D13714" s="2930">
        <v>71.06</v>
      </c>
      <c r="E13714" s="2931">
        <v>-0.13299170326988763</v>
      </c>
      <c r="F13714" s="2932">
        <v>-3.9897510980966286E-3</v>
      </c>
      <c r="G13714" s="78"/>
      <c r="H13714" t="s">
        <v>806</v>
      </c>
      <c r="I13714" s="98" t="s">
        <v>6654</v>
      </c>
      <c r="J13714" s="494" t="s">
        <v>6655</v>
      </c>
      <c r="L13714" s="434"/>
      <c r="M13714" s="434"/>
      <c r="N13714" s="74"/>
    </row>
    <row r="13715" spans="1:14" ht="12.75" hidden="1" customHeight="1" outlineLevel="1" x14ac:dyDescent="0.25">
      <c r="A13715" s="2380">
        <v>0.08</v>
      </c>
      <c r="B13715" s="1921" t="s">
        <v>807</v>
      </c>
      <c r="C13715" s="2108">
        <v>52.741999999999997</v>
      </c>
      <c r="D13715" s="2930">
        <v>57.73</v>
      </c>
      <c r="E13715" s="2931">
        <v>9.4573584619468409E-2</v>
      </c>
      <c r="F13715" s="2932">
        <v>7.5658867695574733E-3</v>
      </c>
      <c r="G13715" s="78"/>
      <c r="H13715" t="s">
        <v>808</v>
      </c>
      <c r="I13715" s="417">
        <v>2015</v>
      </c>
      <c r="J13715" s="478">
        <v>3.0983E-2</v>
      </c>
      <c r="L13715" s="434"/>
      <c r="M13715" s="434"/>
      <c r="N13715" s="74"/>
    </row>
    <row r="13716" spans="1:14" ht="12.75" hidden="1" customHeight="1" outlineLevel="1" x14ac:dyDescent="0.25">
      <c r="A13716" s="2380">
        <v>0.02</v>
      </c>
      <c r="B13716" s="1921" t="s">
        <v>2353</v>
      </c>
      <c r="C13716" s="2108">
        <v>736.9</v>
      </c>
      <c r="D13716" s="2930">
        <v>336.2</v>
      </c>
      <c r="E13716" s="2931">
        <v>-0.54376441850997415</v>
      </c>
      <c r="F13716" s="2932">
        <v>-1.0875288370199482E-2</v>
      </c>
      <c r="G13716" s="78"/>
      <c r="H13716" t="s">
        <v>2354</v>
      </c>
      <c r="I13716" s="417">
        <v>2016</v>
      </c>
      <c r="J13716" s="478" t="s">
        <v>5590</v>
      </c>
      <c r="L13716" s="434"/>
      <c r="M13716" s="434"/>
      <c r="N13716" s="74"/>
    </row>
    <row r="13717" spans="1:14" ht="12.75" hidden="1" customHeight="1" outlineLevel="1" x14ac:dyDescent="0.25">
      <c r="A13717" s="2380">
        <v>0.08</v>
      </c>
      <c r="B13717" s="1921" t="s">
        <v>3954</v>
      </c>
      <c r="C13717" s="2108">
        <v>104.199</v>
      </c>
      <c r="D13717" s="2930">
        <v>82</v>
      </c>
      <c r="E13717" s="2931">
        <v>-0.21304427105826351</v>
      </c>
      <c r="F13717" s="2932">
        <v>-1.704354168466108E-2</v>
      </c>
      <c r="G13717" s="78"/>
      <c r="H13717" t="s">
        <v>3955</v>
      </c>
      <c r="I13717" s="417">
        <v>2017</v>
      </c>
      <c r="J13717" s="478">
        <v>0.1148</v>
      </c>
      <c r="L13717" s="434"/>
      <c r="M13717" s="434"/>
      <c r="N13717" s="74"/>
    </row>
    <row r="13718" spans="1:14" ht="12.75" hidden="1" customHeight="1" outlineLevel="1" x14ac:dyDescent="0.25">
      <c r="A13718" s="2380">
        <v>0.02</v>
      </c>
      <c r="B13718" s="1921" t="s">
        <v>6079</v>
      </c>
      <c r="C13718" s="2108">
        <v>62.680999999999997</v>
      </c>
      <c r="D13718" s="2930">
        <v>78</v>
      </c>
      <c r="E13718" s="2931">
        <v>0.24439622852219967</v>
      </c>
      <c r="F13718" s="2932">
        <v>4.8879245704439933E-3</v>
      </c>
      <c r="G13718" s="78"/>
      <c r="H13718" t="s">
        <v>1320</v>
      </c>
      <c r="I13718" s="417">
        <v>2018</v>
      </c>
      <c r="J13718" s="478">
        <v>4.2189999999999997E-3</v>
      </c>
      <c r="L13718" s="434"/>
      <c r="M13718" s="434"/>
      <c r="N13718" s="74"/>
    </row>
    <row r="13719" spans="1:14" ht="12.75" hidden="1" customHeight="1" outlineLevel="1" x14ac:dyDescent="0.3">
      <c r="A13719" s="2380">
        <v>0.02</v>
      </c>
      <c r="B13719" s="1921" t="s">
        <v>6161</v>
      </c>
      <c r="C13719" s="2108">
        <v>13817.5</v>
      </c>
      <c r="D13719" s="2930">
        <v>10065</v>
      </c>
      <c r="E13719" s="2931">
        <v>-0.271575900126651</v>
      </c>
      <c r="F13719" s="2932">
        <v>-5.4315180025330204E-3</v>
      </c>
      <c r="G13719" s="78"/>
      <c r="H13719" t="s">
        <v>6159</v>
      </c>
      <c r="J13719" s="1559" t="s">
        <v>10357</v>
      </c>
      <c r="L13719" s="434"/>
      <c r="M13719" s="434"/>
      <c r="N13719" s="74"/>
    </row>
    <row r="13720" spans="1:14" ht="12.75" hidden="1" customHeight="1" outlineLevel="1" x14ac:dyDescent="0.25">
      <c r="A13720" s="2380">
        <v>0.02</v>
      </c>
      <c r="B13720" s="1921" t="s">
        <v>3021</v>
      </c>
      <c r="C13720" s="2108">
        <v>16.382000000000001</v>
      </c>
      <c r="D13720" s="2930">
        <v>9.2200000000000006</v>
      </c>
      <c r="E13720" s="2931">
        <v>-0.43718715663533148</v>
      </c>
      <c r="F13720" s="2932">
        <v>-8.7437431327066304E-3</v>
      </c>
      <c r="G13720" s="78"/>
      <c r="H13720" t="s">
        <v>4124</v>
      </c>
      <c r="L13720" s="434"/>
      <c r="M13720" s="434"/>
      <c r="N13720" s="74"/>
    </row>
    <row r="13721" spans="1:14" ht="12.75" hidden="1" customHeight="1" outlineLevel="1" x14ac:dyDescent="0.25">
      <c r="A13721" s="2380">
        <v>0.02</v>
      </c>
      <c r="B13721" s="1921" t="s">
        <v>5232</v>
      </c>
      <c r="C13721" s="2108">
        <v>82.641999999999996</v>
      </c>
      <c r="D13721" s="2930">
        <v>93.97</v>
      </c>
      <c r="E13721" s="2931">
        <v>0.137073158926454</v>
      </c>
      <c r="F13721" s="2932">
        <v>2.7414631785290799E-3</v>
      </c>
      <c r="G13721" s="78"/>
      <c r="H13721" t="s">
        <v>5230</v>
      </c>
      <c r="L13721" s="434"/>
      <c r="M13721" s="434"/>
      <c r="N13721" s="74"/>
    </row>
    <row r="13722" spans="1:14" ht="12.75" hidden="1" customHeight="1" outlineLevel="1" x14ac:dyDescent="0.25">
      <c r="A13722" s="2380">
        <v>0.03</v>
      </c>
      <c r="B13722" s="1921" t="s">
        <v>7227</v>
      </c>
      <c r="C13722" s="2108">
        <v>18.608499999999999</v>
      </c>
      <c r="D13722" s="2930">
        <v>9.4120000000000008</v>
      </c>
      <c r="E13722" s="2931">
        <v>-0.49420963538168039</v>
      </c>
      <c r="F13722" s="2932">
        <v>-1.4826289061450412E-2</v>
      </c>
      <c r="G13722" s="78"/>
      <c r="H13722" t="s">
        <v>7229</v>
      </c>
      <c r="L13722" s="434"/>
      <c r="M13722" s="434"/>
      <c r="N13722" s="74"/>
    </row>
    <row r="13723" spans="1:14" ht="12.75" hidden="1" customHeight="1" outlineLevel="1" x14ac:dyDescent="0.25">
      <c r="A13723" s="2380">
        <v>0.03</v>
      </c>
      <c r="B13723" s="1921" t="s">
        <v>1386</v>
      </c>
      <c r="C13723" s="2108">
        <v>1431.8568718925485</v>
      </c>
      <c r="D13723" s="2930">
        <v>1514.6</v>
      </c>
      <c r="E13723" s="2931">
        <v>5.7787289869333236E-2</v>
      </c>
      <c r="F13723" s="2932">
        <v>1.7336186960799969E-3</v>
      </c>
      <c r="G13723" s="78"/>
      <c r="H13723" t="s">
        <v>4128</v>
      </c>
      <c r="L13723" s="434"/>
      <c r="M13723" s="434"/>
      <c r="N13723" s="74"/>
    </row>
    <row r="13724" spans="1:14" ht="12.75" hidden="1" customHeight="1" outlineLevel="1" x14ac:dyDescent="0.25">
      <c r="A13724" s="2380">
        <v>0.02</v>
      </c>
      <c r="B13724" s="1921" t="s">
        <v>6530</v>
      </c>
      <c r="C13724" s="2108">
        <v>39.640715817220602</v>
      </c>
      <c r="D13724" s="2930">
        <v>23.85</v>
      </c>
      <c r="E13724" s="2931">
        <v>-0.39834587977750002</v>
      </c>
      <c r="F13724" s="2932">
        <v>-7.9669175955500004E-3</v>
      </c>
      <c r="G13724" s="78"/>
      <c r="H13724" t="s">
        <v>10140</v>
      </c>
      <c r="L13724" s="434"/>
      <c r="M13724" s="434"/>
      <c r="N13724" s="74"/>
    </row>
    <row r="13725" spans="1:14" ht="12.75" hidden="1" customHeight="1" outlineLevel="1" x14ac:dyDescent="0.25">
      <c r="A13725" s="2380">
        <v>0.02</v>
      </c>
      <c r="B13725" s="1921" t="s">
        <v>6163</v>
      </c>
      <c r="C13725" s="2519">
        <v>71.358000000000004</v>
      </c>
      <c r="D13725" s="2930">
        <v>45.78</v>
      </c>
      <c r="E13725" s="2931">
        <v>-0.35844614479105363</v>
      </c>
      <c r="F13725" s="2932">
        <v>-7.168922895821073E-3</v>
      </c>
      <c r="G13725" s="78"/>
      <c r="H13725" t="s">
        <v>9170</v>
      </c>
      <c r="L13725" s="434"/>
      <c r="M13725" s="434"/>
      <c r="N13725" s="74"/>
    </row>
    <row r="13726" spans="1:14" ht="12.75" hidden="1" customHeight="1" outlineLevel="1" x14ac:dyDescent="0.25">
      <c r="A13726" s="2380">
        <v>0.02</v>
      </c>
      <c r="B13726" s="1921" t="s">
        <v>1772</v>
      </c>
      <c r="C13726" s="2108">
        <v>155.91499999999999</v>
      </c>
      <c r="D13726" s="2930">
        <v>184.1</v>
      </c>
      <c r="E13726" s="2931">
        <v>0.18077157425520318</v>
      </c>
      <c r="F13726" s="2932">
        <v>3.6154314851040638E-3</v>
      </c>
      <c r="G13726" s="78"/>
      <c r="H13726" t="s">
        <v>4330</v>
      </c>
      <c r="L13726" s="434"/>
      <c r="M13726" s="434"/>
      <c r="N13726" s="74"/>
    </row>
    <row r="13727" spans="1:14" ht="12.75" hidden="1" customHeight="1" outlineLevel="1" x14ac:dyDescent="0.25">
      <c r="A13727" s="2380">
        <v>0.03</v>
      </c>
      <c r="B13727" s="1921" t="s">
        <v>6113</v>
      </c>
      <c r="C13727" s="2108">
        <v>943.26484208080728</v>
      </c>
      <c r="D13727" s="2930">
        <v>946.6</v>
      </c>
      <c r="E13727" s="2931">
        <v>3.5357598104002186E-3</v>
      </c>
      <c r="F13727" s="2932">
        <v>1.0607279431200656E-4</v>
      </c>
      <c r="G13727" s="78"/>
      <c r="H13727" t="s">
        <v>4195</v>
      </c>
      <c r="L13727" s="434"/>
      <c r="M13727" s="434"/>
      <c r="N13727" s="74"/>
    </row>
    <row r="13728" spans="1:14" ht="12.75" hidden="1" customHeight="1" outlineLevel="1" x14ac:dyDescent="0.25">
      <c r="A13728" s="2380">
        <v>0.02</v>
      </c>
      <c r="B13728" s="1921" t="s">
        <v>5824</v>
      </c>
      <c r="C13728" s="2108">
        <v>12.8095</v>
      </c>
      <c r="D13728" s="2930">
        <v>11.135</v>
      </c>
      <c r="E13728" s="2931">
        <v>-0.13072329130723293</v>
      </c>
      <c r="F13728" s="2932">
        <v>-2.6144658261446586E-3</v>
      </c>
      <c r="G13728" s="78"/>
      <c r="H13728" t="s">
        <v>5817</v>
      </c>
      <c r="L13728" s="434"/>
      <c r="M13728" s="434"/>
      <c r="N13728" s="74"/>
    </row>
    <row r="13729" spans="1:14" ht="12.75" hidden="1" customHeight="1" outlineLevel="1" x14ac:dyDescent="0.25">
      <c r="A13729" s="2380">
        <v>0.02</v>
      </c>
      <c r="B13729" s="1921" t="s">
        <v>2769</v>
      </c>
      <c r="C13729" s="2108">
        <v>33.292667195623885</v>
      </c>
      <c r="D13729" s="2930">
        <v>24.68</v>
      </c>
      <c r="E13729" s="2931">
        <v>-0.25869562042046201</v>
      </c>
      <c r="F13729" s="2932">
        <v>-5.1739124084092406E-3</v>
      </c>
      <c r="G13729" s="78"/>
      <c r="H13729" t="s">
        <v>2770</v>
      </c>
      <c r="L13729" s="434"/>
      <c r="M13729" s="434"/>
      <c r="N13729" s="74"/>
    </row>
    <row r="13730" spans="1:14" ht="12.75" hidden="1" customHeight="1" outlineLevel="1" x14ac:dyDescent="0.25">
      <c r="A13730" s="2380">
        <v>0.08</v>
      </c>
      <c r="B13730" s="1921" t="s">
        <v>901</v>
      </c>
      <c r="C13730" s="2108">
        <v>26.93588774913492</v>
      </c>
      <c r="D13730" s="2930">
        <v>27.59</v>
      </c>
      <c r="E13730" s="2931">
        <v>2.4284042796625105E-2</v>
      </c>
      <c r="F13730" s="2932">
        <v>1.9427234237300085E-3</v>
      </c>
      <c r="G13730" s="78"/>
      <c r="H13730" t="s">
        <v>531</v>
      </c>
      <c r="L13730" s="434"/>
      <c r="M13730" s="434"/>
      <c r="N13730" s="74"/>
    </row>
    <row r="13731" spans="1:14" ht="12.75" hidden="1" customHeight="1" outlineLevel="1" x14ac:dyDescent="0.25">
      <c r="A13731" s="2380">
        <v>0.03</v>
      </c>
      <c r="B13731" s="1921" t="s">
        <v>6164</v>
      </c>
      <c r="C13731" s="2108">
        <v>3.3915287749288621</v>
      </c>
      <c r="D13731" s="2930">
        <v>4.2039999999999997</v>
      </c>
      <c r="E13731" s="2931">
        <v>0.23955899506946676</v>
      </c>
      <c r="F13731" s="2932">
        <v>7.1867698520840023E-3</v>
      </c>
      <c r="G13731" s="78"/>
      <c r="H13731" t="s">
        <v>6114</v>
      </c>
      <c r="L13731" s="434"/>
      <c r="M13731" s="434"/>
      <c r="N13731" s="74"/>
    </row>
    <row r="13732" spans="1:14" ht="12.75" hidden="1" customHeight="1" outlineLevel="1" x14ac:dyDescent="0.25">
      <c r="A13732" s="2380">
        <v>0.03</v>
      </c>
      <c r="B13732" s="1921" t="s">
        <v>3427</v>
      </c>
      <c r="C13732" s="2108">
        <v>47.168999999999997</v>
      </c>
      <c r="D13732" s="2930">
        <v>54.14</v>
      </c>
      <c r="E13732" s="2931">
        <v>0.14778774194916156</v>
      </c>
      <c r="F13732" s="2932">
        <v>4.4336322584748464E-3</v>
      </c>
      <c r="G13732" s="78"/>
      <c r="H13732" t="s">
        <v>2800</v>
      </c>
      <c r="L13732" s="434"/>
      <c r="M13732" s="434"/>
      <c r="N13732" s="74"/>
    </row>
    <row r="13733" spans="1:14" ht="12.75" hidden="1" customHeight="1" outlineLevel="1" x14ac:dyDescent="0.25">
      <c r="A13733" s="2380">
        <v>0.03</v>
      </c>
      <c r="B13733" s="1921" t="s">
        <v>1857</v>
      </c>
      <c r="C13733" s="2108">
        <v>1570.2</v>
      </c>
      <c r="D13733" s="2930">
        <v>1305</v>
      </c>
      <c r="E13733" s="2931">
        <v>-0.16889568207871608</v>
      </c>
      <c r="F13733" s="2932">
        <v>-5.0668704623614827E-3</v>
      </c>
      <c r="G13733" s="78"/>
      <c r="H13733" t="s">
        <v>3559</v>
      </c>
      <c r="L13733" s="434"/>
      <c r="M13733" s="434"/>
      <c r="N13733" s="74"/>
    </row>
    <row r="13734" spans="1:14" ht="12.75" hidden="1" customHeight="1" outlineLevel="1" x14ac:dyDescent="0.25">
      <c r="A13734" s="2380">
        <v>0.02</v>
      </c>
      <c r="B13734" s="1921" t="s">
        <v>3381</v>
      </c>
      <c r="C13734" s="2108">
        <v>150.27000000000001</v>
      </c>
      <c r="D13734" s="2930">
        <v>131.15</v>
      </c>
      <c r="E13734" s="2931">
        <v>-0.12723763891661677</v>
      </c>
      <c r="F13734" s="2932">
        <v>-2.5447527783323356E-3</v>
      </c>
      <c r="G13734" s="78"/>
      <c r="H13734" t="s">
        <v>9199</v>
      </c>
      <c r="L13734" s="434"/>
      <c r="M13734" s="434"/>
      <c r="N13734" s="74"/>
    </row>
    <row r="13735" spans="1:14" ht="12.75" hidden="1" customHeight="1" outlineLevel="1" x14ac:dyDescent="0.25">
      <c r="A13735" s="2380">
        <v>0.03</v>
      </c>
      <c r="B13735" s="1921" t="s">
        <v>1239</v>
      </c>
      <c r="C13735" s="2108">
        <v>566.45000000000005</v>
      </c>
      <c r="D13735" s="2930">
        <v>520.20000000000005</v>
      </c>
      <c r="E13735" s="2931">
        <v>-8.164886574278396E-2</v>
      </c>
      <c r="F13735" s="2932">
        <v>-2.4494659722835185E-3</v>
      </c>
      <c r="G13735" s="78"/>
      <c r="H13735" t="s">
        <v>8891</v>
      </c>
      <c r="L13735" s="434"/>
      <c r="M13735" s="434"/>
      <c r="N13735" s="74"/>
    </row>
    <row r="13736" spans="1:14" ht="12.75" hidden="1" customHeight="1" outlineLevel="1" x14ac:dyDescent="0.25">
      <c r="A13736" s="2380">
        <v>0.02</v>
      </c>
      <c r="B13736" s="1921" t="s">
        <v>3022</v>
      </c>
      <c r="C13736" s="2108">
        <v>4920.2</v>
      </c>
      <c r="D13736" s="2930">
        <v>3308</v>
      </c>
      <c r="E13736" s="2931">
        <v>-0.32766960692654767</v>
      </c>
      <c r="F13736" s="2932">
        <v>-6.553392138530954E-3</v>
      </c>
      <c r="G13736" s="78"/>
      <c r="H13736" t="s">
        <v>2802</v>
      </c>
      <c r="L13736" s="434"/>
      <c r="M13736" s="434"/>
      <c r="N13736" s="74"/>
    </row>
    <row r="13737" spans="1:14" ht="12.75" hidden="1" customHeight="1" outlineLevel="1" x14ac:dyDescent="0.25">
      <c r="A13737" s="2380">
        <v>0.08</v>
      </c>
      <c r="B13737" s="1921" t="s">
        <v>577</v>
      </c>
      <c r="C13737" s="2108">
        <v>12.04995213009688</v>
      </c>
      <c r="D13737" s="2930">
        <v>4.1734999999999998</v>
      </c>
      <c r="E13737" s="2931">
        <v>-0.65365007637034944</v>
      </c>
      <c r="F13737" s="2932">
        <v>-5.2292006109627955E-2</v>
      </c>
      <c r="G13737" s="78"/>
      <c r="H13737" t="s">
        <v>6732</v>
      </c>
      <c r="L13737" s="434"/>
      <c r="M13737" s="434"/>
      <c r="N13737" s="74"/>
    </row>
    <row r="13738" spans="1:14" ht="12.75" hidden="1" customHeight="1" outlineLevel="1" x14ac:dyDescent="0.25">
      <c r="A13738" s="2380">
        <v>0.02</v>
      </c>
      <c r="B13738" s="1921" t="s">
        <v>6165</v>
      </c>
      <c r="C13738" s="2108">
        <v>51.42</v>
      </c>
      <c r="D13738" s="2930">
        <v>35.700000000000003</v>
      </c>
      <c r="E13738" s="2931">
        <v>-0.30571761960326715</v>
      </c>
      <c r="F13738" s="2932">
        <v>-6.1143523920653428E-3</v>
      </c>
      <c r="G13738" s="78"/>
      <c r="H13738" t="s">
        <v>7745</v>
      </c>
      <c r="L13738" s="434"/>
      <c r="M13738" s="434"/>
      <c r="N13738" s="74"/>
    </row>
    <row r="13739" spans="1:14" ht="12.75" hidden="1" customHeight="1" outlineLevel="1" x14ac:dyDescent="0.25">
      <c r="A13739" s="2380">
        <v>0.02</v>
      </c>
      <c r="B13739" s="1921" t="s">
        <v>3626</v>
      </c>
      <c r="C13739" s="2108">
        <v>56.805999999999997</v>
      </c>
      <c r="D13739" s="2930">
        <v>59.83</v>
      </c>
      <c r="E13739" s="2931">
        <v>5.3233813329577773E-2</v>
      </c>
      <c r="F13739" s="2932">
        <v>1.0646762665915555E-3</v>
      </c>
      <c r="G13739" s="78"/>
      <c r="H13739" t="s">
        <v>7752</v>
      </c>
      <c r="L13739" s="434"/>
      <c r="M13739" s="434"/>
      <c r="N13739" s="74"/>
    </row>
    <row r="13740" spans="1:14" ht="12.75" hidden="1" customHeight="1" outlineLevel="1" x14ac:dyDescent="0.25">
      <c r="A13740" s="2380">
        <v>0.03</v>
      </c>
      <c r="B13740" s="1921" t="s">
        <v>4601</v>
      </c>
      <c r="C13740" s="2108">
        <v>201.68</v>
      </c>
      <c r="D13740" s="2930">
        <v>51.56</v>
      </c>
      <c r="E13740" s="2931">
        <v>-0.74434748115827054</v>
      </c>
      <c r="F13740" s="2932">
        <v>-2.2330424434748114E-2</v>
      </c>
      <c r="G13740" s="78"/>
      <c r="H13740" t="s">
        <v>9302</v>
      </c>
      <c r="L13740" s="434"/>
      <c r="M13740" s="434"/>
      <c r="N13740" s="74"/>
    </row>
    <row r="13741" spans="1:14" ht="12.75" hidden="1" customHeight="1" outlineLevel="1" x14ac:dyDescent="0.25">
      <c r="A13741" s="2380">
        <v>0.03</v>
      </c>
      <c r="B13741" s="1921" t="s">
        <v>106</v>
      </c>
      <c r="C13741" s="2108">
        <v>2587.5</v>
      </c>
      <c r="D13741" s="2930">
        <v>4075.5</v>
      </c>
      <c r="E13741" s="2931">
        <v>0.57507246376811594</v>
      </c>
      <c r="F13741" s="2932">
        <v>1.7252173913043477E-2</v>
      </c>
      <c r="G13741" s="78"/>
      <c r="H13741" t="s">
        <v>107</v>
      </c>
      <c r="L13741" s="434"/>
      <c r="M13741" s="434"/>
      <c r="N13741" s="74"/>
    </row>
    <row r="13742" spans="1:14" ht="12.75" hidden="1" customHeight="1" outlineLevel="1" x14ac:dyDescent="0.25">
      <c r="A13742" s="2380">
        <v>0.08</v>
      </c>
      <c r="B13742" s="2109" t="s">
        <v>4550</v>
      </c>
      <c r="C13742" s="2108">
        <v>290.77999999999997</v>
      </c>
      <c r="D13742" s="2933">
        <v>343.4</v>
      </c>
      <c r="E13742" s="2931">
        <v>0.18096155168856187</v>
      </c>
      <c r="F13742" s="2932">
        <v>1.4476924135084951E-2</v>
      </c>
      <c r="G13742" s="78"/>
      <c r="H13742" t="s">
        <v>8889</v>
      </c>
      <c r="L13742" s="434"/>
      <c r="M13742" s="434"/>
      <c r="N13742" s="74"/>
    </row>
    <row r="13743" spans="1:14" ht="12.75" hidden="1" customHeight="1" outlineLevel="1" x14ac:dyDescent="0.25">
      <c r="A13743" s="2181" t="s">
        <v>2734</v>
      </c>
      <c r="B13743" s="2103"/>
      <c r="C13743" s="2934"/>
      <c r="D13743" s="2935"/>
      <c r="E13743" s="2936"/>
      <c r="F13743" s="2927">
        <v>-0.1173</v>
      </c>
      <c r="G13743" s="78"/>
    </row>
    <row r="13744" spans="1:14" ht="12.75" hidden="1" customHeight="1" outlineLevel="1" x14ac:dyDescent="0.25">
      <c r="A13744" s="1956" t="s">
        <v>6635</v>
      </c>
      <c r="B13744" s="2185">
        <v>43374</v>
      </c>
      <c r="C13744" s="2937">
        <v>100</v>
      </c>
      <c r="D13744" s="2937">
        <v>99.6584</v>
      </c>
      <c r="E13744" s="2938">
        <v>-3.4159999999999746E-3</v>
      </c>
      <c r="F13744" s="2939"/>
      <c r="G13744" s="78"/>
    </row>
    <row r="13745" spans="1:7" ht="12.75" hidden="1" customHeight="1" outlineLevel="1" x14ac:dyDescent="0.25">
      <c r="A13745" s="1956" t="s">
        <v>6636</v>
      </c>
      <c r="B13745" s="2185">
        <v>43405</v>
      </c>
      <c r="C13745" s="2937">
        <v>100</v>
      </c>
      <c r="D13745" s="2940">
        <v>99.820099999999996</v>
      </c>
      <c r="E13745" s="2938">
        <v>-1.798999999999995E-3</v>
      </c>
      <c r="F13745" s="2939"/>
      <c r="G13745" s="78"/>
    </row>
    <row r="13746" spans="1:7" ht="12.75" hidden="1" customHeight="1" outlineLevel="1" x14ac:dyDescent="0.25">
      <c r="A13746" s="1956" t="s">
        <v>6637</v>
      </c>
      <c r="B13746" s="2185">
        <v>43435</v>
      </c>
      <c r="C13746" s="2937">
        <v>100</v>
      </c>
      <c r="D13746" s="2940">
        <v>93.806899999999999</v>
      </c>
      <c r="E13746" s="2938">
        <v>-6.1930999999999958E-2</v>
      </c>
      <c r="F13746" s="2939"/>
      <c r="G13746" s="78"/>
    </row>
    <row r="13747" spans="1:7" ht="12.75" hidden="1" customHeight="1" outlineLevel="1" x14ac:dyDescent="0.25">
      <c r="A13747" s="1956" t="s">
        <v>6638</v>
      </c>
      <c r="B13747" s="2185">
        <v>43466</v>
      </c>
      <c r="C13747" s="2937">
        <v>100</v>
      </c>
      <c r="D13747" s="2940">
        <v>99.373900000000006</v>
      </c>
      <c r="E13747" s="2938">
        <v>-6.260999999999961E-3</v>
      </c>
      <c r="F13747" s="2939"/>
      <c r="G13747" s="78"/>
    </row>
    <row r="13748" spans="1:7" ht="12.75" hidden="1" customHeight="1" outlineLevel="1" x14ac:dyDescent="0.25">
      <c r="A13748" s="1956" t="s">
        <v>6639</v>
      </c>
      <c r="B13748" s="2185">
        <v>43497</v>
      </c>
      <c r="C13748" s="2937">
        <v>100</v>
      </c>
      <c r="D13748" s="2940">
        <v>101.2518</v>
      </c>
      <c r="E13748" s="2938">
        <v>1.2518000000000029E-2</v>
      </c>
      <c r="F13748" s="2939"/>
      <c r="G13748" s="78"/>
    </row>
    <row r="13749" spans="1:7" ht="12.75" hidden="1" customHeight="1" outlineLevel="1" x14ac:dyDescent="0.25">
      <c r="A13749" s="1956" t="s">
        <v>6640</v>
      </c>
      <c r="B13749" s="2185">
        <v>43525</v>
      </c>
      <c r="C13749" s="2937">
        <v>100</v>
      </c>
      <c r="D13749" s="2940">
        <v>103.6413</v>
      </c>
      <c r="E13749" s="2938">
        <v>3.6413000000000029E-2</v>
      </c>
      <c r="F13749" s="2939"/>
      <c r="G13749" s="78"/>
    </row>
    <row r="13750" spans="1:7" ht="12.75" hidden="1" customHeight="1" outlineLevel="1" x14ac:dyDescent="0.25">
      <c r="A13750" s="1956" t="s">
        <v>6641</v>
      </c>
      <c r="B13750" s="2185">
        <v>43556</v>
      </c>
      <c r="C13750" s="2937">
        <v>100</v>
      </c>
      <c r="D13750" s="2940">
        <v>103.7098</v>
      </c>
      <c r="E13750" s="2938">
        <v>3.7098000000000075E-2</v>
      </c>
      <c r="F13750" s="2939"/>
      <c r="G13750" s="78"/>
    </row>
    <row r="13751" spans="1:7" ht="12.75" hidden="1" customHeight="1" outlineLevel="1" x14ac:dyDescent="0.25">
      <c r="A13751" s="1956" t="s">
        <v>6642</v>
      </c>
      <c r="B13751" s="2185">
        <v>43586</v>
      </c>
      <c r="C13751" s="2937">
        <v>100</v>
      </c>
      <c r="D13751" s="2940">
        <v>100.4666</v>
      </c>
      <c r="E13751" s="2938">
        <v>4.666000000000059E-3</v>
      </c>
      <c r="F13751" s="2939"/>
      <c r="G13751" s="78"/>
    </row>
    <row r="13752" spans="1:7" ht="12.75" hidden="1" customHeight="1" outlineLevel="1" x14ac:dyDescent="0.25">
      <c r="A13752" s="1956" t="s">
        <v>6643</v>
      </c>
      <c r="B13752" s="2185">
        <v>43617</v>
      </c>
      <c r="C13752" s="2937">
        <v>100</v>
      </c>
      <c r="D13752" s="2940">
        <v>102.0692</v>
      </c>
      <c r="E13752" s="2938">
        <v>2.0691999999999933E-2</v>
      </c>
      <c r="F13752" s="2939"/>
      <c r="G13752" s="78"/>
    </row>
    <row r="13753" spans="1:7" ht="12.75" hidden="1" customHeight="1" outlineLevel="1" x14ac:dyDescent="0.25">
      <c r="A13753" s="1956" t="s">
        <v>6644</v>
      </c>
      <c r="B13753" s="2185">
        <v>43647</v>
      </c>
      <c r="C13753" s="2937">
        <v>100</v>
      </c>
      <c r="D13753" s="2940">
        <v>102.7325</v>
      </c>
      <c r="E13753" s="2938">
        <v>2.7325000000000044E-2</v>
      </c>
      <c r="F13753" s="2939"/>
      <c r="G13753" s="78"/>
    </row>
    <row r="13754" spans="1:7" ht="12.75" hidden="1" customHeight="1" outlineLevel="1" x14ac:dyDescent="0.25">
      <c r="A13754" s="1956" t="s">
        <v>6645</v>
      </c>
      <c r="B13754" s="2185">
        <v>43678</v>
      </c>
      <c r="C13754" s="2937">
        <v>100</v>
      </c>
      <c r="D13754" s="2940">
        <v>103.56010000000001</v>
      </c>
      <c r="E13754" s="2938">
        <v>3.5600999999999994E-2</v>
      </c>
      <c r="F13754" s="2939"/>
      <c r="G13754" s="78"/>
    </row>
    <row r="13755" spans="1:7" ht="12.75" hidden="1" customHeight="1" outlineLevel="1" x14ac:dyDescent="0.25">
      <c r="A13755" s="1956" t="s">
        <v>6646</v>
      </c>
      <c r="B13755" s="2185">
        <v>43709</v>
      </c>
      <c r="C13755" s="2937">
        <v>100</v>
      </c>
      <c r="D13755" s="2940">
        <v>108.4426</v>
      </c>
      <c r="E13755" s="2938">
        <v>8.442599999999989E-2</v>
      </c>
      <c r="F13755" s="2939"/>
      <c r="G13755" s="78"/>
    </row>
    <row r="13756" spans="1:7" ht="12.75" hidden="1" customHeight="1" outlineLevel="1" x14ac:dyDescent="0.25">
      <c r="A13756" s="1956" t="s">
        <v>6647</v>
      </c>
      <c r="B13756" s="2185">
        <v>43739</v>
      </c>
      <c r="C13756" s="2937">
        <v>100</v>
      </c>
      <c r="D13756" s="2940">
        <v>108.0573</v>
      </c>
      <c r="E13756" s="2938">
        <v>8.0573000000000006E-2</v>
      </c>
      <c r="F13756" s="2939"/>
      <c r="G13756" s="78"/>
    </row>
    <row r="13757" spans="1:7" ht="12.75" hidden="1" customHeight="1" outlineLevel="1" x14ac:dyDescent="0.25">
      <c r="A13757" s="1956" t="s">
        <v>6648</v>
      </c>
      <c r="B13757" s="2185">
        <v>43770</v>
      </c>
      <c r="C13757" s="2937">
        <v>100</v>
      </c>
      <c r="D13757" s="2940">
        <v>109.3776</v>
      </c>
      <c r="E13757" s="2938">
        <v>9.3776000000000082E-2</v>
      </c>
      <c r="F13757" s="2939"/>
      <c r="G13757" s="78"/>
    </row>
    <row r="13758" spans="1:7" ht="12.75" hidden="1" customHeight="1" outlineLevel="1" x14ac:dyDescent="0.25">
      <c r="A13758" s="1956" t="s">
        <v>6649</v>
      </c>
      <c r="B13758" s="2185">
        <v>43800</v>
      </c>
      <c r="C13758" s="2937">
        <v>100</v>
      </c>
      <c r="D13758" s="2940">
        <v>108.87990000000001</v>
      </c>
      <c r="E13758" s="2938">
        <v>8.8799000000000072E-2</v>
      </c>
      <c r="F13758" s="2939"/>
      <c r="G13758" s="78"/>
    </row>
    <row r="13759" spans="1:7" ht="12.75" hidden="1" customHeight="1" outlineLevel="1" x14ac:dyDescent="0.25">
      <c r="A13759" s="1956" t="s">
        <v>6650</v>
      </c>
      <c r="B13759" s="2185">
        <v>43831</v>
      </c>
      <c r="C13759" s="2937">
        <v>100</v>
      </c>
      <c r="D13759" s="2940">
        <v>110.66330000000001</v>
      </c>
      <c r="E13759" s="2938">
        <v>0.10663299999999998</v>
      </c>
      <c r="F13759" s="2939"/>
      <c r="G13759" s="78"/>
    </row>
    <row r="13760" spans="1:7" ht="12.75" hidden="1" customHeight="1" outlineLevel="1" x14ac:dyDescent="0.25">
      <c r="A13760" s="1956" t="s">
        <v>6651</v>
      </c>
      <c r="B13760" s="2185">
        <v>43862</v>
      </c>
      <c r="C13760" s="2937">
        <v>100</v>
      </c>
      <c r="D13760" s="2940">
        <v>101.083</v>
      </c>
      <c r="E13760" s="2938">
        <v>1.0829999999999895E-2</v>
      </c>
      <c r="F13760" s="2939"/>
      <c r="G13760" s="78"/>
    </row>
    <row r="13761" spans="1:15" ht="12.75" hidden="1" customHeight="1" outlineLevel="1" x14ac:dyDescent="0.25">
      <c r="A13761" s="1956" t="s">
        <v>6652</v>
      </c>
      <c r="B13761" s="2185">
        <v>43891</v>
      </c>
      <c r="C13761" s="2937">
        <v>100</v>
      </c>
      <c r="D13761" s="2940">
        <v>88.271699999999996</v>
      </c>
      <c r="E13761" s="2938">
        <v>-0.11728300000000003</v>
      </c>
      <c r="F13761" s="2939"/>
      <c r="G13761" s="78"/>
    </row>
    <row r="13762" spans="1:15" ht="12.75" hidden="1" customHeight="1" outlineLevel="1" x14ac:dyDescent="0.25">
      <c r="A13762" s="2189" t="s">
        <v>2734</v>
      </c>
      <c r="B13762" s="2190"/>
      <c r="C13762" s="2940"/>
      <c r="D13762" s="2191" t="s">
        <v>2465</v>
      </c>
      <c r="E13762" s="1987">
        <v>2.4925555555555565E-2</v>
      </c>
      <c r="F13762" s="2192">
        <v>2.4925555555555565E-2</v>
      </c>
      <c r="G13762" s="78"/>
    </row>
    <row r="13763" spans="1:15" collapsed="1" x14ac:dyDescent="0.25">
      <c r="A13763" s="3801" t="s">
        <v>6653</v>
      </c>
      <c r="B13763" s="3802"/>
      <c r="C13763" s="3802"/>
      <c r="D13763" s="3802"/>
      <c r="E13763" s="1906"/>
      <c r="F13763" s="1907">
        <v>2.4925555555555565E-2</v>
      </c>
      <c r="G13763" s="78"/>
      <c r="O13763" s="2432"/>
    </row>
    <row r="13765" spans="1:15" ht="12.75" hidden="1" customHeight="1" outlineLevel="1" x14ac:dyDescent="0.25">
      <c r="A13765" s="3153" t="s">
        <v>113</v>
      </c>
      <c r="B13765" s="3153" t="s">
        <v>114</v>
      </c>
      <c r="C13765" s="3153" t="s">
        <v>112</v>
      </c>
      <c r="D13765" s="3153" t="s">
        <v>116</v>
      </c>
      <c r="E13765" s="3153" t="s">
        <v>117</v>
      </c>
      <c r="F13765" s="3154" t="s">
        <v>121</v>
      </c>
      <c r="G13765" s="78"/>
    </row>
    <row r="13766" spans="1:15" ht="12.75" hidden="1" customHeight="1" outlineLevel="1" x14ac:dyDescent="0.25">
      <c r="A13766" s="3155">
        <v>1</v>
      </c>
      <c r="B13766" s="3156" t="s">
        <v>252</v>
      </c>
      <c r="C13766" s="3157">
        <v>100</v>
      </c>
      <c r="D13766" s="3157"/>
      <c r="E13766" s="3158"/>
      <c r="F13766" s="3159"/>
      <c r="G13766" s="78"/>
    </row>
    <row r="13767" spans="1:15" ht="12.75" hidden="1" customHeight="1" outlineLevel="1" x14ac:dyDescent="0.25">
      <c r="A13767" s="3160" t="s">
        <v>2734</v>
      </c>
      <c r="B13767" s="3160"/>
      <c r="C13767" s="3161"/>
      <c r="D13767" s="1900" t="s">
        <v>3702</v>
      </c>
      <c r="E13767" s="3162">
        <v>44134</v>
      </c>
      <c r="F13767" s="3163"/>
      <c r="G13767" s="78"/>
    </row>
    <row r="13768" spans="1:15" ht="12.75" hidden="1" customHeight="1" outlineLevel="1" x14ac:dyDescent="0.25">
      <c r="A13768" s="3153" t="s">
        <v>4156</v>
      </c>
      <c r="B13768" s="3153" t="s">
        <v>4153</v>
      </c>
      <c r="C13768" s="3164" t="s">
        <v>112</v>
      </c>
      <c r="D13768" s="3165" t="s">
        <v>4155</v>
      </c>
      <c r="E13768" s="3153" t="s">
        <v>4154</v>
      </c>
      <c r="F13768" s="3166" t="s">
        <v>2519</v>
      </c>
      <c r="G13768" s="78"/>
    </row>
    <row r="13769" spans="1:15" ht="12.75" hidden="1" customHeight="1" outlineLevel="1" x14ac:dyDescent="0.25">
      <c r="A13769" s="1991">
        <v>0.03</v>
      </c>
      <c r="B13769" s="1921" t="s">
        <v>359</v>
      </c>
      <c r="C13769" s="2108">
        <v>147.29499999999999</v>
      </c>
      <c r="D13769" s="3167">
        <v>151.06</v>
      </c>
      <c r="E13769" s="3168">
        <v>2.5560949115720266E-2</v>
      </c>
      <c r="F13769" s="3166">
        <v>7.6682847347160795E-4</v>
      </c>
      <c r="G13769" s="78"/>
      <c r="H13769" t="s">
        <v>360</v>
      </c>
      <c r="I13769" s="434"/>
      <c r="K13769" s="434"/>
      <c r="L13769" s="406"/>
      <c r="M13769" s="434"/>
    </row>
    <row r="13770" spans="1:15" ht="12.75" hidden="1" customHeight="1" outlineLevel="1" x14ac:dyDescent="0.25">
      <c r="A13770" s="2380">
        <v>0.03</v>
      </c>
      <c r="B13770" s="1921" t="s">
        <v>1993</v>
      </c>
      <c r="C13770" s="2108">
        <v>54.679000000000002</v>
      </c>
      <c r="D13770" s="3169">
        <v>36.08</v>
      </c>
      <c r="E13770" s="3170">
        <v>-0.34014886885275886</v>
      </c>
      <c r="F13770" s="3171">
        <v>-1.0204466065582765E-2</v>
      </c>
      <c r="G13770" s="78"/>
      <c r="H13770" t="s">
        <v>2812</v>
      </c>
      <c r="I13770" s="434"/>
      <c r="K13770" s="434"/>
      <c r="L13770" s="406"/>
      <c r="M13770" s="434"/>
    </row>
    <row r="13771" spans="1:15" ht="12.75" hidden="1" customHeight="1" outlineLevel="1" x14ac:dyDescent="0.25">
      <c r="A13771" s="2380">
        <v>0.04</v>
      </c>
      <c r="B13771" s="1921" t="s">
        <v>3998</v>
      </c>
      <c r="C13771" s="2108">
        <v>34.539000000000001</v>
      </c>
      <c r="D13771" s="3169">
        <v>27.02</v>
      </c>
      <c r="E13771" s="3170">
        <v>-0.217695937925244</v>
      </c>
      <c r="F13771" s="3171">
        <v>-8.7078375170097609E-3</v>
      </c>
      <c r="G13771" s="78"/>
      <c r="H13771" t="s">
        <v>4000</v>
      </c>
      <c r="I13771" s="434"/>
      <c r="K13771" s="434"/>
      <c r="L13771" s="406"/>
      <c r="M13771" s="434"/>
    </row>
    <row r="13772" spans="1:15" ht="12.75" hidden="1" customHeight="1" outlineLevel="1" x14ac:dyDescent="0.25">
      <c r="A13772" s="2380">
        <v>0.04</v>
      </c>
      <c r="B13772" s="1921" t="s">
        <v>951</v>
      </c>
      <c r="C13772" s="2108">
        <v>3794.15</v>
      </c>
      <c r="D13772" s="3169">
        <v>1800.5</v>
      </c>
      <c r="E13772" s="3170">
        <v>-0.52545365892228824</v>
      </c>
      <c r="F13772" s="3171">
        <v>-2.1018146356891528E-2</v>
      </c>
      <c r="G13772" s="78"/>
      <c r="H13772" t="s">
        <v>952</v>
      </c>
      <c r="I13772" s="434"/>
      <c r="K13772" s="434"/>
      <c r="L13772" s="406"/>
      <c r="M13772" s="434"/>
    </row>
    <row r="13773" spans="1:15" ht="12.75" hidden="1" customHeight="1" outlineLevel="1" x14ac:dyDescent="0.25">
      <c r="A13773" s="2380">
        <v>0.02</v>
      </c>
      <c r="B13773" s="1921" t="s">
        <v>4332</v>
      </c>
      <c r="C13773" s="2108">
        <v>284.51</v>
      </c>
      <c r="D13773" s="3169">
        <v>37.18</v>
      </c>
      <c r="E13773" s="3170">
        <v>-0.86931918034515476</v>
      </c>
      <c r="F13773" s="3171">
        <v>-1.7386383606903096E-2</v>
      </c>
      <c r="G13773" s="78"/>
      <c r="H13773" t="s">
        <v>4334</v>
      </c>
      <c r="I13773" s="434"/>
      <c r="K13773" s="434"/>
      <c r="L13773" s="406"/>
      <c r="M13773" s="434"/>
    </row>
    <row r="13774" spans="1:15" ht="12.75" hidden="1" customHeight="1" outlineLevel="1" x14ac:dyDescent="0.25">
      <c r="A13774" s="2380">
        <v>0.03</v>
      </c>
      <c r="B13774" s="1921" t="s">
        <v>5634</v>
      </c>
      <c r="C13774" s="2108">
        <v>31.994</v>
      </c>
      <c r="D13774" s="3169">
        <v>1.6600000000000001</v>
      </c>
      <c r="E13774" s="3170">
        <v>-0.94811527161342757</v>
      </c>
      <c r="F13774" s="3171">
        <v>-2.8443458148402826E-2</v>
      </c>
      <c r="G13774" s="78"/>
      <c r="H13774" t="s">
        <v>5635</v>
      </c>
      <c r="I13774" s="434"/>
      <c r="K13774" s="434"/>
      <c r="L13774" s="406"/>
      <c r="M13774" s="434"/>
    </row>
    <row r="13775" spans="1:15" ht="12.75" hidden="1" customHeight="1" outlineLevel="1" x14ac:dyDescent="0.25">
      <c r="A13775" s="2380">
        <v>0.05</v>
      </c>
      <c r="B13775" s="1921" t="s">
        <v>1231</v>
      </c>
      <c r="C13775" s="2108">
        <v>81.097999999999999</v>
      </c>
      <c r="D13775" s="3169">
        <v>92.11</v>
      </c>
      <c r="E13775" s="3170">
        <v>0.13578633258526729</v>
      </c>
      <c r="F13775" s="3171">
        <v>6.7893166292633646E-3</v>
      </c>
      <c r="G13775" s="78"/>
      <c r="H13775" t="s">
        <v>2041</v>
      </c>
      <c r="I13775" s="434"/>
      <c r="K13775" s="434"/>
      <c r="L13775" s="406"/>
      <c r="M13775" s="434"/>
    </row>
    <row r="13776" spans="1:15" ht="12.75" hidden="1" customHeight="1" outlineLevel="1" x14ac:dyDescent="0.25">
      <c r="A13776" s="2380">
        <v>7.0000000000000007E-2</v>
      </c>
      <c r="B13776" s="1921" t="s">
        <v>6267</v>
      </c>
      <c r="C13776" s="2108">
        <v>26.878499999999999</v>
      </c>
      <c r="D13776" s="3169">
        <v>18.53</v>
      </c>
      <c r="E13776" s="3170">
        <v>-0.31060141004892383</v>
      </c>
      <c r="F13776" s="3171">
        <v>-2.1742098703424671E-2</v>
      </c>
      <c r="G13776" s="78"/>
      <c r="H13776" t="s">
        <v>6268</v>
      </c>
      <c r="I13776" s="434"/>
      <c r="K13776" s="434"/>
      <c r="L13776" s="406"/>
      <c r="M13776" s="434"/>
    </row>
    <row r="13777" spans="1:13" ht="12.75" hidden="1" customHeight="1" outlineLevel="1" x14ac:dyDescent="0.25">
      <c r="A13777" s="2380">
        <v>0.05</v>
      </c>
      <c r="B13777" s="1921" t="s">
        <v>7227</v>
      </c>
      <c r="C13777" s="2108">
        <v>18.765000000000001</v>
      </c>
      <c r="D13777" s="3169">
        <v>10.385</v>
      </c>
      <c r="E13777" s="3170">
        <v>-0.44657607247535303</v>
      </c>
      <c r="F13777" s="3171">
        <v>-2.2328803623767653E-2</v>
      </c>
      <c r="G13777" s="78"/>
      <c r="H13777" t="s">
        <v>7229</v>
      </c>
      <c r="I13777" s="434"/>
      <c r="K13777" s="434"/>
      <c r="L13777" s="406"/>
      <c r="M13777" s="434"/>
    </row>
    <row r="13778" spans="1:13" ht="12.75" hidden="1" customHeight="1" outlineLevel="1" x14ac:dyDescent="0.25">
      <c r="A13778" s="2380">
        <v>0.02</v>
      </c>
      <c r="B13778" s="1921" t="s">
        <v>1031</v>
      </c>
      <c r="C13778" s="2108">
        <v>5.8524000000000003</v>
      </c>
      <c r="D13778" s="3169">
        <v>10.125</v>
      </c>
      <c r="E13778" s="3170">
        <v>0.73005946278449851</v>
      </c>
      <c r="F13778" s="3171">
        <v>1.460118925568997E-2</v>
      </c>
      <c r="G13778" s="78"/>
      <c r="H13778" t="s">
        <v>7872</v>
      </c>
      <c r="I13778" s="434"/>
      <c r="K13778" s="434"/>
      <c r="L13778" s="406"/>
      <c r="M13778" s="434"/>
    </row>
    <row r="13779" spans="1:13" ht="12.75" hidden="1" customHeight="1" outlineLevel="1" x14ac:dyDescent="0.25">
      <c r="A13779" s="2380">
        <v>0.02</v>
      </c>
      <c r="B13779" s="1921" t="s">
        <v>6707</v>
      </c>
      <c r="C13779" s="2108">
        <v>41.725999999999999</v>
      </c>
      <c r="D13779" s="3169">
        <v>11.9</v>
      </c>
      <c r="E13779" s="3170">
        <v>-0.71480611609068689</v>
      </c>
      <c r="F13779" s="3171">
        <v>-1.4296122321813739E-2</v>
      </c>
      <c r="G13779" s="78"/>
      <c r="H13779" t="s">
        <v>6705</v>
      </c>
      <c r="I13779" s="434"/>
      <c r="K13779" s="434"/>
      <c r="L13779" s="406"/>
      <c r="M13779" s="434"/>
    </row>
    <row r="13780" spans="1:13" ht="12.75" hidden="1" customHeight="1" outlineLevel="1" x14ac:dyDescent="0.25">
      <c r="A13780" s="2380">
        <v>0.02</v>
      </c>
      <c r="B13780" s="1921" t="s">
        <v>1772</v>
      </c>
      <c r="C13780" s="2108">
        <v>180.64500000000001</v>
      </c>
      <c r="D13780" s="3169">
        <v>200.8</v>
      </c>
      <c r="E13780" s="3170">
        <v>0.11157242104680454</v>
      </c>
      <c r="F13780" s="3171">
        <v>2.2314484209360907E-3</v>
      </c>
      <c r="G13780" s="78"/>
      <c r="H13780" t="s">
        <v>4330</v>
      </c>
      <c r="I13780" s="434"/>
      <c r="K13780" s="434"/>
      <c r="L13780" s="406"/>
      <c r="M13780" s="434"/>
    </row>
    <row r="13781" spans="1:13" ht="12.75" hidden="1" customHeight="1" outlineLevel="1" x14ac:dyDescent="0.25">
      <c r="A13781" s="2380">
        <v>0.02</v>
      </c>
      <c r="B13781" s="1921" t="s">
        <v>1203</v>
      </c>
      <c r="C13781" s="2519">
        <v>108.73</v>
      </c>
      <c r="D13781" s="3169">
        <v>66.680000000000007</v>
      </c>
      <c r="E13781" s="3170">
        <v>-0.38673779085808879</v>
      </c>
      <c r="F13781" s="3171">
        <v>-7.734755817161776E-3</v>
      </c>
      <c r="G13781" s="78"/>
      <c r="H13781" t="s">
        <v>79</v>
      </c>
      <c r="I13781" s="434"/>
      <c r="K13781" s="434"/>
      <c r="L13781" s="406"/>
      <c r="M13781" s="434"/>
    </row>
    <row r="13782" spans="1:13" ht="12.75" hidden="1" customHeight="1" outlineLevel="1" x14ac:dyDescent="0.25">
      <c r="A13782" s="2380">
        <v>0.03</v>
      </c>
      <c r="B13782" s="1921" t="s">
        <v>9648</v>
      </c>
      <c r="C13782" s="2108">
        <v>114.91</v>
      </c>
      <c r="D13782" s="3169">
        <v>44.4</v>
      </c>
      <c r="E13782" s="3170">
        <v>-0.6136106518144635</v>
      </c>
      <c r="F13782" s="3171">
        <v>-1.8408319554433904E-2</v>
      </c>
      <c r="G13782" s="78"/>
      <c r="H13782" t="s">
        <v>9649</v>
      </c>
      <c r="I13782" s="434"/>
      <c r="K13782" s="434"/>
      <c r="L13782" s="406"/>
      <c r="M13782" s="434"/>
    </row>
    <row r="13783" spans="1:13" ht="12.75" hidden="1" customHeight="1" outlineLevel="1" x14ac:dyDescent="0.25">
      <c r="A13783" s="2380">
        <v>0.03</v>
      </c>
      <c r="B13783" s="1921" t="s">
        <v>3793</v>
      </c>
      <c r="C13783" s="2108">
        <v>82.358999999999995</v>
      </c>
      <c r="D13783" s="3169">
        <v>71.02</v>
      </c>
      <c r="E13783" s="3170">
        <v>-0.13767772799572597</v>
      </c>
      <c r="F13783" s="3171">
        <v>-4.130331839871779E-3</v>
      </c>
      <c r="G13783" s="78"/>
      <c r="H13783" t="s">
        <v>3533</v>
      </c>
      <c r="I13783" s="434"/>
      <c r="K13783" s="434"/>
      <c r="L13783" s="406"/>
      <c r="M13783" s="434"/>
    </row>
    <row r="13784" spans="1:13" ht="12.75" hidden="1" customHeight="1" outlineLevel="1" x14ac:dyDescent="0.25">
      <c r="A13784" s="2380">
        <v>0.02</v>
      </c>
      <c r="B13784" s="1921" t="s">
        <v>5629</v>
      </c>
      <c r="C13784" s="2108">
        <v>18.303249999999998</v>
      </c>
      <c r="D13784" s="3169">
        <v>15.125</v>
      </c>
      <c r="E13784" s="3170">
        <v>-0.17364402496824327</v>
      </c>
      <c r="F13784" s="3171">
        <v>-3.4728804993648657E-3</v>
      </c>
      <c r="G13784" s="78"/>
      <c r="H13784" t="s">
        <v>5627</v>
      </c>
      <c r="I13784" s="434"/>
      <c r="K13784" s="434"/>
      <c r="L13784" s="406"/>
      <c r="M13784" s="434"/>
    </row>
    <row r="13785" spans="1:13" ht="12.75" hidden="1" customHeight="1" outlineLevel="1" x14ac:dyDescent="0.25">
      <c r="A13785" s="2380">
        <v>0.04</v>
      </c>
      <c r="B13785" s="1921" t="s">
        <v>54</v>
      </c>
      <c r="C13785" s="2108">
        <v>16.654499999999999</v>
      </c>
      <c r="D13785" s="3169">
        <v>5.34</v>
      </c>
      <c r="E13785" s="3170">
        <v>-0.67936593713410787</v>
      </c>
      <c r="F13785" s="3171">
        <v>-2.7174637485364316E-2</v>
      </c>
      <c r="G13785" s="78"/>
      <c r="H13785" t="s">
        <v>6741</v>
      </c>
      <c r="I13785" s="434"/>
      <c r="K13785" s="434"/>
      <c r="L13785" s="406"/>
      <c r="M13785" s="434"/>
    </row>
    <row r="13786" spans="1:13" ht="12.75" hidden="1" customHeight="1" outlineLevel="1" x14ac:dyDescent="0.25">
      <c r="A13786" s="2380">
        <v>0.02</v>
      </c>
      <c r="B13786" s="1921" t="s">
        <v>5205</v>
      </c>
      <c r="C13786" s="2108">
        <v>2145.8000000000002</v>
      </c>
      <c r="D13786" s="3169">
        <v>965.4</v>
      </c>
      <c r="E13786" s="3170">
        <v>-0.55009786559791229</v>
      </c>
      <c r="F13786" s="3171">
        <v>-1.1001957311958245E-2</v>
      </c>
      <c r="G13786" s="78"/>
      <c r="H13786" t="s">
        <v>5199</v>
      </c>
      <c r="I13786" s="434"/>
      <c r="K13786" s="434"/>
      <c r="L13786" s="406"/>
      <c r="M13786" s="434"/>
    </row>
    <row r="13787" spans="1:13" ht="12.75" hidden="1" customHeight="1" outlineLevel="1" x14ac:dyDescent="0.25">
      <c r="A13787" s="2380">
        <v>0.02</v>
      </c>
      <c r="B13787" s="1921" t="s">
        <v>3656</v>
      </c>
      <c r="C13787" s="2108">
        <v>202.37</v>
      </c>
      <c r="D13787" s="3169">
        <v>182.2</v>
      </c>
      <c r="E13787" s="3170">
        <v>-9.9668923259376485E-2</v>
      </c>
      <c r="F13787" s="3171">
        <v>-1.9933784651875296E-3</v>
      </c>
      <c r="G13787" s="78"/>
      <c r="H13787" t="s">
        <v>1467</v>
      </c>
      <c r="I13787" s="434"/>
      <c r="K13787" s="434"/>
      <c r="L13787" s="406"/>
      <c r="M13787" s="434"/>
    </row>
    <row r="13788" spans="1:13" ht="12.75" hidden="1" customHeight="1" outlineLevel="1" x14ac:dyDescent="0.25">
      <c r="A13788" s="2380">
        <v>0.04</v>
      </c>
      <c r="B13788" s="1921" t="s">
        <v>6164</v>
      </c>
      <c r="C13788" s="2108">
        <v>3.5085000000000002</v>
      </c>
      <c r="D13788" s="3169">
        <v>4.1900000000000004</v>
      </c>
      <c r="E13788" s="3170">
        <v>0.19424255379791933</v>
      </c>
      <c r="F13788" s="3171">
        <v>7.7697021519167733E-3</v>
      </c>
      <c r="G13788" s="78"/>
      <c r="H13788" t="s">
        <v>6114</v>
      </c>
      <c r="I13788" s="434"/>
      <c r="K13788" s="434"/>
      <c r="L13788" s="406"/>
      <c r="M13788" s="434"/>
    </row>
    <row r="13789" spans="1:13" ht="12.75" hidden="1" customHeight="1" outlineLevel="1" x14ac:dyDescent="0.25">
      <c r="A13789" s="2380">
        <v>0.06</v>
      </c>
      <c r="B13789" s="1921" t="s">
        <v>3427</v>
      </c>
      <c r="C13789" s="2108">
        <v>46.973999999999997</v>
      </c>
      <c r="D13789" s="3169">
        <v>57.45</v>
      </c>
      <c r="E13789" s="3170">
        <v>0.22301698812108839</v>
      </c>
      <c r="F13789" s="3171">
        <v>1.3381019287265303E-2</v>
      </c>
      <c r="G13789" s="78"/>
      <c r="H13789" t="s">
        <v>2800</v>
      </c>
      <c r="I13789" s="434"/>
      <c r="K13789" s="434"/>
      <c r="L13789" s="406"/>
      <c r="M13789" s="434"/>
    </row>
    <row r="13790" spans="1:13" ht="12.75" hidden="1" customHeight="1" outlineLevel="1" x14ac:dyDescent="0.25">
      <c r="A13790" s="2380">
        <v>0.02</v>
      </c>
      <c r="B13790" s="1921" t="s">
        <v>6527</v>
      </c>
      <c r="C13790" s="2108">
        <v>123.3912328184649</v>
      </c>
      <c r="D13790" s="3169">
        <v>72.12</v>
      </c>
      <c r="E13790" s="3170">
        <v>-0.41551763157999999</v>
      </c>
      <c r="F13790" s="3171">
        <v>-8.3103526315999997E-3</v>
      </c>
      <c r="G13790" s="78"/>
      <c r="H13790" t="s">
        <v>6528</v>
      </c>
      <c r="I13790" s="434"/>
      <c r="K13790" s="434"/>
      <c r="L13790" s="406"/>
      <c r="M13790" s="434"/>
    </row>
    <row r="13791" spans="1:13" ht="12.75" hidden="1" customHeight="1" outlineLevel="1" x14ac:dyDescent="0.25">
      <c r="A13791" s="2380">
        <v>0.03</v>
      </c>
      <c r="B13791" s="1921" t="s">
        <v>1724</v>
      </c>
      <c r="C13791" s="2108">
        <v>204.47</v>
      </c>
      <c r="D13791" s="3169">
        <v>139.5</v>
      </c>
      <c r="E13791" s="3170">
        <v>-0.31774832493764371</v>
      </c>
      <c r="F13791" s="3171">
        <v>-9.5324497481293104E-3</v>
      </c>
      <c r="G13791" s="78"/>
      <c r="H13791" t="s">
        <v>1725</v>
      </c>
      <c r="I13791" s="434"/>
      <c r="K13791" s="434"/>
      <c r="L13791" s="406"/>
      <c r="M13791" s="434"/>
    </row>
    <row r="13792" spans="1:13" ht="12.75" hidden="1" customHeight="1" outlineLevel="1" x14ac:dyDescent="0.25">
      <c r="A13792" s="2380">
        <v>7.0000000000000007E-2</v>
      </c>
      <c r="B13792" s="1921" t="s">
        <v>6118</v>
      </c>
      <c r="C13792" s="2108">
        <v>81.718599999999995</v>
      </c>
      <c r="D13792" s="3169">
        <v>65.739999999999995</v>
      </c>
      <c r="E13792" s="3170">
        <v>-0.19553198415048723</v>
      </c>
      <c r="F13792" s="3171">
        <v>-1.3687238890534107E-2</v>
      </c>
      <c r="G13792" s="78"/>
      <c r="H13792" t="s">
        <v>8893</v>
      </c>
      <c r="I13792" s="434"/>
      <c r="K13792" s="434"/>
      <c r="L13792" s="406"/>
      <c r="M13792" s="434"/>
    </row>
    <row r="13793" spans="1:13" ht="12.75" hidden="1" customHeight="1" outlineLevel="1" x14ac:dyDescent="0.25">
      <c r="A13793" s="2380">
        <v>0.02</v>
      </c>
      <c r="B13793" s="1921" t="s">
        <v>1239</v>
      </c>
      <c r="C13793" s="2108">
        <v>535.25</v>
      </c>
      <c r="D13793" s="3169">
        <v>466.3</v>
      </c>
      <c r="E13793" s="3170">
        <v>-0.12881830920130777</v>
      </c>
      <c r="F13793" s="3171">
        <v>-2.5763661840261555E-3</v>
      </c>
      <c r="G13793" s="78"/>
      <c r="H13793" t="s">
        <v>8891</v>
      </c>
      <c r="I13793" s="434"/>
      <c r="K13793" s="434"/>
      <c r="L13793" s="406"/>
      <c r="M13793" s="434"/>
    </row>
    <row r="13794" spans="1:13" ht="12.75" hidden="1" customHeight="1" outlineLevel="1" x14ac:dyDescent="0.25">
      <c r="A13794" s="2380">
        <v>0.02</v>
      </c>
      <c r="B13794" s="1921" t="s">
        <v>577</v>
      </c>
      <c r="C13794" s="2108">
        <v>12.9763</v>
      </c>
      <c r="D13794" s="3169">
        <v>2.806</v>
      </c>
      <c r="E13794" s="3170">
        <v>-0.78375962331327109</v>
      </c>
      <c r="F13794" s="3171">
        <v>-1.5675192466265423E-2</v>
      </c>
      <c r="G13794" s="78"/>
      <c r="H13794" t="s">
        <v>6732</v>
      </c>
      <c r="I13794" s="434"/>
      <c r="K13794" s="434"/>
      <c r="L13794" s="406"/>
      <c r="M13794" s="434"/>
    </row>
    <row r="13795" spans="1:13" ht="12.75" hidden="1" customHeight="1" outlineLevel="1" x14ac:dyDescent="0.25">
      <c r="A13795" s="2380">
        <v>0.02</v>
      </c>
      <c r="B13795" s="1921" t="s">
        <v>6165</v>
      </c>
      <c r="C13795" s="2108">
        <v>52.31</v>
      </c>
      <c r="D13795" s="3169">
        <v>34.119999999999997</v>
      </c>
      <c r="E13795" s="3170">
        <v>-0.34773465876505461</v>
      </c>
      <c r="F13795" s="3171">
        <v>-6.9546931753010919E-3</v>
      </c>
      <c r="G13795" s="78"/>
      <c r="H13795" t="s">
        <v>7745</v>
      </c>
      <c r="I13795" s="434"/>
      <c r="K13795" s="434"/>
      <c r="L13795" s="406"/>
      <c r="M13795" s="434"/>
    </row>
    <row r="13796" spans="1:13" ht="12.75" hidden="1" customHeight="1" outlineLevel="1" x14ac:dyDescent="0.25">
      <c r="A13796" s="2380">
        <v>0.02</v>
      </c>
      <c r="B13796" s="1921" t="s">
        <v>9301</v>
      </c>
      <c r="C13796" s="2108">
        <v>255</v>
      </c>
      <c r="D13796" s="3169">
        <v>34.9</v>
      </c>
      <c r="E13796" s="3170">
        <v>-0.8631372549019608</v>
      </c>
      <c r="F13796" s="3171">
        <v>-1.7262745098039215E-2</v>
      </c>
      <c r="G13796" s="78"/>
      <c r="H13796" t="s">
        <v>9302</v>
      </c>
      <c r="I13796" s="434"/>
      <c r="K13796" s="434"/>
      <c r="L13796" s="406"/>
      <c r="M13796" s="434"/>
    </row>
    <row r="13797" spans="1:13" ht="12.75" hidden="1" customHeight="1" outlineLevel="1" x14ac:dyDescent="0.25">
      <c r="A13797" s="2380">
        <v>0.02</v>
      </c>
      <c r="B13797" s="1921" t="s">
        <v>255</v>
      </c>
      <c r="C13797" s="2108">
        <v>49.256999999999998</v>
      </c>
      <c r="D13797" s="3169">
        <v>56.99</v>
      </c>
      <c r="E13797" s="3170">
        <v>0.15699291471262966</v>
      </c>
      <c r="F13797" s="3171">
        <v>3.1398582942525934E-3</v>
      </c>
      <c r="G13797" s="78"/>
      <c r="H13797" t="s">
        <v>3351</v>
      </c>
      <c r="I13797" s="434"/>
      <c r="K13797" s="434"/>
      <c r="L13797" s="406"/>
      <c r="M13797" s="434"/>
    </row>
    <row r="13798" spans="1:13" ht="12.75" hidden="1" customHeight="1" outlineLevel="1" x14ac:dyDescent="0.25">
      <c r="A13798" s="2380">
        <v>0.08</v>
      </c>
      <c r="B13798" s="2109" t="s">
        <v>4550</v>
      </c>
      <c r="C13798" s="2108">
        <v>308.33</v>
      </c>
      <c r="D13798" s="3172">
        <v>304</v>
      </c>
      <c r="E13798" s="3170">
        <v>-1.4043395063730313E-2</v>
      </c>
      <c r="F13798" s="3171">
        <v>-1.1234716050984252E-3</v>
      </c>
      <c r="G13798" s="78"/>
      <c r="H13798" t="s">
        <v>8889</v>
      </c>
      <c r="I13798" s="434"/>
      <c r="K13798" s="434"/>
      <c r="L13798" s="406"/>
      <c r="M13798" s="434"/>
    </row>
    <row r="13799" spans="1:13" ht="12.75" hidden="1" customHeight="1" outlineLevel="1" x14ac:dyDescent="0.25">
      <c r="A13799" s="2181" t="s">
        <v>2734</v>
      </c>
      <c r="B13799" s="2103"/>
      <c r="C13799" s="3173"/>
      <c r="D13799" s="3174"/>
      <c r="E13799" s="3175"/>
      <c r="F13799" s="3166">
        <v>-0.2444867246033364</v>
      </c>
      <c r="G13799" s="78"/>
    </row>
    <row r="13800" spans="1:13" ht="12.75" hidden="1" customHeight="1" outlineLevel="1" x14ac:dyDescent="0.25">
      <c r="A13800" s="1956" t="s">
        <v>6712</v>
      </c>
      <c r="B13800" s="2185">
        <v>43586</v>
      </c>
      <c r="C13800" s="3176">
        <v>100</v>
      </c>
      <c r="D13800" s="3176">
        <v>91.817999999999998</v>
      </c>
      <c r="E13800" s="3177">
        <v>-8.1820000000000004E-2</v>
      </c>
      <c r="F13800" s="3178"/>
      <c r="G13800" s="78"/>
    </row>
    <row r="13801" spans="1:13" ht="12.75" hidden="1" customHeight="1" outlineLevel="1" x14ac:dyDescent="0.25">
      <c r="A13801" s="1956" t="s">
        <v>6713</v>
      </c>
      <c r="B13801" s="2185">
        <v>43617</v>
      </c>
      <c r="C13801" s="3176">
        <v>100</v>
      </c>
      <c r="D13801" s="3179">
        <v>94.123099999999994</v>
      </c>
      <c r="E13801" s="3177">
        <v>-5.8769000000000071E-2</v>
      </c>
      <c r="F13801" s="3178"/>
      <c r="G13801" s="78"/>
    </row>
    <row r="13802" spans="1:13" ht="12.75" hidden="1" customHeight="1" outlineLevel="1" x14ac:dyDescent="0.25">
      <c r="A13802" s="1956" t="s">
        <v>6714</v>
      </c>
      <c r="B13802" s="2185">
        <v>43647</v>
      </c>
      <c r="C13802" s="3176">
        <v>100</v>
      </c>
      <c r="D13802" s="3179">
        <v>92.422799999999995</v>
      </c>
      <c r="E13802" s="3177">
        <v>-7.5772000000000062E-2</v>
      </c>
      <c r="F13802" s="3178"/>
      <c r="G13802" s="78"/>
    </row>
    <row r="13803" spans="1:13" ht="12.75" hidden="1" customHeight="1" outlineLevel="1" x14ac:dyDescent="0.25">
      <c r="A13803" s="1956" t="s">
        <v>6715</v>
      </c>
      <c r="B13803" s="2185">
        <v>43678</v>
      </c>
      <c r="C13803" s="3176">
        <v>100</v>
      </c>
      <c r="D13803" s="3179">
        <v>91.714600000000004</v>
      </c>
      <c r="E13803" s="3177">
        <v>-8.2853999999999983E-2</v>
      </c>
      <c r="F13803" s="3178"/>
      <c r="G13803" s="78"/>
    </row>
    <row r="13804" spans="1:13" ht="12.75" hidden="1" customHeight="1" outlineLevel="1" x14ac:dyDescent="0.25">
      <c r="A13804" s="1956" t="s">
        <v>6716</v>
      </c>
      <c r="B13804" s="2185">
        <v>43709</v>
      </c>
      <c r="C13804" s="3176">
        <v>100</v>
      </c>
      <c r="D13804" s="3179">
        <v>97.250900000000001</v>
      </c>
      <c r="E13804" s="3177">
        <v>-2.7490999999999932E-2</v>
      </c>
      <c r="F13804" s="3178"/>
      <c r="G13804" s="78"/>
    </row>
    <row r="13805" spans="1:13" ht="12.75" hidden="1" customHeight="1" outlineLevel="1" x14ac:dyDescent="0.25">
      <c r="A13805" s="1956" t="s">
        <v>6717</v>
      </c>
      <c r="B13805" s="2185">
        <v>43739</v>
      </c>
      <c r="C13805" s="3176">
        <v>100</v>
      </c>
      <c r="D13805" s="3179">
        <v>97.999700000000004</v>
      </c>
      <c r="E13805" s="3177">
        <v>-2.0002999999999993E-2</v>
      </c>
      <c r="F13805" s="3178"/>
      <c r="G13805" s="78"/>
    </row>
    <row r="13806" spans="1:13" ht="12.75" hidden="1" customHeight="1" outlineLevel="1" x14ac:dyDescent="0.25">
      <c r="A13806" s="1956" t="s">
        <v>6718</v>
      </c>
      <c r="B13806" s="2185">
        <v>43770</v>
      </c>
      <c r="C13806" s="3176">
        <v>100</v>
      </c>
      <c r="D13806" s="3179">
        <v>97.905600000000007</v>
      </c>
      <c r="E13806" s="3177">
        <v>-2.0943999999999963E-2</v>
      </c>
      <c r="F13806" s="3178"/>
      <c r="G13806" s="78"/>
    </row>
    <row r="13807" spans="1:13" ht="12.75" hidden="1" customHeight="1" outlineLevel="1" x14ac:dyDescent="0.25">
      <c r="A13807" s="1956" t="s">
        <v>6719</v>
      </c>
      <c r="B13807" s="2185">
        <v>43800</v>
      </c>
      <c r="C13807" s="3176">
        <v>100</v>
      </c>
      <c r="D13807" s="3179">
        <v>99.878100000000003</v>
      </c>
      <c r="E13807" s="3177">
        <v>-1.2189999999999701E-3</v>
      </c>
      <c r="F13807" s="3178"/>
      <c r="G13807" s="78"/>
    </row>
    <row r="13808" spans="1:13" ht="12.75" hidden="1" customHeight="1" outlineLevel="1" x14ac:dyDescent="0.25">
      <c r="A13808" s="1956" t="s">
        <v>6720</v>
      </c>
      <c r="B13808" s="2185">
        <v>43831</v>
      </c>
      <c r="C13808" s="3176">
        <v>100</v>
      </c>
      <c r="D13808" s="3179">
        <v>100.4807</v>
      </c>
      <c r="E13808" s="3177">
        <v>4.8070000000000057E-3</v>
      </c>
      <c r="F13808" s="3178"/>
      <c r="G13808" s="78"/>
    </row>
    <row r="13809" spans="1:8" ht="12.75" hidden="1" customHeight="1" outlineLevel="1" x14ac:dyDescent="0.25">
      <c r="A13809" s="1956" t="s">
        <v>6721</v>
      </c>
      <c r="B13809" s="2185">
        <v>43862</v>
      </c>
      <c r="C13809" s="3176">
        <v>100</v>
      </c>
      <c r="D13809" s="3179">
        <v>91.996799999999993</v>
      </c>
      <c r="E13809" s="3177">
        <v>-8.0032000000000103E-2</v>
      </c>
      <c r="F13809" s="3178"/>
      <c r="G13809" s="78"/>
    </row>
    <row r="13810" spans="1:8" ht="12.75" hidden="1" customHeight="1" outlineLevel="1" x14ac:dyDescent="0.25">
      <c r="A13810" s="1956" t="s">
        <v>6722</v>
      </c>
      <c r="B13810" s="2185">
        <v>43891</v>
      </c>
      <c r="C13810" s="3176">
        <v>100</v>
      </c>
      <c r="D13810" s="3179">
        <v>77.634900000000002</v>
      </c>
      <c r="E13810" s="3177">
        <v>-0.22365099999999993</v>
      </c>
      <c r="F13810" s="3178"/>
      <c r="G13810" s="78"/>
    </row>
    <row r="13811" spans="1:8" ht="12.75" hidden="1" customHeight="1" outlineLevel="1" x14ac:dyDescent="0.25">
      <c r="A13811" s="1956" t="s">
        <v>6723</v>
      </c>
      <c r="B13811" s="2185">
        <v>43922</v>
      </c>
      <c r="C13811" s="3176">
        <v>100</v>
      </c>
      <c r="D13811" s="3179">
        <v>79.004199999999997</v>
      </c>
      <c r="E13811" s="3177">
        <v>-0.20995799999999998</v>
      </c>
      <c r="F13811" s="3178"/>
      <c r="G13811" s="78"/>
    </row>
    <row r="13812" spans="1:8" ht="12.75" hidden="1" customHeight="1" outlineLevel="1" x14ac:dyDescent="0.25">
      <c r="A13812" s="1956" t="s">
        <v>6724</v>
      </c>
      <c r="B13812" s="2185">
        <v>43952</v>
      </c>
      <c r="C13812" s="3176">
        <v>100</v>
      </c>
      <c r="D13812" s="3179">
        <v>78.686499999999995</v>
      </c>
      <c r="E13812" s="3177">
        <v>-0.21313500000000007</v>
      </c>
      <c r="F13812" s="3178"/>
      <c r="G13812" s="78"/>
    </row>
    <row r="13813" spans="1:8" ht="12.75" hidden="1" customHeight="1" outlineLevel="1" x14ac:dyDescent="0.25">
      <c r="A13813" s="1956" t="s">
        <v>6725</v>
      </c>
      <c r="B13813" s="2185">
        <v>43983</v>
      </c>
      <c r="C13813" s="3176">
        <v>100</v>
      </c>
      <c r="D13813" s="3179">
        <v>80.448300000000003</v>
      </c>
      <c r="E13813" s="3177">
        <v>-0.19551699999999994</v>
      </c>
      <c r="F13813" s="3178"/>
      <c r="G13813" s="78"/>
    </row>
    <row r="13814" spans="1:8" ht="12.75" hidden="1" customHeight="1" outlineLevel="1" x14ac:dyDescent="0.25">
      <c r="A13814" s="1956" t="s">
        <v>6726</v>
      </c>
      <c r="B13814" s="2185">
        <v>44013</v>
      </c>
      <c r="C13814" s="3176">
        <v>100</v>
      </c>
      <c r="D13814" s="3179">
        <v>80.512799999999999</v>
      </c>
      <c r="E13814" s="3177">
        <v>-0.19487200000000005</v>
      </c>
      <c r="F13814" s="3178"/>
      <c r="G13814" s="78"/>
    </row>
    <row r="13815" spans="1:8" ht="12.75" hidden="1" customHeight="1" outlineLevel="1" x14ac:dyDescent="0.25">
      <c r="A13815" s="1956" t="s">
        <v>6727</v>
      </c>
      <c r="B13815" s="2185">
        <v>44044</v>
      </c>
      <c r="C13815" s="3176">
        <v>100</v>
      </c>
      <c r="D13815" s="3179">
        <v>80.466499999999996</v>
      </c>
      <c r="E13815" s="3177">
        <v>-0.19533500000000004</v>
      </c>
      <c r="F13815" s="3178"/>
      <c r="G13815" s="78"/>
    </row>
    <row r="13816" spans="1:8" ht="12.75" hidden="1" customHeight="1" outlineLevel="1" x14ac:dyDescent="0.25">
      <c r="A13816" s="1956" t="s">
        <v>6728</v>
      </c>
      <c r="B13816" s="2185">
        <v>44075</v>
      </c>
      <c r="C13816" s="3176">
        <v>100</v>
      </c>
      <c r="D13816" s="3179">
        <v>78.148899999999998</v>
      </c>
      <c r="E13816" s="3177">
        <v>-0.21851100000000001</v>
      </c>
      <c r="F13816" s="3178"/>
      <c r="G13816" s="78"/>
    </row>
    <row r="13817" spans="1:8" ht="12.75" hidden="1" customHeight="1" outlineLevel="1" x14ac:dyDescent="0.25">
      <c r="A13817" s="1956" t="s">
        <v>6729</v>
      </c>
      <c r="B13817" s="2185">
        <v>44105</v>
      </c>
      <c r="C13817" s="3176">
        <v>100</v>
      </c>
      <c r="D13817" s="3179">
        <v>75.631200000000007</v>
      </c>
      <c r="E13817" s="3177">
        <v>-0.2436879999999999</v>
      </c>
      <c r="F13817" s="3178"/>
      <c r="G13817" s="78"/>
    </row>
    <row r="13818" spans="1:8" ht="12.75" hidden="1" customHeight="1" outlineLevel="1" x14ac:dyDescent="0.25">
      <c r="A13818" s="2189" t="s">
        <v>2734</v>
      </c>
      <c r="B13818" s="2190"/>
      <c r="C13818" s="3179"/>
      <c r="D13818" s="2191" t="s">
        <v>2465</v>
      </c>
      <c r="E13818" s="1987">
        <v>-0.11882022222222223</v>
      </c>
      <c r="F13818" s="2192">
        <v>-0.11882022222222223</v>
      </c>
      <c r="G13818" s="78"/>
    </row>
    <row r="13819" spans="1:8" collapsed="1" x14ac:dyDescent="0.25">
      <c r="A13819" s="3801" t="s">
        <v>6711</v>
      </c>
      <c r="B13819" s="3802"/>
      <c r="C13819" s="3802"/>
      <c r="D13819" s="3802"/>
      <c r="E13819" s="1906"/>
      <c r="F13819" s="1907">
        <v>-0.1</v>
      </c>
      <c r="G13819" s="78"/>
    </row>
    <row r="13821" spans="1:8" ht="12.75" hidden="1" customHeight="1" outlineLevel="1" x14ac:dyDescent="0.25">
      <c r="A13821" s="3237" t="s">
        <v>113</v>
      </c>
      <c r="B13821" s="3237" t="s">
        <v>114</v>
      </c>
      <c r="C13821" s="3237" t="s">
        <v>112</v>
      </c>
      <c r="D13821" s="3237" t="s">
        <v>116</v>
      </c>
      <c r="E13821" s="3237" t="s">
        <v>117</v>
      </c>
      <c r="F13821" s="3276" t="s">
        <v>121</v>
      </c>
      <c r="G13821" s="78"/>
    </row>
    <row r="13822" spans="1:8" ht="12.75" hidden="1" customHeight="1" outlineLevel="1" x14ac:dyDescent="0.25">
      <c r="A13822" s="3238">
        <v>1</v>
      </c>
      <c r="B13822" s="3239" t="s">
        <v>252</v>
      </c>
      <c r="C13822" s="3240">
        <v>100</v>
      </c>
      <c r="D13822" s="3240"/>
      <c r="E13822" s="3241"/>
      <c r="F13822" s="3242"/>
      <c r="G13822" s="78"/>
    </row>
    <row r="13823" spans="1:8" ht="12.75" hidden="1" customHeight="1" outlineLevel="1" x14ac:dyDescent="0.25">
      <c r="A13823" s="3243" t="s">
        <v>2734</v>
      </c>
      <c r="B13823" s="3243"/>
      <c r="C13823" s="3244"/>
      <c r="D13823" s="1900" t="s">
        <v>3702</v>
      </c>
      <c r="E13823" s="3245">
        <v>44439</v>
      </c>
      <c r="F13823" s="3246"/>
      <c r="G13823" s="78"/>
    </row>
    <row r="13824" spans="1:8" ht="12.75" hidden="1" customHeight="1" outlineLevel="1" x14ac:dyDescent="0.3">
      <c r="A13824" s="3237" t="s">
        <v>4156</v>
      </c>
      <c r="B13824" s="3237" t="s">
        <v>4153</v>
      </c>
      <c r="C13824" s="3247" t="s">
        <v>112</v>
      </c>
      <c r="D13824" s="3248" t="s">
        <v>4155</v>
      </c>
      <c r="E13824" s="3237" t="s">
        <v>4154</v>
      </c>
      <c r="F13824" s="3277" t="s">
        <v>2519</v>
      </c>
      <c r="G13824" s="78"/>
      <c r="H13824" s="1559"/>
    </row>
    <row r="13825" spans="1:11" ht="12.75" hidden="1" customHeight="1" outlineLevel="1" x14ac:dyDescent="0.25">
      <c r="A13825" s="3407">
        <v>0.05</v>
      </c>
      <c r="B13825" s="2630" t="s">
        <v>4266</v>
      </c>
      <c r="C13825" s="2090">
        <v>21.789000000000001</v>
      </c>
      <c r="D13825" s="3278">
        <v>33.92</v>
      </c>
      <c r="E13825" s="3279">
        <v>0.55674881821102384</v>
      </c>
      <c r="F13825" s="3277">
        <v>2.7837440910551195E-2</v>
      </c>
      <c r="G13825" s="78"/>
      <c r="H13825" t="s">
        <v>8883</v>
      </c>
      <c r="K13825" s="434"/>
    </row>
    <row r="13826" spans="1:11" ht="12.75" hidden="1" customHeight="1" outlineLevel="1" x14ac:dyDescent="0.25">
      <c r="A13826" s="2380">
        <v>0.05</v>
      </c>
      <c r="B13826" s="2023" t="s">
        <v>6267</v>
      </c>
      <c r="C13826" s="1998">
        <v>26.546500000000002</v>
      </c>
      <c r="D13826" s="3399">
        <v>19.265000000000001</v>
      </c>
      <c r="E13826" s="3281">
        <v>-0.27429227958487934</v>
      </c>
      <c r="F13826" s="3282">
        <v>-1.3714613979243968E-2</v>
      </c>
      <c r="G13826" s="78"/>
      <c r="H13826" t="s">
        <v>6268</v>
      </c>
      <c r="K13826" s="434"/>
    </row>
    <row r="13827" spans="1:11" ht="12.75" hidden="1" customHeight="1" outlineLevel="1" x14ac:dyDescent="0.25">
      <c r="A13827" s="2380">
        <v>0.05</v>
      </c>
      <c r="B13827" s="1921" t="s">
        <v>3251</v>
      </c>
      <c r="C13827" s="2179">
        <v>329.63</v>
      </c>
      <c r="D13827" s="3280">
        <v>765.2</v>
      </c>
      <c r="E13827" s="3281">
        <v>1.3213906501228654</v>
      </c>
      <c r="F13827" s="3282">
        <v>6.6069532506143266E-2</v>
      </c>
      <c r="G13827" s="78"/>
      <c r="H13827" t="s">
        <v>8881</v>
      </c>
      <c r="K13827" s="434"/>
    </row>
    <row r="13828" spans="1:11" ht="12.75" hidden="1" customHeight="1" outlineLevel="1" x14ac:dyDescent="0.25">
      <c r="A13828" s="2380">
        <v>0.05</v>
      </c>
      <c r="B13828" s="1921" t="s">
        <v>3407</v>
      </c>
      <c r="C13828" s="2179">
        <v>206.084524405368</v>
      </c>
      <c r="D13828" s="3280">
        <v>105.41</v>
      </c>
      <c r="E13828" s="3281">
        <v>-0.48851084134459966</v>
      </c>
      <c r="F13828" s="3282">
        <v>-2.4425542067229983E-2</v>
      </c>
      <c r="G13828" s="78"/>
      <c r="H13828" t="s">
        <v>4127</v>
      </c>
      <c r="K13828" s="434"/>
    </row>
    <row r="13829" spans="1:11" ht="12.75" hidden="1" customHeight="1" outlineLevel="1" x14ac:dyDescent="0.25">
      <c r="A13829" s="2380">
        <v>0.05</v>
      </c>
      <c r="B13829" s="1921" t="s">
        <v>6742</v>
      </c>
      <c r="C13829" s="2179">
        <v>36.146999999999998</v>
      </c>
      <c r="D13829" s="3280">
        <v>70.239999999999995</v>
      </c>
      <c r="E13829" s="3281">
        <v>0.94317647384291914</v>
      </c>
      <c r="F13829" s="3282">
        <v>4.7158823692145961E-2</v>
      </c>
      <c r="G13829" s="78"/>
      <c r="H13829" t="s">
        <v>6743</v>
      </c>
      <c r="K13829" s="434"/>
    </row>
    <row r="13830" spans="1:11" ht="12.75" hidden="1" customHeight="1" outlineLevel="1" x14ac:dyDescent="0.25">
      <c r="A13830" s="2380">
        <v>0.02</v>
      </c>
      <c r="B13830" s="1921" t="s">
        <v>6745</v>
      </c>
      <c r="C13830" s="2179">
        <v>41.362499999999997</v>
      </c>
      <c r="D13830" s="3280">
        <v>36.67</v>
      </c>
      <c r="E13830" s="3281">
        <v>-0.11344817165306731</v>
      </c>
      <c r="F13830" s="3282">
        <v>-2.268963433061346E-3</v>
      </c>
      <c r="G13830" s="78"/>
      <c r="H13830" t="s">
        <v>6746</v>
      </c>
      <c r="K13830" s="434"/>
    </row>
    <row r="13831" spans="1:11" ht="12.75" hidden="1" customHeight="1" outlineLevel="1" x14ac:dyDescent="0.25">
      <c r="A13831" s="2380">
        <v>0.05</v>
      </c>
      <c r="B13831" s="1921" t="s">
        <v>2786</v>
      </c>
      <c r="C13831" s="2179">
        <v>945.82397095288309</v>
      </c>
      <c r="D13831" s="3280">
        <v>941.3</v>
      </c>
      <c r="E13831" s="3281">
        <v>-4.7831003355998103E-3</v>
      </c>
      <c r="F13831" s="3282">
        <v>-2.3915501677999052E-4</v>
      </c>
      <c r="G13831" s="78"/>
      <c r="H13831" t="s">
        <v>4195</v>
      </c>
      <c r="K13831" s="434"/>
    </row>
    <row r="13832" spans="1:11" ht="12.75" hidden="1" customHeight="1" outlineLevel="1" x14ac:dyDescent="0.25">
      <c r="A13832" s="2380">
        <v>0.08</v>
      </c>
      <c r="B13832" s="1921" t="s">
        <v>2769</v>
      </c>
      <c r="C13832" s="2179">
        <v>32.863958461257923</v>
      </c>
      <c r="D13832" s="3280">
        <v>29.35</v>
      </c>
      <c r="E13832" s="3281">
        <v>-0.10692438238687507</v>
      </c>
      <c r="F13832" s="3282">
        <v>-8.5539505909500053E-3</v>
      </c>
      <c r="G13832" s="78"/>
      <c r="H13832" t="s">
        <v>2770</v>
      </c>
      <c r="K13832" s="434"/>
    </row>
    <row r="13833" spans="1:11" ht="12.75" hidden="1" customHeight="1" outlineLevel="1" x14ac:dyDescent="0.25">
      <c r="A13833" s="2380">
        <v>0.08</v>
      </c>
      <c r="B13833" s="1921" t="s">
        <v>5629</v>
      </c>
      <c r="C13833" s="2179">
        <v>17.7485</v>
      </c>
      <c r="D13833" s="3280">
        <v>16.89</v>
      </c>
      <c r="E13833" s="3281">
        <v>-4.8370284812801034E-2</v>
      </c>
      <c r="F13833" s="3282">
        <v>-3.8696227850240827E-3</v>
      </c>
      <c r="G13833" s="78"/>
      <c r="H13833" t="s">
        <v>5627</v>
      </c>
      <c r="K13833" s="434"/>
    </row>
    <row r="13834" spans="1:11" ht="12.75" hidden="1" customHeight="1" outlineLevel="1" x14ac:dyDescent="0.25">
      <c r="A13834" s="2380">
        <v>0.05</v>
      </c>
      <c r="B13834" s="1921" t="s">
        <v>2771</v>
      </c>
      <c r="C13834" s="2179">
        <v>110.233</v>
      </c>
      <c r="D13834" s="3280">
        <v>132.36000000000001</v>
      </c>
      <c r="E13834" s="3281">
        <v>0.20072936416499609</v>
      </c>
      <c r="F13834" s="3282">
        <v>1.0036468208249806E-2</v>
      </c>
      <c r="G13834" s="78"/>
      <c r="H13834" t="s">
        <v>2772</v>
      </c>
      <c r="K13834" s="434"/>
    </row>
    <row r="13835" spans="1:11" ht="12.75" hidden="1" customHeight="1" outlineLevel="1" x14ac:dyDescent="0.25">
      <c r="A13835" s="2380">
        <v>0.02</v>
      </c>
      <c r="B13835" s="1921" t="s">
        <v>1214</v>
      </c>
      <c r="C13835" s="2179">
        <v>91.784000000000006</v>
      </c>
      <c r="D13835" s="3280">
        <v>140.84</v>
      </c>
      <c r="E13835" s="3281">
        <v>0.53447223917022568</v>
      </c>
      <c r="F13835" s="3282">
        <v>1.0689444783404514E-2</v>
      </c>
      <c r="G13835" s="78"/>
      <c r="H13835" t="s">
        <v>3775</v>
      </c>
      <c r="K13835" s="434"/>
    </row>
    <row r="13836" spans="1:11" ht="12.75" hidden="1" customHeight="1" outlineLevel="1" x14ac:dyDescent="0.25">
      <c r="A13836" s="2380">
        <v>0.03</v>
      </c>
      <c r="B13836" s="1921" t="s">
        <v>6748</v>
      </c>
      <c r="C13836" s="2179">
        <v>157.97999999999999</v>
      </c>
      <c r="D13836" s="3280">
        <v>248.5</v>
      </c>
      <c r="E13836" s="3281">
        <v>0.57298392201544512</v>
      </c>
      <c r="F13836" s="3282">
        <v>1.7189517660463352E-2</v>
      </c>
      <c r="G13836" s="78"/>
      <c r="H13836" t="s">
        <v>6749</v>
      </c>
      <c r="K13836" s="434"/>
    </row>
    <row r="13837" spans="1:11" ht="12.75" hidden="1" customHeight="1" outlineLevel="1" x14ac:dyDescent="0.25">
      <c r="A13837" s="2380">
        <v>0.08</v>
      </c>
      <c r="B13837" s="1921" t="s">
        <v>6116</v>
      </c>
      <c r="C13837" s="2179">
        <v>3.4531172729918511</v>
      </c>
      <c r="D13837" s="3280">
        <v>5.0039999999999996</v>
      </c>
      <c r="E13837" s="3281">
        <v>0.44912541463279987</v>
      </c>
      <c r="F13837" s="3282">
        <v>3.5930033170623987E-2</v>
      </c>
      <c r="G13837" s="78"/>
      <c r="H13837" t="s">
        <v>6114</v>
      </c>
      <c r="K13837" s="434"/>
    </row>
    <row r="13838" spans="1:11" ht="12.75" hidden="1" customHeight="1" outlineLevel="1" x14ac:dyDescent="0.25">
      <c r="A13838" s="2380">
        <v>0.05</v>
      </c>
      <c r="B13838" s="1921" t="s">
        <v>7855</v>
      </c>
      <c r="C13838" s="2179">
        <v>51.667200640296322</v>
      </c>
      <c r="D13838" s="3280">
        <v>49.65</v>
      </c>
      <c r="E13838" s="3281">
        <v>-3.9042189537999983E-2</v>
      </c>
      <c r="F13838" s="3282">
        <v>-1.9521094768999991E-3</v>
      </c>
      <c r="G13838" s="78"/>
      <c r="H13838" t="s">
        <v>7851</v>
      </c>
      <c r="K13838" s="434"/>
    </row>
    <row r="13839" spans="1:11" ht="12.75" hidden="1" customHeight="1" outlineLevel="1" x14ac:dyDescent="0.25">
      <c r="A13839" s="2380">
        <v>0.02</v>
      </c>
      <c r="B13839" s="1921" t="s">
        <v>1857</v>
      </c>
      <c r="C13839" s="2179">
        <v>1581.5</v>
      </c>
      <c r="D13839" s="3280">
        <v>1632.5</v>
      </c>
      <c r="E13839" s="3281">
        <v>3.2247865950047361E-2</v>
      </c>
      <c r="F13839" s="3282">
        <v>6.4495731900094722E-4</v>
      </c>
      <c r="G13839" s="78"/>
      <c r="H13839" t="s">
        <v>3559</v>
      </c>
      <c r="K13839" s="434"/>
    </row>
    <row r="13840" spans="1:11" ht="12.75" hidden="1" customHeight="1" outlineLevel="1" x14ac:dyDescent="0.25">
      <c r="A13840" s="2380">
        <v>0.08</v>
      </c>
      <c r="B13840" s="1921" t="s">
        <v>3921</v>
      </c>
      <c r="C13840" s="2179">
        <v>3.8281999999999998</v>
      </c>
      <c r="D13840" s="3280">
        <v>6.6959999999999997</v>
      </c>
      <c r="E13840" s="3281">
        <v>0.74912491510370405</v>
      </c>
      <c r="F13840" s="3282">
        <v>5.9929993208296325E-2</v>
      </c>
      <c r="G13840" s="78"/>
      <c r="H13840" t="s">
        <v>3922</v>
      </c>
      <c r="K13840" s="434"/>
    </row>
    <row r="13841" spans="1:11" ht="12.75" hidden="1" customHeight="1" outlineLevel="1" x14ac:dyDescent="0.25">
      <c r="A13841" s="2380">
        <v>0.08</v>
      </c>
      <c r="B13841" s="1921" t="s">
        <v>366</v>
      </c>
      <c r="C13841" s="2179">
        <v>56.411000000000001</v>
      </c>
      <c r="D13841" s="3280">
        <v>59.9</v>
      </c>
      <c r="E13841" s="3281">
        <v>6.1849639254755173E-2</v>
      </c>
      <c r="F13841" s="3282">
        <v>4.9479711403804137E-3</v>
      </c>
      <c r="G13841" s="78"/>
      <c r="H13841" t="s">
        <v>367</v>
      </c>
      <c r="K13841" s="434"/>
    </row>
    <row r="13842" spans="1:11" ht="12.75" hidden="1" customHeight="1" outlineLevel="1" x14ac:dyDescent="0.25">
      <c r="A13842" s="2380">
        <v>0.02</v>
      </c>
      <c r="B13842" s="1921" t="s">
        <v>2983</v>
      </c>
      <c r="C13842" s="2179">
        <v>900.7</v>
      </c>
      <c r="D13842" s="3280">
        <v>1057.5</v>
      </c>
      <c r="E13842" s="3281">
        <v>0.17408682136116349</v>
      </c>
      <c r="F13842" s="3282">
        <v>3.4817364272232698E-3</v>
      </c>
      <c r="G13842" s="78"/>
      <c r="H13842" t="s">
        <v>1713</v>
      </c>
      <c r="K13842" s="434"/>
    </row>
    <row r="13843" spans="1:11" ht="12.75" hidden="1" customHeight="1" outlineLevel="1" x14ac:dyDescent="0.25">
      <c r="A13843" s="2380">
        <v>0.04</v>
      </c>
      <c r="B13843" s="1921" t="s">
        <v>719</v>
      </c>
      <c r="C13843" s="2179">
        <v>43.7455</v>
      </c>
      <c r="D13843" s="3280">
        <v>90.89</v>
      </c>
      <c r="E13843" s="3281">
        <v>1.077699420511824</v>
      </c>
      <c r="F13843" s="3282">
        <v>4.310797682047296E-2</v>
      </c>
      <c r="G13843" s="78"/>
      <c r="H13843" t="s">
        <v>1697</v>
      </c>
      <c r="K13843" s="434"/>
    </row>
    <row r="13844" spans="1:11" ht="12.75" hidden="1" customHeight="1" outlineLevel="1" x14ac:dyDescent="0.25">
      <c r="A13844" s="2380">
        <v>0.05</v>
      </c>
      <c r="B13844" s="2109" t="s">
        <v>6771</v>
      </c>
      <c r="C13844" s="2179">
        <v>5700.4</v>
      </c>
      <c r="D13844" s="3283">
        <v>6016</v>
      </c>
      <c r="E13844" s="3281">
        <v>5.5364535822047589E-2</v>
      </c>
      <c r="F13844" s="3282">
        <v>2.7682267911023797E-3</v>
      </c>
      <c r="G13844" s="78"/>
      <c r="H13844" t="s">
        <v>6772</v>
      </c>
      <c r="K13844" s="434"/>
    </row>
    <row r="13845" spans="1:11" ht="12.75" hidden="1" customHeight="1" outlineLevel="1" x14ac:dyDescent="0.25">
      <c r="A13845" s="2181" t="s">
        <v>2734</v>
      </c>
      <c r="B13845" s="2103"/>
      <c r="C13845" s="3258"/>
      <c r="D13845" s="3259"/>
      <c r="E13845" s="3284"/>
      <c r="F13845" s="3277">
        <v>0.27476816528886905</v>
      </c>
      <c r="G13845" s="78"/>
    </row>
    <row r="13846" spans="1:11" ht="12.75" hidden="1" customHeight="1" outlineLevel="1" x14ac:dyDescent="0.25">
      <c r="A13846" s="1956" t="s">
        <v>6752</v>
      </c>
      <c r="B13846" s="2310">
        <v>43891</v>
      </c>
      <c r="C13846" s="3261">
        <v>100</v>
      </c>
      <c r="D13846" s="3261">
        <v>104.4945</v>
      </c>
      <c r="E13846" s="3262">
        <v>4.4945000000000013E-2</v>
      </c>
      <c r="F13846" s="3285"/>
      <c r="G13846" s="78"/>
    </row>
    <row r="13847" spans="1:11" ht="12.75" hidden="1" customHeight="1" outlineLevel="1" x14ac:dyDescent="0.25">
      <c r="A13847" s="1956" t="s">
        <v>6753</v>
      </c>
      <c r="B13847" s="2310">
        <v>43922</v>
      </c>
      <c r="C13847" s="3261">
        <v>100</v>
      </c>
      <c r="D13847" s="3264">
        <v>106.5774</v>
      </c>
      <c r="E13847" s="3262">
        <v>6.5773999999999999E-2</v>
      </c>
      <c r="F13847" s="3285"/>
      <c r="G13847" s="78"/>
    </row>
    <row r="13848" spans="1:11" ht="12.75" hidden="1" customHeight="1" outlineLevel="1" x14ac:dyDescent="0.25">
      <c r="A13848" s="1956" t="s">
        <v>6754</v>
      </c>
      <c r="B13848" s="2310">
        <v>43952</v>
      </c>
      <c r="C13848" s="3261">
        <v>100</v>
      </c>
      <c r="D13848" s="3264">
        <v>110.3205</v>
      </c>
      <c r="E13848" s="3262">
        <v>0.10320499999999999</v>
      </c>
      <c r="F13848" s="3285"/>
      <c r="G13848" s="78"/>
    </row>
    <row r="13849" spans="1:11" ht="12.75" hidden="1" customHeight="1" outlineLevel="1" x14ac:dyDescent="0.25">
      <c r="A13849" s="1956" t="s">
        <v>6755</v>
      </c>
      <c r="B13849" s="2310">
        <v>43983</v>
      </c>
      <c r="C13849" s="3261">
        <v>100</v>
      </c>
      <c r="D13849" s="3264">
        <v>110.051</v>
      </c>
      <c r="E13849" s="3262">
        <v>0.1005100000000001</v>
      </c>
      <c r="F13849" s="3285"/>
      <c r="G13849" s="78"/>
    </row>
    <row r="13850" spans="1:11" ht="12.75" hidden="1" customHeight="1" outlineLevel="1" x14ac:dyDescent="0.25">
      <c r="A13850" s="1956" t="s">
        <v>6756</v>
      </c>
      <c r="B13850" s="2310">
        <v>44013</v>
      </c>
      <c r="C13850" s="3261">
        <v>100</v>
      </c>
      <c r="D13850" s="3264">
        <v>110.32859999999999</v>
      </c>
      <c r="E13850" s="3262">
        <v>0.10328599999999999</v>
      </c>
      <c r="F13850" s="3285"/>
      <c r="G13850" s="78"/>
    </row>
    <row r="13851" spans="1:11" ht="12.75" hidden="1" customHeight="1" outlineLevel="1" x14ac:dyDescent="0.25">
      <c r="A13851" s="1956" t="s">
        <v>6757</v>
      </c>
      <c r="B13851" s="2310">
        <v>44044</v>
      </c>
      <c r="C13851" s="3261">
        <v>100</v>
      </c>
      <c r="D13851" s="3264">
        <v>111.0972</v>
      </c>
      <c r="E13851" s="3262">
        <v>0.11097200000000007</v>
      </c>
      <c r="F13851" s="3285"/>
      <c r="G13851" s="78"/>
    </row>
    <row r="13852" spans="1:11" ht="12.75" hidden="1" customHeight="1" outlineLevel="1" x14ac:dyDescent="0.25">
      <c r="A13852" s="1956" t="s">
        <v>6758</v>
      </c>
      <c r="B13852" s="2310">
        <v>44075</v>
      </c>
      <c r="C13852" s="3261">
        <v>100</v>
      </c>
      <c r="D13852" s="3264">
        <v>110.247</v>
      </c>
      <c r="E13852" s="3262">
        <v>0.10247000000000006</v>
      </c>
      <c r="F13852" s="3285"/>
      <c r="G13852" s="78"/>
    </row>
    <row r="13853" spans="1:11" ht="12.75" hidden="1" customHeight="1" outlineLevel="1" x14ac:dyDescent="0.25">
      <c r="A13853" s="1956" t="s">
        <v>6759</v>
      </c>
      <c r="B13853" s="2310">
        <v>44105</v>
      </c>
      <c r="C13853" s="3261">
        <v>100</v>
      </c>
      <c r="D13853" s="3264">
        <v>105.6472</v>
      </c>
      <c r="E13853" s="3262">
        <v>5.6472000000000078E-2</v>
      </c>
      <c r="F13853" s="3285"/>
      <c r="G13853" s="78"/>
    </row>
    <row r="13854" spans="1:11" ht="12.75" hidden="1" customHeight="1" outlineLevel="1" x14ac:dyDescent="0.25">
      <c r="A13854" s="1956" t="s">
        <v>6760</v>
      </c>
      <c r="B13854" s="2310">
        <v>44136</v>
      </c>
      <c r="C13854" s="3261">
        <v>100</v>
      </c>
      <c r="D13854" s="3264">
        <v>114.652</v>
      </c>
      <c r="E13854" s="3262">
        <v>0.14651999999999998</v>
      </c>
      <c r="F13854" s="3285"/>
      <c r="G13854" s="78"/>
    </row>
    <row r="13855" spans="1:11" ht="12.75" hidden="1" customHeight="1" outlineLevel="1" x14ac:dyDescent="0.25">
      <c r="A13855" s="1956" t="s">
        <v>6761</v>
      </c>
      <c r="B13855" s="2310">
        <v>44166</v>
      </c>
      <c r="C13855" s="3261">
        <v>100</v>
      </c>
      <c r="D13855" s="3264">
        <v>113.4542</v>
      </c>
      <c r="E13855" s="3262">
        <v>0.13454199999999994</v>
      </c>
      <c r="F13855" s="3285"/>
      <c r="G13855" s="78"/>
    </row>
    <row r="13856" spans="1:11" ht="12.75" hidden="1" customHeight="1" outlineLevel="1" x14ac:dyDescent="0.25">
      <c r="A13856" s="1956" t="s">
        <v>6762</v>
      </c>
      <c r="B13856" s="2310">
        <v>44197</v>
      </c>
      <c r="C13856" s="3261">
        <v>100</v>
      </c>
      <c r="D13856" s="3264">
        <v>112.1703</v>
      </c>
      <c r="E13856" s="3262">
        <v>0.12170299999999989</v>
      </c>
      <c r="F13856" s="3285"/>
      <c r="G13856" s="78"/>
    </row>
    <row r="13857" spans="1:19" ht="12.75" hidden="1" customHeight="1" outlineLevel="1" x14ac:dyDescent="0.25">
      <c r="A13857" s="1956" t="s">
        <v>6763</v>
      </c>
      <c r="B13857" s="2310">
        <v>44228</v>
      </c>
      <c r="C13857" s="3261">
        <v>100</v>
      </c>
      <c r="D13857" s="3264">
        <v>110.8664</v>
      </c>
      <c r="E13857" s="3262">
        <v>0.10866400000000009</v>
      </c>
      <c r="F13857" s="3285"/>
      <c r="G13857" s="78"/>
    </row>
    <row r="13858" spans="1:19" ht="12.75" hidden="1" customHeight="1" outlineLevel="1" x14ac:dyDescent="0.25">
      <c r="A13858" s="1956" t="s">
        <v>6764</v>
      </c>
      <c r="B13858" s="2310">
        <v>44256</v>
      </c>
      <c r="C13858" s="3261">
        <v>100</v>
      </c>
      <c r="D13858" s="3264">
        <v>119.718</v>
      </c>
      <c r="E13858" s="3262">
        <v>0.19718000000000013</v>
      </c>
      <c r="F13858" s="3285"/>
      <c r="G13858" s="78"/>
    </row>
    <row r="13859" spans="1:19" ht="12.75" hidden="1" customHeight="1" outlineLevel="1" x14ac:dyDescent="0.25">
      <c r="A13859" s="1956" t="s">
        <v>6765</v>
      </c>
      <c r="B13859" s="2310">
        <v>44287</v>
      </c>
      <c r="C13859" s="3261">
        <v>100</v>
      </c>
      <c r="D13859" s="3264">
        <v>120.1046</v>
      </c>
      <c r="E13859" s="3262">
        <v>0.20104600000000006</v>
      </c>
      <c r="F13859" s="3285"/>
      <c r="G13859" s="78"/>
    </row>
    <row r="13860" spans="1:19" ht="12.75" hidden="1" customHeight="1" outlineLevel="1" x14ac:dyDescent="0.25">
      <c r="A13860" s="1956" t="s">
        <v>6766</v>
      </c>
      <c r="B13860" s="2310">
        <v>44317</v>
      </c>
      <c r="C13860" s="3261">
        <v>100</v>
      </c>
      <c r="D13860" s="3264">
        <v>122.97069999999999</v>
      </c>
      <c r="E13860" s="3262">
        <v>0.22970699999999988</v>
      </c>
      <c r="F13860" s="3285"/>
      <c r="G13860" s="78"/>
    </row>
    <row r="13861" spans="1:19" ht="12.75" hidden="1" customHeight="1" outlineLevel="1" x14ac:dyDescent="0.25">
      <c r="A13861" s="1956" t="s">
        <v>6767</v>
      </c>
      <c r="B13861" s="2310">
        <v>44348</v>
      </c>
      <c r="C13861" s="3261">
        <v>100</v>
      </c>
      <c r="D13861" s="3264">
        <v>123.5307</v>
      </c>
      <c r="E13861" s="3262">
        <v>0.23530699999999993</v>
      </c>
      <c r="F13861" s="3285"/>
      <c r="G13861" s="78"/>
    </row>
    <row r="13862" spans="1:19" ht="12.75" hidden="1" customHeight="1" outlineLevel="1" x14ac:dyDescent="0.25">
      <c r="A13862" s="1956" t="s">
        <v>6768</v>
      </c>
      <c r="B13862" s="2310">
        <v>44378</v>
      </c>
      <c r="C13862" s="3261">
        <v>100</v>
      </c>
      <c r="D13862" s="3264">
        <v>126.3554</v>
      </c>
      <c r="E13862" s="3262">
        <v>0.26355400000000007</v>
      </c>
      <c r="F13862" s="3285"/>
      <c r="G13862" s="78"/>
    </row>
    <row r="13863" spans="1:19" ht="12.75" hidden="1" customHeight="1" outlineLevel="1" x14ac:dyDescent="0.25">
      <c r="A13863" s="1956" t="s">
        <v>6769</v>
      </c>
      <c r="B13863" s="2310">
        <v>44409</v>
      </c>
      <c r="C13863" s="3261">
        <v>100</v>
      </c>
      <c r="D13863" s="3264">
        <v>127.9109</v>
      </c>
      <c r="E13863" s="3262">
        <v>0.27910900000000005</v>
      </c>
      <c r="F13863" s="3285"/>
      <c r="G13863" s="78"/>
    </row>
    <row r="13864" spans="1:19" ht="12.75" hidden="1" customHeight="1" outlineLevel="1" x14ac:dyDescent="0.25">
      <c r="A13864" s="2189" t="s">
        <v>2734</v>
      </c>
      <c r="B13864" s="2190"/>
      <c r="C13864" s="3264"/>
      <c r="D13864" s="2191" t="s">
        <v>2465</v>
      </c>
      <c r="E13864" s="1987">
        <v>0.14472033333333334</v>
      </c>
      <c r="F13864" s="2192">
        <v>0.14472033333333334</v>
      </c>
      <c r="G13864" s="78"/>
    </row>
    <row r="13865" spans="1:19" collapsed="1" x14ac:dyDescent="0.25">
      <c r="A13865" s="3801" t="s">
        <v>6751</v>
      </c>
      <c r="B13865" s="3802"/>
      <c r="C13865" s="3802"/>
      <c r="D13865" s="3802"/>
      <c r="E13865" s="1906"/>
      <c r="F13865" s="1907">
        <v>7.236016666666667E-2</v>
      </c>
      <c r="G13865" s="78"/>
    </row>
    <row r="13867" spans="1:19" ht="12.75" hidden="1" customHeight="1" outlineLevel="1" x14ac:dyDescent="0.25">
      <c r="A13867" s="3180" t="s">
        <v>113</v>
      </c>
      <c r="B13867" s="3180" t="s">
        <v>114</v>
      </c>
      <c r="C13867" s="3180" t="s">
        <v>112</v>
      </c>
      <c r="D13867" s="3180" t="s">
        <v>116</v>
      </c>
      <c r="E13867" s="3180" t="s">
        <v>117</v>
      </c>
      <c r="F13867" s="3181" t="s">
        <v>121</v>
      </c>
      <c r="G13867" s="78"/>
    </row>
    <row r="13868" spans="1:19" ht="12.75" hidden="1" customHeight="1" outlineLevel="1" x14ac:dyDescent="0.25">
      <c r="A13868" s="3182">
        <v>1</v>
      </c>
      <c r="B13868" s="3183" t="s">
        <v>252</v>
      </c>
      <c r="C13868" s="3184">
        <v>100</v>
      </c>
      <c r="D13868" s="3184"/>
      <c r="E13868" s="3185"/>
      <c r="F13868" s="3186"/>
      <c r="G13868" s="78"/>
    </row>
    <row r="13869" spans="1:19" ht="12.75" hidden="1" customHeight="1" outlineLevel="1" x14ac:dyDescent="0.25">
      <c r="A13869" s="3187" t="s">
        <v>2734</v>
      </c>
      <c r="B13869" s="3187"/>
      <c r="C13869" s="3188"/>
      <c r="D13869" s="1900" t="s">
        <v>3702</v>
      </c>
      <c r="E13869" s="3189">
        <v>44134</v>
      </c>
      <c r="F13869" s="3190"/>
      <c r="G13869" s="78"/>
      <c r="I13869" s="3">
        <v>2</v>
      </c>
      <c r="J13869" s="192" t="s">
        <v>252</v>
      </c>
    </row>
    <row r="13870" spans="1:19" ht="12.75" hidden="1" customHeight="1" outlineLevel="1" x14ac:dyDescent="0.3">
      <c r="A13870" s="3180" t="s">
        <v>4156</v>
      </c>
      <c r="B13870" s="3180" t="s">
        <v>4153</v>
      </c>
      <c r="C13870" s="3191" t="s">
        <v>112</v>
      </c>
      <c r="D13870" s="3192" t="s">
        <v>4155</v>
      </c>
      <c r="E13870" s="3180" t="s">
        <v>4154</v>
      </c>
      <c r="F13870" s="3193" t="s">
        <v>2519</v>
      </c>
      <c r="G13870" s="78"/>
      <c r="I13870" s="22" t="s">
        <v>4156</v>
      </c>
      <c r="J13870" s="476" t="s">
        <v>5272</v>
      </c>
      <c r="K13870" s="98" t="s">
        <v>112</v>
      </c>
      <c r="L13870" s="23" t="s">
        <v>4155</v>
      </c>
      <c r="M13870" s="22" t="s">
        <v>4154</v>
      </c>
      <c r="N13870" s="24" t="s">
        <v>2519</v>
      </c>
      <c r="O13870" s="417"/>
    </row>
    <row r="13871" spans="1:19" ht="12.75" hidden="1" customHeight="1" outlineLevel="1" x14ac:dyDescent="0.25">
      <c r="A13871" s="1991">
        <v>0.02</v>
      </c>
      <c r="B13871" s="1921" t="s">
        <v>359</v>
      </c>
      <c r="C13871" s="2108">
        <v>132.435</v>
      </c>
      <c r="D13871" s="3194">
        <v>151.06</v>
      </c>
      <c r="E13871" s="3195">
        <v>0.14063502850454945</v>
      </c>
      <c r="F13871" s="3193">
        <v>2.8127005700909892E-3</v>
      </c>
      <c r="G13871" s="78"/>
      <c r="H13871" t="s">
        <v>360</v>
      </c>
      <c r="I13871" s="477">
        <v>0.1</v>
      </c>
      <c r="J13871" s="417" t="s">
        <v>3020</v>
      </c>
      <c r="K13871" s="417">
        <v>112.465</v>
      </c>
      <c r="L13871" s="417">
        <v>122.46</v>
      </c>
      <c r="M13871" s="72">
        <v>8.8872093540212527E-2</v>
      </c>
      <c r="N13871" s="478">
        <v>8.8872093540212534E-3</v>
      </c>
      <c r="O13871" s="417" t="s">
        <v>490</v>
      </c>
      <c r="S13871" s="434"/>
    </row>
    <row r="13872" spans="1:19" ht="12.75" hidden="1" customHeight="1" outlineLevel="1" x14ac:dyDescent="0.25">
      <c r="A13872" s="2380">
        <v>0.02</v>
      </c>
      <c r="B13872" s="1921" t="s">
        <v>6601</v>
      </c>
      <c r="C13872" s="2108">
        <v>31.114000000000001</v>
      </c>
      <c r="D13872" s="3196">
        <v>0.39500000000000002</v>
      </c>
      <c r="E13872" s="3197">
        <v>-0.98730475027318887</v>
      </c>
      <c r="F13872" s="3198">
        <v>-1.9746095005463777E-2</v>
      </c>
      <c r="G13872" s="78"/>
      <c r="H13872" t="s">
        <v>6602</v>
      </c>
      <c r="I13872" s="477">
        <v>0.1</v>
      </c>
      <c r="J13872" s="417" t="s">
        <v>3405</v>
      </c>
      <c r="K13872" s="417">
        <v>24.260999999999999</v>
      </c>
      <c r="L13872" s="417">
        <v>30.059000000000001</v>
      </c>
      <c r="M13872" s="72">
        <v>0.23898437822018881</v>
      </c>
      <c r="N13872" s="478">
        <v>2.3898437822018882E-2</v>
      </c>
      <c r="O13872" s="417" t="s">
        <v>2747</v>
      </c>
      <c r="S13872" s="434"/>
    </row>
    <row r="13873" spans="1:19" ht="12.75" hidden="1" customHeight="1" outlineLevel="1" x14ac:dyDescent="0.25">
      <c r="A13873" s="2380">
        <v>0.08</v>
      </c>
      <c r="B13873" s="1921" t="s">
        <v>807</v>
      </c>
      <c r="C13873" s="2108">
        <v>52.975999999999999</v>
      </c>
      <c r="D13873" s="3196">
        <v>53.54</v>
      </c>
      <c r="E13873" s="3197">
        <v>1.0646330413772276E-2</v>
      </c>
      <c r="F13873" s="3198">
        <v>8.5170643310178212E-4</v>
      </c>
      <c r="G13873" s="78"/>
      <c r="H13873" t="s">
        <v>808</v>
      </c>
      <c r="I13873" s="477">
        <v>0.1</v>
      </c>
      <c r="J13873" s="417" t="s">
        <v>1440</v>
      </c>
      <c r="K13873" s="417">
        <v>68.215000000000003</v>
      </c>
      <c r="L13873" s="417">
        <v>67.278000000000006</v>
      </c>
      <c r="M13873" s="72">
        <v>-1.3735981822179832E-2</v>
      </c>
      <c r="N13873" s="478">
        <v>-1.3735981822179833E-3</v>
      </c>
      <c r="O13873" s="417" t="s">
        <v>2569</v>
      </c>
      <c r="S13873" s="434"/>
    </row>
    <row r="13874" spans="1:19" ht="12.75" hidden="1" customHeight="1" outlineLevel="1" x14ac:dyDescent="0.25">
      <c r="A13874" s="2380">
        <v>0.02</v>
      </c>
      <c r="B13874" s="1921" t="s">
        <v>901</v>
      </c>
      <c r="C13874" s="2108">
        <v>3671.95</v>
      </c>
      <c r="D13874" s="3196">
        <v>2448</v>
      </c>
      <c r="E13874" s="3197">
        <v>-0.33332425550456835</v>
      </c>
      <c r="F13874" s="3198">
        <v>-6.6664851100913672E-3</v>
      </c>
      <c r="G13874" s="78"/>
      <c r="H13874" t="s">
        <v>531</v>
      </c>
      <c r="I13874" s="477">
        <v>0.1</v>
      </c>
      <c r="J13874" s="417" t="s">
        <v>3426</v>
      </c>
      <c r="K13874" s="417">
        <v>108.56399999999999</v>
      </c>
      <c r="L13874" s="417">
        <v>102.06399999999999</v>
      </c>
      <c r="M13874" s="72">
        <v>-5.9872517593309027E-2</v>
      </c>
      <c r="N13874" s="478">
        <v>-5.9872517593309027E-3</v>
      </c>
      <c r="O13874" s="417" t="s">
        <v>4145</v>
      </c>
      <c r="S13874" s="434"/>
    </row>
    <row r="13875" spans="1:19" ht="12.75" hidden="1" customHeight="1" outlineLevel="1" x14ac:dyDescent="0.25">
      <c r="A13875" s="2380">
        <v>0.02</v>
      </c>
      <c r="B13875" s="1921" t="s">
        <v>2353</v>
      </c>
      <c r="C13875" s="2108">
        <v>738.9</v>
      </c>
      <c r="D13875" s="3196">
        <v>348.6</v>
      </c>
      <c r="E13875" s="3197">
        <v>-0.52821762078765722</v>
      </c>
      <c r="F13875" s="3198">
        <v>-1.0564352415753145E-2</v>
      </c>
      <c r="G13875" s="78"/>
      <c r="H13875" t="s">
        <v>2354</v>
      </c>
      <c r="I13875" s="477">
        <v>0.1</v>
      </c>
      <c r="J13875" s="417" t="s">
        <v>2856</v>
      </c>
      <c r="K13875" s="417">
        <v>131.51499999999999</v>
      </c>
      <c r="L13875" s="417">
        <v>166.55</v>
      </c>
      <c r="M13875" s="72">
        <v>0.26639546819754423</v>
      </c>
      <c r="N13875" s="478">
        <v>2.6639546819754424E-2</v>
      </c>
      <c r="O13875" s="417" t="s">
        <v>2721</v>
      </c>
      <c r="S13875" s="434"/>
    </row>
    <row r="13876" spans="1:19" ht="12.75" hidden="1" customHeight="1" outlineLevel="1" x14ac:dyDescent="0.25">
      <c r="A13876" s="2380">
        <v>0.02</v>
      </c>
      <c r="B13876" s="1921" t="s">
        <v>6776</v>
      </c>
      <c r="C13876" s="2108">
        <v>4.1841999999999997</v>
      </c>
      <c r="D13876" s="3196">
        <v>1.5620000000000001</v>
      </c>
      <c r="E13876" s="3197">
        <v>-0.62669088475694279</v>
      </c>
      <c r="F13876" s="3198">
        <v>-1.2533817695138855E-2</v>
      </c>
      <c r="G13876" s="78"/>
      <c r="H13876" t="s">
        <v>6777</v>
      </c>
      <c r="I13876" s="477">
        <v>0.1</v>
      </c>
      <c r="J13876" s="417" t="s">
        <v>6775</v>
      </c>
      <c r="K13876" s="417">
        <v>31.152000000000001</v>
      </c>
      <c r="L13876" s="417">
        <v>24.911999999999999</v>
      </c>
      <c r="M13876" s="72">
        <v>-0.20030816640986138</v>
      </c>
      <c r="N13876" s="478">
        <v>-2.0030816640986139E-2</v>
      </c>
      <c r="O13876" s="417" t="s">
        <v>6773</v>
      </c>
      <c r="S13876" s="434"/>
    </row>
    <row r="13877" spans="1:19" ht="12.75" hidden="1" customHeight="1" outlineLevel="1" x14ac:dyDescent="0.25">
      <c r="A13877" s="2380">
        <v>0.08</v>
      </c>
      <c r="B13877" s="1921" t="s">
        <v>3954</v>
      </c>
      <c r="C13877" s="2108">
        <v>104.366</v>
      </c>
      <c r="D13877" s="3196">
        <v>99.38</v>
      </c>
      <c r="E13877" s="3197">
        <v>-4.7774179330433375E-2</v>
      </c>
      <c r="F13877" s="3198">
        <v>-3.8219343464346699E-3</v>
      </c>
      <c r="G13877" s="78"/>
      <c r="H13877" t="s">
        <v>3955</v>
      </c>
      <c r="I13877" s="477">
        <v>0.1</v>
      </c>
      <c r="J13877" s="417" t="s">
        <v>3797</v>
      </c>
      <c r="K13877" s="417">
        <v>71.375</v>
      </c>
      <c r="L13877" s="417">
        <v>75.569999999999993</v>
      </c>
      <c r="M13877" s="72">
        <v>5.8774080560420217E-2</v>
      </c>
      <c r="N13877" s="478">
        <v>5.8774080560420223E-3</v>
      </c>
      <c r="O13877" s="417" t="s">
        <v>8872</v>
      </c>
      <c r="S13877" s="434"/>
    </row>
    <row r="13878" spans="1:19" ht="12.75" hidden="1" customHeight="1" outlineLevel="1" x14ac:dyDescent="0.25">
      <c r="A13878" s="2380">
        <v>0.02</v>
      </c>
      <c r="B13878" s="1921" t="s">
        <v>4332</v>
      </c>
      <c r="C13878" s="2108">
        <v>298.27</v>
      </c>
      <c r="D13878" s="3196">
        <v>37.18</v>
      </c>
      <c r="E13878" s="3197">
        <v>-0.8753478392060885</v>
      </c>
      <c r="F13878" s="3198">
        <v>-1.7506956784121772E-2</v>
      </c>
      <c r="G13878" s="78"/>
      <c r="H13878" t="s">
        <v>4334</v>
      </c>
      <c r="I13878" s="477">
        <v>0.1</v>
      </c>
      <c r="J13878" s="417" t="s">
        <v>2787</v>
      </c>
      <c r="K13878" s="417">
        <v>90.75</v>
      </c>
      <c r="L13878" s="417">
        <v>89.52</v>
      </c>
      <c r="M13878" s="72">
        <v>-1.355371900826452E-2</v>
      </c>
      <c r="N13878" s="478">
        <v>-1.355371900826452E-3</v>
      </c>
      <c r="O13878" s="417" t="s">
        <v>8874</v>
      </c>
      <c r="S13878" s="434"/>
    </row>
    <row r="13879" spans="1:19" ht="12.75" hidden="1" customHeight="1" outlineLevel="1" x14ac:dyDescent="0.25">
      <c r="A13879" s="2380">
        <v>0.03</v>
      </c>
      <c r="B13879" s="1921" t="s">
        <v>6267</v>
      </c>
      <c r="C13879" s="2108">
        <v>26.388500000000001</v>
      </c>
      <c r="D13879" s="3196">
        <v>18.53</v>
      </c>
      <c r="E13879" s="3197">
        <v>-0.29780017810788784</v>
      </c>
      <c r="F13879" s="3198">
        <v>-8.9340053432366354E-3</v>
      </c>
      <c r="G13879" s="78"/>
      <c r="H13879" t="s">
        <v>6268</v>
      </c>
      <c r="I13879" s="477">
        <v>0.1</v>
      </c>
      <c r="J13879" s="417" t="s">
        <v>3800</v>
      </c>
      <c r="K13879" s="417">
        <v>285.74</v>
      </c>
      <c r="L13879" s="417">
        <v>269.38</v>
      </c>
      <c r="M13879" s="72">
        <v>-5.7254847063764269E-2</v>
      </c>
      <c r="N13879" s="478">
        <v>-5.7254847063764273E-3</v>
      </c>
      <c r="O13879" s="417" t="s">
        <v>8876</v>
      </c>
      <c r="S13879" s="434"/>
    </row>
    <row r="13880" spans="1:19" ht="12.75" hidden="1" customHeight="1" outlineLevel="1" x14ac:dyDescent="0.25">
      <c r="A13880" s="2380">
        <v>0.02</v>
      </c>
      <c r="B13880" s="1921" t="s">
        <v>7227</v>
      </c>
      <c r="C13880" s="2108">
        <v>18.104860755448037</v>
      </c>
      <c r="D13880" s="3196">
        <v>10.385</v>
      </c>
      <c r="E13880" s="3197">
        <v>-0.42639713498624998</v>
      </c>
      <c r="F13880" s="3198">
        <v>-8.5279426997250003E-3</v>
      </c>
      <c r="G13880" s="78"/>
      <c r="H13880" t="s">
        <v>7229</v>
      </c>
      <c r="I13880" s="477">
        <v>0.1</v>
      </c>
      <c r="J13880" s="417" t="s">
        <v>106</v>
      </c>
      <c r="K13880" s="417">
        <v>2601.9</v>
      </c>
      <c r="L13880" s="417">
        <v>2871.2</v>
      </c>
      <c r="M13880" s="72">
        <v>0.10350128752065779</v>
      </c>
      <c r="N13880" s="478">
        <v>1.035012875206578E-2</v>
      </c>
      <c r="O13880" s="417" t="s">
        <v>107</v>
      </c>
      <c r="S13880" s="434"/>
    </row>
    <row r="13881" spans="1:19" ht="12.75" hidden="1" customHeight="1" outlineLevel="1" x14ac:dyDescent="0.25">
      <c r="A13881" s="2380">
        <v>0.05</v>
      </c>
      <c r="B13881" s="1921" t="s">
        <v>3799</v>
      </c>
      <c r="C13881" s="2108">
        <v>1438.214766239714</v>
      </c>
      <c r="D13881" s="3196">
        <v>1291.8</v>
      </c>
      <c r="E13881" s="3197">
        <v>-0.10180313099032001</v>
      </c>
      <c r="F13881" s="3198">
        <v>-5.0901565495160006E-3</v>
      </c>
      <c r="G13881" s="78"/>
      <c r="H13881" t="s">
        <v>4128</v>
      </c>
      <c r="N13881" s="406">
        <v>4.1180207614164466E-2</v>
      </c>
      <c r="S13881" s="434"/>
    </row>
    <row r="13882" spans="1:19" ht="12.75" hidden="1" customHeight="1" outlineLevel="1" x14ac:dyDescent="0.25">
      <c r="A13882" s="2380">
        <v>0.02</v>
      </c>
      <c r="B13882" s="1921" t="s">
        <v>1771</v>
      </c>
      <c r="C13882" s="2108">
        <v>635.97</v>
      </c>
      <c r="D13882" s="3196">
        <v>324.55</v>
      </c>
      <c r="E13882" s="3197">
        <v>-0.48967718603078758</v>
      </c>
      <c r="F13882" s="3198">
        <v>-9.7935437206157511E-3</v>
      </c>
      <c r="G13882" s="78"/>
      <c r="H13882" t="s">
        <v>4329</v>
      </c>
      <c r="S13882" s="434"/>
    </row>
    <row r="13883" spans="1:19" ht="12.75" hidden="1" customHeight="1" outlineLevel="1" x14ac:dyDescent="0.25">
      <c r="A13883" s="2380">
        <v>0.02</v>
      </c>
      <c r="B13883" s="1921" t="s">
        <v>1772</v>
      </c>
      <c r="C13883" s="2519">
        <v>156.69</v>
      </c>
      <c r="D13883" s="3196">
        <v>200.8</v>
      </c>
      <c r="E13883" s="3197">
        <v>0.28151126427978812</v>
      </c>
      <c r="F13883" s="3198">
        <v>5.6302252855957623E-3</v>
      </c>
      <c r="G13883" s="78"/>
      <c r="H13883" t="s">
        <v>4330</v>
      </c>
      <c r="S13883" s="434"/>
    </row>
    <row r="13884" spans="1:19" ht="12.75" hidden="1" customHeight="1" outlineLevel="1" x14ac:dyDescent="0.25">
      <c r="A13884" s="2380">
        <v>0.02</v>
      </c>
      <c r="B13884" s="1921" t="s">
        <v>2786</v>
      </c>
      <c r="C13884" s="2108">
        <v>944.51931735654068</v>
      </c>
      <c r="D13884" s="3196">
        <v>919</v>
      </c>
      <c r="E13884" s="3197">
        <v>-2.7018311735499956E-2</v>
      </c>
      <c r="F13884" s="3198">
        <v>-5.4036623470999918E-4</v>
      </c>
      <c r="G13884" s="78"/>
      <c r="H13884" t="s">
        <v>4195</v>
      </c>
      <c r="S13884" s="434"/>
    </row>
    <row r="13885" spans="1:19" ht="12.75" hidden="1" customHeight="1" outlineLevel="1" x14ac:dyDescent="0.25">
      <c r="A13885" s="2380">
        <v>0.02</v>
      </c>
      <c r="B13885" s="1921" t="s">
        <v>5824</v>
      </c>
      <c r="C13885" s="2108">
        <v>12.9435</v>
      </c>
      <c r="D13885" s="3196">
        <v>9.6300000000000008</v>
      </c>
      <c r="E13885" s="3197">
        <v>-0.2559972186811913</v>
      </c>
      <c r="F13885" s="3198">
        <v>-5.1199443736238259E-3</v>
      </c>
      <c r="G13885" s="78"/>
      <c r="H13885" t="s">
        <v>5817</v>
      </c>
      <c r="S13885" s="434"/>
    </row>
    <row r="13886" spans="1:19" ht="12.75" hidden="1" customHeight="1" outlineLevel="1" x14ac:dyDescent="0.25">
      <c r="A13886" s="2380">
        <v>0.02</v>
      </c>
      <c r="B13886" s="1921" t="s">
        <v>3958</v>
      </c>
      <c r="C13886" s="2108">
        <v>1210.3</v>
      </c>
      <c r="D13886" s="3196">
        <v>510</v>
      </c>
      <c r="E13886" s="3197">
        <v>-0.57861687184995447</v>
      </c>
      <c r="F13886" s="3198">
        <v>-1.157233743699909E-2</v>
      </c>
      <c r="G13886" s="78"/>
      <c r="H13886" t="s">
        <v>3959</v>
      </c>
      <c r="S13886" s="434"/>
    </row>
    <row r="13887" spans="1:19" ht="12.75" hidden="1" customHeight="1" outlineLevel="1" x14ac:dyDescent="0.25">
      <c r="A13887" s="2380">
        <v>0.05</v>
      </c>
      <c r="B13887" s="1921" t="s">
        <v>3793</v>
      </c>
      <c r="C13887" s="2108">
        <v>87.262</v>
      </c>
      <c r="D13887" s="3196">
        <v>71.02</v>
      </c>
      <c r="E13887" s="3197">
        <v>-0.18612912837202911</v>
      </c>
      <c r="F13887" s="3198">
        <v>-9.306456418601455E-3</v>
      </c>
      <c r="G13887" s="78"/>
      <c r="H13887" t="s">
        <v>3533</v>
      </c>
      <c r="S13887" s="434"/>
    </row>
    <row r="13888" spans="1:19" ht="12.75" hidden="1" customHeight="1" outlineLevel="1" x14ac:dyDescent="0.25">
      <c r="A13888" s="2380">
        <v>0.02</v>
      </c>
      <c r="B13888" s="1921" t="s">
        <v>6270</v>
      </c>
      <c r="C13888" s="2108">
        <v>38.024000000000001</v>
      </c>
      <c r="D13888" s="3196">
        <v>32.4</v>
      </c>
      <c r="E13888" s="3197">
        <v>-0.14790658531453826</v>
      </c>
      <c r="F13888" s="3198">
        <v>-2.9581317062907652E-3</v>
      </c>
      <c r="G13888" s="78"/>
      <c r="H13888" t="s">
        <v>8166</v>
      </c>
      <c r="S13888" s="434"/>
    </row>
    <row r="13889" spans="1:19" ht="12.75" hidden="1" customHeight="1" outlineLevel="1" x14ac:dyDescent="0.25">
      <c r="A13889" s="2380">
        <v>0.02</v>
      </c>
      <c r="B13889" s="1921" t="s">
        <v>6524</v>
      </c>
      <c r="C13889" s="2108">
        <v>92.467461428504564</v>
      </c>
      <c r="D13889" s="3196">
        <v>76.3</v>
      </c>
      <c r="E13889" s="3197">
        <v>-0.17484487168499996</v>
      </c>
      <c r="F13889" s="3198">
        <v>-3.4968974336999992E-3</v>
      </c>
      <c r="G13889" s="78"/>
      <c r="H13889" t="s">
        <v>6525</v>
      </c>
      <c r="S13889" s="434"/>
    </row>
    <row r="13890" spans="1:19" ht="12.75" hidden="1" customHeight="1" outlineLevel="1" x14ac:dyDescent="0.25">
      <c r="A13890" s="2380">
        <v>0.08</v>
      </c>
      <c r="B13890" s="1921" t="s">
        <v>6116</v>
      </c>
      <c r="C13890" s="2108">
        <v>3.4116698783575345</v>
      </c>
      <c r="D13890" s="3196">
        <v>4.1900000000000004</v>
      </c>
      <c r="E13890" s="3197">
        <v>0.22813758346900026</v>
      </c>
      <c r="F13890" s="3198">
        <v>1.8251006677520023E-2</v>
      </c>
      <c r="G13890" s="78"/>
      <c r="H13890" t="s">
        <v>6114</v>
      </c>
      <c r="S13890" s="434"/>
    </row>
    <row r="13891" spans="1:19" ht="12.75" hidden="1" customHeight="1" outlineLevel="1" x14ac:dyDescent="0.25">
      <c r="A13891" s="2380">
        <v>0.05</v>
      </c>
      <c r="B13891" s="1921" t="s">
        <v>1857</v>
      </c>
      <c r="C13891" s="2108">
        <v>1572.6</v>
      </c>
      <c r="D13891" s="3196">
        <v>1255</v>
      </c>
      <c r="E13891" s="3197">
        <v>-0.20195853999745639</v>
      </c>
      <c r="F13891" s="3198">
        <v>-1.009792699987282E-2</v>
      </c>
      <c r="G13891" s="78"/>
      <c r="H13891" t="s">
        <v>3559</v>
      </c>
      <c r="S13891" s="434"/>
    </row>
    <row r="13892" spans="1:19" ht="12.75" hidden="1" customHeight="1" outlineLevel="1" x14ac:dyDescent="0.25">
      <c r="A13892" s="2380">
        <v>0.02</v>
      </c>
      <c r="B13892" s="1921" t="s">
        <v>3381</v>
      </c>
      <c r="C13892" s="2108">
        <v>150.34</v>
      </c>
      <c r="D13892" s="3196">
        <v>121.25</v>
      </c>
      <c r="E13892" s="3197">
        <v>-0.19349474524411336</v>
      </c>
      <c r="F13892" s="3198">
        <v>-3.8698949048822672E-3</v>
      </c>
      <c r="G13892" s="78"/>
      <c r="H13892" t="s">
        <v>9199</v>
      </c>
      <c r="S13892" s="434"/>
    </row>
    <row r="13893" spans="1:19" ht="12.75" hidden="1" customHeight="1" outlineLevel="1" x14ac:dyDescent="0.25">
      <c r="A13893" s="2380">
        <v>0.02</v>
      </c>
      <c r="B13893" s="1921" t="s">
        <v>1724</v>
      </c>
      <c r="C13893" s="2108">
        <v>189.97</v>
      </c>
      <c r="D13893" s="3196">
        <v>139.5</v>
      </c>
      <c r="E13893" s="3197">
        <v>-0.26567352739906303</v>
      </c>
      <c r="F13893" s="3198">
        <v>-5.3134705479812609E-3</v>
      </c>
      <c r="G13893" s="78"/>
      <c r="H13893" t="s">
        <v>1725</v>
      </c>
      <c r="S13893" s="434"/>
    </row>
    <row r="13894" spans="1:19" ht="12.75" hidden="1" customHeight="1" outlineLevel="1" x14ac:dyDescent="0.25">
      <c r="A13894" s="2380">
        <v>0.02</v>
      </c>
      <c r="B13894" s="1921" t="s">
        <v>6118</v>
      </c>
      <c r="C13894" s="2108">
        <v>78.236894651220467</v>
      </c>
      <c r="D13894" s="3196">
        <v>65.739999999999995</v>
      </c>
      <c r="E13894" s="3197">
        <v>-0.15973147588400005</v>
      </c>
      <c r="F13894" s="3198">
        <v>-3.1946295176800009E-3</v>
      </c>
      <c r="G13894" s="78"/>
      <c r="H13894" t="s">
        <v>8893</v>
      </c>
      <c r="S13894" s="434"/>
    </row>
    <row r="13895" spans="1:19" ht="12.75" hidden="1" customHeight="1" outlineLevel="1" x14ac:dyDescent="0.25">
      <c r="A13895" s="2380">
        <v>0.08</v>
      </c>
      <c r="B13895" s="1921" t="s">
        <v>1239</v>
      </c>
      <c r="C13895" s="2108">
        <v>569.70000000000005</v>
      </c>
      <c r="D13895" s="3196">
        <v>466.3</v>
      </c>
      <c r="E13895" s="3197">
        <v>-0.18149903457960337</v>
      </c>
      <c r="F13895" s="3198">
        <v>-1.451992276636827E-2</v>
      </c>
      <c r="G13895" s="78"/>
      <c r="H13895" t="s">
        <v>8891</v>
      </c>
      <c r="S13895" s="434"/>
    </row>
    <row r="13896" spans="1:19" ht="12.75" hidden="1" customHeight="1" outlineLevel="1" x14ac:dyDescent="0.25">
      <c r="A13896" s="2380">
        <v>0.02</v>
      </c>
      <c r="B13896" s="1921" t="s">
        <v>577</v>
      </c>
      <c r="C13896" s="2108">
        <v>12.11520458041575</v>
      </c>
      <c r="D13896" s="3196">
        <v>2.806</v>
      </c>
      <c r="E13896" s="3197">
        <v>-0.76839020906540001</v>
      </c>
      <c r="F13896" s="3198">
        <v>-1.5367804181308E-2</v>
      </c>
      <c r="G13896" s="78"/>
      <c r="H13896" t="s">
        <v>6732</v>
      </c>
      <c r="S13896" s="434"/>
    </row>
    <row r="13897" spans="1:19" ht="12.75" hidden="1" customHeight="1" outlineLevel="1" x14ac:dyDescent="0.25">
      <c r="A13897" s="2380">
        <v>0.02</v>
      </c>
      <c r="B13897" s="1921" t="s">
        <v>434</v>
      </c>
      <c r="C13897" s="2108">
        <v>51.515000000000001</v>
      </c>
      <c r="D13897" s="3196">
        <v>34.119999999999997</v>
      </c>
      <c r="E13897" s="3197">
        <v>-0.33766864020188303</v>
      </c>
      <c r="F13897" s="3198">
        <v>-6.7533728040376608E-3</v>
      </c>
      <c r="G13897" s="78"/>
      <c r="H13897" t="s">
        <v>7745</v>
      </c>
      <c r="S13897" s="434"/>
    </row>
    <row r="13898" spans="1:19" ht="12.75" hidden="1" customHeight="1" outlineLevel="1" x14ac:dyDescent="0.25">
      <c r="A13898" s="2380">
        <v>0.02</v>
      </c>
      <c r="B13898" s="1921" t="s">
        <v>6</v>
      </c>
      <c r="C13898" s="2108">
        <v>26.628</v>
      </c>
      <c r="D13898" s="3196">
        <v>0.67049999999999998</v>
      </c>
      <c r="E13898" s="3197">
        <v>-0.97481973862100046</v>
      </c>
      <c r="F13898" s="3198">
        <v>-1.949639477242001E-2</v>
      </c>
      <c r="G13898" s="78"/>
      <c r="H13898" t="s">
        <v>12</v>
      </c>
      <c r="S13898" s="434"/>
    </row>
    <row r="13899" spans="1:19" ht="12.75" hidden="1" customHeight="1" outlineLevel="1" x14ac:dyDescent="0.25">
      <c r="A13899" s="2380">
        <v>0.02</v>
      </c>
      <c r="B13899" s="1921" t="s">
        <v>5174</v>
      </c>
      <c r="C13899" s="2108">
        <v>171.3114890319078</v>
      </c>
      <c r="D13899" s="3196">
        <v>162.9</v>
      </c>
      <c r="E13899" s="3197">
        <v>-4.9100554080999781E-2</v>
      </c>
      <c r="F13899" s="3198">
        <v>-9.8201108161999557E-4</v>
      </c>
      <c r="G13899" s="78"/>
      <c r="H13899" t="s">
        <v>5172</v>
      </c>
      <c r="S13899" s="434"/>
    </row>
    <row r="13900" spans="1:19" ht="12.75" hidden="1" customHeight="1" outlineLevel="1" x14ac:dyDescent="0.25">
      <c r="A13900" s="2380">
        <v>0.08</v>
      </c>
      <c r="B13900" s="2109" t="s">
        <v>4550</v>
      </c>
      <c r="C13900" s="2108">
        <v>292.05</v>
      </c>
      <c r="D13900" s="3199">
        <v>304</v>
      </c>
      <c r="E13900" s="3197">
        <v>4.0917651087142515E-2</v>
      </c>
      <c r="F13900" s="3198">
        <v>3.2734120869714013E-3</v>
      </c>
      <c r="G13900" s="78"/>
      <c r="H13900" t="s">
        <v>8889</v>
      </c>
      <c r="S13900" s="434"/>
    </row>
    <row r="13901" spans="1:19" ht="12.75" hidden="1" customHeight="1" outlineLevel="1" x14ac:dyDescent="0.25">
      <c r="A13901" s="2181" t="s">
        <v>2734</v>
      </c>
      <c r="B13901" s="2103"/>
      <c r="C13901" s="3200"/>
      <c r="D13901" s="3201"/>
      <c r="E13901" s="3202"/>
      <c r="F13901" s="3193">
        <v>-0.18495579979691243</v>
      </c>
      <c r="G13901" s="78"/>
    </row>
    <row r="13902" spans="1:19" ht="12.75" hidden="1" customHeight="1" outlineLevel="1" x14ac:dyDescent="0.25">
      <c r="A13902" s="1956" t="s">
        <v>6752</v>
      </c>
      <c r="B13902" s="2185">
        <v>43586</v>
      </c>
      <c r="C13902" s="3203">
        <v>100</v>
      </c>
      <c r="D13902" s="3203">
        <v>93.968100000000007</v>
      </c>
      <c r="E13902" s="3204">
        <v>-6.03189999999999E-2</v>
      </c>
      <c r="F13902" s="3205"/>
      <c r="G13902" s="78"/>
    </row>
    <row r="13903" spans="1:19" ht="12.75" hidden="1" customHeight="1" outlineLevel="1" x14ac:dyDescent="0.25">
      <c r="A13903" s="1956" t="s">
        <v>6753</v>
      </c>
      <c r="B13903" s="2185">
        <v>43617</v>
      </c>
      <c r="C13903" s="3203">
        <v>100</v>
      </c>
      <c r="D13903" s="3206">
        <v>95.164400000000001</v>
      </c>
      <c r="E13903" s="3204">
        <v>-4.8355999999999955E-2</v>
      </c>
      <c r="F13903" s="3205"/>
      <c r="G13903" s="78"/>
    </row>
    <row r="13904" spans="1:19" ht="12.75" hidden="1" customHeight="1" outlineLevel="1" x14ac:dyDescent="0.25">
      <c r="A13904" s="1956" t="s">
        <v>6754</v>
      </c>
      <c r="B13904" s="2185">
        <v>43647</v>
      </c>
      <c r="C13904" s="3203">
        <v>100</v>
      </c>
      <c r="D13904" s="3206">
        <v>95.111500000000007</v>
      </c>
      <c r="E13904" s="3204">
        <v>-4.8884999999999956E-2</v>
      </c>
      <c r="F13904" s="3205"/>
      <c r="G13904" s="78"/>
    </row>
    <row r="13905" spans="1:7" ht="12.75" hidden="1" customHeight="1" outlineLevel="1" x14ac:dyDescent="0.25">
      <c r="A13905" s="1956" t="s">
        <v>6755</v>
      </c>
      <c r="B13905" s="2185">
        <v>43678</v>
      </c>
      <c r="C13905" s="3203">
        <v>100</v>
      </c>
      <c r="D13905" s="3206">
        <v>94.587599999999995</v>
      </c>
      <c r="E13905" s="3204">
        <v>-5.4124000000000061E-2</v>
      </c>
      <c r="F13905" s="3205"/>
      <c r="G13905" s="78"/>
    </row>
    <row r="13906" spans="1:7" ht="12.75" hidden="1" customHeight="1" outlineLevel="1" x14ac:dyDescent="0.25">
      <c r="A13906" s="1956" t="s">
        <v>6756</v>
      </c>
      <c r="B13906" s="2185">
        <v>43709</v>
      </c>
      <c r="C13906" s="3203">
        <v>100</v>
      </c>
      <c r="D13906" s="3206">
        <v>99.199600000000004</v>
      </c>
      <c r="E13906" s="3204">
        <v>-8.0040000000000111E-3</v>
      </c>
      <c r="F13906" s="3205"/>
      <c r="G13906" s="78"/>
    </row>
    <row r="13907" spans="1:7" ht="12.75" hidden="1" customHeight="1" outlineLevel="1" x14ac:dyDescent="0.25">
      <c r="A13907" s="1956" t="s">
        <v>6757</v>
      </c>
      <c r="B13907" s="2185">
        <v>43739</v>
      </c>
      <c r="C13907" s="3203">
        <v>100</v>
      </c>
      <c r="D13907" s="3206">
        <v>99.860299999999995</v>
      </c>
      <c r="E13907" s="3204">
        <v>-1.3970000000000926E-3</v>
      </c>
      <c r="F13907" s="3205"/>
      <c r="G13907" s="78"/>
    </row>
    <row r="13908" spans="1:7" ht="12.75" hidden="1" customHeight="1" outlineLevel="1" x14ac:dyDescent="0.25">
      <c r="A13908" s="1956" t="s">
        <v>6758</v>
      </c>
      <c r="B13908" s="2185">
        <v>43770</v>
      </c>
      <c r="C13908" s="3203">
        <v>100</v>
      </c>
      <c r="D13908" s="3206">
        <v>100.6126</v>
      </c>
      <c r="E13908" s="3204">
        <v>6.1260000000000758E-3</v>
      </c>
      <c r="F13908" s="3205"/>
      <c r="G13908" s="78"/>
    </row>
    <row r="13909" spans="1:7" ht="12.75" hidden="1" customHeight="1" outlineLevel="1" x14ac:dyDescent="0.25">
      <c r="A13909" s="1956" t="s">
        <v>6759</v>
      </c>
      <c r="B13909" s="2185">
        <v>43800</v>
      </c>
      <c r="C13909" s="3203">
        <v>100</v>
      </c>
      <c r="D13909" s="3206">
        <v>101.4111</v>
      </c>
      <c r="E13909" s="3204">
        <v>1.4110999999999985E-2</v>
      </c>
      <c r="F13909" s="3205"/>
      <c r="G13909" s="78"/>
    </row>
    <row r="13910" spans="1:7" ht="12.75" hidden="1" customHeight="1" outlineLevel="1" x14ac:dyDescent="0.25">
      <c r="A13910" s="1956" t="s">
        <v>6760</v>
      </c>
      <c r="B13910" s="2185">
        <v>43831</v>
      </c>
      <c r="C13910" s="3203">
        <v>100</v>
      </c>
      <c r="D13910" s="3206">
        <v>102.2715</v>
      </c>
      <c r="E13910" s="3204">
        <v>2.2715000000000041E-2</v>
      </c>
      <c r="F13910" s="3205"/>
      <c r="G13910" s="78"/>
    </row>
    <row r="13911" spans="1:7" ht="12.75" hidden="1" customHeight="1" outlineLevel="1" x14ac:dyDescent="0.25">
      <c r="A13911" s="1956" t="s">
        <v>6761</v>
      </c>
      <c r="B13911" s="2185">
        <v>43862</v>
      </c>
      <c r="C13911" s="3203">
        <v>100</v>
      </c>
      <c r="D13911" s="3206">
        <v>95.331199999999995</v>
      </c>
      <c r="E13911" s="3204">
        <v>-4.6688000000000063E-2</v>
      </c>
      <c r="F13911" s="3205"/>
      <c r="G13911" s="78"/>
    </row>
    <row r="13912" spans="1:7" ht="12.75" hidden="1" customHeight="1" outlineLevel="1" x14ac:dyDescent="0.25">
      <c r="A13912" s="1956" t="s">
        <v>6762</v>
      </c>
      <c r="B13912" s="2185">
        <v>43891</v>
      </c>
      <c r="C13912" s="3203">
        <v>100</v>
      </c>
      <c r="D13912" s="3206">
        <v>84.506200000000007</v>
      </c>
      <c r="E13912" s="3204">
        <v>-0.15493799999999991</v>
      </c>
      <c r="F13912" s="3205"/>
      <c r="G13912" s="78"/>
    </row>
    <row r="13913" spans="1:7" ht="12.75" hidden="1" customHeight="1" outlineLevel="1" x14ac:dyDescent="0.25">
      <c r="A13913" s="1956" t="s">
        <v>6763</v>
      </c>
      <c r="B13913" s="2185">
        <v>43922</v>
      </c>
      <c r="C13913" s="3203">
        <v>100</v>
      </c>
      <c r="D13913" s="3206">
        <v>84.635099999999994</v>
      </c>
      <c r="E13913" s="3204">
        <v>-0.15364900000000004</v>
      </c>
      <c r="F13913" s="3205"/>
      <c r="G13913" s="78"/>
    </row>
    <row r="13914" spans="1:7" ht="12.75" hidden="1" customHeight="1" outlineLevel="1" x14ac:dyDescent="0.25">
      <c r="A13914" s="1956" t="s">
        <v>6764</v>
      </c>
      <c r="B13914" s="2185">
        <v>43952</v>
      </c>
      <c r="C13914" s="3203">
        <v>100</v>
      </c>
      <c r="D13914" s="3206">
        <v>85.225800000000007</v>
      </c>
      <c r="E13914" s="3204">
        <v>-0.14774199999999993</v>
      </c>
      <c r="F13914" s="3205"/>
      <c r="G13914" s="78"/>
    </row>
    <row r="13915" spans="1:7" ht="12.75" hidden="1" customHeight="1" outlineLevel="1" x14ac:dyDescent="0.25">
      <c r="A13915" s="1956" t="s">
        <v>6765</v>
      </c>
      <c r="B13915" s="2185">
        <v>43983</v>
      </c>
      <c r="C13915" s="3203">
        <v>100</v>
      </c>
      <c r="D13915" s="3206">
        <v>87.804100000000005</v>
      </c>
      <c r="E13915" s="3204">
        <v>-0.12195899999999993</v>
      </c>
      <c r="F13915" s="3205"/>
      <c r="G13915" s="78"/>
    </row>
    <row r="13916" spans="1:7" ht="12.75" hidden="1" customHeight="1" outlineLevel="1" x14ac:dyDescent="0.25">
      <c r="A13916" s="1956" t="s">
        <v>6766</v>
      </c>
      <c r="B13916" s="2185">
        <v>44013</v>
      </c>
      <c r="C13916" s="3203">
        <v>100</v>
      </c>
      <c r="D13916" s="3206">
        <v>87.079400000000007</v>
      </c>
      <c r="E13916" s="3204">
        <v>-0.12920599999999993</v>
      </c>
      <c r="F13916" s="3205"/>
      <c r="G13916" s="78"/>
    </row>
    <row r="13917" spans="1:7" ht="12.75" hidden="1" customHeight="1" outlineLevel="1" x14ac:dyDescent="0.25">
      <c r="A13917" s="1956" t="s">
        <v>6767</v>
      </c>
      <c r="B13917" s="2185">
        <v>44044</v>
      </c>
      <c r="C13917" s="3203">
        <v>100</v>
      </c>
      <c r="D13917" s="3206">
        <v>87.6995</v>
      </c>
      <c r="E13917" s="3204">
        <v>-0.12300500000000003</v>
      </c>
      <c r="F13917" s="3205"/>
      <c r="G13917" s="78"/>
    </row>
    <row r="13918" spans="1:7" ht="12.75" hidden="1" customHeight="1" outlineLevel="1" x14ac:dyDescent="0.25">
      <c r="A13918" s="1956" t="s">
        <v>6768</v>
      </c>
      <c r="B13918" s="2185">
        <v>44075</v>
      </c>
      <c r="C13918" s="3203">
        <v>100</v>
      </c>
      <c r="D13918" s="3206">
        <v>85.034400000000005</v>
      </c>
      <c r="E13918" s="3204">
        <v>-0.1496559999999999</v>
      </c>
      <c r="F13918" s="3205"/>
      <c r="G13918" s="78"/>
    </row>
    <row r="13919" spans="1:7" ht="12.75" hidden="1" customHeight="1" outlineLevel="1" x14ac:dyDescent="0.25">
      <c r="A13919" s="1956" t="s">
        <v>6769</v>
      </c>
      <c r="B13919" s="2185">
        <v>44105</v>
      </c>
      <c r="C13919" s="3203">
        <v>100</v>
      </c>
      <c r="D13919" s="3206">
        <v>81.549400000000006</v>
      </c>
      <c r="E13919" s="3204">
        <v>-0.18450599999999995</v>
      </c>
      <c r="F13919" s="3205"/>
      <c r="G13919" s="78"/>
    </row>
    <row r="13920" spans="1:7" ht="12.75" hidden="1" customHeight="1" outlineLevel="1" x14ac:dyDescent="0.25">
      <c r="A13920" s="2189" t="s">
        <v>2734</v>
      </c>
      <c r="B13920" s="2190"/>
      <c r="C13920" s="3206"/>
      <c r="D13920" s="2191" t="s">
        <v>2465</v>
      </c>
      <c r="E13920" s="1987">
        <v>-7.7193444444444398E-2</v>
      </c>
      <c r="F13920" s="2192">
        <v>-7.7193444444444398E-2</v>
      </c>
      <c r="G13920" s="78"/>
    </row>
    <row r="13921" spans="1:11" collapsed="1" x14ac:dyDescent="0.25">
      <c r="A13921" s="3801" t="s">
        <v>6779</v>
      </c>
      <c r="B13921" s="3802"/>
      <c r="C13921" s="3802"/>
      <c r="D13921" s="3802"/>
      <c r="E13921" s="1906"/>
      <c r="F13921" s="1907">
        <v>0</v>
      </c>
      <c r="G13921" s="78"/>
    </row>
    <row r="13923" spans="1:11" ht="12.75" hidden="1" customHeight="1" outlineLevel="1" x14ac:dyDescent="0.25">
      <c r="A13923" s="3114" t="s">
        <v>113</v>
      </c>
      <c r="B13923" s="3114" t="s">
        <v>114</v>
      </c>
      <c r="C13923" s="3114" t="s">
        <v>112</v>
      </c>
      <c r="D13923" s="3114" t="s">
        <v>116</v>
      </c>
      <c r="E13923" s="3114" t="s">
        <v>117</v>
      </c>
      <c r="F13923" s="3115" t="s">
        <v>121</v>
      </c>
      <c r="G13923" s="78"/>
    </row>
    <row r="13924" spans="1:11" ht="12.75" hidden="1" customHeight="1" outlineLevel="1" x14ac:dyDescent="0.25">
      <c r="A13924" s="3116">
        <v>1</v>
      </c>
      <c r="B13924" s="3117" t="s">
        <v>252</v>
      </c>
      <c r="C13924" s="3118">
        <v>100</v>
      </c>
      <c r="D13924" s="3118"/>
      <c r="E13924" s="3136"/>
      <c r="F13924" s="3137"/>
      <c r="G13924" s="78"/>
    </row>
    <row r="13925" spans="1:11" ht="12.75" hidden="1" customHeight="1" outlineLevel="1" x14ac:dyDescent="0.25">
      <c r="A13925" s="3138" t="s">
        <v>2734</v>
      </c>
      <c r="B13925" s="3138"/>
      <c r="C13925" s="3139"/>
      <c r="D13925" s="1900" t="s">
        <v>3702</v>
      </c>
      <c r="E13925" s="3119">
        <v>44104</v>
      </c>
      <c r="F13925" s="3120"/>
      <c r="G13925" s="78"/>
    </row>
    <row r="13926" spans="1:11" ht="12.75" hidden="1" customHeight="1" outlineLevel="1" x14ac:dyDescent="0.25">
      <c r="A13926" s="3114" t="s">
        <v>4156</v>
      </c>
      <c r="B13926" s="3114" t="s">
        <v>4153</v>
      </c>
      <c r="C13926" s="3121" t="s">
        <v>112</v>
      </c>
      <c r="D13926" s="3140" t="s">
        <v>4155</v>
      </c>
      <c r="E13926" s="3114" t="s">
        <v>4154</v>
      </c>
      <c r="F13926" s="3124" t="s">
        <v>2519</v>
      </c>
      <c r="G13926" s="78"/>
    </row>
    <row r="13927" spans="1:11" ht="12.75" hidden="1" customHeight="1" outlineLevel="1" x14ac:dyDescent="0.25">
      <c r="A13927" s="1991">
        <v>0.08</v>
      </c>
      <c r="B13927" s="1921" t="s">
        <v>359</v>
      </c>
      <c r="C13927" s="2108">
        <v>136.01499999999999</v>
      </c>
      <c r="D13927" s="3122">
        <v>163.62</v>
      </c>
      <c r="E13927" s="3123">
        <v>0.20295555637245899</v>
      </c>
      <c r="F13927" s="3124">
        <v>1.6236444509796718E-2</v>
      </c>
      <c r="G13927" s="78"/>
      <c r="H13927" t="s">
        <v>360</v>
      </c>
      <c r="K13927" s="434"/>
    </row>
    <row r="13928" spans="1:11" ht="12.75" hidden="1" customHeight="1" outlineLevel="1" x14ac:dyDescent="0.25">
      <c r="A13928" s="2380">
        <v>0.02</v>
      </c>
      <c r="B13928" s="1921" t="s">
        <v>1993</v>
      </c>
      <c r="C13928" s="2108">
        <v>50.26</v>
      </c>
      <c r="D13928" s="3125">
        <v>38.64</v>
      </c>
      <c r="E13928" s="3126">
        <v>-0.23119777158774368</v>
      </c>
      <c r="F13928" s="3127">
        <v>-4.6239554317548739E-3</v>
      </c>
      <c r="G13928" s="78"/>
      <c r="H13928" t="s">
        <v>2812</v>
      </c>
      <c r="K13928" s="434"/>
    </row>
    <row r="13929" spans="1:11" ht="12.75" hidden="1" customHeight="1" outlineLevel="1" x14ac:dyDescent="0.25">
      <c r="A13929" s="2380">
        <v>0.08</v>
      </c>
      <c r="B13929" s="1921" t="s">
        <v>6799</v>
      </c>
      <c r="C13929" s="2108">
        <v>22.212499999999999</v>
      </c>
      <c r="D13929" s="3125">
        <v>13.91</v>
      </c>
      <c r="E13929" s="3126">
        <v>-0.37377602701181767</v>
      </c>
      <c r="F13929" s="3127">
        <v>-2.9902082160945413E-2</v>
      </c>
      <c r="G13929" s="78"/>
      <c r="H13929" t="s">
        <v>9736</v>
      </c>
      <c r="K13929" s="434"/>
    </row>
    <row r="13930" spans="1:11" ht="12.75" hidden="1" customHeight="1" outlineLevel="1" x14ac:dyDescent="0.25">
      <c r="A13930" s="2380">
        <v>0.02</v>
      </c>
      <c r="B13930" s="1921" t="s">
        <v>1317</v>
      </c>
      <c r="C13930" s="2108">
        <v>58.588000000000001</v>
      </c>
      <c r="D13930" s="3125">
        <v>81.73</v>
      </c>
      <c r="E13930" s="3126">
        <v>0.3949955622311736</v>
      </c>
      <c r="F13930" s="3127">
        <v>7.8999112446234716E-3</v>
      </c>
      <c r="G13930" s="78"/>
      <c r="H13930" t="s">
        <v>1318</v>
      </c>
      <c r="K13930" s="434"/>
    </row>
    <row r="13931" spans="1:11" ht="12.75" hidden="1" customHeight="1" outlineLevel="1" x14ac:dyDescent="0.25">
      <c r="A13931" s="2380">
        <v>0.03</v>
      </c>
      <c r="B13931" s="1921" t="s">
        <v>6800</v>
      </c>
      <c r="C13931" s="2108">
        <v>3743</v>
      </c>
      <c r="D13931" s="3125">
        <v>1743</v>
      </c>
      <c r="E13931" s="3126">
        <v>-0.53433075073470482</v>
      </c>
      <c r="F13931" s="3127">
        <v>-1.6029922522041145E-2</v>
      </c>
      <c r="G13931" s="78"/>
      <c r="H13931" t="s">
        <v>6801</v>
      </c>
      <c r="K13931" s="434"/>
    </row>
    <row r="13932" spans="1:11" ht="12.75" hidden="1" customHeight="1" outlineLevel="1" x14ac:dyDescent="0.25">
      <c r="A13932" s="2380">
        <v>0.03</v>
      </c>
      <c r="B13932" s="1921" t="s">
        <v>3998</v>
      </c>
      <c r="C13932" s="2108">
        <v>32.863999999999997</v>
      </c>
      <c r="D13932" s="3125">
        <v>28.51</v>
      </c>
      <c r="E13932" s="3126">
        <v>-0.13248539435248285</v>
      </c>
      <c r="F13932" s="3127">
        <v>-3.9745618305744856E-3</v>
      </c>
      <c r="G13932" s="78"/>
      <c r="H13932" t="s">
        <v>4000</v>
      </c>
      <c r="K13932" s="434"/>
    </row>
    <row r="13933" spans="1:11" ht="12.75" hidden="1" customHeight="1" outlineLevel="1" x14ac:dyDescent="0.25">
      <c r="A13933" s="2380">
        <v>0.03</v>
      </c>
      <c r="B13933" s="1921" t="s">
        <v>7142</v>
      </c>
      <c r="C13933" s="2108">
        <v>30.739500000000003</v>
      </c>
      <c r="D13933" s="3125">
        <v>15.574999999999999</v>
      </c>
      <c r="E13933" s="3126">
        <v>-0.49332292327461413</v>
      </c>
      <c r="F13933" s="3127">
        <v>-1.4799687698238424E-2</v>
      </c>
      <c r="G13933" s="78"/>
      <c r="H13933" t="s">
        <v>7143</v>
      </c>
      <c r="K13933" s="434"/>
    </row>
    <row r="13934" spans="1:11" ht="12.75" hidden="1" customHeight="1" outlineLevel="1" x14ac:dyDescent="0.25">
      <c r="A13934" s="2380">
        <v>0.02</v>
      </c>
      <c r="B13934" s="1921" t="s">
        <v>5246</v>
      </c>
      <c r="C13934" s="2108">
        <v>38.716999999999999</v>
      </c>
      <c r="D13934" s="3125">
        <v>10.09</v>
      </c>
      <c r="E13934" s="3126">
        <v>-0.73939096520908132</v>
      </c>
      <c r="F13934" s="3127">
        <v>-1.4787819304181627E-2</v>
      </c>
      <c r="G13934" s="78"/>
      <c r="H13934" t="s">
        <v>10493</v>
      </c>
      <c r="K13934" s="434"/>
    </row>
    <row r="13935" spans="1:11" ht="12.75" hidden="1" customHeight="1" outlineLevel="1" x14ac:dyDescent="0.25">
      <c r="A13935" s="2380">
        <v>0.03</v>
      </c>
      <c r="B13935" s="1921" t="s">
        <v>1319</v>
      </c>
      <c r="C13935" s="2108">
        <v>64.171000000000006</v>
      </c>
      <c r="D13935" s="3125">
        <v>77.8</v>
      </c>
      <c r="E13935" s="3126">
        <v>0.21238565707250912</v>
      </c>
      <c r="F13935" s="3127">
        <v>6.3715697121752733E-3</v>
      </c>
      <c r="G13935" s="78"/>
      <c r="H13935" t="s">
        <v>1320</v>
      </c>
      <c r="K13935" s="434"/>
    </row>
    <row r="13936" spans="1:11" ht="12.75" hidden="1" customHeight="1" outlineLevel="1" x14ac:dyDescent="0.25">
      <c r="A13936" s="2380">
        <v>0.02</v>
      </c>
      <c r="B13936" s="1921" t="s">
        <v>1231</v>
      </c>
      <c r="C13936" s="2108">
        <v>81.850999999999999</v>
      </c>
      <c r="D13936" s="3125">
        <v>88.56</v>
      </c>
      <c r="E13936" s="3126">
        <v>8.196601141097859E-2</v>
      </c>
      <c r="F13936" s="3127">
        <v>1.6393202282195718E-3</v>
      </c>
      <c r="G13936" s="78"/>
      <c r="H13936" t="s">
        <v>2041</v>
      </c>
      <c r="K13936" s="434"/>
    </row>
    <row r="13937" spans="1:11" ht="12.75" hidden="1" customHeight="1" outlineLevel="1" x14ac:dyDescent="0.25">
      <c r="A13937" s="2380">
        <v>0.02</v>
      </c>
      <c r="B13937" s="1921" t="s">
        <v>6267</v>
      </c>
      <c r="C13937" s="2108">
        <v>26.102499999999999</v>
      </c>
      <c r="D13937" s="3125">
        <v>19.695</v>
      </c>
      <c r="E13937" s="3126">
        <v>-0.24547457140120676</v>
      </c>
      <c r="F13937" s="3127">
        <v>-4.9094914280241354E-3</v>
      </c>
      <c r="G13937" s="78"/>
      <c r="H13937" t="s">
        <v>6268</v>
      </c>
      <c r="K13937" s="434"/>
    </row>
    <row r="13938" spans="1:11" ht="12.75" hidden="1" customHeight="1" outlineLevel="1" x14ac:dyDescent="0.25">
      <c r="A13938" s="2380">
        <v>0.03</v>
      </c>
      <c r="B13938" s="1921" t="s">
        <v>6803</v>
      </c>
      <c r="C13938" s="2108">
        <v>97.86</v>
      </c>
      <c r="D13938" s="3125">
        <v>0.2205</v>
      </c>
      <c r="E13938" s="3126">
        <v>-0.99774678111587978</v>
      </c>
      <c r="F13938" s="3127">
        <v>-2.9932403433476393E-2</v>
      </c>
      <c r="G13938" s="78"/>
      <c r="H13938" t="s">
        <v>9738</v>
      </c>
      <c r="K13938" s="434"/>
    </row>
    <row r="13939" spans="1:11" ht="12.75" hidden="1" customHeight="1" outlineLevel="1" x14ac:dyDescent="0.25">
      <c r="A13939" s="2380">
        <v>0.02</v>
      </c>
      <c r="B13939" s="1921" t="s">
        <v>3799</v>
      </c>
      <c r="C13939" s="2519">
        <v>1368.5243615992772</v>
      </c>
      <c r="D13939" s="3125">
        <v>1452</v>
      </c>
      <c r="E13939" s="3126">
        <v>6.0996823106000075E-2</v>
      </c>
      <c r="F13939" s="3127">
        <v>1.2199364621200016E-3</v>
      </c>
      <c r="G13939" s="78"/>
      <c r="H13939" t="s">
        <v>4128</v>
      </c>
      <c r="K13939" s="434"/>
    </row>
    <row r="13940" spans="1:11" ht="12.75" hidden="1" customHeight="1" outlineLevel="1" x14ac:dyDescent="0.25">
      <c r="A13940" s="2380">
        <v>0.02</v>
      </c>
      <c r="B13940" s="1921" t="s">
        <v>6530</v>
      </c>
      <c r="C13940" s="2108">
        <v>40.908847315500076</v>
      </c>
      <c r="D13940" s="3125">
        <v>27.15</v>
      </c>
      <c r="E13940" s="3126">
        <v>-0.33632938150000002</v>
      </c>
      <c r="F13940" s="3127">
        <v>-6.726587630000001E-3</v>
      </c>
      <c r="G13940" s="78"/>
      <c r="H13940" t="s">
        <v>10140</v>
      </c>
      <c r="K13940" s="434"/>
    </row>
    <row r="13941" spans="1:11" ht="12.75" hidden="1" customHeight="1" outlineLevel="1" x14ac:dyDescent="0.25">
      <c r="A13941" s="2380">
        <v>0.02</v>
      </c>
      <c r="B13941" s="1921" t="s">
        <v>6163</v>
      </c>
      <c r="C13941" s="2108">
        <v>75.528000000000006</v>
      </c>
      <c r="D13941" s="3125">
        <v>55.09</v>
      </c>
      <c r="E13941" s="3126">
        <v>-0.2706016311831374</v>
      </c>
      <c r="F13941" s="3127">
        <v>-5.412032623662748E-3</v>
      </c>
      <c r="G13941" s="78"/>
      <c r="H13941" t="s">
        <v>9170</v>
      </c>
      <c r="K13941" s="434"/>
    </row>
    <row r="13942" spans="1:11" ht="12.75" hidden="1" customHeight="1" outlineLevel="1" x14ac:dyDescent="0.25">
      <c r="A13942" s="2380">
        <v>0.02</v>
      </c>
      <c r="B13942" s="1921" t="s">
        <v>1031</v>
      </c>
      <c r="C13942" s="2108">
        <v>5.6252000000000004</v>
      </c>
      <c r="D13942" s="3125">
        <v>10.51</v>
      </c>
      <c r="E13942" s="3126">
        <v>0.86837801322619623</v>
      </c>
      <c r="F13942" s="3127">
        <v>1.7367560264523924E-2</v>
      </c>
      <c r="G13942" s="78"/>
      <c r="H13942" t="s">
        <v>7872</v>
      </c>
      <c r="K13942" s="434"/>
    </row>
    <row r="13943" spans="1:11" ht="12.75" hidden="1" customHeight="1" outlineLevel="1" x14ac:dyDescent="0.25">
      <c r="A13943" s="2380">
        <v>0.02</v>
      </c>
      <c r="B13943" s="1921" t="s">
        <v>901</v>
      </c>
      <c r="C13943" s="2108">
        <v>26.239970528944461</v>
      </c>
      <c r="D13943" s="3125">
        <v>27.774999999999999</v>
      </c>
      <c r="E13943" s="3126">
        <v>5.8499664447499988E-2</v>
      </c>
      <c r="F13943" s="3127">
        <v>1.1699932889499998E-3</v>
      </c>
      <c r="G13943" s="78"/>
      <c r="H13943" t="s">
        <v>531</v>
      </c>
      <c r="K13943" s="434"/>
    </row>
    <row r="13944" spans="1:11" ht="12.75" hidden="1" customHeight="1" outlineLevel="1" x14ac:dyDescent="0.25">
      <c r="A13944" s="2380">
        <v>0.04</v>
      </c>
      <c r="B13944" s="1921" t="s">
        <v>1772</v>
      </c>
      <c r="C13944" s="2108">
        <v>162.245</v>
      </c>
      <c r="D13944" s="3125">
        <v>216.6</v>
      </c>
      <c r="E13944" s="3126">
        <v>0.33501802829054816</v>
      </c>
      <c r="F13944" s="3127">
        <v>1.3400721131621926E-2</v>
      </c>
      <c r="G13944" s="78"/>
      <c r="H13944" t="s">
        <v>4330</v>
      </c>
      <c r="K13944" s="434"/>
    </row>
    <row r="13945" spans="1:11" ht="12.75" hidden="1" customHeight="1" outlineLevel="1" x14ac:dyDescent="0.25">
      <c r="A13945" s="2380">
        <v>0.02</v>
      </c>
      <c r="B13945" s="1921" t="s">
        <v>2769</v>
      </c>
      <c r="C13945" s="2108">
        <v>32.528971774198077</v>
      </c>
      <c r="D13945" s="3125">
        <v>27.21</v>
      </c>
      <c r="E13945" s="3126">
        <v>-0.16351490637700006</v>
      </c>
      <c r="F13945" s="3127">
        <v>-3.2702981275400012E-3</v>
      </c>
      <c r="G13945" s="78"/>
      <c r="H13945" t="s">
        <v>2770</v>
      </c>
      <c r="K13945" s="434"/>
    </row>
    <row r="13946" spans="1:11" ht="12.75" hidden="1" customHeight="1" outlineLevel="1" x14ac:dyDescent="0.25">
      <c r="A13946" s="2380">
        <v>0.02</v>
      </c>
      <c r="B13946" s="1921" t="s">
        <v>54</v>
      </c>
      <c r="C13946" s="2108">
        <v>16.781500000000001</v>
      </c>
      <c r="D13946" s="3125">
        <v>5.7219999999999995</v>
      </c>
      <c r="E13946" s="3126">
        <v>-0.65902928820427253</v>
      </c>
      <c r="F13946" s="3127">
        <v>-1.3180585764085451E-2</v>
      </c>
      <c r="G13946" s="78"/>
      <c r="H13946" t="s">
        <v>6741</v>
      </c>
      <c r="K13946" s="434"/>
    </row>
    <row r="13947" spans="1:11" ht="12.75" hidden="1" customHeight="1" outlineLevel="1" x14ac:dyDescent="0.25">
      <c r="A13947" s="2380">
        <v>0.02</v>
      </c>
      <c r="B13947" s="1921" t="s">
        <v>6804</v>
      </c>
      <c r="C13947" s="2108">
        <v>29.492000000000001</v>
      </c>
      <c r="D13947" s="3125">
        <v>6.056</v>
      </c>
      <c r="E13947" s="3126">
        <v>-0.79465617794656174</v>
      </c>
      <c r="F13947" s="3127">
        <v>-1.5893123558931237E-2</v>
      </c>
      <c r="G13947" s="78"/>
      <c r="H13947" t="s">
        <v>6805</v>
      </c>
      <c r="K13947" s="434"/>
    </row>
    <row r="13948" spans="1:11" ht="12.75" hidden="1" customHeight="1" outlineLevel="1" x14ac:dyDescent="0.25">
      <c r="A13948" s="2380">
        <v>0.08</v>
      </c>
      <c r="B13948" s="1921" t="s">
        <v>3427</v>
      </c>
      <c r="C13948" s="2108">
        <v>48.088000000000008</v>
      </c>
      <c r="D13948" s="3125">
        <v>54.22</v>
      </c>
      <c r="E13948" s="3126">
        <v>0.12751622026285125</v>
      </c>
      <c r="F13948" s="3127">
        <v>1.02012976210281E-2</v>
      </c>
      <c r="G13948" s="78"/>
      <c r="H13948" t="s">
        <v>2800</v>
      </c>
      <c r="K13948" s="434"/>
    </row>
    <row r="13949" spans="1:11" ht="12.75" hidden="1" customHeight="1" outlineLevel="1" x14ac:dyDescent="0.25">
      <c r="A13949" s="2380">
        <v>0.02</v>
      </c>
      <c r="B13949" s="1921" t="s">
        <v>1724</v>
      </c>
      <c r="C13949" s="2108">
        <v>192.82</v>
      </c>
      <c r="D13949" s="3125">
        <v>140.74</v>
      </c>
      <c r="E13949" s="3126">
        <v>-0.270096463022508</v>
      </c>
      <c r="F13949" s="3127">
        <v>-5.4019292604501603E-3</v>
      </c>
      <c r="G13949" s="78"/>
      <c r="H13949" t="s">
        <v>1725</v>
      </c>
      <c r="K13949" s="434"/>
    </row>
    <row r="13950" spans="1:11" ht="12.75" hidden="1" customHeight="1" outlineLevel="1" x14ac:dyDescent="0.25">
      <c r="A13950" s="2380">
        <v>0.04</v>
      </c>
      <c r="B13950" s="1921" t="s">
        <v>6118</v>
      </c>
      <c r="C13950" s="2108">
        <v>79.939063251474025</v>
      </c>
      <c r="D13950" s="3125">
        <v>68.28</v>
      </c>
      <c r="E13950" s="3126">
        <v>-0.14584938548499993</v>
      </c>
      <c r="F13950" s="3127">
        <v>-5.8339754193999973E-3</v>
      </c>
      <c r="G13950" s="78"/>
      <c r="H13950" t="s">
        <v>8893</v>
      </c>
      <c r="K13950" s="434"/>
    </row>
    <row r="13951" spans="1:11" ht="12.75" hidden="1" customHeight="1" outlineLevel="1" x14ac:dyDescent="0.25">
      <c r="A13951" s="2380">
        <v>0.02</v>
      </c>
      <c r="B13951" s="1921" t="s">
        <v>6807</v>
      </c>
      <c r="C13951" s="2108">
        <v>47.225000000000001</v>
      </c>
      <c r="D13951" s="3125">
        <v>51.2</v>
      </c>
      <c r="E13951" s="3126">
        <v>8.4171519322392863E-2</v>
      </c>
      <c r="F13951" s="3127">
        <v>1.6834303864478573E-3</v>
      </c>
      <c r="G13951" s="78"/>
      <c r="H13951" t="s">
        <v>9740</v>
      </c>
      <c r="K13951" s="434"/>
    </row>
    <row r="13952" spans="1:11" ht="12.75" hidden="1" customHeight="1" outlineLevel="1" x14ac:dyDescent="0.25">
      <c r="A13952" s="2380">
        <v>0.02</v>
      </c>
      <c r="B13952" s="1921" t="s">
        <v>577</v>
      </c>
      <c r="C13952" s="2108">
        <v>12.469644015511552</v>
      </c>
      <c r="D13952" s="3125">
        <v>2.9370000000000003</v>
      </c>
      <c r="E13952" s="3126">
        <v>-0.76446801557874999</v>
      </c>
      <c r="F13952" s="3127">
        <v>-1.5289360311575E-2</v>
      </c>
      <c r="G13952" s="78"/>
      <c r="H13952" t="s">
        <v>6732</v>
      </c>
      <c r="K13952" s="434"/>
    </row>
    <row r="13953" spans="1:11" ht="12.75" hidden="1" customHeight="1" outlineLevel="1" x14ac:dyDescent="0.25">
      <c r="A13953" s="2380">
        <v>0.03</v>
      </c>
      <c r="B13953" s="1921" t="s">
        <v>6165</v>
      </c>
      <c r="C13953" s="2108">
        <v>51.259</v>
      </c>
      <c r="D13953" s="3125">
        <v>36.85</v>
      </c>
      <c r="E13953" s="3126">
        <v>-0.28110185528395015</v>
      </c>
      <c r="F13953" s="3127">
        <v>-8.4330556585185037E-3</v>
      </c>
      <c r="G13953" s="78"/>
      <c r="H13953" t="s">
        <v>7745</v>
      </c>
      <c r="K13953" s="434"/>
    </row>
    <row r="13954" spans="1:11" ht="12.75" hidden="1" customHeight="1" outlineLevel="1" x14ac:dyDescent="0.25">
      <c r="A13954" s="2380">
        <v>0.08</v>
      </c>
      <c r="B13954" s="1921" t="s">
        <v>3921</v>
      </c>
      <c r="C13954" s="2108">
        <v>3.7630000000000003</v>
      </c>
      <c r="D13954" s="3125">
        <v>5.9740000000000002</v>
      </c>
      <c r="E13954" s="3126">
        <v>0.58756311453627408</v>
      </c>
      <c r="F13954" s="3127">
        <v>4.7005049162901928E-2</v>
      </c>
      <c r="G13954" s="78"/>
      <c r="H13954" t="s">
        <v>3922</v>
      </c>
      <c r="K13954" s="434"/>
    </row>
    <row r="13955" spans="1:11" ht="12.75" hidden="1" customHeight="1" outlineLevel="1" x14ac:dyDescent="0.25">
      <c r="A13955" s="2380">
        <v>0.02</v>
      </c>
      <c r="B13955" s="1921" t="s">
        <v>5758</v>
      </c>
      <c r="C13955" s="2108">
        <v>63.208094006288384</v>
      </c>
      <c r="D13955" s="3125">
        <v>41.96</v>
      </c>
      <c r="E13955" s="3126">
        <v>-0.33616096704600007</v>
      </c>
      <c r="F13955" s="3127">
        <v>-6.7232193409200013E-3</v>
      </c>
      <c r="G13955" s="78"/>
      <c r="H13955" t="s">
        <v>5756</v>
      </c>
      <c r="K13955" s="434"/>
    </row>
    <row r="13956" spans="1:11" ht="12.75" hidden="1" customHeight="1" outlineLevel="1" x14ac:dyDescent="0.25">
      <c r="A13956" s="2380">
        <v>0.08</v>
      </c>
      <c r="B13956" s="2109" t="s">
        <v>4550</v>
      </c>
      <c r="C13956" s="2108">
        <v>302.14999999999998</v>
      </c>
      <c r="D13956" s="3128">
        <v>320.7</v>
      </c>
      <c r="E13956" s="3126">
        <v>6.1393347674995935E-2</v>
      </c>
      <c r="F13956" s="3127">
        <v>4.911467813999675E-3</v>
      </c>
      <c r="G13956" s="78"/>
      <c r="H13956" t="s">
        <v>8889</v>
      </c>
      <c r="K13956" s="434"/>
    </row>
    <row r="13957" spans="1:11" ht="12.75" hidden="1" customHeight="1" outlineLevel="1" x14ac:dyDescent="0.25">
      <c r="A13957" s="2181" t="s">
        <v>2734</v>
      </c>
      <c r="B13957" s="2103"/>
      <c r="C13957" s="3129"/>
      <c r="D13957" s="3130"/>
      <c r="E13957" s="3131"/>
      <c r="F13957" s="3124">
        <v>-7.6017389677911149E-2</v>
      </c>
      <c r="G13957" s="78"/>
    </row>
    <row r="13958" spans="1:11" ht="12.75" hidden="1" customHeight="1" outlineLevel="1" x14ac:dyDescent="0.25">
      <c r="A13958" s="1956" t="s">
        <v>6781</v>
      </c>
      <c r="B13958" s="2185">
        <v>43556</v>
      </c>
      <c r="C13958" s="3132">
        <v>100</v>
      </c>
      <c r="D13958" s="3132">
        <v>104.52760000000001</v>
      </c>
      <c r="E13958" s="3133">
        <v>4.5276000000000094E-2</v>
      </c>
      <c r="F13958" s="3134"/>
      <c r="G13958" s="78"/>
    </row>
    <row r="13959" spans="1:11" ht="12.75" hidden="1" customHeight="1" outlineLevel="1" x14ac:dyDescent="0.25">
      <c r="A13959" s="1956" t="s">
        <v>6782</v>
      </c>
      <c r="B13959" s="2185">
        <v>43586</v>
      </c>
      <c r="C13959" s="3132">
        <v>100</v>
      </c>
      <c r="D13959" s="3135">
        <v>102.2799</v>
      </c>
      <c r="E13959" s="3133">
        <v>2.2799000000000014E-2</v>
      </c>
      <c r="F13959" s="3134"/>
      <c r="G13959" s="78"/>
    </row>
    <row r="13960" spans="1:11" ht="12.75" hidden="1" customHeight="1" outlineLevel="1" x14ac:dyDescent="0.25">
      <c r="A13960" s="1956" t="s">
        <v>6783</v>
      </c>
      <c r="B13960" s="2185">
        <v>43617</v>
      </c>
      <c r="C13960" s="3132">
        <v>100</v>
      </c>
      <c r="D13960" s="3135">
        <v>105.36279999999999</v>
      </c>
      <c r="E13960" s="3133">
        <v>5.3628000000000009E-2</v>
      </c>
      <c r="F13960" s="3134"/>
      <c r="G13960" s="78"/>
    </row>
    <row r="13961" spans="1:11" ht="12.75" hidden="1" customHeight="1" outlineLevel="1" x14ac:dyDescent="0.25">
      <c r="A13961" s="1956" t="s">
        <v>6784</v>
      </c>
      <c r="B13961" s="2185">
        <v>43647</v>
      </c>
      <c r="C13961" s="3132">
        <v>100</v>
      </c>
      <c r="D13961" s="3135">
        <v>105.1362</v>
      </c>
      <c r="E13961" s="3133">
        <v>5.136200000000013E-2</v>
      </c>
      <c r="F13961" s="3134"/>
      <c r="G13961" s="78"/>
    </row>
    <row r="13962" spans="1:11" ht="12.75" hidden="1" customHeight="1" outlineLevel="1" x14ac:dyDescent="0.25">
      <c r="A13962" s="1956" t="s">
        <v>6785</v>
      </c>
      <c r="B13962" s="2185">
        <v>43678</v>
      </c>
      <c r="C13962" s="3132">
        <v>100</v>
      </c>
      <c r="D13962" s="3135">
        <v>105.4558</v>
      </c>
      <c r="E13962" s="3133">
        <v>5.4557999999999884E-2</v>
      </c>
      <c r="F13962" s="3134"/>
      <c r="G13962" s="78"/>
    </row>
    <row r="13963" spans="1:11" ht="12.75" hidden="1" customHeight="1" outlineLevel="1" x14ac:dyDescent="0.25">
      <c r="A13963" s="1956" t="s">
        <v>6786</v>
      </c>
      <c r="B13963" s="2185">
        <v>43709</v>
      </c>
      <c r="C13963" s="3132">
        <v>100</v>
      </c>
      <c r="D13963" s="3135">
        <v>111.3262</v>
      </c>
      <c r="E13963" s="3133">
        <v>0.11326199999999997</v>
      </c>
      <c r="F13963" s="3134"/>
      <c r="G13963" s="78"/>
    </row>
    <row r="13964" spans="1:11" ht="12.75" hidden="1" customHeight="1" outlineLevel="1" x14ac:dyDescent="0.25">
      <c r="A13964" s="1956" t="s">
        <v>6787</v>
      </c>
      <c r="B13964" s="2185">
        <v>43739</v>
      </c>
      <c r="C13964" s="3132">
        <v>100</v>
      </c>
      <c r="D13964" s="3135">
        <v>112.3755</v>
      </c>
      <c r="E13964" s="3133">
        <v>0.12375500000000006</v>
      </c>
      <c r="F13964" s="3134"/>
      <c r="G13964" s="78"/>
    </row>
    <row r="13965" spans="1:11" ht="12.75" hidden="1" customHeight="1" outlineLevel="1" x14ac:dyDescent="0.25">
      <c r="A13965" s="1956" t="s">
        <v>6788</v>
      </c>
      <c r="B13965" s="2185">
        <v>43770</v>
      </c>
      <c r="C13965" s="3132">
        <v>100</v>
      </c>
      <c r="D13965" s="3135">
        <v>111.5742</v>
      </c>
      <c r="E13965" s="3133">
        <v>0.11574200000000001</v>
      </c>
      <c r="F13965" s="3134"/>
      <c r="G13965" s="78"/>
    </row>
    <row r="13966" spans="1:11" ht="12.75" hidden="1" customHeight="1" outlineLevel="1" x14ac:dyDescent="0.25">
      <c r="A13966" s="1956" t="s">
        <v>6789</v>
      </c>
      <c r="B13966" s="2185">
        <v>43800</v>
      </c>
      <c r="C13966" s="3132">
        <v>100</v>
      </c>
      <c r="D13966" s="3135">
        <v>113.10039999999999</v>
      </c>
      <c r="E13966" s="3133">
        <v>0.1310039999999999</v>
      </c>
      <c r="F13966" s="3134"/>
      <c r="G13966" s="78"/>
    </row>
    <row r="13967" spans="1:11" ht="12.75" hidden="1" customHeight="1" outlineLevel="1" x14ac:dyDescent="0.25">
      <c r="A13967" s="1956" t="s">
        <v>6790</v>
      </c>
      <c r="B13967" s="2185">
        <v>43831</v>
      </c>
      <c r="C13967" s="3132">
        <v>100</v>
      </c>
      <c r="D13967" s="3135">
        <v>116.3404</v>
      </c>
      <c r="E13967" s="3133">
        <v>0.1634040000000001</v>
      </c>
      <c r="F13967" s="3134"/>
      <c r="G13967" s="78"/>
    </row>
    <row r="13968" spans="1:11" ht="12.75" hidden="1" customHeight="1" outlineLevel="1" x14ac:dyDescent="0.25">
      <c r="A13968" s="1956" t="s">
        <v>6791</v>
      </c>
      <c r="B13968" s="2185">
        <v>43862</v>
      </c>
      <c r="C13968" s="3132">
        <v>100</v>
      </c>
      <c r="D13968" s="3135">
        <v>105.0754</v>
      </c>
      <c r="E13968" s="3133">
        <v>5.0753999999999966E-2</v>
      </c>
      <c r="F13968" s="3134"/>
      <c r="G13968" s="78"/>
    </row>
    <row r="13969" spans="1:8" ht="12.75" hidden="1" customHeight="1" outlineLevel="1" x14ac:dyDescent="0.25">
      <c r="A13969" s="1956" t="s">
        <v>6792</v>
      </c>
      <c r="B13969" s="2185">
        <v>43891</v>
      </c>
      <c r="C13969" s="3132">
        <v>100</v>
      </c>
      <c r="D13969" s="3135">
        <v>89.506500000000003</v>
      </c>
      <c r="E13969" s="3133">
        <v>-0.104935</v>
      </c>
      <c r="F13969" s="3134"/>
      <c r="G13969" s="78"/>
    </row>
    <row r="13970" spans="1:8" ht="12.75" hidden="1" customHeight="1" outlineLevel="1" x14ac:dyDescent="0.25">
      <c r="A13970" s="1956" t="s">
        <v>6793</v>
      </c>
      <c r="B13970" s="2185">
        <v>43922</v>
      </c>
      <c r="C13970" s="3132">
        <v>100</v>
      </c>
      <c r="D13970" s="3135">
        <v>91.822900000000004</v>
      </c>
      <c r="E13970" s="3133">
        <v>-8.1770999999999927E-2</v>
      </c>
      <c r="F13970" s="3134"/>
      <c r="G13970" s="78"/>
    </row>
    <row r="13971" spans="1:8" ht="12.75" hidden="1" customHeight="1" outlineLevel="1" x14ac:dyDescent="0.25">
      <c r="A13971" s="1956" t="s">
        <v>6794</v>
      </c>
      <c r="B13971" s="2185">
        <v>43952</v>
      </c>
      <c r="C13971" s="3132">
        <v>100</v>
      </c>
      <c r="D13971" s="3135">
        <v>92.635800000000003</v>
      </c>
      <c r="E13971" s="3133">
        <v>-7.3641999999999985E-2</v>
      </c>
      <c r="F13971" s="3134"/>
      <c r="G13971" s="78"/>
    </row>
    <row r="13972" spans="1:8" ht="12.75" hidden="1" customHeight="1" outlineLevel="1" x14ac:dyDescent="0.25">
      <c r="A13972" s="1956" t="s">
        <v>6795</v>
      </c>
      <c r="B13972" s="2185">
        <v>43983</v>
      </c>
      <c r="C13972" s="3132">
        <v>100</v>
      </c>
      <c r="D13972" s="3135">
        <v>94.377700000000004</v>
      </c>
      <c r="E13972" s="3133">
        <v>-5.6222999999999912E-2</v>
      </c>
      <c r="F13972" s="3134"/>
      <c r="G13972" s="78"/>
    </row>
    <row r="13973" spans="1:8" ht="12.75" hidden="1" customHeight="1" outlineLevel="1" x14ac:dyDescent="0.25">
      <c r="A13973" s="1956" t="s">
        <v>6796</v>
      </c>
      <c r="B13973" s="2185">
        <v>44013</v>
      </c>
      <c r="C13973" s="3132">
        <v>100</v>
      </c>
      <c r="D13973" s="3135">
        <v>95.023300000000006</v>
      </c>
      <c r="E13973" s="3133">
        <v>-4.9766999999999895E-2</v>
      </c>
      <c r="F13973" s="3134"/>
      <c r="G13973" s="78"/>
    </row>
    <row r="13974" spans="1:8" ht="12.75" hidden="1" customHeight="1" outlineLevel="1" x14ac:dyDescent="0.25">
      <c r="A13974" s="1956" t="s">
        <v>6797</v>
      </c>
      <c r="B13974" s="2185">
        <v>44044</v>
      </c>
      <c r="C13974" s="3132">
        <v>100</v>
      </c>
      <c r="D13974" s="3135">
        <v>94.586100000000002</v>
      </c>
      <c r="E13974" s="3133">
        <v>-5.4138999999999937E-2</v>
      </c>
      <c r="F13974" s="3134"/>
      <c r="G13974" s="78"/>
    </row>
    <row r="13975" spans="1:8" ht="12.75" hidden="1" customHeight="1" outlineLevel="1" x14ac:dyDescent="0.25">
      <c r="A13975" s="1956" t="s">
        <v>6798</v>
      </c>
      <c r="B13975" s="2185">
        <v>44075</v>
      </c>
      <c r="C13975" s="3132">
        <v>100</v>
      </c>
      <c r="D13975" s="3135">
        <v>92.43</v>
      </c>
      <c r="E13975" s="3133">
        <v>-7.5699999999999878E-2</v>
      </c>
      <c r="F13975" s="3134"/>
      <c r="G13975" s="78"/>
    </row>
    <row r="13976" spans="1:8" ht="12.75" hidden="1" customHeight="1" outlineLevel="1" x14ac:dyDescent="0.25">
      <c r="A13976" s="2189" t="s">
        <v>2734</v>
      </c>
      <c r="B13976" s="2190"/>
      <c r="C13976" s="3135"/>
      <c r="D13976" s="2191" t="s">
        <v>2465</v>
      </c>
      <c r="E13976" s="1987">
        <v>2.3853722222222255E-2</v>
      </c>
      <c r="F13976" s="2192">
        <v>2.3853722222222255E-2</v>
      </c>
      <c r="G13976" s="78"/>
    </row>
    <row r="13977" spans="1:8" collapsed="1" x14ac:dyDescent="0.25">
      <c r="A13977" s="3801" t="s">
        <v>6780</v>
      </c>
      <c r="B13977" s="3802"/>
      <c r="C13977" s="3802"/>
      <c r="D13977" s="3802"/>
      <c r="E13977" s="1906"/>
      <c r="F13977" s="1907">
        <v>1.1926861111111128E-2</v>
      </c>
      <c r="G13977" s="78"/>
    </row>
    <row r="13979" spans="1:8" hidden="1" outlineLevel="1" x14ac:dyDescent="0.25">
      <c r="A13979" s="2971" t="s">
        <v>113</v>
      </c>
      <c r="B13979" s="2971" t="s">
        <v>114</v>
      </c>
      <c r="C13979" s="2971" t="s">
        <v>112</v>
      </c>
      <c r="D13979" s="2971" t="s">
        <v>116</v>
      </c>
      <c r="E13979" s="2971" t="s">
        <v>117</v>
      </c>
      <c r="F13979" s="2972" t="s">
        <v>121</v>
      </c>
      <c r="G13979" s="78"/>
    </row>
    <row r="13980" spans="1:8" hidden="1" outlineLevel="1" x14ac:dyDescent="0.25">
      <c r="A13980" s="2973">
        <v>5</v>
      </c>
      <c r="B13980" s="2973"/>
      <c r="C13980" s="2974"/>
      <c r="D13980" s="1900" t="s">
        <v>3702</v>
      </c>
      <c r="E13980" s="2975">
        <v>44012</v>
      </c>
      <c r="F13980" s="2976"/>
      <c r="G13980" s="78"/>
    </row>
    <row r="13981" spans="1:8" hidden="1" outlineLevel="1" x14ac:dyDescent="0.25">
      <c r="A13981" s="2971" t="s">
        <v>4156</v>
      </c>
      <c r="B13981" s="2971" t="s">
        <v>4153</v>
      </c>
      <c r="C13981" s="2977" t="s">
        <v>112</v>
      </c>
      <c r="D13981" s="2971" t="s">
        <v>4155</v>
      </c>
      <c r="E13981" s="2971" t="s">
        <v>4154</v>
      </c>
      <c r="F13981" s="2972" t="s">
        <v>734</v>
      </c>
      <c r="G13981" s="78"/>
      <c r="H13981" t="s">
        <v>9014</v>
      </c>
    </row>
    <row r="13982" spans="1:8" hidden="1" outlineLevel="1" x14ac:dyDescent="0.25">
      <c r="A13982" s="1920">
        <v>0.08</v>
      </c>
      <c r="B13982" s="1921" t="s">
        <v>359</v>
      </c>
      <c r="C13982" s="2095">
        <v>137.56</v>
      </c>
      <c r="D13982" s="2978">
        <v>181.76</v>
      </c>
      <c r="E13982" s="2979">
        <v>0.32131433556266353</v>
      </c>
      <c r="F13982" s="2980">
        <v>0.09</v>
      </c>
      <c r="G13982" s="78"/>
      <c r="H13982" t="s">
        <v>360</v>
      </c>
    </row>
    <row r="13983" spans="1:8" hidden="1" outlineLevel="1" x14ac:dyDescent="0.25">
      <c r="A13983" s="1920">
        <v>0.02</v>
      </c>
      <c r="B13983" s="1921" t="s">
        <v>1993</v>
      </c>
      <c r="C13983" s="2095">
        <v>50.58</v>
      </c>
      <c r="D13983" s="2978">
        <v>39.25</v>
      </c>
      <c r="E13983" s="2979">
        <v>-0.22400158165282713</v>
      </c>
      <c r="F13983" s="2980">
        <v>-0.22400158165282713</v>
      </c>
      <c r="G13983" s="78"/>
      <c r="H13983" t="s">
        <v>2812</v>
      </c>
    </row>
    <row r="13984" spans="1:8" hidden="1" outlineLevel="1" x14ac:dyDescent="0.25">
      <c r="A13984" s="1920">
        <v>0.08</v>
      </c>
      <c r="B13984" s="1921" t="s">
        <v>6799</v>
      </c>
      <c r="C13984" s="2095">
        <v>22.466000000000001</v>
      </c>
      <c r="D13984" s="2978">
        <v>12.9</v>
      </c>
      <c r="E13984" s="2979">
        <v>-0.42579898513309</v>
      </c>
      <c r="F13984" s="2980">
        <v>-0.42579898513309</v>
      </c>
      <c r="G13984" s="78"/>
      <c r="H13984" t="s">
        <v>9736</v>
      </c>
    </row>
    <row r="13985" spans="1:8" hidden="1" outlineLevel="1" x14ac:dyDescent="0.25">
      <c r="A13985" s="1920">
        <v>0.02</v>
      </c>
      <c r="B13985" s="1921" t="s">
        <v>1317</v>
      </c>
      <c r="C13985" s="2095">
        <v>58.496000000000002</v>
      </c>
      <c r="D13985" s="2978">
        <v>79.64</v>
      </c>
      <c r="E13985" s="2979">
        <v>0.36146061269146612</v>
      </c>
      <c r="F13985" s="2980">
        <v>0.09</v>
      </c>
      <c r="G13985" s="78"/>
      <c r="H13985" t="s">
        <v>1318</v>
      </c>
    </row>
    <row r="13986" spans="1:8" hidden="1" outlineLevel="1" x14ac:dyDescent="0.25">
      <c r="A13986" s="1920">
        <v>0.03</v>
      </c>
      <c r="B13986" s="1921" t="s">
        <v>6800</v>
      </c>
      <c r="C13986" s="2095">
        <v>3794</v>
      </c>
      <c r="D13986" s="2978">
        <v>1876</v>
      </c>
      <c r="E13986" s="2979">
        <v>-0.50553505535055354</v>
      </c>
      <c r="F13986" s="2980">
        <v>-0.50553505535055354</v>
      </c>
      <c r="G13986" s="78"/>
      <c r="H13986" t="s">
        <v>6801</v>
      </c>
    </row>
    <row r="13987" spans="1:8" hidden="1" outlineLevel="1" x14ac:dyDescent="0.25">
      <c r="A13987" s="1920">
        <v>0.03</v>
      </c>
      <c r="B13987" s="1921" t="s">
        <v>3998</v>
      </c>
      <c r="C13987" s="2095">
        <v>33.182000000000002</v>
      </c>
      <c r="D13987" s="2978">
        <v>30.23</v>
      </c>
      <c r="E13987" s="2979">
        <v>-8.8963896088240624E-2</v>
      </c>
      <c r="F13987" s="2980">
        <v>-8.8963896088240624E-2</v>
      </c>
      <c r="G13987" s="78"/>
      <c r="H13987" t="s">
        <v>4000</v>
      </c>
    </row>
    <row r="13988" spans="1:8" hidden="1" outlineLevel="1" x14ac:dyDescent="0.25">
      <c r="A13988" s="1920">
        <v>0.03</v>
      </c>
      <c r="B13988" s="1921" t="s">
        <v>7142</v>
      </c>
      <c r="C13988" s="2095">
        <v>31.58</v>
      </c>
      <c r="D13988" s="2978">
        <v>18.14</v>
      </c>
      <c r="E13988" s="2979">
        <v>-0.42558581380620641</v>
      </c>
      <c r="F13988" s="2980">
        <v>-0.42558581380620641</v>
      </c>
      <c r="G13988" s="78"/>
      <c r="H13988" t="s">
        <v>7143</v>
      </c>
    </row>
    <row r="13989" spans="1:8" hidden="1" outlineLevel="1" x14ac:dyDescent="0.25">
      <c r="A13989" s="1920">
        <v>0.02</v>
      </c>
      <c r="B13989" s="1921" t="s">
        <v>5246</v>
      </c>
      <c r="C13989" s="2095">
        <v>39.15</v>
      </c>
      <c r="D13989" s="2978">
        <v>10.029999999999999</v>
      </c>
      <c r="E13989" s="2979">
        <v>-0.74380587484035754</v>
      </c>
      <c r="F13989" s="2980">
        <v>-0.74380587484035754</v>
      </c>
      <c r="G13989" s="78"/>
      <c r="H13989" t="s">
        <v>5245</v>
      </c>
    </row>
    <row r="13990" spans="1:8" hidden="1" outlineLevel="1" x14ac:dyDescent="0.25">
      <c r="A13990" s="1920">
        <v>0.03</v>
      </c>
      <c r="B13990" s="1921" t="s">
        <v>1319</v>
      </c>
      <c r="C13990" s="2095">
        <v>63.814</v>
      </c>
      <c r="D13990" s="2978">
        <v>71.930000000000007</v>
      </c>
      <c r="E13990" s="2979">
        <v>0.12718212304510002</v>
      </c>
      <c r="F13990" s="2980">
        <v>0.09</v>
      </c>
      <c r="G13990" s="78"/>
      <c r="H13990" t="s">
        <v>1320</v>
      </c>
    </row>
    <row r="13991" spans="1:8" hidden="1" outlineLevel="1" x14ac:dyDescent="0.25">
      <c r="A13991" s="1920">
        <v>0.02</v>
      </c>
      <c r="B13991" s="1921" t="s">
        <v>9011</v>
      </c>
      <c r="C13991" s="2095">
        <v>35.011284443324826</v>
      </c>
      <c r="D13991" s="2978">
        <v>17.734999999999999</v>
      </c>
      <c r="E13991" s="2979">
        <v>-0.49344903273375007</v>
      </c>
      <c r="F13991" s="2980">
        <v>-0.49344903273375007</v>
      </c>
      <c r="G13991" s="78"/>
      <c r="H13991" t="s">
        <v>9012</v>
      </c>
    </row>
    <row r="13992" spans="1:8" hidden="1" outlineLevel="1" x14ac:dyDescent="0.25">
      <c r="A13992" s="1920">
        <v>0.02</v>
      </c>
      <c r="B13992" s="1921" t="s">
        <v>1231</v>
      </c>
      <c r="C13992" s="2095">
        <v>81.936000000000007</v>
      </c>
      <c r="D13992" s="2978">
        <v>79.89</v>
      </c>
      <c r="E13992" s="2979">
        <v>-2.4970708845928558E-2</v>
      </c>
      <c r="F13992" s="2980">
        <v>-2.4970708845928558E-2</v>
      </c>
      <c r="G13992" s="78"/>
      <c r="H13992" t="s">
        <v>2041</v>
      </c>
    </row>
    <row r="13993" spans="1:8" hidden="1" outlineLevel="1" x14ac:dyDescent="0.25">
      <c r="A13993" s="1920">
        <v>0.02</v>
      </c>
      <c r="B13993" s="1921" t="s">
        <v>6267</v>
      </c>
      <c r="C13993" s="2095">
        <v>26.358000000000001</v>
      </c>
      <c r="D13993" s="2978">
        <v>21.75</v>
      </c>
      <c r="E13993" s="2979">
        <v>-0.17482358297291145</v>
      </c>
      <c r="F13993" s="2980">
        <v>-0.17482358297291145</v>
      </c>
      <c r="G13993" s="78"/>
      <c r="H13993" t="s">
        <v>6268</v>
      </c>
    </row>
    <row r="13994" spans="1:8" hidden="1" outlineLevel="1" x14ac:dyDescent="0.25">
      <c r="A13994" s="1920">
        <v>0.03</v>
      </c>
      <c r="B13994" s="1921" t="s">
        <v>6803</v>
      </c>
      <c r="C13994" s="2095">
        <v>99.09</v>
      </c>
      <c r="D13994" s="2978">
        <v>0.2205</v>
      </c>
      <c r="E13994" s="2979">
        <v>-0.9977747502270663</v>
      </c>
      <c r="F13994" s="2980">
        <v>-0.9977747502270663</v>
      </c>
      <c r="G13994" s="78"/>
      <c r="H13994" t="s">
        <v>9738</v>
      </c>
    </row>
    <row r="13995" spans="1:8" hidden="1" outlineLevel="1" x14ac:dyDescent="0.25">
      <c r="A13995" s="1920">
        <v>0.02</v>
      </c>
      <c r="B13995" s="1921" t="s">
        <v>3799</v>
      </c>
      <c r="C13995" s="2095">
        <v>1403.369999810496</v>
      </c>
      <c r="D13995" s="2978">
        <v>1636.6</v>
      </c>
      <c r="E13995" s="2979">
        <v>0.16619280747129994</v>
      </c>
      <c r="F13995" s="2980">
        <v>0.09</v>
      </c>
      <c r="G13995" s="78"/>
      <c r="H13995" t="s">
        <v>4128</v>
      </c>
    </row>
    <row r="13996" spans="1:8" hidden="1" outlineLevel="1" x14ac:dyDescent="0.25">
      <c r="A13996" s="1920">
        <v>0.02</v>
      </c>
      <c r="B13996" s="1921" t="s">
        <v>6530</v>
      </c>
      <c r="C13996" s="2095">
        <v>40.915219869543662</v>
      </c>
      <c r="D13996" s="2978">
        <v>27.56</v>
      </c>
      <c r="E13996" s="2979">
        <v>-0.32641202741000008</v>
      </c>
      <c r="F13996" s="2980">
        <v>-0.32641202741000008</v>
      </c>
      <c r="G13996" s="78"/>
      <c r="H13996" t="s">
        <v>10140</v>
      </c>
    </row>
    <row r="13997" spans="1:8" hidden="1" outlineLevel="1" x14ac:dyDescent="0.25">
      <c r="A13997" s="1920">
        <v>0.02</v>
      </c>
      <c r="B13997" s="1921" t="s">
        <v>6163</v>
      </c>
      <c r="C13997" s="2095">
        <v>75.358000000000004</v>
      </c>
      <c r="D13997" s="2978">
        <v>51.75</v>
      </c>
      <c r="E13997" s="2979">
        <v>-0.31327795323655094</v>
      </c>
      <c r="F13997" s="2980">
        <v>-0.31327795323655094</v>
      </c>
      <c r="G13997" s="78"/>
      <c r="H13997" t="s">
        <v>9170</v>
      </c>
    </row>
    <row r="13998" spans="1:8" hidden="1" outlineLevel="1" x14ac:dyDescent="0.25">
      <c r="A13998" s="1920">
        <v>0.04</v>
      </c>
      <c r="B13998" s="1921" t="s">
        <v>1772</v>
      </c>
      <c r="C13998" s="2095">
        <v>163.98</v>
      </c>
      <c r="D13998" s="2978">
        <v>231.4</v>
      </c>
      <c r="E13998" s="2979">
        <v>0.4111477009391391</v>
      </c>
      <c r="F13998" s="2980">
        <v>0.09</v>
      </c>
      <c r="G13998" s="78"/>
      <c r="H13998" t="s">
        <v>4330</v>
      </c>
    </row>
    <row r="13999" spans="1:8" hidden="1" outlineLevel="1" x14ac:dyDescent="0.25">
      <c r="A13999" s="1920">
        <v>0.02</v>
      </c>
      <c r="B13999" s="1921" t="s">
        <v>2769</v>
      </c>
      <c r="C13999" s="2095">
        <v>32.702499982998788</v>
      </c>
      <c r="D13999" s="2978">
        <v>25.84</v>
      </c>
      <c r="E13999" s="2979">
        <v>-0.209846341612</v>
      </c>
      <c r="F13999" s="2980">
        <v>-0.209846341612</v>
      </c>
      <c r="G13999" s="78"/>
      <c r="H13999" t="s">
        <v>2770</v>
      </c>
    </row>
    <row r="14000" spans="1:8" hidden="1" outlineLevel="1" x14ac:dyDescent="0.25">
      <c r="A14000" s="1920">
        <v>0.02</v>
      </c>
      <c r="B14000" s="1921" t="s">
        <v>54</v>
      </c>
      <c r="C14000" s="2095">
        <v>17.712</v>
      </c>
      <c r="D14000" s="2978">
        <v>7.7859999999999996</v>
      </c>
      <c r="E14000" s="2979">
        <v>-0.56041102077687444</v>
      </c>
      <c r="F14000" s="2980">
        <v>-0.56041102077687444</v>
      </c>
      <c r="G14000" s="78"/>
      <c r="H14000" t="s">
        <v>6741</v>
      </c>
    </row>
    <row r="14001" spans="1:10" hidden="1" outlineLevel="1" x14ac:dyDescent="0.25">
      <c r="A14001" s="1920">
        <v>0.02</v>
      </c>
      <c r="B14001" s="1903" t="s">
        <v>2586</v>
      </c>
      <c r="C14001" s="2095">
        <v>21.513999999999999</v>
      </c>
      <c r="D14001" s="2978">
        <v>12.24</v>
      </c>
      <c r="E14001" s="2979">
        <v>-0.43106814167518825</v>
      </c>
      <c r="F14001" s="2980">
        <v>-0.43106814167518825</v>
      </c>
      <c r="G14001" s="78"/>
      <c r="H14001" t="s">
        <v>7803</v>
      </c>
    </row>
    <row r="14002" spans="1:10" hidden="1" outlineLevel="1" x14ac:dyDescent="0.25">
      <c r="A14002" s="1920">
        <v>0.02</v>
      </c>
      <c r="B14002" s="1921" t="s">
        <v>6804</v>
      </c>
      <c r="C14002" s="2095">
        <v>29.742999999999999</v>
      </c>
      <c r="D14002" s="2978">
        <v>6.08</v>
      </c>
      <c r="E14002" s="2979">
        <v>-0.7955821537840837</v>
      </c>
      <c r="F14002" s="2980">
        <v>-0.7955821537840837</v>
      </c>
      <c r="G14002" s="78"/>
      <c r="H14002" t="s">
        <v>6805</v>
      </c>
    </row>
    <row r="14003" spans="1:10" hidden="1" outlineLevel="1" x14ac:dyDescent="0.25">
      <c r="A14003" s="1920">
        <v>0.08</v>
      </c>
      <c r="B14003" s="1921" t="s">
        <v>3427</v>
      </c>
      <c r="C14003" s="2095">
        <v>48.01</v>
      </c>
      <c r="D14003" s="2978">
        <v>51.85</v>
      </c>
      <c r="E14003" s="2979">
        <v>7.9983336804832383E-2</v>
      </c>
      <c r="F14003" s="2980">
        <v>0.09</v>
      </c>
      <c r="G14003" s="78"/>
      <c r="H14003" t="s">
        <v>2800</v>
      </c>
    </row>
    <row r="14004" spans="1:10" hidden="1" outlineLevel="1" x14ac:dyDescent="0.25">
      <c r="A14004" s="1920">
        <v>0.02</v>
      </c>
      <c r="B14004" s="1921" t="s">
        <v>1724</v>
      </c>
      <c r="C14004" s="2095">
        <v>195.44</v>
      </c>
      <c r="D14004" s="2978">
        <v>119.4</v>
      </c>
      <c r="E14004" s="2979">
        <v>-0.38907081457224724</v>
      </c>
      <c r="F14004" s="2980">
        <v>-0.38907081457224724</v>
      </c>
      <c r="G14004" s="78"/>
      <c r="H14004" t="s">
        <v>1725</v>
      </c>
    </row>
    <row r="14005" spans="1:10" hidden="1" outlineLevel="1" x14ac:dyDescent="0.25">
      <c r="A14005" s="1920">
        <v>0.04</v>
      </c>
      <c r="B14005" s="1921" t="s">
        <v>6118</v>
      </c>
      <c r="C14005" s="2095">
        <v>80.80470007002333</v>
      </c>
      <c r="D14005" s="2978">
        <v>73.06</v>
      </c>
      <c r="E14005" s="2979">
        <v>-9.5844673184999896E-2</v>
      </c>
      <c r="F14005" s="2980">
        <v>-9.5844673184999896E-2</v>
      </c>
      <c r="G14005" s="78"/>
      <c r="H14005" t="s">
        <v>8893</v>
      </c>
    </row>
    <row r="14006" spans="1:10" hidden="1" outlineLevel="1" x14ac:dyDescent="0.25">
      <c r="A14006" s="1920">
        <v>0.02</v>
      </c>
      <c r="B14006" s="1921" t="s">
        <v>6807</v>
      </c>
      <c r="C14006" s="2095">
        <v>48.264000000000003</v>
      </c>
      <c r="D14006" s="2978">
        <v>51.48</v>
      </c>
      <c r="E14006" s="2979">
        <v>6.6633515663848675E-2</v>
      </c>
      <c r="F14006" s="2980">
        <v>0.09</v>
      </c>
      <c r="G14006" s="78"/>
      <c r="H14006" t="s">
        <v>6808</v>
      </c>
    </row>
    <row r="14007" spans="1:10" hidden="1" outlineLevel="1" x14ac:dyDescent="0.25">
      <c r="A14007" s="1920">
        <v>0.02</v>
      </c>
      <c r="B14007" s="1921" t="s">
        <v>577</v>
      </c>
      <c r="C14007" s="2095">
        <v>12.925900003272837</v>
      </c>
      <c r="D14007" s="2978">
        <v>4.2469999999999999</v>
      </c>
      <c r="E14007" s="2979">
        <v>-0.67143487115599998</v>
      </c>
      <c r="F14007" s="2980">
        <v>-0.67143487115599998</v>
      </c>
      <c r="G14007" s="78"/>
      <c r="H14007" t="s">
        <v>6732</v>
      </c>
    </row>
    <row r="14008" spans="1:10" hidden="1" outlineLevel="1" x14ac:dyDescent="0.25">
      <c r="A14008" s="1920">
        <v>0.03</v>
      </c>
      <c r="B14008" s="1921" t="s">
        <v>6165</v>
      </c>
      <c r="C14008" s="2095">
        <v>52.49</v>
      </c>
      <c r="D14008" s="2978">
        <v>34.799999999999997</v>
      </c>
      <c r="E14008" s="2979">
        <v>-0.33701657458563539</v>
      </c>
      <c r="F14008" s="2980">
        <v>-0.33701657458563539</v>
      </c>
      <c r="G14008" s="78"/>
      <c r="H14008" t="s">
        <v>7745</v>
      </c>
    </row>
    <row r="14009" spans="1:10" hidden="1" outlineLevel="1" x14ac:dyDescent="0.25">
      <c r="A14009" s="1920">
        <v>0.08</v>
      </c>
      <c r="B14009" s="1921" t="s">
        <v>3921</v>
      </c>
      <c r="C14009" s="2095">
        <v>3.8448000000000002</v>
      </c>
      <c r="D14009" s="2978">
        <v>6.1180000000000003</v>
      </c>
      <c r="E14009" s="2979">
        <v>0.59124011652101549</v>
      </c>
      <c r="F14009" s="2980">
        <v>0.09</v>
      </c>
      <c r="G14009" s="78"/>
      <c r="H14009" t="s">
        <v>3922</v>
      </c>
    </row>
    <row r="14010" spans="1:10" hidden="1" outlineLevel="1" x14ac:dyDescent="0.25">
      <c r="A14010" s="1920">
        <v>0.02</v>
      </c>
      <c r="B14010" s="1921" t="s">
        <v>5758</v>
      </c>
      <c r="C14010" s="2095">
        <v>62.9991999511101</v>
      </c>
      <c r="D14010" s="2978">
        <v>36.619999999999997</v>
      </c>
      <c r="E14010" s="2979">
        <v>-0.41872277698100002</v>
      </c>
      <c r="F14010" s="2980">
        <v>-0.41872277698100002</v>
      </c>
      <c r="G14010" s="78"/>
      <c r="H14010" t="s">
        <v>5756</v>
      </c>
    </row>
    <row r="14011" spans="1:10" hidden="1" outlineLevel="1" x14ac:dyDescent="0.25">
      <c r="A14011" s="1920">
        <v>0.08</v>
      </c>
      <c r="B14011" s="2109" t="s">
        <v>4550</v>
      </c>
      <c r="C14011" s="2095">
        <v>305.12</v>
      </c>
      <c r="D14011" s="2978">
        <v>334.2</v>
      </c>
      <c r="E14011" s="2979">
        <v>9.5306764551651657E-2</v>
      </c>
      <c r="F14011" s="2980">
        <v>0.09</v>
      </c>
      <c r="G14011" s="78"/>
      <c r="H14011" t="s">
        <v>8889</v>
      </c>
    </row>
    <row r="14012" spans="1:10" hidden="1" outlineLevel="1" x14ac:dyDescent="0.25">
      <c r="A14012" s="1897" t="s">
        <v>2465</v>
      </c>
      <c r="B14012" s="1931"/>
      <c r="C14012" s="1932"/>
      <c r="D14012" s="2981"/>
      <c r="E14012" s="2982">
        <f>SUMPRODUCT(A13982:A14011,E13982:E14011)</f>
        <v>-0.10490685136410875</v>
      </c>
      <c r="F14012" s="1897">
        <f>SUMPRODUCT(A13982:A14011,F13982:F14011)</f>
        <v>-0.18358152608477263</v>
      </c>
      <c r="G14012" s="78"/>
    </row>
    <row r="14013" spans="1:10" hidden="1" outlineLevel="1" x14ac:dyDescent="0.25">
      <c r="A14013" s="2983"/>
      <c r="B14013" s="2984"/>
      <c r="C14013" s="2984"/>
      <c r="D14013" s="2984"/>
      <c r="E14013" s="2984"/>
      <c r="F14013" s="2985"/>
      <c r="G14013" s="78"/>
    </row>
    <row r="14014" spans="1:10" hidden="1" outlineLevel="1" x14ac:dyDescent="0.25">
      <c r="A14014" s="2986" t="s">
        <v>113</v>
      </c>
      <c r="B14014" s="2986"/>
      <c r="C14014" s="2987"/>
      <c r="D14014" s="2987"/>
      <c r="E14014" s="2988"/>
      <c r="F14014" s="2989"/>
      <c r="G14014" s="78"/>
    </row>
    <row r="14015" spans="1:10" hidden="1" outlineLevel="1" x14ac:dyDescent="0.25">
      <c r="A14015" s="1810" t="s">
        <v>6811</v>
      </c>
      <c r="B14015" s="2990"/>
      <c r="C14015" s="2991"/>
      <c r="D14015" s="2991"/>
      <c r="E14015" s="2992"/>
      <c r="F14015" s="2993">
        <v>0.04</v>
      </c>
      <c r="G14015" s="78"/>
    </row>
    <row r="14016" spans="1:10" hidden="1" outlineLevel="1" x14ac:dyDescent="0.25">
      <c r="A14016" s="1810" t="s">
        <v>6812</v>
      </c>
      <c r="B14016" s="2994"/>
      <c r="C14016" s="2973"/>
      <c r="D14016" s="2973"/>
      <c r="E14016" s="2995">
        <v>-6.4100000000000004E-2</v>
      </c>
      <c r="F14016" s="2980">
        <v>0</v>
      </c>
      <c r="G14016" s="78"/>
      <c r="J14016" s="31"/>
    </row>
    <row r="14017" spans="1:13" hidden="1" outlineLevel="1" x14ac:dyDescent="0.25">
      <c r="A14017" s="1810" t="s">
        <v>6813</v>
      </c>
      <c r="B14017" s="2994"/>
      <c r="C14017" s="2973"/>
      <c r="D14017" s="2973"/>
      <c r="E14017" s="2995">
        <v>-4.5999999999999999E-2</v>
      </c>
      <c r="F14017" s="2980">
        <v>0</v>
      </c>
      <c r="G14017" s="78"/>
    </row>
    <row r="14018" spans="1:13" hidden="1" outlineLevel="1" x14ac:dyDescent="0.25">
      <c r="A14018" s="1810" t="s">
        <v>6814</v>
      </c>
      <c r="B14018" s="2994"/>
      <c r="C14018" s="2973"/>
      <c r="D14018" s="2973"/>
      <c r="E14018" s="2995">
        <v>-6.2409999999999993E-2</v>
      </c>
      <c r="F14018" s="2980">
        <v>0</v>
      </c>
      <c r="G14018" s="78"/>
    </row>
    <row r="14019" spans="1:13" hidden="1" outlineLevel="1" x14ac:dyDescent="0.25">
      <c r="A14019" s="1810" t="s">
        <v>6815</v>
      </c>
      <c r="B14019" s="2996"/>
      <c r="C14019" s="2988"/>
      <c r="D14019" s="2988"/>
      <c r="E14019" s="2997">
        <v>-0.16394099999999995</v>
      </c>
      <c r="F14019" s="2980">
        <v>0</v>
      </c>
      <c r="G14019" s="78"/>
    </row>
    <row r="14020" spans="1:13" collapsed="1" x14ac:dyDescent="0.25">
      <c r="A14020" s="3803" t="s">
        <v>6810</v>
      </c>
      <c r="B14020" s="3804"/>
      <c r="C14020" s="3804"/>
      <c r="D14020" s="2998"/>
      <c r="E14020" s="2998"/>
      <c r="F14020" s="1948">
        <f>SUM(F14015:F14019)</f>
        <v>0.04</v>
      </c>
      <c r="G14020" s="78"/>
    </row>
    <row r="14022" spans="1:13" hidden="1" outlineLevel="1" x14ac:dyDescent="0.25">
      <c r="A14022" s="689" t="s">
        <v>113</v>
      </c>
      <c r="B14022" s="689" t="s">
        <v>114</v>
      </c>
      <c r="C14022" s="495" t="s">
        <v>112</v>
      </c>
      <c r="D14022" s="1786" t="s">
        <v>4363</v>
      </c>
      <c r="E14022" s="495" t="s">
        <v>116</v>
      </c>
      <c r="F14022" s="1188" t="s">
        <v>121</v>
      </c>
      <c r="G14022" s="78"/>
    </row>
    <row r="14023" spans="1:13" hidden="1" outlineLevel="1" x14ac:dyDescent="0.25">
      <c r="A14023" s="753" t="s">
        <v>1327</v>
      </c>
      <c r="B14023" s="799" t="s">
        <v>2153</v>
      </c>
      <c r="C14023" s="3808">
        <v>3090.5740000000001</v>
      </c>
      <c r="D14023" s="3808">
        <v>3120.0479999999998</v>
      </c>
      <c r="E14023" s="1145">
        <v>3120.0479999999998</v>
      </c>
      <c r="F14023" s="700">
        <v>9.5367397771415341E-3</v>
      </c>
      <c r="G14023" s="78"/>
    </row>
    <row r="14024" spans="1:13" hidden="1" outlineLevel="1" x14ac:dyDescent="0.25">
      <c r="A14024" s="732" t="s">
        <v>6006</v>
      </c>
      <c r="B14024" s="1092" t="s">
        <v>2153</v>
      </c>
      <c r="C14024" s="3810"/>
      <c r="D14024" s="3810"/>
      <c r="E14024" s="1263"/>
      <c r="F14024" s="700"/>
      <c r="G14024" s="78"/>
    </row>
    <row r="14025" spans="1:13" hidden="1" outlineLevel="1" x14ac:dyDescent="0.25">
      <c r="A14025" s="732" t="s">
        <v>2734</v>
      </c>
      <c r="B14025" s="852"/>
      <c r="C14025" s="806"/>
      <c r="D14025" s="806"/>
      <c r="E14025" s="807"/>
      <c r="F14025" s="700"/>
      <c r="G14025" s="78"/>
      <c r="K14025" t="str">
        <f>IF(J14031=F14061,"prozatím, první hodnotou bude přemazáno","")</f>
        <v/>
      </c>
    </row>
    <row r="14026" spans="1:13" collapsed="1" x14ac:dyDescent="0.25">
      <c r="A14026" s="3801" t="s">
        <v>6819</v>
      </c>
      <c r="B14026" s="3802"/>
      <c r="C14026" s="3802"/>
      <c r="D14026" s="3802"/>
      <c r="E14026" s="729"/>
      <c r="F14026" s="752">
        <v>0.08</v>
      </c>
      <c r="G14026" s="78"/>
    </row>
    <row r="14028" spans="1:13" ht="12.75" hidden="1" customHeight="1" outlineLevel="1" x14ac:dyDescent="0.25">
      <c r="A14028" s="3114" t="s">
        <v>113</v>
      </c>
      <c r="B14028" s="3114" t="s">
        <v>114</v>
      </c>
      <c r="C14028" s="3114" t="s">
        <v>112</v>
      </c>
      <c r="D14028" s="3114" t="s">
        <v>116</v>
      </c>
      <c r="E14028" s="3114" t="s">
        <v>117</v>
      </c>
      <c r="F14028" s="3115" t="s">
        <v>121</v>
      </c>
      <c r="G14028" s="78"/>
    </row>
    <row r="14029" spans="1:13" ht="12.75" hidden="1" customHeight="1" outlineLevel="1" x14ac:dyDescent="0.25">
      <c r="A14029" s="3116">
        <v>1</v>
      </c>
      <c r="B14029" s="3117" t="s">
        <v>252</v>
      </c>
      <c r="C14029" s="3118">
        <v>100</v>
      </c>
      <c r="D14029" s="1900" t="s">
        <v>3702</v>
      </c>
      <c r="E14029" s="3119">
        <v>44104</v>
      </c>
      <c r="F14029" s="3120"/>
      <c r="G14029" s="78"/>
    </row>
    <row r="14030" spans="1:13" ht="40.5" hidden="1" customHeight="1" outlineLevel="1" x14ac:dyDescent="0.25">
      <c r="A14030" s="3121" t="s">
        <v>4156</v>
      </c>
      <c r="B14030" s="3121" t="s">
        <v>4153</v>
      </c>
      <c r="C14030" s="3121" t="s">
        <v>112</v>
      </c>
      <c r="D14030" s="3121" t="s">
        <v>4155</v>
      </c>
      <c r="E14030" s="3121" t="s">
        <v>4154</v>
      </c>
      <c r="F14030" s="3121" t="s">
        <v>2519</v>
      </c>
      <c r="G14030" s="78"/>
      <c r="I14030" s="98" t="s">
        <v>6654</v>
      </c>
      <c r="J14030" s="494" t="s">
        <v>7617</v>
      </c>
    </row>
    <row r="14031" spans="1:13" ht="12.75" hidden="1" customHeight="1" outlineLevel="1" x14ac:dyDescent="0.25">
      <c r="A14031" s="1991">
        <v>0.08</v>
      </c>
      <c r="B14031" s="1921" t="s">
        <v>359</v>
      </c>
      <c r="C14031" s="2108">
        <v>136.36500000000001</v>
      </c>
      <c r="D14031" s="3122">
        <v>163.62</v>
      </c>
      <c r="E14031" s="3123">
        <v>0.19986800131998672</v>
      </c>
      <c r="F14031" s="3124">
        <v>1.5989440105598936E-2</v>
      </c>
      <c r="G14031" s="78"/>
      <c r="H14031" t="s">
        <v>360</v>
      </c>
      <c r="I14031" s="417">
        <v>2016</v>
      </c>
      <c r="J14031" s="478">
        <v>-2.2051999999999999E-2</v>
      </c>
      <c r="L14031" s="434"/>
      <c r="M14031" s="434"/>
    </row>
    <row r="14032" spans="1:13" ht="12.75" hidden="1" customHeight="1" outlineLevel="1" x14ac:dyDescent="0.25">
      <c r="A14032" s="2380">
        <v>0.02</v>
      </c>
      <c r="B14032" s="1921" t="s">
        <v>1993</v>
      </c>
      <c r="C14032" s="2108">
        <v>49.917999999999999</v>
      </c>
      <c r="D14032" s="3125">
        <v>38.64</v>
      </c>
      <c r="E14032" s="3126">
        <v>-0.22593052606274289</v>
      </c>
      <c r="F14032" s="3127">
        <v>-4.518610521254858E-3</v>
      </c>
      <c r="G14032" s="78"/>
      <c r="H14032" t="s">
        <v>2812</v>
      </c>
      <c r="I14032" s="417">
        <v>2017</v>
      </c>
      <c r="J14032" s="478">
        <v>1.2E-2</v>
      </c>
      <c r="L14032" s="434"/>
      <c r="M14032" s="434"/>
    </row>
    <row r="14033" spans="1:13" ht="12.75" hidden="1" customHeight="1" outlineLevel="1" x14ac:dyDescent="0.25">
      <c r="A14033" s="2380">
        <v>0.08</v>
      </c>
      <c r="B14033" s="1921" t="s">
        <v>6799</v>
      </c>
      <c r="C14033" s="2108">
        <v>22.007999999999999</v>
      </c>
      <c r="D14033" s="3125">
        <v>13.91</v>
      </c>
      <c r="E14033" s="3126">
        <v>-0.36795710650672475</v>
      </c>
      <c r="F14033" s="3127">
        <v>-2.9436568520537981E-2</v>
      </c>
      <c r="G14033" s="78"/>
      <c r="H14033" t="s">
        <v>9736</v>
      </c>
      <c r="I14033" s="417">
        <v>2018</v>
      </c>
      <c r="J14033" s="478" t="s">
        <v>5590</v>
      </c>
      <c r="L14033" s="434"/>
      <c r="M14033" s="434"/>
    </row>
    <row r="14034" spans="1:13" ht="12.75" hidden="1" customHeight="1" outlineLevel="1" x14ac:dyDescent="0.25">
      <c r="A14034" s="2380">
        <v>0.02</v>
      </c>
      <c r="B14034" s="1921" t="s">
        <v>1317</v>
      </c>
      <c r="C14034" s="2108">
        <v>61.29</v>
      </c>
      <c r="D14034" s="3125">
        <v>81.73</v>
      </c>
      <c r="E14034" s="3126">
        <v>0.33349649208680043</v>
      </c>
      <c r="F14034" s="3127">
        <v>6.6699298417360088E-3</v>
      </c>
      <c r="G14034" s="78"/>
      <c r="H14034" t="s">
        <v>1318</v>
      </c>
      <c r="I14034" s="417">
        <v>2019</v>
      </c>
      <c r="J14034" s="478" t="s">
        <v>5590</v>
      </c>
      <c r="L14034" s="434"/>
      <c r="M14034" s="434"/>
    </row>
    <row r="14035" spans="1:13" ht="12.75" hidden="1" customHeight="1" outlineLevel="1" x14ac:dyDescent="0.25">
      <c r="A14035" s="2380">
        <v>0.03</v>
      </c>
      <c r="B14035" s="1921" t="s">
        <v>6800</v>
      </c>
      <c r="C14035" s="2108">
        <v>3818</v>
      </c>
      <c r="D14035" s="3125">
        <v>1743</v>
      </c>
      <c r="E14035" s="3126">
        <v>-0.54347826086956519</v>
      </c>
      <c r="F14035" s="3127">
        <v>-1.6304347826086956E-2</v>
      </c>
      <c r="G14035" s="78"/>
      <c r="H14035" t="s">
        <v>6801</v>
      </c>
      <c r="J14035" t="s">
        <v>10357</v>
      </c>
      <c r="L14035" s="434"/>
      <c r="M14035" s="434"/>
    </row>
    <row r="14036" spans="1:13" ht="12.75" hidden="1" customHeight="1" outlineLevel="1" x14ac:dyDescent="0.25">
      <c r="A14036" s="2380">
        <v>0.03</v>
      </c>
      <c r="B14036" s="1921" t="s">
        <v>3998</v>
      </c>
      <c r="C14036" s="2108">
        <v>33.573999999999998</v>
      </c>
      <c r="D14036" s="3125">
        <v>28.51</v>
      </c>
      <c r="E14036" s="3126">
        <v>-0.15083100017870965</v>
      </c>
      <c r="F14036" s="3127">
        <v>-4.5249300053612895E-3</v>
      </c>
      <c r="G14036" s="78"/>
      <c r="H14036" t="s">
        <v>4000</v>
      </c>
      <c r="L14036" s="434"/>
      <c r="M14036" s="434"/>
    </row>
    <row r="14037" spans="1:13" ht="12.75" hidden="1" customHeight="1" outlineLevel="1" x14ac:dyDescent="0.25">
      <c r="A14037" s="2380">
        <v>0.03</v>
      </c>
      <c r="B14037" s="1921" t="s">
        <v>7142</v>
      </c>
      <c r="C14037" s="2108">
        <v>29.841999999999999</v>
      </c>
      <c r="D14037" s="3125">
        <v>15.574999999999999</v>
      </c>
      <c r="E14037" s="3126">
        <v>-0.47808457878158306</v>
      </c>
      <c r="F14037" s="3127">
        <v>-1.4342537363447492E-2</v>
      </c>
      <c r="G14037" s="78"/>
      <c r="H14037" t="s">
        <v>7143</v>
      </c>
      <c r="L14037" s="434"/>
      <c r="M14037" s="434"/>
    </row>
    <row r="14038" spans="1:13" ht="12.75" hidden="1" customHeight="1" outlineLevel="1" x14ac:dyDescent="0.25">
      <c r="A14038" s="2380">
        <v>0.02</v>
      </c>
      <c r="B14038" s="1921" t="s">
        <v>5246</v>
      </c>
      <c r="C14038" s="2108">
        <v>38.926000000000002</v>
      </c>
      <c r="D14038" s="3125">
        <v>10.09</v>
      </c>
      <c r="E14038" s="3126">
        <v>-0.74079021733545702</v>
      </c>
      <c r="F14038" s="3127">
        <v>-1.4815804346709141E-2</v>
      </c>
      <c r="G14038" s="78"/>
      <c r="H14038" t="s">
        <v>10493</v>
      </c>
      <c r="L14038" s="434"/>
      <c r="M14038" s="434"/>
    </row>
    <row r="14039" spans="1:13" ht="12.75" hidden="1" customHeight="1" outlineLevel="1" x14ac:dyDescent="0.25">
      <c r="A14039" s="2380">
        <v>0.03</v>
      </c>
      <c r="B14039" s="1921" t="s">
        <v>1319</v>
      </c>
      <c r="C14039" s="2108">
        <v>66.638999999999996</v>
      </c>
      <c r="D14039" s="3125">
        <v>77.8</v>
      </c>
      <c r="E14039" s="3126">
        <v>0.16748450607001919</v>
      </c>
      <c r="F14039" s="3127">
        <v>5.0245351821005752E-3</v>
      </c>
      <c r="G14039" s="78"/>
      <c r="H14039" t="s">
        <v>1320</v>
      </c>
      <c r="L14039" s="434"/>
      <c r="M14039" s="434"/>
    </row>
    <row r="14040" spans="1:13" ht="12.75" hidden="1" customHeight="1" outlineLevel="1" x14ac:dyDescent="0.25">
      <c r="A14040" s="2380">
        <v>0.02</v>
      </c>
      <c r="B14040" s="1921" t="s">
        <v>6821</v>
      </c>
      <c r="C14040" s="2108">
        <v>264.43976709936629</v>
      </c>
      <c r="D14040" s="3125">
        <v>269.39999999999998</v>
      </c>
      <c r="E14040" s="3126">
        <v>1.8757515010099812E-2</v>
      </c>
      <c r="F14040" s="3127">
        <v>3.7515030020199628E-4</v>
      </c>
      <c r="G14040" s="78"/>
      <c r="H14040" t="s">
        <v>6822</v>
      </c>
      <c r="L14040" s="434"/>
      <c r="M14040" s="434"/>
    </row>
    <row r="14041" spans="1:13" ht="12.75" hidden="1" customHeight="1" outlineLevel="1" x14ac:dyDescent="0.25">
      <c r="A14041" s="2380">
        <v>0.02</v>
      </c>
      <c r="B14041" s="1921" t="s">
        <v>1231</v>
      </c>
      <c r="C14041" s="2108">
        <v>84.402000000000001</v>
      </c>
      <c r="D14041" s="3125">
        <v>88.56</v>
      </c>
      <c r="E14041" s="3126">
        <v>4.9264235444657745E-2</v>
      </c>
      <c r="F14041" s="3127">
        <v>9.8528470889315501E-4</v>
      </c>
      <c r="G14041" s="78"/>
      <c r="H14041" t="s">
        <v>2041</v>
      </c>
      <c r="L14041" s="434"/>
      <c r="M14041" s="434"/>
    </row>
    <row r="14042" spans="1:13" ht="12.75" hidden="1" customHeight="1" outlineLevel="1" x14ac:dyDescent="0.25">
      <c r="A14042" s="2380">
        <v>0.02</v>
      </c>
      <c r="B14042" s="1921" t="s">
        <v>6267</v>
      </c>
      <c r="C14042" s="2108">
        <v>25.4405</v>
      </c>
      <c r="D14042" s="3125">
        <v>19.695</v>
      </c>
      <c r="E14042" s="3126">
        <v>-0.22584068709341398</v>
      </c>
      <c r="F14042" s="3127">
        <v>-4.5168137418682801E-3</v>
      </c>
      <c r="G14042" s="78"/>
      <c r="H14042" t="s">
        <v>6268</v>
      </c>
      <c r="L14042" s="434"/>
      <c r="M14042" s="434"/>
    </row>
    <row r="14043" spans="1:13" ht="12.75" hidden="1" customHeight="1" outlineLevel="1" x14ac:dyDescent="0.25">
      <c r="A14043" s="2380">
        <v>0.03</v>
      </c>
      <c r="B14043" s="1921" t="s">
        <v>6803</v>
      </c>
      <c r="C14043" s="2519">
        <v>98.992499999999993</v>
      </c>
      <c r="D14043" s="3125">
        <v>0.2205</v>
      </c>
      <c r="E14043" s="3126">
        <v>-0.99777255852716118</v>
      </c>
      <c r="F14043" s="3127">
        <v>-2.9933176755814833E-2</v>
      </c>
      <c r="G14043" s="78"/>
      <c r="H14043" t="s">
        <v>9738</v>
      </c>
      <c r="L14043" s="434"/>
      <c r="M14043" s="434"/>
    </row>
    <row r="14044" spans="1:13" ht="12.75" hidden="1" customHeight="1" outlineLevel="1" x14ac:dyDescent="0.25">
      <c r="A14044" s="2380">
        <v>0.02</v>
      </c>
      <c r="B14044" s="1921" t="s">
        <v>6530</v>
      </c>
      <c r="C14044" s="2108">
        <v>41.853801027544719</v>
      </c>
      <c r="D14044" s="3125">
        <v>27.15</v>
      </c>
      <c r="E14044" s="3126">
        <v>-0.3513133972675001</v>
      </c>
      <c r="F14044" s="3127">
        <v>-7.0262679453500024E-3</v>
      </c>
      <c r="G14044" s="78"/>
      <c r="H14044" t="s">
        <v>10140</v>
      </c>
      <c r="L14044" s="434"/>
      <c r="M14044" s="434"/>
    </row>
    <row r="14045" spans="1:13" ht="12.75" hidden="1" customHeight="1" outlineLevel="1" x14ac:dyDescent="0.25">
      <c r="A14045" s="2380">
        <v>0.02</v>
      </c>
      <c r="B14045" s="1921" t="s">
        <v>6163</v>
      </c>
      <c r="C14045" s="2108">
        <v>78.644999999999996</v>
      </c>
      <c r="D14045" s="3125">
        <v>55.09</v>
      </c>
      <c r="E14045" s="3126">
        <v>-0.29951045838896295</v>
      </c>
      <c r="F14045" s="3127">
        <v>-5.990209167779259E-3</v>
      </c>
      <c r="G14045" s="78"/>
      <c r="H14045" t="s">
        <v>9170</v>
      </c>
      <c r="L14045" s="434"/>
      <c r="M14045" s="434"/>
    </row>
    <row r="14046" spans="1:13" ht="12.75" hidden="1" customHeight="1" outlineLevel="1" x14ac:dyDescent="0.25">
      <c r="A14046" s="2380">
        <v>0.02</v>
      </c>
      <c r="B14046" s="1921" t="s">
        <v>1031</v>
      </c>
      <c r="C14046" s="2108">
        <v>5.5353000000000003</v>
      </c>
      <c r="D14046" s="3125">
        <v>10.51</v>
      </c>
      <c r="E14046" s="3126">
        <v>0.89872274312142064</v>
      </c>
      <c r="F14046" s="3127">
        <v>1.7974454862428414E-2</v>
      </c>
      <c r="G14046" s="78"/>
      <c r="H14046" t="s">
        <v>7872</v>
      </c>
      <c r="L14046" s="434"/>
      <c r="M14046" s="434"/>
    </row>
    <row r="14047" spans="1:13" ht="12.75" hidden="1" customHeight="1" outlineLevel="1" x14ac:dyDescent="0.25">
      <c r="A14047" s="2380">
        <v>0.02</v>
      </c>
      <c r="B14047" s="1921" t="s">
        <v>901</v>
      </c>
      <c r="C14047" s="2108">
        <v>26.433350722821494</v>
      </c>
      <c r="D14047" s="3125">
        <v>27.774999999999999</v>
      </c>
      <c r="E14047" s="3126">
        <v>5.0755929176250048E-2</v>
      </c>
      <c r="F14047" s="3127">
        <v>1.0151185835250011E-3</v>
      </c>
      <c r="G14047" s="78"/>
      <c r="H14047" t="s">
        <v>531</v>
      </c>
      <c r="L14047" s="434"/>
      <c r="M14047" s="434"/>
    </row>
    <row r="14048" spans="1:13" ht="12.75" hidden="1" customHeight="1" outlineLevel="1" x14ac:dyDescent="0.25">
      <c r="A14048" s="2380">
        <v>0.04</v>
      </c>
      <c r="B14048" s="1921" t="s">
        <v>1772</v>
      </c>
      <c r="C14048" s="2108">
        <v>163.08000000000001</v>
      </c>
      <c r="D14048" s="3125">
        <v>216.6</v>
      </c>
      <c r="E14048" s="3126">
        <v>0.32818248712288445</v>
      </c>
      <c r="F14048" s="3127">
        <v>1.3127299484915379E-2</v>
      </c>
      <c r="G14048" s="78"/>
      <c r="H14048" t="s">
        <v>4330</v>
      </c>
      <c r="L14048" s="434"/>
      <c r="M14048" s="434"/>
    </row>
    <row r="14049" spans="1:13" ht="12.75" hidden="1" customHeight="1" outlineLevel="1" x14ac:dyDescent="0.25">
      <c r="A14049" s="2380">
        <v>0.02</v>
      </c>
      <c r="B14049" s="1921" t="s">
        <v>2769</v>
      </c>
      <c r="C14049" s="2108">
        <v>33.170179007995813</v>
      </c>
      <c r="D14049" s="3125">
        <v>27.21</v>
      </c>
      <c r="E14049" s="3126">
        <v>-0.17968486110850002</v>
      </c>
      <c r="F14049" s="3127">
        <v>-3.5936972221700006E-3</v>
      </c>
      <c r="G14049" s="78"/>
      <c r="H14049" t="s">
        <v>2770</v>
      </c>
      <c r="L14049" s="434"/>
      <c r="M14049" s="434"/>
    </row>
    <row r="14050" spans="1:13" ht="12.75" hidden="1" customHeight="1" outlineLevel="1" x14ac:dyDescent="0.25">
      <c r="A14050" s="2380">
        <v>0.02</v>
      </c>
      <c r="B14050" s="1921" t="s">
        <v>54</v>
      </c>
      <c r="C14050" s="2108">
        <v>14.923999999999999</v>
      </c>
      <c r="D14050" s="3125">
        <v>5.7219999999999995</v>
      </c>
      <c r="E14050" s="3126">
        <v>-0.61659072634682399</v>
      </c>
      <c r="F14050" s="3127">
        <v>-1.2331814526936481E-2</v>
      </c>
      <c r="G14050" s="78"/>
      <c r="H14050" t="s">
        <v>6741</v>
      </c>
      <c r="L14050" s="434"/>
      <c r="M14050" s="434"/>
    </row>
    <row r="14051" spans="1:13" ht="12.75" hidden="1" customHeight="1" outlineLevel="1" x14ac:dyDescent="0.25">
      <c r="A14051" s="2380">
        <v>0.02</v>
      </c>
      <c r="B14051" s="1921" t="s">
        <v>6804</v>
      </c>
      <c r="C14051" s="2108">
        <v>30.768000000000001</v>
      </c>
      <c r="D14051" s="3125">
        <v>6.056</v>
      </c>
      <c r="E14051" s="3126">
        <v>-0.80317212688507544</v>
      </c>
      <c r="F14051" s="3127">
        <v>-1.6063442537701509E-2</v>
      </c>
      <c r="G14051" s="78"/>
      <c r="H14051" t="s">
        <v>6805</v>
      </c>
      <c r="L14051" s="434"/>
      <c r="M14051" s="434"/>
    </row>
    <row r="14052" spans="1:13" ht="12.75" hidden="1" customHeight="1" outlineLevel="1" x14ac:dyDescent="0.25">
      <c r="A14052" s="2380">
        <v>0.08</v>
      </c>
      <c r="B14052" s="1921" t="s">
        <v>3427</v>
      </c>
      <c r="C14052" s="2108">
        <v>49.689</v>
      </c>
      <c r="D14052" s="3125">
        <v>54.22</v>
      </c>
      <c r="E14052" s="3126">
        <v>9.1187184286260603E-2</v>
      </c>
      <c r="F14052" s="3127">
        <v>7.2949747429008486E-3</v>
      </c>
      <c r="G14052" s="78"/>
      <c r="H14052" t="s">
        <v>2800</v>
      </c>
      <c r="L14052" s="434"/>
      <c r="M14052" s="434"/>
    </row>
    <row r="14053" spans="1:13" ht="12.75" hidden="1" customHeight="1" outlineLevel="1" x14ac:dyDescent="0.25">
      <c r="A14053" s="2380">
        <v>0.02</v>
      </c>
      <c r="B14053" s="1921" t="s">
        <v>1724</v>
      </c>
      <c r="C14053" s="2108">
        <v>188.03</v>
      </c>
      <c r="D14053" s="3125">
        <v>140.74</v>
      </c>
      <c r="E14053" s="3126">
        <v>-0.25150241982662336</v>
      </c>
      <c r="F14053" s="3127">
        <v>-5.0300483965324671E-3</v>
      </c>
      <c r="G14053" s="78"/>
      <c r="H14053" t="s">
        <v>1725</v>
      </c>
      <c r="L14053" s="434"/>
      <c r="M14053" s="434"/>
    </row>
    <row r="14054" spans="1:13" ht="12.75" hidden="1" customHeight="1" outlineLevel="1" x14ac:dyDescent="0.25">
      <c r="A14054" s="2380">
        <v>0.04</v>
      </c>
      <c r="B14054" s="1921" t="s">
        <v>6118</v>
      </c>
      <c r="C14054" s="2108">
        <v>80.785311916724368</v>
      </c>
      <c r="D14054" s="3125">
        <v>68.28</v>
      </c>
      <c r="E14054" s="3126">
        <v>-0.15479685130900001</v>
      </c>
      <c r="F14054" s="3127">
        <v>-6.19187405236E-3</v>
      </c>
      <c r="G14054" s="78"/>
      <c r="H14054" t="s">
        <v>8893</v>
      </c>
      <c r="L14054" s="434"/>
      <c r="M14054" s="434"/>
    </row>
    <row r="14055" spans="1:13" ht="12.75" hidden="1" customHeight="1" outlineLevel="1" x14ac:dyDescent="0.25">
      <c r="A14055" s="2380">
        <v>0.02</v>
      </c>
      <c r="B14055" s="1921" t="s">
        <v>9739</v>
      </c>
      <c r="C14055" s="2108">
        <v>47.813000000000002</v>
      </c>
      <c r="D14055" s="3125">
        <v>51.2</v>
      </c>
      <c r="E14055" s="3126">
        <v>7.0838474891765868E-2</v>
      </c>
      <c r="F14055" s="3127">
        <v>1.4167694978353175E-3</v>
      </c>
      <c r="G14055" s="78"/>
      <c r="H14055" t="s">
        <v>9740</v>
      </c>
      <c r="L14055" s="434"/>
      <c r="M14055" s="434"/>
    </row>
    <row r="14056" spans="1:13" ht="12.75" hidden="1" customHeight="1" outlineLevel="1" x14ac:dyDescent="0.25">
      <c r="A14056" s="2380">
        <v>0.02</v>
      </c>
      <c r="B14056" s="1921" t="s">
        <v>7755</v>
      </c>
      <c r="C14056" s="2108">
        <v>11.478004531190214</v>
      </c>
      <c r="D14056" s="3125">
        <v>2.9370000000000003</v>
      </c>
      <c r="E14056" s="3126">
        <v>-0.74411928554140006</v>
      </c>
      <c r="F14056" s="3127">
        <v>-1.4882385710828002E-2</v>
      </c>
      <c r="G14056" s="78"/>
      <c r="H14056" t="s">
        <v>6732</v>
      </c>
      <c r="L14056" s="434"/>
      <c r="M14056" s="434"/>
    </row>
    <row r="14057" spans="1:13" ht="12.75" hidden="1" customHeight="1" outlineLevel="1" x14ac:dyDescent="0.25">
      <c r="A14057" s="2380">
        <v>0.03</v>
      </c>
      <c r="B14057" s="1921" t="s">
        <v>434</v>
      </c>
      <c r="C14057" s="2108">
        <v>50.668999999999997</v>
      </c>
      <c r="D14057" s="3125">
        <v>36.85</v>
      </c>
      <c r="E14057" s="3126">
        <v>-0.27273086107876598</v>
      </c>
      <c r="F14057" s="3127">
        <v>-8.1819258323629785E-3</v>
      </c>
      <c r="G14057" s="78"/>
      <c r="H14057" t="s">
        <v>7745</v>
      </c>
      <c r="L14057" s="434"/>
      <c r="M14057" s="434"/>
    </row>
    <row r="14058" spans="1:13" ht="12.75" hidden="1" customHeight="1" outlineLevel="1" x14ac:dyDescent="0.25">
      <c r="A14058" s="2380">
        <v>0.08</v>
      </c>
      <c r="B14058" s="1921" t="s">
        <v>3921</v>
      </c>
      <c r="C14058" s="2108">
        <v>3.6307999999999998</v>
      </c>
      <c r="D14058" s="3125">
        <v>5.9740000000000002</v>
      </c>
      <c r="E14058" s="3126">
        <v>0.64536741214057525</v>
      </c>
      <c r="F14058" s="3127">
        <v>5.1629392971246024E-2</v>
      </c>
      <c r="G14058" s="78"/>
      <c r="H14058" t="s">
        <v>3922</v>
      </c>
      <c r="L14058" s="434"/>
      <c r="M14058" s="434"/>
    </row>
    <row r="14059" spans="1:13" ht="12.75" hidden="1" customHeight="1" outlineLevel="1" x14ac:dyDescent="0.25">
      <c r="A14059" s="2380">
        <v>0.02</v>
      </c>
      <c r="B14059" s="1921" t="s">
        <v>5758</v>
      </c>
      <c r="C14059" s="2108">
        <v>65.25728655928134</v>
      </c>
      <c r="D14059" s="3125">
        <v>41.96</v>
      </c>
      <c r="E14059" s="3126">
        <v>-0.35700666986999996</v>
      </c>
      <c r="F14059" s="3127">
        <v>-7.1401333973999991E-3</v>
      </c>
      <c r="G14059" s="78"/>
      <c r="H14059" t="s">
        <v>5756</v>
      </c>
      <c r="L14059" s="434"/>
      <c r="M14059" s="434"/>
    </row>
    <row r="14060" spans="1:13" ht="12.75" hidden="1" customHeight="1" outlineLevel="1" x14ac:dyDescent="0.25">
      <c r="A14060" s="2380">
        <v>0.08</v>
      </c>
      <c r="B14060" s="2109" t="s">
        <v>4550</v>
      </c>
      <c r="C14060" s="2108">
        <v>312.27</v>
      </c>
      <c r="D14060" s="3128">
        <v>320.7</v>
      </c>
      <c r="E14060" s="3126">
        <v>2.6995868959554192E-2</v>
      </c>
      <c r="F14060" s="3127">
        <v>2.1596695167643352E-3</v>
      </c>
      <c r="G14060" s="78"/>
      <c r="H14060" t="s">
        <v>8889</v>
      </c>
      <c r="L14060" s="434"/>
      <c r="M14060" s="434"/>
    </row>
    <row r="14061" spans="1:13" ht="12.75" hidden="1" customHeight="1" outlineLevel="1" x14ac:dyDescent="0.25">
      <c r="A14061" s="2181" t="s">
        <v>2734</v>
      </c>
      <c r="B14061" s="2103"/>
      <c r="C14061" s="3129"/>
      <c r="D14061" s="3130"/>
      <c r="E14061" s="3131"/>
      <c r="F14061" s="3124">
        <v>-8.1162568072355556E-2</v>
      </c>
      <c r="G14061" s="78"/>
    </row>
    <row r="14062" spans="1:13" ht="12.75" hidden="1" customHeight="1" outlineLevel="1" x14ac:dyDescent="0.25">
      <c r="A14062" s="1956" t="s">
        <v>6824</v>
      </c>
      <c r="B14062" s="2185">
        <v>43556</v>
      </c>
      <c r="C14062" s="3132">
        <v>100</v>
      </c>
      <c r="D14062" s="3132">
        <v>104.35080000000001</v>
      </c>
      <c r="E14062" s="3133">
        <v>4.3508000000000102E-2</v>
      </c>
      <c r="F14062" s="3134"/>
      <c r="G14062" s="78"/>
    </row>
    <row r="14063" spans="1:13" ht="12.75" hidden="1" customHeight="1" outlineLevel="1" x14ac:dyDescent="0.25">
      <c r="A14063" s="1956" t="s">
        <v>6825</v>
      </c>
      <c r="B14063" s="2185">
        <v>43586</v>
      </c>
      <c r="C14063" s="3132">
        <v>100</v>
      </c>
      <c r="D14063" s="3135">
        <v>102.06489999999999</v>
      </c>
      <c r="E14063" s="3133">
        <v>2.0648999999999917E-2</v>
      </c>
      <c r="F14063" s="3134"/>
      <c r="G14063" s="78"/>
    </row>
    <row r="14064" spans="1:13" ht="12.75" hidden="1" customHeight="1" outlineLevel="1" x14ac:dyDescent="0.25">
      <c r="A14064" s="1956" t="s">
        <v>6826</v>
      </c>
      <c r="B14064" s="2185">
        <v>43617</v>
      </c>
      <c r="C14064" s="3132">
        <v>100</v>
      </c>
      <c r="D14064" s="3135">
        <v>105.149</v>
      </c>
      <c r="E14064" s="3133">
        <v>5.1490000000000036E-2</v>
      </c>
      <c r="F14064" s="3134"/>
      <c r="G14064" s="78"/>
    </row>
    <row r="14065" spans="1:7" ht="12.75" hidden="1" customHeight="1" outlineLevel="1" x14ac:dyDescent="0.25">
      <c r="A14065" s="1956" t="s">
        <v>6827</v>
      </c>
      <c r="B14065" s="2185">
        <v>43647</v>
      </c>
      <c r="C14065" s="3132">
        <v>100</v>
      </c>
      <c r="D14065" s="3135">
        <v>104.6504</v>
      </c>
      <c r="E14065" s="3133">
        <v>4.6504000000000101E-2</v>
      </c>
      <c r="F14065" s="3134"/>
      <c r="G14065" s="78"/>
    </row>
    <row r="14066" spans="1:7" ht="12.75" hidden="1" customHeight="1" outlineLevel="1" x14ac:dyDescent="0.25">
      <c r="A14066" s="1956" t="s">
        <v>6828</v>
      </c>
      <c r="B14066" s="2185">
        <v>43678</v>
      </c>
      <c r="C14066" s="3132">
        <v>100</v>
      </c>
      <c r="D14066" s="3135">
        <v>104.6016</v>
      </c>
      <c r="E14066" s="3133">
        <v>4.6016000000000057E-2</v>
      </c>
      <c r="F14066" s="3134"/>
      <c r="G14066" s="78"/>
    </row>
    <row r="14067" spans="1:7" ht="12.75" hidden="1" customHeight="1" outlineLevel="1" x14ac:dyDescent="0.25">
      <c r="A14067" s="1956" t="s">
        <v>6829</v>
      </c>
      <c r="B14067" s="2185">
        <v>43709</v>
      </c>
      <c r="C14067" s="3132">
        <v>100</v>
      </c>
      <c r="D14067" s="3135">
        <v>110.5176</v>
      </c>
      <c r="E14067" s="3133">
        <v>0.10517599999999994</v>
      </c>
      <c r="F14067" s="3134"/>
      <c r="G14067" s="78"/>
    </row>
    <row r="14068" spans="1:7" ht="12.75" hidden="1" customHeight="1" outlineLevel="1" x14ac:dyDescent="0.25">
      <c r="A14068" s="1956" t="s">
        <v>6830</v>
      </c>
      <c r="B14068" s="2185">
        <v>43739</v>
      </c>
      <c r="C14068" s="3132">
        <v>100</v>
      </c>
      <c r="D14068" s="3135">
        <v>111.32210000000001</v>
      </c>
      <c r="E14068" s="3133">
        <v>0.11322100000000002</v>
      </c>
      <c r="F14068" s="3134"/>
      <c r="G14068" s="78"/>
    </row>
    <row r="14069" spans="1:7" ht="12.75" hidden="1" customHeight="1" outlineLevel="1" x14ac:dyDescent="0.25">
      <c r="A14069" s="1956" t="s">
        <v>6831</v>
      </c>
      <c r="B14069" s="2185">
        <v>43770</v>
      </c>
      <c r="C14069" s="3132">
        <v>100</v>
      </c>
      <c r="D14069" s="3069">
        <v>110.8219</v>
      </c>
      <c r="E14069" s="3067">
        <v>0.10821900000000007</v>
      </c>
      <c r="F14069" s="3134"/>
      <c r="G14069" s="78"/>
    </row>
    <row r="14070" spans="1:7" ht="12.75" hidden="1" customHeight="1" outlineLevel="1" x14ac:dyDescent="0.25">
      <c r="A14070" s="1956" t="s">
        <v>6832</v>
      </c>
      <c r="B14070" s="2185">
        <v>43800</v>
      </c>
      <c r="C14070" s="3132">
        <v>100</v>
      </c>
      <c r="D14070" s="3069">
        <v>112.32769999999999</v>
      </c>
      <c r="E14070" s="3067">
        <v>0.12327699999999986</v>
      </c>
      <c r="F14070" s="3134"/>
      <c r="G14070" s="78"/>
    </row>
    <row r="14071" spans="1:7" ht="12.75" hidden="1" customHeight="1" outlineLevel="1" x14ac:dyDescent="0.25">
      <c r="A14071" s="1956" t="s">
        <v>6833</v>
      </c>
      <c r="B14071" s="2185">
        <v>43831</v>
      </c>
      <c r="C14071" s="3132">
        <v>100</v>
      </c>
      <c r="D14071" s="3069">
        <v>115.7028</v>
      </c>
      <c r="E14071" s="3067">
        <v>0.15702799999999995</v>
      </c>
      <c r="F14071" s="3134"/>
      <c r="G14071" s="78"/>
    </row>
    <row r="14072" spans="1:7" ht="12.75" hidden="1" customHeight="1" outlineLevel="1" x14ac:dyDescent="0.25">
      <c r="A14072" s="1956" t="s">
        <v>6834</v>
      </c>
      <c r="B14072" s="2185">
        <v>43862</v>
      </c>
      <c r="C14072" s="3132">
        <v>100</v>
      </c>
      <c r="D14072" s="3135">
        <v>104.6298</v>
      </c>
      <c r="E14072" s="3133">
        <v>4.629799999999995E-2</v>
      </c>
      <c r="F14072" s="3134"/>
      <c r="G14072" s="78"/>
    </row>
    <row r="14073" spans="1:7" ht="12.75" hidden="1" customHeight="1" outlineLevel="1" x14ac:dyDescent="0.25">
      <c r="A14073" s="1956" t="s">
        <v>6835</v>
      </c>
      <c r="B14073" s="2185">
        <v>43891</v>
      </c>
      <c r="C14073" s="3132">
        <v>100</v>
      </c>
      <c r="D14073" s="3135">
        <v>89.142600000000002</v>
      </c>
      <c r="E14073" s="3133">
        <v>-0.10857399999999995</v>
      </c>
      <c r="F14073" s="3134"/>
      <c r="G14073" s="78"/>
    </row>
    <row r="14074" spans="1:7" ht="12.75" hidden="1" customHeight="1" outlineLevel="1" x14ac:dyDescent="0.25">
      <c r="A14074" s="1956" t="s">
        <v>6836</v>
      </c>
      <c r="B14074" s="2185">
        <v>43922</v>
      </c>
      <c r="C14074" s="3132">
        <v>100</v>
      </c>
      <c r="D14074" s="3135">
        <v>91.060900000000004</v>
      </c>
      <c r="E14074" s="3133">
        <v>-8.9390999999999998E-2</v>
      </c>
      <c r="F14074" s="3134"/>
      <c r="G14074" s="78"/>
    </row>
    <row r="14075" spans="1:7" ht="12.75" hidden="1" customHeight="1" outlineLevel="1" x14ac:dyDescent="0.25">
      <c r="A14075" s="1956" t="s">
        <v>6837</v>
      </c>
      <c r="B14075" s="2185">
        <v>43952</v>
      </c>
      <c r="C14075" s="3132">
        <v>100</v>
      </c>
      <c r="D14075" s="3135">
        <v>91.822000000000003</v>
      </c>
      <c r="E14075" s="3133">
        <v>-8.1779999999999964E-2</v>
      </c>
      <c r="F14075" s="3134"/>
      <c r="G14075" s="78"/>
    </row>
    <row r="14076" spans="1:7" ht="12.75" hidden="1" customHeight="1" outlineLevel="1" x14ac:dyDescent="0.25">
      <c r="A14076" s="1956" t="s">
        <v>6838</v>
      </c>
      <c r="B14076" s="2185">
        <v>43983</v>
      </c>
      <c r="C14076" s="3132">
        <v>100</v>
      </c>
      <c r="D14076" s="3135">
        <v>93.681799999999996</v>
      </c>
      <c r="E14076" s="3133">
        <v>-6.3182000000000071E-2</v>
      </c>
      <c r="F14076" s="3134"/>
      <c r="G14076" s="78"/>
    </row>
    <row r="14077" spans="1:7" ht="12.75" hidden="1" customHeight="1" outlineLevel="1" x14ac:dyDescent="0.25">
      <c r="A14077" s="1956" t="s">
        <v>6839</v>
      </c>
      <c r="B14077" s="2185">
        <v>44013</v>
      </c>
      <c r="C14077" s="3132">
        <v>100</v>
      </c>
      <c r="D14077" s="3135">
        <v>94.638199999999998</v>
      </c>
      <c r="E14077" s="3133">
        <v>-5.3618000000000055E-2</v>
      </c>
      <c r="F14077" s="3134"/>
      <c r="G14077" s="78"/>
    </row>
    <row r="14078" spans="1:7" ht="12.75" hidden="1" customHeight="1" outlineLevel="1" x14ac:dyDescent="0.25">
      <c r="A14078" s="1956" t="s">
        <v>6840</v>
      </c>
      <c r="B14078" s="2185">
        <v>44044</v>
      </c>
      <c r="C14078" s="3132">
        <v>100</v>
      </c>
      <c r="D14078" s="3135">
        <v>94.272499999999994</v>
      </c>
      <c r="E14078" s="3133">
        <v>-5.7275000000000076E-2</v>
      </c>
      <c r="F14078" s="3134"/>
      <c r="G14078" s="78"/>
    </row>
    <row r="14079" spans="1:7" ht="12.75" hidden="1" customHeight="1" outlineLevel="1" x14ac:dyDescent="0.25">
      <c r="A14079" s="1956" t="s">
        <v>6841</v>
      </c>
      <c r="B14079" s="2185">
        <v>44075</v>
      </c>
      <c r="C14079" s="3132">
        <v>100</v>
      </c>
      <c r="D14079" s="3135">
        <v>91.915099999999995</v>
      </c>
      <c r="E14079" s="3133">
        <v>-8.084900000000006E-2</v>
      </c>
      <c r="F14079" s="3134"/>
      <c r="G14079" s="78"/>
    </row>
    <row r="14080" spans="1:7" ht="12.75" hidden="1" customHeight="1" outlineLevel="1" x14ac:dyDescent="0.25">
      <c r="A14080" s="2189" t="s">
        <v>2734</v>
      </c>
      <c r="B14080" s="2190"/>
      <c r="C14080" s="3135"/>
      <c r="D14080" s="2191" t="s">
        <v>2465</v>
      </c>
      <c r="E14080" s="1987">
        <v>1.8150944444444435E-2</v>
      </c>
      <c r="F14080" s="2192">
        <v>1.8150944444444435E-2</v>
      </c>
      <c r="G14080" s="78"/>
    </row>
    <row r="14081" spans="1:11" collapsed="1" x14ac:dyDescent="0.25">
      <c r="A14081" s="3801" t="s">
        <v>6820</v>
      </c>
      <c r="B14081" s="3802"/>
      <c r="C14081" s="3802"/>
      <c r="D14081" s="3802"/>
      <c r="E14081" s="1906"/>
      <c r="F14081" s="1907">
        <v>1.8150944444444435E-2</v>
      </c>
      <c r="G14081" s="78"/>
    </row>
    <row r="14083" spans="1:11" ht="12.75" hidden="1" customHeight="1" outlineLevel="1" x14ac:dyDescent="0.25">
      <c r="A14083" s="3237" t="s">
        <v>113</v>
      </c>
      <c r="B14083" s="3237" t="s">
        <v>114</v>
      </c>
      <c r="C14083" s="3237" t="s">
        <v>112</v>
      </c>
      <c r="D14083" s="3237" t="s">
        <v>116</v>
      </c>
      <c r="E14083" s="3237" t="s">
        <v>117</v>
      </c>
      <c r="F14083" s="3276" t="s">
        <v>121</v>
      </c>
      <c r="G14083" s="78"/>
    </row>
    <row r="14084" spans="1:11" ht="12.75" hidden="1" customHeight="1" outlineLevel="1" x14ac:dyDescent="0.25">
      <c r="A14084" s="3238">
        <v>1</v>
      </c>
      <c r="B14084" s="3239" t="s">
        <v>252</v>
      </c>
      <c r="C14084" s="3240">
        <v>100</v>
      </c>
      <c r="D14084" s="3240"/>
      <c r="E14084" s="3241"/>
      <c r="F14084" s="3242"/>
      <c r="G14084" s="78"/>
    </row>
    <row r="14085" spans="1:11" ht="12.75" hidden="1" customHeight="1" outlineLevel="1" x14ac:dyDescent="0.25">
      <c r="A14085" s="3243" t="s">
        <v>2734</v>
      </c>
      <c r="B14085" s="3243"/>
      <c r="C14085" s="3244"/>
      <c r="D14085" s="1900" t="s">
        <v>3702</v>
      </c>
      <c r="E14085" s="3245">
        <v>44469</v>
      </c>
      <c r="F14085" s="3246"/>
      <c r="G14085" s="78"/>
    </row>
    <row r="14086" spans="1:11" ht="12.75" hidden="1" customHeight="1" outlineLevel="1" x14ac:dyDescent="0.25">
      <c r="A14086" s="3237" t="s">
        <v>4156</v>
      </c>
      <c r="B14086" s="3237" t="s">
        <v>4153</v>
      </c>
      <c r="C14086" s="3247" t="s">
        <v>112</v>
      </c>
      <c r="D14086" s="3248" t="s">
        <v>4155</v>
      </c>
      <c r="E14086" s="3237" t="s">
        <v>4154</v>
      </c>
      <c r="F14086" s="3277" t="s">
        <v>2519</v>
      </c>
      <c r="G14086" s="78"/>
    </row>
    <row r="14087" spans="1:11" ht="12.75" hidden="1" customHeight="1" outlineLevel="1" x14ac:dyDescent="0.25">
      <c r="A14087" s="1991">
        <v>0.05</v>
      </c>
      <c r="B14087" s="1921" t="s">
        <v>359</v>
      </c>
      <c r="C14087" s="2090">
        <v>136.5</v>
      </c>
      <c r="D14087" s="3278">
        <v>194.84</v>
      </c>
      <c r="E14087" s="3279">
        <v>0.42739926739926748</v>
      </c>
      <c r="F14087" s="3277">
        <v>2.1369963369963375E-2</v>
      </c>
      <c r="G14087" s="78"/>
      <c r="H14087" t="s">
        <v>360</v>
      </c>
      <c r="K14087" s="434"/>
    </row>
    <row r="14088" spans="1:11" ht="12.75" hidden="1" customHeight="1" outlineLevel="1" x14ac:dyDescent="0.25">
      <c r="A14088" s="2380">
        <v>0.04</v>
      </c>
      <c r="B14088" s="1921" t="s">
        <v>6601</v>
      </c>
      <c r="C14088" s="1998">
        <v>17.992000000000001</v>
      </c>
      <c r="D14088" s="3399">
        <v>3.45</v>
      </c>
      <c r="E14088" s="3281">
        <v>-0.80824811027123167</v>
      </c>
      <c r="F14088" s="3282">
        <v>-3.2329924410849267E-2</v>
      </c>
      <c r="G14088" s="78"/>
      <c r="H14088" t="s">
        <v>6602</v>
      </c>
      <c r="K14088" s="434"/>
    </row>
    <row r="14089" spans="1:11" ht="12.75" hidden="1" customHeight="1" outlineLevel="1" x14ac:dyDescent="0.25">
      <c r="A14089" s="2380">
        <v>0.05</v>
      </c>
      <c r="B14089" s="1921" t="s">
        <v>807</v>
      </c>
      <c r="C14089" s="2179">
        <v>53.915999999999997</v>
      </c>
      <c r="D14089" s="3280">
        <v>63.45</v>
      </c>
      <c r="E14089" s="3281">
        <v>0.17683062541731598</v>
      </c>
      <c r="F14089" s="3282">
        <v>8.8415312708658E-3</v>
      </c>
      <c r="G14089" s="78"/>
      <c r="H14089" t="s">
        <v>808</v>
      </c>
      <c r="K14089" s="434"/>
    </row>
    <row r="14090" spans="1:11" ht="12.75" hidden="1" customHeight="1" outlineLevel="1" x14ac:dyDescent="0.25">
      <c r="A14090" s="2380">
        <v>0.02</v>
      </c>
      <c r="B14090" s="1921" t="s">
        <v>3954</v>
      </c>
      <c r="C14090" s="2179">
        <v>97.278999999999996</v>
      </c>
      <c r="D14090" s="3280">
        <v>141</v>
      </c>
      <c r="E14090" s="3281">
        <v>0.44943924176852157</v>
      </c>
      <c r="F14090" s="3282">
        <v>8.9887848353704322E-3</v>
      </c>
      <c r="G14090" s="78"/>
      <c r="H14090" t="s">
        <v>3955</v>
      </c>
      <c r="K14090" s="434"/>
    </row>
    <row r="14091" spans="1:11" ht="12.75" hidden="1" customHeight="1" outlineLevel="1" x14ac:dyDescent="0.25">
      <c r="A14091" s="2380">
        <v>0.05</v>
      </c>
      <c r="B14091" s="1921" t="s">
        <v>4332</v>
      </c>
      <c r="C14091" s="2179">
        <v>271.89</v>
      </c>
      <c r="D14091" s="3280">
        <v>56.68</v>
      </c>
      <c r="E14091" s="3281">
        <v>-0.7915333406892493</v>
      </c>
      <c r="F14091" s="3282">
        <v>-3.957666703446247E-2</v>
      </c>
      <c r="G14091" s="78"/>
      <c r="H14091" t="s">
        <v>4334</v>
      </c>
      <c r="K14091" s="434"/>
    </row>
    <row r="14092" spans="1:11" ht="12.75" hidden="1" customHeight="1" outlineLevel="1" x14ac:dyDescent="0.25">
      <c r="A14092" s="2380">
        <v>0.02</v>
      </c>
      <c r="B14092" s="1921" t="s">
        <v>6821</v>
      </c>
      <c r="C14092" s="2179">
        <v>262.98228136327253</v>
      </c>
      <c r="D14092" s="3280">
        <v>289.60000000000002</v>
      </c>
      <c r="E14092" s="3281">
        <v>0.10121487462479983</v>
      </c>
      <c r="F14092" s="3282">
        <v>2.0242974924959967E-3</v>
      </c>
      <c r="G14092" s="78"/>
      <c r="H14092" t="s">
        <v>6822</v>
      </c>
      <c r="K14092" s="434"/>
    </row>
    <row r="14093" spans="1:11" ht="12.75" hidden="1" customHeight="1" outlineLevel="1" x14ac:dyDescent="0.25">
      <c r="A14093" s="2380">
        <v>0.08</v>
      </c>
      <c r="B14093" s="1921" t="s">
        <v>6267</v>
      </c>
      <c r="C14093" s="2179">
        <v>25.511500000000002</v>
      </c>
      <c r="D14093" s="3280">
        <v>19.204999999999998</v>
      </c>
      <c r="E14093" s="3281">
        <v>-0.24720224212610009</v>
      </c>
      <c r="F14093" s="3282">
        <v>-1.9776179370088007E-2</v>
      </c>
      <c r="G14093" s="78"/>
      <c r="H14093" t="s">
        <v>6268</v>
      </c>
      <c r="K14093" s="434"/>
    </row>
    <row r="14094" spans="1:11" ht="12.75" hidden="1" customHeight="1" outlineLevel="1" x14ac:dyDescent="0.25">
      <c r="A14094" s="2380">
        <v>0.08</v>
      </c>
      <c r="B14094" s="1921" t="s">
        <v>7227</v>
      </c>
      <c r="C14094" s="2179">
        <v>18.300701924772</v>
      </c>
      <c r="D14094" s="3280">
        <v>11.342000000000001</v>
      </c>
      <c r="E14094" s="3281">
        <v>-0.38024235099707493</v>
      </c>
      <c r="F14094" s="3282">
        <v>-3.0419388079765994E-2</v>
      </c>
      <c r="G14094" s="78"/>
      <c r="H14094" t="s">
        <v>7229</v>
      </c>
      <c r="K14094" s="434"/>
    </row>
    <row r="14095" spans="1:11" ht="12.75" hidden="1" customHeight="1" outlineLevel="1" x14ac:dyDescent="0.25">
      <c r="A14095" s="2380">
        <v>0.08</v>
      </c>
      <c r="B14095" s="1921" t="s">
        <v>1772</v>
      </c>
      <c r="C14095" s="2179">
        <v>163.45500000000001</v>
      </c>
      <c r="D14095" s="3280">
        <v>236.9</v>
      </c>
      <c r="E14095" s="3281">
        <v>0.44932856137774912</v>
      </c>
      <c r="F14095" s="3282">
        <v>3.5946284910219929E-2</v>
      </c>
      <c r="G14095" s="78"/>
      <c r="H14095" t="s">
        <v>4330</v>
      </c>
      <c r="K14095" s="434"/>
    </row>
    <row r="14096" spans="1:11" ht="12.75" hidden="1" customHeight="1" outlineLevel="1" x14ac:dyDescent="0.25">
      <c r="A14096" s="2380">
        <v>0.02</v>
      </c>
      <c r="B14096" s="1921" t="s">
        <v>2786</v>
      </c>
      <c r="C14096" s="2179">
        <v>919.09863574007602</v>
      </c>
      <c r="D14096" s="3280">
        <v>884.6</v>
      </c>
      <c r="E14096" s="3281">
        <v>-3.7535292077000015E-2</v>
      </c>
      <c r="F14096" s="3282">
        <v>-7.5070584154000029E-4</v>
      </c>
      <c r="G14096" s="78"/>
      <c r="H14096" t="s">
        <v>4195</v>
      </c>
      <c r="K14096" s="434"/>
    </row>
    <row r="14097" spans="1:11" ht="12.75" hidden="1" customHeight="1" outlineLevel="1" x14ac:dyDescent="0.25">
      <c r="A14097" s="2380">
        <v>0.04</v>
      </c>
      <c r="B14097" s="1921" t="s">
        <v>5824</v>
      </c>
      <c r="C14097" s="2179">
        <v>13.981999999999999</v>
      </c>
      <c r="D14097" s="3280">
        <v>9.3520000000000003</v>
      </c>
      <c r="E14097" s="3281">
        <v>-0.33114003719067364</v>
      </c>
      <c r="F14097" s="3282">
        <v>-1.3245601487626947E-2</v>
      </c>
      <c r="G14097" s="78"/>
      <c r="H14097" t="s">
        <v>5817</v>
      </c>
      <c r="K14097" s="434"/>
    </row>
    <row r="14098" spans="1:11" ht="12.75" hidden="1" customHeight="1" outlineLevel="1" x14ac:dyDescent="0.25">
      <c r="A14098" s="2380">
        <v>0.02</v>
      </c>
      <c r="B14098" s="1921" t="s">
        <v>2469</v>
      </c>
      <c r="C14098" s="2179">
        <v>54.536999999999999</v>
      </c>
      <c r="D14098" s="3280">
        <v>9.6</v>
      </c>
      <c r="E14098" s="3281">
        <v>-0.82397271577094444</v>
      </c>
      <c r="F14098" s="3282">
        <v>-1.647945431541889E-2</v>
      </c>
      <c r="G14098" s="78"/>
      <c r="H14098" t="s">
        <v>2696</v>
      </c>
      <c r="K14098" s="434"/>
    </row>
    <row r="14099" spans="1:11" ht="12.75" hidden="1" customHeight="1" outlineLevel="1" x14ac:dyDescent="0.25">
      <c r="A14099" s="2380">
        <v>0.05</v>
      </c>
      <c r="B14099" s="1921" t="s">
        <v>6270</v>
      </c>
      <c r="C14099" s="2179">
        <v>38.459307318784568</v>
      </c>
      <c r="D14099" s="3280">
        <v>42.91</v>
      </c>
      <c r="E14099" s="3281">
        <v>0.11572472286939983</v>
      </c>
      <c r="F14099" s="3282">
        <v>5.7862361434699921E-3</v>
      </c>
      <c r="G14099" s="78"/>
      <c r="H14099" t="s">
        <v>8166</v>
      </c>
      <c r="K14099" s="434"/>
    </row>
    <row r="14100" spans="1:11" ht="12.75" hidden="1" customHeight="1" outlineLevel="1" x14ac:dyDescent="0.25">
      <c r="A14100" s="2380">
        <v>0.05</v>
      </c>
      <c r="B14100" s="1921" t="s">
        <v>6116</v>
      </c>
      <c r="C14100" s="2179">
        <v>3.3301067323124531</v>
      </c>
      <c r="D14100" s="3280">
        <v>4.7960000000000003</v>
      </c>
      <c r="E14100" s="3281">
        <v>0.44019407950616007</v>
      </c>
      <c r="F14100" s="3282">
        <v>2.2009703975308006E-2</v>
      </c>
      <c r="G14100" s="78"/>
      <c r="H14100" t="s">
        <v>6114</v>
      </c>
      <c r="K14100" s="434"/>
    </row>
    <row r="14101" spans="1:11" ht="12.75" hidden="1" customHeight="1" outlineLevel="1" x14ac:dyDescent="0.25">
      <c r="A14101" s="2380">
        <v>0.04</v>
      </c>
      <c r="B14101" s="1921" t="s">
        <v>1724</v>
      </c>
      <c r="C14101" s="2179">
        <v>189.30000016516425</v>
      </c>
      <c r="D14101" s="3280">
        <v>177.3</v>
      </c>
      <c r="E14101" s="3281">
        <v>-6.3391442972499989E-2</v>
      </c>
      <c r="F14101" s="3282">
        <v>-2.5356577188999996E-3</v>
      </c>
      <c r="G14101" s="78"/>
      <c r="H14101" t="s">
        <v>1725</v>
      </c>
      <c r="K14101" s="434"/>
    </row>
    <row r="14102" spans="1:11" ht="12.75" hidden="1" customHeight="1" outlineLevel="1" x14ac:dyDescent="0.25">
      <c r="A14102" s="2380">
        <v>0.08</v>
      </c>
      <c r="B14102" s="1921" t="s">
        <v>6118</v>
      </c>
      <c r="C14102" s="2179">
        <v>81.191511328842878</v>
      </c>
      <c r="D14102" s="3280">
        <v>80.14</v>
      </c>
      <c r="E14102" s="3281">
        <v>-1.2951000808249957E-2</v>
      </c>
      <c r="F14102" s="3282">
        <v>-1.0360800646599965E-3</v>
      </c>
      <c r="G14102" s="78"/>
      <c r="H14102" t="s">
        <v>8893</v>
      </c>
      <c r="K14102" s="434"/>
    </row>
    <row r="14103" spans="1:11" ht="12.75" hidden="1" customHeight="1" outlineLevel="1" x14ac:dyDescent="0.25">
      <c r="A14103" s="2380">
        <v>0.05</v>
      </c>
      <c r="B14103" s="1921" t="s">
        <v>1239</v>
      </c>
      <c r="C14103" s="2179">
        <v>517.24999776547997</v>
      </c>
      <c r="D14103" s="3280">
        <v>537.4</v>
      </c>
      <c r="E14103" s="3281">
        <v>3.895602188800007E-2</v>
      </c>
      <c r="F14103" s="3282">
        <v>1.9478010944000035E-3</v>
      </c>
      <c r="G14103" s="78"/>
      <c r="H14103" t="s">
        <v>8891</v>
      </c>
      <c r="K14103" s="434"/>
    </row>
    <row r="14104" spans="1:11" ht="12.75" hidden="1" customHeight="1" outlineLevel="1" x14ac:dyDescent="0.25">
      <c r="A14104" s="2380">
        <v>0.05</v>
      </c>
      <c r="B14104" s="1921" t="s">
        <v>577</v>
      </c>
      <c r="C14104" s="2179">
        <v>11.51409111523051</v>
      </c>
      <c r="D14104" s="3280">
        <v>4.0469999999999997</v>
      </c>
      <c r="E14104" s="3281">
        <v>-0.64851763291618014</v>
      </c>
      <c r="F14104" s="3282">
        <v>-3.2425881645809007E-2</v>
      </c>
      <c r="G14104" s="78"/>
      <c r="H14104" t="s">
        <v>6732</v>
      </c>
      <c r="K14104" s="434"/>
    </row>
    <row r="14105" spans="1:11" ht="12.75" hidden="1" customHeight="1" outlineLevel="1" x14ac:dyDescent="0.25">
      <c r="A14105" s="2380">
        <v>0.05</v>
      </c>
      <c r="B14105" s="1921" t="s">
        <v>6165</v>
      </c>
      <c r="C14105" s="2179">
        <v>50.613999999999997</v>
      </c>
      <c r="D14105" s="3280">
        <v>36.125</v>
      </c>
      <c r="E14105" s="3281">
        <v>-0.28626466985419052</v>
      </c>
      <c r="F14105" s="3282">
        <v>-1.4313233492709528E-2</v>
      </c>
      <c r="G14105" s="78"/>
      <c r="H14105" t="s">
        <v>7745</v>
      </c>
      <c r="K14105" s="434"/>
    </row>
    <row r="14106" spans="1:11" ht="12.75" hidden="1" customHeight="1" outlineLevel="1" x14ac:dyDescent="0.25">
      <c r="A14106" s="2380">
        <v>0.08</v>
      </c>
      <c r="B14106" s="2109" t="s">
        <v>4550</v>
      </c>
      <c r="C14106" s="2179">
        <v>314.24</v>
      </c>
      <c r="D14106" s="3283">
        <v>383.6</v>
      </c>
      <c r="E14106" s="3281">
        <v>0.22072301425661922</v>
      </c>
      <c r="F14106" s="3282">
        <v>1.7657841140529536E-2</v>
      </c>
      <c r="G14106" s="78"/>
      <c r="H14106" t="s">
        <v>8889</v>
      </c>
      <c r="K14106" s="434"/>
    </row>
    <row r="14107" spans="1:11" ht="12.75" hidden="1" customHeight="1" outlineLevel="1" x14ac:dyDescent="0.25">
      <c r="A14107" s="2181" t="s">
        <v>2734</v>
      </c>
      <c r="B14107" s="2103"/>
      <c r="C14107" s="3258"/>
      <c r="D14107" s="3259"/>
      <c r="E14107" s="3284"/>
      <c r="F14107" s="3277">
        <v>-7.8316329229207032E-2</v>
      </c>
      <c r="G14107" s="78"/>
    </row>
    <row r="14108" spans="1:11" ht="12.75" hidden="1" customHeight="1" outlineLevel="1" x14ac:dyDescent="0.25">
      <c r="A14108" s="1956" t="s">
        <v>6843</v>
      </c>
      <c r="B14108" s="2310">
        <v>43922</v>
      </c>
      <c r="C14108" s="3261">
        <v>100</v>
      </c>
      <c r="D14108" s="3261">
        <v>79.642099999999999</v>
      </c>
      <c r="E14108" s="3262">
        <v>-0.20357899999999995</v>
      </c>
      <c r="F14108" s="3285"/>
      <c r="G14108" s="78"/>
    </row>
    <row r="14109" spans="1:11" ht="12.75" hidden="1" customHeight="1" outlineLevel="1" x14ac:dyDescent="0.25">
      <c r="A14109" s="1956" t="s">
        <v>6844</v>
      </c>
      <c r="B14109" s="2310">
        <v>43952</v>
      </c>
      <c r="C14109" s="3261">
        <v>100</v>
      </c>
      <c r="D14109" s="3264">
        <v>79.525599999999997</v>
      </c>
      <c r="E14109" s="3262">
        <v>-0.20474400000000004</v>
      </c>
      <c r="F14109" s="3285"/>
      <c r="G14109" s="78"/>
    </row>
    <row r="14110" spans="1:11" ht="12.75" hidden="1" customHeight="1" outlineLevel="1" x14ac:dyDescent="0.25">
      <c r="A14110" s="1956" t="s">
        <v>6845</v>
      </c>
      <c r="B14110" s="2310">
        <v>43983</v>
      </c>
      <c r="C14110" s="3261">
        <v>100</v>
      </c>
      <c r="D14110" s="3264">
        <v>83.968599999999995</v>
      </c>
      <c r="E14110" s="3262">
        <v>-0.16031400000000007</v>
      </c>
      <c r="F14110" s="3285"/>
      <c r="G14110" s="78"/>
    </row>
    <row r="14111" spans="1:11" ht="12.75" hidden="1" customHeight="1" outlineLevel="1" x14ac:dyDescent="0.25">
      <c r="A14111" s="1956" t="s">
        <v>6846</v>
      </c>
      <c r="B14111" s="2310">
        <v>44013</v>
      </c>
      <c r="C14111" s="3261">
        <v>100</v>
      </c>
      <c r="D14111" s="3264">
        <v>83.612399999999994</v>
      </c>
      <c r="E14111" s="3262">
        <v>-0.16387600000000002</v>
      </c>
      <c r="F14111" s="3285"/>
      <c r="G14111" s="78"/>
    </row>
    <row r="14112" spans="1:11" ht="12.75" hidden="1" customHeight="1" outlineLevel="1" x14ac:dyDescent="0.25">
      <c r="A14112" s="1956" t="s">
        <v>6847</v>
      </c>
      <c r="B14112" s="2310">
        <v>44044</v>
      </c>
      <c r="C14112" s="3261">
        <v>100</v>
      </c>
      <c r="D14112" s="3264">
        <v>84.555400000000006</v>
      </c>
      <c r="E14112" s="3262">
        <v>-0.15444599999999997</v>
      </c>
      <c r="F14112" s="3285"/>
      <c r="G14112" s="78"/>
    </row>
    <row r="14113" spans="1:10" ht="12.75" hidden="1" customHeight="1" outlineLevel="1" x14ac:dyDescent="0.25">
      <c r="A14113" s="1956" t="s">
        <v>6848</v>
      </c>
      <c r="B14113" s="2310">
        <v>44075</v>
      </c>
      <c r="C14113" s="3261">
        <v>100</v>
      </c>
      <c r="D14113" s="3264">
        <v>81.128100000000003</v>
      </c>
      <c r="E14113" s="3262">
        <v>-0.18871899999999997</v>
      </c>
      <c r="F14113" s="3285"/>
      <c r="G14113" s="78"/>
    </row>
    <row r="14114" spans="1:10" ht="12.75" hidden="1" customHeight="1" outlineLevel="1" x14ac:dyDescent="0.25">
      <c r="A14114" s="1956" t="s">
        <v>6849</v>
      </c>
      <c r="B14114" s="2310">
        <v>44105</v>
      </c>
      <c r="C14114" s="3261">
        <v>100</v>
      </c>
      <c r="D14114" s="3264">
        <v>77.365200000000002</v>
      </c>
      <c r="E14114" s="3262">
        <v>-0.22634799999999999</v>
      </c>
      <c r="F14114" s="3285"/>
      <c r="G14114" s="78"/>
    </row>
    <row r="14115" spans="1:10" ht="12.75" hidden="1" customHeight="1" outlineLevel="1" x14ac:dyDescent="0.25">
      <c r="A14115" s="1956" t="s">
        <v>6850</v>
      </c>
      <c r="B14115" s="2310">
        <v>44136</v>
      </c>
      <c r="C14115" s="3261">
        <v>100</v>
      </c>
      <c r="D14115" s="3264">
        <v>88.948300000000003</v>
      </c>
      <c r="E14115" s="3262">
        <v>-0.11051699999999998</v>
      </c>
      <c r="F14115" s="3285"/>
      <c r="G14115" s="78"/>
    </row>
    <row r="14116" spans="1:10" ht="12.75" hidden="1" customHeight="1" outlineLevel="1" x14ac:dyDescent="0.25">
      <c r="A14116" s="1956" t="s">
        <v>6851</v>
      </c>
      <c r="B14116" s="2310">
        <v>44166</v>
      </c>
      <c r="C14116" s="3261">
        <v>100</v>
      </c>
      <c r="D14116" s="3264">
        <v>87.728899999999996</v>
      </c>
      <c r="E14116" s="3262">
        <v>-0.12271100000000001</v>
      </c>
      <c r="F14116" s="3285"/>
      <c r="G14116" s="78"/>
    </row>
    <row r="14117" spans="1:10" ht="12.75" hidden="1" customHeight="1" outlineLevel="1" x14ac:dyDescent="0.25">
      <c r="A14117" s="1956" t="s">
        <v>6852</v>
      </c>
      <c r="B14117" s="2310">
        <v>44197</v>
      </c>
      <c r="C14117" s="3261">
        <v>100</v>
      </c>
      <c r="D14117" s="3264">
        <v>85.582700000000003</v>
      </c>
      <c r="E14117" s="3262">
        <v>-0.144173</v>
      </c>
      <c r="F14117" s="3285"/>
      <c r="G14117" s="78"/>
    </row>
    <row r="14118" spans="1:10" ht="12.75" hidden="1" customHeight="1" outlineLevel="1" x14ac:dyDescent="0.25">
      <c r="A14118" s="1956" t="s">
        <v>6853</v>
      </c>
      <c r="B14118" s="2310">
        <v>44228</v>
      </c>
      <c r="C14118" s="3261">
        <v>100</v>
      </c>
      <c r="D14118" s="3264">
        <v>87.514899999999997</v>
      </c>
      <c r="E14118" s="3262">
        <v>-0.12485100000000005</v>
      </c>
      <c r="F14118" s="3285"/>
      <c r="G14118" s="78"/>
    </row>
    <row r="14119" spans="1:10" ht="12.75" hidden="1" customHeight="1" outlineLevel="1" x14ac:dyDescent="0.25">
      <c r="A14119" s="1956" t="s">
        <v>6854</v>
      </c>
      <c r="B14119" s="2310">
        <v>44256</v>
      </c>
      <c r="C14119" s="3261">
        <v>100</v>
      </c>
      <c r="D14119" s="3264">
        <v>93.754599999999996</v>
      </c>
      <c r="E14119" s="3262">
        <v>-6.245400000000001E-2</v>
      </c>
      <c r="F14119" s="3285"/>
      <c r="G14119" s="78"/>
    </row>
    <row r="14120" spans="1:10" ht="12.75" hidden="1" customHeight="1" outlineLevel="1" x14ac:dyDescent="0.25">
      <c r="A14120" s="1956" t="s">
        <v>6855</v>
      </c>
      <c r="B14120" s="2310">
        <v>44287</v>
      </c>
      <c r="C14120" s="3261">
        <v>100</v>
      </c>
      <c r="D14120" s="3264">
        <v>90.833600000000004</v>
      </c>
      <c r="E14120" s="3262">
        <v>-9.1663999999999968E-2</v>
      </c>
      <c r="F14120" s="3285"/>
      <c r="G14120" s="78"/>
    </row>
    <row r="14121" spans="1:10" ht="12.75" hidden="1" customHeight="1" outlineLevel="1" x14ac:dyDescent="0.25">
      <c r="A14121" s="1956" t="s">
        <v>6856</v>
      </c>
      <c r="B14121" s="2310">
        <v>44317</v>
      </c>
      <c r="C14121" s="3261">
        <v>100</v>
      </c>
      <c r="D14121" s="3264">
        <v>91.944999999999993</v>
      </c>
      <c r="E14121" s="3262">
        <v>-8.0550000000000122E-2</v>
      </c>
      <c r="F14121" s="3285"/>
      <c r="G14121" s="78"/>
    </row>
    <row r="14122" spans="1:10" ht="12.75" hidden="1" customHeight="1" outlineLevel="1" x14ac:dyDescent="0.25">
      <c r="A14122" s="1956" t="s">
        <v>6857</v>
      </c>
      <c r="B14122" s="2310">
        <v>44348</v>
      </c>
      <c r="C14122" s="3261">
        <v>100</v>
      </c>
      <c r="D14122" s="3264">
        <v>91.533799999999999</v>
      </c>
      <c r="E14122" s="3262">
        <v>-8.4662000000000015E-2</v>
      </c>
      <c r="F14122" s="3285"/>
      <c r="G14122" s="78"/>
    </row>
    <row r="14123" spans="1:10" ht="12.75" hidden="1" customHeight="1" outlineLevel="1" x14ac:dyDescent="0.25">
      <c r="A14123" s="1956" t="s">
        <v>6858</v>
      </c>
      <c r="B14123" s="2310">
        <v>44378</v>
      </c>
      <c r="C14123" s="3261">
        <v>100</v>
      </c>
      <c r="D14123" s="3264">
        <v>91.805800000000005</v>
      </c>
      <c r="E14123" s="3262">
        <v>-8.1941999999999959E-2</v>
      </c>
      <c r="F14123" s="3285"/>
      <c r="G14123" s="78"/>
      <c r="J14123" s="31"/>
    </row>
    <row r="14124" spans="1:10" ht="12.75" hidden="1" customHeight="1" outlineLevel="1" x14ac:dyDescent="0.25">
      <c r="A14124" s="1956" t="s">
        <v>6859</v>
      </c>
      <c r="B14124" s="2310">
        <v>44409</v>
      </c>
      <c r="C14124" s="3261">
        <v>100</v>
      </c>
      <c r="D14124" s="3264">
        <v>94.7393</v>
      </c>
      <c r="E14124" s="3262">
        <v>-5.2606999999999959E-2</v>
      </c>
      <c r="F14124" s="3285"/>
      <c r="G14124" s="78"/>
    </row>
    <row r="14125" spans="1:10" ht="12.75" hidden="1" customHeight="1" outlineLevel="1" x14ac:dyDescent="0.25">
      <c r="A14125" s="1956" t="s">
        <v>6860</v>
      </c>
      <c r="B14125" s="2310">
        <v>44440</v>
      </c>
      <c r="C14125" s="3261">
        <v>100</v>
      </c>
      <c r="D14125" s="3264">
        <v>92.224800000000002</v>
      </c>
      <c r="E14125" s="3262">
        <v>-7.7751999999999932E-2</v>
      </c>
      <c r="F14125" s="3285"/>
      <c r="G14125" s="78"/>
    </row>
    <row r="14126" spans="1:10" ht="12.75" hidden="1" customHeight="1" outlineLevel="1" x14ac:dyDescent="0.25">
      <c r="A14126" s="2189" t="s">
        <v>2734</v>
      </c>
      <c r="B14126" s="2190"/>
      <c r="C14126" s="3264"/>
      <c r="D14126" s="2191" t="s">
        <v>2465</v>
      </c>
      <c r="E14126" s="1987">
        <v>-0.12977272222222219</v>
      </c>
      <c r="F14126" s="2192">
        <v>-0.12977272222222219</v>
      </c>
      <c r="G14126" s="78"/>
    </row>
    <row r="14127" spans="1:10" collapsed="1" x14ac:dyDescent="0.25">
      <c r="A14127" s="3801" t="s">
        <v>6842</v>
      </c>
      <c r="B14127" s="3802"/>
      <c r="C14127" s="3802"/>
      <c r="D14127" s="3802"/>
      <c r="E14127" s="1906"/>
      <c r="F14127" s="1907">
        <v>-0.1</v>
      </c>
      <c r="G14127" s="78"/>
    </row>
    <row r="14129" spans="1:54" hidden="1" outlineLevel="1" x14ac:dyDescent="0.25">
      <c r="A14129" s="3237" t="s">
        <v>113</v>
      </c>
      <c r="B14129" s="3237" t="s">
        <v>114</v>
      </c>
      <c r="C14129" s="3248" t="s">
        <v>112</v>
      </c>
      <c r="D14129" s="3248" t="s">
        <v>4155</v>
      </c>
      <c r="E14129" s="3248" t="s">
        <v>116</v>
      </c>
      <c r="F14129" s="3276" t="s">
        <v>121</v>
      </c>
      <c r="G14129" s="78"/>
      <c r="H14129" s="361" t="s">
        <v>631</v>
      </c>
      <c r="I14129" s="1462">
        <v>43678</v>
      </c>
      <c r="J14129" s="1462">
        <v>43709</v>
      </c>
      <c r="K14129" s="1462">
        <v>43739</v>
      </c>
      <c r="L14129" s="1462">
        <v>43770</v>
      </c>
      <c r="M14129" s="1462">
        <v>43800</v>
      </c>
      <c r="N14129" s="1462">
        <v>43831</v>
      </c>
      <c r="O14129" s="1462">
        <v>43862</v>
      </c>
      <c r="P14129" s="1462">
        <v>43891</v>
      </c>
      <c r="Q14129" s="1462">
        <v>43922</v>
      </c>
      <c r="R14129" s="1462">
        <v>43952</v>
      </c>
      <c r="S14129" s="1462">
        <v>43983</v>
      </c>
      <c r="T14129" s="1462">
        <v>44013</v>
      </c>
      <c r="U14129" s="1462">
        <v>44044</v>
      </c>
      <c r="V14129" s="1462">
        <v>44075</v>
      </c>
      <c r="W14129" s="1462">
        <v>44105</v>
      </c>
      <c r="X14129" s="1462">
        <v>44136</v>
      </c>
      <c r="Y14129" s="1462">
        <v>44166</v>
      </c>
      <c r="Z14129" s="1462">
        <v>44197</v>
      </c>
      <c r="AA14129" s="1462"/>
      <c r="AB14129" s="1462"/>
      <c r="AC14129" s="1462"/>
      <c r="AD14129" s="1462"/>
      <c r="AE14129" s="1462"/>
      <c r="AF14129" s="1462"/>
      <c r="AG14129" s="1462"/>
      <c r="AH14129" s="1462"/>
      <c r="AI14129" s="1462"/>
      <c r="AJ14129" s="1462"/>
      <c r="AK14129" s="1462"/>
      <c r="AL14129" s="1462"/>
      <c r="AM14129" s="1462"/>
      <c r="AN14129" s="1462"/>
      <c r="AO14129" s="1462"/>
      <c r="AP14129" s="1462"/>
      <c r="AQ14129" s="1462"/>
      <c r="AR14129" s="1462"/>
      <c r="AS14129" s="1462"/>
      <c r="AT14129" s="1462"/>
      <c r="AU14129" s="1462"/>
      <c r="AV14129" s="1462"/>
      <c r="AW14129" s="1462"/>
      <c r="AX14129" s="1462"/>
      <c r="AY14129" s="1462"/>
      <c r="AZ14129" s="1462"/>
      <c r="BA14129" s="1462"/>
      <c r="BB14129" s="1462"/>
    </row>
    <row r="14130" spans="1:54" hidden="1" outlineLevel="1" x14ac:dyDescent="0.25">
      <c r="A14130" s="1810" t="s">
        <v>1327</v>
      </c>
      <c r="B14130" s="3287" t="s">
        <v>2153</v>
      </c>
      <c r="C14130" s="3808">
        <v>3790.8980000000001</v>
      </c>
      <c r="D14130" s="3808">
        <v>3342.5772222222222</v>
      </c>
      <c r="E14130" s="3288">
        <v>2917.3679999999999</v>
      </c>
      <c r="F14130" s="3289">
        <v>-0.23042825209224838</v>
      </c>
      <c r="G14130" s="177">
        <f>indexy!B3/C14130-1</f>
        <v>0.34095404307897503</v>
      </c>
      <c r="H14130">
        <f>AVERAGE(I14130:Z14130)</f>
        <v>3342.5772222222222</v>
      </c>
      <c r="I14130">
        <v>3426.76</v>
      </c>
      <c r="J14130">
        <v>3569.45</v>
      </c>
      <c r="K14130" s="2432">
        <v>3604.41</v>
      </c>
      <c r="L14130" s="2432">
        <v>3703.58</v>
      </c>
      <c r="M14130" s="2432">
        <v>3748.47</v>
      </c>
      <c r="N14130" s="2432">
        <v>3640.91</v>
      </c>
      <c r="O14130" s="415">
        <v>3329.49</v>
      </c>
      <c r="P14130" s="415">
        <v>2786.9</v>
      </c>
      <c r="Q14130" s="415">
        <v>2927.93</v>
      </c>
      <c r="R14130" s="415">
        <v>3050.2</v>
      </c>
      <c r="S14130" s="415">
        <v>3234.07</v>
      </c>
      <c r="T14130" s="415">
        <v>3174.32</v>
      </c>
      <c r="U14130" s="415">
        <v>3272.51</v>
      </c>
      <c r="V14130" s="1639">
        <v>3193.61</v>
      </c>
      <c r="W14130" s="1639">
        <v>2958.21</v>
      </c>
      <c r="X14130" s="1639">
        <v>3492.54</v>
      </c>
      <c r="Y14130" s="2432">
        <v>3571.59</v>
      </c>
      <c r="Z14130" s="415">
        <v>3481.44</v>
      </c>
    </row>
    <row r="14131" spans="1:54" hidden="1" outlineLevel="1" x14ac:dyDescent="0.25">
      <c r="A14131" s="2197" t="s">
        <v>6006</v>
      </c>
      <c r="B14131" s="3290" t="s">
        <v>2153</v>
      </c>
      <c r="C14131" s="3810"/>
      <c r="D14131" s="3810"/>
      <c r="E14131" s="3291"/>
      <c r="F14131" s="3289">
        <v>-0.11826242166836931</v>
      </c>
      <c r="G14131" s="78"/>
    </row>
    <row r="14132" spans="1:54" hidden="1" outlineLevel="1" x14ac:dyDescent="0.25">
      <c r="A14132" s="2197" t="s">
        <v>2734</v>
      </c>
      <c r="B14132" s="3292"/>
      <c r="C14132" s="1817"/>
      <c r="D14132" s="1817"/>
      <c r="E14132" s="3293"/>
      <c r="F14132" s="3289"/>
      <c r="G14132" s="78"/>
    </row>
    <row r="14133" spans="1:54" collapsed="1" x14ac:dyDescent="0.25">
      <c r="A14133" s="3801" t="s">
        <v>6874</v>
      </c>
      <c r="B14133" s="3802"/>
      <c r="C14133" s="3802"/>
      <c r="D14133" s="3802"/>
      <c r="E14133" s="3294"/>
      <c r="F14133" s="1890">
        <v>-1.8262421668369305E-2</v>
      </c>
      <c r="G14133" s="78"/>
    </row>
    <row r="14135" spans="1:54" ht="12.75" hidden="1" customHeight="1" outlineLevel="1" x14ac:dyDescent="0.25">
      <c r="A14135" s="3237" t="s">
        <v>113</v>
      </c>
      <c r="B14135" s="3237" t="s">
        <v>114</v>
      </c>
      <c r="C14135" s="3237" t="s">
        <v>112</v>
      </c>
      <c r="D14135" s="3237" t="s">
        <v>116</v>
      </c>
      <c r="E14135" s="3237" t="s">
        <v>117</v>
      </c>
      <c r="F14135" s="3276" t="s">
        <v>121</v>
      </c>
      <c r="G14135" s="78"/>
    </row>
    <row r="14136" spans="1:54" ht="12.75" hidden="1" customHeight="1" outlineLevel="1" x14ac:dyDescent="0.25">
      <c r="A14136" s="3238">
        <v>1</v>
      </c>
      <c r="B14136" s="3239" t="s">
        <v>252</v>
      </c>
      <c r="C14136" s="3240">
        <v>100</v>
      </c>
      <c r="D14136" s="3240"/>
      <c r="E14136" s="3241"/>
      <c r="F14136" s="3242"/>
      <c r="G14136" s="78"/>
    </row>
    <row r="14137" spans="1:54" ht="12.75" hidden="1" customHeight="1" outlineLevel="1" x14ac:dyDescent="0.25">
      <c r="A14137" s="3243" t="s">
        <v>2734</v>
      </c>
      <c r="B14137" s="3243"/>
      <c r="C14137" s="3244"/>
      <c r="D14137" s="1900" t="s">
        <v>3702</v>
      </c>
      <c r="E14137" s="3245">
        <v>44225</v>
      </c>
      <c r="F14137" s="3246"/>
      <c r="G14137" s="78"/>
    </row>
    <row r="14138" spans="1:54" ht="12.75" hidden="1" customHeight="1" outlineLevel="1" x14ac:dyDescent="0.25">
      <c r="A14138" s="3237" t="s">
        <v>4156</v>
      </c>
      <c r="B14138" s="3237" t="s">
        <v>4153</v>
      </c>
      <c r="C14138" s="3247" t="s">
        <v>112</v>
      </c>
      <c r="D14138" s="3248" t="s">
        <v>4155</v>
      </c>
      <c r="E14138" s="3237" t="s">
        <v>4154</v>
      </c>
      <c r="F14138" s="3277" t="s">
        <v>2519</v>
      </c>
      <c r="G14138" s="78"/>
    </row>
    <row r="14139" spans="1:54" ht="12.75" hidden="1" customHeight="1" outlineLevel="1" x14ac:dyDescent="0.25">
      <c r="A14139" s="1991">
        <v>0.05</v>
      </c>
      <c r="B14139" s="1921" t="s">
        <v>359</v>
      </c>
      <c r="C14139" s="2108">
        <v>149.215</v>
      </c>
      <c r="D14139" s="3278">
        <v>186.52</v>
      </c>
      <c r="E14139" s="3279">
        <v>0.25000837717387658</v>
      </c>
      <c r="F14139" s="3277">
        <v>1.2500418858693831E-2</v>
      </c>
      <c r="G14139" s="78"/>
      <c r="H14139" t="s">
        <v>360</v>
      </c>
      <c r="K14139" s="434"/>
    </row>
    <row r="14140" spans="1:54" ht="12.75" hidden="1" customHeight="1" outlineLevel="1" x14ac:dyDescent="0.25">
      <c r="A14140" s="2380">
        <v>0.02</v>
      </c>
      <c r="B14140" s="1921" t="s">
        <v>1993</v>
      </c>
      <c r="C14140" s="2108">
        <v>51.731000000000002</v>
      </c>
      <c r="D14140" s="3280">
        <v>41.08</v>
      </c>
      <c r="E14140" s="3281">
        <v>-0.20589201832556892</v>
      </c>
      <c r="F14140" s="3282">
        <v>-4.1178403665113788E-3</v>
      </c>
      <c r="G14140" s="78"/>
      <c r="H14140" t="s">
        <v>2812</v>
      </c>
      <c r="K14140" s="434"/>
    </row>
    <row r="14141" spans="1:54" ht="12.75" hidden="1" customHeight="1" outlineLevel="1" x14ac:dyDescent="0.25">
      <c r="A14141" s="2380">
        <v>0.08</v>
      </c>
      <c r="B14141" s="1921" t="s">
        <v>3998</v>
      </c>
      <c r="C14141" s="2108">
        <v>34.314999999999998</v>
      </c>
      <c r="D14141" s="3280">
        <v>28.63</v>
      </c>
      <c r="E14141" s="3281">
        <v>-0.1656709893632522</v>
      </c>
      <c r="F14141" s="3282">
        <v>-1.3253679149060177E-2</v>
      </c>
      <c r="G14141" s="78"/>
      <c r="H14141" t="s">
        <v>4000</v>
      </c>
      <c r="K14141" s="434"/>
    </row>
    <row r="14142" spans="1:54" ht="12.75" hidden="1" customHeight="1" outlineLevel="1" x14ac:dyDescent="0.25">
      <c r="A14142" s="2380">
        <v>0.02</v>
      </c>
      <c r="B14142" s="1921" t="s">
        <v>218</v>
      </c>
      <c r="C14142" s="2108">
        <v>23.070499999999999</v>
      </c>
      <c r="D14142" s="3280">
        <v>18.3</v>
      </c>
      <c r="E14142" s="3281">
        <v>-0.20677922021629347</v>
      </c>
      <c r="F14142" s="3282">
        <v>-4.1355844043258691E-3</v>
      </c>
      <c r="G14142" s="78"/>
      <c r="H14142" t="s">
        <v>656</v>
      </c>
      <c r="K14142" s="434"/>
    </row>
    <row r="14143" spans="1:54" ht="12.75" hidden="1" customHeight="1" outlineLevel="1" x14ac:dyDescent="0.25">
      <c r="A14143" s="2380">
        <v>0.05</v>
      </c>
      <c r="B14143" s="1921" t="s">
        <v>7142</v>
      </c>
      <c r="C14143" s="2108">
        <v>32.578499999999998</v>
      </c>
      <c r="D14143" s="3280">
        <v>17.38</v>
      </c>
      <c r="E14143" s="3281">
        <v>-0.46651933023312919</v>
      </c>
      <c r="F14143" s="3282">
        <v>-2.332596651165646E-2</v>
      </c>
      <c r="G14143" s="78"/>
      <c r="H14143" t="s">
        <v>7143</v>
      </c>
      <c r="K14143" s="434"/>
    </row>
    <row r="14144" spans="1:54" ht="12.75" hidden="1" customHeight="1" outlineLevel="1" x14ac:dyDescent="0.25">
      <c r="A14144" s="2380">
        <v>0.02</v>
      </c>
      <c r="B14144" s="1921" t="s">
        <v>4332</v>
      </c>
      <c r="C14144" s="2108">
        <v>280.37</v>
      </c>
      <c r="D14144" s="3280">
        <v>51.78</v>
      </c>
      <c r="E14144" s="3281">
        <v>-0.81531547597817167</v>
      </c>
      <c r="F14144" s="3282">
        <v>-1.6306309519563432E-2</v>
      </c>
      <c r="G14144" s="78"/>
      <c r="H14144" t="s">
        <v>4334</v>
      </c>
      <c r="K14144" s="434"/>
    </row>
    <row r="14145" spans="1:11" ht="12.75" hidden="1" customHeight="1" outlineLevel="1" x14ac:dyDescent="0.25">
      <c r="A14145" s="2380">
        <v>0.02</v>
      </c>
      <c r="B14145" s="1921" t="s">
        <v>5246</v>
      </c>
      <c r="C14145" s="2108">
        <v>34.350999999999999</v>
      </c>
      <c r="D14145" s="3280">
        <v>12.38</v>
      </c>
      <c r="E14145" s="3281">
        <v>-0.6396029227678961</v>
      </c>
      <c r="F14145" s="3282">
        <v>-1.2792058455357922E-2</v>
      </c>
      <c r="G14145" s="78"/>
      <c r="H14145" t="s">
        <v>10493</v>
      </c>
      <c r="K14145" s="434"/>
    </row>
    <row r="14146" spans="1:11" ht="12.75" hidden="1" customHeight="1" outlineLevel="1" x14ac:dyDescent="0.25">
      <c r="A14146" s="2380">
        <v>0.02</v>
      </c>
      <c r="B14146" s="1921" t="s">
        <v>6821</v>
      </c>
      <c r="C14146" s="2108">
        <v>289.9144711490153</v>
      </c>
      <c r="D14146" s="3280">
        <v>299.89999999999998</v>
      </c>
      <c r="E14146" s="3281">
        <v>3.4443016284799954E-2</v>
      </c>
      <c r="F14146" s="3282">
        <v>6.8886032569599905E-4</v>
      </c>
      <c r="G14146" s="78"/>
      <c r="H14146" t="s">
        <v>6822</v>
      </c>
      <c r="K14146" s="434"/>
    </row>
    <row r="14147" spans="1:11" ht="12.75" hidden="1" customHeight="1" outlineLevel="1" x14ac:dyDescent="0.25">
      <c r="A14147" s="2380">
        <v>0.04</v>
      </c>
      <c r="B14147" s="1921" t="s">
        <v>496</v>
      </c>
      <c r="C14147" s="2108">
        <v>21.090091088335402</v>
      </c>
      <c r="D14147" s="3280">
        <v>10.28</v>
      </c>
      <c r="E14147" s="3281">
        <v>-0.51256730201200007</v>
      </c>
      <c r="F14147" s="3282">
        <v>-2.0502692080480004E-2</v>
      </c>
      <c r="G14147" s="78"/>
      <c r="H14147" t="s">
        <v>497</v>
      </c>
      <c r="K14147" s="434"/>
    </row>
    <row r="14148" spans="1:11" ht="12.75" hidden="1" customHeight="1" outlineLevel="1" x14ac:dyDescent="0.25">
      <c r="A14148" s="2380">
        <v>0.02</v>
      </c>
      <c r="B14148" s="1921" t="s">
        <v>4268</v>
      </c>
      <c r="C14148" s="2108">
        <v>17.869000007597005</v>
      </c>
      <c r="D14148" s="3280">
        <v>19.984999999999999</v>
      </c>
      <c r="E14148" s="3281">
        <v>0.11841737039025002</v>
      </c>
      <c r="F14148" s="3282">
        <v>2.3683474078050005E-3</v>
      </c>
      <c r="G14148" s="78"/>
      <c r="H14148" t="s">
        <v>8442</v>
      </c>
      <c r="K14148" s="434"/>
    </row>
    <row r="14149" spans="1:11" ht="12.75" hidden="1" customHeight="1" outlineLevel="1" x14ac:dyDescent="0.25">
      <c r="A14149" s="2380">
        <v>0.02</v>
      </c>
      <c r="B14149" s="1921" t="s">
        <v>3799</v>
      </c>
      <c r="C14149" s="2108">
        <v>1425.30183401362</v>
      </c>
      <c r="D14149" s="3280">
        <v>1357</v>
      </c>
      <c r="E14149" s="3281">
        <v>-4.7920961289499964E-2</v>
      </c>
      <c r="F14149" s="3282">
        <v>-9.5841922578999929E-4</v>
      </c>
      <c r="G14149" s="78"/>
      <c r="H14149" t="s">
        <v>4128</v>
      </c>
      <c r="K14149" s="434"/>
    </row>
    <row r="14150" spans="1:11" ht="12.75" hidden="1" customHeight="1" outlineLevel="1" x14ac:dyDescent="0.25">
      <c r="A14150" s="2380">
        <v>0.08</v>
      </c>
      <c r="B14150" s="1921" t="s">
        <v>6163</v>
      </c>
      <c r="C14150" s="2108">
        <v>71.239000000000004</v>
      </c>
      <c r="D14150" s="3280">
        <v>60.6</v>
      </c>
      <c r="E14150" s="3281">
        <v>-0.1493423546091327</v>
      </c>
      <c r="F14150" s="3282">
        <v>-1.1947388368730617E-2</v>
      </c>
      <c r="G14150" s="78"/>
      <c r="H14150" t="s">
        <v>9170</v>
      </c>
      <c r="K14150" s="434"/>
    </row>
    <row r="14151" spans="1:11" ht="12.75" hidden="1" customHeight="1" outlineLevel="1" x14ac:dyDescent="0.25">
      <c r="A14151" s="2380">
        <v>0.02</v>
      </c>
      <c r="B14151" s="1921" t="s">
        <v>1031</v>
      </c>
      <c r="C14151" s="2519">
        <v>6.2602000000000002</v>
      </c>
      <c r="D14151" s="3280">
        <v>11.185</v>
      </c>
      <c r="E14151" s="3281">
        <v>0.78668413149739624</v>
      </c>
      <c r="F14151" s="3282">
        <v>1.5733682629947926E-2</v>
      </c>
      <c r="G14151" s="78"/>
      <c r="H14151" t="s">
        <v>7872</v>
      </c>
      <c r="K14151" s="434"/>
    </row>
    <row r="14152" spans="1:11" ht="12.75" hidden="1" customHeight="1" outlineLevel="1" x14ac:dyDescent="0.25">
      <c r="A14152" s="2380">
        <v>0.02</v>
      </c>
      <c r="B14152" s="1921" t="s">
        <v>1343</v>
      </c>
      <c r="C14152" s="2108">
        <v>3243.7</v>
      </c>
      <c r="D14152" s="3280">
        <v>1470</v>
      </c>
      <c r="E14152" s="3281">
        <v>-0.54681382371982612</v>
      </c>
      <c r="F14152" s="3282">
        <v>-1.0936276474396522E-2</v>
      </c>
      <c r="G14152" s="78"/>
      <c r="H14152" t="s">
        <v>7747</v>
      </c>
      <c r="K14152" s="434"/>
    </row>
    <row r="14153" spans="1:11" ht="12.75" hidden="1" customHeight="1" outlineLevel="1" x14ac:dyDescent="0.25">
      <c r="A14153" s="2380">
        <v>0.02</v>
      </c>
      <c r="B14153" s="1921" t="s">
        <v>6897</v>
      </c>
      <c r="C14153" s="2108">
        <v>51.582999999999998</v>
      </c>
      <c r="D14153" s="3280">
        <v>48.09</v>
      </c>
      <c r="E14153" s="3281">
        <v>-6.7716108020083987E-2</v>
      </c>
      <c r="F14153" s="3282">
        <v>-1.3543221604016798E-3</v>
      </c>
      <c r="G14153" s="78"/>
      <c r="H14153" t="s">
        <v>6898</v>
      </c>
      <c r="K14153" s="434"/>
    </row>
    <row r="14154" spans="1:11" ht="12.75" hidden="1" customHeight="1" outlineLevel="1" x14ac:dyDescent="0.25">
      <c r="A14154" s="2380">
        <v>0.02</v>
      </c>
      <c r="B14154" s="1921" t="s">
        <v>6902</v>
      </c>
      <c r="C14154" s="2108">
        <v>267.08</v>
      </c>
      <c r="D14154" s="3280">
        <v>244</v>
      </c>
      <c r="E14154" s="3281">
        <v>-8.6416055114572399E-2</v>
      </c>
      <c r="F14154" s="3282">
        <v>-1.728321102291448E-3</v>
      </c>
      <c r="G14154" s="78"/>
      <c r="H14154" t="s">
        <v>6899</v>
      </c>
      <c r="K14154" s="434"/>
    </row>
    <row r="14155" spans="1:11" ht="12.75" hidden="1" customHeight="1" outlineLevel="1" x14ac:dyDescent="0.25">
      <c r="A14155" s="2380">
        <v>0.02</v>
      </c>
      <c r="B14155" s="1921" t="s">
        <v>6903</v>
      </c>
      <c r="C14155" s="2108">
        <v>31.553000000000001</v>
      </c>
      <c r="D14155" s="3280">
        <v>30.26</v>
      </c>
      <c r="E14155" s="3281">
        <v>-4.0978670807847117E-2</v>
      </c>
      <c r="F14155" s="3282">
        <v>-8.1957341615694233E-4</v>
      </c>
      <c r="G14155" s="78"/>
      <c r="H14155" t="s">
        <v>9898</v>
      </c>
      <c r="K14155" s="434"/>
    </row>
    <row r="14156" spans="1:11" ht="12.75" hidden="1" customHeight="1" outlineLevel="1" x14ac:dyDescent="0.25">
      <c r="A14156" s="2380">
        <v>0.02</v>
      </c>
      <c r="B14156" s="1921" t="s">
        <v>1203</v>
      </c>
      <c r="C14156" s="2108">
        <v>109.39</v>
      </c>
      <c r="D14156" s="3280">
        <v>67.87</v>
      </c>
      <c r="E14156" s="3281">
        <v>-0.37955937471432488</v>
      </c>
      <c r="F14156" s="3282">
        <v>-7.5911874942864981E-3</v>
      </c>
      <c r="G14156" s="78"/>
      <c r="H14156" t="s">
        <v>79</v>
      </c>
      <c r="K14156" s="434"/>
    </row>
    <row r="14157" spans="1:11" ht="12.75" hidden="1" customHeight="1" outlineLevel="1" x14ac:dyDescent="0.25">
      <c r="A14157" s="2380">
        <v>0.02</v>
      </c>
      <c r="B14157" s="1921" t="s">
        <v>54</v>
      </c>
      <c r="C14157" s="2108">
        <v>18.0745</v>
      </c>
      <c r="D14157" s="3280">
        <v>8.1219999999999999</v>
      </c>
      <c r="E14157" s="3281">
        <v>-0.55063763866220361</v>
      </c>
      <c r="F14157" s="3282">
        <v>-1.1012752773244072E-2</v>
      </c>
      <c r="G14157" s="78"/>
      <c r="H14157" t="s">
        <v>6741</v>
      </c>
      <c r="K14157" s="434"/>
    </row>
    <row r="14158" spans="1:11" ht="12.75" hidden="1" customHeight="1" outlineLevel="1" x14ac:dyDescent="0.25">
      <c r="A14158" s="2380">
        <v>0.02</v>
      </c>
      <c r="B14158" s="1921" t="s">
        <v>5205</v>
      </c>
      <c r="C14158" s="2108">
        <v>2001.9</v>
      </c>
      <c r="D14158" s="3280">
        <v>1338</v>
      </c>
      <c r="E14158" s="3281">
        <v>-0.33163494680053951</v>
      </c>
      <c r="F14158" s="3282">
        <v>-6.6326989360107899E-3</v>
      </c>
      <c r="G14158" s="78"/>
      <c r="H14158" t="s">
        <v>5199</v>
      </c>
      <c r="K14158" s="434"/>
    </row>
    <row r="14159" spans="1:11" ht="12.75" hidden="1" customHeight="1" outlineLevel="1" x14ac:dyDescent="0.25">
      <c r="A14159" s="2380">
        <v>0.02</v>
      </c>
      <c r="B14159" s="1921" t="s">
        <v>6270</v>
      </c>
      <c r="C14159" s="2108">
        <v>43.465716096955511</v>
      </c>
      <c r="D14159" s="3280">
        <v>34.68</v>
      </c>
      <c r="E14159" s="3281">
        <v>-0.20212979069199999</v>
      </c>
      <c r="F14159" s="3282">
        <v>-4.0425958138400001E-3</v>
      </c>
      <c r="G14159" s="78"/>
      <c r="H14159" t="s">
        <v>8166</v>
      </c>
      <c r="K14159" s="434"/>
    </row>
    <row r="14160" spans="1:11" ht="12.75" hidden="1" customHeight="1" outlineLevel="1" x14ac:dyDescent="0.25">
      <c r="A14160" s="2380">
        <v>0.02</v>
      </c>
      <c r="B14160" s="1921" t="s">
        <v>1214</v>
      </c>
      <c r="C14160" s="2108">
        <v>96.834000000000003</v>
      </c>
      <c r="D14160" s="3280">
        <v>127.94</v>
      </c>
      <c r="E14160" s="3281">
        <v>0.3212301464361691</v>
      </c>
      <c r="F14160" s="3282">
        <v>6.4246029287233818E-3</v>
      </c>
      <c r="G14160" s="78"/>
      <c r="H14160" t="s">
        <v>3775</v>
      </c>
      <c r="K14160" s="434"/>
    </row>
    <row r="14161" spans="1:11" ht="12.75" hidden="1" customHeight="1" outlineLevel="1" x14ac:dyDescent="0.25">
      <c r="A14161" s="2380">
        <v>0.04</v>
      </c>
      <c r="B14161" s="1921" t="s">
        <v>1857</v>
      </c>
      <c r="C14161" s="2108">
        <v>1657.7</v>
      </c>
      <c r="D14161" s="3280">
        <v>1484</v>
      </c>
      <c r="E14161" s="3281">
        <v>-0.10478373650238282</v>
      </c>
      <c r="F14161" s="3282">
        <v>-4.191349460095313E-3</v>
      </c>
      <c r="G14161" s="78"/>
      <c r="H14161" t="s">
        <v>3559</v>
      </c>
      <c r="K14161" s="434"/>
    </row>
    <row r="14162" spans="1:11" ht="12.75" hidden="1" customHeight="1" outlineLevel="1" x14ac:dyDescent="0.25">
      <c r="A14162" s="2380">
        <v>0.08</v>
      </c>
      <c r="B14162" s="1921" t="s">
        <v>1724</v>
      </c>
      <c r="C14162" s="2108">
        <v>194.75</v>
      </c>
      <c r="D14162" s="3280">
        <v>157.78</v>
      </c>
      <c r="E14162" s="3281">
        <v>-0.18983311938382541</v>
      </c>
      <c r="F14162" s="3282">
        <v>-1.5186649550706033E-2</v>
      </c>
      <c r="G14162" s="78"/>
      <c r="H14162" t="s">
        <v>1725</v>
      </c>
      <c r="K14162" s="434"/>
    </row>
    <row r="14163" spans="1:11" ht="12.75" hidden="1" customHeight="1" outlineLevel="1" x14ac:dyDescent="0.25">
      <c r="A14163" s="2380">
        <v>0.08</v>
      </c>
      <c r="B14163" s="1921" t="s">
        <v>6118</v>
      </c>
      <c r="C14163" s="2108">
        <v>83.17</v>
      </c>
      <c r="D14163" s="3280">
        <v>78.66</v>
      </c>
      <c r="E14163" s="3281">
        <v>-5.422628351569081E-2</v>
      </c>
      <c r="F14163" s="3282">
        <v>-4.3381026812552648E-3</v>
      </c>
      <c r="G14163" s="78"/>
      <c r="H14163" t="s">
        <v>8893</v>
      </c>
      <c r="K14163" s="434"/>
    </row>
    <row r="14164" spans="1:11" ht="12.75" hidden="1" customHeight="1" outlineLevel="1" x14ac:dyDescent="0.25">
      <c r="A14164" s="2380">
        <v>0.02</v>
      </c>
      <c r="B14164" s="1921" t="s">
        <v>9739</v>
      </c>
      <c r="C14164" s="2108">
        <v>49.136000000000003</v>
      </c>
      <c r="D14164" s="3280">
        <v>51.2</v>
      </c>
      <c r="E14164" s="3281">
        <v>4.2005861282969681E-2</v>
      </c>
      <c r="F14164" s="3282">
        <v>8.4011722565939366E-4</v>
      </c>
      <c r="G14164" s="78"/>
      <c r="H14164" t="s">
        <v>9740</v>
      </c>
      <c r="K14164" s="434"/>
    </row>
    <row r="14165" spans="1:11" ht="12.75" hidden="1" customHeight="1" outlineLevel="1" x14ac:dyDescent="0.25">
      <c r="A14165" s="2380">
        <v>0.02</v>
      </c>
      <c r="B14165" s="1921" t="s">
        <v>577</v>
      </c>
      <c r="C14165" s="2108">
        <v>13.27</v>
      </c>
      <c r="D14165" s="3280">
        <v>3.5540000000000003</v>
      </c>
      <c r="E14165" s="3281">
        <v>-0.73217784476262238</v>
      </c>
      <c r="F14165" s="3282">
        <v>-1.4643556895252447E-2</v>
      </c>
      <c r="G14165" s="78"/>
      <c r="H14165" t="s">
        <v>6732</v>
      </c>
      <c r="K14165" s="434"/>
    </row>
    <row r="14166" spans="1:11" ht="12.75" hidden="1" customHeight="1" outlineLevel="1" x14ac:dyDescent="0.25">
      <c r="A14166" s="2380">
        <v>0.02</v>
      </c>
      <c r="B14166" s="1921" t="s">
        <v>9301</v>
      </c>
      <c r="C14166" s="2108">
        <v>240.9</v>
      </c>
      <c r="D14166" s="3280">
        <v>69.5</v>
      </c>
      <c r="E14166" s="3281">
        <v>-0.7114985471149855</v>
      </c>
      <c r="F14166" s="3282">
        <v>-1.422997094229971E-2</v>
      </c>
      <c r="G14166" s="78"/>
      <c r="H14166" t="s">
        <v>9302</v>
      </c>
      <c r="K14166" s="434"/>
    </row>
    <row r="14167" spans="1:11" ht="12.75" hidden="1" customHeight="1" outlineLevel="1" x14ac:dyDescent="0.25">
      <c r="A14167" s="2380">
        <v>0.02</v>
      </c>
      <c r="B14167" s="1921" t="s">
        <v>719</v>
      </c>
      <c r="C14167" s="2108">
        <v>54.040999999999997</v>
      </c>
      <c r="D14167" s="3280">
        <v>76.58</v>
      </c>
      <c r="E14167" s="3281">
        <v>0.41707222294184043</v>
      </c>
      <c r="F14167" s="3282">
        <v>8.3414444588368088E-3</v>
      </c>
      <c r="G14167" s="78"/>
      <c r="H14167" t="s">
        <v>1697</v>
      </c>
      <c r="K14167" s="434"/>
    </row>
    <row r="14168" spans="1:11" ht="12.75" hidden="1" customHeight="1" outlineLevel="1" x14ac:dyDescent="0.25">
      <c r="A14168" s="2380">
        <v>0.08</v>
      </c>
      <c r="B14168" s="2109" t="s">
        <v>4550</v>
      </c>
      <c r="C14168" s="2108">
        <v>301.86</v>
      </c>
      <c r="D14168" s="3283">
        <v>356.2</v>
      </c>
      <c r="E14168" s="3281">
        <v>0.18001722652885443</v>
      </c>
      <c r="F14168" s="3282">
        <v>1.4401378122308356E-2</v>
      </c>
      <c r="G14168" s="78"/>
      <c r="H14168" t="s">
        <v>8889</v>
      </c>
      <c r="K14168" s="434"/>
    </row>
    <row r="14169" spans="1:11" ht="12.75" hidden="1" customHeight="1" outlineLevel="1" x14ac:dyDescent="0.25">
      <c r="A14169" s="2181" t="s">
        <v>2734</v>
      </c>
      <c r="B14169" s="2103"/>
      <c r="C14169" s="3258"/>
      <c r="D14169" s="3259"/>
      <c r="E14169" s="3284"/>
      <c r="F14169" s="3277">
        <v>-0.14274844382404192</v>
      </c>
      <c r="G14169" s="78"/>
    </row>
    <row r="14170" spans="1:11" ht="12.75" hidden="1" customHeight="1" outlineLevel="1" x14ac:dyDescent="0.25">
      <c r="A14170" s="1956" t="s">
        <v>6879</v>
      </c>
      <c r="B14170" s="2185">
        <v>43678</v>
      </c>
      <c r="C14170" s="3261">
        <v>100</v>
      </c>
      <c r="D14170" s="3261">
        <v>94.695499999999996</v>
      </c>
      <c r="E14170" s="3262">
        <v>-5.3045000000000009E-2</v>
      </c>
      <c r="F14170" s="3285"/>
      <c r="G14170" s="78"/>
    </row>
    <row r="14171" spans="1:11" ht="12.75" hidden="1" customHeight="1" outlineLevel="1" x14ac:dyDescent="0.25">
      <c r="A14171" s="1956" t="s">
        <v>6880</v>
      </c>
      <c r="B14171" s="2185">
        <v>43709</v>
      </c>
      <c r="C14171" s="3261">
        <v>100</v>
      </c>
      <c r="D14171" s="3264">
        <v>99.848699999999994</v>
      </c>
      <c r="E14171" s="3262">
        <v>-1.5130000000000976E-3</v>
      </c>
      <c r="F14171" s="3285"/>
      <c r="G14171" s="78"/>
    </row>
    <row r="14172" spans="1:11" ht="12.75" hidden="1" customHeight="1" outlineLevel="1" x14ac:dyDescent="0.25">
      <c r="A14172" s="1956" t="s">
        <v>6881</v>
      </c>
      <c r="B14172" s="2185">
        <v>43739</v>
      </c>
      <c r="C14172" s="3261">
        <v>100</v>
      </c>
      <c r="D14172" s="3264">
        <v>100.0932</v>
      </c>
      <c r="E14172" s="3262">
        <v>9.3199999999993288E-4</v>
      </c>
      <c r="F14172" s="3285"/>
      <c r="G14172" s="78"/>
    </row>
    <row r="14173" spans="1:11" ht="12.75" hidden="1" customHeight="1" outlineLevel="1" x14ac:dyDescent="0.25">
      <c r="A14173" s="1956" t="s">
        <v>6882</v>
      </c>
      <c r="B14173" s="2185">
        <v>43770</v>
      </c>
      <c r="C14173" s="3261">
        <v>100</v>
      </c>
      <c r="D14173" s="3264">
        <v>100.0938</v>
      </c>
      <c r="E14173" s="3262">
        <v>9.3800000000010542E-4</v>
      </c>
      <c r="F14173" s="3285"/>
      <c r="G14173" s="78"/>
    </row>
    <row r="14174" spans="1:11" ht="12.75" hidden="1" customHeight="1" outlineLevel="1" x14ac:dyDescent="0.25">
      <c r="A14174" s="1956" t="s">
        <v>6883</v>
      </c>
      <c r="B14174" s="2185">
        <v>43800</v>
      </c>
      <c r="C14174" s="3261">
        <v>100</v>
      </c>
      <c r="D14174" s="3264">
        <v>102.09399999999999</v>
      </c>
      <c r="E14174" s="3262">
        <v>2.0939999999999959E-2</v>
      </c>
      <c r="F14174" s="3285"/>
      <c r="G14174" s="78"/>
    </row>
    <row r="14175" spans="1:11" ht="12.75" hidden="1" customHeight="1" outlineLevel="1" x14ac:dyDescent="0.25">
      <c r="A14175" s="1956" t="s">
        <v>6884</v>
      </c>
      <c r="B14175" s="2185">
        <v>43831</v>
      </c>
      <c r="C14175" s="3261">
        <v>100</v>
      </c>
      <c r="D14175" s="3264">
        <v>102.4528</v>
      </c>
      <c r="E14175" s="3262">
        <v>2.4527999999999883E-2</v>
      </c>
      <c r="F14175" s="3285"/>
      <c r="G14175" s="78"/>
    </row>
    <row r="14176" spans="1:11" ht="12.75" hidden="1" customHeight="1" outlineLevel="1" x14ac:dyDescent="0.25">
      <c r="A14176" s="1956" t="s">
        <v>6885</v>
      </c>
      <c r="B14176" s="2185">
        <v>43862</v>
      </c>
      <c r="C14176" s="3261">
        <v>100</v>
      </c>
      <c r="D14176" s="3264">
        <v>93.227000000000004</v>
      </c>
      <c r="E14176" s="3262">
        <v>-6.7729999999999957E-2</v>
      </c>
      <c r="F14176" s="3285"/>
      <c r="G14176" s="78"/>
    </row>
    <row r="14177" spans="1:50" ht="12.75" hidden="1" customHeight="1" outlineLevel="1" x14ac:dyDescent="0.25">
      <c r="A14177" s="1956" t="s">
        <v>6886</v>
      </c>
      <c r="B14177" s="2185">
        <v>43891</v>
      </c>
      <c r="C14177" s="3261">
        <v>100</v>
      </c>
      <c r="D14177" s="3264">
        <v>75.515199999999993</v>
      </c>
      <c r="E14177" s="3262">
        <v>-0.24484800000000007</v>
      </c>
      <c r="F14177" s="3285"/>
      <c r="G14177" s="78"/>
    </row>
    <row r="14178" spans="1:50" ht="12.75" hidden="1" customHeight="1" outlineLevel="1" x14ac:dyDescent="0.25">
      <c r="A14178" s="1956" t="s">
        <v>6887</v>
      </c>
      <c r="B14178" s="2185">
        <v>43922</v>
      </c>
      <c r="C14178" s="3261">
        <v>100</v>
      </c>
      <c r="D14178" s="3264">
        <v>76.287700000000001</v>
      </c>
      <c r="E14178" s="3262">
        <v>-0.23712299999999997</v>
      </c>
      <c r="F14178" s="3285"/>
      <c r="G14178" s="78"/>
    </row>
    <row r="14179" spans="1:50" ht="12.75" hidden="1" customHeight="1" outlineLevel="1" x14ac:dyDescent="0.25">
      <c r="A14179" s="1956" t="s">
        <v>6888</v>
      </c>
      <c r="B14179" s="2185">
        <v>43952</v>
      </c>
      <c r="C14179" s="3261">
        <v>100</v>
      </c>
      <c r="D14179" s="3264">
        <v>76.653499999999994</v>
      </c>
      <c r="E14179" s="3262">
        <v>-0.23346500000000003</v>
      </c>
      <c r="F14179" s="3285"/>
      <c r="G14179" s="78"/>
    </row>
    <row r="14180" spans="1:50" ht="12.75" hidden="1" customHeight="1" outlineLevel="1" x14ac:dyDescent="0.25">
      <c r="A14180" s="1956" t="s">
        <v>6889</v>
      </c>
      <c r="B14180" s="2185">
        <v>43983</v>
      </c>
      <c r="C14180" s="3261">
        <v>100</v>
      </c>
      <c r="D14180" s="3264">
        <v>79.422600000000003</v>
      </c>
      <c r="E14180" s="3262">
        <v>-0.20577400000000001</v>
      </c>
      <c r="F14180" s="3285"/>
      <c r="G14180" s="78"/>
    </row>
    <row r="14181" spans="1:50" ht="12.75" hidden="1" customHeight="1" outlineLevel="1" x14ac:dyDescent="0.25">
      <c r="A14181" s="1956" t="s">
        <v>6890</v>
      </c>
      <c r="B14181" s="2185">
        <v>44013</v>
      </c>
      <c r="C14181" s="3261">
        <v>100</v>
      </c>
      <c r="D14181" s="3264">
        <v>79.297899999999998</v>
      </c>
      <c r="E14181" s="3262">
        <v>-0.20702100000000001</v>
      </c>
      <c r="F14181" s="3285"/>
      <c r="G14181" s="78"/>
    </row>
    <row r="14182" spans="1:50" ht="12.75" hidden="1" customHeight="1" outlineLevel="1" x14ac:dyDescent="0.25">
      <c r="A14182" s="1956" t="s">
        <v>6891</v>
      </c>
      <c r="B14182" s="2185">
        <v>44044</v>
      </c>
      <c r="C14182" s="3261">
        <v>100</v>
      </c>
      <c r="D14182" s="3264">
        <v>80.931600000000003</v>
      </c>
      <c r="E14182" s="3262">
        <v>-0.19068399999999996</v>
      </c>
      <c r="F14182" s="3285"/>
      <c r="G14182" s="78"/>
    </row>
    <row r="14183" spans="1:50" ht="12.75" hidden="1" customHeight="1" outlineLevel="1" x14ac:dyDescent="0.25">
      <c r="A14183" s="1956" t="s">
        <v>6892</v>
      </c>
      <c r="B14183" s="2185">
        <v>44075</v>
      </c>
      <c r="C14183" s="3261">
        <v>100</v>
      </c>
      <c r="D14183" s="3264">
        <v>77.009900000000002</v>
      </c>
      <c r="E14183" s="3262">
        <v>-0.22990100000000002</v>
      </c>
      <c r="F14183" s="3285"/>
      <c r="G14183" s="78"/>
    </row>
    <row r="14184" spans="1:50" ht="12.75" hidden="1" customHeight="1" outlineLevel="1" x14ac:dyDescent="0.25">
      <c r="A14184" s="1956" t="s">
        <v>6893</v>
      </c>
      <c r="B14184" s="2185">
        <v>44105</v>
      </c>
      <c r="C14184" s="3261">
        <v>100</v>
      </c>
      <c r="D14184" s="3264">
        <v>74.586799999999997</v>
      </c>
      <c r="E14184" s="3262">
        <v>-0.25413200000000002</v>
      </c>
      <c r="F14184" s="3285"/>
      <c r="G14184" s="78"/>
    </row>
    <row r="14185" spans="1:50" ht="12.75" hidden="1" customHeight="1" outlineLevel="1" x14ac:dyDescent="0.25">
      <c r="A14185" s="1956" t="s">
        <v>6894</v>
      </c>
      <c r="B14185" s="2185">
        <v>44136</v>
      </c>
      <c r="C14185" s="3261">
        <v>100</v>
      </c>
      <c r="D14185" s="3264">
        <v>87.609700000000004</v>
      </c>
      <c r="E14185" s="3262">
        <v>-0.12390299999999999</v>
      </c>
      <c r="F14185" s="3285"/>
      <c r="G14185" s="78"/>
      <c r="J14185" s="31"/>
    </row>
    <row r="14186" spans="1:50" ht="12.75" hidden="1" customHeight="1" outlineLevel="1" x14ac:dyDescent="0.25">
      <c r="A14186" s="1956" t="s">
        <v>6895</v>
      </c>
      <c r="B14186" s="2185">
        <v>44166</v>
      </c>
      <c r="C14186" s="3261">
        <v>100</v>
      </c>
      <c r="D14186" s="3264">
        <v>88.209900000000005</v>
      </c>
      <c r="E14186" s="3262">
        <v>-0.11790099999999992</v>
      </c>
      <c r="F14186" s="3285"/>
      <c r="G14186" s="78"/>
    </row>
    <row r="14187" spans="1:50" ht="12.75" hidden="1" customHeight="1" outlineLevel="1" x14ac:dyDescent="0.25">
      <c r="A14187" s="1956" t="s">
        <v>6896</v>
      </c>
      <c r="B14187" s="2185">
        <v>44197</v>
      </c>
      <c r="C14187" s="3261">
        <v>100</v>
      </c>
      <c r="D14187" s="3264">
        <v>86.025599999999997</v>
      </c>
      <c r="E14187" s="3262">
        <v>-0.13974399999999998</v>
      </c>
      <c r="F14187" s="3285"/>
      <c r="G14187" s="78"/>
    </row>
    <row r="14188" spans="1:50" ht="12.75" hidden="1" customHeight="1" outlineLevel="1" x14ac:dyDescent="0.25">
      <c r="A14188" s="2189" t="s">
        <v>2734</v>
      </c>
      <c r="B14188" s="2190"/>
      <c r="C14188" s="3264"/>
      <c r="D14188" s="2191" t="s">
        <v>2465</v>
      </c>
      <c r="E14188" s="1987">
        <v>-0.12552477777777779</v>
      </c>
      <c r="F14188" s="2192">
        <v>-0.12552477777777779</v>
      </c>
      <c r="G14188" s="78"/>
    </row>
    <row r="14189" spans="1:50" collapsed="1" x14ac:dyDescent="0.25">
      <c r="A14189" s="3801" t="s">
        <v>6878</v>
      </c>
      <c r="B14189" s="3802"/>
      <c r="C14189" s="3802"/>
      <c r="D14189" s="3802"/>
      <c r="E14189" s="1906"/>
      <c r="F14189" s="1907">
        <v>0</v>
      </c>
      <c r="G14189" s="78"/>
    </row>
    <row r="14191" spans="1:50" hidden="1" outlineLevel="1" x14ac:dyDescent="0.25">
      <c r="A14191" s="3237" t="s">
        <v>113</v>
      </c>
      <c r="B14191" s="3237" t="s">
        <v>114</v>
      </c>
      <c r="C14191" s="3248" t="s">
        <v>112</v>
      </c>
      <c r="D14191" s="3248" t="s">
        <v>4155</v>
      </c>
      <c r="E14191" s="3248" t="s">
        <v>116</v>
      </c>
      <c r="F14191" s="3276" t="s">
        <v>121</v>
      </c>
      <c r="G14191" s="78"/>
      <c r="H14191" s="2484" t="s">
        <v>3766</v>
      </c>
      <c r="I14191" s="1462">
        <v>43678</v>
      </c>
      <c r="J14191" s="1462">
        <v>43709</v>
      </c>
      <c r="K14191" s="1462">
        <v>43739</v>
      </c>
      <c r="L14191" s="1462">
        <v>43770</v>
      </c>
      <c r="M14191" s="1462">
        <v>43800</v>
      </c>
      <c r="N14191" s="1462">
        <v>43831</v>
      </c>
      <c r="O14191" s="1462">
        <v>43862</v>
      </c>
      <c r="P14191" s="1462">
        <v>43891</v>
      </c>
      <c r="Q14191" s="1462">
        <v>43922</v>
      </c>
      <c r="R14191" s="1462">
        <v>43952</v>
      </c>
      <c r="S14191" s="1462">
        <v>43983</v>
      </c>
      <c r="T14191" s="1462">
        <v>44013</v>
      </c>
      <c r="U14191" s="1462">
        <v>44044</v>
      </c>
      <c r="V14191" s="1462">
        <v>44075</v>
      </c>
      <c r="W14191" s="1462">
        <v>44105</v>
      </c>
      <c r="X14191" s="1462">
        <v>44136</v>
      </c>
      <c r="Y14191" s="1462">
        <v>44166</v>
      </c>
      <c r="Z14191" s="1462">
        <v>44197</v>
      </c>
      <c r="AA14191" s="1302"/>
      <c r="AB14191" s="1302"/>
      <c r="AC14191" s="1302"/>
      <c r="AD14191" s="1302"/>
      <c r="AE14191" s="1302"/>
      <c r="AF14191" s="1302"/>
      <c r="AG14191" s="1302"/>
      <c r="AH14191" s="1302"/>
      <c r="AI14191" s="1302"/>
      <c r="AJ14191" s="1302"/>
      <c r="AK14191" s="1302"/>
      <c r="AL14191" s="1302"/>
      <c r="AM14191" s="1302"/>
      <c r="AN14191" s="1302"/>
      <c r="AO14191" s="1302"/>
      <c r="AP14191" s="1302"/>
      <c r="AQ14191" s="1302"/>
      <c r="AR14191" s="1302"/>
      <c r="AS14191" s="1302"/>
      <c r="AT14191" s="1302"/>
      <c r="AU14191" s="1302"/>
      <c r="AV14191" s="1302"/>
      <c r="AW14191" s="1302"/>
      <c r="AX14191" s="1302"/>
    </row>
    <row r="14192" spans="1:50" ht="13.8" hidden="1" outlineLevel="1" x14ac:dyDescent="0.3">
      <c r="A14192" s="1810" t="s">
        <v>1327</v>
      </c>
      <c r="B14192" s="3287" t="s">
        <v>2153</v>
      </c>
      <c r="C14192" s="3808">
        <v>3624.92</v>
      </c>
      <c r="D14192" s="3808">
        <v>3342.5772222222222</v>
      </c>
      <c r="E14192" s="3295">
        <v>2917.3679999999999</v>
      </c>
      <c r="F14192" s="3289">
        <v>-0.19519106628560079</v>
      </c>
      <c r="G14192" s="78"/>
      <c r="H14192" s="412">
        <f>AVERAGE(I14192:Z14192)</f>
        <v>3342.5772222222222</v>
      </c>
      <c r="I14192" s="415">
        <v>3426.76</v>
      </c>
      <c r="J14192" s="415">
        <v>3569.45</v>
      </c>
      <c r="K14192" s="415">
        <v>3604.41</v>
      </c>
      <c r="L14192" s="1772">
        <v>3703.58</v>
      </c>
      <c r="M14192" s="1772">
        <v>3748.47</v>
      </c>
      <c r="N14192" s="1772">
        <v>3640.91</v>
      </c>
      <c r="O14192" s="1772">
        <v>3329.49</v>
      </c>
      <c r="P14192" s="1772">
        <v>2786.9</v>
      </c>
      <c r="Q14192" s="1772">
        <v>2927.93</v>
      </c>
      <c r="R14192" s="1772">
        <v>3050.2</v>
      </c>
      <c r="S14192" s="1772">
        <v>3234.07</v>
      </c>
      <c r="T14192" s="1772">
        <v>3174.32</v>
      </c>
      <c r="U14192" s="1772">
        <v>3272.51</v>
      </c>
      <c r="V14192" s="1772">
        <v>3193.61</v>
      </c>
      <c r="W14192" s="1772">
        <v>2958.21</v>
      </c>
      <c r="X14192" s="1772">
        <v>3492.54</v>
      </c>
      <c r="Y14192" s="1772">
        <v>3571.59</v>
      </c>
      <c r="Z14192" s="1772">
        <v>3481.44</v>
      </c>
    </row>
    <row r="14193" spans="1:21" hidden="1" outlineLevel="1" x14ac:dyDescent="0.25">
      <c r="A14193" s="2197" t="s">
        <v>6006</v>
      </c>
      <c r="B14193" s="3290" t="s">
        <v>2153</v>
      </c>
      <c r="C14193" s="3810"/>
      <c r="D14193" s="3810"/>
      <c r="E14193" s="3291"/>
      <c r="F14193" s="3289">
        <v>-7.7889381773329602E-2</v>
      </c>
      <c r="G14193" s="2953" t="s">
        <v>10359</v>
      </c>
      <c r="H14193" s="37">
        <f>+Z14192/C14192-1</f>
        <v>-3.9581563179325374E-2</v>
      </c>
    </row>
    <row r="14194" spans="1:21" hidden="1" outlineLevel="1" x14ac:dyDescent="0.25">
      <c r="A14194" s="2197" t="s">
        <v>2734</v>
      </c>
      <c r="B14194" s="3292"/>
      <c r="C14194" s="1817"/>
      <c r="D14194" s="1817"/>
      <c r="E14194" s="3293"/>
      <c r="F14194" s="3289">
        <v>0</v>
      </c>
      <c r="G14194" s="78"/>
    </row>
    <row r="14195" spans="1:21" collapsed="1" x14ac:dyDescent="0.25">
      <c r="A14195" s="3801" t="s">
        <v>6904</v>
      </c>
      <c r="B14195" s="3802"/>
      <c r="C14195" s="3802"/>
      <c r="D14195" s="3802"/>
      <c r="E14195" s="3294"/>
      <c r="F14195" s="1890">
        <v>0</v>
      </c>
      <c r="G14195" s="78"/>
    </row>
    <row r="14196" spans="1:21" x14ac:dyDescent="0.25">
      <c r="I14196" s="37">
        <f>+I14201/100-1</f>
        <v>-0.15566000000000002</v>
      </c>
    </row>
    <row r="14197" spans="1:21" ht="12.75" hidden="1" customHeight="1" outlineLevel="1" x14ac:dyDescent="0.25">
      <c r="A14197" s="3237" t="s">
        <v>113</v>
      </c>
      <c r="B14197" s="3237" t="s">
        <v>114</v>
      </c>
      <c r="C14197" s="3237" t="s">
        <v>112</v>
      </c>
      <c r="D14197" s="3237" t="s">
        <v>116</v>
      </c>
      <c r="E14197" s="3237" t="s">
        <v>117</v>
      </c>
      <c r="F14197" s="3276" t="s">
        <v>121</v>
      </c>
      <c r="G14197" s="78"/>
      <c r="I14197" s="406"/>
    </row>
    <row r="14198" spans="1:21" ht="12.75" hidden="1" customHeight="1" outlineLevel="1" x14ac:dyDescent="0.25">
      <c r="A14198" s="3238">
        <v>1</v>
      </c>
      <c r="B14198" s="3239" t="s">
        <v>252</v>
      </c>
      <c r="C14198" s="3240">
        <v>100</v>
      </c>
      <c r="D14198" s="3240"/>
      <c r="E14198" s="3241"/>
      <c r="F14198" s="3242"/>
      <c r="G14198" s="78"/>
      <c r="K14198" s="37"/>
    </row>
    <row r="14199" spans="1:21" ht="12.75" hidden="1" customHeight="1" outlineLevel="1" x14ac:dyDescent="0.25">
      <c r="A14199" s="3243" t="s">
        <v>2734</v>
      </c>
      <c r="B14199" s="3243"/>
      <c r="C14199" s="3244"/>
      <c r="D14199" s="1900" t="s">
        <v>3702</v>
      </c>
      <c r="E14199" s="3245">
        <v>44196</v>
      </c>
      <c r="F14199" s="3246"/>
      <c r="G14199" s="78"/>
    </row>
    <row r="14200" spans="1:21" ht="12.75" hidden="1" customHeight="1" outlineLevel="1" x14ac:dyDescent="0.25">
      <c r="A14200" s="3237" t="s">
        <v>4156</v>
      </c>
      <c r="B14200" s="3237" t="s">
        <v>4153</v>
      </c>
      <c r="C14200" s="3247" t="s">
        <v>112</v>
      </c>
      <c r="D14200" s="3248" t="s">
        <v>4155</v>
      </c>
      <c r="E14200" s="3237" t="s">
        <v>4154</v>
      </c>
      <c r="F14200" s="3277" t="s">
        <v>2519</v>
      </c>
      <c r="G14200" s="78"/>
      <c r="I14200" s="412" t="s">
        <v>6964</v>
      </c>
      <c r="J14200" s="1302" t="s">
        <v>7168</v>
      </c>
      <c r="K14200" s="1302" t="s">
        <v>7169</v>
      </c>
      <c r="L14200" s="1302" t="s">
        <v>7170</v>
      </c>
      <c r="M14200" s="1302" t="s">
        <v>7171</v>
      </c>
      <c r="N14200" s="1302" t="s">
        <v>7172</v>
      </c>
      <c r="O14200" s="1302" t="s">
        <v>7173</v>
      </c>
      <c r="P14200" s="1302" t="s">
        <v>7167</v>
      </c>
      <c r="Q14200" s="1302" t="s">
        <v>7174</v>
      </c>
      <c r="R14200" s="1302" t="s">
        <v>7175</v>
      </c>
    </row>
    <row r="14201" spans="1:21" ht="12.75" hidden="1" customHeight="1" outlineLevel="1" x14ac:dyDescent="0.25">
      <c r="A14201" s="1991">
        <v>0.02</v>
      </c>
      <c r="B14201" s="1921" t="s">
        <v>359</v>
      </c>
      <c r="C14201" s="2108">
        <v>155.24</v>
      </c>
      <c r="D14201" s="3278">
        <v>200.7</v>
      </c>
      <c r="E14201" s="3279">
        <v>0.29283689770677634</v>
      </c>
      <c r="F14201" s="3277">
        <v>5.8567379541355274E-3</v>
      </c>
      <c r="G14201" s="78"/>
      <c r="H14201" t="s">
        <v>360</v>
      </c>
      <c r="I14201" s="412">
        <v>84.433999999999997</v>
      </c>
      <c r="J14201">
        <v>101.52370000000001</v>
      </c>
      <c r="K14201">
        <v>103.49720000000001</v>
      </c>
      <c r="L14201">
        <v>101.2869</v>
      </c>
      <c r="M14201">
        <v>97.4482</v>
      </c>
      <c r="N14201">
        <v>95.099900000000005</v>
      </c>
      <c r="O14201">
        <v>86.759299999999996</v>
      </c>
      <c r="P14201">
        <v>84.433999999999997</v>
      </c>
      <c r="Q14201">
        <v>92.929400000000001</v>
      </c>
      <c r="R14201">
        <v>93.34</v>
      </c>
      <c r="U14201" s="434"/>
    </row>
    <row r="14202" spans="1:21" ht="12.75" hidden="1" customHeight="1" outlineLevel="1" x14ac:dyDescent="0.25">
      <c r="A14202" s="2380">
        <v>0.02</v>
      </c>
      <c r="B14202" s="1921" t="s">
        <v>3998</v>
      </c>
      <c r="C14202" s="2108">
        <v>33.087000000000003</v>
      </c>
      <c r="D14202" s="3280">
        <v>28.76</v>
      </c>
      <c r="E14202" s="3281">
        <v>-0.13077643787590298</v>
      </c>
      <c r="F14202" s="3282">
        <v>-2.6155287575180598E-3</v>
      </c>
      <c r="G14202" s="78"/>
      <c r="H14202" t="s">
        <v>4000</v>
      </c>
      <c r="U14202" s="434"/>
    </row>
    <row r="14203" spans="1:21" ht="12.75" hidden="1" customHeight="1" outlineLevel="1" x14ac:dyDescent="0.25">
      <c r="A14203" s="2380">
        <v>0.08</v>
      </c>
      <c r="B14203" s="1921" t="s">
        <v>6601</v>
      </c>
      <c r="C14203" s="2108">
        <v>18.065000000000001</v>
      </c>
      <c r="D14203" s="3280">
        <v>0.69</v>
      </c>
      <c r="E14203" s="3281">
        <v>-0.96180459451978961</v>
      </c>
      <c r="F14203" s="3282">
        <v>-7.6944367561583168E-2</v>
      </c>
      <c r="G14203" s="78"/>
      <c r="H14203" t="s">
        <v>6602</v>
      </c>
      <c r="J14203" s="74"/>
      <c r="U14203" s="434"/>
    </row>
    <row r="14204" spans="1:21" ht="12.75" hidden="1" customHeight="1" outlineLevel="1" x14ac:dyDescent="0.25">
      <c r="A14204" s="2380">
        <v>0.02</v>
      </c>
      <c r="B14204" s="1921" t="s">
        <v>807</v>
      </c>
      <c r="C14204" s="2108">
        <v>53.517000000000003</v>
      </c>
      <c r="D14204" s="3280">
        <v>54.43</v>
      </c>
      <c r="E14204" s="3281">
        <v>1.7059999626287015E-2</v>
      </c>
      <c r="F14204" s="3282">
        <v>3.4119999252574029E-4</v>
      </c>
      <c r="G14204" s="78"/>
      <c r="H14204" t="s">
        <v>808</v>
      </c>
      <c r="U14204" s="434"/>
    </row>
    <row r="14205" spans="1:21" ht="12.75" hidden="1" customHeight="1" outlineLevel="1" x14ac:dyDescent="0.25">
      <c r="A14205" s="2380">
        <v>0.08</v>
      </c>
      <c r="B14205" s="1921" t="s">
        <v>3954</v>
      </c>
      <c r="C14205" s="2108">
        <v>92.754000000000005</v>
      </c>
      <c r="D14205" s="3280">
        <v>108.72</v>
      </c>
      <c r="E14205" s="3281">
        <v>0.17213273821075092</v>
      </c>
      <c r="F14205" s="3282">
        <v>1.3770619056860074E-2</v>
      </c>
      <c r="G14205" s="78"/>
      <c r="H14205" t="s">
        <v>3955</v>
      </c>
      <c r="U14205" s="434"/>
    </row>
    <row r="14206" spans="1:21" ht="12.75" hidden="1" customHeight="1" outlineLevel="1" x14ac:dyDescent="0.25">
      <c r="A14206" s="2380">
        <v>0.05</v>
      </c>
      <c r="B14206" s="1921" t="s">
        <v>8702</v>
      </c>
      <c r="C14206" s="2108">
        <v>33.875004065593302</v>
      </c>
      <c r="D14206" s="3280">
        <v>21.35</v>
      </c>
      <c r="E14206" s="3281">
        <v>-0.36974177305900002</v>
      </c>
      <c r="F14206" s="3282">
        <v>-1.8487088652950002E-2</v>
      </c>
      <c r="G14206" s="78"/>
      <c r="H14206" t="s">
        <v>8703</v>
      </c>
      <c r="U14206" s="434"/>
    </row>
    <row r="14207" spans="1:21" ht="12.75" hidden="1" customHeight="1" outlineLevel="1" x14ac:dyDescent="0.25">
      <c r="A14207" s="2380">
        <v>0.02</v>
      </c>
      <c r="B14207" s="1921" t="s">
        <v>4332</v>
      </c>
      <c r="C14207" s="2108">
        <v>244.17</v>
      </c>
      <c r="D14207" s="3280">
        <v>46.6</v>
      </c>
      <c r="E14207" s="3281">
        <v>-0.80914936314862596</v>
      </c>
      <c r="F14207" s="3282">
        <v>-1.6182987262972518E-2</v>
      </c>
      <c r="G14207" s="78"/>
      <c r="H14207" t="s">
        <v>4334</v>
      </c>
      <c r="U14207" s="434"/>
    </row>
    <row r="14208" spans="1:21" ht="12.75" hidden="1" customHeight="1" outlineLevel="1" x14ac:dyDescent="0.25">
      <c r="A14208" s="2380">
        <v>0.03</v>
      </c>
      <c r="B14208" s="1921" t="s">
        <v>6821</v>
      </c>
      <c r="C14208" s="2108">
        <v>293.38382358885769</v>
      </c>
      <c r="D14208" s="3280">
        <v>319</v>
      </c>
      <c r="E14208" s="3281">
        <v>8.7312845329333255E-2</v>
      </c>
      <c r="F14208" s="3282">
        <v>2.6193853598799974E-3</v>
      </c>
      <c r="G14208" s="78"/>
      <c r="H14208" t="s">
        <v>6822</v>
      </c>
      <c r="U14208" s="434"/>
    </row>
    <row r="14209" spans="1:21" ht="12.75" hidden="1" customHeight="1" outlineLevel="1" x14ac:dyDescent="0.25">
      <c r="A14209" s="2380">
        <v>0.02</v>
      </c>
      <c r="B14209" s="1921" t="s">
        <v>6267</v>
      </c>
      <c r="C14209" s="2108">
        <v>26.372</v>
      </c>
      <c r="D14209" s="3280">
        <v>17.965</v>
      </c>
      <c r="E14209" s="3281">
        <v>-0.31878507507962994</v>
      </c>
      <c r="F14209" s="3282">
        <v>-6.3757015015925992E-3</v>
      </c>
      <c r="G14209" s="78"/>
      <c r="H14209" t="s">
        <v>6268</v>
      </c>
      <c r="U14209" s="434"/>
    </row>
    <row r="14210" spans="1:21" ht="12.75" hidden="1" customHeight="1" outlineLevel="1" x14ac:dyDescent="0.25">
      <c r="A14210" s="2380">
        <v>0.02</v>
      </c>
      <c r="B14210" s="1921" t="s">
        <v>7227</v>
      </c>
      <c r="C14210" s="2108">
        <v>18.076675184176082</v>
      </c>
      <c r="D14210" s="3280">
        <v>12.52</v>
      </c>
      <c r="E14210" s="3281">
        <v>-0.30739475747400014</v>
      </c>
      <c r="F14210" s="3282">
        <v>-6.1478951494800026E-3</v>
      </c>
      <c r="G14210" s="78"/>
      <c r="H14210" t="s">
        <v>7229</v>
      </c>
      <c r="U14210" s="434"/>
    </row>
    <row r="14211" spans="1:21" ht="12.75" hidden="1" customHeight="1" outlineLevel="1" x14ac:dyDescent="0.25">
      <c r="A14211" s="2380">
        <v>0.02</v>
      </c>
      <c r="B14211" s="1921" t="s">
        <v>1772</v>
      </c>
      <c r="C14211" s="2108">
        <v>193.34</v>
      </c>
      <c r="D14211" s="3280">
        <v>242.8</v>
      </c>
      <c r="E14211" s="3281">
        <v>0.25581876487017685</v>
      </c>
      <c r="F14211" s="3282">
        <v>5.116375297403537E-3</v>
      </c>
      <c r="G14211" s="78"/>
      <c r="H14211" t="s">
        <v>4330</v>
      </c>
      <c r="U14211" s="434"/>
    </row>
    <row r="14212" spans="1:21" ht="12.75" hidden="1" customHeight="1" outlineLevel="1" x14ac:dyDescent="0.25">
      <c r="A14212" s="2380">
        <v>0.02</v>
      </c>
      <c r="B14212" s="1921" t="s">
        <v>2786</v>
      </c>
      <c r="C14212" s="2108">
        <v>866.11964732363219</v>
      </c>
      <c r="D14212" s="3280">
        <v>865</v>
      </c>
      <c r="E14212" s="3281">
        <v>-1.2927166899999731E-3</v>
      </c>
      <c r="F14212" s="3282">
        <v>-2.5854333799999462E-5</v>
      </c>
      <c r="G14212" s="78"/>
      <c r="H14212" t="s">
        <v>4195</v>
      </c>
      <c r="U14212" s="434"/>
    </row>
    <row r="14213" spans="1:21" ht="12.75" hidden="1" customHeight="1" outlineLevel="1" x14ac:dyDescent="0.25">
      <c r="A14213" s="2380">
        <v>0.02</v>
      </c>
      <c r="B14213" s="1921" t="s">
        <v>9648</v>
      </c>
      <c r="C14213" s="2519">
        <v>119.67008652869167</v>
      </c>
      <c r="D14213" s="3280">
        <v>59.66</v>
      </c>
      <c r="E14213" s="3281">
        <v>-0.50146271528185005</v>
      </c>
      <c r="F14213" s="3282">
        <v>-1.0029254305637001E-2</v>
      </c>
      <c r="G14213" s="78"/>
      <c r="H14213" t="s">
        <v>9649</v>
      </c>
      <c r="U14213" s="434"/>
    </row>
    <row r="14214" spans="1:21" ht="12.75" hidden="1" customHeight="1" outlineLevel="1" x14ac:dyDescent="0.25">
      <c r="A14214" s="2380">
        <v>0.02</v>
      </c>
      <c r="B14214" s="1921" t="s">
        <v>5824</v>
      </c>
      <c r="C14214" s="2108">
        <v>15.2925</v>
      </c>
      <c r="D14214" s="3280">
        <v>9.734</v>
      </c>
      <c r="E14214" s="3281">
        <v>-0.36347882949158083</v>
      </c>
      <c r="F14214" s="3282">
        <v>-7.2695765898316165E-3</v>
      </c>
      <c r="G14214" s="78"/>
      <c r="H14214" t="s">
        <v>5817</v>
      </c>
      <c r="U14214" s="434"/>
    </row>
    <row r="14215" spans="1:21" ht="12.75" hidden="1" customHeight="1" outlineLevel="1" x14ac:dyDescent="0.25">
      <c r="A14215" s="2380">
        <v>0.02</v>
      </c>
      <c r="B14215" s="1921" t="s">
        <v>2469</v>
      </c>
      <c r="C14215" s="2108">
        <v>52.609000000000002</v>
      </c>
      <c r="D14215" s="3280">
        <v>12.46</v>
      </c>
      <c r="E14215" s="3281">
        <v>-0.76315839495143412</v>
      </c>
      <c r="F14215" s="3282">
        <v>-1.5263167899028682E-2</v>
      </c>
      <c r="G14215" s="78"/>
      <c r="H14215" t="s">
        <v>2696</v>
      </c>
      <c r="U14215" s="434"/>
    </row>
    <row r="14216" spans="1:21" ht="12.75" hidden="1" customHeight="1" outlineLevel="1" x14ac:dyDescent="0.25">
      <c r="A14216" s="2380">
        <v>0.05</v>
      </c>
      <c r="B14216" s="1921" t="s">
        <v>3793</v>
      </c>
      <c r="C14216" s="2108">
        <v>78.715000000000003</v>
      </c>
      <c r="D14216" s="3280">
        <v>82.79</v>
      </c>
      <c r="E14216" s="3281">
        <v>5.1769040208346606E-2</v>
      </c>
      <c r="F14216" s="3282">
        <v>2.5884520104173304E-3</v>
      </c>
      <c r="G14216" s="78"/>
      <c r="H14216" t="s">
        <v>3533</v>
      </c>
      <c r="U14216" s="434"/>
    </row>
    <row r="14217" spans="1:21" ht="12.75" hidden="1" customHeight="1" outlineLevel="1" x14ac:dyDescent="0.25">
      <c r="A14217" s="2380">
        <v>0.02</v>
      </c>
      <c r="B14217" s="1921" t="s">
        <v>54</v>
      </c>
      <c r="C14217" s="2108">
        <v>16.597000000000001</v>
      </c>
      <c r="D14217" s="3280">
        <v>8.25</v>
      </c>
      <c r="E14217" s="3281">
        <v>-0.50292221485810695</v>
      </c>
      <c r="F14217" s="3282">
        <v>-1.005844429716214E-2</v>
      </c>
      <c r="G14217" s="78"/>
      <c r="H14217" t="s">
        <v>6741</v>
      </c>
      <c r="U14217" s="434"/>
    </row>
    <row r="14218" spans="1:21" ht="12.75" hidden="1" customHeight="1" outlineLevel="1" x14ac:dyDescent="0.25">
      <c r="A14218" s="2380">
        <v>0.02</v>
      </c>
      <c r="B14218" s="1921" t="s">
        <v>6270</v>
      </c>
      <c r="C14218" s="2108">
        <v>46.728999999999999</v>
      </c>
      <c r="D14218" s="3280">
        <v>34.57</v>
      </c>
      <c r="E14218" s="3281">
        <v>-0.26020244387853364</v>
      </c>
      <c r="F14218" s="3282">
        <v>-5.2040488775706726E-3</v>
      </c>
      <c r="G14218" s="78"/>
      <c r="H14218" t="s">
        <v>8166</v>
      </c>
      <c r="U14218" s="434"/>
    </row>
    <row r="14219" spans="1:21" ht="12.75" hidden="1" customHeight="1" outlineLevel="1" x14ac:dyDescent="0.25">
      <c r="A14219" s="2380">
        <v>0.02</v>
      </c>
      <c r="B14219" s="1921" t="s">
        <v>4460</v>
      </c>
      <c r="C14219" s="2108">
        <v>1994.3</v>
      </c>
      <c r="D14219" s="3280">
        <v>2289</v>
      </c>
      <c r="E14219" s="3281">
        <v>0.14777114777114786</v>
      </c>
      <c r="F14219" s="3282">
        <v>2.9554229554229574E-3</v>
      </c>
      <c r="G14219" s="78"/>
      <c r="H14219" t="s">
        <v>3485</v>
      </c>
      <c r="U14219" s="434"/>
    </row>
    <row r="14220" spans="1:21" ht="12.75" hidden="1" customHeight="1" outlineLevel="1" x14ac:dyDescent="0.25">
      <c r="A14220" s="2380">
        <v>0.08</v>
      </c>
      <c r="B14220" s="1921" t="s">
        <v>6524</v>
      </c>
      <c r="C14220" s="2108">
        <v>106.14019601026752</v>
      </c>
      <c r="D14220" s="3280">
        <v>84.5</v>
      </c>
      <c r="E14220" s="3281">
        <v>-0.20388313592499996</v>
      </c>
      <c r="F14220" s="3282">
        <v>-1.6310650873999997E-2</v>
      </c>
      <c r="G14220" s="78"/>
      <c r="H14220" t="s">
        <v>6525</v>
      </c>
      <c r="U14220" s="434"/>
    </row>
    <row r="14221" spans="1:21" ht="12.75" hidden="1" customHeight="1" outlineLevel="1" x14ac:dyDescent="0.25">
      <c r="A14221" s="2380">
        <v>0.02</v>
      </c>
      <c r="B14221" s="1921" t="s">
        <v>6116</v>
      </c>
      <c r="C14221" s="2108">
        <v>3.7497407963551459</v>
      </c>
      <c r="D14221" s="3280">
        <v>4.601</v>
      </c>
      <c r="E14221" s="3281">
        <v>0.2270181460202001</v>
      </c>
      <c r="F14221" s="3282">
        <v>4.5403629204040022E-3</v>
      </c>
      <c r="G14221" s="78"/>
      <c r="H14221" t="s">
        <v>6114</v>
      </c>
      <c r="U14221" s="434"/>
    </row>
    <row r="14222" spans="1:21" ht="12.75" hidden="1" customHeight="1" outlineLevel="1" x14ac:dyDescent="0.25">
      <c r="A14222" s="2380">
        <v>0.02</v>
      </c>
      <c r="B14222" s="1921" t="s">
        <v>3381</v>
      </c>
      <c r="C14222" s="2108">
        <v>137.91999993159169</v>
      </c>
      <c r="D14222" s="3280">
        <v>144.94999999999999</v>
      </c>
      <c r="E14222" s="3281">
        <v>5.097157824749976E-2</v>
      </c>
      <c r="F14222" s="3282">
        <v>1.0194315649499953E-3</v>
      </c>
      <c r="G14222" s="78"/>
      <c r="H14222" t="s">
        <v>9199</v>
      </c>
      <c r="U14222" s="434"/>
    </row>
    <row r="14223" spans="1:21" ht="12.75" hidden="1" customHeight="1" outlineLevel="1" x14ac:dyDescent="0.25">
      <c r="A14223" s="2380">
        <v>0.08</v>
      </c>
      <c r="B14223" s="1921" t="s">
        <v>1724</v>
      </c>
      <c r="C14223" s="2108">
        <v>219.48999973106987</v>
      </c>
      <c r="D14223" s="3280">
        <v>144.12</v>
      </c>
      <c r="E14223" s="3281">
        <v>-0.34338694165299999</v>
      </c>
      <c r="F14223" s="3282">
        <v>-2.7470955332240001E-2</v>
      </c>
      <c r="G14223" s="78"/>
      <c r="H14223" t="s">
        <v>1725</v>
      </c>
      <c r="U14223" s="434"/>
    </row>
    <row r="14224" spans="1:21" ht="12.75" hidden="1" customHeight="1" outlineLevel="1" x14ac:dyDescent="0.25">
      <c r="A14224" s="2380">
        <v>0.05</v>
      </c>
      <c r="B14224" s="1921" t="s">
        <v>6118</v>
      </c>
      <c r="C14224" s="2108">
        <v>88.29032833575053</v>
      </c>
      <c r="D14224" s="3280">
        <v>83.34</v>
      </c>
      <c r="E14224" s="3281">
        <v>-5.6068749873999901E-2</v>
      </c>
      <c r="F14224" s="3282">
        <v>-2.8034374936999952E-3</v>
      </c>
      <c r="G14224" s="78"/>
      <c r="H14224" t="s">
        <v>8893</v>
      </c>
      <c r="U14224" s="434"/>
    </row>
    <row r="14225" spans="1:21" ht="12.75" hidden="1" customHeight="1" outlineLevel="1" x14ac:dyDescent="0.25">
      <c r="A14225" s="2380">
        <v>0.02</v>
      </c>
      <c r="B14225" s="1921" t="s">
        <v>1239</v>
      </c>
      <c r="C14225" s="2108">
        <v>558.35000426858585</v>
      </c>
      <c r="D14225" s="3280">
        <v>477.1</v>
      </c>
      <c r="E14225" s="3281">
        <v>-0.14551805077000002</v>
      </c>
      <c r="F14225" s="3282">
        <v>-2.9103610154000005E-3</v>
      </c>
      <c r="G14225" s="78"/>
      <c r="H14225" t="s">
        <v>8891</v>
      </c>
      <c r="U14225" s="434"/>
    </row>
    <row r="14226" spans="1:21" ht="12.75" hidden="1" customHeight="1" outlineLevel="1" x14ac:dyDescent="0.25">
      <c r="A14226" s="2380">
        <v>0.02</v>
      </c>
      <c r="B14226" s="1921" t="s">
        <v>577</v>
      </c>
      <c r="C14226" s="2108">
        <v>13.152323040729755</v>
      </c>
      <c r="D14226" s="3280">
        <v>3.2450000000000001</v>
      </c>
      <c r="E14226" s="3281">
        <v>-0.75327552479124993</v>
      </c>
      <c r="F14226" s="3282">
        <v>-1.5065510495824998E-2</v>
      </c>
      <c r="G14226" s="78"/>
      <c r="H14226" t="s">
        <v>6732</v>
      </c>
      <c r="U14226" s="434"/>
    </row>
    <row r="14227" spans="1:21" ht="12.75" hidden="1" customHeight="1" outlineLevel="1" x14ac:dyDescent="0.25">
      <c r="A14227" s="2380">
        <v>0.02</v>
      </c>
      <c r="B14227" s="1921" t="s">
        <v>434</v>
      </c>
      <c r="C14227" s="2108">
        <v>52.94</v>
      </c>
      <c r="D14227" s="3280">
        <v>33.96</v>
      </c>
      <c r="E14227" s="3281">
        <v>-0.35851907820173778</v>
      </c>
      <c r="F14227" s="3282">
        <v>-7.1703815640347555E-3</v>
      </c>
      <c r="G14227" s="78"/>
      <c r="H14227" t="s">
        <v>7745</v>
      </c>
      <c r="U14227" s="434"/>
    </row>
    <row r="14228" spans="1:21" ht="12.75" hidden="1" customHeight="1" outlineLevel="1" x14ac:dyDescent="0.25">
      <c r="A14228" s="2380">
        <v>0.02</v>
      </c>
      <c r="B14228" s="1921" t="s">
        <v>3921</v>
      </c>
      <c r="C14228" s="2108">
        <v>4.0023999999999997</v>
      </c>
      <c r="D14228" s="3280">
        <v>6.25</v>
      </c>
      <c r="E14228" s="3281">
        <v>0.56156306216270258</v>
      </c>
      <c r="F14228" s="3282">
        <v>1.1231261243254052E-2</v>
      </c>
      <c r="G14228" s="78"/>
      <c r="H14228" t="s">
        <v>3922</v>
      </c>
      <c r="U14228" s="434"/>
    </row>
    <row r="14229" spans="1:21" ht="12.75" hidden="1" customHeight="1" outlineLevel="1" x14ac:dyDescent="0.25">
      <c r="A14229" s="2380">
        <v>0.02</v>
      </c>
      <c r="B14229" s="1921" t="s">
        <v>507</v>
      </c>
      <c r="C14229" s="2108">
        <v>39.834499999999998</v>
      </c>
      <c r="D14229" s="3280">
        <v>49.564999999999998</v>
      </c>
      <c r="E14229" s="3281">
        <v>0.2442731802834226</v>
      </c>
      <c r="F14229" s="3282">
        <v>4.8854636056684516E-3</v>
      </c>
      <c r="G14229" s="78"/>
      <c r="H14229" t="s">
        <v>2810</v>
      </c>
      <c r="U14229" s="434"/>
    </row>
    <row r="14230" spans="1:21" ht="12.75" hidden="1" customHeight="1" outlineLevel="1" x14ac:dyDescent="0.25">
      <c r="A14230" s="2380">
        <v>0.08</v>
      </c>
      <c r="B14230" s="2109" t="s">
        <v>4550</v>
      </c>
      <c r="C14230" s="2108">
        <v>316.61</v>
      </c>
      <c r="D14230" s="3283">
        <v>373.5</v>
      </c>
      <c r="E14230" s="3281">
        <v>0.17968478569849333</v>
      </c>
      <c r="F14230" s="3282">
        <v>1.4374782855879467E-2</v>
      </c>
      <c r="G14230" s="78"/>
      <c r="H14230" t="s">
        <v>8889</v>
      </c>
      <c r="U14230" s="434"/>
    </row>
    <row r="14231" spans="1:21" ht="12.75" hidden="1" customHeight="1" outlineLevel="1" x14ac:dyDescent="0.25">
      <c r="A14231" s="2181" t="s">
        <v>2734</v>
      </c>
      <c r="B14231" s="2103"/>
      <c r="C14231" s="3258">
        <v>100</v>
      </c>
      <c r="D14231" s="3259"/>
      <c r="E14231" s="3284"/>
      <c r="F14231" s="3277">
        <v>-0.17703571714752508</v>
      </c>
      <c r="G14231" s="78"/>
    </row>
    <row r="14232" spans="1:21" ht="12.75" hidden="1" customHeight="1" outlineLevel="1" x14ac:dyDescent="0.25">
      <c r="A14232" s="1956" t="s">
        <v>6905</v>
      </c>
      <c r="B14232" s="2185">
        <v>43647</v>
      </c>
      <c r="C14232" s="3261">
        <v>100</v>
      </c>
      <c r="D14232" s="3261">
        <v>88.903499999999994</v>
      </c>
      <c r="E14232" s="3262">
        <v>-0.11096500000000009</v>
      </c>
      <c r="F14232" s="3285"/>
      <c r="G14232" s="78"/>
    </row>
    <row r="14233" spans="1:21" ht="12.75" hidden="1" customHeight="1" outlineLevel="1" x14ac:dyDescent="0.25">
      <c r="A14233" s="1956" t="s">
        <v>6906</v>
      </c>
      <c r="B14233" s="2185">
        <v>43678</v>
      </c>
      <c r="C14233" s="3261">
        <v>100</v>
      </c>
      <c r="D14233" s="3264">
        <v>86.837699999999998</v>
      </c>
      <c r="E14233" s="3262">
        <v>-0.13162300000000005</v>
      </c>
      <c r="F14233" s="3285"/>
      <c r="G14233" s="78"/>
    </row>
    <row r="14234" spans="1:21" ht="12.75" hidden="1" customHeight="1" outlineLevel="1" x14ac:dyDescent="0.25">
      <c r="A14234" s="1956" t="s">
        <v>6907</v>
      </c>
      <c r="B14234" s="2185">
        <v>43709</v>
      </c>
      <c r="C14234" s="3261">
        <v>100</v>
      </c>
      <c r="D14234" s="3264">
        <v>92.3643</v>
      </c>
      <c r="E14234" s="3262">
        <v>-7.6357000000000008E-2</v>
      </c>
      <c r="F14234" s="3285"/>
      <c r="G14234" s="78"/>
    </row>
    <row r="14235" spans="1:21" ht="12.75" hidden="1" customHeight="1" outlineLevel="1" x14ac:dyDescent="0.25">
      <c r="A14235" s="1956" t="s">
        <v>6908</v>
      </c>
      <c r="B14235" s="2185">
        <v>43739</v>
      </c>
      <c r="C14235" s="3261">
        <v>100</v>
      </c>
      <c r="D14235" s="3264">
        <v>92.075999999999993</v>
      </c>
      <c r="E14235" s="3262">
        <v>-7.9240000000000088E-2</v>
      </c>
      <c r="F14235" s="3285"/>
      <c r="G14235" s="78"/>
    </row>
    <row r="14236" spans="1:21" ht="12.75" hidden="1" customHeight="1" outlineLevel="1" x14ac:dyDescent="0.25">
      <c r="A14236" s="1956" t="s">
        <v>6909</v>
      </c>
      <c r="B14236" s="2185">
        <v>43770</v>
      </c>
      <c r="C14236" s="3261">
        <v>100</v>
      </c>
      <c r="D14236" s="3264">
        <v>92.456599999999995</v>
      </c>
      <c r="E14236" s="3262">
        <v>-7.5434000000000001E-2</v>
      </c>
      <c r="F14236" s="3285"/>
      <c r="G14236" s="78"/>
    </row>
    <row r="14237" spans="1:21" ht="12.75" hidden="1" customHeight="1" outlineLevel="1" x14ac:dyDescent="0.25">
      <c r="A14237" s="1956" t="s">
        <v>6910</v>
      </c>
      <c r="B14237" s="2185">
        <v>43800</v>
      </c>
      <c r="C14237" s="3261">
        <v>100</v>
      </c>
      <c r="D14237" s="3264">
        <v>93.995099999999994</v>
      </c>
      <c r="E14237" s="3262">
        <v>-6.0049000000000019E-2</v>
      </c>
      <c r="F14237" s="3285"/>
      <c r="G14237" s="78"/>
    </row>
    <row r="14238" spans="1:21" ht="12.75" hidden="1" customHeight="1" outlineLevel="1" x14ac:dyDescent="0.25">
      <c r="A14238" s="1956" t="s">
        <v>6911</v>
      </c>
      <c r="B14238" s="2185">
        <v>43831</v>
      </c>
      <c r="C14238" s="3261">
        <v>100</v>
      </c>
      <c r="D14238" s="3264">
        <v>95.012699999999995</v>
      </c>
      <c r="E14238" s="3262">
        <v>-4.9873000000000056E-2</v>
      </c>
      <c r="F14238" s="3285"/>
      <c r="G14238" s="78"/>
    </row>
    <row r="14239" spans="1:21" ht="12.75" hidden="1" customHeight="1" outlineLevel="1" x14ac:dyDescent="0.25">
      <c r="A14239" s="1956" t="s">
        <v>6912</v>
      </c>
      <c r="B14239" s="2185">
        <v>43862</v>
      </c>
      <c r="C14239" s="3261">
        <v>100</v>
      </c>
      <c r="D14239" s="3264">
        <v>88.083299999999994</v>
      </c>
      <c r="E14239" s="3262">
        <v>-0.11916700000000002</v>
      </c>
      <c r="F14239" s="3285"/>
      <c r="G14239" s="78"/>
    </row>
    <row r="14240" spans="1:21" ht="12.75" hidden="1" customHeight="1" outlineLevel="1" x14ac:dyDescent="0.25">
      <c r="A14240" s="1956" t="s">
        <v>6913</v>
      </c>
      <c r="B14240" s="2185">
        <v>43891</v>
      </c>
      <c r="C14240" s="3261">
        <v>100</v>
      </c>
      <c r="D14240" s="3264">
        <v>73.195800000000006</v>
      </c>
      <c r="E14240" s="3262">
        <v>-0.26804199999999989</v>
      </c>
      <c r="F14240" s="3285"/>
      <c r="G14240" s="78"/>
    </row>
    <row r="14241" spans="1:8" ht="12.75" hidden="1" customHeight="1" outlineLevel="1" x14ac:dyDescent="0.25">
      <c r="A14241" s="1956" t="s">
        <v>6914</v>
      </c>
      <c r="B14241" s="2185">
        <v>43922</v>
      </c>
      <c r="C14241" s="3261">
        <v>100</v>
      </c>
      <c r="D14241" s="3264">
        <v>74.5</v>
      </c>
      <c r="E14241" s="3262">
        <v>-0.255</v>
      </c>
      <c r="F14241" s="3285"/>
      <c r="G14241" s="78"/>
    </row>
    <row r="14242" spans="1:8" ht="12.75" hidden="1" customHeight="1" outlineLevel="1" x14ac:dyDescent="0.25">
      <c r="A14242" s="1956" t="s">
        <v>6915</v>
      </c>
      <c r="B14242" s="2185">
        <v>43952</v>
      </c>
      <c r="C14242" s="3261">
        <v>100</v>
      </c>
      <c r="D14242" s="3264">
        <v>74.857500000000002</v>
      </c>
      <c r="E14242" s="3262">
        <v>-0.25142500000000001</v>
      </c>
      <c r="F14242" s="3285"/>
      <c r="G14242" s="78"/>
    </row>
    <row r="14243" spans="1:8" ht="12.75" hidden="1" customHeight="1" outlineLevel="1" x14ac:dyDescent="0.25">
      <c r="A14243" s="1956" t="s">
        <v>6916</v>
      </c>
      <c r="B14243" s="2185">
        <v>43983</v>
      </c>
      <c r="C14243" s="3261">
        <v>100</v>
      </c>
      <c r="D14243" s="3264">
        <v>76.773300000000006</v>
      </c>
      <c r="E14243" s="3262">
        <v>-0.23226699999999989</v>
      </c>
      <c r="F14243" s="3285"/>
      <c r="G14243" s="78"/>
    </row>
    <row r="14244" spans="1:8" ht="12.75" hidden="1" customHeight="1" outlineLevel="1" x14ac:dyDescent="0.25">
      <c r="A14244" s="1956" t="s">
        <v>6917</v>
      </c>
      <c r="B14244" s="2185">
        <v>44013</v>
      </c>
      <c r="C14244" s="3261">
        <v>100</v>
      </c>
      <c r="D14244" s="3264">
        <v>77.906300000000002</v>
      </c>
      <c r="E14244" s="3262">
        <v>-0.22093699999999994</v>
      </c>
      <c r="F14244" s="3285"/>
      <c r="G14244" s="78"/>
    </row>
    <row r="14245" spans="1:8" ht="12.75" hidden="1" customHeight="1" outlineLevel="1" x14ac:dyDescent="0.25">
      <c r="A14245" s="1956" t="s">
        <v>6918</v>
      </c>
      <c r="B14245" s="2185">
        <v>44044</v>
      </c>
      <c r="C14245" s="3261">
        <v>100</v>
      </c>
      <c r="D14245" s="3264">
        <v>79.080299999999994</v>
      </c>
      <c r="E14245" s="3262">
        <v>-0.20919700000000008</v>
      </c>
      <c r="F14245" s="3285"/>
      <c r="G14245" s="78"/>
    </row>
    <row r="14246" spans="1:8" ht="12.75" hidden="1" customHeight="1" outlineLevel="1" x14ac:dyDescent="0.25">
      <c r="A14246" s="1956" t="s">
        <v>6919</v>
      </c>
      <c r="B14246" s="2185">
        <v>44075</v>
      </c>
      <c r="C14246" s="3261">
        <v>100</v>
      </c>
      <c r="D14246" s="3264">
        <v>75.426599999999993</v>
      </c>
      <c r="E14246" s="3262">
        <v>-0.24573400000000012</v>
      </c>
      <c r="F14246" s="3285"/>
      <c r="G14246" s="78"/>
    </row>
    <row r="14247" spans="1:8" ht="12.75" hidden="1" customHeight="1" outlineLevel="1" x14ac:dyDescent="0.25">
      <c r="A14247" s="1956" t="s">
        <v>6920</v>
      </c>
      <c r="B14247" s="2185">
        <v>44105</v>
      </c>
      <c r="C14247" s="3261">
        <v>100</v>
      </c>
      <c r="D14247" s="3264">
        <v>72.618499999999997</v>
      </c>
      <c r="E14247" s="3262">
        <v>-0.27381500000000003</v>
      </c>
      <c r="F14247" s="3285"/>
      <c r="G14247" s="78"/>
    </row>
    <row r="14248" spans="1:8" ht="12.75" hidden="1" customHeight="1" outlineLevel="1" x14ac:dyDescent="0.25">
      <c r="A14248" s="1956" t="s">
        <v>6921</v>
      </c>
      <c r="B14248" s="2185">
        <v>44136</v>
      </c>
      <c r="C14248" s="3261">
        <v>100</v>
      </c>
      <c r="D14248" s="3264">
        <v>82.8035</v>
      </c>
      <c r="E14248" s="3262">
        <v>-0.17196500000000003</v>
      </c>
      <c r="F14248" s="3285"/>
      <c r="G14248" s="78"/>
    </row>
    <row r="14249" spans="1:8" ht="12.75" hidden="1" customHeight="1" outlineLevel="1" x14ac:dyDescent="0.25">
      <c r="A14249" s="1956" t="s">
        <v>6922</v>
      </c>
      <c r="B14249" s="2185">
        <v>44166</v>
      </c>
      <c r="C14249" s="3261">
        <v>100</v>
      </c>
      <c r="D14249" s="3264">
        <v>82.318799999999996</v>
      </c>
      <c r="E14249" s="3262">
        <v>-0.17681200000000008</v>
      </c>
      <c r="F14249" s="3285"/>
      <c r="G14249" s="78"/>
    </row>
    <row r="14250" spans="1:8" ht="12.75" hidden="1" customHeight="1" outlineLevel="1" x14ac:dyDescent="0.25">
      <c r="A14250" s="2189" t="s">
        <v>2734</v>
      </c>
      <c r="B14250" s="2190"/>
      <c r="C14250" s="3264"/>
      <c r="D14250" s="2191" t="s">
        <v>2465</v>
      </c>
      <c r="E14250" s="1987">
        <v>-0.16710566666666668</v>
      </c>
      <c r="F14250" s="2192">
        <v>-1.1445666666666625E-2</v>
      </c>
      <c r="G14250" s="78"/>
      <c r="H14250" s="177"/>
    </row>
    <row r="14251" spans="1:8" collapsed="1" x14ac:dyDescent="0.25">
      <c r="A14251" s="3801" t="s">
        <v>6926</v>
      </c>
      <c r="B14251" s="3802"/>
      <c r="C14251" s="3802"/>
      <c r="D14251" s="3802"/>
      <c r="E14251" s="1906"/>
      <c r="F14251" s="1907">
        <v>-1.1445666666666625E-2</v>
      </c>
      <c r="G14251" s="78"/>
    </row>
    <row r="14253" spans="1:8" ht="12.75" hidden="1" customHeight="1" outlineLevel="1" x14ac:dyDescent="0.25">
      <c r="A14253" s="3237" t="s">
        <v>113</v>
      </c>
      <c r="B14253" s="3237" t="s">
        <v>114</v>
      </c>
      <c r="C14253" s="3237" t="s">
        <v>112</v>
      </c>
      <c r="D14253" s="3237" t="s">
        <v>116</v>
      </c>
      <c r="E14253" s="3237" t="s">
        <v>117</v>
      </c>
      <c r="F14253" s="3276" t="s">
        <v>121</v>
      </c>
      <c r="G14253" s="78"/>
    </row>
    <row r="14254" spans="1:8" ht="12.75" hidden="1" customHeight="1" outlineLevel="1" x14ac:dyDescent="0.25">
      <c r="A14254" s="3238">
        <v>1</v>
      </c>
      <c r="B14254" s="3239" t="s">
        <v>252</v>
      </c>
      <c r="C14254" s="3240">
        <v>100</v>
      </c>
      <c r="D14254" s="3240"/>
      <c r="E14254" s="3241"/>
      <c r="F14254" s="3242"/>
      <c r="G14254" s="78"/>
    </row>
    <row r="14255" spans="1:8" ht="12.75" hidden="1" customHeight="1" outlineLevel="1" x14ac:dyDescent="0.25">
      <c r="A14255" s="3243" t="s">
        <v>2734</v>
      </c>
      <c r="B14255" s="3243"/>
      <c r="C14255" s="3244"/>
      <c r="D14255" s="1900" t="s">
        <v>3702</v>
      </c>
      <c r="E14255" s="3245">
        <v>44408</v>
      </c>
      <c r="F14255" s="3246"/>
      <c r="G14255" s="78"/>
    </row>
    <row r="14256" spans="1:8" ht="12.75" hidden="1" customHeight="1" outlineLevel="1" x14ac:dyDescent="0.25">
      <c r="A14256" s="3237" t="s">
        <v>4156</v>
      </c>
      <c r="B14256" s="3237" t="s">
        <v>4153</v>
      </c>
      <c r="C14256" s="3247" t="s">
        <v>112</v>
      </c>
      <c r="D14256" s="3248" t="s">
        <v>4155</v>
      </c>
      <c r="E14256" s="3237" t="s">
        <v>4154</v>
      </c>
      <c r="F14256" s="3277" t="s">
        <v>2519</v>
      </c>
      <c r="G14256" s="78"/>
    </row>
    <row r="14257" spans="1:12" ht="12.75" hidden="1" customHeight="1" outlineLevel="1" x14ac:dyDescent="0.25">
      <c r="A14257" s="1991">
        <v>0.05</v>
      </c>
      <c r="B14257" s="1921" t="s">
        <v>359</v>
      </c>
      <c r="C14257" s="2090">
        <v>158.27000000000001</v>
      </c>
      <c r="D14257" s="3278">
        <v>210</v>
      </c>
      <c r="E14257" s="3279">
        <v>0.32684652808491799</v>
      </c>
      <c r="F14257" s="3277">
        <v>1.6342326404245901E-2</v>
      </c>
      <c r="G14257" s="78"/>
      <c r="H14257" t="s">
        <v>360</v>
      </c>
      <c r="L14257" s="434"/>
    </row>
    <row r="14258" spans="1:12" ht="12.75" hidden="1" customHeight="1" outlineLevel="1" x14ac:dyDescent="0.25">
      <c r="A14258" s="2380">
        <v>0.04</v>
      </c>
      <c r="B14258" s="1921" t="s">
        <v>6601</v>
      </c>
      <c r="C14258" s="1998">
        <v>18.276</v>
      </c>
      <c r="D14258" s="3399">
        <v>2.13</v>
      </c>
      <c r="E14258" s="3281">
        <v>-0.88345370978332238</v>
      </c>
      <c r="F14258" s="3282">
        <v>-3.5338148391332896E-2</v>
      </c>
      <c r="G14258" s="78"/>
      <c r="H14258" t="s">
        <v>6602</v>
      </c>
      <c r="I14258" t="s">
        <v>7824</v>
      </c>
      <c r="L14258" s="434"/>
    </row>
    <row r="14259" spans="1:12" ht="12.75" hidden="1" customHeight="1" outlineLevel="1" x14ac:dyDescent="0.25">
      <c r="A14259" s="2380">
        <v>0.05</v>
      </c>
      <c r="B14259" s="1921" t="s">
        <v>807</v>
      </c>
      <c r="C14259" s="2179">
        <v>53.430999999999997</v>
      </c>
      <c r="D14259" s="3280">
        <v>62.27</v>
      </c>
      <c r="E14259" s="3281">
        <v>0.16542830940839592</v>
      </c>
      <c r="F14259" s="3282">
        <v>8.2714154704197958E-3</v>
      </c>
      <c r="G14259" s="78"/>
      <c r="H14259" t="s">
        <v>808</v>
      </c>
      <c r="L14259" s="434"/>
    </row>
    <row r="14260" spans="1:12" ht="12.75" hidden="1" customHeight="1" outlineLevel="1" x14ac:dyDescent="0.25">
      <c r="A14260" s="2380">
        <v>0.02</v>
      </c>
      <c r="B14260" s="1921" t="s">
        <v>3954</v>
      </c>
      <c r="C14260" s="2179">
        <v>92.691000000000003</v>
      </c>
      <c r="D14260" s="3280">
        <v>145.07</v>
      </c>
      <c r="E14260" s="3281">
        <v>0.56509261956392742</v>
      </c>
      <c r="F14260" s="3282">
        <v>1.1301852391278549E-2</v>
      </c>
      <c r="G14260" s="78"/>
      <c r="H14260" t="s">
        <v>3955</v>
      </c>
      <c r="L14260" s="434"/>
    </row>
    <row r="14261" spans="1:12" ht="12.75" hidden="1" customHeight="1" outlineLevel="1" x14ac:dyDescent="0.25">
      <c r="A14261" s="2380">
        <v>0.05</v>
      </c>
      <c r="B14261" s="1921" t="s">
        <v>4332</v>
      </c>
      <c r="C14261" s="2179">
        <v>249.15</v>
      </c>
      <c r="D14261" s="3280">
        <v>45.47</v>
      </c>
      <c r="E14261" s="3281">
        <v>-0.81749949829420032</v>
      </c>
      <c r="F14261" s="3282">
        <v>-4.0874974914710017E-2</v>
      </c>
      <c r="G14261" s="78"/>
      <c r="H14261" t="s">
        <v>4334</v>
      </c>
      <c r="L14261" s="434"/>
    </row>
    <row r="14262" spans="1:12" ht="12.75" hidden="1" customHeight="1" outlineLevel="1" x14ac:dyDescent="0.25">
      <c r="A14262" s="2380">
        <v>0.02</v>
      </c>
      <c r="B14262" s="1921" t="s">
        <v>6821</v>
      </c>
      <c r="C14262" s="2179">
        <v>291.13053279577844</v>
      </c>
      <c r="D14262" s="3280">
        <v>297.7</v>
      </c>
      <c r="E14262" s="3281">
        <v>2.2565366611099869E-2</v>
      </c>
      <c r="F14262" s="3282">
        <v>4.5130733222199738E-4</v>
      </c>
      <c r="G14262" s="78"/>
      <c r="H14262" t="s">
        <v>6822</v>
      </c>
      <c r="L14262" s="434"/>
    </row>
    <row r="14263" spans="1:12" ht="12.75" hidden="1" customHeight="1" outlineLevel="1" x14ac:dyDescent="0.25">
      <c r="A14263" s="2380">
        <v>0.08</v>
      </c>
      <c r="B14263" s="1921" t="s">
        <v>6267</v>
      </c>
      <c r="C14263" s="2179">
        <v>26.652999999999999</v>
      </c>
      <c r="D14263" s="3280">
        <v>19.36</v>
      </c>
      <c r="E14263" s="3281">
        <v>-0.2736277342137845</v>
      </c>
      <c r="F14263" s="3282">
        <v>-2.189021873710276E-2</v>
      </c>
      <c r="G14263" s="78"/>
      <c r="H14263" t="s">
        <v>6268</v>
      </c>
      <c r="L14263" s="434"/>
    </row>
    <row r="14264" spans="1:12" ht="12.75" hidden="1" customHeight="1" outlineLevel="1" x14ac:dyDescent="0.25">
      <c r="A14264" s="2380">
        <v>0.08</v>
      </c>
      <c r="B14264" s="1921" t="s">
        <v>7227</v>
      </c>
      <c r="C14264" s="2179">
        <v>18.147625074193645</v>
      </c>
      <c r="D14264" s="3280">
        <v>11.252000000000001</v>
      </c>
      <c r="E14264" s="3281">
        <v>-0.37997396607004996</v>
      </c>
      <c r="F14264" s="3282">
        <v>-3.0397917285603999E-2</v>
      </c>
      <c r="G14264" s="78"/>
      <c r="H14264" t="s">
        <v>7229</v>
      </c>
      <c r="L14264" s="434"/>
    </row>
    <row r="14265" spans="1:12" ht="12.75" hidden="1" customHeight="1" outlineLevel="1" x14ac:dyDescent="0.25">
      <c r="A14265" s="2380">
        <v>0.08</v>
      </c>
      <c r="B14265" s="1921" t="s">
        <v>1772</v>
      </c>
      <c r="C14265" s="2179">
        <v>197.64</v>
      </c>
      <c r="D14265" s="3280">
        <v>227.9</v>
      </c>
      <c r="E14265" s="3281">
        <v>0.15310665857113959</v>
      </c>
      <c r="F14265" s="3282">
        <v>1.2248532685691167E-2</v>
      </c>
      <c r="G14265" s="78"/>
      <c r="H14265" t="s">
        <v>4330</v>
      </c>
      <c r="L14265" s="434"/>
    </row>
    <row r="14266" spans="1:12" ht="12.75" hidden="1" customHeight="1" outlineLevel="1" x14ac:dyDescent="0.25">
      <c r="A14266" s="2380">
        <v>0.02</v>
      </c>
      <c r="B14266" s="1921" t="s">
        <v>2786</v>
      </c>
      <c r="C14266" s="2179">
        <v>874.84075782186551</v>
      </c>
      <c r="D14266" s="3280">
        <v>924.1</v>
      </c>
      <c r="E14266" s="3281">
        <v>5.6306524059050123E-2</v>
      </c>
      <c r="F14266" s="3282">
        <v>1.1261304811810025E-3</v>
      </c>
      <c r="G14266" s="78"/>
      <c r="H14266" t="s">
        <v>4195</v>
      </c>
      <c r="L14266" s="434"/>
    </row>
    <row r="14267" spans="1:12" ht="12.75" hidden="1" customHeight="1" outlineLevel="1" x14ac:dyDescent="0.25">
      <c r="A14267" s="2380">
        <v>0.04</v>
      </c>
      <c r="B14267" s="1921" t="s">
        <v>5824</v>
      </c>
      <c r="C14267" s="2179">
        <v>15.1455</v>
      </c>
      <c r="D14267" s="3280">
        <v>9.3949999999999996</v>
      </c>
      <c r="E14267" s="3281">
        <v>-0.37968373444257375</v>
      </c>
      <c r="F14267" s="3282">
        <v>-1.518734937770295E-2</v>
      </c>
      <c r="G14267" s="78"/>
      <c r="H14267" t="s">
        <v>5817</v>
      </c>
      <c r="L14267" s="434"/>
    </row>
    <row r="14268" spans="1:12" ht="12.75" hidden="1" customHeight="1" outlineLevel="1" x14ac:dyDescent="0.25">
      <c r="A14268" s="2380">
        <v>0.02</v>
      </c>
      <c r="B14268" s="1921" t="s">
        <v>2469</v>
      </c>
      <c r="C14268" s="2179">
        <v>53.195999999999998</v>
      </c>
      <c r="D14268" s="3280">
        <v>8.7899999999999991</v>
      </c>
      <c r="E14268" s="3281">
        <v>-0.83476201218136703</v>
      </c>
      <c r="F14268" s="3282">
        <v>-1.6695240243627341E-2</v>
      </c>
      <c r="G14268" s="78"/>
      <c r="H14268" t="s">
        <v>2696</v>
      </c>
      <c r="L14268" s="434"/>
    </row>
    <row r="14269" spans="1:12" ht="12.75" hidden="1" customHeight="1" outlineLevel="1" x14ac:dyDescent="0.25">
      <c r="A14269" s="2380">
        <v>0.05</v>
      </c>
      <c r="B14269" s="1921" t="s">
        <v>6270</v>
      </c>
      <c r="C14269" s="2179">
        <v>46.659493665377894</v>
      </c>
      <c r="D14269" s="3280">
        <v>40.619999999999997</v>
      </c>
      <c r="E14269" s="3281">
        <v>-0.12943761689080013</v>
      </c>
      <c r="F14269" s="3282">
        <v>-6.4718808445400067E-3</v>
      </c>
      <c r="G14269" s="78"/>
      <c r="H14269" t="s">
        <v>8166</v>
      </c>
      <c r="L14269" s="434"/>
    </row>
    <row r="14270" spans="1:12" ht="12.75" hidden="1" customHeight="1" outlineLevel="1" x14ac:dyDescent="0.25">
      <c r="A14270" s="2380">
        <v>0.05</v>
      </c>
      <c r="B14270" s="1921" t="s">
        <v>6116</v>
      </c>
      <c r="C14270" s="2179">
        <v>3.7682173453912471</v>
      </c>
      <c r="D14270" s="3280">
        <v>5.1040000000000001</v>
      </c>
      <c r="E14270" s="3281">
        <v>0.35448662647936025</v>
      </c>
      <c r="F14270" s="3282">
        <v>1.7724331323968012E-2</v>
      </c>
      <c r="G14270" s="78"/>
      <c r="H14270" t="s">
        <v>6114</v>
      </c>
      <c r="L14270" s="434"/>
    </row>
    <row r="14271" spans="1:12" ht="12.75" hidden="1" customHeight="1" outlineLevel="1" x14ac:dyDescent="0.25">
      <c r="A14271" s="2380">
        <v>0.04</v>
      </c>
      <c r="B14271" s="1921" t="s">
        <v>1724</v>
      </c>
      <c r="C14271" s="2179">
        <v>220.4300001857674</v>
      </c>
      <c r="D14271" s="3280">
        <v>167.76</v>
      </c>
      <c r="E14271" s="3281">
        <v>-0.23894206841800014</v>
      </c>
      <c r="F14271" s="3282">
        <v>-9.5576827367200058E-3</v>
      </c>
      <c r="G14271" s="78"/>
      <c r="H14271" t="s">
        <v>1725</v>
      </c>
      <c r="L14271" s="434"/>
    </row>
    <row r="14272" spans="1:12" ht="12.75" hidden="1" customHeight="1" outlineLevel="1" x14ac:dyDescent="0.25">
      <c r="A14272" s="2380">
        <v>0.08</v>
      </c>
      <c r="B14272" s="1921" t="s">
        <v>6118</v>
      </c>
      <c r="C14272" s="2179">
        <v>89.828083017371654</v>
      </c>
      <c r="D14272" s="3280">
        <v>82.02</v>
      </c>
      <c r="E14272" s="3281">
        <v>-8.6922516378999948E-2</v>
      </c>
      <c r="F14272" s="3282">
        <v>-6.9538013103199962E-3</v>
      </c>
      <c r="G14272" s="78"/>
      <c r="H14272" t="s">
        <v>8893</v>
      </c>
      <c r="L14272" s="434"/>
    </row>
    <row r="14273" spans="1:12" ht="12.75" hidden="1" customHeight="1" outlineLevel="1" x14ac:dyDescent="0.25">
      <c r="A14273" s="2380">
        <v>0.05</v>
      </c>
      <c r="B14273" s="1921" t="s">
        <v>1239</v>
      </c>
      <c r="C14273" s="2179">
        <v>565.39999878778235</v>
      </c>
      <c r="D14273" s="3280">
        <v>545</v>
      </c>
      <c r="E14273" s="3281">
        <v>-3.6080648799999948E-2</v>
      </c>
      <c r="F14273" s="3282">
        <v>-1.8040324399999975E-3</v>
      </c>
      <c r="G14273" s="78"/>
      <c r="H14273" t="s">
        <v>8891</v>
      </c>
      <c r="L14273" s="434"/>
    </row>
    <row r="14274" spans="1:12" ht="12.75" hidden="1" customHeight="1" outlineLevel="1" x14ac:dyDescent="0.25">
      <c r="A14274" s="2380">
        <v>0.05</v>
      </c>
      <c r="B14274" s="1921" t="s">
        <v>577</v>
      </c>
      <c r="C14274" s="2179">
        <v>13.172590845279251</v>
      </c>
      <c r="D14274" s="3280">
        <v>3.8660000000000001</v>
      </c>
      <c r="E14274" s="3281">
        <v>-0.70651179821732002</v>
      </c>
      <c r="F14274" s="3282">
        <v>-3.5325589910866005E-2</v>
      </c>
      <c r="G14274" s="78"/>
      <c r="H14274" t="s">
        <v>6732</v>
      </c>
      <c r="L14274" s="434"/>
    </row>
    <row r="14275" spans="1:12" ht="12.75" hidden="1" customHeight="1" outlineLevel="1" x14ac:dyDescent="0.25">
      <c r="A14275" s="2380">
        <v>0.05</v>
      </c>
      <c r="B14275" s="1921" t="s">
        <v>6165</v>
      </c>
      <c r="C14275" s="2179">
        <v>53.75</v>
      </c>
      <c r="D14275" s="3280">
        <v>37.79</v>
      </c>
      <c r="E14275" s="3281">
        <v>-0.29693023255813955</v>
      </c>
      <c r="F14275" s="3282">
        <v>-1.4846511627906978E-2</v>
      </c>
      <c r="G14275" s="78"/>
      <c r="H14275" t="s">
        <v>7745</v>
      </c>
      <c r="L14275" s="434"/>
    </row>
    <row r="14276" spans="1:12" ht="12.75" hidden="1" customHeight="1" outlineLevel="1" x14ac:dyDescent="0.25">
      <c r="A14276" s="2380">
        <v>0.08</v>
      </c>
      <c r="B14276" s="2109" t="s">
        <v>4550</v>
      </c>
      <c r="C14276" s="2179">
        <v>323.85000000000002</v>
      </c>
      <c r="D14276" s="3283">
        <v>365.8</v>
      </c>
      <c r="E14276" s="3281">
        <v>0.12953527867840053</v>
      </c>
      <c r="F14276" s="3282">
        <v>1.0362822294272043E-2</v>
      </c>
      <c r="G14276" s="78"/>
      <c r="H14276" t="s">
        <v>8889</v>
      </c>
      <c r="L14276" s="434"/>
    </row>
    <row r="14277" spans="1:12" ht="12.75" hidden="1" customHeight="1" outlineLevel="1" x14ac:dyDescent="0.25">
      <c r="A14277" s="2181" t="s">
        <v>2734</v>
      </c>
      <c r="B14277" s="2103"/>
      <c r="C14277" s="3258"/>
      <c r="D14277" s="3259"/>
      <c r="E14277" s="3284"/>
      <c r="F14277" s="3277">
        <v>-0.1575146294371545</v>
      </c>
      <c r="G14277" s="78"/>
    </row>
    <row r="14278" spans="1:12" ht="12.75" hidden="1" customHeight="1" outlineLevel="1" x14ac:dyDescent="0.25">
      <c r="A14278" s="1956" t="s">
        <v>6843</v>
      </c>
      <c r="B14278" s="2185">
        <v>43862</v>
      </c>
      <c r="C14278" s="3261">
        <v>100</v>
      </c>
      <c r="D14278" s="3261">
        <v>86.678700000000006</v>
      </c>
      <c r="E14278" s="3262">
        <v>-0.13321299999999991</v>
      </c>
      <c r="F14278" s="3285"/>
      <c r="G14278" s="78"/>
    </row>
    <row r="14279" spans="1:12" ht="12.75" hidden="1" customHeight="1" outlineLevel="1" x14ac:dyDescent="0.25">
      <c r="A14279" s="1956" t="s">
        <v>6844</v>
      </c>
      <c r="B14279" s="2185">
        <v>43891</v>
      </c>
      <c r="C14279" s="3261">
        <v>100</v>
      </c>
      <c r="D14279" s="3264">
        <v>72.543999999999997</v>
      </c>
      <c r="E14279" s="3262">
        <v>-0.27456000000000003</v>
      </c>
      <c r="F14279" s="3285"/>
      <c r="G14279" s="78"/>
    </row>
    <row r="14280" spans="1:12" ht="12.75" hidden="1" customHeight="1" outlineLevel="1" x14ac:dyDescent="0.25">
      <c r="A14280" s="1956" t="s">
        <v>6845</v>
      </c>
      <c r="B14280" s="2185">
        <v>43922</v>
      </c>
      <c r="C14280" s="3261">
        <v>100</v>
      </c>
      <c r="D14280" s="3264">
        <v>73.229200000000006</v>
      </c>
      <c r="E14280" s="3262">
        <v>-0.26770799999999995</v>
      </c>
      <c r="F14280" s="3285"/>
      <c r="G14280" s="78"/>
    </row>
    <row r="14281" spans="1:12" ht="12.75" hidden="1" customHeight="1" outlineLevel="1" x14ac:dyDescent="0.25">
      <c r="A14281" s="1956" t="s">
        <v>6846</v>
      </c>
      <c r="B14281" s="2185">
        <v>43952</v>
      </c>
      <c r="C14281" s="3261">
        <v>100</v>
      </c>
      <c r="D14281" s="3264">
        <v>73.122399999999999</v>
      </c>
      <c r="E14281" s="3262">
        <v>-0.26877600000000001</v>
      </c>
      <c r="F14281" s="3285"/>
      <c r="G14281" s="78"/>
    </row>
    <row r="14282" spans="1:12" ht="12.75" hidden="1" customHeight="1" outlineLevel="1" x14ac:dyDescent="0.25">
      <c r="A14282" s="1956" t="s">
        <v>6847</v>
      </c>
      <c r="B14282" s="2185">
        <v>43983</v>
      </c>
      <c r="C14282" s="3261">
        <v>100</v>
      </c>
      <c r="D14282" s="3264">
        <v>77.130499999999998</v>
      </c>
      <c r="E14282" s="3262">
        <v>-0.22869499999999998</v>
      </c>
      <c r="F14282" s="3285"/>
      <c r="G14282" s="78"/>
    </row>
    <row r="14283" spans="1:12" ht="12.75" hidden="1" customHeight="1" outlineLevel="1" x14ac:dyDescent="0.25">
      <c r="A14283" s="1956" t="s">
        <v>6848</v>
      </c>
      <c r="B14283" s="2185">
        <v>44013</v>
      </c>
      <c r="C14283" s="3261">
        <v>100</v>
      </c>
      <c r="D14283" s="3264">
        <v>76.835300000000004</v>
      </c>
      <c r="E14283" s="3262">
        <v>-0.23164699999999994</v>
      </c>
      <c r="F14283" s="3285"/>
      <c r="G14283" s="78"/>
    </row>
    <row r="14284" spans="1:12" ht="12.75" hidden="1" customHeight="1" outlineLevel="1" x14ac:dyDescent="0.25">
      <c r="A14284" s="1956" t="s">
        <v>6849</v>
      </c>
      <c r="B14284" s="2185">
        <v>44044</v>
      </c>
      <c r="C14284" s="3261">
        <v>100</v>
      </c>
      <c r="D14284" s="3264">
        <v>77.587299999999999</v>
      </c>
      <c r="E14284" s="3262">
        <v>-0.22412699999999997</v>
      </c>
      <c r="F14284" s="3285"/>
      <c r="G14284" s="78"/>
    </row>
    <row r="14285" spans="1:12" ht="12.75" hidden="1" customHeight="1" outlineLevel="1" x14ac:dyDescent="0.25">
      <c r="A14285" s="1956" t="s">
        <v>6850</v>
      </c>
      <c r="B14285" s="2185">
        <v>44075</v>
      </c>
      <c r="C14285" s="3261">
        <v>100</v>
      </c>
      <c r="D14285" s="3264">
        <v>74.551900000000003</v>
      </c>
      <c r="E14285" s="3262">
        <v>-0.25448099999999996</v>
      </c>
      <c r="F14285" s="3285"/>
      <c r="G14285" s="78"/>
    </row>
    <row r="14286" spans="1:12" ht="12.75" hidden="1" customHeight="1" outlineLevel="1" x14ac:dyDescent="0.25">
      <c r="A14286" s="1956" t="s">
        <v>6851</v>
      </c>
      <c r="B14286" s="2185">
        <v>44105</v>
      </c>
      <c r="C14286" s="3261">
        <v>100</v>
      </c>
      <c r="D14286" s="3264">
        <v>71.131100000000004</v>
      </c>
      <c r="E14286" s="3262">
        <v>-0.28868899999999997</v>
      </c>
      <c r="F14286" s="3285"/>
      <c r="G14286" s="78"/>
    </row>
    <row r="14287" spans="1:12" ht="12.75" hidden="1" customHeight="1" outlineLevel="1" x14ac:dyDescent="0.25">
      <c r="A14287" s="1956" t="s">
        <v>6852</v>
      </c>
      <c r="B14287" s="2185">
        <v>44136</v>
      </c>
      <c r="C14287" s="3261">
        <v>100</v>
      </c>
      <c r="D14287" s="3264">
        <v>81.649900000000002</v>
      </c>
      <c r="E14287" s="3262">
        <v>-0.18350100000000003</v>
      </c>
      <c r="F14287" s="3285"/>
      <c r="G14287" s="78"/>
    </row>
    <row r="14288" spans="1:12" ht="12.75" hidden="1" customHeight="1" outlineLevel="1" x14ac:dyDescent="0.25">
      <c r="A14288" s="1956" t="s">
        <v>6853</v>
      </c>
      <c r="B14288" s="2185">
        <v>44166</v>
      </c>
      <c r="C14288" s="3261">
        <v>100</v>
      </c>
      <c r="D14288" s="3264">
        <v>80.497</v>
      </c>
      <c r="E14288" s="3262">
        <v>-0.19503000000000004</v>
      </c>
      <c r="F14288" s="3285"/>
      <c r="G14288" s="78"/>
    </row>
    <row r="14289" spans="1:38" ht="12.75" hidden="1" customHeight="1" outlineLevel="1" x14ac:dyDescent="0.25">
      <c r="A14289" s="1956" t="s">
        <v>6854</v>
      </c>
      <c r="B14289" s="2185">
        <v>44197</v>
      </c>
      <c r="C14289" s="3261">
        <v>100</v>
      </c>
      <c r="D14289" s="3264">
        <v>78.666600000000003</v>
      </c>
      <c r="E14289" s="3262">
        <v>-0.21333400000000002</v>
      </c>
      <c r="F14289" s="3285"/>
      <c r="G14289" s="78"/>
    </row>
    <row r="14290" spans="1:38" ht="12.75" hidden="1" customHeight="1" outlineLevel="1" x14ac:dyDescent="0.25">
      <c r="A14290" s="1956" t="s">
        <v>6855</v>
      </c>
      <c r="B14290" s="2185">
        <v>44228</v>
      </c>
      <c r="C14290" s="3261">
        <v>100</v>
      </c>
      <c r="D14290" s="3264">
        <v>80.275499999999994</v>
      </c>
      <c r="E14290" s="3262">
        <v>-0.19724500000000011</v>
      </c>
      <c r="F14290" s="3285"/>
      <c r="G14290" s="78"/>
    </row>
    <row r="14291" spans="1:38" ht="12.75" hidden="1" customHeight="1" outlineLevel="1" x14ac:dyDescent="0.25">
      <c r="A14291" s="1956" t="s">
        <v>6856</v>
      </c>
      <c r="B14291" s="2185">
        <v>44256</v>
      </c>
      <c r="C14291" s="3261">
        <v>100</v>
      </c>
      <c r="D14291" s="3264">
        <v>85.944800000000001</v>
      </c>
      <c r="E14291" s="3262">
        <v>-0.14055200000000001</v>
      </c>
      <c r="F14291" s="3285"/>
      <c r="G14291" s="78"/>
    </row>
    <row r="14292" spans="1:38" ht="12.75" hidden="1" customHeight="1" outlineLevel="1" x14ac:dyDescent="0.25">
      <c r="A14292" s="1956" t="s">
        <v>6857</v>
      </c>
      <c r="B14292" s="2185">
        <v>44287</v>
      </c>
      <c r="C14292" s="3261">
        <v>100</v>
      </c>
      <c r="D14292" s="3264">
        <v>83.379800000000003</v>
      </c>
      <c r="E14292" s="3262">
        <v>-0.16620199999999996</v>
      </c>
      <c r="F14292" s="3285"/>
      <c r="G14292" s="78"/>
    </row>
    <row r="14293" spans="1:38" ht="12.75" hidden="1" customHeight="1" outlineLevel="1" x14ac:dyDescent="0.25">
      <c r="A14293" s="1956" t="s">
        <v>6858</v>
      </c>
      <c r="B14293" s="2185">
        <v>44317</v>
      </c>
      <c r="C14293" s="3261">
        <v>100</v>
      </c>
      <c r="D14293" s="3264">
        <v>84.488900000000001</v>
      </c>
      <c r="E14293" s="3262">
        <v>-0.155111</v>
      </c>
      <c r="F14293" s="3285"/>
      <c r="G14293" s="78"/>
    </row>
    <row r="14294" spans="1:38" ht="12.75" hidden="1" customHeight="1" outlineLevel="1" x14ac:dyDescent="0.25">
      <c r="A14294" s="1956" t="s">
        <v>6859</v>
      </c>
      <c r="B14294" s="2185">
        <v>44348</v>
      </c>
      <c r="C14294" s="3261">
        <v>100</v>
      </c>
      <c r="D14294" s="3264">
        <v>84.1066</v>
      </c>
      <c r="E14294" s="3262">
        <v>-0.15893400000000002</v>
      </c>
      <c r="F14294" s="3285"/>
      <c r="G14294" s="78"/>
    </row>
    <row r="14295" spans="1:38" ht="12.75" hidden="1" customHeight="1" outlineLevel="1" x14ac:dyDescent="0.25">
      <c r="A14295" s="1956" t="s">
        <v>6860</v>
      </c>
      <c r="B14295" s="2185">
        <v>44378</v>
      </c>
      <c r="C14295" s="3261">
        <v>100</v>
      </c>
      <c r="D14295" s="3264">
        <v>84.298400000000001</v>
      </c>
      <c r="E14295" s="3262">
        <v>-0.15701600000000004</v>
      </c>
      <c r="F14295" s="3285"/>
      <c r="G14295" s="78"/>
    </row>
    <row r="14296" spans="1:38" ht="12.75" hidden="1" customHeight="1" outlineLevel="1" x14ac:dyDescent="0.25">
      <c r="A14296" s="2189" t="s">
        <v>2734</v>
      </c>
      <c r="B14296" s="2190"/>
      <c r="C14296" s="3264"/>
      <c r="D14296" s="2191" t="s">
        <v>2465</v>
      </c>
      <c r="E14296" s="1987">
        <v>-0.20771227777777776</v>
      </c>
      <c r="F14296" s="2192">
        <v>-0.20771227777777776</v>
      </c>
      <c r="G14296" s="78"/>
    </row>
    <row r="14297" spans="1:38" collapsed="1" x14ac:dyDescent="0.25">
      <c r="A14297" s="3801" t="s">
        <v>6927</v>
      </c>
      <c r="B14297" s="3802"/>
      <c r="C14297" s="3802"/>
      <c r="D14297" s="3802"/>
      <c r="E14297" s="1906"/>
      <c r="F14297" s="1907">
        <v>-0.05</v>
      </c>
      <c r="G14297" s="78"/>
    </row>
    <row r="14299" spans="1:38" ht="12.75" hidden="1" customHeight="1" outlineLevel="1" x14ac:dyDescent="0.3">
      <c r="A14299" s="3237" t="s">
        <v>113</v>
      </c>
      <c r="B14299" s="3237" t="s">
        <v>114</v>
      </c>
      <c r="C14299" s="3237" t="s">
        <v>112</v>
      </c>
      <c r="D14299" s="3237" t="s">
        <v>116</v>
      </c>
      <c r="E14299" s="3237" t="s">
        <v>117</v>
      </c>
      <c r="F14299" s="3276" t="s">
        <v>121</v>
      </c>
      <c r="G14299" s="78"/>
      <c r="J14299" s="3228" t="s">
        <v>10540</v>
      </c>
      <c r="K14299" s="3228" t="s">
        <v>10541</v>
      </c>
      <c r="L14299" s="3229" t="s">
        <v>10675</v>
      </c>
      <c r="M14299" s="3230">
        <v>44104</v>
      </c>
      <c r="N14299" s="3228" t="s">
        <v>10676</v>
      </c>
      <c r="O14299" s="3230">
        <v>44165</v>
      </c>
      <c r="P14299" s="3230">
        <v>44195</v>
      </c>
      <c r="Q14299" s="3230">
        <v>44196</v>
      </c>
      <c r="R14299" s="3230">
        <v>44225</v>
      </c>
      <c r="S14299" s="3230">
        <v>44253</v>
      </c>
      <c r="T14299" s="3228" t="s">
        <v>10677</v>
      </c>
      <c r="U14299" s="3230">
        <v>44316</v>
      </c>
      <c r="V14299" s="3228" t="s">
        <v>10678</v>
      </c>
      <c r="W14299" s="3228" t="s">
        <v>10679</v>
      </c>
      <c r="X14299" s="3230">
        <v>44377</v>
      </c>
      <c r="Y14299" s="3230">
        <v>44407</v>
      </c>
      <c r="Z14299" s="3230">
        <v>44439</v>
      </c>
      <c r="AA14299" s="3230">
        <v>44469</v>
      </c>
      <c r="AB14299" s="3228" t="s">
        <v>10680</v>
      </c>
      <c r="AC14299" s="3230">
        <v>44530</v>
      </c>
      <c r="AD14299" s="3230">
        <v>44560</v>
      </c>
      <c r="AE14299" s="3230">
        <v>44561</v>
      </c>
      <c r="AF14299" s="3230">
        <v>44592</v>
      </c>
      <c r="AG14299" s="3230">
        <v>44620</v>
      </c>
      <c r="AH14299" s="3485"/>
      <c r="AI14299" s="3231" t="s">
        <v>5277</v>
      </c>
      <c r="AJ14299" s="3231" t="s">
        <v>10588</v>
      </c>
      <c r="AK14299" s="3486" t="s">
        <v>10681</v>
      </c>
      <c r="AL14299" s="3233"/>
    </row>
    <row r="14300" spans="1:38" ht="12.75" hidden="1" customHeight="1" outlineLevel="1" x14ac:dyDescent="0.3">
      <c r="A14300" s="3238">
        <v>1</v>
      </c>
      <c r="B14300" s="3239" t="s">
        <v>252</v>
      </c>
      <c r="C14300" s="3240">
        <v>100</v>
      </c>
      <c r="D14300" s="3240"/>
      <c r="E14300" s="3241"/>
      <c r="F14300" s="3242"/>
      <c r="G14300" s="78"/>
      <c r="J14300" s="3487" t="s">
        <v>10542</v>
      </c>
      <c r="K14300" s="3487" t="s">
        <v>360</v>
      </c>
      <c r="L14300" s="3488">
        <v>2.2262815200000001E-2</v>
      </c>
      <c r="M14300" s="3487">
        <v>163.62</v>
      </c>
      <c r="N14300" s="3487">
        <v>151.06</v>
      </c>
      <c r="O14300" s="3487">
        <v>197.66</v>
      </c>
      <c r="P14300" s="3487">
        <v>200.7</v>
      </c>
      <c r="Q14300" s="3487"/>
      <c r="R14300" s="3487">
        <v>186.52</v>
      </c>
      <c r="S14300" s="3487">
        <v>199.8</v>
      </c>
      <c r="T14300" s="3487">
        <v>217.05</v>
      </c>
      <c r="U14300" s="3487">
        <v>216.4</v>
      </c>
      <c r="V14300" s="3487"/>
      <c r="W14300" s="3487">
        <v>215.45</v>
      </c>
      <c r="X14300" s="3487">
        <v>210.3</v>
      </c>
      <c r="Y14300" s="3487">
        <v>210</v>
      </c>
      <c r="Z14300" s="3487">
        <v>198.98</v>
      </c>
      <c r="AA14300" s="3487">
        <v>194.84</v>
      </c>
      <c r="AB14300" s="3487">
        <v>201.15</v>
      </c>
      <c r="AC14300" s="3487">
        <v>192.44</v>
      </c>
      <c r="AD14300" s="3487">
        <v>207.65</v>
      </c>
      <c r="AE14300" s="3487"/>
      <c r="AF14300" s="3487">
        <v>227.35</v>
      </c>
      <c r="AG14300" s="3487">
        <v>203.3</v>
      </c>
      <c r="AH14300" s="3489"/>
      <c r="AI14300" s="3487">
        <v>199.6816666666667</v>
      </c>
      <c r="AJ14300" s="3487">
        <v>149.72499999999999</v>
      </c>
      <c r="AK14300" s="3490">
        <v>0.33365614738131044</v>
      </c>
      <c r="AL14300" s="3489" t="s">
        <v>10682</v>
      </c>
    </row>
    <row r="14301" spans="1:38" ht="12.75" hidden="1" customHeight="1" outlineLevel="1" x14ac:dyDescent="0.3">
      <c r="A14301" s="3243" t="s">
        <v>2734</v>
      </c>
      <c r="B14301" s="3243"/>
      <c r="C14301" s="3244"/>
      <c r="D14301" s="1900" t="s">
        <v>3702</v>
      </c>
      <c r="E14301" s="3245">
        <v>44620</v>
      </c>
      <c r="F14301" s="3246"/>
      <c r="G14301" s="78"/>
      <c r="I14301" s="370"/>
      <c r="J14301" s="3231" t="s">
        <v>10543</v>
      </c>
      <c r="K14301" s="3231" t="s">
        <v>2812</v>
      </c>
      <c r="L14301" s="3491">
        <v>6.4358117899999998E-2</v>
      </c>
      <c r="M14301" s="3231">
        <v>38.64</v>
      </c>
      <c r="N14301" s="3231">
        <v>36.08</v>
      </c>
      <c r="O14301" s="3231">
        <v>39.83</v>
      </c>
      <c r="P14301" s="3231"/>
      <c r="Q14301" s="3231">
        <v>41</v>
      </c>
      <c r="R14301" s="3231">
        <v>41.08</v>
      </c>
      <c r="S14301" s="3231">
        <v>43.6</v>
      </c>
      <c r="T14301" s="3231">
        <v>51.16</v>
      </c>
      <c r="U14301" s="3231">
        <v>47.75</v>
      </c>
      <c r="V14301" s="3231">
        <v>49.22</v>
      </c>
      <c r="W14301" s="3231"/>
      <c r="X14301" s="3231">
        <v>47.68</v>
      </c>
      <c r="Y14301" s="3231">
        <v>48.04</v>
      </c>
      <c r="Z14301" s="3231">
        <v>50.23</v>
      </c>
      <c r="AA14301" s="3231">
        <v>45.52</v>
      </c>
      <c r="AB14301" s="3231">
        <v>44.11</v>
      </c>
      <c r="AC14301" s="3231">
        <v>42.64</v>
      </c>
      <c r="AD14301" s="3231"/>
      <c r="AE14301" s="3231">
        <v>47.39</v>
      </c>
      <c r="AF14301" s="3231">
        <v>50.88</v>
      </c>
      <c r="AG14301" s="3231">
        <v>51.29</v>
      </c>
      <c r="AH14301" s="3233"/>
      <c r="AI14301" s="3231">
        <v>45.341111111111111</v>
      </c>
      <c r="AJ14301" s="3231">
        <v>51.793000000000006</v>
      </c>
      <c r="AK14301" s="3492">
        <v>-0.12457067342862731</v>
      </c>
      <c r="AL14301" s="3233"/>
    </row>
    <row r="14302" spans="1:38" ht="12.75" hidden="1" customHeight="1" outlineLevel="1" x14ac:dyDescent="0.3">
      <c r="A14302" s="3237" t="s">
        <v>4156</v>
      </c>
      <c r="B14302" s="3237" t="s">
        <v>4153</v>
      </c>
      <c r="C14302" s="3247" t="s">
        <v>112</v>
      </c>
      <c r="D14302" s="3248" t="s">
        <v>4155</v>
      </c>
      <c r="E14302" s="3248" t="s">
        <v>4154</v>
      </c>
      <c r="F14302" s="3277" t="s">
        <v>2519</v>
      </c>
      <c r="G14302" s="78"/>
      <c r="I14302" s="1628"/>
      <c r="J14302" s="3231" t="s">
        <v>6046</v>
      </c>
      <c r="K14302" s="3231" t="s">
        <v>4000</v>
      </c>
      <c r="L14302" s="3491">
        <v>9.6444071500000006E-2</v>
      </c>
      <c r="M14302" s="3231">
        <v>28.51</v>
      </c>
      <c r="N14302" s="3231">
        <v>27.02</v>
      </c>
      <c r="O14302" s="3231">
        <v>28.75</v>
      </c>
      <c r="P14302" s="3231"/>
      <c r="Q14302" s="3231">
        <v>28.76</v>
      </c>
      <c r="R14302" s="3231">
        <v>28.63</v>
      </c>
      <c r="S14302" s="3231">
        <v>27.89</v>
      </c>
      <c r="T14302" s="3231">
        <v>30.27</v>
      </c>
      <c r="U14302" s="3231">
        <v>31.41</v>
      </c>
      <c r="V14302" s="3231">
        <v>29.43</v>
      </c>
      <c r="W14302" s="3231"/>
      <c r="X14302" s="3231">
        <v>28.78</v>
      </c>
      <c r="Y14302" s="3231">
        <v>28.05</v>
      </c>
      <c r="Z14302" s="3231">
        <v>27.42</v>
      </c>
      <c r="AA14302" s="3231">
        <v>27.01</v>
      </c>
      <c r="AB14302" s="3231">
        <v>25.26</v>
      </c>
      <c r="AC14302" s="3231">
        <v>22.83</v>
      </c>
      <c r="AD14302" s="3231"/>
      <c r="AE14302" s="3231">
        <v>24.6</v>
      </c>
      <c r="AF14302" s="3231">
        <v>25.5</v>
      </c>
      <c r="AG14302" s="3231">
        <v>23.69</v>
      </c>
      <c r="AH14302" s="3233"/>
      <c r="AI14302" s="3231">
        <v>27.433888888888891</v>
      </c>
      <c r="AJ14302" s="3231">
        <v>34.561999999999998</v>
      </c>
      <c r="AK14302" s="3492">
        <v>-0.20624127976133058</v>
      </c>
      <c r="AL14302" s="3233"/>
    </row>
    <row r="14303" spans="1:38" ht="12.75" hidden="1" customHeight="1" outlineLevel="1" x14ac:dyDescent="0.3">
      <c r="A14303" s="1991">
        <v>3.3333000000000002E-2</v>
      </c>
      <c r="B14303" s="1921" t="s">
        <v>359</v>
      </c>
      <c r="C14303" s="2108">
        <v>149.72499999999999</v>
      </c>
      <c r="D14303" s="3249">
        <v>203.3</v>
      </c>
      <c r="E14303" s="3250">
        <v>0.35782267490399078</v>
      </c>
      <c r="F14303" s="3277">
        <v>1.1927303222574724E-2</v>
      </c>
      <c r="G14303" s="78"/>
      <c r="H14303" t="str">
        <f>VLOOKUP(B14303,indexy!$A$44:$D$823,3,FALSE)</f>
        <v>ALV GY Equity</v>
      </c>
      <c r="I14303" s="370"/>
      <c r="J14303" s="3231" t="s">
        <v>10683</v>
      </c>
      <c r="K14303" s="3231" t="s">
        <v>656</v>
      </c>
      <c r="L14303" s="3491">
        <v>0.14257057309999999</v>
      </c>
      <c r="M14303" s="3231">
        <v>15.776</v>
      </c>
      <c r="N14303" s="3231">
        <v>13.8</v>
      </c>
      <c r="O14303" s="3231">
        <v>19.712</v>
      </c>
      <c r="P14303" s="3231"/>
      <c r="Q14303" s="3231">
        <v>19.512</v>
      </c>
      <c r="R14303" s="3231">
        <v>18.3</v>
      </c>
      <c r="S14303" s="3231">
        <v>20.8</v>
      </c>
      <c r="T14303" s="3231">
        <v>22.885000000000002</v>
      </c>
      <c r="U14303" s="3231">
        <v>23.524999999999999</v>
      </c>
      <c r="V14303" s="3231"/>
      <c r="W14303" s="3231">
        <v>22.58</v>
      </c>
      <c r="X14303" s="3231">
        <v>21.385000000000002</v>
      </c>
      <c r="Y14303" s="3231">
        <v>21.88</v>
      </c>
      <c r="Z14303" s="3231">
        <v>23.78</v>
      </c>
      <c r="AA14303" s="3231">
        <v>24.085000000000001</v>
      </c>
      <c r="AB14303" s="3231">
        <v>25.16</v>
      </c>
      <c r="AC14303" s="3231">
        <v>24.35</v>
      </c>
      <c r="AD14303" s="3231"/>
      <c r="AE14303" s="3231">
        <v>26.184999999999999</v>
      </c>
      <c r="AF14303" s="3231">
        <v>27.954999999999998</v>
      </c>
      <c r="AG14303" s="3231">
        <v>24.274999999999999</v>
      </c>
      <c r="AH14303" s="3233"/>
      <c r="AI14303" s="3231">
        <v>21.996944444444445</v>
      </c>
      <c r="AJ14303" s="3231">
        <v>23.380000000000003</v>
      </c>
      <c r="AK14303" s="3492">
        <v>-5.9155498526756098E-2</v>
      </c>
      <c r="AL14303" s="3233"/>
    </row>
    <row r="14304" spans="1:38" ht="12.75" hidden="1" customHeight="1" outlineLevel="1" x14ac:dyDescent="0.3">
      <c r="A14304" s="2380">
        <v>3.3333000000000002E-2</v>
      </c>
      <c r="B14304" s="1921" t="s">
        <v>1993</v>
      </c>
      <c r="C14304" s="2108">
        <v>51.793000000000006</v>
      </c>
      <c r="D14304" s="3252">
        <v>51.29</v>
      </c>
      <c r="E14304" s="3253">
        <v>-9.7117371073311975E-3</v>
      </c>
      <c r="F14304" s="3282">
        <v>-3.2372133299867081E-4</v>
      </c>
      <c r="G14304" s="78"/>
      <c r="H14304" t="str">
        <f>VLOOKUP(B14304,indexy!$A$44:$D$823,3,FALSE)</f>
        <v>MO UN Equity</v>
      </c>
      <c r="I14304" s="370"/>
      <c r="J14304" s="3231" t="s">
        <v>5386</v>
      </c>
      <c r="K14304" s="3231" t="s">
        <v>808</v>
      </c>
      <c r="L14304" s="3491">
        <v>6.21351079E-2</v>
      </c>
      <c r="M14304" s="3231">
        <v>55.22</v>
      </c>
      <c r="N14304" s="3231">
        <v>53.54</v>
      </c>
      <c r="O14304" s="3231">
        <v>56.3</v>
      </c>
      <c r="P14304" s="3231"/>
      <c r="Q14304" s="3231">
        <v>54.43</v>
      </c>
      <c r="R14304" s="3231">
        <v>54.24</v>
      </c>
      <c r="S14304" s="3231">
        <v>54.43</v>
      </c>
      <c r="T14304" s="3231">
        <v>56.73</v>
      </c>
      <c r="U14304" s="3231">
        <v>58.1</v>
      </c>
      <c r="V14304" s="3231"/>
      <c r="W14304" s="3231">
        <v>59.82</v>
      </c>
      <c r="X14304" s="3231">
        <v>61.13</v>
      </c>
      <c r="Y14304" s="3231">
        <v>62.27</v>
      </c>
      <c r="Z14304" s="3231">
        <v>65.8</v>
      </c>
      <c r="AA14304" s="3231">
        <v>63.45</v>
      </c>
      <c r="AB14304" s="3231">
        <v>63.71</v>
      </c>
      <c r="AC14304" s="3231">
        <v>64.290000000000006</v>
      </c>
      <c r="AD14304" s="3231"/>
      <c r="AE14304" s="3231">
        <v>65.81</v>
      </c>
      <c r="AF14304" s="3231">
        <v>66.400000000000006</v>
      </c>
      <c r="AG14304" s="3231">
        <v>66.569999999999993</v>
      </c>
      <c r="AH14304" s="3233"/>
      <c r="AI14304" s="3231">
        <v>60.124444444444443</v>
      </c>
      <c r="AJ14304" s="3231">
        <v>53.645999999999994</v>
      </c>
      <c r="AK14304" s="3492">
        <v>0.12076286106036703</v>
      </c>
      <c r="AL14304" s="3233"/>
    </row>
    <row r="14305" spans="1:38" ht="12.75" hidden="1" customHeight="1" outlineLevel="1" x14ac:dyDescent="0.3">
      <c r="A14305" s="2380">
        <v>3.3333000000000002E-2</v>
      </c>
      <c r="B14305" s="1921" t="s">
        <v>6937</v>
      </c>
      <c r="C14305" s="2108">
        <v>927.6</v>
      </c>
      <c r="D14305" s="3252">
        <v>546.5</v>
      </c>
      <c r="E14305" s="3253">
        <v>-0.41084519189305735</v>
      </c>
      <c r="F14305" s="3282">
        <v>-1.3694702781371281E-2</v>
      </c>
      <c r="G14305" s="78"/>
      <c r="H14305" t="str">
        <f>VLOOKUP(B14305,indexy!$A$44:$D$823,3,FALSE)</f>
        <v>AMFW LN Equity</v>
      </c>
      <c r="I14305" s="370"/>
      <c r="J14305" s="3487" t="s">
        <v>6266</v>
      </c>
      <c r="K14305" s="3487" t="s">
        <v>4334</v>
      </c>
      <c r="L14305" s="3488">
        <v>1.1915281500999999</v>
      </c>
      <c r="M14305" s="3487">
        <v>0.40089999999999998</v>
      </c>
      <c r="N14305" s="3487">
        <v>0.37180000000000002</v>
      </c>
      <c r="O14305" s="3487">
        <v>0.44119999999999998</v>
      </c>
      <c r="P14305" s="3487"/>
      <c r="Q14305" s="3487">
        <v>0.46600000000000003</v>
      </c>
      <c r="R14305" s="3487">
        <v>0.51780000000000004</v>
      </c>
      <c r="S14305" s="3487">
        <v>0.52759999999999996</v>
      </c>
      <c r="T14305" s="3487">
        <v>0.54139999999999999</v>
      </c>
      <c r="U14305" s="3487">
        <v>0.56659999999999999</v>
      </c>
      <c r="V14305" s="3487">
        <v>0.54659999999999997</v>
      </c>
      <c r="W14305" s="3487"/>
      <c r="X14305" s="3487">
        <v>0.51459999999999995</v>
      </c>
      <c r="Y14305" s="3487">
        <v>0.45469999999999999</v>
      </c>
      <c r="Z14305" s="3487">
        <v>0.51959999999999995</v>
      </c>
      <c r="AA14305" s="3487">
        <v>0.56679999999999997</v>
      </c>
      <c r="AB14305" s="3487">
        <v>0.60319999999999996</v>
      </c>
      <c r="AC14305" s="3487">
        <v>0.64780000000000004</v>
      </c>
      <c r="AD14305" s="3487"/>
      <c r="AE14305" s="3487">
        <v>0.71499999999999997</v>
      </c>
      <c r="AF14305" s="3487">
        <v>0.72319999999999995</v>
      </c>
      <c r="AG14305" s="3487">
        <v>0.77280000000000004</v>
      </c>
      <c r="AH14305" s="3489"/>
      <c r="AI14305" s="3487">
        <v>0.54986666666666673</v>
      </c>
      <c r="AJ14305" s="3487">
        <v>2.7975000000000003</v>
      </c>
      <c r="AK14305" s="3490">
        <v>-0.80344355078939533</v>
      </c>
      <c r="AL14305" s="3489" t="s">
        <v>10684</v>
      </c>
    </row>
    <row r="14306" spans="1:38" ht="12.75" hidden="1" customHeight="1" outlineLevel="1" x14ac:dyDescent="0.3">
      <c r="A14306" s="2380">
        <v>3.3333000000000002E-2</v>
      </c>
      <c r="B14306" s="1921" t="s">
        <v>3998</v>
      </c>
      <c r="C14306" s="2108">
        <v>34.561999999999998</v>
      </c>
      <c r="D14306" s="3252">
        <v>23.69</v>
      </c>
      <c r="E14306" s="3253">
        <v>-0.31456512933279313</v>
      </c>
      <c r="F14306" s="3282">
        <v>-1.0485399456049994E-2</v>
      </c>
      <c r="G14306" s="78"/>
      <c r="H14306" t="str">
        <f>VLOOKUP(B14306,indexy!$A$44:$D$823,3,FALSE)</f>
        <v>T UN Equity</v>
      </c>
      <c r="I14306" s="370"/>
      <c r="J14306" s="3487" t="s">
        <v>10685</v>
      </c>
      <c r="K14306" s="3487" t="s">
        <v>10574</v>
      </c>
      <c r="L14306" s="3488">
        <v>9.7564759299999998E-2</v>
      </c>
      <c r="M14306" s="3487">
        <v>10.09</v>
      </c>
      <c r="N14306" s="3487">
        <v>8.6199999999999992</v>
      </c>
      <c r="O14306" s="3487">
        <v>10.45</v>
      </c>
      <c r="P14306" s="3487"/>
      <c r="Q14306" s="3487">
        <v>9.75</v>
      </c>
      <c r="R14306" s="3487">
        <v>12.38</v>
      </c>
      <c r="S14306" s="3487">
        <v>12.29</v>
      </c>
      <c r="T14306" s="3487">
        <v>13.35</v>
      </c>
      <c r="U14306" s="3487">
        <v>12.83</v>
      </c>
      <c r="V14306" s="3487">
        <v>13.84</v>
      </c>
      <c r="W14306" s="3487"/>
      <c r="X14306" s="3487">
        <v>13.59</v>
      </c>
      <c r="Y14306" s="3487">
        <v>12.47</v>
      </c>
      <c r="Z14306" s="3487">
        <v>12.3</v>
      </c>
      <c r="AA14306" s="3487">
        <v>12.39</v>
      </c>
      <c r="AB14306" s="3487">
        <v>11.86</v>
      </c>
      <c r="AC14306" s="3487">
        <v>12.34</v>
      </c>
      <c r="AD14306" s="3487"/>
      <c r="AE14306" s="3487">
        <v>12.55</v>
      </c>
      <c r="AF14306" s="3487">
        <v>12.36</v>
      </c>
      <c r="AG14306" s="3487">
        <v>10.36</v>
      </c>
      <c r="AH14306" s="3489"/>
      <c r="AI14306" s="3487">
        <v>11.878888888888891</v>
      </c>
      <c r="AJ14306" s="3487">
        <v>34.164999999999999</v>
      </c>
      <c r="AK14306" s="3490">
        <v>-0.65230824267850451</v>
      </c>
      <c r="AL14306" s="3489" t="s">
        <v>10686</v>
      </c>
    </row>
    <row r="14307" spans="1:38" ht="12.75" hidden="1" customHeight="1" outlineLevel="1" x14ac:dyDescent="0.3">
      <c r="A14307" s="2380">
        <v>3.3333000000000002E-2</v>
      </c>
      <c r="B14307" s="1921" t="s">
        <v>218</v>
      </c>
      <c r="C14307" s="2108">
        <v>23.380000000000003</v>
      </c>
      <c r="D14307" s="3252">
        <v>24.274999999999999</v>
      </c>
      <c r="E14307" s="3253">
        <v>3.8280581693755256E-2</v>
      </c>
      <c r="F14307" s="3282">
        <v>1.276006629597944E-3</v>
      </c>
      <c r="G14307" s="78"/>
      <c r="H14307" t="str">
        <f>VLOOKUP(B14307,indexy!$A$44:$D$823,3,FALSE)</f>
        <v>CS FP Equity</v>
      </c>
      <c r="I14307" s="370"/>
      <c r="J14307" s="3487" t="s">
        <v>10687</v>
      </c>
      <c r="K14307" s="3487" t="s">
        <v>6939</v>
      </c>
      <c r="L14307" s="3488">
        <v>5.0432717000000002E-2</v>
      </c>
      <c r="M14307" s="3487">
        <v>146.76</v>
      </c>
      <c r="N14307" s="3487">
        <v>144.30000000000001</v>
      </c>
      <c r="O14307" s="3487">
        <v>134.75</v>
      </c>
      <c r="P14307" s="3487"/>
      <c r="Q14307" s="3487">
        <v>139.51</v>
      </c>
      <c r="R14307" s="3487">
        <v>143.94999999999999</v>
      </c>
      <c r="S14307" s="3487">
        <v>134.72999999999999</v>
      </c>
      <c r="T14307" s="3487">
        <v>140.84</v>
      </c>
      <c r="U14307" s="3487">
        <v>154.31</v>
      </c>
      <c r="V14307" s="3487">
        <v>151.56</v>
      </c>
      <c r="W14307" s="3487"/>
      <c r="X14307" s="3487">
        <v>150.46</v>
      </c>
      <c r="Y14307" s="3487">
        <v>154.16</v>
      </c>
      <c r="Z14307" s="3487">
        <v>163.91</v>
      </c>
      <c r="AA14307" s="3487">
        <v>144.44999999999999</v>
      </c>
      <c r="AB14307" s="3487">
        <v>157.81</v>
      </c>
      <c r="AC14307" s="3487">
        <v>167.74</v>
      </c>
      <c r="AD14307" s="3487"/>
      <c r="AE14307" s="3487">
        <v>176.87</v>
      </c>
      <c r="AF14307" s="3487">
        <v>149.22999999999999</v>
      </c>
      <c r="AG14307" s="3487">
        <v>134.91999999999999</v>
      </c>
      <c r="AH14307" s="3489"/>
      <c r="AI14307" s="3487">
        <v>149.45888888888894</v>
      </c>
      <c r="AJ14307" s="3487">
        <v>66.093999999999994</v>
      </c>
      <c r="AK14307" s="3490">
        <v>1.2613079687851991</v>
      </c>
      <c r="AL14307" s="3489" t="s">
        <v>10688</v>
      </c>
    </row>
    <row r="14308" spans="1:38" ht="12.75" hidden="1" customHeight="1" outlineLevel="1" x14ac:dyDescent="0.3">
      <c r="A14308" s="2380">
        <v>3.3333000000000002E-2</v>
      </c>
      <c r="B14308" s="1921" t="s">
        <v>807</v>
      </c>
      <c r="C14308" s="2108">
        <v>53.645999999999994</v>
      </c>
      <c r="D14308" s="3252">
        <v>66.569999999999993</v>
      </c>
      <c r="E14308" s="3253">
        <v>0.24091264959176817</v>
      </c>
      <c r="F14308" s="3282">
        <v>8.030341348842408E-3</v>
      </c>
      <c r="G14308" s="78"/>
      <c r="H14308" t="str">
        <f>VLOOKUP(B14308,indexy!$A$44:$D$823,3,FALSE)</f>
        <v>BCE CT Equity</v>
      </c>
      <c r="I14308" s="370"/>
      <c r="J14308" s="3487" t="s">
        <v>7134</v>
      </c>
      <c r="K14308" s="3487" t="s">
        <v>497</v>
      </c>
      <c r="L14308" s="3488">
        <v>0.15747932210000001</v>
      </c>
      <c r="M14308" s="3487">
        <v>9.0259999999999998</v>
      </c>
      <c r="N14308" s="3487">
        <v>9.968</v>
      </c>
      <c r="O14308" s="3487">
        <v>12.715</v>
      </c>
      <c r="P14308" s="3487"/>
      <c r="Q14308" s="3487">
        <v>12.895</v>
      </c>
      <c r="R14308" s="3487">
        <v>10.28</v>
      </c>
      <c r="S14308" s="3487">
        <v>9.9079999999999995</v>
      </c>
      <c r="T14308" s="3487">
        <v>11.44</v>
      </c>
      <c r="U14308" s="3487">
        <v>12.12</v>
      </c>
      <c r="V14308" s="3487"/>
      <c r="W14308" s="3487">
        <v>11.425000000000001</v>
      </c>
      <c r="X14308" s="3487">
        <v>11.52</v>
      </c>
      <c r="Y14308" s="3487">
        <v>10.265000000000001</v>
      </c>
      <c r="Z14308" s="3487">
        <v>11.475</v>
      </c>
      <c r="AA14308" s="3487">
        <v>10.89</v>
      </c>
      <c r="AB14308" s="3487">
        <v>12.73</v>
      </c>
      <c r="AC14308" s="3487">
        <v>12.39</v>
      </c>
      <c r="AD14308" s="3487"/>
      <c r="AE14308" s="3487">
        <v>10.33</v>
      </c>
      <c r="AF14308" s="3487">
        <v>8.4979999999999993</v>
      </c>
      <c r="AG14308" s="3487">
        <v>8.1300000000000008</v>
      </c>
      <c r="AH14308" s="3489"/>
      <c r="AI14308" s="3487">
        <v>10.889166666666668</v>
      </c>
      <c r="AJ14308" s="3487">
        <v>22.827499999999997</v>
      </c>
      <c r="AK14308" s="3490">
        <v>-0.52298032344029488</v>
      </c>
      <c r="AL14308" s="3489" t="s">
        <v>10689</v>
      </c>
    </row>
    <row r="14309" spans="1:38" ht="12.75" hidden="1" customHeight="1" outlineLevel="1" x14ac:dyDescent="0.3">
      <c r="A14309" s="2380">
        <v>3.3333000000000002E-2</v>
      </c>
      <c r="B14309" s="1921" t="s">
        <v>7142</v>
      </c>
      <c r="C14309" s="2108">
        <v>32.473500000000008</v>
      </c>
      <c r="D14309" s="3252">
        <v>17.760000000000002</v>
      </c>
      <c r="E14309" s="3253">
        <v>-0.45309252159453106</v>
      </c>
      <c r="F14309" s="3282">
        <v>-1.5102933022310505E-2</v>
      </c>
      <c r="G14309" s="78"/>
      <c r="H14309" t="str">
        <f>VLOOKUP(B14309,indexy!$A$44:$D$823,3,FALSE)</f>
        <v>PROX BB Equity</v>
      </c>
      <c r="I14309" s="370"/>
      <c r="J14309" s="3487" t="s">
        <v>10690</v>
      </c>
      <c r="K14309" s="3487" t="s">
        <v>7860</v>
      </c>
      <c r="L14309" s="3488">
        <v>0.1216577247</v>
      </c>
      <c r="M14309" s="3487">
        <v>50.28</v>
      </c>
      <c r="N14309" s="3487">
        <v>42.24</v>
      </c>
      <c r="O14309" s="3487">
        <v>45</v>
      </c>
      <c r="P14309" s="3487">
        <v>44.87</v>
      </c>
      <c r="Q14309" s="3487"/>
      <c r="R14309" s="3487">
        <v>49.08</v>
      </c>
      <c r="S14309" s="3487">
        <v>49.35</v>
      </c>
      <c r="T14309" s="3487">
        <v>51.14</v>
      </c>
      <c r="U14309" s="3487">
        <v>47.19</v>
      </c>
      <c r="V14309" s="3487"/>
      <c r="W14309" s="3487">
        <v>48.26</v>
      </c>
      <c r="X14309" s="3487">
        <v>50.32</v>
      </c>
      <c r="Y14309" s="3487">
        <v>54.18</v>
      </c>
      <c r="Z14309" s="3487">
        <v>54.24</v>
      </c>
      <c r="AA14309" s="3487">
        <v>53.64</v>
      </c>
      <c r="AB14309" s="3487">
        <v>52.18</v>
      </c>
      <c r="AC14309" s="3487">
        <v>52.96</v>
      </c>
      <c r="AD14309" s="3487">
        <v>54.12</v>
      </c>
      <c r="AE14309" s="3487"/>
      <c r="AF14309" s="3487">
        <v>52.08</v>
      </c>
      <c r="AG14309" s="3487">
        <v>49.55</v>
      </c>
      <c r="AH14309" s="3489"/>
      <c r="AI14309" s="3487">
        <v>50.037777777777777</v>
      </c>
      <c r="AJ14309" s="3487">
        <v>27.399000000000001</v>
      </c>
      <c r="AK14309" s="3490">
        <v>0.82626292119339295</v>
      </c>
      <c r="AL14309" s="3489" t="s">
        <v>10691</v>
      </c>
    </row>
    <row r="14310" spans="1:38" ht="12.75" hidden="1" customHeight="1" outlineLevel="1" x14ac:dyDescent="0.3">
      <c r="A14310" s="2380">
        <v>3.3333000000000002E-2</v>
      </c>
      <c r="B14310" s="1921" t="s">
        <v>4332</v>
      </c>
      <c r="C14310" s="2108">
        <v>279.75</v>
      </c>
      <c r="D14310" s="3252">
        <v>77.28</v>
      </c>
      <c r="E14310" s="3253">
        <v>-0.72375335120643425</v>
      </c>
      <c r="F14310" s="3282">
        <v>-2.4124870455764075E-2</v>
      </c>
      <c r="G14310" s="78"/>
      <c r="H14310" t="str">
        <f>VLOOKUP(B14310,indexy!$A$44:$D$823,3,FALSE)</f>
        <v>CNA LN Equity</v>
      </c>
      <c r="I14310" s="370"/>
      <c r="J14310" s="3231" t="s">
        <v>10692</v>
      </c>
      <c r="K14310" s="3231" t="s">
        <v>6268</v>
      </c>
      <c r="L14310" s="3491">
        <v>0.1239329268</v>
      </c>
      <c r="M14310" s="3231">
        <v>19.695</v>
      </c>
      <c r="N14310" s="3231">
        <v>18.53</v>
      </c>
      <c r="O14310" s="3231">
        <v>20.420000000000002</v>
      </c>
      <c r="P14310" s="3231"/>
      <c r="Q14310" s="3231">
        <v>17.965</v>
      </c>
      <c r="R14310" s="3231">
        <v>18.175000000000001</v>
      </c>
      <c r="S14310" s="3231">
        <v>17.364999999999998</v>
      </c>
      <c r="T14310" s="3231">
        <v>18.52</v>
      </c>
      <c r="U14310" s="3231">
        <v>18.12</v>
      </c>
      <c r="V14310" s="3231"/>
      <c r="W14310" s="3231">
        <v>19.225000000000001</v>
      </c>
      <c r="X14310" s="3231">
        <v>19.484999999999999</v>
      </c>
      <c r="Y14310" s="3231">
        <v>19.36</v>
      </c>
      <c r="Z14310" s="3231">
        <v>19.265000000000001</v>
      </c>
      <c r="AA14310" s="3231">
        <v>19.204999999999998</v>
      </c>
      <c r="AB14310" s="3231">
        <v>19.405000000000001</v>
      </c>
      <c r="AC14310" s="3231">
        <v>20.09</v>
      </c>
      <c r="AD14310" s="3231">
        <v>20.399999999999999</v>
      </c>
      <c r="AE14310" s="3231"/>
      <c r="AF14310" s="3231">
        <v>19.2</v>
      </c>
      <c r="AG14310" s="3231">
        <v>18.925000000000001</v>
      </c>
      <c r="AH14310" s="3233"/>
      <c r="AI14310" s="3231">
        <v>19.074999999999999</v>
      </c>
      <c r="AJ14310" s="3231">
        <v>26.895999999999997</v>
      </c>
      <c r="AK14310" s="3492">
        <v>-0.29078673408685302</v>
      </c>
      <c r="AL14310" s="3233"/>
    </row>
    <row r="14311" spans="1:38" ht="12.75" hidden="1" customHeight="1" outlineLevel="1" x14ac:dyDescent="0.3">
      <c r="A14311" s="2380">
        <v>3.3333000000000002E-2</v>
      </c>
      <c r="B14311" s="1921" t="s">
        <v>5246</v>
      </c>
      <c r="C14311" s="2108">
        <v>34.165000000000006</v>
      </c>
      <c r="D14311" s="3252">
        <v>10.36</v>
      </c>
      <c r="E14311" s="3253">
        <v>-0.69676569588760429</v>
      </c>
      <c r="F14311" s="3282">
        <v>-2.3225290941021513E-2</v>
      </c>
      <c r="G14311" s="78"/>
      <c r="H14311" t="str">
        <f>VLOOKUP(B14311,indexy!$A$44:$D$823,3,FALSE)</f>
        <v>LUMN US Equity</v>
      </c>
      <c r="I14311" s="370"/>
      <c r="J14311" s="3231" t="s">
        <v>10693</v>
      </c>
      <c r="K14311" s="3231" t="s">
        <v>8442</v>
      </c>
      <c r="L14311" s="3491">
        <v>0.1873482464</v>
      </c>
      <c r="M14311" s="3231">
        <v>17.274999999999999</v>
      </c>
      <c r="N14311" s="3231">
        <v>16.149999999999999</v>
      </c>
      <c r="O14311" s="3231">
        <v>19.204999999999998</v>
      </c>
      <c r="P14311" s="3231">
        <v>19.7</v>
      </c>
      <c r="Q14311" s="3231"/>
      <c r="R14311" s="3231">
        <v>19.984999999999999</v>
      </c>
      <c r="S14311" s="3231">
        <v>20.69</v>
      </c>
      <c r="T14311" s="3231">
        <v>22.76</v>
      </c>
      <c r="U14311" s="3231">
        <v>21.85</v>
      </c>
      <c r="V14311" s="3231"/>
      <c r="W14311" s="3231">
        <v>23.31</v>
      </c>
      <c r="X14311" s="3231">
        <v>23.26</v>
      </c>
      <c r="Y14311" s="3231">
        <v>23.24</v>
      </c>
      <c r="Z14311" s="3231">
        <v>25.72</v>
      </c>
      <c r="AA14311" s="3231">
        <v>26.29</v>
      </c>
      <c r="AB14311" s="3231">
        <v>25.7</v>
      </c>
      <c r="AC14311" s="3231">
        <v>25.41</v>
      </c>
      <c r="AD14311" s="3231">
        <v>26.99</v>
      </c>
      <c r="AE14311" s="3231"/>
      <c r="AF14311" s="3231">
        <v>24.05</v>
      </c>
      <c r="AG14311" s="3231">
        <v>18.84</v>
      </c>
      <c r="AH14311" s="3233"/>
      <c r="AI14311" s="3231">
        <v>22.245833333333334</v>
      </c>
      <c r="AJ14311" s="3231">
        <v>17.792000000000002</v>
      </c>
      <c r="AK14311" s="3492">
        <v>0.25032786270983204</v>
      </c>
      <c r="AL14311" s="3233"/>
    </row>
    <row r="14312" spans="1:38" ht="12.75" hidden="1" customHeight="1" outlineLevel="1" x14ac:dyDescent="0.3">
      <c r="A14312" s="2380">
        <v>3.3333000000000002E-2</v>
      </c>
      <c r="B14312" s="1921" t="s">
        <v>6938</v>
      </c>
      <c r="C14312" s="2108">
        <v>66.093999999999994</v>
      </c>
      <c r="D14312" s="3252">
        <v>134.91999999999999</v>
      </c>
      <c r="E14312" s="3253">
        <v>1.0413350682361484</v>
      </c>
      <c r="F14312" s="3282">
        <v>3.4710821829515535E-2</v>
      </c>
      <c r="G14312" s="78"/>
      <c r="H14312" t="str">
        <f>VLOOKUP(B14312,indexy!$A$44:$D$823,3,FALSE)</f>
        <v>DLR UN Equity</v>
      </c>
      <c r="I14312" s="370"/>
      <c r="J14312" s="3231" t="s">
        <v>6052</v>
      </c>
      <c r="K14312" s="3231" t="s">
        <v>4128</v>
      </c>
      <c r="L14312" s="3491">
        <v>0.23464518549999999</v>
      </c>
      <c r="M14312" s="3231">
        <v>14.52</v>
      </c>
      <c r="N14312" s="3231">
        <v>12.917999999999999</v>
      </c>
      <c r="O14312" s="3231">
        <v>13.7</v>
      </c>
      <c r="P14312" s="3231"/>
      <c r="Q14312" s="3231">
        <v>13.42</v>
      </c>
      <c r="R14312" s="3231">
        <v>13.57</v>
      </c>
      <c r="S14312" s="3231">
        <v>11.907999999999999</v>
      </c>
      <c r="T14312" s="3231">
        <v>12.88</v>
      </c>
      <c r="U14312" s="3231">
        <v>13.396000000000001</v>
      </c>
      <c r="V14312" s="3231">
        <v>13.442</v>
      </c>
      <c r="W14312" s="3231"/>
      <c r="X14312" s="3231">
        <v>14.194000000000001</v>
      </c>
      <c r="Y14312" s="3231">
        <v>14.178000000000001</v>
      </c>
      <c r="Z14312" s="3231">
        <v>14.62</v>
      </c>
      <c r="AA14312" s="3231">
        <v>14.036</v>
      </c>
      <c r="AB14312" s="3231">
        <v>15.086</v>
      </c>
      <c r="AC14312" s="3231">
        <v>15.25</v>
      </c>
      <c r="AD14312" s="3231"/>
      <c r="AE14312" s="3231">
        <v>16.065999999999999</v>
      </c>
      <c r="AF14312" s="3231">
        <v>16.43</v>
      </c>
      <c r="AG14312" s="3231">
        <v>15.454000000000001</v>
      </c>
      <c r="AH14312" s="3233"/>
      <c r="AI14312" s="3231">
        <v>14.170444444444446</v>
      </c>
      <c r="AJ14312" s="3231">
        <v>14.411499999999998</v>
      </c>
      <c r="AK14312" s="3492">
        <v>-1.6726611078343889E-2</v>
      </c>
      <c r="AL14312" s="3233"/>
    </row>
    <row r="14313" spans="1:38" ht="12.75" hidden="1" customHeight="1" outlineLevel="1" x14ac:dyDescent="0.3">
      <c r="A14313" s="2380">
        <v>3.3333000000000002E-2</v>
      </c>
      <c r="B14313" s="1921" t="s">
        <v>496</v>
      </c>
      <c r="C14313" s="2108">
        <v>22.827499999999997</v>
      </c>
      <c r="D14313" s="3252">
        <v>8.1300000000000008</v>
      </c>
      <c r="E14313" s="3253">
        <v>-0.64385061877121885</v>
      </c>
      <c r="F14313" s="3282">
        <v>-2.1461472675501039E-2</v>
      </c>
      <c r="G14313" s="78"/>
      <c r="H14313" t="e">
        <f>VLOOKUP(B14313,indexy!$A$44:$D$823,3,FALSE)</f>
        <v>#N/A</v>
      </c>
      <c r="I14313" s="370"/>
      <c r="J14313" s="3231" t="s">
        <v>10139</v>
      </c>
      <c r="K14313" s="3231" t="s">
        <v>10370</v>
      </c>
      <c r="L14313" s="3491">
        <v>9.2755377299999997E-2</v>
      </c>
      <c r="M14313" s="3231">
        <v>27.15</v>
      </c>
      <c r="N14313" s="3231">
        <v>26.97</v>
      </c>
      <c r="O14313" s="3231">
        <v>28.86</v>
      </c>
      <c r="P14313" s="3231"/>
      <c r="Q14313" s="3231">
        <v>30.23</v>
      </c>
      <c r="R14313" s="3231">
        <v>29.65</v>
      </c>
      <c r="S14313" s="3231">
        <v>29.09</v>
      </c>
      <c r="T14313" s="3231">
        <v>31.74</v>
      </c>
      <c r="U14313" s="3231">
        <v>34.340000000000003</v>
      </c>
      <c r="V14313" s="3231">
        <v>33.380000000000003</v>
      </c>
      <c r="W14313" s="3231"/>
      <c r="X14313" s="3231">
        <v>33.29</v>
      </c>
      <c r="Y14313" s="3231">
        <v>36.97</v>
      </c>
      <c r="Z14313" s="3231">
        <v>36</v>
      </c>
      <c r="AA14313" s="3231">
        <v>33.479999999999997</v>
      </c>
      <c r="AB14313" s="3231">
        <v>35.51</v>
      </c>
      <c r="AC14313" s="3231">
        <v>32.86</v>
      </c>
      <c r="AD14313" s="3231"/>
      <c r="AE14313" s="3231">
        <v>36.090000000000003</v>
      </c>
      <c r="AF14313" s="3231">
        <v>35.369999999999997</v>
      </c>
      <c r="AG14313" s="3231">
        <v>31.06</v>
      </c>
      <c r="AH14313" s="3233"/>
      <c r="AI14313" s="3231">
        <v>32.335555555555558</v>
      </c>
      <c r="AJ14313" s="3231">
        <v>39.475000000000001</v>
      </c>
      <c r="AK14313" s="3492">
        <v>-0.18085989726268381</v>
      </c>
      <c r="AL14313" s="3233"/>
    </row>
    <row r="14314" spans="1:38" ht="12.75" hidden="1" customHeight="1" outlineLevel="1" x14ac:dyDescent="0.3">
      <c r="A14314" s="2380">
        <v>3.3333000000000002E-2</v>
      </c>
      <c r="B14314" s="1921" t="s">
        <v>6942</v>
      </c>
      <c r="C14314" s="2108">
        <v>27.399000000000001</v>
      </c>
      <c r="D14314" s="3252">
        <v>49.55</v>
      </c>
      <c r="E14314" s="3253">
        <v>0.80846016277966326</v>
      </c>
      <c r="F14314" s="3282">
        <v>2.6948402605934518E-2</v>
      </c>
      <c r="G14314" s="78"/>
      <c r="H14314" t="str">
        <f>VLOOKUP(B14314,indexy!$A$44:$D$823,3,FALSE)</f>
        <v>ELISA FH Equity</v>
      </c>
      <c r="I14314" s="370"/>
      <c r="J14314" s="3487" t="s">
        <v>7871</v>
      </c>
      <c r="K14314" s="3487" t="s">
        <v>7872</v>
      </c>
      <c r="L14314" s="3488">
        <v>0.53056904100000002</v>
      </c>
      <c r="M14314" s="3487">
        <v>10.51</v>
      </c>
      <c r="N14314" s="3487">
        <v>10.125</v>
      </c>
      <c r="O14314" s="3487">
        <v>11.445</v>
      </c>
      <c r="P14314" s="3487"/>
      <c r="Q14314" s="3487">
        <v>11.7</v>
      </c>
      <c r="R14314" s="3487">
        <v>11.185</v>
      </c>
      <c r="S14314" s="3487">
        <v>10.425000000000001</v>
      </c>
      <c r="T14314" s="3487">
        <v>10.984999999999999</v>
      </c>
      <c r="U14314" s="3487">
        <v>11.234999999999999</v>
      </c>
      <c r="V14314" s="3487"/>
      <c r="W14314" s="3487">
        <v>10.994999999999999</v>
      </c>
      <c r="X14314" s="3487">
        <v>10.28</v>
      </c>
      <c r="Y14314" s="3487">
        <v>10.16</v>
      </c>
      <c r="Z14314" s="3487">
        <v>10.494999999999999</v>
      </c>
      <c r="AA14314" s="3487">
        <v>8.6839999999999993</v>
      </c>
      <c r="AB14314" s="3487">
        <v>10.215</v>
      </c>
      <c r="AC14314" s="3487">
        <v>9.9039999999999999</v>
      </c>
      <c r="AD14314" s="3487">
        <v>10.41</v>
      </c>
      <c r="AE14314" s="3487"/>
      <c r="AF14314" s="3487">
        <v>10.16</v>
      </c>
      <c r="AG14314" s="3487">
        <v>10.18</v>
      </c>
      <c r="AH14314" s="3489"/>
      <c r="AI14314" s="3487">
        <v>10.505166666666666</v>
      </c>
      <c r="AJ14314" s="3487">
        <v>6.2825000000000006</v>
      </c>
      <c r="AK14314" s="3490">
        <v>0.67213158243798887</v>
      </c>
      <c r="AL14314" s="3489" t="s">
        <v>10694</v>
      </c>
    </row>
    <row r="14315" spans="1:38" ht="12.75" hidden="1" customHeight="1" outlineLevel="1" x14ac:dyDescent="0.3">
      <c r="A14315" s="2380">
        <v>3.3333000000000002E-2</v>
      </c>
      <c r="B14315" s="1921" t="s">
        <v>6267</v>
      </c>
      <c r="C14315" s="2519">
        <v>26.895999999999997</v>
      </c>
      <c r="D14315" s="3252">
        <v>18.925000000000001</v>
      </c>
      <c r="E14315" s="3253">
        <v>-0.29636377156454485</v>
      </c>
      <c r="F14315" s="3282">
        <v>-9.8786935975609738E-3</v>
      </c>
      <c r="G14315" s="78"/>
      <c r="H14315" t="str">
        <f>VLOOKUP(B14315,indexy!$A$44:$D$823,3,FALSE)</f>
        <v>ENG SQ Equity</v>
      </c>
      <c r="I14315" s="370"/>
      <c r="J14315" s="3487" t="s">
        <v>10578</v>
      </c>
      <c r="K14315" s="3487" t="s">
        <v>10579</v>
      </c>
      <c r="L14315" s="3488">
        <v>0.26901779059999997</v>
      </c>
      <c r="M14315" s="3487">
        <v>2.1280000000000001</v>
      </c>
      <c r="N14315" s="3487">
        <v>2.121</v>
      </c>
      <c r="O14315" s="3487">
        <v>2.98</v>
      </c>
      <c r="P14315" s="3487"/>
      <c r="Q14315" s="3487">
        <v>3.1019999999999999</v>
      </c>
      <c r="R14315" s="3487">
        <v>2.93</v>
      </c>
      <c r="S14315" s="3487">
        <v>2.9910000000000001</v>
      </c>
      <c r="T14315" s="3487">
        <v>2.706</v>
      </c>
      <c r="U14315" s="3487">
        <v>2.8159999999999998</v>
      </c>
      <c r="V14315" s="3487">
        <v>2.4489999999999998</v>
      </c>
      <c r="W14315" s="3487"/>
      <c r="X14315" s="3487">
        <v>2.1970000000000001</v>
      </c>
      <c r="Y14315" s="3487">
        <v>2.1800000000000002</v>
      </c>
      <c r="Z14315" s="3487">
        <v>2.4980000000000002</v>
      </c>
      <c r="AA14315" s="3487">
        <v>2.3010000000000002</v>
      </c>
      <c r="AB14315" s="3487">
        <v>2.1349999999999998</v>
      </c>
      <c r="AC14315" s="3487">
        <v>2.0150000000000001</v>
      </c>
      <c r="AD14315" s="3487"/>
      <c r="AE14315" s="3487">
        <v>1.911</v>
      </c>
      <c r="AF14315" s="3487">
        <v>2.2240000000000002</v>
      </c>
      <c r="AG14315" s="3487">
        <v>1.804</v>
      </c>
      <c r="AH14315" s="3489"/>
      <c r="AI14315" s="3487">
        <v>2.4159999999999999</v>
      </c>
      <c r="AJ14315" s="3487">
        <v>12.390599999999999</v>
      </c>
      <c r="AK14315" s="3490">
        <v>-0.80501347795909795</v>
      </c>
      <c r="AL14315" s="3489" t="s">
        <v>10695</v>
      </c>
    </row>
    <row r="14316" spans="1:38" ht="12.75" hidden="1" customHeight="1" outlineLevel="1" x14ac:dyDescent="0.3">
      <c r="A14316" s="2380">
        <v>3.3333000000000002E-2</v>
      </c>
      <c r="B14316" s="1921" t="s">
        <v>4268</v>
      </c>
      <c r="C14316" s="2108">
        <v>17.792000000000002</v>
      </c>
      <c r="D14316" s="3252">
        <v>18.84</v>
      </c>
      <c r="E14316" s="3253">
        <v>5.8902877697841527E-2</v>
      </c>
      <c r="F14316" s="3282">
        <v>1.9634096223021518E-3</v>
      </c>
      <c r="G14316" s="78"/>
      <c r="H14316" t="str">
        <f>VLOOKUP(B14316,indexy!$A$44:$D$823,3,FALSE)</f>
        <v>FORTUM FH Equity</v>
      </c>
      <c r="I14316" s="370"/>
      <c r="J14316" s="3231" t="s">
        <v>6083</v>
      </c>
      <c r="K14316" s="3231" t="s">
        <v>4195</v>
      </c>
      <c r="L14316" s="3491">
        <v>0.3682067906</v>
      </c>
      <c r="M14316" s="3231">
        <v>8.8979999999999997</v>
      </c>
      <c r="N14316" s="3231">
        <v>9.19</v>
      </c>
      <c r="O14316" s="3231">
        <v>8.484</v>
      </c>
      <c r="P14316" s="3231"/>
      <c r="Q14316" s="3231">
        <v>8.65</v>
      </c>
      <c r="R14316" s="3231">
        <v>8.5</v>
      </c>
      <c r="S14316" s="3231">
        <v>8.0640000000000001</v>
      </c>
      <c r="T14316" s="3231">
        <v>8.64</v>
      </c>
      <c r="U14316" s="3231">
        <v>9.1059999999999999</v>
      </c>
      <c r="V14316" s="3231">
        <v>9.3919999999999995</v>
      </c>
      <c r="W14316" s="3231"/>
      <c r="X14316" s="3231">
        <v>9.2080000000000002</v>
      </c>
      <c r="Y14316" s="3231">
        <v>9.2409999999999997</v>
      </c>
      <c r="Z14316" s="3231">
        <v>9.4130000000000003</v>
      </c>
      <c r="AA14316" s="3231">
        <v>8.8460000000000001</v>
      </c>
      <c r="AB14316" s="3231">
        <v>9.3539999999999992</v>
      </c>
      <c r="AC14316" s="3231">
        <v>10.066000000000001</v>
      </c>
      <c r="AD14316" s="3231"/>
      <c r="AE14316" s="3231">
        <v>10.598000000000001</v>
      </c>
      <c r="AF14316" s="3231">
        <v>10.795999999999999</v>
      </c>
      <c r="AG14316" s="3231">
        <v>11.308</v>
      </c>
      <c r="AH14316" s="3233"/>
      <c r="AI14316" s="3231">
        <v>9.3196666666666665</v>
      </c>
      <c r="AJ14316" s="3231">
        <v>9.0204999999999984</v>
      </c>
      <c r="AK14316" s="3492">
        <v>3.3165197790218745E-2</v>
      </c>
      <c r="AL14316" s="3233"/>
    </row>
    <row r="14317" spans="1:38" ht="12.75" hidden="1" customHeight="1" outlineLevel="1" x14ac:dyDescent="0.3">
      <c r="A14317" s="2380">
        <v>3.3333000000000002E-2</v>
      </c>
      <c r="B14317" s="1921" t="s">
        <v>3799</v>
      </c>
      <c r="C14317" s="2108">
        <v>1441.15</v>
      </c>
      <c r="D14317" s="3252">
        <v>1545.4</v>
      </c>
      <c r="E14317" s="3253">
        <v>7.2338063352183957E-2</v>
      </c>
      <c r="F14317" s="3282">
        <v>2.411244665718348E-3</v>
      </c>
      <c r="G14317" s="78"/>
      <c r="H14317" t="str">
        <f>VLOOKUP(B14317,indexy!$A$44:$D$823,3,FALSE)</f>
        <v>GSK LN Equity</v>
      </c>
      <c r="I14317" s="370"/>
      <c r="J14317" s="3231" t="s">
        <v>7135</v>
      </c>
      <c r="K14317" s="3231" t="s">
        <v>7143</v>
      </c>
      <c r="L14317" s="3491">
        <v>0.1026467735</v>
      </c>
      <c r="M14317" s="3231">
        <v>15.574999999999999</v>
      </c>
      <c r="N14317" s="3231">
        <v>16.695</v>
      </c>
      <c r="O14317" s="3231">
        <v>17.510000000000002</v>
      </c>
      <c r="P14317" s="3231"/>
      <c r="Q14317" s="3231">
        <v>16.21</v>
      </c>
      <c r="R14317" s="3231">
        <v>17.38</v>
      </c>
      <c r="S14317" s="3231">
        <v>16.2</v>
      </c>
      <c r="T14317" s="3231">
        <v>18.559999999999999</v>
      </c>
      <c r="U14317" s="3231">
        <v>17.73</v>
      </c>
      <c r="V14317" s="3231"/>
      <c r="W14317" s="3231">
        <v>16.605</v>
      </c>
      <c r="X14317" s="3231">
        <v>16.29</v>
      </c>
      <c r="Y14317" s="3231">
        <v>17.324999999999999</v>
      </c>
      <c r="Z14317" s="3231">
        <v>16.605</v>
      </c>
      <c r="AA14317" s="3231">
        <v>17.14</v>
      </c>
      <c r="AB14317" s="3231">
        <v>16.285</v>
      </c>
      <c r="AC14317" s="3231">
        <v>16.02</v>
      </c>
      <c r="AD14317" s="3231"/>
      <c r="AE14317" s="3231">
        <v>17.14</v>
      </c>
      <c r="AF14317" s="3231">
        <v>18.114999999999998</v>
      </c>
      <c r="AG14317" s="3231">
        <v>17.760000000000002</v>
      </c>
      <c r="AH14317" s="3233"/>
      <c r="AI14317" s="3231">
        <v>16.952500000000001</v>
      </c>
      <c r="AJ14317" s="3231">
        <v>32.473500000000001</v>
      </c>
      <c r="AK14317" s="3492">
        <v>-0.4779589511447796</v>
      </c>
      <c r="AL14317" s="3233"/>
    </row>
    <row r="14318" spans="1:38" ht="12.75" hidden="1" customHeight="1" outlineLevel="1" x14ac:dyDescent="0.3">
      <c r="A14318" s="2380">
        <v>3.3333000000000002E-2</v>
      </c>
      <c r="B14318" s="1921" t="s">
        <v>6530</v>
      </c>
      <c r="C14318" s="2108">
        <v>39.475000000000001</v>
      </c>
      <c r="D14318" s="3252">
        <v>31.06</v>
      </c>
      <c r="E14318" s="3253">
        <v>-0.21317289423685881</v>
      </c>
      <c r="F14318" s="3282">
        <v>-7.1056920835972153E-3</v>
      </c>
      <c r="G14318" s="78"/>
      <c r="H14318" t="str">
        <f>VLOOKUP(B14318,indexy!$A$44:$D$823,3,FALSE)</f>
        <v>DOC US Equity</v>
      </c>
      <c r="I14318" s="370"/>
      <c r="J14318" s="3231" t="s">
        <v>10696</v>
      </c>
      <c r="K14318" s="3231" t="s">
        <v>6741</v>
      </c>
      <c r="L14318" s="3491">
        <v>0.1852296407</v>
      </c>
      <c r="M14318" s="3231">
        <v>5.7220000000000004</v>
      </c>
      <c r="N14318" s="3231">
        <v>5.34</v>
      </c>
      <c r="O14318" s="3231">
        <v>8.0579999999999998</v>
      </c>
      <c r="P14318" s="3231"/>
      <c r="Q14318" s="3231">
        <v>8.25</v>
      </c>
      <c r="R14318" s="3231">
        <v>8.1219999999999999</v>
      </c>
      <c r="S14318" s="3231">
        <v>10.414999999999999</v>
      </c>
      <c r="T14318" s="3231">
        <v>10.56</v>
      </c>
      <c r="U14318" s="3231">
        <v>9.9380000000000006</v>
      </c>
      <c r="V14318" s="3231"/>
      <c r="W14318" s="3231">
        <v>10.923999999999999</v>
      </c>
      <c r="X14318" s="3231">
        <v>10.554</v>
      </c>
      <c r="Y14318" s="3231">
        <v>9.2210000000000001</v>
      </c>
      <c r="Z14318" s="3231">
        <v>9.7050000000000001</v>
      </c>
      <c r="AA14318" s="3231">
        <v>11.298</v>
      </c>
      <c r="AB14318" s="3231">
        <v>11.055999999999999</v>
      </c>
      <c r="AC14318" s="3231">
        <v>9.7910000000000004</v>
      </c>
      <c r="AD14318" s="3231">
        <v>10.436</v>
      </c>
      <c r="AE14318" s="3231"/>
      <c r="AF14318" s="3231">
        <v>11.242000000000001</v>
      </c>
      <c r="AG14318" s="3231">
        <v>11.625999999999999</v>
      </c>
      <c r="AH14318" s="3233"/>
      <c r="AI14318" s="3231">
        <v>9.5698888888888902</v>
      </c>
      <c r="AJ14318" s="3231">
        <v>17.9955</v>
      </c>
      <c r="AK14318" s="3492">
        <v>-0.46820655781229248</v>
      </c>
      <c r="AL14318" s="3233"/>
    </row>
    <row r="14319" spans="1:38" ht="12.75" hidden="1" customHeight="1" outlineLevel="1" x14ac:dyDescent="0.3">
      <c r="A14319" s="2380">
        <v>3.3333000000000002E-2</v>
      </c>
      <c r="B14319" s="1921" t="s">
        <v>1031</v>
      </c>
      <c r="C14319" s="2108">
        <v>6.2825000000000006</v>
      </c>
      <c r="D14319" s="3252">
        <v>10.18</v>
      </c>
      <c r="E14319" s="3253">
        <v>0.62037405491444475</v>
      </c>
      <c r="F14319" s="3282">
        <v>2.0678928372463188E-2</v>
      </c>
      <c r="G14319" s="78"/>
      <c r="H14319" t="str">
        <f>VLOOKUP(B14319,indexy!$A$44:$D$823,3,FALSE)</f>
        <v>IBE SQ Equity</v>
      </c>
      <c r="I14319" s="370"/>
      <c r="J14319" s="3231" t="s">
        <v>10548</v>
      </c>
      <c r="K14319" s="3231" t="s">
        <v>8166</v>
      </c>
      <c r="L14319" s="3491">
        <v>7.6566553100000004E-2</v>
      </c>
      <c r="M14319" s="3231">
        <v>33.79</v>
      </c>
      <c r="N14319" s="3231">
        <v>32.4</v>
      </c>
      <c r="O14319" s="3231">
        <v>36.229999999999997</v>
      </c>
      <c r="P14319" s="3231">
        <v>34.57</v>
      </c>
      <c r="Q14319" s="3231"/>
      <c r="R14319" s="3231">
        <v>34.68</v>
      </c>
      <c r="S14319" s="3231">
        <v>36.869999999999997</v>
      </c>
      <c r="T14319" s="3231">
        <v>38.47</v>
      </c>
      <c r="U14319" s="3231">
        <v>39.51</v>
      </c>
      <c r="V14319" s="3231"/>
      <c r="W14319" s="3231">
        <v>38.1</v>
      </c>
      <c r="X14319" s="3231">
        <v>38.76</v>
      </c>
      <c r="Y14319" s="3231">
        <v>40.619999999999997</v>
      </c>
      <c r="Z14319" s="3231">
        <v>43.74</v>
      </c>
      <c r="AA14319" s="3231">
        <v>42.91</v>
      </c>
      <c r="AB14319" s="3231">
        <v>46</v>
      </c>
      <c r="AC14319" s="3231">
        <v>43.39</v>
      </c>
      <c r="AD14319" s="3231">
        <v>44.06</v>
      </c>
      <c r="AE14319" s="3231"/>
      <c r="AF14319" s="3231">
        <v>43.85</v>
      </c>
      <c r="AG14319" s="3231">
        <v>42.36</v>
      </c>
      <c r="AH14319" s="3233"/>
      <c r="AI14319" s="3231">
        <v>39.461666666666666</v>
      </c>
      <c r="AJ14319" s="3231">
        <v>44.192</v>
      </c>
      <c r="AK14319" s="3492">
        <v>-0.10704048998310405</v>
      </c>
      <c r="AL14319" s="3233"/>
    </row>
    <row r="14320" spans="1:38" ht="12.75" hidden="1" customHeight="1" outlineLevel="1" x14ac:dyDescent="0.3">
      <c r="A14320" s="2380">
        <v>3.3333000000000002E-2</v>
      </c>
      <c r="B14320" s="1921" t="s">
        <v>2786</v>
      </c>
      <c r="C14320" s="2108">
        <v>902.05</v>
      </c>
      <c r="D14320" s="3252">
        <v>1130.8</v>
      </c>
      <c r="E14320" s="3253">
        <v>0.25358904717033415</v>
      </c>
      <c r="F14320" s="3282">
        <v>8.4528837093287481E-3</v>
      </c>
      <c r="G14320" s="78"/>
      <c r="H14320" t="str">
        <f>VLOOKUP(B14320,indexy!$A$44:$D$823,3,FALSE)</f>
        <v>NG/ LN Equity</v>
      </c>
      <c r="I14320" s="370"/>
      <c r="J14320" s="3231" t="s">
        <v>6164</v>
      </c>
      <c r="K14320" s="3231" t="s">
        <v>6114</v>
      </c>
      <c r="L14320" s="3491">
        <v>0.87400418660000001</v>
      </c>
      <c r="M14320" s="3231">
        <v>4.3890000000000002</v>
      </c>
      <c r="N14320" s="3231">
        <v>4.1900000000000004</v>
      </c>
      <c r="O14320" s="3231">
        <v>4.7030000000000003</v>
      </c>
      <c r="P14320" s="3231">
        <v>4.601</v>
      </c>
      <c r="Q14320" s="3231"/>
      <c r="R14320" s="3231">
        <v>4.3280000000000003</v>
      </c>
      <c r="S14320" s="3231">
        <v>4.2960000000000003</v>
      </c>
      <c r="T14320" s="3231">
        <v>4.7279999999999998</v>
      </c>
      <c r="U14320" s="3231">
        <v>4.68</v>
      </c>
      <c r="V14320" s="3231"/>
      <c r="W14320" s="3231">
        <v>4.8070000000000004</v>
      </c>
      <c r="X14320" s="3231">
        <v>4.875</v>
      </c>
      <c r="Y14320" s="3231">
        <v>5.1040000000000001</v>
      </c>
      <c r="Z14320" s="3231">
        <v>5.0039999999999996</v>
      </c>
      <c r="AA14320" s="3231">
        <v>4.7960000000000003</v>
      </c>
      <c r="AB14320" s="3231">
        <v>4.8970000000000002</v>
      </c>
      <c r="AC14320" s="3231">
        <v>4.9740000000000002</v>
      </c>
      <c r="AD14320" s="3231">
        <v>5.3</v>
      </c>
      <c r="AE14320" s="3231"/>
      <c r="AF14320" s="3231">
        <v>4.96</v>
      </c>
      <c r="AG14320" s="3231">
        <v>4.9649999999999999</v>
      </c>
      <c r="AH14320" s="3233"/>
      <c r="AI14320" s="3231">
        <v>4.7553888888888887</v>
      </c>
      <c r="AJ14320" s="3231">
        <v>4.5824000000000007</v>
      </c>
      <c r="AK14320" s="3492">
        <v>3.7750717721911652E-2</v>
      </c>
      <c r="AL14320" s="3233"/>
    </row>
    <row r="14321" spans="1:38" ht="12.75" hidden="1" customHeight="1" outlineLevel="1" x14ac:dyDescent="0.3">
      <c r="A14321" s="2380">
        <v>3.3333000000000002E-2</v>
      </c>
      <c r="B14321" s="1921" t="s">
        <v>54</v>
      </c>
      <c r="C14321" s="2108">
        <v>17.9955</v>
      </c>
      <c r="D14321" s="3252">
        <v>11.625999999999999</v>
      </c>
      <c r="E14321" s="3253">
        <v>-0.35394959851073882</v>
      </c>
      <c r="F14321" s="3282">
        <v>-1.1798201967158457E-2</v>
      </c>
      <c r="G14321" s="78"/>
      <c r="H14321" t="str">
        <f>VLOOKUP(B14321,indexy!$A$44:$D$823,3,FALSE)</f>
        <v>REP SQ Equity</v>
      </c>
      <c r="I14321" s="370"/>
      <c r="J14321" s="3231" t="s">
        <v>6090</v>
      </c>
      <c r="K14321" s="3231" t="s">
        <v>3559</v>
      </c>
      <c r="L14321" s="3491">
        <v>0.20025833579999999</v>
      </c>
      <c r="M14321" s="3231">
        <v>12.08</v>
      </c>
      <c r="N14321" s="3231">
        <v>12.55</v>
      </c>
      <c r="O14321" s="3231">
        <v>13.41</v>
      </c>
      <c r="P14321" s="3231"/>
      <c r="Q14321" s="3231">
        <v>15</v>
      </c>
      <c r="R14321" s="3231">
        <v>14.84</v>
      </c>
      <c r="S14321" s="3231">
        <v>13.244999999999999</v>
      </c>
      <c r="T14321" s="3231">
        <v>14.55</v>
      </c>
      <c r="U14321" s="3231">
        <v>14.68</v>
      </c>
      <c r="V14321" s="3231">
        <v>15.42</v>
      </c>
      <c r="W14321" s="3231"/>
      <c r="X14321" s="3231">
        <v>15.005000000000001</v>
      </c>
      <c r="Y14321" s="3231">
        <v>14.455</v>
      </c>
      <c r="Z14321" s="3231">
        <v>16.324999999999999</v>
      </c>
      <c r="AA14321" s="3231">
        <v>15.71</v>
      </c>
      <c r="AB14321" s="3231">
        <v>16.434999999999999</v>
      </c>
      <c r="AC14321" s="3231">
        <v>15.52</v>
      </c>
      <c r="AD14321" s="3231"/>
      <c r="AE14321" s="3231">
        <v>16.489999999999998</v>
      </c>
      <c r="AF14321" s="3231">
        <v>15.824999999999999</v>
      </c>
      <c r="AG14321" s="3231">
        <v>17.045000000000002</v>
      </c>
      <c r="AH14321" s="3233"/>
      <c r="AI14321" s="3231">
        <v>14.921388888888892</v>
      </c>
      <c r="AJ14321" s="3231">
        <v>16.645</v>
      </c>
      <c r="AK14321" s="3492">
        <v>-0.10355128333500198</v>
      </c>
      <c r="AL14321" s="3233"/>
    </row>
    <row r="14322" spans="1:38" ht="12.75" hidden="1" customHeight="1" outlineLevel="1" x14ac:dyDescent="0.3">
      <c r="A14322" s="2380">
        <v>3.3333000000000002E-2</v>
      </c>
      <c r="B14322" s="1921" t="s">
        <v>6270</v>
      </c>
      <c r="C14322" s="2108">
        <v>44.191999999999993</v>
      </c>
      <c r="D14322" s="3252">
        <v>42.36</v>
      </c>
      <c r="E14322" s="3253">
        <v>-4.1455467052860073E-2</v>
      </c>
      <c r="F14322" s="3282">
        <v>-1.381835083272985E-3</v>
      </c>
      <c r="G14322" s="78"/>
      <c r="H14322" t="str">
        <f>VLOOKUP(B14322,indexy!$A$44:$D$823,3,FALSE)</f>
        <v>SAMPO FH Equity</v>
      </c>
      <c r="I14322" s="370"/>
      <c r="J14322" s="3231" t="s">
        <v>10697</v>
      </c>
      <c r="K14322" s="3231" t="s">
        <v>1725</v>
      </c>
      <c r="L14322" s="3491">
        <v>1.700403E-2</v>
      </c>
      <c r="M14322" s="3231">
        <v>140.74</v>
      </c>
      <c r="N14322" s="3231">
        <v>139.5</v>
      </c>
      <c r="O14322" s="3231">
        <v>155.22</v>
      </c>
      <c r="P14322" s="3231">
        <v>144.12</v>
      </c>
      <c r="Q14322" s="3231"/>
      <c r="R14322" s="3231">
        <v>157.78</v>
      </c>
      <c r="S14322" s="3231">
        <v>148.02000000000001</v>
      </c>
      <c r="T14322" s="3231">
        <v>153.9</v>
      </c>
      <c r="U14322" s="3231">
        <v>148.74</v>
      </c>
      <c r="V14322" s="3231"/>
      <c r="W14322" s="3231">
        <v>149.08000000000001</v>
      </c>
      <c r="X14322" s="3231">
        <v>159.24</v>
      </c>
      <c r="Y14322" s="3231">
        <v>167.76</v>
      </c>
      <c r="Z14322" s="3231">
        <v>166.62</v>
      </c>
      <c r="AA14322" s="3231">
        <v>177.3</v>
      </c>
      <c r="AB14322" s="3231">
        <v>186.24</v>
      </c>
      <c r="AC14322" s="3231">
        <v>182.34</v>
      </c>
      <c r="AD14322" s="3231">
        <v>182.1</v>
      </c>
      <c r="AE14322" s="3231"/>
      <c r="AF14322" s="3231">
        <v>181.54</v>
      </c>
      <c r="AG14322" s="3231">
        <v>153.52000000000001</v>
      </c>
      <c r="AH14322" s="3233"/>
      <c r="AI14322" s="3231">
        <v>160.76444444444442</v>
      </c>
      <c r="AJ14322" s="3231">
        <v>196.02999999999997</v>
      </c>
      <c r="AK14322" s="3492">
        <v>-0.17989876832911061</v>
      </c>
      <c r="AL14322" s="3233"/>
    </row>
    <row r="14323" spans="1:38" ht="12.75" hidden="1" customHeight="1" outlineLevel="1" x14ac:dyDescent="0.3">
      <c r="A14323" s="2380">
        <v>3.3333000000000002E-2</v>
      </c>
      <c r="B14323" s="1921" t="s">
        <v>6116</v>
      </c>
      <c r="C14323" s="2108">
        <v>4.5824000000000007</v>
      </c>
      <c r="D14323" s="3252">
        <v>4.9649999999999999</v>
      </c>
      <c r="E14323" s="3253">
        <v>8.3493365921787577E-2</v>
      </c>
      <c r="F14323" s="3282">
        <v>2.7830843662709453E-3</v>
      </c>
      <c r="G14323" s="78"/>
      <c r="H14323" t="str">
        <f>VLOOKUP(B14323,indexy!$A$44:$D$823,3,FALSE)</f>
        <v>SRG IM Equity</v>
      </c>
      <c r="I14323" s="3484"/>
      <c r="J14323" s="3231" t="s">
        <v>8920</v>
      </c>
      <c r="K14323" s="3231" t="s">
        <v>8893</v>
      </c>
      <c r="L14323" s="3491">
        <v>3.9741281699999999E-2</v>
      </c>
      <c r="M14323" s="3231">
        <v>68.28</v>
      </c>
      <c r="N14323" s="3231">
        <v>65.739999999999995</v>
      </c>
      <c r="O14323" s="3231">
        <v>83.02</v>
      </c>
      <c r="P14323" s="3231">
        <v>83.34</v>
      </c>
      <c r="Q14323" s="3231"/>
      <c r="R14323" s="3231">
        <v>78.66</v>
      </c>
      <c r="S14323" s="3231">
        <v>85.44</v>
      </c>
      <c r="T14323" s="3231">
        <v>92.96</v>
      </c>
      <c r="U14323" s="3231">
        <v>84.88</v>
      </c>
      <c r="V14323" s="3231"/>
      <c r="W14323" s="3231">
        <v>86.4</v>
      </c>
      <c r="X14323" s="3231">
        <v>83.48</v>
      </c>
      <c r="Y14323" s="3231">
        <v>82.02</v>
      </c>
      <c r="Z14323" s="3231">
        <v>84.26</v>
      </c>
      <c r="AA14323" s="3231">
        <v>80.14</v>
      </c>
      <c r="AB14323" s="3231">
        <v>88.64</v>
      </c>
      <c r="AC14323" s="3231">
        <v>86.44</v>
      </c>
      <c r="AD14323" s="3231">
        <v>90.26</v>
      </c>
      <c r="AE14323" s="3231"/>
      <c r="AF14323" s="3231">
        <v>100.3</v>
      </c>
      <c r="AG14323" s="3231">
        <v>87.82</v>
      </c>
      <c r="AH14323" s="3233"/>
      <c r="AI14323" s="3231">
        <v>84.004444444444445</v>
      </c>
      <c r="AJ14323" s="3231">
        <v>83.875</v>
      </c>
      <c r="AK14323" s="3492">
        <v>1.5433018711707319E-3</v>
      </c>
      <c r="AL14323" s="3233"/>
    </row>
    <row r="14324" spans="1:38" ht="12.75" hidden="1" customHeight="1" outlineLevel="1" x14ac:dyDescent="0.3">
      <c r="A14324" s="2380">
        <v>3.3333000000000002E-2</v>
      </c>
      <c r="B14324" s="1921" t="s">
        <v>1857</v>
      </c>
      <c r="C14324" s="2108">
        <v>1664.5</v>
      </c>
      <c r="D14324" s="3252">
        <v>1704.5</v>
      </c>
      <c r="E14324" s="3253">
        <v>2.4031240612796712E-2</v>
      </c>
      <c r="F14324" s="3282">
        <v>8.010333433463528E-4</v>
      </c>
      <c r="G14324" s="78"/>
      <c r="H14324" t="str">
        <f>VLOOKUP(B14324,indexy!$A$44:$D$823,3,FALSE)</f>
        <v>SSE LN Equity</v>
      </c>
      <c r="I14324" s="370"/>
      <c r="J14324" s="3231" t="s">
        <v>7136</v>
      </c>
      <c r="K14324" s="3231" t="s">
        <v>6943</v>
      </c>
      <c r="L14324" s="3491">
        <v>3.6651826800000002E-2</v>
      </c>
      <c r="M14324" s="3231">
        <v>126.8</v>
      </c>
      <c r="N14324" s="3231"/>
      <c r="O14324" s="3231"/>
      <c r="P14324" s="3231"/>
      <c r="Q14324" s="3231"/>
      <c r="R14324" s="3231"/>
      <c r="S14324" s="3231"/>
      <c r="T14324" s="3231"/>
      <c r="U14324" s="3231"/>
      <c r="V14324" s="3231"/>
      <c r="W14324" s="3231"/>
      <c r="X14324" s="3231"/>
      <c r="Y14324" s="3231"/>
      <c r="Z14324" s="3231"/>
      <c r="AA14324" s="3231"/>
      <c r="AB14324" s="3231"/>
      <c r="AC14324" s="3231"/>
      <c r="AD14324" s="3231"/>
      <c r="AE14324" s="3231"/>
      <c r="AF14324" s="3231"/>
      <c r="AG14324" s="3231"/>
      <c r="AH14324" s="3233"/>
      <c r="AI14324" s="3231"/>
      <c r="AJ14324" s="3231"/>
      <c r="AK14324" s="3492"/>
      <c r="AL14324" s="3233"/>
    </row>
    <row r="14325" spans="1:38" ht="12.75" hidden="1" customHeight="1" outlineLevel="1" x14ac:dyDescent="0.3">
      <c r="A14325" s="2380">
        <v>3.3333000000000002E-2</v>
      </c>
      <c r="B14325" s="1921" t="s">
        <v>1724</v>
      </c>
      <c r="C14325" s="2108">
        <v>196.02999999999997</v>
      </c>
      <c r="D14325" s="3252">
        <v>153.52000000000001</v>
      </c>
      <c r="E14325" s="3253">
        <v>-0.21685456307707984</v>
      </c>
      <c r="F14325" s="3282">
        <v>-7.2284131510483027E-3</v>
      </c>
      <c r="G14325" s="78"/>
      <c r="H14325" t="str">
        <f>VLOOKUP(B14325,indexy!$A$44:$D$823,3,FALSE)</f>
        <v>SWEDA SS Equity</v>
      </c>
      <c r="J14325" s="3231" t="s">
        <v>7136</v>
      </c>
      <c r="K14325" s="3231" t="s">
        <v>6943</v>
      </c>
      <c r="L14325" s="3491">
        <v>3.7724632299999998E-2</v>
      </c>
      <c r="M14325" s="3231"/>
      <c r="N14325" s="3231">
        <v>105.55</v>
      </c>
      <c r="O14325" s="3231">
        <v>110.3</v>
      </c>
      <c r="P14325" s="3231">
        <v>108.6</v>
      </c>
      <c r="Q14325" s="3231"/>
      <c r="R14325" s="3231">
        <v>115.5</v>
      </c>
      <c r="S14325" s="3231">
        <v>106.55</v>
      </c>
      <c r="T14325" s="3231">
        <v>117.8</v>
      </c>
      <c r="U14325" s="3231">
        <v>109.35</v>
      </c>
      <c r="V14325" s="3231"/>
      <c r="W14325" s="3231">
        <v>111.6</v>
      </c>
      <c r="X14325" s="3231"/>
      <c r="Y14325" s="3231"/>
      <c r="Z14325" s="3231"/>
      <c r="AA14325" s="3231"/>
      <c r="AB14325" s="3231"/>
      <c r="AC14325" s="3231"/>
      <c r="AD14325" s="3231"/>
      <c r="AE14325" s="3231"/>
      <c r="AF14325" s="3231"/>
      <c r="AG14325" s="3231"/>
      <c r="AH14325" s="3233"/>
      <c r="AI14325" s="3231"/>
      <c r="AJ14325" s="3231"/>
      <c r="AK14325" s="3492"/>
      <c r="AL14325" s="3233"/>
    </row>
    <row r="14326" spans="1:38" ht="12.75" hidden="1" customHeight="1" outlineLevel="1" x14ac:dyDescent="0.3">
      <c r="A14326" s="2380">
        <v>3.3333000000000002E-2</v>
      </c>
      <c r="B14326" s="1921" t="s">
        <v>6118</v>
      </c>
      <c r="C14326" s="2108">
        <v>83.875000000000014</v>
      </c>
      <c r="D14326" s="3252">
        <v>87.82</v>
      </c>
      <c r="E14326" s="3253">
        <v>4.7034277198211294E-2</v>
      </c>
      <c r="F14326" s="3282">
        <v>1.567793561847977E-3</v>
      </c>
      <c r="G14326" s="78"/>
      <c r="H14326" t="str">
        <f>VLOOKUP(B14326,indexy!$A$44:$D$823,3,FALSE)</f>
        <v>SREN SE Equity</v>
      </c>
      <c r="J14326" s="3231" t="s">
        <v>7136</v>
      </c>
      <c r="K14326" s="3231" t="s">
        <v>6943</v>
      </c>
      <c r="L14326" s="3491">
        <v>3.8706670899999997E-2</v>
      </c>
      <c r="M14326" s="3231"/>
      <c r="N14326" s="3231"/>
      <c r="O14326" s="3231"/>
      <c r="P14326" s="3231"/>
      <c r="Q14326" s="3231"/>
      <c r="R14326" s="3231"/>
      <c r="S14326" s="3231"/>
      <c r="T14326" s="3231"/>
      <c r="U14326" s="3231"/>
      <c r="V14326" s="3231"/>
      <c r="W14326" s="3231"/>
      <c r="X14326" s="3231">
        <v>116.6</v>
      </c>
      <c r="Y14326" s="3231">
        <v>126.45</v>
      </c>
      <c r="Z14326" s="3231">
        <v>129.35</v>
      </c>
      <c r="AA14326" s="3231">
        <v>129.85</v>
      </c>
      <c r="AB14326" s="3231">
        <v>121.15</v>
      </c>
      <c r="AC14326" s="3231">
        <v>129.1</v>
      </c>
      <c r="AD14326" s="3231">
        <v>129.1</v>
      </c>
      <c r="AE14326" s="3231"/>
      <c r="AF14326" s="3231">
        <v>134.94999999999999</v>
      </c>
      <c r="AG14326" s="3231">
        <v>125.75</v>
      </c>
      <c r="AH14326" s="3233"/>
      <c r="AI14326" s="3231">
        <v>119.68611111111107</v>
      </c>
      <c r="AJ14326" s="3231">
        <v>98.509299999999996</v>
      </c>
      <c r="AK14326" s="3492">
        <v>0.21497270928847406</v>
      </c>
      <c r="AL14326" s="3233"/>
    </row>
    <row r="14327" spans="1:38" ht="12.75" hidden="1" customHeight="1" outlineLevel="1" x14ac:dyDescent="0.3">
      <c r="A14327" s="2380">
        <v>3.3333000000000002E-2</v>
      </c>
      <c r="B14327" s="1921" t="s">
        <v>6945</v>
      </c>
      <c r="C14327" s="2108">
        <v>98.509299999999996</v>
      </c>
      <c r="D14327" s="3252">
        <v>125.75</v>
      </c>
      <c r="E14327" s="3253">
        <v>0.27652922109892164</v>
      </c>
      <c r="F14327" s="3282">
        <v>9.217548526890355E-3</v>
      </c>
      <c r="G14327" s="78"/>
      <c r="H14327" t="str">
        <f>VLOOKUP(B14327,indexy!$A$44:$D$823,3,FALSE)</f>
        <v>TEL2B SS Equity</v>
      </c>
      <c r="J14327" s="3231" t="s">
        <v>10698</v>
      </c>
      <c r="K14327" s="3231" t="s">
        <v>7745</v>
      </c>
      <c r="L14327" s="3491">
        <v>6.4875437899999999E-2</v>
      </c>
      <c r="M14327" s="3231">
        <v>36.85</v>
      </c>
      <c r="N14327" s="3231">
        <v>34.119999999999997</v>
      </c>
      <c r="O14327" s="3231">
        <v>36.36</v>
      </c>
      <c r="P14327" s="3231">
        <v>33.96</v>
      </c>
      <c r="Q14327" s="3231"/>
      <c r="R14327" s="3231">
        <v>36.700000000000003</v>
      </c>
      <c r="S14327" s="3231">
        <v>34.11</v>
      </c>
      <c r="T14327" s="3231">
        <v>37.83</v>
      </c>
      <c r="U14327" s="3231">
        <v>35.04</v>
      </c>
      <c r="V14327" s="3231"/>
      <c r="W14327" s="3231">
        <v>36.21</v>
      </c>
      <c r="X14327" s="3231">
        <v>37.979999999999997</v>
      </c>
      <c r="Y14327" s="3231">
        <v>37.79</v>
      </c>
      <c r="Z14327" s="3231">
        <v>37.04</v>
      </c>
      <c r="AA14327" s="3231">
        <v>36.125</v>
      </c>
      <c r="AB14327" s="3231">
        <v>33.795000000000002</v>
      </c>
      <c r="AC14327" s="3231">
        <v>34.909999999999997</v>
      </c>
      <c r="AD14327" s="3231">
        <v>35.405000000000001</v>
      </c>
      <c r="AE14327" s="3231"/>
      <c r="AF14327" s="3231">
        <v>36.61</v>
      </c>
      <c r="AG14327" s="3231">
        <v>35.314999999999998</v>
      </c>
      <c r="AH14327" s="3233"/>
      <c r="AI14327" s="3231">
        <v>35.897222222222226</v>
      </c>
      <c r="AJ14327" s="3231">
        <v>51.38</v>
      </c>
      <c r="AK14327" s="3492">
        <v>-0.30133860992171618</v>
      </c>
      <c r="AL14327" s="3233"/>
    </row>
    <row r="14328" spans="1:38" ht="12.75" hidden="1" customHeight="1" outlineLevel="1" x14ac:dyDescent="0.3">
      <c r="A14328" s="2380">
        <v>3.3333000000000002E-2</v>
      </c>
      <c r="B14328" s="1921" t="s">
        <v>434</v>
      </c>
      <c r="C14328" s="2108">
        <v>51.38000000000001</v>
      </c>
      <c r="D14328" s="3252">
        <v>35.314999999999998</v>
      </c>
      <c r="E14328" s="3253">
        <v>-0.31267029972752058</v>
      </c>
      <c r="F14328" s="3282">
        <v>-1.0422239100817444E-2</v>
      </c>
      <c r="G14328" s="78"/>
      <c r="H14328" t="str">
        <f>VLOOKUP(B14328,indexy!$A$44:$D$823,3,FALSE)</f>
        <v>TELIA SS Equity</v>
      </c>
      <c r="J14328" s="3487" t="s">
        <v>7137</v>
      </c>
      <c r="K14328" s="3487" t="s">
        <v>3922</v>
      </c>
      <c r="L14328" s="3488">
        <v>0.77009980590000005</v>
      </c>
      <c r="M14328" s="3487">
        <v>5.9740000000000002</v>
      </c>
      <c r="N14328" s="3487">
        <v>5.8040000000000003</v>
      </c>
      <c r="O14328" s="3487">
        <v>6.2720000000000002</v>
      </c>
      <c r="P14328" s="3487">
        <v>6.25</v>
      </c>
      <c r="Q14328" s="3487"/>
      <c r="R14328" s="3487">
        <v>5.9939999999999998</v>
      </c>
      <c r="S14328" s="3487">
        <v>5.7679999999999998</v>
      </c>
      <c r="T14328" s="3487">
        <v>6.4379999999999997</v>
      </c>
      <c r="U14328" s="3487">
        <v>6.13</v>
      </c>
      <c r="V14328" s="3487"/>
      <c r="W14328" s="3487">
        <v>6.2480000000000002</v>
      </c>
      <c r="X14328" s="3487">
        <v>6.2839999999999998</v>
      </c>
      <c r="Y14328" s="3487">
        <v>6.7039999999999997</v>
      </c>
      <c r="Z14328" s="3487">
        <v>6.6959999999999997</v>
      </c>
      <c r="AA14328" s="3487">
        <v>6.1360000000000001</v>
      </c>
      <c r="AB14328" s="3487">
        <v>6.4420000000000002</v>
      </c>
      <c r="AC14328" s="3487">
        <v>6.5759999999999996</v>
      </c>
      <c r="AD14328" s="3487">
        <v>7.1139999999999999</v>
      </c>
      <c r="AE14328" s="3487"/>
      <c r="AF14328" s="3487">
        <v>6.95</v>
      </c>
      <c r="AG14328" s="3487">
        <v>7.3419999999999996</v>
      </c>
      <c r="AH14328" s="3489"/>
      <c r="AI14328" s="3487">
        <v>6.3956666666666662</v>
      </c>
      <c r="AJ14328" s="3487">
        <v>4.3283999999999994</v>
      </c>
      <c r="AK14328" s="3490">
        <v>0.47760527369620809</v>
      </c>
      <c r="AL14328" s="3489" t="s">
        <v>10699</v>
      </c>
    </row>
    <row r="14329" spans="1:38" ht="12.75" hidden="1" customHeight="1" outlineLevel="1" x14ac:dyDescent="0.3">
      <c r="A14329" s="2380">
        <v>3.3333000000000002E-2</v>
      </c>
      <c r="B14329" s="1921" t="s">
        <v>3921</v>
      </c>
      <c r="C14329" s="2108">
        <v>4.3283999999999994</v>
      </c>
      <c r="D14329" s="3252">
        <v>7.3419999999999996</v>
      </c>
      <c r="E14329" s="3253">
        <v>0.69623879493577312</v>
      </c>
      <c r="F14329" s="3282">
        <v>2.3207727751594128E-2</v>
      </c>
      <c r="G14329" s="78"/>
      <c r="H14329" t="str">
        <f>VLOOKUP(B14329,indexy!$A$44:$D$823,3,FALSE)</f>
        <v>TRN IM Equity</v>
      </c>
      <c r="J14329" s="3231" t="s">
        <v>10633</v>
      </c>
      <c r="K14329" s="3231" t="s">
        <v>10634</v>
      </c>
      <c r="L14329" s="3491">
        <v>7.0601317400000002E-2</v>
      </c>
      <c r="M14329" s="3231">
        <v>29.2</v>
      </c>
      <c r="N14329" s="3231">
        <v>25.82</v>
      </c>
      <c r="O14329" s="3231">
        <v>35.825000000000003</v>
      </c>
      <c r="P14329" s="3231"/>
      <c r="Q14329" s="3231">
        <v>35.299999999999997</v>
      </c>
      <c r="R14329" s="3231">
        <v>34.895000000000003</v>
      </c>
      <c r="S14329" s="3231">
        <v>38.375</v>
      </c>
      <c r="T14329" s="3231">
        <v>39.774999999999999</v>
      </c>
      <c r="U14329" s="3231">
        <v>36.825000000000003</v>
      </c>
      <c r="V14329" s="3231"/>
      <c r="W14329" s="3231">
        <v>37.905000000000001</v>
      </c>
      <c r="X14329" s="3231">
        <v>38.155000000000001</v>
      </c>
      <c r="Y14329" s="3231">
        <v>36.700000000000003</v>
      </c>
      <c r="Z14329" s="3231">
        <v>37.344999999999999</v>
      </c>
      <c r="AA14329" s="3231">
        <v>41.335000000000001</v>
      </c>
      <c r="AB14329" s="3231">
        <v>43.37</v>
      </c>
      <c r="AC14329" s="3231">
        <v>40.61</v>
      </c>
      <c r="AD14329" s="3231"/>
      <c r="AE14329" s="3231">
        <v>44.63</v>
      </c>
      <c r="AF14329" s="3231">
        <v>50.22</v>
      </c>
      <c r="AG14329" s="3231">
        <v>45.59</v>
      </c>
      <c r="AH14329" s="3233"/>
      <c r="AI14329" s="3231">
        <v>38.437499999999993</v>
      </c>
      <c r="AJ14329" s="3231">
        <v>47.213000000000001</v>
      </c>
      <c r="AK14329" s="3492">
        <v>-0.1858704170461527</v>
      </c>
      <c r="AL14329" s="3233"/>
    </row>
    <row r="14330" spans="1:38" ht="12.75" hidden="1" customHeight="1" outlineLevel="1" x14ac:dyDescent="0.3">
      <c r="A14330" s="2380">
        <v>3.3333000000000002E-2</v>
      </c>
      <c r="B14330" s="1921" t="s">
        <v>10633</v>
      </c>
      <c r="C14330" s="2108">
        <v>47.213000000000001</v>
      </c>
      <c r="D14330" s="3252">
        <v>45.59</v>
      </c>
      <c r="E14330" s="3253">
        <v>-3.4376125219748754E-2</v>
      </c>
      <c r="F14330" s="3282">
        <v>-1.1458593819498853E-3</v>
      </c>
      <c r="G14330" s="78"/>
      <c r="H14330" t="str">
        <f>VLOOKUP(B14330,indexy!$A$44:$D$823,3,FALSE)</f>
        <v>TTE FP Equity</v>
      </c>
      <c r="J14330" s="3487" t="s">
        <v>9301</v>
      </c>
      <c r="K14330" s="3487" t="s">
        <v>9302</v>
      </c>
      <c r="L14330" s="3488">
        <v>1.38388724E-2</v>
      </c>
      <c r="M14330" s="3487">
        <v>31.5</v>
      </c>
      <c r="N14330" s="3487">
        <v>34.9</v>
      </c>
      <c r="O14330" s="3487">
        <v>59.5</v>
      </c>
      <c r="P14330" s="3487"/>
      <c r="Q14330" s="3487">
        <v>64.58</v>
      </c>
      <c r="R14330" s="3487">
        <v>69.5</v>
      </c>
      <c r="S14330" s="3487">
        <v>60.82</v>
      </c>
      <c r="T14330" s="3487">
        <v>68.34</v>
      </c>
      <c r="U14330" s="3487">
        <v>68.59</v>
      </c>
      <c r="V14330" s="3487"/>
      <c r="W14330" s="3487">
        <v>71.180000000000007</v>
      </c>
      <c r="X14330" s="3487">
        <v>72.989999999999995</v>
      </c>
      <c r="Y14330" s="3487">
        <v>70.17</v>
      </c>
      <c r="Z14330" s="3487">
        <v>74.2</v>
      </c>
      <c r="AA14330" s="3487">
        <v>63.62</v>
      </c>
      <c r="AB14330" s="3487">
        <v>61.81</v>
      </c>
      <c r="AC14330" s="3487">
        <v>58.2</v>
      </c>
      <c r="AD14330" s="3487"/>
      <c r="AE14330" s="3487">
        <v>61.62</v>
      </c>
      <c r="AF14330" s="3487">
        <v>67.290000000000006</v>
      </c>
      <c r="AG14330" s="3487">
        <v>67.88</v>
      </c>
      <c r="AH14330" s="3489"/>
      <c r="AI14330" s="3487">
        <v>62.593888888888891</v>
      </c>
      <c r="AJ14330" s="3487">
        <v>240.86500000000001</v>
      </c>
      <c r="AK14330" s="3490">
        <v>-0.74012874893035974</v>
      </c>
      <c r="AL14330" s="3489" t="s">
        <v>10700</v>
      </c>
    </row>
    <row r="14331" spans="1:38" ht="12.75" hidden="1" customHeight="1" outlineLevel="1" x14ac:dyDescent="0.3">
      <c r="A14331" s="2380">
        <v>3.3333000000000002E-2</v>
      </c>
      <c r="B14331" s="1921" t="s">
        <v>4601</v>
      </c>
      <c r="C14331" s="2108">
        <v>240.86500000000001</v>
      </c>
      <c r="D14331" s="3252">
        <v>190</v>
      </c>
      <c r="E14331" s="3253">
        <v>-0.21117638511199222</v>
      </c>
      <c r="F14331" s="3282">
        <v>-7.0391424449380369E-3</v>
      </c>
      <c r="G14331" s="78"/>
      <c r="H14331" t="str">
        <f>VLOOKUP(B14331,indexy!$A$44:$D$823,3,FALSE)</f>
        <v>UL NA Equity</v>
      </c>
      <c r="J14331" s="3231" t="s">
        <v>6338</v>
      </c>
      <c r="K14331" s="3231" t="s">
        <v>8889</v>
      </c>
      <c r="L14331" s="3493">
        <v>1.0990471200000001E-2</v>
      </c>
      <c r="M14331" s="3232">
        <v>320.7</v>
      </c>
      <c r="N14331" s="3232">
        <v>304</v>
      </c>
      <c r="O14331" s="3232">
        <v>368.9</v>
      </c>
      <c r="P14331" s="3232">
        <v>373.5</v>
      </c>
      <c r="Q14331" s="3232"/>
      <c r="R14331" s="3232">
        <v>356.2</v>
      </c>
      <c r="S14331" s="3232">
        <v>371.5</v>
      </c>
      <c r="T14331" s="3232">
        <v>403.4</v>
      </c>
      <c r="U14331" s="3232">
        <v>374.7</v>
      </c>
      <c r="V14331" s="3232"/>
      <c r="W14331" s="3232">
        <v>375.6</v>
      </c>
      <c r="X14331" s="3232">
        <v>371.2</v>
      </c>
      <c r="Y14331" s="3232">
        <v>365.8</v>
      </c>
      <c r="Z14331" s="3232">
        <v>402</v>
      </c>
      <c r="AA14331" s="3232">
        <v>383.6</v>
      </c>
      <c r="AB14331" s="3232">
        <v>405.9</v>
      </c>
      <c r="AC14331" s="3232">
        <v>379.1</v>
      </c>
      <c r="AD14331" s="3232">
        <v>400.4</v>
      </c>
      <c r="AE14331" s="3232"/>
      <c r="AF14331" s="3232">
        <v>440.7</v>
      </c>
      <c r="AG14331" s="3232">
        <v>421.6</v>
      </c>
      <c r="AH14331" s="3233"/>
      <c r="AI14331" s="3231">
        <v>378.82222222222225</v>
      </c>
      <c r="AJ14331" s="3231">
        <v>303.29000000000002</v>
      </c>
      <c r="AK14331" s="3492">
        <v>0.24904290356497816</v>
      </c>
      <c r="AL14331" s="3233"/>
    </row>
    <row r="14332" spans="1:38" ht="12.75" hidden="1" customHeight="1" outlineLevel="1" x14ac:dyDescent="0.25">
      <c r="A14332" s="2380">
        <v>3.3333000000000002E-2</v>
      </c>
      <c r="B14332" s="2109" t="s">
        <v>4550</v>
      </c>
      <c r="C14332" s="2108">
        <v>303.29000000000002</v>
      </c>
      <c r="D14332" s="3255">
        <v>421.6</v>
      </c>
      <c r="E14332" s="3256">
        <v>0.39008869398925117</v>
      </c>
      <c r="F14332" s="3382">
        <v>1.3002826436743709E-2</v>
      </c>
      <c r="G14332" s="78"/>
      <c r="H14332" t="str">
        <f>VLOOKUP(B14332,indexy!$A$44:$D$823,3,FALSE)</f>
        <v>ZURN SE Equity</v>
      </c>
      <c r="J14332" s="37"/>
    </row>
    <row r="14333" spans="1:38" ht="12.75" hidden="1" customHeight="1" outlineLevel="1" x14ac:dyDescent="0.25">
      <c r="A14333" s="2181" t="s">
        <v>2734</v>
      </c>
      <c r="B14333" s="2103"/>
      <c r="C14333" s="3258"/>
      <c r="D14333" s="3259"/>
      <c r="E14333" s="3260"/>
      <c r="F14333" s="3282">
        <v>2.5608885176106617E-3</v>
      </c>
      <c r="G14333" s="78"/>
    </row>
    <row r="14334" spans="1:38" ht="12.75" hidden="1" customHeight="1" outlineLevel="1" x14ac:dyDescent="0.25">
      <c r="A14334" s="1956" t="s">
        <v>6946</v>
      </c>
      <c r="B14334" s="2185">
        <v>44075</v>
      </c>
      <c r="C14334" s="3261">
        <v>100</v>
      </c>
      <c r="D14334" s="3261">
        <v>81.034162993604951</v>
      </c>
      <c r="E14334" s="3262">
        <v>-0.16976100000000005</v>
      </c>
      <c r="F14334" s="3285"/>
      <c r="G14334" s="78"/>
    </row>
    <row r="14335" spans="1:38" ht="12.75" hidden="1" customHeight="1" outlineLevel="1" x14ac:dyDescent="0.25">
      <c r="A14335" s="1956" t="s">
        <v>6947</v>
      </c>
      <c r="B14335" s="2185">
        <v>44105</v>
      </c>
      <c r="C14335" s="3261">
        <v>100</v>
      </c>
      <c r="D14335" s="3264">
        <v>77.317533447151504</v>
      </c>
      <c r="E14335" s="3262">
        <v>-0.2130209999999999</v>
      </c>
      <c r="F14335" s="3285"/>
      <c r="G14335" s="78"/>
    </row>
    <row r="14336" spans="1:38" ht="12.75" hidden="1" customHeight="1" outlineLevel="1" x14ac:dyDescent="0.25">
      <c r="A14336" s="1956" t="s">
        <v>6948</v>
      </c>
      <c r="B14336" s="2185">
        <v>44136</v>
      </c>
      <c r="C14336" s="3261">
        <v>100</v>
      </c>
      <c r="D14336" s="3264">
        <v>88.395612101700038</v>
      </c>
      <c r="E14336" s="3262">
        <v>-0.11544399999999999</v>
      </c>
      <c r="F14336" s="3285"/>
      <c r="G14336" s="78"/>
    </row>
    <row r="14337" spans="1:7" ht="12.75" hidden="1" customHeight="1" outlineLevel="1" x14ac:dyDescent="0.25">
      <c r="A14337" s="1956" t="s">
        <v>6949</v>
      </c>
      <c r="B14337" s="2185">
        <v>44166</v>
      </c>
      <c r="C14337" s="3261">
        <v>100</v>
      </c>
      <c r="D14337" s="3264">
        <v>87.79</v>
      </c>
      <c r="E14337" s="3262">
        <v>-0.12238899999999997</v>
      </c>
      <c r="F14337" s="3285"/>
      <c r="G14337" s="78"/>
    </row>
    <row r="14338" spans="1:7" ht="12.75" hidden="1" customHeight="1" outlineLevel="1" x14ac:dyDescent="0.25">
      <c r="A14338" s="1956" t="s">
        <v>6950</v>
      </c>
      <c r="B14338" s="2185">
        <v>44197</v>
      </c>
      <c r="C14338" s="3261">
        <v>100</v>
      </c>
      <c r="D14338" s="3264">
        <v>86.796091747818906</v>
      </c>
      <c r="E14338" s="3262">
        <v>-0.12278499999999992</v>
      </c>
      <c r="F14338" s="3285"/>
      <c r="G14338" s="78"/>
    </row>
    <row r="14339" spans="1:7" ht="12.75" hidden="1" customHeight="1" outlineLevel="1" x14ac:dyDescent="0.25">
      <c r="A14339" s="1956" t="s">
        <v>6951</v>
      </c>
      <c r="B14339" s="2185">
        <v>44228</v>
      </c>
      <c r="C14339" s="3261">
        <v>100</v>
      </c>
      <c r="D14339" s="3264">
        <v>87.781808374928445</v>
      </c>
      <c r="E14339" s="3262">
        <v>-0.12384200000000012</v>
      </c>
      <c r="F14339" s="3285"/>
      <c r="G14339" s="78"/>
    </row>
    <row r="14340" spans="1:7" ht="12.75" hidden="1" customHeight="1" outlineLevel="1" x14ac:dyDescent="0.25">
      <c r="A14340" s="1956" t="s">
        <v>6952</v>
      </c>
      <c r="B14340" s="2185">
        <v>44256</v>
      </c>
      <c r="C14340" s="3261">
        <v>100</v>
      </c>
      <c r="D14340" s="3264">
        <v>95.097812890729713</v>
      </c>
      <c r="E14340" s="3262">
        <v>-4.9582000000000015E-2</v>
      </c>
      <c r="F14340" s="3285"/>
      <c r="G14340" s="78"/>
    </row>
    <row r="14341" spans="1:7" ht="12.75" hidden="1" customHeight="1" outlineLevel="1" x14ac:dyDescent="0.25">
      <c r="A14341" s="1956" t="s">
        <v>6953</v>
      </c>
      <c r="B14341" s="2185">
        <v>44287</v>
      </c>
      <c r="C14341" s="3261">
        <v>100</v>
      </c>
      <c r="D14341" s="3264">
        <v>93.771658971585211</v>
      </c>
      <c r="E14341" s="3262">
        <v>-6.7715000000000081E-2</v>
      </c>
      <c r="F14341" s="3285"/>
      <c r="G14341" s="78"/>
    </row>
    <row r="14342" spans="1:7" ht="12.75" hidden="1" customHeight="1" outlineLevel="1" x14ac:dyDescent="0.25">
      <c r="A14342" s="1956" t="s">
        <v>6954</v>
      </c>
      <c r="B14342" s="2185">
        <v>44317</v>
      </c>
      <c r="C14342" s="3261">
        <v>100</v>
      </c>
      <c r="D14342" s="3264">
        <v>94.879849322296536</v>
      </c>
      <c r="E14342" s="3262">
        <v>-5.4742999999999986E-2</v>
      </c>
      <c r="F14342" s="3285"/>
      <c r="G14342" s="78"/>
    </row>
    <row r="14343" spans="1:7" ht="12.75" hidden="1" customHeight="1" outlineLevel="1" x14ac:dyDescent="0.25">
      <c r="A14343" s="1956" t="s">
        <v>6955</v>
      </c>
      <c r="B14343" s="2185">
        <v>44348</v>
      </c>
      <c r="C14343" s="3261">
        <v>100</v>
      </c>
      <c r="D14343" s="3264">
        <v>94.616764754188353</v>
      </c>
      <c r="E14343" s="3262">
        <v>-5.1041000000000003E-2</v>
      </c>
      <c r="F14343" s="3285"/>
      <c r="G14343" s="78"/>
    </row>
    <row r="14344" spans="1:7" ht="12.75" hidden="1" customHeight="1" outlineLevel="1" x14ac:dyDescent="0.25">
      <c r="A14344" s="1956" t="s">
        <v>6956</v>
      </c>
      <c r="B14344" s="2185">
        <v>44378</v>
      </c>
      <c r="C14344" s="3261">
        <v>100</v>
      </c>
      <c r="D14344" s="3264">
        <v>95.250048709252795</v>
      </c>
      <c r="E14344" s="3262">
        <v>-3.9137999999999895E-2</v>
      </c>
      <c r="F14344" s="3285"/>
      <c r="G14344" s="78"/>
    </row>
    <row r="14345" spans="1:7" ht="12.75" hidden="1" customHeight="1" outlineLevel="1" x14ac:dyDescent="0.25">
      <c r="A14345" s="1956" t="s">
        <v>6957</v>
      </c>
      <c r="B14345" s="2185">
        <v>44409</v>
      </c>
      <c r="C14345" s="3261">
        <v>100</v>
      </c>
      <c r="D14345" s="3264">
        <v>98.041667728728441</v>
      </c>
      <c r="E14345" s="3262">
        <v>-4.3330000000000313E-3</v>
      </c>
      <c r="F14345" s="3285"/>
      <c r="G14345" s="78"/>
    </row>
    <row r="14346" spans="1:7" ht="12.75" hidden="1" customHeight="1" outlineLevel="1" x14ac:dyDescent="0.25">
      <c r="A14346" s="1956" t="s">
        <v>6958</v>
      </c>
      <c r="B14346" s="2185">
        <v>44440</v>
      </c>
      <c r="C14346" s="3261">
        <v>100</v>
      </c>
      <c r="D14346" s="3264">
        <v>96.54451768753664</v>
      </c>
      <c r="E14346" s="3262">
        <v>-1.7517000000000005E-2</v>
      </c>
      <c r="F14346" s="3285"/>
      <c r="G14346" s="78"/>
    </row>
    <row r="14347" spans="1:7" ht="12.75" hidden="1" customHeight="1" outlineLevel="1" x14ac:dyDescent="0.25">
      <c r="A14347" s="1956" t="s">
        <v>6959</v>
      </c>
      <c r="B14347" s="2185">
        <v>44470</v>
      </c>
      <c r="C14347" s="3261">
        <v>100</v>
      </c>
      <c r="D14347" s="3264">
        <v>99.021359626266332</v>
      </c>
      <c r="E14347" s="3262">
        <v>-2.0900000000001473E-4</v>
      </c>
      <c r="F14347" s="3285"/>
      <c r="G14347" s="78"/>
    </row>
    <row r="14348" spans="1:7" ht="12.75" hidden="1" customHeight="1" outlineLevel="1" x14ac:dyDescent="0.25">
      <c r="A14348" s="1956" t="s">
        <v>6960</v>
      </c>
      <c r="B14348" s="2185">
        <v>44501</v>
      </c>
      <c r="C14348" s="3261">
        <v>100</v>
      </c>
      <c r="D14348" s="3264">
        <v>96.523828985814959</v>
      </c>
      <c r="E14348" s="3262">
        <v>-1.7908999999999953E-2</v>
      </c>
      <c r="F14348" s="3285"/>
      <c r="G14348" s="78"/>
    </row>
    <row r="14349" spans="1:7" ht="12.75" hidden="1" customHeight="1" outlineLevel="1" x14ac:dyDescent="0.25">
      <c r="A14349" s="1956" t="s">
        <v>6961</v>
      </c>
      <c r="B14349" s="2185">
        <v>44531</v>
      </c>
      <c r="C14349" s="3261">
        <v>100</v>
      </c>
      <c r="D14349" s="3264">
        <v>102.00654512069315</v>
      </c>
      <c r="E14349" s="3262">
        <v>3.1708999999999987E-2</v>
      </c>
      <c r="F14349" s="3285"/>
      <c r="G14349" s="78"/>
    </row>
    <row r="14350" spans="1:7" ht="12.75" hidden="1" customHeight="1" outlineLevel="1" x14ac:dyDescent="0.25">
      <c r="A14350" s="1956" t="s">
        <v>6962</v>
      </c>
      <c r="B14350" s="2185">
        <v>44562</v>
      </c>
      <c r="C14350" s="3261">
        <v>100</v>
      </c>
      <c r="D14350" s="3264">
        <v>104.31534679577301</v>
      </c>
      <c r="E14350" s="3262">
        <v>5.2309000000000161E-2</v>
      </c>
      <c r="F14350" s="3285"/>
      <c r="G14350" s="78"/>
    </row>
    <row r="14351" spans="1:7" ht="12.75" hidden="1" customHeight="1" outlineLevel="1" x14ac:dyDescent="0.25">
      <c r="A14351" s="1956" t="s">
        <v>6963</v>
      </c>
      <c r="B14351" s="2185">
        <v>44593</v>
      </c>
      <c r="C14351" s="3261">
        <v>100</v>
      </c>
      <c r="D14351" s="3264">
        <v>98.207229629875712</v>
      </c>
      <c r="E14351" s="3262">
        <v>-5.9040000000000203E-3</v>
      </c>
      <c r="F14351" s="3285"/>
      <c r="G14351" s="78"/>
    </row>
    <row r="14352" spans="1:7" ht="12.75" hidden="1" customHeight="1" outlineLevel="1" x14ac:dyDescent="0.25">
      <c r="A14352" s="2189" t="s">
        <v>2734</v>
      </c>
      <c r="B14352" s="2190"/>
      <c r="C14352" s="3264"/>
      <c r="D14352" s="2191" t="s">
        <v>2465</v>
      </c>
      <c r="E14352" s="1987">
        <v>-6.8099999999999994E-2</v>
      </c>
      <c r="F14352" s="2192">
        <v>-6.8099999999999994E-2</v>
      </c>
      <c r="G14352" s="78"/>
    </row>
    <row r="14353" spans="1:13" collapsed="1" x14ac:dyDescent="0.25">
      <c r="A14353" s="3801" t="s">
        <v>6935</v>
      </c>
      <c r="B14353" s="3802"/>
      <c r="C14353" s="3802"/>
      <c r="D14353" s="3802"/>
      <c r="E14353" s="1906"/>
      <c r="F14353" s="1906">
        <v>-6.8099999999999994E-2</v>
      </c>
      <c r="G14353" s="78"/>
    </row>
    <row r="14355" spans="1:13" ht="12.75" hidden="1" customHeight="1" outlineLevel="1" x14ac:dyDescent="0.25">
      <c r="A14355" s="3237" t="s">
        <v>113</v>
      </c>
      <c r="B14355" s="3237" t="s">
        <v>114</v>
      </c>
      <c r="C14355" s="3237" t="s">
        <v>112</v>
      </c>
      <c r="D14355" s="3237" t="s">
        <v>116</v>
      </c>
      <c r="E14355" s="3237" t="s">
        <v>117</v>
      </c>
      <c r="F14355" s="3276" t="s">
        <v>121</v>
      </c>
      <c r="G14355" s="78"/>
    </row>
    <row r="14356" spans="1:13" ht="12.75" hidden="1" customHeight="1" outlineLevel="1" x14ac:dyDescent="0.25">
      <c r="A14356" s="3238">
        <v>1</v>
      </c>
      <c r="B14356" s="3239" t="s">
        <v>252</v>
      </c>
      <c r="C14356" s="3240">
        <v>100</v>
      </c>
      <c r="D14356" s="3240"/>
      <c r="E14356" s="3241"/>
      <c r="F14356" s="3242"/>
      <c r="G14356" s="78"/>
    </row>
    <row r="14357" spans="1:13" ht="12.75" hidden="1" customHeight="1" outlineLevel="1" x14ac:dyDescent="0.25">
      <c r="A14357" s="3243" t="s">
        <v>2734</v>
      </c>
      <c r="B14357" s="3243"/>
      <c r="C14357" s="3244"/>
      <c r="D14357" s="1900" t="s">
        <v>3702</v>
      </c>
      <c r="E14357" s="3245">
        <v>44377</v>
      </c>
      <c r="F14357" s="3246"/>
      <c r="G14357" s="78"/>
    </row>
    <row r="14358" spans="1:13" ht="12.75" hidden="1" customHeight="1" outlineLevel="1" x14ac:dyDescent="0.25">
      <c r="A14358" s="3237" t="s">
        <v>4156</v>
      </c>
      <c r="B14358" s="3237" t="s">
        <v>4153</v>
      </c>
      <c r="C14358" s="3247" t="s">
        <v>112</v>
      </c>
      <c r="D14358" s="3248" t="s">
        <v>4155</v>
      </c>
      <c r="E14358" s="3248" t="s">
        <v>4154</v>
      </c>
      <c r="F14358" s="3277" t="s">
        <v>2519</v>
      </c>
      <c r="G14358" s="78"/>
    </row>
    <row r="14359" spans="1:13" ht="12.75" hidden="1" customHeight="1" outlineLevel="1" x14ac:dyDescent="0.3">
      <c r="A14359" s="1991">
        <v>0.03</v>
      </c>
      <c r="B14359" s="1921" t="s">
        <v>359</v>
      </c>
      <c r="C14359" s="2108">
        <v>149.215</v>
      </c>
      <c r="D14359" s="3249">
        <v>210.3</v>
      </c>
      <c r="E14359" s="3250">
        <v>0.40937573300271435</v>
      </c>
      <c r="F14359" s="3277">
        <v>1.228127199008143E-2</v>
      </c>
      <c r="G14359" s="78"/>
      <c r="H14359" t="s">
        <v>360</v>
      </c>
      <c r="I14359" s="412" t="s">
        <v>8097</v>
      </c>
      <c r="J14359" s="1558">
        <v>94.564300000000003</v>
      </c>
      <c r="M14359" s="434"/>
    </row>
    <row r="14360" spans="1:13" ht="12.75" hidden="1" customHeight="1" outlineLevel="1" x14ac:dyDescent="0.3">
      <c r="A14360" s="2380">
        <v>0.02</v>
      </c>
      <c r="B14360" s="1921" t="s">
        <v>1993</v>
      </c>
      <c r="C14360" s="2108">
        <v>51.730999999999995</v>
      </c>
      <c r="D14360" s="3252">
        <v>47.68</v>
      </c>
      <c r="E14360" s="3253">
        <v>-7.8308944346716536E-2</v>
      </c>
      <c r="F14360" s="3282">
        <v>-1.5661788869343308E-3</v>
      </c>
      <c r="G14360" s="78"/>
      <c r="H14360" t="s">
        <v>2812</v>
      </c>
      <c r="I14360" s="412" t="s">
        <v>8746</v>
      </c>
      <c r="J14360" s="1558">
        <v>99.636799999999994</v>
      </c>
      <c r="M14360" s="434"/>
    </row>
    <row r="14361" spans="1:13" ht="12.75" hidden="1" customHeight="1" outlineLevel="1" x14ac:dyDescent="0.3">
      <c r="A14361" s="2380">
        <v>0.03</v>
      </c>
      <c r="B14361" s="1921" t="s">
        <v>3998</v>
      </c>
      <c r="C14361" s="2108">
        <v>34.314999999999998</v>
      </c>
      <c r="D14361" s="3252">
        <v>28.78</v>
      </c>
      <c r="E14361" s="3253">
        <v>-0.1612997231531399</v>
      </c>
      <c r="F14361" s="3282">
        <v>-4.8389916945941963E-3</v>
      </c>
      <c r="G14361" s="78"/>
      <c r="H14361" t="s">
        <v>4000</v>
      </c>
      <c r="I14361" s="412" t="s">
        <v>9766</v>
      </c>
      <c r="J14361" s="1558">
        <v>94.297799999999995</v>
      </c>
      <c r="M14361" s="434"/>
    </row>
    <row r="14362" spans="1:13" ht="12.75" hidden="1" customHeight="1" outlineLevel="1" x14ac:dyDescent="0.3">
      <c r="A14362" s="2380">
        <v>0.03</v>
      </c>
      <c r="B14362" s="1921" t="s">
        <v>218</v>
      </c>
      <c r="C14362" s="2108">
        <v>23.070499999999999</v>
      </c>
      <c r="D14362" s="3252">
        <v>21.385000000000002</v>
      </c>
      <c r="E14362" s="3253">
        <v>-7.3058667995925419E-2</v>
      </c>
      <c r="F14362" s="3282">
        <v>-2.1917600398777626E-3</v>
      </c>
      <c r="G14362" s="78"/>
      <c r="H14362" t="s">
        <v>656</v>
      </c>
      <c r="I14362" s="412" t="s">
        <v>9926</v>
      </c>
      <c r="J14362" s="1558">
        <v>95.856300000000005</v>
      </c>
      <c r="M14362" s="434"/>
    </row>
    <row r="14363" spans="1:13" ht="12.75" hidden="1" customHeight="1" outlineLevel="1" x14ac:dyDescent="0.3">
      <c r="A14363" s="2380">
        <v>0.02</v>
      </c>
      <c r="B14363" s="1921" t="s">
        <v>807</v>
      </c>
      <c r="C14363" s="2108">
        <v>53.448</v>
      </c>
      <c r="D14363" s="3252">
        <v>61.13</v>
      </c>
      <c r="E14363" s="3253">
        <v>0.1437284837599162</v>
      </c>
      <c r="F14363" s="3282">
        <v>2.8745696751983243E-3</v>
      </c>
      <c r="G14363" s="78"/>
      <c r="H14363" t="s">
        <v>808</v>
      </c>
      <c r="I14363" s="2968" t="s">
        <v>10441</v>
      </c>
      <c r="J14363" s="2969">
        <v>91.246899999999997</v>
      </c>
      <c r="M14363" s="434"/>
    </row>
    <row r="14364" spans="1:13" ht="12.75" hidden="1" customHeight="1" outlineLevel="1" x14ac:dyDescent="0.25">
      <c r="A14364" s="2380">
        <v>0.05</v>
      </c>
      <c r="B14364" s="1921" t="s">
        <v>7142</v>
      </c>
      <c r="C14364" s="2108">
        <v>32.578499999999998</v>
      </c>
      <c r="D14364" s="3252">
        <v>16.29</v>
      </c>
      <c r="E14364" s="3253">
        <v>-0.49997697868225977</v>
      </c>
      <c r="F14364" s="3282">
        <v>-2.4998848934112989E-2</v>
      </c>
      <c r="G14364" s="78"/>
      <c r="H14364" t="s">
        <v>7143</v>
      </c>
      <c r="M14364" s="434"/>
    </row>
    <row r="14365" spans="1:13" ht="12.75" hidden="1" customHeight="1" outlineLevel="1" x14ac:dyDescent="0.25">
      <c r="A14365" s="2380">
        <v>0.03</v>
      </c>
      <c r="B14365" s="1921" t="s">
        <v>4332</v>
      </c>
      <c r="C14365" s="2108">
        <v>280.37</v>
      </c>
      <c r="D14365" s="3252">
        <v>51.46</v>
      </c>
      <c r="E14365" s="3253">
        <v>-0.81645682490994043</v>
      </c>
      <c r="F14365" s="3282">
        <v>-2.4493704747298211E-2</v>
      </c>
      <c r="G14365" s="78"/>
      <c r="H14365" t="s">
        <v>4334</v>
      </c>
      <c r="M14365" s="434"/>
    </row>
    <row r="14366" spans="1:13" ht="12.75" hidden="1" customHeight="1" outlineLevel="1" x14ac:dyDescent="0.25">
      <c r="A14366" s="2380">
        <v>0.03</v>
      </c>
      <c r="B14366" s="1921" t="s">
        <v>5246</v>
      </c>
      <c r="C14366" s="2108">
        <v>34.350999999999999</v>
      </c>
      <c r="D14366" s="3252">
        <v>13.59</v>
      </c>
      <c r="E14366" s="3253">
        <v>-0.60437832959739168</v>
      </c>
      <c r="F14366" s="3282">
        <v>-1.8131349887921751E-2</v>
      </c>
      <c r="G14366" s="78"/>
      <c r="H14366" t="s">
        <v>10493</v>
      </c>
      <c r="M14366" s="434"/>
    </row>
    <row r="14367" spans="1:13" ht="12.75" hidden="1" customHeight="1" outlineLevel="1" x14ac:dyDescent="0.25">
      <c r="A14367" s="2380">
        <v>0.03</v>
      </c>
      <c r="B14367" s="1921" t="s">
        <v>496</v>
      </c>
      <c r="C14367" s="2108">
        <v>21.090091088335399</v>
      </c>
      <c r="D14367" s="3252">
        <v>11.52</v>
      </c>
      <c r="E14367" s="3253">
        <v>-0.453771918208</v>
      </c>
      <c r="F14367" s="3282">
        <v>-1.361315754624E-2</v>
      </c>
      <c r="G14367" s="78"/>
      <c r="H14367" t="s">
        <v>497</v>
      </c>
      <c r="M14367" s="434"/>
    </row>
    <row r="14368" spans="1:13" ht="12.75" hidden="1" customHeight="1" outlineLevel="1" x14ac:dyDescent="0.25">
      <c r="A14368" s="2380">
        <v>0.08</v>
      </c>
      <c r="B14368" s="1921" t="s">
        <v>6942</v>
      </c>
      <c r="C14368" s="2108">
        <v>27.380000000000003</v>
      </c>
      <c r="D14368" s="3252">
        <v>50.32</v>
      </c>
      <c r="E14368" s="3253">
        <v>0.83783783783783772</v>
      </c>
      <c r="F14368" s="3282">
        <v>6.7027027027027022E-2</v>
      </c>
      <c r="G14368" s="78"/>
      <c r="H14368" t="s">
        <v>7860</v>
      </c>
      <c r="M14368" s="434"/>
    </row>
    <row r="14369" spans="1:13" ht="12.75" hidden="1" customHeight="1" outlineLevel="1" x14ac:dyDescent="0.25">
      <c r="A14369" s="2380">
        <v>0.02</v>
      </c>
      <c r="B14369" s="1921" t="s">
        <v>6267</v>
      </c>
      <c r="C14369" s="2108">
        <v>27.063499999999998</v>
      </c>
      <c r="D14369" s="3252">
        <v>19.484999999999999</v>
      </c>
      <c r="E14369" s="3253">
        <v>-0.28002660409777003</v>
      </c>
      <c r="F14369" s="3282">
        <v>-5.6005320819554009E-3</v>
      </c>
      <c r="G14369" s="78"/>
      <c r="H14369" t="s">
        <v>6268</v>
      </c>
      <c r="M14369" s="434"/>
    </row>
    <row r="14370" spans="1:13" ht="12.75" hidden="1" customHeight="1" outlineLevel="1" x14ac:dyDescent="0.25">
      <c r="A14370" s="2380">
        <v>0.03</v>
      </c>
      <c r="B14370" s="1921" t="s">
        <v>4268</v>
      </c>
      <c r="C14370" s="2108">
        <v>17.869</v>
      </c>
      <c r="D14370" s="3252">
        <v>23.26</v>
      </c>
      <c r="E14370" s="3253">
        <v>0.30169567407241593</v>
      </c>
      <c r="F14370" s="3282">
        <v>9.0508702221724774E-3</v>
      </c>
      <c r="G14370" s="78"/>
      <c r="H14370" t="s">
        <v>8442</v>
      </c>
      <c r="M14370" s="434"/>
    </row>
    <row r="14371" spans="1:13" ht="12.75" hidden="1" customHeight="1" outlineLevel="1" x14ac:dyDescent="0.25">
      <c r="A14371" s="2380">
        <v>0.03</v>
      </c>
      <c r="B14371" s="1921" t="s">
        <v>3799</v>
      </c>
      <c r="C14371" s="2519">
        <v>1425.301834352201</v>
      </c>
      <c r="D14371" s="3252">
        <v>1419.4</v>
      </c>
      <c r="E14371" s="3253">
        <v>-4.1407610724666366E-3</v>
      </c>
      <c r="F14371" s="3282">
        <v>-1.2422283217399909E-4</v>
      </c>
      <c r="G14371" s="78"/>
      <c r="H14371" t="s">
        <v>4128</v>
      </c>
      <c r="M14371" s="434"/>
    </row>
    <row r="14372" spans="1:13" ht="12.75" hidden="1" customHeight="1" outlineLevel="1" x14ac:dyDescent="0.25">
      <c r="A14372" s="2380">
        <v>0.02</v>
      </c>
      <c r="B14372" s="1921" t="s">
        <v>6530</v>
      </c>
      <c r="C14372" s="2108">
        <v>35.922805605172584</v>
      </c>
      <c r="D14372" s="3252">
        <v>33.29</v>
      </c>
      <c r="E14372" s="3253">
        <v>-7.3290645338500049E-2</v>
      </c>
      <c r="F14372" s="3282">
        <v>-1.465812906770001E-3</v>
      </c>
      <c r="G14372" s="78"/>
      <c r="H14372" t="s">
        <v>10140</v>
      </c>
      <c r="M14372" s="434"/>
    </row>
    <row r="14373" spans="1:13" ht="12.75" hidden="1" customHeight="1" outlineLevel="1" x14ac:dyDescent="0.25">
      <c r="A14373" s="2380">
        <v>0.03</v>
      </c>
      <c r="B14373" s="1921" t="s">
        <v>1031</v>
      </c>
      <c r="C14373" s="2108">
        <v>6.2602000000000002</v>
      </c>
      <c r="D14373" s="3252">
        <v>10.28</v>
      </c>
      <c r="E14373" s="3253">
        <v>0.64212006006197875</v>
      </c>
      <c r="F14373" s="3282">
        <v>1.9263601801859362E-2</v>
      </c>
      <c r="G14373" s="78"/>
      <c r="H14373" t="s">
        <v>7872</v>
      </c>
      <c r="M14373" s="434"/>
    </row>
    <row r="14374" spans="1:13" ht="12.75" hidden="1" customHeight="1" outlineLevel="1" x14ac:dyDescent="0.25">
      <c r="A14374" s="2380">
        <v>0.03</v>
      </c>
      <c r="B14374" s="1921" t="s">
        <v>1343</v>
      </c>
      <c r="C14374" s="2108">
        <v>3243.7</v>
      </c>
      <c r="D14374" s="3252">
        <v>1557</v>
      </c>
      <c r="E14374" s="3253">
        <v>-0.51999260104201994</v>
      </c>
      <c r="F14374" s="3282">
        <v>-1.5599778031260598E-2</v>
      </c>
      <c r="G14374" s="78"/>
      <c r="H14374" t="s">
        <v>7747</v>
      </c>
      <c r="M14374" s="434"/>
    </row>
    <row r="14375" spans="1:13" ht="12.75" hidden="1" customHeight="1" outlineLevel="1" x14ac:dyDescent="0.25">
      <c r="A14375" s="2380">
        <v>0.03</v>
      </c>
      <c r="B14375" s="1921" t="s">
        <v>6993</v>
      </c>
      <c r="C14375" s="2108">
        <v>126349.837429876</v>
      </c>
      <c r="D14375" s="3252">
        <v>120400</v>
      </c>
      <c r="E14375" s="3253">
        <v>-4.7090186666667866E-2</v>
      </c>
      <c r="F14375" s="3282">
        <v>-1.412705600000036E-3</v>
      </c>
      <c r="G14375" s="78"/>
      <c r="H14375" t="s">
        <v>6992</v>
      </c>
      <c r="M14375" s="434"/>
    </row>
    <row r="14376" spans="1:13" ht="12.75" hidden="1" customHeight="1" outlineLevel="1" x14ac:dyDescent="0.25">
      <c r="A14376" s="2380">
        <v>0.02</v>
      </c>
      <c r="B14376" s="1921" t="s">
        <v>2786</v>
      </c>
      <c r="C14376" s="2108">
        <v>901.42559190857378</v>
      </c>
      <c r="D14376" s="3252">
        <v>920.8</v>
      </c>
      <c r="E14376" s="3253">
        <v>2.1493075263600003E-2</v>
      </c>
      <c r="F14376" s="3282">
        <v>4.298615052720001E-4</v>
      </c>
      <c r="G14376" s="78"/>
      <c r="H14376" t="s">
        <v>4195</v>
      </c>
      <c r="M14376" s="434"/>
    </row>
    <row r="14377" spans="1:13" ht="12.75" hidden="1" customHeight="1" outlineLevel="1" x14ac:dyDescent="0.25">
      <c r="A14377" s="2380">
        <v>0.03</v>
      </c>
      <c r="B14377" s="1921" t="s">
        <v>54</v>
      </c>
      <c r="C14377" s="2108">
        <v>18.0745</v>
      </c>
      <c r="D14377" s="3252">
        <v>10.554</v>
      </c>
      <c r="E14377" s="3253">
        <v>-0.41608343246009571</v>
      </c>
      <c r="F14377" s="3282">
        <v>-1.2482502973802871E-2</v>
      </c>
      <c r="G14377" s="78"/>
      <c r="H14377" t="s">
        <v>6741</v>
      </c>
      <c r="M14377" s="434"/>
    </row>
    <row r="14378" spans="1:13" ht="12.75" hidden="1" customHeight="1" outlineLevel="1" x14ac:dyDescent="0.25">
      <c r="A14378" s="2380">
        <v>0.03</v>
      </c>
      <c r="B14378" s="1921" t="s">
        <v>6270</v>
      </c>
      <c r="C14378" s="2108">
        <v>44.122</v>
      </c>
      <c r="D14378" s="3252">
        <v>38.76</v>
      </c>
      <c r="E14378" s="3253">
        <v>-0.1215266760346313</v>
      </c>
      <c r="F14378" s="3282">
        <v>-3.6458002810389389E-3</v>
      </c>
      <c r="G14378" s="78"/>
      <c r="H14378" t="s">
        <v>8166</v>
      </c>
      <c r="M14378" s="434"/>
    </row>
    <row r="14379" spans="1:13" ht="12.75" hidden="1" customHeight="1" outlineLevel="1" x14ac:dyDescent="0.25">
      <c r="A14379" s="2380">
        <v>0.03</v>
      </c>
      <c r="B14379" s="1921" t="s">
        <v>6116</v>
      </c>
      <c r="C14379" s="2108">
        <v>3.8546076981244823</v>
      </c>
      <c r="D14379" s="3252">
        <v>4.875</v>
      </c>
      <c r="E14379" s="3253">
        <v>0.26472014321249993</v>
      </c>
      <c r="F14379" s="3282">
        <v>7.9416042963749971E-3</v>
      </c>
      <c r="G14379" s="78"/>
      <c r="H14379" t="s">
        <v>6114</v>
      </c>
      <c r="M14379" s="434"/>
    </row>
    <row r="14380" spans="1:13" ht="12.75" hidden="1" customHeight="1" outlineLevel="1" x14ac:dyDescent="0.25">
      <c r="A14380" s="2380">
        <v>0.03</v>
      </c>
      <c r="B14380" s="1921" t="s">
        <v>1857</v>
      </c>
      <c r="C14380" s="2108">
        <v>1657.7</v>
      </c>
      <c r="D14380" s="3252">
        <v>1500.5</v>
      </c>
      <c r="E14380" s="3253">
        <v>-9.483018640284735E-2</v>
      </c>
      <c r="F14380" s="3282">
        <v>-2.8449055920854202E-3</v>
      </c>
      <c r="G14380" s="78"/>
      <c r="H14380" t="s">
        <v>3559</v>
      </c>
      <c r="M14380" s="434"/>
    </row>
    <row r="14381" spans="1:13" ht="12.75" hidden="1" customHeight="1" outlineLevel="1" x14ac:dyDescent="0.25">
      <c r="A14381" s="2380">
        <v>0.03</v>
      </c>
      <c r="B14381" s="1921" t="s">
        <v>1724</v>
      </c>
      <c r="C14381" s="2108">
        <v>194.74999999999997</v>
      </c>
      <c r="D14381" s="3252">
        <v>159.24</v>
      </c>
      <c r="E14381" s="3253">
        <v>-0.182336328626444</v>
      </c>
      <c r="F14381" s="3282">
        <v>-5.4700898587933195E-3</v>
      </c>
      <c r="G14381" s="78"/>
      <c r="H14381" t="s">
        <v>1725</v>
      </c>
      <c r="M14381" s="434"/>
    </row>
    <row r="14382" spans="1:13" ht="12.75" hidden="1" customHeight="1" outlineLevel="1" x14ac:dyDescent="0.25">
      <c r="A14382" s="2380">
        <v>0.05</v>
      </c>
      <c r="B14382" s="1921" t="s">
        <v>6118</v>
      </c>
      <c r="C14382" s="2108">
        <v>83.169999999999987</v>
      </c>
      <c r="D14382" s="3252">
        <v>83.48</v>
      </c>
      <c r="E14382" s="3253">
        <v>3.72730551881717E-3</v>
      </c>
      <c r="F14382" s="3282">
        <v>1.8636527594085851E-4</v>
      </c>
      <c r="G14382" s="78"/>
      <c r="H14382" t="s">
        <v>8893</v>
      </c>
      <c r="M14382" s="434"/>
    </row>
    <row r="14383" spans="1:13" ht="12.75" hidden="1" customHeight="1" outlineLevel="1" x14ac:dyDescent="0.25">
      <c r="A14383" s="2380">
        <v>0.03</v>
      </c>
      <c r="B14383" s="1921" t="s">
        <v>6945</v>
      </c>
      <c r="C14383" s="2108">
        <v>95.48125963537197</v>
      </c>
      <c r="D14383" s="3252">
        <v>116.6</v>
      </c>
      <c r="E14383" s="3253">
        <v>0.2211820460399998</v>
      </c>
      <c r="F14383" s="3282">
        <v>6.6354613811999939E-3</v>
      </c>
      <c r="G14383" s="78"/>
      <c r="H14383" t="s">
        <v>6943</v>
      </c>
      <c r="M14383" s="434"/>
    </row>
    <row r="14384" spans="1:13" ht="12.75" hidden="1" customHeight="1" outlineLevel="1" x14ac:dyDescent="0.25">
      <c r="A14384" s="2380">
        <v>0.08</v>
      </c>
      <c r="B14384" s="1921" t="s">
        <v>434</v>
      </c>
      <c r="C14384" s="2108">
        <v>51.430000000000007</v>
      </c>
      <c r="D14384" s="3252">
        <v>37.979999999999997</v>
      </c>
      <c r="E14384" s="3253">
        <v>-0.26152051331907467</v>
      </c>
      <c r="F14384" s="3282">
        <v>-2.0921641065525975E-2</v>
      </c>
      <c r="G14384" s="78"/>
      <c r="H14384" t="s">
        <v>7745</v>
      </c>
      <c r="M14384" s="434"/>
    </row>
    <row r="14385" spans="1:13" ht="12.75" hidden="1" customHeight="1" outlineLevel="1" x14ac:dyDescent="0.25">
      <c r="A14385" s="2380">
        <v>0.03</v>
      </c>
      <c r="B14385" s="1921" t="s">
        <v>3921</v>
      </c>
      <c r="C14385" s="2108">
        <v>4.3077999999999994</v>
      </c>
      <c r="D14385" s="3252">
        <v>6.2839999999999998</v>
      </c>
      <c r="E14385" s="3253">
        <v>0.45874924555457564</v>
      </c>
      <c r="F14385" s="3282">
        <v>1.3762477366637268E-2</v>
      </c>
      <c r="G14385" s="78"/>
      <c r="H14385" t="s">
        <v>3922</v>
      </c>
      <c r="M14385" s="434"/>
    </row>
    <row r="14386" spans="1:13" ht="12.75" hidden="1" customHeight="1" outlineLevel="1" x14ac:dyDescent="0.25">
      <c r="A14386" s="2380">
        <v>0.03</v>
      </c>
      <c r="B14386" s="1921" t="s">
        <v>10633</v>
      </c>
      <c r="C14386" s="2108">
        <v>47.225499999999997</v>
      </c>
      <c r="D14386" s="3252">
        <v>38.155000000000001</v>
      </c>
      <c r="E14386" s="3253">
        <v>-0.19206784470254412</v>
      </c>
      <c r="F14386" s="3282">
        <v>-5.7620353410763239E-3</v>
      </c>
      <c r="G14386" s="78"/>
      <c r="H14386" t="s">
        <v>10634</v>
      </c>
      <c r="M14386" s="434"/>
    </row>
    <row r="14387" spans="1:13" ht="12.75" hidden="1" customHeight="1" outlineLevel="1" x14ac:dyDescent="0.25">
      <c r="A14387" s="2380">
        <v>0.03</v>
      </c>
      <c r="B14387" s="1921" t="s">
        <v>9301</v>
      </c>
      <c r="C14387" s="2108">
        <v>240.90000000000003</v>
      </c>
      <c r="D14387" s="3252">
        <v>72.989999999999995</v>
      </c>
      <c r="E14387" s="3253">
        <v>-0.69701120797011207</v>
      </c>
      <c r="F14387" s="3282">
        <v>-2.091033623910336E-2</v>
      </c>
      <c r="G14387" s="78"/>
      <c r="H14387" t="s">
        <v>9302</v>
      </c>
      <c r="M14387" s="434"/>
    </row>
    <row r="14388" spans="1:13" ht="12.75" hidden="1" customHeight="1" outlineLevel="1" x14ac:dyDescent="0.25">
      <c r="A14388" s="2380">
        <v>0.04</v>
      </c>
      <c r="B14388" s="2109" t="s">
        <v>4550</v>
      </c>
      <c r="C14388" s="2108">
        <v>301.86</v>
      </c>
      <c r="D14388" s="3255">
        <v>371.2</v>
      </c>
      <c r="E14388" s="3256">
        <v>0.22970913668588078</v>
      </c>
      <c r="F14388" s="3382">
        <v>9.1883654674352316E-3</v>
      </c>
      <c r="G14388" s="78"/>
      <c r="H14388" t="s">
        <v>8889</v>
      </c>
      <c r="M14388" s="434"/>
    </row>
    <row r="14389" spans="1:13" ht="12.75" hidden="1" customHeight="1" outlineLevel="1" x14ac:dyDescent="0.25">
      <c r="A14389" s="2181" t="s">
        <v>2734</v>
      </c>
      <c r="B14389" s="2103"/>
      <c r="C14389" s="3258"/>
      <c r="D14389" s="3259"/>
      <c r="E14389" s="3260"/>
      <c r="F14389" s="3282">
        <v>-3.7432878531366523E-2</v>
      </c>
      <c r="G14389" s="78"/>
    </row>
    <row r="14390" spans="1:13" ht="12.75" hidden="1" customHeight="1" outlineLevel="1" x14ac:dyDescent="0.25">
      <c r="A14390" s="1956" t="s">
        <v>6974</v>
      </c>
      <c r="B14390" s="2185">
        <v>43831</v>
      </c>
      <c r="C14390" s="3261">
        <v>100</v>
      </c>
      <c r="D14390" s="3261">
        <v>106.61750000000001</v>
      </c>
      <c r="E14390" s="3262">
        <v>6.6175000000000095E-2</v>
      </c>
      <c r="F14390" s="3285"/>
      <c r="G14390" s="78"/>
    </row>
    <row r="14391" spans="1:13" ht="12.75" hidden="1" customHeight="1" outlineLevel="1" x14ac:dyDescent="0.25">
      <c r="A14391" s="1956" t="s">
        <v>6975</v>
      </c>
      <c r="B14391" s="2185">
        <v>43862</v>
      </c>
      <c r="C14391" s="3261">
        <v>100</v>
      </c>
      <c r="D14391" s="3264">
        <v>98.294899999999998</v>
      </c>
      <c r="E14391" s="3262">
        <v>-1.7051000000000038E-2</v>
      </c>
      <c r="F14391" s="3285"/>
      <c r="G14391" s="78"/>
    </row>
    <row r="14392" spans="1:13" ht="12.75" hidden="1" customHeight="1" outlineLevel="1" x14ac:dyDescent="0.25">
      <c r="A14392" s="1956" t="s">
        <v>6976</v>
      </c>
      <c r="B14392" s="2185">
        <v>43891</v>
      </c>
      <c r="C14392" s="3261">
        <v>100</v>
      </c>
      <c r="D14392" s="3264">
        <v>87.142899999999997</v>
      </c>
      <c r="E14392" s="3262">
        <v>-0.12857099999999999</v>
      </c>
      <c r="F14392" s="3285"/>
      <c r="G14392" s="78"/>
    </row>
    <row r="14393" spans="1:13" ht="12.75" hidden="1" customHeight="1" outlineLevel="1" x14ac:dyDescent="0.25">
      <c r="A14393" s="1956" t="s">
        <v>6977</v>
      </c>
      <c r="B14393" s="2185">
        <v>43922</v>
      </c>
      <c r="C14393" s="3261">
        <v>100</v>
      </c>
      <c r="D14393" s="3264">
        <v>86.933199999999999</v>
      </c>
      <c r="E14393" s="3262">
        <v>-0.13066800000000001</v>
      </c>
      <c r="F14393" s="3285"/>
      <c r="G14393" s="78"/>
    </row>
    <row r="14394" spans="1:13" ht="12.75" hidden="1" customHeight="1" outlineLevel="1" x14ac:dyDescent="0.25">
      <c r="A14394" s="1956" t="s">
        <v>6978</v>
      </c>
      <c r="B14394" s="2185">
        <v>43952</v>
      </c>
      <c r="C14394" s="3261">
        <v>100</v>
      </c>
      <c r="D14394" s="3264">
        <v>87.539900000000003</v>
      </c>
      <c r="E14394" s="3262">
        <v>-0.12460099999999996</v>
      </c>
      <c r="F14394" s="3285"/>
      <c r="G14394" s="78"/>
    </row>
    <row r="14395" spans="1:13" ht="12.75" hidden="1" customHeight="1" outlineLevel="1" x14ac:dyDescent="0.25">
      <c r="A14395" s="1956" t="s">
        <v>6979</v>
      </c>
      <c r="B14395" s="2185">
        <v>43983</v>
      </c>
      <c r="C14395" s="3261">
        <v>100</v>
      </c>
      <c r="D14395" s="3264">
        <v>89.414599999999993</v>
      </c>
      <c r="E14395" s="3262">
        <v>-0.10585400000000011</v>
      </c>
      <c r="F14395" s="3285"/>
      <c r="G14395" s="78"/>
    </row>
    <row r="14396" spans="1:13" ht="12.75" hidden="1" customHeight="1" outlineLevel="1" x14ac:dyDescent="0.25">
      <c r="A14396" s="1956" t="s">
        <v>6980</v>
      </c>
      <c r="B14396" s="2185">
        <v>44013</v>
      </c>
      <c r="C14396" s="3261">
        <v>100</v>
      </c>
      <c r="D14396" s="3264">
        <v>87.479399999999998</v>
      </c>
      <c r="E14396" s="3262">
        <v>-0.12520600000000004</v>
      </c>
      <c r="F14396" s="3285"/>
      <c r="G14396" s="78"/>
    </row>
    <row r="14397" spans="1:13" ht="12.75" hidden="1" customHeight="1" outlineLevel="1" x14ac:dyDescent="0.25">
      <c r="A14397" s="1956" t="s">
        <v>6981</v>
      </c>
      <c r="B14397" s="2185">
        <v>44044</v>
      </c>
      <c r="C14397" s="3261">
        <v>100</v>
      </c>
      <c r="D14397" s="3264">
        <v>87.111800000000002</v>
      </c>
      <c r="E14397" s="3262">
        <v>-0.12888199999999994</v>
      </c>
      <c r="F14397" s="3285"/>
      <c r="G14397" s="78"/>
    </row>
    <row r="14398" spans="1:13" ht="12.75" hidden="1" customHeight="1" outlineLevel="1" x14ac:dyDescent="0.25">
      <c r="A14398" s="1956" t="s">
        <v>6982</v>
      </c>
      <c r="B14398" s="2185">
        <v>44075</v>
      </c>
      <c r="C14398" s="3261">
        <v>100</v>
      </c>
      <c r="D14398" s="3264">
        <v>85.901399999999995</v>
      </c>
      <c r="E14398" s="3262">
        <v>-0.14098600000000006</v>
      </c>
      <c r="F14398" s="3285"/>
      <c r="G14398" s="78"/>
    </row>
    <row r="14399" spans="1:13" ht="12.75" hidden="1" customHeight="1" outlineLevel="1" x14ac:dyDescent="0.25">
      <c r="A14399" s="1956" t="s">
        <v>6983</v>
      </c>
      <c r="B14399" s="2185">
        <v>44105</v>
      </c>
      <c r="C14399" s="3261">
        <v>100</v>
      </c>
      <c r="D14399" s="3264">
        <v>79.945400000000006</v>
      </c>
      <c r="E14399" s="3262">
        <v>-0.20054599999999989</v>
      </c>
      <c r="F14399" s="3285"/>
      <c r="G14399" s="78"/>
    </row>
    <row r="14400" spans="1:13" ht="12.75" hidden="1" customHeight="1" outlineLevel="1" x14ac:dyDescent="0.25">
      <c r="A14400" s="1956" t="s">
        <v>6984</v>
      </c>
      <c r="B14400" s="2185">
        <v>44136</v>
      </c>
      <c r="C14400" s="3261">
        <v>100</v>
      </c>
      <c r="D14400" s="3264">
        <v>90.512299999999996</v>
      </c>
      <c r="E14400" s="3262">
        <v>-9.4876999999999989E-2</v>
      </c>
      <c r="F14400" s="3285"/>
      <c r="G14400" s="78"/>
    </row>
    <row r="14401" spans="1:9" ht="12.75" hidden="1" customHeight="1" outlineLevel="1" x14ac:dyDescent="0.25">
      <c r="A14401" s="1956" t="s">
        <v>6985</v>
      </c>
      <c r="B14401" s="2185">
        <v>44166</v>
      </c>
      <c r="C14401" s="3261">
        <v>100</v>
      </c>
      <c r="D14401" s="3264">
        <v>90.3857</v>
      </c>
      <c r="E14401" s="3262">
        <v>-9.6142999999999978E-2</v>
      </c>
      <c r="F14401" s="3285"/>
      <c r="G14401" s="78"/>
    </row>
    <row r="14402" spans="1:9" ht="12.75" hidden="1" customHeight="1" outlineLevel="1" x14ac:dyDescent="0.25">
      <c r="A14402" s="1956" t="s">
        <v>6986</v>
      </c>
      <c r="B14402" s="2185">
        <v>44197</v>
      </c>
      <c r="C14402" s="3261">
        <v>100</v>
      </c>
      <c r="D14402" s="3264">
        <v>91.057100000000005</v>
      </c>
      <c r="E14402" s="3262">
        <v>-8.9428999999999981E-2</v>
      </c>
      <c r="F14402" s="3285"/>
      <c r="G14402" s="78"/>
    </row>
    <row r="14403" spans="1:9" ht="12.75" hidden="1" customHeight="1" outlineLevel="1" x14ac:dyDescent="0.25">
      <c r="A14403" s="1956" t="s">
        <v>6987</v>
      </c>
      <c r="B14403" s="2185">
        <v>44228</v>
      </c>
      <c r="C14403" s="3261">
        <v>100</v>
      </c>
      <c r="D14403" s="3264">
        <v>90.704700000000003</v>
      </c>
      <c r="E14403" s="3262">
        <v>-9.2952999999999952E-2</v>
      </c>
      <c r="F14403" s="3285"/>
      <c r="G14403" s="78"/>
    </row>
    <row r="14404" spans="1:9" ht="12.75" hidden="1" customHeight="1" outlineLevel="1" x14ac:dyDescent="0.25">
      <c r="A14404" s="1956" t="s">
        <v>6988</v>
      </c>
      <c r="B14404" s="2185">
        <v>44256</v>
      </c>
      <c r="C14404" s="3261">
        <v>100</v>
      </c>
      <c r="D14404" s="3264">
        <v>97.912800000000004</v>
      </c>
      <c r="E14404" s="3262">
        <v>-2.0872000000000002E-2</v>
      </c>
      <c r="F14404" s="3285"/>
      <c r="G14404" s="78"/>
    </row>
    <row r="14405" spans="1:9" ht="12.75" hidden="1" customHeight="1" outlineLevel="1" x14ac:dyDescent="0.25">
      <c r="A14405" s="1956" t="s">
        <v>6989</v>
      </c>
      <c r="B14405" s="2185">
        <v>44287</v>
      </c>
      <c r="C14405" s="3261">
        <v>100</v>
      </c>
      <c r="D14405" s="3264">
        <v>94.8703</v>
      </c>
      <c r="E14405" s="3262">
        <v>-5.1297000000000037E-2</v>
      </c>
      <c r="F14405" s="3285"/>
      <c r="G14405" s="78"/>
    </row>
    <row r="14406" spans="1:9" ht="12.75" hidden="1" customHeight="1" outlineLevel="1" x14ac:dyDescent="0.25">
      <c r="A14406" s="1956" t="s">
        <v>6990</v>
      </c>
      <c r="B14406" s="2185">
        <v>44317</v>
      </c>
      <c r="C14406" s="3261">
        <v>100</v>
      </c>
      <c r="D14406" s="3264">
        <v>96.023600000000002</v>
      </c>
      <c r="E14406" s="3262">
        <v>-3.9764000000000022E-2</v>
      </c>
      <c r="F14406" s="3285"/>
      <c r="G14406" s="78"/>
    </row>
    <row r="14407" spans="1:9" ht="12.75" hidden="1" customHeight="1" outlineLevel="1" x14ac:dyDescent="0.25">
      <c r="A14407" s="1956" t="s">
        <v>6991</v>
      </c>
      <c r="B14407" s="2185">
        <v>44348</v>
      </c>
      <c r="C14407" s="3261">
        <v>100</v>
      </c>
      <c r="D14407" s="3264">
        <v>96.671300000000002</v>
      </c>
      <c r="E14407" s="3262">
        <v>-3.3286999999999956E-2</v>
      </c>
      <c r="F14407" s="3285"/>
      <c r="G14407" s="78"/>
    </row>
    <row r="14408" spans="1:9" ht="12.75" hidden="1" customHeight="1" outlineLevel="1" x14ac:dyDescent="0.25">
      <c r="A14408" s="2189" t="s">
        <v>2734</v>
      </c>
      <c r="B14408" s="2190"/>
      <c r="C14408" s="3264"/>
      <c r="D14408" s="2191" t="s">
        <v>2465</v>
      </c>
      <c r="E14408" s="1987">
        <v>-8.6378444444444452E-2</v>
      </c>
      <c r="F14408" s="2192">
        <v>-8.6378444444444452E-2</v>
      </c>
      <c r="G14408" s="78"/>
    </row>
    <row r="14409" spans="1:9" collapsed="1" x14ac:dyDescent="0.25">
      <c r="A14409" s="3801" t="s">
        <v>6973</v>
      </c>
      <c r="B14409" s="3802"/>
      <c r="C14409" s="3802"/>
      <c r="D14409" s="3802"/>
      <c r="E14409" s="1906"/>
      <c r="F14409" s="1907">
        <v>-8.6378444444444452E-2</v>
      </c>
      <c r="G14409" s="78"/>
    </row>
    <row r="14410" spans="1:9" x14ac:dyDescent="0.25">
      <c r="G14410" s="78"/>
    </row>
    <row r="14411" spans="1:9" hidden="1" outlineLevel="1" x14ac:dyDescent="0.25">
      <c r="A14411" s="2488" t="s">
        <v>113</v>
      </c>
      <c r="B14411" s="2489" t="s">
        <v>114</v>
      </c>
      <c r="C14411" s="2489" t="s">
        <v>112</v>
      </c>
      <c r="D14411" s="2489" t="s">
        <v>4155</v>
      </c>
      <c r="E14411" s="2489" t="s">
        <v>116</v>
      </c>
      <c r="F14411" s="2476" t="s">
        <v>121</v>
      </c>
      <c r="G14411" s="443"/>
      <c r="H14411" s="1693" t="s">
        <v>5391</v>
      </c>
      <c r="I14411" s="1693" t="s">
        <v>5392</v>
      </c>
    </row>
    <row r="14412" spans="1:9" hidden="1" outlineLevel="1" x14ac:dyDescent="0.25">
      <c r="A14412" s="1810" t="s">
        <v>6994</v>
      </c>
      <c r="B14412" s="2503" t="s">
        <v>2153</v>
      </c>
      <c r="C14412" s="2543">
        <v>3502.7</v>
      </c>
      <c r="D14412" s="3805">
        <v>3554.59</v>
      </c>
      <c r="E14412" s="2238">
        <v>3022.5540000000001</v>
      </c>
      <c r="F14412" s="2532">
        <v>-0.13707882490650058</v>
      </c>
      <c r="G14412" s="443"/>
      <c r="H14412" s="1543">
        <v>-0.13707882490650058</v>
      </c>
      <c r="I14412" s="1694">
        <v>0.05</v>
      </c>
    </row>
    <row r="14413" spans="1:9" hidden="1" outlineLevel="1" x14ac:dyDescent="0.25">
      <c r="A14413" s="1813" t="s">
        <v>6995</v>
      </c>
      <c r="B14413" s="2503" t="s">
        <v>2153</v>
      </c>
      <c r="C14413" s="1814">
        <v>3502.7</v>
      </c>
      <c r="D14413" s="3806"/>
      <c r="E14413" s="1815">
        <v>3568.2820000000002</v>
      </c>
      <c r="F14413" s="2533">
        <v>0.1</v>
      </c>
      <c r="G14413" s="443"/>
      <c r="H14413" s="1543">
        <v>1.8723270619807719E-2</v>
      </c>
      <c r="I14413" s="1695">
        <v>0.1</v>
      </c>
    </row>
    <row r="14414" spans="1:9" hidden="1" outlineLevel="1" x14ac:dyDescent="0.25">
      <c r="A14414" s="1813" t="s">
        <v>6996</v>
      </c>
      <c r="B14414" s="2503" t="s">
        <v>2153</v>
      </c>
      <c r="C14414" s="1814">
        <v>3502.7</v>
      </c>
      <c r="D14414" s="3806"/>
      <c r="E14414" s="1815"/>
      <c r="F14414" s="2533" t="s">
        <v>5590</v>
      </c>
      <c r="G14414" s="443"/>
      <c r="H14414" s="1543"/>
      <c r="I14414" s="1695"/>
    </row>
    <row r="14415" spans="1:9" hidden="1" outlineLevel="1" x14ac:dyDescent="0.25">
      <c r="A14415" s="1813" t="s">
        <v>6997</v>
      </c>
      <c r="B14415" s="2503" t="s">
        <v>2153</v>
      </c>
      <c r="C14415" s="1814" t="s">
        <v>5590</v>
      </c>
      <c r="D14415" s="3806"/>
      <c r="E14415" s="1815"/>
      <c r="F14415" s="2533" t="s">
        <v>5590</v>
      </c>
      <c r="G14415" s="443"/>
      <c r="H14415" s="1543" t="s">
        <v>5590</v>
      </c>
      <c r="I14415" s="1695"/>
    </row>
    <row r="14416" spans="1:9" hidden="1" outlineLevel="1" x14ac:dyDescent="0.25">
      <c r="A14416" s="2202" t="s">
        <v>6998</v>
      </c>
      <c r="B14416" s="2503" t="s">
        <v>2153</v>
      </c>
      <c r="C14416" s="1817" t="s">
        <v>5590</v>
      </c>
      <c r="D14416" s="3807"/>
      <c r="E14416" s="1815"/>
      <c r="F14416" s="2534" t="s">
        <v>5590</v>
      </c>
      <c r="G14416" s="443"/>
      <c r="H14416" s="1696" t="s">
        <v>5590</v>
      </c>
      <c r="I14416" s="1697"/>
    </row>
    <row r="14417" spans="1:43" hidden="1" outlineLevel="1" x14ac:dyDescent="0.25">
      <c r="A14417" s="1819" t="s">
        <v>2734</v>
      </c>
      <c r="B14417" s="2505"/>
      <c r="C14417" s="1820"/>
      <c r="D14417" s="1821"/>
      <c r="E14417" s="2537"/>
      <c r="F14417" s="2539">
        <v>0.1</v>
      </c>
      <c r="G14417" s="443"/>
      <c r="H14417" s="445">
        <v>1.8723270619807719E-2</v>
      </c>
      <c r="I14417" s="444"/>
    </row>
    <row r="14418" spans="1:43" collapsed="1" x14ac:dyDescent="0.25">
      <c r="A14418" s="3801" t="s">
        <v>6999</v>
      </c>
      <c r="B14418" s="3802"/>
      <c r="C14418" s="3802"/>
      <c r="D14418" s="3802"/>
      <c r="E14418" s="1957"/>
      <c r="F14418" s="1948">
        <v>0.1</v>
      </c>
      <c r="G14418" s="443"/>
      <c r="H14418" s="1698"/>
      <c r="I14418" s="444"/>
    </row>
    <row r="14419" spans="1:43" x14ac:dyDescent="0.25">
      <c r="G14419" s="78"/>
    </row>
    <row r="14420" spans="1:43" ht="12.75" hidden="1" customHeight="1" outlineLevel="1" x14ac:dyDescent="0.25">
      <c r="A14420" s="3237" t="s">
        <v>113</v>
      </c>
      <c r="B14420" s="3237" t="s">
        <v>114</v>
      </c>
      <c r="C14420" s="3237" t="s">
        <v>112</v>
      </c>
      <c r="D14420" s="3237" t="s">
        <v>116</v>
      </c>
      <c r="E14420" s="3237" t="s">
        <v>117</v>
      </c>
      <c r="F14420" s="3276" t="s">
        <v>121</v>
      </c>
      <c r="G14420" s="78"/>
    </row>
    <row r="14421" spans="1:43" ht="12.75" hidden="1" customHeight="1" outlineLevel="1" x14ac:dyDescent="0.25">
      <c r="A14421" s="3238">
        <v>1</v>
      </c>
      <c r="B14421" s="3239" t="s">
        <v>252</v>
      </c>
      <c r="C14421" s="3240">
        <v>100</v>
      </c>
      <c r="D14421" s="3240"/>
      <c r="E14421" s="3241"/>
      <c r="F14421" s="3242"/>
      <c r="G14421" s="78"/>
      <c r="L14421" t="s">
        <v>10592</v>
      </c>
    </row>
    <row r="14422" spans="1:43" s="370" customFormat="1" ht="12.75" hidden="1" customHeight="1" outlineLevel="1" x14ac:dyDescent="0.3">
      <c r="A14422" s="3243" t="s">
        <v>2734</v>
      </c>
      <c r="B14422" s="3243"/>
      <c r="C14422" s="3244"/>
      <c r="D14422" s="1900" t="s">
        <v>3702</v>
      </c>
      <c r="E14422" s="3245">
        <v>44286</v>
      </c>
      <c r="F14422" s="3246"/>
      <c r="G14422" s="78"/>
      <c r="H14422"/>
      <c r="I14422"/>
      <c r="J14422"/>
      <c r="K14422"/>
      <c r="L14422" s="3228" t="s">
        <v>10540</v>
      </c>
      <c r="M14422" s="3228" t="s">
        <v>10541</v>
      </c>
      <c r="N14422" s="3229" t="s">
        <v>10588</v>
      </c>
      <c r="O14422" s="3229" t="s">
        <v>10589</v>
      </c>
      <c r="P14422" s="3229" t="s">
        <v>10590</v>
      </c>
      <c r="Q14422" s="3230">
        <v>43769</v>
      </c>
      <c r="R14422" s="3230">
        <v>43798</v>
      </c>
      <c r="S14422" s="3230">
        <v>43829</v>
      </c>
      <c r="T14422" s="3230">
        <v>43830</v>
      </c>
      <c r="U14422" s="3230">
        <v>43861</v>
      </c>
      <c r="V14422" s="3230">
        <v>43889</v>
      </c>
      <c r="W14422" s="3230">
        <v>43921</v>
      </c>
      <c r="X14422" s="3230">
        <v>43951</v>
      </c>
      <c r="Y14422" s="3230">
        <v>43980</v>
      </c>
      <c r="Z14422" s="3230">
        <v>44012</v>
      </c>
      <c r="AA14422" s="3230">
        <v>44043</v>
      </c>
      <c r="AB14422" s="3230">
        <v>44071</v>
      </c>
      <c r="AC14422" s="3230">
        <v>44074</v>
      </c>
      <c r="AD14422" s="3230">
        <v>44104</v>
      </c>
      <c r="AE14422" s="3230">
        <v>44134</v>
      </c>
      <c r="AF14422" s="3230">
        <v>44165</v>
      </c>
      <c r="AG14422" s="3230">
        <v>44195</v>
      </c>
      <c r="AH14422" s="3230">
        <v>44196</v>
      </c>
      <c r="AI14422" s="3230">
        <v>44225</v>
      </c>
      <c r="AJ14422" s="3230">
        <v>44253</v>
      </c>
      <c r="AK14422" s="3230">
        <v>44286</v>
      </c>
    </row>
    <row r="14423" spans="1:43" s="370" customFormat="1" ht="12.75" hidden="1" customHeight="1" outlineLevel="1" x14ac:dyDescent="0.3">
      <c r="A14423" s="3237" t="s">
        <v>4156</v>
      </c>
      <c r="B14423" s="3237" t="s">
        <v>4153</v>
      </c>
      <c r="C14423" s="3247" t="s">
        <v>112</v>
      </c>
      <c r="D14423" s="3247" t="s">
        <v>10553</v>
      </c>
      <c r="E14423" s="3247" t="s">
        <v>4154</v>
      </c>
      <c r="F14423" s="3247" t="s">
        <v>2519</v>
      </c>
      <c r="G14423" s="3267" t="s">
        <v>10554</v>
      </c>
      <c r="H14423"/>
      <c r="I14423" s="98" t="s">
        <v>7042</v>
      </c>
      <c r="J14423" s="98" t="s">
        <v>7043</v>
      </c>
      <c r="K14423"/>
      <c r="L14423" s="417" t="s">
        <v>10542</v>
      </c>
      <c r="M14423" s="417" t="s">
        <v>360</v>
      </c>
      <c r="N14423" s="417">
        <v>147.87</v>
      </c>
      <c r="O14423" s="417">
        <v>3.3333300000000001</v>
      </c>
      <c r="P14423" s="3381">
        <v>2.25423007E-2</v>
      </c>
      <c r="Q14423" s="417">
        <v>219</v>
      </c>
      <c r="R14423" s="417">
        <v>217.35</v>
      </c>
      <c r="S14423" s="417">
        <v>218.4</v>
      </c>
      <c r="T14423" s="417"/>
      <c r="U14423" s="417">
        <v>215.85</v>
      </c>
      <c r="V14423" s="417">
        <v>194.8</v>
      </c>
      <c r="W14423" s="417">
        <v>156.88</v>
      </c>
      <c r="X14423" s="417">
        <v>168.88</v>
      </c>
      <c r="Y14423" s="417">
        <v>162.82</v>
      </c>
      <c r="Z14423" s="417">
        <v>181.76</v>
      </c>
      <c r="AA14423" s="417">
        <v>176.22</v>
      </c>
      <c r="AB14423" s="417"/>
      <c r="AC14423" s="417">
        <v>181.52</v>
      </c>
      <c r="AD14423" s="417">
        <v>163.62</v>
      </c>
      <c r="AE14423" s="417">
        <v>151.06</v>
      </c>
      <c r="AF14423" s="417">
        <v>197.66</v>
      </c>
      <c r="AG14423" s="417">
        <v>200.7</v>
      </c>
      <c r="AH14423" s="417"/>
      <c r="AI14423" s="417">
        <v>186.52</v>
      </c>
      <c r="AJ14423" s="417">
        <v>199.8</v>
      </c>
      <c r="AK14423" s="417">
        <v>217.05</v>
      </c>
      <c r="AL14423" s="3235"/>
      <c r="AM14423" s="3235"/>
      <c r="AN14423" s="3235"/>
      <c r="AO14423" s="3235"/>
      <c r="AP14423" s="3235"/>
      <c r="AQ14423" s="3235"/>
    </row>
    <row r="14424" spans="1:43" s="370" customFormat="1" ht="12.75" hidden="1" customHeight="1" outlineLevel="1" x14ac:dyDescent="0.3">
      <c r="A14424" s="2380">
        <v>0.02</v>
      </c>
      <c r="B14424" s="1921" t="s">
        <v>3960</v>
      </c>
      <c r="C14424" s="2108">
        <v>569.36000000583022</v>
      </c>
      <c r="D14424" s="2108">
        <v>289.89999999999998</v>
      </c>
      <c r="E14424" s="3253">
        <v>-0.49083181116160002</v>
      </c>
      <c r="F14424" s="3282">
        <v>-9.8166362232320007E-3</v>
      </c>
      <c r="G14424" s="3268" t="e">
        <v>#N/A</v>
      </c>
      <c r="H14424" t="s">
        <v>8828</v>
      </c>
      <c r="I14424" s="481">
        <v>48</v>
      </c>
      <c r="J14424" s="92" t="s">
        <v>5590</v>
      </c>
      <c r="K14424"/>
      <c r="L14424" s="3231" t="s">
        <v>10543</v>
      </c>
      <c r="M14424" s="3231" t="s">
        <v>2812</v>
      </c>
      <c r="N14424" s="417">
        <v>51.652000000000001</v>
      </c>
      <c r="O14424" s="417">
        <v>3.3333300000000001</v>
      </c>
      <c r="P14424" s="3381">
        <v>6.4534384E-2</v>
      </c>
      <c r="Q14424" s="3231">
        <v>44.79</v>
      </c>
      <c r="R14424" s="3231">
        <v>49.7</v>
      </c>
      <c r="S14424" s="3231"/>
      <c r="T14424" s="3231">
        <v>49.91</v>
      </c>
      <c r="U14424" s="3231">
        <v>47.53</v>
      </c>
      <c r="V14424" s="3231">
        <v>40.369999999999997</v>
      </c>
      <c r="W14424" s="3231">
        <v>38.67</v>
      </c>
      <c r="X14424" s="3231">
        <v>39.25</v>
      </c>
      <c r="Y14424" s="3231">
        <v>39.049999999999997</v>
      </c>
      <c r="Z14424" s="3231">
        <v>39.25</v>
      </c>
      <c r="AA14424" s="3231">
        <v>41.15</v>
      </c>
      <c r="AB14424" s="3231"/>
      <c r="AC14424" s="3231">
        <v>43.74</v>
      </c>
      <c r="AD14424" s="3231">
        <v>38.64</v>
      </c>
      <c r="AE14424" s="3231">
        <v>36.08</v>
      </c>
      <c r="AF14424" s="3231">
        <v>39.83</v>
      </c>
      <c r="AG14424" s="3231"/>
      <c r="AH14424" s="3231">
        <v>41</v>
      </c>
      <c r="AI14424" s="3231">
        <v>41.08</v>
      </c>
      <c r="AJ14424" s="3231">
        <v>43.6</v>
      </c>
      <c r="AK14424" s="3231">
        <v>51.16</v>
      </c>
      <c r="AL14424" s="3236"/>
    </row>
    <row r="14425" spans="1:43" s="370" customFormat="1" ht="12.75" hidden="1" customHeight="1" outlineLevel="1" x14ac:dyDescent="0.3">
      <c r="A14425" s="2380">
        <v>0.02</v>
      </c>
      <c r="B14425" s="1921" t="s">
        <v>359</v>
      </c>
      <c r="C14425" s="2108">
        <v>147.87</v>
      </c>
      <c r="D14425" s="2108">
        <v>217.05</v>
      </c>
      <c r="E14425" s="3253">
        <v>0.46784337593832426</v>
      </c>
      <c r="F14425" s="3282">
        <v>9.356867518766486E-3</v>
      </c>
      <c r="G14425" s="3268" t="e">
        <v>#N/A</v>
      </c>
      <c r="H14425" t="s">
        <v>360</v>
      </c>
      <c r="I14425" s="453">
        <v>9</v>
      </c>
      <c r="J14425" s="79" t="s">
        <v>5590</v>
      </c>
      <c r="K14425"/>
      <c r="L14425" s="3231" t="s">
        <v>6046</v>
      </c>
      <c r="M14425" s="3231" t="s">
        <v>4000</v>
      </c>
      <c r="N14425" s="417">
        <v>33.774000000000001</v>
      </c>
      <c r="O14425" s="417">
        <v>3.3333300000000001</v>
      </c>
      <c r="P14425" s="3381">
        <v>9.8695150100000004E-2</v>
      </c>
      <c r="Q14425" s="3231">
        <v>38.49</v>
      </c>
      <c r="R14425" s="3231">
        <v>37.380000000000003</v>
      </c>
      <c r="S14425" s="3231"/>
      <c r="T14425" s="3231">
        <v>39.08</v>
      </c>
      <c r="U14425" s="3231">
        <v>37.619999999999997</v>
      </c>
      <c r="V14425" s="3231">
        <v>35.22</v>
      </c>
      <c r="W14425" s="3231">
        <v>29.15</v>
      </c>
      <c r="X14425" s="3231">
        <v>30.47</v>
      </c>
      <c r="Y14425" s="3231">
        <v>30.86</v>
      </c>
      <c r="Z14425" s="3231">
        <v>30.23</v>
      </c>
      <c r="AA14425" s="3231">
        <v>29.58</v>
      </c>
      <c r="AB14425" s="3231"/>
      <c r="AC14425" s="3231">
        <v>29.81</v>
      </c>
      <c r="AD14425" s="3231">
        <v>28.51</v>
      </c>
      <c r="AE14425" s="3231">
        <v>27.02</v>
      </c>
      <c r="AF14425" s="3231">
        <v>28.75</v>
      </c>
      <c r="AG14425" s="3231"/>
      <c r="AH14425" s="3231">
        <v>28.76</v>
      </c>
      <c r="AI14425" s="3231">
        <v>28.63</v>
      </c>
      <c r="AJ14425" s="3231">
        <v>27.89</v>
      </c>
      <c r="AK14425" s="3231">
        <v>30.27</v>
      </c>
      <c r="AL14425" s="3236"/>
    </row>
    <row r="14426" spans="1:43" s="370" customFormat="1" ht="12.75" hidden="1" customHeight="1" outlineLevel="1" x14ac:dyDescent="0.25">
      <c r="A14426" s="2380">
        <v>0.02</v>
      </c>
      <c r="B14426" s="1921" t="s">
        <v>1993</v>
      </c>
      <c r="C14426" s="2108">
        <v>51.652000000000001</v>
      </c>
      <c r="D14426" s="2108">
        <v>51.16</v>
      </c>
      <c r="E14426" s="3253">
        <v>-9.5252845969179267E-3</v>
      </c>
      <c r="F14426" s="3282">
        <v>-1.9050569193835855E-4</v>
      </c>
      <c r="G14426" s="3268">
        <v>41.08</v>
      </c>
      <c r="H14426" t="s">
        <v>2812</v>
      </c>
      <c r="I14426" s="453">
        <v>27</v>
      </c>
      <c r="J14426" s="79">
        <v>-1.9050569193835855E-4</v>
      </c>
      <c r="K14426"/>
      <c r="L14426" s="417" t="s">
        <v>6326</v>
      </c>
      <c r="M14426" s="417" t="s">
        <v>806</v>
      </c>
      <c r="N14426" s="417">
        <v>77.786000000000001</v>
      </c>
      <c r="O14426" s="417">
        <v>3.3333300000000001</v>
      </c>
      <c r="P14426" s="3381">
        <v>4.2852569899999998E-2</v>
      </c>
      <c r="Q14426" s="417">
        <v>97.5</v>
      </c>
      <c r="R14426" s="417">
        <v>102.22</v>
      </c>
      <c r="S14426" s="417"/>
      <c r="T14426" s="417">
        <v>100.64</v>
      </c>
      <c r="U14426" s="417">
        <v>100.93</v>
      </c>
      <c r="V14426" s="417">
        <v>91.21</v>
      </c>
      <c r="W14426" s="417">
        <v>71.06</v>
      </c>
      <c r="X14426" s="417">
        <v>70.77</v>
      </c>
      <c r="Y14426" s="417">
        <v>67.92</v>
      </c>
      <c r="Z14426" s="417">
        <v>72.260000000000005</v>
      </c>
      <c r="AA14426" s="417">
        <v>73.28</v>
      </c>
      <c r="AB14426" s="417"/>
      <c r="AC14426" s="417">
        <v>82.78</v>
      </c>
      <c r="AD14426" s="417">
        <v>77.84</v>
      </c>
      <c r="AE14426" s="417">
        <v>79.33</v>
      </c>
      <c r="AF14426" s="417">
        <v>93.33</v>
      </c>
      <c r="AG14426" s="417"/>
      <c r="AH14426" s="417">
        <v>96.78</v>
      </c>
      <c r="AI14426" s="417">
        <v>95.12</v>
      </c>
      <c r="AJ14426" s="417">
        <v>103.98</v>
      </c>
      <c r="AK14426" s="417">
        <v>112.02</v>
      </c>
      <c r="AL14426" s="3236"/>
    </row>
    <row r="14427" spans="1:43" s="370" customFormat="1" ht="12.75" hidden="1" customHeight="1" outlineLevel="1" x14ac:dyDescent="0.3">
      <c r="A14427" s="2380">
        <v>0.02</v>
      </c>
      <c r="B14427" s="1921" t="s">
        <v>3998</v>
      </c>
      <c r="C14427" s="2108">
        <v>33.774000000000001</v>
      </c>
      <c r="D14427" s="2108">
        <v>30.27</v>
      </c>
      <c r="E14427" s="3253">
        <v>-0.10374844554983131</v>
      </c>
      <c r="F14427" s="3282">
        <v>-2.0749689109966262E-3</v>
      </c>
      <c r="G14427" s="3268">
        <v>28.63</v>
      </c>
      <c r="H14427" t="s">
        <v>4000</v>
      </c>
      <c r="I14427" s="453">
        <v>33</v>
      </c>
      <c r="J14427" s="79">
        <v>-2.0749689109966262E-3</v>
      </c>
      <c r="K14427"/>
      <c r="L14427" s="3231" t="s">
        <v>5386</v>
      </c>
      <c r="M14427" s="3231" t="s">
        <v>808</v>
      </c>
      <c r="N14427" s="417">
        <v>53.241999999999997</v>
      </c>
      <c r="O14427" s="417">
        <v>3.3333300000000001</v>
      </c>
      <c r="P14427" s="3381">
        <v>6.2607152200000002E-2</v>
      </c>
      <c r="Q14427" s="3231">
        <v>62.48</v>
      </c>
      <c r="R14427" s="3231">
        <v>63.94</v>
      </c>
      <c r="S14427" s="3231"/>
      <c r="T14427" s="3231">
        <v>60.16</v>
      </c>
      <c r="U14427" s="3231">
        <v>62.36</v>
      </c>
      <c r="V14427" s="3231">
        <v>58.95</v>
      </c>
      <c r="W14427" s="3231">
        <v>57.73</v>
      </c>
      <c r="X14427" s="3231">
        <v>56.29</v>
      </c>
      <c r="Y14427" s="3231">
        <v>57.23</v>
      </c>
      <c r="Z14427" s="3231">
        <v>56.62</v>
      </c>
      <c r="AA14427" s="3231">
        <v>56.16</v>
      </c>
      <c r="AB14427" s="3231"/>
      <c r="AC14427" s="3231">
        <v>56.06</v>
      </c>
      <c r="AD14427" s="3231">
        <v>55.22</v>
      </c>
      <c r="AE14427" s="3231">
        <v>53.54</v>
      </c>
      <c r="AF14427" s="3231">
        <v>56.3</v>
      </c>
      <c r="AG14427" s="3231"/>
      <c r="AH14427" s="3231">
        <v>54.43</v>
      </c>
      <c r="AI14427" s="3231">
        <v>54.24</v>
      </c>
      <c r="AJ14427" s="3231">
        <v>54.43</v>
      </c>
      <c r="AK14427" s="3231">
        <v>56.73</v>
      </c>
      <c r="AL14427" s="3236"/>
    </row>
    <row r="14428" spans="1:43" s="370" customFormat="1" ht="12.75" hidden="1" customHeight="1" outlineLevel="1" x14ac:dyDescent="0.3">
      <c r="A14428" s="2380">
        <v>0.02</v>
      </c>
      <c r="B14428" s="1921" t="s">
        <v>805</v>
      </c>
      <c r="C14428" s="2108">
        <v>77.786000000000001</v>
      </c>
      <c r="D14428" s="2108">
        <v>112.02</v>
      </c>
      <c r="E14428" s="3253">
        <v>0.44010490319594786</v>
      </c>
      <c r="F14428" s="3282">
        <v>8.8020980639189582E-3</v>
      </c>
      <c r="G14428" s="3268">
        <v>95.12</v>
      </c>
      <c r="H14428" t="s">
        <v>806</v>
      </c>
      <c r="I14428" s="453">
        <v>10</v>
      </c>
      <c r="J14428" s="79" t="s">
        <v>5590</v>
      </c>
      <c r="K14428"/>
      <c r="L14428" s="3231" t="s">
        <v>10544</v>
      </c>
      <c r="M14428" s="3231" t="s">
        <v>7009</v>
      </c>
      <c r="N14428" s="417">
        <v>130.63149999999999</v>
      </c>
      <c r="O14428" s="417">
        <v>3.3333300000000001</v>
      </c>
      <c r="P14428" s="3381">
        <v>2.5517046000000002E-2</v>
      </c>
      <c r="Q14428" s="3231">
        <v>137.19999999999999</v>
      </c>
      <c r="R14428" s="3231">
        <v>138.54</v>
      </c>
      <c r="S14428" s="3231"/>
      <c r="T14428" s="3231">
        <v>137.86000000000001</v>
      </c>
      <c r="U14428" s="3231">
        <v>143.35</v>
      </c>
      <c r="V14428" s="3231">
        <v>128.94</v>
      </c>
      <c r="W14428" s="3231">
        <v>92.23</v>
      </c>
      <c r="X14428" s="3231">
        <v>97.18</v>
      </c>
      <c r="Y14428" s="3231">
        <v>85.98</v>
      </c>
      <c r="Z14428" s="3231">
        <v>90.38</v>
      </c>
      <c r="AA14428" s="3231">
        <v>89.09</v>
      </c>
      <c r="AB14428" s="3231"/>
      <c r="AC14428" s="3231">
        <v>86.87</v>
      </c>
      <c r="AD14428" s="3231">
        <v>80.3</v>
      </c>
      <c r="AE14428" s="3231">
        <v>72.41</v>
      </c>
      <c r="AF14428" s="3231">
        <v>98.16</v>
      </c>
      <c r="AG14428" s="3231"/>
      <c r="AH14428" s="3231">
        <v>94.53</v>
      </c>
      <c r="AI14428" s="3231">
        <v>91.27</v>
      </c>
      <c r="AJ14428" s="3231">
        <v>99.13</v>
      </c>
      <c r="AK14428" s="3231">
        <v>101.26</v>
      </c>
      <c r="AL14428" s="3236"/>
    </row>
    <row r="14429" spans="1:43" s="370" customFormat="1" ht="12.75" hidden="1" customHeight="1" outlineLevel="1" x14ac:dyDescent="0.25">
      <c r="A14429" s="2380">
        <v>0.02</v>
      </c>
      <c r="B14429" s="1921" t="s">
        <v>807</v>
      </c>
      <c r="C14429" s="2108">
        <v>53.241999999999997</v>
      </c>
      <c r="D14429" s="2108">
        <v>56.73</v>
      </c>
      <c r="E14429" s="3253">
        <v>6.5512189624732375E-2</v>
      </c>
      <c r="F14429" s="3282">
        <v>1.3102437924946476E-3</v>
      </c>
      <c r="G14429" s="3268">
        <v>54.24</v>
      </c>
      <c r="H14429" t="s">
        <v>808</v>
      </c>
      <c r="I14429" s="453">
        <v>22</v>
      </c>
      <c r="J14429" s="79">
        <v>1.3102437924946476E-3</v>
      </c>
      <c r="K14429"/>
      <c r="L14429" s="417" t="s">
        <v>6077</v>
      </c>
      <c r="M14429" s="417" t="s">
        <v>531</v>
      </c>
      <c r="N14429" s="417">
        <v>35.984999999999999</v>
      </c>
      <c r="O14429" s="417">
        <v>3.3333300000000001</v>
      </c>
      <c r="P14429" s="3381">
        <v>9.2631096299999993E-2</v>
      </c>
      <c r="Q14429" s="417">
        <v>27.02</v>
      </c>
      <c r="R14429" s="417">
        <v>30.6</v>
      </c>
      <c r="S14429" s="417"/>
      <c r="T14429" s="417">
        <v>32.314999999999998</v>
      </c>
      <c r="U14429" s="417">
        <v>33.575000000000003</v>
      </c>
      <c r="V14429" s="417">
        <v>30.625</v>
      </c>
      <c r="W14429" s="417">
        <v>27.59</v>
      </c>
      <c r="X14429" s="417">
        <v>30.805</v>
      </c>
      <c r="Y14429" s="417">
        <v>31.895</v>
      </c>
      <c r="Z14429" s="417">
        <v>31.045000000000002</v>
      </c>
      <c r="AA14429" s="417">
        <v>25.245000000000001</v>
      </c>
      <c r="AB14429" s="417">
        <v>25.324999999999999</v>
      </c>
      <c r="AC14429" s="417"/>
      <c r="AD14429" s="417">
        <v>27.774999999999999</v>
      </c>
      <c r="AE14429" s="417">
        <v>24.48</v>
      </c>
      <c r="AF14429" s="417">
        <v>26.395</v>
      </c>
      <c r="AG14429" s="417"/>
      <c r="AH14429" s="417">
        <v>27.08</v>
      </c>
      <c r="AI14429" s="417">
        <v>26.574999999999999</v>
      </c>
      <c r="AJ14429" s="417">
        <v>24.855</v>
      </c>
      <c r="AK14429" s="417">
        <v>27.74</v>
      </c>
      <c r="AL14429" s="3236"/>
    </row>
    <row r="14430" spans="1:43" s="370" customFormat="1" ht="12.75" hidden="1" customHeight="1" outlineLevel="1" x14ac:dyDescent="0.25">
      <c r="A14430" s="2380">
        <v>0.02</v>
      </c>
      <c r="B14430" s="1921" t="s">
        <v>7010</v>
      </c>
      <c r="C14430" s="2108">
        <v>130.63150030101744</v>
      </c>
      <c r="D14430" s="2108">
        <v>101.26</v>
      </c>
      <c r="E14430" s="3253">
        <v>-0.22484240197299998</v>
      </c>
      <c r="F14430" s="3282">
        <v>-4.4968480394599998E-3</v>
      </c>
      <c r="G14430" s="3268">
        <v>91.27</v>
      </c>
      <c r="H14430" t="s">
        <v>7009</v>
      </c>
      <c r="I14430" s="453">
        <v>40</v>
      </c>
      <c r="J14430" s="79">
        <v>-4.4968480394599998E-3</v>
      </c>
      <c r="K14430"/>
      <c r="L14430" s="417" t="s">
        <v>10591</v>
      </c>
      <c r="M14430" s="417" t="s">
        <v>531</v>
      </c>
      <c r="N14430" s="417">
        <v>31.5502</v>
      </c>
      <c r="O14430" s="417">
        <v>3.3333300000000001</v>
      </c>
      <c r="P14430" s="3381">
        <v>0.1056516282</v>
      </c>
      <c r="Q14430" s="417">
        <v>27.02</v>
      </c>
      <c r="R14430" s="417">
        <v>30.6</v>
      </c>
      <c r="S14430" s="417"/>
      <c r="T14430" s="417">
        <v>32.314999999999998</v>
      </c>
      <c r="U14430" s="417">
        <v>33.575000000000003</v>
      </c>
      <c r="V14430" s="417">
        <v>30.625</v>
      </c>
      <c r="W14430" s="417">
        <v>27.59</v>
      </c>
      <c r="X14430" s="417">
        <v>30.805</v>
      </c>
      <c r="Y14430" s="417">
        <v>31.895</v>
      </c>
      <c r="Z14430" s="417">
        <v>31.045000000000002</v>
      </c>
      <c r="AA14430" s="417">
        <v>25.245000000000001</v>
      </c>
      <c r="AB14430" s="417">
        <v>25.324999999999999</v>
      </c>
      <c r="AC14430" s="417"/>
      <c r="AD14430" s="417">
        <v>27.774999999999999</v>
      </c>
      <c r="AE14430" s="417">
        <v>24.48</v>
      </c>
      <c r="AF14430" s="417">
        <v>26.395</v>
      </c>
      <c r="AG14430" s="417"/>
      <c r="AH14430" s="417">
        <v>27.08</v>
      </c>
      <c r="AI14430" s="417">
        <v>26.574999999999999</v>
      </c>
      <c r="AJ14430" s="417">
        <v>24.855</v>
      </c>
      <c r="AK14430" s="417">
        <v>27.74</v>
      </c>
      <c r="AL14430" s="3236"/>
    </row>
    <row r="14431" spans="1:43" s="370" customFormat="1" ht="12.75" hidden="1" customHeight="1" outlineLevel="1" x14ac:dyDescent="0.3">
      <c r="A14431" s="2380">
        <v>0.04</v>
      </c>
      <c r="B14431" s="1921" t="s">
        <v>901</v>
      </c>
      <c r="C14431" s="2108">
        <v>3362.1991099406637</v>
      </c>
      <c r="D14431" s="2108">
        <v>2774</v>
      </c>
      <c r="E14431" s="3253">
        <v>-0.17494475809049992</v>
      </c>
      <c r="F14431" s="3282">
        <v>-6.9977903236199965E-3</v>
      </c>
      <c r="G14431" s="3268">
        <v>2657.5</v>
      </c>
      <c r="H14431" t="s">
        <v>531</v>
      </c>
      <c r="I14431" s="453">
        <v>37</v>
      </c>
      <c r="J14431" s="79">
        <v>-6.9977903236199965E-3</v>
      </c>
      <c r="K14431"/>
      <c r="L14431" s="3231" t="s">
        <v>6328</v>
      </c>
      <c r="M14431" s="3231" t="s">
        <v>3955</v>
      </c>
      <c r="N14431" s="417">
        <v>94.957999999999998</v>
      </c>
      <c r="O14431" s="417">
        <v>3.3333300000000001</v>
      </c>
      <c r="P14431" s="3381">
        <v>3.5103203499999999E-2</v>
      </c>
      <c r="Q14431" s="3231">
        <v>112.31</v>
      </c>
      <c r="R14431" s="3231">
        <v>115.46</v>
      </c>
      <c r="S14431" s="3231"/>
      <c r="T14431" s="3231">
        <v>108.06</v>
      </c>
      <c r="U14431" s="3231">
        <v>107.92</v>
      </c>
      <c r="V14431" s="3231">
        <v>102.16</v>
      </c>
      <c r="W14431" s="3231">
        <v>82</v>
      </c>
      <c r="X14431" s="3231">
        <v>82.48</v>
      </c>
      <c r="Y14431" s="3231">
        <v>88.29</v>
      </c>
      <c r="Z14431" s="3231">
        <v>90.74</v>
      </c>
      <c r="AA14431" s="3231">
        <v>92.73</v>
      </c>
      <c r="AB14431" s="3231"/>
      <c r="AC14431" s="3231">
        <v>103.56</v>
      </c>
      <c r="AD14431" s="3231">
        <v>99.53</v>
      </c>
      <c r="AE14431" s="3231">
        <v>99.38</v>
      </c>
      <c r="AF14431" s="3231">
        <v>109.48</v>
      </c>
      <c r="AG14431" s="3231"/>
      <c r="AH14431" s="3231">
        <v>108.72</v>
      </c>
      <c r="AI14431" s="3231">
        <v>108.98</v>
      </c>
      <c r="AJ14431" s="3231">
        <v>117.33</v>
      </c>
      <c r="AK14431" s="3231">
        <v>123.05</v>
      </c>
      <c r="AL14431" s="3236"/>
    </row>
    <row r="14432" spans="1:43" s="370" customFormat="1" ht="12.75" hidden="1" customHeight="1" outlineLevel="1" x14ac:dyDescent="0.3">
      <c r="A14432" s="2380">
        <v>0.02</v>
      </c>
      <c r="B14432" s="1921" t="s">
        <v>6078</v>
      </c>
      <c r="C14432" s="2108">
        <v>851.8</v>
      </c>
      <c r="D14432" s="2108">
        <v>504.8</v>
      </c>
      <c r="E14432" s="3253">
        <v>-0.40737262268138053</v>
      </c>
      <c r="F14432" s="3282">
        <v>-8.1474524536276106E-3</v>
      </c>
      <c r="G14432" s="3268" t="e">
        <v>#N/A</v>
      </c>
      <c r="H14432" t="s">
        <v>2354</v>
      </c>
      <c r="I14432" s="453">
        <v>46</v>
      </c>
      <c r="J14432" s="79" t="s">
        <v>5590</v>
      </c>
      <c r="K14432"/>
      <c r="L14432" s="3231" t="s">
        <v>10545</v>
      </c>
      <c r="M14432" s="3231" t="s">
        <v>6822</v>
      </c>
      <c r="N14432" s="417">
        <v>2.8706999999999998</v>
      </c>
      <c r="O14432" s="417">
        <v>3.3333300000000001</v>
      </c>
      <c r="P14432" s="3381">
        <v>1.1611558156999999</v>
      </c>
      <c r="Q14432" s="3231">
        <v>2.7210000000000001</v>
      </c>
      <c r="R14432" s="3231">
        <v>3.0539999999999998</v>
      </c>
      <c r="S14432" s="3231"/>
      <c r="T14432" s="3231">
        <v>3.125</v>
      </c>
      <c r="U14432" s="3231">
        <v>3.3780000000000001</v>
      </c>
      <c r="V14432" s="3231">
        <v>3.07</v>
      </c>
      <c r="W14432" s="3231">
        <v>2.9590000000000001</v>
      </c>
      <c r="X14432" s="3231">
        <v>2.7250000000000001</v>
      </c>
      <c r="Y14432" s="3231">
        <v>2.6459999999999999</v>
      </c>
      <c r="Z14432" s="3231">
        <v>2.71</v>
      </c>
      <c r="AA14432" s="3231">
        <v>2.964</v>
      </c>
      <c r="AB14432" s="3231">
        <v>2.9489999999999998</v>
      </c>
      <c r="AC14432" s="3231"/>
      <c r="AD14432" s="3231">
        <v>2.694</v>
      </c>
      <c r="AE14432" s="3231">
        <v>2.6349999999999998</v>
      </c>
      <c r="AF14432" s="3231">
        <v>2.9580000000000002</v>
      </c>
      <c r="AG14432" s="3231"/>
      <c r="AH14432" s="3231">
        <v>3.19</v>
      </c>
      <c r="AI14432" s="3231">
        <v>2.9990000000000001</v>
      </c>
      <c r="AJ14432" s="3231">
        <v>3.206</v>
      </c>
      <c r="AK14432" s="3231">
        <v>3.133</v>
      </c>
      <c r="AL14432" s="3236"/>
    </row>
    <row r="14433" spans="1:38" s="370" customFormat="1" ht="12.75" hidden="1" customHeight="1" outlineLevel="1" x14ac:dyDescent="0.3">
      <c r="A14433" s="2380">
        <v>0.02</v>
      </c>
      <c r="B14433" s="1921" t="s">
        <v>3954</v>
      </c>
      <c r="C14433" s="2108">
        <v>94.957999999999998</v>
      </c>
      <c r="D14433" s="2108">
        <v>123.05</v>
      </c>
      <c r="E14433" s="3253">
        <v>0.29583605383432676</v>
      </c>
      <c r="F14433" s="3282">
        <v>5.9167210766865354E-3</v>
      </c>
      <c r="G14433" s="3268">
        <v>108.98</v>
      </c>
      <c r="H14433" t="s">
        <v>3955</v>
      </c>
      <c r="I14433" s="453">
        <v>15</v>
      </c>
      <c r="J14433" s="79">
        <v>5.9167210766865354E-3</v>
      </c>
      <c r="K14433"/>
      <c r="L14433" s="3231" t="s">
        <v>10546</v>
      </c>
      <c r="M14433" s="3231" t="s">
        <v>7012</v>
      </c>
      <c r="N14433" s="417">
        <v>19.719000000000001</v>
      </c>
      <c r="O14433" s="417">
        <v>3.3333300000000001</v>
      </c>
      <c r="P14433" s="3381">
        <v>0.16904153350000001</v>
      </c>
      <c r="Q14433" s="3231">
        <v>26.46</v>
      </c>
      <c r="R14433" s="3231">
        <v>26.95</v>
      </c>
      <c r="S14433" s="3231"/>
      <c r="T14433" s="3231">
        <v>26.97</v>
      </c>
      <c r="U14433" s="3231">
        <v>28.66</v>
      </c>
      <c r="V14433" s="3231">
        <v>25.88</v>
      </c>
      <c r="W14433" s="3231">
        <v>21.87</v>
      </c>
      <c r="X14433" s="3231">
        <v>22.8</v>
      </c>
      <c r="Y14433" s="3231">
        <v>24.42</v>
      </c>
      <c r="Z14433" s="3231">
        <v>23.7</v>
      </c>
      <c r="AA14433" s="3231">
        <v>20.74</v>
      </c>
      <c r="AB14433" s="3231"/>
      <c r="AC14433" s="3231">
        <v>22.38</v>
      </c>
      <c r="AD14433" s="3231">
        <v>20.75</v>
      </c>
      <c r="AE14433" s="3231">
        <v>18.574999999999999</v>
      </c>
      <c r="AF14433" s="3231">
        <v>23.32</v>
      </c>
      <c r="AG14433" s="3231"/>
      <c r="AH14433" s="3231">
        <v>22.6</v>
      </c>
      <c r="AI14433" s="3231">
        <v>19.805</v>
      </c>
      <c r="AJ14433" s="3231">
        <v>20.64</v>
      </c>
      <c r="AK14433" s="3231">
        <v>22.23</v>
      </c>
      <c r="AL14433" s="3236"/>
    </row>
    <row r="14434" spans="1:38" s="370" customFormat="1" ht="12.75" hidden="1" customHeight="1" outlineLevel="1" x14ac:dyDescent="0.3">
      <c r="A14434" s="2380">
        <v>0.02</v>
      </c>
      <c r="B14434" s="1921" t="s">
        <v>6079</v>
      </c>
      <c r="C14434" s="2108">
        <v>61.012</v>
      </c>
      <c r="D14434" s="2108">
        <v>74.8</v>
      </c>
      <c r="E14434" s="3253">
        <v>0.22598833016455777</v>
      </c>
      <c r="F14434" s="3282">
        <v>4.5197666032911555E-3</v>
      </c>
      <c r="G14434" s="3268" t="e">
        <v>#N/A</v>
      </c>
      <c r="H14434" t="s">
        <v>1320</v>
      </c>
      <c r="I14434" s="453">
        <v>17</v>
      </c>
      <c r="J14434" s="79">
        <v>4.5197666032911555E-3</v>
      </c>
      <c r="K14434"/>
      <c r="L14434" s="3231" t="s">
        <v>6052</v>
      </c>
      <c r="M14434" s="3231" t="s">
        <v>4128</v>
      </c>
      <c r="N14434" s="417">
        <v>14.356999999999999</v>
      </c>
      <c r="O14434" s="417">
        <v>3.3333300000000001</v>
      </c>
      <c r="P14434" s="3381">
        <v>0.23217454900000001</v>
      </c>
      <c r="Q14434" s="3231">
        <v>17.686</v>
      </c>
      <c r="R14434" s="3231">
        <v>17.54</v>
      </c>
      <c r="S14434" s="3231"/>
      <c r="T14434" s="3231">
        <v>17.79</v>
      </c>
      <c r="U14434" s="3231">
        <v>17.84</v>
      </c>
      <c r="V14434" s="3231">
        <v>15.622</v>
      </c>
      <c r="W14434" s="3231">
        <v>15.146000000000001</v>
      </c>
      <c r="X14434" s="3231">
        <v>16.61</v>
      </c>
      <c r="Y14434" s="3231">
        <v>16.718</v>
      </c>
      <c r="Z14434" s="3231">
        <v>16.366</v>
      </c>
      <c r="AA14434" s="3231">
        <v>15.298</v>
      </c>
      <c r="AB14434" s="3231">
        <v>14.72</v>
      </c>
      <c r="AC14434" s="3231"/>
      <c r="AD14434" s="3231">
        <v>14.52</v>
      </c>
      <c r="AE14434" s="3231">
        <v>12.917999999999999</v>
      </c>
      <c r="AF14434" s="3231">
        <v>13.7</v>
      </c>
      <c r="AG14434" s="3231"/>
      <c r="AH14434" s="3231">
        <v>13.42</v>
      </c>
      <c r="AI14434" s="3231">
        <v>13.57</v>
      </c>
      <c r="AJ14434" s="3231">
        <v>11.907999999999999</v>
      </c>
      <c r="AK14434" s="3231">
        <v>12.88</v>
      </c>
      <c r="AL14434" s="3236"/>
    </row>
    <row r="14435" spans="1:38" s="370" customFormat="1" ht="12.75" hidden="1" customHeight="1" outlineLevel="1" x14ac:dyDescent="0.3">
      <c r="A14435" s="2380">
        <v>0.02</v>
      </c>
      <c r="B14435" s="1921" t="s">
        <v>238</v>
      </c>
      <c r="C14435" s="2108">
        <v>75.006</v>
      </c>
      <c r="D14435" s="2108">
        <v>141.69999999999999</v>
      </c>
      <c r="E14435" s="3253">
        <v>0.88918219875743265</v>
      </c>
      <c r="F14435" s="3282">
        <v>1.7783643975148655E-2</v>
      </c>
      <c r="G14435" s="3268" t="e">
        <v>#N/A</v>
      </c>
      <c r="H14435" t="s">
        <v>239</v>
      </c>
      <c r="I14435" s="453">
        <v>4</v>
      </c>
      <c r="J14435" s="79" t="s">
        <v>5590</v>
      </c>
      <c r="K14435"/>
      <c r="L14435" s="3231" t="s">
        <v>10139</v>
      </c>
      <c r="M14435" s="3231" t="s">
        <v>10370</v>
      </c>
      <c r="N14435" s="417">
        <v>35.700000000000003</v>
      </c>
      <c r="O14435" s="417">
        <v>3.3333300000000001</v>
      </c>
      <c r="P14435" s="3381">
        <v>9.3370588199999993E-2</v>
      </c>
      <c r="Q14435" s="3231">
        <v>37.619999999999997</v>
      </c>
      <c r="R14435" s="3231">
        <v>34.880000000000003</v>
      </c>
      <c r="S14435" s="3231"/>
      <c r="T14435" s="3231">
        <v>34.47</v>
      </c>
      <c r="U14435" s="3231">
        <v>35.99</v>
      </c>
      <c r="V14435" s="3231">
        <v>31.64</v>
      </c>
      <c r="W14435" s="3231">
        <v>23.85</v>
      </c>
      <c r="X14435" s="3231">
        <v>26.14</v>
      </c>
      <c r="Y14435" s="3231">
        <v>24.64</v>
      </c>
      <c r="Z14435" s="3231">
        <v>27.56</v>
      </c>
      <c r="AA14435" s="3231">
        <v>27.29</v>
      </c>
      <c r="AB14435" s="3231"/>
      <c r="AC14435" s="3231">
        <v>27.64</v>
      </c>
      <c r="AD14435" s="3231">
        <v>27.15</v>
      </c>
      <c r="AE14435" s="3231">
        <v>26.97</v>
      </c>
      <c r="AF14435" s="3231">
        <v>28.86</v>
      </c>
      <c r="AG14435" s="3231"/>
      <c r="AH14435" s="3231">
        <v>30.23</v>
      </c>
      <c r="AI14435" s="3231">
        <v>29.65</v>
      </c>
      <c r="AJ14435" s="3231">
        <v>29.09</v>
      </c>
      <c r="AK14435" s="3231">
        <v>31.74</v>
      </c>
      <c r="AL14435" s="3236"/>
    </row>
    <row r="14436" spans="1:38" s="370" customFormat="1" ht="12.75" hidden="1" customHeight="1" outlineLevel="1" x14ac:dyDescent="0.3">
      <c r="A14436" s="2380">
        <v>0.02</v>
      </c>
      <c r="B14436" s="1921" t="s">
        <v>6821</v>
      </c>
      <c r="C14436" s="2108">
        <v>287.06999999465046</v>
      </c>
      <c r="D14436" s="2108">
        <v>313.3</v>
      </c>
      <c r="E14436" s="3253">
        <v>9.1371442525649993E-2</v>
      </c>
      <c r="F14436" s="3282">
        <v>1.827428850513E-3</v>
      </c>
      <c r="G14436" s="3268">
        <v>299.90000000000003</v>
      </c>
      <c r="H14436" t="s">
        <v>6822</v>
      </c>
      <c r="I14436" s="453">
        <v>21</v>
      </c>
      <c r="J14436" s="79">
        <v>1.827428850513E-3</v>
      </c>
      <c r="K14436"/>
      <c r="L14436" s="3231" t="s">
        <v>10547</v>
      </c>
      <c r="M14436" s="3231" t="s">
        <v>6899</v>
      </c>
      <c r="N14436" s="417">
        <v>2.6602000000000001</v>
      </c>
      <c r="O14436" s="417">
        <v>3.3333300000000001</v>
      </c>
      <c r="P14436" s="3381">
        <v>1.2530373656</v>
      </c>
      <c r="Q14436" s="3231">
        <v>2.637</v>
      </c>
      <c r="R14436" s="3231">
        <v>2.8090000000000002</v>
      </c>
      <c r="S14436" s="3231"/>
      <c r="T14436" s="3231">
        <v>3.03</v>
      </c>
      <c r="U14436" s="3231">
        <v>3.0550000000000002</v>
      </c>
      <c r="V14436" s="3231">
        <v>2.6</v>
      </c>
      <c r="W14436" s="3231">
        <v>1.9384999999999999</v>
      </c>
      <c r="X14436" s="3231">
        <v>2.0459999999999998</v>
      </c>
      <c r="Y14436" s="3231">
        <v>1.9850000000000001</v>
      </c>
      <c r="Z14436" s="3231">
        <v>2.2090000000000001</v>
      </c>
      <c r="AA14436" s="3231">
        <v>2.14</v>
      </c>
      <c r="AB14436" s="3231">
        <v>2.173</v>
      </c>
      <c r="AC14436" s="3231"/>
      <c r="AD14436" s="3231">
        <v>1.8835</v>
      </c>
      <c r="AE14436" s="3231">
        <v>1.8480000000000001</v>
      </c>
      <c r="AF14436" s="3231">
        <v>2.5270000000000001</v>
      </c>
      <c r="AG14436" s="3231"/>
      <c r="AH14436" s="3231">
        <v>2.6619999999999999</v>
      </c>
      <c r="AI14436" s="3231">
        <v>2.44</v>
      </c>
      <c r="AJ14436" s="3231">
        <v>2.593</v>
      </c>
      <c r="AK14436" s="3231">
        <v>2.7909999999999999</v>
      </c>
      <c r="AL14436" s="3236"/>
    </row>
    <row r="14437" spans="1:38" s="370" customFormat="1" ht="12.75" hidden="1" customHeight="1" outlineLevel="1" x14ac:dyDescent="0.3">
      <c r="A14437" s="2380">
        <v>0.02</v>
      </c>
      <c r="B14437" s="1921" t="s">
        <v>7014</v>
      </c>
      <c r="C14437" s="2108">
        <v>19.719000000000001</v>
      </c>
      <c r="D14437" s="2108">
        <v>22.23</v>
      </c>
      <c r="E14437" s="3253">
        <v>0.12733911455956171</v>
      </c>
      <c r="F14437" s="3282">
        <v>2.5467822911912344E-3</v>
      </c>
      <c r="G14437" s="3268">
        <v>19.805</v>
      </c>
      <c r="H14437" t="s">
        <v>7012</v>
      </c>
      <c r="I14437" s="453">
        <v>20</v>
      </c>
      <c r="J14437" s="79">
        <v>2.5467822911912344E-3</v>
      </c>
      <c r="K14437"/>
      <c r="L14437" s="3231" t="s">
        <v>6083</v>
      </c>
      <c r="M14437" s="3231" t="s">
        <v>4195</v>
      </c>
      <c r="N14437" s="417">
        <v>8.9684000000000008</v>
      </c>
      <c r="O14437" s="417">
        <v>3.3333300000000001</v>
      </c>
      <c r="P14437" s="3381">
        <v>0.3716749922</v>
      </c>
      <c r="Q14437" s="3231">
        <v>9.0129999999999999</v>
      </c>
      <c r="R14437" s="3231">
        <v>8.8970000000000002</v>
      </c>
      <c r="S14437" s="3231"/>
      <c r="T14437" s="3231">
        <v>9.4429999999999996</v>
      </c>
      <c r="U14437" s="3231">
        <v>10.058</v>
      </c>
      <c r="V14437" s="3231">
        <v>9.8279999999999994</v>
      </c>
      <c r="W14437" s="3231">
        <v>9.4659999999999993</v>
      </c>
      <c r="X14437" s="3231">
        <v>9.3379999999999992</v>
      </c>
      <c r="Y14437" s="3231">
        <v>9.26</v>
      </c>
      <c r="Z14437" s="3231">
        <v>9.8919999999999995</v>
      </c>
      <c r="AA14437" s="3231">
        <v>9.0039999999999996</v>
      </c>
      <c r="AB14437" s="3231">
        <v>8.4320000000000004</v>
      </c>
      <c r="AC14437" s="3231"/>
      <c r="AD14437" s="3231">
        <v>8.8979999999999997</v>
      </c>
      <c r="AE14437" s="3231">
        <v>9.19</v>
      </c>
      <c r="AF14437" s="3231">
        <v>8.484</v>
      </c>
      <c r="AG14437" s="3231"/>
      <c r="AH14437" s="3231">
        <v>8.65</v>
      </c>
      <c r="AI14437" s="3231">
        <v>8.5</v>
      </c>
      <c r="AJ14437" s="3231">
        <v>8.0640000000000001</v>
      </c>
      <c r="AK14437" s="3231">
        <v>8.64</v>
      </c>
      <c r="AL14437" s="3236"/>
    </row>
    <row r="14438" spans="1:38" s="370" customFormat="1" ht="12.75" hidden="1" customHeight="1" outlineLevel="1" x14ac:dyDescent="0.3">
      <c r="A14438" s="2380">
        <v>0.02</v>
      </c>
      <c r="B14438" s="1921" t="s">
        <v>3407</v>
      </c>
      <c r="C14438" s="2108">
        <v>26.132600016339669</v>
      </c>
      <c r="D14438" s="2108">
        <v>13.13</v>
      </c>
      <c r="E14438" s="3253">
        <v>-0.49756243191299998</v>
      </c>
      <c r="F14438" s="3282">
        <v>-9.9512486382599998E-3</v>
      </c>
      <c r="G14438" s="3268" t="e">
        <v>#N/A</v>
      </c>
      <c r="H14438" t="s">
        <v>4127</v>
      </c>
      <c r="I14438" s="453">
        <v>49</v>
      </c>
      <c r="J14438" s="79" t="s">
        <v>5590</v>
      </c>
      <c r="K14438"/>
      <c r="L14438" s="3231" t="s">
        <v>6062</v>
      </c>
      <c r="M14438" s="3231" t="s">
        <v>3533</v>
      </c>
      <c r="N14438" s="417">
        <v>84.954000000000008</v>
      </c>
      <c r="O14438" s="417">
        <v>3.3333300000000001</v>
      </c>
      <c r="P14438" s="3381">
        <v>3.9236881100000003E-2</v>
      </c>
      <c r="Q14438" s="3231">
        <v>81.44</v>
      </c>
      <c r="R14438" s="3231">
        <v>82.93</v>
      </c>
      <c r="S14438" s="3231"/>
      <c r="T14438" s="3231">
        <v>85.09</v>
      </c>
      <c r="U14438" s="3231">
        <v>82.7</v>
      </c>
      <c r="V14438" s="3231">
        <v>81.87</v>
      </c>
      <c r="W14438" s="3231">
        <v>72.959999999999994</v>
      </c>
      <c r="X14438" s="3231">
        <v>74.599999999999994</v>
      </c>
      <c r="Y14438" s="3231">
        <v>73.36</v>
      </c>
      <c r="Z14438" s="3231">
        <v>70.06</v>
      </c>
      <c r="AA14438" s="3231">
        <v>76.81</v>
      </c>
      <c r="AB14438" s="3231"/>
      <c r="AC14438" s="3231">
        <v>79.790000000000006</v>
      </c>
      <c r="AD14438" s="3231">
        <v>74.989999999999995</v>
      </c>
      <c r="AE14438" s="3231">
        <v>71.02</v>
      </c>
      <c r="AF14438" s="3231">
        <v>75.75</v>
      </c>
      <c r="AG14438" s="3231"/>
      <c r="AH14438" s="3231">
        <v>82.79</v>
      </c>
      <c r="AI14438" s="3231">
        <v>79.650000000000006</v>
      </c>
      <c r="AJ14438" s="3231">
        <v>84.02</v>
      </c>
      <c r="AK14438" s="3231">
        <v>88.74</v>
      </c>
      <c r="AL14438" s="3236"/>
    </row>
    <row r="14439" spans="1:38" s="370" customFormat="1" ht="12.75" hidden="1" customHeight="1" outlineLevel="1" x14ac:dyDescent="0.3">
      <c r="A14439" s="2380">
        <v>0.02</v>
      </c>
      <c r="B14439" s="1921" t="s">
        <v>3799</v>
      </c>
      <c r="C14439" s="2108">
        <v>1435.7000000531928</v>
      </c>
      <c r="D14439" s="2108">
        <v>1288</v>
      </c>
      <c r="E14439" s="3253">
        <v>-0.10287664557200005</v>
      </c>
      <c r="F14439" s="3282">
        <v>-2.0575329114400011E-3</v>
      </c>
      <c r="G14439" s="3268">
        <v>1357</v>
      </c>
      <c r="H14439" t="s">
        <v>4128</v>
      </c>
      <c r="I14439" s="453">
        <v>32</v>
      </c>
      <c r="J14439" s="79">
        <v>-2.0575329114400011E-3</v>
      </c>
      <c r="K14439"/>
      <c r="L14439" s="3231" t="s">
        <v>5775</v>
      </c>
      <c r="M14439" s="3231" t="s">
        <v>2770</v>
      </c>
      <c r="N14439" s="417">
        <v>31.208500000000001</v>
      </c>
      <c r="O14439" s="417">
        <v>3.3333300000000001</v>
      </c>
      <c r="P14439" s="3381">
        <v>0.10680840160000001</v>
      </c>
      <c r="Q14439" s="3231">
        <v>33.49</v>
      </c>
      <c r="R14439" s="3231">
        <v>34.03</v>
      </c>
      <c r="S14439" s="3231"/>
      <c r="T14439" s="3231">
        <v>35.880000000000003</v>
      </c>
      <c r="U14439" s="3231">
        <v>36.19</v>
      </c>
      <c r="V14439" s="3231">
        <v>30.01</v>
      </c>
      <c r="W14439" s="3231">
        <v>24.68</v>
      </c>
      <c r="X14439" s="3231">
        <v>25.42</v>
      </c>
      <c r="Y14439" s="3231">
        <v>27.94</v>
      </c>
      <c r="Z14439" s="3231">
        <v>25.84</v>
      </c>
      <c r="AA14439" s="3231">
        <v>26.62</v>
      </c>
      <c r="AB14439" s="3231"/>
      <c r="AC14439" s="3231">
        <v>27.63</v>
      </c>
      <c r="AD14439" s="3231">
        <v>27.21</v>
      </c>
      <c r="AE14439" s="3231">
        <v>27.5</v>
      </c>
      <c r="AF14439" s="3231">
        <v>28.42</v>
      </c>
      <c r="AG14439" s="3231"/>
      <c r="AH14439" s="3231">
        <v>28.2</v>
      </c>
      <c r="AI14439" s="3231">
        <v>27.67</v>
      </c>
      <c r="AJ14439" s="3231">
        <v>26.19</v>
      </c>
      <c r="AK14439" s="3231">
        <v>28.84</v>
      </c>
      <c r="AL14439" s="3236"/>
    </row>
    <row r="14440" spans="1:38" s="370" customFormat="1" ht="12.75" hidden="1" customHeight="1" outlineLevel="1" x14ac:dyDescent="0.25">
      <c r="A14440" s="2380">
        <v>0.02</v>
      </c>
      <c r="B14440" s="1921" t="s">
        <v>10371</v>
      </c>
      <c r="C14440" s="2108">
        <v>35.704319172377311</v>
      </c>
      <c r="D14440" s="2108">
        <v>31.74</v>
      </c>
      <c r="E14440" s="3253">
        <v>-0.11103192174700005</v>
      </c>
      <c r="F14440" s="3282">
        <v>-2.2206384349400012E-3</v>
      </c>
      <c r="G14440" s="3268">
        <v>29.65</v>
      </c>
      <c r="H14440" t="s">
        <v>10370</v>
      </c>
      <c r="I14440" s="453">
        <v>35</v>
      </c>
      <c r="J14440" s="79">
        <v>-2.2206384349400012E-3</v>
      </c>
      <c r="K14440"/>
      <c r="L14440" s="417" t="s">
        <v>6086</v>
      </c>
      <c r="M14440" s="417" t="s">
        <v>9049</v>
      </c>
      <c r="N14440" s="417">
        <v>78.878</v>
      </c>
      <c r="O14440" s="417">
        <v>3.3333300000000001</v>
      </c>
      <c r="P14440" s="3381">
        <v>4.2259311799999998E-2</v>
      </c>
      <c r="Q14440" s="417">
        <v>106.24</v>
      </c>
      <c r="R14440" s="417">
        <v>108.73</v>
      </c>
      <c r="S14440" s="417"/>
      <c r="T14440" s="417">
        <v>102.75</v>
      </c>
      <c r="U14440" s="417">
        <v>104.58</v>
      </c>
      <c r="V14440" s="417">
        <v>99.82</v>
      </c>
      <c r="W14440" s="417">
        <v>87.17</v>
      </c>
      <c r="X14440" s="417">
        <v>85.63</v>
      </c>
      <c r="Y14440" s="417">
        <v>89.33</v>
      </c>
      <c r="Z14440" s="417">
        <v>92.11</v>
      </c>
      <c r="AA14440" s="417">
        <v>92.4</v>
      </c>
      <c r="AB14440" s="417"/>
      <c r="AC14440" s="417">
        <v>99.33</v>
      </c>
      <c r="AD14440" s="417">
        <v>93.49</v>
      </c>
      <c r="AE14440" s="417">
        <v>93.16</v>
      </c>
      <c r="AF14440" s="417">
        <v>106.06</v>
      </c>
      <c r="AG14440" s="417"/>
      <c r="AH14440" s="417">
        <v>104.59</v>
      </c>
      <c r="AI14440" s="417">
        <v>103.5</v>
      </c>
      <c r="AJ14440" s="417">
        <v>108.36</v>
      </c>
      <c r="AK14440" s="417">
        <v>115.87</v>
      </c>
      <c r="AL14440" s="3236"/>
    </row>
    <row r="14441" spans="1:38" s="370" customFormat="1" ht="12.75" hidden="1" customHeight="1" outlineLevel="1" x14ac:dyDescent="0.3">
      <c r="A14441" s="2380">
        <v>0.02</v>
      </c>
      <c r="B14441" s="1921" t="s">
        <v>7004</v>
      </c>
      <c r="C14441" s="2108">
        <v>71.013999999999982</v>
      </c>
      <c r="D14441" s="2108">
        <v>71.63</v>
      </c>
      <c r="E14441" s="3253">
        <v>8.6743459036249249E-3</v>
      </c>
      <c r="F14441" s="3282">
        <v>1.7348691807249849E-4</v>
      </c>
      <c r="G14441" s="3268">
        <v>60.6</v>
      </c>
      <c r="H14441" t="s">
        <v>9170</v>
      </c>
      <c r="I14441" s="453">
        <v>26</v>
      </c>
      <c r="J14441" s="79">
        <v>1.7348691807249849E-4</v>
      </c>
      <c r="K14441"/>
      <c r="L14441" s="3231" t="s">
        <v>10548</v>
      </c>
      <c r="M14441" s="3231" t="s">
        <v>8166</v>
      </c>
      <c r="N14441" s="417">
        <v>43.04</v>
      </c>
      <c r="O14441" s="417">
        <v>3.3333300000000001</v>
      </c>
      <c r="P14441" s="3381">
        <v>7.7447258399999996E-2</v>
      </c>
      <c r="Q14441" s="3231">
        <v>36.74</v>
      </c>
      <c r="R14441" s="3231">
        <v>36.700000000000003</v>
      </c>
      <c r="S14441" s="3231">
        <v>38.909999999999997</v>
      </c>
      <c r="T14441" s="3231"/>
      <c r="U14441" s="3231">
        <v>40.869999999999997</v>
      </c>
      <c r="V14441" s="3231">
        <v>36.880000000000003</v>
      </c>
      <c r="W14441" s="3231">
        <v>26.62</v>
      </c>
      <c r="X14441" s="3231">
        <v>30.24</v>
      </c>
      <c r="Y14441" s="3231">
        <v>32.119999999999997</v>
      </c>
      <c r="Z14441" s="3231">
        <v>30.62</v>
      </c>
      <c r="AA14441" s="3231">
        <v>30.67</v>
      </c>
      <c r="AB14441" s="3231"/>
      <c r="AC14441" s="3231">
        <v>33.729999999999997</v>
      </c>
      <c r="AD14441" s="3231">
        <v>33.79</v>
      </c>
      <c r="AE14441" s="3231">
        <v>32.4</v>
      </c>
      <c r="AF14441" s="3231">
        <v>36.229999999999997</v>
      </c>
      <c r="AG14441" s="3231">
        <v>34.57</v>
      </c>
      <c r="AH14441" s="3231"/>
      <c r="AI14441" s="3231">
        <v>34.68</v>
      </c>
      <c r="AJ14441" s="3231">
        <v>36.869999999999997</v>
      </c>
      <c r="AK14441" s="3231">
        <v>38.47</v>
      </c>
      <c r="AL14441" s="3236"/>
    </row>
    <row r="14442" spans="1:38" s="370" customFormat="1" ht="12.75" hidden="1" customHeight="1" outlineLevel="1" x14ac:dyDescent="0.3">
      <c r="A14442" s="2380">
        <v>0.02</v>
      </c>
      <c r="B14442" s="1921" t="s">
        <v>7005</v>
      </c>
      <c r="C14442" s="2108">
        <v>625</v>
      </c>
      <c r="D14442" s="2108">
        <v>423.2</v>
      </c>
      <c r="E14442" s="3253">
        <v>-0.32288000000000006</v>
      </c>
      <c r="F14442" s="3282">
        <v>-6.4576000000000008E-3</v>
      </c>
      <c r="G14442" s="3268" t="e">
        <v>#N/A</v>
      </c>
      <c r="H14442" t="s">
        <v>4329</v>
      </c>
      <c r="I14442" s="453">
        <v>44</v>
      </c>
      <c r="J14442" s="79" t="s">
        <v>5590</v>
      </c>
      <c r="K14442"/>
      <c r="L14442" s="3231" t="s">
        <v>6090</v>
      </c>
      <c r="M14442" s="3231" t="s">
        <v>3559</v>
      </c>
      <c r="N14442" s="417">
        <v>16.393999999999998</v>
      </c>
      <c r="O14442" s="417">
        <v>3.3333300000000001</v>
      </c>
      <c r="P14442" s="3381">
        <v>0.2033262169</v>
      </c>
      <c r="Q14442" s="3231">
        <v>12.835000000000001</v>
      </c>
      <c r="R14442" s="3231">
        <v>13</v>
      </c>
      <c r="S14442" s="3231"/>
      <c r="T14442" s="3231">
        <v>14.385</v>
      </c>
      <c r="U14442" s="3231">
        <v>15.085000000000001</v>
      </c>
      <c r="V14442" s="3231">
        <v>15.29</v>
      </c>
      <c r="W14442" s="3231">
        <v>13.05</v>
      </c>
      <c r="X14442" s="3231">
        <v>12.5</v>
      </c>
      <c r="Y14442" s="3231">
        <v>12.414999999999999</v>
      </c>
      <c r="Z14442" s="3231">
        <v>13.645</v>
      </c>
      <c r="AA14442" s="3231">
        <v>13.01</v>
      </c>
      <c r="AB14442" s="3231">
        <v>12.59</v>
      </c>
      <c r="AC14442" s="3231"/>
      <c r="AD14442" s="3231">
        <v>12.08</v>
      </c>
      <c r="AE14442" s="3231">
        <v>12.55</v>
      </c>
      <c r="AF14442" s="3231">
        <v>13.41</v>
      </c>
      <c r="AG14442" s="3231"/>
      <c r="AH14442" s="3231">
        <v>15</v>
      </c>
      <c r="AI14442" s="3231">
        <v>14.84</v>
      </c>
      <c r="AJ14442" s="3231">
        <v>13.244999999999999</v>
      </c>
      <c r="AK14442" s="3231">
        <v>14.55</v>
      </c>
      <c r="AL14442" s="3236"/>
    </row>
    <row r="14443" spans="1:38" s="370" customFormat="1" ht="12.75" hidden="1" customHeight="1" outlineLevel="1" x14ac:dyDescent="0.3">
      <c r="A14443" s="2380">
        <v>0.02</v>
      </c>
      <c r="B14443" s="1921" t="s">
        <v>6247</v>
      </c>
      <c r="C14443" s="2108">
        <v>32.67</v>
      </c>
      <c r="D14443" s="2108">
        <v>64</v>
      </c>
      <c r="E14443" s="3253">
        <v>0.95898377716559535</v>
      </c>
      <c r="F14443" s="3282">
        <v>1.9179675543311906E-2</v>
      </c>
      <c r="G14443" s="3268" t="e">
        <v>#N/A</v>
      </c>
      <c r="H14443" t="s">
        <v>6731</v>
      </c>
      <c r="I14443" s="453">
        <v>3</v>
      </c>
      <c r="J14443" s="79" t="s">
        <v>5590</v>
      </c>
      <c r="K14443"/>
      <c r="L14443" s="417" t="s">
        <v>8920</v>
      </c>
      <c r="M14443" s="417" t="s">
        <v>8893</v>
      </c>
      <c r="N14443" s="3231">
        <v>81.84</v>
      </c>
      <c r="O14443" s="3231">
        <v>3.3333300000000001</v>
      </c>
      <c r="P14443" s="3381">
        <v>4.07298387E-2</v>
      </c>
      <c r="Q14443" s="417">
        <v>103.3</v>
      </c>
      <c r="R14443" s="417">
        <v>108.3</v>
      </c>
      <c r="S14443" s="417">
        <v>108.7</v>
      </c>
      <c r="T14443" s="417"/>
      <c r="U14443" s="417">
        <v>109</v>
      </c>
      <c r="V14443" s="417">
        <v>91.64</v>
      </c>
      <c r="W14443" s="417">
        <v>74.56</v>
      </c>
      <c r="X14443" s="417">
        <v>69.66</v>
      </c>
      <c r="Y14443" s="417">
        <v>65.12</v>
      </c>
      <c r="Z14443" s="417">
        <v>73.06</v>
      </c>
      <c r="AA14443" s="417">
        <v>71.760000000000005</v>
      </c>
      <c r="AB14443" s="417"/>
      <c r="AC14443" s="417">
        <v>72.64</v>
      </c>
      <c r="AD14443" s="417">
        <v>68.28</v>
      </c>
      <c r="AE14443" s="417">
        <v>65.739999999999995</v>
      </c>
      <c r="AF14443" s="417">
        <v>83.02</v>
      </c>
      <c r="AG14443" s="417">
        <v>83.34</v>
      </c>
      <c r="AH14443" s="417"/>
      <c r="AI14443" s="417">
        <v>78.66</v>
      </c>
      <c r="AJ14443" s="417">
        <v>85.44</v>
      </c>
      <c r="AK14443" s="417">
        <v>92.96</v>
      </c>
      <c r="AL14443" s="3236"/>
    </row>
    <row r="14444" spans="1:38" s="370" customFormat="1" ht="12.75" hidden="1" customHeight="1" outlineLevel="1" x14ac:dyDescent="0.3">
      <c r="A14444" s="2380">
        <v>0.02</v>
      </c>
      <c r="B14444" s="1921" t="s">
        <v>6902</v>
      </c>
      <c r="C14444" s="2108">
        <v>266.02</v>
      </c>
      <c r="D14444" s="2108">
        <v>279.10000000000002</v>
      </c>
      <c r="E14444" s="3253">
        <v>4.9169235395835065E-2</v>
      </c>
      <c r="F14444" s="3282">
        <v>9.833847079167013E-4</v>
      </c>
      <c r="G14444" s="3268">
        <v>244</v>
      </c>
      <c r="H14444" t="s">
        <v>6899</v>
      </c>
      <c r="I14444" s="453">
        <v>24</v>
      </c>
      <c r="J14444" s="79">
        <v>9.833847079167013E-4</v>
      </c>
      <c r="K14444"/>
      <c r="L14444" s="3231" t="s">
        <v>6066</v>
      </c>
      <c r="M14444" s="3231" t="s">
        <v>8891</v>
      </c>
      <c r="N14444" s="417">
        <v>550.20000000000005</v>
      </c>
      <c r="O14444" s="417">
        <v>3.3333300000000001</v>
      </c>
      <c r="P14444" s="3381">
        <v>6.0583968999999996E-3</v>
      </c>
      <c r="Q14444" s="3231">
        <v>504</v>
      </c>
      <c r="R14444" s="3231">
        <v>517.6</v>
      </c>
      <c r="S14444" s="3231">
        <v>512.6</v>
      </c>
      <c r="T14444" s="3231"/>
      <c r="U14444" s="3231">
        <v>529.6</v>
      </c>
      <c r="V14444" s="3231">
        <v>513.6</v>
      </c>
      <c r="W14444" s="3231">
        <v>520.20000000000005</v>
      </c>
      <c r="X14444" s="3231">
        <v>501.8</v>
      </c>
      <c r="Y14444" s="3231">
        <v>499.8</v>
      </c>
      <c r="Z14444" s="3231">
        <v>495.9</v>
      </c>
      <c r="AA14444" s="3231">
        <v>485.8</v>
      </c>
      <c r="AB14444" s="3231"/>
      <c r="AC14444" s="3231">
        <v>500</v>
      </c>
      <c r="AD14444" s="3231">
        <v>488.6</v>
      </c>
      <c r="AE14444" s="3231">
        <v>466.3</v>
      </c>
      <c r="AF14444" s="3231">
        <v>480</v>
      </c>
      <c r="AG14444" s="3231">
        <v>477.1</v>
      </c>
      <c r="AH14444" s="3231"/>
      <c r="AI14444" s="3231">
        <v>485.4</v>
      </c>
      <c r="AJ14444" s="3231">
        <v>456.5</v>
      </c>
      <c r="AK14444" s="3231">
        <v>507</v>
      </c>
      <c r="AL14444" s="3236"/>
    </row>
    <row r="14445" spans="1:38" s="370" customFormat="1" ht="12.75" hidden="1" customHeight="1" outlineLevel="1" x14ac:dyDescent="0.3">
      <c r="A14445" s="2380">
        <v>0.02</v>
      </c>
      <c r="B14445" s="1921" t="s">
        <v>816</v>
      </c>
      <c r="C14445" s="2108">
        <v>97.749999999999986</v>
      </c>
      <c r="D14445" s="2108">
        <v>224.14</v>
      </c>
      <c r="E14445" s="3253">
        <v>1.2929923273657291</v>
      </c>
      <c r="F14445" s="3282">
        <v>2.5859846547314581E-2</v>
      </c>
      <c r="G14445" s="3268" t="e">
        <v>#N/A</v>
      </c>
      <c r="H14445" t="s">
        <v>817</v>
      </c>
      <c r="I14445" s="453">
        <v>2</v>
      </c>
      <c r="J14445" s="79" t="s">
        <v>5590</v>
      </c>
      <c r="K14445"/>
      <c r="L14445" s="3231" t="s">
        <v>10301</v>
      </c>
      <c r="M14445" s="3231" t="s">
        <v>10300</v>
      </c>
      <c r="N14445" s="417">
        <v>396.81</v>
      </c>
      <c r="O14445" s="417">
        <v>3.3333300000000001</v>
      </c>
      <c r="P14445" s="3381">
        <v>8.4003175000000006E-3</v>
      </c>
      <c r="Q14445" s="3231">
        <v>423.6533</v>
      </c>
      <c r="R14445" s="3231">
        <v>423.495</v>
      </c>
      <c r="S14445" s="3231"/>
      <c r="T14445" s="3231">
        <v>423.32049999999998</v>
      </c>
      <c r="U14445" s="3231">
        <v>423.1515</v>
      </c>
      <c r="V14445" s="3231">
        <v>422.99889999999999</v>
      </c>
      <c r="W14445" s="3231">
        <v>422.8245</v>
      </c>
      <c r="X14445" s="3231">
        <v>422.66109999999998</v>
      </c>
      <c r="Y14445" s="3231">
        <v>422.50330000000002</v>
      </c>
      <c r="Z14445" s="3231">
        <v>422.32909999999998</v>
      </c>
      <c r="AA14445" s="3231">
        <v>422.16050000000001</v>
      </c>
      <c r="AB14445" s="3231"/>
      <c r="AC14445" s="3231">
        <v>421.99189999999999</v>
      </c>
      <c r="AD14445" s="3231">
        <v>421.82889999999998</v>
      </c>
      <c r="AE14445" s="3231">
        <v>421.66590000000002</v>
      </c>
      <c r="AF14445" s="3231">
        <v>421.4975</v>
      </c>
      <c r="AG14445" s="3231"/>
      <c r="AH14445" s="3231">
        <v>421.32920000000001</v>
      </c>
      <c r="AI14445" s="3231">
        <v>421.17180000000002</v>
      </c>
      <c r="AJ14445" s="3231">
        <v>421.01990000000001</v>
      </c>
      <c r="AK14445" s="3231">
        <v>420.84100000000001</v>
      </c>
      <c r="AL14445" s="3236"/>
    </row>
    <row r="14446" spans="1:38" s="370" customFormat="1" ht="12.75" hidden="1" customHeight="1" outlineLevel="1" x14ac:dyDescent="0.3">
      <c r="A14446" s="2380">
        <v>0.02</v>
      </c>
      <c r="B14446" s="1921" t="s">
        <v>3528</v>
      </c>
      <c r="C14446" s="2108">
        <v>2334.6</v>
      </c>
      <c r="D14446" s="2108">
        <v>1599</v>
      </c>
      <c r="E14446" s="3253">
        <v>-0.31508609611924954</v>
      </c>
      <c r="F14446" s="3282">
        <v>-6.301721922384991E-3</v>
      </c>
      <c r="G14446" s="3268" t="e">
        <v>#N/A</v>
      </c>
      <c r="H14446" t="s">
        <v>3529</v>
      </c>
      <c r="I14446" s="453">
        <v>43</v>
      </c>
      <c r="J14446" s="79" t="s">
        <v>5590</v>
      </c>
      <c r="K14446"/>
      <c r="L14446" s="3231" t="s">
        <v>10549</v>
      </c>
      <c r="M14446" s="3231" t="s">
        <v>7021</v>
      </c>
      <c r="N14446" s="417">
        <v>41.821999999999996</v>
      </c>
      <c r="O14446" s="417">
        <v>3.3333300000000001</v>
      </c>
      <c r="P14446" s="3381">
        <v>7.9702787999999997E-2</v>
      </c>
      <c r="Q14446" s="3231">
        <v>46.85</v>
      </c>
      <c r="R14446" s="3231">
        <v>50.15</v>
      </c>
      <c r="S14446" s="3231"/>
      <c r="T14446" s="3231">
        <v>50.28</v>
      </c>
      <c r="U14446" s="3231">
        <v>53.05</v>
      </c>
      <c r="V14446" s="3231">
        <v>48.44</v>
      </c>
      <c r="W14446" s="3231"/>
      <c r="X14446" s="3231"/>
      <c r="Y14446" s="3231"/>
      <c r="Z14446" s="3231"/>
      <c r="AA14446" s="3231"/>
      <c r="AB14446" s="3231"/>
      <c r="AC14446" s="3231"/>
      <c r="AD14446" s="3231"/>
      <c r="AE14446" s="3231"/>
      <c r="AF14446" s="3231"/>
      <c r="AG14446" s="3231"/>
      <c r="AH14446" s="3231"/>
      <c r="AI14446" s="3231"/>
      <c r="AJ14446" s="3231"/>
      <c r="AK14446" s="3231"/>
      <c r="AL14446" s="3236"/>
    </row>
    <row r="14447" spans="1:38" s="370" customFormat="1" ht="12.75" hidden="1" customHeight="1" outlineLevel="1" x14ac:dyDescent="0.3">
      <c r="A14447" s="2380">
        <v>0.02</v>
      </c>
      <c r="B14447" s="1921" t="s">
        <v>2786</v>
      </c>
      <c r="C14447" s="2108">
        <v>896.83923115775372</v>
      </c>
      <c r="D14447" s="2108">
        <v>864</v>
      </c>
      <c r="E14447" s="3253">
        <v>-3.6616630960000118E-2</v>
      </c>
      <c r="F14447" s="3282">
        <v>-7.323326192000024E-4</v>
      </c>
      <c r="G14447" s="3268">
        <v>850</v>
      </c>
      <c r="H14447" t="s">
        <v>4195</v>
      </c>
      <c r="I14447" s="453">
        <v>28</v>
      </c>
      <c r="J14447" s="79">
        <v>-7.323326192000024E-4</v>
      </c>
      <c r="K14447"/>
      <c r="L14447" s="3231" t="s">
        <v>10549</v>
      </c>
      <c r="M14447" s="3231" t="s">
        <v>7021</v>
      </c>
      <c r="N14447" s="3231"/>
      <c r="O14447" s="3231"/>
      <c r="P14447" s="3381">
        <v>0.15940557599999999</v>
      </c>
      <c r="Q14447" s="3231"/>
      <c r="R14447" s="3231"/>
      <c r="S14447" s="3231"/>
      <c r="T14447" s="3231"/>
      <c r="U14447" s="3231"/>
      <c r="V14447" s="3231"/>
      <c r="W14447" s="3231">
        <v>22.25</v>
      </c>
      <c r="X14447" s="3231">
        <v>22.75</v>
      </c>
      <c r="Y14447" s="3231">
        <v>23.86</v>
      </c>
      <c r="Z14447" s="3231">
        <v>22.77</v>
      </c>
      <c r="AA14447" s="3231">
        <v>23.23</v>
      </c>
      <c r="AB14447" s="3231"/>
      <c r="AC14447" s="3231">
        <v>24.02</v>
      </c>
      <c r="AD14447" s="3231">
        <v>23.43</v>
      </c>
      <c r="AE14447" s="3231">
        <v>22.78</v>
      </c>
      <c r="AF14447" s="3231">
        <v>25.05</v>
      </c>
      <c r="AG14447" s="3231"/>
      <c r="AH14447" s="3231">
        <v>25.21</v>
      </c>
      <c r="AI14447" s="3231">
        <v>26.39</v>
      </c>
      <c r="AJ14447" s="3231">
        <v>25.5</v>
      </c>
      <c r="AK14447" s="3231">
        <v>25.03</v>
      </c>
      <c r="AL14447" s="3236"/>
    </row>
    <row r="14448" spans="1:38" s="370" customFormat="1" ht="12.75" hidden="1" customHeight="1" outlineLevel="1" x14ac:dyDescent="0.3">
      <c r="A14448" s="2380">
        <v>0.02</v>
      </c>
      <c r="B14448" s="1921" t="s">
        <v>7007</v>
      </c>
      <c r="C14448" s="2108">
        <v>1312.2</v>
      </c>
      <c r="D14448" s="2108">
        <v>771.6</v>
      </c>
      <c r="E14448" s="3253">
        <v>-0.41197988111568362</v>
      </c>
      <c r="F14448" s="3282">
        <v>-8.2395976223136724E-3</v>
      </c>
      <c r="G14448" s="3268" t="e">
        <v>#N/A</v>
      </c>
      <c r="H14448" t="s">
        <v>3959</v>
      </c>
      <c r="I14448" s="453">
        <v>47</v>
      </c>
      <c r="J14448" s="79" t="s">
        <v>5590</v>
      </c>
      <c r="K14448"/>
      <c r="L14448" s="417" t="s">
        <v>6337</v>
      </c>
      <c r="M14448" s="417" t="s">
        <v>7752</v>
      </c>
      <c r="N14448" s="417">
        <v>55.48</v>
      </c>
      <c r="O14448" s="417">
        <v>3.3333300000000001</v>
      </c>
      <c r="P14448" s="3381">
        <v>6.0081651E-2</v>
      </c>
      <c r="Q14448" s="3231">
        <v>75.209999999999994</v>
      </c>
      <c r="R14448" s="3231">
        <v>76.59</v>
      </c>
      <c r="S14448" s="3231"/>
      <c r="T14448" s="3231">
        <v>72.83</v>
      </c>
      <c r="U14448" s="3231">
        <v>73.14</v>
      </c>
      <c r="V14448" s="3231">
        <v>69.040000000000006</v>
      </c>
      <c r="W14448" s="3231">
        <v>59.83</v>
      </c>
      <c r="X14448" s="3231">
        <v>58.16</v>
      </c>
      <c r="Y14448" s="3231">
        <v>58.98</v>
      </c>
      <c r="Z14448" s="3231">
        <v>60.59</v>
      </c>
      <c r="AA14448" s="3231">
        <v>59.27</v>
      </c>
      <c r="AB14448" s="3231"/>
      <c r="AC14448" s="3231">
        <v>65.069999999999993</v>
      </c>
      <c r="AD14448" s="3231">
        <v>61.65</v>
      </c>
      <c r="AE14448" s="3231">
        <v>58.78</v>
      </c>
      <c r="AF14448" s="3231">
        <v>69.28</v>
      </c>
      <c r="AG14448" s="3231"/>
      <c r="AH14448" s="3231">
        <v>71.92</v>
      </c>
      <c r="AI14448" s="3231">
        <v>72.459999999999994</v>
      </c>
      <c r="AJ14448" s="3231">
        <v>77.14</v>
      </c>
      <c r="AK14448" s="3231">
        <v>81.96</v>
      </c>
      <c r="AL14448" s="3236"/>
    </row>
    <row r="14449" spans="1:38" s="370" customFormat="1" ht="12.75" hidden="1" customHeight="1" outlineLevel="1" x14ac:dyDescent="0.3">
      <c r="A14449" s="2380">
        <v>0.02</v>
      </c>
      <c r="B14449" s="1921" t="s">
        <v>7006</v>
      </c>
      <c r="C14449" s="2108">
        <v>84.954000000000008</v>
      </c>
      <c r="D14449" s="2108">
        <v>88.74</v>
      </c>
      <c r="E14449" s="3253">
        <v>4.4565294159191859E-2</v>
      </c>
      <c r="F14449" s="3282">
        <v>8.9130588318383716E-4</v>
      </c>
      <c r="G14449" s="3268">
        <v>79.650000000000006</v>
      </c>
      <c r="H14449" t="s">
        <v>3533</v>
      </c>
      <c r="I14449" s="453">
        <v>25</v>
      </c>
      <c r="J14449" s="79">
        <v>8.9130588318383716E-4</v>
      </c>
      <c r="K14449"/>
      <c r="L14449" s="3231" t="s">
        <v>6069</v>
      </c>
      <c r="M14449" s="3231" t="s">
        <v>2810</v>
      </c>
      <c r="N14449" s="417">
        <v>38.798000000000002</v>
      </c>
      <c r="O14449" s="417">
        <v>3.3333300000000001</v>
      </c>
      <c r="P14449" s="3381">
        <v>8.5914995600000002E-2</v>
      </c>
      <c r="Q14449" s="3231">
        <v>52.95</v>
      </c>
      <c r="R14449" s="3231">
        <v>53.8</v>
      </c>
      <c r="S14449" s="3231"/>
      <c r="T14449" s="3231">
        <v>51.23</v>
      </c>
      <c r="U14449" s="3231">
        <v>52.7</v>
      </c>
      <c r="V14449" s="3231">
        <v>47.615000000000002</v>
      </c>
      <c r="W14449" s="3231">
        <v>44.805</v>
      </c>
      <c r="X14449" s="3231">
        <v>45.58</v>
      </c>
      <c r="Y14449" s="3231">
        <v>46.49</v>
      </c>
      <c r="Z14449" s="3231">
        <v>47.25</v>
      </c>
      <c r="AA14449" s="3231">
        <v>50.08</v>
      </c>
      <c r="AB14449" s="3231"/>
      <c r="AC14449" s="3231">
        <v>48.51</v>
      </c>
      <c r="AD14449" s="3231">
        <v>51.5</v>
      </c>
      <c r="AE14449" s="3231">
        <v>48.55</v>
      </c>
      <c r="AF14449" s="3231">
        <v>50.82</v>
      </c>
      <c r="AG14449" s="3231"/>
      <c r="AH14449" s="3231">
        <v>49.564999999999998</v>
      </c>
      <c r="AI14449" s="3231">
        <v>47.9</v>
      </c>
      <c r="AJ14449" s="3231">
        <v>43.055</v>
      </c>
      <c r="AK14449" s="3231">
        <v>47.58</v>
      </c>
      <c r="AL14449" s="3236"/>
    </row>
    <row r="14450" spans="1:38" s="370" customFormat="1" ht="12.75" hidden="1" customHeight="1" outlineLevel="1" x14ac:dyDescent="0.3">
      <c r="A14450" s="2380">
        <v>0.02</v>
      </c>
      <c r="B14450" s="1921" t="s">
        <v>9514</v>
      </c>
      <c r="C14450" s="2108">
        <v>97.06999981231516</v>
      </c>
      <c r="D14450" s="2108">
        <v>67.7</v>
      </c>
      <c r="E14450" s="3253">
        <v>-0.30256515781500004</v>
      </c>
      <c r="F14450" s="3282">
        <v>-6.0513031563000008E-3</v>
      </c>
      <c r="G14450" s="3268" t="e">
        <v>#N/A</v>
      </c>
      <c r="H14450" t="s">
        <v>9515</v>
      </c>
      <c r="I14450" s="453">
        <v>42</v>
      </c>
      <c r="J14450" s="79" t="s">
        <v>5590</v>
      </c>
      <c r="K14450"/>
      <c r="L14450" s="3231" t="s">
        <v>10550</v>
      </c>
      <c r="M14450" s="3231" t="s">
        <v>1713</v>
      </c>
      <c r="N14450" s="417">
        <v>9.918000000000001</v>
      </c>
      <c r="O14450" s="417">
        <v>3.3333300000000001</v>
      </c>
      <c r="P14450" s="3381">
        <v>0.3360889292</v>
      </c>
      <c r="Q14450" s="3231">
        <v>8.702</v>
      </c>
      <c r="R14450" s="3231">
        <v>8.5340000000000007</v>
      </c>
      <c r="S14450" s="3231"/>
      <c r="T14450" s="3231">
        <v>9.4339999999999993</v>
      </c>
      <c r="U14450" s="3231">
        <v>10.135</v>
      </c>
      <c r="V14450" s="3231">
        <v>9.4420000000000002</v>
      </c>
      <c r="W14450" s="3231">
        <v>9.0280000000000005</v>
      </c>
      <c r="X14450" s="3231">
        <v>9.0220000000000002</v>
      </c>
      <c r="Y14450" s="3231">
        <v>9.1760000000000002</v>
      </c>
      <c r="Z14450" s="3231">
        <v>9.1020000000000003</v>
      </c>
      <c r="AA14450" s="3231">
        <v>9</v>
      </c>
      <c r="AB14450" s="3231">
        <v>8.3119999999999994</v>
      </c>
      <c r="AC14450" s="3231"/>
      <c r="AD14450" s="3231">
        <v>8.5579999999999998</v>
      </c>
      <c r="AE14450" s="3231">
        <v>8.6340000000000003</v>
      </c>
      <c r="AF14450" s="3231">
        <v>9.0039999999999996</v>
      </c>
      <c r="AG14450" s="3231"/>
      <c r="AH14450" s="3231">
        <v>8.9499999999999993</v>
      </c>
      <c r="AI14450" s="3231">
        <v>9.2219999999999995</v>
      </c>
      <c r="AJ14450" s="3231">
        <v>8.5920000000000005</v>
      </c>
      <c r="AK14450" s="3231">
        <v>9.2579999999999991</v>
      </c>
      <c r="AL14450" s="3236"/>
    </row>
    <row r="14451" spans="1:38" s="370" customFormat="1" ht="12.75" hidden="1" customHeight="1" outlineLevel="1" x14ac:dyDescent="0.3">
      <c r="A14451" s="2380">
        <v>0.02</v>
      </c>
      <c r="B14451" s="1921" t="s">
        <v>5775</v>
      </c>
      <c r="C14451" s="2108">
        <v>31.208500009479579</v>
      </c>
      <c r="D14451" s="2108">
        <v>28.84</v>
      </c>
      <c r="E14451" s="3253">
        <v>-7.5892785899999926E-2</v>
      </c>
      <c r="F14451" s="3282">
        <v>-1.5178557179999985E-3</v>
      </c>
      <c r="G14451" s="3268">
        <v>27.67</v>
      </c>
      <c r="H14451" t="s">
        <v>2770</v>
      </c>
      <c r="I14451" s="453">
        <v>30</v>
      </c>
      <c r="J14451" s="79">
        <v>-1.5178557179999985E-3</v>
      </c>
      <c r="K14451"/>
      <c r="L14451" s="3231" t="s">
        <v>6071</v>
      </c>
      <c r="M14451" s="3231" t="s">
        <v>3351</v>
      </c>
      <c r="N14451" s="417">
        <v>49.851999999999997</v>
      </c>
      <c r="O14451" s="417">
        <v>3.3333300000000001</v>
      </c>
      <c r="P14451" s="3381">
        <v>6.6864518999999997E-2</v>
      </c>
      <c r="Q14451" s="3231">
        <v>60.47</v>
      </c>
      <c r="R14451" s="3231">
        <v>60.24</v>
      </c>
      <c r="S14451" s="3231"/>
      <c r="T14451" s="3231">
        <v>61.4</v>
      </c>
      <c r="U14451" s="3231">
        <v>59.44</v>
      </c>
      <c r="V14451" s="3231">
        <v>54.16</v>
      </c>
      <c r="W14451" s="3231">
        <v>53.73</v>
      </c>
      <c r="X14451" s="3231">
        <v>57.45</v>
      </c>
      <c r="Y14451" s="3231">
        <v>57.38</v>
      </c>
      <c r="Z14451" s="3231">
        <v>55.13</v>
      </c>
      <c r="AA14451" s="3231">
        <v>57.48</v>
      </c>
      <c r="AB14451" s="3231"/>
      <c r="AC14451" s="3231">
        <v>59.27</v>
      </c>
      <c r="AD14451" s="3231">
        <v>59.49</v>
      </c>
      <c r="AE14451" s="3231">
        <v>56.99</v>
      </c>
      <c r="AF14451" s="3231">
        <v>60.41</v>
      </c>
      <c r="AG14451" s="3231"/>
      <c r="AH14451" s="3231">
        <v>58.75</v>
      </c>
      <c r="AI14451" s="3231">
        <v>54.75</v>
      </c>
      <c r="AJ14451" s="3231">
        <v>55.3</v>
      </c>
      <c r="AK14451" s="3231">
        <v>58.15</v>
      </c>
      <c r="AL14451" s="3236"/>
    </row>
    <row r="14452" spans="1:38" s="370" customFormat="1" ht="12.75" hidden="1" customHeight="1" outlineLevel="1" x14ac:dyDescent="0.3">
      <c r="A14452" s="2380">
        <v>0.02</v>
      </c>
      <c r="B14452" s="1921" t="s">
        <v>1323</v>
      </c>
      <c r="C14452" s="2108">
        <v>41.992000000000004</v>
      </c>
      <c r="D14452" s="2108">
        <v>60.21</v>
      </c>
      <c r="E14452" s="3253">
        <v>0.43384454181748899</v>
      </c>
      <c r="F14452" s="3282">
        <v>8.6768908363497807E-3</v>
      </c>
      <c r="G14452" s="3268" t="e">
        <v>#N/A</v>
      </c>
      <c r="H14452" t="s">
        <v>3920</v>
      </c>
      <c r="I14452" s="453">
        <v>11</v>
      </c>
      <c r="J14452" s="79">
        <v>8.6768908363497807E-3</v>
      </c>
      <c r="K14452"/>
      <c r="L14452" s="3231" t="s">
        <v>10551</v>
      </c>
      <c r="M14452" s="3231" t="s">
        <v>9170</v>
      </c>
      <c r="N14452" s="417">
        <v>71.013999999999982</v>
      </c>
      <c r="O14452" s="417">
        <v>3.3333300000000001</v>
      </c>
      <c r="P14452" s="3381">
        <v>4.6939054299999998E-2</v>
      </c>
      <c r="Q14452" s="3231">
        <v>90.69</v>
      </c>
      <c r="R14452" s="3231">
        <v>84.57</v>
      </c>
      <c r="S14452" s="3231"/>
      <c r="T14452" s="3231">
        <v>81.78</v>
      </c>
      <c r="U14452" s="3231">
        <v>84.91</v>
      </c>
      <c r="V14452" s="3231">
        <v>74.819999999999993</v>
      </c>
      <c r="W14452" s="3231">
        <v>45.78</v>
      </c>
      <c r="X14452" s="3231">
        <v>51.23</v>
      </c>
      <c r="Y14452" s="3231">
        <v>50.67</v>
      </c>
      <c r="Z14452" s="3231">
        <v>51.75</v>
      </c>
      <c r="AA14452" s="3231">
        <v>53.56</v>
      </c>
      <c r="AB14452" s="3231"/>
      <c r="AC14452" s="3231">
        <v>57.52</v>
      </c>
      <c r="AD14452" s="3231">
        <v>55.09</v>
      </c>
      <c r="AE14452" s="3231">
        <v>53.77</v>
      </c>
      <c r="AF14452" s="3231">
        <v>62.98</v>
      </c>
      <c r="AG14452" s="3231"/>
      <c r="AH14452" s="3231">
        <v>64.62</v>
      </c>
      <c r="AI14452" s="3231">
        <v>60.6</v>
      </c>
      <c r="AJ14452" s="3231">
        <v>67.900000000000006</v>
      </c>
      <c r="AK14452" s="3231">
        <v>71.63</v>
      </c>
      <c r="AL14452" s="3236"/>
    </row>
    <row r="14453" spans="1:38" s="370" customFormat="1" ht="12.75" hidden="1" customHeight="1" outlineLevel="1" x14ac:dyDescent="0.3">
      <c r="A14453" s="2380">
        <v>0.02</v>
      </c>
      <c r="B14453" s="1921" t="s">
        <v>10303</v>
      </c>
      <c r="C14453" s="2108">
        <v>31.317519985886072</v>
      </c>
      <c r="D14453" s="2108">
        <v>84.74</v>
      </c>
      <c r="E14453" s="3253">
        <v>1.7058336687639999</v>
      </c>
      <c r="F14453" s="3282">
        <v>3.4116673375280002E-2</v>
      </c>
      <c r="G14453" s="3268" t="e">
        <v>#N/A</v>
      </c>
      <c r="H14453" t="s">
        <v>10302</v>
      </c>
      <c r="I14453" s="453">
        <v>1</v>
      </c>
      <c r="J14453" s="79" t="s">
        <v>5590</v>
      </c>
      <c r="K14453"/>
      <c r="L14453" s="3231" t="s">
        <v>6338</v>
      </c>
      <c r="M14453" s="3231" t="s">
        <v>8889</v>
      </c>
      <c r="N14453" s="417">
        <v>296.98</v>
      </c>
      <c r="O14453" s="417">
        <v>3.3333300000000001</v>
      </c>
      <c r="P14453" s="3381">
        <v>1.1224089200000001E-2</v>
      </c>
      <c r="Q14453" s="3232">
        <v>385.5</v>
      </c>
      <c r="R14453" s="3232">
        <v>392.3</v>
      </c>
      <c r="S14453" s="3232">
        <v>397.1</v>
      </c>
      <c r="T14453" s="3232"/>
      <c r="U14453" s="3232">
        <v>400.7</v>
      </c>
      <c r="V14453" s="3232">
        <v>370.9</v>
      </c>
      <c r="W14453" s="3232">
        <v>343.4</v>
      </c>
      <c r="X14453" s="3232">
        <v>307.3</v>
      </c>
      <c r="Y14453" s="3232">
        <v>309.5</v>
      </c>
      <c r="Z14453" s="3232">
        <v>334.2</v>
      </c>
      <c r="AA14453" s="3232">
        <v>336.2</v>
      </c>
      <c r="AB14453" s="3232"/>
      <c r="AC14453" s="3232">
        <v>334</v>
      </c>
      <c r="AD14453" s="3232">
        <v>320.7</v>
      </c>
      <c r="AE14453" s="3232">
        <v>304</v>
      </c>
      <c r="AF14453" s="3232">
        <v>368.9</v>
      </c>
      <c r="AG14453" s="3232">
        <v>373.5</v>
      </c>
      <c r="AH14453" s="3232"/>
      <c r="AI14453" s="3232">
        <v>356.2</v>
      </c>
      <c r="AJ14453" s="3232">
        <v>371.5</v>
      </c>
      <c r="AK14453" s="3232">
        <v>403.4</v>
      </c>
      <c r="AL14453" s="3236"/>
    </row>
    <row r="14454" spans="1:38" s="370" customFormat="1" ht="12.75" hidden="1" customHeight="1" outlineLevel="1" x14ac:dyDescent="0.3">
      <c r="A14454" s="2380"/>
      <c r="B14454" s="1921" t="s">
        <v>10555</v>
      </c>
      <c r="C14454" s="2108"/>
      <c r="D14454" s="2108"/>
      <c r="E14454" s="3253"/>
      <c r="F14454" s="3282"/>
      <c r="G14454" s="3268"/>
      <c r="H14454"/>
      <c r="I14454" s="453"/>
      <c r="J14454" s="79" t="s">
        <v>5590</v>
      </c>
      <c r="K14454"/>
      <c r="L14454" s="3233"/>
      <c r="M14454" s="3233"/>
      <c r="N14454" s="3228" t="s">
        <v>10552</v>
      </c>
      <c r="O14454" s="3228"/>
      <c r="P14454" s="3228"/>
      <c r="Q14454" s="3228">
        <v>110.3128</v>
      </c>
      <c r="R14454" s="3228">
        <v>112.6561</v>
      </c>
      <c r="S14454" s="3228"/>
      <c r="T14454" s="3234">
        <v>113.53869999999999</v>
      </c>
      <c r="U14454" s="3228">
        <v>115.7937</v>
      </c>
      <c r="V14454" s="3228">
        <v>106.02</v>
      </c>
      <c r="W14454" s="3228">
        <v>92.353099999999998</v>
      </c>
      <c r="X14454" s="3228">
        <v>94.073499999999996</v>
      </c>
      <c r="Y14454" s="3228">
        <v>94.651799999999994</v>
      </c>
      <c r="Z14454" s="3228">
        <v>96.203000000000003</v>
      </c>
      <c r="AA14454" s="3228">
        <v>94.7303</v>
      </c>
      <c r="AB14454" s="3228"/>
      <c r="AC14454" s="3234">
        <v>96.945700000000002</v>
      </c>
      <c r="AD14454" s="3228">
        <v>94.108199999999997</v>
      </c>
      <c r="AE14454" s="3228">
        <v>90.539400000000001</v>
      </c>
      <c r="AF14454" s="3228">
        <v>101.0776</v>
      </c>
      <c r="AG14454" s="3228"/>
      <c r="AH14454" s="3234">
        <v>102.16649999999998</v>
      </c>
      <c r="AI14454" s="3228">
        <v>99.661500000000004</v>
      </c>
      <c r="AJ14454" s="3228">
        <v>100.794</v>
      </c>
      <c r="AK14454" s="3228">
        <v>107.6772</v>
      </c>
      <c r="AL14454" s="3236"/>
    </row>
    <row r="14455" spans="1:38" s="370" customFormat="1" ht="12.75" hidden="1" customHeight="1" outlineLevel="1" x14ac:dyDescent="0.3">
      <c r="A14455" s="2380">
        <v>0.02</v>
      </c>
      <c r="B14455" s="1921" t="s">
        <v>2297</v>
      </c>
      <c r="C14455" s="2108">
        <v>43</v>
      </c>
      <c r="D14455" s="2108">
        <v>57.95</v>
      </c>
      <c r="E14455" s="3253">
        <v>0.3476744186046512</v>
      </c>
      <c r="F14455" s="3282">
        <v>6.9534883720930238E-3</v>
      </c>
      <c r="G14455" s="3268" t="e">
        <v>#N/A</v>
      </c>
      <c r="H14455" t="s">
        <v>2298</v>
      </c>
      <c r="I14455" s="453">
        <v>14</v>
      </c>
      <c r="J14455" s="79">
        <v>6.9534883720930238E-3</v>
      </c>
      <c r="K14455"/>
      <c r="L14455" s="2485"/>
      <c r="M14455" s="2485"/>
      <c r="N14455" s="3379"/>
      <c r="O14455" s="2485"/>
      <c r="P14455" s="2485"/>
      <c r="Q14455" s="2485"/>
      <c r="R14455" s="2485"/>
      <c r="S14455" s="2485"/>
      <c r="T14455" s="2485"/>
      <c r="U14455" s="2485"/>
      <c r="V14455" s="2485"/>
      <c r="W14455" s="2485"/>
      <c r="X14455" s="2485"/>
      <c r="Y14455" s="2485"/>
      <c r="Z14455" s="2485"/>
      <c r="AA14455" s="2485"/>
      <c r="AB14455" s="2485"/>
      <c r="AC14455" s="2485"/>
      <c r="AD14455" s="2485"/>
      <c r="AI14455" s="3380"/>
      <c r="AL14455" s="3236"/>
    </row>
    <row r="14456" spans="1:38" s="370" customFormat="1" ht="12.75" hidden="1" customHeight="1" outlineLevel="1" x14ac:dyDescent="0.3">
      <c r="A14456" s="2380">
        <v>0.02</v>
      </c>
      <c r="B14456" s="1921" t="s">
        <v>7008</v>
      </c>
      <c r="C14456" s="2519">
        <v>78.878</v>
      </c>
      <c r="D14456" s="2519">
        <v>115.87</v>
      </c>
      <c r="E14456" s="3253">
        <v>0.4689774081492939</v>
      </c>
      <c r="F14456" s="3282">
        <v>9.379548162985878E-3</v>
      </c>
      <c r="G14456" s="3268">
        <v>103.5</v>
      </c>
      <c r="H14456" t="s">
        <v>9049</v>
      </c>
      <c r="I14456" s="453">
        <v>8</v>
      </c>
      <c r="J14456" s="79" t="s">
        <v>5590</v>
      </c>
      <c r="K14456"/>
      <c r="L14456" s="2485"/>
      <c r="M14456" s="2485"/>
      <c r="N14456" s="3379"/>
      <c r="O14456" s="2485"/>
      <c r="P14456" s="2485"/>
      <c r="Q14456" s="2485"/>
      <c r="R14456" s="2485"/>
      <c r="S14456" s="2485"/>
      <c r="T14456" s="2485"/>
      <c r="U14456" s="2485"/>
      <c r="V14456" s="2485"/>
      <c r="W14456" s="2485"/>
      <c r="X14456" s="2485"/>
      <c r="Y14456" s="2485"/>
      <c r="Z14456" s="2485"/>
      <c r="AA14456" s="2485"/>
      <c r="AB14456" s="2485"/>
      <c r="AC14456" s="2485"/>
      <c r="AD14456" s="2485"/>
      <c r="AI14456" s="3380"/>
      <c r="AL14456" s="3236"/>
    </row>
    <row r="14457" spans="1:38" s="370" customFormat="1" ht="12.75" hidden="1" customHeight="1" outlineLevel="1" x14ac:dyDescent="0.3">
      <c r="A14457" s="2380">
        <v>0.02</v>
      </c>
      <c r="B14457" s="1921" t="s">
        <v>6270</v>
      </c>
      <c r="C14457" s="2108">
        <v>43.044100016986704</v>
      </c>
      <c r="D14457" s="2108">
        <v>38.47</v>
      </c>
      <c r="E14457" s="3253">
        <v>-0.10626543510449993</v>
      </c>
      <c r="F14457" s="3282">
        <v>-2.1253087020899988E-3</v>
      </c>
      <c r="G14457" s="3268">
        <v>34.68</v>
      </c>
      <c r="H14457" t="s">
        <v>8166</v>
      </c>
      <c r="I14457" s="453">
        <v>34</v>
      </c>
      <c r="J14457" s="79">
        <v>-2.1253087020899988E-3</v>
      </c>
      <c r="K14457"/>
      <c r="L14457" s="2485"/>
      <c r="M14457" s="2485"/>
      <c r="N14457" s="3379"/>
      <c r="O14457" s="2485"/>
      <c r="P14457" s="2485"/>
      <c r="Q14457" s="2485"/>
      <c r="R14457" s="2485"/>
      <c r="S14457" s="2485"/>
      <c r="T14457" s="2485"/>
      <c r="U14457" s="2485"/>
      <c r="V14457" s="2485"/>
      <c r="W14457" s="2485"/>
      <c r="X14457" s="2485"/>
      <c r="Y14457" s="2485"/>
      <c r="Z14457" s="2485"/>
      <c r="AA14457" s="2485"/>
      <c r="AB14457" s="2485"/>
      <c r="AC14457" s="2485"/>
      <c r="AD14457" s="2485"/>
      <c r="AI14457" s="3380"/>
      <c r="AL14457" s="3236"/>
    </row>
    <row r="14458" spans="1:38" s="370" customFormat="1" ht="12.75" hidden="1" customHeight="1" outlineLevel="1" x14ac:dyDescent="0.3">
      <c r="A14458" s="2380">
        <v>0.02</v>
      </c>
      <c r="B14458" s="1921" t="s">
        <v>3427</v>
      </c>
      <c r="C14458" s="2108">
        <v>43.554000000000002</v>
      </c>
      <c r="D14458" s="2108">
        <v>62.16</v>
      </c>
      <c r="E14458" s="3253">
        <v>0.42719382835101238</v>
      </c>
      <c r="F14458" s="3282">
        <v>8.5438765670202473E-3</v>
      </c>
      <c r="G14458" s="3268" t="e">
        <v>#N/A</v>
      </c>
      <c r="H14458" t="s">
        <v>2800</v>
      </c>
      <c r="I14458" s="453">
        <v>12</v>
      </c>
      <c r="J14458" s="79">
        <v>8.5438765670202473E-3</v>
      </c>
      <c r="K14458"/>
      <c r="L14458" s="2485"/>
      <c r="M14458" s="2485"/>
      <c r="N14458" s="3379"/>
      <c r="O14458" s="2485"/>
      <c r="P14458" s="2485"/>
      <c r="Q14458" s="2485"/>
      <c r="R14458" s="2485"/>
      <c r="S14458" s="2485"/>
      <c r="T14458" s="2485"/>
      <c r="U14458" s="2485"/>
      <c r="V14458" s="2485"/>
      <c r="W14458" s="2485"/>
      <c r="X14458" s="2485"/>
      <c r="Y14458" s="2485"/>
      <c r="Z14458" s="2485"/>
      <c r="AA14458" s="2485"/>
      <c r="AB14458" s="2485"/>
      <c r="AC14458" s="2485"/>
      <c r="AD14458" s="2485"/>
      <c r="AI14458" s="3380"/>
      <c r="AL14458" s="3236"/>
    </row>
    <row r="14459" spans="1:38" s="370" customFormat="1" ht="12.75" hidden="1" customHeight="1" outlineLevel="1" x14ac:dyDescent="0.3">
      <c r="A14459" s="2380">
        <v>0.02</v>
      </c>
      <c r="B14459" s="1921" t="s">
        <v>1857</v>
      </c>
      <c r="C14459" s="2108">
        <v>1639.4</v>
      </c>
      <c r="D14459" s="2108">
        <v>1455</v>
      </c>
      <c r="E14459" s="3253">
        <v>-0.11248017567402713</v>
      </c>
      <c r="F14459" s="3282">
        <v>-2.2496035134805426E-3</v>
      </c>
      <c r="G14459" s="3268">
        <v>1484</v>
      </c>
      <c r="H14459" t="s">
        <v>3559</v>
      </c>
      <c r="I14459" s="453">
        <v>36</v>
      </c>
      <c r="J14459" s="79">
        <v>-2.2496035134805426E-3</v>
      </c>
      <c r="K14459"/>
      <c r="L14459" s="2485"/>
      <c r="M14459" s="2485"/>
      <c r="N14459" s="3379"/>
      <c r="O14459" s="2485"/>
      <c r="P14459" s="2485"/>
      <c r="Q14459" s="2485"/>
      <c r="R14459" s="2485"/>
      <c r="S14459" s="2485"/>
      <c r="T14459" s="2485"/>
      <c r="U14459" s="2485"/>
      <c r="V14459" s="2485"/>
      <c r="W14459" s="2485"/>
      <c r="X14459" s="2485"/>
      <c r="Y14459" s="2485"/>
      <c r="Z14459" s="2485"/>
      <c r="AA14459" s="2485"/>
      <c r="AB14459" s="2485"/>
      <c r="AC14459" s="2485"/>
      <c r="AD14459" s="2485"/>
      <c r="AI14459" s="3380"/>
      <c r="AL14459" s="3236"/>
    </row>
    <row r="14460" spans="1:38" s="370" customFormat="1" ht="12.75" hidden="1" customHeight="1" outlineLevel="1" x14ac:dyDescent="0.3">
      <c r="A14460" s="2380">
        <v>0.02</v>
      </c>
      <c r="B14460" s="1921" t="s">
        <v>898</v>
      </c>
      <c r="C14460" s="2108">
        <v>40.798000000000002</v>
      </c>
      <c r="D14460" s="2108">
        <v>63.51</v>
      </c>
      <c r="E14460" s="3253">
        <v>0.55669395558605794</v>
      </c>
      <c r="F14460" s="3282">
        <v>1.1133879111721159E-2</v>
      </c>
      <c r="G14460" s="3268" t="e">
        <v>#N/A</v>
      </c>
      <c r="H14460" t="s">
        <v>899</v>
      </c>
      <c r="I14460" s="453">
        <v>5</v>
      </c>
      <c r="J14460" s="79" t="s">
        <v>5590</v>
      </c>
      <c r="K14460"/>
      <c r="L14460" s="2485"/>
      <c r="M14460" s="2485"/>
      <c r="N14460" s="3379"/>
      <c r="O14460" s="2485"/>
      <c r="P14460" s="2485"/>
      <c r="Q14460" s="2485"/>
      <c r="R14460" s="2485"/>
      <c r="S14460" s="2485"/>
      <c r="T14460" s="2485"/>
      <c r="U14460" s="2485"/>
      <c r="V14460" s="2485"/>
      <c r="W14460" s="2485"/>
      <c r="X14460" s="2485"/>
      <c r="Y14460" s="2485"/>
      <c r="Z14460" s="2485"/>
      <c r="AA14460" s="2485"/>
      <c r="AB14460" s="2485"/>
      <c r="AC14460" s="2485"/>
      <c r="AD14460" s="2485"/>
      <c r="AI14460" s="3380"/>
      <c r="AL14460" s="3236"/>
    </row>
    <row r="14461" spans="1:38" s="370" customFormat="1" ht="12.75" hidden="1" customHeight="1" outlineLevel="1" x14ac:dyDescent="0.3">
      <c r="A14461" s="2380">
        <v>0.02</v>
      </c>
      <c r="B14461" s="1921" t="s">
        <v>6527</v>
      </c>
      <c r="C14461" s="2108">
        <v>121.52609972598233</v>
      </c>
      <c r="D14461" s="2108">
        <v>94.86</v>
      </c>
      <c r="E14461" s="3253">
        <v>-0.21942693615699993</v>
      </c>
      <c r="F14461" s="3282">
        <v>-4.3885387231399984E-3</v>
      </c>
      <c r="G14461" s="3268" t="e">
        <v>#N/A</v>
      </c>
      <c r="H14461" t="s">
        <v>6528</v>
      </c>
      <c r="I14461" s="453">
        <v>39</v>
      </c>
      <c r="J14461" s="79">
        <v>-4.3885387231399984E-3</v>
      </c>
      <c r="K14461"/>
      <c r="L14461" s="2485"/>
      <c r="M14461" s="2485"/>
      <c r="N14461" s="3379"/>
      <c r="O14461" s="2485"/>
      <c r="P14461" s="2485"/>
      <c r="Q14461" s="2485"/>
      <c r="R14461" s="2485"/>
      <c r="S14461" s="2485"/>
      <c r="T14461" s="2485"/>
      <c r="U14461" s="2485"/>
      <c r="V14461" s="2485"/>
      <c r="W14461" s="2485"/>
      <c r="X14461" s="2485"/>
      <c r="Y14461" s="2485"/>
      <c r="Z14461" s="2485"/>
      <c r="AA14461" s="2485"/>
      <c r="AB14461" s="2485"/>
      <c r="AC14461" s="2485"/>
      <c r="AD14461" s="2485"/>
      <c r="AI14461" s="3380"/>
      <c r="AL14461" s="3236"/>
    </row>
    <row r="14462" spans="1:38" s="370" customFormat="1" ht="12.75" hidden="1" customHeight="1" outlineLevel="1" x14ac:dyDescent="0.3">
      <c r="A14462" s="2380">
        <v>0.02</v>
      </c>
      <c r="B14462" s="1921" t="s">
        <v>1724</v>
      </c>
      <c r="C14462" s="2108">
        <v>193</v>
      </c>
      <c r="D14462" s="2108">
        <v>153.9</v>
      </c>
      <c r="E14462" s="3253">
        <v>-0.2025906735751295</v>
      </c>
      <c r="F14462" s="3282">
        <v>-4.05181347150259E-3</v>
      </c>
      <c r="G14462" s="3268" t="e">
        <v>#N/A</v>
      </c>
      <c r="H14462" t="s">
        <v>1725</v>
      </c>
      <c r="I14462" s="453">
        <v>38</v>
      </c>
      <c r="J14462" s="79">
        <v>-4.05181347150259E-3</v>
      </c>
      <c r="K14462"/>
      <c r="L14462" s="2485"/>
      <c r="M14462" s="2485"/>
      <c r="N14462" s="3379"/>
      <c r="O14462" s="2485"/>
      <c r="P14462" s="2485"/>
      <c r="Q14462" s="2485"/>
      <c r="R14462" s="2485"/>
      <c r="S14462" s="2485"/>
      <c r="T14462" s="2485"/>
      <c r="U14462" s="2485"/>
      <c r="V14462" s="2485"/>
      <c r="W14462" s="2485"/>
      <c r="X14462" s="2485"/>
      <c r="Y14462" s="2485"/>
      <c r="Z14462" s="2485"/>
      <c r="AA14462" s="2485"/>
      <c r="AB14462" s="2485"/>
      <c r="AC14462" s="2485"/>
      <c r="AD14462" s="2485"/>
      <c r="AI14462" s="3380"/>
      <c r="AL14462" s="3236"/>
    </row>
    <row r="14463" spans="1:38" s="370" customFormat="1" ht="12.75" hidden="1" customHeight="1" outlineLevel="1" x14ac:dyDescent="0.3">
      <c r="A14463" s="2380">
        <v>0.02</v>
      </c>
      <c r="B14463" s="1921" t="s">
        <v>6118</v>
      </c>
      <c r="C14463" s="2108">
        <v>81.940000000000012</v>
      </c>
      <c r="D14463" s="2108">
        <v>92.96</v>
      </c>
      <c r="E14463" s="3253">
        <v>0.13448865023187673</v>
      </c>
      <c r="F14463" s="3282">
        <v>2.6897730046375346E-3</v>
      </c>
      <c r="G14463" s="3268">
        <v>78.66</v>
      </c>
      <c r="H14463" t="s">
        <v>8893</v>
      </c>
      <c r="I14463" s="453">
        <v>19</v>
      </c>
      <c r="J14463" s="79">
        <v>2.6897730046375346E-3</v>
      </c>
      <c r="K14463"/>
      <c r="L14463" s="2485"/>
      <c r="M14463" s="2485"/>
      <c r="N14463" s="3379"/>
      <c r="O14463" s="2485"/>
      <c r="P14463" s="2485"/>
      <c r="Q14463" s="2485"/>
      <c r="R14463" s="2485"/>
      <c r="S14463" s="2485"/>
      <c r="T14463" s="2485"/>
      <c r="U14463" s="2485"/>
      <c r="V14463" s="2485"/>
      <c r="W14463" s="2485"/>
      <c r="X14463" s="2485"/>
      <c r="Y14463" s="2485"/>
      <c r="Z14463" s="2485"/>
      <c r="AA14463" s="2485"/>
      <c r="AB14463" s="2485"/>
      <c r="AC14463" s="2485"/>
      <c r="AD14463" s="2485"/>
      <c r="AI14463" s="3380"/>
      <c r="AL14463" s="3236"/>
    </row>
    <row r="14464" spans="1:38" s="370" customFormat="1" ht="12.75" hidden="1" customHeight="1" outlineLevel="1" x14ac:dyDescent="0.3">
      <c r="A14464" s="2380">
        <v>0.02</v>
      </c>
      <c r="B14464" s="1921" t="s">
        <v>1239</v>
      </c>
      <c r="C14464" s="2108">
        <v>550.20000000000005</v>
      </c>
      <c r="D14464" s="2108">
        <v>507</v>
      </c>
      <c r="E14464" s="3253">
        <v>-7.8516902944383959E-2</v>
      </c>
      <c r="F14464" s="3282">
        <v>-1.5703380588876791E-3</v>
      </c>
      <c r="G14464" s="3268">
        <v>485.4</v>
      </c>
      <c r="H14464" t="s">
        <v>8891</v>
      </c>
      <c r="I14464" s="453">
        <v>31</v>
      </c>
      <c r="J14464" s="79">
        <v>-1.5703380588876791E-3</v>
      </c>
      <c r="K14464"/>
      <c r="L14464" s="2485"/>
      <c r="M14464" s="2485"/>
      <c r="N14464" s="3379"/>
      <c r="O14464" s="2485"/>
      <c r="P14464" s="2485"/>
      <c r="Q14464" s="2485"/>
      <c r="R14464" s="2485"/>
      <c r="S14464" s="2485"/>
      <c r="T14464" s="2485"/>
      <c r="U14464" s="2485"/>
      <c r="V14464" s="2485"/>
      <c r="W14464" s="2485"/>
      <c r="X14464" s="2485"/>
      <c r="Y14464" s="2485"/>
      <c r="Z14464" s="2485"/>
      <c r="AA14464" s="2485"/>
      <c r="AB14464" s="2485"/>
      <c r="AC14464" s="2485"/>
      <c r="AD14464" s="2485"/>
      <c r="AI14464" s="3380"/>
      <c r="AL14464" s="3236"/>
    </row>
    <row r="14465" spans="1:38" s="370" customFormat="1" ht="12.75" hidden="1" customHeight="1" outlineLevel="1" x14ac:dyDescent="0.3">
      <c r="A14465" s="2380">
        <v>0.02</v>
      </c>
      <c r="B14465" s="1921" t="s">
        <v>10301</v>
      </c>
      <c r="C14465" s="2108">
        <v>396.81050068517271</v>
      </c>
      <c r="D14465" s="2108">
        <v>421.4975</v>
      </c>
      <c r="E14465" s="3253">
        <v>6.2213573663499888E-2</v>
      </c>
      <c r="F14465" s="3282">
        <v>1.2442714732699978E-3</v>
      </c>
      <c r="G14465" s="3268">
        <v>421.17180000000002</v>
      </c>
      <c r="H14465" t="s">
        <v>10300</v>
      </c>
      <c r="I14465" s="453">
        <v>23</v>
      </c>
      <c r="J14465" s="79">
        <v>1.2442714732699978E-3</v>
      </c>
      <c r="K14465"/>
      <c r="L14465" s="2485"/>
      <c r="M14465" s="2485"/>
      <c r="N14465" s="3379"/>
      <c r="O14465" s="2485"/>
      <c r="P14465" s="2485"/>
      <c r="Q14465" s="2485"/>
      <c r="R14465" s="2485"/>
      <c r="S14465" s="2485"/>
      <c r="T14465" s="2485"/>
      <c r="U14465" s="2485"/>
      <c r="V14465" s="2485"/>
      <c r="W14465" s="2485"/>
      <c r="X14465" s="2485"/>
      <c r="Y14465" s="2485"/>
      <c r="Z14465" s="2485"/>
      <c r="AA14465" s="2485"/>
      <c r="AB14465" s="2485"/>
      <c r="AC14465" s="2485"/>
      <c r="AD14465" s="2485"/>
      <c r="AI14465" s="3380"/>
      <c r="AL14465" s="3236"/>
    </row>
    <row r="14466" spans="1:38" s="370" customFormat="1" ht="12.75" hidden="1" customHeight="1" outlineLevel="1" x14ac:dyDescent="0.3">
      <c r="A14466" s="2380">
        <v>0.02</v>
      </c>
      <c r="B14466" s="1921" t="s">
        <v>434</v>
      </c>
      <c r="C14466" s="2108">
        <v>51.25</v>
      </c>
      <c r="D14466" s="2108">
        <v>37.83</v>
      </c>
      <c r="E14466" s="3253">
        <v>-0.26185365853658538</v>
      </c>
      <c r="F14466" s="3282">
        <v>-5.2370731707317075E-3</v>
      </c>
      <c r="G14466" s="3268" t="e">
        <v>#N/A</v>
      </c>
      <c r="H14466" t="s">
        <v>7745</v>
      </c>
      <c r="I14466" s="453">
        <v>41</v>
      </c>
      <c r="J14466" s="79" t="s">
        <v>5590</v>
      </c>
      <c r="K14466"/>
      <c r="L14466" s="2485"/>
      <c r="M14466" s="2485"/>
      <c r="N14466" s="3379"/>
      <c r="O14466" s="2485"/>
      <c r="P14466" s="2485"/>
      <c r="Q14466" s="2485"/>
      <c r="R14466" s="2485"/>
      <c r="S14466" s="2485"/>
      <c r="T14466" s="2485"/>
      <c r="U14466" s="2485"/>
      <c r="V14466" s="2485"/>
      <c r="W14466" s="2485"/>
      <c r="X14466" s="2485"/>
      <c r="Y14466" s="2485"/>
      <c r="Z14466" s="2485"/>
      <c r="AA14466" s="2485"/>
      <c r="AB14466" s="2485"/>
      <c r="AC14466" s="2485"/>
      <c r="AD14466" s="2485"/>
      <c r="AI14466" s="3380"/>
      <c r="AL14466" s="3236"/>
    </row>
    <row r="14467" spans="1:38" s="370" customFormat="1" ht="12.75" hidden="1" customHeight="1" outlineLevel="1" x14ac:dyDescent="0.3">
      <c r="A14467" s="2380">
        <v>0.02</v>
      </c>
      <c r="B14467" s="1921" t="s">
        <v>3665</v>
      </c>
      <c r="C14467" s="2108">
        <v>41.822000022307854</v>
      </c>
      <c r="D14467" s="2108">
        <v>25.03</v>
      </c>
      <c r="E14467" s="3253">
        <v>-0.40151116669099995</v>
      </c>
      <c r="F14467" s="3282">
        <v>-8.0302233338199989E-3</v>
      </c>
      <c r="G14467" s="3268">
        <v>0</v>
      </c>
      <c r="H14467" t="s">
        <v>7021</v>
      </c>
      <c r="I14467" s="453">
        <v>45</v>
      </c>
      <c r="J14467" s="79" t="s">
        <v>5590</v>
      </c>
      <c r="K14467"/>
      <c r="L14467" s="2485"/>
      <c r="M14467" s="2485"/>
      <c r="N14467" s="3379"/>
      <c r="O14467" s="2485"/>
      <c r="P14467" s="2485"/>
      <c r="Q14467" s="2485"/>
      <c r="R14467" s="2485"/>
      <c r="S14467" s="2485"/>
      <c r="T14467" s="2485"/>
      <c r="U14467" s="2485"/>
      <c r="V14467" s="2485"/>
      <c r="W14467" s="2485"/>
      <c r="X14467" s="2485"/>
      <c r="Y14467" s="2485"/>
      <c r="Z14467" s="2485"/>
      <c r="AA14467" s="2485"/>
      <c r="AB14467" s="2485"/>
      <c r="AC14467" s="2485"/>
      <c r="AD14467" s="2485"/>
      <c r="AI14467" s="3380"/>
      <c r="AL14467" s="3236"/>
    </row>
    <row r="14468" spans="1:38" s="370" customFormat="1" ht="12.75" hidden="1" customHeight="1" outlineLevel="1" x14ac:dyDescent="0.3">
      <c r="A14468" s="2380">
        <v>0.02</v>
      </c>
      <c r="B14468" s="1921" t="s">
        <v>3921</v>
      </c>
      <c r="C14468" s="2108">
        <v>4.2232000000000003</v>
      </c>
      <c r="D14468" s="2108">
        <v>6.4379999999999997</v>
      </c>
      <c r="E14468" s="3253">
        <v>0.52443644629664687</v>
      </c>
      <c r="F14468" s="3282">
        <v>1.0488728925932937E-2</v>
      </c>
      <c r="G14468" s="3268" t="e">
        <v>#N/A</v>
      </c>
      <c r="H14468" t="s">
        <v>3922</v>
      </c>
      <c r="I14468" s="453">
        <v>6</v>
      </c>
      <c r="J14468" s="79" t="s">
        <v>5590</v>
      </c>
      <c r="K14468"/>
      <c r="L14468" s="2485"/>
      <c r="M14468" s="2485"/>
      <c r="N14468" s="3379"/>
      <c r="O14468" s="2485"/>
      <c r="P14468" s="2485"/>
      <c r="Q14468" s="2485"/>
      <c r="R14468" s="2485"/>
      <c r="S14468" s="2485"/>
      <c r="T14468" s="2485"/>
      <c r="U14468" s="2485"/>
      <c r="V14468" s="2485"/>
      <c r="W14468" s="2485"/>
      <c r="X14468" s="2485"/>
      <c r="Y14468" s="2485"/>
      <c r="Z14468" s="2485"/>
      <c r="AA14468" s="2485"/>
      <c r="AB14468" s="2485"/>
      <c r="AC14468" s="2485"/>
      <c r="AD14468" s="2485"/>
      <c r="AI14468" s="3380"/>
      <c r="AL14468" s="3236"/>
    </row>
    <row r="14469" spans="1:38" s="370" customFormat="1" ht="12.75" hidden="1" customHeight="1" outlineLevel="1" x14ac:dyDescent="0.3">
      <c r="A14469" s="2380">
        <v>0.02</v>
      </c>
      <c r="B14469" s="1921" t="s">
        <v>3626</v>
      </c>
      <c r="C14469" s="2108">
        <v>55.480000000000004</v>
      </c>
      <c r="D14469" s="2108">
        <v>81.96</v>
      </c>
      <c r="E14469" s="3253">
        <v>0.47728911319394363</v>
      </c>
      <c r="F14469" s="3282">
        <v>9.5457822638788728E-3</v>
      </c>
      <c r="G14469" s="3268">
        <v>72.459999999999994</v>
      </c>
      <c r="H14469" t="s">
        <v>7752</v>
      </c>
      <c r="I14469" s="453">
        <v>7</v>
      </c>
      <c r="J14469" s="79" t="s">
        <v>5590</v>
      </c>
      <c r="K14469"/>
      <c r="L14469" s="2485"/>
      <c r="M14469" s="2485"/>
      <c r="N14469" s="3379"/>
      <c r="O14469" s="2485"/>
      <c r="P14469" s="2485"/>
      <c r="Q14469" s="2485"/>
      <c r="R14469" s="2485"/>
      <c r="S14469" s="2485"/>
      <c r="T14469" s="2485"/>
      <c r="U14469" s="2485"/>
      <c r="V14469" s="2485"/>
      <c r="W14469" s="2485"/>
      <c r="X14469" s="2485"/>
      <c r="Y14469" s="2485"/>
      <c r="Z14469" s="2485"/>
      <c r="AA14469" s="2485"/>
      <c r="AB14469" s="2485"/>
      <c r="AC14469" s="2485"/>
      <c r="AD14469" s="2485"/>
      <c r="AI14469" s="3380"/>
      <c r="AL14469" s="3236"/>
    </row>
    <row r="14470" spans="1:38" s="370" customFormat="1" ht="12.75" hidden="1" customHeight="1" outlineLevel="1" x14ac:dyDescent="0.3">
      <c r="A14470" s="2380">
        <v>0.02</v>
      </c>
      <c r="B14470" s="1921" t="s">
        <v>507</v>
      </c>
      <c r="C14470" s="2108">
        <v>38.798000000000002</v>
      </c>
      <c r="D14470" s="2108">
        <v>47.58</v>
      </c>
      <c r="E14470" s="3253">
        <v>0.22635187380792821</v>
      </c>
      <c r="F14470" s="3282">
        <v>4.5270374761585642E-3</v>
      </c>
      <c r="G14470" s="3268">
        <v>47.9</v>
      </c>
      <c r="H14470" t="s">
        <v>2810</v>
      </c>
      <c r="I14470" s="453">
        <v>16</v>
      </c>
      <c r="J14470" s="79">
        <v>4.5270374761585642E-3</v>
      </c>
      <c r="K14470"/>
      <c r="L14470" s="2485"/>
      <c r="M14470" s="2485"/>
      <c r="N14470" s="3379"/>
      <c r="O14470" s="2485"/>
      <c r="P14470" s="2485"/>
      <c r="Q14470" s="2485"/>
      <c r="R14470" s="2485"/>
      <c r="S14470" s="2485"/>
      <c r="T14470" s="2485"/>
      <c r="U14470" s="2485"/>
      <c r="V14470" s="2485"/>
      <c r="W14470" s="2485"/>
      <c r="X14470" s="2485"/>
      <c r="Y14470" s="2485"/>
      <c r="Z14470" s="2485"/>
      <c r="AA14470" s="2485"/>
      <c r="AB14470" s="2485"/>
      <c r="AC14470" s="2485"/>
      <c r="AD14470" s="2485"/>
      <c r="AI14470" s="3380"/>
      <c r="AL14470" s="3236"/>
    </row>
    <row r="14471" spans="1:38" s="370" customFormat="1" ht="12.75" hidden="1" customHeight="1" outlineLevel="1" x14ac:dyDescent="0.3">
      <c r="A14471" s="2380">
        <v>0.02</v>
      </c>
      <c r="B14471" s="1921" t="s">
        <v>2983</v>
      </c>
      <c r="C14471" s="2108">
        <v>991.8</v>
      </c>
      <c r="D14471" s="2108">
        <v>925.8</v>
      </c>
      <c r="E14471" s="3253">
        <v>-6.6545674531155452E-2</v>
      </c>
      <c r="F14471" s="3282">
        <v>-1.3309134906231092E-3</v>
      </c>
      <c r="G14471" s="3268">
        <v>922.19999999999993</v>
      </c>
      <c r="H14471" t="s">
        <v>1713</v>
      </c>
      <c r="I14471" s="453">
        <v>29</v>
      </c>
      <c r="J14471" s="79">
        <v>-1.3309134906231092E-3</v>
      </c>
      <c r="K14471"/>
      <c r="L14471" s="2485"/>
      <c r="M14471" s="2485"/>
      <c r="N14471" s="3379"/>
      <c r="O14471" s="2485"/>
      <c r="P14471" s="2485"/>
      <c r="Q14471" s="2485"/>
      <c r="R14471" s="2485"/>
      <c r="S14471" s="2485"/>
      <c r="T14471" s="2485"/>
      <c r="U14471" s="2485"/>
      <c r="V14471" s="2485"/>
      <c r="W14471" s="2485"/>
      <c r="X14471" s="2485"/>
      <c r="Y14471" s="2485"/>
      <c r="Z14471" s="2485"/>
      <c r="AA14471" s="2485"/>
      <c r="AB14471" s="2485"/>
      <c r="AC14471" s="2485"/>
      <c r="AD14471" s="2485"/>
      <c r="AI14471" s="3380"/>
      <c r="AL14471" s="3236"/>
    </row>
    <row r="14472" spans="1:38" s="370" customFormat="1" ht="12.75" hidden="1" customHeight="1" outlineLevel="1" x14ac:dyDescent="0.3">
      <c r="A14472" s="2380">
        <v>0.02</v>
      </c>
      <c r="B14472" s="1921" t="s">
        <v>255</v>
      </c>
      <c r="C14472" s="2108">
        <v>49.851999999999997</v>
      </c>
      <c r="D14472" s="2108">
        <v>58.15</v>
      </c>
      <c r="E14472" s="3253">
        <v>0.16645269999197621</v>
      </c>
      <c r="F14472" s="3282">
        <v>3.3290539998395243E-3</v>
      </c>
      <c r="G14472" s="3268">
        <v>54.75</v>
      </c>
      <c r="H14472" t="s">
        <v>3351</v>
      </c>
      <c r="I14472" s="453">
        <v>18</v>
      </c>
      <c r="J14472" s="79">
        <v>3.3290539998395243E-3</v>
      </c>
      <c r="K14472"/>
      <c r="L14472" s="2485"/>
      <c r="M14472" s="2485"/>
      <c r="N14472" s="3379"/>
      <c r="O14472" s="2485"/>
      <c r="P14472" s="2485"/>
      <c r="Q14472" s="2485"/>
      <c r="R14472" s="2485"/>
      <c r="S14472" s="2485"/>
      <c r="T14472" s="2485"/>
      <c r="U14472" s="2485"/>
      <c r="V14472" s="2485"/>
      <c r="W14472" s="2485"/>
      <c r="X14472" s="2485"/>
      <c r="Y14472" s="2485"/>
      <c r="Z14472" s="2485"/>
      <c r="AA14472" s="2485"/>
      <c r="AB14472" s="2485"/>
      <c r="AC14472" s="2485"/>
      <c r="AD14472" s="2485"/>
      <c r="AI14472" s="3380"/>
      <c r="AL14472" s="3236"/>
    </row>
    <row r="14473" spans="1:38" s="370" customFormat="1" ht="12.75" hidden="1" customHeight="1" outlineLevel="1" x14ac:dyDescent="0.3">
      <c r="A14473" s="2380">
        <v>0.02</v>
      </c>
      <c r="B14473" s="2109" t="s">
        <v>4550</v>
      </c>
      <c r="C14473" s="2108">
        <v>296.98</v>
      </c>
      <c r="D14473" s="2108">
        <v>403.4</v>
      </c>
      <c r="E14473" s="3253">
        <v>0.35834062899858554</v>
      </c>
      <c r="F14473" s="3382">
        <v>7.1668125799717111E-3</v>
      </c>
      <c r="G14473" s="3268">
        <v>356.2</v>
      </c>
      <c r="H14473" t="s">
        <v>8889</v>
      </c>
      <c r="I14473" s="408">
        <v>13</v>
      </c>
      <c r="J14473" s="82">
        <v>7.1668125799717111E-3</v>
      </c>
      <c r="K14473"/>
      <c r="L14473" s="2485"/>
      <c r="M14473" s="2485"/>
      <c r="N14473" s="3379"/>
      <c r="O14473" s="2485"/>
      <c r="P14473" s="2485"/>
      <c r="Q14473" s="2485"/>
      <c r="R14473" s="2485"/>
      <c r="S14473" s="2485"/>
      <c r="T14473" s="2485"/>
      <c r="U14473" s="2485"/>
      <c r="V14473" s="2485"/>
      <c r="W14473" s="2485"/>
      <c r="X14473" s="2485"/>
      <c r="Y14473" s="2485"/>
      <c r="Z14473" s="2485"/>
      <c r="AA14473" s="2485"/>
      <c r="AB14473" s="2485"/>
      <c r="AC14473" s="2485"/>
      <c r="AD14473" s="2485"/>
      <c r="AI14473" s="3380"/>
      <c r="AL14473" s="3236"/>
    </row>
    <row r="14474" spans="1:38" s="370" customFormat="1" ht="12.75" hidden="1" customHeight="1" outlineLevel="1" x14ac:dyDescent="0.3">
      <c r="A14474" s="2181" t="s">
        <v>2734</v>
      </c>
      <c r="B14474" s="2103"/>
      <c r="C14474" s="3258"/>
      <c r="D14474" s="3259"/>
      <c r="E14474" s="3260"/>
      <c r="F14474" s="3282">
        <v>0.11270922279096054</v>
      </c>
      <c r="G14474" s="78"/>
      <c r="H14474"/>
      <c r="I14474"/>
      <c r="J14474" s="406">
        <v>2.5295335823371092E-2</v>
      </c>
      <c r="K14474"/>
      <c r="L14474" s="2485"/>
      <c r="M14474" s="2485"/>
      <c r="N14474" s="3379"/>
      <c r="O14474" s="2485"/>
      <c r="P14474" s="2485"/>
      <c r="Q14474" s="2485"/>
      <c r="R14474" s="2485"/>
      <c r="S14474" s="2485"/>
      <c r="T14474" s="2485"/>
      <c r="U14474" s="2485"/>
      <c r="V14474" s="2485"/>
      <c r="W14474" s="2485"/>
      <c r="X14474" s="2485"/>
      <c r="Y14474" s="2485"/>
      <c r="Z14474" s="2485"/>
      <c r="AA14474" s="2485"/>
      <c r="AB14474" s="2485"/>
      <c r="AC14474" s="2485"/>
      <c r="AD14474" s="2485"/>
      <c r="AI14474" s="3380"/>
      <c r="AL14474" s="3236"/>
    </row>
    <row r="14475" spans="1:38" ht="12.75" hidden="1" customHeight="1" outlineLevel="1" x14ac:dyDescent="0.3">
      <c r="A14475" s="1956" t="s">
        <v>7024</v>
      </c>
      <c r="B14475" s="2185">
        <v>43739</v>
      </c>
      <c r="C14475" s="3261">
        <v>100</v>
      </c>
      <c r="D14475" s="3261">
        <v>110.3128</v>
      </c>
      <c r="E14475" s="3262">
        <v>0.10312799999999989</v>
      </c>
      <c r="F14475" s="3285"/>
      <c r="G14475" s="78"/>
      <c r="L14475" s="3233"/>
      <c r="M14475" s="3233"/>
      <c r="N14475" s="3376"/>
      <c r="O14475" s="3377"/>
      <c r="P14475" s="3377"/>
      <c r="Q14475" s="3378"/>
      <c r="R14475" s="3377"/>
      <c r="S14475" s="3377"/>
      <c r="T14475" s="3377"/>
      <c r="U14475" s="3377"/>
      <c r="V14475" s="3377"/>
      <c r="W14475" s="3377"/>
      <c r="X14475" s="3377"/>
      <c r="Y14475" s="3377"/>
      <c r="Z14475" s="3378"/>
      <c r="AA14475" s="3377"/>
      <c r="AB14475" s="3377"/>
      <c r="AC14475" s="3377"/>
      <c r="AD14475" s="3377"/>
    </row>
    <row r="14476" spans="1:38" ht="12.75" hidden="1" customHeight="1" outlineLevel="1" x14ac:dyDescent="0.25">
      <c r="A14476" s="1956" t="s">
        <v>7025</v>
      </c>
      <c r="B14476" s="2185">
        <v>43770</v>
      </c>
      <c r="C14476" s="3261">
        <v>100</v>
      </c>
      <c r="D14476" s="3264">
        <v>112.6561</v>
      </c>
      <c r="E14476" s="3262">
        <v>0.12656099999999992</v>
      </c>
      <c r="F14476" s="3285"/>
      <c r="G14476" s="78"/>
    </row>
    <row r="14477" spans="1:38" ht="12.75" hidden="1" customHeight="1" outlineLevel="1" x14ac:dyDescent="0.25">
      <c r="A14477" s="1956" t="s">
        <v>7026</v>
      </c>
      <c r="B14477" s="2185">
        <v>43800</v>
      </c>
      <c r="C14477" s="3261">
        <v>100</v>
      </c>
      <c r="D14477" s="3264">
        <v>113.53869999999999</v>
      </c>
      <c r="E14477" s="3262">
        <v>0.13538699999999992</v>
      </c>
      <c r="F14477" s="3285"/>
      <c r="G14477" s="78"/>
    </row>
    <row r="14478" spans="1:38" ht="12.75" hidden="1" customHeight="1" outlineLevel="1" x14ac:dyDescent="0.25">
      <c r="A14478" s="1956" t="s">
        <v>7027</v>
      </c>
      <c r="B14478" s="2185">
        <v>43831</v>
      </c>
      <c r="C14478" s="3261">
        <v>100</v>
      </c>
      <c r="D14478" s="3264">
        <v>115.7937</v>
      </c>
      <c r="E14478" s="3262">
        <v>0.15793699999999999</v>
      </c>
      <c r="F14478" s="3285"/>
      <c r="G14478" s="78"/>
    </row>
    <row r="14479" spans="1:38" ht="12.75" hidden="1" customHeight="1" outlineLevel="1" x14ac:dyDescent="0.25">
      <c r="A14479" s="1956" t="s">
        <v>7028</v>
      </c>
      <c r="B14479" s="2185">
        <v>43862</v>
      </c>
      <c r="C14479" s="3261">
        <v>100</v>
      </c>
      <c r="D14479" s="3264">
        <v>106.02</v>
      </c>
      <c r="E14479" s="3262">
        <v>6.0200000000000031E-2</v>
      </c>
      <c r="F14479" s="3285"/>
      <c r="G14479" s="78"/>
    </row>
    <row r="14480" spans="1:38" ht="12.75" hidden="1" customHeight="1" outlineLevel="1" x14ac:dyDescent="0.25">
      <c r="A14480" s="1956" t="s">
        <v>7029</v>
      </c>
      <c r="B14480" s="2185">
        <v>43891</v>
      </c>
      <c r="C14480" s="3261">
        <v>100</v>
      </c>
      <c r="D14480" s="3264">
        <v>92.353099999999998</v>
      </c>
      <c r="E14480" s="3262">
        <v>-7.6469000000000009E-2</v>
      </c>
      <c r="F14480" s="3285"/>
      <c r="G14480" s="78"/>
    </row>
    <row r="14481" spans="1:26" ht="12.75" hidden="1" customHeight="1" outlineLevel="1" x14ac:dyDescent="0.25">
      <c r="A14481" s="1956" t="s">
        <v>7030</v>
      </c>
      <c r="B14481" s="2185">
        <v>43922</v>
      </c>
      <c r="C14481" s="3261">
        <v>100</v>
      </c>
      <c r="D14481" s="3264">
        <v>94.073499999999996</v>
      </c>
      <c r="E14481" s="3262">
        <v>-5.9265000000000012E-2</v>
      </c>
      <c r="F14481" s="3285"/>
      <c r="G14481" s="78"/>
    </row>
    <row r="14482" spans="1:26" ht="12.75" hidden="1" customHeight="1" outlineLevel="1" x14ac:dyDescent="0.25">
      <c r="A14482" s="1956" t="s">
        <v>7031</v>
      </c>
      <c r="B14482" s="2185">
        <v>43952</v>
      </c>
      <c r="C14482" s="3261">
        <v>100</v>
      </c>
      <c r="D14482" s="3264">
        <v>94.651799999999994</v>
      </c>
      <c r="E14482" s="3262">
        <v>-5.348200000000003E-2</v>
      </c>
      <c r="F14482" s="3285"/>
      <c r="G14482" s="78"/>
    </row>
    <row r="14483" spans="1:26" ht="12.75" hidden="1" customHeight="1" outlineLevel="1" x14ac:dyDescent="0.25">
      <c r="A14483" s="1956" t="s">
        <v>7032</v>
      </c>
      <c r="B14483" s="2185">
        <v>43983</v>
      </c>
      <c r="C14483" s="3261">
        <v>100</v>
      </c>
      <c r="D14483" s="3264">
        <v>96.203000000000003</v>
      </c>
      <c r="E14483" s="3262">
        <v>-3.7969999999999948E-2</v>
      </c>
      <c r="F14483" s="3285"/>
      <c r="G14483" s="78"/>
    </row>
    <row r="14484" spans="1:26" ht="12.75" hidden="1" customHeight="1" outlineLevel="1" x14ac:dyDescent="0.25">
      <c r="A14484" s="1956" t="s">
        <v>7033</v>
      </c>
      <c r="B14484" s="2185">
        <v>44013</v>
      </c>
      <c r="C14484" s="3261">
        <v>100</v>
      </c>
      <c r="D14484" s="3264">
        <v>94.7303</v>
      </c>
      <c r="E14484" s="3262">
        <v>-5.2696999999999994E-2</v>
      </c>
      <c r="F14484" s="3285"/>
      <c r="G14484" s="78"/>
    </row>
    <row r="14485" spans="1:26" ht="12.75" hidden="1" customHeight="1" outlineLevel="1" x14ac:dyDescent="0.25">
      <c r="A14485" s="1956" t="s">
        <v>7034</v>
      </c>
      <c r="B14485" s="2185">
        <v>44044</v>
      </c>
      <c r="C14485" s="3261">
        <v>100</v>
      </c>
      <c r="D14485" s="3264">
        <v>96.945700000000002</v>
      </c>
      <c r="E14485" s="3262">
        <v>-3.0542999999999987E-2</v>
      </c>
      <c r="F14485" s="3285"/>
      <c r="G14485" s="78"/>
    </row>
    <row r="14486" spans="1:26" ht="12.75" hidden="1" customHeight="1" outlineLevel="1" x14ac:dyDescent="0.25">
      <c r="A14486" s="1956" t="s">
        <v>7035</v>
      </c>
      <c r="B14486" s="2185">
        <v>44075</v>
      </c>
      <c r="C14486" s="3261">
        <v>100</v>
      </c>
      <c r="D14486" s="3264">
        <v>94.108199999999997</v>
      </c>
      <c r="E14486" s="3262">
        <v>-5.8918000000000026E-2</v>
      </c>
      <c r="F14486" s="3285"/>
      <c r="G14486" s="78"/>
    </row>
    <row r="14487" spans="1:26" ht="12.75" hidden="1" customHeight="1" outlineLevel="1" x14ac:dyDescent="0.25">
      <c r="A14487" s="1956" t="s">
        <v>7036</v>
      </c>
      <c r="B14487" s="2185">
        <v>44105</v>
      </c>
      <c r="C14487" s="3261">
        <v>100</v>
      </c>
      <c r="D14487" s="3264">
        <v>90.539400000000001</v>
      </c>
      <c r="E14487" s="3262">
        <v>-9.4605999999999968E-2</v>
      </c>
      <c r="F14487" s="3285"/>
      <c r="G14487" s="78"/>
    </row>
    <row r="14488" spans="1:26" ht="12.75" hidden="1" customHeight="1" outlineLevel="1" x14ac:dyDescent="0.25">
      <c r="A14488" s="1956" t="s">
        <v>7037</v>
      </c>
      <c r="B14488" s="2185">
        <v>44136</v>
      </c>
      <c r="C14488" s="3261">
        <v>100</v>
      </c>
      <c r="D14488" s="3264">
        <v>101.0776</v>
      </c>
      <c r="E14488" s="3262">
        <v>1.0776000000000119E-2</v>
      </c>
      <c r="F14488" s="3285"/>
      <c r="G14488" s="78"/>
    </row>
    <row r="14489" spans="1:26" ht="12.75" hidden="1" customHeight="1" outlineLevel="1" x14ac:dyDescent="0.25">
      <c r="A14489" s="1956" t="s">
        <v>7038</v>
      </c>
      <c r="B14489" s="2185">
        <v>44166</v>
      </c>
      <c r="C14489" s="3261">
        <v>100</v>
      </c>
      <c r="D14489" s="3264">
        <v>102.16649999999998</v>
      </c>
      <c r="E14489" s="3262">
        <v>2.1664999999999823E-2</v>
      </c>
      <c r="F14489" s="3285"/>
      <c r="G14489" s="78"/>
    </row>
    <row r="14490" spans="1:26" ht="12.75" hidden="1" customHeight="1" outlineLevel="1" x14ac:dyDescent="0.25">
      <c r="A14490" s="1956" t="s">
        <v>7039</v>
      </c>
      <c r="B14490" s="2185">
        <v>44197</v>
      </c>
      <c r="C14490" s="3261">
        <v>100</v>
      </c>
      <c r="D14490" s="3264">
        <v>99.661500000000004</v>
      </c>
      <c r="E14490" s="3262">
        <v>-3.3849999999999714E-3</v>
      </c>
      <c r="F14490" s="3285"/>
      <c r="G14490" s="78"/>
    </row>
    <row r="14491" spans="1:26" ht="12.75" hidden="1" customHeight="1" outlineLevel="1" x14ac:dyDescent="0.25">
      <c r="A14491" s="1956" t="s">
        <v>7040</v>
      </c>
      <c r="B14491" s="2185">
        <v>44228</v>
      </c>
      <c r="C14491" s="3261">
        <v>100</v>
      </c>
      <c r="D14491" s="3264">
        <v>100.794</v>
      </c>
      <c r="E14491" s="3262">
        <v>7.9400000000000581E-3</v>
      </c>
      <c r="F14491" s="3285"/>
      <c r="G14491" s="78"/>
    </row>
    <row r="14492" spans="1:26" ht="12.75" hidden="1" customHeight="1" outlineLevel="1" x14ac:dyDescent="0.25">
      <c r="A14492" s="1956" t="s">
        <v>7041</v>
      </c>
      <c r="B14492" s="2185">
        <v>44256</v>
      </c>
      <c r="C14492" s="3261">
        <v>100</v>
      </c>
      <c r="D14492" s="3264">
        <v>107.6772</v>
      </c>
      <c r="E14492" s="3262">
        <v>7.6772000000000062E-2</v>
      </c>
      <c r="F14492" s="3285"/>
      <c r="G14492" s="78"/>
    </row>
    <row r="14493" spans="1:26" ht="12.75" hidden="1" customHeight="1" outlineLevel="1" x14ac:dyDescent="0.25">
      <c r="A14493" s="2189" t="s">
        <v>2734</v>
      </c>
      <c r="B14493" s="2190"/>
      <c r="C14493" s="3264"/>
      <c r="D14493" s="2191" t="s">
        <v>2465</v>
      </c>
      <c r="E14493" s="1987">
        <v>1.294616666666666E-2</v>
      </c>
      <c r="F14493" s="2192">
        <v>1.294616666666666E-2</v>
      </c>
      <c r="G14493" s="78"/>
    </row>
    <row r="14494" spans="1:26" collapsed="1" x14ac:dyDescent="0.25">
      <c r="A14494" s="3801" t="s">
        <v>7023</v>
      </c>
      <c r="B14494" s="3802"/>
      <c r="C14494" s="3802"/>
      <c r="D14494" s="3802"/>
      <c r="E14494" s="1906"/>
      <c r="F14494" s="1890">
        <v>6.4730833333333298E-3</v>
      </c>
      <c r="G14494" s="78"/>
    </row>
    <row r="14496" spans="1:26" hidden="1" outlineLevel="1" x14ac:dyDescent="0.25">
      <c r="A14496" s="3237" t="s">
        <v>113</v>
      </c>
      <c r="B14496" s="3237" t="s">
        <v>114</v>
      </c>
      <c r="C14496" s="3248" t="s">
        <v>112</v>
      </c>
      <c r="D14496" s="3248" t="s">
        <v>4155</v>
      </c>
      <c r="E14496" s="3248" t="s">
        <v>116</v>
      </c>
      <c r="F14496" s="3276" t="s">
        <v>121</v>
      </c>
      <c r="G14496" s="78"/>
      <c r="H14496" s="2484" t="s">
        <v>3766</v>
      </c>
      <c r="I14496" s="1462">
        <v>43862</v>
      </c>
      <c r="J14496" s="1462">
        <v>43891</v>
      </c>
      <c r="K14496" s="1462">
        <v>43922</v>
      </c>
      <c r="L14496" s="1462">
        <v>43952</v>
      </c>
      <c r="M14496" s="1462">
        <v>43983</v>
      </c>
      <c r="N14496" s="1462">
        <v>44013</v>
      </c>
      <c r="O14496" s="1462">
        <v>44044</v>
      </c>
      <c r="P14496" s="1462">
        <v>44075</v>
      </c>
      <c r="Q14496" s="1462">
        <v>44105</v>
      </c>
      <c r="R14496" s="1462">
        <v>44136</v>
      </c>
      <c r="S14496" s="1462">
        <v>44166</v>
      </c>
      <c r="T14496" s="1462">
        <v>44197</v>
      </c>
      <c r="U14496" s="1462">
        <v>44228</v>
      </c>
      <c r="V14496" s="1462">
        <v>44256</v>
      </c>
      <c r="W14496" s="1462">
        <v>44287</v>
      </c>
      <c r="X14496" s="1462">
        <v>44317</v>
      </c>
      <c r="Y14496" s="1462">
        <v>44348</v>
      </c>
      <c r="Z14496" s="1462">
        <v>44378</v>
      </c>
    </row>
    <row r="14497" spans="1:34" hidden="1" outlineLevel="1" x14ac:dyDescent="0.25">
      <c r="A14497" s="1810" t="s">
        <v>1327</v>
      </c>
      <c r="B14497" s="3287" t="s">
        <v>7133</v>
      </c>
      <c r="C14497" s="3808">
        <v>1922.4739999999999</v>
      </c>
      <c r="D14497" s="3808">
        <v>1594.4889000000001</v>
      </c>
      <c r="E14497" s="3288">
        <v>1757.5540000000001</v>
      </c>
      <c r="F14497" s="3289">
        <v>-8.5785295405815587E-2</v>
      </c>
      <c r="G14497" s="78"/>
      <c r="H14497" s="412">
        <v>1594.4889000000001</v>
      </c>
      <c r="I14497">
        <v>1791.01</v>
      </c>
      <c r="J14497" s="415">
        <v>1318.7</v>
      </c>
      <c r="K14497" s="415">
        <v>1331.71</v>
      </c>
      <c r="L14497" s="415">
        <v>1361.36</v>
      </c>
      <c r="M14497" s="415">
        <v>1417.49</v>
      </c>
      <c r="N14497" s="415">
        <v>1394.01</v>
      </c>
      <c r="O14497" s="415">
        <v>1431.23</v>
      </c>
      <c r="P14497" s="415">
        <v>1401.86</v>
      </c>
      <c r="Q14497" s="415">
        <v>1344.2</v>
      </c>
      <c r="R14497" s="415">
        <v>1601.67</v>
      </c>
      <c r="S14497" s="2432">
        <v>1629.6</v>
      </c>
      <c r="T14497" s="415">
        <v>1621.03</v>
      </c>
      <c r="U14497" s="415">
        <v>1705.25</v>
      </c>
      <c r="V14497" s="415">
        <v>1873.22</v>
      </c>
      <c r="W14497" s="2432">
        <v>1849.42</v>
      </c>
      <c r="X14497" s="2432">
        <v>1889.82</v>
      </c>
      <c r="Y14497" s="2432">
        <v>1857.71</v>
      </c>
      <c r="Z14497" s="2432">
        <v>1881.51</v>
      </c>
    </row>
    <row r="14498" spans="1:34" hidden="1" outlineLevel="1" x14ac:dyDescent="0.25">
      <c r="A14498" s="2197" t="s">
        <v>6006</v>
      </c>
      <c r="B14498" s="3290" t="s">
        <v>7133</v>
      </c>
      <c r="C14498" s="3810"/>
      <c r="D14498" s="3810"/>
      <c r="E14498" s="3291"/>
      <c r="F14498" s="3289">
        <v>-0.1706</v>
      </c>
      <c r="G14498" s="78"/>
      <c r="Z14498" s="37">
        <v>-2.1307960471767085E-2</v>
      </c>
    </row>
    <row r="14499" spans="1:34" hidden="1" outlineLevel="1" x14ac:dyDescent="0.25">
      <c r="A14499" s="2197" t="s">
        <v>2734</v>
      </c>
      <c r="B14499" s="3292"/>
      <c r="C14499" s="1817"/>
      <c r="D14499" s="1817"/>
      <c r="E14499" s="3293"/>
      <c r="F14499" s="3289">
        <v>-2.06E-2</v>
      </c>
      <c r="G14499" s="78"/>
    </row>
    <row r="14500" spans="1:34" collapsed="1" x14ac:dyDescent="0.25">
      <c r="A14500" s="3801" t="s">
        <v>7132</v>
      </c>
      <c r="B14500" s="3802"/>
      <c r="C14500" s="3802"/>
      <c r="D14500" s="3802"/>
      <c r="E14500" s="3294"/>
      <c r="F14500" s="1890">
        <v>-2.06E-2</v>
      </c>
      <c r="G14500" s="78"/>
    </row>
    <row r="14502" spans="1:34" ht="12.75" hidden="1" customHeight="1" outlineLevel="1" x14ac:dyDescent="0.3">
      <c r="A14502" s="3237" t="s">
        <v>113</v>
      </c>
      <c r="B14502" s="3237" t="s">
        <v>114</v>
      </c>
      <c r="C14502" s="3237" t="s">
        <v>112</v>
      </c>
      <c r="D14502" s="3237" t="s">
        <v>116</v>
      </c>
      <c r="E14502" s="3237" t="s">
        <v>117</v>
      </c>
      <c r="F14502" s="3276" t="s">
        <v>121</v>
      </c>
      <c r="G14502" s="78"/>
      <c r="J14502" s="3228" t="s">
        <v>10540</v>
      </c>
      <c r="K14502" s="3228" t="s">
        <v>10541</v>
      </c>
      <c r="L14502" s="3229" t="s">
        <v>10715</v>
      </c>
      <c r="M14502" s="3228" t="s">
        <v>10716</v>
      </c>
      <c r="N14502" s="3230">
        <v>44195</v>
      </c>
      <c r="O14502" s="3230">
        <v>44196</v>
      </c>
      <c r="P14502" s="3230">
        <v>44225</v>
      </c>
      <c r="Q14502" s="3230">
        <v>44253</v>
      </c>
      <c r="R14502" s="3228" t="s">
        <v>10677</v>
      </c>
      <c r="S14502" s="3230">
        <v>44316</v>
      </c>
      <c r="T14502" s="3228" t="s">
        <v>10678</v>
      </c>
      <c r="U14502" s="3228" t="s">
        <v>10679</v>
      </c>
      <c r="V14502" s="3230">
        <v>44377</v>
      </c>
      <c r="W14502" s="3230">
        <v>44407</v>
      </c>
      <c r="X14502" s="3230">
        <v>44439</v>
      </c>
      <c r="Y14502" s="3230">
        <v>44469</v>
      </c>
      <c r="Z14502" s="3228" t="s">
        <v>10680</v>
      </c>
      <c r="AA14502" s="3230">
        <v>44530</v>
      </c>
      <c r="AB14502" s="3230">
        <v>44560</v>
      </c>
      <c r="AC14502" s="3230">
        <v>44561</v>
      </c>
      <c r="AD14502" s="3230">
        <v>44592</v>
      </c>
      <c r="AE14502" s="3230">
        <v>44620</v>
      </c>
      <c r="AF14502" s="3228" t="s">
        <v>10717</v>
      </c>
      <c r="AG14502" s="3230">
        <v>44680</v>
      </c>
      <c r="AH14502" s="3228" t="s">
        <v>10718</v>
      </c>
    </row>
    <row r="14503" spans="1:34" ht="12.75" hidden="1" customHeight="1" outlineLevel="1" x14ac:dyDescent="0.3">
      <c r="A14503" s="3238">
        <v>1</v>
      </c>
      <c r="B14503" s="3239" t="s">
        <v>252</v>
      </c>
      <c r="C14503" s="3240">
        <v>100</v>
      </c>
      <c r="D14503" s="3240"/>
      <c r="E14503" s="3241"/>
      <c r="F14503" s="3242"/>
      <c r="G14503" s="78"/>
      <c r="J14503" s="3531" t="s">
        <v>9301</v>
      </c>
      <c r="K14503" s="3531" t="s">
        <v>9302</v>
      </c>
      <c r="L14503" s="3532">
        <v>1.4932132799999999E-2</v>
      </c>
      <c r="M14503" s="3233"/>
      <c r="N14503" s="3531"/>
      <c r="O14503" s="3531">
        <v>64.58</v>
      </c>
      <c r="P14503" s="3531">
        <v>69.5</v>
      </c>
      <c r="Q14503" s="3531">
        <v>60.82</v>
      </c>
      <c r="R14503" s="3531">
        <v>68.34</v>
      </c>
      <c r="S14503" s="3531">
        <v>68.59</v>
      </c>
      <c r="T14503" s="3531"/>
      <c r="U14503" s="3531">
        <v>71.180000000000007</v>
      </c>
      <c r="V14503" s="3531">
        <v>72.989999999999995</v>
      </c>
      <c r="W14503" s="3531">
        <v>70.17</v>
      </c>
      <c r="X14503" s="3531">
        <v>74.2</v>
      </c>
      <c r="Y14503" s="3531">
        <v>63.62</v>
      </c>
      <c r="Z14503" s="3531">
        <v>61.81</v>
      </c>
      <c r="AA14503" s="3531">
        <v>58.2</v>
      </c>
      <c r="AB14503" s="3531"/>
      <c r="AC14503" s="3531">
        <v>61.62</v>
      </c>
      <c r="AD14503" s="3531">
        <v>67.290000000000006</v>
      </c>
      <c r="AE14503" s="3531">
        <v>67.88</v>
      </c>
      <c r="AF14503" s="3531">
        <v>68.180000000000007</v>
      </c>
      <c r="AG14503" s="3531">
        <v>68</v>
      </c>
      <c r="AH14503" s="3531">
        <v>65.489999999999995</v>
      </c>
    </row>
    <row r="14504" spans="1:34" ht="12.75" hidden="1" customHeight="1" outlineLevel="1" x14ac:dyDescent="0.3">
      <c r="A14504" s="3243" t="s">
        <v>2734</v>
      </c>
      <c r="B14504" s="3243"/>
      <c r="C14504" s="3244"/>
      <c r="D14504" s="1900" t="s">
        <v>3702</v>
      </c>
      <c r="E14504" s="3245">
        <v>44712</v>
      </c>
      <c r="F14504" s="3246"/>
      <c r="G14504" s="78"/>
      <c r="I14504" s="1910"/>
      <c r="J14504" s="3531" t="s">
        <v>10719</v>
      </c>
      <c r="K14504" s="3531" t="s">
        <v>7747</v>
      </c>
      <c r="L14504" s="3532">
        <v>9.9952022500000001E-2</v>
      </c>
      <c r="M14504" s="3233"/>
      <c r="N14504" s="3531"/>
      <c r="O14504" s="3531">
        <v>15.355</v>
      </c>
      <c r="P14504" s="3531">
        <v>14.7</v>
      </c>
      <c r="Q14504" s="3531">
        <v>13.33</v>
      </c>
      <c r="R14504" s="3531">
        <v>14.92</v>
      </c>
      <c r="S14504" s="3531">
        <v>15.074999999999999</v>
      </c>
      <c r="T14504" s="3531">
        <v>16</v>
      </c>
      <c r="U14504" s="3531"/>
      <c r="V14504" s="3531">
        <v>15.57</v>
      </c>
      <c r="W14504" s="3531">
        <v>15.42</v>
      </c>
      <c r="X14504" s="3531">
        <v>15.414999999999999</v>
      </c>
      <c r="Y14504" s="3531">
        <v>15.585000000000001</v>
      </c>
      <c r="Z14504" s="3531">
        <v>15.42</v>
      </c>
      <c r="AA14504" s="3531">
        <v>15.42</v>
      </c>
      <c r="AB14504" s="3531"/>
      <c r="AC14504" s="3531">
        <v>16.164999999999999</v>
      </c>
      <c r="AD14504" s="3531">
        <v>17.515000000000001</v>
      </c>
      <c r="AE14504" s="3531">
        <v>16.39</v>
      </c>
      <c r="AF14504" s="3531">
        <v>16.105</v>
      </c>
      <c r="AG14504" s="3531">
        <v>16.66</v>
      </c>
      <c r="AH14504" s="3531">
        <v>17.905000000000001</v>
      </c>
    </row>
    <row r="14505" spans="1:34" ht="12.75" hidden="1" customHeight="1" outlineLevel="1" x14ac:dyDescent="0.3">
      <c r="A14505" s="3237" t="s">
        <v>4156</v>
      </c>
      <c r="B14505" s="3237" t="s">
        <v>4153</v>
      </c>
      <c r="C14505" s="3247" t="s">
        <v>112</v>
      </c>
      <c r="D14505" s="3248" t="s">
        <v>4155</v>
      </c>
      <c r="E14505" s="3248" t="s">
        <v>4154</v>
      </c>
      <c r="F14505" s="3277" t="s">
        <v>2519</v>
      </c>
      <c r="G14505" s="78"/>
      <c r="I14505" s="3529"/>
      <c r="J14505" s="3531" t="s">
        <v>7135</v>
      </c>
      <c r="K14505" s="3531" t="s">
        <v>7143</v>
      </c>
      <c r="L14505" s="3532">
        <v>0.10573513079999999</v>
      </c>
      <c r="M14505" s="3233"/>
      <c r="N14505" s="3531"/>
      <c r="O14505" s="3531">
        <v>16.21</v>
      </c>
      <c r="P14505" s="3531">
        <v>17.38</v>
      </c>
      <c r="Q14505" s="3531">
        <v>16.2</v>
      </c>
      <c r="R14505" s="3531">
        <v>18.559999999999999</v>
      </c>
      <c r="S14505" s="3531">
        <v>17.73</v>
      </c>
      <c r="T14505" s="3531"/>
      <c r="U14505" s="3531">
        <v>16.605</v>
      </c>
      <c r="V14505" s="3531">
        <v>16.29</v>
      </c>
      <c r="W14505" s="3531">
        <v>17.324999999999999</v>
      </c>
      <c r="X14505" s="3531">
        <v>16.605</v>
      </c>
      <c r="Y14505" s="3531">
        <v>17.14</v>
      </c>
      <c r="Z14505" s="3531">
        <v>16.285</v>
      </c>
      <c r="AA14505" s="3531">
        <v>16.02</v>
      </c>
      <c r="AB14505" s="3531"/>
      <c r="AC14505" s="3531">
        <v>17.14</v>
      </c>
      <c r="AD14505" s="3531">
        <v>18.114999999999998</v>
      </c>
      <c r="AE14505" s="3531">
        <v>17.760000000000002</v>
      </c>
      <c r="AF14505" s="3531">
        <v>16.850000000000001</v>
      </c>
      <c r="AG14505" s="3531">
        <v>16.600000000000001</v>
      </c>
      <c r="AH14505" s="3531">
        <v>16.074999999999999</v>
      </c>
    </row>
    <row r="14506" spans="1:34" ht="12.75" hidden="1" customHeight="1" outlineLevel="1" x14ac:dyDescent="0.3">
      <c r="A14506" s="1991">
        <v>3.3333000000000002E-2</v>
      </c>
      <c r="B14506" s="1921" t="s">
        <v>359</v>
      </c>
      <c r="C14506" s="2108">
        <v>139.11999999999998</v>
      </c>
      <c r="D14506" s="3249">
        <v>195.02</v>
      </c>
      <c r="E14506" s="3250">
        <v>0.40181138585393938</v>
      </c>
      <c r="F14506" s="3277">
        <v>1.3393578924669362E-2</v>
      </c>
      <c r="G14506" s="78"/>
      <c r="H14506" t="s">
        <v>360</v>
      </c>
      <c r="I14506" s="1910"/>
      <c r="J14506" s="3531" t="s">
        <v>7134</v>
      </c>
      <c r="K14506" s="3531" t="s">
        <v>497</v>
      </c>
      <c r="L14506" s="3532">
        <v>0.21335109199999999</v>
      </c>
      <c r="M14506" s="3233"/>
      <c r="N14506" s="3531"/>
      <c r="O14506" s="3531">
        <v>12.895</v>
      </c>
      <c r="P14506" s="3531">
        <v>10.28</v>
      </c>
      <c r="Q14506" s="3531">
        <v>9.9079999999999995</v>
      </c>
      <c r="R14506" s="3531">
        <v>11.44</v>
      </c>
      <c r="S14506" s="3531">
        <v>12.12</v>
      </c>
      <c r="T14506" s="3531"/>
      <c r="U14506" s="3531">
        <v>11.425000000000001</v>
      </c>
      <c r="V14506" s="3531">
        <v>11.52</v>
      </c>
      <c r="W14506" s="3531">
        <v>10.265000000000001</v>
      </c>
      <c r="X14506" s="3531">
        <v>11.475</v>
      </c>
      <c r="Y14506" s="3531">
        <v>10.89</v>
      </c>
      <c r="Z14506" s="3531">
        <v>12.73</v>
      </c>
      <c r="AA14506" s="3531">
        <v>12.39</v>
      </c>
      <c r="AB14506" s="3531"/>
      <c r="AC14506" s="3531">
        <v>10.33</v>
      </c>
      <c r="AD14506" s="3531">
        <v>8.4979999999999993</v>
      </c>
      <c r="AE14506" s="3531">
        <v>8.1300000000000008</v>
      </c>
      <c r="AF14506" s="3531"/>
      <c r="AG14506" s="3531"/>
      <c r="AH14506" s="3531"/>
    </row>
    <row r="14507" spans="1:34" ht="12.75" hidden="1" customHeight="1" outlineLevel="1" x14ac:dyDescent="0.3">
      <c r="A14507" s="2380">
        <v>3.3333000000000002E-2</v>
      </c>
      <c r="B14507" s="1921" t="s">
        <v>3998</v>
      </c>
      <c r="C14507" s="2108">
        <v>32.553999999999995</v>
      </c>
      <c r="D14507" s="3252">
        <v>21.29</v>
      </c>
      <c r="E14507" s="3253">
        <v>-0.34600970694845479</v>
      </c>
      <c r="F14507" s="3282">
        <v>-1.1533541561712844E-2</v>
      </c>
      <c r="G14507" s="78"/>
      <c r="H14507" t="s">
        <v>4000</v>
      </c>
      <c r="I14507" s="1910"/>
      <c r="J14507" s="3531" t="s">
        <v>7134</v>
      </c>
      <c r="K14507" s="3531" t="s">
        <v>497</v>
      </c>
      <c r="L14507" s="3532">
        <v>0.2231450183</v>
      </c>
      <c r="M14507" s="3233"/>
      <c r="N14507" s="3531"/>
      <c r="O14507" s="3531"/>
      <c r="P14507" s="3531"/>
      <c r="Q14507" s="3531"/>
      <c r="R14507" s="3531"/>
      <c r="S14507" s="3531"/>
      <c r="T14507" s="3531"/>
      <c r="U14507" s="3531"/>
      <c r="V14507" s="3531"/>
      <c r="W14507" s="3531"/>
      <c r="X14507" s="3531"/>
      <c r="Y14507" s="3531"/>
      <c r="Z14507" s="3531"/>
      <c r="AA14507" s="3531"/>
      <c r="AB14507" s="3531"/>
      <c r="AC14507" s="3531"/>
      <c r="AD14507" s="3531"/>
      <c r="AE14507" s="3531"/>
      <c r="AF14507" s="3531">
        <v>8.5340000000000007</v>
      </c>
      <c r="AG14507" s="3531">
        <v>8.6839999999999993</v>
      </c>
      <c r="AH14507" s="3531">
        <v>8.2579999999999991</v>
      </c>
    </row>
    <row r="14508" spans="1:34" ht="12.75" hidden="1" customHeight="1" outlineLevel="1" x14ac:dyDescent="0.3">
      <c r="A14508" s="2380">
        <v>3.3333000000000002E-2</v>
      </c>
      <c r="B14508" s="1921" t="s">
        <v>218</v>
      </c>
      <c r="C14508" s="2108">
        <v>21.8735</v>
      </c>
      <c r="D14508" s="3252">
        <v>23.51</v>
      </c>
      <c r="E14508" s="3253">
        <v>7.4816558849749804E-2</v>
      </c>
      <c r="F14508" s="3282">
        <v>2.4938603561387102E-3</v>
      </c>
      <c r="G14508" s="78"/>
      <c r="H14508" t="s">
        <v>656</v>
      </c>
      <c r="I14508" s="1910"/>
      <c r="J14508" s="3531" t="s">
        <v>10698</v>
      </c>
      <c r="K14508" s="3531" t="s">
        <v>7745</v>
      </c>
      <c r="L14508" s="3532">
        <v>7.2097852200000007E-2</v>
      </c>
      <c r="M14508" s="3233"/>
      <c r="N14508" s="3531">
        <v>33.96</v>
      </c>
      <c r="O14508" s="3531"/>
      <c r="P14508" s="3531">
        <v>36.700000000000003</v>
      </c>
      <c r="Q14508" s="3531">
        <v>34.11</v>
      </c>
      <c r="R14508" s="3531">
        <v>37.83</v>
      </c>
      <c r="S14508" s="3531">
        <v>35.04</v>
      </c>
      <c r="T14508" s="3531"/>
      <c r="U14508" s="3531">
        <v>36.21</v>
      </c>
      <c r="V14508" s="3531">
        <v>37.979999999999997</v>
      </c>
      <c r="W14508" s="3531">
        <v>37.79</v>
      </c>
      <c r="X14508" s="3531">
        <v>37.04</v>
      </c>
      <c r="Y14508" s="3531">
        <v>36.125</v>
      </c>
      <c r="Z14508" s="3531">
        <v>33.795000000000002</v>
      </c>
      <c r="AA14508" s="3531">
        <v>34.909999999999997</v>
      </c>
      <c r="AB14508" s="3531">
        <v>35.405000000000001</v>
      </c>
      <c r="AC14508" s="3531"/>
      <c r="AD14508" s="3531">
        <v>36.61</v>
      </c>
      <c r="AE14508" s="3531">
        <v>35.314999999999998</v>
      </c>
      <c r="AF14508" s="3531">
        <v>37.74</v>
      </c>
      <c r="AG14508" s="3531">
        <v>40.880000000000003</v>
      </c>
      <c r="AH14508" s="3531">
        <v>40.020000000000003</v>
      </c>
    </row>
    <row r="14509" spans="1:34" ht="12.75" hidden="1" customHeight="1" outlineLevel="1" x14ac:dyDescent="0.3">
      <c r="A14509" s="2380">
        <v>3.3333000000000002E-2</v>
      </c>
      <c r="B14509" s="1921" t="s">
        <v>5386</v>
      </c>
      <c r="C14509" s="2108">
        <v>53.811</v>
      </c>
      <c r="D14509" s="3252">
        <v>68.91</v>
      </c>
      <c r="E14509" s="3253">
        <v>0.28059318726654392</v>
      </c>
      <c r="F14509" s="3282">
        <v>9.3530127111557081E-3</v>
      </c>
      <c r="G14509" s="78"/>
      <c r="H14509" t="s">
        <v>808</v>
      </c>
      <c r="I14509" s="1910"/>
      <c r="J14509" s="3531" t="s">
        <v>10693</v>
      </c>
      <c r="K14509" s="3531" t="s">
        <v>8442</v>
      </c>
      <c r="L14509" s="3532">
        <v>0.23303271810000001</v>
      </c>
      <c r="M14509" s="3233"/>
      <c r="N14509" s="3531">
        <v>19.7</v>
      </c>
      <c r="O14509" s="3531"/>
      <c r="P14509" s="3531">
        <v>19.984999999999999</v>
      </c>
      <c r="Q14509" s="3531">
        <v>20.69</v>
      </c>
      <c r="R14509" s="3531">
        <v>22.76</v>
      </c>
      <c r="S14509" s="3531">
        <v>21.85</v>
      </c>
      <c r="T14509" s="3531"/>
      <c r="U14509" s="3531">
        <v>23.31</v>
      </c>
      <c r="V14509" s="3531">
        <v>23.26</v>
      </c>
      <c r="W14509" s="3531">
        <v>23.24</v>
      </c>
      <c r="X14509" s="3531">
        <v>25.72</v>
      </c>
      <c r="Y14509" s="3531">
        <v>26.29</v>
      </c>
      <c r="Z14509" s="3531">
        <v>25.7</v>
      </c>
      <c r="AA14509" s="3531">
        <v>25.41</v>
      </c>
      <c r="AB14509" s="3531">
        <v>26.99</v>
      </c>
      <c r="AC14509" s="3531"/>
      <c r="AD14509" s="3531">
        <v>24.05</v>
      </c>
      <c r="AE14509" s="3531">
        <v>18.84</v>
      </c>
      <c r="AF14509" s="3531">
        <v>16.53</v>
      </c>
      <c r="AG14509" s="3531">
        <v>15.9</v>
      </c>
      <c r="AH14509" s="3531">
        <v>17.2</v>
      </c>
    </row>
    <row r="14510" spans="1:34" ht="12.75" hidden="1" customHeight="1" outlineLevel="1" x14ac:dyDescent="0.3">
      <c r="A14510" s="2380">
        <v>3.3333000000000002E-2</v>
      </c>
      <c r="B14510" s="1921" t="s">
        <v>7141</v>
      </c>
      <c r="C14510" s="2108">
        <v>8.4015000000000004</v>
      </c>
      <c r="D14510" s="3252">
        <v>5.2729999999999997</v>
      </c>
      <c r="E14510" s="3253">
        <v>-0.37237398083675544</v>
      </c>
      <c r="F14510" s="3282">
        <v>-1.241234190323157E-2</v>
      </c>
      <c r="G14510" s="78"/>
      <c r="H14510" t="s">
        <v>7139</v>
      </c>
      <c r="I14510" s="1910"/>
      <c r="J14510" s="3531" t="s">
        <v>6338</v>
      </c>
      <c r="K14510" s="3531" t="s">
        <v>8889</v>
      </c>
      <c r="L14510" s="3533">
        <v>1.3000390000000001E-2</v>
      </c>
      <c r="M14510" s="3233"/>
      <c r="N14510" s="3534">
        <v>373.5</v>
      </c>
      <c r="O14510" s="3534"/>
      <c r="P14510" s="3534">
        <v>356.2</v>
      </c>
      <c r="Q14510" s="3534">
        <v>371.5</v>
      </c>
      <c r="R14510" s="3534">
        <v>403.4</v>
      </c>
      <c r="S14510" s="3534">
        <v>374.7</v>
      </c>
      <c r="T14510" s="3534"/>
      <c r="U14510" s="3534">
        <v>375.6</v>
      </c>
      <c r="V14510" s="3534">
        <v>371.2</v>
      </c>
      <c r="W14510" s="3534">
        <v>365.8</v>
      </c>
      <c r="X14510" s="3534">
        <v>402</v>
      </c>
      <c r="Y14510" s="3534">
        <v>383.6</v>
      </c>
      <c r="Z14510" s="3534">
        <v>405.9</v>
      </c>
      <c r="AA14510" s="3534">
        <v>379.1</v>
      </c>
      <c r="AB14510" s="3534">
        <v>400.4</v>
      </c>
      <c r="AC14510" s="3534"/>
      <c r="AD14510" s="3534">
        <v>440.7</v>
      </c>
      <c r="AE14510" s="3534">
        <v>421.6</v>
      </c>
      <c r="AF14510" s="3534">
        <v>456.8</v>
      </c>
      <c r="AG14510" s="3534">
        <v>445.9</v>
      </c>
      <c r="AH14510" s="3534">
        <v>438</v>
      </c>
    </row>
    <row r="14511" spans="1:34" ht="12.75" hidden="1" customHeight="1" outlineLevel="1" x14ac:dyDescent="0.3">
      <c r="A14511" s="2380">
        <v>3.3333000000000002E-2</v>
      </c>
      <c r="B14511" s="1921" t="s">
        <v>6821</v>
      </c>
      <c r="C14511" s="2108">
        <v>324.60918591461518</v>
      </c>
      <c r="D14511" s="3252">
        <v>257.3</v>
      </c>
      <c r="E14511" s="3253">
        <v>-0.20735453226613276</v>
      </c>
      <c r="F14511" s="3282">
        <v>-6.9117486240270034E-3</v>
      </c>
      <c r="G14511" s="78"/>
      <c r="H14511" t="s">
        <v>6822</v>
      </c>
      <c r="I14511" s="1910"/>
      <c r="J14511" s="3531" t="s">
        <v>7137</v>
      </c>
      <c r="K14511" s="3531" t="s">
        <v>3922</v>
      </c>
      <c r="L14511" s="3532">
        <v>0.79239766079999996</v>
      </c>
      <c r="M14511" s="3233"/>
      <c r="N14511" s="3531">
        <v>6.25</v>
      </c>
      <c r="O14511" s="3531"/>
      <c r="P14511" s="3531">
        <v>5.9939999999999998</v>
      </c>
      <c r="Q14511" s="3531">
        <v>5.7679999999999998</v>
      </c>
      <c r="R14511" s="3531">
        <v>6.4379999999999997</v>
      </c>
      <c r="S14511" s="3531">
        <v>6.13</v>
      </c>
      <c r="T14511" s="3531"/>
      <c r="U14511" s="3531">
        <v>6.2480000000000002</v>
      </c>
      <c r="V14511" s="3531">
        <v>6.2839999999999998</v>
      </c>
      <c r="W14511" s="3531">
        <v>6.7039999999999997</v>
      </c>
      <c r="X14511" s="3531">
        <v>6.6959999999999997</v>
      </c>
      <c r="Y14511" s="3531">
        <v>6.1360000000000001</v>
      </c>
      <c r="Z14511" s="3531">
        <v>6.4420000000000002</v>
      </c>
      <c r="AA14511" s="3531">
        <v>6.5759999999999996</v>
      </c>
      <c r="AB14511" s="3531">
        <v>7.1139999999999999</v>
      </c>
      <c r="AC14511" s="3531"/>
      <c r="AD14511" s="3531">
        <v>6.95</v>
      </c>
      <c r="AE14511" s="3531">
        <v>7.3419999999999996</v>
      </c>
      <c r="AF14511" s="3531">
        <v>7.7859999999999996</v>
      </c>
      <c r="AG14511" s="3531">
        <v>7.766</v>
      </c>
      <c r="AH14511" s="3531">
        <v>7.89</v>
      </c>
    </row>
    <row r="14512" spans="1:34" ht="12.75" hidden="1" customHeight="1" outlineLevel="1" x14ac:dyDescent="0.3">
      <c r="A14512" s="2380">
        <v>3.3333000000000002E-2</v>
      </c>
      <c r="B14512" s="1921" t="s">
        <v>7134</v>
      </c>
      <c r="C14512" s="2108">
        <v>14.937819474502696</v>
      </c>
      <c r="D14512" s="3252">
        <v>8.2579999999999991</v>
      </c>
      <c r="E14512" s="3253">
        <v>-0.44717500341361427</v>
      </c>
      <c r="F14512" s="3282">
        <v>-1.4905684388786006E-2</v>
      </c>
      <c r="G14512" s="78"/>
      <c r="H14512" t="s">
        <v>497</v>
      </c>
      <c r="I14512" s="1910"/>
      <c r="J14512" s="3531" t="s">
        <v>10690</v>
      </c>
      <c r="K14512" s="3531" t="s">
        <v>7860</v>
      </c>
      <c r="L14512" s="3532">
        <v>0.11184069250000001</v>
      </c>
      <c r="M14512" s="3233"/>
      <c r="N14512" s="3531">
        <v>44.87</v>
      </c>
      <c r="O14512" s="3531"/>
      <c r="P14512" s="3531">
        <v>49.08</v>
      </c>
      <c r="Q14512" s="3531">
        <v>49.35</v>
      </c>
      <c r="R14512" s="3531">
        <v>51.14</v>
      </c>
      <c r="S14512" s="3531">
        <v>47.19</v>
      </c>
      <c r="T14512" s="3531"/>
      <c r="U14512" s="3531">
        <v>48.26</v>
      </c>
      <c r="V14512" s="3531">
        <v>50.32</v>
      </c>
      <c r="W14512" s="3531">
        <v>54.18</v>
      </c>
      <c r="X14512" s="3531">
        <v>54.24</v>
      </c>
      <c r="Y14512" s="3531">
        <v>53.64</v>
      </c>
      <c r="Z14512" s="3531">
        <v>52.18</v>
      </c>
      <c r="AA14512" s="3531">
        <v>52.96</v>
      </c>
      <c r="AB14512" s="3531">
        <v>54.12</v>
      </c>
      <c r="AC14512" s="3531"/>
      <c r="AD14512" s="3531">
        <v>52.08</v>
      </c>
      <c r="AE14512" s="3531">
        <v>49.55</v>
      </c>
      <c r="AF14512" s="3531">
        <v>54.62</v>
      </c>
      <c r="AG14512" s="3531">
        <v>55.76</v>
      </c>
      <c r="AH14512" s="3531">
        <v>52.7</v>
      </c>
    </row>
    <row r="14513" spans="1:34" ht="12.75" hidden="1" customHeight="1" outlineLevel="1" x14ac:dyDescent="0.3">
      <c r="A14513" s="2380">
        <v>3.3333000000000002E-2</v>
      </c>
      <c r="B14513" s="1921" t="s">
        <v>6942</v>
      </c>
      <c r="C14513" s="2108">
        <v>29.804000000000002</v>
      </c>
      <c r="D14513" s="3252">
        <v>52.7</v>
      </c>
      <c r="E14513" s="3253">
        <v>0.76821903100255007</v>
      </c>
      <c r="F14513" s="3282">
        <v>2.5607044960408002E-2</v>
      </c>
      <c r="G14513" s="78"/>
      <c r="H14513" t="s">
        <v>7860</v>
      </c>
      <c r="I14513" s="1910"/>
      <c r="J14513" s="3531" t="s">
        <v>7136</v>
      </c>
      <c r="K14513" s="3531" t="s">
        <v>6943</v>
      </c>
      <c r="L14513" s="3532">
        <v>4.6167179699999998E-2</v>
      </c>
      <c r="M14513" s="3233"/>
      <c r="N14513" s="3531">
        <v>108.6</v>
      </c>
      <c r="O14513" s="3531"/>
      <c r="P14513" s="3531">
        <v>115.5</v>
      </c>
      <c r="Q14513" s="3531">
        <v>106.55</v>
      </c>
      <c r="R14513" s="3531">
        <v>117.8</v>
      </c>
      <c r="S14513" s="3531">
        <v>109.35</v>
      </c>
      <c r="T14513" s="3531"/>
      <c r="U14513" s="3531">
        <v>111.6</v>
      </c>
      <c r="V14513" s="3531"/>
      <c r="W14513" s="3531"/>
      <c r="X14513" s="3531"/>
      <c r="Y14513" s="3531"/>
      <c r="Z14513" s="3531"/>
      <c r="AA14513" s="3531"/>
      <c r="AB14513" s="3531"/>
      <c r="AC14513" s="3531"/>
      <c r="AD14513" s="3531"/>
      <c r="AE14513" s="3531"/>
      <c r="AF14513" s="3531"/>
      <c r="AG14513" s="3531"/>
      <c r="AH14513" s="3531"/>
    </row>
    <row r="14514" spans="1:34" ht="12.75" hidden="1" customHeight="1" outlineLevel="1" x14ac:dyDescent="0.3">
      <c r="A14514" s="2380">
        <v>3.3333000000000002E-2</v>
      </c>
      <c r="B14514" s="1921" t="s">
        <v>4268</v>
      </c>
      <c r="C14514" s="2108">
        <v>14.304000000000002</v>
      </c>
      <c r="D14514" s="3252">
        <v>17.2</v>
      </c>
      <c r="E14514" s="3253">
        <v>0.20246085011185655</v>
      </c>
      <c r="F14514" s="3282">
        <v>6.748627516778515E-3</v>
      </c>
      <c r="G14514" s="78"/>
      <c r="H14514" t="s">
        <v>8442</v>
      </c>
      <c r="I14514" s="1910"/>
      <c r="J14514" s="3531" t="s">
        <v>7136</v>
      </c>
      <c r="K14514" s="3531" t="s">
        <v>6943</v>
      </c>
      <c r="L14514" s="3532">
        <v>4.73689926E-2</v>
      </c>
      <c r="M14514" s="3233"/>
      <c r="N14514" s="3531"/>
      <c r="O14514" s="3531"/>
      <c r="P14514" s="3531"/>
      <c r="Q14514" s="3531"/>
      <c r="R14514" s="3531"/>
      <c r="S14514" s="3531"/>
      <c r="T14514" s="3531"/>
      <c r="U14514" s="3531"/>
      <c r="V14514" s="3531">
        <v>116.6</v>
      </c>
      <c r="W14514" s="3531">
        <v>126.45</v>
      </c>
      <c r="X14514" s="3531">
        <v>129.35</v>
      </c>
      <c r="Y14514" s="3531">
        <v>129.85</v>
      </c>
      <c r="Z14514" s="3531">
        <v>121.15</v>
      </c>
      <c r="AA14514" s="3531">
        <v>129.1</v>
      </c>
      <c r="AB14514" s="3531">
        <v>129.1</v>
      </c>
      <c r="AC14514" s="3531"/>
      <c r="AD14514" s="3531">
        <v>134.94999999999999</v>
      </c>
      <c r="AE14514" s="3531">
        <v>125.75</v>
      </c>
      <c r="AF14514" s="3531">
        <v>142.30000000000001</v>
      </c>
      <c r="AG14514" s="3531"/>
      <c r="AH14514" s="3531"/>
    </row>
    <row r="14515" spans="1:34" ht="12.75" hidden="1" customHeight="1" outlineLevel="1" x14ac:dyDescent="0.3">
      <c r="A14515" s="2380">
        <v>3.3333000000000002E-2</v>
      </c>
      <c r="B14515" s="1921" t="s">
        <v>3799</v>
      </c>
      <c r="C14515" s="2108">
        <v>1262.5594620413863</v>
      </c>
      <c r="D14515" s="3252">
        <v>1732.6</v>
      </c>
      <c r="E14515" s="3253">
        <v>0.37229180255686511</v>
      </c>
      <c r="F14515" s="3282">
        <v>1.2409602654627986E-2</v>
      </c>
      <c r="G14515" s="78"/>
      <c r="H14515" t="s">
        <v>4128</v>
      </c>
      <c r="I14515" s="1910"/>
      <c r="J14515" s="3531" t="s">
        <v>7136</v>
      </c>
      <c r="K14515" s="3531" t="s">
        <v>6943</v>
      </c>
      <c r="L14515" s="3532">
        <v>5.19330281E-2</v>
      </c>
      <c r="M14515" s="3233"/>
      <c r="N14515" s="3531"/>
      <c r="O14515" s="3531"/>
      <c r="P14515" s="3531"/>
      <c r="Q14515" s="3531"/>
      <c r="R14515" s="3531"/>
      <c r="S14515" s="3531"/>
      <c r="T14515" s="3531"/>
      <c r="U14515" s="3531"/>
      <c r="V14515" s="3531"/>
      <c r="W14515" s="3531"/>
      <c r="X14515" s="3531"/>
      <c r="Y14515" s="3531"/>
      <c r="Z14515" s="3531"/>
      <c r="AA14515" s="3531"/>
      <c r="AB14515" s="3531"/>
      <c r="AC14515" s="3531"/>
      <c r="AD14515" s="3531"/>
      <c r="AE14515" s="3531"/>
      <c r="AF14515" s="3531"/>
      <c r="AG14515" s="3531">
        <v>130.30000000000001</v>
      </c>
      <c r="AH14515" s="3531">
        <v>119.45</v>
      </c>
    </row>
    <row r="14516" spans="1:34" ht="12.75" hidden="1" customHeight="1" outlineLevel="1" x14ac:dyDescent="0.3">
      <c r="A14516" s="2380">
        <v>3.3333000000000002E-2</v>
      </c>
      <c r="B14516" s="1921" t="s">
        <v>6331</v>
      </c>
      <c r="C14516" s="2108">
        <v>37.811</v>
      </c>
      <c r="D14516" s="3252">
        <v>29.69</v>
      </c>
      <c r="E14516" s="3253">
        <v>-0.21477876808336194</v>
      </c>
      <c r="F14516" s="3282">
        <v>-7.1592206765227042E-3</v>
      </c>
      <c r="G14516" s="78"/>
      <c r="H14516" t="s">
        <v>10140</v>
      </c>
      <c r="I14516" s="1910"/>
      <c r="J14516" s="3531"/>
      <c r="K14516" s="3531"/>
      <c r="L14516" s="3532"/>
      <c r="M14516" s="3233"/>
      <c r="N14516" s="3531"/>
      <c r="O14516" s="3531"/>
      <c r="P14516" s="3531"/>
      <c r="Q14516" s="3531"/>
      <c r="R14516" s="3531"/>
      <c r="S14516" s="3531"/>
      <c r="T14516" s="3531"/>
      <c r="U14516" s="3531"/>
      <c r="V14516" s="3531"/>
      <c r="W14516" s="3531"/>
      <c r="X14516" s="3531"/>
      <c r="Y14516" s="3531"/>
      <c r="Z14516" s="3531"/>
      <c r="AA14516" s="3531"/>
      <c r="AB14516" s="3531"/>
      <c r="AC14516" s="3531"/>
      <c r="AD14516" s="3531"/>
      <c r="AE14516" s="3531"/>
      <c r="AF14516" s="3531"/>
      <c r="AG14516" s="3531"/>
      <c r="AH14516" s="3531"/>
    </row>
    <row r="14517" spans="1:34" ht="12.75" hidden="1" customHeight="1" outlineLevel="1" x14ac:dyDescent="0.3">
      <c r="A14517" s="2380">
        <v>3.3333000000000002E-2</v>
      </c>
      <c r="B14517" s="1921" t="s">
        <v>1771</v>
      </c>
      <c r="C14517" s="2108">
        <v>498.95</v>
      </c>
      <c r="D14517" s="3252">
        <v>533</v>
      </c>
      <c r="E14517" s="3253">
        <v>6.8243310953001401E-2</v>
      </c>
      <c r="F14517" s="3282">
        <v>2.2747542839963958E-3</v>
      </c>
      <c r="G14517" s="78"/>
      <c r="H14517" t="s">
        <v>4329</v>
      </c>
      <c r="I14517" s="1910"/>
      <c r="J14517" s="3231" t="s">
        <v>10542</v>
      </c>
      <c r="K14517" s="3231" t="s">
        <v>360</v>
      </c>
      <c r="L14517" s="3491">
        <v>2.39598907E-2</v>
      </c>
      <c r="M14517" s="3491">
        <v>3.5939836053593979E-2</v>
      </c>
      <c r="N14517" s="3231">
        <v>200.7</v>
      </c>
      <c r="O14517" s="3231"/>
      <c r="P14517" s="3231">
        <v>186.52</v>
      </c>
      <c r="Q14517" s="3231">
        <v>199.8</v>
      </c>
      <c r="R14517" s="3231">
        <v>217.05</v>
      </c>
      <c r="S14517" s="3231">
        <v>216.4</v>
      </c>
      <c r="T14517" s="3231"/>
      <c r="U14517" s="3231">
        <v>215.45</v>
      </c>
      <c r="V14517" s="3231">
        <v>210.3</v>
      </c>
      <c r="W14517" s="3231">
        <v>210</v>
      </c>
      <c r="X14517" s="3231">
        <v>198.98</v>
      </c>
      <c r="Y14517" s="3231">
        <v>194.84</v>
      </c>
      <c r="Z14517" s="3231">
        <v>201.15</v>
      </c>
      <c r="AA14517" s="3231">
        <v>192.44</v>
      </c>
      <c r="AB14517" s="3231">
        <v>207.65</v>
      </c>
      <c r="AC14517" s="3231"/>
      <c r="AD14517" s="3231">
        <v>227.35</v>
      </c>
      <c r="AE14517" s="3231">
        <v>203.3</v>
      </c>
      <c r="AF14517" s="3231">
        <v>216.55</v>
      </c>
      <c r="AG14517" s="3231">
        <v>216.2</v>
      </c>
      <c r="AH14517" s="3231">
        <v>195.02</v>
      </c>
    </row>
    <row r="14518" spans="1:34" ht="12.75" hidden="1" customHeight="1" outlineLevel="1" x14ac:dyDescent="0.3">
      <c r="A14518" s="2380">
        <v>3.3333000000000002E-2</v>
      </c>
      <c r="B14518" s="1921" t="s">
        <v>1343</v>
      </c>
      <c r="C14518" s="2519">
        <v>3334.9</v>
      </c>
      <c r="D14518" s="3252">
        <v>1790.5</v>
      </c>
      <c r="E14518" s="3253">
        <v>-0.46310234189930732</v>
      </c>
      <c r="F14518" s="3282">
        <v>-1.5436590362529612E-2</v>
      </c>
      <c r="G14518" s="78"/>
      <c r="H14518" t="s">
        <v>7747</v>
      </c>
      <c r="I14518" s="1910"/>
      <c r="J14518" s="3535" t="s">
        <v>10705</v>
      </c>
      <c r="K14518" s="3535" t="s">
        <v>10706</v>
      </c>
      <c r="L14518" s="3491">
        <v>0.10239294710000001</v>
      </c>
      <c r="M14518" s="3491">
        <v>0.15358942066535897</v>
      </c>
      <c r="N14518" s="3231"/>
      <c r="O14518" s="3231"/>
      <c r="P14518" s="3231"/>
      <c r="Q14518" s="3231"/>
      <c r="R14518" s="3231"/>
      <c r="S14518" s="3231"/>
      <c r="T14518" s="3231"/>
      <c r="U14518" s="3231"/>
      <c r="V14518" s="3231"/>
      <c r="W14518" s="3231"/>
      <c r="X14518" s="3231"/>
      <c r="Y14518" s="3231"/>
      <c r="Z14518" s="3231"/>
      <c r="AA14518" s="3231"/>
      <c r="AB14518" s="3231"/>
      <c r="AC14518" s="3231"/>
      <c r="AD14518" s="3231"/>
      <c r="AE14518" s="3231"/>
      <c r="AF14518" s="3231"/>
      <c r="AG14518" s="3231">
        <v>23.2605</v>
      </c>
      <c r="AH14518" s="3231">
        <v>25.7546</v>
      </c>
    </row>
    <row r="14519" spans="1:34" ht="12.75" hidden="1" customHeight="1" outlineLevel="1" x14ac:dyDescent="0.3">
      <c r="A14519" s="2380">
        <v>3.3333000000000002E-2</v>
      </c>
      <c r="B14519" s="1921" t="s">
        <v>2786</v>
      </c>
      <c r="C14519" s="2108">
        <v>856.33474235803976</v>
      </c>
      <c r="D14519" s="3252">
        <v>1171</v>
      </c>
      <c r="E14519" s="3253">
        <v>0.36745590489004876</v>
      </c>
      <c r="F14519" s="3282">
        <v>1.2248407677699996E-2</v>
      </c>
      <c r="G14519" s="78"/>
      <c r="H14519" t="s">
        <v>4195</v>
      </c>
      <c r="I14519" s="1910"/>
      <c r="J14519" s="3535" t="s">
        <v>6046</v>
      </c>
      <c r="K14519" s="3535" t="s">
        <v>4000</v>
      </c>
      <c r="L14519" s="3491">
        <v>0.10239294710000001</v>
      </c>
      <c r="M14519" s="3491">
        <v>0.15358942066535897</v>
      </c>
      <c r="N14519" s="3231"/>
      <c r="O14519" s="3231">
        <v>28.76</v>
      </c>
      <c r="P14519" s="3231">
        <v>28.63</v>
      </c>
      <c r="Q14519" s="3231">
        <v>27.89</v>
      </c>
      <c r="R14519" s="3231">
        <v>30.27</v>
      </c>
      <c r="S14519" s="3231">
        <v>31.41</v>
      </c>
      <c r="T14519" s="3231">
        <v>29.43</v>
      </c>
      <c r="U14519" s="3231"/>
      <c r="V14519" s="3231">
        <v>28.78</v>
      </c>
      <c r="W14519" s="3231">
        <v>28.05</v>
      </c>
      <c r="X14519" s="3231">
        <v>27.42</v>
      </c>
      <c r="Y14519" s="3231">
        <v>27.01</v>
      </c>
      <c r="Z14519" s="3231">
        <v>25.26</v>
      </c>
      <c r="AA14519" s="3231">
        <v>22.83</v>
      </c>
      <c r="AB14519" s="3231"/>
      <c r="AC14519" s="3231">
        <v>24.6</v>
      </c>
      <c r="AD14519" s="3231">
        <v>25.5</v>
      </c>
      <c r="AE14519" s="3231">
        <v>23.69</v>
      </c>
      <c r="AF14519" s="3231">
        <v>23.63</v>
      </c>
      <c r="AG14519" s="3231"/>
      <c r="AH14519" s="3231"/>
    </row>
    <row r="14520" spans="1:34" ht="12.75" hidden="1" customHeight="1" outlineLevel="1" x14ac:dyDescent="0.3">
      <c r="A14520" s="2380">
        <v>3.3333000000000002E-2</v>
      </c>
      <c r="B14520" s="1921" t="s">
        <v>7135</v>
      </c>
      <c r="C14520" s="2108">
        <v>31.524999999999999</v>
      </c>
      <c r="D14520" s="3252">
        <v>16.074999999999999</v>
      </c>
      <c r="E14520" s="3253">
        <v>-0.49008723235527363</v>
      </c>
      <c r="F14520" s="3282">
        <v>-1.6336077716098338E-2</v>
      </c>
      <c r="G14520" s="78"/>
      <c r="H14520" t="s">
        <v>7143</v>
      </c>
      <c r="I14520" s="1910"/>
      <c r="J14520" s="3231" t="s">
        <v>10683</v>
      </c>
      <c r="K14520" s="3231" t="s">
        <v>656</v>
      </c>
      <c r="L14520" s="3491">
        <v>0.1523898782</v>
      </c>
      <c r="M14520" s="3491">
        <v>0.22858481732285846</v>
      </c>
      <c r="N14520" s="3231"/>
      <c r="O14520" s="3231">
        <v>19.512</v>
      </c>
      <c r="P14520" s="3231">
        <v>18.3</v>
      </c>
      <c r="Q14520" s="3231">
        <v>20.8</v>
      </c>
      <c r="R14520" s="3231">
        <v>22.885000000000002</v>
      </c>
      <c r="S14520" s="3231">
        <v>23.524999999999999</v>
      </c>
      <c r="T14520" s="3231"/>
      <c r="U14520" s="3231">
        <v>22.58</v>
      </c>
      <c r="V14520" s="3231">
        <v>21.385000000000002</v>
      </c>
      <c r="W14520" s="3231">
        <v>21.88</v>
      </c>
      <c r="X14520" s="3231">
        <v>23.78</v>
      </c>
      <c r="Y14520" s="3231">
        <v>24.085000000000001</v>
      </c>
      <c r="Z14520" s="3231">
        <v>25.16</v>
      </c>
      <c r="AA14520" s="3231">
        <v>24.35</v>
      </c>
      <c r="AB14520" s="3231"/>
      <c r="AC14520" s="3231">
        <v>26.184999999999999</v>
      </c>
      <c r="AD14520" s="3231">
        <v>27.954999999999998</v>
      </c>
      <c r="AE14520" s="3231">
        <v>24.274999999999999</v>
      </c>
      <c r="AF14520" s="3231">
        <v>26.565000000000001</v>
      </c>
      <c r="AG14520" s="3231">
        <v>25.46</v>
      </c>
      <c r="AH14520" s="3231">
        <v>23.51</v>
      </c>
    </row>
    <row r="14521" spans="1:34" ht="12.75" hidden="1" customHeight="1" outlineLevel="1" x14ac:dyDescent="0.3">
      <c r="A14521" s="2380">
        <v>3.3333000000000002E-2</v>
      </c>
      <c r="B14521" s="1921" t="s">
        <v>54</v>
      </c>
      <c r="C14521" s="2108">
        <v>10.813499999999999</v>
      </c>
      <c r="D14521" s="3252">
        <v>14.994999999999999</v>
      </c>
      <c r="E14521" s="3253">
        <v>0.38669256022564391</v>
      </c>
      <c r="F14521" s="3282">
        <v>1.2889623110001389E-2</v>
      </c>
      <c r="G14521" s="78"/>
      <c r="H14521" t="s">
        <v>6741</v>
      </c>
      <c r="I14521" s="1910"/>
      <c r="J14521" s="3231" t="s">
        <v>5386</v>
      </c>
      <c r="K14521" s="3231" t="s">
        <v>808</v>
      </c>
      <c r="L14521" s="3491">
        <v>6.1944583800000001E-2</v>
      </c>
      <c r="M14521" s="3491">
        <v>9.2916875709291691E-2</v>
      </c>
      <c r="N14521" s="3231"/>
      <c r="O14521" s="3231">
        <v>54.43</v>
      </c>
      <c r="P14521" s="3231">
        <v>54.24</v>
      </c>
      <c r="Q14521" s="3231">
        <v>54.43</v>
      </c>
      <c r="R14521" s="3231">
        <v>56.73</v>
      </c>
      <c r="S14521" s="3231">
        <v>58.1</v>
      </c>
      <c r="T14521" s="3231"/>
      <c r="U14521" s="3231">
        <v>59.82</v>
      </c>
      <c r="V14521" s="3231">
        <v>61.13</v>
      </c>
      <c r="W14521" s="3231">
        <v>62.27</v>
      </c>
      <c r="X14521" s="3231">
        <v>65.8</v>
      </c>
      <c r="Y14521" s="3231">
        <v>63.45</v>
      </c>
      <c r="Z14521" s="3231">
        <v>63.71</v>
      </c>
      <c r="AA14521" s="3231">
        <v>64.290000000000006</v>
      </c>
      <c r="AB14521" s="3231"/>
      <c r="AC14521" s="3231">
        <v>65.81</v>
      </c>
      <c r="AD14521" s="3231">
        <v>66.400000000000006</v>
      </c>
      <c r="AE14521" s="3231">
        <v>66.569999999999993</v>
      </c>
      <c r="AF14521" s="3231">
        <v>69.3</v>
      </c>
      <c r="AG14521" s="3231">
        <v>68.3</v>
      </c>
      <c r="AH14521" s="3231">
        <v>68.91</v>
      </c>
    </row>
    <row r="14522" spans="1:34" ht="12.75" hidden="1" customHeight="1" outlineLevel="1" x14ac:dyDescent="0.3">
      <c r="A14522" s="2380">
        <v>3.3333000000000002E-2</v>
      </c>
      <c r="B14522" s="1921" t="s">
        <v>5205</v>
      </c>
      <c r="C14522" s="2108">
        <v>1592.75</v>
      </c>
      <c r="D14522" s="3252">
        <v>1895.2</v>
      </c>
      <c r="E14522" s="3253">
        <v>0.18989169675090256</v>
      </c>
      <c r="F14522" s="3282">
        <v>6.3296599277978356E-3</v>
      </c>
      <c r="G14522" s="78"/>
      <c r="H14522" t="s">
        <v>5199</v>
      </c>
      <c r="I14522" s="1910"/>
      <c r="J14522" s="3231" t="s">
        <v>10545</v>
      </c>
      <c r="K14522" s="3231" t="s">
        <v>6822</v>
      </c>
      <c r="L14522" s="3491">
        <v>1.0268655801</v>
      </c>
      <c r="M14522" s="3491">
        <v>1.5402983703040296</v>
      </c>
      <c r="N14522" s="3231"/>
      <c r="O14522" s="3231">
        <v>3.19</v>
      </c>
      <c r="P14522" s="3231">
        <v>2.9990000000000001</v>
      </c>
      <c r="Q14522" s="3231">
        <v>3.206</v>
      </c>
      <c r="R14522" s="3231">
        <v>3.133</v>
      </c>
      <c r="S14522" s="3231">
        <v>2.851</v>
      </c>
      <c r="T14522" s="3231">
        <v>2.9729999999999999</v>
      </c>
      <c r="U14522" s="3231"/>
      <c r="V14522" s="3231">
        <v>2.85</v>
      </c>
      <c r="W14522" s="3231">
        <v>2.9769999999999999</v>
      </c>
      <c r="X14522" s="3231">
        <v>3.09</v>
      </c>
      <c r="Y14522" s="3231">
        <v>2.8959999999999999</v>
      </c>
      <c r="Z14522" s="3231">
        <v>2.9239999999999999</v>
      </c>
      <c r="AA14522" s="3231">
        <v>2.706</v>
      </c>
      <c r="AB14522" s="3231"/>
      <c r="AC14522" s="3231">
        <v>2.79</v>
      </c>
      <c r="AD14522" s="3231">
        <v>3.0489999999999999</v>
      </c>
      <c r="AE14522" s="3231">
        <v>2.9609999999999999</v>
      </c>
      <c r="AF14522" s="3231">
        <v>2.7509999999999999</v>
      </c>
      <c r="AG14522" s="3231">
        <v>2.5369999999999999</v>
      </c>
      <c r="AH14522" s="3231">
        <v>2.573</v>
      </c>
    </row>
    <row r="14523" spans="1:34" ht="12.75" hidden="1" customHeight="1" outlineLevel="1" x14ac:dyDescent="0.3">
      <c r="A14523" s="2380">
        <v>3.3333000000000002E-2</v>
      </c>
      <c r="B14523" s="1921" t="s">
        <v>6270</v>
      </c>
      <c r="C14523" s="2108">
        <v>41.155640914525392</v>
      </c>
      <c r="D14523" s="3252">
        <v>42.08</v>
      </c>
      <c r="E14523" s="3253">
        <v>2.2460082383223501E-2</v>
      </c>
      <c r="F14523" s="3282">
        <v>7.4866192607998903E-4</v>
      </c>
      <c r="G14523" s="78"/>
      <c r="H14523" t="s">
        <v>8166</v>
      </c>
      <c r="I14523" s="1910"/>
      <c r="J14523" s="3231" t="s">
        <v>6052</v>
      </c>
      <c r="K14523" s="3231" t="s">
        <v>4128</v>
      </c>
      <c r="L14523" s="3491">
        <v>0.26401132779999997</v>
      </c>
      <c r="M14523" s="3491">
        <v>0.39601699173960164</v>
      </c>
      <c r="N14523" s="3231"/>
      <c r="O14523" s="3231">
        <v>13.42</v>
      </c>
      <c r="P14523" s="3231">
        <v>13.57</v>
      </c>
      <c r="Q14523" s="3231">
        <v>11.907999999999999</v>
      </c>
      <c r="R14523" s="3231">
        <v>12.88</v>
      </c>
      <c r="S14523" s="3231">
        <v>13.396000000000001</v>
      </c>
      <c r="T14523" s="3231">
        <v>13.442</v>
      </c>
      <c r="U14523" s="3231"/>
      <c r="V14523" s="3231">
        <v>14.194000000000001</v>
      </c>
      <c r="W14523" s="3231">
        <v>14.178000000000001</v>
      </c>
      <c r="X14523" s="3231">
        <v>14.62</v>
      </c>
      <c r="Y14523" s="3231">
        <v>14.036</v>
      </c>
      <c r="Z14523" s="3231">
        <v>15.086</v>
      </c>
      <c r="AA14523" s="3231">
        <v>15.25</v>
      </c>
      <c r="AB14523" s="3231"/>
      <c r="AC14523" s="3231">
        <v>16.065999999999999</v>
      </c>
      <c r="AD14523" s="3231">
        <v>16.43</v>
      </c>
      <c r="AE14523" s="3231">
        <v>15.454000000000001</v>
      </c>
      <c r="AF14523" s="3231">
        <v>16.472000000000001</v>
      </c>
      <c r="AG14523" s="3231">
        <v>17.97</v>
      </c>
      <c r="AH14523" s="3231">
        <v>17.326000000000001</v>
      </c>
    </row>
    <row r="14524" spans="1:34" ht="12.75" hidden="1" customHeight="1" outlineLevel="1" x14ac:dyDescent="0.3">
      <c r="A14524" s="2380">
        <v>3.3333000000000002E-2</v>
      </c>
      <c r="B14524" s="1921" t="s">
        <v>6164</v>
      </c>
      <c r="C14524" s="2108">
        <v>3.6731713119598712</v>
      </c>
      <c r="D14524" s="3252">
        <v>5.41</v>
      </c>
      <c r="E14524" s="3253">
        <v>0.47284173280592778</v>
      </c>
      <c r="F14524" s="3282">
        <v>1.5761233479619993E-2</v>
      </c>
      <c r="G14524" s="78"/>
      <c r="H14524" t="s">
        <v>6114</v>
      </c>
      <c r="I14524" s="1910"/>
      <c r="J14524" s="3231" t="s">
        <v>10139</v>
      </c>
      <c r="K14524" s="3231" t="s">
        <v>10370</v>
      </c>
      <c r="L14524" s="3491">
        <v>9.6837389199999999E-2</v>
      </c>
      <c r="M14524" s="3491">
        <v>0.14525608381452559</v>
      </c>
      <c r="N14524" s="3231"/>
      <c r="O14524" s="3231">
        <v>30.23</v>
      </c>
      <c r="P14524" s="3231">
        <v>29.65</v>
      </c>
      <c r="Q14524" s="3231">
        <v>29.09</v>
      </c>
      <c r="R14524" s="3231">
        <v>31.74</v>
      </c>
      <c r="S14524" s="3231">
        <v>34.340000000000003</v>
      </c>
      <c r="T14524" s="3231">
        <v>33.380000000000003</v>
      </c>
      <c r="U14524" s="3231"/>
      <c r="V14524" s="3231">
        <v>33.29</v>
      </c>
      <c r="W14524" s="3231">
        <v>36.97</v>
      </c>
      <c r="X14524" s="3231">
        <v>36</v>
      </c>
      <c r="Y14524" s="3231">
        <v>33.479999999999997</v>
      </c>
      <c r="Z14524" s="3231">
        <v>35.51</v>
      </c>
      <c r="AA14524" s="3231">
        <v>32.86</v>
      </c>
      <c r="AB14524" s="3231"/>
      <c r="AC14524" s="3231">
        <v>36.090000000000003</v>
      </c>
      <c r="AD14524" s="3231">
        <v>35.369999999999997</v>
      </c>
      <c r="AE14524" s="3231">
        <v>31.06</v>
      </c>
      <c r="AF14524" s="3231">
        <v>34.33</v>
      </c>
      <c r="AG14524" s="3231">
        <v>32.81</v>
      </c>
      <c r="AH14524" s="3231">
        <v>29.69</v>
      </c>
    </row>
    <row r="14525" spans="1:34" ht="12.75" hidden="1" customHeight="1" outlineLevel="1" x14ac:dyDescent="0.3">
      <c r="A14525" s="2380">
        <v>3.3333000000000002E-2</v>
      </c>
      <c r="B14525" s="1921" t="s">
        <v>3427</v>
      </c>
      <c r="C14525" s="2108">
        <v>43.099999999999994</v>
      </c>
      <c r="D14525" s="3252">
        <v>75.66</v>
      </c>
      <c r="E14525" s="3253">
        <v>0.75545243619489577</v>
      </c>
      <c r="F14525" s="3282">
        <v>2.5181496055684462E-2</v>
      </c>
      <c r="G14525" s="78"/>
      <c r="H14525" t="s">
        <v>2800</v>
      </c>
      <c r="I14525" s="1910"/>
      <c r="J14525" s="3231" t="s">
        <v>10720</v>
      </c>
      <c r="K14525" s="3231" t="s">
        <v>4329</v>
      </c>
      <c r="L14525" s="3491">
        <v>0.66806293220000001</v>
      </c>
      <c r="M14525" s="3491">
        <v>1.0020943984002093</v>
      </c>
      <c r="N14525" s="3231"/>
      <c r="O14525" s="3231">
        <v>3.7885</v>
      </c>
      <c r="P14525" s="3231">
        <v>3.8275000000000001</v>
      </c>
      <c r="Q14525" s="3231">
        <v>4.2619999999999996</v>
      </c>
      <c r="R14525" s="3231">
        <v>4.2320000000000002</v>
      </c>
      <c r="S14525" s="3231">
        <v>4.5279999999999996</v>
      </c>
      <c r="T14525" s="3231">
        <v>4.5529999999999999</v>
      </c>
      <c r="U14525" s="3231"/>
      <c r="V14525" s="3231">
        <v>4.173</v>
      </c>
      <c r="W14525" s="3231">
        <v>3.9744999999999999</v>
      </c>
      <c r="X14525" s="3231">
        <v>3.8620000000000001</v>
      </c>
      <c r="Y14525" s="3231">
        <v>3.9005000000000001</v>
      </c>
      <c r="Z14525" s="3231">
        <v>4.415</v>
      </c>
      <c r="AA14525" s="3231">
        <v>4.1935000000000002</v>
      </c>
      <c r="AB14525" s="3231"/>
      <c r="AC14525" s="3231">
        <v>4.4865000000000004</v>
      </c>
      <c r="AD14525" s="3231">
        <v>5.2759999999999998</v>
      </c>
      <c r="AE14525" s="3231">
        <v>5.1459999999999999</v>
      </c>
      <c r="AF14525" s="3231">
        <v>5.2539999999999996</v>
      </c>
      <c r="AG14525" s="3231">
        <v>5.0129999999999999</v>
      </c>
      <c r="AH14525" s="3231">
        <v>5.33</v>
      </c>
    </row>
    <row r="14526" spans="1:34" ht="12.75" hidden="1" customHeight="1" outlineLevel="1" x14ac:dyDescent="0.3">
      <c r="A14526" s="2380">
        <v>3.3333000000000002E-2</v>
      </c>
      <c r="B14526" s="1921" t="s">
        <v>1857</v>
      </c>
      <c r="C14526" s="2108">
        <v>1438.6</v>
      </c>
      <c r="D14526" s="3252">
        <v>1772</v>
      </c>
      <c r="E14526" s="3253">
        <v>0.23175309328513838</v>
      </c>
      <c r="F14526" s="3282">
        <v>7.7250258584735179E-3</v>
      </c>
      <c r="G14526" s="78"/>
      <c r="H14526" t="s">
        <v>3559</v>
      </c>
      <c r="I14526" s="3530"/>
      <c r="J14526" s="3231" t="s">
        <v>6083</v>
      </c>
      <c r="K14526" s="3231" t="s">
        <v>4195</v>
      </c>
      <c r="L14526" s="3491">
        <v>0.38925198700000002</v>
      </c>
      <c r="M14526" s="3491">
        <v>0.5838779805583878</v>
      </c>
      <c r="N14526" s="3231"/>
      <c r="O14526" s="3231">
        <v>8.65</v>
      </c>
      <c r="P14526" s="3231">
        <v>8.5</v>
      </c>
      <c r="Q14526" s="3231">
        <v>8.0640000000000001</v>
      </c>
      <c r="R14526" s="3231">
        <v>8.64</v>
      </c>
      <c r="S14526" s="3231">
        <v>9.1059999999999999</v>
      </c>
      <c r="T14526" s="3231">
        <v>9.3919999999999995</v>
      </c>
      <c r="U14526" s="3231"/>
      <c r="V14526" s="3231">
        <v>9.2080000000000002</v>
      </c>
      <c r="W14526" s="3231">
        <v>9.2409999999999997</v>
      </c>
      <c r="X14526" s="3231">
        <v>9.4130000000000003</v>
      </c>
      <c r="Y14526" s="3231">
        <v>8.8460000000000001</v>
      </c>
      <c r="Z14526" s="3231">
        <v>9.3539999999999992</v>
      </c>
      <c r="AA14526" s="3231">
        <v>10.066000000000001</v>
      </c>
      <c r="AB14526" s="3231"/>
      <c r="AC14526" s="3231">
        <v>10.598000000000001</v>
      </c>
      <c r="AD14526" s="3231">
        <v>10.795999999999999</v>
      </c>
      <c r="AE14526" s="3231">
        <v>11.308</v>
      </c>
      <c r="AF14526" s="3231">
        <v>11.724</v>
      </c>
      <c r="AG14526" s="3231">
        <v>11.94</v>
      </c>
      <c r="AH14526" s="3231">
        <v>11.71</v>
      </c>
    </row>
    <row r="14527" spans="1:34" ht="12.75" hidden="1" customHeight="1" outlineLevel="1" x14ac:dyDescent="0.3">
      <c r="A14527" s="2380">
        <v>3.3333000000000002E-2</v>
      </c>
      <c r="B14527" s="1921" t="s">
        <v>1724</v>
      </c>
      <c r="C14527" s="2108">
        <v>189.41936919855235</v>
      </c>
      <c r="D14527" s="3252">
        <v>147.55000000000001</v>
      </c>
      <c r="E14527" s="3253">
        <v>-0.2210405903879038</v>
      </c>
      <c r="F14527" s="3282">
        <v>-7.3679459993999975E-3</v>
      </c>
      <c r="G14527" s="78"/>
      <c r="H14527" t="s">
        <v>1725</v>
      </c>
      <c r="I14527" s="1910"/>
      <c r="J14527" s="3231" t="s">
        <v>8527</v>
      </c>
      <c r="K14527" s="3231" t="s">
        <v>8516</v>
      </c>
      <c r="L14527" s="3491">
        <v>9.4604427099999999E-2</v>
      </c>
      <c r="M14527" s="3491">
        <v>0.14190664066419065</v>
      </c>
      <c r="N14527" s="3231"/>
      <c r="O14527" s="3231">
        <v>35.53</v>
      </c>
      <c r="P14527" s="3231">
        <v>34.299999999999997</v>
      </c>
      <c r="Q14527" s="3231">
        <v>38.200000000000003</v>
      </c>
      <c r="R14527" s="3231">
        <v>41.69</v>
      </c>
      <c r="S14527" s="3231">
        <v>41.57</v>
      </c>
      <c r="T14527" s="3231"/>
      <c r="U14527" s="3231">
        <v>41.53</v>
      </c>
      <c r="V14527" s="3231">
        <v>39.78</v>
      </c>
      <c r="W14527" s="3231">
        <v>41.93</v>
      </c>
      <c r="X14527" s="3231">
        <v>43.97</v>
      </c>
      <c r="Y14527" s="3231">
        <v>45.27</v>
      </c>
      <c r="Z14527" s="3231">
        <v>46.32</v>
      </c>
      <c r="AA14527" s="3231">
        <v>43.94</v>
      </c>
      <c r="AB14527" s="3231"/>
      <c r="AC14527" s="3231">
        <v>47.61</v>
      </c>
      <c r="AD14527" s="3231">
        <v>49.58</v>
      </c>
      <c r="AE14527" s="3231">
        <v>42.78</v>
      </c>
      <c r="AF14527" s="3231">
        <v>45.86</v>
      </c>
      <c r="AG14527" s="3231">
        <v>46.94</v>
      </c>
      <c r="AH14527" s="3231">
        <v>46.31</v>
      </c>
    </row>
    <row r="14528" spans="1:34" ht="12.75" hidden="1" customHeight="1" outlineLevel="1" x14ac:dyDescent="0.3">
      <c r="A14528" s="2380">
        <v>3.3333000000000002E-2</v>
      </c>
      <c r="B14528" s="1921" t="s">
        <v>6118</v>
      </c>
      <c r="C14528" s="2108">
        <v>83.734999999999999</v>
      </c>
      <c r="D14528" s="3252">
        <v>78.92</v>
      </c>
      <c r="E14528" s="3253">
        <v>-5.7502836328894746E-2</v>
      </c>
      <c r="F14528" s="3282">
        <v>-1.9167420433510486E-3</v>
      </c>
      <c r="G14528" s="78"/>
      <c r="H14528" t="s">
        <v>8893</v>
      </c>
      <c r="I14528" s="1910"/>
      <c r="J14528" s="3231" t="s">
        <v>10696</v>
      </c>
      <c r="K14528" s="3231" t="s">
        <v>6741</v>
      </c>
      <c r="L14528" s="3491">
        <v>0.30825357190000002</v>
      </c>
      <c r="M14528" s="3491">
        <v>0.4623803578962381</v>
      </c>
      <c r="N14528" s="3231"/>
      <c r="O14528" s="3231">
        <v>8.25</v>
      </c>
      <c r="P14528" s="3231">
        <v>8.1219999999999999</v>
      </c>
      <c r="Q14528" s="3231">
        <v>10.414999999999999</v>
      </c>
      <c r="R14528" s="3231">
        <v>10.56</v>
      </c>
      <c r="S14528" s="3231">
        <v>9.9380000000000006</v>
      </c>
      <c r="T14528" s="3231"/>
      <c r="U14528" s="3231">
        <v>10.923999999999999</v>
      </c>
      <c r="V14528" s="3231">
        <v>10.554</v>
      </c>
      <c r="W14528" s="3231">
        <v>9.2210000000000001</v>
      </c>
      <c r="X14528" s="3231">
        <v>9.7050000000000001</v>
      </c>
      <c r="Y14528" s="3231">
        <v>11.298</v>
      </c>
      <c r="Z14528" s="3231">
        <v>11.055999999999999</v>
      </c>
      <c r="AA14528" s="3231">
        <v>9.7910000000000004</v>
      </c>
      <c r="AB14528" s="3231">
        <v>10.436</v>
      </c>
      <c r="AC14528" s="3231"/>
      <c r="AD14528" s="3231">
        <v>11.242000000000001</v>
      </c>
      <c r="AE14528" s="3231">
        <v>11.625999999999999</v>
      </c>
      <c r="AF14528" s="3231">
        <v>11.923999999999999</v>
      </c>
      <c r="AG14528" s="3231">
        <v>14.285</v>
      </c>
      <c r="AH14528" s="3231">
        <v>14.994999999999999</v>
      </c>
    </row>
    <row r="14529" spans="1:34" ht="12.75" hidden="1" customHeight="1" outlineLevel="1" x14ac:dyDescent="0.3">
      <c r="A14529" s="2380">
        <v>3.3333000000000002E-2</v>
      </c>
      <c r="B14529" s="1921" t="s">
        <v>1239</v>
      </c>
      <c r="C14529" s="2108">
        <v>487.78000000000003</v>
      </c>
      <c r="D14529" s="3252">
        <v>566.79999999999995</v>
      </c>
      <c r="E14529" s="3253">
        <v>0.16199926196235981</v>
      </c>
      <c r="F14529" s="3282">
        <v>5.3999213989913393E-3</v>
      </c>
      <c r="G14529" s="78"/>
      <c r="H14529" t="s">
        <v>8891</v>
      </c>
      <c r="I14529" s="1910"/>
      <c r="J14529" s="3535" t="s">
        <v>10548</v>
      </c>
      <c r="K14529" s="3535" t="s">
        <v>8166</v>
      </c>
      <c r="L14529" s="3491">
        <v>7.7327721599999996E-2</v>
      </c>
      <c r="M14529" s="3491">
        <v>0.11599158241159915</v>
      </c>
      <c r="N14529" s="3231">
        <v>34.57</v>
      </c>
      <c r="O14529" s="3231"/>
      <c r="P14529" s="3231">
        <v>34.68</v>
      </c>
      <c r="Q14529" s="3231">
        <v>36.869999999999997</v>
      </c>
      <c r="R14529" s="3231">
        <v>38.47</v>
      </c>
      <c r="S14529" s="3231">
        <v>39.51</v>
      </c>
      <c r="T14529" s="3231"/>
      <c r="U14529" s="3231">
        <v>38.1</v>
      </c>
      <c r="V14529" s="3231">
        <v>38.76</v>
      </c>
      <c r="W14529" s="3231">
        <v>40.619999999999997</v>
      </c>
      <c r="X14529" s="3231">
        <v>43.74</v>
      </c>
      <c r="Y14529" s="3231">
        <v>42.91</v>
      </c>
      <c r="Z14529" s="3231">
        <v>46</v>
      </c>
      <c r="AA14529" s="3231">
        <v>43.39</v>
      </c>
      <c r="AB14529" s="3231">
        <v>44.06</v>
      </c>
      <c r="AC14529" s="3231"/>
      <c r="AD14529" s="3231">
        <v>43.85</v>
      </c>
      <c r="AE14529" s="3231">
        <v>42.36</v>
      </c>
      <c r="AF14529" s="3231">
        <v>44.38</v>
      </c>
      <c r="AG14529" s="3231">
        <v>46.41</v>
      </c>
      <c r="AH14529" s="3231"/>
    </row>
    <row r="14530" spans="1:34" ht="12.75" hidden="1" customHeight="1" outlineLevel="1" x14ac:dyDescent="0.3">
      <c r="A14530" s="2380">
        <v>3.3333000000000002E-2</v>
      </c>
      <c r="B14530" s="1921" t="s">
        <v>7136</v>
      </c>
      <c r="C14530" s="2108">
        <v>64.18458776525685</v>
      </c>
      <c r="D14530" s="3252">
        <v>119.45</v>
      </c>
      <c r="E14530" s="3253">
        <v>0.86103867235022347</v>
      </c>
      <c r="F14530" s="3282">
        <v>2.8701002065449999E-2</v>
      </c>
      <c r="G14530" s="78"/>
      <c r="H14530" t="s">
        <v>6943</v>
      </c>
      <c r="I14530" s="1910"/>
      <c r="J14530" s="3535" t="s">
        <v>10548</v>
      </c>
      <c r="K14530" s="3535" t="s">
        <v>8166</v>
      </c>
      <c r="L14530" s="3491">
        <v>8.0992542599999995E-2</v>
      </c>
      <c r="M14530" s="3491">
        <v>0.12148881391214887</v>
      </c>
      <c r="N14530" s="3231"/>
      <c r="O14530" s="3231"/>
      <c r="P14530" s="3231"/>
      <c r="Q14530" s="3231"/>
      <c r="R14530" s="3231"/>
      <c r="S14530" s="3231"/>
      <c r="T14530" s="3231"/>
      <c r="U14530" s="3231"/>
      <c r="V14530" s="3231"/>
      <c r="W14530" s="3231"/>
      <c r="X14530" s="3231"/>
      <c r="Y14530" s="3231"/>
      <c r="Z14530" s="3231"/>
      <c r="AA14530" s="3231"/>
      <c r="AB14530" s="3231"/>
      <c r="AC14530" s="3231"/>
      <c r="AD14530" s="3231"/>
      <c r="AE14530" s="3231"/>
      <c r="AF14530" s="3231"/>
      <c r="AG14530" s="3231"/>
      <c r="AH14530" s="3231">
        <v>42.08</v>
      </c>
    </row>
    <row r="14531" spans="1:34" ht="12.75" hidden="1" customHeight="1" outlineLevel="1" x14ac:dyDescent="0.3">
      <c r="A14531" s="2380">
        <v>3.3333000000000002E-2</v>
      </c>
      <c r="B14531" s="1921" t="s">
        <v>6165</v>
      </c>
      <c r="C14531" s="2108">
        <v>46.233000000000004</v>
      </c>
      <c r="D14531" s="3252">
        <v>40.020000000000003</v>
      </c>
      <c r="E14531" s="3253">
        <v>-0.13438453053014077</v>
      </c>
      <c r="F14531" s="3282">
        <v>-4.4794395561611822E-3</v>
      </c>
      <c r="G14531" s="78"/>
      <c r="H14531" t="s">
        <v>7745</v>
      </c>
      <c r="I14531" s="1910"/>
      <c r="J14531" s="3535" t="s">
        <v>10721</v>
      </c>
      <c r="K14531" s="3535" t="s">
        <v>5199</v>
      </c>
      <c r="L14531" s="3491">
        <v>0.20927954800000001</v>
      </c>
      <c r="M14531" s="3491">
        <v>0.31391932203139189</v>
      </c>
      <c r="N14531" s="3231"/>
      <c r="O14531" s="3231">
        <v>12.978</v>
      </c>
      <c r="P14531" s="3231">
        <v>13.38</v>
      </c>
      <c r="Q14531" s="3231">
        <v>14.448</v>
      </c>
      <c r="R14531" s="3231">
        <v>14.138</v>
      </c>
      <c r="S14531" s="3231">
        <v>13.65</v>
      </c>
      <c r="T14531" s="3231">
        <v>13.456</v>
      </c>
      <c r="U14531" s="3231"/>
      <c r="V14531" s="3231">
        <v>14.468</v>
      </c>
      <c r="W14531" s="3231">
        <v>14.432</v>
      </c>
      <c r="X14531" s="3231">
        <v>14.316000000000001</v>
      </c>
      <c r="Y14531" s="3231">
        <v>16.55</v>
      </c>
      <c r="Z14531" s="3231">
        <v>16.809999999999999</v>
      </c>
      <c r="AA14531" s="3231">
        <v>15.77</v>
      </c>
      <c r="AB14531" s="3231"/>
      <c r="AC14531" s="3231">
        <v>16.218</v>
      </c>
      <c r="AD14531" s="3231"/>
      <c r="AE14531" s="3231"/>
      <c r="AF14531" s="3231"/>
      <c r="AG14531" s="3231"/>
      <c r="AH14531" s="3231"/>
    </row>
    <row r="14532" spans="1:34" ht="12.75" hidden="1" customHeight="1" outlineLevel="1" x14ac:dyDescent="0.3">
      <c r="A14532" s="2380">
        <v>3.3333000000000002E-2</v>
      </c>
      <c r="B14532" s="1921" t="s">
        <v>7137</v>
      </c>
      <c r="C14532" s="2108">
        <v>4.2065999999999999</v>
      </c>
      <c r="D14532" s="3252">
        <v>7.89</v>
      </c>
      <c r="E14532" s="3253">
        <v>0.87562401939808865</v>
      </c>
      <c r="F14532" s="3282">
        <v>2.9187175438596492E-2</v>
      </c>
      <c r="G14532" s="78"/>
      <c r="H14532" t="s">
        <v>3922</v>
      </c>
      <c r="I14532" s="1910"/>
      <c r="J14532" s="3535" t="s">
        <v>10667</v>
      </c>
      <c r="K14532" s="3535" t="s">
        <v>10668</v>
      </c>
      <c r="L14532" s="3491">
        <v>0.20927954800000001</v>
      </c>
      <c r="M14532" s="3491">
        <v>0.31391932203139189</v>
      </c>
      <c r="N14532" s="3231"/>
      <c r="O14532" s="3231"/>
      <c r="P14532" s="3231"/>
      <c r="Q14532" s="3231"/>
      <c r="R14532" s="3231"/>
      <c r="S14532" s="3231"/>
      <c r="T14532" s="3231"/>
      <c r="U14532" s="3231"/>
      <c r="V14532" s="3231"/>
      <c r="W14532" s="3231"/>
      <c r="X14532" s="3231"/>
      <c r="Y14532" s="3231"/>
      <c r="Z14532" s="3231"/>
      <c r="AA14532" s="3231"/>
      <c r="AB14532" s="3231"/>
      <c r="AC14532" s="3231"/>
      <c r="AD14532" s="3231">
        <v>18.866</v>
      </c>
      <c r="AE14532" s="3231">
        <v>19.72</v>
      </c>
      <c r="AF14532" s="3231">
        <v>21.085000000000001</v>
      </c>
      <c r="AG14532" s="3231">
        <v>21.73</v>
      </c>
      <c r="AH14532" s="3231">
        <v>23.765000000000001</v>
      </c>
    </row>
    <row r="14533" spans="1:34" ht="12.75" hidden="1" customHeight="1" outlineLevel="1" x14ac:dyDescent="0.3">
      <c r="A14533" s="2380">
        <v>3.3333000000000002E-2</v>
      </c>
      <c r="B14533" s="1921" t="s">
        <v>4601</v>
      </c>
      <c r="C14533" s="2108">
        <v>223.22999999999996</v>
      </c>
      <c r="D14533" s="3252">
        <v>190</v>
      </c>
      <c r="E14533" s="3253">
        <v>-0.14885992026161343</v>
      </c>
      <c r="F14533" s="3282">
        <v>-4.9619477220803612E-3</v>
      </c>
      <c r="G14533" s="78"/>
      <c r="H14533" t="s">
        <v>6271</v>
      </c>
      <c r="I14533" s="1910"/>
      <c r="J14533" s="3231" t="s">
        <v>6164</v>
      </c>
      <c r="K14533" s="3231" t="s">
        <v>6114</v>
      </c>
      <c r="L14533" s="3491">
        <v>0.90747196819999998</v>
      </c>
      <c r="M14533" s="3491">
        <v>1.3612079524361207</v>
      </c>
      <c r="N14533" s="3231">
        <v>4.601</v>
      </c>
      <c r="O14533" s="3231"/>
      <c r="P14533" s="3231">
        <v>4.3280000000000003</v>
      </c>
      <c r="Q14533" s="3231">
        <v>4.2960000000000003</v>
      </c>
      <c r="R14533" s="3231">
        <v>4.7279999999999998</v>
      </c>
      <c r="S14533" s="3231">
        <v>4.68</v>
      </c>
      <c r="T14533" s="3231"/>
      <c r="U14533" s="3231">
        <v>4.8070000000000004</v>
      </c>
      <c r="V14533" s="3231">
        <v>4.875</v>
      </c>
      <c r="W14533" s="3231">
        <v>5.1040000000000001</v>
      </c>
      <c r="X14533" s="3231">
        <v>5.0039999999999996</v>
      </c>
      <c r="Y14533" s="3231">
        <v>4.7960000000000003</v>
      </c>
      <c r="Z14533" s="3231">
        <v>4.8970000000000002</v>
      </c>
      <c r="AA14533" s="3231">
        <v>4.9740000000000002</v>
      </c>
      <c r="AB14533" s="3231">
        <v>5.3</v>
      </c>
      <c r="AC14533" s="3231"/>
      <c r="AD14533" s="3231">
        <v>4.96</v>
      </c>
      <c r="AE14533" s="3231">
        <v>4.9649999999999999</v>
      </c>
      <c r="AF14533" s="3231">
        <v>5.2320000000000002</v>
      </c>
      <c r="AG14533" s="3231">
        <v>5.2240000000000002</v>
      </c>
      <c r="AH14533" s="3231">
        <v>5.41</v>
      </c>
    </row>
    <row r="14534" spans="1:34" ht="12.75" hidden="1" customHeight="1" outlineLevel="1" x14ac:dyDescent="0.3">
      <c r="A14534" s="2380">
        <v>3.3333000000000002E-2</v>
      </c>
      <c r="B14534" s="1921" t="s">
        <v>3169</v>
      </c>
      <c r="C14534" s="2108">
        <v>21.151499995429326</v>
      </c>
      <c r="D14534" s="3252">
        <v>11.1</v>
      </c>
      <c r="E14534" s="3253">
        <v>-0.47521452367923678</v>
      </c>
      <c r="F14534" s="3282">
        <v>-1.5840325717799999E-2</v>
      </c>
      <c r="G14534" s="78"/>
      <c r="H14534" t="s">
        <v>657</v>
      </c>
      <c r="I14534" s="1910"/>
      <c r="J14534" s="3231" t="s">
        <v>6089</v>
      </c>
      <c r="K14534" s="3231" t="s">
        <v>2800</v>
      </c>
      <c r="L14534" s="3491">
        <v>7.7338747099999994E-2</v>
      </c>
      <c r="M14534" s="3491">
        <v>0.11600812066160079</v>
      </c>
      <c r="N14534" s="3231"/>
      <c r="O14534" s="3231">
        <v>61.43</v>
      </c>
      <c r="P14534" s="3231">
        <v>58.92</v>
      </c>
      <c r="Q14534" s="3231">
        <v>56.72</v>
      </c>
      <c r="R14534" s="3231">
        <v>62.16</v>
      </c>
      <c r="S14534" s="3231">
        <v>66.17</v>
      </c>
      <c r="T14534" s="3231">
        <v>63.92</v>
      </c>
      <c r="U14534" s="3231"/>
      <c r="V14534" s="3231">
        <v>60.51</v>
      </c>
      <c r="W14534" s="3231">
        <v>63.87</v>
      </c>
      <c r="X14534" s="3231">
        <v>65.73</v>
      </c>
      <c r="Y14534" s="3231">
        <v>61.97</v>
      </c>
      <c r="Z14534" s="3231">
        <v>62.32</v>
      </c>
      <c r="AA14534" s="3231">
        <v>61.1</v>
      </c>
      <c r="AB14534" s="3231"/>
      <c r="AC14534" s="3231">
        <v>68.58</v>
      </c>
      <c r="AD14534" s="3231">
        <v>69.489999999999995</v>
      </c>
      <c r="AE14534" s="3231">
        <v>64.77</v>
      </c>
      <c r="AF14534" s="3231">
        <v>72.510000000000005</v>
      </c>
      <c r="AG14534" s="3231">
        <v>73.39</v>
      </c>
      <c r="AH14534" s="3231">
        <v>75.66</v>
      </c>
    </row>
    <row r="14535" spans="1:34" ht="12.75" hidden="1" customHeight="1" outlineLevel="1" x14ac:dyDescent="0.3">
      <c r="A14535" s="2380">
        <v>3.3333000000000002E-2</v>
      </c>
      <c r="B14535" s="2109" t="s">
        <v>4550</v>
      </c>
      <c r="C14535" s="2108">
        <v>256.39999999999998</v>
      </c>
      <c r="D14535" s="3255">
        <v>438</v>
      </c>
      <c r="E14535" s="3256">
        <v>0.70826833073322959</v>
      </c>
      <c r="F14535" s="3382">
        <v>2.3608708268330742E-2</v>
      </c>
      <c r="G14535" s="78"/>
      <c r="H14535" t="s">
        <v>8889</v>
      </c>
      <c r="I14535" s="1910"/>
      <c r="J14535" s="3231" t="s">
        <v>6090</v>
      </c>
      <c r="K14535" s="3231" t="s">
        <v>3559</v>
      </c>
      <c r="L14535" s="3491">
        <v>0.23170443490000001</v>
      </c>
      <c r="M14535" s="3491">
        <v>0.34755665238475564</v>
      </c>
      <c r="N14535" s="3231"/>
      <c r="O14535" s="3231">
        <v>15</v>
      </c>
      <c r="P14535" s="3231">
        <v>14.84</v>
      </c>
      <c r="Q14535" s="3231">
        <v>13.244999999999999</v>
      </c>
      <c r="R14535" s="3231">
        <v>14.55</v>
      </c>
      <c r="S14535" s="3231">
        <v>14.68</v>
      </c>
      <c r="T14535" s="3231">
        <v>15.42</v>
      </c>
      <c r="U14535" s="3231"/>
      <c r="V14535" s="3231">
        <v>15.005000000000001</v>
      </c>
      <c r="W14535" s="3231">
        <v>14.455</v>
      </c>
      <c r="X14535" s="3231">
        <v>16.324999999999999</v>
      </c>
      <c r="Y14535" s="3231">
        <v>15.71</v>
      </c>
      <c r="Z14535" s="3231">
        <v>16.434999999999999</v>
      </c>
      <c r="AA14535" s="3231">
        <v>15.52</v>
      </c>
      <c r="AB14535" s="3231"/>
      <c r="AC14535" s="3231">
        <v>16.489999999999998</v>
      </c>
      <c r="AD14535" s="3231">
        <v>15.824999999999999</v>
      </c>
      <c r="AE14535" s="3231">
        <v>17.045000000000002</v>
      </c>
      <c r="AF14535" s="3231">
        <v>17.484999999999999</v>
      </c>
      <c r="AG14535" s="3231">
        <v>18.684999999999999</v>
      </c>
      <c r="AH14535" s="3231">
        <v>17.72</v>
      </c>
    </row>
    <row r="14536" spans="1:34" ht="12.75" hidden="1" customHeight="1" outlineLevel="1" x14ac:dyDescent="0.3">
      <c r="A14536" s="2181" t="s">
        <v>2734</v>
      </c>
      <c r="B14536" s="2103"/>
      <c r="C14536" s="3258"/>
      <c r="D14536" s="3259"/>
      <c r="E14536" s="3260"/>
      <c r="F14536" s="3282">
        <v>0.12079979034279975</v>
      </c>
      <c r="G14536" s="78"/>
      <c r="I14536" s="1910"/>
      <c r="J14536" s="3535" t="s">
        <v>10697</v>
      </c>
      <c r="K14536" s="3535" t="s">
        <v>1725</v>
      </c>
      <c r="L14536" s="3491">
        <v>1.73618418E-2</v>
      </c>
      <c r="M14536" s="3491">
        <v>2.6042762702604274E-2</v>
      </c>
      <c r="N14536" s="3231">
        <v>144.12</v>
      </c>
      <c r="O14536" s="3231"/>
      <c r="P14536" s="3231">
        <v>157.78</v>
      </c>
      <c r="Q14536" s="3231">
        <v>148.02000000000001</v>
      </c>
      <c r="R14536" s="3231">
        <v>153.9</v>
      </c>
      <c r="S14536" s="3231">
        <v>148.74</v>
      </c>
      <c r="T14536" s="3231"/>
      <c r="U14536" s="3231">
        <v>149.08000000000001</v>
      </c>
      <c r="V14536" s="3231">
        <v>159.24</v>
      </c>
      <c r="W14536" s="3231">
        <v>167.76</v>
      </c>
      <c r="X14536" s="3231">
        <v>166.62</v>
      </c>
      <c r="Y14536" s="3231">
        <v>177.3</v>
      </c>
      <c r="Z14536" s="3231">
        <v>186.24</v>
      </c>
      <c r="AA14536" s="3231">
        <v>182.34</v>
      </c>
      <c r="AB14536" s="3231">
        <v>182.1</v>
      </c>
      <c r="AC14536" s="3231"/>
      <c r="AD14536" s="3231">
        <v>181.54</v>
      </c>
      <c r="AE14536" s="3231">
        <v>153.52000000000001</v>
      </c>
      <c r="AF14536" s="3231"/>
      <c r="AG14536" s="3231"/>
      <c r="AH14536" s="3231"/>
    </row>
    <row r="14537" spans="1:34" ht="12.75" hidden="1" customHeight="1" outlineLevel="1" x14ac:dyDescent="0.3">
      <c r="A14537" s="1956" t="s">
        <v>7147</v>
      </c>
      <c r="B14537" s="2185">
        <v>44075</v>
      </c>
      <c r="C14537" s="3261">
        <v>100</v>
      </c>
      <c r="D14537" s="3261">
        <v>100.01326541192377</v>
      </c>
      <c r="E14537" s="3262">
        <v>1.3265411923768511E-4</v>
      </c>
      <c r="F14537" s="3285"/>
      <c r="G14537" s="78"/>
      <c r="J14537" s="3535" t="s">
        <v>10697</v>
      </c>
      <c r="K14537" s="3535" t="s">
        <v>1725</v>
      </c>
      <c r="L14537" s="3491">
        <v>1.7597461200000001E-2</v>
      </c>
      <c r="M14537" s="3491">
        <v>2.6396191802639621E-2</v>
      </c>
      <c r="N14537" s="3231"/>
      <c r="O14537" s="3231"/>
      <c r="P14537" s="3231"/>
      <c r="Q14537" s="3231"/>
      <c r="R14537" s="3231"/>
      <c r="S14537" s="3231"/>
      <c r="T14537" s="3231"/>
      <c r="U14537" s="3231"/>
      <c r="V14537" s="3231"/>
      <c r="W14537" s="3231"/>
      <c r="X14537" s="3231"/>
      <c r="Y14537" s="3231"/>
      <c r="Z14537" s="3231"/>
      <c r="AA14537" s="3231"/>
      <c r="AB14537" s="3231"/>
      <c r="AC14537" s="3231"/>
      <c r="AD14537" s="3231"/>
      <c r="AE14537" s="3231"/>
      <c r="AF14537" s="3231">
        <v>141</v>
      </c>
      <c r="AG14537" s="3231">
        <v>156.94999999999999</v>
      </c>
      <c r="AH14537" s="3231">
        <v>147.55000000000001</v>
      </c>
    </row>
    <row r="14538" spans="1:34" ht="12.75" hidden="1" customHeight="1" outlineLevel="1" x14ac:dyDescent="0.3">
      <c r="A14538" s="1956" t="s">
        <v>7148</v>
      </c>
      <c r="B14538" s="2185">
        <v>44105</v>
      </c>
      <c r="C14538" s="3261">
        <v>100</v>
      </c>
      <c r="D14538" s="3264">
        <v>97.919057137022591</v>
      </c>
      <c r="E14538" s="3262">
        <v>-2.0809428629774085E-2</v>
      </c>
      <c r="F14538" s="3285"/>
      <c r="G14538" s="78"/>
      <c r="J14538" s="3231" t="s">
        <v>8920</v>
      </c>
      <c r="K14538" s="3231" t="s">
        <v>8893</v>
      </c>
      <c r="L14538" s="3491">
        <v>3.9807726799999998E-2</v>
      </c>
      <c r="M14538" s="3491">
        <v>5.9711590205971152E-2</v>
      </c>
      <c r="N14538" s="3231">
        <v>83.34</v>
      </c>
      <c r="O14538" s="3231"/>
      <c r="P14538" s="3231">
        <v>78.66</v>
      </c>
      <c r="Q14538" s="3231">
        <v>85.44</v>
      </c>
      <c r="R14538" s="3231">
        <v>92.96</v>
      </c>
      <c r="S14538" s="3231">
        <v>84.88</v>
      </c>
      <c r="T14538" s="3231"/>
      <c r="U14538" s="3231">
        <v>86.4</v>
      </c>
      <c r="V14538" s="3231">
        <v>83.48</v>
      </c>
      <c r="W14538" s="3231">
        <v>82.02</v>
      </c>
      <c r="X14538" s="3231">
        <v>84.26</v>
      </c>
      <c r="Y14538" s="3231">
        <v>80.14</v>
      </c>
      <c r="Z14538" s="3231">
        <v>88.64</v>
      </c>
      <c r="AA14538" s="3231">
        <v>86.44</v>
      </c>
      <c r="AB14538" s="3231">
        <v>90.26</v>
      </c>
      <c r="AC14538" s="3231"/>
      <c r="AD14538" s="3231">
        <v>100.3</v>
      </c>
      <c r="AE14538" s="3231">
        <v>87.82</v>
      </c>
      <c r="AF14538" s="3231">
        <v>88.12</v>
      </c>
      <c r="AG14538" s="3231">
        <v>80.319999999999993</v>
      </c>
      <c r="AH14538" s="3231">
        <v>78.92</v>
      </c>
    </row>
    <row r="14539" spans="1:34" ht="12.75" hidden="1" customHeight="1" outlineLevel="1" x14ac:dyDescent="0.3">
      <c r="A14539" s="1956" t="s">
        <v>7149</v>
      </c>
      <c r="B14539" s="2185">
        <v>44136</v>
      </c>
      <c r="C14539" s="3261">
        <v>100</v>
      </c>
      <c r="D14539" s="3264">
        <v>100.60447706632735</v>
      </c>
      <c r="E14539" s="3262">
        <v>6.0447706632735798E-3</v>
      </c>
      <c r="F14539" s="3285"/>
      <c r="G14539" s="78"/>
      <c r="J14539" s="3231" t="s">
        <v>6066</v>
      </c>
      <c r="K14539" s="3231" t="s">
        <v>8891</v>
      </c>
      <c r="L14539" s="3491">
        <v>6.8336135000000003E-3</v>
      </c>
      <c r="M14539" s="3491">
        <v>1.0250420251025041E-2</v>
      </c>
      <c r="N14539" s="3231">
        <v>477.1</v>
      </c>
      <c r="O14539" s="3231"/>
      <c r="P14539" s="3231">
        <v>485.4</v>
      </c>
      <c r="Q14539" s="3231">
        <v>456.5</v>
      </c>
      <c r="R14539" s="3231">
        <v>507</v>
      </c>
      <c r="S14539" s="3231">
        <v>495.3</v>
      </c>
      <c r="T14539" s="3231"/>
      <c r="U14539" s="3231">
        <v>506</v>
      </c>
      <c r="V14539" s="3231">
        <v>528.20000000000005</v>
      </c>
      <c r="W14539" s="3231">
        <v>545</v>
      </c>
      <c r="X14539" s="3231">
        <v>537.4</v>
      </c>
      <c r="Y14539" s="3231">
        <v>537.4</v>
      </c>
      <c r="Z14539" s="3231">
        <v>498.4</v>
      </c>
      <c r="AA14539" s="3231">
        <v>510.4</v>
      </c>
      <c r="AB14539" s="3231">
        <v>514.6</v>
      </c>
      <c r="AC14539" s="3231"/>
      <c r="AD14539" s="3231">
        <v>528.20000000000005</v>
      </c>
      <c r="AE14539" s="3231">
        <v>550.6</v>
      </c>
      <c r="AF14539" s="3231">
        <v>555</v>
      </c>
      <c r="AG14539" s="3231">
        <v>576.79999999999995</v>
      </c>
      <c r="AH14539" s="3231">
        <v>566.79999999999995</v>
      </c>
    </row>
    <row r="14540" spans="1:34" ht="12.75" hidden="1" customHeight="1" outlineLevel="1" x14ac:dyDescent="0.3">
      <c r="A14540" s="1956" t="s">
        <v>7150</v>
      </c>
      <c r="B14540" s="2185">
        <v>44166</v>
      </c>
      <c r="C14540" s="3261">
        <v>100</v>
      </c>
      <c r="D14540" s="3264">
        <v>106.55228272886967</v>
      </c>
      <c r="E14540" s="3262">
        <v>6.5522827288696739E-2</v>
      </c>
      <c r="F14540" s="3285"/>
      <c r="G14540" s="78"/>
      <c r="J14540" s="3535" t="s">
        <v>10722</v>
      </c>
      <c r="K14540" s="3535" t="s">
        <v>10723</v>
      </c>
      <c r="L14540" s="3491">
        <v>0.15759166020000001</v>
      </c>
      <c r="M14540" s="3491">
        <v>0.23638749032363876</v>
      </c>
      <c r="N14540" s="3231"/>
      <c r="O14540" s="3231"/>
      <c r="P14540" s="3231"/>
      <c r="Q14540" s="3231"/>
      <c r="R14540" s="3231"/>
      <c r="S14540" s="3231"/>
      <c r="T14540" s="3231"/>
      <c r="U14540" s="3231"/>
      <c r="V14540" s="3231"/>
      <c r="W14540" s="3231"/>
      <c r="X14540" s="3231"/>
      <c r="Y14540" s="3231">
        <v>23.114999999999998</v>
      </c>
      <c r="Z14540" s="3231">
        <v>25.114999999999998</v>
      </c>
      <c r="AA14540" s="3231">
        <v>25.31</v>
      </c>
      <c r="AB14540" s="3231"/>
      <c r="AC14540" s="3231">
        <v>24.78</v>
      </c>
      <c r="AD14540" s="3231">
        <v>21.82</v>
      </c>
      <c r="AE14540" s="3231">
        <v>20.329999999999998</v>
      </c>
      <c r="AF14540" s="3231">
        <v>24.195</v>
      </c>
      <c r="AG14540" s="3231">
        <v>22.285</v>
      </c>
      <c r="AH14540" s="3231">
        <v>20.89</v>
      </c>
    </row>
    <row r="14541" spans="1:34" ht="12.75" hidden="1" customHeight="1" outlineLevel="1" x14ac:dyDescent="0.3">
      <c r="A14541" s="1956" t="s">
        <v>7151</v>
      </c>
      <c r="B14541" s="2185">
        <v>44197</v>
      </c>
      <c r="C14541" s="3261">
        <v>100</v>
      </c>
      <c r="D14541" s="3264">
        <v>107.30141115688669</v>
      </c>
      <c r="E14541" s="3262">
        <v>7.3014111568866946E-2</v>
      </c>
      <c r="F14541" s="3285"/>
      <c r="G14541" s="78"/>
      <c r="J14541" s="3535" t="s">
        <v>10724</v>
      </c>
      <c r="K14541" s="3535" t="s">
        <v>657</v>
      </c>
      <c r="L14541" s="3491">
        <v>0.15759166020000001</v>
      </c>
      <c r="M14541" s="3491">
        <v>0.23638749032363876</v>
      </c>
      <c r="N14541" s="3231"/>
      <c r="O14541" s="3231">
        <v>26.38</v>
      </c>
      <c r="P14541" s="3231">
        <v>25.32</v>
      </c>
      <c r="Q14541" s="3231">
        <v>28.57</v>
      </c>
      <c r="R14541" s="3231">
        <v>28</v>
      </c>
      <c r="S14541" s="3231">
        <v>29</v>
      </c>
      <c r="T14541" s="3231"/>
      <c r="U14541" s="3231">
        <v>29.72</v>
      </c>
      <c r="V14541" s="3231">
        <v>28.33</v>
      </c>
      <c r="W14541" s="3231">
        <v>28.5</v>
      </c>
      <c r="X14541" s="3231">
        <v>32.32</v>
      </c>
      <c r="Y14541" s="3231">
        <v>10.904999999999999</v>
      </c>
      <c r="Z14541" s="3231">
        <v>11.135</v>
      </c>
      <c r="AA14541" s="3231">
        <v>11.25</v>
      </c>
      <c r="AB14541" s="3231"/>
      <c r="AC14541" s="3231">
        <v>11.89</v>
      </c>
      <c r="AD14541" s="3231">
        <v>11.6</v>
      </c>
      <c r="AE14541" s="3231">
        <v>11.31</v>
      </c>
      <c r="AF14541" s="3231">
        <v>11.84</v>
      </c>
      <c r="AG14541" s="3231">
        <v>10.96</v>
      </c>
      <c r="AH14541" s="3231">
        <v>11.1</v>
      </c>
    </row>
    <row r="14542" spans="1:34" ht="12.75" hidden="1" customHeight="1" outlineLevel="1" x14ac:dyDescent="0.3">
      <c r="A14542" s="1956" t="s">
        <v>7152</v>
      </c>
      <c r="B14542" s="2185">
        <v>44228</v>
      </c>
      <c r="C14542" s="3261">
        <v>100</v>
      </c>
      <c r="D14542" s="3264">
        <v>107.94001843327425</v>
      </c>
      <c r="E14542" s="3262">
        <v>7.9400184332742541E-2</v>
      </c>
      <c r="F14542" s="3285"/>
      <c r="G14542" s="78"/>
      <c r="J14542" s="3233"/>
      <c r="K14542" s="3233"/>
      <c r="L14542" s="3233"/>
      <c r="M14542" s="3233"/>
      <c r="N14542" s="3233"/>
      <c r="O14542" s="3233"/>
      <c r="P14542" s="3233"/>
      <c r="Q14542" s="3233"/>
      <c r="R14542" s="3233"/>
      <c r="S14542" s="3233"/>
      <c r="T14542" s="3233"/>
      <c r="U14542" s="3233"/>
      <c r="V14542" s="3233"/>
      <c r="W14542" s="3233"/>
      <c r="X14542" s="3233"/>
      <c r="Y14542" s="3233"/>
      <c r="Z14542" s="3233"/>
      <c r="AA14542" s="3233"/>
      <c r="AB14542" s="3233"/>
      <c r="AC14542" s="3233"/>
      <c r="AD14542" s="3233"/>
      <c r="AE14542" s="3233"/>
      <c r="AF14542" s="3233"/>
      <c r="AG14542" s="3233"/>
      <c r="AH14542" s="3233"/>
    </row>
    <row r="14543" spans="1:34" ht="12.75" hidden="1" customHeight="1" outlineLevel="1" x14ac:dyDescent="0.3">
      <c r="A14543" s="1956" t="s">
        <v>7153</v>
      </c>
      <c r="B14543" s="2185">
        <v>44256</v>
      </c>
      <c r="C14543" s="3261">
        <v>100</v>
      </c>
      <c r="D14543" s="3264">
        <v>106.6274822424801</v>
      </c>
      <c r="E14543" s="3262">
        <v>6.6274822424801094E-2</v>
      </c>
      <c r="F14543" s="3285"/>
      <c r="G14543" s="78"/>
      <c r="J14543" s="3233"/>
      <c r="K14543" s="3233"/>
      <c r="L14543" s="3233"/>
      <c r="M14543" s="3228" t="s">
        <v>10552</v>
      </c>
      <c r="N14543" s="3231"/>
      <c r="O14543" s="3231">
        <v>100.01326541192377</v>
      </c>
      <c r="P14543" s="3231">
        <v>97.919057137022591</v>
      </c>
      <c r="Q14543" s="3231">
        <v>100.60447706632735</v>
      </c>
      <c r="R14543" s="3231">
        <v>106.55228272886967</v>
      </c>
      <c r="S14543" s="3231">
        <v>107.30141115688669</v>
      </c>
      <c r="T14543" s="3231"/>
      <c r="U14543" s="3231">
        <v>107.94001843327425</v>
      </c>
      <c r="V14543" s="3231">
        <v>106.6274822424801</v>
      </c>
      <c r="W14543" s="3231">
        <v>108.01846658819765</v>
      </c>
      <c r="X14543" s="3231">
        <v>110.98135041856492</v>
      </c>
      <c r="Y14543" s="3231">
        <v>110.45932408089428</v>
      </c>
      <c r="Z14543" s="3231">
        <v>114.02816454129055</v>
      </c>
      <c r="AA14543" s="3231">
        <v>110.80539327334054</v>
      </c>
      <c r="AB14543" s="3231"/>
      <c r="AC14543" s="3231">
        <v>116.68743686391639</v>
      </c>
      <c r="AD14543" s="3231">
        <v>120.16519574357159</v>
      </c>
      <c r="AE14543" s="3231">
        <v>114.7430464631249</v>
      </c>
      <c r="AF14543" s="3231">
        <v>120.37059713221156</v>
      </c>
      <c r="AG14543" s="3231">
        <v>121.59354950503032</v>
      </c>
      <c r="AH14543" s="3231">
        <v>120.41397350974027</v>
      </c>
    </row>
    <row r="14544" spans="1:34" ht="12.75" hidden="1" customHeight="1" outlineLevel="1" x14ac:dyDescent="0.25">
      <c r="A14544" s="1956" t="s">
        <v>7154</v>
      </c>
      <c r="B14544" s="2185">
        <v>44287</v>
      </c>
      <c r="C14544" s="3261">
        <v>100</v>
      </c>
      <c r="D14544" s="3264">
        <v>108.01846658819765</v>
      </c>
      <c r="E14544" s="3262">
        <v>8.018466588197648E-2</v>
      </c>
      <c r="F14544" s="3285"/>
      <c r="G14544" s="78"/>
    </row>
    <row r="14545" spans="1:7" ht="12.75" hidden="1" customHeight="1" outlineLevel="1" x14ac:dyDescent="0.25">
      <c r="A14545" s="1956" t="s">
        <v>7155</v>
      </c>
      <c r="B14545" s="2185">
        <v>44317</v>
      </c>
      <c r="C14545" s="3261">
        <v>100</v>
      </c>
      <c r="D14545" s="3264">
        <v>110.98135041856492</v>
      </c>
      <c r="E14545" s="3262">
        <v>0.10981350418564917</v>
      </c>
      <c r="F14545" s="3285"/>
      <c r="G14545" s="78"/>
    </row>
    <row r="14546" spans="1:7" ht="12.75" hidden="1" customHeight="1" outlineLevel="1" x14ac:dyDescent="0.25">
      <c r="A14546" s="1956" t="s">
        <v>7156</v>
      </c>
      <c r="B14546" s="2185">
        <v>44348</v>
      </c>
      <c r="C14546" s="3261">
        <v>100</v>
      </c>
      <c r="D14546" s="3264">
        <v>110.45932408089428</v>
      </c>
      <c r="E14546" s="3262">
        <v>0.10459324080894272</v>
      </c>
      <c r="F14546" s="3285"/>
      <c r="G14546" s="78"/>
    </row>
    <row r="14547" spans="1:7" ht="12.75" hidden="1" customHeight="1" outlineLevel="1" x14ac:dyDescent="0.25">
      <c r="A14547" s="1956" t="s">
        <v>7157</v>
      </c>
      <c r="B14547" s="2185">
        <v>44378</v>
      </c>
      <c r="C14547" s="3261">
        <v>100</v>
      </c>
      <c r="D14547" s="3264">
        <v>114.02816454129055</v>
      </c>
      <c r="E14547" s="3262">
        <v>0.14028164541290544</v>
      </c>
      <c r="F14547" s="3285"/>
      <c r="G14547" s="78"/>
    </row>
    <row r="14548" spans="1:7" ht="12.75" hidden="1" customHeight="1" outlineLevel="1" x14ac:dyDescent="0.25">
      <c r="A14548" s="1956" t="s">
        <v>7158</v>
      </c>
      <c r="B14548" s="2185">
        <v>44409</v>
      </c>
      <c r="C14548" s="3261">
        <v>100</v>
      </c>
      <c r="D14548" s="3264">
        <v>110.80539327334054</v>
      </c>
      <c r="E14548" s="3262">
        <v>0.10805393273340536</v>
      </c>
      <c r="F14548" s="3285"/>
      <c r="G14548" s="78"/>
    </row>
    <row r="14549" spans="1:7" ht="12.75" hidden="1" customHeight="1" outlineLevel="1" x14ac:dyDescent="0.25">
      <c r="A14549" s="1956" t="s">
        <v>7159</v>
      </c>
      <c r="B14549" s="2185">
        <v>44440</v>
      </c>
      <c r="C14549" s="3261">
        <v>100</v>
      </c>
      <c r="D14549" s="3264">
        <v>116.68743686391639</v>
      </c>
      <c r="E14549" s="3262">
        <v>0.16687436863916383</v>
      </c>
      <c r="F14549" s="3285"/>
      <c r="G14549" s="78"/>
    </row>
    <row r="14550" spans="1:7" ht="12.75" hidden="1" customHeight="1" outlineLevel="1" x14ac:dyDescent="0.25">
      <c r="A14550" s="1956" t="s">
        <v>7160</v>
      </c>
      <c r="B14550" s="2185">
        <v>44470</v>
      </c>
      <c r="C14550" s="3261">
        <v>100</v>
      </c>
      <c r="D14550" s="3264">
        <v>120.16519574357159</v>
      </c>
      <c r="E14550" s="3262">
        <v>0.20165195743571585</v>
      </c>
      <c r="F14550" s="3285"/>
      <c r="G14550" s="78"/>
    </row>
    <row r="14551" spans="1:7" ht="12.75" hidden="1" customHeight="1" outlineLevel="1" x14ac:dyDescent="0.25">
      <c r="A14551" s="1956" t="s">
        <v>7161</v>
      </c>
      <c r="B14551" s="2185">
        <v>44501</v>
      </c>
      <c r="C14551" s="3261">
        <v>100</v>
      </c>
      <c r="D14551" s="3264">
        <v>114.7430464631249</v>
      </c>
      <c r="E14551" s="3262">
        <v>0.14743046463124898</v>
      </c>
      <c r="F14551" s="3285"/>
      <c r="G14551" s="78"/>
    </row>
    <row r="14552" spans="1:7" ht="12.75" hidden="1" customHeight="1" outlineLevel="1" x14ac:dyDescent="0.25">
      <c r="A14552" s="1956" t="s">
        <v>7162</v>
      </c>
      <c r="B14552" s="2185">
        <v>44531</v>
      </c>
      <c r="C14552" s="3261">
        <v>100</v>
      </c>
      <c r="D14552" s="3264">
        <v>120.37059713221156</v>
      </c>
      <c r="E14552" s="3262">
        <v>0.20370597132211565</v>
      </c>
      <c r="F14552" s="3285"/>
      <c r="G14552" s="78"/>
    </row>
    <row r="14553" spans="1:7" ht="12.75" hidden="1" customHeight="1" outlineLevel="1" x14ac:dyDescent="0.25">
      <c r="A14553" s="1956" t="s">
        <v>7163</v>
      </c>
      <c r="B14553" s="2185">
        <v>44562</v>
      </c>
      <c r="C14553" s="3261">
        <v>100</v>
      </c>
      <c r="D14553" s="3264">
        <v>121.59354950503032</v>
      </c>
      <c r="E14553" s="3262">
        <v>0.21593549505030318</v>
      </c>
      <c r="F14553" s="3285"/>
      <c r="G14553" s="78"/>
    </row>
    <row r="14554" spans="1:7" ht="12.75" hidden="1" customHeight="1" outlineLevel="1" x14ac:dyDescent="0.25">
      <c r="A14554" s="1956" t="s">
        <v>7164</v>
      </c>
      <c r="B14554" s="2185">
        <v>44593</v>
      </c>
      <c r="C14554" s="3261">
        <v>100</v>
      </c>
      <c r="D14554" s="3264">
        <v>120.41397350974027</v>
      </c>
      <c r="E14554" s="3262">
        <v>0.2041397350974028</v>
      </c>
      <c r="F14554" s="3285"/>
      <c r="G14554" s="78"/>
    </row>
    <row r="14555" spans="1:7" ht="12.75" hidden="1" customHeight="1" outlineLevel="1" x14ac:dyDescent="0.25">
      <c r="A14555" s="2189" t="s">
        <v>2734</v>
      </c>
      <c r="B14555" s="2190"/>
      <c r="C14555" s="3264"/>
      <c r="D14555" s="2191" t="s">
        <v>2465</v>
      </c>
      <c r="E14555" s="1987">
        <v>0.10845805127592632</v>
      </c>
      <c r="F14555" s="2192">
        <v>0.10845805127592632</v>
      </c>
      <c r="G14555" s="78"/>
    </row>
    <row r="14556" spans="1:7" collapsed="1" x14ac:dyDescent="0.25">
      <c r="A14556" s="3801" t="s">
        <v>7138</v>
      </c>
      <c r="B14556" s="3802"/>
      <c r="C14556" s="3802"/>
      <c r="D14556" s="3802"/>
      <c r="E14556" s="1906"/>
      <c r="F14556" s="1906">
        <v>7.5920635893148417E-2</v>
      </c>
      <c r="G14556" s="78"/>
    </row>
    <row r="14558" spans="1:7" ht="12.75" hidden="1" customHeight="1" outlineLevel="1" x14ac:dyDescent="0.25">
      <c r="A14558" s="3237" t="s">
        <v>113</v>
      </c>
      <c r="B14558" s="3237" t="s">
        <v>114</v>
      </c>
      <c r="C14558" s="3237" t="s">
        <v>112</v>
      </c>
      <c r="D14558" s="3237" t="s">
        <v>116</v>
      </c>
      <c r="E14558" s="3237" t="s">
        <v>117</v>
      </c>
      <c r="F14558" s="3276" t="s">
        <v>121</v>
      </c>
      <c r="G14558" s="78"/>
    </row>
    <row r="14559" spans="1:7" ht="12.75" hidden="1" customHeight="1" outlineLevel="1" x14ac:dyDescent="0.25">
      <c r="A14559" s="3238">
        <v>1</v>
      </c>
      <c r="B14559" s="3239" t="s">
        <v>252</v>
      </c>
      <c r="C14559" s="3240">
        <v>100</v>
      </c>
      <c r="D14559" s="3240"/>
      <c r="E14559" s="3241"/>
      <c r="F14559" s="3242"/>
      <c r="G14559" s="78"/>
    </row>
    <row r="14560" spans="1:7" ht="12.75" hidden="1" customHeight="1" outlineLevel="1" x14ac:dyDescent="0.25">
      <c r="A14560" s="3243" t="s">
        <v>2734</v>
      </c>
      <c r="B14560" s="3243"/>
      <c r="C14560" s="3244"/>
      <c r="D14560" s="1900" t="s">
        <v>3702</v>
      </c>
      <c r="E14560" s="3245">
        <v>44377</v>
      </c>
      <c r="F14560" s="3246"/>
      <c r="G14560" s="78"/>
    </row>
    <row r="14561" spans="1:19" ht="12.75" hidden="1" customHeight="1" outlineLevel="1" x14ac:dyDescent="0.25">
      <c r="A14561" s="3237" t="s">
        <v>4156</v>
      </c>
      <c r="B14561" s="3237" t="s">
        <v>4153</v>
      </c>
      <c r="C14561" s="3247" t="s">
        <v>112</v>
      </c>
      <c r="D14561" s="3248" t="s">
        <v>4155</v>
      </c>
      <c r="E14561" s="3237" t="s">
        <v>4154</v>
      </c>
      <c r="F14561" s="3277" t="s">
        <v>2519</v>
      </c>
      <c r="G14561" s="78"/>
      <c r="I14561" s="412" t="s">
        <v>6964</v>
      </c>
      <c r="J14561" s="1302" t="s">
        <v>7167</v>
      </c>
      <c r="K14561" s="1302" t="s">
        <v>7174</v>
      </c>
      <c r="L14561" s="1302" t="s">
        <v>7175</v>
      </c>
      <c r="M14561" s="1302" t="s">
        <v>7176</v>
      </c>
      <c r="N14561" s="1302" t="s">
        <v>7177</v>
      </c>
      <c r="O14561" s="1302" t="s">
        <v>7178</v>
      </c>
    </row>
    <row r="14562" spans="1:19" ht="12.75" hidden="1" customHeight="1" outlineLevel="1" x14ac:dyDescent="0.25">
      <c r="A14562" s="1991">
        <v>0.03</v>
      </c>
      <c r="B14562" s="1921" t="s">
        <v>359</v>
      </c>
      <c r="C14562" s="2108">
        <v>141.19</v>
      </c>
      <c r="D14562" s="3278">
        <v>210.3</v>
      </c>
      <c r="E14562" s="3279">
        <v>0.48948225795027978</v>
      </c>
      <c r="F14562" s="3277">
        <v>1.4684467738508393E-2</v>
      </c>
      <c r="G14562" s="78"/>
      <c r="H14562" t="s">
        <v>360</v>
      </c>
      <c r="I14562" s="412">
        <v>97.341200000000001</v>
      </c>
      <c r="J14562">
        <v>97.503100000000003</v>
      </c>
      <c r="K14562">
        <v>103.2891</v>
      </c>
      <c r="L14562">
        <v>104.3236</v>
      </c>
      <c r="M14562">
        <v>100.03789999999999</v>
      </c>
      <c r="N14562">
        <v>98.841999999999999</v>
      </c>
      <c r="O14562">
        <v>97.341200000000001</v>
      </c>
      <c r="S14562" s="434"/>
    </row>
    <row r="14563" spans="1:19" ht="12.75" hidden="1" customHeight="1" outlineLevel="1" x14ac:dyDescent="0.25">
      <c r="A14563" s="2380">
        <v>0.03</v>
      </c>
      <c r="B14563" s="1921" t="s">
        <v>7165</v>
      </c>
      <c r="C14563" s="2108">
        <v>18.799499999999998</v>
      </c>
      <c r="D14563" s="3280">
        <v>13.65</v>
      </c>
      <c r="E14563" s="3281">
        <v>-0.2739168594909438</v>
      </c>
      <c r="F14563" s="3282">
        <v>-8.2175057847283135E-3</v>
      </c>
      <c r="G14563" s="78"/>
      <c r="H14563" t="s">
        <v>7166</v>
      </c>
      <c r="I14563" s="37">
        <v>3.6872722222222196E-2</v>
      </c>
      <c r="S14563" s="434"/>
    </row>
    <row r="14564" spans="1:19" ht="12.75" hidden="1" customHeight="1" outlineLevel="1" x14ac:dyDescent="0.25">
      <c r="A14564" s="2380">
        <v>0.03</v>
      </c>
      <c r="B14564" s="1921" t="s">
        <v>3998</v>
      </c>
      <c r="C14564" s="2108">
        <v>32.762999999999998</v>
      </c>
      <c r="D14564" s="3280">
        <v>28.78</v>
      </c>
      <c r="E14564" s="3281">
        <v>-0.12157006379147195</v>
      </c>
      <c r="F14564" s="3282">
        <v>-3.6471019137441583E-3</v>
      </c>
      <c r="G14564" s="78"/>
      <c r="H14564" t="s">
        <v>4000</v>
      </c>
      <c r="J14564" s="74"/>
      <c r="S14564" s="434"/>
    </row>
    <row r="14565" spans="1:19" ht="12.75" hidden="1" customHeight="1" outlineLevel="1" x14ac:dyDescent="0.25">
      <c r="A14565" s="2380">
        <v>0.02</v>
      </c>
      <c r="B14565" s="1921" t="s">
        <v>218</v>
      </c>
      <c r="C14565" s="2108">
        <v>22.277999999999999</v>
      </c>
      <c r="D14565" s="3280">
        <v>21.385000000000002</v>
      </c>
      <c r="E14565" s="3281">
        <v>-4.0084388185653852E-2</v>
      </c>
      <c r="F14565" s="3282">
        <v>-8.0168776371307708E-4</v>
      </c>
      <c r="G14565" s="78"/>
      <c r="H14565" t="s">
        <v>656</v>
      </c>
      <c r="S14565" s="434"/>
    </row>
    <row r="14566" spans="1:19" ht="12.75" hidden="1" customHeight="1" outlineLevel="1" x14ac:dyDescent="0.25">
      <c r="A14566" s="2380">
        <v>0.02</v>
      </c>
      <c r="B14566" s="1921" t="s">
        <v>807</v>
      </c>
      <c r="C14566" s="2108">
        <v>53.963999999999999</v>
      </c>
      <c r="D14566" s="3280">
        <v>61.13</v>
      </c>
      <c r="E14566" s="3281">
        <v>0.13279223185827593</v>
      </c>
      <c r="F14566" s="3282">
        <v>2.6558446371655188E-3</v>
      </c>
      <c r="G14566" s="78"/>
      <c r="H14566" t="s">
        <v>808</v>
      </c>
      <c r="S14566" s="434"/>
    </row>
    <row r="14567" spans="1:19" ht="12.75" hidden="1" customHeight="1" outlineLevel="1" x14ac:dyDescent="0.25">
      <c r="A14567" s="2380">
        <v>0.03</v>
      </c>
      <c r="B14567" s="1921" t="s">
        <v>8527</v>
      </c>
      <c r="C14567" s="2108">
        <v>37.411493432062528</v>
      </c>
      <c r="D14567" s="3280">
        <v>39.78</v>
      </c>
      <c r="E14567" s="3281">
        <v>6.3309596882000108E-2</v>
      </c>
      <c r="F14567" s="3282">
        <v>1.8992879064600031E-3</v>
      </c>
      <c r="G14567" s="78"/>
      <c r="H14567" t="s">
        <v>8516</v>
      </c>
      <c r="S14567" s="434"/>
    </row>
    <row r="14568" spans="1:19" ht="12.75" hidden="1" customHeight="1" outlineLevel="1" x14ac:dyDescent="0.25">
      <c r="A14568" s="2380">
        <v>0.03</v>
      </c>
      <c r="B14568" s="1921" t="s">
        <v>6821</v>
      </c>
      <c r="C14568" s="2108">
        <v>322.47682756089915</v>
      </c>
      <c r="D14568" s="3280">
        <v>285</v>
      </c>
      <c r="E14568" s="3281">
        <v>-0.11621556762500007</v>
      </c>
      <c r="F14568" s="3282">
        <v>-3.486467028750002E-3</v>
      </c>
      <c r="G14568" s="78"/>
      <c r="H14568" t="s">
        <v>6822</v>
      </c>
      <c r="S14568" s="434"/>
    </row>
    <row r="14569" spans="1:19" ht="12.75" hidden="1" customHeight="1" outlineLevel="1" x14ac:dyDescent="0.25">
      <c r="A14569" s="2380">
        <v>0.02</v>
      </c>
      <c r="B14569" s="1921" t="s">
        <v>7134</v>
      </c>
      <c r="C14569" s="2108">
        <v>16.255921392086233</v>
      </c>
      <c r="D14569" s="3280">
        <v>11.52</v>
      </c>
      <c r="E14569" s="3281">
        <v>-0.29133515584000003</v>
      </c>
      <c r="F14569" s="3282">
        <v>-5.826703116800001E-3</v>
      </c>
      <c r="G14569" s="78"/>
      <c r="H14569" t="s">
        <v>497</v>
      </c>
      <c r="S14569" s="434"/>
    </row>
    <row r="14570" spans="1:19" ht="12.75" hidden="1" customHeight="1" outlineLevel="1" x14ac:dyDescent="0.25">
      <c r="A14570" s="2380">
        <v>0.08</v>
      </c>
      <c r="B14570" s="1921" t="s">
        <v>6942</v>
      </c>
      <c r="C14570" s="2108">
        <v>30.038</v>
      </c>
      <c r="D14570" s="3280">
        <v>50.32</v>
      </c>
      <c r="E14570" s="3281">
        <v>0.67521139889473325</v>
      </c>
      <c r="F14570" s="3282">
        <v>5.4016911911578661E-2</v>
      </c>
      <c r="G14570" s="78"/>
      <c r="H14570" t="s">
        <v>7860</v>
      </c>
      <c r="S14570" s="434"/>
    </row>
    <row r="14571" spans="1:19" ht="12.75" hidden="1" customHeight="1" outlineLevel="1" x14ac:dyDescent="0.25">
      <c r="A14571" s="2380">
        <v>0.03</v>
      </c>
      <c r="B14571" s="1921" t="s">
        <v>4268</v>
      </c>
      <c r="C14571" s="2108">
        <v>14.592000000000001</v>
      </c>
      <c r="D14571" s="3280">
        <v>23.26</v>
      </c>
      <c r="E14571" s="3281">
        <v>0.59402412280701755</v>
      </c>
      <c r="F14571" s="3282">
        <v>1.7820723684210525E-2</v>
      </c>
      <c r="G14571" s="78"/>
      <c r="H14571" t="s">
        <v>8442</v>
      </c>
      <c r="S14571" s="434"/>
    </row>
    <row r="14572" spans="1:19" ht="12.75" hidden="1" customHeight="1" outlineLevel="1" x14ac:dyDescent="0.25">
      <c r="A14572" s="2380">
        <v>0.02</v>
      </c>
      <c r="B14572" s="1921" t="s">
        <v>3799</v>
      </c>
      <c r="C14572" s="2108">
        <v>1280.8445671844777</v>
      </c>
      <c r="D14572" s="3280">
        <v>1419.4</v>
      </c>
      <c r="E14572" s="3281">
        <v>0.10817505602579991</v>
      </c>
      <c r="F14572" s="3282">
        <v>2.1635011205159982E-3</v>
      </c>
      <c r="G14572" s="78"/>
      <c r="H14572" t="s">
        <v>4128</v>
      </c>
      <c r="S14572" s="434"/>
    </row>
    <row r="14573" spans="1:19" ht="12.75" hidden="1" customHeight="1" outlineLevel="1" x14ac:dyDescent="0.25">
      <c r="A14573" s="2380">
        <v>0.03</v>
      </c>
      <c r="B14573" s="1921" t="s">
        <v>10139</v>
      </c>
      <c r="C14573" s="2108">
        <v>33.798025350594209</v>
      </c>
      <c r="D14573" s="3280">
        <v>33.29</v>
      </c>
      <c r="E14573" s="3281">
        <v>-1.5031213963666579E-2</v>
      </c>
      <c r="F14573" s="3282">
        <v>-4.5093641890999733E-4</v>
      </c>
      <c r="G14573" s="78"/>
      <c r="H14573" t="s">
        <v>10140</v>
      </c>
      <c r="S14573" s="434"/>
    </row>
    <row r="14574" spans="1:19" ht="12.75" hidden="1" customHeight="1" outlineLevel="1" x14ac:dyDescent="0.25">
      <c r="A14574" s="2380">
        <v>0.08</v>
      </c>
      <c r="B14574" s="1921" t="s">
        <v>1771</v>
      </c>
      <c r="C14574" s="2519">
        <v>504.25</v>
      </c>
      <c r="D14574" s="3280">
        <v>417.3</v>
      </c>
      <c r="E14574" s="3281">
        <v>-0.17243430837878038</v>
      </c>
      <c r="F14574" s="3282">
        <v>-1.3794744670302431E-2</v>
      </c>
      <c r="G14574" s="78"/>
      <c r="H14574" t="s">
        <v>4329</v>
      </c>
      <c r="S14574" s="434"/>
    </row>
    <row r="14575" spans="1:19" ht="12.75" hidden="1" customHeight="1" outlineLevel="1" x14ac:dyDescent="0.25">
      <c r="A14575" s="2380">
        <v>0.02</v>
      </c>
      <c r="B14575" s="1921" t="s">
        <v>1343</v>
      </c>
      <c r="C14575" s="2108">
        <v>3271.1</v>
      </c>
      <c r="D14575" s="3280">
        <v>1557</v>
      </c>
      <c r="E14575" s="3281">
        <v>-0.52401332884962248</v>
      </c>
      <c r="F14575" s="3282">
        <v>-1.0480266576992451E-2</v>
      </c>
      <c r="G14575" s="78"/>
      <c r="H14575" t="s">
        <v>7747</v>
      </c>
      <c r="S14575" s="434"/>
    </row>
    <row r="14576" spans="1:19" ht="12.75" hidden="1" customHeight="1" outlineLevel="1" x14ac:dyDescent="0.25">
      <c r="A14576" s="2380">
        <v>0.03</v>
      </c>
      <c r="B14576" s="1921" t="s">
        <v>2786</v>
      </c>
      <c r="C14576" s="2108">
        <v>856.03366839312912</v>
      </c>
      <c r="D14576" s="3280">
        <v>920.8</v>
      </c>
      <c r="E14576" s="3281">
        <v>7.5658626521599937E-2</v>
      </c>
      <c r="F14576" s="3282">
        <v>2.2697587956479982E-3</v>
      </c>
      <c r="G14576" s="78"/>
      <c r="H14576" t="s">
        <v>4195</v>
      </c>
      <c r="S14576" s="434"/>
    </row>
    <row r="14577" spans="1:19" ht="12.75" hidden="1" customHeight="1" outlineLevel="1" x14ac:dyDescent="0.25">
      <c r="A14577" s="2380">
        <v>0.02</v>
      </c>
      <c r="B14577" s="1921" t="s">
        <v>7135</v>
      </c>
      <c r="C14577" s="2108">
        <v>31.847999999999999</v>
      </c>
      <c r="D14577" s="3280">
        <v>16.29</v>
      </c>
      <c r="E14577" s="3281">
        <v>-0.48850791258477766</v>
      </c>
      <c r="F14577" s="3282">
        <v>-9.7701582516955526E-3</v>
      </c>
      <c r="G14577" s="78"/>
      <c r="H14577" t="s">
        <v>7143</v>
      </c>
      <c r="S14577" s="434"/>
    </row>
    <row r="14578" spans="1:19" ht="12.75" hidden="1" customHeight="1" outlineLevel="1" x14ac:dyDescent="0.25">
      <c r="A14578" s="2380">
        <v>0.02</v>
      </c>
      <c r="B14578" s="1921" t="s">
        <v>54</v>
      </c>
      <c r="C14578" s="2108">
        <v>11.395</v>
      </c>
      <c r="D14578" s="3280">
        <v>10.554</v>
      </c>
      <c r="E14578" s="3281">
        <v>-7.3804300131636635E-2</v>
      </c>
      <c r="F14578" s="3282">
        <v>-1.4760860026327327E-3</v>
      </c>
      <c r="G14578" s="78"/>
      <c r="H14578" t="s">
        <v>6741</v>
      </c>
      <c r="S14578" s="434"/>
    </row>
    <row r="14579" spans="1:19" ht="12.75" hidden="1" customHeight="1" outlineLevel="1" x14ac:dyDescent="0.25">
      <c r="A14579" s="2380">
        <v>0.03</v>
      </c>
      <c r="B14579" s="1921" t="s">
        <v>5205</v>
      </c>
      <c r="C14579" s="2108">
        <v>1622.05</v>
      </c>
      <c r="D14579" s="3280">
        <v>1446.8</v>
      </c>
      <c r="E14579" s="3281">
        <v>-0.10804229216115413</v>
      </c>
      <c r="F14579" s="3282">
        <v>-3.2412687648346239E-3</v>
      </c>
      <c r="G14579" s="78"/>
      <c r="H14579" t="s">
        <v>5199</v>
      </c>
      <c r="S14579" s="434"/>
    </row>
    <row r="14580" spans="1:19" ht="12.75" hidden="1" customHeight="1" outlineLevel="1" x14ac:dyDescent="0.25">
      <c r="A14580" s="2380">
        <v>0.03</v>
      </c>
      <c r="B14580" s="1921" t="s">
        <v>6270</v>
      </c>
      <c r="C14580" s="2108">
        <v>43.53861542335337</v>
      </c>
      <c r="D14580" s="3280">
        <v>38.76</v>
      </c>
      <c r="E14580" s="3281">
        <v>-0.10975579670800018</v>
      </c>
      <c r="F14580" s="3282">
        <v>-3.2926739012400052E-3</v>
      </c>
      <c r="G14580" s="78"/>
      <c r="H14580" t="s">
        <v>8166</v>
      </c>
      <c r="S14580" s="434"/>
    </row>
    <row r="14581" spans="1:19" ht="12.75" hidden="1" customHeight="1" outlineLevel="1" x14ac:dyDescent="0.25">
      <c r="A14581" s="2380">
        <v>0.03</v>
      </c>
      <c r="B14581" s="1921" t="s">
        <v>6164</v>
      </c>
      <c r="C14581" s="2108">
        <v>3.6755016877039393</v>
      </c>
      <c r="D14581" s="3280">
        <v>4.875</v>
      </c>
      <c r="E14581" s="3281">
        <v>0.3263495474125</v>
      </c>
      <c r="F14581" s="3282">
        <v>9.7904864223749988E-3</v>
      </c>
      <c r="G14581" s="78"/>
      <c r="H14581" t="s">
        <v>6114</v>
      </c>
      <c r="S14581" s="434"/>
    </row>
    <row r="14582" spans="1:19" ht="12.75" hidden="1" customHeight="1" outlineLevel="1" x14ac:dyDescent="0.25">
      <c r="A14582" s="2380">
        <v>0.03</v>
      </c>
      <c r="B14582" s="1921" t="s">
        <v>3427</v>
      </c>
      <c r="C14582" s="2108">
        <v>42.902000000000001</v>
      </c>
      <c r="D14582" s="3280">
        <v>60.51</v>
      </c>
      <c r="E14582" s="3281">
        <v>0.41042375646822982</v>
      </c>
      <c r="F14582" s="3282">
        <v>1.2312712694046895E-2</v>
      </c>
      <c r="G14582" s="78"/>
      <c r="H14582" t="s">
        <v>2800</v>
      </c>
      <c r="S14582" s="434"/>
    </row>
    <row r="14583" spans="1:19" ht="12.75" hidden="1" customHeight="1" outlineLevel="1" x14ac:dyDescent="0.25">
      <c r="A14583" s="2380">
        <v>0.03</v>
      </c>
      <c r="B14583" s="1921" t="s">
        <v>1857</v>
      </c>
      <c r="C14583" s="2108">
        <v>1454.1</v>
      </c>
      <c r="D14583" s="3280">
        <v>1500.5</v>
      </c>
      <c r="E14583" s="3281">
        <v>3.1909772367787692E-2</v>
      </c>
      <c r="F14583" s="3282">
        <v>9.5729317103363074E-4</v>
      </c>
      <c r="G14583" s="78"/>
      <c r="H14583" t="s">
        <v>3559</v>
      </c>
      <c r="S14583" s="434"/>
    </row>
    <row r="14584" spans="1:19" ht="12.75" hidden="1" customHeight="1" outlineLevel="1" x14ac:dyDescent="0.25">
      <c r="A14584" s="2380">
        <v>0.03</v>
      </c>
      <c r="B14584" s="1921" t="s">
        <v>1724</v>
      </c>
      <c r="C14584" s="2108">
        <v>193.98</v>
      </c>
      <c r="D14584" s="3280">
        <v>159.24</v>
      </c>
      <c r="E14584" s="3281">
        <v>-0.17909062789978336</v>
      </c>
      <c r="F14584" s="3282">
        <v>-5.3727188369935008E-3</v>
      </c>
      <c r="G14584" s="78"/>
      <c r="H14584" t="s">
        <v>1725</v>
      </c>
      <c r="S14584" s="434"/>
    </row>
    <row r="14585" spans="1:19" ht="12.75" hidden="1" customHeight="1" outlineLevel="1" x14ac:dyDescent="0.25">
      <c r="A14585" s="2380">
        <v>0.05</v>
      </c>
      <c r="B14585" s="1921" t="s">
        <v>6118</v>
      </c>
      <c r="C14585" s="2108">
        <v>84.094999999999999</v>
      </c>
      <c r="D14585" s="3280">
        <v>83.48</v>
      </c>
      <c r="E14585" s="3281">
        <v>-7.3131577382721247E-3</v>
      </c>
      <c r="F14585" s="3282">
        <v>-3.6565788691360628E-4</v>
      </c>
      <c r="G14585" s="78"/>
      <c r="H14585" t="s">
        <v>8893</v>
      </c>
      <c r="S14585" s="434"/>
    </row>
    <row r="14586" spans="1:19" ht="12.75" hidden="1" customHeight="1" outlineLevel="1" x14ac:dyDescent="0.25">
      <c r="A14586" s="2380">
        <v>0.03</v>
      </c>
      <c r="B14586" s="1921" t="s">
        <v>1239</v>
      </c>
      <c r="C14586" s="2108">
        <v>502.54</v>
      </c>
      <c r="D14586" s="3280">
        <v>528.20000000000005</v>
      </c>
      <c r="E14586" s="3281">
        <v>5.1060612090579882E-2</v>
      </c>
      <c r="F14586" s="3282">
        <v>1.5318183627173964E-3</v>
      </c>
      <c r="G14586" s="78"/>
      <c r="H14586" t="s">
        <v>8891</v>
      </c>
      <c r="S14586" s="434"/>
    </row>
    <row r="14587" spans="1:19" ht="12.75" hidden="1" customHeight="1" outlineLevel="1" x14ac:dyDescent="0.25">
      <c r="A14587" s="2380">
        <v>0.03</v>
      </c>
      <c r="B14587" s="1921" t="s">
        <v>6945</v>
      </c>
      <c r="C14587" s="2108">
        <v>75.841883778911352</v>
      </c>
      <c r="D14587" s="3280">
        <v>116.6</v>
      </c>
      <c r="E14587" s="3281">
        <v>0.53740906990000004</v>
      </c>
      <c r="F14587" s="3282">
        <v>1.6122272097000002E-2</v>
      </c>
      <c r="G14587" s="78"/>
      <c r="H14587" t="s">
        <v>6943</v>
      </c>
      <c r="S14587" s="434"/>
    </row>
    <row r="14588" spans="1:19" ht="12.75" hidden="1" customHeight="1" outlineLevel="1" x14ac:dyDescent="0.25">
      <c r="A14588" s="2380">
        <v>0.08</v>
      </c>
      <c r="B14588" s="1921" t="s">
        <v>434</v>
      </c>
      <c r="C14588" s="2108">
        <v>47.031999999999996</v>
      </c>
      <c r="D14588" s="3280">
        <v>37.979999999999997</v>
      </c>
      <c r="E14588" s="3281">
        <v>-0.19246470488178258</v>
      </c>
      <c r="F14588" s="3282">
        <v>-1.5397176390542607E-2</v>
      </c>
      <c r="G14588" s="78"/>
      <c r="H14588" t="s">
        <v>7745</v>
      </c>
      <c r="S14588" s="434"/>
    </row>
    <row r="14589" spans="1:19" ht="12.75" hidden="1" customHeight="1" outlineLevel="1" x14ac:dyDescent="0.25">
      <c r="A14589" s="2380">
        <v>0.03</v>
      </c>
      <c r="B14589" s="1921" t="s">
        <v>3921</v>
      </c>
      <c r="C14589" s="2108">
        <v>4.2005999999999997</v>
      </c>
      <c r="D14589" s="3280">
        <v>6.2839999999999998</v>
      </c>
      <c r="E14589" s="3281">
        <v>0.49597676522401568</v>
      </c>
      <c r="F14589" s="3282">
        <v>1.4879302956720471E-2</v>
      </c>
      <c r="G14589" s="78"/>
      <c r="H14589" t="s">
        <v>3922</v>
      </c>
      <c r="S14589" s="434"/>
    </row>
    <row r="14590" spans="1:19" ht="12.75" hidden="1" customHeight="1" outlineLevel="1" x14ac:dyDescent="0.25">
      <c r="A14590" s="2380">
        <v>0.02</v>
      </c>
      <c r="B14590" s="1921" t="s">
        <v>9301</v>
      </c>
      <c r="C14590" s="2108">
        <v>224.69499999999999</v>
      </c>
      <c r="D14590" s="3280">
        <v>72.989999999999995</v>
      </c>
      <c r="E14590" s="3281">
        <v>-0.67515966087362878</v>
      </c>
      <c r="F14590" s="3282">
        <v>-1.3503193217472577E-2</v>
      </c>
      <c r="G14590" s="78"/>
      <c r="H14590" t="s">
        <v>9302</v>
      </c>
      <c r="S14590" s="434"/>
    </row>
    <row r="14591" spans="1:19" ht="12.75" hidden="1" customHeight="1" outlineLevel="1" x14ac:dyDescent="0.25">
      <c r="A14591" s="2380">
        <v>0.04</v>
      </c>
      <c r="B14591" s="2109" t="s">
        <v>4550</v>
      </c>
      <c r="C14591" s="2108">
        <v>264.13</v>
      </c>
      <c r="D14591" s="3283">
        <v>371.2</v>
      </c>
      <c r="E14591" s="3281">
        <v>0.40536856850793179</v>
      </c>
      <c r="F14591" s="3282">
        <v>1.6214742740317274E-2</v>
      </c>
      <c r="G14591" s="78"/>
      <c r="H14591" t="s">
        <v>8889</v>
      </c>
      <c r="S14591" s="434"/>
    </row>
    <row r="14592" spans="1:19" ht="12.75" hidden="1" customHeight="1" outlineLevel="1" x14ac:dyDescent="0.25">
      <c r="A14592" s="2181" t="s">
        <v>2734</v>
      </c>
      <c r="B14592" s="2103"/>
      <c r="C14592" s="3258">
        <v>100</v>
      </c>
      <c r="D14592" s="3259"/>
      <c r="E14592" s="3284"/>
      <c r="F14592" s="3277">
        <v>6.8194777712032112E-2</v>
      </c>
      <c r="G14592" s="78"/>
    </row>
    <row r="14593" spans="1:7" ht="12.75" hidden="1" customHeight="1" outlineLevel="1" x14ac:dyDescent="0.25">
      <c r="A14593" s="1956" t="s">
        <v>7179</v>
      </c>
      <c r="B14593" s="2185">
        <v>43831</v>
      </c>
      <c r="C14593" s="3261">
        <v>100</v>
      </c>
      <c r="D14593" s="3261">
        <v>119.3616</v>
      </c>
      <c r="E14593" s="3262">
        <v>0.19361600000000001</v>
      </c>
      <c r="F14593" s="3285"/>
      <c r="G14593" s="78"/>
    </row>
    <row r="14594" spans="1:7" ht="12.75" hidden="1" customHeight="1" outlineLevel="1" x14ac:dyDescent="0.25">
      <c r="A14594" s="1956" t="s">
        <v>7180</v>
      </c>
      <c r="B14594" s="2185">
        <v>43862</v>
      </c>
      <c r="C14594" s="3261">
        <v>100</v>
      </c>
      <c r="D14594" s="3264">
        <v>109.8984</v>
      </c>
      <c r="E14594" s="3262">
        <v>9.8983999999999961E-2</v>
      </c>
      <c r="F14594" s="3285"/>
      <c r="G14594" s="78"/>
    </row>
    <row r="14595" spans="1:7" ht="12.75" hidden="1" customHeight="1" outlineLevel="1" x14ac:dyDescent="0.25">
      <c r="A14595" s="1956" t="s">
        <v>7181</v>
      </c>
      <c r="B14595" s="2185">
        <v>43891</v>
      </c>
      <c r="C14595" s="3261">
        <v>100</v>
      </c>
      <c r="D14595" s="3264">
        <v>97.483099999999993</v>
      </c>
      <c r="E14595" s="3262">
        <v>-2.5169000000000108E-2</v>
      </c>
      <c r="F14595" s="3285"/>
      <c r="G14595" s="78"/>
    </row>
    <row r="14596" spans="1:7" ht="12.75" hidden="1" customHeight="1" outlineLevel="1" x14ac:dyDescent="0.25">
      <c r="A14596" s="1956" t="s">
        <v>7182</v>
      </c>
      <c r="B14596" s="2185">
        <v>43922</v>
      </c>
      <c r="C14596" s="3261">
        <v>100</v>
      </c>
      <c r="D14596" s="3264">
        <v>96.455699999999993</v>
      </c>
      <c r="E14596" s="3262">
        <v>-3.5443000000000113E-2</v>
      </c>
      <c r="F14596" s="3285"/>
      <c r="G14596" s="78"/>
    </row>
    <row r="14597" spans="1:7" ht="12.75" hidden="1" customHeight="1" outlineLevel="1" x14ac:dyDescent="0.25">
      <c r="A14597" s="1956" t="s">
        <v>7183</v>
      </c>
      <c r="B14597" s="2185">
        <v>43952</v>
      </c>
      <c r="C14597" s="3261">
        <v>100</v>
      </c>
      <c r="D14597" s="3264">
        <v>96.255799999999994</v>
      </c>
      <c r="E14597" s="3262">
        <v>-3.7442000000000086E-2</v>
      </c>
      <c r="F14597" s="3285"/>
      <c r="G14597" s="78"/>
    </row>
    <row r="14598" spans="1:7" ht="12.75" hidden="1" customHeight="1" outlineLevel="1" x14ac:dyDescent="0.25">
      <c r="A14598" s="1956" t="s">
        <v>7184</v>
      </c>
      <c r="B14598" s="2185">
        <v>43983</v>
      </c>
      <c r="C14598" s="3261">
        <v>100</v>
      </c>
      <c r="D14598" s="3264">
        <v>97.974299999999999</v>
      </c>
      <c r="E14598" s="3262">
        <v>-2.0256999999999969E-2</v>
      </c>
      <c r="F14598" s="3285"/>
      <c r="G14598" s="78"/>
    </row>
    <row r="14599" spans="1:7" ht="12.75" hidden="1" customHeight="1" outlineLevel="1" x14ac:dyDescent="0.25">
      <c r="A14599" s="1956" t="s">
        <v>7185</v>
      </c>
      <c r="B14599" s="2185">
        <v>44013</v>
      </c>
      <c r="C14599" s="3261">
        <v>100</v>
      </c>
      <c r="D14599" s="3264">
        <v>95.685299999999998</v>
      </c>
      <c r="E14599" s="3262">
        <v>-4.3147000000000046E-2</v>
      </c>
      <c r="F14599" s="3285"/>
      <c r="G14599" s="78"/>
    </row>
    <row r="14600" spans="1:7" ht="12.75" hidden="1" customHeight="1" outlineLevel="1" x14ac:dyDescent="0.25">
      <c r="A14600" s="1956" t="s">
        <v>7186</v>
      </c>
      <c r="B14600" s="2185">
        <v>44044</v>
      </c>
      <c r="C14600" s="3261">
        <v>100</v>
      </c>
      <c r="D14600" s="3264">
        <v>94.620800000000003</v>
      </c>
      <c r="E14600" s="3262">
        <v>-5.3791999999999951E-2</v>
      </c>
      <c r="F14600" s="3285"/>
      <c r="G14600" s="78"/>
    </row>
    <row r="14601" spans="1:7" ht="12.75" hidden="1" customHeight="1" outlineLevel="1" x14ac:dyDescent="0.25">
      <c r="A14601" s="1956" t="s">
        <v>7187</v>
      </c>
      <c r="B14601" s="2185">
        <v>44075</v>
      </c>
      <c r="C14601" s="3261">
        <v>100</v>
      </c>
      <c r="D14601" s="3264">
        <v>93.213999999999999</v>
      </c>
      <c r="E14601" s="3262">
        <v>-6.7860000000000031E-2</v>
      </c>
      <c r="F14601" s="3285"/>
      <c r="G14601" s="78"/>
    </row>
    <row r="14602" spans="1:7" ht="12.75" hidden="1" customHeight="1" outlineLevel="1" x14ac:dyDescent="0.25">
      <c r="A14602" s="1956" t="s">
        <v>7188</v>
      </c>
      <c r="B14602" s="2185">
        <v>44105</v>
      </c>
      <c r="C14602" s="3261">
        <v>100</v>
      </c>
      <c r="D14602" s="3264">
        <v>88.333299999999994</v>
      </c>
      <c r="E14602" s="3262">
        <v>-0.11666700000000008</v>
      </c>
      <c r="F14602" s="3285"/>
      <c r="G14602" s="78"/>
    </row>
    <row r="14603" spans="1:7" ht="12.75" hidden="1" customHeight="1" outlineLevel="1" x14ac:dyDescent="0.25">
      <c r="A14603" s="1956" t="s">
        <v>7189</v>
      </c>
      <c r="B14603" s="2185">
        <v>44136</v>
      </c>
      <c r="C14603" s="3261">
        <v>100</v>
      </c>
      <c r="D14603" s="3264">
        <v>99.690799999999996</v>
      </c>
      <c r="E14603" s="3262">
        <v>-3.0920000000000947E-3</v>
      </c>
      <c r="F14603" s="3285"/>
      <c r="G14603" s="78"/>
    </row>
    <row r="14604" spans="1:7" ht="12.75" hidden="1" customHeight="1" outlineLevel="1" x14ac:dyDescent="0.25">
      <c r="A14604" s="1956" t="s">
        <v>7190</v>
      </c>
      <c r="B14604" s="2185">
        <v>44166</v>
      </c>
      <c r="C14604" s="3261">
        <v>100</v>
      </c>
      <c r="D14604" s="3264">
        <v>99.844499999999996</v>
      </c>
      <c r="E14604" s="3262">
        <v>-1.5550000000000841E-3</v>
      </c>
      <c r="F14604" s="3285"/>
      <c r="G14604" s="78"/>
    </row>
    <row r="14605" spans="1:7" ht="12.75" hidden="1" customHeight="1" outlineLevel="1" x14ac:dyDescent="0.25">
      <c r="A14605" s="1956" t="s">
        <v>7191</v>
      </c>
      <c r="B14605" s="2185">
        <v>44197</v>
      </c>
      <c r="C14605" s="3261">
        <v>100</v>
      </c>
      <c r="D14605" s="3264">
        <v>100.2047</v>
      </c>
      <c r="E14605" s="3262">
        <v>2.047000000000132E-3</v>
      </c>
      <c r="F14605" s="3285"/>
      <c r="G14605" s="78"/>
    </row>
    <row r="14606" spans="1:7" ht="12.75" hidden="1" customHeight="1" outlineLevel="1" x14ac:dyDescent="0.25">
      <c r="A14606" s="1956" t="s">
        <v>7192</v>
      </c>
      <c r="B14606" s="2185">
        <v>44228</v>
      </c>
      <c r="C14606" s="3261">
        <v>100</v>
      </c>
      <c r="D14606" s="3264">
        <v>101.18129999999999</v>
      </c>
      <c r="E14606" s="3262">
        <v>1.1812999999999851E-2</v>
      </c>
      <c r="F14606" s="3285"/>
      <c r="G14606" s="78"/>
    </row>
    <row r="14607" spans="1:7" ht="12.75" hidden="1" customHeight="1" outlineLevel="1" x14ac:dyDescent="0.25">
      <c r="A14607" s="1956" t="s">
        <v>7193</v>
      </c>
      <c r="B14607" s="2185">
        <v>44256</v>
      </c>
      <c r="C14607" s="3261">
        <v>100</v>
      </c>
      <c r="D14607" s="3264">
        <v>108.1495</v>
      </c>
      <c r="E14607" s="3262">
        <v>8.1495000000000095E-2</v>
      </c>
      <c r="F14607" s="3285"/>
      <c r="G14607" s="78"/>
    </row>
    <row r="14608" spans="1:7" ht="12.75" hidden="1" customHeight="1" outlineLevel="1" x14ac:dyDescent="0.25">
      <c r="A14608" s="1956" t="s">
        <v>7194</v>
      </c>
      <c r="B14608" s="2185">
        <v>44287</v>
      </c>
      <c r="C14608" s="3261">
        <v>100</v>
      </c>
      <c r="D14608" s="3264">
        <v>105.9911</v>
      </c>
      <c r="E14608" s="3262">
        <v>5.9911000000000048E-2</v>
      </c>
      <c r="F14608" s="3285"/>
      <c r="G14608" s="78"/>
    </row>
    <row r="14609" spans="1:9" ht="12.75" hidden="1" customHeight="1" outlineLevel="1" x14ac:dyDescent="0.25">
      <c r="A14609" s="1956" t="s">
        <v>7195</v>
      </c>
      <c r="B14609" s="2185">
        <v>44317</v>
      </c>
      <c r="C14609" s="3261">
        <v>100</v>
      </c>
      <c r="D14609" s="3264">
        <v>107.09</v>
      </c>
      <c r="E14609" s="3262">
        <v>7.0899999999999963E-2</v>
      </c>
      <c r="F14609" s="3285"/>
      <c r="G14609" s="78"/>
    </row>
    <row r="14610" spans="1:9" ht="12.75" hidden="1" customHeight="1" outlineLevel="1" x14ac:dyDescent="0.25">
      <c r="A14610" s="1956" t="s">
        <v>7196</v>
      </c>
      <c r="B14610" s="2185">
        <v>44348</v>
      </c>
      <c r="C14610" s="3261">
        <v>100</v>
      </c>
      <c r="D14610" s="3264">
        <v>107.0783</v>
      </c>
      <c r="E14610" s="3262">
        <v>7.078300000000004E-2</v>
      </c>
      <c r="F14610" s="3285"/>
      <c r="G14610" s="78"/>
    </row>
    <row r="14611" spans="1:9" ht="12.75" hidden="1" customHeight="1" outlineLevel="1" x14ac:dyDescent="0.25">
      <c r="A14611" s="2189" t="s">
        <v>2734</v>
      </c>
      <c r="B14611" s="2190"/>
      <c r="C14611" s="3264"/>
      <c r="D14611" s="2191" t="s">
        <v>2465</v>
      </c>
      <c r="E14611" s="1987">
        <v>1.0284722222222197E-2</v>
      </c>
      <c r="F14611" s="2192">
        <v>3.6872722222222196E-2</v>
      </c>
      <c r="G14611" s="78"/>
    </row>
    <row r="14612" spans="1:9" collapsed="1" x14ac:dyDescent="0.25">
      <c r="A14612" s="3801" t="s">
        <v>7146</v>
      </c>
      <c r="B14612" s="3802"/>
      <c r="C14612" s="3802"/>
      <c r="D14612" s="3802"/>
      <c r="E14612" s="1906"/>
      <c r="F14612" s="1907">
        <v>3.6872722222222196E-2</v>
      </c>
      <c r="G14612" s="78"/>
    </row>
    <row r="14614" spans="1:9" hidden="1" outlineLevel="1" x14ac:dyDescent="0.25">
      <c r="A14614" s="495" t="s">
        <v>113</v>
      </c>
      <c r="B14614" s="689" t="s">
        <v>114</v>
      </c>
      <c r="C14614" s="689" t="s">
        <v>112</v>
      </c>
      <c r="D14614" s="689" t="s">
        <v>4155</v>
      </c>
      <c r="E14614" s="689" t="s">
        <v>116</v>
      </c>
      <c r="F14614" s="1188" t="s">
        <v>121</v>
      </c>
      <c r="G14614" s="78"/>
      <c r="H14614" s="438" t="s">
        <v>5391</v>
      </c>
      <c r="I14614" s="438" t="s">
        <v>5392</v>
      </c>
    </row>
    <row r="14615" spans="1:9" hidden="1" outlineLevel="1" x14ac:dyDescent="0.25">
      <c r="A14615" s="753" t="s">
        <v>7234</v>
      </c>
      <c r="B14615" s="729" t="s">
        <v>2153</v>
      </c>
      <c r="C14615" s="800">
        <v>3234.056</v>
      </c>
      <c r="D14615" s="3805">
        <v>3385.884</v>
      </c>
      <c r="E14615" s="1262">
        <v>3385.8440000000001</v>
      </c>
      <c r="F14615" s="700">
        <v>0.13500000000000001</v>
      </c>
      <c r="G14615" s="78"/>
      <c r="H14615" s="92">
        <v>4.6934252220740769E-2</v>
      </c>
      <c r="I14615" s="450">
        <v>0.13500000000000001</v>
      </c>
    </row>
    <row r="14616" spans="1:9" hidden="1" outlineLevel="1" x14ac:dyDescent="0.25">
      <c r="A14616" t="s">
        <v>7235</v>
      </c>
      <c r="B14616" s="729" t="s">
        <v>2153</v>
      </c>
      <c r="C14616" s="1028"/>
      <c r="D14616" s="3806"/>
      <c r="E14616" s="1255"/>
      <c r="F14616" s="1178" t="s">
        <v>5590</v>
      </c>
      <c r="G14616" s="78"/>
      <c r="H14616" s="79" t="s">
        <v>5590</v>
      </c>
      <c r="I14616" s="451">
        <v>0.18</v>
      </c>
    </row>
    <row r="14617" spans="1:9" hidden="1" outlineLevel="1" x14ac:dyDescent="0.25">
      <c r="A14617" t="s">
        <v>7236</v>
      </c>
      <c r="B14617" s="729" t="s">
        <v>2153</v>
      </c>
      <c r="C14617" s="1028" t="s">
        <v>5590</v>
      </c>
      <c r="D14617" s="3806"/>
      <c r="E14617" s="1255"/>
      <c r="F14617" s="1178" t="s">
        <v>5590</v>
      </c>
      <c r="G14617" s="78"/>
      <c r="H14617" s="79" t="s">
        <v>5590</v>
      </c>
      <c r="I14617" s="451">
        <v>0.22500000000000001</v>
      </c>
    </row>
    <row r="14618" spans="1:9" hidden="1" outlineLevel="1" x14ac:dyDescent="0.25">
      <c r="A14618" t="s">
        <v>7237</v>
      </c>
      <c r="B14618" s="729" t="s">
        <v>2153</v>
      </c>
      <c r="C14618" s="1028" t="s">
        <v>5590</v>
      </c>
      <c r="D14618" s="3806"/>
      <c r="E14618" s="1255"/>
      <c r="F14618" s="1178" t="s">
        <v>5590</v>
      </c>
      <c r="G14618" s="78"/>
      <c r="H14618" s="82" t="s">
        <v>5590</v>
      </c>
      <c r="I14618" s="452">
        <v>0.27</v>
      </c>
    </row>
    <row r="14619" spans="1:9" hidden="1" outlineLevel="1" x14ac:dyDescent="0.25">
      <c r="A14619" s="754" t="s">
        <v>7238</v>
      </c>
      <c r="B14619" s="729" t="s">
        <v>2153</v>
      </c>
      <c r="C14619" s="806" t="s">
        <v>5590</v>
      </c>
      <c r="D14619" s="3807"/>
      <c r="E14619" s="1255"/>
      <c r="F14619" s="1107" t="s">
        <v>5590</v>
      </c>
      <c r="G14619" s="78"/>
      <c r="H14619" s="37">
        <v>4.6934252220740769E-2</v>
      </c>
    </row>
    <row r="14620" spans="1:9" hidden="1" outlineLevel="1" x14ac:dyDescent="0.25">
      <c r="A14620" s="846" t="s">
        <v>2734</v>
      </c>
      <c r="B14620" s="691"/>
      <c r="C14620" s="956"/>
      <c r="D14620" s="1249"/>
      <c r="E14620" s="693"/>
      <c r="F14620" s="856">
        <v>0.13500000000000001</v>
      </c>
      <c r="G14620" s="78"/>
      <c r="H14620" s="74"/>
    </row>
    <row r="14621" spans="1:9" collapsed="1" x14ac:dyDescent="0.25">
      <c r="A14621" s="3801" t="s">
        <v>7233</v>
      </c>
      <c r="B14621" s="3802"/>
      <c r="C14621" s="3802"/>
      <c r="D14621" s="3802"/>
      <c r="E14621" s="1905"/>
      <c r="F14621" s="1893">
        <v>0.13500000000000001</v>
      </c>
      <c r="G14621" s="78"/>
      <c r="H14621" s="74"/>
    </row>
    <row r="14623" spans="1:9" ht="12.75" hidden="1" customHeight="1" outlineLevel="1" x14ac:dyDescent="0.25">
      <c r="A14623" s="3237" t="s">
        <v>113</v>
      </c>
      <c r="B14623" s="3237" t="s">
        <v>114</v>
      </c>
      <c r="C14623" s="3237" t="s">
        <v>112</v>
      </c>
      <c r="D14623" s="3237" t="s">
        <v>116</v>
      </c>
      <c r="E14623" s="3237" t="s">
        <v>117</v>
      </c>
      <c r="F14623" s="3276" t="s">
        <v>121</v>
      </c>
      <c r="G14623" s="78"/>
    </row>
    <row r="14624" spans="1:9" ht="12.75" hidden="1" customHeight="1" outlineLevel="1" x14ac:dyDescent="0.25">
      <c r="A14624" s="3238">
        <v>1</v>
      </c>
      <c r="B14624" s="3239" t="s">
        <v>252</v>
      </c>
      <c r="C14624" s="3240">
        <v>100</v>
      </c>
      <c r="D14624" s="3240"/>
      <c r="E14624" s="3241"/>
      <c r="F14624" s="3242"/>
      <c r="G14624" s="78"/>
    </row>
    <row r="14625" spans="1:11" ht="12.75" hidden="1" customHeight="1" outlineLevel="1" x14ac:dyDescent="0.25">
      <c r="A14625" s="3243" t="s">
        <v>2734</v>
      </c>
      <c r="B14625" s="3243"/>
      <c r="C14625" s="3244"/>
      <c r="D14625" s="1900" t="s">
        <v>3702</v>
      </c>
      <c r="E14625" s="3245">
        <v>44286</v>
      </c>
      <c r="F14625" s="3246"/>
      <c r="G14625" s="78"/>
    </row>
    <row r="14626" spans="1:11" ht="12.75" hidden="1" customHeight="1" outlineLevel="1" x14ac:dyDescent="0.25">
      <c r="A14626" s="3237" t="s">
        <v>4156</v>
      </c>
      <c r="B14626" s="3237" t="s">
        <v>4153</v>
      </c>
      <c r="C14626" s="3247" t="s">
        <v>112</v>
      </c>
      <c r="D14626" s="3248" t="s">
        <v>4155</v>
      </c>
      <c r="E14626" s="3237" t="s">
        <v>4154</v>
      </c>
      <c r="F14626" s="3277" t="s">
        <v>2519</v>
      </c>
      <c r="G14626" s="78"/>
    </row>
    <row r="14627" spans="1:11" ht="12.75" hidden="1" customHeight="1" outlineLevel="1" x14ac:dyDescent="0.25">
      <c r="A14627" s="1991">
        <v>0.03</v>
      </c>
      <c r="B14627" s="1921" t="s">
        <v>359</v>
      </c>
      <c r="C14627" s="2108">
        <v>141.37</v>
      </c>
      <c r="D14627" s="3278">
        <v>217.05</v>
      </c>
      <c r="E14627" s="3279">
        <v>0.53533281459998583</v>
      </c>
      <c r="F14627" s="3277">
        <v>1.6059984437999573E-2</v>
      </c>
      <c r="G14627" s="78"/>
      <c r="H14627" t="s">
        <v>360</v>
      </c>
      <c r="K14627" s="434"/>
    </row>
    <row r="14628" spans="1:11" ht="12.75" hidden="1" customHeight="1" outlineLevel="1" x14ac:dyDescent="0.25">
      <c r="A14628" s="2380">
        <v>0.02</v>
      </c>
      <c r="B14628" s="1921" t="s">
        <v>1993</v>
      </c>
      <c r="C14628" s="2108">
        <v>48.426000000000002</v>
      </c>
      <c r="D14628" s="3280">
        <v>51.16</v>
      </c>
      <c r="E14628" s="3281">
        <v>5.6457275017552488E-2</v>
      </c>
      <c r="F14628" s="3282">
        <v>1.1291455003510499E-3</v>
      </c>
      <c r="G14628" s="78"/>
      <c r="H14628" t="s">
        <v>2812</v>
      </c>
      <c r="K14628" s="434"/>
    </row>
    <row r="14629" spans="1:11" ht="12.75" hidden="1" customHeight="1" outlineLevel="1" x14ac:dyDescent="0.25">
      <c r="A14629" s="2380">
        <v>0.03</v>
      </c>
      <c r="B14629" s="1921" t="s">
        <v>3998</v>
      </c>
      <c r="C14629" s="2108">
        <v>34.682000000000002</v>
      </c>
      <c r="D14629" s="3280">
        <v>30.27</v>
      </c>
      <c r="E14629" s="3281">
        <v>-0.12721296349691491</v>
      </c>
      <c r="F14629" s="3282">
        <v>-3.8163889049074471E-3</v>
      </c>
      <c r="G14629" s="78"/>
      <c r="H14629" t="s">
        <v>4000</v>
      </c>
      <c r="K14629" s="434"/>
    </row>
    <row r="14630" spans="1:11" ht="12.75" hidden="1" customHeight="1" outlineLevel="1" x14ac:dyDescent="0.25">
      <c r="A14630" s="2380">
        <v>0.02</v>
      </c>
      <c r="B14630" s="1921" t="s">
        <v>218</v>
      </c>
      <c r="C14630" s="2108">
        <v>22.4</v>
      </c>
      <c r="D14630" s="3280">
        <v>22.885000000000002</v>
      </c>
      <c r="E14630" s="3281">
        <v>2.1651785714285943E-2</v>
      </c>
      <c r="F14630" s="3282">
        <v>4.3303571428571886E-4</v>
      </c>
      <c r="G14630" s="78"/>
      <c r="H14630" t="s">
        <v>656</v>
      </c>
      <c r="K14630" s="434"/>
    </row>
    <row r="14631" spans="1:11" ht="12.75" hidden="1" customHeight="1" outlineLevel="1" x14ac:dyDescent="0.25">
      <c r="A14631" s="2380">
        <v>0.03</v>
      </c>
      <c r="B14631" s="1921" t="s">
        <v>807</v>
      </c>
      <c r="C14631" s="2108">
        <v>53.758000000000003</v>
      </c>
      <c r="D14631" s="3280">
        <v>56.73</v>
      </c>
      <c r="E14631" s="3281">
        <v>5.5284794821235828E-2</v>
      </c>
      <c r="F14631" s="3282">
        <v>1.6585438446370749E-3</v>
      </c>
      <c r="G14631" s="78"/>
      <c r="H14631" t="s">
        <v>808</v>
      </c>
      <c r="K14631" s="434"/>
    </row>
    <row r="14632" spans="1:11" ht="12.75" hidden="1" customHeight="1" outlineLevel="1" x14ac:dyDescent="0.25">
      <c r="A14632" s="2380">
        <v>0.02</v>
      </c>
      <c r="B14632" s="1921" t="s">
        <v>7114</v>
      </c>
      <c r="C14632" s="2108">
        <v>96.703500000000005</v>
      </c>
      <c r="D14632" s="3280">
        <v>204.23</v>
      </c>
      <c r="E14632" s="3281">
        <v>1.1119194238057566</v>
      </c>
      <c r="F14632" s="3282">
        <v>2.2238388476115131E-2</v>
      </c>
      <c r="G14632" s="78"/>
      <c r="H14632" t="s">
        <v>7115</v>
      </c>
      <c r="K14632" s="434"/>
    </row>
    <row r="14633" spans="1:11" ht="12.75" hidden="1" customHeight="1" outlineLevel="1" x14ac:dyDescent="0.25">
      <c r="A14633" s="2380">
        <v>0.02</v>
      </c>
      <c r="B14633" s="1921" t="s">
        <v>6938</v>
      </c>
      <c r="C14633" s="2108">
        <v>65.855000000000004</v>
      </c>
      <c r="D14633" s="3280">
        <v>140.84</v>
      </c>
      <c r="E14633" s="3281">
        <v>1.1386379166350316</v>
      </c>
      <c r="F14633" s="3282">
        <v>2.2772758332700632E-2</v>
      </c>
      <c r="G14633" s="78"/>
      <c r="H14633" t="s">
        <v>6939</v>
      </c>
      <c r="K14633" s="434"/>
    </row>
    <row r="14634" spans="1:11" ht="12.75" hidden="1" customHeight="1" outlineLevel="1" x14ac:dyDescent="0.25">
      <c r="A14634" s="2380">
        <v>0.02</v>
      </c>
      <c r="B14634" s="1921" t="s">
        <v>496</v>
      </c>
      <c r="C14634" s="2108">
        <v>19.135931169494604</v>
      </c>
      <c r="D14634" s="3280">
        <v>11.44</v>
      </c>
      <c r="E14634" s="3281">
        <v>-0.40217176270800004</v>
      </c>
      <c r="F14634" s="3282">
        <v>-8.0434352541600002E-3</v>
      </c>
      <c r="G14634" s="78"/>
      <c r="H14634" t="s">
        <v>497</v>
      </c>
      <c r="K14634" s="434"/>
    </row>
    <row r="14635" spans="1:11" ht="12.75" hidden="1" customHeight="1" outlineLevel="1" x14ac:dyDescent="0.25">
      <c r="A14635" s="2380">
        <v>0.08</v>
      </c>
      <c r="B14635" s="1921" t="s">
        <v>6942</v>
      </c>
      <c r="C14635" s="2108">
        <v>27.251999999999999</v>
      </c>
      <c r="D14635" s="3280">
        <v>51.14</v>
      </c>
      <c r="E14635" s="3281">
        <v>0.87655951856744463</v>
      </c>
      <c r="F14635" s="3282">
        <v>7.0124761485395579E-2</v>
      </c>
      <c r="G14635" s="78"/>
      <c r="H14635" t="s">
        <v>7860</v>
      </c>
      <c r="K14635" s="434"/>
    </row>
    <row r="14636" spans="1:11" ht="12.75" hidden="1" customHeight="1" outlineLevel="1" x14ac:dyDescent="0.25">
      <c r="A14636" s="2380">
        <v>0.02</v>
      </c>
      <c r="B14636" s="1921" t="s">
        <v>6267</v>
      </c>
      <c r="C14636" s="2108">
        <v>25.175000000000001</v>
      </c>
      <c r="D14636" s="3280">
        <v>18.52</v>
      </c>
      <c r="E14636" s="3281">
        <v>-0.26434955312810327</v>
      </c>
      <c r="F14636" s="3282">
        <v>-5.2869910625620653E-3</v>
      </c>
      <c r="G14636" s="78"/>
      <c r="H14636" t="s">
        <v>6268</v>
      </c>
      <c r="K14636" s="434"/>
    </row>
    <row r="14637" spans="1:11" ht="12.75" hidden="1" customHeight="1" outlineLevel="1" x14ac:dyDescent="0.25">
      <c r="A14637" s="2380">
        <v>0.03</v>
      </c>
      <c r="B14637" s="1921" t="s">
        <v>4268</v>
      </c>
      <c r="C14637" s="2108">
        <v>16.648</v>
      </c>
      <c r="D14637" s="3280">
        <v>22.76</v>
      </c>
      <c r="E14637" s="3281">
        <v>0.36713118692936098</v>
      </c>
      <c r="F14637" s="3282">
        <v>1.1013935607880828E-2</v>
      </c>
      <c r="G14637" s="78"/>
      <c r="H14637" t="s">
        <v>8442</v>
      </c>
      <c r="K14637" s="434"/>
    </row>
    <row r="14638" spans="1:11" ht="12.75" hidden="1" customHeight="1" outlineLevel="1" x14ac:dyDescent="0.25">
      <c r="A14638" s="2380">
        <v>0.02</v>
      </c>
      <c r="B14638" s="1921" t="s">
        <v>3799</v>
      </c>
      <c r="C14638" s="2108">
        <v>1354.3299942790054</v>
      </c>
      <c r="D14638" s="3280">
        <v>1288</v>
      </c>
      <c r="E14638" s="3281">
        <v>-4.8976242539999992E-2</v>
      </c>
      <c r="F14638" s="3282">
        <v>-9.7952485079999996E-4</v>
      </c>
      <c r="G14638" s="78"/>
      <c r="H14638" t="s">
        <v>4128</v>
      </c>
      <c r="K14638" s="434"/>
    </row>
    <row r="14639" spans="1:11" ht="12.75" hidden="1" customHeight="1" outlineLevel="1" x14ac:dyDescent="0.25">
      <c r="A14639" s="2380">
        <v>0.03</v>
      </c>
      <c r="B14639" s="1921" t="s">
        <v>6530</v>
      </c>
      <c r="C14639" s="2519">
        <v>34.376103992160552</v>
      </c>
      <c r="D14639" s="3280">
        <v>31.74</v>
      </c>
      <c r="E14639" s="3281">
        <v>-7.6684198789999991E-2</v>
      </c>
      <c r="F14639" s="3282">
        <v>-2.3005259636999995E-3</v>
      </c>
      <c r="G14639" s="78"/>
      <c r="H14639" t="s">
        <v>10140</v>
      </c>
      <c r="K14639" s="434"/>
    </row>
    <row r="14640" spans="1:11" ht="12.75" hidden="1" customHeight="1" outlineLevel="1" x14ac:dyDescent="0.25">
      <c r="A14640" s="2380">
        <v>0.03</v>
      </c>
      <c r="B14640" s="1921" t="s">
        <v>6163</v>
      </c>
      <c r="C14640" s="2108">
        <v>68.132999999999996</v>
      </c>
      <c r="D14640" s="3280">
        <v>71.63</v>
      </c>
      <c r="E14640" s="3281">
        <v>5.1326082808624385E-2</v>
      </c>
      <c r="F14640" s="3282">
        <v>1.5397824842587314E-3</v>
      </c>
      <c r="G14640" s="78"/>
      <c r="H14640" t="s">
        <v>9170</v>
      </c>
      <c r="K14640" s="434"/>
    </row>
    <row r="14641" spans="1:11" ht="12.75" hidden="1" customHeight="1" outlineLevel="1" x14ac:dyDescent="0.25">
      <c r="A14641" s="2380">
        <v>0.02</v>
      </c>
      <c r="B14641" s="1921" t="s">
        <v>6707</v>
      </c>
      <c r="C14641" s="2108">
        <v>39.822000000000003</v>
      </c>
      <c r="D14641" s="3280">
        <v>16.649999999999999</v>
      </c>
      <c r="E14641" s="3281">
        <v>-0.58188940786499932</v>
      </c>
      <c r="F14641" s="3282">
        <v>-1.1637788157299987E-2</v>
      </c>
      <c r="G14641" s="78"/>
      <c r="H14641" t="s">
        <v>6705</v>
      </c>
      <c r="K14641" s="434"/>
    </row>
    <row r="14642" spans="1:11" ht="12.75" hidden="1" customHeight="1" outlineLevel="1" x14ac:dyDescent="0.25">
      <c r="A14642" s="2380">
        <v>0.03</v>
      </c>
      <c r="B14642" s="1921" t="s">
        <v>2786</v>
      </c>
      <c r="C14642" s="2108">
        <v>858.62290469501272</v>
      </c>
      <c r="D14642" s="3280">
        <v>864</v>
      </c>
      <c r="E14642" s="3281">
        <v>6.2624643199999941E-3</v>
      </c>
      <c r="F14642" s="3282">
        <v>1.8787392959999981E-4</v>
      </c>
      <c r="G14642" s="78"/>
      <c r="H14642" t="s">
        <v>4195</v>
      </c>
      <c r="K14642" s="434"/>
    </row>
    <row r="14643" spans="1:11" ht="12.75" hidden="1" customHeight="1" outlineLevel="1" x14ac:dyDescent="0.25">
      <c r="A14643" s="2380">
        <v>0.05</v>
      </c>
      <c r="B14643" s="1921" t="s">
        <v>1203</v>
      </c>
      <c r="C14643" s="2108">
        <v>105.97</v>
      </c>
      <c r="D14643" s="3280">
        <v>86</v>
      </c>
      <c r="E14643" s="3281">
        <v>-0.18844956119656509</v>
      </c>
      <c r="F14643" s="3282">
        <v>-9.422478059828255E-3</v>
      </c>
      <c r="G14643" s="78"/>
      <c r="H14643" t="s">
        <v>79</v>
      </c>
      <c r="K14643" s="434"/>
    </row>
    <row r="14644" spans="1:11" ht="12.75" hidden="1" customHeight="1" outlineLevel="1" x14ac:dyDescent="0.25">
      <c r="A14644" s="2380">
        <v>0.02</v>
      </c>
      <c r="B14644" s="1921" t="s">
        <v>2769</v>
      </c>
      <c r="C14644" s="2108">
        <v>30.32</v>
      </c>
      <c r="D14644" s="3280">
        <v>28.84</v>
      </c>
      <c r="E14644" s="3281">
        <v>-4.8812664907651682E-2</v>
      </c>
      <c r="F14644" s="3282">
        <v>-9.7625329815303368E-4</v>
      </c>
      <c r="G14644" s="78"/>
      <c r="H14644" t="s">
        <v>2770</v>
      </c>
      <c r="K14644" s="434"/>
    </row>
    <row r="14645" spans="1:11" ht="12.75" hidden="1" customHeight="1" outlineLevel="1" x14ac:dyDescent="0.25">
      <c r="A14645" s="2380">
        <v>0.02</v>
      </c>
      <c r="B14645" s="1921" t="s">
        <v>7142</v>
      </c>
      <c r="C14645" s="2108">
        <v>31.0305</v>
      </c>
      <c r="D14645" s="3280">
        <v>18.559999999999999</v>
      </c>
      <c r="E14645" s="3281">
        <v>-0.40187879666779458</v>
      </c>
      <c r="F14645" s="3282">
        <v>-8.0375759333558925E-3</v>
      </c>
      <c r="G14645" s="78"/>
      <c r="H14645" t="s">
        <v>7143</v>
      </c>
      <c r="K14645" s="434"/>
    </row>
    <row r="14646" spans="1:11" ht="12.75" hidden="1" customHeight="1" outlineLevel="1" x14ac:dyDescent="0.25">
      <c r="A14646" s="2380">
        <v>0.03</v>
      </c>
      <c r="B14646" s="1921" t="s">
        <v>6270</v>
      </c>
      <c r="C14646" s="2108">
        <v>41.294499076087895</v>
      </c>
      <c r="D14646" s="3280">
        <v>38.47</v>
      </c>
      <c r="E14646" s="3281">
        <v>-6.8398918482666771E-2</v>
      </c>
      <c r="F14646" s="3282">
        <v>-2.0519675544800032E-3</v>
      </c>
      <c r="G14646" s="78"/>
      <c r="H14646" t="s">
        <v>8166</v>
      </c>
      <c r="K14646" s="434"/>
    </row>
    <row r="14647" spans="1:11" ht="12.75" hidden="1" customHeight="1" outlineLevel="1" x14ac:dyDescent="0.25">
      <c r="A14647" s="2380">
        <v>0.02</v>
      </c>
      <c r="B14647" s="1921" t="s">
        <v>6164</v>
      </c>
      <c r="C14647" s="2108">
        <v>3.5980999259695077</v>
      </c>
      <c r="D14647" s="3280">
        <v>4.7279999999999998</v>
      </c>
      <c r="E14647" s="3281">
        <v>0.31402687453879996</v>
      </c>
      <c r="F14647" s="3282">
        <v>6.2805374907759989E-3</v>
      </c>
      <c r="G14647" s="78"/>
      <c r="H14647" t="s">
        <v>6114</v>
      </c>
      <c r="K14647" s="434"/>
    </row>
    <row r="14648" spans="1:11" ht="12.75" hidden="1" customHeight="1" outlineLevel="1" x14ac:dyDescent="0.25">
      <c r="A14648" s="2380">
        <v>0.03</v>
      </c>
      <c r="B14648" s="1921" t="s">
        <v>1857</v>
      </c>
      <c r="C14648" s="2108">
        <v>1592.7</v>
      </c>
      <c r="D14648" s="3280">
        <v>1455</v>
      </c>
      <c r="E14648" s="3281">
        <v>-8.6456959879450013E-2</v>
      </c>
      <c r="F14648" s="3282">
        <v>-2.5937087963835001E-3</v>
      </c>
      <c r="G14648" s="78"/>
      <c r="H14648" t="s">
        <v>3559</v>
      </c>
      <c r="K14648" s="434"/>
    </row>
    <row r="14649" spans="1:11" ht="12.75" hidden="1" customHeight="1" outlineLevel="1" x14ac:dyDescent="0.25">
      <c r="A14649" s="2380">
        <v>0.05</v>
      </c>
      <c r="B14649" s="1921" t="s">
        <v>3960</v>
      </c>
      <c r="C14649" s="2108">
        <v>468.06102479064265</v>
      </c>
      <c r="D14649" s="3280">
        <v>289.89999999999998</v>
      </c>
      <c r="E14649" s="3281">
        <v>-0.38063631739116</v>
      </c>
      <c r="F14649" s="3282">
        <v>-1.9031815869558003E-2</v>
      </c>
      <c r="G14649" s="78"/>
      <c r="H14649" t="s">
        <v>8828</v>
      </c>
      <c r="K14649" s="434"/>
    </row>
    <row r="14650" spans="1:11" ht="12.75" hidden="1" customHeight="1" outlineLevel="1" x14ac:dyDescent="0.25">
      <c r="A14650" s="2380">
        <v>0.08</v>
      </c>
      <c r="B14650" s="1921" t="s">
        <v>1724</v>
      </c>
      <c r="C14650" s="2108">
        <v>192.54</v>
      </c>
      <c r="D14650" s="3280">
        <v>153.9</v>
      </c>
      <c r="E14650" s="3281">
        <v>-0.20068557182923019</v>
      </c>
      <c r="F14650" s="3282">
        <v>-1.6054845746338416E-2</v>
      </c>
      <c r="G14650" s="78"/>
      <c r="H14650" t="s">
        <v>1725</v>
      </c>
      <c r="K14650" s="434"/>
    </row>
    <row r="14651" spans="1:11" ht="12.75" hidden="1" customHeight="1" outlineLevel="1" x14ac:dyDescent="0.25">
      <c r="A14651" s="2380">
        <v>0.05</v>
      </c>
      <c r="B14651" s="1921" t="s">
        <v>6118</v>
      </c>
      <c r="C14651" s="2108">
        <v>84.534999999999997</v>
      </c>
      <c r="D14651" s="3280">
        <v>92.96</v>
      </c>
      <c r="E14651" s="3281">
        <v>9.96628615366415E-2</v>
      </c>
      <c r="F14651" s="3282">
        <v>4.9831430768320752E-3</v>
      </c>
      <c r="G14651" s="78"/>
      <c r="H14651" t="s">
        <v>8893</v>
      </c>
      <c r="K14651" s="434"/>
    </row>
    <row r="14652" spans="1:11" ht="12.75" hidden="1" customHeight="1" outlineLevel="1" x14ac:dyDescent="0.25">
      <c r="A14652" s="2380">
        <v>0.05</v>
      </c>
      <c r="B14652" s="1921" t="s">
        <v>6945</v>
      </c>
      <c r="C14652" s="2108">
        <v>93.281362480415908</v>
      </c>
      <c r="D14652" s="3280">
        <v>117.8</v>
      </c>
      <c r="E14652" s="3281">
        <v>0.26284604842399983</v>
      </c>
      <c r="F14652" s="3282">
        <v>1.3142302421199993E-2</v>
      </c>
      <c r="G14652" s="78"/>
      <c r="H14652" t="s">
        <v>6943</v>
      </c>
      <c r="K14652" s="434"/>
    </row>
    <row r="14653" spans="1:11" ht="12.75" hidden="1" customHeight="1" outlineLevel="1" x14ac:dyDescent="0.25">
      <c r="A14653" s="2380">
        <v>0.05</v>
      </c>
      <c r="B14653" s="1921" t="s">
        <v>434</v>
      </c>
      <c r="C14653" s="2108">
        <v>49.003999999999998</v>
      </c>
      <c r="D14653" s="3280">
        <v>37.83</v>
      </c>
      <c r="E14653" s="3281">
        <v>-0.22802220226920256</v>
      </c>
      <c r="F14653" s="3282">
        <v>-1.1401110113460129E-2</v>
      </c>
      <c r="G14653" s="78"/>
      <c r="H14653" t="s">
        <v>7745</v>
      </c>
      <c r="K14653" s="434"/>
    </row>
    <row r="14654" spans="1:11" ht="12.75" hidden="1" customHeight="1" outlineLevel="1" x14ac:dyDescent="0.25">
      <c r="A14654" s="2380">
        <v>0.03</v>
      </c>
      <c r="B14654" s="1921" t="s">
        <v>3921</v>
      </c>
      <c r="C14654" s="2108">
        <v>4.1574</v>
      </c>
      <c r="D14654" s="3280">
        <v>6.4379999999999997</v>
      </c>
      <c r="E14654" s="3281">
        <v>0.5485640063501227</v>
      </c>
      <c r="F14654" s="3282">
        <v>1.6456920190503682E-2</v>
      </c>
      <c r="G14654" s="78"/>
      <c r="H14654" t="s">
        <v>3922</v>
      </c>
      <c r="K14654" s="434"/>
    </row>
    <row r="14655" spans="1:11" ht="12.75" hidden="1" customHeight="1" outlineLevel="1" x14ac:dyDescent="0.25">
      <c r="A14655" s="2380">
        <v>0.02</v>
      </c>
      <c r="B14655" s="1921" t="s">
        <v>1183</v>
      </c>
      <c r="C14655" s="2108">
        <v>44.528500000000001</v>
      </c>
      <c r="D14655" s="3280">
        <v>39.774999999999999</v>
      </c>
      <c r="E14655" s="3281">
        <v>-0.10675185555318512</v>
      </c>
      <c r="F14655" s="3282">
        <v>-2.1350371110637023E-3</v>
      </c>
      <c r="G14655" s="78"/>
      <c r="H14655" t="s">
        <v>2805</v>
      </c>
      <c r="K14655" s="434"/>
    </row>
    <row r="14656" spans="1:11" ht="12.75" hidden="1" customHeight="1" outlineLevel="1" x14ac:dyDescent="0.25">
      <c r="A14656" s="2380">
        <v>0.05</v>
      </c>
      <c r="B14656" s="2109" t="s">
        <v>4550</v>
      </c>
      <c r="C14656" s="2108">
        <v>289.61</v>
      </c>
      <c r="D14656" s="3283">
        <v>403.4</v>
      </c>
      <c r="E14656" s="3281">
        <v>0.39290770346327797</v>
      </c>
      <c r="F14656" s="3282">
        <v>1.9645385173163901E-2</v>
      </c>
      <c r="G14656" s="78"/>
      <c r="H14656" t="s">
        <v>8889</v>
      </c>
      <c r="K14656" s="434"/>
    </row>
    <row r="14657" spans="1:7" ht="12.75" hidden="1" customHeight="1" outlineLevel="1" x14ac:dyDescent="0.25">
      <c r="A14657" s="2181" t="s">
        <v>2734</v>
      </c>
      <c r="B14657" s="2103"/>
      <c r="C14657" s="3258"/>
      <c r="D14657" s="3259"/>
      <c r="E14657" s="3284"/>
      <c r="F14657" s="3277">
        <v>0.10389705148964951</v>
      </c>
      <c r="G14657" s="78"/>
    </row>
    <row r="14658" spans="1:7" ht="12.75" hidden="1" customHeight="1" outlineLevel="1" x14ac:dyDescent="0.25">
      <c r="A14658" s="1956" t="s">
        <v>7240</v>
      </c>
      <c r="B14658" s="2185">
        <v>43739</v>
      </c>
      <c r="C14658" s="3261">
        <v>100</v>
      </c>
      <c r="D14658" s="3261">
        <v>113.33329999999999</v>
      </c>
      <c r="E14658" s="3262">
        <v>0.13333299999999992</v>
      </c>
      <c r="F14658" s="3285"/>
      <c r="G14658" s="78"/>
    </row>
    <row r="14659" spans="1:7" ht="12.75" hidden="1" customHeight="1" outlineLevel="1" x14ac:dyDescent="0.25">
      <c r="A14659" s="1956" t="s">
        <v>7241</v>
      </c>
      <c r="B14659" s="2185">
        <v>43770</v>
      </c>
      <c r="C14659" s="3261">
        <v>100</v>
      </c>
      <c r="D14659" s="3264">
        <v>112.5822</v>
      </c>
      <c r="E14659" s="3262">
        <v>0.1258220000000001</v>
      </c>
      <c r="F14659" s="3285"/>
      <c r="G14659" s="78"/>
    </row>
    <row r="14660" spans="1:7" ht="12.75" hidden="1" customHeight="1" outlineLevel="1" x14ac:dyDescent="0.25">
      <c r="A14660" s="1956" t="s">
        <v>7242</v>
      </c>
      <c r="B14660" s="2185">
        <v>43800</v>
      </c>
      <c r="C14660" s="3261">
        <v>100</v>
      </c>
      <c r="D14660" s="3264">
        <v>114.5288</v>
      </c>
      <c r="E14660" s="3262">
        <v>0.14528800000000008</v>
      </c>
      <c r="F14660" s="3285"/>
      <c r="G14660" s="78"/>
    </row>
    <row r="14661" spans="1:7" ht="12.75" hidden="1" customHeight="1" outlineLevel="1" x14ac:dyDescent="0.25">
      <c r="A14661" s="1956" t="s">
        <v>7243</v>
      </c>
      <c r="B14661" s="2185">
        <v>43831</v>
      </c>
      <c r="C14661" s="3261">
        <v>100</v>
      </c>
      <c r="D14661" s="3264">
        <v>118.12820000000001</v>
      </c>
      <c r="E14661" s="3262">
        <v>0.18128200000000017</v>
      </c>
      <c r="F14661" s="3285"/>
      <c r="G14661" s="78"/>
    </row>
    <row r="14662" spans="1:7" ht="12.75" hidden="1" customHeight="1" outlineLevel="1" x14ac:dyDescent="0.25">
      <c r="A14662" s="1956" t="s">
        <v>7244</v>
      </c>
      <c r="B14662" s="2185">
        <v>43862</v>
      </c>
      <c r="C14662" s="3261">
        <v>100</v>
      </c>
      <c r="D14662" s="3264">
        <v>109.64149999999999</v>
      </c>
      <c r="E14662" s="3262">
        <v>9.6414999999999917E-2</v>
      </c>
      <c r="F14662" s="3285"/>
      <c r="G14662" s="78"/>
    </row>
    <row r="14663" spans="1:7" ht="12.75" hidden="1" customHeight="1" outlineLevel="1" x14ac:dyDescent="0.25">
      <c r="A14663" s="1956" t="s">
        <v>7245</v>
      </c>
      <c r="B14663" s="2185">
        <v>43891</v>
      </c>
      <c r="C14663" s="3261">
        <v>100</v>
      </c>
      <c r="D14663" s="3264">
        <v>97.6233</v>
      </c>
      <c r="E14663" s="3262">
        <v>-2.3766999999999983E-2</v>
      </c>
      <c r="F14663" s="3285"/>
      <c r="G14663" s="78"/>
    </row>
    <row r="14664" spans="1:7" ht="12.75" hidden="1" customHeight="1" outlineLevel="1" x14ac:dyDescent="0.25">
      <c r="A14664" s="1956" t="s">
        <v>7246</v>
      </c>
      <c r="B14664" s="2185">
        <v>43922</v>
      </c>
      <c r="C14664" s="3261">
        <v>100</v>
      </c>
      <c r="D14664" s="3264">
        <v>98.279799999999994</v>
      </c>
      <c r="E14664" s="3262">
        <v>-1.7202000000000051E-2</v>
      </c>
      <c r="F14664" s="3285"/>
      <c r="G14664" s="78"/>
    </row>
    <row r="14665" spans="1:7" ht="12.75" hidden="1" customHeight="1" outlineLevel="1" x14ac:dyDescent="0.25">
      <c r="A14665" s="1956" t="s">
        <v>7247</v>
      </c>
      <c r="B14665" s="2185">
        <v>43952</v>
      </c>
      <c r="C14665" s="3261">
        <v>100</v>
      </c>
      <c r="D14665" s="3264">
        <v>99.312200000000004</v>
      </c>
      <c r="E14665" s="3262">
        <v>-6.8779999999999397E-3</v>
      </c>
      <c r="F14665" s="3285"/>
      <c r="G14665" s="78"/>
    </row>
    <row r="14666" spans="1:7" ht="12.75" hidden="1" customHeight="1" outlineLevel="1" x14ac:dyDescent="0.25">
      <c r="A14666" s="1956" t="s">
        <v>7248</v>
      </c>
      <c r="B14666" s="2185">
        <v>43983</v>
      </c>
      <c r="C14666" s="3261">
        <v>100</v>
      </c>
      <c r="D14666" s="3264">
        <v>100.57259999999999</v>
      </c>
      <c r="E14666" s="3262">
        <v>5.7259999999998978E-3</v>
      </c>
      <c r="F14666" s="3285"/>
      <c r="G14666" s="78"/>
    </row>
    <row r="14667" spans="1:7" ht="12.75" hidden="1" customHeight="1" outlineLevel="1" x14ac:dyDescent="0.25">
      <c r="A14667" s="1956" t="s">
        <v>7249</v>
      </c>
      <c r="B14667" s="2185">
        <v>44013</v>
      </c>
      <c r="C14667" s="3261">
        <v>100</v>
      </c>
      <c r="D14667" s="3264">
        <v>100.2753</v>
      </c>
      <c r="E14667" s="3262">
        <v>2.7530000000000054E-3</v>
      </c>
      <c r="F14667" s="3285"/>
      <c r="G14667" s="78"/>
    </row>
    <row r="14668" spans="1:7" ht="12.75" hidden="1" customHeight="1" outlineLevel="1" x14ac:dyDescent="0.25">
      <c r="A14668" s="1956" t="s">
        <v>7250</v>
      </c>
      <c r="B14668" s="2185">
        <v>44044</v>
      </c>
      <c r="C14668" s="3261">
        <v>100</v>
      </c>
      <c r="D14668" s="3264">
        <v>100.1208</v>
      </c>
      <c r="E14668" s="3262">
        <v>1.2080000000000979E-3</v>
      </c>
      <c r="F14668" s="3285"/>
      <c r="G14668" s="78"/>
    </row>
    <row r="14669" spans="1:7" ht="12.75" hidden="1" customHeight="1" outlineLevel="1" x14ac:dyDescent="0.25">
      <c r="A14669" s="1956" t="s">
        <v>7251</v>
      </c>
      <c r="B14669" s="2185">
        <v>44075</v>
      </c>
      <c r="C14669" s="3261">
        <v>100</v>
      </c>
      <c r="D14669" s="3264">
        <v>98.197900000000004</v>
      </c>
      <c r="E14669" s="3262">
        <v>-1.8020999999999954E-2</v>
      </c>
      <c r="F14669" s="3285"/>
      <c r="G14669" s="78"/>
    </row>
    <row r="14670" spans="1:7" ht="12.75" hidden="1" customHeight="1" outlineLevel="1" x14ac:dyDescent="0.25">
      <c r="A14670" s="1956" t="s">
        <v>7252</v>
      </c>
      <c r="B14670" s="2185">
        <v>44105</v>
      </c>
      <c r="C14670" s="3261">
        <v>100</v>
      </c>
      <c r="D14670" s="3264">
        <v>92.080500000000001</v>
      </c>
      <c r="E14670" s="3262">
        <v>-7.9195000000000015E-2</v>
      </c>
      <c r="F14670" s="3285"/>
      <c r="G14670" s="78"/>
    </row>
    <row r="14671" spans="1:7" ht="12.75" hidden="1" customHeight="1" outlineLevel="1" x14ac:dyDescent="0.25">
      <c r="A14671" s="1956" t="s">
        <v>7253</v>
      </c>
      <c r="B14671" s="2185">
        <v>44136</v>
      </c>
      <c r="C14671" s="3261">
        <v>100</v>
      </c>
      <c r="D14671" s="3264">
        <v>102.349</v>
      </c>
      <c r="E14671" s="3262">
        <v>2.3490000000000011E-2</v>
      </c>
      <c r="F14671" s="3285"/>
      <c r="G14671" s="78"/>
    </row>
    <row r="14672" spans="1:7" ht="12.75" hidden="1" customHeight="1" outlineLevel="1" x14ac:dyDescent="0.25">
      <c r="A14672" s="1956" t="s">
        <v>7254</v>
      </c>
      <c r="B14672" s="2185">
        <v>44166</v>
      </c>
      <c r="C14672" s="3261">
        <v>100</v>
      </c>
      <c r="D14672" s="3264">
        <v>101.7863</v>
      </c>
      <c r="E14672" s="3262">
        <v>1.7862999999999962E-2</v>
      </c>
      <c r="F14672" s="3285"/>
      <c r="G14672" s="78"/>
    </row>
    <row r="14673" spans="1:11" ht="12.75" hidden="1" customHeight="1" outlineLevel="1" x14ac:dyDescent="0.25">
      <c r="A14673" s="1956" t="s">
        <v>7255</v>
      </c>
      <c r="B14673" s="2185">
        <v>44197</v>
      </c>
      <c r="C14673" s="3261">
        <v>100</v>
      </c>
      <c r="D14673" s="3264">
        <v>102.8492</v>
      </c>
      <c r="E14673" s="3262">
        <v>2.8491999999999962E-2</v>
      </c>
      <c r="F14673" s="3285"/>
      <c r="G14673" s="78"/>
    </row>
    <row r="14674" spans="1:11" ht="12.75" hidden="1" customHeight="1" outlineLevel="1" x14ac:dyDescent="0.25">
      <c r="A14674" s="1956" t="s">
        <v>7256</v>
      </c>
      <c r="B14674" s="2185">
        <v>44228</v>
      </c>
      <c r="C14674" s="3261">
        <v>100</v>
      </c>
      <c r="D14674" s="3264">
        <v>103.15900000000001</v>
      </c>
      <c r="E14674" s="3262">
        <v>3.1590000000000007E-2</v>
      </c>
      <c r="F14674" s="3285"/>
      <c r="G14674" s="78"/>
    </row>
    <row r="14675" spans="1:11" ht="12.75" hidden="1" customHeight="1" outlineLevel="1" x14ac:dyDescent="0.25">
      <c r="A14675" s="1956" t="s">
        <v>7257</v>
      </c>
      <c r="B14675" s="2185">
        <v>44256</v>
      </c>
      <c r="C14675" s="3261">
        <v>100</v>
      </c>
      <c r="D14675" s="3264">
        <v>110.5745</v>
      </c>
      <c r="E14675" s="3262">
        <v>0.10574499999999998</v>
      </c>
      <c r="F14675" s="3285"/>
      <c r="G14675" s="78"/>
    </row>
    <row r="14676" spans="1:11" ht="12.75" hidden="1" customHeight="1" outlineLevel="1" x14ac:dyDescent="0.25">
      <c r="A14676" s="2189" t="s">
        <v>2734</v>
      </c>
      <c r="B14676" s="2190"/>
      <c r="C14676" s="3264"/>
      <c r="D14676" s="2191" t="s">
        <v>2465</v>
      </c>
      <c r="E14676" s="1987">
        <v>4.1885777777777786E-2</v>
      </c>
      <c r="F14676" s="2192">
        <v>4.1885777777777786E-2</v>
      </c>
      <c r="G14676" s="78"/>
    </row>
    <row r="14677" spans="1:11" collapsed="1" x14ac:dyDescent="0.25">
      <c r="A14677" s="3801" t="s">
        <v>7239</v>
      </c>
      <c r="B14677" s="3802"/>
      <c r="C14677" s="3802"/>
      <c r="D14677" s="3802"/>
      <c r="E14677" s="1906"/>
      <c r="F14677" s="1907">
        <v>4.1885777777777786E-2</v>
      </c>
      <c r="G14677" s="78"/>
    </row>
    <row r="14679" spans="1:11" ht="12.75" hidden="1" customHeight="1" outlineLevel="1" x14ac:dyDescent="0.25">
      <c r="A14679" s="3237" t="s">
        <v>113</v>
      </c>
      <c r="B14679" s="3237" t="s">
        <v>114</v>
      </c>
      <c r="C14679" s="3237" t="s">
        <v>112</v>
      </c>
      <c r="D14679" s="3237" t="s">
        <v>116</v>
      </c>
      <c r="E14679" s="3237" t="s">
        <v>117</v>
      </c>
      <c r="F14679" s="3276" t="s">
        <v>121</v>
      </c>
      <c r="G14679" s="78"/>
    </row>
    <row r="14680" spans="1:11" ht="12.75" hidden="1" customHeight="1" outlineLevel="1" x14ac:dyDescent="0.25">
      <c r="A14680" s="3238">
        <v>1</v>
      </c>
      <c r="B14680" s="3239" t="s">
        <v>252</v>
      </c>
      <c r="C14680" s="3240">
        <v>100</v>
      </c>
      <c r="D14680" s="3240"/>
      <c r="E14680" s="3241"/>
      <c r="F14680" s="3242"/>
      <c r="G14680" s="78"/>
    </row>
    <row r="14681" spans="1:11" ht="12.75" hidden="1" customHeight="1" outlineLevel="1" x14ac:dyDescent="0.25">
      <c r="A14681" s="3243" t="s">
        <v>2734</v>
      </c>
      <c r="B14681" s="3243"/>
      <c r="C14681" s="3244"/>
      <c r="D14681" s="1900" t="s">
        <v>3702</v>
      </c>
      <c r="E14681" s="3245">
        <v>44286</v>
      </c>
      <c r="F14681" s="3246"/>
      <c r="G14681" s="78"/>
    </row>
    <row r="14682" spans="1:11" ht="12.75" hidden="1" customHeight="1" outlineLevel="1" x14ac:dyDescent="0.25">
      <c r="A14682" s="3237" t="s">
        <v>4156</v>
      </c>
      <c r="B14682" s="3237" t="s">
        <v>4153</v>
      </c>
      <c r="C14682" s="3247" t="s">
        <v>112</v>
      </c>
      <c r="D14682" s="3248" t="s">
        <v>4155</v>
      </c>
      <c r="E14682" s="3237" t="s">
        <v>4154</v>
      </c>
      <c r="F14682" s="3277" t="s">
        <v>2519</v>
      </c>
      <c r="G14682" s="78"/>
    </row>
    <row r="14683" spans="1:11" ht="12.75" hidden="1" customHeight="1" outlineLevel="1" x14ac:dyDescent="0.25">
      <c r="A14683" s="1991">
        <v>0.03</v>
      </c>
      <c r="B14683" s="1921" t="s">
        <v>359</v>
      </c>
      <c r="C14683" s="2108">
        <v>141.37</v>
      </c>
      <c r="D14683" s="3278">
        <v>217.05</v>
      </c>
      <c r="E14683" s="3279">
        <v>0.53533281459998583</v>
      </c>
      <c r="F14683" s="3277">
        <v>1.6059984437999573E-2</v>
      </c>
      <c r="G14683" s="78"/>
      <c r="H14683" t="s">
        <v>360</v>
      </c>
      <c r="K14683" s="434"/>
    </row>
    <row r="14684" spans="1:11" ht="12.75" hidden="1" customHeight="1" outlineLevel="1" x14ac:dyDescent="0.25">
      <c r="A14684" s="2380">
        <v>0.02</v>
      </c>
      <c r="B14684" s="1921" t="s">
        <v>1993</v>
      </c>
      <c r="C14684" s="2108">
        <v>48.426000000000002</v>
      </c>
      <c r="D14684" s="3280">
        <v>51.16</v>
      </c>
      <c r="E14684" s="3281">
        <v>5.6457275017552488E-2</v>
      </c>
      <c r="F14684" s="3282">
        <v>1.1291455003510499E-3</v>
      </c>
      <c r="G14684" s="78"/>
      <c r="H14684" t="s">
        <v>2812</v>
      </c>
      <c r="K14684" s="434"/>
    </row>
    <row r="14685" spans="1:11" ht="12.75" hidden="1" customHeight="1" outlineLevel="1" x14ac:dyDescent="0.25">
      <c r="A14685" s="2380">
        <v>0.03</v>
      </c>
      <c r="B14685" s="1921" t="s">
        <v>3998</v>
      </c>
      <c r="C14685" s="2108">
        <v>34.682000000000002</v>
      </c>
      <c r="D14685" s="3280">
        <v>30.27</v>
      </c>
      <c r="E14685" s="3281">
        <v>-0.12721296349691491</v>
      </c>
      <c r="F14685" s="3282">
        <v>-3.8163889049074471E-3</v>
      </c>
      <c r="G14685" s="78"/>
      <c r="H14685" t="s">
        <v>4000</v>
      </c>
      <c r="K14685" s="434"/>
    </row>
    <row r="14686" spans="1:11" ht="12.75" hidden="1" customHeight="1" outlineLevel="1" x14ac:dyDescent="0.25">
      <c r="A14686" s="2380">
        <v>0.02</v>
      </c>
      <c r="B14686" s="1921" t="s">
        <v>218</v>
      </c>
      <c r="C14686" s="2108">
        <v>22.4</v>
      </c>
      <c r="D14686" s="3280">
        <v>22.885000000000002</v>
      </c>
      <c r="E14686" s="3281">
        <v>2.1651785714285943E-2</v>
      </c>
      <c r="F14686" s="3282">
        <v>4.3303571428571886E-4</v>
      </c>
      <c r="G14686" s="78"/>
      <c r="H14686" t="s">
        <v>656</v>
      </c>
      <c r="K14686" s="434"/>
    </row>
    <row r="14687" spans="1:11" ht="12.75" hidden="1" customHeight="1" outlineLevel="1" x14ac:dyDescent="0.25">
      <c r="A14687" s="2380">
        <v>0.03</v>
      </c>
      <c r="B14687" s="1921" t="s">
        <v>807</v>
      </c>
      <c r="C14687" s="2108">
        <v>53.758000000000003</v>
      </c>
      <c r="D14687" s="3280">
        <v>56.73</v>
      </c>
      <c r="E14687" s="3281">
        <v>5.5284794821235828E-2</v>
      </c>
      <c r="F14687" s="3282">
        <v>1.6585438446370749E-3</v>
      </c>
      <c r="G14687" s="78"/>
      <c r="H14687" t="s">
        <v>808</v>
      </c>
      <c r="K14687" s="434"/>
    </row>
    <row r="14688" spans="1:11" ht="12.75" hidden="1" customHeight="1" outlineLevel="1" x14ac:dyDescent="0.25">
      <c r="A14688" s="2380">
        <v>0.02</v>
      </c>
      <c r="B14688" s="1921" t="s">
        <v>7114</v>
      </c>
      <c r="C14688" s="2108">
        <v>96.703500000000005</v>
      </c>
      <c r="D14688" s="3280">
        <v>204.23</v>
      </c>
      <c r="E14688" s="3281">
        <v>1.1119194238057566</v>
      </c>
      <c r="F14688" s="3282">
        <v>2.2238388476115131E-2</v>
      </c>
      <c r="G14688" s="78"/>
      <c r="H14688" t="s">
        <v>7115</v>
      </c>
      <c r="K14688" s="434"/>
    </row>
    <row r="14689" spans="1:11" ht="12.75" hidden="1" customHeight="1" outlineLevel="1" x14ac:dyDescent="0.25">
      <c r="A14689" s="2380">
        <v>0.02</v>
      </c>
      <c r="B14689" s="1921" t="s">
        <v>6938</v>
      </c>
      <c r="C14689" s="2108">
        <v>65.855000000000004</v>
      </c>
      <c r="D14689" s="3280">
        <v>140.84</v>
      </c>
      <c r="E14689" s="3281">
        <v>1.1386379166350316</v>
      </c>
      <c r="F14689" s="3282">
        <v>2.2772758332700632E-2</v>
      </c>
      <c r="G14689" s="78"/>
      <c r="H14689" t="s">
        <v>6939</v>
      </c>
      <c r="K14689" s="434"/>
    </row>
    <row r="14690" spans="1:11" ht="12.75" hidden="1" customHeight="1" outlineLevel="1" x14ac:dyDescent="0.25">
      <c r="A14690" s="2380">
        <v>0.02</v>
      </c>
      <c r="B14690" s="1921" t="s">
        <v>496</v>
      </c>
      <c r="C14690" s="2108">
        <v>19.135931169494604</v>
      </c>
      <c r="D14690" s="3280">
        <v>11.44</v>
      </c>
      <c r="E14690" s="3281">
        <v>-0.40217176270800004</v>
      </c>
      <c r="F14690" s="3282">
        <v>-8.0434352541600002E-3</v>
      </c>
      <c r="G14690" s="78"/>
      <c r="H14690" t="s">
        <v>497</v>
      </c>
      <c r="K14690" s="434"/>
    </row>
    <row r="14691" spans="1:11" ht="12.75" hidden="1" customHeight="1" outlineLevel="1" x14ac:dyDescent="0.25">
      <c r="A14691" s="2380">
        <v>0.08</v>
      </c>
      <c r="B14691" s="1921" t="s">
        <v>6942</v>
      </c>
      <c r="C14691" s="2108">
        <v>27.251999999999999</v>
      </c>
      <c r="D14691" s="3280">
        <v>51.14</v>
      </c>
      <c r="E14691" s="3281">
        <v>0.87655951856744463</v>
      </c>
      <c r="F14691" s="3282">
        <v>7.0124761485395579E-2</v>
      </c>
      <c r="G14691" s="78"/>
      <c r="H14691" t="s">
        <v>7860</v>
      </c>
      <c r="K14691" s="434"/>
    </row>
    <row r="14692" spans="1:11" ht="12.75" hidden="1" customHeight="1" outlineLevel="1" x14ac:dyDescent="0.25">
      <c r="A14692" s="2380">
        <v>0.02</v>
      </c>
      <c r="B14692" s="1921" t="s">
        <v>6267</v>
      </c>
      <c r="C14692" s="2108">
        <v>25.175000000000001</v>
      </c>
      <c r="D14692" s="3280">
        <v>18.52</v>
      </c>
      <c r="E14692" s="3281">
        <v>-0.26434955312810327</v>
      </c>
      <c r="F14692" s="3282">
        <v>-5.2869910625620653E-3</v>
      </c>
      <c r="G14692" s="78"/>
      <c r="H14692" t="s">
        <v>6268</v>
      </c>
      <c r="K14692" s="434"/>
    </row>
    <row r="14693" spans="1:11" ht="12.75" hidden="1" customHeight="1" outlineLevel="1" x14ac:dyDescent="0.25">
      <c r="A14693" s="2380">
        <v>0.03</v>
      </c>
      <c r="B14693" s="1921" t="s">
        <v>4268</v>
      </c>
      <c r="C14693" s="2108">
        <v>16.648</v>
      </c>
      <c r="D14693" s="3280">
        <v>22.76</v>
      </c>
      <c r="E14693" s="3281">
        <v>0.36713118692936098</v>
      </c>
      <c r="F14693" s="3282">
        <v>1.1013935607880828E-2</v>
      </c>
      <c r="G14693" s="78"/>
      <c r="H14693" t="s">
        <v>8442</v>
      </c>
      <c r="K14693" s="434"/>
    </row>
    <row r="14694" spans="1:11" ht="12.75" hidden="1" customHeight="1" outlineLevel="1" x14ac:dyDescent="0.25">
      <c r="A14694" s="2380">
        <v>0.02</v>
      </c>
      <c r="B14694" s="1921" t="s">
        <v>3799</v>
      </c>
      <c r="C14694" s="2108">
        <v>1354.3299942790054</v>
      </c>
      <c r="D14694" s="3280">
        <v>1288</v>
      </c>
      <c r="E14694" s="3281">
        <v>-4.8976242539999992E-2</v>
      </c>
      <c r="F14694" s="3282">
        <v>-9.7952485079999996E-4</v>
      </c>
      <c r="G14694" s="78"/>
      <c r="H14694" t="s">
        <v>4128</v>
      </c>
      <c r="K14694" s="434"/>
    </row>
    <row r="14695" spans="1:11" ht="12.75" hidden="1" customHeight="1" outlineLevel="1" x14ac:dyDescent="0.25">
      <c r="A14695" s="2380">
        <v>0.03</v>
      </c>
      <c r="B14695" s="1921" t="s">
        <v>6530</v>
      </c>
      <c r="C14695" s="2519">
        <v>34.376103992160552</v>
      </c>
      <c r="D14695" s="3280">
        <v>31.74</v>
      </c>
      <c r="E14695" s="3281">
        <v>-7.6684198789999991E-2</v>
      </c>
      <c r="F14695" s="3282">
        <v>-2.3005259636999995E-3</v>
      </c>
      <c r="G14695" s="78"/>
      <c r="H14695" t="s">
        <v>10140</v>
      </c>
      <c r="K14695" s="434"/>
    </row>
    <row r="14696" spans="1:11" ht="12.75" hidden="1" customHeight="1" outlineLevel="1" x14ac:dyDescent="0.25">
      <c r="A14696" s="2380">
        <v>0.03</v>
      </c>
      <c r="B14696" s="1921" t="s">
        <v>6163</v>
      </c>
      <c r="C14696" s="2108">
        <v>68.132999999999996</v>
      </c>
      <c r="D14696" s="3280">
        <v>71.63</v>
      </c>
      <c r="E14696" s="3281">
        <v>5.1326082808624385E-2</v>
      </c>
      <c r="F14696" s="3282">
        <v>1.5397824842587314E-3</v>
      </c>
      <c r="G14696" s="78"/>
      <c r="H14696" t="s">
        <v>9170</v>
      </c>
      <c r="K14696" s="434"/>
    </row>
    <row r="14697" spans="1:11" ht="12.75" hidden="1" customHeight="1" outlineLevel="1" x14ac:dyDescent="0.25">
      <c r="A14697" s="2380">
        <v>0.02</v>
      </c>
      <c r="B14697" s="1921" t="s">
        <v>6707</v>
      </c>
      <c r="C14697" s="2108">
        <v>39.822000000000003</v>
      </c>
      <c r="D14697" s="3280">
        <v>16.649999999999999</v>
      </c>
      <c r="E14697" s="3281">
        <v>-0.58188940786499932</v>
      </c>
      <c r="F14697" s="3282">
        <v>-1.1637788157299987E-2</v>
      </c>
      <c r="G14697" s="78"/>
      <c r="H14697" t="s">
        <v>6705</v>
      </c>
      <c r="K14697" s="434"/>
    </row>
    <row r="14698" spans="1:11" ht="12.75" hidden="1" customHeight="1" outlineLevel="1" x14ac:dyDescent="0.25">
      <c r="A14698" s="2380">
        <v>0.03</v>
      </c>
      <c r="B14698" s="1921" t="s">
        <v>2786</v>
      </c>
      <c r="C14698" s="2108">
        <v>855.56</v>
      </c>
      <c r="D14698" s="3280">
        <v>864</v>
      </c>
      <c r="E14698" s="3281">
        <v>9.8648838187853638E-3</v>
      </c>
      <c r="F14698" s="3282">
        <v>2.9594651456356092E-4</v>
      </c>
      <c r="G14698" s="78"/>
      <c r="H14698" t="s">
        <v>4195</v>
      </c>
      <c r="K14698" s="434"/>
    </row>
    <row r="14699" spans="1:11" ht="12.75" hidden="1" customHeight="1" outlineLevel="1" x14ac:dyDescent="0.25">
      <c r="A14699" s="2380">
        <v>0.05</v>
      </c>
      <c r="B14699" s="1921" t="s">
        <v>1203</v>
      </c>
      <c r="C14699" s="2108">
        <v>105.97</v>
      </c>
      <c r="D14699" s="3280">
        <v>86</v>
      </c>
      <c r="E14699" s="3281">
        <v>-0.18844956119656509</v>
      </c>
      <c r="F14699" s="3282">
        <v>-9.422478059828255E-3</v>
      </c>
      <c r="G14699" s="78"/>
      <c r="H14699" t="s">
        <v>79</v>
      </c>
      <c r="K14699" s="434"/>
    </row>
    <row r="14700" spans="1:11" ht="12.75" hidden="1" customHeight="1" outlineLevel="1" x14ac:dyDescent="0.25">
      <c r="A14700" s="2380">
        <v>0.02</v>
      </c>
      <c r="B14700" s="1921" t="s">
        <v>2769</v>
      </c>
      <c r="C14700" s="2108">
        <v>30.32</v>
      </c>
      <c r="D14700" s="3280">
        <v>28.84</v>
      </c>
      <c r="E14700" s="3281">
        <v>-4.8812664907651682E-2</v>
      </c>
      <c r="F14700" s="3282">
        <v>-9.7625329815303368E-4</v>
      </c>
      <c r="G14700" s="78"/>
      <c r="H14700" t="s">
        <v>2770</v>
      </c>
      <c r="K14700" s="434"/>
    </row>
    <row r="14701" spans="1:11" ht="12.75" hidden="1" customHeight="1" outlineLevel="1" x14ac:dyDescent="0.25">
      <c r="A14701" s="2380">
        <v>0.02</v>
      </c>
      <c r="B14701" s="1921" t="s">
        <v>7142</v>
      </c>
      <c r="C14701" s="2108">
        <v>31.0305</v>
      </c>
      <c r="D14701" s="3280">
        <v>18.559999999999999</v>
      </c>
      <c r="E14701" s="3281">
        <v>-0.40187879666779458</v>
      </c>
      <c r="F14701" s="3282">
        <v>-8.0375759333558925E-3</v>
      </c>
      <c r="G14701" s="78"/>
      <c r="H14701" t="s">
        <v>7143</v>
      </c>
      <c r="K14701" s="434"/>
    </row>
    <row r="14702" spans="1:11" ht="12.75" hidden="1" customHeight="1" outlineLevel="1" x14ac:dyDescent="0.25">
      <c r="A14702" s="2380">
        <v>0.03</v>
      </c>
      <c r="B14702" s="1921" t="s">
        <v>6270</v>
      </c>
      <c r="C14702" s="2108">
        <v>41.294499076087895</v>
      </c>
      <c r="D14702" s="3280">
        <v>38.47</v>
      </c>
      <c r="E14702" s="3281">
        <v>-6.8398918482666771E-2</v>
      </c>
      <c r="F14702" s="3282">
        <v>-2.0519675544800032E-3</v>
      </c>
      <c r="G14702" s="78"/>
      <c r="H14702" t="s">
        <v>8166</v>
      </c>
      <c r="K14702" s="434"/>
    </row>
    <row r="14703" spans="1:11" ht="12.75" hidden="1" customHeight="1" outlineLevel="1" x14ac:dyDescent="0.25">
      <c r="A14703" s="2380">
        <v>0.02</v>
      </c>
      <c r="B14703" s="1921" t="s">
        <v>6164</v>
      </c>
      <c r="C14703" s="2108">
        <v>3.5980999259695077</v>
      </c>
      <c r="D14703" s="3280">
        <v>4.7279999999999998</v>
      </c>
      <c r="E14703" s="3281">
        <v>0.31402687453879996</v>
      </c>
      <c r="F14703" s="3282">
        <v>6.2805374907759989E-3</v>
      </c>
      <c r="G14703" s="78"/>
      <c r="H14703" t="s">
        <v>6114</v>
      </c>
      <c r="K14703" s="434"/>
    </row>
    <row r="14704" spans="1:11" ht="12.75" hidden="1" customHeight="1" outlineLevel="1" x14ac:dyDescent="0.25">
      <c r="A14704" s="2380">
        <v>0.03</v>
      </c>
      <c r="B14704" s="1921" t="s">
        <v>1857</v>
      </c>
      <c r="C14704" s="2108">
        <v>1592.7</v>
      </c>
      <c r="D14704" s="3280">
        <v>1455</v>
      </c>
      <c r="E14704" s="3281">
        <v>-8.6456959879450013E-2</v>
      </c>
      <c r="F14704" s="3282">
        <v>-2.5937087963835001E-3</v>
      </c>
      <c r="G14704" s="78"/>
      <c r="H14704" t="s">
        <v>3559</v>
      </c>
      <c r="K14704" s="434"/>
    </row>
    <row r="14705" spans="1:11" ht="12.75" hidden="1" customHeight="1" outlineLevel="1" x14ac:dyDescent="0.25">
      <c r="A14705" s="2380">
        <v>0.05</v>
      </c>
      <c r="B14705" s="1921" t="s">
        <v>3960</v>
      </c>
      <c r="C14705" s="2108">
        <v>468.06102479064265</v>
      </c>
      <c r="D14705" s="3280">
        <v>289.89999999999998</v>
      </c>
      <c r="E14705" s="3281">
        <v>-0.38063631739116</v>
      </c>
      <c r="F14705" s="3282">
        <v>-1.9031815869558003E-2</v>
      </c>
      <c r="G14705" s="78"/>
      <c r="H14705" t="s">
        <v>8828</v>
      </c>
      <c r="K14705" s="434"/>
    </row>
    <row r="14706" spans="1:11" ht="12.75" hidden="1" customHeight="1" outlineLevel="1" x14ac:dyDescent="0.25">
      <c r="A14706" s="2380">
        <v>0.08</v>
      </c>
      <c r="B14706" s="1921" t="s">
        <v>1724</v>
      </c>
      <c r="C14706" s="2108">
        <v>192.54</v>
      </c>
      <c r="D14706" s="3280">
        <v>153.9</v>
      </c>
      <c r="E14706" s="3281">
        <v>-0.20068557182923019</v>
      </c>
      <c r="F14706" s="3282">
        <v>-1.6054845746338416E-2</v>
      </c>
      <c r="G14706" s="78"/>
      <c r="H14706" t="s">
        <v>1725</v>
      </c>
      <c r="K14706" s="434"/>
    </row>
    <row r="14707" spans="1:11" ht="12.75" hidden="1" customHeight="1" outlineLevel="1" x14ac:dyDescent="0.25">
      <c r="A14707" s="2380">
        <v>0.05</v>
      </c>
      <c r="B14707" s="1921" t="s">
        <v>6118</v>
      </c>
      <c r="C14707" s="2108">
        <v>84.534999999999997</v>
      </c>
      <c r="D14707" s="3280">
        <v>92.96</v>
      </c>
      <c r="E14707" s="3281">
        <v>9.96628615366415E-2</v>
      </c>
      <c r="F14707" s="3282">
        <v>4.9831430768320752E-3</v>
      </c>
      <c r="G14707" s="78"/>
      <c r="H14707" t="s">
        <v>8893</v>
      </c>
      <c r="K14707" s="434"/>
    </row>
    <row r="14708" spans="1:11" ht="12.75" hidden="1" customHeight="1" outlineLevel="1" x14ac:dyDescent="0.25">
      <c r="A14708" s="2380">
        <v>0.05</v>
      </c>
      <c r="B14708" s="1921" t="s">
        <v>6945</v>
      </c>
      <c r="C14708" s="2108">
        <v>93.281362480415908</v>
      </c>
      <c r="D14708" s="3280">
        <v>117.8</v>
      </c>
      <c r="E14708" s="3281">
        <v>0.26284604842399983</v>
      </c>
      <c r="F14708" s="3282">
        <v>1.3142302421199993E-2</v>
      </c>
      <c r="G14708" s="78"/>
      <c r="H14708" t="s">
        <v>6943</v>
      </c>
      <c r="K14708" s="434"/>
    </row>
    <row r="14709" spans="1:11" ht="12.75" hidden="1" customHeight="1" outlineLevel="1" x14ac:dyDescent="0.25">
      <c r="A14709" s="2380">
        <v>0.05</v>
      </c>
      <c r="B14709" s="1921" t="s">
        <v>434</v>
      </c>
      <c r="C14709" s="2108">
        <v>49.003999999999998</v>
      </c>
      <c r="D14709" s="3280">
        <v>37.83</v>
      </c>
      <c r="E14709" s="3281">
        <v>-0.22802220226920256</v>
      </c>
      <c r="F14709" s="3282">
        <v>-1.1401110113460129E-2</v>
      </c>
      <c r="G14709" s="78"/>
      <c r="H14709" t="s">
        <v>7745</v>
      </c>
      <c r="K14709" s="434"/>
    </row>
    <row r="14710" spans="1:11" ht="12.75" hidden="1" customHeight="1" outlineLevel="1" x14ac:dyDescent="0.25">
      <c r="A14710" s="2380">
        <v>0.03</v>
      </c>
      <c r="B14710" s="1921" t="s">
        <v>3921</v>
      </c>
      <c r="C14710" s="2108">
        <v>4.1574</v>
      </c>
      <c r="D14710" s="3280">
        <v>6.4379999999999997</v>
      </c>
      <c r="E14710" s="3281">
        <v>0.5485640063501227</v>
      </c>
      <c r="F14710" s="3282">
        <v>1.6456920190503682E-2</v>
      </c>
      <c r="G14710" s="78"/>
      <c r="H14710" t="s">
        <v>3922</v>
      </c>
      <c r="K14710" s="434"/>
    </row>
    <row r="14711" spans="1:11" ht="12.75" hidden="1" customHeight="1" outlineLevel="1" x14ac:dyDescent="0.25">
      <c r="A14711" s="2380">
        <v>0.02</v>
      </c>
      <c r="B14711" s="1921" t="s">
        <v>1183</v>
      </c>
      <c r="C14711" s="2108">
        <v>44.528500000000001</v>
      </c>
      <c r="D14711" s="3280">
        <v>39.774999999999999</v>
      </c>
      <c r="E14711" s="3281">
        <v>-0.10675185555318512</v>
      </c>
      <c r="F14711" s="3282">
        <v>-2.1350371110637023E-3</v>
      </c>
      <c r="G14711" s="78"/>
      <c r="H14711" t="s">
        <v>2805</v>
      </c>
      <c r="K14711" s="434"/>
    </row>
    <row r="14712" spans="1:11" ht="12.75" hidden="1" customHeight="1" outlineLevel="1" x14ac:dyDescent="0.25">
      <c r="A14712" s="2380">
        <v>0.05</v>
      </c>
      <c r="B14712" s="2109" t="s">
        <v>4550</v>
      </c>
      <c r="C14712" s="2108">
        <v>289.61</v>
      </c>
      <c r="D14712" s="3283">
        <v>403.4</v>
      </c>
      <c r="E14712" s="3281">
        <v>0.39290770346327797</v>
      </c>
      <c r="F14712" s="3282">
        <v>1.9645385173163901E-2</v>
      </c>
      <c r="G14712" s="78"/>
      <c r="H14712" t="s">
        <v>8889</v>
      </c>
      <c r="K14712" s="434"/>
    </row>
    <row r="14713" spans="1:11" ht="12.75" hidden="1" customHeight="1" outlineLevel="1" x14ac:dyDescent="0.25">
      <c r="A14713" s="2181" t="s">
        <v>2734</v>
      </c>
      <c r="B14713" s="2103"/>
      <c r="C14713" s="3258"/>
      <c r="D14713" s="3259"/>
      <c r="E14713" s="3284"/>
      <c r="F14713" s="3277">
        <v>0.10400512407461307</v>
      </c>
      <c r="G14713" s="78"/>
    </row>
    <row r="14714" spans="1:11" ht="12.75" hidden="1" customHeight="1" outlineLevel="1" x14ac:dyDescent="0.25">
      <c r="A14714" s="1956" t="s">
        <v>7259</v>
      </c>
      <c r="B14714" s="2185">
        <v>43739</v>
      </c>
      <c r="C14714" s="3261">
        <v>100</v>
      </c>
      <c r="D14714" s="3261">
        <v>113.33329999999999</v>
      </c>
      <c r="E14714" s="3262">
        <v>0.13333299999999992</v>
      </c>
      <c r="F14714" s="3285"/>
      <c r="G14714" s="78"/>
    </row>
    <row r="14715" spans="1:11" ht="12.75" hidden="1" customHeight="1" outlineLevel="1" x14ac:dyDescent="0.25">
      <c r="A14715" s="1956" t="s">
        <v>7260</v>
      </c>
      <c r="B14715" s="2185">
        <v>43770</v>
      </c>
      <c r="C14715" s="3261">
        <v>100</v>
      </c>
      <c r="D14715" s="3264">
        <v>112.5822</v>
      </c>
      <c r="E14715" s="3262">
        <v>0.1258220000000001</v>
      </c>
      <c r="F14715" s="3285"/>
      <c r="G14715" s="78"/>
    </row>
    <row r="14716" spans="1:11" ht="12.75" hidden="1" customHeight="1" outlineLevel="1" x14ac:dyDescent="0.25">
      <c r="A14716" s="1956" t="s">
        <v>7261</v>
      </c>
      <c r="B14716" s="2185">
        <v>43800</v>
      </c>
      <c r="C14716" s="3261">
        <v>100</v>
      </c>
      <c r="D14716" s="3264">
        <v>114.5288</v>
      </c>
      <c r="E14716" s="3262">
        <v>0.14528800000000008</v>
      </c>
      <c r="F14716" s="3285"/>
      <c r="G14716" s="78"/>
    </row>
    <row r="14717" spans="1:11" ht="12.75" hidden="1" customHeight="1" outlineLevel="1" x14ac:dyDescent="0.25">
      <c r="A14717" s="1956" t="s">
        <v>7262</v>
      </c>
      <c r="B14717" s="2185">
        <v>43831</v>
      </c>
      <c r="C14717" s="3261">
        <v>100</v>
      </c>
      <c r="D14717" s="3264">
        <v>118.12820000000001</v>
      </c>
      <c r="E14717" s="3262">
        <v>0.18128200000000017</v>
      </c>
      <c r="F14717" s="3285"/>
      <c r="G14717" s="78"/>
    </row>
    <row r="14718" spans="1:11" ht="12.75" hidden="1" customHeight="1" outlineLevel="1" x14ac:dyDescent="0.25">
      <c r="A14718" s="1956" t="s">
        <v>7263</v>
      </c>
      <c r="B14718" s="2185">
        <v>43862</v>
      </c>
      <c r="C14718" s="3261">
        <v>100</v>
      </c>
      <c r="D14718" s="3264">
        <v>109.64149999999999</v>
      </c>
      <c r="E14718" s="3262">
        <v>9.6414999999999917E-2</v>
      </c>
      <c r="F14718" s="3285"/>
      <c r="G14718" s="78"/>
    </row>
    <row r="14719" spans="1:11" ht="12.75" hidden="1" customHeight="1" outlineLevel="1" x14ac:dyDescent="0.25">
      <c r="A14719" s="1956" t="s">
        <v>7264</v>
      </c>
      <c r="B14719" s="2185">
        <v>43891</v>
      </c>
      <c r="C14719" s="3261">
        <v>100</v>
      </c>
      <c r="D14719" s="3264">
        <v>97.6233</v>
      </c>
      <c r="E14719" s="3262">
        <v>-2.3766999999999983E-2</v>
      </c>
      <c r="F14719" s="3285"/>
      <c r="G14719" s="78"/>
    </row>
    <row r="14720" spans="1:11" ht="12.75" hidden="1" customHeight="1" outlineLevel="1" x14ac:dyDescent="0.25">
      <c r="A14720" s="1956" t="s">
        <v>7265</v>
      </c>
      <c r="B14720" s="2185">
        <v>43922</v>
      </c>
      <c r="C14720" s="3261">
        <v>100</v>
      </c>
      <c r="D14720" s="3264">
        <v>98.279799999999994</v>
      </c>
      <c r="E14720" s="3262">
        <v>-1.7202000000000051E-2</v>
      </c>
      <c r="F14720" s="3285"/>
      <c r="G14720" s="78"/>
    </row>
    <row r="14721" spans="1:7" ht="12.75" hidden="1" customHeight="1" outlineLevel="1" x14ac:dyDescent="0.25">
      <c r="A14721" s="1956" t="s">
        <v>7266</v>
      </c>
      <c r="B14721" s="2185">
        <v>43952</v>
      </c>
      <c r="C14721" s="3261">
        <v>100</v>
      </c>
      <c r="D14721" s="3264">
        <v>99.312200000000004</v>
      </c>
      <c r="E14721" s="3262">
        <v>-6.8779999999999397E-3</v>
      </c>
      <c r="F14721" s="3285"/>
      <c r="G14721" s="78"/>
    </row>
    <row r="14722" spans="1:7" ht="12.75" hidden="1" customHeight="1" outlineLevel="1" x14ac:dyDescent="0.25">
      <c r="A14722" s="1956" t="s">
        <v>7267</v>
      </c>
      <c r="B14722" s="2185">
        <v>43983</v>
      </c>
      <c r="C14722" s="3261">
        <v>100</v>
      </c>
      <c r="D14722" s="3264">
        <v>100.57259999999999</v>
      </c>
      <c r="E14722" s="3262">
        <v>5.7259999999998978E-3</v>
      </c>
      <c r="F14722" s="3285"/>
      <c r="G14722" s="78"/>
    </row>
    <row r="14723" spans="1:7" ht="12.75" hidden="1" customHeight="1" outlineLevel="1" x14ac:dyDescent="0.25">
      <c r="A14723" s="1956" t="s">
        <v>7268</v>
      </c>
      <c r="B14723" s="2185">
        <v>44013</v>
      </c>
      <c r="C14723" s="3261">
        <v>100</v>
      </c>
      <c r="D14723" s="3264">
        <v>100.2753</v>
      </c>
      <c r="E14723" s="3262">
        <v>2.7530000000000054E-3</v>
      </c>
      <c r="F14723" s="3285"/>
      <c r="G14723" s="78"/>
    </row>
    <row r="14724" spans="1:7" ht="12.75" hidden="1" customHeight="1" outlineLevel="1" x14ac:dyDescent="0.25">
      <c r="A14724" s="1956" t="s">
        <v>7269</v>
      </c>
      <c r="B14724" s="2185">
        <v>44044</v>
      </c>
      <c r="C14724" s="3261">
        <v>100</v>
      </c>
      <c r="D14724" s="3264">
        <v>100.1208</v>
      </c>
      <c r="E14724" s="3262">
        <v>1.2080000000000979E-3</v>
      </c>
      <c r="F14724" s="3285"/>
      <c r="G14724" s="78"/>
    </row>
    <row r="14725" spans="1:7" ht="12.75" hidden="1" customHeight="1" outlineLevel="1" x14ac:dyDescent="0.25">
      <c r="A14725" s="1956" t="s">
        <v>7270</v>
      </c>
      <c r="B14725" s="2185">
        <v>44075</v>
      </c>
      <c r="C14725" s="3261">
        <v>100</v>
      </c>
      <c r="D14725" s="3264">
        <v>98.197900000000004</v>
      </c>
      <c r="E14725" s="3262">
        <v>-1.8020999999999954E-2</v>
      </c>
      <c r="F14725" s="3285"/>
      <c r="G14725" s="78"/>
    </row>
    <row r="14726" spans="1:7" ht="12.75" hidden="1" customHeight="1" outlineLevel="1" x14ac:dyDescent="0.25">
      <c r="A14726" s="1956" t="s">
        <v>7271</v>
      </c>
      <c r="B14726" s="2185">
        <v>44105</v>
      </c>
      <c r="C14726" s="3261">
        <v>100</v>
      </c>
      <c r="D14726" s="3264">
        <v>92.080500000000001</v>
      </c>
      <c r="E14726" s="3262">
        <v>-7.9195000000000015E-2</v>
      </c>
      <c r="F14726" s="3285"/>
      <c r="G14726" s="78"/>
    </row>
    <row r="14727" spans="1:7" ht="12.75" hidden="1" customHeight="1" outlineLevel="1" x14ac:dyDescent="0.25">
      <c r="A14727" s="1956" t="s">
        <v>7272</v>
      </c>
      <c r="B14727" s="2185">
        <v>44136</v>
      </c>
      <c r="C14727" s="3261">
        <v>100</v>
      </c>
      <c r="D14727" s="3264">
        <v>102.349</v>
      </c>
      <c r="E14727" s="3262">
        <v>2.3490000000000011E-2</v>
      </c>
      <c r="F14727" s="3285"/>
      <c r="G14727" s="78"/>
    </row>
    <row r="14728" spans="1:7" ht="12.75" hidden="1" customHeight="1" outlineLevel="1" x14ac:dyDescent="0.25">
      <c r="A14728" s="1956" t="s">
        <v>7273</v>
      </c>
      <c r="B14728" s="2185">
        <v>44166</v>
      </c>
      <c r="C14728" s="3261">
        <v>100</v>
      </c>
      <c r="D14728" s="3264">
        <v>101.7863</v>
      </c>
      <c r="E14728" s="3262">
        <v>1.7862999999999962E-2</v>
      </c>
      <c r="F14728" s="3285"/>
      <c r="G14728" s="78"/>
    </row>
    <row r="14729" spans="1:7" ht="12.75" hidden="1" customHeight="1" outlineLevel="1" x14ac:dyDescent="0.25">
      <c r="A14729" s="1956" t="s">
        <v>7274</v>
      </c>
      <c r="B14729" s="2185">
        <v>44197</v>
      </c>
      <c r="C14729" s="3261">
        <v>100</v>
      </c>
      <c r="D14729" s="3264">
        <v>102.8492</v>
      </c>
      <c r="E14729" s="3262">
        <v>2.8491999999999962E-2</v>
      </c>
      <c r="F14729" s="3285"/>
      <c r="G14729" s="78"/>
    </row>
    <row r="14730" spans="1:7" ht="12.75" hidden="1" customHeight="1" outlineLevel="1" x14ac:dyDescent="0.25">
      <c r="A14730" s="1956" t="s">
        <v>7275</v>
      </c>
      <c r="B14730" s="2185">
        <v>44228</v>
      </c>
      <c r="C14730" s="3261">
        <v>100</v>
      </c>
      <c r="D14730" s="3264">
        <v>103.15900000000001</v>
      </c>
      <c r="E14730" s="3262">
        <v>3.1590000000000007E-2</v>
      </c>
      <c r="F14730" s="3285"/>
      <c r="G14730" s="78"/>
    </row>
    <row r="14731" spans="1:7" ht="12.75" hidden="1" customHeight="1" outlineLevel="1" x14ac:dyDescent="0.25">
      <c r="A14731" s="1956" t="s">
        <v>7276</v>
      </c>
      <c r="B14731" s="2185">
        <v>44256</v>
      </c>
      <c r="C14731" s="3261">
        <v>100</v>
      </c>
      <c r="D14731" s="3264">
        <v>110.5745</v>
      </c>
      <c r="E14731" s="3262">
        <v>0.10574499999999998</v>
      </c>
      <c r="F14731" s="3285"/>
      <c r="G14731" s="78"/>
    </row>
    <row r="14732" spans="1:7" ht="12.75" hidden="1" customHeight="1" outlineLevel="1" x14ac:dyDescent="0.25">
      <c r="A14732" s="2189" t="s">
        <v>2734</v>
      </c>
      <c r="B14732" s="2190"/>
      <c r="C14732" s="3264"/>
      <c r="D14732" s="2191" t="s">
        <v>2465</v>
      </c>
      <c r="E14732" s="1987">
        <v>4.1885777777777786E-2</v>
      </c>
      <c r="F14732" s="2192">
        <v>4.1885777777777786E-2</v>
      </c>
      <c r="G14732" s="78"/>
    </row>
    <row r="14733" spans="1:7" collapsed="1" x14ac:dyDescent="0.25">
      <c r="A14733" s="3801" t="s">
        <v>7277</v>
      </c>
      <c r="B14733" s="3802"/>
      <c r="C14733" s="3802"/>
      <c r="D14733" s="3802"/>
      <c r="E14733" s="1906"/>
      <c r="F14733" s="1907">
        <v>0.12188577777777779</v>
      </c>
      <c r="G14733" s="78"/>
    </row>
    <row r="14735" spans="1:7" ht="12.75" hidden="1" customHeight="1" outlineLevel="1" x14ac:dyDescent="0.25">
      <c r="A14735" s="3237" t="s">
        <v>113</v>
      </c>
      <c r="B14735" s="3237" t="s">
        <v>114</v>
      </c>
      <c r="C14735" s="3237" t="s">
        <v>112</v>
      </c>
      <c r="D14735" s="3237" t="s">
        <v>116</v>
      </c>
      <c r="E14735" s="3237" t="s">
        <v>117</v>
      </c>
      <c r="F14735" s="3276" t="s">
        <v>121</v>
      </c>
      <c r="G14735" s="78"/>
    </row>
    <row r="14736" spans="1:7" ht="12.75" hidden="1" customHeight="1" outlineLevel="1" x14ac:dyDescent="0.25">
      <c r="A14736" s="3238">
        <v>1</v>
      </c>
      <c r="B14736" s="3239" t="s">
        <v>252</v>
      </c>
      <c r="C14736" s="3240">
        <v>100</v>
      </c>
      <c r="D14736" s="1900" t="s">
        <v>3702</v>
      </c>
      <c r="E14736" s="3245">
        <v>44316</v>
      </c>
      <c r="F14736" s="3246"/>
      <c r="G14736" s="78"/>
    </row>
    <row r="14737" spans="1:16" ht="40.5" hidden="1" customHeight="1" outlineLevel="1" x14ac:dyDescent="0.25">
      <c r="A14737" s="3247" t="s">
        <v>4156</v>
      </c>
      <c r="B14737" s="3247" t="s">
        <v>4153</v>
      </c>
      <c r="C14737" s="3247" t="s">
        <v>112</v>
      </c>
      <c r="D14737" s="3247" t="s">
        <v>4155</v>
      </c>
      <c r="E14737" s="3247" t="s">
        <v>4154</v>
      </c>
      <c r="F14737" s="3247" t="s">
        <v>2519</v>
      </c>
      <c r="G14737" s="78"/>
    </row>
    <row r="14738" spans="1:16" ht="12.75" hidden="1" customHeight="1" outlineLevel="1" x14ac:dyDescent="0.25">
      <c r="A14738" s="1991">
        <v>0.03</v>
      </c>
      <c r="B14738" s="1921" t="s">
        <v>359</v>
      </c>
      <c r="C14738" s="2108">
        <v>147.745</v>
      </c>
      <c r="D14738" s="3278">
        <v>216.4</v>
      </c>
      <c r="E14738" s="3279">
        <v>0.46468577616839823</v>
      </c>
      <c r="F14738" s="3277">
        <v>1.3940573285051947E-2</v>
      </c>
      <c r="G14738" s="78"/>
      <c r="H14738" t="s">
        <v>360</v>
      </c>
      <c r="I14738" s="98" t="s">
        <v>6654</v>
      </c>
      <c r="J14738" s="494" t="s">
        <v>7618</v>
      </c>
      <c r="O14738" s="434"/>
      <c r="P14738" s="434"/>
    </row>
    <row r="14739" spans="1:16" ht="12.75" hidden="1" customHeight="1" outlineLevel="1" x14ac:dyDescent="0.3">
      <c r="A14739" s="2380">
        <v>0.02</v>
      </c>
      <c r="B14739" s="1921" t="s">
        <v>1993</v>
      </c>
      <c r="C14739" s="2108">
        <v>51.872</v>
      </c>
      <c r="D14739" s="3280">
        <v>47.75</v>
      </c>
      <c r="E14739" s="3281">
        <v>-7.9464836520666271E-2</v>
      </c>
      <c r="F14739" s="3282">
        <v>-1.5892967304133256E-3</v>
      </c>
      <c r="G14739" s="78"/>
      <c r="H14739" t="s">
        <v>2812</v>
      </c>
      <c r="I14739" s="417">
        <v>2016</v>
      </c>
      <c r="J14739" s="478">
        <v>-5.6138000000000021E-2</v>
      </c>
      <c r="K14739" s="1558">
        <v>94.386200000000002</v>
      </c>
      <c r="L14739" s="1558" t="s">
        <v>8792</v>
      </c>
      <c r="O14739" s="434"/>
      <c r="P14739" s="434"/>
    </row>
    <row r="14740" spans="1:16" ht="12.75" hidden="1" customHeight="1" outlineLevel="1" x14ac:dyDescent="0.3">
      <c r="A14740" s="2380">
        <v>0.03</v>
      </c>
      <c r="B14740" s="1921" t="s">
        <v>3998</v>
      </c>
      <c r="C14740" s="2108">
        <v>34.94</v>
      </c>
      <c r="D14740" s="3280">
        <v>31.41</v>
      </c>
      <c r="E14740" s="3281">
        <v>-0.10103033772180881</v>
      </c>
      <c r="F14740" s="3282">
        <v>-3.0309101316542643E-3</v>
      </c>
      <c r="G14740" s="78"/>
      <c r="H14740" t="s">
        <v>4000</v>
      </c>
      <c r="I14740" s="417">
        <v>2017</v>
      </c>
      <c r="J14740" s="478">
        <v>2.3400000000000001E-2</v>
      </c>
      <c r="K14740" s="1558">
        <v>102.33839999999999</v>
      </c>
      <c r="L14740" s="1558" t="s">
        <v>8792</v>
      </c>
      <c r="O14740" s="434"/>
      <c r="P14740" s="434"/>
    </row>
    <row r="14741" spans="1:16" ht="12.75" hidden="1" customHeight="1" outlineLevel="1" x14ac:dyDescent="0.3">
      <c r="A14741" s="2380">
        <v>0.02</v>
      </c>
      <c r="B14741" s="1921" t="s">
        <v>218</v>
      </c>
      <c r="C14741" s="2108">
        <v>23.2685</v>
      </c>
      <c r="D14741" s="3280">
        <v>23.524999999999999</v>
      </c>
      <c r="E14741" s="3281">
        <v>1.1023486688011674E-2</v>
      </c>
      <c r="F14741" s="3282">
        <v>2.204697337602335E-4</v>
      </c>
      <c r="G14741" s="78"/>
      <c r="H14741" t="s">
        <v>656</v>
      </c>
      <c r="I14741" s="417">
        <v>2018</v>
      </c>
      <c r="J14741" s="478"/>
      <c r="L14741" s="1558"/>
      <c r="O14741" s="434"/>
      <c r="P14741" s="434"/>
    </row>
    <row r="14742" spans="1:16" ht="12.75" hidden="1" customHeight="1" outlineLevel="1" x14ac:dyDescent="0.3">
      <c r="A14742" s="2380">
        <v>0.03</v>
      </c>
      <c r="B14742" s="1921" t="s">
        <v>807</v>
      </c>
      <c r="C14742" s="2108">
        <v>54.021000000000001</v>
      </c>
      <c r="D14742" s="3280">
        <v>58.1</v>
      </c>
      <c r="E14742" s="3281">
        <v>7.5507672942004112E-2</v>
      </c>
      <c r="F14742" s="3282">
        <v>2.2652301882601232E-3</v>
      </c>
      <c r="G14742" s="78"/>
      <c r="H14742" t="s">
        <v>808</v>
      </c>
      <c r="I14742" s="417">
        <v>2019</v>
      </c>
      <c r="J14742" s="478">
        <v>6.3899999999999998E-2</v>
      </c>
      <c r="K14742" s="1558">
        <v>106.3929</v>
      </c>
      <c r="L14742" s="1558" t="s">
        <v>8792</v>
      </c>
      <c r="O14742" s="434"/>
      <c r="P14742" s="434"/>
    </row>
    <row r="14743" spans="1:16" ht="12.75" hidden="1" customHeight="1" outlineLevel="1" x14ac:dyDescent="0.25">
      <c r="A14743" s="2380">
        <v>0.02</v>
      </c>
      <c r="B14743" s="1921" t="s">
        <v>7114</v>
      </c>
      <c r="C14743" s="2108">
        <v>97.759</v>
      </c>
      <c r="D14743" s="3280">
        <v>201.99</v>
      </c>
      <c r="E14743" s="3281">
        <v>1.0662036231958183</v>
      </c>
      <c r="F14743" s="3282">
        <v>2.1324072463916367E-2</v>
      </c>
      <c r="G14743" s="78"/>
      <c r="H14743" t="s">
        <v>7115</v>
      </c>
      <c r="J14743" t="s">
        <v>10604</v>
      </c>
      <c r="O14743" s="434"/>
      <c r="P14743" s="434"/>
    </row>
    <row r="14744" spans="1:16" ht="12.75" hidden="1" customHeight="1" outlineLevel="1" x14ac:dyDescent="0.25">
      <c r="A14744" s="2380">
        <v>0.02</v>
      </c>
      <c r="B14744" s="1921" t="s">
        <v>6938</v>
      </c>
      <c r="C14744" s="2108">
        <v>68.331000000000003</v>
      </c>
      <c r="D14744" s="3280">
        <v>154.31</v>
      </c>
      <c r="E14744" s="3281">
        <v>1.2582722336860281</v>
      </c>
      <c r="F14744" s="3282">
        <v>2.5165444673720564E-2</v>
      </c>
      <c r="G14744" s="78"/>
      <c r="H14744" t="s">
        <v>6939</v>
      </c>
      <c r="O14744" s="434"/>
      <c r="P14744" s="434"/>
    </row>
    <row r="14745" spans="1:16" ht="12.75" hidden="1" customHeight="1" outlineLevel="1" x14ac:dyDescent="0.25">
      <c r="A14745" s="2380">
        <v>0.02</v>
      </c>
      <c r="B14745" s="1921" t="s">
        <v>496</v>
      </c>
      <c r="C14745" s="2108">
        <v>19.299125564436821</v>
      </c>
      <c r="D14745" s="3280">
        <v>12.12</v>
      </c>
      <c r="E14745" s="3281">
        <v>-0.37199227190200002</v>
      </c>
      <c r="F14745" s="3282">
        <v>-7.4398454380400006E-3</v>
      </c>
      <c r="G14745" s="78"/>
      <c r="H14745" t="s">
        <v>497</v>
      </c>
      <c r="O14745" s="434"/>
      <c r="P14745" s="434"/>
    </row>
    <row r="14746" spans="1:16" ht="12.75" hidden="1" customHeight="1" outlineLevel="1" x14ac:dyDescent="0.25">
      <c r="A14746" s="2380">
        <v>0.08</v>
      </c>
      <c r="B14746" s="1921" t="s">
        <v>6942</v>
      </c>
      <c r="C14746" s="2108">
        <v>29.721</v>
      </c>
      <c r="D14746" s="3280">
        <v>47.19</v>
      </c>
      <c r="E14746" s="3281">
        <v>0.58776622590087801</v>
      </c>
      <c r="F14746" s="3282">
        <v>4.7021298072070242E-2</v>
      </c>
      <c r="G14746" s="78"/>
      <c r="H14746" t="s">
        <v>7860</v>
      </c>
      <c r="O14746" s="434"/>
      <c r="P14746" s="434"/>
    </row>
    <row r="14747" spans="1:16" ht="12.75" hidden="1" customHeight="1" outlineLevel="1" x14ac:dyDescent="0.25">
      <c r="A14747" s="2380">
        <v>0.02</v>
      </c>
      <c r="B14747" s="1921" t="s">
        <v>6267</v>
      </c>
      <c r="C14747" s="2108">
        <v>24.919</v>
      </c>
      <c r="D14747" s="3280">
        <v>18.12</v>
      </c>
      <c r="E14747" s="3281">
        <v>-0.27284401460732777</v>
      </c>
      <c r="F14747" s="3282">
        <v>-5.4568802921465551E-3</v>
      </c>
      <c r="G14747" s="78"/>
      <c r="H14747" t="s">
        <v>6268</v>
      </c>
      <c r="O14747" s="434"/>
      <c r="P14747" s="434"/>
    </row>
    <row r="14748" spans="1:16" ht="12.75" hidden="1" customHeight="1" outlineLevel="1" x14ac:dyDescent="0.25">
      <c r="A14748" s="2380">
        <v>0.03</v>
      </c>
      <c r="B14748" s="1921" t="s">
        <v>4268</v>
      </c>
      <c r="C14748" s="2108">
        <v>16.472000000000001</v>
      </c>
      <c r="D14748" s="3280">
        <v>21.85</v>
      </c>
      <c r="E14748" s="3281">
        <v>0.32649344341913555</v>
      </c>
      <c r="F14748" s="3282">
        <v>9.794803302574066E-3</v>
      </c>
      <c r="G14748" s="78"/>
      <c r="H14748" t="s">
        <v>8442</v>
      </c>
      <c r="O14748" s="434"/>
      <c r="P14748" s="434"/>
    </row>
    <row r="14749" spans="1:16" ht="12.75" hidden="1" customHeight="1" outlineLevel="1" x14ac:dyDescent="0.25">
      <c r="A14749" s="2380">
        <v>0.02</v>
      </c>
      <c r="B14749" s="1921" t="s">
        <v>3799</v>
      </c>
      <c r="C14749" s="2108">
        <v>1352.7035567841906</v>
      </c>
      <c r="D14749" s="3280">
        <v>1339.6</v>
      </c>
      <c r="E14749" s="3281">
        <v>-9.6869389590000798E-3</v>
      </c>
      <c r="F14749" s="3282">
        <v>-1.937387791800016E-4</v>
      </c>
      <c r="G14749" s="78"/>
      <c r="H14749" t="s">
        <v>4128</v>
      </c>
      <c r="O14749" s="434"/>
      <c r="P14749" s="434"/>
    </row>
    <row r="14750" spans="1:16" ht="12.75" hidden="1" customHeight="1" outlineLevel="1" x14ac:dyDescent="0.25">
      <c r="A14750" s="2380">
        <v>0.03</v>
      </c>
      <c r="B14750" s="1921" t="s">
        <v>6530</v>
      </c>
      <c r="C14750" s="2519">
        <v>34.364269316613687</v>
      </c>
      <c r="D14750" s="3280">
        <v>34.340000000000003</v>
      </c>
      <c r="E14750" s="3281">
        <v>-7.0623694599991627E-4</v>
      </c>
      <c r="F14750" s="3282">
        <v>-2.1187108379997487E-5</v>
      </c>
      <c r="G14750" s="78"/>
      <c r="H14750" t="s">
        <v>10140</v>
      </c>
      <c r="O14750" s="434"/>
      <c r="P14750" s="434"/>
    </row>
    <row r="14751" spans="1:16" ht="12.75" hidden="1" customHeight="1" outlineLevel="1" x14ac:dyDescent="0.25">
      <c r="A14751" s="2380">
        <v>0.03</v>
      </c>
      <c r="B14751" s="1921" t="s">
        <v>6163</v>
      </c>
      <c r="C14751" s="2108">
        <v>68.037000000000006</v>
      </c>
      <c r="D14751" s="3280">
        <v>75.03</v>
      </c>
      <c r="E14751" s="3281">
        <v>0.10278230962564483</v>
      </c>
      <c r="F14751" s="3282">
        <v>3.0834692887693449E-3</v>
      </c>
      <c r="G14751" s="78"/>
      <c r="H14751" t="s">
        <v>9170</v>
      </c>
      <c r="O14751" s="434"/>
      <c r="P14751" s="434"/>
    </row>
    <row r="14752" spans="1:16" ht="12.75" hidden="1" customHeight="1" outlineLevel="1" x14ac:dyDescent="0.25">
      <c r="A14752" s="2380">
        <v>0.02</v>
      </c>
      <c r="B14752" s="1921" t="s">
        <v>6707</v>
      </c>
      <c r="C14752" s="2108">
        <v>37.500999999999998</v>
      </c>
      <c r="D14752" s="3280">
        <v>17.05</v>
      </c>
      <c r="E14752" s="3281">
        <v>-0.54534545745446783</v>
      </c>
      <c r="F14752" s="3282">
        <v>-1.0906909149089357E-2</v>
      </c>
      <c r="G14752" s="78"/>
      <c r="H14752" t="s">
        <v>6705</v>
      </c>
      <c r="O14752" s="434"/>
      <c r="P14752" s="434"/>
    </row>
    <row r="14753" spans="1:16" ht="12.75" hidden="1" customHeight="1" outlineLevel="1" x14ac:dyDescent="0.25">
      <c r="A14753" s="2380">
        <v>0.03</v>
      </c>
      <c r="B14753" s="1921" t="s">
        <v>2786</v>
      </c>
      <c r="C14753" s="2108">
        <v>854.19711689566816</v>
      </c>
      <c r="D14753" s="3280">
        <v>910.6</v>
      </c>
      <c r="E14753" s="3281">
        <v>6.603028971733349E-2</v>
      </c>
      <c r="F14753" s="3282">
        <v>1.9809086915200044E-3</v>
      </c>
      <c r="G14753" s="78"/>
      <c r="H14753" t="s">
        <v>4195</v>
      </c>
      <c r="O14753" s="434"/>
      <c r="P14753" s="434"/>
    </row>
    <row r="14754" spans="1:16" ht="12.75" hidden="1" customHeight="1" outlineLevel="1" x14ac:dyDescent="0.25">
      <c r="A14754" s="2380">
        <v>0.05</v>
      </c>
      <c r="B14754" s="1921" t="s">
        <v>1203</v>
      </c>
      <c r="C14754" s="2108">
        <v>107.77</v>
      </c>
      <c r="D14754" s="3280">
        <v>87.96</v>
      </c>
      <c r="E14754" s="3281">
        <v>-0.18381738888373389</v>
      </c>
      <c r="F14754" s="3282">
        <v>-9.1908694441866952E-3</v>
      </c>
      <c r="G14754" s="78"/>
      <c r="H14754" t="s">
        <v>79</v>
      </c>
      <c r="O14754" s="434"/>
      <c r="P14754" s="434"/>
    </row>
    <row r="14755" spans="1:16" ht="12.75" hidden="1" customHeight="1" outlineLevel="1" x14ac:dyDescent="0.25">
      <c r="A14755" s="2380">
        <v>0.02</v>
      </c>
      <c r="B14755" s="1921" t="s">
        <v>2769</v>
      </c>
      <c r="C14755" s="2108">
        <v>31.02</v>
      </c>
      <c r="D14755" s="3280">
        <v>29.13</v>
      </c>
      <c r="E14755" s="3281">
        <v>-6.0928433268858773E-2</v>
      </c>
      <c r="F14755" s="3282">
        <v>-1.2185686653771754E-3</v>
      </c>
      <c r="G14755" s="78"/>
      <c r="H14755" t="s">
        <v>2770</v>
      </c>
      <c r="O14755" s="434"/>
      <c r="P14755" s="434"/>
    </row>
    <row r="14756" spans="1:16" ht="12.75" hidden="1" customHeight="1" outlineLevel="1" x14ac:dyDescent="0.25">
      <c r="A14756" s="2380">
        <v>0.02</v>
      </c>
      <c r="B14756" s="1921" t="s">
        <v>7142</v>
      </c>
      <c r="C14756" s="2108">
        <v>32.787999999999997</v>
      </c>
      <c r="D14756" s="3280">
        <v>17.73</v>
      </c>
      <c r="E14756" s="3281">
        <v>-0.4592533853848968</v>
      </c>
      <c r="F14756" s="3282">
        <v>-9.1850677076979366E-3</v>
      </c>
      <c r="G14756" s="78"/>
      <c r="H14756" t="s">
        <v>7143</v>
      </c>
      <c r="O14756" s="434"/>
      <c r="P14756" s="434"/>
    </row>
    <row r="14757" spans="1:16" ht="12.75" hidden="1" customHeight="1" outlineLevel="1" x14ac:dyDescent="0.25">
      <c r="A14757" s="2380">
        <v>0.03</v>
      </c>
      <c r="B14757" s="1921" t="s">
        <v>6270</v>
      </c>
      <c r="C14757" s="2108">
        <v>45.003</v>
      </c>
      <c r="D14757" s="3280">
        <v>39.51</v>
      </c>
      <c r="E14757" s="3281">
        <v>-0.1220585294313713</v>
      </c>
      <c r="F14757" s="3282">
        <v>-3.6617558829411386E-3</v>
      </c>
      <c r="G14757" s="78"/>
      <c r="H14757" t="s">
        <v>8166</v>
      </c>
      <c r="O14757" s="434"/>
      <c r="P14757" s="434"/>
    </row>
    <row r="14758" spans="1:16" ht="12.75" hidden="1" customHeight="1" outlineLevel="1" x14ac:dyDescent="0.25">
      <c r="A14758" s="2380">
        <v>0.02</v>
      </c>
      <c r="B14758" s="1921" t="s">
        <v>6164</v>
      </c>
      <c r="C14758" s="2108">
        <v>3.7802021345186931</v>
      </c>
      <c r="D14758" s="3280">
        <v>4.68</v>
      </c>
      <c r="E14758" s="3281">
        <v>0.23802903481399995</v>
      </c>
      <c r="F14758" s="3282">
        <v>4.7605806962799993E-3</v>
      </c>
      <c r="G14758" s="78"/>
      <c r="H14758" t="s">
        <v>6114</v>
      </c>
      <c r="O14758" s="434"/>
      <c r="P14758" s="434"/>
    </row>
    <row r="14759" spans="1:16" ht="12.75" hidden="1" customHeight="1" outlineLevel="1" x14ac:dyDescent="0.25">
      <c r="A14759" s="2380">
        <v>0.03</v>
      </c>
      <c r="B14759" s="1921" t="s">
        <v>1857</v>
      </c>
      <c r="C14759" s="2108">
        <v>1596.4</v>
      </c>
      <c r="D14759" s="3280">
        <v>1468</v>
      </c>
      <c r="E14759" s="3281">
        <v>-8.0430969681784092E-2</v>
      </c>
      <c r="F14759" s="3282">
        <v>-2.4129290904535226E-3</v>
      </c>
      <c r="G14759" s="78"/>
      <c r="H14759" t="s">
        <v>3559</v>
      </c>
      <c r="O14759" s="434"/>
      <c r="P14759" s="434"/>
    </row>
    <row r="14760" spans="1:16" ht="12.75" hidden="1" customHeight="1" outlineLevel="1" x14ac:dyDescent="0.25">
      <c r="A14760" s="2380">
        <v>0.05</v>
      </c>
      <c r="B14760" s="1921" t="s">
        <v>3960</v>
      </c>
      <c r="C14760" s="2108">
        <v>447.37565762702837</v>
      </c>
      <c r="D14760" s="3280">
        <v>277.5</v>
      </c>
      <c r="E14760" s="3281">
        <v>-0.37971591598900012</v>
      </c>
      <c r="F14760" s="3282">
        <v>-1.8985795799450006E-2</v>
      </c>
      <c r="G14760" s="78"/>
      <c r="H14760" t="s">
        <v>8828</v>
      </c>
      <c r="O14760" s="434"/>
      <c r="P14760" s="434"/>
    </row>
    <row r="14761" spans="1:16" ht="12.75" hidden="1" customHeight="1" outlineLevel="1" x14ac:dyDescent="0.25">
      <c r="A14761" s="2380">
        <v>0.08</v>
      </c>
      <c r="B14761" s="1921" t="s">
        <v>1724</v>
      </c>
      <c r="C14761" s="2108">
        <v>199.24</v>
      </c>
      <c r="D14761" s="3280">
        <v>148.74</v>
      </c>
      <c r="E14761" s="3281">
        <v>-0.25346316000803049</v>
      </c>
      <c r="F14761" s="3282">
        <v>-2.0277052800642438E-2</v>
      </c>
      <c r="G14761" s="78"/>
      <c r="H14761" t="s">
        <v>1725</v>
      </c>
      <c r="O14761" s="434"/>
      <c r="P14761" s="434"/>
    </row>
    <row r="14762" spans="1:16" ht="12.75" hidden="1" customHeight="1" outlineLevel="1" x14ac:dyDescent="0.25">
      <c r="A14762" s="2380">
        <v>0.05</v>
      </c>
      <c r="B14762" s="1921" t="s">
        <v>6118</v>
      </c>
      <c r="C14762" s="2108">
        <v>85.665000000000006</v>
      </c>
      <c r="D14762" s="3280">
        <v>84.88</v>
      </c>
      <c r="E14762" s="3281">
        <v>-9.1636024047161424E-3</v>
      </c>
      <c r="F14762" s="3282">
        <v>-4.5818012023580713E-4</v>
      </c>
      <c r="G14762" s="78"/>
      <c r="H14762" t="s">
        <v>8893</v>
      </c>
      <c r="O14762" s="434"/>
      <c r="P14762" s="434"/>
    </row>
    <row r="14763" spans="1:16" ht="12.75" hidden="1" customHeight="1" outlineLevel="1" x14ac:dyDescent="0.25">
      <c r="A14763" s="2380">
        <v>0.05</v>
      </c>
      <c r="B14763" s="1921" t="s">
        <v>6945</v>
      </c>
      <c r="C14763" s="2108">
        <v>93.118317228942502</v>
      </c>
      <c r="D14763" s="3280">
        <v>109.35</v>
      </c>
      <c r="E14763" s="3281">
        <v>0.174312458108</v>
      </c>
      <c r="F14763" s="3282">
        <v>8.7156229054000008E-3</v>
      </c>
      <c r="G14763" s="78"/>
      <c r="H14763" t="s">
        <v>6943</v>
      </c>
      <c r="O14763" s="434"/>
      <c r="P14763" s="434"/>
    </row>
    <row r="14764" spans="1:16" ht="12.75" hidden="1" customHeight="1" outlineLevel="1" x14ac:dyDescent="0.25">
      <c r="A14764" s="2380">
        <v>0.05</v>
      </c>
      <c r="B14764" s="1921" t="s">
        <v>434</v>
      </c>
      <c r="C14764" s="2108">
        <v>50.139000000000003</v>
      </c>
      <c r="D14764" s="3280">
        <v>35.04</v>
      </c>
      <c r="E14764" s="3281">
        <v>-0.30114282295219297</v>
      </c>
      <c r="F14764" s="3282">
        <v>-1.505714114760965E-2</v>
      </c>
      <c r="G14764" s="78"/>
      <c r="H14764" t="s">
        <v>7745</v>
      </c>
      <c r="O14764" s="434"/>
      <c r="P14764" s="434"/>
    </row>
    <row r="14765" spans="1:16" ht="12.75" hidden="1" customHeight="1" outlineLevel="1" x14ac:dyDescent="0.25">
      <c r="A14765" s="2380">
        <v>0.03</v>
      </c>
      <c r="B14765" s="1921" t="s">
        <v>3921</v>
      </c>
      <c r="C14765" s="2108">
        <v>4.1696</v>
      </c>
      <c r="D14765" s="3280">
        <v>6.13</v>
      </c>
      <c r="E14765" s="3281">
        <v>0.47016500383729842</v>
      </c>
      <c r="F14765" s="3282">
        <v>1.4104950115118952E-2</v>
      </c>
      <c r="G14765" s="78"/>
      <c r="H14765" t="s">
        <v>3922</v>
      </c>
      <c r="O14765" s="434"/>
      <c r="P14765" s="434"/>
    </row>
    <row r="14766" spans="1:16" ht="12.75" hidden="1" customHeight="1" outlineLevel="1" x14ac:dyDescent="0.25">
      <c r="A14766" s="2380">
        <v>0.02</v>
      </c>
      <c r="B14766" s="1921" t="s">
        <v>1183</v>
      </c>
      <c r="C14766" s="2108">
        <v>44.396999999999998</v>
      </c>
      <c r="D14766" s="3280">
        <v>36.825000000000003</v>
      </c>
      <c r="E14766" s="3281">
        <v>-0.17055206432867076</v>
      </c>
      <c r="F14766" s="3282">
        <v>-3.4110412865734152E-3</v>
      </c>
      <c r="G14766" s="78"/>
      <c r="H14766" t="s">
        <v>2805</v>
      </c>
      <c r="O14766" s="434"/>
      <c r="P14766" s="434"/>
    </row>
    <row r="14767" spans="1:16" ht="12.75" hidden="1" customHeight="1" outlineLevel="1" x14ac:dyDescent="0.25">
      <c r="A14767" s="2380">
        <v>0.05</v>
      </c>
      <c r="B14767" s="2109" t="s">
        <v>4550</v>
      </c>
      <c r="C14767" s="2108">
        <v>296.47000000000003</v>
      </c>
      <c r="D14767" s="3283">
        <v>374.7</v>
      </c>
      <c r="E14767" s="3281">
        <v>0.26387155530070472</v>
      </c>
      <c r="F14767" s="3282">
        <v>1.3193577765035236E-2</v>
      </c>
      <c r="G14767" s="78"/>
      <c r="H14767" t="s">
        <v>8889</v>
      </c>
      <c r="O14767" s="434"/>
      <c r="P14767" s="434"/>
    </row>
    <row r="14768" spans="1:16" ht="12.75" hidden="1" customHeight="1" outlineLevel="1" x14ac:dyDescent="0.25">
      <c r="A14768" s="2181" t="s">
        <v>2734</v>
      </c>
      <c r="B14768" s="2103"/>
      <c r="C14768" s="3258"/>
      <c r="D14768" s="3259"/>
      <c r="E14768" s="3284"/>
      <c r="F14768" s="3277">
        <v>5.3073831607405836E-2</v>
      </c>
      <c r="G14768" s="78"/>
    </row>
    <row r="14769" spans="1:7" ht="12.75" hidden="1" customHeight="1" outlineLevel="1" x14ac:dyDescent="0.25">
      <c r="A14769" s="1956" t="s">
        <v>7278</v>
      </c>
      <c r="B14769" s="2185">
        <v>43770</v>
      </c>
      <c r="C14769" s="3261">
        <v>100</v>
      </c>
      <c r="D14769" s="3261">
        <v>110.3777</v>
      </c>
      <c r="E14769" s="3262">
        <v>0.10377700000000001</v>
      </c>
      <c r="F14769" s="3285"/>
      <c r="G14769" s="78"/>
    </row>
    <row r="14770" spans="1:7" ht="12.75" hidden="1" customHeight="1" outlineLevel="1" x14ac:dyDescent="0.25">
      <c r="A14770" s="1956" t="s">
        <v>7279</v>
      </c>
      <c r="B14770" s="2185">
        <v>43800</v>
      </c>
      <c r="C14770" s="3261">
        <v>100</v>
      </c>
      <c r="D14770" s="3264">
        <v>112.26479999999999</v>
      </c>
      <c r="E14770" s="3262">
        <v>0.12264799999999987</v>
      </c>
      <c r="F14770" s="3285"/>
      <c r="G14770" s="78"/>
    </row>
    <row r="14771" spans="1:7" ht="12.75" hidden="1" customHeight="1" outlineLevel="1" x14ac:dyDescent="0.25">
      <c r="A14771" s="1956" t="s">
        <v>7280</v>
      </c>
      <c r="B14771" s="2185">
        <v>43831</v>
      </c>
      <c r="C14771" s="3261">
        <v>100</v>
      </c>
      <c r="D14771" s="3264">
        <v>115.72280000000001</v>
      </c>
      <c r="E14771" s="3262">
        <v>0.15722800000000015</v>
      </c>
      <c r="F14771" s="3285"/>
      <c r="G14771" s="78"/>
    </row>
    <row r="14772" spans="1:7" ht="12.75" hidden="1" customHeight="1" outlineLevel="1" x14ac:dyDescent="0.25">
      <c r="A14772" s="1956" t="s">
        <v>7281</v>
      </c>
      <c r="B14772" s="2185">
        <v>43862</v>
      </c>
      <c r="C14772" s="3261">
        <v>100</v>
      </c>
      <c r="D14772" s="3264">
        <v>107.4014</v>
      </c>
      <c r="E14772" s="3262">
        <v>7.4014000000000024E-2</v>
      </c>
      <c r="F14772" s="3285"/>
      <c r="G14772" s="78"/>
    </row>
    <row r="14773" spans="1:7" ht="12.75" hidden="1" customHeight="1" outlineLevel="1" x14ac:dyDescent="0.25">
      <c r="A14773" s="1956" t="s">
        <v>7282</v>
      </c>
      <c r="B14773" s="2185">
        <v>43891</v>
      </c>
      <c r="C14773" s="3261">
        <v>100</v>
      </c>
      <c r="D14773" s="3264">
        <v>95.412300000000002</v>
      </c>
      <c r="E14773" s="3262">
        <v>-4.5876999999999946E-2</v>
      </c>
      <c r="F14773" s="3285"/>
      <c r="G14773" s="78"/>
    </row>
    <row r="14774" spans="1:7" ht="12.75" hidden="1" customHeight="1" outlineLevel="1" x14ac:dyDescent="0.25">
      <c r="A14774" s="1956" t="s">
        <v>7283</v>
      </c>
      <c r="B14774" s="2185">
        <v>43922</v>
      </c>
      <c r="C14774" s="3261">
        <v>100</v>
      </c>
      <c r="D14774" s="3264">
        <v>96.058999999999997</v>
      </c>
      <c r="E14774" s="3262">
        <v>-3.9410000000000056E-2</v>
      </c>
      <c r="F14774" s="3285"/>
      <c r="G14774" s="78"/>
    </row>
    <row r="14775" spans="1:7" ht="12.75" hidden="1" customHeight="1" outlineLevel="1" x14ac:dyDescent="0.25">
      <c r="A14775" s="1956" t="s">
        <v>7284</v>
      </c>
      <c r="B14775" s="2185">
        <v>43952</v>
      </c>
      <c r="C14775" s="3261">
        <v>100</v>
      </c>
      <c r="D14775" s="3264">
        <v>97.086399999999998</v>
      </c>
      <c r="E14775" s="3262">
        <v>-2.9136000000000051E-2</v>
      </c>
      <c r="F14775" s="3285"/>
      <c r="G14775" s="78"/>
    </row>
    <row r="14776" spans="1:7" ht="12.75" hidden="1" customHeight="1" outlineLevel="1" x14ac:dyDescent="0.25">
      <c r="A14776" s="1956" t="s">
        <v>7285</v>
      </c>
      <c r="B14776" s="2185">
        <v>43983</v>
      </c>
      <c r="C14776" s="3261">
        <v>100</v>
      </c>
      <c r="D14776" s="3264">
        <v>98.366600000000005</v>
      </c>
      <c r="E14776" s="3262">
        <v>-1.633399999999996E-2</v>
      </c>
      <c r="F14776" s="3285"/>
      <c r="G14776" s="78"/>
    </row>
    <row r="14777" spans="1:7" ht="12.75" hidden="1" customHeight="1" outlineLevel="1" x14ac:dyDescent="0.25">
      <c r="A14777" s="1956" t="s">
        <v>7286</v>
      </c>
      <c r="B14777" s="2185">
        <v>44013</v>
      </c>
      <c r="C14777" s="3261">
        <v>100</v>
      </c>
      <c r="D14777" s="3264">
        <v>98.095299999999995</v>
      </c>
      <c r="E14777" s="3262">
        <v>-1.9047000000000036E-2</v>
      </c>
      <c r="F14777" s="3285"/>
      <c r="G14777" s="78"/>
    </row>
    <row r="14778" spans="1:7" ht="12.75" hidden="1" customHeight="1" outlineLevel="1" x14ac:dyDescent="0.25">
      <c r="A14778" s="1956" t="s">
        <v>7287</v>
      </c>
      <c r="B14778" s="2185">
        <v>44044</v>
      </c>
      <c r="C14778" s="3261">
        <v>100</v>
      </c>
      <c r="D14778" s="3264">
        <v>97.934899999999999</v>
      </c>
      <c r="E14778" s="3262">
        <v>-2.0650999999999975E-2</v>
      </c>
      <c r="F14778" s="3285"/>
      <c r="G14778" s="78"/>
    </row>
    <row r="14779" spans="1:7" ht="12.75" hidden="1" customHeight="1" outlineLevel="1" x14ac:dyDescent="0.25">
      <c r="A14779" s="1956" t="s">
        <v>7288</v>
      </c>
      <c r="B14779" s="2185">
        <v>44075</v>
      </c>
      <c r="C14779" s="3261">
        <v>100</v>
      </c>
      <c r="D14779" s="3264">
        <v>96.045299999999997</v>
      </c>
      <c r="E14779" s="3262">
        <v>-3.9546999999999999E-2</v>
      </c>
      <c r="F14779" s="3285"/>
      <c r="G14779" s="78"/>
    </row>
    <row r="14780" spans="1:7" ht="12.75" hidden="1" customHeight="1" outlineLevel="1" x14ac:dyDescent="0.25">
      <c r="A14780" s="1956" t="s">
        <v>7289</v>
      </c>
      <c r="B14780" s="2185">
        <v>44105</v>
      </c>
      <c r="C14780" s="3261">
        <v>100</v>
      </c>
      <c r="D14780" s="3264">
        <v>90.132199999999997</v>
      </c>
      <c r="E14780" s="3262">
        <v>-9.8678000000000043E-2</v>
      </c>
      <c r="F14780" s="3285"/>
      <c r="G14780" s="78"/>
    </row>
    <row r="14781" spans="1:7" ht="12.75" hidden="1" customHeight="1" outlineLevel="1" x14ac:dyDescent="0.25">
      <c r="A14781" s="1956" t="s">
        <v>7290</v>
      </c>
      <c r="B14781" s="2185">
        <v>44136</v>
      </c>
      <c r="C14781" s="3261">
        <v>100</v>
      </c>
      <c r="D14781" s="3264">
        <v>100.2022</v>
      </c>
      <c r="E14781" s="3262">
        <v>2.0219999999999683E-3</v>
      </c>
      <c r="F14781" s="3285"/>
      <c r="G14781" s="78"/>
    </row>
    <row r="14782" spans="1:7" ht="12.75" hidden="1" customHeight="1" outlineLevel="1" x14ac:dyDescent="0.25">
      <c r="A14782" s="1956" t="s">
        <v>7291</v>
      </c>
      <c r="B14782" s="2185">
        <v>44166</v>
      </c>
      <c r="C14782" s="3261">
        <v>100</v>
      </c>
      <c r="D14782" s="3264">
        <v>99.6678</v>
      </c>
      <c r="E14782" s="3262">
        <v>-3.3220000000000471E-3</v>
      </c>
      <c r="F14782" s="3285"/>
      <c r="G14782" s="78"/>
    </row>
    <row r="14783" spans="1:7" ht="12.75" hidden="1" customHeight="1" outlineLevel="1" x14ac:dyDescent="0.25">
      <c r="A14783" s="1956" t="s">
        <v>7292</v>
      </c>
      <c r="B14783" s="2185">
        <v>44197</v>
      </c>
      <c r="C14783" s="3261">
        <v>100</v>
      </c>
      <c r="D14783" s="3264">
        <v>100.66030000000001</v>
      </c>
      <c r="E14783" s="3262">
        <v>6.6030000000001365E-3</v>
      </c>
      <c r="F14783" s="3285"/>
      <c r="G14783" s="78"/>
    </row>
    <row r="14784" spans="1:7" ht="12.75" hidden="1" customHeight="1" outlineLevel="1" x14ac:dyDescent="0.25">
      <c r="A14784" s="1956" t="s">
        <v>7293</v>
      </c>
      <c r="B14784" s="2185">
        <v>44228</v>
      </c>
      <c r="C14784" s="3261">
        <v>100</v>
      </c>
      <c r="D14784" s="3264">
        <v>100.92610000000001</v>
      </c>
      <c r="E14784" s="3262">
        <v>9.2609999999999637E-3</v>
      </c>
      <c r="F14784" s="3285"/>
      <c r="G14784" s="78"/>
    </row>
    <row r="14785" spans="1:11" ht="12.75" hidden="1" customHeight="1" outlineLevel="1" x14ac:dyDescent="0.25">
      <c r="A14785" s="1956" t="s">
        <v>7294</v>
      </c>
      <c r="B14785" s="2185">
        <v>44256</v>
      </c>
      <c r="C14785" s="3261">
        <v>100</v>
      </c>
      <c r="D14785" s="3264">
        <v>108.1973</v>
      </c>
      <c r="E14785" s="3262">
        <v>8.1973000000000074E-2</v>
      </c>
      <c r="F14785" s="3285"/>
      <c r="G14785" s="78"/>
    </row>
    <row r="14786" spans="1:11" ht="12.75" hidden="1" customHeight="1" outlineLevel="1" x14ac:dyDescent="0.25">
      <c r="A14786" s="1956" t="s">
        <v>7295</v>
      </c>
      <c r="B14786" s="2185">
        <v>44287</v>
      </c>
      <c r="C14786" s="3261">
        <v>100</v>
      </c>
      <c r="D14786" s="3264">
        <v>105.78440000000001</v>
      </c>
      <c r="E14786" s="3262">
        <v>5.7844000000000007E-2</v>
      </c>
      <c r="F14786" s="3285"/>
      <c r="G14786" s="78"/>
    </row>
    <row r="14787" spans="1:11" ht="12.75" hidden="1" customHeight="1" outlineLevel="1" x14ac:dyDescent="0.25">
      <c r="A14787" s="2189" t="s">
        <v>2734</v>
      </c>
      <c r="B14787" s="2190"/>
      <c r="C14787" s="3264"/>
      <c r="D14787" s="2191" t="s">
        <v>2465</v>
      </c>
      <c r="E14787" s="1987">
        <v>1.6853777777777783E-2</v>
      </c>
      <c r="F14787" s="2192">
        <v>1.6853777777777783E-2</v>
      </c>
      <c r="G14787" s="78"/>
    </row>
    <row r="14788" spans="1:11" collapsed="1" x14ac:dyDescent="0.25">
      <c r="A14788" s="3801" t="s">
        <v>7296</v>
      </c>
      <c r="B14788" s="3802"/>
      <c r="C14788" s="3802"/>
      <c r="D14788" s="3802"/>
      <c r="E14788" s="1906"/>
      <c r="F14788" s="1907">
        <v>1.6853777777777783E-2</v>
      </c>
      <c r="G14788" s="78"/>
    </row>
    <row r="14790" spans="1:11" ht="12.75" hidden="1" customHeight="1" outlineLevel="1" x14ac:dyDescent="0.25">
      <c r="A14790" s="3237" t="s">
        <v>113</v>
      </c>
      <c r="B14790" s="3237" t="s">
        <v>114</v>
      </c>
      <c r="C14790" s="3237" t="s">
        <v>112</v>
      </c>
      <c r="D14790" s="3237" t="s">
        <v>116</v>
      </c>
      <c r="E14790" s="3237" t="s">
        <v>117</v>
      </c>
      <c r="F14790" s="3276" t="s">
        <v>121</v>
      </c>
      <c r="G14790" s="78"/>
    </row>
    <row r="14791" spans="1:11" ht="12.75" hidden="1" customHeight="1" outlineLevel="1" x14ac:dyDescent="0.25">
      <c r="A14791" s="3238">
        <v>1</v>
      </c>
      <c r="B14791" s="3239" t="s">
        <v>252</v>
      </c>
      <c r="C14791" s="3240">
        <v>100</v>
      </c>
      <c r="D14791" s="3240"/>
      <c r="E14791" s="3241"/>
      <c r="F14791" s="3242"/>
      <c r="G14791" s="78"/>
    </row>
    <row r="14792" spans="1:11" ht="12.75" hidden="1" customHeight="1" outlineLevel="1" x14ac:dyDescent="0.25">
      <c r="A14792" s="3243" t="s">
        <v>2734</v>
      </c>
      <c r="B14792" s="3243"/>
      <c r="C14792" s="3244"/>
      <c r="D14792" s="1900" t="s">
        <v>3702</v>
      </c>
      <c r="E14792" s="3245">
        <v>44469</v>
      </c>
      <c r="F14792" s="3246"/>
      <c r="G14792" s="78"/>
    </row>
    <row r="14793" spans="1:11" ht="12.75" hidden="1" customHeight="1" outlineLevel="1" x14ac:dyDescent="0.25">
      <c r="A14793" s="3237" t="s">
        <v>4156</v>
      </c>
      <c r="B14793" s="3237" t="s">
        <v>4153</v>
      </c>
      <c r="C14793" s="3247" t="s">
        <v>112</v>
      </c>
      <c r="D14793" s="3248" t="s">
        <v>4155</v>
      </c>
      <c r="E14793" s="3237" t="s">
        <v>4154</v>
      </c>
      <c r="F14793" s="3277" t="s">
        <v>2519</v>
      </c>
      <c r="G14793" s="78"/>
    </row>
    <row r="14794" spans="1:11" ht="12.75" hidden="1" customHeight="1" outlineLevel="1" x14ac:dyDescent="0.25">
      <c r="A14794" s="1991">
        <v>0.03</v>
      </c>
      <c r="B14794" s="1921" t="s">
        <v>359</v>
      </c>
      <c r="C14794" s="2108">
        <v>145.57</v>
      </c>
      <c r="D14794" s="3278">
        <v>194.84</v>
      </c>
      <c r="E14794" s="3279">
        <v>0.33846259531496892</v>
      </c>
      <c r="F14794" s="3277">
        <v>1.0153877859449068E-2</v>
      </c>
      <c r="G14794" s="78"/>
      <c r="H14794" t="s">
        <v>360</v>
      </c>
      <c r="K14794" s="434"/>
    </row>
    <row r="14795" spans="1:11" ht="12.75" hidden="1" customHeight="1" outlineLevel="1" x14ac:dyDescent="0.25">
      <c r="A14795" s="2380">
        <v>0.03</v>
      </c>
      <c r="B14795" s="1921" t="s">
        <v>3998</v>
      </c>
      <c r="C14795" s="2108">
        <v>33.265999999999998</v>
      </c>
      <c r="D14795" s="3280">
        <v>27.01</v>
      </c>
      <c r="E14795" s="3281">
        <v>-0.18805988095953818</v>
      </c>
      <c r="F14795" s="3282">
        <v>-5.6417964287861456E-3</v>
      </c>
      <c r="G14795" s="78"/>
      <c r="H14795" t="s">
        <v>4000</v>
      </c>
      <c r="K14795" s="434"/>
    </row>
    <row r="14796" spans="1:11" ht="12.75" hidden="1" customHeight="1" outlineLevel="1" x14ac:dyDescent="0.25">
      <c r="A14796" s="2380">
        <v>0.02</v>
      </c>
      <c r="B14796" s="1921" t="s">
        <v>218</v>
      </c>
      <c r="C14796" s="2108">
        <v>22.512</v>
      </c>
      <c r="D14796" s="3280">
        <v>24.085000000000001</v>
      </c>
      <c r="E14796" s="3281">
        <v>6.9873845060412165E-2</v>
      </c>
      <c r="F14796" s="3282">
        <v>1.3974769012082434E-3</v>
      </c>
      <c r="G14796" s="78"/>
      <c r="H14796" t="s">
        <v>656</v>
      </c>
      <c r="K14796" s="434"/>
    </row>
    <row r="14797" spans="1:11" ht="12.75" hidden="1" customHeight="1" outlineLevel="1" x14ac:dyDescent="0.25">
      <c r="A14797" s="2380">
        <v>0.02</v>
      </c>
      <c r="B14797" s="1921" t="s">
        <v>807</v>
      </c>
      <c r="C14797" s="2108">
        <v>55.908000000000001</v>
      </c>
      <c r="D14797" s="3280">
        <v>63.45</v>
      </c>
      <c r="E14797" s="3281">
        <v>0.13490019317450108</v>
      </c>
      <c r="F14797" s="3282">
        <v>2.6980038634900217E-3</v>
      </c>
      <c r="G14797" s="78"/>
      <c r="H14797" t="s">
        <v>808</v>
      </c>
      <c r="K14797" s="434"/>
    </row>
    <row r="14798" spans="1:11" ht="12.75" hidden="1" customHeight="1" outlineLevel="1" x14ac:dyDescent="0.25">
      <c r="A14798" s="2380">
        <v>0.03</v>
      </c>
      <c r="B14798" s="1921" t="s">
        <v>8527</v>
      </c>
      <c r="C14798" s="2108">
        <v>33.673573287909086</v>
      </c>
      <c r="D14798" s="3280">
        <v>45.27</v>
      </c>
      <c r="E14798" s="3281">
        <v>0.34437767007800013</v>
      </c>
      <c r="F14798" s="3282">
        <v>1.0331330102340004E-2</v>
      </c>
      <c r="G14798" s="78"/>
      <c r="H14798" t="s">
        <v>8516</v>
      </c>
      <c r="K14798" s="434"/>
    </row>
    <row r="14799" spans="1:11" ht="12.75" hidden="1" customHeight="1" outlineLevel="1" x14ac:dyDescent="0.25">
      <c r="A14799" s="2380">
        <v>0.03</v>
      </c>
      <c r="B14799" s="1921" t="s">
        <v>6821</v>
      </c>
      <c r="C14799" s="2108">
        <v>334.73565775201536</v>
      </c>
      <c r="D14799" s="3280">
        <v>289.60000000000002</v>
      </c>
      <c r="E14799" s="3281">
        <v>-0.13483970621813324</v>
      </c>
      <c r="F14799" s="3282">
        <v>-4.0451911865439973E-3</v>
      </c>
      <c r="G14799" s="78"/>
      <c r="H14799" t="s">
        <v>6822</v>
      </c>
      <c r="K14799" s="434"/>
    </row>
    <row r="14800" spans="1:11" ht="12.75" hidden="1" customHeight="1" outlineLevel="1" x14ac:dyDescent="0.25">
      <c r="A14800" s="2380">
        <v>0.02</v>
      </c>
      <c r="B14800" s="1921" t="s">
        <v>496</v>
      </c>
      <c r="C14800" s="2108">
        <v>16.138625421435592</v>
      </c>
      <c r="D14800" s="3280">
        <v>10.89</v>
      </c>
      <c r="E14800" s="3281">
        <v>-0.32522134223799992</v>
      </c>
      <c r="F14800" s="3282">
        <v>-6.5044268447599987E-3</v>
      </c>
      <c r="G14800" s="78"/>
      <c r="H14800" t="s">
        <v>497</v>
      </c>
      <c r="K14800" s="434"/>
    </row>
    <row r="14801" spans="1:11" ht="12.75" hidden="1" customHeight="1" outlineLevel="1" x14ac:dyDescent="0.25">
      <c r="A14801" s="2380">
        <v>0.08</v>
      </c>
      <c r="B14801" s="1921" t="s">
        <v>6942</v>
      </c>
      <c r="C14801" s="2108">
        <v>31.06</v>
      </c>
      <c r="D14801" s="3280">
        <v>53.64</v>
      </c>
      <c r="E14801" s="3281">
        <v>0.72698003863490035</v>
      </c>
      <c r="F14801" s="3282">
        <v>5.8158403090792031E-2</v>
      </c>
      <c r="G14801" s="78"/>
      <c r="H14801" t="s">
        <v>7860</v>
      </c>
      <c r="K14801" s="434"/>
    </row>
    <row r="14802" spans="1:11" ht="12.75" hidden="1" customHeight="1" outlineLevel="1" x14ac:dyDescent="0.25">
      <c r="A14802" s="2380">
        <v>0.03</v>
      </c>
      <c r="B14802" s="1921" t="s">
        <v>4268</v>
      </c>
      <c r="C14802" s="2108">
        <v>14.247999999999999</v>
      </c>
      <c r="D14802" s="3280">
        <v>26.29</v>
      </c>
      <c r="E14802" s="3281">
        <v>0.84517125210555877</v>
      </c>
      <c r="F14802" s="3282">
        <v>2.5355137563166763E-2</v>
      </c>
      <c r="G14802" s="78"/>
      <c r="H14802" t="s">
        <v>8442</v>
      </c>
      <c r="K14802" s="434"/>
    </row>
    <row r="14803" spans="1:11" ht="12.75" hidden="1" customHeight="1" outlineLevel="1" x14ac:dyDescent="0.25">
      <c r="A14803" s="2380">
        <v>0.02</v>
      </c>
      <c r="B14803" s="1921" t="s">
        <v>3799</v>
      </c>
      <c r="C14803" s="2108">
        <v>1290.7017680068313</v>
      </c>
      <c r="D14803" s="3280">
        <v>1403.6</v>
      </c>
      <c r="E14803" s="3281">
        <v>8.7470424842999828E-2</v>
      </c>
      <c r="F14803" s="3282">
        <v>1.7494084968599965E-3</v>
      </c>
      <c r="G14803" s="78"/>
      <c r="H14803" t="s">
        <v>4128</v>
      </c>
      <c r="K14803" s="434"/>
    </row>
    <row r="14804" spans="1:11" ht="12.75" hidden="1" customHeight="1" outlineLevel="1" x14ac:dyDescent="0.25">
      <c r="A14804" s="2380">
        <v>0.03</v>
      </c>
      <c r="B14804" s="1921" t="s">
        <v>10371</v>
      </c>
      <c r="C14804" s="2108">
        <v>35.463984122991825</v>
      </c>
      <c r="D14804" s="3280">
        <v>33.479999999999997</v>
      </c>
      <c r="E14804" s="3281">
        <v>-5.5943633296000161E-2</v>
      </c>
      <c r="F14804" s="3282">
        <v>-1.6783089988800049E-3</v>
      </c>
      <c r="G14804" s="78"/>
      <c r="H14804" t="s">
        <v>10370</v>
      </c>
      <c r="K14804" s="434"/>
    </row>
    <row r="14805" spans="1:11" ht="12.75" hidden="1" customHeight="1" outlineLevel="1" x14ac:dyDescent="0.25">
      <c r="A14805" s="2380">
        <v>0.08</v>
      </c>
      <c r="B14805" s="1921" t="s">
        <v>1771</v>
      </c>
      <c r="C14805" s="2108">
        <v>525.88</v>
      </c>
      <c r="D14805" s="3280">
        <v>390.05</v>
      </c>
      <c r="E14805" s="3281">
        <v>-0.25829086483608421</v>
      </c>
      <c r="F14805" s="3282">
        <v>-2.0663269186886737E-2</v>
      </c>
      <c r="G14805" s="78"/>
      <c r="H14805" t="s">
        <v>4329</v>
      </c>
      <c r="K14805" s="434"/>
    </row>
    <row r="14806" spans="1:11" ht="12.75" hidden="1" customHeight="1" outlineLevel="1" x14ac:dyDescent="0.25">
      <c r="A14806" s="2380">
        <v>0.02</v>
      </c>
      <c r="B14806" s="1921" t="s">
        <v>1343</v>
      </c>
      <c r="C14806" s="2519">
        <v>3451.8</v>
      </c>
      <c r="D14806" s="3280">
        <v>1558.5</v>
      </c>
      <c r="E14806" s="3281">
        <v>-0.54849643664175218</v>
      </c>
      <c r="F14806" s="3282">
        <v>-1.0969928732835045E-2</v>
      </c>
      <c r="G14806" s="78"/>
      <c r="H14806" t="s">
        <v>7747</v>
      </c>
      <c r="K14806" s="434"/>
    </row>
    <row r="14807" spans="1:11" ht="12.75" hidden="1" customHeight="1" outlineLevel="1" x14ac:dyDescent="0.25">
      <c r="A14807" s="2380">
        <v>0.03</v>
      </c>
      <c r="B14807" s="1921" t="s">
        <v>2786</v>
      </c>
      <c r="C14807" s="2108">
        <v>917.93448266312703</v>
      </c>
      <c r="D14807" s="3280">
        <v>884.6</v>
      </c>
      <c r="E14807" s="3281">
        <v>-3.6314664382600004E-2</v>
      </c>
      <c r="F14807" s="3282">
        <v>-1.089439931478E-3</v>
      </c>
      <c r="G14807" s="78"/>
      <c r="H14807" t="s">
        <v>4195</v>
      </c>
      <c r="K14807" s="434"/>
    </row>
    <row r="14808" spans="1:11" ht="12.75" hidden="1" customHeight="1" outlineLevel="1" x14ac:dyDescent="0.25">
      <c r="A14808" s="2380">
        <v>0.02</v>
      </c>
      <c r="B14808" s="1921" t="s">
        <v>7142</v>
      </c>
      <c r="C14808" s="2108">
        <v>29.51</v>
      </c>
      <c r="D14808" s="3280">
        <v>17.14</v>
      </c>
      <c r="E14808" s="3281">
        <v>-0.41917993900372752</v>
      </c>
      <c r="F14808" s="3282">
        <v>-8.3835987800745509E-3</v>
      </c>
      <c r="G14808" s="78"/>
      <c r="H14808" t="s">
        <v>7143</v>
      </c>
      <c r="K14808" s="434"/>
    </row>
    <row r="14809" spans="1:11" ht="12.75" hidden="1" customHeight="1" outlineLevel="1" x14ac:dyDescent="0.25">
      <c r="A14809" s="2380">
        <v>0.02</v>
      </c>
      <c r="B14809" s="1921" t="s">
        <v>54</v>
      </c>
      <c r="C14809" s="2108">
        <v>12.308999999999999</v>
      </c>
      <c r="D14809" s="3280">
        <v>11.298</v>
      </c>
      <c r="E14809" s="3281">
        <v>-8.2135023153789843E-2</v>
      </c>
      <c r="F14809" s="3282">
        <v>-1.6427004630757969E-3</v>
      </c>
      <c r="G14809" s="78"/>
      <c r="H14809" t="s">
        <v>6741</v>
      </c>
      <c r="K14809" s="434"/>
    </row>
    <row r="14810" spans="1:11" ht="12.75" hidden="1" customHeight="1" outlineLevel="1" x14ac:dyDescent="0.25">
      <c r="A14810" s="2380">
        <v>0.03</v>
      </c>
      <c r="B14810" s="1921" t="s">
        <v>5205</v>
      </c>
      <c r="C14810" s="2108">
        <v>1791.2</v>
      </c>
      <c r="D14810" s="3280">
        <v>1655</v>
      </c>
      <c r="E14810" s="3281">
        <v>-7.6038410004466317E-2</v>
      </c>
      <c r="F14810" s="3282">
        <v>-2.2811523001339895E-3</v>
      </c>
      <c r="G14810" s="78"/>
      <c r="H14810" t="s">
        <v>5199</v>
      </c>
      <c r="K14810" s="434"/>
    </row>
    <row r="14811" spans="1:11" ht="12.75" hidden="1" customHeight="1" outlineLevel="1" x14ac:dyDescent="0.25">
      <c r="A14811" s="2380">
        <v>0.03</v>
      </c>
      <c r="B14811" s="1921" t="s">
        <v>6270</v>
      </c>
      <c r="C14811" s="2108">
        <v>42.967242549123149</v>
      </c>
      <c r="D14811" s="3280">
        <v>42.91</v>
      </c>
      <c r="E14811" s="3281">
        <v>-1.3322369723333116E-3</v>
      </c>
      <c r="F14811" s="3282">
        <v>-3.9967109169999347E-5</v>
      </c>
      <c r="G14811" s="78"/>
      <c r="H14811" t="s">
        <v>8166</v>
      </c>
      <c r="K14811" s="434"/>
    </row>
    <row r="14812" spans="1:11" ht="12.75" hidden="1" customHeight="1" outlineLevel="1" x14ac:dyDescent="0.25">
      <c r="A14812" s="2380">
        <v>0.03</v>
      </c>
      <c r="B14812" s="1921" t="s">
        <v>6164</v>
      </c>
      <c r="C14812" s="2108">
        <v>3.7439148570025109</v>
      </c>
      <c r="D14812" s="3280">
        <v>4.7960000000000003</v>
      </c>
      <c r="E14812" s="3281">
        <v>0.28101203771493344</v>
      </c>
      <c r="F14812" s="3282">
        <v>8.4303611314480026E-3</v>
      </c>
      <c r="G14812" s="78"/>
      <c r="H14812" t="s">
        <v>6114</v>
      </c>
      <c r="K14812" s="434"/>
    </row>
    <row r="14813" spans="1:11" ht="12.75" hidden="1" customHeight="1" outlineLevel="1" x14ac:dyDescent="0.25">
      <c r="A14813" s="2380">
        <v>0.03</v>
      </c>
      <c r="B14813" s="1921" t="s">
        <v>3427</v>
      </c>
      <c r="C14813" s="2108">
        <v>45.362000000000002</v>
      </c>
      <c r="D14813" s="3280">
        <v>61.97</v>
      </c>
      <c r="E14813" s="3281">
        <v>0.36612142321767105</v>
      </c>
      <c r="F14813" s="3282">
        <v>1.0983642696530131E-2</v>
      </c>
      <c r="G14813" s="78"/>
      <c r="H14813" t="s">
        <v>2800</v>
      </c>
      <c r="K14813" s="434"/>
    </row>
    <row r="14814" spans="1:11" ht="12.75" hidden="1" customHeight="1" outlineLevel="1" x14ac:dyDescent="0.25">
      <c r="A14814" s="2380">
        <v>0.03</v>
      </c>
      <c r="B14814" s="1921" t="s">
        <v>1857</v>
      </c>
      <c r="C14814" s="2108">
        <v>1548.6</v>
      </c>
      <c r="D14814" s="3280">
        <v>1571</v>
      </c>
      <c r="E14814" s="3281">
        <v>1.4464677773472934E-2</v>
      </c>
      <c r="F14814" s="3282">
        <v>4.3394033320418799E-4</v>
      </c>
      <c r="G14814" s="78"/>
      <c r="H14814" t="s">
        <v>3559</v>
      </c>
      <c r="K14814" s="434"/>
    </row>
    <row r="14815" spans="1:11" ht="12.75" hidden="1" customHeight="1" outlineLevel="1" x14ac:dyDescent="0.25">
      <c r="A14815" s="2380">
        <v>0.03</v>
      </c>
      <c r="B14815" s="1921" t="s">
        <v>1724</v>
      </c>
      <c r="C14815" s="2108">
        <v>194.24</v>
      </c>
      <c r="D14815" s="3280">
        <v>177.3</v>
      </c>
      <c r="E14815" s="3281">
        <v>-8.7211696869851751E-2</v>
      </c>
      <c r="F14815" s="3282">
        <v>-2.6163509060955522E-3</v>
      </c>
      <c r="G14815" s="78"/>
      <c r="H14815" t="s">
        <v>1725</v>
      </c>
      <c r="K14815" s="434"/>
    </row>
    <row r="14816" spans="1:11" ht="12.75" hidden="1" customHeight="1" outlineLevel="1" x14ac:dyDescent="0.25">
      <c r="A14816" s="2380">
        <v>0.05</v>
      </c>
      <c r="B14816" s="1921" t="s">
        <v>6118</v>
      </c>
      <c r="C14816" s="2108">
        <v>86.1</v>
      </c>
      <c r="D14816" s="3280">
        <v>80.14</v>
      </c>
      <c r="E14816" s="3281">
        <v>-6.922183507549351E-2</v>
      </c>
      <c r="F14816" s="3282">
        <v>-3.4610917537746758E-3</v>
      </c>
      <c r="G14816" s="78"/>
      <c r="H14816" t="s">
        <v>8893</v>
      </c>
      <c r="K14816" s="434"/>
    </row>
    <row r="14817" spans="1:11" ht="12.75" hidden="1" customHeight="1" outlineLevel="1" x14ac:dyDescent="0.25">
      <c r="A14817" s="2380">
        <v>0.03</v>
      </c>
      <c r="B14817" s="1921" t="s">
        <v>1239</v>
      </c>
      <c r="C14817" s="2108">
        <v>489.18</v>
      </c>
      <c r="D14817" s="3280">
        <v>537.4</v>
      </c>
      <c r="E14817" s="3281">
        <v>9.8573122368044386E-2</v>
      </c>
      <c r="F14817" s="3282">
        <v>2.9571936710413313E-3</v>
      </c>
      <c r="G14817" s="78"/>
      <c r="H14817" t="s">
        <v>8891</v>
      </c>
      <c r="K14817" s="434"/>
    </row>
    <row r="14818" spans="1:11" ht="12.75" hidden="1" customHeight="1" outlineLevel="1" x14ac:dyDescent="0.25">
      <c r="A14818" s="2380">
        <v>0.03</v>
      </c>
      <c r="B14818" s="1921" t="s">
        <v>6945</v>
      </c>
      <c r="C14818" s="2108">
        <v>72.019785102515883</v>
      </c>
      <c r="D14818" s="3280">
        <v>129.85</v>
      </c>
      <c r="E14818" s="3281">
        <v>0.80297677666166645</v>
      </c>
      <c r="F14818" s="3282">
        <v>2.4089303299849991E-2</v>
      </c>
      <c r="G14818" s="78"/>
      <c r="H14818" t="s">
        <v>6943</v>
      </c>
      <c r="K14818" s="434"/>
    </row>
    <row r="14819" spans="1:11" ht="12.75" hidden="1" customHeight="1" outlineLevel="1" x14ac:dyDescent="0.25">
      <c r="A14819" s="2380">
        <v>0.08</v>
      </c>
      <c r="B14819" s="1921" t="s">
        <v>434</v>
      </c>
      <c r="C14819" s="2108">
        <v>44.031999999999996</v>
      </c>
      <c r="D14819" s="3280">
        <v>36.125</v>
      </c>
      <c r="E14819" s="3281">
        <v>-0.17957394622093015</v>
      </c>
      <c r="F14819" s="3282">
        <v>-1.4365915697674411E-2</v>
      </c>
      <c r="G14819" s="78"/>
      <c r="H14819" t="s">
        <v>7745</v>
      </c>
      <c r="K14819" s="434"/>
    </row>
    <row r="14820" spans="1:11" ht="12.75" hidden="1" customHeight="1" outlineLevel="1" x14ac:dyDescent="0.25">
      <c r="A14820" s="2380">
        <v>0.03</v>
      </c>
      <c r="B14820" s="1921" t="s">
        <v>3921</v>
      </c>
      <c r="C14820" s="2108">
        <v>4.3487999999999998</v>
      </c>
      <c r="D14820" s="3280">
        <v>6.1360000000000001</v>
      </c>
      <c r="E14820" s="3281">
        <v>0.41096394407652692</v>
      </c>
      <c r="F14820" s="3282">
        <v>1.2328918322295808E-2</v>
      </c>
      <c r="G14820" s="78"/>
      <c r="H14820" t="s">
        <v>3922</v>
      </c>
      <c r="K14820" s="434"/>
    </row>
    <row r="14821" spans="1:11" ht="12.75" hidden="1" customHeight="1" outlineLevel="1" x14ac:dyDescent="0.25">
      <c r="A14821" s="2380">
        <v>0.02</v>
      </c>
      <c r="B14821" s="1921" t="s">
        <v>9301</v>
      </c>
      <c r="C14821" s="2108">
        <v>234.06</v>
      </c>
      <c r="D14821" s="3280">
        <v>63.62</v>
      </c>
      <c r="E14821" s="3281">
        <v>-0.72818935315731004</v>
      </c>
      <c r="F14821" s="3282">
        <v>-1.4563787063146202E-2</v>
      </c>
      <c r="G14821" s="78"/>
      <c r="H14821" t="s">
        <v>9302</v>
      </c>
      <c r="K14821" s="434"/>
    </row>
    <row r="14822" spans="1:11" ht="12.75" hidden="1" customHeight="1" outlineLevel="1" x14ac:dyDescent="0.25">
      <c r="A14822" s="2380">
        <v>0.03</v>
      </c>
      <c r="B14822" s="1921" t="s">
        <v>3169</v>
      </c>
      <c r="C14822" s="2108">
        <v>6.3117548130000003</v>
      </c>
      <c r="D14822" s="3280">
        <v>10.904999999999999</v>
      </c>
      <c r="E14822" s="3281">
        <v>0.72772870985728488</v>
      </c>
      <c r="F14822" s="3282">
        <v>2.1831861295718544E-2</v>
      </c>
      <c r="G14822" s="78"/>
      <c r="H14822" t="s">
        <v>657</v>
      </c>
      <c r="K14822" s="434"/>
    </row>
    <row r="14823" spans="1:11" ht="12.75" hidden="1" customHeight="1" outlineLevel="1" x14ac:dyDescent="0.25">
      <c r="A14823" s="2380">
        <v>0.04</v>
      </c>
      <c r="B14823" s="2109" t="s">
        <v>4550</v>
      </c>
      <c r="C14823" s="2108">
        <v>255.22</v>
      </c>
      <c r="D14823" s="3283">
        <v>383.6</v>
      </c>
      <c r="E14823" s="3281">
        <v>0.50301700493691737</v>
      </c>
      <c r="F14823" s="3282">
        <v>2.0120680197476697E-2</v>
      </c>
      <c r="G14823" s="78"/>
      <c r="H14823" t="s">
        <v>8889</v>
      </c>
      <c r="K14823" s="434"/>
    </row>
    <row r="14824" spans="1:11" ht="12.75" hidden="1" customHeight="1" outlineLevel="1" x14ac:dyDescent="0.25">
      <c r="A14824" s="2181" t="s">
        <v>2734</v>
      </c>
      <c r="B14824" s="2103"/>
      <c r="C14824" s="3258"/>
      <c r="D14824" s="3259"/>
      <c r="E14824" s="3284"/>
      <c r="F14824" s="3277">
        <v>0.1130726134415557</v>
      </c>
      <c r="G14824" s="78"/>
    </row>
    <row r="14825" spans="1:11" ht="12.75" hidden="1" customHeight="1" outlineLevel="1" x14ac:dyDescent="0.25">
      <c r="A14825" s="1956" t="s">
        <v>7577</v>
      </c>
      <c r="B14825" s="2185">
        <v>43922</v>
      </c>
      <c r="C14825" s="3261">
        <v>100</v>
      </c>
      <c r="D14825" s="3261">
        <v>96.597700000000003</v>
      </c>
      <c r="E14825" s="3262">
        <v>-3.4022999999999914E-2</v>
      </c>
      <c r="F14825" s="3285"/>
      <c r="G14825" s="78"/>
    </row>
    <row r="14826" spans="1:11" ht="12.75" hidden="1" customHeight="1" outlineLevel="1" x14ac:dyDescent="0.25">
      <c r="A14826" s="1956" t="s">
        <v>7578</v>
      </c>
      <c r="B14826" s="2185">
        <v>43952</v>
      </c>
      <c r="C14826" s="3261">
        <v>100</v>
      </c>
      <c r="D14826" s="3264">
        <v>96.340699999999998</v>
      </c>
      <c r="E14826" s="3262">
        <v>-3.6592999999999987E-2</v>
      </c>
      <c r="F14826" s="3285"/>
      <c r="G14826" s="78"/>
    </row>
    <row r="14827" spans="1:11" ht="12.75" hidden="1" customHeight="1" outlineLevel="1" x14ac:dyDescent="0.25">
      <c r="A14827" s="1956" t="s">
        <v>7579</v>
      </c>
      <c r="B14827" s="2185">
        <v>43983</v>
      </c>
      <c r="C14827" s="3261">
        <v>100</v>
      </c>
      <c r="D14827" s="3264">
        <v>98.489800000000002</v>
      </c>
      <c r="E14827" s="3262">
        <v>-1.5101999999999949E-2</v>
      </c>
      <c r="F14827" s="3285"/>
      <c r="G14827" s="78"/>
    </row>
    <row r="14828" spans="1:11" ht="12.75" hidden="1" customHeight="1" outlineLevel="1" x14ac:dyDescent="0.25">
      <c r="A14828" s="1956" t="s">
        <v>7580</v>
      </c>
      <c r="B14828" s="2185">
        <v>44013</v>
      </c>
      <c r="C14828" s="3261">
        <v>100</v>
      </c>
      <c r="D14828" s="3264">
        <v>96.280900000000003</v>
      </c>
      <c r="E14828" s="3262">
        <v>-3.7190999999999974E-2</v>
      </c>
      <c r="F14828" s="3285"/>
      <c r="G14828" s="78"/>
    </row>
    <row r="14829" spans="1:11" ht="12.75" hidden="1" customHeight="1" outlineLevel="1" x14ac:dyDescent="0.25">
      <c r="A14829" s="1956" t="s">
        <v>7581</v>
      </c>
      <c r="B14829" s="2185">
        <v>44044</v>
      </c>
      <c r="C14829" s="3261">
        <v>100</v>
      </c>
      <c r="D14829" s="3264">
        <v>95.524799999999999</v>
      </c>
      <c r="E14829" s="3262">
        <v>-4.4752000000000014E-2</v>
      </c>
      <c r="F14829" s="3285"/>
      <c r="G14829" s="78"/>
    </row>
    <row r="14830" spans="1:11" ht="12.75" hidden="1" customHeight="1" outlineLevel="1" x14ac:dyDescent="0.25">
      <c r="A14830" s="1956" t="s">
        <v>7582</v>
      </c>
      <c r="B14830" s="2185">
        <v>44075</v>
      </c>
      <c r="C14830" s="3261">
        <v>100</v>
      </c>
      <c r="D14830" s="3264">
        <v>94.349299999999999</v>
      </c>
      <c r="E14830" s="3262">
        <v>-5.6506999999999974E-2</v>
      </c>
      <c r="F14830" s="3285"/>
      <c r="G14830" s="78"/>
    </row>
    <row r="14831" spans="1:11" ht="12.75" hidden="1" customHeight="1" outlineLevel="1" x14ac:dyDescent="0.25">
      <c r="A14831" s="1956" t="s">
        <v>7583</v>
      </c>
      <c r="B14831" s="2185">
        <v>44105</v>
      </c>
      <c r="C14831" s="3261">
        <v>100</v>
      </c>
      <c r="D14831" s="3264">
        <v>89.683499999999995</v>
      </c>
      <c r="E14831" s="3262">
        <v>-0.10316500000000006</v>
      </c>
      <c r="F14831" s="3285"/>
      <c r="G14831" s="78"/>
    </row>
    <row r="14832" spans="1:11" ht="12.75" hidden="1" customHeight="1" outlineLevel="1" x14ac:dyDescent="0.25">
      <c r="A14832" s="1956" t="s">
        <v>7584</v>
      </c>
      <c r="B14832" s="2185">
        <v>44136</v>
      </c>
      <c r="C14832" s="3261">
        <v>100</v>
      </c>
      <c r="D14832" s="3264">
        <v>100.4307</v>
      </c>
      <c r="E14832" s="3262">
        <v>4.3070000000000608E-3</v>
      </c>
      <c r="F14832" s="3285"/>
      <c r="G14832" s="78"/>
    </row>
    <row r="14833" spans="1:8" ht="12.75" hidden="1" customHeight="1" outlineLevel="1" x14ac:dyDescent="0.25">
      <c r="A14833" s="1956" t="s">
        <v>7585</v>
      </c>
      <c r="B14833" s="2185">
        <v>44166</v>
      </c>
      <c r="C14833" s="3261">
        <v>100</v>
      </c>
      <c r="D14833" s="3264">
        <v>100.71639999999999</v>
      </c>
      <c r="E14833" s="3262">
        <v>7.1639999999999482E-3</v>
      </c>
      <c r="F14833" s="3285"/>
      <c r="G14833" s="78"/>
    </row>
    <row r="14834" spans="1:8" ht="12.75" hidden="1" customHeight="1" outlineLevel="1" x14ac:dyDescent="0.25">
      <c r="A14834" s="1956" t="s">
        <v>7586</v>
      </c>
      <c r="B14834" s="2185">
        <v>44197</v>
      </c>
      <c r="C14834" s="3261">
        <v>100</v>
      </c>
      <c r="D14834" s="3264">
        <v>100.7333</v>
      </c>
      <c r="E14834" s="3262">
        <v>7.3330000000000339E-3</v>
      </c>
      <c r="F14834" s="3285"/>
      <c r="G14834" s="78"/>
    </row>
    <row r="14835" spans="1:8" ht="12.75" hidden="1" customHeight="1" outlineLevel="1" x14ac:dyDescent="0.25">
      <c r="A14835" s="1956" t="s">
        <v>7587</v>
      </c>
      <c r="B14835" s="2185">
        <v>44228</v>
      </c>
      <c r="C14835" s="3261">
        <v>100</v>
      </c>
      <c r="D14835" s="3264">
        <v>101.8228</v>
      </c>
      <c r="E14835" s="3262">
        <v>1.8227999999999911E-2</v>
      </c>
      <c r="F14835" s="3285"/>
      <c r="G14835" s="78"/>
    </row>
    <row r="14836" spans="1:8" ht="12.75" hidden="1" customHeight="1" outlineLevel="1" x14ac:dyDescent="0.25">
      <c r="A14836" s="1956" t="s">
        <v>7588</v>
      </c>
      <c r="B14836" s="2185">
        <v>44256</v>
      </c>
      <c r="C14836" s="3261">
        <v>100</v>
      </c>
      <c r="D14836" s="3264">
        <v>108.7473</v>
      </c>
      <c r="E14836" s="3262">
        <v>8.7472999999999912E-2</v>
      </c>
      <c r="F14836" s="3285"/>
      <c r="G14836" s="78"/>
    </row>
    <row r="14837" spans="1:8" ht="12.75" hidden="1" customHeight="1" outlineLevel="1" x14ac:dyDescent="0.25">
      <c r="A14837" s="1956" t="s">
        <v>7589</v>
      </c>
      <c r="B14837" s="2185">
        <v>44287</v>
      </c>
      <c r="C14837" s="3261">
        <v>100</v>
      </c>
      <c r="D14837" s="3264">
        <v>106.53959999999999</v>
      </c>
      <c r="E14837" s="3262">
        <v>6.539600000000001E-2</v>
      </c>
      <c r="F14837" s="3285"/>
      <c r="G14837" s="78"/>
    </row>
    <row r="14838" spans="1:8" ht="12.75" hidden="1" customHeight="1" outlineLevel="1" x14ac:dyDescent="0.25">
      <c r="A14838" s="1956" t="s">
        <v>7590</v>
      </c>
      <c r="B14838" s="2185">
        <v>44317</v>
      </c>
      <c r="C14838" s="3261">
        <v>100</v>
      </c>
      <c r="D14838" s="3264">
        <v>107.76730000000001</v>
      </c>
      <c r="E14838" s="3262">
        <v>7.7673000000000103E-2</v>
      </c>
      <c r="F14838" s="3285"/>
      <c r="G14838" s="78"/>
    </row>
    <row r="14839" spans="1:8" ht="12.75" hidden="1" customHeight="1" outlineLevel="1" x14ac:dyDescent="0.25">
      <c r="A14839" s="1956" t="s">
        <v>7591</v>
      </c>
      <c r="B14839" s="2185">
        <v>44348</v>
      </c>
      <c r="C14839" s="3261">
        <v>100</v>
      </c>
      <c r="D14839" s="3264">
        <v>107.7063</v>
      </c>
      <c r="E14839" s="3262">
        <v>7.7062999999999882E-2</v>
      </c>
      <c r="F14839" s="3285"/>
      <c r="G14839" s="78"/>
    </row>
    <row r="14840" spans="1:8" ht="12.75" hidden="1" customHeight="1" outlineLevel="1" x14ac:dyDescent="0.25">
      <c r="A14840" s="1956" t="s">
        <v>7592</v>
      </c>
      <c r="B14840" s="2185">
        <v>44378</v>
      </c>
      <c r="C14840" s="3261">
        <v>100</v>
      </c>
      <c r="D14840" s="3264">
        <v>109.89749999999999</v>
      </c>
      <c r="E14840" s="3262">
        <v>9.8975000000000035E-2</v>
      </c>
      <c r="F14840" s="3285"/>
      <c r="G14840" s="78"/>
    </row>
    <row r="14841" spans="1:8" ht="12.75" hidden="1" customHeight="1" outlineLevel="1" x14ac:dyDescent="0.25">
      <c r="A14841" s="1956" t="s">
        <v>7593</v>
      </c>
      <c r="B14841" s="2185">
        <v>44409</v>
      </c>
      <c r="C14841" s="3261">
        <v>100</v>
      </c>
      <c r="D14841" s="3264">
        <v>112.5652</v>
      </c>
      <c r="E14841" s="3262">
        <v>0.1256520000000001</v>
      </c>
      <c r="F14841" s="3285"/>
      <c r="G14841" s="78"/>
    </row>
    <row r="14842" spans="1:8" ht="12.75" hidden="1" customHeight="1" outlineLevel="1" x14ac:dyDescent="0.25">
      <c r="A14842" s="1956" t="s">
        <v>7594</v>
      </c>
      <c r="B14842" s="2185">
        <v>44440</v>
      </c>
      <c r="C14842" s="3261">
        <v>100</v>
      </c>
      <c r="D14842" s="3264">
        <v>111.14790000000001</v>
      </c>
      <c r="E14842" s="3262">
        <v>0.11147900000000011</v>
      </c>
      <c r="F14842" s="3285"/>
      <c r="G14842" s="78"/>
    </row>
    <row r="14843" spans="1:8" ht="12.75" hidden="1" customHeight="1" outlineLevel="1" x14ac:dyDescent="0.25">
      <c r="A14843" s="2189" t="s">
        <v>2734</v>
      </c>
      <c r="B14843" s="2190"/>
      <c r="C14843" s="3264"/>
      <c r="D14843" s="2191" t="s">
        <v>2465</v>
      </c>
      <c r="E14843" s="1987">
        <v>1.9633888888888902E-2</v>
      </c>
      <c r="F14843" s="2192">
        <v>1.9633888888888902E-2</v>
      </c>
      <c r="G14843" s="78"/>
    </row>
    <row r="14844" spans="1:8" collapsed="1" x14ac:dyDescent="0.25">
      <c r="A14844" s="3801" t="s">
        <v>7595</v>
      </c>
      <c r="B14844" s="3802"/>
      <c r="C14844" s="3802"/>
      <c r="D14844" s="3802"/>
      <c r="E14844" s="1906"/>
      <c r="F14844" s="1907">
        <v>1.7600000000000001E-2</v>
      </c>
      <c r="G14844" s="78"/>
    </row>
    <row r="14846" spans="1:8" hidden="1" outlineLevel="1" x14ac:dyDescent="0.25">
      <c r="A14846" s="3237" t="s">
        <v>113</v>
      </c>
      <c r="B14846" s="3237" t="s">
        <v>114</v>
      </c>
      <c r="C14846" s="3237" t="s">
        <v>112</v>
      </c>
      <c r="D14846" s="3237" t="s">
        <v>116</v>
      </c>
      <c r="E14846" s="3237" t="s">
        <v>117</v>
      </c>
      <c r="F14846" s="3276" t="s">
        <v>121</v>
      </c>
      <c r="G14846" s="78"/>
    </row>
    <row r="14847" spans="1:8" hidden="1" outlineLevel="1" x14ac:dyDescent="0.25">
      <c r="A14847" s="3243">
        <v>5</v>
      </c>
      <c r="B14847" s="3243"/>
      <c r="C14847" s="3244"/>
      <c r="D14847" s="1900" t="s">
        <v>3702</v>
      </c>
      <c r="E14847" s="3245">
        <v>44316</v>
      </c>
      <c r="F14847" s="3386"/>
      <c r="G14847" s="78"/>
    </row>
    <row r="14848" spans="1:8" hidden="1" outlineLevel="1" x14ac:dyDescent="0.25">
      <c r="A14848" s="3237" t="s">
        <v>4156</v>
      </c>
      <c r="B14848" s="3237" t="s">
        <v>4153</v>
      </c>
      <c r="C14848" s="3247" t="s">
        <v>112</v>
      </c>
      <c r="D14848" s="3237" t="s">
        <v>4155</v>
      </c>
      <c r="E14848" s="3237" t="s">
        <v>4154</v>
      </c>
      <c r="F14848" s="3276" t="s">
        <v>734</v>
      </c>
      <c r="G14848" s="78"/>
      <c r="H14848" t="s">
        <v>10218</v>
      </c>
    </row>
    <row r="14849" spans="1:12" hidden="1" outlineLevel="1" x14ac:dyDescent="0.25">
      <c r="A14849" s="1920">
        <v>0.03</v>
      </c>
      <c r="B14849" s="1921" t="s">
        <v>359</v>
      </c>
      <c r="C14849" s="2095">
        <v>161.92000000000002</v>
      </c>
      <c r="D14849" s="3280">
        <v>216.4</v>
      </c>
      <c r="E14849" s="3260">
        <v>0.33646245059288526</v>
      </c>
      <c r="F14849" s="3282">
        <v>0.08</v>
      </c>
      <c r="G14849" s="78"/>
      <c r="H14849" t="s">
        <v>360</v>
      </c>
      <c r="I14849" s="406"/>
      <c r="J14849" s="37"/>
      <c r="K14849" s="37"/>
      <c r="L14849" s="37"/>
    </row>
    <row r="14850" spans="1:12" hidden="1" outlineLevel="1" x14ac:dyDescent="0.25">
      <c r="A14850" s="1920">
        <v>0.03</v>
      </c>
      <c r="B14850" s="1921" t="s">
        <v>3998</v>
      </c>
      <c r="C14850" s="2095">
        <v>33.706000000000003</v>
      </c>
      <c r="D14850" s="3280">
        <v>31.41</v>
      </c>
      <c r="E14850" s="3260">
        <v>-6.8118435886785789E-2</v>
      </c>
      <c r="F14850" s="3282">
        <v>-6.8118435886785789E-2</v>
      </c>
      <c r="G14850" s="78"/>
      <c r="H14850" t="s">
        <v>4000</v>
      </c>
      <c r="I14850" s="406"/>
      <c r="J14850" s="37"/>
      <c r="K14850" s="37"/>
      <c r="L14850" s="37"/>
    </row>
    <row r="14851" spans="1:12" hidden="1" outlineLevel="1" x14ac:dyDescent="0.25">
      <c r="A14851" s="1920">
        <v>0.02</v>
      </c>
      <c r="B14851" s="1921" t="s">
        <v>218</v>
      </c>
      <c r="C14851" s="2095">
        <v>25.294999999999998</v>
      </c>
      <c r="D14851" s="3280">
        <v>23.524999999999999</v>
      </c>
      <c r="E14851" s="3260">
        <v>-6.9974303221980616E-2</v>
      </c>
      <c r="F14851" s="3282">
        <v>-6.9974303221980616E-2</v>
      </c>
      <c r="G14851" s="78"/>
      <c r="H14851" t="s">
        <v>656</v>
      </c>
      <c r="I14851" s="406"/>
      <c r="J14851" s="37"/>
      <c r="K14851" s="37"/>
      <c r="L14851" s="37"/>
    </row>
    <row r="14852" spans="1:12" hidden="1" outlineLevel="1" x14ac:dyDescent="0.25">
      <c r="A14852" s="1920">
        <v>0.02</v>
      </c>
      <c r="B14852" s="1921" t="s">
        <v>807</v>
      </c>
      <c r="C14852" s="2095">
        <v>55.498000000000005</v>
      </c>
      <c r="D14852" s="3280">
        <v>58.1</v>
      </c>
      <c r="E14852" s="3260">
        <v>4.6884572417023929E-2</v>
      </c>
      <c r="F14852" s="3282">
        <v>0.08</v>
      </c>
      <c r="G14852" s="78"/>
      <c r="H14852" t="s">
        <v>808</v>
      </c>
      <c r="I14852" s="406"/>
      <c r="J14852" s="37"/>
      <c r="K14852" s="37"/>
      <c r="L14852" s="37"/>
    </row>
    <row r="14853" spans="1:12" hidden="1" outlineLevel="1" x14ac:dyDescent="0.25">
      <c r="A14853" s="1920">
        <v>0.03</v>
      </c>
      <c r="B14853" s="1921" t="s">
        <v>5246</v>
      </c>
      <c r="C14853" s="2095">
        <v>26.189999999999998</v>
      </c>
      <c r="D14853" s="3280">
        <v>12.83</v>
      </c>
      <c r="E14853" s="3260">
        <v>-0.51011836578846881</v>
      </c>
      <c r="F14853" s="3282">
        <v>-0.51011836578846881</v>
      </c>
      <c r="G14853" s="78"/>
      <c r="H14853" t="s">
        <v>10493</v>
      </c>
      <c r="I14853" s="406"/>
      <c r="J14853" s="37"/>
      <c r="K14853" s="37"/>
      <c r="L14853" s="37"/>
    </row>
    <row r="14854" spans="1:12" hidden="1" outlineLevel="1" x14ac:dyDescent="0.25">
      <c r="A14854" s="1920">
        <v>0.02</v>
      </c>
      <c r="B14854" s="1921" t="s">
        <v>496</v>
      </c>
      <c r="C14854" s="2095">
        <v>12.085699998414116</v>
      </c>
      <c r="D14854" s="3280">
        <v>12.12</v>
      </c>
      <c r="E14854" s="3260">
        <v>2.8380649519998968E-3</v>
      </c>
      <c r="F14854" s="3282">
        <v>0.08</v>
      </c>
      <c r="G14854" s="78"/>
      <c r="H14854" t="s">
        <v>497</v>
      </c>
      <c r="I14854" s="406"/>
      <c r="J14854" s="37"/>
      <c r="K14854" s="37"/>
      <c r="L14854" s="37"/>
    </row>
    <row r="14855" spans="1:12" hidden="1" outlineLevel="1" x14ac:dyDescent="0.25">
      <c r="A14855" s="1920">
        <v>0.08</v>
      </c>
      <c r="B14855" s="1921" t="s">
        <v>6942</v>
      </c>
      <c r="C14855" s="2095">
        <v>34.186</v>
      </c>
      <c r="D14855" s="3280">
        <v>47.19</v>
      </c>
      <c r="E14855" s="3260">
        <v>0.38038963318317442</v>
      </c>
      <c r="F14855" s="3282">
        <v>0.08</v>
      </c>
      <c r="G14855" s="78"/>
      <c r="H14855" t="s">
        <v>7860</v>
      </c>
      <c r="I14855" s="406"/>
      <c r="J14855" s="37"/>
      <c r="K14855" s="37"/>
      <c r="L14855" s="37"/>
    </row>
    <row r="14856" spans="1:12" hidden="1" outlineLevel="1" x14ac:dyDescent="0.25">
      <c r="A14856" s="1920">
        <v>0.03</v>
      </c>
      <c r="B14856" s="1921" t="s">
        <v>4268</v>
      </c>
      <c r="C14856" s="2095">
        <v>13.52</v>
      </c>
      <c r="D14856" s="3280">
        <v>21.85</v>
      </c>
      <c r="E14856" s="3260">
        <v>0.61612426035502965</v>
      </c>
      <c r="F14856" s="3282">
        <v>0.08</v>
      </c>
      <c r="G14856" s="78"/>
      <c r="H14856" t="s">
        <v>8442</v>
      </c>
      <c r="I14856" s="406"/>
      <c r="J14856" s="37"/>
      <c r="K14856" s="37"/>
      <c r="L14856" s="37"/>
    </row>
    <row r="14857" spans="1:12" hidden="1" outlineLevel="1" x14ac:dyDescent="0.25">
      <c r="A14857" s="1920">
        <v>0.02</v>
      </c>
      <c r="B14857" s="1921" t="s">
        <v>3799</v>
      </c>
      <c r="C14857" s="2095">
        <v>1294.2503599475267</v>
      </c>
      <c r="D14857" s="3280">
        <v>1339.6</v>
      </c>
      <c r="E14857" s="3260">
        <v>3.5039310365200027E-2</v>
      </c>
      <c r="F14857" s="3282">
        <v>0.08</v>
      </c>
      <c r="G14857" s="78"/>
      <c r="H14857" t="s">
        <v>4128</v>
      </c>
      <c r="I14857" s="406"/>
      <c r="J14857" s="37"/>
      <c r="K14857" s="37"/>
      <c r="L14857" s="37"/>
    </row>
    <row r="14858" spans="1:12" hidden="1" outlineLevel="1" x14ac:dyDescent="0.25">
      <c r="A14858" s="1920">
        <v>0.03</v>
      </c>
      <c r="B14858" s="1921" t="s">
        <v>10139</v>
      </c>
      <c r="C14858" s="2095">
        <v>32.620019514665714</v>
      </c>
      <c r="D14858" s="3280">
        <v>34.340000000000003</v>
      </c>
      <c r="E14858" s="3260">
        <v>5.2727757706000133E-2</v>
      </c>
      <c r="F14858" s="3282">
        <v>0.08</v>
      </c>
      <c r="G14858" s="78"/>
      <c r="H14858" t="s">
        <v>10140</v>
      </c>
      <c r="I14858" s="406"/>
      <c r="J14858" s="37"/>
      <c r="K14858" s="37"/>
      <c r="L14858" s="37"/>
    </row>
    <row r="14859" spans="1:12" hidden="1" outlineLevel="1" x14ac:dyDescent="0.25">
      <c r="A14859" s="1920">
        <v>0.08</v>
      </c>
      <c r="B14859" s="1921" t="s">
        <v>1771</v>
      </c>
      <c r="C14859" s="2095">
        <v>510.72</v>
      </c>
      <c r="D14859" s="3280">
        <v>452.8</v>
      </c>
      <c r="E14859" s="3260">
        <v>-0.11340852130325818</v>
      </c>
      <c r="F14859" s="3282">
        <v>-0.11340852130325818</v>
      </c>
      <c r="G14859" s="78"/>
      <c r="H14859" t="s">
        <v>4329</v>
      </c>
      <c r="I14859" s="406"/>
      <c r="J14859" s="37"/>
      <c r="K14859" s="37"/>
      <c r="L14859" s="37"/>
    </row>
    <row r="14860" spans="1:12" hidden="1" outlineLevel="1" x14ac:dyDescent="0.25">
      <c r="A14860" s="1920">
        <v>0.02</v>
      </c>
      <c r="B14860" s="1921" t="s">
        <v>6902</v>
      </c>
      <c r="C14860" s="2095">
        <v>263.77999999999997</v>
      </c>
      <c r="D14860" s="3280">
        <v>272.39999999999998</v>
      </c>
      <c r="E14860" s="3260">
        <v>3.2678747441049483E-2</v>
      </c>
      <c r="F14860" s="3282">
        <v>0.08</v>
      </c>
      <c r="G14860" s="78"/>
      <c r="H14860" t="s">
        <v>6899</v>
      </c>
      <c r="I14860" s="406"/>
      <c r="J14860" s="37"/>
      <c r="K14860" s="37"/>
      <c r="L14860" s="37"/>
    </row>
    <row r="14861" spans="1:12" hidden="1" outlineLevel="1" x14ac:dyDescent="0.25">
      <c r="A14861" s="1920">
        <v>0.03</v>
      </c>
      <c r="B14861" s="1921" t="s">
        <v>2786</v>
      </c>
      <c r="C14861" s="2095">
        <v>913.57894566887569</v>
      </c>
      <c r="D14861" s="3280">
        <v>910.6</v>
      </c>
      <c r="E14861" s="3260">
        <v>-3.2607424711332822E-3</v>
      </c>
      <c r="F14861" s="3282">
        <v>-3.2607424711332822E-3</v>
      </c>
      <c r="G14861" s="78"/>
      <c r="H14861" t="s">
        <v>4195</v>
      </c>
      <c r="I14861" s="406"/>
      <c r="J14861" s="37"/>
      <c r="K14861" s="37"/>
      <c r="L14861" s="37"/>
    </row>
    <row r="14862" spans="1:12" hidden="1" outlineLevel="1" x14ac:dyDescent="0.25">
      <c r="A14862" s="1920">
        <v>0.02</v>
      </c>
      <c r="B14862" s="1921" t="s">
        <v>54</v>
      </c>
      <c r="C14862" s="2095">
        <v>10.823000000000002</v>
      </c>
      <c r="D14862" s="3280">
        <v>9.9380000000000006</v>
      </c>
      <c r="E14862" s="3260">
        <v>-8.1770303982260151E-2</v>
      </c>
      <c r="F14862" s="3282">
        <v>-8.1770303982260151E-2</v>
      </c>
      <c r="G14862" s="78"/>
      <c r="H14862" t="s">
        <v>6741</v>
      </c>
      <c r="I14862" s="406"/>
      <c r="J14862" s="37"/>
      <c r="K14862" s="37"/>
      <c r="L14862" s="37"/>
    </row>
    <row r="14863" spans="1:12" hidden="1" outlineLevel="1" x14ac:dyDescent="0.25">
      <c r="A14863" s="1920">
        <v>0.03</v>
      </c>
      <c r="B14863" s="1921" t="s">
        <v>5205</v>
      </c>
      <c r="C14863" s="2095">
        <v>1510.5</v>
      </c>
      <c r="D14863" s="3280">
        <v>1365</v>
      </c>
      <c r="E14863" s="3260">
        <v>-9.6325719960278056E-2</v>
      </c>
      <c r="F14863" s="3282">
        <v>-9.6325719960278056E-2</v>
      </c>
      <c r="G14863" s="78"/>
      <c r="H14863" t="s">
        <v>5199</v>
      </c>
      <c r="I14863" s="406"/>
      <c r="J14863" s="37"/>
      <c r="K14863" s="37"/>
      <c r="L14863" s="37"/>
    </row>
    <row r="14864" spans="1:12" hidden="1" outlineLevel="1" x14ac:dyDescent="0.25">
      <c r="A14864" s="1920">
        <v>0.03</v>
      </c>
      <c r="B14864" s="1921" t="s">
        <v>6270</v>
      </c>
      <c r="C14864" s="2095">
        <v>45.546299994093559</v>
      </c>
      <c r="D14864" s="3280">
        <v>39.51</v>
      </c>
      <c r="E14864" s="3260">
        <v>-0.1325310726640001</v>
      </c>
      <c r="F14864" s="3282">
        <v>-0.1325310726640001</v>
      </c>
      <c r="G14864" s="78"/>
      <c r="H14864" t="s">
        <v>8166</v>
      </c>
      <c r="I14864" s="406"/>
      <c r="J14864" s="37"/>
      <c r="K14864" s="37"/>
      <c r="L14864" s="37"/>
    </row>
    <row r="14865" spans="1:12" hidden="1" outlineLevel="1" x14ac:dyDescent="0.25">
      <c r="A14865" s="1920">
        <v>0.03</v>
      </c>
      <c r="B14865" s="1921" t="s">
        <v>6164</v>
      </c>
      <c r="C14865" s="2095">
        <v>4.0215999975001733</v>
      </c>
      <c r="D14865" s="3280">
        <v>4.68</v>
      </c>
      <c r="E14865" s="3260">
        <v>0.1637159346799999</v>
      </c>
      <c r="F14865" s="3282">
        <v>0.08</v>
      </c>
      <c r="G14865" s="78"/>
      <c r="H14865" t="s">
        <v>6114</v>
      </c>
      <c r="I14865" s="406"/>
      <c r="J14865" s="37"/>
      <c r="K14865" s="37"/>
      <c r="L14865" s="37"/>
    </row>
    <row r="14866" spans="1:12" hidden="1" outlineLevel="1" x14ac:dyDescent="0.25">
      <c r="A14866" s="1920">
        <v>0.03</v>
      </c>
      <c r="B14866" s="1921" t="s">
        <v>3427</v>
      </c>
      <c r="C14866" s="2095">
        <v>44.922000000000004</v>
      </c>
      <c r="D14866" s="3280">
        <v>66.17</v>
      </c>
      <c r="E14866" s="3260">
        <v>0.47299764035439207</v>
      </c>
      <c r="F14866" s="3282">
        <v>0.08</v>
      </c>
      <c r="G14866" s="78"/>
      <c r="H14866" t="s">
        <v>2800</v>
      </c>
      <c r="I14866" s="406"/>
      <c r="J14866" s="37"/>
      <c r="K14866" s="37"/>
      <c r="L14866" s="37"/>
    </row>
    <row r="14867" spans="1:12" hidden="1" outlineLevel="1" x14ac:dyDescent="0.25">
      <c r="A14867" s="1920">
        <v>0.03</v>
      </c>
      <c r="B14867" s="1921" t="s">
        <v>1857</v>
      </c>
      <c r="C14867" s="2095">
        <v>1439.8</v>
      </c>
      <c r="D14867" s="3280">
        <v>1468</v>
      </c>
      <c r="E14867" s="3260">
        <v>1.9586053618558141E-2</v>
      </c>
      <c r="F14867" s="3282">
        <v>0.08</v>
      </c>
      <c r="G14867" s="78"/>
      <c r="H14867" t="s">
        <v>3559</v>
      </c>
      <c r="I14867" s="406"/>
      <c r="J14867" s="37"/>
      <c r="K14867" s="37"/>
      <c r="L14867" s="37"/>
    </row>
    <row r="14868" spans="1:12" hidden="1" outlineLevel="1" x14ac:dyDescent="0.25">
      <c r="A14868" s="1920">
        <v>0.03</v>
      </c>
      <c r="B14868" s="1921" t="s">
        <v>7627</v>
      </c>
      <c r="C14868" s="2095">
        <v>13.128199997928983</v>
      </c>
      <c r="D14868" s="3280">
        <v>10.51</v>
      </c>
      <c r="E14868" s="3260">
        <v>-0.19943328090233337</v>
      </c>
      <c r="F14868" s="3282">
        <v>-0.19943328090233337</v>
      </c>
      <c r="G14868" s="78"/>
      <c r="H14868" t="s">
        <v>10103</v>
      </c>
      <c r="I14868" s="406"/>
      <c r="J14868" s="37"/>
      <c r="K14868" s="37"/>
      <c r="L14868" s="37"/>
    </row>
    <row r="14869" spans="1:12" hidden="1" outlineLevel="1" x14ac:dyDescent="0.25">
      <c r="A14869" s="1920">
        <v>0.03</v>
      </c>
      <c r="B14869" s="1921" t="s">
        <v>1724</v>
      </c>
      <c r="C14869" s="2095">
        <v>183.51999999999998</v>
      </c>
      <c r="D14869" s="3280">
        <v>148.74</v>
      </c>
      <c r="E14869" s="3260">
        <v>-0.1895161290322579</v>
      </c>
      <c r="F14869" s="3282">
        <v>-0.1895161290322579</v>
      </c>
      <c r="G14869" s="78"/>
      <c r="H14869" t="s">
        <v>1725</v>
      </c>
      <c r="I14869" s="406"/>
      <c r="J14869" s="37"/>
      <c r="K14869" s="37"/>
      <c r="L14869" s="37"/>
    </row>
    <row r="14870" spans="1:12" hidden="1" outlineLevel="1" x14ac:dyDescent="0.25">
      <c r="A14870" s="1920">
        <v>0.05</v>
      </c>
      <c r="B14870" s="1921" t="s">
        <v>6118</v>
      </c>
      <c r="C14870" s="2095">
        <v>97.07</v>
      </c>
      <c r="D14870" s="3280">
        <v>84.88</v>
      </c>
      <c r="E14870" s="3260">
        <v>-0.12557947872669206</v>
      </c>
      <c r="F14870" s="3282">
        <v>-0.12557947872669206</v>
      </c>
      <c r="G14870" s="78"/>
      <c r="H14870" t="s">
        <v>8893</v>
      </c>
      <c r="I14870" s="406"/>
      <c r="J14870" s="37"/>
      <c r="K14870" s="37"/>
      <c r="L14870" s="37"/>
    </row>
    <row r="14871" spans="1:12" hidden="1" outlineLevel="1" x14ac:dyDescent="0.25">
      <c r="A14871" s="1920">
        <v>0.03</v>
      </c>
      <c r="B14871" s="1921" t="s">
        <v>1239</v>
      </c>
      <c r="C14871" s="2095">
        <v>488.12</v>
      </c>
      <c r="D14871" s="3280">
        <v>495.3</v>
      </c>
      <c r="E14871" s="3260">
        <v>1.4709497664508797E-2</v>
      </c>
      <c r="F14871" s="3282">
        <v>0.08</v>
      </c>
      <c r="G14871" s="78"/>
      <c r="H14871" t="s">
        <v>8891</v>
      </c>
      <c r="I14871" s="406"/>
      <c r="J14871" s="37"/>
      <c r="K14871" s="37"/>
      <c r="L14871" s="37"/>
    </row>
    <row r="14872" spans="1:12" hidden="1" outlineLevel="1" x14ac:dyDescent="0.25">
      <c r="A14872" s="1920">
        <v>0.03</v>
      </c>
      <c r="B14872" s="1921" t="s">
        <v>6945</v>
      </c>
      <c r="C14872" s="2095">
        <v>77.485200062047042</v>
      </c>
      <c r="D14872" s="3280">
        <v>109.35</v>
      </c>
      <c r="E14872" s="3260">
        <v>0.41123724159500008</v>
      </c>
      <c r="F14872" s="3282">
        <v>0.08</v>
      </c>
      <c r="G14872" s="78"/>
      <c r="H14872" t="s">
        <v>6943</v>
      </c>
      <c r="I14872" s="406"/>
      <c r="J14872" s="37"/>
      <c r="K14872" s="37"/>
      <c r="L14872" s="37"/>
    </row>
    <row r="14873" spans="1:12" hidden="1" outlineLevel="1" x14ac:dyDescent="0.25">
      <c r="A14873" s="1920">
        <v>0.08</v>
      </c>
      <c r="B14873" s="1921" t="s">
        <v>434</v>
      </c>
      <c r="C14873" s="2095">
        <v>40.962000000000003</v>
      </c>
      <c r="D14873" s="3280">
        <v>35.04</v>
      </c>
      <c r="E14873" s="3260">
        <v>-0.14457301889556184</v>
      </c>
      <c r="F14873" s="3282">
        <v>-0.14457301889556184</v>
      </c>
      <c r="G14873" s="78"/>
      <c r="H14873" t="s">
        <v>7745</v>
      </c>
      <c r="I14873" s="406"/>
      <c r="J14873" s="37"/>
      <c r="K14873" s="37"/>
      <c r="L14873" s="37"/>
    </row>
    <row r="14874" spans="1:12" hidden="1" outlineLevel="1" x14ac:dyDescent="0.25">
      <c r="A14874" s="1920">
        <v>0.03</v>
      </c>
      <c r="B14874" s="1921" t="s">
        <v>3921</v>
      </c>
      <c r="C14874" s="2095">
        <v>4.6779999999999999</v>
      </c>
      <c r="D14874" s="3280">
        <v>6.13</v>
      </c>
      <c r="E14874" s="3260">
        <v>0.31038905515177428</v>
      </c>
      <c r="F14874" s="3282">
        <v>0.08</v>
      </c>
      <c r="G14874" s="78"/>
      <c r="H14874" t="s">
        <v>3922</v>
      </c>
      <c r="I14874" s="406"/>
      <c r="J14874" s="37"/>
      <c r="K14874" s="37"/>
      <c r="L14874" s="37"/>
    </row>
    <row r="14875" spans="1:12" hidden="1" outlineLevel="1" x14ac:dyDescent="0.25">
      <c r="A14875" s="1920">
        <v>0.02</v>
      </c>
      <c r="B14875" s="1921" t="s">
        <v>9301</v>
      </c>
      <c r="C14875" s="2095">
        <v>232.03000000000003</v>
      </c>
      <c r="D14875" s="3280">
        <v>68.59</v>
      </c>
      <c r="E14875" s="3260">
        <v>-0.70439167349049692</v>
      </c>
      <c r="F14875" s="3282">
        <v>-0.70439167349049692</v>
      </c>
      <c r="G14875" s="78"/>
      <c r="H14875" t="s">
        <v>9302</v>
      </c>
      <c r="I14875" s="406"/>
      <c r="J14875" s="37"/>
      <c r="K14875" s="37"/>
      <c r="L14875" s="37"/>
    </row>
    <row r="14876" spans="1:12" hidden="1" outlineLevel="1" x14ac:dyDescent="0.25">
      <c r="A14876" s="1920">
        <v>0.03</v>
      </c>
      <c r="B14876" s="1921" t="s">
        <v>3169</v>
      </c>
      <c r="C14876" s="2095">
        <v>19.330000000000002</v>
      </c>
      <c r="D14876" s="3280">
        <v>29</v>
      </c>
      <c r="E14876" s="3260">
        <v>0.50025866528711838</v>
      </c>
      <c r="F14876" s="3282">
        <v>0.08</v>
      </c>
      <c r="G14876" s="78"/>
      <c r="H14876" t="s">
        <v>657</v>
      </c>
      <c r="I14876" s="406"/>
      <c r="J14876" s="37"/>
      <c r="K14876" s="37"/>
      <c r="L14876" s="37"/>
    </row>
    <row r="14877" spans="1:12" hidden="1" outlineLevel="1" x14ac:dyDescent="0.25">
      <c r="A14877" s="1920">
        <v>0.02</v>
      </c>
      <c r="B14877" s="1921" t="s">
        <v>7624</v>
      </c>
      <c r="C14877" s="2095">
        <v>51.753999999999998</v>
      </c>
      <c r="D14877" s="3280">
        <v>14.38</v>
      </c>
      <c r="E14877" s="3260">
        <v>-0.72214708041890474</v>
      </c>
      <c r="F14877" s="3282">
        <v>-0.72214708041890474</v>
      </c>
      <c r="G14877" s="78"/>
      <c r="H14877" t="s">
        <v>7625</v>
      </c>
      <c r="I14877" s="406"/>
      <c r="J14877" s="37"/>
      <c r="K14877" s="37"/>
      <c r="L14877" s="37"/>
    </row>
    <row r="14878" spans="1:12" hidden="1" outlineLevel="1" x14ac:dyDescent="0.25">
      <c r="A14878" s="1920">
        <v>0.04</v>
      </c>
      <c r="B14878" s="2109" t="s">
        <v>4550</v>
      </c>
      <c r="C14878" s="2095">
        <v>255.16</v>
      </c>
      <c r="D14878" s="3280">
        <v>374.7</v>
      </c>
      <c r="E14878" s="3260">
        <v>0.46849035899043745</v>
      </c>
      <c r="F14878" s="3282">
        <v>0.08</v>
      </c>
      <c r="G14878" s="78"/>
      <c r="H14878" t="s">
        <v>8889</v>
      </c>
      <c r="I14878" s="406"/>
      <c r="J14878" s="37"/>
      <c r="K14878" s="37"/>
      <c r="L14878" s="37"/>
    </row>
    <row r="14879" spans="1:12" hidden="1" outlineLevel="1" x14ac:dyDescent="0.25">
      <c r="A14879" s="1897" t="s">
        <v>2465</v>
      </c>
      <c r="B14879" s="1931"/>
      <c r="C14879" s="1932"/>
      <c r="D14879" s="3387"/>
      <c r="E14879" s="3388">
        <v>4.400357885226415E-2</v>
      </c>
      <c r="F14879" s="1897">
        <v>-5.4462276775670775E-2</v>
      </c>
      <c r="G14879" s="78"/>
      <c r="J14879" s="37"/>
      <c r="K14879" s="227"/>
      <c r="L14879" s="227"/>
    </row>
    <row r="14880" spans="1:12" hidden="1" outlineLevel="1" x14ac:dyDescent="0.25">
      <c r="A14880" s="3389"/>
      <c r="B14880" s="3294"/>
      <c r="C14880" s="3294"/>
      <c r="D14880" s="3294"/>
      <c r="E14880" s="3294"/>
      <c r="F14880" s="3285"/>
      <c r="G14880" s="78"/>
    </row>
    <row r="14881" spans="1:9" hidden="1" outlineLevel="1" x14ac:dyDescent="0.25">
      <c r="A14881" s="3390" t="s">
        <v>113</v>
      </c>
      <c r="B14881" s="3390"/>
      <c r="C14881" s="3391"/>
      <c r="D14881" s="3391"/>
      <c r="E14881" s="3392"/>
      <c r="F14881" s="3382"/>
      <c r="G14881" s="78"/>
    </row>
    <row r="14882" spans="1:9" hidden="1" outlineLevel="1" x14ac:dyDescent="0.25">
      <c r="A14882" s="1810" t="s">
        <v>7619</v>
      </c>
      <c r="B14882" s="3238"/>
      <c r="C14882" s="3239"/>
      <c r="D14882" s="3239"/>
      <c r="E14882" s="3393"/>
      <c r="F14882" s="3277">
        <v>0.03</v>
      </c>
      <c r="G14882" s="78"/>
    </row>
    <row r="14883" spans="1:9" hidden="1" outlineLevel="1" x14ac:dyDescent="0.25">
      <c r="A14883" s="1810" t="s">
        <v>7620</v>
      </c>
      <c r="B14883" s="3394"/>
      <c r="C14883" s="3243"/>
      <c r="D14883" s="3243"/>
      <c r="E14883" s="3395"/>
      <c r="F14883" s="3282">
        <v>7.7999999999999996E-3</v>
      </c>
      <c r="G14883" s="78"/>
    </row>
    <row r="14884" spans="1:9" hidden="1" outlineLevel="1" x14ac:dyDescent="0.25">
      <c r="A14884" s="1810" t="s">
        <v>7621</v>
      </c>
      <c r="B14884" s="3394"/>
      <c r="C14884" s="3243"/>
      <c r="D14884" s="3243"/>
      <c r="E14884" s="3395">
        <v>-0.75</v>
      </c>
      <c r="F14884" s="3282">
        <v>0</v>
      </c>
      <c r="G14884" s="78"/>
    </row>
    <row r="14885" spans="1:9" hidden="1" outlineLevel="1" x14ac:dyDescent="0.25">
      <c r="A14885" s="1810" t="s">
        <v>7622</v>
      </c>
      <c r="B14885" s="3394"/>
      <c r="C14885" s="3243"/>
      <c r="D14885" s="3243"/>
      <c r="E14885" s="3395">
        <v>-0.62</v>
      </c>
      <c r="F14885" s="3282">
        <v>0</v>
      </c>
      <c r="G14885" s="78"/>
    </row>
    <row r="14886" spans="1:9" hidden="1" outlineLevel="1" x14ac:dyDescent="0.25">
      <c r="A14886" s="1810" t="s">
        <v>7623</v>
      </c>
      <c r="B14886" s="3396"/>
      <c r="C14886" s="3392"/>
      <c r="D14886" s="3392"/>
      <c r="E14886" s="3397">
        <v>-4.76</v>
      </c>
      <c r="F14886" s="3382">
        <v>0</v>
      </c>
      <c r="G14886" s="78"/>
    </row>
    <row r="14887" spans="1:9" collapsed="1" x14ac:dyDescent="0.25">
      <c r="A14887" s="3803" t="s">
        <v>7629</v>
      </c>
      <c r="B14887" s="3804"/>
      <c r="C14887" s="3804"/>
      <c r="D14887" s="3398"/>
      <c r="E14887" s="3398"/>
      <c r="F14887" s="1948">
        <v>3.78E-2</v>
      </c>
      <c r="G14887" s="78"/>
    </row>
    <row r="14889" spans="1:9" hidden="1" outlineLevel="1" x14ac:dyDescent="0.25">
      <c r="A14889" s="2617" t="s">
        <v>113</v>
      </c>
      <c r="B14889" s="2618" t="s">
        <v>114</v>
      </c>
      <c r="C14889" s="2618" t="s">
        <v>112</v>
      </c>
      <c r="D14889" s="2618" t="s">
        <v>4155</v>
      </c>
      <c r="E14889" s="2618" t="s">
        <v>116</v>
      </c>
      <c r="F14889" s="2619" t="s">
        <v>121</v>
      </c>
      <c r="G14889" s="78"/>
      <c r="H14889" s="438" t="s">
        <v>5391</v>
      </c>
      <c r="I14889" s="438" t="s">
        <v>5392</v>
      </c>
    </row>
    <row r="14890" spans="1:9" hidden="1" outlineLevel="1" x14ac:dyDescent="0.25">
      <c r="A14890" s="1810" t="s">
        <v>7631</v>
      </c>
      <c r="B14890" s="2503" t="s">
        <v>2153</v>
      </c>
      <c r="C14890" s="2615">
        <v>3281.6120000000001</v>
      </c>
      <c r="D14890" s="3805">
        <v>3703.58</v>
      </c>
      <c r="E14890" s="2238">
        <v>3131.7959999999998</v>
      </c>
      <c r="F14890" s="2610">
        <v>-4.5653172891859328E-2</v>
      </c>
      <c r="G14890" s="78"/>
      <c r="H14890" s="92">
        <v>-4.5653172891859328E-2</v>
      </c>
      <c r="I14890" s="450">
        <v>0.13500000000000001</v>
      </c>
    </row>
    <row r="14891" spans="1:9" hidden="1" outlineLevel="1" x14ac:dyDescent="0.25">
      <c r="A14891" s="2197" t="s">
        <v>7632</v>
      </c>
      <c r="B14891" s="2503" t="s">
        <v>2153</v>
      </c>
      <c r="C14891" s="1814">
        <v>3281.6120000000001</v>
      </c>
      <c r="D14891" s="3806"/>
      <c r="E14891" s="1815">
        <v>3647.6280000000002</v>
      </c>
      <c r="F14891" s="2611">
        <v>0.18</v>
      </c>
      <c r="G14891" s="78"/>
      <c r="H14891" s="79">
        <v>0.11153542831998431</v>
      </c>
      <c r="I14891" s="451">
        <v>0.18</v>
      </c>
    </row>
    <row r="14892" spans="1:9" hidden="1" outlineLevel="1" x14ac:dyDescent="0.25">
      <c r="A14892" s="2197" t="s">
        <v>7633</v>
      </c>
      <c r="B14892" s="2503" t="s">
        <v>2153</v>
      </c>
      <c r="C14892" s="1814">
        <v>3281.6120000000001</v>
      </c>
      <c r="D14892" s="3806"/>
      <c r="E14892" s="1815"/>
      <c r="F14892" s="2611" t="s">
        <v>5590</v>
      </c>
      <c r="G14892" s="78"/>
      <c r="H14892" s="79">
        <v>0.12858558537694265</v>
      </c>
      <c r="I14892" s="451">
        <v>0.22500000000000001</v>
      </c>
    </row>
    <row r="14893" spans="1:9" hidden="1" outlineLevel="1" x14ac:dyDescent="0.25">
      <c r="A14893" s="2197" t="s">
        <v>7634</v>
      </c>
      <c r="B14893" s="2503" t="s">
        <v>2153</v>
      </c>
      <c r="C14893" s="1814" t="s">
        <v>5590</v>
      </c>
      <c r="D14893" s="3806"/>
      <c r="E14893" s="1815"/>
      <c r="F14893" s="2611" t="s">
        <v>5590</v>
      </c>
      <c r="G14893" s="78"/>
      <c r="H14893" s="82" t="s">
        <v>5590</v>
      </c>
      <c r="I14893" s="452">
        <v>0.27</v>
      </c>
    </row>
    <row r="14894" spans="1:9" hidden="1" outlineLevel="1" x14ac:dyDescent="0.25">
      <c r="A14894" s="2202" t="s">
        <v>7635</v>
      </c>
      <c r="B14894" s="2503" t="s">
        <v>2153</v>
      </c>
      <c r="C14894" s="1817" t="s">
        <v>5590</v>
      </c>
      <c r="D14894" s="3807"/>
      <c r="E14894" s="1815"/>
      <c r="F14894" s="2612" t="s">
        <v>5590</v>
      </c>
      <c r="G14894" s="78"/>
      <c r="H14894" s="37">
        <v>0.12858558537694265</v>
      </c>
    </row>
    <row r="14895" spans="1:9" hidden="1" outlineLevel="1" x14ac:dyDescent="0.25">
      <c r="A14895" s="1819" t="s">
        <v>2734</v>
      </c>
      <c r="B14895" s="2503"/>
      <c r="C14895" s="1820"/>
      <c r="D14895" s="1821"/>
      <c r="E14895" s="2613"/>
      <c r="F14895" s="2614">
        <v>0.18</v>
      </c>
      <c r="G14895" s="78"/>
      <c r="H14895" s="74"/>
    </row>
    <row r="14896" spans="1:9" collapsed="1" x14ac:dyDescent="0.25">
      <c r="A14896" s="3801" t="s">
        <v>7630</v>
      </c>
      <c r="B14896" s="3802"/>
      <c r="C14896" s="3802"/>
      <c r="D14896" s="3802"/>
      <c r="E14896" s="1906"/>
      <c r="F14896" s="1907">
        <v>0.18</v>
      </c>
      <c r="G14896" s="78"/>
      <c r="H14896" s="74"/>
    </row>
    <row r="14898" spans="1:13" ht="12.75" hidden="1" customHeight="1" outlineLevel="1" x14ac:dyDescent="0.25">
      <c r="A14898" s="3237" t="s">
        <v>113</v>
      </c>
      <c r="B14898" s="3237" t="s">
        <v>114</v>
      </c>
      <c r="C14898" s="3237" t="s">
        <v>112</v>
      </c>
      <c r="D14898" s="3237" t="s">
        <v>116</v>
      </c>
      <c r="E14898" s="3237" t="s">
        <v>117</v>
      </c>
      <c r="F14898" s="3276" t="s">
        <v>121</v>
      </c>
      <c r="G14898" s="78"/>
    </row>
    <row r="14899" spans="1:13" ht="12.75" hidden="1" customHeight="1" outlineLevel="1" x14ac:dyDescent="0.25">
      <c r="A14899" s="3238">
        <v>1</v>
      </c>
      <c r="B14899" s="3239" t="s">
        <v>252</v>
      </c>
      <c r="C14899" s="3240">
        <v>100</v>
      </c>
      <c r="D14899" s="3240"/>
      <c r="E14899" s="3241"/>
      <c r="F14899" s="3242"/>
      <c r="G14899" s="78"/>
    </row>
    <row r="14900" spans="1:13" ht="12.75" hidden="1" customHeight="1" outlineLevel="1" x14ac:dyDescent="0.25">
      <c r="A14900" s="3243" t="s">
        <v>2734</v>
      </c>
      <c r="B14900" s="3243"/>
      <c r="C14900" s="3244"/>
      <c r="D14900" s="1900" t="s">
        <v>3702</v>
      </c>
      <c r="E14900" s="3245">
        <v>44377</v>
      </c>
      <c r="F14900" s="3246"/>
      <c r="G14900" s="78"/>
    </row>
    <row r="14901" spans="1:13" ht="12.75" hidden="1" customHeight="1" outlineLevel="1" x14ac:dyDescent="0.25">
      <c r="A14901" s="3237" t="s">
        <v>4156</v>
      </c>
      <c r="B14901" s="3237" t="s">
        <v>4153</v>
      </c>
      <c r="C14901" s="3247" t="s">
        <v>112</v>
      </c>
      <c r="D14901" s="3248" t="s">
        <v>4155</v>
      </c>
      <c r="E14901" s="3237" t="s">
        <v>4154</v>
      </c>
      <c r="F14901" s="3277" t="s">
        <v>2519</v>
      </c>
      <c r="G14901" s="78"/>
    </row>
    <row r="14902" spans="1:13" ht="12.75" hidden="1" customHeight="1" outlineLevel="1" x14ac:dyDescent="0.25">
      <c r="A14902" s="1991">
        <v>0.05</v>
      </c>
      <c r="B14902" s="1921" t="s">
        <v>359</v>
      </c>
      <c r="C14902" s="2090">
        <v>158.97</v>
      </c>
      <c r="D14902" s="3278">
        <v>210.3</v>
      </c>
      <c r="E14902" s="3279">
        <v>0.32289111153047756</v>
      </c>
      <c r="F14902" s="3277">
        <v>1.6144555576523879E-2</v>
      </c>
      <c r="G14902" s="78"/>
      <c r="H14902" t="s">
        <v>360</v>
      </c>
      <c r="I14902" t="s">
        <v>8252</v>
      </c>
      <c r="J14902" s="1627">
        <v>97.586699999999993</v>
      </c>
      <c r="L14902" s="434"/>
      <c r="M14902" s="434"/>
    </row>
    <row r="14903" spans="1:13" ht="12.75" hidden="1" customHeight="1" outlineLevel="1" x14ac:dyDescent="0.25">
      <c r="A14903" s="2380">
        <v>0.02</v>
      </c>
      <c r="B14903" s="1921" t="s">
        <v>7165</v>
      </c>
      <c r="C14903" s="1998">
        <v>17.786999999999999</v>
      </c>
      <c r="D14903" s="3399">
        <v>13.65</v>
      </c>
      <c r="E14903" s="3281">
        <v>-0.23258559622195984</v>
      </c>
      <c r="F14903" s="3282">
        <v>-4.6517119244391973E-3</v>
      </c>
      <c r="G14903" s="78"/>
      <c r="H14903" t="s">
        <v>7166</v>
      </c>
      <c r="L14903" s="434"/>
      <c r="M14903" s="434"/>
    </row>
    <row r="14904" spans="1:13" ht="12.75" hidden="1" customHeight="1" outlineLevel="1" x14ac:dyDescent="0.25">
      <c r="A14904" s="2380">
        <v>0.05</v>
      </c>
      <c r="B14904" s="1921" t="s">
        <v>3998</v>
      </c>
      <c r="C14904" s="2179">
        <v>33.017000000000003</v>
      </c>
      <c r="D14904" s="3280">
        <v>28.78</v>
      </c>
      <c r="E14904" s="3281">
        <v>-0.12832783111730328</v>
      </c>
      <c r="F14904" s="3282">
        <v>-6.4163915558651642E-3</v>
      </c>
      <c r="G14904" s="78"/>
      <c r="H14904" t="s">
        <v>4000</v>
      </c>
      <c r="L14904" s="434"/>
      <c r="M14904" s="434"/>
    </row>
    <row r="14905" spans="1:13" ht="12.75" hidden="1" customHeight="1" outlineLevel="1" x14ac:dyDescent="0.25">
      <c r="A14905" s="2380">
        <v>0.02</v>
      </c>
      <c r="B14905" s="1921" t="s">
        <v>807</v>
      </c>
      <c r="C14905" s="2179">
        <v>57.204999999999998</v>
      </c>
      <c r="D14905" s="3280">
        <v>61.13</v>
      </c>
      <c r="E14905" s="3281">
        <v>6.8612883489205467E-2</v>
      </c>
      <c r="F14905" s="3282">
        <v>1.3722576697841095E-3</v>
      </c>
      <c r="G14905" s="78"/>
      <c r="H14905" t="s">
        <v>808</v>
      </c>
      <c r="L14905" s="434"/>
      <c r="M14905" s="434"/>
    </row>
    <row r="14906" spans="1:13" ht="12.75" hidden="1" customHeight="1" outlineLevel="1" x14ac:dyDescent="0.25">
      <c r="A14906" s="2380">
        <v>0.05</v>
      </c>
      <c r="B14906" s="1921" t="s">
        <v>8527</v>
      </c>
      <c r="C14906" s="2179">
        <v>28.668710878010586</v>
      </c>
      <c r="D14906" s="3280">
        <v>39.78</v>
      </c>
      <c r="E14906" s="3281">
        <v>0.38757547101680023</v>
      </c>
      <c r="F14906" s="3282">
        <v>1.9378773550840014E-2</v>
      </c>
      <c r="G14906" s="78"/>
      <c r="H14906" t="s">
        <v>8516</v>
      </c>
      <c r="L14906" s="434"/>
      <c r="M14906" s="434"/>
    </row>
    <row r="14907" spans="1:13" ht="12.75" hidden="1" customHeight="1" outlineLevel="1" x14ac:dyDescent="0.25">
      <c r="A14907" s="2380">
        <v>0.05</v>
      </c>
      <c r="B14907" s="1921" t="s">
        <v>7134</v>
      </c>
      <c r="C14907" s="2179">
        <v>14.118631428410092</v>
      </c>
      <c r="D14907" s="3280">
        <v>11.52</v>
      </c>
      <c r="E14907" s="3281">
        <v>-0.18405689259520008</v>
      </c>
      <c r="F14907" s="3282">
        <v>-9.2028446297600045E-3</v>
      </c>
      <c r="G14907" s="78"/>
      <c r="H14907" t="s">
        <v>497</v>
      </c>
      <c r="L14907" s="434"/>
      <c r="M14907" s="434"/>
    </row>
    <row r="14908" spans="1:13" ht="12.75" hidden="1" customHeight="1" outlineLevel="1" x14ac:dyDescent="0.25">
      <c r="A14908" s="2380">
        <v>0.08</v>
      </c>
      <c r="B14908" s="1921" t="s">
        <v>6942</v>
      </c>
      <c r="C14908" s="2179">
        <v>34.917000000000002</v>
      </c>
      <c r="D14908" s="3280">
        <v>50.32</v>
      </c>
      <c r="E14908" s="3281">
        <v>0.44113182690380048</v>
      </c>
      <c r="F14908" s="3282">
        <v>3.5290546152304036E-2</v>
      </c>
      <c r="G14908" s="78"/>
      <c r="H14908" t="s">
        <v>7860</v>
      </c>
      <c r="L14908" s="434"/>
      <c r="M14908" s="434"/>
    </row>
    <row r="14909" spans="1:13" ht="12.75" hidden="1" customHeight="1" outlineLevel="1" x14ac:dyDescent="0.25">
      <c r="A14909" s="2380">
        <v>0.08</v>
      </c>
      <c r="B14909" s="1921" t="s">
        <v>1771</v>
      </c>
      <c r="C14909" s="2179">
        <v>521.30999999999995</v>
      </c>
      <c r="D14909" s="3280">
        <v>417.3</v>
      </c>
      <c r="E14909" s="3281">
        <v>-0.19951660240547842</v>
      </c>
      <c r="F14909" s="3282">
        <v>-1.5961328192438274E-2</v>
      </c>
      <c r="G14909" s="78"/>
      <c r="H14909" t="s">
        <v>4329</v>
      </c>
      <c r="L14909" s="434"/>
      <c r="M14909" s="434"/>
    </row>
    <row r="14910" spans="1:13" ht="12.75" hidden="1" customHeight="1" outlineLevel="1" x14ac:dyDescent="0.25">
      <c r="A14910" s="2380">
        <v>0.05</v>
      </c>
      <c r="B14910" s="1921" t="s">
        <v>2786</v>
      </c>
      <c r="C14910" s="2179">
        <v>916.29864753220079</v>
      </c>
      <c r="D14910" s="3280">
        <v>920.8</v>
      </c>
      <c r="E14910" s="3281">
        <v>4.9125385919999154E-3</v>
      </c>
      <c r="F14910" s="3282">
        <v>2.4562692959999576E-4</v>
      </c>
      <c r="G14910" s="78"/>
      <c r="H14910" t="s">
        <v>4195</v>
      </c>
      <c r="L14910" s="434"/>
      <c r="M14910" s="434"/>
    </row>
    <row r="14911" spans="1:13" ht="12.75" hidden="1" customHeight="1" outlineLevel="1" x14ac:dyDescent="0.25">
      <c r="A14911" s="2380">
        <v>0.05</v>
      </c>
      <c r="B14911" s="1921" t="s">
        <v>5205</v>
      </c>
      <c r="C14911" s="2179">
        <v>1640.75</v>
      </c>
      <c r="D14911" s="3280">
        <v>1446.8</v>
      </c>
      <c r="E14911" s="3281">
        <v>-0.11820813652293161</v>
      </c>
      <c r="F14911" s="3282">
        <v>-5.9104068261465808E-3</v>
      </c>
      <c r="G14911" s="78"/>
      <c r="H14911" t="s">
        <v>5199</v>
      </c>
      <c r="L14911" s="434"/>
      <c r="M14911" s="434"/>
    </row>
    <row r="14912" spans="1:13" ht="12.75" hidden="1" customHeight="1" outlineLevel="1" x14ac:dyDescent="0.25">
      <c r="A14912" s="2380">
        <v>0.05</v>
      </c>
      <c r="B14912" s="1921" t="s">
        <v>6270</v>
      </c>
      <c r="C14912" s="2179">
        <v>44.5592056289249</v>
      </c>
      <c r="D14912" s="3280">
        <v>38.76</v>
      </c>
      <c r="E14912" s="3281">
        <v>-0.13014607300720016</v>
      </c>
      <c r="F14912" s="3282">
        <v>-6.5073036503600079E-3</v>
      </c>
      <c r="G14912" s="78"/>
      <c r="H14912" t="s">
        <v>8166</v>
      </c>
      <c r="L14912" s="434"/>
      <c r="M14912" s="434"/>
    </row>
    <row r="14913" spans="1:13" ht="12.75" hidden="1" customHeight="1" outlineLevel="1" x14ac:dyDescent="0.25">
      <c r="A14913" s="2380">
        <v>0.02</v>
      </c>
      <c r="B14913" s="1921" t="s">
        <v>6164</v>
      </c>
      <c r="C14913" s="2179">
        <v>3.954148026883713</v>
      </c>
      <c r="D14913" s="3280">
        <v>4.875</v>
      </c>
      <c r="E14913" s="3281">
        <v>0.2328825240875001</v>
      </c>
      <c r="F14913" s="3282">
        <v>4.657650481750002E-3</v>
      </c>
      <c r="G14913" s="78"/>
      <c r="H14913" t="s">
        <v>6114</v>
      </c>
      <c r="L14913" s="434"/>
      <c r="M14913" s="434"/>
    </row>
    <row r="14914" spans="1:13" ht="12.75" hidden="1" customHeight="1" outlineLevel="1" x14ac:dyDescent="0.25">
      <c r="A14914" s="2380">
        <v>0.05</v>
      </c>
      <c r="B14914" s="1921" t="s">
        <v>1857</v>
      </c>
      <c r="C14914" s="2179">
        <v>1461.3</v>
      </c>
      <c r="D14914" s="3280">
        <v>1500.5</v>
      </c>
      <c r="E14914" s="3281">
        <v>2.6825429412167257E-2</v>
      </c>
      <c r="F14914" s="3282">
        <v>1.3412714706083628E-3</v>
      </c>
      <c r="G14914" s="78"/>
      <c r="H14914" t="s">
        <v>3559</v>
      </c>
      <c r="L14914" s="434"/>
      <c r="M14914" s="434"/>
    </row>
    <row r="14915" spans="1:13" ht="12.75" hidden="1" customHeight="1" outlineLevel="1" x14ac:dyDescent="0.25">
      <c r="A14915" s="2380">
        <v>0.05</v>
      </c>
      <c r="B14915" s="1921" t="s">
        <v>1724</v>
      </c>
      <c r="C14915" s="2179">
        <v>193.86</v>
      </c>
      <c r="D14915" s="3280">
        <v>159.24</v>
      </c>
      <c r="E14915" s="3281">
        <v>-0.17858248220365214</v>
      </c>
      <c r="F14915" s="3282">
        <v>-8.9291241101826079E-3</v>
      </c>
      <c r="G14915" s="78"/>
      <c r="H14915" t="s">
        <v>1725</v>
      </c>
      <c r="L14915" s="434"/>
      <c r="M14915" s="434"/>
    </row>
    <row r="14916" spans="1:13" ht="12.75" hidden="1" customHeight="1" outlineLevel="1" x14ac:dyDescent="0.25">
      <c r="A14916" s="2380">
        <v>0.08</v>
      </c>
      <c r="B14916" s="1921" t="s">
        <v>6118</v>
      </c>
      <c r="C14916" s="2179">
        <v>95.415000000000006</v>
      </c>
      <c r="D14916" s="3280">
        <v>83.48</v>
      </c>
      <c r="E14916" s="3281">
        <v>-0.12508515432583978</v>
      </c>
      <c r="F14916" s="3282">
        <v>-1.0006812346067182E-2</v>
      </c>
      <c r="G14916" s="78"/>
      <c r="H14916" t="s">
        <v>8893</v>
      </c>
      <c r="L14916" s="434"/>
      <c r="M14916" s="434"/>
    </row>
    <row r="14917" spans="1:13" ht="12.75" hidden="1" customHeight="1" outlineLevel="1" x14ac:dyDescent="0.25">
      <c r="A14917" s="2380">
        <v>0.02</v>
      </c>
      <c r="B14917" s="1921" t="s">
        <v>1239</v>
      </c>
      <c r="C14917" s="2179">
        <v>513.45000000000005</v>
      </c>
      <c r="D14917" s="3280">
        <v>528.20000000000005</v>
      </c>
      <c r="E14917" s="3281">
        <v>2.8727237316194421E-2</v>
      </c>
      <c r="F14917" s="3282">
        <v>5.745447463238884E-4</v>
      </c>
      <c r="G14917" s="78"/>
      <c r="H14917" t="s">
        <v>8891</v>
      </c>
      <c r="L14917" s="434"/>
      <c r="M14917" s="434"/>
    </row>
    <row r="14918" spans="1:13" ht="12.75" hidden="1" customHeight="1" outlineLevel="1" x14ac:dyDescent="0.25">
      <c r="A14918" s="2380">
        <v>0.05</v>
      </c>
      <c r="B14918" s="1921" t="s">
        <v>6945</v>
      </c>
      <c r="C14918" s="2179">
        <v>78.754618316514112</v>
      </c>
      <c r="D14918" s="3280">
        <v>116.6</v>
      </c>
      <c r="E14918" s="3281">
        <v>0.48054809346400007</v>
      </c>
      <c r="F14918" s="3282">
        <v>2.4027404673200005E-2</v>
      </c>
      <c r="G14918" s="78"/>
      <c r="H14918" t="s">
        <v>6943</v>
      </c>
      <c r="L14918" s="434"/>
      <c r="M14918" s="434"/>
    </row>
    <row r="14919" spans="1:13" ht="12.75" hidden="1" customHeight="1" outlineLevel="1" x14ac:dyDescent="0.25">
      <c r="A14919" s="2380">
        <v>0.08</v>
      </c>
      <c r="B14919" s="1921" t="s">
        <v>434</v>
      </c>
      <c r="C14919" s="2179">
        <v>42.244999999999997</v>
      </c>
      <c r="D14919" s="3280">
        <v>37.979999999999997</v>
      </c>
      <c r="E14919" s="3281">
        <v>-0.10095869333648955</v>
      </c>
      <c r="F14919" s="3282">
        <v>-8.0766954669191631E-3</v>
      </c>
      <c r="G14919" s="78"/>
      <c r="H14919" t="s">
        <v>7745</v>
      </c>
      <c r="L14919" s="434"/>
      <c r="M14919" s="434"/>
    </row>
    <row r="14920" spans="1:13" ht="12.75" hidden="1" customHeight="1" outlineLevel="1" x14ac:dyDescent="0.25">
      <c r="A14920" s="2380">
        <v>0.02</v>
      </c>
      <c r="B14920" s="1921" t="s">
        <v>3921</v>
      </c>
      <c r="C14920" s="2179">
        <v>4.6277999999999997</v>
      </c>
      <c r="D14920" s="3280">
        <v>6.2839999999999998</v>
      </c>
      <c r="E14920" s="3281">
        <v>0.35788063442672557</v>
      </c>
      <c r="F14920" s="3282">
        <v>7.1576126885345114E-3</v>
      </c>
      <c r="G14920" s="78"/>
      <c r="H14920" t="s">
        <v>3922</v>
      </c>
      <c r="L14920" s="434"/>
      <c r="M14920" s="434"/>
    </row>
    <row r="14921" spans="1:13" ht="12.75" hidden="1" customHeight="1" outlineLevel="1" x14ac:dyDescent="0.25">
      <c r="A14921" s="2380">
        <v>0.08</v>
      </c>
      <c r="B14921" s="2109" t="s">
        <v>4550</v>
      </c>
      <c r="C14921" s="2179">
        <v>265.31</v>
      </c>
      <c r="D14921" s="3283">
        <v>371.2</v>
      </c>
      <c r="E14921" s="3281">
        <v>0.39911801289058069</v>
      </c>
      <c r="F14921" s="3282">
        <v>3.1929441031246453E-2</v>
      </c>
      <c r="G14921" s="78"/>
      <c r="H14921" t="s">
        <v>8889</v>
      </c>
      <c r="L14921" s="434"/>
      <c r="M14921" s="434"/>
    </row>
    <row r="14922" spans="1:13" ht="12.75" hidden="1" customHeight="1" outlineLevel="1" x14ac:dyDescent="0.25">
      <c r="A14922" s="2181" t="s">
        <v>2734</v>
      </c>
      <c r="B14922" s="2103"/>
      <c r="C14922" s="3258"/>
      <c r="D14922" s="3259"/>
      <c r="E14922" s="3284"/>
      <c r="F14922" s="3277">
        <v>6.6457066268537077E-2</v>
      </c>
      <c r="G14922" s="78"/>
    </row>
    <row r="14923" spans="1:13" ht="12.75" hidden="1" customHeight="1" outlineLevel="1" x14ac:dyDescent="0.25">
      <c r="A14923" s="1956" t="s">
        <v>7705</v>
      </c>
      <c r="B14923" s="2185">
        <v>43831</v>
      </c>
      <c r="C14923" s="3261">
        <v>100</v>
      </c>
      <c r="D14923" s="3261">
        <v>117.5849</v>
      </c>
      <c r="E14923" s="3262">
        <v>0.17584900000000014</v>
      </c>
      <c r="F14923" s="3285"/>
      <c r="G14923" s="78"/>
    </row>
    <row r="14924" spans="1:13" ht="12.75" hidden="1" customHeight="1" outlineLevel="1" x14ac:dyDescent="0.25">
      <c r="A14924" s="1956" t="s">
        <v>7706</v>
      </c>
      <c r="B14924" s="2185">
        <v>43862</v>
      </c>
      <c r="C14924" s="3261">
        <v>100</v>
      </c>
      <c r="D14924" s="3264">
        <v>110.29600000000001</v>
      </c>
      <c r="E14924" s="3262">
        <v>0.10296000000000016</v>
      </c>
      <c r="F14924" s="3285"/>
      <c r="G14924" s="78"/>
    </row>
    <row r="14925" spans="1:13" ht="12.75" hidden="1" customHeight="1" outlineLevel="1" x14ac:dyDescent="0.25">
      <c r="A14925" s="1956" t="s">
        <v>7707</v>
      </c>
      <c r="B14925" s="2185">
        <v>43891</v>
      </c>
      <c r="C14925" s="3261">
        <v>100</v>
      </c>
      <c r="D14925" s="3264">
        <v>97.155699999999996</v>
      </c>
      <c r="E14925" s="3262">
        <v>-2.8442999999999996E-2</v>
      </c>
      <c r="F14925" s="3285"/>
      <c r="G14925" s="78"/>
    </row>
    <row r="14926" spans="1:13" ht="12.75" hidden="1" customHeight="1" outlineLevel="1" x14ac:dyDescent="0.25">
      <c r="A14926" s="1956" t="s">
        <v>7708</v>
      </c>
      <c r="B14926" s="2185">
        <v>43922</v>
      </c>
      <c r="C14926" s="3261">
        <v>100</v>
      </c>
      <c r="D14926" s="3264">
        <v>94.869500000000002</v>
      </c>
      <c r="E14926" s="3262">
        <v>-5.1304999999999934E-2</v>
      </c>
      <c r="F14926" s="3285"/>
      <c r="G14926" s="78"/>
    </row>
    <row r="14927" spans="1:13" ht="12.75" hidden="1" customHeight="1" outlineLevel="1" x14ac:dyDescent="0.25">
      <c r="A14927" s="1956" t="s">
        <v>7709</v>
      </c>
      <c r="B14927" s="2185">
        <v>43952</v>
      </c>
      <c r="C14927" s="3261">
        <v>100</v>
      </c>
      <c r="D14927" s="3264">
        <v>94.5214</v>
      </c>
      <c r="E14927" s="3262">
        <v>-5.4786000000000001E-2</v>
      </c>
      <c r="F14927" s="3285"/>
      <c r="G14927" s="78"/>
    </row>
    <row r="14928" spans="1:13" ht="12.75" hidden="1" customHeight="1" outlineLevel="1" x14ac:dyDescent="0.25">
      <c r="A14928" s="1956" t="s">
        <v>7710</v>
      </c>
      <c r="B14928" s="2185">
        <v>43983</v>
      </c>
      <c r="C14928" s="3261">
        <v>100</v>
      </c>
      <c r="D14928" s="3264">
        <v>97.595699999999994</v>
      </c>
      <c r="E14928" s="3262">
        <v>-2.4043000000000037E-2</v>
      </c>
      <c r="F14928" s="3285"/>
      <c r="G14928" s="78"/>
    </row>
    <row r="14929" spans="1:7" ht="12.75" hidden="1" customHeight="1" outlineLevel="1" x14ac:dyDescent="0.25">
      <c r="A14929" s="1956" t="s">
        <v>7711</v>
      </c>
      <c r="B14929" s="2185">
        <v>44013</v>
      </c>
      <c r="C14929" s="3261">
        <v>100</v>
      </c>
      <c r="D14929" s="3264">
        <v>95.560900000000004</v>
      </c>
      <c r="E14929" s="3262">
        <v>-4.4390999999999958E-2</v>
      </c>
      <c r="F14929" s="3285"/>
      <c r="G14929" s="78"/>
    </row>
    <row r="14930" spans="1:7" ht="12.75" hidden="1" customHeight="1" outlineLevel="1" x14ac:dyDescent="0.25">
      <c r="A14930" s="1956" t="s">
        <v>7712</v>
      </c>
      <c r="B14930" s="2185">
        <v>44044</v>
      </c>
      <c r="C14930" s="3261">
        <v>100</v>
      </c>
      <c r="D14930" s="3264">
        <v>95.0154</v>
      </c>
      <c r="E14930" s="3262">
        <v>-4.9846000000000057E-2</v>
      </c>
      <c r="F14930" s="3285"/>
      <c r="G14930" s="78"/>
    </row>
    <row r="14931" spans="1:7" ht="12.75" hidden="1" customHeight="1" outlineLevel="1" x14ac:dyDescent="0.25">
      <c r="A14931" s="1956" t="s">
        <v>7713</v>
      </c>
      <c r="B14931" s="2185">
        <v>44075</v>
      </c>
      <c r="C14931" s="3261">
        <v>100</v>
      </c>
      <c r="D14931" s="3264">
        <v>93.733400000000003</v>
      </c>
      <c r="E14931" s="3262">
        <v>-6.2665999999999999E-2</v>
      </c>
      <c r="F14931" s="3285"/>
      <c r="G14931" s="78"/>
    </row>
    <row r="14932" spans="1:7" ht="12.75" hidden="1" customHeight="1" outlineLevel="1" x14ac:dyDescent="0.25">
      <c r="A14932" s="1956" t="s">
        <v>7714</v>
      </c>
      <c r="B14932" s="2185">
        <v>44105</v>
      </c>
      <c r="C14932" s="3261">
        <v>100</v>
      </c>
      <c r="D14932" s="3264">
        <v>88.941800000000001</v>
      </c>
      <c r="E14932" s="3262">
        <v>-0.11058199999999996</v>
      </c>
      <c r="F14932" s="3285"/>
      <c r="G14932" s="78"/>
    </row>
    <row r="14933" spans="1:7" ht="12.75" hidden="1" customHeight="1" outlineLevel="1" x14ac:dyDescent="0.25">
      <c r="A14933" s="1956" t="s">
        <v>7715</v>
      </c>
      <c r="B14933" s="2185">
        <v>44136</v>
      </c>
      <c r="C14933" s="3261">
        <v>100</v>
      </c>
      <c r="D14933" s="3264">
        <v>100.7659</v>
      </c>
      <c r="E14933" s="3262">
        <v>7.6590000000000824E-3</v>
      </c>
      <c r="F14933" s="3285"/>
      <c r="G14933" s="78"/>
    </row>
    <row r="14934" spans="1:7" ht="12.75" hidden="1" customHeight="1" outlineLevel="1" x14ac:dyDescent="0.25">
      <c r="A14934" s="1956" t="s">
        <v>7716</v>
      </c>
      <c r="B14934" s="2185">
        <v>44166</v>
      </c>
      <c r="C14934" s="3261">
        <v>100</v>
      </c>
      <c r="D14934" s="3264">
        <v>100.6909</v>
      </c>
      <c r="E14934" s="3262">
        <v>6.909000000000054E-3</v>
      </c>
      <c r="F14934" s="3285"/>
      <c r="G14934" s="78"/>
    </row>
    <row r="14935" spans="1:7" ht="12.75" hidden="1" customHeight="1" outlineLevel="1" x14ac:dyDescent="0.25">
      <c r="A14935" s="1956" t="s">
        <v>7717</v>
      </c>
      <c r="B14935" s="2185">
        <v>44197</v>
      </c>
      <c r="C14935" s="3261">
        <v>100</v>
      </c>
      <c r="D14935" s="3264">
        <v>100.45869999999999</v>
      </c>
      <c r="E14935" s="3262">
        <v>4.5869999999998967E-3</v>
      </c>
      <c r="F14935" s="3285"/>
      <c r="G14935" s="78"/>
    </row>
    <row r="14936" spans="1:7" ht="12.75" hidden="1" customHeight="1" outlineLevel="1" x14ac:dyDescent="0.25">
      <c r="A14936" s="1956" t="s">
        <v>7718</v>
      </c>
      <c r="B14936" s="2185">
        <v>44228</v>
      </c>
      <c r="C14936" s="3261">
        <v>100</v>
      </c>
      <c r="D14936" s="3264">
        <v>101.5059</v>
      </c>
      <c r="E14936" s="3262">
        <v>1.5058999999999934E-2</v>
      </c>
      <c r="F14936" s="3285"/>
      <c r="G14936" s="78"/>
    </row>
    <row r="14937" spans="1:7" ht="12.75" hidden="1" customHeight="1" outlineLevel="1" x14ac:dyDescent="0.25">
      <c r="A14937" s="1956" t="s">
        <v>7719</v>
      </c>
      <c r="B14937" s="2185">
        <v>44256</v>
      </c>
      <c r="C14937" s="3261">
        <v>100</v>
      </c>
      <c r="D14937" s="3264">
        <v>108.7265</v>
      </c>
      <c r="E14937" s="3262">
        <v>8.7264999999999926E-2</v>
      </c>
      <c r="F14937" s="3285"/>
      <c r="G14937" s="78"/>
    </row>
    <row r="14938" spans="1:7" ht="12.75" hidden="1" customHeight="1" outlineLevel="1" x14ac:dyDescent="0.25">
      <c r="A14938" s="1956" t="s">
        <v>7720</v>
      </c>
      <c r="B14938" s="2185">
        <v>44287</v>
      </c>
      <c r="C14938" s="3261">
        <v>100</v>
      </c>
      <c r="D14938" s="3264">
        <v>106.0941</v>
      </c>
      <c r="E14938" s="3262">
        <v>6.0940999999999912E-2</v>
      </c>
      <c r="F14938" s="3285"/>
      <c r="G14938" s="78"/>
    </row>
    <row r="14939" spans="1:7" ht="12.75" hidden="1" customHeight="1" outlineLevel="1" x14ac:dyDescent="0.25">
      <c r="A14939" s="1956" t="s">
        <v>7721</v>
      </c>
      <c r="B14939" s="2185">
        <v>44317</v>
      </c>
      <c r="C14939" s="3261">
        <v>100</v>
      </c>
      <c r="D14939" s="3264">
        <v>106.70310000000001</v>
      </c>
      <c r="E14939" s="3262">
        <v>6.7031000000000063E-2</v>
      </c>
      <c r="F14939" s="3285"/>
      <c r="G14939" s="78"/>
    </row>
    <row r="14940" spans="1:7" ht="12.75" hidden="1" customHeight="1" outlineLevel="1" x14ac:dyDescent="0.25">
      <c r="A14940" s="1956" t="s">
        <v>7722</v>
      </c>
      <c r="B14940" s="2185">
        <v>44348</v>
      </c>
      <c r="C14940" s="3261">
        <v>100</v>
      </c>
      <c r="D14940" s="3264">
        <v>107.0599</v>
      </c>
      <c r="E14940" s="3262">
        <v>7.0599000000000078E-2</v>
      </c>
      <c r="F14940" s="3285"/>
      <c r="G14940" s="78"/>
    </row>
    <row r="14941" spans="1:7" ht="12.75" hidden="1" customHeight="1" outlineLevel="1" x14ac:dyDescent="0.25">
      <c r="A14941" s="2189" t="s">
        <v>2734</v>
      </c>
      <c r="B14941" s="2190"/>
      <c r="C14941" s="3264"/>
      <c r="D14941" s="2191" t="s">
        <v>2465</v>
      </c>
      <c r="E14941" s="1987">
        <v>9.5998333333333508E-3</v>
      </c>
      <c r="F14941" s="2192">
        <v>9.5998333333333508E-3</v>
      </c>
      <c r="G14941" s="78"/>
    </row>
    <row r="14942" spans="1:7" collapsed="1" x14ac:dyDescent="0.25">
      <c r="A14942" s="3801" t="s">
        <v>7704</v>
      </c>
      <c r="B14942" s="3802"/>
      <c r="C14942" s="3802"/>
      <c r="D14942" s="3802"/>
      <c r="E14942" s="1906"/>
      <c r="F14942" s="1907">
        <v>9.5998333333333508E-3</v>
      </c>
      <c r="G14942" s="78"/>
    </row>
    <row r="14944" spans="1:7" ht="12.75" hidden="1" customHeight="1" outlineLevel="1" x14ac:dyDescent="0.25">
      <c r="A14944" s="3237" t="s">
        <v>113</v>
      </c>
      <c r="B14944" s="3237" t="s">
        <v>114</v>
      </c>
      <c r="C14944" s="3237" t="s">
        <v>112</v>
      </c>
      <c r="D14944" s="3237" t="s">
        <v>116</v>
      </c>
      <c r="E14944" s="3237" t="s">
        <v>117</v>
      </c>
      <c r="F14944" s="3276" t="s">
        <v>121</v>
      </c>
      <c r="G14944" s="78"/>
    </row>
    <row r="14945" spans="1:18" ht="12.75" hidden="1" customHeight="1" outlineLevel="1" x14ac:dyDescent="0.25">
      <c r="A14945" s="3238">
        <v>1</v>
      </c>
      <c r="B14945" s="3239" t="s">
        <v>252</v>
      </c>
      <c r="C14945" s="3240">
        <v>100</v>
      </c>
      <c r="D14945" s="3240"/>
      <c r="E14945" s="3241"/>
      <c r="F14945" s="3242"/>
      <c r="G14945" s="78"/>
      <c r="K14945" s="37"/>
    </row>
    <row r="14946" spans="1:18" ht="12.75" hidden="1" customHeight="1" outlineLevel="1" x14ac:dyDescent="0.25">
      <c r="A14946" s="3243" t="s">
        <v>2734</v>
      </c>
      <c r="B14946" s="3243"/>
      <c r="C14946" s="3244"/>
      <c r="D14946" s="1900" t="s">
        <v>3702</v>
      </c>
      <c r="E14946" s="3245">
        <v>44561</v>
      </c>
      <c r="F14946" s="3246"/>
      <c r="G14946" s="78"/>
    </row>
    <row r="14947" spans="1:18" ht="12.75" hidden="1" customHeight="1" outlineLevel="1" x14ac:dyDescent="0.25">
      <c r="A14947" s="3237" t="s">
        <v>4156</v>
      </c>
      <c r="B14947" s="3237" t="s">
        <v>4153</v>
      </c>
      <c r="C14947" s="3247" t="s">
        <v>112</v>
      </c>
      <c r="D14947" s="3248" t="s">
        <v>4155</v>
      </c>
      <c r="E14947" s="3237" t="s">
        <v>4154</v>
      </c>
      <c r="F14947" s="3277" t="s">
        <v>2519</v>
      </c>
      <c r="G14947" s="78"/>
      <c r="I14947" s="412" t="s">
        <v>6964</v>
      </c>
      <c r="J14947" s="1462">
        <v>42461</v>
      </c>
      <c r="K14947" s="1462">
        <v>42491</v>
      </c>
      <c r="L14947" s="1462">
        <v>42522</v>
      </c>
      <c r="M14947" s="1462">
        <v>42552</v>
      </c>
      <c r="N14947" s="1462">
        <v>42583</v>
      </c>
      <c r="O14947" s="1462">
        <v>42614</v>
      </c>
    </row>
    <row r="14948" spans="1:18" ht="12.75" hidden="1" customHeight="1" outlineLevel="1" x14ac:dyDescent="0.25">
      <c r="A14948" s="1991">
        <v>0.02</v>
      </c>
      <c r="B14948" s="1921" t="s">
        <v>359</v>
      </c>
      <c r="C14948" s="2108">
        <v>144.05500000000001</v>
      </c>
      <c r="D14948" s="3278">
        <v>207.65</v>
      </c>
      <c r="E14948" s="3269">
        <v>0.44146332997813342</v>
      </c>
      <c r="F14948" s="3277">
        <v>8.8292665995626692E-3</v>
      </c>
      <c r="H14948" t="s">
        <v>360</v>
      </c>
      <c r="I14948" s="412">
        <v>99.669399999999996</v>
      </c>
      <c r="J14948">
        <v>99.721400000000003</v>
      </c>
      <c r="K14948">
        <v>99.7012</v>
      </c>
      <c r="L14948">
        <v>99.669399999999996</v>
      </c>
      <c r="M14948">
        <v>101.20269999999999</v>
      </c>
      <c r="N14948">
        <v>101.604</v>
      </c>
      <c r="O14948">
        <v>101.70740000000001</v>
      </c>
      <c r="R14948" s="434"/>
    </row>
    <row r="14949" spans="1:18" ht="12.75" hidden="1" customHeight="1" outlineLevel="1" x14ac:dyDescent="0.25">
      <c r="A14949" s="2380">
        <v>0.02</v>
      </c>
      <c r="B14949" s="1921" t="s">
        <v>6325</v>
      </c>
      <c r="C14949" s="2108">
        <v>64.504999999999995</v>
      </c>
      <c r="D14949" s="3280">
        <v>88.97</v>
      </c>
      <c r="E14949" s="3270">
        <v>0.37927292457949013</v>
      </c>
      <c r="F14949" s="3282">
        <v>7.5854584915898025E-3</v>
      </c>
      <c r="H14949" t="s">
        <v>10509</v>
      </c>
      <c r="I14949" s="422"/>
      <c r="R14949" s="434"/>
    </row>
    <row r="14950" spans="1:18" ht="12.75" hidden="1" customHeight="1" outlineLevel="1" x14ac:dyDescent="0.25">
      <c r="A14950" s="2380">
        <v>0.02</v>
      </c>
      <c r="B14950" s="1921" t="s">
        <v>3998</v>
      </c>
      <c r="C14950" s="2108">
        <v>38.495000000000005</v>
      </c>
      <c r="D14950" s="3280">
        <v>24.6</v>
      </c>
      <c r="E14950" s="3270">
        <v>-0.36095596830757248</v>
      </c>
      <c r="F14950" s="3282">
        <v>-7.2191193661514498E-3</v>
      </c>
      <c r="H14950" t="s">
        <v>4000</v>
      </c>
      <c r="I14950" s="37">
        <v>7.8298055555555662E-2</v>
      </c>
      <c r="R14950" s="434"/>
    </row>
    <row r="14951" spans="1:18" ht="12.75" hidden="1" customHeight="1" outlineLevel="1" x14ac:dyDescent="0.25">
      <c r="A14951" s="2380">
        <v>0.02</v>
      </c>
      <c r="B14951" s="1921" t="s">
        <v>7753</v>
      </c>
      <c r="C14951" s="2108">
        <v>128.94999999999999</v>
      </c>
      <c r="D14951" s="3280">
        <v>149.1</v>
      </c>
      <c r="E14951" s="3270">
        <v>0.15626211709965099</v>
      </c>
      <c r="F14951" s="3282">
        <v>3.1252423419930197E-3</v>
      </c>
      <c r="H14951" t="s">
        <v>8901</v>
      </c>
      <c r="R14951" s="434"/>
    </row>
    <row r="14952" spans="1:18" ht="12.75" hidden="1" customHeight="1" outlineLevel="1" x14ac:dyDescent="0.25">
      <c r="A14952" s="2380">
        <v>0.02</v>
      </c>
      <c r="B14952" s="1921" t="s">
        <v>3954</v>
      </c>
      <c r="C14952" s="2108">
        <v>97.13600000000001</v>
      </c>
      <c r="D14952" s="3280">
        <v>147.44999999999999</v>
      </c>
      <c r="E14952" s="3270">
        <v>0.51797479822105053</v>
      </c>
      <c r="F14952" s="3282">
        <v>1.035949596442101E-2</v>
      </c>
      <c r="H14952" t="s">
        <v>3955</v>
      </c>
      <c r="R14952" s="434"/>
    </row>
    <row r="14953" spans="1:18" ht="12.75" hidden="1" customHeight="1" outlineLevel="1" x14ac:dyDescent="0.25">
      <c r="A14953" s="2380">
        <v>0.05</v>
      </c>
      <c r="B14953" s="1921" t="s">
        <v>4055</v>
      </c>
      <c r="C14953" s="2108">
        <v>69.039999999999992</v>
      </c>
      <c r="D14953" s="3280">
        <v>78.75</v>
      </c>
      <c r="E14953" s="3270">
        <v>0.14064310544611835</v>
      </c>
      <c r="F14953" s="3282">
        <v>7.0321552723059183E-3</v>
      </c>
      <c r="H14953" t="s">
        <v>4056</v>
      </c>
      <c r="K14953" s="1595"/>
      <c r="R14953" s="434"/>
    </row>
    <row r="14954" spans="1:18" ht="12.75" hidden="1" customHeight="1" outlineLevel="1" x14ac:dyDescent="0.25">
      <c r="A14954" s="2380">
        <v>0.02</v>
      </c>
      <c r="B14954" s="1921" t="s">
        <v>7134</v>
      </c>
      <c r="C14954" s="2108">
        <v>9.3688406416330903</v>
      </c>
      <c r="D14954" s="3280">
        <v>10.33</v>
      </c>
      <c r="E14954" s="3270">
        <v>0.10259106704150001</v>
      </c>
      <c r="F14954" s="3282">
        <v>2.0518213408300002E-3</v>
      </c>
      <c r="H14954" t="s">
        <v>497</v>
      </c>
      <c r="R14954" s="434"/>
    </row>
    <row r="14955" spans="1:18" ht="12.75" hidden="1" customHeight="1" outlineLevel="1" x14ac:dyDescent="0.25">
      <c r="A14955" s="2380">
        <v>0.02</v>
      </c>
      <c r="B14955" s="1921" t="s">
        <v>6267</v>
      </c>
      <c r="C14955" s="2108">
        <v>26.035000000000004</v>
      </c>
      <c r="D14955" s="3280">
        <v>20.399999999999999</v>
      </c>
      <c r="E14955" s="3270">
        <v>-0.21643940848857324</v>
      </c>
      <c r="F14955" s="3282">
        <v>-4.3287881697714652E-3</v>
      </c>
      <c r="H14955" t="s">
        <v>6268</v>
      </c>
      <c r="R14955" s="434"/>
    </row>
    <row r="14956" spans="1:18" ht="12.75" hidden="1" customHeight="1" outlineLevel="1" x14ac:dyDescent="0.25">
      <c r="A14956" s="2380">
        <v>0.02</v>
      </c>
      <c r="B14956" s="1921" t="s">
        <v>4268</v>
      </c>
      <c r="C14956" s="2108">
        <v>13.311000000000002</v>
      </c>
      <c r="D14956" s="3280">
        <v>26.99</v>
      </c>
      <c r="E14956" s="3270">
        <v>1.0276463075651714</v>
      </c>
      <c r="F14956" s="3282">
        <v>2.0552926151303427E-2</v>
      </c>
      <c r="H14956" t="s">
        <v>8442</v>
      </c>
      <c r="R14956" s="434"/>
    </row>
    <row r="14957" spans="1:18" ht="12.75" hidden="1" customHeight="1" outlineLevel="1" x14ac:dyDescent="0.25">
      <c r="A14957" s="2380">
        <v>0.03</v>
      </c>
      <c r="B14957" s="1921" t="s">
        <v>10371</v>
      </c>
      <c r="C14957" s="2108">
        <v>29.524795522633259</v>
      </c>
      <c r="D14957" s="3280">
        <v>36.090000000000003</v>
      </c>
      <c r="E14957" s="3270">
        <v>0.22236240289400011</v>
      </c>
      <c r="F14957" s="3282">
        <v>6.670872086820003E-3</v>
      </c>
      <c r="H14957" t="s">
        <v>10370</v>
      </c>
      <c r="R14957" s="434"/>
    </row>
    <row r="14958" spans="1:18" ht="12.75" hidden="1" customHeight="1" outlineLevel="1" x14ac:dyDescent="0.25">
      <c r="A14958" s="2380">
        <v>0.02</v>
      </c>
      <c r="B14958" s="1921" t="s">
        <v>6902</v>
      </c>
      <c r="C14958" s="2108">
        <v>2.3721000000000001</v>
      </c>
      <c r="D14958" s="3280">
        <v>2.9750000000000001</v>
      </c>
      <c r="E14958" s="3270">
        <v>0.25416297795202558</v>
      </c>
      <c r="F14958" s="3282">
        <v>5.0832595590405115E-3</v>
      </c>
      <c r="H14958" t="s">
        <v>6899</v>
      </c>
      <c r="R14958" s="434"/>
    </row>
    <row r="14959" spans="1:18" ht="12.75" hidden="1" customHeight="1" outlineLevel="1" x14ac:dyDescent="0.25">
      <c r="A14959" s="2380">
        <v>0.02</v>
      </c>
      <c r="B14959" s="1921" t="s">
        <v>1772</v>
      </c>
      <c r="C14959" s="2108">
        <v>182.47499999999999</v>
      </c>
      <c r="D14959" s="3280">
        <v>260.5</v>
      </c>
      <c r="E14959" s="3270">
        <v>0.42759282093437467</v>
      </c>
      <c r="F14959" s="3282">
        <v>8.5518564186874944E-3</v>
      </c>
      <c r="H14959" t="s">
        <v>4330</v>
      </c>
      <c r="L14959" s="1595"/>
      <c r="R14959" s="434"/>
    </row>
    <row r="14960" spans="1:18" ht="12.75" hidden="1" customHeight="1" outlineLevel="1" x14ac:dyDescent="0.25">
      <c r="A14960" s="2380">
        <v>0.02</v>
      </c>
      <c r="B14960" s="1921" t="s">
        <v>7754</v>
      </c>
      <c r="C14960" s="2519">
        <v>42.177</v>
      </c>
      <c r="D14960" s="3280">
        <v>96.44</v>
      </c>
      <c r="E14960" s="3270">
        <v>1.2865542831401</v>
      </c>
      <c r="F14960" s="3282">
        <v>2.5731085662802002E-2</v>
      </c>
      <c r="H14960" t="s">
        <v>7751</v>
      </c>
      <c r="R14960" s="434"/>
    </row>
    <row r="14961" spans="1:18" ht="12.75" hidden="1" customHeight="1" outlineLevel="1" x14ac:dyDescent="0.25">
      <c r="A14961" s="2380">
        <v>0.02</v>
      </c>
      <c r="B14961" s="1921" t="s">
        <v>1203</v>
      </c>
      <c r="C14961" s="2108">
        <v>87.35499999999999</v>
      </c>
      <c r="D14961" s="3280">
        <v>110.5</v>
      </c>
      <c r="E14961" s="3270">
        <v>0.2649533512678155</v>
      </c>
      <c r="F14961" s="3282">
        <v>5.2990670253563101E-3</v>
      </c>
      <c r="H14961" t="s">
        <v>79</v>
      </c>
      <c r="R14961" s="434"/>
    </row>
    <row r="14962" spans="1:18" ht="12.75" hidden="1" customHeight="1" outlineLevel="1" x14ac:dyDescent="0.25">
      <c r="A14962" s="2380">
        <v>0.05</v>
      </c>
      <c r="B14962" s="1921" t="s">
        <v>3793</v>
      </c>
      <c r="C14962" s="2108">
        <v>96.951000000000008</v>
      </c>
      <c r="D14962" s="3280">
        <v>95</v>
      </c>
      <c r="E14962" s="3270">
        <v>-2.0123567575373258E-2</v>
      </c>
      <c r="F14962" s="3282">
        <v>-1.0061783787686629E-3</v>
      </c>
      <c r="H14962" t="s">
        <v>3533</v>
      </c>
      <c r="R14962" s="434"/>
    </row>
    <row r="14963" spans="1:18" ht="12.75" hidden="1" customHeight="1" outlineLevel="1" x14ac:dyDescent="0.25">
      <c r="A14963" s="2380">
        <v>0.02</v>
      </c>
      <c r="B14963" s="1921" t="s">
        <v>2769</v>
      </c>
      <c r="C14963" s="2108">
        <v>36.714999999999996</v>
      </c>
      <c r="D14963" s="3280">
        <v>30.06</v>
      </c>
      <c r="E14963" s="3270">
        <v>-0.18126106495982564</v>
      </c>
      <c r="F14963" s="3282">
        <v>-3.6252212991965127E-3</v>
      </c>
      <c r="H14963" t="s">
        <v>2770</v>
      </c>
      <c r="R14963" s="434"/>
    </row>
    <row r="14964" spans="1:18" ht="12.75" hidden="1" customHeight="1" outlineLevel="1" x14ac:dyDescent="0.25">
      <c r="A14964" s="2380">
        <v>0.08</v>
      </c>
      <c r="B14964" s="1921" t="s">
        <v>2297</v>
      </c>
      <c r="C14964" s="2108">
        <v>50.943999999999996</v>
      </c>
      <c r="D14964" s="3280">
        <v>60.23</v>
      </c>
      <c r="E14964" s="3270">
        <v>0.18227858040201017</v>
      </c>
      <c r="F14964" s="3282">
        <v>1.4582286432160814E-2</v>
      </c>
      <c r="H14964" t="s">
        <v>2298</v>
      </c>
      <c r="R14964" s="434"/>
    </row>
    <row r="14965" spans="1:18" ht="12.75" hidden="1" customHeight="1" outlineLevel="1" x14ac:dyDescent="0.25">
      <c r="A14965" s="2380">
        <v>0.02</v>
      </c>
      <c r="B14965" s="1921" t="s">
        <v>5205</v>
      </c>
      <c r="C14965" s="2108">
        <v>16.808499999999999</v>
      </c>
      <c r="D14965" s="3280">
        <v>16.218</v>
      </c>
      <c r="E14965" s="3270">
        <v>-3.513103489306002E-2</v>
      </c>
      <c r="F14965" s="3282">
        <v>-7.0262069786120041E-4</v>
      </c>
      <c r="H14965" t="s">
        <v>5199</v>
      </c>
      <c r="R14965" s="434"/>
    </row>
    <row r="14966" spans="1:18" ht="12.75" hidden="1" customHeight="1" outlineLevel="1" x14ac:dyDescent="0.25">
      <c r="A14966" s="2380">
        <v>0.02</v>
      </c>
      <c r="B14966" s="1921" t="s">
        <v>6270</v>
      </c>
      <c r="C14966" s="2108">
        <v>41.72696926561273</v>
      </c>
      <c r="D14966" s="3280">
        <v>44.06</v>
      </c>
      <c r="E14966" s="3270">
        <v>5.5911818553999959E-2</v>
      </c>
      <c r="F14966" s="3282">
        <v>1.1182363710799993E-3</v>
      </c>
      <c r="H14966" t="s">
        <v>8166</v>
      </c>
      <c r="R14966" s="434"/>
    </row>
    <row r="14967" spans="1:18" ht="12.75" hidden="1" customHeight="1" outlineLevel="1" x14ac:dyDescent="0.25">
      <c r="A14967" s="2380">
        <v>0.08</v>
      </c>
      <c r="B14967" s="1921" t="s">
        <v>7348</v>
      </c>
      <c r="C14967" s="2108">
        <v>2011</v>
      </c>
      <c r="D14967" s="3280">
        <v>3047</v>
      </c>
      <c r="E14967" s="3270">
        <v>0.51516658378915969</v>
      </c>
      <c r="F14967" s="3282">
        <v>4.1213326703132776E-2</v>
      </c>
      <c r="H14967" t="s">
        <v>8899</v>
      </c>
      <c r="R14967" s="434"/>
    </row>
    <row r="14968" spans="1:18" ht="12.75" hidden="1" customHeight="1" outlineLevel="1" x14ac:dyDescent="0.25">
      <c r="A14968" s="2380">
        <v>0.02</v>
      </c>
      <c r="B14968" s="1921" t="s">
        <v>6524</v>
      </c>
      <c r="C14968" s="2108">
        <v>87.17735600607719</v>
      </c>
      <c r="D14968" s="3280">
        <v>125.85</v>
      </c>
      <c r="E14968" s="3270">
        <v>0.44360881960249987</v>
      </c>
      <c r="F14968" s="3282">
        <v>8.8721763920499973E-3</v>
      </c>
      <c r="H14968" t="s">
        <v>6525</v>
      </c>
      <c r="R14968" s="434"/>
    </row>
    <row r="14969" spans="1:18" ht="12.75" hidden="1" customHeight="1" outlineLevel="1" x14ac:dyDescent="0.25">
      <c r="A14969" s="2380">
        <v>0.08</v>
      </c>
      <c r="B14969" s="1921" t="s">
        <v>3427</v>
      </c>
      <c r="C14969" s="2108">
        <v>50.138999999999996</v>
      </c>
      <c r="D14969" s="3280">
        <v>68.58</v>
      </c>
      <c r="E14969" s="3270">
        <v>0.3677975228863759</v>
      </c>
      <c r="F14969" s="3282">
        <v>2.9423801830910073E-2</v>
      </c>
      <c r="H14969" t="s">
        <v>2800</v>
      </c>
      <c r="R14969" s="434"/>
    </row>
    <row r="14970" spans="1:18" ht="12.75" hidden="1" customHeight="1" outlineLevel="1" x14ac:dyDescent="0.25">
      <c r="A14970" s="2380">
        <v>0.02</v>
      </c>
      <c r="B14970" s="1921" t="s">
        <v>7627</v>
      </c>
      <c r="C14970" s="2108">
        <v>11.837999999999999</v>
      </c>
      <c r="D14970" s="3280">
        <v>11.07</v>
      </c>
      <c r="E14970" s="3270">
        <v>-6.4875823618854467E-2</v>
      </c>
      <c r="F14970" s="3282">
        <v>-1.2975164723770893E-3</v>
      </c>
      <c r="H14970" t="s">
        <v>10103</v>
      </c>
      <c r="R14970" s="434"/>
    </row>
    <row r="14971" spans="1:18" ht="12.75" hidden="1" customHeight="1" outlineLevel="1" x14ac:dyDescent="0.25">
      <c r="A14971" s="2380">
        <v>0.08</v>
      </c>
      <c r="B14971" s="1921" t="s">
        <v>6118</v>
      </c>
      <c r="C14971" s="2108">
        <v>89.515000000000001</v>
      </c>
      <c r="D14971" s="3280">
        <v>90.26</v>
      </c>
      <c r="E14971" s="3270">
        <v>8.322627492599155E-3</v>
      </c>
      <c r="F14971" s="3282">
        <v>6.6581019940793241E-4</v>
      </c>
      <c r="H14971" t="s">
        <v>8893</v>
      </c>
      <c r="R14971" s="434"/>
    </row>
    <row r="14972" spans="1:18" ht="12.75" hidden="1" customHeight="1" outlineLevel="1" x14ac:dyDescent="0.25">
      <c r="A14972" s="2380">
        <v>0.08</v>
      </c>
      <c r="B14972" s="1921" t="s">
        <v>1239</v>
      </c>
      <c r="C14972" s="2108">
        <v>515.4</v>
      </c>
      <c r="D14972" s="3280">
        <v>514.6</v>
      </c>
      <c r="E14972" s="3270">
        <v>-1.5521924718664426E-3</v>
      </c>
      <c r="F14972" s="3282">
        <v>-1.2417539774931541E-4</v>
      </c>
      <c r="H14972" t="s">
        <v>8891</v>
      </c>
      <c r="R14972" s="434"/>
    </row>
    <row r="14973" spans="1:18" ht="12.75" hidden="1" customHeight="1" outlineLevel="1" x14ac:dyDescent="0.25">
      <c r="A14973" s="2380">
        <v>0.05</v>
      </c>
      <c r="B14973" s="1921" t="s">
        <v>7755</v>
      </c>
      <c r="C14973" s="2108">
        <v>9.9542999999999999</v>
      </c>
      <c r="D14973" s="3280">
        <v>3.8519999999999999</v>
      </c>
      <c r="E14973" s="3270">
        <v>-0.61303155420270639</v>
      </c>
      <c r="F14973" s="3282">
        <v>-3.0651577710135321E-2</v>
      </c>
      <c r="H14973" t="s">
        <v>6732</v>
      </c>
      <c r="R14973" s="434"/>
    </row>
    <row r="14974" spans="1:18" ht="12.75" hidden="1" customHeight="1" outlineLevel="1" x14ac:dyDescent="0.25">
      <c r="A14974" s="2380">
        <v>0.02</v>
      </c>
      <c r="B14974" s="1921" t="s">
        <v>3665</v>
      </c>
      <c r="C14974" s="2108">
        <v>20.444500000000001</v>
      </c>
      <c r="D14974" s="3280">
        <v>29.79</v>
      </c>
      <c r="E14974" s="3270">
        <v>0.4571156056641148</v>
      </c>
      <c r="F14974" s="3282">
        <v>9.1423121132822964E-3</v>
      </c>
      <c r="H14974" t="s">
        <v>7021</v>
      </c>
      <c r="R14974" s="434"/>
    </row>
    <row r="14975" spans="1:18" ht="12.75" hidden="1" customHeight="1" outlineLevel="1" x14ac:dyDescent="0.25">
      <c r="A14975" s="2380">
        <v>0.02</v>
      </c>
      <c r="B14975" s="1921" t="s">
        <v>6337</v>
      </c>
      <c r="C14975" s="2108">
        <v>55.218999999999994</v>
      </c>
      <c r="D14975" s="3280">
        <v>96.98</v>
      </c>
      <c r="E14975" s="3270">
        <v>0.75627954146217813</v>
      </c>
      <c r="F14975" s="3282">
        <v>1.5125590829243562E-2</v>
      </c>
      <c r="H14975" t="s">
        <v>7752</v>
      </c>
      <c r="R14975" s="434"/>
    </row>
    <row r="14976" spans="1:18" ht="12.75" hidden="1" customHeight="1" outlineLevel="1" x14ac:dyDescent="0.25">
      <c r="A14976" s="2380">
        <v>0.02</v>
      </c>
      <c r="B14976" s="1921" t="s">
        <v>10633</v>
      </c>
      <c r="C14976" s="2108">
        <v>41.982500000000002</v>
      </c>
      <c r="D14976" s="3280">
        <v>44.63</v>
      </c>
      <c r="E14976" s="3270">
        <v>6.3061990114928967E-2</v>
      </c>
      <c r="F14976" s="3282">
        <v>1.2612398022985793E-3</v>
      </c>
      <c r="H14976" t="s">
        <v>10634</v>
      </c>
      <c r="R14976" s="434"/>
    </row>
    <row r="14977" spans="1:18" ht="12.75" hidden="1" customHeight="1" outlineLevel="1" x14ac:dyDescent="0.25">
      <c r="A14977" s="2380">
        <v>0.02</v>
      </c>
      <c r="B14977" s="2109" t="s">
        <v>255</v>
      </c>
      <c r="C14977" s="2108">
        <v>52.838000000000001</v>
      </c>
      <c r="D14977" s="3283">
        <v>51.96</v>
      </c>
      <c r="E14977" s="3270">
        <v>-1.6616828797456407E-2</v>
      </c>
      <c r="F14977" s="3282">
        <v>-3.3233657594912815E-4</v>
      </c>
      <c r="H14977" t="s">
        <v>3351</v>
      </c>
      <c r="R14977" s="434"/>
    </row>
    <row r="14978" spans="1:18" ht="12.75" hidden="1" customHeight="1" outlineLevel="1" x14ac:dyDescent="0.25">
      <c r="A14978" s="2181" t="s">
        <v>2734</v>
      </c>
      <c r="B14978" s="2103"/>
      <c r="C14978" s="3258">
        <v>100</v>
      </c>
      <c r="D14978" s="3259"/>
      <c r="E14978" s="3284"/>
      <c r="F14978" s="3277">
        <v>0.18298975352031799</v>
      </c>
      <c r="G14978" s="78"/>
    </row>
    <row r="14979" spans="1:18" ht="12.75" hidden="1" customHeight="1" outlineLevel="1" x14ac:dyDescent="0.25">
      <c r="A14979" s="1956" t="s">
        <v>7759</v>
      </c>
      <c r="B14979" s="2185">
        <v>44013</v>
      </c>
      <c r="C14979" s="3261">
        <v>100</v>
      </c>
      <c r="D14979" s="3261">
        <v>95.953999999999994</v>
      </c>
      <c r="E14979" s="3262">
        <v>-4.0460000000000051E-2</v>
      </c>
      <c r="F14979" s="3285"/>
      <c r="G14979" s="78"/>
    </row>
    <row r="14980" spans="1:18" ht="12.75" hidden="1" customHeight="1" outlineLevel="1" x14ac:dyDescent="0.25">
      <c r="A14980" s="1956" t="s">
        <v>7760</v>
      </c>
      <c r="B14980" s="2185">
        <v>44044</v>
      </c>
      <c r="C14980" s="3261">
        <v>100</v>
      </c>
      <c r="D14980" s="3264">
        <v>97.436999999999998</v>
      </c>
      <c r="E14980" s="3262">
        <v>-2.5630000000000042E-2</v>
      </c>
      <c r="F14980" s="3285"/>
      <c r="G14980" s="78"/>
    </row>
    <row r="14981" spans="1:18" ht="12.75" hidden="1" customHeight="1" outlineLevel="1" x14ac:dyDescent="0.25">
      <c r="A14981" s="1956" t="s">
        <v>7761</v>
      </c>
      <c r="B14981" s="2185">
        <v>44075</v>
      </c>
      <c r="C14981" s="3261">
        <v>100</v>
      </c>
      <c r="D14981" s="3264">
        <v>94.591899999999995</v>
      </c>
      <c r="E14981" s="3262">
        <v>-5.4081000000000046E-2</v>
      </c>
      <c r="F14981" s="3285"/>
      <c r="G14981" s="78"/>
    </row>
    <row r="14982" spans="1:18" ht="12.75" hidden="1" customHeight="1" outlineLevel="1" x14ac:dyDescent="0.25">
      <c r="A14982" s="1956" t="s">
        <v>7762</v>
      </c>
      <c r="B14982" s="2185">
        <v>44105</v>
      </c>
      <c r="C14982" s="3261">
        <v>100</v>
      </c>
      <c r="D14982" s="3264">
        <v>92.5398</v>
      </c>
      <c r="E14982" s="3262">
        <v>-7.4602000000000057E-2</v>
      </c>
      <c r="F14982" s="3285"/>
      <c r="G14982" s="78"/>
    </row>
    <row r="14983" spans="1:18" ht="12.75" hidden="1" customHeight="1" outlineLevel="1" x14ac:dyDescent="0.25">
      <c r="A14983" s="1956" t="s">
        <v>7763</v>
      </c>
      <c r="B14983" s="2185">
        <v>44136</v>
      </c>
      <c r="C14983" s="3261">
        <v>100</v>
      </c>
      <c r="D14983" s="3264">
        <v>104.3433</v>
      </c>
      <c r="E14983" s="3262">
        <v>4.3433000000000055E-2</v>
      </c>
      <c r="F14983" s="3285"/>
      <c r="G14983" s="78"/>
    </row>
    <row r="14984" spans="1:18" ht="12.75" hidden="1" customHeight="1" outlineLevel="1" x14ac:dyDescent="0.25">
      <c r="A14984" s="1956" t="s">
        <v>7764</v>
      </c>
      <c r="B14984" s="2185">
        <v>44166</v>
      </c>
      <c r="C14984" s="3261">
        <v>100</v>
      </c>
      <c r="D14984" s="3264">
        <v>104.5407</v>
      </c>
      <c r="E14984" s="3262">
        <v>4.5406999999999975E-2</v>
      </c>
      <c r="F14984" s="3285"/>
      <c r="G14984" s="78"/>
    </row>
    <row r="14985" spans="1:18" ht="12.75" hidden="1" customHeight="1" outlineLevel="1" x14ac:dyDescent="0.25">
      <c r="A14985" s="1956" t="s">
        <v>7765</v>
      </c>
      <c r="B14985" s="2185">
        <v>44197</v>
      </c>
      <c r="C14985" s="3261">
        <v>100</v>
      </c>
      <c r="D14985" s="3264">
        <v>102.65089999999999</v>
      </c>
      <c r="E14985" s="3262">
        <v>2.6508999999999894E-2</v>
      </c>
      <c r="F14985" s="3285"/>
      <c r="G14985" s="78"/>
    </row>
    <row r="14986" spans="1:18" ht="12.75" hidden="1" customHeight="1" outlineLevel="1" x14ac:dyDescent="0.25">
      <c r="A14986" s="1956" t="s">
        <v>7766</v>
      </c>
      <c r="B14986" s="2185">
        <v>44228</v>
      </c>
      <c r="C14986" s="3261">
        <v>100</v>
      </c>
      <c r="D14986" s="3264">
        <v>103.7206</v>
      </c>
      <c r="E14986" s="3262">
        <v>3.7206000000000072E-2</v>
      </c>
      <c r="F14986" s="3285"/>
      <c r="G14986" s="78"/>
    </row>
    <row r="14987" spans="1:18" ht="12.75" hidden="1" customHeight="1" outlineLevel="1" x14ac:dyDescent="0.25">
      <c r="A14987" s="1956" t="s">
        <v>7767</v>
      </c>
      <c r="B14987" s="2185">
        <v>44256</v>
      </c>
      <c r="C14987" s="3261">
        <v>100</v>
      </c>
      <c r="D14987" s="3264">
        <v>110.5637</v>
      </c>
      <c r="E14987" s="3262">
        <v>0.10563699999999998</v>
      </c>
      <c r="F14987" s="3285"/>
      <c r="G14987" s="78"/>
    </row>
    <row r="14988" spans="1:18" ht="12.75" hidden="1" customHeight="1" outlineLevel="1" x14ac:dyDescent="0.25">
      <c r="A14988" s="1956" t="s">
        <v>7768</v>
      </c>
      <c r="B14988" s="2185">
        <v>44287</v>
      </c>
      <c r="C14988" s="3261">
        <v>100</v>
      </c>
      <c r="D14988" s="3264">
        <v>111.7045</v>
      </c>
      <c r="E14988" s="3262">
        <v>0.11704500000000007</v>
      </c>
      <c r="F14988" s="3285"/>
      <c r="G14988" s="78"/>
    </row>
    <row r="14989" spans="1:18" ht="12.75" hidden="1" customHeight="1" outlineLevel="1" x14ac:dyDescent="0.25">
      <c r="A14989" s="1956" t="s">
        <v>7769</v>
      </c>
      <c r="B14989" s="2185">
        <v>44317</v>
      </c>
      <c r="C14989" s="3261">
        <v>100</v>
      </c>
      <c r="D14989" s="3264">
        <v>113.14109999999999</v>
      </c>
      <c r="E14989" s="3262">
        <v>0.13141099999999994</v>
      </c>
      <c r="F14989" s="3285"/>
      <c r="G14989" s="78"/>
    </row>
    <row r="14990" spans="1:18" ht="12.75" hidden="1" customHeight="1" outlineLevel="1" x14ac:dyDescent="0.25">
      <c r="A14990" s="1956" t="s">
        <v>7770</v>
      </c>
      <c r="B14990" s="2185">
        <v>44348</v>
      </c>
      <c r="C14990" s="3261">
        <v>100</v>
      </c>
      <c r="D14990" s="3264">
        <v>113.3108</v>
      </c>
      <c r="E14990" s="3262">
        <v>0.133108</v>
      </c>
      <c r="F14990" s="3285"/>
      <c r="G14990" s="78"/>
    </row>
    <row r="14991" spans="1:18" ht="12.75" hidden="1" customHeight="1" outlineLevel="1" x14ac:dyDescent="0.25">
      <c r="A14991" s="1956" t="s">
        <v>7771</v>
      </c>
      <c r="B14991" s="2185">
        <v>44378</v>
      </c>
      <c r="C14991" s="3261">
        <v>100</v>
      </c>
      <c r="D14991" s="3264">
        <v>114.7671</v>
      </c>
      <c r="E14991" s="3262">
        <v>0.14767099999999989</v>
      </c>
      <c r="F14991" s="3285"/>
      <c r="G14991" s="78"/>
    </row>
    <row r="14992" spans="1:18" ht="12.75" hidden="1" customHeight="1" outlineLevel="1" x14ac:dyDescent="0.25">
      <c r="A14992" s="1956" t="s">
        <v>7772</v>
      </c>
      <c r="B14992" s="2185">
        <v>44409</v>
      </c>
      <c r="C14992" s="3261">
        <v>100</v>
      </c>
      <c r="D14992" s="3264">
        <v>116.5526</v>
      </c>
      <c r="E14992" s="3262">
        <v>0.16552600000000006</v>
      </c>
      <c r="F14992" s="3285"/>
      <c r="G14992" s="78"/>
    </row>
    <row r="14993" spans="1:11" ht="12.75" hidden="1" customHeight="1" outlineLevel="1" x14ac:dyDescent="0.25">
      <c r="A14993" s="1956" t="s">
        <v>7773</v>
      </c>
      <c r="B14993" s="2185">
        <v>44440</v>
      </c>
      <c r="C14993" s="3261">
        <v>100</v>
      </c>
      <c r="D14993" s="3264">
        <v>113.2585</v>
      </c>
      <c r="E14993" s="3262">
        <v>0.13258499999999995</v>
      </c>
      <c r="F14993" s="3285"/>
      <c r="G14993" s="78"/>
    </row>
    <row r="14994" spans="1:11" ht="12.75" hidden="1" customHeight="1" outlineLevel="1" x14ac:dyDescent="0.25">
      <c r="A14994" s="1956" t="s">
        <v>7774</v>
      </c>
      <c r="B14994" s="2185">
        <v>44470</v>
      </c>
      <c r="C14994" s="3261">
        <v>100</v>
      </c>
      <c r="D14994" s="3264">
        <v>114.93980000000001</v>
      </c>
      <c r="E14994" s="3262">
        <v>0.14939800000000014</v>
      </c>
      <c r="F14994" s="3285"/>
      <c r="G14994" s="78"/>
    </row>
    <row r="14995" spans="1:11" ht="12.75" hidden="1" customHeight="1" outlineLevel="1" x14ac:dyDescent="0.25">
      <c r="A14995" s="1956" t="s">
        <v>7775</v>
      </c>
      <c r="B14995" s="2185">
        <v>44501</v>
      </c>
      <c r="C14995" s="3261">
        <v>100</v>
      </c>
      <c r="D14995" s="3264">
        <v>112.6373</v>
      </c>
      <c r="E14995" s="3262">
        <v>0.12637300000000007</v>
      </c>
      <c r="F14995" s="3285"/>
      <c r="G14995" s="78"/>
    </row>
    <row r="14996" spans="1:11" ht="12.75" hidden="1" customHeight="1" outlineLevel="1" x14ac:dyDescent="0.25">
      <c r="A14996" s="1956" t="s">
        <v>7776</v>
      </c>
      <c r="B14996" s="2185">
        <v>44531</v>
      </c>
      <c r="C14996" s="3261">
        <v>100</v>
      </c>
      <c r="D14996" s="3264">
        <v>118.3321</v>
      </c>
      <c r="E14996" s="3262">
        <v>0.18332100000000007</v>
      </c>
      <c r="F14996" s="3285"/>
      <c r="G14996" s="78"/>
    </row>
    <row r="14997" spans="1:11" ht="12.75" hidden="1" customHeight="1" outlineLevel="1" x14ac:dyDescent="0.25">
      <c r="A14997" s="2189" t="s">
        <v>2734</v>
      </c>
      <c r="B14997" s="2190"/>
      <c r="C14997" s="3264"/>
      <c r="D14997" s="2191" t="s">
        <v>2465</v>
      </c>
      <c r="E14997" s="1987">
        <v>7.4992055555555548E-2</v>
      </c>
      <c r="F14997" s="2192">
        <v>6.2638444444444538E-2</v>
      </c>
      <c r="G14997" s="78"/>
    </row>
    <row r="14998" spans="1:11" collapsed="1" x14ac:dyDescent="0.25">
      <c r="A14998" s="3801" t="s">
        <v>7750</v>
      </c>
      <c r="B14998" s="3802"/>
      <c r="C14998" s="3802"/>
      <c r="D14998" s="3802"/>
      <c r="E14998" s="1906"/>
      <c r="F14998" s="1907">
        <v>6.2638444444444538E-2</v>
      </c>
      <c r="G14998" s="78"/>
    </row>
    <row r="15000" spans="1:11" ht="12.75" hidden="1" customHeight="1" outlineLevel="1" x14ac:dyDescent="0.25">
      <c r="A15000" s="3237" t="s">
        <v>113</v>
      </c>
      <c r="B15000" s="3237" t="s">
        <v>114</v>
      </c>
      <c r="C15000" s="3237" t="s">
        <v>112</v>
      </c>
      <c r="D15000" s="3237" t="s">
        <v>116</v>
      </c>
      <c r="E15000" s="3237" t="s">
        <v>117</v>
      </c>
      <c r="F15000" s="3276" t="s">
        <v>121</v>
      </c>
      <c r="G15000" s="78"/>
    </row>
    <row r="15001" spans="1:11" ht="12.75" hidden="1" customHeight="1" outlineLevel="1" x14ac:dyDescent="0.25">
      <c r="A15001" s="3238">
        <v>1</v>
      </c>
      <c r="B15001" s="3239" t="s">
        <v>252</v>
      </c>
      <c r="C15001" s="3240">
        <v>100</v>
      </c>
      <c r="D15001" s="3240"/>
      <c r="E15001" s="3241"/>
      <c r="F15001" s="3242"/>
      <c r="G15001" s="78"/>
    </row>
    <row r="15002" spans="1:11" ht="12.75" hidden="1" customHeight="1" outlineLevel="1" x14ac:dyDescent="0.25">
      <c r="A15002" s="3243" t="s">
        <v>2734</v>
      </c>
      <c r="B15002" s="3243"/>
      <c r="C15002" s="3244"/>
      <c r="D15002" s="1900" t="s">
        <v>3702</v>
      </c>
      <c r="E15002" s="3245">
        <v>44439</v>
      </c>
      <c r="F15002" s="3246"/>
      <c r="G15002" s="78"/>
    </row>
    <row r="15003" spans="1:11" ht="12.75" hidden="1" customHeight="1" outlineLevel="1" x14ac:dyDescent="0.25">
      <c r="A15003" s="3237" t="s">
        <v>4156</v>
      </c>
      <c r="B15003" s="3237" t="s">
        <v>4153</v>
      </c>
      <c r="C15003" s="3247" t="s">
        <v>112</v>
      </c>
      <c r="D15003" s="3248" t="s">
        <v>4155</v>
      </c>
      <c r="E15003" s="3237" t="s">
        <v>4154</v>
      </c>
      <c r="F15003" s="3277" t="s">
        <v>2519</v>
      </c>
      <c r="G15003" s="78"/>
    </row>
    <row r="15004" spans="1:11" ht="12.75" hidden="1" customHeight="1" outlineLevel="1" x14ac:dyDescent="0.25">
      <c r="A15004" s="1991">
        <v>0.02</v>
      </c>
      <c r="B15004" s="1921" t="s">
        <v>359</v>
      </c>
      <c r="C15004" s="2108">
        <v>156.48499999999999</v>
      </c>
      <c r="D15004" s="3278">
        <v>198.98</v>
      </c>
      <c r="E15004" s="3279">
        <v>0.27155957440010225</v>
      </c>
      <c r="F15004" s="3277">
        <v>5.4311914880020452E-3</v>
      </c>
      <c r="G15004" s="78"/>
      <c r="H15004" t="s">
        <v>360</v>
      </c>
      <c r="K15004" s="434"/>
    </row>
    <row r="15005" spans="1:11" ht="12.75" hidden="1" customHeight="1" outlineLevel="1" x14ac:dyDescent="0.25">
      <c r="A15005" s="2380">
        <v>0.02</v>
      </c>
      <c r="B15005" s="1921" t="s">
        <v>1317</v>
      </c>
      <c r="C15005" s="2108">
        <v>58.577999999999996</v>
      </c>
      <c r="D15005" s="3280">
        <v>89.58</v>
      </c>
      <c r="E15005" s="3281">
        <v>0.52924306053467185</v>
      </c>
      <c r="F15005" s="3282">
        <v>1.0584861210693438E-2</v>
      </c>
      <c r="G15005" s="78"/>
      <c r="H15005" t="s">
        <v>1318</v>
      </c>
      <c r="K15005" s="434"/>
    </row>
    <row r="15006" spans="1:11" ht="12.75" hidden="1" customHeight="1" outlineLevel="1" x14ac:dyDescent="0.25">
      <c r="A15006" s="2380">
        <v>0.02</v>
      </c>
      <c r="B15006" s="1921" t="s">
        <v>3998</v>
      </c>
      <c r="C15006" s="2108">
        <v>34.197999999999993</v>
      </c>
      <c r="D15006" s="3280">
        <v>27.42</v>
      </c>
      <c r="E15006" s="3281">
        <v>-0.19819872507164138</v>
      </c>
      <c r="F15006" s="3282">
        <v>-3.9639745014328279E-3</v>
      </c>
      <c r="G15006" s="78"/>
      <c r="H15006" t="s">
        <v>4000</v>
      </c>
      <c r="K15006" s="434"/>
    </row>
    <row r="15007" spans="1:11" ht="12.75" hidden="1" customHeight="1" outlineLevel="1" x14ac:dyDescent="0.25">
      <c r="A15007" s="2380">
        <v>0.02</v>
      </c>
      <c r="B15007" s="1921" t="s">
        <v>7753</v>
      </c>
      <c r="C15007" s="2108">
        <v>125.22</v>
      </c>
      <c r="D15007" s="3280">
        <v>146.1</v>
      </c>
      <c r="E15007" s="3281">
        <v>0.16674652611403928</v>
      </c>
      <c r="F15007" s="3282">
        <v>3.3349305222807857E-3</v>
      </c>
      <c r="G15007" s="78"/>
      <c r="H15007" t="s">
        <v>8901</v>
      </c>
      <c r="K15007" s="434"/>
    </row>
    <row r="15008" spans="1:11" ht="12.75" hidden="1" customHeight="1" outlineLevel="1" x14ac:dyDescent="0.25">
      <c r="A15008" s="2380">
        <v>0.02</v>
      </c>
      <c r="B15008" s="1921" t="s">
        <v>3954</v>
      </c>
      <c r="C15008" s="2108">
        <v>90.793000000000006</v>
      </c>
      <c r="D15008" s="3280">
        <v>145.13999999999999</v>
      </c>
      <c r="E15008" s="3281">
        <v>0.59858138843302866</v>
      </c>
      <c r="F15008" s="3282">
        <v>1.1971627768660573E-2</v>
      </c>
      <c r="G15008" s="78"/>
      <c r="H15008" t="s">
        <v>3955</v>
      </c>
      <c r="K15008" s="434"/>
    </row>
    <row r="15009" spans="1:11" ht="12.75" hidden="1" customHeight="1" outlineLevel="1" x14ac:dyDescent="0.25">
      <c r="A15009" s="2380">
        <v>0.05</v>
      </c>
      <c r="B15009" s="1921" t="s">
        <v>4055</v>
      </c>
      <c r="C15009" s="2108">
        <v>64.509999999999991</v>
      </c>
      <c r="D15009" s="3280">
        <v>77.75</v>
      </c>
      <c r="E15009" s="3281">
        <v>0.20523949775228667</v>
      </c>
      <c r="F15009" s="3282">
        <v>1.0261974887614335E-2</v>
      </c>
      <c r="G15009" s="78"/>
      <c r="H15009" t="s">
        <v>4056</v>
      </c>
      <c r="K15009" s="434"/>
    </row>
    <row r="15010" spans="1:11" ht="12.75" hidden="1" customHeight="1" outlineLevel="1" x14ac:dyDescent="0.25">
      <c r="A15010" s="2380">
        <v>0.02</v>
      </c>
      <c r="B15010" s="1921" t="s">
        <v>496</v>
      </c>
      <c r="C15010" s="2108">
        <v>11.896035327294472</v>
      </c>
      <c r="D15010" s="3280">
        <v>11.475</v>
      </c>
      <c r="E15010" s="3281">
        <v>-3.5392911647500025E-2</v>
      </c>
      <c r="F15010" s="3282">
        <v>-7.0785823295000056E-4</v>
      </c>
      <c r="G15010" s="78"/>
      <c r="H15010" t="s">
        <v>497</v>
      </c>
      <c r="K15010" s="434"/>
    </row>
    <row r="15011" spans="1:11" ht="12.75" hidden="1" customHeight="1" outlineLevel="1" x14ac:dyDescent="0.25">
      <c r="A15011" s="2380">
        <v>0.02</v>
      </c>
      <c r="B15011" s="1921" t="s">
        <v>6267</v>
      </c>
      <c r="C15011" s="2108">
        <v>25.96</v>
      </c>
      <c r="D15011" s="3280">
        <v>19.265000000000001</v>
      </c>
      <c r="E15011" s="3281">
        <v>-0.25789676425269648</v>
      </c>
      <c r="F15011" s="3282">
        <v>-5.1579352850539299E-3</v>
      </c>
      <c r="G15011" s="78"/>
      <c r="H15011" t="s">
        <v>6268</v>
      </c>
      <c r="K15011" s="434"/>
    </row>
    <row r="15012" spans="1:11" ht="12.75" hidden="1" customHeight="1" outlineLevel="1" x14ac:dyDescent="0.25">
      <c r="A15012" s="2380">
        <v>0.02</v>
      </c>
      <c r="B15012" s="1921" t="s">
        <v>4268</v>
      </c>
      <c r="C15012" s="2108">
        <v>13.544</v>
      </c>
      <c r="D15012" s="3280">
        <v>25.72</v>
      </c>
      <c r="E15012" s="3281">
        <v>0.89899586532782028</v>
      </c>
      <c r="F15012" s="3282">
        <v>1.7979917306556407E-2</v>
      </c>
      <c r="G15012" s="78"/>
      <c r="H15012" t="s">
        <v>8442</v>
      </c>
      <c r="K15012" s="434"/>
    </row>
    <row r="15013" spans="1:11" ht="12.75" hidden="1" customHeight="1" outlineLevel="1" x14ac:dyDescent="0.25">
      <c r="A15013" s="2380">
        <v>0.03</v>
      </c>
      <c r="B15013" s="1921" t="s">
        <v>10371</v>
      </c>
      <c r="C15013" s="2108">
        <v>34.317840922688966</v>
      </c>
      <c r="D15013" s="3280">
        <v>36</v>
      </c>
      <c r="E15013" s="3281">
        <v>4.9017042799999855E-2</v>
      </c>
      <c r="F15013" s="3282">
        <v>1.4705112839999957E-3</v>
      </c>
      <c r="G15013" s="78"/>
      <c r="H15013" t="s">
        <v>10370</v>
      </c>
      <c r="K15013" s="434"/>
    </row>
    <row r="15014" spans="1:11" ht="12.75" hidden="1" customHeight="1" outlineLevel="1" x14ac:dyDescent="0.25">
      <c r="A15014" s="2380">
        <v>0.02</v>
      </c>
      <c r="B15014" s="1921" t="s">
        <v>6902</v>
      </c>
      <c r="C15014" s="2108">
        <v>2.5703000000000005</v>
      </c>
      <c r="D15014" s="3280">
        <v>2.702</v>
      </c>
      <c r="E15014" s="3281">
        <v>5.1239154962455569E-2</v>
      </c>
      <c r="F15014" s="3282">
        <v>1.0247830992491113E-3</v>
      </c>
      <c r="G15014" s="78"/>
      <c r="H15014" t="s">
        <v>6899</v>
      </c>
      <c r="K15014" s="434"/>
    </row>
    <row r="15015" spans="1:11" ht="12.75" hidden="1" customHeight="1" outlineLevel="1" x14ac:dyDescent="0.25">
      <c r="A15015" s="2380">
        <v>0.02</v>
      </c>
      <c r="B15015" s="1921" t="s">
        <v>1772</v>
      </c>
      <c r="C15015" s="2108">
        <v>177.84499999999997</v>
      </c>
      <c r="D15015" s="3280">
        <v>247.45</v>
      </c>
      <c r="E15015" s="3281">
        <v>0.39138013438668517</v>
      </c>
      <c r="F15015" s="3282">
        <v>7.8276026877337028E-3</v>
      </c>
      <c r="G15015" s="78"/>
      <c r="H15015" t="s">
        <v>4330</v>
      </c>
      <c r="K15015" s="434"/>
    </row>
    <row r="15016" spans="1:11" ht="12.75" hidden="1" customHeight="1" outlineLevel="1" x14ac:dyDescent="0.25">
      <c r="A15016" s="2380">
        <v>0.02</v>
      </c>
      <c r="B15016" s="1921" t="s">
        <v>7754</v>
      </c>
      <c r="C15016" s="2519">
        <v>39.613999999999997</v>
      </c>
      <c r="D15016" s="3280">
        <v>100.14</v>
      </c>
      <c r="E15016" s="3281">
        <v>1.5278941788256679</v>
      </c>
      <c r="F15016" s="3282">
        <v>3.0557883576513359E-2</v>
      </c>
      <c r="G15016" s="78"/>
      <c r="H15016" t="s">
        <v>7751</v>
      </c>
      <c r="K15016" s="434"/>
    </row>
    <row r="15017" spans="1:11" ht="12.75" hidden="1" customHeight="1" outlineLevel="1" x14ac:dyDescent="0.25">
      <c r="A15017" s="2380">
        <v>0.02</v>
      </c>
      <c r="B15017" s="1921" t="s">
        <v>1203</v>
      </c>
      <c r="C15017" s="2108">
        <v>90.6</v>
      </c>
      <c r="D15017" s="3280">
        <v>101.42</v>
      </c>
      <c r="E15017" s="3281">
        <v>0.11942604856512151</v>
      </c>
      <c r="F15017" s="3282">
        <v>2.3885209713024303E-3</v>
      </c>
      <c r="G15017" s="78"/>
      <c r="H15017" t="s">
        <v>79</v>
      </c>
      <c r="K15017" s="434"/>
    </row>
    <row r="15018" spans="1:11" ht="12.75" hidden="1" customHeight="1" outlineLevel="1" x14ac:dyDescent="0.25">
      <c r="A15018" s="2380">
        <v>0.05</v>
      </c>
      <c r="B15018" s="1921" t="s">
        <v>3793</v>
      </c>
      <c r="C15018" s="2108">
        <v>88.119</v>
      </c>
      <c r="D15018" s="3280">
        <v>103</v>
      </c>
      <c r="E15018" s="3281">
        <v>0.16887390914558731</v>
      </c>
      <c r="F15018" s="3282">
        <v>8.4436954572793665E-3</v>
      </c>
      <c r="G15018" s="78"/>
      <c r="H15018" t="s">
        <v>3533</v>
      </c>
      <c r="K15018" s="434"/>
    </row>
    <row r="15019" spans="1:11" ht="12.75" hidden="1" customHeight="1" outlineLevel="1" x14ac:dyDescent="0.25">
      <c r="A15019" s="2380">
        <v>0.02</v>
      </c>
      <c r="B15019" s="1921" t="s">
        <v>2769</v>
      </c>
      <c r="C15019" s="2108">
        <v>33.893000000000001</v>
      </c>
      <c r="D15019" s="3280">
        <v>29.35</v>
      </c>
      <c r="E15019" s="3281">
        <v>-0.13403947717817832</v>
      </c>
      <c r="F15019" s="3282">
        <v>-2.6807895435635664E-3</v>
      </c>
      <c r="G15019" s="78"/>
      <c r="H15019" t="s">
        <v>2770</v>
      </c>
      <c r="K15019" s="434"/>
    </row>
    <row r="15020" spans="1:11" ht="12.75" hidden="1" customHeight="1" outlineLevel="1" x14ac:dyDescent="0.25">
      <c r="A15020" s="2380">
        <v>0.08</v>
      </c>
      <c r="B15020" s="1921" t="s">
        <v>2297</v>
      </c>
      <c r="C15020" s="2108">
        <v>48.328999999999994</v>
      </c>
      <c r="D15020" s="3280">
        <v>64.28</v>
      </c>
      <c r="E15020" s="3281">
        <v>0.33005028036996431</v>
      </c>
      <c r="F15020" s="3282">
        <v>2.6404022429597145E-2</v>
      </c>
      <c r="G15020" s="78"/>
      <c r="H15020" t="s">
        <v>2298</v>
      </c>
      <c r="K15020" s="434"/>
    </row>
    <row r="15021" spans="1:11" ht="12.75" hidden="1" customHeight="1" outlineLevel="1" x14ac:dyDescent="0.25">
      <c r="A15021" s="2380">
        <v>0.02</v>
      </c>
      <c r="B15021" s="1921" t="s">
        <v>5205</v>
      </c>
      <c r="C15021" s="2108">
        <v>14.706</v>
      </c>
      <c r="D15021" s="3280">
        <v>14.315999999999999</v>
      </c>
      <c r="E15021" s="3281">
        <v>-2.6519787841697284E-2</v>
      </c>
      <c r="F15021" s="3282">
        <v>-5.3039575683394569E-4</v>
      </c>
      <c r="G15021" s="78"/>
      <c r="H15021" t="s">
        <v>5199</v>
      </c>
      <c r="K15021" s="434"/>
    </row>
    <row r="15022" spans="1:11" ht="12.75" hidden="1" customHeight="1" outlineLevel="1" x14ac:dyDescent="0.25">
      <c r="A15022" s="2380">
        <v>0.02</v>
      </c>
      <c r="B15022" s="1921" t="s">
        <v>6270</v>
      </c>
      <c r="C15022" s="2108">
        <v>44.708944847284833</v>
      </c>
      <c r="D15022" s="3280">
        <v>43.74</v>
      </c>
      <c r="E15022" s="3281">
        <v>-2.1672281700999996E-2</v>
      </c>
      <c r="F15022" s="3282">
        <v>-4.3344563401999993E-4</v>
      </c>
      <c r="G15022" s="78"/>
      <c r="H15022" t="s">
        <v>8166</v>
      </c>
      <c r="K15022" s="434"/>
    </row>
    <row r="15023" spans="1:11" ht="12.75" hidden="1" customHeight="1" outlineLevel="1" x14ac:dyDescent="0.25">
      <c r="A15023" s="2380">
        <v>0.08</v>
      </c>
      <c r="B15023" s="1921" t="s">
        <v>7348</v>
      </c>
      <c r="C15023" s="2108">
        <v>1834.3</v>
      </c>
      <c r="D15023" s="3280">
        <v>2878</v>
      </c>
      <c r="E15023" s="3281">
        <v>0.56899089570953509</v>
      </c>
      <c r="F15023" s="3282">
        <v>4.5519271656762811E-2</v>
      </c>
      <c r="G15023" s="78"/>
      <c r="H15023" t="s">
        <v>8899</v>
      </c>
      <c r="K15023" s="434"/>
    </row>
    <row r="15024" spans="1:11" ht="12.75" hidden="1" customHeight="1" outlineLevel="1" x14ac:dyDescent="0.25">
      <c r="A15024" s="2380">
        <v>0.02</v>
      </c>
      <c r="B15024" s="1921" t="s">
        <v>6524</v>
      </c>
      <c r="C15024" s="2108">
        <v>84.089803806883324</v>
      </c>
      <c r="D15024" s="3280">
        <v>115.9</v>
      </c>
      <c r="E15024" s="3281">
        <v>0.37828838638000017</v>
      </c>
      <c r="F15024" s="3282">
        <v>7.5657677276000038E-3</v>
      </c>
      <c r="G15024" s="78"/>
      <c r="H15024" t="s">
        <v>6525</v>
      </c>
      <c r="K15024" s="434"/>
    </row>
    <row r="15025" spans="1:11" ht="12.75" hidden="1" customHeight="1" outlineLevel="1" x14ac:dyDescent="0.25">
      <c r="A15025" s="2380">
        <v>0.08</v>
      </c>
      <c r="B15025" s="1921" t="s">
        <v>3427</v>
      </c>
      <c r="C15025" s="2108">
        <v>46.995999999999995</v>
      </c>
      <c r="D15025" s="3280">
        <v>65.73</v>
      </c>
      <c r="E15025" s="3281">
        <v>0.398629670610265</v>
      </c>
      <c r="F15025" s="3282">
        <v>3.1890373648821198E-2</v>
      </c>
      <c r="G15025" s="78"/>
      <c r="H15025" t="s">
        <v>2800</v>
      </c>
      <c r="K15025" s="434"/>
    </row>
    <row r="15026" spans="1:11" ht="12.75" hidden="1" customHeight="1" outlineLevel="1" x14ac:dyDescent="0.25">
      <c r="A15026" s="2380">
        <v>0.02</v>
      </c>
      <c r="B15026" s="1921" t="s">
        <v>10538</v>
      </c>
      <c r="C15026" s="2108">
        <v>11.616238269547246</v>
      </c>
      <c r="D15026" s="3280">
        <v>12.48</v>
      </c>
      <c r="E15026" s="3281">
        <v>7.4358127855999934E-2</v>
      </c>
      <c r="F15026" s="3282">
        <v>1.4871625571199988E-3</v>
      </c>
      <c r="G15026" s="78"/>
      <c r="H15026" t="s">
        <v>7628</v>
      </c>
      <c r="K15026" s="434"/>
    </row>
    <row r="15027" spans="1:11" ht="12.75" hidden="1" customHeight="1" outlineLevel="1" x14ac:dyDescent="0.25">
      <c r="A15027" s="2380">
        <v>0.08</v>
      </c>
      <c r="B15027" s="1921" t="s">
        <v>6118</v>
      </c>
      <c r="C15027" s="2108">
        <v>95.990000000000009</v>
      </c>
      <c r="D15027" s="3280">
        <v>84.26</v>
      </c>
      <c r="E15027" s="3281">
        <v>-0.12220022919054074</v>
      </c>
      <c r="F15027" s="3282">
        <v>-9.7760183352432594E-3</v>
      </c>
      <c r="G15027" s="78"/>
      <c r="H15027" t="s">
        <v>8893</v>
      </c>
      <c r="K15027" s="434"/>
    </row>
    <row r="15028" spans="1:11" ht="12.75" hidden="1" customHeight="1" outlineLevel="1" x14ac:dyDescent="0.25">
      <c r="A15028" s="2380">
        <v>0.08</v>
      </c>
      <c r="B15028" s="1921" t="s">
        <v>1239</v>
      </c>
      <c r="C15028" s="2108">
        <v>495.88</v>
      </c>
      <c r="D15028" s="3280">
        <v>537.4</v>
      </c>
      <c r="E15028" s="3281">
        <v>8.3729934661611605E-2</v>
      </c>
      <c r="F15028" s="3282">
        <v>6.6983947729289282E-3</v>
      </c>
      <c r="G15028" s="78"/>
      <c r="H15028" t="s">
        <v>8891</v>
      </c>
      <c r="K15028" s="434"/>
    </row>
    <row r="15029" spans="1:11" ht="12.75" hidden="1" customHeight="1" outlineLevel="1" x14ac:dyDescent="0.25">
      <c r="A15029" s="2380">
        <v>0.05</v>
      </c>
      <c r="B15029" s="1921" t="s">
        <v>7755</v>
      </c>
      <c r="C15029" s="2108">
        <v>9.9334999999999987</v>
      </c>
      <c r="D15029" s="3280">
        <v>4.1814999999999998</v>
      </c>
      <c r="E15029" s="3281">
        <v>-0.57905068706900886</v>
      </c>
      <c r="F15029" s="3282">
        <v>-2.8952534353450445E-2</v>
      </c>
      <c r="G15029" s="78"/>
      <c r="H15029" t="s">
        <v>6732</v>
      </c>
      <c r="K15029" s="434"/>
    </row>
    <row r="15030" spans="1:11" ht="12.75" hidden="1" customHeight="1" outlineLevel="1" x14ac:dyDescent="0.25">
      <c r="A15030" s="2380">
        <v>0.02</v>
      </c>
      <c r="B15030" s="1921" t="s">
        <v>3665</v>
      </c>
      <c r="C15030" s="2108">
        <v>19.026</v>
      </c>
      <c r="D15030" s="3280">
        <v>29.07</v>
      </c>
      <c r="E15030" s="3281">
        <v>0.52790917691579953</v>
      </c>
      <c r="F15030" s="3282">
        <v>1.0558183538315991E-2</v>
      </c>
      <c r="G15030" s="78"/>
      <c r="H15030" t="s">
        <v>7021</v>
      </c>
      <c r="K15030" s="434"/>
    </row>
    <row r="15031" spans="1:11" ht="12.75" hidden="1" customHeight="1" outlineLevel="1" x14ac:dyDescent="0.25">
      <c r="A15031" s="2380">
        <v>0.02</v>
      </c>
      <c r="B15031" s="1921" t="s">
        <v>6337</v>
      </c>
      <c r="C15031" s="2108">
        <v>52.986000000000004</v>
      </c>
      <c r="D15031" s="3280">
        <v>81.93</v>
      </c>
      <c r="E15031" s="3281">
        <v>0.54625750198165557</v>
      </c>
      <c r="F15031" s="3282">
        <v>1.0925150039633111E-2</v>
      </c>
      <c r="G15031" s="78"/>
      <c r="H15031" t="s">
        <v>7752</v>
      </c>
      <c r="K15031" s="434"/>
    </row>
    <row r="15032" spans="1:11" ht="12.75" hidden="1" customHeight="1" outlineLevel="1" x14ac:dyDescent="0.25">
      <c r="A15032" s="2380">
        <v>0.02</v>
      </c>
      <c r="B15032" s="1921" t="s">
        <v>10633</v>
      </c>
      <c r="C15032" s="2108">
        <v>39.617500000000007</v>
      </c>
      <c r="D15032" s="3280">
        <v>37.344999999999999</v>
      </c>
      <c r="E15032" s="3281">
        <v>-5.7361014703098623E-2</v>
      </c>
      <c r="F15032" s="3282">
        <v>-1.1472202940619725E-3</v>
      </c>
      <c r="G15032" s="78"/>
      <c r="H15032" t="s">
        <v>10634</v>
      </c>
      <c r="K15032" s="434"/>
    </row>
    <row r="15033" spans="1:11" ht="12.75" hidden="1" customHeight="1" outlineLevel="1" x14ac:dyDescent="0.25">
      <c r="A15033" s="2380">
        <v>0.02</v>
      </c>
      <c r="B15033" s="2109" t="s">
        <v>255</v>
      </c>
      <c r="C15033" s="2108">
        <v>45.820999999999998</v>
      </c>
      <c r="D15033" s="3283">
        <v>55</v>
      </c>
      <c r="E15033" s="3281">
        <v>0.20032299600619807</v>
      </c>
      <c r="F15033" s="3282">
        <v>4.0064599201239618E-3</v>
      </c>
      <c r="G15033" s="78"/>
      <c r="H15033" t="s">
        <v>3351</v>
      </c>
      <c r="K15033" s="434"/>
    </row>
    <row r="15034" spans="1:11" ht="12.75" hidden="1" customHeight="1" outlineLevel="1" x14ac:dyDescent="0.25">
      <c r="A15034" s="2181" t="s">
        <v>2734</v>
      </c>
      <c r="B15034" s="2103"/>
      <c r="C15034" s="3258"/>
      <c r="D15034" s="3259"/>
      <c r="E15034" s="3284"/>
      <c r="F15034" s="3277">
        <v>0.20298211461417881</v>
      </c>
      <c r="G15034" s="78"/>
    </row>
    <row r="15035" spans="1:11" ht="12.75" hidden="1" customHeight="1" outlineLevel="1" x14ac:dyDescent="0.25">
      <c r="A15035" s="1956" t="s">
        <v>7778</v>
      </c>
      <c r="B15035" s="2185">
        <v>43891</v>
      </c>
      <c r="C15035" s="3261">
        <v>100</v>
      </c>
      <c r="D15035" s="3261">
        <v>96.070400000000006</v>
      </c>
      <c r="E15035" s="3262">
        <v>-3.9295999999999887E-2</v>
      </c>
      <c r="F15035" s="3285"/>
      <c r="G15035" s="78"/>
    </row>
    <row r="15036" spans="1:11" ht="12.75" hidden="1" customHeight="1" outlineLevel="1" x14ac:dyDescent="0.25">
      <c r="A15036" s="1956" t="s">
        <v>7779</v>
      </c>
      <c r="B15036" s="2185">
        <v>43922</v>
      </c>
      <c r="C15036" s="3261">
        <v>100</v>
      </c>
      <c r="D15036" s="3264">
        <v>98.7517</v>
      </c>
      <c r="E15036" s="3262">
        <v>-1.2483000000000022E-2</v>
      </c>
      <c r="F15036" s="3285"/>
      <c r="G15036" s="78"/>
    </row>
    <row r="15037" spans="1:11" ht="12.75" hidden="1" customHeight="1" outlineLevel="1" x14ac:dyDescent="0.25">
      <c r="A15037" s="1956" t="s">
        <v>7780</v>
      </c>
      <c r="B15037" s="2185">
        <v>43952</v>
      </c>
      <c r="C15037" s="3261">
        <v>100</v>
      </c>
      <c r="D15037" s="3264">
        <v>98.824200000000005</v>
      </c>
      <c r="E15037" s="3262">
        <v>-1.1757999999999935E-2</v>
      </c>
      <c r="F15037" s="3285"/>
      <c r="G15037" s="78"/>
    </row>
    <row r="15038" spans="1:11" ht="12.75" hidden="1" customHeight="1" outlineLevel="1" x14ac:dyDescent="0.25">
      <c r="A15038" s="1956" t="s">
        <v>7781</v>
      </c>
      <c r="B15038" s="2185">
        <v>43983</v>
      </c>
      <c r="C15038" s="3261">
        <v>100</v>
      </c>
      <c r="D15038" s="3264">
        <v>98.877399999999994</v>
      </c>
      <c r="E15038" s="3262">
        <v>-1.1226000000000069E-2</v>
      </c>
      <c r="F15038" s="3285"/>
      <c r="G15038" s="78"/>
    </row>
    <row r="15039" spans="1:11" ht="12.75" hidden="1" customHeight="1" outlineLevel="1" x14ac:dyDescent="0.25">
      <c r="A15039" s="1956" t="s">
        <v>7782</v>
      </c>
      <c r="B15039" s="2185">
        <v>44013</v>
      </c>
      <c r="C15039" s="3261">
        <v>100</v>
      </c>
      <c r="D15039" s="3264">
        <v>99.242900000000006</v>
      </c>
      <c r="E15039" s="3262">
        <v>-7.5709999999999944E-3</v>
      </c>
      <c r="F15039" s="3285"/>
      <c r="G15039" s="78"/>
    </row>
    <row r="15040" spans="1:11" ht="12.75" hidden="1" customHeight="1" outlineLevel="1" x14ac:dyDescent="0.25">
      <c r="A15040" s="1956" t="s">
        <v>7783</v>
      </c>
      <c r="B15040" s="2185">
        <v>44044</v>
      </c>
      <c r="C15040" s="3261">
        <v>100</v>
      </c>
      <c r="D15040" s="3264">
        <v>100.72799999999999</v>
      </c>
      <c r="E15040" s="3262">
        <v>7.2799999999999532E-3</v>
      </c>
      <c r="F15040" s="3285"/>
      <c r="G15040" s="78"/>
    </row>
    <row r="15041" spans="1:9" ht="12.75" hidden="1" customHeight="1" outlineLevel="1" x14ac:dyDescent="0.25">
      <c r="A15041" s="1956" t="s">
        <v>7784</v>
      </c>
      <c r="B15041" s="2185">
        <v>44075</v>
      </c>
      <c r="C15041" s="3261">
        <v>100</v>
      </c>
      <c r="D15041" s="3264">
        <v>97.870099999999994</v>
      </c>
      <c r="E15041" s="3262">
        <v>-2.1299000000000068E-2</v>
      </c>
      <c r="F15041" s="3285"/>
      <c r="G15041" s="78"/>
    </row>
    <row r="15042" spans="1:9" ht="12.75" hidden="1" customHeight="1" outlineLevel="1" x14ac:dyDescent="0.25">
      <c r="A15042" s="1956" t="s">
        <v>7785</v>
      </c>
      <c r="B15042" s="2185">
        <v>44105</v>
      </c>
      <c r="C15042" s="3261">
        <v>100</v>
      </c>
      <c r="D15042" s="3264">
        <v>95.722499999999997</v>
      </c>
      <c r="E15042" s="3262">
        <v>-4.2775000000000007E-2</v>
      </c>
      <c r="F15042" s="3285"/>
      <c r="G15042" s="78"/>
    </row>
    <row r="15043" spans="1:9" ht="12.75" hidden="1" customHeight="1" outlineLevel="1" x14ac:dyDescent="0.25">
      <c r="A15043" s="1956" t="s">
        <v>7786</v>
      </c>
      <c r="B15043" s="2185">
        <v>44136</v>
      </c>
      <c r="C15043" s="3261">
        <v>100</v>
      </c>
      <c r="D15043" s="3264">
        <v>107.5998</v>
      </c>
      <c r="E15043" s="3262">
        <v>7.599800000000001E-2</v>
      </c>
      <c r="F15043" s="3285"/>
      <c r="G15043" s="78"/>
    </row>
    <row r="15044" spans="1:9" ht="12.75" hidden="1" customHeight="1" outlineLevel="1" x14ac:dyDescent="0.25">
      <c r="A15044" s="1956" t="s">
        <v>7787</v>
      </c>
      <c r="B15044" s="2185">
        <v>44166</v>
      </c>
      <c r="C15044" s="3261">
        <v>100</v>
      </c>
      <c r="D15044" s="3264">
        <v>107.8117</v>
      </c>
      <c r="E15044" s="3262">
        <v>7.8116999999999992E-2</v>
      </c>
      <c r="F15044" s="3285"/>
      <c r="G15044" s="78"/>
    </row>
    <row r="15045" spans="1:9" ht="12.75" hidden="1" customHeight="1" outlineLevel="1" x14ac:dyDescent="0.25">
      <c r="A15045" s="1956" t="s">
        <v>7788</v>
      </c>
      <c r="B15045" s="2185">
        <v>44197</v>
      </c>
      <c r="C15045" s="3261">
        <v>100</v>
      </c>
      <c r="D15045" s="3264">
        <v>106.0505</v>
      </c>
      <c r="E15045" s="3262">
        <v>6.0505000000000031E-2</v>
      </c>
      <c r="F15045" s="3285"/>
      <c r="G15045" s="78"/>
    </row>
    <row r="15046" spans="1:9" ht="12.75" hidden="1" customHeight="1" outlineLevel="1" x14ac:dyDescent="0.25">
      <c r="A15046" s="1956" t="s">
        <v>7789</v>
      </c>
      <c r="B15046" s="2185">
        <v>44228</v>
      </c>
      <c r="C15046" s="3261">
        <v>100</v>
      </c>
      <c r="D15046" s="3264">
        <v>107.05119999999999</v>
      </c>
      <c r="E15046" s="3262">
        <v>7.0511999999999908E-2</v>
      </c>
      <c r="F15046" s="3285"/>
      <c r="G15046" s="78"/>
    </row>
    <row r="15047" spans="1:9" ht="12.75" hidden="1" customHeight="1" outlineLevel="1" x14ac:dyDescent="0.25">
      <c r="A15047" s="1956" t="s">
        <v>7790</v>
      </c>
      <c r="B15047" s="2185">
        <v>44256</v>
      </c>
      <c r="C15047" s="3261">
        <v>100</v>
      </c>
      <c r="D15047" s="3264">
        <v>113.9804</v>
      </c>
      <c r="E15047" s="3262">
        <v>0.13980400000000004</v>
      </c>
      <c r="F15047" s="3285"/>
      <c r="G15047" s="78"/>
    </row>
    <row r="15048" spans="1:9" ht="12.75" hidden="1" customHeight="1" outlineLevel="1" x14ac:dyDescent="0.25">
      <c r="A15048" s="1956" t="s">
        <v>7791</v>
      </c>
      <c r="B15048" s="2185">
        <v>44287</v>
      </c>
      <c r="C15048" s="3261">
        <v>100</v>
      </c>
      <c r="D15048" s="3264">
        <v>115.2268</v>
      </c>
      <c r="E15048" s="3262">
        <v>0.15226800000000007</v>
      </c>
      <c r="F15048" s="3285"/>
      <c r="G15048" s="78"/>
    </row>
    <row r="15049" spans="1:9" ht="12.75" hidden="1" customHeight="1" outlineLevel="1" x14ac:dyDescent="0.25">
      <c r="A15049" s="1956" t="s">
        <v>7792</v>
      </c>
      <c r="B15049" s="2185">
        <v>44317</v>
      </c>
      <c r="C15049" s="3261">
        <v>100</v>
      </c>
      <c r="D15049" s="3264">
        <v>116.7603</v>
      </c>
      <c r="E15049" s="3262">
        <v>0.16760299999999995</v>
      </c>
      <c r="F15049" s="3285"/>
      <c r="G15049" s="78"/>
    </row>
    <row r="15050" spans="1:9" ht="12.75" hidden="1" customHeight="1" outlineLevel="1" x14ac:dyDescent="0.25">
      <c r="A15050" s="1956" t="s">
        <v>7793</v>
      </c>
      <c r="B15050" s="2185">
        <v>44348</v>
      </c>
      <c r="C15050" s="3261">
        <v>100</v>
      </c>
      <c r="D15050" s="3264">
        <v>116.9962</v>
      </c>
      <c r="E15050" s="3262">
        <v>0.16996199999999995</v>
      </c>
      <c r="F15050" s="3285"/>
      <c r="G15050" s="78"/>
    </row>
    <row r="15051" spans="1:9" ht="12.75" hidden="1" customHeight="1" outlineLevel="1" x14ac:dyDescent="0.25">
      <c r="A15051" s="1956" t="s">
        <v>7794</v>
      </c>
      <c r="B15051" s="2185">
        <v>44378</v>
      </c>
      <c r="C15051" s="3261">
        <v>100</v>
      </c>
      <c r="D15051" s="3264">
        <v>118.5458</v>
      </c>
      <c r="E15051" s="3262">
        <v>0.1854579999999999</v>
      </c>
      <c r="F15051" s="3285"/>
      <c r="G15051" s="78"/>
    </row>
    <row r="15052" spans="1:9" ht="12.75" hidden="1" customHeight="1" outlineLevel="1" x14ac:dyDescent="0.25">
      <c r="A15052" s="1956" t="s">
        <v>7795</v>
      </c>
      <c r="B15052" s="2185">
        <v>44409</v>
      </c>
      <c r="C15052" s="3261">
        <v>100</v>
      </c>
      <c r="D15052" s="3264">
        <v>120.29819999999999</v>
      </c>
      <c r="E15052" s="3262">
        <v>0.202982</v>
      </c>
      <c r="F15052" s="3285"/>
      <c r="G15052" s="78"/>
    </row>
    <row r="15053" spans="1:9" ht="12.75" hidden="1" customHeight="1" outlineLevel="1" x14ac:dyDescent="0.25">
      <c r="A15053" s="2189" t="s">
        <v>2734</v>
      </c>
      <c r="B15053" s="2190"/>
      <c r="C15053" s="3264"/>
      <c r="D15053" s="2191" t="s">
        <v>2465</v>
      </c>
      <c r="E15053" s="1987">
        <v>6.4671166666666668E-2</v>
      </c>
      <c r="F15053" s="2192">
        <v>6.4671166666666668E-2</v>
      </c>
      <c r="G15053" s="78"/>
    </row>
    <row r="15054" spans="1:9" collapsed="1" x14ac:dyDescent="0.25">
      <c r="A15054" s="3801" t="s">
        <v>7777</v>
      </c>
      <c r="B15054" s="3802"/>
      <c r="C15054" s="3802"/>
      <c r="D15054" s="3802"/>
      <c r="E15054" s="1906"/>
      <c r="F15054" s="1907">
        <v>4.8503375000000001E-2</v>
      </c>
      <c r="G15054" s="78"/>
    </row>
    <row r="15056" spans="1:9" hidden="1" outlineLevel="1" x14ac:dyDescent="0.25">
      <c r="A15056" s="1949" t="s">
        <v>113</v>
      </c>
      <c r="B15056" s="1915" t="s">
        <v>114</v>
      </c>
      <c r="C15056" s="1915" t="s">
        <v>112</v>
      </c>
      <c r="D15056" s="1915"/>
      <c r="E15056" s="1915" t="s">
        <v>116</v>
      </c>
      <c r="F15056" s="1909" t="s">
        <v>121</v>
      </c>
      <c r="G15056" s="1889"/>
      <c r="H15056" s="1950" t="s">
        <v>4362</v>
      </c>
      <c r="I15056" s="1950" t="s">
        <v>5392</v>
      </c>
    </row>
    <row r="15057" spans="1:14" ht="13.8" hidden="1" outlineLevel="1" x14ac:dyDescent="0.3">
      <c r="A15057" s="1810" t="s">
        <v>7797</v>
      </c>
      <c r="B15057" s="1811" t="s">
        <v>2153</v>
      </c>
      <c r="C15057" s="1812">
        <v>3030.95</v>
      </c>
      <c r="D15057" s="3805"/>
      <c r="E15057" s="1951">
        <v>3317.9859999999999</v>
      </c>
      <c r="F15057" s="1901">
        <v>0.12</v>
      </c>
      <c r="G15057" s="1889"/>
      <c r="H15057" s="1923">
        <v>9.4701661195334852E-2</v>
      </c>
      <c r="I15057" s="1952">
        <v>0.12</v>
      </c>
    </row>
    <row r="15058" spans="1:14" hidden="1" outlineLevel="1" x14ac:dyDescent="0.25">
      <c r="A15058" s="1810" t="s">
        <v>7798</v>
      </c>
      <c r="B15058" s="1811" t="s">
        <v>2153</v>
      </c>
      <c r="C15058" s="1814">
        <v>3030.95</v>
      </c>
      <c r="D15058" s="3806"/>
      <c r="E15058" s="1815"/>
      <c r="F15058" s="1816" t="s">
        <v>5590</v>
      </c>
      <c r="G15058" s="1889"/>
      <c r="H15058" s="1923">
        <v>-1</v>
      </c>
      <c r="I15058" s="1953">
        <v>0.16</v>
      </c>
    </row>
    <row r="15059" spans="1:14" hidden="1" outlineLevel="1" x14ac:dyDescent="0.25">
      <c r="A15059" s="1810" t="s">
        <v>7799</v>
      </c>
      <c r="B15059" s="1811" t="s">
        <v>2153</v>
      </c>
      <c r="C15059" s="1814" t="s">
        <v>5590</v>
      </c>
      <c r="D15059" s="3806"/>
      <c r="E15059" s="1815"/>
      <c r="F15059" s="1816" t="s">
        <v>5590</v>
      </c>
      <c r="G15059" s="1889"/>
      <c r="H15059" s="1923" t="s">
        <v>5590</v>
      </c>
      <c r="I15059" s="1953">
        <v>0.2</v>
      </c>
    </row>
    <row r="15060" spans="1:14" hidden="1" outlineLevel="1" x14ac:dyDescent="0.25">
      <c r="A15060" s="1810" t="s">
        <v>7800</v>
      </c>
      <c r="B15060" s="1811" t="s">
        <v>2153</v>
      </c>
      <c r="C15060" s="1814" t="s">
        <v>5590</v>
      </c>
      <c r="D15060" s="3806"/>
      <c r="E15060" s="1815"/>
      <c r="F15060" s="1816" t="s">
        <v>5590</v>
      </c>
      <c r="G15060" s="1889"/>
      <c r="H15060" s="1954" t="s">
        <v>5590</v>
      </c>
      <c r="I15060" s="1955">
        <v>0.24</v>
      </c>
    </row>
    <row r="15061" spans="1:14" hidden="1" outlineLevel="1" x14ac:dyDescent="0.25">
      <c r="A15061" s="1956" t="s">
        <v>7801</v>
      </c>
      <c r="B15061" s="1811" t="s">
        <v>2153</v>
      </c>
      <c r="C15061" s="1817" t="s">
        <v>5590</v>
      </c>
      <c r="D15061" s="3807"/>
      <c r="E15061" s="1815"/>
      <c r="F15061" s="1818" t="s">
        <v>5590</v>
      </c>
      <c r="G15061" s="1889"/>
      <c r="H15061" s="1913">
        <f>+E15057/C15058-1</f>
        <v>9.4701661195334852E-2</v>
      </c>
      <c r="I15061" s="1813"/>
    </row>
    <row r="15062" spans="1:14" hidden="1" outlineLevel="1" x14ac:dyDescent="0.25">
      <c r="A15062" s="1819" t="s">
        <v>2734</v>
      </c>
      <c r="B15062" s="1811"/>
      <c r="C15062" s="1820"/>
      <c r="D15062" s="1821"/>
      <c r="E15062" s="1822"/>
      <c r="F15062" s="1823">
        <v>0.12</v>
      </c>
      <c r="G15062" s="1889"/>
      <c r="H15062" s="1826"/>
      <c r="I15062" s="1813"/>
    </row>
    <row r="15063" spans="1:14" collapsed="1" x14ac:dyDescent="0.25">
      <c r="A15063" s="3801" t="s">
        <v>7796</v>
      </c>
      <c r="B15063" s="3802"/>
      <c r="C15063" s="3802"/>
      <c r="D15063" s="3802"/>
      <c r="E15063" s="1906"/>
      <c r="F15063" s="1907">
        <v>0.12</v>
      </c>
      <c r="G15063" s="12"/>
      <c r="H15063" s="1958"/>
      <c r="I15063" s="415"/>
    </row>
    <row r="15065" spans="1:14" ht="12.75" hidden="1" customHeight="1" outlineLevel="1" x14ac:dyDescent="0.25">
      <c r="A15065" s="3237" t="s">
        <v>113</v>
      </c>
      <c r="B15065" s="3237" t="s">
        <v>114</v>
      </c>
      <c r="C15065" s="3237" t="s">
        <v>112</v>
      </c>
      <c r="D15065" s="3237" t="s">
        <v>116</v>
      </c>
      <c r="E15065" s="3237" t="s">
        <v>117</v>
      </c>
      <c r="F15065" s="3276" t="s">
        <v>121</v>
      </c>
      <c r="G15065" s="78"/>
    </row>
    <row r="15066" spans="1:14" ht="12.75" hidden="1" customHeight="1" outlineLevel="1" x14ac:dyDescent="0.25">
      <c r="A15066" s="3238">
        <v>1</v>
      </c>
      <c r="B15066" s="3239" t="s">
        <v>252</v>
      </c>
      <c r="C15066" s="3240">
        <v>100</v>
      </c>
      <c r="D15066" s="3240"/>
      <c r="E15066" s="3241"/>
      <c r="F15066" s="3242"/>
      <c r="G15066" s="78"/>
    </row>
    <row r="15067" spans="1:14" ht="12.75" hidden="1" customHeight="1" outlineLevel="1" x14ac:dyDescent="0.25">
      <c r="A15067" s="3243" t="s">
        <v>2734</v>
      </c>
      <c r="B15067" s="3243"/>
      <c r="C15067" s="3244"/>
      <c r="D15067" s="1900" t="s">
        <v>3702</v>
      </c>
      <c r="E15067" s="3245">
        <v>44561</v>
      </c>
      <c r="F15067" s="3246"/>
      <c r="G15067" s="78"/>
    </row>
    <row r="15068" spans="1:14" ht="12.75" hidden="1" customHeight="1" outlineLevel="1" x14ac:dyDescent="0.25">
      <c r="A15068" s="3237" t="s">
        <v>4156</v>
      </c>
      <c r="B15068" s="3237" t="s">
        <v>4153</v>
      </c>
      <c r="C15068" s="3247" t="s">
        <v>112</v>
      </c>
      <c r="D15068" s="3248" t="s">
        <v>4155</v>
      </c>
      <c r="E15068" s="3237" t="s">
        <v>4154</v>
      </c>
      <c r="F15068" s="3277" t="s">
        <v>2519</v>
      </c>
      <c r="G15068" s="78"/>
    </row>
    <row r="15069" spans="1:14" ht="12.75" hidden="1" customHeight="1" outlineLevel="1" x14ac:dyDescent="0.25">
      <c r="A15069" s="1991">
        <v>0.02</v>
      </c>
      <c r="B15069" s="1921" t="s">
        <v>359</v>
      </c>
      <c r="C15069" s="2090">
        <v>147.245</v>
      </c>
      <c r="D15069" s="3278">
        <v>207.65</v>
      </c>
      <c r="E15069" s="3279">
        <v>0.41023464294203538</v>
      </c>
      <c r="F15069" s="3277">
        <v>8.2046928588407082E-3</v>
      </c>
      <c r="G15069" s="78"/>
      <c r="H15069" t="s">
        <v>360</v>
      </c>
      <c r="I15069" t="s">
        <v>8250</v>
      </c>
      <c r="J15069" s="414">
        <v>107.11709999999999</v>
      </c>
      <c r="K15069" t="s">
        <v>8597</v>
      </c>
      <c r="N15069" s="434"/>
    </row>
    <row r="15070" spans="1:14" ht="12.75" hidden="1" customHeight="1" outlineLevel="1" x14ac:dyDescent="0.25">
      <c r="A15070" s="2380">
        <v>0.05</v>
      </c>
      <c r="B15070" s="1921" t="s">
        <v>3998</v>
      </c>
      <c r="C15070" s="1998">
        <v>38.485999999999997</v>
      </c>
      <c r="D15070" s="3399">
        <v>24.6</v>
      </c>
      <c r="E15070" s="3281">
        <v>-0.3608065270487969</v>
      </c>
      <c r="F15070" s="3282">
        <v>-1.8040326352439847E-2</v>
      </c>
      <c r="G15070" s="78"/>
      <c r="H15070" t="s">
        <v>4000</v>
      </c>
      <c r="J15070" s="406">
        <v>7.1199999999999999E-2</v>
      </c>
      <c r="N15070" s="434"/>
    </row>
    <row r="15071" spans="1:14" ht="12.75" hidden="1" customHeight="1" outlineLevel="1" x14ac:dyDescent="0.25">
      <c r="A15071" s="2380">
        <v>0.05</v>
      </c>
      <c r="B15071" s="1921" t="s">
        <v>3954</v>
      </c>
      <c r="C15071" s="2179">
        <v>98.453999999999994</v>
      </c>
      <c r="D15071" s="3280">
        <v>147.44999999999999</v>
      </c>
      <c r="E15071" s="3281">
        <v>0.49765372661344376</v>
      </c>
      <c r="F15071" s="3282">
        <v>2.4882686330672189E-2</v>
      </c>
      <c r="G15071" s="78"/>
      <c r="H15071" t="s">
        <v>3955</v>
      </c>
      <c r="N15071" s="434"/>
    </row>
    <row r="15072" spans="1:14" ht="12.75" hidden="1" customHeight="1" outlineLevel="1" x14ac:dyDescent="0.25">
      <c r="A15072" s="2380">
        <v>0.05</v>
      </c>
      <c r="B15072" s="1921" t="s">
        <v>4055</v>
      </c>
      <c r="C15072" s="2179">
        <v>71.685000000000002</v>
      </c>
      <c r="D15072" s="3280">
        <v>78.75</v>
      </c>
      <c r="E15072" s="3281">
        <v>9.8556183301945932E-2</v>
      </c>
      <c r="F15072" s="3282">
        <v>4.927809165097297E-3</v>
      </c>
      <c r="G15072" s="78"/>
      <c r="H15072" t="s">
        <v>4056</v>
      </c>
      <c r="N15072" s="434"/>
    </row>
    <row r="15073" spans="1:14" ht="12.75" hidden="1" customHeight="1" outlineLevel="1" x14ac:dyDescent="0.25">
      <c r="A15073" s="2380">
        <v>0.05</v>
      </c>
      <c r="B15073" s="1921" t="s">
        <v>6267</v>
      </c>
      <c r="C15073" s="2179">
        <v>27.040500000000002</v>
      </c>
      <c r="D15073" s="3280">
        <v>20.399999999999999</v>
      </c>
      <c r="E15073" s="3281">
        <v>-0.24557608032395861</v>
      </c>
      <c r="F15073" s="3282">
        <v>-1.2278804016197931E-2</v>
      </c>
      <c r="G15073" s="78"/>
      <c r="H15073" t="s">
        <v>6268</v>
      </c>
      <c r="N15073" s="434"/>
    </row>
    <row r="15074" spans="1:14" ht="12.75" hidden="1" customHeight="1" outlineLevel="1" x14ac:dyDescent="0.25">
      <c r="A15074" s="2380">
        <v>0.02</v>
      </c>
      <c r="B15074" s="1921" t="s">
        <v>4268</v>
      </c>
      <c r="C15074" s="2179">
        <v>12.179</v>
      </c>
      <c r="D15074" s="3280">
        <v>26.99</v>
      </c>
      <c r="E15074" s="3281">
        <v>1.2161096970194594</v>
      </c>
      <c r="F15074" s="3282">
        <v>2.4322193940389189E-2</v>
      </c>
      <c r="G15074" s="78"/>
      <c r="H15074" t="s">
        <v>8442</v>
      </c>
      <c r="N15074" s="434"/>
    </row>
    <row r="15075" spans="1:14" ht="12.75" hidden="1" customHeight="1" outlineLevel="1" x14ac:dyDescent="0.25">
      <c r="A15075" s="2380">
        <v>0.02</v>
      </c>
      <c r="B15075" s="1921" t="s">
        <v>3799</v>
      </c>
      <c r="C15075" s="2179">
        <v>14.923</v>
      </c>
      <c r="D15075" s="3280">
        <v>16.065999999999999</v>
      </c>
      <c r="E15075" s="3281">
        <v>7.6593178315352173E-2</v>
      </c>
      <c r="F15075" s="3282">
        <v>1.5318635663070434E-3</v>
      </c>
      <c r="G15075" s="78"/>
      <c r="H15075" t="s">
        <v>4128</v>
      </c>
      <c r="N15075" s="434"/>
    </row>
    <row r="15076" spans="1:14" ht="12.75" hidden="1" customHeight="1" outlineLevel="1" x14ac:dyDescent="0.25">
      <c r="A15076" s="2380">
        <v>0.05</v>
      </c>
      <c r="B15076" s="1921" t="s">
        <v>6530</v>
      </c>
      <c r="C15076" s="2179">
        <v>31.590402360895833</v>
      </c>
      <c r="D15076" s="3280">
        <v>36.090000000000003</v>
      </c>
      <c r="E15076" s="3281">
        <v>0.14243559128180006</v>
      </c>
      <c r="F15076" s="3282">
        <v>7.121779564090003E-3</v>
      </c>
      <c r="G15076" s="78"/>
      <c r="H15076" t="s">
        <v>10140</v>
      </c>
      <c r="N15076" s="434"/>
    </row>
    <row r="15077" spans="1:14" ht="12.75" hidden="1" customHeight="1" outlineLevel="1" x14ac:dyDescent="0.25">
      <c r="A15077" s="2380">
        <v>0.05</v>
      </c>
      <c r="B15077" s="1921" t="s">
        <v>1772</v>
      </c>
      <c r="C15077" s="2179">
        <v>180.435</v>
      </c>
      <c r="D15077" s="3280">
        <v>260.5</v>
      </c>
      <c r="E15077" s="3281">
        <v>0.44373320032144536</v>
      </c>
      <c r="F15077" s="3282">
        <v>2.2186660016072269E-2</v>
      </c>
      <c r="G15077" s="78"/>
      <c r="H15077" t="s">
        <v>4330</v>
      </c>
      <c r="N15077" s="434"/>
    </row>
    <row r="15078" spans="1:14" ht="12.75" hidden="1" customHeight="1" outlineLevel="1" x14ac:dyDescent="0.25">
      <c r="A15078" s="2380">
        <v>0.02</v>
      </c>
      <c r="B15078" s="1921" t="s">
        <v>7754</v>
      </c>
      <c r="C15078" s="2179">
        <v>44.148000000000003</v>
      </c>
      <c r="D15078" s="3280">
        <v>96.44</v>
      </c>
      <c r="E15078" s="3281">
        <v>1.1844704176859651</v>
      </c>
      <c r="F15078" s="3282">
        <v>2.3689408353719302E-2</v>
      </c>
      <c r="G15078" s="78"/>
      <c r="H15078" t="s">
        <v>7751</v>
      </c>
      <c r="N15078" s="434"/>
    </row>
    <row r="15079" spans="1:14" ht="12.75" hidden="1" customHeight="1" outlineLevel="1" x14ac:dyDescent="0.25">
      <c r="A15079" s="2380">
        <v>0.05</v>
      </c>
      <c r="B15079" s="1921" t="s">
        <v>1203</v>
      </c>
      <c r="C15079" s="2179">
        <v>78.194999999999993</v>
      </c>
      <c r="D15079" s="3280">
        <v>110.5</v>
      </c>
      <c r="E15079" s="3281">
        <v>0.4131338320864506</v>
      </c>
      <c r="F15079" s="3282">
        <v>2.0656691604322531E-2</v>
      </c>
      <c r="G15079" s="78"/>
      <c r="H15079" t="s">
        <v>79</v>
      </c>
      <c r="N15079" s="434"/>
    </row>
    <row r="15080" spans="1:14" ht="12.75" hidden="1" customHeight="1" outlineLevel="1" x14ac:dyDescent="0.25">
      <c r="A15080" s="2380">
        <v>0.08</v>
      </c>
      <c r="B15080" s="1921" t="s">
        <v>3793</v>
      </c>
      <c r="C15080" s="2179">
        <v>99.747</v>
      </c>
      <c r="D15080" s="3280">
        <v>95</v>
      </c>
      <c r="E15080" s="3281">
        <v>-4.7590403721415209E-2</v>
      </c>
      <c r="F15080" s="3282">
        <v>-3.8072322977132167E-3</v>
      </c>
      <c r="G15080" s="78"/>
      <c r="H15080" t="s">
        <v>3533</v>
      </c>
      <c r="N15080" s="434"/>
    </row>
    <row r="15081" spans="1:14" ht="12.75" hidden="1" customHeight="1" outlineLevel="1" x14ac:dyDescent="0.25">
      <c r="A15081" s="2380">
        <v>0.08</v>
      </c>
      <c r="B15081" s="1921" t="s">
        <v>2297</v>
      </c>
      <c r="C15081" s="2179">
        <v>49.777000000000001</v>
      </c>
      <c r="D15081" s="3280">
        <v>60.23</v>
      </c>
      <c r="E15081" s="3281">
        <v>0.20999658476806538</v>
      </c>
      <c r="F15081" s="3282">
        <v>1.6799726781445229E-2</v>
      </c>
      <c r="G15081" s="78"/>
      <c r="H15081" t="s">
        <v>2298</v>
      </c>
      <c r="N15081" s="434"/>
    </row>
    <row r="15082" spans="1:14" ht="12.75" hidden="1" customHeight="1" outlineLevel="1" x14ac:dyDescent="0.25">
      <c r="A15082" s="2380">
        <v>0.05</v>
      </c>
      <c r="B15082" s="1921" t="s">
        <v>7805</v>
      </c>
      <c r="C15082" s="2179">
        <v>17.950500000000002</v>
      </c>
      <c r="D15082" s="3280">
        <v>16.224</v>
      </c>
      <c r="E15082" s="3281">
        <v>-9.6181164870059455E-2</v>
      </c>
      <c r="F15082" s="3282">
        <v>-4.8090582435029727E-3</v>
      </c>
      <c r="G15082" s="78"/>
      <c r="H15082" t="s">
        <v>7803</v>
      </c>
      <c r="N15082" s="434"/>
    </row>
    <row r="15083" spans="1:14" ht="12.75" hidden="1" customHeight="1" outlineLevel="1" x14ac:dyDescent="0.25">
      <c r="A15083" s="2380">
        <v>0.05</v>
      </c>
      <c r="B15083" s="1921" t="s">
        <v>6270</v>
      </c>
      <c r="C15083" s="2179">
        <v>42.256</v>
      </c>
      <c r="D15083" s="3280">
        <v>44.06</v>
      </c>
      <c r="E15083" s="3281">
        <v>4.2692162059825955E-2</v>
      </c>
      <c r="F15083" s="3282">
        <v>2.1346081029912979E-3</v>
      </c>
      <c r="G15083" s="78"/>
      <c r="H15083" t="s">
        <v>8166</v>
      </c>
      <c r="N15083" s="434"/>
    </row>
    <row r="15084" spans="1:14" ht="12.75" hidden="1" customHeight="1" outlineLevel="1" x14ac:dyDescent="0.25">
      <c r="A15084" s="2380">
        <v>0.08</v>
      </c>
      <c r="B15084" s="1921" t="s">
        <v>3427</v>
      </c>
      <c r="C15084" s="2179">
        <v>50.408000000000001</v>
      </c>
      <c r="D15084" s="3280">
        <v>68.58</v>
      </c>
      <c r="E15084" s="3281">
        <v>0.36049833359784156</v>
      </c>
      <c r="F15084" s="3282">
        <v>2.8839866687827325E-2</v>
      </c>
      <c r="G15084" s="78"/>
      <c r="H15084" t="s">
        <v>2800</v>
      </c>
      <c r="N15084" s="434"/>
    </row>
    <row r="15085" spans="1:14" ht="12.75" hidden="1" customHeight="1" outlineLevel="1" x14ac:dyDescent="0.25">
      <c r="A15085" s="2380">
        <v>0.02</v>
      </c>
      <c r="B15085" s="1921" t="s">
        <v>7627</v>
      </c>
      <c r="C15085" s="2179">
        <v>12.141</v>
      </c>
      <c r="D15085" s="3280">
        <v>11.07</v>
      </c>
      <c r="E15085" s="3281">
        <v>-8.8213491475166772E-2</v>
      </c>
      <c r="F15085" s="3282">
        <v>-1.7642698295033355E-3</v>
      </c>
      <c r="G15085" s="78"/>
      <c r="H15085" t="s">
        <v>10103</v>
      </c>
      <c r="N15085" s="434"/>
    </row>
    <row r="15086" spans="1:14" ht="12.75" hidden="1" customHeight="1" outlineLevel="1" x14ac:dyDescent="0.25">
      <c r="A15086" s="2380">
        <v>0.08</v>
      </c>
      <c r="B15086" s="1921" t="s">
        <v>6118</v>
      </c>
      <c r="C15086" s="2179">
        <v>91.965000000000003</v>
      </c>
      <c r="D15086" s="3280">
        <v>90.26</v>
      </c>
      <c r="E15086" s="3281">
        <v>-1.8539661827869258E-2</v>
      </c>
      <c r="F15086" s="3282">
        <v>-1.4831729462295407E-3</v>
      </c>
      <c r="G15086" s="78"/>
      <c r="H15086" t="s">
        <v>8893</v>
      </c>
      <c r="N15086" s="434"/>
    </row>
    <row r="15087" spans="1:14" ht="12.75" hidden="1" customHeight="1" outlineLevel="1" x14ac:dyDescent="0.25">
      <c r="A15087" s="2380">
        <v>0.08</v>
      </c>
      <c r="B15087" s="1921" t="s">
        <v>1239</v>
      </c>
      <c r="C15087" s="2179">
        <v>499.73</v>
      </c>
      <c r="D15087" s="3280">
        <v>514.6</v>
      </c>
      <c r="E15087" s="3281">
        <v>2.9756068276869607E-2</v>
      </c>
      <c r="F15087" s="3282">
        <v>2.3804854621495685E-3</v>
      </c>
      <c r="G15087" s="78"/>
      <c r="H15087" t="s">
        <v>8891</v>
      </c>
      <c r="N15087" s="434"/>
    </row>
    <row r="15088" spans="1:14" ht="12.75" hidden="1" customHeight="1" outlineLevel="1" x14ac:dyDescent="0.25">
      <c r="A15088" s="2380">
        <v>0.05</v>
      </c>
      <c r="B15088" s="2109" t="s">
        <v>255</v>
      </c>
      <c r="C15088" s="2179">
        <v>51.533000000000001</v>
      </c>
      <c r="D15088" s="3283">
        <v>51.96</v>
      </c>
      <c r="E15088" s="3281">
        <v>8.2859526905090242E-3</v>
      </c>
      <c r="F15088" s="3282">
        <v>4.1429763452545122E-4</v>
      </c>
      <c r="G15088" s="78"/>
      <c r="H15088" t="s">
        <v>3351</v>
      </c>
      <c r="N15088" s="434"/>
    </row>
    <row r="15089" spans="1:7" ht="12.75" hidden="1" customHeight="1" outlineLevel="1" x14ac:dyDescent="0.25">
      <c r="A15089" s="2181" t="s">
        <v>2734</v>
      </c>
      <c r="B15089" s="2103"/>
      <c r="C15089" s="3258"/>
      <c r="D15089" s="3259"/>
      <c r="E15089" s="3284"/>
      <c r="F15089" s="3277">
        <v>0.1459099063828625</v>
      </c>
      <c r="G15089" s="78"/>
    </row>
    <row r="15090" spans="1:7" ht="12.75" hidden="1" customHeight="1" outlineLevel="1" x14ac:dyDescent="0.25">
      <c r="A15090" s="1956" t="s">
        <v>7806</v>
      </c>
      <c r="B15090" s="2185">
        <v>44013</v>
      </c>
      <c r="C15090" s="3261">
        <v>100</v>
      </c>
      <c r="D15090" s="3261">
        <v>93.971100000000007</v>
      </c>
      <c r="E15090" s="3262">
        <v>-6.0288999999999926E-2</v>
      </c>
      <c r="F15090" s="3285"/>
      <c r="G15090" s="78"/>
    </row>
    <row r="15091" spans="1:7" ht="12.75" hidden="1" customHeight="1" outlineLevel="1" x14ac:dyDescent="0.25">
      <c r="A15091" s="1956" t="s">
        <v>7807</v>
      </c>
      <c r="B15091" s="2185">
        <v>44044</v>
      </c>
      <c r="C15091" s="3261">
        <v>100</v>
      </c>
      <c r="D15091" s="3264">
        <v>96.3887</v>
      </c>
      <c r="E15091" s="3262">
        <v>-3.6112999999999951E-2</v>
      </c>
      <c r="F15091" s="3285"/>
      <c r="G15091" s="78"/>
    </row>
    <row r="15092" spans="1:7" ht="12.75" hidden="1" customHeight="1" outlineLevel="1" x14ac:dyDescent="0.25">
      <c r="A15092" s="1956" t="s">
        <v>7808</v>
      </c>
      <c r="B15092" s="2185">
        <v>44075</v>
      </c>
      <c r="C15092" s="3261">
        <v>100</v>
      </c>
      <c r="D15092" s="3264">
        <v>92.817599999999999</v>
      </c>
      <c r="E15092" s="3262">
        <v>-7.1823999999999999E-2</v>
      </c>
      <c r="F15092" s="3285"/>
      <c r="G15092" s="78"/>
    </row>
    <row r="15093" spans="1:7" ht="12.75" hidden="1" customHeight="1" outlineLevel="1" x14ac:dyDescent="0.25">
      <c r="A15093" s="1956" t="s">
        <v>7809</v>
      </c>
      <c r="B15093" s="2185">
        <v>44105</v>
      </c>
      <c r="C15093" s="3261">
        <v>100</v>
      </c>
      <c r="D15093" s="3264">
        <v>90.456400000000002</v>
      </c>
      <c r="E15093" s="3262">
        <v>-9.5435999999999965E-2</v>
      </c>
      <c r="F15093" s="3285"/>
      <c r="G15093" s="78"/>
    </row>
    <row r="15094" spans="1:7" ht="12.75" hidden="1" customHeight="1" outlineLevel="1" x14ac:dyDescent="0.25">
      <c r="A15094" s="1956" t="s">
        <v>7810</v>
      </c>
      <c r="B15094" s="2185">
        <v>44136</v>
      </c>
      <c r="C15094" s="3261">
        <v>100</v>
      </c>
      <c r="D15094" s="3264">
        <v>100.4648</v>
      </c>
      <c r="E15094" s="3262">
        <v>4.6479999999999855E-3</v>
      </c>
      <c r="F15094" s="3285"/>
      <c r="G15094" s="78"/>
    </row>
    <row r="15095" spans="1:7" ht="12.75" hidden="1" customHeight="1" outlineLevel="1" x14ac:dyDescent="0.25">
      <c r="A15095" s="1956" t="s">
        <v>7811</v>
      </c>
      <c r="B15095" s="2185">
        <v>44166</v>
      </c>
      <c r="C15095" s="3261">
        <v>100</v>
      </c>
      <c r="D15095" s="3264">
        <v>100.18</v>
      </c>
      <c r="E15095" s="3262">
        <v>1.8000000000000238E-3</v>
      </c>
      <c r="F15095" s="3285"/>
      <c r="G15095" s="78"/>
    </row>
    <row r="15096" spans="1:7" ht="12.75" hidden="1" customHeight="1" outlineLevel="1" x14ac:dyDescent="0.25">
      <c r="A15096" s="1956" t="s">
        <v>7812</v>
      </c>
      <c r="B15096" s="2185">
        <v>44197</v>
      </c>
      <c r="C15096" s="3261">
        <v>100</v>
      </c>
      <c r="D15096" s="3264">
        <v>97.998199999999997</v>
      </c>
      <c r="E15096" s="3262">
        <v>-2.001799999999998E-2</v>
      </c>
      <c r="F15096" s="3285"/>
      <c r="G15096" s="78"/>
    </row>
    <row r="15097" spans="1:7" ht="12.75" hidden="1" customHeight="1" outlineLevel="1" x14ac:dyDescent="0.25">
      <c r="A15097" s="1956" t="s">
        <v>7813</v>
      </c>
      <c r="B15097" s="2185">
        <v>44228</v>
      </c>
      <c r="C15097" s="3261">
        <v>100</v>
      </c>
      <c r="D15097" s="3264">
        <v>100.2817</v>
      </c>
      <c r="E15097" s="3262">
        <v>2.8170000000000694E-3</v>
      </c>
      <c r="F15097" s="3285"/>
      <c r="G15097" s="78"/>
    </row>
    <row r="15098" spans="1:7" ht="12.75" hidden="1" customHeight="1" outlineLevel="1" x14ac:dyDescent="0.25">
      <c r="A15098" s="1956" t="s">
        <v>7814</v>
      </c>
      <c r="B15098" s="2185">
        <v>44256</v>
      </c>
      <c r="C15098" s="3261">
        <v>100</v>
      </c>
      <c r="D15098" s="3264">
        <v>107.07980000000001</v>
      </c>
      <c r="E15098" s="3262">
        <v>7.0798000000000139E-2</v>
      </c>
      <c r="F15098" s="3285"/>
      <c r="G15098" s="78"/>
    </row>
    <row r="15099" spans="1:7" ht="12.75" hidden="1" customHeight="1" outlineLevel="1" x14ac:dyDescent="0.25">
      <c r="A15099" s="1956" t="s">
        <v>7815</v>
      </c>
      <c r="B15099" s="2185">
        <v>44287</v>
      </c>
      <c r="C15099" s="3261">
        <v>100</v>
      </c>
      <c r="D15099" s="3264">
        <v>108.2505</v>
      </c>
      <c r="E15099" s="3262">
        <v>8.2505000000000051E-2</v>
      </c>
      <c r="F15099" s="3285"/>
      <c r="G15099" s="78"/>
    </row>
    <row r="15100" spans="1:7" ht="12.75" hidden="1" customHeight="1" outlineLevel="1" x14ac:dyDescent="0.25">
      <c r="A15100" s="1956" t="s">
        <v>7816</v>
      </c>
      <c r="B15100" s="2185">
        <v>44317</v>
      </c>
      <c r="C15100" s="3261">
        <v>100</v>
      </c>
      <c r="D15100" s="3264">
        <v>109.3069</v>
      </c>
      <c r="E15100" s="3262">
        <v>9.3069000000000068E-2</v>
      </c>
      <c r="F15100" s="3285"/>
      <c r="G15100" s="78"/>
    </row>
    <row r="15101" spans="1:7" ht="12.75" hidden="1" customHeight="1" outlineLevel="1" x14ac:dyDescent="0.25">
      <c r="A15101" s="1956" t="s">
        <v>7817</v>
      </c>
      <c r="B15101" s="2185">
        <v>44348</v>
      </c>
      <c r="C15101" s="3261">
        <v>100</v>
      </c>
      <c r="D15101" s="3264">
        <v>110.10590000000001</v>
      </c>
      <c r="E15101" s="3262">
        <v>0.10105900000000001</v>
      </c>
      <c r="F15101" s="3285"/>
      <c r="G15101" s="78"/>
    </row>
    <row r="15102" spans="1:7" ht="12.75" hidden="1" customHeight="1" outlineLevel="1" x14ac:dyDescent="0.25">
      <c r="A15102" s="1956" t="s">
        <v>7818</v>
      </c>
      <c r="B15102" s="2185">
        <v>44378</v>
      </c>
      <c r="C15102" s="3261">
        <v>100</v>
      </c>
      <c r="D15102" s="3264">
        <v>112.1241</v>
      </c>
      <c r="E15102" s="3262">
        <v>0.12124099999999993</v>
      </c>
      <c r="F15102" s="3285"/>
      <c r="G15102" s="78"/>
    </row>
    <row r="15103" spans="1:7" ht="12.75" hidden="1" customHeight="1" outlineLevel="1" x14ac:dyDescent="0.25">
      <c r="A15103" s="1956" t="s">
        <v>7819</v>
      </c>
      <c r="B15103" s="2185">
        <v>44409</v>
      </c>
      <c r="C15103" s="3261">
        <v>100</v>
      </c>
      <c r="D15103" s="3264">
        <v>114.0048</v>
      </c>
      <c r="E15103" s="3262">
        <v>0.14004799999999995</v>
      </c>
      <c r="F15103" s="3285"/>
      <c r="G15103" s="78"/>
    </row>
    <row r="15104" spans="1:7" ht="12.75" hidden="1" customHeight="1" outlineLevel="1" x14ac:dyDescent="0.25">
      <c r="A15104" s="1956" t="s">
        <v>7820</v>
      </c>
      <c r="B15104" s="2185">
        <v>44440</v>
      </c>
      <c r="C15104" s="3261">
        <v>100</v>
      </c>
      <c r="D15104" s="3264">
        <v>111.4121</v>
      </c>
      <c r="E15104" s="3262">
        <v>0.11412099999999992</v>
      </c>
      <c r="F15104" s="3285"/>
      <c r="G15104" s="78"/>
    </row>
    <row r="15105" spans="1:15" ht="12.75" hidden="1" customHeight="1" outlineLevel="1" x14ac:dyDescent="0.25">
      <c r="A15105" s="1956" t="s">
        <v>7821</v>
      </c>
      <c r="B15105" s="2185">
        <v>44470</v>
      </c>
      <c r="C15105" s="3261">
        <v>100</v>
      </c>
      <c r="D15105" s="3264">
        <v>112.5989</v>
      </c>
      <c r="E15105" s="3262">
        <v>0.12598899999999991</v>
      </c>
      <c r="F15105" s="3285"/>
      <c r="G15105" s="78"/>
    </row>
    <row r="15106" spans="1:15" ht="12.75" hidden="1" customHeight="1" outlineLevel="1" x14ac:dyDescent="0.25">
      <c r="A15106" s="1956" t="s">
        <v>7822</v>
      </c>
      <c r="B15106" s="2185">
        <v>44501</v>
      </c>
      <c r="C15106" s="3261">
        <v>100</v>
      </c>
      <c r="D15106" s="3264">
        <v>108.98950000000001</v>
      </c>
      <c r="E15106" s="3262">
        <v>8.9895000000000058E-2</v>
      </c>
      <c r="F15106" s="3285"/>
      <c r="G15106" s="78"/>
    </row>
    <row r="15107" spans="1:15" ht="12.75" hidden="1" customHeight="1" outlineLevel="1" x14ac:dyDescent="0.25">
      <c r="A15107" s="1956" t="s">
        <v>7823</v>
      </c>
      <c r="B15107" s="2185">
        <v>44531</v>
      </c>
      <c r="C15107" s="3261">
        <v>100</v>
      </c>
      <c r="D15107" s="3264">
        <v>114.70140000000001</v>
      </c>
      <c r="E15107" s="3262">
        <v>0.14701399999999998</v>
      </c>
      <c r="F15107" s="3285"/>
      <c r="G15107" s="78"/>
    </row>
    <row r="15108" spans="1:15" ht="12.75" hidden="1" customHeight="1" outlineLevel="1" x14ac:dyDescent="0.25">
      <c r="A15108" s="2189" t="s">
        <v>2734</v>
      </c>
      <c r="B15108" s="2190"/>
      <c r="C15108" s="3264"/>
      <c r="D15108" s="2191" t="s">
        <v>2465</v>
      </c>
      <c r="E15108" s="1987">
        <v>4.5073555555555568E-2</v>
      </c>
      <c r="F15108" s="2192">
        <v>4.5073555555555568E-2</v>
      </c>
      <c r="G15108" s="78"/>
    </row>
    <row r="15109" spans="1:15" collapsed="1" x14ac:dyDescent="0.25">
      <c r="A15109" s="3801" t="s">
        <v>7802</v>
      </c>
      <c r="B15109" s="3802"/>
      <c r="C15109" s="3802"/>
      <c r="D15109" s="3802"/>
      <c r="E15109" s="1906"/>
      <c r="F15109" s="1907">
        <v>4.0566200000000011E-2</v>
      </c>
      <c r="G15109" s="78"/>
    </row>
    <row r="15111" spans="1:15" ht="12.75" hidden="1" customHeight="1" outlineLevel="1" x14ac:dyDescent="0.25">
      <c r="A15111" s="3237" t="s">
        <v>113</v>
      </c>
      <c r="B15111" s="3237" t="s">
        <v>114</v>
      </c>
      <c r="C15111" s="3237" t="s">
        <v>112</v>
      </c>
      <c r="D15111" s="3237" t="s">
        <v>116</v>
      </c>
      <c r="E15111" s="3237" t="s">
        <v>117</v>
      </c>
      <c r="F15111" s="3276" t="s">
        <v>121</v>
      </c>
      <c r="G15111" s="78"/>
    </row>
    <row r="15112" spans="1:15" ht="12.75" hidden="1" customHeight="1" outlineLevel="1" x14ac:dyDescent="0.25">
      <c r="A15112" s="3238">
        <v>1</v>
      </c>
      <c r="B15112" s="3239" t="s">
        <v>252</v>
      </c>
      <c r="C15112" s="3240">
        <v>100</v>
      </c>
      <c r="D15112" s="3240"/>
      <c r="E15112" s="3241"/>
      <c r="F15112" s="3242"/>
      <c r="G15112" s="78"/>
      <c r="K15112" s="37"/>
    </row>
    <row r="15113" spans="1:15" ht="12.75" hidden="1" customHeight="1" outlineLevel="1" x14ac:dyDescent="0.25">
      <c r="A15113" s="3243" t="s">
        <v>2734</v>
      </c>
      <c r="B15113" s="3243"/>
      <c r="C15113" s="3244"/>
      <c r="D15113" s="1900" t="s">
        <v>3702</v>
      </c>
      <c r="E15113" s="3245">
        <v>44620</v>
      </c>
      <c r="F15113" s="3246"/>
      <c r="G15113" s="78"/>
    </row>
    <row r="15114" spans="1:15" ht="12.75" hidden="1" customHeight="1" outlineLevel="1" x14ac:dyDescent="0.25">
      <c r="A15114" s="3237" t="s">
        <v>4156</v>
      </c>
      <c r="B15114" s="3237" t="s">
        <v>4153</v>
      </c>
      <c r="C15114" s="3247" t="s">
        <v>112</v>
      </c>
      <c r="D15114" s="3248" t="s">
        <v>4155</v>
      </c>
      <c r="E15114" s="3237" t="s">
        <v>4154</v>
      </c>
      <c r="F15114" s="3277" t="s">
        <v>2519</v>
      </c>
      <c r="G15114" s="78"/>
      <c r="I15114" s="412" t="s">
        <v>6964</v>
      </c>
      <c r="J15114" s="1462">
        <v>42491</v>
      </c>
      <c r="K15114" s="1462">
        <v>42522</v>
      </c>
      <c r="L15114" s="1462">
        <v>42552</v>
      </c>
      <c r="M15114" s="1462"/>
      <c r="N15114" s="1462"/>
      <c r="O15114" s="1462"/>
    </row>
    <row r="15115" spans="1:15" ht="12.75" hidden="1" customHeight="1" outlineLevel="1" x14ac:dyDescent="0.25">
      <c r="A15115" s="1991">
        <v>0.02</v>
      </c>
      <c r="B15115" s="1921" t="s">
        <v>7111</v>
      </c>
      <c r="C15115" s="2108">
        <v>56.990000000000009</v>
      </c>
      <c r="D15115" s="3278">
        <v>147.77000000000001</v>
      </c>
      <c r="E15115" s="3269">
        <v>1.5929110370240389</v>
      </c>
      <c r="F15115" s="3277">
        <v>3.185822074048078E-2</v>
      </c>
      <c r="H15115" t="s">
        <v>7109</v>
      </c>
      <c r="I15115" s="412">
        <v>98.207800000000006</v>
      </c>
      <c r="J15115">
        <v>102.8592</v>
      </c>
      <c r="K15115">
        <v>102.8707</v>
      </c>
      <c r="L15115">
        <v>98.207800000000006</v>
      </c>
      <c r="O15115" s="434"/>
    </row>
    <row r="15116" spans="1:15" ht="12.75" hidden="1" customHeight="1" outlineLevel="1" x14ac:dyDescent="0.25">
      <c r="A15116" s="2380">
        <v>0.02</v>
      </c>
      <c r="B15116" s="1921" t="s">
        <v>7833</v>
      </c>
      <c r="C15116" s="2108">
        <v>8.5489999999999995</v>
      </c>
      <c r="D15116" s="3280">
        <v>48.76</v>
      </c>
      <c r="E15116" s="3270">
        <v>4.7035910632822553</v>
      </c>
      <c r="F15116" s="3282">
        <v>9.4071821265645103E-2</v>
      </c>
      <c r="H15116" t="s">
        <v>7825</v>
      </c>
      <c r="I15116" s="422">
        <v>0.32923172222222219</v>
      </c>
      <c r="O15116" s="434"/>
    </row>
    <row r="15117" spans="1:15" ht="12.75" hidden="1" customHeight="1" outlineLevel="1" x14ac:dyDescent="0.25">
      <c r="A15117" s="2380">
        <v>0.08</v>
      </c>
      <c r="B15117" s="1921" t="s">
        <v>7834</v>
      </c>
      <c r="C15117" s="2108">
        <v>20.020999999999997</v>
      </c>
      <c r="D15117" s="3280">
        <v>21.4</v>
      </c>
      <c r="E15117" s="3270">
        <v>6.8877678437640588E-2</v>
      </c>
      <c r="F15117" s="3282">
        <v>5.5102142750112475E-3</v>
      </c>
      <c r="H15117" t="s">
        <v>7826</v>
      </c>
      <c r="O15117" s="434"/>
    </row>
    <row r="15118" spans="1:15" ht="12.75" hidden="1" customHeight="1" outlineLevel="1" x14ac:dyDescent="0.25">
      <c r="A15118" s="2380">
        <v>0.02</v>
      </c>
      <c r="B15118" s="1921" t="s">
        <v>873</v>
      </c>
      <c r="C15118" s="2108">
        <v>1.5263</v>
      </c>
      <c r="D15118" s="3280">
        <v>1.8288</v>
      </c>
      <c r="E15118" s="3270">
        <v>0.19819170543143549</v>
      </c>
      <c r="F15118" s="3282">
        <v>3.9638341086287096E-3</v>
      </c>
      <c r="H15118" t="s">
        <v>3495</v>
      </c>
      <c r="O15118" s="434"/>
    </row>
    <row r="15119" spans="1:15" ht="12.75" hidden="1" customHeight="1" outlineLevel="1" x14ac:dyDescent="0.25">
      <c r="A15119" s="2380">
        <v>0.02</v>
      </c>
      <c r="B15119" s="1921" t="s">
        <v>7835</v>
      </c>
      <c r="C15119" s="2108">
        <v>100.95830175294556</v>
      </c>
      <c r="D15119" s="3280">
        <v>51.51</v>
      </c>
      <c r="E15119" s="3270">
        <v>-0.48978935753050001</v>
      </c>
      <c r="F15119" s="3282">
        <v>-9.7957871506100004E-3</v>
      </c>
      <c r="H15119" t="s">
        <v>5541</v>
      </c>
      <c r="O15119" s="434"/>
    </row>
    <row r="15120" spans="1:15" ht="12.75" hidden="1" customHeight="1" outlineLevel="1" x14ac:dyDescent="0.25">
      <c r="A15120" s="2380">
        <v>0.02</v>
      </c>
      <c r="B15120" s="1921" t="s">
        <v>335</v>
      </c>
      <c r="C15120" s="2108">
        <v>62.213475449980891</v>
      </c>
      <c r="D15120" s="3280">
        <v>125.1</v>
      </c>
      <c r="E15120" s="3270">
        <v>1.01081838131</v>
      </c>
      <c r="F15120" s="3282">
        <v>2.0216367626200001E-2</v>
      </c>
      <c r="H15120" t="s">
        <v>8885</v>
      </c>
      <c r="O15120" s="434"/>
    </row>
    <row r="15121" spans="1:15" ht="12.75" hidden="1" customHeight="1" outlineLevel="1" x14ac:dyDescent="0.25">
      <c r="A15121" s="2380">
        <v>0.08</v>
      </c>
      <c r="B15121" s="1921" t="s">
        <v>1212</v>
      </c>
      <c r="C15121" s="2108">
        <v>13.320720600152598</v>
      </c>
      <c r="D15121" s="3280">
        <v>7.7560000000000002</v>
      </c>
      <c r="E15121" s="3270">
        <v>-0.41774921696719991</v>
      </c>
      <c r="F15121" s="3282">
        <v>-3.3419937357375994E-2</v>
      </c>
      <c r="H15121" t="s">
        <v>8879</v>
      </c>
      <c r="O15121" s="434"/>
    </row>
    <row r="15122" spans="1:15" ht="12.75" hidden="1" customHeight="1" outlineLevel="1" x14ac:dyDescent="0.25">
      <c r="A15122" s="2380">
        <v>0.02</v>
      </c>
      <c r="B15122" s="1921" t="s">
        <v>4025</v>
      </c>
      <c r="C15122" s="2108">
        <v>55.210113238371498</v>
      </c>
      <c r="D15122" s="3280">
        <v>69.05</v>
      </c>
      <c r="E15122" s="3270">
        <v>0.25067665957999985</v>
      </c>
      <c r="F15122" s="3282">
        <v>5.0135331915999969E-3</v>
      </c>
      <c r="H15122" t="s">
        <v>10671</v>
      </c>
      <c r="O15122" s="434"/>
    </row>
    <row r="15123" spans="1:15" ht="12.75" hidden="1" customHeight="1" outlineLevel="1" x14ac:dyDescent="0.25">
      <c r="A15123" s="2380">
        <v>0.02</v>
      </c>
      <c r="B15123" s="1921" t="s">
        <v>238</v>
      </c>
      <c r="C15123" s="2108">
        <v>73.844000000000008</v>
      </c>
      <c r="D15123" s="3280">
        <v>152.69999999999999</v>
      </c>
      <c r="E15123" s="3270">
        <v>1.0678728129570443</v>
      </c>
      <c r="F15123" s="3282">
        <v>2.1357456259140886E-2</v>
      </c>
      <c r="H15123" t="s">
        <v>239</v>
      </c>
      <c r="O15123" s="434"/>
    </row>
    <row r="15124" spans="1:15" ht="12.75" hidden="1" customHeight="1" outlineLevel="1" x14ac:dyDescent="0.25">
      <c r="A15124" s="2380">
        <v>0.02</v>
      </c>
      <c r="B15124" s="1921" t="s">
        <v>7836</v>
      </c>
      <c r="C15124" s="2108">
        <v>50.301000000000002</v>
      </c>
      <c r="D15124" s="3280">
        <v>123.44</v>
      </c>
      <c r="E15124" s="3270">
        <v>1.4540267589113536</v>
      </c>
      <c r="F15124" s="3282">
        <v>2.9080535178227073E-2</v>
      </c>
      <c r="H15124" t="s">
        <v>7827</v>
      </c>
      <c r="O15124" s="434"/>
    </row>
    <row r="15125" spans="1:15" ht="12.75" hidden="1" customHeight="1" outlineLevel="1" x14ac:dyDescent="0.25">
      <c r="A15125" s="2380">
        <v>0.08</v>
      </c>
      <c r="B15125" s="1921" t="s">
        <v>4387</v>
      </c>
      <c r="C15125" s="2108">
        <v>7.2282586359301781</v>
      </c>
      <c r="D15125" s="3280">
        <v>12.118</v>
      </c>
      <c r="E15125" s="3270">
        <v>0.67647570602467511</v>
      </c>
      <c r="F15125" s="3282">
        <v>5.4118056481974007E-2</v>
      </c>
      <c r="H15125" t="s">
        <v>3744</v>
      </c>
      <c r="O15125" s="434"/>
    </row>
    <row r="15126" spans="1:15" ht="12.75" hidden="1" customHeight="1" outlineLevel="1" x14ac:dyDescent="0.25">
      <c r="A15126" s="2380">
        <v>0.02</v>
      </c>
      <c r="B15126" s="1921" t="s">
        <v>6447</v>
      </c>
      <c r="C15126" s="2108">
        <v>12.765881329562047</v>
      </c>
      <c r="D15126" s="3280">
        <v>6.0259999999999998</v>
      </c>
      <c r="E15126" s="3270">
        <v>-0.52796051878960004</v>
      </c>
      <c r="F15126" s="3282">
        <v>-1.0559210375792001E-2</v>
      </c>
      <c r="H15126" t="s">
        <v>6445</v>
      </c>
      <c r="O15126" s="434"/>
    </row>
    <row r="15127" spans="1:15" ht="12.75" hidden="1" customHeight="1" outlineLevel="1" x14ac:dyDescent="0.25">
      <c r="A15127" s="2380">
        <v>0.02</v>
      </c>
      <c r="B15127" s="1921" t="s">
        <v>3425</v>
      </c>
      <c r="C15127" s="2519">
        <v>83.844999999999999</v>
      </c>
      <c r="D15127" s="3280">
        <v>78.42</v>
      </c>
      <c r="E15127" s="3270">
        <v>-6.4702725266861383E-2</v>
      </c>
      <c r="F15127" s="3282">
        <v>-1.2940545053372278E-3</v>
      </c>
      <c r="H15127" t="s">
        <v>4126</v>
      </c>
      <c r="O15127" s="434"/>
    </row>
    <row r="15128" spans="1:15" ht="12.75" hidden="1" customHeight="1" outlineLevel="1" x14ac:dyDescent="0.25">
      <c r="A15128" s="2380">
        <v>0.05</v>
      </c>
      <c r="B15128" s="1921" t="s">
        <v>3799</v>
      </c>
      <c r="C15128" s="2108">
        <v>14.044500000000003</v>
      </c>
      <c r="D15128" s="3280">
        <v>15.454000000000001</v>
      </c>
      <c r="E15128" s="3270">
        <v>0.10035957136245477</v>
      </c>
      <c r="F15128" s="3282">
        <v>5.0179785681227392E-3</v>
      </c>
      <c r="H15128" t="s">
        <v>4128</v>
      </c>
      <c r="O15128" s="434"/>
    </row>
    <row r="15129" spans="1:15" ht="12.75" hidden="1" customHeight="1" outlineLevel="1" x14ac:dyDescent="0.25">
      <c r="A15129" s="2380">
        <v>0.02</v>
      </c>
      <c r="B15129" s="1921" t="s">
        <v>7837</v>
      </c>
      <c r="C15129" s="2108">
        <v>106.88026302463193</v>
      </c>
      <c r="D15129" s="3280">
        <v>189.81</v>
      </c>
      <c r="E15129" s="3270">
        <v>0.77591254576399993</v>
      </c>
      <c r="F15129" s="3282">
        <v>1.5518250915279998E-2</v>
      </c>
      <c r="H15129" t="s">
        <v>7828</v>
      </c>
      <c r="O15129" s="434"/>
    </row>
    <row r="15130" spans="1:15" ht="12.75" hidden="1" customHeight="1" outlineLevel="1" x14ac:dyDescent="0.25">
      <c r="A15130" s="2380">
        <v>0.08</v>
      </c>
      <c r="B15130" s="1921" t="s">
        <v>1771</v>
      </c>
      <c r="C15130" s="2108">
        <v>4.367</v>
      </c>
      <c r="D15130" s="3280">
        <v>5.1459999999999999</v>
      </c>
      <c r="E15130" s="3270">
        <v>0.17838332951683067</v>
      </c>
      <c r="F15130" s="3282">
        <v>1.4270666361346454E-2</v>
      </c>
      <c r="H15130" t="s">
        <v>4329</v>
      </c>
      <c r="O15130" s="434"/>
    </row>
    <row r="15131" spans="1:15" ht="12.75" hidden="1" customHeight="1" outlineLevel="1" x14ac:dyDescent="0.25">
      <c r="A15131" s="2380">
        <v>0.05</v>
      </c>
      <c r="B15131" s="1921" t="s">
        <v>1343</v>
      </c>
      <c r="C15131" s="2108">
        <v>38.239000000000004</v>
      </c>
      <c r="D15131" s="3280">
        <v>16.39</v>
      </c>
      <c r="E15131" s="3270">
        <v>-0.57138000470723616</v>
      </c>
      <c r="F15131" s="3282">
        <v>-2.8569000235361811E-2</v>
      </c>
      <c r="H15131" t="s">
        <v>7747</v>
      </c>
      <c r="O15131" s="434"/>
    </row>
    <row r="15132" spans="1:15" ht="12.75" hidden="1" customHeight="1" outlineLevel="1" x14ac:dyDescent="0.25">
      <c r="A15132" s="2380">
        <v>0.02</v>
      </c>
      <c r="B15132" s="1921" t="s">
        <v>4376</v>
      </c>
      <c r="C15132" s="2108">
        <v>59.654999999999994</v>
      </c>
      <c r="D15132" s="3280">
        <v>141.80000000000001</v>
      </c>
      <c r="E15132" s="3270">
        <v>1.3770010895985254</v>
      </c>
      <c r="F15132" s="3282">
        <v>2.7540021791970508E-2</v>
      </c>
      <c r="H15132" t="s">
        <v>4326</v>
      </c>
      <c r="O15132" s="434"/>
    </row>
    <row r="15133" spans="1:15" ht="12.75" hidden="1" customHeight="1" outlineLevel="1" x14ac:dyDescent="0.25">
      <c r="A15133" s="2380">
        <v>0.02</v>
      </c>
      <c r="B15133" s="1921" t="s">
        <v>7838</v>
      </c>
      <c r="C15133" s="2108">
        <v>38.914083206730901</v>
      </c>
      <c r="D15133" s="3280">
        <v>67.55</v>
      </c>
      <c r="E15133" s="3270">
        <v>0.73587540637000015</v>
      </c>
      <c r="F15133" s="3282">
        <v>1.4717508127400003E-2</v>
      </c>
      <c r="H15133" t="s">
        <v>7829</v>
      </c>
      <c r="O15133" s="434"/>
    </row>
    <row r="15134" spans="1:15" ht="12.75" hidden="1" customHeight="1" outlineLevel="1" x14ac:dyDescent="0.25">
      <c r="A15134" s="2380">
        <v>0.04</v>
      </c>
      <c r="B15134" s="1921" t="s">
        <v>5824</v>
      </c>
      <c r="C15134" s="2108">
        <v>14.975975424160753</v>
      </c>
      <c r="D15134" s="3280">
        <v>10.814</v>
      </c>
      <c r="E15134" s="3270">
        <v>-0.27791013982610002</v>
      </c>
      <c r="F15134" s="3282">
        <v>-1.1116405593044E-2</v>
      </c>
      <c r="H15134" t="s">
        <v>5817</v>
      </c>
      <c r="O15134" s="434"/>
    </row>
    <row r="15135" spans="1:15" ht="12.75" hidden="1" customHeight="1" outlineLevel="1" x14ac:dyDescent="0.25">
      <c r="A15135" s="2380">
        <v>0.02</v>
      </c>
      <c r="B15135" s="1921" t="s">
        <v>1414</v>
      </c>
      <c r="C15135" s="2108">
        <v>28.488382251119091</v>
      </c>
      <c r="D15135" s="3280">
        <v>46.94</v>
      </c>
      <c r="E15135" s="3270">
        <v>0.64768920840199984</v>
      </c>
      <c r="F15135" s="3282">
        <v>1.2953784168039996E-2</v>
      </c>
      <c r="H15135" t="s">
        <v>2428</v>
      </c>
      <c r="O15135" s="434"/>
    </row>
    <row r="15136" spans="1:15" ht="12.75" hidden="1" customHeight="1" outlineLevel="1" x14ac:dyDescent="0.25">
      <c r="A15136" s="2380">
        <v>0.02</v>
      </c>
      <c r="B15136" s="1921" t="s">
        <v>818</v>
      </c>
      <c r="C15136" s="2108">
        <v>61.637999999999998</v>
      </c>
      <c r="D15136" s="3280">
        <v>59.64</v>
      </c>
      <c r="E15136" s="3270">
        <v>-3.2415068626496568E-2</v>
      </c>
      <c r="F15136" s="3282">
        <v>-6.4830137252993138E-4</v>
      </c>
      <c r="H15136" t="s">
        <v>2421</v>
      </c>
      <c r="O15136" s="434"/>
    </row>
    <row r="15137" spans="1:15" ht="12.75" hidden="1" customHeight="1" outlineLevel="1" x14ac:dyDescent="0.25">
      <c r="A15137" s="2380">
        <v>0.02</v>
      </c>
      <c r="B15137" s="1921" t="s">
        <v>6559</v>
      </c>
      <c r="C15137" s="2108">
        <v>51.061999999999998</v>
      </c>
      <c r="D15137" s="3280">
        <v>171.99</v>
      </c>
      <c r="E15137" s="3270">
        <v>2.3682581959186875</v>
      </c>
      <c r="F15137" s="3282">
        <v>4.7365163918373754E-2</v>
      </c>
      <c r="H15137" t="s">
        <v>6558</v>
      </c>
      <c r="O15137" s="434"/>
    </row>
    <row r="15138" spans="1:15" ht="12.75" hidden="1" customHeight="1" outlineLevel="1" x14ac:dyDescent="0.25">
      <c r="A15138" s="2380">
        <v>0.08</v>
      </c>
      <c r="B15138" s="1921" t="s">
        <v>3800</v>
      </c>
      <c r="C15138" s="2108">
        <v>236.33</v>
      </c>
      <c r="D15138" s="3280">
        <v>349.85</v>
      </c>
      <c r="E15138" s="3270">
        <v>0.48034527990521725</v>
      </c>
      <c r="F15138" s="3282">
        <v>3.8427622392417378E-2</v>
      </c>
      <c r="H15138" t="s">
        <v>8876</v>
      </c>
      <c r="O15138" s="434"/>
    </row>
    <row r="15139" spans="1:15" ht="12.75" hidden="1" customHeight="1" outlineLevel="1" x14ac:dyDescent="0.25">
      <c r="A15139" s="2380">
        <v>0.02</v>
      </c>
      <c r="B15139" s="1921" t="s">
        <v>1206</v>
      </c>
      <c r="C15139" s="2108">
        <v>70.603999999999999</v>
      </c>
      <c r="D15139" s="3280">
        <v>101.32</v>
      </c>
      <c r="E15139" s="3270">
        <v>0.4350461730213584</v>
      </c>
      <c r="F15139" s="3282">
        <v>8.7009234604271679E-3</v>
      </c>
      <c r="H15139" t="s">
        <v>3484</v>
      </c>
      <c r="O15139" s="434"/>
    </row>
    <row r="15140" spans="1:15" ht="12.75" hidden="1" customHeight="1" outlineLevel="1" x14ac:dyDescent="0.25">
      <c r="A15140" s="2380">
        <v>0.04</v>
      </c>
      <c r="B15140" s="1921" t="s">
        <v>7839</v>
      </c>
      <c r="C15140" s="2108">
        <v>1.5347568578284267</v>
      </c>
      <c r="D15140" s="3280">
        <v>1.5024999999999999</v>
      </c>
      <c r="E15140" s="3270">
        <v>-2.1017568785499985E-2</v>
      </c>
      <c r="F15140" s="3282">
        <v>-8.4070275141999939E-4</v>
      </c>
      <c r="H15140" t="s">
        <v>7830</v>
      </c>
      <c r="O15140" s="434"/>
    </row>
    <row r="15141" spans="1:15" ht="12.75" hidden="1" customHeight="1" outlineLevel="1" x14ac:dyDescent="0.25">
      <c r="A15141" s="2380">
        <v>0.02</v>
      </c>
      <c r="B15141" s="1921" t="s">
        <v>3998</v>
      </c>
      <c r="C15141" s="2108">
        <v>23.760984728486026</v>
      </c>
      <c r="D15141" s="3280">
        <v>23.69</v>
      </c>
      <c r="E15141" s="3270">
        <v>-2.9874489335000032E-3</v>
      </c>
      <c r="F15141" s="3282">
        <v>-5.9748978670000066E-5</v>
      </c>
      <c r="H15141" t="s">
        <v>4000</v>
      </c>
      <c r="O15141" s="434"/>
    </row>
    <row r="15142" spans="1:15" ht="12.75" hidden="1" customHeight="1" outlineLevel="1" x14ac:dyDescent="0.25">
      <c r="A15142" s="2380">
        <v>0.02</v>
      </c>
      <c r="B15142" s="1921" t="s">
        <v>7840</v>
      </c>
      <c r="C15142" s="2108">
        <v>80.445999999999998</v>
      </c>
      <c r="D15142" s="3280">
        <v>245.95</v>
      </c>
      <c r="E15142" s="3270">
        <v>2.0573303831141385</v>
      </c>
      <c r="F15142" s="3282">
        <v>4.1146607662282772E-2</v>
      </c>
      <c r="H15142" t="s">
        <v>7831</v>
      </c>
      <c r="O15142" s="434"/>
    </row>
    <row r="15143" spans="1:15" ht="12.75" hidden="1" customHeight="1" outlineLevel="1" x14ac:dyDescent="0.25">
      <c r="A15143" s="2380">
        <v>0.02</v>
      </c>
      <c r="B15143" s="1921" t="s">
        <v>164</v>
      </c>
      <c r="C15143" s="2108">
        <v>68.289999999999992</v>
      </c>
      <c r="D15143" s="3280">
        <v>135.16</v>
      </c>
      <c r="E15143" s="3270">
        <v>0.97920632596280588</v>
      </c>
      <c r="F15143" s="3282">
        <v>1.9584126519256118E-2</v>
      </c>
      <c r="H15143" t="s">
        <v>2618</v>
      </c>
      <c r="O15143" s="434"/>
    </row>
    <row r="15144" spans="1:15" ht="12.75" hidden="1" customHeight="1" outlineLevel="1" x14ac:dyDescent="0.25">
      <c r="A15144" s="2380">
        <v>0.02</v>
      </c>
      <c r="B15144" s="2109" t="s">
        <v>7841</v>
      </c>
      <c r="C15144" s="2108">
        <v>48.012</v>
      </c>
      <c r="D15144" s="3283">
        <v>50.94</v>
      </c>
      <c r="E15144" s="3270">
        <v>6.098475381154711E-2</v>
      </c>
      <c r="F15144" s="3282">
        <v>1.2196950762309422E-3</v>
      </c>
      <c r="H15144" t="s">
        <v>7832</v>
      </c>
      <c r="O15144" s="434"/>
    </row>
    <row r="15145" spans="1:15" ht="12.75" hidden="1" customHeight="1" outlineLevel="1" x14ac:dyDescent="0.25">
      <c r="A15145" s="2181" t="s">
        <v>2734</v>
      </c>
      <c r="B15145" s="2103"/>
      <c r="C15145" s="3258">
        <v>100</v>
      </c>
      <c r="D15145" s="3259"/>
      <c r="E15145" s="3284"/>
      <c r="F15145" s="3277">
        <v>0.41534923976791477</v>
      </c>
      <c r="G15145" s="78"/>
    </row>
    <row r="15146" spans="1:15" ht="12.75" hidden="1" customHeight="1" outlineLevel="1" x14ac:dyDescent="0.25">
      <c r="A15146" s="1956" t="s">
        <v>7759</v>
      </c>
      <c r="B15146" s="2185">
        <v>44075</v>
      </c>
      <c r="C15146" s="3261">
        <v>100</v>
      </c>
      <c r="D15146" s="3261">
        <v>106.44070000000001</v>
      </c>
      <c r="E15146" s="3262">
        <v>6.4407000000000103E-2</v>
      </c>
      <c r="F15146" s="3285"/>
      <c r="G15146" s="78"/>
    </row>
    <row r="15147" spans="1:15" ht="12.75" hidden="1" customHeight="1" outlineLevel="1" x14ac:dyDescent="0.25">
      <c r="A15147" s="1956" t="s">
        <v>7760</v>
      </c>
      <c r="B15147" s="2185">
        <v>44105</v>
      </c>
      <c r="C15147" s="3261">
        <v>100</v>
      </c>
      <c r="D15147" s="3264">
        <v>102.0243</v>
      </c>
      <c r="E15147" s="3262">
        <v>2.0243000000000011E-2</v>
      </c>
      <c r="F15147" s="3285"/>
      <c r="G15147" s="78"/>
    </row>
    <row r="15148" spans="1:15" ht="12.75" hidden="1" customHeight="1" outlineLevel="1" x14ac:dyDescent="0.25">
      <c r="A15148" s="1956" t="s">
        <v>7761</v>
      </c>
      <c r="B15148" s="2185">
        <v>44136</v>
      </c>
      <c r="C15148" s="3261">
        <v>100</v>
      </c>
      <c r="D15148" s="3264">
        <v>117.98180000000001</v>
      </c>
      <c r="E15148" s="3262">
        <v>0.17981800000000003</v>
      </c>
      <c r="F15148" s="3285"/>
      <c r="G15148" s="78"/>
    </row>
    <row r="15149" spans="1:15" ht="12.75" hidden="1" customHeight="1" outlineLevel="1" x14ac:dyDescent="0.25">
      <c r="A15149" s="1956" t="s">
        <v>7762</v>
      </c>
      <c r="B15149" s="2185">
        <v>44166</v>
      </c>
      <c r="C15149" s="3261">
        <v>100</v>
      </c>
      <c r="D15149" s="3264">
        <v>121.17140000000001</v>
      </c>
      <c r="E15149" s="3262">
        <v>0.21171399999999996</v>
      </c>
      <c r="F15149" s="3285"/>
      <c r="G15149" s="78"/>
    </row>
    <row r="15150" spans="1:15" ht="12.75" hidden="1" customHeight="1" outlineLevel="1" x14ac:dyDescent="0.25">
      <c r="A15150" s="1956" t="s">
        <v>7763</v>
      </c>
      <c r="B15150" s="2185">
        <v>44197</v>
      </c>
      <c r="C15150" s="3261">
        <v>100</v>
      </c>
      <c r="D15150" s="3264">
        <v>119.7409</v>
      </c>
      <c r="E15150" s="3262">
        <v>0.19740899999999995</v>
      </c>
      <c r="F15150" s="3285"/>
      <c r="G15150" s="78"/>
    </row>
    <row r="15151" spans="1:15" ht="12.75" hidden="1" customHeight="1" outlineLevel="1" x14ac:dyDescent="0.25">
      <c r="A15151" s="1956" t="s">
        <v>7764</v>
      </c>
      <c r="B15151" s="2185">
        <v>44228</v>
      </c>
      <c r="C15151" s="3261">
        <v>100</v>
      </c>
      <c r="D15151" s="3264">
        <v>124.0394</v>
      </c>
      <c r="E15151" s="3262">
        <v>0.240394</v>
      </c>
      <c r="F15151" s="3285"/>
      <c r="G15151" s="78"/>
    </row>
    <row r="15152" spans="1:15" ht="12.75" hidden="1" customHeight="1" outlineLevel="1" x14ac:dyDescent="0.25">
      <c r="A15152" s="1956" t="s">
        <v>7765</v>
      </c>
      <c r="B15152" s="2185">
        <v>44256</v>
      </c>
      <c r="C15152" s="3261">
        <v>100</v>
      </c>
      <c r="D15152" s="3264">
        <v>129.11109999999999</v>
      </c>
      <c r="E15152" s="3262">
        <v>0.2911109999999999</v>
      </c>
      <c r="F15152" s="3285"/>
      <c r="G15152" s="78"/>
    </row>
    <row r="15153" spans="1:7" ht="12.75" hidden="1" customHeight="1" outlineLevel="1" x14ac:dyDescent="0.25">
      <c r="A15153" s="1956" t="s">
        <v>7766</v>
      </c>
      <c r="B15153" s="2185">
        <v>44287</v>
      </c>
      <c r="C15153" s="3261">
        <v>100</v>
      </c>
      <c r="D15153" s="3264">
        <v>132.84790000000001</v>
      </c>
      <c r="E15153" s="3262">
        <v>0.32847900000000019</v>
      </c>
      <c r="F15153" s="3285"/>
      <c r="G15153" s="78"/>
    </row>
    <row r="15154" spans="1:7" ht="12.75" hidden="1" customHeight="1" outlineLevel="1" x14ac:dyDescent="0.25">
      <c r="A15154" s="1956" t="s">
        <v>7767</v>
      </c>
      <c r="B15154" s="2185">
        <v>44317</v>
      </c>
      <c r="C15154" s="3261">
        <v>100</v>
      </c>
      <c r="D15154" s="3264">
        <v>135.75749999999999</v>
      </c>
      <c r="E15154" s="3262">
        <v>0.35757499999999998</v>
      </c>
      <c r="F15154" s="3285"/>
      <c r="G15154" s="78"/>
    </row>
    <row r="15155" spans="1:7" ht="12.75" hidden="1" customHeight="1" outlineLevel="1" x14ac:dyDescent="0.25">
      <c r="A15155" s="1956" t="s">
        <v>7768</v>
      </c>
      <c r="B15155" s="2185">
        <v>44348</v>
      </c>
      <c r="C15155" s="3261">
        <v>100</v>
      </c>
      <c r="D15155" s="3264">
        <v>135.8937</v>
      </c>
      <c r="E15155" s="3262">
        <v>0.35893700000000006</v>
      </c>
      <c r="F15155" s="3285"/>
      <c r="G15155" s="78"/>
    </row>
    <row r="15156" spans="1:7" ht="12.75" hidden="1" customHeight="1" outlineLevel="1" x14ac:dyDescent="0.25">
      <c r="A15156" s="1956" t="s">
        <v>7769</v>
      </c>
      <c r="B15156" s="2185">
        <v>44378</v>
      </c>
      <c r="C15156" s="3261">
        <v>100</v>
      </c>
      <c r="D15156" s="3264">
        <v>136.9718</v>
      </c>
      <c r="E15156" s="3262">
        <v>0.36971799999999999</v>
      </c>
      <c r="F15156" s="3285"/>
      <c r="G15156" s="78"/>
    </row>
    <row r="15157" spans="1:7" ht="12.75" hidden="1" customHeight="1" outlineLevel="1" x14ac:dyDescent="0.25">
      <c r="A15157" s="1956" t="s">
        <v>7770</v>
      </c>
      <c r="B15157" s="2185">
        <v>44409</v>
      </c>
      <c r="C15157" s="3261">
        <v>100</v>
      </c>
      <c r="D15157" s="3264">
        <v>141.4539</v>
      </c>
      <c r="E15157" s="3262">
        <v>0.41453899999999999</v>
      </c>
      <c r="F15157" s="3285"/>
      <c r="G15157" s="78"/>
    </row>
    <row r="15158" spans="1:7" ht="12.75" hidden="1" customHeight="1" outlineLevel="1" x14ac:dyDescent="0.25">
      <c r="A15158" s="1956" t="s">
        <v>7771</v>
      </c>
      <c r="B15158" s="2185">
        <v>44440</v>
      </c>
      <c r="C15158" s="3261">
        <v>100</v>
      </c>
      <c r="D15158" s="3264">
        <v>135.56389999999999</v>
      </c>
      <c r="E15158" s="3262">
        <v>0.35563899999999982</v>
      </c>
      <c r="F15158" s="3285"/>
      <c r="G15158" s="78"/>
    </row>
    <row r="15159" spans="1:7" ht="12.75" hidden="1" customHeight="1" outlineLevel="1" x14ac:dyDescent="0.25">
      <c r="A15159" s="1956" t="s">
        <v>7772</v>
      </c>
      <c r="B15159" s="2185">
        <v>44470</v>
      </c>
      <c r="C15159" s="3261">
        <v>100</v>
      </c>
      <c r="D15159" s="3264">
        <v>142.3186</v>
      </c>
      <c r="E15159" s="3262">
        <v>0.42318600000000006</v>
      </c>
      <c r="F15159" s="3285"/>
      <c r="G15159" s="78"/>
    </row>
    <row r="15160" spans="1:7" ht="12.75" hidden="1" customHeight="1" outlineLevel="1" x14ac:dyDescent="0.25">
      <c r="A15160" s="1956" t="s">
        <v>7773</v>
      </c>
      <c r="B15160" s="2185">
        <v>44501</v>
      </c>
      <c r="C15160" s="3261">
        <v>100</v>
      </c>
      <c r="D15160" s="3264">
        <v>142.11859999999999</v>
      </c>
      <c r="E15160" s="3262">
        <v>0.42118599999999984</v>
      </c>
      <c r="F15160" s="3285"/>
      <c r="G15160" s="78"/>
    </row>
    <row r="15161" spans="1:7" ht="12.75" hidden="1" customHeight="1" outlineLevel="1" x14ac:dyDescent="0.25">
      <c r="A15161" s="1956" t="s">
        <v>7774</v>
      </c>
      <c r="B15161" s="2185">
        <v>44531</v>
      </c>
      <c r="C15161" s="3261">
        <v>100</v>
      </c>
      <c r="D15161" s="3264">
        <v>148.9288</v>
      </c>
      <c r="E15161" s="3262">
        <v>0.48928799999999995</v>
      </c>
      <c r="F15161" s="3285"/>
      <c r="G15161" s="78"/>
    </row>
    <row r="15162" spans="1:7" ht="12.75" hidden="1" customHeight="1" outlineLevel="1" x14ac:dyDescent="0.25">
      <c r="A15162" s="1956" t="s">
        <v>7775</v>
      </c>
      <c r="B15162" s="2185">
        <v>44562</v>
      </c>
      <c r="C15162" s="3261">
        <v>100</v>
      </c>
      <c r="D15162" s="3264">
        <v>146.4177</v>
      </c>
      <c r="E15162" s="3262">
        <v>0.46417700000000006</v>
      </c>
      <c r="F15162" s="3285"/>
      <c r="G15162" s="78"/>
    </row>
    <row r="15163" spans="1:7" ht="12.75" hidden="1" customHeight="1" outlineLevel="1" x14ac:dyDescent="0.25">
      <c r="A15163" s="1956" t="s">
        <v>7776</v>
      </c>
      <c r="B15163" s="2185">
        <v>44593</v>
      </c>
      <c r="C15163" s="3261">
        <v>100</v>
      </c>
      <c r="D15163" s="3264">
        <v>141.57550000000001</v>
      </c>
      <c r="E15163" s="3262">
        <v>0.4157550000000001</v>
      </c>
      <c r="F15163" s="3285"/>
      <c r="G15163" s="78"/>
    </row>
    <row r="15164" spans="1:7" ht="12.75" hidden="1" customHeight="1" outlineLevel="1" x14ac:dyDescent="0.25">
      <c r="A15164" s="2189" t="s">
        <v>2734</v>
      </c>
      <c r="B15164" s="2190"/>
      <c r="C15164" s="3264"/>
      <c r="D15164" s="2191" t="s">
        <v>2465</v>
      </c>
      <c r="E15164" s="1987">
        <v>0.31130972222222225</v>
      </c>
      <c r="F15164" s="2192">
        <v>0.32923172222222219</v>
      </c>
      <c r="G15164" s="78"/>
    </row>
    <row r="15165" spans="1:7" collapsed="1" x14ac:dyDescent="0.25">
      <c r="A15165" s="3801" t="s">
        <v>7733</v>
      </c>
      <c r="B15165" s="3802"/>
      <c r="C15165" s="3802"/>
      <c r="D15165" s="3802"/>
      <c r="E15165" s="1906"/>
      <c r="F15165" s="1907">
        <v>0.32923172222222219</v>
      </c>
      <c r="G15165" s="78"/>
    </row>
    <row r="15167" spans="1:7" ht="12.75" hidden="1" customHeight="1" outlineLevel="1" x14ac:dyDescent="0.25">
      <c r="A15167" s="3237" t="s">
        <v>113</v>
      </c>
      <c r="B15167" s="3237" t="s">
        <v>114</v>
      </c>
      <c r="C15167" s="3237" t="s">
        <v>112</v>
      </c>
      <c r="D15167" s="3237" t="s">
        <v>116</v>
      </c>
      <c r="E15167" s="3237" t="s">
        <v>117</v>
      </c>
      <c r="F15167" s="3276" t="s">
        <v>121</v>
      </c>
      <c r="G15167" s="78"/>
    </row>
    <row r="15168" spans="1:7" ht="12.75" hidden="1" customHeight="1" outlineLevel="1" x14ac:dyDescent="0.25">
      <c r="A15168" s="3238">
        <v>1</v>
      </c>
      <c r="B15168" s="3239" t="s">
        <v>252</v>
      </c>
      <c r="C15168" s="3240">
        <v>100</v>
      </c>
      <c r="D15168" s="3240"/>
      <c r="E15168" s="3241"/>
      <c r="F15168" s="3242"/>
      <c r="G15168" s="78"/>
    </row>
    <row r="15169" spans="1:19" ht="12.75" hidden="1" customHeight="1" outlineLevel="1" x14ac:dyDescent="0.25">
      <c r="A15169" s="3243" t="s">
        <v>2734</v>
      </c>
      <c r="B15169" s="3243"/>
      <c r="C15169" s="3244"/>
      <c r="D15169" s="1900" t="s">
        <v>3702</v>
      </c>
      <c r="E15169" s="3245">
        <v>44620</v>
      </c>
      <c r="F15169" s="3246"/>
      <c r="G15169" s="78"/>
      <c r="I15169" s="3">
        <v>2</v>
      </c>
      <c r="J15169" s="192" t="s">
        <v>252</v>
      </c>
    </row>
    <row r="15170" spans="1:19" ht="12.75" hidden="1" customHeight="1" outlineLevel="1" x14ac:dyDescent="0.3">
      <c r="A15170" s="3237" t="s">
        <v>4156</v>
      </c>
      <c r="B15170" s="3237" t="s">
        <v>4153</v>
      </c>
      <c r="C15170" s="3247" t="s">
        <v>112</v>
      </c>
      <c r="D15170" s="3248" t="s">
        <v>4155</v>
      </c>
      <c r="E15170" s="3237" t="s">
        <v>4154</v>
      </c>
      <c r="F15170" s="3277" t="s">
        <v>2519</v>
      </c>
      <c r="G15170" s="78"/>
      <c r="I15170" s="22" t="s">
        <v>4156</v>
      </c>
      <c r="J15170" s="476" t="s">
        <v>5272</v>
      </c>
      <c r="K15170" s="98" t="s">
        <v>112</v>
      </c>
      <c r="L15170" s="23" t="s">
        <v>4155</v>
      </c>
      <c r="M15170" s="22" t="s">
        <v>4154</v>
      </c>
      <c r="N15170" s="22" t="s">
        <v>2519</v>
      </c>
      <c r="O15170" s="417"/>
    </row>
    <row r="15171" spans="1:19" ht="12.75" hidden="1" customHeight="1" outlineLevel="1" x14ac:dyDescent="0.25">
      <c r="A15171" s="1991">
        <v>0.02</v>
      </c>
      <c r="B15171" s="1921" t="s">
        <v>359</v>
      </c>
      <c r="C15171" s="2108">
        <v>143.655</v>
      </c>
      <c r="D15171" s="3278">
        <v>203.3</v>
      </c>
      <c r="E15171" s="3279">
        <v>0.4151961296160942</v>
      </c>
      <c r="F15171" s="3277">
        <v>8.3039225923218843E-3</v>
      </c>
      <c r="G15171" s="78"/>
      <c r="H15171" t="s">
        <v>360</v>
      </c>
      <c r="I15171" s="1469">
        <v>0.1</v>
      </c>
      <c r="J15171" s="1348" t="s">
        <v>1188</v>
      </c>
      <c r="K15171" s="1348">
        <v>3.5215000000000005</v>
      </c>
      <c r="L15171" s="421">
        <v>4.5354999999999999</v>
      </c>
      <c r="M15171" s="193">
        <v>0.28794547777935509</v>
      </c>
      <c r="N15171" s="1470">
        <v>2.8794547777935511E-2</v>
      </c>
      <c r="O15171" s="1348" t="s">
        <v>2746</v>
      </c>
      <c r="S15171" s="434"/>
    </row>
    <row r="15172" spans="1:19" ht="12.75" hidden="1" customHeight="1" outlineLevel="1" x14ac:dyDescent="0.25">
      <c r="A15172" s="2380">
        <v>0.02</v>
      </c>
      <c r="B15172" s="1921" t="s">
        <v>6325</v>
      </c>
      <c r="C15172" s="2108">
        <v>64.349000000000004</v>
      </c>
      <c r="D15172" s="3280">
        <v>90.65</v>
      </c>
      <c r="E15172" s="3281">
        <v>0.40872430029992701</v>
      </c>
      <c r="F15172" s="3282">
        <v>8.1744860059985401E-3</v>
      </c>
      <c r="G15172" s="78"/>
      <c r="H15172" t="s">
        <v>10509</v>
      </c>
      <c r="I15172" s="1469">
        <v>0.1</v>
      </c>
      <c r="J15172" s="1348" t="s">
        <v>581</v>
      </c>
      <c r="K15172" s="1348">
        <v>93.926000000000002</v>
      </c>
      <c r="L15172" s="421">
        <v>112.5</v>
      </c>
      <c r="M15172" s="193">
        <v>0.19775142133168666</v>
      </c>
      <c r="N15172" s="1470">
        <v>1.9775142133168666E-2</v>
      </c>
      <c r="O15172" s="1348" t="s">
        <v>589</v>
      </c>
      <c r="S15172" s="434"/>
    </row>
    <row r="15173" spans="1:19" ht="12.75" hidden="1" customHeight="1" outlineLevel="1" x14ac:dyDescent="0.25">
      <c r="A15173" s="2380">
        <v>0.02</v>
      </c>
      <c r="B15173" s="1921" t="s">
        <v>3998</v>
      </c>
      <c r="C15173" s="2108">
        <v>38.415999999999997</v>
      </c>
      <c r="D15173" s="3280">
        <v>23.69</v>
      </c>
      <c r="E15173" s="3281">
        <v>-0.38332986255726775</v>
      </c>
      <c r="F15173" s="3282">
        <v>-7.6665972511453552E-3</v>
      </c>
      <c r="G15173" s="78"/>
      <c r="H15173" t="s">
        <v>4000</v>
      </c>
      <c r="I15173" s="1469">
        <v>0.1</v>
      </c>
      <c r="J15173" s="1348" t="s">
        <v>7855</v>
      </c>
      <c r="K15173" s="1348">
        <v>50.333000000000006</v>
      </c>
      <c r="L15173" s="421">
        <v>55.9</v>
      </c>
      <c r="M15173" s="193">
        <v>0.11060338147934745</v>
      </c>
      <c r="N15173" s="1470">
        <v>1.1060338147934745E-2</v>
      </c>
      <c r="O15173" s="1348" t="s">
        <v>7851</v>
      </c>
      <c r="S15173" s="434"/>
    </row>
    <row r="15174" spans="1:19" ht="12.75" hidden="1" customHeight="1" outlineLevel="1" x14ac:dyDescent="0.25">
      <c r="A15174" s="2380">
        <v>0.02</v>
      </c>
      <c r="B15174" s="1921" t="s">
        <v>7753</v>
      </c>
      <c r="C15174" s="2108">
        <v>128.68</v>
      </c>
      <c r="D15174" s="3280">
        <v>154.1</v>
      </c>
      <c r="E15174" s="3281">
        <v>0.19754429592788303</v>
      </c>
      <c r="F15174" s="3282">
        <v>3.9508859185576608E-3</v>
      </c>
      <c r="G15174" s="78"/>
      <c r="H15174" t="s">
        <v>8901</v>
      </c>
      <c r="I15174" s="1469">
        <v>0.1</v>
      </c>
      <c r="J15174" s="1348" t="s">
        <v>7856</v>
      </c>
      <c r="K15174" s="1348">
        <v>458.68999999999994</v>
      </c>
      <c r="L15174" s="421">
        <v>535.1</v>
      </c>
      <c r="M15174" s="193">
        <v>0.16658309533672</v>
      </c>
      <c r="N15174" s="1470">
        <v>1.6658309533672002E-2</v>
      </c>
      <c r="O15174" s="1348" t="s">
        <v>7852</v>
      </c>
      <c r="S15174" s="434"/>
    </row>
    <row r="15175" spans="1:19" ht="12.75" hidden="1" customHeight="1" outlineLevel="1" x14ac:dyDescent="0.25">
      <c r="A15175" s="2380">
        <v>0.02</v>
      </c>
      <c r="B15175" s="1921" t="s">
        <v>3954</v>
      </c>
      <c r="C15175" s="2108">
        <v>96.693000000000012</v>
      </c>
      <c r="D15175" s="3280">
        <v>160.43</v>
      </c>
      <c r="E15175" s="3281">
        <v>0.65916870921369686</v>
      </c>
      <c r="F15175" s="3282">
        <v>1.3183374184273938E-2</v>
      </c>
      <c r="G15175" s="78"/>
      <c r="H15175" t="s">
        <v>3955</v>
      </c>
      <c r="I15175" s="1469">
        <v>0.1</v>
      </c>
      <c r="J15175" s="1348" t="s">
        <v>4</v>
      </c>
      <c r="K15175" s="1348">
        <v>69.233000000000018</v>
      </c>
      <c r="L15175" s="421">
        <v>65.55</v>
      </c>
      <c r="M15175" s="193">
        <v>-5.3197174757702581E-2</v>
      </c>
      <c r="N15175" s="1470">
        <v>-5.3197174757702581E-3</v>
      </c>
      <c r="O15175" s="1348" t="s">
        <v>10</v>
      </c>
      <c r="S15175" s="434"/>
    </row>
    <row r="15176" spans="1:19" ht="12.75" hidden="1" customHeight="1" outlineLevel="1" x14ac:dyDescent="0.25">
      <c r="A15176" s="2380">
        <v>0.05</v>
      </c>
      <c r="B15176" s="1921" t="s">
        <v>4055</v>
      </c>
      <c r="C15176" s="2108">
        <v>69.059999999999988</v>
      </c>
      <c r="D15176" s="3280">
        <v>79.55</v>
      </c>
      <c r="E15176" s="3281">
        <v>0.1518969012452942</v>
      </c>
      <c r="F15176" s="3282">
        <v>7.5948450622647101E-3</v>
      </c>
      <c r="G15176" s="78"/>
      <c r="H15176" t="s">
        <v>4056</v>
      </c>
      <c r="I15176" s="1469">
        <v>0.1</v>
      </c>
      <c r="J15176" s="1348" t="s">
        <v>5205</v>
      </c>
      <c r="K15176" s="1348">
        <v>16.785000000000004</v>
      </c>
      <c r="L15176" s="421">
        <v>20.795000000000002</v>
      </c>
      <c r="M15176" s="193">
        <v>0.23890378313970784</v>
      </c>
      <c r="N15176" s="1470">
        <v>2.3890378313970784E-2</v>
      </c>
      <c r="O15176" s="1348" t="s">
        <v>5199</v>
      </c>
      <c r="S15176" s="434"/>
    </row>
    <row r="15177" spans="1:19" ht="12.75" hidden="1" customHeight="1" outlineLevel="1" x14ac:dyDescent="0.25">
      <c r="A15177" s="2380">
        <v>0.02</v>
      </c>
      <c r="B15177" s="1921" t="s">
        <v>496</v>
      </c>
      <c r="C15177" s="2108">
        <v>9.3173787775513404</v>
      </c>
      <c r="D15177" s="3280">
        <v>8.1300000000000008</v>
      </c>
      <c r="E15177" s="3281">
        <v>-0.12743699766849981</v>
      </c>
      <c r="F15177" s="3282">
        <v>-2.5487399533699962E-3</v>
      </c>
      <c r="G15177" s="78"/>
      <c r="H15177" t="s">
        <v>497</v>
      </c>
      <c r="I15177" s="1469">
        <v>0.1</v>
      </c>
      <c r="J15177" s="1348" t="s">
        <v>3381</v>
      </c>
      <c r="K15177" s="1348">
        <v>131.68</v>
      </c>
      <c r="L15177" s="421">
        <v>148.4</v>
      </c>
      <c r="M15177" s="193">
        <v>0.1269744835965978</v>
      </c>
      <c r="N15177" s="1470">
        <v>1.2697448359659781E-2</v>
      </c>
      <c r="O15177" s="1348" t="s">
        <v>1728</v>
      </c>
      <c r="S15177" s="434"/>
    </row>
    <row r="15178" spans="1:19" ht="12.75" hidden="1" customHeight="1" outlineLevel="1" x14ac:dyDescent="0.25">
      <c r="A15178" s="2380">
        <v>0.02</v>
      </c>
      <c r="B15178" s="1921" t="s">
        <v>6267</v>
      </c>
      <c r="C15178" s="2108">
        <v>25.917000000000002</v>
      </c>
      <c r="D15178" s="3280">
        <v>18.925000000000001</v>
      </c>
      <c r="E15178" s="3281">
        <v>-0.26978431145580128</v>
      </c>
      <c r="F15178" s="3282">
        <v>-5.3956862291160259E-3</v>
      </c>
      <c r="G15178" s="78"/>
      <c r="H15178" t="s">
        <v>6268</v>
      </c>
      <c r="I15178" s="1469">
        <v>0.1</v>
      </c>
      <c r="J15178" s="1348" t="s">
        <v>1183</v>
      </c>
      <c r="K15178" s="1348">
        <v>42.130499999999998</v>
      </c>
      <c r="L15178" s="421">
        <v>47.05</v>
      </c>
      <c r="M15178" s="193">
        <v>0.11676813709782707</v>
      </c>
      <c r="N15178" s="1470">
        <v>1.1676813709782708E-2</v>
      </c>
      <c r="O15178" s="1348" t="s">
        <v>2805</v>
      </c>
      <c r="S15178" s="434"/>
    </row>
    <row r="15179" spans="1:19" ht="12.75" hidden="1" customHeight="1" outlineLevel="1" x14ac:dyDescent="0.25">
      <c r="A15179" s="2380">
        <v>0.02</v>
      </c>
      <c r="B15179" s="1921" t="s">
        <v>4268</v>
      </c>
      <c r="C15179" s="2108">
        <v>13.271000000000001</v>
      </c>
      <c r="D15179" s="3280">
        <v>18.84</v>
      </c>
      <c r="E15179" s="3281">
        <v>0.41963680204958176</v>
      </c>
      <c r="F15179" s="3282">
        <v>8.392736040991635E-3</v>
      </c>
      <c r="G15179" s="78"/>
      <c r="H15179" t="s">
        <v>8442</v>
      </c>
      <c r="I15179" s="1469">
        <v>0.1</v>
      </c>
      <c r="J15179" s="1348" t="s">
        <v>366</v>
      </c>
      <c r="K15179" s="1348">
        <v>48.593000000000004</v>
      </c>
      <c r="L15179" s="421">
        <v>61.06</v>
      </c>
      <c r="M15179" s="193">
        <v>0.25655958677175716</v>
      </c>
      <c r="N15179" s="1470">
        <v>2.5655958677175718E-2</v>
      </c>
      <c r="O15179" s="1348" t="s">
        <v>367</v>
      </c>
      <c r="S15179" s="434"/>
    </row>
    <row r="15180" spans="1:19" ht="12.75" hidden="1" customHeight="1" outlineLevel="1" x14ac:dyDescent="0.25">
      <c r="A15180" s="2380">
        <v>0.03</v>
      </c>
      <c r="B15180" s="1921" t="s">
        <v>10371</v>
      </c>
      <c r="C15180" s="2108">
        <v>29.528436973913063</v>
      </c>
      <c r="D15180" s="3280">
        <v>31.06</v>
      </c>
      <c r="E15180" s="3281">
        <v>5.1867392352666686E-2</v>
      </c>
      <c r="F15180" s="3282">
        <v>1.5560217705800005E-3</v>
      </c>
      <c r="G15180" s="78"/>
      <c r="H15180" t="s">
        <v>10370</v>
      </c>
      <c r="I15180" s="1469">
        <v>0.1</v>
      </c>
      <c r="J15180" s="1348" t="s">
        <v>7857</v>
      </c>
      <c r="K15180" s="1348">
        <v>26.771999999999998</v>
      </c>
      <c r="L15180" s="421">
        <v>31.34</v>
      </c>
      <c r="M15180" s="193">
        <v>0.17062602719258924</v>
      </c>
      <c r="N15180" s="1470">
        <v>1.7062602719258923E-2</v>
      </c>
      <c r="O15180" s="1348" t="s">
        <v>7858</v>
      </c>
      <c r="S15180" s="434"/>
    </row>
    <row r="15181" spans="1:19" ht="12.75" hidden="1" customHeight="1" outlineLevel="1" x14ac:dyDescent="0.25">
      <c r="A15181" s="2380">
        <v>0.02</v>
      </c>
      <c r="B15181" s="1921" t="s">
        <v>6902</v>
      </c>
      <c r="C15181" s="2108">
        <v>2.3687999999999994</v>
      </c>
      <c r="D15181" s="3280">
        <v>2.7719999999999998</v>
      </c>
      <c r="E15181" s="3281">
        <v>0.17021276595744705</v>
      </c>
      <c r="F15181" s="3282">
        <v>3.4042553191489413E-3</v>
      </c>
      <c r="G15181" s="78"/>
      <c r="H15181" t="s">
        <v>6899</v>
      </c>
      <c r="N15181" s="406">
        <v>0.1656</v>
      </c>
      <c r="S15181" s="434"/>
    </row>
    <row r="15182" spans="1:19" ht="12.75" hidden="1" customHeight="1" outlineLevel="1" x14ac:dyDescent="0.25">
      <c r="A15182" s="2380">
        <v>0.02</v>
      </c>
      <c r="B15182" s="1921" t="s">
        <v>1772</v>
      </c>
      <c r="C15182" s="2108">
        <v>182.215</v>
      </c>
      <c r="D15182" s="3280">
        <v>247.15</v>
      </c>
      <c r="E15182" s="3281">
        <v>0.35636473396811463</v>
      </c>
      <c r="F15182" s="3282">
        <v>7.1272946793622931E-3</v>
      </c>
      <c r="G15182" s="78"/>
      <c r="H15182" t="s">
        <v>4330</v>
      </c>
      <c r="S15182" s="434"/>
    </row>
    <row r="15183" spans="1:19" ht="12.75" hidden="1" customHeight="1" outlineLevel="1" x14ac:dyDescent="0.25">
      <c r="A15183" s="2380">
        <v>0.02</v>
      </c>
      <c r="B15183" s="1921" t="s">
        <v>7754</v>
      </c>
      <c r="C15183" s="2108">
        <v>41.768000000000008</v>
      </c>
      <c r="D15183" s="3280">
        <v>101.63</v>
      </c>
      <c r="E15183" s="3281">
        <v>1.4332024516376167</v>
      </c>
      <c r="F15183" s="3282">
        <v>2.8664049032752336E-2</v>
      </c>
      <c r="G15183" s="78"/>
      <c r="H15183" t="s">
        <v>7751</v>
      </c>
      <c r="I15183" s="412" t="s">
        <v>8491</v>
      </c>
      <c r="S15183" s="434"/>
    </row>
    <row r="15184" spans="1:19" ht="12.75" hidden="1" customHeight="1" outlineLevel="1" x14ac:dyDescent="0.25">
      <c r="A15184" s="2380">
        <v>0.02</v>
      </c>
      <c r="B15184" s="1921" t="s">
        <v>1203</v>
      </c>
      <c r="C15184" s="2108">
        <v>87.9</v>
      </c>
      <c r="D15184" s="3280">
        <v>105.68</v>
      </c>
      <c r="E15184" s="3281">
        <v>0.2022753128555177</v>
      </c>
      <c r="F15184" s="3282">
        <v>4.0455062571103538E-3</v>
      </c>
      <c r="G15184" s="78"/>
      <c r="H15184" t="s">
        <v>79</v>
      </c>
      <c r="S15184" s="434"/>
    </row>
    <row r="15185" spans="1:19" ht="12.75" hidden="1" customHeight="1" outlineLevel="1" x14ac:dyDescent="0.25">
      <c r="A15185" s="2380">
        <v>0.05</v>
      </c>
      <c r="B15185" s="2225" t="s">
        <v>3793</v>
      </c>
      <c r="C15185" s="2108">
        <v>96.482000000000014</v>
      </c>
      <c r="D15185" s="3280">
        <v>101.07</v>
      </c>
      <c r="E15185" s="3281">
        <v>4.7552911423892397E-2</v>
      </c>
      <c r="F15185" s="3282">
        <v>2.3776455711946201E-3</v>
      </c>
      <c r="G15185" s="78"/>
      <c r="H15185" t="s">
        <v>3533</v>
      </c>
      <c r="S15185" s="434"/>
    </row>
    <row r="15186" spans="1:19" ht="12.75" hidden="1" customHeight="1" outlineLevel="1" x14ac:dyDescent="0.25">
      <c r="A15186" s="2380">
        <v>0.02</v>
      </c>
      <c r="B15186" s="1921" t="s">
        <v>2769</v>
      </c>
      <c r="C15186" s="2108">
        <v>36.602000000000004</v>
      </c>
      <c r="D15186" s="3280">
        <v>26.17</v>
      </c>
      <c r="E15186" s="3281">
        <v>-0.28501174799191309</v>
      </c>
      <c r="F15186" s="3282">
        <v>-5.700234959838262E-3</v>
      </c>
      <c r="G15186" s="78"/>
      <c r="H15186" t="s">
        <v>2770</v>
      </c>
      <c r="S15186" s="434"/>
    </row>
    <row r="15187" spans="1:19" ht="12.75" hidden="1" customHeight="1" outlineLevel="1" x14ac:dyDescent="0.25">
      <c r="A15187" s="2380">
        <v>0.08</v>
      </c>
      <c r="B15187" s="1921" t="s">
        <v>2297</v>
      </c>
      <c r="C15187" s="2108">
        <v>50.873999999999995</v>
      </c>
      <c r="D15187" s="3280">
        <v>65.489999999999995</v>
      </c>
      <c r="E15187" s="3281">
        <v>0.28729803042811652</v>
      </c>
      <c r="F15187" s="3282">
        <v>2.2983842434249321E-2</v>
      </c>
      <c r="G15187" s="78"/>
      <c r="H15187" t="s">
        <v>2298</v>
      </c>
      <c r="S15187" s="434"/>
    </row>
    <row r="15188" spans="1:19" ht="12.75" hidden="1" customHeight="1" outlineLevel="1" x14ac:dyDescent="0.25">
      <c r="A15188" s="2380">
        <v>0.02</v>
      </c>
      <c r="B15188" s="1921" t="s">
        <v>5205</v>
      </c>
      <c r="C15188" s="2108">
        <v>16.785000000000004</v>
      </c>
      <c r="D15188" s="3280">
        <v>18.952000000000002</v>
      </c>
      <c r="E15188" s="3281">
        <v>0.12910336610068507</v>
      </c>
      <c r="F15188" s="3282">
        <v>2.5820673220137013E-3</v>
      </c>
      <c r="G15188" s="78"/>
      <c r="H15188" t="s">
        <v>5199</v>
      </c>
      <c r="S15188" s="434"/>
    </row>
    <row r="15189" spans="1:19" ht="12.75" hidden="1" customHeight="1" outlineLevel="1" x14ac:dyDescent="0.25">
      <c r="A15189" s="2380">
        <v>0.02</v>
      </c>
      <c r="B15189" s="1921" t="s">
        <v>6270</v>
      </c>
      <c r="C15189" s="2108">
        <v>41.571319467797565</v>
      </c>
      <c r="D15189" s="3280">
        <v>42.36</v>
      </c>
      <c r="E15189" s="3281">
        <v>1.8971746442000059E-2</v>
      </c>
      <c r="F15189" s="3282">
        <v>3.7943492884000117E-4</v>
      </c>
      <c r="G15189" s="78"/>
      <c r="H15189" t="s">
        <v>8166</v>
      </c>
      <c r="S15189" s="434"/>
    </row>
    <row r="15190" spans="1:19" ht="12.75" hidden="1" customHeight="1" outlineLevel="1" x14ac:dyDescent="0.25">
      <c r="A15190" s="2380">
        <v>0.08</v>
      </c>
      <c r="B15190" s="1921" t="s">
        <v>7348</v>
      </c>
      <c r="C15190" s="2108">
        <v>2015.8</v>
      </c>
      <c r="D15190" s="3280">
        <v>2635</v>
      </c>
      <c r="E15190" s="3281">
        <v>0.30717333068756814</v>
      </c>
      <c r="F15190" s="3282">
        <v>2.457386645500545E-2</v>
      </c>
      <c r="G15190" s="78"/>
      <c r="H15190" t="s">
        <v>8899</v>
      </c>
      <c r="S15190" s="434"/>
    </row>
    <row r="15191" spans="1:19" ht="12.75" hidden="1" customHeight="1" outlineLevel="1" x14ac:dyDescent="0.25">
      <c r="A15191" s="2380">
        <v>0.02</v>
      </c>
      <c r="B15191" s="1921" t="s">
        <v>6524</v>
      </c>
      <c r="C15191" s="2108">
        <v>86.893957334250146</v>
      </c>
      <c r="D15191" s="3280">
        <v>109.7</v>
      </c>
      <c r="E15191" s="3281">
        <v>0.26245832697000004</v>
      </c>
      <c r="F15191" s="3282">
        <v>5.2491665394000008E-3</v>
      </c>
      <c r="G15191" s="78"/>
      <c r="H15191" t="s">
        <v>6525</v>
      </c>
      <c r="S15191" s="434"/>
    </row>
    <row r="15192" spans="1:19" ht="12.75" hidden="1" customHeight="1" outlineLevel="1" x14ac:dyDescent="0.25">
      <c r="A15192" s="2380">
        <v>0.08</v>
      </c>
      <c r="B15192" s="1921" t="s">
        <v>3427</v>
      </c>
      <c r="C15192" s="2108">
        <v>49.94</v>
      </c>
      <c r="D15192" s="3280">
        <v>64.77</v>
      </c>
      <c r="E15192" s="3281">
        <v>0.29695634761714063</v>
      </c>
      <c r="F15192" s="3282">
        <v>2.375650780937125E-2</v>
      </c>
      <c r="G15192" s="78"/>
      <c r="H15192" t="s">
        <v>2800</v>
      </c>
      <c r="S15192" s="434"/>
    </row>
    <row r="15193" spans="1:19" ht="12.75" hidden="1" customHeight="1" outlineLevel="1" x14ac:dyDescent="0.25">
      <c r="A15193" s="2380">
        <v>0.02</v>
      </c>
      <c r="B15193" s="1921" t="s">
        <v>10538</v>
      </c>
      <c r="C15193" s="2108">
        <v>11.692674023784857</v>
      </c>
      <c r="D15193" s="3280">
        <v>10.77</v>
      </c>
      <c r="E15193" s="3281">
        <v>-7.8910437587500049E-2</v>
      </c>
      <c r="F15193" s="3282">
        <v>-1.578208751750001E-3</v>
      </c>
      <c r="G15193" s="78"/>
      <c r="H15193" t="s">
        <v>7628</v>
      </c>
      <c r="S15193" s="434"/>
    </row>
    <row r="15194" spans="1:19" ht="12.75" hidden="1" customHeight="1" outlineLevel="1" x14ac:dyDescent="0.25">
      <c r="A15194" s="2380">
        <v>0.08</v>
      </c>
      <c r="B15194" s="1921" t="s">
        <v>6118</v>
      </c>
      <c r="C15194" s="2108">
        <v>89.47</v>
      </c>
      <c r="D15194" s="3280">
        <v>87.82</v>
      </c>
      <c r="E15194" s="3281">
        <v>-1.8441935844417223E-2</v>
      </c>
      <c r="F15194" s="3282">
        <v>-1.475354867553378E-3</v>
      </c>
      <c r="G15194" s="78"/>
      <c r="H15194" t="s">
        <v>8893</v>
      </c>
      <c r="S15194" s="434"/>
    </row>
    <row r="15195" spans="1:19" ht="12.75" hidden="1" customHeight="1" outlineLevel="1" x14ac:dyDescent="0.25">
      <c r="A15195" s="2380">
        <v>0.08</v>
      </c>
      <c r="B15195" s="1921" t="s">
        <v>1239</v>
      </c>
      <c r="C15195" s="2108">
        <v>513.45000000000005</v>
      </c>
      <c r="D15195" s="3280">
        <v>550.6</v>
      </c>
      <c r="E15195" s="3281">
        <v>7.235368585061841E-2</v>
      </c>
      <c r="F15195" s="3282">
        <v>5.7882948680494728E-3</v>
      </c>
      <c r="G15195" s="78"/>
      <c r="H15195" t="s">
        <v>8891</v>
      </c>
      <c r="S15195" s="434"/>
    </row>
    <row r="15196" spans="1:19" ht="12.75" hidden="1" customHeight="1" outlineLevel="1" x14ac:dyDescent="0.25">
      <c r="A15196" s="2380">
        <v>0.05</v>
      </c>
      <c r="B15196" s="1921" t="s">
        <v>7755</v>
      </c>
      <c r="C15196" s="2108">
        <v>9.9385000000000012</v>
      </c>
      <c r="D15196" s="3280">
        <v>4.2759999999999998</v>
      </c>
      <c r="E15196" s="3281">
        <v>-0.56975398702017421</v>
      </c>
      <c r="F15196" s="3282">
        <v>-2.8487699351008713E-2</v>
      </c>
      <c r="G15196" s="78"/>
      <c r="H15196" t="s">
        <v>6732</v>
      </c>
      <c r="S15196" s="434"/>
    </row>
    <row r="15197" spans="1:19" ht="12.75" hidden="1" customHeight="1" outlineLevel="1" x14ac:dyDescent="0.25">
      <c r="A15197" s="2380">
        <v>0.02</v>
      </c>
      <c r="B15197" s="1921" t="s">
        <v>3665</v>
      </c>
      <c r="C15197" s="2108">
        <v>20.334499999999998</v>
      </c>
      <c r="D15197" s="3280">
        <v>32.01</v>
      </c>
      <c r="E15197" s="3281">
        <v>0.57417197373921169</v>
      </c>
      <c r="F15197" s="3282">
        <v>1.1483439474784234E-2</v>
      </c>
      <c r="G15197" s="78"/>
      <c r="H15197" t="s">
        <v>7021</v>
      </c>
      <c r="S15197" s="434"/>
    </row>
    <row r="15198" spans="1:19" ht="12.75" hidden="1" customHeight="1" outlineLevel="1" x14ac:dyDescent="0.25">
      <c r="A15198" s="2380">
        <v>0.02</v>
      </c>
      <c r="B15198" s="1921" t="s">
        <v>6337</v>
      </c>
      <c r="C15198" s="2108">
        <v>55.076000000000001</v>
      </c>
      <c r="D15198" s="3280">
        <v>102.28</v>
      </c>
      <c r="E15198" s="3281">
        <v>0.85707023022732232</v>
      </c>
      <c r="F15198" s="3282">
        <v>1.7141404604546447E-2</v>
      </c>
      <c r="G15198" s="78"/>
      <c r="H15198" t="s">
        <v>7752</v>
      </c>
      <c r="S15198" s="434"/>
    </row>
    <row r="15199" spans="1:19" ht="12.75" hidden="1" customHeight="1" outlineLevel="1" x14ac:dyDescent="0.25">
      <c r="A15199" s="2380">
        <v>0.02</v>
      </c>
      <c r="B15199" s="1921" t="s">
        <v>10633</v>
      </c>
      <c r="C15199" s="2108">
        <v>42.130499999999998</v>
      </c>
      <c r="D15199" s="3280">
        <v>45.59</v>
      </c>
      <c r="E15199" s="3281">
        <v>8.211390797640683E-2</v>
      </c>
      <c r="F15199" s="3282">
        <v>1.6422781595281366E-3</v>
      </c>
      <c r="G15199" s="78"/>
      <c r="H15199" t="s">
        <v>10634</v>
      </c>
      <c r="S15199" s="434"/>
    </row>
    <row r="15200" spans="1:19" ht="12.75" hidden="1" customHeight="1" outlineLevel="1" x14ac:dyDescent="0.25">
      <c r="A15200" s="2380">
        <v>0.02</v>
      </c>
      <c r="B15200" s="2109" t="s">
        <v>255</v>
      </c>
      <c r="C15200" s="2108">
        <v>52.714999999999996</v>
      </c>
      <c r="D15200" s="3283">
        <v>53.67</v>
      </c>
      <c r="E15200" s="3281">
        <v>1.8116285687185929E-2</v>
      </c>
      <c r="F15200" s="3282">
        <v>3.6232571374371857E-4</v>
      </c>
      <c r="G15200" s="78"/>
      <c r="H15200" t="s">
        <v>3351</v>
      </c>
      <c r="S15200" s="434"/>
    </row>
    <row r="15201" spans="1:7" ht="12.75" hidden="1" customHeight="1" outlineLevel="1" x14ac:dyDescent="0.25">
      <c r="A15201" s="2181" t="s">
        <v>2734</v>
      </c>
      <c r="B15201" s="2103"/>
      <c r="C15201" s="3258"/>
      <c r="D15201" s="3259"/>
      <c r="E15201" s="3284"/>
      <c r="F15201" s="3277">
        <v>0.15986512938030689</v>
      </c>
      <c r="G15201" s="78"/>
    </row>
    <row r="15202" spans="1:7" ht="12.75" hidden="1" customHeight="1" outlineLevel="1" x14ac:dyDescent="0.25">
      <c r="A15202" s="1956" t="s">
        <v>6192</v>
      </c>
      <c r="B15202" s="2185">
        <v>44075</v>
      </c>
      <c r="C15202" s="3261">
        <v>100</v>
      </c>
      <c r="D15202" s="3261">
        <v>94.785899999999998</v>
      </c>
      <c r="E15202" s="3262">
        <v>-5.2140999999999993E-2</v>
      </c>
      <c r="F15202" s="3285"/>
      <c r="G15202" s="78"/>
    </row>
    <row r="15203" spans="1:7" ht="12.75" hidden="1" customHeight="1" outlineLevel="1" x14ac:dyDescent="0.25">
      <c r="A15203" s="1956" t="s">
        <v>6193</v>
      </c>
      <c r="B15203" s="2185">
        <v>44105</v>
      </c>
      <c r="C15203" s="3261">
        <v>100</v>
      </c>
      <c r="D15203" s="3264">
        <v>92.732900000000001</v>
      </c>
      <c r="E15203" s="3262">
        <v>-7.2671000000000041E-2</v>
      </c>
      <c r="F15203" s="3285"/>
      <c r="G15203" s="78"/>
    </row>
    <row r="15204" spans="1:7" ht="12.75" hidden="1" customHeight="1" outlineLevel="1" x14ac:dyDescent="0.25">
      <c r="A15204" s="1956" t="s">
        <v>6194</v>
      </c>
      <c r="B15204" s="2185">
        <v>44136</v>
      </c>
      <c r="C15204" s="3261">
        <v>100</v>
      </c>
      <c r="D15204" s="3264">
        <v>104.5544</v>
      </c>
      <c r="E15204" s="3262">
        <v>4.5544000000000029E-2</v>
      </c>
      <c r="F15204" s="3285"/>
      <c r="G15204" s="78"/>
    </row>
    <row r="15205" spans="1:7" ht="12.75" hidden="1" customHeight="1" outlineLevel="1" x14ac:dyDescent="0.25">
      <c r="A15205" s="1956" t="s">
        <v>6195</v>
      </c>
      <c r="B15205" s="2185">
        <v>44166</v>
      </c>
      <c r="C15205" s="3261">
        <v>100</v>
      </c>
      <c r="D15205" s="3264">
        <v>104.75620000000001</v>
      </c>
      <c r="E15205" s="3262">
        <v>4.7562000000000104E-2</v>
      </c>
      <c r="F15205" s="3285"/>
      <c r="G15205" s="78"/>
    </row>
    <row r="15206" spans="1:7" ht="12.75" hidden="1" customHeight="1" outlineLevel="1" x14ac:dyDescent="0.25">
      <c r="A15206" s="1956" t="s">
        <v>6196</v>
      </c>
      <c r="B15206" s="2185">
        <v>44197</v>
      </c>
      <c r="C15206" s="3261">
        <v>100</v>
      </c>
      <c r="D15206" s="3264">
        <v>102.8582</v>
      </c>
      <c r="E15206" s="3262">
        <v>2.8581999999999885E-2</v>
      </c>
      <c r="F15206" s="3285"/>
      <c r="G15206" s="78"/>
    </row>
    <row r="15207" spans="1:7" ht="12.75" hidden="1" customHeight="1" outlineLevel="1" x14ac:dyDescent="0.25">
      <c r="A15207" s="1956" t="s">
        <v>6197</v>
      </c>
      <c r="B15207" s="2185">
        <v>44228</v>
      </c>
      <c r="C15207" s="3261">
        <v>100</v>
      </c>
      <c r="D15207" s="3264">
        <v>103.9323</v>
      </c>
      <c r="E15207" s="3262">
        <v>3.9322999999999997E-2</v>
      </c>
      <c r="F15207" s="3285"/>
      <c r="G15207" s="78"/>
    </row>
    <row r="15208" spans="1:7" ht="12.75" hidden="1" customHeight="1" outlineLevel="1" x14ac:dyDescent="0.25">
      <c r="A15208" s="1956" t="s">
        <v>6198</v>
      </c>
      <c r="B15208" s="2185">
        <v>44256</v>
      </c>
      <c r="C15208" s="3261">
        <v>100</v>
      </c>
      <c r="D15208" s="3264">
        <v>110.79430000000001</v>
      </c>
      <c r="E15208" s="3262">
        <v>0.10794300000000012</v>
      </c>
      <c r="F15208" s="3285"/>
      <c r="G15208" s="78"/>
    </row>
    <row r="15209" spans="1:7" ht="12.75" hidden="1" customHeight="1" outlineLevel="1" x14ac:dyDescent="0.25">
      <c r="A15209" s="1956" t="s">
        <v>6199</v>
      </c>
      <c r="B15209" s="2185">
        <v>44287</v>
      </c>
      <c r="C15209" s="3261">
        <v>100</v>
      </c>
      <c r="D15209" s="3264">
        <v>111.9395</v>
      </c>
      <c r="E15209" s="3262">
        <v>0.11939499999999992</v>
      </c>
      <c r="F15209" s="3285"/>
      <c r="G15209" s="78"/>
    </row>
    <row r="15210" spans="1:7" ht="12.75" hidden="1" customHeight="1" outlineLevel="1" x14ac:dyDescent="0.25">
      <c r="A15210" s="1956" t="s">
        <v>6200</v>
      </c>
      <c r="B15210" s="2185">
        <v>44317</v>
      </c>
      <c r="C15210" s="3261">
        <v>100</v>
      </c>
      <c r="D15210" s="3264">
        <v>113.379</v>
      </c>
      <c r="E15210" s="3262">
        <v>0.13379000000000008</v>
      </c>
      <c r="F15210" s="3285"/>
      <c r="G15210" s="78"/>
    </row>
    <row r="15211" spans="1:7" ht="12.75" hidden="1" customHeight="1" outlineLevel="1" x14ac:dyDescent="0.25">
      <c r="A15211" s="1956" t="s">
        <v>6201</v>
      </c>
      <c r="B15211" s="2185">
        <v>44348</v>
      </c>
      <c r="C15211" s="3261">
        <v>100</v>
      </c>
      <c r="D15211" s="3264">
        <v>113.5468</v>
      </c>
      <c r="E15211" s="3262">
        <v>0.13546800000000014</v>
      </c>
      <c r="F15211" s="3285"/>
      <c r="G15211" s="78"/>
    </row>
    <row r="15212" spans="1:7" ht="12.75" hidden="1" customHeight="1" outlineLevel="1" x14ac:dyDescent="0.25">
      <c r="A15212" s="1956" t="s">
        <v>6202</v>
      </c>
      <c r="B15212" s="2185">
        <v>44378</v>
      </c>
      <c r="C15212" s="3261">
        <v>100</v>
      </c>
      <c r="D15212" s="3264">
        <v>115.0052</v>
      </c>
      <c r="E15212" s="3262">
        <v>0.15005200000000007</v>
      </c>
      <c r="F15212" s="3285"/>
      <c r="G15212" s="78"/>
    </row>
    <row r="15213" spans="1:7" ht="12.75" hidden="1" customHeight="1" outlineLevel="1" x14ac:dyDescent="0.25">
      <c r="A15213" s="1956" t="s">
        <v>6203</v>
      </c>
      <c r="B15213" s="2185">
        <v>44409</v>
      </c>
      <c r="C15213" s="3261">
        <v>100</v>
      </c>
      <c r="D15213" s="3264">
        <v>116.79940000000001</v>
      </c>
      <c r="E15213" s="3262">
        <v>0.16799399999999998</v>
      </c>
      <c r="F15213" s="3285"/>
      <c r="G15213" s="78"/>
    </row>
    <row r="15214" spans="1:7" ht="12.75" hidden="1" customHeight="1" outlineLevel="1" x14ac:dyDescent="0.25">
      <c r="A15214" s="1956" t="s">
        <v>6204</v>
      </c>
      <c r="B15214" s="2185">
        <v>44440</v>
      </c>
      <c r="C15214" s="3261">
        <v>100</v>
      </c>
      <c r="D15214" s="3264">
        <v>113.4956</v>
      </c>
      <c r="E15214" s="3262">
        <v>0.13495599999999985</v>
      </c>
      <c r="F15214" s="3285"/>
      <c r="G15214" s="78"/>
    </row>
    <row r="15215" spans="1:7" ht="12.75" hidden="1" customHeight="1" outlineLevel="1" x14ac:dyDescent="0.25">
      <c r="A15215" s="1956" t="s">
        <v>6205</v>
      </c>
      <c r="B15215" s="2185">
        <v>44470</v>
      </c>
      <c r="C15215" s="3261">
        <v>100</v>
      </c>
      <c r="D15215" s="3264">
        <v>115.1836</v>
      </c>
      <c r="E15215" s="3262">
        <v>0.15183600000000008</v>
      </c>
      <c r="F15215" s="3285"/>
      <c r="G15215" s="78"/>
    </row>
    <row r="15216" spans="1:7" ht="12.75" hidden="1" customHeight="1" outlineLevel="1" x14ac:dyDescent="0.25">
      <c r="A15216" s="1956" t="s">
        <v>6206</v>
      </c>
      <c r="B15216" s="2185">
        <v>44501</v>
      </c>
      <c r="C15216" s="3261">
        <v>100</v>
      </c>
      <c r="D15216" s="3264">
        <v>112.8733</v>
      </c>
      <c r="E15216" s="3262">
        <v>0.12873299999999999</v>
      </c>
      <c r="F15216" s="3285"/>
      <c r="G15216" s="78"/>
    </row>
    <row r="15217" spans="1:11" ht="12.75" hidden="1" customHeight="1" outlineLevel="1" x14ac:dyDescent="0.25">
      <c r="A15217" s="1956" t="s">
        <v>6207</v>
      </c>
      <c r="B15217" s="2185">
        <v>44531</v>
      </c>
      <c r="C15217" s="3261">
        <v>100</v>
      </c>
      <c r="D15217" s="3264">
        <v>118.5735</v>
      </c>
      <c r="E15217" s="3262">
        <v>0.18573499999999998</v>
      </c>
      <c r="F15217" s="3285"/>
      <c r="G15217" s="78"/>
    </row>
    <row r="15218" spans="1:11" ht="12.75" hidden="1" customHeight="1" outlineLevel="1" x14ac:dyDescent="0.25">
      <c r="A15218" s="1956" t="s">
        <v>6208</v>
      </c>
      <c r="B15218" s="2185">
        <v>44562</v>
      </c>
      <c r="C15218" s="3261">
        <v>100</v>
      </c>
      <c r="D15218" s="3264">
        <v>120.10639999999999</v>
      </c>
      <c r="E15218" s="3262">
        <v>0.20106399999999991</v>
      </c>
      <c r="F15218" s="3285"/>
      <c r="G15218" s="78"/>
    </row>
    <row r="15219" spans="1:11" ht="12.75" hidden="1" customHeight="1" outlineLevel="1" x14ac:dyDescent="0.25">
      <c r="A15219" s="1956" t="s">
        <v>6209</v>
      </c>
      <c r="B15219" s="2185">
        <v>44593</v>
      </c>
      <c r="C15219" s="3261">
        <v>100</v>
      </c>
      <c r="D15219" s="3264">
        <v>116.09220000000001</v>
      </c>
      <c r="E15219" s="3262">
        <v>0.16092200000000001</v>
      </c>
      <c r="F15219" s="3285"/>
      <c r="G15219" s="78"/>
    </row>
    <row r="15220" spans="1:11" ht="12.75" hidden="1" customHeight="1" outlineLevel="1" x14ac:dyDescent="0.25">
      <c r="A15220" s="2189"/>
      <c r="B15220" s="2190"/>
      <c r="C15220" s="3264"/>
      <c r="D15220" s="2191" t="s">
        <v>2465</v>
      </c>
      <c r="E15220" s="1987">
        <v>0.10078261111111111</v>
      </c>
      <c r="F15220" s="2192">
        <v>0.10078261111111111</v>
      </c>
      <c r="G15220" s="78"/>
    </row>
    <row r="15221" spans="1:11" collapsed="1" x14ac:dyDescent="0.25">
      <c r="A15221" s="3801" t="s">
        <v>7611</v>
      </c>
      <c r="B15221" s="3802"/>
      <c r="C15221" s="3802"/>
      <c r="D15221" s="3802"/>
      <c r="E15221" s="1906"/>
      <c r="F15221" s="1907">
        <v>5.543043611111112E-2</v>
      </c>
      <c r="G15221" s="78"/>
    </row>
    <row r="15223" spans="1:11" ht="12.75" hidden="1" customHeight="1" outlineLevel="1" x14ac:dyDescent="0.25">
      <c r="A15223" s="3237" t="s">
        <v>113</v>
      </c>
      <c r="B15223" s="3237" t="s">
        <v>114</v>
      </c>
      <c r="C15223" s="3237" t="s">
        <v>112</v>
      </c>
      <c r="D15223" s="3237" t="s">
        <v>116</v>
      </c>
      <c r="E15223" s="3237" t="s">
        <v>117</v>
      </c>
      <c r="F15223" s="3276" t="s">
        <v>121</v>
      </c>
      <c r="G15223" s="78"/>
    </row>
    <row r="15224" spans="1:11" ht="12.75" hidden="1" customHeight="1" outlineLevel="1" x14ac:dyDescent="0.25">
      <c r="A15224" s="3238">
        <v>1</v>
      </c>
      <c r="B15224" s="3239" t="s">
        <v>252</v>
      </c>
      <c r="C15224" s="3240">
        <v>100</v>
      </c>
      <c r="D15224" s="3240"/>
      <c r="E15224" s="3241"/>
      <c r="F15224" s="3242"/>
      <c r="G15224" s="78"/>
    </row>
    <row r="15225" spans="1:11" ht="12.75" hidden="1" customHeight="1" outlineLevel="1" x14ac:dyDescent="0.25">
      <c r="A15225" s="3243" t="s">
        <v>2734</v>
      </c>
      <c r="B15225" s="3243"/>
      <c r="C15225" s="3244"/>
      <c r="D15225" s="1900" t="s">
        <v>3702</v>
      </c>
      <c r="E15225" s="3245">
        <v>44620</v>
      </c>
      <c r="F15225" s="3246"/>
      <c r="G15225" s="78"/>
    </row>
    <row r="15226" spans="1:11" ht="12.75" hidden="1" customHeight="1" outlineLevel="1" x14ac:dyDescent="0.25">
      <c r="A15226" s="3237" t="s">
        <v>4156</v>
      </c>
      <c r="B15226" s="3237" t="s">
        <v>4153</v>
      </c>
      <c r="C15226" s="3247" t="s">
        <v>112</v>
      </c>
      <c r="D15226" s="3248" t="s">
        <v>4155</v>
      </c>
      <c r="E15226" s="3237" t="s">
        <v>4154</v>
      </c>
      <c r="F15226" s="3277" t="s">
        <v>2519</v>
      </c>
      <c r="G15226" s="78"/>
    </row>
    <row r="15227" spans="1:11" ht="12.75" hidden="1" customHeight="1" outlineLevel="1" x14ac:dyDescent="0.25">
      <c r="A15227" s="1991">
        <v>0.02</v>
      </c>
      <c r="B15227" s="1921" t="s">
        <v>359</v>
      </c>
      <c r="C15227" s="2108">
        <v>138.35</v>
      </c>
      <c r="D15227" s="3194">
        <v>203.3</v>
      </c>
      <c r="E15227" s="3195">
        <v>0.46946151066136621</v>
      </c>
      <c r="F15227" s="3193">
        <v>9.3892302132273248E-3</v>
      </c>
      <c r="G15227" s="78"/>
      <c r="H15227" t="s">
        <v>360</v>
      </c>
      <c r="K15227" s="434"/>
    </row>
    <row r="15228" spans="1:11" ht="12.75" hidden="1" customHeight="1" outlineLevel="1" x14ac:dyDescent="0.25">
      <c r="A15228" s="2380">
        <v>0.02</v>
      </c>
      <c r="B15228" s="1921" t="s">
        <v>1317</v>
      </c>
      <c r="C15228" s="2108">
        <v>64.587000000000003</v>
      </c>
      <c r="D15228" s="3196">
        <v>90.72</v>
      </c>
      <c r="E15228" s="3197">
        <v>0.40461702819452827</v>
      </c>
      <c r="F15228" s="3198">
        <v>8.0923405638905661E-3</v>
      </c>
      <c r="G15228" s="78"/>
      <c r="H15228" t="s">
        <v>1318</v>
      </c>
      <c r="K15228" s="434"/>
    </row>
    <row r="15229" spans="1:11" ht="12.75" hidden="1" customHeight="1" outlineLevel="1" x14ac:dyDescent="0.25">
      <c r="A15229" s="2380">
        <v>0.02</v>
      </c>
      <c r="B15229" s="1921" t="s">
        <v>3998</v>
      </c>
      <c r="C15229" s="2108">
        <v>38.923999999999999</v>
      </c>
      <c r="D15229" s="3196">
        <v>23.69</v>
      </c>
      <c r="E15229" s="3197">
        <v>-0.39137807008529435</v>
      </c>
      <c r="F15229" s="3198">
        <v>-7.8275614017058875E-3</v>
      </c>
      <c r="G15229" s="78"/>
      <c r="H15229" t="s">
        <v>4000</v>
      </c>
      <c r="K15229" s="434"/>
    </row>
    <row r="15230" spans="1:11" ht="12.75" hidden="1" customHeight="1" outlineLevel="1" x14ac:dyDescent="0.25">
      <c r="A15230" s="2380">
        <v>0.02</v>
      </c>
      <c r="B15230" s="1921" t="s">
        <v>7753</v>
      </c>
      <c r="C15230" s="2108">
        <v>118</v>
      </c>
      <c r="D15230" s="3196">
        <v>154.1</v>
      </c>
      <c r="E15230" s="3197">
        <v>0.3059322033898304</v>
      </c>
      <c r="F15230" s="3198">
        <v>6.1186440677966081E-3</v>
      </c>
      <c r="G15230" s="78"/>
      <c r="H15230" t="s">
        <v>8901</v>
      </c>
      <c r="K15230" s="434"/>
    </row>
    <row r="15231" spans="1:11" ht="12.75" hidden="1" customHeight="1" outlineLevel="1" x14ac:dyDescent="0.25">
      <c r="A15231" s="2380">
        <v>0.02</v>
      </c>
      <c r="B15231" s="1921" t="s">
        <v>3954</v>
      </c>
      <c r="C15231" s="2108">
        <v>101.11499999999999</v>
      </c>
      <c r="D15231" s="3196">
        <v>160.43</v>
      </c>
      <c r="E15231" s="3197">
        <v>0.58660930623547469</v>
      </c>
      <c r="F15231" s="3198">
        <v>1.1732186124709495E-2</v>
      </c>
      <c r="G15231" s="78"/>
      <c r="H15231" t="s">
        <v>3955</v>
      </c>
      <c r="K15231" s="434"/>
    </row>
    <row r="15232" spans="1:11" ht="12.75" hidden="1" customHeight="1" outlineLevel="1" x14ac:dyDescent="0.25">
      <c r="A15232" s="2380">
        <v>0.05</v>
      </c>
      <c r="B15232" s="1921" t="s">
        <v>4055</v>
      </c>
      <c r="C15232" s="2108">
        <v>71.525000000000006</v>
      </c>
      <c r="D15232" s="3196">
        <v>79.55</v>
      </c>
      <c r="E15232" s="3197">
        <v>0.11219853198182439</v>
      </c>
      <c r="F15232" s="3198">
        <v>5.6099265990912197E-3</v>
      </c>
      <c r="G15232" s="78"/>
      <c r="H15232" t="s">
        <v>4056</v>
      </c>
      <c r="K15232" s="434"/>
    </row>
    <row r="15233" spans="1:11" ht="12.75" hidden="1" customHeight="1" outlineLevel="1" x14ac:dyDescent="0.25">
      <c r="A15233" s="2380">
        <v>0.02</v>
      </c>
      <c r="B15233" s="1921" t="s">
        <v>496</v>
      </c>
      <c r="C15233" s="2108">
        <v>10.66929580876559</v>
      </c>
      <c r="D15233" s="3196">
        <v>8.1300000000000008</v>
      </c>
      <c r="E15233" s="3197">
        <v>-0.23800031925999987</v>
      </c>
      <c r="F15233" s="3198">
        <v>-4.7600063851999976E-3</v>
      </c>
      <c r="G15233" s="78"/>
      <c r="H15233" t="s">
        <v>497</v>
      </c>
      <c r="K15233" s="434"/>
    </row>
    <row r="15234" spans="1:11" ht="12.75" hidden="1" customHeight="1" outlineLevel="1" x14ac:dyDescent="0.25">
      <c r="A15234" s="2380">
        <v>0.02</v>
      </c>
      <c r="B15234" s="1921" t="s">
        <v>6267</v>
      </c>
      <c r="C15234" s="2108">
        <v>26.622</v>
      </c>
      <c r="D15234" s="3196">
        <v>18.925000000000001</v>
      </c>
      <c r="E15234" s="3197">
        <v>-0.28912177897979108</v>
      </c>
      <c r="F15234" s="3198">
        <v>-5.7824355795958217E-3</v>
      </c>
      <c r="G15234" s="78"/>
      <c r="H15234" t="s">
        <v>6268</v>
      </c>
      <c r="K15234" s="434"/>
    </row>
    <row r="15235" spans="1:11" ht="12.75" hidden="1" customHeight="1" outlineLevel="1" x14ac:dyDescent="0.25">
      <c r="A15235" s="2380">
        <v>0.02</v>
      </c>
      <c r="B15235" s="1921" t="s">
        <v>4268</v>
      </c>
      <c r="C15235" s="2108">
        <v>12.981999999999999</v>
      </c>
      <c r="D15235" s="3196">
        <v>18.84</v>
      </c>
      <c r="E15235" s="3197">
        <v>0.4512401787089817</v>
      </c>
      <c r="F15235" s="3198">
        <v>9.024803574179634E-3</v>
      </c>
      <c r="G15235" s="78"/>
      <c r="H15235" t="s">
        <v>8442</v>
      </c>
      <c r="K15235" s="434"/>
    </row>
    <row r="15236" spans="1:11" ht="12.75" hidden="1" customHeight="1" outlineLevel="1" x14ac:dyDescent="0.25">
      <c r="A15236" s="2380">
        <v>0.03</v>
      </c>
      <c r="B15236" s="1921" t="s">
        <v>6530</v>
      </c>
      <c r="C15236" s="2108">
        <v>33.478000000000002</v>
      </c>
      <c r="D15236" s="3196">
        <v>31.06</v>
      </c>
      <c r="E15236" s="3197">
        <v>-7.2226536830157229E-2</v>
      </c>
      <c r="F15236" s="3198">
        <v>-2.1667961049047168E-3</v>
      </c>
      <c r="G15236" s="78"/>
      <c r="H15236" t="s">
        <v>10140</v>
      </c>
      <c r="K15236" s="434"/>
    </row>
    <row r="15237" spans="1:11" ht="12.75" hidden="1" customHeight="1" outlineLevel="1" x14ac:dyDescent="0.25">
      <c r="A15237" s="2380">
        <v>0.02</v>
      </c>
      <c r="B15237" s="1921" t="s">
        <v>6902</v>
      </c>
      <c r="C15237" s="2108">
        <v>2.1960999999999999</v>
      </c>
      <c r="D15237" s="3196">
        <v>2.7719999999999998</v>
      </c>
      <c r="E15237" s="3197">
        <v>0.2622376030235416</v>
      </c>
      <c r="F15237" s="3198">
        <v>5.2447520604708324E-3</v>
      </c>
      <c r="G15237" s="78"/>
      <c r="H15237" t="s">
        <v>6899</v>
      </c>
      <c r="K15237" s="434"/>
    </row>
    <row r="15238" spans="1:11" ht="12.75" hidden="1" customHeight="1" outlineLevel="1" x14ac:dyDescent="0.25">
      <c r="A15238" s="2380">
        <v>0.02</v>
      </c>
      <c r="B15238" s="1921" t="s">
        <v>1772</v>
      </c>
      <c r="C15238" s="2108">
        <v>159.68</v>
      </c>
      <c r="D15238" s="3196">
        <v>247.15</v>
      </c>
      <c r="E15238" s="3197">
        <v>0.54778306613226446</v>
      </c>
      <c r="F15238" s="3198">
        <v>1.0955661322645289E-2</v>
      </c>
      <c r="G15238" s="78"/>
      <c r="H15238" t="s">
        <v>4330</v>
      </c>
      <c r="K15238" s="434"/>
    </row>
    <row r="15239" spans="1:11" ht="12.75" hidden="1" customHeight="1" outlineLevel="1" x14ac:dyDescent="0.25">
      <c r="A15239" s="2380">
        <v>0.02</v>
      </c>
      <c r="B15239" s="1921" t="s">
        <v>7754</v>
      </c>
      <c r="C15239" s="2519">
        <v>42.158999999999999</v>
      </c>
      <c r="D15239" s="3196">
        <v>101.63</v>
      </c>
      <c r="E15239" s="3197">
        <v>1.4106359258995704</v>
      </c>
      <c r="F15239" s="3198">
        <v>2.8212718517991408E-2</v>
      </c>
      <c r="G15239" s="78"/>
      <c r="H15239" t="s">
        <v>7751</v>
      </c>
      <c r="K15239" s="434"/>
    </row>
    <row r="15240" spans="1:11" ht="12.75" hidden="1" customHeight="1" outlineLevel="1" x14ac:dyDescent="0.25">
      <c r="A15240" s="2380">
        <v>0.02</v>
      </c>
      <c r="B15240" s="1921" t="s">
        <v>1203</v>
      </c>
      <c r="C15240" s="2108">
        <v>76.849999999999994</v>
      </c>
      <c r="D15240" s="3196">
        <v>105.68</v>
      </c>
      <c r="E15240" s="3197">
        <v>0.37514638906961628</v>
      </c>
      <c r="F15240" s="3198">
        <v>7.5029277813923254E-3</v>
      </c>
      <c r="G15240" s="78"/>
      <c r="H15240" t="s">
        <v>79</v>
      </c>
      <c r="K15240" s="434"/>
    </row>
    <row r="15241" spans="1:11" ht="12.75" hidden="1" customHeight="1" outlineLevel="1" x14ac:dyDescent="0.25">
      <c r="A15241" s="2380">
        <v>0.05</v>
      </c>
      <c r="B15241" s="1921" t="s">
        <v>3793</v>
      </c>
      <c r="C15241" s="2108">
        <v>100.194</v>
      </c>
      <c r="D15241" s="3196">
        <v>101.07</v>
      </c>
      <c r="E15241" s="3197">
        <v>8.7430385052995607E-3</v>
      </c>
      <c r="F15241" s="3198">
        <v>4.3715192526497807E-4</v>
      </c>
      <c r="G15241" s="78"/>
      <c r="H15241" t="s">
        <v>3533</v>
      </c>
      <c r="K15241" s="434"/>
    </row>
    <row r="15242" spans="1:11" ht="12.75" hidden="1" customHeight="1" outlineLevel="1" x14ac:dyDescent="0.25">
      <c r="A15242" s="2380">
        <v>0.02</v>
      </c>
      <c r="B15242" s="1921" t="s">
        <v>2769</v>
      </c>
      <c r="C15242" s="2108">
        <v>38.287999999999997</v>
      </c>
      <c r="D15242" s="3196">
        <v>26.17</v>
      </c>
      <c r="E15242" s="3197">
        <v>-0.31649603008775584</v>
      </c>
      <c r="F15242" s="3198">
        <v>-6.3299206017551173E-3</v>
      </c>
      <c r="G15242" s="78"/>
      <c r="H15242" t="s">
        <v>2770</v>
      </c>
      <c r="K15242" s="434"/>
    </row>
    <row r="15243" spans="1:11" ht="12.75" hidden="1" customHeight="1" outlineLevel="1" x14ac:dyDescent="0.25">
      <c r="A15243" s="2380">
        <v>0.08</v>
      </c>
      <c r="B15243" s="1921" t="s">
        <v>2297</v>
      </c>
      <c r="C15243" s="2108">
        <v>49.652999999999999</v>
      </c>
      <c r="D15243" s="3196">
        <v>65.489999999999995</v>
      </c>
      <c r="E15243" s="3197">
        <v>0.31895353755060118</v>
      </c>
      <c r="F15243" s="3198">
        <v>2.5516283004048096E-2</v>
      </c>
      <c r="G15243" s="78"/>
      <c r="H15243" t="s">
        <v>2298</v>
      </c>
      <c r="K15243" s="434"/>
    </row>
    <row r="15244" spans="1:11" ht="12.75" hidden="1" customHeight="1" outlineLevel="1" x14ac:dyDescent="0.25">
      <c r="A15244" s="2380">
        <v>0.02</v>
      </c>
      <c r="B15244" s="1921" t="s">
        <v>5205</v>
      </c>
      <c r="C15244" s="2108">
        <v>17.120999999999999</v>
      </c>
      <c r="D15244" s="3196">
        <v>18.952000000000002</v>
      </c>
      <c r="E15244" s="3197">
        <v>0.10694468781029154</v>
      </c>
      <c r="F15244" s="3198">
        <v>2.1388937562058308E-3</v>
      </c>
      <c r="G15244" s="78"/>
      <c r="H15244" t="s">
        <v>5199</v>
      </c>
      <c r="K15244" s="434"/>
    </row>
    <row r="15245" spans="1:11" ht="12.75" hidden="1" customHeight="1" outlineLevel="1" x14ac:dyDescent="0.25">
      <c r="A15245" s="2380">
        <v>0.02</v>
      </c>
      <c r="B15245" s="1921" t="s">
        <v>6270</v>
      </c>
      <c r="C15245" s="2108">
        <v>38.602150506503641</v>
      </c>
      <c r="D15245" s="3196">
        <v>42.36</v>
      </c>
      <c r="E15245" s="3197">
        <v>9.734819029999997E-2</v>
      </c>
      <c r="F15245" s="3198">
        <v>1.9469638059999995E-3</v>
      </c>
      <c r="G15245" s="78"/>
      <c r="H15245" t="s">
        <v>8166</v>
      </c>
      <c r="K15245" s="434"/>
    </row>
    <row r="15246" spans="1:11" ht="12.75" hidden="1" customHeight="1" outlineLevel="1" x14ac:dyDescent="0.25">
      <c r="A15246" s="2380">
        <v>0.08</v>
      </c>
      <c r="B15246" s="1921" t="s">
        <v>7348</v>
      </c>
      <c r="C15246" s="2108">
        <v>2121.4</v>
      </c>
      <c r="D15246" s="3196">
        <v>2635</v>
      </c>
      <c r="E15246" s="3197">
        <v>0.24210427076458929</v>
      </c>
      <c r="F15246" s="3198">
        <v>1.9368341661167143E-2</v>
      </c>
      <c r="G15246" s="78"/>
      <c r="H15246" t="s">
        <v>8899</v>
      </c>
      <c r="K15246" s="434"/>
    </row>
    <row r="15247" spans="1:11" ht="12.75" hidden="1" customHeight="1" outlineLevel="1" x14ac:dyDescent="0.25">
      <c r="A15247" s="2380">
        <v>0.02</v>
      </c>
      <c r="B15247" s="1921" t="s">
        <v>6524</v>
      </c>
      <c r="C15247" s="2108">
        <v>74.817203988612874</v>
      </c>
      <c r="D15247" s="3196">
        <v>109.7</v>
      </c>
      <c r="E15247" s="3197">
        <v>0.46624030506000014</v>
      </c>
      <c r="F15247" s="3198">
        <v>9.324806101200003E-3</v>
      </c>
      <c r="G15247" s="78"/>
      <c r="H15247" t="s">
        <v>6525</v>
      </c>
      <c r="K15247" s="434"/>
    </row>
    <row r="15248" spans="1:11" ht="12.75" hidden="1" customHeight="1" outlineLevel="1" x14ac:dyDescent="0.25">
      <c r="A15248" s="2380">
        <v>0.08</v>
      </c>
      <c r="B15248" s="1921" t="s">
        <v>3427</v>
      </c>
      <c r="C15248" s="2108">
        <v>49.298000000000002</v>
      </c>
      <c r="D15248" s="3196">
        <v>64.77</v>
      </c>
      <c r="E15248" s="3197">
        <v>0.31384640350521309</v>
      </c>
      <c r="F15248" s="3198">
        <v>2.5107712280417048E-2</v>
      </c>
      <c r="G15248" s="78"/>
      <c r="H15248" t="s">
        <v>2800</v>
      </c>
      <c r="K15248" s="434"/>
    </row>
    <row r="15249" spans="1:11" ht="12.75" hidden="1" customHeight="1" outlineLevel="1" x14ac:dyDescent="0.25">
      <c r="A15249" s="2380">
        <v>0.02</v>
      </c>
      <c r="B15249" s="1921" t="s">
        <v>7627</v>
      </c>
      <c r="C15249" s="2108">
        <v>12.898</v>
      </c>
      <c r="D15249" s="3196">
        <v>10.77</v>
      </c>
      <c r="E15249" s="3197">
        <v>-0.16498681966196316</v>
      </c>
      <c r="F15249" s="3198">
        <v>-3.2997363932392634E-3</v>
      </c>
      <c r="G15249" s="78"/>
      <c r="H15249" t="s">
        <v>10103</v>
      </c>
      <c r="K15249" s="434"/>
    </row>
    <row r="15250" spans="1:11" ht="12.75" hidden="1" customHeight="1" outlineLevel="1" x14ac:dyDescent="0.25">
      <c r="A15250" s="2380">
        <v>0.08</v>
      </c>
      <c r="B15250" s="1921" t="s">
        <v>6118</v>
      </c>
      <c r="C15250" s="2108">
        <v>86.435000000000002</v>
      </c>
      <c r="D15250" s="3196">
        <v>87.82</v>
      </c>
      <c r="E15250" s="3197">
        <v>1.6023601550297917E-2</v>
      </c>
      <c r="F15250" s="3198">
        <v>1.2818881240238334E-3</v>
      </c>
      <c r="G15250" s="78"/>
      <c r="H15250" t="s">
        <v>8893</v>
      </c>
      <c r="K15250" s="434"/>
    </row>
    <row r="15251" spans="1:11" ht="12.75" hidden="1" customHeight="1" outlineLevel="1" x14ac:dyDescent="0.25">
      <c r="A15251" s="2380">
        <v>0.08</v>
      </c>
      <c r="B15251" s="1921" t="s">
        <v>1239</v>
      </c>
      <c r="C15251" s="2108">
        <v>476.86</v>
      </c>
      <c r="D15251" s="3196">
        <v>550.6</v>
      </c>
      <c r="E15251" s="3197">
        <v>0.15463658096716015</v>
      </c>
      <c r="F15251" s="3198">
        <v>1.2370926477372812E-2</v>
      </c>
      <c r="G15251" s="78"/>
      <c r="H15251" t="s">
        <v>8891</v>
      </c>
      <c r="K15251" s="434"/>
    </row>
    <row r="15252" spans="1:11" ht="12.75" hidden="1" customHeight="1" outlineLevel="1" x14ac:dyDescent="0.25">
      <c r="A15252" s="2380">
        <v>0.05</v>
      </c>
      <c r="B15252" s="1921" t="s">
        <v>7755</v>
      </c>
      <c r="C15252" s="2108">
        <v>9.2886000000000006</v>
      </c>
      <c r="D15252" s="3196">
        <v>4.2759999999999998</v>
      </c>
      <c r="E15252" s="3197">
        <v>-0.53965075468854296</v>
      </c>
      <c r="F15252" s="3198">
        <v>-2.6982537734427148E-2</v>
      </c>
      <c r="G15252" s="78"/>
      <c r="H15252" t="s">
        <v>6732</v>
      </c>
      <c r="K15252" s="434"/>
    </row>
    <row r="15253" spans="1:11" ht="12.75" hidden="1" customHeight="1" outlineLevel="1" x14ac:dyDescent="0.25">
      <c r="A15253" s="2380">
        <v>0.02</v>
      </c>
      <c r="B15253" s="1921" t="s">
        <v>3665</v>
      </c>
      <c r="C15253" s="2108">
        <v>20.320499999999999</v>
      </c>
      <c r="D15253" s="3196">
        <v>32.01</v>
      </c>
      <c r="E15253" s="3197">
        <v>0.5752565143574222</v>
      </c>
      <c r="F15253" s="3198">
        <v>1.1505130287148444E-2</v>
      </c>
      <c r="G15253" s="78"/>
      <c r="H15253" t="s">
        <v>7021</v>
      </c>
      <c r="K15253" s="434"/>
    </row>
    <row r="15254" spans="1:11" ht="12.75" hidden="1" customHeight="1" outlineLevel="1" x14ac:dyDescent="0.25">
      <c r="A15254" s="2380">
        <v>0.02</v>
      </c>
      <c r="B15254" s="1921" t="s">
        <v>6337</v>
      </c>
      <c r="C15254" s="2108">
        <v>56.29</v>
      </c>
      <c r="D15254" s="3196">
        <v>102.28</v>
      </c>
      <c r="E15254" s="3197">
        <v>0.81701900870492095</v>
      </c>
      <c r="F15254" s="3198">
        <v>1.6340380174098418E-2</v>
      </c>
      <c r="G15254" s="78"/>
      <c r="H15254" t="s">
        <v>7752</v>
      </c>
      <c r="K15254" s="434"/>
    </row>
    <row r="15255" spans="1:11" ht="12.75" hidden="1" customHeight="1" outlineLevel="1" x14ac:dyDescent="0.25">
      <c r="A15255" s="2380">
        <v>0.02</v>
      </c>
      <c r="B15255" s="1921" t="s">
        <v>10633</v>
      </c>
      <c r="C15255" s="2108">
        <v>42.804000000000002</v>
      </c>
      <c r="D15255" s="3196">
        <v>45.59</v>
      </c>
      <c r="E15255" s="3197">
        <v>6.5087375011681159E-2</v>
      </c>
      <c r="F15255" s="3198">
        <v>1.3017475002336232E-3</v>
      </c>
      <c r="G15255" s="78"/>
      <c r="H15255" t="s">
        <v>10634</v>
      </c>
      <c r="K15255" s="434"/>
    </row>
    <row r="15256" spans="1:11" ht="12.75" hidden="1" customHeight="1" outlineLevel="1" x14ac:dyDescent="0.25">
      <c r="A15256" s="2380">
        <v>0.02</v>
      </c>
      <c r="B15256" s="2109" t="s">
        <v>255</v>
      </c>
      <c r="C15256" s="2108">
        <v>50.604999999999997</v>
      </c>
      <c r="D15256" s="3199">
        <v>53.67</v>
      </c>
      <c r="E15256" s="3197">
        <v>6.0567137634621293E-2</v>
      </c>
      <c r="F15256" s="3198">
        <v>1.211342752692426E-3</v>
      </c>
      <c r="G15256" s="78"/>
      <c r="H15256" t="s">
        <v>3351</v>
      </c>
      <c r="K15256" s="434"/>
    </row>
    <row r="15257" spans="1:11" ht="12.75" hidden="1" customHeight="1" outlineLevel="1" x14ac:dyDescent="0.25">
      <c r="A15257" s="2181" t="s">
        <v>2734</v>
      </c>
      <c r="B15257" s="2103"/>
      <c r="C15257" s="3200"/>
      <c r="D15257" s="3201"/>
      <c r="E15257" s="3202"/>
      <c r="F15257" s="3193">
        <v>0.17649999999999999</v>
      </c>
      <c r="G15257" s="78"/>
    </row>
    <row r="15258" spans="1:11" ht="12.75" hidden="1" customHeight="1" outlineLevel="1" x14ac:dyDescent="0.25">
      <c r="A15258" s="1956" t="s">
        <v>8012</v>
      </c>
      <c r="B15258" s="2185">
        <v>44075</v>
      </c>
      <c r="C15258" s="3203">
        <v>100</v>
      </c>
      <c r="D15258" s="3203">
        <v>95.931600000000003</v>
      </c>
      <c r="E15258" s="3204">
        <v>-4.0683999999999942E-2</v>
      </c>
      <c r="F15258" s="3205"/>
      <c r="G15258" s="78"/>
    </row>
    <row r="15259" spans="1:11" ht="12.75" hidden="1" customHeight="1" outlineLevel="1" x14ac:dyDescent="0.25">
      <c r="A15259" s="1956" t="s">
        <v>8013</v>
      </c>
      <c r="B15259" s="2185">
        <v>44105</v>
      </c>
      <c r="C15259" s="3203">
        <v>100</v>
      </c>
      <c r="D15259" s="3206">
        <v>93.8035</v>
      </c>
      <c r="E15259" s="3204">
        <v>-6.1965000000000048E-2</v>
      </c>
      <c r="F15259" s="3205"/>
      <c r="G15259" s="78"/>
    </row>
    <row r="15260" spans="1:11" ht="12.75" hidden="1" customHeight="1" outlineLevel="1" x14ac:dyDescent="0.25">
      <c r="A15260" s="1956" t="s">
        <v>8014</v>
      </c>
      <c r="B15260" s="2185">
        <v>44136</v>
      </c>
      <c r="C15260" s="3203">
        <v>100</v>
      </c>
      <c r="D15260" s="3206">
        <v>105.80889999999999</v>
      </c>
      <c r="E15260" s="3204">
        <v>5.8088999999999835E-2</v>
      </c>
      <c r="F15260" s="3205"/>
      <c r="G15260" s="78"/>
    </row>
    <row r="15261" spans="1:11" ht="12.75" hidden="1" customHeight="1" outlineLevel="1" x14ac:dyDescent="0.25">
      <c r="A15261" s="1956" t="s">
        <v>8015</v>
      </c>
      <c r="B15261" s="2185">
        <v>44166</v>
      </c>
      <c r="C15261" s="3203">
        <v>100</v>
      </c>
      <c r="D15261" s="3206">
        <v>105.9354</v>
      </c>
      <c r="E15261" s="3204">
        <v>5.9353999999999907E-2</v>
      </c>
      <c r="F15261" s="3205"/>
      <c r="G15261" s="78"/>
    </row>
    <row r="15262" spans="1:11" ht="12.75" hidden="1" customHeight="1" outlineLevel="1" x14ac:dyDescent="0.25">
      <c r="A15262" s="1956" t="s">
        <v>8016</v>
      </c>
      <c r="B15262" s="2185">
        <v>44197</v>
      </c>
      <c r="C15262" s="3203">
        <v>100</v>
      </c>
      <c r="D15262" s="3206">
        <v>104.0498</v>
      </c>
      <c r="E15262" s="3204">
        <v>4.0498000000000145E-2</v>
      </c>
      <c r="F15262" s="3205"/>
      <c r="G15262" s="78"/>
    </row>
    <row r="15263" spans="1:11" ht="12.75" hidden="1" customHeight="1" outlineLevel="1" x14ac:dyDescent="0.25">
      <c r="A15263" s="1956" t="s">
        <v>8017</v>
      </c>
      <c r="B15263" s="2185">
        <v>44228</v>
      </c>
      <c r="C15263" s="3203">
        <v>100</v>
      </c>
      <c r="D15263" s="3206">
        <v>105.2294</v>
      </c>
      <c r="E15263" s="3204">
        <v>5.2294000000000063E-2</v>
      </c>
      <c r="F15263" s="3205"/>
      <c r="G15263" s="78"/>
    </row>
    <row r="15264" spans="1:11" ht="12.75" hidden="1" customHeight="1" outlineLevel="1" x14ac:dyDescent="0.25">
      <c r="A15264" s="1956" t="s">
        <v>8018</v>
      </c>
      <c r="B15264" s="2185">
        <v>44256</v>
      </c>
      <c r="C15264" s="3203">
        <v>100</v>
      </c>
      <c r="D15264" s="3206">
        <v>112.2461</v>
      </c>
      <c r="E15264" s="3204">
        <v>0.12246099999999993</v>
      </c>
      <c r="F15264" s="3205"/>
      <c r="G15264" s="78"/>
    </row>
    <row r="15265" spans="1:7" ht="12.75" hidden="1" customHeight="1" outlineLevel="1" x14ac:dyDescent="0.25">
      <c r="A15265" s="1956" t="s">
        <v>8019</v>
      </c>
      <c r="B15265" s="2185">
        <v>44287</v>
      </c>
      <c r="C15265" s="3203">
        <v>100</v>
      </c>
      <c r="D15265" s="3206">
        <v>113.2812</v>
      </c>
      <c r="E15265" s="3204">
        <v>0.13281199999999993</v>
      </c>
      <c r="F15265" s="3205"/>
      <c r="G15265" s="78"/>
    </row>
    <row r="15266" spans="1:7" ht="12.75" hidden="1" customHeight="1" outlineLevel="1" x14ac:dyDescent="0.25">
      <c r="A15266" s="1956" t="s">
        <v>8020</v>
      </c>
      <c r="B15266" s="2185">
        <v>44317</v>
      </c>
      <c r="C15266" s="3203">
        <v>100</v>
      </c>
      <c r="D15266" s="3206">
        <v>114.69499999999999</v>
      </c>
      <c r="E15266" s="3204">
        <v>0.14694999999999991</v>
      </c>
      <c r="F15266" s="3205"/>
      <c r="G15266" s="78"/>
    </row>
    <row r="15267" spans="1:7" ht="12.75" hidden="1" customHeight="1" outlineLevel="1" x14ac:dyDescent="0.25">
      <c r="A15267" s="1956" t="s">
        <v>8021</v>
      </c>
      <c r="B15267" s="2185">
        <v>44348</v>
      </c>
      <c r="C15267" s="3203">
        <v>100</v>
      </c>
      <c r="D15267" s="3206">
        <v>114.8797</v>
      </c>
      <c r="E15267" s="3204">
        <v>0.14879700000000007</v>
      </c>
      <c r="F15267" s="3205"/>
      <c r="G15267" s="78"/>
    </row>
    <row r="15268" spans="1:7" ht="12.75" hidden="1" customHeight="1" outlineLevel="1" x14ac:dyDescent="0.25">
      <c r="A15268" s="1956" t="s">
        <v>8022</v>
      </c>
      <c r="B15268" s="2185">
        <v>44378</v>
      </c>
      <c r="C15268" s="3203">
        <v>100</v>
      </c>
      <c r="D15268" s="3206">
        <v>116.3817</v>
      </c>
      <c r="E15268" s="3204">
        <v>0.16381699999999988</v>
      </c>
      <c r="F15268" s="3205"/>
      <c r="G15268" s="78"/>
    </row>
    <row r="15269" spans="1:7" ht="12.75" hidden="1" customHeight="1" outlineLevel="1" x14ac:dyDescent="0.25">
      <c r="A15269" s="1956" t="s">
        <v>8023</v>
      </c>
      <c r="B15269" s="2185">
        <v>44409</v>
      </c>
      <c r="C15269" s="3203">
        <v>100</v>
      </c>
      <c r="D15269" s="3206">
        <v>118.2071</v>
      </c>
      <c r="E15269" s="3204">
        <v>0.18207099999999987</v>
      </c>
      <c r="F15269" s="3205"/>
      <c r="G15269" s="78"/>
    </row>
    <row r="15270" spans="1:7" ht="12.75" hidden="1" customHeight="1" outlineLevel="1" x14ac:dyDescent="0.25">
      <c r="A15270" s="1956" t="s">
        <v>8024</v>
      </c>
      <c r="B15270" s="2185">
        <v>44440</v>
      </c>
      <c r="C15270" s="3203">
        <v>100</v>
      </c>
      <c r="D15270" s="3206">
        <v>114.982</v>
      </c>
      <c r="E15270" s="3204">
        <v>0.14982000000000006</v>
      </c>
      <c r="F15270" s="3205"/>
      <c r="G15270" s="78"/>
    </row>
    <row r="15271" spans="1:7" ht="12.75" hidden="1" customHeight="1" outlineLevel="1" x14ac:dyDescent="0.25">
      <c r="A15271" s="1956" t="s">
        <v>8025</v>
      </c>
      <c r="B15271" s="2185">
        <v>44470</v>
      </c>
      <c r="C15271" s="3203">
        <v>100</v>
      </c>
      <c r="D15271" s="3206">
        <v>116.63590000000001</v>
      </c>
      <c r="E15271" s="3204">
        <v>0.16635900000000015</v>
      </c>
      <c r="F15271" s="3205"/>
      <c r="G15271" s="78"/>
    </row>
    <row r="15272" spans="1:7" ht="12.75" hidden="1" customHeight="1" outlineLevel="1" x14ac:dyDescent="0.25">
      <c r="A15272" s="1956" t="s">
        <v>8026</v>
      </c>
      <c r="B15272" s="2185">
        <v>44501</v>
      </c>
      <c r="C15272" s="3203">
        <v>100</v>
      </c>
      <c r="D15272" s="3206">
        <v>114.3193</v>
      </c>
      <c r="E15272" s="3204">
        <v>0.1431929999999999</v>
      </c>
      <c r="F15272" s="3205"/>
      <c r="G15272" s="78"/>
    </row>
    <row r="15273" spans="1:7" ht="12.75" hidden="1" customHeight="1" outlineLevel="1" x14ac:dyDescent="0.25">
      <c r="A15273" s="1956" t="s">
        <v>8027</v>
      </c>
      <c r="B15273" s="2185">
        <v>44531</v>
      </c>
      <c r="C15273" s="3203">
        <v>100</v>
      </c>
      <c r="D15273" s="3206">
        <v>120.07250000000001</v>
      </c>
      <c r="E15273" s="3204">
        <v>0.20072500000000004</v>
      </c>
      <c r="F15273" s="3205"/>
      <c r="G15273" s="78"/>
    </row>
    <row r="15274" spans="1:7" ht="12.75" hidden="1" customHeight="1" outlineLevel="1" x14ac:dyDescent="0.25">
      <c r="A15274" s="1956" t="s">
        <v>8028</v>
      </c>
      <c r="B15274" s="2185">
        <v>44562</v>
      </c>
      <c r="C15274" s="3203">
        <v>100</v>
      </c>
      <c r="D15274" s="3206">
        <v>121.79519999999999</v>
      </c>
      <c r="E15274" s="3204">
        <v>0.21795199999999992</v>
      </c>
      <c r="F15274" s="3205"/>
      <c r="G15274" s="78"/>
    </row>
    <row r="15275" spans="1:7" ht="12.75" hidden="1" customHeight="1" outlineLevel="1" x14ac:dyDescent="0.25">
      <c r="A15275" s="1956" t="s">
        <v>8029</v>
      </c>
      <c r="B15275" s="2185">
        <v>44593</v>
      </c>
      <c r="C15275" s="3203">
        <v>100</v>
      </c>
      <c r="D15275" s="3206">
        <v>117.6514</v>
      </c>
      <c r="E15275" s="3204">
        <v>0.17651400000000006</v>
      </c>
      <c r="F15275" s="3205"/>
      <c r="G15275" s="78"/>
    </row>
    <row r="15276" spans="1:7" ht="12.75" hidden="1" customHeight="1" outlineLevel="1" x14ac:dyDescent="0.25">
      <c r="A15276" s="2189" t="s">
        <v>2734</v>
      </c>
      <c r="B15276" s="2190"/>
      <c r="C15276" s="3206"/>
      <c r="D15276" s="2191" t="s">
        <v>2465</v>
      </c>
      <c r="E15276" s="1987">
        <v>0.11439205555555554</v>
      </c>
      <c r="F15276" s="2192">
        <v>0.11439205555555554</v>
      </c>
      <c r="G15276" s="78"/>
    </row>
    <row r="15277" spans="1:7" collapsed="1" x14ac:dyDescent="0.25">
      <c r="A15277" s="3801" t="s">
        <v>8011</v>
      </c>
      <c r="B15277" s="3802"/>
      <c r="C15277" s="3802"/>
      <c r="D15277" s="3802"/>
      <c r="E15277" s="1906"/>
      <c r="F15277" s="1907">
        <v>0.11439205555555554</v>
      </c>
      <c r="G15277" s="78"/>
    </row>
    <row r="15279" spans="1:7" ht="12.75" hidden="1" customHeight="1" outlineLevel="1" x14ac:dyDescent="0.25">
      <c r="A15279" s="3237" t="s">
        <v>113</v>
      </c>
      <c r="B15279" s="3237" t="s">
        <v>114</v>
      </c>
      <c r="C15279" s="3237" t="s">
        <v>112</v>
      </c>
      <c r="D15279" s="3237" t="s">
        <v>116</v>
      </c>
      <c r="E15279" s="3237" t="s">
        <v>117</v>
      </c>
      <c r="F15279" s="3276" t="s">
        <v>121</v>
      </c>
      <c r="G15279" s="78"/>
    </row>
    <row r="15280" spans="1:7" ht="12.75" hidden="1" customHeight="1" outlineLevel="1" x14ac:dyDescent="0.25">
      <c r="A15280" s="3238">
        <v>1</v>
      </c>
      <c r="B15280" s="3239" t="s">
        <v>252</v>
      </c>
      <c r="C15280" s="3240">
        <v>100</v>
      </c>
      <c r="D15280" s="3240"/>
      <c r="E15280" s="3241"/>
      <c r="F15280" s="3242"/>
      <c r="G15280" s="78"/>
    </row>
    <row r="15281" spans="1:11" ht="12.75" hidden="1" customHeight="1" outlineLevel="1" x14ac:dyDescent="0.25">
      <c r="A15281" s="3243" t="s">
        <v>2734</v>
      </c>
      <c r="B15281" s="3243"/>
      <c r="C15281" s="3244"/>
      <c r="D15281" s="1900" t="s">
        <v>3702</v>
      </c>
      <c r="E15281" s="3245">
        <v>44620</v>
      </c>
      <c r="F15281" s="3246"/>
      <c r="G15281" s="78"/>
    </row>
    <row r="15282" spans="1:11" ht="12.75" hidden="1" customHeight="1" outlineLevel="1" x14ac:dyDescent="0.25">
      <c r="A15282" s="3237" t="s">
        <v>4156</v>
      </c>
      <c r="B15282" s="3237" t="s">
        <v>4153</v>
      </c>
      <c r="C15282" s="3247" t="s">
        <v>112</v>
      </c>
      <c r="D15282" s="3248" t="s">
        <v>4155</v>
      </c>
      <c r="E15282" s="3237" t="s">
        <v>4154</v>
      </c>
      <c r="F15282" s="3277" t="s">
        <v>2519</v>
      </c>
      <c r="G15282" s="78"/>
    </row>
    <row r="15283" spans="1:11" ht="12.75" hidden="1" customHeight="1" outlineLevel="1" x14ac:dyDescent="0.25">
      <c r="A15283" s="1991">
        <v>0.02</v>
      </c>
      <c r="B15283" s="2089" t="s">
        <v>359</v>
      </c>
      <c r="C15283" s="2108">
        <v>138.25</v>
      </c>
      <c r="D15283" s="3278">
        <v>203.3</v>
      </c>
      <c r="E15283" s="3279">
        <v>0.47052441229656439</v>
      </c>
      <c r="F15283" s="3277">
        <v>9.4104882459312873E-3</v>
      </c>
      <c r="G15283" s="78"/>
      <c r="H15283" t="s">
        <v>360</v>
      </c>
      <c r="K15283" s="434"/>
    </row>
    <row r="15284" spans="1:11" ht="12.75" hidden="1" customHeight="1" outlineLevel="1" x14ac:dyDescent="0.25">
      <c r="A15284" s="2380">
        <v>0.05</v>
      </c>
      <c r="B15284" s="1921" t="s">
        <v>3998</v>
      </c>
      <c r="C15284" s="2108">
        <v>38.978000000000002</v>
      </c>
      <c r="D15284" s="3280">
        <v>23.69</v>
      </c>
      <c r="E15284" s="3281">
        <v>-0.39222125301452104</v>
      </c>
      <c r="F15284" s="3282">
        <v>-1.9611062650726055E-2</v>
      </c>
      <c r="G15284" s="78"/>
      <c r="H15284" t="s">
        <v>4000</v>
      </c>
      <c r="K15284" s="434"/>
    </row>
    <row r="15285" spans="1:11" ht="12.75" hidden="1" customHeight="1" outlineLevel="1" x14ac:dyDescent="0.25">
      <c r="A15285" s="2380">
        <v>0.05</v>
      </c>
      <c r="B15285" s="1921" t="s">
        <v>3954</v>
      </c>
      <c r="C15285" s="2108">
        <v>100.73099999999999</v>
      </c>
      <c r="D15285" s="3280">
        <v>160.43</v>
      </c>
      <c r="E15285" s="3281">
        <v>0.59265767241464906</v>
      </c>
      <c r="F15285" s="3282">
        <v>2.9632883620732454E-2</v>
      </c>
      <c r="G15285" s="78"/>
      <c r="H15285" t="s">
        <v>3955</v>
      </c>
      <c r="K15285" s="434"/>
    </row>
    <row r="15286" spans="1:11" ht="12.75" hidden="1" customHeight="1" outlineLevel="1" x14ac:dyDescent="0.25">
      <c r="A15286" s="2380">
        <v>0.05</v>
      </c>
      <c r="B15286" s="1921" t="s">
        <v>4055</v>
      </c>
      <c r="C15286" s="2108">
        <v>71.680000000000007</v>
      </c>
      <c r="D15286" s="3280">
        <v>79.55</v>
      </c>
      <c r="E15286" s="3281">
        <v>0.10979352678571419</v>
      </c>
      <c r="F15286" s="3282">
        <v>5.4896763392857095E-3</v>
      </c>
      <c r="G15286" s="78"/>
      <c r="H15286" t="s">
        <v>4056</v>
      </c>
      <c r="K15286" s="434"/>
    </row>
    <row r="15287" spans="1:11" ht="12.75" hidden="1" customHeight="1" outlineLevel="1" x14ac:dyDescent="0.25">
      <c r="A15287" s="2380">
        <v>0.05</v>
      </c>
      <c r="B15287" s="1921" t="s">
        <v>6267</v>
      </c>
      <c r="C15287" s="2108">
        <v>26.606999999999999</v>
      </c>
      <c r="D15287" s="3280">
        <v>18.925000000000001</v>
      </c>
      <c r="E15287" s="3281">
        <v>-0.28872101326718524</v>
      </c>
      <c r="F15287" s="3282">
        <v>-1.4436050663359262E-2</v>
      </c>
      <c r="G15287" s="78"/>
      <c r="H15287" t="s">
        <v>6268</v>
      </c>
      <c r="K15287" s="434"/>
    </row>
    <row r="15288" spans="1:11" ht="12.75" hidden="1" customHeight="1" outlineLevel="1" x14ac:dyDescent="0.25">
      <c r="A15288" s="2380">
        <v>0.02</v>
      </c>
      <c r="B15288" s="1921" t="s">
        <v>4268</v>
      </c>
      <c r="C15288" s="2108">
        <v>12.945</v>
      </c>
      <c r="D15288" s="3280">
        <v>18.84</v>
      </c>
      <c r="E15288" s="3281">
        <v>0.45538818076477394</v>
      </c>
      <c r="F15288" s="3282">
        <v>9.1077636152954791E-3</v>
      </c>
      <c r="G15288" s="78"/>
      <c r="H15288" t="s">
        <v>8442</v>
      </c>
      <c r="K15288" s="434"/>
    </row>
    <row r="15289" spans="1:11" ht="12.75" hidden="1" customHeight="1" outlineLevel="1" x14ac:dyDescent="0.25">
      <c r="A15289" s="2380">
        <v>0.02</v>
      </c>
      <c r="B15289" s="1921" t="s">
        <v>3799</v>
      </c>
      <c r="C15289" s="2108">
        <v>14.484</v>
      </c>
      <c r="D15289" s="3280">
        <v>15.454000000000001</v>
      </c>
      <c r="E15289" s="3281">
        <v>6.6970450151891736E-2</v>
      </c>
      <c r="F15289" s="3282">
        <v>1.3394090030378347E-3</v>
      </c>
      <c r="G15289" s="78"/>
      <c r="H15289" t="s">
        <v>4128</v>
      </c>
      <c r="K15289" s="434"/>
    </row>
    <row r="15290" spans="1:11" ht="12.75" hidden="1" customHeight="1" outlineLevel="1" x14ac:dyDescent="0.25">
      <c r="A15290" s="2380">
        <v>0.05</v>
      </c>
      <c r="B15290" s="1921" t="s">
        <v>10371</v>
      </c>
      <c r="C15290" s="2108">
        <v>30.798389148895701</v>
      </c>
      <c r="D15290" s="3280">
        <v>31.06</v>
      </c>
      <c r="E15290" s="3281">
        <v>8.4943030572000033E-3</v>
      </c>
      <c r="F15290" s="3282">
        <v>4.247151528600002E-4</v>
      </c>
      <c r="G15290" s="78"/>
      <c r="H15290" t="s">
        <v>10370</v>
      </c>
      <c r="K15290" s="434"/>
    </row>
    <row r="15291" spans="1:11" ht="12.75" hidden="1" customHeight="1" outlineLevel="1" x14ac:dyDescent="0.25">
      <c r="A15291" s="2380">
        <v>0.05</v>
      </c>
      <c r="B15291" s="1921" t="s">
        <v>1772</v>
      </c>
      <c r="C15291" s="2108">
        <v>159.505</v>
      </c>
      <c r="D15291" s="3280">
        <v>247.15</v>
      </c>
      <c r="E15291" s="3281">
        <v>0.54948120748565876</v>
      </c>
      <c r="F15291" s="3282">
        <v>2.747406037428294E-2</v>
      </c>
      <c r="G15291" s="78"/>
      <c r="H15291" t="s">
        <v>4330</v>
      </c>
      <c r="K15291" s="434"/>
    </row>
    <row r="15292" spans="1:11" ht="12.75" hidden="1" customHeight="1" outlineLevel="1" x14ac:dyDescent="0.25">
      <c r="A15292" s="2380">
        <v>0.02</v>
      </c>
      <c r="B15292" s="1921" t="s">
        <v>7754</v>
      </c>
      <c r="C15292" s="2108">
        <v>41.948</v>
      </c>
      <c r="D15292" s="3280">
        <v>101.63</v>
      </c>
      <c r="E15292" s="3281">
        <v>1.422761514255745</v>
      </c>
      <c r="F15292" s="3282">
        <v>2.8455230285114902E-2</v>
      </c>
      <c r="G15292" s="78"/>
      <c r="H15292" t="s">
        <v>7751</v>
      </c>
      <c r="K15292" s="434"/>
    </row>
    <row r="15293" spans="1:11" ht="12.75" hidden="1" customHeight="1" outlineLevel="1" x14ac:dyDescent="0.25">
      <c r="A15293" s="2380">
        <v>0.05</v>
      </c>
      <c r="B15293" s="1921" t="s">
        <v>1203</v>
      </c>
      <c r="C15293" s="2108">
        <v>76.685000000000002</v>
      </c>
      <c r="D15293" s="3280">
        <v>105.68</v>
      </c>
      <c r="E15293" s="3281">
        <v>0.37810523570450538</v>
      </c>
      <c r="F15293" s="3282">
        <v>1.890526178522527E-2</v>
      </c>
      <c r="G15293" s="78"/>
      <c r="H15293" t="s">
        <v>79</v>
      </c>
      <c r="K15293" s="434"/>
    </row>
    <row r="15294" spans="1:11" ht="12.75" hidden="1" customHeight="1" outlineLevel="1" x14ac:dyDescent="0.25">
      <c r="A15294" s="2380">
        <v>0.08</v>
      </c>
      <c r="B15294" s="1921" t="s">
        <v>3793</v>
      </c>
      <c r="C15294" s="2108">
        <v>100.405</v>
      </c>
      <c r="D15294" s="3280">
        <v>101.07</v>
      </c>
      <c r="E15294" s="3281">
        <v>6.6231761366464248E-3</v>
      </c>
      <c r="F15294" s="3282">
        <v>5.2985409093171405E-4</v>
      </c>
      <c r="G15294" s="78"/>
      <c r="H15294" t="s">
        <v>3533</v>
      </c>
      <c r="K15294" s="434"/>
    </row>
    <row r="15295" spans="1:11" ht="12.75" hidden="1" customHeight="1" outlineLevel="1" x14ac:dyDescent="0.25">
      <c r="A15295" s="2380">
        <v>0.08</v>
      </c>
      <c r="B15295" s="1921" t="s">
        <v>2297</v>
      </c>
      <c r="C15295" s="2519">
        <v>49.52</v>
      </c>
      <c r="D15295" s="3280">
        <v>65.489999999999995</v>
      </c>
      <c r="E15295" s="3281">
        <v>0.32249596122778668</v>
      </c>
      <c r="F15295" s="3282">
        <v>2.5799676898222934E-2</v>
      </c>
      <c r="G15295" s="78"/>
      <c r="H15295" t="s">
        <v>2298</v>
      </c>
      <c r="K15295" s="434"/>
    </row>
    <row r="15296" spans="1:11" ht="12.75" hidden="1" customHeight="1" outlineLevel="1" x14ac:dyDescent="0.25">
      <c r="A15296" s="2380">
        <v>0.05</v>
      </c>
      <c r="B15296" s="1921" t="s">
        <v>7805</v>
      </c>
      <c r="C15296" s="2108">
        <v>17.266500000000001</v>
      </c>
      <c r="D15296" s="3280">
        <v>18.945999999999998</v>
      </c>
      <c r="E15296" s="3281">
        <v>9.7269278660990777E-2</v>
      </c>
      <c r="F15296" s="3282">
        <v>4.8634639330495388E-3</v>
      </c>
      <c r="G15296" s="78"/>
      <c r="H15296" t="s">
        <v>7803</v>
      </c>
      <c r="K15296" s="434"/>
    </row>
    <row r="15297" spans="1:11" ht="12.75" hidden="1" customHeight="1" outlineLevel="1" x14ac:dyDescent="0.25">
      <c r="A15297" s="2380">
        <v>0.05</v>
      </c>
      <c r="B15297" s="1921" t="s">
        <v>6270</v>
      </c>
      <c r="C15297" s="2108">
        <v>38.539102526091646</v>
      </c>
      <c r="D15297" s="3280">
        <v>42.36</v>
      </c>
      <c r="E15297" s="3281">
        <v>9.9143395239200016E-2</v>
      </c>
      <c r="F15297" s="3282">
        <v>4.9571697619600012E-3</v>
      </c>
      <c r="G15297" s="78"/>
      <c r="H15297" t="s">
        <v>8166</v>
      </c>
      <c r="K15297" s="434"/>
    </row>
    <row r="15298" spans="1:11" ht="12.75" hidden="1" customHeight="1" outlineLevel="1" x14ac:dyDescent="0.25">
      <c r="A15298" s="2380">
        <v>0.08</v>
      </c>
      <c r="B15298" s="1921" t="s">
        <v>3427</v>
      </c>
      <c r="C15298" s="2108">
        <v>49.47</v>
      </c>
      <c r="D15298" s="3280">
        <v>64.77</v>
      </c>
      <c r="E15298" s="3281">
        <v>0.30927835051546393</v>
      </c>
      <c r="F15298" s="3282">
        <v>2.4742268041237116E-2</v>
      </c>
      <c r="G15298" s="78"/>
      <c r="H15298" t="s">
        <v>2800</v>
      </c>
      <c r="K15298" s="434"/>
    </row>
    <row r="15299" spans="1:11" ht="12.75" hidden="1" customHeight="1" outlineLevel="1" x14ac:dyDescent="0.25">
      <c r="A15299" s="2380">
        <v>0.02</v>
      </c>
      <c r="B15299" s="1921" t="s">
        <v>10538</v>
      </c>
      <c r="C15299" s="2108">
        <v>12.738376406363409</v>
      </c>
      <c r="D15299" s="3280">
        <v>10.77</v>
      </c>
      <c r="E15299" s="3281">
        <v>-0.15452333512299998</v>
      </c>
      <c r="F15299" s="3282">
        <v>-3.0904667024599999E-3</v>
      </c>
      <c r="G15299" s="78"/>
      <c r="H15299" t="s">
        <v>7628</v>
      </c>
      <c r="K15299" s="434"/>
    </row>
    <row r="15300" spans="1:11" ht="12.75" hidden="1" customHeight="1" outlineLevel="1" x14ac:dyDescent="0.25">
      <c r="A15300" s="2380">
        <v>0.08</v>
      </c>
      <c r="B15300" s="1921" t="s">
        <v>6118</v>
      </c>
      <c r="C15300" s="2108">
        <v>86.38</v>
      </c>
      <c r="D15300" s="3280">
        <v>87.82</v>
      </c>
      <c r="E15300" s="3281">
        <v>1.6670525584626006E-2</v>
      </c>
      <c r="F15300" s="3282">
        <v>1.3336420467700805E-3</v>
      </c>
      <c r="G15300" s="78"/>
      <c r="H15300" t="s">
        <v>8893</v>
      </c>
      <c r="K15300" s="434"/>
    </row>
    <row r="15301" spans="1:11" ht="12.75" hidden="1" customHeight="1" outlineLevel="1" x14ac:dyDescent="0.25">
      <c r="A15301" s="2380">
        <v>0.08</v>
      </c>
      <c r="B15301" s="1921" t="s">
        <v>1239</v>
      </c>
      <c r="C15301" s="2108">
        <v>478.27</v>
      </c>
      <c r="D15301" s="3280">
        <v>550.6</v>
      </c>
      <c r="E15301" s="3281">
        <v>0.1512325673782593</v>
      </c>
      <c r="F15301" s="3282">
        <v>1.2098605390260744E-2</v>
      </c>
      <c r="G15301" s="78"/>
      <c r="H15301" t="s">
        <v>8891</v>
      </c>
      <c r="K15301" s="434"/>
    </row>
    <row r="15302" spans="1:11" ht="12.75" hidden="1" customHeight="1" outlineLevel="1" x14ac:dyDescent="0.25">
      <c r="A15302" s="2380">
        <v>0.05</v>
      </c>
      <c r="B15302" s="2109" t="s">
        <v>255</v>
      </c>
      <c r="C15302" s="2108">
        <v>50.798999999999999</v>
      </c>
      <c r="D15302" s="3283">
        <v>53.67</v>
      </c>
      <c r="E15302" s="3281">
        <v>5.6516860568121441E-2</v>
      </c>
      <c r="F15302" s="3282">
        <v>2.8258430284060724E-3</v>
      </c>
      <c r="G15302" s="78"/>
      <c r="H15302" t="s">
        <v>3351</v>
      </c>
      <c r="K15302" s="434"/>
    </row>
    <row r="15303" spans="1:11" ht="12.75" hidden="1" customHeight="1" outlineLevel="1" x14ac:dyDescent="0.25">
      <c r="A15303" s="2181" t="s">
        <v>2734</v>
      </c>
      <c r="B15303" s="2103"/>
      <c r="C15303" s="3258"/>
      <c r="D15303" s="3259"/>
      <c r="E15303" s="3284"/>
      <c r="F15303" s="3277">
        <v>0.1726</v>
      </c>
      <c r="G15303" s="78"/>
    </row>
    <row r="15304" spans="1:11" ht="12.75" hidden="1" customHeight="1" outlineLevel="1" x14ac:dyDescent="0.25">
      <c r="A15304" s="1956" t="s">
        <v>8030</v>
      </c>
      <c r="B15304" s="2185">
        <v>44075</v>
      </c>
      <c r="C15304" s="3203">
        <v>100</v>
      </c>
      <c r="D15304" s="3203">
        <v>95.228099999999998</v>
      </c>
      <c r="E15304" s="3204">
        <v>-4.7719000000000067E-2</v>
      </c>
      <c r="F15304" s="3205"/>
      <c r="G15304" s="78"/>
    </row>
    <row r="15305" spans="1:11" ht="12.75" hidden="1" customHeight="1" outlineLevel="1" x14ac:dyDescent="0.25">
      <c r="A15305" s="1956" t="s">
        <v>8031</v>
      </c>
      <c r="B15305" s="2185">
        <v>44105</v>
      </c>
      <c r="C15305" s="3203">
        <v>100</v>
      </c>
      <c r="D15305" s="3206">
        <v>92.7607</v>
      </c>
      <c r="E15305" s="3204">
        <v>-7.2393000000000041E-2</v>
      </c>
      <c r="F15305" s="3205"/>
      <c r="G15305" s="78"/>
    </row>
    <row r="15306" spans="1:11" ht="12.75" hidden="1" customHeight="1" outlineLevel="1" x14ac:dyDescent="0.25">
      <c r="A15306" s="1956" t="s">
        <v>8032</v>
      </c>
      <c r="B15306" s="2185">
        <v>44136</v>
      </c>
      <c r="C15306" s="3203">
        <v>100</v>
      </c>
      <c r="D15306" s="3206">
        <v>103.1044</v>
      </c>
      <c r="E15306" s="3204">
        <v>3.1044000000000072E-2</v>
      </c>
      <c r="F15306" s="3205"/>
      <c r="G15306" s="78"/>
    </row>
    <row r="15307" spans="1:11" ht="12.75" hidden="1" customHeight="1" outlineLevel="1" x14ac:dyDescent="0.25">
      <c r="A15307" s="1956" t="s">
        <v>8033</v>
      </c>
      <c r="B15307" s="2185">
        <v>44166</v>
      </c>
      <c r="C15307" s="3203">
        <v>100</v>
      </c>
      <c r="D15307" s="3206">
        <v>102.8275</v>
      </c>
      <c r="E15307" s="3204">
        <v>2.827500000000005E-2</v>
      </c>
      <c r="F15307" s="3205"/>
      <c r="G15307" s="78"/>
    </row>
    <row r="15308" spans="1:11" ht="12.75" hidden="1" customHeight="1" outlineLevel="1" x14ac:dyDescent="0.25">
      <c r="A15308" s="1956" t="s">
        <v>8034</v>
      </c>
      <c r="B15308" s="2185">
        <v>44197</v>
      </c>
      <c r="C15308" s="3203">
        <v>100</v>
      </c>
      <c r="D15308" s="3206">
        <v>100.5093</v>
      </c>
      <c r="E15308" s="3204">
        <v>5.0930000000000142E-3</v>
      </c>
      <c r="F15308" s="3205"/>
      <c r="G15308" s="78"/>
    </row>
    <row r="15309" spans="1:11" ht="12.75" hidden="1" customHeight="1" outlineLevel="1" x14ac:dyDescent="0.25">
      <c r="A15309" s="1956" t="s">
        <v>8035</v>
      </c>
      <c r="B15309" s="2185">
        <v>44228</v>
      </c>
      <c r="C15309" s="3203">
        <v>100</v>
      </c>
      <c r="D15309" s="3206">
        <v>102.9384</v>
      </c>
      <c r="E15309" s="3204">
        <v>2.9384000000000077E-2</v>
      </c>
      <c r="F15309" s="3205"/>
      <c r="G15309" s="78"/>
    </row>
    <row r="15310" spans="1:11" ht="12.75" hidden="1" customHeight="1" outlineLevel="1" x14ac:dyDescent="0.25">
      <c r="A15310" s="1956" t="s">
        <v>8036</v>
      </c>
      <c r="B15310" s="2185">
        <v>44256</v>
      </c>
      <c r="C15310" s="3203">
        <v>100</v>
      </c>
      <c r="D15310" s="3206">
        <v>109.944</v>
      </c>
      <c r="E15310" s="3204">
        <v>9.9439999999999973E-2</v>
      </c>
      <c r="F15310" s="3205"/>
      <c r="G15310" s="78"/>
    </row>
    <row r="15311" spans="1:11" ht="12.75" hidden="1" customHeight="1" outlineLevel="1" x14ac:dyDescent="0.25">
      <c r="A15311" s="1956" t="s">
        <v>8037</v>
      </c>
      <c r="B15311" s="2185">
        <v>44287</v>
      </c>
      <c r="C15311" s="3203">
        <v>100</v>
      </c>
      <c r="D15311" s="3206">
        <v>111.01609999999999</v>
      </c>
      <c r="E15311" s="3204">
        <v>0.11016099999999995</v>
      </c>
      <c r="F15311" s="3205"/>
      <c r="G15311" s="78"/>
    </row>
    <row r="15312" spans="1:11" ht="12.75" hidden="1" customHeight="1" outlineLevel="1" x14ac:dyDescent="0.25">
      <c r="A15312" s="1956" t="s">
        <v>8038</v>
      </c>
      <c r="B15312" s="2185">
        <v>44317</v>
      </c>
      <c r="C15312" s="3203">
        <v>100</v>
      </c>
      <c r="D15312" s="3206">
        <v>112.03060000000001</v>
      </c>
      <c r="E15312" s="3204">
        <v>0.12030600000000002</v>
      </c>
      <c r="F15312" s="3205"/>
      <c r="G15312" s="78"/>
    </row>
    <row r="15313" spans="1:10" ht="12.75" hidden="1" customHeight="1" outlineLevel="1" x14ac:dyDescent="0.25">
      <c r="A15313" s="1956" t="s">
        <v>8039</v>
      </c>
      <c r="B15313" s="2185">
        <v>44348</v>
      </c>
      <c r="C15313" s="3203">
        <v>100</v>
      </c>
      <c r="D15313" s="3206">
        <v>112.8231</v>
      </c>
      <c r="E15313" s="3204">
        <v>0.12823099999999998</v>
      </c>
      <c r="F15313" s="3205"/>
      <c r="G15313" s="78"/>
    </row>
    <row r="15314" spans="1:10" ht="12.75" hidden="1" customHeight="1" outlineLevel="1" x14ac:dyDescent="0.25">
      <c r="A15314" s="1956" t="s">
        <v>8040</v>
      </c>
      <c r="B15314" s="2185">
        <v>44378</v>
      </c>
      <c r="C15314" s="3203">
        <v>100</v>
      </c>
      <c r="D15314" s="3206">
        <v>114.8824</v>
      </c>
      <c r="E15314" s="3204">
        <v>0.14882400000000007</v>
      </c>
      <c r="F15314" s="3205"/>
      <c r="G15314" s="78"/>
    </row>
    <row r="15315" spans="1:10" ht="12.75" hidden="1" customHeight="1" outlineLevel="1" x14ac:dyDescent="0.25">
      <c r="A15315" s="1956" t="s">
        <v>8041</v>
      </c>
      <c r="B15315" s="2185">
        <v>44409</v>
      </c>
      <c r="C15315" s="3203">
        <v>100</v>
      </c>
      <c r="D15315" s="3206">
        <v>116.84269999999999</v>
      </c>
      <c r="E15315" s="3204">
        <v>0.16842699999999988</v>
      </c>
      <c r="F15315" s="3205"/>
      <c r="G15315" s="78"/>
    </row>
    <row r="15316" spans="1:10" ht="12.75" hidden="1" customHeight="1" outlineLevel="1" x14ac:dyDescent="0.25">
      <c r="A15316" s="1956" t="s">
        <v>8042</v>
      </c>
      <c r="B15316" s="2185">
        <v>44440</v>
      </c>
      <c r="C15316" s="3203">
        <v>100</v>
      </c>
      <c r="D15316" s="3206">
        <v>114.1824</v>
      </c>
      <c r="E15316" s="3204">
        <v>0.14182399999999995</v>
      </c>
      <c r="F15316" s="3205"/>
      <c r="G15316" s="78"/>
    </row>
    <row r="15317" spans="1:10" ht="12.75" hidden="1" customHeight="1" outlineLevel="1" x14ac:dyDescent="0.25">
      <c r="A15317" s="1956" t="s">
        <v>8043</v>
      </c>
      <c r="B15317" s="2185">
        <v>44470</v>
      </c>
      <c r="C15317" s="3203">
        <v>100</v>
      </c>
      <c r="D15317" s="3206">
        <v>115.5183</v>
      </c>
      <c r="E15317" s="3204">
        <v>0.15518300000000007</v>
      </c>
      <c r="F15317" s="3205"/>
      <c r="G15317" s="78"/>
    </row>
    <row r="15318" spans="1:10" ht="12.75" hidden="1" customHeight="1" outlineLevel="1" x14ac:dyDescent="0.25">
      <c r="A15318" s="1956" t="s">
        <v>8044</v>
      </c>
      <c r="B15318" s="2185">
        <v>44501</v>
      </c>
      <c r="C15318" s="3203">
        <v>100</v>
      </c>
      <c r="D15318" s="3206">
        <v>111.8035</v>
      </c>
      <c r="E15318" s="3204">
        <v>0.11803499999999989</v>
      </c>
      <c r="F15318" s="3205"/>
      <c r="G15318" s="78"/>
    </row>
    <row r="15319" spans="1:10" ht="12.75" hidden="1" customHeight="1" outlineLevel="1" x14ac:dyDescent="0.25">
      <c r="A15319" s="1956" t="s">
        <v>8045</v>
      </c>
      <c r="B15319" s="2185">
        <v>44531</v>
      </c>
      <c r="C15319" s="3203">
        <v>100</v>
      </c>
      <c r="D15319" s="3206">
        <v>117.65649999999999</v>
      </c>
      <c r="E15319" s="3204">
        <v>0.17656499999999986</v>
      </c>
      <c r="F15319" s="3205"/>
      <c r="G15319" s="78"/>
      <c r="J15319" s="31"/>
    </row>
    <row r="15320" spans="1:10" ht="12.75" hidden="1" customHeight="1" outlineLevel="1" x14ac:dyDescent="0.25">
      <c r="A15320" s="1956" t="s">
        <v>8046</v>
      </c>
      <c r="B15320" s="2185">
        <v>44562</v>
      </c>
      <c r="C15320" s="3203">
        <v>100</v>
      </c>
      <c r="D15320" s="3206">
        <v>122.1242</v>
      </c>
      <c r="E15320" s="3204">
        <v>0.22124199999999994</v>
      </c>
      <c r="F15320" s="3205"/>
      <c r="G15320" s="78"/>
    </row>
    <row r="15321" spans="1:10" ht="12.75" hidden="1" customHeight="1" outlineLevel="1" x14ac:dyDescent="0.25">
      <c r="A15321" s="1956" t="s">
        <v>8047</v>
      </c>
      <c r="B15321" s="2185">
        <v>44593</v>
      </c>
      <c r="C15321" s="3203">
        <v>100</v>
      </c>
      <c r="D15321" s="3206">
        <v>117.2604</v>
      </c>
      <c r="E15321" s="3204">
        <v>0.17260399999999998</v>
      </c>
      <c r="F15321" s="3205"/>
      <c r="G15321" s="78"/>
    </row>
    <row r="15322" spans="1:10" ht="12.75" hidden="1" customHeight="1" outlineLevel="1" x14ac:dyDescent="0.25">
      <c r="A15322" s="2189" t="s">
        <v>2734</v>
      </c>
      <c r="B15322" s="2190"/>
      <c r="C15322" s="3264"/>
      <c r="D15322" s="2191" t="s">
        <v>2465</v>
      </c>
      <c r="E15322" s="1987">
        <v>9.6362555555555535E-2</v>
      </c>
      <c r="F15322" s="2192">
        <v>9.6362555555555535E-2</v>
      </c>
      <c r="G15322" s="78"/>
    </row>
    <row r="15323" spans="1:10" collapsed="1" x14ac:dyDescent="0.25">
      <c r="A15323" s="3801" t="s">
        <v>7726</v>
      </c>
      <c r="B15323" s="3802"/>
      <c r="C15323" s="3802"/>
      <c r="D15323" s="3802"/>
      <c r="E15323" s="1906"/>
      <c r="F15323" s="1907">
        <v>9.6362555555555535E-2</v>
      </c>
      <c r="G15323" s="78"/>
    </row>
    <row r="15325" spans="1:10" hidden="1" outlineLevel="1" x14ac:dyDescent="0.25">
      <c r="A15325" s="689" t="s">
        <v>113</v>
      </c>
      <c r="B15325" s="689" t="s">
        <v>114</v>
      </c>
      <c r="C15325" t="s">
        <v>112</v>
      </c>
      <c r="D15325" t="s">
        <v>4155</v>
      </c>
      <c r="E15325" t="s">
        <v>116</v>
      </c>
      <c r="F15325" s="1188" t="s">
        <v>8050</v>
      </c>
      <c r="G15325" s="78"/>
    </row>
    <row r="15326" spans="1:10" hidden="1" outlineLevel="1" x14ac:dyDescent="0.25">
      <c r="A15326" s="753" t="s">
        <v>1327</v>
      </c>
      <c r="B15326" t="s">
        <v>8048</v>
      </c>
      <c r="C15326" s="1681">
        <v>272.49299999999999</v>
      </c>
      <c r="D15326" s="859"/>
      <c r="E15326" s="1145">
        <v>313.55800000000005</v>
      </c>
      <c r="F15326" s="700">
        <f>IF(E15326="",D15326/C15326-1,E15326/C15326-1)</f>
        <v>0.15070111892782578</v>
      </c>
      <c r="G15326" s="78"/>
    </row>
    <row r="15327" spans="1:10" hidden="1" outlineLevel="1" x14ac:dyDescent="0.25">
      <c r="A15327" t="s">
        <v>6006</v>
      </c>
      <c r="B15327" s="1092" t="s">
        <v>8048</v>
      </c>
      <c r="C15327" s="860"/>
      <c r="D15327" s="860"/>
      <c r="E15327" s="1263"/>
      <c r="F15327" s="700"/>
      <c r="G15327" s="78"/>
    </row>
    <row r="15328" spans="1:10" hidden="1" outlineLevel="1" x14ac:dyDescent="0.25">
      <c r="A15328" t="s">
        <v>2734</v>
      </c>
      <c r="B15328" s="852"/>
      <c r="C15328" s="806"/>
      <c r="D15328" s="806"/>
      <c r="E15328" s="807"/>
      <c r="F15328" s="700"/>
      <c r="G15328" s="78"/>
    </row>
    <row r="15329" spans="1:10" collapsed="1" x14ac:dyDescent="0.25">
      <c r="A15329" s="723" t="s">
        <v>7729</v>
      </c>
      <c r="B15329" s="724"/>
      <c r="C15329" s="724"/>
      <c r="D15329" s="724"/>
      <c r="E15329" s="729"/>
      <c r="F15329" s="752">
        <f>IF(F15326&gt;0,15%,IF(F15328&lt;-20%,+F15328+20%,IF(F15328&lt;0%,0,IF(F15328*0.7&lt;70%,F15328*0.7,70%))))</f>
        <v>0.15</v>
      </c>
      <c r="G15329" s="78"/>
    </row>
    <row r="15331" spans="1:10" hidden="1" outlineLevel="1" x14ac:dyDescent="0.25">
      <c r="A15331" s="2235" t="s">
        <v>113</v>
      </c>
      <c r="B15331" s="2236" t="s">
        <v>114</v>
      </c>
      <c r="C15331" s="2236" t="s">
        <v>112</v>
      </c>
      <c r="D15331" s="2236" t="s">
        <v>4155</v>
      </c>
      <c r="E15331" s="2236" t="s">
        <v>116</v>
      </c>
      <c r="F15331" s="2237" t="s">
        <v>121</v>
      </c>
      <c r="G15331" s="78"/>
      <c r="H15331" s="438" t="s">
        <v>5391</v>
      </c>
      <c r="I15331" s="438" t="s">
        <v>5392</v>
      </c>
    </row>
    <row r="15332" spans="1:10" hidden="1" outlineLevel="1" x14ac:dyDescent="0.25">
      <c r="A15332" s="1810" t="s">
        <v>8099</v>
      </c>
      <c r="B15332" s="2218" t="s">
        <v>2153</v>
      </c>
      <c r="C15332" s="1812">
        <v>2914.12</v>
      </c>
      <c r="D15332" s="3805">
        <v>3280.43</v>
      </c>
      <c r="E15332" s="2238">
        <v>3338.09</v>
      </c>
      <c r="F15332" s="2230">
        <v>0.15</v>
      </c>
      <c r="G15332" s="78"/>
      <c r="H15332" s="92">
        <f>IF(C15332="","",IF(E15332="",$D$15332/C15332-1,E15332/C15332-1))</f>
        <v>0.14548817481778387</v>
      </c>
      <c r="I15332" s="450">
        <v>0.15</v>
      </c>
    </row>
    <row r="15333" spans="1:10" hidden="1" outlineLevel="1" x14ac:dyDescent="0.25">
      <c r="A15333" s="1810" t="s">
        <v>8100</v>
      </c>
      <c r="B15333" s="2218" t="s">
        <v>2153</v>
      </c>
      <c r="C15333" s="1814">
        <v>2914.12</v>
      </c>
      <c r="D15333" s="3806"/>
      <c r="E15333" s="1815"/>
      <c r="F15333" s="2231" t="s">
        <v>5590</v>
      </c>
      <c r="G15333" s="78"/>
      <c r="H15333" s="79">
        <f>IF(C15333="","",IF(E15333="",$D$15332/C15333-1,E15333/C15333-1))</f>
        <v>0.12570175559002372</v>
      </c>
      <c r="I15333" s="451">
        <v>0.2</v>
      </c>
    </row>
    <row r="15334" spans="1:10" hidden="1" outlineLevel="1" x14ac:dyDescent="0.25">
      <c r="A15334" s="1810" t="s">
        <v>8101</v>
      </c>
      <c r="B15334" s="2218" t="s">
        <v>2153</v>
      </c>
      <c r="C15334" s="1814" t="s">
        <v>5590</v>
      </c>
      <c r="D15334" s="3806"/>
      <c r="E15334" s="1815"/>
      <c r="F15334" s="2231" t="s">
        <v>5590</v>
      </c>
      <c r="G15334" s="78"/>
      <c r="H15334" s="79" t="str">
        <f>IF(C15334="","",IF(E15334="",$D$15332/C15334-1,E15334/C15334-1))</f>
        <v/>
      </c>
      <c r="I15334" s="451">
        <v>0.25</v>
      </c>
    </row>
    <row r="15335" spans="1:10" hidden="1" outlineLevel="1" x14ac:dyDescent="0.25">
      <c r="A15335" s="1810" t="s">
        <v>8102</v>
      </c>
      <c r="B15335" s="2218" t="s">
        <v>2153</v>
      </c>
      <c r="C15335" s="1814" t="s">
        <v>5590</v>
      </c>
      <c r="D15335" s="3806"/>
      <c r="E15335" s="1815"/>
      <c r="F15335" s="2231" t="s">
        <v>5590</v>
      </c>
      <c r="G15335" s="78"/>
      <c r="H15335" s="82" t="str">
        <f>IF(C15335="","",IF(E15335="",$D$15332/C15335-1,E15335/C15335-1))</f>
        <v/>
      </c>
      <c r="I15335" s="452">
        <v>0.3</v>
      </c>
    </row>
    <row r="15336" spans="1:10" hidden="1" outlineLevel="1" x14ac:dyDescent="0.25">
      <c r="A15336" s="1810" t="s">
        <v>8103</v>
      </c>
      <c r="B15336" s="2218" t="s">
        <v>2153</v>
      </c>
      <c r="C15336" s="1817" t="s">
        <v>5590</v>
      </c>
      <c r="D15336" s="3807"/>
      <c r="E15336" s="1815"/>
      <c r="F15336" s="2232" t="s">
        <v>5590</v>
      </c>
      <c r="G15336" s="78"/>
      <c r="H15336" s="37">
        <f>IF(H15335="",IF(H15334="",IF(H15333="",IF(H15332="",H15331,H15332),H15333),H15334),H15335)</f>
        <v>0.12570175559002372</v>
      </c>
    </row>
    <row r="15337" spans="1:10" hidden="1" outlineLevel="1" x14ac:dyDescent="0.25">
      <c r="A15337" s="1819" t="s">
        <v>2734</v>
      </c>
      <c r="B15337" s="2218"/>
      <c r="C15337" s="1820"/>
      <c r="D15337" s="1821"/>
      <c r="E15337" s="2233"/>
      <c r="F15337" s="2234">
        <v>0.15</v>
      </c>
      <c r="G15337" s="78"/>
      <c r="H15337" s="74"/>
    </row>
    <row r="15338" spans="1:10" collapsed="1" x14ac:dyDescent="0.25">
      <c r="A15338" s="3801" t="s">
        <v>8098</v>
      </c>
      <c r="B15338" s="3802"/>
      <c r="C15338" s="3802"/>
      <c r="D15338" s="3802"/>
      <c r="E15338" s="1906"/>
      <c r="F15338" s="1907">
        <v>0.15</v>
      </c>
      <c r="G15338" s="78"/>
      <c r="H15338" s="74"/>
    </row>
    <row r="15340" spans="1:10" hidden="1" outlineLevel="1" x14ac:dyDescent="0.25">
      <c r="A15340" s="689" t="s">
        <v>113</v>
      </c>
      <c r="B15340" s="689" t="s">
        <v>114</v>
      </c>
      <c r="C15340" s="495" t="s">
        <v>112</v>
      </c>
      <c r="D15340" s="495" t="s">
        <v>4155</v>
      </c>
      <c r="E15340" s="495" t="s">
        <v>116</v>
      </c>
      <c r="F15340" s="1188" t="s">
        <v>8050</v>
      </c>
      <c r="G15340" s="78"/>
      <c r="J15340" s="31"/>
    </row>
    <row r="15341" spans="1:10" hidden="1" outlineLevel="1" x14ac:dyDescent="0.25">
      <c r="A15341" s="751" t="s">
        <v>1327</v>
      </c>
      <c r="B15341" s="1092" t="s">
        <v>2153</v>
      </c>
      <c r="C15341" s="3903">
        <v>2897.9589999999998</v>
      </c>
      <c r="D15341" s="3808">
        <v>3554.59</v>
      </c>
      <c r="E15341" s="1145">
        <v>3564.0329999999999</v>
      </c>
      <c r="F15341" s="700">
        <v>0.2298424511871977</v>
      </c>
      <c r="G15341" s="78"/>
    </row>
    <row r="15342" spans="1:10" hidden="1" outlineLevel="1" x14ac:dyDescent="0.25">
      <c r="A15342" s="751" t="s">
        <v>6006</v>
      </c>
      <c r="B15342" s="1092" t="s">
        <v>2153</v>
      </c>
      <c r="C15342" s="3810"/>
      <c r="D15342" s="3810"/>
      <c r="E15342" s="1263"/>
      <c r="F15342" s="700">
        <v>0.22658395098067308</v>
      </c>
      <c r="G15342" s="78"/>
    </row>
    <row r="15343" spans="1:10" hidden="1" outlineLevel="1" x14ac:dyDescent="0.25">
      <c r="A15343" t="s">
        <v>2734</v>
      </c>
      <c r="B15343" s="852"/>
      <c r="C15343" s="806"/>
      <c r="D15343" s="806"/>
      <c r="E15343" s="807"/>
      <c r="F15343" s="700">
        <v>0.22658395098067308</v>
      </c>
      <c r="G15343" s="78"/>
    </row>
    <row r="15344" spans="1:10" collapsed="1" x14ac:dyDescent="0.25">
      <c r="A15344" s="3801" t="s">
        <v>8104</v>
      </c>
      <c r="B15344" s="3802"/>
      <c r="C15344" s="3802"/>
      <c r="D15344" s="3802"/>
      <c r="E15344" s="729"/>
      <c r="F15344" s="752">
        <v>0.1</v>
      </c>
      <c r="G15344" s="78"/>
    </row>
    <row r="15346" spans="1:19" ht="12.75" hidden="1" customHeight="1" outlineLevel="1" x14ac:dyDescent="0.25">
      <c r="A15346" s="3237" t="s">
        <v>113</v>
      </c>
      <c r="B15346" s="3237" t="s">
        <v>114</v>
      </c>
      <c r="C15346" s="3237" t="s">
        <v>112</v>
      </c>
      <c r="D15346" s="3237" t="s">
        <v>116</v>
      </c>
      <c r="E15346" s="3237" t="s">
        <v>117</v>
      </c>
      <c r="F15346" s="3276" t="s">
        <v>121</v>
      </c>
      <c r="G15346" s="78"/>
    </row>
    <row r="15347" spans="1:19" ht="12.75" hidden="1" customHeight="1" outlineLevel="1" x14ac:dyDescent="0.25">
      <c r="A15347" s="3238">
        <v>1</v>
      </c>
      <c r="B15347" s="3239" t="s">
        <v>252</v>
      </c>
      <c r="C15347" s="3240">
        <v>100</v>
      </c>
      <c r="D15347" s="3240"/>
      <c r="E15347" s="3241"/>
      <c r="F15347" s="3242"/>
      <c r="G15347" s="78"/>
    </row>
    <row r="15348" spans="1:19" ht="12.75" hidden="1" customHeight="1" outlineLevel="1" x14ac:dyDescent="0.25">
      <c r="A15348" s="3243" t="s">
        <v>2734</v>
      </c>
      <c r="B15348" s="3243"/>
      <c r="C15348" s="3244"/>
      <c r="D15348" s="1900" t="s">
        <v>3702</v>
      </c>
      <c r="E15348" s="3245">
        <v>44680</v>
      </c>
      <c r="F15348" s="3246"/>
      <c r="G15348" s="78"/>
    </row>
    <row r="15349" spans="1:19" ht="12.75" hidden="1" customHeight="1" outlineLevel="1" x14ac:dyDescent="0.25">
      <c r="A15349" s="3237" t="s">
        <v>4156</v>
      </c>
      <c r="B15349" s="3237" t="s">
        <v>4153</v>
      </c>
      <c r="C15349" s="3247" t="s">
        <v>112</v>
      </c>
      <c r="D15349" s="3248" t="s">
        <v>4155</v>
      </c>
      <c r="E15349" s="3237" t="s">
        <v>4154</v>
      </c>
      <c r="F15349" s="3277" t="s">
        <v>2519</v>
      </c>
      <c r="G15349" s="78"/>
      <c r="I15349" s="412" t="s">
        <v>6964</v>
      </c>
      <c r="J15349" s="1462">
        <v>42583</v>
      </c>
      <c r="K15349" s="1462">
        <v>42614</v>
      </c>
      <c r="L15349" s="1462">
        <v>42644</v>
      </c>
      <c r="M15349" s="1462">
        <v>42675</v>
      </c>
      <c r="N15349" s="1462">
        <v>42705</v>
      </c>
      <c r="O15349" s="1462">
        <v>42736</v>
      </c>
    </row>
    <row r="15350" spans="1:19" ht="12.75" hidden="1" customHeight="1" outlineLevel="1" x14ac:dyDescent="0.25">
      <c r="A15350" s="1991">
        <v>0.02</v>
      </c>
      <c r="B15350" s="1921" t="s">
        <v>359</v>
      </c>
      <c r="C15350" s="2108">
        <v>126.72499999999999</v>
      </c>
      <c r="D15350" s="3278">
        <v>216.2</v>
      </c>
      <c r="E15350" s="3269">
        <v>0.70605642138488856</v>
      </c>
      <c r="F15350" s="3277">
        <v>1.4121128427697771E-2</v>
      </c>
      <c r="H15350" t="s">
        <v>360</v>
      </c>
      <c r="I15350" s="412">
        <v>97.128399999999999</v>
      </c>
      <c r="J15350">
        <v>99.658799999999999</v>
      </c>
      <c r="K15350">
        <v>100.0523</v>
      </c>
      <c r="L15350">
        <v>99.954400000000007</v>
      </c>
      <c r="M15350">
        <v>99.432699999999997</v>
      </c>
      <c r="N15350">
        <v>97.128399999999999</v>
      </c>
      <c r="O15350">
        <v>102.1288</v>
      </c>
      <c r="R15350" s="434"/>
      <c r="S15350" s="434"/>
    </row>
    <row r="15351" spans="1:19" ht="12.75" hidden="1" customHeight="1" outlineLevel="1" x14ac:dyDescent="0.25">
      <c r="A15351" s="2380">
        <v>0.02</v>
      </c>
      <c r="B15351" s="1921" t="s">
        <v>1317</v>
      </c>
      <c r="C15351" s="2108">
        <v>69.709999999999994</v>
      </c>
      <c r="D15351" s="3280">
        <v>99.16</v>
      </c>
      <c r="E15351" s="3270">
        <v>0.42246449576818246</v>
      </c>
      <c r="F15351" s="3282">
        <v>8.4492899153636499E-3</v>
      </c>
      <c r="H15351" t="s">
        <v>1318</v>
      </c>
      <c r="I15351" s="422"/>
      <c r="R15351" s="434"/>
      <c r="S15351" s="434"/>
    </row>
    <row r="15352" spans="1:19" ht="12.75" hidden="1" customHeight="1" outlineLevel="1" x14ac:dyDescent="0.25">
      <c r="A15352" s="2380">
        <v>0.02</v>
      </c>
      <c r="B15352" s="1921" t="s">
        <v>10705</v>
      </c>
      <c r="C15352" s="2108">
        <v>42.753</v>
      </c>
      <c r="D15352" s="3280">
        <v>23.2605</v>
      </c>
      <c r="E15352" s="3270">
        <v>-0.45593291698828153</v>
      </c>
      <c r="F15352" s="3282">
        <v>-9.1186583397656305E-3</v>
      </c>
      <c r="H15352" t="s">
        <v>10706</v>
      </c>
      <c r="I15352" s="37">
        <v>0.1359805</v>
      </c>
      <c r="R15352" s="434"/>
      <c r="S15352" s="434"/>
    </row>
    <row r="15353" spans="1:19" ht="12.75" hidden="1" customHeight="1" outlineLevel="1" x14ac:dyDescent="0.25">
      <c r="A15353" s="2380">
        <v>0.02</v>
      </c>
      <c r="B15353" s="1921" t="s">
        <v>7753</v>
      </c>
      <c r="C15353" s="2108">
        <v>109.02</v>
      </c>
      <c r="D15353" s="3280">
        <v>170.3</v>
      </c>
      <c r="E15353" s="3270">
        <v>0.56209869748669994</v>
      </c>
      <c r="F15353" s="3282">
        <v>1.1241973949733999E-2</v>
      </c>
      <c r="H15353" t="s">
        <v>8901</v>
      </c>
      <c r="R15353" s="434"/>
      <c r="S15353" s="434"/>
    </row>
    <row r="15354" spans="1:19" ht="12.75" hidden="1" customHeight="1" outlineLevel="1" x14ac:dyDescent="0.25">
      <c r="A15354" s="2380">
        <v>0.02</v>
      </c>
      <c r="B15354" s="1921" t="s">
        <v>3954</v>
      </c>
      <c r="C15354" s="2108">
        <v>99.031000000000006</v>
      </c>
      <c r="D15354" s="3280">
        <v>142.02000000000001</v>
      </c>
      <c r="E15354" s="3270">
        <v>0.43409639405842615</v>
      </c>
      <c r="F15354" s="3282">
        <v>8.6819278811685226E-3</v>
      </c>
      <c r="H15354" t="s">
        <v>3955</v>
      </c>
      <c r="R15354" s="434"/>
      <c r="S15354" s="434"/>
    </row>
    <row r="15355" spans="1:19" ht="12.75" hidden="1" customHeight="1" outlineLevel="1" x14ac:dyDescent="0.25">
      <c r="A15355" s="2380">
        <v>0.05</v>
      </c>
      <c r="B15355" s="1921" t="s">
        <v>4055</v>
      </c>
      <c r="C15355" s="2108">
        <v>81.209999999999994</v>
      </c>
      <c r="D15355" s="3280">
        <v>76.5</v>
      </c>
      <c r="E15355" s="3270">
        <v>-5.7997783524196489E-2</v>
      </c>
      <c r="F15355" s="3282">
        <v>-2.8998891762098246E-3</v>
      </c>
      <c r="H15355" t="s">
        <v>4056</v>
      </c>
      <c r="K15355" s="1595"/>
      <c r="R15355" s="434"/>
      <c r="S15355" s="434"/>
    </row>
    <row r="15356" spans="1:19" ht="12.75" hidden="1" customHeight="1" outlineLevel="1" x14ac:dyDescent="0.25">
      <c r="A15356" s="2380">
        <v>0.02</v>
      </c>
      <c r="B15356" s="1921" t="s">
        <v>496</v>
      </c>
      <c r="C15356" s="2108">
        <v>9.7954222535983959</v>
      </c>
      <c r="D15356" s="3280">
        <v>8.6839999999999993</v>
      </c>
      <c r="E15356" s="3270">
        <v>-0.11346343473760001</v>
      </c>
      <c r="F15356" s="3282">
        <v>-2.2692686947520004E-3</v>
      </c>
      <c r="H15356" t="s">
        <v>497</v>
      </c>
      <c r="R15356" s="434"/>
      <c r="S15356" s="434"/>
    </row>
    <row r="15357" spans="1:19" ht="12.75" hidden="1" customHeight="1" outlineLevel="1" x14ac:dyDescent="0.25">
      <c r="A15357" s="2380">
        <v>0.02</v>
      </c>
      <c r="B15357" s="1921" t="s">
        <v>6267</v>
      </c>
      <c r="C15357" s="2108">
        <v>27.119499999999999</v>
      </c>
      <c r="D15357" s="3280">
        <v>20.57</v>
      </c>
      <c r="E15357" s="3270">
        <v>-0.24150518999244086</v>
      </c>
      <c r="F15357" s="3282">
        <v>-4.830103799848817E-3</v>
      </c>
      <c r="H15357" t="s">
        <v>6268</v>
      </c>
      <c r="R15357" s="434"/>
      <c r="S15357" s="434"/>
    </row>
    <row r="15358" spans="1:19" ht="12.75" hidden="1" customHeight="1" outlineLevel="1" x14ac:dyDescent="0.25">
      <c r="A15358" s="2380">
        <v>0.02</v>
      </c>
      <c r="B15358" s="1921" t="s">
        <v>4268</v>
      </c>
      <c r="C15358" s="2108">
        <v>14.987</v>
      </c>
      <c r="D15358" s="3280">
        <v>15.9</v>
      </c>
      <c r="E15358" s="3270">
        <v>6.0919463535063834E-2</v>
      </c>
      <c r="F15358" s="3282">
        <v>1.2183892707012768E-3</v>
      </c>
      <c r="H15358" t="s">
        <v>8442</v>
      </c>
      <c r="R15358" s="434"/>
      <c r="S15358" s="434"/>
    </row>
    <row r="15359" spans="1:19" ht="12.75" hidden="1" customHeight="1" outlineLevel="1" x14ac:dyDescent="0.25">
      <c r="A15359" s="2380">
        <v>0.03</v>
      </c>
      <c r="B15359" s="1921" t="s">
        <v>10371</v>
      </c>
      <c r="C15359" s="2108">
        <v>34.684716000921057</v>
      </c>
      <c r="D15359" s="3280">
        <v>32.81</v>
      </c>
      <c r="E15359" s="3270">
        <v>-5.405020473199984E-2</v>
      </c>
      <c r="F15359" s="3282">
        <v>-1.6215061419599952E-3</v>
      </c>
      <c r="H15359" t="s">
        <v>10370</v>
      </c>
      <c r="R15359" s="434"/>
      <c r="S15359" s="434"/>
    </row>
    <row r="15360" spans="1:19" ht="12.75" hidden="1" customHeight="1" outlineLevel="1" x14ac:dyDescent="0.25">
      <c r="A15360" s="2380">
        <v>0.02</v>
      </c>
      <c r="B15360" s="1921" t="s">
        <v>6902</v>
      </c>
      <c r="C15360" s="2108">
        <v>1.9343999999999999</v>
      </c>
      <c r="D15360" s="3280">
        <v>2.5209999999999999</v>
      </c>
      <c r="E15360" s="3270">
        <v>0.30324648469809756</v>
      </c>
      <c r="F15360" s="3282">
        <v>6.0649296939619514E-3</v>
      </c>
      <c r="H15360" t="s">
        <v>6899</v>
      </c>
      <c r="R15360" s="434"/>
      <c r="S15360" s="434"/>
    </row>
    <row r="15361" spans="1:19" ht="12.75" hidden="1" customHeight="1" outlineLevel="1" x14ac:dyDescent="0.25">
      <c r="A15361" s="2380">
        <v>0.02</v>
      </c>
      <c r="B15361" s="1921" t="s">
        <v>1772</v>
      </c>
      <c r="C15361" s="2108">
        <v>147.84</v>
      </c>
      <c r="D15361" s="3280">
        <v>227.3</v>
      </c>
      <c r="E15361" s="3270">
        <v>0.53747294372294374</v>
      </c>
      <c r="F15361" s="3282">
        <v>1.0749458874458875E-2</v>
      </c>
      <c r="H15361" t="s">
        <v>4330</v>
      </c>
      <c r="L15361" s="1595"/>
      <c r="R15361" s="434"/>
      <c r="S15361" s="434"/>
    </row>
    <row r="15362" spans="1:19" ht="12.75" hidden="1" customHeight="1" outlineLevel="1" x14ac:dyDescent="0.25">
      <c r="A15362" s="2380">
        <v>0.02</v>
      </c>
      <c r="B15362" s="1921" t="s">
        <v>7754</v>
      </c>
      <c r="C15362" s="2519">
        <v>45.167999999999999</v>
      </c>
      <c r="D15362" s="3280">
        <v>89.72</v>
      </c>
      <c r="E15362" s="3270">
        <v>0.98636202621324842</v>
      </c>
      <c r="F15362" s="3282">
        <v>1.9727240524264968E-2</v>
      </c>
      <c r="H15362" t="s">
        <v>7751</v>
      </c>
      <c r="R15362" s="434"/>
      <c r="S15362" s="434"/>
    </row>
    <row r="15363" spans="1:19" ht="12.75" hidden="1" customHeight="1" outlineLevel="1" x14ac:dyDescent="0.25">
      <c r="A15363" s="2380">
        <v>0.02</v>
      </c>
      <c r="B15363" s="1921" t="s">
        <v>1203</v>
      </c>
      <c r="C15363" s="2108">
        <v>74.125</v>
      </c>
      <c r="D15363" s="3280">
        <v>99.02</v>
      </c>
      <c r="E15363" s="3270">
        <v>0.33585160202360864</v>
      </c>
      <c r="F15363" s="3282">
        <v>6.7170320404721729E-3</v>
      </c>
      <c r="H15363" t="s">
        <v>79</v>
      </c>
      <c r="R15363" s="434"/>
      <c r="S15363" s="434"/>
    </row>
    <row r="15364" spans="1:19" ht="12.75" hidden="1" customHeight="1" outlineLevel="1" x14ac:dyDescent="0.25">
      <c r="A15364" s="2380">
        <v>0.05</v>
      </c>
      <c r="B15364" s="1921" t="s">
        <v>3793</v>
      </c>
      <c r="C15364" s="2108">
        <v>101.053</v>
      </c>
      <c r="D15364" s="3280">
        <v>100</v>
      </c>
      <c r="E15364" s="3270">
        <v>-1.042027450941585E-2</v>
      </c>
      <c r="F15364" s="3282">
        <v>-5.2101372547079256E-4</v>
      </c>
      <c r="H15364" t="s">
        <v>3533</v>
      </c>
      <c r="R15364" s="434"/>
      <c r="S15364" s="434"/>
    </row>
    <row r="15365" spans="1:19" ht="12.75" hidden="1" customHeight="1" outlineLevel="1" x14ac:dyDescent="0.25">
      <c r="A15365" s="2380">
        <v>0.02</v>
      </c>
      <c r="B15365" s="1921" t="s">
        <v>2769</v>
      </c>
      <c r="C15365" s="2108">
        <v>37.289000000000001</v>
      </c>
      <c r="D15365" s="3280">
        <v>28.31</v>
      </c>
      <c r="E15365" s="3270">
        <v>-0.24079487248250164</v>
      </c>
      <c r="F15365" s="3282">
        <v>-4.8158974496500329E-3</v>
      </c>
      <c r="H15365" t="s">
        <v>2770</v>
      </c>
      <c r="R15365" s="434"/>
      <c r="S15365" s="434"/>
    </row>
    <row r="15366" spans="1:19" ht="12.75" hidden="1" customHeight="1" outlineLevel="1" x14ac:dyDescent="0.25">
      <c r="A15366" s="2380">
        <v>0.08</v>
      </c>
      <c r="B15366" s="1921" t="s">
        <v>2297</v>
      </c>
      <c r="C15366" s="2108">
        <v>54.947000000000003</v>
      </c>
      <c r="D15366" s="3280">
        <v>69.98</v>
      </c>
      <c r="E15366" s="3270">
        <v>0.27359091488161313</v>
      </c>
      <c r="F15366" s="3282">
        <v>2.188727319052905E-2</v>
      </c>
      <c r="H15366" t="s">
        <v>2298</v>
      </c>
      <c r="R15366" s="434"/>
      <c r="S15366" s="434"/>
    </row>
    <row r="15367" spans="1:19" ht="12.75" hidden="1" customHeight="1" outlineLevel="1" x14ac:dyDescent="0.25">
      <c r="A15367" s="2380">
        <v>0.02</v>
      </c>
      <c r="B15367" s="1921" t="s">
        <v>10667</v>
      </c>
      <c r="C15367" s="2108">
        <v>20.7805</v>
      </c>
      <c r="D15367" s="3280">
        <v>21.73</v>
      </c>
      <c r="E15367" s="3270">
        <v>4.5691874593970283E-2</v>
      </c>
      <c r="F15367" s="3282">
        <v>9.1383749187940572E-4</v>
      </c>
      <c r="H15367" t="s">
        <v>10668</v>
      </c>
      <c r="R15367" s="434"/>
      <c r="S15367" s="434"/>
    </row>
    <row r="15368" spans="1:19" ht="12.75" hidden="1" customHeight="1" outlineLevel="1" x14ac:dyDescent="0.25">
      <c r="A15368" s="2380">
        <v>0.02</v>
      </c>
      <c r="B15368" s="1921" t="s">
        <v>6270</v>
      </c>
      <c r="C15368" s="2108">
        <v>37.028904803821661</v>
      </c>
      <c r="D15368" s="3280">
        <v>46.41</v>
      </c>
      <c r="E15368" s="3270">
        <v>0.25334519737699979</v>
      </c>
      <c r="F15368" s="3282">
        <v>5.0669039475399955E-3</v>
      </c>
      <c r="H15368" t="s">
        <v>8166</v>
      </c>
      <c r="R15368" s="434"/>
      <c r="S15368" s="434"/>
    </row>
    <row r="15369" spans="1:19" ht="12.75" hidden="1" customHeight="1" outlineLevel="1" x14ac:dyDescent="0.25">
      <c r="A15369" s="2380">
        <v>0.08</v>
      </c>
      <c r="B15369" s="1921" t="s">
        <v>7348</v>
      </c>
      <c r="C15369" s="2108">
        <v>2211.8000000000002</v>
      </c>
      <c r="D15369" s="3280">
        <v>2522</v>
      </c>
      <c r="E15369" s="3270">
        <v>0.14024776200379763</v>
      </c>
      <c r="F15369" s="3282">
        <v>1.1219820960303811E-2</v>
      </c>
      <c r="H15369" t="s">
        <v>8899</v>
      </c>
      <c r="R15369" s="434"/>
      <c r="S15369" s="434"/>
    </row>
    <row r="15370" spans="1:19" ht="12.75" hidden="1" customHeight="1" outlineLevel="1" x14ac:dyDescent="0.25">
      <c r="A15370" s="2380">
        <v>0.02</v>
      </c>
      <c r="B15370" s="1921" t="s">
        <v>6524</v>
      </c>
      <c r="C15370" s="2108">
        <v>73.842710640079616</v>
      </c>
      <c r="D15370" s="3280">
        <v>111.55</v>
      </c>
      <c r="E15370" s="3270">
        <v>0.51064335305500008</v>
      </c>
      <c r="F15370" s="3282">
        <v>1.0212867061100002E-2</v>
      </c>
      <c r="H15370" t="s">
        <v>6525</v>
      </c>
      <c r="R15370" s="434"/>
      <c r="S15370" s="434"/>
    </row>
    <row r="15371" spans="1:19" ht="12.75" hidden="1" customHeight="1" outlineLevel="1" x14ac:dyDescent="0.25">
      <c r="A15371" s="2380">
        <v>0.08</v>
      </c>
      <c r="B15371" s="1921" t="s">
        <v>3427</v>
      </c>
      <c r="C15371" s="2108">
        <v>53.837000000000003</v>
      </c>
      <c r="D15371" s="3280">
        <v>73.39</v>
      </c>
      <c r="E15371" s="3270">
        <v>0.36318888496758728</v>
      </c>
      <c r="F15371" s="3282">
        <v>2.9055110797406983E-2</v>
      </c>
      <c r="H15371" t="s">
        <v>2800</v>
      </c>
      <c r="R15371" s="434"/>
      <c r="S15371" s="434"/>
    </row>
    <row r="15372" spans="1:19" ht="12.75" hidden="1" customHeight="1" outlineLevel="1" x14ac:dyDescent="0.25">
      <c r="A15372" s="2380">
        <v>0.02</v>
      </c>
      <c r="B15372" s="1921" t="s">
        <v>10538</v>
      </c>
      <c r="C15372" s="2108">
        <v>12.702373258069569</v>
      </c>
      <c r="D15372" s="3280">
        <v>11.46</v>
      </c>
      <c r="E15372" s="3270">
        <v>-9.7806388839999814E-2</v>
      </c>
      <c r="F15372" s="3282">
        <v>-1.9561277767999965E-3</v>
      </c>
      <c r="H15372" t="s">
        <v>7628</v>
      </c>
      <c r="R15372" s="434"/>
      <c r="S15372" s="434"/>
    </row>
    <row r="15373" spans="1:19" ht="12.75" hidden="1" customHeight="1" outlineLevel="1" x14ac:dyDescent="0.25">
      <c r="A15373" s="2380">
        <v>0.08</v>
      </c>
      <c r="B15373" s="1921" t="s">
        <v>6118</v>
      </c>
      <c r="C15373" s="2108">
        <v>83.35</v>
      </c>
      <c r="D15373" s="3280">
        <v>80.319999999999993</v>
      </c>
      <c r="E15373" s="3270">
        <v>-3.6352729454109167E-2</v>
      </c>
      <c r="F15373" s="3282">
        <v>-2.9082183563287336E-3</v>
      </c>
      <c r="H15373" t="s">
        <v>8893</v>
      </c>
      <c r="R15373" s="434"/>
      <c r="S15373" s="434"/>
    </row>
    <row r="15374" spans="1:19" ht="12.75" hidden="1" customHeight="1" outlineLevel="1" x14ac:dyDescent="0.25">
      <c r="A15374" s="2380">
        <v>0.08</v>
      </c>
      <c r="B15374" s="1921" t="s">
        <v>1239</v>
      </c>
      <c r="C15374" s="2108">
        <v>480.73</v>
      </c>
      <c r="D15374" s="3280">
        <v>576.79999999999995</v>
      </c>
      <c r="E15374" s="3270">
        <v>0.19984190709961913</v>
      </c>
      <c r="F15374" s="3282">
        <v>1.5987352567969532E-2</v>
      </c>
      <c r="H15374" t="s">
        <v>8891</v>
      </c>
      <c r="R15374" s="434"/>
      <c r="S15374" s="434"/>
    </row>
    <row r="15375" spans="1:19" ht="12.75" hidden="1" customHeight="1" outlineLevel="1" x14ac:dyDescent="0.25">
      <c r="A15375" s="2380">
        <v>0.05</v>
      </c>
      <c r="B15375" s="1921" t="s">
        <v>7755</v>
      </c>
      <c r="C15375" s="2108">
        <v>8.8246000000000002</v>
      </c>
      <c r="D15375" s="3280">
        <v>4.633</v>
      </c>
      <c r="E15375" s="3270">
        <v>-0.4749903678353693</v>
      </c>
      <c r="F15375" s="3282">
        <v>-2.3749518391768466E-2</v>
      </c>
      <c r="H15375" t="s">
        <v>6732</v>
      </c>
      <c r="R15375" s="434"/>
      <c r="S15375" s="434"/>
    </row>
    <row r="15376" spans="1:19" ht="12.75" hidden="1" customHeight="1" outlineLevel="1" x14ac:dyDescent="0.25">
      <c r="A15376" s="2380">
        <v>0.02</v>
      </c>
      <c r="B15376" s="1921" t="s">
        <v>3665</v>
      </c>
      <c r="C15376" s="2108">
        <v>21.705500000000001</v>
      </c>
      <c r="D15376" s="3280">
        <v>32.14</v>
      </c>
      <c r="E15376" s="3270">
        <v>0.48073069037801486</v>
      </c>
      <c r="F15376" s="3282">
        <v>9.6146138075602974E-3</v>
      </c>
      <c r="H15376" t="s">
        <v>7021</v>
      </c>
      <c r="R15376" s="434"/>
      <c r="S15376" s="434"/>
    </row>
    <row r="15377" spans="1:19" ht="12.75" hidden="1" customHeight="1" outlineLevel="1" x14ac:dyDescent="0.25">
      <c r="A15377" s="2380">
        <v>0.02</v>
      </c>
      <c r="B15377" s="1921" t="s">
        <v>6337</v>
      </c>
      <c r="C15377" s="2108">
        <v>56.838000000000001</v>
      </c>
      <c r="D15377" s="3280">
        <v>92.79</v>
      </c>
      <c r="E15377" s="3270">
        <v>0.63253457194130691</v>
      </c>
      <c r="F15377" s="3282">
        <v>1.2650691438826139E-2</v>
      </c>
      <c r="H15377" t="s">
        <v>7752</v>
      </c>
      <c r="R15377" s="434"/>
      <c r="S15377" s="434"/>
    </row>
    <row r="15378" spans="1:19" ht="12.75" hidden="1" customHeight="1" outlineLevel="1" x14ac:dyDescent="0.25">
      <c r="A15378" s="2380">
        <v>0.02</v>
      </c>
      <c r="B15378" s="1921" t="s">
        <v>10633</v>
      </c>
      <c r="C15378" s="2108">
        <v>43.340499999999999</v>
      </c>
      <c r="D15378" s="3280">
        <v>47.225000000000001</v>
      </c>
      <c r="E15378" s="3270">
        <v>8.9627484685225189E-2</v>
      </c>
      <c r="F15378" s="3282">
        <v>1.7925496937045038E-3</v>
      </c>
      <c r="H15378" t="s">
        <v>10634</v>
      </c>
      <c r="R15378" s="434"/>
      <c r="S15378" s="434"/>
    </row>
    <row r="15379" spans="1:19" ht="12.75" hidden="1" customHeight="1" outlineLevel="1" x14ac:dyDescent="0.25">
      <c r="A15379" s="2380">
        <v>0.02</v>
      </c>
      <c r="B15379" s="2109" t="s">
        <v>255</v>
      </c>
      <c r="C15379" s="2108">
        <v>55.707999999999998</v>
      </c>
      <c r="D15379" s="3283">
        <v>46.3</v>
      </c>
      <c r="E15379" s="3270">
        <v>-0.16888059165649461</v>
      </c>
      <c r="F15379" s="3282">
        <v>-3.3776118331298923E-3</v>
      </c>
      <c r="H15379" t="s">
        <v>3351</v>
      </c>
      <c r="R15379" s="434"/>
      <c r="S15379" s="434"/>
    </row>
    <row r="15380" spans="1:19" ht="12.75" hidden="1" customHeight="1" outlineLevel="1" x14ac:dyDescent="0.25">
      <c r="A15380" s="2181" t="s">
        <v>2734</v>
      </c>
      <c r="B15380" s="2103"/>
      <c r="C15380" s="3258">
        <v>100</v>
      </c>
      <c r="D15380" s="3259"/>
      <c r="E15380" s="3284"/>
      <c r="F15380" s="3277">
        <v>0.14730457784895873</v>
      </c>
      <c r="G15380" s="78"/>
    </row>
    <row r="15381" spans="1:19" ht="12.75" hidden="1" customHeight="1" outlineLevel="1" x14ac:dyDescent="0.25">
      <c r="A15381" s="1956" t="s">
        <v>8118</v>
      </c>
      <c r="B15381" s="2185">
        <v>44136</v>
      </c>
      <c r="C15381" s="3261">
        <v>100</v>
      </c>
      <c r="D15381" s="3261">
        <v>102.7101</v>
      </c>
      <c r="E15381" s="3262">
        <v>2.7101000000000042E-2</v>
      </c>
      <c r="F15381" s="3285"/>
      <c r="G15381" s="78"/>
    </row>
    <row r="15382" spans="1:19" ht="12.75" hidden="1" customHeight="1" outlineLevel="1" x14ac:dyDescent="0.25">
      <c r="A15382" s="1956" t="s">
        <v>8119</v>
      </c>
      <c r="B15382" s="2185">
        <v>44166</v>
      </c>
      <c r="C15382" s="3261">
        <v>100</v>
      </c>
      <c r="D15382" s="3264">
        <v>102.8301</v>
      </c>
      <c r="E15382" s="3262">
        <v>2.830099999999991E-2</v>
      </c>
      <c r="F15382" s="3285"/>
      <c r="G15382" s="78"/>
    </row>
    <row r="15383" spans="1:19" ht="12.75" hidden="1" customHeight="1" outlineLevel="1" x14ac:dyDescent="0.25">
      <c r="A15383" s="1956" t="s">
        <v>8120</v>
      </c>
      <c r="B15383" s="2185">
        <v>44197</v>
      </c>
      <c r="C15383" s="3261">
        <v>100</v>
      </c>
      <c r="D15383" s="3264">
        <v>100.8869</v>
      </c>
      <c r="E15383" s="3262">
        <v>8.8690000000000158E-3</v>
      </c>
      <c r="F15383" s="3285"/>
      <c r="G15383" s="78"/>
    </row>
    <row r="15384" spans="1:19" ht="12.75" hidden="1" customHeight="1" outlineLevel="1" x14ac:dyDescent="0.25">
      <c r="A15384" s="1956" t="s">
        <v>8121</v>
      </c>
      <c r="B15384" s="2185">
        <v>44228</v>
      </c>
      <c r="C15384" s="3261">
        <v>100</v>
      </c>
      <c r="D15384" s="3264">
        <v>102.2041</v>
      </c>
      <c r="E15384" s="3262">
        <v>2.2040999999999977E-2</v>
      </c>
      <c r="F15384" s="3285"/>
      <c r="G15384" s="78"/>
    </row>
    <row r="15385" spans="1:19" ht="12.75" hidden="1" customHeight="1" outlineLevel="1" x14ac:dyDescent="0.25">
      <c r="A15385" s="1956" t="s">
        <v>8122</v>
      </c>
      <c r="B15385" s="2185">
        <v>44256</v>
      </c>
      <c r="C15385" s="3261">
        <v>100</v>
      </c>
      <c r="D15385" s="3264">
        <v>109.0902</v>
      </c>
      <c r="E15385" s="3262">
        <v>9.0902000000000038E-2</v>
      </c>
      <c r="F15385" s="3285"/>
      <c r="G15385" s="78"/>
    </row>
    <row r="15386" spans="1:19" ht="12.75" hidden="1" customHeight="1" outlineLevel="1" x14ac:dyDescent="0.25">
      <c r="A15386" s="1956" t="s">
        <v>8123</v>
      </c>
      <c r="B15386" s="2185">
        <v>44287</v>
      </c>
      <c r="C15386" s="3261">
        <v>100</v>
      </c>
      <c r="D15386" s="3264">
        <v>109.9328</v>
      </c>
      <c r="E15386" s="3262">
        <v>9.9328000000000083E-2</v>
      </c>
      <c r="F15386" s="3285"/>
      <c r="G15386" s="78"/>
    </row>
    <row r="15387" spans="1:19" ht="12.75" hidden="1" customHeight="1" outlineLevel="1" x14ac:dyDescent="0.25">
      <c r="A15387" s="1956" t="s">
        <v>8124</v>
      </c>
      <c r="B15387" s="2185">
        <v>44317</v>
      </c>
      <c r="C15387" s="3261">
        <v>100</v>
      </c>
      <c r="D15387" s="3264">
        <v>111.30289999999999</v>
      </c>
      <c r="E15387" s="3262">
        <v>0.11302900000000005</v>
      </c>
      <c r="F15387" s="3285"/>
      <c r="G15387" s="78"/>
    </row>
    <row r="15388" spans="1:19" ht="12.75" hidden="1" customHeight="1" outlineLevel="1" x14ac:dyDescent="0.25">
      <c r="A15388" s="1956" t="s">
        <v>8125</v>
      </c>
      <c r="B15388" s="2185">
        <v>44348</v>
      </c>
      <c r="C15388" s="3261">
        <v>100</v>
      </c>
      <c r="D15388" s="3264">
        <v>111.4126</v>
      </c>
      <c r="E15388" s="3262">
        <v>0.11412599999999995</v>
      </c>
      <c r="F15388" s="3285"/>
      <c r="G15388" s="78"/>
    </row>
    <row r="15389" spans="1:19" ht="12.75" hidden="1" customHeight="1" outlineLevel="1" x14ac:dyDescent="0.25">
      <c r="A15389" s="1956" t="s">
        <v>8126</v>
      </c>
      <c r="B15389" s="2185">
        <v>44378</v>
      </c>
      <c r="C15389" s="3261">
        <v>100</v>
      </c>
      <c r="D15389" s="3264">
        <v>112.8043</v>
      </c>
      <c r="E15389" s="3262">
        <v>0.12804299999999991</v>
      </c>
      <c r="F15389" s="3285"/>
      <c r="G15389" s="78"/>
    </row>
    <row r="15390" spans="1:19" ht="12.75" hidden="1" customHeight="1" outlineLevel="1" x14ac:dyDescent="0.25">
      <c r="A15390" s="1956" t="s">
        <v>8127</v>
      </c>
      <c r="B15390" s="2185">
        <v>44409</v>
      </c>
      <c r="C15390" s="3261">
        <v>100</v>
      </c>
      <c r="D15390" s="3264">
        <v>114.6199</v>
      </c>
      <c r="E15390" s="3262">
        <v>0.14619899999999997</v>
      </c>
      <c r="F15390" s="3285"/>
      <c r="G15390" s="78"/>
    </row>
    <row r="15391" spans="1:19" ht="12.75" hidden="1" customHeight="1" outlineLevel="1" x14ac:dyDescent="0.25">
      <c r="A15391" s="1956" t="s">
        <v>8128</v>
      </c>
      <c r="B15391" s="2185">
        <v>44440</v>
      </c>
      <c r="C15391" s="3261">
        <v>100</v>
      </c>
      <c r="D15391" s="3264">
        <v>111.5642</v>
      </c>
      <c r="E15391" s="3262">
        <v>0.11564200000000002</v>
      </c>
      <c r="F15391" s="3285"/>
      <c r="G15391" s="78"/>
    </row>
    <row r="15392" spans="1:19" ht="12.75" hidden="1" customHeight="1" outlineLevel="1" x14ac:dyDescent="0.25">
      <c r="A15392" s="1956" t="s">
        <v>8129</v>
      </c>
      <c r="B15392" s="2185">
        <v>44470</v>
      </c>
      <c r="C15392" s="3261">
        <v>100</v>
      </c>
      <c r="D15392" s="3264">
        <v>113.2859</v>
      </c>
      <c r="E15392" s="3262">
        <v>0.13285900000000006</v>
      </c>
      <c r="F15392" s="3285"/>
      <c r="G15392" s="78"/>
    </row>
    <row r="15393" spans="1:9" ht="12.75" hidden="1" customHeight="1" outlineLevel="1" x14ac:dyDescent="0.25">
      <c r="A15393" s="1956" t="s">
        <v>8130</v>
      </c>
      <c r="B15393" s="2185">
        <v>44501</v>
      </c>
      <c r="C15393" s="3261">
        <v>100</v>
      </c>
      <c r="D15393" s="3264">
        <v>111.01300000000001</v>
      </c>
      <c r="E15393" s="3262">
        <v>0.11013000000000006</v>
      </c>
      <c r="F15393" s="3285"/>
      <c r="G15393" s="78"/>
    </row>
    <row r="15394" spans="1:9" ht="12.75" hidden="1" customHeight="1" outlineLevel="1" x14ac:dyDescent="0.25">
      <c r="A15394" s="1956" t="s">
        <v>8131</v>
      </c>
      <c r="B15394" s="2185">
        <v>44531</v>
      </c>
      <c r="C15394" s="3261">
        <v>100</v>
      </c>
      <c r="D15394" s="3264">
        <v>116.51649999999999</v>
      </c>
      <c r="E15394" s="3262">
        <v>0.16516500000000001</v>
      </c>
      <c r="F15394" s="3285"/>
      <c r="G15394" s="78"/>
    </row>
    <row r="15395" spans="1:9" ht="12.75" hidden="1" customHeight="1" outlineLevel="1" x14ac:dyDescent="0.25">
      <c r="A15395" s="1956" t="s">
        <v>8132</v>
      </c>
      <c r="B15395" s="2185">
        <v>44562</v>
      </c>
      <c r="C15395" s="3261">
        <v>100</v>
      </c>
      <c r="D15395" s="3264">
        <v>118.2891</v>
      </c>
      <c r="E15395" s="3262">
        <v>0.18289100000000014</v>
      </c>
      <c r="F15395" s="3285"/>
      <c r="G15395" s="78"/>
    </row>
    <row r="15396" spans="1:9" ht="12.75" hidden="1" customHeight="1" outlineLevel="1" x14ac:dyDescent="0.25">
      <c r="A15396" s="1956" t="s">
        <v>8133</v>
      </c>
      <c r="B15396" s="2185">
        <v>44593</v>
      </c>
      <c r="C15396" s="3261">
        <v>100</v>
      </c>
      <c r="D15396" s="3264">
        <v>114.17</v>
      </c>
      <c r="E15396" s="3262">
        <v>0.14169999999999994</v>
      </c>
      <c r="F15396" s="3285"/>
      <c r="G15396" s="78"/>
    </row>
    <row r="15397" spans="1:9" ht="12.75" hidden="1" customHeight="1" outlineLevel="1" x14ac:dyDescent="0.25">
      <c r="A15397" s="1956" t="s">
        <v>8134</v>
      </c>
      <c r="B15397" s="2185">
        <v>44621</v>
      </c>
      <c r="C15397" s="3261">
        <v>100</v>
      </c>
      <c r="D15397" s="3264">
        <v>115.71299999999999</v>
      </c>
      <c r="E15397" s="3262">
        <v>0.15712999999999999</v>
      </c>
      <c r="F15397" s="3285"/>
      <c r="G15397" s="78"/>
    </row>
    <row r="15398" spans="1:9" ht="12.75" hidden="1" customHeight="1" outlineLevel="1" x14ac:dyDescent="0.25">
      <c r="A15398" s="1956" t="s">
        <v>8135</v>
      </c>
      <c r="B15398" s="2185">
        <v>44652</v>
      </c>
      <c r="C15398" s="3261">
        <v>100</v>
      </c>
      <c r="D15398" s="3264">
        <v>114.73050000000001</v>
      </c>
      <c r="E15398" s="3262">
        <v>0.14730500000000002</v>
      </c>
      <c r="F15398" s="3285"/>
      <c r="G15398" s="78"/>
    </row>
    <row r="15399" spans="1:9" ht="12.75" hidden="1" customHeight="1" outlineLevel="1" x14ac:dyDescent="0.25">
      <c r="A15399" s="2189" t="s">
        <v>2734</v>
      </c>
      <c r="B15399" s="2190"/>
      <c r="C15399" s="3264"/>
      <c r="D15399" s="2191" t="s">
        <v>2465</v>
      </c>
      <c r="E15399" s="1987">
        <v>0.10726450000000001</v>
      </c>
      <c r="F15399" s="2192">
        <v>0.12238245</v>
      </c>
      <c r="G15399" s="78"/>
    </row>
    <row r="15400" spans="1:9" collapsed="1" x14ac:dyDescent="0.25">
      <c r="A15400" s="3801" t="s">
        <v>8117</v>
      </c>
      <c r="B15400" s="3802"/>
      <c r="C15400" s="3802"/>
      <c r="D15400" s="3802"/>
      <c r="E15400" s="1906"/>
      <c r="F15400" s="1907">
        <v>0.12238245</v>
      </c>
      <c r="G15400" s="78"/>
    </row>
    <row r="15402" spans="1:9" hidden="1" outlineLevel="1" x14ac:dyDescent="0.25">
      <c r="A15402" s="2444" t="s">
        <v>113</v>
      </c>
      <c r="B15402" s="2433" t="s">
        <v>114</v>
      </c>
      <c r="C15402" s="2433" t="s">
        <v>112</v>
      </c>
      <c r="D15402" s="2433" t="s">
        <v>4155</v>
      </c>
      <c r="E15402" s="2433" t="s">
        <v>116</v>
      </c>
      <c r="F15402" s="2434" t="s">
        <v>121</v>
      </c>
      <c r="G15402" s="2440"/>
      <c r="H15402" s="1950" t="s">
        <v>5391</v>
      </c>
      <c r="I15402" s="1950" t="s">
        <v>5392</v>
      </c>
    </row>
    <row r="15403" spans="1:9" hidden="1" outlineLevel="1" x14ac:dyDescent="0.25">
      <c r="A15403" s="1810" t="s">
        <v>6994</v>
      </c>
      <c r="B15403" s="2320" t="s">
        <v>8048</v>
      </c>
      <c r="C15403" s="1812">
        <v>281.27999999999997</v>
      </c>
      <c r="D15403" s="2464"/>
      <c r="E15403" s="2238">
        <v>293.84800000000001</v>
      </c>
      <c r="F15403" s="2473">
        <v>0.08</v>
      </c>
      <c r="G15403" s="2440"/>
      <c r="H15403" s="2333">
        <v>4.4681456200227787E-2</v>
      </c>
      <c r="I15403" s="1952">
        <v>0.08</v>
      </c>
    </row>
    <row r="15404" spans="1:9" hidden="1" outlineLevel="1" x14ac:dyDescent="0.25">
      <c r="A15404" s="1813" t="s">
        <v>6995</v>
      </c>
      <c r="B15404" s="2320" t="s">
        <v>8048</v>
      </c>
      <c r="C15404" s="1814"/>
      <c r="D15404" s="2465"/>
      <c r="E15404" s="1815"/>
      <c r="F15404" s="2473" t="s">
        <v>5590</v>
      </c>
      <c r="G15404" s="2440"/>
      <c r="H15404" s="2333"/>
      <c r="I15404" s="1953">
        <v>0.16</v>
      </c>
    </row>
    <row r="15405" spans="1:9" hidden="1" outlineLevel="1" x14ac:dyDescent="0.25">
      <c r="A15405" s="1813" t="s">
        <v>6996</v>
      </c>
      <c r="B15405" s="2320" t="s">
        <v>8048</v>
      </c>
      <c r="C15405" s="1814" t="s">
        <v>5590</v>
      </c>
      <c r="D15405" s="2465"/>
      <c r="E15405" s="1815"/>
      <c r="F15405" s="2469"/>
      <c r="G15405" s="2440"/>
      <c r="H15405" s="2333" t="s">
        <v>5590</v>
      </c>
      <c r="I15405" s="1953">
        <v>0.24</v>
      </c>
    </row>
    <row r="15406" spans="1:9" hidden="1" outlineLevel="1" x14ac:dyDescent="0.25">
      <c r="A15406" s="1813" t="s">
        <v>6997</v>
      </c>
      <c r="B15406" s="2320" t="s">
        <v>8048</v>
      </c>
      <c r="C15406" s="1814" t="s">
        <v>5590</v>
      </c>
      <c r="D15406" s="2465"/>
      <c r="E15406" s="1815"/>
      <c r="F15406" s="2469" t="s">
        <v>5590</v>
      </c>
      <c r="G15406" s="2440"/>
      <c r="H15406" s="2333" t="s">
        <v>5590</v>
      </c>
      <c r="I15406" s="1953">
        <v>0.32</v>
      </c>
    </row>
    <row r="15407" spans="1:9" hidden="1" outlineLevel="1" x14ac:dyDescent="0.25">
      <c r="A15407" s="2202" t="s">
        <v>6998</v>
      </c>
      <c r="B15407" s="2320" t="s">
        <v>8048</v>
      </c>
      <c r="C15407" s="1817" t="s">
        <v>5590</v>
      </c>
      <c r="D15407" s="2466"/>
      <c r="E15407" s="1815"/>
      <c r="F15407" s="2470" t="s">
        <v>5590</v>
      </c>
      <c r="G15407" s="2440"/>
      <c r="H15407" s="1954" t="s">
        <v>5590</v>
      </c>
      <c r="I15407" s="1955">
        <v>0.4</v>
      </c>
    </row>
    <row r="15408" spans="1:9" hidden="1" outlineLevel="1" x14ac:dyDescent="0.25">
      <c r="A15408" s="1819" t="s">
        <v>2734</v>
      </c>
      <c r="B15408" s="2436"/>
      <c r="C15408" s="1820"/>
      <c r="D15408" s="1821"/>
      <c r="E15408" s="2471"/>
      <c r="F15408" s="2472">
        <v>0.08</v>
      </c>
      <c r="G15408" s="2440"/>
      <c r="H15408" s="1913">
        <v>4.4681456200227787E-2</v>
      </c>
      <c r="I15408" s="1813"/>
    </row>
    <row r="15409" spans="1:11" collapsed="1" x14ac:dyDescent="0.25">
      <c r="A15409" s="2462" t="s">
        <v>8089</v>
      </c>
      <c r="B15409" s="2462"/>
      <c r="C15409" s="2463"/>
      <c r="D15409" s="2463"/>
      <c r="E15409" s="1905"/>
      <c r="F15409" s="1948">
        <v>0.08</v>
      </c>
      <c r="G15409" s="2131"/>
      <c r="H15409" s="2480"/>
      <c r="I15409" s="2432"/>
    </row>
    <row r="15411" spans="1:11" hidden="1" outlineLevel="1" x14ac:dyDescent="0.25">
      <c r="A15411" s="2474" t="s">
        <v>113</v>
      </c>
      <c r="B15411" s="2475" t="s">
        <v>114</v>
      </c>
      <c r="C15411" s="2475" t="s">
        <v>112</v>
      </c>
      <c r="D15411" s="2475" t="s">
        <v>4363</v>
      </c>
      <c r="E15411" s="2475" t="s">
        <v>116</v>
      </c>
      <c r="F15411" s="2476" t="s">
        <v>121</v>
      </c>
      <c r="G15411" s="78"/>
      <c r="H15411" s="438" t="s">
        <v>5391</v>
      </c>
      <c r="I15411" s="438" t="s">
        <v>5392</v>
      </c>
    </row>
    <row r="15412" spans="1:11" hidden="1" outlineLevel="1" x14ac:dyDescent="0.25">
      <c r="A15412" s="1956" t="s">
        <v>8184</v>
      </c>
      <c r="B15412" s="2317" t="s">
        <v>2153</v>
      </c>
      <c r="C15412" s="3900">
        <v>3012.942</v>
      </c>
      <c r="D15412" s="3899">
        <v>3453.3760000000002</v>
      </c>
      <c r="E15412" s="2477">
        <v>3453.3760000000002</v>
      </c>
      <c r="F15412" s="2473">
        <v>0.15</v>
      </c>
      <c r="G15412" s="78"/>
      <c r="H15412" s="92">
        <v>0.14618070975146558</v>
      </c>
      <c r="I15412" s="450">
        <v>0.15</v>
      </c>
    </row>
    <row r="15413" spans="1:11" hidden="1" outlineLevel="1" x14ac:dyDescent="0.25">
      <c r="A15413" s="1956" t="s">
        <v>8185</v>
      </c>
      <c r="B15413" s="2317" t="s">
        <v>2153</v>
      </c>
      <c r="C15413" s="3901"/>
      <c r="D15413" s="3899"/>
      <c r="E15413" s="2318"/>
      <c r="F15413" s="2473" t="s">
        <v>5590</v>
      </c>
      <c r="G15413" s="78"/>
      <c r="H15413" s="79" t="s">
        <v>5590</v>
      </c>
      <c r="I15413" s="451">
        <v>0.2</v>
      </c>
    </row>
    <row r="15414" spans="1:11" hidden="1" outlineLevel="1" x14ac:dyDescent="0.25">
      <c r="A15414" s="1956" t="s">
        <v>8186</v>
      </c>
      <c r="B15414" s="2317" t="s">
        <v>2153</v>
      </c>
      <c r="C15414" s="3901"/>
      <c r="D15414" s="3899"/>
      <c r="E15414" s="2318"/>
      <c r="F15414" s="2473" t="s">
        <v>5590</v>
      </c>
      <c r="G15414" s="78"/>
      <c r="H15414" s="79" t="s">
        <v>5590</v>
      </c>
      <c r="I15414" s="451">
        <v>0.25</v>
      </c>
    </row>
    <row r="15415" spans="1:11" hidden="1" outlineLevel="1" x14ac:dyDescent="0.25">
      <c r="A15415" s="1956" t="s">
        <v>8187</v>
      </c>
      <c r="B15415" s="2317" t="s">
        <v>2153</v>
      </c>
      <c r="C15415" s="3901"/>
      <c r="D15415" s="3899"/>
      <c r="E15415" s="2318"/>
      <c r="F15415" s="2473" t="s">
        <v>5590</v>
      </c>
      <c r="G15415" s="78"/>
      <c r="H15415" s="82" t="s">
        <v>5590</v>
      </c>
      <c r="I15415" s="452">
        <v>0.3</v>
      </c>
    </row>
    <row r="15416" spans="1:11" hidden="1" outlineLevel="1" x14ac:dyDescent="0.25">
      <c r="A15416" s="1956" t="s">
        <v>8188</v>
      </c>
      <c r="B15416" s="2317" t="s">
        <v>2153</v>
      </c>
      <c r="C15416" s="3902"/>
      <c r="D15416" s="3899"/>
      <c r="E15416" s="2318"/>
      <c r="F15416" s="2473" t="s">
        <v>5590</v>
      </c>
      <c r="G15416" s="78"/>
      <c r="H15416" s="37">
        <v>0.14618070975146558</v>
      </c>
    </row>
    <row r="15417" spans="1:11" hidden="1" outlineLevel="1" x14ac:dyDescent="0.25">
      <c r="A15417" s="1819" t="s">
        <v>2734</v>
      </c>
      <c r="B15417" s="2352"/>
      <c r="C15417" s="1820"/>
      <c r="D15417" s="2478"/>
      <c r="E15417" s="2479"/>
      <c r="F15417" s="2472">
        <v>0.15</v>
      </c>
      <c r="G15417" s="78"/>
      <c r="H15417" s="74"/>
    </row>
    <row r="15418" spans="1:11" collapsed="1" x14ac:dyDescent="0.25">
      <c r="A15418" s="3801" t="s">
        <v>8440</v>
      </c>
      <c r="B15418" s="3802"/>
      <c r="C15418" s="3802"/>
      <c r="D15418" s="3802"/>
      <c r="E15418" s="1906"/>
      <c r="F15418" s="1907">
        <v>0.15</v>
      </c>
      <c r="G15418" s="78"/>
      <c r="H15418" s="74"/>
    </row>
    <row r="15420" spans="1:11" ht="12.75" hidden="1" customHeight="1" outlineLevel="1" x14ac:dyDescent="0.25">
      <c r="A15420" s="15" t="s">
        <v>113</v>
      </c>
      <c r="B15420" s="15" t="s">
        <v>114</v>
      </c>
      <c r="C15420" s="15" t="s">
        <v>112</v>
      </c>
      <c r="D15420" s="15" t="s">
        <v>116</v>
      </c>
      <c r="E15420" s="15" t="s">
        <v>117</v>
      </c>
      <c r="F15420" s="1882" t="s">
        <v>121</v>
      </c>
      <c r="G15420" s="78"/>
    </row>
    <row r="15421" spans="1:11" ht="12.75" hidden="1" customHeight="1" outlineLevel="1" x14ac:dyDescent="0.25">
      <c r="A15421" s="4">
        <v>1</v>
      </c>
      <c r="B15421" s="5" t="s">
        <v>252</v>
      </c>
      <c r="C15421" s="6">
        <v>100</v>
      </c>
      <c r="D15421" s="6"/>
      <c r="E15421" s="9"/>
      <c r="F15421" s="10"/>
      <c r="G15421" s="78"/>
    </row>
    <row r="15422" spans="1:11" ht="12.75" hidden="1" customHeight="1" outlineLevel="1" x14ac:dyDescent="0.25">
      <c r="A15422" s="21" t="s">
        <v>2734</v>
      </c>
      <c r="B15422" s="21"/>
      <c r="C15422" s="11"/>
      <c r="D15422" s="32" t="s">
        <v>3702</v>
      </c>
      <c r="E15422" s="33">
        <v>44742</v>
      </c>
      <c r="F15422" s="38"/>
      <c r="G15422" s="78"/>
    </row>
    <row r="15423" spans="1:11" ht="12.75" hidden="1" customHeight="1" outlineLevel="1" x14ac:dyDescent="0.25">
      <c r="A15423" s="22" t="s">
        <v>4156</v>
      </c>
      <c r="B15423" s="22" t="s">
        <v>4153</v>
      </c>
      <c r="C15423" s="98" t="s">
        <v>112</v>
      </c>
      <c r="D15423" s="131" t="s">
        <v>4155</v>
      </c>
      <c r="E15423" s="22" t="s">
        <v>4154</v>
      </c>
      <c r="F15423" s="189" t="s">
        <v>2519</v>
      </c>
      <c r="G15423" s="78"/>
    </row>
    <row r="15424" spans="1:11" ht="12.75" hidden="1" customHeight="1" outlineLevel="1" x14ac:dyDescent="0.25">
      <c r="A15424" s="1508">
        <v>0.02</v>
      </c>
      <c r="B15424" s="1625" t="s">
        <v>359</v>
      </c>
      <c r="C15424" s="455">
        <v>133.08500000000001</v>
      </c>
      <c r="D15424" s="1510">
        <v>182.12</v>
      </c>
      <c r="E15424" s="1511">
        <v>0.36844873577037229</v>
      </c>
      <c r="F15424" s="1656">
        <v>7.3689747154074463E-3</v>
      </c>
      <c r="G15424" s="78"/>
      <c r="H15424" t="s">
        <v>360</v>
      </c>
      <c r="K15424" s="434"/>
    </row>
    <row r="15425" spans="1:11" ht="12.75" hidden="1" customHeight="1" outlineLevel="1" x14ac:dyDescent="0.25">
      <c r="A15425" s="1509">
        <v>0.05</v>
      </c>
      <c r="B15425" s="1505" t="s">
        <v>10705</v>
      </c>
      <c r="C15425" s="455">
        <v>40.271000000000001</v>
      </c>
      <c r="D15425" s="1513">
        <v>25.7546</v>
      </c>
      <c r="E15425" s="1514">
        <v>-0.36046783044871</v>
      </c>
      <c r="F15425" s="1659">
        <v>-1.8023391522435501E-2</v>
      </c>
      <c r="G15425" s="78"/>
      <c r="H15425" t="s">
        <v>10706</v>
      </c>
      <c r="K15425" s="434"/>
    </row>
    <row r="15426" spans="1:11" ht="12.75" hidden="1" customHeight="1" outlineLevel="1" x14ac:dyDescent="0.25">
      <c r="A15426" s="1509">
        <v>0.05</v>
      </c>
      <c r="B15426" s="1505" t="s">
        <v>3954</v>
      </c>
      <c r="C15426" s="455">
        <v>50.917000000000002</v>
      </c>
      <c r="D15426" s="1513">
        <v>62.51</v>
      </c>
      <c r="E15426" s="1514">
        <v>0.22768427047940754</v>
      </c>
      <c r="F15426" s="1659">
        <v>1.1384213523970378E-2</v>
      </c>
      <c r="G15426" s="78"/>
      <c r="H15426" t="s">
        <v>3955</v>
      </c>
      <c r="K15426" s="434"/>
    </row>
    <row r="15427" spans="1:11" ht="12.75" hidden="1" customHeight="1" outlineLevel="1" x14ac:dyDescent="0.25">
      <c r="A15427" s="1509">
        <v>0.05</v>
      </c>
      <c r="B15427" s="1505" t="s">
        <v>4055</v>
      </c>
      <c r="C15427" s="455">
        <v>79.680000000000007</v>
      </c>
      <c r="D15427" s="1513">
        <v>65.099999999999994</v>
      </c>
      <c r="E15427" s="1514">
        <v>-0.18298192771084354</v>
      </c>
      <c r="F15427" s="1659">
        <v>-9.149096385542177E-3</v>
      </c>
      <c r="G15427" s="78"/>
      <c r="H15427" t="s">
        <v>4056</v>
      </c>
      <c r="K15427" s="434"/>
    </row>
    <row r="15428" spans="1:11" ht="12.75" hidden="1" customHeight="1" outlineLevel="1" x14ac:dyDescent="0.25">
      <c r="A15428" s="1509">
        <v>0.05</v>
      </c>
      <c r="B15428" s="1505" t="s">
        <v>6267</v>
      </c>
      <c r="C15428" s="455">
        <v>26.303000000000001</v>
      </c>
      <c r="D15428" s="1513">
        <v>21.07</v>
      </c>
      <c r="E15428" s="1514">
        <v>-0.19895069003535715</v>
      </c>
      <c r="F15428" s="1659">
        <v>-9.9475345017678574E-3</v>
      </c>
      <c r="G15428" s="78"/>
      <c r="H15428" t="s">
        <v>6268</v>
      </c>
      <c r="K15428" s="434"/>
    </row>
    <row r="15429" spans="1:11" ht="12.75" hidden="1" customHeight="1" outlineLevel="1" x14ac:dyDescent="0.25">
      <c r="A15429" s="1509">
        <v>0.02</v>
      </c>
      <c r="B15429" s="1505" t="s">
        <v>4268</v>
      </c>
      <c r="C15429" s="455">
        <v>13.528</v>
      </c>
      <c r="D15429" s="1513">
        <v>14.315</v>
      </c>
      <c r="E15429" s="1514">
        <v>5.81756357185097E-2</v>
      </c>
      <c r="F15429" s="1659">
        <v>1.1635127143701941E-3</v>
      </c>
      <c r="G15429" s="78"/>
      <c r="H15429" t="s">
        <v>8442</v>
      </c>
      <c r="K15429" s="434"/>
    </row>
    <row r="15430" spans="1:11" ht="12.75" hidden="1" customHeight="1" outlineLevel="1" x14ac:dyDescent="0.25">
      <c r="A15430" s="1509">
        <v>0.02</v>
      </c>
      <c r="B15430" s="1505" t="s">
        <v>3799</v>
      </c>
      <c r="C15430" s="455">
        <v>16.186499999999999</v>
      </c>
      <c r="D15430" s="1513">
        <v>17.655999999999999</v>
      </c>
      <c r="E15430" s="1514">
        <v>9.0785531152503651E-2</v>
      </c>
      <c r="F15430" s="1659">
        <v>1.815710623050073E-3</v>
      </c>
      <c r="G15430" s="78"/>
      <c r="H15430" t="s">
        <v>4128</v>
      </c>
      <c r="K15430" s="434"/>
    </row>
    <row r="15431" spans="1:11" ht="12.75" hidden="1" customHeight="1" outlineLevel="1" x14ac:dyDescent="0.25">
      <c r="A15431" s="1509">
        <v>0.05</v>
      </c>
      <c r="B15431" s="1505" t="s">
        <v>10371</v>
      </c>
      <c r="C15431" s="455">
        <v>34.333317057052163</v>
      </c>
      <c r="D15431" s="1513">
        <v>25.91</v>
      </c>
      <c r="E15431" s="1514">
        <v>-0.24533944806600005</v>
      </c>
      <c r="F15431" s="1659">
        <v>-1.2266972403300004E-2</v>
      </c>
      <c r="G15431" s="78"/>
      <c r="H15431" t="s">
        <v>10370</v>
      </c>
      <c r="K15431" s="434"/>
    </row>
    <row r="15432" spans="1:11" ht="12.75" hidden="1" customHeight="1" outlineLevel="1" x14ac:dyDescent="0.25">
      <c r="A15432" s="1509">
        <v>0.05</v>
      </c>
      <c r="B15432" s="1505" t="s">
        <v>1772</v>
      </c>
      <c r="C15432" s="455">
        <v>164.1</v>
      </c>
      <c r="D15432" s="1513">
        <v>224.2</v>
      </c>
      <c r="E15432" s="1514">
        <v>0.36624009750152342</v>
      </c>
      <c r="F15432" s="1659">
        <v>1.8312004875076171E-2</v>
      </c>
      <c r="G15432" s="78"/>
      <c r="H15432" t="s">
        <v>4330</v>
      </c>
      <c r="K15432" s="434"/>
    </row>
    <row r="15433" spans="1:11" ht="12.75" hidden="1" customHeight="1" outlineLevel="1" x14ac:dyDescent="0.25">
      <c r="A15433" s="1509">
        <v>0.02</v>
      </c>
      <c r="B15433" s="1505" t="s">
        <v>7754</v>
      </c>
      <c r="C15433" s="455">
        <v>47.372999999999998</v>
      </c>
      <c r="D15433" s="1513">
        <v>84.47</v>
      </c>
      <c r="E15433" s="1514">
        <v>0.78308319084710698</v>
      </c>
      <c r="F15433" s="1659">
        <v>1.5661663816942138E-2</v>
      </c>
      <c r="G15433" s="78"/>
      <c r="H15433" t="s">
        <v>7751</v>
      </c>
      <c r="K15433" s="434"/>
    </row>
    <row r="15434" spans="1:11" ht="12.75" hidden="1" customHeight="1" outlineLevel="1" x14ac:dyDescent="0.25">
      <c r="A15434" s="1509">
        <v>0.05</v>
      </c>
      <c r="B15434" s="1505" t="s">
        <v>1203</v>
      </c>
      <c r="C15434" s="455">
        <v>84.534999999999997</v>
      </c>
      <c r="D15434" s="1513">
        <v>90</v>
      </c>
      <c r="E15434" s="1514">
        <v>6.4647779026438812E-2</v>
      </c>
      <c r="F15434" s="1659">
        <v>3.2323889513219406E-3</v>
      </c>
      <c r="G15434" s="78"/>
      <c r="H15434" t="s">
        <v>79</v>
      </c>
      <c r="K15434" s="434"/>
    </row>
    <row r="15435" spans="1:11" ht="12.75" hidden="1" customHeight="1" outlineLevel="1" x14ac:dyDescent="0.25">
      <c r="A15435" s="1509">
        <v>0.08</v>
      </c>
      <c r="B15435" s="1505" t="s">
        <v>3793</v>
      </c>
      <c r="C15435" s="455">
        <v>99.432000000000002</v>
      </c>
      <c r="D15435" s="1513">
        <v>98.74</v>
      </c>
      <c r="E15435" s="1514">
        <v>-6.9595301311450308E-3</v>
      </c>
      <c r="F15435" s="1659">
        <v>-5.5676241049160244E-4</v>
      </c>
      <c r="G15435" s="78"/>
      <c r="H15435" t="s">
        <v>3533</v>
      </c>
      <c r="K15435" s="434"/>
    </row>
    <row r="15436" spans="1:11" ht="12.75" hidden="1" customHeight="1" outlineLevel="1" x14ac:dyDescent="0.25">
      <c r="A15436" s="1509">
        <v>0.08</v>
      </c>
      <c r="B15436" s="1505" t="s">
        <v>2297</v>
      </c>
      <c r="C15436" s="1507">
        <v>55.197000000000003</v>
      </c>
      <c r="D15436" s="1513">
        <v>61.68</v>
      </c>
      <c r="E15436" s="1514">
        <v>0.11745203543670835</v>
      </c>
      <c r="F15436" s="1659">
        <v>9.396162834936668E-3</v>
      </c>
      <c r="G15436" s="78"/>
      <c r="H15436" t="s">
        <v>2298</v>
      </c>
      <c r="K15436" s="434"/>
    </row>
    <row r="15437" spans="1:11" ht="12.75" hidden="1" customHeight="1" outlineLevel="1" x14ac:dyDescent="0.25">
      <c r="A15437" s="1509">
        <v>0.05</v>
      </c>
      <c r="B15437" s="1505" t="s">
        <v>10667</v>
      </c>
      <c r="C15437" s="455">
        <v>19.209499999999998</v>
      </c>
      <c r="D15437" s="1513">
        <v>21.34</v>
      </c>
      <c r="E15437" s="1514">
        <v>0.11090866498347185</v>
      </c>
      <c r="F15437" s="1659">
        <v>5.545433249173593E-3</v>
      </c>
      <c r="G15437" s="78"/>
      <c r="H15437" t="s">
        <v>10668</v>
      </c>
      <c r="K15437" s="434"/>
    </row>
    <row r="15438" spans="1:11" ht="12.75" hidden="1" customHeight="1" outlineLevel="1" x14ac:dyDescent="0.25">
      <c r="A15438" s="1509">
        <v>0.05</v>
      </c>
      <c r="B15438" s="1505" t="s">
        <v>6270</v>
      </c>
      <c r="C15438" s="455">
        <v>37.686892957806378</v>
      </c>
      <c r="D15438" s="1513">
        <v>41.52</v>
      </c>
      <c r="E15438" s="1514">
        <v>0.10170928780160016</v>
      </c>
      <c r="F15438" s="1659">
        <v>5.0854643900800078E-3</v>
      </c>
      <c r="G15438" s="78"/>
      <c r="H15438" t="s">
        <v>8166</v>
      </c>
      <c r="K15438" s="434"/>
    </row>
    <row r="15439" spans="1:11" ht="12.75" hidden="1" customHeight="1" outlineLevel="1" x14ac:dyDescent="0.25">
      <c r="A15439" s="1509">
        <v>0.08</v>
      </c>
      <c r="B15439" s="1505" t="s">
        <v>3427</v>
      </c>
      <c r="C15439" s="455">
        <v>51.908999999999999</v>
      </c>
      <c r="D15439" s="1513">
        <v>71.31</v>
      </c>
      <c r="E15439" s="1514">
        <v>0.37375021672542341</v>
      </c>
      <c r="F15439" s="1659">
        <v>2.9900017338033873E-2</v>
      </c>
      <c r="G15439" s="78"/>
      <c r="H15439" t="s">
        <v>2800</v>
      </c>
      <c r="K15439" s="434"/>
    </row>
    <row r="15440" spans="1:11" ht="12.75" hidden="1" customHeight="1" outlineLevel="1" x14ac:dyDescent="0.25">
      <c r="A15440" s="1509">
        <v>0.02</v>
      </c>
      <c r="B15440" s="1505" t="s">
        <v>10538</v>
      </c>
      <c r="C15440" s="455">
        <v>12.244328997700105</v>
      </c>
      <c r="D15440" s="1513">
        <v>10.98</v>
      </c>
      <c r="E15440" s="1514">
        <v>-0.10325833272999996</v>
      </c>
      <c r="F15440" s="1659">
        <v>-2.065166654599999E-3</v>
      </c>
      <c r="G15440" s="78"/>
      <c r="H15440" t="s">
        <v>7628</v>
      </c>
      <c r="K15440" s="434"/>
    </row>
    <row r="15441" spans="1:11" ht="12.75" hidden="1" customHeight="1" outlineLevel="1" x14ac:dyDescent="0.25">
      <c r="A15441" s="1509">
        <v>0.08</v>
      </c>
      <c r="B15441" s="1505" t="s">
        <v>6118</v>
      </c>
      <c r="C15441" s="455">
        <v>85.385000000000005</v>
      </c>
      <c r="D15441" s="1513">
        <v>73.98</v>
      </c>
      <c r="E15441" s="1514">
        <v>-0.13357147039878203</v>
      </c>
      <c r="F15441" s="1659">
        <v>-1.0685717631902562E-2</v>
      </c>
      <c r="G15441" s="78"/>
      <c r="H15441" t="s">
        <v>8893</v>
      </c>
      <c r="K15441" s="434"/>
    </row>
    <row r="15442" spans="1:11" ht="12.75" hidden="1" customHeight="1" outlineLevel="1" x14ac:dyDescent="0.25">
      <c r="A15442" s="1509">
        <v>0.08</v>
      </c>
      <c r="B15442" s="1505" t="s">
        <v>1239</v>
      </c>
      <c r="C15442" s="455">
        <v>469.09</v>
      </c>
      <c r="D15442" s="1513">
        <v>527.4</v>
      </c>
      <c r="E15442" s="1514">
        <v>0.12430450446609398</v>
      </c>
      <c r="F15442" s="1659">
        <v>9.9443603572875183E-3</v>
      </c>
      <c r="G15442" s="78"/>
      <c r="H15442" t="s">
        <v>8891</v>
      </c>
      <c r="K15442" s="434"/>
    </row>
    <row r="15443" spans="1:11" ht="12.75" hidden="1" customHeight="1" outlineLevel="1" x14ac:dyDescent="0.25">
      <c r="A15443" s="1509">
        <v>0.05</v>
      </c>
      <c r="B15443" s="1506" t="s">
        <v>255</v>
      </c>
      <c r="C15443" s="455">
        <v>51.912999999999997</v>
      </c>
      <c r="D15443" s="1516">
        <v>50.75</v>
      </c>
      <c r="E15443" s="1514">
        <v>-2.2402866334058857E-2</v>
      </c>
      <c r="F15443" s="1659">
        <v>-1.1201433167029428E-3</v>
      </c>
      <c r="G15443" s="78"/>
      <c r="H15443" t="s">
        <v>3351</v>
      </c>
      <c r="K15443" s="434"/>
    </row>
    <row r="15444" spans="1:11" ht="12.75" hidden="1" customHeight="1" outlineLevel="1" x14ac:dyDescent="0.25">
      <c r="A15444" s="1522" t="s">
        <v>2734</v>
      </c>
      <c r="B15444" s="1523"/>
      <c r="C15444" s="1524"/>
      <c r="D15444" s="1525"/>
      <c r="E15444" s="1526"/>
      <c r="F15444" s="1656">
        <v>5.3100000000000001E-2</v>
      </c>
      <c r="G15444" s="78"/>
    </row>
    <row r="15445" spans="1:11" ht="12.75" hidden="1" customHeight="1" outlineLevel="1" x14ac:dyDescent="0.25">
      <c r="A15445" s="1503" t="s">
        <v>8189</v>
      </c>
      <c r="B15445" s="1504">
        <v>44197</v>
      </c>
      <c r="C15445" s="1527">
        <v>100</v>
      </c>
      <c r="D15445" s="1527">
        <v>96.504499999999993</v>
      </c>
      <c r="E15445" s="1528">
        <v>-3.4955000000000069E-2</v>
      </c>
      <c r="F15445" s="1839"/>
      <c r="G15445" s="78"/>
    </row>
    <row r="15446" spans="1:11" ht="12.75" hidden="1" customHeight="1" outlineLevel="1" x14ac:dyDescent="0.25">
      <c r="A15446" s="1503" t="s">
        <v>8190</v>
      </c>
      <c r="B15446" s="1504">
        <v>44228</v>
      </c>
      <c r="C15446" s="1527">
        <v>100</v>
      </c>
      <c r="D15446" s="1530">
        <v>98.846800000000002</v>
      </c>
      <c r="E15446" s="1528">
        <v>-1.1531999999999987E-2</v>
      </c>
      <c r="F15446" s="1839"/>
      <c r="G15446" s="78"/>
    </row>
    <row r="15447" spans="1:11" ht="12.75" hidden="1" customHeight="1" outlineLevel="1" x14ac:dyDescent="0.25">
      <c r="A15447" s="1503" t="s">
        <v>8191</v>
      </c>
      <c r="B15447" s="1504">
        <v>44256</v>
      </c>
      <c r="C15447" s="1527">
        <v>100</v>
      </c>
      <c r="D15447" s="1530">
        <v>105.6207</v>
      </c>
      <c r="E15447" s="1528">
        <v>5.6206999999999896E-2</v>
      </c>
      <c r="F15447" s="1839"/>
      <c r="G15447" s="78"/>
    </row>
    <row r="15448" spans="1:11" ht="12.75" hidden="1" customHeight="1" outlineLevel="1" x14ac:dyDescent="0.25">
      <c r="A15448" s="1503" t="s">
        <v>8192</v>
      </c>
      <c r="B15448" s="1504">
        <v>44287</v>
      </c>
      <c r="C15448" s="1527">
        <v>100</v>
      </c>
      <c r="D15448" s="1530">
        <v>106.5471</v>
      </c>
      <c r="E15448" s="1528">
        <v>6.5471000000000057E-2</v>
      </c>
      <c r="F15448" s="1839"/>
      <c r="G15448" s="78"/>
    </row>
    <row r="15449" spans="1:11" ht="12.75" hidden="1" customHeight="1" outlineLevel="1" x14ac:dyDescent="0.25">
      <c r="A15449" s="1503" t="s">
        <v>8193</v>
      </c>
      <c r="B15449" s="1504">
        <v>44317</v>
      </c>
      <c r="C15449" s="1527">
        <v>100</v>
      </c>
      <c r="D15449" s="1530">
        <v>107.53959999999999</v>
      </c>
      <c r="E15449" s="1528">
        <v>7.5396000000000019E-2</v>
      </c>
      <c r="F15449" s="1839"/>
      <c r="G15449" s="78"/>
    </row>
    <row r="15450" spans="1:11" ht="12.75" hidden="1" customHeight="1" outlineLevel="1" x14ac:dyDescent="0.25">
      <c r="A15450" s="1503" t="s">
        <v>8194</v>
      </c>
      <c r="B15450" s="1504">
        <v>44348</v>
      </c>
      <c r="C15450" s="1527">
        <v>100</v>
      </c>
      <c r="D15450" s="1530">
        <v>108.2449</v>
      </c>
      <c r="E15450" s="1528">
        <v>8.2448999999999995E-2</v>
      </c>
      <c r="F15450" s="1839"/>
      <c r="G15450" s="78"/>
    </row>
    <row r="15451" spans="1:11" ht="12.75" hidden="1" customHeight="1" outlineLevel="1" x14ac:dyDescent="0.25">
      <c r="A15451" s="1503" t="s">
        <v>8195</v>
      </c>
      <c r="B15451" s="1504">
        <v>44378</v>
      </c>
      <c r="C15451" s="1527">
        <v>100</v>
      </c>
      <c r="D15451" s="1530">
        <v>110.18040000000001</v>
      </c>
      <c r="E15451" s="1528">
        <v>0.10180400000000001</v>
      </c>
      <c r="F15451" s="1839"/>
      <c r="G15451" s="78"/>
    </row>
    <row r="15452" spans="1:11" ht="12.75" hidden="1" customHeight="1" outlineLevel="1" x14ac:dyDescent="0.25">
      <c r="A15452" s="1503" t="s">
        <v>8196</v>
      </c>
      <c r="B15452" s="1504">
        <v>44409</v>
      </c>
      <c r="C15452" s="1527">
        <v>100</v>
      </c>
      <c r="D15452" s="1530">
        <v>112.07389999999999</v>
      </c>
      <c r="E15452" s="1528">
        <v>0.12073899999999993</v>
      </c>
      <c r="F15452" s="1839"/>
      <c r="G15452" s="78"/>
    </row>
    <row r="15453" spans="1:11" ht="12.75" hidden="1" customHeight="1" outlineLevel="1" x14ac:dyDescent="0.25">
      <c r="A15453" s="1503" t="s">
        <v>8197</v>
      </c>
      <c r="B15453" s="1504">
        <v>44440</v>
      </c>
      <c r="C15453" s="1527">
        <v>100</v>
      </c>
      <c r="D15453" s="1530">
        <v>109.47929999999999</v>
      </c>
      <c r="E15453" s="1528">
        <v>9.4792999999999905E-2</v>
      </c>
      <c r="F15453" s="1839"/>
      <c r="G15453" s="78"/>
    </row>
    <row r="15454" spans="1:11" ht="12.75" hidden="1" customHeight="1" outlineLevel="1" x14ac:dyDescent="0.25">
      <c r="A15454" s="1503" t="s">
        <v>8198</v>
      </c>
      <c r="B15454" s="1504">
        <v>44470</v>
      </c>
      <c r="C15454" s="1527">
        <v>100</v>
      </c>
      <c r="D15454" s="1530">
        <v>110.7694</v>
      </c>
      <c r="E15454" s="1528">
        <v>0.10769399999999996</v>
      </c>
      <c r="F15454" s="1839"/>
      <c r="G15454" s="78"/>
    </row>
    <row r="15455" spans="1:11" ht="12.75" hidden="1" customHeight="1" outlineLevel="1" x14ac:dyDescent="0.25">
      <c r="A15455" s="1503" t="s">
        <v>8199</v>
      </c>
      <c r="B15455" s="1504">
        <v>44501</v>
      </c>
      <c r="C15455" s="1527">
        <v>100</v>
      </c>
      <c r="D15455" s="1530">
        <v>107.1793</v>
      </c>
      <c r="E15455" s="1528">
        <v>7.1792999999999996E-2</v>
      </c>
      <c r="F15455" s="1839"/>
      <c r="G15455" s="78"/>
    </row>
    <row r="15456" spans="1:11" ht="12.75" hidden="1" customHeight="1" outlineLevel="1" x14ac:dyDescent="0.25">
      <c r="A15456" s="1503" t="s">
        <v>8200</v>
      </c>
      <c r="B15456" s="1504">
        <v>44531</v>
      </c>
      <c r="C15456" s="1527">
        <v>100</v>
      </c>
      <c r="D15456" s="1530">
        <v>112.8015</v>
      </c>
      <c r="E15456" s="1528">
        <v>0.12801499999999999</v>
      </c>
      <c r="F15456" s="1839"/>
      <c r="G15456" s="78"/>
    </row>
    <row r="15457" spans="1:11" ht="12.75" hidden="1" customHeight="1" outlineLevel="1" x14ac:dyDescent="0.25">
      <c r="A15457" s="1503" t="s">
        <v>8201</v>
      </c>
      <c r="B15457" s="1504">
        <v>44562</v>
      </c>
      <c r="C15457" s="1527">
        <v>100</v>
      </c>
      <c r="D15457" s="1530">
        <v>117.1225</v>
      </c>
      <c r="E15457" s="1528">
        <v>0.17122499999999996</v>
      </c>
      <c r="F15457" s="1839"/>
      <c r="G15457" s="78"/>
    </row>
    <row r="15458" spans="1:11" ht="12.75" hidden="1" customHeight="1" outlineLevel="1" x14ac:dyDescent="0.25">
      <c r="A15458" s="1503" t="s">
        <v>8202</v>
      </c>
      <c r="B15458" s="1504">
        <v>44593</v>
      </c>
      <c r="C15458" s="1527">
        <v>100</v>
      </c>
      <c r="D15458" s="1530">
        <v>112.4037</v>
      </c>
      <c r="E15458" s="1528">
        <v>0.12403699999999995</v>
      </c>
      <c r="F15458" s="1839"/>
      <c r="G15458" s="78"/>
    </row>
    <row r="15459" spans="1:11" ht="12.75" hidden="1" customHeight="1" outlineLevel="1" x14ac:dyDescent="0.25">
      <c r="A15459" s="1503" t="s">
        <v>8203</v>
      </c>
      <c r="B15459" s="1504">
        <v>44621</v>
      </c>
      <c r="C15459" s="1527">
        <v>100</v>
      </c>
      <c r="D15459" s="1530">
        <v>113.4863</v>
      </c>
      <c r="E15459" s="1528">
        <v>0.13486299999999996</v>
      </c>
      <c r="F15459" s="1839"/>
      <c r="G15459" s="78"/>
    </row>
    <row r="15460" spans="1:11" ht="12.75" hidden="1" customHeight="1" outlineLevel="1" x14ac:dyDescent="0.25">
      <c r="A15460" s="1503" t="s">
        <v>8204</v>
      </c>
      <c r="B15460" s="1504">
        <v>44652</v>
      </c>
      <c r="C15460" s="1527">
        <v>100</v>
      </c>
      <c r="D15460" s="1530">
        <v>112.4675</v>
      </c>
      <c r="E15460" s="1528">
        <v>0.12467500000000009</v>
      </c>
      <c r="F15460" s="1839"/>
      <c r="G15460" s="78"/>
    </row>
    <row r="15461" spans="1:11" ht="12.75" hidden="1" customHeight="1" outlineLevel="1" x14ac:dyDescent="0.25">
      <c r="A15461" s="1503" t="s">
        <v>8205</v>
      </c>
      <c r="B15461" s="1504">
        <v>44682</v>
      </c>
      <c r="C15461" s="1527">
        <v>100</v>
      </c>
      <c r="D15461" s="1530">
        <v>113.06870000000001</v>
      </c>
      <c r="E15461" s="1528">
        <v>0.130687</v>
      </c>
      <c r="F15461" s="1839"/>
      <c r="G15461" s="78"/>
    </row>
    <row r="15462" spans="1:11" ht="12.75" hidden="1" customHeight="1" outlineLevel="1" x14ac:dyDescent="0.25">
      <c r="A15462" s="1503" t="s">
        <v>8206</v>
      </c>
      <c r="B15462" s="1504">
        <v>44713</v>
      </c>
      <c r="C15462" s="1527">
        <v>100</v>
      </c>
      <c r="D15462" s="1530">
        <v>105.3073</v>
      </c>
      <c r="E15462" s="1528">
        <v>5.3072999999999926E-2</v>
      </c>
      <c r="F15462" s="1839"/>
      <c r="G15462" s="78"/>
    </row>
    <row r="15463" spans="1:11" ht="12.75" hidden="1" customHeight="1" outlineLevel="1" x14ac:dyDescent="0.25">
      <c r="A15463" s="1531" t="s">
        <v>2734</v>
      </c>
      <c r="B15463" s="1532"/>
      <c r="C15463" s="1530"/>
      <c r="D15463" s="1533" t="s">
        <v>2465</v>
      </c>
      <c r="E15463" s="1534">
        <v>8.8690777777777743E-2</v>
      </c>
      <c r="F15463" s="1840">
        <v>8.8690777777777743E-2</v>
      </c>
      <c r="G15463" s="78"/>
    </row>
    <row r="15464" spans="1:11" collapsed="1" x14ac:dyDescent="0.25">
      <c r="A15464" s="3801" t="s">
        <v>8171</v>
      </c>
      <c r="B15464" s="3802"/>
      <c r="C15464" s="3802"/>
      <c r="D15464" s="3802"/>
      <c r="E15464" s="1906"/>
      <c r="F15464" s="1907">
        <v>8.8690777777777743E-2</v>
      </c>
      <c r="G15464" s="78"/>
    </row>
    <row r="15466" spans="1:11" ht="12.75" hidden="1" customHeight="1" outlineLevel="1" x14ac:dyDescent="0.25">
      <c r="A15466" s="3237" t="s">
        <v>113</v>
      </c>
      <c r="B15466" s="3237" t="s">
        <v>114</v>
      </c>
      <c r="C15466" s="3237" t="s">
        <v>112</v>
      </c>
      <c r="D15466" s="3237" t="s">
        <v>116</v>
      </c>
      <c r="E15466" s="3237" t="s">
        <v>117</v>
      </c>
      <c r="F15466" s="3276" t="s">
        <v>121</v>
      </c>
      <c r="G15466" s="78"/>
    </row>
    <row r="15467" spans="1:11" ht="12.75" hidden="1" customHeight="1" outlineLevel="1" x14ac:dyDescent="0.25">
      <c r="A15467" s="3238">
        <v>1</v>
      </c>
      <c r="B15467" s="3239" t="s">
        <v>252</v>
      </c>
      <c r="C15467" s="3240">
        <v>100</v>
      </c>
      <c r="D15467" s="3240"/>
      <c r="E15467" s="3241"/>
      <c r="F15467" s="3242"/>
      <c r="G15467" s="78"/>
    </row>
    <row r="15468" spans="1:11" ht="12.75" hidden="1" customHeight="1" outlineLevel="1" x14ac:dyDescent="0.25">
      <c r="A15468" s="3243" t="s">
        <v>2734</v>
      </c>
      <c r="B15468" s="3243"/>
      <c r="C15468" s="3244"/>
      <c r="D15468" s="1900" t="s">
        <v>3702</v>
      </c>
      <c r="E15468" s="3245">
        <v>44742</v>
      </c>
      <c r="F15468" s="3246"/>
      <c r="G15468" s="78"/>
    </row>
    <row r="15469" spans="1:11" ht="12.75" hidden="1" customHeight="1" outlineLevel="1" x14ac:dyDescent="0.25">
      <c r="A15469" s="3237" t="s">
        <v>4156</v>
      </c>
      <c r="B15469" s="3237" t="s">
        <v>4153</v>
      </c>
      <c r="C15469" s="3247" t="s">
        <v>112</v>
      </c>
      <c r="D15469" s="3248" t="s">
        <v>4155</v>
      </c>
      <c r="E15469" s="3237" t="s">
        <v>4154</v>
      </c>
      <c r="F15469" s="3277" t="s">
        <v>2519</v>
      </c>
      <c r="G15469" s="78"/>
    </row>
    <row r="15470" spans="1:11" ht="12.75" hidden="1" customHeight="1" outlineLevel="1" x14ac:dyDescent="0.25">
      <c r="A15470" s="1991">
        <v>0.02</v>
      </c>
      <c r="B15470" s="1921" t="s">
        <v>7111</v>
      </c>
      <c r="C15470" s="2108">
        <v>63.509</v>
      </c>
      <c r="D15470" s="3194">
        <v>153.16</v>
      </c>
      <c r="E15470" s="3195">
        <v>1.411626698578154</v>
      </c>
      <c r="F15470" s="3193">
        <v>2.8232533971563081E-2</v>
      </c>
      <c r="G15470" s="78"/>
      <c r="H15470" t="s">
        <v>7109</v>
      </c>
      <c r="K15470" s="434"/>
    </row>
    <row r="15471" spans="1:11" ht="12.75" hidden="1" customHeight="1" outlineLevel="1" x14ac:dyDescent="0.25">
      <c r="A15471" s="2380">
        <v>0.02</v>
      </c>
      <c r="B15471" s="1921" t="s">
        <v>6551</v>
      </c>
      <c r="C15471" s="2108">
        <v>27.625</v>
      </c>
      <c r="D15471" s="3196">
        <v>136.72</v>
      </c>
      <c r="E15471" s="3197">
        <v>3.9491402714932127</v>
      </c>
      <c r="F15471" s="3198">
        <v>7.8982805429864258E-2</v>
      </c>
      <c r="G15471" s="78"/>
      <c r="H15471" t="s">
        <v>6550</v>
      </c>
      <c r="K15471" s="434"/>
    </row>
    <row r="15472" spans="1:11" ht="12.75" hidden="1" customHeight="1" outlineLevel="1" x14ac:dyDescent="0.25">
      <c r="A15472" s="2380">
        <v>0.04</v>
      </c>
      <c r="B15472" s="1921" t="s">
        <v>7833</v>
      </c>
      <c r="C15472" s="2108">
        <v>12.256</v>
      </c>
      <c r="D15472" s="3196">
        <v>34.39</v>
      </c>
      <c r="E15472" s="3197">
        <v>1.8059725848563968</v>
      </c>
      <c r="F15472" s="3198">
        <v>7.2238903394255871E-2</v>
      </c>
      <c r="G15472" s="78"/>
      <c r="H15472" t="s">
        <v>7825</v>
      </c>
      <c r="K15472" s="434"/>
    </row>
    <row r="15473" spans="1:11" ht="12.75" hidden="1" customHeight="1" outlineLevel="1" x14ac:dyDescent="0.25">
      <c r="A15473" s="2380">
        <v>0.04</v>
      </c>
      <c r="B15473" s="1921" t="s">
        <v>10705</v>
      </c>
      <c r="C15473" s="2108">
        <v>30.996245939267059</v>
      </c>
      <c r="D15473" s="3196">
        <v>25.7546</v>
      </c>
      <c r="E15473" s="3197">
        <v>-0.16910583138155999</v>
      </c>
      <c r="F15473" s="3198">
        <v>-6.7642332552623995E-3</v>
      </c>
      <c r="G15473" s="78"/>
      <c r="H15473" t="s">
        <v>10706</v>
      </c>
      <c r="K15473" s="434"/>
    </row>
    <row r="15474" spans="1:11" ht="12.75" hidden="1" customHeight="1" outlineLevel="1" x14ac:dyDescent="0.25">
      <c r="A15474" s="2380">
        <v>0.02</v>
      </c>
      <c r="B15474" s="1921" t="s">
        <v>873</v>
      </c>
      <c r="C15474" s="2108">
        <v>1.6981999999999999</v>
      </c>
      <c r="D15474" s="3196">
        <v>1.5312000000000001</v>
      </c>
      <c r="E15474" s="3197">
        <v>-9.8339418207513685E-2</v>
      </c>
      <c r="F15474" s="3198">
        <v>-1.9667883641502739E-3</v>
      </c>
      <c r="G15474" s="78"/>
      <c r="H15474" t="s">
        <v>3495</v>
      </c>
      <c r="K15474" s="434"/>
    </row>
    <row r="15475" spans="1:11" ht="12.75" hidden="1" customHeight="1" outlineLevel="1" x14ac:dyDescent="0.25">
      <c r="A15475" s="2380">
        <v>0.04</v>
      </c>
      <c r="B15475" s="1921" t="s">
        <v>7835</v>
      </c>
      <c r="C15475" s="2108">
        <v>91.429310386380635</v>
      </c>
      <c r="D15475" s="3196">
        <v>56.72</v>
      </c>
      <c r="E15475" s="3197">
        <v>-0.37963001404800001</v>
      </c>
      <c r="F15475" s="3198">
        <v>-1.5185200561920001E-2</v>
      </c>
      <c r="G15475" s="78"/>
      <c r="H15475" t="s">
        <v>5541</v>
      </c>
      <c r="K15475" s="434"/>
    </row>
    <row r="15476" spans="1:11" ht="12.75" hidden="1" customHeight="1" outlineLevel="1" x14ac:dyDescent="0.25">
      <c r="A15476" s="2380">
        <v>7.0000000000000007E-2</v>
      </c>
      <c r="B15476" s="1921" t="s">
        <v>335</v>
      </c>
      <c r="C15476" s="2108">
        <v>57.803746200675377</v>
      </c>
      <c r="D15476" s="3196">
        <v>101.65</v>
      </c>
      <c r="E15476" s="3197">
        <v>0.75853654271999993</v>
      </c>
      <c r="F15476" s="3198">
        <v>5.3097557990400002E-2</v>
      </c>
      <c r="G15476" s="78"/>
      <c r="H15476" t="s">
        <v>8885</v>
      </c>
      <c r="K15476" s="434"/>
    </row>
    <row r="15477" spans="1:11" ht="12.75" hidden="1" customHeight="1" outlineLevel="1" x14ac:dyDescent="0.25">
      <c r="A15477" s="2380">
        <v>0.08</v>
      </c>
      <c r="B15477" s="1921" t="s">
        <v>1212</v>
      </c>
      <c r="C15477" s="2108">
        <v>12.623083440140647</v>
      </c>
      <c r="D15477" s="3196">
        <v>5.42</v>
      </c>
      <c r="E15477" s="3197">
        <v>-0.57062788773424999</v>
      </c>
      <c r="F15477" s="3198">
        <v>-4.5650231018740002E-2</v>
      </c>
      <c r="G15477" s="78"/>
      <c r="H15477" t="s">
        <v>8879</v>
      </c>
      <c r="K15477" s="434"/>
    </row>
    <row r="15478" spans="1:11" ht="12.75" hidden="1" customHeight="1" outlineLevel="1" x14ac:dyDescent="0.25">
      <c r="A15478" s="2380">
        <v>0.08</v>
      </c>
      <c r="B15478" s="1921" t="s">
        <v>10672</v>
      </c>
      <c r="C15478" s="2108">
        <v>51.587470170343373</v>
      </c>
      <c r="D15478" s="3196">
        <v>55.22</v>
      </c>
      <c r="E15478" s="3197">
        <v>7.0414963510749828E-2</v>
      </c>
      <c r="F15478" s="3198">
        <v>5.6331970808599866E-3</v>
      </c>
      <c r="G15478" s="78"/>
      <c r="H15478" t="s">
        <v>10674</v>
      </c>
      <c r="K15478" s="434"/>
    </row>
    <row r="15479" spans="1:11" ht="12.75" hidden="1" customHeight="1" outlineLevel="1" x14ac:dyDescent="0.25">
      <c r="A15479" s="2380">
        <v>0.03</v>
      </c>
      <c r="B15479" s="1921" t="s">
        <v>6447</v>
      </c>
      <c r="C15479" s="2108">
        <v>9.3106826913923051</v>
      </c>
      <c r="D15479" s="3196">
        <v>3.6660000000000004</v>
      </c>
      <c r="E15479" s="3197">
        <v>-0.60625873295099986</v>
      </c>
      <c r="F15479" s="3198">
        <v>-1.8187761988529994E-2</v>
      </c>
      <c r="G15479" s="78"/>
      <c r="H15479" t="s">
        <v>6445</v>
      </c>
      <c r="K15479" s="434"/>
    </row>
    <row r="15480" spans="1:11" ht="12.75" hidden="1" customHeight="1" outlineLevel="1" x14ac:dyDescent="0.25">
      <c r="A15480" s="2380">
        <v>0.02</v>
      </c>
      <c r="B15480" s="1921" t="s">
        <v>3425</v>
      </c>
      <c r="C15480" s="2108">
        <v>85.177000000000007</v>
      </c>
      <c r="D15480" s="3196">
        <v>85.64</v>
      </c>
      <c r="E15480" s="3197">
        <v>5.4357396949880066E-3</v>
      </c>
      <c r="F15480" s="3198">
        <v>1.0871479389976013E-4</v>
      </c>
      <c r="G15480" s="78"/>
      <c r="H15480" t="s">
        <v>4126</v>
      </c>
      <c r="K15480" s="434"/>
    </row>
    <row r="15481" spans="1:11" ht="12.75" hidden="1" customHeight="1" outlineLevel="1" x14ac:dyDescent="0.25">
      <c r="A15481" s="2380">
        <v>0.03</v>
      </c>
      <c r="B15481" s="1921" t="s">
        <v>3799</v>
      </c>
      <c r="C15481" s="2108">
        <v>16.186499999999999</v>
      </c>
      <c r="D15481" s="3196">
        <v>17.655999999999999</v>
      </c>
      <c r="E15481" s="3197">
        <v>9.0785531152503651E-2</v>
      </c>
      <c r="F15481" s="3198">
        <v>2.7235659345751094E-3</v>
      </c>
      <c r="G15481" s="78"/>
      <c r="H15481" t="s">
        <v>4128</v>
      </c>
      <c r="K15481" s="434"/>
    </row>
    <row r="15482" spans="1:11" ht="12.75" hidden="1" customHeight="1" outlineLevel="1" x14ac:dyDescent="0.25">
      <c r="A15482" s="2380">
        <v>0.02</v>
      </c>
      <c r="B15482" s="1921" t="s">
        <v>7837</v>
      </c>
      <c r="C15482" s="2519">
        <v>108.51199444383865</v>
      </c>
      <c r="D15482" s="3196">
        <v>173.88</v>
      </c>
      <c r="E15482" s="3197">
        <v>0.60240350286799993</v>
      </c>
      <c r="F15482" s="3198">
        <v>1.204807005736E-2</v>
      </c>
      <c r="G15482" s="78"/>
      <c r="H15482" t="s">
        <v>7828</v>
      </c>
      <c r="K15482" s="434"/>
    </row>
    <row r="15483" spans="1:11" ht="12.75" hidden="1" customHeight="1" outlineLevel="1" x14ac:dyDescent="0.25">
      <c r="A15483" s="2380">
        <v>0.08</v>
      </c>
      <c r="B15483" s="1921" t="s">
        <v>1771</v>
      </c>
      <c r="C15483" s="2108">
        <v>5.7291999999999996</v>
      </c>
      <c r="D15483" s="3196">
        <v>5.3559999999999999</v>
      </c>
      <c r="E15483" s="3197">
        <v>-6.5139984640089299E-2</v>
      </c>
      <c r="F15483" s="3198">
        <v>-5.2111987712071444E-3</v>
      </c>
      <c r="G15483" s="78"/>
      <c r="H15483" t="s">
        <v>4329</v>
      </c>
      <c r="K15483" s="434"/>
    </row>
    <row r="15484" spans="1:11" ht="12.75" hidden="1" customHeight="1" outlineLevel="1" x14ac:dyDescent="0.25">
      <c r="A15484" s="2380">
        <v>0.02</v>
      </c>
      <c r="B15484" s="1921" t="s">
        <v>1343</v>
      </c>
      <c r="C15484" s="2108">
        <v>39.4895</v>
      </c>
      <c r="D15484" s="3196">
        <v>18.36</v>
      </c>
      <c r="E15484" s="3197">
        <v>-0.53506628344243401</v>
      </c>
      <c r="F15484" s="3198">
        <v>-1.0701325668848681E-2</v>
      </c>
      <c r="G15484" s="78"/>
      <c r="H15484" t="s">
        <v>7747</v>
      </c>
      <c r="K15484" s="434"/>
    </row>
    <row r="15485" spans="1:11" ht="12.75" hidden="1" customHeight="1" outlineLevel="1" x14ac:dyDescent="0.25">
      <c r="A15485" s="2380">
        <v>0.05</v>
      </c>
      <c r="B15485" s="1921" t="s">
        <v>8208</v>
      </c>
      <c r="C15485" s="2108">
        <v>2.5684741080882634</v>
      </c>
      <c r="D15485" s="3196">
        <v>1.0762</v>
      </c>
      <c r="E15485" s="3197">
        <v>-0.58099636020819201</v>
      </c>
      <c r="F15485" s="3198">
        <v>-2.9049818010409602E-2</v>
      </c>
      <c r="G15485" s="78"/>
      <c r="H15485" t="s">
        <v>8209</v>
      </c>
      <c r="K15485" s="434"/>
    </row>
    <row r="15486" spans="1:11" ht="12.75" hidden="1" customHeight="1" outlineLevel="1" x14ac:dyDescent="0.25">
      <c r="A15486" s="2380">
        <v>0.02</v>
      </c>
      <c r="B15486" s="1921" t="s">
        <v>7838</v>
      </c>
      <c r="C15486" s="2108">
        <v>39.246476520509901</v>
      </c>
      <c r="D15486" s="3196">
        <v>62.79</v>
      </c>
      <c r="E15486" s="3197">
        <v>0.5998888452365001</v>
      </c>
      <c r="F15486" s="3198">
        <v>1.1997776904730003E-2</v>
      </c>
      <c r="G15486" s="78"/>
      <c r="H15486" t="s">
        <v>7829</v>
      </c>
      <c r="K15486" s="434"/>
    </row>
    <row r="15487" spans="1:11" ht="12.75" hidden="1" customHeight="1" outlineLevel="1" x14ac:dyDescent="0.25">
      <c r="A15487" s="2380">
        <v>0.02</v>
      </c>
      <c r="B15487" s="1921" t="s">
        <v>1002</v>
      </c>
      <c r="C15487" s="2108">
        <v>39.945</v>
      </c>
      <c r="D15487" s="3196">
        <v>69.87</v>
      </c>
      <c r="E15487" s="3197">
        <v>0.74915508824633892</v>
      </c>
      <c r="F15487" s="3198">
        <v>1.4983101764926779E-2</v>
      </c>
      <c r="G15487" s="78"/>
      <c r="H15487" t="s">
        <v>6557</v>
      </c>
      <c r="K15487" s="434"/>
    </row>
    <row r="15488" spans="1:11" ht="12.75" hidden="1" customHeight="1" outlineLevel="1" x14ac:dyDescent="0.25">
      <c r="A15488" s="2380">
        <v>0.08</v>
      </c>
      <c r="B15488" s="1921" t="s">
        <v>5824</v>
      </c>
      <c r="C15488" s="2108">
        <v>13.129588716992354</v>
      </c>
      <c r="D15488" s="3196">
        <v>11.22</v>
      </c>
      <c r="E15488" s="3197">
        <v>-0.14544162487900003</v>
      </c>
      <c r="F15488" s="3198">
        <v>-1.1635329990320003E-2</v>
      </c>
      <c r="G15488" s="78"/>
      <c r="H15488" t="s">
        <v>5817</v>
      </c>
      <c r="K15488" s="434"/>
    </row>
    <row r="15489" spans="1:11" ht="12.75" hidden="1" customHeight="1" outlineLevel="1" x14ac:dyDescent="0.25">
      <c r="A15489" s="2380">
        <v>0.02</v>
      </c>
      <c r="B15489" s="1921" t="s">
        <v>1414</v>
      </c>
      <c r="C15489" s="2108">
        <v>32.297622174932442</v>
      </c>
      <c r="D15489" s="3196">
        <v>52.43</v>
      </c>
      <c r="E15489" s="3197">
        <v>0.62333931940949983</v>
      </c>
      <c r="F15489" s="3198">
        <v>1.2466786388189996E-2</v>
      </c>
      <c r="G15489" s="78"/>
      <c r="H15489" t="s">
        <v>2428</v>
      </c>
      <c r="K15489" s="434"/>
    </row>
    <row r="15490" spans="1:11" ht="12.75" hidden="1" customHeight="1" outlineLevel="1" x14ac:dyDescent="0.25">
      <c r="A15490" s="2380">
        <v>0.03</v>
      </c>
      <c r="B15490" s="1921" t="s">
        <v>309</v>
      </c>
      <c r="C15490" s="2108">
        <v>11.376123930565807</v>
      </c>
      <c r="D15490" s="3196">
        <v>10.16</v>
      </c>
      <c r="E15490" s="3197">
        <v>-0.10690143127733331</v>
      </c>
      <c r="F15490" s="3198">
        <v>-3.2070429383199992E-3</v>
      </c>
      <c r="G15490" s="78"/>
      <c r="H15490" t="s">
        <v>305</v>
      </c>
      <c r="K15490" s="434"/>
    </row>
    <row r="15491" spans="1:11" ht="12.75" hidden="1" customHeight="1" outlineLevel="1" x14ac:dyDescent="0.25">
      <c r="A15491" s="2380">
        <v>0.02</v>
      </c>
      <c r="B15491" s="1921" t="s">
        <v>818</v>
      </c>
      <c r="C15491" s="2108">
        <v>67.018000000000001</v>
      </c>
      <c r="D15491" s="3196">
        <v>46.66</v>
      </c>
      <c r="E15491" s="3197">
        <v>-0.30376913664985528</v>
      </c>
      <c r="F15491" s="3198">
        <v>-6.0753827329971056E-3</v>
      </c>
      <c r="G15491" s="78"/>
      <c r="H15491" t="s">
        <v>2421</v>
      </c>
      <c r="K15491" s="434"/>
    </row>
    <row r="15492" spans="1:11" ht="12.75" hidden="1" customHeight="1" outlineLevel="1" x14ac:dyDescent="0.25">
      <c r="A15492" s="2380">
        <v>0.02</v>
      </c>
      <c r="B15492" s="1921" t="s">
        <v>6559</v>
      </c>
      <c r="C15492" s="2108">
        <v>62.3</v>
      </c>
      <c r="D15492" s="3196">
        <v>127.74</v>
      </c>
      <c r="E15492" s="3197">
        <v>1.0504012841091495</v>
      </c>
      <c r="F15492" s="3198">
        <v>2.100802568218299E-2</v>
      </c>
      <c r="G15492" s="78"/>
      <c r="H15492" t="s">
        <v>6558</v>
      </c>
      <c r="K15492" s="434"/>
    </row>
    <row r="15493" spans="1:11" ht="12.75" hidden="1" customHeight="1" outlineLevel="1" x14ac:dyDescent="0.25">
      <c r="A15493" s="2380">
        <v>0.03</v>
      </c>
      <c r="B15493" s="1921" t="s">
        <v>3800</v>
      </c>
      <c r="C15493" s="2108">
        <v>240.96</v>
      </c>
      <c r="D15493" s="3196">
        <v>318.55</v>
      </c>
      <c r="E15493" s="3197">
        <v>0.32200365205843284</v>
      </c>
      <c r="F15493" s="3198">
        <v>9.6601095617529845E-3</v>
      </c>
      <c r="G15493" s="78"/>
      <c r="H15493" t="s">
        <v>8876</v>
      </c>
      <c r="K15493" s="434"/>
    </row>
    <row r="15494" spans="1:11" ht="12.75" hidden="1" customHeight="1" outlineLevel="1" x14ac:dyDescent="0.25">
      <c r="A15494" s="2380">
        <v>0.02</v>
      </c>
      <c r="B15494" s="1921" t="s">
        <v>1206</v>
      </c>
      <c r="C15494" s="2108">
        <v>78.968000000000004</v>
      </c>
      <c r="D15494" s="3196">
        <v>86.93</v>
      </c>
      <c r="E15494" s="3197">
        <v>0.1008256508965657</v>
      </c>
      <c r="F15494" s="3198">
        <v>2.0165130179313141E-3</v>
      </c>
      <c r="G15494" s="78"/>
      <c r="H15494" t="s">
        <v>3484</v>
      </c>
      <c r="K15494" s="434"/>
    </row>
    <row r="15495" spans="1:11" ht="12.75" hidden="1" customHeight="1" outlineLevel="1" x14ac:dyDescent="0.25">
      <c r="A15495" s="2380">
        <v>0.02</v>
      </c>
      <c r="B15495" s="1921" t="s">
        <v>8210</v>
      </c>
      <c r="C15495" s="2108">
        <v>209.976</v>
      </c>
      <c r="D15495" s="3196">
        <v>94.92</v>
      </c>
      <c r="E15495" s="3197">
        <v>-0.54794833695279466</v>
      </c>
      <c r="F15495" s="3198">
        <v>-1.0958966739055893E-2</v>
      </c>
      <c r="G15495" s="78"/>
      <c r="H15495" t="s">
        <v>8211</v>
      </c>
      <c r="K15495" s="434"/>
    </row>
    <row r="15496" spans="1:11" ht="12.75" hidden="1" customHeight="1" outlineLevel="1" x14ac:dyDescent="0.25">
      <c r="A15496" s="2380">
        <v>0.02</v>
      </c>
      <c r="B15496" s="1921" t="s">
        <v>8212</v>
      </c>
      <c r="C15496" s="2108">
        <v>3303.45</v>
      </c>
      <c r="D15496" s="3196">
        <v>5235</v>
      </c>
      <c r="E15496" s="3197">
        <v>0.58470689733460479</v>
      </c>
      <c r="F15496" s="3198">
        <v>1.1694137946692097E-2</v>
      </c>
      <c r="G15496" s="78"/>
      <c r="H15496" t="s">
        <v>8213</v>
      </c>
      <c r="K15496" s="434"/>
    </row>
    <row r="15497" spans="1:11" ht="12.75" hidden="1" customHeight="1" outlineLevel="1" x14ac:dyDescent="0.25">
      <c r="A15497" s="2380">
        <v>0</v>
      </c>
      <c r="B15497" s="1921" t="s">
        <v>163</v>
      </c>
      <c r="C15497" s="2108">
        <v>76.519000000000005</v>
      </c>
      <c r="D15497" s="3196">
        <v>98.77</v>
      </c>
      <c r="E15497" s="3197">
        <v>0.29079052261529803</v>
      </c>
      <c r="F15497" s="3198">
        <v>0</v>
      </c>
      <c r="G15497" s="78"/>
      <c r="H15497" s="1813" t="s">
        <v>2617</v>
      </c>
      <c r="K15497" s="434"/>
    </row>
    <row r="15498" spans="1:11" ht="12.75" hidden="1" customHeight="1" outlineLevel="1" x14ac:dyDescent="0.25">
      <c r="A15498" s="2380">
        <v>0.02</v>
      </c>
      <c r="B15498" s="1921" t="s">
        <v>7840</v>
      </c>
      <c r="C15498" s="2108">
        <v>93.49</v>
      </c>
      <c r="D15498" s="3196">
        <v>213.28</v>
      </c>
      <c r="E15498" s="3197">
        <v>1.2813135094662531</v>
      </c>
      <c r="F15498" s="3198">
        <v>2.5626270189325062E-2</v>
      </c>
      <c r="G15498" s="78"/>
      <c r="H15498" t="s">
        <v>7831</v>
      </c>
      <c r="K15498" s="434"/>
    </row>
    <row r="15499" spans="1:11" ht="12.75" hidden="1" customHeight="1" outlineLevel="1" x14ac:dyDescent="0.25">
      <c r="A15499" s="2380">
        <v>0.02</v>
      </c>
      <c r="B15499" s="2109" t="s">
        <v>164</v>
      </c>
      <c r="C15499" s="2108">
        <v>71.856999999999999</v>
      </c>
      <c r="D15499" s="3199">
        <v>121.58</v>
      </c>
      <c r="E15499" s="3197">
        <v>0.69197155461541682</v>
      </c>
      <c r="F15499" s="3198">
        <v>1.3839431092308337E-2</v>
      </c>
      <c r="G15499" s="78"/>
      <c r="H15499" t="s">
        <v>2618</v>
      </c>
      <c r="K15499" s="434"/>
    </row>
    <row r="15500" spans="1:11" ht="12.75" hidden="1" customHeight="1" outlineLevel="1" x14ac:dyDescent="0.25">
      <c r="A15500" s="2181" t="s">
        <v>2734</v>
      </c>
      <c r="B15500" s="2103"/>
      <c r="C15500" s="3200"/>
      <c r="D15500" s="3201"/>
      <c r="E15500" s="3202"/>
      <c r="F15500" s="3193">
        <v>0.2099</v>
      </c>
      <c r="G15500" s="78"/>
    </row>
    <row r="15501" spans="1:11" ht="12.75" hidden="1" customHeight="1" outlineLevel="1" x14ac:dyDescent="0.25">
      <c r="A15501" s="1956" t="s">
        <v>8217</v>
      </c>
      <c r="B15501" s="2185">
        <v>44197</v>
      </c>
      <c r="C15501" s="3203">
        <v>100</v>
      </c>
      <c r="D15501" s="3203">
        <v>118.4727</v>
      </c>
      <c r="E15501" s="3204">
        <v>0.18472700000000009</v>
      </c>
      <c r="F15501" s="3205"/>
      <c r="G15501" s="78"/>
    </row>
    <row r="15502" spans="1:11" ht="12.75" hidden="1" customHeight="1" outlineLevel="1" x14ac:dyDescent="0.25">
      <c r="A15502" s="1956" t="s">
        <v>8218</v>
      </c>
      <c r="B15502" s="2185">
        <v>44228</v>
      </c>
      <c r="C15502" s="3203">
        <v>100</v>
      </c>
      <c r="D15502" s="3206">
        <v>124.96040000000001</v>
      </c>
      <c r="E15502" s="3204">
        <v>0.24960400000000016</v>
      </c>
      <c r="F15502" s="3205"/>
      <c r="G15502" s="78"/>
    </row>
    <row r="15503" spans="1:11" ht="12.75" hidden="1" customHeight="1" outlineLevel="1" x14ac:dyDescent="0.25">
      <c r="A15503" s="1956" t="s">
        <v>8219</v>
      </c>
      <c r="B15503" s="2185">
        <v>44256</v>
      </c>
      <c r="C15503" s="3203">
        <v>100</v>
      </c>
      <c r="D15503" s="3206">
        <v>129.3167</v>
      </c>
      <c r="E15503" s="3204">
        <v>0.29316699999999996</v>
      </c>
      <c r="F15503" s="3205"/>
      <c r="G15503" s="78"/>
    </row>
    <row r="15504" spans="1:11" ht="12.75" hidden="1" customHeight="1" outlineLevel="1" x14ac:dyDescent="0.25">
      <c r="A15504" s="1956" t="s">
        <v>8220</v>
      </c>
      <c r="B15504" s="2185">
        <v>44287</v>
      </c>
      <c r="C15504" s="3203">
        <v>100</v>
      </c>
      <c r="D15504" s="3206">
        <v>133.44450000000001</v>
      </c>
      <c r="E15504" s="3204">
        <v>0.3344450000000001</v>
      </c>
      <c r="F15504" s="3205"/>
      <c r="G15504" s="78"/>
    </row>
    <row r="15505" spans="1:7" ht="12.75" hidden="1" customHeight="1" outlineLevel="1" x14ac:dyDescent="0.25">
      <c r="A15505" s="1956" t="s">
        <v>8221</v>
      </c>
      <c r="B15505" s="2185">
        <v>44317</v>
      </c>
      <c r="C15505" s="3203">
        <v>100</v>
      </c>
      <c r="D15505" s="3206">
        <v>136.30879999999999</v>
      </c>
      <c r="E15505" s="3204">
        <v>0.36308799999999986</v>
      </c>
      <c r="F15505" s="3205"/>
      <c r="G15505" s="78"/>
    </row>
    <row r="15506" spans="1:7" ht="12.75" hidden="1" customHeight="1" outlineLevel="1" x14ac:dyDescent="0.25">
      <c r="A15506" s="1956" t="s">
        <v>8222</v>
      </c>
      <c r="B15506" s="2185">
        <v>44348</v>
      </c>
      <c r="C15506" s="3203">
        <v>100</v>
      </c>
      <c r="D15506" s="3206">
        <v>135.80250000000001</v>
      </c>
      <c r="E15506" s="3204">
        <v>0.35802500000000004</v>
      </c>
      <c r="F15506" s="3205"/>
      <c r="G15506" s="78"/>
    </row>
    <row r="15507" spans="1:7" ht="12.75" hidden="1" customHeight="1" outlineLevel="1" x14ac:dyDescent="0.25">
      <c r="A15507" s="1956" t="s">
        <v>8223</v>
      </c>
      <c r="B15507" s="2185">
        <v>44378</v>
      </c>
      <c r="C15507" s="3203">
        <v>100</v>
      </c>
      <c r="D15507" s="3206">
        <v>136.34110000000001</v>
      </c>
      <c r="E15507" s="3204">
        <v>0.36341100000000015</v>
      </c>
      <c r="F15507" s="3205"/>
      <c r="G15507" s="78"/>
    </row>
    <row r="15508" spans="1:7" ht="12.75" hidden="1" customHeight="1" outlineLevel="1" x14ac:dyDescent="0.25">
      <c r="A15508" s="1956" t="s">
        <v>8224</v>
      </c>
      <c r="B15508" s="2185">
        <v>44409</v>
      </c>
      <c r="C15508" s="3203">
        <v>100</v>
      </c>
      <c r="D15508" s="3206">
        <v>136.5992</v>
      </c>
      <c r="E15508" s="3204">
        <v>0.36599199999999987</v>
      </c>
      <c r="F15508" s="3205"/>
      <c r="G15508" s="78"/>
    </row>
    <row r="15509" spans="1:7" ht="12.75" hidden="1" customHeight="1" outlineLevel="1" x14ac:dyDescent="0.25">
      <c r="A15509" s="1956" t="s">
        <v>8225</v>
      </c>
      <c r="B15509" s="2185">
        <v>44440</v>
      </c>
      <c r="C15509" s="3203">
        <v>100</v>
      </c>
      <c r="D15509" s="3206">
        <v>133.22479999999999</v>
      </c>
      <c r="E15509" s="3204">
        <v>0.33224799999999988</v>
      </c>
      <c r="F15509" s="3205"/>
      <c r="G15509" s="78"/>
    </row>
    <row r="15510" spans="1:7" ht="12.75" hidden="1" customHeight="1" outlineLevel="1" x14ac:dyDescent="0.25">
      <c r="A15510" s="1956" t="s">
        <v>8226</v>
      </c>
      <c r="B15510" s="2185">
        <v>44470</v>
      </c>
      <c r="C15510" s="3203">
        <v>100</v>
      </c>
      <c r="D15510" s="3206">
        <v>141.94239999999999</v>
      </c>
      <c r="E15510" s="3204">
        <v>0.41942400000000002</v>
      </c>
      <c r="F15510" s="3205"/>
      <c r="G15510" s="78"/>
    </row>
    <row r="15511" spans="1:7" ht="12.75" hidden="1" customHeight="1" outlineLevel="1" x14ac:dyDescent="0.25">
      <c r="A15511" s="1956" t="s">
        <v>8227</v>
      </c>
      <c r="B15511" s="2185">
        <v>44501</v>
      </c>
      <c r="C15511" s="3203">
        <v>100</v>
      </c>
      <c r="D15511" s="3206">
        <v>142.91249999999999</v>
      </c>
      <c r="E15511" s="3204">
        <v>0.42912499999999998</v>
      </c>
      <c r="F15511" s="3205"/>
      <c r="G15511" s="78"/>
    </row>
    <row r="15512" spans="1:7" ht="12.75" hidden="1" customHeight="1" outlineLevel="1" x14ac:dyDescent="0.25">
      <c r="A15512" s="1956" t="s">
        <v>8228</v>
      </c>
      <c r="B15512" s="2185">
        <v>44531</v>
      </c>
      <c r="C15512" s="3203">
        <v>100</v>
      </c>
      <c r="D15512" s="3206">
        <v>146.59350000000001</v>
      </c>
      <c r="E15512" s="3204">
        <v>0.46593499999999999</v>
      </c>
      <c r="F15512" s="3205"/>
      <c r="G15512" s="78"/>
    </row>
    <row r="15513" spans="1:7" ht="12.75" hidden="1" customHeight="1" outlineLevel="1" x14ac:dyDescent="0.25">
      <c r="A15513" s="1956" t="s">
        <v>8229</v>
      </c>
      <c r="B15513" s="2185">
        <v>44562</v>
      </c>
      <c r="C15513" s="3203">
        <v>100</v>
      </c>
      <c r="D15513" s="3206">
        <v>145.00640000000001</v>
      </c>
      <c r="E15513" s="3204">
        <v>0.45006400000000024</v>
      </c>
      <c r="F15513" s="3205"/>
      <c r="G15513" s="78"/>
    </row>
    <row r="15514" spans="1:7" ht="12.75" hidden="1" customHeight="1" outlineLevel="1" x14ac:dyDescent="0.25">
      <c r="A15514" s="1956" t="s">
        <v>8230</v>
      </c>
      <c r="B15514" s="2185">
        <v>44593</v>
      </c>
      <c r="C15514" s="3203">
        <v>100</v>
      </c>
      <c r="D15514" s="3206">
        <v>139.38480000000001</v>
      </c>
      <c r="E15514" s="3204">
        <v>0.3938480000000002</v>
      </c>
      <c r="F15514" s="3205"/>
      <c r="G15514" s="78"/>
    </row>
    <row r="15515" spans="1:7" ht="12.75" hidden="1" customHeight="1" outlineLevel="1" x14ac:dyDescent="0.25">
      <c r="A15515" s="1956" t="s">
        <v>8231</v>
      </c>
      <c r="B15515" s="2185">
        <v>44621</v>
      </c>
      <c r="C15515" s="3203">
        <v>100</v>
      </c>
      <c r="D15515" s="3206">
        <v>139.89510000000001</v>
      </c>
      <c r="E15515" s="3204">
        <v>0.39895100000000006</v>
      </c>
      <c r="F15515" s="3205"/>
      <c r="G15515" s="78"/>
    </row>
    <row r="15516" spans="1:7" ht="12.75" hidden="1" customHeight="1" outlineLevel="1" x14ac:dyDescent="0.25">
      <c r="A15516" s="1956" t="s">
        <v>8232</v>
      </c>
      <c r="B15516" s="2185">
        <v>44652</v>
      </c>
      <c r="C15516" s="3203">
        <v>100</v>
      </c>
      <c r="D15516" s="3206">
        <v>133.57329999999999</v>
      </c>
      <c r="E15516" s="3204">
        <v>0.33573299999999984</v>
      </c>
      <c r="F15516" s="3205"/>
      <c r="G15516" s="78"/>
    </row>
    <row r="15517" spans="1:7" ht="12.75" hidden="1" customHeight="1" outlineLevel="1" x14ac:dyDescent="0.25">
      <c r="A15517" s="1956" t="s">
        <v>8233</v>
      </c>
      <c r="B15517" s="2185">
        <v>44682</v>
      </c>
      <c r="C15517" s="3203">
        <v>100</v>
      </c>
      <c r="D15517" s="3206">
        <v>131.47110000000001</v>
      </c>
      <c r="E15517" s="3204">
        <v>0.31471099999999996</v>
      </c>
      <c r="F15517" s="3205"/>
      <c r="G15517" s="78"/>
    </row>
    <row r="15518" spans="1:7" ht="12.75" hidden="1" customHeight="1" outlineLevel="1" x14ac:dyDescent="0.25">
      <c r="A15518" s="1956" t="s">
        <v>8234</v>
      </c>
      <c r="B15518" s="2185">
        <v>44713</v>
      </c>
      <c r="C15518" s="3203">
        <v>100</v>
      </c>
      <c r="D15518" s="3206">
        <v>120.98909999999999</v>
      </c>
      <c r="E15518" s="3204">
        <v>0.20989099999999983</v>
      </c>
      <c r="F15518" s="3205"/>
      <c r="G15518" s="78"/>
    </row>
    <row r="15519" spans="1:7" ht="12.75" hidden="1" customHeight="1" outlineLevel="1" x14ac:dyDescent="0.25">
      <c r="A15519" s="2189" t="s">
        <v>2734</v>
      </c>
      <c r="B15519" s="2190"/>
      <c r="C15519" s="3206"/>
      <c r="D15519" s="2191" t="s">
        <v>2465</v>
      </c>
      <c r="E15519" s="1987">
        <v>0.34791050000000001</v>
      </c>
      <c r="F15519" s="2192">
        <v>0.2087463</v>
      </c>
      <c r="G15519" s="78"/>
    </row>
    <row r="15520" spans="1:7" collapsed="1" x14ac:dyDescent="0.25">
      <c r="A15520" s="3801" t="s">
        <v>8207</v>
      </c>
      <c r="B15520" s="3802"/>
      <c r="C15520" s="3802"/>
      <c r="D15520" s="3802"/>
      <c r="E15520" s="1906"/>
      <c r="F15520" s="1907">
        <v>0.2087463</v>
      </c>
      <c r="G15520" s="78"/>
    </row>
    <row r="15522" spans="1:15" ht="12.75" hidden="1" customHeight="1" outlineLevel="1" x14ac:dyDescent="0.25">
      <c r="A15522" s="3237" t="s">
        <v>113</v>
      </c>
      <c r="B15522" s="3237" t="s">
        <v>114</v>
      </c>
      <c r="C15522" s="3237" t="s">
        <v>112</v>
      </c>
      <c r="D15522" s="3237" t="s">
        <v>116</v>
      </c>
      <c r="E15522" s="3237" t="s">
        <v>117</v>
      </c>
      <c r="F15522" s="3276" t="s">
        <v>121</v>
      </c>
      <c r="G15522" s="78"/>
    </row>
    <row r="15523" spans="1:15" ht="12.75" hidden="1" customHeight="1" outlineLevel="1" x14ac:dyDescent="0.25">
      <c r="A15523" s="3238">
        <v>1</v>
      </c>
      <c r="B15523" s="3239" t="s">
        <v>252</v>
      </c>
      <c r="C15523" s="3240">
        <v>100</v>
      </c>
      <c r="D15523" s="3240"/>
      <c r="E15523" s="3241"/>
      <c r="F15523" s="3242"/>
      <c r="G15523" s="78"/>
      <c r="K15523" s="37"/>
    </row>
    <row r="15524" spans="1:15" ht="12.75" hidden="1" customHeight="1" outlineLevel="1" x14ac:dyDescent="0.25">
      <c r="A15524" s="3243" t="s">
        <v>2734</v>
      </c>
      <c r="B15524" s="3243"/>
      <c r="C15524" s="3244"/>
      <c r="D15524" s="1900" t="s">
        <v>3702</v>
      </c>
      <c r="E15524" s="3245">
        <v>44834</v>
      </c>
      <c r="F15524" s="3246"/>
      <c r="G15524" s="78"/>
    </row>
    <row r="15525" spans="1:15" ht="12.75" hidden="1" customHeight="1" outlineLevel="1" x14ac:dyDescent="0.25">
      <c r="A15525" s="3237" t="s">
        <v>4156</v>
      </c>
      <c r="B15525" s="3237" t="s">
        <v>4153</v>
      </c>
      <c r="C15525" s="3247" t="s">
        <v>112</v>
      </c>
      <c r="D15525" s="3248" t="s">
        <v>4155</v>
      </c>
      <c r="E15525" s="3237" t="s">
        <v>4154</v>
      </c>
      <c r="F15525" s="3277" t="s">
        <v>2519</v>
      </c>
      <c r="G15525" s="78"/>
      <c r="I15525" s="412" t="s">
        <v>6964</v>
      </c>
      <c r="J15525" s="1635">
        <v>42705</v>
      </c>
      <c r="K15525" s="1635">
        <v>42736</v>
      </c>
      <c r="L15525" s="1635">
        <v>42767</v>
      </c>
      <c r="M15525" s="1462"/>
      <c r="N15525" s="1462"/>
      <c r="O15525" s="1462"/>
    </row>
    <row r="15526" spans="1:15" ht="12.75" hidden="1" customHeight="1" outlineLevel="1" x14ac:dyDescent="0.25">
      <c r="A15526" s="1991">
        <v>0.02</v>
      </c>
      <c r="B15526" s="1921" t="s">
        <v>7111</v>
      </c>
      <c r="C15526" s="2108">
        <v>58.37</v>
      </c>
      <c r="D15526" s="3278">
        <v>134.21</v>
      </c>
      <c r="E15526" s="3269">
        <v>1.2992975843755357</v>
      </c>
      <c r="F15526" s="3277">
        <v>2.5985951687510715E-2</v>
      </c>
      <c r="H15526" t="s">
        <v>7109</v>
      </c>
      <c r="I15526" s="412">
        <v>98.129400000000004</v>
      </c>
      <c r="J15526">
        <v>98.129400000000004</v>
      </c>
      <c r="K15526">
        <v>104.2411</v>
      </c>
      <c r="L15526">
        <v>103.1416</v>
      </c>
      <c r="O15526" s="434"/>
    </row>
    <row r="15527" spans="1:15" ht="12.75" hidden="1" customHeight="1" outlineLevel="1" x14ac:dyDescent="0.25">
      <c r="A15527" s="2380">
        <v>0.02</v>
      </c>
      <c r="B15527" s="1921" t="s">
        <v>8259</v>
      </c>
      <c r="C15527" s="2108">
        <v>147.26349999999999</v>
      </c>
      <c r="D15527" s="3280">
        <v>225.4</v>
      </c>
      <c r="E15527" s="3270">
        <v>0.53058972522043835</v>
      </c>
      <c r="F15527" s="3282">
        <v>1.0611794504408767E-2</v>
      </c>
      <c r="H15527" t="s">
        <v>8267</v>
      </c>
      <c r="I15527" s="422">
        <v>0.35712555555555553</v>
      </c>
      <c r="O15527" s="434"/>
    </row>
    <row r="15528" spans="1:15" ht="12.75" hidden="1" customHeight="1" outlineLevel="1" x14ac:dyDescent="0.25">
      <c r="A15528" s="2380">
        <v>0.03</v>
      </c>
      <c r="B15528" s="1921" t="s">
        <v>3320</v>
      </c>
      <c r="C15528" s="2108">
        <v>107.47499999999999</v>
      </c>
      <c r="D15528" s="3280">
        <v>46.744999999999997</v>
      </c>
      <c r="E15528" s="3270">
        <v>-0.56506164224238198</v>
      </c>
      <c r="F15528" s="3282">
        <v>-1.695184926727146E-2</v>
      </c>
      <c r="H15528" t="s">
        <v>4093</v>
      </c>
      <c r="O15528" s="434"/>
    </row>
    <row r="15529" spans="1:15" ht="12.75" hidden="1" customHeight="1" outlineLevel="1" x14ac:dyDescent="0.25">
      <c r="A15529" s="2380">
        <v>0.02</v>
      </c>
      <c r="B15529" s="1921" t="s">
        <v>6551</v>
      </c>
      <c r="C15529" s="2108">
        <v>28.374500000000001</v>
      </c>
      <c r="D15529" s="3280">
        <v>138.19999999999999</v>
      </c>
      <c r="E15529" s="3270">
        <v>3.870570406526987</v>
      </c>
      <c r="F15529" s="3282">
        <v>7.7411408130539747E-2</v>
      </c>
      <c r="H15529" t="s">
        <v>6550</v>
      </c>
      <c r="O15529" s="434"/>
    </row>
    <row r="15530" spans="1:15" ht="12.75" hidden="1" customHeight="1" outlineLevel="1" x14ac:dyDescent="0.25">
      <c r="A15530" s="2380">
        <v>0.02</v>
      </c>
      <c r="B15530" s="1921" t="s">
        <v>8260</v>
      </c>
      <c r="C15530" s="2108">
        <v>70.200999999999993</v>
      </c>
      <c r="D15530" s="3280">
        <v>66.680000000000007</v>
      </c>
      <c r="E15530" s="3270">
        <v>-5.0155980684035706E-2</v>
      </c>
      <c r="F15530" s="3282">
        <v>-1.0031196136807141E-3</v>
      </c>
      <c r="H15530" t="s">
        <v>8269</v>
      </c>
      <c r="O15530" s="434"/>
    </row>
    <row r="15531" spans="1:15" ht="12.75" hidden="1" customHeight="1" outlineLevel="1" x14ac:dyDescent="0.25">
      <c r="A15531" s="2380">
        <v>0.04</v>
      </c>
      <c r="B15531" s="1921" t="s">
        <v>3405</v>
      </c>
      <c r="C15531" s="2108">
        <v>23.964500000000001</v>
      </c>
      <c r="D15531" s="3280">
        <v>14.215</v>
      </c>
      <c r="E15531" s="3270">
        <v>-0.40683093742827936</v>
      </c>
      <c r="F15531" s="3282">
        <v>-1.6273237497131176E-2</v>
      </c>
      <c r="H15531" t="s">
        <v>2747</v>
      </c>
      <c r="O15531" s="434"/>
    </row>
    <row r="15532" spans="1:15" ht="12.75" hidden="1" customHeight="1" outlineLevel="1" x14ac:dyDescent="0.25">
      <c r="A15532" s="2380">
        <v>0.02</v>
      </c>
      <c r="B15532" s="1921" t="s">
        <v>7215</v>
      </c>
      <c r="C15532" s="2108">
        <v>84.891000000000005</v>
      </c>
      <c r="D15532" s="3280">
        <v>95.37</v>
      </c>
      <c r="E15532" s="3270">
        <v>0.12344064741845417</v>
      </c>
      <c r="F15532" s="3282">
        <v>2.4688129483690837E-3</v>
      </c>
      <c r="H15532" t="s">
        <v>7216</v>
      </c>
      <c r="O15532" s="434"/>
    </row>
    <row r="15533" spans="1:15" ht="12.75" hidden="1" customHeight="1" outlineLevel="1" x14ac:dyDescent="0.25">
      <c r="A15533" s="2380">
        <v>0.08</v>
      </c>
      <c r="B15533" s="1921" t="s">
        <v>10672</v>
      </c>
      <c r="C15533" s="2108">
        <v>53.418366790713215</v>
      </c>
      <c r="D15533" s="3280">
        <v>52.35</v>
      </c>
      <c r="E15533" s="3270">
        <v>-1.9999989795624895E-2</v>
      </c>
      <c r="F15533" s="3282">
        <v>-1.5999991836499917E-3</v>
      </c>
      <c r="H15533" t="s">
        <v>10674</v>
      </c>
      <c r="O15533" s="434"/>
    </row>
    <row r="15534" spans="1:15" ht="12.75" hidden="1" customHeight="1" outlineLevel="1" x14ac:dyDescent="0.25">
      <c r="A15534" s="2380">
        <v>0.02</v>
      </c>
      <c r="B15534" s="1921" t="s">
        <v>3425</v>
      </c>
      <c r="C15534" s="2108">
        <v>85.007000000000005</v>
      </c>
      <c r="D15534" s="3280">
        <v>87.31</v>
      </c>
      <c r="E15534" s="3270">
        <v>2.7091886550519417E-2</v>
      </c>
      <c r="F15534" s="3282">
        <v>5.4183773101038838E-4</v>
      </c>
      <c r="H15534" t="s">
        <v>4126</v>
      </c>
      <c r="O15534" s="434"/>
    </row>
    <row r="15535" spans="1:15" ht="12.75" hidden="1" customHeight="1" outlineLevel="1" x14ac:dyDescent="0.25">
      <c r="A15535" s="2380">
        <v>0.05</v>
      </c>
      <c r="B15535" s="1921" t="s">
        <v>3799</v>
      </c>
      <c r="C15535" s="2108">
        <v>16.066500000000001</v>
      </c>
      <c r="D15535" s="3280">
        <v>13.058</v>
      </c>
      <c r="E15535" s="3270">
        <v>-0.18725297980269517</v>
      </c>
      <c r="F15535" s="3282">
        <v>-9.3626489901347584E-3</v>
      </c>
      <c r="H15535" t="s">
        <v>4128</v>
      </c>
      <c r="O15535" s="434"/>
    </row>
    <row r="15536" spans="1:15" ht="12.75" hidden="1" customHeight="1" outlineLevel="1" x14ac:dyDescent="0.25">
      <c r="A15536" s="2380">
        <v>0.02</v>
      </c>
      <c r="B15536" s="1921" t="s">
        <v>7837</v>
      </c>
      <c r="C15536" s="2108">
        <v>104.39188127636614</v>
      </c>
      <c r="D15536" s="3280">
        <v>166.88</v>
      </c>
      <c r="E15536" s="3270">
        <v>0.59859174831999984</v>
      </c>
      <c r="F15536" s="3282">
        <v>1.1971834966399997E-2</v>
      </c>
      <c r="H15536" t="s">
        <v>7828</v>
      </c>
      <c r="O15536" s="434"/>
    </row>
    <row r="15537" spans="1:15" ht="12.75" hidden="1" customHeight="1" outlineLevel="1" x14ac:dyDescent="0.25">
      <c r="A15537" s="2380">
        <v>0.03</v>
      </c>
      <c r="B15537" s="1921" t="s">
        <v>1343</v>
      </c>
      <c r="C15537" s="2108">
        <v>39.103999999999999</v>
      </c>
      <c r="D15537" s="3280">
        <v>18.55</v>
      </c>
      <c r="E15537" s="3270">
        <v>-0.52562397708674302</v>
      </c>
      <c r="F15537" s="3282">
        <v>-1.5768719312602292E-2</v>
      </c>
      <c r="H15537" t="s">
        <v>7747</v>
      </c>
      <c r="O15537" s="434"/>
    </row>
    <row r="15538" spans="1:15" ht="12.75" hidden="1" customHeight="1" outlineLevel="1" x14ac:dyDescent="0.25">
      <c r="A15538" s="2380">
        <v>0.08</v>
      </c>
      <c r="B15538" s="1921" t="s">
        <v>8208</v>
      </c>
      <c r="C15538" s="2519">
        <v>2.6506816099052712</v>
      </c>
      <c r="D15538" s="3280">
        <v>0.94669999999999999</v>
      </c>
      <c r="E15538" s="3270">
        <v>-0.64284658087101132</v>
      </c>
      <c r="F15538" s="3282">
        <v>-5.1427726469680905E-2</v>
      </c>
      <c r="H15538" t="s">
        <v>8209</v>
      </c>
      <c r="O15538" s="434"/>
    </row>
    <row r="15539" spans="1:15" ht="12.75" hidden="1" customHeight="1" outlineLevel="1" x14ac:dyDescent="0.25">
      <c r="A15539" s="2380">
        <v>0.05</v>
      </c>
      <c r="B15539" s="1921" t="s">
        <v>8261</v>
      </c>
      <c r="C15539" s="2108">
        <v>145.11030076295194</v>
      </c>
      <c r="D15539" s="3280">
        <v>138.5</v>
      </c>
      <c r="E15539" s="3270">
        <v>-4.5553628710000016E-2</v>
      </c>
      <c r="F15539" s="3282">
        <v>-2.2776814355000008E-3</v>
      </c>
      <c r="H15539" t="s">
        <v>9620</v>
      </c>
      <c r="O15539" s="434"/>
    </row>
    <row r="15540" spans="1:15" ht="12.75" hidden="1" customHeight="1" outlineLevel="1" x14ac:dyDescent="0.25">
      <c r="A15540" s="2380">
        <v>0.02</v>
      </c>
      <c r="B15540" s="1921" t="s">
        <v>7838</v>
      </c>
      <c r="C15540" s="2108">
        <v>41.7470013781207</v>
      </c>
      <c r="D15540" s="3280">
        <v>60.78</v>
      </c>
      <c r="E15540" s="3270">
        <v>0.45591295167500001</v>
      </c>
      <c r="F15540" s="3282">
        <v>9.1182590334999997E-3</v>
      </c>
      <c r="H15540" t="s">
        <v>7829</v>
      </c>
      <c r="O15540" s="434"/>
    </row>
    <row r="15541" spans="1:15" ht="12.75" hidden="1" customHeight="1" outlineLevel="1" x14ac:dyDescent="0.25">
      <c r="A15541" s="2380">
        <v>0.02</v>
      </c>
      <c r="B15541" s="1921" t="s">
        <v>6057</v>
      </c>
      <c r="C15541" s="2108">
        <v>59.966000000000001</v>
      </c>
      <c r="D15541" s="3280">
        <v>232.9</v>
      </c>
      <c r="E15541" s="3270">
        <v>2.8838675249307943</v>
      </c>
      <c r="F15541" s="3282">
        <v>5.7677350498615887E-2</v>
      </c>
      <c r="H15541" t="s">
        <v>8270</v>
      </c>
      <c r="O15541" s="434"/>
    </row>
    <row r="15542" spans="1:15" ht="12.75" hidden="1" customHeight="1" outlineLevel="1" x14ac:dyDescent="0.25">
      <c r="A15542" s="2380">
        <v>0.08</v>
      </c>
      <c r="B15542" s="1921" t="s">
        <v>1190</v>
      </c>
      <c r="C15542" s="2108">
        <v>4.2046000000000001</v>
      </c>
      <c r="D15542" s="3280">
        <v>4.4204999999999997</v>
      </c>
      <c r="E15542" s="3270">
        <v>5.1348523046187422E-2</v>
      </c>
      <c r="F15542" s="3282">
        <v>4.1078818436949939E-3</v>
      </c>
      <c r="H15542" t="s">
        <v>7569</v>
      </c>
      <c r="O15542" s="434"/>
    </row>
    <row r="15543" spans="1:15" ht="12.75" hidden="1" customHeight="1" outlineLevel="1" x14ac:dyDescent="0.25">
      <c r="A15543" s="2380">
        <v>0.08</v>
      </c>
      <c r="B15543" s="1921" t="s">
        <v>5824</v>
      </c>
      <c r="C15543" s="2108">
        <v>14.014795615588147</v>
      </c>
      <c r="D15543" s="3280">
        <v>9.2479999999999993</v>
      </c>
      <c r="E15543" s="3270">
        <v>-0.34012594591720013</v>
      </c>
      <c r="F15543" s="3282">
        <v>-2.7210075673376011E-2</v>
      </c>
      <c r="H15543" t="s">
        <v>5817</v>
      </c>
      <c r="O15543" s="434"/>
    </row>
    <row r="15544" spans="1:15" ht="12.75" hidden="1" customHeight="1" outlineLevel="1" x14ac:dyDescent="0.25">
      <c r="A15544" s="2380">
        <v>0.02</v>
      </c>
      <c r="B15544" s="1921" t="s">
        <v>8262</v>
      </c>
      <c r="C15544" s="2108">
        <v>846.63384521238947</v>
      </c>
      <c r="D15544" s="3280">
        <v>359.1</v>
      </c>
      <c r="E15544" s="3270">
        <v>-0.57584969933500008</v>
      </c>
      <c r="F15544" s="3282">
        <v>-1.1516993986700001E-2</v>
      </c>
      <c r="H15544" t="s">
        <v>8271</v>
      </c>
      <c r="O15544" s="434"/>
    </row>
    <row r="15545" spans="1:15" ht="12.75" hidden="1" customHeight="1" outlineLevel="1" x14ac:dyDescent="0.25">
      <c r="A15545" s="2380">
        <v>0.02</v>
      </c>
      <c r="B15545" s="1921" t="s">
        <v>1414</v>
      </c>
      <c r="C15545" s="2108">
        <v>29.766015528379633</v>
      </c>
      <c r="D15545" s="3280">
        <v>43.76</v>
      </c>
      <c r="E15545" s="3270">
        <v>0.47013294265999983</v>
      </c>
      <c r="F15545" s="3282">
        <v>9.4026588531999963E-3</v>
      </c>
      <c r="H15545" t="s">
        <v>2428</v>
      </c>
      <c r="O15545" s="434"/>
    </row>
    <row r="15546" spans="1:15" ht="12.75" hidden="1" customHeight="1" outlineLevel="1" x14ac:dyDescent="0.25">
      <c r="A15546" s="2380">
        <v>0.02</v>
      </c>
      <c r="B15546" s="1921" t="s">
        <v>8263</v>
      </c>
      <c r="C15546" s="2108">
        <v>79.995000000000005</v>
      </c>
      <c r="D15546" s="3280">
        <v>80.72</v>
      </c>
      <c r="E15546" s="3270">
        <v>9.0630664416524453E-3</v>
      </c>
      <c r="F15546" s="3282">
        <v>1.8126132883304892E-4</v>
      </c>
      <c r="H15546" t="s">
        <v>8272</v>
      </c>
      <c r="O15546" s="434"/>
    </row>
    <row r="15547" spans="1:15" ht="12.75" hidden="1" customHeight="1" outlineLevel="1" x14ac:dyDescent="0.25">
      <c r="A15547" s="2380">
        <v>0.02</v>
      </c>
      <c r="B15547" s="1921" t="s">
        <v>6559</v>
      </c>
      <c r="C15547" s="2108">
        <v>68.028999999999996</v>
      </c>
      <c r="D15547" s="3280">
        <v>112.98</v>
      </c>
      <c r="E15547" s="3270">
        <v>0.66076232195093287</v>
      </c>
      <c r="F15547" s="3282">
        <v>1.3215246439018658E-2</v>
      </c>
      <c r="H15547" t="s">
        <v>6558</v>
      </c>
      <c r="O15547" s="434"/>
    </row>
    <row r="15548" spans="1:15" ht="12.75" hidden="1" customHeight="1" outlineLevel="1" x14ac:dyDescent="0.25">
      <c r="A15548" s="2380">
        <v>0.02</v>
      </c>
      <c r="B15548" s="1921" t="s">
        <v>901</v>
      </c>
      <c r="C15548" s="2108">
        <v>45.23249338764272</v>
      </c>
      <c r="D15548" s="3280">
        <v>32.265000000000001</v>
      </c>
      <c r="E15548" s="3270">
        <v>-0.28668535418800001</v>
      </c>
      <c r="F15548" s="3282">
        <v>-5.73370708376E-3</v>
      </c>
      <c r="H15548" t="s">
        <v>531</v>
      </c>
      <c r="O15548" s="434"/>
    </row>
    <row r="15549" spans="1:15" ht="12.75" hidden="1" customHeight="1" outlineLevel="1" x14ac:dyDescent="0.25">
      <c r="A15549" s="2380">
        <v>0.08</v>
      </c>
      <c r="B15549" s="1921" t="s">
        <v>3800</v>
      </c>
      <c r="C15549" s="2108">
        <v>226.47</v>
      </c>
      <c r="D15549" s="3280">
        <v>323.45</v>
      </c>
      <c r="E15549" s="3270">
        <v>0.42822448889477638</v>
      </c>
      <c r="F15549" s="3282">
        <v>3.4257959111582109E-2</v>
      </c>
      <c r="H15549" t="s">
        <v>8876</v>
      </c>
      <c r="O15549" s="434"/>
    </row>
    <row r="15550" spans="1:15" ht="12.75" hidden="1" customHeight="1" outlineLevel="1" x14ac:dyDescent="0.25">
      <c r="A15550" s="2380">
        <v>0.02</v>
      </c>
      <c r="B15550" s="1921" t="s">
        <v>1206</v>
      </c>
      <c r="C15550" s="2108">
        <v>79.472999999999999</v>
      </c>
      <c r="D15550" s="3280">
        <v>84.12</v>
      </c>
      <c r="E15550" s="3270">
        <v>5.8472688837718501E-2</v>
      </c>
      <c r="F15550" s="3282">
        <v>1.16945377675437E-3</v>
      </c>
      <c r="H15550" t="s">
        <v>3484</v>
      </c>
      <c r="O15550" s="434"/>
    </row>
    <row r="15551" spans="1:15" ht="12.75" hidden="1" customHeight="1" outlineLevel="1" x14ac:dyDescent="0.25">
      <c r="A15551" s="2380">
        <v>0.02</v>
      </c>
      <c r="B15551" s="1921" t="s">
        <v>8264</v>
      </c>
      <c r="C15551" s="2108">
        <v>53.167000000000002</v>
      </c>
      <c r="D15551" s="3280">
        <v>84.26</v>
      </c>
      <c r="E15551" s="3270">
        <v>0.58481765004608133</v>
      </c>
      <c r="F15551" s="3282">
        <v>1.1696353000921627E-2</v>
      </c>
      <c r="H15551" t="s">
        <v>8273</v>
      </c>
      <c r="O15551" s="434"/>
    </row>
    <row r="15552" spans="1:15" ht="12.75" hidden="1" customHeight="1" outlineLevel="1" x14ac:dyDescent="0.25">
      <c r="A15552" s="2380">
        <v>0.02</v>
      </c>
      <c r="B15552" s="1921" t="s">
        <v>3998</v>
      </c>
      <c r="C15552" s="2108">
        <v>28.857445514855918</v>
      </c>
      <c r="D15552" s="3280">
        <v>15.34</v>
      </c>
      <c r="E15552" s="3270">
        <v>-0.46842141685400007</v>
      </c>
      <c r="F15552" s="3282">
        <v>-9.3684283370800009E-3</v>
      </c>
      <c r="H15552" t="s">
        <v>4000</v>
      </c>
      <c r="O15552" s="434"/>
    </row>
    <row r="15553" spans="1:15" ht="12.75" hidden="1" customHeight="1" outlineLevel="1" x14ac:dyDescent="0.25">
      <c r="A15553" s="2380">
        <v>0.02</v>
      </c>
      <c r="B15553" s="1921" t="s">
        <v>3305</v>
      </c>
      <c r="C15553" s="2108">
        <v>58.178051290508883</v>
      </c>
      <c r="D15553" s="3280">
        <v>94.33</v>
      </c>
      <c r="E15553" s="3270">
        <v>0.62140185014049987</v>
      </c>
      <c r="F15553" s="3282">
        <v>1.2428037002809998E-2</v>
      </c>
      <c r="H15553" t="s">
        <v>2013</v>
      </c>
      <c r="O15553" s="434"/>
    </row>
    <row r="15554" spans="1:15" ht="12.75" hidden="1" customHeight="1" outlineLevel="1" x14ac:dyDescent="0.25">
      <c r="A15554" s="2380">
        <v>0.02</v>
      </c>
      <c r="B15554" s="1921" t="s">
        <v>5856</v>
      </c>
      <c r="C15554" s="2108">
        <v>140.827</v>
      </c>
      <c r="D15554" s="3280">
        <v>505.04</v>
      </c>
      <c r="E15554" s="3270">
        <v>2.5862441151199702</v>
      </c>
      <c r="F15554" s="3282">
        <v>5.1724882302399404E-2</v>
      </c>
      <c r="H15554" t="s">
        <v>5854</v>
      </c>
      <c r="O15554" s="434"/>
    </row>
    <row r="15555" spans="1:15" ht="12.75" hidden="1" customHeight="1" outlineLevel="1" x14ac:dyDescent="0.25">
      <c r="A15555" s="2380">
        <v>0.02</v>
      </c>
      <c r="B15555" s="2109" t="s">
        <v>8266</v>
      </c>
      <c r="C15555" s="2108">
        <v>50.647559820700245</v>
      </c>
      <c r="D15555" s="3283">
        <v>29.91</v>
      </c>
      <c r="E15555" s="3270">
        <v>-0.40944835040649996</v>
      </c>
      <c r="F15555" s="3282">
        <v>-8.1889670081299985E-3</v>
      </c>
      <c r="H15555" t="s">
        <v>8275</v>
      </c>
      <c r="O15555" s="434"/>
    </row>
    <row r="15556" spans="1:15" ht="12.75" hidden="1" customHeight="1" outlineLevel="1" x14ac:dyDescent="0.25">
      <c r="A15556" s="2181" t="s">
        <v>2734</v>
      </c>
      <c r="B15556" s="2103"/>
      <c r="C15556" s="3258">
        <v>100</v>
      </c>
      <c r="D15556" s="3259"/>
      <c r="E15556" s="3284"/>
      <c r="F15556" s="3277">
        <v>0.1588</v>
      </c>
      <c r="G15556" s="78"/>
    </row>
    <row r="15557" spans="1:15" ht="12.75" hidden="1" customHeight="1" outlineLevel="1" x14ac:dyDescent="0.25">
      <c r="A15557" s="1956" t="s">
        <v>8283</v>
      </c>
      <c r="B15557" s="2185">
        <v>44287</v>
      </c>
      <c r="C15557" s="3261">
        <v>100</v>
      </c>
      <c r="D15557" s="3261">
        <v>129.15479999999999</v>
      </c>
      <c r="E15557" s="3262">
        <v>0.29154799999999992</v>
      </c>
      <c r="F15557" s="3285"/>
      <c r="G15557" s="78"/>
    </row>
    <row r="15558" spans="1:15" ht="12.75" hidden="1" customHeight="1" outlineLevel="1" x14ac:dyDescent="0.25">
      <c r="A15558" s="1956" t="s">
        <v>8284</v>
      </c>
      <c r="B15558" s="2185">
        <v>44317</v>
      </c>
      <c r="C15558" s="3261">
        <v>100</v>
      </c>
      <c r="D15558" s="3264">
        <v>130.71170000000001</v>
      </c>
      <c r="E15558" s="3262">
        <v>0.30711700000000008</v>
      </c>
      <c r="F15558" s="3285"/>
      <c r="G15558" s="78"/>
    </row>
    <row r="15559" spans="1:15" ht="12.75" hidden="1" customHeight="1" outlineLevel="1" x14ac:dyDescent="0.25">
      <c r="A15559" s="1956" t="s">
        <v>8285</v>
      </c>
      <c r="B15559" s="2185">
        <v>44348</v>
      </c>
      <c r="C15559" s="3261">
        <v>100</v>
      </c>
      <c r="D15559" s="3264">
        <v>132.86580000000001</v>
      </c>
      <c r="E15559" s="3262">
        <v>0.32865800000000012</v>
      </c>
      <c r="F15559" s="3285"/>
      <c r="G15559" s="78"/>
    </row>
    <row r="15560" spans="1:15" ht="12.75" hidden="1" customHeight="1" outlineLevel="1" x14ac:dyDescent="0.25">
      <c r="A15560" s="1956" t="s">
        <v>8286</v>
      </c>
      <c r="B15560" s="2185">
        <v>44378</v>
      </c>
      <c r="C15560" s="3261">
        <v>100</v>
      </c>
      <c r="D15560" s="3264">
        <v>135.44460000000001</v>
      </c>
      <c r="E15560" s="3262">
        <v>0.35444600000000004</v>
      </c>
      <c r="F15560" s="3285"/>
      <c r="G15560" s="78"/>
    </row>
    <row r="15561" spans="1:15" ht="12.75" hidden="1" customHeight="1" outlineLevel="1" x14ac:dyDescent="0.25">
      <c r="A15561" s="1956" t="s">
        <v>8287</v>
      </c>
      <c r="B15561" s="2185">
        <v>44409</v>
      </c>
      <c r="C15561" s="3261">
        <v>100</v>
      </c>
      <c r="D15561" s="3264">
        <v>136.78030000000001</v>
      </c>
      <c r="E15561" s="3262">
        <v>0.3678030000000001</v>
      </c>
      <c r="F15561" s="3285"/>
      <c r="G15561" s="78"/>
    </row>
    <row r="15562" spans="1:15" ht="12.75" hidden="1" customHeight="1" outlineLevel="1" x14ac:dyDescent="0.25">
      <c r="A15562" s="1956" t="s">
        <v>8288</v>
      </c>
      <c r="B15562" s="2185">
        <v>44440</v>
      </c>
      <c r="C15562" s="3261">
        <v>100</v>
      </c>
      <c r="D15562" s="3264">
        <v>130.69120000000001</v>
      </c>
      <c r="E15562" s="3262">
        <v>0.30691200000000007</v>
      </c>
      <c r="F15562" s="3285"/>
      <c r="G15562" s="78"/>
    </row>
    <row r="15563" spans="1:15" ht="12.75" hidden="1" customHeight="1" outlineLevel="1" x14ac:dyDescent="0.25">
      <c r="A15563" s="1956" t="s">
        <v>8289</v>
      </c>
      <c r="B15563" s="2185">
        <v>44470</v>
      </c>
      <c r="C15563" s="3261">
        <v>100</v>
      </c>
      <c r="D15563" s="3264">
        <v>137.8946</v>
      </c>
      <c r="E15563" s="3262">
        <v>0.37894600000000001</v>
      </c>
      <c r="F15563" s="3285"/>
      <c r="G15563" s="78"/>
    </row>
    <row r="15564" spans="1:15" ht="12.75" hidden="1" customHeight="1" outlineLevel="1" x14ac:dyDescent="0.25">
      <c r="A15564" s="1956" t="s">
        <v>8290</v>
      </c>
      <c r="B15564" s="2185">
        <v>44501</v>
      </c>
      <c r="C15564" s="3261">
        <v>100</v>
      </c>
      <c r="D15564" s="3264">
        <v>135.68940000000001</v>
      </c>
      <c r="E15564" s="3262">
        <v>0.35689400000000004</v>
      </c>
      <c r="F15564" s="3285"/>
      <c r="G15564" s="78"/>
    </row>
    <row r="15565" spans="1:15" ht="12.75" hidden="1" customHeight="1" outlineLevel="1" x14ac:dyDescent="0.25">
      <c r="A15565" s="1956" t="s">
        <v>8291</v>
      </c>
      <c r="B15565" s="2185">
        <v>44531</v>
      </c>
      <c r="C15565" s="3261">
        <v>100</v>
      </c>
      <c r="D15565" s="3264">
        <v>143.98939999999999</v>
      </c>
      <c r="E15565" s="3262">
        <v>0.43989399999999979</v>
      </c>
      <c r="F15565" s="3285"/>
      <c r="G15565" s="78"/>
    </row>
    <row r="15566" spans="1:15" ht="12.75" hidden="1" customHeight="1" outlineLevel="1" x14ac:dyDescent="0.25">
      <c r="A15566" s="1956" t="s">
        <v>8292</v>
      </c>
      <c r="B15566" s="2185">
        <v>44562</v>
      </c>
      <c r="C15566" s="3261">
        <v>100</v>
      </c>
      <c r="D15566" s="3264">
        <v>141.72</v>
      </c>
      <c r="E15566" s="3262">
        <v>0.41720000000000002</v>
      </c>
      <c r="F15566" s="3285"/>
      <c r="G15566" s="78"/>
    </row>
    <row r="15567" spans="1:15" ht="12.75" hidden="1" customHeight="1" outlineLevel="1" x14ac:dyDescent="0.25">
      <c r="A15567" s="1956" t="s">
        <v>8293</v>
      </c>
      <c r="B15567" s="2185">
        <v>44593</v>
      </c>
      <c r="C15567" s="3261">
        <v>100</v>
      </c>
      <c r="D15567" s="3264">
        <v>138.7396</v>
      </c>
      <c r="E15567" s="3262">
        <v>0.38739599999999985</v>
      </c>
      <c r="F15567" s="3285"/>
      <c r="G15567" s="78"/>
    </row>
    <row r="15568" spans="1:15" ht="12.75" hidden="1" customHeight="1" outlineLevel="1" x14ac:dyDescent="0.25">
      <c r="A15568" s="1956" t="s">
        <v>8294</v>
      </c>
      <c r="B15568" s="2185">
        <v>44621</v>
      </c>
      <c r="C15568" s="3261">
        <v>100</v>
      </c>
      <c r="D15568" s="3264">
        <v>141.09739999999999</v>
      </c>
      <c r="E15568" s="3262">
        <v>0.41097399999999995</v>
      </c>
      <c r="F15568" s="3285"/>
      <c r="G15568" s="78"/>
    </row>
    <row r="15569" spans="1:11" ht="12.75" hidden="1" customHeight="1" outlineLevel="1" x14ac:dyDescent="0.25">
      <c r="A15569" s="1956" t="s">
        <v>8295</v>
      </c>
      <c r="B15569" s="2185">
        <v>44652</v>
      </c>
      <c r="C15569" s="3261">
        <v>100</v>
      </c>
      <c r="D15569" s="3264">
        <v>137.7732</v>
      </c>
      <c r="E15569" s="3262">
        <v>0.37773199999999996</v>
      </c>
      <c r="F15569" s="3285"/>
      <c r="G15569" s="78"/>
    </row>
    <row r="15570" spans="1:11" ht="12.75" hidden="1" customHeight="1" outlineLevel="1" x14ac:dyDescent="0.25">
      <c r="A15570" s="1956" t="s">
        <v>8296</v>
      </c>
      <c r="B15570" s="2185">
        <v>44682</v>
      </c>
      <c r="C15570" s="3261">
        <v>100</v>
      </c>
      <c r="D15570" s="3264">
        <v>135.0232</v>
      </c>
      <c r="E15570" s="3262">
        <v>0.3502320000000001</v>
      </c>
      <c r="F15570" s="3285"/>
      <c r="G15570" s="78"/>
    </row>
    <row r="15571" spans="1:11" ht="12.75" hidden="1" customHeight="1" outlineLevel="1" x14ac:dyDescent="0.25">
      <c r="A15571" s="1956" t="s">
        <v>8297</v>
      </c>
      <c r="B15571" s="2185">
        <v>44713</v>
      </c>
      <c r="C15571" s="3261">
        <v>100</v>
      </c>
      <c r="D15571" s="3264">
        <v>126.3189</v>
      </c>
      <c r="E15571" s="3262">
        <v>0.2631889999999999</v>
      </c>
      <c r="F15571" s="3285"/>
      <c r="G15571" s="78"/>
    </row>
    <row r="15572" spans="1:11" ht="12.75" hidden="1" customHeight="1" outlineLevel="1" x14ac:dyDescent="0.25">
      <c r="A15572" s="1956" t="s">
        <v>8298</v>
      </c>
      <c r="B15572" s="2185">
        <v>44743</v>
      </c>
      <c r="C15572" s="3261">
        <v>100</v>
      </c>
      <c r="D15572" s="3264">
        <v>132.0694</v>
      </c>
      <c r="E15572" s="3262">
        <v>0.32069400000000003</v>
      </c>
      <c r="F15572" s="3285"/>
      <c r="G15572" s="78"/>
    </row>
    <row r="15573" spans="1:11" ht="12.75" hidden="1" customHeight="1" outlineLevel="1" x14ac:dyDescent="0.25">
      <c r="A15573" s="1956" t="s">
        <v>8299</v>
      </c>
      <c r="B15573" s="2185">
        <v>44774</v>
      </c>
      <c r="C15573" s="3261">
        <v>100</v>
      </c>
      <c r="D15573" s="3264">
        <v>127.3096</v>
      </c>
      <c r="E15573" s="3262">
        <v>0.27309600000000001</v>
      </c>
      <c r="F15573" s="3285"/>
      <c r="G15573" s="78"/>
    </row>
    <row r="15574" spans="1:11" ht="12.75" hidden="1" customHeight="1" outlineLevel="1" x14ac:dyDescent="0.25">
      <c r="A15574" s="1956" t="s">
        <v>8300</v>
      </c>
      <c r="B15574" s="2185">
        <v>44805</v>
      </c>
      <c r="C15574" s="3261">
        <v>100</v>
      </c>
      <c r="D15574" s="3264">
        <v>115.88209999999999</v>
      </c>
      <c r="E15574" s="3262">
        <v>0.15882099999999988</v>
      </c>
      <c r="F15574" s="3285"/>
      <c r="G15574" s="78"/>
    </row>
    <row r="15575" spans="1:11" ht="12.75" hidden="1" customHeight="1" outlineLevel="1" x14ac:dyDescent="0.25">
      <c r="A15575" s="2189" t="s">
        <v>2734</v>
      </c>
      <c r="B15575" s="2190"/>
      <c r="C15575" s="3264"/>
      <c r="D15575" s="2191" t="s">
        <v>2465</v>
      </c>
      <c r="E15575" s="1987">
        <v>0.33841955555555553</v>
      </c>
      <c r="F15575" s="2192">
        <v>0.35712555555555553</v>
      </c>
      <c r="G15575" s="78"/>
    </row>
    <row r="15576" spans="1:11" collapsed="1" x14ac:dyDescent="0.25">
      <c r="A15576" s="3801" t="s">
        <v>8256</v>
      </c>
      <c r="B15576" s="3802"/>
      <c r="C15576" s="3802"/>
      <c r="D15576" s="3802"/>
      <c r="E15576" s="1906"/>
      <c r="F15576" s="1907">
        <v>0.35712555555555553</v>
      </c>
      <c r="G15576" s="78">
        <v>4</v>
      </c>
    </row>
    <row r="15578" spans="1:11" ht="12.75" hidden="1" customHeight="1" outlineLevel="1" x14ac:dyDescent="0.25">
      <c r="A15578" s="3237" t="s">
        <v>113</v>
      </c>
      <c r="B15578" s="3237" t="s">
        <v>114</v>
      </c>
      <c r="C15578" s="3237" t="s">
        <v>112</v>
      </c>
      <c r="D15578" s="3237" t="s">
        <v>116</v>
      </c>
      <c r="E15578" s="3237" t="s">
        <v>117</v>
      </c>
      <c r="F15578" s="3276" t="s">
        <v>121</v>
      </c>
      <c r="G15578" s="78"/>
    </row>
    <row r="15579" spans="1:11" ht="12.75" hidden="1" customHeight="1" outlineLevel="1" x14ac:dyDescent="0.25">
      <c r="A15579" s="3238">
        <v>1</v>
      </c>
      <c r="B15579" s="3239" t="s">
        <v>252</v>
      </c>
      <c r="C15579" s="3240">
        <v>100</v>
      </c>
      <c r="D15579" s="3240"/>
      <c r="E15579" s="3241"/>
      <c r="F15579" s="3242"/>
      <c r="G15579" s="78"/>
    </row>
    <row r="15580" spans="1:11" ht="12.75" hidden="1" customHeight="1" outlineLevel="1" x14ac:dyDescent="0.25">
      <c r="A15580" s="3243" t="s">
        <v>2734</v>
      </c>
      <c r="B15580" s="3243"/>
      <c r="C15580" s="3244"/>
      <c r="D15580" s="1900" t="s">
        <v>3702</v>
      </c>
      <c r="E15580" s="3245">
        <v>44439</v>
      </c>
      <c r="F15580" s="3246"/>
      <c r="G15580" s="78"/>
    </row>
    <row r="15581" spans="1:11" ht="12.75" hidden="1" customHeight="1" outlineLevel="1" x14ac:dyDescent="0.25">
      <c r="A15581" s="3237" t="s">
        <v>4156</v>
      </c>
      <c r="B15581" s="3237" t="s">
        <v>4153</v>
      </c>
      <c r="C15581" s="3247" t="s">
        <v>112</v>
      </c>
      <c r="D15581" s="3248" t="s">
        <v>4155</v>
      </c>
      <c r="E15581" s="3237" t="s">
        <v>4154</v>
      </c>
      <c r="F15581" s="3277" t="s">
        <v>2519</v>
      </c>
      <c r="G15581" s="78"/>
    </row>
    <row r="15582" spans="1:11" ht="12.75" hidden="1" customHeight="1" outlineLevel="1" x14ac:dyDescent="0.25">
      <c r="A15582" s="2380">
        <v>0.05</v>
      </c>
      <c r="B15582" s="2089" t="s">
        <v>6562</v>
      </c>
      <c r="C15582" s="2108">
        <v>60.76</v>
      </c>
      <c r="D15582" s="3194">
        <v>31.05</v>
      </c>
      <c r="E15582" s="3195">
        <v>-0.48897300855826198</v>
      </c>
      <c r="F15582" s="3193">
        <v>-2.44486504279131E-2</v>
      </c>
      <c r="G15582" s="78"/>
      <c r="H15582" t="s">
        <v>8895</v>
      </c>
      <c r="K15582" s="434"/>
    </row>
    <row r="15583" spans="1:11" ht="12.75" hidden="1" customHeight="1" outlineLevel="1" x14ac:dyDescent="0.25">
      <c r="A15583" s="2380">
        <v>0.05</v>
      </c>
      <c r="B15583" s="1921" t="s">
        <v>359</v>
      </c>
      <c r="C15583" s="2108">
        <v>150.77000000000001</v>
      </c>
      <c r="D15583" s="3196">
        <v>168.58</v>
      </c>
      <c r="E15583" s="3197">
        <v>0.1181269483318963</v>
      </c>
      <c r="F15583" s="3198">
        <v>5.9063474165948152E-3</v>
      </c>
      <c r="G15583" s="78"/>
      <c r="H15583" t="s">
        <v>360</v>
      </c>
      <c r="K15583" s="434"/>
    </row>
    <row r="15584" spans="1:11" ht="12.75" hidden="1" customHeight="1" outlineLevel="1" x14ac:dyDescent="0.25">
      <c r="A15584" s="2380">
        <v>0.04</v>
      </c>
      <c r="B15584" s="1921" t="s">
        <v>10705</v>
      </c>
      <c r="C15584" s="2108">
        <v>37.183</v>
      </c>
      <c r="D15584" s="3196">
        <v>25.7546</v>
      </c>
      <c r="E15584" s="3197">
        <v>-0.30735551192749377</v>
      </c>
      <c r="F15584" s="3198">
        <v>-1.2294220477099752E-2</v>
      </c>
      <c r="G15584" s="78"/>
      <c r="H15584" t="s">
        <v>10706</v>
      </c>
      <c r="K15584" s="434"/>
    </row>
    <row r="15585" spans="1:11" ht="12.75" hidden="1" customHeight="1" outlineLevel="1" x14ac:dyDescent="0.25">
      <c r="A15585" s="2380">
        <v>0.08</v>
      </c>
      <c r="B15585" s="1921" t="s">
        <v>218</v>
      </c>
      <c r="C15585" s="2108">
        <v>22.164000000000001</v>
      </c>
      <c r="D15585" s="3196">
        <v>23.524999999999999</v>
      </c>
      <c r="E15585" s="3197">
        <v>6.1405883414545892E-2</v>
      </c>
      <c r="F15585" s="3198">
        <v>4.9124706731636719E-3</v>
      </c>
      <c r="G15585" s="78"/>
      <c r="H15585" t="s">
        <v>656</v>
      </c>
      <c r="K15585" s="434"/>
    </row>
    <row r="15586" spans="1:11" ht="12.75" hidden="1" customHeight="1" outlineLevel="1" x14ac:dyDescent="0.25">
      <c r="A15586" s="2380">
        <v>0.05</v>
      </c>
      <c r="B15586" s="1921" t="s">
        <v>8301</v>
      </c>
      <c r="C15586" s="2108">
        <v>4.2612573230778805</v>
      </c>
      <c r="D15586" s="3196">
        <v>2.4169999999999998</v>
      </c>
      <c r="E15586" s="3197">
        <v>-0.43279651596956004</v>
      </c>
      <c r="F15586" s="3198">
        <v>-2.1639825798478004E-2</v>
      </c>
      <c r="G15586" s="78"/>
      <c r="H15586" t="s">
        <v>8302</v>
      </c>
      <c r="K15586" s="434"/>
    </row>
    <row r="15587" spans="1:11" ht="12.75" hidden="1" customHeight="1" outlineLevel="1" x14ac:dyDescent="0.25">
      <c r="A15587" s="2380">
        <v>0.05</v>
      </c>
      <c r="B15587" s="1921" t="s">
        <v>3019</v>
      </c>
      <c r="C15587" s="2108">
        <v>54.954999999999998</v>
      </c>
      <c r="D15587" s="3196">
        <v>46.484999999999999</v>
      </c>
      <c r="E15587" s="3197">
        <v>-0.15412610317532527</v>
      </c>
      <c r="F15587" s="3198">
        <v>-7.7063051587662641E-3</v>
      </c>
      <c r="G15587" s="78"/>
      <c r="H15587" t="s">
        <v>2745</v>
      </c>
      <c r="K15587" s="434"/>
    </row>
    <row r="15588" spans="1:11" ht="12.75" hidden="1" customHeight="1" outlineLevel="1" x14ac:dyDescent="0.25">
      <c r="A15588" s="2380">
        <v>0.05</v>
      </c>
      <c r="B15588" s="1921" t="s">
        <v>1188</v>
      </c>
      <c r="C15588" s="2108">
        <v>4.4699</v>
      </c>
      <c r="D15588" s="3196">
        <v>4.415</v>
      </c>
      <c r="E15588" s="3197">
        <v>-1.228215396317589E-2</v>
      </c>
      <c r="F15588" s="3198">
        <v>-6.1410769815879458E-4</v>
      </c>
      <c r="G15588" s="78"/>
      <c r="H15588" t="s">
        <v>2746</v>
      </c>
      <c r="K15588" s="434"/>
    </row>
    <row r="15589" spans="1:11" ht="12.75" hidden="1" customHeight="1" outlineLevel="1" x14ac:dyDescent="0.25">
      <c r="A15589" s="2380">
        <v>0.03</v>
      </c>
      <c r="B15589" s="1921" t="s">
        <v>951</v>
      </c>
      <c r="C15589" s="2108">
        <v>3044.15</v>
      </c>
      <c r="D15589" s="3196">
        <v>3335</v>
      </c>
      <c r="E15589" s="3197">
        <v>9.5543912093687844E-2</v>
      </c>
      <c r="F15589" s="3198">
        <v>2.866317362810635E-3</v>
      </c>
      <c r="G15589" s="78"/>
      <c r="H15589" t="s">
        <v>952</v>
      </c>
      <c r="K15589" s="434"/>
    </row>
    <row r="15590" spans="1:11" ht="12.75" hidden="1" customHeight="1" outlineLevel="1" x14ac:dyDescent="0.25">
      <c r="A15590" s="2380">
        <v>0.08</v>
      </c>
      <c r="B15590" s="1921" t="s">
        <v>1714</v>
      </c>
      <c r="C15590" s="2108">
        <v>10.784000000000001</v>
      </c>
      <c r="D15590" s="3196">
        <v>9.19</v>
      </c>
      <c r="E15590" s="3197">
        <v>-0.14781157270029688</v>
      </c>
      <c r="F15590" s="3198">
        <v>-1.182492581602375E-2</v>
      </c>
      <c r="G15590" s="78"/>
      <c r="H15590" t="s">
        <v>4328</v>
      </c>
      <c r="K15590" s="434"/>
    </row>
    <row r="15591" spans="1:11" ht="12.75" hidden="1" customHeight="1" outlineLevel="1" x14ac:dyDescent="0.25">
      <c r="A15591" s="2380">
        <v>0.05</v>
      </c>
      <c r="B15591" s="1921" t="s">
        <v>1212</v>
      </c>
      <c r="C15591" s="2108">
        <v>13.560985679072415</v>
      </c>
      <c r="D15591" s="3196">
        <v>5.0599999999999996</v>
      </c>
      <c r="E15591" s="3197">
        <v>-0.62687078065360002</v>
      </c>
      <c r="F15591" s="3198">
        <v>-3.1343539032680001E-2</v>
      </c>
      <c r="G15591" s="78"/>
      <c r="H15591" t="s">
        <v>8879</v>
      </c>
      <c r="K15591" s="434"/>
    </row>
    <row r="15592" spans="1:11" ht="12.75" hidden="1" customHeight="1" outlineLevel="1" x14ac:dyDescent="0.25">
      <c r="A15592" s="2380">
        <v>0.03</v>
      </c>
      <c r="B15592" s="1921" t="s">
        <v>459</v>
      </c>
      <c r="C15592" s="2108">
        <v>1007.16</v>
      </c>
      <c r="D15592" s="3196">
        <v>549.9</v>
      </c>
      <c r="E15592" s="3197">
        <v>-0.45400929345883478</v>
      </c>
      <c r="F15592" s="3198">
        <v>-1.3620278803765044E-2</v>
      </c>
      <c r="G15592" s="78"/>
      <c r="H15592" t="s">
        <v>639</v>
      </c>
      <c r="K15592" s="434"/>
    </row>
    <row r="15593" spans="1:11" ht="12.75" hidden="1" customHeight="1" outlineLevel="1" x14ac:dyDescent="0.25">
      <c r="A15593" s="2380">
        <v>0.02</v>
      </c>
      <c r="B15593" s="1921" t="s">
        <v>2787</v>
      </c>
      <c r="C15593" s="2108">
        <v>63.132500452770515</v>
      </c>
      <c r="D15593" s="3196">
        <v>79.13</v>
      </c>
      <c r="E15593" s="3197">
        <v>0.25339562717299979</v>
      </c>
      <c r="F15593" s="3198">
        <v>5.0679125434599957E-3</v>
      </c>
      <c r="G15593" s="78"/>
      <c r="H15593" t="s">
        <v>8874</v>
      </c>
      <c r="K15593" s="434"/>
    </row>
    <row r="15594" spans="1:11" ht="12.75" hidden="1" customHeight="1" outlineLevel="1" x14ac:dyDescent="0.25">
      <c r="A15594" s="2380">
        <v>0.04</v>
      </c>
      <c r="B15594" s="1921" t="s">
        <v>5824</v>
      </c>
      <c r="C15594" s="2519">
        <v>13.411423690298768</v>
      </c>
      <c r="D15594" s="3196">
        <v>10.098000000000001</v>
      </c>
      <c r="E15594" s="3197">
        <v>-0.2470598026587999</v>
      </c>
      <c r="F15594" s="3198">
        <v>-9.8823921063519969E-3</v>
      </c>
      <c r="G15594" s="78"/>
      <c r="H15594" t="s">
        <v>5817</v>
      </c>
      <c r="K15594" s="434"/>
    </row>
    <row r="15595" spans="1:11" ht="12.75" hidden="1" customHeight="1" outlineLevel="1" x14ac:dyDescent="0.25">
      <c r="A15595" s="2380">
        <v>0.02</v>
      </c>
      <c r="B15595" s="1921" t="s">
        <v>10667</v>
      </c>
      <c r="C15595" s="2108">
        <v>19.970500000000001</v>
      </c>
      <c r="D15595" s="3196">
        <v>22.9</v>
      </c>
      <c r="E15595" s="3197">
        <v>0.14669136977041131</v>
      </c>
      <c r="F15595" s="3198">
        <v>2.9338273954082261E-3</v>
      </c>
      <c r="G15595" s="78"/>
      <c r="H15595" t="s">
        <v>10668</v>
      </c>
      <c r="K15595" s="434"/>
    </row>
    <row r="15596" spans="1:11" ht="12.75" hidden="1" customHeight="1" outlineLevel="1" x14ac:dyDescent="0.25">
      <c r="A15596" s="2380">
        <v>0.02</v>
      </c>
      <c r="B15596" s="1921" t="s">
        <v>1187</v>
      </c>
      <c r="C15596" s="2108">
        <v>76.168840467612242</v>
      </c>
      <c r="D15596" s="3196">
        <v>82.18</v>
      </c>
      <c r="E15596" s="3197">
        <v>7.891887936700015E-2</v>
      </c>
      <c r="F15596" s="3198">
        <v>1.578377587340003E-3</v>
      </c>
      <c r="G15596" s="78"/>
      <c r="H15596" t="s">
        <v>3483</v>
      </c>
      <c r="K15596" s="434"/>
    </row>
    <row r="15597" spans="1:11" ht="12.75" hidden="1" customHeight="1" outlineLevel="1" x14ac:dyDescent="0.25">
      <c r="A15597" s="2380">
        <v>0.05</v>
      </c>
      <c r="B15597" s="1921" t="s">
        <v>1239</v>
      </c>
      <c r="C15597" s="2108">
        <v>436.16</v>
      </c>
      <c r="D15597" s="3196">
        <v>506.2</v>
      </c>
      <c r="E15597" s="3197">
        <v>0.1605832721936904</v>
      </c>
      <c r="F15597" s="3198">
        <v>8.0291636096845205E-3</v>
      </c>
      <c r="G15597" s="78"/>
      <c r="H15597" t="s">
        <v>8891</v>
      </c>
      <c r="K15597" s="434"/>
    </row>
    <row r="15598" spans="1:11" ht="12.75" hidden="1" customHeight="1" outlineLevel="1" x14ac:dyDescent="0.25">
      <c r="A15598" s="2380">
        <v>0.08</v>
      </c>
      <c r="B15598" s="1921" t="s">
        <v>7755</v>
      </c>
      <c r="C15598" s="2108">
        <v>8.2210999999999999</v>
      </c>
      <c r="D15598" s="3196">
        <v>4.1159999999999997</v>
      </c>
      <c r="E15598" s="3197">
        <v>-0.49933707168140518</v>
      </c>
      <c r="F15598" s="3198">
        <v>-3.9946965734512417E-2</v>
      </c>
      <c r="G15598" s="78"/>
      <c r="H15598" t="s">
        <v>6732</v>
      </c>
      <c r="K15598" s="434"/>
    </row>
    <row r="15599" spans="1:11" ht="12.75" hidden="1" customHeight="1" outlineLevel="1" x14ac:dyDescent="0.25">
      <c r="A15599" s="2380">
        <v>0.05</v>
      </c>
      <c r="B15599" s="1921" t="s">
        <v>10633</v>
      </c>
      <c r="C15599" s="2108">
        <v>43.353999999999999</v>
      </c>
      <c r="D15599" s="3196">
        <v>50.69</v>
      </c>
      <c r="E15599" s="3197">
        <v>0.16921160677215474</v>
      </c>
      <c r="F15599" s="3198">
        <v>8.4605803386077379E-3</v>
      </c>
      <c r="G15599" s="78"/>
      <c r="H15599" t="s">
        <v>10634</v>
      </c>
      <c r="K15599" s="434"/>
    </row>
    <row r="15600" spans="1:11" ht="12.75" hidden="1" customHeight="1" outlineLevel="1" x14ac:dyDescent="0.25">
      <c r="A15600" s="2380">
        <v>0.08</v>
      </c>
      <c r="B15600" s="1921" t="s">
        <v>8304</v>
      </c>
      <c r="C15600" s="2108">
        <v>15.705</v>
      </c>
      <c r="D15600" s="3196">
        <v>15.53</v>
      </c>
      <c r="E15600" s="3197">
        <v>-1.1142948105698824E-2</v>
      </c>
      <c r="F15600" s="3198">
        <v>-8.91435848455906E-4</v>
      </c>
      <c r="G15600" s="78"/>
      <c r="H15600" t="s">
        <v>8903</v>
      </c>
      <c r="K15600" s="434"/>
    </row>
    <row r="15601" spans="1:11" ht="12.75" hidden="1" customHeight="1" outlineLevel="1" x14ac:dyDescent="0.25">
      <c r="A15601" s="2380">
        <v>0.08</v>
      </c>
      <c r="B15601" s="2109" t="s">
        <v>4550</v>
      </c>
      <c r="C15601" s="2108">
        <v>263.64</v>
      </c>
      <c r="D15601" s="3199">
        <v>434.1</v>
      </c>
      <c r="E15601" s="3197">
        <v>0.64656349567592186</v>
      </c>
      <c r="F15601" s="3198">
        <v>5.1725079654073747E-2</v>
      </c>
      <c r="G15601" s="78"/>
      <c r="H15601" t="s">
        <v>8889</v>
      </c>
      <c r="K15601" s="434"/>
    </row>
    <row r="15602" spans="1:11" ht="12.75" hidden="1" customHeight="1" outlineLevel="1" x14ac:dyDescent="0.25">
      <c r="A15602" s="2181" t="s">
        <v>2734</v>
      </c>
      <c r="B15602" s="2103"/>
      <c r="C15602" s="3200"/>
      <c r="D15602" s="3201"/>
      <c r="E15602" s="3202"/>
      <c r="F15602" s="3193">
        <v>-8.8099999999999998E-2</v>
      </c>
      <c r="G15602" s="78"/>
    </row>
    <row r="15603" spans="1:11" ht="12.75" hidden="1" customHeight="1" outlineLevel="1" x14ac:dyDescent="0.25">
      <c r="A15603" s="1956" t="s">
        <v>8305</v>
      </c>
      <c r="B15603" s="2185">
        <v>44256</v>
      </c>
      <c r="C15603" s="3203">
        <v>100</v>
      </c>
      <c r="D15603" s="3203">
        <v>95.531199999999998</v>
      </c>
      <c r="E15603" s="3204">
        <v>-4.4688000000000061E-2</v>
      </c>
      <c r="F15603" s="3205"/>
      <c r="G15603" s="78"/>
    </row>
    <row r="15604" spans="1:11" ht="12.75" hidden="1" customHeight="1" outlineLevel="1" x14ac:dyDescent="0.25">
      <c r="A15604" s="1956" t="s">
        <v>8306</v>
      </c>
      <c r="B15604" s="2185">
        <v>44287</v>
      </c>
      <c r="C15604" s="3203">
        <v>100</v>
      </c>
      <c r="D15604" s="3206">
        <v>94.698899999999995</v>
      </c>
      <c r="E15604" s="3204">
        <v>-5.301100000000003E-2</v>
      </c>
      <c r="F15604" s="3205"/>
      <c r="G15604" s="78"/>
    </row>
    <row r="15605" spans="1:11" ht="12.75" hidden="1" customHeight="1" outlineLevel="1" x14ac:dyDescent="0.25">
      <c r="A15605" s="1956" t="s">
        <v>8307</v>
      </c>
      <c r="B15605" s="2185">
        <v>44317</v>
      </c>
      <c r="C15605" s="3203">
        <v>100</v>
      </c>
      <c r="D15605" s="3206">
        <v>94.947900000000004</v>
      </c>
      <c r="E15605" s="3204">
        <v>-5.0520999999999927E-2</v>
      </c>
      <c r="F15605" s="3205"/>
      <c r="G15605" s="78"/>
    </row>
    <row r="15606" spans="1:11" ht="12.75" hidden="1" customHeight="1" outlineLevel="1" x14ac:dyDescent="0.25">
      <c r="A15606" s="1956" t="s">
        <v>8308</v>
      </c>
      <c r="B15606" s="2185">
        <v>44348</v>
      </c>
      <c r="C15606" s="3203">
        <v>100</v>
      </c>
      <c r="D15606" s="3206">
        <v>93.590999999999994</v>
      </c>
      <c r="E15606" s="3204">
        <v>-6.4090000000000091E-2</v>
      </c>
      <c r="F15606" s="3205"/>
      <c r="G15606" s="78"/>
    </row>
    <row r="15607" spans="1:11" ht="12.75" hidden="1" customHeight="1" outlineLevel="1" x14ac:dyDescent="0.25">
      <c r="A15607" s="1956" t="s">
        <v>8309</v>
      </c>
      <c r="B15607" s="2185">
        <v>44378</v>
      </c>
      <c r="C15607" s="3203">
        <v>100</v>
      </c>
      <c r="D15607" s="3206">
        <v>92.430700000000002</v>
      </c>
      <c r="E15607" s="3204">
        <v>-7.569300000000001E-2</v>
      </c>
      <c r="F15607" s="3205"/>
      <c r="G15607" s="78"/>
    </row>
    <row r="15608" spans="1:11" ht="12.75" hidden="1" customHeight="1" outlineLevel="1" x14ac:dyDescent="0.25">
      <c r="A15608" s="1956" t="s">
        <v>8310</v>
      </c>
      <c r="B15608" s="2185">
        <v>44409</v>
      </c>
      <c r="C15608" s="3203">
        <v>100</v>
      </c>
      <c r="D15608" s="3206">
        <v>94.937600000000003</v>
      </c>
      <c r="E15608" s="3204">
        <v>-5.0624000000000002E-2</v>
      </c>
      <c r="F15608" s="3205"/>
      <c r="G15608" s="78"/>
    </row>
    <row r="15609" spans="1:11" ht="12.75" hidden="1" customHeight="1" outlineLevel="1" x14ac:dyDescent="0.25">
      <c r="A15609" s="1956" t="s">
        <v>8311</v>
      </c>
      <c r="B15609" s="2185">
        <v>44440</v>
      </c>
      <c r="C15609" s="3203">
        <v>100</v>
      </c>
      <c r="D15609" s="3206">
        <v>94.320499999999996</v>
      </c>
      <c r="E15609" s="3204">
        <v>-5.679500000000004E-2</v>
      </c>
      <c r="F15609" s="3205"/>
      <c r="G15609" s="78"/>
    </row>
    <row r="15610" spans="1:11" ht="12.75" hidden="1" customHeight="1" outlineLevel="1" x14ac:dyDescent="0.25">
      <c r="A15610" s="1956" t="s">
        <v>8312</v>
      </c>
      <c r="B15610" s="2185">
        <v>44470</v>
      </c>
      <c r="C15610" s="3203">
        <v>100</v>
      </c>
      <c r="D15610" s="3206">
        <v>97.043099999999995</v>
      </c>
      <c r="E15610" s="3204">
        <v>-2.9569000000000067E-2</v>
      </c>
      <c r="F15610" s="3205"/>
      <c r="G15610" s="78"/>
    </row>
    <row r="15611" spans="1:11" ht="12.75" hidden="1" customHeight="1" outlineLevel="1" x14ac:dyDescent="0.25">
      <c r="A15611" s="1956" t="s">
        <v>8313</v>
      </c>
      <c r="B15611" s="2185">
        <v>44501</v>
      </c>
      <c r="C15611" s="3203">
        <v>100</v>
      </c>
      <c r="D15611" s="3206">
        <v>92.3827</v>
      </c>
      <c r="E15611" s="3204">
        <v>-7.6173000000000046E-2</v>
      </c>
      <c r="F15611" s="3205"/>
      <c r="G15611" s="78"/>
    </row>
    <row r="15612" spans="1:11" ht="12.75" hidden="1" customHeight="1" outlineLevel="1" x14ac:dyDescent="0.25">
      <c r="A15612" s="1956" t="s">
        <v>8314</v>
      </c>
      <c r="B15612" s="2185">
        <v>44531</v>
      </c>
      <c r="C15612" s="3203">
        <v>100</v>
      </c>
      <c r="D15612" s="3206">
        <v>97.087900000000005</v>
      </c>
      <c r="E15612" s="3204">
        <v>-2.9120999999999952E-2</v>
      </c>
      <c r="F15612" s="3205"/>
      <c r="G15612" s="78"/>
    </row>
    <row r="15613" spans="1:11" ht="12.75" hidden="1" customHeight="1" outlineLevel="1" x14ac:dyDescent="0.25">
      <c r="A15613" s="1956" t="s">
        <v>8315</v>
      </c>
      <c r="B15613" s="2185">
        <v>44562</v>
      </c>
      <c r="C15613" s="3203">
        <v>100</v>
      </c>
      <c r="D15613" s="3206">
        <v>103.0881</v>
      </c>
      <c r="E15613" s="3204">
        <v>3.0880999999999936E-2</v>
      </c>
      <c r="F15613" s="3205"/>
      <c r="G15613" s="78"/>
    </row>
    <row r="15614" spans="1:11" ht="12.75" hidden="1" customHeight="1" outlineLevel="1" x14ac:dyDescent="0.25">
      <c r="A15614" s="1956" t="s">
        <v>8316</v>
      </c>
      <c r="B15614" s="2185">
        <v>44593</v>
      </c>
      <c r="C15614" s="3203">
        <v>100</v>
      </c>
      <c r="D15614" s="3206">
        <v>96.940700000000007</v>
      </c>
      <c r="E15614" s="3204">
        <v>-3.0592999999999981E-2</v>
      </c>
      <c r="F15614" s="3205"/>
      <c r="G15614" s="78"/>
    </row>
    <row r="15615" spans="1:11" ht="12.75" hidden="1" customHeight="1" outlineLevel="1" x14ac:dyDescent="0.25">
      <c r="A15615" s="1956" t="s">
        <v>8317</v>
      </c>
      <c r="B15615" s="2185">
        <v>44621</v>
      </c>
      <c r="C15615" s="3203">
        <v>100</v>
      </c>
      <c r="D15615" s="3206">
        <v>100.0314</v>
      </c>
      <c r="E15615" s="3204">
        <v>3.1400000000014749E-4</v>
      </c>
      <c r="F15615" s="3205"/>
      <c r="G15615" s="78"/>
    </row>
    <row r="15616" spans="1:11" ht="12.75" hidden="1" customHeight="1" outlineLevel="1" x14ac:dyDescent="0.25">
      <c r="A15616" s="1956" t="s">
        <v>8318</v>
      </c>
      <c r="B15616" s="2185">
        <v>44652</v>
      </c>
      <c r="C15616" s="3203">
        <v>100</v>
      </c>
      <c r="D15616" s="3206">
        <v>98.419300000000007</v>
      </c>
      <c r="E15616" s="3204">
        <v>-1.5806999999999904E-2</v>
      </c>
      <c r="F15616" s="3205"/>
      <c r="G15616" s="78"/>
    </row>
    <row r="15617" spans="1:14" ht="12.75" hidden="1" customHeight="1" outlineLevel="1" x14ac:dyDescent="0.25">
      <c r="A15617" s="1956" t="s">
        <v>8319</v>
      </c>
      <c r="B15617" s="2185">
        <v>44682</v>
      </c>
      <c r="C15617" s="3203">
        <v>100</v>
      </c>
      <c r="D15617" s="3206">
        <v>100.36879999999999</v>
      </c>
      <c r="E15617" s="3204">
        <v>3.6879999999999136E-3</v>
      </c>
      <c r="F15617" s="3205"/>
      <c r="G15617" s="78"/>
    </row>
    <row r="15618" spans="1:14" ht="12.75" hidden="1" customHeight="1" outlineLevel="1" x14ac:dyDescent="0.25">
      <c r="A15618" s="1956" t="s">
        <v>8320</v>
      </c>
      <c r="B15618" s="2185">
        <v>44713</v>
      </c>
      <c r="C15618" s="3203">
        <v>100</v>
      </c>
      <c r="D15618" s="3206">
        <v>91.444599999999994</v>
      </c>
      <c r="E15618" s="3204">
        <v>-8.5554000000000019E-2</v>
      </c>
      <c r="F15618" s="3205"/>
      <c r="G15618" s="78"/>
    </row>
    <row r="15619" spans="1:14" ht="12.75" hidden="1" customHeight="1" outlineLevel="1" x14ac:dyDescent="0.25">
      <c r="A15619" s="1956" t="s">
        <v>8321</v>
      </c>
      <c r="B15619" s="2185">
        <v>44743</v>
      </c>
      <c r="C15619" s="3203">
        <v>100</v>
      </c>
      <c r="D15619" s="3206">
        <v>90.614900000000006</v>
      </c>
      <c r="E15619" s="3204">
        <v>-9.3850999999999907E-2</v>
      </c>
      <c r="F15619" s="3205"/>
      <c r="G15619" s="78"/>
    </row>
    <row r="15620" spans="1:14" ht="12.75" hidden="1" customHeight="1" outlineLevel="1" x14ac:dyDescent="0.25">
      <c r="A15620" s="1956" t="s">
        <v>8322</v>
      </c>
      <c r="B15620" s="2185">
        <v>44774</v>
      </c>
      <c r="C15620" s="3203">
        <v>100</v>
      </c>
      <c r="D15620" s="3206">
        <v>91.1875</v>
      </c>
      <c r="E15620" s="3204">
        <v>-8.8125000000000009E-2</v>
      </c>
      <c r="F15620" s="3205"/>
      <c r="G15620" s="78"/>
    </row>
    <row r="15621" spans="1:14" ht="12.75" hidden="1" customHeight="1" outlineLevel="1" x14ac:dyDescent="0.25">
      <c r="A15621" s="2189" t="s">
        <v>2734</v>
      </c>
      <c r="B15621" s="2190"/>
      <c r="C15621" s="3206"/>
      <c r="D15621" s="2191" t="s">
        <v>2465</v>
      </c>
      <c r="E15621" s="1987">
        <v>-4.4962888888888893E-2</v>
      </c>
      <c r="F15621" s="2192">
        <v>-4.4962888888888893E-2</v>
      </c>
      <c r="G15621" s="78"/>
    </row>
    <row r="15622" spans="1:14" collapsed="1" x14ac:dyDescent="0.25">
      <c r="A15622" s="3801" t="s">
        <v>8258</v>
      </c>
      <c r="B15622" s="3802"/>
      <c r="C15622" s="3802"/>
      <c r="D15622" s="3802"/>
      <c r="E15622" s="1906"/>
      <c r="F15622" s="1907">
        <v>0</v>
      </c>
      <c r="G15622" s="78"/>
    </row>
    <row r="15624" spans="1:14" ht="12.75" hidden="1" customHeight="1" outlineLevel="1" x14ac:dyDescent="0.25">
      <c r="A15624" s="3237" t="s">
        <v>113</v>
      </c>
      <c r="B15624" s="3237" t="s">
        <v>114</v>
      </c>
      <c r="C15624" s="3237" t="s">
        <v>112</v>
      </c>
      <c r="D15624" s="3237" t="s">
        <v>116</v>
      </c>
      <c r="E15624" s="3237" t="s">
        <v>117</v>
      </c>
      <c r="F15624" s="3276" t="s">
        <v>121</v>
      </c>
      <c r="G15624" s="78"/>
    </row>
    <row r="15625" spans="1:14" ht="12.75" hidden="1" customHeight="1" outlineLevel="1" x14ac:dyDescent="0.25">
      <c r="A15625" s="3238">
        <v>1</v>
      </c>
      <c r="B15625" s="3239" t="s">
        <v>252</v>
      </c>
      <c r="C15625" s="3240">
        <v>100</v>
      </c>
      <c r="D15625" s="3240"/>
      <c r="E15625" s="3241"/>
      <c r="F15625" s="3242"/>
      <c r="G15625" s="78"/>
    </row>
    <row r="15626" spans="1:14" ht="12.75" hidden="1" customHeight="1" outlineLevel="1" x14ac:dyDescent="0.25">
      <c r="A15626" s="3243" t="s">
        <v>2734</v>
      </c>
      <c r="B15626" s="3243"/>
      <c r="C15626" s="3244"/>
      <c r="D15626" s="1900" t="s">
        <v>3702</v>
      </c>
      <c r="E15626" s="3245">
        <v>44865</v>
      </c>
      <c r="F15626" s="3246"/>
      <c r="G15626" s="78"/>
    </row>
    <row r="15627" spans="1:14" ht="12.75" hidden="1" customHeight="1" outlineLevel="1" x14ac:dyDescent="0.3">
      <c r="A15627" s="3237" t="s">
        <v>4156</v>
      </c>
      <c r="B15627" s="3237" t="s">
        <v>4153</v>
      </c>
      <c r="C15627" s="3247" t="s">
        <v>112</v>
      </c>
      <c r="D15627" s="3248" t="s">
        <v>4155</v>
      </c>
      <c r="E15627" s="3237" t="s">
        <v>4154</v>
      </c>
      <c r="F15627" s="3277" t="s">
        <v>2519</v>
      </c>
      <c r="G15627" s="78"/>
      <c r="H15627" t="s">
        <v>10219</v>
      </c>
      <c r="I15627" t="s">
        <v>9004</v>
      </c>
      <c r="J15627" s="406">
        <v>0.1234</v>
      </c>
      <c r="K15627" s="1559" t="s">
        <v>8597</v>
      </c>
    </row>
    <row r="15628" spans="1:14" ht="12.75" hidden="1" customHeight="1" outlineLevel="1" x14ac:dyDescent="0.25">
      <c r="A15628" s="1991">
        <v>0.02</v>
      </c>
      <c r="B15628" s="1921" t="s">
        <v>7111</v>
      </c>
      <c r="C15628" s="2090">
        <v>61.820999999999998</v>
      </c>
      <c r="D15628" s="3194">
        <v>146.4</v>
      </c>
      <c r="E15628" s="3195">
        <v>1.3681273353714758</v>
      </c>
      <c r="F15628" s="3193">
        <v>2.7362546707429516E-2</v>
      </c>
      <c r="G15628" s="78"/>
      <c r="H15628" t="s">
        <v>7109</v>
      </c>
      <c r="K15628" s="434"/>
      <c r="N15628" s="434"/>
    </row>
    <row r="15629" spans="1:14" ht="12.75" hidden="1" customHeight="1" outlineLevel="1" x14ac:dyDescent="0.25">
      <c r="A15629" s="2380">
        <v>0.02</v>
      </c>
      <c r="B15629" s="1921" t="s">
        <v>6551</v>
      </c>
      <c r="C15629" s="1998">
        <v>28.804749999999999</v>
      </c>
      <c r="D15629" s="3024">
        <v>153.34</v>
      </c>
      <c r="E15629" s="3197">
        <v>4.3234275596906766</v>
      </c>
      <c r="F15629" s="3198">
        <v>8.6468551193813539E-2</v>
      </c>
      <c r="G15629" s="78"/>
      <c r="H15629" t="s">
        <v>6550</v>
      </c>
      <c r="K15629" s="434"/>
      <c r="N15629" s="434"/>
    </row>
    <row r="15630" spans="1:14" ht="12.75" hidden="1" customHeight="1" outlineLevel="1" x14ac:dyDescent="0.25">
      <c r="A15630" s="2380">
        <v>0.04</v>
      </c>
      <c r="B15630" s="1921" t="s">
        <v>7833</v>
      </c>
      <c r="C15630" s="2179">
        <v>16.03</v>
      </c>
      <c r="D15630" s="3196">
        <v>45.5</v>
      </c>
      <c r="E15630" s="3197">
        <v>1.838427947598253</v>
      </c>
      <c r="F15630" s="3198">
        <v>7.3537117903930124E-2</v>
      </c>
      <c r="G15630" s="78"/>
      <c r="H15630" t="s">
        <v>7825</v>
      </c>
      <c r="K15630" s="434"/>
      <c r="N15630" s="434"/>
    </row>
    <row r="15631" spans="1:14" ht="12.75" hidden="1" customHeight="1" outlineLevel="1" x14ac:dyDescent="0.25">
      <c r="A15631" s="2380">
        <v>0.04</v>
      </c>
      <c r="B15631" s="1921" t="s">
        <v>10705</v>
      </c>
      <c r="C15631" s="2179">
        <v>35.667524602305967</v>
      </c>
      <c r="D15631" s="3196">
        <v>25.7546</v>
      </c>
      <c r="E15631" s="3197">
        <v>-0.2779257801833851</v>
      </c>
      <c r="F15631" s="3198">
        <v>-1.1117031207335403E-2</v>
      </c>
      <c r="G15631" s="78"/>
      <c r="H15631" t="s">
        <v>10706</v>
      </c>
      <c r="K15631" s="434"/>
      <c r="N15631" s="434"/>
    </row>
    <row r="15632" spans="1:14" ht="12.75" hidden="1" customHeight="1" outlineLevel="1" x14ac:dyDescent="0.25">
      <c r="A15632" s="2380">
        <v>0.02</v>
      </c>
      <c r="B15632" s="1921" t="s">
        <v>873</v>
      </c>
      <c r="C15632" s="2179">
        <v>2.2875999999999999</v>
      </c>
      <c r="D15632" s="3196">
        <v>1.4775999999999998</v>
      </c>
      <c r="E15632" s="3197">
        <v>-0.35408288162266133</v>
      </c>
      <c r="F15632" s="3198">
        <v>-7.0816576324532268E-3</v>
      </c>
      <c r="G15632" s="78"/>
      <c r="H15632" t="s">
        <v>3495</v>
      </c>
      <c r="K15632" s="434"/>
      <c r="N15632" s="434"/>
    </row>
    <row r="15633" spans="1:14" ht="12.75" hidden="1" customHeight="1" outlineLevel="1" x14ac:dyDescent="0.25">
      <c r="A15633" s="2380">
        <v>0.04</v>
      </c>
      <c r="B15633" s="1921" t="s">
        <v>7835</v>
      </c>
      <c r="C15633" s="2179">
        <v>95.049795708761209</v>
      </c>
      <c r="D15633" s="3196">
        <v>53.22</v>
      </c>
      <c r="E15633" s="3197">
        <v>-0.44008296279699999</v>
      </c>
      <c r="F15633" s="3198">
        <v>-1.760331851188E-2</v>
      </c>
      <c r="G15633" s="78"/>
      <c r="H15633" t="s">
        <v>5541</v>
      </c>
      <c r="K15633" s="434"/>
      <c r="N15633" s="434"/>
    </row>
    <row r="15634" spans="1:14" ht="12.75" hidden="1" customHeight="1" outlineLevel="1" x14ac:dyDescent="0.25">
      <c r="A15634" s="2380">
        <v>7.0000000000000007E-2</v>
      </c>
      <c r="B15634" s="1921" t="s">
        <v>335</v>
      </c>
      <c r="C15634" s="2179">
        <v>66.752464053731359</v>
      </c>
      <c r="D15634" s="3196">
        <v>97.94</v>
      </c>
      <c r="E15634" s="3197">
        <v>0.46721175597599984</v>
      </c>
      <c r="F15634" s="3198">
        <v>3.2704822918319991E-2</v>
      </c>
      <c r="G15634" s="78"/>
      <c r="H15634" t="s">
        <v>8885</v>
      </c>
      <c r="K15634" s="434"/>
      <c r="N15634" s="434"/>
    </row>
    <row r="15635" spans="1:14" ht="12.75" hidden="1" customHeight="1" outlineLevel="1" x14ac:dyDescent="0.25">
      <c r="A15635" s="2380">
        <v>0.08</v>
      </c>
      <c r="B15635" s="1921" t="s">
        <v>1212</v>
      </c>
      <c r="C15635" s="2179">
        <v>15.027664077406909</v>
      </c>
      <c r="D15635" s="3196">
        <v>4.13</v>
      </c>
      <c r="E15635" s="3197">
        <v>-0.7251735213985</v>
      </c>
      <c r="F15635" s="3198">
        <v>-5.8013881711880003E-2</v>
      </c>
      <c r="G15635" s="78"/>
      <c r="H15635" t="s">
        <v>8879</v>
      </c>
      <c r="K15635" s="434"/>
      <c r="N15635" s="434"/>
    </row>
    <row r="15636" spans="1:14" ht="12.75" hidden="1" customHeight="1" outlineLevel="1" x14ac:dyDescent="0.25">
      <c r="A15636" s="2380">
        <v>0.08</v>
      </c>
      <c r="B15636" s="1921" t="s">
        <v>10665</v>
      </c>
      <c r="C15636" s="2179">
        <v>69.680000000000007</v>
      </c>
      <c r="D15636" s="3196">
        <v>83.734999999999999</v>
      </c>
      <c r="E15636" s="3197">
        <v>0.20170780711825476</v>
      </c>
      <c r="F15636" s="3198">
        <v>1.613662456946038E-2</v>
      </c>
      <c r="G15636" s="78"/>
      <c r="H15636" t="s">
        <v>10666</v>
      </c>
      <c r="K15636" s="434"/>
      <c r="N15636" s="434"/>
    </row>
    <row r="15637" spans="1:14" ht="12.75" hidden="1" customHeight="1" outlineLevel="1" x14ac:dyDescent="0.25">
      <c r="A15637" s="2380">
        <v>0.03</v>
      </c>
      <c r="B15637" s="1921" t="s">
        <v>6447</v>
      </c>
      <c r="C15637" s="2179">
        <v>8.4893994869275211</v>
      </c>
      <c r="D15637" s="3196">
        <v>3.484</v>
      </c>
      <c r="E15637" s="3197">
        <v>-0.58960583662426669</v>
      </c>
      <c r="F15637" s="3198">
        <v>-1.7688175098727998E-2</v>
      </c>
      <c r="G15637" s="78"/>
      <c r="H15637" t="s">
        <v>6445</v>
      </c>
      <c r="K15637" s="434"/>
      <c r="N15637" s="434"/>
    </row>
    <row r="15638" spans="1:14" ht="12.75" hidden="1" customHeight="1" outlineLevel="1" x14ac:dyDescent="0.25">
      <c r="A15638" s="2380">
        <v>0.02</v>
      </c>
      <c r="B15638" s="1921" t="s">
        <v>3425</v>
      </c>
      <c r="C15638" s="2179">
        <v>90.465999999999994</v>
      </c>
      <c r="D15638" s="3196">
        <v>110.81</v>
      </c>
      <c r="E15638" s="3197">
        <v>0.22488006543894956</v>
      </c>
      <c r="F15638" s="3198">
        <v>4.4976013087789915E-3</v>
      </c>
      <c r="G15638" s="78"/>
      <c r="H15638" t="s">
        <v>4126</v>
      </c>
      <c r="K15638" s="434"/>
      <c r="N15638" s="434"/>
    </row>
    <row r="15639" spans="1:14" ht="12.75" hidden="1" customHeight="1" outlineLevel="1" x14ac:dyDescent="0.25">
      <c r="A15639" s="2380">
        <v>0.03</v>
      </c>
      <c r="B15639" s="1921" t="s">
        <v>10730</v>
      </c>
      <c r="C15639" s="2179">
        <v>15.039</v>
      </c>
      <c r="D15639" s="3196">
        <v>14.1104</v>
      </c>
      <c r="E15639" s="3197">
        <v>-6.1746126737150075E-2</v>
      </c>
      <c r="F15639" s="3198">
        <v>-1.8523838021145022E-3</v>
      </c>
      <c r="G15639" s="78"/>
      <c r="H15639" t="s">
        <v>10729</v>
      </c>
      <c r="K15639" s="434"/>
      <c r="N15639" s="434"/>
    </row>
    <row r="15640" spans="1:14" ht="12.75" hidden="1" customHeight="1" outlineLevel="1" x14ac:dyDescent="0.25">
      <c r="A15640" s="2380">
        <v>0.02</v>
      </c>
      <c r="B15640" s="1921" t="s">
        <v>7837</v>
      </c>
      <c r="C15640" s="2179">
        <v>111.90787403609411</v>
      </c>
      <c r="D15640" s="3196">
        <v>204.14</v>
      </c>
      <c r="E15640" s="3197">
        <v>0.824179055838</v>
      </c>
      <c r="F15640" s="3198">
        <v>1.6483581116760002E-2</v>
      </c>
      <c r="G15640" s="78"/>
      <c r="H15640" t="s">
        <v>7828</v>
      </c>
      <c r="K15640" s="434"/>
      <c r="N15640" s="434"/>
    </row>
    <row r="15641" spans="1:14" ht="12.75" hidden="1" customHeight="1" outlineLevel="1" x14ac:dyDescent="0.25">
      <c r="A15641" s="2380">
        <v>0.08</v>
      </c>
      <c r="B15641" s="1921" t="s">
        <v>1771</v>
      </c>
      <c r="C15641" s="2179">
        <v>6.6257999999999999</v>
      </c>
      <c r="D15641" s="3196">
        <v>4.4729999999999999</v>
      </c>
      <c r="E15641" s="3197">
        <v>-0.32491170877478948</v>
      </c>
      <c r="F15641" s="3198">
        <v>-2.599293670198316E-2</v>
      </c>
      <c r="G15641" s="78"/>
      <c r="H15641" t="s">
        <v>4329</v>
      </c>
      <c r="K15641" s="434"/>
      <c r="N15641" s="434"/>
    </row>
    <row r="15642" spans="1:14" ht="12.75" hidden="1" customHeight="1" outlineLevel="1" x14ac:dyDescent="0.25">
      <c r="A15642" s="2380">
        <v>0.02</v>
      </c>
      <c r="B15642" s="1921" t="s">
        <v>1343</v>
      </c>
      <c r="C15642" s="2179">
        <v>34.881999999999998</v>
      </c>
      <c r="D15642" s="3196">
        <v>21.24</v>
      </c>
      <c r="E15642" s="3197">
        <v>-0.39108996043804833</v>
      </c>
      <c r="F15642" s="3198">
        <v>-7.8217992087609677E-3</v>
      </c>
      <c r="G15642" s="78"/>
      <c r="H15642" t="s">
        <v>7747</v>
      </c>
      <c r="K15642" s="434"/>
      <c r="N15642" s="434"/>
    </row>
    <row r="15643" spans="1:14" ht="12.75" hidden="1" customHeight="1" outlineLevel="1" x14ac:dyDescent="0.25">
      <c r="A15643" s="2380">
        <v>0.05</v>
      </c>
      <c r="B15643" s="1921" t="s">
        <v>8208</v>
      </c>
      <c r="C15643" s="2179">
        <v>2.7654875713706186</v>
      </c>
      <c r="D15643" s="3196">
        <v>1.2156</v>
      </c>
      <c r="E15643" s="3197">
        <v>-0.56043917442104796</v>
      </c>
      <c r="F15643" s="3198">
        <v>-2.8021958721052398E-2</v>
      </c>
      <c r="G15643" s="78"/>
      <c r="H15643" t="s">
        <v>8209</v>
      </c>
      <c r="K15643" s="434"/>
      <c r="N15643" s="434"/>
    </row>
    <row r="15644" spans="1:14" ht="12.75" hidden="1" customHeight="1" outlineLevel="1" x14ac:dyDescent="0.25">
      <c r="A15644" s="2380">
        <v>0.02</v>
      </c>
      <c r="B15644" s="1921" t="s">
        <v>7838</v>
      </c>
      <c r="C15644" s="2179">
        <v>49.787712413487192</v>
      </c>
      <c r="D15644" s="3196">
        <v>73.209999999999994</v>
      </c>
      <c r="E15644" s="3197">
        <v>0.47044313649099978</v>
      </c>
      <c r="F15644" s="3198">
        <v>9.4088627298199966E-3</v>
      </c>
      <c r="G15644" s="78"/>
      <c r="H15644" t="s">
        <v>7829</v>
      </c>
      <c r="K15644" s="434"/>
      <c r="N15644" s="434"/>
    </row>
    <row r="15645" spans="1:14" ht="12.75" hidden="1" customHeight="1" outlineLevel="1" x14ac:dyDescent="0.25">
      <c r="A15645" s="2380">
        <v>0.02</v>
      </c>
      <c r="B15645" s="1921" t="s">
        <v>1002</v>
      </c>
      <c r="C15645" s="2179">
        <v>39.970999999999997</v>
      </c>
      <c r="D15645" s="3196">
        <v>78.069999999999993</v>
      </c>
      <c r="E15645" s="3197">
        <v>0.9531660453829025</v>
      </c>
      <c r="F15645" s="3198">
        <v>1.9063320907658051E-2</v>
      </c>
      <c r="G15645" s="78"/>
      <c r="H15645" t="s">
        <v>6557</v>
      </c>
      <c r="K15645" s="434"/>
      <c r="N15645" s="434"/>
    </row>
    <row r="15646" spans="1:14" ht="12.75" hidden="1" customHeight="1" outlineLevel="1" x14ac:dyDescent="0.25">
      <c r="A15646" s="2380">
        <v>0.08</v>
      </c>
      <c r="B15646" s="1921" t="s">
        <v>5824</v>
      </c>
      <c r="C15646" s="2179">
        <v>13.597679851139032</v>
      </c>
      <c r="D15646" s="3196">
        <v>9.6310000000000002</v>
      </c>
      <c r="E15646" s="3197">
        <v>-0.2917174028631625</v>
      </c>
      <c r="F15646" s="3198">
        <v>-2.3337392229053001E-2</v>
      </c>
      <c r="G15646" s="78"/>
      <c r="H15646" t="s">
        <v>5817</v>
      </c>
      <c r="K15646" s="434"/>
      <c r="N15646" s="434"/>
    </row>
    <row r="15647" spans="1:14" ht="12.75" hidden="1" customHeight="1" outlineLevel="1" x14ac:dyDescent="0.25">
      <c r="A15647" s="2380">
        <v>0.02</v>
      </c>
      <c r="B15647" s="1921" t="s">
        <v>1414</v>
      </c>
      <c r="C15647" s="2179">
        <v>30.69726820236842</v>
      </c>
      <c r="D15647" s="3196">
        <v>46.55</v>
      </c>
      <c r="E15647" s="3197">
        <v>0.51642158165749996</v>
      </c>
      <c r="F15647" s="3198">
        <v>1.032843163315E-2</v>
      </c>
      <c r="G15647" s="78"/>
      <c r="H15647" t="s">
        <v>2428</v>
      </c>
      <c r="K15647" s="434"/>
      <c r="N15647" s="434"/>
    </row>
    <row r="15648" spans="1:14" ht="12.75" hidden="1" customHeight="1" outlineLevel="1" x14ac:dyDescent="0.25">
      <c r="A15648" s="2380">
        <v>0.03</v>
      </c>
      <c r="B15648" s="1921" t="s">
        <v>309</v>
      </c>
      <c r="C15648" s="2179">
        <v>13.155965662594582</v>
      </c>
      <c r="D15648" s="3196">
        <v>8.1079999999999988</v>
      </c>
      <c r="E15648" s="3197">
        <v>-0.38370164471826673</v>
      </c>
      <c r="F15648" s="3198">
        <v>-1.1511049341548002E-2</v>
      </c>
      <c r="G15648" s="78"/>
      <c r="H15648" t="s">
        <v>305</v>
      </c>
      <c r="K15648" s="434"/>
      <c r="N15648" s="434"/>
    </row>
    <row r="15649" spans="1:14" ht="12.75" hidden="1" customHeight="1" outlineLevel="1" x14ac:dyDescent="0.25">
      <c r="A15649" s="2380">
        <v>0.02</v>
      </c>
      <c r="B15649" s="1921" t="s">
        <v>818</v>
      </c>
      <c r="C15649" s="2179">
        <v>64.057000000000002</v>
      </c>
      <c r="D15649" s="3196">
        <v>56.74</v>
      </c>
      <c r="E15649" s="3197">
        <v>-0.11422639211951857</v>
      </c>
      <c r="F15649" s="3198">
        <v>-2.2845278423903716E-3</v>
      </c>
      <c r="G15649" s="78"/>
      <c r="H15649" t="s">
        <v>2421</v>
      </c>
      <c r="K15649" s="434"/>
      <c r="N15649" s="434"/>
    </row>
    <row r="15650" spans="1:14" ht="12.75" hidden="1" customHeight="1" outlineLevel="1" x14ac:dyDescent="0.25">
      <c r="A15650" s="2380">
        <v>0.02</v>
      </c>
      <c r="B15650" s="1921" t="s">
        <v>6559</v>
      </c>
      <c r="C15650" s="2179">
        <v>67.802000000000007</v>
      </c>
      <c r="D15650" s="3196">
        <v>117.66</v>
      </c>
      <c r="E15650" s="3197">
        <v>0.73534703991032702</v>
      </c>
      <c r="F15650" s="3198">
        <v>1.4706940798206541E-2</v>
      </c>
      <c r="G15650" s="78"/>
      <c r="H15650" t="s">
        <v>6558</v>
      </c>
      <c r="K15650" s="434"/>
      <c r="N15650" s="434"/>
    </row>
    <row r="15651" spans="1:14" ht="12.75" hidden="1" customHeight="1" outlineLevel="1" x14ac:dyDescent="0.25">
      <c r="A15651" s="2380">
        <v>0.03</v>
      </c>
      <c r="B15651" s="1921" t="s">
        <v>3800</v>
      </c>
      <c r="C15651" s="2179">
        <v>230.21</v>
      </c>
      <c r="D15651" s="3196">
        <v>332.55</v>
      </c>
      <c r="E15651" s="3197">
        <v>0.44455062768776332</v>
      </c>
      <c r="F15651" s="3198">
        <v>1.33365188306329E-2</v>
      </c>
      <c r="G15651" s="78"/>
      <c r="H15651" t="s">
        <v>8876</v>
      </c>
      <c r="K15651" s="434"/>
      <c r="N15651" s="434"/>
    </row>
    <row r="15652" spans="1:14" ht="12.75" hidden="1" customHeight="1" outlineLevel="1" x14ac:dyDescent="0.25">
      <c r="A15652" s="2380">
        <v>0.02</v>
      </c>
      <c r="B15652" s="1921" t="s">
        <v>1206</v>
      </c>
      <c r="C15652" s="2179">
        <v>80.55867765186278</v>
      </c>
      <c r="D15652" s="3196">
        <v>97.67</v>
      </c>
      <c r="E15652" s="3197">
        <v>0.21240818303999998</v>
      </c>
      <c r="F15652" s="3198">
        <v>4.2481636607999999E-3</v>
      </c>
      <c r="G15652" s="78"/>
      <c r="H15652" t="s">
        <v>3484</v>
      </c>
      <c r="K15652" s="434"/>
      <c r="N15652" s="434"/>
    </row>
    <row r="15653" spans="1:14" ht="12.75" hidden="1" customHeight="1" outlineLevel="1" x14ac:dyDescent="0.25">
      <c r="A15653" s="2380">
        <v>0.02</v>
      </c>
      <c r="B15653" s="1921" t="s">
        <v>8210</v>
      </c>
      <c r="C15653" s="2179">
        <v>182.69900000000001</v>
      </c>
      <c r="D15653" s="3196">
        <v>108.98</v>
      </c>
      <c r="E15653" s="3197">
        <v>-0.4034997454830076</v>
      </c>
      <c r="F15653" s="3198">
        <v>-8.0699949096601515E-3</v>
      </c>
      <c r="G15653" s="78"/>
      <c r="H15653" t="s">
        <v>8211</v>
      </c>
      <c r="K15653" s="434"/>
      <c r="N15653" s="434"/>
    </row>
    <row r="15654" spans="1:14" ht="12.75" hidden="1" customHeight="1" outlineLevel="1" x14ac:dyDescent="0.25">
      <c r="A15654" s="2380">
        <v>0.02</v>
      </c>
      <c r="B15654" s="1921" t="s">
        <v>8212</v>
      </c>
      <c r="C15654" s="2179">
        <v>3925.85</v>
      </c>
      <c r="D15654" s="3196">
        <v>6400</v>
      </c>
      <c r="E15654" s="3197">
        <v>0.63022020708891069</v>
      </c>
      <c r="F15654" s="3198">
        <v>1.2604404141778214E-2</v>
      </c>
      <c r="G15654" s="78"/>
      <c r="H15654" t="s">
        <v>8213</v>
      </c>
      <c r="K15654" s="434"/>
      <c r="N15654" s="434"/>
    </row>
    <row r="15655" spans="1:14" ht="12.75" hidden="1" customHeight="1" outlineLevel="1" x14ac:dyDescent="0.25">
      <c r="A15655" s="2380"/>
      <c r="B15655" s="1921" t="s">
        <v>9589</v>
      </c>
      <c r="C15655" s="2179"/>
      <c r="D15655" s="3196"/>
      <c r="E15655" s="3197"/>
      <c r="F15655" s="3198"/>
      <c r="G15655" s="78"/>
      <c r="K15655" s="434"/>
      <c r="N15655" s="434"/>
    </row>
    <row r="15656" spans="1:14" ht="12.75" hidden="1" customHeight="1" outlineLevel="1" x14ac:dyDescent="0.25">
      <c r="A15656" s="2380">
        <v>0.02</v>
      </c>
      <c r="B15656" s="1921" t="s">
        <v>7840</v>
      </c>
      <c r="C15656" s="2179">
        <v>104.223</v>
      </c>
      <c r="D15656" s="3196">
        <v>197.14</v>
      </c>
      <c r="E15656" s="3197">
        <v>0.89152106540782738</v>
      </c>
      <c r="F15656" s="3198">
        <v>1.7830421308156548E-2</v>
      </c>
      <c r="G15656" s="78"/>
      <c r="H15656" t="s">
        <v>7831</v>
      </c>
      <c r="K15656" s="434"/>
      <c r="N15656" s="434"/>
    </row>
    <row r="15657" spans="1:14" ht="12.75" hidden="1" customHeight="1" outlineLevel="1" x14ac:dyDescent="0.25">
      <c r="A15657" s="2380">
        <v>0.02</v>
      </c>
      <c r="B15657" s="2109" t="s">
        <v>164</v>
      </c>
      <c r="C15657" s="2179">
        <v>71.192999999999998</v>
      </c>
      <c r="D15657" s="3196">
        <v>142.33000000000001</v>
      </c>
      <c r="E15657" s="3197">
        <v>0.99921340581236939</v>
      </c>
      <c r="F15657" s="3198">
        <v>1.998426811624739E-2</v>
      </c>
      <c r="G15657" s="78"/>
      <c r="H15657" t="s">
        <v>2618</v>
      </c>
      <c r="K15657" s="434"/>
      <c r="N15657" s="434"/>
    </row>
    <row r="15658" spans="1:14" ht="12.75" hidden="1" customHeight="1" outlineLevel="1" x14ac:dyDescent="0.25">
      <c r="A15658" s="2181" t="s">
        <v>2734</v>
      </c>
      <c r="B15658" s="2103"/>
      <c r="C15658" s="3200"/>
      <c r="D15658" s="3150"/>
      <c r="E15658" s="3202"/>
      <c r="F15658" s="3193">
        <v>0.1411</v>
      </c>
      <c r="G15658" s="297"/>
    </row>
    <row r="15659" spans="1:14" ht="12.75" hidden="1" customHeight="1" outlineLevel="1" x14ac:dyDescent="0.25">
      <c r="A15659" s="1956" t="s">
        <v>8407</v>
      </c>
      <c r="B15659" s="2185">
        <v>44317</v>
      </c>
      <c r="C15659" s="3203">
        <v>100</v>
      </c>
      <c r="D15659" s="3203">
        <v>123.73990000000001</v>
      </c>
      <c r="E15659" s="3204">
        <v>0.23739900000000014</v>
      </c>
      <c r="F15659" s="3205"/>
      <c r="G15659" s="78"/>
    </row>
    <row r="15660" spans="1:14" ht="12.75" hidden="1" customHeight="1" outlineLevel="1" x14ac:dyDescent="0.25">
      <c r="A15660" s="1956" t="s">
        <v>8408</v>
      </c>
      <c r="B15660" s="2185">
        <v>44348</v>
      </c>
      <c r="C15660" s="3203">
        <v>100</v>
      </c>
      <c r="D15660" s="3206">
        <v>123.3236</v>
      </c>
      <c r="E15660" s="3204">
        <v>0.233236</v>
      </c>
      <c r="F15660" s="3205"/>
      <c r="G15660" s="78"/>
    </row>
    <row r="15661" spans="1:14" ht="12.75" hidden="1" customHeight="1" outlineLevel="1" x14ac:dyDescent="0.25">
      <c r="A15661" s="1956" t="s">
        <v>8409</v>
      </c>
      <c r="B15661" s="2185">
        <v>44378</v>
      </c>
      <c r="C15661" s="3203">
        <v>100</v>
      </c>
      <c r="D15661" s="3206">
        <v>123.9646</v>
      </c>
      <c r="E15661" s="3204">
        <v>0.23964600000000003</v>
      </c>
      <c r="F15661" s="3205"/>
      <c r="G15661" s="78"/>
    </row>
    <row r="15662" spans="1:14" ht="12.75" hidden="1" customHeight="1" outlineLevel="1" x14ac:dyDescent="0.25">
      <c r="A15662" s="1956" t="s">
        <v>8410</v>
      </c>
      <c r="B15662" s="2185">
        <v>44409</v>
      </c>
      <c r="C15662" s="3203">
        <v>100</v>
      </c>
      <c r="D15662" s="3206">
        <v>124.23050000000001</v>
      </c>
      <c r="E15662" s="3204">
        <v>0.24230499999999999</v>
      </c>
      <c r="F15662" s="3205"/>
      <c r="G15662" s="78"/>
    </row>
    <row r="15663" spans="1:14" ht="12.75" hidden="1" customHeight="1" outlineLevel="1" x14ac:dyDescent="0.25">
      <c r="A15663" s="1956" t="s">
        <v>8411</v>
      </c>
      <c r="B15663" s="2185">
        <v>44440</v>
      </c>
      <c r="C15663" s="3203">
        <v>100</v>
      </c>
      <c r="D15663" s="3206">
        <v>120.9389</v>
      </c>
      <c r="E15663" s="3204">
        <v>0.20938900000000005</v>
      </c>
      <c r="F15663" s="3205"/>
      <c r="G15663" s="78"/>
    </row>
    <row r="15664" spans="1:14" ht="12.75" hidden="1" customHeight="1" outlineLevel="1" x14ac:dyDescent="0.25">
      <c r="A15664" s="1956" t="s">
        <v>8412</v>
      </c>
      <c r="B15664" s="2185">
        <v>44470</v>
      </c>
      <c r="C15664" s="3203">
        <v>100</v>
      </c>
      <c r="D15664" s="3206">
        <v>128.6859</v>
      </c>
      <c r="E15664" s="3204">
        <v>0.28685899999999998</v>
      </c>
      <c r="F15664" s="3205"/>
      <c r="G15664" s="78"/>
    </row>
    <row r="15665" spans="1:7" ht="12.75" hidden="1" customHeight="1" outlineLevel="1" x14ac:dyDescent="0.25">
      <c r="A15665" s="1956" t="s">
        <v>8413</v>
      </c>
      <c r="B15665" s="2185">
        <v>44501</v>
      </c>
      <c r="C15665" s="3203">
        <v>100</v>
      </c>
      <c r="D15665" s="3206">
        <v>129.6362</v>
      </c>
      <c r="E15665" s="3204">
        <v>0.29636200000000001</v>
      </c>
      <c r="F15665" s="3205"/>
      <c r="G15665" s="78"/>
    </row>
    <row r="15666" spans="1:7" ht="12.75" hidden="1" customHeight="1" outlineLevel="1" x14ac:dyDescent="0.25">
      <c r="A15666" s="1956" t="s">
        <v>8414</v>
      </c>
      <c r="B15666" s="2185">
        <v>44531</v>
      </c>
      <c r="C15666" s="3203">
        <v>100</v>
      </c>
      <c r="D15666" s="3206">
        <v>133.6233</v>
      </c>
      <c r="E15666" s="3204">
        <v>0.336233</v>
      </c>
      <c r="F15666" s="3205"/>
      <c r="G15666" s="78"/>
    </row>
    <row r="15667" spans="1:7" ht="12.75" hidden="1" customHeight="1" outlineLevel="1" x14ac:dyDescent="0.25">
      <c r="A15667" s="1956" t="s">
        <v>8415</v>
      </c>
      <c r="B15667" s="2185">
        <v>44562</v>
      </c>
      <c r="C15667" s="3203">
        <v>100</v>
      </c>
      <c r="D15667" s="3206">
        <v>132.27690000000001</v>
      </c>
      <c r="E15667" s="3204">
        <v>0.32276900000000008</v>
      </c>
      <c r="F15667" s="3205"/>
      <c r="G15667" s="78"/>
    </row>
    <row r="15668" spans="1:7" ht="12.75" hidden="1" customHeight="1" outlineLevel="1" x14ac:dyDescent="0.25">
      <c r="A15668" s="1956" t="s">
        <v>8416</v>
      </c>
      <c r="B15668" s="2185">
        <v>44593</v>
      </c>
      <c r="C15668" s="3203">
        <v>100</v>
      </c>
      <c r="D15668" s="3206">
        <v>127.0334</v>
      </c>
      <c r="E15668" s="3204">
        <v>0.27033400000000007</v>
      </c>
      <c r="F15668" s="3205"/>
      <c r="G15668" s="78"/>
    </row>
    <row r="15669" spans="1:7" ht="12.75" hidden="1" customHeight="1" outlineLevel="1" x14ac:dyDescent="0.25">
      <c r="A15669" s="1956" t="s">
        <v>8417</v>
      </c>
      <c r="B15669" s="2185">
        <v>44621</v>
      </c>
      <c r="C15669" s="3203">
        <v>100</v>
      </c>
      <c r="D15669" s="3206">
        <v>127.86499999999999</v>
      </c>
      <c r="E15669" s="3204">
        <v>0.27864999999999984</v>
      </c>
      <c r="F15669" s="3205"/>
      <c r="G15669" s="78"/>
    </row>
    <row r="15670" spans="1:7" ht="12.75" hidden="1" customHeight="1" outlineLevel="1" x14ac:dyDescent="0.25">
      <c r="A15670" s="1956" t="s">
        <v>8418</v>
      </c>
      <c r="B15670" s="2185">
        <v>44652</v>
      </c>
      <c r="C15670" s="3203">
        <v>100</v>
      </c>
      <c r="D15670" s="3206">
        <v>122.36369999999999</v>
      </c>
      <c r="E15670" s="3204">
        <v>0.22363699999999986</v>
      </c>
      <c r="F15670" s="3205"/>
      <c r="G15670" s="78"/>
    </row>
    <row r="15671" spans="1:7" ht="12.75" hidden="1" customHeight="1" outlineLevel="1" x14ac:dyDescent="0.25">
      <c r="A15671" s="1956" t="s">
        <v>8419</v>
      </c>
      <c r="B15671" s="2185">
        <v>44682</v>
      </c>
      <c r="C15671" s="3203">
        <v>100</v>
      </c>
      <c r="D15671" s="3206">
        <v>120.4504</v>
      </c>
      <c r="E15671" s="3204">
        <v>0.20450400000000002</v>
      </c>
      <c r="F15671" s="3205"/>
      <c r="G15671" s="78"/>
    </row>
    <row r="15672" spans="1:7" ht="12.75" hidden="1" customHeight="1" outlineLevel="1" x14ac:dyDescent="0.25">
      <c r="A15672" s="1956" t="s">
        <v>8420</v>
      </c>
      <c r="B15672" s="2185">
        <v>44713</v>
      </c>
      <c r="C15672" s="3203">
        <v>100</v>
      </c>
      <c r="D15672" s="3206">
        <v>111.1687</v>
      </c>
      <c r="E15672" s="3204">
        <v>0.11168700000000009</v>
      </c>
      <c r="F15672" s="3205"/>
      <c r="G15672" s="78"/>
    </row>
    <row r="15673" spans="1:7" ht="12.75" hidden="1" customHeight="1" outlineLevel="1" x14ac:dyDescent="0.25">
      <c r="A15673" s="1956" t="s">
        <v>8421</v>
      </c>
      <c r="B15673" s="2185">
        <v>44743</v>
      </c>
      <c r="C15673" s="3203">
        <v>100</v>
      </c>
      <c r="D15673" s="3206">
        <v>118.6563</v>
      </c>
      <c r="E15673" s="3204">
        <v>0.18656300000000003</v>
      </c>
      <c r="F15673" s="3205"/>
      <c r="G15673" s="78"/>
    </row>
    <row r="15674" spans="1:7" ht="12.75" hidden="1" customHeight="1" outlineLevel="1" x14ac:dyDescent="0.25">
      <c r="A15674" s="1956" t="s">
        <v>8422</v>
      </c>
      <c r="B15674" s="2185">
        <v>44774</v>
      </c>
      <c r="C15674" s="3203">
        <v>100</v>
      </c>
      <c r="D15674" s="3206">
        <v>113.75360000000001</v>
      </c>
      <c r="E15674" s="3204">
        <v>0.1375360000000001</v>
      </c>
      <c r="F15674" s="3205"/>
      <c r="G15674" s="78"/>
    </row>
    <row r="15675" spans="1:7" ht="12.75" hidden="1" customHeight="1" outlineLevel="1" x14ac:dyDescent="0.25">
      <c r="A15675" s="1956" t="s">
        <v>8423</v>
      </c>
      <c r="B15675" s="2185">
        <v>44805</v>
      </c>
      <c r="C15675" s="3203">
        <v>100</v>
      </c>
      <c r="D15675" s="3206">
        <v>103.7471</v>
      </c>
      <c r="E15675" s="3204">
        <v>3.7471000000000032E-2</v>
      </c>
      <c r="F15675" s="3205"/>
      <c r="G15675" s="78"/>
    </row>
    <row r="15676" spans="1:7" ht="12.75" hidden="1" customHeight="1" outlineLevel="1" x14ac:dyDescent="0.25">
      <c r="A15676" s="1956" t="s">
        <v>8424</v>
      </c>
      <c r="B15676" s="2185">
        <v>44835</v>
      </c>
      <c r="C15676" s="3203">
        <v>100</v>
      </c>
      <c r="D15676" s="3206">
        <v>114.10769999999999</v>
      </c>
      <c r="E15676" s="3204">
        <v>0.1410769999999999</v>
      </c>
      <c r="F15676" s="3205"/>
      <c r="G15676" s="78"/>
    </row>
    <row r="15677" spans="1:7" ht="12.75" hidden="1" customHeight="1" outlineLevel="1" x14ac:dyDescent="0.25">
      <c r="A15677" s="2189" t="s">
        <v>2734</v>
      </c>
      <c r="B15677" s="2190"/>
      <c r="C15677" s="3264"/>
      <c r="D15677" s="2191" t="s">
        <v>2465</v>
      </c>
      <c r="E15677" s="1987">
        <v>0.22198094444444447</v>
      </c>
      <c r="F15677" s="2192">
        <v>0.22198094444444447</v>
      </c>
      <c r="G15677" s="78"/>
    </row>
    <row r="15678" spans="1:7" collapsed="1" x14ac:dyDescent="0.25">
      <c r="A15678" s="3801" t="s">
        <v>8406</v>
      </c>
      <c r="B15678" s="3802"/>
      <c r="C15678" s="3802"/>
      <c r="D15678" s="3802"/>
      <c r="E15678" s="1906"/>
      <c r="F15678" s="1907">
        <v>0.13318856666666667</v>
      </c>
      <c r="G15678" s="78"/>
    </row>
    <row r="15680" spans="1:7" hidden="1" outlineLevel="1" x14ac:dyDescent="0.25">
      <c r="A15680" s="15" t="s">
        <v>113</v>
      </c>
      <c r="B15680" s="15" t="s">
        <v>114</v>
      </c>
      <c r="C15680" s="15" t="s">
        <v>112</v>
      </c>
      <c r="D15680" s="15" t="s">
        <v>116</v>
      </c>
      <c r="E15680" s="15" t="s">
        <v>117</v>
      </c>
      <c r="F15680" s="1882" t="s">
        <v>121</v>
      </c>
      <c r="G15680" s="78"/>
    </row>
    <row r="15681" spans="1:8" hidden="1" outlineLevel="1" x14ac:dyDescent="0.25">
      <c r="A15681" s="21">
        <v>5</v>
      </c>
      <c r="B15681" s="21"/>
      <c r="C15681" s="11"/>
      <c r="D15681" s="32" t="s">
        <v>3702</v>
      </c>
      <c r="E15681" s="33">
        <f>indexy!$B$2</f>
        <v>45379</v>
      </c>
      <c r="F15681" s="200"/>
      <c r="G15681" s="78"/>
    </row>
    <row r="15682" spans="1:8" hidden="1" outlineLevel="1" x14ac:dyDescent="0.25">
      <c r="A15682" s="22" t="s">
        <v>4156</v>
      </c>
      <c r="B15682" s="22" t="s">
        <v>4153</v>
      </c>
      <c r="C15682" s="98" t="s">
        <v>112</v>
      </c>
      <c r="D15682" s="23" t="s">
        <v>4155</v>
      </c>
      <c r="E15682" s="22" t="s">
        <v>4154</v>
      </c>
      <c r="F15682" s="465" t="s">
        <v>734</v>
      </c>
      <c r="G15682" s="78"/>
    </row>
    <row r="15683" spans="1:8" hidden="1" outlineLevel="1" x14ac:dyDescent="0.25">
      <c r="A15683" s="470">
        <v>0.02</v>
      </c>
      <c r="B15683" s="1505" t="s">
        <v>359</v>
      </c>
      <c r="C15683" s="3271">
        <v>156.44999999999999</v>
      </c>
      <c r="D15683" s="1513">
        <f>VLOOKUP(H15683,indexy!$C$44:$D$823,2,FALSE)</f>
        <v>277.8</v>
      </c>
      <c r="E15683" s="1543">
        <f>D15683/C15683-1</f>
        <v>0.77564717162032615</v>
      </c>
      <c r="F15683" s="1659">
        <f>IF(E15683&gt;0,6%,E15683)</f>
        <v>0.06</v>
      </c>
      <c r="G15683" s="78"/>
      <c r="H15683" t="str">
        <f>VLOOKUP(B15683,indexy!$A$44:$D$823,3,FALSE)</f>
        <v>ALV GY Equity</v>
      </c>
    </row>
    <row r="15684" spans="1:8" hidden="1" outlineLevel="1" x14ac:dyDescent="0.25">
      <c r="A15684" s="470">
        <v>0.02</v>
      </c>
      <c r="B15684" s="1505" t="s">
        <v>3998</v>
      </c>
      <c r="C15684" s="3271">
        <v>40.874000000000002</v>
      </c>
      <c r="D15684" s="1513">
        <f>VLOOKUP(H15684,indexy!$C$44:$D$823,2,FALSE)</f>
        <v>17.600000000000001</v>
      </c>
      <c r="E15684" s="1543">
        <f t="shared" ref="E15684:E15712" si="224">D15684/C15684-1</f>
        <v>-0.56940842589421148</v>
      </c>
      <c r="F15684" s="1659">
        <f t="shared" ref="F15684:F15712" si="225">IF(E15684&gt;0,6%,E15684)</f>
        <v>-0.56940842589421148</v>
      </c>
      <c r="G15684" s="78"/>
      <c r="H15684" t="str">
        <f>VLOOKUP(B15684,indexy!$A$44:$D$823,3,FALSE)</f>
        <v>T UN Equity</v>
      </c>
    </row>
    <row r="15685" spans="1:8" hidden="1" outlineLevel="1" x14ac:dyDescent="0.25">
      <c r="A15685" s="470">
        <v>0.02</v>
      </c>
      <c r="B15685" s="1505" t="s">
        <v>7753</v>
      </c>
      <c r="C15685" s="3271">
        <v>127.78</v>
      </c>
      <c r="D15685" s="1513">
        <f>VLOOKUP(H15685,indexy!$C$44:$D$823,2,FALSE)</f>
        <v>141.30000000000001</v>
      </c>
      <c r="E15685" s="1543">
        <f t="shared" si="224"/>
        <v>0.10580685553294744</v>
      </c>
      <c r="F15685" s="1659">
        <f t="shared" si="225"/>
        <v>0.06</v>
      </c>
      <c r="G15685" s="78"/>
      <c r="H15685" t="str">
        <f>VLOOKUP(B15685,indexy!$A$44:$D$823,3,FALSE)</f>
        <v>BALN SE Equity</v>
      </c>
    </row>
    <row r="15686" spans="1:8" hidden="1" outlineLevel="1" x14ac:dyDescent="0.25">
      <c r="A15686" s="470">
        <v>0.02</v>
      </c>
      <c r="B15686" s="1505" t="s">
        <v>3954</v>
      </c>
      <c r="C15686" s="3271">
        <f>111.678/2</f>
        <v>55.838999999999999</v>
      </c>
      <c r="D15686" s="1513">
        <f>VLOOKUP(H15686,indexy!$C$44:$D$823,2,FALSE)</f>
        <v>68.67</v>
      </c>
      <c r="E15686" s="1543">
        <f t="shared" si="224"/>
        <v>0.22978563369687866</v>
      </c>
      <c r="F15686" s="1659">
        <f t="shared" si="225"/>
        <v>0.06</v>
      </c>
      <c r="G15686" s="78"/>
      <c r="H15686" t="str">
        <f>VLOOKUP(B15686,indexy!$A$44:$D$823,3,FALSE)</f>
        <v>CM CT Equity</v>
      </c>
    </row>
    <row r="15687" spans="1:8" hidden="1" outlineLevel="1" x14ac:dyDescent="0.25">
      <c r="A15687" s="470">
        <v>0.05</v>
      </c>
      <c r="B15687" s="1505" t="s">
        <v>4055</v>
      </c>
      <c r="C15687" s="3271">
        <v>73.92</v>
      </c>
      <c r="D15687" s="1513">
        <f>VLOOKUP(H15687,indexy!$C$44:$D$823,2,FALSE)</f>
        <v>62.35</v>
      </c>
      <c r="E15687" s="1543">
        <f t="shared" si="224"/>
        <v>-0.15652056277056281</v>
      </c>
      <c r="F15687" s="1659">
        <f t="shared" si="225"/>
        <v>-0.15652056277056281</v>
      </c>
      <c r="G15687" s="78"/>
      <c r="H15687" t="str">
        <f>VLOOKUP(B15687,indexy!$A$44:$D$823,3,FALSE)</f>
        <v>2 HK Equity</v>
      </c>
    </row>
    <row r="15688" spans="1:8" hidden="1" outlineLevel="1" x14ac:dyDescent="0.25">
      <c r="A15688" s="470">
        <v>0.02</v>
      </c>
      <c r="B15688" s="1505" t="s">
        <v>7114</v>
      </c>
      <c r="C15688" s="3271">
        <v>122.532</v>
      </c>
      <c r="D15688" s="1513">
        <f>VLOOKUP(H15688,indexy!$C$44:$D$823,2,FALSE)</f>
        <v>215.29</v>
      </c>
      <c r="E15688" s="1543">
        <f t="shared" si="224"/>
        <v>0.75701041360624166</v>
      </c>
      <c r="F15688" s="1659">
        <f t="shared" si="225"/>
        <v>0.06</v>
      </c>
      <c r="G15688" s="78"/>
      <c r="H15688" t="str">
        <f>VLOOKUP(B15688,indexy!$A$44:$D$823,3,FALSE)</f>
        <v>CME UW Equity</v>
      </c>
    </row>
    <row r="15689" spans="1:8" hidden="1" outlineLevel="1" x14ac:dyDescent="0.25">
      <c r="A15689" s="470">
        <v>0.02</v>
      </c>
      <c r="B15689" s="1505" t="s">
        <v>6267</v>
      </c>
      <c r="C15689" s="3271">
        <v>24.021999999999998</v>
      </c>
      <c r="D15689" s="1513">
        <f>VLOOKUP(H15689,indexy!$C$44:$D$823,2,FALSE)</f>
        <v>13.765000000000001</v>
      </c>
      <c r="E15689" s="1543">
        <f t="shared" si="224"/>
        <v>-0.42698359836816246</v>
      </c>
      <c r="F15689" s="1659">
        <f t="shared" si="225"/>
        <v>-0.42698359836816246</v>
      </c>
      <c r="G15689" s="78"/>
      <c r="H15689" t="str">
        <f>VLOOKUP(B15689,indexy!$A$44:$D$823,3,FALSE)</f>
        <v>ENG SQ Equity</v>
      </c>
    </row>
    <row r="15690" spans="1:8" hidden="1" outlineLevel="1" x14ac:dyDescent="0.25">
      <c r="A15690" s="470">
        <v>0.02</v>
      </c>
      <c r="B15690" s="1505" t="s">
        <v>4268</v>
      </c>
      <c r="C15690" s="3271">
        <v>14.391999999999999</v>
      </c>
      <c r="D15690" s="1513">
        <f>VLOOKUP(H15690,indexy!$C$44:$D$823,2,FALSE)</f>
        <v>11.445</v>
      </c>
      <c r="E15690" s="1543">
        <f t="shared" si="224"/>
        <v>-0.20476653696498048</v>
      </c>
      <c r="F15690" s="1659">
        <f t="shared" si="225"/>
        <v>-0.20476653696498048</v>
      </c>
      <c r="G15690" s="78"/>
      <c r="H15690" t="str">
        <f>VLOOKUP(B15690,indexy!$A$44:$D$823,3,FALSE)</f>
        <v>FORTUM FH Equity</v>
      </c>
    </row>
    <row r="15691" spans="1:8" hidden="1" outlineLevel="1" x14ac:dyDescent="0.25">
      <c r="A15691" s="470">
        <v>0.02</v>
      </c>
      <c r="B15691" s="1505" t="s">
        <v>3799</v>
      </c>
      <c r="C15691" s="3271">
        <v>14.798999999999999</v>
      </c>
      <c r="D15691" s="1513">
        <f>VLOOKUP(H15691,indexy!$C$44:$D$823,2,FALSE)/100</f>
        <v>17.085999999999999</v>
      </c>
      <c r="E15691" s="1543">
        <f t="shared" si="224"/>
        <v>0.15453746874788821</v>
      </c>
      <c r="F15691" s="1659">
        <f t="shared" si="225"/>
        <v>0.06</v>
      </c>
      <c r="G15691" s="78"/>
      <c r="H15691" t="str">
        <f>VLOOKUP(B15691,indexy!$A$44:$D$823,3,FALSE)</f>
        <v>GSK LN Equity</v>
      </c>
    </row>
    <row r="15692" spans="1:8" hidden="1" outlineLevel="1" x14ac:dyDescent="0.25">
      <c r="A15692" s="470">
        <v>0.03</v>
      </c>
      <c r="B15692" s="1505" t="s">
        <v>10371</v>
      </c>
      <c r="C15692" s="3271">
        <v>29.98</v>
      </c>
      <c r="D15692" s="1513">
        <f>VLOOKUP(H15692,indexy!$C$44:$D$823,2,FALSE)</f>
        <v>18.75</v>
      </c>
      <c r="E15692" s="1543">
        <f t="shared" si="224"/>
        <v>-0.37458305537024683</v>
      </c>
      <c r="F15692" s="1659">
        <f t="shared" si="225"/>
        <v>-0.37458305537024683</v>
      </c>
      <c r="G15692" s="78"/>
      <c r="H15692" t="str">
        <f>VLOOKUP(B15692,indexy!$A$44:$D$823,3,FALSE)</f>
        <v>DOC US Equity</v>
      </c>
    </row>
    <row r="15693" spans="1:8" hidden="1" outlineLevel="1" x14ac:dyDescent="0.25">
      <c r="A15693" s="470">
        <v>0.02</v>
      </c>
      <c r="B15693" s="1505" t="s">
        <v>6902</v>
      </c>
      <c r="C15693" s="3271">
        <v>2.4131999999999998</v>
      </c>
      <c r="D15693" s="1513">
        <f>VLOOKUP(H15693,indexy!$C$44:$D$823,2,FALSE)/100</f>
        <v>2.544</v>
      </c>
      <c r="E15693" s="1543">
        <f t="shared" si="224"/>
        <v>5.4201889607160769E-2</v>
      </c>
      <c r="F15693" s="1659">
        <f t="shared" si="225"/>
        <v>0.06</v>
      </c>
      <c r="G15693" s="78"/>
      <c r="H15693" t="str">
        <f>VLOOKUP(B15693,indexy!$A$44:$D$823,3,FALSE)</f>
        <v>LGEN LN Equity</v>
      </c>
    </row>
    <row r="15694" spans="1:8" hidden="1" outlineLevel="1" x14ac:dyDescent="0.25">
      <c r="A15694" s="470">
        <v>0.02</v>
      </c>
      <c r="B15694" s="1505" t="s">
        <v>1772</v>
      </c>
      <c r="C15694" s="3271">
        <v>175.3</v>
      </c>
      <c r="D15694" s="1513">
        <f>VLOOKUP(H15694,indexy!$C$44:$D$823,2,FALSE)</f>
        <v>452.3</v>
      </c>
      <c r="E15694" s="1543">
        <f t="shared" si="224"/>
        <v>1.5801483171705648</v>
      </c>
      <c r="F15694" s="1659">
        <f t="shared" si="225"/>
        <v>0.06</v>
      </c>
      <c r="G15694" s="78"/>
      <c r="H15694" t="str">
        <f>VLOOKUP(B15694,indexy!$A$44:$D$823,3,FALSE)</f>
        <v>MUV2 GY Equity</v>
      </c>
    </row>
    <row r="15695" spans="1:8" hidden="1" outlineLevel="1" x14ac:dyDescent="0.25">
      <c r="A15695" s="470">
        <v>0.02</v>
      </c>
      <c r="B15695" s="1505" t="s">
        <v>7754</v>
      </c>
      <c r="C15695" s="3271">
        <v>54.654000000000003</v>
      </c>
      <c r="D15695" s="1513">
        <f>VLOOKUP(H15695,indexy!$C$44:$D$823,2,FALSE)</f>
        <v>114.06</v>
      </c>
      <c r="E15695" s="1543">
        <f t="shared" si="224"/>
        <v>1.0869469755187176</v>
      </c>
      <c r="F15695" s="1659">
        <f t="shared" si="225"/>
        <v>0.06</v>
      </c>
      <c r="G15695" s="78"/>
      <c r="H15695" t="str">
        <f>VLOOKUP(B15695,indexy!$A$44:$D$823,3,FALSE)</f>
        <v>NA CT Equity</v>
      </c>
    </row>
    <row r="15696" spans="1:8" hidden="1" outlineLevel="1" x14ac:dyDescent="0.25">
      <c r="A15696" s="470">
        <v>0.02</v>
      </c>
      <c r="B15696" s="1505" t="s">
        <v>1203</v>
      </c>
      <c r="C15696" s="3271">
        <v>102.12</v>
      </c>
      <c r="D15696" s="1513">
        <f>VLOOKUP(H15696,indexy!$C$44:$D$823,2,FALSE)</f>
        <v>119.2</v>
      </c>
      <c r="E15696" s="1543">
        <f t="shared" si="224"/>
        <v>0.16725421073247149</v>
      </c>
      <c r="F15696" s="1659">
        <f t="shared" si="225"/>
        <v>0.06</v>
      </c>
      <c r="G15696" s="78"/>
      <c r="H15696" t="str">
        <f>VLOOKUP(B15696,indexy!$A$44:$D$823,3,FALSE)</f>
        <v>NDA SS Equity</v>
      </c>
    </row>
    <row r="15697" spans="1:8" hidden="1" outlineLevel="1" x14ac:dyDescent="0.25">
      <c r="A15697" s="470">
        <v>0.05</v>
      </c>
      <c r="B15697" s="1505" t="s">
        <v>3793</v>
      </c>
      <c r="C15697" s="3271">
        <v>90.64</v>
      </c>
      <c r="D15697" s="1513">
        <f>VLOOKUP(H15697,indexy!$C$44:$D$823,2,FALSE)</f>
        <v>91.62</v>
      </c>
      <c r="E15697" s="1543">
        <f t="shared" si="224"/>
        <v>1.0812003530450198E-2</v>
      </c>
      <c r="F15697" s="1659">
        <f t="shared" si="225"/>
        <v>0.06</v>
      </c>
      <c r="G15697" s="78"/>
      <c r="H15697" t="str">
        <f>VLOOKUP(B15697,indexy!$A$44:$D$823,3,FALSE)</f>
        <v>PM UN Equity</v>
      </c>
    </row>
    <row r="15698" spans="1:8" hidden="1" outlineLevel="1" x14ac:dyDescent="0.25">
      <c r="A15698" s="470">
        <v>0.02</v>
      </c>
      <c r="B15698" s="1505" t="s">
        <v>2769</v>
      </c>
      <c r="C15698" s="3271">
        <v>33.71</v>
      </c>
      <c r="D15698" s="1513">
        <f>VLOOKUP(H15698,indexy!$C$44:$D$823,2,FALSE)</f>
        <v>27.53</v>
      </c>
      <c r="E15698" s="1543">
        <f t="shared" si="224"/>
        <v>-0.18332838920201722</v>
      </c>
      <c r="F15698" s="1659">
        <f t="shared" si="225"/>
        <v>-0.18332838920201722</v>
      </c>
      <c r="G15698" s="78"/>
      <c r="H15698" t="str">
        <f>VLOOKUP(B15698,indexy!$A$44:$D$823,3,FALSE)</f>
        <v>PPL UN Equity</v>
      </c>
    </row>
    <row r="15699" spans="1:8" hidden="1" outlineLevel="1" x14ac:dyDescent="0.25">
      <c r="A15699" s="470">
        <v>0.08</v>
      </c>
      <c r="B15699" s="1505" t="s">
        <v>2297</v>
      </c>
      <c r="C15699" s="3271">
        <v>51.89</v>
      </c>
      <c r="D15699" s="1513">
        <f>VLOOKUP(H15699,indexy!$C$44:$D$823,2,FALSE)</f>
        <v>55.5</v>
      </c>
      <c r="E15699" s="1543">
        <f t="shared" si="224"/>
        <v>6.9570244748506482E-2</v>
      </c>
      <c r="F15699" s="1659">
        <f t="shared" si="225"/>
        <v>0.06</v>
      </c>
      <c r="G15699" s="78"/>
      <c r="H15699" t="str">
        <f>VLOOKUP(B15699,indexy!$A$44:$D$823,3,FALSE)</f>
        <v>RCI/B CT Equity</v>
      </c>
    </row>
    <row r="15700" spans="1:8" hidden="1" outlineLevel="1" x14ac:dyDescent="0.25">
      <c r="A15700" s="470">
        <v>0.02</v>
      </c>
      <c r="B15700" s="1505" t="s">
        <v>5205</v>
      </c>
      <c r="C15700" s="3271">
        <v>21.13</v>
      </c>
      <c r="D15700" s="1513">
        <f>VLOOKUP(H15700,indexy!$C$44:$D$823,2,FALSE)/100</f>
        <v>18.952000000000002</v>
      </c>
      <c r="E15700" s="1543">
        <f t="shared" si="224"/>
        <v>-0.10307619498343579</v>
      </c>
      <c r="F15700" s="1659">
        <f t="shared" si="225"/>
        <v>-0.10307619498343579</v>
      </c>
      <c r="G15700" s="78"/>
      <c r="H15700" t="str">
        <f>VLOOKUP(B15700,indexy!$A$44:$D$823,3,FALSE)</f>
        <v>RDSA LN Equity</v>
      </c>
    </row>
    <row r="15701" spans="1:8" hidden="1" outlineLevel="1" x14ac:dyDescent="0.25">
      <c r="A15701" s="470">
        <v>0.02</v>
      </c>
      <c r="B15701" s="1505" t="s">
        <v>6270</v>
      </c>
      <c r="C15701" s="3271">
        <v>43.527999999999999</v>
      </c>
      <c r="D15701" s="1513">
        <f>VLOOKUP(H15701,indexy!$C$44:$D$823,2,FALSE)</f>
        <v>39.515000000000001</v>
      </c>
      <c r="E15701" s="1543">
        <f t="shared" si="224"/>
        <v>-9.2193530600992446E-2</v>
      </c>
      <c r="F15701" s="1659">
        <f t="shared" si="225"/>
        <v>-9.2193530600992446E-2</v>
      </c>
      <c r="G15701" s="78"/>
      <c r="H15701" t="str">
        <f>VLOOKUP(B15701,indexy!$A$44:$D$823,3,FALSE)</f>
        <v>SAMPO FH Equity</v>
      </c>
    </row>
    <row r="15702" spans="1:8" hidden="1" outlineLevel="1" x14ac:dyDescent="0.25">
      <c r="A15702" s="470">
        <v>0.02</v>
      </c>
      <c r="B15702" s="1641" t="s">
        <v>6524</v>
      </c>
      <c r="C15702" s="3271">
        <v>97.5</v>
      </c>
      <c r="D15702" s="1513">
        <f>VLOOKUP(H15702,indexy!$C$44:$D$823,2,FALSE)</f>
        <v>144.94999999999999</v>
      </c>
      <c r="E15702" s="1543">
        <f t="shared" si="224"/>
        <v>0.48666666666666658</v>
      </c>
      <c r="F15702" s="1659">
        <f t="shared" si="225"/>
        <v>0.06</v>
      </c>
      <c r="G15702" s="78"/>
      <c r="H15702" t="str">
        <f>VLOOKUP(B15702,indexy!$A$44:$D$823,3,FALSE)</f>
        <v>SEBA SS Equity</v>
      </c>
    </row>
    <row r="15703" spans="1:8" hidden="1" outlineLevel="1" x14ac:dyDescent="0.25">
      <c r="A15703" s="470">
        <v>0.05</v>
      </c>
      <c r="B15703" s="1505" t="s">
        <v>6116</v>
      </c>
      <c r="C15703" s="3271">
        <v>3.7031999999999998</v>
      </c>
      <c r="D15703" s="1513">
        <f>VLOOKUP(H15703,indexy!$C$44:$D$823,2,FALSE)</f>
        <v>4.3760000000000003</v>
      </c>
      <c r="E15703" s="1543">
        <f t="shared" si="224"/>
        <v>0.18168070857636653</v>
      </c>
      <c r="F15703" s="1659">
        <f t="shared" si="225"/>
        <v>0.06</v>
      </c>
      <c r="G15703" s="78"/>
      <c r="H15703" t="str">
        <f>VLOOKUP(B15703,indexy!$A$44:$D$823,3,FALSE)</f>
        <v>SRG IM Equity</v>
      </c>
    </row>
    <row r="15704" spans="1:8" hidden="1" outlineLevel="1" x14ac:dyDescent="0.25">
      <c r="A15704" s="470">
        <v>0.08</v>
      </c>
      <c r="B15704" s="1505" t="s">
        <v>3427</v>
      </c>
      <c r="C15704" s="3271">
        <v>48.347999999999999</v>
      </c>
      <c r="D15704" s="1513">
        <f>VLOOKUP(H15704,indexy!$C$44:$D$823,2,FALSE)</f>
        <v>71.739999999999995</v>
      </c>
      <c r="E15704" s="1543">
        <f t="shared" si="224"/>
        <v>0.4838255977496484</v>
      </c>
      <c r="F15704" s="1659">
        <f t="shared" si="225"/>
        <v>0.06</v>
      </c>
      <c r="G15704" s="78"/>
      <c r="H15704" t="str">
        <f>VLOOKUP(B15704,indexy!$A$44:$D$823,3,FALSE)</f>
        <v>SO UN Equity</v>
      </c>
    </row>
    <row r="15705" spans="1:8" hidden="1" outlineLevel="1" x14ac:dyDescent="0.25">
      <c r="A15705" s="470">
        <v>0.08</v>
      </c>
      <c r="B15705" s="1505" t="s">
        <v>1857</v>
      </c>
      <c r="C15705" s="3271">
        <v>15.016</v>
      </c>
      <c r="D15705" s="1513">
        <f>VLOOKUP(H15705,indexy!$C$44:$D$823,2,FALSE)/100</f>
        <v>16.5</v>
      </c>
      <c r="E15705" s="1543">
        <f t="shared" si="224"/>
        <v>9.8827916888652112E-2</v>
      </c>
      <c r="F15705" s="1659">
        <f t="shared" si="225"/>
        <v>0.06</v>
      </c>
      <c r="G15705" s="78"/>
      <c r="H15705" t="str">
        <f>VLOOKUP(B15705,indexy!$A$44:$D$823,3,FALSE)</f>
        <v>SSE LN Equity</v>
      </c>
    </row>
    <row r="15706" spans="1:8" hidden="1" outlineLevel="1" x14ac:dyDescent="0.25">
      <c r="A15706" s="470">
        <v>0.02</v>
      </c>
      <c r="B15706" s="1505" t="s">
        <v>10538</v>
      </c>
      <c r="C15706" s="3271">
        <v>13.235010834891252</v>
      </c>
      <c r="D15706" s="1513">
        <f>VLOOKUP(H15706,indexy!$C$44:$D$823,2,FALSE)</f>
        <v>16.38</v>
      </c>
      <c r="E15706" s="1543">
        <f t="shared" si="224"/>
        <v>0.23762648964499977</v>
      </c>
      <c r="F15706" s="1659">
        <f t="shared" si="225"/>
        <v>0.06</v>
      </c>
      <c r="G15706" s="78"/>
      <c r="H15706" t="str">
        <f>VLOOKUP(B15706,indexy!$A$44:$D$823,3,FALSE)</f>
        <v>SUN AT Equity</v>
      </c>
    </row>
    <row r="15707" spans="1:8" hidden="1" outlineLevel="1" x14ac:dyDescent="0.25">
      <c r="A15707" s="470">
        <v>0.08</v>
      </c>
      <c r="B15707" s="1505" t="s">
        <v>6118</v>
      </c>
      <c r="C15707" s="3271">
        <v>95.92</v>
      </c>
      <c r="D15707" s="1513">
        <f>VLOOKUP(H15707,indexy!$C$44:$D$823,2,FALSE)</f>
        <v>115.95</v>
      </c>
      <c r="E15707" s="1543">
        <f t="shared" si="224"/>
        <v>0.20881984987489566</v>
      </c>
      <c r="F15707" s="1659">
        <f t="shared" si="225"/>
        <v>0.06</v>
      </c>
      <c r="G15707" s="78"/>
      <c r="H15707" t="str">
        <f>VLOOKUP(B15707,indexy!$A$44:$D$823,3,FALSE)</f>
        <v>SREN SE Equity</v>
      </c>
    </row>
    <row r="15708" spans="1:8" hidden="1" outlineLevel="1" x14ac:dyDescent="0.25">
      <c r="A15708" s="470">
        <v>0.08</v>
      </c>
      <c r="B15708" s="1505" t="s">
        <v>1239</v>
      </c>
      <c r="C15708" s="3271">
        <v>445.44</v>
      </c>
      <c r="D15708" s="1513">
        <f>VLOOKUP(H15708,indexy!$C$44:$D$823,2,FALSE)</f>
        <v>551.4</v>
      </c>
      <c r="E15708" s="1543">
        <f t="shared" si="224"/>
        <v>0.2378771551724137</v>
      </c>
      <c r="F15708" s="1659">
        <f t="shared" si="225"/>
        <v>0.06</v>
      </c>
      <c r="G15708" s="78"/>
      <c r="H15708" t="str">
        <f>VLOOKUP(B15708,indexy!$A$44:$D$823,3,FALSE)</f>
        <v>SCMN SE Equity</v>
      </c>
    </row>
    <row r="15709" spans="1:8" hidden="1" outlineLevel="1" x14ac:dyDescent="0.25">
      <c r="A15709" s="470">
        <v>0.02</v>
      </c>
      <c r="B15709" s="1505" t="s">
        <v>3665</v>
      </c>
      <c r="C15709" s="3271">
        <f>42.592/2</f>
        <v>21.295999999999999</v>
      </c>
      <c r="D15709" s="1513">
        <f>VLOOKUP(H15709,indexy!$C$44:$D$823,2,FALSE)</f>
        <v>21.67</v>
      </c>
      <c r="E15709" s="1543">
        <f t="shared" si="224"/>
        <v>1.7561983471074516E-2</v>
      </c>
      <c r="F15709" s="1659">
        <f t="shared" si="225"/>
        <v>0.06</v>
      </c>
      <c r="G15709" s="78"/>
      <c r="H15709" t="str">
        <f>VLOOKUP(B15709,indexy!$A$44:$D$823,3,FALSE)</f>
        <v>T CT Equity</v>
      </c>
    </row>
    <row r="15710" spans="1:8" hidden="1" outlineLevel="1" x14ac:dyDescent="0.25">
      <c r="A15710" s="470">
        <v>0.02</v>
      </c>
      <c r="B15710" s="1505" t="s">
        <v>6337</v>
      </c>
      <c r="C15710" s="3271">
        <v>65.638000000000005</v>
      </c>
      <c r="D15710" s="1513">
        <f>VLOOKUP(H15710,indexy!$C$44:$D$823,2,FALSE)</f>
        <v>81.75</v>
      </c>
      <c r="E15710" s="1543">
        <f t="shared" si="224"/>
        <v>0.24546756452055196</v>
      </c>
      <c r="F15710" s="1659">
        <f t="shared" si="225"/>
        <v>0.06</v>
      </c>
      <c r="G15710" s="78"/>
      <c r="H15710" t="str">
        <f>VLOOKUP(B15710,indexy!$A$44:$D$823,3,FALSE)</f>
        <v>TD CT Equity</v>
      </c>
    </row>
    <row r="15711" spans="1:8" hidden="1" outlineLevel="1" x14ac:dyDescent="0.25">
      <c r="A15711" s="470">
        <v>0.02</v>
      </c>
      <c r="B15711" s="1505" t="s">
        <v>10633</v>
      </c>
      <c r="C15711" s="3271">
        <v>46.774000000000001</v>
      </c>
      <c r="D15711" s="1513">
        <f>VLOOKUP(H15711,indexy!$C$44:$D$823,2,FALSE)</f>
        <v>63.47</v>
      </c>
      <c r="E15711" s="1543">
        <f t="shared" si="224"/>
        <v>0.35695044255355524</v>
      </c>
      <c r="F15711" s="1659">
        <f t="shared" si="225"/>
        <v>0.06</v>
      </c>
      <c r="G15711" s="78"/>
      <c r="H15711" t="str">
        <f>VLOOKUP(B15711,indexy!$A$44:$D$823,3,FALSE)</f>
        <v>TTE FP Equity</v>
      </c>
    </row>
    <row r="15712" spans="1:8" hidden="1" outlineLevel="1" x14ac:dyDescent="0.25">
      <c r="A15712" s="470">
        <v>0.02</v>
      </c>
      <c r="B15712" s="1506" t="s">
        <v>255</v>
      </c>
      <c r="C15712" s="3271">
        <v>51.673999999999999</v>
      </c>
      <c r="D15712" s="1513">
        <f>VLOOKUP(H15712,indexy!$C$44:$D$823,2,FALSE)</f>
        <v>41.96</v>
      </c>
      <c r="E15712" s="1543">
        <f t="shared" si="224"/>
        <v>-0.18798622131052367</v>
      </c>
      <c r="F15712" s="1659">
        <f t="shared" si="225"/>
        <v>-0.18798622131052367</v>
      </c>
      <c r="G15712" s="78"/>
      <c r="H15712" t="str">
        <f>VLOOKUP(B15712,indexy!$A$44:$D$823,3,FALSE)</f>
        <v>VZ UN Equity</v>
      </c>
    </row>
    <row r="15713" spans="1:11" hidden="1" outlineLevel="1" x14ac:dyDescent="0.25">
      <c r="A15713" s="1642" t="s">
        <v>2465</v>
      </c>
      <c r="B15713" s="1643"/>
      <c r="C15713" s="1644"/>
      <c r="D15713" s="1645"/>
      <c r="E15713" s="1646">
        <f>SUMPRODUCT(A15683:A15712,E15683:E15712)</f>
        <v>0.16823216067574903</v>
      </c>
      <c r="F15713" s="1642">
        <f>SUMPRODUCT(A15683:A15712,F15683:F15712)</f>
        <v>-7.6183777461220278E-3</v>
      </c>
      <c r="G15713" s="78"/>
    </row>
    <row r="15714" spans="1:11" hidden="1" outlineLevel="1" x14ac:dyDescent="0.25">
      <c r="A15714" s="1647"/>
      <c r="B15714" s="1648"/>
      <c r="C15714" s="1648"/>
      <c r="D15714" s="1648"/>
      <c r="E15714" s="1648"/>
      <c r="F15714" s="1839"/>
      <c r="G15714" s="78"/>
    </row>
    <row r="15715" spans="1:11" hidden="1" outlineLevel="1" x14ac:dyDescent="0.25">
      <c r="A15715" s="1649" t="s">
        <v>113</v>
      </c>
      <c r="B15715" s="1649"/>
      <c r="C15715" s="1650"/>
      <c r="D15715" s="1650"/>
      <c r="E15715" s="1651"/>
      <c r="F15715" s="1663"/>
      <c r="G15715" s="78"/>
    </row>
    <row r="15716" spans="1:11" hidden="1" outlineLevel="1" x14ac:dyDescent="0.25">
      <c r="A15716" s="1652" t="s">
        <v>8426</v>
      </c>
      <c r="B15716" s="1653"/>
      <c r="C15716" s="1654"/>
      <c r="D15716" s="1654"/>
      <c r="E15716" s="1655"/>
      <c r="F15716" s="1656">
        <v>0.02</v>
      </c>
      <c r="G15716" s="78"/>
    </row>
    <row r="15717" spans="1:11" hidden="1" outlineLevel="1" x14ac:dyDescent="0.25">
      <c r="A15717" s="1652" t="s">
        <v>8427</v>
      </c>
      <c r="B15717" s="1657"/>
      <c r="C15717" s="443"/>
      <c r="D15717" s="443"/>
      <c r="E15717" s="1658">
        <v>-1.674599999999998E-2</v>
      </c>
      <c r="F15717" s="1659">
        <v>0</v>
      </c>
      <c r="G15717" s="78"/>
      <c r="J15717" s="31"/>
    </row>
    <row r="15718" spans="1:11" hidden="1" outlineLevel="1" x14ac:dyDescent="0.25">
      <c r="A15718" s="1652" t="s">
        <v>8428</v>
      </c>
      <c r="B15718" s="1657"/>
      <c r="C15718" s="443"/>
      <c r="D15718" s="443"/>
      <c r="E15718" s="1660">
        <v>1.38</v>
      </c>
      <c r="F15718" s="1659">
        <v>1.38E-2</v>
      </c>
      <c r="G15718" s="78"/>
    </row>
    <row r="15719" spans="1:11" hidden="1" outlineLevel="1" x14ac:dyDescent="0.25">
      <c r="A15719" s="1652" t="s">
        <v>8429</v>
      </c>
      <c r="B15719" s="1657"/>
      <c r="C15719" s="443"/>
      <c r="D15719" s="443"/>
      <c r="E15719" s="1658">
        <v>-3.3500000000000002E-2</v>
      </c>
      <c r="F15719" s="1659">
        <v>0</v>
      </c>
      <c r="G15719" s="78"/>
    </row>
    <row r="15720" spans="1:11" hidden="1" outlineLevel="1" x14ac:dyDescent="0.25">
      <c r="A15720" s="1652" t="s">
        <v>8430</v>
      </c>
      <c r="B15720" s="1661"/>
      <c r="C15720" s="1651"/>
      <c r="D15720" s="1651"/>
      <c r="E15720" s="1662"/>
      <c r="F15720" s="1663"/>
      <c r="G15720" s="78"/>
    </row>
    <row r="15721" spans="1:11" collapsed="1" x14ac:dyDescent="0.25">
      <c r="A15721" s="3904" t="s">
        <v>8425</v>
      </c>
      <c r="B15721" s="3905"/>
      <c r="C15721" s="3905"/>
      <c r="D15721" s="142"/>
      <c r="E15721" s="142"/>
      <c r="F15721" s="190">
        <f>SUM(F15716:F15720)</f>
        <v>3.3799999999999997E-2</v>
      </c>
      <c r="G15721" s="78"/>
    </row>
    <row r="15723" spans="1:11" ht="12.75" hidden="1" customHeight="1" outlineLevel="1" x14ac:dyDescent="0.25">
      <c r="A15723" s="3237" t="s">
        <v>113</v>
      </c>
      <c r="B15723" s="3237" t="s">
        <v>114</v>
      </c>
      <c r="C15723" s="3237" t="s">
        <v>112</v>
      </c>
      <c r="D15723" s="3237" t="s">
        <v>116</v>
      </c>
      <c r="E15723" s="3237" t="s">
        <v>117</v>
      </c>
      <c r="F15723" s="3276" t="s">
        <v>121</v>
      </c>
      <c r="G15723" s="78"/>
    </row>
    <row r="15724" spans="1:11" ht="12.75" hidden="1" customHeight="1" outlineLevel="1" x14ac:dyDescent="0.25">
      <c r="A15724" s="3238">
        <v>1</v>
      </c>
      <c r="B15724" s="3239" t="s">
        <v>252</v>
      </c>
      <c r="C15724" s="3240">
        <v>100</v>
      </c>
      <c r="D15724" s="3240"/>
      <c r="E15724" s="3241"/>
      <c r="F15724" s="3242"/>
      <c r="G15724" s="78"/>
    </row>
    <row r="15725" spans="1:11" ht="12.75" hidden="1" customHeight="1" outlineLevel="1" x14ac:dyDescent="0.25">
      <c r="A15725" s="3243" t="s">
        <v>2734</v>
      </c>
      <c r="B15725" s="3243"/>
      <c r="C15725" s="3244"/>
      <c r="D15725" s="1900" t="s">
        <v>3702</v>
      </c>
      <c r="E15725" s="3245">
        <v>44865</v>
      </c>
      <c r="F15725" s="3246"/>
      <c r="G15725" s="78"/>
    </row>
    <row r="15726" spans="1:11" ht="12.75" hidden="1" customHeight="1" outlineLevel="1" x14ac:dyDescent="0.25">
      <c r="A15726" s="3237" t="s">
        <v>4156</v>
      </c>
      <c r="B15726" s="3237" t="s">
        <v>4153</v>
      </c>
      <c r="C15726" s="3247" t="s">
        <v>112</v>
      </c>
      <c r="D15726" s="3248" t="s">
        <v>4155</v>
      </c>
      <c r="E15726" s="3237" t="s">
        <v>4154</v>
      </c>
      <c r="F15726" s="3277" t="s">
        <v>2519</v>
      </c>
      <c r="G15726" s="78"/>
    </row>
    <row r="15727" spans="1:11" ht="12.75" hidden="1" customHeight="1" outlineLevel="1" x14ac:dyDescent="0.25">
      <c r="A15727" s="2380">
        <v>7.0000000000000007E-2</v>
      </c>
      <c r="B15727" s="2089" t="s">
        <v>6562</v>
      </c>
      <c r="C15727" s="2108">
        <v>68.534999999999997</v>
      </c>
      <c r="D15727" s="3194">
        <v>31.34</v>
      </c>
      <c r="E15727" s="3195">
        <v>-0.5427154008900561</v>
      </c>
      <c r="F15727" s="3193">
        <v>-3.7990078062303929E-2</v>
      </c>
      <c r="G15727" s="78"/>
      <c r="H15727" t="s">
        <v>8895</v>
      </c>
      <c r="K15727" s="434"/>
    </row>
    <row r="15728" spans="1:11" ht="12.75" hidden="1" customHeight="1" outlineLevel="1" x14ac:dyDescent="0.25">
      <c r="A15728" s="2380">
        <v>0.05</v>
      </c>
      <c r="B15728" s="1921" t="s">
        <v>8456</v>
      </c>
      <c r="C15728" s="2108">
        <v>10315.107981644884</v>
      </c>
      <c r="D15728" s="3196">
        <v>15760</v>
      </c>
      <c r="E15728" s="3197">
        <v>0.52785603680000004</v>
      </c>
      <c r="F15728" s="3198">
        <v>2.6392801840000004E-2</v>
      </c>
      <c r="G15728" s="78"/>
      <c r="H15728" t="s">
        <v>8457</v>
      </c>
      <c r="K15728" s="434"/>
    </row>
    <row r="15729" spans="1:11" ht="12.75" hidden="1" customHeight="1" outlineLevel="1" x14ac:dyDescent="0.25">
      <c r="A15729" s="2380">
        <v>0.04</v>
      </c>
      <c r="B15729" s="1921" t="s">
        <v>872</v>
      </c>
      <c r="C15729" s="2108">
        <v>5.9714999999999998</v>
      </c>
      <c r="D15729" s="3196">
        <v>8.1440000000000001</v>
      </c>
      <c r="E15729" s="3197">
        <v>0.36381143766222901</v>
      </c>
      <c r="F15729" s="3198">
        <v>1.4552457506489161E-2</v>
      </c>
      <c r="G15729" s="78"/>
      <c r="H15729" t="s">
        <v>4312</v>
      </c>
      <c r="K15729" s="434"/>
    </row>
    <row r="15730" spans="1:11" ht="12.75" hidden="1" customHeight="1" outlineLevel="1" x14ac:dyDescent="0.25">
      <c r="A15730" s="2380">
        <v>0.05</v>
      </c>
      <c r="B15730" s="1921" t="s">
        <v>10573</v>
      </c>
      <c r="C15730" s="2108">
        <v>24.922000000000001</v>
      </c>
      <c r="D15730" s="3196">
        <v>7.36</v>
      </c>
      <c r="E15730" s="3197">
        <v>-0.70467859722333681</v>
      </c>
      <c r="F15730" s="3198">
        <v>-3.5233929861166843E-2</v>
      </c>
      <c r="G15730" s="78"/>
      <c r="H15730" t="s">
        <v>10574</v>
      </c>
      <c r="K15730" s="434"/>
    </row>
    <row r="15731" spans="1:11" ht="12.75" hidden="1" customHeight="1" outlineLevel="1" x14ac:dyDescent="0.25">
      <c r="A15731" s="2380">
        <v>0.05</v>
      </c>
      <c r="B15731" s="1921" t="s">
        <v>10664</v>
      </c>
      <c r="C15731" s="2108">
        <v>18.579000000000001</v>
      </c>
      <c r="D15731" s="3196">
        <v>18.88</v>
      </c>
      <c r="E15731" s="3197">
        <v>1.6201087249044566E-2</v>
      </c>
      <c r="F15731" s="3198">
        <v>8.1005436245222833E-4</v>
      </c>
      <c r="G15731" s="78"/>
      <c r="H15731" t="s">
        <v>10662</v>
      </c>
      <c r="K15731" s="434"/>
    </row>
    <row r="15732" spans="1:11" ht="12.75" hidden="1" customHeight="1" outlineLevel="1" x14ac:dyDescent="0.25">
      <c r="A15732" s="2380">
        <v>0.02</v>
      </c>
      <c r="B15732" s="1921" t="s">
        <v>1377</v>
      </c>
      <c r="C15732" s="2108">
        <v>14.903</v>
      </c>
      <c r="D15732" s="3196">
        <v>27.62</v>
      </c>
      <c r="E15732" s="3197">
        <v>0.85331812386767769</v>
      </c>
      <c r="F15732" s="3198">
        <v>1.7066362477353554E-2</v>
      </c>
      <c r="G15732" s="78"/>
      <c r="H15732" t="s">
        <v>4129</v>
      </c>
      <c r="K15732" s="434"/>
    </row>
    <row r="15733" spans="1:11" ht="12.75" hidden="1" customHeight="1" outlineLevel="1" x14ac:dyDescent="0.25">
      <c r="A15733" s="2380">
        <v>0.05</v>
      </c>
      <c r="B15733" s="1921" t="s">
        <v>1031</v>
      </c>
      <c r="C15733" s="2108">
        <v>6.1239999999999997</v>
      </c>
      <c r="D15733" s="3196">
        <v>10.275</v>
      </c>
      <c r="E15733" s="3197">
        <v>0.67782495101241036</v>
      </c>
      <c r="F15733" s="3198">
        <v>3.3891247550620521E-2</v>
      </c>
      <c r="G15733" s="78"/>
      <c r="H15733" t="s">
        <v>7872</v>
      </c>
      <c r="K15733" s="434"/>
    </row>
    <row r="15734" spans="1:11" ht="12.75" hidden="1" customHeight="1" outlineLevel="1" x14ac:dyDescent="0.25">
      <c r="A15734" s="2380">
        <v>7.0000000000000007E-2</v>
      </c>
      <c r="B15734" s="1921" t="s">
        <v>8458</v>
      </c>
      <c r="C15734" s="2108">
        <v>10.53</v>
      </c>
      <c r="D15734" s="3196">
        <v>12.28</v>
      </c>
      <c r="E15734" s="3197">
        <v>0.16619183285849948</v>
      </c>
      <c r="F15734" s="3198">
        <v>1.1633428300094964E-2</v>
      </c>
      <c r="G15734" s="78"/>
      <c r="H15734" t="s">
        <v>8459</v>
      </c>
      <c r="K15734" s="434"/>
    </row>
    <row r="15735" spans="1:11" ht="12.75" hidden="1" customHeight="1" outlineLevel="1" x14ac:dyDescent="0.25">
      <c r="A15735" s="2380">
        <v>0.02</v>
      </c>
      <c r="B15735" s="1921" t="s">
        <v>4034</v>
      </c>
      <c r="C15735" s="2108">
        <v>19.810500000000001</v>
      </c>
      <c r="D15735" s="3196">
        <v>28.25</v>
      </c>
      <c r="E15735" s="3197">
        <v>0.42601145856995015</v>
      </c>
      <c r="F15735" s="3198">
        <v>8.5202291713990033E-3</v>
      </c>
      <c r="G15735" s="78"/>
      <c r="H15735" t="s">
        <v>8151</v>
      </c>
      <c r="K15735" s="434"/>
    </row>
    <row r="15736" spans="1:11" ht="12.75" hidden="1" customHeight="1" outlineLevel="1" x14ac:dyDescent="0.25">
      <c r="A15736" s="2380">
        <v>0.04</v>
      </c>
      <c r="B15736" s="1921" t="s">
        <v>8460</v>
      </c>
      <c r="C15736" s="2108">
        <v>4.5305999999999997</v>
      </c>
      <c r="D15736" s="3196">
        <v>7.9879999999999995</v>
      </c>
      <c r="E15736" s="3197">
        <v>0.76312188231139366</v>
      </c>
      <c r="F15736" s="3198">
        <v>3.0524875292455747E-2</v>
      </c>
      <c r="G15736" s="78"/>
      <c r="H15736" t="s">
        <v>8461</v>
      </c>
      <c r="K15736" s="434"/>
    </row>
    <row r="15737" spans="1:11" ht="12.75" hidden="1" customHeight="1" outlineLevel="1" x14ac:dyDescent="0.25">
      <c r="A15737" s="2380">
        <v>0.05</v>
      </c>
      <c r="B15737" s="1921" t="s">
        <v>7321</v>
      </c>
      <c r="C15737" s="2108">
        <v>26.361249999999998</v>
      </c>
      <c r="D15737" s="3196">
        <v>25.81</v>
      </c>
      <c r="E15737" s="3197">
        <v>-2.0911375598653303E-2</v>
      </c>
      <c r="F15737" s="3198">
        <v>-1.0455687799326653E-3</v>
      </c>
      <c r="G15737" s="78"/>
      <c r="H15737" t="s">
        <v>7322</v>
      </c>
      <c r="K15737" s="434"/>
    </row>
    <row r="15738" spans="1:11" ht="12.75" hidden="1" customHeight="1" outlineLevel="1" x14ac:dyDescent="0.25">
      <c r="A15738" s="2380">
        <v>0.05</v>
      </c>
      <c r="B15738" s="1921" t="s">
        <v>1772</v>
      </c>
      <c r="C15738" s="2108">
        <v>179</v>
      </c>
      <c r="D15738" s="3196">
        <v>267.39999999999998</v>
      </c>
      <c r="E15738" s="3197">
        <v>0.49385474860335177</v>
      </c>
      <c r="F15738" s="3198">
        <v>2.4692737430167588E-2</v>
      </c>
      <c r="G15738" s="78"/>
      <c r="H15738" t="s">
        <v>4330</v>
      </c>
      <c r="K15738" s="434"/>
    </row>
    <row r="15739" spans="1:11" ht="12.75" hidden="1" customHeight="1" outlineLevel="1" x14ac:dyDescent="0.25">
      <c r="A15739" s="2380">
        <v>0.04</v>
      </c>
      <c r="B15739" s="1921" t="s">
        <v>3797</v>
      </c>
      <c r="C15739" s="2519">
        <v>73.734999999999999</v>
      </c>
      <c r="D15739" s="3196">
        <v>109.04</v>
      </c>
      <c r="E15739" s="3197">
        <v>0.47880924933884872</v>
      </c>
      <c r="F15739" s="3198">
        <v>1.9152369973553948E-2</v>
      </c>
      <c r="G15739" s="78"/>
      <c r="H15739" t="s">
        <v>8872</v>
      </c>
      <c r="K15739" s="434"/>
    </row>
    <row r="15740" spans="1:11" ht="12.75" hidden="1" customHeight="1" outlineLevel="1" x14ac:dyDescent="0.25">
      <c r="A15740" s="2380">
        <v>0.08</v>
      </c>
      <c r="B15740" s="1921" t="s">
        <v>5196</v>
      </c>
      <c r="C15740" s="2108">
        <v>41.03248181371292</v>
      </c>
      <c r="D15740" s="3196">
        <v>49.29</v>
      </c>
      <c r="E15740" s="3197">
        <v>0.20124344961087504</v>
      </c>
      <c r="F15740" s="3198">
        <v>1.6099475968870004E-2</v>
      </c>
      <c r="G15740" s="78"/>
      <c r="H15740" t="s">
        <v>5197</v>
      </c>
      <c r="K15740" s="434"/>
    </row>
    <row r="15741" spans="1:11" ht="12.75" hidden="1" customHeight="1" outlineLevel="1" x14ac:dyDescent="0.25">
      <c r="A15741" s="2380">
        <v>0.04</v>
      </c>
      <c r="B15741" s="1921" t="s">
        <v>2787</v>
      </c>
      <c r="C15741" s="2108">
        <v>65.674512718060669</v>
      </c>
      <c r="D15741" s="3196">
        <v>80.900000000000006</v>
      </c>
      <c r="E15741" s="3197">
        <v>0.23183251236750002</v>
      </c>
      <c r="F15741" s="3198">
        <v>9.2733004947000014E-3</v>
      </c>
      <c r="G15741" s="78"/>
      <c r="H15741" t="s">
        <v>8874</v>
      </c>
      <c r="K15741" s="434"/>
    </row>
    <row r="15742" spans="1:11" ht="12.75" hidden="1" customHeight="1" outlineLevel="1" x14ac:dyDescent="0.25">
      <c r="A15742" s="2380">
        <v>0.05</v>
      </c>
      <c r="B15742" s="1921" t="s">
        <v>1187</v>
      </c>
      <c r="C15742" s="2108">
        <v>76.982911832080788</v>
      </c>
      <c r="D15742" s="3196">
        <v>87.33</v>
      </c>
      <c r="E15742" s="3197">
        <v>0.13440759672079983</v>
      </c>
      <c r="F15742" s="3198">
        <v>6.7203798360399919E-3</v>
      </c>
      <c r="G15742" s="78"/>
      <c r="H15742" t="s">
        <v>3483</v>
      </c>
      <c r="K15742" s="434"/>
    </row>
    <row r="15743" spans="1:11" ht="12.75" hidden="1" customHeight="1" outlineLevel="1" x14ac:dyDescent="0.25">
      <c r="A15743" s="2380">
        <v>0.04</v>
      </c>
      <c r="B15743" s="1921" t="s">
        <v>3383</v>
      </c>
      <c r="C15743" s="2108">
        <v>128.94259346473999</v>
      </c>
      <c r="D15743" s="3196">
        <v>94.5</v>
      </c>
      <c r="E15743" s="3197">
        <v>-0.26711571823749991</v>
      </c>
      <c r="F15743" s="3198">
        <v>-1.0684628729499997E-2</v>
      </c>
      <c r="G15743" s="78"/>
      <c r="H15743" t="s">
        <v>3789</v>
      </c>
      <c r="K15743" s="434"/>
    </row>
    <row r="15744" spans="1:11" ht="12.75" hidden="1" customHeight="1" outlineLevel="1" x14ac:dyDescent="0.25">
      <c r="A15744" s="2380">
        <v>0.06</v>
      </c>
      <c r="B15744" s="1921" t="s">
        <v>434</v>
      </c>
      <c r="C15744" s="2108">
        <v>37.024000000000001</v>
      </c>
      <c r="D15744" s="3196">
        <v>29.25</v>
      </c>
      <c r="E15744" s="3197">
        <v>-0.20997191011235961</v>
      </c>
      <c r="F15744" s="3198">
        <v>-1.2598314606741576E-2</v>
      </c>
      <c r="G15744" s="78"/>
      <c r="H15744" t="s">
        <v>7745</v>
      </c>
      <c r="K15744" s="434"/>
    </row>
    <row r="15745" spans="1:14" ht="12.75" hidden="1" customHeight="1" outlineLevel="1" x14ac:dyDescent="0.25">
      <c r="A15745" s="2380">
        <v>0.05</v>
      </c>
      <c r="B15745" s="1921" t="s">
        <v>2893</v>
      </c>
      <c r="C15745" s="2108">
        <v>318.37</v>
      </c>
      <c r="D15745" s="3196">
        <v>225.4</v>
      </c>
      <c r="E15745" s="3197">
        <v>-0.29201872035681753</v>
      </c>
      <c r="F15745" s="3198">
        <v>-1.4600936017840876E-2</v>
      </c>
      <c r="G15745" s="78"/>
      <c r="H15745" t="s">
        <v>8887</v>
      </c>
      <c r="K15745" s="434" t="s">
        <v>10731</v>
      </c>
      <c r="L15745" t="s">
        <v>10732</v>
      </c>
    </row>
    <row r="15746" spans="1:14" ht="12.75" hidden="1" customHeight="1" outlineLevel="1" x14ac:dyDescent="0.25">
      <c r="A15746" s="2380">
        <v>0.08</v>
      </c>
      <c r="B15746" s="2109" t="s">
        <v>3169</v>
      </c>
      <c r="C15746" s="3575">
        <v>9.0680000007217991</v>
      </c>
      <c r="D15746" s="3199">
        <v>8.2840000000000007</v>
      </c>
      <c r="E15746" s="3197">
        <v>-8.6457873914798533E-2</v>
      </c>
      <c r="F15746" s="3198">
        <v>4.0652845157040256E-2</v>
      </c>
      <c r="G15746" s="78"/>
      <c r="H15746" t="s">
        <v>657</v>
      </c>
      <c r="I15746" t="s">
        <v>10722</v>
      </c>
      <c r="J15746" t="s">
        <v>10723</v>
      </c>
      <c r="K15746" s="434">
        <v>9.0680000007217991</v>
      </c>
      <c r="L15746">
        <v>19.852</v>
      </c>
      <c r="M15746">
        <v>1.1892368767556034</v>
      </c>
      <c r="N15746">
        <v>4.7569475070224139E-2</v>
      </c>
    </row>
    <row r="15747" spans="1:14" ht="12.75" hidden="1" customHeight="1" outlineLevel="1" x14ac:dyDescent="0.25">
      <c r="A15747" s="2181"/>
      <c r="B15747" s="2103"/>
      <c r="C15747" s="3200"/>
      <c r="D15747" s="3201"/>
      <c r="E15747" s="3202"/>
      <c r="F15747" s="3193">
        <v>0.15659999999999999</v>
      </c>
    </row>
    <row r="15748" spans="1:14" ht="12.75" hidden="1" customHeight="1" outlineLevel="1" x14ac:dyDescent="0.25">
      <c r="A15748" s="1956" t="s">
        <v>8465</v>
      </c>
      <c r="B15748" s="2185">
        <v>44317</v>
      </c>
      <c r="C15748" s="3203">
        <v>100</v>
      </c>
      <c r="D15748" s="3203">
        <v>129.16059999999999</v>
      </c>
      <c r="E15748" s="3204">
        <v>0.29160599999999981</v>
      </c>
      <c r="F15748" s="3205"/>
      <c r="G15748" s="78"/>
    </row>
    <row r="15749" spans="1:14" ht="12.75" hidden="1" customHeight="1" outlineLevel="1" x14ac:dyDescent="0.25">
      <c r="A15749" s="1956" t="s">
        <v>8466</v>
      </c>
      <c r="B15749" s="2185">
        <v>44348</v>
      </c>
      <c r="C15749" s="3203">
        <v>100</v>
      </c>
      <c r="D15749" s="3206">
        <v>129.3245</v>
      </c>
      <c r="E15749" s="3204">
        <v>0.29324499999999998</v>
      </c>
      <c r="F15749" s="3205"/>
      <c r="G15749" s="78"/>
    </row>
    <row r="15750" spans="1:14" ht="12.75" hidden="1" customHeight="1" outlineLevel="1" x14ac:dyDescent="0.25">
      <c r="A15750" s="1956" t="s">
        <v>8467</v>
      </c>
      <c r="B15750" s="2185">
        <v>44378</v>
      </c>
      <c r="C15750" s="3203">
        <v>100</v>
      </c>
      <c r="D15750" s="3206">
        <v>128.1661</v>
      </c>
      <c r="E15750" s="3204">
        <v>0.28166099999999994</v>
      </c>
      <c r="F15750" s="3205"/>
      <c r="G15750" s="78"/>
    </row>
    <row r="15751" spans="1:14" ht="12.75" hidden="1" customHeight="1" outlineLevel="1" x14ac:dyDescent="0.25">
      <c r="A15751" s="1956" t="s">
        <v>8468</v>
      </c>
      <c r="B15751" s="2185">
        <v>44409</v>
      </c>
      <c r="C15751" s="3203">
        <v>100</v>
      </c>
      <c r="D15751" s="3206">
        <v>134.14879999999999</v>
      </c>
      <c r="E15751" s="3204">
        <v>0.34148800000000001</v>
      </c>
      <c r="F15751" s="3205"/>
      <c r="G15751" s="78"/>
    </row>
    <row r="15752" spans="1:14" ht="12.75" hidden="1" customHeight="1" outlineLevel="1" x14ac:dyDescent="0.25">
      <c r="A15752" s="1956" t="s">
        <v>8469</v>
      </c>
      <c r="B15752" s="2185">
        <v>44440</v>
      </c>
      <c r="C15752" s="3203">
        <v>100</v>
      </c>
      <c r="D15752" s="3206">
        <v>129.1609</v>
      </c>
      <c r="E15752" s="3204">
        <v>0.29160900000000001</v>
      </c>
      <c r="F15752" s="3205"/>
      <c r="G15752" s="78"/>
    </row>
    <row r="15753" spans="1:14" ht="12.75" hidden="1" customHeight="1" outlineLevel="1" x14ac:dyDescent="0.25">
      <c r="A15753" s="1956" t="s">
        <v>8470</v>
      </c>
      <c r="B15753" s="2185">
        <v>44470</v>
      </c>
      <c r="C15753" s="3203">
        <v>100</v>
      </c>
      <c r="D15753" s="3206">
        <v>132.15960000000001</v>
      </c>
      <c r="E15753" s="3204">
        <v>0.32159600000000022</v>
      </c>
      <c r="F15753" s="3205"/>
      <c r="G15753" s="78"/>
    </row>
    <row r="15754" spans="1:14" ht="12.75" hidden="1" customHeight="1" outlineLevel="1" x14ac:dyDescent="0.25">
      <c r="A15754" s="1956" t="s">
        <v>8471</v>
      </c>
      <c r="B15754" s="2185">
        <v>44501</v>
      </c>
      <c r="C15754" s="3203">
        <v>100</v>
      </c>
      <c r="D15754" s="3206">
        <v>132.31890000000001</v>
      </c>
      <c r="E15754" s="3204">
        <v>0.32318900000000017</v>
      </c>
      <c r="F15754" s="3205"/>
      <c r="G15754" s="78"/>
    </row>
    <row r="15755" spans="1:14" ht="12.75" hidden="1" customHeight="1" outlineLevel="1" x14ac:dyDescent="0.25">
      <c r="A15755" s="1956" t="s">
        <v>8472</v>
      </c>
      <c r="B15755" s="2185">
        <v>44531</v>
      </c>
      <c r="C15755" s="3203">
        <v>100</v>
      </c>
      <c r="D15755" s="3206">
        <v>139.46019999999999</v>
      </c>
      <c r="E15755" s="3204">
        <v>0.3946019999999999</v>
      </c>
      <c r="F15755" s="3205"/>
      <c r="G15755" s="78"/>
    </row>
    <row r="15756" spans="1:14" ht="12.75" hidden="1" customHeight="1" outlineLevel="1" x14ac:dyDescent="0.25">
      <c r="A15756" s="1956" t="s">
        <v>8473</v>
      </c>
      <c r="B15756" s="2185">
        <v>44562</v>
      </c>
      <c r="C15756" s="3203">
        <v>100</v>
      </c>
      <c r="D15756" s="3206">
        <v>136.8117</v>
      </c>
      <c r="E15756" s="3204">
        <v>0.36811700000000003</v>
      </c>
      <c r="F15756" s="3205"/>
      <c r="G15756" s="78"/>
    </row>
    <row r="15757" spans="1:14" ht="12.75" hidden="1" customHeight="1" outlineLevel="1" x14ac:dyDescent="0.25">
      <c r="A15757" s="1956" t="s">
        <v>8474</v>
      </c>
      <c r="B15757" s="2185">
        <v>44593</v>
      </c>
      <c r="C15757" s="3203">
        <v>100</v>
      </c>
      <c r="D15757" s="3206">
        <v>130.33150000000001</v>
      </c>
      <c r="E15757" s="3204">
        <v>0.303315</v>
      </c>
      <c r="F15757" s="3205"/>
      <c r="G15757" s="78"/>
    </row>
    <row r="15758" spans="1:14" ht="12.75" hidden="1" customHeight="1" outlineLevel="1" x14ac:dyDescent="0.25">
      <c r="A15758" s="1956" t="s">
        <v>8475</v>
      </c>
      <c r="B15758" s="2185">
        <v>44621</v>
      </c>
      <c r="C15758" s="3203">
        <v>100</v>
      </c>
      <c r="D15758" s="3206">
        <v>130.04750000000001</v>
      </c>
      <c r="E15758" s="3204">
        <v>0.30047500000000005</v>
      </c>
      <c r="F15758" s="3205"/>
      <c r="G15758" s="78"/>
    </row>
    <row r="15759" spans="1:14" ht="12.75" hidden="1" customHeight="1" outlineLevel="1" x14ac:dyDescent="0.25">
      <c r="A15759" s="1956" t="s">
        <v>8476</v>
      </c>
      <c r="B15759" s="2185">
        <v>44652</v>
      </c>
      <c r="C15759" s="3203">
        <v>100</v>
      </c>
      <c r="D15759" s="3206">
        <v>130.75200000000001</v>
      </c>
      <c r="E15759" s="3204">
        <v>0.30752000000000002</v>
      </c>
      <c r="F15759" s="3205"/>
      <c r="G15759" s="78"/>
    </row>
    <row r="15760" spans="1:14" ht="12.75" hidden="1" customHeight="1" outlineLevel="1" x14ac:dyDescent="0.25">
      <c r="A15760" s="1956" t="s">
        <v>8477</v>
      </c>
      <c r="B15760" s="2185">
        <v>44682</v>
      </c>
      <c r="C15760" s="3203">
        <v>100</v>
      </c>
      <c r="D15760" s="3206">
        <v>130.8657</v>
      </c>
      <c r="E15760" s="3204">
        <v>0.30865699999999996</v>
      </c>
      <c r="F15760" s="3205"/>
      <c r="G15760" s="78"/>
    </row>
    <row r="15761" spans="1:9" ht="12.75" hidden="1" customHeight="1" outlineLevel="1" x14ac:dyDescent="0.25">
      <c r="A15761" s="1956" t="s">
        <v>8478</v>
      </c>
      <c r="B15761" s="2185">
        <v>44713</v>
      </c>
      <c r="C15761" s="3203">
        <v>100</v>
      </c>
      <c r="D15761" s="3206">
        <v>119.589</v>
      </c>
      <c r="E15761" s="3204">
        <v>0.1958899999999999</v>
      </c>
      <c r="F15761" s="3205"/>
      <c r="G15761" s="78"/>
    </row>
    <row r="15762" spans="1:9" ht="12.75" hidden="1" customHeight="1" outlineLevel="1" x14ac:dyDescent="0.25">
      <c r="A15762" s="1956" t="s">
        <v>8479</v>
      </c>
      <c r="B15762" s="2185">
        <v>44743</v>
      </c>
      <c r="C15762" s="3203">
        <v>100</v>
      </c>
      <c r="D15762" s="3206">
        <v>126.3896</v>
      </c>
      <c r="E15762" s="3204">
        <v>0.26389599999999991</v>
      </c>
      <c r="F15762" s="3205"/>
      <c r="G15762" s="78"/>
    </row>
    <row r="15763" spans="1:9" ht="12.75" hidden="1" customHeight="1" outlineLevel="1" x14ac:dyDescent="0.25">
      <c r="A15763" s="1956" t="s">
        <v>8480</v>
      </c>
      <c r="B15763" s="2185">
        <v>44774</v>
      </c>
      <c r="C15763" s="3203">
        <v>100</v>
      </c>
      <c r="D15763" s="3206">
        <v>118.4534</v>
      </c>
      <c r="E15763" s="3204">
        <v>0.18453399999999998</v>
      </c>
      <c r="F15763" s="3205"/>
      <c r="G15763" s="78"/>
    </row>
    <row r="15764" spans="1:9" ht="12.75" hidden="1" customHeight="1" outlineLevel="1" x14ac:dyDescent="0.25">
      <c r="A15764" s="1956" t="s">
        <v>8481</v>
      </c>
      <c r="B15764" s="2185">
        <v>44805</v>
      </c>
      <c r="C15764" s="3203">
        <v>100</v>
      </c>
      <c r="D15764" s="3206">
        <v>108.1289</v>
      </c>
      <c r="E15764" s="3204">
        <v>8.1288999999999945E-2</v>
      </c>
      <c r="F15764" s="3205"/>
      <c r="G15764" s="78"/>
    </row>
    <row r="15765" spans="1:9" ht="12.75" hidden="1" customHeight="1" outlineLevel="1" x14ac:dyDescent="0.25">
      <c r="A15765" s="1956" t="s">
        <v>8482</v>
      </c>
      <c r="B15765" s="2185">
        <v>44835</v>
      </c>
      <c r="C15765" s="3203">
        <v>100</v>
      </c>
      <c r="D15765" s="3206">
        <v>115.65949999999999</v>
      </c>
      <c r="E15765" s="3204">
        <v>0.15659500000000004</v>
      </c>
      <c r="F15765" s="3205"/>
      <c r="G15765" s="78"/>
    </row>
    <row r="15766" spans="1:9" ht="12.75" hidden="1" customHeight="1" outlineLevel="1" x14ac:dyDescent="0.25">
      <c r="A15766" s="2189" t="s">
        <v>2734</v>
      </c>
      <c r="B15766" s="2190"/>
      <c r="C15766" s="3206"/>
      <c r="D15766" s="2191" t="s">
        <v>2465</v>
      </c>
      <c r="E15766" s="1987">
        <v>0.27829355555555557</v>
      </c>
      <c r="F15766" s="2192">
        <v>0.27829355555555557</v>
      </c>
      <c r="G15766" s="78"/>
    </row>
    <row r="15767" spans="1:9" collapsed="1" x14ac:dyDescent="0.25">
      <c r="A15767" s="3801" t="s">
        <v>8326</v>
      </c>
      <c r="B15767" s="3802"/>
      <c r="C15767" s="3802"/>
      <c r="D15767" s="3802"/>
      <c r="E15767" s="1906"/>
      <c r="F15767" s="1907">
        <v>0.27829355555555557</v>
      </c>
      <c r="G15767" s="78"/>
    </row>
    <row r="15768" spans="1:9" ht="12.75" customHeight="1" x14ac:dyDescent="0.25"/>
    <row r="15769" spans="1:9" hidden="1" outlineLevel="1" x14ac:dyDescent="0.25">
      <c r="A15769" s="2659" t="s">
        <v>113</v>
      </c>
      <c r="B15769" s="2660" t="s">
        <v>114</v>
      </c>
      <c r="C15769" s="2660" t="s">
        <v>112</v>
      </c>
      <c r="D15769" s="2660" t="s">
        <v>4155</v>
      </c>
      <c r="E15769" s="2660" t="s">
        <v>116</v>
      </c>
      <c r="F15769" s="2661" t="s">
        <v>121</v>
      </c>
      <c r="G15769" s="78"/>
      <c r="H15769" s="438" t="s">
        <v>5391</v>
      </c>
      <c r="I15769" s="438" t="s">
        <v>5392</v>
      </c>
    </row>
    <row r="15770" spans="1:9" hidden="1" outlineLevel="1" x14ac:dyDescent="0.25">
      <c r="A15770" s="1810" t="s">
        <v>8483</v>
      </c>
      <c r="B15770" s="2662" t="s">
        <v>8048</v>
      </c>
      <c r="C15770" s="2652">
        <v>324.06599999999997</v>
      </c>
      <c r="D15770" s="3805">
        <v>325.286</v>
      </c>
      <c r="E15770" s="2238"/>
      <c r="F15770" s="2653">
        <v>0.18</v>
      </c>
      <c r="G15770" s="78"/>
      <c r="H15770" s="79">
        <v>3.7646652225165056E-3</v>
      </c>
      <c r="I15770" s="450">
        <v>0.18</v>
      </c>
    </row>
    <row r="15771" spans="1:9" hidden="1" outlineLevel="1" x14ac:dyDescent="0.25">
      <c r="A15771" s="2197" t="s">
        <v>8484</v>
      </c>
      <c r="B15771" s="2503" t="s">
        <v>8048</v>
      </c>
      <c r="C15771" s="1814" t="s">
        <v>5590</v>
      </c>
      <c r="D15771" s="3806"/>
      <c r="E15771" s="1815"/>
      <c r="F15771" s="2654" t="s">
        <v>5590</v>
      </c>
      <c r="G15771" s="78"/>
      <c r="H15771" s="79" t="s">
        <v>5590</v>
      </c>
      <c r="I15771" s="451">
        <v>0.24</v>
      </c>
    </row>
    <row r="15772" spans="1:9" hidden="1" outlineLevel="1" x14ac:dyDescent="0.25">
      <c r="A15772" s="2197" t="s">
        <v>8485</v>
      </c>
      <c r="B15772" s="2503" t="s">
        <v>8048</v>
      </c>
      <c r="C15772" s="1814" t="s">
        <v>5590</v>
      </c>
      <c r="D15772" s="3806"/>
      <c r="E15772" s="1815"/>
      <c r="F15772" s="2654" t="s">
        <v>5590</v>
      </c>
      <c r="G15772" s="78"/>
      <c r="H15772" s="79" t="s">
        <v>5590</v>
      </c>
      <c r="I15772" s="451">
        <v>0.3</v>
      </c>
    </row>
    <row r="15773" spans="1:9" hidden="1" outlineLevel="1" x14ac:dyDescent="0.25">
      <c r="A15773" s="2202" t="s">
        <v>8486</v>
      </c>
      <c r="B15773" s="2503" t="s">
        <v>8048</v>
      </c>
      <c r="C15773" s="1817" t="s">
        <v>5590</v>
      </c>
      <c r="D15773" s="3807"/>
      <c r="E15773" s="1815"/>
      <c r="F15773" s="2655" t="s">
        <v>5590</v>
      </c>
      <c r="G15773" s="78"/>
      <c r="H15773" s="82" t="s">
        <v>5590</v>
      </c>
      <c r="I15773" s="452">
        <v>0.36</v>
      </c>
    </row>
    <row r="15774" spans="1:9" hidden="1" outlineLevel="1" x14ac:dyDescent="0.25">
      <c r="A15774" s="1819" t="s">
        <v>2734</v>
      </c>
      <c r="B15774" s="2641"/>
      <c r="C15774" s="1820"/>
      <c r="D15774" s="2478"/>
      <c r="E15774" s="2656"/>
      <c r="F15774" s="2657">
        <v>0.18</v>
      </c>
      <c r="G15774" s="78"/>
      <c r="H15774" s="37">
        <v>3.7646652225165056E-3</v>
      </c>
    </row>
    <row r="15775" spans="1:9" collapsed="1" x14ac:dyDescent="0.25">
      <c r="A15775" s="3801" t="s">
        <v>8328</v>
      </c>
      <c r="B15775" s="3802"/>
      <c r="C15775" s="3802"/>
      <c r="D15775" s="3802"/>
      <c r="E15775" s="1906"/>
      <c r="F15775" s="1907">
        <v>0.18</v>
      </c>
      <c r="G15775" s="78"/>
      <c r="H15775" s="74"/>
    </row>
    <row r="15776" spans="1:9" x14ac:dyDescent="0.25">
      <c r="H15776" s="370"/>
      <c r="I15776" s="370"/>
    </row>
    <row r="15777" spans="1:18" hidden="1" outlineLevel="1" x14ac:dyDescent="0.25">
      <c r="A15777" s="495" t="s">
        <v>113</v>
      </c>
      <c r="B15777" s="689" t="s">
        <v>114</v>
      </c>
      <c r="C15777" s="495" t="s">
        <v>112</v>
      </c>
      <c r="D15777" s="495" t="s">
        <v>116</v>
      </c>
      <c r="E15777" s="689" t="s">
        <v>116</v>
      </c>
      <c r="F15777" s="1021" t="s">
        <v>121</v>
      </c>
      <c r="G15777" s="78"/>
      <c r="H15777" s="1671"/>
      <c r="I15777" s="1671"/>
      <c r="J15777" s="370"/>
    </row>
    <row r="15778" spans="1:18" hidden="1" outlineLevel="1" x14ac:dyDescent="0.25">
      <c r="A15778" s="753" t="s">
        <v>8494</v>
      </c>
      <c r="B15778" t="s">
        <v>8492</v>
      </c>
      <c r="C15778" s="1025">
        <v>554.33699999999999</v>
      </c>
      <c r="D15778" s="859">
        <v>609.02199999999993</v>
      </c>
      <c r="E15778" s="1262"/>
      <c r="F15778" s="700">
        <v>7.0000000000000007E-2</v>
      </c>
      <c r="G15778" s="78"/>
      <c r="H15778" t="s">
        <v>8500</v>
      </c>
      <c r="I15778" s="81">
        <f>+D15778/C15778-1</f>
        <v>9.8649377544706374E-2</v>
      </c>
      <c r="J15778" s="370"/>
    </row>
    <row r="15779" spans="1:18" hidden="1" outlineLevel="1" x14ac:dyDescent="0.25">
      <c r="A15779" s="753" t="s">
        <v>8495</v>
      </c>
      <c r="B15779" t="s">
        <v>8492</v>
      </c>
      <c r="C15779" s="1734" t="s">
        <v>5590</v>
      </c>
      <c r="D15779" s="1735"/>
      <c r="E15779" s="1255"/>
      <c r="F15779" s="1178" t="s">
        <v>5590</v>
      </c>
      <c r="G15779" s="78"/>
      <c r="H15779" s="81"/>
      <c r="I15779" s="413"/>
      <c r="J15779" s="370"/>
    </row>
    <row r="15780" spans="1:18" hidden="1" outlineLevel="1" x14ac:dyDescent="0.25">
      <c r="A15780" s="753" t="s">
        <v>8496</v>
      </c>
      <c r="B15780" t="s">
        <v>8492</v>
      </c>
      <c r="C15780" s="1734" t="s">
        <v>5590</v>
      </c>
      <c r="D15780" s="1735"/>
      <c r="E15780" s="1255"/>
      <c r="F15780" s="1178" t="s">
        <v>5590</v>
      </c>
      <c r="G15780" s="78"/>
      <c r="H15780" s="81"/>
      <c r="I15780" s="413"/>
      <c r="J15780" s="370"/>
    </row>
    <row r="15781" spans="1:18" hidden="1" outlineLevel="1" x14ac:dyDescent="0.25">
      <c r="A15781" s="753" t="s">
        <v>8497</v>
      </c>
      <c r="B15781" t="s">
        <v>8492</v>
      </c>
      <c r="C15781" s="1734" t="s">
        <v>5590</v>
      </c>
      <c r="D15781" s="1735"/>
      <c r="E15781" s="1255"/>
      <c r="F15781" s="1178" t="s">
        <v>5590</v>
      </c>
      <c r="G15781" s="78"/>
      <c r="H15781" s="81"/>
      <c r="I15781" s="413"/>
      <c r="J15781" s="370"/>
    </row>
    <row r="15782" spans="1:18" hidden="1" outlineLevel="1" x14ac:dyDescent="0.25">
      <c r="A15782" s="753" t="s">
        <v>8498</v>
      </c>
      <c r="B15782" t="s">
        <v>8492</v>
      </c>
      <c r="C15782" s="1734" t="s">
        <v>5590</v>
      </c>
      <c r="D15782" s="1735"/>
      <c r="E15782" s="1255"/>
      <c r="F15782" s="1178" t="s">
        <v>5590</v>
      </c>
      <c r="G15782" s="78"/>
      <c r="H15782" s="81"/>
      <c r="I15782" s="413"/>
      <c r="J15782" s="370"/>
    </row>
    <row r="15783" spans="1:18" hidden="1" outlineLevel="1" x14ac:dyDescent="0.25">
      <c r="A15783" s="751" t="s">
        <v>8499</v>
      </c>
      <c r="B15783" t="s">
        <v>8492</v>
      </c>
      <c r="C15783" s="1736"/>
      <c r="D15783" s="860"/>
      <c r="E15783" s="1255"/>
      <c r="F15783" s="1107"/>
      <c r="G15783" s="78"/>
      <c r="H15783" s="81"/>
      <c r="I15783" s="413"/>
      <c r="J15783" s="370"/>
    </row>
    <row r="15784" spans="1:18" hidden="1" outlineLevel="1" x14ac:dyDescent="0.25">
      <c r="A15784" s="846" t="s">
        <v>2734</v>
      </c>
      <c r="B15784" s="691"/>
      <c r="C15784" s="956"/>
      <c r="D15784" s="839"/>
      <c r="E15784" s="693"/>
      <c r="F15784" s="856">
        <v>7.0000000000000007E-2</v>
      </c>
      <c r="G15784" s="78"/>
      <c r="H15784" s="81"/>
      <c r="I15784" s="370"/>
      <c r="J15784" s="370"/>
    </row>
    <row r="15785" spans="1:18" collapsed="1" x14ac:dyDescent="0.25">
      <c r="A15785" s="2467" t="s">
        <v>8332</v>
      </c>
      <c r="B15785" s="2468"/>
      <c r="C15785" s="2468"/>
      <c r="D15785" s="2468"/>
      <c r="E15785" s="2481"/>
      <c r="F15785" s="1948">
        <v>7.0000000000000007E-2</v>
      </c>
      <c r="G15785" s="78"/>
      <c r="H15785" s="1672"/>
      <c r="I15785" s="370"/>
      <c r="J15785" s="370"/>
    </row>
    <row r="15786" spans="1:18" x14ac:dyDescent="0.25">
      <c r="A15786" s="370"/>
      <c r="B15786" s="370"/>
      <c r="C15786" s="370"/>
      <c r="D15786" s="370"/>
      <c r="E15786" s="370"/>
      <c r="F15786" s="149"/>
      <c r="G15786" s="370"/>
      <c r="H15786" s="370"/>
      <c r="I15786" s="370"/>
      <c r="J15786" s="370"/>
    </row>
    <row r="15787" spans="1:18" ht="12.75" hidden="1" customHeight="1" outlineLevel="1" x14ac:dyDescent="0.25">
      <c r="A15787" s="3237" t="s">
        <v>113</v>
      </c>
      <c r="B15787" s="3237" t="s">
        <v>114</v>
      </c>
      <c r="C15787" s="3237" t="s">
        <v>112</v>
      </c>
      <c r="D15787" s="3237" t="s">
        <v>116</v>
      </c>
      <c r="E15787" s="3237" t="s">
        <v>117</v>
      </c>
      <c r="F15787" s="3276" t="s">
        <v>121</v>
      </c>
      <c r="G15787" s="78"/>
    </row>
    <row r="15788" spans="1:18" ht="12.75" hidden="1" customHeight="1" outlineLevel="1" x14ac:dyDescent="0.25">
      <c r="A15788" s="3238">
        <v>1</v>
      </c>
      <c r="B15788" s="3239" t="s">
        <v>252</v>
      </c>
      <c r="C15788" s="3240">
        <v>100</v>
      </c>
      <c r="D15788" s="3240"/>
      <c r="E15788" s="3241"/>
      <c r="F15788" s="3242"/>
      <c r="G15788" s="78"/>
      <c r="K15788" s="37"/>
    </row>
    <row r="15789" spans="1:18" ht="12.75" hidden="1" customHeight="1" outlineLevel="1" x14ac:dyDescent="0.25">
      <c r="A15789" s="3243" t="s">
        <v>2734</v>
      </c>
      <c r="B15789" s="3243"/>
      <c r="C15789" s="3244"/>
      <c r="D15789" s="1900" t="s">
        <v>3702</v>
      </c>
      <c r="E15789" s="3245">
        <f>indexy!$B$2</f>
        <v>45379</v>
      </c>
      <c r="F15789" s="3246"/>
      <c r="G15789" s="78"/>
    </row>
    <row r="15790" spans="1:18" ht="12.75" hidden="1" customHeight="1" outlineLevel="1" x14ac:dyDescent="0.25">
      <c r="A15790" s="3237" t="s">
        <v>4156</v>
      </c>
      <c r="B15790" s="3237" t="s">
        <v>4153</v>
      </c>
      <c r="C15790" s="3247" t="s">
        <v>112</v>
      </c>
      <c r="D15790" s="3248" t="s">
        <v>4155</v>
      </c>
      <c r="E15790" s="3237" t="s">
        <v>4154</v>
      </c>
      <c r="F15790" s="3277" t="s">
        <v>2519</v>
      </c>
      <c r="G15790" s="78"/>
      <c r="I15790" s="412" t="s">
        <v>6964</v>
      </c>
      <c r="J15790" s="1635">
        <v>42826</v>
      </c>
      <c r="K15790" s="1635">
        <v>42856</v>
      </c>
      <c r="L15790" s="1635">
        <v>42887</v>
      </c>
      <c r="M15790" s="1635">
        <v>42917</v>
      </c>
      <c r="N15790" s="1635">
        <v>42948</v>
      </c>
      <c r="O15790" s="1635">
        <v>42979</v>
      </c>
    </row>
    <row r="15791" spans="1:18" ht="12.75" hidden="1" customHeight="1" outlineLevel="1" x14ac:dyDescent="0.25">
      <c r="A15791" s="1991">
        <v>0.02</v>
      </c>
      <c r="B15791" s="1921" t="s">
        <v>7111</v>
      </c>
      <c r="C15791" s="2108">
        <v>65.533000000000001</v>
      </c>
      <c r="D15791" s="3194">
        <v>161.61000000000001</v>
      </c>
      <c r="E15791" s="3269">
        <v>1.4660857888392109</v>
      </c>
      <c r="F15791" s="3193">
        <v>2.9321715776784218E-2</v>
      </c>
      <c r="H15791" t="s">
        <v>7109</v>
      </c>
      <c r="I15791" s="412">
        <v>99.010900000000007</v>
      </c>
      <c r="J15791">
        <v>99.080200000000005</v>
      </c>
      <c r="K15791">
        <v>99.010900000000007</v>
      </c>
      <c r="L15791">
        <v>101.9889</v>
      </c>
      <c r="M15791">
        <v>101.54049999999999</v>
      </c>
      <c r="N15791">
        <v>102.3826</v>
      </c>
      <c r="O15791">
        <v>101.696</v>
      </c>
      <c r="R15791" s="434"/>
    </row>
    <row r="15792" spans="1:18" ht="12.75" hidden="1" customHeight="1" outlineLevel="1" x14ac:dyDescent="0.25">
      <c r="A15792" s="2380">
        <v>0.02</v>
      </c>
      <c r="B15792" s="1921" t="s">
        <v>359</v>
      </c>
      <c r="C15792" s="2108">
        <v>169.75</v>
      </c>
      <c r="D15792" s="3196">
        <v>200.9</v>
      </c>
      <c r="E15792" s="3270">
        <v>0.18350515463917527</v>
      </c>
      <c r="F15792" s="3198">
        <v>3.6701030927835054E-3</v>
      </c>
      <c r="H15792" t="s">
        <v>360</v>
      </c>
      <c r="I15792" s="422">
        <v>2.4548611111111E-2</v>
      </c>
      <c r="R15792" s="434"/>
    </row>
    <row r="15793" spans="1:18" ht="12.75" hidden="1" customHeight="1" outlineLevel="1" x14ac:dyDescent="0.25">
      <c r="A15793" s="2380">
        <v>0.04</v>
      </c>
      <c r="B15793" s="1921" t="s">
        <v>1993</v>
      </c>
      <c r="C15793" s="2108">
        <v>75.710999999999999</v>
      </c>
      <c r="D15793" s="3196">
        <v>45.71</v>
      </c>
      <c r="E15793" s="3270">
        <v>-0.39625681869213192</v>
      </c>
      <c r="F15793" s="3198">
        <v>-1.5850272747685277E-2</v>
      </c>
      <c r="H15793" t="s">
        <v>2812</v>
      </c>
      <c r="R15793" s="434"/>
    </row>
    <row r="15794" spans="1:18" ht="12.75" hidden="1" customHeight="1" outlineLevel="1" x14ac:dyDescent="0.25">
      <c r="A15794" s="2380">
        <v>0.06</v>
      </c>
      <c r="B15794" s="1921" t="s">
        <v>10705</v>
      </c>
      <c r="C15794" s="2108">
        <v>42.265999999999998</v>
      </c>
      <c r="D15794" s="3196">
        <v>25.7546</v>
      </c>
      <c r="E15794" s="3270">
        <v>-0.39065442672597361</v>
      </c>
      <c r="F15794" s="3198">
        <v>-2.3439265603558416E-2</v>
      </c>
      <c r="H15794" t="s">
        <v>10706</v>
      </c>
      <c r="R15794" s="434"/>
    </row>
    <row r="15795" spans="1:18" ht="12.75" hidden="1" customHeight="1" outlineLevel="1" x14ac:dyDescent="0.25">
      <c r="A15795" s="2380">
        <v>0.02</v>
      </c>
      <c r="B15795" s="1921" t="s">
        <v>218</v>
      </c>
      <c r="C15795" s="2108">
        <v>23.87</v>
      </c>
      <c r="D15795" s="3196">
        <v>26.055</v>
      </c>
      <c r="E15795" s="3270">
        <v>9.1537494763301197E-2</v>
      </c>
      <c r="F15795" s="3198">
        <v>1.8307498952660241E-3</v>
      </c>
      <c r="H15795" t="s">
        <v>656</v>
      </c>
      <c r="R15795" s="434"/>
    </row>
    <row r="15796" spans="1:18" ht="12.75" hidden="1" customHeight="1" outlineLevel="1" x14ac:dyDescent="0.25">
      <c r="A15796" s="2380">
        <v>0.02</v>
      </c>
      <c r="B15796" s="1921" t="s">
        <v>5748</v>
      </c>
      <c r="C15796" s="2108">
        <v>78.427000000000007</v>
      </c>
      <c r="D15796" s="3196">
        <v>66.34</v>
      </c>
      <c r="E15796" s="3270">
        <v>-0.15411784206969537</v>
      </c>
      <c r="F15796" s="3198">
        <v>-3.0823568413939073E-3</v>
      </c>
      <c r="H15796" t="s">
        <v>5746</v>
      </c>
      <c r="R15796" s="434"/>
    </row>
    <row r="15797" spans="1:18" ht="12.75" hidden="1" customHeight="1" outlineLevel="1" x14ac:dyDescent="0.25">
      <c r="A15797" s="2380">
        <v>0.02</v>
      </c>
      <c r="B15797" s="1921" t="s">
        <v>1188</v>
      </c>
      <c r="C15797" s="2108">
        <v>4.6037999999999997</v>
      </c>
      <c r="D15797" s="3196">
        <v>4.7489999999999997</v>
      </c>
      <c r="E15797" s="3270">
        <v>3.1539163299882711E-2</v>
      </c>
      <c r="F15797" s="3198">
        <v>6.3078326599765424E-4</v>
      </c>
      <c r="H15797" t="s">
        <v>2746</v>
      </c>
      <c r="R15797" s="434"/>
    </row>
    <row r="15798" spans="1:18" ht="12.75" hidden="1" customHeight="1" outlineLevel="1" x14ac:dyDescent="0.25">
      <c r="A15798" s="2380">
        <v>0.02</v>
      </c>
      <c r="B15798" s="1921" t="s">
        <v>7491</v>
      </c>
      <c r="C15798" s="2108">
        <v>4618</v>
      </c>
      <c r="D15798" s="3196">
        <v>4691</v>
      </c>
      <c r="E15798" s="3270">
        <v>1.5807708964919787E-2</v>
      </c>
      <c r="F15798" s="3198">
        <v>3.1615417929839576E-4</v>
      </c>
      <c r="H15798" t="s">
        <v>7489</v>
      </c>
      <c r="R15798" s="434"/>
    </row>
    <row r="15799" spans="1:18" ht="12.75" hidden="1" customHeight="1" outlineLevel="1" x14ac:dyDescent="0.25">
      <c r="A15799" s="2380">
        <v>0.08</v>
      </c>
      <c r="B15799" s="1921" t="s">
        <v>951</v>
      </c>
      <c r="C15799" s="2108">
        <v>3483.1</v>
      </c>
      <c r="D15799" s="3196">
        <v>2855.5</v>
      </c>
      <c r="E15799" s="3270">
        <v>-0.18018431856679396</v>
      </c>
      <c r="F15799" s="3198">
        <v>-1.4414745485343517E-2</v>
      </c>
      <c r="H15799" t="s">
        <v>952</v>
      </c>
      <c r="R15799" s="434"/>
    </row>
    <row r="15800" spans="1:18" ht="12.75" hidden="1" customHeight="1" outlineLevel="1" x14ac:dyDescent="0.25">
      <c r="A15800" s="2380">
        <v>0.02</v>
      </c>
      <c r="B15800" s="1921" t="s">
        <v>1714</v>
      </c>
      <c r="C15800" s="2108">
        <v>12.3505</v>
      </c>
      <c r="D15800" s="3196">
        <v>9.8309999999999995</v>
      </c>
      <c r="E15800" s="3270">
        <v>-0.20399983806323641</v>
      </c>
      <c r="F15800" s="3198">
        <v>-4.0799967612647281E-3</v>
      </c>
      <c r="H15800" t="s">
        <v>4328</v>
      </c>
      <c r="R15800" s="434"/>
    </row>
    <row r="15801" spans="1:18" ht="12.75" hidden="1" customHeight="1" outlineLevel="1" x14ac:dyDescent="0.25">
      <c r="A15801" s="2380">
        <v>0.02</v>
      </c>
      <c r="B15801" s="1921" t="s">
        <v>3799</v>
      </c>
      <c r="C15801" s="2108">
        <v>17.197568948213966</v>
      </c>
      <c r="D15801" s="3196">
        <v>14.375999999999999</v>
      </c>
      <c r="E15801" s="3270">
        <v>-0.16406789568400004</v>
      </c>
      <c r="F15801" s="3198">
        <v>-3.281357913680001E-3</v>
      </c>
      <c r="H15801" t="s">
        <v>4128</v>
      </c>
      <c r="R15801" s="434"/>
    </row>
    <row r="15802" spans="1:18" ht="12.75" hidden="1" customHeight="1" outlineLevel="1" x14ac:dyDescent="0.25">
      <c r="A15802" s="2380">
        <v>0.04</v>
      </c>
      <c r="B15802" s="1921" t="s">
        <v>1771</v>
      </c>
      <c r="C15802" s="2108">
        <v>6.6566999999999998</v>
      </c>
      <c r="D15802" s="3196">
        <v>5.157</v>
      </c>
      <c r="E15802" s="3270">
        <v>-0.22529181125783049</v>
      </c>
      <c r="F15802" s="3198">
        <v>-9.0116724503132191E-3</v>
      </c>
      <c r="H15802" t="s">
        <v>4329</v>
      </c>
      <c r="R15802" s="434"/>
    </row>
    <row r="15803" spans="1:18" ht="12.75" hidden="1" customHeight="1" outlineLevel="1" x14ac:dyDescent="0.25">
      <c r="A15803" s="2380">
        <v>0.05</v>
      </c>
      <c r="B15803" s="1921" t="s">
        <v>1031</v>
      </c>
      <c r="C15803" s="2519">
        <v>6.3643000000000001</v>
      </c>
      <c r="D15803" s="3196">
        <v>10.93</v>
      </c>
      <c r="E15803" s="3270">
        <v>0.71739232908568096</v>
      </c>
      <c r="F15803" s="3198">
        <v>3.5869616454284048E-2</v>
      </c>
      <c r="H15803" t="s">
        <v>7872</v>
      </c>
      <c r="R15803" s="434"/>
    </row>
    <row r="15804" spans="1:18" ht="12.75" hidden="1" customHeight="1" outlineLevel="1" x14ac:dyDescent="0.25">
      <c r="A15804" s="2380">
        <v>0.02</v>
      </c>
      <c r="B15804" s="1921" t="s">
        <v>1343</v>
      </c>
      <c r="C15804" s="2108">
        <v>38.621000000000002</v>
      </c>
      <c r="D15804" s="3196">
        <v>20.71</v>
      </c>
      <c r="E15804" s="3270">
        <v>-0.46376323761684057</v>
      </c>
      <c r="F15804" s="3198">
        <v>-9.275264752336811E-3</v>
      </c>
      <c r="H15804" t="s">
        <v>7747</v>
      </c>
      <c r="R15804" s="434"/>
    </row>
    <row r="15805" spans="1:18" ht="12.75" hidden="1" customHeight="1" outlineLevel="1" x14ac:dyDescent="0.25">
      <c r="A15805" s="2380">
        <v>0.02</v>
      </c>
      <c r="B15805" s="1921" t="s">
        <v>5164</v>
      </c>
      <c r="C15805" s="2108">
        <v>1685.9</v>
      </c>
      <c r="D15805" s="3196">
        <v>3853</v>
      </c>
      <c r="E15805" s="3270">
        <v>1.2854261818613204</v>
      </c>
      <c r="F15805" s="3198">
        <v>2.5708523637226408E-2</v>
      </c>
      <c r="H15805" t="s">
        <v>5162</v>
      </c>
      <c r="R15805" s="434"/>
    </row>
    <row r="15806" spans="1:18" ht="12.75" hidden="1" customHeight="1" outlineLevel="1" x14ac:dyDescent="0.25">
      <c r="A15806" s="2380">
        <v>0.02</v>
      </c>
      <c r="B15806" s="1921" t="s">
        <v>1772</v>
      </c>
      <c r="C15806" s="2108">
        <v>179.22499999999999</v>
      </c>
      <c r="D15806" s="3196">
        <v>304</v>
      </c>
      <c r="E15806" s="3270">
        <v>0.69619193750871822</v>
      </c>
      <c r="F15806" s="3198">
        <v>1.3923838750174364E-2</v>
      </c>
      <c r="H15806" t="s">
        <v>4330</v>
      </c>
      <c r="R15806" s="434"/>
    </row>
    <row r="15807" spans="1:18" ht="12.75" hidden="1" customHeight="1" outlineLevel="1" x14ac:dyDescent="0.25">
      <c r="A15807" s="2380">
        <v>0.02</v>
      </c>
      <c r="B15807" s="1921" t="s">
        <v>459</v>
      </c>
      <c r="C15807" s="2108">
        <v>1144</v>
      </c>
      <c r="D15807" s="3196">
        <v>418.1</v>
      </c>
      <c r="E15807" s="3270">
        <v>-0.63452797202797195</v>
      </c>
      <c r="F15807" s="3198">
        <v>-1.269055944055944E-2</v>
      </c>
      <c r="H15807" t="s">
        <v>639</v>
      </c>
      <c r="R15807" s="434"/>
    </row>
    <row r="15808" spans="1:18" ht="12.75" hidden="1" customHeight="1" outlineLevel="1" x14ac:dyDescent="0.25">
      <c r="A15808" s="2380">
        <v>0.05</v>
      </c>
      <c r="B15808" s="1921" t="s">
        <v>2787</v>
      </c>
      <c r="C15808" s="2108">
        <v>66.39577562029929</v>
      </c>
      <c r="D15808" s="3196">
        <v>83.59</v>
      </c>
      <c r="E15808" s="3270">
        <v>0.25896563778439985</v>
      </c>
      <c r="F15808" s="3198">
        <v>1.2948281889219993E-2</v>
      </c>
      <c r="H15808" t="s">
        <v>8874</v>
      </c>
      <c r="R15808" s="434"/>
    </row>
    <row r="15809" spans="1:18" ht="12.75" hidden="1" customHeight="1" outlineLevel="1" x14ac:dyDescent="0.25">
      <c r="A15809" s="2380">
        <v>0.02</v>
      </c>
      <c r="B15809" s="1921" t="s">
        <v>1414</v>
      </c>
      <c r="C15809" s="2108">
        <v>32.40551115991525</v>
      </c>
      <c r="D15809" s="3196">
        <v>51.24</v>
      </c>
      <c r="E15809" s="3270">
        <v>0.5812125211400001</v>
      </c>
      <c r="F15809" s="3198">
        <v>1.1624250422800003E-2</v>
      </c>
      <c r="H15809" t="s">
        <v>2428</v>
      </c>
      <c r="R15809" s="434"/>
    </row>
    <row r="15810" spans="1:18" ht="12.75" hidden="1" customHeight="1" outlineLevel="1" x14ac:dyDescent="0.25">
      <c r="A15810" s="2380">
        <v>7.0000000000000007E-2</v>
      </c>
      <c r="B15810" s="1921" t="s">
        <v>3793</v>
      </c>
      <c r="C15810" s="2108">
        <v>111.795</v>
      </c>
      <c r="D15810" s="3196">
        <v>101.21</v>
      </c>
      <c r="E15810" s="3270">
        <v>-9.4682230869001405E-2</v>
      </c>
      <c r="F15810" s="3198">
        <v>-6.6277561608300986E-3</v>
      </c>
      <c r="H15810" t="s">
        <v>3533</v>
      </c>
      <c r="R15810" s="434"/>
    </row>
    <row r="15811" spans="1:18" ht="12.75" hidden="1" customHeight="1" outlineLevel="1" x14ac:dyDescent="0.25">
      <c r="A15811" s="2380">
        <v>0.02</v>
      </c>
      <c r="B15811" s="1921" t="s">
        <v>10667</v>
      </c>
      <c r="C15811" s="2108">
        <v>21.107500000000002</v>
      </c>
      <c r="D15811" s="3196">
        <v>23.26</v>
      </c>
      <c r="E15811" s="3270">
        <v>0.10197796991590669</v>
      </c>
      <c r="F15811" s="3198">
        <v>2.0395593983181339E-3</v>
      </c>
      <c r="H15811" t="s">
        <v>10668</v>
      </c>
      <c r="R15811" s="434"/>
    </row>
    <row r="15812" spans="1:18" ht="12.75" hidden="1" customHeight="1" outlineLevel="1" x14ac:dyDescent="0.25">
      <c r="A15812" s="2380">
        <v>0.02</v>
      </c>
      <c r="B15812" s="1921" t="s">
        <v>1187</v>
      </c>
      <c r="C15812" s="2108">
        <v>81.94089396827016</v>
      </c>
      <c r="D15812" s="3196">
        <v>89.84</v>
      </c>
      <c r="E15812" s="3270">
        <v>9.6400047024000068E-2</v>
      </c>
      <c r="F15812" s="3198">
        <v>1.9280009404800014E-3</v>
      </c>
      <c r="H15812" t="s">
        <v>3483</v>
      </c>
      <c r="R15812" s="434"/>
    </row>
    <row r="15813" spans="1:18" ht="12.75" hidden="1" customHeight="1" outlineLevel="1" x14ac:dyDescent="0.25">
      <c r="A15813" s="2380">
        <v>0.08</v>
      </c>
      <c r="B15813" s="1921" t="s">
        <v>1239</v>
      </c>
      <c r="C15813" s="2108">
        <v>450.56</v>
      </c>
      <c r="D15813" s="3196">
        <v>506.6</v>
      </c>
      <c r="E15813" s="3270">
        <v>0.12437855113636376</v>
      </c>
      <c r="F15813" s="3198">
        <v>9.9502840909091016E-3</v>
      </c>
      <c r="H15813" t="s">
        <v>8891</v>
      </c>
      <c r="R15813" s="434"/>
    </row>
    <row r="15814" spans="1:18" ht="12.75" hidden="1" customHeight="1" outlineLevel="1" x14ac:dyDescent="0.25">
      <c r="A15814" s="2380">
        <v>0.02</v>
      </c>
      <c r="B15814" s="1921" t="s">
        <v>7755</v>
      </c>
      <c r="C15814" s="2108">
        <v>10.347</v>
      </c>
      <c r="D15814" s="3196">
        <v>3.3849999999999998</v>
      </c>
      <c r="E15814" s="3270">
        <v>-0.67285203440610808</v>
      </c>
      <c r="F15814" s="3198">
        <v>-1.3457040688122162E-2</v>
      </c>
      <c r="H15814" t="s">
        <v>6732</v>
      </c>
      <c r="R15814" s="434"/>
    </row>
    <row r="15815" spans="1:18" ht="12.75" hidden="1" customHeight="1" outlineLevel="1" x14ac:dyDescent="0.25">
      <c r="A15815" s="2380">
        <v>0.02</v>
      </c>
      <c r="B15815" s="1921" t="s">
        <v>10633</v>
      </c>
      <c r="C15815" s="2108">
        <v>46.845999999999997</v>
      </c>
      <c r="D15815" s="3196">
        <v>58.65</v>
      </c>
      <c r="E15815" s="3270">
        <v>0.25197455492464682</v>
      </c>
      <c r="F15815" s="3198">
        <v>5.0394910984929361E-3</v>
      </c>
      <c r="H15815" t="s">
        <v>10634</v>
      </c>
      <c r="R15815" s="434"/>
    </row>
    <row r="15816" spans="1:18" ht="12.75" hidden="1" customHeight="1" outlineLevel="1" x14ac:dyDescent="0.25">
      <c r="A15816" s="2380">
        <v>0.02</v>
      </c>
      <c r="B15816" s="1921" t="s">
        <v>576</v>
      </c>
      <c r="C15816" s="2108">
        <v>6.9841100402325917</v>
      </c>
      <c r="D15816" s="3196">
        <v>1.52</v>
      </c>
      <c r="E15816" s="3270">
        <v>-0.78236310836400003</v>
      </c>
      <c r="F15816" s="3198">
        <v>-1.5647262167280001E-2</v>
      </c>
      <c r="H15816" t="s">
        <v>2080</v>
      </c>
      <c r="R15816" s="434"/>
    </row>
    <row r="15817" spans="1:18" ht="12.75" hidden="1" customHeight="1" outlineLevel="1" x14ac:dyDescent="0.25">
      <c r="A15817" s="2380">
        <v>0.02</v>
      </c>
      <c r="B15817" s="1921" t="s">
        <v>8304</v>
      </c>
      <c r="C15817" s="2108">
        <v>16.030999999999999</v>
      </c>
      <c r="D15817" s="3196">
        <v>17.204999999999998</v>
      </c>
      <c r="E15817" s="3270">
        <v>7.323311084773243E-2</v>
      </c>
      <c r="F15817" s="3198">
        <v>1.4646622169546487E-3</v>
      </c>
      <c r="H15817" t="s">
        <v>8903</v>
      </c>
      <c r="R15817" s="434"/>
    </row>
    <row r="15818" spans="1:18" ht="12.75" hidden="1" customHeight="1" outlineLevel="1" x14ac:dyDescent="0.25">
      <c r="A15818" s="2380">
        <v>0.05</v>
      </c>
      <c r="B15818" s="1921" t="s">
        <v>255</v>
      </c>
      <c r="C15818" s="2108">
        <v>49.759</v>
      </c>
      <c r="D15818" s="3196">
        <v>39.4</v>
      </c>
      <c r="E15818" s="3270">
        <v>-0.20818344420104906</v>
      </c>
      <c r="F15818" s="3198">
        <v>-1.0409172210052454E-2</v>
      </c>
      <c r="H15818" t="s">
        <v>3351</v>
      </c>
      <c r="R15818" s="434"/>
    </row>
    <row r="15819" spans="1:18" ht="12.75" hidden="1" customHeight="1" outlineLevel="1" x14ac:dyDescent="0.25">
      <c r="A15819" s="2380">
        <v>0.02</v>
      </c>
      <c r="B15819" s="1921" t="s">
        <v>579</v>
      </c>
      <c r="C15819" s="2108">
        <v>2.0649000000000002</v>
      </c>
      <c r="D15819" s="3196">
        <v>0.84239999999999993</v>
      </c>
      <c r="E15819" s="3270">
        <v>-0.59203835536829885</v>
      </c>
      <c r="F15819" s="3198">
        <v>-1.1840767107365978E-2</v>
      </c>
      <c r="H15819" t="s">
        <v>3611</v>
      </c>
      <c r="R15819" s="434"/>
    </row>
    <row r="15820" spans="1:18" ht="12.75" hidden="1" customHeight="1" outlineLevel="1" x14ac:dyDescent="0.25">
      <c r="A15820" s="2380">
        <v>0.08</v>
      </c>
      <c r="B15820" s="2109" t="s">
        <v>4550</v>
      </c>
      <c r="C15820" s="2108">
        <v>284.20999999999998</v>
      </c>
      <c r="D15820" s="3199">
        <v>442.3</v>
      </c>
      <c r="E15820" s="3270">
        <v>0.55624362267337557</v>
      </c>
      <c r="F15820" s="3198">
        <v>4.4499489813870044E-2</v>
      </c>
      <c r="H15820" t="s">
        <v>8889</v>
      </c>
      <c r="R15820" s="434"/>
    </row>
    <row r="15821" spans="1:18" ht="12.75" hidden="1" customHeight="1" outlineLevel="1" x14ac:dyDescent="0.25">
      <c r="A15821" s="2181" t="s">
        <v>2734</v>
      </c>
      <c r="B15821" s="2103"/>
      <c r="C15821" s="3200">
        <v>100</v>
      </c>
      <c r="D15821" s="3201"/>
      <c r="E15821" s="3202"/>
      <c r="F15821" s="3193">
        <v>4.7658014593073464E-2</v>
      </c>
      <c r="G15821" s="78"/>
    </row>
    <row r="15822" spans="1:18" ht="12.75" hidden="1" customHeight="1" outlineLevel="1" x14ac:dyDescent="0.25">
      <c r="A15822" s="1956" t="s">
        <v>8543</v>
      </c>
      <c r="B15822" s="2185">
        <v>44378</v>
      </c>
      <c r="C15822" s="3203">
        <v>100</v>
      </c>
      <c r="D15822" s="3203">
        <v>97.349599999999995</v>
      </c>
      <c r="E15822" s="3204">
        <v>-2.6504000000000083E-2</v>
      </c>
      <c r="F15822" s="3205"/>
      <c r="G15822" s="78"/>
    </row>
    <row r="15823" spans="1:18" ht="12.75" hidden="1" customHeight="1" outlineLevel="1" x14ac:dyDescent="0.25">
      <c r="A15823" s="1956" t="s">
        <v>8544</v>
      </c>
      <c r="B15823" s="2185">
        <v>44409</v>
      </c>
      <c r="C15823" s="3203">
        <v>100</v>
      </c>
      <c r="D15823" s="3206">
        <v>99.706400000000002</v>
      </c>
      <c r="E15823" s="3204">
        <v>-2.9359999999999387E-3</v>
      </c>
      <c r="F15823" s="3205"/>
      <c r="G15823" s="78"/>
    </row>
    <row r="15824" spans="1:18" ht="12.75" hidden="1" customHeight="1" outlineLevel="1" x14ac:dyDescent="0.25">
      <c r="A15824" s="1956" t="s">
        <v>8545</v>
      </c>
      <c r="B15824" s="2185">
        <v>44440</v>
      </c>
      <c r="C15824" s="3203">
        <v>100</v>
      </c>
      <c r="D15824" s="3206">
        <v>96.1858</v>
      </c>
      <c r="E15824" s="3204">
        <v>-3.8142000000000009E-2</v>
      </c>
      <c r="F15824" s="3205"/>
      <c r="G15824" s="78"/>
    </row>
    <row r="15825" spans="1:7" ht="12.75" hidden="1" customHeight="1" outlineLevel="1" x14ac:dyDescent="0.25">
      <c r="A15825" s="1956" t="s">
        <v>8546</v>
      </c>
      <c r="B15825" s="2185">
        <v>44470</v>
      </c>
      <c r="C15825" s="3203">
        <v>100</v>
      </c>
      <c r="D15825" s="3206">
        <v>97.992199999999997</v>
      </c>
      <c r="E15825" s="3204">
        <v>-2.007800000000004E-2</v>
      </c>
      <c r="F15825" s="3205"/>
      <c r="G15825" s="78"/>
    </row>
    <row r="15826" spans="1:7" ht="12.75" hidden="1" customHeight="1" outlineLevel="1" x14ac:dyDescent="0.25">
      <c r="A15826" s="1956" t="s">
        <v>8547</v>
      </c>
      <c r="B15826" s="2185">
        <v>44501</v>
      </c>
      <c r="C15826" s="3203">
        <v>100</v>
      </c>
      <c r="D15826" s="3206">
        <v>94.811400000000006</v>
      </c>
      <c r="E15826" s="3204">
        <v>-5.1885999999999988E-2</v>
      </c>
      <c r="F15826" s="3205"/>
      <c r="G15826" s="78"/>
    </row>
    <row r="15827" spans="1:7" ht="12.75" hidden="1" customHeight="1" outlineLevel="1" x14ac:dyDescent="0.25">
      <c r="A15827" s="1956" t="s">
        <v>8548</v>
      </c>
      <c r="B15827" s="2185">
        <v>44531</v>
      </c>
      <c r="C15827" s="3203">
        <v>100</v>
      </c>
      <c r="D15827" s="3206">
        <v>101.3417</v>
      </c>
      <c r="E15827" s="3204">
        <v>1.3417000000000012E-2</v>
      </c>
      <c r="F15827" s="3205"/>
      <c r="G15827" s="78"/>
    </row>
    <row r="15828" spans="1:7" ht="12.75" hidden="1" customHeight="1" outlineLevel="1" x14ac:dyDescent="0.25">
      <c r="A15828" s="1956" t="s">
        <v>8549</v>
      </c>
      <c r="B15828" s="2185">
        <v>44562</v>
      </c>
      <c r="C15828" s="3203">
        <v>100</v>
      </c>
      <c r="D15828" s="3206">
        <v>105.7179</v>
      </c>
      <c r="E15828" s="3204">
        <v>5.7179000000000091E-2</v>
      </c>
      <c r="F15828" s="3205"/>
      <c r="G15828" s="78"/>
    </row>
    <row r="15829" spans="1:7" ht="12.75" hidden="1" customHeight="1" outlineLevel="1" x14ac:dyDescent="0.25">
      <c r="A15829" s="1956" t="s">
        <v>8550</v>
      </c>
      <c r="B15829" s="2185">
        <v>44593</v>
      </c>
      <c r="C15829" s="3203">
        <v>100</v>
      </c>
      <c r="D15829" s="3206">
        <v>103.34520000000001</v>
      </c>
      <c r="E15829" s="3204">
        <v>3.3452000000000037E-2</v>
      </c>
      <c r="F15829" s="3205"/>
      <c r="G15829" s="78"/>
    </row>
    <row r="15830" spans="1:7" ht="12.75" hidden="1" customHeight="1" outlineLevel="1" x14ac:dyDescent="0.25">
      <c r="A15830" s="1956" t="s">
        <v>8551</v>
      </c>
      <c r="B15830" s="2185">
        <v>44621</v>
      </c>
      <c r="C15830" s="3203">
        <v>100</v>
      </c>
      <c r="D15830" s="3206">
        <v>106.1906</v>
      </c>
      <c r="E15830" s="3204">
        <v>6.1906000000000017E-2</v>
      </c>
      <c r="F15830" s="3205"/>
      <c r="G15830" s="78"/>
    </row>
    <row r="15831" spans="1:7" ht="12.75" hidden="1" customHeight="1" outlineLevel="1" x14ac:dyDescent="0.25">
      <c r="A15831" s="1956" t="s">
        <v>8552</v>
      </c>
      <c r="B15831" s="2185">
        <v>44652</v>
      </c>
      <c r="C15831" s="3203">
        <v>100</v>
      </c>
      <c r="D15831" s="3206">
        <v>106.363</v>
      </c>
      <c r="E15831" s="3204">
        <v>6.3630000000000075E-2</v>
      </c>
      <c r="F15831" s="3205"/>
      <c r="G15831" s="78"/>
    </row>
    <row r="15832" spans="1:7" ht="12.75" hidden="1" customHeight="1" outlineLevel="1" x14ac:dyDescent="0.25">
      <c r="A15832" s="1956" t="s">
        <v>8553</v>
      </c>
      <c r="B15832" s="2185">
        <v>44682</v>
      </c>
      <c r="C15832" s="3203">
        <v>100</v>
      </c>
      <c r="D15832" s="3206">
        <v>108.98269999999999</v>
      </c>
      <c r="E15832" s="3204">
        <v>8.9826999999999879E-2</v>
      </c>
      <c r="F15832" s="3205"/>
      <c r="G15832" s="78"/>
    </row>
    <row r="15833" spans="1:7" ht="12.75" hidden="1" customHeight="1" outlineLevel="1" x14ac:dyDescent="0.25">
      <c r="A15833" s="1956" t="s">
        <v>8554</v>
      </c>
      <c r="B15833" s="2185">
        <v>44713</v>
      </c>
      <c r="C15833" s="3203">
        <v>100</v>
      </c>
      <c r="D15833" s="3206">
        <v>102.2831</v>
      </c>
      <c r="E15833" s="3204">
        <v>2.2831000000000046E-2</v>
      </c>
      <c r="F15833" s="3205"/>
      <c r="G15833" s="78"/>
    </row>
    <row r="15834" spans="1:7" ht="12.75" hidden="1" customHeight="1" outlineLevel="1" x14ac:dyDescent="0.25">
      <c r="A15834" s="1956" t="s">
        <v>8555</v>
      </c>
      <c r="B15834" s="2185">
        <v>44743</v>
      </c>
      <c r="C15834" s="3203">
        <v>100</v>
      </c>
      <c r="D15834" s="3206">
        <v>101.28619999999999</v>
      </c>
      <c r="E15834" s="3204">
        <v>1.2861999999999929E-2</v>
      </c>
      <c r="F15834" s="3205"/>
      <c r="G15834" s="78"/>
    </row>
    <row r="15835" spans="1:7" ht="12.75" hidden="1" customHeight="1" outlineLevel="1" x14ac:dyDescent="0.25">
      <c r="A15835" s="1956" t="s">
        <v>8556</v>
      </c>
      <c r="B15835" s="2185">
        <v>44774</v>
      </c>
      <c r="C15835" s="3203">
        <v>100</v>
      </c>
      <c r="D15835" s="3206">
        <v>100.8109</v>
      </c>
      <c r="E15835" s="3204">
        <v>8.1090000000001439E-3</v>
      </c>
      <c r="F15835" s="3205"/>
      <c r="G15835" s="78"/>
    </row>
    <row r="15836" spans="1:7" ht="12.75" hidden="1" customHeight="1" outlineLevel="1" x14ac:dyDescent="0.25">
      <c r="A15836" s="1956" t="s">
        <v>8557</v>
      </c>
      <c r="B15836" s="2185">
        <v>44805</v>
      </c>
      <c r="C15836" s="3203">
        <v>100</v>
      </c>
      <c r="D15836" s="3206">
        <v>93.501400000000004</v>
      </c>
      <c r="E15836" s="3204">
        <v>-6.4985999999999988E-2</v>
      </c>
      <c r="F15836" s="3205"/>
      <c r="G15836" s="78"/>
    </row>
    <row r="15837" spans="1:7" ht="12.75" hidden="1" customHeight="1" outlineLevel="1" x14ac:dyDescent="0.25">
      <c r="A15837" s="1956" t="s">
        <v>8558</v>
      </c>
      <c r="B15837" s="2185">
        <v>44835</v>
      </c>
      <c r="C15837" s="3203">
        <v>100</v>
      </c>
      <c r="D15837" s="3206">
        <v>100.3652</v>
      </c>
      <c r="E15837" s="3204">
        <v>3.6519999999999886E-3</v>
      </c>
      <c r="F15837" s="3205"/>
      <c r="G15837" s="78"/>
    </row>
    <row r="15838" spans="1:7" ht="12.75" hidden="1" customHeight="1" outlineLevel="1" x14ac:dyDescent="0.25">
      <c r="A15838" s="1956" t="s">
        <v>8559</v>
      </c>
      <c r="B15838" s="2185">
        <v>44866</v>
      </c>
      <c r="C15838" s="3203">
        <v>100</v>
      </c>
      <c r="D15838" s="3206">
        <v>106.05800000000001</v>
      </c>
      <c r="E15838" s="3204">
        <v>6.0580000000000078E-2</v>
      </c>
      <c r="F15838" s="3205"/>
      <c r="G15838" s="78"/>
    </row>
    <row r="15839" spans="1:7" ht="12.75" hidden="1" customHeight="1" outlineLevel="1" x14ac:dyDescent="0.25">
      <c r="A15839" s="1956" t="s">
        <v>8560</v>
      </c>
      <c r="B15839" s="2185">
        <v>44896</v>
      </c>
      <c r="C15839" s="3203">
        <v>100</v>
      </c>
      <c r="D15839" s="3206">
        <v>104.0924</v>
      </c>
      <c r="E15839" s="3204">
        <v>4.092399999999996E-2</v>
      </c>
      <c r="F15839" s="3205"/>
      <c r="G15839" s="78"/>
    </row>
    <row r="15840" spans="1:7" ht="12.75" hidden="1" customHeight="1" outlineLevel="1" x14ac:dyDescent="0.25">
      <c r="A15840" s="2189" t="s">
        <v>2734</v>
      </c>
      <c r="B15840" s="2190"/>
      <c r="C15840" s="3206"/>
      <c r="D15840" s="2191" t="s">
        <v>2465</v>
      </c>
      <c r="E15840" s="1987">
        <v>1.4657611111111123E-2</v>
      </c>
      <c r="F15840" s="2192">
        <v>2.4548611111111E-2</v>
      </c>
      <c r="G15840" s="78"/>
    </row>
    <row r="15841" spans="1:11" collapsed="1" x14ac:dyDescent="0.25">
      <c r="A15841" s="3801" t="s">
        <v>8448</v>
      </c>
      <c r="B15841" s="3802"/>
      <c r="C15841" s="3802"/>
      <c r="D15841" s="3802"/>
      <c r="E15841" s="1906"/>
      <c r="F15841" s="1907">
        <v>1.9638888888888803E-2</v>
      </c>
      <c r="G15841" s="78">
        <v>4</v>
      </c>
    </row>
    <row r="15843" spans="1:11" ht="12.75" hidden="1" customHeight="1" outlineLevel="1" x14ac:dyDescent="0.25">
      <c r="A15843" s="3237" t="s">
        <v>113</v>
      </c>
      <c r="B15843" s="3237" t="s">
        <v>114</v>
      </c>
      <c r="C15843" s="3237" t="s">
        <v>112</v>
      </c>
      <c r="D15843" s="3237" t="s">
        <v>116</v>
      </c>
      <c r="E15843" s="3237" t="s">
        <v>117</v>
      </c>
      <c r="F15843" s="3276" t="s">
        <v>121</v>
      </c>
      <c r="G15843" s="78"/>
    </row>
    <row r="15844" spans="1:11" ht="12.75" hidden="1" customHeight="1" outlineLevel="1" x14ac:dyDescent="0.25">
      <c r="A15844" s="3238">
        <v>1</v>
      </c>
      <c r="B15844" s="3239" t="s">
        <v>252</v>
      </c>
      <c r="C15844" s="3240">
        <v>100</v>
      </c>
      <c r="D15844" s="3240"/>
      <c r="E15844" s="3241"/>
      <c r="F15844" s="3242"/>
      <c r="G15844" s="78"/>
    </row>
    <row r="15845" spans="1:11" ht="12.75" hidden="1" customHeight="1" outlineLevel="1" x14ac:dyDescent="0.25">
      <c r="A15845" s="3243" t="s">
        <v>2734</v>
      </c>
      <c r="B15845" s="3243"/>
      <c r="C15845" s="3244"/>
      <c r="D15845" s="1900" t="s">
        <v>3702</v>
      </c>
      <c r="E15845" s="3245">
        <v>44985</v>
      </c>
      <c r="F15845" s="3246"/>
      <c r="G15845" s="78"/>
    </row>
    <row r="15846" spans="1:11" ht="12.75" hidden="1" customHeight="1" outlineLevel="1" x14ac:dyDescent="0.25">
      <c r="A15846" s="3237" t="s">
        <v>4156</v>
      </c>
      <c r="B15846" s="3237" t="s">
        <v>4153</v>
      </c>
      <c r="C15846" s="3247" t="s">
        <v>112</v>
      </c>
      <c r="D15846" s="3248" t="s">
        <v>4155</v>
      </c>
      <c r="E15846" s="3237" t="s">
        <v>4154</v>
      </c>
      <c r="F15846" s="3277" t="s">
        <v>2519</v>
      </c>
      <c r="G15846" s="78"/>
    </row>
    <row r="15847" spans="1:11" ht="12.75" hidden="1" customHeight="1" outlineLevel="1" x14ac:dyDescent="0.25">
      <c r="A15847" s="2380">
        <v>0.05</v>
      </c>
      <c r="B15847" s="2089" t="s">
        <v>359</v>
      </c>
      <c r="C15847" s="2108">
        <v>169.75</v>
      </c>
      <c r="D15847" s="3194">
        <v>222.15</v>
      </c>
      <c r="E15847" s="3195">
        <v>0.30868924889543448</v>
      </c>
      <c r="F15847" s="3193">
        <v>1.5434462444771724E-2</v>
      </c>
      <c r="G15847" s="78"/>
      <c r="H15847" t="s">
        <v>360</v>
      </c>
      <c r="K15847" s="434"/>
    </row>
    <row r="15848" spans="1:11" ht="12.75" hidden="1" customHeight="1" outlineLevel="1" x14ac:dyDescent="0.25">
      <c r="A15848" s="2380">
        <v>0.05</v>
      </c>
      <c r="B15848" s="1921" t="s">
        <v>3320</v>
      </c>
      <c r="C15848" s="2108">
        <v>101.985</v>
      </c>
      <c r="D15848" s="3196">
        <v>57.23</v>
      </c>
      <c r="E15848" s="3197">
        <v>-0.43883904495759185</v>
      </c>
      <c r="F15848" s="3198">
        <v>-2.1941952247879593E-2</v>
      </c>
      <c r="G15848" s="78"/>
      <c r="H15848" t="s">
        <v>4093</v>
      </c>
      <c r="K15848" s="434"/>
    </row>
    <row r="15849" spans="1:11" ht="12.75" hidden="1" customHeight="1" outlineLevel="1" x14ac:dyDescent="0.25">
      <c r="A15849" s="2380">
        <v>0.05</v>
      </c>
      <c r="B15849" s="1921" t="s">
        <v>1903</v>
      </c>
      <c r="C15849" s="2108">
        <v>48.288499999999999</v>
      </c>
      <c r="D15849" s="3196">
        <v>108.8</v>
      </c>
      <c r="E15849" s="3197">
        <v>1.2531244499207888</v>
      </c>
      <c r="F15849" s="3198">
        <v>6.2656222496039443E-2</v>
      </c>
      <c r="G15849" s="78"/>
      <c r="H15849" t="s">
        <v>3883</v>
      </c>
      <c r="K15849" s="434"/>
    </row>
    <row r="15850" spans="1:11" ht="12.75" hidden="1" customHeight="1" outlineLevel="1" x14ac:dyDescent="0.25">
      <c r="A15850" s="2380">
        <v>0.02</v>
      </c>
      <c r="B15850" s="1921" t="s">
        <v>5745</v>
      </c>
      <c r="C15850" s="2108">
        <v>31.434408385070594</v>
      </c>
      <c r="D15850" s="3196">
        <v>24.65</v>
      </c>
      <c r="E15850" s="3197">
        <v>-0.21582745575999995</v>
      </c>
      <c r="F15850" s="3198">
        <v>-4.3165491151999991E-3</v>
      </c>
      <c r="G15850" s="78"/>
      <c r="H15850" t="s">
        <v>5743</v>
      </c>
      <c r="K15850" s="434"/>
    </row>
    <row r="15851" spans="1:11" ht="12.75" hidden="1" customHeight="1" outlineLevel="1" x14ac:dyDescent="0.25">
      <c r="A15851" s="2380">
        <v>0.04</v>
      </c>
      <c r="B15851" s="1921" t="s">
        <v>1184</v>
      </c>
      <c r="C15851" s="2108">
        <v>89.361999999999995</v>
      </c>
      <c r="D15851" s="3196">
        <v>48.475000000000001</v>
      </c>
      <c r="E15851" s="3197">
        <v>-0.45754347485508373</v>
      </c>
      <c r="F15851" s="3198">
        <v>-1.830173899420335E-2</v>
      </c>
      <c r="G15851" s="78"/>
      <c r="H15851" t="s">
        <v>3497</v>
      </c>
      <c r="K15851" s="434"/>
    </row>
    <row r="15852" spans="1:11" ht="12.75" hidden="1" customHeight="1" outlineLevel="1" x14ac:dyDescent="0.25">
      <c r="A15852" s="2380">
        <v>0.05</v>
      </c>
      <c r="B15852" s="1921" t="s">
        <v>1188</v>
      </c>
      <c r="C15852" s="2108">
        <v>4.6037999999999997</v>
      </c>
      <c r="D15852" s="3196">
        <v>5.5049999999999999</v>
      </c>
      <c r="E15852" s="3197">
        <v>0.19575133585299098</v>
      </c>
      <c r="F15852" s="3198">
        <v>9.7875667926495494E-3</v>
      </c>
      <c r="G15852" s="78"/>
      <c r="H15852" t="s">
        <v>2746</v>
      </c>
      <c r="K15852" s="434"/>
    </row>
    <row r="15853" spans="1:11" ht="12.75" hidden="1" customHeight="1" outlineLevel="1" x14ac:dyDescent="0.25">
      <c r="A15853" s="2380">
        <v>0.03</v>
      </c>
      <c r="B15853" s="1921" t="s">
        <v>1442</v>
      </c>
      <c r="C15853" s="2108">
        <v>59.784999999999997</v>
      </c>
      <c r="D15853" s="3196">
        <v>82.71</v>
      </c>
      <c r="E15853" s="3197">
        <v>0.38345738897716819</v>
      </c>
      <c r="F15853" s="3198">
        <v>1.1503721669315046E-2</v>
      </c>
      <c r="G15853" s="78"/>
      <c r="H15853" t="s">
        <v>2384</v>
      </c>
      <c r="K15853" s="434"/>
    </row>
    <row r="15854" spans="1:11" ht="12.75" hidden="1" customHeight="1" outlineLevel="1" x14ac:dyDescent="0.25">
      <c r="A15854" s="2380">
        <v>0.03</v>
      </c>
      <c r="B15854" s="1921" t="s">
        <v>5943</v>
      </c>
      <c r="C15854" s="2108">
        <v>12.305310418606862</v>
      </c>
      <c r="D15854" s="3196">
        <v>12.07</v>
      </c>
      <c r="E15854" s="3197">
        <v>-1.9122672293666709E-2</v>
      </c>
      <c r="F15854" s="3198">
        <v>-5.7368016881000127E-4</v>
      </c>
      <c r="G15854" s="78"/>
      <c r="H15854" t="s">
        <v>5984</v>
      </c>
      <c r="K15854" s="434"/>
    </row>
    <row r="15855" spans="1:11" ht="12.75" hidden="1" customHeight="1" outlineLevel="1" x14ac:dyDescent="0.25">
      <c r="A15855" s="2380">
        <v>0.05</v>
      </c>
      <c r="B15855" s="1921" t="s">
        <v>10730</v>
      </c>
      <c r="C15855" s="2108">
        <v>16.811</v>
      </c>
      <c r="D15855" s="3196">
        <v>14.6227</v>
      </c>
      <c r="E15855" s="3197">
        <v>-0.13017072155136522</v>
      </c>
      <c r="F15855" s="3198">
        <v>-6.5085360775682614E-3</v>
      </c>
      <c r="G15855" s="78"/>
      <c r="H15855" t="s">
        <v>10729</v>
      </c>
      <c r="K15855" s="434"/>
    </row>
    <row r="15856" spans="1:11" ht="12.75" hidden="1" customHeight="1" outlineLevel="1" x14ac:dyDescent="0.25">
      <c r="A15856" s="2380">
        <v>7.0000000000000007E-2</v>
      </c>
      <c r="B15856" s="1921" t="s">
        <v>1771</v>
      </c>
      <c r="C15856" s="2108">
        <v>6.6566999999999998</v>
      </c>
      <c r="D15856" s="3196">
        <v>6.3559999999999999</v>
      </c>
      <c r="E15856" s="3197">
        <v>-4.5172532936740395E-2</v>
      </c>
      <c r="F15856" s="3198">
        <v>-3.1620773055718279E-3</v>
      </c>
      <c r="G15856" s="78"/>
      <c r="H15856" t="s">
        <v>4329</v>
      </c>
      <c r="K15856" s="434"/>
    </row>
    <row r="15857" spans="1:11" ht="12.75" hidden="1" customHeight="1" outlineLevel="1" x14ac:dyDescent="0.25">
      <c r="A15857" s="2380">
        <v>0.05</v>
      </c>
      <c r="B15857" s="1921" t="s">
        <v>1031</v>
      </c>
      <c r="C15857" s="2108">
        <v>6.3643000000000001</v>
      </c>
      <c r="D15857" s="3196">
        <v>10.865</v>
      </c>
      <c r="E15857" s="3197">
        <v>0.70717910846440302</v>
      </c>
      <c r="F15857" s="3198">
        <v>3.5358955423220151E-2</v>
      </c>
      <c r="G15857" s="78"/>
      <c r="H15857" t="s">
        <v>7872</v>
      </c>
      <c r="K15857" s="434"/>
    </row>
    <row r="15858" spans="1:11" ht="12.75" hidden="1" customHeight="1" outlineLevel="1" x14ac:dyDescent="0.25">
      <c r="A15858" s="2380">
        <v>0.05</v>
      </c>
      <c r="B15858" s="1921" t="s">
        <v>7909</v>
      </c>
      <c r="C15858" s="2108">
        <v>48.44847142282029</v>
      </c>
      <c r="D15858" s="3196">
        <v>36.39</v>
      </c>
      <c r="E15858" s="3197">
        <v>-0.24889271154879999</v>
      </c>
      <c r="F15858" s="3198">
        <v>-1.2444635577440001E-2</v>
      </c>
      <c r="G15858" s="78"/>
      <c r="H15858" t="s">
        <v>7893</v>
      </c>
      <c r="K15858" s="434"/>
    </row>
    <row r="15859" spans="1:11" ht="12.75" hidden="1" customHeight="1" outlineLevel="1" x14ac:dyDescent="0.25">
      <c r="A15859" s="2380">
        <v>0.05</v>
      </c>
      <c r="B15859" s="1921" t="s">
        <v>3958</v>
      </c>
      <c r="C15859" s="2519">
        <v>6.6280000000000001</v>
      </c>
      <c r="D15859" s="3196">
        <v>9.1839999999999993</v>
      </c>
      <c r="E15859" s="3197">
        <v>0.38563669281834634</v>
      </c>
      <c r="F15859" s="3198">
        <v>1.9281834640917317E-2</v>
      </c>
      <c r="G15859" s="78"/>
      <c r="H15859" t="s">
        <v>3959</v>
      </c>
      <c r="K15859" s="434"/>
    </row>
    <row r="15860" spans="1:11" ht="12.75" hidden="1" customHeight="1" outlineLevel="1" x14ac:dyDescent="0.25">
      <c r="A15860" s="2380">
        <v>0.06</v>
      </c>
      <c r="B15860" s="1921" t="s">
        <v>10667</v>
      </c>
      <c r="C15860" s="2108">
        <v>21.107500000000002</v>
      </c>
      <c r="D15860" s="3196">
        <v>25.265000000000001</v>
      </c>
      <c r="E15860" s="3197">
        <v>0.19696790240435846</v>
      </c>
      <c r="F15860" s="3198">
        <v>1.1818074144261507E-2</v>
      </c>
      <c r="G15860" s="78"/>
      <c r="H15860" t="s">
        <v>10668</v>
      </c>
      <c r="K15860" s="434"/>
    </row>
    <row r="15861" spans="1:11" ht="12.75" hidden="1" customHeight="1" outlineLevel="1" x14ac:dyDescent="0.25">
      <c r="A15861" s="2380">
        <v>0.06</v>
      </c>
      <c r="B15861" s="1921" t="s">
        <v>1709</v>
      </c>
      <c r="C15861" s="2108">
        <v>120.66022135962231</v>
      </c>
      <c r="D15861" s="3196">
        <v>215.8</v>
      </c>
      <c r="E15861" s="3197">
        <v>0.78849332090000002</v>
      </c>
      <c r="F15861" s="3198">
        <v>4.7309599254000002E-2</v>
      </c>
      <c r="G15861" s="78"/>
      <c r="H15861" t="s">
        <v>2327</v>
      </c>
      <c r="K15861" s="434"/>
    </row>
    <row r="15862" spans="1:11" ht="12.75" hidden="1" customHeight="1" outlineLevel="1" x14ac:dyDescent="0.25">
      <c r="A15862" s="2380">
        <v>0.04</v>
      </c>
      <c r="B15862" s="1921" t="s">
        <v>1187</v>
      </c>
      <c r="C15862" s="2108">
        <v>81.940894136127909</v>
      </c>
      <c r="D15862" s="3196">
        <v>88.89</v>
      </c>
      <c r="E15862" s="3197">
        <v>8.48063221317501E-2</v>
      </c>
      <c r="F15862" s="3198">
        <v>3.3922528852700041E-3</v>
      </c>
      <c r="G15862" s="78"/>
      <c r="H15862" t="s">
        <v>3483</v>
      </c>
      <c r="K15862" s="434"/>
    </row>
    <row r="15863" spans="1:11" ht="12.75" hidden="1" customHeight="1" outlineLevel="1" x14ac:dyDescent="0.25">
      <c r="A15863" s="2380">
        <v>0.05</v>
      </c>
      <c r="B15863" s="1921" t="s">
        <v>6116</v>
      </c>
      <c r="C15863" s="2108">
        <v>3.8763999999999998</v>
      </c>
      <c r="D15863" s="3196">
        <v>4.6459999999999999</v>
      </c>
      <c r="E15863" s="3197">
        <v>0.19853472293880925</v>
      </c>
      <c r="F15863" s="3198">
        <v>9.9267361469404635E-3</v>
      </c>
      <c r="G15863" s="78"/>
      <c r="H15863" t="s">
        <v>6114</v>
      </c>
      <c r="K15863" s="434"/>
    </row>
    <row r="15864" spans="1:11" ht="12.75" hidden="1" customHeight="1" outlineLevel="1" x14ac:dyDescent="0.25">
      <c r="A15864" s="2380">
        <v>0.05</v>
      </c>
      <c r="B15864" s="1921" t="s">
        <v>1857</v>
      </c>
      <c r="C15864" s="2108">
        <v>15.074999999999999</v>
      </c>
      <c r="D15864" s="3196">
        <v>17.454999999999998</v>
      </c>
      <c r="E15864" s="3197">
        <v>0.15787728026533987</v>
      </c>
      <c r="F15864" s="3198">
        <v>7.8938640132669938E-3</v>
      </c>
      <c r="G15864" s="78"/>
      <c r="H15864" t="s">
        <v>3559</v>
      </c>
      <c r="K15864" s="434"/>
    </row>
    <row r="15865" spans="1:11" ht="12.75" hidden="1" customHeight="1" outlineLevel="1" x14ac:dyDescent="0.25">
      <c r="A15865" s="2380">
        <v>0.08</v>
      </c>
      <c r="B15865" s="1921" t="s">
        <v>10633</v>
      </c>
      <c r="C15865" s="2108">
        <v>46.845999999999997</v>
      </c>
      <c r="D15865" s="3196">
        <v>58.57</v>
      </c>
      <c r="E15865" s="3197">
        <v>0.25026683174657394</v>
      </c>
      <c r="F15865" s="3198">
        <v>2.0021346539725916E-2</v>
      </c>
      <c r="G15865" s="78"/>
      <c r="H15865" t="s">
        <v>10634</v>
      </c>
      <c r="K15865" s="434"/>
    </row>
    <row r="15866" spans="1:11" ht="12.75" hidden="1" customHeight="1" outlineLevel="1" x14ac:dyDescent="0.25">
      <c r="A15866" s="2380">
        <v>7.0000000000000007E-2</v>
      </c>
      <c r="B15866" s="2109" t="s">
        <v>5916</v>
      </c>
      <c r="C15866" s="2108">
        <v>32.936092858277419</v>
      </c>
      <c r="D15866" s="3199">
        <v>31.25</v>
      </c>
      <c r="E15866" s="3197">
        <v>-5.1192862053571542E-2</v>
      </c>
      <c r="F15866" s="3198">
        <v>-3.5835003437500084E-3</v>
      </c>
      <c r="G15866" s="78"/>
      <c r="H15866" t="s">
        <v>5905</v>
      </c>
      <c r="K15866" s="434"/>
    </row>
    <row r="15867" spans="1:11" ht="12.75" hidden="1" customHeight="1" outlineLevel="1" x14ac:dyDescent="0.25">
      <c r="A15867" s="2181" t="s">
        <v>2734</v>
      </c>
      <c r="B15867" s="2103"/>
      <c r="C15867" s="3200"/>
      <c r="D15867" s="3201"/>
      <c r="E15867" s="3202"/>
      <c r="F15867" s="3193">
        <v>0.18679999999999999</v>
      </c>
      <c r="G15867" s="78"/>
    </row>
    <row r="15868" spans="1:11" ht="12.75" hidden="1" customHeight="1" outlineLevel="1" x14ac:dyDescent="0.25">
      <c r="A15868" s="1956" t="s">
        <v>8561</v>
      </c>
      <c r="B15868" s="2185">
        <v>44440</v>
      </c>
      <c r="C15868" s="3203">
        <v>100</v>
      </c>
      <c r="D15868" s="3203">
        <v>104.0857</v>
      </c>
      <c r="E15868" s="3204">
        <v>4.0856999999999921E-2</v>
      </c>
      <c r="F15868" s="3205"/>
      <c r="G15868" s="78"/>
    </row>
    <row r="15869" spans="1:11" ht="12.75" hidden="1" customHeight="1" outlineLevel="1" x14ac:dyDescent="0.25">
      <c r="A15869" s="1956" t="s">
        <v>8562</v>
      </c>
      <c r="B15869" s="2185">
        <v>44470</v>
      </c>
      <c r="C15869" s="3203">
        <v>100</v>
      </c>
      <c r="D15869" s="3206">
        <v>108.1431</v>
      </c>
      <c r="E15869" s="3204">
        <v>8.1431000000000031E-2</v>
      </c>
      <c r="F15869" s="3205"/>
      <c r="G15869" s="78"/>
    </row>
    <row r="15870" spans="1:11" ht="12.75" hidden="1" customHeight="1" outlineLevel="1" x14ac:dyDescent="0.25">
      <c r="A15870" s="1956" t="s">
        <v>8563</v>
      </c>
      <c r="B15870" s="2185">
        <v>44501</v>
      </c>
      <c r="C15870" s="3203">
        <v>100</v>
      </c>
      <c r="D15870" s="3206">
        <v>105.0699</v>
      </c>
      <c r="E15870" s="3204">
        <v>5.069900000000005E-2</v>
      </c>
      <c r="F15870" s="3205"/>
      <c r="G15870" s="78"/>
    </row>
    <row r="15871" spans="1:11" ht="12.75" hidden="1" customHeight="1" outlineLevel="1" x14ac:dyDescent="0.25">
      <c r="A15871" s="1956" t="s">
        <v>8564</v>
      </c>
      <c r="B15871" s="2185">
        <v>44531</v>
      </c>
      <c r="C15871" s="3203">
        <v>100</v>
      </c>
      <c r="D15871" s="3206">
        <v>112.1724</v>
      </c>
      <c r="E15871" s="3204">
        <v>0.12172399999999994</v>
      </c>
      <c r="F15871" s="3205"/>
      <c r="G15871" s="78"/>
    </row>
    <row r="15872" spans="1:11" ht="12.75" hidden="1" customHeight="1" outlineLevel="1" x14ac:dyDescent="0.25">
      <c r="A15872" s="1956" t="s">
        <v>8565</v>
      </c>
      <c r="B15872" s="2185">
        <v>44562</v>
      </c>
      <c r="C15872" s="3203">
        <v>100</v>
      </c>
      <c r="D15872" s="3206">
        <v>114.9057</v>
      </c>
      <c r="E15872" s="3204">
        <v>0.149057</v>
      </c>
      <c r="F15872" s="3205"/>
      <c r="G15872" s="78"/>
    </row>
    <row r="15873" spans="1:7" ht="12.75" hidden="1" customHeight="1" outlineLevel="1" x14ac:dyDescent="0.25">
      <c r="A15873" s="1956" t="s">
        <v>8566</v>
      </c>
      <c r="B15873" s="2185">
        <v>44593</v>
      </c>
      <c r="C15873" s="3203">
        <v>100</v>
      </c>
      <c r="D15873" s="3206">
        <v>110.64400000000001</v>
      </c>
      <c r="E15873" s="3204">
        <v>0.10644000000000009</v>
      </c>
      <c r="F15873" s="3205"/>
      <c r="G15873" s="78"/>
    </row>
    <row r="15874" spans="1:7" ht="12.75" hidden="1" customHeight="1" outlineLevel="1" x14ac:dyDescent="0.25">
      <c r="A15874" s="1956" t="s">
        <v>8567</v>
      </c>
      <c r="B15874" s="2185">
        <v>44621</v>
      </c>
      <c r="C15874" s="3203">
        <v>100</v>
      </c>
      <c r="D15874" s="3206">
        <v>113.77119999999999</v>
      </c>
      <c r="E15874" s="3204">
        <v>0.13771199999999983</v>
      </c>
      <c r="F15874" s="3205"/>
      <c r="G15874" s="78"/>
    </row>
    <row r="15875" spans="1:7" ht="12.75" hidden="1" customHeight="1" outlineLevel="1" x14ac:dyDescent="0.25">
      <c r="A15875" s="1956" t="s">
        <v>8568</v>
      </c>
      <c r="B15875" s="2185">
        <v>44652</v>
      </c>
      <c r="C15875" s="3203">
        <v>100</v>
      </c>
      <c r="D15875" s="3206">
        <v>116.0515</v>
      </c>
      <c r="E15875" s="3204">
        <v>0.16051499999999996</v>
      </c>
      <c r="F15875" s="3205"/>
      <c r="G15875" s="78"/>
    </row>
    <row r="15876" spans="1:7" ht="12.75" hidden="1" customHeight="1" outlineLevel="1" x14ac:dyDescent="0.25">
      <c r="A15876" s="1956" t="s">
        <v>8569</v>
      </c>
      <c r="B15876" s="2185">
        <v>44682</v>
      </c>
      <c r="C15876" s="3203">
        <v>100</v>
      </c>
      <c r="D15876" s="3206">
        <v>117.4041</v>
      </c>
      <c r="E15876" s="3204">
        <v>0.17404099999999989</v>
      </c>
      <c r="F15876" s="3205"/>
      <c r="G15876" s="78"/>
    </row>
    <row r="15877" spans="1:7" ht="12.75" hidden="1" customHeight="1" outlineLevel="1" x14ac:dyDescent="0.25">
      <c r="A15877" s="1956" t="s">
        <v>8570</v>
      </c>
      <c r="B15877" s="2185">
        <v>44713</v>
      </c>
      <c r="C15877" s="3203">
        <v>100</v>
      </c>
      <c r="D15877" s="3206">
        <v>107.9033</v>
      </c>
      <c r="E15877" s="3204">
        <v>7.9032999999999909E-2</v>
      </c>
      <c r="F15877" s="3205"/>
      <c r="G15877" s="78"/>
    </row>
    <row r="15878" spans="1:7" ht="12.75" hidden="1" customHeight="1" outlineLevel="1" x14ac:dyDescent="0.25">
      <c r="A15878" s="1956" t="s">
        <v>8571</v>
      </c>
      <c r="B15878" s="2185">
        <v>44743</v>
      </c>
      <c r="C15878" s="3203">
        <v>100</v>
      </c>
      <c r="D15878" s="3206">
        <v>111.6695</v>
      </c>
      <c r="E15878" s="3204">
        <v>0.11669499999999999</v>
      </c>
      <c r="F15878" s="3205"/>
      <c r="G15878" s="78"/>
    </row>
    <row r="15879" spans="1:7" ht="12.75" hidden="1" customHeight="1" outlineLevel="1" x14ac:dyDescent="0.25">
      <c r="A15879" s="1956" t="s">
        <v>8572</v>
      </c>
      <c r="B15879" s="2185">
        <v>44774</v>
      </c>
      <c r="C15879" s="3203">
        <v>100</v>
      </c>
      <c r="D15879" s="3206">
        <v>109.20959999999999</v>
      </c>
      <c r="E15879" s="3204">
        <v>9.2095999999999956E-2</v>
      </c>
      <c r="F15879" s="3205"/>
      <c r="G15879" s="78"/>
    </row>
    <row r="15880" spans="1:7" ht="12.75" hidden="1" customHeight="1" outlineLevel="1" x14ac:dyDescent="0.25">
      <c r="A15880" s="1956" t="s">
        <v>8573</v>
      </c>
      <c r="B15880" s="2185">
        <v>44805</v>
      </c>
      <c r="C15880" s="3203">
        <v>100</v>
      </c>
      <c r="D15880" s="3206">
        <v>100.4024</v>
      </c>
      <c r="E15880" s="3204">
        <v>4.0240000000000276E-3</v>
      </c>
      <c r="F15880" s="3205"/>
      <c r="G15880" s="78"/>
    </row>
    <row r="15881" spans="1:7" ht="12.75" hidden="1" customHeight="1" outlineLevel="1" x14ac:dyDescent="0.25">
      <c r="A15881" s="1956" t="s">
        <v>8574</v>
      </c>
      <c r="B15881" s="2185">
        <v>44835</v>
      </c>
      <c r="C15881" s="3203">
        <v>100</v>
      </c>
      <c r="D15881" s="3206">
        <v>109.25790000000001</v>
      </c>
      <c r="E15881" s="3204">
        <v>9.2578999999999967E-2</v>
      </c>
      <c r="F15881" s="3205"/>
      <c r="G15881" s="78"/>
    </row>
    <row r="15882" spans="1:7" ht="12.75" hidden="1" customHeight="1" outlineLevel="1" x14ac:dyDescent="0.25">
      <c r="A15882" s="1956" t="s">
        <v>8575</v>
      </c>
      <c r="B15882" s="2185">
        <v>44866</v>
      </c>
      <c r="C15882" s="3203">
        <v>100</v>
      </c>
      <c r="D15882" s="3206">
        <v>116.8954</v>
      </c>
      <c r="E15882" s="3204">
        <v>0.16895400000000005</v>
      </c>
      <c r="F15882" s="3205"/>
      <c r="G15882" s="78"/>
    </row>
    <row r="15883" spans="1:7" ht="12.75" hidden="1" customHeight="1" outlineLevel="1" x14ac:dyDescent="0.25">
      <c r="A15883" s="1956" t="s">
        <v>8576</v>
      </c>
      <c r="B15883" s="2185">
        <v>44896</v>
      </c>
      <c r="C15883" s="3203">
        <v>100</v>
      </c>
      <c r="D15883" s="3206">
        <v>114.4113</v>
      </c>
      <c r="E15883" s="3204">
        <v>0.14411299999999994</v>
      </c>
      <c r="F15883" s="3205"/>
      <c r="G15883" s="78"/>
    </row>
    <row r="15884" spans="1:7" ht="12.75" hidden="1" customHeight="1" outlineLevel="1" x14ac:dyDescent="0.25">
      <c r="A15884" s="1956" t="s">
        <v>8577</v>
      </c>
      <c r="B15884" s="2185">
        <v>44927</v>
      </c>
      <c r="C15884" s="3203">
        <v>100</v>
      </c>
      <c r="D15884" s="3206">
        <v>118.34099999999999</v>
      </c>
      <c r="E15884" s="3204">
        <v>0.18340999999999985</v>
      </c>
      <c r="F15884" s="3205"/>
      <c r="G15884" s="78"/>
    </row>
    <row r="15885" spans="1:7" ht="12.75" hidden="1" customHeight="1" outlineLevel="1" x14ac:dyDescent="0.25">
      <c r="A15885" s="1956" t="s">
        <v>8578</v>
      </c>
      <c r="B15885" s="2185">
        <v>44958</v>
      </c>
      <c r="C15885" s="3203">
        <v>100</v>
      </c>
      <c r="D15885" s="3206">
        <v>118.67910000000001</v>
      </c>
      <c r="E15885" s="3204">
        <v>0.18679100000000015</v>
      </c>
      <c r="F15885" s="3205"/>
      <c r="G15885" s="78"/>
    </row>
    <row r="15886" spans="1:7" ht="12.75" hidden="1" customHeight="1" outlineLevel="1" x14ac:dyDescent="0.25">
      <c r="A15886" s="2189" t="s">
        <v>2734</v>
      </c>
      <c r="B15886" s="2190"/>
      <c r="C15886" s="3206"/>
      <c r="D15886" s="2191" t="s">
        <v>2465</v>
      </c>
      <c r="E15886" s="1987">
        <v>0.11612061111111111</v>
      </c>
      <c r="F15886" s="2192">
        <v>0.11612061111111111</v>
      </c>
      <c r="G15886" s="78"/>
    </row>
    <row r="15887" spans="1:7" collapsed="1" x14ac:dyDescent="0.25">
      <c r="A15887" s="3801" t="s">
        <v>8449</v>
      </c>
      <c r="B15887" s="3802"/>
      <c r="C15887" s="3802"/>
      <c r="D15887" s="3802"/>
      <c r="E15887" s="1906"/>
      <c r="F15887" s="1907">
        <v>0.16256885555555553</v>
      </c>
      <c r="G15887" s="78"/>
    </row>
    <row r="15889" spans="1:14" hidden="1" outlineLevel="1" x14ac:dyDescent="0.25">
      <c r="A15889" s="3248" t="s">
        <v>113</v>
      </c>
      <c r="B15889" s="3237" t="s">
        <v>114</v>
      </c>
      <c r="C15889" s="3237" t="s">
        <v>112</v>
      </c>
      <c r="D15889" s="3237" t="s">
        <v>4155</v>
      </c>
      <c r="E15889" s="3237" t="s">
        <v>116</v>
      </c>
      <c r="F15889" s="3276" t="s">
        <v>121</v>
      </c>
      <c r="G15889" s="78"/>
      <c r="H15889" s="449" t="s">
        <v>5391</v>
      </c>
      <c r="I15889" s="449" t="s">
        <v>5392</v>
      </c>
    </row>
    <row r="15890" spans="1:14" hidden="1" outlineLevel="1" x14ac:dyDescent="0.25">
      <c r="A15890" s="1810" t="s">
        <v>6994</v>
      </c>
      <c r="B15890" s="2984" t="s">
        <v>2153</v>
      </c>
      <c r="C15890" s="3900">
        <v>3419.549</v>
      </c>
      <c r="D15890" s="3808">
        <v>3754.9720000000002</v>
      </c>
      <c r="E15890" s="2238">
        <v>3386.6080000000002</v>
      </c>
      <c r="F15890" s="3372">
        <v>-9.6331416803794312E-3</v>
      </c>
      <c r="G15890" s="78"/>
      <c r="H15890" s="92">
        <v>-9.6331416803794312E-3</v>
      </c>
      <c r="I15890" s="450">
        <v>0.06</v>
      </c>
    </row>
    <row r="15891" spans="1:14" hidden="1" outlineLevel="1" x14ac:dyDescent="0.25">
      <c r="A15891" s="2197" t="s">
        <v>6995</v>
      </c>
      <c r="B15891" s="2984" t="s">
        <v>2153</v>
      </c>
      <c r="C15891" s="3901"/>
      <c r="D15891" s="3906"/>
      <c r="E15891" s="1815">
        <v>3314.74</v>
      </c>
      <c r="F15891" s="3372">
        <v>-3.0649948282653661E-2</v>
      </c>
      <c r="G15891" s="78"/>
      <c r="H15891" s="79">
        <v>-3.0649948282653661E-2</v>
      </c>
      <c r="I15891" s="451">
        <v>0.12</v>
      </c>
    </row>
    <row r="15892" spans="1:14" hidden="1" outlineLevel="1" x14ac:dyDescent="0.25">
      <c r="A15892" s="2197" t="s">
        <v>6996</v>
      </c>
      <c r="B15892" s="2984" t="s">
        <v>2153</v>
      </c>
      <c r="C15892" s="3901"/>
      <c r="D15892" s="3906"/>
      <c r="E15892" s="1815">
        <v>3063.2910000000002</v>
      </c>
      <c r="F15892" s="3372">
        <v>-0.10418274456660803</v>
      </c>
      <c r="G15892" s="78"/>
      <c r="H15892" s="79">
        <v>-0.10418274456660803</v>
      </c>
      <c r="I15892" s="451">
        <v>0.18</v>
      </c>
    </row>
    <row r="15893" spans="1:14" hidden="1" outlineLevel="1" x14ac:dyDescent="0.25">
      <c r="A15893" s="2197" t="s">
        <v>6997</v>
      </c>
      <c r="B15893" s="2984" t="s">
        <v>2153</v>
      </c>
      <c r="C15893" s="3901"/>
      <c r="D15893" s="3906"/>
      <c r="E15893" s="1815">
        <v>3754.9720000000002</v>
      </c>
      <c r="F15893" s="3372">
        <v>0.24</v>
      </c>
      <c r="G15893" s="78"/>
      <c r="H15893" s="79">
        <v>9.8089835823379046E-2</v>
      </c>
      <c r="I15893" s="451">
        <v>0.24</v>
      </c>
    </row>
    <row r="15894" spans="1:14" hidden="1" outlineLevel="1" x14ac:dyDescent="0.25">
      <c r="A15894" s="2202" t="s">
        <v>6998</v>
      </c>
      <c r="B15894" s="2984" t="s">
        <v>2153</v>
      </c>
      <c r="C15894" s="3901"/>
      <c r="D15894" s="3906"/>
      <c r="E15894" s="1815"/>
      <c r="F15894" s="3372" t="s">
        <v>5590</v>
      </c>
      <c r="G15894" s="78"/>
      <c r="H15894" s="79">
        <v>9.8089835823379046E-2</v>
      </c>
      <c r="I15894" s="451">
        <v>0.3</v>
      </c>
    </row>
    <row r="15895" spans="1:14" hidden="1" outlineLevel="1" x14ac:dyDescent="0.25">
      <c r="A15895" s="2202" t="s">
        <v>8580</v>
      </c>
      <c r="B15895" s="2984" t="s">
        <v>2153</v>
      </c>
      <c r="C15895" s="3902"/>
      <c r="D15895" s="3907"/>
      <c r="E15895" s="1815"/>
      <c r="F15895" s="3372" t="s">
        <v>5590</v>
      </c>
      <c r="G15895" s="78"/>
      <c r="H15895" s="82" t="s">
        <v>5590</v>
      </c>
      <c r="I15895" s="452">
        <v>0.36</v>
      </c>
    </row>
    <row r="15896" spans="1:14" hidden="1" outlineLevel="1" x14ac:dyDescent="0.25">
      <c r="A15896" s="1819" t="s">
        <v>2734</v>
      </c>
      <c r="B15896" s="2984"/>
      <c r="C15896" s="1820"/>
      <c r="D15896" s="3142"/>
      <c r="E15896" s="3370"/>
      <c r="F15896" s="3369">
        <v>0.24</v>
      </c>
      <c r="G15896" s="78"/>
      <c r="H15896" s="422">
        <v>9.8089835823379046E-2</v>
      </c>
    </row>
    <row r="15897" spans="1:14" collapsed="1" x14ac:dyDescent="0.25">
      <c r="A15897" s="3365" t="s">
        <v>8450</v>
      </c>
      <c r="B15897" s="3366"/>
      <c r="C15897" s="3366"/>
      <c r="D15897" s="3366"/>
      <c r="E15897" s="1906"/>
      <c r="F15897" s="1907">
        <v>0.24</v>
      </c>
      <c r="G15897" s="78"/>
      <c r="H15897" s="74"/>
    </row>
    <row r="15899" spans="1:14" ht="12.75" hidden="1" customHeight="1" outlineLevel="1" x14ac:dyDescent="0.25">
      <c r="A15899" s="3237" t="s">
        <v>113</v>
      </c>
      <c r="B15899" s="3237" t="s">
        <v>114</v>
      </c>
      <c r="C15899" s="3237" t="s">
        <v>112</v>
      </c>
      <c r="D15899" s="3237" t="s">
        <v>116</v>
      </c>
      <c r="E15899" s="3237" t="s">
        <v>117</v>
      </c>
      <c r="F15899" s="3276" t="s">
        <v>121</v>
      </c>
      <c r="G15899" s="78"/>
    </row>
    <row r="15900" spans="1:14" ht="12.75" hidden="1" customHeight="1" outlineLevel="1" x14ac:dyDescent="0.25">
      <c r="A15900" s="3182">
        <v>1</v>
      </c>
      <c r="B15900" s="3183" t="s">
        <v>252</v>
      </c>
      <c r="C15900" s="3184">
        <v>100</v>
      </c>
      <c r="D15900" s="1900" t="s">
        <v>3702</v>
      </c>
      <c r="E15900" s="3189">
        <v>45016</v>
      </c>
      <c r="F15900" s="3607"/>
      <c r="G15900" s="78"/>
    </row>
    <row r="15901" spans="1:14" ht="40.5" hidden="1" customHeight="1" outlineLevel="1" x14ac:dyDescent="0.25">
      <c r="A15901" s="3608" t="s">
        <v>4156</v>
      </c>
      <c r="B15901" s="3608" t="s">
        <v>4153</v>
      </c>
      <c r="C15901" s="3608" t="s">
        <v>112</v>
      </c>
      <c r="D15901" s="3608" t="s">
        <v>4155</v>
      </c>
      <c r="E15901" s="3608" t="s">
        <v>4154</v>
      </c>
      <c r="F15901" s="3608" t="s">
        <v>2519</v>
      </c>
      <c r="G15901" s="78"/>
    </row>
    <row r="15902" spans="1:14" ht="12.75" hidden="1" customHeight="1" outlineLevel="1" x14ac:dyDescent="0.25">
      <c r="A15902" s="1991">
        <v>0.02</v>
      </c>
      <c r="B15902" s="1921" t="s">
        <v>359</v>
      </c>
      <c r="C15902" s="2108">
        <v>171.27</v>
      </c>
      <c r="D15902" s="3194">
        <v>212.8</v>
      </c>
      <c r="E15902" s="3195">
        <v>0.24248262976586665</v>
      </c>
      <c r="F15902" s="3193">
        <v>4.8496525953173331E-3</v>
      </c>
      <c r="G15902" s="78"/>
      <c r="H15902" t="s">
        <v>360</v>
      </c>
      <c r="I15902" s="98" t="s">
        <v>6654</v>
      </c>
      <c r="J15902" s="494" t="s">
        <v>7618</v>
      </c>
      <c r="N15902" s="434"/>
    </row>
    <row r="15903" spans="1:14" ht="12.75" hidden="1" customHeight="1" outlineLevel="1" x14ac:dyDescent="0.3">
      <c r="A15903" s="2380">
        <v>0.02</v>
      </c>
      <c r="B15903" s="1921" t="s">
        <v>7753</v>
      </c>
      <c r="C15903" s="2108">
        <v>139.33000000000001</v>
      </c>
      <c r="D15903" s="3196">
        <v>142.4</v>
      </c>
      <c r="E15903" s="3197">
        <v>2.2034019952630324E-2</v>
      </c>
      <c r="F15903" s="3198">
        <v>4.4068039905260649E-4</v>
      </c>
      <c r="G15903" s="78"/>
      <c r="H15903" t="s">
        <v>8901</v>
      </c>
      <c r="I15903" s="1690">
        <v>43191</v>
      </c>
      <c r="J15903" s="1761">
        <v>98.925899999999999</v>
      </c>
      <c r="K15903" s="1762" t="s">
        <v>8792</v>
      </c>
      <c r="N15903" s="434"/>
    </row>
    <row r="15904" spans="1:14" ht="12.75" hidden="1" customHeight="1" outlineLevel="1" x14ac:dyDescent="0.3">
      <c r="A15904" s="2380">
        <v>0.05</v>
      </c>
      <c r="B15904" s="1921" t="s">
        <v>807</v>
      </c>
      <c r="C15904" s="2108">
        <v>60.994</v>
      </c>
      <c r="D15904" s="3196">
        <v>60.54</v>
      </c>
      <c r="E15904" s="3197">
        <v>-7.4433550841066509E-3</v>
      </c>
      <c r="F15904" s="3198">
        <v>-3.7216775420533259E-4</v>
      </c>
      <c r="G15904" s="78"/>
      <c r="H15904" t="s">
        <v>808</v>
      </c>
      <c r="I15904" s="1690">
        <v>43556</v>
      </c>
      <c r="J15904" s="1761">
        <v>104.15689999999999</v>
      </c>
      <c r="K15904" s="1559" t="s">
        <v>8597</v>
      </c>
      <c r="N15904" s="434"/>
    </row>
    <row r="15905" spans="1:14" ht="12.75" hidden="1" customHeight="1" outlineLevel="1" x14ac:dyDescent="0.25">
      <c r="A15905" s="2380">
        <v>0.02</v>
      </c>
      <c r="B15905" s="1921" t="s">
        <v>3954</v>
      </c>
      <c r="C15905" s="2108">
        <v>56.484000000000002</v>
      </c>
      <c r="D15905" s="3196">
        <v>57.31</v>
      </c>
      <c r="E15905" s="3197">
        <v>1.4623610225904748E-2</v>
      </c>
      <c r="F15905" s="3198">
        <v>2.9247220451809495E-4</v>
      </c>
      <c r="G15905" s="78"/>
      <c r="H15905" t="s">
        <v>3955</v>
      </c>
      <c r="I15905" s="1690">
        <v>43922</v>
      </c>
      <c r="J15905" s="478"/>
      <c r="N15905" s="434"/>
    </row>
    <row r="15906" spans="1:14" ht="12.75" hidden="1" customHeight="1" outlineLevel="1" x14ac:dyDescent="0.25">
      <c r="A15906" s="2380">
        <v>0.02</v>
      </c>
      <c r="B15906" s="1921" t="s">
        <v>7114</v>
      </c>
      <c r="C15906" s="2108">
        <v>117.6</v>
      </c>
      <c r="D15906" s="3196">
        <v>191.52</v>
      </c>
      <c r="E15906" s="3197">
        <v>0.62857142857142878</v>
      </c>
      <c r="F15906" s="3198">
        <v>1.2571428571428575E-2</v>
      </c>
      <c r="G15906" s="78"/>
      <c r="H15906" t="s">
        <v>7115</v>
      </c>
      <c r="I15906" s="1690">
        <v>44287</v>
      </c>
      <c r="J15906" s="478"/>
      <c r="N15906" s="434"/>
    </row>
    <row r="15907" spans="1:14" ht="12.75" hidden="1" customHeight="1" outlineLevel="1" x14ac:dyDescent="0.25">
      <c r="A15907" s="2380">
        <v>0.02</v>
      </c>
      <c r="B15907" s="1921" t="s">
        <v>6267</v>
      </c>
      <c r="C15907" s="2108">
        <v>24.439</v>
      </c>
      <c r="D15907" s="3196">
        <v>17.7</v>
      </c>
      <c r="E15907" s="3197">
        <v>-0.27574778018740542</v>
      </c>
      <c r="F15907" s="3198">
        <v>-5.5149556037481081E-3</v>
      </c>
      <c r="G15907" s="78"/>
      <c r="H15907" t="s">
        <v>6268</v>
      </c>
      <c r="N15907" s="434"/>
    </row>
    <row r="15908" spans="1:14" ht="12.75" hidden="1" customHeight="1" outlineLevel="1" x14ac:dyDescent="0.25">
      <c r="A15908" s="2380">
        <v>0.02</v>
      </c>
      <c r="B15908" s="1921" t="s">
        <v>4268</v>
      </c>
      <c r="C15908" s="2108">
        <v>12.975</v>
      </c>
      <c r="D15908" s="3196">
        <v>14.115</v>
      </c>
      <c r="E15908" s="3197">
        <v>8.7861271676300534E-2</v>
      </c>
      <c r="F15908" s="3198">
        <v>1.7572254335260107E-3</v>
      </c>
      <c r="G15908" s="78"/>
      <c r="H15908" t="s">
        <v>8442</v>
      </c>
      <c r="N15908" s="434"/>
    </row>
    <row r="15909" spans="1:14" ht="12.75" hidden="1" customHeight="1" outlineLevel="1" x14ac:dyDescent="0.25">
      <c r="A15909" s="2380">
        <v>0.02</v>
      </c>
      <c r="B15909" s="1921" t="s">
        <v>10730</v>
      </c>
      <c r="C15909" s="2108">
        <v>16.047999999999998</v>
      </c>
      <c r="D15909" s="3196">
        <v>14.651999999999999</v>
      </c>
      <c r="E15909" s="3197">
        <v>-8.6989032901296115E-2</v>
      </c>
      <c r="F15909" s="3198">
        <v>-1.7397806580259224E-3</v>
      </c>
      <c r="G15909" s="78"/>
      <c r="H15909" t="s">
        <v>10729</v>
      </c>
      <c r="N15909" s="434"/>
    </row>
    <row r="15910" spans="1:14" ht="12.75" hidden="1" customHeight="1" outlineLevel="1" x14ac:dyDescent="0.25">
      <c r="A15910" s="2380">
        <v>0.02</v>
      </c>
      <c r="B15910" s="1921" t="s">
        <v>1031</v>
      </c>
      <c r="C15910" s="2108">
        <v>6.6368999999999998</v>
      </c>
      <c r="D15910" s="3196">
        <v>11.484999999999999</v>
      </c>
      <c r="E15910" s="3197">
        <v>0.73047657792041454</v>
      </c>
      <c r="F15910" s="3198">
        <v>1.460953155840829E-2</v>
      </c>
      <c r="G15910" s="78"/>
      <c r="H15910" t="s">
        <v>7872</v>
      </c>
      <c r="N15910" s="434"/>
    </row>
    <row r="15911" spans="1:14" ht="12.75" hidden="1" customHeight="1" outlineLevel="1" x14ac:dyDescent="0.25">
      <c r="A15911" s="2380">
        <v>0.02</v>
      </c>
      <c r="B15911" s="1921" t="s">
        <v>4143</v>
      </c>
      <c r="C15911" s="2108">
        <v>2.737381913518758</v>
      </c>
      <c r="D15911" s="3196">
        <v>3.2559999999999998</v>
      </c>
      <c r="E15911" s="3197">
        <v>0.18945770187200006</v>
      </c>
      <c r="F15911" s="3198">
        <v>3.7891540374400015E-3</v>
      </c>
      <c r="G15911" s="78"/>
      <c r="H15911" t="s">
        <v>4144</v>
      </c>
      <c r="N15911" s="434"/>
    </row>
    <row r="15912" spans="1:14" ht="12.75" hidden="1" customHeight="1" outlineLevel="1" x14ac:dyDescent="0.25">
      <c r="A15912" s="2380">
        <v>0.02</v>
      </c>
      <c r="B15912" s="1921" t="s">
        <v>1772</v>
      </c>
      <c r="C15912" s="2108">
        <v>183.6</v>
      </c>
      <c r="D15912" s="3196">
        <v>322.5</v>
      </c>
      <c r="E15912" s="3197">
        <v>0.75653594771241828</v>
      </c>
      <c r="F15912" s="3198">
        <v>1.5130718954248366E-2</v>
      </c>
      <c r="G15912" s="78"/>
      <c r="H15912" t="s">
        <v>4330</v>
      </c>
      <c r="N15912" s="434"/>
    </row>
    <row r="15913" spans="1:14" ht="12.75" hidden="1" customHeight="1" outlineLevel="1" x14ac:dyDescent="0.25">
      <c r="A15913" s="2380">
        <v>0.08</v>
      </c>
      <c r="B15913" s="1921" t="s">
        <v>8336</v>
      </c>
      <c r="C15913" s="2108">
        <v>33.01</v>
      </c>
      <c r="D15913" s="3196">
        <v>27.72</v>
      </c>
      <c r="E15913" s="3197">
        <v>-0.16025446834292634</v>
      </c>
      <c r="F15913" s="3198">
        <v>-1.2820357467434108E-2</v>
      </c>
      <c r="G15913" s="78"/>
      <c r="H15913" t="s">
        <v>8337</v>
      </c>
      <c r="N15913" s="434"/>
    </row>
    <row r="15914" spans="1:14" ht="12.75" hidden="1" customHeight="1" outlineLevel="1" x14ac:dyDescent="0.25">
      <c r="A15914" s="2380">
        <v>0.02</v>
      </c>
      <c r="B15914" s="1921" t="s">
        <v>7754</v>
      </c>
      <c r="C15914" s="2519">
        <v>54.902999999999999</v>
      </c>
      <c r="D15914" s="3196">
        <v>96.67</v>
      </c>
      <c r="E15914" s="3197">
        <v>0.76074167167550044</v>
      </c>
      <c r="F15914" s="3198">
        <v>1.521483343351001E-2</v>
      </c>
      <c r="G15914" s="78"/>
      <c r="H15914" t="s">
        <v>7751</v>
      </c>
      <c r="N15914" s="434"/>
    </row>
    <row r="15915" spans="1:14" ht="12.75" hidden="1" customHeight="1" outlineLevel="1" x14ac:dyDescent="0.25">
      <c r="A15915" s="2380">
        <v>0.03</v>
      </c>
      <c r="B15915" s="1921" t="s">
        <v>2786</v>
      </c>
      <c r="C15915" s="2108">
        <v>10.199383539875416</v>
      </c>
      <c r="D15915" s="3196">
        <v>10.965</v>
      </c>
      <c r="E15915" s="3197">
        <v>7.5064973989000139E-2</v>
      </c>
      <c r="F15915" s="3198">
        <v>2.251949219670004E-3</v>
      </c>
      <c r="G15915" s="78"/>
      <c r="H15915" t="s">
        <v>4195</v>
      </c>
      <c r="N15915" s="434"/>
    </row>
    <row r="15916" spans="1:14" ht="12.75" hidden="1" customHeight="1" outlineLevel="1" x14ac:dyDescent="0.25">
      <c r="A15916" s="2380">
        <v>0.02</v>
      </c>
      <c r="B15916" s="1921" t="s">
        <v>1203</v>
      </c>
      <c r="C15916" s="2108">
        <v>102.65</v>
      </c>
      <c r="D15916" s="3196">
        <v>110.64</v>
      </c>
      <c r="E15916" s="3197">
        <v>7.7837311251826469E-2</v>
      </c>
      <c r="F15916" s="3198">
        <v>1.5567462250365295E-3</v>
      </c>
      <c r="G15916" s="78"/>
      <c r="H15916" t="s">
        <v>79</v>
      </c>
      <c r="N15916" s="434"/>
    </row>
    <row r="15917" spans="1:14" ht="12.75" hidden="1" customHeight="1" outlineLevel="1" x14ac:dyDescent="0.25">
      <c r="A15917" s="2380">
        <v>0.05</v>
      </c>
      <c r="B15917" s="1921" t="s">
        <v>3793</v>
      </c>
      <c r="C15917" s="2108">
        <v>112.916</v>
      </c>
      <c r="D15917" s="3196">
        <v>97.25</v>
      </c>
      <c r="E15917" s="3197">
        <v>-0.1387403025257713</v>
      </c>
      <c r="F15917" s="3198">
        <v>-6.937015126288565E-3</v>
      </c>
      <c r="G15917" s="78"/>
      <c r="H15917" t="s">
        <v>3533</v>
      </c>
      <c r="N15917" s="434"/>
    </row>
    <row r="15918" spans="1:14" ht="12.75" hidden="1" customHeight="1" outlineLevel="1" x14ac:dyDescent="0.25">
      <c r="A15918" s="2380">
        <v>0.02</v>
      </c>
      <c r="B15918" s="1921" t="s">
        <v>2769</v>
      </c>
      <c r="C15918" s="2108">
        <v>37.752000000000002</v>
      </c>
      <c r="D15918" s="3196">
        <v>27.79</v>
      </c>
      <c r="E15918" s="3197">
        <v>-0.2638800593346049</v>
      </c>
      <c r="F15918" s="3198">
        <v>-5.2776011866920982E-3</v>
      </c>
      <c r="G15918" s="78"/>
      <c r="H15918" t="s">
        <v>2770</v>
      </c>
      <c r="N15918" s="434"/>
    </row>
    <row r="15919" spans="1:14" ht="12.75" hidden="1" customHeight="1" outlineLevel="1" x14ac:dyDescent="0.25">
      <c r="A15919" s="2380">
        <v>0.02</v>
      </c>
      <c r="B15919" s="1921" t="s">
        <v>10667</v>
      </c>
      <c r="C15919" s="2108">
        <v>20.648</v>
      </c>
      <c r="D15919" s="3196">
        <v>23.085000000000001</v>
      </c>
      <c r="E15919" s="3197">
        <v>0.11802595893064716</v>
      </c>
      <c r="F15919" s="3198">
        <v>2.3605191786129432E-3</v>
      </c>
      <c r="G15919" s="78"/>
      <c r="H15919" t="s">
        <v>10668</v>
      </c>
      <c r="N15919" s="434"/>
    </row>
    <row r="15920" spans="1:14" ht="12.75" hidden="1" customHeight="1" outlineLevel="1" x14ac:dyDescent="0.25">
      <c r="A15920" s="2380">
        <v>0.02</v>
      </c>
      <c r="B15920" s="1921" t="s">
        <v>6270</v>
      </c>
      <c r="C15920" s="2108">
        <v>42.570227822811539</v>
      </c>
      <c r="D15920" s="3196">
        <v>43.48</v>
      </c>
      <c r="E15920" s="3197">
        <v>2.1371090165999806E-2</v>
      </c>
      <c r="F15920" s="3198">
        <v>4.2742180331999612E-4</v>
      </c>
      <c r="G15920" s="78"/>
      <c r="H15920" t="s">
        <v>8166</v>
      </c>
      <c r="N15920" s="434"/>
    </row>
    <row r="15921" spans="1:14" ht="12.75" hidden="1" customHeight="1" outlineLevel="1" x14ac:dyDescent="0.25">
      <c r="A15921" s="2380">
        <v>0.02</v>
      </c>
      <c r="B15921" s="1921" t="s">
        <v>6524</v>
      </c>
      <c r="C15921" s="2108">
        <v>98.160291112404792</v>
      </c>
      <c r="D15921" s="3196">
        <v>114.35</v>
      </c>
      <c r="E15921" s="3197">
        <v>0.16493134549749988</v>
      </c>
      <c r="F15921" s="3198">
        <v>3.2986269099499975E-3</v>
      </c>
      <c r="G15921" s="78"/>
      <c r="H15921" t="s">
        <v>6525</v>
      </c>
      <c r="N15921" s="434"/>
    </row>
    <row r="15922" spans="1:14" ht="12.75" hidden="1" customHeight="1" outlineLevel="1" x14ac:dyDescent="0.25">
      <c r="A15922" s="2380">
        <v>0.05</v>
      </c>
      <c r="B15922" s="1921" t="s">
        <v>6116</v>
      </c>
      <c r="C15922" s="2108">
        <v>4.0594000000000001</v>
      </c>
      <c r="D15922" s="3196">
        <v>4.8890000000000002</v>
      </c>
      <c r="E15922" s="3197">
        <v>0.20436517711977142</v>
      </c>
      <c r="F15922" s="3198">
        <v>1.0218258855988573E-2</v>
      </c>
      <c r="G15922" s="78"/>
      <c r="H15922" t="s">
        <v>6114</v>
      </c>
      <c r="N15922" s="434"/>
    </row>
    <row r="15923" spans="1:14" ht="12.75" hidden="1" customHeight="1" outlineLevel="1" x14ac:dyDescent="0.25">
      <c r="A15923" s="2380">
        <v>0.02</v>
      </c>
      <c r="B15923" s="1921" t="s">
        <v>10538</v>
      </c>
      <c r="C15923" s="2108">
        <v>13.231188286318398</v>
      </c>
      <c r="D15923" s="3196">
        <v>12.11</v>
      </c>
      <c r="E15923" s="3197">
        <v>-8.4738291229500051E-2</v>
      </c>
      <c r="F15923" s="3198">
        <v>-1.6947658245900011E-3</v>
      </c>
      <c r="G15923" s="78"/>
      <c r="H15923" t="s">
        <v>7628</v>
      </c>
      <c r="N15923" s="434"/>
    </row>
    <row r="15924" spans="1:14" ht="12.75" hidden="1" customHeight="1" outlineLevel="1" x14ac:dyDescent="0.25">
      <c r="A15924" s="2380">
        <v>0.08</v>
      </c>
      <c r="B15924" s="1921" t="s">
        <v>1724</v>
      </c>
      <c r="C15924" s="2108">
        <v>203.42923975174665</v>
      </c>
      <c r="D15924" s="3196">
        <v>170.15</v>
      </c>
      <c r="E15924" s="3197">
        <v>-0.163591230996875</v>
      </c>
      <c r="F15924" s="3198">
        <v>-1.3087298479750001E-2</v>
      </c>
      <c r="G15924" s="78"/>
      <c r="H15924" t="s">
        <v>1725</v>
      </c>
      <c r="N15924" s="434"/>
    </row>
    <row r="15925" spans="1:14" ht="12.75" hidden="1" customHeight="1" outlineLevel="1" x14ac:dyDescent="0.25">
      <c r="A15925" s="2380">
        <v>0.02</v>
      </c>
      <c r="B15925" s="1921" t="s">
        <v>8338</v>
      </c>
      <c r="C15925" s="2108">
        <v>75.13</v>
      </c>
      <c r="D15925" s="3196">
        <v>60.3</v>
      </c>
      <c r="E15925" s="3197">
        <v>-0.19739118860641558</v>
      </c>
      <c r="F15925" s="3198">
        <v>-3.9478237721283114E-3</v>
      </c>
      <c r="G15925" s="78"/>
      <c r="H15925" t="s">
        <v>8339</v>
      </c>
      <c r="N15925" s="434"/>
    </row>
    <row r="15926" spans="1:14" ht="12.75" hidden="1" customHeight="1" outlineLevel="1" x14ac:dyDescent="0.25">
      <c r="A15926" s="2380">
        <v>0.08</v>
      </c>
      <c r="B15926" s="1921" t="s">
        <v>6118</v>
      </c>
      <c r="C15926" s="2108">
        <v>89.094999999999999</v>
      </c>
      <c r="D15926" s="3196">
        <v>93.84</v>
      </c>
      <c r="E15926" s="3197">
        <v>5.325775857231041E-2</v>
      </c>
      <c r="F15926" s="3198">
        <v>4.2606206857848331E-3</v>
      </c>
      <c r="G15926" s="78"/>
      <c r="H15926" t="s">
        <v>8893</v>
      </c>
      <c r="N15926" s="434"/>
    </row>
    <row r="15927" spans="1:14" ht="12.75" hidden="1" customHeight="1" outlineLevel="1" x14ac:dyDescent="0.25">
      <c r="A15927" s="2380">
        <v>0.08</v>
      </c>
      <c r="B15927" s="1921" t="s">
        <v>1239</v>
      </c>
      <c r="C15927" s="2108">
        <v>437.12</v>
      </c>
      <c r="D15927" s="3196">
        <v>583.20000000000005</v>
      </c>
      <c r="E15927" s="3197">
        <v>0.33418740849194739</v>
      </c>
      <c r="F15927" s="3198">
        <v>2.6734992679355793E-2</v>
      </c>
      <c r="G15927" s="78"/>
      <c r="H15927" t="s">
        <v>8891</v>
      </c>
      <c r="N15927" s="434"/>
    </row>
    <row r="15928" spans="1:14" ht="12.75" hidden="1" customHeight="1" outlineLevel="1" x14ac:dyDescent="0.25">
      <c r="A15928" s="2380">
        <v>0.08</v>
      </c>
      <c r="B15928" s="1921" t="s">
        <v>6945</v>
      </c>
      <c r="C15928" s="2108">
        <v>70.292383356421468</v>
      </c>
      <c r="D15928" s="3196">
        <v>103.25</v>
      </c>
      <c r="E15928" s="3197">
        <v>0.46886469159062494</v>
      </c>
      <c r="F15928" s="3198">
        <v>3.7509175327249997E-2</v>
      </c>
      <c r="G15928" s="78"/>
      <c r="H15928" t="s">
        <v>6943</v>
      </c>
      <c r="N15928" s="434"/>
    </row>
    <row r="15929" spans="1:14" ht="12.75" hidden="1" customHeight="1" outlineLevel="1" x14ac:dyDescent="0.25">
      <c r="A15929" s="2380">
        <v>0.02</v>
      </c>
      <c r="B15929" s="1921" t="s">
        <v>6337</v>
      </c>
      <c r="C15929" s="2108">
        <v>65.933999999999997</v>
      </c>
      <c r="D15929" s="3196">
        <v>80.95</v>
      </c>
      <c r="E15929" s="3197">
        <v>0.22774289440956119</v>
      </c>
      <c r="F15929" s="3198">
        <v>4.5548578881912235E-3</v>
      </c>
      <c r="G15929" s="78"/>
      <c r="H15929" t="s">
        <v>7752</v>
      </c>
      <c r="N15929" s="434"/>
    </row>
    <row r="15930" spans="1:14" ht="12.75" hidden="1" customHeight="1" outlineLevel="1" x14ac:dyDescent="0.25">
      <c r="A15930" s="2380">
        <v>0.02</v>
      </c>
      <c r="B15930" s="1921" t="s">
        <v>10633</v>
      </c>
      <c r="C15930" s="2108">
        <v>47.72</v>
      </c>
      <c r="D15930" s="3196">
        <v>54.36</v>
      </c>
      <c r="E15930" s="3197">
        <v>0.13914501257334444</v>
      </c>
      <c r="F15930" s="3198">
        <v>2.782900251466889E-3</v>
      </c>
      <c r="G15930" s="78"/>
      <c r="H15930" t="s">
        <v>10634</v>
      </c>
      <c r="N15930" s="434"/>
    </row>
    <row r="15931" spans="1:14" ht="12.75" hidden="1" customHeight="1" outlineLevel="1" x14ac:dyDescent="0.25">
      <c r="A15931" s="2380">
        <v>0.02</v>
      </c>
      <c r="B15931" s="2109" t="s">
        <v>255</v>
      </c>
      <c r="C15931" s="2108">
        <v>48.445999999999998</v>
      </c>
      <c r="D15931" s="3199">
        <v>38.89</v>
      </c>
      <c r="E15931" s="3197">
        <v>-0.19725054700078437</v>
      </c>
      <c r="F15931" s="3198">
        <v>-3.9450109400156873E-3</v>
      </c>
      <c r="G15931" s="78"/>
      <c r="H15931" t="s">
        <v>3351</v>
      </c>
      <c r="N15931" s="434"/>
    </row>
    <row r="15932" spans="1:14" ht="12.75" hidden="1" customHeight="1" outlineLevel="1" x14ac:dyDescent="0.25">
      <c r="A15932" s="2181" t="s">
        <v>2734</v>
      </c>
      <c r="B15932" s="2103"/>
      <c r="C15932" s="3200"/>
      <c r="D15932" s="3201"/>
      <c r="E15932" s="3202"/>
      <c r="F15932" s="3193">
        <v>0.1096</v>
      </c>
      <c r="G15932" s="78"/>
    </row>
    <row r="15933" spans="1:14" ht="12.75" hidden="1" customHeight="1" outlineLevel="1" x14ac:dyDescent="0.25">
      <c r="A15933" s="1956" t="s">
        <v>8622</v>
      </c>
      <c r="B15933" s="2185">
        <v>44470</v>
      </c>
      <c r="C15933" s="3203">
        <v>100</v>
      </c>
      <c r="D15933" s="3612">
        <v>111.61150000000001</v>
      </c>
      <c r="E15933" s="3204">
        <v>0.11611499999999997</v>
      </c>
      <c r="F15933" s="3205"/>
      <c r="G15933" s="78"/>
    </row>
    <row r="15934" spans="1:14" ht="12.75" hidden="1" customHeight="1" outlineLevel="1" x14ac:dyDescent="0.25">
      <c r="A15934" s="1956" t="s">
        <v>8623</v>
      </c>
      <c r="B15934" s="2185">
        <v>44501</v>
      </c>
      <c r="C15934" s="3203">
        <v>100</v>
      </c>
      <c r="D15934" s="3613">
        <v>110.4264</v>
      </c>
      <c r="E15934" s="3204">
        <v>0.10426399999999991</v>
      </c>
      <c r="F15934" s="3205"/>
      <c r="G15934" s="78"/>
    </row>
    <row r="15935" spans="1:14" ht="12.75" hidden="1" customHeight="1" outlineLevel="1" x14ac:dyDescent="0.25">
      <c r="A15935" s="1956" t="s">
        <v>8624</v>
      </c>
      <c r="B15935" s="2185">
        <v>44531</v>
      </c>
      <c r="C15935" s="3203">
        <v>100</v>
      </c>
      <c r="D15935" s="3613">
        <v>114.2692</v>
      </c>
      <c r="E15935" s="3204">
        <v>0.14269200000000004</v>
      </c>
      <c r="F15935" s="3205"/>
      <c r="G15935" s="78"/>
    </row>
    <row r="15936" spans="1:14" ht="12.75" hidden="1" customHeight="1" outlineLevel="1" x14ac:dyDescent="0.25">
      <c r="A15936" s="1956" t="s">
        <v>8625</v>
      </c>
      <c r="B15936" s="2185">
        <v>44562</v>
      </c>
      <c r="C15936" s="3203">
        <v>100</v>
      </c>
      <c r="D15936" s="3206">
        <v>116.8103</v>
      </c>
      <c r="E15936" s="3204">
        <v>0.16810299999999989</v>
      </c>
      <c r="F15936" s="3205"/>
      <c r="G15936" s="78"/>
    </row>
    <row r="15937" spans="1:7" ht="12.75" hidden="1" customHeight="1" outlineLevel="1" x14ac:dyDescent="0.25">
      <c r="A15937" s="1956" t="s">
        <v>8626</v>
      </c>
      <c r="B15937" s="2185">
        <v>44593</v>
      </c>
      <c r="C15937" s="3203">
        <v>100</v>
      </c>
      <c r="D15937" s="3206">
        <v>112.3763</v>
      </c>
      <c r="E15937" s="3204">
        <v>0.12376300000000007</v>
      </c>
      <c r="F15937" s="3205"/>
      <c r="G15937" s="78"/>
    </row>
    <row r="15938" spans="1:7" ht="12.75" hidden="1" customHeight="1" outlineLevel="1" x14ac:dyDescent="0.25">
      <c r="A15938" s="1956" t="s">
        <v>8627</v>
      </c>
      <c r="B15938" s="2185">
        <v>44621</v>
      </c>
      <c r="C15938" s="3203">
        <v>100</v>
      </c>
      <c r="D15938" s="3206">
        <v>114.7902</v>
      </c>
      <c r="E15938" s="3204">
        <v>0.14790199999999998</v>
      </c>
      <c r="F15938" s="3205"/>
      <c r="G15938" s="78"/>
    </row>
    <row r="15939" spans="1:7" ht="12.75" hidden="1" customHeight="1" outlineLevel="1" x14ac:dyDescent="0.25">
      <c r="A15939" s="1956" t="s">
        <v>8628</v>
      </c>
      <c r="B15939" s="2185">
        <v>44652</v>
      </c>
      <c r="C15939" s="3203">
        <v>100</v>
      </c>
      <c r="D15939" s="3206">
        <v>115.2225</v>
      </c>
      <c r="E15939" s="3204">
        <v>0.15222500000000005</v>
      </c>
      <c r="F15939" s="3205"/>
      <c r="G15939" s="78"/>
    </row>
    <row r="15940" spans="1:7" ht="12.75" hidden="1" customHeight="1" outlineLevel="1" x14ac:dyDescent="0.25">
      <c r="A15940" s="1956" t="s">
        <v>8629</v>
      </c>
      <c r="B15940" s="2185">
        <v>44682</v>
      </c>
      <c r="C15940" s="3203">
        <v>100</v>
      </c>
      <c r="D15940" s="3206">
        <v>114.10429999999999</v>
      </c>
      <c r="E15940" s="3204">
        <v>0.14104300000000003</v>
      </c>
      <c r="F15940" s="3205"/>
      <c r="G15940" s="78"/>
    </row>
    <row r="15941" spans="1:7" ht="12.75" hidden="1" customHeight="1" outlineLevel="1" x14ac:dyDescent="0.25">
      <c r="A15941" s="1956" t="s">
        <v>8630</v>
      </c>
      <c r="B15941" s="2185">
        <v>44713</v>
      </c>
      <c r="C15941" s="3203">
        <v>100</v>
      </c>
      <c r="D15941" s="3206">
        <v>106.18899999999999</v>
      </c>
      <c r="E15941" s="3204">
        <v>6.1890000000000001E-2</v>
      </c>
      <c r="F15941" s="3205"/>
      <c r="G15941" s="78"/>
    </row>
    <row r="15942" spans="1:7" ht="12.75" hidden="1" customHeight="1" outlineLevel="1" x14ac:dyDescent="0.25">
      <c r="A15942" s="1956" t="s">
        <v>8631</v>
      </c>
      <c r="B15942" s="2185">
        <v>44743</v>
      </c>
      <c r="C15942" s="3203">
        <v>100</v>
      </c>
      <c r="D15942" s="3206">
        <v>106.5582</v>
      </c>
      <c r="E15942" s="3204">
        <v>6.5582000000000029E-2</v>
      </c>
      <c r="F15942" s="3205"/>
      <c r="G15942" s="78"/>
    </row>
    <row r="15943" spans="1:7" ht="12.75" hidden="1" customHeight="1" outlineLevel="1" x14ac:dyDescent="0.25">
      <c r="A15943" s="1956" t="s">
        <v>8632</v>
      </c>
      <c r="B15943" s="2185">
        <v>44774</v>
      </c>
      <c r="C15943" s="3203">
        <v>100</v>
      </c>
      <c r="D15943" s="3206">
        <v>105.29940000000001</v>
      </c>
      <c r="E15943" s="3204">
        <v>5.2993999999999986E-2</v>
      </c>
      <c r="F15943" s="3205"/>
      <c r="G15943" s="78"/>
    </row>
    <row r="15944" spans="1:7" ht="12.75" hidden="1" customHeight="1" outlineLevel="1" x14ac:dyDescent="0.25">
      <c r="A15944" s="1956" t="s">
        <v>8633</v>
      </c>
      <c r="B15944" s="2185">
        <v>44805</v>
      </c>
      <c r="C15944" s="3203">
        <v>100</v>
      </c>
      <c r="D15944" s="3206">
        <v>98.552099999999996</v>
      </c>
      <c r="E15944" s="3204">
        <v>-1.447900000000002E-2</v>
      </c>
      <c r="F15944" s="3205"/>
      <c r="G15944" s="78"/>
    </row>
    <row r="15945" spans="1:7" ht="12.75" hidden="1" customHeight="1" outlineLevel="1" x14ac:dyDescent="0.25">
      <c r="A15945" s="1956" t="s">
        <v>8634</v>
      </c>
      <c r="B15945" s="2185">
        <v>44835</v>
      </c>
      <c r="C15945" s="3203">
        <v>100</v>
      </c>
      <c r="D15945" s="3206">
        <v>103.72499999999999</v>
      </c>
      <c r="E15945" s="3204">
        <v>3.7250000000000005E-2</v>
      </c>
      <c r="F15945" s="3205"/>
      <c r="G15945" s="78"/>
    </row>
    <row r="15946" spans="1:7" ht="12.75" hidden="1" customHeight="1" outlineLevel="1" x14ac:dyDescent="0.25">
      <c r="A15946" s="1956" t="s">
        <v>8635</v>
      </c>
      <c r="B15946" s="2185">
        <v>44866</v>
      </c>
      <c r="C15946" s="3203">
        <v>100</v>
      </c>
      <c r="D15946" s="3206">
        <v>108.8443</v>
      </c>
      <c r="E15946" s="3204">
        <v>8.8443000000000049E-2</v>
      </c>
      <c r="F15946" s="3205"/>
      <c r="G15946" s="78"/>
    </row>
    <row r="15947" spans="1:7" ht="12.75" hidden="1" customHeight="1" outlineLevel="1" x14ac:dyDescent="0.25">
      <c r="A15947" s="1956" t="s">
        <v>8636</v>
      </c>
      <c r="B15947" s="2185">
        <v>44896</v>
      </c>
      <c r="C15947" s="3203">
        <v>100</v>
      </c>
      <c r="D15947" s="3206">
        <v>106.73820000000001</v>
      </c>
      <c r="E15947" s="3204">
        <v>6.7382000000000053E-2</v>
      </c>
      <c r="F15947" s="3205"/>
      <c r="G15947" s="78"/>
    </row>
    <row r="15948" spans="1:7" ht="12.75" hidden="1" customHeight="1" outlineLevel="1" x14ac:dyDescent="0.25">
      <c r="A15948" s="1956" t="s">
        <v>8637</v>
      </c>
      <c r="B15948" s="2185">
        <v>44927</v>
      </c>
      <c r="C15948" s="3203">
        <v>100</v>
      </c>
      <c r="D15948" s="3206">
        <v>112.62439999999999</v>
      </c>
      <c r="E15948" s="3204">
        <v>0.12624400000000002</v>
      </c>
      <c r="F15948" s="3205"/>
      <c r="G15948" s="78"/>
    </row>
    <row r="15949" spans="1:7" ht="12.75" hidden="1" customHeight="1" outlineLevel="1" x14ac:dyDescent="0.25">
      <c r="A15949" s="1956" t="s">
        <v>8638</v>
      </c>
      <c r="B15949" s="2185">
        <v>44958</v>
      </c>
      <c r="C15949" s="3203">
        <v>100</v>
      </c>
      <c r="D15949" s="3206">
        <v>114.432</v>
      </c>
      <c r="E15949" s="3204">
        <v>0.14432</v>
      </c>
      <c r="F15949" s="3205"/>
      <c r="G15949" s="78"/>
    </row>
    <row r="15950" spans="1:7" ht="12.75" hidden="1" customHeight="1" outlineLevel="1" x14ac:dyDescent="0.25">
      <c r="A15950" s="1956" t="s">
        <v>8639</v>
      </c>
      <c r="B15950" s="2185">
        <v>44986</v>
      </c>
      <c r="C15950" s="3203">
        <v>100</v>
      </c>
      <c r="D15950" s="3206">
        <v>110.9669</v>
      </c>
      <c r="E15950" s="3204">
        <v>0.10966900000000002</v>
      </c>
      <c r="F15950" s="3205"/>
      <c r="G15950" s="78"/>
    </row>
    <row r="15951" spans="1:7" ht="12.75" hidden="1" customHeight="1" outlineLevel="1" x14ac:dyDescent="0.25">
      <c r="A15951" s="2189" t="s">
        <v>2734</v>
      </c>
      <c r="B15951" s="2190"/>
      <c r="C15951" s="3206"/>
      <c r="D15951" s="2191" t="s">
        <v>2465</v>
      </c>
      <c r="E15951" s="1987">
        <v>0.10196677777777778</v>
      </c>
      <c r="F15951" s="2192">
        <v>9.1770100000000007E-2</v>
      </c>
      <c r="G15951" s="78"/>
    </row>
    <row r="15952" spans="1:7" collapsed="1" x14ac:dyDescent="0.25">
      <c r="A15952" s="3801" t="s">
        <v>8621</v>
      </c>
      <c r="B15952" s="3802"/>
      <c r="C15952" s="3802"/>
      <c r="D15952" s="3802"/>
      <c r="E15952" s="1906"/>
      <c r="F15952" s="1907">
        <v>9.1770100000000007E-2</v>
      </c>
      <c r="G15952" s="78"/>
    </row>
    <row r="15954" spans="1:11" ht="12.75" hidden="1" customHeight="1" outlineLevel="1" x14ac:dyDescent="0.25">
      <c r="A15954" s="3237" t="s">
        <v>113</v>
      </c>
      <c r="B15954" s="3237" t="s">
        <v>114</v>
      </c>
      <c r="C15954" s="3237" t="s">
        <v>112</v>
      </c>
      <c r="D15954" s="3237" t="s">
        <v>116</v>
      </c>
      <c r="E15954" s="3237" t="s">
        <v>117</v>
      </c>
      <c r="F15954" s="3276" t="s">
        <v>121</v>
      </c>
      <c r="G15954" s="78"/>
    </row>
    <row r="15955" spans="1:11" ht="12.75" hidden="1" customHeight="1" outlineLevel="1" x14ac:dyDescent="0.25">
      <c r="A15955" s="3238">
        <v>1</v>
      </c>
      <c r="B15955" s="3239" t="s">
        <v>252</v>
      </c>
      <c r="C15955" s="3240">
        <v>100</v>
      </c>
      <c r="D15955" s="3240"/>
      <c r="E15955" s="3241"/>
      <c r="F15955" s="3242"/>
      <c r="G15955" s="78"/>
    </row>
    <row r="15956" spans="1:11" ht="12.75" hidden="1" customHeight="1" outlineLevel="1" x14ac:dyDescent="0.25">
      <c r="A15956" s="3243" t="s">
        <v>2734</v>
      </c>
      <c r="B15956" s="3243"/>
      <c r="C15956" s="3244"/>
      <c r="D15956" s="1900" t="s">
        <v>3702</v>
      </c>
      <c r="E15956" s="3245">
        <v>45044</v>
      </c>
      <c r="F15956" s="3246"/>
      <c r="G15956" s="78"/>
    </row>
    <row r="15957" spans="1:11" ht="12.75" hidden="1" customHeight="1" outlineLevel="1" x14ac:dyDescent="0.25">
      <c r="A15957" s="3237" t="s">
        <v>4156</v>
      </c>
      <c r="B15957" s="3237" t="s">
        <v>4153</v>
      </c>
      <c r="C15957" s="3247" t="s">
        <v>112</v>
      </c>
      <c r="D15957" s="3248" t="s">
        <v>4155</v>
      </c>
      <c r="E15957" s="3237" t="s">
        <v>4154</v>
      </c>
      <c r="F15957" s="3277" t="s">
        <v>2519</v>
      </c>
      <c r="G15957" s="78"/>
    </row>
    <row r="15958" spans="1:11" ht="12.75" hidden="1" customHeight="1" outlineLevel="1" x14ac:dyDescent="0.25">
      <c r="A15958" s="2380">
        <v>0.02</v>
      </c>
      <c r="B15958" s="2089" t="s">
        <v>6551</v>
      </c>
      <c r="C15958" s="2108">
        <v>38.453000000000003</v>
      </c>
      <c r="D15958" s="3194">
        <v>169.68</v>
      </c>
      <c r="E15958" s="3195">
        <v>3.4126596104335158</v>
      </c>
      <c r="F15958" s="3193">
        <v>6.8253192208670321E-2</v>
      </c>
      <c r="G15958" s="78"/>
      <c r="H15958" t="s">
        <v>6550</v>
      </c>
      <c r="K15958" s="434"/>
    </row>
    <row r="15959" spans="1:11" ht="12.75" hidden="1" customHeight="1" outlineLevel="1" x14ac:dyDescent="0.25">
      <c r="A15959" s="2380">
        <v>0.02</v>
      </c>
      <c r="B15959" s="1921" t="s">
        <v>8640</v>
      </c>
      <c r="C15959" s="2108">
        <v>43.957000000000001</v>
      </c>
      <c r="D15959" s="3196">
        <v>113.03</v>
      </c>
      <c r="E15959" s="3197">
        <v>1.5713765725595468</v>
      </c>
      <c r="F15959" s="3198">
        <v>3.1427531451190933E-2</v>
      </c>
      <c r="G15959" s="78"/>
      <c r="H15959" t="s">
        <v>8647</v>
      </c>
      <c r="K15959" s="434"/>
    </row>
    <row r="15960" spans="1:11" ht="12.75" hidden="1" customHeight="1" outlineLevel="1" x14ac:dyDescent="0.25">
      <c r="A15960" s="2380">
        <v>0.05</v>
      </c>
      <c r="B15960" s="1921" t="s">
        <v>8641</v>
      </c>
      <c r="C15960" s="2108">
        <v>121.71</v>
      </c>
      <c r="D15960" s="3196">
        <v>573.5</v>
      </c>
      <c r="E15960" s="3197">
        <v>3.7120203763043298</v>
      </c>
      <c r="F15960" s="3198">
        <v>0.18560101881521651</v>
      </c>
      <c r="G15960" s="78"/>
      <c r="H15960" t="s">
        <v>8648</v>
      </c>
      <c r="K15960" s="434"/>
    </row>
    <row r="15961" spans="1:11" ht="12.75" hidden="1" customHeight="1" outlineLevel="1" x14ac:dyDescent="0.25">
      <c r="A15961" s="2380">
        <v>0.08</v>
      </c>
      <c r="B15961" s="1921" t="s">
        <v>951</v>
      </c>
      <c r="C15961" s="2108">
        <v>3805.9</v>
      </c>
      <c r="D15961" s="3196">
        <v>3238</v>
      </c>
      <c r="E15961" s="3197">
        <v>-0.1492156914264694</v>
      </c>
      <c r="F15961" s="3198">
        <v>-1.1937255314117552E-2</v>
      </c>
      <c r="G15961" s="78"/>
      <c r="H15961" t="s">
        <v>952</v>
      </c>
      <c r="K15961" s="434"/>
    </row>
    <row r="15962" spans="1:11" ht="12.75" hidden="1" customHeight="1" outlineLevel="1" x14ac:dyDescent="0.25">
      <c r="A15962" s="2380">
        <v>0.05</v>
      </c>
      <c r="B15962" s="1921" t="s">
        <v>8642</v>
      </c>
      <c r="C15962" s="2108">
        <v>32.911000000000001</v>
      </c>
      <c r="D15962" s="3196">
        <v>47.25</v>
      </c>
      <c r="E15962" s="3197">
        <v>0.43569019476770676</v>
      </c>
      <c r="F15962" s="3198">
        <v>2.1784509738385339E-2</v>
      </c>
      <c r="G15962" s="78"/>
      <c r="H15962" t="s">
        <v>8649</v>
      </c>
      <c r="K15962" s="434"/>
    </row>
    <row r="15963" spans="1:11" ht="12.75" hidden="1" customHeight="1" outlineLevel="1" x14ac:dyDescent="0.25">
      <c r="A15963" s="2380">
        <v>0.08</v>
      </c>
      <c r="B15963" s="1921" t="s">
        <v>160</v>
      </c>
      <c r="C15963" s="2108">
        <v>58.634999999999998</v>
      </c>
      <c r="D15963" s="3196">
        <v>56.37</v>
      </c>
      <c r="E15963" s="3197">
        <v>-3.8628805321053949E-2</v>
      </c>
      <c r="F15963" s="3198">
        <v>-3.0903044256843162E-3</v>
      </c>
      <c r="G15963" s="78"/>
      <c r="H15963" t="s">
        <v>1056</v>
      </c>
      <c r="K15963" s="434"/>
    </row>
    <row r="15964" spans="1:11" ht="12.75" hidden="1" customHeight="1" outlineLevel="1" x14ac:dyDescent="0.25">
      <c r="A15964" s="2380">
        <v>0.05</v>
      </c>
      <c r="B15964" s="1921" t="s">
        <v>7359</v>
      </c>
      <c r="C15964" s="2108">
        <v>4177.1000000000004</v>
      </c>
      <c r="D15964" s="3196">
        <v>7060</v>
      </c>
      <c r="E15964" s="3197">
        <v>0.69016781977927266</v>
      </c>
      <c r="F15964" s="3198">
        <v>3.4508390988963633E-2</v>
      </c>
      <c r="G15964" s="78"/>
      <c r="H15964" t="s">
        <v>7357</v>
      </c>
      <c r="K15964" s="434"/>
    </row>
    <row r="15965" spans="1:11" ht="12.75" hidden="1" customHeight="1" outlineLevel="1" x14ac:dyDescent="0.25">
      <c r="A15965" s="2380">
        <v>0.05</v>
      </c>
      <c r="B15965" s="1921" t="s">
        <v>7695</v>
      </c>
      <c r="C15965" s="2108">
        <v>19.21</v>
      </c>
      <c r="D15965" s="3196">
        <v>32.905000000000001</v>
      </c>
      <c r="E15965" s="3197">
        <v>0.71290994273815711</v>
      </c>
      <c r="F15965" s="3198">
        <v>3.5645497136907858E-2</v>
      </c>
      <c r="G15965" s="78"/>
      <c r="H15965" t="s">
        <v>7690</v>
      </c>
      <c r="K15965" s="434"/>
    </row>
    <row r="15966" spans="1:11" ht="12.75" hidden="1" customHeight="1" outlineLevel="1" x14ac:dyDescent="0.25">
      <c r="A15966" s="2380">
        <v>0.02</v>
      </c>
      <c r="B15966" s="1921" t="s">
        <v>6080</v>
      </c>
      <c r="C15966" s="2108">
        <v>35.597000000000001</v>
      </c>
      <c r="D15966" s="3196">
        <v>31.06</v>
      </c>
      <c r="E15966" s="3197">
        <v>-0.12745456077759365</v>
      </c>
      <c r="F15966" s="3198">
        <v>-2.5490912155518731E-3</v>
      </c>
      <c r="G15966" s="78"/>
      <c r="H15966" t="s">
        <v>6731</v>
      </c>
      <c r="K15966" s="434"/>
    </row>
    <row r="15967" spans="1:11" ht="12.75" hidden="1" customHeight="1" outlineLevel="1" x14ac:dyDescent="0.25">
      <c r="A15967" s="2380">
        <v>0.08</v>
      </c>
      <c r="B15967" s="1921" t="s">
        <v>4292</v>
      </c>
      <c r="C15967" s="2108">
        <v>6588.8</v>
      </c>
      <c r="D15967" s="3196">
        <v>7111</v>
      </c>
      <c r="E15967" s="3197">
        <v>7.9255706653715396E-2</v>
      </c>
      <c r="F15967" s="3198">
        <v>6.3404565322972319E-3</v>
      </c>
      <c r="G15967" s="78"/>
      <c r="H15967" t="s">
        <v>1892</v>
      </c>
      <c r="K15967" s="434"/>
    </row>
    <row r="15968" spans="1:11" ht="12.75" hidden="1" customHeight="1" outlineLevel="1" x14ac:dyDescent="0.25">
      <c r="A15968" s="2380">
        <v>0.05</v>
      </c>
      <c r="B15968" s="1921" t="s">
        <v>8643</v>
      </c>
      <c r="C15968" s="2108">
        <v>24.23253606355928</v>
      </c>
      <c r="D15968" s="3196">
        <v>5.32</v>
      </c>
      <c r="E15968" s="3197">
        <v>-0.78046045258959995</v>
      </c>
      <c r="F15968" s="3198">
        <v>-3.902302262948E-2</v>
      </c>
      <c r="G15968" s="78"/>
      <c r="H15968" t="s">
        <v>8650</v>
      </c>
      <c r="K15968" s="434"/>
    </row>
    <row r="15969" spans="1:11" ht="12.75" hidden="1" customHeight="1" outlineLevel="1" x14ac:dyDescent="0.25">
      <c r="A15969" s="2380">
        <v>0.03</v>
      </c>
      <c r="B15969" s="1921" t="s">
        <v>6057</v>
      </c>
      <c r="C15969" s="2108">
        <v>68.400000000000006</v>
      </c>
      <c r="D15969" s="3196">
        <v>307.26</v>
      </c>
      <c r="E15969" s="3197">
        <v>3.4921052631578942</v>
      </c>
      <c r="F15969" s="3198">
        <v>0.10476315789473682</v>
      </c>
      <c r="G15969" s="78"/>
      <c r="H15969" t="s">
        <v>8270</v>
      </c>
      <c r="K15969" s="434"/>
    </row>
    <row r="15970" spans="1:11" ht="12.75" hidden="1" customHeight="1" outlineLevel="1" x14ac:dyDescent="0.25">
      <c r="A15970" s="2380">
        <v>0.08</v>
      </c>
      <c r="B15970" s="1921" t="s">
        <v>1190</v>
      </c>
      <c r="C15970" s="2519">
        <v>5.6239999999999997</v>
      </c>
      <c r="D15970" s="3196">
        <v>3.8420000000000001</v>
      </c>
      <c r="E15970" s="3197">
        <v>-0.31685633001422464</v>
      </c>
      <c r="F15970" s="3198">
        <v>-2.5348506401137973E-2</v>
      </c>
      <c r="G15970" s="78"/>
      <c r="H15970" t="s">
        <v>7569</v>
      </c>
      <c r="K15970" s="434"/>
    </row>
    <row r="15971" spans="1:11" ht="12.75" hidden="1" customHeight="1" outlineLevel="1" x14ac:dyDescent="0.25">
      <c r="A15971" s="2380">
        <v>0.05</v>
      </c>
      <c r="B15971" s="1921" t="s">
        <v>8644</v>
      </c>
      <c r="C15971" s="2108">
        <v>32.988</v>
      </c>
      <c r="D15971" s="3196">
        <v>277.49</v>
      </c>
      <c r="E15971" s="3197">
        <v>7.4118467321450225</v>
      </c>
      <c r="F15971" s="3198">
        <v>0.37059233660725116</v>
      </c>
      <c r="G15971" s="78"/>
      <c r="H15971" t="s">
        <v>8651</v>
      </c>
      <c r="K15971" s="434"/>
    </row>
    <row r="15972" spans="1:11" ht="12.75" hidden="1" customHeight="1" outlineLevel="1" x14ac:dyDescent="0.25">
      <c r="A15972" s="2380">
        <v>0.05</v>
      </c>
      <c r="B15972" s="1921" t="s">
        <v>8528</v>
      </c>
      <c r="C15972" s="2108">
        <v>9.766</v>
      </c>
      <c r="D15972" s="3196">
        <v>5.77</v>
      </c>
      <c r="E15972" s="3197">
        <v>-0.40917468769199272</v>
      </c>
      <c r="F15972" s="3198">
        <v>-2.0458734384599636E-2</v>
      </c>
      <c r="G15972" s="78"/>
      <c r="H15972" t="s">
        <v>8517</v>
      </c>
      <c r="K15972" s="434"/>
    </row>
    <row r="15973" spans="1:11" ht="12.75" hidden="1" customHeight="1" outlineLevel="1" x14ac:dyDescent="0.25">
      <c r="A15973" s="2380">
        <v>0.05</v>
      </c>
      <c r="B15973" s="1921" t="s">
        <v>6559</v>
      </c>
      <c r="C15973" s="2108">
        <v>56.433</v>
      </c>
      <c r="D15973" s="3196">
        <v>116.8</v>
      </c>
      <c r="E15973" s="3197">
        <v>1.0697109847075295</v>
      </c>
      <c r="F15973" s="3198">
        <v>5.3485549235376476E-2</v>
      </c>
      <c r="G15973" s="78"/>
      <c r="H15973" t="s">
        <v>6558</v>
      </c>
      <c r="K15973" s="434"/>
    </row>
    <row r="15974" spans="1:11" ht="12.75" hidden="1" customHeight="1" outlineLevel="1" x14ac:dyDescent="0.25">
      <c r="A15974" s="2380">
        <v>0.05</v>
      </c>
      <c r="B15974" s="1921" t="s">
        <v>8645</v>
      </c>
      <c r="C15974" s="2108">
        <v>4.2161</v>
      </c>
      <c r="D15974" s="3196">
        <v>5.7420000000000009</v>
      </c>
      <c r="E15974" s="3197">
        <v>0.36192215554659546</v>
      </c>
      <c r="F15974" s="3198">
        <v>1.8096107777329774E-2</v>
      </c>
      <c r="G15974" s="78"/>
      <c r="H15974" t="s">
        <v>8652</v>
      </c>
      <c r="K15974" s="434"/>
    </row>
    <row r="15975" spans="1:11" ht="12.75" hidden="1" customHeight="1" outlineLevel="1" x14ac:dyDescent="0.25">
      <c r="A15975" s="2380">
        <v>0.04</v>
      </c>
      <c r="B15975" s="1921" t="s">
        <v>4294</v>
      </c>
      <c r="C15975" s="2108">
        <v>6.9390000000000001</v>
      </c>
      <c r="D15975" s="3196">
        <v>8.1859999999999999</v>
      </c>
      <c r="E15975" s="3197">
        <v>0.17970889177114846</v>
      </c>
      <c r="F15975" s="3198">
        <v>7.1883556708459383E-3</v>
      </c>
      <c r="G15975" s="78"/>
      <c r="H15975" t="s">
        <v>1894</v>
      </c>
      <c r="K15975" s="434"/>
    </row>
    <row r="15976" spans="1:11" ht="12.75" hidden="1" customHeight="1" outlineLevel="1" x14ac:dyDescent="0.25">
      <c r="A15976" s="2380">
        <v>0.02</v>
      </c>
      <c r="B15976" s="1921" t="s">
        <v>1206</v>
      </c>
      <c r="C15976" s="2108">
        <v>94.259</v>
      </c>
      <c r="D15976" s="3196">
        <v>122.86</v>
      </c>
      <c r="E15976" s="3197">
        <v>0.30342991120211327</v>
      </c>
      <c r="F15976" s="3198">
        <v>6.0685982240422653E-3</v>
      </c>
      <c r="G15976" s="78"/>
      <c r="H15976" t="s">
        <v>3484</v>
      </c>
      <c r="K15976" s="434"/>
    </row>
    <row r="15977" spans="1:11" ht="12.75" hidden="1" customHeight="1" outlineLevel="1" x14ac:dyDescent="0.25">
      <c r="A15977" s="2380">
        <v>0.08</v>
      </c>
      <c r="B15977" s="2109" t="s">
        <v>8646</v>
      </c>
      <c r="C15977" s="2108">
        <v>5107.833333333333</v>
      </c>
      <c r="D15977" s="3199">
        <v>15495</v>
      </c>
      <c r="E15977" s="3197">
        <v>2.0335758801840313</v>
      </c>
      <c r="F15977" s="3198">
        <v>0.16268607041472252</v>
      </c>
      <c r="G15977" s="78"/>
      <c r="H15977" t="s">
        <v>8653</v>
      </c>
      <c r="K15977" s="434"/>
    </row>
    <row r="15978" spans="1:11" ht="12.75" hidden="1" customHeight="1" outlineLevel="1" x14ac:dyDescent="0.25">
      <c r="A15978" s="2181" t="s">
        <v>2734</v>
      </c>
      <c r="B15978" s="2103"/>
      <c r="C15978" s="3200"/>
      <c r="D15978" s="3201"/>
      <c r="E15978" s="3202"/>
      <c r="F15978" s="3193">
        <v>1.0058</v>
      </c>
      <c r="G15978" s="78"/>
    </row>
    <row r="15979" spans="1:11" ht="12.75" hidden="1" customHeight="1" outlineLevel="1" x14ac:dyDescent="0.25">
      <c r="A15979" s="1956" t="s">
        <v>8654</v>
      </c>
      <c r="B15979" s="2185">
        <v>44501</v>
      </c>
      <c r="C15979" s="3203">
        <v>100</v>
      </c>
      <c r="D15979" s="3203">
        <v>240.57429999999999</v>
      </c>
      <c r="E15979" s="3204">
        <v>1.4057429999999997</v>
      </c>
      <c r="F15979" s="3205"/>
      <c r="G15979" s="78"/>
    </row>
    <row r="15980" spans="1:11" ht="12.75" hidden="1" customHeight="1" outlineLevel="1" x14ac:dyDescent="0.25">
      <c r="A15980" s="1956" t="s">
        <v>8655</v>
      </c>
      <c r="B15980" s="2185">
        <v>44531</v>
      </c>
      <c r="C15980" s="3203">
        <v>100</v>
      </c>
      <c r="D15980" s="3206">
        <v>246.66149999999999</v>
      </c>
      <c r="E15980" s="3204">
        <v>1.466615</v>
      </c>
      <c r="F15980" s="3205"/>
      <c r="G15980" s="78"/>
    </row>
    <row r="15981" spans="1:11" ht="12.75" hidden="1" customHeight="1" outlineLevel="1" x14ac:dyDescent="0.25">
      <c r="A15981" s="1956" t="s">
        <v>8656</v>
      </c>
      <c r="B15981" s="2185">
        <v>44562</v>
      </c>
      <c r="C15981" s="3203">
        <v>100</v>
      </c>
      <c r="D15981" s="3206">
        <v>219.96700000000001</v>
      </c>
      <c r="E15981" s="3204">
        <v>1.1996700000000002</v>
      </c>
      <c r="F15981" s="3205"/>
      <c r="G15981" s="78"/>
    </row>
    <row r="15982" spans="1:11" ht="12.75" hidden="1" customHeight="1" outlineLevel="1" x14ac:dyDescent="0.25">
      <c r="A15982" s="1956" t="s">
        <v>8657</v>
      </c>
      <c r="B15982" s="2185">
        <v>44593</v>
      </c>
      <c r="C15982" s="3203">
        <v>100</v>
      </c>
      <c r="D15982" s="3206">
        <v>212.48660000000001</v>
      </c>
      <c r="E15982" s="3204">
        <v>1.1248659999999999</v>
      </c>
      <c r="F15982" s="3205"/>
      <c r="G15982" s="78"/>
    </row>
    <row r="15983" spans="1:11" ht="12.75" hidden="1" customHeight="1" outlineLevel="1" x14ac:dyDescent="0.25">
      <c r="A15983" s="1956" t="s">
        <v>8658</v>
      </c>
      <c r="B15983" s="2185">
        <v>44621</v>
      </c>
      <c r="C15983" s="3203">
        <v>100</v>
      </c>
      <c r="D15983" s="3206">
        <v>220.9513</v>
      </c>
      <c r="E15983" s="3204">
        <v>1.2095129999999998</v>
      </c>
      <c r="F15983" s="3205"/>
      <c r="G15983" s="78"/>
    </row>
    <row r="15984" spans="1:11" ht="12.75" hidden="1" customHeight="1" outlineLevel="1" x14ac:dyDescent="0.25">
      <c r="A15984" s="1956" t="s">
        <v>8659</v>
      </c>
      <c r="B15984" s="2185">
        <v>44652</v>
      </c>
      <c r="C15984" s="3203">
        <v>100</v>
      </c>
      <c r="D15984" s="3206">
        <v>192.4828</v>
      </c>
      <c r="E15984" s="3204">
        <v>0.92482799999999998</v>
      </c>
      <c r="F15984" s="3205"/>
      <c r="G15984" s="78"/>
    </row>
    <row r="15985" spans="1:7" ht="12.75" hidden="1" customHeight="1" outlineLevel="1" x14ac:dyDescent="0.25">
      <c r="A15985" s="1956" t="s">
        <v>8660</v>
      </c>
      <c r="B15985" s="2185">
        <v>44682</v>
      </c>
      <c r="C15985" s="3203">
        <v>100</v>
      </c>
      <c r="D15985" s="3206">
        <v>193.81139999999999</v>
      </c>
      <c r="E15985" s="3204">
        <v>0.93811399999999989</v>
      </c>
      <c r="F15985" s="3205"/>
      <c r="G15985" s="78"/>
    </row>
    <row r="15986" spans="1:7" ht="12.75" hidden="1" customHeight="1" outlineLevel="1" x14ac:dyDescent="0.25">
      <c r="A15986" s="1956" t="s">
        <v>8661</v>
      </c>
      <c r="B15986" s="2185">
        <v>44713</v>
      </c>
      <c r="C15986" s="3203">
        <v>100</v>
      </c>
      <c r="D15986" s="3206">
        <v>169.5864</v>
      </c>
      <c r="E15986" s="3204">
        <v>0.69586400000000004</v>
      </c>
      <c r="F15986" s="3205"/>
      <c r="G15986" s="78"/>
    </row>
    <row r="15987" spans="1:7" ht="12.75" hidden="1" customHeight="1" outlineLevel="1" x14ac:dyDescent="0.25">
      <c r="A15987" s="1956" t="s">
        <v>8662</v>
      </c>
      <c r="B15987" s="2185">
        <v>44743</v>
      </c>
      <c r="C15987" s="3203">
        <v>100</v>
      </c>
      <c r="D15987" s="3206">
        <v>187.67179999999999</v>
      </c>
      <c r="E15987" s="3204">
        <v>0.87671799999999989</v>
      </c>
      <c r="F15987" s="3205"/>
      <c r="G15987" s="78"/>
    </row>
    <row r="15988" spans="1:7" ht="12.75" hidden="1" customHeight="1" outlineLevel="1" x14ac:dyDescent="0.25">
      <c r="A15988" s="1956" t="s">
        <v>8663</v>
      </c>
      <c r="B15988" s="2185">
        <v>44774</v>
      </c>
      <c r="C15988" s="3203">
        <v>100</v>
      </c>
      <c r="D15988" s="3206">
        <v>175.91069999999999</v>
      </c>
      <c r="E15988" s="3204">
        <v>0.75910699999999998</v>
      </c>
      <c r="F15988" s="3205"/>
      <c r="G15988" s="78"/>
    </row>
    <row r="15989" spans="1:7" ht="12.75" hidden="1" customHeight="1" outlineLevel="1" x14ac:dyDescent="0.25">
      <c r="A15989" s="1956" t="s">
        <v>8664</v>
      </c>
      <c r="B15989" s="2185">
        <v>44805</v>
      </c>
      <c r="C15989" s="3203">
        <v>100</v>
      </c>
      <c r="D15989" s="3206">
        <v>152.95910000000001</v>
      </c>
      <c r="E15989" s="3204">
        <v>0.52959100000000014</v>
      </c>
      <c r="F15989" s="3205"/>
      <c r="G15989" s="78"/>
    </row>
    <row r="15990" spans="1:7" ht="12.75" hidden="1" customHeight="1" outlineLevel="1" x14ac:dyDescent="0.25">
      <c r="A15990" s="1956" t="s">
        <v>8665</v>
      </c>
      <c r="B15990" s="2185">
        <v>44835</v>
      </c>
      <c r="C15990" s="3203">
        <v>100</v>
      </c>
      <c r="D15990" s="3206">
        <v>162.6729</v>
      </c>
      <c r="E15990" s="3204">
        <v>0.62672900000000009</v>
      </c>
      <c r="F15990" s="3205"/>
      <c r="G15990" s="78"/>
    </row>
    <row r="15991" spans="1:7" ht="12.75" hidden="1" customHeight="1" outlineLevel="1" x14ac:dyDescent="0.25">
      <c r="A15991" s="1956" t="s">
        <v>8666</v>
      </c>
      <c r="B15991" s="2185">
        <v>44866</v>
      </c>
      <c r="C15991" s="3203">
        <v>100</v>
      </c>
      <c r="D15991" s="3206">
        <v>181.53909999999999</v>
      </c>
      <c r="E15991" s="3204">
        <v>0.81539099999999998</v>
      </c>
      <c r="F15991" s="3205"/>
      <c r="G15991" s="78"/>
    </row>
    <row r="15992" spans="1:7" ht="12.75" hidden="1" customHeight="1" outlineLevel="1" x14ac:dyDescent="0.25">
      <c r="A15992" s="1956" t="s">
        <v>8667</v>
      </c>
      <c r="B15992" s="2185">
        <v>44896</v>
      </c>
      <c r="C15992" s="3203">
        <v>100</v>
      </c>
      <c r="D15992" s="3206">
        <v>163.18530000000001</v>
      </c>
      <c r="E15992" s="3204">
        <v>0.63185300000000022</v>
      </c>
      <c r="F15992" s="3205"/>
      <c r="G15992" s="78"/>
    </row>
    <row r="15993" spans="1:7" ht="12.75" hidden="1" customHeight="1" outlineLevel="1" x14ac:dyDescent="0.25">
      <c r="A15993" s="1956" t="s">
        <v>8668</v>
      </c>
      <c r="B15993" s="2185">
        <v>44927</v>
      </c>
      <c r="C15993" s="3203">
        <v>100</v>
      </c>
      <c r="D15993" s="3206">
        <v>185.32169999999999</v>
      </c>
      <c r="E15993" s="3204">
        <v>0.85321699999999989</v>
      </c>
      <c r="F15993" s="3205"/>
      <c r="G15993" s="78"/>
    </row>
    <row r="15994" spans="1:7" ht="12.75" hidden="1" customHeight="1" outlineLevel="1" x14ac:dyDescent="0.25">
      <c r="A15994" s="1956" t="s">
        <v>8669</v>
      </c>
      <c r="B15994" s="2185">
        <v>44958</v>
      </c>
      <c r="C15994" s="3203">
        <v>100</v>
      </c>
      <c r="D15994" s="3206">
        <v>189.26750000000001</v>
      </c>
      <c r="E15994" s="3204">
        <v>0.89267500000000011</v>
      </c>
      <c r="F15994" s="3205"/>
      <c r="G15994" s="78"/>
    </row>
    <row r="15995" spans="1:7" ht="12.75" hidden="1" customHeight="1" outlineLevel="1" x14ac:dyDescent="0.25">
      <c r="A15995" s="1956" t="s">
        <v>8670</v>
      </c>
      <c r="B15995" s="2185">
        <v>44986</v>
      </c>
      <c r="C15995" s="3203">
        <v>100</v>
      </c>
      <c r="D15995" s="3206">
        <v>205.49199999999999</v>
      </c>
      <c r="E15995" s="3204">
        <v>1.0549200000000001</v>
      </c>
      <c r="F15995" s="3205"/>
      <c r="G15995" s="78"/>
    </row>
    <row r="15996" spans="1:7" ht="12.75" hidden="1" customHeight="1" outlineLevel="1" x14ac:dyDescent="0.25">
      <c r="A15996" s="1956" t="s">
        <v>8671</v>
      </c>
      <c r="B15996" s="2185">
        <v>45017</v>
      </c>
      <c r="C15996" s="3203">
        <v>100</v>
      </c>
      <c r="D15996" s="3206">
        <v>200.5823</v>
      </c>
      <c r="E15996" s="3204">
        <v>1.0058229999999999</v>
      </c>
      <c r="F15996" s="3205"/>
      <c r="G15996" s="78"/>
    </row>
    <row r="15997" spans="1:7" ht="12.75" hidden="1" customHeight="1" outlineLevel="1" x14ac:dyDescent="0.25">
      <c r="A15997" s="2189" t="s">
        <v>2734</v>
      </c>
      <c r="B15997" s="2190"/>
      <c r="C15997" s="3206"/>
      <c r="D15997" s="2191" t="s">
        <v>2465</v>
      </c>
      <c r="E15997" s="1987">
        <v>0.94506872222222205</v>
      </c>
      <c r="F15997" s="2192">
        <v>0.94506872222222205</v>
      </c>
      <c r="G15997" s="78"/>
    </row>
    <row r="15998" spans="1:7" collapsed="1" x14ac:dyDescent="0.25">
      <c r="A15998" s="3801" t="s">
        <v>8599</v>
      </c>
      <c r="B15998" s="3802"/>
      <c r="C15998" s="3802"/>
      <c r="D15998" s="3802"/>
      <c r="E15998" s="1906"/>
      <c r="F15998" s="1907">
        <v>0.4</v>
      </c>
      <c r="G15998" s="78"/>
    </row>
    <row r="16000" spans="1:7" ht="12.75" hidden="1" customHeight="1" outlineLevel="1" x14ac:dyDescent="0.25">
      <c r="A16000" s="3237" t="s">
        <v>113</v>
      </c>
      <c r="B16000" s="3237" t="s">
        <v>114</v>
      </c>
      <c r="C16000" s="3237" t="s">
        <v>112</v>
      </c>
      <c r="D16000" s="3237" t="s">
        <v>116</v>
      </c>
      <c r="E16000" s="3237" t="s">
        <v>117</v>
      </c>
      <c r="F16000" s="3276" t="s">
        <v>121</v>
      </c>
      <c r="G16000" s="78"/>
    </row>
    <row r="16001" spans="1:11" ht="12.75" hidden="1" customHeight="1" outlineLevel="1" x14ac:dyDescent="0.25">
      <c r="A16001" s="3238">
        <v>1</v>
      </c>
      <c r="B16001" s="3239" t="s">
        <v>252</v>
      </c>
      <c r="C16001" s="3240">
        <v>100</v>
      </c>
      <c r="D16001" s="3240"/>
      <c r="E16001" s="3241"/>
      <c r="F16001" s="3242"/>
      <c r="G16001" s="78"/>
    </row>
    <row r="16002" spans="1:11" ht="12.75" hidden="1" customHeight="1" outlineLevel="1" x14ac:dyDescent="0.25">
      <c r="A16002" s="3243" t="s">
        <v>2734</v>
      </c>
      <c r="B16002" s="3243"/>
      <c r="C16002" s="3244"/>
      <c r="D16002" s="1900" t="s">
        <v>3702</v>
      </c>
      <c r="E16002" s="3245">
        <v>44712</v>
      </c>
      <c r="F16002" s="3246"/>
      <c r="G16002" s="78"/>
    </row>
    <row r="16003" spans="1:11" ht="12.75" hidden="1" customHeight="1" outlineLevel="1" x14ac:dyDescent="0.25">
      <c r="A16003" s="3237" t="s">
        <v>4156</v>
      </c>
      <c r="B16003" s="3237" t="s">
        <v>4153</v>
      </c>
      <c r="C16003" s="3247" t="s">
        <v>112</v>
      </c>
      <c r="D16003" s="3248" t="s">
        <v>4155</v>
      </c>
      <c r="E16003" s="3237" t="s">
        <v>4154</v>
      </c>
      <c r="F16003" s="3277" t="s">
        <v>2519</v>
      </c>
      <c r="G16003" s="78"/>
    </row>
    <row r="16004" spans="1:11" ht="12.75" hidden="1" customHeight="1" outlineLevel="1" x14ac:dyDescent="0.25">
      <c r="A16004" s="1991">
        <v>0.02</v>
      </c>
      <c r="B16004" s="1921" t="s">
        <v>359</v>
      </c>
      <c r="C16004" s="2108">
        <v>171.84</v>
      </c>
      <c r="D16004" s="3194">
        <v>195.02</v>
      </c>
      <c r="E16004" s="3195">
        <v>0.13489292364990702</v>
      </c>
      <c r="F16004" s="3193">
        <v>2.6978584729981402E-3</v>
      </c>
      <c r="G16004" s="78"/>
      <c r="H16004" t="s">
        <v>360</v>
      </c>
      <c r="K16004" s="434"/>
    </row>
    <row r="16005" spans="1:11" ht="12.75" hidden="1" customHeight="1" outlineLevel="1" x14ac:dyDescent="0.25">
      <c r="A16005" s="2380">
        <v>0.02</v>
      </c>
      <c r="B16005" s="1921" t="s">
        <v>7753</v>
      </c>
      <c r="C16005" s="2108">
        <v>146.83000000000001</v>
      </c>
      <c r="D16005" s="3196">
        <v>163</v>
      </c>
      <c r="E16005" s="3197">
        <v>0.11012735816931141</v>
      </c>
      <c r="F16005" s="3198">
        <v>2.2025471633862282E-3</v>
      </c>
      <c r="G16005" s="78"/>
      <c r="H16005" t="s">
        <v>8901</v>
      </c>
      <c r="K16005" s="434"/>
    </row>
    <row r="16006" spans="1:11" ht="12.75" hidden="1" customHeight="1" outlineLevel="1" x14ac:dyDescent="0.25">
      <c r="A16006" s="2380">
        <v>0.05</v>
      </c>
      <c r="B16006" s="1921" t="s">
        <v>807</v>
      </c>
      <c r="C16006" s="2108">
        <v>60.820999999999998</v>
      </c>
      <c r="D16006" s="3196">
        <v>68.91</v>
      </c>
      <c r="E16006" s="3197">
        <v>0.13299682675391722</v>
      </c>
      <c r="F16006" s="3198">
        <v>6.6498413376958609E-3</v>
      </c>
      <c r="G16006" s="78"/>
      <c r="H16006" t="s">
        <v>808</v>
      </c>
      <c r="K16006" s="434"/>
    </row>
    <row r="16007" spans="1:11" ht="12.75" hidden="1" customHeight="1" outlineLevel="1" x14ac:dyDescent="0.25">
      <c r="A16007" s="2380">
        <v>0.02</v>
      </c>
      <c r="B16007" s="1921" t="s">
        <v>3954</v>
      </c>
      <c r="C16007" s="2108">
        <v>53.505499999999998</v>
      </c>
      <c r="D16007" s="3196">
        <v>69.58</v>
      </c>
      <c r="E16007" s="3197">
        <v>0.30042705890048693</v>
      </c>
      <c r="F16007" s="3198">
        <v>6.0085411780097389E-3</v>
      </c>
      <c r="G16007" s="78"/>
      <c r="H16007" t="s">
        <v>3955</v>
      </c>
      <c r="K16007" s="434"/>
    </row>
    <row r="16008" spans="1:11" ht="12.75" hidden="1" customHeight="1" outlineLevel="1" x14ac:dyDescent="0.25">
      <c r="A16008" s="2380">
        <v>0.02</v>
      </c>
      <c r="B16008" s="1921" t="s">
        <v>7114</v>
      </c>
      <c r="C16008" s="2108">
        <v>116.676</v>
      </c>
      <c r="D16008" s="3196">
        <v>198.83</v>
      </c>
      <c r="E16008" s="3197">
        <v>0.70412081319208752</v>
      </c>
      <c r="F16008" s="3198">
        <v>1.4082416263841751E-2</v>
      </c>
      <c r="G16008" s="78"/>
      <c r="H16008" t="s">
        <v>7115</v>
      </c>
      <c r="K16008" s="434"/>
    </row>
    <row r="16009" spans="1:11" ht="12.75" hidden="1" customHeight="1" outlineLevel="1" x14ac:dyDescent="0.25">
      <c r="A16009" s="2380">
        <v>0.02</v>
      </c>
      <c r="B16009" s="1921" t="s">
        <v>6267</v>
      </c>
      <c r="C16009" s="2108">
        <v>25.381499999999999</v>
      </c>
      <c r="D16009" s="3196">
        <v>21.31</v>
      </c>
      <c r="E16009" s="3197">
        <v>-0.1604121111833422</v>
      </c>
      <c r="F16009" s="3198">
        <v>-3.2082422236668442E-3</v>
      </c>
      <c r="G16009" s="78"/>
      <c r="H16009" t="s">
        <v>6268</v>
      </c>
      <c r="K16009" s="434"/>
    </row>
    <row r="16010" spans="1:11" ht="12.75" hidden="1" customHeight="1" outlineLevel="1" x14ac:dyDescent="0.25">
      <c r="A16010" s="2380">
        <v>0.02</v>
      </c>
      <c r="B16010" s="1921" t="s">
        <v>5911</v>
      </c>
      <c r="C16010" s="2108">
        <v>64.980999999999995</v>
      </c>
      <c r="D16010" s="3196">
        <v>76.83</v>
      </c>
      <c r="E16010" s="3197">
        <v>0.18234560871639416</v>
      </c>
      <c r="F16010" s="3198">
        <v>3.6469121743278833E-3</v>
      </c>
      <c r="G16010" s="78"/>
      <c r="H16010" t="s">
        <v>5902</v>
      </c>
      <c r="K16010" s="434"/>
    </row>
    <row r="16011" spans="1:11" ht="12.75" hidden="1" customHeight="1" outlineLevel="1" x14ac:dyDescent="0.25">
      <c r="A16011" s="2380">
        <v>0.02</v>
      </c>
      <c r="B16011" s="1921" t="s">
        <v>4268</v>
      </c>
      <c r="C16011" s="2108">
        <v>13.911</v>
      </c>
      <c r="D16011" s="3196">
        <v>17.2</v>
      </c>
      <c r="E16011" s="3197">
        <v>0.23643160089138093</v>
      </c>
      <c r="F16011" s="3198">
        <v>4.7286320178276187E-3</v>
      </c>
      <c r="G16011" s="78"/>
      <c r="H16011" t="s">
        <v>8442</v>
      </c>
      <c r="K16011" s="434"/>
    </row>
    <row r="16012" spans="1:11" ht="12.75" hidden="1" customHeight="1" outlineLevel="1" x14ac:dyDescent="0.25">
      <c r="A16012" s="2380">
        <v>0.02</v>
      </c>
      <c r="B16012" s="1921" t="s">
        <v>3799</v>
      </c>
      <c r="C16012" s="2108">
        <v>16.4605</v>
      </c>
      <c r="D16012" s="3196">
        <v>17.326000000000001</v>
      </c>
      <c r="E16012" s="3197">
        <v>5.2580419792837452E-2</v>
      </c>
      <c r="F16012" s="3198">
        <v>1.051608395856749E-3</v>
      </c>
      <c r="G16012" s="78"/>
      <c r="H16012" t="s">
        <v>4128</v>
      </c>
      <c r="K16012" s="434"/>
    </row>
    <row r="16013" spans="1:11" ht="12.75" hidden="1" customHeight="1" outlineLevel="1" x14ac:dyDescent="0.25">
      <c r="A16013" s="2380">
        <v>0.02</v>
      </c>
      <c r="B16013" s="1921" t="s">
        <v>1031</v>
      </c>
      <c r="C16013" s="2108">
        <v>6.8482000000000003</v>
      </c>
      <c r="D16013" s="3196">
        <v>11.035</v>
      </c>
      <c r="E16013" s="3197">
        <v>0.61137233141555436</v>
      </c>
      <c r="F16013" s="3198">
        <v>1.2227446628311087E-2</v>
      </c>
      <c r="G16013" s="78"/>
      <c r="H16013" t="s">
        <v>7872</v>
      </c>
      <c r="K16013" s="434"/>
    </row>
    <row r="16014" spans="1:11" ht="12.75" hidden="1" customHeight="1" outlineLevel="1" x14ac:dyDescent="0.25">
      <c r="A16014" s="2380">
        <v>0.02</v>
      </c>
      <c r="B16014" s="1921" t="s">
        <v>4143</v>
      </c>
      <c r="C16014" s="2108">
        <v>2.9095712871398076</v>
      </c>
      <c r="D16014" s="3196">
        <v>3.3929999999999998</v>
      </c>
      <c r="E16014" s="3197">
        <v>0.16615118350835001</v>
      </c>
      <c r="F16014" s="3198">
        <v>3.3230236701670001E-3</v>
      </c>
      <c r="G16014" s="78"/>
      <c r="H16014" t="s">
        <v>4144</v>
      </c>
      <c r="K16014" s="434"/>
    </row>
    <row r="16015" spans="1:11" ht="12.75" hidden="1" customHeight="1" outlineLevel="1" x14ac:dyDescent="0.25">
      <c r="A16015" s="2380">
        <v>0.02</v>
      </c>
      <c r="B16015" s="1921" t="s">
        <v>1772</v>
      </c>
      <c r="C16015" s="2108">
        <v>174.01499999999999</v>
      </c>
      <c r="D16015" s="3196">
        <v>227.7</v>
      </c>
      <c r="E16015" s="3197">
        <v>0.30850788725109912</v>
      </c>
      <c r="F16015" s="3198">
        <v>6.1701577450219824E-3</v>
      </c>
      <c r="G16015" s="78"/>
      <c r="H16015" t="s">
        <v>4330</v>
      </c>
      <c r="K16015" s="434"/>
    </row>
    <row r="16016" spans="1:11" ht="12.75" hidden="1" customHeight="1" outlineLevel="1" x14ac:dyDescent="0.25">
      <c r="A16016" s="2380">
        <v>0.08</v>
      </c>
      <c r="B16016" s="1921" t="s">
        <v>8336</v>
      </c>
      <c r="C16016" s="2519">
        <v>31.327999999999999</v>
      </c>
      <c r="D16016" s="3196">
        <v>31.26</v>
      </c>
      <c r="E16016" s="3197">
        <v>-2.170582226761919E-3</v>
      </c>
      <c r="F16016" s="3198">
        <v>-1.7364657814095352E-4</v>
      </c>
      <c r="G16016" s="78"/>
      <c r="H16016" t="s">
        <v>8337</v>
      </c>
      <c r="K16016" s="434"/>
    </row>
    <row r="16017" spans="1:11" ht="12.75" hidden="1" customHeight="1" outlineLevel="1" x14ac:dyDescent="0.25">
      <c r="A16017" s="2380">
        <v>0.02</v>
      </c>
      <c r="B16017" s="1921" t="s">
        <v>7754</v>
      </c>
      <c r="C16017" s="2108">
        <v>52.972000000000001</v>
      </c>
      <c r="D16017" s="3196">
        <v>97.08</v>
      </c>
      <c r="E16017" s="3197">
        <v>0.83266631427924187</v>
      </c>
      <c r="F16017" s="3198">
        <v>1.6653326285584837E-2</v>
      </c>
      <c r="G16017" s="78"/>
      <c r="H16017" t="s">
        <v>7751</v>
      </c>
      <c r="K16017" s="434"/>
    </row>
    <row r="16018" spans="1:11" ht="12.75" hidden="1" customHeight="1" outlineLevel="1" x14ac:dyDescent="0.25">
      <c r="A16018" s="2380">
        <v>0.03</v>
      </c>
      <c r="B16018" s="1921" t="s">
        <v>2786</v>
      </c>
      <c r="C16018" s="2108">
        <v>10.548500000000001</v>
      </c>
      <c r="D16018" s="3196">
        <v>11.71</v>
      </c>
      <c r="E16018" s="3197">
        <v>0.11011044224297284</v>
      </c>
      <c r="F16018" s="3198">
        <v>3.3033132672891851E-3</v>
      </c>
      <c r="G16018" s="78"/>
      <c r="H16018" t="s">
        <v>4195</v>
      </c>
      <c r="K16018" s="434"/>
    </row>
    <row r="16019" spans="1:11" ht="12.75" hidden="1" customHeight="1" outlineLevel="1" x14ac:dyDescent="0.25">
      <c r="A16019" s="2380">
        <v>0.02</v>
      </c>
      <c r="B16019" s="1921" t="s">
        <v>1203</v>
      </c>
      <c r="C16019" s="2108">
        <v>112.92</v>
      </c>
      <c r="D16019" s="3196">
        <v>99.22</v>
      </c>
      <c r="E16019" s="3197">
        <v>-0.12132483173928443</v>
      </c>
      <c r="F16019" s="3198">
        <v>-2.4264966347856886E-3</v>
      </c>
      <c r="G16019" s="78"/>
      <c r="H16019" t="s">
        <v>79</v>
      </c>
      <c r="K16019" s="434"/>
    </row>
    <row r="16020" spans="1:11" ht="12.75" hidden="1" customHeight="1" outlineLevel="1" x14ac:dyDescent="0.25">
      <c r="A16020" s="2380">
        <v>0.05</v>
      </c>
      <c r="B16020" s="1921" t="s">
        <v>3793</v>
      </c>
      <c r="C16020" s="2108">
        <v>113.43600000000001</v>
      </c>
      <c r="D16020" s="3196">
        <v>106.25</v>
      </c>
      <c r="E16020" s="3197">
        <v>-6.3348496068267646E-2</v>
      </c>
      <c r="F16020" s="3198">
        <v>-3.1674248034133825E-3</v>
      </c>
      <c r="G16020" s="78"/>
      <c r="H16020" t="s">
        <v>3533</v>
      </c>
      <c r="K16020" s="434"/>
    </row>
    <row r="16021" spans="1:11" ht="12.75" hidden="1" customHeight="1" outlineLevel="1" x14ac:dyDescent="0.25">
      <c r="A16021" s="2380">
        <v>0.02</v>
      </c>
      <c r="B16021" s="1921" t="s">
        <v>2769</v>
      </c>
      <c r="C16021" s="2108">
        <v>38.789000000000001</v>
      </c>
      <c r="D16021" s="3196">
        <v>30.18</v>
      </c>
      <c r="E16021" s="3197">
        <v>-0.22194436567067988</v>
      </c>
      <c r="F16021" s="3198">
        <v>-4.4388873134135979E-3</v>
      </c>
      <c r="G16021" s="78"/>
      <c r="H16021" t="s">
        <v>2770</v>
      </c>
      <c r="K16021" s="434"/>
    </row>
    <row r="16022" spans="1:11" ht="12.75" hidden="1" customHeight="1" outlineLevel="1" x14ac:dyDescent="0.25">
      <c r="A16022" s="2380">
        <v>0.02</v>
      </c>
      <c r="B16022" s="1921" t="s">
        <v>10667</v>
      </c>
      <c r="C16022" s="2108">
        <v>21.345500000000001</v>
      </c>
      <c r="D16022" s="3196">
        <v>23.765000000000001</v>
      </c>
      <c r="E16022" s="3197">
        <v>0.113349417910098</v>
      </c>
      <c r="F16022" s="3198">
        <v>2.26698835820196E-3</v>
      </c>
      <c r="G16022" s="78"/>
      <c r="H16022" t="s">
        <v>10668</v>
      </c>
      <c r="K16022" s="434"/>
    </row>
    <row r="16023" spans="1:11" ht="12.75" hidden="1" customHeight="1" outlineLevel="1" x14ac:dyDescent="0.25">
      <c r="A16023" s="2380">
        <v>0.02</v>
      </c>
      <c r="B16023" s="1921" t="s">
        <v>6270</v>
      </c>
      <c r="C16023" s="2108">
        <v>42.295587334998331</v>
      </c>
      <c r="D16023" s="3196">
        <v>42.08</v>
      </c>
      <c r="E16023" s="3197">
        <v>-5.0971590320000315E-3</v>
      </c>
      <c r="F16023" s="3198">
        <v>-1.0194318064000063E-4</v>
      </c>
      <c r="G16023" s="78"/>
      <c r="H16023" t="s">
        <v>8166</v>
      </c>
      <c r="K16023" s="434"/>
    </row>
    <row r="16024" spans="1:11" ht="12.75" hidden="1" customHeight="1" outlineLevel="1" x14ac:dyDescent="0.25">
      <c r="A16024" s="2380">
        <v>0.02</v>
      </c>
      <c r="B16024" s="1921" t="s">
        <v>6524</v>
      </c>
      <c r="C16024" s="2108">
        <v>105.08615243882393</v>
      </c>
      <c r="D16024" s="3196">
        <v>107.8</v>
      </c>
      <c r="E16024" s="3197">
        <v>2.5824977869999932E-2</v>
      </c>
      <c r="F16024" s="3198">
        <v>5.1649955739999868E-4</v>
      </c>
      <c r="G16024" s="78"/>
      <c r="H16024" t="s">
        <v>6525</v>
      </c>
      <c r="K16024" s="434"/>
    </row>
    <row r="16025" spans="1:11" ht="12.75" hidden="1" customHeight="1" outlineLevel="1" x14ac:dyDescent="0.25">
      <c r="A16025" s="2380">
        <v>0.05</v>
      </c>
      <c r="B16025" s="1921" t="s">
        <v>6116</v>
      </c>
      <c r="C16025" s="2108">
        <v>4.2542</v>
      </c>
      <c r="D16025" s="3196">
        <v>5.41</v>
      </c>
      <c r="E16025" s="3197">
        <v>0.27168445301114197</v>
      </c>
      <c r="F16025" s="3198">
        <v>1.3584222650557099E-2</v>
      </c>
      <c r="G16025" s="78"/>
      <c r="H16025" t="s">
        <v>6114</v>
      </c>
      <c r="K16025" s="434"/>
    </row>
    <row r="16026" spans="1:11" ht="12.75" hidden="1" customHeight="1" outlineLevel="1" x14ac:dyDescent="0.25">
      <c r="A16026" s="2380">
        <v>0.02</v>
      </c>
      <c r="B16026" s="1921" t="s">
        <v>10538</v>
      </c>
      <c r="C16026" s="2108">
        <v>14.04701819193436</v>
      </c>
      <c r="D16026" s="3196">
        <v>11.35</v>
      </c>
      <c r="E16026" s="3197">
        <v>-0.19199933787250001</v>
      </c>
      <c r="F16026" s="3198">
        <v>-3.8399867574500004E-3</v>
      </c>
      <c r="G16026" s="78"/>
      <c r="H16026" t="s">
        <v>7628</v>
      </c>
      <c r="K16026" s="434"/>
    </row>
    <row r="16027" spans="1:11" ht="12.75" hidden="1" customHeight="1" outlineLevel="1" x14ac:dyDescent="0.25">
      <c r="A16027" s="2380">
        <v>0.08</v>
      </c>
      <c r="B16027" s="1921" t="s">
        <v>1724</v>
      </c>
      <c r="C16027" s="2108">
        <v>209.21077749947921</v>
      </c>
      <c r="D16027" s="3196">
        <v>147.55000000000001</v>
      </c>
      <c r="E16027" s="3197">
        <v>-0.29473040651374993</v>
      </c>
      <c r="F16027" s="3198">
        <v>-2.3578432521099996E-2</v>
      </c>
      <c r="G16027" s="78"/>
      <c r="H16027" t="s">
        <v>1725</v>
      </c>
      <c r="K16027" s="434"/>
    </row>
    <row r="16028" spans="1:11" ht="12.75" hidden="1" customHeight="1" outlineLevel="1" x14ac:dyDescent="0.25">
      <c r="A16028" s="2380">
        <v>0.02</v>
      </c>
      <c r="B16028" s="1921" t="s">
        <v>8338</v>
      </c>
      <c r="C16028" s="2108">
        <v>74.954999999999998</v>
      </c>
      <c r="D16028" s="3196">
        <v>47.7</v>
      </c>
      <c r="E16028" s="3197">
        <v>-0.36361817090254145</v>
      </c>
      <c r="F16028" s="3198">
        <v>-7.2723634180508288E-3</v>
      </c>
      <c r="G16028" s="78"/>
      <c r="H16028" t="s">
        <v>8339</v>
      </c>
      <c r="K16028" s="434"/>
    </row>
    <row r="16029" spans="1:11" ht="12.75" hidden="1" customHeight="1" outlineLevel="1" x14ac:dyDescent="0.25">
      <c r="A16029" s="2380">
        <v>0.08</v>
      </c>
      <c r="B16029" s="1921" t="s">
        <v>6118</v>
      </c>
      <c r="C16029" s="2108">
        <v>88.7</v>
      </c>
      <c r="D16029" s="3196">
        <v>78.92</v>
      </c>
      <c r="E16029" s="3197">
        <v>-0.1102593010146562</v>
      </c>
      <c r="F16029" s="3198">
        <v>-8.820744081172496E-3</v>
      </c>
      <c r="G16029" s="78"/>
      <c r="H16029" t="s">
        <v>8893</v>
      </c>
      <c r="K16029" s="434"/>
    </row>
    <row r="16030" spans="1:11" ht="12.75" hidden="1" customHeight="1" outlineLevel="1" x14ac:dyDescent="0.25">
      <c r="A16030" s="2380">
        <v>0.08</v>
      </c>
      <c r="B16030" s="1921" t="s">
        <v>1239</v>
      </c>
      <c r="C16030" s="2108">
        <v>457.05</v>
      </c>
      <c r="D16030" s="3196">
        <v>566.79999999999995</v>
      </c>
      <c r="E16030" s="3197">
        <v>0.24012690077672016</v>
      </c>
      <c r="F16030" s="3198">
        <v>1.9210152062137612E-2</v>
      </c>
      <c r="G16030" s="78"/>
      <c r="H16030" t="s">
        <v>8891</v>
      </c>
      <c r="K16030" s="434"/>
    </row>
    <row r="16031" spans="1:11" ht="12.75" hidden="1" customHeight="1" outlineLevel="1" x14ac:dyDescent="0.25">
      <c r="A16031" s="2380">
        <v>0.08</v>
      </c>
      <c r="B16031" s="1921" t="s">
        <v>6945</v>
      </c>
      <c r="C16031" s="2108">
        <v>72.964751501975755</v>
      </c>
      <c r="D16031" s="3196">
        <v>119.45</v>
      </c>
      <c r="E16031" s="3197">
        <v>0.63709184971000021</v>
      </c>
      <c r="F16031" s="3198">
        <v>5.0967347976800019E-2</v>
      </c>
      <c r="G16031" s="78"/>
      <c r="H16031" t="s">
        <v>6943</v>
      </c>
      <c r="K16031" s="434"/>
    </row>
    <row r="16032" spans="1:11" ht="12.75" hidden="1" customHeight="1" outlineLevel="1" x14ac:dyDescent="0.25">
      <c r="A16032" s="2380">
        <v>0.02</v>
      </c>
      <c r="B16032" s="1921" t="s">
        <v>10633</v>
      </c>
      <c r="C16032" s="2108">
        <v>48.277000000000001</v>
      </c>
      <c r="D16032" s="3196">
        <v>55.59</v>
      </c>
      <c r="E16032" s="3197">
        <v>0.15148000082855195</v>
      </c>
      <c r="F16032" s="3198">
        <v>3.0296000165710392E-3</v>
      </c>
      <c r="G16032" s="78"/>
      <c r="H16032" t="s">
        <v>10634</v>
      </c>
      <c r="K16032" s="434"/>
    </row>
    <row r="16033" spans="1:21" ht="12.75" hidden="1" customHeight="1" outlineLevel="1" x14ac:dyDescent="0.25">
      <c r="A16033" s="2380">
        <v>0.02</v>
      </c>
      <c r="B16033" s="2109" t="s">
        <v>255</v>
      </c>
      <c r="C16033" s="2108">
        <v>45.482999999999997</v>
      </c>
      <c r="D16033" s="3199">
        <v>51.29</v>
      </c>
      <c r="E16033" s="3197">
        <v>0.1276740760284063</v>
      </c>
      <c r="F16033" s="3198">
        <v>2.5534815205681262E-3</v>
      </c>
      <c r="G16033" s="78"/>
      <c r="H16033" t="s">
        <v>3351</v>
      </c>
      <c r="K16033" s="434"/>
    </row>
    <row r="16034" spans="1:21" ht="12.75" hidden="1" customHeight="1" outlineLevel="1" x14ac:dyDescent="0.25">
      <c r="A16034" s="2181" t="s">
        <v>2734</v>
      </c>
      <c r="B16034" s="2103"/>
      <c r="C16034" s="3200"/>
      <c r="D16034" s="3201"/>
      <c r="E16034" s="3202"/>
      <c r="F16034" s="3193">
        <v>0.11784574923072015</v>
      </c>
      <c r="G16034" s="78"/>
    </row>
    <row r="16035" spans="1:21" ht="12.75" hidden="1" customHeight="1" outlineLevel="1" x14ac:dyDescent="0.25">
      <c r="A16035" s="1956" t="s">
        <v>8672</v>
      </c>
      <c r="B16035" s="2185">
        <v>44531</v>
      </c>
      <c r="C16035" s="3203">
        <v>100</v>
      </c>
      <c r="D16035" s="3203">
        <v>112.3355</v>
      </c>
      <c r="E16035" s="3204">
        <v>0.12335499999999988</v>
      </c>
      <c r="F16035" s="3205"/>
      <c r="G16035" s="78"/>
    </row>
    <row r="16036" spans="1:21" ht="12.75" hidden="1" customHeight="1" outlineLevel="1" x14ac:dyDescent="0.25">
      <c r="A16036" s="1956" t="s">
        <v>8673</v>
      </c>
      <c r="B16036" s="2185">
        <v>44562</v>
      </c>
      <c r="C16036" s="3203">
        <v>100</v>
      </c>
      <c r="D16036" s="3206">
        <v>114.6906</v>
      </c>
      <c r="E16036" s="3204">
        <v>0.14690599999999998</v>
      </c>
      <c r="F16036" s="3205"/>
      <c r="G16036" s="78"/>
    </row>
    <row r="16037" spans="1:21" ht="12.75" hidden="1" customHeight="1" outlineLevel="1" x14ac:dyDescent="0.25">
      <c r="A16037" s="1956" t="s">
        <v>8674</v>
      </c>
      <c r="B16037" s="2185">
        <v>44593</v>
      </c>
      <c r="C16037" s="3203">
        <v>100</v>
      </c>
      <c r="D16037" s="3206">
        <v>110.267</v>
      </c>
      <c r="E16037" s="3204">
        <v>0.10267000000000004</v>
      </c>
      <c r="F16037" s="3205"/>
      <c r="G16037" s="78"/>
    </row>
    <row r="16038" spans="1:21" ht="12.75" hidden="1" customHeight="1" outlineLevel="1" x14ac:dyDescent="0.25">
      <c r="A16038" s="1956" t="s">
        <v>8675</v>
      </c>
      <c r="B16038" s="2185">
        <v>44621</v>
      </c>
      <c r="C16038" s="3203">
        <v>100</v>
      </c>
      <c r="D16038" s="3206">
        <v>112.8847</v>
      </c>
      <c r="E16038" s="3204">
        <v>0.12884699999999993</v>
      </c>
      <c r="F16038" s="3205"/>
      <c r="G16038" s="78"/>
    </row>
    <row r="16039" spans="1:21" ht="12.75" hidden="1" customHeight="1" outlineLevel="1" x14ac:dyDescent="0.25">
      <c r="A16039" s="1956" t="s">
        <v>8676</v>
      </c>
      <c r="B16039" s="2185">
        <v>44652</v>
      </c>
      <c r="C16039" s="3203">
        <v>100</v>
      </c>
      <c r="D16039" s="3206">
        <v>113.13079999999999</v>
      </c>
      <c r="E16039" s="3204">
        <v>0.13130799999999998</v>
      </c>
      <c r="F16039" s="3205"/>
      <c r="G16039" s="78"/>
    </row>
    <row r="16040" spans="1:21" ht="12.75" hidden="1" customHeight="1" outlineLevel="1" x14ac:dyDescent="0.25">
      <c r="A16040" s="1956" t="s">
        <v>8677</v>
      </c>
      <c r="B16040" s="2185">
        <v>44682</v>
      </c>
      <c r="C16040" s="3203">
        <v>100</v>
      </c>
      <c r="D16040" s="3206">
        <v>111.7846</v>
      </c>
      <c r="E16040" s="3204">
        <v>0.1178459999999999</v>
      </c>
      <c r="F16040" s="3205"/>
      <c r="G16040" s="78"/>
    </row>
    <row r="16041" spans="1:21" ht="12.75" hidden="1" customHeight="1" outlineLevel="1" x14ac:dyDescent="0.25">
      <c r="A16041" s="2189" t="s">
        <v>2734</v>
      </c>
      <c r="B16041" s="2190"/>
      <c r="C16041" s="3206"/>
      <c r="D16041" s="2191" t="s">
        <v>2465</v>
      </c>
      <c r="E16041" s="1987">
        <v>0.12515533333333329</v>
      </c>
      <c r="F16041" s="2192">
        <v>0.15</v>
      </c>
      <c r="G16041" s="78"/>
    </row>
    <row r="16042" spans="1:21" collapsed="1" x14ac:dyDescent="0.25">
      <c r="A16042" s="3801" t="s">
        <v>8601</v>
      </c>
      <c r="B16042" s="3802"/>
      <c r="C16042" s="3802"/>
      <c r="D16042" s="3802"/>
      <c r="E16042" s="1906"/>
      <c r="F16042" s="1907">
        <v>0.15</v>
      </c>
      <c r="G16042" s="78"/>
    </row>
    <row r="16044" spans="1:21" ht="12.75" hidden="1" customHeight="1" outlineLevel="1" x14ac:dyDescent="0.25">
      <c r="A16044" s="3237" t="s">
        <v>113</v>
      </c>
      <c r="B16044" s="3237" t="s">
        <v>114</v>
      </c>
      <c r="C16044" s="3237" t="s">
        <v>112</v>
      </c>
      <c r="D16044" s="3237" t="s">
        <v>116</v>
      </c>
      <c r="E16044" s="3237" t="s">
        <v>117</v>
      </c>
      <c r="F16044" s="3276" t="s">
        <v>121</v>
      </c>
      <c r="G16044" s="78"/>
    </row>
    <row r="16045" spans="1:21" ht="12.75" hidden="1" customHeight="1" outlineLevel="1" x14ac:dyDescent="0.25">
      <c r="A16045" s="3238">
        <v>1</v>
      </c>
      <c r="B16045" s="3239" t="s">
        <v>252</v>
      </c>
      <c r="C16045" s="3240">
        <v>100</v>
      </c>
      <c r="D16045" s="3240"/>
      <c r="E16045" s="3241"/>
      <c r="F16045" s="3242"/>
      <c r="G16045" s="78"/>
      <c r="K16045" s="37"/>
    </row>
    <row r="16046" spans="1:21" ht="12.75" hidden="1" customHeight="1" outlineLevel="1" x14ac:dyDescent="0.25">
      <c r="A16046" s="3243" t="s">
        <v>2734</v>
      </c>
      <c r="B16046" s="3243"/>
      <c r="C16046" s="3244"/>
      <c r="D16046" s="1900" t="s">
        <v>3702</v>
      </c>
      <c r="E16046" s="3245">
        <v>45044</v>
      </c>
      <c r="F16046" s="3246"/>
      <c r="G16046" s="78"/>
    </row>
    <row r="16047" spans="1:21" ht="12.75" hidden="1" customHeight="1" outlineLevel="1" x14ac:dyDescent="0.25">
      <c r="A16047" s="3237" t="s">
        <v>4156</v>
      </c>
      <c r="B16047" s="3237" t="s">
        <v>4153</v>
      </c>
      <c r="C16047" s="3247" t="s">
        <v>112</v>
      </c>
      <c r="D16047" s="3248" t="s">
        <v>4155</v>
      </c>
      <c r="E16047" s="3237" t="s">
        <v>4154</v>
      </c>
      <c r="F16047" s="3277" t="s">
        <v>2519</v>
      </c>
      <c r="G16047" s="78"/>
      <c r="I16047" s="412" t="s">
        <v>6964</v>
      </c>
      <c r="J16047" s="1635">
        <v>42917</v>
      </c>
      <c r="K16047" s="1635">
        <v>42948</v>
      </c>
      <c r="L16047" s="1635">
        <v>42979</v>
      </c>
      <c r="M16047" s="1635">
        <v>43009</v>
      </c>
      <c r="N16047" s="1635">
        <v>43040</v>
      </c>
      <c r="O16047" s="1635">
        <v>43070</v>
      </c>
      <c r="P16047" s="1635">
        <v>43101</v>
      </c>
      <c r="Q16047" s="1635">
        <v>43132</v>
      </c>
      <c r="R16047" s="1635">
        <v>43160</v>
      </c>
    </row>
    <row r="16048" spans="1:21" ht="12.75" hidden="1" customHeight="1" outlineLevel="1" x14ac:dyDescent="0.25">
      <c r="A16048" s="1991">
        <v>0.03</v>
      </c>
      <c r="B16048" s="1921" t="s">
        <v>8764</v>
      </c>
      <c r="C16048" s="2108">
        <v>17.639253889476649</v>
      </c>
      <c r="D16048" s="3194">
        <v>23.11</v>
      </c>
      <c r="E16048" s="3269">
        <v>0.31014611756266675</v>
      </c>
      <c r="F16048" s="3193">
        <v>9.3043835268800026E-3</v>
      </c>
      <c r="H16048" t="s">
        <v>8750</v>
      </c>
      <c r="I16048" s="412">
        <f>IF(J16048="",C16045,MIN(100,J16048:Y16048))</f>
        <v>100</v>
      </c>
      <c r="J16048">
        <v>102.89279999999999</v>
      </c>
      <c r="K16048">
        <v>105.07980000000001</v>
      </c>
      <c r="L16048">
        <v>100.923</v>
      </c>
      <c r="M16048">
        <v>103.9097</v>
      </c>
      <c r="N16048">
        <v>105.2251</v>
      </c>
      <c r="O16048">
        <v>103.705</v>
      </c>
      <c r="P16048">
        <v>104.7474</v>
      </c>
      <c r="Q16048">
        <v>107.0613</v>
      </c>
      <c r="R16048" s="434">
        <v>103.98950000000001</v>
      </c>
      <c r="U16048" s="434"/>
    </row>
    <row r="16049" spans="1:21" ht="12.75" hidden="1" customHeight="1" outlineLevel="1" x14ac:dyDescent="0.25">
      <c r="A16049" s="2380">
        <v>0.02</v>
      </c>
      <c r="B16049" s="1921" t="s">
        <v>8765</v>
      </c>
      <c r="C16049" s="2108">
        <v>122.995</v>
      </c>
      <c r="D16049" s="3196">
        <v>305.12</v>
      </c>
      <c r="E16049" s="3270">
        <v>1.4807512500508149</v>
      </c>
      <c r="F16049" s="3198">
        <v>2.9615025001016298E-2</v>
      </c>
      <c r="H16049" t="s">
        <v>8751</v>
      </c>
      <c r="I16049" s="422">
        <f>+(((E16085*100)+100)-I16048)/100</f>
        <v>0.16397800000000004</v>
      </c>
      <c r="R16049" s="434"/>
      <c r="U16049" s="434"/>
    </row>
    <row r="16050" spans="1:21" ht="12.75" hidden="1" customHeight="1" outlineLevel="1" x14ac:dyDescent="0.25">
      <c r="A16050" s="2380">
        <v>0.02</v>
      </c>
      <c r="B16050" s="1921" t="s">
        <v>5745</v>
      </c>
      <c r="C16050" s="2108">
        <v>27.568303279896842</v>
      </c>
      <c r="D16050" s="3196">
        <v>24.35</v>
      </c>
      <c r="E16050" s="3270">
        <v>-0.11673925838749999</v>
      </c>
      <c r="F16050" s="3198">
        <v>-2.3347851677499999E-3</v>
      </c>
      <c r="H16050" t="s">
        <v>5743</v>
      </c>
      <c r="R16050" s="434"/>
      <c r="U16050" s="434"/>
    </row>
    <row r="16051" spans="1:21" ht="12.75" hidden="1" customHeight="1" outlineLevel="1" x14ac:dyDescent="0.25">
      <c r="A16051" s="2380">
        <v>0.02</v>
      </c>
      <c r="B16051" s="1921" t="s">
        <v>8766</v>
      </c>
      <c r="C16051" s="2108">
        <v>35.049999999999997</v>
      </c>
      <c r="D16051" s="3196">
        <v>24.7</v>
      </c>
      <c r="E16051" s="3270">
        <v>-0.29529243937232519</v>
      </c>
      <c r="F16051" s="3198">
        <v>-5.9058487874465038E-3</v>
      </c>
      <c r="H16051" t="s">
        <v>8752</v>
      </c>
      <c r="R16051" s="434"/>
      <c r="U16051" s="434"/>
    </row>
    <row r="16052" spans="1:21" ht="12.75" hidden="1" customHeight="1" outlineLevel="1" x14ac:dyDescent="0.25">
      <c r="A16052" s="2380">
        <v>0.02</v>
      </c>
      <c r="B16052" s="1921" t="s">
        <v>7114</v>
      </c>
      <c r="C16052" s="2108">
        <v>119.633</v>
      </c>
      <c r="D16052" s="3196">
        <v>185.77</v>
      </c>
      <c r="E16052" s="3270">
        <v>0.55283241246144477</v>
      </c>
      <c r="F16052" s="3198">
        <v>1.1056648249228895E-2</v>
      </c>
      <c r="H16052" t="s">
        <v>7115</v>
      </c>
      <c r="R16052" s="434"/>
      <c r="U16052" s="434"/>
    </row>
    <row r="16053" spans="1:21" ht="12.75" hidden="1" customHeight="1" outlineLevel="1" x14ac:dyDescent="0.25">
      <c r="A16053" s="2380">
        <v>0.02</v>
      </c>
      <c r="B16053" s="1921" t="s">
        <v>8678</v>
      </c>
      <c r="C16053" s="2108">
        <v>79.218000000000004</v>
      </c>
      <c r="D16053" s="3196">
        <v>99.36</v>
      </c>
      <c r="E16053" s="3270">
        <v>0.25426039536468981</v>
      </c>
      <c r="F16053" s="3198">
        <v>5.0852079072937961E-3</v>
      </c>
      <c r="H16053" t="s">
        <v>8682</v>
      </c>
      <c r="R16053" s="434"/>
      <c r="U16053" s="434"/>
    </row>
    <row r="16054" spans="1:21" ht="12.75" hidden="1" customHeight="1" outlineLevel="1" x14ac:dyDescent="0.25">
      <c r="A16054" s="2380">
        <v>0.02</v>
      </c>
      <c r="B16054" s="1921" t="s">
        <v>6821</v>
      </c>
      <c r="C16054" s="2108">
        <v>3.2607545392655801</v>
      </c>
      <c r="D16054" s="3196">
        <v>1.7165000000000001</v>
      </c>
      <c r="E16054" s="3270">
        <v>-0.47358809768409993</v>
      </c>
      <c r="F16054" s="3198">
        <v>-9.4717619536819984E-3</v>
      </c>
      <c r="H16054" t="s">
        <v>6822</v>
      </c>
      <c r="R16054" s="434"/>
      <c r="U16054" s="434"/>
    </row>
    <row r="16055" spans="1:21" ht="12.75" hidden="1" customHeight="1" outlineLevel="1" x14ac:dyDescent="0.25">
      <c r="A16055" s="2380">
        <v>0.05</v>
      </c>
      <c r="B16055" s="1921" t="s">
        <v>1771</v>
      </c>
      <c r="C16055" s="2108">
        <v>6.8281999999999998</v>
      </c>
      <c r="D16055" s="3196">
        <v>5.7379999999999995</v>
      </c>
      <c r="E16055" s="3270">
        <v>-0.15966140417679631</v>
      </c>
      <c r="F16055" s="3198">
        <v>-7.9830702088398153E-3</v>
      </c>
      <c r="H16055" t="s">
        <v>4329</v>
      </c>
      <c r="R16055" s="434"/>
      <c r="U16055" s="434"/>
    </row>
    <row r="16056" spans="1:21" ht="12.75" hidden="1" customHeight="1" outlineLevel="1" x14ac:dyDescent="0.25">
      <c r="A16056" s="2380">
        <v>0.08</v>
      </c>
      <c r="B16056" s="1921" t="s">
        <v>2588</v>
      </c>
      <c r="C16056" s="2108">
        <v>14.633672113226563</v>
      </c>
      <c r="D16056" s="3196">
        <v>11.2</v>
      </c>
      <c r="E16056" s="3270">
        <v>-0.23464186477999993</v>
      </c>
      <c r="F16056" s="3198">
        <v>-1.8771349182399994E-2</v>
      </c>
      <c r="H16056" t="s">
        <v>4132</v>
      </c>
      <c r="R16056" s="434"/>
      <c r="U16056" s="434"/>
    </row>
    <row r="16057" spans="1:21" ht="12.75" hidden="1" customHeight="1" outlineLevel="1" x14ac:dyDescent="0.25">
      <c r="A16057" s="2380">
        <v>0.02</v>
      </c>
      <c r="B16057" s="1921" t="s">
        <v>8767</v>
      </c>
      <c r="C16057" s="2108">
        <v>33.198</v>
      </c>
      <c r="D16057" s="3196">
        <v>17.13</v>
      </c>
      <c r="E16057" s="3270">
        <v>-0.48400506054581605</v>
      </c>
      <c r="F16057" s="3198">
        <v>-9.6801012109163209E-3</v>
      </c>
      <c r="H16057" t="s">
        <v>8753</v>
      </c>
      <c r="R16057" s="434"/>
      <c r="U16057" s="434"/>
    </row>
    <row r="16058" spans="1:21" ht="12.75" hidden="1" customHeight="1" outlineLevel="1" x14ac:dyDescent="0.25">
      <c r="A16058" s="2380">
        <v>0.02</v>
      </c>
      <c r="B16058" s="1921" t="s">
        <v>4376</v>
      </c>
      <c r="C16058" s="2108">
        <v>84.03</v>
      </c>
      <c r="D16058" s="3196">
        <v>138.24</v>
      </c>
      <c r="E16058" s="3270">
        <v>0.64512674044983953</v>
      </c>
      <c r="F16058" s="3198">
        <v>1.2902534808996792E-2</v>
      </c>
      <c r="H16058" t="s">
        <v>4326</v>
      </c>
      <c r="R16058" s="434"/>
      <c r="U16058" s="434"/>
    </row>
    <row r="16059" spans="1:21" ht="12.75" hidden="1" customHeight="1" outlineLevel="1" x14ac:dyDescent="0.25">
      <c r="A16059" s="2380">
        <v>0.02</v>
      </c>
      <c r="B16059" s="1921" t="s">
        <v>281</v>
      </c>
      <c r="C16059" s="2108">
        <v>17.855</v>
      </c>
      <c r="D16059" s="3196">
        <v>11.26</v>
      </c>
      <c r="E16059" s="3270">
        <v>-0.36936432371884631</v>
      </c>
      <c r="F16059" s="3198">
        <v>-7.3872864743769265E-3</v>
      </c>
      <c r="H16059" t="s">
        <v>4159</v>
      </c>
      <c r="R16059" s="434"/>
      <c r="U16059" s="434"/>
    </row>
    <row r="16060" spans="1:21" ht="12.75" hidden="1" customHeight="1" outlineLevel="1" x14ac:dyDescent="0.25">
      <c r="A16060" s="2380">
        <v>7.0000000000000007E-2</v>
      </c>
      <c r="B16060" s="1921" t="s">
        <v>6902</v>
      </c>
      <c r="C16060" s="2519">
        <v>2.5427</v>
      </c>
      <c r="D16060" s="3196">
        <v>2.3409999999999997</v>
      </c>
      <c r="E16060" s="3270">
        <v>-7.932512683368087E-2</v>
      </c>
      <c r="F16060" s="3198">
        <v>-5.5527588783576614E-3</v>
      </c>
      <c r="H16060" t="s">
        <v>6899</v>
      </c>
      <c r="R16060" s="434"/>
      <c r="U16060" s="434"/>
    </row>
    <row r="16061" spans="1:21" ht="12.75" hidden="1" customHeight="1" outlineLevel="1" x14ac:dyDescent="0.25">
      <c r="A16061" s="2380">
        <v>0.02</v>
      </c>
      <c r="B16061" s="1921" t="s">
        <v>5914</v>
      </c>
      <c r="C16061" s="2108">
        <v>158.548</v>
      </c>
      <c r="D16061" s="3196">
        <v>125.8</v>
      </c>
      <c r="E16061" s="3270">
        <v>-0.20654943613290611</v>
      </c>
      <c r="F16061" s="3198">
        <v>-4.1309887226581221E-3</v>
      </c>
      <c r="H16061" t="s">
        <v>5903</v>
      </c>
      <c r="R16061" s="434"/>
      <c r="U16061" s="434"/>
    </row>
    <row r="16062" spans="1:21" ht="12.75" hidden="1" customHeight="1" outlineLevel="1" x14ac:dyDescent="0.25">
      <c r="A16062" s="2380">
        <v>0.03</v>
      </c>
      <c r="B16062" s="1921" t="s">
        <v>8768</v>
      </c>
      <c r="C16062" s="2108">
        <v>87.995000000000005</v>
      </c>
      <c r="D16062" s="3196">
        <v>182.6</v>
      </c>
      <c r="E16062" s="3270">
        <v>1.0751179044263877</v>
      </c>
      <c r="F16062" s="3198">
        <v>3.2253537132791631E-2</v>
      </c>
      <c r="H16062" t="s">
        <v>8754</v>
      </c>
      <c r="R16062" s="434"/>
      <c r="U16062" s="434"/>
    </row>
    <row r="16063" spans="1:21" ht="12.75" hidden="1" customHeight="1" outlineLevel="1" x14ac:dyDescent="0.25">
      <c r="A16063" s="2380">
        <v>0.02</v>
      </c>
      <c r="B16063" s="1921" t="s">
        <v>7838</v>
      </c>
      <c r="C16063" s="2108">
        <v>45.824835117660768</v>
      </c>
      <c r="D16063" s="3196">
        <v>61.33</v>
      </c>
      <c r="E16063" s="3270">
        <v>0.33835724323999972</v>
      </c>
      <c r="F16063" s="3198">
        <v>6.7671448647999947E-3</v>
      </c>
      <c r="H16063" t="s">
        <v>7829</v>
      </c>
      <c r="R16063" s="434"/>
      <c r="U16063" s="434"/>
    </row>
    <row r="16064" spans="1:21" ht="12.75" hidden="1" customHeight="1" outlineLevel="1" x14ac:dyDescent="0.25">
      <c r="A16064" s="2380">
        <v>0.05</v>
      </c>
      <c r="B16064" s="1921" t="s">
        <v>1772</v>
      </c>
      <c r="C16064" s="2108">
        <v>175.72</v>
      </c>
      <c r="D16064" s="3196">
        <v>340.5</v>
      </c>
      <c r="E16064" s="3270">
        <v>0.93774186205326648</v>
      </c>
      <c r="F16064" s="3198">
        <v>4.6887093102663327E-2</v>
      </c>
      <c r="H16064" t="s">
        <v>4330</v>
      </c>
      <c r="R16064" s="434"/>
      <c r="U16064" s="434"/>
    </row>
    <row r="16065" spans="1:21" ht="12.75" hidden="1" customHeight="1" outlineLevel="1" x14ac:dyDescent="0.25">
      <c r="A16065" s="2380">
        <v>0.02</v>
      </c>
      <c r="B16065" s="1921" t="s">
        <v>8336</v>
      </c>
      <c r="C16065" s="2108">
        <v>29.672000000000001</v>
      </c>
      <c r="D16065" s="3196">
        <v>28.84</v>
      </c>
      <c r="E16065" s="3270">
        <v>-2.8039902938797545E-2</v>
      </c>
      <c r="F16065" s="3198">
        <v>-5.6079805877595095E-4</v>
      </c>
      <c r="H16065" t="s">
        <v>8337</v>
      </c>
      <c r="R16065" s="434"/>
      <c r="U16065" s="434"/>
    </row>
    <row r="16066" spans="1:21" ht="12.75" hidden="1" customHeight="1" outlineLevel="1" x14ac:dyDescent="0.25">
      <c r="A16066" s="2380">
        <v>0.05</v>
      </c>
      <c r="B16066" s="1921" t="s">
        <v>1203</v>
      </c>
      <c r="C16066" s="2108">
        <v>111.72</v>
      </c>
      <c r="D16066" s="3196">
        <v>113.82</v>
      </c>
      <c r="E16066" s="3270">
        <v>1.8796992481203034E-2</v>
      </c>
      <c r="F16066" s="3198">
        <v>9.3984962406015173E-4</v>
      </c>
      <c r="H16066" t="s">
        <v>79</v>
      </c>
      <c r="R16066" s="434"/>
      <c r="U16066" s="434"/>
    </row>
    <row r="16067" spans="1:21" ht="12.75" hidden="1" customHeight="1" outlineLevel="1" x14ac:dyDescent="0.25">
      <c r="A16067" s="2380">
        <v>0.02</v>
      </c>
      <c r="B16067" s="1921" t="s">
        <v>2831</v>
      </c>
      <c r="C16067" s="2108">
        <v>105.667</v>
      </c>
      <c r="D16067" s="3196">
        <v>87</v>
      </c>
      <c r="E16067" s="3270">
        <v>-0.17665874871057186</v>
      </c>
      <c r="F16067" s="3198">
        <v>-3.5331749742114373E-3</v>
      </c>
      <c r="H16067" t="s">
        <v>2841</v>
      </c>
      <c r="R16067" s="434"/>
      <c r="U16067" s="434"/>
    </row>
    <row r="16068" spans="1:21" ht="12.75" hidden="1" customHeight="1" outlineLevel="1" x14ac:dyDescent="0.25">
      <c r="A16068" s="2380">
        <v>0.03</v>
      </c>
      <c r="B16068" s="1921" t="s">
        <v>6270</v>
      </c>
      <c r="C16068" s="2108">
        <v>42.556119652210228</v>
      </c>
      <c r="D16068" s="3196">
        <v>45.96</v>
      </c>
      <c r="E16068" s="3270">
        <v>7.9985684211999919E-2</v>
      </c>
      <c r="F16068" s="3198">
        <v>2.3995705263599974E-3</v>
      </c>
      <c r="H16068" t="s">
        <v>8166</v>
      </c>
      <c r="R16068" s="434"/>
      <c r="U16068" s="434"/>
    </row>
    <row r="16069" spans="1:21" ht="12.75" hidden="1" customHeight="1" outlineLevel="1" x14ac:dyDescent="0.25">
      <c r="A16069" s="2380">
        <v>0.05</v>
      </c>
      <c r="B16069" s="1921" t="s">
        <v>6524</v>
      </c>
      <c r="C16069" s="2108">
        <v>104.47958017964943</v>
      </c>
      <c r="D16069" s="3196">
        <v>116.5</v>
      </c>
      <c r="E16069" s="3270">
        <v>0.11505042228999995</v>
      </c>
      <c r="F16069" s="3198">
        <v>5.752521114499998E-3</v>
      </c>
      <c r="H16069" t="s">
        <v>6525</v>
      </c>
      <c r="R16069" s="434"/>
      <c r="U16069" s="434"/>
    </row>
    <row r="16070" spans="1:21" ht="12.75" hidden="1" customHeight="1" outlineLevel="1" x14ac:dyDescent="0.25">
      <c r="A16070" s="2380">
        <v>0.02</v>
      </c>
      <c r="B16070" s="1921" t="s">
        <v>8769</v>
      </c>
      <c r="C16070" s="2108">
        <v>83.986000000000004</v>
      </c>
      <c r="D16070" s="3196">
        <v>72.260000000000005</v>
      </c>
      <c r="E16070" s="3270">
        <v>-0.13961850784654584</v>
      </c>
      <c r="F16070" s="3198">
        <v>-2.7923701569309168E-3</v>
      </c>
      <c r="H16070" t="s">
        <v>8755</v>
      </c>
      <c r="R16070" s="434"/>
      <c r="U16070" s="434"/>
    </row>
    <row r="16071" spans="1:21" ht="12.75" hidden="1" customHeight="1" outlineLevel="1" x14ac:dyDescent="0.25">
      <c r="A16071" s="2380">
        <v>0.03</v>
      </c>
      <c r="B16071" s="1921" t="s">
        <v>10538</v>
      </c>
      <c r="C16071" s="2108">
        <v>13.791457020966249</v>
      </c>
      <c r="D16071" s="3196">
        <v>12.48</v>
      </c>
      <c r="E16071" s="3270">
        <v>-9.509198476799996E-2</v>
      </c>
      <c r="F16071" s="3198">
        <v>-2.8527595430399987E-3</v>
      </c>
      <c r="H16071" t="s">
        <v>7628</v>
      </c>
      <c r="R16071" s="434"/>
      <c r="U16071" s="434"/>
    </row>
    <row r="16072" spans="1:21" ht="12.75" hidden="1" customHeight="1" outlineLevel="1" x14ac:dyDescent="0.25">
      <c r="A16072" s="2380">
        <v>0.05</v>
      </c>
      <c r="B16072" s="1921" t="s">
        <v>1724</v>
      </c>
      <c r="C16072" s="2108">
        <v>206.33974151251084</v>
      </c>
      <c r="D16072" s="3196">
        <v>178</v>
      </c>
      <c r="E16072" s="3270">
        <v>-0.13734504708000006</v>
      </c>
      <c r="F16072" s="3198">
        <v>-6.8672523540000037E-3</v>
      </c>
      <c r="H16072" t="s">
        <v>1725</v>
      </c>
      <c r="R16072" s="434"/>
      <c r="U16072" s="434"/>
    </row>
    <row r="16073" spans="1:21" ht="12.75" hidden="1" customHeight="1" outlineLevel="1" x14ac:dyDescent="0.25">
      <c r="A16073" s="2380">
        <v>0.08</v>
      </c>
      <c r="B16073" s="1921" t="s">
        <v>6118</v>
      </c>
      <c r="C16073" s="2108">
        <v>87.94</v>
      </c>
      <c r="D16073" s="3196">
        <v>89.72</v>
      </c>
      <c r="E16073" s="3270">
        <v>2.0241073459176695E-2</v>
      </c>
      <c r="F16073" s="3198">
        <v>1.6192858767341356E-3</v>
      </c>
      <c r="H16073" t="s">
        <v>8893</v>
      </c>
      <c r="R16073" s="434"/>
      <c r="U16073" s="434"/>
    </row>
    <row r="16074" spans="1:21" ht="12.75" hidden="1" customHeight="1" outlineLevel="1" x14ac:dyDescent="0.25">
      <c r="A16074" s="2380">
        <v>0.02</v>
      </c>
      <c r="B16074" s="1921" t="s">
        <v>8770</v>
      </c>
      <c r="C16074" s="2108">
        <v>59.07</v>
      </c>
      <c r="D16074" s="3196">
        <v>178.16</v>
      </c>
      <c r="E16074" s="3270">
        <v>2.0160826138479768</v>
      </c>
      <c r="F16074" s="3198">
        <v>4.0321652276959538E-2</v>
      </c>
      <c r="H16074" t="s">
        <v>8756</v>
      </c>
      <c r="R16074" s="434"/>
      <c r="U16074" s="434"/>
    </row>
    <row r="16075" spans="1:21" ht="12.75" hidden="1" customHeight="1" outlineLevel="1" x14ac:dyDescent="0.25">
      <c r="A16075" s="2380">
        <v>0.02</v>
      </c>
      <c r="B16075" s="1921" t="s">
        <v>3817</v>
      </c>
      <c r="C16075" s="2108">
        <v>52.326000000000001</v>
      </c>
      <c r="D16075" s="3196">
        <v>39.75</v>
      </c>
      <c r="E16075" s="3270">
        <v>-0.24033941061804842</v>
      </c>
      <c r="F16075" s="3198">
        <v>-4.8067882123609684E-3</v>
      </c>
      <c r="H16075" t="s">
        <v>1914</v>
      </c>
      <c r="R16075" s="434"/>
      <c r="U16075" s="434"/>
    </row>
    <row r="16076" spans="1:21" ht="12.75" hidden="1" customHeight="1" outlineLevel="1" x14ac:dyDescent="0.25">
      <c r="A16076" s="2380">
        <v>0.02</v>
      </c>
      <c r="B16076" s="1921" t="s">
        <v>5626</v>
      </c>
      <c r="C16076" s="2108">
        <v>30.076000000000001</v>
      </c>
      <c r="D16076" s="3196">
        <v>22.47</v>
      </c>
      <c r="E16076" s="3270">
        <v>-0.2528926718978588</v>
      </c>
      <c r="F16076" s="3198">
        <v>-5.0578534379571759E-3</v>
      </c>
      <c r="H16076" t="s">
        <v>5624</v>
      </c>
      <c r="R16076" s="434"/>
      <c r="U16076" s="434"/>
    </row>
    <row r="16077" spans="1:21" ht="12.75" hidden="1" customHeight="1" outlineLevel="1" x14ac:dyDescent="0.25">
      <c r="A16077" s="2380">
        <v>0.06</v>
      </c>
      <c r="B16077" s="2109" t="s">
        <v>4550</v>
      </c>
      <c r="C16077" s="2108">
        <v>284.07</v>
      </c>
      <c r="D16077" s="3199">
        <v>431.8</v>
      </c>
      <c r="E16077" s="3270">
        <v>0.52004787552363863</v>
      </c>
      <c r="F16077" s="3198">
        <v>3.1202872531418315E-2</v>
      </c>
      <c r="H16077" t="s">
        <v>8889</v>
      </c>
      <c r="R16077" s="434"/>
      <c r="U16077" s="434"/>
    </row>
    <row r="16078" spans="1:21" ht="12.75" hidden="1" customHeight="1" outlineLevel="1" x14ac:dyDescent="0.25">
      <c r="A16078" s="2181" t="s">
        <v>2734</v>
      </c>
      <c r="B16078" s="2103"/>
      <c r="C16078" s="3200">
        <v>100</v>
      </c>
      <c r="D16078" s="3201"/>
      <c r="E16078" s="3202"/>
      <c r="F16078" s="3193">
        <v>0.13880000000000001</v>
      </c>
      <c r="G16078" s="78"/>
    </row>
    <row r="16079" spans="1:21" ht="12.75" hidden="1" customHeight="1" outlineLevel="1" x14ac:dyDescent="0.25">
      <c r="A16079" s="1956" t="s">
        <v>8771</v>
      </c>
      <c r="B16079" s="2185">
        <v>44866</v>
      </c>
      <c r="C16079" s="3203">
        <v>100</v>
      </c>
      <c r="D16079" s="3203">
        <v>115.5196</v>
      </c>
      <c r="E16079" s="3204">
        <v>0.15519599999999989</v>
      </c>
      <c r="F16079" s="3205"/>
      <c r="G16079" s="78"/>
    </row>
    <row r="16080" spans="1:21" ht="12.75" hidden="1" customHeight="1" outlineLevel="1" x14ac:dyDescent="0.25">
      <c r="A16080" s="1956" t="s">
        <v>8772</v>
      </c>
      <c r="B16080" s="2185">
        <v>44896</v>
      </c>
      <c r="C16080" s="3203">
        <v>100</v>
      </c>
      <c r="D16080" s="3206">
        <v>113.5402</v>
      </c>
      <c r="E16080" s="3204">
        <v>0.13540200000000002</v>
      </c>
      <c r="F16080" s="3205"/>
      <c r="G16080" s="78"/>
    </row>
    <row r="16081" spans="1:10" ht="12.75" hidden="1" customHeight="1" outlineLevel="1" x14ac:dyDescent="0.25">
      <c r="A16081" s="1956" t="s">
        <v>8773</v>
      </c>
      <c r="B16081" s="2185">
        <v>44927</v>
      </c>
      <c r="C16081" s="3203">
        <v>100</v>
      </c>
      <c r="D16081" s="3206">
        <v>121.5859</v>
      </c>
      <c r="E16081" s="3204">
        <v>0.21585900000000002</v>
      </c>
      <c r="F16081" s="3205"/>
      <c r="G16081" s="78"/>
    </row>
    <row r="16082" spans="1:10" ht="12.75" hidden="1" customHeight="1" outlineLevel="1" x14ac:dyDescent="0.25">
      <c r="A16082" s="1956" t="s">
        <v>8774</v>
      </c>
      <c r="B16082" s="2185">
        <v>44958</v>
      </c>
      <c r="C16082" s="3203">
        <v>100</v>
      </c>
      <c r="D16082" s="3206">
        <v>122.42270000000001</v>
      </c>
      <c r="E16082" s="3204">
        <v>0.22422699999999995</v>
      </c>
      <c r="F16082" s="3205"/>
      <c r="G16082" s="78"/>
    </row>
    <row r="16083" spans="1:10" ht="12.75" hidden="1" customHeight="1" outlineLevel="1" x14ac:dyDescent="0.25">
      <c r="A16083" s="1956" t="s">
        <v>8775</v>
      </c>
      <c r="B16083" s="2185">
        <v>44986</v>
      </c>
      <c r="C16083" s="3203">
        <v>100</v>
      </c>
      <c r="D16083" s="3206">
        <v>111.4355</v>
      </c>
      <c r="E16083" s="3204">
        <v>0.11435499999999998</v>
      </c>
      <c r="F16083" s="3205"/>
      <c r="G16083" s="78"/>
    </row>
    <row r="16084" spans="1:10" ht="12.75" hidden="1" customHeight="1" outlineLevel="1" x14ac:dyDescent="0.25">
      <c r="A16084" s="1956" t="s">
        <v>8776</v>
      </c>
      <c r="B16084" s="2185">
        <v>45017</v>
      </c>
      <c r="C16084" s="3203">
        <v>100</v>
      </c>
      <c r="D16084" s="3206">
        <v>113.88290000000001</v>
      </c>
      <c r="E16084" s="3204">
        <v>0.13882900000000009</v>
      </c>
      <c r="F16084" s="3205"/>
      <c r="G16084" s="78"/>
    </row>
    <row r="16085" spans="1:10" ht="12.75" hidden="1" customHeight="1" outlineLevel="1" x14ac:dyDescent="0.25">
      <c r="A16085" s="2189" t="s">
        <v>2734</v>
      </c>
      <c r="B16085" s="2190"/>
      <c r="C16085" s="3206"/>
      <c r="D16085" s="2191" t="s">
        <v>2465</v>
      </c>
      <c r="E16085" s="1987">
        <v>0.16397799999999998</v>
      </c>
      <c r="F16085" s="2192">
        <v>0.13118240000000003</v>
      </c>
      <c r="G16085" s="78"/>
    </row>
    <row r="16086" spans="1:10" collapsed="1" x14ac:dyDescent="0.25">
      <c r="A16086" s="3801" t="s">
        <v>8749</v>
      </c>
      <c r="B16086" s="3802"/>
      <c r="C16086" s="3802"/>
      <c r="D16086" s="3802"/>
      <c r="E16086" s="1906"/>
      <c r="F16086" s="1907">
        <v>0.13118240000000003</v>
      </c>
      <c r="G16086" s="78"/>
    </row>
    <row r="16088" spans="1:10" hidden="1" outlineLevel="1" x14ac:dyDescent="0.25">
      <c r="A16088" s="3248" t="s">
        <v>113</v>
      </c>
      <c r="B16088" s="3237" t="s">
        <v>114</v>
      </c>
      <c r="C16088" s="3248" t="s">
        <v>112</v>
      </c>
      <c r="D16088" s="3248" t="s">
        <v>4363</v>
      </c>
      <c r="E16088" s="3237" t="s">
        <v>116</v>
      </c>
      <c r="F16088" s="3277" t="s">
        <v>121</v>
      </c>
      <c r="G16088" s="78"/>
      <c r="H16088" s="1671"/>
      <c r="I16088" s="1671"/>
      <c r="J16088" s="370"/>
    </row>
    <row r="16089" spans="1:10" hidden="1" outlineLevel="1" x14ac:dyDescent="0.25">
      <c r="A16089" s="1810" t="s">
        <v>8494</v>
      </c>
      <c r="B16089" s="2984" t="s">
        <v>8614</v>
      </c>
      <c r="C16089" s="3642">
        <v>184.61500000000001</v>
      </c>
      <c r="D16089" s="3635">
        <v>150.23599999999999</v>
      </c>
      <c r="E16089" s="2238">
        <v>164.85599999999999</v>
      </c>
      <c r="F16089" s="3640">
        <v>0.02</v>
      </c>
      <c r="G16089" s="78" t="s">
        <v>9219</v>
      </c>
      <c r="H16089" t="s">
        <v>8500</v>
      </c>
      <c r="I16089" s="81">
        <v>-0.18621997129160694</v>
      </c>
      <c r="J16089" s="370"/>
    </row>
    <row r="16090" spans="1:10" hidden="1" outlineLevel="1" x14ac:dyDescent="0.25">
      <c r="A16090" s="1810" t="s">
        <v>8495</v>
      </c>
      <c r="B16090" s="2984" t="s">
        <v>8614</v>
      </c>
      <c r="C16090" s="3643"/>
      <c r="D16090" s="3637"/>
      <c r="E16090" s="1815">
        <v>132.16000000000003</v>
      </c>
      <c r="F16090" s="3640">
        <v>0.02</v>
      </c>
      <c r="G16090" s="78" t="s">
        <v>9219</v>
      </c>
      <c r="H16090" s="81"/>
      <c r="I16090" s="413"/>
      <c r="J16090" s="370"/>
    </row>
    <row r="16091" spans="1:10" hidden="1" outlineLevel="1" x14ac:dyDescent="0.25">
      <c r="A16091" s="1810" t="s">
        <v>8496</v>
      </c>
      <c r="B16091" s="2984" t="s">
        <v>8614</v>
      </c>
      <c r="C16091" s="3643"/>
      <c r="D16091" s="3637"/>
      <c r="E16091" s="1815">
        <v>97.245999999999995</v>
      </c>
      <c r="F16091" s="3640">
        <v>0</v>
      </c>
      <c r="G16091" s="78" t="s">
        <v>10440</v>
      </c>
      <c r="H16091" s="81"/>
      <c r="I16091" s="413"/>
      <c r="J16091" s="370"/>
    </row>
    <row r="16092" spans="1:10" hidden="1" outlineLevel="1" x14ac:dyDescent="0.25">
      <c r="A16092" s="1810" t="s">
        <v>8497</v>
      </c>
      <c r="B16092" s="2984" t="s">
        <v>8614</v>
      </c>
      <c r="C16092" s="3643"/>
      <c r="D16092" s="3637"/>
      <c r="E16092" s="1815">
        <v>141.24600000000001</v>
      </c>
      <c r="F16092" s="3640">
        <v>0.02</v>
      </c>
      <c r="G16092" s="78" t="s">
        <v>9219</v>
      </c>
      <c r="H16092" s="81"/>
      <c r="I16092" s="413"/>
      <c r="J16092" s="370"/>
    </row>
    <row r="16093" spans="1:10" hidden="1" outlineLevel="1" x14ac:dyDescent="0.25">
      <c r="A16093" s="1810" t="s">
        <v>8498</v>
      </c>
      <c r="B16093" s="2984" t="s">
        <v>8614</v>
      </c>
      <c r="C16093" s="3643"/>
      <c r="D16093" s="3637"/>
      <c r="E16093" s="1815">
        <v>137.76400000000001</v>
      </c>
      <c r="F16093" s="3640">
        <v>0.02</v>
      </c>
      <c r="G16093" s="78" t="s">
        <v>9219</v>
      </c>
      <c r="H16093" s="81"/>
      <c r="I16093" s="413"/>
      <c r="J16093" s="370"/>
    </row>
    <row r="16094" spans="1:10" hidden="1" outlineLevel="1" x14ac:dyDescent="0.25">
      <c r="A16094" s="1956" t="s">
        <v>8499</v>
      </c>
      <c r="B16094" s="2984" t="s">
        <v>8614</v>
      </c>
      <c r="C16094" s="3644"/>
      <c r="D16094" s="3636"/>
      <c r="E16094" s="1815">
        <v>150.23599999999999</v>
      </c>
      <c r="F16094" s="3641">
        <v>0.02</v>
      </c>
      <c r="G16094" s="78" t="s">
        <v>9219</v>
      </c>
      <c r="H16094" s="81"/>
      <c r="I16094" s="413"/>
      <c r="J16094" s="370"/>
    </row>
    <row r="16095" spans="1:10" hidden="1" outlineLevel="1" x14ac:dyDescent="0.25">
      <c r="A16095" s="1819" t="s">
        <v>2734</v>
      </c>
      <c r="B16095" s="3183"/>
      <c r="C16095" s="1820"/>
      <c r="D16095" s="3144"/>
      <c r="E16095" s="3639"/>
      <c r="F16095" s="3638">
        <v>0.1</v>
      </c>
      <c r="G16095" s="78"/>
      <c r="H16095" s="81"/>
      <c r="I16095" s="370"/>
      <c r="J16095" s="370"/>
    </row>
    <row r="16096" spans="1:10" collapsed="1" x14ac:dyDescent="0.25">
      <c r="A16096" s="3633" t="s">
        <v>8793</v>
      </c>
      <c r="B16096" s="3634"/>
      <c r="C16096" s="3634"/>
      <c r="D16096" s="3634"/>
      <c r="E16096" s="1906"/>
      <c r="F16096" s="1907">
        <v>0.1</v>
      </c>
      <c r="G16096" s="78"/>
      <c r="H16096" s="1672"/>
      <c r="I16096" s="370"/>
      <c r="J16096" s="370"/>
    </row>
    <row r="16098" spans="1:11" ht="12.75" hidden="1" customHeight="1" outlineLevel="1" x14ac:dyDescent="0.25">
      <c r="A16098" s="3237" t="s">
        <v>113</v>
      </c>
      <c r="B16098" s="3237" t="s">
        <v>114</v>
      </c>
      <c r="C16098" s="3237" t="s">
        <v>112</v>
      </c>
      <c r="D16098" s="3237" t="s">
        <v>116</v>
      </c>
      <c r="E16098" s="3237" t="s">
        <v>117</v>
      </c>
      <c r="F16098" s="3276" t="s">
        <v>121</v>
      </c>
      <c r="G16098" s="78"/>
    </row>
    <row r="16099" spans="1:11" ht="12.75" hidden="1" customHeight="1" outlineLevel="1" x14ac:dyDescent="0.25">
      <c r="A16099" s="3238">
        <v>1</v>
      </c>
      <c r="B16099" s="3239" t="s">
        <v>252</v>
      </c>
      <c r="C16099" s="3240">
        <v>100</v>
      </c>
      <c r="D16099" s="3240"/>
      <c r="E16099" s="3241"/>
      <c r="F16099" s="3242"/>
      <c r="G16099" s="78"/>
    </row>
    <row r="16100" spans="1:11" ht="12.75" hidden="1" customHeight="1" outlineLevel="1" x14ac:dyDescent="0.25">
      <c r="A16100" s="3243" t="s">
        <v>2734</v>
      </c>
      <c r="B16100" s="3243"/>
      <c r="C16100" s="3244"/>
      <c r="D16100" s="1900" t="s">
        <v>3702</v>
      </c>
      <c r="E16100" s="3245">
        <v>45107</v>
      </c>
      <c r="F16100" s="3246"/>
      <c r="G16100" s="78"/>
    </row>
    <row r="16101" spans="1:11" ht="12.75" hidden="1" customHeight="1" outlineLevel="1" x14ac:dyDescent="0.25">
      <c r="A16101" s="3237" t="s">
        <v>4156</v>
      </c>
      <c r="B16101" s="3237" t="s">
        <v>4153</v>
      </c>
      <c r="C16101" s="3247" t="s">
        <v>112</v>
      </c>
      <c r="D16101" s="3248" t="s">
        <v>4155</v>
      </c>
      <c r="E16101" s="3237" t="s">
        <v>4154</v>
      </c>
      <c r="F16101" s="3277" t="s">
        <v>2519</v>
      </c>
      <c r="G16101" s="78"/>
    </row>
    <row r="16102" spans="1:11" ht="12.75" hidden="1" customHeight="1" outlineLevel="1" x14ac:dyDescent="0.25">
      <c r="A16102" s="1991">
        <v>0.02</v>
      </c>
      <c r="B16102" s="1921" t="s">
        <v>6072</v>
      </c>
      <c r="C16102" s="2108">
        <v>24.72984352310214</v>
      </c>
      <c r="D16102" s="3194">
        <v>10.81</v>
      </c>
      <c r="E16102" s="3195">
        <v>-0.56287632835599999</v>
      </c>
      <c r="F16102" s="3193">
        <v>-1.1257526567120001E-2</v>
      </c>
      <c r="G16102" s="78"/>
      <c r="H16102" t="s">
        <v>8514</v>
      </c>
      <c r="K16102" s="434"/>
    </row>
    <row r="16103" spans="1:11" ht="12.75" hidden="1" customHeight="1" outlineLevel="1" x14ac:dyDescent="0.25">
      <c r="A16103" s="2380">
        <v>0.02</v>
      </c>
      <c r="B16103" s="1921" t="s">
        <v>805</v>
      </c>
      <c r="C16103" s="2108">
        <v>96.611000000000004</v>
      </c>
      <c r="D16103" s="3196">
        <v>119.64</v>
      </c>
      <c r="E16103" s="3197">
        <v>0.23836830174617796</v>
      </c>
      <c r="F16103" s="3198">
        <v>4.7673660349235591E-3</v>
      </c>
      <c r="G16103" s="78"/>
      <c r="H16103" t="s">
        <v>806</v>
      </c>
      <c r="K16103" s="434"/>
    </row>
    <row r="16104" spans="1:11" ht="12.75" hidden="1" customHeight="1" outlineLevel="1" x14ac:dyDescent="0.25">
      <c r="A16104" s="2380">
        <v>0.04</v>
      </c>
      <c r="B16104" s="1921" t="s">
        <v>5748</v>
      </c>
      <c r="C16104" s="2108">
        <v>78.314999999999998</v>
      </c>
      <c r="D16104" s="3196">
        <v>66.28</v>
      </c>
      <c r="E16104" s="3197">
        <v>-0.15367426418949115</v>
      </c>
      <c r="F16104" s="3198">
        <v>-6.1469705675796463E-3</v>
      </c>
      <c r="G16104" s="78"/>
      <c r="H16104" t="s">
        <v>5746</v>
      </c>
      <c r="K16104" s="434"/>
    </row>
    <row r="16105" spans="1:11" ht="12.75" hidden="1" customHeight="1" outlineLevel="1" x14ac:dyDescent="0.25">
      <c r="A16105" s="2380">
        <v>0.08</v>
      </c>
      <c r="B16105" s="1921" t="s">
        <v>807</v>
      </c>
      <c r="C16105" s="2108">
        <v>58.167000000000002</v>
      </c>
      <c r="D16105" s="3196">
        <v>60.4</v>
      </c>
      <c r="E16105" s="3197">
        <v>3.8389464816820373E-2</v>
      </c>
      <c r="F16105" s="3198">
        <v>3.07115718534563E-3</v>
      </c>
      <c r="G16105" s="78"/>
      <c r="H16105" t="s">
        <v>808</v>
      </c>
      <c r="K16105" s="434"/>
    </row>
    <row r="16106" spans="1:11" ht="12.75" hidden="1" customHeight="1" outlineLevel="1" x14ac:dyDescent="0.25">
      <c r="A16106" s="2380">
        <v>7.0000000000000007E-2</v>
      </c>
      <c r="B16106" s="1921" t="s">
        <v>951</v>
      </c>
      <c r="C16106" s="2108">
        <v>3795.5</v>
      </c>
      <c r="D16106" s="3196">
        <v>3790</v>
      </c>
      <c r="E16106" s="3197">
        <v>-1.4490844421024551E-3</v>
      </c>
      <c r="F16106" s="3198">
        <v>-1.0143591094717187E-4</v>
      </c>
      <c r="G16106" s="78"/>
      <c r="H16106" t="s">
        <v>952</v>
      </c>
      <c r="K16106" s="434"/>
    </row>
    <row r="16107" spans="1:11" ht="12.75" hidden="1" customHeight="1" outlineLevel="1" x14ac:dyDescent="0.25">
      <c r="A16107" s="2380">
        <v>0.02</v>
      </c>
      <c r="B16107" s="1921" t="s">
        <v>581</v>
      </c>
      <c r="C16107" s="2108">
        <v>103.889</v>
      </c>
      <c r="D16107" s="3196">
        <v>157.35</v>
      </c>
      <c r="E16107" s="3197">
        <v>0.51459731059111169</v>
      </c>
      <c r="F16107" s="3198">
        <v>1.0291946211822235E-2</v>
      </c>
      <c r="G16107" s="78"/>
      <c r="H16107" t="s">
        <v>589</v>
      </c>
      <c r="K16107" s="434"/>
    </row>
    <row r="16108" spans="1:11" ht="12.75" hidden="1" customHeight="1" outlineLevel="1" x14ac:dyDescent="0.25">
      <c r="A16108" s="2380">
        <v>0.03</v>
      </c>
      <c r="B16108" s="1921" t="s">
        <v>7114</v>
      </c>
      <c r="C16108" s="2108">
        <v>121.755</v>
      </c>
      <c r="D16108" s="3196">
        <v>185.29</v>
      </c>
      <c r="E16108" s="3197">
        <v>0.52182661903001937</v>
      </c>
      <c r="F16108" s="3198">
        <v>1.5654798570900581E-2</v>
      </c>
      <c r="G16108" s="78"/>
      <c r="H16108" t="s">
        <v>7115</v>
      </c>
      <c r="K16108" s="434"/>
    </row>
    <row r="16109" spans="1:11" ht="12.75" hidden="1" customHeight="1" outlineLevel="1" x14ac:dyDescent="0.25">
      <c r="A16109" s="2380">
        <v>0.02</v>
      </c>
      <c r="B16109" s="1921" t="s">
        <v>8526</v>
      </c>
      <c r="C16109" s="2108">
        <v>255.74</v>
      </c>
      <c r="D16109" s="3196">
        <v>166</v>
      </c>
      <c r="E16109" s="3197">
        <v>-0.3509032611245797</v>
      </c>
      <c r="F16109" s="3198">
        <v>-7.0180652224915941E-3</v>
      </c>
      <c r="G16109" s="78"/>
      <c r="H16109" t="s">
        <v>8515</v>
      </c>
      <c r="K16109" s="434"/>
    </row>
    <row r="16110" spans="1:11" ht="12.75" hidden="1" customHeight="1" outlineLevel="1" x14ac:dyDescent="0.25">
      <c r="A16110" s="2380">
        <v>0.02</v>
      </c>
      <c r="B16110" s="1921" t="s">
        <v>6821</v>
      </c>
      <c r="C16110" s="2108">
        <v>3.439007496136353</v>
      </c>
      <c r="D16110" s="3196">
        <v>1.3594999999999999</v>
      </c>
      <c r="E16110" s="3197">
        <v>-0.60468245517714991</v>
      </c>
      <c r="F16110" s="3198">
        <v>-1.2093649103542999E-2</v>
      </c>
      <c r="G16110" s="78"/>
      <c r="H16110" t="s">
        <v>6822</v>
      </c>
      <c r="K16110" s="434"/>
    </row>
    <row r="16111" spans="1:11" ht="12.75" hidden="1" customHeight="1" outlineLevel="1" x14ac:dyDescent="0.25">
      <c r="A16111" s="2380">
        <v>0.05</v>
      </c>
      <c r="B16111" s="1921" t="s">
        <v>1231</v>
      </c>
      <c r="C16111" s="2108">
        <v>84.025999999999996</v>
      </c>
      <c r="D16111" s="3196">
        <v>89.74</v>
      </c>
      <c r="E16111" s="3197">
        <v>6.8002761050151239E-2</v>
      </c>
      <c r="F16111" s="3198">
        <v>3.4001380525075621E-3</v>
      </c>
      <c r="G16111" s="78"/>
      <c r="H16111" t="s">
        <v>2041</v>
      </c>
      <c r="K16111" s="434"/>
    </row>
    <row r="16112" spans="1:11" ht="12.75" hidden="1" customHeight="1" outlineLevel="1" x14ac:dyDescent="0.25">
      <c r="A16112" s="2380">
        <v>0.02</v>
      </c>
      <c r="B16112" s="1921" t="s">
        <v>7855</v>
      </c>
      <c r="C16112" s="2108">
        <v>51.674999999999997</v>
      </c>
      <c r="D16112" s="3196">
        <v>49.24</v>
      </c>
      <c r="E16112" s="3197">
        <v>-4.7121432027092292E-2</v>
      </c>
      <c r="F16112" s="3198">
        <v>-9.4242864054184584E-4</v>
      </c>
      <c r="G16112" s="78"/>
      <c r="H16112" t="s">
        <v>7851</v>
      </c>
      <c r="K16112" s="434"/>
    </row>
    <row r="16113" spans="1:11" ht="12.75" hidden="1" customHeight="1" outlineLevel="1" x14ac:dyDescent="0.25">
      <c r="A16113" s="2380">
        <v>0.02</v>
      </c>
      <c r="B16113" s="1921" t="s">
        <v>5943</v>
      </c>
      <c r="C16113" s="2108">
        <v>10.911922304930805</v>
      </c>
      <c r="D16113" s="3196">
        <v>15.13</v>
      </c>
      <c r="E16113" s="3197">
        <v>0.38655679331250004</v>
      </c>
      <c r="F16113" s="3198">
        <v>7.7311358662500006E-3</v>
      </c>
      <c r="G16113" s="78"/>
      <c r="H16113" t="s">
        <v>5984</v>
      </c>
      <c r="K16113" s="434"/>
    </row>
    <row r="16114" spans="1:11" ht="12.75" hidden="1" customHeight="1" outlineLevel="1" x14ac:dyDescent="0.25">
      <c r="A16114" s="2380">
        <v>0.05</v>
      </c>
      <c r="B16114" s="1921" t="s">
        <v>10730</v>
      </c>
      <c r="C16114" s="2519">
        <v>16.125</v>
      </c>
      <c r="D16114" s="3196">
        <v>0.14332900000000001</v>
      </c>
      <c r="E16114" s="3197">
        <v>-0.99111137984496123</v>
      </c>
      <c r="F16114" s="3198">
        <v>-4.9555568992248063E-2</v>
      </c>
      <c r="G16114" s="78"/>
      <c r="H16114" t="s">
        <v>10729</v>
      </c>
      <c r="K16114" s="434"/>
    </row>
    <row r="16115" spans="1:11" ht="12.75" hidden="1" customHeight="1" outlineLevel="1" x14ac:dyDescent="0.25">
      <c r="A16115" s="2380">
        <v>7.0000000000000007E-2</v>
      </c>
      <c r="B16115" s="1921" t="s">
        <v>1031</v>
      </c>
      <c r="C16115" s="2108">
        <v>6.8533999999999997</v>
      </c>
      <c r="D16115" s="3196">
        <v>11.95</v>
      </c>
      <c r="E16115" s="3197">
        <v>0.7436600811276155</v>
      </c>
      <c r="F16115" s="3198">
        <v>5.2056205678933092E-2</v>
      </c>
      <c r="G16115" s="78"/>
      <c r="H16115" t="s">
        <v>7872</v>
      </c>
      <c r="K16115" s="434"/>
    </row>
    <row r="16116" spans="1:11" ht="12.75" hidden="1" customHeight="1" outlineLevel="1" x14ac:dyDescent="0.25">
      <c r="A16116" s="2380">
        <v>0.02</v>
      </c>
      <c r="B16116" s="1921" t="s">
        <v>8527</v>
      </c>
      <c r="C16116" s="2108">
        <v>33.384500000000003</v>
      </c>
      <c r="D16116" s="3196">
        <v>33.909999999999997</v>
      </c>
      <c r="E16116" s="3197">
        <v>1.5740837813955411E-2</v>
      </c>
      <c r="F16116" s="3198">
        <v>3.1481675627910823E-4</v>
      </c>
      <c r="G16116" s="78"/>
      <c r="H16116" t="s">
        <v>8516</v>
      </c>
      <c r="K16116" s="434"/>
    </row>
    <row r="16117" spans="1:11" ht="12.75" hidden="1" customHeight="1" outlineLevel="1" x14ac:dyDescent="0.25">
      <c r="A16117" s="2380">
        <v>0.04</v>
      </c>
      <c r="B16117" s="1921" t="s">
        <v>2787</v>
      </c>
      <c r="C16117" s="2108">
        <v>70.529843885293872</v>
      </c>
      <c r="D16117" s="3196">
        <v>90</v>
      </c>
      <c r="E16117" s="3197">
        <v>0.27605556800000008</v>
      </c>
      <c r="F16117" s="3198">
        <v>1.1042222720000003E-2</v>
      </c>
      <c r="G16117" s="78"/>
      <c r="H16117" t="s">
        <v>8874</v>
      </c>
      <c r="K16117" s="434"/>
    </row>
    <row r="16118" spans="1:11" ht="12.75" hidden="1" customHeight="1" outlineLevel="1" x14ac:dyDescent="0.25">
      <c r="A16118" s="2380">
        <v>0.02</v>
      </c>
      <c r="B16118" s="1921" t="s">
        <v>3255</v>
      </c>
      <c r="C16118" s="2108">
        <v>8.3666543395309958</v>
      </c>
      <c r="D16118" s="3196">
        <v>7.11</v>
      </c>
      <c r="E16118" s="3197">
        <v>-0.15019795112049994</v>
      </c>
      <c r="F16118" s="3198">
        <v>-3.0039590224099988E-3</v>
      </c>
      <c r="G16118" s="78"/>
      <c r="H16118" t="s">
        <v>3631</v>
      </c>
      <c r="K16118" s="434"/>
    </row>
    <row r="16119" spans="1:11" ht="12.75" hidden="1" customHeight="1" outlineLevel="1" x14ac:dyDescent="0.25">
      <c r="A16119" s="2380">
        <v>0.02</v>
      </c>
      <c r="B16119" s="1921" t="s">
        <v>8528</v>
      </c>
      <c r="C16119" s="2108">
        <v>9.5269999999999992</v>
      </c>
      <c r="D16119" s="3196">
        <v>5.9</v>
      </c>
      <c r="E16119" s="3197">
        <v>-0.380707462999895</v>
      </c>
      <c r="F16119" s="3198">
        <v>-7.6141492599978997E-3</v>
      </c>
      <c r="G16119" s="78"/>
      <c r="H16119" t="s">
        <v>8517</v>
      </c>
      <c r="K16119" s="434"/>
    </row>
    <row r="16120" spans="1:11" ht="12.75" hidden="1" customHeight="1" outlineLevel="1" x14ac:dyDescent="0.25">
      <c r="A16120" s="2380">
        <v>0.02</v>
      </c>
      <c r="B16120" s="1921" t="s">
        <v>1323</v>
      </c>
      <c r="C16120" s="2108">
        <v>43.087000000000003</v>
      </c>
      <c r="D16120" s="3196">
        <v>62.61</v>
      </c>
      <c r="E16120" s="3197">
        <v>0.45310650544247677</v>
      </c>
      <c r="F16120" s="3198">
        <v>9.0621301088495351E-3</v>
      </c>
      <c r="G16120" s="78"/>
      <c r="H16120" t="s">
        <v>3920</v>
      </c>
      <c r="K16120" s="434"/>
    </row>
    <row r="16121" spans="1:11" ht="12.75" hidden="1" customHeight="1" outlineLevel="1" x14ac:dyDescent="0.25">
      <c r="A16121" s="2380">
        <v>0.02</v>
      </c>
      <c r="B16121" s="1921" t="s">
        <v>8529</v>
      </c>
      <c r="C16121" s="2108">
        <v>54.07342666295024</v>
      </c>
      <c r="D16121" s="3196">
        <v>59.79</v>
      </c>
      <c r="E16121" s="3197">
        <v>0.105718717859</v>
      </c>
      <c r="F16121" s="3198">
        <v>2.11437435718E-3</v>
      </c>
      <c r="G16121" s="78"/>
      <c r="H16121" t="s">
        <v>8518</v>
      </c>
      <c r="K16121" s="434"/>
    </row>
    <row r="16122" spans="1:11" ht="12.75" hidden="1" customHeight="1" outlineLevel="1" x14ac:dyDescent="0.25">
      <c r="A16122" s="2380">
        <v>0.02</v>
      </c>
      <c r="B16122" s="1921" t="s">
        <v>10734</v>
      </c>
      <c r="C16122" s="2108">
        <v>18.3005</v>
      </c>
      <c r="D16122" s="3196">
        <v>15.385</v>
      </c>
      <c r="E16122" s="3197">
        <v>-0.15931258708778451</v>
      </c>
      <c r="F16122" s="3198">
        <v>-3.18625174175569E-3</v>
      </c>
      <c r="G16122" s="78"/>
      <c r="H16122" t="s">
        <v>10735</v>
      </c>
      <c r="K16122" s="434"/>
    </row>
    <row r="16123" spans="1:11" ht="12.75" hidden="1" customHeight="1" outlineLevel="1" x14ac:dyDescent="0.25">
      <c r="A16123" s="2380">
        <v>0.02</v>
      </c>
      <c r="B16123" s="1921" t="s">
        <v>6270</v>
      </c>
      <c r="C16123" s="2108">
        <v>44.003625898774061</v>
      </c>
      <c r="D16123" s="3196">
        <v>41.12</v>
      </c>
      <c r="E16123" s="3197">
        <v>-6.5531552000000048E-2</v>
      </c>
      <c r="F16123" s="3198">
        <v>-1.310631040000001E-3</v>
      </c>
      <c r="G16123" s="78"/>
      <c r="H16123" t="s">
        <v>8166</v>
      </c>
      <c r="K16123" s="434"/>
    </row>
    <row r="16124" spans="1:11" ht="12.75" hidden="1" customHeight="1" outlineLevel="1" x14ac:dyDescent="0.25">
      <c r="A16124" s="2380">
        <v>0.02</v>
      </c>
      <c r="B16124" s="1921" t="s">
        <v>1187</v>
      </c>
      <c r="C16124" s="2108">
        <v>83.090931121336425</v>
      </c>
      <c r="D16124" s="3196">
        <v>98.2</v>
      </c>
      <c r="E16124" s="3197">
        <v>0.18183776104999994</v>
      </c>
      <c r="F16124" s="3198">
        <v>3.6367552209999989E-3</v>
      </c>
      <c r="G16124" s="78"/>
      <c r="H16124" t="s">
        <v>3483</v>
      </c>
      <c r="K16124" s="434"/>
    </row>
    <row r="16125" spans="1:11" ht="12.75" hidden="1" customHeight="1" outlineLevel="1" x14ac:dyDescent="0.25">
      <c r="A16125" s="2380">
        <v>0.02</v>
      </c>
      <c r="B16125" s="1921" t="s">
        <v>10762</v>
      </c>
      <c r="C16125" s="2108">
        <v>2</v>
      </c>
      <c r="D16125" s="3196">
        <v>1.6014999999999999</v>
      </c>
      <c r="E16125" s="3197">
        <v>-0.19925000000000004</v>
      </c>
      <c r="F16125" s="3198">
        <v>-3.9850000000000007E-3</v>
      </c>
      <c r="G16125" s="78"/>
      <c r="H16125" t="s">
        <v>10763</v>
      </c>
      <c r="K16125" s="434"/>
    </row>
    <row r="16126" spans="1:11" ht="12.75" hidden="1" customHeight="1" outlineLevel="1" x14ac:dyDescent="0.25">
      <c r="A16126" s="2380">
        <v>0.04</v>
      </c>
      <c r="B16126" s="1921" t="s">
        <v>1724</v>
      </c>
      <c r="C16126" s="2108">
        <v>210.24671863741287</v>
      </c>
      <c r="D16126" s="3196">
        <v>181.85</v>
      </c>
      <c r="E16126" s="3197">
        <v>-0.13506378992000001</v>
      </c>
      <c r="F16126" s="3198">
        <v>-5.4025515968000003E-3</v>
      </c>
      <c r="G16126" s="78"/>
      <c r="H16126" t="s">
        <v>1725</v>
      </c>
      <c r="K16126" s="434"/>
    </row>
    <row r="16127" spans="1:11" ht="12.75" hidden="1" customHeight="1" outlineLevel="1" x14ac:dyDescent="0.25">
      <c r="A16127" s="2380">
        <v>0.02</v>
      </c>
      <c r="B16127" s="1921" t="s">
        <v>10737</v>
      </c>
      <c r="C16127" s="2108">
        <v>6.7296503390443263</v>
      </c>
      <c r="D16127" s="3196">
        <v>8.8078000000000003</v>
      </c>
      <c r="E16127" s="3197">
        <v>0.3088049982179002</v>
      </c>
      <c r="F16127" s="3198">
        <v>6.176099964358004E-3</v>
      </c>
      <c r="G16127" s="78"/>
      <c r="H16127" t="s">
        <v>10738</v>
      </c>
      <c r="K16127" s="434"/>
    </row>
    <row r="16128" spans="1:11" ht="12.75" hidden="1" customHeight="1" outlineLevel="1" x14ac:dyDescent="0.25">
      <c r="A16128" s="2380">
        <v>0.03</v>
      </c>
      <c r="B16128" s="1921" t="s">
        <v>5503</v>
      </c>
      <c r="C16128" s="2108">
        <v>6.7714533100819718</v>
      </c>
      <c r="D16128" s="3196">
        <v>7.26</v>
      </c>
      <c r="E16128" s="3197">
        <v>7.214798176199988E-2</v>
      </c>
      <c r="F16128" s="3198">
        <v>2.1644394528599962E-3</v>
      </c>
      <c r="G16128" s="78"/>
      <c r="H16128" t="s">
        <v>5501</v>
      </c>
      <c r="K16128" s="434"/>
    </row>
    <row r="16129" spans="1:11" ht="12.75" hidden="1" customHeight="1" outlineLevel="1" x14ac:dyDescent="0.25">
      <c r="A16129" s="2380">
        <v>0.06</v>
      </c>
      <c r="B16129" s="1921" t="s">
        <v>434</v>
      </c>
      <c r="C16129" s="2108">
        <v>38.938000000000002</v>
      </c>
      <c r="D16129" s="3196">
        <v>23.65</v>
      </c>
      <c r="E16129" s="3197">
        <v>-0.39262417176023434</v>
      </c>
      <c r="F16129" s="3198">
        <v>-2.3557450305614059E-2</v>
      </c>
      <c r="G16129" s="78"/>
      <c r="H16129" t="s">
        <v>7745</v>
      </c>
      <c r="K16129" s="434"/>
    </row>
    <row r="16130" spans="1:11" ht="12.75" hidden="1" customHeight="1" outlineLevel="1" x14ac:dyDescent="0.25">
      <c r="A16130" s="2380">
        <v>0.03</v>
      </c>
      <c r="B16130" s="1921" t="s">
        <v>5249</v>
      </c>
      <c r="C16130" s="2108">
        <v>3.8977760638020689</v>
      </c>
      <c r="D16130" s="3196">
        <v>4.3</v>
      </c>
      <c r="E16130" s="3197">
        <v>0.10319318750333317</v>
      </c>
      <c r="F16130" s="3198">
        <v>3.0957956250999949E-3</v>
      </c>
      <c r="G16130" s="78"/>
      <c r="H16130" t="s">
        <v>5247</v>
      </c>
      <c r="K16130" s="434"/>
    </row>
    <row r="16131" spans="1:11" ht="12.75" hidden="1" customHeight="1" outlineLevel="1" x14ac:dyDescent="0.25">
      <c r="A16131" s="2380">
        <v>7.0000000000000007E-2</v>
      </c>
      <c r="B16131" s="2109" t="s">
        <v>4550</v>
      </c>
      <c r="C16131" s="2108">
        <v>288.54000000000002</v>
      </c>
      <c r="D16131" s="3199">
        <v>424.9</v>
      </c>
      <c r="E16131" s="3197">
        <v>0.4725861232411448</v>
      </c>
      <c r="F16131" s="3198">
        <v>3.3081028626880137E-2</v>
      </c>
      <c r="G16131" s="78"/>
      <c r="H16131" t="s">
        <v>8889</v>
      </c>
      <c r="K16131" s="434"/>
    </row>
    <row r="16132" spans="1:11" ht="12.75" hidden="1" customHeight="1" outlineLevel="1" x14ac:dyDescent="0.25">
      <c r="A16132" s="2181" t="s">
        <v>2734</v>
      </c>
      <c r="B16132" s="2103"/>
      <c r="C16132" s="3200"/>
      <c r="D16132" s="3201"/>
      <c r="E16132" s="3202"/>
      <c r="F16132" s="3193">
        <v>7.6799999999999993E-2</v>
      </c>
      <c r="G16132" s="78"/>
    </row>
    <row r="16133" spans="1:11" ht="12.75" hidden="1" customHeight="1" outlineLevel="1" x14ac:dyDescent="0.25">
      <c r="A16133" s="1956" t="s">
        <v>8795</v>
      </c>
      <c r="B16133" s="2185">
        <v>44927</v>
      </c>
      <c r="C16133" s="3203">
        <v>100</v>
      </c>
      <c r="D16133" s="3203">
        <v>108.8052</v>
      </c>
      <c r="E16133" s="3204">
        <v>8.8052000000000019E-2</v>
      </c>
      <c r="F16133" s="3205"/>
      <c r="G16133" s="78"/>
    </row>
    <row r="16134" spans="1:11" ht="12.75" hidden="1" customHeight="1" outlineLevel="1" x14ac:dyDescent="0.25">
      <c r="A16134" s="1956" t="s">
        <v>8796</v>
      </c>
      <c r="B16134" s="2185">
        <v>44958</v>
      </c>
      <c r="C16134" s="3203">
        <v>100</v>
      </c>
      <c r="D16134" s="3206">
        <v>107.2244</v>
      </c>
      <c r="E16134" s="3204">
        <v>7.2243999999999975E-2</v>
      </c>
      <c r="F16134" s="3205"/>
      <c r="G16134" s="78"/>
    </row>
    <row r="16135" spans="1:11" ht="12.75" hidden="1" customHeight="1" outlineLevel="1" x14ac:dyDescent="0.25">
      <c r="A16135" s="1956" t="s">
        <v>8797</v>
      </c>
      <c r="B16135" s="2185">
        <v>44986</v>
      </c>
      <c r="C16135" s="3203">
        <v>100</v>
      </c>
      <c r="D16135" s="3206">
        <v>106.64879999999999</v>
      </c>
      <c r="E16135" s="3204">
        <v>6.6487999999999881E-2</v>
      </c>
      <c r="F16135" s="3205"/>
      <c r="G16135" s="78"/>
    </row>
    <row r="16136" spans="1:11" ht="12.75" hidden="1" customHeight="1" outlineLevel="1" x14ac:dyDescent="0.25">
      <c r="A16136" s="1956" t="s">
        <v>8798</v>
      </c>
      <c r="B16136" s="2185">
        <v>45017</v>
      </c>
      <c r="C16136" s="3203">
        <v>100</v>
      </c>
      <c r="D16136" s="3206">
        <v>109.831</v>
      </c>
      <c r="E16136" s="3204">
        <v>9.831000000000012E-2</v>
      </c>
      <c r="F16136" s="3205"/>
      <c r="G16136" s="78"/>
    </row>
    <row r="16137" spans="1:11" ht="12.75" hidden="1" customHeight="1" outlineLevel="1" x14ac:dyDescent="0.25">
      <c r="A16137" s="1956" t="s">
        <v>8799</v>
      </c>
      <c r="B16137" s="2185">
        <v>45047</v>
      </c>
      <c r="C16137" s="3203">
        <v>100</v>
      </c>
      <c r="D16137" s="3206">
        <v>105.38509999999999</v>
      </c>
      <c r="E16137" s="3204">
        <v>5.3850999999999871E-2</v>
      </c>
      <c r="F16137" s="3205"/>
      <c r="G16137" s="78"/>
    </row>
    <row r="16138" spans="1:11" ht="12.75" hidden="1" customHeight="1" outlineLevel="1" x14ac:dyDescent="0.25">
      <c r="A16138" s="1956" t="s">
        <v>8800</v>
      </c>
      <c r="B16138" s="2185">
        <v>45078</v>
      </c>
      <c r="C16138" s="3203">
        <v>100</v>
      </c>
      <c r="D16138" s="3206">
        <v>107.68389999999999</v>
      </c>
      <c r="E16138" s="3204">
        <v>7.683899999999988E-2</v>
      </c>
      <c r="F16138" s="3205"/>
      <c r="G16138" s="78"/>
    </row>
    <row r="16139" spans="1:11" ht="12.75" hidden="1" customHeight="1" outlineLevel="1" x14ac:dyDescent="0.25">
      <c r="A16139" s="2189" t="s">
        <v>2734</v>
      </c>
      <c r="B16139" s="2190"/>
      <c r="C16139" s="3206"/>
      <c r="D16139" s="2191" t="s">
        <v>2465</v>
      </c>
      <c r="E16139" s="1987">
        <v>7.5963999999999962E-2</v>
      </c>
      <c r="F16139" s="2192">
        <v>7.5963999999999962E-2</v>
      </c>
      <c r="G16139" s="78"/>
    </row>
    <row r="16140" spans="1:11" collapsed="1" x14ac:dyDescent="0.25">
      <c r="A16140" s="3801" t="s">
        <v>8619</v>
      </c>
      <c r="B16140" s="3802"/>
      <c r="C16140" s="3802"/>
      <c r="D16140" s="3802"/>
      <c r="E16140" s="1906"/>
      <c r="F16140" s="1907">
        <v>7.5963999999999962E-2</v>
      </c>
      <c r="G16140" s="78"/>
    </row>
    <row r="16142" spans="1:11" ht="12.75" hidden="1" customHeight="1" outlineLevel="1" x14ac:dyDescent="0.25">
      <c r="A16142" s="3237" t="s">
        <v>113</v>
      </c>
      <c r="B16142" s="3237" t="s">
        <v>114</v>
      </c>
      <c r="C16142" s="3237" t="s">
        <v>112</v>
      </c>
      <c r="D16142" s="3237" t="s">
        <v>116</v>
      </c>
      <c r="E16142" s="3237" t="s">
        <v>117</v>
      </c>
      <c r="F16142" s="3276" t="s">
        <v>121</v>
      </c>
      <c r="G16142" s="78"/>
    </row>
    <row r="16143" spans="1:11" ht="12.75" hidden="1" customHeight="1" outlineLevel="1" x14ac:dyDescent="0.25">
      <c r="A16143" s="3238">
        <v>1</v>
      </c>
      <c r="B16143" s="3239" t="s">
        <v>252</v>
      </c>
      <c r="C16143" s="3240">
        <v>100</v>
      </c>
      <c r="D16143" s="3240"/>
      <c r="E16143" s="3241"/>
      <c r="F16143" s="3242"/>
      <c r="G16143" s="78"/>
    </row>
    <row r="16144" spans="1:11" ht="12.75" hidden="1" customHeight="1" outlineLevel="1" x14ac:dyDescent="0.25">
      <c r="A16144" s="3243" t="s">
        <v>2734</v>
      </c>
      <c r="B16144" s="3243"/>
      <c r="C16144" s="3244"/>
      <c r="D16144" s="1900" t="s">
        <v>3702</v>
      </c>
      <c r="E16144" s="3245">
        <v>45077</v>
      </c>
      <c r="F16144" s="3246"/>
      <c r="G16144" s="78"/>
    </row>
    <row r="16145" spans="1:11" ht="12.75" hidden="1" customHeight="1" outlineLevel="1" x14ac:dyDescent="0.25">
      <c r="A16145" s="3237" t="s">
        <v>4156</v>
      </c>
      <c r="B16145" s="3237" t="s">
        <v>4153</v>
      </c>
      <c r="C16145" s="3247" t="s">
        <v>112</v>
      </c>
      <c r="D16145" s="3248" t="s">
        <v>4155</v>
      </c>
      <c r="E16145" s="3237" t="s">
        <v>4154</v>
      </c>
      <c r="F16145" s="3277" t="s">
        <v>2519</v>
      </c>
      <c r="G16145" s="78"/>
    </row>
    <row r="16146" spans="1:11" ht="12.75" hidden="1" customHeight="1" outlineLevel="1" x14ac:dyDescent="0.25">
      <c r="A16146" s="2380">
        <v>0.05</v>
      </c>
      <c r="B16146" s="2089" t="s">
        <v>359</v>
      </c>
      <c r="C16146" s="2108">
        <v>180.62</v>
      </c>
      <c r="D16146" s="3194">
        <v>199.98</v>
      </c>
      <c r="E16146" s="3195">
        <v>0.1071863580998782</v>
      </c>
      <c r="F16146" s="3193">
        <v>5.3593179049939103E-3</v>
      </c>
      <c r="G16146" s="78"/>
      <c r="H16146" t="s">
        <v>360</v>
      </c>
      <c r="K16146" s="434"/>
    </row>
    <row r="16147" spans="1:11" ht="12.75" hidden="1" customHeight="1" outlineLevel="1" x14ac:dyDescent="0.25">
      <c r="A16147" s="2380">
        <v>0.05</v>
      </c>
      <c r="B16147" s="1921" t="s">
        <v>2697</v>
      </c>
      <c r="C16147" s="2108">
        <v>15.221</v>
      </c>
      <c r="D16147" s="3196">
        <v>17.715</v>
      </c>
      <c r="E16147" s="3197">
        <v>0.16385257210432957</v>
      </c>
      <c r="F16147" s="3198">
        <v>8.1926286052164798E-3</v>
      </c>
      <c r="G16147" s="78"/>
      <c r="H16147" t="s">
        <v>329</v>
      </c>
      <c r="K16147" s="434"/>
    </row>
    <row r="16148" spans="1:11" ht="12.75" hidden="1" customHeight="1" outlineLevel="1" x14ac:dyDescent="0.25">
      <c r="A16148" s="2380">
        <v>0.02</v>
      </c>
      <c r="B16148" s="1921" t="s">
        <v>2942</v>
      </c>
      <c r="C16148" s="2108">
        <v>1366.1</v>
      </c>
      <c r="D16148" s="3196">
        <v>2207.5</v>
      </c>
      <c r="E16148" s="3197">
        <v>0.61591391552594987</v>
      </c>
      <c r="F16148" s="3198">
        <v>1.2318278310518998E-2</v>
      </c>
      <c r="G16148" s="78"/>
      <c r="H16148" t="s">
        <v>2336</v>
      </c>
      <c r="K16148" s="434"/>
    </row>
    <row r="16149" spans="1:11" ht="12.75" hidden="1" customHeight="1" outlineLevel="1" x14ac:dyDescent="0.25">
      <c r="A16149" s="2380">
        <v>0.04</v>
      </c>
      <c r="B16149" s="1921" t="s">
        <v>1093</v>
      </c>
      <c r="C16149" s="2108">
        <v>5.234424000107591</v>
      </c>
      <c r="D16149" s="3196">
        <v>3.9419999999999997</v>
      </c>
      <c r="E16149" s="3197">
        <v>-0.24690854238804993</v>
      </c>
      <c r="F16149" s="3198">
        <v>-9.8763416955219979E-3</v>
      </c>
      <c r="G16149" s="78"/>
      <c r="H16149" t="s">
        <v>2039</v>
      </c>
      <c r="K16149" s="434"/>
    </row>
    <row r="16150" spans="1:11" ht="12.75" hidden="1" customHeight="1" outlineLevel="1" x14ac:dyDescent="0.25">
      <c r="A16150" s="2380">
        <v>0.05</v>
      </c>
      <c r="B16150" s="1921" t="s">
        <v>7835</v>
      </c>
      <c r="C16150" s="2108">
        <v>109.68722420381455</v>
      </c>
      <c r="D16150" s="3196">
        <v>52.14</v>
      </c>
      <c r="E16150" s="3197">
        <v>-0.52464837743439996</v>
      </c>
      <c r="F16150" s="3198">
        <v>-2.6232418871719999E-2</v>
      </c>
      <c r="G16150" s="78"/>
      <c r="H16150" t="s">
        <v>5541</v>
      </c>
      <c r="K16150" s="434"/>
    </row>
    <row r="16151" spans="1:11" ht="12.75" hidden="1" customHeight="1" outlineLevel="1" x14ac:dyDescent="0.25">
      <c r="A16151" s="2380">
        <v>0.05</v>
      </c>
      <c r="B16151" s="1921" t="s">
        <v>10371</v>
      </c>
      <c r="C16151" s="2108">
        <v>31.596</v>
      </c>
      <c r="D16151" s="3196">
        <v>19.96</v>
      </c>
      <c r="E16151" s="3197">
        <v>-0.36827446512216733</v>
      </c>
      <c r="F16151" s="3198">
        <v>-1.8413723256108367E-2</v>
      </c>
      <c r="G16151" s="78"/>
      <c r="H16151" t="s">
        <v>10370</v>
      </c>
      <c r="K16151" s="434"/>
    </row>
    <row r="16152" spans="1:11" ht="12.75" hidden="1" customHeight="1" outlineLevel="1" x14ac:dyDescent="0.25">
      <c r="A16152" s="2380">
        <v>0.03</v>
      </c>
      <c r="B16152" s="1921" t="s">
        <v>8803</v>
      </c>
      <c r="C16152" s="2108">
        <v>1.7690999999999999</v>
      </c>
      <c r="D16152" s="3196">
        <v>0.69799999999999995</v>
      </c>
      <c r="E16152" s="3197">
        <v>-0.60544909841162176</v>
      </c>
      <c r="F16152" s="3198">
        <v>-1.8163472952348651E-2</v>
      </c>
      <c r="G16152" s="78"/>
      <c r="H16152" t="s">
        <v>8801</v>
      </c>
      <c r="K16152" s="434"/>
    </row>
    <row r="16153" spans="1:11" ht="12.75" hidden="1" customHeight="1" outlineLevel="1" x14ac:dyDescent="0.25">
      <c r="A16153" s="2380">
        <v>0.08</v>
      </c>
      <c r="B16153" s="1921" t="s">
        <v>8804</v>
      </c>
      <c r="C16153" s="2108">
        <v>50.796999999999997</v>
      </c>
      <c r="D16153" s="3196">
        <v>55.64</v>
      </c>
      <c r="E16153" s="3197">
        <v>9.5340276000551283E-2</v>
      </c>
      <c r="F16153" s="3198">
        <v>7.6272220800441028E-3</v>
      </c>
      <c r="G16153" s="78"/>
      <c r="H16153" t="s">
        <v>8909</v>
      </c>
      <c r="K16153" s="434"/>
    </row>
    <row r="16154" spans="1:11" ht="12.75" hidden="1" customHeight="1" outlineLevel="1" x14ac:dyDescent="0.25">
      <c r="A16154" s="2380">
        <v>0.03</v>
      </c>
      <c r="B16154" s="1921" t="s">
        <v>6742</v>
      </c>
      <c r="C16154" s="2108">
        <v>44.482545556965839</v>
      </c>
      <c r="D16154" s="3196">
        <v>47.47</v>
      </c>
      <c r="E16154" s="3197">
        <v>6.7160150248333439E-2</v>
      </c>
      <c r="F16154" s="3198">
        <v>2.0148045074500033E-3</v>
      </c>
      <c r="G16154" s="78"/>
      <c r="H16154" t="s">
        <v>6743</v>
      </c>
      <c r="K16154" s="434"/>
    </row>
    <row r="16155" spans="1:11" ht="12.75" hidden="1" customHeight="1" outlineLevel="1" x14ac:dyDescent="0.25">
      <c r="A16155" s="2380">
        <v>7.0000000000000007E-2</v>
      </c>
      <c r="B16155" s="1921" t="s">
        <v>6902</v>
      </c>
      <c r="C16155" s="2108">
        <v>2.6025</v>
      </c>
      <c r="D16155" s="3196">
        <v>2.2810000000000001</v>
      </c>
      <c r="E16155" s="3197">
        <v>-0.12353506243996148</v>
      </c>
      <c r="F16155" s="3198">
        <v>-8.6474543707973049E-3</v>
      </c>
      <c r="G16155" s="78"/>
      <c r="H16155" t="s">
        <v>6899</v>
      </c>
      <c r="K16155" s="434"/>
    </row>
    <row r="16156" spans="1:11" ht="12.75" hidden="1" customHeight="1" outlineLevel="1" x14ac:dyDescent="0.25">
      <c r="A16156" s="2380">
        <v>0.02</v>
      </c>
      <c r="B16156" s="1921" t="s">
        <v>1528</v>
      </c>
      <c r="C16156" s="2108">
        <v>218.89500000000001</v>
      </c>
      <c r="D16156" s="3196">
        <v>813.9</v>
      </c>
      <c r="E16156" s="3197">
        <v>2.7182210648941272</v>
      </c>
      <c r="F16156" s="3198">
        <v>5.4364421297882548E-2</v>
      </c>
      <c r="G16156" s="78"/>
      <c r="H16156" t="s">
        <v>4149</v>
      </c>
      <c r="K16156" s="434"/>
    </row>
    <row r="16157" spans="1:11" ht="12.75" hidden="1" customHeight="1" outlineLevel="1" x14ac:dyDescent="0.25">
      <c r="A16157" s="2380">
        <v>0.05</v>
      </c>
      <c r="B16157" s="1921" t="s">
        <v>7224</v>
      </c>
      <c r="C16157" s="2108">
        <v>3.1351447600024338</v>
      </c>
      <c r="D16157" s="3196">
        <v>1.786</v>
      </c>
      <c r="E16157" s="3197">
        <v>-0.43032933509628002</v>
      </c>
      <c r="F16157" s="3198">
        <v>-2.1516466754814001E-2</v>
      </c>
      <c r="G16157" s="78"/>
      <c r="H16157" t="s">
        <v>7225</v>
      </c>
      <c r="K16157" s="434"/>
    </row>
    <row r="16158" spans="1:11" ht="12.75" hidden="1" customHeight="1" outlineLevel="1" x14ac:dyDescent="0.25">
      <c r="A16158" s="2380">
        <v>0.08</v>
      </c>
      <c r="B16158" s="1921" t="s">
        <v>2787</v>
      </c>
      <c r="C16158" s="2519">
        <v>70.529844009655349</v>
      </c>
      <c r="D16158" s="3196">
        <v>87.16</v>
      </c>
      <c r="E16158" s="3197">
        <v>0.23578892345299995</v>
      </c>
      <c r="F16158" s="3198">
        <v>1.8863113876239998E-2</v>
      </c>
      <c r="G16158" s="78"/>
      <c r="H16158" t="s">
        <v>8874</v>
      </c>
      <c r="K16158" s="434"/>
    </row>
    <row r="16159" spans="1:11" ht="12.75" hidden="1" customHeight="1" outlineLevel="1" x14ac:dyDescent="0.25">
      <c r="A16159" s="2380">
        <v>0.05</v>
      </c>
      <c r="B16159" s="1921" t="s">
        <v>4293</v>
      </c>
      <c r="C16159" s="2108">
        <v>276.07</v>
      </c>
      <c r="D16159" s="3196">
        <v>1116.2</v>
      </c>
      <c r="E16159" s="3197">
        <v>3.0431774549932991</v>
      </c>
      <c r="F16159" s="3198">
        <v>0.15215887274966497</v>
      </c>
      <c r="G16159" s="78"/>
      <c r="H16159" t="s">
        <v>1893</v>
      </c>
      <c r="K16159" s="434"/>
    </row>
    <row r="16160" spans="1:11" ht="12.75" hidden="1" customHeight="1" outlineLevel="1" x14ac:dyDescent="0.25">
      <c r="A16160" s="2380">
        <v>7.0000000000000007E-2</v>
      </c>
      <c r="B16160" s="1921" t="s">
        <v>7433</v>
      </c>
      <c r="C16160" s="2108">
        <v>33.726500000000001</v>
      </c>
      <c r="D16160" s="3196">
        <v>7.5679999999999996</v>
      </c>
      <c r="E16160" s="3197">
        <v>-0.77560671875231646</v>
      </c>
      <c r="F16160" s="3198">
        <v>-5.4292470312662156E-2</v>
      </c>
      <c r="G16160" s="78"/>
      <c r="H16160" t="s">
        <v>7431</v>
      </c>
      <c r="K16160" s="434"/>
    </row>
    <row r="16161" spans="1:14" ht="12.75" hidden="1" customHeight="1" outlineLevel="1" x14ac:dyDescent="0.25">
      <c r="A16161" s="2380">
        <v>7.0000000000000007E-2</v>
      </c>
      <c r="B16161" s="1921" t="s">
        <v>3800</v>
      </c>
      <c r="C16161" s="2108">
        <v>243.47</v>
      </c>
      <c r="D16161" s="3196">
        <v>288.2</v>
      </c>
      <c r="E16161" s="3197">
        <v>0.18371873331416588</v>
      </c>
      <c r="F16161" s="3198">
        <v>1.2860311331991612E-2</v>
      </c>
      <c r="G16161" s="78"/>
      <c r="H16161" t="s">
        <v>8876</v>
      </c>
      <c r="K16161" s="434"/>
    </row>
    <row r="16162" spans="1:14" ht="12.75" hidden="1" customHeight="1" outlineLevel="1" x14ac:dyDescent="0.25">
      <c r="A16162" s="2380">
        <v>0.05</v>
      </c>
      <c r="B16162" s="1921" t="s">
        <v>10752</v>
      </c>
      <c r="C16162" s="2108">
        <v>83.593999999999994</v>
      </c>
      <c r="D16162" s="3196">
        <v>100.69759999999999</v>
      </c>
      <c r="E16162" s="3197">
        <v>0.20460320118668807</v>
      </c>
      <c r="F16162" s="3198">
        <v>1.0230160059334404E-2</v>
      </c>
      <c r="G16162" s="78"/>
      <c r="H16162" t="s">
        <v>10753</v>
      </c>
      <c r="K16162" s="434"/>
    </row>
    <row r="16163" spans="1:14" ht="12.75" hidden="1" customHeight="1" outlineLevel="1" x14ac:dyDescent="0.25">
      <c r="A16163" s="2380">
        <v>0.04</v>
      </c>
      <c r="B16163" s="1921" t="s">
        <v>8384</v>
      </c>
      <c r="C16163" s="2108">
        <v>157.16</v>
      </c>
      <c r="D16163" s="3196">
        <v>233.4</v>
      </c>
      <c r="E16163" s="3197">
        <v>0.48511071519470605</v>
      </c>
      <c r="F16163" s="3198">
        <v>1.9404428607788241E-2</v>
      </c>
      <c r="G16163" s="78"/>
      <c r="H16163" t="s">
        <v>8907</v>
      </c>
      <c r="K16163" s="434"/>
    </row>
    <row r="16164" spans="1:14" ht="12.75" hidden="1" customHeight="1" outlineLevel="1" x14ac:dyDescent="0.25">
      <c r="A16164" s="2380">
        <v>0.05</v>
      </c>
      <c r="B16164" s="1921" t="s">
        <v>3960</v>
      </c>
      <c r="C16164" s="2108">
        <v>4.124666190053734</v>
      </c>
      <c r="D16164" s="3196">
        <v>1.9850000000000001</v>
      </c>
      <c r="E16164" s="3197">
        <v>-0.51874893420789991</v>
      </c>
      <c r="F16164" s="3198">
        <v>-2.5937446710394996E-2</v>
      </c>
      <c r="G16164" s="78"/>
      <c r="H16164" t="s">
        <v>10638</v>
      </c>
      <c r="K16164" s="434"/>
    </row>
    <row r="16165" spans="1:14" ht="12.75" hidden="1" customHeight="1" outlineLevel="1" x14ac:dyDescent="0.25">
      <c r="A16165" s="2380">
        <v>0.05</v>
      </c>
      <c r="B16165" s="2109" t="s">
        <v>8373</v>
      </c>
      <c r="C16165" s="2108">
        <v>179.92983520920922</v>
      </c>
      <c r="D16165" s="3199">
        <v>306.39</v>
      </c>
      <c r="E16165" s="3197">
        <v>0.70283043745220009</v>
      </c>
      <c r="F16165" s="3198">
        <v>3.5141521872610007E-2</v>
      </c>
      <c r="G16165" s="78"/>
      <c r="H16165" t="s">
        <v>8374</v>
      </c>
      <c r="K16165" s="434"/>
    </row>
    <row r="16166" spans="1:14" ht="12.75" hidden="1" customHeight="1" outlineLevel="1" x14ac:dyDescent="0.25">
      <c r="A16166" s="2181" t="s">
        <v>2734</v>
      </c>
      <c r="B16166" s="2103"/>
      <c r="C16166" s="3200"/>
      <c r="D16166" s="3201"/>
      <c r="E16166" s="3202"/>
      <c r="F16166" s="3193">
        <v>0.1522</v>
      </c>
      <c r="G16166" s="78"/>
    </row>
    <row r="16167" spans="1:14" ht="12.75" hidden="1" customHeight="1" outlineLevel="1" x14ac:dyDescent="0.25">
      <c r="A16167" s="1956" t="s">
        <v>8806</v>
      </c>
      <c r="B16167" s="2185">
        <v>44896</v>
      </c>
      <c r="C16167" s="3203">
        <v>100</v>
      </c>
      <c r="D16167" s="3203">
        <v>109.2513</v>
      </c>
      <c r="E16167" s="3204">
        <v>9.2513000000000067E-2</v>
      </c>
      <c r="F16167" s="3205"/>
      <c r="G16167" s="78"/>
    </row>
    <row r="16168" spans="1:14" ht="12.75" hidden="1" customHeight="1" outlineLevel="1" x14ac:dyDescent="0.25">
      <c r="A16168" s="1956" t="s">
        <v>8807</v>
      </c>
      <c r="B16168" s="2185">
        <v>44927</v>
      </c>
      <c r="C16168" s="3203">
        <v>100</v>
      </c>
      <c r="D16168" s="3206">
        <v>114.2388</v>
      </c>
      <c r="E16168" s="3204">
        <v>0.14238799999999996</v>
      </c>
      <c r="F16168" s="3205"/>
      <c r="G16168" s="78"/>
    </row>
    <row r="16169" spans="1:14" ht="12.75" hidden="1" customHeight="1" outlineLevel="1" x14ac:dyDescent="0.25">
      <c r="A16169" s="1956" t="s">
        <v>8808</v>
      </c>
      <c r="B16169" s="2185">
        <v>44958</v>
      </c>
      <c r="C16169" s="3203">
        <v>100</v>
      </c>
      <c r="D16169" s="3206">
        <v>115.1756</v>
      </c>
      <c r="E16169" s="3204">
        <v>0.151756</v>
      </c>
      <c r="F16169" s="3205"/>
      <c r="G16169" s="78"/>
    </row>
    <row r="16170" spans="1:14" ht="12.75" hidden="1" customHeight="1" outlineLevel="1" x14ac:dyDescent="0.25">
      <c r="A16170" s="1956" t="s">
        <v>8809</v>
      </c>
      <c r="B16170" s="2185">
        <v>44986</v>
      </c>
      <c r="C16170" s="3203">
        <v>100</v>
      </c>
      <c r="D16170" s="3206">
        <v>117.1371</v>
      </c>
      <c r="E16170" s="3204">
        <v>0.17137099999999994</v>
      </c>
      <c r="F16170" s="3205"/>
      <c r="G16170" s="78"/>
    </row>
    <row r="16171" spans="1:14" ht="12.75" hidden="1" customHeight="1" outlineLevel="1" x14ac:dyDescent="0.25">
      <c r="A16171" s="1956" t="s">
        <v>8810</v>
      </c>
      <c r="B16171" s="2185">
        <v>45017</v>
      </c>
      <c r="C16171" s="3203">
        <v>100</v>
      </c>
      <c r="D16171" s="3206">
        <v>121.261</v>
      </c>
      <c r="E16171" s="3204">
        <v>0.21260999999999997</v>
      </c>
      <c r="F16171" s="3205"/>
      <c r="G16171" s="78"/>
    </row>
    <row r="16172" spans="1:14" ht="12.75" hidden="1" customHeight="1" outlineLevel="1" x14ac:dyDescent="0.25">
      <c r="A16172" s="1956" t="s">
        <v>8811</v>
      </c>
      <c r="B16172" s="2185">
        <v>45047</v>
      </c>
      <c r="C16172" s="3203">
        <v>100</v>
      </c>
      <c r="D16172" s="3206">
        <v>115.223</v>
      </c>
      <c r="E16172" s="3204">
        <v>0.15223000000000009</v>
      </c>
      <c r="F16172" s="3205"/>
      <c r="G16172" s="78"/>
    </row>
    <row r="16173" spans="1:14" ht="12.75" hidden="1" customHeight="1" outlineLevel="1" x14ac:dyDescent="0.25">
      <c r="A16173" s="2189" t="s">
        <v>2734</v>
      </c>
      <c r="B16173" s="2190"/>
      <c r="C16173" s="3206"/>
      <c r="D16173" s="2191" t="s">
        <v>2465</v>
      </c>
      <c r="E16173" s="1987">
        <v>0.15381133333333333</v>
      </c>
      <c r="F16173" s="2192">
        <v>0.15381133333333333</v>
      </c>
      <c r="G16173" s="78"/>
    </row>
    <row r="16174" spans="1:14" collapsed="1" x14ac:dyDescent="0.25">
      <c r="A16174" s="3801" t="s">
        <v>8616</v>
      </c>
      <c r="B16174" s="3802"/>
      <c r="C16174" s="3802"/>
      <c r="D16174" s="3802"/>
      <c r="E16174" s="1906"/>
      <c r="F16174" s="1907">
        <v>0.15381133333333333</v>
      </c>
      <c r="G16174" s="78"/>
    </row>
    <row r="16176" spans="1:14" hidden="1" outlineLevel="1" x14ac:dyDescent="0.25">
      <c r="A16176" s="3180" t="s">
        <v>113</v>
      </c>
      <c r="B16176" s="3180" t="s">
        <v>114</v>
      </c>
      <c r="C16176" s="3192" t="s">
        <v>112</v>
      </c>
      <c r="D16176" s="3248" t="s">
        <v>4363</v>
      </c>
      <c r="E16176" s="3192" t="s">
        <v>116</v>
      </c>
      <c r="F16176" s="3181" t="s">
        <v>8050</v>
      </c>
      <c r="G16176" s="78"/>
      <c r="I16176" s="2137">
        <v>45016</v>
      </c>
      <c r="J16176" s="3693">
        <v>45044</v>
      </c>
      <c r="K16176" s="2137">
        <v>45077</v>
      </c>
      <c r="L16176" s="2137">
        <v>45107</v>
      </c>
      <c r="M16176" s="2137">
        <v>45138</v>
      </c>
      <c r="N16176" s="2137">
        <v>45169</v>
      </c>
    </row>
    <row r="16177" spans="1:14" hidden="1" outlineLevel="1" x14ac:dyDescent="0.25">
      <c r="A16177" s="1956" t="s">
        <v>1327</v>
      </c>
      <c r="B16177" s="2999" t="s">
        <v>2153</v>
      </c>
      <c r="C16177" s="3684">
        <v>3427.9340000000002</v>
      </c>
      <c r="D16177" s="3684">
        <v>4343.3183333333336</v>
      </c>
      <c r="E16177" s="2961">
        <v>3328.5129999999999</v>
      </c>
      <c r="F16177" s="3689">
        <v>-2.9003183841929348E-2</v>
      </c>
      <c r="G16177" s="1770" t="s">
        <v>9420</v>
      </c>
      <c r="H16177" s="367"/>
      <c r="I16177" s="367">
        <v>4315.05</v>
      </c>
      <c r="J16177">
        <v>4359.3100000000004</v>
      </c>
      <c r="K16177">
        <v>4218.04</v>
      </c>
      <c r="L16177">
        <v>4399.09</v>
      </c>
      <c r="M16177">
        <v>4471.3100000000004</v>
      </c>
      <c r="N16177">
        <v>4297.1099999999997</v>
      </c>
    </row>
    <row r="16178" spans="1:14" hidden="1" outlineLevel="1" x14ac:dyDescent="0.25">
      <c r="A16178" s="1956" t="s">
        <v>6006</v>
      </c>
      <c r="B16178" s="2999" t="s">
        <v>2153</v>
      </c>
      <c r="C16178" s="3685"/>
      <c r="D16178" s="3685"/>
      <c r="E16178" s="2964"/>
      <c r="F16178" s="3689"/>
      <c r="G16178" s="78"/>
      <c r="H16178" t="s">
        <v>3766</v>
      </c>
      <c r="I16178" s="2487">
        <f>AVERAGE(I16177:N16177)</f>
        <v>4343.3183333333336</v>
      </c>
    </row>
    <row r="16179" spans="1:14" hidden="1" outlineLevel="1" x14ac:dyDescent="0.25">
      <c r="A16179" s="2197" t="s">
        <v>2734</v>
      </c>
      <c r="B16179" s="2965"/>
      <c r="C16179" s="1817"/>
      <c r="D16179" s="1817"/>
      <c r="E16179" s="2966"/>
      <c r="F16179" s="3689">
        <v>0.26703674380350773</v>
      </c>
      <c r="G16179" s="78"/>
    </row>
    <row r="16180" spans="1:14" collapsed="1" x14ac:dyDescent="0.25">
      <c r="A16180" s="3801" t="s">
        <v>8825</v>
      </c>
      <c r="B16180" s="3802"/>
      <c r="C16180" s="3802"/>
      <c r="D16180" s="3802"/>
      <c r="E16180" s="1906"/>
      <c r="F16180" s="1890">
        <v>0.26703674380350773</v>
      </c>
      <c r="G16180" s="78"/>
    </row>
    <row r="16182" spans="1:14" ht="12.75" hidden="1" customHeight="1" outlineLevel="1" x14ac:dyDescent="0.25">
      <c r="A16182" s="3237" t="s">
        <v>113</v>
      </c>
      <c r="B16182" s="3237" t="s">
        <v>114</v>
      </c>
      <c r="C16182" s="3237" t="s">
        <v>112</v>
      </c>
      <c r="D16182" s="3237" t="s">
        <v>116</v>
      </c>
      <c r="E16182" s="3237" t="s">
        <v>117</v>
      </c>
      <c r="F16182" s="3276" t="s">
        <v>121</v>
      </c>
      <c r="G16182" s="78"/>
    </row>
    <row r="16183" spans="1:14" ht="12.75" hidden="1" customHeight="1" outlineLevel="1" x14ac:dyDescent="0.25">
      <c r="A16183" s="3182">
        <v>1</v>
      </c>
      <c r="B16183" s="3183" t="s">
        <v>252</v>
      </c>
      <c r="C16183" s="3184">
        <v>100</v>
      </c>
      <c r="D16183" s="3184"/>
      <c r="E16183" s="3629"/>
      <c r="F16183" s="3630"/>
      <c r="G16183" s="78"/>
    </row>
    <row r="16184" spans="1:14" ht="12.75" hidden="1" customHeight="1" outlineLevel="1" x14ac:dyDescent="0.25">
      <c r="A16184" s="3187" t="s">
        <v>2734</v>
      </c>
      <c r="B16184" s="3187"/>
      <c r="C16184" s="3188"/>
      <c r="D16184" s="1900" t="s">
        <v>3702</v>
      </c>
      <c r="E16184" s="3189">
        <v>45077</v>
      </c>
      <c r="F16184" s="3631"/>
      <c r="G16184" s="78"/>
    </row>
    <row r="16185" spans="1:14" ht="12.75" hidden="1" customHeight="1" outlineLevel="1" x14ac:dyDescent="0.25">
      <c r="A16185" s="3180" t="s">
        <v>4156</v>
      </c>
      <c r="B16185" s="3180" t="s">
        <v>4153</v>
      </c>
      <c r="C16185" s="3632" t="s">
        <v>112</v>
      </c>
      <c r="D16185" s="3192" t="s">
        <v>4155</v>
      </c>
      <c r="E16185" s="3180" t="s">
        <v>4154</v>
      </c>
      <c r="F16185" s="3193" t="s">
        <v>2519</v>
      </c>
      <c r="G16185" s="78"/>
    </row>
    <row r="16186" spans="1:14" ht="12.75" hidden="1" customHeight="1" outlineLevel="1" x14ac:dyDescent="0.25">
      <c r="A16186" s="2380">
        <v>7.0000000000000007E-2</v>
      </c>
      <c r="B16186" s="2089" t="s">
        <v>359</v>
      </c>
      <c r="C16186" s="2108">
        <v>184.14</v>
      </c>
      <c r="D16186" s="3194">
        <v>199.98</v>
      </c>
      <c r="E16186" s="3195">
        <v>8.602150537634401E-2</v>
      </c>
      <c r="F16186" s="3193">
        <v>6.0215053763440817E-3</v>
      </c>
      <c r="G16186" s="78"/>
      <c r="H16186" t="s">
        <v>360</v>
      </c>
      <c r="K16186" s="434"/>
    </row>
    <row r="16187" spans="1:14" ht="12.75" hidden="1" customHeight="1" outlineLevel="1" x14ac:dyDescent="0.25">
      <c r="A16187" s="2380">
        <v>0.05</v>
      </c>
      <c r="B16187" s="1921" t="s">
        <v>3320</v>
      </c>
      <c r="C16187" s="2108">
        <v>100.79600000000001</v>
      </c>
      <c r="D16187" s="3196">
        <v>49.91</v>
      </c>
      <c r="E16187" s="3197">
        <v>-0.50484146196277635</v>
      </c>
      <c r="F16187" s="3198">
        <v>-2.524207309813882E-2</v>
      </c>
      <c r="G16187" s="78"/>
      <c r="H16187" t="s">
        <v>4093</v>
      </c>
      <c r="K16187" s="434"/>
    </row>
    <row r="16188" spans="1:14" ht="12.75" hidden="1" customHeight="1" outlineLevel="1" x14ac:dyDescent="0.25">
      <c r="A16188" s="2380">
        <v>0.02</v>
      </c>
      <c r="B16188" s="1921" t="s">
        <v>1903</v>
      </c>
      <c r="C16188" s="2108">
        <v>47.980499999999999</v>
      </c>
      <c r="D16188" s="3196">
        <v>116.6</v>
      </c>
      <c r="E16188" s="3197">
        <v>1.4301539166953239</v>
      </c>
      <c r="F16188" s="3198">
        <v>2.8603078333906479E-2</v>
      </c>
      <c r="G16188" s="78"/>
      <c r="H16188" t="s">
        <v>3883</v>
      </c>
      <c r="K16188" s="434"/>
    </row>
    <row r="16189" spans="1:14" ht="12.75" hidden="1" customHeight="1" outlineLevel="1" x14ac:dyDescent="0.25">
      <c r="A16189" s="2380">
        <v>0.05</v>
      </c>
      <c r="B16189" s="1921" t="s">
        <v>8301</v>
      </c>
      <c r="C16189" s="2108">
        <v>5.5899000000000001</v>
      </c>
      <c r="D16189" s="3196">
        <v>3.0449999999999999</v>
      </c>
      <c r="E16189" s="3197">
        <v>-0.45526753609187998</v>
      </c>
      <c r="F16189" s="3198">
        <v>-2.2763376804594001E-2</v>
      </c>
      <c r="G16189" s="78"/>
      <c r="H16189" t="s">
        <v>8302</v>
      </c>
      <c r="K16189" s="434"/>
    </row>
    <row r="16190" spans="1:14" ht="12.75" hidden="1" customHeight="1" outlineLevel="1" x14ac:dyDescent="0.25">
      <c r="A16190" s="2380">
        <v>0.06</v>
      </c>
      <c r="B16190" s="1921" t="s">
        <v>1184</v>
      </c>
      <c r="C16190" s="2108">
        <v>86.554000000000002</v>
      </c>
      <c r="D16190" s="3196">
        <v>44.414999999999999</v>
      </c>
      <c r="E16190" s="3197">
        <v>-0.48685213854934495</v>
      </c>
      <c r="F16190" s="3198">
        <v>-2.9211128312960695E-2</v>
      </c>
      <c r="G16190" s="78"/>
      <c r="H16190" t="s">
        <v>3497</v>
      </c>
      <c r="K16190" s="434"/>
    </row>
    <row r="16191" spans="1:14" ht="12.75" hidden="1" customHeight="1" outlineLevel="1" x14ac:dyDescent="0.25">
      <c r="A16191" s="2380">
        <v>0.05</v>
      </c>
      <c r="B16191" s="1921" t="s">
        <v>10749</v>
      </c>
      <c r="C16191" s="2108">
        <v>13.088106517812468</v>
      </c>
      <c r="D16191" s="3196">
        <v>29.331900000000001</v>
      </c>
      <c r="E16191" s="3197">
        <v>1.241111039253866</v>
      </c>
      <c r="F16191" s="3198">
        <v>6.2055551962693301E-2</v>
      </c>
      <c r="G16191" s="78"/>
      <c r="H16191" t="s">
        <v>10750</v>
      </c>
      <c r="K16191" s="434"/>
    </row>
    <row r="16192" spans="1:14" ht="12.75" hidden="1" customHeight="1" outlineLevel="1" x14ac:dyDescent="0.25">
      <c r="A16192" s="2380">
        <v>0.05</v>
      </c>
      <c r="B16192" s="1921" t="s">
        <v>1188</v>
      </c>
      <c r="C16192" s="2108">
        <v>4.5262000000000002</v>
      </c>
      <c r="D16192" s="3196">
        <v>4.5330000000000004</v>
      </c>
      <c r="E16192" s="3197">
        <v>1.5023640139630867E-3</v>
      </c>
      <c r="F16192" s="3198">
        <v>7.5118200698154339E-5</v>
      </c>
      <c r="G16192" s="78"/>
      <c r="H16192" t="s">
        <v>2746</v>
      </c>
      <c r="K16192" s="434"/>
    </row>
    <row r="16193" spans="1:11" ht="12.75" hidden="1" customHeight="1" outlineLevel="1" x14ac:dyDescent="0.25">
      <c r="A16193" s="2380">
        <v>0.05</v>
      </c>
      <c r="B16193" s="1921" t="s">
        <v>2353</v>
      </c>
      <c r="C16193" s="2108">
        <v>5.9954999999999998</v>
      </c>
      <c r="D16193" s="3196">
        <v>3.43</v>
      </c>
      <c r="E16193" s="3197">
        <v>-0.42790426152948036</v>
      </c>
      <c r="F16193" s="3198">
        <v>-2.1395213076474018E-2</v>
      </c>
      <c r="G16193" s="78"/>
      <c r="H16193" t="s">
        <v>2354</v>
      </c>
      <c r="K16193" s="434"/>
    </row>
    <row r="16194" spans="1:11" ht="12.75" hidden="1" customHeight="1" outlineLevel="1" x14ac:dyDescent="0.25">
      <c r="A16194" s="2380">
        <v>0.08</v>
      </c>
      <c r="B16194" s="1921" t="s">
        <v>1212</v>
      </c>
      <c r="C16194" s="2108">
        <v>14.016573853951813</v>
      </c>
      <c r="D16194" s="3196">
        <v>0.75339999999999996</v>
      </c>
      <c r="E16194" s="3197">
        <v>-0.94624934681968753</v>
      </c>
      <c r="F16194" s="3198">
        <v>-7.5699947745575008E-2</v>
      </c>
      <c r="G16194" s="78"/>
      <c r="H16194" t="s">
        <v>8879</v>
      </c>
      <c r="K16194" s="434"/>
    </row>
    <row r="16195" spans="1:11" ht="12.75" hidden="1" customHeight="1" outlineLevel="1" x14ac:dyDescent="0.25">
      <c r="A16195" s="2380">
        <v>0.03</v>
      </c>
      <c r="B16195" s="1921" t="s">
        <v>1771</v>
      </c>
      <c r="C16195" s="2108">
        <v>7.2523999999999997</v>
      </c>
      <c r="D16195" s="3196">
        <v>5.9050000000000002</v>
      </c>
      <c r="E16195" s="3197">
        <v>-0.18578677403342336</v>
      </c>
      <c r="F16195" s="3198">
        <v>-5.5736032210027004E-3</v>
      </c>
      <c r="G16195" s="78"/>
      <c r="H16195" t="s">
        <v>4329</v>
      </c>
      <c r="K16195" s="434"/>
    </row>
    <row r="16196" spans="1:11" ht="12.75" hidden="1" customHeight="1" outlineLevel="1" x14ac:dyDescent="0.25">
      <c r="A16196" s="2380">
        <v>0.04</v>
      </c>
      <c r="B16196" s="1921" t="s">
        <v>1031</v>
      </c>
      <c r="C16196" s="2108">
        <v>6.7938999999999998</v>
      </c>
      <c r="D16196" s="3196">
        <v>11.4</v>
      </c>
      <c r="E16196" s="3197">
        <v>0.6779758312603954</v>
      </c>
      <c r="F16196" s="3198">
        <v>2.7119033250415817E-2</v>
      </c>
      <c r="G16196" s="78"/>
      <c r="H16196" t="s">
        <v>7872</v>
      </c>
      <c r="K16196" s="434"/>
    </row>
    <row r="16197" spans="1:11" ht="12.75" hidden="1" customHeight="1" outlineLevel="1" x14ac:dyDescent="0.25">
      <c r="A16197" s="2380">
        <v>0.05</v>
      </c>
      <c r="B16197" s="1921" t="s">
        <v>6902</v>
      </c>
      <c r="C16197" s="2108">
        <v>2.5569000000000002</v>
      </c>
      <c r="D16197" s="3196">
        <v>2.2810000000000001</v>
      </c>
      <c r="E16197" s="3197">
        <v>-0.10790410262427164</v>
      </c>
      <c r="F16197" s="3198">
        <v>-5.3952051312135818E-3</v>
      </c>
      <c r="G16197" s="78"/>
      <c r="H16197" t="s">
        <v>6899</v>
      </c>
      <c r="K16197" s="434"/>
    </row>
    <row r="16198" spans="1:11" ht="12.75" hidden="1" customHeight="1" outlineLevel="1" x14ac:dyDescent="0.25">
      <c r="A16198" s="2380">
        <v>7.0000000000000007E-2</v>
      </c>
      <c r="B16198" s="1921" t="s">
        <v>8680</v>
      </c>
      <c r="C16198" s="2519">
        <v>0.65339999999999998</v>
      </c>
      <c r="D16198" s="3196">
        <v>0.44170000000000004</v>
      </c>
      <c r="E16198" s="3197">
        <v>-0.32399755127027852</v>
      </c>
      <c r="F16198" s="3198">
        <v>-2.2679828588919499E-2</v>
      </c>
      <c r="G16198" s="78"/>
      <c r="H16198" t="s">
        <v>8684</v>
      </c>
      <c r="K16198" s="434"/>
    </row>
    <row r="16199" spans="1:11" ht="12.75" hidden="1" customHeight="1" outlineLevel="1" x14ac:dyDescent="0.25">
      <c r="A16199" s="2380">
        <v>0.05</v>
      </c>
      <c r="B16199" s="1921" t="s">
        <v>10667</v>
      </c>
      <c r="C16199" s="2108">
        <v>21.3795</v>
      </c>
      <c r="D16199" s="3196">
        <v>22.204999999999998</v>
      </c>
      <c r="E16199" s="3197">
        <v>3.8611754250567065E-2</v>
      </c>
      <c r="F16199" s="3198">
        <v>1.9305877125283533E-3</v>
      </c>
      <c r="G16199" s="78"/>
      <c r="H16199" t="s">
        <v>10668</v>
      </c>
      <c r="K16199" s="434"/>
    </row>
    <row r="16200" spans="1:11" ht="12.75" hidden="1" customHeight="1" outlineLevel="1" x14ac:dyDescent="0.25">
      <c r="A16200" s="2380">
        <v>0.03</v>
      </c>
      <c r="B16200" s="1921" t="s">
        <v>1187</v>
      </c>
      <c r="C16200" s="2108">
        <v>81.578090748376397</v>
      </c>
      <c r="D16200" s="3196">
        <v>94.88</v>
      </c>
      <c r="E16200" s="3197">
        <v>0.16305737397866649</v>
      </c>
      <c r="F16200" s="3198">
        <v>4.8917212193599945E-3</v>
      </c>
      <c r="G16200" s="78"/>
      <c r="H16200" t="s">
        <v>3483</v>
      </c>
      <c r="K16200" s="434"/>
    </row>
    <row r="16201" spans="1:11" ht="12.75" hidden="1" customHeight="1" outlineLevel="1" x14ac:dyDescent="0.25">
      <c r="A16201" s="2380">
        <v>0.03</v>
      </c>
      <c r="B16201" s="1921" t="s">
        <v>6116</v>
      </c>
      <c r="C16201" s="2108">
        <v>4.1478000000000002</v>
      </c>
      <c r="D16201" s="3196">
        <v>4.8899999999999997</v>
      </c>
      <c r="E16201" s="3197">
        <v>0.17893823231592632</v>
      </c>
      <c r="F16201" s="3198">
        <v>5.3681469694777896E-3</v>
      </c>
      <c r="G16201" s="78"/>
      <c r="H16201" t="s">
        <v>6114</v>
      </c>
      <c r="K16201" s="434"/>
    </row>
    <row r="16202" spans="1:11" ht="12.75" hidden="1" customHeight="1" outlineLevel="1" x14ac:dyDescent="0.25">
      <c r="A16202" s="2380">
        <v>7.0000000000000007E-2</v>
      </c>
      <c r="B16202" s="1921" t="s">
        <v>2166</v>
      </c>
      <c r="C16202" s="2108">
        <v>48.069499999999998</v>
      </c>
      <c r="D16202" s="3196">
        <v>21.63</v>
      </c>
      <c r="E16202" s="3197">
        <v>-0.55002652409532038</v>
      </c>
      <c r="F16202" s="3198">
        <v>-3.8501856686672428E-2</v>
      </c>
      <c r="G16202" s="78"/>
      <c r="H16202" t="s">
        <v>4160</v>
      </c>
      <c r="K16202" s="434"/>
    </row>
    <row r="16203" spans="1:11" ht="12.75" hidden="1" customHeight="1" outlineLevel="1" x14ac:dyDescent="0.25">
      <c r="A16203" s="2380">
        <v>0.05</v>
      </c>
      <c r="B16203" s="1921" t="s">
        <v>1857</v>
      </c>
      <c r="C16203" s="2108">
        <v>14.183</v>
      </c>
      <c r="D16203" s="3196">
        <v>18.815000000000001</v>
      </c>
      <c r="E16203" s="3197">
        <v>0.32658816893464016</v>
      </c>
      <c r="F16203" s="3198">
        <v>1.6329408446732009E-2</v>
      </c>
      <c r="G16203" s="78"/>
      <c r="H16203" t="s">
        <v>3559</v>
      </c>
      <c r="K16203" s="434"/>
    </row>
    <row r="16204" spans="1:11" ht="12.75" hidden="1" customHeight="1" outlineLevel="1" x14ac:dyDescent="0.25">
      <c r="A16204" s="2380">
        <v>0.05</v>
      </c>
      <c r="B16204" s="1921" t="s">
        <v>10633</v>
      </c>
      <c r="C16204" s="2108">
        <v>44.153568389181707</v>
      </c>
      <c r="D16204" s="3196">
        <v>53.08</v>
      </c>
      <c r="E16204" s="3197">
        <v>0.20216784138799992</v>
      </c>
      <c r="F16204" s="3198">
        <v>1.0108392069399997E-2</v>
      </c>
      <c r="G16204" s="78"/>
      <c r="H16204" t="s">
        <v>10634</v>
      </c>
      <c r="K16204" s="434"/>
    </row>
    <row r="16205" spans="1:11" ht="12.75" hidden="1" customHeight="1" outlineLevel="1" x14ac:dyDescent="0.25">
      <c r="A16205" s="2380">
        <v>0.05</v>
      </c>
      <c r="B16205" s="2109" t="s">
        <v>8304</v>
      </c>
      <c r="C16205" s="2108">
        <v>16.088000000000001</v>
      </c>
      <c r="D16205" s="3199">
        <v>17.239999999999998</v>
      </c>
      <c r="E16205" s="3197">
        <v>7.1606166086523926E-2</v>
      </c>
      <c r="F16205" s="3198">
        <v>3.5803083043261965E-3</v>
      </c>
      <c r="G16205" s="78"/>
      <c r="H16205" t="s">
        <v>8903</v>
      </c>
      <c r="K16205" s="434"/>
    </row>
    <row r="16206" spans="1:11" ht="12.75" hidden="1" customHeight="1" outlineLevel="1" x14ac:dyDescent="0.25">
      <c r="A16206" s="2181" t="s">
        <v>2734</v>
      </c>
      <c r="B16206" s="2103"/>
      <c r="C16206" s="3200"/>
      <c r="D16206" s="3201"/>
      <c r="E16206" s="3202"/>
      <c r="F16206" s="3193">
        <v>-8.0379380819668583E-2</v>
      </c>
      <c r="G16206" s="78"/>
    </row>
    <row r="16207" spans="1:11" ht="12.75" hidden="1" customHeight="1" outlineLevel="1" x14ac:dyDescent="0.25">
      <c r="A16207" s="1956" t="s">
        <v>8838</v>
      </c>
      <c r="B16207" s="2185">
        <v>44896</v>
      </c>
      <c r="C16207" s="3203">
        <v>100</v>
      </c>
      <c r="D16207" s="3203">
        <v>93.924700000000001</v>
      </c>
      <c r="E16207" s="3204">
        <v>-6.0752999999999946E-2</v>
      </c>
      <c r="F16207" s="3205"/>
      <c r="G16207" s="78"/>
    </row>
    <row r="16208" spans="1:11" ht="12.75" hidden="1" customHeight="1" outlineLevel="1" x14ac:dyDescent="0.25">
      <c r="A16208" s="1956" t="s">
        <v>8839</v>
      </c>
      <c r="B16208" s="2185">
        <v>44927</v>
      </c>
      <c r="C16208" s="3203">
        <v>100</v>
      </c>
      <c r="D16208" s="3206">
        <v>99.233500000000006</v>
      </c>
      <c r="E16208" s="3204">
        <v>-7.6649999999999219E-3</v>
      </c>
      <c r="F16208" s="3205"/>
      <c r="G16208" s="78"/>
    </row>
    <row r="16209" spans="1:10" ht="12.75" hidden="1" customHeight="1" outlineLevel="1" x14ac:dyDescent="0.25">
      <c r="A16209" s="1956" t="s">
        <v>8840</v>
      </c>
      <c r="B16209" s="2185">
        <v>44958</v>
      </c>
      <c r="C16209" s="3203">
        <v>100</v>
      </c>
      <c r="D16209" s="3206">
        <v>100.3304</v>
      </c>
      <c r="E16209" s="3204">
        <v>3.3039999999999736E-3</v>
      </c>
      <c r="F16209" s="3205"/>
      <c r="G16209" s="78"/>
    </row>
    <row r="16210" spans="1:10" ht="12.75" hidden="1" customHeight="1" outlineLevel="1" x14ac:dyDescent="0.25">
      <c r="A16210" s="1956" t="s">
        <v>8841</v>
      </c>
      <c r="B16210" s="2185">
        <v>44986</v>
      </c>
      <c r="C16210" s="3203">
        <v>100</v>
      </c>
      <c r="D16210" s="3206">
        <v>95.630200000000002</v>
      </c>
      <c r="E16210" s="3204">
        <v>-4.3698000000000015E-2</v>
      </c>
      <c r="F16210" s="3205"/>
      <c r="G16210" s="78"/>
    </row>
    <row r="16211" spans="1:10" ht="12.75" hidden="1" customHeight="1" outlineLevel="1" x14ac:dyDescent="0.25">
      <c r="A16211" s="1956" t="s">
        <v>8842</v>
      </c>
      <c r="B16211" s="2185">
        <v>45017</v>
      </c>
      <c r="C16211" s="3203">
        <v>100</v>
      </c>
      <c r="D16211" s="3206">
        <v>96.489000000000004</v>
      </c>
      <c r="E16211" s="3204">
        <v>-3.5109999999999975E-2</v>
      </c>
      <c r="F16211" s="3205"/>
      <c r="G16211" s="78"/>
    </row>
    <row r="16212" spans="1:10" ht="12.75" hidden="1" customHeight="1" outlineLevel="1" x14ac:dyDescent="0.25">
      <c r="A16212" s="1956" t="s">
        <v>8843</v>
      </c>
      <c r="B16212" s="2185">
        <v>45047</v>
      </c>
      <c r="C16212" s="3203">
        <v>100</v>
      </c>
      <c r="D16212" s="3206">
        <v>90.543999999999997</v>
      </c>
      <c r="E16212" s="3204">
        <v>-9.4559999999999977E-2</v>
      </c>
      <c r="F16212" s="3205"/>
      <c r="G16212" s="78"/>
    </row>
    <row r="16213" spans="1:10" ht="12.75" hidden="1" customHeight="1" outlineLevel="1" x14ac:dyDescent="0.25">
      <c r="A16213" s="2189" t="s">
        <v>2734</v>
      </c>
      <c r="B16213" s="2190"/>
      <c r="C16213" s="3206"/>
      <c r="D16213" s="2191" t="s">
        <v>2465</v>
      </c>
      <c r="E16213" s="1987">
        <v>-3.9746999999999977E-2</v>
      </c>
      <c r="F16213" s="2192">
        <v>-3.9746999999999977E-2</v>
      </c>
      <c r="G16213" s="78"/>
    </row>
    <row r="16214" spans="1:10" collapsed="1" x14ac:dyDescent="0.25">
      <c r="A16214" s="3801" t="s">
        <v>8826</v>
      </c>
      <c r="B16214" s="3802"/>
      <c r="C16214" s="3802"/>
      <c r="D16214" s="3802"/>
      <c r="E16214" s="1906"/>
      <c r="F16214" s="1907">
        <v>0</v>
      </c>
      <c r="G16214" s="78"/>
    </row>
    <row r="16216" spans="1:10" hidden="1" outlineLevel="1" x14ac:dyDescent="0.25">
      <c r="A16216" s="3248" t="s">
        <v>113</v>
      </c>
      <c r="B16216" s="3237" t="s">
        <v>114</v>
      </c>
      <c r="C16216" s="3237" t="s">
        <v>112</v>
      </c>
      <c r="D16216" s="3237" t="s">
        <v>10739</v>
      </c>
      <c r="E16216" s="3237" t="s">
        <v>4362</v>
      </c>
      <c r="F16216" s="3276" t="s">
        <v>121</v>
      </c>
      <c r="G16216" s="78"/>
      <c r="H16216" s="438" t="s">
        <v>5391</v>
      </c>
      <c r="I16216" s="438" t="s">
        <v>5392</v>
      </c>
    </row>
    <row r="16217" spans="1:10" hidden="1" outlineLevel="1" x14ac:dyDescent="0.25">
      <c r="A16217" s="1810" t="s">
        <v>8863</v>
      </c>
      <c r="B16217" s="3294" t="s">
        <v>8048</v>
      </c>
      <c r="C16217" s="3564">
        <v>307.68400000000003</v>
      </c>
      <c r="D16217" s="3805">
        <v>324.08</v>
      </c>
      <c r="E16217" s="2238">
        <v>186.77799999999999</v>
      </c>
      <c r="F16217" s="3567">
        <v>0</v>
      </c>
      <c r="G16217" s="78"/>
      <c r="H16217" s="79">
        <f>IF(E16217="",$D$16217/C16217-1,E16217/C16217-1)</f>
        <v>-0.39295510978796433</v>
      </c>
      <c r="I16217" s="450">
        <v>0.21</v>
      </c>
    </row>
    <row r="16218" spans="1:10" hidden="1" outlineLevel="1" x14ac:dyDescent="0.25">
      <c r="A16218" s="1810" t="s">
        <v>8864</v>
      </c>
      <c r="B16218" s="2984" t="s">
        <v>8048</v>
      </c>
      <c r="C16218" s="1814">
        <v>307.68400000000003</v>
      </c>
      <c r="D16218" s="3806"/>
      <c r="E16218" s="1815">
        <v>279.75799999999998</v>
      </c>
      <c r="F16218" s="3568">
        <v>-9.0761950572665562E-2</v>
      </c>
      <c r="G16218" s="78"/>
      <c r="H16218" s="79">
        <f>IF(C16218="","",IF(E16218="",D16217/C16218-1,E16218/C16218-1))</f>
        <v>-9.0761950572665562E-2</v>
      </c>
      <c r="I16218" s="451">
        <v>0.28000000000000003</v>
      </c>
    </row>
    <row r="16219" spans="1:10" hidden="1" outlineLevel="1" x14ac:dyDescent="0.25">
      <c r="A16219" s="1810" t="s">
        <v>8865</v>
      </c>
      <c r="B16219" s="2984" t="s">
        <v>8048</v>
      </c>
      <c r="C16219" s="1814">
        <v>307.68400000000003</v>
      </c>
      <c r="D16219" s="3806"/>
      <c r="E16219" s="3570">
        <v>324.07799999999997</v>
      </c>
      <c r="F16219" s="3568">
        <v>0.35</v>
      </c>
      <c r="G16219" s="78"/>
      <c r="H16219" s="79">
        <f>IF(C16219="","",IF(E16219="",$D$16217/C16219-1,E16219/C16219-1))</f>
        <v>5.3281938612342428E-2</v>
      </c>
      <c r="I16219" s="451">
        <v>0.35</v>
      </c>
    </row>
    <row r="16220" spans="1:10" hidden="1" outlineLevel="1" x14ac:dyDescent="0.25">
      <c r="A16220" s="1810" t="s">
        <v>8866</v>
      </c>
      <c r="B16220" s="2984" t="s">
        <v>8048</v>
      </c>
      <c r="C16220" s="1817">
        <v>307.68400000000003</v>
      </c>
      <c r="D16220" s="3807"/>
      <c r="E16220" s="1815"/>
      <c r="F16220" s="3569" t="s">
        <v>5590</v>
      </c>
      <c r="G16220" s="78"/>
      <c r="H16220" s="82">
        <f>IF(C16220="","",IF(E16220="",$D$16217/C16220-1,E16220/C16220-1))</f>
        <v>5.328843878784717E-2</v>
      </c>
      <c r="I16220" s="452">
        <v>0.42</v>
      </c>
    </row>
    <row r="16221" spans="1:10" hidden="1" outlineLevel="1" x14ac:dyDescent="0.25">
      <c r="A16221" s="1819" t="s">
        <v>2734</v>
      </c>
      <c r="B16221" s="3146"/>
      <c r="C16221" s="1820"/>
      <c r="D16221" s="3144"/>
      <c r="E16221" s="3566"/>
      <c r="F16221" s="3565">
        <v>0.35</v>
      </c>
      <c r="G16221" s="78"/>
      <c r="H16221" s="37">
        <f>IF(H16220="",IF(H16219="",IF(H16218="",H16217,H16218),H16219),H16220)</f>
        <v>5.328843878784717E-2</v>
      </c>
    </row>
    <row r="16222" spans="1:10" collapsed="1" x14ac:dyDescent="0.25">
      <c r="A16222" s="3801" t="s">
        <v>8827</v>
      </c>
      <c r="B16222" s="3802"/>
      <c r="C16222" s="3802"/>
      <c r="D16222" s="3802"/>
      <c r="E16222" s="1906"/>
      <c r="F16222" s="1907">
        <v>0.35</v>
      </c>
      <c r="G16222" s="78"/>
      <c r="H16222" s="74"/>
    </row>
    <row r="16224" spans="1:10" hidden="1" outlineLevel="1" x14ac:dyDescent="0.25">
      <c r="A16224" s="495" t="s">
        <v>113</v>
      </c>
      <c r="B16224" s="689" t="s">
        <v>114</v>
      </c>
      <c r="C16224" s="495" t="s">
        <v>112</v>
      </c>
      <c r="D16224" s="495" t="s">
        <v>4155</v>
      </c>
      <c r="E16224" s="689" t="s">
        <v>116</v>
      </c>
      <c r="F16224" s="1021" t="s">
        <v>121</v>
      </c>
      <c r="G16224" s="78"/>
      <c r="H16224" s="1671"/>
      <c r="I16224" s="1671"/>
      <c r="J16224" s="370"/>
    </row>
    <row r="16225" spans="1:11" hidden="1" outlineLevel="1" x14ac:dyDescent="0.25">
      <c r="A16225" s="753" t="s">
        <v>8942</v>
      </c>
      <c r="B16225" s="729" t="s">
        <v>8849</v>
      </c>
      <c r="C16225" s="1025">
        <v>450.59500000000003</v>
      </c>
      <c r="D16225" s="859">
        <v>458.9</v>
      </c>
      <c r="E16225" s="1262">
        <v>458.9</v>
      </c>
      <c r="F16225" s="700">
        <v>0.09</v>
      </c>
      <c r="G16225" s="78"/>
      <c r="H16225" t="s">
        <v>8500</v>
      </c>
      <c r="I16225" s="81">
        <f>+D16225/C16225-1</f>
        <v>1.8431185432594477E-2</v>
      </c>
      <c r="J16225" s="370"/>
    </row>
    <row r="16226" spans="1:11" hidden="1" outlineLevel="1" x14ac:dyDescent="0.25">
      <c r="A16226" s="753" t="s">
        <v>8943</v>
      </c>
      <c r="B16226" s="729" t="s">
        <v>8849</v>
      </c>
      <c r="C16226" s="1734">
        <v>450.59500000000003</v>
      </c>
      <c r="D16226" s="1735"/>
      <c r="E16226" s="1255"/>
      <c r="F16226" s="1178" t="s">
        <v>5590</v>
      </c>
      <c r="G16226" s="78"/>
      <c r="H16226" s="81"/>
      <c r="I16226" s="413"/>
      <c r="J16226" s="370"/>
    </row>
    <row r="16227" spans="1:11" hidden="1" outlineLevel="1" x14ac:dyDescent="0.25">
      <c r="A16227" s="753" t="s">
        <v>8944</v>
      </c>
      <c r="B16227" s="729" t="s">
        <v>8849</v>
      </c>
      <c r="C16227" s="1734" t="s">
        <v>5590</v>
      </c>
      <c r="D16227" s="1735"/>
      <c r="E16227" s="1255"/>
      <c r="F16227" s="1178" t="s">
        <v>5590</v>
      </c>
      <c r="G16227" s="78"/>
      <c r="H16227" s="81"/>
      <c r="I16227" s="413"/>
      <c r="J16227" s="370"/>
    </row>
    <row r="16228" spans="1:11" hidden="1" outlineLevel="1" x14ac:dyDescent="0.25">
      <c r="A16228" s="753" t="s">
        <v>8945</v>
      </c>
      <c r="B16228" s="729" t="s">
        <v>8849</v>
      </c>
      <c r="C16228" s="1734" t="s">
        <v>5590</v>
      </c>
      <c r="D16228" s="1735"/>
      <c r="E16228" s="1255"/>
      <c r="F16228" s="1178" t="s">
        <v>5590</v>
      </c>
      <c r="G16228" s="78"/>
      <c r="H16228" s="81"/>
      <c r="I16228" s="413"/>
      <c r="J16228" s="370"/>
    </row>
    <row r="16229" spans="1:11" hidden="1" outlineLevel="1" x14ac:dyDescent="0.25">
      <c r="A16229" s="753" t="s">
        <v>8946</v>
      </c>
      <c r="B16229" s="729" t="s">
        <v>8849</v>
      </c>
      <c r="C16229" s="1734" t="s">
        <v>5590</v>
      </c>
      <c r="D16229" s="1735"/>
      <c r="E16229" s="1255"/>
      <c r="F16229" s="1178" t="s">
        <v>5590</v>
      </c>
      <c r="G16229" s="78"/>
      <c r="H16229" s="81"/>
      <c r="I16229" s="413"/>
      <c r="J16229" s="370"/>
    </row>
    <row r="16230" spans="1:11" hidden="1" outlineLevel="1" x14ac:dyDescent="0.25">
      <c r="A16230" s="751" t="s">
        <v>8947</v>
      </c>
      <c r="B16230" s="729" t="s">
        <v>8849</v>
      </c>
      <c r="C16230" s="1736"/>
      <c r="D16230" s="860"/>
      <c r="E16230" s="1255"/>
      <c r="F16230" s="1107"/>
      <c r="G16230" s="78"/>
      <c r="H16230" s="81"/>
      <c r="I16230" s="413"/>
      <c r="J16230" s="370"/>
    </row>
    <row r="16231" spans="1:11" hidden="1" outlineLevel="1" x14ac:dyDescent="0.25">
      <c r="A16231" s="846" t="s">
        <v>2734</v>
      </c>
      <c r="B16231" s="691"/>
      <c r="C16231" s="956"/>
      <c r="D16231" s="839"/>
      <c r="E16231" s="693"/>
      <c r="F16231" s="856">
        <v>0.09</v>
      </c>
      <c r="G16231" s="78"/>
      <c r="H16231" s="81"/>
      <c r="I16231" s="370"/>
      <c r="J16231" s="370"/>
    </row>
    <row r="16232" spans="1:11" collapsed="1" x14ac:dyDescent="0.25">
      <c r="A16232" s="723" t="s">
        <v>8941</v>
      </c>
      <c r="B16232" s="724"/>
      <c r="C16232" s="724"/>
      <c r="D16232" s="724"/>
      <c r="E16232" s="1827"/>
      <c r="F16232" s="1833">
        <v>0.09</v>
      </c>
      <c r="G16232" s="78"/>
      <c r="H16232" s="1672"/>
      <c r="I16232" s="370"/>
      <c r="J16232" s="370"/>
    </row>
    <row r="16234" spans="1:11" ht="12.75" hidden="1" customHeight="1" outlineLevel="1" x14ac:dyDescent="0.25">
      <c r="A16234" s="3180" t="s">
        <v>113</v>
      </c>
      <c r="B16234" s="3180" t="s">
        <v>114</v>
      </c>
      <c r="C16234" s="3180" t="s">
        <v>112</v>
      </c>
      <c r="D16234" s="3180" t="s">
        <v>116</v>
      </c>
      <c r="E16234" s="3180" t="s">
        <v>117</v>
      </c>
      <c r="F16234" s="3181" t="s">
        <v>121</v>
      </c>
      <c r="G16234" s="78"/>
    </row>
    <row r="16235" spans="1:11" ht="12.75" hidden="1" customHeight="1" outlineLevel="1" x14ac:dyDescent="0.25">
      <c r="A16235" s="3182">
        <v>1</v>
      </c>
      <c r="B16235" s="3183" t="s">
        <v>252</v>
      </c>
      <c r="C16235" s="3184">
        <v>100</v>
      </c>
      <c r="D16235" s="3184"/>
      <c r="E16235" s="3185"/>
      <c r="F16235" s="3186"/>
      <c r="G16235" s="78"/>
    </row>
    <row r="16236" spans="1:11" ht="12.75" hidden="1" customHeight="1" outlineLevel="1" x14ac:dyDescent="0.25">
      <c r="A16236" s="3187" t="s">
        <v>2734</v>
      </c>
      <c r="B16236" s="3187"/>
      <c r="C16236" s="3188"/>
      <c r="D16236" s="1900" t="s">
        <v>3702</v>
      </c>
      <c r="E16236" s="3189">
        <v>44134</v>
      </c>
      <c r="F16236" s="3190"/>
      <c r="G16236" s="78"/>
    </row>
    <row r="16237" spans="1:11" ht="12.75" hidden="1" customHeight="1" outlineLevel="1" x14ac:dyDescent="0.25">
      <c r="A16237" s="3180" t="s">
        <v>4156</v>
      </c>
      <c r="B16237" s="3180" t="s">
        <v>4153</v>
      </c>
      <c r="C16237" s="3191" t="s">
        <v>112</v>
      </c>
      <c r="D16237" s="3192" t="s">
        <v>4155</v>
      </c>
      <c r="E16237" s="3192" t="s">
        <v>4154</v>
      </c>
      <c r="F16237" s="3193" t="s">
        <v>2519</v>
      </c>
      <c r="G16237" s="78"/>
    </row>
    <row r="16238" spans="1:11" ht="12.75" hidden="1" customHeight="1" outlineLevel="1" x14ac:dyDescent="0.25">
      <c r="A16238" s="1991">
        <v>0.02</v>
      </c>
      <c r="B16238" s="1921" t="s">
        <v>2697</v>
      </c>
      <c r="C16238" s="2108">
        <v>15.369</v>
      </c>
      <c r="D16238" s="2862">
        <v>11.51</v>
      </c>
      <c r="E16238" s="2890">
        <v>-0.25108985620404711</v>
      </c>
      <c r="F16238" s="3166">
        <v>-5.0217971240809423E-3</v>
      </c>
      <c r="G16238" s="78"/>
      <c r="H16238" t="s">
        <v>329</v>
      </c>
      <c r="K16238" s="434"/>
    </row>
    <row r="16239" spans="1:11" ht="12.75" hidden="1" customHeight="1" outlineLevel="1" x14ac:dyDescent="0.25">
      <c r="A16239" s="2380">
        <v>0.02</v>
      </c>
      <c r="B16239" s="1921" t="s">
        <v>218</v>
      </c>
      <c r="C16239" s="2108">
        <v>25.1065</v>
      </c>
      <c r="D16239" s="2865">
        <v>13.8</v>
      </c>
      <c r="E16239" s="2892">
        <v>-0.45034154501822232</v>
      </c>
      <c r="F16239" s="3171">
        <v>-9.0068309003644466E-3</v>
      </c>
      <c r="G16239" s="78"/>
      <c r="H16239" t="s">
        <v>656</v>
      </c>
      <c r="K16239" s="434"/>
    </row>
    <row r="16240" spans="1:11" ht="12.75" hidden="1" customHeight="1" outlineLevel="1" x14ac:dyDescent="0.25">
      <c r="A16240" s="2380">
        <v>0.02</v>
      </c>
      <c r="B16240" s="1921" t="s">
        <v>1188</v>
      </c>
      <c r="C16240" s="2108">
        <v>4.9947999999999997</v>
      </c>
      <c r="D16240" s="2865">
        <v>1.966</v>
      </c>
      <c r="E16240" s="2892">
        <v>-0.60639064627212291</v>
      </c>
      <c r="F16240" s="3171">
        <v>-1.2127812925442459E-2</v>
      </c>
      <c r="G16240" s="78"/>
      <c r="H16240" t="s">
        <v>2746</v>
      </c>
      <c r="K16240" s="434"/>
    </row>
    <row r="16241" spans="1:11" ht="12.75" hidden="1" customHeight="1" outlineLevel="1" x14ac:dyDescent="0.25">
      <c r="A16241" s="2380">
        <v>0.02</v>
      </c>
      <c r="B16241" s="1921" t="s">
        <v>8918</v>
      </c>
      <c r="C16241" s="2108">
        <v>2.4634</v>
      </c>
      <c r="D16241" s="2865">
        <v>1.014</v>
      </c>
      <c r="E16241" s="2892">
        <v>-0.58837379231955833</v>
      </c>
      <c r="F16241" s="3171">
        <v>-1.1767475846391167E-2</v>
      </c>
      <c r="G16241" s="78"/>
      <c r="H16241" t="s">
        <v>8921</v>
      </c>
      <c r="K16241" s="434"/>
    </row>
    <row r="16242" spans="1:11" ht="12.75" hidden="1" customHeight="1" outlineLevel="1" x14ac:dyDescent="0.25">
      <c r="A16242" s="2380">
        <v>0.02</v>
      </c>
      <c r="B16242" s="1921" t="s">
        <v>8678</v>
      </c>
      <c r="C16242" s="2108">
        <v>80.869</v>
      </c>
      <c r="D16242" s="2865">
        <v>69.02</v>
      </c>
      <c r="E16242" s="2892">
        <v>-0.14652091654404042</v>
      </c>
      <c r="F16242" s="3171">
        <v>-2.9304183308808086E-3</v>
      </c>
      <c r="G16242" s="78"/>
      <c r="H16242" t="s">
        <v>8682</v>
      </c>
      <c r="K16242" s="434"/>
    </row>
    <row r="16243" spans="1:11" ht="12.75" hidden="1" customHeight="1" outlineLevel="1" x14ac:dyDescent="0.25">
      <c r="A16243" s="2380">
        <v>0.02</v>
      </c>
      <c r="B16243" s="1921" t="s">
        <v>4025</v>
      </c>
      <c r="C16243" s="2108">
        <v>69.915000000000006</v>
      </c>
      <c r="D16243" s="2865">
        <v>44.4</v>
      </c>
      <c r="E16243" s="2892">
        <v>-0.36494314524780103</v>
      </c>
      <c r="F16243" s="3171">
        <v>-7.2988629049560204E-3</v>
      </c>
      <c r="G16243" s="78"/>
      <c r="H16243" t="s">
        <v>3977</v>
      </c>
      <c r="K16243" s="434"/>
    </row>
    <row r="16244" spans="1:11" ht="12.75" hidden="1" customHeight="1" outlineLevel="1" x14ac:dyDescent="0.25">
      <c r="A16244" s="2380">
        <v>7.0000000000000007E-2</v>
      </c>
      <c r="B16244" s="1921" t="s">
        <v>6821</v>
      </c>
      <c r="C16244" s="2108">
        <v>3.3397593990629542</v>
      </c>
      <c r="D16244" s="2865">
        <v>2.6349999999999998</v>
      </c>
      <c r="E16244" s="2892">
        <v>-0.21102100925614309</v>
      </c>
      <c r="F16244" s="3171">
        <v>-1.4771470647930017E-2</v>
      </c>
      <c r="G16244" s="78"/>
      <c r="H16244" t="s">
        <v>6822</v>
      </c>
      <c r="K16244" s="434"/>
    </row>
    <row r="16245" spans="1:11" ht="12.75" hidden="1" customHeight="1" outlineLevel="1" x14ac:dyDescent="0.25">
      <c r="A16245" s="2380">
        <v>0.08</v>
      </c>
      <c r="B16245" s="1921" t="s">
        <v>6267</v>
      </c>
      <c r="C16245" s="2108">
        <v>23.914999999999999</v>
      </c>
      <c r="D16245" s="2865">
        <v>18.53</v>
      </c>
      <c r="E16245" s="2892">
        <v>-0.22517248588751826</v>
      </c>
      <c r="F16245" s="3171">
        <v>-1.8013798871001459E-2</v>
      </c>
      <c r="G16245" s="78"/>
      <c r="H16245" t="s">
        <v>6268</v>
      </c>
      <c r="K16245" s="434"/>
    </row>
    <row r="16246" spans="1:11" ht="12.75" hidden="1" customHeight="1" outlineLevel="1" x14ac:dyDescent="0.25">
      <c r="A16246" s="2380">
        <v>0.03</v>
      </c>
      <c r="B16246" s="1921" t="s">
        <v>4268</v>
      </c>
      <c r="C16246" s="2108">
        <v>17.861999999999998</v>
      </c>
      <c r="D16246" s="2865">
        <v>16.149999999999999</v>
      </c>
      <c r="E16246" s="2892">
        <v>-9.5845929907065308E-2</v>
      </c>
      <c r="F16246" s="3171">
        <v>-2.8753778972119589E-3</v>
      </c>
      <c r="G16246" s="78"/>
      <c r="H16246" t="s">
        <v>8442</v>
      </c>
      <c r="K16246" s="434"/>
    </row>
    <row r="16247" spans="1:11" ht="12.75" hidden="1" customHeight="1" outlineLevel="1" x14ac:dyDescent="0.25">
      <c r="A16247" s="2380">
        <v>0.03</v>
      </c>
      <c r="B16247" s="1921" t="s">
        <v>8968</v>
      </c>
      <c r="C16247" s="2108">
        <v>9.5850000000000009</v>
      </c>
      <c r="D16247" s="2865">
        <v>10.02</v>
      </c>
      <c r="E16247" s="2892">
        <v>4.5383411580594446E-2</v>
      </c>
      <c r="F16247" s="3171">
        <v>1.3615023474178333E-3</v>
      </c>
      <c r="G16247" s="78"/>
      <c r="H16247" t="s">
        <v>8969</v>
      </c>
      <c r="K16247" s="434"/>
    </row>
    <row r="16248" spans="1:11" ht="12.75" hidden="1" customHeight="1" outlineLevel="1" x14ac:dyDescent="0.25">
      <c r="A16248" s="2380">
        <v>0.02</v>
      </c>
      <c r="B16248" s="1921" t="s">
        <v>6902</v>
      </c>
      <c r="C16248" s="2108">
        <v>2.6629999999999998</v>
      </c>
      <c r="D16248" s="2865">
        <v>1.8480000000000001</v>
      </c>
      <c r="E16248" s="2892">
        <v>-0.30604581299286515</v>
      </c>
      <c r="F16248" s="3171">
        <v>-6.1209162598573029E-3</v>
      </c>
      <c r="G16248" s="78"/>
      <c r="H16248" t="s">
        <v>6899</v>
      </c>
      <c r="K16248" s="434"/>
    </row>
    <row r="16249" spans="1:11" ht="12.75" hidden="1" customHeight="1" outlineLevel="1" x14ac:dyDescent="0.25">
      <c r="A16249" s="2380">
        <v>0.02</v>
      </c>
      <c r="B16249" s="1921" t="s">
        <v>8261</v>
      </c>
      <c r="C16249" s="2108">
        <v>153.71</v>
      </c>
      <c r="D16249" s="2865">
        <v>150.65</v>
      </c>
      <c r="E16249" s="2892">
        <v>-1.9907618242144265E-2</v>
      </c>
      <c r="F16249" s="3171">
        <v>-3.9815236484288532E-4</v>
      </c>
      <c r="G16249" s="78"/>
      <c r="H16249" t="s">
        <v>9620</v>
      </c>
      <c r="K16249" s="434"/>
    </row>
    <row r="16250" spans="1:11" ht="12.75" hidden="1" customHeight="1" outlineLevel="1" x14ac:dyDescent="0.25">
      <c r="A16250" s="2380">
        <v>0.02</v>
      </c>
      <c r="B16250" s="1921" t="s">
        <v>5196</v>
      </c>
      <c r="C16250" s="2519">
        <v>42.945791683037243</v>
      </c>
      <c r="D16250" s="2865">
        <v>58.4</v>
      </c>
      <c r="E16250" s="2892">
        <v>0.35985384624000005</v>
      </c>
      <c r="F16250" s="3171">
        <v>7.1970769248000015E-3</v>
      </c>
      <c r="G16250" s="78"/>
      <c r="H16250" t="s">
        <v>5197</v>
      </c>
      <c r="K16250" s="434"/>
    </row>
    <row r="16251" spans="1:11" ht="12.75" hidden="1" customHeight="1" outlineLevel="1" x14ac:dyDescent="0.25">
      <c r="A16251" s="2380">
        <v>0.02</v>
      </c>
      <c r="B16251" s="1921" t="s">
        <v>8527</v>
      </c>
      <c r="C16251" s="2108">
        <v>35.389000000000003</v>
      </c>
      <c r="D16251" s="2865">
        <v>29.94</v>
      </c>
      <c r="E16251" s="2892">
        <v>-0.15397439882449349</v>
      </c>
      <c r="F16251" s="3171">
        <v>-3.07948797648987E-3</v>
      </c>
      <c r="G16251" s="78"/>
      <c r="H16251" t="s">
        <v>8516</v>
      </c>
      <c r="K16251" s="434"/>
    </row>
    <row r="16252" spans="1:11" ht="12.75" hidden="1" customHeight="1" outlineLevel="1" x14ac:dyDescent="0.25">
      <c r="A16252" s="2380">
        <v>0.02</v>
      </c>
      <c r="B16252" s="1921" t="s">
        <v>1203</v>
      </c>
      <c r="C16252" s="2108">
        <v>98.394999999999996</v>
      </c>
      <c r="D16252" s="2865">
        <v>66.680000000000007</v>
      </c>
      <c r="E16252" s="2892">
        <v>-0.32232328878499916</v>
      </c>
      <c r="F16252" s="3171">
        <v>-6.4464657756999836E-3</v>
      </c>
      <c r="G16252" s="78"/>
      <c r="H16252" t="s">
        <v>79</v>
      </c>
      <c r="K16252" s="434"/>
    </row>
    <row r="16253" spans="1:11" ht="12.75" hidden="1" customHeight="1" outlineLevel="1" x14ac:dyDescent="0.25">
      <c r="A16253" s="2380">
        <v>0.04</v>
      </c>
      <c r="B16253" s="1921" t="s">
        <v>7433</v>
      </c>
      <c r="C16253" s="2108">
        <v>25.479500000000002</v>
      </c>
      <c r="D16253" s="2865">
        <v>9.58</v>
      </c>
      <c r="E16253" s="2892">
        <v>-0.62401146019348896</v>
      </c>
      <c r="F16253" s="3171">
        <v>-2.4960458407739559E-2</v>
      </c>
      <c r="G16253" s="78"/>
      <c r="H16253" t="s">
        <v>7431</v>
      </c>
      <c r="K16253" s="434"/>
    </row>
    <row r="16254" spans="1:11" ht="12.75" hidden="1" customHeight="1" outlineLevel="1" x14ac:dyDescent="0.25">
      <c r="A16254" s="2380">
        <v>0.03</v>
      </c>
      <c r="B16254" s="1921" t="s">
        <v>8919</v>
      </c>
      <c r="C16254" s="2108">
        <v>3.9083000000000001</v>
      </c>
      <c r="D16254" s="2865">
        <v>2.27</v>
      </c>
      <c r="E16254" s="2892">
        <v>-0.41918481181076173</v>
      </c>
      <c r="F16254" s="3171">
        <v>-1.2575544354322852E-2</v>
      </c>
      <c r="G16254" s="78"/>
      <c r="H16254" t="s">
        <v>8922</v>
      </c>
      <c r="K16254" s="434"/>
    </row>
    <row r="16255" spans="1:11" ht="12.75" hidden="1" customHeight="1" outlineLevel="1" x14ac:dyDescent="0.25">
      <c r="A16255" s="2380">
        <v>0.03</v>
      </c>
      <c r="B16255" s="1921" t="s">
        <v>6270</v>
      </c>
      <c r="C16255" s="2108">
        <v>44.557235442049503</v>
      </c>
      <c r="D16255" s="2865">
        <v>32.4</v>
      </c>
      <c r="E16255" s="2892">
        <v>-0.27284537116000007</v>
      </c>
      <c r="F16255" s="3171">
        <v>-8.1853611348000014E-3</v>
      </c>
      <c r="G16255" s="78"/>
      <c r="H16255" t="s">
        <v>8166</v>
      </c>
      <c r="K16255" s="434"/>
    </row>
    <row r="16256" spans="1:11" ht="12.75" hidden="1" customHeight="1" outlineLevel="1" x14ac:dyDescent="0.25">
      <c r="A16256" s="2380">
        <v>0.05</v>
      </c>
      <c r="B16256" s="1921" t="s">
        <v>6524</v>
      </c>
      <c r="C16256" s="2108">
        <v>100.20871511267154</v>
      </c>
      <c r="D16256" s="2865">
        <v>76.3</v>
      </c>
      <c r="E16256" s="2892">
        <v>-0.23858917945200009</v>
      </c>
      <c r="F16256" s="3171">
        <v>-1.1929458972600004E-2</v>
      </c>
      <c r="G16256" s="78"/>
      <c r="H16256" t="s">
        <v>6525</v>
      </c>
      <c r="K16256" s="434"/>
    </row>
    <row r="16257" spans="1:11" ht="12.75" hidden="1" customHeight="1" outlineLevel="1" x14ac:dyDescent="0.25">
      <c r="A16257" s="2380">
        <v>0.06</v>
      </c>
      <c r="B16257" s="1921" t="s">
        <v>6116</v>
      </c>
      <c r="C16257" s="2108">
        <v>4.3026</v>
      </c>
      <c r="D16257" s="2865">
        <v>4.1900000000000004</v>
      </c>
      <c r="E16257" s="2892">
        <v>-2.6170222656068276E-2</v>
      </c>
      <c r="F16257" s="3171">
        <v>-1.5702133593640964E-3</v>
      </c>
      <c r="G16257" s="78"/>
      <c r="H16257" t="s">
        <v>6114</v>
      </c>
      <c r="K16257" s="434"/>
    </row>
    <row r="16258" spans="1:11" ht="12.75" hidden="1" customHeight="1" outlineLevel="1" x14ac:dyDescent="0.25">
      <c r="A16258" s="2380">
        <v>0.04</v>
      </c>
      <c r="B16258" s="1921" t="s">
        <v>1857</v>
      </c>
      <c r="C16258" s="2108">
        <v>13.555999999999999</v>
      </c>
      <c r="D16258" s="2865">
        <v>12.55</v>
      </c>
      <c r="E16258" s="2892">
        <v>-7.4210681616996066E-2</v>
      </c>
      <c r="F16258" s="3171">
        <v>-2.9684272646798428E-3</v>
      </c>
      <c r="G16258" s="78"/>
      <c r="H16258" t="s">
        <v>3559</v>
      </c>
      <c r="K16258" s="434"/>
    </row>
    <row r="16259" spans="1:11" ht="12.75" hidden="1" customHeight="1" outlineLevel="1" x14ac:dyDescent="0.25">
      <c r="A16259" s="2380">
        <v>0.08</v>
      </c>
      <c r="B16259" s="1921" t="s">
        <v>6118</v>
      </c>
      <c r="C16259" s="2108">
        <v>92.58</v>
      </c>
      <c r="D16259" s="2865">
        <v>65.739999999999995</v>
      </c>
      <c r="E16259" s="2892">
        <v>-0.28991142795420177</v>
      </c>
      <c r="F16259" s="3171">
        <v>-2.3192914236336144E-2</v>
      </c>
      <c r="G16259" s="78"/>
      <c r="H16259" t="s">
        <v>8893</v>
      </c>
      <c r="K16259" s="434"/>
    </row>
    <row r="16260" spans="1:11" ht="12.75" hidden="1" customHeight="1" outlineLevel="1" x14ac:dyDescent="0.25">
      <c r="A16260" s="2380">
        <v>0.02</v>
      </c>
      <c r="B16260" s="1921" t="s">
        <v>3383</v>
      </c>
      <c r="C16260" s="2108">
        <v>173.22433665429216</v>
      </c>
      <c r="D16260" s="2865">
        <v>147.19999999999999</v>
      </c>
      <c r="E16260" s="2892">
        <v>-0.15023487552000003</v>
      </c>
      <c r="F16260" s="3171">
        <v>-3.0046975104000007E-3</v>
      </c>
      <c r="G16260" s="78"/>
      <c r="H16260" t="s">
        <v>3789</v>
      </c>
      <c r="K16260" s="434"/>
    </row>
    <row r="16261" spans="1:11" ht="12.75" hidden="1" customHeight="1" outlineLevel="1" x14ac:dyDescent="0.25">
      <c r="A16261" s="2380">
        <v>7.0000000000000007E-2</v>
      </c>
      <c r="B16261" s="1921" t="s">
        <v>434</v>
      </c>
      <c r="C16261" s="2108">
        <v>37.593000000000004</v>
      </c>
      <c r="D16261" s="2865">
        <v>34.119999999999997</v>
      </c>
      <c r="E16261" s="2892">
        <v>-9.238422046657635E-2</v>
      </c>
      <c r="F16261" s="3171">
        <v>-6.4668954326603453E-3</v>
      </c>
      <c r="G16261" s="78"/>
      <c r="H16261" t="s">
        <v>7745</v>
      </c>
      <c r="K16261" s="434"/>
    </row>
    <row r="16262" spans="1:11" ht="12.75" hidden="1" customHeight="1" outlineLevel="1" x14ac:dyDescent="0.25">
      <c r="A16262" s="2380">
        <v>0.02</v>
      </c>
      <c r="B16262" s="1921" t="s">
        <v>5249</v>
      </c>
      <c r="C16262" s="2108">
        <v>3.2922671371379622</v>
      </c>
      <c r="D16262" s="2865">
        <v>2.68</v>
      </c>
      <c r="E16262" s="2892">
        <v>-0.18597128107600003</v>
      </c>
      <c r="F16262" s="3171">
        <v>-3.7194256215200006E-3</v>
      </c>
      <c r="G16262" s="78"/>
      <c r="H16262" t="s">
        <v>5247</v>
      </c>
      <c r="K16262" s="434"/>
    </row>
    <row r="16263" spans="1:11" ht="12.75" hidden="1" customHeight="1" outlineLevel="1" x14ac:dyDescent="0.25">
      <c r="A16263" s="2380">
        <v>0.02</v>
      </c>
      <c r="B16263" s="1921" t="s">
        <v>1183</v>
      </c>
      <c r="C16263" s="2108">
        <v>47.069499999999998</v>
      </c>
      <c r="D16263" s="2865">
        <v>25.82</v>
      </c>
      <c r="E16263" s="2892">
        <v>-0.45144945240548551</v>
      </c>
      <c r="F16263" s="3171">
        <v>-9.0289890481097101E-3</v>
      </c>
      <c r="G16263" s="78"/>
      <c r="H16263" t="s">
        <v>2805</v>
      </c>
      <c r="K16263" s="434"/>
    </row>
    <row r="16264" spans="1:11" ht="12.75" hidden="1" customHeight="1" outlineLevel="1" x14ac:dyDescent="0.25">
      <c r="A16264" s="2380">
        <v>0.02</v>
      </c>
      <c r="B16264" s="1921" t="s">
        <v>255</v>
      </c>
      <c r="C16264" s="2108">
        <v>45.27</v>
      </c>
      <c r="D16264" s="2865">
        <v>56.99</v>
      </c>
      <c r="E16264" s="2892">
        <v>0.25889109785730069</v>
      </c>
      <c r="F16264" s="3171">
        <v>5.1778219571460135E-3</v>
      </c>
      <c r="G16264" s="78"/>
      <c r="H16264" t="s">
        <v>3351</v>
      </c>
      <c r="K16264" s="434"/>
    </row>
    <row r="16265" spans="1:11" ht="12.75" hidden="1" customHeight="1" outlineLevel="1" x14ac:dyDescent="0.25">
      <c r="A16265" s="2380">
        <v>0.02</v>
      </c>
      <c r="B16265" s="1921" t="s">
        <v>579</v>
      </c>
      <c r="C16265" s="2108">
        <v>2.2559999999999998</v>
      </c>
      <c r="D16265" s="2865">
        <v>1.03</v>
      </c>
      <c r="E16265" s="2892">
        <v>-0.54343971631205668</v>
      </c>
      <c r="F16265" s="3171">
        <v>-1.0868794326241134E-2</v>
      </c>
      <c r="G16265" s="78"/>
      <c r="H16265" t="s">
        <v>3611</v>
      </c>
      <c r="K16265" s="434"/>
    </row>
    <row r="16266" spans="1:11" ht="12.75" hidden="1" customHeight="1" outlineLevel="1" x14ac:dyDescent="0.25">
      <c r="A16266" s="2380">
        <v>0.02</v>
      </c>
      <c r="B16266" s="1921" t="s">
        <v>5626</v>
      </c>
      <c r="C16266" s="2108">
        <v>32.191000000000003</v>
      </c>
      <c r="D16266" s="2865">
        <v>17.91</v>
      </c>
      <c r="E16266" s="2892">
        <v>-0.44363331365909731</v>
      </c>
      <c r="F16266" s="3171">
        <v>-8.8726662731819471E-3</v>
      </c>
      <c r="G16266" s="78"/>
      <c r="H16266" t="s">
        <v>5624</v>
      </c>
      <c r="K16266" s="434"/>
    </row>
    <row r="16267" spans="1:11" ht="12.75" hidden="1" customHeight="1" outlineLevel="1" x14ac:dyDescent="0.25">
      <c r="A16267" s="2380">
        <v>0.05</v>
      </c>
      <c r="B16267" s="2109" t="s">
        <v>4550</v>
      </c>
      <c r="C16267" s="2108">
        <v>299.35000000000002</v>
      </c>
      <c r="D16267" s="2868">
        <v>304</v>
      </c>
      <c r="E16267" s="2897">
        <v>1.5533656255219519E-2</v>
      </c>
      <c r="F16267" s="2989">
        <v>7.7668281276097604E-4</v>
      </c>
      <c r="G16267" s="78"/>
      <c r="H16267" t="s">
        <v>8889</v>
      </c>
      <c r="K16267" s="434"/>
    </row>
    <row r="16268" spans="1:11" ht="12.75" hidden="1" customHeight="1" outlineLevel="1" x14ac:dyDescent="0.25">
      <c r="A16268" s="2181" t="s">
        <v>2734</v>
      </c>
      <c r="B16268" s="2103"/>
      <c r="C16268" s="3173"/>
      <c r="D16268" s="3174"/>
      <c r="E16268" s="3025"/>
      <c r="F16268" s="3171">
        <v>-0.21268962972498018</v>
      </c>
      <c r="G16268" s="78"/>
    </row>
    <row r="16269" spans="1:11" ht="12.75" hidden="1" customHeight="1" outlineLevel="1" x14ac:dyDescent="0.25">
      <c r="A16269" s="1956" t="s">
        <v>8971</v>
      </c>
      <c r="B16269" s="2185">
        <v>43952</v>
      </c>
      <c r="C16269" s="3176">
        <v>100</v>
      </c>
      <c r="D16269" s="3176">
        <v>80.851600000000005</v>
      </c>
      <c r="E16269" s="3177">
        <v>-0.19148399999999999</v>
      </c>
      <c r="F16269" s="3178"/>
      <c r="G16269" s="78"/>
    </row>
    <row r="16270" spans="1:11" ht="12.75" hidden="1" customHeight="1" outlineLevel="1" x14ac:dyDescent="0.25">
      <c r="A16270" s="1956" t="s">
        <v>8972</v>
      </c>
      <c r="B16270" s="2185">
        <v>43983</v>
      </c>
      <c r="C16270" s="3176">
        <v>100</v>
      </c>
      <c r="D16270" s="3179">
        <v>84.049300000000002</v>
      </c>
      <c r="E16270" s="3177">
        <v>-0.15950699999999995</v>
      </c>
      <c r="F16270" s="3178"/>
      <c r="G16270" s="78"/>
    </row>
    <row r="16271" spans="1:11" ht="12.75" hidden="1" customHeight="1" outlineLevel="1" x14ac:dyDescent="0.25">
      <c r="A16271" s="1956" t="s">
        <v>8973</v>
      </c>
      <c r="B16271" s="2185">
        <v>44013</v>
      </c>
      <c r="C16271" s="3176">
        <v>100</v>
      </c>
      <c r="D16271" s="3179">
        <v>83.742599999999996</v>
      </c>
      <c r="E16271" s="3177">
        <v>-0.162574</v>
      </c>
      <c r="F16271" s="3178"/>
      <c r="G16271" s="78"/>
    </row>
    <row r="16272" spans="1:11" ht="12.75" hidden="1" customHeight="1" outlineLevel="1" x14ac:dyDescent="0.25">
      <c r="A16272" s="1956" t="s">
        <v>8974</v>
      </c>
      <c r="B16272" s="2185">
        <v>44044</v>
      </c>
      <c r="C16272" s="3176">
        <v>100</v>
      </c>
      <c r="D16272" s="3179">
        <v>83.900199999999998</v>
      </c>
      <c r="E16272" s="3177">
        <v>-0.16099799999999997</v>
      </c>
      <c r="F16272" s="3178"/>
      <c r="G16272" s="78"/>
    </row>
    <row r="16273" spans="1:11" ht="12.75" hidden="1" customHeight="1" outlineLevel="1" x14ac:dyDescent="0.25">
      <c r="A16273" s="1956" t="s">
        <v>8975</v>
      </c>
      <c r="B16273" s="2185">
        <v>44075</v>
      </c>
      <c r="C16273" s="3176">
        <v>100</v>
      </c>
      <c r="D16273" s="3179">
        <v>82.286199999999994</v>
      </c>
      <c r="E16273" s="3177">
        <v>-0.17713800000000002</v>
      </c>
      <c r="F16273" s="3178"/>
      <c r="G16273" s="78"/>
    </row>
    <row r="16274" spans="1:11" ht="12.75" hidden="1" customHeight="1" outlineLevel="1" x14ac:dyDescent="0.25">
      <c r="A16274" s="1956" t="s">
        <v>8976</v>
      </c>
      <c r="B16274" s="2185">
        <v>44105</v>
      </c>
      <c r="C16274" s="3176">
        <v>100</v>
      </c>
      <c r="D16274" s="3179">
        <v>78.747399999999999</v>
      </c>
      <c r="E16274" s="3177">
        <v>-0.21252599999999999</v>
      </c>
      <c r="F16274" s="3178"/>
      <c r="G16274" s="78"/>
    </row>
    <row r="16275" spans="1:11" ht="12.75" hidden="1" customHeight="1" outlineLevel="1" x14ac:dyDescent="0.25">
      <c r="A16275" s="2189" t="s">
        <v>2734</v>
      </c>
      <c r="B16275" s="2190"/>
      <c r="C16275" s="3179"/>
      <c r="D16275" s="2191" t="s">
        <v>2465</v>
      </c>
      <c r="E16275" s="1987">
        <v>-0.17737116666666664</v>
      </c>
      <c r="F16275" s="2192">
        <v>-0.17737116666666664</v>
      </c>
      <c r="G16275" s="78"/>
    </row>
    <row r="16276" spans="1:11" collapsed="1" x14ac:dyDescent="0.25">
      <c r="A16276" s="3801" t="s">
        <v>8836</v>
      </c>
      <c r="B16276" s="3802"/>
      <c r="C16276" s="3802"/>
      <c r="D16276" s="3802"/>
      <c r="E16276" s="1906"/>
      <c r="F16276" s="1907">
        <v>-0.1</v>
      </c>
      <c r="G16276" s="78"/>
    </row>
    <row r="16278" spans="1:11" ht="12.75" hidden="1" customHeight="1" outlineLevel="1" x14ac:dyDescent="0.25">
      <c r="A16278" s="3237" t="s">
        <v>113</v>
      </c>
      <c r="B16278" s="3237" t="s">
        <v>114</v>
      </c>
      <c r="C16278" s="3237" t="s">
        <v>112</v>
      </c>
      <c r="D16278" s="3237" t="s">
        <v>116</v>
      </c>
      <c r="E16278" s="3237" t="s">
        <v>117</v>
      </c>
      <c r="F16278" s="3276" t="s">
        <v>121</v>
      </c>
      <c r="G16278" s="78"/>
    </row>
    <row r="16279" spans="1:11" ht="12.75" hidden="1" customHeight="1" outlineLevel="1" x14ac:dyDescent="0.25">
      <c r="A16279" s="3182">
        <v>1</v>
      </c>
      <c r="B16279" s="3183" t="s">
        <v>252</v>
      </c>
      <c r="C16279" s="3184">
        <v>100</v>
      </c>
      <c r="D16279" s="3184"/>
      <c r="E16279" s="3688"/>
      <c r="F16279" s="3686"/>
      <c r="G16279" s="78"/>
    </row>
    <row r="16280" spans="1:11" ht="12.75" hidden="1" customHeight="1" outlineLevel="1" x14ac:dyDescent="0.25">
      <c r="A16280" s="3187" t="s">
        <v>2734</v>
      </c>
      <c r="B16280" s="3187"/>
      <c r="C16280" s="3188"/>
      <c r="D16280" s="1900" t="s">
        <v>3702</v>
      </c>
      <c r="E16280" s="3189">
        <v>45169</v>
      </c>
      <c r="F16280" s="3687"/>
      <c r="G16280" s="78"/>
    </row>
    <row r="16281" spans="1:11" ht="12.75" hidden="1" customHeight="1" outlineLevel="1" x14ac:dyDescent="0.25">
      <c r="A16281" s="3180" t="s">
        <v>4156</v>
      </c>
      <c r="B16281" s="3180" t="s">
        <v>4153</v>
      </c>
      <c r="C16281" s="3690" t="s">
        <v>112</v>
      </c>
      <c r="D16281" s="3192" t="s">
        <v>4155</v>
      </c>
      <c r="E16281" s="3180" t="s">
        <v>4154</v>
      </c>
      <c r="F16281" s="3193" t="s">
        <v>2519</v>
      </c>
      <c r="G16281" s="78"/>
    </row>
    <row r="16282" spans="1:11" ht="12.75" hidden="1" customHeight="1" outlineLevel="1" x14ac:dyDescent="0.25">
      <c r="A16282" s="1991">
        <v>0.02</v>
      </c>
      <c r="B16282" s="1921" t="s">
        <v>8978</v>
      </c>
      <c r="C16282" s="2108">
        <v>2109.3000000000002</v>
      </c>
      <c r="D16282" s="3194">
        <v>6173</v>
      </c>
      <c r="E16282" s="3195">
        <v>1.9265633148437868</v>
      </c>
      <c r="F16282" s="3193">
        <v>3.8531266296875741E-2</v>
      </c>
      <c r="G16282" s="78"/>
      <c r="H16282" t="s">
        <v>8982</v>
      </c>
      <c r="K16282" s="434"/>
    </row>
    <row r="16283" spans="1:11" ht="12.75" hidden="1" customHeight="1" outlineLevel="1" x14ac:dyDescent="0.25">
      <c r="A16283" s="2380">
        <v>0.08</v>
      </c>
      <c r="B16283" s="1921" t="s">
        <v>3320</v>
      </c>
      <c r="C16283" s="2108">
        <v>98.557000000000002</v>
      </c>
      <c r="D16283" s="3196">
        <v>52.5</v>
      </c>
      <c r="E16283" s="3197">
        <v>-0.46731333137169351</v>
      </c>
      <c r="F16283" s="3198">
        <v>-3.7385066509735485E-2</v>
      </c>
      <c r="G16283" s="78"/>
      <c r="H16283" t="s">
        <v>4093</v>
      </c>
      <c r="K16283" s="434"/>
    </row>
    <row r="16284" spans="1:11" ht="12.75" hidden="1" customHeight="1" outlineLevel="1" x14ac:dyDescent="0.25">
      <c r="A16284" s="2380">
        <v>0.02</v>
      </c>
      <c r="B16284" s="1921" t="s">
        <v>8979</v>
      </c>
      <c r="C16284" s="2108">
        <v>39.441000000000003</v>
      </c>
      <c r="D16284" s="3196">
        <v>79.3</v>
      </c>
      <c r="E16284" s="3197">
        <v>1.0105981085672266</v>
      </c>
      <c r="F16284" s="3198">
        <v>2.0211962171344532E-2</v>
      </c>
      <c r="G16284" s="78"/>
      <c r="H16284" t="s">
        <v>8983</v>
      </c>
      <c r="K16284" s="434"/>
    </row>
    <row r="16285" spans="1:11" ht="12.75" hidden="1" customHeight="1" outlineLevel="1" x14ac:dyDescent="0.25">
      <c r="A16285" s="2380">
        <v>0.02</v>
      </c>
      <c r="B16285" s="1921" t="s">
        <v>139</v>
      </c>
      <c r="C16285" s="2108">
        <v>5420.8</v>
      </c>
      <c r="D16285" s="3196">
        <v>5676</v>
      </c>
      <c r="E16285" s="3197">
        <v>4.7077922077922052E-2</v>
      </c>
      <c r="F16285" s="3198">
        <v>9.4155844155844107E-4</v>
      </c>
      <c r="G16285" s="78"/>
      <c r="H16285" t="s">
        <v>1776</v>
      </c>
      <c r="K16285" s="434"/>
    </row>
    <row r="16286" spans="1:11" ht="12.75" hidden="1" customHeight="1" outlineLevel="1" x14ac:dyDescent="0.25">
      <c r="A16286" s="2380">
        <v>0.02</v>
      </c>
      <c r="B16286" s="1921" t="s">
        <v>5479</v>
      </c>
      <c r="C16286" s="2108">
        <v>30.590563196389102</v>
      </c>
      <c r="D16286" s="3196">
        <v>19.925000000000001</v>
      </c>
      <c r="E16286" s="3197">
        <v>-0.34865533948874994</v>
      </c>
      <c r="F16286" s="3198">
        <v>-6.9731067897749986E-3</v>
      </c>
      <c r="G16286" s="78"/>
      <c r="H16286" t="s">
        <v>5477</v>
      </c>
      <c r="K16286" s="434"/>
    </row>
    <row r="16287" spans="1:11" ht="12.75" hidden="1" customHeight="1" outlineLevel="1" x14ac:dyDescent="0.25">
      <c r="A16287" s="2380">
        <v>0.02</v>
      </c>
      <c r="B16287" s="1921" t="s">
        <v>807</v>
      </c>
      <c r="C16287" s="2108">
        <v>61.453000000000003</v>
      </c>
      <c r="D16287" s="3196">
        <v>57.24</v>
      </c>
      <c r="E16287" s="3197">
        <v>-6.8556457780743041E-2</v>
      </c>
      <c r="F16287" s="3198">
        <v>-1.3711291556148609E-3</v>
      </c>
      <c r="G16287" s="78"/>
      <c r="H16287" t="s">
        <v>808</v>
      </c>
      <c r="K16287" s="434"/>
    </row>
    <row r="16288" spans="1:11" ht="12.75" hidden="1" customHeight="1" outlineLevel="1" x14ac:dyDescent="0.25">
      <c r="A16288" s="2380">
        <v>0.02</v>
      </c>
      <c r="B16288" s="1921" t="s">
        <v>5194</v>
      </c>
      <c r="C16288" s="2108">
        <v>35.28</v>
      </c>
      <c r="D16288" s="3196">
        <v>29.88</v>
      </c>
      <c r="E16288" s="3197">
        <v>-0.15306122448979598</v>
      </c>
      <c r="F16288" s="3198">
        <v>-3.0612244897959195E-3</v>
      </c>
      <c r="G16288" s="78"/>
      <c r="H16288" t="s">
        <v>5192</v>
      </c>
      <c r="K16288" s="434"/>
    </row>
    <row r="16289" spans="1:11" ht="12.75" hidden="1" customHeight="1" outlineLevel="1" x14ac:dyDescent="0.25">
      <c r="A16289" s="2380">
        <v>0.05</v>
      </c>
      <c r="B16289" s="1921" t="s">
        <v>53</v>
      </c>
      <c r="C16289" s="2108">
        <v>69.113</v>
      </c>
      <c r="D16289" s="3196">
        <v>53.83</v>
      </c>
      <c r="E16289" s="3197">
        <v>-0.22113061218584062</v>
      </c>
      <c r="F16289" s="3198">
        <v>-1.1056530609292032E-2</v>
      </c>
      <c r="G16289" s="78"/>
      <c r="H16289" t="s">
        <v>2751</v>
      </c>
      <c r="K16289" s="434"/>
    </row>
    <row r="16290" spans="1:11" ht="12.75" hidden="1" customHeight="1" outlineLevel="1" x14ac:dyDescent="0.25">
      <c r="A16290" s="2380">
        <v>0.02</v>
      </c>
      <c r="B16290" s="1921" t="s">
        <v>3406</v>
      </c>
      <c r="C16290" s="2108">
        <v>25.782499999999999</v>
      </c>
      <c r="D16290" s="3196">
        <v>32.435000000000002</v>
      </c>
      <c r="E16290" s="3197">
        <v>0.25802385338892675</v>
      </c>
      <c r="F16290" s="3198">
        <v>5.1604770677785355E-3</v>
      </c>
      <c r="G16290" s="78"/>
      <c r="H16290" t="s">
        <v>2105</v>
      </c>
      <c r="K16290" s="434"/>
    </row>
    <row r="16291" spans="1:11" ht="12.75" hidden="1" customHeight="1" outlineLevel="1" x14ac:dyDescent="0.25">
      <c r="A16291" s="2380">
        <v>0.02</v>
      </c>
      <c r="B16291" s="1921" t="s">
        <v>10769</v>
      </c>
      <c r="C16291" s="2108">
        <v>13.995124547851027</v>
      </c>
      <c r="D16291" s="3196">
        <v>33.65</v>
      </c>
      <c r="E16291" s="3197">
        <v>1.4044087557024998</v>
      </c>
      <c r="F16291" s="3198">
        <v>2.8088175114049995E-2</v>
      </c>
      <c r="G16291" s="78"/>
      <c r="H16291" t="s">
        <v>10768</v>
      </c>
      <c r="K16291" s="434"/>
    </row>
    <row r="16292" spans="1:11" ht="12.75" hidden="1" customHeight="1" outlineLevel="1" x14ac:dyDescent="0.25">
      <c r="A16292" s="2380">
        <v>0.03</v>
      </c>
      <c r="B16292" s="1921" t="s">
        <v>5489</v>
      </c>
      <c r="C16292" s="2108">
        <v>53.347999999999999</v>
      </c>
      <c r="D16292" s="3196">
        <v>67.66</v>
      </c>
      <c r="E16292" s="3197">
        <v>0.26827622403838935</v>
      </c>
      <c r="F16292" s="3198">
        <v>8.04828672115168E-3</v>
      </c>
      <c r="G16292" s="78"/>
      <c r="H16292" t="s">
        <v>5487</v>
      </c>
      <c r="K16292" s="434"/>
    </row>
    <row r="16293" spans="1:11" ht="12.75" hidden="1" customHeight="1" outlineLevel="1" x14ac:dyDescent="0.25">
      <c r="A16293" s="2380">
        <v>0.02</v>
      </c>
      <c r="B16293" s="1921" t="s">
        <v>3319</v>
      </c>
      <c r="C16293" s="2108">
        <v>84.49</v>
      </c>
      <c r="D16293" s="3196">
        <v>89.82</v>
      </c>
      <c r="E16293" s="3197">
        <v>6.3084388685051396E-2</v>
      </c>
      <c r="F16293" s="3198">
        <v>1.261687773701028E-3</v>
      </c>
      <c r="G16293" s="78"/>
      <c r="H16293" t="s">
        <v>1779</v>
      </c>
      <c r="K16293" s="434"/>
    </row>
    <row r="16294" spans="1:11" ht="12.75" hidden="1" customHeight="1" outlineLevel="1" x14ac:dyDescent="0.25">
      <c r="A16294" s="2380">
        <v>0.02</v>
      </c>
      <c r="B16294" s="1921" t="s">
        <v>5492</v>
      </c>
      <c r="C16294" s="2519">
        <v>108.736</v>
      </c>
      <c r="D16294" s="3196">
        <v>214.86</v>
      </c>
      <c r="E16294" s="3197">
        <v>0.97597851677457337</v>
      </c>
      <c r="F16294" s="3198">
        <v>1.9519570335491468E-2</v>
      </c>
      <c r="G16294" s="78"/>
      <c r="H16294" t="s">
        <v>5490</v>
      </c>
      <c r="K16294" s="434"/>
    </row>
    <row r="16295" spans="1:11" ht="12.75" hidden="1" customHeight="1" outlineLevel="1" x14ac:dyDescent="0.25">
      <c r="A16295" s="2380">
        <v>0.02</v>
      </c>
      <c r="B16295" s="1921" t="s">
        <v>811</v>
      </c>
      <c r="C16295" s="2108">
        <v>64.591999999999999</v>
      </c>
      <c r="D16295" s="3196">
        <v>61.02</v>
      </c>
      <c r="E16295" s="3197">
        <v>-5.5300966063908774E-2</v>
      </c>
      <c r="F16295" s="3198">
        <v>-1.1060193212781755E-3</v>
      </c>
      <c r="G16295" s="78"/>
      <c r="H16295" t="s">
        <v>812</v>
      </c>
      <c r="K16295" s="434"/>
    </row>
    <row r="16296" spans="1:11" ht="12.75" hidden="1" customHeight="1" outlineLevel="1" x14ac:dyDescent="0.25">
      <c r="A16296" s="2380">
        <v>0.02</v>
      </c>
      <c r="B16296" s="1921" t="s">
        <v>3321</v>
      </c>
      <c r="C16296" s="2108">
        <v>2652.4</v>
      </c>
      <c r="D16296" s="3196">
        <v>2046</v>
      </c>
      <c r="E16296" s="3197">
        <v>-0.22862313376564625</v>
      </c>
      <c r="F16296" s="3198">
        <v>-4.5724626753129247E-3</v>
      </c>
      <c r="G16296" s="78"/>
      <c r="H16296" t="s">
        <v>1780</v>
      </c>
      <c r="K16296" s="434"/>
    </row>
    <row r="16297" spans="1:11" ht="12.75" hidden="1" customHeight="1" outlineLevel="1" x14ac:dyDescent="0.25">
      <c r="A16297" s="2380">
        <v>0.02</v>
      </c>
      <c r="B16297" s="1921" t="s">
        <v>7573</v>
      </c>
      <c r="C16297" s="2108">
        <v>79.620999999999995</v>
      </c>
      <c r="D16297" s="3196">
        <v>33.090000000000003</v>
      </c>
      <c r="E16297" s="3197">
        <v>-0.58440612401250913</v>
      </c>
      <c r="F16297" s="3198">
        <v>-1.1688122480250182E-2</v>
      </c>
      <c r="G16297" s="78"/>
      <c r="H16297" t="s">
        <v>7571</v>
      </c>
      <c r="K16297" s="434"/>
    </row>
    <row r="16298" spans="1:11" ht="12.75" hidden="1" customHeight="1" outlineLevel="1" x14ac:dyDescent="0.25">
      <c r="A16298" s="2380">
        <v>0.05</v>
      </c>
      <c r="B16298" s="1921" t="s">
        <v>8261</v>
      </c>
      <c r="C16298" s="2108">
        <v>152.14771486075875</v>
      </c>
      <c r="D16298" s="3196">
        <v>193</v>
      </c>
      <c r="E16298" s="3197">
        <v>0.26850409929999985</v>
      </c>
      <c r="F16298" s="3198">
        <v>1.3425204964999993E-2</v>
      </c>
      <c r="G16298" s="78"/>
      <c r="H16298" t="s">
        <v>9620</v>
      </c>
      <c r="K16298" s="434"/>
    </row>
    <row r="16299" spans="1:11" ht="12.75" hidden="1" customHeight="1" outlineLevel="1" x14ac:dyDescent="0.25">
      <c r="A16299" s="2380">
        <v>0.02</v>
      </c>
      <c r="B16299" s="1921" t="s">
        <v>8980</v>
      </c>
      <c r="C16299" s="2108">
        <v>4840</v>
      </c>
      <c r="D16299" s="3196">
        <v>3652</v>
      </c>
      <c r="E16299" s="3197">
        <v>-0.24545454545454548</v>
      </c>
      <c r="F16299" s="3198">
        <v>-4.9090909090909098E-3</v>
      </c>
      <c r="G16299" s="78"/>
      <c r="H16299" t="s">
        <v>8984</v>
      </c>
      <c r="K16299" s="434"/>
    </row>
    <row r="16300" spans="1:11" ht="12.75" hidden="1" customHeight="1" outlineLevel="1" x14ac:dyDescent="0.25">
      <c r="A16300" s="2380">
        <v>0.02</v>
      </c>
      <c r="B16300" s="1921" t="s">
        <v>5500</v>
      </c>
      <c r="C16300" s="2108">
        <v>42.107999999999997</v>
      </c>
      <c r="D16300" s="3196">
        <v>71.260000000000005</v>
      </c>
      <c r="E16300" s="3197">
        <v>0.69231499952503106</v>
      </c>
      <c r="F16300" s="3198">
        <v>1.3846299990500622E-2</v>
      </c>
      <c r="G16300" s="78"/>
      <c r="H16300" t="s">
        <v>5498</v>
      </c>
      <c r="K16300" s="434"/>
    </row>
    <row r="16301" spans="1:11" ht="12.75" hidden="1" customHeight="1" outlineLevel="1" x14ac:dyDescent="0.25">
      <c r="A16301" s="2380">
        <v>0.02</v>
      </c>
      <c r="B16301" s="1921" t="s">
        <v>8336</v>
      </c>
      <c r="C16301" s="2108">
        <v>30.172000000000001</v>
      </c>
      <c r="D16301" s="3196">
        <v>28.96</v>
      </c>
      <c r="E16301" s="3197">
        <v>-4.016969375580004E-2</v>
      </c>
      <c r="F16301" s="3198">
        <v>-8.0339387511600083E-4</v>
      </c>
      <c r="G16301" s="78"/>
      <c r="H16301" t="s">
        <v>8337</v>
      </c>
      <c r="K16301" s="434"/>
    </row>
    <row r="16302" spans="1:11" ht="12.75" hidden="1" customHeight="1" outlineLevel="1" x14ac:dyDescent="0.25">
      <c r="A16302" s="2380">
        <v>0.05</v>
      </c>
      <c r="B16302" s="1921" t="s">
        <v>3797</v>
      </c>
      <c r="C16302" s="2108">
        <v>84.135000000000005</v>
      </c>
      <c r="D16302" s="3196">
        <v>106.4</v>
      </c>
      <c r="E16302" s="3197">
        <v>0.26463421881499971</v>
      </c>
      <c r="F16302" s="3198">
        <v>1.3231710940749986E-2</v>
      </c>
      <c r="G16302" s="78"/>
      <c r="H16302" t="s">
        <v>8872</v>
      </c>
      <c r="K16302" s="434"/>
    </row>
    <row r="16303" spans="1:11" ht="12.75" hidden="1" customHeight="1" outlineLevel="1" x14ac:dyDescent="0.25">
      <c r="A16303" s="2380">
        <v>0.03</v>
      </c>
      <c r="B16303" s="1921" t="s">
        <v>1204</v>
      </c>
      <c r="C16303" s="2108">
        <v>114.508</v>
      </c>
      <c r="D16303" s="3196">
        <v>177.92</v>
      </c>
      <c r="E16303" s="3197">
        <v>0.55377790198064769</v>
      </c>
      <c r="F16303" s="3198">
        <v>1.661333705941943E-2</v>
      </c>
      <c r="G16303" s="78"/>
      <c r="H16303" t="s">
        <v>9047</v>
      </c>
      <c r="K16303" s="434"/>
    </row>
    <row r="16304" spans="1:11" ht="12.75" hidden="1" customHeight="1" outlineLevel="1" x14ac:dyDescent="0.25">
      <c r="A16304" s="2380">
        <v>0.02</v>
      </c>
      <c r="B16304" s="1921" t="s">
        <v>4044</v>
      </c>
      <c r="C16304" s="2108">
        <v>127.655</v>
      </c>
      <c r="D16304" s="3196">
        <v>181.2</v>
      </c>
      <c r="E16304" s="3197">
        <v>0.41945086365594753</v>
      </c>
      <c r="F16304" s="3198">
        <v>8.3890172731189514E-3</v>
      </c>
      <c r="G16304" s="78"/>
      <c r="H16304" t="s">
        <v>4045</v>
      </c>
      <c r="K16304" s="434"/>
    </row>
    <row r="16305" spans="1:11" ht="12.75" hidden="1" customHeight="1" outlineLevel="1" x14ac:dyDescent="0.25">
      <c r="A16305" s="2380">
        <v>7.0000000000000007E-2</v>
      </c>
      <c r="B16305" s="1921" t="s">
        <v>1724</v>
      </c>
      <c r="C16305" s="2108">
        <v>197.15439624364322</v>
      </c>
      <c r="D16305" s="3196">
        <v>194.15</v>
      </c>
      <c r="E16305" s="3197">
        <v>-1.5238799138571513E-2</v>
      </c>
      <c r="F16305" s="3198">
        <v>-1.0667159397000059E-3</v>
      </c>
      <c r="G16305" s="78"/>
      <c r="H16305" t="s">
        <v>1725</v>
      </c>
      <c r="K16305" s="434"/>
    </row>
    <row r="16306" spans="1:11" ht="12.75" hidden="1" customHeight="1" outlineLevel="1" x14ac:dyDescent="0.25">
      <c r="A16306" s="2380">
        <v>7.0000000000000007E-2</v>
      </c>
      <c r="B16306" s="1921" t="s">
        <v>6118</v>
      </c>
      <c r="C16306" s="2108">
        <v>92.58</v>
      </c>
      <c r="D16306" s="3196">
        <v>85.9</v>
      </c>
      <c r="E16306" s="3197">
        <v>-7.2153812918556826E-2</v>
      </c>
      <c r="F16306" s="3198">
        <v>-5.0507669042989785E-3</v>
      </c>
      <c r="G16306" s="78"/>
      <c r="H16306" t="s">
        <v>8893</v>
      </c>
      <c r="K16306" s="434"/>
    </row>
    <row r="16307" spans="1:11" ht="12.75" hidden="1" customHeight="1" outlineLevel="1" x14ac:dyDescent="0.25">
      <c r="A16307" s="2380">
        <v>7.0000000000000007E-2</v>
      </c>
      <c r="B16307" s="1921" t="s">
        <v>1239</v>
      </c>
      <c r="C16307" s="2108">
        <v>506.2</v>
      </c>
      <c r="D16307" s="3196">
        <v>538</v>
      </c>
      <c r="E16307" s="3197">
        <v>6.2821019359936781E-2</v>
      </c>
      <c r="F16307" s="3198">
        <v>4.3974713551955752E-3</v>
      </c>
      <c r="G16307" s="78"/>
      <c r="H16307" t="s">
        <v>8891</v>
      </c>
      <c r="K16307" s="434"/>
    </row>
    <row r="16308" spans="1:11" ht="12.75" hidden="1" customHeight="1" outlineLevel="1" x14ac:dyDescent="0.25">
      <c r="A16308" s="2380">
        <v>0.04</v>
      </c>
      <c r="B16308" s="1921" t="s">
        <v>5503</v>
      </c>
      <c r="C16308" s="2108">
        <v>6.9721523054595353</v>
      </c>
      <c r="D16308" s="3196">
        <v>7.0650000000000004</v>
      </c>
      <c r="E16308" s="3197">
        <v>1.3316934351500054E-2</v>
      </c>
      <c r="F16308" s="3198">
        <v>5.3267737406000211E-4</v>
      </c>
      <c r="G16308" s="78"/>
      <c r="H16308" t="s">
        <v>5501</v>
      </c>
      <c r="K16308" s="434"/>
    </row>
    <row r="16309" spans="1:11" ht="12.75" hidden="1" customHeight="1" outlineLevel="1" x14ac:dyDescent="0.25">
      <c r="A16309" s="2380">
        <v>7.0000000000000007E-2</v>
      </c>
      <c r="B16309" s="1921" t="s">
        <v>6945</v>
      </c>
      <c r="C16309" s="2108">
        <v>88.510818887921999</v>
      </c>
      <c r="D16309" s="3196">
        <v>77.34</v>
      </c>
      <c r="E16309" s="3197">
        <v>-0.12620851358371443</v>
      </c>
      <c r="F16309" s="3198">
        <v>-8.8345959508600112E-3</v>
      </c>
      <c r="G16309" s="78"/>
      <c r="H16309" t="s">
        <v>6943</v>
      </c>
      <c r="K16309" s="434"/>
    </row>
    <row r="16310" spans="1:11" ht="12.75" hidden="1" customHeight="1" outlineLevel="1" x14ac:dyDescent="0.25">
      <c r="A16310" s="2380">
        <v>0.03</v>
      </c>
      <c r="B16310" s="1921" t="s">
        <v>1142</v>
      </c>
      <c r="C16310" s="2108">
        <v>46.307000000000002</v>
      </c>
      <c r="D16310" s="3196">
        <v>59.83</v>
      </c>
      <c r="E16310" s="3197">
        <v>0.29202928282980967</v>
      </c>
      <c r="F16310" s="3198">
        <v>8.7608784848942894E-3</v>
      </c>
      <c r="G16310" s="78"/>
      <c r="H16310" t="s">
        <v>1143</v>
      </c>
      <c r="K16310" s="434"/>
    </row>
    <row r="16311" spans="1:11" ht="12.75" hidden="1" customHeight="1" outlineLevel="1" x14ac:dyDescent="0.25">
      <c r="A16311" s="2380">
        <v>0.02</v>
      </c>
      <c r="B16311" s="2109" t="s">
        <v>8981</v>
      </c>
      <c r="C16311" s="2108">
        <v>7.8040000000000003</v>
      </c>
      <c r="D16311" s="3199">
        <v>4.04</v>
      </c>
      <c r="E16311" s="3197">
        <v>-0.4823167606355715</v>
      </c>
      <c r="F16311" s="3198">
        <v>-9.6463352127114307E-3</v>
      </c>
      <c r="G16311" s="78"/>
      <c r="H16311" t="s">
        <v>8985</v>
      </c>
      <c r="K16311" s="434"/>
    </row>
    <row r="16312" spans="1:11" ht="12.75" hidden="1" customHeight="1" outlineLevel="1" x14ac:dyDescent="0.25">
      <c r="A16312" s="2181" t="s">
        <v>2734</v>
      </c>
      <c r="B16312" s="2103"/>
      <c r="C16312" s="3200"/>
      <c r="D16312" s="3201"/>
      <c r="E16312" s="3202"/>
      <c r="F16312" s="3193">
        <v>9.343502054205835E-2</v>
      </c>
      <c r="G16312" s="78"/>
    </row>
    <row r="16313" spans="1:11" ht="12.75" hidden="1" customHeight="1" outlineLevel="1" x14ac:dyDescent="0.25">
      <c r="A16313" s="1956" t="s">
        <v>8990</v>
      </c>
      <c r="B16313" s="2185">
        <v>44986</v>
      </c>
      <c r="C16313" s="3203">
        <v>100</v>
      </c>
      <c r="D16313" s="3203">
        <v>115.5805</v>
      </c>
      <c r="E16313" s="3204">
        <v>0.15580499999999997</v>
      </c>
      <c r="F16313" s="3205"/>
      <c r="G16313" s="78"/>
    </row>
    <row r="16314" spans="1:11" ht="12.75" hidden="1" customHeight="1" outlineLevel="1" x14ac:dyDescent="0.25">
      <c r="A16314" s="1956" t="s">
        <v>8991</v>
      </c>
      <c r="B16314" s="2185">
        <v>45017</v>
      </c>
      <c r="C16314" s="3203">
        <v>100</v>
      </c>
      <c r="D16314" s="3206">
        <v>118.7988</v>
      </c>
      <c r="E16314" s="3204">
        <v>0.18798800000000004</v>
      </c>
      <c r="F16314" s="3205"/>
      <c r="G16314" s="78"/>
    </row>
    <row r="16315" spans="1:11" ht="12.75" hidden="1" customHeight="1" outlineLevel="1" x14ac:dyDescent="0.25">
      <c r="A16315" s="1956" t="s">
        <v>8992</v>
      </c>
      <c r="B16315" s="2185">
        <v>45047</v>
      </c>
      <c r="C16315" s="3203">
        <v>100</v>
      </c>
      <c r="D16315" s="3206">
        <v>112.4271</v>
      </c>
      <c r="E16315" s="3204">
        <v>0.12427100000000002</v>
      </c>
      <c r="F16315" s="3205"/>
      <c r="G16315" s="78"/>
    </row>
    <row r="16316" spans="1:11" ht="12.75" hidden="1" customHeight="1" outlineLevel="1" x14ac:dyDescent="0.25">
      <c r="A16316" s="1956" t="s">
        <v>8993</v>
      </c>
      <c r="B16316" s="2185">
        <v>45078</v>
      </c>
      <c r="C16316" s="3203">
        <v>100</v>
      </c>
      <c r="D16316" s="3206">
        <v>111.26139999999999</v>
      </c>
      <c r="E16316" s="3204">
        <v>0.11261399999999999</v>
      </c>
      <c r="F16316" s="3205"/>
      <c r="G16316" s="78"/>
    </row>
    <row r="16317" spans="1:11" ht="12.75" hidden="1" customHeight="1" outlineLevel="1" x14ac:dyDescent="0.25">
      <c r="A16317" s="1956" t="s">
        <v>8994</v>
      </c>
      <c r="B16317" s="2185">
        <v>45108</v>
      </c>
      <c r="C16317" s="3203">
        <v>100</v>
      </c>
      <c r="D16317" s="3206">
        <v>111.6895</v>
      </c>
      <c r="E16317" s="3204">
        <v>0.11689499999999997</v>
      </c>
      <c r="F16317" s="3205"/>
      <c r="G16317" s="78"/>
    </row>
    <row r="16318" spans="1:11" ht="12.75" hidden="1" customHeight="1" outlineLevel="1" x14ac:dyDescent="0.25">
      <c r="A16318" s="1956" t="s">
        <v>8995</v>
      </c>
      <c r="B16318" s="2185">
        <v>45139</v>
      </c>
      <c r="C16318" s="3203">
        <v>100</v>
      </c>
      <c r="D16318" s="3206">
        <v>109.34350000000001</v>
      </c>
      <c r="E16318" s="3204">
        <v>9.3435000000000157E-2</v>
      </c>
      <c r="F16318" s="3205"/>
      <c r="G16318" s="78"/>
    </row>
    <row r="16319" spans="1:11" ht="12.75" hidden="1" customHeight="1" outlineLevel="1" x14ac:dyDescent="0.25">
      <c r="A16319" s="2189" t="s">
        <v>2734</v>
      </c>
      <c r="B16319" s="2190"/>
      <c r="C16319" s="3206"/>
      <c r="D16319" s="2191" t="s">
        <v>2465</v>
      </c>
      <c r="E16319" s="1987">
        <v>0.13183466666666668</v>
      </c>
      <c r="F16319" s="2192">
        <v>0.13183466666666668</v>
      </c>
      <c r="G16319" s="78"/>
    </row>
    <row r="16320" spans="1:11" collapsed="1" x14ac:dyDescent="0.25">
      <c r="A16320" s="3801" t="s">
        <v>8837</v>
      </c>
      <c r="B16320" s="3802"/>
      <c r="C16320" s="3802"/>
      <c r="D16320" s="3802"/>
      <c r="E16320" s="1906"/>
      <c r="F16320" s="1907">
        <v>9.228426666666667E-2</v>
      </c>
      <c r="G16320" s="78"/>
    </row>
    <row r="16322" spans="1:11" ht="12.75" hidden="1" customHeight="1" outlineLevel="1" x14ac:dyDescent="0.25">
      <c r="A16322" s="3180" t="s">
        <v>113</v>
      </c>
      <c r="B16322" s="3180" t="s">
        <v>114</v>
      </c>
      <c r="C16322" s="3180" t="s">
        <v>112</v>
      </c>
      <c r="D16322" s="3180" t="s">
        <v>116</v>
      </c>
      <c r="E16322" s="3180" t="s">
        <v>117</v>
      </c>
      <c r="F16322" s="3181" t="s">
        <v>121</v>
      </c>
      <c r="G16322" s="78"/>
    </row>
    <row r="16323" spans="1:11" ht="12.75" hidden="1" customHeight="1" outlineLevel="1" x14ac:dyDescent="0.25">
      <c r="A16323" s="3182">
        <v>1</v>
      </c>
      <c r="B16323" s="3183" t="s">
        <v>252</v>
      </c>
      <c r="C16323" s="3184">
        <v>100</v>
      </c>
      <c r="D16323" s="3184"/>
      <c r="E16323" s="3185"/>
      <c r="F16323" s="3186"/>
      <c r="G16323" s="78"/>
    </row>
    <row r="16324" spans="1:11" ht="12.75" hidden="1" customHeight="1" outlineLevel="1" x14ac:dyDescent="0.25">
      <c r="A16324" s="3187" t="s">
        <v>2734</v>
      </c>
      <c r="B16324" s="3187"/>
      <c r="C16324" s="3188"/>
      <c r="D16324" s="1900" t="s">
        <v>3702</v>
      </c>
      <c r="E16324" s="3189">
        <v>44134</v>
      </c>
      <c r="F16324" s="3190"/>
      <c r="G16324" s="78"/>
    </row>
    <row r="16325" spans="1:11" ht="12.75" hidden="1" customHeight="1" outlineLevel="1" x14ac:dyDescent="0.25">
      <c r="A16325" s="3180" t="s">
        <v>4156</v>
      </c>
      <c r="B16325" s="3180" t="s">
        <v>4153</v>
      </c>
      <c r="C16325" s="3191" t="s">
        <v>112</v>
      </c>
      <c r="D16325" s="3192" t="s">
        <v>4155</v>
      </c>
      <c r="E16325" s="3192" t="s">
        <v>4154</v>
      </c>
      <c r="F16325" s="3193" t="s">
        <v>2519</v>
      </c>
      <c r="G16325" s="78"/>
    </row>
    <row r="16326" spans="1:11" ht="12.75" hidden="1" customHeight="1" outlineLevel="1" x14ac:dyDescent="0.25">
      <c r="A16326" s="1991">
        <v>0.02</v>
      </c>
      <c r="B16326" s="1921" t="s">
        <v>2697</v>
      </c>
      <c r="C16326" s="2108">
        <v>15.282</v>
      </c>
      <c r="D16326" s="2862">
        <v>11.51</v>
      </c>
      <c r="E16326" s="2890">
        <v>-0.24682633163198531</v>
      </c>
      <c r="F16326" s="3166">
        <v>-4.9365266326397064E-3</v>
      </c>
      <c r="G16326" s="78"/>
      <c r="H16326" t="s">
        <v>329</v>
      </c>
      <c r="K16326" s="434"/>
    </row>
    <row r="16327" spans="1:11" ht="12.75" hidden="1" customHeight="1" outlineLevel="1" x14ac:dyDescent="0.25">
      <c r="A16327" s="2380">
        <v>0.02</v>
      </c>
      <c r="B16327" s="1921" t="s">
        <v>218</v>
      </c>
      <c r="C16327" s="2108">
        <v>25.105499999999999</v>
      </c>
      <c r="D16327" s="2865">
        <v>13.8</v>
      </c>
      <c r="E16327" s="2892">
        <v>-0.45031965107247407</v>
      </c>
      <c r="F16327" s="3171">
        <v>-9.0063930214494808E-3</v>
      </c>
      <c r="G16327" s="78"/>
      <c r="H16327" t="s">
        <v>656</v>
      </c>
      <c r="K16327" s="434"/>
    </row>
    <row r="16328" spans="1:11" ht="12.75" hidden="1" customHeight="1" outlineLevel="1" x14ac:dyDescent="0.25">
      <c r="A16328" s="2380">
        <v>0.02</v>
      </c>
      <c r="B16328" s="1921" t="s">
        <v>1188</v>
      </c>
      <c r="C16328" s="2108">
        <v>4.9755000000000003</v>
      </c>
      <c r="D16328" s="2865">
        <v>1.966</v>
      </c>
      <c r="E16328" s="2892">
        <v>-0.60486383278062505</v>
      </c>
      <c r="F16328" s="3171">
        <v>-1.2097276655612501E-2</v>
      </c>
      <c r="G16328" s="78"/>
      <c r="H16328" t="s">
        <v>2746</v>
      </c>
      <c r="K16328" s="434"/>
    </row>
    <row r="16329" spans="1:11" ht="12.75" hidden="1" customHeight="1" outlineLevel="1" x14ac:dyDescent="0.25">
      <c r="A16329" s="2380">
        <v>0.02</v>
      </c>
      <c r="B16329" s="1921" t="s">
        <v>8918</v>
      </c>
      <c r="C16329" s="2108">
        <v>2.4621</v>
      </c>
      <c r="D16329" s="2865">
        <v>1.014</v>
      </c>
      <c r="E16329" s="2892">
        <v>-0.58815645180943088</v>
      </c>
      <c r="F16329" s="3171">
        <v>-1.1763129036188619E-2</v>
      </c>
      <c r="G16329" s="78"/>
      <c r="H16329" t="s">
        <v>8921</v>
      </c>
      <c r="K16329" s="434"/>
    </row>
    <row r="16330" spans="1:11" ht="12.75" hidden="1" customHeight="1" outlineLevel="1" x14ac:dyDescent="0.25">
      <c r="A16330" s="2380">
        <v>0.02</v>
      </c>
      <c r="B16330" s="1921" t="s">
        <v>5246</v>
      </c>
      <c r="C16330" s="2108">
        <v>14.519</v>
      </c>
      <c r="D16330" s="2865">
        <v>8.6199999999999992</v>
      </c>
      <c r="E16330" s="2892">
        <v>-0.40629519939389769</v>
      </c>
      <c r="F16330" s="3171">
        <v>-8.1259039878779533E-3</v>
      </c>
      <c r="G16330" s="78"/>
      <c r="H16330" t="s">
        <v>10493</v>
      </c>
      <c r="K16330" s="434"/>
    </row>
    <row r="16331" spans="1:11" ht="12.75" hidden="1" customHeight="1" outlineLevel="1" x14ac:dyDescent="0.25">
      <c r="A16331" s="2380">
        <v>0.02</v>
      </c>
      <c r="B16331" s="1921" t="s">
        <v>8678</v>
      </c>
      <c r="C16331" s="2108">
        <v>80.834999999999994</v>
      </c>
      <c r="D16331" s="2865">
        <v>69.02</v>
      </c>
      <c r="E16331" s="2892">
        <v>-0.14616193480546791</v>
      </c>
      <c r="F16331" s="3171">
        <v>-2.9232386961093584E-3</v>
      </c>
      <c r="G16331" s="78"/>
      <c r="H16331" t="s">
        <v>8682</v>
      </c>
      <c r="K16331" s="434"/>
    </row>
    <row r="16332" spans="1:11" ht="12.75" hidden="1" customHeight="1" outlineLevel="1" x14ac:dyDescent="0.25">
      <c r="A16332" s="2380">
        <v>0.02</v>
      </c>
      <c r="B16332" s="1921" t="s">
        <v>4025</v>
      </c>
      <c r="C16332" s="2108">
        <v>69.754000000000005</v>
      </c>
      <c r="D16332" s="2865">
        <v>44.4</v>
      </c>
      <c r="E16332" s="2892">
        <v>-0.3634773633053302</v>
      </c>
      <c r="F16332" s="3171">
        <v>-7.2695472661066041E-3</v>
      </c>
      <c r="G16332" s="78"/>
      <c r="H16332" t="s">
        <v>3977</v>
      </c>
      <c r="K16332" s="434"/>
    </row>
    <row r="16333" spans="1:11" ht="12.75" hidden="1" customHeight="1" outlineLevel="1" x14ac:dyDescent="0.25">
      <c r="A16333" s="2380">
        <v>7.0000000000000007E-2</v>
      </c>
      <c r="B16333" s="1921" t="s">
        <v>6821</v>
      </c>
      <c r="C16333" s="2108">
        <v>3.3401342737747641</v>
      </c>
      <c r="D16333" s="2865">
        <v>2.6349999999999998</v>
      </c>
      <c r="E16333" s="2892">
        <v>-0.21110955907107154</v>
      </c>
      <c r="F16333" s="3171">
        <v>-1.4777669134975009E-2</v>
      </c>
      <c r="G16333" s="78"/>
      <c r="H16333" t="s">
        <v>6822</v>
      </c>
      <c r="K16333" s="434"/>
    </row>
    <row r="16334" spans="1:11" ht="12.75" hidden="1" customHeight="1" outlineLevel="1" x14ac:dyDescent="0.25">
      <c r="A16334" s="2380">
        <v>0.08</v>
      </c>
      <c r="B16334" s="1921" t="s">
        <v>6267</v>
      </c>
      <c r="C16334" s="2108">
        <v>23.833500000000001</v>
      </c>
      <c r="D16334" s="2865">
        <v>18.53</v>
      </c>
      <c r="E16334" s="2892">
        <v>-0.22252291942014391</v>
      </c>
      <c r="F16334" s="3171">
        <v>-1.7801833553611514E-2</v>
      </c>
      <c r="G16334" s="78"/>
      <c r="H16334" t="s">
        <v>6268</v>
      </c>
      <c r="K16334" s="434"/>
    </row>
    <row r="16335" spans="1:11" ht="12.75" hidden="1" customHeight="1" outlineLevel="1" x14ac:dyDescent="0.25">
      <c r="A16335" s="2380">
        <v>0.03</v>
      </c>
      <c r="B16335" s="1921" t="s">
        <v>4268</v>
      </c>
      <c r="C16335" s="2108">
        <v>17.728999999999999</v>
      </c>
      <c r="D16335" s="2865">
        <v>16.149999999999999</v>
      </c>
      <c r="E16335" s="2892">
        <v>-8.9063116927068697E-2</v>
      </c>
      <c r="F16335" s="3171">
        <v>-2.6718935078120609E-3</v>
      </c>
      <c r="G16335" s="78"/>
      <c r="H16335" t="s">
        <v>8442</v>
      </c>
      <c r="K16335" s="434"/>
    </row>
    <row r="16336" spans="1:11" ht="12.75" hidden="1" customHeight="1" outlineLevel="1" x14ac:dyDescent="0.25">
      <c r="A16336" s="2380">
        <v>0.02</v>
      </c>
      <c r="B16336" s="1921" t="s">
        <v>6902</v>
      </c>
      <c r="C16336" s="2108">
        <v>2.6640999999999999</v>
      </c>
      <c r="D16336" s="2865">
        <v>1.8480000000000001</v>
      </c>
      <c r="E16336" s="2892">
        <v>-0.30633234488194883</v>
      </c>
      <c r="F16336" s="3171">
        <v>-6.1266468976389765E-3</v>
      </c>
      <c r="G16336" s="78"/>
      <c r="H16336" t="s">
        <v>6899</v>
      </c>
      <c r="K16336" s="434"/>
    </row>
    <row r="16337" spans="1:11" ht="12.75" hidden="1" customHeight="1" outlineLevel="1" x14ac:dyDescent="0.25">
      <c r="A16337" s="2380">
        <v>0.02</v>
      </c>
      <c r="B16337" s="1921" t="s">
        <v>8261</v>
      </c>
      <c r="C16337" s="2108">
        <v>152.63</v>
      </c>
      <c r="D16337" s="2865">
        <v>150.65</v>
      </c>
      <c r="E16337" s="2892">
        <v>-1.2972547991875749E-2</v>
      </c>
      <c r="F16337" s="3171">
        <v>-2.5945095983751496E-4</v>
      </c>
      <c r="G16337" s="78"/>
      <c r="H16337" t="s">
        <v>9620</v>
      </c>
      <c r="K16337" s="434"/>
    </row>
    <row r="16338" spans="1:11" ht="12.75" hidden="1" customHeight="1" outlineLevel="1" x14ac:dyDescent="0.25">
      <c r="A16338" s="2380">
        <v>0.02</v>
      </c>
      <c r="B16338" s="1921" t="s">
        <v>5196</v>
      </c>
      <c r="C16338" s="2519">
        <v>42.889325812458452</v>
      </c>
      <c r="D16338" s="2865">
        <v>58.4</v>
      </c>
      <c r="E16338" s="2892">
        <v>0.36164415955999996</v>
      </c>
      <c r="F16338" s="3171">
        <v>7.2328831911999993E-3</v>
      </c>
      <c r="G16338" s="78"/>
      <c r="H16338" t="s">
        <v>5197</v>
      </c>
      <c r="K16338" s="434"/>
    </row>
    <row r="16339" spans="1:11" ht="12.75" hidden="1" customHeight="1" outlineLevel="1" x14ac:dyDescent="0.25">
      <c r="A16339" s="2380">
        <v>0.02</v>
      </c>
      <c r="B16339" s="1921" t="s">
        <v>8527</v>
      </c>
      <c r="C16339" s="2108">
        <v>35.3735</v>
      </c>
      <c r="D16339" s="2865">
        <v>29.94</v>
      </c>
      <c r="E16339" s="2892">
        <v>-0.15360368637539401</v>
      </c>
      <c r="F16339" s="3171">
        <v>-3.0720737275078801E-3</v>
      </c>
      <c r="G16339" s="78"/>
      <c r="H16339" t="s">
        <v>8516</v>
      </c>
      <c r="K16339" s="434"/>
    </row>
    <row r="16340" spans="1:11" ht="12.75" hidden="1" customHeight="1" outlineLevel="1" x14ac:dyDescent="0.25">
      <c r="A16340" s="2380">
        <v>0.02</v>
      </c>
      <c r="B16340" s="1921" t="s">
        <v>1203</v>
      </c>
      <c r="C16340" s="2108">
        <v>97.95</v>
      </c>
      <c r="D16340" s="2865">
        <v>66.680000000000007</v>
      </c>
      <c r="E16340" s="2892">
        <v>-0.31924451250638075</v>
      </c>
      <c r="F16340" s="3171">
        <v>-6.3848902501276155E-3</v>
      </c>
      <c r="G16340" s="78"/>
      <c r="H16340" t="s">
        <v>79</v>
      </c>
      <c r="K16340" s="434"/>
    </row>
    <row r="16341" spans="1:11" ht="12.75" hidden="1" customHeight="1" outlineLevel="1" x14ac:dyDescent="0.25">
      <c r="A16341" s="2380">
        <v>0.04</v>
      </c>
      <c r="B16341" s="1921" t="s">
        <v>7433</v>
      </c>
      <c r="C16341" s="2108">
        <v>25.670500000000001</v>
      </c>
      <c r="D16341" s="2865">
        <v>9.58</v>
      </c>
      <c r="E16341" s="2892">
        <v>-0.62680898307395649</v>
      </c>
      <c r="F16341" s="3171">
        <v>-2.507235932295826E-2</v>
      </c>
      <c r="G16341" s="78"/>
      <c r="H16341" t="s">
        <v>7431</v>
      </c>
      <c r="K16341" s="434"/>
    </row>
    <row r="16342" spans="1:11" ht="12.75" hidden="1" customHeight="1" outlineLevel="1" x14ac:dyDescent="0.25">
      <c r="A16342" s="2380">
        <v>0.03</v>
      </c>
      <c r="B16342" s="1921" t="s">
        <v>8919</v>
      </c>
      <c r="C16342" s="2108">
        <v>3.9716</v>
      </c>
      <c r="D16342" s="2865">
        <v>2.27</v>
      </c>
      <c r="E16342" s="2892">
        <v>-0.42844193775808237</v>
      </c>
      <c r="F16342" s="3171">
        <v>-1.2853258132742471E-2</v>
      </c>
      <c r="G16342" s="78"/>
      <c r="H16342" t="s">
        <v>8922</v>
      </c>
      <c r="K16342" s="434"/>
    </row>
    <row r="16343" spans="1:11" ht="12.75" hidden="1" customHeight="1" outlineLevel="1" x14ac:dyDescent="0.25">
      <c r="A16343" s="2380">
        <v>0.03</v>
      </c>
      <c r="B16343" s="1921" t="s">
        <v>6270</v>
      </c>
      <c r="C16343" s="2108">
        <v>44.47941046680976</v>
      </c>
      <c r="D16343" s="2865">
        <v>32.4</v>
      </c>
      <c r="E16343" s="2892">
        <v>-0.27157307931999997</v>
      </c>
      <c r="F16343" s="3171">
        <v>-8.1471923795999983E-3</v>
      </c>
      <c r="G16343" s="78"/>
      <c r="H16343" t="s">
        <v>8166</v>
      </c>
      <c r="K16343" s="434"/>
    </row>
    <row r="16344" spans="1:11" ht="12.75" hidden="1" customHeight="1" outlineLevel="1" x14ac:dyDescent="0.25">
      <c r="A16344" s="2380">
        <v>0.05</v>
      </c>
      <c r="B16344" s="1921" t="s">
        <v>6524</v>
      </c>
      <c r="C16344" s="2108">
        <v>99.224278285315805</v>
      </c>
      <c r="D16344" s="2865">
        <v>76.3</v>
      </c>
      <c r="E16344" s="2892">
        <v>-0.23103497129400008</v>
      </c>
      <c r="F16344" s="3171">
        <v>-1.1551748564700004E-2</v>
      </c>
      <c r="G16344" s="78"/>
      <c r="H16344" t="s">
        <v>6525</v>
      </c>
      <c r="K16344" s="434"/>
    </row>
    <row r="16345" spans="1:11" ht="12.75" hidden="1" customHeight="1" outlineLevel="1" x14ac:dyDescent="0.25">
      <c r="A16345" s="2380">
        <v>0.06</v>
      </c>
      <c r="B16345" s="1921" t="s">
        <v>6116</v>
      </c>
      <c r="C16345" s="2108">
        <v>4.2694000000000001</v>
      </c>
      <c r="D16345" s="2865">
        <v>4.1900000000000004</v>
      </c>
      <c r="E16345" s="2892">
        <v>-1.8597461001545801E-2</v>
      </c>
      <c r="F16345" s="3171">
        <v>-1.1158476600927479E-3</v>
      </c>
      <c r="G16345" s="78"/>
      <c r="H16345" t="s">
        <v>6114</v>
      </c>
      <c r="K16345" s="434"/>
    </row>
    <row r="16346" spans="1:11" ht="12.75" hidden="1" customHeight="1" outlineLevel="1" x14ac:dyDescent="0.25">
      <c r="A16346" s="2380">
        <v>0.04</v>
      </c>
      <c r="B16346" s="1921" t="s">
        <v>1857</v>
      </c>
      <c r="C16346" s="2108">
        <v>13.504</v>
      </c>
      <c r="D16346" s="2865">
        <v>12.55</v>
      </c>
      <c r="E16346" s="2892">
        <v>-7.0645734597156284E-2</v>
      </c>
      <c r="F16346" s="3171">
        <v>-2.8258293838862515E-3</v>
      </c>
      <c r="G16346" s="78"/>
      <c r="H16346" t="s">
        <v>3559</v>
      </c>
      <c r="K16346" s="434"/>
    </row>
    <row r="16347" spans="1:11" ht="12.75" hidden="1" customHeight="1" outlineLevel="1" x14ac:dyDescent="0.25">
      <c r="A16347" s="2380">
        <v>0.08</v>
      </c>
      <c r="B16347" s="1921" t="s">
        <v>6118</v>
      </c>
      <c r="C16347" s="2108">
        <v>92.364999999999995</v>
      </c>
      <c r="D16347" s="2865">
        <v>65.739999999999995</v>
      </c>
      <c r="E16347" s="2892">
        <v>-0.28825853949006663</v>
      </c>
      <c r="F16347" s="3171">
        <v>-2.3060683159205331E-2</v>
      </c>
      <c r="G16347" s="78"/>
      <c r="H16347" t="s">
        <v>8893</v>
      </c>
      <c r="K16347" s="434"/>
    </row>
    <row r="16348" spans="1:11" ht="12.75" hidden="1" customHeight="1" outlineLevel="1" x14ac:dyDescent="0.25">
      <c r="A16348" s="2380">
        <v>0.02</v>
      </c>
      <c r="B16348" s="1921" t="s">
        <v>3383</v>
      </c>
      <c r="C16348" s="2108">
        <v>175.13185611772658</v>
      </c>
      <c r="D16348" s="2865">
        <v>147.19999999999999</v>
      </c>
      <c r="E16348" s="2892">
        <v>-0.15949043616000014</v>
      </c>
      <c r="F16348" s="3171">
        <v>-3.1898087232000026E-3</v>
      </c>
      <c r="G16348" s="78"/>
      <c r="H16348" t="s">
        <v>3789</v>
      </c>
      <c r="K16348" s="434"/>
    </row>
    <row r="16349" spans="1:11" ht="12.75" hidden="1" customHeight="1" outlineLevel="1" x14ac:dyDescent="0.25">
      <c r="A16349" s="2380">
        <v>0.08</v>
      </c>
      <c r="B16349" s="1921" t="s">
        <v>434</v>
      </c>
      <c r="C16349" s="2108">
        <v>37.470999999999997</v>
      </c>
      <c r="D16349" s="2865">
        <v>34.119999999999997</v>
      </c>
      <c r="E16349" s="2892">
        <v>-8.9429158549278132E-2</v>
      </c>
      <c r="F16349" s="3171">
        <v>-7.1543326839422503E-3</v>
      </c>
      <c r="G16349" s="78"/>
      <c r="H16349" t="s">
        <v>7745</v>
      </c>
      <c r="K16349" s="434"/>
    </row>
    <row r="16350" spans="1:11" ht="12.75" hidden="1" customHeight="1" outlineLevel="1" x14ac:dyDescent="0.25">
      <c r="A16350" s="2380">
        <v>0.02</v>
      </c>
      <c r="B16350" s="1921" t="s">
        <v>5249</v>
      </c>
      <c r="C16350" s="2108">
        <v>3.2941734880275533</v>
      </c>
      <c r="D16350" s="2865">
        <v>2.68</v>
      </c>
      <c r="E16350" s="2892">
        <v>-0.18644236263199987</v>
      </c>
      <c r="F16350" s="3171">
        <v>-3.7288472526399974E-3</v>
      </c>
      <c r="G16350" s="78"/>
      <c r="H16350" t="s">
        <v>5247</v>
      </c>
      <c r="K16350" s="434"/>
    </row>
    <row r="16351" spans="1:11" ht="12.75" hidden="1" customHeight="1" outlineLevel="1" x14ac:dyDescent="0.25">
      <c r="A16351" s="2380">
        <v>0.02</v>
      </c>
      <c r="B16351" s="1921" t="s">
        <v>1183</v>
      </c>
      <c r="C16351" s="2108">
        <v>46.883000000000003</v>
      </c>
      <c r="D16351" s="2865">
        <v>25.82</v>
      </c>
      <c r="E16351" s="2892">
        <v>-0.44926732504319267</v>
      </c>
      <c r="F16351" s="3171">
        <v>-8.9853465008638538E-3</v>
      </c>
      <c r="G16351" s="78"/>
      <c r="H16351" t="s">
        <v>2805</v>
      </c>
      <c r="K16351" s="434"/>
    </row>
    <row r="16352" spans="1:11" ht="12.75" hidden="1" customHeight="1" outlineLevel="1" x14ac:dyDescent="0.25">
      <c r="A16352" s="2380">
        <v>0.02</v>
      </c>
      <c r="B16352" s="1921" t="s">
        <v>255</v>
      </c>
      <c r="C16352" s="2108">
        <v>45.741999999999997</v>
      </c>
      <c r="D16352" s="2865">
        <v>56.99</v>
      </c>
      <c r="E16352" s="2892">
        <v>0.24590092256569474</v>
      </c>
      <c r="F16352" s="3171">
        <v>4.9180184513138948E-3</v>
      </c>
      <c r="G16352" s="78"/>
      <c r="H16352" t="s">
        <v>3351</v>
      </c>
      <c r="K16352" s="434"/>
    </row>
    <row r="16353" spans="1:11" ht="12.75" hidden="1" customHeight="1" outlineLevel="1" x14ac:dyDescent="0.25">
      <c r="A16353" s="2380">
        <v>0.02</v>
      </c>
      <c r="B16353" s="1921" t="s">
        <v>579</v>
      </c>
      <c r="C16353" s="2108">
        <v>2.2675000000000001</v>
      </c>
      <c r="D16353" s="2865">
        <v>1.03</v>
      </c>
      <c r="E16353" s="2892">
        <v>-0.5457552370452039</v>
      </c>
      <c r="F16353" s="3171">
        <v>-1.0915104740904078E-2</v>
      </c>
      <c r="G16353" s="78"/>
      <c r="H16353" t="s">
        <v>3611</v>
      </c>
      <c r="K16353" s="434"/>
    </row>
    <row r="16354" spans="1:11" ht="12.75" hidden="1" customHeight="1" outlineLevel="1" x14ac:dyDescent="0.25">
      <c r="A16354" s="2380">
        <v>0.02</v>
      </c>
      <c r="B16354" s="1921" t="s">
        <v>5626</v>
      </c>
      <c r="C16354" s="2108">
        <v>31.861999999999998</v>
      </c>
      <c r="D16354" s="2865">
        <v>17.91</v>
      </c>
      <c r="E16354" s="2892">
        <v>-0.43788839369782184</v>
      </c>
      <c r="F16354" s="3171">
        <v>-8.7577678739564364E-3</v>
      </c>
      <c r="G16354" s="78"/>
      <c r="H16354" t="s">
        <v>5624</v>
      </c>
      <c r="K16354" s="434"/>
    </row>
    <row r="16355" spans="1:11" ht="12.75" hidden="1" customHeight="1" outlineLevel="1" x14ac:dyDescent="0.25">
      <c r="A16355" s="2380">
        <v>0.05</v>
      </c>
      <c r="B16355" s="2109" t="s">
        <v>4550</v>
      </c>
      <c r="C16355" s="2108">
        <v>298.33999999999997</v>
      </c>
      <c r="D16355" s="2868">
        <v>304</v>
      </c>
      <c r="E16355" s="2897">
        <v>1.897164309177457E-2</v>
      </c>
      <c r="F16355" s="2989">
        <v>9.4858215458872854E-4</v>
      </c>
      <c r="G16355" s="78"/>
      <c r="H16355" t="s">
        <v>8889</v>
      </c>
      <c r="K16355" s="434"/>
    </row>
    <row r="16356" spans="1:11" ht="12.75" hidden="1" customHeight="1" outlineLevel="1" x14ac:dyDescent="0.25">
      <c r="A16356" s="2181" t="s">
        <v>2734</v>
      </c>
      <c r="B16356" s="2103"/>
      <c r="C16356" s="3173"/>
      <c r="D16356" s="3174"/>
      <c r="E16356" s="3025"/>
      <c r="F16356" s="3171">
        <v>-0.22147511590908386</v>
      </c>
      <c r="G16356" s="78"/>
    </row>
    <row r="16357" spans="1:11" ht="12.75" hidden="1" customHeight="1" outlineLevel="1" x14ac:dyDescent="0.25">
      <c r="A16357" s="1956" t="s">
        <v>8996</v>
      </c>
      <c r="B16357" s="2185">
        <v>43952</v>
      </c>
      <c r="C16357" s="3176">
        <v>100</v>
      </c>
      <c r="D16357" s="3176">
        <v>79.789400000000001</v>
      </c>
      <c r="E16357" s="3177">
        <v>-0.20210600000000001</v>
      </c>
      <c r="F16357" s="3178"/>
      <c r="G16357" s="78"/>
    </row>
    <row r="16358" spans="1:11" ht="12.75" hidden="1" customHeight="1" outlineLevel="1" x14ac:dyDescent="0.25">
      <c r="A16358" s="1956" t="s">
        <v>8997</v>
      </c>
      <c r="B16358" s="2185">
        <v>43983</v>
      </c>
      <c r="C16358" s="3176">
        <v>100</v>
      </c>
      <c r="D16358" s="3179">
        <v>82.993799999999993</v>
      </c>
      <c r="E16358" s="3177">
        <v>-0.17006200000000005</v>
      </c>
      <c r="F16358" s="3178"/>
      <c r="G16358" s="78"/>
    </row>
    <row r="16359" spans="1:11" ht="12.75" hidden="1" customHeight="1" outlineLevel="1" x14ac:dyDescent="0.25">
      <c r="A16359" s="1956" t="s">
        <v>8998</v>
      </c>
      <c r="B16359" s="2185">
        <v>44013</v>
      </c>
      <c r="C16359" s="3176">
        <v>100</v>
      </c>
      <c r="D16359" s="3179">
        <v>82.593900000000005</v>
      </c>
      <c r="E16359" s="3177">
        <v>-0.17406099999999991</v>
      </c>
      <c r="F16359" s="3178"/>
      <c r="G16359" s="78"/>
    </row>
    <row r="16360" spans="1:11" ht="12.75" hidden="1" customHeight="1" outlineLevel="1" x14ac:dyDescent="0.25">
      <c r="A16360" s="1956" t="s">
        <v>8999</v>
      </c>
      <c r="B16360" s="2185">
        <v>44044</v>
      </c>
      <c r="C16360" s="3176">
        <v>100</v>
      </c>
      <c r="D16360" s="3179">
        <v>82.9846</v>
      </c>
      <c r="E16360" s="3177">
        <v>-0.17015400000000003</v>
      </c>
      <c r="F16360" s="3178"/>
      <c r="G16360" s="78"/>
    </row>
    <row r="16361" spans="1:11" ht="12.75" hidden="1" customHeight="1" outlineLevel="1" x14ac:dyDescent="0.25">
      <c r="A16361" s="1956" t="s">
        <v>9000</v>
      </c>
      <c r="B16361" s="2185">
        <v>44075</v>
      </c>
      <c r="C16361" s="3176">
        <v>100</v>
      </c>
      <c r="D16361" s="3179">
        <v>81.613900000000001</v>
      </c>
      <c r="E16361" s="3177">
        <v>-0.18386099999999994</v>
      </c>
      <c r="F16361" s="3178"/>
      <c r="G16361" s="78"/>
    </row>
    <row r="16362" spans="1:11" ht="12.75" hidden="1" customHeight="1" outlineLevel="1" x14ac:dyDescent="0.25">
      <c r="A16362" s="1956" t="s">
        <v>9001</v>
      </c>
      <c r="B16362" s="2185">
        <v>44105</v>
      </c>
      <c r="C16362" s="3176">
        <v>100</v>
      </c>
      <c r="D16362" s="3179">
        <v>77.868899999999996</v>
      </c>
      <c r="E16362" s="3177">
        <v>-0.22131100000000004</v>
      </c>
      <c r="F16362" s="3178"/>
      <c r="G16362" s="78"/>
    </row>
    <row r="16363" spans="1:11" ht="12.75" hidden="1" customHeight="1" outlineLevel="1" x14ac:dyDescent="0.25">
      <c r="A16363" s="2189" t="s">
        <v>2734</v>
      </c>
      <c r="B16363" s="2190"/>
      <c r="C16363" s="3179"/>
      <c r="D16363" s="2191" t="s">
        <v>2465</v>
      </c>
      <c r="E16363" s="1987">
        <v>-0.18692583333333332</v>
      </c>
      <c r="F16363" s="2192">
        <v>-0.18692583333333332</v>
      </c>
      <c r="G16363" s="78"/>
    </row>
    <row r="16364" spans="1:11" collapsed="1" x14ac:dyDescent="0.25">
      <c r="A16364" s="3801" t="s">
        <v>8855</v>
      </c>
      <c r="B16364" s="3802"/>
      <c r="C16364" s="3802"/>
      <c r="D16364" s="3802"/>
      <c r="E16364" s="1906"/>
      <c r="F16364" s="1907">
        <v>-0.1</v>
      </c>
      <c r="G16364" s="78"/>
    </row>
    <row r="16366" spans="1:11" ht="12.75" hidden="1" customHeight="1" outlineLevel="1" x14ac:dyDescent="0.25">
      <c r="A16366" s="3237" t="s">
        <v>113</v>
      </c>
      <c r="B16366" s="3237" t="s">
        <v>114</v>
      </c>
      <c r="C16366" s="3237" t="s">
        <v>112</v>
      </c>
      <c r="D16366" s="3237" t="s">
        <v>116</v>
      </c>
      <c r="E16366" s="3237" t="s">
        <v>117</v>
      </c>
      <c r="F16366" s="3276" t="s">
        <v>121</v>
      </c>
      <c r="G16366" s="78"/>
    </row>
    <row r="16367" spans="1:11" ht="12.75" hidden="1" customHeight="1" outlineLevel="1" x14ac:dyDescent="0.25">
      <c r="A16367" s="3182">
        <v>1</v>
      </c>
      <c r="B16367" s="3183" t="s">
        <v>252</v>
      </c>
      <c r="C16367" s="3184">
        <v>100</v>
      </c>
      <c r="D16367" s="1900" t="s">
        <v>3702</v>
      </c>
      <c r="E16367" s="3189">
        <v>45230</v>
      </c>
      <c r="F16367" s="3713"/>
      <c r="G16367" s="78"/>
    </row>
    <row r="16368" spans="1:11" ht="40.5" hidden="1" customHeight="1" outlineLevel="1" x14ac:dyDescent="0.25">
      <c r="A16368" s="3714" t="s">
        <v>4156</v>
      </c>
      <c r="B16368" s="3714" t="s">
        <v>4153</v>
      </c>
      <c r="C16368" s="3714" t="s">
        <v>112</v>
      </c>
      <c r="D16368" s="3714" t="s">
        <v>4155</v>
      </c>
      <c r="E16368" s="3714" t="s">
        <v>4154</v>
      </c>
      <c r="F16368" s="3714" t="s">
        <v>2519</v>
      </c>
      <c r="G16368" s="78"/>
    </row>
    <row r="16369" spans="1:15" ht="12.75" hidden="1" customHeight="1" outlineLevel="1" x14ac:dyDescent="0.25">
      <c r="A16369" s="1991">
        <v>0.05</v>
      </c>
      <c r="B16369" s="2089" t="s">
        <v>7753</v>
      </c>
      <c r="C16369" s="2108">
        <v>152.4</v>
      </c>
      <c r="D16369" s="3194">
        <v>130.19999999999999</v>
      </c>
      <c r="E16369" s="3195">
        <v>-0.14566929133858275</v>
      </c>
      <c r="F16369" s="3193">
        <v>-7.2834645669291381E-3</v>
      </c>
      <c r="G16369" s="78"/>
      <c r="H16369" t="s">
        <v>8901</v>
      </c>
      <c r="I16369" s="98" t="s">
        <v>6654</v>
      </c>
      <c r="J16369" s="494" t="s">
        <v>7618</v>
      </c>
      <c r="N16369" s="434"/>
      <c r="O16369" s="434"/>
    </row>
    <row r="16370" spans="1:15" ht="12.75" hidden="1" customHeight="1" outlineLevel="1" x14ac:dyDescent="0.3">
      <c r="A16370" s="2380">
        <v>0.05</v>
      </c>
      <c r="B16370" s="1921" t="s">
        <v>807</v>
      </c>
      <c r="C16370" s="2108">
        <v>61.65</v>
      </c>
      <c r="D16370" s="3196">
        <v>51.48</v>
      </c>
      <c r="E16370" s="3197">
        <v>-0.16496350364963508</v>
      </c>
      <c r="F16370" s="3198">
        <v>-8.2481751824817536E-3</v>
      </c>
      <c r="G16370" s="78"/>
      <c r="H16370" t="s">
        <v>808</v>
      </c>
      <c r="I16370" s="1690">
        <v>43435</v>
      </c>
      <c r="J16370" s="478">
        <v>0.94671899999999998</v>
      </c>
      <c r="K16370" s="1762" t="s">
        <v>9588</v>
      </c>
      <c r="N16370" s="434"/>
      <c r="O16370" s="434"/>
    </row>
    <row r="16371" spans="1:15" ht="12.75" hidden="1" customHeight="1" outlineLevel="1" x14ac:dyDescent="0.3">
      <c r="A16371" s="2380">
        <v>0.03</v>
      </c>
      <c r="B16371" s="1921" t="s">
        <v>1188</v>
      </c>
      <c r="C16371" s="2108">
        <v>5.0628000000000002</v>
      </c>
      <c r="D16371" s="3196">
        <v>5.0259999999999998</v>
      </c>
      <c r="E16371" s="3197">
        <v>-7.2687050643913675E-3</v>
      </c>
      <c r="F16371" s="3198">
        <v>-2.1806115193174103E-4</v>
      </c>
      <c r="G16371" s="78"/>
      <c r="H16371" t="s">
        <v>2746</v>
      </c>
      <c r="I16371" s="1690">
        <v>43800</v>
      </c>
      <c r="J16371" s="478">
        <v>0.98160800000000004</v>
      </c>
      <c r="K16371" s="2616" t="s">
        <v>10205</v>
      </c>
      <c r="N16371" s="434"/>
      <c r="O16371" s="434"/>
    </row>
    <row r="16372" spans="1:15" ht="12.75" hidden="1" customHeight="1" outlineLevel="1" x14ac:dyDescent="0.25">
      <c r="A16372" s="2380">
        <v>7.0000000000000007E-2</v>
      </c>
      <c r="B16372" s="1921" t="s">
        <v>3954</v>
      </c>
      <c r="C16372" s="2108">
        <v>60.325499999999998</v>
      </c>
      <c r="D16372" s="3196">
        <v>48.91</v>
      </c>
      <c r="E16372" s="3197">
        <v>-0.18923175108370427</v>
      </c>
      <c r="F16372" s="3198">
        <v>-1.32462225758593E-2</v>
      </c>
      <c r="G16372" s="78"/>
      <c r="H16372" t="s">
        <v>3955</v>
      </c>
      <c r="I16372" s="1690">
        <v>44166</v>
      </c>
      <c r="J16372" s="478">
        <v>0.88053999999999999</v>
      </c>
      <c r="N16372" s="434"/>
      <c r="O16372" s="434"/>
    </row>
    <row r="16373" spans="1:15" ht="12.75" hidden="1" customHeight="1" outlineLevel="1" x14ac:dyDescent="0.25">
      <c r="A16373" s="2380">
        <v>0.08</v>
      </c>
      <c r="B16373" s="1921" t="s">
        <v>6267</v>
      </c>
      <c r="C16373" s="2108">
        <v>24.751000000000001</v>
      </c>
      <c r="D16373" s="3196">
        <v>15.795</v>
      </c>
      <c r="E16373" s="3197">
        <v>-0.36184396590036771</v>
      </c>
      <c r="F16373" s="3198">
        <v>-2.8947517272029419E-2</v>
      </c>
      <c r="G16373" s="78"/>
      <c r="H16373" t="s">
        <v>6268</v>
      </c>
      <c r="I16373" s="1690">
        <v>44531</v>
      </c>
      <c r="J16373" s="478"/>
      <c r="N16373" s="434"/>
      <c r="O16373" s="434"/>
    </row>
    <row r="16374" spans="1:15" ht="12.75" hidden="1" customHeight="1" outlineLevel="1" x14ac:dyDescent="0.25">
      <c r="A16374" s="2380">
        <v>0.05</v>
      </c>
      <c r="B16374" s="1921" t="s">
        <v>10730</v>
      </c>
      <c r="C16374" s="2108">
        <v>13.048500000000001</v>
      </c>
      <c r="D16374" s="3196">
        <v>14.9542</v>
      </c>
      <c r="E16374" s="3197">
        <v>0.14604743840288159</v>
      </c>
      <c r="F16374" s="3198">
        <v>7.3023719201440801E-3</v>
      </c>
      <c r="G16374" s="78"/>
      <c r="H16374" t="s">
        <v>10729</v>
      </c>
      <c r="N16374" s="434"/>
      <c r="O16374" s="434"/>
    </row>
    <row r="16375" spans="1:15" ht="12.75" hidden="1" customHeight="1" outlineLevel="1" x14ac:dyDescent="0.25">
      <c r="A16375" s="2380">
        <v>0.05</v>
      </c>
      <c r="B16375" s="1921" t="s">
        <v>1771</v>
      </c>
      <c r="C16375" s="2108">
        <v>7.5552999999999999</v>
      </c>
      <c r="D16375" s="3196">
        <v>5.9229999999999992</v>
      </c>
      <c r="E16375" s="3197">
        <v>-0.21604701335486354</v>
      </c>
      <c r="F16375" s="3198">
        <v>-1.0802350667743177E-2</v>
      </c>
      <c r="G16375" s="78"/>
      <c r="H16375" t="s">
        <v>4329</v>
      </c>
      <c r="N16375" s="434"/>
      <c r="O16375" s="434"/>
    </row>
    <row r="16376" spans="1:15" ht="12.75" hidden="1" customHeight="1" outlineLevel="1" x14ac:dyDescent="0.25">
      <c r="A16376" s="2380">
        <v>0.08</v>
      </c>
      <c r="B16376" s="1921" t="s">
        <v>1203</v>
      </c>
      <c r="C16376" s="2108">
        <v>100.82</v>
      </c>
      <c r="D16376" s="3196">
        <v>117.3</v>
      </c>
      <c r="E16376" s="3197">
        <v>0.16345963102559025</v>
      </c>
      <c r="F16376" s="3198">
        <v>1.307677048204722E-2</v>
      </c>
      <c r="G16376" s="78"/>
      <c r="H16376" t="s">
        <v>79</v>
      </c>
      <c r="N16376" s="434"/>
      <c r="O16376" s="434"/>
    </row>
    <row r="16377" spans="1:15" ht="12.75" hidden="1" customHeight="1" outlineLevel="1" x14ac:dyDescent="0.25">
      <c r="A16377" s="2380">
        <v>0.05</v>
      </c>
      <c r="B16377" s="1921" t="s">
        <v>2769</v>
      </c>
      <c r="C16377" s="2108">
        <v>33.396999999999998</v>
      </c>
      <c r="D16377" s="3196">
        <v>24.57</v>
      </c>
      <c r="E16377" s="3197">
        <v>-0.26430517711171653</v>
      </c>
      <c r="F16377" s="3198">
        <v>-1.3215258855585827E-2</v>
      </c>
      <c r="G16377" s="78"/>
      <c r="H16377" t="s">
        <v>2770</v>
      </c>
      <c r="N16377" s="434"/>
      <c r="O16377" s="434"/>
    </row>
    <row r="16378" spans="1:15" ht="12.75" hidden="1" customHeight="1" outlineLevel="1" x14ac:dyDescent="0.25">
      <c r="A16378" s="2380">
        <v>0.05</v>
      </c>
      <c r="B16378" s="1921" t="s">
        <v>10667</v>
      </c>
      <c r="C16378" s="2108">
        <v>24.100999999999999</v>
      </c>
      <c r="D16378" s="3196">
        <v>26.465</v>
      </c>
      <c r="E16378" s="3197">
        <v>9.8087216298079039E-2</v>
      </c>
      <c r="F16378" s="3198">
        <v>4.9043608149039524E-3</v>
      </c>
      <c r="G16378" s="78"/>
      <c r="H16378" t="s">
        <v>10668</v>
      </c>
      <c r="N16378" s="434"/>
      <c r="O16378" s="434"/>
    </row>
    <row r="16379" spans="1:15" ht="12.75" hidden="1" customHeight="1" outlineLevel="1" x14ac:dyDescent="0.25">
      <c r="A16379" s="2380">
        <v>0.03</v>
      </c>
      <c r="B16379" s="1921" t="s">
        <v>6524</v>
      </c>
      <c r="C16379" s="2108">
        <v>98.483464618083673</v>
      </c>
      <c r="D16379" s="3196">
        <v>124.3</v>
      </c>
      <c r="E16379" s="3197">
        <v>0.26214081198333328</v>
      </c>
      <c r="F16379" s="3198">
        <v>7.8642243594999987E-3</v>
      </c>
      <c r="G16379" s="78"/>
      <c r="H16379" t="s">
        <v>6525</v>
      </c>
      <c r="N16379" s="434"/>
      <c r="O16379" s="434"/>
    </row>
    <row r="16380" spans="1:15" ht="12.75" hidden="1" customHeight="1" outlineLevel="1" x14ac:dyDescent="0.25">
      <c r="A16380" s="2380">
        <v>0.02</v>
      </c>
      <c r="B16380" s="1921" t="s">
        <v>6116</v>
      </c>
      <c r="C16380" s="2108">
        <v>4.1520000000000001</v>
      </c>
      <c r="D16380" s="3196">
        <v>4.33</v>
      </c>
      <c r="E16380" s="3197">
        <v>4.2870905587668595E-2</v>
      </c>
      <c r="F16380" s="3198">
        <v>8.5741811175337195E-4</v>
      </c>
      <c r="G16380" s="78"/>
      <c r="H16380" t="s">
        <v>6114</v>
      </c>
      <c r="N16380" s="434"/>
      <c r="O16380" s="434"/>
    </row>
    <row r="16381" spans="1:15" ht="12.75" hidden="1" customHeight="1" outlineLevel="1" x14ac:dyDescent="0.25">
      <c r="A16381" s="2380">
        <v>0.02</v>
      </c>
      <c r="B16381" s="1921" t="s">
        <v>1857</v>
      </c>
      <c r="C16381" s="2519">
        <v>13.121</v>
      </c>
      <c r="D16381" s="3196">
        <v>16.329999999999998</v>
      </c>
      <c r="E16381" s="3197">
        <v>0.24456977364530119</v>
      </c>
      <c r="F16381" s="3198">
        <v>4.891395472906024E-3</v>
      </c>
      <c r="G16381" s="78"/>
      <c r="H16381" t="s">
        <v>3559</v>
      </c>
      <c r="N16381" s="434"/>
      <c r="O16381" s="434"/>
    </row>
    <row r="16382" spans="1:15" ht="12.75" hidden="1" customHeight="1" outlineLevel="1" x14ac:dyDescent="0.25">
      <c r="A16382" s="2380">
        <v>0.05</v>
      </c>
      <c r="B16382" s="1921" t="s">
        <v>1724</v>
      </c>
      <c r="C16382" s="2108">
        <v>199.1374837819944</v>
      </c>
      <c r="D16382" s="3196">
        <v>182.75</v>
      </c>
      <c r="E16382" s="3197">
        <v>-8.2292311175000021E-2</v>
      </c>
      <c r="F16382" s="3198">
        <v>-4.1146155587500014E-3</v>
      </c>
      <c r="G16382" s="78"/>
      <c r="H16382" t="s">
        <v>1725</v>
      </c>
      <c r="N16382" s="434"/>
      <c r="O16382" s="434"/>
    </row>
    <row r="16383" spans="1:15" ht="12.75" hidden="1" customHeight="1" outlineLevel="1" x14ac:dyDescent="0.25">
      <c r="A16383" s="2380">
        <v>0.05</v>
      </c>
      <c r="B16383" s="1921" t="s">
        <v>6118</v>
      </c>
      <c r="C16383" s="2108">
        <v>91.61</v>
      </c>
      <c r="D16383" s="3196">
        <v>99.12</v>
      </c>
      <c r="E16383" s="3197">
        <v>8.1977950005458045E-2</v>
      </c>
      <c r="F16383" s="3198">
        <v>4.0988975002729027E-3</v>
      </c>
      <c r="G16383" s="78"/>
      <c r="H16383" t="s">
        <v>8893</v>
      </c>
      <c r="N16383" s="434"/>
      <c r="O16383" s="434"/>
    </row>
    <row r="16384" spans="1:15" ht="12.75" hidden="1" customHeight="1" outlineLevel="1" x14ac:dyDescent="0.25">
      <c r="A16384" s="2380">
        <v>0.08</v>
      </c>
      <c r="B16384" s="1921" t="s">
        <v>1239</v>
      </c>
      <c r="C16384" s="2108">
        <v>520.29999999999995</v>
      </c>
      <c r="D16384" s="3196">
        <v>544</v>
      </c>
      <c r="E16384" s="3197">
        <v>4.5550643859312068E-2</v>
      </c>
      <c r="F16384" s="3198">
        <v>3.6440515087449656E-3</v>
      </c>
      <c r="G16384" s="78"/>
      <c r="H16384" t="s">
        <v>8891</v>
      </c>
      <c r="N16384" s="434"/>
      <c r="O16384" s="434"/>
    </row>
    <row r="16385" spans="1:15" ht="12.75" hidden="1" customHeight="1" outlineLevel="1" x14ac:dyDescent="0.25">
      <c r="A16385" s="2380">
        <v>0.05</v>
      </c>
      <c r="B16385" s="1921" t="s">
        <v>6945</v>
      </c>
      <c r="C16385" s="2108">
        <v>86.831280980782381</v>
      </c>
      <c r="D16385" s="3196">
        <v>79.14</v>
      </c>
      <c r="E16385" s="3197">
        <v>-8.8577306402800038E-2</v>
      </c>
      <c r="F16385" s="3198">
        <v>-4.4288653201400019E-3</v>
      </c>
      <c r="G16385" s="78"/>
      <c r="H16385" t="s">
        <v>6943</v>
      </c>
      <c r="N16385" s="434"/>
      <c r="O16385" s="434"/>
    </row>
    <row r="16386" spans="1:15" ht="12.75" hidden="1" customHeight="1" outlineLevel="1" x14ac:dyDescent="0.25">
      <c r="A16386" s="2380">
        <v>0.02</v>
      </c>
      <c r="B16386" s="1921" t="s">
        <v>255</v>
      </c>
      <c r="C16386" s="2108">
        <v>52.588000000000001</v>
      </c>
      <c r="D16386" s="3196">
        <v>35.130000000000003</v>
      </c>
      <c r="E16386" s="3197">
        <v>-0.3319768768540351</v>
      </c>
      <c r="F16386" s="3198">
        <v>-6.639537537080702E-3</v>
      </c>
      <c r="G16386" s="78"/>
      <c r="H16386" t="s">
        <v>3351</v>
      </c>
      <c r="N16386" s="434"/>
      <c r="O16386" s="434"/>
    </row>
    <row r="16387" spans="1:15" ht="12.75" hidden="1" customHeight="1" outlineLevel="1" x14ac:dyDescent="0.25">
      <c r="A16387" s="2380">
        <v>0.04</v>
      </c>
      <c r="B16387" s="1921" t="s">
        <v>579</v>
      </c>
      <c r="C16387" s="2108">
        <v>2.3147000000000002</v>
      </c>
      <c r="D16387" s="3196">
        <v>0.75700000000000001</v>
      </c>
      <c r="E16387" s="3197">
        <v>-0.67295977880502877</v>
      </c>
      <c r="F16387" s="3198">
        <v>-2.6918391152201151E-2</v>
      </c>
      <c r="G16387" s="78"/>
      <c r="H16387" t="s">
        <v>3611</v>
      </c>
      <c r="N16387" s="434"/>
      <c r="O16387" s="434"/>
    </row>
    <row r="16388" spans="1:15" ht="12.75" hidden="1" customHeight="1" outlineLevel="1" x14ac:dyDescent="0.25">
      <c r="A16388" s="2380">
        <v>0.08</v>
      </c>
      <c r="B16388" s="2109" t="s">
        <v>4550</v>
      </c>
      <c r="C16388" s="2108">
        <v>299.7</v>
      </c>
      <c r="D16388" s="3199">
        <v>430.6</v>
      </c>
      <c r="E16388" s="3197">
        <v>0.43677010343677014</v>
      </c>
      <c r="F16388" s="3198">
        <v>3.494160827494161E-2</v>
      </c>
      <c r="G16388" s="78"/>
      <c r="H16388" t="s">
        <v>8889</v>
      </c>
      <c r="N16388" s="434"/>
      <c r="O16388" s="434"/>
    </row>
    <row r="16389" spans="1:15" ht="12.75" hidden="1" customHeight="1" outlineLevel="1" x14ac:dyDescent="0.25">
      <c r="A16389" s="2181" t="s">
        <v>2734</v>
      </c>
      <c r="B16389" s="2103"/>
      <c r="C16389" s="3200"/>
      <c r="D16389" s="3201"/>
      <c r="E16389" s="3202"/>
      <c r="F16389" s="3193">
        <v>-4.2481361395518072E-2</v>
      </c>
      <c r="G16389" s="78"/>
    </row>
    <row r="16390" spans="1:15" ht="12.75" hidden="1" customHeight="1" outlineLevel="1" x14ac:dyDescent="0.25">
      <c r="A16390" s="1956" t="s">
        <v>9016</v>
      </c>
      <c r="B16390" s="2185">
        <v>44866</v>
      </c>
      <c r="C16390" s="3203">
        <v>100</v>
      </c>
      <c r="D16390" s="3203">
        <v>98.611800000000002</v>
      </c>
      <c r="E16390" s="3204">
        <v>-1.388199999999995E-2</v>
      </c>
      <c r="F16390" s="3205"/>
      <c r="G16390" s="78"/>
    </row>
    <row r="16391" spans="1:15" ht="12.75" hidden="1" customHeight="1" outlineLevel="1" x14ac:dyDescent="0.25">
      <c r="A16391" s="1956" t="s">
        <v>9017</v>
      </c>
      <c r="B16391" s="2185">
        <v>44896</v>
      </c>
      <c r="C16391" s="3203">
        <v>100</v>
      </c>
      <c r="D16391" s="3206">
        <v>95.896100000000004</v>
      </c>
      <c r="E16391" s="3204">
        <v>-4.1038999999999937E-2</v>
      </c>
      <c r="F16391" s="3205"/>
      <c r="G16391" s="78"/>
    </row>
    <row r="16392" spans="1:15" ht="12.75" hidden="1" customHeight="1" outlineLevel="1" x14ac:dyDescent="0.25">
      <c r="A16392" s="1956" t="s">
        <v>9018</v>
      </c>
      <c r="B16392" s="2185">
        <v>44927</v>
      </c>
      <c r="C16392" s="3203">
        <v>100</v>
      </c>
      <c r="D16392" s="3206">
        <v>101.5915</v>
      </c>
      <c r="E16392" s="3204">
        <v>1.5914999999999901E-2</v>
      </c>
      <c r="F16392" s="3205"/>
      <c r="G16392" s="78"/>
    </row>
    <row r="16393" spans="1:15" ht="12.75" hidden="1" customHeight="1" outlineLevel="1" x14ac:dyDescent="0.25">
      <c r="A16393" s="1956" t="s">
        <v>9019</v>
      </c>
      <c r="B16393" s="2185">
        <v>44958</v>
      </c>
      <c r="C16393" s="3203">
        <v>100</v>
      </c>
      <c r="D16393" s="3206">
        <v>104.8502</v>
      </c>
      <c r="E16393" s="3204">
        <v>4.8502000000000045E-2</v>
      </c>
      <c r="F16393" s="3205"/>
      <c r="G16393" s="78"/>
    </row>
    <row r="16394" spans="1:15" ht="12.75" hidden="1" customHeight="1" outlineLevel="1" x14ac:dyDescent="0.25">
      <c r="A16394" s="1956" t="s">
        <v>9020</v>
      </c>
      <c r="B16394" s="2185">
        <v>44986</v>
      </c>
      <c r="C16394" s="3203">
        <v>100</v>
      </c>
      <c r="D16394" s="3206">
        <v>99.56</v>
      </c>
      <c r="E16394" s="3204">
        <v>-4.3999999999999595E-3</v>
      </c>
      <c r="F16394" s="3205"/>
      <c r="G16394" s="78"/>
    </row>
    <row r="16395" spans="1:15" ht="12.75" hidden="1" customHeight="1" outlineLevel="1" x14ac:dyDescent="0.25">
      <c r="A16395" s="1956" t="s">
        <v>9021</v>
      </c>
      <c r="B16395" s="2185">
        <v>45017</v>
      </c>
      <c r="C16395" s="3203">
        <v>100</v>
      </c>
      <c r="D16395" s="3206">
        <v>102.2794</v>
      </c>
      <c r="E16395" s="3204">
        <v>2.2793999999999981E-2</v>
      </c>
      <c r="F16395" s="3205"/>
      <c r="G16395" s="78"/>
    </row>
    <row r="16396" spans="1:15" ht="12.75" hidden="1" customHeight="1" outlineLevel="1" x14ac:dyDescent="0.25">
      <c r="A16396" s="1956" t="s">
        <v>9022</v>
      </c>
      <c r="B16396" s="2185">
        <v>45047</v>
      </c>
      <c r="C16396" s="3203">
        <v>100</v>
      </c>
      <c r="D16396" s="3206">
        <v>97.176900000000003</v>
      </c>
      <c r="E16396" s="3204">
        <v>-2.8231000000000006E-2</v>
      </c>
      <c r="F16396" s="3205"/>
      <c r="G16396" s="78"/>
    </row>
    <row r="16397" spans="1:15" ht="12.75" hidden="1" customHeight="1" outlineLevel="1" x14ac:dyDescent="0.25">
      <c r="A16397" s="1956" t="s">
        <v>9023</v>
      </c>
      <c r="B16397" s="2185">
        <v>45078</v>
      </c>
      <c r="C16397" s="3203">
        <v>100</v>
      </c>
      <c r="D16397" s="3206">
        <v>98.006900000000002</v>
      </c>
      <c r="E16397" s="3204">
        <v>-1.9931000000000032E-2</v>
      </c>
      <c r="F16397" s="3205"/>
      <c r="G16397" s="78"/>
    </row>
    <row r="16398" spans="1:15" ht="12.75" hidden="1" customHeight="1" outlineLevel="1" x14ac:dyDescent="0.25">
      <c r="A16398" s="1956" t="s">
        <v>9024</v>
      </c>
      <c r="B16398" s="2185">
        <v>45108</v>
      </c>
      <c r="C16398" s="3203">
        <v>100</v>
      </c>
      <c r="D16398" s="3206">
        <v>97.705299999999994</v>
      </c>
      <c r="E16398" s="3204">
        <v>-2.2947000000000051E-2</v>
      </c>
      <c r="F16398" s="3205"/>
      <c r="G16398" s="78"/>
    </row>
    <row r="16399" spans="1:15" ht="12.75" hidden="1" customHeight="1" outlineLevel="1" x14ac:dyDescent="0.25">
      <c r="A16399" s="1956" t="s">
        <v>9025</v>
      </c>
      <c r="B16399" s="2185">
        <v>45139</v>
      </c>
      <c r="C16399" s="3203">
        <v>100</v>
      </c>
      <c r="D16399" s="3206">
        <v>95.598100000000002</v>
      </c>
      <c r="E16399" s="3204">
        <v>-4.401900000000003E-2</v>
      </c>
      <c r="F16399" s="3205"/>
      <c r="G16399" s="78"/>
    </row>
    <row r="16400" spans="1:15" ht="12.75" hidden="1" customHeight="1" outlineLevel="1" x14ac:dyDescent="0.25">
      <c r="A16400" s="1956" t="s">
        <v>9026</v>
      </c>
      <c r="B16400" s="2185">
        <v>45170</v>
      </c>
      <c r="C16400" s="3203">
        <v>100</v>
      </c>
      <c r="D16400" s="3206">
        <v>97.218199999999996</v>
      </c>
      <c r="E16400" s="3204">
        <v>-2.7818000000000009E-2</v>
      </c>
      <c r="F16400" s="3205"/>
      <c r="G16400" s="78"/>
    </row>
    <row r="16401" spans="1:11" ht="12.75" hidden="1" customHeight="1" outlineLevel="1" x14ac:dyDescent="0.25">
      <c r="A16401" s="1956" t="s">
        <v>9027</v>
      </c>
      <c r="B16401" s="2185">
        <v>45200</v>
      </c>
      <c r="C16401" s="3203">
        <v>100</v>
      </c>
      <c r="D16401" s="3206">
        <v>95.751900000000006</v>
      </c>
      <c r="E16401" s="3204">
        <v>-4.2480999999999991E-2</v>
      </c>
      <c r="F16401" s="3205"/>
      <c r="G16401" s="78"/>
    </row>
    <row r="16402" spans="1:11" ht="12.75" hidden="1" customHeight="1" outlineLevel="1" x14ac:dyDescent="0.25">
      <c r="A16402" s="2189" t="s">
        <v>2734</v>
      </c>
      <c r="B16402" s="2190"/>
      <c r="C16402" s="3206"/>
      <c r="D16402" s="2191" t="s">
        <v>2465</v>
      </c>
      <c r="E16402" s="1987">
        <v>-1.3128083333333337E-2</v>
      </c>
      <c r="F16402" s="2192">
        <v>-1.3128083333333337E-2</v>
      </c>
      <c r="G16402" s="78"/>
    </row>
    <row r="16403" spans="1:11" collapsed="1" x14ac:dyDescent="0.25">
      <c r="A16403" s="3801" t="s">
        <v>9015</v>
      </c>
      <c r="B16403" s="3802"/>
      <c r="C16403" s="3802"/>
      <c r="D16403" s="3802"/>
      <c r="E16403" s="1906"/>
      <c r="F16403" s="1907">
        <v>0</v>
      </c>
      <c r="G16403" s="78"/>
    </row>
    <row r="16405" spans="1:11" ht="12.75" hidden="1" customHeight="1" outlineLevel="1" x14ac:dyDescent="0.25">
      <c r="A16405" s="3237" t="s">
        <v>113</v>
      </c>
      <c r="B16405" s="3237" t="s">
        <v>114</v>
      </c>
      <c r="C16405" s="3237" t="s">
        <v>112</v>
      </c>
      <c r="D16405" s="3237" t="s">
        <v>116</v>
      </c>
      <c r="E16405" s="3237" t="s">
        <v>117</v>
      </c>
      <c r="F16405" s="3276" t="s">
        <v>121</v>
      </c>
      <c r="G16405" s="78"/>
    </row>
    <row r="16406" spans="1:11" ht="12.75" hidden="1" customHeight="1" outlineLevel="1" x14ac:dyDescent="0.25">
      <c r="A16406" s="3182">
        <v>1</v>
      </c>
      <c r="B16406" s="3183" t="s">
        <v>252</v>
      </c>
      <c r="C16406" s="3184">
        <v>100</v>
      </c>
      <c r="D16406" s="3184"/>
      <c r="E16406" s="3688"/>
      <c r="F16406" s="3686"/>
      <c r="G16406" s="78"/>
    </row>
    <row r="16407" spans="1:11" ht="12.75" hidden="1" customHeight="1" outlineLevel="1" x14ac:dyDescent="0.25">
      <c r="A16407" s="3187" t="s">
        <v>2734</v>
      </c>
      <c r="B16407" s="3187"/>
      <c r="C16407" s="3188"/>
      <c r="D16407" s="1900" t="s">
        <v>3702</v>
      </c>
      <c r="E16407" s="3189">
        <v>45169</v>
      </c>
      <c r="F16407" s="3687"/>
      <c r="G16407" s="78"/>
    </row>
    <row r="16408" spans="1:11" ht="12.75" hidden="1" customHeight="1" outlineLevel="1" x14ac:dyDescent="0.25">
      <c r="A16408" s="3180" t="s">
        <v>4156</v>
      </c>
      <c r="B16408" s="3180" t="s">
        <v>4153</v>
      </c>
      <c r="C16408" s="3690" t="s">
        <v>112</v>
      </c>
      <c r="D16408" s="3192" t="s">
        <v>4155</v>
      </c>
      <c r="E16408" s="3180" t="s">
        <v>4154</v>
      </c>
      <c r="F16408" s="3193" t="s">
        <v>2519</v>
      </c>
      <c r="G16408" s="78"/>
    </row>
    <row r="16409" spans="1:11" ht="12.75" hidden="1" customHeight="1" outlineLevel="1" x14ac:dyDescent="0.25">
      <c r="A16409" s="2380">
        <v>0.05</v>
      </c>
      <c r="B16409" s="2089" t="s">
        <v>7111</v>
      </c>
      <c r="C16409" s="2108">
        <v>99.203999999999994</v>
      </c>
      <c r="D16409" s="3194">
        <v>146.96</v>
      </c>
      <c r="E16409" s="3195">
        <v>0.4813918793597034</v>
      </c>
      <c r="F16409" s="3193">
        <v>2.4069593967985171E-2</v>
      </c>
      <c r="G16409" s="78"/>
      <c r="H16409" t="s">
        <v>7109</v>
      </c>
      <c r="K16409" s="434"/>
    </row>
    <row r="16410" spans="1:11" ht="12.75" hidden="1" customHeight="1" outlineLevel="1" x14ac:dyDescent="0.25">
      <c r="A16410" s="2380">
        <v>0.02</v>
      </c>
      <c r="B16410" s="1921" t="s">
        <v>8259</v>
      </c>
      <c r="C16410" s="2108">
        <v>179.55199999999999</v>
      </c>
      <c r="D16410" s="3196">
        <v>256.33999999999997</v>
      </c>
      <c r="E16410" s="3197">
        <v>0.42766440919622162</v>
      </c>
      <c r="F16410" s="3198">
        <v>8.5532881839244321E-3</v>
      </c>
      <c r="G16410" s="78"/>
      <c r="H16410" t="s">
        <v>8267</v>
      </c>
      <c r="K16410" s="434"/>
    </row>
    <row r="16411" spans="1:11" ht="12.75" hidden="1" customHeight="1" outlineLevel="1" x14ac:dyDescent="0.25">
      <c r="A16411" s="2380">
        <v>0.05</v>
      </c>
      <c r="B16411" s="1921" t="s">
        <v>2942</v>
      </c>
      <c r="C16411" s="2108">
        <v>1446.85</v>
      </c>
      <c r="D16411" s="3196">
        <v>2214.5</v>
      </c>
      <c r="E16411" s="3197">
        <v>0.53056640287521173</v>
      </c>
      <c r="F16411" s="3198">
        <v>2.6528320143760588E-2</v>
      </c>
      <c r="G16411" s="78"/>
      <c r="H16411" t="s">
        <v>2336</v>
      </c>
      <c r="K16411" s="434"/>
    </row>
    <row r="16412" spans="1:11" ht="12.75" hidden="1" customHeight="1" outlineLevel="1" x14ac:dyDescent="0.25">
      <c r="A16412" s="2380">
        <v>0.08</v>
      </c>
      <c r="B16412" s="1921" t="s">
        <v>1903</v>
      </c>
      <c r="C16412" s="2108">
        <v>51.350499999999997</v>
      </c>
      <c r="D16412" s="3196">
        <v>106.62</v>
      </c>
      <c r="E16412" s="3197">
        <v>1.0763186337036643</v>
      </c>
      <c r="F16412" s="3198">
        <v>8.6105490696293141E-2</v>
      </c>
      <c r="G16412" s="78"/>
      <c r="H16412" t="s">
        <v>3883</v>
      </c>
      <c r="K16412" s="434"/>
    </row>
    <row r="16413" spans="1:11" ht="12.75" hidden="1" customHeight="1" outlineLevel="1" x14ac:dyDescent="0.25">
      <c r="A16413" s="2380">
        <v>0.08</v>
      </c>
      <c r="B16413" s="1921" t="s">
        <v>7835</v>
      </c>
      <c r="C16413" s="2108">
        <v>103.58386727828089</v>
      </c>
      <c r="D16413" s="3196">
        <v>50.54</v>
      </c>
      <c r="E16413" s="3197">
        <v>-0.51208618361175007</v>
      </c>
      <c r="F16413" s="3198">
        <v>-4.0966894688940006E-2</v>
      </c>
      <c r="G16413" s="78"/>
      <c r="H16413" t="s">
        <v>5541</v>
      </c>
      <c r="K16413" s="434"/>
    </row>
    <row r="16414" spans="1:11" ht="12.75" hidden="1" customHeight="1" outlineLevel="1" x14ac:dyDescent="0.25">
      <c r="A16414" s="2380">
        <v>0.05</v>
      </c>
      <c r="B16414" s="1921" t="s">
        <v>7317</v>
      </c>
      <c r="C16414" s="2108">
        <v>113.45</v>
      </c>
      <c r="D16414" s="3196">
        <v>173.9</v>
      </c>
      <c r="E16414" s="3197">
        <v>0.53283384750991636</v>
      </c>
      <c r="F16414" s="3198">
        <v>2.664169237549582E-2</v>
      </c>
      <c r="G16414" s="78"/>
      <c r="H16414" t="s">
        <v>9482</v>
      </c>
      <c r="K16414" s="434"/>
    </row>
    <row r="16415" spans="1:11" ht="12.75" hidden="1" customHeight="1" outlineLevel="1" x14ac:dyDescent="0.25">
      <c r="A16415" s="2380">
        <v>0.08</v>
      </c>
      <c r="B16415" s="1921" t="s">
        <v>10730</v>
      </c>
      <c r="C16415" s="2108">
        <v>13.3599</v>
      </c>
      <c r="D16415" s="3196">
        <v>14.3354</v>
      </c>
      <c r="E16415" s="3197">
        <v>7.3017013600401137E-2</v>
      </c>
      <c r="F16415" s="3198">
        <v>5.8413610880320909E-3</v>
      </c>
      <c r="G16415" s="78"/>
      <c r="H16415" t="s">
        <v>10729</v>
      </c>
      <c r="K16415" s="434"/>
    </row>
    <row r="16416" spans="1:11" ht="12.75" hidden="1" customHeight="1" outlineLevel="1" x14ac:dyDescent="0.25">
      <c r="A16416" s="2380">
        <v>0.05</v>
      </c>
      <c r="B16416" s="1921" t="s">
        <v>9050</v>
      </c>
      <c r="C16416" s="2108">
        <v>5702.5</v>
      </c>
      <c r="D16416" s="3196">
        <v>16155</v>
      </c>
      <c r="E16416" s="3197">
        <v>1.8329679964927665</v>
      </c>
      <c r="F16416" s="3198">
        <v>9.1648399824638335E-2</v>
      </c>
      <c r="G16416" s="78"/>
      <c r="H16416" t="s">
        <v>9051</v>
      </c>
      <c r="K16416" s="434"/>
    </row>
    <row r="16417" spans="1:11" ht="12.75" hidden="1" customHeight="1" outlineLevel="1" x14ac:dyDescent="0.25">
      <c r="A16417" s="2380">
        <v>0.05</v>
      </c>
      <c r="B16417" s="1921" t="s">
        <v>8379</v>
      </c>
      <c r="C16417" s="2108">
        <v>267.22000000000003</v>
      </c>
      <c r="D16417" s="3196">
        <v>488.9</v>
      </c>
      <c r="E16417" s="3197">
        <v>0.82957862435446428</v>
      </c>
      <c r="F16417" s="3198">
        <v>4.1478931217723218E-2</v>
      </c>
      <c r="G16417" s="78"/>
      <c r="H16417" t="s">
        <v>8905</v>
      </c>
      <c r="K16417" s="434"/>
    </row>
    <row r="16418" spans="1:11" ht="12.75" hidden="1" customHeight="1" outlineLevel="1" x14ac:dyDescent="0.25">
      <c r="A16418" s="2380">
        <v>0.02</v>
      </c>
      <c r="B16418" s="1921" t="s">
        <v>1905</v>
      </c>
      <c r="C16418" s="2108">
        <v>54.124996271802601</v>
      </c>
      <c r="D16418" s="3196">
        <v>108.98</v>
      </c>
      <c r="E16418" s="3197">
        <v>1.013487436613</v>
      </c>
      <c r="F16418" s="3198">
        <v>2.026974873226E-2</v>
      </c>
      <c r="G16418" s="78"/>
      <c r="H16418" t="s">
        <v>504</v>
      </c>
      <c r="K16418" s="434"/>
    </row>
    <row r="16419" spans="1:11" ht="12.75" hidden="1" customHeight="1" outlineLevel="1" x14ac:dyDescent="0.25">
      <c r="A16419" s="2380">
        <v>0.05</v>
      </c>
      <c r="B16419" s="1921" t="s">
        <v>2787</v>
      </c>
      <c r="C16419" s="2108">
        <v>73.501975206819409</v>
      </c>
      <c r="D16419" s="3196">
        <v>89.31</v>
      </c>
      <c r="E16419" s="3197">
        <v>0.21506938757360006</v>
      </c>
      <c r="F16419" s="3198">
        <v>1.0753469378680004E-2</v>
      </c>
      <c r="G16419" s="78"/>
      <c r="H16419" t="s">
        <v>8874</v>
      </c>
      <c r="K16419" s="434"/>
    </row>
    <row r="16420" spans="1:11" ht="12.75" hidden="1" customHeight="1" outlineLevel="1" x14ac:dyDescent="0.25">
      <c r="A16420" s="2380">
        <v>0.02</v>
      </c>
      <c r="B16420" s="1921" t="s">
        <v>4293</v>
      </c>
      <c r="C16420" s="2108">
        <v>337.53500000000003</v>
      </c>
      <c r="D16420" s="3196">
        <v>1274</v>
      </c>
      <c r="E16420" s="3197">
        <v>2.774423393129601</v>
      </c>
      <c r="F16420" s="3198">
        <v>5.5488467862592018E-2</v>
      </c>
      <c r="G16420" s="78"/>
      <c r="H16420" t="s">
        <v>1893</v>
      </c>
      <c r="K16420" s="434"/>
    </row>
    <row r="16421" spans="1:11" ht="12.75" hidden="1" customHeight="1" outlineLevel="1" x14ac:dyDescent="0.25">
      <c r="A16421" s="2380">
        <v>0.05</v>
      </c>
      <c r="B16421" s="1921" t="s">
        <v>5847</v>
      </c>
      <c r="C16421" s="2519">
        <v>5001.5</v>
      </c>
      <c r="D16421" s="3196">
        <v>5546</v>
      </c>
      <c r="E16421" s="3197">
        <v>0.10886733979806063</v>
      </c>
      <c r="F16421" s="3198">
        <v>5.4433669899030318E-3</v>
      </c>
      <c r="G16421" s="78"/>
      <c r="H16421" t="s">
        <v>5845</v>
      </c>
      <c r="K16421" s="434"/>
    </row>
    <row r="16422" spans="1:11" ht="12.75" hidden="1" customHeight="1" outlineLevel="1" x14ac:dyDescent="0.25">
      <c r="A16422" s="2380">
        <v>0.05</v>
      </c>
      <c r="B16422" s="1921" t="s">
        <v>1414</v>
      </c>
      <c r="C16422" s="2108">
        <v>34.569916580468195</v>
      </c>
      <c r="D16422" s="3196">
        <v>35.380000000000003</v>
      </c>
      <c r="E16422" s="3197">
        <v>2.3433189884799921E-2</v>
      </c>
      <c r="F16422" s="3198">
        <v>1.1716594942399962E-3</v>
      </c>
      <c r="G16422" s="78"/>
      <c r="H16422" t="s">
        <v>2428</v>
      </c>
      <c r="K16422" s="434"/>
    </row>
    <row r="16423" spans="1:11" ht="12.75" hidden="1" customHeight="1" outlineLevel="1" x14ac:dyDescent="0.25">
      <c r="A16423" s="2380">
        <v>0.08</v>
      </c>
      <c r="B16423" s="1921" t="s">
        <v>3800</v>
      </c>
      <c r="C16423" s="2108">
        <v>248.56</v>
      </c>
      <c r="D16423" s="3196">
        <v>260.3</v>
      </c>
      <c r="E16423" s="3197">
        <v>4.7232056646282716E-2</v>
      </c>
      <c r="F16423" s="3198">
        <v>3.7785645317026176E-3</v>
      </c>
      <c r="G16423" s="78"/>
      <c r="H16423" t="s">
        <v>8876</v>
      </c>
      <c r="K16423" s="434"/>
    </row>
    <row r="16424" spans="1:11" ht="12.75" hidden="1" customHeight="1" outlineLevel="1" x14ac:dyDescent="0.25">
      <c r="A16424" s="2380">
        <v>0.08</v>
      </c>
      <c r="B16424" s="1921" t="s">
        <v>1187</v>
      </c>
      <c r="C16424" s="2108">
        <v>72.562673998319426</v>
      </c>
      <c r="D16424" s="3196">
        <v>98.64</v>
      </c>
      <c r="E16424" s="3197">
        <v>0.35937658529900007</v>
      </c>
      <c r="F16424" s="3198">
        <v>2.8750126823920006E-2</v>
      </c>
      <c r="G16424" s="78"/>
      <c r="H16424" t="s">
        <v>3483</v>
      </c>
      <c r="K16424" s="434"/>
    </row>
    <row r="16425" spans="1:11" ht="12.75" hidden="1" customHeight="1" outlineLevel="1" x14ac:dyDescent="0.25">
      <c r="A16425" s="2380">
        <v>0.02</v>
      </c>
      <c r="B16425" s="1921" t="s">
        <v>5850</v>
      </c>
      <c r="C16425" s="2108">
        <v>6212</v>
      </c>
      <c r="D16425" s="3196">
        <v>6417</v>
      </c>
      <c r="E16425" s="3197">
        <v>3.3000643915003236E-2</v>
      </c>
      <c r="F16425" s="3198">
        <v>6.600128783000647E-4</v>
      </c>
      <c r="G16425" s="78"/>
      <c r="H16425" t="s">
        <v>5848</v>
      </c>
      <c r="K16425" s="434"/>
    </row>
    <row r="16426" spans="1:11" ht="12.75" hidden="1" customHeight="1" outlineLevel="1" x14ac:dyDescent="0.25">
      <c r="A16426" s="2380">
        <v>0.02</v>
      </c>
      <c r="B16426" s="1921" t="s">
        <v>5853</v>
      </c>
      <c r="C16426" s="2108">
        <v>12.7195</v>
      </c>
      <c r="D16426" s="3196">
        <v>10.7</v>
      </c>
      <c r="E16426" s="3197">
        <v>-0.15877196430677309</v>
      </c>
      <c r="F16426" s="3198">
        <v>-3.1754392861354621E-3</v>
      </c>
      <c r="G16426" s="78"/>
      <c r="H16426" t="s">
        <v>5851</v>
      </c>
      <c r="K16426" s="434"/>
    </row>
    <row r="16427" spans="1:11" ht="12.75" hidden="1" customHeight="1" outlineLevel="1" x14ac:dyDescent="0.25">
      <c r="A16427" s="2380">
        <v>0.05</v>
      </c>
      <c r="B16427" s="1921" t="s">
        <v>8384</v>
      </c>
      <c r="C16427" s="2108">
        <v>154.11000000000001</v>
      </c>
      <c r="D16427" s="3196">
        <v>233.7</v>
      </c>
      <c r="E16427" s="3197">
        <v>0.51644928946856128</v>
      </c>
      <c r="F16427" s="3198">
        <v>2.5822464473428064E-2</v>
      </c>
      <c r="G16427" s="78"/>
      <c r="H16427" t="s">
        <v>8907</v>
      </c>
      <c r="K16427" s="434"/>
    </row>
    <row r="16428" spans="1:11" ht="12.75" hidden="1" customHeight="1" outlineLevel="1" x14ac:dyDescent="0.25">
      <c r="A16428" s="2380">
        <v>0.05</v>
      </c>
      <c r="B16428" s="2109" t="s">
        <v>3022</v>
      </c>
      <c r="C16428" s="2108">
        <v>6505.9</v>
      </c>
      <c r="D16428" s="3199">
        <v>4508</v>
      </c>
      <c r="E16428" s="3197">
        <v>-0.30709048709632791</v>
      </c>
      <c r="F16428" s="3198">
        <v>-1.5354524354816396E-2</v>
      </c>
      <c r="G16428" s="78"/>
      <c r="H16428" t="s">
        <v>2802</v>
      </c>
      <c r="K16428" s="434"/>
    </row>
    <row r="16429" spans="1:11" ht="12.75" hidden="1" customHeight="1" outlineLevel="1" x14ac:dyDescent="0.25">
      <c r="A16429" s="2181" t="s">
        <v>2734</v>
      </c>
      <c r="B16429" s="2103"/>
      <c r="C16429" s="3200"/>
      <c r="D16429" s="3201"/>
      <c r="E16429" s="3202"/>
      <c r="F16429" s="3193">
        <v>0.40350810033298684</v>
      </c>
      <c r="G16429" s="78"/>
    </row>
    <row r="16430" spans="1:11" ht="12.75" hidden="1" customHeight="1" outlineLevel="1" x14ac:dyDescent="0.25">
      <c r="A16430" s="1956" t="s">
        <v>9053</v>
      </c>
      <c r="B16430" s="2185">
        <v>44986</v>
      </c>
      <c r="C16430" s="3203">
        <v>100</v>
      </c>
      <c r="D16430" s="3203">
        <v>139.72669999999999</v>
      </c>
      <c r="E16430" s="3204">
        <v>0.39726700000000004</v>
      </c>
      <c r="F16430" s="3205"/>
      <c r="G16430" s="78"/>
    </row>
    <row r="16431" spans="1:11" ht="12.75" hidden="1" customHeight="1" outlineLevel="1" x14ac:dyDescent="0.25">
      <c r="A16431" s="1956" t="s">
        <v>9054</v>
      </c>
      <c r="B16431" s="2185">
        <v>45017</v>
      </c>
      <c r="C16431" s="3203">
        <v>100</v>
      </c>
      <c r="D16431" s="3206">
        <v>144.0471</v>
      </c>
      <c r="E16431" s="3204">
        <v>0.44047100000000006</v>
      </c>
      <c r="F16431" s="3205"/>
      <c r="G16431" s="78"/>
    </row>
    <row r="16432" spans="1:11" ht="12.75" hidden="1" customHeight="1" outlineLevel="1" x14ac:dyDescent="0.25">
      <c r="A16432" s="1956" t="s">
        <v>9055</v>
      </c>
      <c r="B16432" s="2185">
        <v>45047</v>
      </c>
      <c r="C16432" s="3203">
        <v>100</v>
      </c>
      <c r="D16432" s="3206">
        <v>142.97640000000001</v>
      </c>
      <c r="E16432" s="3204">
        <v>0.42976400000000003</v>
      </c>
      <c r="F16432" s="3205"/>
      <c r="G16432" s="78"/>
    </row>
    <row r="16433" spans="1:11" ht="12.75" hidden="1" customHeight="1" outlineLevel="1" x14ac:dyDescent="0.25">
      <c r="A16433" s="1956" t="s">
        <v>9056</v>
      </c>
      <c r="B16433" s="2185">
        <v>45078</v>
      </c>
      <c r="C16433" s="3203">
        <v>100</v>
      </c>
      <c r="D16433" s="3206"/>
      <c r="E16433" s="3204">
        <v>0.40350810033298684</v>
      </c>
      <c r="F16433" s="3205"/>
      <c r="G16433" s="78"/>
    </row>
    <row r="16434" spans="1:11" ht="12.75" hidden="1" customHeight="1" outlineLevel="1" x14ac:dyDescent="0.25">
      <c r="A16434" s="1956" t="s">
        <v>9057</v>
      </c>
      <c r="B16434" s="2185">
        <v>45108</v>
      </c>
      <c r="C16434" s="3203">
        <v>100</v>
      </c>
      <c r="D16434" s="3206"/>
      <c r="E16434" s="3204">
        <v>0.40350810033298684</v>
      </c>
      <c r="F16434" s="3205"/>
      <c r="G16434" s="78"/>
    </row>
    <row r="16435" spans="1:11" ht="12.75" hidden="1" customHeight="1" outlineLevel="1" x14ac:dyDescent="0.25">
      <c r="A16435" s="1956" t="s">
        <v>9058</v>
      </c>
      <c r="B16435" s="2185">
        <v>45139</v>
      </c>
      <c r="C16435" s="3203">
        <v>100</v>
      </c>
      <c r="D16435" s="3206"/>
      <c r="E16435" s="3204">
        <v>0.40350810033298684</v>
      </c>
      <c r="F16435" s="3205"/>
      <c r="G16435" s="78"/>
    </row>
    <row r="16436" spans="1:11" ht="12.75" hidden="1" customHeight="1" outlineLevel="1" x14ac:dyDescent="0.25">
      <c r="A16436" s="2189" t="s">
        <v>2734</v>
      </c>
      <c r="B16436" s="2190"/>
      <c r="C16436" s="3206"/>
      <c r="D16436" s="2191" t="s">
        <v>2465</v>
      </c>
      <c r="E16436" s="1987">
        <v>0.41300438349982677</v>
      </c>
      <c r="F16436" s="2192">
        <v>0.41300438349982677</v>
      </c>
      <c r="G16436" s="78"/>
    </row>
    <row r="16437" spans="1:11" collapsed="1" x14ac:dyDescent="0.25">
      <c r="A16437" s="3801" t="s">
        <v>8948</v>
      </c>
      <c r="B16437" s="3802"/>
      <c r="C16437" s="3802"/>
      <c r="D16437" s="3802"/>
      <c r="E16437" s="1906"/>
      <c r="F16437" s="1907">
        <v>0.37170394514984412</v>
      </c>
      <c r="G16437" s="78"/>
    </row>
    <row r="16439" spans="1:11" ht="12.75" hidden="1" customHeight="1" outlineLevel="1" x14ac:dyDescent="0.25">
      <c r="A16439" s="3237" t="s">
        <v>113</v>
      </c>
      <c r="B16439" s="3237" t="s">
        <v>114</v>
      </c>
      <c r="C16439" s="3237" t="s">
        <v>112</v>
      </c>
      <c r="D16439" s="3237" t="s">
        <v>116</v>
      </c>
      <c r="E16439" s="3237" t="s">
        <v>117</v>
      </c>
      <c r="F16439" s="3276" t="s">
        <v>121</v>
      </c>
      <c r="G16439" s="78"/>
    </row>
    <row r="16440" spans="1:11" ht="12.75" hidden="1" customHeight="1" outlineLevel="1" x14ac:dyDescent="0.25">
      <c r="A16440" s="3182">
        <v>1</v>
      </c>
      <c r="B16440" s="3183" t="s">
        <v>252</v>
      </c>
      <c r="C16440" s="3184">
        <v>100</v>
      </c>
      <c r="D16440" s="3184"/>
      <c r="E16440" s="3711"/>
      <c r="F16440" s="3712"/>
      <c r="G16440" s="78"/>
    </row>
    <row r="16441" spans="1:11" ht="12.75" hidden="1" customHeight="1" outlineLevel="1" x14ac:dyDescent="0.25">
      <c r="A16441" s="3187" t="s">
        <v>2734</v>
      </c>
      <c r="B16441" s="3187"/>
      <c r="C16441" s="3188"/>
      <c r="D16441" s="1900" t="s">
        <v>3702</v>
      </c>
      <c r="E16441" s="3189">
        <v>45230</v>
      </c>
      <c r="F16441" s="3713"/>
      <c r="G16441" s="78"/>
    </row>
    <row r="16442" spans="1:11" ht="12.75" hidden="1" customHeight="1" outlineLevel="1" x14ac:dyDescent="0.25">
      <c r="A16442" s="3180" t="s">
        <v>4156</v>
      </c>
      <c r="B16442" s="3180" t="s">
        <v>4153</v>
      </c>
      <c r="C16442" s="3714" t="s">
        <v>112</v>
      </c>
      <c r="D16442" s="3192" t="s">
        <v>4155</v>
      </c>
      <c r="E16442" s="3180" t="s">
        <v>4154</v>
      </c>
      <c r="F16442" s="3193" t="s">
        <v>2519</v>
      </c>
      <c r="G16442" s="78"/>
    </row>
    <row r="16443" spans="1:11" ht="12.75" hidden="1" customHeight="1" outlineLevel="1" x14ac:dyDescent="0.25">
      <c r="A16443" s="1991">
        <v>0.03</v>
      </c>
      <c r="B16443" s="1921" t="s">
        <v>8978</v>
      </c>
      <c r="C16443" s="2108">
        <v>2127.35</v>
      </c>
      <c r="D16443" s="3194">
        <v>5480</v>
      </c>
      <c r="E16443" s="3195">
        <v>1.5759748043340309</v>
      </c>
      <c r="F16443" s="3193">
        <v>4.7279244130020923E-2</v>
      </c>
      <c r="G16443" s="78"/>
      <c r="H16443" t="s">
        <v>8982</v>
      </c>
      <c r="K16443" s="434"/>
    </row>
    <row r="16444" spans="1:11" ht="12.75" hidden="1" customHeight="1" outlineLevel="1" x14ac:dyDescent="0.25">
      <c r="A16444" s="2380">
        <v>0.02</v>
      </c>
      <c r="B16444" s="1921" t="s">
        <v>8979</v>
      </c>
      <c r="C16444" s="2108">
        <v>40.131</v>
      </c>
      <c r="D16444" s="3196">
        <v>71.569999999999993</v>
      </c>
      <c r="E16444" s="3197">
        <v>0.78340933442974237</v>
      </c>
      <c r="F16444" s="3198">
        <v>1.5668186688594848E-2</v>
      </c>
      <c r="G16444" s="78"/>
      <c r="H16444" t="s">
        <v>8983</v>
      </c>
      <c r="K16444" s="434"/>
    </row>
    <row r="16445" spans="1:11" ht="12.75" hidden="1" customHeight="1" outlineLevel="1" x14ac:dyDescent="0.25">
      <c r="A16445" s="2380">
        <v>0.02</v>
      </c>
      <c r="B16445" s="1921" t="s">
        <v>139</v>
      </c>
      <c r="C16445" s="2108">
        <v>5723</v>
      </c>
      <c r="D16445" s="3196">
        <v>5436</v>
      </c>
      <c r="E16445" s="3197">
        <v>-5.0148523501659992E-2</v>
      </c>
      <c r="F16445" s="3198">
        <v>-1.0029704700331998E-3</v>
      </c>
      <c r="G16445" s="78"/>
      <c r="H16445" t="s">
        <v>1776</v>
      </c>
      <c r="K16445" s="434"/>
    </row>
    <row r="16446" spans="1:11" ht="12.75" hidden="1" customHeight="1" outlineLevel="1" x14ac:dyDescent="0.25">
      <c r="A16446" s="2380">
        <v>0.02</v>
      </c>
      <c r="B16446" s="1921" t="s">
        <v>5479</v>
      </c>
      <c r="C16446" s="2108">
        <v>28.153681034672555</v>
      </c>
      <c r="D16446" s="3196">
        <v>20.260000000000002</v>
      </c>
      <c r="E16446" s="3197">
        <v>-0.28037829315999996</v>
      </c>
      <c r="F16446" s="3198">
        <v>-5.6075658631999994E-3</v>
      </c>
      <c r="G16446" s="78"/>
      <c r="H16446" t="s">
        <v>5477</v>
      </c>
      <c r="K16446" s="434"/>
    </row>
    <row r="16447" spans="1:11" ht="12.75" hidden="1" customHeight="1" outlineLevel="1" x14ac:dyDescent="0.25">
      <c r="A16447" s="2380">
        <v>0.02</v>
      </c>
      <c r="B16447" s="1921" t="s">
        <v>4515</v>
      </c>
      <c r="C16447" s="2108">
        <v>755.19</v>
      </c>
      <c r="D16447" s="3196">
        <v>840</v>
      </c>
      <c r="E16447" s="3197">
        <v>0.11230286417987512</v>
      </c>
      <c r="F16447" s="3198">
        <v>2.2460572835975023E-3</v>
      </c>
      <c r="G16447" s="78"/>
      <c r="H16447" t="s">
        <v>1778</v>
      </c>
      <c r="K16447" s="434"/>
    </row>
    <row r="16448" spans="1:11" ht="12.75" hidden="1" customHeight="1" outlineLevel="1" x14ac:dyDescent="0.25">
      <c r="A16448" s="2380">
        <v>0.02</v>
      </c>
      <c r="B16448" s="1921" t="s">
        <v>5194</v>
      </c>
      <c r="C16448" s="2108">
        <v>37.637999999999998</v>
      </c>
      <c r="D16448" s="3196">
        <v>27.36</v>
      </c>
      <c r="E16448" s="3197">
        <v>-0.27307508369201339</v>
      </c>
      <c r="F16448" s="3198">
        <v>-5.461501673840268E-3</v>
      </c>
      <c r="G16448" s="78"/>
      <c r="H16448" t="s">
        <v>5192</v>
      </c>
      <c r="K16448" s="434"/>
    </row>
    <row r="16449" spans="1:11" ht="12.75" hidden="1" customHeight="1" outlineLevel="1" x14ac:dyDescent="0.25">
      <c r="A16449" s="2380">
        <v>0.02</v>
      </c>
      <c r="B16449" s="1921" t="s">
        <v>53</v>
      </c>
      <c r="C16449" s="2108">
        <v>70.293000000000006</v>
      </c>
      <c r="D16449" s="3196">
        <v>56.15</v>
      </c>
      <c r="E16449" s="3197">
        <v>-0.20120068854651252</v>
      </c>
      <c r="F16449" s="3198">
        <v>-4.0240137709302501E-3</v>
      </c>
      <c r="G16449" s="78"/>
      <c r="H16449" t="s">
        <v>2751</v>
      </c>
      <c r="K16449" s="434"/>
    </row>
    <row r="16450" spans="1:11" ht="12.75" hidden="1" customHeight="1" outlineLevel="1" x14ac:dyDescent="0.25">
      <c r="A16450" s="2380">
        <v>0.02</v>
      </c>
      <c r="B16450" s="1921" t="s">
        <v>3406</v>
      </c>
      <c r="C16450" s="2108">
        <v>26.792000000000002</v>
      </c>
      <c r="D16450" s="3196">
        <v>31.07</v>
      </c>
      <c r="E16450" s="3197">
        <v>0.15967452971036122</v>
      </c>
      <c r="F16450" s="3198">
        <v>3.1934905942072244E-3</v>
      </c>
      <c r="G16450" s="78"/>
      <c r="H16450" t="s">
        <v>2105</v>
      </c>
      <c r="K16450" s="434"/>
    </row>
    <row r="16451" spans="1:11" ht="12.75" hidden="1" customHeight="1" outlineLevel="1" x14ac:dyDescent="0.25">
      <c r="A16451" s="2380">
        <v>0.02</v>
      </c>
      <c r="B16451" s="1921" t="s">
        <v>10769</v>
      </c>
      <c r="C16451" s="2108">
        <v>15.451745803292706</v>
      </c>
      <c r="D16451" s="3196">
        <v>30.33</v>
      </c>
      <c r="E16451" s="3197">
        <v>0.96288499604599997</v>
      </c>
      <c r="F16451" s="3198">
        <v>1.925769992092E-2</v>
      </c>
      <c r="G16451" s="78"/>
      <c r="H16451" t="s">
        <v>10768</v>
      </c>
      <c r="K16451" s="434"/>
    </row>
    <row r="16452" spans="1:11" ht="12.75" hidden="1" customHeight="1" outlineLevel="1" x14ac:dyDescent="0.25">
      <c r="A16452" s="2380">
        <v>0.08</v>
      </c>
      <c r="B16452" s="1921" t="s">
        <v>4268</v>
      </c>
      <c r="C16452" s="2108">
        <v>16.782499999999999</v>
      </c>
      <c r="D16452" s="3196">
        <v>11.2</v>
      </c>
      <c r="E16452" s="3197">
        <v>-0.33263816475495311</v>
      </c>
      <c r="F16452" s="3198">
        <v>-2.6611053180396249E-2</v>
      </c>
      <c r="G16452" s="78"/>
      <c r="H16452" t="s">
        <v>8442</v>
      </c>
      <c r="K16452" s="434"/>
    </row>
    <row r="16453" spans="1:11" ht="12.75" hidden="1" customHeight="1" outlineLevel="1" x14ac:dyDescent="0.25">
      <c r="A16453" s="2380">
        <v>0.02</v>
      </c>
      <c r="B16453" s="1921" t="s">
        <v>5489</v>
      </c>
      <c r="C16453" s="2108">
        <v>59.418999999999997</v>
      </c>
      <c r="D16453" s="3196">
        <v>65.239999999999995</v>
      </c>
      <c r="E16453" s="3197">
        <v>9.7965297295477871E-2</v>
      </c>
      <c r="F16453" s="3198">
        <v>1.9593059459095574E-3</v>
      </c>
      <c r="G16453" s="78"/>
      <c r="H16453" t="s">
        <v>5487</v>
      </c>
      <c r="K16453" s="434"/>
    </row>
    <row r="16454" spans="1:11" ht="12.75" hidden="1" customHeight="1" outlineLevel="1" x14ac:dyDescent="0.25">
      <c r="A16454" s="2380">
        <v>0.02</v>
      </c>
      <c r="B16454" s="1921" t="s">
        <v>3319</v>
      </c>
      <c r="C16454" s="2108">
        <v>87.674999999999997</v>
      </c>
      <c r="D16454" s="3196">
        <v>84.74</v>
      </c>
      <c r="E16454" s="3197">
        <v>-3.3475905332192801E-2</v>
      </c>
      <c r="F16454" s="3198">
        <v>-6.6951810664385599E-4</v>
      </c>
      <c r="G16454" s="78"/>
      <c r="H16454" t="s">
        <v>1779</v>
      </c>
      <c r="K16454" s="434"/>
    </row>
    <row r="16455" spans="1:11" ht="12.75" hidden="1" customHeight="1" outlineLevel="1" x14ac:dyDescent="0.25">
      <c r="A16455" s="2380">
        <v>0.02</v>
      </c>
      <c r="B16455" s="1921" t="s">
        <v>5492</v>
      </c>
      <c r="C16455" s="2519">
        <v>113.024</v>
      </c>
      <c r="D16455" s="3196">
        <v>187.35</v>
      </c>
      <c r="E16455" s="3197">
        <v>0.65761254246885614</v>
      </c>
      <c r="F16455" s="3198">
        <v>1.3152250849377123E-2</v>
      </c>
      <c r="G16455" s="78"/>
      <c r="H16455" t="s">
        <v>5490</v>
      </c>
      <c r="K16455" s="434"/>
    </row>
    <row r="16456" spans="1:11" ht="12.75" hidden="1" customHeight="1" outlineLevel="1" x14ac:dyDescent="0.25">
      <c r="A16456" s="2380">
        <v>0.02</v>
      </c>
      <c r="B16456" s="1921" t="s">
        <v>811</v>
      </c>
      <c r="C16456" s="2108">
        <v>68.256</v>
      </c>
      <c r="D16456" s="3196">
        <v>50.47</v>
      </c>
      <c r="E16456" s="3197">
        <v>-0.26057782466010315</v>
      </c>
      <c r="F16456" s="3198">
        <v>-5.2115564932020634E-3</v>
      </c>
      <c r="G16456" s="78"/>
      <c r="H16456" t="s">
        <v>812</v>
      </c>
      <c r="K16456" s="434"/>
    </row>
    <row r="16457" spans="1:11" ht="12.75" hidden="1" customHeight="1" outlineLevel="1" x14ac:dyDescent="0.25">
      <c r="A16457" s="2380">
        <v>0.02</v>
      </c>
      <c r="B16457" s="1921" t="s">
        <v>3321</v>
      </c>
      <c r="C16457" s="2108">
        <v>2812.75</v>
      </c>
      <c r="D16457" s="3196">
        <v>2119.5</v>
      </c>
      <c r="E16457" s="3197">
        <v>-0.24646698071282558</v>
      </c>
      <c r="F16457" s="3198">
        <v>-4.9293396142565116E-3</v>
      </c>
      <c r="G16457" s="78"/>
      <c r="H16457" t="s">
        <v>1780</v>
      </c>
      <c r="K16457" s="434"/>
    </row>
    <row r="16458" spans="1:11" ht="12.75" hidden="1" customHeight="1" outlineLevel="1" x14ac:dyDescent="0.25">
      <c r="A16458" s="2380">
        <v>0.04</v>
      </c>
      <c r="B16458" s="1921" t="s">
        <v>7573</v>
      </c>
      <c r="C16458" s="2108">
        <v>77.843000000000004</v>
      </c>
      <c r="D16458" s="3196">
        <v>31.46</v>
      </c>
      <c r="E16458" s="3197">
        <v>-0.59585319168069062</v>
      </c>
      <c r="F16458" s="3198">
        <v>-2.3834127667227624E-2</v>
      </c>
      <c r="G16458" s="78"/>
      <c r="H16458" t="s">
        <v>7571</v>
      </c>
      <c r="K16458" s="434"/>
    </row>
    <row r="16459" spans="1:11" ht="12.75" hidden="1" customHeight="1" outlineLevel="1" x14ac:dyDescent="0.25">
      <c r="A16459" s="2380">
        <v>0.05</v>
      </c>
      <c r="B16459" s="1921" t="s">
        <v>8261</v>
      </c>
      <c r="C16459" s="2108">
        <v>136.81020377343555</v>
      </c>
      <c r="D16459" s="3196">
        <v>181.3</v>
      </c>
      <c r="E16459" s="3197">
        <v>0.32519355281600015</v>
      </c>
      <c r="F16459" s="3198">
        <v>1.6259677640800007E-2</v>
      </c>
      <c r="G16459" s="78"/>
      <c r="H16459" t="s">
        <v>9620</v>
      </c>
      <c r="K16459" s="434"/>
    </row>
    <row r="16460" spans="1:11" ht="12.75" hidden="1" customHeight="1" outlineLevel="1" x14ac:dyDescent="0.25">
      <c r="A16460" s="2380">
        <v>0.02</v>
      </c>
      <c r="B16460" s="1921" t="s">
        <v>8980</v>
      </c>
      <c r="C16460" s="2108">
        <v>4814.5</v>
      </c>
      <c r="D16460" s="3196">
        <v>3718</v>
      </c>
      <c r="E16460" s="3197">
        <v>-0.2277495066985149</v>
      </c>
      <c r="F16460" s="3198">
        <v>-4.5549901339702985E-3</v>
      </c>
      <c r="G16460" s="78"/>
      <c r="H16460" t="s">
        <v>8984</v>
      </c>
      <c r="K16460" s="434"/>
    </row>
    <row r="16461" spans="1:11" ht="12.75" hidden="1" customHeight="1" outlineLevel="1" x14ac:dyDescent="0.25">
      <c r="A16461" s="2380">
        <v>0.02</v>
      </c>
      <c r="B16461" s="1921" t="s">
        <v>3869</v>
      </c>
      <c r="C16461" s="2108">
        <v>82.706000000000003</v>
      </c>
      <c r="D16461" s="3196">
        <v>57.77</v>
      </c>
      <c r="E16461" s="3197">
        <v>-0.3015017048339903</v>
      </c>
      <c r="F16461" s="3198">
        <v>-6.0300340966798066E-3</v>
      </c>
      <c r="G16461" s="78"/>
      <c r="H16461" t="s">
        <v>1984</v>
      </c>
      <c r="K16461" s="434"/>
    </row>
    <row r="16462" spans="1:11" ht="12.75" hidden="1" customHeight="1" outlineLevel="1" x14ac:dyDescent="0.25">
      <c r="A16462" s="2380">
        <v>0.02</v>
      </c>
      <c r="B16462" s="1921" t="s">
        <v>5500</v>
      </c>
      <c r="C16462" s="2108">
        <v>42.863999999999997</v>
      </c>
      <c r="D16462" s="3196">
        <v>66.209999999999994</v>
      </c>
      <c r="E16462" s="3197">
        <v>0.54465285554311316</v>
      </c>
      <c r="F16462" s="3198">
        <v>1.0893057110862263E-2</v>
      </c>
      <c r="G16462" s="78"/>
      <c r="H16462" t="s">
        <v>5498</v>
      </c>
      <c r="K16462" s="434"/>
    </row>
    <row r="16463" spans="1:11" ht="12.75" hidden="1" customHeight="1" outlineLevel="1" x14ac:dyDescent="0.25">
      <c r="A16463" s="2380">
        <v>0.05</v>
      </c>
      <c r="B16463" s="1921" t="s">
        <v>3797</v>
      </c>
      <c r="C16463" s="2108">
        <v>83.581000000000003</v>
      </c>
      <c r="D16463" s="3196">
        <v>98.06</v>
      </c>
      <c r="E16463" s="3197">
        <v>0.17323315107500514</v>
      </c>
      <c r="F16463" s="3198">
        <v>8.6616575537502571E-3</v>
      </c>
      <c r="G16463" s="78"/>
      <c r="H16463" t="s">
        <v>8872</v>
      </c>
      <c r="K16463" s="434"/>
    </row>
    <row r="16464" spans="1:11" ht="12.75" hidden="1" customHeight="1" outlineLevel="1" x14ac:dyDescent="0.25">
      <c r="A16464" s="2380">
        <v>0.02</v>
      </c>
      <c r="B16464" s="1921" t="s">
        <v>1204</v>
      </c>
      <c r="C16464" s="2108">
        <v>118.49299999999999</v>
      </c>
      <c r="D16464" s="3196">
        <v>163.28</v>
      </c>
      <c r="E16464" s="3197">
        <v>0.37797169453047874</v>
      </c>
      <c r="F16464" s="3198">
        <v>7.5594338906095748E-3</v>
      </c>
      <c r="G16464" s="78"/>
      <c r="H16464" t="s">
        <v>9047</v>
      </c>
      <c r="K16464" s="434"/>
    </row>
    <row r="16465" spans="1:11" ht="12.75" hidden="1" customHeight="1" outlineLevel="1" x14ac:dyDescent="0.25">
      <c r="A16465" s="2380">
        <v>0.02</v>
      </c>
      <c r="B16465" s="1921" t="s">
        <v>4044</v>
      </c>
      <c r="C16465" s="2108">
        <v>131.77000000000001</v>
      </c>
      <c r="D16465" s="3196">
        <v>167.5</v>
      </c>
      <c r="E16465" s="3197">
        <v>0.27115428397966146</v>
      </c>
      <c r="F16465" s="3198">
        <v>5.4230856795932291E-3</v>
      </c>
      <c r="G16465" s="78"/>
      <c r="H16465" t="s">
        <v>4045</v>
      </c>
      <c r="K16465" s="434"/>
    </row>
    <row r="16466" spans="1:11" ht="12.75" hidden="1" customHeight="1" outlineLevel="1" x14ac:dyDescent="0.25">
      <c r="A16466" s="2380">
        <v>0.08</v>
      </c>
      <c r="B16466" s="1921" t="s">
        <v>7433</v>
      </c>
      <c r="C16466" s="2108">
        <v>29.038</v>
      </c>
      <c r="D16466" s="3196">
        <v>5.2779999999999996</v>
      </c>
      <c r="E16466" s="3197">
        <v>-0.81823817067291138</v>
      </c>
      <c r="F16466" s="3198">
        <v>-6.5459053653832908E-2</v>
      </c>
      <c r="G16466" s="78"/>
      <c r="H16466" t="s">
        <v>7431</v>
      </c>
      <c r="K16466" s="434"/>
    </row>
    <row r="16467" spans="1:11" ht="12.75" hidden="1" customHeight="1" outlineLevel="1" x14ac:dyDescent="0.25">
      <c r="A16467" s="2380">
        <v>0.08</v>
      </c>
      <c r="B16467" s="1921" t="s">
        <v>6118</v>
      </c>
      <c r="C16467" s="2108">
        <v>91.704999999999998</v>
      </c>
      <c r="D16467" s="3196">
        <v>99.12</v>
      </c>
      <c r="E16467" s="3197">
        <v>8.0857096123439387E-2</v>
      </c>
      <c r="F16467" s="3198">
        <v>6.4685676898751515E-3</v>
      </c>
      <c r="G16467" s="78"/>
      <c r="H16467" t="s">
        <v>8893</v>
      </c>
      <c r="K16467" s="434"/>
    </row>
    <row r="16468" spans="1:11" ht="12.75" hidden="1" customHeight="1" outlineLevel="1" x14ac:dyDescent="0.25">
      <c r="A16468" s="2380">
        <v>0.03</v>
      </c>
      <c r="B16468" s="1921" t="s">
        <v>5503</v>
      </c>
      <c r="C16468" s="2108">
        <v>6.9706432893733119</v>
      </c>
      <c r="D16468" s="3196">
        <v>6.3049999999999997</v>
      </c>
      <c r="E16468" s="3197">
        <v>-9.549237591716675E-2</v>
      </c>
      <c r="F16468" s="3198">
        <v>-2.8647712775150022E-3</v>
      </c>
      <c r="G16468" s="78"/>
      <c r="H16468" t="s">
        <v>5501</v>
      </c>
      <c r="K16468" s="434"/>
    </row>
    <row r="16469" spans="1:11" ht="12.75" hidden="1" customHeight="1" outlineLevel="1" x14ac:dyDescent="0.25">
      <c r="A16469" s="2380">
        <v>0.08</v>
      </c>
      <c r="B16469" s="1921" t="s">
        <v>434</v>
      </c>
      <c r="C16469" s="2108">
        <v>37.271000000000001</v>
      </c>
      <c r="D16469" s="3196">
        <v>23.61</v>
      </c>
      <c r="E16469" s="3197">
        <v>-0.36653161975798887</v>
      </c>
      <c r="F16469" s="3198">
        <v>-2.932252958063911E-2</v>
      </c>
      <c r="G16469" s="78"/>
      <c r="H16469" t="s">
        <v>7745</v>
      </c>
      <c r="K16469" s="434"/>
    </row>
    <row r="16470" spans="1:11" ht="12.75" hidden="1" customHeight="1" outlineLevel="1" x14ac:dyDescent="0.25">
      <c r="A16470" s="2380">
        <v>0.02</v>
      </c>
      <c r="B16470" s="1921" t="s">
        <v>1142</v>
      </c>
      <c r="C16470" s="2108">
        <v>45.896000000000001</v>
      </c>
      <c r="D16470" s="3196">
        <v>56.49</v>
      </c>
      <c r="E16470" s="3197">
        <v>0.23082621579222584</v>
      </c>
      <c r="F16470" s="3198">
        <v>4.6165243158445167E-3</v>
      </c>
      <c r="G16470" s="78"/>
      <c r="H16470" t="s">
        <v>1143</v>
      </c>
      <c r="K16470" s="434"/>
    </row>
    <row r="16471" spans="1:11" ht="12.75" hidden="1" customHeight="1" outlineLevel="1" x14ac:dyDescent="0.25">
      <c r="A16471" s="2380">
        <v>0.02</v>
      </c>
      <c r="B16471" s="1921" t="s">
        <v>9073</v>
      </c>
      <c r="C16471" s="2108">
        <v>81.045000000000002</v>
      </c>
      <c r="D16471" s="3196">
        <v>46.35</v>
      </c>
      <c r="E16471" s="3197">
        <v>-0.42809550249861184</v>
      </c>
      <c r="F16471" s="3198">
        <v>-8.5619100499722371E-3</v>
      </c>
      <c r="G16471" s="78"/>
      <c r="H16471" t="s">
        <v>9074</v>
      </c>
      <c r="K16471" s="434"/>
    </row>
    <row r="16472" spans="1:11" ht="12.75" hidden="1" customHeight="1" outlineLevel="1" x14ac:dyDescent="0.25">
      <c r="A16472" s="2380">
        <v>0.08</v>
      </c>
      <c r="B16472" s="2109" t="s">
        <v>4550</v>
      </c>
      <c r="C16472" s="2108">
        <v>301.77999999999997</v>
      </c>
      <c r="D16472" s="3199">
        <v>430.6</v>
      </c>
      <c r="E16472" s="3197">
        <v>0.42686725429120576</v>
      </c>
      <c r="F16472" s="3198">
        <v>3.4149380343296461E-2</v>
      </c>
      <c r="G16472" s="78"/>
      <c r="H16472" t="s">
        <v>8889</v>
      </c>
      <c r="K16472" s="434"/>
    </row>
    <row r="16473" spans="1:11" ht="12.75" hidden="1" customHeight="1" outlineLevel="1" x14ac:dyDescent="0.25">
      <c r="A16473" s="2181" t="s">
        <v>2734</v>
      </c>
      <c r="B16473" s="2103"/>
      <c r="C16473" s="3200"/>
      <c r="D16473" s="3201"/>
      <c r="E16473" s="3202"/>
      <c r="F16473" s="3193">
        <v>3.5999999999999999E-3</v>
      </c>
      <c r="G16473" s="78"/>
    </row>
    <row r="16474" spans="1:11" ht="12.75" hidden="1" customHeight="1" outlineLevel="1" x14ac:dyDescent="0.25">
      <c r="A16474" s="1956" t="s">
        <v>9076</v>
      </c>
      <c r="B16474" s="2185">
        <v>45047</v>
      </c>
      <c r="C16474" s="3203">
        <v>100</v>
      </c>
      <c r="D16474" s="3203">
        <v>107.76730000000001</v>
      </c>
      <c r="E16474" s="3204">
        <v>7.7673000000000103E-2</v>
      </c>
      <c r="F16474" s="3205"/>
      <c r="G16474" s="78"/>
    </row>
    <row r="16475" spans="1:11" ht="12.75" hidden="1" customHeight="1" outlineLevel="1" x14ac:dyDescent="0.25">
      <c r="A16475" s="1956" t="s">
        <v>9077</v>
      </c>
      <c r="B16475" s="2185">
        <v>45078</v>
      </c>
      <c r="C16475" s="3203">
        <v>100</v>
      </c>
      <c r="D16475" s="3206">
        <v>107.0797</v>
      </c>
      <c r="E16475" s="3204">
        <v>7.0796999999999999E-2</v>
      </c>
      <c r="F16475" s="3205"/>
      <c r="G16475" s="78"/>
    </row>
    <row r="16476" spans="1:11" ht="12.75" hidden="1" customHeight="1" outlineLevel="1" x14ac:dyDescent="0.25">
      <c r="A16476" s="1956" t="s">
        <v>9078</v>
      </c>
      <c r="B16476" s="2185">
        <v>45108</v>
      </c>
      <c r="C16476" s="3203">
        <v>100</v>
      </c>
      <c r="D16476" s="3206">
        <v>107.58369999999999</v>
      </c>
      <c r="E16476" s="3204">
        <v>7.5836999999999932E-2</v>
      </c>
      <c r="F16476" s="3205"/>
      <c r="G16476" s="78"/>
    </row>
    <row r="16477" spans="1:11" ht="12.75" hidden="1" customHeight="1" outlineLevel="1" x14ac:dyDescent="0.25">
      <c r="A16477" s="1956" t="s">
        <v>9079</v>
      </c>
      <c r="B16477" s="2185">
        <v>45139</v>
      </c>
      <c r="C16477" s="3203">
        <v>100</v>
      </c>
      <c r="D16477" s="3206">
        <v>105.3432</v>
      </c>
      <c r="E16477" s="3204">
        <v>5.3431999999999924E-2</v>
      </c>
      <c r="F16477" s="3205"/>
      <c r="G16477" s="78"/>
    </row>
    <row r="16478" spans="1:11" ht="12.75" hidden="1" customHeight="1" outlineLevel="1" x14ac:dyDescent="0.25">
      <c r="A16478" s="1956" t="s">
        <v>9080</v>
      </c>
      <c r="B16478" s="2185">
        <v>45170</v>
      </c>
      <c r="C16478" s="3203">
        <v>100</v>
      </c>
      <c r="D16478" s="3206">
        <v>102.0839</v>
      </c>
      <c r="E16478" s="3204">
        <v>2.0839000000000052E-2</v>
      </c>
      <c r="F16478" s="3205"/>
      <c r="G16478" s="78"/>
    </row>
    <row r="16479" spans="1:11" ht="12.75" hidden="1" customHeight="1" outlineLevel="1" x14ac:dyDescent="0.25">
      <c r="A16479" s="1956" t="s">
        <v>9081</v>
      </c>
      <c r="B16479" s="2185">
        <v>45200</v>
      </c>
      <c r="C16479" s="3203">
        <v>100</v>
      </c>
      <c r="D16479" s="3206">
        <v>100.36150000000001</v>
      </c>
      <c r="E16479" s="3204">
        <v>3.6150000000001459E-3</v>
      </c>
      <c r="F16479" s="3205"/>
      <c r="G16479" s="78"/>
    </row>
    <row r="16480" spans="1:11" ht="12.75" hidden="1" customHeight="1" outlineLevel="1" x14ac:dyDescent="0.25">
      <c r="A16480" s="2189" t="s">
        <v>2734</v>
      </c>
      <c r="B16480" s="2190"/>
      <c r="C16480" s="3206"/>
      <c r="D16480" s="2191" t="s">
        <v>2465</v>
      </c>
      <c r="E16480" s="1987">
        <v>5.0365500000000028E-2</v>
      </c>
      <c r="F16480" s="2192">
        <v>5.0365500000000028E-2</v>
      </c>
      <c r="G16480" s="78"/>
    </row>
    <row r="16481" spans="1:11" collapsed="1" x14ac:dyDescent="0.25">
      <c r="A16481" s="3801" t="s">
        <v>8949</v>
      </c>
      <c r="B16481" s="3802"/>
      <c r="C16481" s="3802"/>
      <c r="D16481" s="3802"/>
      <c r="E16481" s="1906"/>
      <c r="F16481" s="1907">
        <v>5.0365500000000028E-2</v>
      </c>
      <c r="G16481" s="78"/>
    </row>
    <row r="16483" spans="1:11" ht="12.75" hidden="1" customHeight="1" outlineLevel="1" x14ac:dyDescent="0.25">
      <c r="A16483" s="3237" t="s">
        <v>113</v>
      </c>
      <c r="B16483" s="3237" t="s">
        <v>114</v>
      </c>
      <c r="C16483" s="3237" t="s">
        <v>112</v>
      </c>
      <c r="D16483" s="3237" t="s">
        <v>116</v>
      </c>
      <c r="E16483" s="3237" t="s">
        <v>117</v>
      </c>
      <c r="F16483" s="3276" t="s">
        <v>121</v>
      </c>
      <c r="G16483" s="78"/>
    </row>
    <row r="16484" spans="1:11" ht="12.75" hidden="1" customHeight="1" outlineLevel="1" x14ac:dyDescent="0.25">
      <c r="A16484" s="3238">
        <v>1</v>
      </c>
      <c r="B16484" s="3239" t="s">
        <v>252</v>
      </c>
      <c r="C16484" s="3240">
        <v>100</v>
      </c>
      <c r="D16484" s="3240"/>
      <c r="E16484" s="3241"/>
      <c r="F16484" s="3242"/>
      <c r="G16484" s="78"/>
    </row>
    <row r="16485" spans="1:11" ht="12.75" hidden="1" customHeight="1" outlineLevel="1" x14ac:dyDescent="0.25">
      <c r="A16485" s="3243" t="s">
        <v>2734</v>
      </c>
      <c r="B16485" s="3243"/>
      <c r="C16485" s="3244"/>
      <c r="D16485" s="1900" t="s">
        <v>3702</v>
      </c>
      <c r="E16485" s="3245">
        <v>45169</v>
      </c>
      <c r="F16485" s="3246"/>
      <c r="G16485" s="78"/>
    </row>
    <row r="16486" spans="1:11" ht="12.75" hidden="1" customHeight="1" outlineLevel="1" x14ac:dyDescent="0.25">
      <c r="A16486" s="3237" t="s">
        <v>4156</v>
      </c>
      <c r="B16486" s="3237" t="s">
        <v>4153</v>
      </c>
      <c r="C16486" s="3247" t="s">
        <v>112</v>
      </c>
      <c r="D16486" s="3248" t="s">
        <v>4155</v>
      </c>
      <c r="E16486" s="3237" t="s">
        <v>4154</v>
      </c>
      <c r="F16486" s="3277" t="s">
        <v>2519</v>
      </c>
      <c r="G16486" s="78"/>
    </row>
    <row r="16487" spans="1:11" ht="12.75" hidden="1" customHeight="1" outlineLevel="1" x14ac:dyDescent="0.25">
      <c r="A16487" s="2380">
        <v>0.05</v>
      </c>
      <c r="B16487" s="2089" t="s">
        <v>3320</v>
      </c>
      <c r="C16487" s="2108">
        <v>92.201999999999998</v>
      </c>
      <c r="D16487" s="3194">
        <v>52.5</v>
      </c>
      <c r="E16487" s="3195">
        <v>-0.43059803474978853</v>
      </c>
      <c r="F16487" s="3193">
        <v>-2.1529901737489428E-2</v>
      </c>
      <c r="G16487" s="78"/>
      <c r="H16487" t="s">
        <v>4093</v>
      </c>
      <c r="K16487" s="434"/>
    </row>
    <row r="16488" spans="1:11" ht="12.75" hidden="1" customHeight="1" outlineLevel="1" x14ac:dyDescent="0.25">
      <c r="A16488" s="2380">
        <v>0.05</v>
      </c>
      <c r="B16488" s="1921" t="s">
        <v>8301</v>
      </c>
      <c r="C16488" s="2108">
        <v>5.4036</v>
      </c>
      <c r="D16488" s="3196">
        <v>3.6019999999999999</v>
      </c>
      <c r="E16488" s="3197">
        <v>-0.33340735805759125</v>
      </c>
      <c r="F16488" s="3198">
        <v>-1.6670367902879565E-2</v>
      </c>
      <c r="G16488" s="78"/>
      <c r="H16488" t="s">
        <v>8302</v>
      </c>
      <c r="K16488" s="434"/>
    </row>
    <row r="16489" spans="1:11" ht="12.75" hidden="1" customHeight="1" outlineLevel="1" x14ac:dyDescent="0.25">
      <c r="A16489" s="2380">
        <v>0.04</v>
      </c>
      <c r="B16489" s="1921" t="s">
        <v>7835</v>
      </c>
      <c r="C16489" s="2108">
        <v>94.229060617797344</v>
      </c>
      <c r="D16489" s="3196">
        <v>50.54</v>
      </c>
      <c r="E16489" s="3197">
        <v>-0.46364741759450001</v>
      </c>
      <c r="F16489" s="3198">
        <v>-1.8545896703780002E-2</v>
      </c>
      <c r="G16489" s="78"/>
      <c r="H16489" t="s">
        <v>5541</v>
      </c>
      <c r="K16489" s="434"/>
    </row>
    <row r="16490" spans="1:11" ht="12.75" hidden="1" customHeight="1" outlineLevel="1" x14ac:dyDescent="0.25">
      <c r="A16490" s="2380">
        <v>0.08</v>
      </c>
      <c r="B16490" s="1921" t="s">
        <v>3019</v>
      </c>
      <c r="C16490" s="2108">
        <v>62.179000000000002</v>
      </c>
      <c r="D16490" s="3196">
        <v>59.71</v>
      </c>
      <c r="E16490" s="3197">
        <v>-3.9707939979735984E-2</v>
      </c>
      <c r="F16490" s="3198">
        <v>-3.176635198378879E-3</v>
      </c>
      <c r="G16490" s="78"/>
      <c r="H16490" t="s">
        <v>2745</v>
      </c>
      <c r="K16490" s="434"/>
    </row>
    <row r="16491" spans="1:11" ht="12.75" hidden="1" customHeight="1" outlineLevel="1" x14ac:dyDescent="0.25">
      <c r="A16491" s="2380">
        <v>0.05</v>
      </c>
      <c r="B16491" s="1921" t="s">
        <v>951</v>
      </c>
      <c r="C16491" s="2108">
        <v>3917.2</v>
      </c>
      <c r="D16491" s="3196">
        <v>3588</v>
      </c>
      <c r="E16491" s="3197">
        <v>-8.4039620136832416E-2</v>
      </c>
      <c r="F16491" s="3198">
        <v>-4.2019810068416206E-3</v>
      </c>
      <c r="G16491" s="78"/>
      <c r="H16491" t="s">
        <v>952</v>
      </c>
      <c r="K16491" s="434"/>
    </row>
    <row r="16492" spans="1:11" ht="12.75" hidden="1" customHeight="1" outlineLevel="1" x14ac:dyDescent="0.25">
      <c r="A16492" s="2380">
        <v>0.05</v>
      </c>
      <c r="B16492" s="1921" t="s">
        <v>3405</v>
      </c>
      <c r="C16492" s="2108">
        <v>17.117999999999999</v>
      </c>
      <c r="D16492" s="3196">
        <v>17.670000000000002</v>
      </c>
      <c r="E16492" s="3197">
        <v>3.2246757798808368E-2</v>
      </c>
      <c r="F16492" s="3198">
        <v>1.6123378899404184E-3</v>
      </c>
      <c r="G16492" s="78"/>
      <c r="H16492" t="s">
        <v>2747</v>
      </c>
      <c r="K16492" s="434"/>
    </row>
    <row r="16493" spans="1:11" ht="12.75" hidden="1" customHeight="1" outlineLevel="1" x14ac:dyDescent="0.25">
      <c r="A16493" s="2380">
        <v>0.03</v>
      </c>
      <c r="B16493" s="1921" t="s">
        <v>4332</v>
      </c>
      <c r="C16493" s="2108">
        <v>1.3801000000000001</v>
      </c>
      <c r="D16493" s="3196">
        <v>1.5175000000000001</v>
      </c>
      <c r="E16493" s="3197">
        <v>9.9558003043257681E-2</v>
      </c>
      <c r="F16493" s="3198">
        <v>2.9867400912977305E-3</v>
      </c>
      <c r="G16493" s="78"/>
      <c r="H16493" t="s">
        <v>4334</v>
      </c>
      <c r="K16493" s="434"/>
    </row>
    <row r="16494" spans="1:11" ht="12.75" hidden="1" customHeight="1" outlineLevel="1" x14ac:dyDescent="0.25">
      <c r="A16494" s="2380">
        <v>0.05</v>
      </c>
      <c r="B16494" s="1921" t="s">
        <v>10665</v>
      </c>
      <c r="C16494" s="2108">
        <v>68.257999999999996</v>
      </c>
      <c r="D16494" s="3196">
        <v>83.734999999999999</v>
      </c>
      <c r="E16494" s="3197">
        <v>0.22674265287585338</v>
      </c>
      <c r="F16494" s="3198">
        <v>1.133713264379267E-2</v>
      </c>
      <c r="G16494" s="78"/>
      <c r="H16494" t="s">
        <v>10666</v>
      </c>
      <c r="K16494" s="434"/>
    </row>
    <row r="16495" spans="1:11" ht="12.75" hidden="1" customHeight="1" outlineLevel="1" x14ac:dyDescent="0.25">
      <c r="A16495" s="2380">
        <v>7.0000000000000007E-2</v>
      </c>
      <c r="B16495" s="1921" t="s">
        <v>2629</v>
      </c>
      <c r="C16495" s="2108">
        <v>13.211499999999999</v>
      </c>
      <c r="D16495" s="3196">
        <v>19.742000000000001</v>
      </c>
      <c r="E16495" s="3197">
        <v>0.49430420467017377</v>
      </c>
      <c r="F16495" s="3198">
        <v>3.4601294326912169E-2</v>
      </c>
      <c r="G16495" s="78"/>
      <c r="H16495" t="s">
        <v>1652</v>
      </c>
      <c r="K16495" s="434"/>
    </row>
    <row r="16496" spans="1:11" ht="12.75" hidden="1" customHeight="1" outlineLevel="1" x14ac:dyDescent="0.25">
      <c r="A16496" s="2380">
        <v>0.06</v>
      </c>
      <c r="B16496" s="1921" t="s">
        <v>5943</v>
      </c>
      <c r="C16496" s="2108">
        <v>10.394570997477237</v>
      </c>
      <c r="D16496" s="3196">
        <v>12.13</v>
      </c>
      <c r="E16496" s="3197">
        <v>0.16695532725150009</v>
      </c>
      <c r="F16496" s="3198">
        <v>1.0017319635090005E-2</v>
      </c>
      <c r="G16496" s="78"/>
      <c r="H16496" t="s">
        <v>5984</v>
      </c>
      <c r="K16496" s="434"/>
    </row>
    <row r="16497" spans="1:11" ht="12.75" hidden="1" customHeight="1" outlineLevel="1" x14ac:dyDescent="0.25">
      <c r="A16497" s="2380">
        <v>0.05</v>
      </c>
      <c r="B16497" s="1921" t="s">
        <v>7497</v>
      </c>
      <c r="C16497" s="2108">
        <v>3674</v>
      </c>
      <c r="D16497" s="3196">
        <v>4703</v>
      </c>
      <c r="E16497" s="3197">
        <v>0.28007621121393567</v>
      </c>
      <c r="F16497" s="3198">
        <v>1.4003810560696784E-2</v>
      </c>
      <c r="G16497" s="78"/>
      <c r="H16497" t="s">
        <v>7495</v>
      </c>
      <c r="K16497" s="434"/>
    </row>
    <row r="16498" spans="1:11" ht="12.75" hidden="1" customHeight="1" outlineLevel="1" x14ac:dyDescent="0.25">
      <c r="A16498" s="2380">
        <v>0.05</v>
      </c>
      <c r="B16498" s="1921" t="s">
        <v>3797</v>
      </c>
      <c r="C16498" s="2108">
        <v>76.016000000000005</v>
      </c>
      <c r="D16498" s="3196">
        <v>106.4</v>
      </c>
      <c r="E16498" s="3197">
        <v>0.39970532519469582</v>
      </c>
      <c r="F16498" s="3198">
        <v>1.9985266259734791E-2</v>
      </c>
      <c r="G16498" s="78"/>
      <c r="H16498" t="s">
        <v>8872</v>
      </c>
      <c r="K16498" s="434"/>
    </row>
    <row r="16499" spans="1:11" ht="12.75" hidden="1" customHeight="1" outlineLevel="1" x14ac:dyDescent="0.25">
      <c r="A16499" s="2380">
        <v>0.04</v>
      </c>
      <c r="B16499" s="1921" t="s">
        <v>459</v>
      </c>
      <c r="C16499" s="2519">
        <v>1120.55</v>
      </c>
      <c r="D16499" s="3196">
        <v>620.79999999999995</v>
      </c>
      <c r="E16499" s="3197">
        <v>-0.44598634599080811</v>
      </c>
      <c r="F16499" s="3198">
        <v>-1.7839453839632324E-2</v>
      </c>
      <c r="G16499" s="78"/>
      <c r="H16499" t="s">
        <v>639</v>
      </c>
      <c r="K16499" s="434"/>
    </row>
    <row r="16500" spans="1:11" ht="12.75" hidden="1" customHeight="1" outlineLevel="1" x14ac:dyDescent="0.25">
      <c r="A16500" s="2380">
        <v>0.08</v>
      </c>
      <c r="B16500" s="1921" t="s">
        <v>5824</v>
      </c>
      <c r="C16500" s="2108">
        <v>13.739822708939625</v>
      </c>
      <c r="D16500" s="3196">
        <v>10.358000000000001</v>
      </c>
      <c r="E16500" s="3197">
        <v>-0.24613292184179991</v>
      </c>
      <c r="F16500" s="3198">
        <v>-1.9690633747343995E-2</v>
      </c>
      <c r="G16500" s="78"/>
      <c r="H16500" t="s">
        <v>5817</v>
      </c>
      <c r="K16500" s="434"/>
    </row>
    <row r="16501" spans="1:11" ht="12.75" hidden="1" customHeight="1" outlineLevel="1" x14ac:dyDescent="0.25">
      <c r="A16501" s="2380">
        <v>0.03</v>
      </c>
      <c r="B16501" s="1921" t="s">
        <v>7524</v>
      </c>
      <c r="C16501" s="2108">
        <v>1662</v>
      </c>
      <c r="D16501" s="3196">
        <v>1679.5</v>
      </c>
      <c r="E16501" s="3197">
        <v>1.0529482551143277E-2</v>
      </c>
      <c r="F16501" s="3198">
        <v>3.158844765342983E-4</v>
      </c>
      <c r="G16501" s="78"/>
      <c r="H16501" t="s">
        <v>1556</v>
      </c>
      <c r="K16501" s="434"/>
    </row>
    <row r="16502" spans="1:11" ht="12.75" hidden="1" customHeight="1" outlineLevel="1" x14ac:dyDescent="0.25">
      <c r="A16502" s="2380">
        <v>0.03</v>
      </c>
      <c r="B16502" s="1921" t="s">
        <v>279</v>
      </c>
      <c r="C16502" s="2108">
        <v>71.457999999999998</v>
      </c>
      <c r="D16502" s="3196">
        <v>158.58000000000001</v>
      </c>
      <c r="E16502" s="3197">
        <v>1.2192056872568502</v>
      </c>
      <c r="F16502" s="3198">
        <v>3.6576170617705503E-2</v>
      </c>
      <c r="G16502" s="78"/>
      <c r="H16502" t="s">
        <v>1468</v>
      </c>
      <c r="K16502" s="434"/>
    </row>
    <row r="16503" spans="1:11" ht="12.75" hidden="1" customHeight="1" outlineLevel="1" x14ac:dyDescent="0.25">
      <c r="A16503" s="2380">
        <v>0.02</v>
      </c>
      <c r="B16503" s="1921" t="s">
        <v>1214</v>
      </c>
      <c r="C16503" s="2108">
        <v>96.595874448159847</v>
      </c>
      <c r="D16503" s="3196">
        <v>138.88</v>
      </c>
      <c r="E16503" s="3197">
        <v>0.43774256191999994</v>
      </c>
      <c r="F16503" s="3198">
        <v>8.7548512383999987E-3</v>
      </c>
      <c r="G16503" s="78"/>
      <c r="H16503" t="s">
        <v>3775</v>
      </c>
      <c r="K16503" s="434"/>
    </row>
    <row r="16504" spans="1:11" ht="12.75" hidden="1" customHeight="1" outlineLevel="1" x14ac:dyDescent="0.25">
      <c r="A16504" s="2380">
        <v>0.05</v>
      </c>
      <c r="B16504" s="1921" t="s">
        <v>577</v>
      </c>
      <c r="C16504" s="2108">
        <v>8.0823999999999998</v>
      </c>
      <c r="D16504" s="3196">
        <v>3.8239999999999998</v>
      </c>
      <c r="E16504" s="3197">
        <v>-0.52687320597842224</v>
      </c>
      <c r="F16504" s="3198">
        <v>-2.6343660298921115E-2</v>
      </c>
      <c r="G16504" s="78"/>
      <c r="H16504" t="s">
        <v>6732</v>
      </c>
      <c r="K16504" s="434"/>
    </row>
    <row r="16505" spans="1:11" ht="12.75" hidden="1" customHeight="1" outlineLevel="1" x14ac:dyDescent="0.25">
      <c r="A16505" s="2380">
        <v>7.0000000000000007E-2</v>
      </c>
      <c r="B16505" s="1921" t="s">
        <v>3551</v>
      </c>
      <c r="C16505" s="2108">
        <v>1376.26</v>
      </c>
      <c r="D16505" s="3196">
        <v>2515</v>
      </c>
      <c r="E16505" s="3197">
        <v>0.82741633121648528</v>
      </c>
      <c r="F16505" s="3198">
        <v>5.7919143185153975E-2</v>
      </c>
      <c r="G16505" s="78"/>
      <c r="H16505" t="s">
        <v>2806</v>
      </c>
      <c r="K16505" s="434"/>
    </row>
    <row r="16506" spans="1:11" ht="12.75" hidden="1" customHeight="1" outlineLevel="1" x14ac:dyDescent="0.25">
      <c r="A16506" s="2380">
        <v>0.05</v>
      </c>
      <c r="B16506" s="2109" t="s">
        <v>580</v>
      </c>
      <c r="C16506" s="2108">
        <v>124.82306860523251</v>
      </c>
      <c r="D16506" s="3199">
        <v>221.2</v>
      </c>
      <c r="E16506" s="3197">
        <v>0.77210833279199975</v>
      </c>
      <c r="F16506" s="3198">
        <v>3.8605416639599988E-2</v>
      </c>
      <c r="G16506" s="78"/>
      <c r="H16506" t="s">
        <v>3612</v>
      </c>
      <c r="K16506" s="434"/>
    </row>
    <row r="16507" spans="1:11" ht="12.75" hidden="1" customHeight="1" outlineLevel="1" x14ac:dyDescent="0.25">
      <c r="A16507" s="2181" t="s">
        <v>2734</v>
      </c>
      <c r="B16507" s="2103"/>
      <c r="C16507" s="3200"/>
      <c r="D16507" s="3201"/>
      <c r="E16507" s="3202"/>
      <c r="F16507" s="3193">
        <v>0.10879999999999999</v>
      </c>
      <c r="G16507" s="78"/>
    </row>
    <row r="16508" spans="1:11" ht="12.75" hidden="1" customHeight="1" outlineLevel="1" x14ac:dyDescent="0.25">
      <c r="A16508" s="1956" t="s">
        <v>9091</v>
      </c>
      <c r="B16508" s="2185">
        <v>44986</v>
      </c>
      <c r="C16508" s="3203">
        <v>100</v>
      </c>
      <c r="D16508" s="3203">
        <v>105.3</v>
      </c>
      <c r="E16508" s="3204">
        <v>5.2999999999999936E-2</v>
      </c>
      <c r="F16508" s="3205"/>
      <c r="G16508" s="78"/>
    </row>
    <row r="16509" spans="1:11" ht="12.75" hidden="1" customHeight="1" outlineLevel="1" x14ac:dyDescent="0.25">
      <c r="A16509" s="1956" t="s">
        <v>9092</v>
      </c>
      <c r="B16509" s="2185">
        <v>45017</v>
      </c>
      <c r="C16509" s="3203">
        <v>100</v>
      </c>
      <c r="D16509" s="3206">
        <v>106.5771</v>
      </c>
      <c r="E16509" s="3204">
        <v>6.5771000000000024E-2</v>
      </c>
      <c r="F16509" s="3205"/>
      <c r="G16509" s="78"/>
    </row>
    <row r="16510" spans="1:11" ht="12.75" hidden="1" customHeight="1" outlineLevel="1" x14ac:dyDescent="0.25">
      <c r="A16510" s="1956" t="s">
        <v>9093</v>
      </c>
      <c r="B16510" s="2185">
        <v>45047</v>
      </c>
      <c r="C16510" s="3203">
        <v>100</v>
      </c>
      <c r="D16510" s="3206">
        <v>104.4348</v>
      </c>
      <c r="E16510" s="3204">
        <v>4.4348000000000054E-2</v>
      </c>
      <c r="F16510" s="3205"/>
      <c r="G16510" s="78"/>
    </row>
    <row r="16511" spans="1:11" ht="12.75" hidden="1" customHeight="1" outlineLevel="1" x14ac:dyDescent="0.25">
      <c r="A16511" s="1956" t="s">
        <v>9094</v>
      </c>
      <c r="B16511" s="2185">
        <v>45078</v>
      </c>
      <c r="C16511" s="3203">
        <v>100</v>
      </c>
      <c r="D16511" s="3206">
        <v>111.645</v>
      </c>
      <c r="E16511" s="3204">
        <v>0.11644999999999994</v>
      </c>
      <c r="F16511" s="3205"/>
      <c r="G16511" s="78"/>
    </row>
    <row r="16512" spans="1:11" ht="12.75" hidden="1" customHeight="1" outlineLevel="1" x14ac:dyDescent="0.25">
      <c r="A16512" s="1956" t="s">
        <v>9095</v>
      </c>
      <c r="B16512" s="2185">
        <v>45108</v>
      </c>
      <c r="C16512" s="3203">
        <v>100</v>
      </c>
      <c r="D16512" s="3206">
        <v>112.3229</v>
      </c>
      <c r="E16512" s="3204">
        <v>0.12322900000000003</v>
      </c>
      <c r="F16512" s="3205"/>
      <c r="G16512" s="78"/>
    </row>
    <row r="16513" spans="1:11" ht="12.75" hidden="1" customHeight="1" outlineLevel="1" x14ac:dyDescent="0.25">
      <c r="A16513" s="1956" t="s">
        <v>9096</v>
      </c>
      <c r="B16513" s="2185">
        <v>45139</v>
      </c>
      <c r="C16513" s="3203">
        <v>100</v>
      </c>
      <c r="D16513" s="3206">
        <v>110.8753</v>
      </c>
      <c r="E16513" s="3204">
        <v>0.10875299999999988</v>
      </c>
      <c r="F16513" s="3205"/>
      <c r="G16513" s="78"/>
    </row>
    <row r="16514" spans="1:11" ht="12.75" hidden="1" customHeight="1" outlineLevel="1" x14ac:dyDescent="0.25">
      <c r="A16514" s="2189" t="s">
        <v>2734</v>
      </c>
      <c r="B16514" s="2190"/>
      <c r="C16514" s="3206"/>
      <c r="D16514" s="2191" t="s">
        <v>2465</v>
      </c>
      <c r="E16514" s="1987">
        <v>8.5258499999999973E-2</v>
      </c>
      <c r="F16514" s="2192">
        <v>8.5258499999999973E-2</v>
      </c>
      <c r="G16514" s="78"/>
    </row>
    <row r="16515" spans="1:11" collapsed="1" x14ac:dyDescent="0.25">
      <c r="A16515" s="3801" t="s">
        <v>9005</v>
      </c>
      <c r="B16515" s="3802"/>
      <c r="C16515" s="3802"/>
      <c r="D16515" s="3802"/>
      <c r="E16515" s="1906"/>
      <c r="F16515" s="1907">
        <v>8.5258499999999973E-2</v>
      </c>
      <c r="G16515" s="78"/>
    </row>
    <row r="16517" spans="1:11" ht="12.75" hidden="1" customHeight="1" outlineLevel="1" x14ac:dyDescent="0.25">
      <c r="A16517" s="3237" t="s">
        <v>113</v>
      </c>
      <c r="B16517" s="3237" t="s">
        <v>114</v>
      </c>
      <c r="C16517" s="3237" t="s">
        <v>112</v>
      </c>
      <c r="D16517" s="3237" t="s">
        <v>116</v>
      </c>
      <c r="E16517" s="3237" t="s">
        <v>117</v>
      </c>
      <c r="F16517" s="3276" t="s">
        <v>121</v>
      </c>
      <c r="G16517" s="78"/>
    </row>
    <row r="16518" spans="1:11" ht="12.75" hidden="1" customHeight="1" outlineLevel="1" x14ac:dyDescent="0.25">
      <c r="A16518" s="3238">
        <v>1</v>
      </c>
      <c r="B16518" s="3239" t="s">
        <v>252</v>
      </c>
      <c r="C16518" s="3240">
        <v>100</v>
      </c>
      <c r="D16518" s="3240"/>
      <c r="E16518" s="3241"/>
      <c r="F16518" s="3242"/>
      <c r="G16518" s="78"/>
    </row>
    <row r="16519" spans="1:11" ht="12.75" hidden="1" customHeight="1" outlineLevel="1" x14ac:dyDescent="0.25">
      <c r="A16519" s="3243" t="s">
        <v>2734</v>
      </c>
      <c r="B16519" s="3243"/>
      <c r="C16519" s="3244"/>
      <c r="D16519" s="1900" t="s">
        <v>3702</v>
      </c>
      <c r="E16519" s="3245">
        <v>45260</v>
      </c>
      <c r="F16519" s="3246"/>
      <c r="G16519" s="78"/>
    </row>
    <row r="16520" spans="1:11" ht="12.75" hidden="1" customHeight="1" outlineLevel="1" x14ac:dyDescent="0.25">
      <c r="A16520" s="3237" t="s">
        <v>4156</v>
      </c>
      <c r="B16520" s="3237" t="s">
        <v>4153</v>
      </c>
      <c r="C16520" s="3247" t="s">
        <v>112</v>
      </c>
      <c r="D16520" s="3248" t="s">
        <v>4155</v>
      </c>
      <c r="E16520" s="3248" t="s">
        <v>4154</v>
      </c>
      <c r="F16520" s="3277" t="s">
        <v>2519</v>
      </c>
      <c r="G16520" s="78"/>
    </row>
    <row r="16521" spans="1:11" ht="12.75" hidden="1" customHeight="1" outlineLevel="1" x14ac:dyDescent="0.25">
      <c r="A16521" s="1991">
        <v>0.04</v>
      </c>
      <c r="B16521" s="1921" t="s">
        <v>2697</v>
      </c>
      <c r="C16521" s="2108">
        <v>15.579000000000001</v>
      </c>
      <c r="D16521" s="2862">
        <v>19.004999999999999</v>
      </c>
      <c r="E16521" s="2890">
        <v>0.21991141921817814</v>
      </c>
      <c r="F16521" s="3193">
        <v>8.7964567687271265E-3</v>
      </c>
      <c r="G16521" s="78"/>
      <c r="H16521" t="s">
        <v>329</v>
      </c>
      <c r="K16521" s="434"/>
    </row>
    <row r="16522" spans="1:11" ht="12.75" hidden="1" customHeight="1" outlineLevel="1" x14ac:dyDescent="0.25">
      <c r="A16522" s="2380">
        <v>0.02</v>
      </c>
      <c r="B16522" s="1921" t="s">
        <v>218</v>
      </c>
      <c r="C16522" s="2108">
        <v>22.167999999999999</v>
      </c>
      <c r="D16522" s="2865">
        <v>28.594999999999999</v>
      </c>
      <c r="E16522" s="2892">
        <v>0.28992241068206415</v>
      </c>
      <c r="F16522" s="3198">
        <v>5.7984482136412829E-3</v>
      </c>
      <c r="G16522" s="78"/>
      <c r="H16522" t="s">
        <v>656</v>
      </c>
      <c r="K16522" s="434"/>
    </row>
    <row r="16523" spans="1:11" ht="12.75" hidden="1" customHeight="1" outlineLevel="1" x14ac:dyDescent="0.25">
      <c r="A16523" s="2380">
        <v>0.02</v>
      </c>
      <c r="B16523" s="1921" t="s">
        <v>807</v>
      </c>
      <c r="C16523" s="2108">
        <v>55.847999999999999</v>
      </c>
      <c r="D16523" s="2865">
        <v>53.43</v>
      </c>
      <c r="E16523" s="2892">
        <v>-4.3296089385474801E-2</v>
      </c>
      <c r="F16523" s="3198">
        <v>-8.6592178770949601E-4</v>
      </c>
      <c r="G16523" s="78"/>
      <c r="H16523" t="s">
        <v>808</v>
      </c>
      <c r="K16523" s="434"/>
    </row>
    <row r="16524" spans="1:11" ht="12.75" hidden="1" customHeight="1" outlineLevel="1" x14ac:dyDescent="0.25">
      <c r="A16524" s="2380">
        <v>0.02</v>
      </c>
      <c r="B16524" s="1921" t="s">
        <v>1188</v>
      </c>
      <c r="C16524" s="2108">
        <v>4.6687000000000003</v>
      </c>
      <c r="D16524" s="2865">
        <v>4.7910000000000004</v>
      </c>
      <c r="E16524" s="2892">
        <v>2.6195729003791302E-2</v>
      </c>
      <c r="F16524" s="3198">
        <v>5.2391458007582602E-4</v>
      </c>
      <c r="G16524" s="78"/>
      <c r="H16524" t="s">
        <v>2746</v>
      </c>
      <c r="K16524" s="434"/>
    </row>
    <row r="16525" spans="1:11" ht="12.75" hidden="1" customHeight="1" outlineLevel="1" x14ac:dyDescent="0.25">
      <c r="A16525" s="2380">
        <v>0.02</v>
      </c>
      <c r="B16525" s="1921" t="s">
        <v>8918</v>
      </c>
      <c r="C16525" s="2108">
        <v>2.2328999999999999</v>
      </c>
      <c r="D16525" s="2865">
        <v>1.2290000000000001</v>
      </c>
      <c r="E16525" s="2892">
        <v>-0.44959469747861514</v>
      </c>
      <c r="F16525" s="3198">
        <v>-8.9918939495723035E-3</v>
      </c>
      <c r="G16525" s="78"/>
      <c r="H16525" t="s">
        <v>8921</v>
      </c>
      <c r="K16525" s="434"/>
    </row>
    <row r="16526" spans="1:11" ht="12.75" hidden="1" customHeight="1" outlineLevel="1" x14ac:dyDescent="0.25">
      <c r="A16526" s="2380">
        <v>0.02</v>
      </c>
      <c r="B16526" s="1921" t="s">
        <v>8678</v>
      </c>
      <c r="C16526" s="2108">
        <v>75.028000000000006</v>
      </c>
      <c r="D16526" s="2865">
        <v>104.66</v>
      </c>
      <c r="E16526" s="2892">
        <v>0.3949458868689022</v>
      </c>
      <c r="F16526" s="3198">
        <v>7.8989177373780441E-3</v>
      </c>
      <c r="G16526" s="78"/>
      <c r="H16526" t="s">
        <v>8682</v>
      </c>
      <c r="K16526" s="434"/>
    </row>
    <row r="16527" spans="1:11" ht="12.75" hidden="1" customHeight="1" outlineLevel="1" x14ac:dyDescent="0.25">
      <c r="A16527" s="2380">
        <v>0.02</v>
      </c>
      <c r="B16527" s="1921" t="s">
        <v>10672</v>
      </c>
      <c r="C16527" s="2108">
        <v>56.375456390325986</v>
      </c>
      <c r="D16527" s="2865">
        <v>59.58</v>
      </c>
      <c r="E16527" s="2892">
        <v>5.6842885447999869E-2</v>
      </c>
      <c r="F16527" s="3198">
        <v>1.1368577089599975E-3</v>
      </c>
      <c r="G16527" s="78"/>
      <c r="H16527" t="s">
        <v>10674</v>
      </c>
      <c r="K16527" s="434"/>
    </row>
    <row r="16528" spans="1:11" ht="12.75" hidden="1" customHeight="1" outlineLevel="1" x14ac:dyDescent="0.25">
      <c r="A16528" s="2380">
        <v>0.02</v>
      </c>
      <c r="B16528" s="1921" t="s">
        <v>2629</v>
      </c>
      <c r="C16528" s="2108">
        <v>13.105</v>
      </c>
      <c r="D16528" s="2865">
        <v>21.975000000000001</v>
      </c>
      <c r="E16528" s="2892">
        <v>0.67684090041968714</v>
      </c>
      <c r="F16528" s="3198">
        <v>1.3536818008393743E-2</v>
      </c>
      <c r="G16528" s="78"/>
      <c r="H16528" t="s">
        <v>1652</v>
      </c>
      <c r="K16528" s="434"/>
    </row>
    <row r="16529" spans="1:11" ht="12.75" hidden="1" customHeight="1" outlineLevel="1" x14ac:dyDescent="0.25">
      <c r="A16529" s="2380">
        <v>0.02</v>
      </c>
      <c r="B16529" s="1921" t="s">
        <v>6821</v>
      </c>
      <c r="C16529" s="2108">
        <v>3.5961737472998325</v>
      </c>
      <c r="D16529" s="2865">
        <v>1.885</v>
      </c>
      <c r="E16529" s="2892">
        <v>-0.4758317777567499</v>
      </c>
      <c r="F16529" s="3198">
        <v>-9.5166355551349977E-3</v>
      </c>
      <c r="G16529" s="78"/>
      <c r="H16529" t="s">
        <v>6822</v>
      </c>
      <c r="K16529" s="434"/>
    </row>
    <row r="16530" spans="1:11" ht="12.75" hidden="1" customHeight="1" outlineLevel="1" x14ac:dyDescent="0.25">
      <c r="A16530" s="2380">
        <v>0.08</v>
      </c>
      <c r="B16530" s="1921" t="s">
        <v>6267</v>
      </c>
      <c r="C16530" s="2108">
        <v>21.350999999999999</v>
      </c>
      <c r="D16530" s="2865">
        <v>16.8</v>
      </c>
      <c r="E16530" s="2892">
        <v>-0.21315160882394257</v>
      </c>
      <c r="F16530" s="3198">
        <v>-1.7052128705915406E-2</v>
      </c>
      <c r="G16530" s="78"/>
      <c r="H16530" t="s">
        <v>6268</v>
      </c>
      <c r="K16530" s="434"/>
    </row>
    <row r="16531" spans="1:11" ht="12.75" hidden="1" customHeight="1" outlineLevel="1" x14ac:dyDescent="0.25">
      <c r="A16531" s="2380">
        <v>0.05</v>
      </c>
      <c r="B16531" s="1921" t="s">
        <v>4268</v>
      </c>
      <c r="C16531" s="2108">
        <v>18.081</v>
      </c>
      <c r="D16531" s="2865">
        <v>12.885</v>
      </c>
      <c r="E16531" s="2892">
        <v>-0.28737348597975776</v>
      </c>
      <c r="F16531" s="3198">
        <v>-1.4368674298987888E-2</v>
      </c>
      <c r="G16531" s="78"/>
      <c r="H16531" t="s">
        <v>8442</v>
      </c>
      <c r="K16531" s="434"/>
    </row>
    <row r="16532" spans="1:11" ht="12.75" hidden="1" customHeight="1" outlineLevel="1" x14ac:dyDescent="0.25">
      <c r="A16532" s="2380">
        <v>0.02</v>
      </c>
      <c r="B16532" s="1921" t="s">
        <v>8208</v>
      </c>
      <c r="C16532" s="2108">
        <v>3.8349892300703146</v>
      </c>
      <c r="D16532" s="2865">
        <v>1.5309999999999999</v>
      </c>
      <c r="E16532" s="2892">
        <v>-0.60078114744224997</v>
      </c>
      <c r="F16532" s="3198">
        <v>-1.2015622948844999E-2</v>
      </c>
      <c r="G16532" s="78"/>
      <c r="H16532" t="s">
        <v>8209</v>
      </c>
      <c r="K16532" s="434"/>
    </row>
    <row r="16533" spans="1:11" ht="12.75" hidden="1" customHeight="1" outlineLevel="1" x14ac:dyDescent="0.25">
      <c r="A16533" s="2380">
        <v>0.04</v>
      </c>
      <c r="B16533" s="1921" t="s">
        <v>6902</v>
      </c>
      <c r="C16533" s="2519">
        <v>2.5954999999999999</v>
      </c>
      <c r="D16533" s="2865">
        <v>2.2930000000000001</v>
      </c>
      <c r="E16533" s="2892">
        <v>-0.11654787131573874</v>
      </c>
      <c r="F16533" s="3198">
        <v>-4.6619148526295499E-3</v>
      </c>
      <c r="G16533" s="78"/>
      <c r="H16533" t="s">
        <v>6899</v>
      </c>
      <c r="K16533" s="434"/>
    </row>
    <row r="16534" spans="1:11" ht="12.75" hidden="1" customHeight="1" outlineLevel="1" x14ac:dyDescent="0.25">
      <c r="A16534" s="2380">
        <v>0.02</v>
      </c>
      <c r="B16534" s="1921" t="s">
        <v>8261</v>
      </c>
      <c r="C16534" s="2108">
        <v>149.72630107027504</v>
      </c>
      <c r="D16534" s="2865">
        <v>192.3</v>
      </c>
      <c r="E16534" s="2892">
        <v>0.28434348959000011</v>
      </c>
      <c r="F16534" s="3198">
        <v>5.6868697918000021E-3</v>
      </c>
      <c r="G16534" s="78"/>
      <c r="H16534" t="s">
        <v>9620</v>
      </c>
      <c r="K16534" s="434"/>
    </row>
    <row r="16535" spans="1:11" ht="12.75" hidden="1" customHeight="1" outlineLevel="1" x14ac:dyDescent="0.25">
      <c r="A16535" s="2380">
        <v>0.02</v>
      </c>
      <c r="B16535" s="1921" t="s">
        <v>5196</v>
      </c>
      <c r="C16535" s="2108">
        <v>46.216119780036877</v>
      </c>
      <c r="D16535" s="2865">
        <v>79.3</v>
      </c>
      <c r="E16535" s="2892">
        <v>0.71585153356499975</v>
      </c>
      <c r="F16535" s="3198">
        <v>1.4317030671299996E-2</v>
      </c>
      <c r="G16535" s="78"/>
      <c r="H16535" t="s">
        <v>5197</v>
      </c>
      <c r="K16535" s="434"/>
    </row>
    <row r="16536" spans="1:11" ht="12.75" hidden="1" customHeight="1" outlineLevel="1" x14ac:dyDescent="0.25">
      <c r="A16536" s="2380">
        <v>0.03</v>
      </c>
      <c r="B16536" s="1921" t="s">
        <v>8527</v>
      </c>
      <c r="C16536" s="2108">
        <v>35.752000000000002</v>
      </c>
      <c r="D16536" s="2865">
        <v>34.89</v>
      </c>
      <c r="E16536" s="2892">
        <v>-2.4110539270530418E-2</v>
      </c>
      <c r="F16536" s="3198">
        <v>-7.2331617811591253E-4</v>
      </c>
      <c r="G16536" s="78"/>
      <c r="H16536" t="s">
        <v>8516</v>
      </c>
      <c r="K16536" s="434"/>
    </row>
    <row r="16537" spans="1:11" ht="12.75" hidden="1" customHeight="1" outlineLevel="1" x14ac:dyDescent="0.25">
      <c r="A16537" s="2380">
        <v>0.02</v>
      </c>
      <c r="B16537" s="1921" t="s">
        <v>1203</v>
      </c>
      <c r="C16537" s="2108">
        <v>90.396000000000001</v>
      </c>
      <c r="D16537" s="2865">
        <v>117.26</v>
      </c>
      <c r="E16537" s="2892">
        <v>0.29718129120757553</v>
      </c>
      <c r="F16537" s="3198">
        <v>5.943625824151511E-3</v>
      </c>
      <c r="G16537" s="78"/>
      <c r="H16537" t="s">
        <v>79</v>
      </c>
      <c r="K16537" s="434"/>
    </row>
    <row r="16538" spans="1:11" ht="12.75" hidden="1" customHeight="1" outlineLevel="1" x14ac:dyDescent="0.25">
      <c r="A16538" s="2380">
        <v>0.06</v>
      </c>
      <c r="B16538" s="1921" t="s">
        <v>7433</v>
      </c>
      <c r="C16538" s="2108">
        <v>27.265000000000001</v>
      </c>
      <c r="D16538" s="2865">
        <v>5.7779999999999996</v>
      </c>
      <c r="E16538" s="2892">
        <v>-0.78807995598752978</v>
      </c>
      <c r="F16538" s="3198">
        <v>-4.7284797359251785E-2</v>
      </c>
      <c r="G16538" s="78"/>
      <c r="H16538" t="s">
        <v>7431</v>
      </c>
      <c r="K16538" s="434"/>
    </row>
    <row r="16539" spans="1:11" ht="12.75" hidden="1" customHeight="1" outlineLevel="1" x14ac:dyDescent="0.25">
      <c r="A16539" s="2380">
        <v>0.04</v>
      </c>
      <c r="B16539" s="1921" t="s">
        <v>6270</v>
      </c>
      <c r="C16539" s="2108">
        <v>42.115942297886647</v>
      </c>
      <c r="D16539" s="2865">
        <v>40.15</v>
      </c>
      <c r="E16539" s="2892">
        <v>-4.6679290326250178E-2</v>
      </c>
      <c r="F16539" s="3198">
        <v>-1.8671716130500072E-3</v>
      </c>
      <c r="G16539" s="78"/>
      <c r="H16539" t="s">
        <v>8166</v>
      </c>
      <c r="K16539" s="434"/>
    </row>
    <row r="16540" spans="1:11" ht="12.75" hidden="1" customHeight="1" outlineLevel="1" x14ac:dyDescent="0.25">
      <c r="A16540" s="2380">
        <v>0.02</v>
      </c>
      <c r="B16540" s="1921" t="s">
        <v>6524</v>
      </c>
      <c r="C16540" s="2108">
        <v>94.937503211261046</v>
      </c>
      <c r="D16540" s="2865">
        <v>127</v>
      </c>
      <c r="E16540" s="2892">
        <v>0.33772214039999993</v>
      </c>
      <c r="F16540" s="3198">
        <v>6.7544428079999988E-3</v>
      </c>
      <c r="G16540" s="78"/>
      <c r="H16540" t="s">
        <v>6525</v>
      </c>
      <c r="K16540" s="434"/>
    </row>
    <row r="16541" spans="1:11" ht="12.75" hidden="1" customHeight="1" outlineLevel="1" x14ac:dyDescent="0.25">
      <c r="A16541" s="2380">
        <v>0.05</v>
      </c>
      <c r="B16541" s="1921" t="s">
        <v>6116</v>
      </c>
      <c r="C16541" s="2108">
        <v>3.6677</v>
      </c>
      <c r="D16541" s="2865">
        <v>4.6230000000000002</v>
      </c>
      <c r="E16541" s="2892">
        <v>0.26046296043842188</v>
      </c>
      <c r="F16541" s="3198">
        <v>1.3023148021921095E-2</v>
      </c>
      <c r="G16541" s="78"/>
      <c r="H16541" t="s">
        <v>6114</v>
      </c>
      <c r="K16541" s="434"/>
    </row>
    <row r="16542" spans="1:11" ht="12.75" hidden="1" customHeight="1" outlineLevel="1" x14ac:dyDescent="0.25">
      <c r="A16542" s="2380">
        <v>0.03</v>
      </c>
      <c r="B16542" s="1921" t="s">
        <v>1857</v>
      </c>
      <c r="C16542" s="2108">
        <v>12.243</v>
      </c>
      <c r="D16542" s="2865">
        <v>18.324999999999999</v>
      </c>
      <c r="E16542" s="2892">
        <v>0.49677366658498734</v>
      </c>
      <c r="F16542" s="3198">
        <v>1.490320999754962E-2</v>
      </c>
      <c r="G16542" s="78"/>
      <c r="H16542" t="s">
        <v>3559</v>
      </c>
      <c r="K16542" s="434"/>
    </row>
    <row r="16543" spans="1:11" ht="12.75" hidden="1" customHeight="1" outlineLevel="1" x14ac:dyDescent="0.25">
      <c r="A16543" s="2380">
        <v>0.06</v>
      </c>
      <c r="B16543" s="1921" t="s">
        <v>6118</v>
      </c>
      <c r="C16543" s="2108">
        <v>95.308000000000007</v>
      </c>
      <c r="D16543" s="2865">
        <v>103.25</v>
      </c>
      <c r="E16543" s="2892">
        <v>8.3329835900449067E-2</v>
      </c>
      <c r="F16543" s="3198">
        <v>4.9997901540269436E-3</v>
      </c>
      <c r="G16543" s="78"/>
      <c r="H16543" t="s">
        <v>8893</v>
      </c>
      <c r="K16543" s="434"/>
    </row>
    <row r="16544" spans="1:11" ht="12.75" hidden="1" customHeight="1" outlineLevel="1" x14ac:dyDescent="0.25">
      <c r="A16544" s="2380">
        <v>0.02</v>
      </c>
      <c r="B16544" s="1921" t="s">
        <v>3383</v>
      </c>
      <c r="C16544" s="2108">
        <v>171.25842031626993</v>
      </c>
      <c r="D16544" s="2865">
        <v>116.3</v>
      </c>
      <c r="E16544" s="2892">
        <v>-0.32090930311499999</v>
      </c>
      <c r="F16544" s="3198">
        <v>-6.4181860622999996E-3</v>
      </c>
      <c r="G16544" s="78"/>
      <c r="H16544" t="s">
        <v>3789</v>
      </c>
      <c r="K16544" s="434"/>
    </row>
    <row r="16545" spans="1:11" ht="12.75" hidden="1" customHeight="1" outlineLevel="1" x14ac:dyDescent="0.25">
      <c r="A16545" s="2380">
        <v>7.0000000000000007E-2</v>
      </c>
      <c r="B16545" s="1921" t="s">
        <v>434</v>
      </c>
      <c r="C16545" s="2108">
        <v>39.119</v>
      </c>
      <c r="D16545" s="2865">
        <v>24.9</v>
      </c>
      <c r="E16545" s="2892">
        <v>-0.36348066157110359</v>
      </c>
      <c r="F16545" s="3198">
        <v>-2.5443646309977253E-2</v>
      </c>
      <c r="G16545" s="78"/>
      <c r="H16545" t="s">
        <v>7745</v>
      </c>
      <c r="K16545" s="434"/>
    </row>
    <row r="16546" spans="1:11" ht="12.75" hidden="1" customHeight="1" outlineLevel="1" x14ac:dyDescent="0.25">
      <c r="A16546" s="2380">
        <v>0.02</v>
      </c>
      <c r="B16546" s="1921" t="s">
        <v>5249</v>
      </c>
      <c r="C16546" s="2108">
        <v>3.0804718605987551</v>
      </c>
      <c r="D16546" s="2865">
        <v>3.82</v>
      </c>
      <c r="E16546" s="2892">
        <v>0.24006975972099998</v>
      </c>
      <c r="F16546" s="3198">
        <v>4.80139519442E-3</v>
      </c>
      <c r="G16546" s="78"/>
      <c r="H16546" t="s">
        <v>5247</v>
      </c>
      <c r="K16546" s="434"/>
    </row>
    <row r="16547" spans="1:11" ht="12.75" hidden="1" customHeight="1" outlineLevel="1" x14ac:dyDescent="0.25">
      <c r="A16547" s="2380">
        <v>0.04</v>
      </c>
      <c r="B16547" s="1921" t="s">
        <v>10633</v>
      </c>
      <c r="C16547" s="2108">
        <v>46.5535</v>
      </c>
      <c r="D16547" s="2865">
        <v>62.26</v>
      </c>
      <c r="E16547" s="2892">
        <v>0.33738601823708203</v>
      </c>
      <c r="F16547" s="3198">
        <v>1.3495440729483282E-2</v>
      </c>
      <c r="G16547" s="78"/>
      <c r="H16547" t="s">
        <v>10634</v>
      </c>
      <c r="K16547" s="434"/>
    </row>
    <row r="16548" spans="1:11" ht="12.75" hidden="1" customHeight="1" outlineLevel="1" x14ac:dyDescent="0.25">
      <c r="A16548" s="2380">
        <v>0.02</v>
      </c>
      <c r="B16548" s="1921" t="s">
        <v>255</v>
      </c>
      <c r="C16548" s="2108">
        <v>47.747</v>
      </c>
      <c r="D16548" s="2865">
        <v>38.33</v>
      </c>
      <c r="E16548" s="2892">
        <v>-0.19722705091419357</v>
      </c>
      <c r="F16548" s="3198">
        <v>-3.9445410182838711E-3</v>
      </c>
      <c r="G16548" s="78"/>
      <c r="H16548" t="s">
        <v>3351</v>
      </c>
      <c r="K16548" s="434"/>
    </row>
    <row r="16549" spans="1:11" ht="12.75" hidden="1" customHeight="1" outlineLevel="1" x14ac:dyDescent="0.25">
      <c r="A16549" s="2380">
        <v>0.02</v>
      </c>
      <c r="B16549" s="1921" t="s">
        <v>5626</v>
      </c>
      <c r="C16549" s="2108">
        <v>29.541</v>
      </c>
      <c r="D16549" s="2865">
        <v>21.37</v>
      </c>
      <c r="E16549" s="2892">
        <v>-0.27659862563894244</v>
      </c>
      <c r="F16549" s="3198">
        <v>-5.5319725127788493E-3</v>
      </c>
      <c r="G16549" s="78"/>
      <c r="H16549" t="s">
        <v>5624</v>
      </c>
      <c r="K16549" s="434"/>
    </row>
    <row r="16550" spans="1:11" ht="12.75" hidden="1" customHeight="1" outlineLevel="1" x14ac:dyDescent="0.25">
      <c r="A16550" s="2380">
        <v>7.0000000000000007E-2</v>
      </c>
      <c r="B16550" s="2109" t="s">
        <v>4550</v>
      </c>
      <c r="C16550" s="2108">
        <v>309.57</v>
      </c>
      <c r="D16550" s="2868">
        <v>437.9</v>
      </c>
      <c r="E16550" s="2897">
        <v>0.41454275285072839</v>
      </c>
      <c r="F16550" s="2989">
        <v>2.9017992699550989E-2</v>
      </c>
      <c r="G16550" s="78"/>
      <c r="H16550" t="s">
        <v>8889</v>
      </c>
      <c r="K16550" s="434"/>
    </row>
    <row r="16551" spans="1:11" ht="12.75" hidden="1" customHeight="1" outlineLevel="1" x14ac:dyDescent="0.25">
      <c r="A16551" s="2181" t="s">
        <v>2734</v>
      </c>
      <c r="B16551" s="2103"/>
      <c r="C16551" s="3200"/>
      <c r="D16551" s="3201"/>
      <c r="E16551" s="3025"/>
      <c r="F16551" s="3198">
        <v>-3.0999999999999999E-3</v>
      </c>
      <c r="G16551" s="78"/>
    </row>
    <row r="16552" spans="1:11" ht="12.75" hidden="1" customHeight="1" outlineLevel="1" x14ac:dyDescent="0.25">
      <c r="A16552" s="1956" t="s">
        <v>9141</v>
      </c>
      <c r="B16552" s="2185">
        <v>44713</v>
      </c>
      <c r="C16552" s="3203">
        <v>100</v>
      </c>
      <c r="D16552" s="3203">
        <v>98.953999999999994</v>
      </c>
      <c r="E16552" s="3204">
        <v>-1.0460000000000025E-2</v>
      </c>
      <c r="F16552" s="3205"/>
      <c r="G16552" s="78"/>
    </row>
    <row r="16553" spans="1:11" ht="12.75" hidden="1" customHeight="1" outlineLevel="1" x14ac:dyDescent="0.25">
      <c r="A16553" s="1956" t="s">
        <v>9142</v>
      </c>
      <c r="B16553" s="2185">
        <v>44743</v>
      </c>
      <c r="C16553" s="3203">
        <v>100</v>
      </c>
      <c r="D16553" s="3206">
        <v>98.004499999999993</v>
      </c>
      <c r="E16553" s="3204">
        <v>-1.9955000000000056E-2</v>
      </c>
      <c r="F16553" s="3205"/>
      <c r="G16553" s="78"/>
    </row>
    <row r="16554" spans="1:11" ht="12.75" hidden="1" customHeight="1" outlineLevel="1" x14ac:dyDescent="0.25">
      <c r="A16554" s="1956" t="s">
        <v>9143</v>
      </c>
      <c r="B16554" s="2185">
        <v>44774</v>
      </c>
      <c r="C16554" s="3203">
        <v>100</v>
      </c>
      <c r="D16554" s="3206">
        <v>96.410600000000002</v>
      </c>
      <c r="E16554" s="3204">
        <v>-3.5893999999999981E-2</v>
      </c>
      <c r="F16554" s="3205"/>
      <c r="G16554" s="78"/>
    </row>
    <row r="16555" spans="1:11" ht="12.75" hidden="1" customHeight="1" outlineLevel="1" x14ac:dyDescent="0.25">
      <c r="A16555" s="1956" t="s">
        <v>9144</v>
      </c>
      <c r="B16555" s="2185">
        <v>44805</v>
      </c>
      <c r="C16555" s="3203">
        <v>100</v>
      </c>
      <c r="D16555" s="3206">
        <v>89.034300000000002</v>
      </c>
      <c r="E16555" s="3204">
        <v>-0.109657</v>
      </c>
      <c r="F16555" s="3205"/>
      <c r="G16555" s="78"/>
    </row>
    <row r="16556" spans="1:11" ht="12.75" hidden="1" customHeight="1" outlineLevel="1" x14ac:dyDescent="0.25">
      <c r="A16556" s="1956" t="s">
        <v>9145</v>
      </c>
      <c r="B16556" s="2185">
        <v>44835</v>
      </c>
      <c r="C16556" s="3203">
        <v>100</v>
      </c>
      <c r="D16556" s="3206">
        <v>94.377799999999993</v>
      </c>
      <c r="E16556" s="3204">
        <v>-5.6222000000000105E-2</v>
      </c>
      <c r="F16556" s="3205"/>
      <c r="G16556" s="78"/>
    </row>
    <row r="16557" spans="1:11" ht="12.75" hidden="1" customHeight="1" outlineLevel="1" x14ac:dyDescent="0.25">
      <c r="A16557" s="1956" t="s">
        <v>9146</v>
      </c>
      <c r="B16557" s="2185">
        <v>44866</v>
      </c>
      <c r="C16557" s="3203">
        <v>100</v>
      </c>
      <c r="D16557" s="3206">
        <v>99.847399999999993</v>
      </c>
      <c r="E16557" s="3204">
        <v>-1.5260000000000273E-3</v>
      </c>
      <c r="F16557" s="3205"/>
      <c r="G16557" s="78"/>
    </row>
    <row r="16558" spans="1:11" ht="12.75" hidden="1" customHeight="1" outlineLevel="1" x14ac:dyDescent="0.25">
      <c r="A16558" s="1956" t="s">
        <v>9147</v>
      </c>
      <c r="B16558" s="2185">
        <v>44896</v>
      </c>
      <c r="C16558" s="3203">
        <v>100</v>
      </c>
      <c r="D16558" s="3206">
        <v>97.3583</v>
      </c>
      <c r="E16558" s="3204">
        <v>-2.6417000000000024E-2</v>
      </c>
      <c r="F16558" s="3205"/>
      <c r="G16558" s="78"/>
    </row>
    <row r="16559" spans="1:11" ht="12.75" hidden="1" customHeight="1" outlineLevel="1" x14ac:dyDescent="0.25">
      <c r="A16559" s="1956" t="s">
        <v>9148</v>
      </c>
      <c r="B16559" s="2185">
        <v>44927</v>
      </c>
      <c r="C16559" s="3203">
        <v>100</v>
      </c>
      <c r="D16559" s="3206">
        <v>101.36199999999999</v>
      </c>
      <c r="E16559" s="3204">
        <v>1.3619999999999965E-2</v>
      </c>
      <c r="F16559" s="3205"/>
      <c r="G16559" s="78"/>
    </row>
    <row r="16560" spans="1:11" ht="12.75" hidden="1" customHeight="1" outlineLevel="1" x14ac:dyDescent="0.25">
      <c r="A16560" s="1956" t="s">
        <v>9149</v>
      </c>
      <c r="B16560" s="2185">
        <v>44958</v>
      </c>
      <c r="C16560" s="3203">
        <v>100</v>
      </c>
      <c r="D16560" s="3206">
        <v>102.61060000000001</v>
      </c>
      <c r="E16560" s="3204">
        <v>2.6105999999999963E-2</v>
      </c>
      <c r="F16560" s="3205"/>
      <c r="G16560" s="78"/>
    </row>
    <row r="16561" spans="1:7" ht="12.75" hidden="1" customHeight="1" outlineLevel="1" x14ac:dyDescent="0.25">
      <c r="A16561" s="1956" t="s">
        <v>9150</v>
      </c>
      <c r="B16561" s="2185">
        <v>44986</v>
      </c>
      <c r="C16561" s="3203">
        <v>100</v>
      </c>
      <c r="D16561" s="3206">
        <v>100.0946</v>
      </c>
      <c r="E16561" s="3204">
        <v>9.4599999999989137E-4</v>
      </c>
      <c r="F16561" s="3205"/>
      <c r="G16561" s="78"/>
    </row>
    <row r="16562" spans="1:7" ht="12.75" hidden="1" customHeight="1" outlineLevel="1" x14ac:dyDescent="0.25">
      <c r="A16562" s="1956" t="s">
        <v>9151</v>
      </c>
      <c r="B16562" s="2185">
        <v>45017</v>
      </c>
      <c r="C16562" s="3203">
        <v>100</v>
      </c>
      <c r="D16562" s="3206">
        <v>101.98699999999999</v>
      </c>
      <c r="E16562" s="3204">
        <v>1.9870000000000054E-2</v>
      </c>
      <c r="F16562" s="3205"/>
      <c r="G16562" s="78"/>
    </row>
    <row r="16563" spans="1:7" ht="12.75" hidden="1" customHeight="1" outlineLevel="1" x14ac:dyDescent="0.25">
      <c r="A16563" s="1956" t="s">
        <v>9152</v>
      </c>
      <c r="B16563" s="2185">
        <v>45047</v>
      </c>
      <c r="C16563" s="3203">
        <v>100</v>
      </c>
      <c r="D16563" s="3206">
        <v>97.492400000000004</v>
      </c>
      <c r="E16563" s="3204">
        <v>-2.5075999999999987E-2</v>
      </c>
      <c r="F16563" s="3205"/>
      <c r="G16563" s="78"/>
    </row>
    <row r="16564" spans="1:7" ht="12.75" hidden="1" customHeight="1" outlineLevel="1" x14ac:dyDescent="0.25">
      <c r="A16564" s="1956" t="s">
        <v>9153</v>
      </c>
      <c r="B16564" s="2185">
        <v>45078</v>
      </c>
      <c r="C16564" s="3203">
        <v>100</v>
      </c>
      <c r="D16564" s="3206">
        <v>97.2453</v>
      </c>
      <c r="E16564" s="3204">
        <v>-2.7546999999999988E-2</v>
      </c>
      <c r="F16564" s="3205"/>
      <c r="G16564" s="78"/>
    </row>
    <row r="16565" spans="1:7" ht="12.75" hidden="1" customHeight="1" outlineLevel="1" x14ac:dyDescent="0.25">
      <c r="A16565" s="1956" t="s">
        <v>9154</v>
      </c>
      <c r="B16565" s="2185">
        <v>45108</v>
      </c>
      <c r="C16565" s="3203">
        <v>100</v>
      </c>
      <c r="D16565" s="3206">
        <v>97.145099999999999</v>
      </c>
      <c r="E16565" s="3204">
        <v>-2.8549000000000047E-2</v>
      </c>
      <c r="F16565" s="3205"/>
      <c r="G16565" s="78"/>
    </row>
    <row r="16566" spans="1:7" ht="12.75" hidden="1" customHeight="1" outlineLevel="1" x14ac:dyDescent="0.25">
      <c r="A16566" s="1956" t="s">
        <v>9218</v>
      </c>
      <c r="B16566" s="2185">
        <v>45139</v>
      </c>
      <c r="C16566" s="3203">
        <v>100</v>
      </c>
      <c r="D16566" s="3206">
        <v>95.767499999999998</v>
      </c>
      <c r="E16566" s="3204">
        <v>-4.2325000000000057E-2</v>
      </c>
      <c r="F16566" s="3205"/>
      <c r="G16566" s="78"/>
    </row>
    <row r="16567" spans="1:7" ht="12.75" hidden="1" customHeight="1" outlineLevel="1" x14ac:dyDescent="0.25">
      <c r="A16567" s="1956" t="s">
        <v>9155</v>
      </c>
      <c r="B16567" s="2185">
        <v>45170</v>
      </c>
      <c r="C16567" s="3203">
        <v>100</v>
      </c>
      <c r="D16567" s="3206">
        <v>95.423100000000005</v>
      </c>
      <c r="E16567" s="3204">
        <v>-4.5768999999999949E-2</v>
      </c>
      <c r="F16567" s="3205"/>
      <c r="G16567" s="78"/>
    </row>
    <row r="16568" spans="1:7" ht="12.75" hidden="1" customHeight="1" outlineLevel="1" x14ac:dyDescent="0.25">
      <c r="A16568" s="1956" t="s">
        <v>9156</v>
      </c>
      <c r="B16568" s="2185">
        <v>45200</v>
      </c>
      <c r="C16568" s="3203">
        <v>100</v>
      </c>
      <c r="D16568" s="3206">
        <v>94.391400000000004</v>
      </c>
      <c r="E16568" s="3204">
        <v>-5.6085999999999969E-2</v>
      </c>
      <c r="F16568" s="3205"/>
      <c r="G16568" s="78"/>
    </row>
    <row r="16569" spans="1:7" ht="12.75" hidden="1" customHeight="1" outlineLevel="1" x14ac:dyDescent="0.25">
      <c r="A16569" s="1956" t="s">
        <v>9157</v>
      </c>
      <c r="B16569" s="2185">
        <v>45231</v>
      </c>
      <c r="C16569" s="3203">
        <v>100</v>
      </c>
      <c r="D16569" s="3206">
        <v>99.694400000000002</v>
      </c>
      <c r="E16569" s="3204">
        <v>-3.0559999999999476E-3</v>
      </c>
      <c r="F16569" s="3205"/>
      <c r="G16569" s="78"/>
    </row>
    <row r="16570" spans="1:7" ht="12.75" hidden="1" customHeight="1" outlineLevel="1" x14ac:dyDescent="0.25">
      <c r="A16570" s="2189" t="s">
        <v>2734</v>
      </c>
      <c r="B16570" s="2190"/>
      <c r="C16570" s="3206"/>
      <c r="D16570" s="2191" t="s">
        <v>2465</v>
      </c>
      <c r="E16570" s="1987">
        <v>-2.3777611111111128E-2</v>
      </c>
      <c r="F16570" s="2192">
        <v>-2.3777611111111128E-2</v>
      </c>
      <c r="G16570" s="78"/>
    </row>
    <row r="16571" spans="1:7" collapsed="1" x14ac:dyDescent="0.25">
      <c r="A16571" s="3801" t="s">
        <v>9043</v>
      </c>
      <c r="B16571" s="3802"/>
      <c r="C16571" s="3802"/>
      <c r="D16571" s="3802"/>
      <c r="E16571" s="1906"/>
      <c r="F16571" s="1907">
        <v>-2.3777611111111128E-2</v>
      </c>
      <c r="G16571" s="78"/>
    </row>
    <row r="16573" spans="1:7" ht="12.75" hidden="1" customHeight="1" outlineLevel="1" x14ac:dyDescent="0.25">
      <c r="A16573" s="3237" t="s">
        <v>113</v>
      </c>
      <c r="B16573" s="3237" t="s">
        <v>114</v>
      </c>
      <c r="C16573" s="3237" t="s">
        <v>112</v>
      </c>
      <c r="D16573" s="3237" t="s">
        <v>116</v>
      </c>
      <c r="E16573" s="3237" t="s">
        <v>117</v>
      </c>
      <c r="F16573" s="3276" t="s">
        <v>121</v>
      </c>
      <c r="G16573" s="78"/>
    </row>
    <row r="16574" spans="1:7" ht="12.75" hidden="1" customHeight="1" outlineLevel="1" x14ac:dyDescent="0.25">
      <c r="A16574" s="3238">
        <v>1</v>
      </c>
      <c r="B16574" s="3239" t="s">
        <v>252</v>
      </c>
      <c r="C16574" s="3240">
        <v>100</v>
      </c>
      <c r="D16574" s="3240"/>
      <c r="E16574" s="3241"/>
      <c r="F16574" s="3242"/>
      <c r="G16574" s="78"/>
    </row>
    <row r="16575" spans="1:7" ht="12.75" hidden="1" customHeight="1" outlineLevel="1" x14ac:dyDescent="0.25">
      <c r="A16575" s="3243" t="s">
        <v>2734</v>
      </c>
      <c r="B16575" s="3243"/>
      <c r="C16575" s="3244"/>
      <c r="D16575" s="1900" t="s">
        <v>3702</v>
      </c>
      <c r="E16575" s="3245">
        <v>45351</v>
      </c>
      <c r="F16575" s="3246"/>
      <c r="G16575" s="78"/>
    </row>
    <row r="16576" spans="1:7" ht="12.75" hidden="1" customHeight="1" outlineLevel="1" x14ac:dyDescent="0.25">
      <c r="A16576" s="3237" t="s">
        <v>4156</v>
      </c>
      <c r="B16576" s="3237" t="s">
        <v>4153</v>
      </c>
      <c r="C16576" s="3247" t="s">
        <v>112</v>
      </c>
      <c r="D16576" s="3248" t="s">
        <v>4155</v>
      </c>
      <c r="E16576" s="3248" t="s">
        <v>4154</v>
      </c>
      <c r="F16576" s="3277" t="s">
        <v>2519</v>
      </c>
      <c r="G16576" s="78"/>
    </row>
    <row r="16577" spans="1:11" ht="12.75" hidden="1" customHeight="1" outlineLevel="1" x14ac:dyDescent="0.25">
      <c r="A16577" s="1991">
        <v>0.04</v>
      </c>
      <c r="B16577" s="1921" t="s">
        <v>2697</v>
      </c>
      <c r="C16577" s="2108">
        <v>15.2745</v>
      </c>
      <c r="D16577" s="2862">
        <v>21.92</v>
      </c>
      <c r="E16577" s="2890">
        <v>0.43507152443615182</v>
      </c>
      <c r="F16577" s="3193">
        <v>1.7402860977446075E-2</v>
      </c>
      <c r="G16577" s="78"/>
      <c r="H16577" t="s">
        <v>329</v>
      </c>
      <c r="K16577" s="434"/>
    </row>
    <row r="16578" spans="1:11" ht="12.75" hidden="1" customHeight="1" outlineLevel="1" x14ac:dyDescent="0.25">
      <c r="A16578" s="2380">
        <v>0.02</v>
      </c>
      <c r="B16578" s="1921" t="s">
        <v>218</v>
      </c>
      <c r="C16578" s="2108">
        <v>22.593</v>
      </c>
      <c r="D16578" s="2865">
        <v>32.880000000000003</v>
      </c>
      <c r="E16578" s="2892">
        <v>0.4553180188553978</v>
      </c>
      <c r="F16578" s="3198">
        <v>9.1063603771079568E-3</v>
      </c>
      <c r="G16578" s="78"/>
      <c r="H16578" t="s">
        <v>656</v>
      </c>
      <c r="K16578" s="434"/>
    </row>
    <row r="16579" spans="1:11" ht="12.75" hidden="1" customHeight="1" outlineLevel="1" x14ac:dyDescent="0.25">
      <c r="A16579" s="2380">
        <v>0.02</v>
      </c>
      <c r="B16579" s="1921" t="s">
        <v>807</v>
      </c>
      <c r="C16579" s="2108">
        <v>54.386000000000003</v>
      </c>
      <c r="D16579" s="2865">
        <v>50.36</v>
      </c>
      <c r="E16579" s="2892">
        <v>-7.4026403853933109E-2</v>
      </c>
      <c r="F16579" s="3198">
        <v>-1.4805280770786623E-3</v>
      </c>
      <c r="G16579" s="78"/>
      <c r="H16579" t="s">
        <v>808</v>
      </c>
      <c r="K16579" s="434"/>
    </row>
    <row r="16580" spans="1:11" ht="12.75" hidden="1" customHeight="1" outlineLevel="1" x14ac:dyDescent="0.25">
      <c r="A16580" s="2380">
        <v>0.02</v>
      </c>
      <c r="B16580" s="1921" t="s">
        <v>1188</v>
      </c>
      <c r="C16580" s="2108">
        <v>5.7587000000000002</v>
      </c>
      <c r="D16580" s="2865">
        <v>4.6070000000000002</v>
      </c>
      <c r="E16580" s="2892">
        <v>-0.19999305398787914</v>
      </c>
      <c r="F16580" s="3198">
        <v>-3.9998610797575829E-3</v>
      </c>
      <c r="G16580" s="78"/>
      <c r="H16580" t="s">
        <v>2746</v>
      </c>
      <c r="K16580" s="434"/>
    </row>
    <row r="16581" spans="1:11" ht="12.75" hidden="1" customHeight="1" outlineLevel="1" x14ac:dyDescent="0.25">
      <c r="A16581" s="2380">
        <v>0.02</v>
      </c>
      <c r="B16581" s="1921" t="s">
        <v>8918</v>
      </c>
      <c r="C16581" s="2108">
        <v>2.0510000000000002</v>
      </c>
      <c r="D16581" s="2865">
        <v>1.0445</v>
      </c>
      <c r="E16581" s="2892">
        <v>-0.4907362262311068</v>
      </c>
      <c r="F16581" s="3198">
        <v>-9.814724524622136E-3</v>
      </c>
      <c r="G16581" s="78"/>
      <c r="H16581" t="s">
        <v>8921</v>
      </c>
      <c r="K16581" s="434"/>
    </row>
    <row r="16582" spans="1:11" ht="12.75" hidden="1" customHeight="1" outlineLevel="1" x14ac:dyDescent="0.25">
      <c r="A16582" s="2380">
        <v>0.02</v>
      </c>
      <c r="B16582" s="1921" t="s">
        <v>8678</v>
      </c>
      <c r="C16582" s="2108">
        <v>70.201999999999998</v>
      </c>
      <c r="D16582" s="2865">
        <v>116.41</v>
      </c>
      <c r="E16582" s="2892">
        <v>0.65821486567334264</v>
      </c>
      <c r="F16582" s="3198">
        <v>1.3164297313466853E-2</v>
      </c>
      <c r="G16582" s="78"/>
      <c r="H16582" t="s">
        <v>8682</v>
      </c>
      <c r="K16582" s="434"/>
    </row>
    <row r="16583" spans="1:11" ht="12.75" hidden="1" customHeight="1" outlineLevel="1" x14ac:dyDescent="0.25">
      <c r="A16583" s="2380">
        <v>0.02</v>
      </c>
      <c r="B16583" s="1921" t="s">
        <v>10672</v>
      </c>
      <c r="C16583" s="2108">
        <v>54.818611149819908</v>
      </c>
      <c r="D16583" s="2865">
        <v>73.64</v>
      </c>
      <c r="E16583" s="2892">
        <v>0.34333939615399989</v>
      </c>
      <c r="F16583" s="3198">
        <v>6.8667879230799979E-3</v>
      </c>
      <c r="G16583" s="78"/>
      <c r="H16583" t="s">
        <v>10674</v>
      </c>
      <c r="K16583" s="434"/>
    </row>
    <row r="16584" spans="1:11" ht="12.75" hidden="1" customHeight="1" outlineLevel="1" x14ac:dyDescent="0.25">
      <c r="A16584" s="2380">
        <v>0.02</v>
      </c>
      <c r="B16584" s="1921" t="s">
        <v>2629</v>
      </c>
      <c r="C16584" s="2108">
        <v>13.526</v>
      </c>
      <c r="D16584" s="2865">
        <v>21.984999999999999</v>
      </c>
      <c r="E16584" s="2892">
        <v>0.62538814135738585</v>
      </c>
      <c r="F16584" s="3198">
        <v>1.2507762827147717E-2</v>
      </c>
      <c r="G16584" s="78"/>
      <c r="H16584" t="s">
        <v>1652</v>
      </c>
      <c r="K16584" s="434"/>
    </row>
    <row r="16585" spans="1:11" ht="12.75" hidden="1" customHeight="1" outlineLevel="1" x14ac:dyDescent="0.25">
      <c r="A16585" s="2380">
        <v>0.02</v>
      </c>
      <c r="B16585" s="1921" t="s">
        <v>6821</v>
      </c>
      <c r="C16585" s="2108">
        <v>3.6156967051496443</v>
      </c>
      <c r="D16585" s="2865">
        <v>2.02</v>
      </c>
      <c r="E16585" s="2892">
        <v>-0.4413248220949999</v>
      </c>
      <c r="F16585" s="3198">
        <v>-8.8264964418999989E-3</v>
      </c>
      <c r="G16585" s="78"/>
      <c r="H16585" t="s">
        <v>6822</v>
      </c>
      <c r="K16585" s="434"/>
    </row>
    <row r="16586" spans="1:11" ht="12.75" hidden="1" customHeight="1" outlineLevel="1" x14ac:dyDescent="0.25">
      <c r="A16586" s="2380">
        <v>0.08</v>
      </c>
      <c r="B16586" s="1921" t="s">
        <v>6267</v>
      </c>
      <c r="C16586" s="2108">
        <v>23.797999999999998</v>
      </c>
      <c r="D16586" s="2865">
        <v>13.345000000000001</v>
      </c>
      <c r="E16586" s="2892">
        <v>-0.43923859147827538</v>
      </c>
      <c r="F16586" s="3198">
        <v>-3.5139087318262034E-2</v>
      </c>
      <c r="G16586" s="78"/>
      <c r="H16586" t="s">
        <v>6268</v>
      </c>
      <c r="K16586" s="434"/>
    </row>
    <row r="16587" spans="1:11" ht="12.75" hidden="1" customHeight="1" outlineLevel="1" x14ac:dyDescent="0.25">
      <c r="A16587" s="2380">
        <v>0.05</v>
      </c>
      <c r="B16587" s="1921" t="s">
        <v>4268</v>
      </c>
      <c r="C16587" s="2108">
        <v>20.558</v>
      </c>
      <c r="D16587" s="2865">
        <v>11.55</v>
      </c>
      <c r="E16587" s="2892">
        <v>-0.43817491973927425</v>
      </c>
      <c r="F16587" s="3198">
        <v>-2.1908745986963712E-2</v>
      </c>
      <c r="G16587" s="78"/>
      <c r="H16587" t="s">
        <v>8442</v>
      </c>
      <c r="K16587" s="434"/>
    </row>
    <row r="16588" spans="1:11" ht="12.75" hidden="1" customHeight="1" outlineLevel="1" x14ac:dyDescent="0.25">
      <c r="A16588" s="2380">
        <v>0.02</v>
      </c>
      <c r="B16588" s="1921" t="s">
        <v>8208</v>
      </c>
      <c r="C16588" s="2108">
        <v>4.2669961443100677</v>
      </c>
      <c r="D16588" s="2865">
        <v>1.4724999999999999</v>
      </c>
      <c r="E16588" s="2892">
        <v>-0.65490946084787494</v>
      </c>
      <c r="F16588" s="3198">
        <v>-1.3098189216957499E-2</v>
      </c>
      <c r="G16588" s="78"/>
      <c r="H16588" t="s">
        <v>8209</v>
      </c>
      <c r="K16588" s="434"/>
    </row>
    <row r="16589" spans="1:11" ht="12.75" hidden="1" customHeight="1" outlineLevel="1" x14ac:dyDescent="0.25">
      <c r="A16589" s="2380">
        <v>0.04</v>
      </c>
      <c r="B16589" s="1921" t="s">
        <v>6902</v>
      </c>
      <c r="C16589" s="2519">
        <v>2.8003</v>
      </c>
      <c r="D16589" s="2865">
        <v>2.4209999999999998</v>
      </c>
      <c r="E16589" s="2892">
        <v>-0.13544977323858165</v>
      </c>
      <c r="F16589" s="3198">
        <v>-5.4179909295432663E-3</v>
      </c>
      <c r="G16589" s="78"/>
      <c r="H16589" t="s">
        <v>6899</v>
      </c>
      <c r="K16589" s="434"/>
    </row>
    <row r="16590" spans="1:11" ht="12.75" hidden="1" customHeight="1" outlineLevel="1" x14ac:dyDescent="0.25">
      <c r="A16590" s="2380">
        <v>0.02</v>
      </c>
      <c r="B16590" s="1921" t="s">
        <v>8261</v>
      </c>
      <c r="C16590" s="2108">
        <v>164.15937570583404</v>
      </c>
      <c r="D16590" s="2865">
        <v>204.9</v>
      </c>
      <c r="E16590" s="2892">
        <v>0.24817726138999996</v>
      </c>
      <c r="F16590" s="3198">
        <v>4.9635452277999991E-3</v>
      </c>
      <c r="G16590" s="78"/>
      <c r="H16590" t="s">
        <v>9620</v>
      </c>
      <c r="K16590" s="434"/>
    </row>
    <row r="16591" spans="1:11" ht="12.75" hidden="1" customHeight="1" outlineLevel="1" x14ac:dyDescent="0.25">
      <c r="A16591" s="2380">
        <v>0.02</v>
      </c>
      <c r="B16591" s="1921" t="s">
        <v>5196</v>
      </c>
      <c r="C16591" s="2108">
        <v>56.070274130541954</v>
      </c>
      <c r="D16591" s="2865">
        <v>83.14</v>
      </c>
      <c r="E16591" s="2892">
        <v>0.48278212099399997</v>
      </c>
      <c r="F16591" s="3198">
        <v>9.6556424198799996E-3</v>
      </c>
      <c r="G16591" s="78"/>
      <c r="H16591" t="s">
        <v>5197</v>
      </c>
      <c r="K16591" s="434"/>
    </row>
    <row r="16592" spans="1:11" ht="12.75" hidden="1" customHeight="1" outlineLevel="1" x14ac:dyDescent="0.25">
      <c r="A16592" s="2380">
        <v>0.03</v>
      </c>
      <c r="B16592" s="1921" t="s">
        <v>8527</v>
      </c>
      <c r="C16592" s="2108">
        <v>38.607999999999997</v>
      </c>
      <c r="D16592" s="2865">
        <v>41.26</v>
      </c>
      <c r="E16592" s="2892">
        <v>6.8690426854537856E-2</v>
      </c>
      <c r="F16592" s="3198">
        <v>2.0607128056361356E-3</v>
      </c>
      <c r="G16592" s="78"/>
      <c r="H16592" t="s">
        <v>8516</v>
      </c>
      <c r="K16592" s="434"/>
    </row>
    <row r="16593" spans="1:11" ht="12.75" hidden="1" customHeight="1" outlineLevel="1" x14ac:dyDescent="0.25">
      <c r="A16593" s="2380">
        <v>0.02</v>
      </c>
      <c r="B16593" s="1921" t="s">
        <v>1203</v>
      </c>
      <c r="C16593" s="2108">
        <v>87.852000000000004</v>
      </c>
      <c r="D16593" s="2865">
        <v>125.94</v>
      </c>
      <c r="E16593" s="2892">
        <v>0.43354732959978137</v>
      </c>
      <c r="F16593" s="3198">
        <v>8.6709465919956284E-3</v>
      </c>
      <c r="G16593" s="78"/>
      <c r="H16593" t="s">
        <v>79</v>
      </c>
      <c r="K16593" s="434"/>
    </row>
    <row r="16594" spans="1:11" ht="12.75" hidden="1" customHeight="1" outlineLevel="1" x14ac:dyDescent="0.25">
      <c r="A16594" s="2380">
        <v>0.06</v>
      </c>
      <c r="B16594" s="1921" t="s">
        <v>7433</v>
      </c>
      <c r="C16594" s="2108">
        <v>26.84</v>
      </c>
      <c r="D16594" s="2865">
        <v>6.0659999999999998</v>
      </c>
      <c r="E16594" s="2892">
        <v>-0.7739940387481371</v>
      </c>
      <c r="F16594" s="3198">
        <v>-4.6439642324888224E-2</v>
      </c>
      <c r="G16594" s="78"/>
      <c r="H16594" t="s">
        <v>7431</v>
      </c>
      <c r="K16594" s="434"/>
    </row>
    <row r="16595" spans="1:11" ht="12.75" hidden="1" customHeight="1" outlineLevel="1" x14ac:dyDescent="0.25">
      <c r="A16595" s="2380">
        <v>0.04</v>
      </c>
      <c r="B16595" s="1921" t="s">
        <v>6270</v>
      </c>
      <c r="C16595" s="2108">
        <v>36.169640987422696</v>
      </c>
      <c r="D16595" s="2865">
        <v>41.37</v>
      </c>
      <c r="E16595" s="2892">
        <v>0.14377690434875001</v>
      </c>
      <c r="F16595" s="3198">
        <v>5.7510761739500002E-3</v>
      </c>
      <c r="G16595" s="78"/>
      <c r="H16595" t="s">
        <v>8166</v>
      </c>
      <c r="K16595" s="434"/>
    </row>
    <row r="16596" spans="1:11" ht="12.75" hidden="1" customHeight="1" outlineLevel="1" x14ac:dyDescent="0.25">
      <c r="A16596" s="2380">
        <v>0.02</v>
      </c>
      <c r="B16596" s="1921" t="s">
        <v>6524</v>
      </c>
      <c r="C16596" s="2108">
        <v>82.93333892856927</v>
      </c>
      <c r="D16596" s="2865">
        <v>153.80000000000001</v>
      </c>
      <c r="E16596" s="2892">
        <v>0.85450148260000014</v>
      </c>
      <c r="F16596" s="3198">
        <v>1.7090029652000002E-2</v>
      </c>
      <c r="G16596" s="78"/>
      <c r="H16596" t="s">
        <v>6525</v>
      </c>
      <c r="K16596" s="434"/>
    </row>
    <row r="16597" spans="1:11" ht="12.75" hidden="1" customHeight="1" outlineLevel="1" x14ac:dyDescent="0.25">
      <c r="A16597" s="2380">
        <v>0.05</v>
      </c>
      <c r="B16597" s="1921" t="s">
        <v>6116</v>
      </c>
      <c r="C16597" s="2108">
        <v>3.7162999999999999</v>
      </c>
      <c r="D16597" s="2865">
        <v>4.3209999999999997</v>
      </c>
      <c r="E16597" s="2892">
        <v>0.16271560423001374</v>
      </c>
      <c r="F16597" s="3198">
        <v>8.1357802115006872E-3</v>
      </c>
      <c r="G16597" s="78"/>
      <c r="H16597" t="s">
        <v>6114</v>
      </c>
      <c r="K16597" s="434"/>
    </row>
    <row r="16598" spans="1:11" ht="12.75" hidden="1" customHeight="1" outlineLevel="1" x14ac:dyDescent="0.25">
      <c r="A16598" s="2380">
        <v>0.03</v>
      </c>
      <c r="B16598" s="1921" t="s">
        <v>1857</v>
      </c>
      <c r="C16598" s="2108">
        <v>14.095499999999999</v>
      </c>
      <c r="D16598" s="2865">
        <v>16.254999999999999</v>
      </c>
      <c r="E16598" s="2892">
        <v>0.15320492355716353</v>
      </c>
      <c r="F16598" s="3198">
        <v>4.5961477067149054E-3</v>
      </c>
      <c r="G16598" s="78"/>
      <c r="H16598" t="s">
        <v>3559</v>
      </c>
      <c r="K16598" s="434"/>
    </row>
    <row r="16599" spans="1:11" ht="12.75" hidden="1" customHeight="1" outlineLevel="1" x14ac:dyDescent="0.25">
      <c r="A16599" s="2380">
        <v>0.06</v>
      </c>
      <c r="B16599" s="1921" t="s">
        <v>6118</v>
      </c>
      <c r="C16599" s="2108">
        <v>91.632000000000005</v>
      </c>
      <c r="D16599" s="2865">
        <v>106.6</v>
      </c>
      <c r="E16599" s="2892">
        <v>0.16334904836738251</v>
      </c>
      <c r="F16599" s="3198">
        <v>9.8009429020429507E-3</v>
      </c>
      <c r="G16599" s="78"/>
      <c r="H16599" t="s">
        <v>8893</v>
      </c>
      <c r="K16599" s="434"/>
    </row>
    <row r="16600" spans="1:11" ht="12.75" hidden="1" customHeight="1" outlineLevel="1" x14ac:dyDescent="0.25">
      <c r="A16600" s="2380">
        <v>0.02</v>
      </c>
      <c r="B16600" s="1921" t="s">
        <v>3383</v>
      </c>
      <c r="C16600" s="2108">
        <v>162.98114151730749</v>
      </c>
      <c r="D16600" s="2865">
        <v>116.2</v>
      </c>
      <c r="E16600" s="2892">
        <v>-0.28703407696000005</v>
      </c>
      <c r="F16600" s="3198">
        <v>-5.7406815392000007E-3</v>
      </c>
      <c r="G16600" s="78"/>
      <c r="H16600" t="s">
        <v>3789</v>
      </c>
      <c r="K16600" s="434"/>
    </row>
    <row r="16601" spans="1:11" ht="12.75" hidden="1" customHeight="1" outlineLevel="1" x14ac:dyDescent="0.25">
      <c r="A16601" s="2380">
        <v>7.0000000000000007E-2</v>
      </c>
      <c r="B16601" s="1921" t="s">
        <v>434</v>
      </c>
      <c r="C16601" s="2108">
        <v>42.77</v>
      </c>
      <c r="D16601" s="2865">
        <v>24.67</v>
      </c>
      <c r="E16601" s="2892">
        <v>-0.42319382744914658</v>
      </c>
      <c r="F16601" s="3198">
        <v>-2.9623567921440264E-2</v>
      </c>
      <c r="G16601" s="78"/>
      <c r="H16601" t="s">
        <v>7745</v>
      </c>
      <c r="K16601" s="434"/>
    </row>
    <row r="16602" spans="1:11" ht="12.75" hidden="1" customHeight="1" outlineLevel="1" x14ac:dyDescent="0.25">
      <c r="A16602" s="2380">
        <v>0.02</v>
      </c>
      <c r="B16602" s="1921" t="s">
        <v>5249</v>
      </c>
      <c r="C16602" s="2108">
        <v>2.6237956274956984</v>
      </c>
      <c r="D16602" s="2865">
        <v>3.82</v>
      </c>
      <c r="E16602" s="2892">
        <v>0.45590607742799993</v>
      </c>
      <c r="F16602" s="3198">
        <v>9.1181215485599994E-3</v>
      </c>
      <c r="G16602" s="78"/>
      <c r="H16602" t="s">
        <v>5247</v>
      </c>
      <c r="K16602" s="434"/>
    </row>
    <row r="16603" spans="1:11" ht="12.75" hidden="1" customHeight="1" outlineLevel="1" x14ac:dyDescent="0.25">
      <c r="A16603" s="2380">
        <v>0.04</v>
      </c>
      <c r="B16603" s="1921" t="s">
        <v>10633</v>
      </c>
      <c r="C16603" s="2108">
        <v>51.923055177801267</v>
      </c>
      <c r="D16603" s="2865">
        <v>58.99</v>
      </c>
      <c r="E16603" s="2892">
        <v>0.13610417950175013</v>
      </c>
      <c r="F16603" s="3198">
        <v>5.4441671800700055E-3</v>
      </c>
      <c r="G16603" s="78"/>
      <c r="H16603" t="s">
        <v>10634</v>
      </c>
      <c r="K16603" s="434"/>
    </row>
    <row r="16604" spans="1:11" ht="12.75" hidden="1" customHeight="1" outlineLevel="1" x14ac:dyDescent="0.25">
      <c r="A16604" s="2380">
        <v>0.02</v>
      </c>
      <c r="B16604" s="1921" t="s">
        <v>255</v>
      </c>
      <c r="C16604" s="2108">
        <v>48.323999999999998</v>
      </c>
      <c r="D16604" s="2865">
        <v>40.020000000000003</v>
      </c>
      <c r="E16604" s="2892">
        <v>-0.17184007946362045</v>
      </c>
      <c r="F16604" s="3198">
        <v>-3.4368015892724093E-3</v>
      </c>
      <c r="G16604" s="78"/>
      <c r="H16604" t="s">
        <v>3351</v>
      </c>
      <c r="K16604" s="434"/>
    </row>
    <row r="16605" spans="1:11" ht="12.75" hidden="1" customHeight="1" outlineLevel="1" x14ac:dyDescent="0.25">
      <c r="A16605" s="2380">
        <v>0.02</v>
      </c>
      <c r="B16605" s="1921" t="s">
        <v>5626</v>
      </c>
      <c r="C16605" s="2108">
        <v>28.713999999999999</v>
      </c>
      <c r="D16605" s="2865">
        <v>26.35</v>
      </c>
      <c r="E16605" s="2892">
        <v>-8.2329177404750209E-2</v>
      </c>
      <c r="F16605" s="3198">
        <v>-1.6465835480950041E-3</v>
      </c>
      <c r="G16605" s="78"/>
      <c r="H16605" t="s">
        <v>5624</v>
      </c>
      <c r="K16605" s="434"/>
    </row>
    <row r="16606" spans="1:11" ht="12.75" hidden="1" customHeight="1" outlineLevel="1" x14ac:dyDescent="0.25">
      <c r="A16606" s="2380">
        <v>7.0000000000000007E-2</v>
      </c>
      <c r="B16606" s="2109" t="s">
        <v>4550</v>
      </c>
      <c r="C16606" s="2108">
        <v>307.36</v>
      </c>
      <c r="D16606" s="2868">
        <v>470</v>
      </c>
      <c r="E16606" s="2897">
        <v>0.52915148360229036</v>
      </c>
      <c r="F16606" s="2989">
        <v>3.7040603852160327E-2</v>
      </c>
      <c r="G16606" s="78"/>
      <c r="H16606" t="s">
        <v>8889</v>
      </c>
      <c r="K16606" s="434"/>
    </row>
    <row r="16607" spans="1:11" ht="12.75" hidden="1" customHeight="1" outlineLevel="1" x14ac:dyDescent="0.25">
      <c r="A16607" s="2181" t="s">
        <v>2734</v>
      </c>
      <c r="B16607" s="2103"/>
      <c r="C16607" s="3200"/>
      <c r="D16607" s="3201"/>
      <c r="E16607" s="3025"/>
      <c r="F16607" s="3198">
        <v>-5.197114807421549E-3</v>
      </c>
      <c r="G16607" s="78"/>
    </row>
    <row r="16608" spans="1:11" ht="12.75" hidden="1" customHeight="1" outlineLevel="1" x14ac:dyDescent="0.25">
      <c r="A16608" s="1956" t="s">
        <v>9200</v>
      </c>
      <c r="B16608" s="2185">
        <v>44805</v>
      </c>
      <c r="C16608" s="3203">
        <v>100</v>
      </c>
      <c r="D16608" s="3203">
        <v>86.691800000000001</v>
      </c>
      <c r="E16608" s="3204">
        <v>-0.13308200000000003</v>
      </c>
      <c r="F16608" s="3205"/>
      <c r="G16608" s="78"/>
    </row>
    <row r="16609" spans="1:7" ht="12.75" hidden="1" customHeight="1" outlineLevel="1" x14ac:dyDescent="0.25">
      <c r="A16609" s="1956" t="s">
        <v>9201</v>
      </c>
      <c r="B16609" s="2185">
        <v>44835</v>
      </c>
      <c r="C16609" s="3203">
        <v>100</v>
      </c>
      <c r="D16609" s="3206">
        <v>91.9405</v>
      </c>
      <c r="E16609" s="3204">
        <v>-8.0594999999999972E-2</v>
      </c>
      <c r="F16609" s="3205"/>
      <c r="G16609" s="78"/>
    </row>
    <row r="16610" spans="1:7" ht="12.75" hidden="1" customHeight="1" outlineLevel="1" x14ac:dyDescent="0.25">
      <c r="A16610" s="1956" t="s">
        <v>9202</v>
      </c>
      <c r="B16610" s="2185">
        <v>44866</v>
      </c>
      <c r="C16610" s="3203">
        <v>100</v>
      </c>
      <c r="D16610" s="3206">
        <v>97.225099999999998</v>
      </c>
      <c r="E16610" s="3204">
        <v>-2.7749000000000024E-2</v>
      </c>
      <c r="F16610" s="3205"/>
      <c r="G16610" s="78"/>
    </row>
    <row r="16611" spans="1:7" ht="12.75" hidden="1" customHeight="1" outlineLevel="1" x14ac:dyDescent="0.25">
      <c r="A16611" s="1956" t="s">
        <v>9203</v>
      </c>
      <c r="B16611" s="2185">
        <v>44896</v>
      </c>
      <c r="C16611" s="3203">
        <v>100</v>
      </c>
      <c r="D16611" s="3206">
        <v>94.846500000000006</v>
      </c>
      <c r="E16611" s="3204">
        <v>-5.1534999999999886E-2</v>
      </c>
      <c r="F16611" s="3205"/>
      <c r="G16611" s="78"/>
    </row>
    <row r="16612" spans="1:7" ht="12.75" hidden="1" customHeight="1" outlineLevel="1" x14ac:dyDescent="0.25">
      <c r="A16612" s="1956" t="s">
        <v>9204</v>
      </c>
      <c r="B16612" s="2185">
        <v>44927</v>
      </c>
      <c r="C16612" s="3203">
        <v>100</v>
      </c>
      <c r="D16612" s="3206">
        <v>98.846900000000005</v>
      </c>
      <c r="E16612" s="3204">
        <v>-1.1530999999999958E-2</v>
      </c>
      <c r="F16612" s="3205"/>
      <c r="G16612" s="78"/>
    </row>
    <row r="16613" spans="1:7" ht="12.75" hidden="1" customHeight="1" outlineLevel="1" x14ac:dyDescent="0.25">
      <c r="A16613" s="1956" t="s">
        <v>9205</v>
      </c>
      <c r="B16613" s="2185">
        <v>44958</v>
      </c>
      <c r="C16613" s="3203">
        <v>100</v>
      </c>
      <c r="D16613" s="3206">
        <v>100.0123</v>
      </c>
      <c r="E16613" s="3204">
        <v>1.2299999999987321E-4</v>
      </c>
      <c r="F16613" s="3205"/>
      <c r="G16613" s="78"/>
    </row>
    <row r="16614" spans="1:7" ht="12.75" hidden="1" customHeight="1" outlineLevel="1" x14ac:dyDescent="0.25">
      <c r="A16614" s="1956" t="s">
        <v>9206</v>
      </c>
      <c r="B16614" s="2185">
        <v>44986</v>
      </c>
      <c r="C16614" s="3203">
        <v>100</v>
      </c>
      <c r="D16614" s="3206">
        <v>97.519000000000005</v>
      </c>
      <c r="E16614" s="3204">
        <v>-2.4809999999999999E-2</v>
      </c>
      <c r="F16614" s="3205"/>
      <c r="G16614" s="78"/>
    </row>
    <row r="16615" spans="1:7" ht="12.75" hidden="1" customHeight="1" outlineLevel="1" x14ac:dyDescent="0.25">
      <c r="A16615" s="1956" t="s">
        <v>9207</v>
      </c>
      <c r="B16615" s="2185">
        <v>45017</v>
      </c>
      <c r="C16615" s="3203">
        <v>100</v>
      </c>
      <c r="D16615" s="3206">
        <v>99.335899999999995</v>
      </c>
      <c r="E16615" s="3204">
        <v>-6.641000000000008E-3</v>
      </c>
      <c r="F16615" s="3205"/>
      <c r="G16615" s="78"/>
    </row>
    <row r="16616" spans="1:7" ht="12.75" hidden="1" customHeight="1" outlineLevel="1" x14ac:dyDescent="0.25">
      <c r="A16616" s="1956" t="s">
        <v>9208</v>
      </c>
      <c r="B16616" s="2185">
        <v>45047</v>
      </c>
      <c r="C16616" s="3203">
        <v>100</v>
      </c>
      <c r="D16616" s="3206">
        <v>95.042699999999996</v>
      </c>
      <c r="E16616" s="3204">
        <v>-4.9573000000000089E-2</v>
      </c>
      <c r="F16616" s="3205"/>
      <c r="G16616" s="78"/>
    </row>
    <row r="16617" spans="1:7" ht="12.75" hidden="1" customHeight="1" outlineLevel="1" x14ac:dyDescent="0.25">
      <c r="A16617" s="1956" t="s">
        <v>9209</v>
      </c>
      <c r="B16617" s="2185">
        <v>45078</v>
      </c>
      <c r="C16617" s="3203">
        <v>100</v>
      </c>
      <c r="D16617" s="3206">
        <v>94.814899999999994</v>
      </c>
      <c r="E16617" s="3204">
        <v>-5.1851000000000091E-2</v>
      </c>
      <c r="F16617" s="3205"/>
      <c r="G16617" s="78"/>
    </row>
    <row r="16618" spans="1:7" ht="12.75" hidden="1" customHeight="1" outlineLevel="1" x14ac:dyDescent="0.25">
      <c r="A16618" s="1956" t="s">
        <v>9210</v>
      </c>
      <c r="B16618" s="2185">
        <v>45108</v>
      </c>
      <c r="C16618" s="3203">
        <v>100</v>
      </c>
      <c r="D16618" s="3206">
        <v>94.7988</v>
      </c>
      <c r="E16618" s="3204">
        <v>-5.2011999999999947E-2</v>
      </c>
      <c r="F16618" s="3205"/>
      <c r="G16618" s="78"/>
    </row>
    <row r="16619" spans="1:7" ht="12.75" hidden="1" customHeight="1" outlineLevel="1" x14ac:dyDescent="0.25">
      <c r="A16619" s="1956" t="s">
        <v>9211</v>
      </c>
      <c r="B16619" s="2185">
        <v>45139</v>
      </c>
      <c r="C16619" s="3203">
        <v>100</v>
      </c>
      <c r="D16619" s="3206">
        <v>93.373900000000006</v>
      </c>
      <c r="E16619" s="3204">
        <v>-6.6260999999999903E-2</v>
      </c>
      <c r="F16619" s="3205"/>
      <c r="G16619" s="78"/>
    </row>
    <row r="16620" spans="1:7" ht="12.75" hidden="1" customHeight="1" outlineLevel="1" x14ac:dyDescent="0.25">
      <c r="A16620" s="1956" t="s">
        <v>9212</v>
      </c>
      <c r="B16620" s="2185">
        <v>45170</v>
      </c>
      <c r="C16620" s="3203">
        <v>100</v>
      </c>
      <c r="D16620" s="3206">
        <v>93.024799999999999</v>
      </c>
      <c r="E16620" s="3204">
        <v>-6.9752000000000036E-2</v>
      </c>
      <c r="F16620" s="3205"/>
      <c r="G16620" s="78"/>
    </row>
    <row r="16621" spans="1:7" ht="12.75" hidden="1" customHeight="1" outlineLevel="1" x14ac:dyDescent="0.25">
      <c r="A16621" s="1956" t="s">
        <v>9213</v>
      </c>
      <c r="B16621" s="2185">
        <v>45200</v>
      </c>
      <c r="C16621" s="3203">
        <v>100</v>
      </c>
      <c r="D16621" s="3206">
        <v>91.980699999999999</v>
      </c>
      <c r="E16621" s="3204">
        <v>-8.0192999999999959E-2</v>
      </c>
      <c r="F16621" s="3205"/>
      <c r="G16621" s="78"/>
    </row>
    <row r="16622" spans="1:7" ht="12.75" hidden="1" customHeight="1" outlineLevel="1" x14ac:dyDescent="0.25">
      <c r="A16622" s="1956" t="s">
        <v>9217</v>
      </c>
      <c r="B16622" s="2185">
        <v>45231</v>
      </c>
      <c r="C16622" s="3203">
        <v>100</v>
      </c>
      <c r="D16622" s="3206">
        <v>97.042900000000003</v>
      </c>
      <c r="E16622" s="3204">
        <v>-2.9571000000000014E-2</v>
      </c>
      <c r="F16622" s="3205"/>
      <c r="G16622" s="78"/>
    </row>
    <row r="16623" spans="1:7" ht="12.75" hidden="1" customHeight="1" outlineLevel="1" x14ac:dyDescent="0.25">
      <c r="A16623" s="1956" t="s">
        <v>9214</v>
      </c>
      <c r="B16623" s="2185">
        <v>45261</v>
      </c>
      <c r="C16623" s="3203">
        <v>100</v>
      </c>
      <c r="D16623" s="3206">
        <v>97.340199999999996</v>
      </c>
      <c r="E16623" s="3204">
        <v>-2.6598000000000011E-2</v>
      </c>
      <c r="F16623" s="3205"/>
      <c r="G16623" s="78"/>
    </row>
    <row r="16624" spans="1:7" ht="12.75" hidden="1" customHeight="1" outlineLevel="1" x14ac:dyDescent="0.25">
      <c r="A16624" s="1956" t="s">
        <v>9215</v>
      </c>
      <c r="B16624" s="2185">
        <v>45292</v>
      </c>
      <c r="C16624" s="3203">
        <v>100</v>
      </c>
      <c r="D16624" s="3206">
        <v>98.99</v>
      </c>
      <c r="E16624" s="3204">
        <v>-1.0099999999999998E-2</v>
      </c>
      <c r="F16624" s="3205"/>
      <c r="G16624" s="78"/>
    </row>
    <row r="16625" spans="1:11" ht="12.75" hidden="1" customHeight="1" outlineLevel="1" x14ac:dyDescent="0.25">
      <c r="A16625" s="1956" t="s">
        <v>9216</v>
      </c>
      <c r="B16625" s="2185">
        <v>45323</v>
      </c>
      <c r="C16625" s="3203">
        <v>100</v>
      </c>
      <c r="D16625" s="3206">
        <v>99.4803</v>
      </c>
      <c r="E16625" s="3204">
        <v>-5.1970000000000072E-3</v>
      </c>
      <c r="F16625" s="3205"/>
      <c r="G16625" s="78"/>
    </row>
    <row r="16626" spans="1:11" ht="12.75" hidden="1" customHeight="1" outlineLevel="1" x14ac:dyDescent="0.25">
      <c r="A16626" s="2189" t="s">
        <v>2734</v>
      </c>
      <c r="B16626" s="2190"/>
      <c r="C16626" s="3206"/>
      <c r="D16626" s="2191" t="s">
        <v>2465</v>
      </c>
      <c r="E16626" s="1987">
        <v>-4.3162666666666669E-2</v>
      </c>
      <c r="F16626" s="2192">
        <v>-4.3162666666666669E-2</v>
      </c>
      <c r="G16626" s="78"/>
    </row>
    <row r="16627" spans="1:11" collapsed="1" x14ac:dyDescent="0.25">
      <c r="A16627" s="3801" t="s">
        <v>9159</v>
      </c>
      <c r="B16627" s="3802"/>
      <c r="C16627" s="3802"/>
      <c r="D16627" s="3802"/>
      <c r="E16627" s="1906"/>
      <c r="F16627" s="1907">
        <v>0</v>
      </c>
      <c r="G16627" s="78"/>
    </row>
    <row r="16629" spans="1:11" ht="12.75" hidden="1" customHeight="1" outlineLevel="1" x14ac:dyDescent="0.25">
      <c r="A16629" s="3237" t="s">
        <v>113</v>
      </c>
      <c r="B16629" s="3237" t="s">
        <v>114</v>
      </c>
      <c r="C16629" s="3237" t="s">
        <v>112</v>
      </c>
      <c r="D16629" s="3237" t="s">
        <v>116</v>
      </c>
      <c r="E16629" s="3237" t="s">
        <v>117</v>
      </c>
      <c r="F16629" s="3276" t="s">
        <v>121</v>
      </c>
      <c r="G16629" s="78"/>
    </row>
    <row r="16630" spans="1:11" ht="12.75" hidden="1" customHeight="1" outlineLevel="1" x14ac:dyDescent="0.25">
      <c r="A16630" s="3238">
        <v>1</v>
      </c>
      <c r="B16630" s="3239" t="s">
        <v>252</v>
      </c>
      <c r="C16630" s="3240">
        <v>100</v>
      </c>
      <c r="D16630" s="3240"/>
      <c r="E16630" s="3241"/>
      <c r="F16630" s="3242"/>
      <c r="G16630" s="78"/>
    </row>
    <row r="16631" spans="1:11" ht="12.75" hidden="1" customHeight="1" outlineLevel="1" x14ac:dyDescent="0.25">
      <c r="A16631" s="3243" t="s">
        <v>2734</v>
      </c>
      <c r="B16631" s="3243"/>
      <c r="C16631" s="3244"/>
      <c r="D16631" s="1900" t="s">
        <v>3702</v>
      </c>
      <c r="E16631" s="3245">
        <v>45322</v>
      </c>
      <c r="F16631" s="3246"/>
      <c r="G16631" s="78"/>
    </row>
    <row r="16632" spans="1:11" ht="12.75" hidden="1" customHeight="1" outlineLevel="1" x14ac:dyDescent="0.25">
      <c r="A16632" s="3237" t="s">
        <v>4156</v>
      </c>
      <c r="B16632" s="3237" t="s">
        <v>4153</v>
      </c>
      <c r="C16632" s="3247" t="s">
        <v>112</v>
      </c>
      <c r="D16632" s="3248" t="s">
        <v>4155</v>
      </c>
      <c r="E16632" s="3237" t="s">
        <v>4154</v>
      </c>
      <c r="F16632" s="3277" t="s">
        <v>2519</v>
      </c>
      <c r="G16632" s="78"/>
    </row>
    <row r="16633" spans="1:11" ht="12.75" hidden="1" customHeight="1" outlineLevel="1" x14ac:dyDescent="0.25">
      <c r="A16633" s="1991">
        <v>0.02</v>
      </c>
      <c r="B16633" s="1921" t="s">
        <v>1001</v>
      </c>
      <c r="C16633" s="2108">
        <v>250.61819991372718</v>
      </c>
      <c r="D16633" s="3194">
        <v>397.58</v>
      </c>
      <c r="E16633" s="3195">
        <v>0.58639715765600009</v>
      </c>
      <c r="F16633" s="3193">
        <v>1.1727943153120002E-2</v>
      </c>
      <c r="G16633" s="78"/>
      <c r="H16633" t="s">
        <v>8270</v>
      </c>
      <c r="K16633" s="434"/>
    </row>
    <row r="16634" spans="1:11" ht="12.75" hidden="1" customHeight="1" outlineLevel="1" x14ac:dyDescent="0.25">
      <c r="A16634" s="2380">
        <v>0.05</v>
      </c>
      <c r="B16634" s="1921" t="s">
        <v>9241</v>
      </c>
      <c r="C16634" s="2108">
        <v>65.138000000000005</v>
      </c>
      <c r="D16634" s="3196">
        <v>65.06</v>
      </c>
      <c r="E16634" s="3197">
        <v>-1.1974577051798718E-3</v>
      </c>
      <c r="F16634" s="3198">
        <v>-5.9872885258993591E-5</v>
      </c>
      <c r="G16634" s="78"/>
      <c r="H16634" t="s">
        <v>9226</v>
      </c>
      <c r="K16634" s="434"/>
    </row>
    <row r="16635" spans="1:11" ht="12.75" hidden="1" customHeight="1" outlineLevel="1" x14ac:dyDescent="0.25">
      <c r="A16635" s="2380">
        <v>0.02</v>
      </c>
      <c r="B16635" s="1921" t="s">
        <v>9242</v>
      </c>
      <c r="C16635" s="2108">
        <v>94.168999999999997</v>
      </c>
      <c r="D16635" s="3196">
        <v>192.36</v>
      </c>
      <c r="E16635" s="3197">
        <v>1.04271044611284</v>
      </c>
      <c r="F16635" s="3198">
        <v>2.0854208922256801E-2</v>
      </c>
      <c r="G16635" s="78"/>
      <c r="H16635" t="s">
        <v>9227</v>
      </c>
      <c r="K16635" s="434"/>
    </row>
    <row r="16636" spans="1:11" ht="12.75" hidden="1" customHeight="1" outlineLevel="1" x14ac:dyDescent="0.25">
      <c r="A16636" s="2380">
        <v>0.02</v>
      </c>
      <c r="B16636" s="1921" t="s">
        <v>8640</v>
      </c>
      <c r="C16636" s="2108">
        <v>53.274000000000001</v>
      </c>
      <c r="D16636" s="3196">
        <v>164.3</v>
      </c>
      <c r="E16636" s="3197">
        <v>2.0840560123136993</v>
      </c>
      <c r="F16636" s="3198">
        <v>4.1681120246273989E-2</v>
      </c>
      <c r="G16636" s="78"/>
      <c r="H16636" t="s">
        <v>8647</v>
      </c>
      <c r="K16636" s="434"/>
    </row>
    <row r="16637" spans="1:11" ht="12.75" hidden="1" customHeight="1" outlineLevel="1" x14ac:dyDescent="0.25">
      <c r="A16637" s="2380">
        <v>0.02</v>
      </c>
      <c r="B16637" s="1921" t="s">
        <v>8641</v>
      </c>
      <c r="C16637" s="2108">
        <v>169.495</v>
      </c>
      <c r="D16637" s="3196">
        <v>798.2</v>
      </c>
      <c r="E16637" s="3197">
        <v>3.7092834596890762</v>
      </c>
      <c r="F16637" s="3198">
        <v>7.4185669193781528E-2</v>
      </c>
      <c r="G16637" s="78"/>
      <c r="H16637" t="s">
        <v>8648</v>
      </c>
      <c r="K16637" s="434"/>
    </row>
    <row r="16638" spans="1:11" ht="12.75" hidden="1" customHeight="1" outlineLevel="1" x14ac:dyDescent="0.25">
      <c r="A16638" s="2380">
        <v>0.02</v>
      </c>
      <c r="B16638" s="1921" t="s">
        <v>9243</v>
      </c>
      <c r="C16638" s="2108">
        <v>127.76600000000001</v>
      </c>
      <c r="D16638" s="3196">
        <v>245.78</v>
      </c>
      <c r="E16638" s="3197">
        <v>0.92367296463847959</v>
      </c>
      <c r="F16638" s="3198">
        <v>1.8473459292769591E-2</v>
      </c>
      <c r="G16638" s="78"/>
      <c r="H16638" t="s">
        <v>9228</v>
      </c>
      <c r="K16638" s="434"/>
    </row>
    <row r="16639" spans="1:11" ht="12.75" hidden="1" customHeight="1" outlineLevel="1" x14ac:dyDescent="0.25">
      <c r="A16639" s="2380">
        <v>0.03</v>
      </c>
      <c r="B16639" s="1921" t="s">
        <v>9244</v>
      </c>
      <c r="C16639" s="2108">
        <v>240.477</v>
      </c>
      <c r="D16639" s="3196">
        <v>1180</v>
      </c>
      <c r="E16639" s="3197">
        <v>3.9069141747443625</v>
      </c>
      <c r="F16639" s="3198">
        <v>0.11720742524233087</v>
      </c>
      <c r="G16639" s="78"/>
      <c r="H16639" t="s">
        <v>9229</v>
      </c>
      <c r="K16639" s="434"/>
    </row>
    <row r="16640" spans="1:11" ht="12.75" hidden="1" customHeight="1" outlineLevel="1" x14ac:dyDescent="0.25">
      <c r="A16640" s="2380">
        <v>7.0000000000000007E-2</v>
      </c>
      <c r="B16640" s="1921" t="s">
        <v>951</v>
      </c>
      <c r="C16640" s="2108">
        <v>3797.8</v>
      </c>
      <c r="D16640" s="3196">
        <v>4080</v>
      </c>
      <c r="E16640" s="3197">
        <v>7.4306177260519135E-2</v>
      </c>
      <c r="F16640" s="3198">
        <v>5.2014324082363403E-3</v>
      </c>
      <c r="G16640" s="78"/>
      <c r="H16640" t="s">
        <v>952</v>
      </c>
      <c r="K16640" s="434"/>
    </row>
    <row r="16641" spans="1:11" ht="12.75" hidden="1" customHeight="1" outlineLevel="1" x14ac:dyDescent="0.25">
      <c r="A16641" s="2380">
        <v>0.02</v>
      </c>
      <c r="B16641" s="1921" t="s">
        <v>8642</v>
      </c>
      <c r="C16641" s="2108">
        <v>44.868000000000002</v>
      </c>
      <c r="D16641" s="3196">
        <v>50.18</v>
      </c>
      <c r="E16641" s="3197">
        <v>0.11839172684318444</v>
      </c>
      <c r="F16641" s="3198">
        <v>2.367834536863689E-3</v>
      </c>
      <c r="G16641" s="78"/>
      <c r="H16641" t="s">
        <v>8649</v>
      </c>
      <c r="K16641" s="434"/>
    </row>
    <row r="16642" spans="1:11" ht="12.75" hidden="1" customHeight="1" outlineLevel="1" x14ac:dyDescent="0.25">
      <c r="A16642" s="2380">
        <v>7.0000000000000007E-2</v>
      </c>
      <c r="B16642" s="1921" t="s">
        <v>160</v>
      </c>
      <c r="C16642" s="2108">
        <v>67.468000000000004</v>
      </c>
      <c r="D16642" s="3196">
        <v>57.73</v>
      </c>
      <c r="E16642" s="3197">
        <v>-0.14433509219185403</v>
      </c>
      <c r="F16642" s="3198">
        <v>-1.0103456453429784E-2</v>
      </c>
      <c r="G16642" s="78"/>
      <c r="H16642" t="s">
        <v>1056</v>
      </c>
      <c r="K16642" s="434"/>
    </row>
    <row r="16643" spans="1:11" ht="12.75" hidden="1" customHeight="1" outlineLevel="1" x14ac:dyDescent="0.25">
      <c r="A16643" s="2380">
        <v>0.03</v>
      </c>
      <c r="B16643" s="1921" t="s">
        <v>7359</v>
      </c>
      <c r="C16643" s="2108">
        <v>4272.3999999999996</v>
      </c>
      <c r="D16643" s="3196">
        <v>9410</v>
      </c>
      <c r="E16643" s="3197">
        <v>1.2025091283587681</v>
      </c>
      <c r="F16643" s="3198">
        <v>3.6075273850763041E-2</v>
      </c>
      <c r="G16643" s="78"/>
      <c r="H16643" t="s">
        <v>7357</v>
      </c>
      <c r="K16643" s="434"/>
    </row>
    <row r="16644" spans="1:11" ht="12.75" hidden="1" customHeight="1" outlineLevel="1" x14ac:dyDescent="0.25">
      <c r="A16644" s="2380">
        <v>0.02</v>
      </c>
      <c r="B16644" s="1921" t="s">
        <v>9245</v>
      </c>
      <c r="C16644" s="2108">
        <v>17.568999999999999</v>
      </c>
      <c r="D16644" s="3196">
        <v>15.29</v>
      </c>
      <c r="E16644" s="3197">
        <v>-0.12971711537366948</v>
      </c>
      <c r="F16644" s="3198">
        <v>-2.5943423074733895E-3</v>
      </c>
      <c r="G16644" s="78"/>
      <c r="H16644" t="s">
        <v>9230</v>
      </c>
      <c r="K16644" s="434"/>
    </row>
    <row r="16645" spans="1:11" ht="12.75" hidden="1" customHeight="1" outlineLevel="1" x14ac:dyDescent="0.25">
      <c r="A16645" s="2380">
        <v>0.03</v>
      </c>
      <c r="B16645" s="1921" t="s">
        <v>9246</v>
      </c>
      <c r="C16645" s="2519">
        <v>4279.95</v>
      </c>
      <c r="D16645" s="3196">
        <v>11675</v>
      </c>
      <c r="E16645" s="3197">
        <v>1.7278356055561397</v>
      </c>
      <c r="F16645" s="3198">
        <v>5.1835068166684185E-2</v>
      </c>
      <c r="G16645" s="78"/>
      <c r="H16645" t="s">
        <v>9231</v>
      </c>
      <c r="K16645" s="434"/>
    </row>
    <row r="16646" spans="1:11" ht="12.75" hidden="1" customHeight="1" outlineLevel="1" x14ac:dyDescent="0.25">
      <c r="A16646" s="2380">
        <v>0.06</v>
      </c>
      <c r="B16646" s="1921" t="s">
        <v>7695</v>
      </c>
      <c r="C16646" s="2108">
        <v>24.03</v>
      </c>
      <c r="D16646" s="3196">
        <v>33.744999999999997</v>
      </c>
      <c r="E16646" s="3197">
        <v>0.40428630878069072</v>
      </c>
      <c r="F16646" s="3198">
        <v>2.4257178526841443E-2</v>
      </c>
      <c r="G16646" s="78"/>
      <c r="H16646" t="s">
        <v>7690</v>
      </c>
      <c r="K16646" s="434"/>
    </row>
    <row r="16647" spans="1:11" ht="12.75" hidden="1" customHeight="1" outlineLevel="1" x14ac:dyDescent="0.25">
      <c r="A16647" s="2380">
        <v>0.03</v>
      </c>
      <c r="B16647" s="1921" t="s">
        <v>2920</v>
      </c>
      <c r="C16647" s="2108">
        <v>54.453000000000003</v>
      </c>
      <c r="D16647" s="3196">
        <v>43.08</v>
      </c>
      <c r="E16647" s="3197">
        <v>-0.2088590160321746</v>
      </c>
      <c r="F16647" s="3198">
        <v>-6.2657704809652376E-3</v>
      </c>
      <c r="G16647" s="78"/>
      <c r="H16647" t="s">
        <v>6731</v>
      </c>
      <c r="K16647" s="434"/>
    </row>
    <row r="16648" spans="1:11" ht="12.75" hidden="1" customHeight="1" outlineLevel="1" x14ac:dyDescent="0.25">
      <c r="A16648" s="2380">
        <v>0.02</v>
      </c>
      <c r="B16648" s="1921" t="s">
        <v>9247</v>
      </c>
      <c r="C16648" s="2108">
        <v>191.649</v>
      </c>
      <c r="D16648" s="3196">
        <v>631.33000000000004</v>
      </c>
      <c r="E16648" s="3197">
        <v>2.2941992914129479</v>
      </c>
      <c r="F16648" s="3198">
        <v>4.5883985828258957E-2</v>
      </c>
      <c r="G16648" s="78"/>
      <c r="H16648" t="s">
        <v>9232</v>
      </c>
      <c r="K16648" s="434"/>
    </row>
    <row r="16649" spans="1:11" ht="12.75" hidden="1" customHeight="1" outlineLevel="1" x14ac:dyDescent="0.25">
      <c r="A16649" s="2380">
        <v>0.02</v>
      </c>
      <c r="B16649" s="1921" t="s">
        <v>9248</v>
      </c>
      <c r="C16649" s="2108">
        <v>202.00800000000001</v>
      </c>
      <c r="D16649" s="3196">
        <v>825.17</v>
      </c>
      <c r="E16649" s="3197">
        <v>3.0848382242287427</v>
      </c>
      <c r="F16649" s="3198">
        <v>6.1696764484574854E-2</v>
      </c>
      <c r="G16649" s="78"/>
      <c r="H16649" t="s">
        <v>9233</v>
      </c>
      <c r="K16649" s="434"/>
    </row>
    <row r="16650" spans="1:11" ht="12.75" hidden="1" customHeight="1" outlineLevel="1" x14ac:dyDescent="0.25">
      <c r="A16650" s="2380">
        <v>0.02</v>
      </c>
      <c r="B16650" s="1921" t="s">
        <v>9249</v>
      </c>
      <c r="C16650" s="2108">
        <v>46.630499999999998</v>
      </c>
      <c r="D16650" s="3196">
        <v>85.18</v>
      </c>
      <c r="E16650" s="3197">
        <v>0.82670140787681912</v>
      </c>
      <c r="F16650" s="3198">
        <v>1.6534028157536382E-2</v>
      </c>
      <c r="G16650" s="78"/>
      <c r="H16650" t="s">
        <v>9234</v>
      </c>
      <c r="K16650" s="434"/>
    </row>
    <row r="16651" spans="1:11" ht="12.75" hidden="1" customHeight="1" outlineLevel="1" x14ac:dyDescent="0.25">
      <c r="A16651" s="2380">
        <v>0.02</v>
      </c>
      <c r="B16651" s="1921" t="s">
        <v>9250</v>
      </c>
      <c r="C16651" s="2108">
        <v>54.16</v>
      </c>
      <c r="D16651" s="3196">
        <v>85.75</v>
      </c>
      <c r="E16651" s="3197">
        <v>0.58327178729689821</v>
      </c>
      <c r="F16651" s="3198">
        <v>1.1665435745937964E-2</v>
      </c>
      <c r="G16651" s="78"/>
      <c r="H16651" t="s">
        <v>9235</v>
      </c>
      <c r="K16651" s="434"/>
    </row>
    <row r="16652" spans="1:11" ht="12.75" hidden="1" customHeight="1" outlineLevel="1" x14ac:dyDescent="0.25">
      <c r="A16652" s="2380">
        <v>0.03</v>
      </c>
      <c r="B16652" s="1921" t="s">
        <v>9251</v>
      </c>
      <c r="C16652" s="2108">
        <v>1721.4444444444434</v>
      </c>
      <c r="D16652" s="3196">
        <v>3015</v>
      </c>
      <c r="E16652" s="3197">
        <v>0.75143613244691254</v>
      </c>
      <c r="F16652" s="3198">
        <v>2.2543083973407374E-2</v>
      </c>
      <c r="G16652" s="78"/>
      <c r="H16652" t="s">
        <v>9236</v>
      </c>
      <c r="K16652" s="434"/>
    </row>
    <row r="16653" spans="1:11" ht="12.75" hidden="1" customHeight="1" outlineLevel="1" x14ac:dyDescent="0.25">
      <c r="A16653" s="2380">
        <v>0.08</v>
      </c>
      <c r="B16653" s="1921" t="s">
        <v>1190</v>
      </c>
      <c r="C16653" s="2108">
        <v>5.2750000000000004</v>
      </c>
      <c r="D16653" s="3196">
        <v>3.3220000000000001</v>
      </c>
      <c r="E16653" s="3197">
        <v>-0.37023696682464458</v>
      </c>
      <c r="F16653" s="3198">
        <v>-2.9618957345971565E-2</v>
      </c>
      <c r="G16653" s="78"/>
      <c r="H16653" t="s">
        <v>7569</v>
      </c>
      <c r="K16653" s="434"/>
    </row>
    <row r="16654" spans="1:11" ht="12.75" hidden="1" customHeight="1" outlineLevel="1" x14ac:dyDescent="0.25">
      <c r="A16654" s="2380">
        <v>0.02</v>
      </c>
      <c r="B16654" s="1921" t="s">
        <v>6559</v>
      </c>
      <c r="C16654" s="2108">
        <v>56.201000000000001</v>
      </c>
      <c r="D16654" s="3196">
        <v>148.51</v>
      </c>
      <c r="E16654" s="3197">
        <v>1.6424796711802281</v>
      </c>
      <c r="F16654" s="3198">
        <v>3.2849593423604564E-2</v>
      </c>
      <c r="G16654" s="78"/>
      <c r="H16654" t="s">
        <v>6558</v>
      </c>
      <c r="K16654" s="434"/>
    </row>
    <row r="16655" spans="1:11" ht="12.75" hidden="1" customHeight="1" outlineLevel="1" x14ac:dyDescent="0.25">
      <c r="A16655" s="2380">
        <v>0.02</v>
      </c>
      <c r="B16655" s="1921" t="s">
        <v>4294</v>
      </c>
      <c r="C16655" s="2108">
        <v>6.7013999999999996</v>
      </c>
      <c r="D16655" s="3196">
        <v>11.78</v>
      </c>
      <c r="E16655" s="3197">
        <v>0.75784164502939677</v>
      </c>
      <c r="F16655" s="3198">
        <v>1.5156832900587936E-2</v>
      </c>
      <c r="G16655" s="78"/>
      <c r="H16655" t="s">
        <v>1894</v>
      </c>
      <c r="K16655" s="434"/>
    </row>
    <row r="16656" spans="1:11" ht="12.75" hidden="1" customHeight="1" outlineLevel="1" x14ac:dyDescent="0.25">
      <c r="A16656" s="2380">
        <v>0.02</v>
      </c>
      <c r="B16656" s="1921" t="s">
        <v>1206</v>
      </c>
      <c r="C16656" s="2108">
        <v>96.015888401961902</v>
      </c>
      <c r="D16656" s="3196">
        <v>160.80000000000001</v>
      </c>
      <c r="E16656" s="3197">
        <v>0.67472282636000025</v>
      </c>
      <c r="F16656" s="3198">
        <v>1.3494456527200006E-2</v>
      </c>
      <c r="G16656" s="78"/>
      <c r="H16656" t="s">
        <v>3484</v>
      </c>
      <c r="K16656" s="434"/>
    </row>
    <row r="16657" spans="1:11" ht="12.75" hidden="1" customHeight="1" outlineLevel="1" x14ac:dyDescent="0.25">
      <c r="A16657" s="2380">
        <v>0.04</v>
      </c>
      <c r="B16657" s="1921" t="s">
        <v>9252</v>
      </c>
      <c r="C16657" s="2108">
        <v>2055.5</v>
      </c>
      <c r="D16657" s="3196">
        <v>2166.5</v>
      </c>
      <c r="E16657" s="3197">
        <v>5.4001459498905335E-2</v>
      </c>
      <c r="F16657" s="3198">
        <v>2.1600583799562135E-3</v>
      </c>
      <c r="G16657" s="78"/>
      <c r="H16657" t="s">
        <v>9237</v>
      </c>
      <c r="K16657" s="434"/>
    </row>
    <row r="16658" spans="1:11" ht="12.75" hidden="1" customHeight="1" outlineLevel="1" x14ac:dyDescent="0.25">
      <c r="A16658" s="2380">
        <v>0.02</v>
      </c>
      <c r="B16658" s="1921" t="s">
        <v>9253</v>
      </c>
      <c r="C16658" s="2108">
        <v>98.247</v>
      </c>
      <c r="D16658" s="3196">
        <v>104.46</v>
      </c>
      <c r="E16658" s="3197">
        <v>6.3238572170142504E-2</v>
      </c>
      <c r="F16658" s="3198">
        <v>1.2647714434028501E-3</v>
      </c>
      <c r="G16658" s="78"/>
      <c r="H16658" t="s">
        <v>9238</v>
      </c>
      <c r="K16658" s="434"/>
    </row>
    <row r="16659" spans="1:11" ht="12.75" hidden="1" customHeight="1" outlineLevel="1" x14ac:dyDescent="0.25">
      <c r="A16659" s="2380">
        <v>0.05</v>
      </c>
      <c r="B16659" s="1921" t="s">
        <v>9254</v>
      </c>
      <c r="C16659" s="2108">
        <v>20.186</v>
      </c>
      <c r="D16659" s="3196">
        <v>40.905000000000001</v>
      </c>
      <c r="E16659" s="3197">
        <v>1.0264044387199052</v>
      </c>
      <c r="F16659" s="3198">
        <v>5.132022193599526E-2</v>
      </c>
      <c r="G16659" s="78"/>
      <c r="H16659" t="s">
        <v>10758</v>
      </c>
      <c r="K16659" s="434"/>
    </row>
    <row r="16660" spans="1:11" ht="12.75" hidden="1" customHeight="1" outlineLevel="1" x14ac:dyDescent="0.25">
      <c r="A16660" s="2380">
        <v>0.08</v>
      </c>
      <c r="B16660" s="1921" t="s">
        <v>8646</v>
      </c>
      <c r="C16660" s="2108">
        <v>7123.166666666667</v>
      </c>
      <c r="D16660" s="3196">
        <v>27865</v>
      </c>
      <c r="E16660" s="3197">
        <v>2.9118837595638642</v>
      </c>
      <c r="F16660" s="3198">
        <v>0.23295070076510915</v>
      </c>
      <c r="G16660" s="78"/>
      <c r="H16660" t="s">
        <v>8653</v>
      </c>
      <c r="K16660" s="434"/>
    </row>
    <row r="16661" spans="1:11" ht="12.75" hidden="1" customHeight="1" outlineLevel="1" x14ac:dyDescent="0.25">
      <c r="A16661" s="2380">
        <v>0.03</v>
      </c>
      <c r="B16661" s="1921" t="s">
        <v>7841</v>
      </c>
      <c r="C16661" s="2108">
        <v>83.308000000000007</v>
      </c>
      <c r="D16661" s="3196">
        <v>57.25</v>
      </c>
      <c r="E16661" s="3197">
        <v>-0.31279108849090131</v>
      </c>
      <c r="F16661" s="3198">
        <v>-9.3837326547270387E-3</v>
      </c>
      <c r="G16661" s="78"/>
      <c r="H16661" t="s">
        <v>7832</v>
      </c>
      <c r="K16661" s="434"/>
    </row>
    <row r="16662" spans="1:11" ht="12.75" hidden="1" customHeight="1" outlineLevel="1" x14ac:dyDescent="0.25">
      <c r="A16662" s="2380">
        <v>0.02</v>
      </c>
      <c r="B16662" s="2109" t="s">
        <v>10823</v>
      </c>
      <c r="C16662" s="2108">
        <v>41.437858895885761</v>
      </c>
      <c r="D16662" s="3199">
        <v>167.69</v>
      </c>
      <c r="E16662" s="3197">
        <v>3.04678244649</v>
      </c>
      <c r="F16662" s="3198">
        <v>6.0935648929800003E-2</v>
      </c>
      <c r="G16662" s="78"/>
      <c r="H16662" t="s">
        <v>10824</v>
      </c>
      <c r="K16662" s="434"/>
    </row>
    <row r="16663" spans="1:11" ht="12.75" hidden="1" customHeight="1" outlineLevel="1" x14ac:dyDescent="0.25">
      <c r="A16663" s="2181" t="s">
        <v>2734</v>
      </c>
      <c r="B16663" s="2103"/>
      <c r="C16663" s="3200"/>
      <c r="D16663" s="3201"/>
      <c r="E16663" s="3202"/>
      <c r="F16663" s="3193">
        <v>0.91429606390746709</v>
      </c>
      <c r="G16663" s="78"/>
    </row>
    <row r="16664" spans="1:11" ht="12.75" hidden="1" customHeight="1" outlineLevel="1" x14ac:dyDescent="0.25">
      <c r="A16664" s="1956" t="s">
        <v>9271</v>
      </c>
      <c r="B16664" s="2185">
        <v>45139</v>
      </c>
      <c r="C16664" s="3203">
        <v>100</v>
      </c>
      <c r="D16664" s="3203">
        <v>166.80170000000001</v>
      </c>
      <c r="E16664" s="3204">
        <v>0.66801700000000008</v>
      </c>
      <c r="F16664" s="3205"/>
      <c r="G16664" s="78"/>
    </row>
    <row r="16665" spans="1:11" ht="12.75" hidden="1" customHeight="1" outlineLevel="1" x14ac:dyDescent="0.25">
      <c r="A16665" s="1956" t="s">
        <v>9272</v>
      </c>
      <c r="B16665" s="2185">
        <v>45170</v>
      </c>
      <c r="C16665" s="3203">
        <v>100</v>
      </c>
      <c r="D16665" s="3206">
        <v>158.90639999999999</v>
      </c>
      <c r="E16665" s="3204">
        <v>0.58906399999999981</v>
      </c>
      <c r="F16665" s="3205"/>
      <c r="G16665" s="78"/>
    </row>
    <row r="16666" spans="1:11" ht="12.75" hidden="1" customHeight="1" outlineLevel="1" x14ac:dyDescent="0.25">
      <c r="A16666" s="1956" t="s">
        <v>9273</v>
      </c>
      <c r="B16666" s="2185">
        <v>45200</v>
      </c>
      <c r="C16666" s="3203">
        <v>100</v>
      </c>
      <c r="D16666" s="3206">
        <v>150.91820000000001</v>
      </c>
      <c r="E16666" s="3204">
        <v>0.50918200000000002</v>
      </c>
      <c r="F16666" s="3205"/>
      <c r="G16666" s="78"/>
    </row>
    <row r="16667" spans="1:11" ht="12.75" hidden="1" customHeight="1" outlineLevel="1" x14ac:dyDescent="0.25">
      <c r="A16667" s="1956" t="s">
        <v>9274</v>
      </c>
      <c r="B16667" s="2185">
        <v>45231</v>
      </c>
      <c r="C16667" s="3203">
        <v>100</v>
      </c>
      <c r="D16667" s="3206">
        <v>172.9076</v>
      </c>
      <c r="E16667" s="3204">
        <v>0.72907600000000006</v>
      </c>
      <c r="F16667" s="3205"/>
      <c r="G16667" s="78"/>
    </row>
    <row r="16668" spans="1:11" ht="12.75" hidden="1" customHeight="1" outlineLevel="1" x14ac:dyDescent="0.25">
      <c r="A16668" s="1956" t="s">
        <v>9275</v>
      </c>
      <c r="B16668" s="2185">
        <v>45261</v>
      </c>
      <c r="C16668" s="3203">
        <v>100</v>
      </c>
      <c r="D16668" s="3206">
        <v>184.2397</v>
      </c>
      <c r="E16668" s="3204">
        <v>0.84239700000000006</v>
      </c>
      <c r="F16668" s="3205"/>
      <c r="G16668" s="78"/>
    </row>
    <row r="16669" spans="1:11" ht="12.75" hidden="1" customHeight="1" outlineLevel="1" x14ac:dyDescent="0.25">
      <c r="A16669" s="1956" t="s">
        <v>9276</v>
      </c>
      <c r="B16669" s="2185">
        <v>45292</v>
      </c>
      <c r="C16669" s="3203">
        <v>100</v>
      </c>
      <c r="D16669" s="3206">
        <v>191.42959999999999</v>
      </c>
      <c r="E16669" s="3204">
        <v>0.914296</v>
      </c>
      <c r="F16669" s="3205"/>
      <c r="G16669" s="78"/>
    </row>
    <row r="16670" spans="1:11" ht="12.75" hidden="1" customHeight="1" outlineLevel="1" x14ac:dyDescent="0.25">
      <c r="A16670" s="2189" t="s">
        <v>2734</v>
      </c>
      <c r="B16670" s="2190"/>
      <c r="C16670" s="3206"/>
      <c r="D16670" s="2191" t="s">
        <v>2465</v>
      </c>
      <c r="E16670" s="1987">
        <v>0.70867199999999997</v>
      </c>
      <c r="F16670" s="2192">
        <v>0.70867199999999997</v>
      </c>
      <c r="G16670" s="78"/>
    </row>
    <row r="16671" spans="1:11" collapsed="1" x14ac:dyDescent="0.25">
      <c r="A16671" s="3801" t="s">
        <v>9158</v>
      </c>
      <c r="B16671" s="3802"/>
      <c r="C16671" s="3802"/>
      <c r="D16671" s="3802"/>
      <c r="E16671" s="1906"/>
      <c r="F16671" s="1907">
        <v>0.56693760000000004</v>
      </c>
      <c r="G16671" s="78"/>
    </row>
    <row r="16673" spans="1:33" hidden="1" outlineLevel="1" x14ac:dyDescent="0.25">
      <c r="A16673" s="1712" t="s">
        <v>113</v>
      </c>
      <c r="B16673" s="1712" t="s">
        <v>114</v>
      </c>
      <c r="C16673" s="1713" t="s">
        <v>112</v>
      </c>
      <c r="D16673" s="1713" t="s">
        <v>4155</v>
      </c>
      <c r="E16673" s="1713" t="s">
        <v>116</v>
      </c>
      <c r="F16673" s="1887" t="s">
        <v>8050</v>
      </c>
      <c r="G16673" s="78"/>
      <c r="H16673" s="1302">
        <v>44925</v>
      </c>
      <c r="I16673" s="1302">
        <v>44957</v>
      </c>
      <c r="J16673" s="236">
        <v>44985</v>
      </c>
      <c r="K16673" s="1302">
        <v>45016</v>
      </c>
      <c r="L16673" s="1302">
        <v>45044</v>
      </c>
      <c r="M16673" s="1302">
        <v>45077</v>
      </c>
      <c r="N16673" s="1302">
        <v>45107</v>
      </c>
      <c r="O16673" s="1302">
        <v>45138</v>
      </c>
      <c r="P16673" s="1302">
        <v>45169</v>
      </c>
      <c r="Q16673" s="1302">
        <v>45199</v>
      </c>
      <c r="R16673" s="1302">
        <v>45230</v>
      </c>
      <c r="S16673" s="1302">
        <v>45260</v>
      </c>
      <c r="T16673" s="1302">
        <v>45291</v>
      </c>
      <c r="U16673" s="1302">
        <v>45322</v>
      </c>
      <c r="V16673" s="1302">
        <v>45351</v>
      </c>
      <c r="W16673" s="1302">
        <v>45382</v>
      </c>
      <c r="X16673" s="1302">
        <v>45412</v>
      </c>
      <c r="Y16673" s="1302">
        <v>45443</v>
      </c>
      <c r="Z16673" s="1302"/>
      <c r="AA16673" s="1302"/>
      <c r="AB16673" s="1302"/>
      <c r="AC16673" s="1302"/>
      <c r="AD16673" s="1302"/>
      <c r="AE16673" s="1302"/>
      <c r="AF16673" s="1302"/>
      <c r="AG16673" s="1302"/>
    </row>
    <row r="16674" spans="1:33" hidden="1" outlineLevel="1" x14ac:dyDescent="0.25">
      <c r="A16674" s="221" t="s">
        <v>1327</v>
      </c>
      <c r="B16674" s="1622" t="s">
        <v>2153</v>
      </c>
      <c r="C16674" s="1669">
        <v>3465.9850000000001</v>
      </c>
      <c r="D16674" s="1669">
        <f>H16676</f>
        <v>4453.9827777777782</v>
      </c>
      <c r="E16674" s="1709">
        <v>3363.4319999999998</v>
      </c>
      <c r="F16674" s="1733">
        <f>IF(E16674="",D16674/C16674-1,E16674/C16674-1)</f>
        <v>-2.9588414260304119E-2</v>
      </c>
      <c r="G16674" s="78"/>
      <c r="H16674" s="367">
        <v>3793.62</v>
      </c>
      <c r="I16674" s="367">
        <v>4163.45</v>
      </c>
      <c r="J16674">
        <v>4238.38</v>
      </c>
      <c r="K16674">
        <v>4315.05</v>
      </c>
      <c r="L16674">
        <v>4359.3100000000004</v>
      </c>
      <c r="M16674">
        <v>4218.04</v>
      </c>
      <c r="N16674">
        <v>4399.09</v>
      </c>
      <c r="O16674">
        <v>4471.3100000000004</v>
      </c>
      <c r="P16674">
        <v>4297.1099999999997</v>
      </c>
      <c r="Q16674">
        <v>4174.66</v>
      </c>
      <c r="R16674" s="415">
        <v>4061.12</v>
      </c>
      <c r="S16674" s="415">
        <v>4382.47</v>
      </c>
      <c r="T16674" s="415">
        <v>4521.6499999999996</v>
      </c>
      <c r="U16674" s="2432">
        <v>4648.3999999999996</v>
      </c>
      <c r="V16674" s="2432">
        <v>4877.7700000000004</v>
      </c>
      <c r="W16674" s="2432">
        <v>5083.42</v>
      </c>
      <c r="X16674" s="1990">
        <f>+indexy!$B$3</f>
        <v>5083.42</v>
      </c>
      <c r="Y16674" s="1990">
        <f>+indexy!$B$3</f>
        <v>5083.42</v>
      </c>
    </row>
    <row r="16675" spans="1:33" hidden="1" outlineLevel="1" x14ac:dyDescent="0.25">
      <c r="A16675" s="221" t="s">
        <v>6006</v>
      </c>
      <c r="B16675" s="1622" t="s">
        <v>2153</v>
      </c>
      <c r="C16675" s="1668"/>
      <c r="D16675" s="1668"/>
      <c r="E16675" s="1624"/>
      <c r="F16675" s="1305"/>
      <c r="G16675" s="78"/>
      <c r="H16675" t="s">
        <v>3766</v>
      </c>
    </row>
    <row r="16676" spans="1:33" hidden="1" outlineLevel="1" x14ac:dyDescent="0.25">
      <c r="A16676" s="52" t="s">
        <v>2734</v>
      </c>
      <c r="B16676" s="1710"/>
      <c r="C16676" s="1307"/>
      <c r="D16676" s="1307"/>
      <c r="E16676" s="1711"/>
      <c r="F16676" s="1305">
        <f>+D16674/C16674-1</f>
        <v>0.28505541073541241</v>
      </c>
      <c r="G16676" s="78"/>
      <c r="H16676" s="367">
        <f>AVERAGE(H16674:Y16674)</f>
        <v>4453.9827777777782</v>
      </c>
    </row>
    <row r="16677" spans="1:33" collapsed="1" x14ac:dyDescent="0.25">
      <c r="A16677" s="3799" t="s">
        <v>9281</v>
      </c>
      <c r="B16677" s="3800"/>
      <c r="C16677" s="3800"/>
      <c r="D16677" s="3800"/>
      <c r="E16677" s="18"/>
      <c r="F16677" s="36">
        <f>IF(F16674&gt;0,6%,IF(F16676&lt;-20%,+F16676+20%,IF(F16676&lt;0%,0%,IF(F16676*0.7&lt;60%,F16676*0.7,60%))))</f>
        <v>0.19953878751478868</v>
      </c>
      <c r="G16677" s="78"/>
    </row>
    <row r="16679" spans="1:33" ht="12.75" hidden="1" customHeight="1" outlineLevel="1" x14ac:dyDescent="0.25">
      <c r="A16679" s="3237" t="s">
        <v>113</v>
      </c>
      <c r="B16679" s="3237" t="s">
        <v>114</v>
      </c>
      <c r="C16679" s="3237" t="s">
        <v>112</v>
      </c>
      <c r="D16679" s="3237" t="s">
        <v>116</v>
      </c>
      <c r="E16679" s="3237" t="s">
        <v>117</v>
      </c>
      <c r="F16679" s="3276" t="s">
        <v>121</v>
      </c>
      <c r="G16679" s="78"/>
    </row>
    <row r="16680" spans="1:33" ht="12.75" hidden="1" customHeight="1" outlineLevel="1" x14ac:dyDescent="0.25">
      <c r="A16680" s="3238">
        <v>1</v>
      </c>
      <c r="B16680" s="3239" t="s">
        <v>252</v>
      </c>
      <c r="C16680" s="3240">
        <v>100</v>
      </c>
      <c r="D16680" s="3240"/>
      <c r="E16680" s="3241"/>
      <c r="F16680" s="3242"/>
      <c r="G16680" s="78"/>
    </row>
    <row r="16681" spans="1:33" ht="12.75" hidden="1" customHeight="1" outlineLevel="1" x14ac:dyDescent="0.3">
      <c r="A16681" s="3243" t="s">
        <v>2734</v>
      </c>
      <c r="B16681" s="3243"/>
      <c r="C16681" s="3244"/>
      <c r="D16681" s="1900" t="s">
        <v>3702</v>
      </c>
      <c r="E16681" s="3245">
        <v>45379</v>
      </c>
      <c r="F16681" s="3246"/>
      <c r="G16681" s="78"/>
      <c r="I16681" s="1769" t="s">
        <v>9367</v>
      </c>
      <c r="J16681" s="308" t="s">
        <v>252</v>
      </c>
      <c r="L16681" s="1768"/>
    </row>
    <row r="16682" spans="1:33" ht="12.75" hidden="1" customHeight="1" outlineLevel="1" x14ac:dyDescent="0.3">
      <c r="A16682" s="3237" t="s">
        <v>4156</v>
      </c>
      <c r="B16682" s="3237" t="s">
        <v>4153</v>
      </c>
      <c r="C16682" s="3247" t="s">
        <v>112</v>
      </c>
      <c r="D16682" s="3248" t="s">
        <v>4155</v>
      </c>
      <c r="E16682" s="3237" t="s">
        <v>4154</v>
      </c>
      <c r="F16682" s="3277" t="s">
        <v>2519</v>
      </c>
      <c r="G16682" s="78"/>
      <c r="I16682" s="1517" t="s">
        <v>4156</v>
      </c>
      <c r="J16682" s="1765" t="s">
        <v>5272</v>
      </c>
      <c r="K16682" s="1518" t="s">
        <v>112</v>
      </c>
      <c r="L16682" s="23" t="s">
        <v>4363</v>
      </c>
      <c r="M16682" s="23" t="s">
        <v>4577</v>
      </c>
      <c r="N16682" s="1517" t="s">
        <v>2519</v>
      </c>
      <c r="O16682" s="433"/>
    </row>
    <row r="16683" spans="1:33" ht="12.75" hidden="1" customHeight="1" outlineLevel="1" x14ac:dyDescent="0.25">
      <c r="A16683" s="1991">
        <v>0.04</v>
      </c>
      <c r="B16683" s="1921" t="s">
        <v>2697</v>
      </c>
      <c r="C16683" s="2108">
        <v>14.518000000000001</v>
      </c>
      <c r="D16683" s="3278">
        <v>23.46</v>
      </c>
      <c r="E16683" s="3279">
        <v>0.61592505854800939</v>
      </c>
      <c r="F16683" s="3277">
        <v>2.4637002341920376E-2</v>
      </c>
      <c r="G16683" s="78"/>
      <c r="H16683" t="s">
        <v>329</v>
      </c>
      <c r="I16683" s="1766">
        <v>0.1</v>
      </c>
      <c r="J16683" s="433" t="s">
        <v>3320</v>
      </c>
      <c r="K16683" s="433">
        <v>88.638999999999996</v>
      </c>
      <c r="L16683" s="1645">
        <v>88.762</v>
      </c>
      <c r="M16683" s="1646">
        <v>1.3876510339692061E-3</v>
      </c>
      <c r="N16683" s="1767">
        <v>1.3876510339692061E-4</v>
      </c>
      <c r="O16683" s="433" t="s">
        <v>4093</v>
      </c>
      <c r="R16683" s="434"/>
    </row>
    <row r="16684" spans="1:33" ht="12.75" hidden="1" customHeight="1" outlineLevel="1" x14ac:dyDescent="0.25">
      <c r="A16684" s="2380">
        <v>0.02</v>
      </c>
      <c r="B16684" s="1921" t="s">
        <v>218</v>
      </c>
      <c r="C16684" s="2108">
        <v>20.885999999999999</v>
      </c>
      <c r="D16684" s="3280">
        <v>34.814999999999998</v>
      </c>
      <c r="E16684" s="3281">
        <v>0.66690606147658715</v>
      </c>
      <c r="F16684" s="3282">
        <v>1.3338121229531744E-2</v>
      </c>
      <c r="G16684" s="78"/>
      <c r="H16684" t="s">
        <v>656</v>
      </c>
      <c r="I16684" s="1766">
        <v>0.1</v>
      </c>
      <c r="J16684" s="433" t="s">
        <v>4515</v>
      </c>
      <c r="K16684" s="433">
        <v>780.1</v>
      </c>
      <c r="L16684" s="1645">
        <v>891.4</v>
      </c>
      <c r="M16684" s="1646">
        <v>0.14267401615177544</v>
      </c>
      <c r="N16684" s="1767">
        <v>1.4267401615177545E-2</v>
      </c>
      <c r="O16684" s="433" t="s">
        <v>1778</v>
      </c>
      <c r="R16684" s="434"/>
    </row>
    <row r="16685" spans="1:33" ht="12.75" hidden="1" customHeight="1" outlineLevel="1" x14ac:dyDescent="0.25">
      <c r="A16685" s="2380">
        <v>0.02</v>
      </c>
      <c r="B16685" s="1921" t="s">
        <v>807</v>
      </c>
      <c r="C16685" s="2108">
        <v>55.539000000000001</v>
      </c>
      <c r="D16685" s="3280">
        <v>46.03</v>
      </c>
      <c r="E16685" s="3281">
        <v>-0.17121302148040118</v>
      </c>
      <c r="F16685" s="3282">
        <v>-3.4242604296080238E-3</v>
      </c>
      <c r="G16685" s="78"/>
      <c r="H16685" t="s">
        <v>808</v>
      </c>
      <c r="I16685" s="1766">
        <v>0.1</v>
      </c>
      <c r="J16685" s="433" t="s">
        <v>3406</v>
      </c>
      <c r="K16685" s="433">
        <v>28.018999999999998</v>
      </c>
      <c r="L16685" s="1645">
        <v>34.166999999999994</v>
      </c>
      <c r="M16685" s="1646">
        <v>0.21942253470859052</v>
      </c>
      <c r="N16685" s="1767">
        <v>2.1942253470859055E-2</v>
      </c>
      <c r="O16685" s="433" t="s">
        <v>2105</v>
      </c>
      <c r="R16685" s="434"/>
    </row>
    <row r="16686" spans="1:33" ht="12.75" hidden="1" customHeight="1" outlineLevel="1" x14ac:dyDescent="0.25">
      <c r="A16686" s="2380">
        <v>0.02</v>
      </c>
      <c r="B16686" s="1921" t="s">
        <v>1188</v>
      </c>
      <c r="C16686" s="2108">
        <v>5.7041000000000004</v>
      </c>
      <c r="D16686" s="3280">
        <v>4.9569999999999999</v>
      </c>
      <c r="E16686" s="3281">
        <v>-0.13097596465700123</v>
      </c>
      <c r="F16686" s="3282">
        <v>-2.6195192931400247E-3</v>
      </c>
      <c r="G16686" s="78"/>
      <c r="H16686" t="s">
        <v>2746</v>
      </c>
      <c r="I16686" s="1766">
        <v>0.1</v>
      </c>
      <c r="J16686" s="433" t="s">
        <v>3319</v>
      </c>
      <c r="K16686" s="433">
        <v>90.263999999999996</v>
      </c>
      <c r="L16686" s="1645">
        <v>95.08</v>
      </c>
      <c r="M16686" s="1646">
        <v>5.3354604271913519E-2</v>
      </c>
      <c r="N16686" s="1767">
        <v>5.3354604271913519E-3</v>
      </c>
      <c r="O16686" s="433" t="s">
        <v>1779</v>
      </c>
      <c r="R16686" s="434"/>
    </row>
    <row r="16687" spans="1:33" ht="12.75" hidden="1" customHeight="1" outlineLevel="1" x14ac:dyDescent="0.25">
      <c r="A16687" s="2380">
        <v>0.02</v>
      </c>
      <c r="B16687" s="1921" t="s">
        <v>8918</v>
      </c>
      <c r="C16687" s="2108">
        <v>2.2305000000000001</v>
      </c>
      <c r="D16687" s="3280">
        <v>1.0965</v>
      </c>
      <c r="E16687" s="3281">
        <v>-0.50840618695359785</v>
      </c>
      <c r="F16687" s="3282">
        <v>-1.0168123739071958E-2</v>
      </c>
      <c r="G16687" s="78"/>
      <c r="H16687" t="s">
        <v>8921</v>
      </c>
      <c r="I16687" s="1766">
        <v>0.1</v>
      </c>
      <c r="J16687" s="433" t="s">
        <v>9363</v>
      </c>
      <c r="K16687" s="433">
        <v>23.89</v>
      </c>
      <c r="L16687" s="1645">
        <v>27.932000000000006</v>
      </c>
      <c r="M16687" s="1646">
        <v>0.16919213059857707</v>
      </c>
      <c r="N16687" s="1767">
        <v>1.6919213059857708E-2</v>
      </c>
      <c r="O16687" s="433" t="s">
        <v>9361</v>
      </c>
      <c r="R16687" s="434"/>
    </row>
    <row r="16688" spans="1:33" ht="12.75" hidden="1" customHeight="1" outlineLevel="1" x14ac:dyDescent="0.25">
      <c r="A16688" s="2380">
        <v>0.02</v>
      </c>
      <c r="B16688" s="1921" t="s">
        <v>8678</v>
      </c>
      <c r="C16688" s="2108">
        <v>74.968000000000004</v>
      </c>
      <c r="D16688" s="3280">
        <v>120.34</v>
      </c>
      <c r="E16688" s="3281">
        <v>0.60521822644328238</v>
      </c>
      <c r="F16688" s="3282">
        <v>1.2104364528865649E-2</v>
      </c>
      <c r="G16688" s="78"/>
      <c r="H16688" t="s">
        <v>8682</v>
      </c>
      <c r="I16688" s="1766">
        <v>0.1</v>
      </c>
      <c r="J16688" s="433" t="s">
        <v>3869</v>
      </c>
      <c r="K16688" s="433">
        <v>66.760000000000005</v>
      </c>
      <c r="L16688" s="1645">
        <v>51.73</v>
      </c>
      <c r="M16688" s="1646">
        <v>-0.22513481126423018</v>
      </c>
      <c r="N16688" s="1767">
        <v>-2.251348112642302E-2</v>
      </c>
      <c r="O16688" s="433" t="s">
        <v>1984</v>
      </c>
      <c r="R16688" s="434"/>
    </row>
    <row r="16689" spans="1:18" ht="12.75" hidden="1" customHeight="1" outlineLevel="1" x14ac:dyDescent="0.25">
      <c r="A16689" s="2380">
        <v>0.02</v>
      </c>
      <c r="B16689" s="1921" t="s">
        <v>10672</v>
      </c>
      <c r="C16689" s="2108">
        <v>48.043127623846885</v>
      </c>
      <c r="D16689" s="3280">
        <v>73.81</v>
      </c>
      <c r="E16689" s="3281">
        <v>0.53632795470550021</v>
      </c>
      <c r="F16689" s="3282">
        <v>1.0726559094110005E-2</v>
      </c>
      <c r="G16689" s="78"/>
      <c r="H16689" t="s">
        <v>10674</v>
      </c>
      <c r="I16689" s="1766">
        <v>0.1</v>
      </c>
      <c r="J16689" s="433" t="s">
        <v>1204</v>
      </c>
      <c r="K16689" s="433">
        <v>113.18600000000001</v>
      </c>
      <c r="L16689" s="1645">
        <v>126.73800000000001</v>
      </c>
      <c r="M16689" s="1646">
        <v>0.11973212234728692</v>
      </c>
      <c r="N16689" s="1767">
        <v>1.1973212234728692E-2</v>
      </c>
      <c r="O16689" s="433" t="s">
        <v>9047</v>
      </c>
      <c r="R16689" s="434"/>
    </row>
    <row r="16690" spans="1:18" ht="12.75" hidden="1" customHeight="1" outlineLevel="1" x14ac:dyDescent="0.25">
      <c r="A16690" s="2380">
        <v>0.02</v>
      </c>
      <c r="B16690" s="1921" t="s">
        <v>2629</v>
      </c>
      <c r="C16690" s="2108">
        <v>13.791</v>
      </c>
      <c r="D16690" s="3280">
        <v>22.5</v>
      </c>
      <c r="E16690" s="3281">
        <v>0.63149880356754395</v>
      </c>
      <c r="F16690" s="3282">
        <v>1.2629976071350879E-2</v>
      </c>
      <c r="G16690" s="78"/>
      <c r="H16690" t="s">
        <v>1652</v>
      </c>
      <c r="I16690" s="1766">
        <v>0.1</v>
      </c>
      <c r="J16690" s="433" t="s">
        <v>4044</v>
      </c>
      <c r="K16690" s="433">
        <v>137.845</v>
      </c>
      <c r="L16690" s="1645">
        <v>155.70999999999998</v>
      </c>
      <c r="M16690" s="1646">
        <v>0.12960208930320283</v>
      </c>
      <c r="N16690" s="1767">
        <v>1.2960208930320283E-2</v>
      </c>
      <c r="O16690" s="433" t="s">
        <v>4045</v>
      </c>
      <c r="R16690" s="434"/>
    </row>
    <row r="16691" spans="1:18" ht="12.75" hidden="1" customHeight="1" outlineLevel="1" x14ac:dyDescent="0.25">
      <c r="A16691" s="2380">
        <v>0.02</v>
      </c>
      <c r="B16691" s="1921" t="s">
        <v>6821</v>
      </c>
      <c r="C16691" s="2108">
        <v>3.2981551647219298</v>
      </c>
      <c r="D16691" s="3280">
        <v>1.9505000000000001</v>
      </c>
      <c r="E16691" s="3281">
        <v>-0.40860878200542505</v>
      </c>
      <c r="F16691" s="3282">
        <v>-8.1721756401085012E-3</v>
      </c>
      <c r="G16691" s="78"/>
      <c r="H16691" t="s">
        <v>6822</v>
      </c>
      <c r="I16691" s="1766">
        <v>0.1</v>
      </c>
      <c r="J16691" s="433" t="s">
        <v>1142</v>
      </c>
      <c r="K16691" s="433">
        <v>44.905999999999999</v>
      </c>
      <c r="L16691" s="1645">
        <v>52.291999999999994</v>
      </c>
      <c r="M16691" s="1646">
        <v>0.16447690731750764</v>
      </c>
      <c r="N16691" s="1767">
        <v>1.6447690731750765E-2</v>
      </c>
      <c r="O16691" s="433" t="s">
        <v>1143</v>
      </c>
      <c r="R16691" s="434"/>
    </row>
    <row r="16692" spans="1:18" ht="12.75" hidden="1" customHeight="1" outlineLevel="1" thickBot="1" x14ac:dyDescent="0.3">
      <c r="A16692" s="2380">
        <v>0.08</v>
      </c>
      <c r="B16692" s="1921" t="s">
        <v>6267</v>
      </c>
      <c r="C16692" s="2108">
        <v>24.274000000000001</v>
      </c>
      <c r="D16692" s="3280">
        <v>13.765000000000001</v>
      </c>
      <c r="E16692" s="3281">
        <v>-0.43293235560682208</v>
      </c>
      <c r="F16692" s="3282">
        <v>-3.4634588448545771E-2</v>
      </c>
      <c r="G16692" s="78"/>
      <c r="H16692" t="s">
        <v>6268</v>
      </c>
      <c r="I16692" s="1766">
        <v>0.1</v>
      </c>
      <c r="J16692" s="433" t="s">
        <v>9365</v>
      </c>
      <c r="K16692" s="433">
        <v>17.782</v>
      </c>
      <c r="L16692" s="1645">
        <v>17.002000000000002</v>
      </c>
      <c r="M16692" s="1646">
        <v>-4.3864582161736498E-2</v>
      </c>
      <c r="N16692" s="1767">
        <v>-4.3864582161736504E-3</v>
      </c>
      <c r="O16692" s="433" t="s">
        <v>9362</v>
      </c>
      <c r="R16692" s="434"/>
    </row>
    <row r="16693" spans="1:18" ht="12.75" hidden="1" customHeight="1" outlineLevel="1" thickBot="1" x14ac:dyDescent="0.3">
      <c r="A16693" s="2380">
        <v>0.05</v>
      </c>
      <c r="B16693" s="1921" t="s">
        <v>4268</v>
      </c>
      <c r="C16693" s="2108">
        <v>21.946000000000002</v>
      </c>
      <c r="D16693" s="3280">
        <v>11.445</v>
      </c>
      <c r="E16693" s="3281">
        <v>-0.47849266381117295</v>
      </c>
      <c r="F16693" s="3282">
        <v>-2.3924633190558649E-2</v>
      </c>
      <c r="G16693" s="78"/>
      <c r="H16693" t="s">
        <v>8442</v>
      </c>
      <c r="I16693" s="444"/>
      <c r="J16693" s="444"/>
      <c r="K16693" s="444"/>
      <c r="L16693" s="444"/>
      <c r="M16693" s="444"/>
      <c r="N16693" s="2422">
        <v>7.3084266230685646E-2</v>
      </c>
      <c r="O16693" s="444"/>
      <c r="R16693" s="434"/>
    </row>
    <row r="16694" spans="1:18" ht="12.75" hidden="1" customHeight="1" outlineLevel="1" x14ac:dyDescent="0.25">
      <c r="A16694" s="2380">
        <v>0.02</v>
      </c>
      <c r="B16694" s="1921" t="s">
        <v>8208</v>
      </c>
      <c r="C16694" s="2108">
        <v>4.2026652172290717</v>
      </c>
      <c r="D16694" s="3280">
        <v>1.7675000000000001</v>
      </c>
      <c r="E16694" s="3281">
        <v>-0.5794335478462499</v>
      </c>
      <c r="F16694" s="3282">
        <v>-1.1588670956924998E-2</v>
      </c>
      <c r="G16694" s="78"/>
      <c r="H16694" t="s">
        <v>8209</v>
      </c>
      <c r="I16694" s="2423" t="s">
        <v>10067</v>
      </c>
      <c r="J16694" s="2423"/>
      <c r="R16694" s="434"/>
    </row>
    <row r="16695" spans="1:18" ht="12.75" hidden="1" customHeight="1" outlineLevel="1" x14ac:dyDescent="0.25">
      <c r="A16695" s="2380">
        <v>0.04</v>
      </c>
      <c r="B16695" s="1921" t="s">
        <v>6902</v>
      </c>
      <c r="C16695" s="2108">
        <v>2.665</v>
      </c>
      <c r="D16695" s="3280">
        <v>2.544</v>
      </c>
      <c r="E16695" s="3281">
        <v>-4.5403377110694199E-2</v>
      </c>
      <c r="F16695" s="3282">
        <v>-1.8161350844277679E-3</v>
      </c>
      <c r="G16695" s="78"/>
      <c r="H16695" t="s">
        <v>6899</v>
      </c>
      <c r="I16695" s="412"/>
      <c r="R16695" s="434"/>
    </row>
    <row r="16696" spans="1:18" ht="12.75" hidden="1" customHeight="1" outlineLevel="1" x14ac:dyDescent="0.25">
      <c r="A16696" s="2380">
        <v>0.02</v>
      </c>
      <c r="B16696" s="1921" t="s">
        <v>8261</v>
      </c>
      <c r="C16696" s="2108">
        <v>166.32711817127591</v>
      </c>
      <c r="D16696" s="3280">
        <v>198.95</v>
      </c>
      <c r="E16696" s="3281">
        <v>0.19613687886499998</v>
      </c>
      <c r="F16696" s="3282">
        <v>3.9227375772999994E-3</v>
      </c>
      <c r="G16696" s="78"/>
      <c r="H16696" t="s">
        <v>9620</v>
      </c>
      <c r="R16696" s="434"/>
    </row>
    <row r="16697" spans="1:18" ht="12.75" hidden="1" customHeight="1" outlineLevel="1" x14ac:dyDescent="0.25">
      <c r="A16697" s="2380">
        <v>0.02</v>
      </c>
      <c r="B16697" s="2225" t="s">
        <v>5196</v>
      </c>
      <c r="C16697" s="2108">
        <v>58.552662898843799</v>
      </c>
      <c r="D16697" s="3280">
        <v>92.32</v>
      </c>
      <c r="E16697" s="3281">
        <v>0.57670028021599973</v>
      </c>
      <c r="F16697" s="3282">
        <v>1.1534005604319995E-2</v>
      </c>
      <c r="G16697" s="78"/>
      <c r="H16697" t="s">
        <v>5197</v>
      </c>
      <c r="R16697" s="434"/>
    </row>
    <row r="16698" spans="1:18" ht="12.75" hidden="1" customHeight="1" outlineLevel="1" x14ac:dyDescent="0.25">
      <c r="A16698" s="2380">
        <v>0.03</v>
      </c>
      <c r="B16698" s="1921" t="s">
        <v>8527</v>
      </c>
      <c r="C16698" s="2108">
        <v>36.075000000000003</v>
      </c>
      <c r="D16698" s="3280">
        <v>42.82</v>
      </c>
      <c r="E16698" s="3281">
        <v>0.18697158697158689</v>
      </c>
      <c r="F16698" s="3282">
        <v>5.6091476091476066E-3</v>
      </c>
      <c r="G16698" s="78"/>
      <c r="H16698" t="s">
        <v>8516</v>
      </c>
      <c r="R16698" s="434"/>
    </row>
    <row r="16699" spans="1:18" ht="12.75" hidden="1" customHeight="1" outlineLevel="1" x14ac:dyDescent="0.25">
      <c r="A16699" s="2380">
        <v>0.02</v>
      </c>
      <c r="B16699" s="1921" t="s">
        <v>1203</v>
      </c>
      <c r="C16699" s="2108">
        <v>87.281999999999996</v>
      </c>
      <c r="D16699" s="3280">
        <v>119.2</v>
      </c>
      <c r="E16699" s="3281">
        <v>0.36568822895900643</v>
      </c>
      <c r="F16699" s="3282">
        <v>7.3137645791801287E-3</v>
      </c>
      <c r="G16699" s="78"/>
      <c r="H16699" t="s">
        <v>79</v>
      </c>
      <c r="R16699" s="434"/>
    </row>
    <row r="16700" spans="1:18" ht="12.75" hidden="1" customHeight="1" outlineLevel="1" x14ac:dyDescent="0.25">
      <c r="A16700" s="2380">
        <v>0.06</v>
      </c>
      <c r="B16700" s="1921" t="s">
        <v>7433</v>
      </c>
      <c r="C16700" s="2108">
        <v>22.288</v>
      </c>
      <c r="D16700" s="3280">
        <v>6.5119999999999996</v>
      </c>
      <c r="E16700" s="3281">
        <v>-0.70782483847810485</v>
      </c>
      <c r="F16700" s="3282">
        <v>-4.246949030868629E-2</v>
      </c>
      <c r="G16700" s="78"/>
      <c r="H16700" t="s">
        <v>7431</v>
      </c>
      <c r="R16700" s="434"/>
    </row>
    <row r="16701" spans="1:18" ht="12.75" hidden="1" customHeight="1" outlineLevel="1" x14ac:dyDescent="0.25">
      <c r="A16701" s="2380">
        <v>0.04</v>
      </c>
      <c r="B16701" s="1921" t="s">
        <v>6270</v>
      </c>
      <c r="C16701" s="2108">
        <v>35.825920562254865</v>
      </c>
      <c r="D16701" s="3280">
        <v>39.515000000000001</v>
      </c>
      <c r="E16701" s="3281">
        <v>0.10297235576499997</v>
      </c>
      <c r="F16701" s="3282">
        <v>4.1188942305999988E-3</v>
      </c>
      <c r="G16701" s="78"/>
      <c r="H16701" t="s">
        <v>8166</v>
      </c>
      <c r="R16701" s="434"/>
    </row>
    <row r="16702" spans="1:18" ht="12.75" hidden="1" customHeight="1" outlineLevel="1" x14ac:dyDescent="0.25">
      <c r="A16702" s="2380">
        <v>0.02</v>
      </c>
      <c r="B16702" s="1921" t="s">
        <v>6524</v>
      </c>
      <c r="C16702" s="2108">
        <v>86.395772606464732</v>
      </c>
      <c r="D16702" s="3280">
        <v>144.94999999999999</v>
      </c>
      <c r="E16702" s="3281">
        <v>0.67774412597999989</v>
      </c>
      <c r="F16702" s="3282">
        <v>1.3554882519599997E-2</v>
      </c>
      <c r="G16702" s="78"/>
      <c r="H16702" t="s">
        <v>6525</v>
      </c>
      <c r="R16702" s="434"/>
    </row>
    <row r="16703" spans="1:18" ht="12.75" hidden="1" customHeight="1" outlineLevel="1" x14ac:dyDescent="0.25">
      <c r="A16703" s="2380">
        <v>0.05</v>
      </c>
      <c r="B16703" s="1921" t="s">
        <v>6116</v>
      </c>
      <c r="C16703" s="2108">
        <v>3.6299000000000001</v>
      </c>
      <c r="D16703" s="3280">
        <v>4.3760000000000003</v>
      </c>
      <c r="E16703" s="3281">
        <v>0.205542852420177</v>
      </c>
      <c r="F16703" s="3282">
        <v>1.0277142621008852E-2</v>
      </c>
      <c r="G16703" s="78"/>
      <c r="H16703" t="s">
        <v>6114</v>
      </c>
      <c r="R16703" s="434"/>
    </row>
    <row r="16704" spans="1:18" ht="12.75" hidden="1" customHeight="1" outlineLevel="1" x14ac:dyDescent="0.25">
      <c r="A16704" s="2380">
        <v>0.03</v>
      </c>
      <c r="B16704" s="1921" t="s">
        <v>1857</v>
      </c>
      <c r="C16704" s="2108">
        <v>13.769</v>
      </c>
      <c r="D16704" s="3280">
        <v>16.5</v>
      </c>
      <c r="E16704" s="3281">
        <v>0.19834410632580424</v>
      </c>
      <c r="F16704" s="3282">
        <v>5.9503231897741265E-3</v>
      </c>
      <c r="G16704" s="78"/>
      <c r="H16704" t="s">
        <v>3559</v>
      </c>
      <c r="R16704" s="434"/>
    </row>
    <row r="16705" spans="1:18" ht="12.75" hidden="1" customHeight="1" outlineLevel="1" x14ac:dyDescent="0.25">
      <c r="A16705" s="2380">
        <v>0.06</v>
      </c>
      <c r="B16705" s="1921" t="s">
        <v>6118</v>
      </c>
      <c r="C16705" s="2108">
        <v>88.382000000000005</v>
      </c>
      <c r="D16705" s="3280">
        <v>115.95</v>
      </c>
      <c r="E16705" s="3281">
        <v>0.31191871648073133</v>
      </c>
      <c r="F16705" s="3282">
        <v>1.8715122988843879E-2</v>
      </c>
      <c r="G16705" s="78"/>
      <c r="H16705" t="s">
        <v>8893</v>
      </c>
      <c r="R16705" s="434"/>
    </row>
    <row r="16706" spans="1:18" ht="12.75" hidden="1" customHeight="1" outlineLevel="1" x14ac:dyDescent="0.25">
      <c r="A16706" s="2380">
        <v>0.02</v>
      </c>
      <c r="B16706" s="1921" t="s">
        <v>3383</v>
      </c>
      <c r="C16706" s="2108">
        <v>159.94954551536264</v>
      </c>
      <c r="D16706" s="3280">
        <v>120.75</v>
      </c>
      <c r="E16706" s="3281">
        <v>-0.24507444137500001</v>
      </c>
      <c r="F16706" s="3282">
        <v>-4.9014888275000007E-3</v>
      </c>
      <c r="G16706" s="78"/>
      <c r="H16706" t="s">
        <v>3789</v>
      </c>
      <c r="R16706" s="434"/>
    </row>
    <row r="16707" spans="1:18" ht="12.75" hidden="1" customHeight="1" outlineLevel="1" x14ac:dyDescent="0.25">
      <c r="A16707" s="2380">
        <v>7.0000000000000007E-2</v>
      </c>
      <c r="B16707" s="1921" t="s">
        <v>434</v>
      </c>
      <c r="C16707" s="2108">
        <v>40.661999999999999</v>
      </c>
      <c r="D16707" s="3280">
        <v>27.43</v>
      </c>
      <c r="E16707" s="3281">
        <v>-0.32541439181545417</v>
      </c>
      <c r="F16707" s="3282">
        <v>-2.2779007427081794E-2</v>
      </c>
      <c r="G16707" s="78"/>
      <c r="H16707" t="s">
        <v>7745</v>
      </c>
      <c r="R16707" s="434"/>
    </row>
    <row r="16708" spans="1:18" ht="12.75" hidden="1" customHeight="1" outlineLevel="1" x14ac:dyDescent="0.25">
      <c r="A16708" s="2380">
        <v>0.02</v>
      </c>
      <c r="B16708" s="1921" t="s">
        <v>5249</v>
      </c>
      <c r="C16708" s="2108">
        <v>2.575430731218852</v>
      </c>
      <c r="D16708" s="3280">
        <v>3.86</v>
      </c>
      <c r="E16708" s="3281">
        <v>0.49877841916299981</v>
      </c>
      <c r="F16708" s="3282">
        <v>9.9755683832599956E-3</v>
      </c>
      <c r="G16708" s="78"/>
      <c r="H16708" t="s">
        <v>5247</v>
      </c>
      <c r="R16708" s="434"/>
    </row>
    <row r="16709" spans="1:18" ht="12.75" hidden="1" customHeight="1" outlineLevel="1" x14ac:dyDescent="0.25">
      <c r="A16709" s="2380">
        <v>0.04</v>
      </c>
      <c r="B16709" s="1921" t="s">
        <v>10633</v>
      </c>
      <c r="C16709" s="2108">
        <v>52.324111658204906</v>
      </c>
      <c r="D16709" s="3280">
        <v>63.47</v>
      </c>
      <c r="E16709" s="3281">
        <v>0.21301629379974996</v>
      </c>
      <c r="F16709" s="3282">
        <v>8.5206517519899987E-3</v>
      </c>
      <c r="G16709" s="78"/>
      <c r="H16709" t="s">
        <v>10634</v>
      </c>
      <c r="R16709" s="434"/>
    </row>
    <row r="16710" spans="1:18" ht="12.75" hidden="1" customHeight="1" outlineLevel="1" x14ac:dyDescent="0.25">
      <c r="A16710" s="2380">
        <v>0.02</v>
      </c>
      <c r="B16710" s="1921" t="s">
        <v>255</v>
      </c>
      <c r="C16710" s="2108">
        <v>51.16</v>
      </c>
      <c r="D16710" s="3280">
        <v>41.96</v>
      </c>
      <c r="E16710" s="3281">
        <v>-0.17982799061766996</v>
      </c>
      <c r="F16710" s="3282">
        <v>-3.5965598123533994E-3</v>
      </c>
      <c r="G16710" s="78"/>
      <c r="H16710" t="s">
        <v>3351</v>
      </c>
      <c r="R16710" s="434"/>
    </row>
    <row r="16711" spans="1:18" ht="12.75" hidden="1" customHeight="1" outlineLevel="1" x14ac:dyDescent="0.25">
      <c r="A16711" s="2380">
        <v>0.02</v>
      </c>
      <c r="B16711" s="1921" t="s">
        <v>5626</v>
      </c>
      <c r="C16711" s="2108">
        <v>29.62</v>
      </c>
      <c r="D16711" s="3280">
        <v>26.1</v>
      </c>
      <c r="E16711" s="3281">
        <v>-0.11883862255232946</v>
      </c>
      <c r="F16711" s="3282">
        <v>-2.3767724510465895E-3</v>
      </c>
      <c r="G16711" s="78"/>
      <c r="H16711" t="s">
        <v>5624</v>
      </c>
      <c r="R16711" s="434"/>
    </row>
    <row r="16712" spans="1:18" ht="12.75" hidden="1" customHeight="1" outlineLevel="1" x14ac:dyDescent="0.25">
      <c r="A16712" s="2380">
        <v>7.0000000000000007E-2</v>
      </c>
      <c r="B16712" s="2109" t="s">
        <v>4550</v>
      </c>
      <c r="C16712" s="2108">
        <v>298.33</v>
      </c>
      <c r="D16712" s="3283">
        <v>486.3</v>
      </c>
      <c r="E16712" s="3281">
        <v>0.63007407903998947</v>
      </c>
      <c r="F16712" s="3282">
        <v>4.4105185532799268E-2</v>
      </c>
      <c r="G16712" s="78"/>
      <c r="H16712" t="s">
        <v>8889</v>
      </c>
      <c r="R16712" s="434"/>
    </row>
    <row r="16713" spans="1:18" ht="12.75" hidden="1" customHeight="1" outlineLevel="1" x14ac:dyDescent="0.25">
      <c r="A16713" s="2181" t="s">
        <v>2734</v>
      </c>
      <c r="B16713" s="2103"/>
      <c r="C16713" s="3258"/>
      <c r="D16713" s="3259"/>
      <c r="E16713" s="3284"/>
      <c r="F16713" s="3277">
        <v>4.58E-2</v>
      </c>
      <c r="G16713" s="78"/>
    </row>
    <row r="16714" spans="1:18" ht="12.75" hidden="1" customHeight="1" outlineLevel="1" x14ac:dyDescent="0.25">
      <c r="A16714" s="1956" t="s">
        <v>9343</v>
      </c>
      <c r="B16714" s="2185">
        <v>44835</v>
      </c>
      <c r="C16714" s="3261">
        <v>100</v>
      </c>
      <c r="D16714" s="3261">
        <v>93.460300000000004</v>
      </c>
      <c r="E16714" s="3262">
        <v>-6.5396999999999927E-2</v>
      </c>
      <c r="F16714" s="3285"/>
      <c r="G16714" s="78"/>
    </row>
    <row r="16715" spans="1:18" ht="12.75" hidden="1" customHeight="1" outlineLevel="1" x14ac:dyDescent="0.25">
      <c r="A16715" s="1956" t="s">
        <v>9344</v>
      </c>
      <c r="B16715" s="2185">
        <v>44866</v>
      </c>
      <c r="C16715" s="3261">
        <v>100</v>
      </c>
      <c r="D16715" s="3264">
        <v>98.916300000000007</v>
      </c>
      <c r="E16715" s="3262">
        <v>-1.0836999999999986E-2</v>
      </c>
      <c r="F16715" s="3285"/>
      <c r="G16715" s="78"/>
    </row>
    <row r="16716" spans="1:18" ht="12.75" hidden="1" customHeight="1" outlineLevel="1" x14ac:dyDescent="0.25">
      <c r="A16716" s="1956" t="s">
        <v>9345</v>
      </c>
      <c r="B16716" s="2185">
        <v>44896</v>
      </c>
      <c r="C16716" s="3261">
        <v>100</v>
      </c>
      <c r="D16716" s="3264">
        <v>96.483999999999995</v>
      </c>
      <c r="E16716" s="3262">
        <v>-3.516000000000008E-2</v>
      </c>
      <c r="F16716" s="3285"/>
      <c r="G16716" s="78"/>
    </row>
    <row r="16717" spans="1:18" ht="12.75" hidden="1" customHeight="1" outlineLevel="1" x14ac:dyDescent="0.25">
      <c r="A16717" s="1956" t="s">
        <v>9346</v>
      </c>
      <c r="B16717" s="2185">
        <v>44927</v>
      </c>
      <c r="C16717" s="3261">
        <v>100</v>
      </c>
      <c r="D16717" s="3264">
        <v>100.602</v>
      </c>
      <c r="E16717" s="3262">
        <v>6.0200000000001364E-3</v>
      </c>
      <c r="F16717" s="3285"/>
      <c r="G16717" s="78"/>
    </row>
    <row r="16718" spans="1:18" ht="12.75" hidden="1" customHeight="1" outlineLevel="1" x14ac:dyDescent="0.25">
      <c r="A16718" s="1956" t="s">
        <v>9347</v>
      </c>
      <c r="B16718" s="2185">
        <v>44958</v>
      </c>
      <c r="C16718" s="3261">
        <v>100</v>
      </c>
      <c r="D16718" s="3264">
        <v>101.8064</v>
      </c>
      <c r="E16718" s="3262">
        <v>1.8063999999999858E-2</v>
      </c>
      <c r="F16718" s="3285"/>
      <c r="G16718" s="78"/>
    </row>
    <row r="16719" spans="1:18" ht="12.75" hidden="1" customHeight="1" outlineLevel="1" x14ac:dyDescent="0.25">
      <c r="A16719" s="1956" t="s">
        <v>9348</v>
      </c>
      <c r="B16719" s="2185">
        <v>44986</v>
      </c>
      <c r="C16719" s="3261">
        <v>100</v>
      </c>
      <c r="D16719" s="3264">
        <v>99.223600000000005</v>
      </c>
      <c r="E16719" s="3262">
        <v>-7.7639999999999931E-3</v>
      </c>
      <c r="F16719" s="3285"/>
      <c r="G16719" s="78"/>
    </row>
    <row r="16720" spans="1:18" ht="12.75" hidden="1" customHeight="1" outlineLevel="1" x14ac:dyDescent="0.25">
      <c r="A16720" s="1956" t="s">
        <v>9349</v>
      </c>
      <c r="B16720" s="2185">
        <v>45017</v>
      </c>
      <c r="C16720" s="3261">
        <v>100</v>
      </c>
      <c r="D16720" s="3264">
        <v>101.01730000000001</v>
      </c>
      <c r="E16720" s="3262">
        <v>1.0172999999999988E-2</v>
      </c>
      <c r="F16720" s="3285"/>
      <c r="G16720" s="78"/>
    </row>
    <row r="16721" spans="1:7" ht="12.75" hidden="1" customHeight="1" outlineLevel="1" x14ac:dyDescent="0.25">
      <c r="A16721" s="1956" t="s">
        <v>9350</v>
      </c>
      <c r="B16721" s="2185">
        <v>45047</v>
      </c>
      <c r="C16721" s="3261">
        <v>100</v>
      </c>
      <c r="D16721" s="3264">
        <v>96.671400000000006</v>
      </c>
      <c r="E16721" s="3262">
        <v>-3.3285999999999927E-2</v>
      </c>
      <c r="F16721" s="3285"/>
      <c r="G16721" s="78"/>
    </row>
    <row r="16722" spans="1:7" ht="12.75" hidden="1" customHeight="1" outlineLevel="1" x14ac:dyDescent="0.25">
      <c r="A16722" s="1956" t="s">
        <v>9351</v>
      </c>
      <c r="B16722" s="2185">
        <v>45078</v>
      </c>
      <c r="C16722" s="3261">
        <v>100</v>
      </c>
      <c r="D16722" s="3264">
        <v>96.487099999999998</v>
      </c>
      <c r="E16722" s="3262">
        <v>-3.5128999999999966E-2</v>
      </c>
      <c r="F16722" s="3285"/>
      <c r="G16722" s="78"/>
    </row>
    <row r="16723" spans="1:7" ht="12.75" hidden="1" customHeight="1" outlineLevel="1" x14ac:dyDescent="0.25">
      <c r="A16723" s="1956" t="s">
        <v>9352</v>
      </c>
      <c r="B16723" s="2185">
        <v>45108</v>
      </c>
      <c r="C16723" s="3261">
        <v>100</v>
      </c>
      <c r="D16723" s="3264">
        <v>96.503100000000003</v>
      </c>
      <c r="E16723" s="3262">
        <v>-3.4968999999999917E-2</v>
      </c>
      <c r="F16723" s="3285"/>
      <c r="G16723" s="78"/>
    </row>
    <row r="16724" spans="1:7" ht="12.75" hidden="1" customHeight="1" outlineLevel="1" x14ac:dyDescent="0.25">
      <c r="A16724" s="1956" t="s">
        <v>9353</v>
      </c>
      <c r="B16724" s="2185">
        <v>45139</v>
      </c>
      <c r="C16724" s="3261">
        <v>100</v>
      </c>
      <c r="D16724" s="3264">
        <v>94.950100000000006</v>
      </c>
      <c r="E16724" s="3262">
        <v>-5.0498999999999961E-2</v>
      </c>
      <c r="F16724" s="3285"/>
      <c r="G16724" s="78"/>
    </row>
    <row r="16725" spans="1:7" ht="12.75" hidden="1" customHeight="1" outlineLevel="1" x14ac:dyDescent="0.25">
      <c r="A16725" s="1956" t="s">
        <v>9354</v>
      </c>
      <c r="B16725" s="2185">
        <v>45170</v>
      </c>
      <c r="C16725" s="3261">
        <v>100</v>
      </c>
      <c r="D16725" s="3264">
        <v>94.580500000000001</v>
      </c>
      <c r="E16725" s="3262">
        <v>-5.4194999999999993E-2</v>
      </c>
      <c r="F16725" s="3285"/>
      <c r="G16725" s="78"/>
    </row>
    <row r="16726" spans="1:7" ht="12.75" hidden="1" customHeight="1" outlineLevel="1" x14ac:dyDescent="0.25">
      <c r="A16726" s="1956" t="s">
        <v>9355</v>
      </c>
      <c r="B16726" s="2185">
        <v>45200</v>
      </c>
      <c r="C16726" s="3261">
        <v>100</v>
      </c>
      <c r="D16726" s="3264">
        <v>93.433700000000002</v>
      </c>
      <c r="E16726" s="3262">
        <v>-6.5663000000000027E-2</v>
      </c>
      <c r="F16726" s="3285"/>
      <c r="G16726" s="78"/>
    </row>
    <row r="16727" spans="1:7" ht="12.75" hidden="1" customHeight="1" outlineLevel="1" x14ac:dyDescent="0.25">
      <c r="A16727" s="1956" t="s">
        <v>9356</v>
      </c>
      <c r="B16727" s="2185">
        <v>45231</v>
      </c>
      <c r="C16727" s="3261">
        <v>100</v>
      </c>
      <c r="D16727" s="3264">
        <v>98.565899999999999</v>
      </c>
      <c r="E16727" s="3262">
        <v>-1.4341000000000048E-2</v>
      </c>
      <c r="F16727" s="3285"/>
      <c r="G16727" s="78"/>
    </row>
    <row r="16728" spans="1:7" ht="12.75" hidden="1" customHeight="1" outlineLevel="1" x14ac:dyDescent="0.25">
      <c r="A16728" s="1956" t="s">
        <v>9357</v>
      </c>
      <c r="B16728" s="2185">
        <v>45261</v>
      </c>
      <c r="C16728" s="3261">
        <v>100</v>
      </c>
      <c r="D16728" s="3264">
        <v>98.865499999999997</v>
      </c>
      <c r="E16728" s="3262">
        <v>-1.1345000000000049E-2</v>
      </c>
      <c r="F16728" s="3285"/>
      <c r="G16728" s="78"/>
    </row>
    <row r="16729" spans="1:7" ht="12.75" hidden="1" customHeight="1" outlineLevel="1" x14ac:dyDescent="0.25">
      <c r="A16729" s="1956" t="s">
        <v>9358</v>
      </c>
      <c r="B16729" s="2185">
        <v>45292</v>
      </c>
      <c r="C16729" s="3261">
        <v>100</v>
      </c>
      <c r="D16729" s="3264">
        <v>100.58629999999999</v>
      </c>
      <c r="E16729" s="3262">
        <v>5.8629999999999516E-3</v>
      </c>
      <c r="F16729" s="3285"/>
      <c r="G16729" s="78"/>
    </row>
    <row r="16730" spans="1:7" ht="12.75" hidden="1" customHeight="1" outlineLevel="1" x14ac:dyDescent="0.25">
      <c r="A16730" s="1956" t="s">
        <v>9359</v>
      </c>
      <c r="B16730" s="2185">
        <v>45323</v>
      </c>
      <c r="C16730" s="3261">
        <v>100</v>
      </c>
      <c r="D16730" s="3264">
        <v>101.21299999999999</v>
      </c>
      <c r="E16730" s="3262">
        <v>1.2129999999999974E-2</v>
      </c>
      <c r="F16730" s="3285"/>
      <c r="G16730" s="78"/>
    </row>
    <row r="16731" spans="1:7" ht="12.75" hidden="1" customHeight="1" outlineLevel="1" x14ac:dyDescent="0.25">
      <c r="A16731" s="1956" t="s">
        <v>9360</v>
      </c>
      <c r="B16731" s="2185">
        <v>45352</v>
      </c>
      <c r="C16731" s="3261">
        <v>100</v>
      </c>
      <c r="D16731" s="3264">
        <v>104.57899999999999</v>
      </c>
      <c r="E16731" s="3262">
        <v>4.5789999999999997E-2</v>
      </c>
      <c r="F16731" s="3285"/>
      <c r="G16731" s="78"/>
    </row>
    <row r="16732" spans="1:7" ht="12.75" hidden="1" customHeight="1" outlineLevel="1" x14ac:dyDescent="0.25">
      <c r="A16732" s="2189"/>
      <c r="B16732" s="2190"/>
      <c r="C16732" s="3264"/>
      <c r="D16732" s="2191" t="s">
        <v>2465</v>
      </c>
      <c r="E16732" s="1987">
        <v>-1.7808055555555553E-2</v>
      </c>
      <c r="F16732" s="2192">
        <v>-1.7808055555555553E-2</v>
      </c>
      <c r="G16732" s="78"/>
    </row>
    <row r="16733" spans="1:7" collapsed="1" x14ac:dyDescent="0.25">
      <c r="A16733" s="3801" t="s">
        <v>9193</v>
      </c>
      <c r="B16733" s="3802"/>
      <c r="C16733" s="3802"/>
      <c r="D16733" s="3802"/>
      <c r="E16733" s="1906"/>
      <c r="F16733" s="1907">
        <v>0</v>
      </c>
      <c r="G16733" s="78"/>
    </row>
    <row r="16735" spans="1:7" ht="12.75" hidden="1" customHeight="1" outlineLevel="1" x14ac:dyDescent="0.25">
      <c r="A16735" s="15" t="s">
        <v>113</v>
      </c>
      <c r="B16735" s="15" t="s">
        <v>114</v>
      </c>
      <c r="C16735" s="15" t="s">
        <v>112</v>
      </c>
      <c r="D16735" s="15" t="s">
        <v>116</v>
      </c>
      <c r="E16735" s="15" t="s">
        <v>117</v>
      </c>
      <c r="F16735" s="1882" t="s">
        <v>121</v>
      </c>
      <c r="G16735" s="78"/>
    </row>
    <row r="16736" spans="1:7" ht="12.75" hidden="1" customHeight="1" outlineLevel="1" x14ac:dyDescent="0.25">
      <c r="A16736" s="4">
        <v>1</v>
      </c>
      <c r="B16736" s="5" t="s">
        <v>252</v>
      </c>
      <c r="C16736" s="6">
        <v>100</v>
      </c>
      <c r="D16736" s="6"/>
      <c r="E16736" s="9"/>
      <c r="F16736" s="10"/>
      <c r="G16736" s="78"/>
    </row>
    <row r="16737" spans="1:11" ht="12.75" hidden="1" customHeight="1" outlineLevel="1" x14ac:dyDescent="0.25">
      <c r="A16737" s="21" t="s">
        <v>2734</v>
      </c>
      <c r="B16737" s="21"/>
      <c r="C16737" s="11"/>
      <c r="D16737" s="32" t="s">
        <v>3702</v>
      </c>
      <c r="E16737" s="33">
        <f>indexy!$B$2</f>
        <v>45379</v>
      </c>
      <c r="F16737" s="38"/>
      <c r="G16737" s="78"/>
    </row>
    <row r="16738" spans="1:11" ht="12.75" hidden="1" customHeight="1" outlineLevel="1" x14ac:dyDescent="0.25">
      <c r="A16738" s="22" t="s">
        <v>4156</v>
      </c>
      <c r="B16738" s="22" t="s">
        <v>4153</v>
      </c>
      <c r="C16738" s="98" t="s">
        <v>112</v>
      </c>
      <c r="D16738" s="131" t="s">
        <v>4155</v>
      </c>
      <c r="E16738" s="24" t="s">
        <v>4154</v>
      </c>
      <c r="F16738" s="189" t="s">
        <v>2519</v>
      </c>
      <c r="G16738" s="78"/>
    </row>
    <row r="16739" spans="1:11" ht="12.75" hidden="1" customHeight="1" outlineLevel="1" x14ac:dyDescent="0.25">
      <c r="A16739" s="134">
        <v>0.04</v>
      </c>
      <c r="B16739" s="211" t="s">
        <v>2697</v>
      </c>
      <c r="C16739" s="472">
        <v>14.702</v>
      </c>
      <c r="D16739" s="1488">
        <f>VLOOKUP($H16739,indexy!$C$44:$D$823,2,FALSE)</f>
        <v>23.46</v>
      </c>
      <c r="E16739" s="1491">
        <f>$D16739/$C16739-1</f>
        <v>0.59570126513399546</v>
      </c>
      <c r="F16739" s="1805">
        <f>$E16739*$A16739</f>
        <v>2.3828050605359818E-2</v>
      </c>
      <c r="G16739" s="78"/>
      <c r="H16739" t="str">
        <f>VLOOKUP(B16739,indexy!$A$44:$D$823,3,FALSE)</f>
        <v>G IM Equity</v>
      </c>
      <c r="I16739">
        <f>VLOOKUP(H16739,[7]Fixing!$B$10:$C$39,2,0)</f>
        <v>0.27207182699999999</v>
      </c>
      <c r="J16739">
        <f t="shared" ref="J16739:J16768" si="226">+A16739*100/I16739</f>
        <v>14.701999997963773</v>
      </c>
      <c r="K16739" s="434">
        <f t="shared" ref="K16739:K16768" si="227">+J16739-C16739</f>
        <v>-2.0362271868634707E-9</v>
      </c>
    </row>
    <row r="16740" spans="1:11" ht="12.75" hidden="1" customHeight="1" outlineLevel="1" x14ac:dyDescent="0.25">
      <c r="A16740" s="135">
        <v>0.02</v>
      </c>
      <c r="B16740" s="211" t="s">
        <v>218</v>
      </c>
      <c r="C16740" s="472">
        <v>20.99</v>
      </c>
      <c r="D16740" s="1489">
        <f>VLOOKUP(H16740,indexy!$C$44:$D$823,2,FALSE)</f>
        <v>34.814999999999998</v>
      </c>
      <c r="E16740" s="1493">
        <f t="shared" ref="E16740:E16768" si="228">$D16740/$C16740-1</f>
        <v>0.65864697474988088</v>
      </c>
      <c r="F16740" s="1313">
        <f t="shared" ref="F16740:F16767" si="229">$E16740*$A16740</f>
        <v>1.3172939494997617E-2</v>
      </c>
      <c r="G16740" s="78"/>
      <c r="H16740" t="str">
        <f>VLOOKUP(B16740,indexy!$A$44:$D$823,3,FALSE)</f>
        <v>CS FP Equity</v>
      </c>
      <c r="I16740">
        <f>VLOOKUP(H16740,[7]Fixing!$B$10:$C$39,2,0)</f>
        <v>9.5283468299999993E-2</v>
      </c>
      <c r="J16740">
        <f t="shared" si="226"/>
        <v>20.990000004019585</v>
      </c>
      <c r="K16740" s="434">
        <f t="shared" si="227"/>
        <v>4.0195864414727112E-9</v>
      </c>
    </row>
    <row r="16741" spans="1:11" ht="12.75" hidden="1" customHeight="1" outlineLevel="1" x14ac:dyDescent="0.25">
      <c r="A16741" s="135">
        <v>0.02</v>
      </c>
      <c r="B16741" s="211" t="s">
        <v>807</v>
      </c>
      <c r="C16741" s="472">
        <v>55.328000000000003</v>
      </c>
      <c r="D16741" s="1489">
        <f>VLOOKUP(H16741,indexy!$C$44:$D$823,2,FALSE)</f>
        <v>46.03</v>
      </c>
      <c r="E16741" s="1493">
        <f t="shared" si="228"/>
        <v>-0.16805234239444766</v>
      </c>
      <c r="F16741" s="1313">
        <f t="shared" si="229"/>
        <v>-3.3610468478889534E-3</v>
      </c>
      <c r="G16741" s="78"/>
      <c r="H16741" t="str">
        <f>VLOOKUP(B16741,indexy!$A$44:$D$823,3,FALSE)</f>
        <v>BCE CT Equity</v>
      </c>
      <c r="I16741">
        <f>VLOOKUP(H16741,[7]Fixing!$B$10:$C$39,2,0)</f>
        <v>3.6148062500000001E-2</v>
      </c>
      <c r="J16741">
        <f t="shared" si="226"/>
        <v>55.327999944672001</v>
      </c>
      <c r="K16741" s="434">
        <f t="shared" si="227"/>
        <v>-5.5328001735688304E-8</v>
      </c>
    </row>
    <row r="16742" spans="1:11" ht="12.75" hidden="1" customHeight="1" outlineLevel="1" x14ac:dyDescent="0.25">
      <c r="A16742" s="135">
        <v>0.02</v>
      </c>
      <c r="B16742" s="211" t="s">
        <v>1188</v>
      </c>
      <c r="C16742" s="472">
        <v>5.6578999999999997</v>
      </c>
      <c r="D16742" s="1489">
        <f>VLOOKUP(H16742,indexy!$C$44:$D$823,2,FALSE)/100</f>
        <v>4.9569999999999999</v>
      </c>
      <c r="E16742" s="1493">
        <f t="shared" si="228"/>
        <v>-0.12387988476289791</v>
      </c>
      <c r="F16742" s="1313">
        <f t="shared" si="229"/>
        <v>-2.4775976952579582E-3</v>
      </c>
      <c r="G16742" s="78"/>
      <c r="H16742" t="str">
        <f>VLOOKUP(B16742,indexy!$A$44:$D$823,3,FALSE)</f>
        <v>BP/ LN Equity</v>
      </c>
      <c r="I16742">
        <f>VLOOKUP(H16742,[7]Fixing!$B$10:$C$39,2,0)</f>
        <v>0.3534880433</v>
      </c>
      <c r="J16742">
        <f t="shared" si="226"/>
        <v>5.6578999994707884</v>
      </c>
      <c r="K16742" s="434">
        <f t="shared" si="227"/>
        <v>-5.2921134141570292E-10</v>
      </c>
    </row>
    <row r="16743" spans="1:11" ht="12.75" hidden="1" customHeight="1" outlineLevel="1" x14ac:dyDescent="0.25">
      <c r="A16743" s="135">
        <v>0.02</v>
      </c>
      <c r="B16743" s="211" t="s">
        <v>8918</v>
      </c>
      <c r="C16743" s="472">
        <v>2.2406000000000001</v>
      </c>
      <c r="D16743" s="1489">
        <f>VLOOKUP(H16743,indexy!$C$44:$D$823,2,FALSE)/100</f>
        <v>1.0965</v>
      </c>
      <c r="E16743" s="1493">
        <f t="shared" si="228"/>
        <v>-0.51062215477996964</v>
      </c>
      <c r="F16743" s="1313">
        <f t="shared" si="229"/>
        <v>-1.0212443095599393E-2</v>
      </c>
      <c r="G16743" s="78"/>
      <c r="H16743" t="str">
        <f>VLOOKUP(B16743,indexy!$A$44:$D$823,3,FALSE)</f>
        <v>BT/A LN Equity</v>
      </c>
      <c r="I16743">
        <f>VLOOKUP(H16743,[7]Fixing!$B$10:$C$39,2,0)</f>
        <v>0.89261804870000006</v>
      </c>
      <c r="J16743">
        <f t="shared" si="226"/>
        <v>2.2406000000927384</v>
      </c>
      <c r="K16743" s="434">
        <f t="shared" si="227"/>
        <v>9.2738261514568876E-11</v>
      </c>
    </row>
    <row r="16744" spans="1:11" ht="12.75" hidden="1" customHeight="1" outlineLevel="1" x14ac:dyDescent="0.25">
      <c r="A16744" s="135">
        <v>0.02</v>
      </c>
      <c r="B16744" s="211" t="s">
        <v>8678</v>
      </c>
      <c r="C16744" s="472">
        <v>75.105999999999995</v>
      </c>
      <c r="D16744" s="1489">
        <f>VLOOKUP(H16744,indexy!$C$44:$D$823,2,FALSE)</f>
        <v>120.34</v>
      </c>
      <c r="E16744" s="1493">
        <f t="shared" si="228"/>
        <v>0.60226879343860684</v>
      </c>
      <c r="F16744" s="1313">
        <f t="shared" si="229"/>
        <v>1.2045375868772136E-2</v>
      </c>
      <c r="G16744" s="78"/>
      <c r="H16744" t="str">
        <f>VLOOKUP(B16744,indexy!$A$44:$D$823,3,FALSE)</f>
        <v>CBA AT Equity</v>
      </c>
      <c r="I16744">
        <f>VLOOKUP(H16744,[7]Fixing!$B$10:$C$39,2,0)</f>
        <v>2.6629031000000001E-2</v>
      </c>
      <c r="J16744">
        <f t="shared" si="226"/>
        <v>75.105999914153841</v>
      </c>
      <c r="K16744" s="434">
        <f t="shared" si="227"/>
        <v>-8.5846153297097771E-8</v>
      </c>
    </row>
    <row r="16745" spans="1:11" ht="12.75" hidden="1" customHeight="1" outlineLevel="1" x14ac:dyDescent="0.25">
      <c r="A16745" s="135">
        <v>0.02</v>
      </c>
      <c r="B16745" s="211" t="s">
        <v>10672</v>
      </c>
      <c r="C16745" s="472">
        <v>48.694520123709204</v>
      </c>
      <c r="D16745" s="1489">
        <f>VLOOKUP(H16745,indexy!$C$44:$D$994,2,FALSE)</f>
        <v>73.81</v>
      </c>
      <c r="E16745" s="1493">
        <f t="shared" si="228"/>
        <v>0.51577630937700025</v>
      </c>
      <c r="F16745" s="1313">
        <f t="shared" si="229"/>
        <v>1.0315526187540005E-2</v>
      </c>
      <c r="G16745" s="78"/>
      <c r="H16745" t="str">
        <f>VLOOKUP(B16745,indexy!$A$44:$D$994,3,FALSE)</f>
        <v>MBG GY Equity</v>
      </c>
      <c r="I16745">
        <f>VLOOKUP(H16745,[7]Fixing!$B$10:$C$39,2,0)</f>
        <v>4.1072383400000002E-2</v>
      </c>
      <c r="J16745">
        <f t="shared" si="226"/>
        <v>48.694520123709204</v>
      </c>
      <c r="K16745" s="434">
        <f t="shared" si="227"/>
        <v>0</v>
      </c>
    </row>
    <row r="16746" spans="1:11" ht="12.75" hidden="1" customHeight="1" outlineLevel="1" x14ac:dyDescent="0.25">
      <c r="A16746" s="135">
        <v>0.02</v>
      </c>
      <c r="B16746" s="211" t="s">
        <v>2629</v>
      </c>
      <c r="C16746" s="472">
        <v>13.813000000000001</v>
      </c>
      <c r="D16746" s="1489">
        <f>VLOOKUP(H16746,indexy!$C$44:$D$823,2,FALSE)</f>
        <v>22.5</v>
      </c>
      <c r="E16746" s="1493">
        <f t="shared" si="228"/>
        <v>0.62890031130094837</v>
      </c>
      <c r="F16746" s="1313">
        <f t="shared" si="229"/>
        <v>1.2578006226018968E-2</v>
      </c>
      <c r="G16746" s="78"/>
      <c r="H16746" t="str">
        <f>VLOOKUP(B16746,indexy!$A$44:$D$823,3,FALSE)</f>
        <v>DTE GY Equity</v>
      </c>
      <c r="I16746">
        <f>VLOOKUP(H16746,[7]Fixing!$B$10:$C$39,2,0)</f>
        <v>0.1447911388</v>
      </c>
      <c r="J16746">
        <f t="shared" si="226"/>
        <v>13.812999998312051</v>
      </c>
      <c r="K16746" s="434">
        <f t="shared" si="227"/>
        <v>-1.6879493358601394E-9</v>
      </c>
    </row>
    <row r="16747" spans="1:11" ht="12.75" hidden="1" customHeight="1" outlineLevel="1" x14ac:dyDescent="0.25">
      <c r="A16747" s="135">
        <v>0.02</v>
      </c>
      <c r="B16747" s="211" t="s">
        <v>6821</v>
      </c>
      <c r="C16747" s="472">
        <v>3.2831178348356085</v>
      </c>
      <c r="D16747" s="1489">
        <f>VLOOKUP(H16747,indexy!$C$44:$D$823,2,FALSE)/100</f>
        <v>1.9505000000000001</v>
      </c>
      <c r="E16747" s="1493">
        <f t="shared" si="228"/>
        <v>-0.40590009310534991</v>
      </c>
      <c r="F16747" s="1313">
        <f t="shared" si="229"/>
        <v>-8.1180018621069983E-3</v>
      </c>
      <c r="G16747" s="78"/>
      <c r="H16747" t="str">
        <f>VLOOKUP(B16747,indexy!$A$44:$D$823,3,FALSE)</f>
        <v>DLG LN Equity</v>
      </c>
      <c r="I16747">
        <f>VLOOKUP(H16747,[7]Fixing!$B$10:$C$39,2,0)</f>
        <v>0.60917703860000005</v>
      </c>
      <c r="J16747">
        <f t="shared" si="226"/>
        <v>3.2831178348356085</v>
      </c>
      <c r="K16747" s="434">
        <f t="shared" si="227"/>
        <v>0</v>
      </c>
    </row>
    <row r="16748" spans="1:11" ht="12.75" hidden="1" customHeight="1" outlineLevel="1" x14ac:dyDescent="0.25">
      <c r="A16748" s="135">
        <v>0.08</v>
      </c>
      <c r="B16748" s="211" t="s">
        <v>6267</v>
      </c>
      <c r="C16748" s="472">
        <v>23.771000000000001</v>
      </c>
      <c r="D16748" s="1489">
        <f>VLOOKUP(H16748,indexy!$C$44:$D$823,2,FALSE)</f>
        <v>13.765000000000001</v>
      </c>
      <c r="E16748" s="1493">
        <f t="shared" si="228"/>
        <v>-0.42093306970678557</v>
      </c>
      <c r="F16748" s="1313">
        <f t="shared" si="229"/>
        <v>-3.3674645576542844E-2</v>
      </c>
      <c r="G16748" s="78"/>
      <c r="H16748" t="str">
        <f>VLOOKUP(B16748,indexy!$A$44:$D$823,3,FALSE)</f>
        <v>ENG SQ Equity</v>
      </c>
      <c r="I16748">
        <f>VLOOKUP(H16748,[7]Fixing!$B$10:$C$39,2,0)</f>
        <v>0.33654452899999998</v>
      </c>
      <c r="J16748">
        <f t="shared" si="226"/>
        <v>23.771000003390341</v>
      </c>
      <c r="K16748" s="434">
        <f t="shared" si="227"/>
        <v>3.3903404528246028E-9</v>
      </c>
    </row>
    <row r="16749" spans="1:11" ht="12.75" hidden="1" customHeight="1" outlineLevel="1" x14ac:dyDescent="0.25">
      <c r="A16749" s="135">
        <v>0.05</v>
      </c>
      <c r="B16749" s="211" t="s">
        <v>4268</v>
      </c>
      <c r="C16749" s="472">
        <v>21.51</v>
      </c>
      <c r="D16749" s="1489">
        <f>VLOOKUP(H16749,indexy!$C$44:$D$823,2,FALSE)</f>
        <v>11.445</v>
      </c>
      <c r="E16749" s="1493">
        <f t="shared" si="228"/>
        <v>-0.46792189679218965</v>
      </c>
      <c r="F16749" s="1313">
        <f t="shared" si="229"/>
        <v>-2.3396094839609485E-2</v>
      </c>
      <c r="G16749" s="78"/>
      <c r="H16749" t="str">
        <f>VLOOKUP(B16749,indexy!$A$44:$D$823,3,FALSE)</f>
        <v>FORTUM FH Equity</v>
      </c>
      <c r="I16749">
        <f>VLOOKUP(H16749,[7]Fixing!$B$10:$C$39,2,0)</f>
        <v>0.23245002319999999</v>
      </c>
      <c r="J16749">
        <f t="shared" si="226"/>
        <v>21.510000004164336</v>
      </c>
      <c r="K16749" s="434">
        <f t="shared" si="227"/>
        <v>4.16433465488808E-9</v>
      </c>
    </row>
    <row r="16750" spans="1:11" ht="12.75" hidden="1" customHeight="1" outlineLevel="1" x14ac:dyDescent="0.25">
      <c r="A16750" s="135">
        <v>0.02</v>
      </c>
      <c r="B16750" s="211" t="s">
        <v>8208</v>
      </c>
      <c r="C16750" s="472">
        <v>4.2309955686094618</v>
      </c>
      <c r="D16750" s="1489">
        <f>VLOOKUP(H16750,indexy!$C$44:$D$823,2,FALSE)/100</f>
        <v>1.7675000000000001</v>
      </c>
      <c r="E16750" s="1493">
        <f t="shared" si="228"/>
        <v>-0.58224962155162507</v>
      </c>
      <c r="F16750" s="1313">
        <f t="shared" si="229"/>
        <v>-1.1644992431032501E-2</v>
      </c>
      <c r="G16750" s="78"/>
      <c r="H16750" t="str">
        <f>VLOOKUP(B16750,indexy!$A$44:$D$823,3,FALSE)</f>
        <v>IAG LN Equity</v>
      </c>
      <c r="I16750">
        <f>VLOOKUP(H16750,[7]Fixing!$B$10:$C$39,2,0)</f>
        <v>0.47270198409999997</v>
      </c>
      <c r="J16750">
        <f t="shared" si="226"/>
        <v>4.2309955686094618</v>
      </c>
      <c r="K16750" s="434">
        <f t="shared" si="227"/>
        <v>0</v>
      </c>
    </row>
    <row r="16751" spans="1:11" ht="12.75" hidden="1" customHeight="1" outlineLevel="1" x14ac:dyDescent="0.25">
      <c r="A16751" s="135">
        <v>0.04</v>
      </c>
      <c r="B16751" s="211" t="s">
        <v>6902</v>
      </c>
      <c r="C16751" s="490">
        <v>2.6593</v>
      </c>
      <c r="D16751" s="1489">
        <f>VLOOKUP(H16751,indexy!$C$44:$D$823,2,FALSE)/100</f>
        <v>2.544</v>
      </c>
      <c r="E16751" s="1493">
        <f t="shared" si="228"/>
        <v>-4.3357274470725349E-2</v>
      </c>
      <c r="F16751" s="1313">
        <f t="shared" si="229"/>
        <v>-1.734290978829014E-3</v>
      </c>
      <c r="G16751" s="78"/>
      <c r="H16751" t="str">
        <f>VLOOKUP(B16751,indexy!$A$44:$D$823,3,FALSE)</f>
        <v>LGEN LN Equity</v>
      </c>
      <c r="I16751">
        <f>VLOOKUP(H16751,[7]Fixing!$B$10:$C$39,2,0)</f>
        <v>1.5041552288</v>
      </c>
      <c r="J16751">
        <f t="shared" si="226"/>
        <v>2.6593000000346771</v>
      </c>
      <c r="K16751" s="434">
        <f t="shared" si="227"/>
        <v>3.4677150040351989E-11</v>
      </c>
    </row>
    <row r="16752" spans="1:11" ht="12.75" hidden="1" customHeight="1" outlineLevel="1" x14ac:dyDescent="0.25">
      <c r="A16752" s="135">
        <v>0.02</v>
      </c>
      <c r="B16752" s="211" t="s">
        <v>8261</v>
      </c>
      <c r="C16752" s="472">
        <v>168.86604844243445</v>
      </c>
      <c r="D16752" s="1489">
        <f>VLOOKUP(H16752,indexy!$C$44:$D$823,2,FALSE)</f>
        <v>198.95</v>
      </c>
      <c r="E16752" s="1493">
        <f t="shared" si="228"/>
        <v>0.17815275382500007</v>
      </c>
      <c r="F16752" s="1313">
        <f t="shared" si="229"/>
        <v>3.5630550765000015E-3</v>
      </c>
      <c r="G16752" s="78"/>
      <c r="H16752" t="str">
        <f>VLOOKUP(B16752,indexy!$A$44:$D$823,3,FALSE)</f>
        <v>MOWI NO Equity</v>
      </c>
      <c r="I16752">
        <f>VLOOKUP(H16752,[7]Fixing!$B$10:$C$39,2,0)</f>
        <v>1.1843707E-2</v>
      </c>
      <c r="J16752">
        <f t="shared" si="226"/>
        <v>168.86604844243445</v>
      </c>
      <c r="K16752" s="434">
        <f t="shared" si="227"/>
        <v>0</v>
      </c>
    </row>
    <row r="16753" spans="1:11" ht="12.75" hidden="1" customHeight="1" outlineLevel="1" x14ac:dyDescent="0.25">
      <c r="A16753" s="135">
        <v>0.02</v>
      </c>
      <c r="B16753" s="211" t="s">
        <v>5196</v>
      </c>
      <c r="C16753" s="472">
        <v>57.906932499249592</v>
      </c>
      <c r="D16753" s="1489">
        <f>VLOOKUP(H16753,indexy!$C$44:$D$823,2,FALSE)/100</f>
        <v>92.32</v>
      </c>
      <c r="E16753" s="1493">
        <f t="shared" si="228"/>
        <v>0.59428234264000013</v>
      </c>
      <c r="F16753" s="1313">
        <f t="shared" si="229"/>
        <v>1.1885646852800002E-2</v>
      </c>
      <c r="G16753" s="78"/>
      <c r="H16753" t="str">
        <f>VLOOKUP(B16753,indexy!$A$44:$D$823,3,FALSE)</f>
        <v>NXT LN Equity</v>
      </c>
      <c r="I16753">
        <f>VLOOKUP(H16753,[7]Fixing!$B$10:$C$39,2,0)</f>
        <v>3.4538179000000002E-2</v>
      </c>
      <c r="J16753">
        <f t="shared" si="226"/>
        <v>57.906932499249592</v>
      </c>
      <c r="K16753" s="434">
        <f t="shared" si="227"/>
        <v>0</v>
      </c>
    </row>
    <row r="16754" spans="1:11" ht="12.75" hidden="1" customHeight="1" outlineLevel="1" x14ac:dyDescent="0.25">
      <c r="A16754" s="135">
        <v>0.03</v>
      </c>
      <c r="B16754" s="211" t="s">
        <v>8527</v>
      </c>
      <c r="C16754" s="472">
        <v>36.792000000000002</v>
      </c>
      <c r="D16754" s="1489">
        <f>VLOOKUP(H16754,indexy!$C$44:$D$823,2,FALSE)</f>
        <v>42.82</v>
      </c>
      <c r="E16754" s="1493">
        <f t="shared" si="228"/>
        <v>0.16383996520982813</v>
      </c>
      <c r="F16754" s="1313">
        <f t="shared" si="229"/>
        <v>4.9151989562948436E-3</v>
      </c>
      <c r="G16754" s="78"/>
      <c r="H16754" t="str">
        <f>VLOOKUP(B16754,indexy!$A$44:$D$823,3,FALSE)</f>
        <v>NN NA Equity</v>
      </c>
      <c r="I16754">
        <f>VLOOKUP(H16754,[7]Fixing!$B$10:$C$39,2,0)</f>
        <v>8.15394651E-2</v>
      </c>
      <c r="J16754">
        <f t="shared" si="226"/>
        <v>36.792000000500373</v>
      </c>
      <c r="K16754" s="434">
        <f t="shared" si="227"/>
        <v>5.0037129994962015E-10</v>
      </c>
    </row>
    <row r="16755" spans="1:11" ht="12.75" hidden="1" customHeight="1" outlineLevel="1" x14ac:dyDescent="0.25">
      <c r="A16755" s="135">
        <v>0.02</v>
      </c>
      <c r="B16755" s="211" t="s">
        <v>1203</v>
      </c>
      <c r="C16755" s="472">
        <v>91.388000000000005</v>
      </c>
      <c r="D16755" s="1489">
        <f>VLOOKUP(H16755,indexy!$C$44:$D$823,2,FALSE)</f>
        <v>119.2</v>
      </c>
      <c r="E16755" s="1493">
        <f t="shared" si="228"/>
        <v>0.30432879590318196</v>
      </c>
      <c r="F16755" s="1313">
        <f t="shared" si="229"/>
        <v>6.0865759180636393E-3</v>
      </c>
      <c r="G16755" s="78"/>
      <c r="H16755" t="str">
        <f>VLOOKUP(B16755,indexy!$A$44:$D$823,3,FALSE)</f>
        <v>NDA SS Equity</v>
      </c>
      <c r="I16755">
        <f>VLOOKUP(H16755,[7]Fixing!$B$10:$C$39,2,0)</f>
        <v>2.1884711300000002E-2</v>
      </c>
      <c r="J16755">
        <f t="shared" si="226"/>
        <v>91.388000169780625</v>
      </c>
      <c r="K16755" s="434">
        <f t="shared" si="227"/>
        <v>1.6978061978534242E-7</v>
      </c>
    </row>
    <row r="16756" spans="1:11" ht="12.75" hidden="1" customHeight="1" outlineLevel="1" x14ac:dyDescent="0.25">
      <c r="A16756" s="135">
        <v>0.06</v>
      </c>
      <c r="B16756" s="211" t="s">
        <v>7433</v>
      </c>
      <c r="C16756" s="472">
        <v>22.526</v>
      </c>
      <c r="D16756" s="1489">
        <f>VLOOKUP(H16756,indexy!$C$44:$D$823,2,FALSE)</f>
        <v>6.5119999999999996</v>
      </c>
      <c r="E16756" s="1493">
        <f t="shared" si="228"/>
        <v>-0.71091183521264312</v>
      </c>
      <c r="F16756" s="1313">
        <f t="shared" si="229"/>
        <v>-4.2654710112758586E-2</v>
      </c>
      <c r="G16756" s="78"/>
      <c r="H16756" t="str">
        <f>VLOOKUP(B16756,indexy!$A$44:$D$823,3,FALSE)</f>
        <v>PSM GY Equity</v>
      </c>
      <c r="I16756">
        <f>VLOOKUP(H16756,[7]Fixing!$B$10:$C$39,2,0)</f>
        <v>0.26635887419999998</v>
      </c>
      <c r="J16756">
        <f t="shared" si="226"/>
        <v>22.525999999139508</v>
      </c>
      <c r="K16756" s="434">
        <f t="shared" si="227"/>
        <v>-8.6049212200123293E-10</v>
      </c>
    </row>
    <row r="16757" spans="1:11" ht="12.75" hidden="1" customHeight="1" outlineLevel="1" x14ac:dyDescent="0.25">
      <c r="A16757" s="135">
        <v>0.04</v>
      </c>
      <c r="B16757" s="211" t="s">
        <v>6270</v>
      </c>
      <c r="C16757" s="472">
        <v>36.299061389397323</v>
      </c>
      <c r="D16757" s="1489">
        <f>VLOOKUP(H16757,indexy!$C$44:$D$823,2,FALSE)</f>
        <v>39.515000000000001</v>
      </c>
      <c r="E16757" s="1493">
        <f t="shared" si="228"/>
        <v>8.859564097549999E-2</v>
      </c>
      <c r="F16757" s="1313">
        <f t="shared" si="229"/>
        <v>3.5438256390199997E-3</v>
      </c>
      <c r="G16757" s="78"/>
      <c r="H16757" t="str">
        <f>VLOOKUP(B16757,indexy!$A$44:$D$823,3,FALSE)</f>
        <v>SAMPO FH Equity</v>
      </c>
      <c r="I16757">
        <f>VLOOKUP(H16757,[7]Fixing!$B$10:$C$39,2,0)</f>
        <v>0.1101956868</v>
      </c>
      <c r="J16757">
        <f t="shared" si="226"/>
        <v>36.299061389397323</v>
      </c>
      <c r="K16757" s="434">
        <f t="shared" si="227"/>
        <v>0</v>
      </c>
    </row>
    <row r="16758" spans="1:11" ht="12.75" hidden="1" customHeight="1" outlineLevel="1" x14ac:dyDescent="0.25">
      <c r="A16758" s="135">
        <v>0.02</v>
      </c>
      <c r="B16758" s="211" t="s">
        <v>6524</v>
      </c>
      <c r="C16758" s="472">
        <v>90.796901432254842</v>
      </c>
      <c r="D16758" s="1489">
        <f>VLOOKUP(H16758,indexy!$C$44:$D$823,2,FALSE)</f>
        <v>144.94999999999999</v>
      </c>
      <c r="E16758" s="1493">
        <f t="shared" si="228"/>
        <v>0.59642011691499985</v>
      </c>
      <c r="F16758" s="1313">
        <f t="shared" si="229"/>
        <v>1.1928402338299997E-2</v>
      </c>
      <c r="G16758" s="78"/>
      <c r="H16758" t="str">
        <f>VLOOKUP(B16758,indexy!$A$44:$D$823,3,FALSE)</f>
        <v>SEBA SS Equity</v>
      </c>
      <c r="I16758">
        <f>VLOOKUP(H16758,[7]Fixing!$B$10:$C$39,2,0)</f>
        <v>2.2027183400000001E-2</v>
      </c>
      <c r="J16758">
        <f t="shared" si="226"/>
        <v>90.796901432254842</v>
      </c>
      <c r="K16758" s="434">
        <f t="shared" si="227"/>
        <v>0</v>
      </c>
    </row>
    <row r="16759" spans="1:11" ht="12.75" hidden="1" customHeight="1" outlineLevel="1" x14ac:dyDescent="0.25">
      <c r="A16759" s="135">
        <v>0.05</v>
      </c>
      <c r="B16759" s="211" t="s">
        <v>6116</v>
      </c>
      <c r="C16759" s="472">
        <v>3.6655000000000002</v>
      </c>
      <c r="D16759" s="1489">
        <f>VLOOKUP(H16759,indexy!$C$44:$D$823,2,FALSE)</f>
        <v>4.3760000000000003</v>
      </c>
      <c r="E16759" s="1493">
        <f t="shared" si="228"/>
        <v>0.19383440185513567</v>
      </c>
      <c r="F16759" s="1313">
        <f t="shared" si="229"/>
        <v>9.691720092756784E-3</v>
      </c>
      <c r="G16759" s="78"/>
      <c r="H16759" t="str">
        <f>VLOOKUP(B16759,indexy!$A$44:$D$823,3,FALSE)</f>
        <v>SRG IM Equity</v>
      </c>
      <c r="I16759">
        <f>VLOOKUP(H16759,[7]Fixing!$B$10:$C$39,2,0)</f>
        <v>1.3640703860000001</v>
      </c>
      <c r="J16759">
        <f t="shared" si="226"/>
        <v>3.6655000000857725</v>
      </c>
      <c r="K16759" s="434">
        <f t="shared" si="227"/>
        <v>8.5772278168860794E-11</v>
      </c>
    </row>
    <row r="16760" spans="1:11" ht="12.75" hidden="1" customHeight="1" outlineLevel="1" x14ac:dyDescent="0.25">
      <c r="A16760" s="135">
        <v>0.03</v>
      </c>
      <c r="B16760" s="211" t="s">
        <v>1857</v>
      </c>
      <c r="C16760" s="472">
        <v>13.295999999999999</v>
      </c>
      <c r="D16760" s="1489">
        <f>VLOOKUP(H16760,indexy!$C$44:$D$823,2,FALSE)/100</f>
        <v>16.5</v>
      </c>
      <c r="E16760" s="1493">
        <f t="shared" si="228"/>
        <v>0.24097472924187735</v>
      </c>
      <c r="F16760" s="1313">
        <f t="shared" si="229"/>
        <v>7.2292418772563205E-3</v>
      </c>
      <c r="G16760" s="78"/>
      <c r="H16760" t="str">
        <f>VLOOKUP(B16760,indexy!$A$44:$D$823,3,FALSE)</f>
        <v>SSE LN Equity</v>
      </c>
      <c r="I16760">
        <f>VLOOKUP(H16760,[7]Fixing!$B$10:$C$39,2,0)</f>
        <v>0.22563176900000001</v>
      </c>
      <c r="J16760">
        <f t="shared" si="226"/>
        <v>13.295999997234432</v>
      </c>
      <c r="K16760" s="434">
        <f t="shared" si="227"/>
        <v>-2.7655673306981043E-9</v>
      </c>
    </row>
    <row r="16761" spans="1:11" ht="12.75" hidden="1" customHeight="1" outlineLevel="1" x14ac:dyDescent="0.25">
      <c r="A16761" s="135">
        <v>0.06</v>
      </c>
      <c r="B16761" s="211" t="s">
        <v>6118</v>
      </c>
      <c r="C16761" s="472">
        <v>89.128</v>
      </c>
      <c r="D16761" s="1489">
        <f>VLOOKUP(H16761,indexy!$C$44:$D$823,2,FALSE)</f>
        <v>115.95</v>
      </c>
      <c r="E16761" s="1493">
        <f t="shared" si="228"/>
        <v>0.30093797684229417</v>
      </c>
      <c r="F16761" s="1313">
        <f t="shared" si="229"/>
        <v>1.805627861053765E-2</v>
      </c>
      <c r="G16761" s="78"/>
      <c r="H16761" t="str">
        <f>VLOOKUP(B16761,indexy!$A$44:$D$823,3,FALSE)</f>
        <v>SREN SE Equity</v>
      </c>
      <c r="I16761">
        <f>VLOOKUP(H16761,[7]Fixing!$B$10:$C$39,2,0)</f>
        <v>6.7318912100000003E-2</v>
      </c>
      <c r="J16761">
        <f t="shared" si="226"/>
        <v>89.128000034926288</v>
      </c>
      <c r="K16761" s="434">
        <f t="shared" si="227"/>
        <v>3.4926287639791553E-8</v>
      </c>
    </row>
    <row r="16762" spans="1:11" ht="12.75" hidden="1" customHeight="1" outlineLevel="1" x14ac:dyDescent="0.25">
      <c r="A16762" s="135">
        <v>0.02</v>
      </c>
      <c r="B16762" s="211" t="s">
        <v>3383</v>
      </c>
      <c r="C16762" s="472">
        <v>154.16858796057568</v>
      </c>
      <c r="D16762" s="1489">
        <f>VLOOKUP(H16762,indexy!$C$44:$D$823,2,FALSE)</f>
        <v>120.75</v>
      </c>
      <c r="E16762" s="1493">
        <f t="shared" si="228"/>
        <v>-0.2167665177625</v>
      </c>
      <c r="F16762" s="1313">
        <f t="shared" si="229"/>
        <v>-4.3353303552500005E-3</v>
      </c>
      <c r="G16762" s="78"/>
      <c r="H16762" t="str">
        <f>VLOOKUP(B16762,indexy!$A$44:$D$823,3,FALSE)</f>
        <v>TEL NO Equity</v>
      </c>
      <c r="I16762">
        <f>VLOOKUP(H16762,[7]Fixing!$B$10:$C$39,2,0)</f>
        <v>1.29728113E-2</v>
      </c>
      <c r="J16762">
        <f t="shared" si="226"/>
        <v>154.16858796057568</v>
      </c>
      <c r="K16762" s="434">
        <f t="shared" si="227"/>
        <v>0</v>
      </c>
    </row>
    <row r="16763" spans="1:11" ht="12.75" hidden="1" customHeight="1" outlineLevel="1" x14ac:dyDescent="0.25">
      <c r="A16763" s="135">
        <v>7.0000000000000007E-2</v>
      </c>
      <c r="B16763" s="211" t="s">
        <v>434</v>
      </c>
      <c r="C16763" s="472">
        <v>40.615000000000002</v>
      </c>
      <c r="D16763" s="1489">
        <f>VLOOKUP(H16763,indexy!$C$44:$D$823,2,FALSE)</f>
        <v>27.43</v>
      </c>
      <c r="E16763" s="1493">
        <f t="shared" si="228"/>
        <v>-0.32463375600147737</v>
      </c>
      <c r="F16763" s="1313">
        <f t="shared" si="229"/>
        <v>-2.2724362920103418E-2</v>
      </c>
      <c r="G16763" s="78"/>
      <c r="H16763" t="str">
        <f>VLOOKUP(B16763,indexy!$A$44:$D$823,3,FALSE)</f>
        <v>TELIA SS Equity</v>
      </c>
      <c r="I16763">
        <f>VLOOKUP(H16763,[7]Fixing!$B$10:$C$39,2,0)</f>
        <v>0.172350117</v>
      </c>
      <c r="J16763">
        <f t="shared" si="226"/>
        <v>40.61499998865682</v>
      </c>
      <c r="K16763" s="434">
        <f t="shared" si="227"/>
        <v>-1.1343182393375173E-8</v>
      </c>
    </row>
    <row r="16764" spans="1:11" ht="12.75" hidden="1" customHeight="1" outlineLevel="1" x14ac:dyDescent="0.25">
      <c r="A16764" s="135">
        <v>0.02</v>
      </c>
      <c r="B16764" s="211" t="s">
        <v>5249</v>
      </c>
      <c r="C16764" s="472">
        <v>2.568920072429643</v>
      </c>
      <c r="D16764" s="1489">
        <f>VLOOKUP(H16764,indexy!$C$44:$D$823,2,FALSE)</f>
        <v>3.86</v>
      </c>
      <c r="E16764" s="1493">
        <f t="shared" si="228"/>
        <v>0.50257691604599986</v>
      </c>
      <c r="F16764" s="1313">
        <f t="shared" si="229"/>
        <v>1.0051538320919998E-2</v>
      </c>
      <c r="G16764" s="78"/>
      <c r="H16764" t="str">
        <f>VLOOKUP(B16764,indexy!$A$44:$D$823,3,FALSE)</f>
        <v>TLS AT Equity</v>
      </c>
      <c r="I16764">
        <f>VLOOKUP(H16764,[7]Fixing!$B$10:$C$39,2,0)</f>
        <v>0.77853726219999997</v>
      </c>
      <c r="J16764">
        <f t="shared" si="226"/>
        <v>2.568920072429643</v>
      </c>
      <c r="K16764" s="434">
        <f t="shared" si="227"/>
        <v>0</v>
      </c>
    </row>
    <row r="16765" spans="1:11" ht="12.75" hidden="1" customHeight="1" outlineLevel="1" x14ac:dyDescent="0.25">
      <c r="A16765" s="135">
        <v>0.04</v>
      </c>
      <c r="B16765" s="211" t="s">
        <v>10633</v>
      </c>
      <c r="C16765" s="472">
        <v>52.446984333015862</v>
      </c>
      <c r="D16765" s="1489">
        <f>VLOOKUP(H16765,indexy!$C$44:$D$823,2,FALSE)</f>
        <v>63.47</v>
      </c>
      <c r="E16765" s="1493">
        <f t="shared" si="228"/>
        <v>0.21017444200399993</v>
      </c>
      <c r="F16765" s="1313">
        <f t="shared" si="229"/>
        <v>8.4069776801599973E-3</v>
      </c>
      <c r="G16765" s="78"/>
      <c r="H16765" t="str">
        <f>VLOOKUP(B16765,indexy!$A$44:$D$823,3,FALSE)</f>
        <v>TTE FP Equity</v>
      </c>
      <c r="I16765">
        <f>VLOOKUP(H16765,[7]Fixing!$B$10:$C$39,2,0)</f>
        <v>7.6267492800000003E-2</v>
      </c>
      <c r="J16765">
        <f t="shared" si="226"/>
        <v>52.446984333015862</v>
      </c>
      <c r="K16765" s="434">
        <f t="shared" si="227"/>
        <v>0</v>
      </c>
    </row>
    <row r="16766" spans="1:11" ht="12.75" hidden="1" customHeight="1" outlineLevel="1" x14ac:dyDescent="0.25">
      <c r="A16766" s="135">
        <v>0.02</v>
      </c>
      <c r="B16766" s="211" t="s">
        <v>255</v>
      </c>
      <c r="C16766" s="472">
        <v>51.279000000000003</v>
      </c>
      <c r="D16766" s="1489">
        <f>VLOOKUP(H16766,indexy!$C$44:$D$823,2,FALSE)</f>
        <v>41.96</v>
      </c>
      <c r="E16766" s="1493">
        <f t="shared" si="228"/>
        <v>-0.18173131301312428</v>
      </c>
      <c r="F16766" s="1313">
        <f t="shared" si="229"/>
        <v>-3.6346262602624858E-3</v>
      </c>
      <c r="G16766" s="78"/>
      <c r="H16766" t="str">
        <f>VLOOKUP(B16766,indexy!$A$44:$D$823,3,FALSE)</f>
        <v>VZ UN Equity</v>
      </c>
      <c r="I16766">
        <f>VLOOKUP(H16766,[7]Fixing!$B$10:$C$39,2,0)</f>
        <v>3.9002320600000001E-2</v>
      </c>
      <c r="J16766">
        <f t="shared" si="226"/>
        <v>51.279000050063686</v>
      </c>
      <c r="K16766" s="434">
        <f t="shared" si="227"/>
        <v>5.006368297699737E-8</v>
      </c>
    </row>
    <row r="16767" spans="1:11" ht="12.75" hidden="1" customHeight="1" outlineLevel="1" x14ac:dyDescent="0.25">
      <c r="A16767" s="135">
        <v>0.02</v>
      </c>
      <c r="B16767" s="211" t="s">
        <v>5626</v>
      </c>
      <c r="C16767" s="472">
        <v>29.521999999999998</v>
      </c>
      <c r="D16767" s="1489">
        <f>VLOOKUP(H16767,indexy!$C$44:$D$823,2,FALSE)</f>
        <v>26.1</v>
      </c>
      <c r="E16767" s="1493">
        <f t="shared" si="228"/>
        <v>-0.11591355599214137</v>
      </c>
      <c r="F16767" s="1313">
        <f t="shared" si="229"/>
        <v>-2.3182711198428273E-3</v>
      </c>
      <c r="G16767" s="78"/>
      <c r="H16767" t="str">
        <f>VLOOKUP(B16767,indexy!$A$44:$D$823,3,FALSE)</f>
        <v>WBC AT Equity</v>
      </c>
      <c r="I16767">
        <f>VLOOKUP(H16767,[7]Fixing!$B$10:$C$39,2,0)</f>
        <v>6.7746087699999999E-2</v>
      </c>
      <c r="J16767">
        <f t="shared" si="226"/>
        <v>29.521999984066976</v>
      </c>
      <c r="K16767" s="434">
        <f t="shared" si="227"/>
        <v>-1.593302201285951E-8</v>
      </c>
    </row>
    <row r="16768" spans="1:11" ht="12.75" hidden="1" customHeight="1" outlineLevel="1" x14ac:dyDescent="0.25">
      <c r="A16768" s="135">
        <v>7.0000000000000007E-2</v>
      </c>
      <c r="B16768" s="1465" t="s">
        <v>4550</v>
      </c>
      <c r="C16768" s="472">
        <v>299.77</v>
      </c>
      <c r="D16768" s="1490">
        <f>VLOOKUP(H16768,indexy!$C$44:$D$823,2,FALSE)</f>
        <v>486.3</v>
      </c>
      <c r="E16768" s="1495">
        <f t="shared" si="228"/>
        <v>0.62224372018547558</v>
      </c>
      <c r="F16768" s="1314">
        <f>$E16768*$A16768</f>
        <v>4.3557060412983295E-2</v>
      </c>
      <c r="G16768" s="78"/>
      <c r="H16768" t="str">
        <f>VLOOKUP(B16768,indexy!$A$44:$D$823,3,FALSE)</f>
        <v>ZURN SE Equity</v>
      </c>
      <c r="I16768">
        <f>VLOOKUP(H16768,[7]Fixing!$B$10:$C$39,2,0)</f>
        <v>2.33512359E-2</v>
      </c>
      <c r="J16768">
        <f t="shared" si="226"/>
        <v>299.77000061054588</v>
      </c>
      <c r="K16768" s="434">
        <f t="shared" si="227"/>
        <v>6.1054589650666458E-7</v>
      </c>
    </row>
    <row r="16769" spans="1:7" ht="12.75" hidden="1" customHeight="1" outlineLevel="1" x14ac:dyDescent="0.25">
      <c r="A16769" s="1475" t="s">
        <v>2734</v>
      </c>
      <c r="B16769" s="150"/>
      <c r="C16769" s="1476"/>
      <c r="D16769" s="1477"/>
      <c r="E16769" s="512"/>
      <c r="F16769" s="1313">
        <f>SUM(F16739:F16768)</f>
        <v>4.0569006063196605E-2</v>
      </c>
      <c r="G16769" s="78"/>
    </row>
    <row r="16770" spans="1:7" ht="12.75" hidden="1" customHeight="1" outlineLevel="1" x14ac:dyDescent="0.25">
      <c r="A16770" s="221" t="s">
        <v>9368</v>
      </c>
      <c r="B16770" s="1478">
        <v>44927</v>
      </c>
      <c r="C16770" s="1497">
        <v>100</v>
      </c>
      <c r="D16770" s="1497">
        <v>100.2731</v>
      </c>
      <c r="E16770" s="1498">
        <f>IF(D16770="",F16769,D16770/C16770-1)</f>
        <v>2.731000000000039E-3</v>
      </c>
      <c r="F16770" s="1842"/>
      <c r="G16770" s="78"/>
    </row>
    <row r="16771" spans="1:7" ht="12.75" hidden="1" customHeight="1" outlineLevel="1" x14ac:dyDescent="0.25">
      <c r="A16771" s="221" t="s">
        <v>9369</v>
      </c>
      <c r="B16771" s="1478">
        <v>44958</v>
      </c>
      <c r="C16771" s="1497">
        <v>100</v>
      </c>
      <c r="D16771" s="1500">
        <v>101.47669999999999</v>
      </c>
      <c r="E16771" s="1498">
        <f>IF(D16771="",E16770,D16771/C16771-1)</f>
        <v>1.4766999999999975E-2</v>
      </c>
      <c r="F16771" s="1842"/>
      <c r="G16771" s="78"/>
    </row>
    <row r="16772" spans="1:7" ht="12.75" hidden="1" customHeight="1" outlineLevel="1" x14ac:dyDescent="0.25">
      <c r="A16772" s="221" t="s">
        <v>9370</v>
      </c>
      <c r="B16772" s="1478">
        <v>44986</v>
      </c>
      <c r="C16772" s="1497">
        <v>100</v>
      </c>
      <c r="D16772" s="1500">
        <v>98.954599999999999</v>
      </c>
      <c r="E16772" s="1498">
        <f>IF(D16772="",E16771,D16772/C16772-1)</f>
        <v>-1.0453999999999963E-2</v>
      </c>
      <c r="F16772" s="1842"/>
      <c r="G16772" s="78"/>
    </row>
    <row r="16773" spans="1:7" ht="12.75" hidden="1" customHeight="1" outlineLevel="1" x14ac:dyDescent="0.25">
      <c r="A16773" s="221" t="s">
        <v>9371</v>
      </c>
      <c r="B16773" s="1478">
        <v>45017</v>
      </c>
      <c r="C16773" s="1497">
        <v>100</v>
      </c>
      <c r="D16773" s="1500">
        <v>100.7499</v>
      </c>
      <c r="E16773" s="1498">
        <f>IF(D16773="",E16772,D16773/C16773-1)</f>
        <v>7.4989999999999224E-3</v>
      </c>
      <c r="F16773" s="1842"/>
      <c r="G16773" s="78"/>
    </row>
    <row r="16774" spans="1:7" ht="12.75" hidden="1" customHeight="1" outlineLevel="1" x14ac:dyDescent="0.25">
      <c r="A16774" s="221" t="s">
        <v>9372</v>
      </c>
      <c r="B16774" s="1478">
        <v>45047</v>
      </c>
      <c r="C16774" s="1497">
        <v>100</v>
      </c>
      <c r="D16774" s="1500">
        <v>96.412800000000004</v>
      </c>
      <c r="E16774" s="1498">
        <f t="shared" ref="E16774" si="230">IF(D16774="",E16773,D16774/C16774-1)</f>
        <v>-3.5871999999999904E-2</v>
      </c>
      <c r="F16774" s="1842"/>
      <c r="G16774" s="78"/>
    </row>
    <row r="16775" spans="1:7" ht="12.75" hidden="1" customHeight="1" outlineLevel="1" x14ac:dyDescent="0.25">
      <c r="A16775" s="221" t="s">
        <v>9373</v>
      </c>
      <c r="B16775" s="1478">
        <v>45078</v>
      </c>
      <c r="C16775" s="1497">
        <v>100</v>
      </c>
      <c r="D16775" s="1500">
        <v>96.2072</v>
      </c>
      <c r="E16775" s="1498">
        <f>IF(D16775="",$F$16769,D16775/C16775-1)</f>
        <v>-3.7927999999999962E-2</v>
      </c>
      <c r="F16775" s="1842"/>
      <c r="G16775" s="78"/>
    </row>
    <row r="16776" spans="1:7" ht="12.75" hidden="1" customHeight="1" outlineLevel="1" x14ac:dyDescent="0.25">
      <c r="A16776" s="221" t="s">
        <v>9374</v>
      </c>
      <c r="B16776" s="1478">
        <v>45108</v>
      </c>
      <c r="C16776" s="1497">
        <v>100</v>
      </c>
      <c r="D16776" s="1500">
        <v>96.182000000000002</v>
      </c>
      <c r="E16776" s="1498">
        <f t="shared" ref="E16776:E16787" si="231">IF(D16776="",$F$16769,D16776/C16776-1)</f>
        <v>-3.8179999999999992E-2</v>
      </c>
      <c r="F16776" s="1842"/>
      <c r="G16776" s="78"/>
    </row>
    <row r="16777" spans="1:7" ht="12.75" hidden="1" customHeight="1" outlineLevel="1" x14ac:dyDescent="0.25">
      <c r="A16777" s="221" t="s">
        <v>9375</v>
      </c>
      <c r="B16777" s="1478">
        <v>45139</v>
      </c>
      <c r="C16777" s="1497">
        <v>100</v>
      </c>
      <c r="D16777" s="1500">
        <v>94.631399999999999</v>
      </c>
      <c r="E16777" s="1498">
        <f t="shared" si="231"/>
        <v>-5.3686000000000011E-2</v>
      </c>
      <c r="F16777" s="1842"/>
      <c r="G16777" s="78"/>
    </row>
    <row r="16778" spans="1:7" ht="12.75" hidden="1" customHeight="1" outlineLevel="1" x14ac:dyDescent="0.25">
      <c r="A16778" s="221" t="s">
        <v>9376</v>
      </c>
      <c r="B16778" s="1478">
        <v>45170</v>
      </c>
      <c r="C16778" s="1497">
        <v>100</v>
      </c>
      <c r="D16778" s="1500">
        <v>94.264600000000002</v>
      </c>
      <c r="E16778" s="1498">
        <f t="shared" si="231"/>
        <v>-5.7354000000000016E-2</v>
      </c>
      <c r="F16778" s="1842"/>
      <c r="G16778" s="78"/>
    </row>
    <row r="16779" spans="1:7" ht="12.75" hidden="1" customHeight="1" outlineLevel="1" x14ac:dyDescent="0.25">
      <c r="A16779" s="221" t="s">
        <v>9377</v>
      </c>
      <c r="B16779" s="1478">
        <v>45200</v>
      </c>
      <c r="C16779" s="1497">
        <v>100</v>
      </c>
      <c r="D16779" s="1500">
        <v>93.135499999999993</v>
      </c>
      <c r="E16779" s="1498">
        <f t="shared" si="231"/>
        <v>-6.8645000000000067E-2</v>
      </c>
      <c r="F16779" s="1842"/>
      <c r="G16779" s="78"/>
    </row>
    <row r="16780" spans="1:7" ht="12.75" hidden="1" customHeight="1" outlineLevel="1" x14ac:dyDescent="0.25">
      <c r="A16780" s="221" t="s">
        <v>9378</v>
      </c>
      <c r="B16780" s="1478">
        <v>45231</v>
      </c>
      <c r="C16780" s="1497">
        <v>100</v>
      </c>
      <c r="D16780" s="1500">
        <v>98.274000000000001</v>
      </c>
      <c r="E16780" s="1498">
        <f t="shared" si="231"/>
        <v>-1.7259999999999942E-2</v>
      </c>
      <c r="F16780" s="1842"/>
      <c r="G16780" s="78"/>
    </row>
    <row r="16781" spans="1:7" ht="12.75" hidden="1" customHeight="1" outlineLevel="1" x14ac:dyDescent="0.25">
      <c r="A16781" s="221" t="s">
        <v>9379</v>
      </c>
      <c r="B16781" s="1478">
        <v>45261</v>
      </c>
      <c r="C16781" s="1497">
        <v>100</v>
      </c>
      <c r="D16781" s="1500">
        <v>98.549899999999994</v>
      </c>
      <c r="E16781" s="1498">
        <f t="shared" si="231"/>
        <v>-1.4501000000000097E-2</v>
      </c>
      <c r="F16781" s="1842"/>
      <c r="G16781" s="78"/>
    </row>
    <row r="16782" spans="1:7" ht="12.75" hidden="1" customHeight="1" outlineLevel="1" x14ac:dyDescent="0.25">
      <c r="A16782" s="221" t="s">
        <v>9380</v>
      </c>
      <c r="B16782" s="1478">
        <v>45292</v>
      </c>
      <c r="C16782" s="1497">
        <v>100</v>
      </c>
      <c r="D16782" s="1500">
        <v>100.22839999999999</v>
      </c>
      <c r="E16782" s="1498">
        <f t="shared" si="231"/>
        <v>2.2839999999999527E-3</v>
      </c>
      <c r="F16782" s="1842"/>
      <c r="G16782" s="78"/>
    </row>
    <row r="16783" spans="1:7" ht="12.75" hidden="1" customHeight="1" outlineLevel="1" x14ac:dyDescent="0.25">
      <c r="A16783" s="221" t="s">
        <v>9381</v>
      </c>
      <c r="B16783" s="1478">
        <v>45323</v>
      </c>
      <c r="C16783" s="1497">
        <v>100</v>
      </c>
      <c r="D16783" s="1500">
        <v>100.8023</v>
      </c>
      <c r="E16783" s="1498">
        <f t="shared" si="231"/>
        <v>8.0230000000001134E-3</v>
      </c>
      <c r="F16783" s="1842"/>
      <c r="G16783" s="78"/>
    </row>
    <row r="16784" spans="1:7" ht="12.75" hidden="1" customHeight="1" outlineLevel="1" x14ac:dyDescent="0.25">
      <c r="A16784" s="221" t="s">
        <v>9382</v>
      </c>
      <c r="B16784" s="1478">
        <v>45352</v>
      </c>
      <c r="C16784" s="1497">
        <v>100</v>
      </c>
      <c r="D16784" s="1500">
        <v>104.1233</v>
      </c>
      <c r="E16784" s="1498">
        <f t="shared" si="231"/>
        <v>4.1233000000000075E-2</v>
      </c>
      <c r="F16784" s="1842"/>
      <c r="G16784" s="78"/>
    </row>
    <row r="16785" spans="1:10" ht="12.75" hidden="1" customHeight="1" outlineLevel="1" x14ac:dyDescent="0.25">
      <c r="A16785" s="221" t="s">
        <v>9383</v>
      </c>
      <c r="B16785" s="1478">
        <v>45383</v>
      </c>
      <c r="C16785" s="1497">
        <v>100</v>
      </c>
      <c r="D16785" s="1500"/>
      <c r="E16785" s="1498">
        <f t="shared" si="231"/>
        <v>4.0569006063196605E-2</v>
      </c>
      <c r="F16785" s="1842"/>
      <c r="G16785" s="78"/>
    </row>
    <row r="16786" spans="1:10" ht="12.75" hidden="1" customHeight="1" outlineLevel="1" x14ac:dyDescent="0.25">
      <c r="A16786" s="221" t="s">
        <v>9384</v>
      </c>
      <c r="B16786" s="1478">
        <v>45413</v>
      </c>
      <c r="C16786" s="1497">
        <v>100</v>
      </c>
      <c r="D16786" s="1500"/>
      <c r="E16786" s="1498">
        <f t="shared" si="231"/>
        <v>4.0569006063196605E-2</v>
      </c>
      <c r="F16786" s="1842"/>
      <c r="G16786" s="78"/>
    </row>
    <row r="16787" spans="1:10" ht="12.75" hidden="1" customHeight="1" outlineLevel="1" x14ac:dyDescent="0.25">
      <c r="A16787" s="221" t="s">
        <v>9385</v>
      </c>
      <c r="B16787" s="1478">
        <v>45444</v>
      </c>
      <c r="C16787" s="1497">
        <v>100</v>
      </c>
      <c r="D16787" s="1500"/>
      <c r="E16787" s="1498">
        <f t="shared" si="231"/>
        <v>4.0569006063196605E-2</v>
      </c>
      <c r="F16787" s="1842"/>
      <c r="G16787" s="78"/>
    </row>
    <row r="16788" spans="1:10" ht="12.75" hidden="1" customHeight="1" outlineLevel="1" x14ac:dyDescent="0.25">
      <c r="A16788" s="1483" t="s">
        <v>2734</v>
      </c>
      <c r="B16788" s="1484"/>
      <c r="C16788" s="1500"/>
      <c r="D16788" s="1485" t="s">
        <v>2465</v>
      </c>
      <c r="E16788" s="1486">
        <f>AVERAGE(E16770:E16787)</f>
        <v>-7.5353323228005593E-3</v>
      </c>
      <c r="F16788" s="1844">
        <f>E16788</f>
        <v>-7.5353323228005593E-3</v>
      </c>
      <c r="G16788" s="78"/>
    </row>
    <row r="16789" spans="1:10" collapsed="1" x14ac:dyDescent="0.25">
      <c r="A16789" s="3799" t="s">
        <v>9197</v>
      </c>
      <c r="B16789" s="3800"/>
      <c r="C16789" s="3800"/>
      <c r="D16789" s="3800"/>
      <c r="E16789" s="18"/>
      <c r="F16789" s="186">
        <f>IF(F16788&lt;0,0%,MIN(F16788*0.5,50%))</f>
        <v>0</v>
      </c>
      <c r="G16789" s="78"/>
    </row>
    <row r="16791" spans="1:10" hidden="1" outlineLevel="1" x14ac:dyDescent="0.25">
      <c r="A16791" s="3248" t="s">
        <v>113</v>
      </c>
      <c r="B16791" s="3237" t="s">
        <v>114</v>
      </c>
      <c r="C16791" s="3248" t="s">
        <v>112</v>
      </c>
      <c r="D16791" s="3248" t="s">
        <v>116</v>
      </c>
      <c r="E16791" s="3237" t="s">
        <v>116</v>
      </c>
      <c r="F16791" s="3277" t="s">
        <v>121</v>
      </c>
      <c r="G16791" s="78"/>
      <c r="H16791" s="1671"/>
      <c r="I16791" s="1671"/>
      <c r="J16791" s="370"/>
    </row>
    <row r="16792" spans="1:10" hidden="1" outlineLevel="1" x14ac:dyDescent="0.25">
      <c r="A16792" s="1956" t="s">
        <v>8494</v>
      </c>
      <c r="B16792" s="2999" t="s">
        <v>8614</v>
      </c>
      <c r="C16792" s="2665">
        <v>159.50200000000001</v>
      </c>
      <c r="D16792" s="3723">
        <v>161.22800000000001</v>
      </c>
      <c r="E16792" s="2477">
        <v>125.348</v>
      </c>
      <c r="F16792" s="3726">
        <v>2.5000000000000001E-2</v>
      </c>
      <c r="G16792" s="3070">
        <v>-0.21412897643916695</v>
      </c>
      <c r="H16792" t="s">
        <v>8500</v>
      </c>
      <c r="I16792" s="81">
        <v>1.0821180925631113E-2</v>
      </c>
      <c r="J16792" s="370"/>
    </row>
    <row r="16793" spans="1:10" hidden="1" outlineLevel="1" x14ac:dyDescent="0.25">
      <c r="A16793" s="1956" t="s">
        <v>8495</v>
      </c>
      <c r="B16793" s="2999" t="s">
        <v>8614</v>
      </c>
      <c r="C16793" s="2665"/>
      <c r="D16793" s="3723"/>
      <c r="E16793" s="2964">
        <v>91.207999999999998</v>
      </c>
      <c r="F16793" s="3726">
        <v>0</v>
      </c>
      <c r="G16793" s="3070">
        <v>-0.42817017968426729</v>
      </c>
      <c r="H16793" s="81"/>
      <c r="I16793" s="413"/>
      <c r="J16793" s="370"/>
    </row>
    <row r="16794" spans="1:10" hidden="1" outlineLevel="1" x14ac:dyDescent="0.25">
      <c r="A16794" s="1956" t="s">
        <v>8496</v>
      </c>
      <c r="B16794" s="2999" t="s">
        <v>8614</v>
      </c>
      <c r="C16794" s="2665"/>
      <c r="D16794" s="3723"/>
      <c r="E16794" s="2964">
        <v>135.346</v>
      </c>
      <c r="F16794" s="3726">
        <v>2.5000000000000001E-2</v>
      </c>
      <c r="G16794" s="3070">
        <v>-0.15144637684793927</v>
      </c>
      <c r="H16794" s="81"/>
      <c r="I16794" s="413"/>
      <c r="J16794" s="370"/>
    </row>
    <row r="16795" spans="1:10" hidden="1" outlineLevel="1" x14ac:dyDescent="0.25">
      <c r="A16795" s="1956" t="s">
        <v>8497</v>
      </c>
      <c r="B16795" s="2999" t="s">
        <v>8614</v>
      </c>
      <c r="C16795" s="2665">
        <v>0</v>
      </c>
      <c r="D16795" s="3723"/>
      <c r="E16795" s="2964">
        <v>129.21199999999999</v>
      </c>
      <c r="F16795" s="3726">
        <v>2.5000000000000001E-2</v>
      </c>
      <c r="G16795" s="3070">
        <v>-0.1899035748768042</v>
      </c>
      <c r="H16795" s="81"/>
      <c r="I16795" s="413"/>
      <c r="J16795" s="370"/>
    </row>
    <row r="16796" spans="1:10" hidden="1" outlineLevel="1" x14ac:dyDescent="0.25">
      <c r="A16796" s="1956" t="s">
        <v>8498</v>
      </c>
      <c r="B16796" s="2999" t="s">
        <v>8614</v>
      </c>
      <c r="C16796" s="2665">
        <v>0</v>
      </c>
      <c r="D16796" s="3723"/>
      <c r="E16796" s="2964">
        <v>161.22800000000001</v>
      </c>
      <c r="F16796" s="3726">
        <v>0.06</v>
      </c>
      <c r="G16796" s="78"/>
      <c r="H16796" s="81"/>
      <c r="I16796" s="413"/>
      <c r="J16796" s="370"/>
    </row>
    <row r="16797" spans="1:10" hidden="1" outlineLevel="1" x14ac:dyDescent="0.25">
      <c r="A16797" s="1956" t="s">
        <v>8499</v>
      </c>
      <c r="B16797" s="2999" t="s">
        <v>8614</v>
      </c>
      <c r="C16797" s="2665"/>
      <c r="D16797" s="3723"/>
      <c r="E16797" s="2964"/>
      <c r="F16797" s="3726"/>
      <c r="G16797" s="78"/>
      <c r="H16797" s="81"/>
      <c r="I16797" s="413"/>
      <c r="J16797" s="370"/>
    </row>
    <row r="16798" spans="1:10" hidden="1" outlineLevel="1" x14ac:dyDescent="0.25">
      <c r="A16798" s="1819" t="s">
        <v>2734</v>
      </c>
      <c r="B16798" s="3187"/>
      <c r="C16798" s="1820"/>
      <c r="D16798" s="3144"/>
      <c r="E16798" s="3725"/>
      <c r="F16798" s="3724">
        <v>0.13500000000000001</v>
      </c>
      <c r="G16798" s="78"/>
      <c r="H16798" s="81"/>
      <c r="I16798" s="370"/>
      <c r="J16798" s="370"/>
    </row>
    <row r="16799" spans="1:10" collapsed="1" x14ac:dyDescent="0.25">
      <c r="A16799" s="3721" t="s">
        <v>9386</v>
      </c>
      <c r="B16799" s="3722"/>
      <c r="C16799" s="3722"/>
      <c r="D16799" s="3722"/>
      <c r="E16799" s="1906"/>
      <c r="F16799" s="1907">
        <v>0.13500000000000001</v>
      </c>
      <c r="G16799" s="78"/>
      <c r="H16799" s="1672"/>
      <c r="I16799" s="370"/>
      <c r="J16799" s="370"/>
    </row>
    <row r="16801" spans="1:11" ht="12.75" hidden="1" customHeight="1" outlineLevel="1" x14ac:dyDescent="0.25">
      <c r="A16801" s="15" t="s">
        <v>113</v>
      </c>
      <c r="B16801" s="15" t="s">
        <v>114</v>
      </c>
      <c r="C16801" s="15" t="s">
        <v>112</v>
      </c>
      <c r="D16801" s="15" t="s">
        <v>116</v>
      </c>
      <c r="E16801" s="15" t="s">
        <v>117</v>
      </c>
      <c r="F16801" s="1882" t="s">
        <v>121</v>
      </c>
      <c r="G16801" s="78"/>
    </row>
    <row r="16802" spans="1:11" ht="12.75" hidden="1" customHeight="1" outlineLevel="1" x14ac:dyDescent="0.25">
      <c r="A16802" s="1744">
        <v>1</v>
      </c>
      <c r="B16802" s="331" t="s">
        <v>252</v>
      </c>
      <c r="C16802" s="1745">
        <v>100</v>
      </c>
      <c r="D16802" s="1745"/>
      <c r="E16802" s="1743"/>
      <c r="F16802" s="1742"/>
      <c r="G16802" s="78"/>
    </row>
    <row r="16803" spans="1:11" ht="12.75" hidden="1" customHeight="1" outlineLevel="1" x14ac:dyDescent="0.25">
      <c r="A16803" s="12" t="s">
        <v>2734</v>
      </c>
      <c r="B16803" s="12"/>
      <c r="C16803" s="1746"/>
      <c r="D16803" s="1747" t="s">
        <v>3702</v>
      </c>
      <c r="E16803" s="1748">
        <f>indexy!$B$2</f>
        <v>45379</v>
      </c>
      <c r="F16803" s="1749"/>
      <c r="G16803" s="78"/>
    </row>
    <row r="16804" spans="1:11" ht="12.75" hidden="1" customHeight="1" outlineLevel="1" x14ac:dyDescent="0.25">
      <c r="A16804" s="1704" t="s">
        <v>4156</v>
      </c>
      <c r="B16804" s="1704" t="s">
        <v>4153</v>
      </c>
      <c r="C16804" s="1629" t="s">
        <v>112</v>
      </c>
      <c r="D16804" s="1705" t="s">
        <v>4155</v>
      </c>
      <c r="E16804" s="1704" t="s">
        <v>4154</v>
      </c>
      <c r="F16804" s="1841" t="s">
        <v>2519</v>
      </c>
      <c r="G16804" s="78"/>
    </row>
    <row r="16805" spans="1:11" ht="12.75" hidden="1" customHeight="1" outlineLevel="1" x14ac:dyDescent="0.25">
      <c r="A16805" s="134">
        <v>0.04</v>
      </c>
      <c r="B16805" s="211" t="s">
        <v>2697</v>
      </c>
      <c r="C16805" s="472">
        <v>14.688000000000001</v>
      </c>
      <c r="D16805" s="426">
        <f>VLOOKUP(H16805,indexy!$C$44:$D$823,2,FALSE)</f>
        <v>23.46</v>
      </c>
      <c r="E16805" s="1501">
        <f>D16805/C16805-1</f>
        <v>0.59722222222222232</v>
      </c>
      <c r="F16805" s="1841">
        <f>E16805*A16805</f>
        <v>2.3888888888888894E-2</v>
      </c>
      <c r="G16805" s="78"/>
      <c r="H16805" t="str">
        <f>VLOOKUP(B16805,indexy!$A$44:$D$823,3,FALSE)</f>
        <v>G IM Equity</v>
      </c>
      <c r="K16805" s="434"/>
    </row>
    <row r="16806" spans="1:11" ht="12.75" hidden="1" customHeight="1" outlineLevel="1" x14ac:dyDescent="0.25">
      <c r="A16806" s="135">
        <v>0.02</v>
      </c>
      <c r="B16806" s="211" t="s">
        <v>218</v>
      </c>
      <c r="C16806" s="472">
        <v>21.7255</v>
      </c>
      <c r="D16806" s="103">
        <f>VLOOKUP(H16806,indexy!$C$44:$D$823,2,FALSE)</f>
        <v>34.814999999999998</v>
      </c>
      <c r="E16806" s="136">
        <f>D16806/C16806-1</f>
        <v>0.60249476421716408</v>
      </c>
      <c r="F16806" s="89">
        <f t="shared" ref="F16806:F16829" si="232">E16806*A16806</f>
        <v>1.2049895284343281E-2</v>
      </c>
      <c r="G16806" s="78"/>
      <c r="H16806" t="str">
        <f>VLOOKUP(B16806,indexy!$A$44:$D$823,3,FALSE)</f>
        <v>CS FP Equity</v>
      </c>
      <c r="K16806" s="434"/>
    </row>
    <row r="16807" spans="1:11" ht="12.75" hidden="1" customHeight="1" outlineLevel="1" x14ac:dyDescent="0.25">
      <c r="A16807" s="135">
        <v>0.02</v>
      </c>
      <c r="B16807" s="211" t="s">
        <v>807</v>
      </c>
      <c r="C16807" s="472">
        <v>53.698</v>
      </c>
      <c r="D16807" s="103">
        <f>VLOOKUP(H16807,indexy!$C$44:$D$823,2,FALSE)</f>
        <v>46.03</v>
      </c>
      <c r="E16807" s="136">
        <f t="shared" ref="E16807:E16834" si="233">D16807/C16807-1</f>
        <v>-0.14279861447353714</v>
      </c>
      <c r="F16807" s="89">
        <f t="shared" si="232"/>
        <v>-2.855972289470743E-3</v>
      </c>
      <c r="G16807" s="78"/>
      <c r="H16807" t="str">
        <f>VLOOKUP(B16807,indexy!$A$44:$D$823,3,FALSE)</f>
        <v>BCE CT Equity</v>
      </c>
      <c r="K16807" s="434"/>
    </row>
    <row r="16808" spans="1:11" ht="12.75" hidden="1" customHeight="1" outlineLevel="1" x14ac:dyDescent="0.25">
      <c r="A16808" s="135">
        <v>0.02</v>
      </c>
      <c r="B16808" s="211" t="s">
        <v>1188</v>
      </c>
      <c r="C16808" s="472">
        <v>5.5564</v>
      </c>
      <c r="D16808" s="103">
        <f>VLOOKUP(H16808,indexy!$C$44:$D$823,2,FALSE)/100</f>
        <v>4.9569999999999999</v>
      </c>
      <c r="E16808" s="136">
        <f t="shared" si="233"/>
        <v>-0.10787560290835796</v>
      </c>
      <c r="F16808" s="89">
        <f t="shared" si="232"/>
        <v>-2.1575120581671593E-3</v>
      </c>
      <c r="G16808" s="78"/>
      <c r="H16808" t="str">
        <f>VLOOKUP(B16808,indexy!$A$44:$D$823,3,FALSE)</f>
        <v>BP/ LN Equity</v>
      </c>
      <c r="K16808" s="434"/>
    </row>
    <row r="16809" spans="1:11" ht="12.75" hidden="1" customHeight="1" outlineLevel="1" x14ac:dyDescent="0.25">
      <c r="A16809" s="135">
        <v>0.02</v>
      </c>
      <c r="B16809" s="211" t="s">
        <v>8918</v>
      </c>
      <c r="C16809" s="472">
        <v>2.2704</v>
      </c>
      <c r="D16809" s="103">
        <f>VLOOKUP(H16809,indexy!$C$44:$D$823,2,FALSE)/100</f>
        <v>1.0965</v>
      </c>
      <c r="E16809" s="136">
        <f t="shared" si="233"/>
        <v>-0.51704545454545459</v>
      </c>
      <c r="F16809" s="89">
        <f t="shared" si="232"/>
        <v>-1.0340909090909092E-2</v>
      </c>
      <c r="G16809" s="78"/>
      <c r="H16809" t="str">
        <f>VLOOKUP(B16809,indexy!$A$44:$D$823,3,FALSE)</f>
        <v>BT/A LN Equity</v>
      </c>
      <c r="K16809" s="434"/>
    </row>
    <row r="16810" spans="1:11" ht="12.75" hidden="1" customHeight="1" outlineLevel="1" x14ac:dyDescent="0.25">
      <c r="A16810" s="135">
        <v>0.02</v>
      </c>
      <c r="B16810" s="211" t="s">
        <v>8678</v>
      </c>
      <c r="C16810" s="472">
        <v>74.533000000000001</v>
      </c>
      <c r="D16810" s="103">
        <f>VLOOKUP(H16810,indexy!$C$44:$D$823,2,FALSE)</f>
        <v>120.34</v>
      </c>
      <c r="E16810" s="136">
        <f t="shared" si="233"/>
        <v>0.61458682731139236</v>
      </c>
      <c r="F16810" s="89">
        <f t="shared" si="232"/>
        <v>1.2291736546227847E-2</v>
      </c>
      <c r="G16810" s="78"/>
      <c r="H16810" t="str">
        <f>VLOOKUP(B16810,indexy!$A$44:$D$823,3,FALSE)</f>
        <v>CBA AT Equity</v>
      </c>
      <c r="K16810" s="434"/>
    </row>
    <row r="16811" spans="1:11" ht="12.75" hidden="1" customHeight="1" outlineLevel="1" x14ac:dyDescent="0.25">
      <c r="A16811" s="135">
        <v>0.02</v>
      </c>
      <c r="B16811" s="211" t="s">
        <v>10672</v>
      </c>
      <c r="C16811" s="472">
        <v>47.096858841796262</v>
      </c>
      <c r="D16811" s="103">
        <f>VLOOKUP(H16811,indexy!$C$44:$D$823,2,FALSE)</f>
        <v>73.81</v>
      </c>
      <c r="E16811" s="136">
        <f t="shared" si="233"/>
        <v>0.56719581337549996</v>
      </c>
      <c r="F16811" s="89">
        <f t="shared" si="232"/>
        <v>1.1343916267509999E-2</v>
      </c>
      <c r="G16811" s="78"/>
      <c r="H16811" t="str">
        <f>VLOOKUP(B16811,indexy!$A$44:$D$823,3,FALSE)</f>
        <v>MBG GY Equity</v>
      </c>
      <c r="K16811" s="434"/>
    </row>
    <row r="16812" spans="1:11" ht="12.75" hidden="1" customHeight="1" outlineLevel="1" x14ac:dyDescent="0.25">
      <c r="A16812" s="135">
        <v>0.02</v>
      </c>
      <c r="B16812" s="211" t="s">
        <v>2629</v>
      </c>
      <c r="C16812" s="472">
        <v>14.044499999999999</v>
      </c>
      <c r="D16812" s="103">
        <f>VLOOKUP(H16812,indexy!$C$44:$D$823,2,FALSE)</f>
        <v>22.5</v>
      </c>
      <c r="E16812" s="136">
        <f t="shared" si="233"/>
        <v>0.60205062479974369</v>
      </c>
      <c r="F16812" s="89">
        <f t="shared" si="232"/>
        <v>1.2041012495994874E-2</v>
      </c>
      <c r="G16812" s="78"/>
      <c r="H16812" t="str">
        <f>VLOOKUP(B16812,indexy!$A$44:$D$823,3,FALSE)</f>
        <v>DTE GY Equity</v>
      </c>
      <c r="K16812" s="434"/>
    </row>
    <row r="16813" spans="1:11" ht="12.75" hidden="1" customHeight="1" outlineLevel="1" x14ac:dyDescent="0.25">
      <c r="A16813" s="135">
        <v>0.02</v>
      </c>
      <c r="B16813" s="211" t="s">
        <v>6821</v>
      </c>
      <c r="C16813" s="472">
        <v>3.2231638050825078</v>
      </c>
      <c r="D16813" s="103">
        <f>VLOOKUP(H16813,indexy!$C$44:$D$823,2,FALSE)/100</f>
        <v>1.9505000000000001</v>
      </c>
      <c r="E16813" s="136">
        <f t="shared" si="233"/>
        <v>-0.39484924814422506</v>
      </c>
      <c r="F16813" s="89">
        <f t="shared" si="232"/>
        <v>-7.8969849628845006E-3</v>
      </c>
      <c r="G16813" s="78"/>
      <c r="H16813" t="str">
        <f>VLOOKUP(B16813,indexy!$A$44:$D$823,3,FALSE)</f>
        <v>DLG LN Equity</v>
      </c>
      <c r="K16813" s="434"/>
    </row>
    <row r="16814" spans="1:11" ht="12.75" hidden="1" customHeight="1" outlineLevel="1" x14ac:dyDescent="0.25">
      <c r="A16814" s="135">
        <v>0.08</v>
      </c>
      <c r="B16814" s="211" t="s">
        <v>6267</v>
      </c>
      <c r="C16814" s="472">
        <v>23.94</v>
      </c>
      <c r="D16814" s="103">
        <f>VLOOKUP(H16814,indexy!$C$44:$D$823,2,FALSE)</f>
        <v>13.765000000000001</v>
      </c>
      <c r="E16814" s="136">
        <f t="shared" si="233"/>
        <v>-0.4250208855472013</v>
      </c>
      <c r="F16814" s="89">
        <f t="shared" si="232"/>
        <v>-3.4001670843776102E-2</v>
      </c>
      <c r="G16814" s="78"/>
      <c r="H16814" t="str">
        <f>VLOOKUP(B16814,indexy!$A$44:$D$823,3,FALSE)</f>
        <v>ENG SQ Equity</v>
      </c>
      <c r="K16814" s="434"/>
    </row>
    <row r="16815" spans="1:11" ht="12.75" hidden="1" customHeight="1" outlineLevel="1" x14ac:dyDescent="0.25">
      <c r="A16815" s="135">
        <v>0.05</v>
      </c>
      <c r="B16815" s="211" t="s">
        <v>4268</v>
      </c>
      <c r="C16815" s="472">
        <v>20.946999999999999</v>
      </c>
      <c r="D16815" s="103">
        <f>VLOOKUP(H16815,indexy!$C$44:$D$823,2,FALSE)</f>
        <v>11.445</v>
      </c>
      <c r="E16815" s="136">
        <f t="shared" si="233"/>
        <v>-0.45362104358619371</v>
      </c>
      <c r="F16815" s="89">
        <f t="shared" si="232"/>
        <v>-2.2681052179309685E-2</v>
      </c>
      <c r="G16815" s="78"/>
      <c r="H16815" t="str">
        <f>VLOOKUP(B16815,indexy!$A$44:$D$823,3,FALSE)</f>
        <v>FORTUM FH Equity</v>
      </c>
      <c r="K16815" s="434"/>
    </row>
    <row r="16816" spans="1:11" ht="12.75" hidden="1" customHeight="1" outlineLevel="1" x14ac:dyDescent="0.25">
      <c r="A16816" s="135">
        <v>0.02</v>
      </c>
      <c r="B16816" s="211" t="s">
        <v>8208</v>
      </c>
      <c r="C16816" s="472">
        <v>4.2502948464599921</v>
      </c>
      <c r="D16816" s="103">
        <f>VLOOKUP(H16816,indexy!$C$44:$D$823,2,FALSE)/100</f>
        <v>1.7675000000000001</v>
      </c>
      <c r="E16816" s="136">
        <f t="shared" si="233"/>
        <v>-0.58414649716074996</v>
      </c>
      <c r="F16816" s="89">
        <f t="shared" si="232"/>
        <v>-1.1682929943214999E-2</v>
      </c>
      <c r="G16816" s="78"/>
      <c r="H16816" t="str">
        <f>VLOOKUP(B16816,indexy!$A$44:$D$823,3,FALSE)</f>
        <v>IAG LN Equity</v>
      </c>
      <c r="K16816" s="434"/>
    </row>
    <row r="16817" spans="1:11" ht="12.75" hidden="1" customHeight="1" outlineLevel="1" x14ac:dyDescent="0.25">
      <c r="A16817" s="135">
        <v>0.04</v>
      </c>
      <c r="B16817" s="211" t="s">
        <v>6902</v>
      </c>
      <c r="C16817" s="490">
        <v>2.5971000000000002</v>
      </c>
      <c r="D16817" s="103">
        <f>VLOOKUP(H16817,indexy!$C$44:$D$823,2,FALSE)/100</f>
        <v>2.544</v>
      </c>
      <c r="E16817" s="136">
        <f t="shared" si="233"/>
        <v>-2.0445881945246658E-2</v>
      </c>
      <c r="F16817" s="89">
        <f t="shared" si="232"/>
        <v>-8.178352778098663E-4</v>
      </c>
      <c r="G16817" s="78"/>
      <c r="H16817" t="str">
        <f>VLOOKUP(B16817,indexy!$A$44:$D$823,3,FALSE)</f>
        <v>LGEN LN Equity</v>
      </c>
      <c r="K16817" s="434"/>
    </row>
    <row r="16818" spans="1:11" ht="12.75" hidden="1" customHeight="1" outlineLevel="1" x14ac:dyDescent="0.25">
      <c r="A16818" s="135">
        <v>0.02</v>
      </c>
      <c r="B16818" s="211" t="s">
        <v>8261</v>
      </c>
      <c r="C16818" s="472">
        <v>178.22494813319835</v>
      </c>
      <c r="D16818" s="103">
        <f>VLOOKUP(H16818,indexy!$C$44:$D$823,2,FALSE)</f>
        <v>198.95</v>
      </c>
      <c r="E16818" s="136">
        <f t="shared" si="233"/>
        <v>0.11628591891250006</v>
      </c>
      <c r="F16818" s="89">
        <f t="shared" si="232"/>
        <v>2.3257183782500013E-3</v>
      </c>
      <c r="G16818" s="78"/>
      <c r="H16818" t="str">
        <f>VLOOKUP(B16818,indexy!$A$44:$D$823,3,FALSE)</f>
        <v>MOWI NO Equity</v>
      </c>
      <c r="K16818" s="434"/>
    </row>
    <row r="16819" spans="1:11" ht="12.75" hidden="1" customHeight="1" outlineLevel="1" x14ac:dyDescent="0.25">
      <c r="A16819" s="135">
        <v>0.02</v>
      </c>
      <c r="B16819" s="211" t="s">
        <v>5196</v>
      </c>
      <c r="C16819" s="472">
        <v>53.690351982001488</v>
      </c>
      <c r="D16819" s="103">
        <f>VLOOKUP(H16819,indexy!$C$44:$D$823,2,FALSE)/100</f>
        <v>92.32</v>
      </c>
      <c r="E16819" s="136">
        <f t="shared" si="233"/>
        <v>0.71948956547999998</v>
      </c>
      <c r="F16819" s="89">
        <f t="shared" si="232"/>
        <v>1.4389791309599999E-2</v>
      </c>
      <c r="G16819" s="78"/>
      <c r="H16819" t="str">
        <f>VLOOKUP(B16819,indexy!$A$44:$D$823,3,FALSE)</f>
        <v>NXT LN Equity</v>
      </c>
      <c r="K16819" s="434"/>
    </row>
    <row r="16820" spans="1:11" ht="12.75" hidden="1" customHeight="1" outlineLevel="1" x14ac:dyDescent="0.25">
      <c r="A16820" s="135">
        <v>0.03</v>
      </c>
      <c r="B16820" s="211" t="s">
        <v>8527</v>
      </c>
      <c r="C16820" s="472">
        <v>37.027999999999999</v>
      </c>
      <c r="D16820" s="103">
        <f>VLOOKUP(H16820,indexy!$C$44:$D$823,2,FALSE)</f>
        <v>42.82</v>
      </c>
      <c r="E16820" s="136">
        <f t="shared" si="233"/>
        <v>0.15642216700875022</v>
      </c>
      <c r="F16820" s="89">
        <f t="shared" si="232"/>
        <v>4.6926650102625065E-3</v>
      </c>
      <c r="G16820" s="78"/>
      <c r="H16820" t="str">
        <f>VLOOKUP(B16820,indexy!$A$44:$D$823,3,FALSE)</f>
        <v>NN NA Equity</v>
      </c>
      <c r="K16820" s="434"/>
    </row>
    <row r="16821" spans="1:11" ht="12.75" hidden="1" customHeight="1" outlineLevel="1" x14ac:dyDescent="0.25">
      <c r="A16821" s="135">
        <v>0.02</v>
      </c>
      <c r="B16821" s="211" t="s">
        <v>1203</v>
      </c>
      <c r="C16821" s="472">
        <v>92.94</v>
      </c>
      <c r="D16821" s="103">
        <f>VLOOKUP(H16821,indexy!$C$44:$D$823,2,FALSE)</f>
        <v>119.2</v>
      </c>
      <c r="E16821" s="136">
        <f t="shared" si="233"/>
        <v>0.282547880352916</v>
      </c>
      <c r="F16821" s="89">
        <f t="shared" si="232"/>
        <v>5.6509576070583201E-3</v>
      </c>
      <c r="G16821" s="78"/>
      <c r="H16821" t="str">
        <f>VLOOKUP(B16821,indexy!$A$44:$D$823,3,FALSE)</f>
        <v>NDA SS Equity</v>
      </c>
      <c r="K16821" s="434"/>
    </row>
    <row r="16822" spans="1:11" ht="12.75" hidden="1" customHeight="1" outlineLevel="1" x14ac:dyDescent="0.25">
      <c r="A16822" s="135">
        <v>0.06</v>
      </c>
      <c r="B16822" s="211" t="s">
        <v>7433</v>
      </c>
      <c r="C16822" s="472">
        <v>22.670999999999999</v>
      </c>
      <c r="D16822" s="103">
        <f>VLOOKUP(H16822,indexy!$C$44:$D$823,2,FALSE)</f>
        <v>6.5119999999999996</v>
      </c>
      <c r="E16822" s="136">
        <f t="shared" si="233"/>
        <v>-0.71276079573022799</v>
      </c>
      <c r="F16822" s="89">
        <f t="shared" si="232"/>
        <v>-4.2765647743813681E-2</v>
      </c>
      <c r="G16822" s="78"/>
      <c r="H16822" t="str">
        <f>VLOOKUP(B16822,indexy!$A$44:$D$823,3,FALSE)</f>
        <v>PSM GY Equity</v>
      </c>
      <c r="K16822" s="434"/>
    </row>
    <row r="16823" spans="1:11" ht="12.75" hidden="1" customHeight="1" outlineLevel="1" x14ac:dyDescent="0.25">
      <c r="A16823" s="135">
        <v>0.04</v>
      </c>
      <c r="B16823" s="211" t="s">
        <v>6270</v>
      </c>
      <c r="C16823" s="472">
        <v>39.793983047890563</v>
      </c>
      <c r="D16823" s="103">
        <f>VLOOKUP(H16823,indexy!$C$44:$D$823,2,FALSE)</f>
        <v>39.515000000000001</v>
      </c>
      <c r="E16823" s="136">
        <f t="shared" si="233"/>
        <v>-7.0106841920000162E-3</v>
      </c>
      <c r="F16823" s="89">
        <f t="shared" si="232"/>
        <v>-2.8042736768000068E-4</v>
      </c>
      <c r="G16823" s="78"/>
      <c r="H16823" t="str">
        <f>VLOOKUP(B16823,indexy!$A$44:$D$823,3,FALSE)</f>
        <v>SAMPO FH Equity</v>
      </c>
      <c r="K16823" s="434"/>
    </row>
    <row r="16824" spans="1:11" ht="12.75" hidden="1" customHeight="1" outlineLevel="1" x14ac:dyDescent="0.25">
      <c r="A16824" s="135">
        <v>0.02</v>
      </c>
      <c r="B16824" s="211" t="s">
        <v>6524</v>
      </c>
      <c r="C16824" s="472">
        <v>94.653110170578913</v>
      </c>
      <c r="D16824" s="103">
        <f>VLOOKUP(H16824,indexy!$C$44:$D$823,2,FALSE)</f>
        <v>144.94999999999999</v>
      </c>
      <c r="E16824" s="136">
        <f t="shared" si="233"/>
        <v>0.53138126933999996</v>
      </c>
      <c r="F16824" s="89">
        <f t="shared" si="232"/>
        <v>1.06276253868E-2</v>
      </c>
      <c r="G16824" s="78"/>
      <c r="H16824" t="str">
        <f>VLOOKUP(B16824,indexy!$A$44:$D$823,3,FALSE)</f>
        <v>SEBA SS Equity</v>
      </c>
      <c r="K16824" s="434"/>
    </row>
    <row r="16825" spans="1:11" ht="12.75" hidden="1" customHeight="1" outlineLevel="1" x14ac:dyDescent="0.25">
      <c r="A16825" s="135">
        <v>0.05</v>
      </c>
      <c r="B16825" s="211" t="s">
        <v>6116</v>
      </c>
      <c r="C16825" s="472">
        <v>3.7292999999999998</v>
      </c>
      <c r="D16825" s="103">
        <f>VLOOKUP(H16825,indexy!$C$44:$D$823,2,FALSE)</f>
        <v>4.3760000000000003</v>
      </c>
      <c r="E16825" s="136">
        <f t="shared" si="233"/>
        <v>0.17341055962244933</v>
      </c>
      <c r="F16825" s="89">
        <f t="shared" si="232"/>
        <v>8.670527981122467E-3</v>
      </c>
      <c r="G16825" s="78"/>
      <c r="H16825" t="str">
        <f>VLOOKUP(B16825,indexy!$A$44:$D$823,3,FALSE)</f>
        <v>SRG IM Equity</v>
      </c>
      <c r="K16825" s="434"/>
    </row>
    <row r="16826" spans="1:11" ht="12.75" hidden="1" customHeight="1" outlineLevel="1" x14ac:dyDescent="0.25">
      <c r="A16826" s="135">
        <v>0.03</v>
      </c>
      <c r="B16826" s="211" t="s">
        <v>1857</v>
      </c>
      <c r="C16826" s="472">
        <v>12.669499999999999</v>
      </c>
      <c r="D16826" s="103">
        <f>VLOOKUP(H16826,indexy!$C$44:$D$823,2,FALSE)/100</f>
        <v>16.5</v>
      </c>
      <c r="E16826" s="136">
        <f t="shared" si="233"/>
        <v>0.30234026599313313</v>
      </c>
      <c r="F16826" s="89">
        <f t="shared" si="232"/>
        <v>9.0702079797939927E-3</v>
      </c>
      <c r="G16826" s="78"/>
      <c r="H16826" t="str">
        <f>VLOOKUP(B16826,indexy!$A$44:$D$823,3,FALSE)</f>
        <v>SSE LN Equity</v>
      </c>
      <c r="K16826" s="434"/>
    </row>
    <row r="16827" spans="1:11" ht="12.75" hidden="1" customHeight="1" outlineLevel="1" x14ac:dyDescent="0.25">
      <c r="A16827" s="135">
        <v>0.06</v>
      </c>
      <c r="B16827" s="211" t="s">
        <v>6118</v>
      </c>
      <c r="C16827" s="472">
        <v>87.337999999999994</v>
      </c>
      <c r="D16827" s="103">
        <f>VLOOKUP(H16827,indexy!$C$44:$D$823,2,FALSE)</f>
        <v>115.95</v>
      </c>
      <c r="E16827" s="136">
        <f t="shared" si="233"/>
        <v>0.32760081522361406</v>
      </c>
      <c r="F16827" s="89">
        <f t="shared" si="232"/>
        <v>1.9656048913416845E-2</v>
      </c>
      <c r="G16827" s="78"/>
      <c r="H16827" t="str">
        <f>VLOOKUP(B16827,indexy!$A$44:$D$823,3,FALSE)</f>
        <v>SREN SE Equity</v>
      </c>
      <c r="K16827" s="434"/>
    </row>
    <row r="16828" spans="1:11" ht="12.75" hidden="1" customHeight="1" outlineLevel="1" x14ac:dyDescent="0.25">
      <c r="A16828" s="135">
        <v>0.02</v>
      </c>
      <c r="B16828" s="211" t="s">
        <v>3383</v>
      </c>
      <c r="C16828" s="472">
        <v>156.37780953845839</v>
      </c>
      <c r="D16828" s="103">
        <f>VLOOKUP(H16828,indexy!$C$44:$D$823,2,FALSE)</f>
        <v>120.75</v>
      </c>
      <c r="E16828" s="136">
        <f t="shared" si="233"/>
        <v>-0.22783161909999994</v>
      </c>
      <c r="F16828" s="89">
        <f t="shared" si="232"/>
        <v>-4.556632381999999E-3</v>
      </c>
      <c r="G16828" s="78"/>
      <c r="H16828" t="str">
        <f>VLOOKUP(B16828,indexy!$A$44:$D$823,3,FALSE)</f>
        <v>TEL NO Equity</v>
      </c>
      <c r="K16828" s="434"/>
    </row>
    <row r="16829" spans="1:11" ht="12.75" hidden="1" customHeight="1" outlineLevel="1" x14ac:dyDescent="0.25">
      <c r="A16829" s="135">
        <v>7.0000000000000007E-2</v>
      </c>
      <c r="B16829" s="211" t="s">
        <v>434</v>
      </c>
      <c r="C16829" s="472">
        <v>42.295999999999999</v>
      </c>
      <c r="D16829" s="103">
        <f>VLOOKUP(H16829,indexy!$C$44:$D$823,2,FALSE)</f>
        <v>27.43</v>
      </c>
      <c r="E16829" s="136">
        <f t="shared" si="233"/>
        <v>-0.3514753168148288</v>
      </c>
      <c r="F16829" s="89">
        <f t="shared" si="232"/>
        <v>-2.4603272177038019E-2</v>
      </c>
      <c r="G16829" s="78"/>
      <c r="H16829" t="str">
        <f>VLOOKUP(B16829,indexy!$A$44:$D$823,3,FALSE)</f>
        <v>TELIA SS Equity</v>
      </c>
      <c r="K16829" s="434"/>
    </row>
    <row r="16830" spans="1:11" ht="12.75" hidden="1" customHeight="1" outlineLevel="1" x14ac:dyDescent="0.25">
      <c r="A16830" s="135">
        <v>0.02</v>
      </c>
      <c r="B16830" s="211" t="s">
        <v>5249</v>
      </c>
      <c r="C16830" s="472">
        <v>2.7307564560594653</v>
      </c>
      <c r="D16830" s="103">
        <f>VLOOKUP(H16830,indexy!$C$44:$D$823,2,FALSE)</f>
        <v>3.86</v>
      </c>
      <c r="E16830" s="136">
        <f t="shared" si="233"/>
        <v>0.41352773933200004</v>
      </c>
      <c r="F16830" s="89">
        <f>E16830*A16830</f>
        <v>8.2705547866400008E-3</v>
      </c>
      <c r="G16830" s="78"/>
      <c r="H16830" t="str">
        <f>VLOOKUP(B16830,indexy!$A$44:$D$823,3,FALSE)</f>
        <v>TLS AT Equity</v>
      </c>
      <c r="K16830" s="434"/>
    </row>
    <row r="16831" spans="1:11" ht="12.75" hidden="1" customHeight="1" outlineLevel="1" x14ac:dyDescent="0.25">
      <c r="A16831" s="135">
        <v>0.04</v>
      </c>
      <c r="B16831" s="211" t="s">
        <v>10633</v>
      </c>
      <c r="C16831" s="472">
        <v>52.618023159917605</v>
      </c>
      <c r="D16831" s="103">
        <f>VLOOKUP(H16831,indexy!$C$44:$D$823,2,FALSE)</f>
        <v>63.47</v>
      </c>
      <c r="E16831" s="136">
        <f t="shared" si="233"/>
        <v>0.20624067930300005</v>
      </c>
      <c r="F16831" s="89">
        <f>E16831*A16831</f>
        <v>8.249627172120003E-3</v>
      </c>
      <c r="G16831" s="78"/>
      <c r="H16831" t="str">
        <f>VLOOKUP(B16831,indexy!$A$44:$D$823,3,FALSE)</f>
        <v>TTE FP Equity</v>
      </c>
      <c r="K16831" s="434"/>
    </row>
    <row r="16832" spans="1:11" ht="12.75" hidden="1" customHeight="1" outlineLevel="1" x14ac:dyDescent="0.25">
      <c r="A16832" s="135">
        <v>0.02</v>
      </c>
      <c r="B16832" s="211" t="s">
        <v>255</v>
      </c>
      <c r="C16832" s="472">
        <v>53.512999999999998</v>
      </c>
      <c r="D16832" s="103">
        <f>VLOOKUP(H16832,indexy!$C$44:$D$823,2,FALSE)</f>
        <v>41.96</v>
      </c>
      <c r="E16832" s="136">
        <f t="shared" si="233"/>
        <v>-0.21589146562517514</v>
      </c>
      <c r="F16832" s="89">
        <f>E16832*A16832</f>
        <v>-4.3178293125035027E-3</v>
      </c>
      <c r="G16832" s="78"/>
      <c r="H16832" t="str">
        <f>VLOOKUP(B16832,indexy!$A$44:$D$823,3,FALSE)</f>
        <v>VZ UN Equity</v>
      </c>
      <c r="K16832" s="434"/>
    </row>
    <row r="16833" spans="1:11" ht="12.75" hidden="1" customHeight="1" outlineLevel="1" x14ac:dyDescent="0.25">
      <c r="A16833" s="135">
        <v>0.02</v>
      </c>
      <c r="B16833" s="211" t="s">
        <v>5626</v>
      </c>
      <c r="C16833" s="472">
        <v>29.821999999999999</v>
      </c>
      <c r="D16833" s="103">
        <f>VLOOKUP(H16833,indexy!$C$44:$D$823,2,FALSE)</f>
        <v>26.1</v>
      </c>
      <c r="E16833" s="136">
        <f t="shared" si="233"/>
        <v>-0.12480718932331825</v>
      </c>
      <c r="F16833" s="89">
        <f>E16833*A16833</f>
        <v>-2.4961437864663648E-3</v>
      </c>
      <c r="G16833" s="78"/>
      <c r="H16833" t="str">
        <f>VLOOKUP(B16833,indexy!$A$44:$D$823,3,FALSE)</f>
        <v>WBC AT Equity</v>
      </c>
      <c r="K16833" s="434"/>
    </row>
    <row r="16834" spans="1:11" ht="12.75" hidden="1" customHeight="1" outlineLevel="1" x14ac:dyDescent="0.25">
      <c r="A16834" s="135">
        <v>7.0000000000000007E-2</v>
      </c>
      <c r="B16834" s="1465" t="s">
        <v>4550</v>
      </c>
      <c r="C16834" s="472">
        <v>297.29000000000002</v>
      </c>
      <c r="D16834" s="243">
        <f>VLOOKUP(H16834,indexy!$C$44:$D$823,2,FALSE)</f>
        <v>486.3</v>
      </c>
      <c r="E16834" s="136">
        <f t="shared" si="233"/>
        <v>0.63577651451444717</v>
      </c>
      <c r="F16834" s="89">
        <f>E16834*A16834</f>
        <v>4.4504356016011305E-2</v>
      </c>
      <c r="G16834" s="78"/>
      <c r="H16834" t="str">
        <f>VLOOKUP(B16834,indexy!$A$44:$D$823,3,FALSE)</f>
        <v>ZURN SE Equity</v>
      </c>
      <c r="K16834" s="434"/>
    </row>
    <row r="16835" spans="1:11" ht="12.75" hidden="1" customHeight="1" outlineLevel="1" x14ac:dyDescent="0.25">
      <c r="A16835" s="1475" t="s">
        <v>2734</v>
      </c>
      <c r="B16835" s="150"/>
      <c r="C16835" s="64"/>
      <c r="D16835" s="65"/>
      <c r="E16835" s="1502"/>
      <c r="F16835" s="1841">
        <f>SUM(F16805:F16834)</f>
        <v>3.6268710608996627E-2</v>
      </c>
      <c r="G16835" s="78"/>
    </row>
    <row r="16836" spans="1:11" ht="12.75" hidden="1" customHeight="1" outlineLevel="1" x14ac:dyDescent="0.25">
      <c r="A16836" s="221" t="s">
        <v>9388</v>
      </c>
      <c r="B16836" s="1478">
        <v>44958</v>
      </c>
      <c r="C16836" s="1479">
        <v>100</v>
      </c>
      <c r="D16836" s="1479">
        <v>101.40049999999999</v>
      </c>
      <c r="E16836" s="1480">
        <f>IF(D16836="",F16835,D16836/C16836-1)</f>
        <v>1.4005000000000045E-2</v>
      </c>
      <c r="F16836" s="1843"/>
      <c r="G16836" s="78"/>
    </row>
    <row r="16837" spans="1:11" ht="12.75" hidden="1" customHeight="1" outlineLevel="1" x14ac:dyDescent="0.25">
      <c r="A16837" s="221" t="s">
        <v>9389</v>
      </c>
      <c r="B16837" s="1478">
        <v>44986</v>
      </c>
      <c r="C16837" s="1479">
        <v>100</v>
      </c>
      <c r="D16837" s="1482">
        <v>98.864599999999996</v>
      </c>
      <c r="E16837" s="1480">
        <f>IF(D16837="",E16836,D16837/C16837-1)</f>
        <v>-1.1354000000000086E-2</v>
      </c>
      <c r="F16837" s="1843"/>
      <c r="G16837" s="78"/>
    </row>
    <row r="16838" spans="1:11" ht="12.75" hidden="1" customHeight="1" outlineLevel="1" x14ac:dyDescent="0.25">
      <c r="A16838" s="221" t="s">
        <v>9390</v>
      </c>
      <c r="B16838" s="1478">
        <v>45017</v>
      </c>
      <c r="C16838" s="1479">
        <v>100</v>
      </c>
      <c r="D16838" s="1482">
        <v>100.62520000000001</v>
      </c>
      <c r="E16838" s="1480">
        <f t="shared" ref="E16838:E16839" si="234">IF(D16838="",E16837,D16838/C16838-1)</f>
        <v>6.2520000000001463E-3</v>
      </c>
      <c r="F16838" s="1843"/>
      <c r="G16838" s="78"/>
    </row>
    <row r="16839" spans="1:11" ht="12.75" hidden="1" customHeight="1" outlineLevel="1" x14ac:dyDescent="0.25">
      <c r="A16839" s="221" t="s">
        <v>9391</v>
      </c>
      <c r="B16839" s="1478">
        <v>45047</v>
      </c>
      <c r="C16839" s="1479">
        <v>100</v>
      </c>
      <c r="D16839" s="1482">
        <v>96.328400000000002</v>
      </c>
      <c r="E16839" s="1480">
        <f t="shared" si="234"/>
        <v>-3.6715999999999971E-2</v>
      </c>
      <c r="F16839" s="1843"/>
      <c r="G16839" s="78"/>
    </row>
    <row r="16840" spans="1:11" ht="12.75" hidden="1" customHeight="1" outlineLevel="1" x14ac:dyDescent="0.25">
      <c r="A16840" s="221" t="s">
        <v>9392</v>
      </c>
      <c r="B16840" s="1478">
        <v>45078</v>
      </c>
      <c r="C16840" s="1479">
        <v>100</v>
      </c>
      <c r="D16840" s="1482">
        <v>96.150499999999994</v>
      </c>
      <c r="E16840" s="1480">
        <f>IF(D16840="",$F$16835,D16840/C16840-1)</f>
        <v>-3.8495000000000057E-2</v>
      </c>
      <c r="F16840" s="1843"/>
      <c r="G16840" s="78"/>
    </row>
    <row r="16841" spans="1:11" ht="12.75" hidden="1" customHeight="1" outlineLevel="1" x14ac:dyDescent="0.25">
      <c r="A16841" s="221" t="s">
        <v>9393</v>
      </c>
      <c r="B16841" s="1478">
        <v>45108</v>
      </c>
      <c r="C16841" s="1479">
        <v>100</v>
      </c>
      <c r="D16841" s="1482">
        <v>96.113699999999994</v>
      </c>
      <c r="E16841" s="1480">
        <f t="shared" ref="E16841:E16853" si="235">IF(D16841="",$F$16835,D16841/C16841-1)</f>
        <v>-3.8863000000000092E-2</v>
      </c>
      <c r="F16841" s="1843"/>
      <c r="G16841" s="78"/>
    </row>
    <row r="16842" spans="1:11" ht="12.75" hidden="1" customHeight="1" outlineLevel="1" x14ac:dyDescent="0.25">
      <c r="A16842" s="221" t="s">
        <v>9394</v>
      </c>
      <c r="B16842" s="1478">
        <v>45139</v>
      </c>
      <c r="C16842" s="1479">
        <v>100</v>
      </c>
      <c r="D16842" s="1482">
        <v>94.544899999999998</v>
      </c>
      <c r="E16842" s="1480">
        <f t="shared" si="235"/>
        <v>-5.4551000000000016E-2</v>
      </c>
      <c r="F16842" s="1843"/>
      <c r="G16842" s="78"/>
    </row>
    <row r="16843" spans="1:11" ht="12.75" hidden="1" customHeight="1" outlineLevel="1" x14ac:dyDescent="0.25">
      <c r="A16843" s="221" t="s">
        <v>9395</v>
      </c>
      <c r="B16843" s="1478">
        <v>45170</v>
      </c>
      <c r="C16843" s="1479">
        <v>100</v>
      </c>
      <c r="D16843" s="1482">
        <v>94.201099999999997</v>
      </c>
      <c r="E16843" s="1480">
        <f t="shared" si="235"/>
        <v>-5.7989000000000068E-2</v>
      </c>
      <c r="F16843" s="1843"/>
      <c r="G16843" s="78"/>
    </row>
    <row r="16844" spans="1:11" ht="12.75" hidden="1" customHeight="1" outlineLevel="1" x14ac:dyDescent="0.25">
      <c r="A16844" s="221" t="s">
        <v>9396</v>
      </c>
      <c r="B16844" s="1478">
        <v>45200</v>
      </c>
      <c r="C16844" s="1479">
        <v>100</v>
      </c>
      <c r="D16844" s="1482">
        <v>93.057199999999995</v>
      </c>
      <c r="E16844" s="1480">
        <f t="shared" si="235"/>
        <v>-6.9428000000000045E-2</v>
      </c>
      <c r="F16844" s="1843"/>
      <c r="G16844" s="78"/>
    </row>
    <row r="16845" spans="1:11" ht="12.75" hidden="1" customHeight="1" outlineLevel="1" x14ac:dyDescent="0.25">
      <c r="A16845" s="221" t="s">
        <v>9397</v>
      </c>
      <c r="B16845" s="1478">
        <v>45231</v>
      </c>
      <c r="C16845" s="1479">
        <v>100</v>
      </c>
      <c r="D16845" s="1482">
        <v>98.239699999999999</v>
      </c>
      <c r="E16845" s="1480">
        <f t="shared" si="235"/>
        <v>-1.7603000000000035E-2</v>
      </c>
      <c r="F16845" s="1843"/>
      <c r="G16845" s="78"/>
    </row>
    <row r="16846" spans="1:11" ht="12.75" hidden="1" customHeight="1" outlineLevel="1" x14ac:dyDescent="0.25">
      <c r="A16846" s="221" t="s">
        <v>9398</v>
      </c>
      <c r="B16846" s="1478">
        <v>45261</v>
      </c>
      <c r="C16846" s="1479">
        <v>100</v>
      </c>
      <c r="D16846" s="1482">
        <v>98.504499999999993</v>
      </c>
      <c r="E16846" s="1480">
        <f t="shared" si="235"/>
        <v>-1.4955000000000052E-2</v>
      </c>
      <c r="F16846" s="1843"/>
      <c r="G16846" s="78"/>
    </row>
    <row r="16847" spans="1:11" ht="12.75" hidden="1" customHeight="1" outlineLevel="1" x14ac:dyDescent="0.25">
      <c r="A16847" s="221" t="s">
        <v>9399</v>
      </c>
      <c r="B16847" s="1478">
        <v>45292</v>
      </c>
      <c r="C16847" s="1479">
        <v>100</v>
      </c>
      <c r="D16847" s="1482"/>
      <c r="E16847" s="1480">
        <f t="shared" si="235"/>
        <v>3.6268710608996627E-2</v>
      </c>
      <c r="F16847" s="1843"/>
      <c r="G16847" s="78"/>
    </row>
    <row r="16848" spans="1:11" ht="12.75" hidden="1" customHeight="1" outlineLevel="1" x14ac:dyDescent="0.25">
      <c r="A16848" s="221" t="s">
        <v>9400</v>
      </c>
      <c r="B16848" s="1478">
        <v>45323</v>
      </c>
      <c r="C16848" s="1479">
        <v>100</v>
      </c>
      <c r="D16848" s="1482"/>
      <c r="E16848" s="1480">
        <f t="shared" si="235"/>
        <v>3.6268710608996627E-2</v>
      </c>
      <c r="F16848" s="1843"/>
      <c r="G16848" s="78"/>
    </row>
    <row r="16849" spans="1:8" ht="12.75" hidden="1" customHeight="1" outlineLevel="1" x14ac:dyDescent="0.25">
      <c r="A16849" s="221" t="s">
        <v>9401</v>
      </c>
      <c r="B16849" s="1478">
        <v>45352</v>
      </c>
      <c r="C16849" s="1479">
        <v>100</v>
      </c>
      <c r="D16849" s="1482"/>
      <c r="E16849" s="1480">
        <f t="shared" si="235"/>
        <v>3.6268710608996627E-2</v>
      </c>
      <c r="F16849" s="1843"/>
      <c r="G16849" s="78"/>
    </row>
    <row r="16850" spans="1:8" ht="12.75" hidden="1" customHeight="1" outlineLevel="1" x14ac:dyDescent="0.25">
      <c r="A16850" s="221" t="s">
        <v>9402</v>
      </c>
      <c r="B16850" s="1478">
        <v>45383</v>
      </c>
      <c r="C16850" s="1479">
        <v>100</v>
      </c>
      <c r="D16850" s="1482"/>
      <c r="E16850" s="1480">
        <f t="shared" si="235"/>
        <v>3.6268710608996627E-2</v>
      </c>
      <c r="F16850" s="1843"/>
      <c r="G16850" s="78"/>
    </row>
    <row r="16851" spans="1:8" ht="12.75" hidden="1" customHeight="1" outlineLevel="1" x14ac:dyDescent="0.25">
      <c r="A16851" s="221" t="s">
        <v>9403</v>
      </c>
      <c r="B16851" s="1478">
        <v>45413</v>
      </c>
      <c r="C16851" s="1479">
        <v>100</v>
      </c>
      <c r="D16851" s="1482"/>
      <c r="E16851" s="1480">
        <f t="shared" si="235"/>
        <v>3.6268710608996627E-2</v>
      </c>
      <c r="F16851" s="1843"/>
      <c r="G16851" s="78"/>
    </row>
    <row r="16852" spans="1:8" ht="12.75" hidden="1" customHeight="1" outlineLevel="1" x14ac:dyDescent="0.25">
      <c r="A16852" s="221" t="s">
        <v>9404</v>
      </c>
      <c r="B16852" s="1478">
        <v>45444</v>
      </c>
      <c r="C16852" s="1479">
        <v>100</v>
      </c>
      <c r="D16852" s="1482"/>
      <c r="E16852" s="1480">
        <f t="shared" si="235"/>
        <v>3.6268710608996627E-2</v>
      </c>
      <c r="F16852" s="1843"/>
      <c r="G16852" s="78"/>
    </row>
    <row r="16853" spans="1:8" ht="12.75" hidden="1" customHeight="1" outlineLevel="1" x14ac:dyDescent="0.25">
      <c r="A16853" s="221" t="s">
        <v>9405</v>
      </c>
      <c r="B16853" s="1478">
        <v>45474</v>
      </c>
      <c r="C16853" s="1479">
        <v>100</v>
      </c>
      <c r="D16853" s="1482"/>
      <c r="E16853" s="1480">
        <f t="shared" si="235"/>
        <v>3.6268710608996627E-2</v>
      </c>
      <c r="F16853" s="1843"/>
      <c r="G16853" s="78"/>
    </row>
    <row r="16854" spans="1:8" ht="12.75" hidden="1" customHeight="1" outlineLevel="1" x14ac:dyDescent="0.25">
      <c r="A16854" s="1483" t="s">
        <v>2734</v>
      </c>
      <c r="B16854" s="1484"/>
      <c r="C16854" s="1482"/>
      <c r="D16854" s="1485" t="s">
        <v>2465</v>
      </c>
      <c r="E16854" s="1486">
        <f>AVERAGE(E16836:E16853)</f>
        <v>-3.6564458742791065E-3</v>
      </c>
      <c r="F16854" s="1844">
        <f>E16854</f>
        <v>-3.6564458742791065E-3</v>
      </c>
      <c r="G16854" s="78"/>
    </row>
    <row r="16855" spans="1:8" collapsed="1" x14ac:dyDescent="0.25">
      <c r="A16855" s="3799" t="s">
        <v>9387</v>
      </c>
      <c r="B16855" s="3800"/>
      <c r="C16855" s="3800"/>
      <c r="D16855" s="3800"/>
      <c r="E16855" s="18"/>
      <c r="F16855" s="186">
        <f>IF(F16854&lt;-10%,-10%,IF(F16854&lt;0,F16854,MIN(F16854*0.75,60%)))</f>
        <v>-3.6564458742791065E-3</v>
      </c>
      <c r="G16855" s="78"/>
    </row>
    <row r="16857" spans="1:8" hidden="1" outlineLevel="1" x14ac:dyDescent="0.25">
      <c r="A16857" s="3237" t="s">
        <v>113</v>
      </c>
      <c r="B16857" s="3237" t="s">
        <v>114</v>
      </c>
      <c r="C16857" s="3237" t="s">
        <v>112</v>
      </c>
      <c r="D16857" s="3237" t="s">
        <v>116</v>
      </c>
      <c r="E16857" s="3237" t="s">
        <v>117</v>
      </c>
      <c r="F16857" s="3276" t="s">
        <v>121</v>
      </c>
      <c r="G16857" s="78"/>
    </row>
    <row r="16858" spans="1:8" hidden="1" outlineLevel="1" x14ac:dyDescent="0.25">
      <c r="A16858" s="3243">
        <v>5</v>
      </c>
      <c r="B16858" s="3243"/>
      <c r="C16858" s="3244"/>
      <c r="D16858" s="1900" t="s">
        <v>3702</v>
      </c>
      <c r="E16858" s="3245">
        <v>45322</v>
      </c>
      <c r="F16858" s="3386"/>
      <c r="G16858" s="78"/>
    </row>
    <row r="16859" spans="1:8" hidden="1" outlineLevel="1" x14ac:dyDescent="0.25">
      <c r="A16859" s="3237" t="s">
        <v>4156</v>
      </c>
      <c r="B16859" s="3237" t="s">
        <v>4153</v>
      </c>
      <c r="C16859" s="3247" t="s">
        <v>112</v>
      </c>
      <c r="D16859" s="3237" t="s">
        <v>4155</v>
      </c>
      <c r="E16859" s="3237" t="s">
        <v>4154</v>
      </c>
      <c r="F16859" s="3276" t="s">
        <v>734</v>
      </c>
      <c r="G16859" s="78"/>
    </row>
    <row r="16860" spans="1:8" hidden="1" outlineLevel="1" x14ac:dyDescent="0.25">
      <c r="A16860" s="1920">
        <v>0.02</v>
      </c>
      <c r="B16860" s="1921" t="s">
        <v>9297</v>
      </c>
      <c r="C16860" s="1902">
        <v>23.495000000000001</v>
      </c>
      <c r="D16860" s="3196">
        <v>13.66</v>
      </c>
      <c r="E16860" s="3025">
        <v>-0.418599702064269</v>
      </c>
      <c r="F16860" s="3198">
        <v>-0.418599702064269</v>
      </c>
      <c r="G16860" s="78"/>
      <c r="H16860" t="s">
        <v>9298</v>
      </c>
    </row>
    <row r="16861" spans="1:8" hidden="1" outlineLevel="1" x14ac:dyDescent="0.25">
      <c r="A16861" s="1920">
        <v>0.02</v>
      </c>
      <c r="B16861" s="1921" t="s">
        <v>6562</v>
      </c>
      <c r="C16861" s="1902">
        <v>56.502000000000002</v>
      </c>
      <c r="D16861" s="3196">
        <v>37.54</v>
      </c>
      <c r="E16861" s="3025">
        <v>-0.33559873986761535</v>
      </c>
      <c r="F16861" s="3198">
        <v>-0.33559873986761535</v>
      </c>
      <c r="G16861" s="78"/>
      <c r="H16861" t="s">
        <v>8895</v>
      </c>
    </row>
    <row r="16862" spans="1:8" hidden="1" outlineLevel="1" x14ac:dyDescent="0.25">
      <c r="A16862" s="1920">
        <v>0.04</v>
      </c>
      <c r="B16862" s="1921" t="s">
        <v>2697</v>
      </c>
      <c r="C16862" s="1902">
        <v>15.112</v>
      </c>
      <c r="D16862" s="3196">
        <v>20.69</v>
      </c>
      <c r="E16862" s="3025">
        <v>0.36911064055055598</v>
      </c>
      <c r="F16862" s="3198">
        <v>0.1</v>
      </c>
      <c r="G16862" s="78"/>
      <c r="H16862" t="s">
        <v>329</v>
      </c>
    </row>
    <row r="16863" spans="1:8" hidden="1" outlineLevel="1" x14ac:dyDescent="0.25">
      <c r="A16863" s="1920">
        <v>0.02</v>
      </c>
      <c r="B16863" s="1921" t="s">
        <v>218</v>
      </c>
      <c r="C16863" s="1902">
        <v>22.373000000000001</v>
      </c>
      <c r="D16863" s="3196">
        <v>31.16</v>
      </c>
      <c r="E16863" s="3025">
        <v>0.39275018996111388</v>
      </c>
      <c r="F16863" s="3198">
        <v>0.1</v>
      </c>
      <c r="G16863" s="78"/>
      <c r="H16863" t="s">
        <v>656</v>
      </c>
    </row>
    <row r="16864" spans="1:8" hidden="1" outlineLevel="1" x14ac:dyDescent="0.25">
      <c r="A16864" s="1920">
        <v>0.08</v>
      </c>
      <c r="B16864" s="1921" t="s">
        <v>807</v>
      </c>
      <c r="C16864" s="1902">
        <v>52.497999999999998</v>
      </c>
      <c r="D16864" s="3196">
        <v>54.25</v>
      </c>
      <c r="E16864" s="3025">
        <v>3.3372699912377568E-2</v>
      </c>
      <c r="F16864" s="3198">
        <v>0.1</v>
      </c>
      <c r="G16864" s="78"/>
      <c r="H16864" t="s">
        <v>808</v>
      </c>
    </row>
    <row r="16865" spans="1:8" hidden="1" outlineLevel="1" x14ac:dyDescent="0.25">
      <c r="A16865" s="1920">
        <v>0.02</v>
      </c>
      <c r="B16865" s="1921" t="s">
        <v>10672</v>
      </c>
      <c r="C16865" s="1902">
        <v>46.316353743384163</v>
      </c>
      <c r="D16865" s="3196">
        <v>62.85</v>
      </c>
      <c r="E16865" s="3025">
        <v>0.35697210424250003</v>
      </c>
      <c r="F16865" s="3198">
        <v>0.1</v>
      </c>
      <c r="G16865" s="78"/>
      <c r="H16865" t="s">
        <v>10674</v>
      </c>
    </row>
    <row r="16866" spans="1:8" hidden="1" outlineLevel="1" x14ac:dyDescent="0.25">
      <c r="A16866" s="1920">
        <v>0.05</v>
      </c>
      <c r="B16866" s="1921" t="s">
        <v>2629</v>
      </c>
      <c r="C16866" s="1902">
        <v>13.759499999999999</v>
      </c>
      <c r="D16866" s="3196">
        <v>22.745000000000001</v>
      </c>
      <c r="E16866" s="3025">
        <v>0.65303971801300942</v>
      </c>
      <c r="F16866" s="3198">
        <v>0.1</v>
      </c>
      <c r="G16866" s="78"/>
      <c r="H16866" t="s">
        <v>1652</v>
      </c>
    </row>
    <row r="16867" spans="1:8" hidden="1" outlineLevel="1" x14ac:dyDescent="0.25">
      <c r="A16867" s="1920">
        <v>0.02</v>
      </c>
      <c r="B16867" s="1921" t="s">
        <v>1231</v>
      </c>
      <c r="C16867" s="1902">
        <v>81.296000000000006</v>
      </c>
      <c r="D16867" s="3196">
        <v>95.83</v>
      </c>
      <c r="E16867" s="3025">
        <v>0.17877878370399514</v>
      </c>
      <c r="F16867" s="3198">
        <v>0.1</v>
      </c>
      <c r="G16867" s="78"/>
      <c r="H16867" t="s">
        <v>2041</v>
      </c>
    </row>
    <row r="16868" spans="1:8" hidden="1" outlineLevel="1" x14ac:dyDescent="0.25">
      <c r="A16868" s="1920">
        <v>0.02</v>
      </c>
      <c r="B16868" s="1921" t="s">
        <v>3021</v>
      </c>
      <c r="C16868" s="1902">
        <v>16.091000000000001</v>
      </c>
      <c r="D16868" s="3196">
        <v>14.814</v>
      </c>
      <c r="E16868" s="3025">
        <v>-7.9361133552917851E-2</v>
      </c>
      <c r="F16868" s="3198">
        <v>-7.9361133552917851E-2</v>
      </c>
      <c r="G16868" s="78"/>
      <c r="H16868" t="s">
        <v>4124</v>
      </c>
    </row>
    <row r="16869" spans="1:8" hidden="1" outlineLevel="1" x14ac:dyDescent="0.25">
      <c r="A16869" s="1920">
        <v>0.02</v>
      </c>
      <c r="B16869" s="1921" t="s">
        <v>3799</v>
      </c>
      <c r="C16869" s="1902">
        <v>15.319350121609979</v>
      </c>
      <c r="D16869" s="3196">
        <v>15.68</v>
      </c>
      <c r="E16869" s="3025">
        <v>2.3542113440000012E-2</v>
      </c>
      <c r="F16869" s="3198">
        <v>0.1</v>
      </c>
      <c r="G16869" s="78"/>
      <c r="H16869" t="s">
        <v>4128</v>
      </c>
    </row>
    <row r="16870" spans="1:8" hidden="1" outlineLevel="1" x14ac:dyDescent="0.25">
      <c r="A16870" s="1920">
        <v>0.03</v>
      </c>
      <c r="B16870" s="1921" t="s">
        <v>1031</v>
      </c>
      <c r="C16870" s="1902">
        <v>6.3343999999999996</v>
      </c>
      <c r="D16870" s="3196">
        <v>11.175000000000001</v>
      </c>
      <c r="E16870" s="3025">
        <v>0.76417655973730758</v>
      </c>
      <c r="F16870" s="3198">
        <v>0.1</v>
      </c>
      <c r="G16870" s="78"/>
      <c r="H16870" t="s">
        <v>7872</v>
      </c>
    </row>
    <row r="16871" spans="1:8" hidden="1" outlineLevel="1" x14ac:dyDescent="0.25">
      <c r="A16871" s="1920">
        <v>0.03</v>
      </c>
      <c r="B16871" s="1921" t="s">
        <v>44</v>
      </c>
      <c r="C16871" s="1902">
        <v>2.3791000000000002</v>
      </c>
      <c r="D16871" s="3196">
        <v>2.863</v>
      </c>
      <c r="E16871" s="3025">
        <v>0.203396242276491</v>
      </c>
      <c r="F16871" s="3198">
        <v>0.1</v>
      </c>
      <c r="G16871" s="78"/>
      <c r="H16871" t="s">
        <v>204</v>
      </c>
    </row>
    <row r="16872" spans="1:8" hidden="1" outlineLevel="1" x14ac:dyDescent="0.25">
      <c r="A16872" s="1920">
        <v>0.05</v>
      </c>
      <c r="B16872" s="1921" t="s">
        <v>10623</v>
      </c>
      <c r="C16872" s="1902">
        <v>45.08</v>
      </c>
      <c r="D16872" s="3196">
        <v>66.16</v>
      </c>
      <c r="E16872" s="3025">
        <v>0.46761313220940548</v>
      </c>
      <c r="F16872" s="3198">
        <v>0.1</v>
      </c>
      <c r="G16872" s="78"/>
      <c r="H16872" t="s">
        <v>10624</v>
      </c>
    </row>
    <row r="16873" spans="1:8" hidden="1" outlineLevel="1" x14ac:dyDescent="0.25">
      <c r="A16873" s="1920">
        <v>0.02</v>
      </c>
      <c r="B16873" s="1921" t="s">
        <v>8768</v>
      </c>
      <c r="C16873" s="1902">
        <v>125.205</v>
      </c>
      <c r="D16873" s="3196">
        <v>190.45</v>
      </c>
      <c r="E16873" s="3025">
        <v>0.52110538716504928</v>
      </c>
      <c r="F16873" s="3198">
        <v>0.1</v>
      </c>
      <c r="G16873" s="78"/>
      <c r="H16873" t="s">
        <v>8754</v>
      </c>
    </row>
    <row r="16874" spans="1:8" hidden="1" outlineLevel="1" x14ac:dyDescent="0.25">
      <c r="A16874" s="1920">
        <v>0.02</v>
      </c>
      <c r="B16874" s="1921" t="s">
        <v>7838</v>
      </c>
      <c r="C16874" s="1902">
        <v>46.569000000000003</v>
      </c>
      <c r="D16874" s="3196">
        <v>69.319999999999993</v>
      </c>
      <c r="E16874" s="3025">
        <v>0.48854388112263503</v>
      </c>
      <c r="F16874" s="3198">
        <v>0.1</v>
      </c>
      <c r="G16874" s="78"/>
      <c r="H16874" t="s">
        <v>7829</v>
      </c>
    </row>
    <row r="16875" spans="1:8" hidden="1" outlineLevel="1" x14ac:dyDescent="0.25">
      <c r="A16875" s="1920">
        <v>0.02</v>
      </c>
      <c r="B16875" s="1921" t="s">
        <v>1190</v>
      </c>
      <c r="C16875" s="1902">
        <v>4.6959999999999997</v>
      </c>
      <c r="D16875" s="3196">
        <v>3.3220000000000001</v>
      </c>
      <c r="E16875" s="3025">
        <v>-0.29258943781942071</v>
      </c>
      <c r="F16875" s="3198">
        <v>-0.29258943781942071</v>
      </c>
      <c r="G16875" s="78"/>
      <c r="H16875" t="s">
        <v>7569</v>
      </c>
    </row>
    <row r="16876" spans="1:8" hidden="1" outlineLevel="1" x14ac:dyDescent="0.25">
      <c r="A16876" s="1920">
        <v>0.05</v>
      </c>
      <c r="B16876" s="1921" t="s">
        <v>1203</v>
      </c>
      <c r="C16876" s="1902">
        <v>96.13</v>
      </c>
      <c r="D16876" s="3196">
        <v>128.24</v>
      </c>
      <c r="E16876" s="3025">
        <v>0.33402683865598681</v>
      </c>
      <c r="F16876" s="3198">
        <v>0.1</v>
      </c>
      <c r="G16876" s="78"/>
      <c r="H16876" t="s">
        <v>79</v>
      </c>
    </row>
    <row r="16877" spans="1:8" hidden="1" outlineLevel="1" x14ac:dyDescent="0.25">
      <c r="A16877" s="1920">
        <v>7.0000000000000007E-2</v>
      </c>
      <c r="B16877" s="1921" t="s">
        <v>2787</v>
      </c>
      <c r="C16877" s="2095">
        <v>71.894086445279058</v>
      </c>
      <c r="D16877" s="3196">
        <v>89.4</v>
      </c>
      <c r="E16877" s="3025">
        <v>0.24349587595142852</v>
      </c>
      <c r="F16877" s="3198">
        <v>0.1</v>
      </c>
      <c r="G16877" s="78"/>
      <c r="H16877" t="s">
        <v>8874</v>
      </c>
    </row>
    <row r="16878" spans="1:8" hidden="1" outlineLevel="1" x14ac:dyDescent="0.25">
      <c r="A16878" s="1920">
        <v>0.02</v>
      </c>
      <c r="B16878" s="1921" t="s">
        <v>1414</v>
      </c>
      <c r="C16878" s="2095">
        <v>40.712020091821607</v>
      </c>
      <c r="D16878" s="3196">
        <v>27.08</v>
      </c>
      <c r="E16878" s="3025">
        <v>-0.33484017892200002</v>
      </c>
      <c r="F16878" s="3198">
        <v>-0.33484017892200002</v>
      </c>
      <c r="G16878" s="78"/>
      <c r="H16878" t="s">
        <v>2428</v>
      </c>
    </row>
    <row r="16879" spans="1:8" hidden="1" outlineLevel="1" x14ac:dyDescent="0.25">
      <c r="A16879" s="1920">
        <v>0.02</v>
      </c>
      <c r="B16879" s="1903" t="s">
        <v>10667</v>
      </c>
      <c r="C16879" s="2095">
        <v>24.875</v>
      </c>
      <c r="D16879" s="3196">
        <v>24.47</v>
      </c>
      <c r="E16879" s="3025">
        <v>-1.6281407035175888E-2</v>
      </c>
      <c r="F16879" s="3198">
        <v>-1.6281407035175888E-2</v>
      </c>
      <c r="G16879" s="78"/>
      <c r="H16879" t="s">
        <v>10668</v>
      </c>
    </row>
    <row r="16880" spans="1:8" hidden="1" outlineLevel="1" x14ac:dyDescent="0.25">
      <c r="A16880" s="1920">
        <v>0.02</v>
      </c>
      <c r="B16880" s="1921" t="s">
        <v>1187</v>
      </c>
      <c r="C16880" s="2095">
        <v>74.247473548734291</v>
      </c>
      <c r="D16880" s="3196">
        <v>93.36</v>
      </c>
      <c r="E16880" s="3025">
        <v>0.25741652258000003</v>
      </c>
      <c r="F16880" s="3198">
        <v>0.1</v>
      </c>
      <c r="G16880" s="78"/>
      <c r="H16880" t="s">
        <v>3483</v>
      </c>
    </row>
    <row r="16881" spans="1:10" hidden="1" outlineLevel="1" x14ac:dyDescent="0.25">
      <c r="A16881" s="1920">
        <v>0.02</v>
      </c>
      <c r="B16881" s="1921" t="s">
        <v>8210</v>
      </c>
      <c r="C16881" s="2095">
        <v>182.434</v>
      </c>
      <c r="D16881" s="3196">
        <v>138.61000000000001</v>
      </c>
      <c r="E16881" s="3025">
        <v>-0.24021838034576881</v>
      </c>
      <c r="F16881" s="3198">
        <v>-0.24021838034576881</v>
      </c>
      <c r="G16881" s="78"/>
      <c r="H16881" t="s">
        <v>8211</v>
      </c>
    </row>
    <row r="16882" spans="1:10" hidden="1" outlineLevel="1" x14ac:dyDescent="0.25">
      <c r="A16882" s="1920">
        <v>0.06</v>
      </c>
      <c r="B16882" s="1921" t="s">
        <v>1724</v>
      </c>
      <c r="C16882" s="2095">
        <v>209.76327941226063</v>
      </c>
      <c r="D16882" s="3196">
        <v>212.8</v>
      </c>
      <c r="E16882" s="3025">
        <v>1.4476893173333449E-2</v>
      </c>
      <c r="F16882" s="3198">
        <v>0.1</v>
      </c>
      <c r="G16882" s="78"/>
      <c r="H16882" t="s">
        <v>1725</v>
      </c>
    </row>
    <row r="16883" spans="1:10" hidden="1" outlineLevel="1" x14ac:dyDescent="0.25">
      <c r="A16883" s="1920">
        <v>0.02</v>
      </c>
      <c r="B16883" s="1921" t="s">
        <v>1142</v>
      </c>
      <c r="C16883" s="2095">
        <v>46.156999999999996</v>
      </c>
      <c r="D16883" s="3196">
        <v>59.49</v>
      </c>
      <c r="E16883" s="3025">
        <v>0.28886192776826936</v>
      </c>
      <c r="F16883" s="3198">
        <v>0.1</v>
      </c>
      <c r="G16883" s="78"/>
      <c r="H16883" t="s">
        <v>1143</v>
      </c>
    </row>
    <row r="16884" spans="1:10" hidden="1" outlineLevel="1" x14ac:dyDescent="0.25">
      <c r="A16884" s="1920">
        <v>0.05</v>
      </c>
      <c r="B16884" s="1921" t="s">
        <v>366</v>
      </c>
      <c r="C16884" s="2095">
        <v>54.634999999999998</v>
      </c>
      <c r="D16884" s="3196">
        <v>53.04</v>
      </c>
      <c r="E16884" s="3025">
        <v>-2.9193740276379554E-2</v>
      </c>
      <c r="F16884" s="3198">
        <v>-2.9193740276379554E-2</v>
      </c>
      <c r="G16884" s="78"/>
      <c r="H16884" t="s">
        <v>367</v>
      </c>
    </row>
    <row r="16885" spans="1:10" hidden="1" outlineLevel="1" x14ac:dyDescent="0.25">
      <c r="A16885" s="1920">
        <v>0.02</v>
      </c>
      <c r="B16885" s="1921" t="s">
        <v>9429</v>
      </c>
      <c r="C16885" s="2095">
        <v>10.363305096537843</v>
      </c>
      <c r="D16885" s="3196">
        <v>7.9</v>
      </c>
      <c r="E16885" s="3025">
        <v>-0.237694931645</v>
      </c>
      <c r="F16885" s="3198">
        <v>-0.237694931645</v>
      </c>
      <c r="G16885" s="78"/>
      <c r="H16885" t="s">
        <v>9430</v>
      </c>
    </row>
    <row r="16886" spans="1:10" hidden="1" outlineLevel="1" x14ac:dyDescent="0.25">
      <c r="A16886" s="1920">
        <v>0.02</v>
      </c>
      <c r="B16886" s="1921" t="s">
        <v>9301</v>
      </c>
      <c r="C16886" s="2095">
        <v>174.03399999999999</v>
      </c>
      <c r="D16886" s="3196">
        <v>49.68</v>
      </c>
      <c r="E16886" s="3025">
        <v>-0.71453853844651039</v>
      </c>
      <c r="F16886" s="3198">
        <v>-0.71453853844651039</v>
      </c>
      <c r="G16886" s="78"/>
      <c r="H16886" t="s">
        <v>9302</v>
      </c>
    </row>
    <row r="16887" spans="1:10" hidden="1" outlineLevel="1" x14ac:dyDescent="0.25">
      <c r="A16887" s="1920">
        <v>0.03</v>
      </c>
      <c r="B16887" s="1921" t="s">
        <v>507</v>
      </c>
      <c r="C16887" s="2095">
        <v>48.201500000000003</v>
      </c>
      <c r="D16887" s="3196">
        <v>45.164999999999999</v>
      </c>
      <c r="E16887" s="3025">
        <v>-6.299596485586556E-2</v>
      </c>
      <c r="F16887" s="3198">
        <v>-6.299596485586556E-2</v>
      </c>
      <c r="G16887" s="78"/>
      <c r="H16887" t="s">
        <v>2810</v>
      </c>
    </row>
    <row r="16888" spans="1:10" hidden="1" outlineLevel="1" x14ac:dyDescent="0.25">
      <c r="A16888" s="1920">
        <v>0.04</v>
      </c>
      <c r="B16888" s="1921" t="s">
        <v>10740</v>
      </c>
      <c r="C16888" s="2095">
        <v>36.639000000000003</v>
      </c>
      <c r="D16888" s="3196">
        <v>32.409999999999997</v>
      </c>
      <c r="E16888" s="3025">
        <v>-0.11542345588034619</v>
      </c>
      <c r="F16888" s="3198">
        <v>-0.11542345588034619</v>
      </c>
      <c r="G16888" s="78"/>
      <c r="H16888" t="s">
        <v>10741</v>
      </c>
    </row>
    <row r="16889" spans="1:10" hidden="1" outlineLevel="1" x14ac:dyDescent="0.25">
      <c r="A16889" s="1920">
        <v>0.08</v>
      </c>
      <c r="B16889" s="2109" t="s">
        <v>4550</v>
      </c>
      <c r="C16889" s="2095">
        <v>301.19</v>
      </c>
      <c r="D16889" s="3196">
        <v>439.1</v>
      </c>
      <c r="E16889" s="3025">
        <v>0.45788372787941167</v>
      </c>
      <c r="F16889" s="3198">
        <v>0.1</v>
      </c>
      <c r="G16889" s="78"/>
      <c r="H16889" t="s">
        <v>8889</v>
      </c>
    </row>
    <row r="16890" spans="1:10" hidden="1" outlineLevel="1" x14ac:dyDescent="0.25">
      <c r="A16890" s="1897" t="s">
        <v>2465</v>
      </c>
      <c r="B16890" s="1931"/>
      <c r="C16890" s="1932"/>
      <c r="D16890" s="3030"/>
      <c r="E16890" s="3078">
        <v>0.16253789826768833</v>
      </c>
      <c r="F16890" s="1897">
        <v>8.6390468113176563E-3</v>
      </c>
      <c r="G16890" s="78"/>
    </row>
    <row r="16891" spans="1:10" hidden="1" outlineLevel="1" x14ac:dyDescent="0.25">
      <c r="A16891" s="3071"/>
      <c r="B16891" s="2984"/>
      <c r="C16891" s="2984"/>
      <c r="D16891" s="2984"/>
      <c r="E16891" s="2984"/>
      <c r="F16891" s="3205"/>
      <c r="G16891" s="78"/>
    </row>
    <row r="16892" spans="1:10" hidden="1" outlineLevel="1" x14ac:dyDescent="0.25">
      <c r="A16892" s="2986" t="s">
        <v>113</v>
      </c>
      <c r="B16892" s="2986"/>
      <c r="C16892" s="2987"/>
      <c r="D16892" s="2987"/>
      <c r="E16892" s="3146"/>
      <c r="F16892" s="2989"/>
      <c r="G16892" s="78"/>
    </row>
    <row r="16893" spans="1:10" hidden="1" outlineLevel="1" x14ac:dyDescent="0.25">
      <c r="A16893" s="1810" t="s">
        <v>9432</v>
      </c>
      <c r="B16893" s="3182"/>
      <c r="C16893" s="3183"/>
      <c r="D16893" s="3183"/>
      <c r="E16893" s="2992"/>
      <c r="F16893" s="3193">
        <v>7.0000000000000007E-2</v>
      </c>
      <c r="G16893" s="78"/>
    </row>
    <row r="16894" spans="1:10" hidden="1" outlineLevel="1" x14ac:dyDescent="0.25">
      <c r="A16894" s="1810" t="s">
        <v>9433</v>
      </c>
      <c r="B16894" s="3028"/>
      <c r="C16894" s="3187"/>
      <c r="D16894" s="3187"/>
      <c r="E16894" s="2995">
        <v>-0.10589999999999999</v>
      </c>
      <c r="F16894" s="3198">
        <v>0</v>
      </c>
      <c r="G16894" s="78"/>
      <c r="J16894" s="31"/>
    </row>
    <row r="16895" spans="1:10" hidden="1" outlineLevel="1" x14ac:dyDescent="0.25">
      <c r="A16895" s="1810" t="s">
        <v>9434</v>
      </c>
      <c r="B16895" s="3028"/>
      <c r="C16895" s="3187"/>
      <c r="D16895" s="3187"/>
      <c r="E16895" s="2995">
        <v>-2.8999999999999998E-3</v>
      </c>
      <c r="F16895" s="3198">
        <v>0</v>
      </c>
      <c r="G16895" s="78"/>
    </row>
    <row r="16896" spans="1:10" hidden="1" outlineLevel="1" x14ac:dyDescent="0.25">
      <c r="A16896" s="1810" t="s">
        <v>9435</v>
      </c>
      <c r="B16896" s="3028"/>
      <c r="C16896" s="3187"/>
      <c r="D16896" s="3187"/>
      <c r="E16896" s="2995">
        <v>-3.3399999999999999E-2</v>
      </c>
      <c r="F16896" s="3198">
        <v>0</v>
      </c>
      <c r="G16896" s="78"/>
    </row>
    <row r="16897" spans="1:11" hidden="1" outlineLevel="1" x14ac:dyDescent="0.25">
      <c r="A16897" s="1810" t="s">
        <v>9436</v>
      </c>
      <c r="B16897" s="3039"/>
      <c r="C16897" s="3146"/>
      <c r="D16897" s="3146"/>
      <c r="E16897" s="2997">
        <v>9.0030000000000145E-3</v>
      </c>
      <c r="F16897" s="2989">
        <v>8.9999999999999993E-3</v>
      </c>
      <c r="G16897" s="78"/>
    </row>
    <row r="16898" spans="1:11" collapsed="1" x14ac:dyDescent="0.25">
      <c r="A16898" s="3803" t="s">
        <v>9428</v>
      </c>
      <c r="B16898" s="3804"/>
      <c r="C16898" s="3804"/>
      <c r="D16898" s="3398"/>
      <c r="E16898" s="3398"/>
      <c r="F16898" s="1948">
        <v>7.9000000000000001E-2</v>
      </c>
      <c r="G16898" s="78"/>
    </row>
    <row r="16899" spans="1:11" x14ac:dyDescent="0.25">
      <c r="E16899" t="s">
        <v>2734</v>
      </c>
    </row>
    <row r="16900" spans="1:11" ht="12.75" hidden="1" customHeight="1" outlineLevel="1" x14ac:dyDescent="0.25">
      <c r="A16900" s="15" t="s">
        <v>113</v>
      </c>
      <c r="B16900" s="15" t="s">
        <v>114</v>
      </c>
      <c r="C16900" s="15" t="s">
        <v>112</v>
      </c>
      <c r="D16900" s="15" t="s">
        <v>116</v>
      </c>
      <c r="E16900" s="15" t="s">
        <v>117</v>
      </c>
      <c r="F16900" s="1882" t="s">
        <v>121</v>
      </c>
      <c r="G16900" s="78"/>
    </row>
    <row r="16901" spans="1:11" ht="12.75" hidden="1" customHeight="1" outlineLevel="1" x14ac:dyDescent="0.25">
      <c r="A16901" s="4">
        <v>1</v>
      </c>
      <c r="B16901" s="5" t="s">
        <v>252</v>
      </c>
      <c r="C16901" s="6">
        <v>100</v>
      </c>
      <c r="D16901" s="6"/>
      <c r="E16901" s="9"/>
      <c r="F16901" s="10"/>
      <c r="G16901" s="78"/>
    </row>
    <row r="16902" spans="1:11" ht="12.75" hidden="1" customHeight="1" outlineLevel="1" x14ac:dyDescent="0.25">
      <c r="A16902" s="21" t="s">
        <v>2734</v>
      </c>
      <c r="B16902" s="21"/>
      <c r="C16902" s="11"/>
      <c r="D16902" s="32" t="s">
        <v>3702</v>
      </c>
      <c r="E16902" s="33">
        <f>indexy!$B$2</f>
        <v>45379</v>
      </c>
      <c r="F16902" s="38"/>
      <c r="G16902" s="78"/>
    </row>
    <row r="16903" spans="1:11" ht="12.75" hidden="1" customHeight="1" outlineLevel="1" x14ac:dyDescent="0.25">
      <c r="A16903" s="22" t="s">
        <v>4156</v>
      </c>
      <c r="B16903" s="22" t="s">
        <v>4153</v>
      </c>
      <c r="C16903" s="98" t="s">
        <v>112</v>
      </c>
      <c r="D16903" s="131" t="s">
        <v>4155</v>
      </c>
      <c r="E16903" s="24" t="s">
        <v>4154</v>
      </c>
      <c r="F16903" s="189" t="s">
        <v>2519</v>
      </c>
      <c r="G16903" s="78"/>
    </row>
    <row r="16904" spans="1:11" ht="12.75" hidden="1" customHeight="1" outlineLevel="1" x14ac:dyDescent="0.25">
      <c r="A16904" s="134">
        <v>0.02</v>
      </c>
      <c r="B16904" s="211" t="s">
        <v>1384</v>
      </c>
      <c r="C16904" s="472">
        <v>5.2839999999999998</v>
      </c>
      <c r="D16904" s="1488">
        <f>VLOOKUP($H16904,indexy!$C$44:$D$823,2,FALSE)</f>
        <v>5.65</v>
      </c>
      <c r="E16904" s="1491">
        <f>$D16904/$C16904-1</f>
        <v>6.9265707797123488E-2</v>
      </c>
      <c r="F16904" s="1805">
        <f>$E16904*$A16904</f>
        <v>1.3853141559424698E-3</v>
      </c>
      <c r="G16904" s="78"/>
      <c r="H16904" t="str">
        <f>VLOOKUP(B16904,indexy!$A$44:$D$823,3,FALSE)</f>
        <v>AGN NA Equity</v>
      </c>
      <c r="K16904" s="434"/>
    </row>
    <row r="16905" spans="1:11" ht="12.75" hidden="1" customHeight="1" outlineLevel="1" x14ac:dyDescent="0.25">
      <c r="A16905" s="135">
        <v>0.02</v>
      </c>
      <c r="B16905" s="211" t="s">
        <v>1903</v>
      </c>
      <c r="C16905" s="472">
        <v>56.500999999999998</v>
      </c>
      <c r="D16905" s="1489">
        <f>VLOOKUP(H16905,indexy!$C$44:$D$823,2,FALSE)/100</f>
        <v>106.78</v>
      </c>
      <c r="E16905" s="1493">
        <f t="shared" ref="E16905:E16933" si="236">$D16905/$C16905-1</f>
        <v>0.88987805525565933</v>
      </c>
      <c r="F16905" s="1313">
        <f t="shared" ref="F16905:F16932" si="237">$E16905*$A16905</f>
        <v>1.7797561105113185E-2</v>
      </c>
      <c r="G16905" s="78"/>
      <c r="H16905" t="str">
        <f>VLOOKUP(B16905,indexy!$A$44:$D$823,3,FALSE)</f>
        <v>AZN LN Equity</v>
      </c>
      <c r="K16905" s="434"/>
    </row>
    <row r="16906" spans="1:11" ht="12.75" hidden="1" customHeight="1" outlineLevel="1" x14ac:dyDescent="0.25">
      <c r="A16906" s="135">
        <v>0.02</v>
      </c>
      <c r="B16906" s="211" t="s">
        <v>9437</v>
      </c>
      <c r="C16906" s="472">
        <v>4.4531999999999998</v>
      </c>
      <c r="D16906" s="1489">
        <f>VLOOKUP(H16906,indexy!$C$44:$D$823,2,FALSE)/100</f>
        <v>7.0020000000000007</v>
      </c>
      <c r="E16906" s="1493">
        <f t="shared" si="236"/>
        <v>0.57235246564268416</v>
      </c>
      <c r="F16906" s="1313">
        <f t="shared" si="237"/>
        <v>1.1447049312853683E-2</v>
      </c>
      <c r="G16906" s="78"/>
      <c r="H16906" t="str">
        <f>VLOOKUP(B16906,indexy!$A$44:$D$823,3,FALSE)</f>
        <v>AUTO LN Equity</v>
      </c>
      <c r="K16906" s="434"/>
    </row>
    <row r="16907" spans="1:11" ht="12.75" hidden="1" customHeight="1" outlineLevel="1" x14ac:dyDescent="0.25">
      <c r="A16907" s="135">
        <v>0.02</v>
      </c>
      <c r="B16907" s="211" t="s">
        <v>2582</v>
      </c>
      <c r="C16907" s="472">
        <v>13.211180180797815</v>
      </c>
      <c r="D16907" s="1489">
        <f>VLOOKUP(H16907,indexy!$C$44:$D$823,2,FALSE)/100</f>
        <v>22.75</v>
      </c>
      <c r="E16907" s="1493">
        <f t="shared" si="236"/>
        <v>0.72202632078749995</v>
      </c>
      <c r="F16907" s="1313">
        <f t="shared" si="237"/>
        <v>1.4440526415749999E-2</v>
      </c>
      <c r="G16907" s="78"/>
      <c r="H16907" t="str">
        <f>VLOOKUP(B16907,indexy!$A$44:$D$823,3,FALSE)</f>
        <v>BHP LN Equity</v>
      </c>
      <c r="K16907" s="434"/>
    </row>
    <row r="16908" spans="1:11" ht="12.75" hidden="1" customHeight="1" outlineLevel="1" x14ac:dyDescent="0.25">
      <c r="A16908" s="135">
        <v>0.02</v>
      </c>
      <c r="B16908" s="211" t="s">
        <v>3019</v>
      </c>
      <c r="C16908" s="472">
        <v>52.018999999999998</v>
      </c>
      <c r="D16908" s="1489">
        <f>VLOOKUP(H16908,indexy!$C$44:$D$823,2,FALSE)</f>
        <v>65.86</v>
      </c>
      <c r="E16908" s="1493">
        <f t="shared" si="236"/>
        <v>0.26607585689844093</v>
      </c>
      <c r="F16908" s="1313">
        <f t="shared" si="237"/>
        <v>5.3215171379688191E-3</v>
      </c>
      <c r="G16908" s="78"/>
      <c r="H16908" t="str">
        <f>VLOOKUP(B16908,indexy!$A$44:$D$823,3,FALSE)</f>
        <v>BNP FP Equity</v>
      </c>
      <c r="K16908" s="434"/>
    </row>
    <row r="16909" spans="1:11" ht="12.75" hidden="1" customHeight="1" outlineLevel="1" x14ac:dyDescent="0.25">
      <c r="A16909" s="135">
        <v>0.02</v>
      </c>
      <c r="B16909" s="211" t="s">
        <v>1188</v>
      </c>
      <c r="C16909" s="472">
        <v>5.5095000000000001</v>
      </c>
      <c r="D16909" s="1489">
        <f>VLOOKUP(H16909,indexy!$C$44:$D$823,2,FALSE)/100</f>
        <v>4.9569999999999999</v>
      </c>
      <c r="E16909" s="1493">
        <f t="shared" si="236"/>
        <v>-0.10028133224430535</v>
      </c>
      <c r="F16909" s="1313">
        <f t="shared" si="237"/>
        <v>-2.0056266448861071E-3</v>
      </c>
      <c r="G16909" s="78"/>
      <c r="H16909" t="str">
        <f>VLOOKUP(B16909,indexy!$A$44:$D$823,3,FALSE)</f>
        <v>BP/ LN Equity</v>
      </c>
      <c r="K16909" s="434"/>
    </row>
    <row r="16910" spans="1:11" ht="12.75" hidden="1" customHeight="1" outlineLevel="1" x14ac:dyDescent="0.25">
      <c r="A16910" s="135">
        <v>0.02</v>
      </c>
      <c r="B16910" s="211" t="s">
        <v>6444</v>
      </c>
      <c r="C16910" s="472">
        <v>47.697000000000003</v>
      </c>
      <c r="D16910" s="1489">
        <f>VLOOKUP(H16910,indexy!$C$44:$D$823,2,FALSE)/100</f>
        <v>11.695</v>
      </c>
      <c r="E16910" s="1493">
        <f t="shared" si="236"/>
        <v>-0.7548063819527433</v>
      </c>
      <c r="F16910" s="1313">
        <f t="shared" si="237"/>
        <v>-1.5096127639054867E-2</v>
      </c>
      <c r="G16910" s="78"/>
      <c r="H16910" t="str">
        <f>VLOOKUP(B16910,indexy!$A$44:$D$823,3,FALSE)</f>
        <v>CCL LN Equity</v>
      </c>
      <c r="K16910" s="434"/>
    </row>
    <row r="16911" spans="1:11" ht="12.75" hidden="1" customHeight="1" outlineLevel="1" x14ac:dyDescent="0.25">
      <c r="A16911" s="135">
        <v>0.02</v>
      </c>
      <c r="B16911" s="211" t="s">
        <v>10765</v>
      </c>
      <c r="C16911" s="472">
        <v>90.034000000000006</v>
      </c>
      <c r="D16911" s="1489">
        <f>VLOOKUP(H16911,indexy!$C$44:$D$823,2,FALSE)</f>
        <v>105.4</v>
      </c>
      <c r="E16911" s="1493">
        <f t="shared" si="236"/>
        <v>0.17066885843125923</v>
      </c>
      <c r="F16911" s="1313">
        <f t="shared" si="237"/>
        <v>3.4133771686251846E-3</v>
      </c>
      <c r="G16911" s="78"/>
      <c r="H16911" t="str">
        <f>VLOOKUP(B16911,indexy!$A$44:$D$823,3,FALSE)</f>
        <v>DSFIR NA Equity</v>
      </c>
      <c r="K16911" s="434"/>
    </row>
    <row r="16912" spans="1:11" ht="12.75" hidden="1" customHeight="1" outlineLevel="1" x14ac:dyDescent="0.25">
      <c r="A16912" s="135">
        <v>0.04</v>
      </c>
      <c r="B16912" s="211" t="s">
        <v>1231</v>
      </c>
      <c r="C16912" s="472">
        <v>81.296000000000006</v>
      </c>
      <c r="D16912" s="1489">
        <f>VLOOKUP(H16912,indexy!$C$44:$D$823,2,FALSE)</f>
        <v>96.71</v>
      </c>
      <c r="E16912" s="1493">
        <f t="shared" si="236"/>
        <v>0.1896034245227316</v>
      </c>
      <c r="F16912" s="1313">
        <f t="shared" si="237"/>
        <v>7.5841369809092644E-3</v>
      </c>
      <c r="G16912" s="78"/>
      <c r="H16912" t="str">
        <f>VLOOKUP(B16912,indexy!$A$44:$D$823,3,FALSE)</f>
        <v>DUK UN Equity</v>
      </c>
      <c r="K16912" s="434"/>
    </row>
    <row r="16913" spans="1:11" ht="12.75" hidden="1" customHeight="1" outlineLevel="1" x14ac:dyDescent="0.25">
      <c r="A16913" s="135">
        <v>0.02</v>
      </c>
      <c r="B16913" s="211" t="s">
        <v>3425</v>
      </c>
      <c r="C16913" s="472">
        <v>83.46</v>
      </c>
      <c r="D16913" s="1489">
        <f>VLOOKUP(H16913,indexy!$C$44:$D$823,2,FALSE)</f>
        <v>116.24</v>
      </c>
      <c r="E16913" s="1493">
        <f t="shared" si="236"/>
        <v>0.39276300023963584</v>
      </c>
      <c r="F16913" s="1313">
        <f t="shared" si="237"/>
        <v>7.8552600047927176E-3</v>
      </c>
      <c r="G16913" s="78"/>
      <c r="H16913" t="str">
        <f>VLOOKUP(B16913,indexy!$A$44:$D$823,3,FALSE)</f>
        <v>XOM UN Equity</v>
      </c>
      <c r="K16913" s="434"/>
    </row>
    <row r="16914" spans="1:11" ht="12.75" hidden="1" customHeight="1" outlineLevel="1" x14ac:dyDescent="0.25">
      <c r="A16914" s="135">
        <v>7.0000000000000007E-2</v>
      </c>
      <c r="B16914" s="211" t="s">
        <v>1031</v>
      </c>
      <c r="C16914" s="472">
        <v>6.3343999999999996</v>
      </c>
      <c r="D16914" s="1489">
        <f>VLOOKUP(H16914,indexy!$C$44:$D$823,2,FALSE)</f>
        <v>11.494999999999999</v>
      </c>
      <c r="E16914" s="1493">
        <f t="shared" si="236"/>
        <v>0.81469436726446065</v>
      </c>
      <c r="F16914" s="1313">
        <f t="shared" si="237"/>
        <v>5.7028605708512252E-2</v>
      </c>
      <c r="G16914" s="78"/>
      <c r="H16914" t="str">
        <f>VLOOKUP(B16914,indexy!$A$44:$D$823,3,FALSE)</f>
        <v>IBE SQ Equity</v>
      </c>
      <c r="K16914" s="434"/>
    </row>
    <row r="16915" spans="1:11" ht="12.75" hidden="1" customHeight="1" outlineLevel="1" x14ac:dyDescent="0.25">
      <c r="A16915" s="135">
        <v>0.02</v>
      </c>
      <c r="B16915" s="211" t="s">
        <v>2682</v>
      </c>
      <c r="C16915" s="472">
        <v>6.7755000000000001</v>
      </c>
      <c r="D16915" s="1489">
        <f>VLOOKUP(H16915,indexy!$C$44:$D$823,2,FALSE)/100</f>
        <v>7.24</v>
      </c>
      <c r="E16915" s="1493">
        <f t="shared" si="236"/>
        <v>6.8555826138292364E-2</v>
      </c>
      <c r="F16915" s="1313">
        <f t="shared" si="237"/>
        <v>1.3711165227658472E-3</v>
      </c>
      <c r="G16915" s="78"/>
      <c r="H16915" t="str">
        <f>VLOOKUP(B16915,indexy!$A$44:$D$823,3,FALSE)</f>
        <v>INCH LN Equity</v>
      </c>
      <c r="K16915" s="434"/>
    </row>
    <row r="16916" spans="1:11" ht="12.75" hidden="1" customHeight="1" outlineLevel="1" x14ac:dyDescent="0.25">
      <c r="A16916" s="135">
        <v>0.02</v>
      </c>
      <c r="B16916" s="211" t="s">
        <v>1381</v>
      </c>
      <c r="C16916" s="490">
        <v>116.346</v>
      </c>
      <c r="D16916" s="1489">
        <f>VLOOKUP(H16916,indexy!$C$44:$D$823,2,FALSE)</f>
        <v>129.35</v>
      </c>
      <c r="E16916" s="1493">
        <f t="shared" si="236"/>
        <v>0.11177006515049936</v>
      </c>
      <c r="F16916" s="1313">
        <f t="shared" si="237"/>
        <v>2.2354013030099875E-3</v>
      </c>
      <c r="G16916" s="78"/>
      <c r="H16916" t="str">
        <f>VLOOKUP(B16916,indexy!$A$44:$D$823,3,FALSE)</f>
        <v>KMB UN Equity</v>
      </c>
      <c r="K16916" s="434"/>
    </row>
    <row r="16917" spans="1:11" ht="12.75" hidden="1" customHeight="1" outlineLevel="1" x14ac:dyDescent="0.25">
      <c r="A16917" s="135">
        <v>0.02</v>
      </c>
      <c r="B16917" s="211" t="s">
        <v>1205</v>
      </c>
      <c r="C16917" s="472">
        <v>38.92</v>
      </c>
      <c r="D16917" s="1489">
        <f>VLOOKUP(H16917,indexy!$C$44:$D$823,2,FALSE)</f>
        <v>18.606000000000002</v>
      </c>
      <c r="E16917" s="1493">
        <f t="shared" si="236"/>
        <v>-0.52194244604316542</v>
      </c>
      <c r="F16917" s="1313">
        <f t="shared" si="237"/>
        <v>-1.0438848920863308E-2</v>
      </c>
      <c r="G16917" s="78"/>
      <c r="H16917" t="str">
        <f>VLOOKUP(B16917,indexy!$A$44:$D$823,3,FALSE)</f>
        <v>PHIA NA Equity</v>
      </c>
      <c r="K16917" s="434"/>
    </row>
    <row r="16918" spans="1:11" ht="12.75" hidden="1" customHeight="1" outlineLevel="1" x14ac:dyDescent="0.25">
      <c r="A16918" s="135">
        <v>0.03</v>
      </c>
      <c r="B16918" s="211" t="s">
        <v>7224</v>
      </c>
      <c r="C16918" s="472">
        <v>2.7381348179861509</v>
      </c>
      <c r="D16918" s="1489">
        <f>VLOOKUP(H16918,indexy!$C$44:$D$823,2,FALSE)/100</f>
        <v>2.6510000000000002</v>
      </c>
      <c r="E16918" s="1493">
        <f t="shared" si="236"/>
        <v>-3.182269091126666E-2</v>
      </c>
      <c r="F16918" s="1313">
        <f t="shared" si="237"/>
        <v>-9.5468072733799979E-4</v>
      </c>
      <c r="G16918" s="78"/>
      <c r="H16918" t="str">
        <f>VLOOKUP(B16918,indexy!$A$44:$D$823,3,FALSE)</f>
        <v>MKS LN Equity</v>
      </c>
      <c r="K16918" s="434"/>
    </row>
    <row r="16919" spans="1:11" ht="12.75" hidden="1" customHeight="1" outlineLevel="1" x14ac:dyDescent="0.25">
      <c r="A16919" s="135">
        <v>0.02</v>
      </c>
      <c r="B16919" s="211" t="s">
        <v>7321</v>
      </c>
      <c r="C16919" s="472">
        <f>103.035/4</f>
        <v>25.758749999999999</v>
      </c>
      <c r="D16919" s="1489">
        <f>VLOOKUP(H16919,indexy!$C$44:$D$823,2,FALSE)</f>
        <v>35.520000000000003</v>
      </c>
      <c r="E16919" s="1493">
        <f t="shared" si="236"/>
        <v>0.37894890085893151</v>
      </c>
      <c r="F16919" s="1313">
        <f t="shared" si="237"/>
        <v>7.5789780171786301E-3</v>
      </c>
      <c r="G16919" s="78"/>
      <c r="H16919" t="str">
        <f>VLOOKUP(B16919,indexy!$A$44:$D$823,3,FALSE)</f>
        <v>ML FP Equity</v>
      </c>
      <c r="K16919" s="434"/>
    </row>
    <row r="16920" spans="1:11" ht="12.75" hidden="1" customHeight="1" outlineLevel="1" x14ac:dyDescent="0.25">
      <c r="A16920" s="135">
        <v>0.04</v>
      </c>
      <c r="B16920" s="211" t="s">
        <v>1772</v>
      </c>
      <c r="C16920" s="472">
        <v>184.63499999999999</v>
      </c>
      <c r="D16920" s="1489">
        <f>VLOOKUP(H16920,indexy!$C$44:$D$823,2,FALSE)</f>
        <v>452.3</v>
      </c>
      <c r="E16920" s="1493">
        <f t="shared" si="236"/>
        <v>1.4496980529152115</v>
      </c>
      <c r="F16920" s="1313">
        <f t="shared" si="237"/>
        <v>5.7987922116608463E-2</v>
      </c>
      <c r="G16920" s="78"/>
      <c r="H16920" t="str">
        <f>VLOOKUP(B16920,indexy!$A$44:$D$823,3,FALSE)</f>
        <v>MUV2 GY Equity</v>
      </c>
      <c r="K16920" s="434"/>
    </row>
    <row r="16921" spans="1:11" ht="12.75" hidden="1" customHeight="1" outlineLevel="1" x14ac:dyDescent="0.25">
      <c r="A16921" s="135">
        <v>0.08</v>
      </c>
      <c r="B16921" s="211" t="s">
        <v>3797</v>
      </c>
      <c r="C16921" s="472">
        <v>80.778000000000006</v>
      </c>
      <c r="D16921" s="1489">
        <f>VLOOKUP(H16921,indexy!$C$44:$D$823,2,FALSE)</f>
        <v>95.75</v>
      </c>
      <c r="E16921" s="1493">
        <f t="shared" si="236"/>
        <v>0.185347495605239</v>
      </c>
      <c r="F16921" s="1313">
        <f t="shared" si="237"/>
        <v>1.482779964841912E-2</v>
      </c>
      <c r="G16921" s="78"/>
      <c r="H16921" t="str">
        <f>VLOOKUP(B16921,indexy!$A$44:$D$823,3,FALSE)</f>
        <v>NESN SE Equity</v>
      </c>
      <c r="K16921" s="434"/>
    </row>
    <row r="16922" spans="1:11" ht="12.75" hidden="1" customHeight="1" outlineLevel="1" x14ac:dyDescent="0.25">
      <c r="A16922" s="135">
        <v>7.0000000000000007E-2</v>
      </c>
      <c r="B16922" s="211" t="s">
        <v>2787</v>
      </c>
      <c r="C16922" s="472">
        <v>68.107712479610072</v>
      </c>
      <c r="D16922" s="1489">
        <f>VLOOKUP(H16922,indexy!$C$44:$D$823,2,FALSE)</f>
        <v>87.37</v>
      </c>
      <c r="E16922" s="1493">
        <f t="shared" si="236"/>
        <v>0.28282094375371414</v>
      </c>
      <c r="F16922" s="1313">
        <f t="shared" si="237"/>
        <v>1.9797466062759991E-2</v>
      </c>
      <c r="G16922" s="78"/>
      <c r="H16922" t="str">
        <f>VLOOKUP(B16922,indexy!$A$44:$D$823,3,FALSE)</f>
        <v>NOVN SE Equity</v>
      </c>
      <c r="K16922" s="434"/>
    </row>
    <row r="16923" spans="1:11" ht="12.75" hidden="1" customHeight="1" outlineLevel="1" x14ac:dyDescent="0.25">
      <c r="A16923" s="135">
        <v>0.02</v>
      </c>
      <c r="B16923" s="211" t="s">
        <v>3958</v>
      </c>
      <c r="C16923" s="472">
        <v>8.5749999999999993</v>
      </c>
      <c r="D16923" s="1489">
        <f>VLOOKUP(H16923,indexy!$C$44:$D$823,2,FALSE)/100</f>
        <v>10.42</v>
      </c>
      <c r="E16923" s="1493">
        <f t="shared" si="236"/>
        <v>0.21516034985422761</v>
      </c>
      <c r="F16923" s="1313">
        <f t="shared" si="237"/>
        <v>4.3032069970845525E-3</v>
      </c>
      <c r="G16923" s="78"/>
      <c r="H16923" t="str">
        <f>VLOOKUP(B16923,indexy!$A$44:$D$823,3,FALSE)</f>
        <v>PSON LN Equity</v>
      </c>
      <c r="K16923" s="434"/>
    </row>
    <row r="16924" spans="1:11" ht="12.75" hidden="1" customHeight="1" outlineLevel="1" x14ac:dyDescent="0.25">
      <c r="A16924" s="135">
        <v>0.05</v>
      </c>
      <c r="B16924" s="211" t="s">
        <v>54</v>
      </c>
      <c r="C16924" s="472">
        <v>16.851500000000001</v>
      </c>
      <c r="D16924" s="1489">
        <f>VLOOKUP(H16924,indexy!$C$44:$D$823,2,FALSE)</f>
        <v>15.44</v>
      </c>
      <c r="E16924" s="1493">
        <f t="shared" si="236"/>
        <v>-8.3761089517253806E-2</v>
      </c>
      <c r="F16924" s="1313">
        <f t="shared" si="237"/>
        <v>-4.1880544758626905E-3</v>
      </c>
      <c r="G16924" s="78"/>
      <c r="H16924" t="str">
        <f>VLOOKUP(B16924,indexy!$A$44:$D$823,3,FALSE)</f>
        <v>REP SQ Equity</v>
      </c>
      <c r="K16924" s="434"/>
    </row>
    <row r="16925" spans="1:11" ht="12.75" hidden="1" customHeight="1" outlineLevel="1" x14ac:dyDescent="0.25">
      <c r="A16925" s="135">
        <v>0.02</v>
      </c>
      <c r="B16925" s="211" t="s">
        <v>8645</v>
      </c>
      <c r="C16925" s="472">
        <v>4.7877000000000001</v>
      </c>
      <c r="D16925" s="1489">
        <f>VLOOKUP(H16925,indexy!$C$44:$D$823,2,FALSE)/100</f>
        <v>5.4960000000000004</v>
      </c>
      <c r="E16925" s="1493">
        <f t="shared" si="236"/>
        <v>0.14794160035089932</v>
      </c>
      <c r="F16925" s="1313">
        <f t="shared" si="237"/>
        <v>2.9588320070179862E-3</v>
      </c>
      <c r="G16925" s="78"/>
      <c r="H16925" t="str">
        <f>VLOOKUP(B16925,indexy!$A$44:$D$823,3,FALSE)</f>
        <v>RMV LN Equity</v>
      </c>
      <c r="K16925" s="434"/>
    </row>
    <row r="16926" spans="1:11" ht="12.75" hidden="1" customHeight="1" outlineLevel="1" x14ac:dyDescent="0.25">
      <c r="A16926" s="135">
        <v>0.02</v>
      </c>
      <c r="B16926" s="211" t="s">
        <v>10667</v>
      </c>
      <c r="C16926" s="472">
        <v>24.875</v>
      </c>
      <c r="D16926" s="1489">
        <f>VLOOKUP(H16926,indexy!$C$44:$D$823,2,FALSE)/100</f>
        <v>26.25</v>
      </c>
      <c r="E16926" s="1493">
        <f t="shared" si="236"/>
        <v>5.5276381909547645E-2</v>
      </c>
      <c r="F16926" s="1313">
        <f t="shared" si="237"/>
        <v>1.105527638190953E-3</v>
      </c>
      <c r="G16926" s="78"/>
      <c r="H16926" t="str">
        <f>VLOOKUP(B16926,indexy!$A$44:$D$823,3,FALSE)</f>
        <v>SHEL LN Equity</v>
      </c>
      <c r="K16926" s="434"/>
    </row>
    <row r="16927" spans="1:11" ht="12.75" hidden="1" customHeight="1" outlineLevel="1" x14ac:dyDescent="0.25">
      <c r="A16927" s="135">
        <v>0.08</v>
      </c>
      <c r="B16927" s="211" t="s">
        <v>1187</v>
      </c>
      <c r="C16927" s="472">
        <v>74.2474734798257</v>
      </c>
      <c r="D16927" s="1489">
        <f>VLOOKUP(H16927,indexy!$C$44:$D$823,2,FALSE)</f>
        <v>90.96</v>
      </c>
      <c r="E16927" s="1493">
        <f t="shared" si="236"/>
        <v>0.22509219151699988</v>
      </c>
      <c r="F16927" s="1313">
        <f t="shared" si="237"/>
        <v>1.800737532135999E-2</v>
      </c>
      <c r="G16927" s="78"/>
      <c r="H16927" t="str">
        <f>VLOOKUP(B16927,indexy!$A$44:$D$823,3,FALSE)</f>
        <v>SAN FP Equity</v>
      </c>
      <c r="K16927" s="434"/>
    </row>
    <row r="16928" spans="1:11" ht="12.75" hidden="1" customHeight="1" outlineLevel="1" x14ac:dyDescent="0.25">
      <c r="A16928" s="135">
        <v>0.02</v>
      </c>
      <c r="B16928" s="211" t="s">
        <v>279</v>
      </c>
      <c r="C16928" s="472">
        <v>68.488</v>
      </c>
      <c r="D16928" s="1489">
        <f>VLOOKUP(H16928,indexy!$C$44:$D$823,2,FALSE)</f>
        <v>209.65</v>
      </c>
      <c r="E16928" s="1493">
        <f t="shared" si="236"/>
        <v>2.0611201962387571</v>
      </c>
      <c r="F16928" s="1313">
        <f t="shared" si="237"/>
        <v>4.1222403924775143E-2</v>
      </c>
      <c r="G16928" s="78"/>
      <c r="H16928" t="str">
        <f>VLOOKUP(B16928,indexy!$A$44:$D$823,3,FALSE)</f>
        <v>SU FP Equity</v>
      </c>
      <c r="K16928" s="434"/>
    </row>
    <row r="16929" spans="1:11" ht="12.75" hidden="1" customHeight="1" outlineLevel="1" x14ac:dyDescent="0.25">
      <c r="A16929" s="135">
        <v>0.02</v>
      </c>
      <c r="B16929" s="211" t="s">
        <v>1214</v>
      </c>
      <c r="C16929" s="472">
        <v>99.671269700194642</v>
      </c>
      <c r="D16929" s="1489">
        <f>VLOOKUP(H16929,indexy!$C$44:$D$823,2,FALSE)</f>
        <v>176.96</v>
      </c>
      <c r="E16929" s="1493">
        <f t="shared" si="236"/>
        <v>0.77543639739200021</v>
      </c>
      <c r="F16929" s="1313">
        <f t="shared" si="237"/>
        <v>1.5508727947840004E-2</v>
      </c>
      <c r="G16929" s="78"/>
      <c r="H16929" t="str">
        <f>VLOOKUP(B16929,indexy!$A$44:$D$823,3,FALSE)</f>
        <v>SIE GY Equity</v>
      </c>
      <c r="K16929" s="434"/>
    </row>
    <row r="16930" spans="1:11" ht="12.75" hidden="1" customHeight="1" outlineLevel="1" x14ac:dyDescent="0.25">
      <c r="A16930" s="135">
        <v>0.04</v>
      </c>
      <c r="B16930" s="211" t="s">
        <v>2166</v>
      </c>
      <c r="C16930" s="472">
        <v>36.3215</v>
      </c>
      <c r="D16930" s="1489">
        <f>VLOOKUP(H16930,indexy!$C$44:$D$823,2,FALSE)</f>
        <v>24.81</v>
      </c>
      <c r="E16930" s="1493">
        <f t="shared" si="236"/>
        <v>-0.31693349668928872</v>
      </c>
      <c r="F16930" s="1313">
        <f t="shared" si="237"/>
        <v>-1.2677339867571549E-2</v>
      </c>
      <c r="G16930" s="78"/>
      <c r="H16930" t="str">
        <f>VLOOKUP(B16930,indexy!$A$44:$D$823,3,FALSE)</f>
        <v>GLE FP Equity</v>
      </c>
      <c r="K16930" s="434"/>
    </row>
    <row r="16931" spans="1:11" ht="12.75" hidden="1" customHeight="1" outlineLevel="1" x14ac:dyDescent="0.25">
      <c r="A16931" s="135">
        <v>0.08</v>
      </c>
      <c r="B16931" s="211" t="s">
        <v>6118</v>
      </c>
      <c r="C16931" s="472">
        <v>88.141999999999996</v>
      </c>
      <c r="D16931" s="1489">
        <f>VLOOKUP(H16931,indexy!$C$44:$D$823,2,FALSE)</f>
        <v>115.95</v>
      </c>
      <c r="E16931" s="1493">
        <f t="shared" si="236"/>
        <v>0.31549091239136851</v>
      </c>
      <c r="F16931" s="1313">
        <f t="shared" si="237"/>
        <v>2.5239272991309483E-2</v>
      </c>
      <c r="G16931" s="78"/>
      <c r="H16931" t="str">
        <f>VLOOKUP(B16931,indexy!$A$44:$D$823,3,FALSE)</f>
        <v>SREN SE Equity</v>
      </c>
      <c r="K16931" s="434"/>
    </row>
    <row r="16932" spans="1:11" ht="12.75" hidden="1" customHeight="1" outlineLevel="1" x14ac:dyDescent="0.25">
      <c r="A16932" s="135">
        <v>0.04</v>
      </c>
      <c r="B16932" s="211" t="s">
        <v>10633</v>
      </c>
      <c r="C16932" s="472">
        <v>52.83624507869839</v>
      </c>
      <c r="D16932" s="1489">
        <f>VLOOKUP(H16932,indexy!$C$44:$D$823,2,FALSE)</f>
        <v>63.47</v>
      </c>
      <c r="E16932" s="1493">
        <f t="shared" si="236"/>
        <v>0.20125871748575008</v>
      </c>
      <c r="F16932" s="1313">
        <f t="shared" si="237"/>
        <v>8.0503486994300041E-3</v>
      </c>
      <c r="G16932" s="78"/>
      <c r="H16932" t="str">
        <f>VLOOKUP(B16932,indexy!$A$44:$D$823,3,FALSE)</f>
        <v>TTE FP Equity</v>
      </c>
      <c r="K16932" s="434"/>
    </row>
    <row r="16933" spans="1:11" ht="12.75" hidden="1" customHeight="1" outlineLevel="1" x14ac:dyDescent="0.25">
      <c r="A16933" s="135">
        <v>0.02</v>
      </c>
      <c r="B16933" s="1465" t="s">
        <v>106</v>
      </c>
      <c r="C16933" s="472">
        <v>42.542000000000002</v>
      </c>
      <c r="D16933" s="1490">
        <f>VLOOKUP(H16933,indexy!$C$44:$D$823,2,FALSE)/100</f>
        <v>39.755000000000003</v>
      </c>
      <c r="E16933" s="1495">
        <f t="shared" si="236"/>
        <v>-6.5511729584880829E-2</v>
      </c>
      <c r="F16933" s="1314">
        <f>$E16933*$A16933</f>
        <v>-1.3102345916976166E-3</v>
      </c>
      <c r="G16933" s="78"/>
      <c r="H16933" t="str">
        <f>VLOOKUP(B16933,indexy!$A$44:$D$823,3,FALSE)</f>
        <v>ULVR LN Equity</v>
      </c>
      <c r="K16933" s="434"/>
    </row>
    <row r="16934" spans="1:11" ht="12.75" hidden="1" customHeight="1" outlineLevel="1" x14ac:dyDescent="0.25">
      <c r="A16934" s="1475" t="s">
        <v>2734</v>
      </c>
      <c r="B16934" s="150"/>
      <c r="C16934" s="1476"/>
      <c r="D16934" s="1477"/>
      <c r="E16934" s="512"/>
      <c r="F16934" s="1313">
        <f>SUM(F16904:F16933)</f>
        <v>0.29979681432094368</v>
      </c>
      <c r="G16934" s="78"/>
    </row>
    <row r="16935" spans="1:11" ht="12.75" hidden="1" customHeight="1" outlineLevel="1" x14ac:dyDescent="0.25">
      <c r="A16935" s="221" t="s">
        <v>9440</v>
      </c>
      <c r="B16935" s="1478">
        <v>44927</v>
      </c>
      <c r="C16935" s="1497">
        <v>100</v>
      </c>
      <c r="D16935" s="1497">
        <v>121.1735</v>
      </c>
      <c r="E16935" s="1498">
        <f>IF(D16935="",F16934,D16935/C16935-1)</f>
        <v>0.21173500000000001</v>
      </c>
      <c r="F16935" s="1842"/>
      <c r="G16935" s="78"/>
    </row>
    <row r="16936" spans="1:11" ht="12.75" hidden="1" customHeight="1" outlineLevel="1" x14ac:dyDescent="0.25">
      <c r="A16936" s="221" t="s">
        <v>9441</v>
      </c>
      <c r="B16936" s="1478">
        <v>44958</v>
      </c>
      <c r="C16936" s="1497">
        <v>100</v>
      </c>
      <c r="D16936" s="1500">
        <v>120.1309</v>
      </c>
      <c r="E16936" s="1498">
        <f>IF(D16936="",E16935,D16936/C16936-1)</f>
        <v>0.20130899999999996</v>
      </c>
      <c r="F16936" s="1842"/>
      <c r="G16936" s="78"/>
    </row>
    <row r="16937" spans="1:11" ht="12.75" hidden="1" customHeight="1" outlineLevel="1" x14ac:dyDescent="0.25">
      <c r="A16937" s="221" t="s">
        <v>9442</v>
      </c>
      <c r="B16937" s="1478">
        <v>44986</v>
      </c>
      <c r="C16937" s="1497">
        <v>100</v>
      </c>
      <c r="D16937" s="1500">
        <v>120.0946</v>
      </c>
      <c r="E16937" s="1498">
        <f>IF(D16937="",E16936,D16937/C16937-1)</f>
        <v>0.20094600000000007</v>
      </c>
      <c r="F16937" s="1842"/>
      <c r="G16937" s="78"/>
    </row>
    <row r="16938" spans="1:11" ht="12.75" hidden="1" customHeight="1" outlineLevel="1" x14ac:dyDescent="0.25">
      <c r="A16938" s="221" t="s">
        <v>9443</v>
      </c>
      <c r="B16938" s="1478">
        <v>45017</v>
      </c>
      <c r="C16938" s="1497">
        <v>100</v>
      </c>
      <c r="D16938" s="1500">
        <v>123.2354</v>
      </c>
      <c r="E16938" s="1498">
        <f>IF(D16938="",E16937,D16938/C16938-1)</f>
        <v>0.23235399999999995</v>
      </c>
      <c r="F16938" s="1842"/>
      <c r="G16938" s="78"/>
    </row>
    <row r="16939" spans="1:11" ht="12.75" hidden="1" customHeight="1" outlineLevel="1" x14ac:dyDescent="0.25">
      <c r="A16939" s="221" t="s">
        <v>9444</v>
      </c>
      <c r="B16939" s="1478">
        <v>45047</v>
      </c>
      <c r="C16939" s="1497">
        <v>100</v>
      </c>
      <c r="D16939" s="1500">
        <v>117.73909999999999</v>
      </c>
      <c r="E16939" s="1498">
        <f>IF(D16939="",E16938,D16939/C16939-1)</f>
        <v>0.17739099999999985</v>
      </c>
      <c r="F16939" s="1842"/>
      <c r="G16939" s="78"/>
    </row>
    <row r="16940" spans="1:11" ht="12.75" hidden="1" customHeight="1" outlineLevel="1" x14ac:dyDescent="0.25">
      <c r="A16940" s="221" t="s">
        <v>9445</v>
      </c>
      <c r="B16940" s="1478">
        <v>45078</v>
      </c>
      <c r="C16940" s="1497">
        <v>100</v>
      </c>
      <c r="D16940" s="1500">
        <v>120.74169999999999</v>
      </c>
      <c r="E16940" s="1498">
        <f>IF(D16940="",$F$16934,D16940/C16940-1)</f>
        <v>0.20741699999999996</v>
      </c>
      <c r="F16940" s="1842"/>
      <c r="G16940" s="78"/>
    </row>
    <row r="16941" spans="1:11" ht="12.75" hidden="1" customHeight="1" outlineLevel="1" x14ac:dyDescent="0.25">
      <c r="A16941" s="221" t="s">
        <v>9446</v>
      </c>
      <c r="B16941" s="1478">
        <v>45108</v>
      </c>
      <c r="C16941" s="1497">
        <v>100</v>
      </c>
      <c r="D16941" s="1500">
        <v>121.8839</v>
      </c>
      <c r="E16941" s="1498">
        <f t="shared" ref="E16941:E16952" si="238">IF(D16941="",$F$16934,D16941/C16941-1)</f>
        <v>0.21883900000000001</v>
      </c>
      <c r="F16941" s="1845"/>
      <c r="G16941" s="78"/>
    </row>
    <row r="16942" spans="1:11" ht="12.75" hidden="1" customHeight="1" outlineLevel="1" x14ac:dyDescent="0.25">
      <c r="A16942" s="221" t="s">
        <v>9447</v>
      </c>
      <c r="B16942" s="1478">
        <v>45139</v>
      </c>
      <c r="C16942" s="1497">
        <v>100</v>
      </c>
      <c r="D16942" s="1500">
        <v>120.0478</v>
      </c>
      <c r="E16942" s="1498">
        <f t="shared" si="238"/>
        <v>0.20047799999999993</v>
      </c>
      <c r="F16942" s="1845"/>
      <c r="G16942" s="78"/>
    </row>
    <row r="16943" spans="1:11" ht="12.75" hidden="1" customHeight="1" outlineLevel="1" x14ac:dyDescent="0.25">
      <c r="A16943" s="221" t="s">
        <v>9448</v>
      </c>
      <c r="B16943" s="1478">
        <v>45170</v>
      </c>
      <c r="C16943" s="1497">
        <v>100</v>
      </c>
      <c r="D16943" s="1500">
        <v>121.90430000000001</v>
      </c>
      <c r="E16943" s="1498">
        <f t="shared" si="238"/>
        <v>0.2190430000000001</v>
      </c>
      <c r="F16943" s="1845"/>
      <c r="G16943" s="78"/>
    </row>
    <row r="16944" spans="1:11" ht="12.75" hidden="1" customHeight="1" outlineLevel="1" x14ac:dyDescent="0.25">
      <c r="A16944" s="221" t="s">
        <v>9449</v>
      </c>
      <c r="B16944" s="1478">
        <v>45200</v>
      </c>
      <c r="C16944" s="1497">
        <v>100</v>
      </c>
      <c r="D16944" s="1500">
        <v>116.8023</v>
      </c>
      <c r="E16944" s="1498">
        <f t="shared" si="238"/>
        <v>0.16802300000000003</v>
      </c>
      <c r="F16944" s="1845"/>
      <c r="G16944" s="78"/>
    </row>
    <row r="16945" spans="1:11" ht="12.75" hidden="1" customHeight="1" outlineLevel="1" x14ac:dyDescent="0.25">
      <c r="A16945" s="221" t="s">
        <v>9450</v>
      </c>
      <c r="B16945" s="1478">
        <v>45231</v>
      </c>
      <c r="C16945" s="1497">
        <v>100</v>
      </c>
      <c r="D16945" s="1500">
        <v>121.7146</v>
      </c>
      <c r="E16945" s="1498">
        <f t="shared" si="238"/>
        <v>0.21714600000000006</v>
      </c>
      <c r="F16945" s="1845"/>
      <c r="G16945" s="78"/>
    </row>
    <row r="16946" spans="1:11" ht="12.75" hidden="1" customHeight="1" outlineLevel="1" x14ac:dyDescent="0.25">
      <c r="A16946" s="221" t="s">
        <v>9451</v>
      </c>
      <c r="B16946" s="1478">
        <v>45261</v>
      </c>
      <c r="C16946" s="1497">
        <v>100</v>
      </c>
      <c r="D16946" s="1500">
        <v>124.1052</v>
      </c>
      <c r="E16946" s="1498">
        <f t="shared" si="238"/>
        <v>0.24105200000000004</v>
      </c>
      <c r="F16946" s="1845"/>
      <c r="G16946" s="78"/>
    </row>
    <row r="16947" spans="1:11" ht="12.75" hidden="1" customHeight="1" outlineLevel="1" x14ac:dyDescent="0.25">
      <c r="A16947" s="221" t="s">
        <v>9452</v>
      </c>
      <c r="B16947" s="1478">
        <v>45292</v>
      </c>
      <c r="C16947" s="1497">
        <v>100</v>
      </c>
      <c r="D16947" s="1500">
        <v>124.1283</v>
      </c>
      <c r="E16947" s="1498">
        <f t="shared" si="238"/>
        <v>0.24128299999999991</v>
      </c>
      <c r="F16947" s="1845"/>
      <c r="G16947" s="78"/>
    </row>
    <row r="16948" spans="1:11" ht="12.75" hidden="1" customHeight="1" outlineLevel="1" x14ac:dyDescent="0.25">
      <c r="A16948" s="221" t="s">
        <v>9453</v>
      </c>
      <c r="B16948" s="1478">
        <v>45323</v>
      </c>
      <c r="C16948" s="1497">
        <v>100</v>
      </c>
      <c r="D16948" s="1500">
        <v>124.1769</v>
      </c>
      <c r="E16948" s="1498">
        <f t="shared" si="238"/>
        <v>0.24176900000000012</v>
      </c>
      <c r="F16948" s="1845"/>
      <c r="G16948" s="78"/>
    </row>
    <row r="16949" spans="1:11" ht="12.75" hidden="1" customHeight="1" outlineLevel="1" x14ac:dyDescent="0.25">
      <c r="A16949" s="221" t="s">
        <v>9454</v>
      </c>
      <c r="B16949" s="1478">
        <v>45352</v>
      </c>
      <c r="C16949" s="1497">
        <v>100</v>
      </c>
      <c r="D16949" s="1500">
        <v>129.97970000000001</v>
      </c>
      <c r="E16949" s="1498">
        <f t="shared" si="238"/>
        <v>0.29979700000000009</v>
      </c>
      <c r="F16949" s="1845"/>
      <c r="G16949" s="78"/>
    </row>
    <row r="16950" spans="1:11" ht="12.75" hidden="1" customHeight="1" outlineLevel="1" x14ac:dyDescent="0.25">
      <c r="A16950" s="221" t="s">
        <v>9455</v>
      </c>
      <c r="B16950" s="1478">
        <v>45383</v>
      </c>
      <c r="C16950" s="1497">
        <v>100</v>
      </c>
      <c r="D16950" s="1500"/>
      <c r="E16950" s="1498">
        <f t="shared" si="238"/>
        <v>0.29979681432094368</v>
      </c>
      <c r="F16950" s="1845"/>
      <c r="G16950" s="78"/>
    </row>
    <row r="16951" spans="1:11" ht="12.75" hidden="1" customHeight="1" outlineLevel="1" x14ac:dyDescent="0.25">
      <c r="A16951" s="221" t="s">
        <v>9456</v>
      </c>
      <c r="B16951" s="1478">
        <v>45413</v>
      </c>
      <c r="C16951" s="1497">
        <v>100</v>
      </c>
      <c r="D16951" s="1500"/>
      <c r="E16951" s="1498">
        <f t="shared" si="238"/>
        <v>0.29979681432094368</v>
      </c>
      <c r="F16951" s="1845"/>
      <c r="G16951" s="78"/>
    </row>
    <row r="16952" spans="1:11" ht="12.75" hidden="1" customHeight="1" outlineLevel="1" x14ac:dyDescent="0.25">
      <c r="A16952" s="221" t="s">
        <v>9457</v>
      </c>
      <c r="B16952" s="1478">
        <v>45444</v>
      </c>
      <c r="C16952" s="1497">
        <v>100</v>
      </c>
      <c r="D16952" s="1500"/>
      <c r="E16952" s="1498">
        <f t="shared" si="238"/>
        <v>0.29979681432094368</v>
      </c>
      <c r="F16952" s="1845"/>
      <c r="G16952" s="78"/>
    </row>
    <row r="16953" spans="1:11" ht="12.75" hidden="1" customHeight="1" outlineLevel="1" x14ac:dyDescent="0.25">
      <c r="A16953" s="1483" t="s">
        <v>2734</v>
      </c>
      <c r="B16953" s="1484"/>
      <c r="C16953" s="1500"/>
      <c r="D16953" s="1485" t="s">
        <v>2465</v>
      </c>
      <c r="E16953" s="1486">
        <f>AVERAGE(E16935:E16952)</f>
        <v>0.23210958016460179</v>
      </c>
      <c r="F16953" s="1844">
        <f>E16953</f>
        <v>0.23210958016460179</v>
      </c>
      <c r="G16953" s="78"/>
    </row>
    <row r="16954" spans="1:11" collapsed="1" x14ac:dyDescent="0.25">
      <c r="A16954" s="3799" t="s">
        <v>9322</v>
      </c>
      <c r="B16954" s="3800"/>
      <c r="C16954" s="3800"/>
      <c r="D16954" s="3800"/>
      <c r="E16954" s="18"/>
      <c r="F16954" s="186">
        <f>IF(F16953&lt;-10%,-10%,IF(F16953&lt;0,F16953,MIN(F16953,50%)))</f>
        <v>0.23210958016460179</v>
      </c>
      <c r="G16954" s="78"/>
    </row>
    <row r="16956" spans="1:11" ht="12.75" hidden="1" customHeight="1" outlineLevel="1" x14ac:dyDescent="0.25">
      <c r="A16956" s="15" t="s">
        <v>113</v>
      </c>
      <c r="B16956" s="15" t="s">
        <v>114</v>
      </c>
      <c r="C16956" s="15" t="s">
        <v>112</v>
      </c>
      <c r="D16956" s="15" t="s">
        <v>116</v>
      </c>
      <c r="E16956" s="15" t="s">
        <v>117</v>
      </c>
      <c r="F16956" s="1882" t="s">
        <v>121</v>
      </c>
      <c r="G16956" s="78"/>
    </row>
    <row r="16957" spans="1:11" ht="12.75" hidden="1" customHeight="1" outlineLevel="1" x14ac:dyDescent="0.25">
      <c r="A16957" s="4">
        <v>1</v>
      </c>
      <c r="B16957" s="5" t="s">
        <v>252</v>
      </c>
      <c r="C16957" s="6">
        <v>100</v>
      </c>
      <c r="D16957" s="6"/>
      <c r="E16957" s="9"/>
      <c r="F16957" s="10"/>
      <c r="G16957" s="78"/>
    </row>
    <row r="16958" spans="1:11" ht="12.75" hidden="1" customHeight="1" outlineLevel="1" x14ac:dyDescent="0.25">
      <c r="A16958" s="21" t="s">
        <v>2734</v>
      </c>
      <c r="B16958" s="21"/>
      <c r="C16958" s="11"/>
      <c r="D16958" s="32" t="s">
        <v>3702</v>
      </c>
      <c r="E16958" s="33">
        <f>indexy!$B$2</f>
        <v>45379</v>
      </c>
      <c r="F16958" s="38"/>
      <c r="G16958" s="78"/>
    </row>
    <row r="16959" spans="1:11" ht="12.75" hidden="1" customHeight="1" outlineLevel="1" x14ac:dyDescent="0.25">
      <c r="A16959" s="22" t="s">
        <v>4156</v>
      </c>
      <c r="B16959" s="22" t="s">
        <v>4153</v>
      </c>
      <c r="C16959" s="98" t="s">
        <v>112</v>
      </c>
      <c r="D16959" s="131" t="s">
        <v>4155</v>
      </c>
      <c r="E16959" s="24" t="s">
        <v>4154</v>
      </c>
      <c r="F16959" s="189" t="s">
        <v>2519</v>
      </c>
      <c r="G16959" s="78"/>
    </row>
    <row r="16960" spans="1:11" ht="12.75" hidden="1" customHeight="1" outlineLevel="1" x14ac:dyDescent="0.25">
      <c r="A16960" s="134">
        <v>0.03</v>
      </c>
      <c r="B16960" s="211" t="s">
        <v>2917</v>
      </c>
      <c r="C16960" s="472">
        <v>209.27</v>
      </c>
      <c r="D16960" s="1488">
        <f>VLOOKUP($H16960,indexy!$C$44:$D$823,2,FALSE)</f>
        <v>207</v>
      </c>
      <c r="E16960" s="1491">
        <f>$D16960/$C16960-1</f>
        <v>-1.0847230850097977E-2</v>
      </c>
      <c r="F16960" s="1805">
        <f>$E16960*$A16960</f>
        <v>-3.2541692550293929E-4</v>
      </c>
      <c r="G16960" s="78"/>
      <c r="H16960" t="str">
        <f>VLOOKUP(B16960,indexy!$A$44:$D$823,3,FALSE)</f>
        <v>ADS GY Equity</v>
      </c>
      <c r="K16960" s="434"/>
    </row>
    <row r="16961" spans="1:11" ht="12.75" hidden="1" customHeight="1" outlineLevel="1" x14ac:dyDescent="0.25">
      <c r="A16961" s="135">
        <v>0.05</v>
      </c>
      <c r="B16961" s="211" t="s">
        <v>3320</v>
      </c>
      <c r="C16961" s="472">
        <v>76.930999999999997</v>
      </c>
      <c r="D16961" s="1489">
        <f>VLOOKUP(H16961,indexy!$C$44:$D$823,2,FALSE)</f>
        <v>56.46</v>
      </c>
      <c r="E16961" s="1493">
        <f t="shared" ref="E16961:E16989" si="239">$D16961/$C16961-1</f>
        <v>-0.26609559215400813</v>
      </c>
      <c r="F16961" s="1313">
        <f t="shared" ref="F16961:F16988" si="240">$E16961*$A16961</f>
        <v>-1.3304779607700407E-2</v>
      </c>
      <c r="G16961" s="78"/>
      <c r="H16961" t="str">
        <f>VLOOKUP(B16961,indexy!$A$44:$D$823,3,FALSE)</f>
        <v>ABI BB Equity</v>
      </c>
      <c r="K16961" s="434"/>
    </row>
    <row r="16962" spans="1:11" ht="12.75" hidden="1" customHeight="1" outlineLevel="1" x14ac:dyDescent="0.25">
      <c r="A16962" s="135">
        <v>0.02</v>
      </c>
      <c r="B16962" s="211" t="s">
        <v>8301</v>
      </c>
      <c r="C16962" s="472">
        <v>4.3601000000000001</v>
      </c>
      <c r="D16962" s="1489">
        <f>VLOOKUP(H16962,indexy!$C$44:$D$823,2,FALSE)</f>
        <v>4.5214999999999996</v>
      </c>
      <c r="E16962" s="1493">
        <f t="shared" si="239"/>
        <v>3.7017499598632986E-2</v>
      </c>
      <c r="F16962" s="1313">
        <f t="shared" si="240"/>
        <v>7.4034999197265978E-4</v>
      </c>
      <c r="G16962" s="78"/>
      <c r="H16962" t="str">
        <f>VLOOKUP(B16962,indexy!$A$44:$D$823,3,FALSE)</f>
        <v>SAN SQ Equity</v>
      </c>
      <c r="K16962" s="434"/>
    </row>
    <row r="16963" spans="1:11" ht="12.75" hidden="1" customHeight="1" outlineLevel="1" x14ac:dyDescent="0.25">
      <c r="A16963" s="135">
        <v>0.02</v>
      </c>
      <c r="B16963" s="211" t="s">
        <v>873</v>
      </c>
      <c r="C16963" s="472">
        <v>1.7315</v>
      </c>
      <c r="D16963" s="1489">
        <f>VLOOKUP(H16963,indexy!$C$44:$D$823,2,FALSE)/100</f>
        <v>1.8319999999999999</v>
      </c>
      <c r="E16963" s="1493">
        <f t="shared" si="239"/>
        <v>5.8042159976898544E-2</v>
      </c>
      <c r="F16963" s="1313">
        <f t="shared" si="240"/>
        <v>1.1608431995379709E-3</v>
      </c>
      <c r="G16963" s="78"/>
      <c r="H16963" t="str">
        <f>VLOOKUP(B16963,indexy!$A$44:$D$823,3,FALSE)</f>
        <v>BARC LN Equity</v>
      </c>
      <c r="K16963" s="434"/>
    </row>
    <row r="16964" spans="1:11" ht="12.75" hidden="1" customHeight="1" outlineLevel="1" x14ac:dyDescent="0.25">
      <c r="A16964" s="135">
        <v>0.02</v>
      </c>
      <c r="B16964" s="211" t="s">
        <v>7835</v>
      </c>
      <c r="C16964" s="472">
        <v>72.762</v>
      </c>
      <c r="D16964" s="1489">
        <f>VLOOKUP(H16964,indexy!$C$44:$D$823,2,FALSE)</f>
        <v>28.43</v>
      </c>
      <c r="E16964" s="1493">
        <f t="shared" si="239"/>
        <v>-0.60927407163079628</v>
      </c>
      <c r="F16964" s="1313">
        <f t="shared" si="240"/>
        <v>-1.2185481432615925E-2</v>
      </c>
      <c r="G16964" s="78"/>
      <c r="H16964" t="str">
        <f>VLOOKUP(B16964,indexy!$A$44:$D$823,3,FALSE)</f>
        <v>BAYN GY Equity</v>
      </c>
      <c r="K16964" s="434"/>
    </row>
    <row r="16965" spans="1:11" ht="12.75" hidden="1" customHeight="1" outlineLevel="1" x14ac:dyDescent="0.25">
      <c r="A16965" s="135">
        <v>0.04</v>
      </c>
      <c r="B16965" s="211" t="s">
        <v>3019</v>
      </c>
      <c r="C16965" s="472">
        <v>52.018999999999998</v>
      </c>
      <c r="D16965" s="1489">
        <f>VLOOKUP(H16965,indexy!$C$44:$D$823,2,FALSE)</f>
        <v>65.86</v>
      </c>
      <c r="E16965" s="1493">
        <f t="shared" si="239"/>
        <v>0.26607585689844093</v>
      </c>
      <c r="F16965" s="1313">
        <f t="shared" si="240"/>
        <v>1.0643034275937638E-2</v>
      </c>
      <c r="G16965" s="78"/>
      <c r="H16965" t="str">
        <f>VLOOKUP(B16965,indexy!$A$44:$D$823,3,FALSE)</f>
        <v>BNP FP Equity</v>
      </c>
      <c r="K16965" s="434"/>
    </row>
    <row r="16966" spans="1:11" ht="12.75" hidden="1" customHeight="1" outlineLevel="1" x14ac:dyDescent="0.25">
      <c r="A16966" s="135">
        <v>0.06</v>
      </c>
      <c r="B16966" s="211" t="s">
        <v>951</v>
      </c>
      <c r="C16966" s="472">
        <v>3480.9</v>
      </c>
      <c r="D16966" s="1489">
        <f>VLOOKUP(H16966,indexy!$C$44:$D$823,2,FALSE)</f>
        <v>4501</v>
      </c>
      <c r="E16966" s="1493">
        <f t="shared" si="239"/>
        <v>0.29305639346146117</v>
      </c>
      <c r="F16966" s="1313">
        <f t="shared" si="240"/>
        <v>1.7583383607687669E-2</v>
      </c>
      <c r="G16966" s="78"/>
      <c r="H16966" t="str">
        <f>VLOOKUP(B16966,indexy!$A$44:$D$823,3,FALSE)</f>
        <v>7751 JT Equity</v>
      </c>
      <c r="K16966" s="434"/>
    </row>
    <row r="16967" spans="1:11" ht="12.75" hidden="1" customHeight="1" outlineLevel="1" x14ac:dyDescent="0.25">
      <c r="A16967" s="135">
        <v>0.04</v>
      </c>
      <c r="B16967" s="211" t="s">
        <v>3405</v>
      </c>
      <c r="C16967" s="472">
        <v>16.375</v>
      </c>
      <c r="D16967" s="1489">
        <f>VLOOKUP(H16967,indexy!$C$44:$D$823,2,FALSE)</f>
        <v>15.875</v>
      </c>
      <c r="E16967" s="1493">
        <f t="shared" si="239"/>
        <v>-3.0534351145038219E-2</v>
      </c>
      <c r="F16967" s="1313">
        <f t="shared" si="240"/>
        <v>-1.2213740458015287E-3</v>
      </c>
      <c r="G16967" s="78"/>
      <c r="H16967" t="str">
        <f>VLOOKUP(B16967,indexy!$A$44:$D$823,3,FALSE)</f>
        <v>CA FP Equity</v>
      </c>
      <c r="K16967" s="434"/>
    </row>
    <row r="16968" spans="1:11" ht="12.75" hidden="1" customHeight="1" outlineLevel="1" x14ac:dyDescent="0.25">
      <c r="A16968" s="135">
        <v>0.08</v>
      </c>
      <c r="B16968" s="211" t="s">
        <v>10672</v>
      </c>
      <c r="C16968" s="472">
        <v>46.316353770199221</v>
      </c>
      <c r="D16968" s="1489">
        <f>VLOOKUP(H16968,indexy!$C$44:$D$823,2,FALSE)</f>
        <v>73.81</v>
      </c>
      <c r="E16968" s="1493">
        <f t="shared" si="239"/>
        <v>0.59360558402787511</v>
      </c>
      <c r="F16968" s="1313">
        <f t="shared" si="240"/>
        <v>4.7488446722230009E-2</v>
      </c>
      <c r="G16968" s="78"/>
      <c r="H16968" t="str">
        <f>VLOOKUP(B16968,indexy!$A$44:$D$823,3,FALSE)</f>
        <v>MBG GY Equity</v>
      </c>
      <c r="K16968" s="434"/>
    </row>
    <row r="16969" spans="1:11" ht="12.75" hidden="1" customHeight="1" outlineLevel="1" x14ac:dyDescent="0.25">
      <c r="A16969" s="135">
        <v>0.06</v>
      </c>
      <c r="B16969" s="211" t="s">
        <v>8526</v>
      </c>
      <c r="C16969" s="472">
        <v>171.19499999999999</v>
      </c>
      <c r="D16969" s="1489">
        <f>VLOOKUP(H16969,indexy!$C$44:$D$823,2,FALSE)</f>
        <v>206.6</v>
      </c>
      <c r="E16969" s="1493">
        <f t="shared" si="239"/>
        <v>0.20681094658138388</v>
      </c>
      <c r="F16969" s="1313">
        <f t="shared" si="240"/>
        <v>1.2408656794883033E-2</v>
      </c>
      <c r="G16969" s="78"/>
      <c r="H16969" t="str">
        <f>VLOOKUP(B16969,indexy!$A$44:$D$823,3,FALSE)</f>
        <v>DANSKE DC Equity</v>
      </c>
      <c r="K16969" s="434"/>
    </row>
    <row r="16970" spans="1:11" ht="12.75" hidden="1" customHeight="1" outlineLevel="1" x14ac:dyDescent="0.25">
      <c r="A16970" s="135">
        <v>0.02</v>
      </c>
      <c r="B16970" s="211" t="s">
        <v>3406</v>
      </c>
      <c r="C16970" s="472">
        <v>26.6265</v>
      </c>
      <c r="D16970" s="1489">
        <f>VLOOKUP(H16970,indexy!$C$44:$D$823,2,FALSE)/100</f>
        <v>29.254999999999999</v>
      </c>
      <c r="E16970" s="1493">
        <f t="shared" si="239"/>
        <v>9.8717443148742756E-2</v>
      </c>
      <c r="F16970" s="1313">
        <f t="shared" si="240"/>
        <v>1.9743488629748551E-3</v>
      </c>
      <c r="G16970" s="78"/>
      <c r="H16970" t="str">
        <f>VLOOKUP(B16970,indexy!$A$44:$D$823,3,FALSE)</f>
        <v>DGE LN Equity</v>
      </c>
      <c r="K16970" s="434"/>
    </row>
    <row r="16971" spans="1:11" ht="12.75" hidden="1" customHeight="1" outlineLevel="1" x14ac:dyDescent="0.25">
      <c r="A16971" s="135">
        <v>0.02</v>
      </c>
      <c r="B16971" s="211" t="s">
        <v>5943</v>
      </c>
      <c r="C16971" s="472">
        <v>9.5419999999999998</v>
      </c>
      <c r="D16971" s="1489">
        <f>VLOOKUP(H16971,indexy!$C$44:$D$823,2,FALSE)</f>
        <v>13.28</v>
      </c>
      <c r="E16971" s="1493">
        <f t="shared" si="239"/>
        <v>0.39174177321316273</v>
      </c>
      <c r="F16971" s="1313">
        <f t="shared" si="240"/>
        <v>7.8348354642632546E-3</v>
      </c>
      <c r="G16971" s="78"/>
      <c r="H16971" t="str">
        <f>VLOOKUP(B16971,indexy!$A$44:$D$823,3,FALSE)</f>
        <v>F UN Equity</v>
      </c>
      <c r="K16971" s="434"/>
    </row>
    <row r="16972" spans="1:11" ht="12.75" hidden="1" customHeight="1" outlineLevel="1" x14ac:dyDescent="0.25">
      <c r="A16972" s="135">
        <v>0.02</v>
      </c>
      <c r="B16972" s="211" t="s">
        <v>3319</v>
      </c>
      <c r="C16972" s="490">
        <v>82.09</v>
      </c>
      <c r="D16972" s="1489">
        <f>VLOOKUP(H16972,indexy!$C$44:$D$823,2,FALSE)</f>
        <v>89.34</v>
      </c>
      <c r="E16972" s="1493">
        <f t="shared" si="239"/>
        <v>8.8317700085272177E-2</v>
      </c>
      <c r="F16972" s="1313">
        <f t="shared" si="240"/>
        <v>1.7663540017054437E-3</v>
      </c>
      <c r="G16972" s="78"/>
      <c r="H16972" t="str">
        <f>VLOOKUP(B16972,indexy!$A$44:$D$823,3,FALSE)</f>
        <v>HEIA NA Equity</v>
      </c>
      <c r="K16972" s="434"/>
    </row>
    <row r="16973" spans="1:11" ht="12.75" hidden="1" customHeight="1" outlineLevel="1" x14ac:dyDescent="0.25">
      <c r="A16973" s="135">
        <v>0.02</v>
      </c>
      <c r="B16973" s="211" t="s">
        <v>7497</v>
      </c>
      <c r="C16973" s="472">
        <f>3293.7/3</f>
        <v>1097.8999999999999</v>
      </c>
      <c r="D16973" s="1489">
        <f>VLOOKUP(H16973,indexy!$C$44:$D$823,2,FALSE)</f>
        <v>1863.5</v>
      </c>
      <c r="E16973" s="1493">
        <f t="shared" si="239"/>
        <v>0.69733126878586416</v>
      </c>
      <c r="F16973" s="1313">
        <f t="shared" si="240"/>
        <v>1.3946625375717283E-2</v>
      </c>
      <c r="G16973" s="78"/>
      <c r="H16973" t="str">
        <f>VLOOKUP(B16973,indexy!$A$44:$D$823,3,FALSE)</f>
        <v>7267 JT Equity</v>
      </c>
      <c r="K16973" s="434"/>
    </row>
    <row r="16974" spans="1:11" ht="12.75" hidden="1" customHeight="1" outlineLevel="1" x14ac:dyDescent="0.25">
      <c r="A16974" s="135">
        <v>0.03</v>
      </c>
      <c r="B16974" s="211" t="s">
        <v>2588</v>
      </c>
      <c r="C16974" s="472">
        <v>10.856628337124397</v>
      </c>
      <c r="D16974" s="1489">
        <f>VLOOKUP(H16974,indexy!$C$44:$D$823,2,FALSE)</f>
        <v>15.246</v>
      </c>
      <c r="E16974" s="1493">
        <f t="shared" si="239"/>
        <v>0.4043033920454</v>
      </c>
      <c r="F16974" s="1313">
        <f t="shared" si="240"/>
        <v>1.2129101761361999E-2</v>
      </c>
      <c r="G16974" s="78"/>
      <c r="H16974" t="str">
        <f>VLOOKUP(B16974,indexy!$A$44:$D$823,3,FALSE)</f>
        <v>INGA NA Equity</v>
      </c>
      <c r="K16974" s="434"/>
    </row>
    <row r="16975" spans="1:11" ht="12.75" hidden="1" customHeight="1" outlineLevel="1" x14ac:dyDescent="0.25">
      <c r="A16975" s="135">
        <v>0.08</v>
      </c>
      <c r="B16975" s="211" t="s">
        <v>3797</v>
      </c>
      <c r="C16975" s="472">
        <v>80.778000000000006</v>
      </c>
      <c r="D16975" s="1489">
        <f>VLOOKUP(H16975,indexy!$C$44:$D$823,2,FALSE)</f>
        <v>95.75</v>
      </c>
      <c r="E16975" s="1493">
        <f t="shared" si="239"/>
        <v>0.185347495605239</v>
      </c>
      <c r="F16975" s="1313">
        <f t="shared" si="240"/>
        <v>1.482779964841912E-2</v>
      </c>
      <c r="G16975" s="78"/>
      <c r="H16975" t="str">
        <f>VLOOKUP(B16975,indexy!$A$44:$D$823,3,FALSE)</f>
        <v>NESN SE Equity</v>
      </c>
      <c r="K16975" s="434"/>
    </row>
    <row r="16976" spans="1:11" ht="12.75" hidden="1" customHeight="1" outlineLevel="1" x14ac:dyDescent="0.25">
      <c r="A16976" s="135">
        <v>0.08</v>
      </c>
      <c r="B16976" s="211" t="s">
        <v>459</v>
      </c>
      <c r="C16976" s="472">
        <v>1065.1500000000001</v>
      </c>
      <c r="D16976" s="1489">
        <f>VLOOKUP(H16976,indexy!$C$44:$D$823,2,FALSE)</f>
        <v>597.20000000000005</v>
      </c>
      <c r="E16976" s="1493">
        <f t="shared" si="239"/>
        <v>-0.43932779420738866</v>
      </c>
      <c r="F16976" s="1313">
        <f t="shared" si="240"/>
        <v>-3.5146223536591095E-2</v>
      </c>
      <c r="G16976" s="78"/>
      <c r="H16976" t="str">
        <f>VLOOKUP(B16976,indexy!$A$44:$D$823,3,FALSE)</f>
        <v>7201 JT Equity</v>
      </c>
      <c r="K16976" s="434"/>
    </row>
    <row r="16977" spans="1:11" ht="12.75" hidden="1" customHeight="1" outlineLevel="1" x14ac:dyDescent="0.25">
      <c r="A16977" s="135">
        <v>0.02</v>
      </c>
      <c r="B16977" s="211" t="s">
        <v>4293</v>
      </c>
      <c r="C16977" s="472">
        <f>306.08/2</f>
        <v>153.04</v>
      </c>
      <c r="D16977" s="1489">
        <f>VLOOKUP(H16977,indexy!$C$44:$D$823,2,FALSE)</f>
        <v>881.3</v>
      </c>
      <c r="E16977" s="1493">
        <f t="shared" si="239"/>
        <v>4.7586251960271824</v>
      </c>
      <c r="F16977" s="1313">
        <f t="shared" si="240"/>
        <v>9.5172503920543647E-2</v>
      </c>
      <c r="G16977" s="78"/>
      <c r="H16977" t="str">
        <f>VLOOKUP(B16977,indexy!$A$44:$D$823,3,FALSE)</f>
        <v>NOVOB DC Equity</v>
      </c>
      <c r="K16977" s="434"/>
    </row>
    <row r="16978" spans="1:11" ht="12.75" hidden="1" customHeight="1" outlineLevel="1" x14ac:dyDescent="0.25">
      <c r="A16978" s="135">
        <v>0.02</v>
      </c>
      <c r="B16978" s="211" t="s">
        <v>7524</v>
      </c>
      <c r="C16978" s="472">
        <v>1308.1500000000001</v>
      </c>
      <c r="D16978" s="1489">
        <f>VLOOKUP(H16978,indexy!$C$44:$D$823,2,FALSE)</f>
        <v>1438.5</v>
      </c>
      <c r="E16978" s="1493">
        <f t="shared" si="239"/>
        <v>9.9644536177043941E-2</v>
      </c>
      <c r="F16978" s="1313">
        <f t="shared" si="240"/>
        <v>1.9928907235408789E-3</v>
      </c>
      <c r="G16978" s="78"/>
      <c r="H16978" t="str">
        <f>VLOOKUP(B16978,indexy!$A$44:$D$823,3,FALSE)</f>
        <v>6752 JT Equity</v>
      </c>
      <c r="K16978" s="434"/>
    </row>
    <row r="16979" spans="1:11" ht="12.75" hidden="1" customHeight="1" outlineLevel="1" x14ac:dyDescent="0.25">
      <c r="A16979" s="135">
        <v>0.02</v>
      </c>
      <c r="B16979" s="211" t="s">
        <v>1204</v>
      </c>
      <c r="C16979" s="472">
        <v>114.35899999999999</v>
      </c>
      <c r="D16979" s="1489">
        <f>VLOOKUP(H16979,indexy!$C$44:$D$823,2,FALSE)</f>
        <v>175.01</v>
      </c>
      <c r="E16979" s="1493">
        <f t="shared" si="239"/>
        <v>0.53035615911296885</v>
      </c>
      <c r="F16979" s="1313">
        <f t="shared" si="240"/>
        <v>1.0607123182259377E-2</v>
      </c>
      <c r="G16979" s="78"/>
      <c r="H16979" t="str">
        <f>VLOOKUP(B16979,indexy!$A$44:$D$823,3,FALSE)</f>
        <v>PEP UW Equity</v>
      </c>
      <c r="K16979" s="434"/>
    </row>
    <row r="16980" spans="1:11" ht="12.75" hidden="1" customHeight="1" outlineLevel="1" x14ac:dyDescent="0.25">
      <c r="A16980" s="135">
        <v>0.02</v>
      </c>
      <c r="B16980" s="211" t="s">
        <v>3023</v>
      </c>
      <c r="C16980" s="472">
        <v>83.799000000000007</v>
      </c>
      <c r="D16980" s="1489">
        <f>VLOOKUP(H16980,indexy!$C$44:$D$823,2,FALSE)</f>
        <v>162.25</v>
      </c>
      <c r="E16980" s="1493">
        <f t="shared" si="239"/>
        <v>0.93618062268046143</v>
      </c>
      <c r="F16980" s="1313">
        <f t="shared" si="240"/>
        <v>1.8723612453609231E-2</v>
      </c>
      <c r="G16980" s="78"/>
      <c r="H16980" t="str">
        <f>VLOOKUP(B16980,indexy!$A$44:$D$823,3,FALSE)</f>
        <v>PG UN Equity</v>
      </c>
      <c r="K16980" s="434"/>
    </row>
    <row r="16981" spans="1:11" ht="12.75" hidden="1" customHeight="1" outlineLevel="1" x14ac:dyDescent="0.25">
      <c r="A16981" s="135">
        <v>0.02</v>
      </c>
      <c r="B16981" s="211" t="s">
        <v>9458</v>
      </c>
      <c r="C16981" s="472">
        <v>834.52</v>
      </c>
      <c r="D16981" s="1489">
        <f>VLOOKUP(H16981,indexy!$C$44:$D$823,2,FALSE)</f>
        <v>856</v>
      </c>
      <c r="E16981" s="1493">
        <f t="shared" si="239"/>
        <v>2.5739347169630555E-2</v>
      </c>
      <c r="F16981" s="1313">
        <f t="shared" si="240"/>
        <v>5.1478694339261114E-4</v>
      </c>
      <c r="G16981" s="78"/>
      <c r="H16981" t="str">
        <f>VLOOKUP(B16981,indexy!$A$44:$D$823,3,FALSE)</f>
        <v>4755 JT Equity</v>
      </c>
      <c r="K16981" s="434"/>
    </row>
    <row r="16982" spans="1:11" ht="12.75" hidden="1" customHeight="1" outlineLevel="1" x14ac:dyDescent="0.25">
      <c r="A16982" s="135">
        <v>0.02</v>
      </c>
      <c r="B16982" s="211" t="s">
        <v>1206</v>
      </c>
      <c r="C16982" s="472">
        <v>102.51439990302548</v>
      </c>
      <c r="D16982" s="1489">
        <f>VLOOKUP(H16982,indexy!$C$44:$D$823,2,FALSE)</f>
        <v>180.46</v>
      </c>
      <c r="E16982" s="1493">
        <f t="shared" si="239"/>
        <v>0.76033806148900007</v>
      </c>
      <c r="F16982" s="1313">
        <f t="shared" si="240"/>
        <v>1.5206761229780002E-2</v>
      </c>
      <c r="G16982" s="78"/>
      <c r="H16982" t="str">
        <f>VLOOKUP(B16982,indexy!$A$44:$D$823,3,FALSE)</f>
        <v>SAP GY Equity</v>
      </c>
      <c r="K16982" s="434"/>
    </row>
    <row r="16983" spans="1:11" ht="12.75" hidden="1" customHeight="1" outlineLevel="1" x14ac:dyDescent="0.25">
      <c r="A16983" s="135">
        <v>0.02</v>
      </c>
      <c r="B16983" s="211" t="s">
        <v>279</v>
      </c>
      <c r="C16983" s="472">
        <v>68.488</v>
      </c>
      <c r="D16983" s="1489">
        <f>VLOOKUP(H16983,indexy!$C$44:$D$823,2,FALSE)</f>
        <v>209.65</v>
      </c>
      <c r="E16983" s="1493">
        <f t="shared" si="239"/>
        <v>2.0611201962387571</v>
      </c>
      <c r="F16983" s="1313">
        <f t="shared" si="240"/>
        <v>4.1222403924775143E-2</v>
      </c>
      <c r="G16983" s="78"/>
      <c r="H16983" t="str">
        <f>VLOOKUP(B16983,indexy!$A$44:$D$823,3,FALSE)</f>
        <v>SU FP Equity</v>
      </c>
      <c r="K16983" s="434"/>
    </row>
    <row r="16984" spans="1:11" ht="12.75" hidden="1" customHeight="1" outlineLevel="1" x14ac:dyDescent="0.25">
      <c r="A16984" s="135">
        <v>0.02</v>
      </c>
      <c r="B16984" s="211" t="s">
        <v>1214</v>
      </c>
      <c r="C16984" s="472">
        <v>99.671269700194642</v>
      </c>
      <c r="D16984" s="1489">
        <f>VLOOKUP(H16984,indexy!$C$44:$D$823,2,FALSE)</f>
        <v>176.96</v>
      </c>
      <c r="E16984" s="1493">
        <f t="shared" si="239"/>
        <v>0.77543639739200021</v>
      </c>
      <c r="F16984" s="1313">
        <f t="shared" si="240"/>
        <v>1.5508727947840004E-2</v>
      </c>
      <c r="G16984" s="78"/>
      <c r="H16984" t="str">
        <f>VLOOKUP(B16984,indexy!$A$44:$D$823,3,FALSE)</f>
        <v>SIE GY Equity</v>
      </c>
      <c r="K16984" s="434"/>
    </row>
    <row r="16985" spans="1:11" ht="12.75" hidden="1" customHeight="1" outlineLevel="1" x14ac:dyDescent="0.25">
      <c r="A16985" s="135">
        <v>0.02</v>
      </c>
      <c r="B16985" s="211" t="s">
        <v>1142</v>
      </c>
      <c r="C16985" s="472">
        <v>46.156999999999996</v>
      </c>
      <c r="D16985" s="1489">
        <f>VLOOKUP(H16985,indexy!$C$44:$D$823,2,FALSE)</f>
        <v>61.18</v>
      </c>
      <c r="E16985" s="1493">
        <f t="shared" si="239"/>
        <v>0.32547609246701481</v>
      </c>
      <c r="F16985" s="1313">
        <f t="shared" si="240"/>
        <v>6.5095218493402968E-3</v>
      </c>
      <c r="G16985" s="78"/>
      <c r="H16985" t="str">
        <f>VLOOKUP(B16985,indexy!$A$44:$D$823,3,FALSE)</f>
        <v>KO UN Equity</v>
      </c>
      <c r="K16985" s="434"/>
    </row>
    <row r="16986" spans="1:11" ht="12.75" hidden="1" customHeight="1" outlineLevel="1" x14ac:dyDescent="0.25">
      <c r="A16986" s="135">
        <v>0.02</v>
      </c>
      <c r="B16986" s="211" t="s">
        <v>2893</v>
      </c>
      <c r="C16986" s="472">
        <v>385.99</v>
      </c>
      <c r="D16986" s="1489">
        <f>VLOOKUP(H16986,indexy!$C$44:$D$823,2,FALSE)</f>
        <v>209.4</v>
      </c>
      <c r="E16986" s="1493">
        <f t="shared" si="239"/>
        <v>-0.45749889893520557</v>
      </c>
      <c r="F16986" s="1313">
        <f t="shared" si="240"/>
        <v>-9.1499779787041109E-3</v>
      </c>
      <c r="G16986" s="78"/>
      <c r="H16986" t="str">
        <f>VLOOKUP(B16986,indexy!$A$44:$D$823,3,FALSE)</f>
        <v>UHR SE Equity</v>
      </c>
      <c r="K16986" s="434"/>
    </row>
    <row r="16987" spans="1:11" ht="12.75" hidden="1" customHeight="1" outlineLevel="1" x14ac:dyDescent="0.25">
      <c r="A16987" s="135">
        <v>0.04</v>
      </c>
      <c r="B16987" s="211" t="s">
        <v>3551</v>
      </c>
      <c r="C16987" s="472">
        <f>6866.6/5</f>
        <v>1373.3200000000002</v>
      </c>
      <c r="D16987" s="1489">
        <f>VLOOKUP(H16987,indexy!$C$44:$D$823,2,FALSE)</f>
        <v>3806</v>
      </c>
      <c r="E16987" s="1493">
        <f t="shared" si="239"/>
        <v>1.7713861299624263</v>
      </c>
      <c r="F16987" s="1313">
        <f t="shared" si="240"/>
        <v>7.0855445198497055E-2</v>
      </c>
      <c r="G16987" s="78"/>
      <c r="H16987" t="str">
        <f>VLOOKUP(B16987,indexy!$A$44:$D$823,3,FALSE)</f>
        <v>7203 JT Equity</v>
      </c>
      <c r="K16987" s="434"/>
    </row>
    <row r="16988" spans="1:11" ht="12.75" hidden="1" customHeight="1" outlineLevel="1" x14ac:dyDescent="0.25">
      <c r="A16988" s="135">
        <v>0.02</v>
      </c>
      <c r="B16988" s="211" t="s">
        <v>9460</v>
      </c>
      <c r="C16988" s="472">
        <v>13.6546</v>
      </c>
      <c r="D16988" s="1489">
        <f>VLOOKUP(H16988,indexy!$C$44:$D$823,2,FALSE)</f>
        <v>35.174999999999997</v>
      </c>
      <c r="E16988" s="1493">
        <f t="shared" si="239"/>
        <v>1.5760549558390577</v>
      </c>
      <c r="F16988" s="1313">
        <f t="shared" si="240"/>
        <v>3.1521099116781158E-2</v>
      </c>
      <c r="G16988" s="78"/>
      <c r="H16988" t="str">
        <f>VLOOKUP(B16988,indexy!$A$44:$D$823,3,FALSE)</f>
        <v>UCG IM Equity</v>
      </c>
      <c r="K16988" s="434"/>
    </row>
    <row r="16989" spans="1:11" ht="12.75" hidden="1" customHeight="1" outlineLevel="1" x14ac:dyDescent="0.25">
      <c r="A16989" s="135">
        <v>0.05</v>
      </c>
      <c r="B16989" s="1465" t="s">
        <v>507</v>
      </c>
      <c r="C16989" s="472">
        <v>48.201500000000003</v>
      </c>
      <c r="D16989" s="1490">
        <f>VLOOKUP(H16989,indexy!$C$44:$D$823,2,FALSE)</f>
        <v>46.52</v>
      </c>
      <c r="E16989" s="1495">
        <f t="shared" si="239"/>
        <v>-3.4884806489424602E-2</v>
      </c>
      <c r="F16989" s="1314">
        <f>$E16989*$A16989</f>
        <v>-1.7442403244712302E-3</v>
      </c>
      <c r="G16989" s="78"/>
      <c r="H16989" t="str">
        <f>VLOOKUP(B16989,indexy!$A$44:$D$823,3,FALSE)</f>
        <v>UNA NA Equity</v>
      </c>
      <c r="K16989" s="434"/>
    </row>
    <row r="16990" spans="1:11" ht="12.75" hidden="1" customHeight="1" outlineLevel="1" x14ac:dyDescent="0.25">
      <c r="A16990" s="1475" t="s">
        <v>2734</v>
      </c>
      <c r="B16990" s="150"/>
      <c r="C16990" s="1476"/>
      <c r="D16990" s="1477"/>
      <c r="E16990" s="512"/>
      <c r="F16990" s="1313">
        <f>SUM(F16960:F16989)</f>
        <v>0.37726116234566315</v>
      </c>
      <c r="G16990" s="78"/>
    </row>
    <row r="16991" spans="1:11" ht="12.75" hidden="1" customHeight="1" outlineLevel="1" x14ac:dyDescent="0.25">
      <c r="A16991" s="1503" t="s">
        <v>9478</v>
      </c>
      <c r="B16991" s="1504">
        <v>44896</v>
      </c>
      <c r="C16991" s="1527">
        <v>100</v>
      </c>
      <c r="D16991" s="1527">
        <v>104.7782</v>
      </c>
      <c r="E16991" s="1528">
        <f>IF(D16991="",F16990,D16991/C16991-1)</f>
        <v>4.7781999999999991E-2</v>
      </c>
      <c r="F16991" s="1839"/>
      <c r="G16991" s="78"/>
    </row>
    <row r="16992" spans="1:11" ht="12.75" hidden="1" customHeight="1" outlineLevel="1" x14ac:dyDescent="0.25">
      <c r="A16992" s="1503" t="s">
        <v>9479</v>
      </c>
      <c r="B16992" s="1504">
        <v>44927</v>
      </c>
      <c r="C16992" s="1527">
        <v>100</v>
      </c>
      <c r="D16992" s="1530">
        <v>112.19289999999999</v>
      </c>
      <c r="E16992" s="1528">
        <f>IF(D16992="",$F$16990,D16992/C16992-1)</f>
        <v>0.12192899999999995</v>
      </c>
      <c r="F16992" s="1839"/>
      <c r="G16992" s="78"/>
    </row>
    <row r="16993" spans="1:7" ht="12.75" hidden="1" customHeight="1" outlineLevel="1" x14ac:dyDescent="0.25">
      <c r="A16993" s="1503" t="s">
        <v>9480</v>
      </c>
      <c r="B16993" s="1504">
        <v>44958</v>
      </c>
      <c r="C16993" s="1527">
        <v>100</v>
      </c>
      <c r="D16993" s="1530">
        <v>115.1198</v>
      </c>
      <c r="E16993" s="1528">
        <f t="shared" ref="E16993:E17008" si="241">IF(D16993="",$F$16990,D16993/C16993-1)</f>
        <v>0.15119799999999994</v>
      </c>
      <c r="F16993" s="1839"/>
      <c r="G16993" s="78"/>
    </row>
    <row r="16994" spans="1:7" ht="12.75" hidden="1" customHeight="1" outlineLevel="1" x14ac:dyDescent="0.25">
      <c r="A16994" s="1503" t="s">
        <v>9463</v>
      </c>
      <c r="B16994" s="1504">
        <v>44986</v>
      </c>
      <c r="C16994" s="1527">
        <v>100</v>
      </c>
      <c r="D16994" s="1530">
        <v>114.1622</v>
      </c>
      <c r="E16994" s="1528">
        <f t="shared" si="241"/>
        <v>0.14162199999999991</v>
      </c>
      <c r="F16994" s="1839"/>
      <c r="G16994" s="78"/>
    </row>
    <row r="16995" spans="1:7" ht="12.75" hidden="1" customHeight="1" outlineLevel="1" x14ac:dyDescent="0.25">
      <c r="A16995" s="1503" t="s">
        <v>9464</v>
      </c>
      <c r="B16995" s="1504">
        <v>45017</v>
      </c>
      <c r="C16995" s="1527">
        <v>100</v>
      </c>
      <c r="D16995" s="1530">
        <v>116.77549999999999</v>
      </c>
      <c r="E16995" s="1528">
        <f t="shared" si="241"/>
        <v>0.16775499999999988</v>
      </c>
      <c r="F16995" s="1839"/>
      <c r="G16995" s="78"/>
    </row>
    <row r="16996" spans="1:7" ht="12.75" hidden="1" customHeight="1" outlineLevel="1" x14ac:dyDescent="0.25">
      <c r="A16996" s="1503" t="s">
        <v>9465</v>
      </c>
      <c r="B16996" s="1504">
        <v>45047</v>
      </c>
      <c r="C16996" s="1527">
        <v>100</v>
      </c>
      <c r="D16996" s="1530">
        <v>113.7272</v>
      </c>
      <c r="E16996" s="1528">
        <f t="shared" si="241"/>
        <v>0.13727200000000006</v>
      </c>
      <c r="F16996" s="1839"/>
      <c r="G16996" s="78"/>
    </row>
    <row r="16997" spans="1:7" ht="12.75" hidden="1" customHeight="1" outlineLevel="1" x14ac:dyDescent="0.25">
      <c r="A16997" s="1503" t="s">
        <v>9466</v>
      </c>
      <c r="B16997" s="1504">
        <v>45078</v>
      </c>
      <c r="C16997" s="1527">
        <v>100</v>
      </c>
      <c r="D16997" s="1530">
        <v>120.7304</v>
      </c>
      <c r="E16997" s="1528">
        <f t="shared" si="241"/>
        <v>0.20730399999999993</v>
      </c>
      <c r="F16997" s="1846"/>
      <c r="G16997" s="78"/>
    </row>
    <row r="16998" spans="1:7" ht="12.75" hidden="1" customHeight="1" outlineLevel="1" x14ac:dyDescent="0.25">
      <c r="A16998" s="1503" t="s">
        <v>9467</v>
      </c>
      <c r="B16998" s="1504">
        <v>45108</v>
      </c>
      <c r="C16998" s="1527">
        <v>100</v>
      </c>
      <c r="D16998" s="1530">
        <v>121.82170000000001</v>
      </c>
      <c r="E16998" s="1528">
        <f t="shared" si="241"/>
        <v>0.21821700000000011</v>
      </c>
      <c r="F16998" s="1846"/>
      <c r="G16998" s="78"/>
    </row>
    <row r="16999" spans="1:7" ht="12.75" hidden="1" customHeight="1" outlineLevel="1" x14ac:dyDescent="0.25">
      <c r="A16999" s="1503" t="s">
        <v>9468</v>
      </c>
      <c r="B16999" s="1504">
        <v>45139</v>
      </c>
      <c r="C16999" s="1527">
        <v>100</v>
      </c>
      <c r="D16999" s="1530">
        <v>120.36579999999999</v>
      </c>
      <c r="E16999" s="1528">
        <f t="shared" si="241"/>
        <v>0.20365799999999989</v>
      </c>
      <c r="F16999" s="1846"/>
      <c r="G16999" s="78"/>
    </row>
    <row r="17000" spans="1:7" ht="12.75" hidden="1" customHeight="1" outlineLevel="1" x14ac:dyDescent="0.25">
      <c r="A17000" s="1503" t="s">
        <v>9469</v>
      </c>
      <c r="B17000" s="1504">
        <v>45170</v>
      </c>
      <c r="C17000" s="1527">
        <v>100</v>
      </c>
      <c r="D17000" s="1530">
        <v>119.6028</v>
      </c>
      <c r="E17000" s="1528">
        <f t="shared" si="241"/>
        <v>0.19602800000000009</v>
      </c>
      <c r="F17000" s="1846"/>
      <c r="G17000" s="78"/>
    </row>
    <row r="17001" spans="1:7" ht="12.75" hidden="1" customHeight="1" outlineLevel="1" x14ac:dyDescent="0.25">
      <c r="A17001" s="1503" t="s">
        <v>9470</v>
      </c>
      <c r="B17001" s="1504">
        <v>45200</v>
      </c>
      <c r="C17001" s="1527">
        <v>100</v>
      </c>
      <c r="D17001" s="1530">
        <v>113.5506</v>
      </c>
      <c r="E17001" s="1528">
        <f t="shared" si="241"/>
        <v>0.13550600000000013</v>
      </c>
      <c r="F17001" s="1846"/>
      <c r="G17001" s="78"/>
    </row>
    <row r="17002" spans="1:7" ht="12.75" hidden="1" customHeight="1" outlineLevel="1" x14ac:dyDescent="0.25">
      <c r="A17002" s="1503" t="s">
        <v>9471</v>
      </c>
      <c r="B17002" s="1504">
        <v>45231</v>
      </c>
      <c r="C17002" s="1527">
        <v>100</v>
      </c>
      <c r="D17002" s="1530">
        <v>119.76390000000001</v>
      </c>
      <c r="E17002" s="1528">
        <f t="shared" si="241"/>
        <v>0.19763900000000012</v>
      </c>
      <c r="F17002" s="1846"/>
      <c r="G17002" s="78"/>
    </row>
    <row r="17003" spans="1:7" ht="12.75" hidden="1" customHeight="1" outlineLevel="1" x14ac:dyDescent="0.25">
      <c r="A17003" s="1503" t="s">
        <v>9472</v>
      </c>
      <c r="B17003" s="1504">
        <v>45261</v>
      </c>
      <c r="C17003" s="1527">
        <v>100</v>
      </c>
      <c r="D17003" s="1530">
        <v>120.52119999999999</v>
      </c>
      <c r="E17003" s="1528">
        <f t="shared" si="241"/>
        <v>0.20521199999999995</v>
      </c>
      <c r="F17003" s="1846"/>
      <c r="G17003" s="78"/>
    </row>
    <row r="17004" spans="1:7" ht="12.75" hidden="1" customHeight="1" outlineLevel="1" x14ac:dyDescent="0.25">
      <c r="A17004" s="1503" t="s">
        <v>9473</v>
      </c>
      <c r="B17004" s="1504">
        <v>45292</v>
      </c>
      <c r="C17004" s="1527">
        <v>100</v>
      </c>
      <c r="D17004" s="1530">
        <v>124.8526</v>
      </c>
      <c r="E17004" s="1528">
        <f t="shared" si="241"/>
        <v>0.24852600000000002</v>
      </c>
      <c r="F17004" s="1846"/>
      <c r="G17004" s="78"/>
    </row>
    <row r="17005" spans="1:7" ht="12.75" hidden="1" customHeight="1" outlineLevel="1" x14ac:dyDescent="0.25">
      <c r="A17005" s="1503" t="s">
        <v>9474</v>
      </c>
      <c r="B17005" s="1504">
        <v>45323</v>
      </c>
      <c r="C17005" s="1527">
        <v>100</v>
      </c>
      <c r="D17005" s="1530">
        <v>131.6814</v>
      </c>
      <c r="E17005" s="1528">
        <f t="shared" si="241"/>
        <v>0.31681399999999993</v>
      </c>
      <c r="F17005" s="1846"/>
      <c r="G17005" s="78"/>
    </row>
    <row r="17006" spans="1:7" ht="12.75" hidden="1" customHeight="1" outlineLevel="1" x14ac:dyDescent="0.25">
      <c r="A17006" s="1503" t="s">
        <v>9475</v>
      </c>
      <c r="B17006" s="1504">
        <v>45352</v>
      </c>
      <c r="C17006" s="1527">
        <v>100</v>
      </c>
      <c r="D17006" s="1530">
        <v>138.02850000000001</v>
      </c>
      <c r="E17006" s="1528">
        <f t="shared" si="241"/>
        <v>0.38028499999999998</v>
      </c>
      <c r="F17006" s="1846"/>
      <c r="G17006" s="78"/>
    </row>
    <row r="17007" spans="1:7" ht="12.75" hidden="1" customHeight="1" outlineLevel="1" x14ac:dyDescent="0.25">
      <c r="A17007" s="1503" t="s">
        <v>9476</v>
      </c>
      <c r="B17007" s="1504">
        <v>45383</v>
      </c>
      <c r="C17007" s="1527">
        <v>100</v>
      </c>
      <c r="D17007" s="1530"/>
      <c r="E17007" s="1528">
        <f t="shared" si="241"/>
        <v>0.37726116234566315</v>
      </c>
      <c r="F17007" s="1846"/>
      <c r="G17007" s="78"/>
    </row>
    <row r="17008" spans="1:7" ht="12.75" hidden="1" customHeight="1" outlineLevel="1" x14ac:dyDescent="0.25">
      <c r="A17008" s="1503" t="s">
        <v>9477</v>
      </c>
      <c r="B17008" s="1504">
        <v>45413</v>
      </c>
      <c r="C17008" s="1527">
        <v>100</v>
      </c>
      <c r="D17008" s="1530"/>
      <c r="E17008" s="1528">
        <f t="shared" si="241"/>
        <v>0.37726116234566315</v>
      </c>
      <c r="F17008" s="1846"/>
      <c r="G17008" s="78"/>
    </row>
    <row r="17009" spans="1:11" ht="12.75" hidden="1" customHeight="1" outlineLevel="1" x14ac:dyDescent="0.25">
      <c r="A17009" s="1531" t="s">
        <v>2734</v>
      </c>
      <c r="B17009" s="1532"/>
      <c r="C17009" s="1530"/>
      <c r="D17009" s="1533" t="s">
        <v>2465</v>
      </c>
      <c r="E17009" s="1534">
        <f>AVERAGE(E16991:E17008)</f>
        <v>0.21284829581618478</v>
      </c>
      <c r="F17009" s="1840">
        <f>E17009</f>
        <v>0.21284829581618478</v>
      </c>
      <c r="G17009" s="78"/>
    </row>
    <row r="17010" spans="1:11" collapsed="1" x14ac:dyDescent="0.25">
      <c r="A17010" s="3799" t="s">
        <v>1400</v>
      </c>
      <c r="B17010" s="3800"/>
      <c r="C17010" s="3800"/>
      <c r="D17010" s="3800"/>
      <c r="E17010" s="18"/>
      <c r="F17010" s="186">
        <f>IF(F17009&lt;-10%,-10%,IF(F17009&lt;0,F17009,MIN(F17009*0.7,50%)))</f>
        <v>0.14899380707132934</v>
      </c>
      <c r="G17010" s="78"/>
    </row>
    <row r="17012" spans="1:11" ht="12.75" hidden="1" customHeight="1" outlineLevel="1" x14ac:dyDescent="0.25">
      <c r="A17012" s="15" t="s">
        <v>113</v>
      </c>
      <c r="B17012" s="15" t="s">
        <v>114</v>
      </c>
      <c r="C17012" s="15" t="s">
        <v>112</v>
      </c>
      <c r="D17012" s="15" t="s">
        <v>116</v>
      </c>
      <c r="E17012" s="15" t="s">
        <v>117</v>
      </c>
      <c r="F17012" s="1882" t="s">
        <v>121</v>
      </c>
      <c r="G17012" s="78"/>
    </row>
    <row r="17013" spans="1:11" ht="12.75" hidden="1" customHeight="1" outlineLevel="1" x14ac:dyDescent="0.25">
      <c r="A17013" s="4">
        <v>1</v>
      </c>
      <c r="B17013" s="5" t="s">
        <v>252</v>
      </c>
      <c r="C17013" s="6">
        <v>100</v>
      </c>
      <c r="D17013" s="6"/>
      <c r="E17013" s="9"/>
      <c r="F17013" s="10"/>
      <c r="G17013" s="78"/>
    </row>
    <row r="17014" spans="1:11" ht="12.75" hidden="1" customHeight="1" outlineLevel="1" x14ac:dyDescent="0.25">
      <c r="A17014" s="21" t="s">
        <v>2734</v>
      </c>
      <c r="B17014" s="21"/>
      <c r="C17014" s="11"/>
      <c r="D17014" s="32" t="s">
        <v>3702</v>
      </c>
      <c r="E17014" s="33">
        <f>indexy!$B$2</f>
        <v>45379</v>
      </c>
      <c r="F17014" s="38"/>
      <c r="G17014" s="78"/>
    </row>
    <row r="17015" spans="1:11" ht="12.75" hidden="1" customHeight="1" outlineLevel="1" x14ac:dyDescent="0.25">
      <c r="A17015" s="22" t="s">
        <v>4156</v>
      </c>
      <c r="B17015" s="22" t="s">
        <v>4153</v>
      </c>
      <c r="C17015" s="98" t="s">
        <v>112</v>
      </c>
      <c r="D17015" s="131" t="s">
        <v>4155</v>
      </c>
      <c r="E17015" s="24" t="s">
        <v>4154</v>
      </c>
      <c r="F17015" s="189" t="s">
        <v>2519</v>
      </c>
      <c r="G17015" s="78"/>
    </row>
    <row r="17016" spans="1:11" ht="12.75" hidden="1" customHeight="1" outlineLevel="1" x14ac:dyDescent="0.25">
      <c r="A17016" s="134">
        <v>0.02</v>
      </c>
      <c r="B17016" s="211" t="s">
        <v>9297</v>
      </c>
      <c r="C17016" s="472">
        <v>23.600999999999999</v>
      </c>
      <c r="D17016" s="1488">
        <f>VLOOKUP($H17016,indexy!$C$44:$D$823,2,FALSE)</f>
        <v>15.85</v>
      </c>
      <c r="E17016" s="1491">
        <f>$D17016/$C17016-1</f>
        <v>-0.328418287360705</v>
      </c>
      <c r="F17016" s="1805">
        <f>$E17016*$A17016</f>
        <v>-6.5683657472141001E-3</v>
      </c>
      <c r="G17016" s="78"/>
      <c r="H17016" t="str">
        <f>VLOOKUP(B17016,indexy!$A$44:$D$823,3,FALSE)</f>
        <v>ABN NA Equity</v>
      </c>
      <c r="K17016" s="434"/>
    </row>
    <row r="17017" spans="1:11" ht="12.75" hidden="1" customHeight="1" outlineLevel="1" x14ac:dyDescent="0.25">
      <c r="A17017" s="135">
        <v>0.03</v>
      </c>
      <c r="B17017" s="211" t="s">
        <v>2697</v>
      </c>
      <c r="C17017" s="472">
        <v>15.228</v>
      </c>
      <c r="D17017" s="1489">
        <f>VLOOKUP(H17017,indexy!$C$44:$D$823,2,FALSE)</f>
        <v>23.46</v>
      </c>
      <c r="E17017" s="1493">
        <f t="shared" ref="E17017:E17045" si="242">$D17017/$C17017-1</f>
        <v>0.54058313632781729</v>
      </c>
      <c r="F17017" s="1313">
        <f t="shared" ref="F17017:F17044" si="243">$E17017*$A17017</f>
        <v>1.6217494089834517E-2</v>
      </c>
      <c r="G17017" s="78"/>
      <c r="H17017" t="str">
        <f>VLOOKUP(B17017,indexy!$A$44:$D$823,3,FALSE)</f>
        <v>G IM Equity</v>
      </c>
      <c r="K17017" s="434"/>
    </row>
    <row r="17018" spans="1:11" ht="12.75" hidden="1" customHeight="1" outlineLevel="1" x14ac:dyDescent="0.25">
      <c r="A17018" s="135">
        <v>0.03</v>
      </c>
      <c r="B17018" s="211" t="s">
        <v>218</v>
      </c>
      <c r="C17018" s="472">
        <v>22.846</v>
      </c>
      <c r="D17018" s="1489">
        <f>VLOOKUP(H17018,indexy!$C$44:$D$823,2,FALSE)</f>
        <v>34.814999999999998</v>
      </c>
      <c r="E17018" s="1493">
        <f t="shared" si="242"/>
        <v>0.52389915083603245</v>
      </c>
      <c r="F17018" s="1313">
        <f t="shared" si="243"/>
        <v>1.5716974525080973E-2</v>
      </c>
      <c r="G17018" s="78"/>
      <c r="H17018" t="str">
        <f>VLOOKUP(B17018,indexy!$A$44:$D$823,3,FALSE)</f>
        <v>CS FP Equity</v>
      </c>
      <c r="K17018" s="434"/>
    </row>
    <row r="17019" spans="1:11" ht="12.75" hidden="1" customHeight="1" outlineLevel="1" x14ac:dyDescent="0.25">
      <c r="A17019" s="135">
        <v>0.02</v>
      </c>
      <c r="B17019" s="211" t="s">
        <v>9299</v>
      </c>
      <c r="C17019" s="472">
        <v>213.45535465991395</v>
      </c>
      <c r="D17019" s="1489">
        <f>VLOOKUP(H17019,indexy!$C$44:$D$823,2,FALSE)</f>
        <v>297.25</v>
      </c>
      <c r="E17019" s="1493">
        <f t="shared" si="242"/>
        <v>0.39256286390000006</v>
      </c>
      <c r="F17019" s="1313">
        <f t="shared" si="243"/>
        <v>7.8512572780000019E-3</v>
      </c>
      <c r="G17019" s="78"/>
      <c r="H17019" t="str">
        <f>VLOOKUP(B17019,indexy!$A$44:$D$823,3,FALSE)</f>
        <v>BOL SS Equity</v>
      </c>
      <c r="K17019" s="434"/>
    </row>
    <row r="17020" spans="1:11" ht="12.75" hidden="1" customHeight="1" outlineLevel="1" x14ac:dyDescent="0.25">
      <c r="A17020" s="135">
        <v>0.02</v>
      </c>
      <c r="B17020" s="211" t="s">
        <v>10672</v>
      </c>
      <c r="C17020" s="472">
        <v>46.534595327050383</v>
      </c>
      <c r="D17020" s="1489">
        <f>VLOOKUP(H17020,indexy!$C$44:$D$823,2,FALSE)</f>
        <v>73.81</v>
      </c>
      <c r="E17020" s="1493">
        <f t="shared" si="242"/>
        <v>0.58613176887550011</v>
      </c>
      <c r="F17020" s="1313">
        <f t="shared" si="243"/>
        <v>1.1722635377510003E-2</v>
      </c>
      <c r="G17020" s="78"/>
      <c r="H17020" t="str">
        <f>VLOOKUP(B17020,indexy!$A$44:$D$823,3,FALSE)</f>
        <v>MBG GY Equity</v>
      </c>
      <c r="K17020" s="434"/>
    </row>
    <row r="17021" spans="1:11" ht="12.75" hidden="1" customHeight="1" outlineLevel="1" x14ac:dyDescent="0.25">
      <c r="A17021" s="135">
        <v>0.08</v>
      </c>
      <c r="B17021" s="211" t="s">
        <v>6267</v>
      </c>
      <c r="C17021" s="472">
        <v>23.777000000000001</v>
      </c>
      <c r="D17021" s="1489">
        <f>VLOOKUP(H17021,indexy!$C$44:$D$823,2,FALSE)</f>
        <v>13.765000000000001</v>
      </c>
      <c r="E17021" s="1493">
        <f t="shared" si="242"/>
        <v>-0.42107919417924888</v>
      </c>
      <c r="F17021" s="1313">
        <f t="shared" si="243"/>
        <v>-3.368633553433991E-2</v>
      </c>
      <c r="G17021" s="78"/>
      <c r="H17021" t="str">
        <f>VLOOKUP(B17021,indexy!$A$44:$D$823,3,FALSE)</f>
        <v>ENG SQ Equity</v>
      </c>
      <c r="K17021" s="434"/>
    </row>
    <row r="17022" spans="1:11" ht="12.75" hidden="1" customHeight="1" outlineLevel="1" x14ac:dyDescent="0.25">
      <c r="A17022" s="135">
        <v>0.04</v>
      </c>
      <c r="B17022" s="211" t="s">
        <v>9171</v>
      </c>
      <c r="C17022" s="472">
        <v>18.703499999999998</v>
      </c>
      <c r="D17022" s="1489">
        <f>VLOOKUP(H17022,indexy!$C$44:$D$823,2,FALSE)</f>
        <v>17.164999999999999</v>
      </c>
      <c r="E17022" s="1493">
        <f t="shared" si="242"/>
        <v>-8.2257331515491749E-2</v>
      </c>
      <c r="F17022" s="1313">
        <f t="shared" si="243"/>
        <v>-3.2902932606196701E-3</v>
      </c>
      <c r="G17022" s="78"/>
      <c r="H17022" t="str">
        <f>VLOOKUP(B17022,indexy!$A$44:$D$823,3,FALSE)</f>
        <v>ELE SQ Equity</v>
      </c>
      <c r="K17022" s="434"/>
    </row>
    <row r="17023" spans="1:11" ht="12.75" hidden="1" customHeight="1" outlineLevel="1" x14ac:dyDescent="0.25">
      <c r="A17023" s="135">
        <v>0.03</v>
      </c>
      <c r="B17023" s="211" t="s">
        <v>3021</v>
      </c>
      <c r="C17023" s="472">
        <v>16.246200000000002</v>
      </c>
      <c r="D17023" s="1489">
        <f>VLOOKUP(H17023,indexy!$C$44:$D$823,2,FALSE)</f>
        <v>14.648</v>
      </c>
      <c r="E17023" s="1493">
        <f t="shared" si="242"/>
        <v>-9.8373773559355504E-2</v>
      </c>
      <c r="F17023" s="1313">
        <f t="shared" si="243"/>
        <v>-2.9512132067806649E-3</v>
      </c>
      <c r="G17023" s="78"/>
      <c r="H17023" t="str">
        <f>VLOOKUP(B17023,indexy!$A$44:$D$823,3,FALSE)</f>
        <v>ENI IM Equity</v>
      </c>
      <c r="K17023" s="434"/>
    </row>
    <row r="17024" spans="1:11" ht="12.75" hidden="1" customHeight="1" outlineLevel="1" x14ac:dyDescent="0.25">
      <c r="A17024" s="135">
        <v>0.02</v>
      </c>
      <c r="B17024" s="211" t="s">
        <v>7014</v>
      </c>
      <c r="C17024" s="472">
        <v>18.2715</v>
      </c>
      <c r="D17024" s="1489">
        <f>VLOOKUP(H17024,indexy!$C$44:$D$823,2,FALSE)</f>
        <v>36.68</v>
      </c>
      <c r="E17024" s="1493">
        <f t="shared" si="242"/>
        <v>1.0074980160359028</v>
      </c>
      <c r="F17024" s="1313">
        <f t="shared" si="243"/>
        <v>2.0149960320718058E-2</v>
      </c>
      <c r="G17024" s="78"/>
      <c r="H17024" t="str">
        <f>VLOOKUP(B17024,indexy!$A$44:$D$823,3,FALSE)</f>
        <v>FER SQ Equity</v>
      </c>
      <c r="K17024" s="434"/>
    </row>
    <row r="17025" spans="1:11" ht="12.75" hidden="1" customHeight="1" outlineLevel="1" x14ac:dyDescent="0.25">
      <c r="A17025" s="135">
        <v>0.03</v>
      </c>
      <c r="B17025" s="211" t="s">
        <v>4268</v>
      </c>
      <c r="C17025" s="472">
        <v>21.827999999999999</v>
      </c>
      <c r="D17025" s="1489">
        <f>VLOOKUP(H17025,indexy!$C$44:$D$823,2,FALSE)</f>
        <v>11.445</v>
      </c>
      <c r="E17025" s="1493">
        <f t="shared" si="242"/>
        <v>-0.47567344694887292</v>
      </c>
      <c r="F17025" s="1313">
        <f t="shared" si="243"/>
        <v>-1.4270203408466187E-2</v>
      </c>
      <c r="G17025" s="78"/>
      <c r="H17025" t="str">
        <f>VLOOKUP(B17025,indexy!$A$44:$D$823,3,FALSE)</f>
        <v>FORTUM FH Equity</v>
      </c>
      <c r="K17025" s="434"/>
    </row>
    <row r="17026" spans="1:11" ht="12.75" hidden="1" customHeight="1" outlineLevel="1" x14ac:dyDescent="0.25">
      <c r="A17026" s="135">
        <v>0.05</v>
      </c>
      <c r="B17026" s="211" t="s">
        <v>3643</v>
      </c>
      <c r="C17026" s="472">
        <v>140.52199999999999</v>
      </c>
      <c r="D17026" s="1489">
        <f>VLOOKUP(H17026,indexy!$C$44:$D$823,2,FALSE)</f>
        <v>174.58</v>
      </c>
      <c r="E17026" s="1493">
        <f t="shared" si="242"/>
        <v>0.24236774312918996</v>
      </c>
      <c r="F17026" s="1313">
        <f t="shared" si="243"/>
        <v>1.2118387156459499E-2</v>
      </c>
      <c r="G17026" s="78"/>
      <c r="H17026" t="str">
        <f>VLOOKUP(B17026,indexy!$A$44:$D$823,3,FALSE)</f>
        <v>HMB SS Equity</v>
      </c>
      <c r="K17026" s="434"/>
    </row>
    <row r="17027" spans="1:11" ht="12.75" hidden="1" customHeight="1" outlineLevel="1" x14ac:dyDescent="0.25">
      <c r="A17027" s="135">
        <v>0.02</v>
      </c>
      <c r="B17027" s="211" t="s">
        <v>1031</v>
      </c>
      <c r="C17027" s="472">
        <v>6.3540000000000001</v>
      </c>
      <c r="D17027" s="1489">
        <f>VLOOKUP(H17027,indexy!$C$44:$D$823,2,FALSE)</f>
        <v>11.494999999999999</v>
      </c>
      <c r="E17027" s="1493">
        <f t="shared" si="242"/>
        <v>0.80909663204280746</v>
      </c>
      <c r="F17027" s="1313">
        <f t="shared" si="243"/>
        <v>1.6181932640856149E-2</v>
      </c>
      <c r="G17027" s="78"/>
      <c r="H17027" t="str">
        <f>VLOOKUP(B17027,indexy!$A$44:$D$823,3,FALSE)</f>
        <v>IBE SQ Equity</v>
      </c>
      <c r="K17027" s="434"/>
    </row>
    <row r="17028" spans="1:11" ht="12.75" hidden="1" customHeight="1" outlineLevel="1" x14ac:dyDescent="0.25">
      <c r="A17028" s="135">
        <v>0.02</v>
      </c>
      <c r="B17028" s="211" t="s">
        <v>44</v>
      </c>
      <c r="C17028" s="490">
        <v>2.4058000000000002</v>
      </c>
      <c r="D17028" s="1489">
        <f>VLOOKUP(H17028,indexy!$C$44:$D$823,2,FALSE)</f>
        <v>3.363</v>
      </c>
      <c r="E17028" s="1493">
        <f t="shared" si="242"/>
        <v>0.39787180979300008</v>
      </c>
      <c r="F17028" s="1313">
        <f t="shared" si="243"/>
        <v>7.9574361958600019E-3</v>
      </c>
      <c r="G17028" s="78"/>
      <c r="H17028" t="str">
        <f>VLOOKUP(B17028,indexy!$A$44:$D$823,3,FALSE)</f>
        <v>ISP IM Equity</v>
      </c>
      <c r="K17028" s="434"/>
    </row>
    <row r="17029" spans="1:11" ht="12.75" hidden="1" customHeight="1" outlineLevel="1" x14ac:dyDescent="0.25">
      <c r="A17029" s="135">
        <v>0.03</v>
      </c>
      <c r="B17029" s="211" t="s">
        <v>9011</v>
      </c>
      <c r="C17029" s="472">
        <v>30.61</v>
      </c>
      <c r="D17029" s="1489">
        <f>VLOOKUP(H17029,indexy!$C$44:$D$823,2,FALSE)</f>
        <v>24</v>
      </c>
      <c r="E17029" s="1493">
        <f t="shared" si="242"/>
        <v>-0.21594250245017965</v>
      </c>
      <c r="F17029" s="1313">
        <f t="shared" si="243"/>
        <v>-6.4782750735053896E-3</v>
      </c>
      <c r="G17029" s="78"/>
      <c r="H17029" t="str">
        <f>VLOOKUP(B17029,indexy!$A$44:$D$823,3,FALSE)</f>
        <v>LI FP Equity</v>
      </c>
      <c r="K17029" s="434"/>
    </row>
    <row r="17030" spans="1:11" ht="12.75" hidden="1" customHeight="1" outlineLevel="1" x14ac:dyDescent="0.25">
      <c r="A17030" s="135">
        <v>0.02</v>
      </c>
      <c r="B17030" s="211" t="s">
        <v>8527</v>
      </c>
      <c r="C17030" s="472">
        <v>38.267000000000003</v>
      </c>
      <c r="D17030" s="1489">
        <f>VLOOKUP(H17030,indexy!$C$44:$D$823,2,FALSE)</f>
        <v>42.82</v>
      </c>
      <c r="E17030" s="1493">
        <f t="shared" si="242"/>
        <v>0.11897979982752749</v>
      </c>
      <c r="F17030" s="1313">
        <f t="shared" si="243"/>
        <v>2.37959599655055E-3</v>
      </c>
      <c r="G17030" s="78"/>
      <c r="H17030" t="str">
        <f>VLOOKUP(B17030,indexy!$A$44:$D$823,3,FALSE)</f>
        <v>NN NA Equity</v>
      </c>
      <c r="K17030" s="434"/>
    </row>
    <row r="17031" spans="1:11" ht="12.75" hidden="1" customHeight="1" outlineLevel="1" x14ac:dyDescent="0.25">
      <c r="A17031" s="135">
        <v>0.02</v>
      </c>
      <c r="B17031" s="211" t="s">
        <v>10734</v>
      </c>
      <c r="C17031" s="472">
        <v>17.97</v>
      </c>
      <c r="D17031" s="1489">
        <f>VLOOKUP(H17031,indexy!$C$44:$D$823,2,FALSE)</f>
        <v>15.805</v>
      </c>
      <c r="E17031" s="1493">
        <f t="shared" si="242"/>
        <v>-0.12047857540345019</v>
      </c>
      <c r="F17031" s="1313">
        <f t="shared" si="243"/>
        <v>-2.4095715080690041E-3</v>
      </c>
      <c r="G17031" s="78"/>
      <c r="H17031" t="str">
        <f>VLOOKUP(B17031,indexy!$A$44:$D$823,3,FALSE)</f>
        <v>RED SQ Equity</v>
      </c>
      <c r="K17031" s="434"/>
    </row>
    <row r="17032" spans="1:11" ht="12.75" hidden="1" customHeight="1" outlineLevel="1" x14ac:dyDescent="0.25">
      <c r="A17032" s="135">
        <v>0.02</v>
      </c>
      <c r="B17032" s="211" t="s">
        <v>54</v>
      </c>
      <c r="C17032" s="472">
        <v>16.918500000000002</v>
      </c>
      <c r="D17032" s="1489">
        <f>VLOOKUP(H17032,indexy!$C$44:$D$823,2,FALSE)</f>
        <v>15.44</v>
      </c>
      <c r="E17032" s="1493">
        <f t="shared" si="242"/>
        <v>-8.7389543990306628E-2</v>
      </c>
      <c r="F17032" s="1313">
        <f t="shared" si="243"/>
        <v>-1.7477908798061326E-3</v>
      </c>
      <c r="G17032" s="78"/>
      <c r="H17032" t="str">
        <f>VLOOKUP(B17032,indexy!$A$44:$D$823,3,FALSE)</f>
        <v>REP SQ Equity</v>
      </c>
      <c r="K17032" s="434"/>
    </row>
    <row r="17033" spans="1:11" ht="12.75" hidden="1" customHeight="1" outlineLevel="1" x14ac:dyDescent="0.25">
      <c r="A17033" s="135">
        <v>0.08</v>
      </c>
      <c r="B17033" s="211" t="s">
        <v>3800</v>
      </c>
      <c r="C17033" s="472">
        <v>236.44</v>
      </c>
      <c r="D17033" s="1489">
        <f>VLOOKUP(H17033,indexy!$C$44:$D$823,2,FALSE)</f>
        <v>229.7</v>
      </c>
      <c r="E17033" s="1493">
        <f t="shared" si="242"/>
        <v>-2.8506174928100148E-2</v>
      </c>
      <c r="F17033" s="1313">
        <f t="shared" si="243"/>
        <v>-2.2804939942480118E-3</v>
      </c>
      <c r="G17033" s="78"/>
      <c r="H17033" t="str">
        <f>VLOOKUP(B17033,indexy!$A$44:$D$823,3,FALSE)</f>
        <v>ROG SE Equity</v>
      </c>
      <c r="K17033" s="434"/>
    </row>
    <row r="17034" spans="1:11" ht="12.75" hidden="1" customHeight="1" outlineLevel="1" x14ac:dyDescent="0.25">
      <c r="A17034" s="135">
        <v>0.06</v>
      </c>
      <c r="B17034" s="211" t="s">
        <v>6270</v>
      </c>
      <c r="C17034" s="472">
        <v>36.958769291609812</v>
      </c>
      <c r="D17034" s="1489">
        <f>VLOOKUP(H17034,indexy!$C$44:$D$823,2,FALSE)</f>
        <v>39.515000000000001</v>
      </c>
      <c r="E17034" s="1493">
        <f t="shared" si="242"/>
        <v>6.9164389328583153E-2</v>
      </c>
      <c r="F17034" s="1313">
        <f t="shared" si="243"/>
        <v>4.1498633597149889E-3</v>
      </c>
      <c r="G17034" s="78"/>
      <c r="H17034" t="str">
        <f>VLOOKUP(B17034,indexy!$A$44:$D$823,3,FALSE)</f>
        <v>SAMPO FH Equity</v>
      </c>
      <c r="K17034" s="434"/>
    </row>
    <row r="17035" spans="1:11" ht="12.75" hidden="1" customHeight="1" outlineLevel="1" x14ac:dyDescent="0.25">
      <c r="A17035" s="135">
        <v>0.02</v>
      </c>
      <c r="B17035" s="211" t="s">
        <v>1187</v>
      </c>
      <c r="C17035" s="472">
        <v>74.504914748365962</v>
      </c>
      <c r="D17035" s="1489">
        <f>VLOOKUP(H17035,indexy!$C$44:$D$823,2,FALSE)</f>
        <v>90.96</v>
      </c>
      <c r="E17035" s="1493">
        <f t="shared" si="242"/>
        <v>0.22085905751599988</v>
      </c>
      <c r="F17035" s="1313">
        <f t="shared" si="243"/>
        <v>4.4171811503199978E-3</v>
      </c>
      <c r="G17035" s="78"/>
      <c r="H17035" t="str">
        <f>VLOOKUP(B17035,indexy!$A$44:$D$823,3,FALSE)</f>
        <v>SAN FP Equity</v>
      </c>
      <c r="K17035" s="434"/>
    </row>
    <row r="17036" spans="1:11" ht="12.75" hidden="1" customHeight="1" outlineLevel="1" x14ac:dyDescent="0.25">
      <c r="A17036" s="135">
        <v>0.02</v>
      </c>
      <c r="B17036" s="211" t="s">
        <v>6524</v>
      </c>
      <c r="C17036" s="472">
        <v>96.800972288325852</v>
      </c>
      <c r="D17036" s="1489">
        <f>VLOOKUP(H17036,indexy!$C$44:$D$823,2,FALSE)</f>
        <v>144.94999999999999</v>
      </c>
      <c r="E17036" s="1493">
        <f t="shared" si="242"/>
        <v>0.49740231501249998</v>
      </c>
      <c r="F17036" s="1313">
        <f t="shared" si="243"/>
        <v>9.9480463002500005E-3</v>
      </c>
      <c r="G17036" s="78"/>
      <c r="H17036" t="str">
        <f>VLOOKUP(B17036,indexy!$A$44:$D$823,3,FALSE)</f>
        <v>SEBA SS Equity</v>
      </c>
      <c r="K17036" s="434"/>
    </row>
    <row r="17037" spans="1:11" ht="12.75" hidden="1" customHeight="1" outlineLevel="1" x14ac:dyDescent="0.25">
      <c r="A17037" s="135">
        <v>0.05</v>
      </c>
      <c r="B17037" s="211" t="s">
        <v>6116</v>
      </c>
      <c r="C17037" s="472">
        <v>3.7303000000000002</v>
      </c>
      <c r="D17037" s="1489">
        <f>VLOOKUP(H17037,indexy!$C$44:$D$823,2,FALSE)</f>
        <v>4.3760000000000003</v>
      </c>
      <c r="E17037" s="1493">
        <f t="shared" si="242"/>
        <v>0.17309599764094052</v>
      </c>
      <c r="F17037" s="1313">
        <f t="shared" si="243"/>
        <v>8.6547998820470269E-3</v>
      </c>
      <c r="G17037" s="78"/>
      <c r="H17037" t="str">
        <f>VLOOKUP(B17037,indexy!$A$44:$D$823,3,FALSE)</f>
        <v>SRG IM Equity</v>
      </c>
      <c r="K17037" s="434"/>
    </row>
    <row r="17038" spans="1:11" ht="12.75" hidden="1" customHeight="1" outlineLevel="1" x14ac:dyDescent="0.25">
      <c r="A17038" s="135">
        <v>0.02</v>
      </c>
      <c r="B17038" s="211" t="s">
        <v>6527</v>
      </c>
      <c r="C17038" s="472">
        <v>101.20677286047074</v>
      </c>
      <c r="D17038" s="1489">
        <f>VLOOKUP(H17038,indexy!$C$44:$D$823,2,FALSE)</f>
        <v>108.25</v>
      </c>
      <c r="E17038" s="1493">
        <f t="shared" si="242"/>
        <v>6.9592448612499913E-2</v>
      </c>
      <c r="F17038" s="1313">
        <f t="shared" si="243"/>
        <v>1.3918489722499984E-3</v>
      </c>
      <c r="G17038" s="78"/>
      <c r="H17038" t="str">
        <f>VLOOKUP(B17038,indexy!$A$44:$D$823,3,FALSE)</f>
        <v>SHBA SS Equity</v>
      </c>
      <c r="K17038" s="434"/>
    </row>
    <row r="17039" spans="1:11" ht="12.75" hidden="1" customHeight="1" outlineLevel="1" x14ac:dyDescent="0.25">
      <c r="A17039" s="135">
        <v>0.05</v>
      </c>
      <c r="B17039" s="211" t="s">
        <v>1724</v>
      </c>
      <c r="C17039" s="472">
        <v>211.13466810981436</v>
      </c>
      <c r="D17039" s="1489">
        <f>VLOOKUP(H17039,indexy!$C$44:$D$823,2,FALSE)</f>
        <v>212.3</v>
      </c>
      <c r="E17039" s="1493">
        <f t="shared" si="242"/>
        <v>5.5193772799999596E-3</v>
      </c>
      <c r="F17039" s="1313">
        <f t="shared" si="243"/>
        <v>2.7596886399999798E-4</v>
      </c>
      <c r="G17039" s="78"/>
      <c r="H17039" t="str">
        <f>VLOOKUP(B17039,indexy!$A$44:$D$823,3,FALSE)</f>
        <v>SWEDA SS Equity</v>
      </c>
      <c r="K17039" s="434"/>
    </row>
    <row r="17040" spans="1:11" ht="12.75" hidden="1" customHeight="1" outlineLevel="1" x14ac:dyDescent="0.25">
      <c r="A17040" s="135">
        <v>0.02</v>
      </c>
      <c r="B17040" s="211" t="s">
        <v>9173</v>
      </c>
      <c r="C17040" s="472">
        <v>363.35</v>
      </c>
      <c r="D17040" s="1489">
        <f>VLOOKUP(H17040,indexy!$C$44:$D$823,2,FALSE)</f>
        <v>632.20000000000005</v>
      </c>
      <c r="E17040" s="1493">
        <f t="shared" si="242"/>
        <v>0.73992018714737862</v>
      </c>
      <c r="F17040" s="1313">
        <f t="shared" si="243"/>
        <v>1.4798403742947573E-2</v>
      </c>
      <c r="G17040" s="78"/>
      <c r="H17040" t="str">
        <f>VLOOKUP(B17040,indexy!$A$44:$D$823,3,FALSE)</f>
        <v>SLHN SE Equity</v>
      </c>
      <c r="K17040" s="434"/>
    </row>
    <row r="17041" spans="1:11" ht="12.75" hidden="1" customHeight="1" outlineLevel="1" x14ac:dyDescent="0.25">
      <c r="A17041" s="135">
        <v>0.05</v>
      </c>
      <c r="B17041" s="211" t="s">
        <v>6118</v>
      </c>
      <c r="C17041" s="472">
        <v>89.036000000000001</v>
      </c>
      <c r="D17041" s="1489">
        <f>VLOOKUP(H17041,indexy!$C$44:$D$823,2,FALSE)</f>
        <v>115.95</v>
      </c>
      <c r="E17041" s="1493">
        <f t="shared" si="242"/>
        <v>0.30228222292106555</v>
      </c>
      <c r="F17041" s="1313">
        <f t="shared" si="243"/>
        <v>1.5114111146053278E-2</v>
      </c>
      <c r="G17041" s="78"/>
      <c r="H17041" t="str">
        <f>VLOOKUP(B17041,indexy!$A$44:$D$823,3,FALSE)</f>
        <v>SREN SE Equity</v>
      </c>
      <c r="K17041" s="434"/>
    </row>
    <row r="17042" spans="1:11" ht="12.75" hidden="1" customHeight="1" outlineLevel="1" x14ac:dyDescent="0.25">
      <c r="A17042" s="135">
        <v>7.0000000000000007E-2</v>
      </c>
      <c r="B17042" s="211" t="s">
        <v>434</v>
      </c>
      <c r="C17042" s="472">
        <v>41.067</v>
      </c>
      <c r="D17042" s="1489">
        <f>VLOOKUP(H17042,indexy!$C$44:$D$823,2,FALSE)</f>
        <v>27.43</v>
      </c>
      <c r="E17042" s="1493">
        <f t="shared" si="242"/>
        <v>-0.33206710984488763</v>
      </c>
      <c r="F17042" s="1313">
        <f t="shared" si="243"/>
        <v>-2.3244697689142137E-2</v>
      </c>
      <c r="G17042" s="78"/>
      <c r="H17042" t="str">
        <f>VLOOKUP(B17042,indexy!$A$44:$D$823,3,FALSE)</f>
        <v>TELIA SS Equity</v>
      </c>
      <c r="K17042" s="434"/>
    </row>
    <row r="17043" spans="1:11" ht="12.75" hidden="1" customHeight="1" outlineLevel="1" x14ac:dyDescent="0.25">
      <c r="A17043" s="135">
        <v>0.02</v>
      </c>
      <c r="B17043" s="211" t="s">
        <v>10633</v>
      </c>
      <c r="C17043" s="472">
        <v>53.603953823345691</v>
      </c>
      <c r="D17043" s="1489">
        <f>VLOOKUP(H17043,indexy!$C$44:$D$823,2,FALSE)</f>
        <v>63.47</v>
      </c>
      <c r="E17043" s="1493">
        <f t="shared" si="242"/>
        <v>0.18405444884100008</v>
      </c>
      <c r="F17043" s="1313">
        <f t="shared" si="243"/>
        <v>3.681088976820002E-3</v>
      </c>
      <c r="G17043" s="78"/>
      <c r="H17043" t="str">
        <f>VLOOKUP(B17043,indexy!$A$44:$D$823,3,FALSE)</f>
        <v>TTE FP Equity</v>
      </c>
      <c r="K17043" s="434"/>
    </row>
    <row r="17044" spans="1:11" ht="12.75" hidden="1" customHeight="1" outlineLevel="1" x14ac:dyDescent="0.25">
      <c r="A17044" s="135">
        <v>0.02</v>
      </c>
      <c r="B17044" s="211" t="s">
        <v>10792</v>
      </c>
      <c r="C17044" s="472">
        <v>174.96</v>
      </c>
      <c r="D17044" s="1489">
        <f>VLOOKUP(H17044,indexy!$C$44:$D$892,2,FALSE)</f>
        <v>74.5</v>
      </c>
      <c r="E17044" s="1493">
        <f t="shared" si="242"/>
        <v>-0.57418838591678101</v>
      </c>
      <c r="F17044" s="1313">
        <f t="shared" si="243"/>
        <v>-1.1483767718335621E-2</v>
      </c>
      <c r="G17044" s="78"/>
      <c r="H17044" t="str">
        <f>VLOOKUP(B17044,indexy!$A$44:$D$892,3,FALSE)</f>
        <v>URW FP Equity</v>
      </c>
      <c r="K17044" s="434"/>
    </row>
    <row r="17045" spans="1:11" ht="12.75" hidden="1" customHeight="1" outlineLevel="1" x14ac:dyDescent="0.25">
      <c r="A17045" s="135">
        <v>0.02</v>
      </c>
      <c r="B17045" s="1465" t="s">
        <v>4550</v>
      </c>
      <c r="C17045" s="472">
        <v>304.10000000000002</v>
      </c>
      <c r="D17045" s="1490">
        <f>VLOOKUP(H17045,indexy!$C$44:$D$823,2,FALSE)</f>
        <v>486.3</v>
      </c>
      <c r="E17045" s="1495">
        <f t="shared" si="242"/>
        <v>0.59914501808615572</v>
      </c>
      <c r="F17045" s="1314">
        <f>$E17045*$A17045</f>
        <v>1.1982900361723114E-2</v>
      </c>
      <c r="G17045" s="78"/>
      <c r="H17045" t="str">
        <f>VLOOKUP(B17045,indexy!$A$44:$D$823,3,FALSE)</f>
        <v>ZURN SE Equity</v>
      </c>
      <c r="K17045" s="434"/>
    </row>
    <row r="17046" spans="1:11" ht="12.75" hidden="1" customHeight="1" outlineLevel="1" x14ac:dyDescent="0.25">
      <c r="A17046" s="1475" t="s">
        <v>2734</v>
      </c>
      <c r="B17046" s="150"/>
      <c r="C17046" s="1476"/>
      <c r="D17046" s="1477"/>
      <c r="E17046" s="512"/>
      <c r="F17046" s="1313">
        <f>SUM(F17016:F17045)</f>
        <v>7.6298878316468921E-2</v>
      </c>
      <c r="G17046" s="78"/>
    </row>
    <row r="17047" spans="1:11" ht="12.75" hidden="1" customHeight="1" outlineLevel="1" x14ac:dyDescent="0.25">
      <c r="A17047" s="221" t="s">
        <v>9486</v>
      </c>
      <c r="B17047" s="1478">
        <v>45108</v>
      </c>
      <c r="C17047" s="1497">
        <v>100</v>
      </c>
      <c r="D17047" s="1497">
        <v>102.1041</v>
      </c>
      <c r="E17047" s="1498">
        <f>IF(D17047="",F17046,D17047/C17047-1)</f>
        <v>2.1041000000000087E-2</v>
      </c>
      <c r="F17047" s="1842"/>
      <c r="G17047" s="78"/>
    </row>
    <row r="17048" spans="1:11" ht="12.75" hidden="1" customHeight="1" outlineLevel="1" x14ac:dyDescent="0.25">
      <c r="A17048" s="221" t="s">
        <v>9487</v>
      </c>
      <c r="B17048" s="1478">
        <v>45139</v>
      </c>
      <c r="C17048" s="1497">
        <v>100</v>
      </c>
      <c r="D17048" s="1500">
        <v>100.17570000000001</v>
      </c>
      <c r="E17048" s="1498">
        <f>IF(D17048="",E17047,D17048/C17048-1)</f>
        <v>1.7570000000000086E-3</v>
      </c>
      <c r="F17048" s="1842"/>
      <c r="G17048" s="78"/>
    </row>
    <row r="17049" spans="1:11" ht="12.75" hidden="1" customHeight="1" outlineLevel="1" x14ac:dyDescent="0.25">
      <c r="A17049" s="221" t="s">
        <v>9488</v>
      </c>
      <c r="B17049" s="1478">
        <v>45170</v>
      </c>
      <c r="C17049" s="1497">
        <v>100</v>
      </c>
      <c r="D17049" s="1500">
        <v>100.1135</v>
      </c>
      <c r="E17049" s="1498">
        <f>IF(D17049="",E17048,D17049/C17049-1)</f>
        <v>1.1350000000001081E-3</v>
      </c>
      <c r="F17049" s="1842"/>
      <c r="G17049" s="78"/>
    </row>
    <row r="17050" spans="1:11" ht="12.75" hidden="1" customHeight="1" outlineLevel="1" x14ac:dyDescent="0.25">
      <c r="A17050" s="221" t="s">
        <v>9489</v>
      </c>
      <c r="B17050" s="1478">
        <v>45200</v>
      </c>
      <c r="C17050" s="1497">
        <v>100</v>
      </c>
      <c r="D17050" s="1500">
        <v>97.200699999999998</v>
      </c>
      <c r="E17050" s="1498">
        <f>IF(D17050="",E17049,D17050/C17050-1)</f>
        <v>-2.7993000000000046E-2</v>
      </c>
      <c r="F17050" s="1842"/>
      <c r="G17050" s="78"/>
    </row>
    <row r="17051" spans="1:11" ht="12.75" hidden="1" customHeight="1" outlineLevel="1" x14ac:dyDescent="0.25">
      <c r="A17051" s="221" t="s">
        <v>9490</v>
      </c>
      <c r="B17051" s="1478">
        <v>45231</v>
      </c>
      <c r="C17051" s="1497">
        <v>100</v>
      </c>
      <c r="D17051" s="1500">
        <v>101.867</v>
      </c>
      <c r="E17051" s="1498">
        <f t="shared" ref="E17051:E17064" si="244">IF(D17051="",E17050,D17051/C17051-1)</f>
        <v>1.8669999999999964E-2</v>
      </c>
      <c r="F17051" s="1842"/>
      <c r="G17051" s="78"/>
    </row>
    <row r="17052" spans="1:11" ht="12.75" hidden="1" customHeight="1" outlineLevel="1" x14ac:dyDescent="0.25">
      <c r="A17052" s="221" t="s">
        <v>9491</v>
      </c>
      <c r="B17052" s="1478">
        <v>45261</v>
      </c>
      <c r="C17052" s="1497">
        <v>100</v>
      </c>
      <c r="D17052" s="1500">
        <v>103.5675</v>
      </c>
      <c r="E17052" s="1498">
        <f t="shared" si="244"/>
        <v>3.5674999999999901E-2</v>
      </c>
      <c r="F17052" s="1842"/>
      <c r="G17052" s="78"/>
    </row>
    <row r="17053" spans="1:11" ht="12.75" hidden="1" customHeight="1" outlineLevel="1" x14ac:dyDescent="0.25">
      <c r="A17053" s="221" t="s">
        <v>9492</v>
      </c>
      <c r="B17053" s="1478">
        <v>45292</v>
      </c>
      <c r="C17053" s="1497">
        <v>100</v>
      </c>
      <c r="D17053" s="1500"/>
      <c r="E17053" s="1498">
        <f t="shared" si="244"/>
        <v>3.5674999999999901E-2</v>
      </c>
      <c r="F17053" s="1842"/>
      <c r="G17053" s="78"/>
    </row>
    <row r="17054" spans="1:11" ht="12.75" hidden="1" customHeight="1" outlineLevel="1" x14ac:dyDescent="0.25">
      <c r="A17054" s="221" t="s">
        <v>9493</v>
      </c>
      <c r="B17054" s="1478">
        <v>45323</v>
      </c>
      <c r="C17054" s="1497">
        <v>100</v>
      </c>
      <c r="D17054" s="1500"/>
      <c r="E17054" s="1498">
        <f t="shared" si="244"/>
        <v>3.5674999999999901E-2</v>
      </c>
      <c r="F17054" s="1842"/>
      <c r="G17054" s="78"/>
    </row>
    <row r="17055" spans="1:11" ht="12.75" hidden="1" customHeight="1" outlineLevel="1" x14ac:dyDescent="0.25">
      <c r="A17055" s="221" t="s">
        <v>9494</v>
      </c>
      <c r="B17055" s="1478">
        <v>45352</v>
      </c>
      <c r="C17055" s="1497">
        <v>100</v>
      </c>
      <c r="D17055" s="1500"/>
      <c r="E17055" s="1498">
        <f t="shared" si="244"/>
        <v>3.5674999999999901E-2</v>
      </c>
      <c r="F17055" s="1842"/>
      <c r="G17055" s="78"/>
    </row>
    <row r="17056" spans="1:11" ht="12.75" hidden="1" customHeight="1" outlineLevel="1" x14ac:dyDescent="0.25">
      <c r="A17056" s="221" t="s">
        <v>9495</v>
      </c>
      <c r="B17056" s="1478">
        <v>45383</v>
      </c>
      <c r="C17056" s="1497">
        <v>100</v>
      </c>
      <c r="D17056" s="1500"/>
      <c r="E17056" s="1498">
        <f t="shared" si="244"/>
        <v>3.5674999999999901E-2</v>
      </c>
      <c r="F17056" s="1842"/>
      <c r="G17056" s="78"/>
    </row>
    <row r="17057" spans="1:14" ht="12.75" hidden="1" customHeight="1" outlineLevel="1" x14ac:dyDescent="0.25">
      <c r="A17057" s="221" t="s">
        <v>9496</v>
      </c>
      <c r="B17057" s="1478">
        <v>45413</v>
      </c>
      <c r="C17057" s="1497">
        <v>100</v>
      </c>
      <c r="D17057" s="1500"/>
      <c r="E17057" s="1498">
        <f t="shared" si="244"/>
        <v>3.5674999999999901E-2</v>
      </c>
      <c r="F17057" s="1842"/>
      <c r="G17057" s="78"/>
    </row>
    <row r="17058" spans="1:14" ht="12.75" hidden="1" customHeight="1" outlineLevel="1" x14ac:dyDescent="0.25">
      <c r="A17058" s="221" t="s">
        <v>9497</v>
      </c>
      <c r="B17058" s="1478">
        <v>45444</v>
      </c>
      <c r="C17058" s="1497">
        <v>100</v>
      </c>
      <c r="D17058" s="1500"/>
      <c r="E17058" s="1498">
        <f t="shared" si="244"/>
        <v>3.5674999999999901E-2</v>
      </c>
      <c r="F17058" s="1842"/>
      <c r="G17058" s="78"/>
    </row>
    <row r="17059" spans="1:14" ht="12.75" hidden="1" customHeight="1" outlineLevel="1" x14ac:dyDescent="0.25">
      <c r="A17059" s="221" t="s">
        <v>9498</v>
      </c>
      <c r="B17059" s="1478">
        <v>45474</v>
      </c>
      <c r="C17059" s="1497">
        <v>100</v>
      </c>
      <c r="D17059" s="1500"/>
      <c r="E17059" s="1498">
        <f t="shared" si="244"/>
        <v>3.5674999999999901E-2</v>
      </c>
      <c r="F17059" s="1842"/>
      <c r="G17059" s="78"/>
    </row>
    <row r="17060" spans="1:14" ht="12.75" hidden="1" customHeight="1" outlineLevel="1" x14ac:dyDescent="0.25">
      <c r="A17060" s="221" t="s">
        <v>9499</v>
      </c>
      <c r="B17060" s="1478">
        <v>45505</v>
      </c>
      <c r="C17060" s="1497">
        <v>100</v>
      </c>
      <c r="D17060" s="1500"/>
      <c r="E17060" s="1498">
        <f t="shared" si="244"/>
        <v>3.5674999999999901E-2</v>
      </c>
      <c r="F17060" s="1842"/>
      <c r="G17060" s="78"/>
    </row>
    <row r="17061" spans="1:14" ht="12.75" hidden="1" customHeight="1" outlineLevel="1" x14ac:dyDescent="0.25">
      <c r="A17061" s="221" t="s">
        <v>9500</v>
      </c>
      <c r="B17061" s="1478">
        <v>45536</v>
      </c>
      <c r="C17061" s="1497">
        <v>100</v>
      </c>
      <c r="D17061" s="1500"/>
      <c r="E17061" s="1498">
        <f t="shared" si="244"/>
        <v>3.5674999999999901E-2</v>
      </c>
      <c r="F17061" s="1842"/>
      <c r="G17061" s="78"/>
    </row>
    <row r="17062" spans="1:14" ht="12.75" hidden="1" customHeight="1" outlineLevel="1" x14ac:dyDescent="0.25">
      <c r="A17062" s="221" t="s">
        <v>9501</v>
      </c>
      <c r="B17062" s="1478">
        <v>45566</v>
      </c>
      <c r="C17062" s="1497">
        <v>100</v>
      </c>
      <c r="D17062" s="1500"/>
      <c r="E17062" s="1498">
        <f t="shared" si="244"/>
        <v>3.5674999999999901E-2</v>
      </c>
      <c r="F17062" s="1842"/>
      <c r="G17062" s="78"/>
    </row>
    <row r="17063" spans="1:14" ht="12.75" hidden="1" customHeight="1" outlineLevel="1" x14ac:dyDescent="0.25">
      <c r="A17063" s="221" t="s">
        <v>9502</v>
      </c>
      <c r="B17063" s="1478">
        <v>45597</v>
      </c>
      <c r="C17063" s="1497">
        <v>100</v>
      </c>
      <c r="D17063" s="1500"/>
      <c r="E17063" s="1498">
        <f t="shared" si="244"/>
        <v>3.5674999999999901E-2</v>
      </c>
      <c r="F17063" s="1842"/>
      <c r="G17063" s="78"/>
    </row>
    <row r="17064" spans="1:14" ht="12.75" hidden="1" customHeight="1" outlineLevel="1" x14ac:dyDescent="0.25">
      <c r="A17064" s="221" t="s">
        <v>9503</v>
      </c>
      <c r="B17064" s="1478">
        <v>45627</v>
      </c>
      <c r="C17064" s="1497">
        <v>100</v>
      </c>
      <c r="D17064" s="1500"/>
      <c r="E17064" s="1498">
        <f t="shared" si="244"/>
        <v>3.5674999999999901E-2</v>
      </c>
      <c r="F17064" s="1842"/>
      <c r="G17064" s="78"/>
    </row>
    <row r="17065" spans="1:14" ht="12.75" hidden="1" customHeight="1" outlineLevel="1" x14ac:dyDescent="0.25">
      <c r="A17065" s="1483" t="s">
        <v>2734</v>
      </c>
      <c r="B17065" s="1484"/>
      <c r="C17065" s="1500"/>
      <c r="D17065" s="1485" t="s">
        <v>2465</v>
      </c>
      <c r="E17065" s="1486">
        <f>AVERAGE(E17047:E17064)</f>
        <v>2.6576944444444379E-2</v>
      </c>
      <c r="F17065" s="1844">
        <f>E17065</f>
        <v>2.6576944444444379E-2</v>
      </c>
      <c r="G17065" s="78"/>
    </row>
    <row r="17066" spans="1:14" collapsed="1" x14ac:dyDescent="0.25">
      <c r="A17066" s="3799" t="s">
        <v>9324</v>
      </c>
      <c r="B17066" s="3800"/>
      <c r="C17066" s="3800"/>
      <c r="D17066" s="3800"/>
      <c r="E17066" s="18"/>
      <c r="F17066" s="186">
        <f>IF(F17065&lt;0,0%,MIN(F17065*0.6,60%))</f>
        <v>1.5946166666666626E-2</v>
      </c>
      <c r="G17066" s="78"/>
    </row>
    <row r="17068" spans="1:14" ht="12.75" hidden="1" customHeight="1" outlineLevel="1" x14ac:dyDescent="0.25">
      <c r="A17068" s="15" t="s">
        <v>113</v>
      </c>
      <c r="B17068" s="15" t="s">
        <v>114</v>
      </c>
      <c r="C17068" s="15" t="s">
        <v>112</v>
      </c>
      <c r="D17068" s="15" t="s">
        <v>116</v>
      </c>
      <c r="E17068" s="15" t="s">
        <v>117</v>
      </c>
      <c r="F17068" s="1882" t="s">
        <v>121</v>
      </c>
      <c r="G17068" s="78"/>
    </row>
    <row r="17069" spans="1:14" ht="12.75" hidden="1" customHeight="1" outlineLevel="1" x14ac:dyDescent="0.25">
      <c r="A17069" s="1653">
        <v>1</v>
      </c>
      <c r="B17069" s="1654" t="s">
        <v>252</v>
      </c>
      <c r="C17069" s="1686">
        <v>100</v>
      </c>
      <c r="D17069" s="1687" t="s">
        <v>3702</v>
      </c>
      <c r="E17069" s="1688">
        <f>indexy!$B$2</f>
        <v>45379</v>
      </c>
      <c r="F17069" s="1689"/>
      <c r="G17069" s="78"/>
    </row>
    <row r="17070" spans="1:14" ht="40.5" hidden="1" customHeight="1" outlineLevel="1" x14ac:dyDescent="0.25">
      <c r="A17070" s="1518" t="s">
        <v>4156</v>
      </c>
      <c r="B17070" s="1518" t="s">
        <v>4153</v>
      </c>
      <c r="C17070" s="1518" t="s">
        <v>112</v>
      </c>
      <c r="D17070" s="1518" t="s">
        <v>4155</v>
      </c>
      <c r="E17070" s="1518" t="s">
        <v>4154</v>
      </c>
      <c r="F17070" s="1518" t="s">
        <v>2519</v>
      </c>
      <c r="G17070" s="78"/>
    </row>
    <row r="17071" spans="1:14" ht="12.75" hidden="1" customHeight="1" outlineLevel="1" x14ac:dyDescent="0.25">
      <c r="A17071" s="1508">
        <v>7.0000000000000007E-2</v>
      </c>
      <c r="B17071" s="1505" t="s">
        <v>9297</v>
      </c>
      <c r="C17071" s="455">
        <v>22.783999999999999</v>
      </c>
      <c r="D17071" s="1510">
        <f>VLOOKUP(H17071,indexy!$C$44:$D$823,2,FALSE)</f>
        <v>15.85</v>
      </c>
      <c r="E17071" s="1511">
        <f>D17071/C17071-1</f>
        <v>-0.3043363764044944</v>
      </c>
      <c r="F17071" s="1656">
        <f>E17071*A17071</f>
        <v>-2.1303546348314609E-2</v>
      </c>
      <c r="G17071" s="78"/>
      <c r="H17071" t="str">
        <f>VLOOKUP(B17071,indexy!$A$44:$D$823,3,FALSE)</f>
        <v>ABN NA Equity</v>
      </c>
      <c r="I17071" s="98" t="s">
        <v>6654</v>
      </c>
      <c r="J17071" s="494" t="s">
        <v>7618</v>
      </c>
      <c r="N17071" s="434"/>
    </row>
    <row r="17072" spans="1:14" ht="12.75" hidden="1" customHeight="1" outlineLevel="1" x14ac:dyDescent="0.3">
      <c r="A17072" s="1509">
        <v>0.02</v>
      </c>
      <c r="B17072" s="1505" t="s">
        <v>6562</v>
      </c>
      <c r="C17072" s="455">
        <v>48.338999999999999</v>
      </c>
      <c r="D17072" s="1513">
        <f>VLOOKUP(H17072,indexy!$C$44:$D$823,2,FALSE)</f>
        <v>35.659999999999997</v>
      </c>
      <c r="E17072" s="1514">
        <f>D17072/C17072-1</f>
        <v>-0.26229338629264165</v>
      </c>
      <c r="F17072" s="1659">
        <f t="shared" ref="F17072:F17095" si="245">E17072*A17072</f>
        <v>-5.2458677258528331E-3</v>
      </c>
      <c r="G17072" s="78"/>
      <c r="H17072" t="str">
        <f>VLOOKUP(B17072,indexy!$A$44:$D$823,3,FALSE)</f>
        <v>ADEN SE Equity</v>
      </c>
      <c r="I17072" s="1690">
        <v>43739</v>
      </c>
      <c r="J17072" s="2482">
        <v>100.03919999999999</v>
      </c>
      <c r="K17072" s="1773" t="s">
        <v>8597</v>
      </c>
      <c r="N17072" s="434"/>
    </row>
    <row r="17073" spans="1:14" ht="12.75" hidden="1" customHeight="1" outlineLevel="1" x14ac:dyDescent="0.25">
      <c r="A17073" s="1509">
        <v>0.05</v>
      </c>
      <c r="B17073" s="1505" t="s">
        <v>2697</v>
      </c>
      <c r="C17073" s="455">
        <v>14.327999999999999</v>
      </c>
      <c r="D17073" s="1513">
        <f>VLOOKUP(H17073,indexy!$C$44:$D$823,2,FALSE)</f>
        <v>23.46</v>
      </c>
      <c r="E17073" s="1514">
        <f t="shared" ref="E17073:E17100" si="246">D17073/C17073-1</f>
        <v>0.63735343383584597</v>
      </c>
      <c r="F17073" s="1659">
        <f t="shared" si="245"/>
        <v>3.1867671691792297E-2</v>
      </c>
      <c r="G17073" s="78"/>
      <c r="H17073" t="str">
        <f>VLOOKUP(B17073,indexy!$A$44:$D$823,3,FALSE)</f>
        <v>G IM Equity</v>
      </c>
      <c r="I17073" s="1690">
        <v>44105</v>
      </c>
      <c r="J17073" s="478"/>
      <c r="N17073" s="434"/>
    </row>
    <row r="17074" spans="1:14" ht="12.75" hidden="1" customHeight="1" outlineLevel="1" x14ac:dyDescent="0.25">
      <c r="A17074" s="1509">
        <v>0.06</v>
      </c>
      <c r="B17074" s="1505" t="s">
        <v>218</v>
      </c>
      <c r="C17074" s="455">
        <v>21.687999999999999</v>
      </c>
      <c r="D17074" s="1513">
        <f>VLOOKUP(H17074,indexy!$C$44:$D$823,2,FALSE)</f>
        <v>34.814999999999998</v>
      </c>
      <c r="E17074" s="1514">
        <f t="shared" si="246"/>
        <v>0.60526558465510871</v>
      </c>
      <c r="F17074" s="1659">
        <f t="shared" si="245"/>
        <v>3.631593507930652E-2</v>
      </c>
      <c r="G17074" s="78"/>
      <c r="H17074" t="str">
        <f>VLOOKUP(B17074,indexy!$A$44:$D$823,3,FALSE)</f>
        <v>CS FP Equity</v>
      </c>
      <c r="I17074" s="1690">
        <v>44470</v>
      </c>
      <c r="J17074" s="478"/>
      <c r="N17074" s="434"/>
    </row>
    <row r="17075" spans="1:14" ht="12.75" hidden="1" customHeight="1" outlineLevel="1" x14ac:dyDescent="0.25">
      <c r="A17075" s="1509">
        <v>0.02</v>
      </c>
      <c r="B17075" s="1505" t="s">
        <v>807</v>
      </c>
      <c r="C17075" s="455">
        <v>55.088000000000001</v>
      </c>
      <c r="D17075" s="1513">
        <f>VLOOKUP(H17075,indexy!$C$44:$D$823,2,FALSE)</f>
        <v>46.03</v>
      </c>
      <c r="E17075" s="1514">
        <f t="shared" si="246"/>
        <v>-0.16442782457159455</v>
      </c>
      <c r="F17075" s="1659">
        <f t="shared" si="245"/>
        <v>-3.288556491431891E-3</v>
      </c>
      <c r="G17075" s="78"/>
      <c r="H17075" t="str">
        <f>VLOOKUP(B17075,indexy!$A$44:$D$823,3,FALSE)</f>
        <v>BCE CT Equity</v>
      </c>
      <c r="I17075" s="1690">
        <v>44835</v>
      </c>
      <c r="J17075" s="478"/>
      <c r="N17075" s="434"/>
    </row>
    <row r="17076" spans="1:14" ht="12.75" hidden="1" customHeight="1" outlineLevel="1" x14ac:dyDescent="0.25">
      <c r="A17076" s="1509">
        <v>0.04</v>
      </c>
      <c r="B17076" s="1505" t="s">
        <v>10672</v>
      </c>
      <c r="C17076" s="455">
        <v>42.348022752555096</v>
      </c>
      <c r="D17076" s="1513">
        <f>VLOOKUP(H17076,indexy!$C$44:$D$823,2,FALSE)</f>
        <v>73.81</v>
      </c>
      <c r="E17076" s="1514">
        <f t="shared" si="246"/>
        <v>0.74293851760875018</v>
      </c>
      <c r="F17076" s="1659">
        <f t="shared" si="245"/>
        <v>2.9717540704350009E-2</v>
      </c>
      <c r="G17076" s="78"/>
      <c r="H17076" t="str">
        <f>VLOOKUP(B17076,indexy!$A$44:$D$823,3,FALSE)</f>
        <v>MBG GY Equity</v>
      </c>
      <c r="I17076" s="1690">
        <v>45200</v>
      </c>
      <c r="J17076" s="478"/>
      <c r="N17076" s="434"/>
    </row>
    <row r="17077" spans="1:14" ht="12.75" hidden="1" customHeight="1" outlineLevel="1" x14ac:dyDescent="0.25">
      <c r="A17077" s="1509">
        <v>0.03</v>
      </c>
      <c r="B17077" s="1505" t="s">
        <v>2629</v>
      </c>
      <c r="C17077" s="455">
        <v>15.009</v>
      </c>
      <c r="D17077" s="1513">
        <f>VLOOKUP(H17077,indexy!$C$44:$D$823,2,FALSE)</f>
        <v>22.5</v>
      </c>
      <c r="E17077" s="1514">
        <f t="shared" si="246"/>
        <v>0.49910053967619428</v>
      </c>
      <c r="F17077" s="1659">
        <f t="shared" si="245"/>
        <v>1.4973016190285827E-2</v>
      </c>
      <c r="G17077" s="78"/>
      <c r="H17077" t="str">
        <f>VLOOKUP(B17077,indexy!$A$44:$D$823,3,FALSE)</f>
        <v>DTE GY Equity</v>
      </c>
      <c r="I17077" t="s">
        <v>9580</v>
      </c>
      <c r="J17077" s="1473">
        <v>0.9</v>
      </c>
      <c r="N17077" s="434"/>
    </row>
    <row r="17078" spans="1:14" ht="12.75" hidden="1" customHeight="1" outlineLevel="1" x14ac:dyDescent="0.25">
      <c r="A17078" s="1509">
        <v>0.02</v>
      </c>
      <c r="B17078" s="1505" t="s">
        <v>1231</v>
      </c>
      <c r="C17078" s="455">
        <v>86.644999999999996</v>
      </c>
      <c r="D17078" s="1513">
        <f>VLOOKUP(H17078,indexy!$C$44:$D$823,2,FALSE)</f>
        <v>96.71</v>
      </c>
      <c r="E17078" s="1514">
        <f t="shared" si="246"/>
        <v>0.11616365629869008</v>
      </c>
      <c r="F17078" s="1659">
        <f t="shared" si="245"/>
        <v>2.3232731259738015E-3</v>
      </c>
      <c r="G17078" s="78"/>
      <c r="H17078" t="str">
        <f>VLOOKUP(B17078,indexy!$A$44:$D$823,3,FALSE)</f>
        <v>DUK UN Equity</v>
      </c>
      <c r="N17078" s="434"/>
    </row>
    <row r="17079" spans="1:14" ht="12.75" hidden="1" customHeight="1" outlineLevel="1" x14ac:dyDescent="0.25">
      <c r="A17079" s="1509">
        <v>0.03</v>
      </c>
      <c r="B17079" s="1505" t="s">
        <v>3021</v>
      </c>
      <c r="C17079" s="455">
        <v>14.901</v>
      </c>
      <c r="D17079" s="1513">
        <f>VLOOKUP(H17079,indexy!$C$44:$D$823,2,FALSE)</f>
        <v>14.648</v>
      </c>
      <c r="E17079" s="1514">
        <f t="shared" si="246"/>
        <v>-1.6978726259982535E-2</v>
      </c>
      <c r="F17079" s="1659">
        <f t="shared" si="245"/>
        <v>-5.0936178779947599E-4</v>
      </c>
      <c r="G17079" s="78"/>
      <c r="H17079" t="str">
        <f>VLOOKUP(B17079,indexy!$A$44:$D$823,3,FALSE)</f>
        <v>ENI IM Equity</v>
      </c>
      <c r="N17079" s="434"/>
    </row>
    <row r="17080" spans="1:14" ht="12.75" hidden="1" customHeight="1" outlineLevel="1" x14ac:dyDescent="0.25">
      <c r="A17080" s="1509">
        <v>0.02</v>
      </c>
      <c r="B17080" s="1505" t="s">
        <v>3799</v>
      </c>
      <c r="C17080" s="455">
        <v>16.051814551091081</v>
      </c>
      <c r="D17080" s="1513">
        <f>VLOOKUP(H17080,indexy!$C$44:$D$823,2,FALSE)/100</f>
        <v>17.085999999999999</v>
      </c>
      <c r="E17080" s="1514">
        <f t="shared" si="246"/>
        <v>6.4427946486500076E-2</v>
      </c>
      <c r="F17080" s="1659">
        <f t="shared" si="245"/>
        <v>1.2885589297300015E-3</v>
      </c>
      <c r="G17080" s="78"/>
      <c r="H17080" t="str">
        <f>VLOOKUP(B17080,indexy!$A$44:$D$823,3,FALSE)</f>
        <v>GSK LN Equity</v>
      </c>
      <c r="N17080" s="434"/>
    </row>
    <row r="17081" spans="1:14" ht="12.75" hidden="1" customHeight="1" outlineLevel="1" x14ac:dyDescent="0.25">
      <c r="A17081" s="1509">
        <v>0.04</v>
      </c>
      <c r="B17081" s="1505" t="s">
        <v>1031</v>
      </c>
      <c r="C17081" s="455">
        <v>6.6390000000000002</v>
      </c>
      <c r="D17081" s="1513">
        <f>VLOOKUP(H17081,indexy!$C$44:$D$823,2,FALSE)</f>
        <v>11.494999999999999</v>
      </c>
      <c r="E17081" s="1514">
        <f t="shared" si="246"/>
        <v>0.73143545714716063</v>
      </c>
      <c r="F17081" s="1659">
        <f t="shared" si="245"/>
        <v>2.9257418285886426E-2</v>
      </c>
      <c r="G17081" s="78"/>
      <c r="H17081" t="str">
        <f>VLOOKUP(B17081,indexy!$A$44:$D$823,3,FALSE)</f>
        <v>IBE SQ Equity</v>
      </c>
      <c r="N17081" s="434"/>
    </row>
    <row r="17082" spans="1:14" ht="12.75" hidden="1" customHeight="1" outlineLevel="1" x14ac:dyDescent="0.25">
      <c r="A17082" s="1509">
        <v>0.02</v>
      </c>
      <c r="B17082" s="1505" t="s">
        <v>44</v>
      </c>
      <c r="C17082" s="455">
        <v>1.9489000000000001</v>
      </c>
      <c r="D17082" s="1513">
        <f>VLOOKUP(H17082,indexy!$C$44:$D$823,2,FALSE)</f>
        <v>3.363</v>
      </c>
      <c r="E17082" s="1514">
        <f t="shared" si="246"/>
        <v>0.72558879367848528</v>
      </c>
      <c r="F17082" s="1659">
        <f t="shared" si="245"/>
        <v>1.4511775873569705E-2</v>
      </c>
      <c r="G17082" s="78"/>
      <c r="H17082" t="str">
        <f>VLOOKUP(B17082,indexy!$A$44:$D$823,3,FALSE)</f>
        <v>ISP IM Equity</v>
      </c>
      <c r="N17082" s="434"/>
    </row>
    <row r="17083" spans="1:14" ht="12.75" hidden="1" customHeight="1" outlineLevel="1" x14ac:dyDescent="0.25">
      <c r="A17083" s="1509">
        <v>0.05</v>
      </c>
      <c r="B17083" s="1505" t="s">
        <v>9011</v>
      </c>
      <c r="C17083" s="1507">
        <v>29.975000000000001</v>
      </c>
      <c r="D17083" s="1513">
        <f>VLOOKUP(H17083,indexy!$C$44:$D$823,2,FALSE)</f>
        <v>24</v>
      </c>
      <c r="E17083" s="1514">
        <f t="shared" si="246"/>
        <v>-0.19933277731442878</v>
      </c>
      <c r="F17083" s="1659">
        <f t="shared" si="245"/>
        <v>-9.9666388657214389E-3</v>
      </c>
      <c r="G17083" s="78"/>
      <c r="H17083" t="str">
        <f>VLOOKUP(B17083,indexy!$A$44:$D$823,3,FALSE)</f>
        <v>LI FP Equity</v>
      </c>
      <c r="N17083" s="434"/>
    </row>
    <row r="17084" spans="1:14" ht="12.75" hidden="1" customHeight="1" outlineLevel="1" x14ac:dyDescent="0.25">
      <c r="A17084" s="1509">
        <v>0.02</v>
      </c>
      <c r="B17084" s="1505" t="s">
        <v>10623</v>
      </c>
      <c r="C17084" s="455">
        <v>45.878999999999998</v>
      </c>
      <c r="D17084" s="1513">
        <f>VLOOKUP(H17084,indexy!$C$44:$D$823,2,FALSE)</f>
        <v>81.66</v>
      </c>
      <c r="E17084" s="1514">
        <f t="shared" si="246"/>
        <v>0.77989930033348598</v>
      </c>
      <c r="F17084" s="1659">
        <f t="shared" si="245"/>
        <v>1.559798600666972E-2</v>
      </c>
      <c r="G17084" s="78"/>
      <c r="H17084" t="str">
        <f>VLOOKUP(B17084,indexy!$A$44:$D$823,3,FALSE)</f>
        <v>HOLN SW Equity</v>
      </c>
      <c r="N17084" s="434"/>
    </row>
    <row r="17085" spans="1:14" ht="12.75" hidden="1" customHeight="1" outlineLevel="1" x14ac:dyDescent="0.25">
      <c r="A17085" s="1509">
        <v>0.02</v>
      </c>
      <c r="B17085" s="1505" t="s">
        <v>8768</v>
      </c>
      <c r="C17085" s="455">
        <v>117.979</v>
      </c>
      <c r="D17085" s="1513">
        <f>VLOOKUP(H17085,indexy!$C$44:$D$823,2,FALSE)</f>
        <v>199.7</v>
      </c>
      <c r="E17085" s="1514">
        <f t="shared" si="246"/>
        <v>0.6926741199705031</v>
      </c>
      <c r="F17085" s="1659">
        <f t="shared" si="245"/>
        <v>1.3853482399410063E-2</v>
      </c>
      <c r="G17085" s="78"/>
      <c r="H17085" t="str">
        <f>VLOOKUP(B17085,indexy!$A$44:$D$823,3,FALSE)</f>
        <v>MQG AT Equity</v>
      </c>
      <c r="N17085" s="434"/>
    </row>
    <row r="17086" spans="1:14" ht="12.75" hidden="1" customHeight="1" outlineLevel="1" x14ac:dyDescent="0.25">
      <c r="A17086" s="1509">
        <v>0.02</v>
      </c>
      <c r="B17086" s="1505" t="s">
        <v>7838</v>
      </c>
      <c r="C17086" s="455">
        <v>44.148000000000003</v>
      </c>
      <c r="D17086" s="1513">
        <f>VLOOKUP(H17086,indexy!$C$44:$D$823,2,FALSE)</f>
        <v>74.11</v>
      </c>
      <c r="E17086" s="1514">
        <f t="shared" si="246"/>
        <v>0.67867174050919621</v>
      </c>
      <c r="F17086" s="1659">
        <f t="shared" si="245"/>
        <v>1.3573434810183924E-2</v>
      </c>
      <c r="G17086" s="78"/>
      <c r="H17086" t="str">
        <f>VLOOKUP(B17086,indexy!$A$44:$D$823,3,FALSE)</f>
        <v>MET UN Equity</v>
      </c>
      <c r="N17086" s="434"/>
    </row>
    <row r="17087" spans="1:14" ht="12.75" hidden="1" customHeight="1" outlineLevel="1" x14ac:dyDescent="0.25">
      <c r="A17087" s="1509">
        <v>0.02</v>
      </c>
      <c r="B17087" s="1505" t="s">
        <v>1190</v>
      </c>
      <c r="C17087" s="455">
        <v>5.0408999999999997</v>
      </c>
      <c r="D17087" s="1513">
        <f>VLOOKUP(H17087,indexy!$C$44:$D$823,2,FALSE)</f>
        <v>3.2909999999999999</v>
      </c>
      <c r="E17087" s="1514">
        <f t="shared" si="246"/>
        <v>-0.34714039159673871</v>
      </c>
      <c r="F17087" s="1659">
        <f t="shared" si="245"/>
        <v>-6.9428078319347742E-3</v>
      </c>
      <c r="G17087" s="78"/>
      <c r="H17087" t="str">
        <f>VLOOKUP(B17087,indexy!$A$44:$D$823,3,FALSE)</f>
        <v>NOKIA FH Equity</v>
      </c>
      <c r="N17087" s="434"/>
    </row>
    <row r="17088" spans="1:14" ht="12.75" hidden="1" customHeight="1" outlineLevel="1" x14ac:dyDescent="0.25">
      <c r="A17088" s="1509">
        <v>7.0000000000000007E-2</v>
      </c>
      <c r="B17088" s="1505" t="s">
        <v>1203</v>
      </c>
      <c r="C17088" s="455">
        <v>81.233000000000004</v>
      </c>
      <c r="D17088" s="1513">
        <f>VLOOKUP(H17088,indexy!$C$44:$D$823,2,FALSE)</f>
        <v>119.2</v>
      </c>
      <c r="E17088" s="1514">
        <f t="shared" si="246"/>
        <v>0.46738394494848157</v>
      </c>
      <c r="F17088" s="1659">
        <f t="shared" si="245"/>
        <v>3.2716876146393715E-2</v>
      </c>
      <c r="G17088" s="78"/>
      <c r="H17088" t="str">
        <f>VLOOKUP(B17088,indexy!$A$44:$D$823,3,FALSE)</f>
        <v>NDA SS Equity</v>
      </c>
      <c r="N17088" s="434"/>
    </row>
    <row r="17089" spans="1:14" ht="12.75" hidden="1" customHeight="1" outlineLevel="1" x14ac:dyDescent="0.25">
      <c r="A17089" s="1509">
        <v>0.05</v>
      </c>
      <c r="B17089" s="1505" t="s">
        <v>2787</v>
      </c>
      <c r="C17089" s="455">
        <v>77.585027363354683</v>
      </c>
      <c r="D17089" s="1513">
        <f>VLOOKUP(H17089,indexy!$C$44:$D$823,2,FALSE)</f>
        <v>87.37</v>
      </c>
      <c r="E17089" s="1514">
        <f t="shared" si="246"/>
        <v>0.12611934247080003</v>
      </c>
      <c r="F17089" s="1659">
        <f t="shared" si="245"/>
        <v>6.305967123540002E-3</v>
      </c>
      <c r="G17089" s="78"/>
      <c r="H17089" t="str">
        <f>VLOOKUP(B17089,indexy!$A$44:$D$823,3,FALSE)</f>
        <v>NOVN SE Equity</v>
      </c>
      <c r="N17089" s="434"/>
    </row>
    <row r="17090" spans="1:14" ht="12.75" hidden="1" customHeight="1" outlineLevel="1" x14ac:dyDescent="0.25">
      <c r="A17090" s="1509">
        <v>0.02</v>
      </c>
      <c r="B17090" s="1505" t="s">
        <v>1414</v>
      </c>
      <c r="C17090" s="455">
        <v>41.214555868339694</v>
      </c>
      <c r="D17090" s="1513">
        <f>VLOOKUP(H17090,indexy!$C$44:$D$823,2,FALSE)</f>
        <v>27.75</v>
      </c>
      <c r="E17090" s="1514">
        <f t="shared" si="246"/>
        <v>-0.32669418812500006</v>
      </c>
      <c r="F17090" s="1659">
        <f t="shared" si="245"/>
        <v>-6.5338837625000014E-3</v>
      </c>
      <c r="G17090" s="78"/>
      <c r="H17090" t="str">
        <f>VLOOKUP(B17090,indexy!$A$44:$D$823,3,FALSE)</f>
        <v>PFE UN Equity</v>
      </c>
      <c r="N17090" s="434"/>
    </row>
    <row r="17091" spans="1:14" ht="12.75" hidden="1" customHeight="1" outlineLevel="1" x14ac:dyDescent="0.25">
      <c r="A17091" s="1509">
        <v>0.02</v>
      </c>
      <c r="B17091" s="1505" t="s">
        <v>3023</v>
      </c>
      <c r="C17091" s="455">
        <v>92.805999999999997</v>
      </c>
      <c r="D17091" s="1513">
        <f>VLOOKUP(H17091,indexy!$C$44:$D$823,2,FALSE)</f>
        <v>162.25</v>
      </c>
      <c r="E17091" s="1514">
        <f t="shared" si="246"/>
        <v>0.74827058595349438</v>
      </c>
      <c r="F17091" s="1659">
        <f t="shared" si="245"/>
        <v>1.4965411719069888E-2</v>
      </c>
      <c r="G17091" s="78"/>
      <c r="H17091" t="str">
        <f>VLOOKUP(B17091,indexy!$A$44:$D$823,3,FALSE)</f>
        <v>PG UN Equity</v>
      </c>
      <c r="N17091" s="434"/>
    </row>
    <row r="17092" spans="1:14" ht="12.75" hidden="1" customHeight="1" outlineLevel="1" x14ac:dyDescent="0.25">
      <c r="A17092" s="1509">
        <v>0.02</v>
      </c>
      <c r="B17092" s="1505" t="s">
        <v>10667</v>
      </c>
      <c r="C17092" s="455">
        <v>23.939499999999999</v>
      </c>
      <c r="D17092" s="1513">
        <f>VLOOKUP(H17092,indexy!$C$44:$D$823,2,FALSE)/100</f>
        <v>26.25</v>
      </c>
      <c r="E17092" s="1514">
        <f t="shared" si="246"/>
        <v>9.6514129367781365E-2</v>
      </c>
      <c r="F17092" s="1659">
        <f t="shared" si="245"/>
        <v>1.9302825873556274E-3</v>
      </c>
      <c r="G17092" s="78"/>
      <c r="H17092" t="str">
        <f>VLOOKUP(B17092,indexy!$A$44:$D$823,3,FALSE)</f>
        <v>SHEL LN Equity</v>
      </c>
      <c r="N17092" s="434"/>
    </row>
    <row r="17093" spans="1:14" ht="12.75" hidden="1" customHeight="1" outlineLevel="1" x14ac:dyDescent="0.25">
      <c r="A17093" s="1509">
        <v>0.03</v>
      </c>
      <c r="B17093" s="1505" t="s">
        <v>1187</v>
      </c>
      <c r="C17093" s="455">
        <v>78.644849830333186</v>
      </c>
      <c r="D17093" s="1513">
        <f>VLOOKUP(H17093,indexy!$C$44:$D$823,2,FALSE)</f>
        <v>90.96</v>
      </c>
      <c r="E17093" s="1514">
        <f t="shared" si="246"/>
        <v>0.15659194716799973</v>
      </c>
      <c r="F17093" s="1659">
        <f t="shared" si="245"/>
        <v>4.6977584150399918E-3</v>
      </c>
      <c r="G17093" s="78"/>
      <c r="H17093" t="str">
        <f>VLOOKUP(B17093,indexy!$A$44:$D$823,3,FALSE)</f>
        <v>SAN FP Equity</v>
      </c>
      <c r="N17093" s="434"/>
    </row>
    <row r="17094" spans="1:14" ht="12.75" hidden="1" customHeight="1" outlineLevel="1" x14ac:dyDescent="0.25">
      <c r="A17094" s="1509">
        <v>0.02</v>
      </c>
      <c r="B17094" s="1505" t="s">
        <v>8210</v>
      </c>
      <c r="C17094" s="455">
        <v>185.58</v>
      </c>
      <c r="D17094" s="1513">
        <f>VLOOKUP(H17094,indexy!$C$44:$D$823,2,FALSE)</f>
        <v>156.49</v>
      </c>
      <c r="E17094" s="1514">
        <f t="shared" si="246"/>
        <v>-0.15675180515141718</v>
      </c>
      <c r="F17094" s="1659">
        <f t="shared" si="245"/>
        <v>-3.1350361030283436E-3</v>
      </c>
      <c r="G17094" s="78"/>
      <c r="H17094" t="str">
        <f>VLOOKUP(B17094,indexy!$A$44:$D$823,3,FALSE)</f>
        <v>SPG UN Equity</v>
      </c>
      <c r="N17094" s="434"/>
    </row>
    <row r="17095" spans="1:14" ht="12.75" hidden="1" customHeight="1" outlineLevel="1" x14ac:dyDescent="0.25">
      <c r="A17095" s="1509">
        <v>0.08</v>
      </c>
      <c r="B17095" s="1505" t="s">
        <v>1724</v>
      </c>
      <c r="C17095" s="455">
        <v>202.17624430039263</v>
      </c>
      <c r="D17095" s="1513">
        <f>VLOOKUP(H17095,indexy!$C$44:$D$823,2,FALSE)</f>
        <v>212.3</v>
      </c>
      <c r="E17095" s="1514">
        <f t="shared" si="246"/>
        <v>5.0073913157500094E-2</v>
      </c>
      <c r="F17095" s="1659">
        <f t="shared" si="245"/>
        <v>4.0059130526000075E-3</v>
      </c>
      <c r="G17095" s="78"/>
      <c r="H17095" t="str">
        <f>VLOOKUP(B17095,indexy!$A$44:$D$823,3,FALSE)</f>
        <v>SWEDA SS Equity</v>
      </c>
      <c r="N17095" s="434"/>
    </row>
    <row r="17096" spans="1:14" ht="12.75" hidden="1" customHeight="1" outlineLevel="1" x14ac:dyDescent="0.25">
      <c r="A17096" s="1509">
        <v>0.02</v>
      </c>
      <c r="B17096" s="1505" t="s">
        <v>1142</v>
      </c>
      <c r="C17096" s="455">
        <v>49.671999999999997</v>
      </c>
      <c r="D17096" s="1513">
        <f>VLOOKUP(H17096,indexy!$C$44:$D$823,2,FALSE)</f>
        <v>61.18</v>
      </c>
      <c r="E17096" s="1514">
        <f t="shared" si="246"/>
        <v>0.2316798196166856</v>
      </c>
      <c r="F17096" s="1659">
        <f>E17096*A17096</f>
        <v>4.6335963923337118E-3</v>
      </c>
      <c r="G17096" s="78"/>
      <c r="H17096" t="str">
        <f>VLOOKUP(B17096,indexy!$A$44:$D$823,3,FALSE)</f>
        <v>KO UN Equity</v>
      </c>
      <c r="N17096" s="434"/>
    </row>
    <row r="17097" spans="1:14" ht="12.75" hidden="1" customHeight="1" outlineLevel="1" x14ac:dyDescent="0.25">
      <c r="A17097" s="1509">
        <v>0.02</v>
      </c>
      <c r="B17097" s="1505" t="s">
        <v>366</v>
      </c>
      <c r="C17097" s="455">
        <v>52.564999999999998</v>
      </c>
      <c r="D17097" s="1513">
        <f>VLOOKUP(H17097,indexy!$C$44:$D$823,2,FALSE)</f>
        <v>54.44</v>
      </c>
      <c r="E17097" s="1514">
        <f t="shared" si="246"/>
        <v>3.5670122705222074E-2</v>
      </c>
      <c r="F17097" s="1659">
        <f>E17097*A17097</f>
        <v>7.1340245410444147E-4</v>
      </c>
      <c r="G17097" s="78"/>
      <c r="H17097" t="str">
        <f>VLOOKUP(B17097,indexy!$A$44:$D$823,3,FALSE)</f>
        <v>TRP CT Equity</v>
      </c>
      <c r="N17097" s="434"/>
    </row>
    <row r="17098" spans="1:14" ht="12.75" hidden="1" customHeight="1" outlineLevel="1" x14ac:dyDescent="0.25">
      <c r="A17098" s="1509">
        <v>0.02</v>
      </c>
      <c r="B17098" s="1505" t="s">
        <v>580</v>
      </c>
      <c r="C17098" s="455">
        <v>105.64889814723053</v>
      </c>
      <c r="D17098" s="1513">
        <f>VLOOKUP(H17098,indexy!$C$44:$D$823,2,FALSE)</f>
        <v>290.10000000000002</v>
      </c>
      <c r="E17098" s="1514">
        <f t="shared" si="246"/>
        <v>1.7458876059050001</v>
      </c>
      <c r="F17098" s="1659">
        <f>E17098*A17098</f>
        <v>3.4917752118100005E-2</v>
      </c>
      <c r="G17098" s="78"/>
      <c r="H17098" t="str">
        <f>VLOOKUP(B17098,indexy!$A$44:$D$823,3,FALSE)</f>
        <v>VOLVB SS Equity</v>
      </c>
      <c r="N17098" s="434"/>
    </row>
    <row r="17099" spans="1:14" ht="12.75" hidden="1" customHeight="1" outlineLevel="1" x14ac:dyDescent="0.25">
      <c r="A17099" s="1509">
        <v>0.02</v>
      </c>
      <c r="B17099" s="1505" t="s">
        <v>10740</v>
      </c>
      <c r="C17099" s="455">
        <v>32.835999999999999</v>
      </c>
      <c r="D17099" s="1513">
        <f>VLOOKUP(H17099,indexy!$C$44:$D$823,2,FALSE)</f>
        <v>30.5</v>
      </c>
      <c r="E17099" s="1514">
        <f t="shared" si="246"/>
        <v>-7.1141430137653727E-2</v>
      </c>
      <c r="F17099" s="1659">
        <f>E17099*A17099</f>
        <v>-1.4228286027530746E-3</v>
      </c>
      <c r="G17099" s="78"/>
      <c r="H17099" t="str">
        <f>VLOOKUP(B17099,indexy!$A$44:$D$823,3,FALSE)</f>
        <v>WDS AT Equity</v>
      </c>
      <c r="N17099" s="434"/>
    </row>
    <row r="17100" spans="1:14" ht="12.75" hidden="1" customHeight="1" outlineLevel="1" x14ac:dyDescent="0.25">
      <c r="A17100" s="1509">
        <v>0.06</v>
      </c>
      <c r="B17100" s="1506" t="s">
        <v>4550</v>
      </c>
      <c r="C17100" s="455">
        <v>308.87</v>
      </c>
      <c r="D17100" s="1516">
        <f>VLOOKUP(H17100,indexy!$C$44:$D$823,2,FALSE)</f>
        <v>486.3</v>
      </c>
      <c r="E17100" s="1514">
        <f t="shared" si="246"/>
        <v>0.57444879722860742</v>
      </c>
      <c r="F17100" s="1659">
        <f>E17100*A17100</f>
        <v>3.4466927833716444E-2</v>
      </c>
      <c r="G17100" s="78"/>
      <c r="H17100" t="str">
        <f>VLOOKUP(B17100,indexy!$A$44:$D$823,3,FALSE)</f>
        <v>ZURN SE Equity</v>
      </c>
      <c r="N17100" s="434"/>
    </row>
    <row r="17101" spans="1:14" ht="12.75" hidden="1" customHeight="1" outlineLevel="1" x14ac:dyDescent="0.25">
      <c r="A17101" s="1522" t="s">
        <v>2734</v>
      </c>
      <c r="B17101" s="1523"/>
      <c r="C17101" s="1524"/>
      <c r="D17101" s="1525"/>
      <c r="E17101" s="1526"/>
      <c r="F17101" s="1656">
        <f>SUM(F17071:F17100)</f>
        <v>0.28428545342007566</v>
      </c>
      <c r="G17101" s="78"/>
    </row>
    <row r="17102" spans="1:14" ht="12.75" hidden="1" customHeight="1" outlineLevel="1" x14ac:dyDescent="0.25">
      <c r="A17102" s="1503" t="s">
        <v>9562</v>
      </c>
      <c r="B17102" s="1504">
        <v>44958</v>
      </c>
      <c r="C17102" s="1527">
        <v>100</v>
      </c>
      <c r="D17102" s="1527">
        <v>121.0124</v>
      </c>
      <c r="E17102" s="1528">
        <f>IF(D17102="",F17101,D17102/C17102-1)</f>
        <v>0.21012399999999998</v>
      </c>
      <c r="F17102" s="1839"/>
      <c r="G17102" s="78"/>
    </row>
    <row r="17103" spans="1:14" ht="12.75" hidden="1" customHeight="1" outlineLevel="1" x14ac:dyDescent="0.25">
      <c r="A17103" s="1503" t="s">
        <v>9563</v>
      </c>
      <c r="B17103" s="1504">
        <v>44986</v>
      </c>
      <c r="C17103" s="1527">
        <v>100</v>
      </c>
      <c r="D17103" s="1530">
        <v>115.5668</v>
      </c>
      <c r="E17103" s="1528">
        <f>IF(D17103="",E17102,D17103/C17103-1)</f>
        <v>0.15566799999999992</v>
      </c>
      <c r="F17103" s="1839"/>
      <c r="G17103" s="78"/>
    </row>
    <row r="17104" spans="1:14" ht="12.75" hidden="1" customHeight="1" outlineLevel="1" x14ac:dyDescent="0.25">
      <c r="A17104" s="1503" t="s">
        <v>9564</v>
      </c>
      <c r="B17104" s="1504">
        <v>45017</v>
      </c>
      <c r="C17104" s="1527">
        <v>100</v>
      </c>
      <c r="D17104" s="1530">
        <v>118.2993</v>
      </c>
      <c r="E17104" s="1528">
        <f t="shared" ref="E17104:E17105" si="247">IF(D17104="",E17103,D17104/C17104-1)</f>
        <v>0.18299299999999996</v>
      </c>
      <c r="F17104" s="1839"/>
      <c r="G17104" s="78"/>
    </row>
    <row r="17105" spans="1:7" ht="12.75" hidden="1" customHeight="1" outlineLevel="1" x14ac:dyDescent="0.25">
      <c r="A17105" s="1503" t="s">
        <v>9565</v>
      </c>
      <c r="B17105" s="1504">
        <v>45047</v>
      </c>
      <c r="C17105" s="1527">
        <v>100</v>
      </c>
      <c r="D17105" s="1530">
        <v>111.176</v>
      </c>
      <c r="E17105" s="1528">
        <f t="shared" si="247"/>
        <v>0.11176000000000008</v>
      </c>
      <c r="F17105" s="1839"/>
      <c r="G17105" s="78"/>
    </row>
    <row r="17106" spans="1:7" ht="12.75" hidden="1" customHeight="1" outlineLevel="1" x14ac:dyDescent="0.25">
      <c r="A17106" s="1503" t="s">
        <v>9566</v>
      </c>
      <c r="B17106" s="1504">
        <v>45078</v>
      </c>
      <c r="C17106" s="1527">
        <v>100</v>
      </c>
      <c r="D17106" s="1530">
        <v>116.4624</v>
      </c>
      <c r="E17106" s="1528">
        <f>IF(D17106="",$F$17101,D17106/C17106-1)</f>
        <v>0.1646240000000001</v>
      </c>
      <c r="F17106" s="1839"/>
      <c r="G17106" s="78"/>
    </row>
    <row r="17107" spans="1:7" ht="12.75" hidden="1" customHeight="1" outlineLevel="1" x14ac:dyDescent="0.25">
      <c r="A17107" s="1503" t="s">
        <v>9567</v>
      </c>
      <c r="B17107" s="1504">
        <v>45108</v>
      </c>
      <c r="C17107" s="1527">
        <v>100</v>
      </c>
      <c r="D17107" s="1530">
        <v>118.8203</v>
      </c>
      <c r="E17107" s="1528">
        <f t="shared" ref="E17107:E17119" si="248">IF(D17107="",$F$17101,D17107/C17107-1)</f>
        <v>0.18820300000000012</v>
      </c>
      <c r="F17107" s="1839"/>
      <c r="G17107" s="78"/>
    </row>
    <row r="17108" spans="1:7" ht="12.75" hidden="1" customHeight="1" outlineLevel="1" x14ac:dyDescent="0.25">
      <c r="A17108" s="1503" t="s">
        <v>9568</v>
      </c>
      <c r="B17108" s="1504">
        <v>45139</v>
      </c>
      <c r="C17108" s="1527">
        <v>100</v>
      </c>
      <c r="D17108" s="1530">
        <v>116.88590000000001</v>
      </c>
      <c r="E17108" s="1528">
        <f t="shared" si="248"/>
        <v>0.16885900000000009</v>
      </c>
      <c r="F17108" s="1839"/>
      <c r="G17108" s="78"/>
    </row>
    <row r="17109" spans="1:7" ht="12.75" hidden="1" customHeight="1" outlineLevel="1" x14ac:dyDescent="0.25">
      <c r="A17109" s="1503" t="s">
        <v>9569</v>
      </c>
      <c r="B17109" s="1504">
        <v>45170</v>
      </c>
      <c r="C17109" s="1527">
        <v>100</v>
      </c>
      <c r="D17109" s="1530">
        <v>116.7405</v>
      </c>
      <c r="E17109" s="1528">
        <f t="shared" si="248"/>
        <v>0.16740500000000003</v>
      </c>
      <c r="F17109" s="1839"/>
      <c r="G17109" s="78"/>
    </row>
    <row r="17110" spans="1:7" ht="12.75" hidden="1" customHeight="1" outlineLevel="1" x14ac:dyDescent="0.25">
      <c r="A17110" s="1503" t="s">
        <v>9570</v>
      </c>
      <c r="B17110" s="1504">
        <v>45200</v>
      </c>
      <c r="C17110" s="1527">
        <v>100</v>
      </c>
      <c r="D17110" s="1530">
        <v>112.761</v>
      </c>
      <c r="E17110" s="1528">
        <f t="shared" si="248"/>
        <v>0.12761</v>
      </c>
      <c r="F17110" s="1839"/>
      <c r="G17110" s="78"/>
    </row>
    <row r="17111" spans="1:7" ht="12.75" hidden="1" customHeight="1" outlineLevel="1" x14ac:dyDescent="0.25">
      <c r="A17111" s="1503" t="s">
        <v>9571</v>
      </c>
      <c r="B17111" s="1504">
        <v>45231</v>
      </c>
      <c r="C17111" s="1527">
        <v>100</v>
      </c>
      <c r="D17111" s="1530">
        <v>116.5335</v>
      </c>
      <c r="E17111" s="1528">
        <f t="shared" si="248"/>
        <v>0.16533500000000001</v>
      </c>
      <c r="F17111" s="1839"/>
      <c r="G17111" s="78"/>
    </row>
    <row r="17112" spans="1:7" ht="12.75" hidden="1" customHeight="1" outlineLevel="1" x14ac:dyDescent="0.25">
      <c r="A17112" s="1503" t="s">
        <v>9572</v>
      </c>
      <c r="B17112" s="1504">
        <v>45261</v>
      </c>
      <c r="C17112" s="1527">
        <v>100</v>
      </c>
      <c r="D17112" s="1530">
        <v>120.1313</v>
      </c>
      <c r="E17112" s="1528">
        <f t="shared" si="248"/>
        <v>0.20131299999999985</v>
      </c>
      <c r="F17112" s="1839"/>
      <c r="G17112" s="78"/>
    </row>
    <row r="17113" spans="1:7" ht="12.75" hidden="1" customHeight="1" outlineLevel="1" x14ac:dyDescent="0.25">
      <c r="A17113" s="1503" t="s">
        <v>9573</v>
      </c>
      <c r="B17113" s="1504">
        <v>45292</v>
      </c>
      <c r="C17113" s="1527">
        <v>100</v>
      </c>
      <c r="D17113" s="1530"/>
      <c r="E17113" s="1528">
        <f t="shared" si="248"/>
        <v>0.28428545342007566</v>
      </c>
      <c r="F17113" s="1839"/>
      <c r="G17113" s="78"/>
    </row>
    <row r="17114" spans="1:7" ht="12.75" hidden="1" customHeight="1" outlineLevel="1" x14ac:dyDescent="0.25">
      <c r="A17114" s="1503" t="s">
        <v>9574</v>
      </c>
      <c r="B17114" s="1504">
        <v>45323</v>
      </c>
      <c r="C17114" s="1527">
        <v>100</v>
      </c>
      <c r="D17114" s="1530"/>
      <c r="E17114" s="1528">
        <f t="shared" si="248"/>
        <v>0.28428545342007566</v>
      </c>
      <c r="F17114" s="1839"/>
      <c r="G17114" s="78"/>
    </row>
    <row r="17115" spans="1:7" ht="12.75" hidden="1" customHeight="1" outlineLevel="1" x14ac:dyDescent="0.25">
      <c r="A17115" s="1503" t="s">
        <v>9575</v>
      </c>
      <c r="B17115" s="1504">
        <v>45352</v>
      </c>
      <c r="C17115" s="1527">
        <v>100</v>
      </c>
      <c r="D17115" s="1530"/>
      <c r="E17115" s="1528">
        <f t="shared" si="248"/>
        <v>0.28428545342007566</v>
      </c>
      <c r="F17115" s="1839"/>
      <c r="G17115" s="78"/>
    </row>
    <row r="17116" spans="1:7" ht="12.75" hidden="1" customHeight="1" outlineLevel="1" x14ac:dyDescent="0.25">
      <c r="A17116" s="1503" t="s">
        <v>9576</v>
      </c>
      <c r="B17116" s="1504">
        <v>45383</v>
      </c>
      <c r="C17116" s="1527">
        <v>100</v>
      </c>
      <c r="D17116" s="1530"/>
      <c r="E17116" s="1528">
        <f t="shared" si="248"/>
        <v>0.28428545342007566</v>
      </c>
      <c r="F17116" s="1839"/>
      <c r="G17116" s="78"/>
    </row>
    <row r="17117" spans="1:7" ht="12.75" hidden="1" customHeight="1" outlineLevel="1" x14ac:dyDescent="0.25">
      <c r="A17117" s="1503" t="s">
        <v>9577</v>
      </c>
      <c r="B17117" s="1504">
        <v>45413</v>
      </c>
      <c r="C17117" s="1527">
        <v>100</v>
      </c>
      <c r="D17117" s="1530"/>
      <c r="E17117" s="1528">
        <f t="shared" si="248"/>
        <v>0.28428545342007566</v>
      </c>
      <c r="F17117" s="1839"/>
      <c r="G17117" s="78"/>
    </row>
    <row r="17118" spans="1:7" ht="12.75" hidden="1" customHeight="1" outlineLevel="1" x14ac:dyDescent="0.25">
      <c r="A17118" s="1503" t="s">
        <v>9578</v>
      </c>
      <c r="B17118" s="1504">
        <v>45444</v>
      </c>
      <c r="C17118" s="1527">
        <v>100</v>
      </c>
      <c r="D17118" s="1530"/>
      <c r="E17118" s="1528">
        <f t="shared" si="248"/>
        <v>0.28428545342007566</v>
      </c>
      <c r="F17118" s="1839"/>
      <c r="G17118" s="78"/>
    </row>
    <row r="17119" spans="1:7" ht="12.75" hidden="1" customHeight="1" outlineLevel="1" x14ac:dyDescent="0.25">
      <c r="A17119" s="1503" t="s">
        <v>9579</v>
      </c>
      <c r="B17119" s="1504">
        <v>45474</v>
      </c>
      <c r="C17119" s="1527">
        <v>100</v>
      </c>
      <c r="D17119" s="1530"/>
      <c r="E17119" s="1528">
        <f t="shared" si="248"/>
        <v>0.28428545342007566</v>
      </c>
      <c r="F17119" s="1839"/>
      <c r="G17119" s="78"/>
    </row>
    <row r="17120" spans="1:7" ht="12.75" hidden="1" customHeight="1" outlineLevel="1" x14ac:dyDescent="0.25">
      <c r="A17120" s="1531" t="s">
        <v>2734</v>
      </c>
      <c r="B17120" s="1532"/>
      <c r="C17120" s="1530"/>
      <c r="D17120" s="1533" t="s">
        <v>2465</v>
      </c>
      <c r="E17120" s="1534">
        <f>AVERAGE(E17102:E17119)</f>
        <v>0.21299400966336282</v>
      </c>
      <c r="F17120" s="1840">
        <f>MAX(0,MIN(E17120,50%))</f>
        <v>0.21299400966336282</v>
      </c>
      <c r="G17120" s="78"/>
    </row>
    <row r="17121" spans="1:10" collapsed="1" x14ac:dyDescent="0.25">
      <c r="A17121" s="3799" t="s">
        <v>9426</v>
      </c>
      <c r="B17121" s="3800"/>
      <c r="C17121" s="3800"/>
      <c r="D17121" s="3800"/>
      <c r="E17121" s="18"/>
      <c r="F17121" s="186">
        <f>+F17120</f>
        <v>0.21299400966336282</v>
      </c>
      <c r="G17121" s="78"/>
    </row>
    <row r="17123" spans="1:10" hidden="1" outlineLevel="1" x14ac:dyDescent="0.25">
      <c r="A17123" s="3222" t="s">
        <v>113</v>
      </c>
      <c r="B17123" s="3219" t="s">
        <v>114</v>
      </c>
      <c r="C17123" s="3219" t="s">
        <v>112</v>
      </c>
      <c r="D17123" s="3219" t="s">
        <v>4155</v>
      </c>
      <c r="E17123" s="3219" t="s">
        <v>116</v>
      </c>
      <c r="F17123" s="3350" t="s">
        <v>121</v>
      </c>
      <c r="G17123" s="78"/>
      <c r="H17123" s="438" t="s">
        <v>5391</v>
      </c>
      <c r="I17123" s="438" t="s">
        <v>5392</v>
      </c>
    </row>
    <row r="17124" spans="1:10" hidden="1" outlineLevel="1" x14ac:dyDescent="0.25">
      <c r="A17124" s="3296" t="s">
        <v>8099</v>
      </c>
      <c r="B17124" s="3466" t="s">
        <v>2153</v>
      </c>
      <c r="C17124" s="3467">
        <v>3054.0880000000002</v>
      </c>
      <c r="D17124" s="3908"/>
      <c r="E17124" s="3468">
        <v>4156.1260000000002</v>
      </c>
      <c r="F17124" s="3469">
        <v>0.21</v>
      </c>
      <c r="G17124" s="78"/>
      <c r="H17124" s="92">
        <v>0.36084029012916452</v>
      </c>
      <c r="I17124" s="450">
        <v>0.21</v>
      </c>
    </row>
    <row r="17125" spans="1:10" hidden="1" outlineLevel="1" x14ac:dyDescent="0.25">
      <c r="A17125" s="3296" t="s">
        <v>8100</v>
      </c>
      <c r="B17125" s="3466" t="s">
        <v>2153</v>
      </c>
      <c r="C17125" s="3470"/>
      <c r="D17125" s="3909"/>
      <c r="E17125" s="3471"/>
      <c r="F17125" s="3472" t="s">
        <v>5590</v>
      </c>
      <c r="G17125" s="78"/>
      <c r="H17125" s="79" t="s">
        <v>5590</v>
      </c>
      <c r="I17125" s="451">
        <v>0.28000000000000003</v>
      </c>
    </row>
    <row r="17126" spans="1:10" hidden="1" outlineLevel="1" x14ac:dyDescent="0.25">
      <c r="A17126" s="3296" t="s">
        <v>8101</v>
      </c>
      <c r="B17126" s="3466" t="s">
        <v>2153</v>
      </c>
      <c r="C17126" s="3470" t="s">
        <v>5590</v>
      </c>
      <c r="D17126" s="3909"/>
      <c r="E17126" s="3471"/>
      <c r="F17126" s="3472" t="s">
        <v>5590</v>
      </c>
      <c r="G17126" s="78"/>
      <c r="H17126" s="79" t="s">
        <v>5590</v>
      </c>
      <c r="I17126" s="451">
        <v>0.35</v>
      </c>
    </row>
    <row r="17127" spans="1:10" hidden="1" outlineLevel="1" x14ac:dyDescent="0.25">
      <c r="A17127" s="3296" t="s">
        <v>8102</v>
      </c>
      <c r="B17127" s="3466" t="s">
        <v>2153</v>
      </c>
      <c r="C17127" s="3470" t="s">
        <v>5590</v>
      </c>
      <c r="D17127" s="3909"/>
      <c r="E17127" s="3471"/>
      <c r="F17127" s="3472" t="s">
        <v>5590</v>
      </c>
      <c r="G17127" s="78"/>
      <c r="H17127" s="82" t="s">
        <v>5590</v>
      </c>
      <c r="I17127" s="452">
        <v>0.42</v>
      </c>
    </row>
    <row r="17128" spans="1:10" hidden="1" outlineLevel="1" x14ac:dyDescent="0.25">
      <c r="A17128" s="3296" t="s">
        <v>8103</v>
      </c>
      <c r="B17128" s="3466" t="s">
        <v>2153</v>
      </c>
      <c r="C17128" s="3473" t="s">
        <v>5590</v>
      </c>
      <c r="D17128" s="3910"/>
      <c r="E17128" s="3471"/>
      <c r="F17128" s="3474" t="s">
        <v>5590</v>
      </c>
      <c r="G17128" s="78"/>
      <c r="H17128" s="37">
        <v>0.36084029012916452</v>
      </c>
    </row>
    <row r="17129" spans="1:10" hidden="1" outlineLevel="1" x14ac:dyDescent="0.25">
      <c r="A17129" s="3475" t="s">
        <v>2734</v>
      </c>
      <c r="B17129" s="3466"/>
      <c r="C17129" s="3476"/>
      <c r="D17129" s="3477"/>
      <c r="E17129" s="3478"/>
      <c r="F17129" s="3479">
        <v>0.21</v>
      </c>
      <c r="G17129" s="78"/>
      <c r="H17129" s="74"/>
    </row>
    <row r="17130" spans="1:10" collapsed="1" x14ac:dyDescent="0.25">
      <c r="A17130" s="3801" t="s">
        <v>9506</v>
      </c>
      <c r="B17130" s="3802"/>
      <c r="C17130" s="3802"/>
      <c r="D17130" s="3802"/>
      <c r="E17130" s="1906"/>
      <c r="F17130" s="1907">
        <v>0.21</v>
      </c>
      <c r="G17130" s="78"/>
      <c r="H17130" s="74"/>
    </row>
    <row r="17132" spans="1:10" hidden="1" outlineLevel="1" x14ac:dyDescent="0.25">
      <c r="A17132" s="2750" t="s">
        <v>113</v>
      </c>
      <c r="B17132" s="2750" t="s">
        <v>114</v>
      </c>
      <c r="C17132" s="2719" t="s">
        <v>112</v>
      </c>
      <c r="D17132" s="2770" t="s">
        <v>4363</v>
      </c>
      <c r="E17132" s="2719"/>
      <c r="F17132" s="2752" t="s">
        <v>8050</v>
      </c>
      <c r="G17132" s="78"/>
      <c r="J17132" s="31"/>
    </row>
    <row r="17133" spans="1:10" hidden="1" outlineLevel="1" x14ac:dyDescent="0.25">
      <c r="A17133" s="1956" t="s">
        <v>1327</v>
      </c>
      <c r="B17133" s="2664" t="s">
        <v>8048</v>
      </c>
      <c r="C17133" s="2744">
        <v>308.54199999999997</v>
      </c>
      <c r="D17133" s="2744">
        <v>323.84899999999999</v>
      </c>
      <c r="E17133" s="2315"/>
      <c r="F17133" s="2743">
        <v>4.9610749914112295E-2</v>
      </c>
      <c r="G17133" s="78"/>
      <c r="H17133" s="367"/>
      <c r="I17133" s="367"/>
    </row>
    <row r="17134" spans="1:10" hidden="1" outlineLevel="1" x14ac:dyDescent="0.25">
      <c r="A17134" s="1956" t="s">
        <v>6006</v>
      </c>
      <c r="B17134" s="2664" t="s">
        <v>8048</v>
      </c>
      <c r="C17134" s="2745"/>
      <c r="D17134" s="2745"/>
      <c r="E17134" s="2318"/>
      <c r="F17134" s="2743"/>
      <c r="G17134" s="78"/>
    </row>
    <row r="17135" spans="1:10" hidden="1" outlineLevel="1" x14ac:dyDescent="0.25">
      <c r="A17135" s="2197" t="s">
        <v>2734</v>
      </c>
      <c r="B17135" s="2757"/>
      <c r="C17135" s="1817"/>
      <c r="D17135" s="1817"/>
      <c r="E17135" s="2319"/>
      <c r="F17135" s="2743">
        <v>4.9610749914112295E-2</v>
      </c>
      <c r="G17135" s="78"/>
    </row>
    <row r="17136" spans="1:10" collapsed="1" x14ac:dyDescent="0.25">
      <c r="A17136" s="3801" t="s">
        <v>9606</v>
      </c>
      <c r="B17136" s="3802"/>
      <c r="C17136" s="3802"/>
      <c r="D17136" s="3802"/>
      <c r="E17136" s="1906"/>
      <c r="F17136" s="1890">
        <v>0.08</v>
      </c>
      <c r="G17136" s="78"/>
    </row>
    <row r="17138" spans="1:11" ht="12.75" hidden="1" customHeight="1" outlineLevel="1" x14ac:dyDescent="0.25">
      <c r="A17138" s="15" t="s">
        <v>113</v>
      </c>
      <c r="B17138" s="15" t="s">
        <v>114</v>
      </c>
      <c r="C17138" s="15" t="s">
        <v>112</v>
      </c>
      <c r="D17138" s="15" t="s">
        <v>116</v>
      </c>
      <c r="E17138" s="15" t="s">
        <v>117</v>
      </c>
      <c r="F17138" s="1882" t="s">
        <v>121</v>
      </c>
      <c r="G17138" s="78"/>
    </row>
    <row r="17139" spans="1:11" ht="12.75" hidden="1" customHeight="1" outlineLevel="1" x14ac:dyDescent="0.25">
      <c r="A17139" s="4">
        <v>1</v>
      </c>
      <c r="B17139" s="5" t="s">
        <v>252</v>
      </c>
      <c r="C17139" s="6">
        <v>100</v>
      </c>
      <c r="D17139" s="6"/>
      <c r="E17139" s="9"/>
      <c r="F17139" s="10"/>
      <c r="G17139" s="78"/>
    </row>
    <row r="17140" spans="1:11" ht="12.75" hidden="1" customHeight="1" outlineLevel="1" x14ac:dyDescent="0.25">
      <c r="A17140" s="21" t="s">
        <v>2734</v>
      </c>
      <c r="B17140" s="21"/>
      <c r="C17140" s="11"/>
      <c r="D17140" s="32" t="s">
        <v>3702</v>
      </c>
      <c r="E17140" s="33">
        <f>indexy!$B$2</f>
        <v>45379</v>
      </c>
      <c r="F17140" s="38"/>
      <c r="G17140" s="78"/>
    </row>
    <row r="17141" spans="1:11" ht="12.75" hidden="1" customHeight="1" outlineLevel="1" x14ac:dyDescent="0.25">
      <c r="A17141" s="22" t="s">
        <v>4156</v>
      </c>
      <c r="B17141" s="22" t="s">
        <v>4153</v>
      </c>
      <c r="C17141" s="98" t="s">
        <v>112</v>
      </c>
      <c r="D17141" s="131" t="s">
        <v>4155</v>
      </c>
      <c r="E17141" s="24" t="s">
        <v>4154</v>
      </c>
      <c r="F17141" s="189" t="s">
        <v>2519</v>
      </c>
      <c r="G17141" s="78"/>
    </row>
    <row r="17142" spans="1:11" ht="12.75" hidden="1" customHeight="1" outlineLevel="1" x14ac:dyDescent="0.25">
      <c r="A17142" s="134">
        <v>0.02</v>
      </c>
      <c r="B17142" s="211" t="s">
        <v>1995</v>
      </c>
      <c r="C17142" s="472">
        <v>69.382999999999996</v>
      </c>
      <c r="D17142" s="1488">
        <f>VLOOKUP($H17142,indexy!$C$44:$D$823,2,FALSE)</f>
        <v>113.66</v>
      </c>
      <c r="E17142" s="1491">
        <f>$D17142/$C17142-1</f>
        <v>0.63815343816208592</v>
      </c>
      <c r="F17142" s="1805">
        <f>$E17142*$A17142</f>
        <v>1.2763068763241719E-2</v>
      </c>
      <c r="G17142" s="78"/>
      <c r="H17142" t="str">
        <f>VLOOKUP(B17142,indexy!$A$44:$D$823,3,FALSE)</f>
        <v>ABT UN Equity</v>
      </c>
      <c r="I17142">
        <f>VLOOKUP(H17142,[8]Fixing!$B$10:$C$39,2,0)</f>
        <v>2.8825504799999999E-2</v>
      </c>
      <c r="J17142">
        <f t="shared" ref="J17142:J17171" si="249">+A17142*100/I17142</f>
        <v>69.383000016013597</v>
      </c>
      <c r="K17142" s="434">
        <f t="shared" ref="K17142:K17171" si="250">+J17142-C17142</f>
        <v>1.6013601111808384E-8</v>
      </c>
    </row>
    <row r="17143" spans="1:11" ht="12.75" hidden="1" customHeight="1" outlineLevel="1" x14ac:dyDescent="0.25">
      <c r="A17143" s="135">
        <v>0.02</v>
      </c>
      <c r="B17143" s="211" t="s">
        <v>7111</v>
      </c>
      <c r="C17143" s="472">
        <v>89.498000000000005</v>
      </c>
      <c r="D17143" s="1489">
        <f>VLOOKUP(H17143,indexy!$C$44:$D$823,2,FALSE)</f>
        <v>182.1</v>
      </c>
      <c r="E17143" s="1493">
        <f t="shared" ref="E17143:E17171" si="251">$D17143/$C17143-1</f>
        <v>1.0346823392701512</v>
      </c>
      <c r="F17143" s="1313">
        <f t="shared" ref="F17143:F17170" si="252">$E17143*$A17143</f>
        <v>2.0693646785403023E-2</v>
      </c>
      <c r="G17143" s="78"/>
      <c r="H17143" t="str">
        <f>VLOOKUP(B17143,indexy!$A$44:$D$823,3,FALSE)</f>
        <v>ABBV UN Equity</v>
      </c>
      <c r="I17143">
        <f>VLOOKUP(H17143,[8]Fixing!$B$10:$C$39,2,0)</f>
        <v>2.23468681E-2</v>
      </c>
      <c r="J17143">
        <f t="shared" si="249"/>
        <v>89.497999945683659</v>
      </c>
      <c r="K17143" s="434">
        <f t="shared" si="250"/>
        <v>-5.4316345199367788E-8</v>
      </c>
    </row>
    <row r="17144" spans="1:11" ht="12.75" hidden="1" customHeight="1" outlineLevel="1" x14ac:dyDescent="0.25">
      <c r="A17144" s="135">
        <v>0.02</v>
      </c>
      <c r="B17144" s="211" t="s">
        <v>8259</v>
      </c>
      <c r="C17144" s="472">
        <v>195.37799999999999</v>
      </c>
      <c r="D17144" s="1489">
        <f>VLOOKUP(H17144,indexy!$C$44:$D$823,2,FALSE)</f>
        <v>284.32</v>
      </c>
      <c r="E17144" s="1493">
        <f t="shared" si="251"/>
        <v>0.45523037394179489</v>
      </c>
      <c r="F17144" s="1313">
        <f t="shared" si="252"/>
        <v>9.1046074788358987E-3</v>
      </c>
      <c r="G17144" s="78"/>
      <c r="H17144" t="str">
        <f>VLOOKUP(B17144,indexy!$A$44:$D$823,3,FALSE)</f>
        <v>AMGN UW Equity</v>
      </c>
      <c r="I17144">
        <f>VLOOKUP(H17144,[8]Fixing!$B$10:$C$39,2,0)</f>
        <v>1.02365671E-2</v>
      </c>
      <c r="J17144">
        <f t="shared" si="249"/>
        <v>195.37799932948224</v>
      </c>
      <c r="K17144" s="434">
        <f t="shared" si="250"/>
        <v>-6.7051774976789602E-7</v>
      </c>
    </row>
    <row r="17145" spans="1:11" ht="12.75" hidden="1" customHeight="1" outlineLevel="1" x14ac:dyDescent="0.25">
      <c r="A17145" s="135">
        <v>0.05</v>
      </c>
      <c r="B17145" s="211" t="s">
        <v>2942</v>
      </c>
      <c r="C17145" s="472">
        <v>1479.45</v>
      </c>
      <c r="D17145" s="1489">
        <f>VLOOKUP(H17145,indexy!$C$44:$D$823,2,FALSE)</f>
        <v>1625</v>
      </c>
      <c r="E17145" s="1493">
        <f t="shared" si="251"/>
        <v>9.8381155159011691E-2</v>
      </c>
      <c r="F17145" s="1313">
        <f t="shared" si="252"/>
        <v>4.9190577579505852E-3</v>
      </c>
      <c r="G17145" s="78"/>
      <c r="H17145" t="str">
        <f>VLOOKUP(B17145,indexy!$A$44:$D$823,3,FALSE)</f>
        <v>4503 JT Equity</v>
      </c>
      <c r="I17145">
        <f>VLOOKUP(H17145,[8]Fixing!$B$10:$C$39,2,0)</f>
        <v>3.3796343E-3</v>
      </c>
      <c r="J17145">
        <f t="shared" si="249"/>
        <v>1479.450010316205</v>
      </c>
      <c r="K17145" s="434">
        <f t="shared" si="250"/>
        <v>1.0316204907212523E-5</v>
      </c>
    </row>
    <row r="17146" spans="1:11" ht="12.75" hidden="1" customHeight="1" outlineLevel="1" x14ac:dyDescent="0.25">
      <c r="A17146" s="135">
        <v>0.03</v>
      </c>
      <c r="B17146" s="211" t="s">
        <v>1903</v>
      </c>
      <c r="C17146" s="472">
        <v>59.185000000000002</v>
      </c>
      <c r="D17146" s="1489">
        <f>VLOOKUP(H17146,indexy!$C$44:$D$823,2,FALSE)/100</f>
        <v>106.78</v>
      </c>
      <c r="E17146" s="1493">
        <f t="shared" si="251"/>
        <v>0.80417335473515239</v>
      </c>
      <c r="F17146" s="1313">
        <f t="shared" si="252"/>
        <v>2.4125200642054572E-2</v>
      </c>
      <c r="G17146" s="78"/>
      <c r="H17146" t="str">
        <f>VLOOKUP(B17146,indexy!$A$44:$D$823,3,FALSE)</f>
        <v>AZN LN Equity</v>
      </c>
      <c r="I17146">
        <f>VLOOKUP(H17146,[8]Fixing!$B$10:$C$39,2,0)</f>
        <v>5.0688519100000003E-2</v>
      </c>
      <c r="J17146">
        <f t="shared" si="249"/>
        <v>59.184999942126929</v>
      </c>
      <c r="K17146" s="434">
        <f t="shared" si="250"/>
        <v>-5.7873073444625334E-8</v>
      </c>
    </row>
    <row r="17147" spans="1:11" ht="12.75" hidden="1" customHeight="1" outlineLevel="1" x14ac:dyDescent="0.25">
      <c r="A17147" s="135">
        <v>0.04</v>
      </c>
      <c r="B17147" s="211" t="s">
        <v>7835</v>
      </c>
      <c r="C17147" s="472">
        <v>63.283999999999999</v>
      </c>
      <c r="D17147" s="1489">
        <f>VLOOKUP(H17147,indexy!$C$44:$D$823,2,FALSE)</f>
        <v>28.43</v>
      </c>
      <c r="E17147" s="1493">
        <f t="shared" si="251"/>
        <v>-0.55075532520068271</v>
      </c>
      <c r="F17147" s="1313">
        <f t="shared" si="252"/>
        <v>-2.2030213008027308E-2</v>
      </c>
      <c r="G17147" s="78"/>
      <c r="H17147" t="str">
        <f>VLOOKUP(B17147,indexy!$A$44:$D$823,3,FALSE)</f>
        <v>BAYN GY Equity</v>
      </c>
      <c r="I17147">
        <f>VLOOKUP(H17147,[8]Fixing!$B$10:$C$39,2,0)</f>
        <v>6.3207129799999998E-2</v>
      </c>
      <c r="J17147">
        <f t="shared" si="249"/>
        <v>63.283999964193917</v>
      </c>
      <c r="K17147" s="434">
        <f t="shared" si="250"/>
        <v>-3.5806081655209709E-8</v>
      </c>
    </row>
    <row r="17148" spans="1:11" ht="12.75" hidden="1" customHeight="1" outlineLevel="1" x14ac:dyDescent="0.25">
      <c r="A17148" s="135">
        <v>0.02</v>
      </c>
      <c r="B17148" s="211" t="s">
        <v>4377</v>
      </c>
      <c r="C17148" s="472">
        <v>48.906999999999996</v>
      </c>
      <c r="D17148" s="1489">
        <f>VLOOKUP(H17148,indexy!$C$44:$D$823,2,FALSE)</f>
        <v>54.23</v>
      </c>
      <c r="E17148" s="1493">
        <f t="shared" si="251"/>
        <v>0.10883922546874691</v>
      </c>
      <c r="F17148" s="1313">
        <f t="shared" si="252"/>
        <v>2.1767845093749382E-3</v>
      </c>
      <c r="G17148" s="78"/>
      <c r="H17148" t="str">
        <f>VLOOKUP(B17148,indexy!$A$44:$D$823,3,FALSE)</f>
        <v>BMY UN Equity</v>
      </c>
      <c r="I17148">
        <f>VLOOKUP(H17148,[8]Fixing!$B$10:$C$39,2,0)</f>
        <v>4.0893941599999997E-2</v>
      </c>
      <c r="J17148">
        <f t="shared" si="249"/>
        <v>48.906999955220755</v>
      </c>
      <c r="K17148" s="434">
        <f t="shared" si="250"/>
        <v>-4.4779241648029711E-8</v>
      </c>
    </row>
    <row r="17149" spans="1:11" ht="12.75" hidden="1" customHeight="1" outlineLevel="1" x14ac:dyDescent="0.25">
      <c r="A17149" s="135">
        <v>0.02</v>
      </c>
      <c r="B17149" s="211" t="s">
        <v>8373</v>
      </c>
      <c r="C17149" s="472">
        <v>188.82900000000001</v>
      </c>
      <c r="D17149" s="1489">
        <f>VLOOKUP(H17149,indexy!$C$44:$D$823,2,FALSE)</f>
        <v>287.92</v>
      </c>
      <c r="E17149" s="1493">
        <f t="shared" si="251"/>
        <v>0.52476579338978646</v>
      </c>
      <c r="F17149" s="1313">
        <f t="shared" si="252"/>
        <v>1.0495315867795729E-2</v>
      </c>
      <c r="G17149" s="78"/>
      <c r="H17149" t="str">
        <f>VLOOKUP(B17149,indexy!$A$44:$D$823,3,FALSE)</f>
        <v>CSL AT Equity</v>
      </c>
      <c r="I17149">
        <f>VLOOKUP(H17149,[8]Fixing!$B$10:$C$39,2,0)</f>
        <v>1.05915935E-2</v>
      </c>
      <c r="J17149">
        <f t="shared" si="249"/>
        <v>188.82899914918374</v>
      </c>
      <c r="K17149" s="434">
        <f t="shared" si="250"/>
        <v>-8.5081626366445562E-7</v>
      </c>
    </row>
    <row r="17150" spans="1:11" ht="12.75" hidden="1" customHeight="1" outlineLevel="1" x14ac:dyDescent="0.25">
      <c r="A17150" s="135">
        <v>0.02</v>
      </c>
      <c r="B17150" s="211" t="s">
        <v>5516</v>
      </c>
      <c r="C17150" s="472">
        <f>3583.9/3</f>
        <v>1194.6333333333334</v>
      </c>
      <c r="D17150" s="1489">
        <f>VLOOKUP(H17150,indexy!$C$44:$D$823,2,FALSE)</f>
        <v>4798</v>
      </c>
      <c r="E17150" s="1493">
        <f t="shared" si="251"/>
        <v>3.0162950975194613</v>
      </c>
      <c r="F17150" s="1313">
        <f t="shared" si="252"/>
        <v>6.0325901950389227E-2</v>
      </c>
      <c r="G17150" s="78"/>
      <c r="H17150" t="str">
        <f>VLOOKUP(B17150,indexy!$A$44:$D$823,3,FALSE)</f>
        <v>4568 JT Equity</v>
      </c>
      <c r="I17150">
        <f>VLOOKUP(H17150,[8]Fixing!$B$10:$C$39,2,0)</f>
        <v>1.6741538999999999E-3</v>
      </c>
      <c r="J17150">
        <f t="shared" si="249"/>
        <v>1194.6333010364222</v>
      </c>
      <c r="K17150" s="434">
        <f t="shared" si="250"/>
        <v>-3.2296911285811802E-5</v>
      </c>
    </row>
    <row r="17151" spans="1:11" ht="12.75" hidden="1" customHeight="1" outlineLevel="1" x14ac:dyDescent="0.25">
      <c r="A17151" s="135">
        <v>0.02</v>
      </c>
      <c r="B17151" s="211" t="s">
        <v>7317</v>
      </c>
      <c r="C17151" s="472">
        <v>110.575</v>
      </c>
      <c r="D17151" s="1489">
        <f>VLOOKUP(H17151,indexy!$C$44:$D$823,2,FALSE)</f>
        <v>209.7</v>
      </c>
      <c r="E17151" s="1493">
        <f t="shared" si="251"/>
        <v>0.896450373049966</v>
      </c>
      <c r="F17151" s="1313">
        <f t="shared" si="252"/>
        <v>1.7929007460999319E-2</v>
      </c>
      <c r="G17151" s="78"/>
      <c r="H17151" t="str">
        <f>VLOOKUP(B17151,indexy!$A$44:$D$823,3,FALSE)</f>
        <v>EL FP Equity</v>
      </c>
      <c r="I17151">
        <f>VLOOKUP(H17151,[8]Fixing!$B$10:$C$39,2,0)</f>
        <v>1.80872711E-2</v>
      </c>
      <c r="J17151">
        <f t="shared" si="249"/>
        <v>110.57499989592128</v>
      </c>
      <c r="K17151" s="434">
        <f t="shared" si="250"/>
        <v>-1.0407872252926609E-7</v>
      </c>
    </row>
    <row r="17152" spans="1:11" ht="12.75" hidden="1" customHeight="1" outlineLevel="1" x14ac:dyDescent="0.25">
      <c r="A17152" s="135">
        <v>0.02</v>
      </c>
      <c r="B17152" s="211" t="s">
        <v>2844</v>
      </c>
      <c r="C17152" s="472">
        <v>58.165999999999997</v>
      </c>
      <c r="D17152" s="1489">
        <f>VLOOKUP(H17152,indexy!$C$44:$D$823,2,FALSE)</f>
        <v>35.65</v>
      </c>
      <c r="E17152" s="1493">
        <f t="shared" si="251"/>
        <v>-0.38709899253859648</v>
      </c>
      <c r="F17152" s="1313">
        <f t="shared" si="252"/>
        <v>-7.7419798507719299E-3</v>
      </c>
      <c r="G17152" s="78"/>
      <c r="H17152" t="str">
        <f>VLOOKUP(B17152,indexy!$A$44:$D$823,3,FALSE)</f>
        <v>FME GY Equity</v>
      </c>
      <c r="I17152">
        <f>VLOOKUP(H17152,[8]Fixing!$B$10:$C$39,2,0)</f>
        <v>3.4384348199999998E-2</v>
      </c>
      <c r="J17152">
        <f t="shared" si="249"/>
        <v>58.166000075580904</v>
      </c>
      <c r="K17152" s="434">
        <f t="shared" si="250"/>
        <v>7.5580906866434816E-8</v>
      </c>
    </row>
    <row r="17153" spans="1:11" ht="12.75" hidden="1" customHeight="1" outlineLevel="1" x14ac:dyDescent="0.25">
      <c r="A17153" s="135">
        <v>0.02</v>
      </c>
      <c r="B17153" s="211" t="s">
        <v>9621</v>
      </c>
      <c r="C17153" s="472">
        <v>43.023000000000003</v>
      </c>
      <c r="D17153" s="1489">
        <f>VLOOKUP(H17153,indexy!$C$44:$D$823,2,FALSE)</f>
        <v>25</v>
      </c>
      <c r="E17153" s="1493">
        <f t="shared" si="251"/>
        <v>-0.41891546382167677</v>
      </c>
      <c r="F17153" s="1313">
        <f t="shared" si="252"/>
        <v>-8.3783092764335362E-3</v>
      </c>
      <c r="G17153" s="78"/>
      <c r="H17153" t="str">
        <f>VLOOKUP(B17153,indexy!$A$44:$D$823,3,FALSE)</f>
        <v>FRE GY Equity</v>
      </c>
      <c r="I17153">
        <f>VLOOKUP(H17153,[8]Fixing!$B$10:$C$39,2,0)</f>
        <v>4.6486762899999999E-2</v>
      </c>
      <c r="J17153">
        <f t="shared" si="249"/>
        <v>43.022999994693116</v>
      </c>
      <c r="K17153" s="434">
        <f t="shared" si="250"/>
        <v>-5.3068873739903211E-9</v>
      </c>
    </row>
    <row r="17154" spans="1:11" ht="12.75" hidden="1" customHeight="1" outlineLevel="1" x14ac:dyDescent="0.25">
      <c r="A17154" s="135">
        <v>0.02</v>
      </c>
      <c r="B17154" s="211" t="s">
        <v>9623</v>
      </c>
      <c r="C17154" s="490">
        <v>65.694000000000003</v>
      </c>
      <c r="D17154" s="1489">
        <f>VLOOKUP(H17154,indexy!$C$44:$D$823,2,FALSE)</f>
        <v>73.25</v>
      </c>
      <c r="E17154" s="1493">
        <f t="shared" si="251"/>
        <v>0.11501811428745401</v>
      </c>
      <c r="F17154" s="1313">
        <f t="shared" si="252"/>
        <v>2.3003622857490805E-3</v>
      </c>
      <c r="G17154" s="78"/>
      <c r="H17154" t="str">
        <f>VLOOKUP(B17154,indexy!$A$44:$D$823,3,FALSE)</f>
        <v>GILD UW Equity</v>
      </c>
      <c r="I17154">
        <f>VLOOKUP(H17154,[8]Fixing!$B$10:$C$39,2,0)</f>
        <v>3.0444180599999999E-2</v>
      </c>
      <c r="J17154">
        <f t="shared" si="249"/>
        <v>65.693999988950267</v>
      </c>
      <c r="K17154" s="434">
        <f t="shared" si="250"/>
        <v>-1.1049735348933609E-8</v>
      </c>
    </row>
    <row r="17155" spans="1:11" ht="12.75" hidden="1" customHeight="1" outlineLevel="1" x14ac:dyDescent="0.25">
      <c r="A17155" s="135">
        <v>0.08</v>
      </c>
      <c r="B17155" s="211" t="s">
        <v>3799</v>
      </c>
      <c r="C17155" s="472">
        <v>15.454180864076518</v>
      </c>
      <c r="D17155" s="1489">
        <f>VLOOKUP(H17155,indexy!$C$44:$D$823,2,FALSE)/100</f>
        <v>17.085999999999999</v>
      </c>
      <c r="E17155" s="1493">
        <f t="shared" si="251"/>
        <v>0.10559078803824984</v>
      </c>
      <c r="F17155" s="1313">
        <f t="shared" si="252"/>
        <v>8.4472630430599879E-3</v>
      </c>
      <c r="G17155" s="78"/>
      <c r="H17155" t="str">
        <f>VLOOKUP(B17155,indexy!$A$44:$D$823,3,FALSE)</f>
        <v>GSK LN Equity</v>
      </c>
      <c r="I17155">
        <f>VLOOKUP(H17155,[8]Fixing!$B$10:$C$39,2,0)</f>
        <v>0.51765927099999998</v>
      </c>
      <c r="J17155">
        <f t="shared" si="249"/>
        <v>15.454180864076518</v>
      </c>
      <c r="K17155" s="434">
        <f t="shared" si="250"/>
        <v>0</v>
      </c>
    </row>
    <row r="17156" spans="1:11" ht="12.75" hidden="1" customHeight="1" outlineLevel="1" x14ac:dyDescent="0.25">
      <c r="A17156" s="135">
        <v>0.02</v>
      </c>
      <c r="B17156" s="211" t="s">
        <v>9050</v>
      </c>
      <c r="C17156" s="472">
        <v>6454.5</v>
      </c>
      <c r="D17156" s="1489">
        <f>VLOOKUP(H17156,indexy!$C$44:$D$823,2,FALSE)</f>
        <v>18835</v>
      </c>
      <c r="E17156" s="1493">
        <f t="shared" si="251"/>
        <v>1.9181191416840964</v>
      </c>
      <c r="F17156" s="1313">
        <f t="shared" si="252"/>
        <v>3.8362382833681929E-2</v>
      </c>
      <c r="G17156" s="78"/>
      <c r="H17156" t="str">
        <f>VLOOKUP(B17156,indexy!$A$44:$D$823,3,FALSE)</f>
        <v>7741 JT Equity</v>
      </c>
      <c r="I17156">
        <f>VLOOKUP(H17156,[8]Fixing!$B$10:$C$39,2,0)</f>
        <v>3.0986129999999997E-4</v>
      </c>
      <c r="J17156">
        <f t="shared" si="249"/>
        <v>6454.5007717969302</v>
      </c>
      <c r="K17156" s="434">
        <f t="shared" si="250"/>
        <v>7.7179693016660167E-4</v>
      </c>
    </row>
    <row r="17157" spans="1:11" ht="12.75" hidden="1" customHeight="1" outlineLevel="1" x14ac:dyDescent="0.25">
      <c r="A17157" s="135">
        <v>0.02</v>
      </c>
      <c r="B17157" s="211" t="s">
        <v>3426</v>
      </c>
      <c r="C17157" s="472">
        <v>128.06399999999999</v>
      </c>
      <c r="D17157" s="1489">
        <f>VLOOKUP(H17157,indexy!$C$44:$D$823,2,FALSE)</f>
        <v>158.19</v>
      </c>
      <c r="E17157" s="1493">
        <f t="shared" si="251"/>
        <v>0.23524175412293857</v>
      </c>
      <c r="F17157" s="1313">
        <f t="shared" si="252"/>
        <v>4.7048350824587717E-3</v>
      </c>
      <c r="G17157" s="78"/>
      <c r="H17157" t="str">
        <f>VLOOKUP(B17157,indexy!$A$44:$D$823,3,FALSE)</f>
        <v>JNJ UN Equity</v>
      </c>
      <c r="I17157">
        <f>VLOOKUP(H17157,[8]Fixing!$B$10:$C$39,2,0)</f>
        <v>1.5617191399999999E-2</v>
      </c>
      <c r="J17157">
        <f t="shared" si="249"/>
        <v>128.06400003524323</v>
      </c>
      <c r="K17157" s="434">
        <f t="shared" si="250"/>
        <v>3.5243232332504704E-8</v>
      </c>
    </row>
    <row r="17158" spans="1:11" ht="12.75" hidden="1" customHeight="1" outlineLevel="1" x14ac:dyDescent="0.25">
      <c r="A17158" s="135">
        <v>0.02</v>
      </c>
      <c r="B17158" s="211" t="s">
        <v>8379</v>
      </c>
      <c r="C17158" s="472">
        <v>267.61</v>
      </c>
      <c r="D17158" s="1489">
        <f>VLOOKUP(H17158,indexy!$C$44:$D$823,2,FALSE)</f>
        <v>540.20000000000005</v>
      </c>
      <c r="E17158" s="1493">
        <f t="shared" si="251"/>
        <v>1.0186091700609095</v>
      </c>
      <c r="F17158" s="1313">
        <f t="shared" si="252"/>
        <v>2.0372183401218189E-2</v>
      </c>
      <c r="G17158" s="78"/>
      <c r="H17158" t="str">
        <f>VLOOKUP(B17158,indexy!$A$44:$D$823,3,FALSE)</f>
        <v>LONN SE Equity</v>
      </c>
      <c r="I17158">
        <f>VLOOKUP(H17158,[8]Fixing!$B$10:$C$39,2,0)</f>
        <v>7.4735623000000001E-3</v>
      </c>
      <c r="J17158">
        <f t="shared" si="249"/>
        <v>267.60999904958311</v>
      </c>
      <c r="K17158" s="434">
        <f t="shared" si="250"/>
        <v>-9.504169042884314E-7</v>
      </c>
    </row>
    <row r="17159" spans="1:11" ht="12.75" hidden="1" customHeight="1" outlineLevel="1" x14ac:dyDescent="0.25">
      <c r="A17159" s="135">
        <v>0.02</v>
      </c>
      <c r="B17159" s="211" t="s">
        <v>4040</v>
      </c>
      <c r="C17159" s="472">
        <v>86.599000000000004</v>
      </c>
      <c r="D17159" s="1489">
        <f>VLOOKUP(H17159,indexy!$C$44:$D$823,2,FALSE)</f>
        <v>87.15</v>
      </c>
      <c r="E17159" s="1493">
        <f t="shared" si="251"/>
        <v>6.3626600769062236E-3</v>
      </c>
      <c r="F17159" s="1313">
        <f t="shared" si="252"/>
        <v>1.2725320153812448E-4</v>
      </c>
      <c r="G17159" s="78"/>
      <c r="H17159" t="str">
        <f>VLOOKUP(B17159,indexy!$A$44:$D$823,3,FALSE)</f>
        <v>MDT UN Equity</v>
      </c>
      <c r="I17159">
        <f>VLOOKUP(H17159,[8]Fixing!$B$10:$C$39,2,0)</f>
        <v>2.3094954899999999E-2</v>
      </c>
      <c r="J17159">
        <f t="shared" si="249"/>
        <v>86.599000026624864</v>
      </c>
      <c r="K17159" s="434">
        <f t="shared" si="250"/>
        <v>2.6624860538504436E-8</v>
      </c>
    </row>
    <row r="17160" spans="1:11" ht="12.75" hidden="1" customHeight="1" outlineLevel="1" x14ac:dyDescent="0.25">
      <c r="A17160" s="135">
        <v>0.02</v>
      </c>
      <c r="B17160" s="211" t="s">
        <v>1905</v>
      </c>
      <c r="C17160" s="472">
        <v>71.931140693056463</v>
      </c>
      <c r="D17160" s="1489">
        <f>VLOOKUP(H17160,indexy!$C$44:$D$823,2,FALSE)</f>
        <v>131.94999999999999</v>
      </c>
      <c r="E17160" s="1493">
        <f t="shared" si="251"/>
        <v>0.83439326456750007</v>
      </c>
      <c r="F17160" s="1313">
        <f t="shared" si="252"/>
        <v>1.6687865291350003E-2</v>
      </c>
      <c r="G17160" s="78"/>
      <c r="H17160" t="str">
        <f>VLOOKUP(B17160,indexy!$A$44:$D$823,3,FALSE)</f>
        <v>MRK UN Equity</v>
      </c>
      <c r="I17160">
        <f>VLOOKUP(H17160,[8]Fixing!$B$10:$C$39,2,0)</f>
        <v>2.7804369299999999E-2</v>
      </c>
      <c r="J17160">
        <f t="shared" si="249"/>
        <v>71.931140693056463</v>
      </c>
      <c r="K17160" s="434">
        <f t="shared" si="250"/>
        <v>0</v>
      </c>
    </row>
    <row r="17161" spans="1:11" ht="12.75" hidden="1" customHeight="1" outlineLevel="1" x14ac:dyDescent="0.25">
      <c r="A17161" s="135">
        <v>0.08</v>
      </c>
      <c r="B17161" s="211" t="s">
        <v>2787</v>
      </c>
      <c r="C17161" s="472">
        <v>70.502514852905804</v>
      </c>
      <c r="D17161" s="1489">
        <f>VLOOKUP(H17161,indexy!$C$44:$D$823,2,FALSE)</f>
        <v>87.37</v>
      </c>
      <c r="E17161" s="1493">
        <f t="shared" si="251"/>
        <v>0.23924657414400019</v>
      </c>
      <c r="F17161" s="1313">
        <f t="shared" si="252"/>
        <v>1.9139725931520017E-2</v>
      </c>
      <c r="G17161" s="78"/>
      <c r="H17161" t="str">
        <f>VLOOKUP(B17161,indexy!$A$44:$D$823,3,FALSE)</f>
        <v>NOVN SE Equity</v>
      </c>
      <c r="I17161">
        <f>VLOOKUP(H17161,[8]Fixing!$B$10:$C$39,2,0)</f>
        <v>0.1134711296</v>
      </c>
      <c r="J17161">
        <f t="shared" si="249"/>
        <v>70.502514852905804</v>
      </c>
      <c r="K17161" s="434">
        <f t="shared" si="250"/>
        <v>0</v>
      </c>
    </row>
    <row r="17162" spans="1:11" ht="12.75" hidden="1" customHeight="1" outlineLevel="1" x14ac:dyDescent="0.25">
      <c r="A17162" s="135">
        <v>0.04</v>
      </c>
      <c r="B17162" s="211" t="s">
        <v>4293</v>
      </c>
      <c r="C17162" s="472">
        <f>309.075/2</f>
        <v>154.53749999999999</v>
      </c>
      <c r="D17162" s="1489">
        <f>VLOOKUP(H17162,indexy!$C$44:$D$823,2,FALSE)</f>
        <v>881.3</v>
      </c>
      <c r="E17162" s="1493">
        <f t="shared" si="251"/>
        <v>4.7028229394159995</v>
      </c>
      <c r="F17162" s="1313">
        <f t="shared" si="252"/>
        <v>0.18811291757663998</v>
      </c>
      <c r="G17162" s="78"/>
      <c r="H17162" t="str">
        <f>VLOOKUP(B17162,indexy!$A$44:$D$823,3,FALSE)</f>
        <v>NOVOB DC Equity</v>
      </c>
      <c r="I17162">
        <f>VLOOKUP(H17162,[8]Fixing!$B$10:$C$39,2,0)</f>
        <v>2.5883685199999999E-2</v>
      </c>
      <c r="J17162">
        <f t="shared" si="249"/>
        <v>154.53749993837818</v>
      </c>
      <c r="K17162" s="434">
        <f t="shared" si="250"/>
        <v>-6.1621818758794689E-8</v>
      </c>
    </row>
    <row r="17163" spans="1:11" ht="12.75" hidden="1" customHeight="1" outlineLevel="1" x14ac:dyDescent="0.25">
      <c r="A17163" s="135">
        <v>0.03</v>
      </c>
      <c r="B17163" s="211" t="s">
        <v>9625</v>
      </c>
      <c r="C17163" s="472">
        <v>2293.3000000000002</v>
      </c>
      <c r="D17163" s="1489">
        <f>VLOOKUP(H17163,indexy!$C$44:$D$823,2,FALSE)</f>
        <v>2477</v>
      </c>
      <c r="E17163" s="1493">
        <f t="shared" si="251"/>
        <v>8.0102908472506673E-2</v>
      </c>
      <c r="F17163" s="1313">
        <f t="shared" si="252"/>
        <v>2.4030872541751999E-3</v>
      </c>
      <c r="G17163" s="78"/>
      <c r="H17163" t="str">
        <f>VLOOKUP(B17163,indexy!$A$44:$D$823,3,FALSE)</f>
        <v>4528 JT Equity</v>
      </c>
      <c r="I17163">
        <f>VLOOKUP(H17163,[8]Fixing!$B$10:$C$39,2,0)</f>
        <v>1.3081585E-3</v>
      </c>
      <c r="J17163">
        <f t="shared" si="249"/>
        <v>2293.3000855783148</v>
      </c>
      <c r="K17163" s="434">
        <f t="shared" si="250"/>
        <v>8.5578314610756934E-5</v>
      </c>
    </row>
    <row r="17164" spans="1:11" ht="12.75" hidden="1" customHeight="1" outlineLevel="1" x14ac:dyDescent="0.25">
      <c r="A17164" s="135">
        <v>0.02</v>
      </c>
      <c r="B17164" s="211" t="s">
        <v>1414</v>
      </c>
      <c r="C17164" s="472">
        <v>40.700663385403608</v>
      </c>
      <c r="D17164" s="1489">
        <f>VLOOKUP(H17164,indexy!$C$44:$D$823,2,FALSE)</f>
        <v>27.75</v>
      </c>
      <c r="E17164" s="1493">
        <f t="shared" si="251"/>
        <v>-0.31819293122500003</v>
      </c>
      <c r="F17164" s="1313">
        <f t="shared" si="252"/>
        <v>-6.3638586245000003E-3</v>
      </c>
      <c r="G17164" s="78"/>
      <c r="H17164" t="str">
        <f>VLOOKUP(B17164,indexy!$A$44:$D$823,3,FALSE)</f>
        <v>PFE UN Equity</v>
      </c>
      <c r="I17164">
        <f>VLOOKUP(H17164,[8]Fixing!$B$10:$C$39,2,0)</f>
        <v>4.9139248199999999E-2</v>
      </c>
      <c r="J17164">
        <f t="shared" si="249"/>
        <v>40.700663385403608</v>
      </c>
      <c r="K17164" s="434">
        <f t="shared" si="250"/>
        <v>0</v>
      </c>
    </row>
    <row r="17165" spans="1:11" ht="12.75" hidden="1" customHeight="1" outlineLevel="1" x14ac:dyDescent="0.25">
      <c r="A17165" s="135">
        <v>0.08</v>
      </c>
      <c r="B17165" s="211" t="s">
        <v>3800</v>
      </c>
      <c r="C17165" s="472">
        <v>249.86500000000001</v>
      </c>
      <c r="D17165" s="1489">
        <f>VLOOKUP(H17165,indexy!$C$44:$D$823,2,FALSE)</f>
        <v>229.7</v>
      </c>
      <c r="E17165" s="1493">
        <f t="shared" si="251"/>
        <v>-8.0703579933164016E-2</v>
      </c>
      <c r="F17165" s="1313">
        <f t="shared" si="252"/>
        <v>-6.4562863946531213E-3</v>
      </c>
      <c r="G17165" s="78"/>
      <c r="H17165" t="str">
        <f>VLOOKUP(B17165,indexy!$A$44:$D$823,3,FALSE)</f>
        <v>ROG SE Equity</v>
      </c>
      <c r="I17165">
        <f>VLOOKUP(H17165,[8]Fixing!$B$10:$C$39,2,0)</f>
        <v>3.2017289300000001E-2</v>
      </c>
      <c r="J17165">
        <f t="shared" si="249"/>
        <v>249.86500028283155</v>
      </c>
      <c r="K17165" s="434">
        <f t="shared" si="250"/>
        <v>2.8283153596930788E-7</v>
      </c>
    </row>
    <row r="17166" spans="1:11" ht="12.75" hidden="1" customHeight="1" outlineLevel="1" x14ac:dyDescent="0.25">
      <c r="A17166" s="135">
        <v>7.0000000000000007E-2</v>
      </c>
      <c r="B17166" s="211" t="s">
        <v>1187</v>
      </c>
      <c r="C17166" s="472">
        <v>74.211690111883556</v>
      </c>
      <c r="D17166" s="1489">
        <f>VLOOKUP(H17166,indexy!$C$44:$D$823,2,FALSE)</f>
        <v>90.96</v>
      </c>
      <c r="E17166" s="1493">
        <f t="shared" si="251"/>
        <v>0.22568290606057118</v>
      </c>
      <c r="F17166" s="1313">
        <f t="shared" si="252"/>
        <v>1.5797803424239983E-2</v>
      </c>
      <c r="G17166" s="78"/>
      <c r="H17166" t="str">
        <f>VLOOKUP(B17166,indexy!$A$44:$D$823,3,FALSE)</f>
        <v>SAN FP Equity</v>
      </c>
      <c r="I17166">
        <f>VLOOKUP(H17166,[8]Fixing!$B$10:$C$39,2,0)</f>
        <v>9.4324761899999998E-2</v>
      </c>
      <c r="J17166">
        <f t="shared" si="249"/>
        <v>74.211690111883556</v>
      </c>
      <c r="K17166" s="434">
        <f t="shared" si="250"/>
        <v>0</v>
      </c>
    </row>
    <row r="17167" spans="1:11" ht="12.75" hidden="1" customHeight="1" outlineLevel="1" x14ac:dyDescent="0.25">
      <c r="A17167" s="135">
        <v>0.05</v>
      </c>
      <c r="B17167" s="211" t="s">
        <v>5850</v>
      </c>
      <c r="C17167" s="472">
        <v>6373.6</v>
      </c>
      <c r="D17167" s="1489">
        <f>VLOOKUP(H17167,indexy!$C$44:$D$823,2,FALSE)</f>
        <v>7733</v>
      </c>
      <c r="E17167" s="1493">
        <f t="shared" si="251"/>
        <v>0.21328605497677922</v>
      </c>
      <c r="F17167" s="1313">
        <f t="shared" si="252"/>
        <v>1.0664302748838962E-2</v>
      </c>
      <c r="G17167" s="78"/>
      <c r="H17167" t="str">
        <f>VLOOKUP(B17167,indexy!$A$44:$D$823,3,FALSE)</f>
        <v>4507 JT Equity</v>
      </c>
      <c r="I17167">
        <f>VLOOKUP(H17167,[8]Fixing!$B$10:$C$39,2,0)</f>
        <v>7.8448600000000004E-4</v>
      </c>
      <c r="J17167">
        <f t="shared" si="249"/>
        <v>6373.6000387514878</v>
      </c>
      <c r="K17167" s="434">
        <f t="shared" si="250"/>
        <v>3.8751487409172114E-5</v>
      </c>
    </row>
    <row r="17168" spans="1:11" ht="12.75" hidden="1" customHeight="1" outlineLevel="1" x14ac:dyDescent="0.25">
      <c r="A17168" s="135">
        <v>0.02</v>
      </c>
      <c r="B17168" s="211" t="s">
        <v>240</v>
      </c>
      <c r="C17168" s="472">
        <v>88.434399999999997</v>
      </c>
      <c r="D17168" s="1489">
        <f>VLOOKUP(H17168,indexy!$C$44:$D$823,2,FALSE)</f>
        <v>163.6</v>
      </c>
      <c r="E17168" s="1493">
        <f t="shared" si="251"/>
        <v>0.84995883954660179</v>
      </c>
      <c r="F17168" s="1313">
        <f t="shared" si="252"/>
        <v>1.6999176790932036E-2</v>
      </c>
      <c r="G17168" s="78"/>
      <c r="H17168" t="str">
        <f>VLOOKUP(B17168,indexy!$A$44:$D$823,3,FALSE)</f>
        <v>MRK GY Equity</v>
      </c>
      <c r="I17168">
        <f>VLOOKUP(H17168,[8]Fixing!$B$10:$C$39,2,0)</f>
        <v>2.2615633699999999E-2</v>
      </c>
      <c r="J17168">
        <f t="shared" si="249"/>
        <v>88.434400137989513</v>
      </c>
      <c r="K17168" s="434">
        <f t="shared" si="250"/>
        <v>1.3798951670196402E-7</v>
      </c>
    </row>
    <row r="17169" spans="1:11" ht="12.75" hidden="1" customHeight="1" outlineLevel="1" x14ac:dyDescent="0.25">
      <c r="A17169" s="135">
        <v>0.04</v>
      </c>
      <c r="B17169" s="211" t="s">
        <v>5853</v>
      </c>
      <c r="C17169" s="472">
        <v>14.297499999999999</v>
      </c>
      <c r="D17169" s="1489">
        <f>VLOOKUP(H17169,indexy!$C$44:$D$823,2,FALSE)/100</f>
        <v>9.9160000000000004</v>
      </c>
      <c r="E17169" s="1493">
        <f t="shared" si="251"/>
        <v>-0.30645217695401283</v>
      </c>
      <c r="F17169" s="1313">
        <f t="shared" si="252"/>
        <v>-1.2258087078160514E-2</v>
      </c>
      <c r="G17169" s="78"/>
      <c r="H17169" t="str">
        <f>VLOOKUP(B17169,indexy!$A$44:$D$823,3,FALSE)</f>
        <v>SN/ LN Equity</v>
      </c>
      <c r="I17169">
        <f>VLOOKUP(H17169,[8]Fixing!$B$10:$C$39,2,0)</f>
        <v>0.27976919039999998</v>
      </c>
      <c r="J17169">
        <f t="shared" si="249"/>
        <v>14.297500000915042</v>
      </c>
      <c r="K17169" s="434">
        <f t="shared" si="250"/>
        <v>9.1504226418237522E-10</v>
      </c>
    </row>
    <row r="17170" spans="1:11" ht="12.75" hidden="1" customHeight="1" outlineLevel="1" x14ac:dyDescent="0.25">
      <c r="A17170" s="135">
        <v>0.05</v>
      </c>
      <c r="B17170" s="211" t="s">
        <v>3022</v>
      </c>
      <c r="C17170" s="472">
        <v>4079.6</v>
      </c>
      <c r="D17170" s="1489">
        <f>VLOOKUP(H17170,indexy!$C$44:$D$823,2,FALSE)</f>
        <v>4203</v>
      </c>
      <c r="E17170" s="1493">
        <f t="shared" si="251"/>
        <v>3.0248063535640801E-2</v>
      </c>
      <c r="F17170" s="1313">
        <f t="shared" si="252"/>
        <v>1.5124031767820402E-3</v>
      </c>
      <c r="G17170" s="78"/>
      <c r="H17170" t="str">
        <f>VLOOKUP(B17170,indexy!$A$44:$D$823,3,FALSE)</f>
        <v>4502 JT Equity</v>
      </c>
      <c r="I17170">
        <f>VLOOKUP(H17170,[8]Fixing!$B$10:$C$39,2,0)</f>
        <v>1.2256103999999999E-3</v>
      </c>
      <c r="J17170">
        <f t="shared" si="249"/>
        <v>4079.599846737593</v>
      </c>
      <c r="K17170" s="434">
        <f t="shared" si="250"/>
        <v>-1.5326240691138082E-4</v>
      </c>
    </row>
    <row r="17171" spans="1:11" ht="12.75" hidden="1" customHeight="1" outlineLevel="1" x14ac:dyDescent="0.25">
      <c r="A17171" s="135">
        <v>0.02</v>
      </c>
      <c r="B17171" s="1465" t="s">
        <v>1168</v>
      </c>
      <c r="C17171" s="472">
        <f>6087.6/2/2</f>
        <v>1521.9</v>
      </c>
      <c r="D17171" s="1490">
        <f>VLOOKUP(H17171,indexy!$C$44:$D$823,2,FALSE)</f>
        <v>2759.5</v>
      </c>
      <c r="E17171" s="1495">
        <f t="shared" si="251"/>
        <v>0.81319403377357236</v>
      </c>
      <c r="F17171" s="1314">
        <f>$E17171*$A17171</f>
        <v>1.6263880675471448E-2</v>
      </c>
      <c r="G17171" s="78"/>
      <c r="H17171" t="str">
        <f>VLOOKUP(B17171,indexy!$A$44:$D$823,3,FALSE)</f>
        <v>4543 JT Equity</v>
      </c>
      <c r="I17171">
        <f>VLOOKUP(H17171,[8]Fixing!$B$10:$C$39,2,0)</f>
        <v>6.5707340000000002E-4</v>
      </c>
      <c r="J17171">
        <f t="shared" si="249"/>
        <v>3043.7999772932521</v>
      </c>
      <c r="K17171" s="434">
        <f t="shared" si="250"/>
        <v>1521.8999772932521</v>
      </c>
    </row>
    <row r="17172" spans="1:11" ht="12.75" hidden="1" customHeight="1" outlineLevel="1" x14ac:dyDescent="0.25">
      <c r="A17172" s="1475" t="s">
        <v>2734</v>
      </c>
      <c r="B17172" s="150"/>
      <c r="C17172" s="1476"/>
      <c r="D17172" s="1477"/>
      <c r="E17172" s="512"/>
      <c r="F17172" s="1313">
        <f>SUM(F17142:F17171)</f>
        <v>0.46119929970115431</v>
      </c>
      <c r="G17172" s="78"/>
    </row>
    <row r="17173" spans="1:11" ht="12.75" hidden="1" customHeight="1" outlineLevel="1" x14ac:dyDescent="0.25">
      <c r="A17173" s="221" t="s">
        <v>9630</v>
      </c>
      <c r="B17173" s="1478">
        <v>45047</v>
      </c>
      <c r="C17173" s="1497">
        <v>100</v>
      </c>
      <c r="D17173" s="1497">
        <v>137.90010000000001</v>
      </c>
      <c r="E17173" s="1498">
        <f>IF(D17173="",F17172,D17173/C17173-1)</f>
        <v>0.37900100000000014</v>
      </c>
      <c r="F17173" s="1842"/>
      <c r="G17173" s="78"/>
    </row>
    <row r="17174" spans="1:11" ht="12.75" hidden="1" customHeight="1" outlineLevel="1" x14ac:dyDescent="0.25">
      <c r="A17174" s="221" t="s">
        <v>9631</v>
      </c>
      <c r="B17174" s="1478">
        <v>45078</v>
      </c>
      <c r="C17174" s="1497">
        <v>100</v>
      </c>
      <c r="D17174" s="1500">
        <v>137.64109999999999</v>
      </c>
      <c r="E17174" s="1498">
        <f>IF(D17174="",$F$17172,D17174/C17174-1)</f>
        <v>0.37641100000000005</v>
      </c>
      <c r="F17174" s="1842"/>
      <c r="G17174" s="78"/>
    </row>
    <row r="17175" spans="1:11" ht="12.75" hidden="1" customHeight="1" outlineLevel="1" x14ac:dyDescent="0.25">
      <c r="A17175" s="221" t="s">
        <v>9632</v>
      </c>
      <c r="B17175" s="1478">
        <v>45108</v>
      </c>
      <c r="C17175" s="1497">
        <v>100</v>
      </c>
      <c r="D17175" s="1500">
        <v>136.80500000000001</v>
      </c>
      <c r="E17175" s="1498">
        <f t="shared" ref="E17175:E17190" si="253">IF(D17175="",$F$17172,D17175/C17175-1)</f>
        <v>0.36804999999999999</v>
      </c>
      <c r="F17175" s="1842"/>
      <c r="G17175" s="78"/>
    </row>
    <row r="17176" spans="1:11" ht="12.75" hidden="1" customHeight="1" outlineLevel="1" x14ac:dyDescent="0.25">
      <c r="A17176" s="221" t="s">
        <v>9633</v>
      </c>
      <c r="B17176" s="1478">
        <v>45139</v>
      </c>
      <c r="C17176" s="1497">
        <v>100</v>
      </c>
      <c r="D17176" s="1500">
        <v>138.52520000000001</v>
      </c>
      <c r="E17176" s="1498">
        <f t="shared" si="253"/>
        <v>0.38525200000000015</v>
      </c>
      <c r="F17176" s="1842"/>
      <c r="G17176" s="78"/>
    </row>
    <row r="17177" spans="1:11" ht="12.75" hidden="1" customHeight="1" outlineLevel="1" x14ac:dyDescent="0.25">
      <c r="A17177" s="221" t="s">
        <v>9634</v>
      </c>
      <c r="B17177" s="1478">
        <v>45170</v>
      </c>
      <c r="C17177" s="1497">
        <v>100</v>
      </c>
      <c r="D17177" s="1500">
        <v>136.7928</v>
      </c>
      <c r="E17177" s="1498">
        <f t="shared" si="253"/>
        <v>0.36792800000000003</v>
      </c>
      <c r="F17177" s="1842"/>
      <c r="G17177" s="78"/>
    </row>
    <row r="17178" spans="1:11" ht="12.75" hidden="1" customHeight="1" outlineLevel="1" x14ac:dyDescent="0.25">
      <c r="A17178" s="221" t="s">
        <v>9635</v>
      </c>
      <c r="B17178" s="1478">
        <v>45200</v>
      </c>
      <c r="C17178" s="1497">
        <v>100</v>
      </c>
      <c r="D17178" s="1500">
        <v>129.0856</v>
      </c>
      <c r="E17178" s="1498">
        <f t="shared" si="253"/>
        <v>0.290856</v>
      </c>
      <c r="F17178" s="1842"/>
      <c r="G17178" s="78"/>
    </row>
    <row r="17179" spans="1:11" ht="12.75" hidden="1" customHeight="1" outlineLevel="1" x14ac:dyDescent="0.25">
      <c r="A17179" s="221" t="s">
        <v>9636</v>
      </c>
      <c r="B17179" s="1478">
        <v>45231</v>
      </c>
      <c r="C17179" s="1497">
        <v>100</v>
      </c>
      <c r="D17179" s="1500">
        <v>132.41370000000001</v>
      </c>
      <c r="E17179" s="1498">
        <f t="shared" si="253"/>
        <v>0.32413700000000012</v>
      </c>
      <c r="F17179" s="1842"/>
      <c r="G17179" s="78"/>
    </row>
    <row r="17180" spans="1:11" ht="12.75" hidden="1" customHeight="1" outlineLevel="1" x14ac:dyDescent="0.25">
      <c r="A17180" s="221" t="s">
        <v>9637</v>
      </c>
      <c r="B17180" s="1478">
        <v>45261</v>
      </c>
      <c r="C17180" s="1497">
        <v>100</v>
      </c>
      <c r="D17180" s="1500">
        <v>134.06739999999999</v>
      </c>
      <c r="E17180" s="1498">
        <f t="shared" si="253"/>
        <v>0.34067399999999992</v>
      </c>
      <c r="F17180" s="1842"/>
      <c r="G17180" s="78"/>
    </row>
    <row r="17181" spans="1:11" ht="12.75" hidden="1" customHeight="1" outlineLevel="1" x14ac:dyDescent="0.25">
      <c r="A17181" s="221" t="s">
        <v>9638</v>
      </c>
      <c r="B17181" s="1478">
        <v>45292</v>
      </c>
      <c r="C17181" s="1497">
        <v>100</v>
      </c>
      <c r="D17181" s="1500"/>
      <c r="E17181" s="1498">
        <f t="shared" si="253"/>
        <v>0.46119929970115431</v>
      </c>
      <c r="F17181" s="1842"/>
      <c r="G17181" s="78"/>
    </row>
    <row r="17182" spans="1:11" ht="12.75" hidden="1" customHeight="1" outlineLevel="1" x14ac:dyDescent="0.25">
      <c r="A17182" s="221" t="s">
        <v>9639</v>
      </c>
      <c r="B17182" s="1478">
        <v>45323</v>
      </c>
      <c r="C17182" s="1497">
        <v>100</v>
      </c>
      <c r="D17182" s="1500"/>
      <c r="E17182" s="1498">
        <f t="shared" si="253"/>
        <v>0.46119929970115431</v>
      </c>
      <c r="F17182" s="1842"/>
      <c r="G17182" s="78"/>
    </row>
    <row r="17183" spans="1:11" ht="12.75" hidden="1" customHeight="1" outlineLevel="1" x14ac:dyDescent="0.25">
      <c r="A17183" s="221" t="s">
        <v>9640</v>
      </c>
      <c r="B17183" s="1478">
        <v>45352</v>
      </c>
      <c r="C17183" s="1497">
        <v>100</v>
      </c>
      <c r="D17183" s="1500"/>
      <c r="E17183" s="1498">
        <f t="shared" si="253"/>
        <v>0.46119929970115431</v>
      </c>
      <c r="F17183" s="1842"/>
      <c r="G17183" s="78"/>
    </row>
    <row r="17184" spans="1:11" ht="12.75" hidden="1" customHeight="1" outlineLevel="1" x14ac:dyDescent="0.25">
      <c r="A17184" s="221" t="s">
        <v>9641</v>
      </c>
      <c r="B17184" s="1478">
        <v>45383</v>
      </c>
      <c r="C17184" s="1497">
        <v>100</v>
      </c>
      <c r="D17184" s="1500"/>
      <c r="E17184" s="1498">
        <f t="shared" si="253"/>
        <v>0.46119929970115431</v>
      </c>
      <c r="F17184" s="1842"/>
      <c r="G17184" s="78"/>
    </row>
    <row r="17185" spans="1:10" ht="12.75" hidden="1" customHeight="1" outlineLevel="1" x14ac:dyDescent="0.25">
      <c r="A17185" s="221" t="s">
        <v>9642</v>
      </c>
      <c r="B17185" s="1478">
        <v>45413</v>
      </c>
      <c r="C17185" s="1497">
        <v>100</v>
      </c>
      <c r="D17185" s="1500"/>
      <c r="E17185" s="1498">
        <f t="shared" si="253"/>
        <v>0.46119929970115431</v>
      </c>
      <c r="F17185" s="1842"/>
      <c r="G17185" s="78"/>
    </row>
    <row r="17186" spans="1:10" ht="12.75" hidden="1" customHeight="1" outlineLevel="1" x14ac:dyDescent="0.25">
      <c r="A17186" s="221" t="s">
        <v>9643</v>
      </c>
      <c r="B17186" s="1478">
        <v>45444</v>
      </c>
      <c r="C17186" s="1497">
        <v>100</v>
      </c>
      <c r="D17186" s="1500"/>
      <c r="E17186" s="1498">
        <f t="shared" si="253"/>
        <v>0.46119929970115431</v>
      </c>
      <c r="F17186" s="1842"/>
      <c r="G17186" s="78"/>
    </row>
    <row r="17187" spans="1:10" ht="12.75" hidden="1" customHeight="1" outlineLevel="1" x14ac:dyDescent="0.25">
      <c r="A17187" s="221" t="s">
        <v>9644</v>
      </c>
      <c r="B17187" s="1478">
        <v>45474</v>
      </c>
      <c r="C17187" s="1497">
        <v>100</v>
      </c>
      <c r="D17187" s="1500"/>
      <c r="E17187" s="1498">
        <f t="shared" si="253"/>
        <v>0.46119929970115431</v>
      </c>
      <c r="F17187" s="1842"/>
      <c r="G17187" s="78"/>
    </row>
    <row r="17188" spans="1:10" ht="12.75" hidden="1" customHeight="1" outlineLevel="1" x14ac:dyDescent="0.25">
      <c r="A17188" s="221" t="s">
        <v>9645</v>
      </c>
      <c r="B17188" s="1478">
        <v>45505</v>
      </c>
      <c r="C17188" s="1497">
        <v>100</v>
      </c>
      <c r="D17188" s="1500"/>
      <c r="E17188" s="1498">
        <f t="shared" si="253"/>
        <v>0.46119929970115431</v>
      </c>
      <c r="F17188" s="1842"/>
      <c r="G17188" s="78"/>
    </row>
    <row r="17189" spans="1:10" ht="12.75" hidden="1" customHeight="1" outlineLevel="1" x14ac:dyDescent="0.25">
      <c r="A17189" s="221" t="s">
        <v>9646</v>
      </c>
      <c r="B17189" s="1478">
        <v>45536</v>
      </c>
      <c r="C17189" s="1497">
        <v>100</v>
      </c>
      <c r="D17189" s="1500"/>
      <c r="E17189" s="1498">
        <f t="shared" si="253"/>
        <v>0.46119929970115431</v>
      </c>
      <c r="F17189" s="1842"/>
      <c r="G17189" s="78"/>
    </row>
    <row r="17190" spans="1:10" ht="12.75" hidden="1" customHeight="1" outlineLevel="1" x14ac:dyDescent="0.25">
      <c r="A17190" s="221" t="s">
        <v>9647</v>
      </c>
      <c r="B17190" s="1478">
        <v>45566</v>
      </c>
      <c r="C17190" s="1497">
        <v>100</v>
      </c>
      <c r="D17190" s="1500"/>
      <c r="E17190" s="1498">
        <f t="shared" si="253"/>
        <v>0.46119929970115431</v>
      </c>
      <c r="F17190" s="1842"/>
      <c r="G17190" s="78"/>
    </row>
    <row r="17191" spans="1:10" ht="12.75" hidden="1" customHeight="1" outlineLevel="1" x14ac:dyDescent="0.25">
      <c r="A17191" s="1483" t="s">
        <v>2734</v>
      </c>
      <c r="B17191" s="1484"/>
      <c r="C17191" s="1500"/>
      <c r="D17191" s="1485" t="s">
        <v>2465</v>
      </c>
      <c r="E17191" s="1486">
        <f>AVERAGE(E17173:E17190)</f>
        <v>0.41357233316730796</v>
      </c>
      <c r="F17191" s="1844">
        <f>E17191</f>
        <v>0.41357233316730796</v>
      </c>
      <c r="G17191" s="78"/>
    </row>
    <row r="17192" spans="1:10" collapsed="1" x14ac:dyDescent="0.25">
      <c r="A17192" s="3799" t="s">
        <v>9537</v>
      </c>
      <c r="B17192" s="3800"/>
      <c r="C17192" s="3800"/>
      <c r="D17192" s="3800"/>
      <c r="E17192" s="18"/>
      <c r="F17192" s="186">
        <f>IF(F17191&lt;-5%,-5%,IF(F17191&lt;0,F17191,MIN(F17191*0.7,80%)))</f>
        <v>0.28950063321711555</v>
      </c>
      <c r="G17192" s="78"/>
    </row>
    <row r="17194" spans="1:10" hidden="1" outlineLevel="1" x14ac:dyDescent="0.25">
      <c r="A17194" s="2659" t="s">
        <v>113</v>
      </c>
      <c r="B17194" s="2660" t="s">
        <v>114</v>
      </c>
      <c r="C17194" s="2659" t="s">
        <v>112</v>
      </c>
      <c r="D17194" s="2659" t="s">
        <v>4363</v>
      </c>
      <c r="E17194" s="2660" t="s">
        <v>116</v>
      </c>
      <c r="F17194" s="2663" t="s">
        <v>121</v>
      </c>
      <c r="G17194" s="78"/>
      <c r="H17194" s="1671"/>
      <c r="I17194" s="1671"/>
      <c r="J17194" s="370"/>
    </row>
    <row r="17195" spans="1:10" hidden="1" outlineLevel="1" x14ac:dyDescent="0.25">
      <c r="A17195" s="1956" t="s">
        <v>9651</v>
      </c>
      <c r="B17195" s="2664" t="s">
        <v>8048</v>
      </c>
      <c r="C17195" s="2665">
        <v>308.83</v>
      </c>
      <c r="D17195" s="2649">
        <v>325.286</v>
      </c>
      <c r="E17195" s="2477"/>
      <c r="F17195" s="2658">
        <v>0.09</v>
      </c>
      <c r="G17195" s="78"/>
      <c r="H17195" t="s">
        <v>8500</v>
      </c>
      <c r="I17195" s="81">
        <v>5.3284978790920645E-2</v>
      </c>
      <c r="J17195" s="370"/>
    </row>
    <row r="17196" spans="1:10" hidden="1" outlineLevel="1" x14ac:dyDescent="0.25">
      <c r="A17196" s="1956" t="s">
        <v>9652</v>
      </c>
      <c r="B17196" s="2664" t="s">
        <v>8048</v>
      </c>
      <c r="C17196" s="2665"/>
      <c r="D17196" s="2649"/>
      <c r="E17196" s="2318"/>
      <c r="F17196" s="2658" t="s">
        <v>5590</v>
      </c>
      <c r="G17196" s="78"/>
      <c r="H17196" s="81"/>
      <c r="I17196" s="413"/>
      <c r="J17196" s="370"/>
    </row>
    <row r="17197" spans="1:10" hidden="1" outlineLevel="1" x14ac:dyDescent="0.25">
      <c r="A17197" s="1956" t="s">
        <v>9653</v>
      </c>
      <c r="B17197" s="2664" t="s">
        <v>8048</v>
      </c>
      <c r="C17197" s="2665" t="s">
        <v>5590</v>
      </c>
      <c r="D17197" s="2649"/>
      <c r="E17197" s="2318"/>
      <c r="F17197" s="2658" t="s">
        <v>5590</v>
      </c>
      <c r="G17197" s="78"/>
      <c r="H17197" s="81"/>
      <c r="I17197" s="413"/>
      <c r="J17197" s="370"/>
    </row>
    <row r="17198" spans="1:10" hidden="1" outlineLevel="1" x14ac:dyDescent="0.25">
      <c r="A17198" s="1956" t="s">
        <v>9654</v>
      </c>
      <c r="B17198" s="2664" t="s">
        <v>8048</v>
      </c>
      <c r="C17198" s="2665" t="s">
        <v>5590</v>
      </c>
      <c r="D17198" s="2649"/>
      <c r="E17198" s="2318"/>
      <c r="F17198" s="2658" t="s">
        <v>5590</v>
      </c>
      <c r="G17198" s="78"/>
      <c r="H17198" s="81"/>
      <c r="I17198" s="413"/>
      <c r="J17198" s="370"/>
    </row>
    <row r="17199" spans="1:10" hidden="1" outlineLevel="1" x14ac:dyDescent="0.25">
      <c r="A17199" s="1956" t="s">
        <v>9655</v>
      </c>
      <c r="B17199" s="2664" t="s">
        <v>8048</v>
      </c>
      <c r="C17199" s="2665" t="s">
        <v>5590</v>
      </c>
      <c r="D17199" s="2649"/>
      <c r="E17199" s="2318"/>
      <c r="F17199" s="2658" t="s">
        <v>5590</v>
      </c>
      <c r="G17199" s="78"/>
      <c r="H17199" s="81"/>
      <c r="I17199" s="413"/>
      <c r="J17199" s="370"/>
    </row>
    <row r="17200" spans="1:10" hidden="1" outlineLevel="1" x14ac:dyDescent="0.25">
      <c r="A17200" s="1956" t="s">
        <v>9656</v>
      </c>
      <c r="B17200" s="2664" t="s">
        <v>8048</v>
      </c>
      <c r="C17200" s="2665"/>
      <c r="D17200" s="2649"/>
      <c r="E17200" s="2318"/>
      <c r="F17200" s="2658" t="s">
        <v>5590</v>
      </c>
      <c r="G17200" s="78"/>
      <c r="H17200" s="81"/>
      <c r="I17200" s="413"/>
      <c r="J17200" s="370"/>
    </row>
    <row r="17201" spans="1:11" hidden="1" outlineLevel="1" x14ac:dyDescent="0.25">
      <c r="A17201" s="1819" t="s">
        <v>2734</v>
      </c>
      <c r="B17201" s="2620"/>
      <c r="C17201" s="1820"/>
      <c r="D17201" s="2478"/>
      <c r="E17201" s="2656"/>
      <c r="F17201" s="2657">
        <v>0.09</v>
      </c>
      <c r="G17201" s="78"/>
      <c r="H17201" s="81"/>
      <c r="I17201" s="370"/>
      <c r="J17201" s="370"/>
    </row>
    <row r="17202" spans="1:11" collapsed="1" x14ac:dyDescent="0.25">
      <c r="A17202" s="2650" t="s">
        <v>9540</v>
      </c>
      <c r="B17202" s="2651"/>
      <c r="C17202" s="2651"/>
      <c r="D17202" s="2651"/>
      <c r="E17202" s="1906"/>
      <c r="F17202" s="1907">
        <v>0.09</v>
      </c>
      <c r="G17202" s="78"/>
      <c r="H17202" s="1672"/>
      <c r="I17202" s="370"/>
      <c r="J17202" s="370"/>
    </row>
    <row r="17204" spans="1:11" ht="12.75" hidden="1" customHeight="1" outlineLevel="1" x14ac:dyDescent="0.25">
      <c r="A17204" s="15" t="s">
        <v>113</v>
      </c>
      <c r="B17204" s="15" t="s">
        <v>114</v>
      </c>
      <c r="C17204" s="15" t="s">
        <v>112</v>
      </c>
      <c r="D17204" s="15" t="s">
        <v>116</v>
      </c>
      <c r="E17204" s="15" t="s">
        <v>117</v>
      </c>
      <c r="F17204" s="1882" t="s">
        <v>121</v>
      </c>
      <c r="G17204" s="78"/>
    </row>
    <row r="17205" spans="1:11" ht="12.75" hidden="1" customHeight="1" outlineLevel="1" x14ac:dyDescent="0.25">
      <c r="A17205" s="4">
        <v>1</v>
      </c>
      <c r="B17205" s="5" t="s">
        <v>252</v>
      </c>
      <c r="C17205" s="6">
        <v>100</v>
      </c>
      <c r="D17205" s="6"/>
      <c r="E17205" s="9"/>
      <c r="F17205" s="10"/>
      <c r="G17205" s="78"/>
    </row>
    <row r="17206" spans="1:11" ht="12.75" hidden="1" customHeight="1" outlineLevel="1" x14ac:dyDescent="0.25">
      <c r="A17206" s="21" t="s">
        <v>2734</v>
      </c>
      <c r="B17206" s="21"/>
      <c r="C17206" s="11"/>
      <c r="D17206" s="32" t="s">
        <v>3702</v>
      </c>
      <c r="E17206" s="33">
        <f>indexy!$B$2</f>
        <v>45379</v>
      </c>
      <c r="F17206" s="38"/>
      <c r="G17206" s="78"/>
    </row>
    <row r="17207" spans="1:11" ht="12.75" hidden="1" customHeight="1" outlineLevel="1" x14ac:dyDescent="0.25">
      <c r="A17207" s="22" t="s">
        <v>4156</v>
      </c>
      <c r="B17207" s="22" t="s">
        <v>4153</v>
      </c>
      <c r="C17207" s="98" t="s">
        <v>112</v>
      </c>
      <c r="D17207" s="131" t="s">
        <v>4155</v>
      </c>
      <c r="E17207" s="24" t="s">
        <v>4154</v>
      </c>
      <c r="F17207" s="189" t="s">
        <v>2519</v>
      </c>
      <c r="G17207" s="78"/>
    </row>
    <row r="17208" spans="1:11" ht="12.75" hidden="1" customHeight="1" outlineLevel="1" x14ac:dyDescent="0.25">
      <c r="A17208" s="134">
        <v>0.08</v>
      </c>
      <c r="B17208" s="211" t="s">
        <v>3320</v>
      </c>
      <c r="C17208" s="472">
        <v>59.247999999999998</v>
      </c>
      <c r="D17208" s="1536">
        <f>VLOOKUP($H17208,indexy!$C$44:$D$823,2,FALSE)</f>
        <v>56.46</v>
      </c>
      <c r="E17208" s="1537">
        <f>$D17208/$C17208-1</f>
        <v>-4.7056440723737492E-2</v>
      </c>
      <c r="F17208" s="1656">
        <f>$E17208*$A17208</f>
        <v>-3.7645152578989994E-3</v>
      </c>
      <c r="G17208" s="78"/>
      <c r="H17208" t="str">
        <f>VLOOKUP(B17208,indexy!$A$44:$D$823,3,FALSE)</f>
        <v>ABI BB Equity</v>
      </c>
      <c r="K17208" s="434"/>
    </row>
    <row r="17209" spans="1:11" ht="12.75" hidden="1" customHeight="1" outlineLevel="1" x14ac:dyDescent="0.25">
      <c r="A17209" s="135">
        <v>0.02</v>
      </c>
      <c r="B17209" s="211" t="s">
        <v>8456</v>
      </c>
      <c r="C17209" s="472">
        <v>6245.2282552861952</v>
      </c>
      <c r="D17209" s="1538">
        <f>VLOOKUP(H17209,indexy!$C$44:$D$823,2,FALSE)</f>
        <v>8994</v>
      </c>
      <c r="E17209" s="1539">
        <f t="shared" ref="E17209:E17237" si="254">$D17209/$C17209-1</f>
        <v>0.44013951649999994</v>
      </c>
      <c r="F17209" s="1659">
        <f t="shared" ref="F17209:F17236" si="255">$E17209*$A17209</f>
        <v>8.8027903299999991E-3</v>
      </c>
      <c r="G17209" s="78"/>
      <c r="H17209" t="str">
        <f>VLOOKUP(B17209,indexy!$A$44:$D$823,3,FALSE)</f>
        <v>MAERSKB DC Equity</v>
      </c>
      <c r="K17209" s="434"/>
    </row>
    <row r="17210" spans="1:11" ht="12.75" hidden="1" customHeight="1" outlineLevel="1" x14ac:dyDescent="0.25">
      <c r="A17210" s="135">
        <v>0.02</v>
      </c>
      <c r="B17210" s="211" t="s">
        <v>5479</v>
      </c>
      <c r="C17210" s="472">
        <v>21.229163920585858</v>
      </c>
      <c r="D17210" s="1538">
        <f>VLOOKUP(H17210,indexy!$C$44:$D$823,2,FALSE)/100</f>
        <v>24.98</v>
      </c>
      <c r="E17210" s="1539">
        <f t="shared" si="254"/>
        <v>0.17668317477999995</v>
      </c>
      <c r="F17210" s="1659">
        <f t="shared" si="255"/>
        <v>3.5336634955999992E-3</v>
      </c>
      <c r="G17210" s="78"/>
      <c r="H17210" t="str">
        <f>VLOOKUP(B17210,indexy!$A$44:$D$823,3,FALSE)</f>
        <v>ABF LN Equity</v>
      </c>
      <c r="K17210" s="434"/>
    </row>
    <row r="17211" spans="1:11" ht="12.75" hidden="1" customHeight="1" outlineLevel="1" x14ac:dyDescent="0.25">
      <c r="A17211" s="135">
        <v>0.02</v>
      </c>
      <c r="B17211" s="211" t="s">
        <v>7212</v>
      </c>
      <c r="C17211" s="472">
        <v>91.046000000000006</v>
      </c>
      <c r="D17211" s="1538">
        <f>VLOOKUP(H17211,indexy!$C$44:$D$823,2,FALSE)</f>
        <v>134.94999999999999</v>
      </c>
      <c r="E17211" s="1539">
        <f t="shared" si="254"/>
        <v>0.48221778002328475</v>
      </c>
      <c r="F17211" s="1659">
        <f t="shared" si="255"/>
        <v>9.6443556004656948E-3</v>
      </c>
      <c r="G17211" s="78"/>
      <c r="H17211" t="str">
        <f>VLOOKUP(B17211,indexy!$A$44:$D$823,3,FALSE)</f>
        <v>BEI GY Equity</v>
      </c>
      <c r="K17211" s="434"/>
    </row>
    <row r="17212" spans="1:11" ht="12.75" hidden="1" customHeight="1" outlineLevel="1" x14ac:dyDescent="0.25">
      <c r="A17212" s="135">
        <v>0.08</v>
      </c>
      <c r="B17212" s="211" t="s">
        <v>1141</v>
      </c>
      <c r="C17212" s="472">
        <v>71.27</v>
      </c>
      <c r="D17212" s="1538">
        <f>VLOOKUP(H17212,indexy!$C$44:$D$823,2,FALSE)</f>
        <v>106.96</v>
      </c>
      <c r="E17212" s="1539">
        <f t="shared" si="254"/>
        <v>0.50077171320331137</v>
      </c>
      <c r="F17212" s="1659">
        <f t="shared" si="255"/>
        <v>4.0061737056264909E-2</v>
      </c>
      <c r="G17212" s="78"/>
      <c r="H17212" t="str">
        <f>VLOOKUP(B17212,indexy!$A$44:$D$823,3,FALSE)</f>
        <v>BMW GY Equity</v>
      </c>
      <c r="K17212" s="434"/>
    </row>
    <row r="17213" spans="1:11" ht="12.75" hidden="1" customHeight="1" outlineLevel="1" x14ac:dyDescent="0.25">
      <c r="A17213" s="135">
        <v>0.02</v>
      </c>
      <c r="B17213" s="211" t="s">
        <v>2467</v>
      </c>
      <c r="C17213" s="472">
        <v>30.573</v>
      </c>
      <c r="D17213" s="1538">
        <f>VLOOKUP(H17213,indexy!$C$44:$D$823,2,FALSE)</f>
        <v>37.83</v>
      </c>
      <c r="E17213" s="1539">
        <f t="shared" si="254"/>
        <v>0.23736630360121658</v>
      </c>
      <c r="F17213" s="1659">
        <f t="shared" si="255"/>
        <v>4.7473260720243314E-3</v>
      </c>
      <c r="G17213" s="78"/>
      <c r="H17213" t="str">
        <f>VLOOKUP(B17213,indexy!$A$44:$D$823,3,FALSE)</f>
        <v>EN FP Equity</v>
      </c>
      <c r="K17213" s="434"/>
    </row>
    <row r="17214" spans="1:11" ht="12.75" hidden="1" customHeight="1" outlineLevel="1" x14ac:dyDescent="0.25">
      <c r="A17214" s="135">
        <v>0.02</v>
      </c>
      <c r="B17214" s="211" t="s">
        <v>67</v>
      </c>
      <c r="C17214" s="472">
        <v>111.31584197082114</v>
      </c>
      <c r="D17214" s="1538">
        <f>VLOOKUP(H17214,indexy!$C$44:$D$823,2,FALSE)</f>
        <v>66.900000000000006</v>
      </c>
      <c r="E17214" s="1539">
        <f t="shared" si="254"/>
        <v>-0.39900737562999988</v>
      </c>
      <c r="F17214" s="1659">
        <f t="shared" si="255"/>
        <v>-7.9801475125999971E-3</v>
      </c>
      <c r="G17214" s="78"/>
      <c r="H17214" t="str">
        <f>VLOOKUP(B17214,indexy!$A$44:$D$823,3,FALSE)</f>
        <v>CON GY Equity</v>
      </c>
      <c r="K17214" s="434"/>
    </row>
    <row r="17215" spans="1:11" ht="12.75" hidden="1" customHeight="1" outlineLevel="1" x14ac:dyDescent="0.25">
      <c r="A17215" s="135">
        <v>0.02</v>
      </c>
      <c r="B17215" s="211" t="s">
        <v>9657</v>
      </c>
      <c r="C17215" s="472">
        <v>20.488600045613772</v>
      </c>
      <c r="D17215" s="1538">
        <f>VLOOKUP(H17215,indexy!$C$44:$D$823,2,FALSE)</f>
        <v>41.04</v>
      </c>
      <c r="E17215" s="1539">
        <f t="shared" si="254"/>
        <v>1.0030651146799996</v>
      </c>
      <c r="F17215" s="1659">
        <f t="shared" si="255"/>
        <v>2.0061302293599991E-2</v>
      </c>
      <c r="G17215" s="78"/>
      <c r="H17215" t="str">
        <f>VLOOKUP(B17215,indexy!$A$44:$D$823,3,FALSE)</f>
        <v>DSY FP Equity</v>
      </c>
      <c r="K17215" s="434"/>
    </row>
    <row r="17216" spans="1:11" ht="12.75" hidden="1" customHeight="1" outlineLevel="1" x14ac:dyDescent="0.25">
      <c r="A17216" s="135">
        <v>0.08</v>
      </c>
      <c r="B17216" s="211" t="s">
        <v>7014</v>
      </c>
      <c r="C17216" s="472">
        <v>17.960999999999999</v>
      </c>
      <c r="D17216" s="1538">
        <f>VLOOKUP(H17216,indexy!$C$44:$D$823,2,FALSE)</f>
        <v>36.68</v>
      </c>
      <c r="E17216" s="1539">
        <f t="shared" si="254"/>
        <v>1.0422025499693781</v>
      </c>
      <c r="F17216" s="1659">
        <f t="shared" si="255"/>
        <v>8.3376203997550247E-2</v>
      </c>
      <c r="G17216" s="78"/>
      <c r="H17216" t="str">
        <f>VLOOKUP(B17216,indexy!$A$44:$D$823,3,FALSE)</f>
        <v>FER SQ Equity</v>
      </c>
      <c r="K17216" s="434"/>
    </row>
    <row r="17217" spans="1:11" ht="12.75" hidden="1" customHeight="1" outlineLevel="1" x14ac:dyDescent="0.25">
      <c r="A17217" s="135">
        <v>0.03</v>
      </c>
      <c r="B17217" s="211" t="s">
        <v>8375</v>
      </c>
      <c r="C17217" s="472">
        <v>23.298999999999999</v>
      </c>
      <c r="D17217" s="1538">
        <f>VLOOKUP(H17217,indexy!$C$44:$D$823,2,FALSE)</f>
        <v>8.3379999999999992</v>
      </c>
      <c r="E17217" s="1539">
        <f t="shared" si="254"/>
        <v>-0.64213056354349973</v>
      </c>
      <c r="F17217" s="1659">
        <f t="shared" si="255"/>
        <v>-1.9263916906304992E-2</v>
      </c>
      <c r="G17217" s="78"/>
      <c r="H17217" t="str">
        <f>VLOOKUP(B17217,indexy!$A$44:$D$823,3,FALSE)</f>
        <v>GRF SQ Equity</v>
      </c>
      <c r="K17217" s="434"/>
    </row>
    <row r="17218" spans="1:11" ht="12.75" hidden="1" customHeight="1" outlineLevel="1" x14ac:dyDescent="0.25">
      <c r="A17218" s="135">
        <v>0.04</v>
      </c>
      <c r="B17218" s="211" t="s">
        <v>3319</v>
      </c>
      <c r="C17218" s="472">
        <v>76.53</v>
      </c>
      <c r="D17218" s="1538">
        <f>VLOOKUP(H17218,indexy!$C$44:$D$823,2,FALSE)</f>
        <v>89.34</v>
      </c>
      <c r="E17218" s="1539">
        <f t="shared" si="254"/>
        <v>0.16738533908271269</v>
      </c>
      <c r="F17218" s="1659">
        <f t="shared" si="255"/>
        <v>6.6954135633085082E-3</v>
      </c>
      <c r="G17218" s="78"/>
      <c r="H17218" t="str">
        <f>VLOOKUP(B17218,indexy!$A$44:$D$823,3,FALSE)</f>
        <v>HEIA NA Equity</v>
      </c>
      <c r="K17218" s="434"/>
    </row>
    <row r="17219" spans="1:11" ht="12.75" hidden="1" customHeight="1" outlineLevel="1" x14ac:dyDescent="0.25">
      <c r="A17219" s="135">
        <v>0.02</v>
      </c>
      <c r="B17219" s="211" t="s">
        <v>7422</v>
      </c>
      <c r="C17219" s="472">
        <v>95.626000000000005</v>
      </c>
      <c r="D17219" s="1538">
        <f>VLOOKUP(H17219,indexy!$C$44:$D$823,2,FALSE)</f>
        <v>74.5</v>
      </c>
      <c r="E17219" s="1539">
        <f t="shared" si="254"/>
        <v>-0.22092317988831489</v>
      </c>
      <c r="F17219" s="1659">
        <f t="shared" si="255"/>
        <v>-4.4184635977662983E-3</v>
      </c>
      <c r="G17219" s="78"/>
      <c r="H17219" t="str">
        <f>VLOOKUP(B17219,indexy!$A$44:$D$823,3,FALSE)</f>
        <v>HEN3 GY Equity</v>
      </c>
      <c r="K17219" s="434"/>
    </row>
    <row r="17220" spans="1:11" ht="12.75" hidden="1" customHeight="1" outlineLevel="1" x14ac:dyDescent="0.25">
      <c r="A17220" s="135">
        <v>0.03</v>
      </c>
      <c r="B17220" s="211" t="s">
        <v>9658</v>
      </c>
      <c r="C17220" s="490">
        <f>409.43/7</f>
        <v>58.49</v>
      </c>
      <c r="D17220" s="1538">
        <f>VLOOKUP(H17220,indexy!$C$44:$D$823,2,FALSE)</f>
        <v>126.7</v>
      </c>
      <c r="E17220" s="1539">
        <f t="shared" si="254"/>
        <v>1.1661822533766455</v>
      </c>
      <c r="F17220" s="1659">
        <f t="shared" si="255"/>
        <v>3.4985467601299364E-2</v>
      </c>
      <c r="G17220" s="78"/>
      <c r="H17220" t="str">
        <f>VLOOKUP(B17220,indexy!$A$44:$D$823,3,FALSE)</f>
        <v>HEXAB SS Equity</v>
      </c>
      <c r="K17220" s="434"/>
    </row>
    <row r="17221" spans="1:11" ht="12.75" hidden="1" customHeight="1" outlineLevel="1" x14ac:dyDescent="0.25">
      <c r="A17221" s="135">
        <v>0.03</v>
      </c>
      <c r="B17221" s="211" t="s">
        <v>10770</v>
      </c>
      <c r="C17221" s="472">
        <v>119.36</v>
      </c>
      <c r="D17221" s="1538">
        <f>VLOOKUP(H17221,indexy!$C$44:$D$823,2,FALSE)</f>
        <v>181.04660000000001</v>
      </c>
      <c r="E17221" s="1539">
        <f t="shared" si="254"/>
        <v>0.51681132707774813</v>
      </c>
      <c r="F17221" s="1659">
        <f t="shared" si="255"/>
        <v>1.5504339812332443E-2</v>
      </c>
      <c r="G17221" s="78"/>
      <c r="H17221" t="str">
        <f>VLOOKUP(B17221,indexy!$A$44:$D$823,3,FALSE)</f>
        <v>ILD FP CASH</v>
      </c>
      <c r="K17221" s="434"/>
    </row>
    <row r="17222" spans="1:11" ht="12.75" hidden="1" customHeight="1" outlineLevel="1" x14ac:dyDescent="0.25">
      <c r="A17222" s="135">
        <v>0.03</v>
      </c>
      <c r="B17222" s="211" t="s">
        <v>9660</v>
      </c>
      <c r="C17222" s="472">
        <v>22.016432959882376</v>
      </c>
      <c r="D17222" s="1538">
        <f>VLOOKUP(H17222,indexy!$C$44:$D$823,2,FALSE)</f>
        <v>46.67</v>
      </c>
      <c r="E17222" s="1539">
        <f t="shared" si="254"/>
        <v>1.1197802607280001</v>
      </c>
      <c r="F17222" s="1659">
        <f t="shared" si="255"/>
        <v>3.3593407821840005E-2</v>
      </c>
      <c r="G17222" s="78"/>
      <c r="H17222" t="str">
        <f>VLOOKUP(B17222,indexy!$A$44:$D$823,3,FALSE)</f>
        <v>ITX SQ Equity</v>
      </c>
      <c r="K17222" s="434"/>
    </row>
    <row r="17223" spans="1:11" ht="12.75" hidden="1" customHeight="1" outlineLevel="1" x14ac:dyDescent="0.25">
      <c r="A17223" s="135">
        <v>0.02</v>
      </c>
      <c r="B17223" s="211" t="s">
        <v>6450</v>
      </c>
      <c r="C17223" s="472">
        <v>400.79</v>
      </c>
      <c r="D17223" s="1538">
        <f>VLOOKUP(H17223,indexy!$C$44:$D$823,2,FALSE)</f>
        <v>366.35</v>
      </c>
      <c r="E17223" s="1539">
        <f t="shared" si="254"/>
        <v>-8.5930287681828421E-2</v>
      </c>
      <c r="F17223" s="1659">
        <f t="shared" si="255"/>
        <v>-1.7186057536365685E-3</v>
      </c>
      <c r="G17223" s="78"/>
      <c r="H17223" t="str">
        <f>VLOOKUP(B17223,indexy!$A$44:$D$823,3,FALSE)</f>
        <v>KER FP Equity</v>
      </c>
      <c r="K17223" s="434"/>
    </row>
    <row r="17224" spans="1:11" ht="12.75" hidden="1" customHeight="1" outlineLevel="1" x14ac:dyDescent="0.25">
      <c r="A17224" s="135">
        <v>0.02</v>
      </c>
      <c r="B17224" s="211" t="s">
        <v>6742</v>
      </c>
      <c r="C17224" s="472">
        <v>41.949977148274321</v>
      </c>
      <c r="D17224" s="1538">
        <f>VLOOKUP(H17224,indexy!$C$44:$D$823,2,FALSE)</f>
        <v>43.14</v>
      </c>
      <c r="E17224" s="1539">
        <f t="shared" si="254"/>
        <v>2.8367663885000116E-2</v>
      </c>
      <c r="F17224" s="1659">
        <f t="shared" si="255"/>
        <v>5.6735327770000236E-4</v>
      </c>
      <c r="G17224" s="78"/>
      <c r="H17224" t="str">
        <f>VLOOKUP(B17224,indexy!$A$44:$D$823,3,FALSE)</f>
        <v>KNEBV FH Equity</v>
      </c>
      <c r="K17224" s="434"/>
    </row>
    <row r="17225" spans="1:11" ht="12.75" hidden="1" customHeight="1" outlineLevel="1" x14ac:dyDescent="0.25">
      <c r="A17225" s="135">
        <v>0.02</v>
      </c>
      <c r="B17225" s="211" t="s">
        <v>1528</v>
      </c>
      <c r="C17225" s="472">
        <v>253.61500000000001</v>
      </c>
      <c r="D17225" s="1538">
        <f>VLOOKUP(H17225,indexy!$C$44:$D$823,2,FALSE)</f>
        <v>833.7</v>
      </c>
      <c r="E17225" s="1539">
        <f t="shared" si="254"/>
        <v>2.2872661317351102</v>
      </c>
      <c r="F17225" s="1659">
        <f t="shared" si="255"/>
        <v>4.5745322634702205E-2</v>
      </c>
      <c r="G17225" s="78"/>
      <c r="H17225" t="str">
        <f>VLOOKUP(B17225,indexy!$A$44:$D$823,3,FALSE)</f>
        <v>MC FP Equity</v>
      </c>
      <c r="K17225" s="434"/>
    </row>
    <row r="17226" spans="1:11" ht="12.75" hidden="1" customHeight="1" outlineLevel="1" x14ac:dyDescent="0.25">
      <c r="A17226" s="135">
        <v>0.02</v>
      </c>
      <c r="B17226" s="211" t="s">
        <v>240</v>
      </c>
      <c r="C17226" s="472">
        <v>89.965999999999994</v>
      </c>
      <c r="D17226" s="1538">
        <f>VLOOKUP(H17226,indexy!$C$44:$D$823,2,FALSE)</f>
        <v>163.6</v>
      </c>
      <c r="E17226" s="1539">
        <f t="shared" si="254"/>
        <v>0.81846475335126612</v>
      </c>
      <c r="F17226" s="1659">
        <f t="shared" si="255"/>
        <v>1.6369295067025322E-2</v>
      </c>
      <c r="G17226" s="78"/>
      <c r="H17226" t="str">
        <f>VLOOKUP(B17226,indexy!$A$44:$D$823,3,FALSE)</f>
        <v>MRK GY Equity</v>
      </c>
      <c r="K17226" s="434"/>
    </row>
    <row r="17227" spans="1:11" ht="12.75" hidden="1" customHeight="1" outlineLevel="1" x14ac:dyDescent="0.25">
      <c r="A17227" s="135">
        <v>0.02</v>
      </c>
      <c r="B17227" s="211" t="s">
        <v>9661</v>
      </c>
      <c r="C17227" s="472">
        <v>29.611000000000001</v>
      </c>
      <c r="D17227" s="1538">
        <f>VLOOKUP(H17227,indexy!$C$44:$D$823,2,FALSE)</f>
        <v>69.180000000000007</v>
      </c>
      <c r="E17227" s="1539">
        <f t="shared" si="254"/>
        <v>1.3362939448178044</v>
      </c>
      <c r="F17227" s="1659">
        <f t="shared" si="255"/>
        <v>2.6725878896356088E-2</v>
      </c>
      <c r="G17227" s="78"/>
      <c r="H17227" t="str">
        <f>VLOOKUP(B17227,indexy!$A$44:$D$823,3,FALSE)</f>
        <v>MONC IM Equity</v>
      </c>
      <c r="K17227" s="434"/>
    </row>
    <row r="17228" spans="1:11" ht="12.75" hidden="1" customHeight="1" outlineLevel="1" x14ac:dyDescent="0.25">
      <c r="A17228" s="135">
        <v>0.04</v>
      </c>
      <c r="B17228" s="211" t="s">
        <v>4044</v>
      </c>
      <c r="C17228" s="472">
        <v>139.99</v>
      </c>
      <c r="D17228" s="1538">
        <f>VLOOKUP(H17228,indexy!$C$44:$D$823,2,FALSE)</f>
        <v>149.94999999999999</v>
      </c>
      <c r="E17228" s="1539">
        <f t="shared" si="254"/>
        <v>7.1147939138509697E-2</v>
      </c>
      <c r="F17228" s="1659">
        <f t="shared" si="255"/>
        <v>2.8459175655403878E-3</v>
      </c>
      <c r="G17228" s="78"/>
      <c r="H17228" t="str">
        <f>VLOOKUP(B17228,indexy!$A$44:$D$823,3,FALSE)</f>
        <v>RI FP Equity</v>
      </c>
      <c r="K17228" s="434"/>
    </row>
    <row r="17229" spans="1:11" ht="12.75" hidden="1" customHeight="1" outlineLevel="1" x14ac:dyDescent="0.25">
      <c r="A17229" s="135">
        <v>0.02</v>
      </c>
      <c r="B17229" s="211" t="s">
        <v>10600</v>
      </c>
      <c r="C17229" s="472">
        <v>10.005415806508365</v>
      </c>
      <c r="D17229" s="1538">
        <f>VLOOKUP(H17229,indexy!$C$44:$D$823,2,FALSE)</f>
        <v>26.324999999999999</v>
      </c>
      <c r="E17229" s="1539">
        <f t="shared" si="254"/>
        <v>1.6310750606562499</v>
      </c>
      <c r="F17229" s="1659">
        <f t="shared" si="255"/>
        <v>3.2621501213125001E-2</v>
      </c>
      <c r="G17229" s="78"/>
      <c r="H17229" t="str">
        <f>VLOOKUP(B17229,indexy!$A$44:$D$823,3,FALSE)</f>
        <v>STLAP FP Equity</v>
      </c>
      <c r="K17229" s="434"/>
    </row>
    <row r="17230" spans="1:11" ht="12.75" hidden="1" customHeight="1" outlineLevel="1" x14ac:dyDescent="0.25">
      <c r="A17230" s="135">
        <v>0.04</v>
      </c>
      <c r="B17230" s="211" t="s">
        <v>7324</v>
      </c>
      <c r="C17230" s="472">
        <v>36.050055220483209</v>
      </c>
      <c r="D17230" s="1538">
        <f>VLOOKUP(H17230,indexy!$C$44:$D$823,2,FALSE)</f>
        <v>48.92</v>
      </c>
      <c r="E17230" s="1539">
        <f t="shared" si="254"/>
        <v>0.35700208226600005</v>
      </c>
      <c r="F17230" s="1659">
        <f t="shared" si="255"/>
        <v>1.4280083290640002E-2</v>
      </c>
      <c r="G17230" s="78"/>
      <c r="H17230" t="str">
        <f>VLOOKUP(B17230,indexy!$A$44:$D$823,3,FALSE)</f>
        <v>RAND NA Equity</v>
      </c>
      <c r="K17230" s="434"/>
    </row>
    <row r="17231" spans="1:11" ht="12.75" hidden="1" customHeight="1" outlineLevel="1" x14ac:dyDescent="0.25">
      <c r="A17231" s="135">
        <v>0.08</v>
      </c>
      <c r="B17231" s="211" t="s">
        <v>9662</v>
      </c>
      <c r="C17231" s="472">
        <v>30.006</v>
      </c>
      <c r="D17231" s="1538">
        <f>VLOOKUP(H17231,indexy!$C$44:$D$823,2,FALSE)</f>
        <v>51.24</v>
      </c>
      <c r="E17231" s="1539">
        <f t="shared" si="254"/>
        <v>0.70765846830633872</v>
      </c>
      <c r="F17231" s="1659">
        <f t="shared" si="255"/>
        <v>5.66126774645071E-2</v>
      </c>
      <c r="G17231" s="78"/>
      <c r="H17231" t="str">
        <f>VLOOKUP(B17231,indexy!$A$44:$D$823,3,FALSE)</f>
        <v>REC IM Equity</v>
      </c>
      <c r="K17231" s="434"/>
    </row>
    <row r="17232" spans="1:11" ht="12.75" hidden="1" customHeight="1" outlineLevel="1" x14ac:dyDescent="0.25">
      <c r="A17232" s="135">
        <v>0.08</v>
      </c>
      <c r="B17232" s="211" t="s">
        <v>7563</v>
      </c>
      <c r="C17232" s="472">
        <v>89.013999999999996</v>
      </c>
      <c r="D17232" s="1538">
        <f>VLOOKUP(H17232,indexy!$C$44:$D$823,2,FALSE)</f>
        <v>79.48</v>
      </c>
      <c r="E17232" s="1539">
        <f t="shared" si="254"/>
        <v>-0.10710674725324099</v>
      </c>
      <c r="F17232" s="1659">
        <f t="shared" si="255"/>
        <v>-8.5685397802592791E-3</v>
      </c>
      <c r="G17232" s="78"/>
      <c r="H17232" t="str">
        <f>VLOOKUP(B17232,indexy!$A$44:$D$823,3,FALSE)</f>
        <v>SW FP Equity</v>
      </c>
      <c r="K17232" s="434"/>
    </row>
    <row r="17233" spans="1:11" ht="12.75" hidden="1" customHeight="1" outlineLevel="1" x14ac:dyDescent="0.25">
      <c r="A17233" s="135">
        <v>0.02</v>
      </c>
      <c r="B17233" s="211" t="s">
        <v>7374</v>
      </c>
      <c r="C17233" s="472">
        <v>89.042000000000002</v>
      </c>
      <c r="D17233" s="1538">
        <f>VLOOKUP(H17233,indexy!$C$44:$D$823,2,FALSE)</f>
        <v>106.15</v>
      </c>
      <c r="E17233" s="1539">
        <f t="shared" si="254"/>
        <v>0.19213404910042464</v>
      </c>
      <c r="F17233" s="1659">
        <f t="shared" si="255"/>
        <v>3.842680982008493E-3</v>
      </c>
      <c r="G17233" s="78"/>
      <c r="H17233" t="str">
        <f>VLOOKUP(B17233,indexy!$A$44:$D$823,3,FALSE)</f>
        <v>SOLB BB Equity</v>
      </c>
      <c r="K17233" s="434"/>
    </row>
    <row r="17234" spans="1:11" ht="12.75" hidden="1" customHeight="1" outlineLevel="1" x14ac:dyDescent="0.25">
      <c r="A17234" s="135">
        <v>0.02</v>
      </c>
      <c r="B17234" s="211" t="s">
        <v>9663</v>
      </c>
      <c r="C17234" s="472">
        <v>71.17</v>
      </c>
      <c r="D17234" s="1538">
        <f>VLOOKUP(H17234,indexy!$C$44:$D$823,2,FALSE)</f>
        <v>19.504999999999999</v>
      </c>
      <c r="E17234" s="1539">
        <f t="shared" si="254"/>
        <v>-0.72593789518055363</v>
      </c>
      <c r="F17234" s="1659">
        <f t="shared" si="255"/>
        <v>-1.4518757903611073E-2</v>
      </c>
      <c r="G17234" s="78"/>
      <c r="H17234" t="str">
        <f>VLOOKUP(B17234,indexy!$A$44:$D$823,3,FALSE)</f>
        <v>UBI FP Equity</v>
      </c>
      <c r="K17234" s="434"/>
    </row>
    <row r="17235" spans="1:11" ht="12.75" hidden="1" customHeight="1" outlineLevel="1" x14ac:dyDescent="0.25">
      <c r="A17235" s="135">
        <v>0.02</v>
      </c>
      <c r="B17235" s="211" t="s">
        <v>7440</v>
      </c>
      <c r="C17235" s="472">
        <v>38.366999999999997</v>
      </c>
      <c r="D17235" s="1538">
        <f>VLOOKUP(H17235,indexy!$C$44:$D$823,2,FALSE)</f>
        <v>20.86</v>
      </c>
      <c r="E17235" s="1539">
        <f t="shared" si="254"/>
        <v>-0.45630359423462874</v>
      </c>
      <c r="F17235" s="1659">
        <f t="shared" si="255"/>
        <v>-9.1260718846925756E-3</v>
      </c>
      <c r="G17235" s="78"/>
      <c r="H17235" t="str">
        <f>VLOOKUP(B17235,indexy!$A$44:$D$823,3,FALSE)</f>
        <v>UTDI GY Equity</v>
      </c>
      <c r="K17235" s="434"/>
    </row>
    <row r="17236" spans="1:11" ht="12.75" hidden="1" customHeight="1" outlineLevel="1" x14ac:dyDescent="0.25">
      <c r="A17236" s="135">
        <v>0.02</v>
      </c>
      <c r="B17236" s="211" t="s">
        <v>9664</v>
      </c>
      <c r="C17236" s="472">
        <v>120.89409573848857</v>
      </c>
      <c r="D17236" s="1538">
        <f>VLOOKUP(H17236,indexy!$C$44:$D$823,2,FALSE)</f>
        <v>122.84</v>
      </c>
      <c r="E17236" s="1539">
        <f t="shared" si="254"/>
        <v>1.6095941241999867E-2</v>
      </c>
      <c r="F17236" s="1659">
        <f t="shared" si="255"/>
        <v>3.2191882483999733E-4</v>
      </c>
      <c r="G17236" s="78"/>
      <c r="H17236" t="str">
        <f>VLOOKUP(B17236,indexy!$A$44:$D$823,3,FALSE)</f>
        <v>VOW3 GY Equity</v>
      </c>
      <c r="K17236" s="434"/>
    </row>
    <row r="17237" spans="1:11" ht="12.75" hidden="1" customHeight="1" outlineLevel="1" x14ac:dyDescent="0.25">
      <c r="A17237" s="135">
        <v>0.02</v>
      </c>
      <c r="B17237" s="1465" t="s">
        <v>9665</v>
      </c>
      <c r="C17237" s="472">
        <v>81.227999999999994</v>
      </c>
      <c r="D17237" s="1540">
        <f>VLOOKUP(H17237,indexy!$C$44:$D$823,2,FALSE)</f>
        <v>104.55</v>
      </c>
      <c r="E17237" s="1541">
        <f t="shared" si="254"/>
        <v>0.28711774265031775</v>
      </c>
      <c r="F17237" s="1663">
        <f>$E17237*$A17237</f>
        <v>5.7423548530063555E-3</v>
      </c>
      <c r="G17237" s="78"/>
      <c r="H17237" t="str">
        <f>VLOOKUP(B17237,indexy!$A$44:$D$823,3,FALSE)</f>
        <v>WCH GY Equity</v>
      </c>
      <c r="K17237" s="434"/>
    </row>
    <row r="17238" spans="1:11" ht="12.75" hidden="1" customHeight="1" outlineLevel="1" x14ac:dyDescent="0.25">
      <c r="A17238" s="1475" t="s">
        <v>2734</v>
      </c>
      <c r="B17238" s="150"/>
      <c r="C17238" s="1476"/>
      <c r="D17238" s="1525"/>
      <c r="E17238" s="1543"/>
      <c r="F17238" s="1659">
        <f>SUM(F17208:F17237)</f>
        <v>0.39732197311696671</v>
      </c>
      <c r="G17238" s="78"/>
    </row>
    <row r="17239" spans="1:11" ht="12.75" hidden="1" customHeight="1" outlineLevel="1" x14ac:dyDescent="0.25">
      <c r="A17239" s="221" t="s">
        <v>9684</v>
      </c>
      <c r="B17239" s="1478">
        <v>45017</v>
      </c>
      <c r="C17239" s="1497">
        <v>100</v>
      </c>
      <c r="D17239" s="1497">
        <v>134.5829</v>
      </c>
      <c r="E17239" s="1528">
        <f>IF(D17239="",F17238,D17239/C17239-1)</f>
        <v>0.34582899999999994</v>
      </c>
      <c r="F17239" s="1839"/>
      <c r="G17239" s="78"/>
    </row>
    <row r="17240" spans="1:11" ht="12.75" hidden="1" customHeight="1" outlineLevel="1" x14ac:dyDescent="0.25">
      <c r="A17240" s="221" t="s">
        <v>9685</v>
      </c>
      <c r="B17240" s="1478">
        <v>45047</v>
      </c>
      <c r="C17240" s="1497">
        <v>100</v>
      </c>
      <c r="D17240" s="1500">
        <v>130.7157</v>
      </c>
      <c r="E17240" s="1528">
        <f>IF(D17240="",E17239,D17240/C17240-1)</f>
        <v>0.3071569999999999</v>
      </c>
      <c r="F17240" s="1839"/>
      <c r="G17240" s="78"/>
    </row>
    <row r="17241" spans="1:11" ht="12.75" hidden="1" customHeight="1" outlineLevel="1" x14ac:dyDescent="0.25">
      <c r="A17241" s="221" t="s">
        <v>9686</v>
      </c>
      <c r="B17241" s="1478">
        <v>45078</v>
      </c>
      <c r="C17241" s="1497">
        <v>100</v>
      </c>
      <c r="D17241" s="1500">
        <v>135.45169999999999</v>
      </c>
      <c r="E17241" s="1528">
        <f>IF(D17241="",$F$17238,D17241/C17241-1)</f>
        <v>0.35451699999999997</v>
      </c>
      <c r="F17241" s="1839"/>
      <c r="G17241" s="78"/>
    </row>
    <row r="17242" spans="1:11" ht="12.75" hidden="1" customHeight="1" outlineLevel="1" x14ac:dyDescent="0.25">
      <c r="A17242" s="221" t="s">
        <v>9687</v>
      </c>
      <c r="B17242" s="1478">
        <v>45108</v>
      </c>
      <c r="C17242" s="1497">
        <v>100</v>
      </c>
      <c r="D17242" s="1500">
        <v>136.7655</v>
      </c>
      <c r="E17242" s="1528">
        <f t="shared" ref="E17242:E17256" si="256">IF(D17242="",$F$17238,D17242/C17242-1)</f>
        <v>0.36765500000000007</v>
      </c>
      <c r="F17242" s="1839"/>
      <c r="G17242" s="78"/>
    </row>
    <row r="17243" spans="1:11" ht="12.75" hidden="1" customHeight="1" outlineLevel="1" x14ac:dyDescent="0.25">
      <c r="A17243" s="221" t="s">
        <v>9688</v>
      </c>
      <c r="B17243" s="1478">
        <v>45139</v>
      </c>
      <c r="C17243" s="1497">
        <v>100</v>
      </c>
      <c r="D17243" s="1500">
        <v>132.41399999999999</v>
      </c>
      <c r="E17243" s="1528">
        <f t="shared" si="256"/>
        <v>0.32413999999999987</v>
      </c>
      <c r="F17243" s="1839"/>
      <c r="G17243" s="78"/>
    </row>
    <row r="17244" spans="1:11" ht="12.75" hidden="1" customHeight="1" outlineLevel="1" x14ac:dyDescent="0.25">
      <c r="A17244" s="221" t="s">
        <v>9689</v>
      </c>
      <c r="B17244" s="1478">
        <v>45170</v>
      </c>
      <c r="C17244" s="1497">
        <v>100</v>
      </c>
      <c r="D17244" s="1500">
        <v>128.84209999999999</v>
      </c>
      <c r="E17244" s="1528">
        <f t="shared" si="256"/>
        <v>0.28842099999999982</v>
      </c>
      <c r="F17244" s="1839"/>
      <c r="G17244" s="78"/>
    </row>
    <row r="17245" spans="1:11" ht="12.75" hidden="1" customHeight="1" outlineLevel="1" x14ac:dyDescent="0.25">
      <c r="A17245" s="221" t="s">
        <v>9690</v>
      </c>
      <c r="B17245" s="1478">
        <v>45200</v>
      </c>
      <c r="C17245" s="1497">
        <v>100</v>
      </c>
      <c r="D17245" s="1500">
        <v>124.59399999999999</v>
      </c>
      <c r="E17245" s="1528">
        <f t="shared" si="256"/>
        <v>0.24594000000000005</v>
      </c>
      <c r="F17245" s="1839"/>
      <c r="G17245" s="78"/>
    </row>
    <row r="17246" spans="1:11" ht="12.75" hidden="1" customHeight="1" outlineLevel="1" x14ac:dyDescent="0.25">
      <c r="A17246" s="221" t="s">
        <v>9691</v>
      </c>
      <c r="B17246" s="1478">
        <v>45231</v>
      </c>
      <c r="C17246" s="1497">
        <v>100</v>
      </c>
      <c r="D17246" s="1500">
        <v>131.98179999999999</v>
      </c>
      <c r="E17246" s="1528">
        <f t="shared" si="256"/>
        <v>0.31981799999999994</v>
      </c>
      <c r="F17246" s="1839"/>
      <c r="G17246" s="78"/>
    </row>
    <row r="17247" spans="1:11" ht="12.75" hidden="1" customHeight="1" outlineLevel="1" x14ac:dyDescent="0.25">
      <c r="A17247" s="221" t="s">
        <v>9692</v>
      </c>
      <c r="B17247" s="1478">
        <v>45261</v>
      </c>
      <c r="C17247" s="1497">
        <v>100</v>
      </c>
      <c r="D17247" s="1500">
        <v>138.6611</v>
      </c>
      <c r="E17247" s="1528">
        <f t="shared" si="256"/>
        <v>0.38661100000000004</v>
      </c>
      <c r="F17247" s="1839"/>
      <c r="G17247" s="78"/>
    </row>
    <row r="17248" spans="1:11" ht="12.75" hidden="1" customHeight="1" outlineLevel="1" x14ac:dyDescent="0.25">
      <c r="A17248" s="221" t="s">
        <v>9693</v>
      </c>
      <c r="B17248" s="1478">
        <v>45292</v>
      </c>
      <c r="C17248" s="1497">
        <v>100</v>
      </c>
      <c r="D17248" s="1500"/>
      <c r="E17248" s="1528">
        <f t="shared" si="256"/>
        <v>0.39732197311696671</v>
      </c>
      <c r="F17248" s="1839"/>
      <c r="G17248" s="78"/>
    </row>
    <row r="17249" spans="1:11" ht="12.75" hidden="1" customHeight="1" outlineLevel="1" x14ac:dyDescent="0.25">
      <c r="A17249" s="221" t="s">
        <v>9694</v>
      </c>
      <c r="B17249" s="1478">
        <v>45323</v>
      </c>
      <c r="C17249" s="1497">
        <v>100</v>
      </c>
      <c r="D17249" s="1500"/>
      <c r="E17249" s="1528">
        <f t="shared" si="256"/>
        <v>0.39732197311696671</v>
      </c>
      <c r="F17249" s="1839"/>
      <c r="G17249" s="78"/>
    </row>
    <row r="17250" spans="1:11" ht="12.75" hidden="1" customHeight="1" outlineLevel="1" x14ac:dyDescent="0.25">
      <c r="A17250" s="221" t="s">
        <v>9695</v>
      </c>
      <c r="B17250" s="1478">
        <v>45352</v>
      </c>
      <c r="C17250" s="1497">
        <v>100</v>
      </c>
      <c r="D17250" s="1500"/>
      <c r="E17250" s="1528">
        <f t="shared" si="256"/>
        <v>0.39732197311696671</v>
      </c>
      <c r="F17250" s="1839"/>
      <c r="G17250" s="78"/>
    </row>
    <row r="17251" spans="1:11" ht="12.75" hidden="1" customHeight="1" outlineLevel="1" x14ac:dyDescent="0.25">
      <c r="A17251" s="221" t="s">
        <v>9696</v>
      </c>
      <c r="B17251" s="1478">
        <v>45383</v>
      </c>
      <c r="C17251" s="1497">
        <v>100</v>
      </c>
      <c r="D17251" s="1500"/>
      <c r="E17251" s="1528">
        <f t="shared" si="256"/>
        <v>0.39732197311696671</v>
      </c>
      <c r="F17251" s="1839"/>
      <c r="G17251" s="78"/>
    </row>
    <row r="17252" spans="1:11" ht="12.75" hidden="1" customHeight="1" outlineLevel="1" x14ac:dyDescent="0.25">
      <c r="A17252" s="221" t="s">
        <v>9697</v>
      </c>
      <c r="B17252" s="1478">
        <v>45413</v>
      </c>
      <c r="C17252" s="1497">
        <v>100</v>
      </c>
      <c r="D17252" s="1500"/>
      <c r="E17252" s="1528">
        <f t="shared" si="256"/>
        <v>0.39732197311696671</v>
      </c>
      <c r="F17252" s="1839"/>
      <c r="G17252" s="78"/>
    </row>
    <row r="17253" spans="1:11" ht="12.75" hidden="1" customHeight="1" outlineLevel="1" x14ac:dyDescent="0.25">
      <c r="A17253" s="221" t="s">
        <v>9698</v>
      </c>
      <c r="B17253" s="1478">
        <v>45444</v>
      </c>
      <c r="C17253" s="1497">
        <v>100</v>
      </c>
      <c r="D17253" s="1500"/>
      <c r="E17253" s="1528">
        <f t="shared" si="256"/>
        <v>0.39732197311696671</v>
      </c>
      <c r="F17253" s="1839"/>
      <c r="G17253" s="78"/>
    </row>
    <row r="17254" spans="1:11" ht="12.75" hidden="1" customHeight="1" outlineLevel="1" x14ac:dyDescent="0.25">
      <c r="A17254" s="221" t="s">
        <v>9699</v>
      </c>
      <c r="B17254" s="1478">
        <v>45474</v>
      </c>
      <c r="C17254" s="1497">
        <v>100</v>
      </c>
      <c r="D17254" s="1500"/>
      <c r="E17254" s="1528">
        <f t="shared" si="256"/>
        <v>0.39732197311696671</v>
      </c>
      <c r="F17254" s="1839"/>
      <c r="G17254" s="78"/>
    </row>
    <row r="17255" spans="1:11" ht="12.75" hidden="1" customHeight="1" outlineLevel="1" x14ac:dyDescent="0.25">
      <c r="A17255" s="221" t="s">
        <v>9700</v>
      </c>
      <c r="B17255" s="1478">
        <v>45505</v>
      </c>
      <c r="C17255" s="1497">
        <v>100</v>
      </c>
      <c r="D17255" s="1500"/>
      <c r="E17255" s="1528">
        <f t="shared" si="256"/>
        <v>0.39732197311696671</v>
      </c>
      <c r="F17255" s="1839"/>
      <c r="G17255" s="78"/>
    </row>
    <row r="17256" spans="1:11" ht="12.75" hidden="1" customHeight="1" outlineLevel="1" x14ac:dyDescent="0.25">
      <c r="A17256" s="221" t="s">
        <v>9701</v>
      </c>
      <c r="B17256" s="1478">
        <v>45536</v>
      </c>
      <c r="C17256" s="1497">
        <v>100</v>
      </c>
      <c r="D17256" s="1500"/>
      <c r="E17256" s="1528">
        <f t="shared" si="256"/>
        <v>0.39732197311696671</v>
      </c>
      <c r="F17256" s="1839"/>
      <c r="G17256" s="78"/>
    </row>
    <row r="17257" spans="1:11" ht="12.75" hidden="1" customHeight="1" outlineLevel="1" x14ac:dyDescent="0.25">
      <c r="A17257" s="1483" t="s">
        <v>2734</v>
      </c>
      <c r="B17257" s="1484"/>
      <c r="C17257" s="1500"/>
      <c r="D17257" s="1485" t="s">
        <v>2465</v>
      </c>
      <c r="E17257" s="1486">
        <f>AVERAGE(E17239:E17256)</f>
        <v>0.36199920878070541</v>
      </c>
      <c r="F17257" s="1844">
        <f>E17257</f>
        <v>0.36199920878070541</v>
      </c>
      <c r="G17257" s="78"/>
    </row>
    <row r="17258" spans="1:11" collapsed="1" x14ac:dyDescent="0.25">
      <c r="A17258" s="3799" t="s">
        <v>5399</v>
      </c>
      <c r="B17258" s="3800"/>
      <c r="C17258" s="3800"/>
      <c r="D17258" s="3800"/>
      <c r="E17258" s="18"/>
      <c r="F17258" s="186">
        <f>IF(F17257&lt;0,0%,MIN(F17257*0.6,70%))</f>
        <v>0.21719952526842323</v>
      </c>
      <c r="G17258" s="78"/>
    </row>
    <row r="17260" spans="1:11" ht="12.75" hidden="1" customHeight="1" outlineLevel="1" x14ac:dyDescent="0.25">
      <c r="A17260" s="15" t="s">
        <v>113</v>
      </c>
      <c r="B17260" s="15" t="s">
        <v>114</v>
      </c>
      <c r="C17260" s="15" t="s">
        <v>112</v>
      </c>
      <c r="D17260" s="15" t="s">
        <v>116</v>
      </c>
      <c r="E17260" s="15" t="s">
        <v>117</v>
      </c>
      <c r="F17260" s="1882" t="s">
        <v>121</v>
      </c>
      <c r="G17260" s="78"/>
    </row>
    <row r="17261" spans="1:11" ht="12.75" hidden="1" customHeight="1" outlineLevel="1" x14ac:dyDescent="0.25">
      <c r="A17261" s="4">
        <v>1</v>
      </c>
      <c r="B17261" s="5" t="s">
        <v>252</v>
      </c>
      <c r="C17261" s="6">
        <v>100</v>
      </c>
      <c r="D17261" s="6"/>
      <c r="E17261" s="9"/>
      <c r="F17261" s="10"/>
      <c r="G17261" s="78"/>
    </row>
    <row r="17262" spans="1:11" ht="12.75" hidden="1" customHeight="1" outlineLevel="1" x14ac:dyDescent="0.25">
      <c r="A17262" s="21" t="s">
        <v>2734</v>
      </c>
      <c r="B17262" s="21"/>
      <c r="C17262" s="11"/>
      <c r="D17262" s="32" t="s">
        <v>3702</v>
      </c>
      <c r="E17262" s="33">
        <f>indexy!$B$2</f>
        <v>45379</v>
      </c>
      <c r="F17262" s="38"/>
      <c r="G17262" s="78"/>
    </row>
    <row r="17263" spans="1:11" ht="12.75" hidden="1" customHeight="1" outlineLevel="1" x14ac:dyDescent="0.25">
      <c r="A17263" s="22" t="s">
        <v>4156</v>
      </c>
      <c r="B17263" s="22" t="s">
        <v>4153</v>
      </c>
      <c r="C17263" s="98" t="s">
        <v>112</v>
      </c>
      <c r="D17263" s="131" t="s">
        <v>4155</v>
      </c>
      <c r="E17263" s="24" t="s">
        <v>4154</v>
      </c>
      <c r="F17263" s="189" t="s">
        <v>2519</v>
      </c>
      <c r="G17263" s="78"/>
    </row>
    <row r="17264" spans="1:11" ht="12.75" hidden="1" customHeight="1" outlineLevel="1" x14ac:dyDescent="0.25">
      <c r="A17264" s="1508">
        <v>0.03</v>
      </c>
      <c r="B17264" s="1505" t="s">
        <v>9297</v>
      </c>
      <c r="C17264" s="455">
        <v>21.146000000000001</v>
      </c>
      <c r="D17264" s="1536">
        <f>VLOOKUP($H17264,indexy!$C$44:$D$823,2,FALSE)</f>
        <v>15.85</v>
      </c>
      <c r="E17264" s="1537">
        <f>$D17264/$C17264-1</f>
        <v>-0.25044925754279779</v>
      </c>
      <c r="F17264" s="1656">
        <f>$E17264*$A17264</f>
        <v>-7.5134777262839333E-3</v>
      </c>
      <c r="G17264" s="78"/>
      <c r="H17264" t="str">
        <f>VLOOKUP(B17264,indexy!$A$44:$D$823,3,FALSE)</f>
        <v>ABN NA Equity</v>
      </c>
      <c r="I17264">
        <f>VLOOKUP(H17264,[9]Fixing!$B$10:$C$39,2,0)</f>
        <v>0.14187080299999999</v>
      </c>
      <c r="J17264">
        <f t="shared" ref="J17264:J17293" si="257">+A17264*100/I17264</f>
        <v>21.14599999832242</v>
      </c>
      <c r="K17264" s="434">
        <f t="shared" ref="K17264:K17293" si="258">+J17264-C17264</f>
        <v>-1.6775807409885601E-9</v>
      </c>
    </row>
    <row r="17265" spans="1:11" ht="12.75" hidden="1" customHeight="1" outlineLevel="1" x14ac:dyDescent="0.25">
      <c r="A17265" s="1509">
        <v>0.02</v>
      </c>
      <c r="B17265" s="1505" t="s">
        <v>6562</v>
      </c>
      <c r="C17265" s="455">
        <v>47.478000000000002</v>
      </c>
      <c r="D17265" s="1538">
        <f>VLOOKUP(H17265,indexy!$C$44:$D$823,2,FALSE)</f>
        <v>35.659999999999997</v>
      </c>
      <c r="E17265" s="1539">
        <f t="shared" ref="E17265:E17293" si="259">$D17265/$C17265-1</f>
        <v>-0.24891528708033206</v>
      </c>
      <c r="F17265" s="1659">
        <f t="shared" ref="F17265:F17292" si="260">$E17265*$A17265</f>
        <v>-4.9783057416066413E-3</v>
      </c>
      <c r="G17265" s="78"/>
      <c r="H17265" t="str">
        <f>VLOOKUP(B17265,indexy!$A$44:$D$823,3,FALSE)</f>
        <v>ADEN SE Equity</v>
      </c>
      <c r="I17265">
        <f>VLOOKUP(H17265,[9]Fixing!$B$10:$C$39,2,0)</f>
        <v>4.2124773599999998E-2</v>
      </c>
      <c r="J17265">
        <f t="shared" si="257"/>
        <v>47.477999976716788</v>
      </c>
      <c r="K17265" s="434">
        <f t="shared" si="258"/>
        <v>-2.3283213579361473E-8</v>
      </c>
    </row>
    <row r="17266" spans="1:11" ht="12.75" hidden="1" customHeight="1" outlineLevel="1" x14ac:dyDescent="0.25">
      <c r="A17266" s="1509">
        <v>0.04</v>
      </c>
      <c r="B17266" s="1505" t="s">
        <v>9702</v>
      </c>
      <c r="C17266" s="455">
        <v>138.26499999999999</v>
      </c>
      <c r="D17266" s="1538">
        <f>VLOOKUP(H17266,indexy!$C$44:$D$823,2,FALSE)</f>
        <v>182.45</v>
      </c>
      <c r="E17266" s="1539">
        <f t="shared" si="259"/>
        <v>0.31956749719741073</v>
      </c>
      <c r="F17266" s="1659">
        <f t="shared" si="260"/>
        <v>1.278269988789643E-2</v>
      </c>
      <c r="G17266" s="78"/>
      <c r="H17266" t="str">
        <f>VLOOKUP(B17266,indexy!$A$44:$D$823,3,FALSE)</f>
        <v>AENA SQ Equity</v>
      </c>
      <c r="I17266">
        <f>VLOOKUP(H17266,[9]Fixing!$B$10:$C$39,2,0)</f>
        <v>2.89299534E-2</v>
      </c>
      <c r="J17266">
        <f t="shared" si="257"/>
        <v>138.26499976318664</v>
      </c>
      <c r="K17266" s="434">
        <f t="shared" si="258"/>
        <v>-2.3681334937464271E-7</v>
      </c>
    </row>
    <row r="17267" spans="1:11" ht="12.75" hidden="1" customHeight="1" outlineLevel="1" x14ac:dyDescent="0.25">
      <c r="A17267" s="1509">
        <v>0.03</v>
      </c>
      <c r="B17267" s="1505" t="s">
        <v>2697</v>
      </c>
      <c r="C17267" s="455">
        <v>14.720499999999999</v>
      </c>
      <c r="D17267" s="1538">
        <f>VLOOKUP(H17267,indexy!$C$44:$D$823,2,FALSE)</f>
        <v>23.46</v>
      </c>
      <c r="E17267" s="1539">
        <f t="shared" si="259"/>
        <v>0.59369586630888915</v>
      </c>
      <c r="F17267" s="1659">
        <f t="shared" si="260"/>
        <v>1.7810875989266672E-2</v>
      </c>
      <c r="G17267" s="78"/>
      <c r="H17267" t="str">
        <f>VLOOKUP(B17267,indexy!$A$44:$D$823,3,FALSE)</f>
        <v>G IM Equity</v>
      </c>
      <c r="I17267">
        <f>VLOOKUP(H17267,[9]Fixing!$B$10:$C$39,2,0)</f>
        <v>0.20379742540000001</v>
      </c>
      <c r="J17267">
        <f t="shared" si="257"/>
        <v>14.720499997052464</v>
      </c>
      <c r="K17267" s="434">
        <f t="shared" si="258"/>
        <v>-2.9475355489694266E-9</v>
      </c>
    </row>
    <row r="17268" spans="1:11" ht="12.75" hidden="1" customHeight="1" outlineLevel="1" x14ac:dyDescent="0.25">
      <c r="A17268" s="1509">
        <v>0.02</v>
      </c>
      <c r="B17268" s="1505" t="s">
        <v>10829</v>
      </c>
      <c r="C17268" s="455">
        <v>18.873000000000001</v>
      </c>
      <c r="D17268" s="1538">
        <f>VLOOKUP(H17268,indexy!$C$44:$D$994,2,FALSE)</f>
        <v>23.685600000000001</v>
      </c>
      <c r="E17268" s="1539">
        <f t="shared" si="259"/>
        <v>0.25499920521379749</v>
      </c>
      <c r="F17268" s="1659">
        <f t="shared" si="260"/>
        <v>5.09998410427595E-3</v>
      </c>
      <c r="G17268" s="78"/>
      <c r="H17268" t="str">
        <f>VLOOKUP(B17268,indexy!$A$44:$D$994,3,FALSE)</f>
        <v>ATL IM CASH</v>
      </c>
      <c r="I17268">
        <f>VLOOKUP(H17268,[9]Fixing!$B$10:$C$39,2,0)</f>
        <v>0.1059714937</v>
      </c>
      <c r="J17268">
        <f t="shared" si="257"/>
        <v>18.872999994337157</v>
      </c>
      <c r="K17268" s="434">
        <f t="shared" si="258"/>
        <v>-5.6628444156103797E-9</v>
      </c>
    </row>
    <row r="17269" spans="1:11" ht="12.75" hidden="1" customHeight="1" outlineLevel="1" x14ac:dyDescent="0.25">
      <c r="A17269" s="1509">
        <v>0.02</v>
      </c>
      <c r="B17269" s="1505" t="s">
        <v>218</v>
      </c>
      <c r="C17269" s="455">
        <v>19.1112</v>
      </c>
      <c r="D17269" s="1538">
        <f>VLOOKUP(H17269,indexy!$C$44:$D$823,2,FALSE)</f>
        <v>34.814999999999998</v>
      </c>
      <c r="E17269" s="1539">
        <f t="shared" si="259"/>
        <v>0.82170664322491516</v>
      </c>
      <c r="F17269" s="1659">
        <f t="shared" si="260"/>
        <v>1.6434132864498303E-2</v>
      </c>
      <c r="G17269" s="78"/>
      <c r="H17269" t="str">
        <f>VLOOKUP(B17269,indexy!$A$44:$D$823,3,FALSE)</f>
        <v>CS FP Equity</v>
      </c>
      <c r="I17269">
        <f>VLOOKUP(H17269,[9]Fixing!$B$10:$C$39,2,0)</f>
        <v>0.104650676</v>
      </c>
      <c r="J17269">
        <f t="shared" si="257"/>
        <v>19.111200007919681</v>
      </c>
      <c r="K17269" s="434">
        <f t="shared" si="258"/>
        <v>7.9196809110726463E-9</v>
      </c>
    </row>
    <row r="17270" spans="1:11" ht="12.75" hidden="1" customHeight="1" outlineLevel="1" x14ac:dyDescent="0.25">
      <c r="A17270" s="1509">
        <v>0.02</v>
      </c>
      <c r="B17270" s="1505" t="s">
        <v>3019</v>
      </c>
      <c r="C17270" s="455">
        <v>40.2455</v>
      </c>
      <c r="D17270" s="1538">
        <f>VLOOKUP(H17270,indexy!$C$44:$D$823,2,FALSE)</f>
        <v>65.86</v>
      </c>
      <c r="E17270" s="1539">
        <f t="shared" si="259"/>
        <v>0.63645624976705473</v>
      </c>
      <c r="F17270" s="1659">
        <f t="shared" si="260"/>
        <v>1.2729124995341096E-2</v>
      </c>
      <c r="G17270" s="78"/>
      <c r="H17270" t="str">
        <f>VLOOKUP(B17270,indexy!$A$44:$D$823,3,FALSE)</f>
        <v>BNP FP Equity</v>
      </c>
      <c r="I17270">
        <f>VLOOKUP(H17270,[9]Fixing!$B$10:$C$39,2,0)</f>
        <v>4.9694996999999998E-2</v>
      </c>
      <c r="J17270">
        <f t="shared" si="257"/>
        <v>40.245499964513535</v>
      </c>
      <c r="K17270" s="434">
        <f t="shared" si="258"/>
        <v>-3.5486465321810101E-8</v>
      </c>
    </row>
    <row r="17271" spans="1:11" ht="12.75" hidden="1" customHeight="1" outlineLevel="1" x14ac:dyDescent="0.25">
      <c r="A17271" s="1509">
        <v>0.02</v>
      </c>
      <c r="B17271" s="211" t="s">
        <v>10672</v>
      </c>
      <c r="C17271" s="455">
        <v>39.487559125635428</v>
      </c>
      <c r="D17271" s="1538">
        <f>VLOOKUP(H17271,indexy!$C$44:$D$823,2,FALSE)</f>
        <v>73.81</v>
      </c>
      <c r="E17271" s="1539">
        <f t="shared" si="259"/>
        <v>0.86919631484850002</v>
      </c>
      <c r="F17271" s="1659">
        <f t="shared" si="260"/>
        <v>1.7383926296970002E-2</v>
      </c>
      <c r="G17271" s="78"/>
      <c r="H17271" t="str">
        <f>VLOOKUP(B17271,indexy!$A$44:$D$823,3,FALSE)</f>
        <v>MBG GY Equity</v>
      </c>
      <c r="I17271">
        <f>VLOOKUP(H17271,[9]Fixing!$B$10:$C$39,2,0)</f>
        <v>5.0648863699999998E-2</v>
      </c>
      <c r="J17271">
        <f t="shared" si="257"/>
        <v>39.487559125635428</v>
      </c>
      <c r="K17271" s="434">
        <f t="shared" si="258"/>
        <v>0</v>
      </c>
    </row>
    <row r="17272" spans="1:11" ht="12.75" hidden="1" customHeight="1" outlineLevel="1" x14ac:dyDescent="0.25">
      <c r="A17272" s="1509">
        <v>0.02</v>
      </c>
      <c r="B17272" s="1505" t="s">
        <v>10826</v>
      </c>
      <c r="C17272" s="455">
        <v>24.561</v>
      </c>
      <c r="D17272" s="1538">
        <f>VLOOKUP(H17272,indexy!$C$44:$D$994,2,FALSE)</f>
        <v>39.914999999999999</v>
      </c>
      <c r="E17272" s="1539">
        <f t="shared" si="259"/>
        <v>0.6251374129717846</v>
      </c>
      <c r="F17272" s="1659">
        <f t="shared" si="260"/>
        <v>1.2502748259435693E-2</v>
      </c>
      <c r="G17272" s="78"/>
      <c r="H17272" t="str">
        <f>VLOOKUP(B17272,indexy!$A$44:$D$994,3,FALSE)</f>
        <v>DHL GY Equity</v>
      </c>
      <c r="I17272">
        <f>VLOOKUP(H17272,[9]Fixing!$B$10:$C$39,2,0)</f>
        <v>8.1429909199999997E-2</v>
      </c>
      <c r="J17272">
        <f t="shared" si="257"/>
        <v>24.561000001704535</v>
      </c>
      <c r="K17272" s="434">
        <f t="shared" si="258"/>
        <v>1.7045351796696195E-9</v>
      </c>
    </row>
    <row r="17273" spans="1:11" ht="12.75" hidden="1" customHeight="1" outlineLevel="1" x14ac:dyDescent="0.25">
      <c r="A17273" s="1509">
        <v>0.02</v>
      </c>
      <c r="B17273" s="1505" t="s">
        <v>3798</v>
      </c>
      <c r="C17273" s="455">
        <v>5.1524000000000001</v>
      </c>
      <c r="D17273" s="1538">
        <f>VLOOKUP(H17273,indexy!$C$44:$D$823,2,FALSE)</f>
        <v>6.1189999999999998</v>
      </c>
      <c r="E17273" s="1539">
        <f t="shared" si="259"/>
        <v>0.18760189426286766</v>
      </c>
      <c r="F17273" s="1659">
        <f t="shared" si="260"/>
        <v>3.7520378852573533E-3</v>
      </c>
      <c r="G17273" s="78"/>
      <c r="H17273" t="str">
        <f>VLOOKUP(B17273,indexy!$A$44:$D$823,3,FALSE)</f>
        <v>ENEL IM Equity</v>
      </c>
      <c r="I17273">
        <f>VLOOKUP(H17273,[9]Fixing!$B$10:$C$39,2,0)</f>
        <v>0.3881686204</v>
      </c>
      <c r="J17273">
        <f t="shared" si="257"/>
        <v>5.152400000646729</v>
      </c>
      <c r="K17273" s="434">
        <f t="shared" si="258"/>
        <v>6.4672889266148559E-10</v>
      </c>
    </row>
    <row r="17274" spans="1:11" ht="12.75" hidden="1" customHeight="1" outlineLevel="1" x14ac:dyDescent="0.25">
      <c r="A17274" s="1509">
        <v>0.02</v>
      </c>
      <c r="B17274" s="1505" t="s">
        <v>3021</v>
      </c>
      <c r="C17274" s="455">
        <v>14.083600000000001</v>
      </c>
      <c r="D17274" s="1538">
        <f>VLOOKUP(H17274,indexy!$C$44:$D$823,2,FALSE)</f>
        <v>14.648</v>
      </c>
      <c r="E17274" s="1539">
        <f t="shared" si="259"/>
        <v>4.0074980828765261E-2</v>
      </c>
      <c r="F17274" s="1659">
        <f t="shared" si="260"/>
        <v>8.0149961657530525E-4</v>
      </c>
      <c r="G17274" s="78"/>
      <c r="H17274" t="str">
        <f>VLOOKUP(B17274,indexy!$A$44:$D$823,3,FALSE)</f>
        <v>ENI IM Equity</v>
      </c>
      <c r="I17274">
        <f>VLOOKUP(H17274,[9]Fixing!$B$10:$C$39,2,0)</f>
        <v>0.14200914540000001</v>
      </c>
      <c r="J17274">
        <f t="shared" si="257"/>
        <v>14.083599998905422</v>
      </c>
      <c r="K17274" s="434">
        <f t="shared" si="258"/>
        <v>-1.0945786499405585E-9</v>
      </c>
    </row>
    <row r="17275" spans="1:11" ht="12.75" hidden="1" customHeight="1" outlineLevel="1" x14ac:dyDescent="0.25">
      <c r="A17275" s="1509">
        <v>0.04</v>
      </c>
      <c r="B17275" s="1505" t="s">
        <v>4268</v>
      </c>
      <c r="C17275" s="455">
        <v>18.981000000000002</v>
      </c>
      <c r="D17275" s="1538">
        <f>VLOOKUP(H17275,indexy!$C$44:$D$823,2,FALSE)</f>
        <v>11.445</v>
      </c>
      <c r="E17275" s="1539">
        <f t="shared" si="259"/>
        <v>-0.39702860755492342</v>
      </c>
      <c r="F17275" s="1659">
        <f t="shared" si="260"/>
        <v>-1.5881144302196937E-2</v>
      </c>
      <c r="G17275" s="78"/>
      <c r="H17275" t="str">
        <f>VLOOKUP(B17275,indexy!$A$44:$D$823,3,FALSE)</f>
        <v>FORTUM FH Equity</v>
      </c>
      <c r="I17275">
        <f>VLOOKUP(H17275,[9]Fixing!$B$10:$C$39,2,0)</f>
        <v>0.21073705279999999</v>
      </c>
      <c r="J17275">
        <f t="shared" si="257"/>
        <v>18.981000003811385</v>
      </c>
      <c r="K17275" s="434">
        <f t="shared" si="258"/>
        <v>3.8113832090402866E-9</v>
      </c>
    </row>
    <row r="17276" spans="1:11" ht="12.75" hidden="1" customHeight="1" outlineLevel="1" x14ac:dyDescent="0.25">
      <c r="A17276" s="1509">
        <v>0.06</v>
      </c>
      <c r="B17276" s="1505" t="s">
        <v>9011</v>
      </c>
      <c r="C17276" s="1507">
        <v>27.303000000000001</v>
      </c>
      <c r="D17276" s="1538">
        <f>VLOOKUP(H17276,indexy!$C$44:$D$823,2,FALSE)</f>
        <v>24</v>
      </c>
      <c r="E17276" s="1539">
        <f t="shared" si="259"/>
        <v>-0.12097571695418086</v>
      </c>
      <c r="F17276" s="1659">
        <f t="shared" si="260"/>
        <v>-7.258543017250851E-3</v>
      </c>
      <c r="G17276" s="78"/>
      <c r="H17276" t="str">
        <f>VLOOKUP(B17276,indexy!$A$44:$D$823,3,FALSE)</f>
        <v>LI FP Equity</v>
      </c>
      <c r="I17276">
        <f>VLOOKUP(H17276,[9]Fixing!$B$10:$C$39,2,0)</f>
        <v>0.21975607080000001</v>
      </c>
      <c r="J17276">
        <f t="shared" si="257"/>
        <v>27.302999995211053</v>
      </c>
      <c r="K17276" s="434">
        <f t="shared" si="258"/>
        <v>-4.7889479048990324E-9</v>
      </c>
    </row>
    <row r="17277" spans="1:11" ht="12.75" hidden="1" customHeight="1" outlineLevel="1" x14ac:dyDescent="0.25">
      <c r="A17277" s="1509">
        <v>0.02</v>
      </c>
      <c r="B17277" s="1505" t="s">
        <v>1772</v>
      </c>
      <c r="C17277" s="455">
        <v>189.285</v>
      </c>
      <c r="D17277" s="1538">
        <f>VLOOKUP(H17277,indexy!$C$44:$D$823,2,FALSE)</f>
        <v>452.3</v>
      </c>
      <c r="E17277" s="1539">
        <f t="shared" si="259"/>
        <v>1.3895184510130227</v>
      </c>
      <c r="F17277" s="1659">
        <f t="shared" si="260"/>
        <v>2.7790369020260455E-2</v>
      </c>
      <c r="G17277" s="78"/>
      <c r="H17277" t="str">
        <f>VLOOKUP(B17277,indexy!$A$44:$D$823,3,FALSE)</f>
        <v>MUV2 GY Equity</v>
      </c>
      <c r="I17277">
        <f>VLOOKUP(H17277,[9]Fixing!$B$10:$C$39,2,0)</f>
        <v>1.0566077599999999E-2</v>
      </c>
      <c r="J17277">
        <f t="shared" si="257"/>
        <v>189.28500014044948</v>
      </c>
      <c r="K17277" s="434">
        <f t="shared" si="258"/>
        <v>1.4044948670743906E-7</v>
      </c>
    </row>
    <row r="17278" spans="1:11" ht="12.75" hidden="1" customHeight="1" outlineLevel="1" x14ac:dyDescent="0.25">
      <c r="A17278" s="1509">
        <v>0.03</v>
      </c>
      <c r="B17278" s="1505" t="s">
        <v>1203</v>
      </c>
      <c r="C17278" s="455">
        <v>78.22</v>
      </c>
      <c r="D17278" s="1538">
        <f>VLOOKUP(H17278,indexy!$C$44:$D$823,2,FALSE)</f>
        <v>119.2</v>
      </c>
      <c r="E17278" s="1539">
        <f t="shared" si="259"/>
        <v>0.52390692917412429</v>
      </c>
      <c r="F17278" s="1659">
        <f t="shared" si="260"/>
        <v>1.5717207875223727E-2</v>
      </c>
      <c r="G17278" s="78"/>
      <c r="H17278" t="str">
        <f>VLOOKUP(B17278,indexy!$A$44:$D$823,3,FALSE)</f>
        <v>NDA SS Equity</v>
      </c>
      <c r="I17278">
        <f>VLOOKUP(H17278,[9]Fixing!$B$10:$C$39,2,0)</f>
        <v>3.8353362299999999E-2</v>
      </c>
      <c r="J17278">
        <f t="shared" si="257"/>
        <v>78.220000023309566</v>
      </c>
      <c r="K17278" s="434">
        <f t="shared" si="258"/>
        <v>2.3309567609430815E-8</v>
      </c>
    </row>
    <row r="17279" spans="1:11" ht="12.75" hidden="1" customHeight="1" outlineLevel="1" x14ac:dyDescent="0.25">
      <c r="A17279" s="1509">
        <v>0.02</v>
      </c>
      <c r="B17279" s="1505" t="s">
        <v>5824</v>
      </c>
      <c r="C17279" s="455">
        <v>13.708453248399396</v>
      </c>
      <c r="D17279" s="1538">
        <f>VLOOKUP(H17279,indexy!$C$44:$D$823,2,FALSE)</f>
        <v>10.888</v>
      </c>
      <c r="E17279" s="1539">
        <f t="shared" si="259"/>
        <v>-0.20574554964680014</v>
      </c>
      <c r="F17279" s="1659">
        <f t="shared" si="260"/>
        <v>-4.1149109929360028E-3</v>
      </c>
      <c r="G17279" s="78"/>
      <c r="H17279" t="str">
        <f>VLOOKUP(B17279,indexy!$A$44:$D$823,3,FALSE)</f>
        <v>ORA FP Equity</v>
      </c>
      <c r="I17279">
        <f>VLOOKUP(H17279,[9]Fixing!$B$10:$C$39,2,0)</f>
        <v>0.14589538029999999</v>
      </c>
      <c r="J17279">
        <f t="shared" si="257"/>
        <v>13.708453248399396</v>
      </c>
      <c r="K17279" s="434">
        <f t="shared" si="258"/>
        <v>0</v>
      </c>
    </row>
    <row r="17280" spans="1:11" ht="12.75" hidden="1" customHeight="1" outlineLevel="1" x14ac:dyDescent="0.25">
      <c r="A17280" s="1509">
        <v>0.02</v>
      </c>
      <c r="B17280" s="1505" t="s">
        <v>7433</v>
      </c>
      <c r="C17280" s="455">
        <v>15.345499999999999</v>
      </c>
      <c r="D17280" s="1538">
        <f>VLOOKUP(H17280,indexy!$C$44:$D$823,2,FALSE)</f>
        <v>6.5119999999999996</v>
      </c>
      <c r="E17280" s="1539">
        <f t="shared" si="259"/>
        <v>-0.57564106741389987</v>
      </c>
      <c r="F17280" s="1659">
        <f t="shared" si="260"/>
        <v>-1.1512821348277998E-2</v>
      </c>
      <c r="G17280" s="78"/>
      <c r="H17280" t="str">
        <f>VLOOKUP(B17280,indexy!$A$44:$D$823,3,FALSE)</f>
        <v>PSM GY Equity</v>
      </c>
      <c r="I17280">
        <f>VLOOKUP(H17280,[9]Fixing!$B$10:$C$39,2,0)</f>
        <v>0.13033136749999999</v>
      </c>
      <c r="J17280">
        <f t="shared" si="257"/>
        <v>15.345500000220593</v>
      </c>
      <c r="K17280" s="434">
        <f t="shared" si="258"/>
        <v>2.205933213872413E-10</v>
      </c>
    </row>
    <row r="17281" spans="1:11" ht="12.75" hidden="1" customHeight="1" outlineLevel="1" x14ac:dyDescent="0.25">
      <c r="A17281" s="1509">
        <v>0.04</v>
      </c>
      <c r="B17281" s="1505" t="s">
        <v>54</v>
      </c>
      <c r="C17281" s="455">
        <v>14.451499999999999</v>
      </c>
      <c r="D17281" s="1538">
        <f>VLOOKUP(H17281,indexy!$C$44:$D$823,2,FALSE)</f>
        <v>15.44</v>
      </c>
      <c r="E17281" s="1539">
        <f t="shared" si="259"/>
        <v>6.8401204027263685E-2</v>
      </c>
      <c r="F17281" s="1659">
        <f t="shared" si="260"/>
        <v>2.7360481610905476E-3</v>
      </c>
      <c r="G17281" s="78"/>
      <c r="H17281" t="str">
        <f>VLOOKUP(B17281,indexy!$A$44:$D$823,3,FALSE)</f>
        <v>REP SQ Equity</v>
      </c>
      <c r="I17281">
        <f>VLOOKUP(H17281,[9]Fixing!$B$10:$C$39,2,0)</f>
        <v>0.27678787669999999</v>
      </c>
      <c r="J17281">
        <f t="shared" si="257"/>
        <v>14.451499999530146</v>
      </c>
      <c r="K17281" s="434">
        <f t="shared" si="258"/>
        <v>-4.6985348944872385E-10</v>
      </c>
    </row>
    <row r="17282" spans="1:11" ht="12.75" hidden="1" customHeight="1" outlineLevel="1" x14ac:dyDescent="0.25">
      <c r="A17282" s="1509">
        <v>7.0000000000000007E-2</v>
      </c>
      <c r="B17282" s="1505" t="s">
        <v>6270</v>
      </c>
      <c r="C17282" s="455">
        <v>32.831603073378183</v>
      </c>
      <c r="D17282" s="1538">
        <f>VLOOKUP(H17282,indexy!$C$44:$D$823,2,FALSE)</f>
        <v>39.515000000000001</v>
      </c>
      <c r="E17282" s="1539">
        <f t="shared" si="259"/>
        <v>0.20356596391850013</v>
      </c>
      <c r="F17282" s="1659">
        <f t="shared" si="260"/>
        <v>1.424961747429501E-2</v>
      </c>
      <c r="G17282" s="78"/>
      <c r="H17282" t="str">
        <f>VLOOKUP(B17282,indexy!$A$44:$D$823,3,FALSE)</f>
        <v>SAMPO FH Equity</v>
      </c>
      <c r="I17282">
        <f>VLOOKUP(H17282,[9]Fixing!$B$10:$C$39,2,0)</f>
        <v>0.21320920530000001</v>
      </c>
      <c r="J17282">
        <f t="shared" si="257"/>
        <v>32.831603073378183</v>
      </c>
      <c r="K17282" s="434">
        <f t="shared" si="258"/>
        <v>0</v>
      </c>
    </row>
    <row r="17283" spans="1:11" ht="12.75" hidden="1" customHeight="1" outlineLevel="1" x14ac:dyDescent="0.25">
      <c r="A17283" s="1509">
        <v>0.04</v>
      </c>
      <c r="B17283" s="1505" t="s">
        <v>6524</v>
      </c>
      <c r="C17283" s="455">
        <v>87.801827149437855</v>
      </c>
      <c r="D17283" s="1538">
        <f>VLOOKUP(H17283,indexy!$C$44:$D$823,2,FALSE)</f>
        <v>144.94999999999999</v>
      </c>
      <c r="E17283" s="1539">
        <f t="shared" si="259"/>
        <v>0.65087680639374956</v>
      </c>
      <c r="F17283" s="1659">
        <f t="shared" si="260"/>
        <v>2.6035072255749983E-2</v>
      </c>
      <c r="G17283" s="78"/>
      <c r="H17283" t="str">
        <f>VLOOKUP(B17283,indexy!$A$44:$D$823,3,FALSE)</f>
        <v>SEBA SS Equity</v>
      </c>
      <c r="I17283">
        <f>VLOOKUP(H17283,[9]Fixing!$B$10:$C$39,2,0)</f>
        <v>4.5557138499999997E-2</v>
      </c>
      <c r="J17283">
        <f t="shared" si="257"/>
        <v>87.801827149437855</v>
      </c>
      <c r="K17283" s="434">
        <f t="shared" si="258"/>
        <v>0</v>
      </c>
    </row>
    <row r="17284" spans="1:11" ht="12.75" hidden="1" customHeight="1" outlineLevel="1" x14ac:dyDescent="0.25">
      <c r="A17284" s="1509">
        <v>0.02</v>
      </c>
      <c r="B17284" s="1505" t="s">
        <v>6116</v>
      </c>
      <c r="C17284" s="455">
        <v>4.0214999999999996</v>
      </c>
      <c r="D17284" s="1538">
        <f>VLOOKUP(H17284,indexy!$C$44:$D$823,2,FALSE)</f>
        <v>4.3760000000000003</v>
      </c>
      <c r="E17284" s="1539">
        <f t="shared" si="259"/>
        <v>8.8151187367897732E-2</v>
      </c>
      <c r="F17284" s="1659">
        <f t="shared" si="260"/>
        <v>1.7630237473579547E-3</v>
      </c>
      <c r="G17284" s="78"/>
      <c r="H17284" t="str">
        <f>VLOOKUP(B17284,indexy!$A$44:$D$823,3,FALSE)</f>
        <v>SRG IM Equity</v>
      </c>
      <c r="I17284">
        <f>VLOOKUP(H17284,[9]Fixing!$B$10:$C$39,2,0)</f>
        <v>0.49732686809999999</v>
      </c>
      <c r="J17284">
        <f t="shared" si="257"/>
        <v>4.0214999998710104</v>
      </c>
      <c r="K17284" s="434">
        <f t="shared" si="258"/>
        <v>-1.2898926371462949E-10</v>
      </c>
    </row>
    <row r="17285" spans="1:11" ht="12.75" hidden="1" customHeight="1" outlineLevel="1" x14ac:dyDescent="0.25">
      <c r="A17285" s="1509">
        <v>0.02</v>
      </c>
      <c r="B17285" s="1505" t="s">
        <v>2166</v>
      </c>
      <c r="C17285" s="455">
        <v>28.202000000000002</v>
      </c>
      <c r="D17285" s="1538">
        <f>VLOOKUP(H17285,indexy!$C$44:$D$823,2,FALSE)</f>
        <v>24.81</v>
      </c>
      <c r="E17285" s="1539">
        <f t="shared" si="259"/>
        <v>-0.12027515779022779</v>
      </c>
      <c r="F17285" s="1659">
        <f t="shared" si="260"/>
        <v>-2.4055031558045561E-3</v>
      </c>
      <c r="G17285" s="78"/>
      <c r="H17285" t="str">
        <f>VLOOKUP(B17285,indexy!$A$44:$D$823,3,FALSE)</f>
        <v>GLE FP Equity</v>
      </c>
      <c r="I17285">
        <f>VLOOKUP(H17285,[9]Fixing!$B$10:$C$39,2,0)</f>
        <v>7.0916956200000006E-2</v>
      </c>
      <c r="J17285">
        <f t="shared" si="257"/>
        <v>28.202000017592404</v>
      </c>
      <c r="K17285" s="434">
        <f t="shared" si="258"/>
        <v>1.7592402201671575E-8</v>
      </c>
    </row>
    <row r="17286" spans="1:11" ht="12.75" hidden="1" customHeight="1" outlineLevel="1" x14ac:dyDescent="0.25">
      <c r="A17286" s="1509">
        <v>0.02</v>
      </c>
      <c r="B17286" s="1505" t="s">
        <v>6527</v>
      </c>
      <c r="C17286" s="455">
        <v>92.727211038388148</v>
      </c>
      <c r="D17286" s="1538">
        <f>VLOOKUP(H17286,indexy!$C$44:$D$823,2,FALSE)</f>
        <v>108.25</v>
      </c>
      <c r="E17286" s="1539">
        <f t="shared" si="259"/>
        <v>0.167402737425</v>
      </c>
      <c r="F17286" s="1659">
        <f t="shared" si="260"/>
        <v>3.3480547485000003E-3</v>
      </c>
      <c r="G17286" s="78"/>
      <c r="H17286" t="str">
        <f>VLOOKUP(B17286,indexy!$A$44:$D$823,3,FALSE)</f>
        <v>SHBA SS Equity</v>
      </c>
      <c r="I17286">
        <f>VLOOKUP(H17286,[9]Fixing!$B$10:$C$39,2,0)</f>
        <v>2.15686418E-2</v>
      </c>
      <c r="J17286">
        <f t="shared" si="257"/>
        <v>92.727211038388148</v>
      </c>
      <c r="K17286" s="434">
        <f t="shared" si="258"/>
        <v>0</v>
      </c>
    </row>
    <row r="17287" spans="1:11" ht="12.75" hidden="1" customHeight="1" outlineLevel="1" x14ac:dyDescent="0.25">
      <c r="A17287" s="1509">
        <v>0.02</v>
      </c>
      <c r="B17287" s="1505" t="s">
        <v>1724</v>
      </c>
      <c r="C17287" s="455">
        <v>201.20936688758414</v>
      </c>
      <c r="D17287" s="1538">
        <f>VLOOKUP(H17287,indexy!$C$44:$D$823,2,FALSE)</f>
        <v>212.3</v>
      </c>
      <c r="E17287" s="1539">
        <f t="shared" si="259"/>
        <v>5.5119864865000201E-2</v>
      </c>
      <c r="F17287" s="1659">
        <f t="shared" si="260"/>
        <v>1.102397297300004E-3</v>
      </c>
      <c r="G17287" s="78"/>
      <c r="H17287" t="str">
        <f>VLOOKUP(B17287,indexy!$A$44:$D$823,3,FALSE)</f>
        <v>SWEDA SS Equity</v>
      </c>
      <c r="I17287">
        <f>VLOOKUP(H17287,[9]Fixing!$B$10:$C$39,2,0)</f>
        <v>9.9398951000000003E-3</v>
      </c>
      <c r="J17287">
        <f t="shared" si="257"/>
        <v>201.20936688758414</v>
      </c>
      <c r="K17287" s="434">
        <f t="shared" si="258"/>
        <v>0</v>
      </c>
    </row>
    <row r="17288" spans="1:11" ht="12.75" hidden="1" customHeight="1" outlineLevel="1" x14ac:dyDescent="0.25">
      <c r="A17288" s="1509">
        <v>0.02</v>
      </c>
      <c r="B17288" s="1505" t="s">
        <v>9173</v>
      </c>
      <c r="C17288" s="455">
        <v>391.31</v>
      </c>
      <c r="D17288" s="1538">
        <f>VLOOKUP(H17288,indexy!$C$44:$D$823,2,FALSE)</f>
        <v>632.20000000000005</v>
      </c>
      <c r="E17288" s="1539">
        <f t="shared" si="259"/>
        <v>0.6155988857938719</v>
      </c>
      <c r="F17288" s="1659">
        <f t="shared" si="260"/>
        <v>1.2311977715877439E-2</v>
      </c>
      <c r="G17288" s="78"/>
      <c r="H17288" t="str">
        <f>VLOOKUP(B17288,indexy!$A$44:$D$823,3,FALSE)</f>
        <v>SLHN SE Equity</v>
      </c>
      <c r="I17288">
        <f>VLOOKUP(H17288,[9]Fixing!$B$10:$C$39,2,0)</f>
        <v>5.1110373000000002E-3</v>
      </c>
      <c r="J17288">
        <f t="shared" si="257"/>
        <v>391.30999885287474</v>
      </c>
      <c r="K17288" s="434">
        <f t="shared" si="258"/>
        <v>-1.1471252605588234E-6</v>
      </c>
    </row>
    <row r="17289" spans="1:11" ht="12.75" hidden="1" customHeight="1" outlineLevel="1" x14ac:dyDescent="0.25">
      <c r="A17289" s="1509">
        <v>0.08</v>
      </c>
      <c r="B17289" s="1505" t="s">
        <v>6118</v>
      </c>
      <c r="C17289" s="455">
        <v>92.022000000000006</v>
      </c>
      <c r="D17289" s="1538">
        <f>VLOOKUP(H17289,indexy!$C$44:$D$823,2,FALSE)</f>
        <v>115.95</v>
      </c>
      <c r="E17289" s="1539">
        <f t="shared" si="259"/>
        <v>0.26002477668383639</v>
      </c>
      <c r="F17289" s="1659">
        <f t="shared" si="260"/>
        <v>2.0801982134706912E-2</v>
      </c>
      <c r="G17289" s="78"/>
      <c r="H17289" t="str">
        <f>VLOOKUP(B17289,indexy!$A$44:$D$823,3,FALSE)</f>
        <v>SREN SE Equity</v>
      </c>
      <c r="I17289">
        <f>VLOOKUP(H17289,[9]Fixing!$B$10:$C$39,2,0)</f>
        <v>8.6935732799999998E-2</v>
      </c>
      <c r="J17289">
        <f t="shared" si="257"/>
        <v>92.021999957191369</v>
      </c>
      <c r="K17289" s="434">
        <f t="shared" si="258"/>
        <v>-4.2808636635527364E-8</v>
      </c>
    </row>
    <row r="17290" spans="1:11" ht="12.75" hidden="1" customHeight="1" outlineLevel="1" x14ac:dyDescent="0.25">
      <c r="A17290" s="1509">
        <v>0.08</v>
      </c>
      <c r="B17290" s="1505" t="s">
        <v>1239</v>
      </c>
      <c r="C17290" s="455">
        <v>478.79</v>
      </c>
      <c r="D17290" s="1538">
        <f>VLOOKUP(H17290,indexy!$C$44:$D$823,2,FALSE)</f>
        <v>551.4</v>
      </c>
      <c r="E17290" s="1539">
        <f t="shared" si="259"/>
        <v>0.15165312558741828</v>
      </c>
      <c r="F17290" s="1659">
        <f t="shared" si="260"/>
        <v>1.2132250046993462E-2</v>
      </c>
      <c r="G17290" s="78"/>
      <c r="H17290" t="str">
        <f>VLOOKUP(B17290,indexy!$A$44:$D$823,3,FALSE)</f>
        <v>SCMN SE Equity</v>
      </c>
      <c r="I17290">
        <f>VLOOKUP(H17290,[9]Fixing!$B$10:$C$39,2,0)</f>
        <v>1.6708786699999999E-2</v>
      </c>
      <c r="J17290">
        <f t="shared" si="257"/>
        <v>478.79000095201411</v>
      </c>
      <c r="K17290" s="434">
        <f t="shared" si="258"/>
        <v>9.5201409067158238E-7</v>
      </c>
    </row>
    <row r="17291" spans="1:11" ht="12.75" hidden="1" customHeight="1" outlineLevel="1" x14ac:dyDescent="0.25">
      <c r="A17291" s="1509">
        <v>0.05</v>
      </c>
      <c r="B17291" s="1505" t="s">
        <v>434</v>
      </c>
      <c r="C17291" s="455">
        <v>42.604999999999997</v>
      </c>
      <c r="D17291" s="1538">
        <f>VLOOKUP(H17291,indexy!$C$44:$D$823,2,FALSE)</f>
        <v>27.43</v>
      </c>
      <c r="E17291" s="1539">
        <f t="shared" si="259"/>
        <v>-0.35617885224738877</v>
      </c>
      <c r="F17291" s="1659">
        <f t="shared" si="260"/>
        <v>-1.7808942612369438E-2</v>
      </c>
      <c r="G17291" s="78"/>
      <c r="H17291" t="str">
        <f>VLOOKUP(B17291,indexy!$A$44:$D$823,3,FALSE)</f>
        <v>TELIA SS Equity</v>
      </c>
      <c r="I17291">
        <f>VLOOKUP(H17291,[9]Fixing!$B$10:$C$39,2,0)</f>
        <v>0.1173571177</v>
      </c>
      <c r="J17291">
        <f t="shared" si="257"/>
        <v>42.605000003335974</v>
      </c>
      <c r="K17291" s="434">
        <f t="shared" si="258"/>
        <v>3.3359768281115976E-9</v>
      </c>
    </row>
    <row r="17292" spans="1:11" ht="12.75" hidden="1" customHeight="1" outlineLevel="1" x14ac:dyDescent="0.25">
      <c r="A17292" s="1509">
        <v>0.02</v>
      </c>
      <c r="B17292" s="1505" t="s">
        <v>10633</v>
      </c>
      <c r="C17292" s="455">
        <v>46.131327465714492</v>
      </c>
      <c r="D17292" s="1538">
        <f>VLOOKUP(H17292,indexy!$C$44:$D$823,2,FALSE)</f>
        <v>63.47</v>
      </c>
      <c r="E17292" s="1539">
        <f t="shared" si="259"/>
        <v>0.37585461955700006</v>
      </c>
      <c r="F17292" s="1659">
        <f t="shared" si="260"/>
        <v>7.517092391140001E-3</v>
      </c>
      <c r="G17292" s="78"/>
      <c r="H17292" t="str">
        <f>VLOOKUP(B17292,indexy!$A$44:$D$823,3,FALSE)</f>
        <v>TTE FP Equity</v>
      </c>
      <c r="I17292">
        <f>VLOOKUP(H17292,[9]Fixing!$B$10:$C$39,2,0)</f>
        <v>4.33544862E-2</v>
      </c>
      <c r="J17292">
        <f t="shared" si="257"/>
        <v>46.131327465714492</v>
      </c>
      <c r="K17292" s="434">
        <f t="shared" si="258"/>
        <v>0</v>
      </c>
    </row>
    <row r="17293" spans="1:11" ht="12.75" hidden="1" customHeight="1" outlineLevel="1" x14ac:dyDescent="0.25">
      <c r="A17293" s="1509">
        <v>7.0000000000000007E-2</v>
      </c>
      <c r="B17293" s="1506" t="s">
        <v>4550</v>
      </c>
      <c r="C17293" s="455">
        <v>299.08999999999997</v>
      </c>
      <c r="D17293" s="1540">
        <f>VLOOKUP(H17293,indexy!$C$44:$D$823,2,FALSE)</f>
        <v>486.3</v>
      </c>
      <c r="E17293" s="1541">
        <f t="shared" si="259"/>
        <v>0.62593199371426689</v>
      </c>
      <c r="F17293" s="1663">
        <f>$E17293*$A17293</f>
        <v>4.3815239559998685E-2</v>
      </c>
      <c r="G17293" s="78"/>
      <c r="H17293" t="str">
        <f>VLOOKUP(B17293,indexy!$A$44:$D$823,3,FALSE)</f>
        <v>ZURN SE Equity</v>
      </c>
      <c r="I17293">
        <f>VLOOKUP(H17293,[9]Fixing!$B$10:$C$39,2,0)</f>
        <v>2.3404326499999999E-2</v>
      </c>
      <c r="J17293">
        <f t="shared" si="257"/>
        <v>299.08999944946083</v>
      </c>
      <c r="K17293" s="434">
        <f t="shared" si="258"/>
        <v>-5.505391413862526E-7</v>
      </c>
    </row>
    <row r="17294" spans="1:11" ht="12.75" hidden="1" customHeight="1" outlineLevel="1" x14ac:dyDescent="0.25">
      <c r="A17294" s="1522" t="s">
        <v>2734</v>
      </c>
      <c r="B17294" s="1523"/>
      <c r="C17294" s="1524"/>
      <c r="D17294" s="1525"/>
      <c r="E17294" s="1543"/>
      <c r="F17294" s="1659">
        <f>SUM(F17264:F17293)</f>
        <v>0.21714371343128466</v>
      </c>
      <c r="G17294" s="78"/>
    </row>
    <row r="17295" spans="1:11" ht="12.75" hidden="1" customHeight="1" outlineLevel="1" x14ac:dyDescent="0.25">
      <c r="A17295" s="1503" t="s">
        <v>9705</v>
      </c>
      <c r="B17295" s="1504">
        <v>45231</v>
      </c>
      <c r="C17295" s="1527">
        <v>100</v>
      </c>
      <c r="D17295" s="1527">
        <v>112.80759999999999</v>
      </c>
      <c r="E17295" s="1528">
        <f>IF(D17295="",F17294,D17295/C17295-1)</f>
        <v>0.12807599999999986</v>
      </c>
      <c r="F17295" s="1839"/>
      <c r="G17295" s="78"/>
    </row>
    <row r="17296" spans="1:11" ht="12.75" hidden="1" customHeight="1" outlineLevel="1" x14ac:dyDescent="0.25">
      <c r="A17296" s="1503" t="s">
        <v>9706</v>
      </c>
      <c r="B17296" s="1504">
        <v>45261</v>
      </c>
      <c r="C17296" s="1527">
        <v>100</v>
      </c>
      <c r="D17296" s="1530">
        <v>114.3043</v>
      </c>
      <c r="E17296" s="1528">
        <f>IF(D17296="",E17295,D17296/C17296-1)</f>
        <v>0.14304300000000003</v>
      </c>
      <c r="F17296" s="1839"/>
      <c r="G17296" s="78"/>
    </row>
    <row r="17297" spans="1:7" ht="12.75" hidden="1" customHeight="1" outlineLevel="1" x14ac:dyDescent="0.25">
      <c r="A17297" s="1503" t="s">
        <v>9707</v>
      </c>
      <c r="B17297" s="1504">
        <v>45292</v>
      </c>
      <c r="C17297" s="1527">
        <v>100</v>
      </c>
      <c r="D17297" s="1530"/>
      <c r="E17297" s="1528">
        <f>IF(D17297="",E17296,D17297/C17297-1)</f>
        <v>0.14304300000000003</v>
      </c>
      <c r="F17297" s="1839"/>
      <c r="G17297" s="78"/>
    </row>
    <row r="17298" spans="1:7" ht="12.75" hidden="1" customHeight="1" outlineLevel="1" x14ac:dyDescent="0.25">
      <c r="A17298" s="1503" t="s">
        <v>9708</v>
      </c>
      <c r="B17298" s="1504">
        <v>45323</v>
      </c>
      <c r="C17298" s="1527">
        <v>100</v>
      </c>
      <c r="D17298" s="1530"/>
      <c r="E17298" s="1528">
        <f>IF(D17298="",E17297,D17298/C17298-1)</f>
        <v>0.14304300000000003</v>
      </c>
      <c r="F17298" s="1839"/>
      <c r="G17298" s="78"/>
    </row>
    <row r="17299" spans="1:7" ht="12.75" hidden="1" customHeight="1" outlineLevel="1" x14ac:dyDescent="0.25">
      <c r="A17299" s="1503" t="s">
        <v>9709</v>
      </c>
      <c r="B17299" s="1504">
        <v>45352</v>
      </c>
      <c r="C17299" s="1527">
        <v>100</v>
      </c>
      <c r="D17299" s="1530"/>
      <c r="E17299" s="1528">
        <f t="shared" ref="E17299:E17312" si="261">IF(D17299="",E17298,D17299/C17299-1)</f>
        <v>0.14304300000000003</v>
      </c>
      <c r="F17299" s="1839"/>
      <c r="G17299" s="78"/>
    </row>
    <row r="17300" spans="1:7" ht="12.75" hidden="1" customHeight="1" outlineLevel="1" x14ac:dyDescent="0.25">
      <c r="A17300" s="1503" t="s">
        <v>9710</v>
      </c>
      <c r="B17300" s="1504">
        <v>45383</v>
      </c>
      <c r="C17300" s="1527">
        <v>100</v>
      </c>
      <c r="D17300" s="1530"/>
      <c r="E17300" s="1528">
        <f t="shared" si="261"/>
        <v>0.14304300000000003</v>
      </c>
      <c r="F17300" s="1839"/>
      <c r="G17300" s="78"/>
    </row>
    <row r="17301" spans="1:7" ht="12.75" hidden="1" customHeight="1" outlineLevel="1" x14ac:dyDescent="0.25">
      <c r="A17301" s="1503" t="s">
        <v>9711</v>
      </c>
      <c r="B17301" s="1504">
        <v>45413</v>
      </c>
      <c r="C17301" s="1527">
        <v>100</v>
      </c>
      <c r="D17301" s="1530"/>
      <c r="E17301" s="1528">
        <f t="shared" si="261"/>
        <v>0.14304300000000003</v>
      </c>
      <c r="F17301" s="1839"/>
      <c r="G17301" s="78"/>
    </row>
    <row r="17302" spans="1:7" ht="12.75" hidden="1" customHeight="1" outlineLevel="1" x14ac:dyDescent="0.25">
      <c r="A17302" s="1503" t="s">
        <v>9712</v>
      </c>
      <c r="B17302" s="1504">
        <v>45444</v>
      </c>
      <c r="C17302" s="1527">
        <v>100</v>
      </c>
      <c r="D17302" s="1530"/>
      <c r="E17302" s="1528">
        <f t="shared" si="261"/>
        <v>0.14304300000000003</v>
      </c>
      <c r="F17302" s="1839"/>
      <c r="G17302" s="78"/>
    </row>
    <row r="17303" spans="1:7" ht="12.75" hidden="1" customHeight="1" outlineLevel="1" x14ac:dyDescent="0.25">
      <c r="A17303" s="1503" t="s">
        <v>9713</v>
      </c>
      <c r="B17303" s="1504">
        <v>45474</v>
      </c>
      <c r="C17303" s="1527">
        <v>100</v>
      </c>
      <c r="D17303" s="1530"/>
      <c r="E17303" s="1528">
        <f t="shared" si="261"/>
        <v>0.14304300000000003</v>
      </c>
      <c r="F17303" s="1839"/>
      <c r="G17303" s="78"/>
    </row>
    <row r="17304" spans="1:7" ht="12.75" hidden="1" customHeight="1" outlineLevel="1" x14ac:dyDescent="0.25">
      <c r="A17304" s="1503" t="s">
        <v>9714</v>
      </c>
      <c r="B17304" s="1504">
        <v>45505</v>
      </c>
      <c r="C17304" s="1527">
        <v>100</v>
      </c>
      <c r="D17304" s="1530"/>
      <c r="E17304" s="1528">
        <f t="shared" si="261"/>
        <v>0.14304300000000003</v>
      </c>
      <c r="F17304" s="1839"/>
      <c r="G17304" s="78"/>
    </row>
    <row r="17305" spans="1:7" ht="12.75" hidden="1" customHeight="1" outlineLevel="1" x14ac:dyDescent="0.25">
      <c r="A17305" s="1503" t="s">
        <v>9715</v>
      </c>
      <c r="B17305" s="1504">
        <v>45536</v>
      </c>
      <c r="C17305" s="1527">
        <v>100</v>
      </c>
      <c r="D17305" s="1530"/>
      <c r="E17305" s="1528">
        <f t="shared" si="261"/>
        <v>0.14304300000000003</v>
      </c>
      <c r="F17305" s="1839"/>
      <c r="G17305" s="78"/>
    </row>
    <row r="17306" spans="1:7" ht="12.75" hidden="1" customHeight="1" outlineLevel="1" x14ac:dyDescent="0.25">
      <c r="A17306" s="1503" t="s">
        <v>9716</v>
      </c>
      <c r="B17306" s="1504">
        <v>45566</v>
      </c>
      <c r="C17306" s="1527">
        <v>100</v>
      </c>
      <c r="D17306" s="1530"/>
      <c r="E17306" s="1528">
        <f t="shared" si="261"/>
        <v>0.14304300000000003</v>
      </c>
      <c r="F17306" s="1839"/>
      <c r="G17306" s="78"/>
    </row>
    <row r="17307" spans="1:7" ht="12.75" hidden="1" customHeight="1" outlineLevel="1" x14ac:dyDescent="0.25">
      <c r="A17307" s="1503" t="s">
        <v>9717</v>
      </c>
      <c r="B17307" s="1504">
        <v>45597</v>
      </c>
      <c r="C17307" s="1527">
        <v>100</v>
      </c>
      <c r="D17307" s="1530"/>
      <c r="E17307" s="1528">
        <f t="shared" si="261"/>
        <v>0.14304300000000003</v>
      </c>
      <c r="F17307" s="1839"/>
      <c r="G17307" s="78"/>
    </row>
    <row r="17308" spans="1:7" ht="12.75" hidden="1" customHeight="1" outlineLevel="1" x14ac:dyDescent="0.25">
      <c r="A17308" s="1503" t="s">
        <v>9718</v>
      </c>
      <c r="B17308" s="1504">
        <v>45627</v>
      </c>
      <c r="C17308" s="1527">
        <v>100</v>
      </c>
      <c r="D17308" s="1530"/>
      <c r="E17308" s="1528">
        <f t="shared" si="261"/>
        <v>0.14304300000000003</v>
      </c>
      <c r="F17308" s="1839"/>
      <c r="G17308" s="78"/>
    </row>
    <row r="17309" spans="1:7" ht="12.75" hidden="1" customHeight="1" outlineLevel="1" x14ac:dyDescent="0.25">
      <c r="A17309" s="1503" t="s">
        <v>9719</v>
      </c>
      <c r="B17309" s="1504">
        <v>45658</v>
      </c>
      <c r="C17309" s="1527">
        <v>100</v>
      </c>
      <c r="D17309" s="1530"/>
      <c r="E17309" s="1528">
        <f t="shared" si="261"/>
        <v>0.14304300000000003</v>
      </c>
      <c r="F17309" s="1839"/>
      <c r="G17309" s="78"/>
    </row>
    <row r="17310" spans="1:7" ht="12.75" hidden="1" customHeight="1" outlineLevel="1" x14ac:dyDescent="0.25">
      <c r="A17310" s="1503" t="s">
        <v>9720</v>
      </c>
      <c r="B17310" s="1504">
        <v>45689</v>
      </c>
      <c r="C17310" s="1527">
        <v>100</v>
      </c>
      <c r="D17310" s="1530"/>
      <c r="E17310" s="1528">
        <f t="shared" si="261"/>
        <v>0.14304300000000003</v>
      </c>
      <c r="F17310" s="1839"/>
      <c r="G17310" s="78"/>
    </row>
    <row r="17311" spans="1:7" ht="12.75" hidden="1" customHeight="1" outlineLevel="1" x14ac:dyDescent="0.25">
      <c r="A17311" s="1503" t="s">
        <v>9721</v>
      </c>
      <c r="B17311" s="1504">
        <v>45717</v>
      </c>
      <c r="C17311" s="1527">
        <v>100</v>
      </c>
      <c r="D17311" s="1530"/>
      <c r="E17311" s="1528">
        <f t="shared" si="261"/>
        <v>0.14304300000000003</v>
      </c>
      <c r="F17311" s="1839"/>
      <c r="G17311" s="78"/>
    </row>
    <row r="17312" spans="1:7" ht="12.75" hidden="1" customHeight="1" outlineLevel="1" x14ac:dyDescent="0.25">
      <c r="A17312" s="1503" t="s">
        <v>9722</v>
      </c>
      <c r="B17312" s="1504">
        <v>45748</v>
      </c>
      <c r="C17312" s="1527">
        <v>100</v>
      </c>
      <c r="D17312" s="1530"/>
      <c r="E17312" s="1528">
        <f t="shared" si="261"/>
        <v>0.14304300000000003</v>
      </c>
      <c r="F17312" s="1839"/>
      <c r="G17312" s="78"/>
    </row>
    <row r="17313" spans="1:8" ht="12.75" hidden="1" customHeight="1" outlineLevel="1" x14ac:dyDescent="0.25">
      <c r="A17313" s="1531" t="s">
        <v>2734</v>
      </c>
      <c r="B17313" s="1532"/>
      <c r="C17313" s="1530"/>
      <c r="D17313" s="1533" t="s">
        <v>2465</v>
      </c>
      <c r="E17313" s="1534">
        <f>AVERAGE(E17295:E17312)</f>
        <v>0.14221150000000005</v>
      </c>
      <c r="F17313" s="1840">
        <f>E17313</f>
        <v>0.14221150000000005</v>
      </c>
      <c r="G17313" s="78"/>
    </row>
    <row r="17314" spans="1:8" collapsed="1" x14ac:dyDescent="0.25">
      <c r="A17314" s="3799" t="s">
        <v>9607</v>
      </c>
      <c r="B17314" s="3800"/>
      <c r="C17314" s="3800"/>
      <c r="D17314" s="3800"/>
      <c r="E17314" s="18"/>
      <c r="F17314" s="186">
        <f>IF(F17313&lt;0,0%,MIN(F17313,80%))</f>
        <v>0.14221150000000005</v>
      </c>
      <c r="G17314" s="78"/>
    </row>
    <row r="17316" spans="1:8" hidden="1" outlineLevel="1" x14ac:dyDescent="0.25">
      <c r="A17316" s="15" t="s">
        <v>113</v>
      </c>
      <c r="B17316" s="15" t="s">
        <v>114</v>
      </c>
      <c r="C17316" s="15" t="s">
        <v>112</v>
      </c>
      <c r="D17316" s="15" t="s">
        <v>116</v>
      </c>
      <c r="E17316" s="15" t="s">
        <v>117</v>
      </c>
      <c r="F17316" s="1882" t="s">
        <v>121</v>
      </c>
      <c r="G17316" s="78"/>
    </row>
    <row r="17317" spans="1:8" hidden="1" outlineLevel="1" x14ac:dyDescent="0.25">
      <c r="A17317" s="21">
        <v>5</v>
      </c>
      <c r="B17317" s="21"/>
      <c r="C17317" s="11"/>
      <c r="D17317" s="32" t="s">
        <v>3702</v>
      </c>
      <c r="E17317" s="33">
        <f>indexy!$B$2</f>
        <v>45379</v>
      </c>
      <c r="F17317" s="200"/>
      <c r="G17317" s="78"/>
    </row>
    <row r="17318" spans="1:8" hidden="1" outlineLevel="1" x14ac:dyDescent="0.25">
      <c r="A17318" s="1704" t="s">
        <v>4156</v>
      </c>
      <c r="B17318" s="1704" t="s">
        <v>4153</v>
      </c>
      <c r="C17318" s="1629" t="s">
        <v>112</v>
      </c>
      <c r="D17318" s="1704" t="s">
        <v>4155</v>
      </c>
      <c r="E17318" s="1704" t="s">
        <v>4154</v>
      </c>
      <c r="F17318" s="1888" t="s">
        <v>734</v>
      </c>
      <c r="G17318" s="78"/>
    </row>
    <row r="17319" spans="1:8" hidden="1" outlineLevel="1" x14ac:dyDescent="0.25">
      <c r="A17319" s="471">
        <v>0.02</v>
      </c>
      <c r="B17319" s="211" t="s">
        <v>9702</v>
      </c>
      <c r="C17319" s="329">
        <v>154</v>
      </c>
      <c r="D17319" s="1597">
        <f>VLOOKUP(H17319,indexy!$C$44:$D$823,2,FALSE)</f>
        <v>182.45</v>
      </c>
      <c r="E17319" s="512">
        <f>D17319/C17319-1</f>
        <v>0.18474025974025965</v>
      </c>
      <c r="F17319" s="1313">
        <f>IF(E17319&gt;0,6%,E17319)</f>
        <v>0.06</v>
      </c>
      <c r="G17319" s="78"/>
      <c r="H17319" t="str">
        <f>VLOOKUP(B17319,indexy!$A$44:$D$823,3,FALSE)</f>
        <v>AENA SQ Equity</v>
      </c>
    </row>
    <row r="17320" spans="1:8" hidden="1" outlineLevel="1" x14ac:dyDescent="0.25">
      <c r="A17320" s="471">
        <v>0.08</v>
      </c>
      <c r="B17320" s="211" t="s">
        <v>218</v>
      </c>
      <c r="C17320" s="329">
        <v>21.1</v>
      </c>
      <c r="D17320" s="1597">
        <f>VLOOKUP(H17320,indexy!$C$44:$D$823,2,FALSE)</f>
        <v>34.814999999999998</v>
      </c>
      <c r="E17320" s="512">
        <f t="shared" ref="E17320:E17348" si="262">D17320/C17320-1</f>
        <v>0.64999999999999969</v>
      </c>
      <c r="F17320" s="1313">
        <f t="shared" ref="F17320:F17348" si="263">IF(E17320&gt;0,6%,E17320)</f>
        <v>0.06</v>
      </c>
      <c r="G17320" s="78"/>
      <c r="H17320" t="str">
        <f>VLOOKUP(B17320,indexy!$A$44:$D$823,3,FALSE)</f>
        <v>CS FP Equity</v>
      </c>
    </row>
    <row r="17321" spans="1:8" hidden="1" outlineLevel="1" x14ac:dyDescent="0.25">
      <c r="A17321" s="471">
        <v>0.02</v>
      </c>
      <c r="B17321" s="211" t="s">
        <v>9757</v>
      </c>
      <c r="C17321" s="329">
        <v>5.7077999999999998</v>
      </c>
      <c r="D17321" s="1597">
        <f>VLOOKUP(H17321,indexy!$C$44:$D$823,2,FALSE)/100</f>
        <v>4.7560000000000002</v>
      </c>
      <c r="E17321" s="512">
        <f t="shared" si="262"/>
        <v>-0.16675426609201438</v>
      </c>
      <c r="F17321" s="1313">
        <f t="shared" si="263"/>
        <v>-0.16675426609201438</v>
      </c>
      <c r="G17321" s="78"/>
      <c r="H17321" t="str">
        <f>VLOOKUP(B17321,indexy!$A$44:$D$823,3,FALSE)</f>
        <v>BDEV LN Equity</v>
      </c>
    </row>
    <row r="17322" spans="1:8" hidden="1" outlineLevel="1" x14ac:dyDescent="0.25">
      <c r="A17322" s="471">
        <v>0.02</v>
      </c>
      <c r="B17322" s="211" t="s">
        <v>1184</v>
      </c>
      <c r="C17322" s="329">
        <v>65.734999999999999</v>
      </c>
      <c r="D17322" s="1597">
        <f>VLOOKUP(H17322,indexy!$C$44:$D$823,2,FALSE)</f>
        <v>52.93</v>
      </c>
      <c r="E17322" s="512">
        <f t="shared" si="262"/>
        <v>-0.19479729215790675</v>
      </c>
      <c r="F17322" s="1313">
        <f t="shared" si="263"/>
        <v>-0.19479729215790675</v>
      </c>
      <c r="G17322" s="78"/>
      <c r="H17322" t="str">
        <f>VLOOKUP(B17322,indexy!$A$44:$D$823,3,FALSE)</f>
        <v>BAS GY Equity</v>
      </c>
    </row>
    <row r="17323" spans="1:8" hidden="1" outlineLevel="1" x14ac:dyDescent="0.25">
      <c r="A17323" s="471">
        <v>0.03</v>
      </c>
      <c r="B17323" s="211" t="s">
        <v>807</v>
      </c>
      <c r="C17323" s="329">
        <v>57.807000000000002</v>
      </c>
      <c r="D17323" s="1597">
        <f>VLOOKUP(H17323,indexy!$C$44:$D$823,2,FALSE)</f>
        <v>46.03</v>
      </c>
      <c r="E17323" s="512">
        <f t="shared" si="262"/>
        <v>-0.20372965211825556</v>
      </c>
      <c r="F17323" s="1313">
        <f t="shared" si="263"/>
        <v>-0.20372965211825556</v>
      </c>
      <c r="G17323" s="78"/>
      <c r="H17323" t="str">
        <f>VLOOKUP(B17323,indexy!$A$44:$D$823,3,FALSE)</f>
        <v>BCE CT Equity</v>
      </c>
    </row>
    <row r="17324" spans="1:8" hidden="1" outlineLevel="1" x14ac:dyDescent="0.25">
      <c r="A17324" s="471">
        <v>0.02</v>
      </c>
      <c r="B17324" s="211" t="s">
        <v>1141</v>
      </c>
      <c r="C17324" s="329">
        <v>71.86</v>
      </c>
      <c r="D17324" s="1597">
        <f>VLOOKUP(H17324,indexy!$C$44:$D$823,2,FALSE)</f>
        <v>106.96</v>
      </c>
      <c r="E17324" s="512">
        <f t="shared" si="262"/>
        <v>0.48844976342888935</v>
      </c>
      <c r="F17324" s="1313">
        <f t="shared" si="263"/>
        <v>0.06</v>
      </c>
      <c r="G17324" s="78"/>
      <c r="H17324" t="str">
        <f>VLOOKUP(B17324,indexy!$A$44:$D$823,3,FALSE)</f>
        <v>BMW GY Equity</v>
      </c>
    </row>
    <row r="17325" spans="1:8" hidden="1" outlineLevel="1" x14ac:dyDescent="0.25">
      <c r="A17325" s="471">
        <v>0.02</v>
      </c>
      <c r="B17325" s="211" t="s">
        <v>3019</v>
      </c>
      <c r="C17325" s="329">
        <v>42.067999999999998</v>
      </c>
      <c r="D17325" s="1597">
        <f>VLOOKUP(H17325,indexy!$C$44:$D$823,2,FALSE)</f>
        <v>65.86</v>
      </c>
      <c r="E17325" s="512">
        <f t="shared" si="262"/>
        <v>0.56556052106113919</v>
      </c>
      <c r="F17325" s="1313">
        <f t="shared" si="263"/>
        <v>0.06</v>
      </c>
      <c r="G17325" s="78"/>
      <c r="H17325" t="str">
        <f>VLOOKUP(B17325,indexy!$A$44:$D$823,3,FALSE)</f>
        <v>BNP FP Equity</v>
      </c>
    </row>
    <row r="17326" spans="1:8" hidden="1" outlineLevel="1" x14ac:dyDescent="0.25">
      <c r="A17326" s="471">
        <v>0.02</v>
      </c>
      <c r="B17326" s="211" t="s">
        <v>3954</v>
      </c>
      <c r="C17326" s="329">
        <f>113.522/2</f>
        <v>56.761000000000003</v>
      </c>
      <c r="D17326" s="1597">
        <f>VLOOKUP(H17326,indexy!$C$44:$D$823,2,FALSE)</f>
        <v>68.67</v>
      </c>
      <c r="E17326" s="512">
        <f t="shared" si="262"/>
        <v>0.20980955233346843</v>
      </c>
      <c r="F17326" s="1313">
        <f t="shared" si="263"/>
        <v>0.06</v>
      </c>
      <c r="G17326" s="78"/>
      <c r="H17326" t="str">
        <f>VLOOKUP(B17326,indexy!$A$44:$D$823,3,FALSE)</f>
        <v>CM CT Equity</v>
      </c>
    </row>
    <row r="17327" spans="1:8" hidden="1" outlineLevel="1" x14ac:dyDescent="0.25">
      <c r="A17327" s="471">
        <v>0.02</v>
      </c>
      <c r="B17327" s="211" t="s">
        <v>8678</v>
      </c>
      <c r="C17327" s="329">
        <v>72.076999999999998</v>
      </c>
      <c r="D17327" s="1597">
        <f>VLOOKUP(H17327,indexy!$C$44:$D$823,2,FALSE)</f>
        <v>120.34</v>
      </c>
      <c r="E17327" s="512">
        <f t="shared" si="262"/>
        <v>0.66960334087156803</v>
      </c>
      <c r="F17327" s="1313">
        <f t="shared" si="263"/>
        <v>0.06</v>
      </c>
      <c r="G17327" s="78"/>
      <c r="H17327" t="str">
        <f>VLOOKUP(B17327,indexy!$A$44:$D$823,3,FALSE)</f>
        <v>CBA AT Equity</v>
      </c>
    </row>
    <row r="17328" spans="1:8" hidden="1" outlineLevel="1" x14ac:dyDescent="0.25">
      <c r="A17328" s="471">
        <v>0.02</v>
      </c>
      <c r="B17328" s="211" t="s">
        <v>2699</v>
      </c>
      <c r="C17328" s="329">
        <v>26.542000000000002</v>
      </c>
      <c r="D17328" s="1597">
        <f>VLOOKUP(H17328,indexy!$C$44:$D$823,2,FALSE)</f>
        <v>39.9</v>
      </c>
      <c r="E17328" s="512">
        <f t="shared" si="262"/>
        <v>0.50327782382638819</v>
      </c>
      <c r="F17328" s="1313">
        <f t="shared" si="263"/>
        <v>0.06</v>
      </c>
      <c r="G17328" s="78"/>
      <c r="H17328" t="str">
        <f>VLOOKUP(B17328,indexy!$A$44:$D$823,3,FALSE)</f>
        <v>DHL GR Equity</v>
      </c>
    </row>
    <row r="17329" spans="1:8" hidden="1" outlineLevel="1" x14ac:dyDescent="0.25">
      <c r="A17329" s="471">
        <v>0.05</v>
      </c>
      <c r="B17329" s="211" t="s">
        <v>2629</v>
      </c>
      <c r="C17329" s="329">
        <v>14.44</v>
      </c>
      <c r="D17329" s="1597">
        <f>VLOOKUP(H17329,indexy!$C$44:$D$823,2,FALSE)</f>
        <v>22.5</v>
      </c>
      <c r="E17329" s="512">
        <f t="shared" si="262"/>
        <v>0.55817174515235468</v>
      </c>
      <c r="F17329" s="1313">
        <f t="shared" si="263"/>
        <v>0.06</v>
      </c>
      <c r="G17329" s="78"/>
      <c r="H17329" t="str">
        <f>VLOOKUP(B17329,indexy!$A$44:$D$823,3,FALSE)</f>
        <v>DTE GY Equity</v>
      </c>
    </row>
    <row r="17330" spans="1:8" hidden="1" outlineLevel="1" x14ac:dyDescent="0.25">
      <c r="A17330" s="471">
        <v>7.0000000000000007E-2</v>
      </c>
      <c r="B17330" s="211" t="s">
        <v>6821</v>
      </c>
      <c r="C17330" s="329">
        <v>3.4337840699869022</v>
      </c>
      <c r="D17330" s="1597">
        <f>VLOOKUP(H17330,indexy!$C$44:$D$823,2,FALSE)/100</f>
        <v>1.9505000000000001</v>
      </c>
      <c r="E17330" s="512">
        <f t="shared" si="262"/>
        <v>-0.43196777658548569</v>
      </c>
      <c r="F17330" s="1313">
        <f t="shared" si="263"/>
        <v>-0.43196777658548569</v>
      </c>
      <c r="G17330" s="78"/>
      <c r="H17330" t="str">
        <f>VLOOKUP(B17330,indexy!$A$44:$D$823,3,FALSE)</f>
        <v>DLG LN Equity</v>
      </c>
    </row>
    <row r="17331" spans="1:8" hidden="1" outlineLevel="1" x14ac:dyDescent="0.25">
      <c r="A17331" s="471">
        <v>0.04</v>
      </c>
      <c r="B17331" s="211" t="s">
        <v>3799</v>
      </c>
      <c r="C17331" s="329">
        <v>15.5304</v>
      </c>
      <c r="D17331" s="1597">
        <f>VLOOKUP(H17331,indexy!$C$44:$D$823,2,FALSE)/100</f>
        <v>17.085999999999999</v>
      </c>
      <c r="E17331" s="512">
        <f t="shared" si="262"/>
        <v>0.10016483799515785</v>
      </c>
      <c r="F17331" s="1313">
        <f t="shared" si="263"/>
        <v>0.06</v>
      </c>
      <c r="G17331" s="78"/>
      <c r="H17331" t="str">
        <f>VLOOKUP(B17331,indexy!$A$44:$D$823,3,FALSE)</f>
        <v>GSK LN Equity</v>
      </c>
    </row>
    <row r="17332" spans="1:8" hidden="1" outlineLevel="1" x14ac:dyDescent="0.25">
      <c r="A17332" s="471">
        <v>0.03</v>
      </c>
      <c r="B17332" s="211" t="s">
        <v>1771</v>
      </c>
      <c r="C17332" s="329">
        <v>6.4124999999999996</v>
      </c>
      <c r="D17332" s="1597">
        <f>VLOOKUP(H17332,indexy!$C$44:$D$823,2,FALSE)/100</f>
        <v>6.19</v>
      </c>
      <c r="E17332" s="512">
        <f t="shared" si="262"/>
        <v>-3.4697855750487228E-2</v>
      </c>
      <c r="F17332" s="1313">
        <f t="shared" si="263"/>
        <v>-3.4697855750487228E-2</v>
      </c>
      <c r="G17332" s="78"/>
      <c r="H17332" t="str">
        <f>VLOOKUP(B17332,indexy!$A$44:$D$823,3,FALSE)</f>
        <v>HSBA LN Equity</v>
      </c>
    </row>
    <row r="17333" spans="1:8" hidden="1" outlineLevel="1" x14ac:dyDescent="0.25">
      <c r="A17333" s="471">
        <v>0.02</v>
      </c>
      <c r="B17333" s="211" t="s">
        <v>874</v>
      </c>
      <c r="C17333" s="329">
        <v>2.3481000000000001</v>
      </c>
      <c r="D17333" s="1597">
        <f>VLOOKUP(H17333,indexy!$C$44:$D$823,2,FALSE)/100</f>
        <v>2.4940000000000002</v>
      </c>
      <c r="E17333" s="512">
        <f t="shared" si="262"/>
        <v>6.2135343469187809E-2</v>
      </c>
      <c r="F17333" s="1313">
        <f t="shared" si="263"/>
        <v>0.06</v>
      </c>
      <c r="G17333" s="78"/>
      <c r="H17333" t="str">
        <f>VLOOKUP(B17333,indexy!$A$44:$D$823,3,FALSE)</f>
        <v>KGF LN Equity</v>
      </c>
    </row>
    <row r="17334" spans="1:8" hidden="1" outlineLevel="1" x14ac:dyDescent="0.25">
      <c r="A17334" s="471">
        <v>0.02</v>
      </c>
      <c r="B17334" s="211" t="s">
        <v>6902</v>
      </c>
      <c r="C17334" s="329">
        <v>2.7000999999999999</v>
      </c>
      <c r="D17334" s="1597">
        <f>VLOOKUP(H17334,indexy!$C$44:$D$823,2,FALSE)/100</f>
        <v>2.544</v>
      </c>
      <c r="E17334" s="512">
        <f t="shared" si="262"/>
        <v>-5.7812673604681231E-2</v>
      </c>
      <c r="F17334" s="1313">
        <f t="shared" si="263"/>
        <v>-5.7812673604681231E-2</v>
      </c>
      <c r="G17334" s="78"/>
      <c r="H17334" t="str">
        <f>VLOOKUP(B17334,indexy!$A$44:$D$823,3,FALSE)</f>
        <v>LGEN LN Equity</v>
      </c>
    </row>
    <row r="17335" spans="1:8" hidden="1" outlineLevel="1" x14ac:dyDescent="0.25">
      <c r="A17335" s="471">
        <v>0.02</v>
      </c>
      <c r="B17335" s="211" t="s">
        <v>8768</v>
      </c>
      <c r="C17335" s="329">
        <v>126.437</v>
      </c>
      <c r="D17335" s="1597">
        <f>VLOOKUP(H17335,indexy!$C$44:$D$823,2,FALSE)</f>
        <v>199.7</v>
      </c>
      <c r="E17335" s="512">
        <f t="shared" si="262"/>
        <v>0.57944272641710892</v>
      </c>
      <c r="F17335" s="1313">
        <f t="shared" si="263"/>
        <v>0.06</v>
      </c>
      <c r="G17335" s="78"/>
      <c r="H17335" t="str">
        <f>VLOOKUP(B17335,indexy!$A$44:$D$823,3,FALSE)</f>
        <v>MQG AT Equity</v>
      </c>
    </row>
    <row r="17336" spans="1:8" hidden="1" outlineLevel="1" x14ac:dyDescent="0.25">
      <c r="A17336" s="471">
        <v>0.02</v>
      </c>
      <c r="B17336" s="211" t="s">
        <v>1772</v>
      </c>
      <c r="C17336" s="329">
        <v>204.99</v>
      </c>
      <c r="D17336" s="1597">
        <f>VLOOKUP(H17336,indexy!$C$44:$D$823,2,FALSE)</f>
        <v>452.3</v>
      </c>
      <c r="E17336" s="512">
        <f t="shared" si="262"/>
        <v>1.2064490950778088</v>
      </c>
      <c r="F17336" s="1313">
        <f t="shared" si="263"/>
        <v>0.06</v>
      </c>
      <c r="G17336" s="78"/>
      <c r="H17336" t="str">
        <f>VLOOKUP(B17336,indexy!$A$44:$D$823,3,FALSE)</f>
        <v>MUV2 GY Equity</v>
      </c>
    </row>
    <row r="17337" spans="1:8" hidden="1" outlineLevel="1" x14ac:dyDescent="0.25">
      <c r="A17337" s="471">
        <v>0.03</v>
      </c>
      <c r="B17337" s="211" t="s">
        <v>8336</v>
      </c>
      <c r="C17337" s="329">
        <v>24.494</v>
      </c>
      <c r="D17337" s="1597">
        <f>VLOOKUP(H17337,indexy!$C$44:$D$823,2,FALSE)</f>
        <v>34.64</v>
      </c>
      <c r="E17337" s="512">
        <f t="shared" si="262"/>
        <v>0.41422389156528139</v>
      </c>
      <c r="F17337" s="1313">
        <f t="shared" si="263"/>
        <v>0.06</v>
      </c>
      <c r="G17337" s="78"/>
      <c r="H17337" t="str">
        <f>VLOOKUP(B17337,indexy!$A$44:$D$823,3,FALSE)</f>
        <v>NAB AT Equity</v>
      </c>
    </row>
    <row r="17338" spans="1:8" hidden="1" outlineLevel="1" x14ac:dyDescent="0.25">
      <c r="A17338" s="471">
        <v>0.03</v>
      </c>
      <c r="B17338" s="83" t="s">
        <v>2787</v>
      </c>
      <c r="C17338" s="329">
        <v>79.479662124114313</v>
      </c>
      <c r="D17338" s="1597">
        <f>VLOOKUP(H17338,indexy!$C$44:$D$823,2,FALSE)</f>
        <v>87.37</v>
      </c>
      <c r="E17338" s="512">
        <f t="shared" si="262"/>
        <v>9.9274929774666676E-2</v>
      </c>
      <c r="F17338" s="1313">
        <f t="shared" si="263"/>
        <v>0.06</v>
      </c>
      <c r="G17338" s="78"/>
      <c r="H17338" t="str">
        <f>VLOOKUP(B17338,indexy!$A$44:$D$823,3,FALSE)</f>
        <v>NOVN SE Equity</v>
      </c>
    </row>
    <row r="17339" spans="1:8" hidden="1" outlineLevel="1" x14ac:dyDescent="0.25">
      <c r="A17339" s="471">
        <v>0.04</v>
      </c>
      <c r="B17339" s="211" t="s">
        <v>5824</v>
      </c>
      <c r="C17339" s="329">
        <v>13.5</v>
      </c>
      <c r="D17339" s="1597">
        <f>VLOOKUP(H17339,indexy!$C$44:$D$823,2,FALSE)</f>
        <v>10.888</v>
      </c>
      <c r="E17339" s="512">
        <f t="shared" si="262"/>
        <v>-0.19348148148148148</v>
      </c>
      <c r="F17339" s="1313">
        <f t="shared" si="263"/>
        <v>-0.19348148148148148</v>
      </c>
      <c r="G17339" s="78"/>
      <c r="H17339" t="str">
        <f>VLOOKUP(B17339,indexy!$A$44:$D$823,3,FALSE)</f>
        <v>ORA FP Equity</v>
      </c>
    </row>
    <row r="17340" spans="1:8" hidden="1" outlineLevel="1" x14ac:dyDescent="0.25">
      <c r="A17340" s="471">
        <v>0.04</v>
      </c>
      <c r="B17340" s="211" t="s">
        <v>3800</v>
      </c>
      <c r="C17340" s="329">
        <v>274.79000000000002</v>
      </c>
      <c r="D17340" s="1597">
        <f>VLOOKUP(H17340,indexy!$C$44:$D$823,2,FALSE)</f>
        <v>229.7</v>
      </c>
      <c r="E17340" s="512">
        <f t="shared" si="262"/>
        <v>-0.16408894064558399</v>
      </c>
      <c r="F17340" s="1313">
        <f t="shared" si="263"/>
        <v>-0.16408894064558399</v>
      </c>
      <c r="G17340" s="78"/>
      <c r="H17340" t="str">
        <f>VLOOKUP(B17340,indexy!$A$44:$D$823,3,FALSE)</f>
        <v>ROG SE Equity</v>
      </c>
    </row>
    <row r="17341" spans="1:8" hidden="1" outlineLevel="1" x14ac:dyDescent="0.25">
      <c r="A17341" s="471">
        <v>0.03</v>
      </c>
      <c r="B17341" s="211" t="s">
        <v>1187</v>
      </c>
      <c r="C17341" s="329">
        <v>73.792000000000002</v>
      </c>
      <c r="D17341" s="1597">
        <f>VLOOKUP(H17341,indexy!$C$44:$D$823,2,FALSE)</f>
        <v>90.96</v>
      </c>
      <c r="E17341" s="512">
        <f t="shared" si="262"/>
        <v>0.23265394622723323</v>
      </c>
      <c r="F17341" s="1313">
        <f t="shared" si="263"/>
        <v>0.06</v>
      </c>
      <c r="G17341" s="78"/>
      <c r="H17341" t="str">
        <f>VLOOKUP(B17341,indexy!$A$44:$D$823,3,FALSE)</f>
        <v>SAN FP Equity</v>
      </c>
    </row>
    <row r="17342" spans="1:8" hidden="1" outlineLevel="1" x14ac:dyDescent="0.25">
      <c r="A17342" s="471">
        <v>0.02</v>
      </c>
      <c r="B17342" s="211" t="s">
        <v>3960</v>
      </c>
      <c r="C17342" s="329">
        <v>2.3879000000000001</v>
      </c>
      <c r="D17342" s="1597">
        <f>VLOOKUP(H17342,indexy!$C$44:$D$823,2,FALSE)/100</f>
        <v>1.411</v>
      </c>
      <c r="E17342" s="512">
        <f t="shared" si="262"/>
        <v>-0.40910423384563843</v>
      </c>
      <c r="F17342" s="1313">
        <f t="shared" si="263"/>
        <v>-0.40910423384563843</v>
      </c>
      <c r="G17342" s="78"/>
      <c r="H17342" t="str">
        <f>VLOOKUP(B17342,indexy!$A$44:$D$823,3,FALSE)</f>
        <v>ABDN LN Equity</v>
      </c>
    </row>
    <row r="17343" spans="1:8" hidden="1" outlineLevel="1" x14ac:dyDescent="0.25">
      <c r="A17343" s="471">
        <v>0.02</v>
      </c>
      <c r="B17343" s="211" t="s">
        <v>9173</v>
      </c>
      <c r="C17343" s="329">
        <v>416.7</v>
      </c>
      <c r="D17343" s="1597">
        <f>VLOOKUP(H17343,indexy!$C$44:$D$823,2,FALSE)</f>
        <v>632.20000000000005</v>
      </c>
      <c r="E17343" s="512">
        <f t="shared" si="262"/>
        <v>0.51715862730981543</v>
      </c>
      <c r="F17343" s="1313">
        <f t="shared" si="263"/>
        <v>0.06</v>
      </c>
      <c r="G17343" s="78"/>
      <c r="H17343" t="str">
        <f>VLOOKUP(B17343,indexy!$A$44:$D$823,3,FALSE)</f>
        <v>SLHN SE Equity</v>
      </c>
    </row>
    <row r="17344" spans="1:8" hidden="1" outlineLevel="1" x14ac:dyDescent="0.25">
      <c r="A17344" s="471">
        <v>0.03</v>
      </c>
      <c r="B17344" s="211" t="s">
        <v>6118</v>
      </c>
      <c r="C17344" s="329">
        <v>97.573999999999998</v>
      </c>
      <c r="D17344" s="1597">
        <f>VLOOKUP(H17344,indexy!$C$44:$D$823,2,FALSE)</f>
        <v>115.95</v>
      </c>
      <c r="E17344" s="512">
        <f t="shared" si="262"/>
        <v>0.18832885809744404</v>
      </c>
      <c r="F17344" s="1313">
        <f t="shared" si="263"/>
        <v>0.06</v>
      </c>
      <c r="G17344" s="78"/>
      <c r="H17344" t="str">
        <f>VLOOKUP(B17344,indexy!$A$44:$D$823,3,FALSE)</f>
        <v>SREN SE Equity</v>
      </c>
    </row>
    <row r="17345" spans="1:10" hidden="1" outlineLevel="1" x14ac:dyDescent="0.25">
      <c r="A17345" s="471">
        <v>0.08</v>
      </c>
      <c r="B17345" s="211" t="s">
        <v>1239</v>
      </c>
      <c r="C17345" s="329">
        <v>454.02</v>
      </c>
      <c r="D17345" s="1597">
        <f>VLOOKUP(H17345,indexy!$C$44:$D$823,2,FALSE)</f>
        <v>551.4</v>
      </c>
      <c r="E17345" s="512">
        <f t="shared" si="262"/>
        <v>0.21448394343861499</v>
      </c>
      <c r="F17345" s="1313">
        <f t="shared" si="263"/>
        <v>0.06</v>
      </c>
      <c r="G17345" s="78"/>
      <c r="H17345" t="str">
        <f>VLOOKUP(B17345,indexy!$A$44:$D$823,3,FALSE)</f>
        <v>SCMN SE Equity</v>
      </c>
    </row>
    <row r="17346" spans="1:10" hidden="1" outlineLevel="1" x14ac:dyDescent="0.25">
      <c r="A17346" s="471">
        <v>0.02</v>
      </c>
      <c r="B17346" s="211" t="s">
        <v>577</v>
      </c>
      <c r="C17346" s="329">
        <v>7.5869</v>
      </c>
      <c r="D17346" s="1597">
        <f>VLOOKUP(H17346,indexy!$C$44:$D$823,2,FALSE)</f>
        <v>4.0890000000000004</v>
      </c>
      <c r="E17346" s="512">
        <f t="shared" si="262"/>
        <v>-0.46104469546191451</v>
      </c>
      <c r="F17346" s="1313">
        <f t="shared" si="263"/>
        <v>-0.46104469546191451</v>
      </c>
      <c r="G17346" s="78"/>
      <c r="H17346" t="str">
        <f>VLOOKUP(B17346,indexy!$A$44:$D$823,3,FALSE)</f>
        <v>TEF SQ Equity</v>
      </c>
    </row>
    <row r="17347" spans="1:10" hidden="1" outlineLevel="1" x14ac:dyDescent="0.25">
      <c r="A17347" s="471">
        <v>0.04</v>
      </c>
      <c r="B17347" s="211" t="s">
        <v>5626</v>
      </c>
      <c r="C17347" s="329">
        <v>26.5</v>
      </c>
      <c r="D17347" s="1597">
        <f>VLOOKUP(H17347,indexy!$C$44:$D$823,2,FALSE)</f>
        <v>26.1</v>
      </c>
      <c r="E17347" s="512">
        <f t="shared" si="262"/>
        <v>-1.5094339622641506E-2</v>
      </c>
      <c r="F17347" s="1313">
        <f t="shared" si="263"/>
        <v>-1.5094339622641506E-2</v>
      </c>
      <c r="G17347" s="78"/>
      <c r="H17347" t="str">
        <f>VLOOKUP(B17347,indexy!$A$44:$D$823,3,FALSE)</f>
        <v>WBC AT Equity</v>
      </c>
    </row>
    <row r="17348" spans="1:10" hidden="1" outlineLevel="1" x14ac:dyDescent="0.25">
      <c r="A17348" s="471">
        <v>0.08</v>
      </c>
      <c r="B17348" s="1465" t="s">
        <v>4550</v>
      </c>
      <c r="C17348" s="329">
        <v>323.77999999999997</v>
      </c>
      <c r="D17348" s="1597">
        <f>VLOOKUP(H17348,indexy!$C$44:$D$823,2,FALSE)</f>
        <v>486.3</v>
      </c>
      <c r="E17348" s="512">
        <f t="shared" si="262"/>
        <v>0.50194576564333815</v>
      </c>
      <c r="F17348" s="1313">
        <f t="shared" si="263"/>
        <v>0.06</v>
      </c>
      <c r="G17348" s="78"/>
      <c r="H17348" t="str">
        <f>VLOOKUP(B17348,indexy!$A$44:$D$823,3,FALSE)</f>
        <v>ZURN SE Equity</v>
      </c>
    </row>
    <row r="17349" spans="1:10" hidden="1" outlineLevel="1" x14ac:dyDescent="0.25">
      <c r="A17349" s="409" t="s">
        <v>2465</v>
      </c>
      <c r="B17349" s="1797"/>
      <c r="C17349" s="420"/>
      <c r="D17349" s="1798"/>
      <c r="E17349" s="1799">
        <f>SUMPRODUCT(A17319:A17348,E17319:E17348)</f>
        <v>0.19090912405435409</v>
      </c>
      <c r="F17349" s="409">
        <f>SUMPRODUCT(A17319:A17348,F17319:F17348)</f>
        <v>-3.9087423290277673E-2</v>
      </c>
      <c r="G17349" s="78"/>
    </row>
    <row r="17350" spans="1:10" hidden="1" outlineLevel="1" x14ac:dyDescent="0.25">
      <c r="A17350" s="1800"/>
      <c r="B17350" s="1303"/>
      <c r="C17350" s="1303"/>
      <c r="D17350" s="1303"/>
      <c r="E17350" s="1303"/>
      <c r="F17350" s="1842"/>
      <c r="G17350" s="78"/>
    </row>
    <row r="17351" spans="1:10" hidden="1" outlineLevel="1" x14ac:dyDescent="0.25">
      <c r="A17351" s="1801" t="s">
        <v>113</v>
      </c>
      <c r="B17351" s="1801"/>
      <c r="C17351" s="1802"/>
      <c r="D17351" s="1802"/>
      <c r="E17351" s="1620"/>
      <c r="F17351" s="1314"/>
      <c r="G17351" s="78"/>
    </row>
    <row r="17352" spans="1:10" hidden="1" outlineLevel="1" x14ac:dyDescent="0.25">
      <c r="A17352" s="222" t="s">
        <v>9760</v>
      </c>
      <c r="B17352" s="1803"/>
      <c r="C17352" s="1676"/>
      <c r="D17352" s="1676"/>
      <c r="E17352" s="1804"/>
      <c r="F17352" s="1805">
        <v>0.03</v>
      </c>
      <c r="G17352" s="78"/>
    </row>
    <row r="17353" spans="1:10" hidden="1" outlineLevel="1" x14ac:dyDescent="0.25">
      <c r="A17353" s="222" t="s">
        <v>9761</v>
      </c>
      <c r="B17353" s="1806"/>
      <c r="C17353" s="133"/>
      <c r="D17353" s="133">
        <v>95.6995</v>
      </c>
      <c r="E17353" s="1807">
        <v>-4.3004999999999995E-2</v>
      </c>
      <c r="F17353" s="1313">
        <v>0</v>
      </c>
      <c r="G17353" s="78"/>
      <c r="J17353" s="31"/>
    </row>
    <row r="17354" spans="1:10" hidden="1" outlineLevel="1" x14ac:dyDescent="0.25">
      <c r="A17354" s="222" t="s">
        <v>9762</v>
      </c>
      <c r="B17354" s="1806"/>
      <c r="C17354" s="133"/>
      <c r="D17354" s="133">
        <v>100.8013</v>
      </c>
      <c r="E17354" s="1807">
        <v>8.0000000000000002E-3</v>
      </c>
      <c r="F17354" s="1313">
        <v>8.0000000000000002E-3</v>
      </c>
      <c r="G17354" s="78"/>
    </row>
    <row r="17355" spans="1:10" hidden="1" outlineLevel="1" x14ac:dyDescent="0.25">
      <c r="A17355" s="222" t="s">
        <v>9763</v>
      </c>
      <c r="B17355" s="1806"/>
      <c r="C17355" s="133"/>
      <c r="D17355" s="133">
        <v>95.867999999999995</v>
      </c>
      <c r="E17355" s="3593">
        <v>0</v>
      </c>
      <c r="F17355" s="1313">
        <v>0</v>
      </c>
      <c r="G17355" s="78"/>
    </row>
    <row r="17356" spans="1:10" hidden="1" outlineLevel="1" x14ac:dyDescent="0.25">
      <c r="A17356" s="222" t="s">
        <v>9764</v>
      </c>
      <c r="B17356" s="1808"/>
      <c r="C17356" s="1620"/>
      <c r="D17356" s="1620"/>
      <c r="E17356" s="1809"/>
      <c r="F17356" s="1314"/>
      <c r="G17356" s="78"/>
    </row>
    <row r="17357" spans="1:10" collapsed="1" x14ac:dyDescent="0.25">
      <c r="A17357" s="3904" t="s">
        <v>9756</v>
      </c>
      <c r="B17357" s="3905"/>
      <c r="C17357" s="3905"/>
      <c r="D17357" s="142"/>
      <c r="E17357" s="142"/>
      <c r="F17357" s="190">
        <f>SUM(F17352:F17356)</f>
        <v>3.7999999999999999E-2</v>
      </c>
      <c r="G17357" s="78"/>
    </row>
    <row r="17359" spans="1:10" ht="12.75" hidden="1" customHeight="1" outlineLevel="1" x14ac:dyDescent="0.25">
      <c r="A17359" s="15" t="s">
        <v>113</v>
      </c>
      <c r="B17359" s="15" t="s">
        <v>114</v>
      </c>
      <c r="C17359" s="15" t="s">
        <v>112</v>
      </c>
      <c r="D17359" s="15" t="s">
        <v>116</v>
      </c>
      <c r="E17359" s="15" t="s">
        <v>117</v>
      </c>
      <c r="F17359" s="1882" t="s">
        <v>121</v>
      </c>
      <c r="G17359" s="78"/>
    </row>
    <row r="17360" spans="1:10" ht="12.75" hidden="1" customHeight="1" outlineLevel="1" x14ac:dyDescent="0.25">
      <c r="A17360" s="4">
        <v>1</v>
      </c>
      <c r="B17360" s="5" t="s">
        <v>252</v>
      </c>
      <c r="C17360" s="6">
        <v>100</v>
      </c>
      <c r="D17360" s="6"/>
      <c r="E17360" s="9"/>
      <c r="F17360" s="10"/>
      <c r="G17360" s="78"/>
    </row>
    <row r="17361" spans="1:11" ht="12.75" hidden="1" customHeight="1" outlineLevel="1" x14ac:dyDescent="0.25">
      <c r="A17361" s="21" t="s">
        <v>2734</v>
      </c>
      <c r="B17361" s="21"/>
      <c r="C17361" s="11"/>
      <c r="D17361" s="32" t="s">
        <v>3702</v>
      </c>
      <c r="E17361" s="33">
        <f>indexy!$B$2</f>
        <v>45379</v>
      </c>
      <c r="F17361" s="38"/>
      <c r="G17361" s="78"/>
    </row>
    <row r="17362" spans="1:11" ht="12.75" hidden="1" customHeight="1" outlineLevel="1" x14ac:dyDescent="0.25">
      <c r="A17362" s="22" t="s">
        <v>4156</v>
      </c>
      <c r="B17362" s="22" t="s">
        <v>4153</v>
      </c>
      <c r="C17362" s="98" t="s">
        <v>112</v>
      </c>
      <c r="D17362" s="131" t="s">
        <v>4155</v>
      </c>
      <c r="E17362" s="24" t="s">
        <v>4154</v>
      </c>
      <c r="F17362" s="189" t="s">
        <v>2519</v>
      </c>
      <c r="G17362" s="78"/>
    </row>
    <row r="17363" spans="1:11" ht="12.75" hidden="1" customHeight="1" outlineLevel="1" x14ac:dyDescent="0.25">
      <c r="A17363" s="2034">
        <v>0.02</v>
      </c>
      <c r="B17363" s="2035" t="s">
        <v>2917</v>
      </c>
      <c r="C17363" s="2037">
        <v>199.9</v>
      </c>
      <c r="D17363" s="2039">
        <f>VLOOKUP($H17363,indexy!$C$44:$D$823,2,FALSE)</f>
        <v>207</v>
      </c>
      <c r="E17363" s="2040">
        <f>$D17363/$C17363-1</f>
        <v>3.5517758879439754E-2</v>
      </c>
      <c r="F17363" s="2041">
        <f>$E17363*$A17363</f>
        <v>7.1035517758879509E-4</v>
      </c>
      <c r="G17363" s="78"/>
      <c r="H17363" t="str">
        <f>VLOOKUP(B17363,indexy!$A$44:$D$823,3,FALSE)</f>
        <v>ADS GY Equity</v>
      </c>
      <c r="K17363" s="434"/>
    </row>
    <row r="17364" spans="1:11" ht="12.75" hidden="1" customHeight="1" outlineLevel="1" x14ac:dyDescent="0.25">
      <c r="A17364" s="1911">
        <v>0.05</v>
      </c>
      <c r="B17364" s="2035" t="s">
        <v>9757</v>
      </c>
      <c r="C17364" s="2037">
        <v>5.6676000000000002</v>
      </c>
      <c r="D17364" s="2042">
        <f>VLOOKUP(H17364,indexy!$C$44:$D$823,2,FALSE)/100</f>
        <v>4.7560000000000002</v>
      </c>
      <c r="E17364" s="2043">
        <f t="shared" ref="E17364:E17392" si="264">$D17364/$C17364-1</f>
        <v>-0.16084409626649732</v>
      </c>
      <c r="F17364" s="2044">
        <f t="shared" ref="F17364:F17391" si="265">$E17364*$A17364</f>
        <v>-8.0422048133248665E-3</v>
      </c>
      <c r="G17364" s="78"/>
      <c r="H17364" t="str">
        <f>VLOOKUP(B17364,indexy!$A$44:$D$823,3,FALSE)</f>
        <v>BDEV LN Equity</v>
      </c>
      <c r="K17364" s="434"/>
    </row>
    <row r="17365" spans="1:11" ht="12.75" hidden="1" customHeight="1" outlineLevel="1" x14ac:dyDescent="0.25">
      <c r="A17365" s="1911">
        <v>0.03</v>
      </c>
      <c r="B17365" s="2035" t="s">
        <v>9796</v>
      </c>
      <c r="C17365" s="2037">
        <v>28.094000000000001</v>
      </c>
      <c r="D17365" s="2042">
        <f>VLOOKUP(H17365,indexy!$C$44:$D$823,2,FALSE)/100</f>
        <v>26.64</v>
      </c>
      <c r="E17365" s="2043">
        <f t="shared" si="264"/>
        <v>-5.1754823093899116E-2</v>
      </c>
      <c r="F17365" s="2044">
        <f t="shared" si="265"/>
        <v>-1.5526446928169734E-3</v>
      </c>
      <c r="G17365" s="78"/>
      <c r="H17365" t="str">
        <f>VLOOKUP(B17365,indexy!$A$44:$D$823,3,FALSE)</f>
        <v>BWY LN Equity</v>
      </c>
      <c r="K17365" s="434"/>
    </row>
    <row r="17366" spans="1:11" ht="12.75" hidden="1" customHeight="1" outlineLevel="1" x14ac:dyDescent="0.25">
      <c r="A17366" s="1911">
        <v>7.0000000000000007E-2</v>
      </c>
      <c r="B17366" s="2035" t="s">
        <v>9797</v>
      </c>
      <c r="C17366" s="2037">
        <v>38.146999999999998</v>
      </c>
      <c r="D17366" s="2042">
        <f>VLOOKUP(H17366,indexy!$C$44:$D$823,2,FALSE)/100</f>
        <v>47.58</v>
      </c>
      <c r="E17366" s="2043">
        <f t="shared" si="264"/>
        <v>0.24728025794951103</v>
      </c>
      <c r="F17366" s="2044">
        <f t="shared" si="265"/>
        <v>1.7309618056465775E-2</v>
      </c>
      <c r="G17366" s="78"/>
      <c r="H17366" t="str">
        <f>VLOOKUP(B17366,indexy!$A$44:$D$823,3,FALSE)</f>
        <v>BKG LN Equity</v>
      </c>
      <c r="K17366" s="434"/>
    </row>
    <row r="17367" spans="1:11" ht="12.75" hidden="1" customHeight="1" outlineLevel="1" x14ac:dyDescent="0.25">
      <c r="A17367" s="1911">
        <v>0.05</v>
      </c>
      <c r="B17367" s="2035" t="s">
        <v>1141</v>
      </c>
      <c r="C17367" s="2037">
        <v>70.662000000000006</v>
      </c>
      <c r="D17367" s="2042">
        <f>VLOOKUP(H17367,indexy!$C$44:$D$823,2,FALSE)</f>
        <v>106.96</v>
      </c>
      <c r="E17367" s="2043">
        <f t="shared" si="264"/>
        <v>0.51368486598171548</v>
      </c>
      <c r="F17367" s="2044">
        <f t="shared" si="265"/>
        <v>2.5684243299085776E-2</v>
      </c>
      <c r="G17367" s="78"/>
      <c r="H17367" t="str">
        <f>VLOOKUP(B17367,indexy!$A$44:$D$823,3,FALSE)</f>
        <v>BMW GY Equity</v>
      </c>
      <c r="K17367" s="434"/>
    </row>
    <row r="17368" spans="1:11" ht="12.75" hidden="1" customHeight="1" outlineLevel="1" x14ac:dyDescent="0.25">
      <c r="A17368" s="1911">
        <v>0.03</v>
      </c>
      <c r="B17368" s="2035" t="s">
        <v>7491</v>
      </c>
      <c r="C17368" s="2037">
        <v>4290.2</v>
      </c>
      <c r="D17368" s="2042">
        <f>VLOOKUP(H17368,indexy!$C$44:$D$823,2,FALSE)</f>
        <v>6691</v>
      </c>
      <c r="E17368" s="2043">
        <f t="shared" si="264"/>
        <v>0.55960095100461515</v>
      </c>
      <c r="F17368" s="2044">
        <f t="shared" si="265"/>
        <v>1.6788028530138454E-2</v>
      </c>
      <c r="G17368" s="78"/>
      <c r="H17368" t="str">
        <f>VLOOKUP(B17368,indexy!$A$44:$D$823,3,FALSE)</f>
        <v>5108 JT Equity</v>
      </c>
      <c r="K17368" s="434"/>
    </row>
    <row r="17369" spans="1:11" ht="12.75" hidden="1" customHeight="1" outlineLevel="1" x14ac:dyDescent="0.25">
      <c r="A17369" s="1911">
        <v>0.02</v>
      </c>
      <c r="B17369" s="2035" t="s">
        <v>9798</v>
      </c>
      <c r="C17369" s="2037">
        <v>19.382000000000001</v>
      </c>
      <c r="D17369" s="2042">
        <f>VLOOKUP(H17369,indexy!$C$44:$D$823,2,FALSE)/100</f>
        <v>12.13</v>
      </c>
      <c r="E17369" s="2043">
        <f t="shared" si="264"/>
        <v>-0.37416159323083276</v>
      </c>
      <c r="F17369" s="2044">
        <f t="shared" si="265"/>
        <v>-7.4832318646166551E-3</v>
      </c>
      <c r="G17369" s="78"/>
      <c r="H17369" t="str">
        <f>VLOOKUP(B17369,indexy!$A$44:$D$823,3,FALSE)</f>
        <v>BRBY LN Equity</v>
      </c>
      <c r="K17369" s="434"/>
    </row>
    <row r="17370" spans="1:11" ht="12.75" hidden="1" customHeight="1" outlineLevel="1" x14ac:dyDescent="0.25">
      <c r="A17370" s="1911">
        <v>0.03</v>
      </c>
      <c r="B17370" s="2035" t="s">
        <v>335</v>
      </c>
      <c r="C17370" s="2037">
        <v>70.293802013415529</v>
      </c>
      <c r="D17370" s="2042">
        <f>VLOOKUP(H17370,indexy!$C$44:$D$823,2,FALSE)</f>
        <v>137.5</v>
      </c>
      <c r="E17370" s="2043">
        <f t="shared" si="264"/>
        <v>0.95607572874999991</v>
      </c>
      <c r="F17370" s="2044">
        <f t="shared" si="265"/>
        <v>2.8682271862499997E-2</v>
      </c>
      <c r="G17370" s="78"/>
      <c r="H17370" t="str">
        <f>VLOOKUP(B17370,indexy!$A$44:$D$823,3,FALSE)</f>
        <v>CFR SE Equity</v>
      </c>
      <c r="K17370" s="434"/>
    </row>
    <row r="17371" spans="1:11" ht="12.75" hidden="1" customHeight="1" outlineLevel="1" x14ac:dyDescent="0.25">
      <c r="A17371" s="1911">
        <v>0.02</v>
      </c>
      <c r="B17371" s="2035" t="s">
        <v>67</v>
      </c>
      <c r="C17371" s="2037">
        <v>121.57698553499517</v>
      </c>
      <c r="D17371" s="2042">
        <f>VLOOKUP(H17371,indexy!$C$44:$D$823,2,FALSE)</f>
        <v>66.900000000000006</v>
      </c>
      <c r="E17371" s="2043">
        <f t="shared" si="264"/>
        <v>-0.44973138044499994</v>
      </c>
      <c r="F17371" s="2044">
        <f t="shared" si="265"/>
        <v>-8.9946276088999997E-3</v>
      </c>
      <c r="G17371" s="78"/>
      <c r="H17371" t="str">
        <f>VLOOKUP(B17371,indexy!$A$44:$D$823,3,FALSE)</f>
        <v>CON GY Equity</v>
      </c>
      <c r="K17371" s="434"/>
    </row>
    <row r="17372" spans="1:11" ht="12.75" hidden="1" customHeight="1" outlineLevel="1" x14ac:dyDescent="0.25">
      <c r="A17372" s="1911">
        <v>0.05</v>
      </c>
      <c r="B17372" s="2035" t="s">
        <v>10672</v>
      </c>
      <c r="C17372" s="2037">
        <v>41.683718816042095</v>
      </c>
      <c r="D17372" s="2042">
        <f>VLOOKUP(H17372,indexy!$C$44:$D$823,2,FALSE)</f>
        <v>73.81</v>
      </c>
      <c r="E17372" s="2043">
        <f t="shared" si="264"/>
        <v>0.77071533194380004</v>
      </c>
      <c r="F17372" s="2044">
        <f t="shared" si="265"/>
        <v>3.8535766597190005E-2</v>
      </c>
      <c r="G17372" s="78"/>
      <c r="H17372" t="str">
        <f>VLOOKUP(B17372,indexy!$A$44:$D$823,3,FALSE)</f>
        <v>MBG GY Equity</v>
      </c>
      <c r="K17372" s="434"/>
    </row>
    <row r="17373" spans="1:11" ht="12.75" hidden="1" customHeight="1" outlineLevel="1" x14ac:dyDescent="0.25">
      <c r="A17373" s="1911">
        <v>0.02</v>
      </c>
      <c r="B17373" s="2035" t="s">
        <v>7494</v>
      </c>
      <c r="C17373" s="2037">
        <f>4758.3/4</f>
        <v>1189.575</v>
      </c>
      <c r="D17373" s="2042">
        <f>VLOOKUP(H17373,indexy!$C$44:$D$823,2,FALSE)</f>
        <v>2885</v>
      </c>
      <c r="E17373" s="2043">
        <f t="shared" si="264"/>
        <v>1.4252359035790092</v>
      </c>
      <c r="F17373" s="2044">
        <f t="shared" si="265"/>
        <v>2.8504718071580185E-2</v>
      </c>
      <c r="G17373" s="78"/>
      <c r="H17373" t="str">
        <f>VLOOKUP(B17373,indexy!$A$44:$D$823,3,FALSE)</f>
        <v>6902 JT Equity</v>
      </c>
      <c r="K17373" s="434"/>
    </row>
    <row r="17374" spans="1:11" ht="12.75" hidden="1" customHeight="1" outlineLevel="1" x14ac:dyDescent="0.25">
      <c r="A17374" s="1911">
        <v>0.02</v>
      </c>
      <c r="B17374" s="2035" t="s">
        <v>5943</v>
      </c>
      <c r="C17374" s="2037">
        <v>8.1562232762109002</v>
      </c>
      <c r="D17374" s="2042">
        <f>VLOOKUP(H17374,indexy!$C$44:$D$823,2,FALSE)</f>
        <v>13.28</v>
      </c>
      <c r="E17374" s="2043">
        <f t="shared" si="264"/>
        <v>0.62820456849599982</v>
      </c>
      <c r="F17374" s="2044">
        <f t="shared" si="265"/>
        <v>1.2564091369919997E-2</v>
      </c>
      <c r="G17374" s="78"/>
      <c r="H17374" t="str">
        <f>VLOOKUP(B17374,indexy!$A$44:$D$823,3,FALSE)</f>
        <v>F UN Equity</v>
      </c>
      <c r="K17374" s="434"/>
    </row>
    <row r="17375" spans="1:11" ht="12.75" hidden="1" customHeight="1" outlineLevel="1" x14ac:dyDescent="0.25">
      <c r="A17375" s="1911">
        <v>0.02</v>
      </c>
      <c r="B17375" s="2035" t="s">
        <v>9799</v>
      </c>
      <c r="C17375" s="2038">
        <v>39.243000000000002</v>
      </c>
      <c r="D17375" s="2042">
        <f>VLOOKUP(H17375,indexy!$C$44:$D$823,2,FALSE)</f>
        <v>45.35</v>
      </c>
      <c r="E17375" s="2043">
        <f t="shared" si="264"/>
        <v>0.15562011059297198</v>
      </c>
      <c r="F17375" s="2044">
        <f t="shared" si="265"/>
        <v>3.1124022118594399E-3</v>
      </c>
      <c r="G17375" s="78"/>
      <c r="H17375" t="str">
        <f>VLOOKUP(B17375,indexy!$A$44:$D$823,3,FALSE)</f>
        <v>GM UN Equity</v>
      </c>
      <c r="K17375" s="434"/>
    </row>
    <row r="17376" spans="1:11" ht="12.75" hidden="1" customHeight="1" outlineLevel="1" x14ac:dyDescent="0.25">
      <c r="A17376" s="1911">
        <v>0.02</v>
      </c>
      <c r="B17376" s="2035" t="s">
        <v>7497</v>
      </c>
      <c r="C17376" s="2037">
        <f>3016.9/3</f>
        <v>1005.6333333333333</v>
      </c>
      <c r="D17376" s="2042">
        <f>VLOOKUP(H17376,indexy!$C$44:$D$823,2,FALSE)</f>
        <v>1863.5</v>
      </c>
      <c r="E17376" s="2043">
        <f t="shared" si="264"/>
        <v>0.85306108919752055</v>
      </c>
      <c r="F17376" s="2044">
        <f t="shared" si="265"/>
        <v>1.7061221783950413E-2</v>
      </c>
      <c r="G17376" s="78"/>
      <c r="H17376" t="str">
        <f>VLOOKUP(B17376,indexy!$A$44:$D$823,3,FALSE)</f>
        <v>7267 JT Equity</v>
      </c>
      <c r="K17376" s="434"/>
    </row>
    <row r="17377" spans="1:11" ht="12.75" hidden="1" customHeight="1" outlineLevel="1" x14ac:dyDescent="0.25">
      <c r="A17377" s="1911">
        <v>0.02</v>
      </c>
      <c r="B17377" s="2035" t="s">
        <v>9800</v>
      </c>
      <c r="C17377" s="2037">
        <v>122749.84195957849</v>
      </c>
      <c r="D17377" s="2042">
        <f>VLOOKUP(H17377,indexy!$C$44:$D$823,2,FALSE)</f>
        <v>237000</v>
      </c>
      <c r="E17377" s="2043">
        <f t="shared" si="264"/>
        <v>0.93075604999999983</v>
      </c>
      <c r="F17377" s="2044">
        <f t="shared" si="265"/>
        <v>1.8615120999999998E-2</v>
      </c>
      <c r="G17377" s="78"/>
      <c r="H17377" t="str">
        <f>VLOOKUP(B17377,indexy!$A$44:$D$823,3,FALSE)</f>
        <v>005380 KP Equity</v>
      </c>
      <c r="K17377" s="434"/>
    </row>
    <row r="17378" spans="1:11" ht="12.75" hidden="1" customHeight="1" outlineLevel="1" x14ac:dyDescent="0.25">
      <c r="A17378" s="1911">
        <v>0.02</v>
      </c>
      <c r="B17378" s="2035" t="s">
        <v>1528</v>
      </c>
      <c r="C17378" s="2037">
        <v>293.22500000000002</v>
      </c>
      <c r="D17378" s="2042">
        <f>VLOOKUP(H17378,indexy!$C$44:$D$823,2,FALSE)</f>
        <v>833.7</v>
      </c>
      <c r="E17378" s="2043">
        <f t="shared" si="264"/>
        <v>1.8432091397391082</v>
      </c>
      <c r="F17378" s="2044">
        <f t="shared" si="265"/>
        <v>3.6864182794782166E-2</v>
      </c>
      <c r="G17378" s="78"/>
      <c r="H17378" t="str">
        <f>VLOOKUP(B17378,indexy!$A$44:$D$823,3,FALSE)</f>
        <v>MC FP Equity</v>
      </c>
      <c r="K17378" s="434"/>
    </row>
    <row r="17379" spans="1:11" ht="12.75" hidden="1" customHeight="1" outlineLevel="1" x14ac:dyDescent="0.25">
      <c r="A17379" s="1911">
        <v>0.02</v>
      </c>
      <c r="B17379" s="2035" t="s">
        <v>7321</v>
      </c>
      <c r="C17379" s="2037">
        <f>99.824/4</f>
        <v>24.956</v>
      </c>
      <c r="D17379" s="2042">
        <f>VLOOKUP(H17379,indexy!$C$44:$D$823,2,FALSE)</f>
        <v>35.520000000000003</v>
      </c>
      <c r="E17379" s="2043">
        <f t="shared" si="264"/>
        <v>0.42330501682962018</v>
      </c>
      <c r="F17379" s="2044">
        <f t="shared" si="265"/>
        <v>8.466100336592404E-3</v>
      </c>
      <c r="G17379" s="78"/>
      <c r="H17379" t="str">
        <f>VLOOKUP(B17379,indexy!$A$44:$D$823,3,FALSE)</f>
        <v>ML FP Equity</v>
      </c>
      <c r="K17379" s="434"/>
    </row>
    <row r="17380" spans="1:11" ht="12.75" hidden="1" customHeight="1" outlineLevel="1" x14ac:dyDescent="0.25">
      <c r="A17380" s="1911">
        <v>0.02</v>
      </c>
      <c r="B17380" s="2035" t="s">
        <v>9661</v>
      </c>
      <c r="C17380" s="2037">
        <v>34.54</v>
      </c>
      <c r="D17380" s="2042">
        <f>VLOOKUP(H17380,indexy!$C$44:$D$823,2,FALSE)</f>
        <v>69.180000000000007</v>
      </c>
      <c r="E17380" s="2043">
        <f t="shared" si="264"/>
        <v>1.0028951939779969</v>
      </c>
      <c r="F17380" s="2044">
        <f t="shared" si="265"/>
        <v>2.0057903879559937E-2</v>
      </c>
      <c r="G17380" s="78"/>
      <c r="H17380" t="str">
        <f>VLOOKUP(B17380,indexy!$A$44:$D$823,3,FALSE)</f>
        <v>MONC IM Equity</v>
      </c>
      <c r="K17380" s="434"/>
    </row>
    <row r="17381" spans="1:11" ht="12.75" hidden="1" customHeight="1" outlineLevel="1" x14ac:dyDescent="0.25">
      <c r="A17381" s="1911">
        <v>0.08</v>
      </c>
      <c r="B17381" s="2035" t="s">
        <v>459</v>
      </c>
      <c r="C17381" s="2037">
        <v>940.07</v>
      </c>
      <c r="D17381" s="2042">
        <f>VLOOKUP(H17381,indexy!$C$44:$D$823,2,FALSE)</f>
        <v>597.20000000000005</v>
      </c>
      <c r="E17381" s="2043">
        <f t="shared" si="264"/>
        <v>-0.36472815854138518</v>
      </c>
      <c r="F17381" s="2044">
        <f t="shared" si="265"/>
        <v>-2.9178252683310816E-2</v>
      </c>
      <c r="G17381" s="78"/>
      <c r="H17381" t="str">
        <f>VLOOKUP(B17381,indexy!$A$44:$D$823,3,FALSE)</f>
        <v>7201 JT Equity</v>
      </c>
      <c r="K17381" s="434"/>
    </row>
    <row r="17382" spans="1:11" ht="12.75" hidden="1" customHeight="1" outlineLevel="1" x14ac:dyDescent="0.25">
      <c r="A17382" s="1911">
        <v>0.02</v>
      </c>
      <c r="B17382" s="2035" t="s">
        <v>7524</v>
      </c>
      <c r="C17382" s="2037">
        <v>1036.3499999999999</v>
      </c>
      <c r="D17382" s="2042">
        <f>VLOOKUP(H17382,indexy!$C$44:$D$823,2,FALSE)</f>
        <v>1438.5</v>
      </c>
      <c r="E17382" s="2043">
        <f t="shared" si="264"/>
        <v>0.38804457953394134</v>
      </c>
      <c r="F17382" s="2044">
        <f t="shared" si="265"/>
        <v>7.7608915906788268E-3</v>
      </c>
      <c r="G17382" s="78"/>
      <c r="H17382" t="str">
        <f>VLOOKUP(B17382,indexy!$A$44:$D$823,3,FALSE)</f>
        <v>6752 JT Equity</v>
      </c>
      <c r="K17382" s="434"/>
    </row>
    <row r="17383" spans="1:11" ht="12.75" hidden="1" customHeight="1" outlineLevel="1" x14ac:dyDescent="0.25">
      <c r="A17383" s="1911">
        <v>7.0000000000000007E-2</v>
      </c>
      <c r="B17383" s="2035" t="s">
        <v>8262</v>
      </c>
      <c r="C17383" s="2037">
        <v>324.2640477693937</v>
      </c>
      <c r="D17383" s="2042">
        <f>VLOOKUP(H17383,indexy!$C$44:$D$823,2,FALSE)</f>
        <v>1114.5</v>
      </c>
      <c r="E17383" s="2043">
        <f t="shared" si="264"/>
        <v>2.4370137783285708</v>
      </c>
      <c r="F17383" s="2044">
        <f t="shared" si="265"/>
        <v>0.17059096448299998</v>
      </c>
      <c r="G17383" s="78"/>
      <c r="H17383" t="str">
        <f>VLOOKUP(B17383,indexy!$A$44:$D$823,3,FALSE)</f>
        <v>PNDORA DC Equity</v>
      </c>
      <c r="K17383" s="434"/>
    </row>
    <row r="17384" spans="1:11" ht="12.75" hidden="1" customHeight="1" outlineLevel="1" x14ac:dyDescent="0.25">
      <c r="A17384" s="1911">
        <v>0.06</v>
      </c>
      <c r="B17384" s="2035" t="s">
        <v>9801</v>
      </c>
      <c r="C17384" s="2037">
        <v>24.231999999999999</v>
      </c>
      <c r="D17384" s="2042">
        <f>VLOOKUP(H17384,indexy!$C$44:$D$823,2,FALSE)/100</f>
        <v>13.16</v>
      </c>
      <c r="E17384" s="2043">
        <f t="shared" si="264"/>
        <v>-0.45691647408385605</v>
      </c>
      <c r="F17384" s="2044">
        <f t="shared" si="265"/>
        <v>-2.7414988445031364E-2</v>
      </c>
      <c r="G17384" s="78"/>
      <c r="H17384" t="str">
        <f>VLOOKUP(B17384,indexy!$A$44:$D$823,3,FALSE)</f>
        <v>PSN LN Equity</v>
      </c>
      <c r="K17384" s="434"/>
    </row>
    <row r="17385" spans="1:11" ht="12.75" hidden="1" customHeight="1" outlineLevel="1" x14ac:dyDescent="0.25">
      <c r="A17385" s="1911">
        <v>0.02</v>
      </c>
      <c r="B17385" s="2035" t="s">
        <v>10600</v>
      </c>
      <c r="C17385" s="2037">
        <v>11.358343562690676</v>
      </c>
      <c r="D17385" s="2042">
        <f>VLOOKUP(H17385,indexy!$C$44:$D$823,2,FALSE)</f>
        <v>26.324999999999999</v>
      </c>
      <c r="E17385" s="2043">
        <f t="shared" si="264"/>
        <v>1.3176794974287498</v>
      </c>
      <c r="F17385" s="2044">
        <f t="shared" si="265"/>
        <v>2.6353589948574997E-2</v>
      </c>
      <c r="G17385" s="78"/>
      <c r="H17385" t="str">
        <f>VLOOKUP(B17385,indexy!$A$44:$D$823,3,FALSE)</f>
        <v>STLAP FP Equity</v>
      </c>
      <c r="K17385" s="434"/>
    </row>
    <row r="17386" spans="1:11" ht="12.75" hidden="1" customHeight="1" outlineLevel="1" x14ac:dyDescent="0.25">
      <c r="A17386" s="1911">
        <v>0.02</v>
      </c>
      <c r="B17386" s="2035" t="s">
        <v>9802</v>
      </c>
      <c r="C17386" s="2037">
        <v>58.16</v>
      </c>
      <c r="D17386" s="2042">
        <f>VLOOKUP(H17386,indexy!$C$44:$D$823,2,FALSE)</f>
        <v>46.795000000000002</v>
      </c>
      <c r="E17386" s="2043">
        <f t="shared" si="264"/>
        <v>-0.19540921595598337</v>
      </c>
      <c r="F17386" s="2044">
        <f t="shared" si="265"/>
        <v>-3.9081843191196676E-3</v>
      </c>
      <c r="G17386" s="78"/>
      <c r="H17386" t="str">
        <f>VLOOKUP(B17386,indexy!$A$44:$D$823,3,FALSE)</f>
        <v>RNO FP Equity</v>
      </c>
      <c r="K17386" s="434"/>
    </row>
    <row r="17387" spans="1:11" ht="12.75" hidden="1" customHeight="1" outlineLevel="1" x14ac:dyDescent="0.25">
      <c r="A17387" s="1911">
        <v>0.02</v>
      </c>
      <c r="B17387" s="2035" t="s">
        <v>1207</v>
      </c>
      <c r="C17387" s="2037">
        <v>5098</v>
      </c>
      <c r="D17387" s="2042">
        <f>VLOOKUP(H17387,indexy!$C$44:$D$823,2,FALSE)</f>
        <v>12930</v>
      </c>
      <c r="E17387" s="2043">
        <f t="shared" si="264"/>
        <v>1.5362887406826204</v>
      </c>
      <c r="F17387" s="2044">
        <f t="shared" si="265"/>
        <v>3.072577481365241E-2</v>
      </c>
      <c r="G17387" s="78"/>
      <c r="H17387" t="str">
        <f>VLOOKUP(B17387,indexy!$A$44:$D$823,3,FALSE)</f>
        <v>6758 JT Equity</v>
      </c>
      <c r="K17387" s="434"/>
    </row>
    <row r="17388" spans="1:11" ht="12.75" hidden="1" customHeight="1" outlineLevel="1" x14ac:dyDescent="0.25">
      <c r="A17388" s="1911">
        <v>0.08</v>
      </c>
      <c r="B17388" s="2035" t="s">
        <v>9803</v>
      </c>
      <c r="C17388" s="2037">
        <v>2802.7</v>
      </c>
      <c r="D17388" s="2042">
        <f>VLOOKUP(H17388,indexy!$C$44:$D$823,2,FALSE)</f>
        <v>3426</v>
      </c>
      <c r="E17388" s="2043">
        <f t="shared" si="264"/>
        <v>0.2223926927605524</v>
      </c>
      <c r="F17388" s="2044">
        <f t="shared" si="265"/>
        <v>1.7791415420844194E-2</v>
      </c>
      <c r="G17388" s="78"/>
      <c r="H17388" t="str">
        <f>VLOOKUP(B17388,indexy!$A$44:$D$823,3,FALSE)</f>
        <v>7270 JT Equity</v>
      </c>
      <c r="K17388" s="434"/>
    </row>
    <row r="17389" spans="1:11" ht="12.75" hidden="1" customHeight="1" outlineLevel="1" x14ac:dyDescent="0.25">
      <c r="A17389" s="1911">
        <v>0.02</v>
      </c>
      <c r="B17389" s="2035" t="s">
        <v>9804</v>
      </c>
      <c r="C17389" s="2037">
        <f>5658.5/4</f>
        <v>1414.625</v>
      </c>
      <c r="D17389" s="2042">
        <f>VLOOKUP(H17389,indexy!$C$44:$D$823,2,FALSE)</f>
        <v>1721</v>
      </c>
      <c r="E17389" s="2043">
        <f t="shared" si="264"/>
        <v>0.2165768313157197</v>
      </c>
      <c r="F17389" s="2044">
        <f t="shared" si="265"/>
        <v>4.331536626314394E-3</v>
      </c>
      <c r="G17389" s="78"/>
      <c r="H17389" t="str">
        <f>VLOOKUP(B17389,indexy!$A$44:$D$823,3,FALSE)</f>
        <v>7269 JT Equity</v>
      </c>
      <c r="K17389" s="434"/>
    </row>
    <row r="17390" spans="1:11" ht="12.75" hidden="1" customHeight="1" outlineLevel="1" x14ac:dyDescent="0.25">
      <c r="A17390" s="1911">
        <v>0.02</v>
      </c>
      <c r="B17390" s="2035" t="s">
        <v>7839</v>
      </c>
      <c r="C17390" s="2037">
        <v>1.5515274308561471</v>
      </c>
      <c r="D17390" s="2042">
        <f>VLOOKUP(H17390,indexy!$C$44:$D$823,2,FALSE)/100</f>
        <v>1.3705000000000001</v>
      </c>
      <c r="E17390" s="2043">
        <f t="shared" si="264"/>
        <v>-0.11667691286402482</v>
      </c>
      <c r="F17390" s="2044">
        <f t="shared" si="265"/>
        <v>-2.3335382572804964E-3</v>
      </c>
      <c r="G17390" s="78"/>
      <c r="H17390" t="str">
        <f>VLOOKUP(B17390,indexy!$A$44:$D$823,3,FALSE)</f>
        <v>TW/ LN Equity</v>
      </c>
      <c r="K17390" s="434"/>
    </row>
    <row r="17391" spans="1:11" ht="12.75" hidden="1" customHeight="1" outlineLevel="1" x14ac:dyDescent="0.25">
      <c r="A17391" s="1911">
        <v>0.04</v>
      </c>
      <c r="B17391" s="2035" t="s">
        <v>3551</v>
      </c>
      <c r="C17391" s="2037">
        <v>978.91454773474891</v>
      </c>
      <c r="D17391" s="2042">
        <f>VLOOKUP(H17391,indexy!$C$44:$D$823,2,FALSE)</f>
        <v>3806</v>
      </c>
      <c r="E17391" s="2043">
        <f t="shared" si="264"/>
        <v>2.8879798127499998</v>
      </c>
      <c r="F17391" s="2044">
        <f t="shared" si="265"/>
        <v>0.11551919250999999</v>
      </c>
      <c r="G17391" s="78"/>
      <c r="H17391" t="str">
        <f>VLOOKUP(B17391,indexy!$A$44:$D$823,3,FALSE)</f>
        <v>7203 JT Equity</v>
      </c>
      <c r="K17391" s="434"/>
    </row>
    <row r="17392" spans="1:11" ht="12.75" hidden="1" customHeight="1" outlineLevel="1" x14ac:dyDescent="0.25">
      <c r="A17392" s="1911">
        <v>0.02</v>
      </c>
      <c r="B17392" s="2036" t="s">
        <v>9664</v>
      </c>
      <c r="C17392" s="2037">
        <v>123.39443937025943</v>
      </c>
      <c r="D17392" s="2045">
        <f>VLOOKUP(H17392,indexy!$C$44:$D$823,2,FALSE)</f>
        <v>122.84</v>
      </c>
      <c r="E17392" s="2046">
        <f t="shared" si="264"/>
        <v>-4.493228163999885E-3</v>
      </c>
      <c r="F17392" s="2047">
        <f>$E17392*$A17392</f>
        <v>-8.9864563279997697E-5</v>
      </c>
      <c r="G17392" s="78"/>
      <c r="H17392" t="str">
        <f>VLOOKUP(B17392,indexy!$A$44:$D$823,3,FALSE)</f>
        <v>VOW3 GY Equity</v>
      </c>
      <c r="K17392" s="434"/>
    </row>
    <row r="17393" spans="1:7" ht="12.75" hidden="1" customHeight="1" outlineLevel="1" x14ac:dyDescent="0.25">
      <c r="A17393" s="2048" t="s">
        <v>2734</v>
      </c>
      <c r="B17393" s="2049"/>
      <c r="C17393" s="2050"/>
      <c r="D17393" s="2051"/>
      <c r="E17393" s="2052"/>
      <c r="F17393" s="2044">
        <f>SUM(F17363:F17392)</f>
        <v>0.55703185311659731</v>
      </c>
      <c r="G17393" s="78"/>
    </row>
    <row r="17394" spans="1:7" ht="12.75" hidden="1" customHeight="1" outlineLevel="1" x14ac:dyDescent="0.25">
      <c r="A17394" s="2053" t="s">
        <v>9814</v>
      </c>
      <c r="B17394" s="2054">
        <v>45047</v>
      </c>
      <c r="C17394" s="2055">
        <v>100</v>
      </c>
      <c r="D17394" s="2055">
        <v>128.78540000000001</v>
      </c>
      <c r="E17394" s="2056">
        <f>IF(D17394="",F17393,D17394/C17394-1)</f>
        <v>0.28785400000000005</v>
      </c>
      <c r="F17394" s="2057"/>
      <c r="G17394" s="78"/>
    </row>
    <row r="17395" spans="1:7" ht="12.75" hidden="1" customHeight="1" outlineLevel="1" x14ac:dyDescent="0.25">
      <c r="A17395" s="2053" t="s">
        <v>9815</v>
      </c>
      <c r="B17395" s="2054">
        <v>45078</v>
      </c>
      <c r="C17395" s="2055">
        <v>100</v>
      </c>
      <c r="D17395" s="2058">
        <v>132.828</v>
      </c>
      <c r="E17395" s="2056">
        <f>IF(D17395="",E17394,D17395/C17395-1)</f>
        <v>0.32828000000000013</v>
      </c>
      <c r="F17395" s="2057"/>
      <c r="G17395" s="78"/>
    </row>
    <row r="17396" spans="1:7" ht="12.75" hidden="1" customHeight="1" outlineLevel="1" x14ac:dyDescent="0.25">
      <c r="A17396" s="2053" t="s">
        <v>9816</v>
      </c>
      <c r="B17396" s="2054">
        <v>45108</v>
      </c>
      <c r="C17396" s="2055">
        <v>100</v>
      </c>
      <c r="D17396" s="2058">
        <v>128.8708</v>
      </c>
      <c r="E17396" s="2056">
        <f>IF(D17396="",E17395,D17396/C17396-1)</f>
        <v>0.28870799999999996</v>
      </c>
      <c r="F17396" s="2057"/>
      <c r="G17396" s="78"/>
    </row>
    <row r="17397" spans="1:7" ht="12.75" hidden="1" customHeight="1" outlineLevel="1" x14ac:dyDescent="0.25">
      <c r="A17397" s="2053" t="s">
        <v>9817</v>
      </c>
      <c r="B17397" s="2054">
        <v>45139</v>
      </c>
      <c r="C17397" s="2055">
        <v>100</v>
      </c>
      <c r="D17397" s="2058">
        <v>129.1592</v>
      </c>
      <c r="E17397" s="2056">
        <f>IF(D17397="",E17396,D17397/C17397-1)</f>
        <v>0.29159200000000007</v>
      </c>
      <c r="F17397" s="2057"/>
      <c r="G17397" s="78"/>
    </row>
    <row r="17398" spans="1:7" ht="12.75" hidden="1" customHeight="1" outlineLevel="1" x14ac:dyDescent="0.25">
      <c r="A17398" s="2053" t="s">
        <v>9818</v>
      </c>
      <c r="B17398" s="2054">
        <v>45170</v>
      </c>
      <c r="C17398" s="2055">
        <v>100</v>
      </c>
      <c r="D17398" s="2058">
        <v>121.2907</v>
      </c>
      <c r="E17398" s="2056">
        <f t="shared" ref="E17398:E17411" si="266">IF(D17398="",E17397,D17398/C17398-1)</f>
        <v>0.21290699999999996</v>
      </c>
      <c r="F17398" s="2057"/>
      <c r="G17398" s="78"/>
    </row>
    <row r="17399" spans="1:7" ht="12.75" hidden="1" customHeight="1" outlineLevel="1" x14ac:dyDescent="0.25">
      <c r="A17399" s="2053" t="s">
        <v>9819</v>
      </c>
      <c r="B17399" s="2054">
        <v>45200</v>
      </c>
      <c r="C17399" s="2055">
        <v>100</v>
      </c>
      <c r="D17399" s="2058">
        <v>132.37909999999999</v>
      </c>
      <c r="E17399" s="2056">
        <f t="shared" si="266"/>
        <v>0.32379099999999994</v>
      </c>
      <c r="F17399" s="2057"/>
      <c r="G17399" s="78"/>
    </row>
    <row r="17400" spans="1:7" ht="12.75" hidden="1" customHeight="1" outlineLevel="1" x14ac:dyDescent="0.25">
      <c r="A17400" s="2053" t="s">
        <v>9820</v>
      </c>
      <c r="B17400" s="2054">
        <v>45231</v>
      </c>
      <c r="C17400" s="2055">
        <v>100</v>
      </c>
      <c r="D17400" s="2058">
        <v>135.09119999999999</v>
      </c>
      <c r="E17400" s="2056">
        <f t="shared" si="266"/>
        <v>0.35091199999999989</v>
      </c>
      <c r="F17400" s="2057"/>
      <c r="G17400" s="78"/>
    </row>
    <row r="17401" spans="1:7" ht="12.75" hidden="1" customHeight="1" outlineLevel="1" x14ac:dyDescent="0.25">
      <c r="A17401" s="2053" t="s">
        <v>9821</v>
      </c>
      <c r="B17401" s="2054">
        <v>45261</v>
      </c>
      <c r="C17401" s="2055">
        <v>100</v>
      </c>
      <c r="D17401" s="2058"/>
      <c r="E17401" s="2056">
        <f t="shared" si="266"/>
        <v>0.35091199999999989</v>
      </c>
      <c r="F17401" s="2057"/>
      <c r="G17401" s="78"/>
    </row>
    <row r="17402" spans="1:7" ht="12.75" hidden="1" customHeight="1" outlineLevel="1" x14ac:dyDescent="0.25">
      <c r="A17402" s="2053" t="s">
        <v>9822</v>
      </c>
      <c r="B17402" s="2054">
        <v>45292</v>
      </c>
      <c r="C17402" s="2055">
        <v>100</v>
      </c>
      <c r="D17402" s="2058"/>
      <c r="E17402" s="2056">
        <f t="shared" si="266"/>
        <v>0.35091199999999989</v>
      </c>
      <c r="F17402" s="2057"/>
      <c r="G17402" s="78"/>
    </row>
    <row r="17403" spans="1:7" ht="12.75" hidden="1" customHeight="1" outlineLevel="1" x14ac:dyDescent="0.25">
      <c r="A17403" s="2053" t="s">
        <v>9823</v>
      </c>
      <c r="B17403" s="2054">
        <v>45323</v>
      </c>
      <c r="C17403" s="2055">
        <v>100</v>
      </c>
      <c r="D17403" s="2058"/>
      <c r="E17403" s="2056">
        <f t="shared" si="266"/>
        <v>0.35091199999999989</v>
      </c>
      <c r="F17403" s="2057"/>
      <c r="G17403" s="78"/>
    </row>
    <row r="17404" spans="1:7" ht="12.75" hidden="1" customHeight="1" outlineLevel="1" x14ac:dyDescent="0.25">
      <c r="A17404" s="2053" t="s">
        <v>9824</v>
      </c>
      <c r="B17404" s="2054">
        <v>45352</v>
      </c>
      <c r="C17404" s="2055">
        <v>100</v>
      </c>
      <c r="D17404" s="2058"/>
      <c r="E17404" s="2056">
        <f t="shared" si="266"/>
        <v>0.35091199999999989</v>
      </c>
      <c r="F17404" s="2057"/>
      <c r="G17404" s="78"/>
    </row>
    <row r="17405" spans="1:7" ht="12.75" hidden="1" customHeight="1" outlineLevel="1" x14ac:dyDescent="0.25">
      <c r="A17405" s="2053" t="s">
        <v>9825</v>
      </c>
      <c r="B17405" s="2054">
        <v>45383</v>
      </c>
      <c r="C17405" s="2055">
        <v>100</v>
      </c>
      <c r="D17405" s="2058"/>
      <c r="E17405" s="2056">
        <f t="shared" si="266"/>
        <v>0.35091199999999989</v>
      </c>
      <c r="F17405" s="2057"/>
      <c r="G17405" s="78"/>
    </row>
    <row r="17406" spans="1:7" ht="12.75" hidden="1" customHeight="1" outlineLevel="1" x14ac:dyDescent="0.25">
      <c r="A17406" s="2053" t="s">
        <v>9826</v>
      </c>
      <c r="B17406" s="2054">
        <v>45413</v>
      </c>
      <c r="C17406" s="2055">
        <v>100</v>
      </c>
      <c r="D17406" s="2058"/>
      <c r="E17406" s="2056">
        <f t="shared" si="266"/>
        <v>0.35091199999999989</v>
      </c>
      <c r="F17406" s="2057"/>
      <c r="G17406" s="78"/>
    </row>
    <row r="17407" spans="1:7" ht="12.75" hidden="1" customHeight="1" outlineLevel="1" x14ac:dyDescent="0.25">
      <c r="A17407" s="2053" t="s">
        <v>9827</v>
      </c>
      <c r="B17407" s="2054">
        <v>45444</v>
      </c>
      <c r="C17407" s="2055">
        <v>100</v>
      </c>
      <c r="D17407" s="2058"/>
      <c r="E17407" s="2056">
        <f t="shared" si="266"/>
        <v>0.35091199999999989</v>
      </c>
      <c r="F17407" s="2057"/>
      <c r="G17407" s="78"/>
    </row>
    <row r="17408" spans="1:7" ht="12.75" hidden="1" customHeight="1" outlineLevel="1" x14ac:dyDescent="0.25">
      <c r="A17408" s="2053" t="s">
        <v>9828</v>
      </c>
      <c r="B17408" s="2054">
        <v>45474</v>
      </c>
      <c r="C17408" s="2055">
        <v>100</v>
      </c>
      <c r="D17408" s="2058"/>
      <c r="E17408" s="2056">
        <f t="shared" si="266"/>
        <v>0.35091199999999989</v>
      </c>
      <c r="F17408" s="2057"/>
      <c r="G17408" s="78"/>
    </row>
    <row r="17409" spans="1:19" ht="12.75" hidden="1" customHeight="1" outlineLevel="1" x14ac:dyDescent="0.25">
      <c r="A17409" s="2053" t="s">
        <v>9829</v>
      </c>
      <c r="B17409" s="2054">
        <v>45505</v>
      </c>
      <c r="C17409" s="2055">
        <v>100</v>
      </c>
      <c r="D17409" s="2058"/>
      <c r="E17409" s="2056">
        <f t="shared" si="266"/>
        <v>0.35091199999999989</v>
      </c>
      <c r="F17409" s="2057"/>
      <c r="G17409" s="78"/>
    </row>
    <row r="17410" spans="1:19" ht="12.75" hidden="1" customHeight="1" outlineLevel="1" x14ac:dyDescent="0.25">
      <c r="A17410" s="2053" t="s">
        <v>9830</v>
      </c>
      <c r="B17410" s="2054">
        <v>45536</v>
      </c>
      <c r="C17410" s="2055">
        <v>100</v>
      </c>
      <c r="D17410" s="2058"/>
      <c r="E17410" s="2056">
        <f t="shared" si="266"/>
        <v>0.35091199999999989</v>
      </c>
      <c r="F17410" s="2057"/>
      <c r="G17410" s="78"/>
    </row>
    <row r="17411" spans="1:19" ht="12.75" hidden="1" customHeight="1" outlineLevel="1" x14ac:dyDescent="0.25">
      <c r="A17411" s="2053" t="s">
        <v>9831</v>
      </c>
      <c r="B17411" s="2054">
        <v>45566</v>
      </c>
      <c r="C17411" s="2055">
        <v>100</v>
      </c>
      <c r="D17411" s="2058"/>
      <c r="E17411" s="2056">
        <f t="shared" si="266"/>
        <v>0.35091199999999989</v>
      </c>
      <c r="F17411" s="2057"/>
      <c r="G17411" s="78"/>
    </row>
    <row r="17412" spans="1:19" ht="12.75" hidden="1" customHeight="1" outlineLevel="1" x14ac:dyDescent="0.25">
      <c r="A17412" s="1531" t="s">
        <v>2734</v>
      </c>
      <c r="B17412" s="1532"/>
      <c r="C17412" s="1530"/>
      <c r="D17412" s="1533" t="s">
        <v>2465</v>
      </c>
      <c r="E17412" s="1534">
        <f>AVERAGE(E17394:E17411)</f>
        <v>0.33022644444444449</v>
      </c>
      <c r="F17412" s="1840">
        <f>E17412</f>
        <v>0.33022644444444449</v>
      </c>
      <c r="G17412" s="78"/>
    </row>
    <row r="17413" spans="1:19" collapsed="1" x14ac:dyDescent="0.25">
      <c r="A17413" s="3799" t="s">
        <v>9608</v>
      </c>
      <c r="B17413" s="3800"/>
      <c r="C17413" s="3800"/>
      <c r="D17413" s="3800"/>
      <c r="E17413" s="18"/>
      <c r="F17413" s="186">
        <f>IF(F17412&lt;0,0%,MIN(F17412*0.6,70%))</f>
        <v>0.19813586666666669</v>
      </c>
      <c r="G17413" s="78"/>
    </row>
    <row r="17415" spans="1:19" hidden="1" outlineLevel="1" x14ac:dyDescent="0.25">
      <c r="A17415" s="2835" t="s">
        <v>113</v>
      </c>
      <c r="B17415" s="2835" t="s">
        <v>114</v>
      </c>
      <c r="C17415" s="2835" t="s">
        <v>112</v>
      </c>
      <c r="D17415" s="2878" t="s">
        <v>10316</v>
      </c>
      <c r="E17415" s="2878" t="s">
        <v>10342</v>
      </c>
      <c r="F17415" s="2835" t="s">
        <v>116</v>
      </c>
      <c r="G17415" s="2836" t="s">
        <v>8050</v>
      </c>
      <c r="H17415" s="2875" t="s">
        <v>10317</v>
      </c>
      <c r="K17415" s="31"/>
    </row>
    <row r="17416" spans="1:19" hidden="1" outlineLevel="1" x14ac:dyDescent="0.25">
      <c r="A17416" s="1956" t="s">
        <v>1327</v>
      </c>
      <c r="B17416" s="2664" t="s">
        <v>8334</v>
      </c>
      <c r="C17416" s="2874">
        <v>3348.027</v>
      </c>
      <c r="D17416" s="2874">
        <v>3180.62565</v>
      </c>
      <c r="E17416" s="2874">
        <v>3345.402</v>
      </c>
      <c r="F17416" s="2318"/>
      <c r="G17416" s="2873">
        <v>-7.8404385627717232E-4</v>
      </c>
      <c r="H17416" s="2873">
        <v>5.1806269624971479E-2</v>
      </c>
      <c r="I17416" s="367"/>
      <c r="J17416" s="367"/>
    </row>
    <row r="17417" spans="1:19" hidden="1" outlineLevel="1" x14ac:dyDescent="0.25">
      <c r="A17417" s="1956" t="s">
        <v>6006</v>
      </c>
      <c r="B17417" s="2664" t="s">
        <v>8334</v>
      </c>
      <c r="C17417" s="2874"/>
      <c r="D17417" s="2874"/>
      <c r="E17417" s="2874"/>
      <c r="F17417" s="2318"/>
      <c r="G17417" s="2873"/>
      <c r="H17417" s="2876"/>
    </row>
    <row r="17418" spans="1:19" hidden="1" outlineLevel="1" x14ac:dyDescent="0.25">
      <c r="A17418" s="1956" t="s">
        <v>2734</v>
      </c>
      <c r="B17418" s="2664"/>
      <c r="C17418" s="2665"/>
      <c r="D17418" s="2665"/>
      <c r="E17418" s="2665"/>
      <c r="F17418" s="2318"/>
      <c r="G17418" s="2873">
        <v>-7.8404385627717232E-4</v>
      </c>
      <c r="H17418" s="2876"/>
    </row>
    <row r="17419" spans="1:19" collapsed="1" x14ac:dyDescent="0.25">
      <c r="A17419" s="3911" t="s">
        <v>9610</v>
      </c>
      <c r="B17419" s="3911"/>
      <c r="C17419" s="3911"/>
      <c r="D17419" s="3911"/>
      <c r="E17419" s="2879"/>
      <c r="F17419" s="1908">
        <v>7.4999999999999997E-2</v>
      </c>
    </row>
    <row r="17420" spans="1:19" x14ac:dyDescent="0.25">
      <c r="A17420" s="417"/>
      <c r="B17420" s="417"/>
      <c r="C17420" s="417"/>
      <c r="D17420" s="417"/>
      <c r="E17420" s="417"/>
      <c r="F17420" s="465"/>
      <c r="G17420" s="417"/>
      <c r="H17420" s="417"/>
    </row>
    <row r="17421" spans="1:19" ht="12.75" hidden="1" customHeight="1" outlineLevel="1" x14ac:dyDescent="0.25">
      <c r="A17421" s="2877" t="s">
        <v>4156</v>
      </c>
      <c r="B17421" s="2877" t="s">
        <v>4153</v>
      </c>
      <c r="C17421" s="1308" t="s">
        <v>112</v>
      </c>
      <c r="D17421" s="508" t="s">
        <v>4155</v>
      </c>
      <c r="E17421" s="2877" t="s">
        <v>4154</v>
      </c>
      <c r="F17421" s="508" t="s">
        <v>2519</v>
      </c>
      <c r="G17421" s="12"/>
      <c r="H17421" s="415"/>
      <c r="I17421" s="412" t="s">
        <v>6964</v>
      </c>
      <c r="J17421" s="1462">
        <v>43586</v>
      </c>
      <c r="K17421" s="1462">
        <v>43617</v>
      </c>
      <c r="L17421" s="1462">
        <v>43647</v>
      </c>
      <c r="M17421" s="1462">
        <v>43678</v>
      </c>
      <c r="N17421" s="1462">
        <v>43709</v>
      </c>
      <c r="O17421" s="1462">
        <v>43739</v>
      </c>
      <c r="P17421" s="1462"/>
      <c r="Q17421" s="1462"/>
      <c r="R17421" s="1462"/>
    </row>
    <row r="17422" spans="1:19" ht="12.75" hidden="1" customHeight="1" outlineLevel="1" x14ac:dyDescent="0.25">
      <c r="A17422" s="2034">
        <v>0.04</v>
      </c>
      <c r="B17422" s="2035" t="s">
        <v>2697</v>
      </c>
      <c r="C17422" s="2037">
        <v>16.872</v>
      </c>
      <c r="D17422" s="2060">
        <f>VLOOKUP(H17422,indexy!$C$44:$D$823,2,FALSE)</f>
        <v>23.46</v>
      </c>
      <c r="E17422" s="2061">
        <f>D17422/C17422-1</f>
        <v>0.3904694167852063</v>
      </c>
      <c r="F17422" s="2062">
        <f>E17422*A17422</f>
        <v>1.5618776671408253E-2</v>
      </c>
      <c r="G17422" s="415"/>
      <c r="H17422" s="415" t="str">
        <f>VLOOKUP(B17422,indexy!$A$44:$D$823,3,FALSE)</f>
        <v>G IM Equity</v>
      </c>
      <c r="I17422" s="412">
        <f>IF(J17422="",100,MIN(100,J17422:Y17422))</f>
        <v>94.238900000000001</v>
      </c>
      <c r="J17422">
        <v>99.864500000000007</v>
      </c>
      <c r="K17422">
        <v>94.238900000000001</v>
      </c>
      <c r="L17422">
        <v>97.747399999999999</v>
      </c>
      <c r="M17422">
        <v>97.301000000000002</v>
      </c>
      <c r="N17422">
        <v>95.772999999999996</v>
      </c>
      <c r="O17422">
        <v>101.1377</v>
      </c>
      <c r="S17422" s="434"/>
    </row>
    <row r="17423" spans="1:19" ht="12.75" hidden="1" customHeight="1" outlineLevel="1" x14ac:dyDescent="0.25">
      <c r="A17423" s="1911">
        <v>0.05</v>
      </c>
      <c r="B17423" s="2035" t="s">
        <v>218</v>
      </c>
      <c r="C17423" s="2037">
        <v>23.434999999999999</v>
      </c>
      <c r="D17423" s="2063">
        <f>VLOOKUP(H17423,indexy!$C$44:$D$823,2,FALSE)</f>
        <v>34.814999999999998</v>
      </c>
      <c r="E17423" s="2064">
        <f>D17423/C17423-1</f>
        <v>0.48559846383614258</v>
      </c>
      <c r="F17423" s="2065">
        <f t="shared" ref="F17423:F17446" si="267">E17423*A17423</f>
        <v>2.4279923191807131E-2</v>
      </c>
      <c r="G17423" s="415"/>
      <c r="H17423" s="415" t="str">
        <f>VLOOKUP(B17423,indexy!$A$44:$D$823,3,FALSE)</f>
        <v>CS FP Equity</v>
      </c>
      <c r="I17423" s="422">
        <f>+(((E17471*100)+100)-I17422)/100</f>
        <v>0.16977777777777775</v>
      </c>
      <c r="S17423" s="434"/>
    </row>
    <row r="17424" spans="1:19" ht="12.75" hidden="1" customHeight="1" outlineLevel="1" x14ac:dyDescent="0.25">
      <c r="A17424" s="1911">
        <v>0.02</v>
      </c>
      <c r="B17424" s="2035" t="s">
        <v>1184</v>
      </c>
      <c r="C17424" s="2037">
        <v>71.581999999999994</v>
      </c>
      <c r="D17424" s="2063">
        <f>VLOOKUP(H17424,indexy!$C$44:$D$823,2,FALSE)</f>
        <v>52.93</v>
      </c>
      <c r="E17424" s="2064">
        <f t="shared" ref="E17424:E17451" si="268">D17424/C17424-1</f>
        <v>-0.26056829929311831</v>
      </c>
      <c r="F17424" s="2065">
        <f t="shared" si="267"/>
        <v>-5.2113659858623665E-3</v>
      </c>
      <c r="G17424" s="415"/>
      <c r="H17424" s="415" t="str">
        <f>VLOOKUP(B17424,indexy!$A$44:$D$823,3,FALSE)</f>
        <v>BAS GY Equity</v>
      </c>
      <c r="J17424" s="434"/>
      <c r="S17424" s="434"/>
    </row>
    <row r="17425" spans="1:19" ht="12.75" hidden="1" customHeight="1" outlineLevel="1" x14ac:dyDescent="0.25">
      <c r="A17425" s="1911">
        <v>0.03</v>
      </c>
      <c r="B17425" s="2035" t="s">
        <v>807</v>
      </c>
      <c r="C17425" s="2037">
        <v>60.238</v>
      </c>
      <c r="D17425" s="2063">
        <f>VLOOKUP(H17425,indexy!$C$44:$D$823,2,FALSE)</f>
        <v>46.03</v>
      </c>
      <c r="E17425" s="2064">
        <f t="shared" si="268"/>
        <v>-0.23586440452870283</v>
      </c>
      <c r="F17425" s="2065">
        <f t="shared" si="267"/>
        <v>-7.0759321358610846E-3</v>
      </c>
      <c r="G17425" s="415"/>
      <c r="H17425" s="415" t="str">
        <f>VLOOKUP(B17425,indexy!$A$44:$D$823,3,FALSE)</f>
        <v>BCE CT Equity</v>
      </c>
      <c r="J17425" s="434"/>
      <c r="K17425" s="37"/>
      <c r="S17425" s="434"/>
    </row>
    <row r="17426" spans="1:19" ht="12.75" hidden="1" customHeight="1" outlineLevel="1" x14ac:dyDescent="0.25">
      <c r="A17426" s="1911">
        <v>0.02</v>
      </c>
      <c r="B17426" s="2035" t="s">
        <v>1141</v>
      </c>
      <c r="C17426" s="2037">
        <v>75.331000000000003</v>
      </c>
      <c r="D17426" s="2063">
        <f>VLOOKUP(H17426,indexy!$C$44:$D$823,2,FALSE)</f>
        <v>106.96</v>
      </c>
      <c r="E17426" s="2064">
        <f t="shared" si="268"/>
        <v>0.41986698703057157</v>
      </c>
      <c r="F17426" s="2065">
        <f t="shared" si="267"/>
        <v>8.3973397406114317E-3</v>
      </c>
      <c r="G17426" s="415"/>
      <c r="H17426" s="415" t="str">
        <f>VLOOKUP(B17426,indexy!$A$44:$D$823,3,FALSE)</f>
        <v>BMW GY Equity</v>
      </c>
      <c r="J17426" s="434"/>
      <c r="S17426" s="434"/>
    </row>
    <row r="17427" spans="1:19" ht="12.75" hidden="1" customHeight="1" outlineLevel="1" x14ac:dyDescent="0.25">
      <c r="A17427" s="1911">
        <v>0.02</v>
      </c>
      <c r="B17427" s="2035" t="s">
        <v>3019</v>
      </c>
      <c r="C17427" s="2037">
        <v>46.439500000000002</v>
      </c>
      <c r="D17427" s="2063">
        <f>VLOOKUP(H17427,indexy!$C$44:$D$823,2,FALSE)</f>
        <v>65.86</v>
      </c>
      <c r="E17427" s="2064">
        <f t="shared" si="268"/>
        <v>0.41818925699027765</v>
      </c>
      <c r="F17427" s="2065">
        <f t="shared" si="267"/>
        <v>8.3637851398055529E-3</v>
      </c>
      <c r="G17427" s="415"/>
      <c r="H17427" s="415" t="str">
        <f>VLOOKUP(B17427,indexy!$A$44:$D$823,3,FALSE)</f>
        <v>BNP FP Equity</v>
      </c>
      <c r="J17427" s="434"/>
      <c r="S17427" s="434"/>
    </row>
    <row r="17428" spans="1:19" ht="12.75" hidden="1" customHeight="1" outlineLevel="1" x14ac:dyDescent="0.25">
      <c r="A17428" s="1911">
        <v>0.02</v>
      </c>
      <c r="B17428" s="2035" t="s">
        <v>8918</v>
      </c>
      <c r="C17428" s="2037">
        <v>2.2673999999999999</v>
      </c>
      <c r="D17428" s="2063">
        <f>VLOOKUP(H17428,indexy!$C$44:$D$823,2,FALSE)/100</f>
        <v>1.0965</v>
      </c>
      <c r="E17428" s="2064">
        <f t="shared" si="268"/>
        <v>-0.51640645673458585</v>
      </c>
      <c r="F17428" s="2065">
        <f t="shared" si="267"/>
        <v>-1.0328129134691718E-2</v>
      </c>
      <c r="G17428" s="415"/>
      <c r="H17428" s="415" t="str">
        <f>VLOOKUP(B17428,indexy!$A$44:$D$823,3,FALSE)</f>
        <v>BT/A LN Equity</v>
      </c>
      <c r="J17428" s="434"/>
      <c r="S17428" s="434"/>
    </row>
    <row r="17429" spans="1:19" ht="12.75" hidden="1" customHeight="1" outlineLevel="1" x14ac:dyDescent="0.25">
      <c r="A17429" s="1911">
        <v>0.02</v>
      </c>
      <c r="B17429" s="2035" t="s">
        <v>8678</v>
      </c>
      <c r="C17429" s="2037">
        <v>71.933999999999997</v>
      </c>
      <c r="D17429" s="2063">
        <f>VLOOKUP(H17429,indexy!$C$44:$D$823,2,FALSE)</f>
        <v>120.34</v>
      </c>
      <c r="E17429" s="2064">
        <f t="shared" si="268"/>
        <v>0.67292240108988799</v>
      </c>
      <c r="F17429" s="2065">
        <f t="shared" si="267"/>
        <v>1.3458448021797759E-2</v>
      </c>
      <c r="G17429" s="415"/>
      <c r="H17429" s="415" t="str">
        <f>VLOOKUP(B17429,indexy!$A$44:$D$823,3,FALSE)</f>
        <v>CBA AT Equity</v>
      </c>
      <c r="J17429" s="434"/>
      <c r="S17429" s="434"/>
    </row>
    <row r="17430" spans="1:19" ht="12.75" hidden="1" customHeight="1" outlineLevel="1" x14ac:dyDescent="0.25">
      <c r="A17430" s="1911">
        <v>0.08</v>
      </c>
      <c r="B17430" s="2035" t="s">
        <v>3798</v>
      </c>
      <c r="C17430" s="2037">
        <v>5.5888</v>
      </c>
      <c r="D17430" s="2063">
        <f>VLOOKUP(H17430,indexy!$C$44:$D$823,2,FALSE)</f>
        <v>6.1189999999999998</v>
      </c>
      <c r="E17430" s="2064">
        <f t="shared" si="268"/>
        <v>9.4868308044660621E-2</v>
      </c>
      <c r="F17430" s="2065">
        <f t="shared" si="267"/>
        <v>7.5894646435728502E-3</v>
      </c>
      <c r="G17430" s="415"/>
      <c r="H17430" s="415" t="str">
        <f>VLOOKUP(B17430,indexy!$A$44:$D$823,3,FALSE)</f>
        <v>ENEL IM Equity</v>
      </c>
      <c r="J17430" s="434"/>
      <c r="S17430" s="434"/>
    </row>
    <row r="17431" spans="1:19" ht="12.75" hidden="1" customHeight="1" outlineLevel="1" x14ac:dyDescent="0.25">
      <c r="A17431" s="1911">
        <v>0.02</v>
      </c>
      <c r="B17431" s="2035" t="s">
        <v>4338</v>
      </c>
      <c r="C17431" s="2037">
        <v>13.005700777116502</v>
      </c>
      <c r="D17431" s="2063">
        <f>VLOOKUP(H17431,indexy!$C$44:$D$823,2,FALSE)</f>
        <v>15.51</v>
      </c>
      <c r="E17431" s="2064">
        <f t="shared" si="268"/>
        <v>0.19255396274299996</v>
      </c>
      <c r="F17431" s="2065">
        <f t="shared" si="267"/>
        <v>3.8510792548599993E-3</v>
      </c>
      <c r="G17431" s="415"/>
      <c r="H17431" s="415" t="str">
        <f>VLOOKUP(B17431,indexy!$A$44:$D$823,3,FALSE)</f>
        <v>ENGI FP Equity</v>
      </c>
      <c r="J17431" s="434"/>
      <c r="S17431" s="434"/>
    </row>
    <row r="17432" spans="1:19" ht="12.75" hidden="1" customHeight="1" outlineLevel="1" x14ac:dyDescent="0.25">
      <c r="A17432" s="1911">
        <v>0.03</v>
      </c>
      <c r="B17432" s="2035" t="s">
        <v>3021</v>
      </c>
      <c r="C17432" s="2037">
        <v>15.713800000000001</v>
      </c>
      <c r="D17432" s="2063">
        <f>VLOOKUP(H17432,indexy!$C$44:$D$823,2,FALSE)</f>
        <v>14.648</v>
      </c>
      <c r="E17432" s="2064">
        <f t="shared" si="268"/>
        <v>-6.7825732795377403E-2</v>
      </c>
      <c r="F17432" s="2065">
        <f t="shared" si="267"/>
        <v>-2.0347719838613222E-3</v>
      </c>
      <c r="G17432" s="415"/>
      <c r="H17432" s="415" t="str">
        <f>VLOOKUP(B17432,indexy!$A$44:$D$823,3,FALSE)</f>
        <v>ENI IM Equity</v>
      </c>
      <c r="J17432" s="434"/>
      <c r="S17432" s="434"/>
    </row>
    <row r="17433" spans="1:19" ht="12.75" hidden="1" customHeight="1" outlineLevel="1" x14ac:dyDescent="0.25">
      <c r="A17433" s="1911">
        <v>0.02</v>
      </c>
      <c r="B17433" s="2035" t="s">
        <v>3799</v>
      </c>
      <c r="C17433" s="2037">
        <v>15.950538032343655</v>
      </c>
      <c r="D17433" s="2063">
        <f>VLOOKUP(H17433,indexy!$C$44:$D$823,2,FALSE)/100</f>
        <v>17.085999999999999</v>
      </c>
      <c r="E17433" s="2064">
        <f t="shared" si="268"/>
        <v>7.1186436805699804E-2</v>
      </c>
      <c r="F17433" s="2065">
        <f t="shared" si="267"/>
        <v>1.4237287361139961E-3</v>
      </c>
      <c r="G17433" s="415"/>
      <c r="H17433" s="415" t="str">
        <f>VLOOKUP(B17433,indexy!$A$44:$D$823,3,FALSE)</f>
        <v>GSK LN Equity</v>
      </c>
      <c r="J17433" s="434"/>
      <c r="S17433" s="434"/>
    </row>
    <row r="17434" spans="1:19" ht="12.75" hidden="1" customHeight="1" outlineLevel="1" x14ac:dyDescent="0.25">
      <c r="A17434" s="1911">
        <v>0.02</v>
      </c>
      <c r="B17434" s="2035" t="s">
        <v>1771</v>
      </c>
      <c r="C17434" s="2038">
        <v>6.5884</v>
      </c>
      <c r="D17434" s="2063">
        <f>VLOOKUP(H17434,indexy!$C$44:$D$823,2,FALSE)/100</f>
        <v>6.19</v>
      </c>
      <c r="E17434" s="2064">
        <f t="shared" si="268"/>
        <v>-6.0469916823507885E-2</v>
      </c>
      <c r="F17434" s="2065">
        <f t="shared" si="267"/>
        <v>-1.2093983364701577E-3</v>
      </c>
      <c r="G17434" s="415"/>
      <c r="H17434" s="415" t="str">
        <f>VLOOKUP(B17434,indexy!$A$44:$D$823,3,FALSE)</f>
        <v>HSBA LN Equity</v>
      </c>
      <c r="J17434" s="434"/>
      <c r="S17434" s="434"/>
    </row>
    <row r="17435" spans="1:19" ht="12.75" hidden="1" customHeight="1" outlineLevel="1" x14ac:dyDescent="0.25">
      <c r="A17435" s="1911">
        <v>0.04</v>
      </c>
      <c r="B17435" s="2035" t="s">
        <v>1343</v>
      </c>
      <c r="C17435" s="2037">
        <v>25.164999999999999</v>
      </c>
      <c r="D17435" s="2063">
        <f>VLOOKUP(H17435,indexy!$C$44:$D$823,2,FALSE)/100</f>
        <v>17.7</v>
      </c>
      <c r="E17435" s="2064">
        <f t="shared" si="268"/>
        <v>-0.29664216173256508</v>
      </c>
      <c r="F17435" s="2065">
        <f t="shared" si="267"/>
        <v>-1.1865686469302604E-2</v>
      </c>
      <c r="G17435" s="415"/>
      <c r="H17435" s="415" t="str">
        <f>VLOOKUP(B17435,indexy!$A$44:$D$823,3,FALSE)</f>
        <v>IMB LN Equity</v>
      </c>
      <c r="J17435" s="434"/>
      <c r="S17435" s="434"/>
    </row>
    <row r="17436" spans="1:19" ht="12.75" hidden="1" customHeight="1" outlineLevel="1" x14ac:dyDescent="0.25">
      <c r="A17436" s="1911">
        <v>0.02</v>
      </c>
      <c r="B17436" s="2035" t="s">
        <v>8336</v>
      </c>
      <c r="C17436" s="2037">
        <v>24.876000000000001</v>
      </c>
      <c r="D17436" s="2063">
        <f>VLOOKUP(H17436,indexy!$C$44:$D$823,2,FALSE)</f>
        <v>34.64</v>
      </c>
      <c r="E17436" s="2064">
        <f t="shared" si="268"/>
        <v>0.39250683389612484</v>
      </c>
      <c r="F17436" s="2065">
        <f t="shared" si="267"/>
        <v>7.8501366779224965E-3</v>
      </c>
      <c r="G17436" s="415"/>
      <c r="H17436" s="415" t="str">
        <f>VLOOKUP(B17436,indexy!$A$44:$D$823,3,FALSE)</f>
        <v>NAB AT Equity</v>
      </c>
      <c r="J17436" s="434"/>
      <c r="S17436" s="434"/>
    </row>
    <row r="17437" spans="1:19" ht="12.75" hidden="1" customHeight="1" outlineLevel="1" x14ac:dyDescent="0.25">
      <c r="A17437" s="1911">
        <v>0.05</v>
      </c>
      <c r="B17437" s="2035" t="s">
        <v>2786</v>
      </c>
      <c r="C17437" s="2037">
        <v>8.2384000000000004</v>
      </c>
      <c r="D17437" s="2063">
        <f>VLOOKUP(H17437,indexy!$C$44:$D$823,2,FALSE)/100</f>
        <v>10.66</v>
      </c>
      <c r="E17437" s="2064">
        <f t="shared" si="268"/>
        <v>0.2939405709846572</v>
      </c>
      <c r="F17437" s="2065">
        <f t="shared" si="267"/>
        <v>1.4697028549232861E-2</v>
      </c>
      <c r="G17437" s="415"/>
      <c r="H17437" s="415" t="str">
        <f>VLOOKUP(B17437,indexy!$A$44:$D$823,3,FALSE)</f>
        <v>NG/ LN Equity</v>
      </c>
      <c r="J17437" s="434"/>
      <c r="S17437" s="434"/>
    </row>
    <row r="17438" spans="1:19" ht="12.75" hidden="1" customHeight="1" outlineLevel="1" x14ac:dyDescent="0.25">
      <c r="A17438" s="1911">
        <v>0.03</v>
      </c>
      <c r="B17438" s="2035" t="s">
        <v>9767</v>
      </c>
      <c r="C17438" s="2037">
        <v>25.106000000000002</v>
      </c>
      <c r="D17438" s="2063">
        <f>VLOOKUP(H17438,indexy!$C$44:$D$823,2,FALSE)</f>
        <v>20.100000000000001</v>
      </c>
      <c r="E17438" s="2064">
        <f t="shared" si="268"/>
        <v>-0.1993945670357683</v>
      </c>
      <c r="F17438" s="2065">
        <f t="shared" si="267"/>
        <v>-5.981837011073049E-3</v>
      </c>
      <c r="G17438" s="415"/>
      <c r="H17438" s="415" t="str">
        <f>VLOOKUP(B17438,indexy!$A$44:$D$823,3,FALSE)</f>
        <v>NTGY SQ Equity</v>
      </c>
      <c r="J17438" s="434"/>
      <c r="S17438" s="434"/>
    </row>
    <row r="17439" spans="1:19" ht="12.75" hidden="1" customHeight="1" outlineLevel="1" x14ac:dyDescent="0.25">
      <c r="A17439" s="1911">
        <v>0.06</v>
      </c>
      <c r="B17439" s="2035" t="s">
        <v>1203</v>
      </c>
      <c r="C17439" s="2037">
        <v>77.209000000000003</v>
      </c>
      <c r="D17439" s="2063">
        <f>VLOOKUP(H17439,indexy!$C$44:$D$823,2,FALSE)</f>
        <v>119.2</v>
      </c>
      <c r="E17439" s="2064">
        <f t="shared" si="268"/>
        <v>0.54386146692743065</v>
      </c>
      <c r="F17439" s="2065">
        <f t="shared" si="267"/>
        <v>3.2631688015645838E-2</v>
      </c>
      <c r="G17439" s="415"/>
      <c r="H17439" s="415" t="str">
        <f>VLOOKUP(B17439,indexy!$A$44:$D$823,3,FALSE)</f>
        <v>NDA SS Equity</v>
      </c>
      <c r="J17439" s="434"/>
      <c r="S17439" s="434"/>
    </row>
    <row r="17440" spans="1:19" ht="12.75" hidden="1" customHeight="1" outlineLevel="1" x14ac:dyDescent="0.25">
      <c r="A17440" s="1911">
        <v>0.03</v>
      </c>
      <c r="B17440" s="2035" t="s">
        <v>54</v>
      </c>
      <c r="C17440" s="2037">
        <v>15.096500000000001</v>
      </c>
      <c r="D17440" s="2063">
        <f>VLOOKUP(H17440,indexy!$C$44:$D$823,2,FALSE)</f>
        <v>15.44</v>
      </c>
      <c r="E17440" s="2064">
        <f t="shared" si="268"/>
        <v>2.2753618388368091E-2</v>
      </c>
      <c r="F17440" s="2065">
        <f t="shared" si="267"/>
        <v>6.8260855165104268E-4</v>
      </c>
      <c r="G17440" s="415"/>
      <c r="H17440" s="415" t="str">
        <f>VLOOKUP(B17440,indexy!$A$44:$D$823,3,FALSE)</f>
        <v>REP SQ Equity</v>
      </c>
      <c r="J17440" s="434"/>
      <c r="S17440" s="434"/>
    </row>
    <row r="17441" spans="1:19" ht="12.75" hidden="1" customHeight="1" outlineLevel="1" x14ac:dyDescent="0.25">
      <c r="A17441" s="1911">
        <v>0.02</v>
      </c>
      <c r="B17441" s="2035" t="s">
        <v>10667</v>
      </c>
      <c r="C17441" s="2037">
        <v>24.847000000000001</v>
      </c>
      <c r="D17441" s="2063">
        <f>VLOOKUP(H17441,indexy!$C$44:$D$823,2,FALSE)/100</f>
        <v>26.25</v>
      </c>
      <c r="E17441" s="2064">
        <f t="shared" si="268"/>
        <v>5.6465569284018136E-2</v>
      </c>
      <c r="F17441" s="2065">
        <f t="shared" si="267"/>
        <v>1.1293113856803627E-3</v>
      </c>
      <c r="G17441" s="415"/>
      <c r="H17441" s="415" t="str">
        <f>VLOOKUP(B17441,indexy!$A$44:$D$823,3,FALSE)</f>
        <v>SHEL LN Equity</v>
      </c>
      <c r="J17441" s="434"/>
      <c r="S17441" s="434"/>
    </row>
    <row r="17442" spans="1:19" ht="12.75" hidden="1" customHeight="1" outlineLevel="1" x14ac:dyDescent="0.25">
      <c r="A17442" s="1911">
        <v>0.02</v>
      </c>
      <c r="B17442" s="2035" t="s">
        <v>2166</v>
      </c>
      <c r="C17442" s="2037">
        <v>27.712</v>
      </c>
      <c r="D17442" s="2063">
        <f>VLOOKUP(H17442,indexy!$C$44:$D$823,2,FALSE)</f>
        <v>24.81</v>
      </c>
      <c r="E17442" s="2064">
        <f t="shared" si="268"/>
        <v>-0.10471997690531176</v>
      </c>
      <c r="F17442" s="2065">
        <f t="shared" si="267"/>
        <v>-2.0943995381062352E-3</v>
      </c>
      <c r="G17442" s="415"/>
      <c r="H17442" s="415" t="str">
        <f>VLOOKUP(B17442,indexy!$A$44:$D$823,3,FALSE)</f>
        <v>GLE FP Equity</v>
      </c>
      <c r="J17442" s="434"/>
      <c r="S17442" s="434"/>
    </row>
    <row r="17443" spans="1:19" ht="12.75" hidden="1" customHeight="1" outlineLevel="1" x14ac:dyDescent="0.25">
      <c r="A17443" s="1911">
        <v>0.02</v>
      </c>
      <c r="B17443" s="2035" t="s">
        <v>1857</v>
      </c>
      <c r="C17443" s="2037">
        <v>11.3775</v>
      </c>
      <c r="D17443" s="2063">
        <f>VLOOKUP(H17443,indexy!$C$44:$D$823,2,FALSE)/100</f>
        <v>16.5</v>
      </c>
      <c r="E17443" s="2064">
        <f t="shared" si="268"/>
        <v>0.45023071852340157</v>
      </c>
      <c r="F17443" s="2065">
        <f t="shared" si="267"/>
        <v>9.0046143704680323E-3</v>
      </c>
      <c r="G17443" s="415"/>
      <c r="H17443" s="415" t="str">
        <f>VLOOKUP(B17443,indexy!$A$44:$D$823,3,FALSE)</f>
        <v>SSE LN Equity</v>
      </c>
      <c r="J17443" s="434"/>
      <c r="S17443" s="434"/>
    </row>
    <row r="17444" spans="1:19" ht="12.75" hidden="1" customHeight="1" outlineLevel="1" x14ac:dyDescent="0.25">
      <c r="A17444" s="1911">
        <v>0.08</v>
      </c>
      <c r="B17444" s="2035" t="s">
        <v>1724</v>
      </c>
      <c r="C17444" s="2037">
        <v>148.79074451339895</v>
      </c>
      <c r="D17444" s="2063">
        <f>VLOOKUP(H17444,indexy!$C$44:$D$823,2,FALSE)</f>
        <v>212.3</v>
      </c>
      <c r="E17444" s="2064">
        <f t="shared" si="268"/>
        <v>0.42683606224500004</v>
      </c>
      <c r="F17444" s="2065">
        <f t="shared" si="267"/>
        <v>3.4146884979600001E-2</v>
      </c>
      <c r="G17444" s="415"/>
      <c r="H17444" s="415" t="str">
        <f>VLOOKUP(B17444,indexy!$A$44:$D$823,3,FALSE)</f>
        <v>SWEDA SS Equity</v>
      </c>
      <c r="J17444" s="434"/>
      <c r="S17444" s="434"/>
    </row>
    <row r="17445" spans="1:19" ht="12.75" hidden="1" customHeight="1" outlineLevel="1" x14ac:dyDescent="0.25">
      <c r="A17445" s="1911">
        <v>0.08</v>
      </c>
      <c r="B17445" s="2035" t="s">
        <v>6118</v>
      </c>
      <c r="C17445" s="2037">
        <v>100.426</v>
      </c>
      <c r="D17445" s="2063">
        <f>VLOOKUP(H17445,indexy!$C$44:$D$823,2,FALSE)</f>
        <v>115.95</v>
      </c>
      <c r="E17445" s="2064">
        <f t="shared" si="268"/>
        <v>0.15458148288291884</v>
      </c>
      <c r="F17445" s="2065">
        <f t="shared" si="267"/>
        <v>1.2366518630633507E-2</v>
      </c>
      <c r="G17445" s="415"/>
      <c r="H17445" s="415" t="str">
        <f>VLOOKUP(B17445,indexy!$A$44:$D$823,3,FALSE)</f>
        <v>SREN SE Equity</v>
      </c>
      <c r="J17445" s="434"/>
      <c r="S17445" s="434"/>
    </row>
    <row r="17446" spans="1:19" ht="12.75" hidden="1" customHeight="1" outlineLevel="1" x14ac:dyDescent="0.25">
      <c r="A17446" s="1911">
        <v>0.02</v>
      </c>
      <c r="B17446" s="2035" t="s">
        <v>577</v>
      </c>
      <c r="C17446" s="2037">
        <v>7.4381000000000004</v>
      </c>
      <c r="D17446" s="2063">
        <f>VLOOKUP(H17446,indexy!$C$44:$D$823,2,FALSE)</f>
        <v>4.0890000000000004</v>
      </c>
      <c r="E17446" s="2064">
        <f t="shared" si="268"/>
        <v>-0.45026283593928551</v>
      </c>
      <c r="F17446" s="2065">
        <f t="shared" si="267"/>
        <v>-9.0052567187857112E-3</v>
      </c>
      <c r="G17446" s="415"/>
      <c r="H17446" s="415" t="str">
        <f>VLOOKUP(B17446,indexy!$A$44:$D$823,3,FALSE)</f>
        <v>TEF SQ Equity</v>
      </c>
      <c r="J17446" s="434"/>
      <c r="S17446" s="434"/>
    </row>
    <row r="17447" spans="1:19" ht="12.75" hidden="1" customHeight="1" outlineLevel="1" x14ac:dyDescent="0.25">
      <c r="A17447" s="1911">
        <v>0.02</v>
      </c>
      <c r="B17447" s="2035" t="s">
        <v>10633</v>
      </c>
      <c r="C17447" s="2037">
        <v>49.395317953648295</v>
      </c>
      <c r="D17447" s="2063">
        <f>VLOOKUP(H17447,indexy!$C$44:$D$823,2,FALSE)</f>
        <v>63.47</v>
      </c>
      <c r="E17447" s="2064">
        <f t="shared" si="268"/>
        <v>0.28493959811250003</v>
      </c>
      <c r="F17447" s="2065">
        <f>E17447*A17447</f>
        <v>5.698791962250001E-3</v>
      </c>
      <c r="G17447" s="415"/>
      <c r="H17447" s="415" t="str">
        <f>VLOOKUP(B17447,indexy!$A$44:$D$823,3,FALSE)</f>
        <v>TTE FP Equity</v>
      </c>
      <c r="J17447" s="434"/>
      <c r="S17447" s="434"/>
    </row>
    <row r="17448" spans="1:19" ht="12.75" hidden="1" customHeight="1" outlineLevel="1" x14ac:dyDescent="0.25">
      <c r="A17448" s="1911">
        <v>0.03</v>
      </c>
      <c r="B17448" s="2035" t="s">
        <v>2983</v>
      </c>
      <c r="C17448" s="2037">
        <v>8.2156000000000002</v>
      </c>
      <c r="D17448" s="2063">
        <f>VLOOKUP(H17448,indexy!$C$44:$D$946,2,FALSE)/100</f>
        <v>10.29</v>
      </c>
      <c r="E17448" s="2064">
        <f t="shared" si="268"/>
        <v>0.25249525293344366</v>
      </c>
      <c r="F17448" s="2065">
        <f>E17448*A17448</f>
        <v>7.5748575880033092E-3</v>
      </c>
      <c r="G17448" s="415"/>
      <c r="H17448" s="415" t="str">
        <f>VLOOKUP(B17448,indexy!$A$44:$D$946,3,FALSE)</f>
        <v>UU/ LN Equity</v>
      </c>
      <c r="J17448" s="434"/>
      <c r="S17448" s="434"/>
    </row>
    <row r="17449" spans="1:19" ht="12.75" hidden="1" customHeight="1" outlineLevel="1" x14ac:dyDescent="0.25">
      <c r="A17449" s="1911">
        <v>0.02</v>
      </c>
      <c r="B17449" s="2035" t="s">
        <v>5522</v>
      </c>
      <c r="C17449" s="2037">
        <v>33.378953183122533</v>
      </c>
      <c r="D17449" s="2063">
        <f>VLOOKUP(H17449,indexy!$C$44:$D$823,2,FALSE)</f>
        <v>68.400000000000006</v>
      </c>
      <c r="E17449" s="2064">
        <f t="shared" si="268"/>
        <v>1.0491954803000003</v>
      </c>
      <c r="F17449" s="2065">
        <f>E17449*A17449</f>
        <v>2.0983909606000006E-2</v>
      </c>
      <c r="G17449" s="415"/>
      <c r="H17449" s="415" t="str">
        <f>VLOOKUP(B17449,indexy!$A$44:$D$823,3,FALSE)</f>
        <v>WES AT Equity</v>
      </c>
      <c r="J17449" s="434"/>
      <c r="S17449" s="434"/>
    </row>
    <row r="17450" spans="1:19" ht="12.75" hidden="1" customHeight="1" outlineLevel="1" x14ac:dyDescent="0.25">
      <c r="A17450" s="1911">
        <v>0.02</v>
      </c>
      <c r="B17450" s="2035" t="s">
        <v>5626</v>
      </c>
      <c r="C17450" s="2037">
        <v>26.238</v>
      </c>
      <c r="D17450" s="2063">
        <f>VLOOKUP(H17450,indexy!$C$44:$D$823,2,FALSE)</f>
        <v>26.1</v>
      </c>
      <c r="E17450" s="2064">
        <f t="shared" si="268"/>
        <v>-5.2595472215869465E-3</v>
      </c>
      <c r="F17450" s="2065">
        <f>E17450*A17450</f>
        <v>-1.0519094443173894E-4</v>
      </c>
      <c r="G17450" s="415"/>
      <c r="H17450" s="415" t="str">
        <f>VLOOKUP(B17450,indexy!$A$44:$D$823,3,FALSE)</f>
        <v>WBC AT Equity</v>
      </c>
      <c r="J17450" s="434"/>
      <c r="S17450" s="434"/>
    </row>
    <row r="17451" spans="1:19" ht="12.75" hidden="1" customHeight="1" outlineLevel="1" x14ac:dyDescent="0.25">
      <c r="A17451" s="1911">
        <v>0.05</v>
      </c>
      <c r="B17451" s="2036" t="s">
        <v>4550</v>
      </c>
      <c r="C17451" s="2037">
        <v>320.75</v>
      </c>
      <c r="D17451" s="2066">
        <f>VLOOKUP(H17451,indexy!$C$44:$D$823,2,FALSE)</f>
        <v>486.3</v>
      </c>
      <c r="E17451" s="2064">
        <f t="shared" si="268"/>
        <v>0.51613406079501178</v>
      </c>
      <c r="F17451" s="2065">
        <f>E17451*A17451</f>
        <v>2.5806703039750592E-2</v>
      </c>
      <c r="G17451" s="415"/>
      <c r="H17451" s="415" t="str">
        <f>VLOOKUP(B17451,indexy!$A$44:$D$823,3,FALSE)</f>
        <v>ZURN SE Equity</v>
      </c>
      <c r="J17451" s="434"/>
      <c r="S17451" s="434"/>
    </row>
    <row r="17452" spans="1:19" ht="12.75" hidden="1" customHeight="1" outlineLevel="1" x14ac:dyDescent="0.25">
      <c r="A17452" s="2048" t="s">
        <v>2734</v>
      </c>
      <c r="B17452" s="2049"/>
      <c r="C17452" s="2050">
        <v>100</v>
      </c>
      <c r="D17452" s="2051"/>
      <c r="E17452" s="2059"/>
      <c r="F17452" s="2059">
        <f>SUM(F17422:F17451)</f>
        <v>0.20064363049836903</v>
      </c>
      <c r="G17452" s="415"/>
      <c r="H17452" s="415"/>
    </row>
    <row r="17453" spans="1:19" ht="12.75" hidden="1" customHeight="1" outlineLevel="1" x14ac:dyDescent="0.25">
      <c r="A17453" s="2053" t="s">
        <v>9848</v>
      </c>
      <c r="B17453" s="2054">
        <v>45108</v>
      </c>
      <c r="C17453" s="2055">
        <v>100</v>
      </c>
      <c r="D17453" s="2055">
        <v>111.15649999999999</v>
      </c>
      <c r="E17453" s="2056">
        <f>IF(D17453="",F17452,D17453/C17453-1)</f>
        <v>0.11156499999999991</v>
      </c>
      <c r="F17453" s="2072"/>
      <c r="G17453" s="415"/>
      <c r="H17453" s="415"/>
    </row>
    <row r="17454" spans="1:19" ht="12.75" hidden="1" customHeight="1" outlineLevel="1" x14ac:dyDescent="0.25">
      <c r="A17454" s="2053" t="s">
        <v>9849</v>
      </c>
      <c r="B17454" s="2054">
        <v>45139</v>
      </c>
      <c r="C17454" s="2055">
        <v>100</v>
      </c>
      <c r="D17454" s="2058">
        <v>109.773</v>
      </c>
      <c r="E17454" s="2056">
        <f>IF(D17454="",E17453,D17454/C17454-1)</f>
        <v>9.7729999999999873E-2</v>
      </c>
      <c r="F17454" s="2072"/>
      <c r="G17454" s="415"/>
      <c r="H17454" s="415"/>
    </row>
    <row r="17455" spans="1:19" ht="12.75" hidden="1" customHeight="1" outlineLevel="1" x14ac:dyDescent="0.25">
      <c r="A17455" s="2053" t="s">
        <v>9850</v>
      </c>
      <c r="B17455" s="2054">
        <v>45170</v>
      </c>
      <c r="C17455" s="2055">
        <v>100</v>
      </c>
      <c r="D17455" s="2058">
        <v>110.3853</v>
      </c>
      <c r="E17455" s="2056">
        <f>IF(D17455="",E17454,D17455/C17455-1)</f>
        <v>0.10385299999999997</v>
      </c>
      <c r="F17455" s="2072"/>
      <c r="G17455" s="415"/>
      <c r="H17455" s="415"/>
    </row>
    <row r="17456" spans="1:19" ht="12.75" hidden="1" customHeight="1" outlineLevel="1" x14ac:dyDescent="0.25">
      <c r="A17456" s="2053" t="s">
        <v>9851</v>
      </c>
      <c r="B17456" s="2054">
        <v>45200</v>
      </c>
      <c r="C17456" s="2055">
        <v>100</v>
      </c>
      <c r="D17456" s="2058">
        <v>108.9924</v>
      </c>
      <c r="E17456" s="2056">
        <f>IF(D17456="",E17455,D17456/C17456-1)</f>
        <v>8.9924000000000115E-2</v>
      </c>
      <c r="F17456" s="2072"/>
      <c r="G17456" s="415"/>
      <c r="H17456" s="415"/>
    </row>
    <row r="17457" spans="1:8" ht="12.75" hidden="1" customHeight="1" outlineLevel="1" x14ac:dyDescent="0.25">
      <c r="A17457" s="2053" t="s">
        <v>9852</v>
      </c>
      <c r="B17457" s="2054">
        <v>45231</v>
      </c>
      <c r="C17457" s="2055">
        <v>100</v>
      </c>
      <c r="D17457" s="2058">
        <v>113.04130000000001</v>
      </c>
      <c r="E17457" s="2056">
        <f t="shared" ref="E17457:E17462" si="269">IF(D17457="",E17456,D17457/C17457-1)</f>
        <v>0.13041300000000011</v>
      </c>
      <c r="F17457" s="2072"/>
      <c r="G17457" s="415"/>
      <c r="H17457" s="415"/>
    </row>
    <row r="17458" spans="1:8" ht="12.75" hidden="1" customHeight="1" outlineLevel="1" x14ac:dyDescent="0.25">
      <c r="A17458" s="2053" t="s">
        <v>9853</v>
      </c>
      <c r="B17458" s="2054">
        <v>45261</v>
      </c>
      <c r="C17458" s="2055">
        <v>100</v>
      </c>
      <c r="D17458" s="2058">
        <v>115.32250000000001</v>
      </c>
      <c r="E17458" s="2056">
        <f t="shared" si="269"/>
        <v>0.15322499999999994</v>
      </c>
      <c r="F17458" s="2072"/>
      <c r="G17458" s="415"/>
      <c r="H17458" s="415"/>
    </row>
    <row r="17459" spans="1:8" ht="12.75" hidden="1" customHeight="1" outlineLevel="1" x14ac:dyDescent="0.25">
      <c r="A17459" s="2053" t="s">
        <v>9854</v>
      </c>
      <c r="B17459" s="2054">
        <v>45292</v>
      </c>
      <c r="C17459" s="2055">
        <v>100</v>
      </c>
      <c r="D17459" s="2058"/>
      <c r="E17459" s="2056">
        <f t="shared" si="269"/>
        <v>0.15322499999999994</v>
      </c>
      <c r="F17459" s="2072"/>
      <c r="G17459" s="415"/>
      <c r="H17459" s="415"/>
    </row>
    <row r="17460" spans="1:8" ht="12.75" hidden="1" customHeight="1" outlineLevel="1" x14ac:dyDescent="0.25">
      <c r="A17460" s="2053" t="s">
        <v>9855</v>
      </c>
      <c r="B17460" s="2054">
        <v>45323</v>
      </c>
      <c r="C17460" s="2055">
        <v>100</v>
      </c>
      <c r="D17460" s="2058"/>
      <c r="E17460" s="2056">
        <f t="shared" si="269"/>
        <v>0.15322499999999994</v>
      </c>
      <c r="F17460" s="2072"/>
      <c r="G17460" s="415"/>
      <c r="H17460" s="415"/>
    </row>
    <row r="17461" spans="1:8" ht="12.75" hidden="1" customHeight="1" outlineLevel="1" x14ac:dyDescent="0.25">
      <c r="A17461" s="2053" t="s">
        <v>9856</v>
      </c>
      <c r="B17461" s="2054">
        <v>45352</v>
      </c>
      <c r="C17461" s="2055">
        <v>100</v>
      </c>
      <c r="D17461" s="2058"/>
      <c r="E17461" s="2056">
        <f t="shared" si="269"/>
        <v>0.15322499999999994</v>
      </c>
      <c r="F17461" s="2072"/>
      <c r="G17461" s="415"/>
      <c r="H17461" s="415"/>
    </row>
    <row r="17462" spans="1:8" ht="12.75" hidden="1" customHeight="1" outlineLevel="1" x14ac:dyDescent="0.25">
      <c r="A17462" s="2053" t="s">
        <v>9857</v>
      </c>
      <c r="B17462" s="2054">
        <v>45383</v>
      </c>
      <c r="C17462" s="2055">
        <v>100</v>
      </c>
      <c r="D17462" s="2058"/>
      <c r="E17462" s="2056">
        <f t="shared" si="269"/>
        <v>0.15322499999999994</v>
      </c>
      <c r="F17462" s="2072"/>
      <c r="G17462" s="415"/>
      <c r="H17462" s="415"/>
    </row>
    <row r="17463" spans="1:8" ht="12.75" hidden="1" customHeight="1" outlineLevel="1" x14ac:dyDescent="0.25">
      <c r="A17463" s="2053" t="s">
        <v>9858</v>
      </c>
      <c r="B17463" s="2054">
        <v>45413</v>
      </c>
      <c r="C17463" s="2055">
        <v>100</v>
      </c>
      <c r="D17463" s="2058"/>
      <c r="E17463" s="2056">
        <f>IF(D17463="",E17456,D17463/C17463-1)</f>
        <v>8.9924000000000115E-2</v>
      </c>
      <c r="F17463" s="2072"/>
      <c r="G17463" s="415"/>
      <c r="H17463" s="415"/>
    </row>
    <row r="17464" spans="1:8" ht="12.75" hidden="1" customHeight="1" outlineLevel="1" x14ac:dyDescent="0.25">
      <c r="A17464" s="2053" t="s">
        <v>9859</v>
      </c>
      <c r="B17464" s="2054">
        <v>45444</v>
      </c>
      <c r="C17464" s="2055">
        <v>100</v>
      </c>
      <c r="D17464" s="2058"/>
      <c r="E17464" s="2056">
        <f>IF(D17464="",E17463,D17464/C17464-1)</f>
        <v>8.9924000000000115E-2</v>
      </c>
      <c r="F17464" s="2072"/>
      <c r="G17464" s="415"/>
      <c r="H17464" s="415"/>
    </row>
    <row r="17465" spans="1:8" ht="12.75" hidden="1" customHeight="1" outlineLevel="1" x14ac:dyDescent="0.25">
      <c r="A17465" s="2053" t="s">
        <v>9860</v>
      </c>
      <c r="B17465" s="2054">
        <v>45474</v>
      </c>
      <c r="C17465" s="2055">
        <v>100</v>
      </c>
      <c r="D17465" s="2058"/>
      <c r="E17465" s="2056">
        <f t="shared" ref="E17465:E17470" si="270">IF(D17465="",E17464,D17465/C17465-1)</f>
        <v>8.9924000000000115E-2</v>
      </c>
      <c r="F17465" s="2110"/>
      <c r="G17465" s="415"/>
      <c r="H17465" s="415"/>
    </row>
    <row r="17466" spans="1:8" ht="12.75" hidden="1" customHeight="1" outlineLevel="1" x14ac:dyDescent="0.25">
      <c r="A17466" s="2053" t="s">
        <v>9861</v>
      </c>
      <c r="B17466" s="2054">
        <v>45505</v>
      </c>
      <c r="C17466" s="2055">
        <v>100</v>
      </c>
      <c r="D17466" s="2058"/>
      <c r="E17466" s="2056">
        <f t="shared" si="270"/>
        <v>8.9924000000000115E-2</v>
      </c>
      <c r="F17466" s="2110"/>
      <c r="G17466" s="415"/>
      <c r="H17466" s="415"/>
    </row>
    <row r="17467" spans="1:8" ht="12.75" hidden="1" customHeight="1" outlineLevel="1" x14ac:dyDescent="0.25">
      <c r="A17467" s="2053" t="s">
        <v>9862</v>
      </c>
      <c r="B17467" s="2054">
        <v>45536</v>
      </c>
      <c r="C17467" s="2055">
        <v>100</v>
      </c>
      <c r="D17467" s="2058"/>
      <c r="E17467" s="2056">
        <f t="shared" si="270"/>
        <v>8.9924000000000115E-2</v>
      </c>
      <c r="F17467" s="2110"/>
      <c r="G17467" s="415"/>
      <c r="H17467" s="415"/>
    </row>
    <row r="17468" spans="1:8" ht="12.75" hidden="1" customHeight="1" outlineLevel="1" x14ac:dyDescent="0.25">
      <c r="A17468" s="2053" t="s">
        <v>9863</v>
      </c>
      <c r="B17468" s="2054">
        <v>45566</v>
      </c>
      <c r="C17468" s="2055">
        <v>100</v>
      </c>
      <c r="D17468" s="2058"/>
      <c r="E17468" s="2056">
        <f t="shared" si="270"/>
        <v>8.9924000000000115E-2</v>
      </c>
      <c r="F17468" s="2110"/>
      <c r="G17468" s="415"/>
      <c r="H17468" s="415"/>
    </row>
    <row r="17469" spans="1:8" ht="12.75" hidden="1" customHeight="1" outlineLevel="1" x14ac:dyDescent="0.25">
      <c r="A17469" s="2053" t="s">
        <v>9864</v>
      </c>
      <c r="B17469" s="2054">
        <v>45597</v>
      </c>
      <c r="C17469" s="2055">
        <v>100</v>
      </c>
      <c r="D17469" s="2058"/>
      <c r="E17469" s="2056">
        <f t="shared" si="270"/>
        <v>8.9924000000000115E-2</v>
      </c>
      <c r="F17469" s="2110"/>
      <c r="G17469" s="415"/>
      <c r="H17469" s="415"/>
    </row>
    <row r="17470" spans="1:8" ht="12.75" hidden="1" customHeight="1" outlineLevel="1" x14ac:dyDescent="0.25">
      <c r="A17470" s="2053" t="s">
        <v>9865</v>
      </c>
      <c r="B17470" s="2054">
        <v>45627</v>
      </c>
      <c r="C17470" s="2055">
        <v>100</v>
      </c>
      <c r="D17470" s="2058"/>
      <c r="E17470" s="2056">
        <f t="shared" si="270"/>
        <v>8.9924000000000115E-2</v>
      </c>
      <c r="F17470" s="2110"/>
      <c r="G17470" s="415"/>
      <c r="H17470" s="415"/>
    </row>
    <row r="17471" spans="1:8" s="444" customFormat="1" ht="12.75" hidden="1" customHeight="1" outlineLevel="1" x14ac:dyDescent="0.25">
      <c r="A17471" s="2067" t="s">
        <v>2734</v>
      </c>
      <c r="B17471" s="2068"/>
      <c r="C17471" s="2058"/>
      <c r="D17471" s="2069" t="s">
        <v>2465</v>
      </c>
      <c r="E17471" s="2070">
        <f>AVERAGE(E17453:E17470)</f>
        <v>0.1121667777777778</v>
      </c>
      <c r="F17471" s="2071">
        <f>((((E17471*100)+100)-I17422)/100)</f>
        <v>0.16977777777777775</v>
      </c>
    </row>
    <row r="17472" spans="1:8" collapsed="1" x14ac:dyDescent="0.25">
      <c r="A17472" s="3799" t="s">
        <v>9770</v>
      </c>
      <c r="B17472" s="3800"/>
      <c r="C17472" s="3800"/>
      <c r="D17472" s="3800"/>
      <c r="E17472" s="18"/>
      <c r="F17472" s="186">
        <f>MAX(0%,MIN(F17471*0.6,80%))</f>
        <v>0.10186666666666665</v>
      </c>
      <c r="G17472" s="415"/>
    </row>
    <row r="17474" spans="1:11" hidden="1" outlineLevel="1" x14ac:dyDescent="0.25">
      <c r="A17474" s="15" t="s">
        <v>113</v>
      </c>
      <c r="B17474" s="15" t="s">
        <v>114</v>
      </c>
      <c r="C17474" s="15" t="s">
        <v>112</v>
      </c>
      <c r="D17474" s="15" t="s">
        <v>116</v>
      </c>
      <c r="E17474" s="15" t="s">
        <v>117</v>
      </c>
      <c r="F17474" s="1882" t="s">
        <v>121</v>
      </c>
      <c r="G17474" s="78"/>
    </row>
    <row r="17475" spans="1:11" hidden="1" outlineLevel="1" x14ac:dyDescent="0.25">
      <c r="A17475" s="21">
        <v>5</v>
      </c>
      <c r="B17475" s="21"/>
      <c r="C17475" s="11"/>
      <c r="D17475" s="32" t="s">
        <v>3702</v>
      </c>
      <c r="E17475" s="33">
        <f>indexy!$B$2</f>
        <v>45379</v>
      </c>
      <c r="F17475" s="200"/>
      <c r="G17475" s="78"/>
    </row>
    <row r="17476" spans="1:11" hidden="1" outlineLevel="1" x14ac:dyDescent="0.25">
      <c r="A17476" s="2113" t="s">
        <v>4156</v>
      </c>
      <c r="B17476" s="2113" t="s">
        <v>4153</v>
      </c>
      <c r="C17476" s="2114" t="s">
        <v>112</v>
      </c>
      <c r="D17476" s="2113" t="s">
        <v>4155</v>
      </c>
      <c r="E17476" s="2113" t="s">
        <v>4154</v>
      </c>
      <c r="F17476" s="2115" t="s">
        <v>734</v>
      </c>
      <c r="G17476" s="78"/>
    </row>
    <row r="17477" spans="1:11" hidden="1" outlineLevel="1" x14ac:dyDescent="0.25">
      <c r="A17477" s="2111">
        <v>0.03</v>
      </c>
      <c r="B17477" s="2035" t="s">
        <v>1093</v>
      </c>
      <c r="C17477" s="2829">
        <v>4.2629000000000001</v>
      </c>
      <c r="D17477" s="2063">
        <f>VLOOKUP(H17477,indexy!$C$44:$D$823,2,FALSE)/100</f>
        <v>4.9660000000000002</v>
      </c>
      <c r="E17477" s="2052">
        <f>D17477/C17477-1</f>
        <v>0.16493466888737718</v>
      </c>
      <c r="F17477" s="2044">
        <f>IF(E17477&gt;0,10%,E17477)</f>
        <v>0.1</v>
      </c>
      <c r="G17477" s="78"/>
      <c r="H17477" t="str">
        <f>VLOOKUP(B17477,indexy!$A$44:$D$823,3,FALSE)</f>
        <v>AV/ LN Equity</v>
      </c>
      <c r="K17477" s="367"/>
    </row>
    <row r="17478" spans="1:11" hidden="1" outlineLevel="1" x14ac:dyDescent="0.25">
      <c r="A17478" s="2111">
        <v>0.02</v>
      </c>
      <c r="B17478" s="2035" t="s">
        <v>9867</v>
      </c>
      <c r="C17478" s="2829">
        <v>5.1483999999999996</v>
      </c>
      <c r="D17478" s="2063">
        <f>VLOOKUP(H17478,indexy!$C$44:$D$823,2,FALSE)/100</f>
        <v>5.2</v>
      </c>
      <c r="E17478" s="2052">
        <f t="shared" ref="E17478:E17506" si="271">D17478/C17478-1</f>
        <v>1.0022531271851598E-2</v>
      </c>
      <c r="F17478" s="2044">
        <f t="shared" ref="F17478:F17506" si="272">IF(E17478&gt;0,10%,E17478)</f>
        <v>0.1</v>
      </c>
      <c r="G17478" s="78"/>
      <c r="H17478" t="str">
        <f>VLOOKUP(B17478,indexy!$A$44:$D$823,3,FALSE)</f>
        <v>BAB LN Equity</v>
      </c>
      <c r="K17478" s="367"/>
    </row>
    <row r="17479" spans="1:11" hidden="1" outlineLevel="1" x14ac:dyDescent="0.25">
      <c r="A17479" s="2111">
        <v>0.05</v>
      </c>
      <c r="B17479" s="2035" t="s">
        <v>9868</v>
      </c>
      <c r="C17479" s="2829">
        <v>5.4531000000000001</v>
      </c>
      <c r="D17479" s="2063">
        <f>VLOOKUP(H17479,indexy!$C$44:$D$823,2,FALSE)</f>
        <v>11.04</v>
      </c>
      <c r="E17479" s="2052">
        <f t="shared" si="271"/>
        <v>1.0245365021730759</v>
      </c>
      <c r="F17479" s="2044">
        <f t="shared" si="272"/>
        <v>0.1</v>
      </c>
      <c r="G17479" s="78"/>
      <c r="H17479" t="str">
        <f>VLOOKUP(B17479,indexy!$A$44:$D$823,3,FALSE)</f>
        <v>BBVA SQ Equity</v>
      </c>
      <c r="K17479" s="367"/>
    </row>
    <row r="17480" spans="1:11" hidden="1" outlineLevel="1" x14ac:dyDescent="0.25">
      <c r="A17480" s="2111">
        <v>0.02</v>
      </c>
      <c r="B17480" s="2035" t="s">
        <v>9757</v>
      </c>
      <c r="C17480" s="2829">
        <v>6.1462000000000003</v>
      </c>
      <c r="D17480" s="2063">
        <f>VLOOKUP(H17480,indexy!$C$44:$D$823,2,FALSE)/100</f>
        <v>4.7560000000000002</v>
      </c>
      <c r="E17480" s="2052">
        <f t="shared" si="271"/>
        <v>-0.22618853926003057</v>
      </c>
      <c r="F17480" s="2044">
        <f t="shared" si="272"/>
        <v>-0.22618853926003057</v>
      </c>
      <c r="G17480" s="78"/>
      <c r="H17480" t="str">
        <f>VLOOKUP(B17480,indexy!$A$44:$D$823,3,FALSE)</f>
        <v>BDEV LN Equity</v>
      </c>
      <c r="K17480" s="367"/>
    </row>
    <row r="17481" spans="1:11" hidden="1" outlineLevel="1" x14ac:dyDescent="0.25">
      <c r="A17481" s="2111">
        <v>0.02</v>
      </c>
      <c r="B17481" s="2035" t="s">
        <v>7835</v>
      </c>
      <c r="C17481" s="2829">
        <v>61.451000000000001</v>
      </c>
      <c r="D17481" s="2063">
        <f>VLOOKUP(H17481,indexy!$C$44:$D$823,2,FALSE)</f>
        <v>28.43</v>
      </c>
      <c r="E17481" s="2052">
        <f t="shared" si="271"/>
        <v>-0.53735496574506514</v>
      </c>
      <c r="F17481" s="2044">
        <f t="shared" si="272"/>
        <v>-0.53735496574506514</v>
      </c>
      <c r="G17481" s="78"/>
      <c r="H17481" t="str">
        <f>VLOOKUP(B17481,indexy!$A$44:$D$823,3,FALSE)</f>
        <v>BAYN GY Equity</v>
      </c>
      <c r="K17481" s="367"/>
    </row>
    <row r="17482" spans="1:11" hidden="1" outlineLevel="1" x14ac:dyDescent="0.25">
      <c r="A17482" s="2111">
        <v>0.02</v>
      </c>
      <c r="B17482" s="2035" t="s">
        <v>2582</v>
      </c>
      <c r="C17482" s="2829">
        <v>19.0992</v>
      </c>
      <c r="D17482" s="2063">
        <f>VLOOKUP(H17482,indexy!$C$44:$D$823,2,FALSE)/100</f>
        <v>22.75</v>
      </c>
      <c r="E17482" s="2052">
        <f t="shared" si="271"/>
        <v>0.19114936751277534</v>
      </c>
      <c r="F17482" s="2044">
        <f t="shared" si="272"/>
        <v>0.1</v>
      </c>
      <c r="G17482" s="78"/>
      <c r="H17482" t="str">
        <f>VLOOKUP(B17482,indexy!$A$44:$D$823,3,FALSE)</f>
        <v>BHP LN Equity</v>
      </c>
      <c r="K17482" s="367"/>
    </row>
    <row r="17483" spans="1:11" hidden="1" outlineLevel="1" x14ac:dyDescent="0.25">
      <c r="A17483" s="2111">
        <v>0.03</v>
      </c>
      <c r="B17483" s="2035" t="s">
        <v>1188</v>
      </c>
      <c r="C17483" s="2829">
        <v>5.7317999999999998</v>
      </c>
      <c r="D17483" s="2063">
        <f>VLOOKUP(H17483,indexy!$C$44:$D$823,2,FALSE)/100</f>
        <v>4.9569999999999999</v>
      </c>
      <c r="E17483" s="2052">
        <f t="shared" si="271"/>
        <v>-0.13517568652081369</v>
      </c>
      <c r="F17483" s="2044">
        <f t="shared" si="272"/>
        <v>-0.13517568652081369</v>
      </c>
      <c r="G17483" s="78"/>
      <c r="H17483" t="str">
        <f>VLOOKUP(B17483,indexy!$A$44:$D$823,3,FALSE)</f>
        <v>BP/ LN Equity</v>
      </c>
      <c r="K17483" s="367"/>
    </row>
    <row r="17484" spans="1:11" hidden="1" outlineLevel="1" x14ac:dyDescent="0.25">
      <c r="A17484" s="2111">
        <v>0.02</v>
      </c>
      <c r="B17484" s="2035" t="s">
        <v>2353</v>
      </c>
      <c r="C17484" s="2829">
        <v>6.0010000000000003</v>
      </c>
      <c r="D17484" s="2063">
        <f>VLOOKUP(H17484,indexy!$C$44:$D$823,2,FALSE)/100</f>
        <v>3.952</v>
      </c>
      <c r="E17484" s="2052">
        <f t="shared" si="271"/>
        <v>-0.34144309281786378</v>
      </c>
      <c r="F17484" s="2044">
        <f t="shared" si="272"/>
        <v>-0.34144309281786378</v>
      </c>
      <c r="G17484" s="78"/>
      <c r="H17484" t="str">
        <f>VLOOKUP(B17484,indexy!$A$44:$D$823,3,FALSE)</f>
        <v>BLND LN Equity</v>
      </c>
      <c r="K17484" s="367"/>
    </row>
    <row r="17485" spans="1:11" hidden="1" outlineLevel="1" x14ac:dyDescent="0.25">
      <c r="A17485" s="2111">
        <v>0.02</v>
      </c>
      <c r="B17485" s="2035" t="s">
        <v>9869</v>
      </c>
      <c r="C17485" s="2829">
        <v>53.04</v>
      </c>
      <c r="D17485" s="2063">
        <f>VLOOKUP(H17485,indexy!$C$44:$D$823,2,FALSE)</f>
        <v>50.68</v>
      </c>
      <c r="E17485" s="2052">
        <f t="shared" si="271"/>
        <v>-4.4494720965309154E-2</v>
      </c>
      <c r="F17485" s="2044">
        <f t="shared" si="272"/>
        <v>-4.4494720965309154E-2</v>
      </c>
      <c r="G17485" s="78"/>
      <c r="H17485" t="str">
        <f>VLOOKUP(B17485,indexy!$A$44:$D$823,3,FALSE)</f>
        <v>1COV GY Equity</v>
      </c>
      <c r="K17485" s="367"/>
    </row>
    <row r="17486" spans="1:11" hidden="1" outlineLevel="1" x14ac:dyDescent="0.25">
      <c r="A17486" s="2111">
        <v>7.0000000000000007E-2</v>
      </c>
      <c r="B17486" s="2035" t="s">
        <v>4025</v>
      </c>
      <c r="C17486" s="2829">
        <v>56.832000000000001</v>
      </c>
      <c r="D17486" s="2063">
        <f>VLOOKUP(H17486,indexy!$C$44:$D$823,2,FALSE)</f>
        <v>73.94</v>
      </c>
      <c r="E17486" s="2052">
        <f t="shared" si="271"/>
        <v>0.30102759009009006</v>
      </c>
      <c r="F17486" s="2044">
        <f t="shared" si="272"/>
        <v>0.1</v>
      </c>
      <c r="G17486" s="78"/>
      <c r="H17486" t="str">
        <f>VLOOKUP(B17486,indexy!$A$44:$D$823,3,FALSE)</f>
        <v>MBG GR Equity</v>
      </c>
      <c r="K17486" s="367"/>
    </row>
    <row r="17487" spans="1:11" hidden="1" outlineLevel="1" x14ac:dyDescent="0.25">
      <c r="A17487" s="2111">
        <v>0.08</v>
      </c>
      <c r="B17487" s="2035" t="s">
        <v>8526</v>
      </c>
      <c r="C17487" s="2829">
        <v>125.76</v>
      </c>
      <c r="D17487" s="2063">
        <f>VLOOKUP(H17487,indexy!$C$44:$D$823,2,FALSE)</f>
        <v>206.6</v>
      </c>
      <c r="E17487" s="2052">
        <f t="shared" si="271"/>
        <v>0.64281170483460559</v>
      </c>
      <c r="F17487" s="2044">
        <f t="shared" si="272"/>
        <v>0.1</v>
      </c>
      <c r="G17487" s="78"/>
      <c r="H17487" t="str">
        <f>VLOOKUP(B17487,indexy!$A$44:$D$823,3,FALSE)</f>
        <v>DANSKE DC Equity</v>
      </c>
      <c r="K17487" s="367"/>
    </row>
    <row r="17488" spans="1:11" hidden="1" outlineLevel="1" x14ac:dyDescent="0.25">
      <c r="A17488" s="2111">
        <v>0.02</v>
      </c>
      <c r="B17488" s="2035" t="s">
        <v>1441</v>
      </c>
      <c r="C17488" s="2829">
        <v>21.678999999999998</v>
      </c>
      <c r="D17488" s="2063">
        <f>VLOOKUP(H17488,indexy!$C$44:$D$823,2,FALSE)</f>
        <v>7.2809999999999997</v>
      </c>
      <c r="E17488" s="2052">
        <f t="shared" si="271"/>
        <v>-0.66414502513953599</v>
      </c>
      <c r="F17488" s="2044">
        <f t="shared" si="272"/>
        <v>-0.66414502513953599</v>
      </c>
      <c r="G17488" s="78"/>
      <c r="H17488" t="str">
        <f>VLOOKUP(B17488,indexy!$A$44:$D$823,3,FALSE)</f>
        <v>LHA GY Equity</v>
      </c>
      <c r="K17488" s="367"/>
    </row>
    <row r="17489" spans="1:11" hidden="1" outlineLevel="1" x14ac:dyDescent="0.25">
      <c r="A17489" s="2111">
        <v>0.02</v>
      </c>
      <c r="B17489" s="2035" t="s">
        <v>8803</v>
      </c>
      <c r="C17489" s="2829">
        <v>1.3516999999999999</v>
      </c>
      <c r="D17489" s="2063">
        <f>VLOOKUP(H17489,indexy!$C$44:$D$823,2,FALSE)/100</f>
        <v>0.7390000000000001</v>
      </c>
      <c r="E17489" s="2052">
        <f t="shared" si="271"/>
        <v>-0.45328105348819991</v>
      </c>
      <c r="F17489" s="2044">
        <f t="shared" si="272"/>
        <v>-0.45328105348819991</v>
      </c>
      <c r="G17489" s="78"/>
      <c r="H17489" t="str">
        <f>VLOOKUP(B17489,indexy!$A$44:$D$823,3,FALSE)</f>
        <v>ITV LN Equity</v>
      </c>
      <c r="K17489" s="367"/>
    </row>
    <row r="17490" spans="1:11" hidden="1" outlineLevel="1" x14ac:dyDescent="0.25">
      <c r="A17490" s="2111">
        <v>0.04</v>
      </c>
      <c r="B17490" s="2035" t="s">
        <v>874</v>
      </c>
      <c r="C17490" s="2829">
        <v>2.5495000000000001</v>
      </c>
      <c r="D17490" s="2063">
        <f>VLOOKUP(H17490,indexy!$C$44:$D$823,2,FALSE)/100</f>
        <v>2.4940000000000002</v>
      </c>
      <c r="E17490" s="2052">
        <f t="shared" si="271"/>
        <v>-2.1768974308687961E-2</v>
      </c>
      <c r="F17490" s="2044">
        <f t="shared" si="272"/>
        <v>-2.1768974308687961E-2</v>
      </c>
      <c r="G17490" s="78"/>
      <c r="H17490" t="str">
        <f>VLOOKUP(B17490,indexy!$A$44:$D$823,3,FALSE)</f>
        <v>KGF LN Equity</v>
      </c>
      <c r="K17490" s="367"/>
    </row>
    <row r="17491" spans="1:11" hidden="1" outlineLevel="1" x14ac:dyDescent="0.25">
      <c r="A17491" s="2111">
        <v>7.0000000000000007E-2</v>
      </c>
      <c r="B17491" s="2035" t="s">
        <v>6902</v>
      </c>
      <c r="C17491" s="2829">
        <v>2.8734999999999999</v>
      </c>
      <c r="D17491" s="2063">
        <f>VLOOKUP(H17491,indexy!$C$44:$D$823,2,FALSE)/100</f>
        <v>2.544</v>
      </c>
      <c r="E17491" s="2052">
        <f t="shared" si="271"/>
        <v>-0.1146685227074995</v>
      </c>
      <c r="F17491" s="2044">
        <f t="shared" si="272"/>
        <v>-0.1146685227074995</v>
      </c>
      <c r="G17491" s="78"/>
      <c r="H17491" t="str">
        <f>VLOOKUP(B17491,indexy!$A$44:$D$823,3,FALSE)</f>
        <v>LGEN LN Equity</v>
      </c>
      <c r="K17491" s="367"/>
    </row>
    <row r="17492" spans="1:11" hidden="1" outlineLevel="1" x14ac:dyDescent="0.25">
      <c r="A17492" s="2111">
        <v>0.04</v>
      </c>
      <c r="B17492" s="2035" t="s">
        <v>8680</v>
      </c>
      <c r="C17492" s="2829">
        <v>0.64629999999999999</v>
      </c>
      <c r="D17492" s="2063">
        <f>VLOOKUP(H17492,indexy!$C$44:$D$823,2,FALSE)/100</f>
        <v>0.51759999999999995</v>
      </c>
      <c r="E17492" s="2052">
        <f t="shared" si="271"/>
        <v>-0.1991335293207489</v>
      </c>
      <c r="F17492" s="2044">
        <f t="shared" si="272"/>
        <v>-0.1991335293207489</v>
      </c>
      <c r="G17492" s="78"/>
      <c r="H17492" t="str">
        <f>VLOOKUP(B17492,indexy!$A$44:$D$823,3,FALSE)</f>
        <v>LLOY LN Equity</v>
      </c>
      <c r="K17492" s="367"/>
    </row>
    <row r="17493" spans="1:11" hidden="1" outlineLevel="1" x14ac:dyDescent="0.25">
      <c r="A17493" s="2111">
        <v>0.03</v>
      </c>
      <c r="B17493" s="2035" t="s">
        <v>7321</v>
      </c>
      <c r="C17493" s="2829">
        <f>114.905/4</f>
        <v>28.72625</v>
      </c>
      <c r="D17493" s="2063">
        <f>VLOOKUP(H17493,indexy!$C$44:$D$823,2,FALSE)</f>
        <v>35.520000000000003</v>
      </c>
      <c r="E17493" s="2052">
        <f t="shared" si="271"/>
        <v>0.23649971715765217</v>
      </c>
      <c r="F17493" s="2044">
        <f t="shared" si="272"/>
        <v>0.1</v>
      </c>
      <c r="G17493" s="78"/>
      <c r="H17493" t="str">
        <f>VLOOKUP(B17493,indexy!$A$44:$D$823,3,FALSE)</f>
        <v>ML FP Equity</v>
      </c>
      <c r="K17493" s="367"/>
    </row>
    <row r="17494" spans="1:11" hidden="1" outlineLevel="1" x14ac:dyDescent="0.25">
      <c r="A17494" s="2111">
        <v>0.02</v>
      </c>
      <c r="B17494" s="2035" t="s">
        <v>7910</v>
      </c>
      <c r="C17494" s="2829">
        <v>17.692</v>
      </c>
      <c r="D17494" s="2063">
        <f>VLOOKUP(H17494,indexy!$C$44:$D$823,2,FALSE)/100</f>
        <v>13.955</v>
      </c>
      <c r="E17494" s="2052">
        <f t="shared" si="271"/>
        <v>-0.21122541261587158</v>
      </c>
      <c r="F17494" s="2044">
        <f t="shared" si="272"/>
        <v>-0.21122541261587158</v>
      </c>
      <c r="G17494" s="78"/>
      <c r="H17494" t="str">
        <f>VLOOKUP(B17494,indexy!$A$44:$D$823,3,FALSE)</f>
        <v>MNDI LN Equity</v>
      </c>
      <c r="K17494" s="367"/>
    </row>
    <row r="17495" spans="1:11" hidden="1" outlineLevel="1" x14ac:dyDescent="0.25">
      <c r="A17495" s="2111">
        <v>0.05</v>
      </c>
      <c r="B17495" s="2035" t="s">
        <v>1190</v>
      </c>
      <c r="C17495" s="2829">
        <v>5.1329000000000002</v>
      </c>
      <c r="D17495" s="2063">
        <f>VLOOKUP(H17495,indexy!$C$44:$D$823,2,FALSE)</f>
        <v>3.2909999999999999</v>
      </c>
      <c r="E17495" s="2052">
        <f t="shared" si="271"/>
        <v>-0.35884198016715696</v>
      </c>
      <c r="F17495" s="2044">
        <f t="shared" si="272"/>
        <v>-0.35884198016715696</v>
      </c>
      <c r="G17495" s="78"/>
      <c r="H17495" t="str">
        <f>VLOOKUP(B17495,indexy!$A$44:$D$823,3,FALSE)</f>
        <v>NOKIA FH Equity</v>
      </c>
      <c r="K17495" s="367"/>
    </row>
    <row r="17496" spans="1:11" hidden="1" outlineLevel="1" x14ac:dyDescent="0.25">
      <c r="A17496" s="2111">
        <v>0.02</v>
      </c>
      <c r="B17496" s="2112" t="s">
        <v>10600</v>
      </c>
      <c r="C17496" s="2829">
        <v>12.649040345737687</v>
      </c>
      <c r="D17496" s="2063">
        <f>VLOOKUP(H17496,indexy!$C$44:$D$870,2,FALSE)</f>
        <v>26.324999999999999</v>
      </c>
      <c r="E17496" s="2052">
        <f t="shared" si="271"/>
        <v>1.08118555087625</v>
      </c>
      <c r="F17496" s="2044">
        <f t="shared" si="272"/>
        <v>0.1</v>
      </c>
      <c r="G17496" s="78"/>
      <c r="H17496" t="str">
        <f>VLOOKUP(B17496,indexy!$A$44:$D$823,3,FALSE)</f>
        <v>STLAP FP Equity</v>
      </c>
      <c r="K17496" s="367"/>
    </row>
    <row r="17497" spans="1:11" hidden="1" outlineLevel="1" x14ac:dyDescent="0.25">
      <c r="A17497" s="2111">
        <v>0.03</v>
      </c>
      <c r="B17497" s="2035" t="s">
        <v>9802</v>
      </c>
      <c r="C17497" s="2829">
        <v>62.116999999999997</v>
      </c>
      <c r="D17497" s="2063">
        <f>VLOOKUP(H17497,indexy!$C$44:$D$823,2,FALSE)</f>
        <v>46.795000000000002</v>
      </c>
      <c r="E17497" s="2052">
        <f t="shared" si="271"/>
        <v>-0.24666355426050834</v>
      </c>
      <c r="F17497" s="2044">
        <f t="shared" si="272"/>
        <v>-0.24666355426050834</v>
      </c>
      <c r="G17497" s="78"/>
      <c r="H17497" t="str">
        <f>VLOOKUP(B17497,indexy!$A$44:$D$823,3,FALSE)</f>
        <v>RNO FP Equity</v>
      </c>
      <c r="K17497" s="367"/>
    </row>
    <row r="17498" spans="1:11" hidden="1" outlineLevel="1" x14ac:dyDescent="0.25">
      <c r="A17498" s="2111">
        <v>0.02</v>
      </c>
      <c r="B17498" s="2035" t="s">
        <v>2777</v>
      </c>
      <c r="C17498" s="2829">
        <v>45.768823111604334</v>
      </c>
      <c r="D17498" s="2063">
        <f>VLOOKUP(H17498,indexy!$C$44:$D$823,2,FALSE)/100</f>
        <v>50.17</v>
      </c>
      <c r="E17498" s="2052">
        <f t="shared" si="271"/>
        <v>9.6161023797000089E-2</v>
      </c>
      <c r="F17498" s="2044">
        <f t="shared" si="272"/>
        <v>0.1</v>
      </c>
      <c r="G17498" s="78"/>
      <c r="H17498" t="str">
        <f>VLOOKUP(B17498,indexy!$A$44:$D$823,3,FALSE)</f>
        <v>RIO LN Equity</v>
      </c>
      <c r="K17498" s="367"/>
    </row>
    <row r="17499" spans="1:11" hidden="1" outlineLevel="1" x14ac:dyDescent="0.25">
      <c r="A17499" s="2111">
        <v>7.0000000000000007E-2</v>
      </c>
      <c r="B17499" s="2035" t="s">
        <v>2586</v>
      </c>
      <c r="C17499" s="2829">
        <v>25.056999999999999</v>
      </c>
      <c r="D17499" s="2063">
        <f>VLOOKUP(H17499,indexy!$C$44:$D$823,2,FALSE)/100</f>
        <v>18.945999999999998</v>
      </c>
      <c r="E17499" s="2052">
        <f t="shared" si="271"/>
        <v>-0.2438839446062977</v>
      </c>
      <c r="F17499" s="2044">
        <f t="shared" si="272"/>
        <v>-0.2438839446062977</v>
      </c>
      <c r="G17499" s="78"/>
      <c r="H17499" t="str">
        <f>VLOOKUP(B17499,indexy!$A$44:$D$823,3,FALSE)</f>
        <v>RDSB LN Equity</v>
      </c>
      <c r="K17499" s="367"/>
    </row>
    <row r="17500" spans="1:11" hidden="1" outlineLevel="1" x14ac:dyDescent="0.25">
      <c r="A17500" s="2111">
        <v>0.02</v>
      </c>
      <c r="B17500" s="2035" t="s">
        <v>8919</v>
      </c>
      <c r="C17500" s="2829">
        <v>2.5876999999999999</v>
      </c>
      <c r="D17500" s="2063">
        <f>VLOOKUP(H17500,indexy!$C$44:$D$823,2,FALSE)/100</f>
        <v>2.2930000000000001</v>
      </c>
      <c r="E17500" s="2052">
        <f t="shared" si="271"/>
        <v>-0.11388491710785631</v>
      </c>
      <c r="F17500" s="2044">
        <f t="shared" si="272"/>
        <v>-0.11388491710785631</v>
      </c>
      <c r="G17500" s="78"/>
      <c r="H17500" t="str">
        <f>VLOOKUP(B17500,indexy!$A$44:$D$823,3,FALSE)</f>
        <v>IDS LN Equity</v>
      </c>
      <c r="K17500" s="367"/>
    </row>
    <row r="17501" spans="1:11" hidden="1" outlineLevel="1" x14ac:dyDescent="0.25">
      <c r="A17501" s="2111">
        <v>0.02</v>
      </c>
      <c r="B17501" s="2035" t="s">
        <v>9870</v>
      </c>
      <c r="C17501" s="2829">
        <f>30.577/5</f>
        <v>6.1154000000000002</v>
      </c>
      <c r="D17501" s="2063">
        <f>VLOOKUP(H17501,indexy!$C$44:$D$823,2,FALSE)/100</f>
        <v>3.766</v>
      </c>
      <c r="E17501" s="2052">
        <f t="shared" si="271"/>
        <v>-0.38417764986754754</v>
      </c>
      <c r="F17501" s="2044">
        <f t="shared" si="272"/>
        <v>-0.38417764986754754</v>
      </c>
      <c r="G17501" s="78"/>
      <c r="H17501" t="str">
        <f>VLOOKUP(B17501,indexy!$A$44:$D$823,3,FALSE)</f>
        <v>SDR LN Equity</v>
      </c>
      <c r="K17501" s="367"/>
    </row>
    <row r="17502" spans="1:11" hidden="1" outlineLevel="1" x14ac:dyDescent="0.25">
      <c r="A17502" s="2111">
        <v>0.02</v>
      </c>
      <c r="B17502" s="2035" t="s">
        <v>4458</v>
      </c>
      <c r="C17502" s="2829">
        <v>15.2</v>
      </c>
      <c r="D17502" s="2063">
        <f>VLOOKUP(H17502,indexy!$C$44:$D$823,2,FALSE)/100</f>
        <v>16.414999999999999</v>
      </c>
      <c r="E17502" s="2052">
        <f t="shared" si="271"/>
        <v>7.9934210526315885E-2</v>
      </c>
      <c r="F17502" s="2044">
        <f t="shared" si="272"/>
        <v>0.1</v>
      </c>
      <c r="G17502" s="78"/>
      <c r="H17502" t="str">
        <f>VLOOKUP(B17502,indexy!$A$44:$D$823,3,FALSE)</f>
        <v>SMIN LN Equity</v>
      </c>
      <c r="K17502" s="367"/>
    </row>
    <row r="17503" spans="1:11" hidden="1" outlineLevel="1" x14ac:dyDescent="0.25">
      <c r="A17503" s="2111">
        <v>0.02</v>
      </c>
      <c r="B17503" s="2035" t="s">
        <v>9429</v>
      </c>
      <c r="C17503" s="2829">
        <v>14.114000000000001</v>
      </c>
      <c r="D17503" s="2063">
        <f>VLOOKUP(H17503,indexy!$C$44:$D$823,2,FALSE)/100</f>
        <v>7.2939999999999996</v>
      </c>
      <c r="E17503" s="2052">
        <f t="shared" si="271"/>
        <v>-0.48320816210854478</v>
      </c>
      <c r="F17503" s="2044">
        <f t="shared" si="272"/>
        <v>-0.48320816210854478</v>
      </c>
      <c r="G17503" s="78"/>
      <c r="H17503" t="str">
        <f>VLOOKUP(B17503,indexy!$A$44:$D$823,3,FALSE)</f>
        <v>TPK LN Equity</v>
      </c>
      <c r="K17503" s="367"/>
    </row>
    <row r="17504" spans="1:11" hidden="1" outlineLevel="1" x14ac:dyDescent="0.25">
      <c r="A17504" s="2111">
        <v>0.02</v>
      </c>
      <c r="B17504" s="2035" t="s">
        <v>9871</v>
      </c>
      <c r="C17504" s="2829">
        <v>30.274999999999999</v>
      </c>
      <c r="D17504" s="2063">
        <f>VLOOKUP(H17504,indexy!$C$44:$D$823,2,FALSE)</f>
        <v>11.59</v>
      </c>
      <c r="E17504" s="2052">
        <f t="shared" si="271"/>
        <v>-0.61717588769611886</v>
      </c>
      <c r="F17504" s="2044">
        <f t="shared" si="272"/>
        <v>-0.61717588769611886</v>
      </c>
      <c r="G17504" s="78"/>
      <c r="H17504" t="str">
        <f>VLOOKUP(B17504,indexy!$A$44:$D$823,3,FALSE)</f>
        <v>FR FP Equity</v>
      </c>
      <c r="K17504" s="367"/>
    </row>
    <row r="17505" spans="1:11" hidden="1" outlineLevel="1" x14ac:dyDescent="0.25">
      <c r="A17505" s="2111">
        <v>7.0000000000000007E-2</v>
      </c>
      <c r="B17505" s="2035" t="s">
        <v>579</v>
      </c>
      <c r="C17505" s="2829">
        <v>1.4126000000000001</v>
      </c>
      <c r="D17505" s="2063">
        <f>VLOOKUP(H17505,indexy!$C$44:$D$823,2,FALSE)/100</f>
        <v>0.70459999999999989</v>
      </c>
      <c r="E17505" s="2052">
        <f t="shared" si="271"/>
        <v>-0.50120345462268168</v>
      </c>
      <c r="F17505" s="2044">
        <f t="shared" si="272"/>
        <v>-0.50120345462268168</v>
      </c>
      <c r="G17505" s="78"/>
      <c r="H17505" t="str">
        <f>VLOOKUP(B17505,indexy!$A$44:$D$823,3,FALSE)</f>
        <v>VOD LN Equity</v>
      </c>
      <c r="K17505" s="367"/>
    </row>
    <row r="17506" spans="1:11" hidden="1" outlineLevel="1" x14ac:dyDescent="0.25">
      <c r="A17506" s="2111">
        <v>0.02</v>
      </c>
      <c r="B17506" s="2036" t="s">
        <v>3306</v>
      </c>
      <c r="C17506" s="2829">
        <v>8.9314</v>
      </c>
      <c r="D17506" s="2063">
        <f>VLOOKUP(H17506,indexy!$C$44:$D$823,2,FALSE)/100</f>
        <v>7.5360000000000005</v>
      </c>
      <c r="E17506" s="2052">
        <f t="shared" si="271"/>
        <v>-0.15623530465548507</v>
      </c>
      <c r="F17506" s="2044">
        <f t="shared" si="272"/>
        <v>-0.15623530465548507</v>
      </c>
      <c r="G17506" s="78"/>
      <c r="H17506" t="str">
        <f>VLOOKUP(B17506,indexy!$A$44:$D$823,3,FALSE)</f>
        <v>WPP LN Equity</v>
      </c>
      <c r="K17506" s="367"/>
    </row>
    <row r="17507" spans="1:11" hidden="1" outlineLevel="1" x14ac:dyDescent="0.25">
      <c r="A17507" s="2116" t="s">
        <v>2465</v>
      </c>
      <c r="B17507" s="2117"/>
      <c r="C17507" s="2118"/>
      <c r="D17507" s="2119"/>
      <c r="E17507" s="2120">
        <f>SUMPRODUCT(A17477:A17506,E17477:E17506)</f>
        <v>-1.8136807479113802E-2</v>
      </c>
      <c r="F17507" s="2116">
        <f>SUMPRODUCT(A17477:A17506,F17477:F17506)</f>
        <v>-0.14707258554187708</v>
      </c>
      <c r="G17507" s="78"/>
    </row>
    <row r="17508" spans="1:11" hidden="1" outlineLevel="1" x14ac:dyDescent="0.25">
      <c r="A17508" s="2121"/>
      <c r="B17508" s="2122"/>
      <c r="C17508" s="2122"/>
      <c r="D17508" s="2122"/>
      <c r="E17508" s="2122"/>
      <c r="F17508" s="2057"/>
      <c r="G17508" s="78"/>
    </row>
    <row r="17509" spans="1:11" hidden="1" outlineLevel="1" x14ac:dyDescent="0.25">
      <c r="A17509" s="2123" t="s">
        <v>113</v>
      </c>
      <c r="B17509" s="2123"/>
      <c r="C17509" s="2124"/>
      <c r="D17509" s="2124"/>
      <c r="E17509" s="2125"/>
      <c r="F17509" s="2047"/>
      <c r="G17509" s="78"/>
    </row>
    <row r="17510" spans="1:11" hidden="1" outlineLevel="1" x14ac:dyDescent="0.25">
      <c r="A17510" s="2126" t="s">
        <v>9882</v>
      </c>
      <c r="B17510" s="2127"/>
      <c r="C17510" s="2128"/>
      <c r="D17510" s="2128"/>
      <c r="E17510" s="2129"/>
      <c r="F17510" s="2041">
        <v>7.0000000000000007E-2</v>
      </c>
      <c r="G17510" s="78"/>
    </row>
    <row r="17511" spans="1:11" hidden="1" outlineLevel="1" x14ac:dyDescent="0.25">
      <c r="A17511" s="2126" t="s">
        <v>9883</v>
      </c>
      <c r="B17511" s="2130"/>
      <c r="C17511" s="2131"/>
      <c r="D17511" s="2131"/>
      <c r="E17511" s="2132">
        <v>-8.9200000000000002E-2</v>
      </c>
      <c r="F17511" s="2044">
        <v>0</v>
      </c>
      <c r="G17511" s="78"/>
      <c r="J17511" s="31"/>
    </row>
    <row r="17512" spans="1:11" hidden="1" outlineLevel="1" x14ac:dyDescent="0.25">
      <c r="A17512" s="2126" t="s">
        <v>9884</v>
      </c>
      <c r="B17512" s="2130"/>
      <c r="C17512" s="2131"/>
      <c r="D17512" s="2131"/>
      <c r="E17512" s="2132">
        <v>-9.1200000000000003E-2</v>
      </c>
      <c r="F17512" s="2044">
        <v>0</v>
      </c>
      <c r="G17512" s="78"/>
    </row>
    <row r="17513" spans="1:11" hidden="1" outlineLevel="1" x14ac:dyDescent="0.25">
      <c r="A17513" s="2126" t="s">
        <v>9885</v>
      </c>
      <c r="B17513" s="2130"/>
      <c r="C17513" s="2131"/>
      <c r="D17513" s="2131"/>
      <c r="E17513" s="2132">
        <v>-0.10680000000000001</v>
      </c>
      <c r="F17513" s="2044">
        <v>0</v>
      </c>
      <c r="G17513" s="78"/>
    </row>
    <row r="17514" spans="1:11" hidden="1" outlineLevel="1" x14ac:dyDescent="0.25">
      <c r="A17514" s="2126" t="s">
        <v>9886</v>
      </c>
      <c r="B17514" s="2133"/>
      <c r="C17514" s="2125"/>
      <c r="D17514" s="2125"/>
      <c r="E17514" s="2134"/>
      <c r="F17514" s="2047"/>
      <c r="G17514" s="78"/>
    </row>
    <row r="17515" spans="1:11" collapsed="1" x14ac:dyDescent="0.25">
      <c r="A17515" s="3904" t="s">
        <v>9866</v>
      </c>
      <c r="B17515" s="3905"/>
      <c r="C17515" s="3905"/>
      <c r="D17515" s="142"/>
      <c r="E17515" s="142"/>
      <c r="F17515" s="190">
        <f>SUM(F17510:F17514)</f>
        <v>7.0000000000000007E-2</v>
      </c>
      <c r="G17515" s="78"/>
    </row>
    <row r="17517" spans="1:11" ht="12.75" hidden="1" customHeight="1" outlineLevel="1" x14ac:dyDescent="0.25">
      <c r="A17517" s="15" t="s">
        <v>113</v>
      </c>
      <c r="B17517" s="15" t="s">
        <v>114</v>
      </c>
      <c r="C17517" s="15" t="s">
        <v>112</v>
      </c>
      <c r="D17517" s="15" t="s">
        <v>116</v>
      </c>
      <c r="E17517" s="15" t="s">
        <v>117</v>
      </c>
      <c r="F17517" s="1882" t="s">
        <v>121</v>
      </c>
      <c r="G17517" s="78"/>
    </row>
    <row r="17518" spans="1:11" ht="12.75" hidden="1" customHeight="1" outlineLevel="1" x14ac:dyDescent="0.25">
      <c r="A17518" s="1744">
        <v>1</v>
      </c>
      <c r="B17518" s="331" t="s">
        <v>252</v>
      </c>
      <c r="C17518" s="1745">
        <v>100</v>
      </c>
      <c r="D17518" s="1745"/>
      <c r="E17518" s="1743"/>
      <c r="F17518" s="1742"/>
      <c r="G17518" s="78"/>
    </row>
    <row r="17519" spans="1:11" ht="12.75" hidden="1" customHeight="1" outlineLevel="1" x14ac:dyDescent="0.25">
      <c r="A17519" s="12" t="s">
        <v>2734</v>
      </c>
      <c r="B17519" s="12"/>
      <c r="C17519" s="1746"/>
      <c r="D17519" s="1747" t="s">
        <v>3702</v>
      </c>
      <c r="E17519" s="1748">
        <f>indexy!$B$2</f>
        <v>45379</v>
      </c>
      <c r="F17519" s="1749"/>
      <c r="G17519" s="78"/>
    </row>
    <row r="17520" spans="1:11" ht="12.75" hidden="1" customHeight="1" outlineLevel="1" x14ac:dyDescent="0.25">
      <c r="A17520" s="1704" t="s">
        <v>4156</v>
      </c>
      <c r="B17520" s="1704" t="s">
        <v>4153</v>
      </c>
      <c r="C17520" s="1629" t="s">
        <v>112</v>
      </c>
      <c r="D17520" s="1705" t="s">
        <v>4155</v>
      </c>
      <c r="E17520" s="1705" t="s">
        <v>4154</v>
      </c>
      <c r="F17520" s="1841" t="s">
        <v>2519</v>
      </c>
      <c r="G17520" s="78"/>
    </row>
    <row r="17521" spans="1:8" ht="12.75" hidden="1" customHeight="1" outlineLevel="1" x14ac:dyDescent="0.25">
      <c r="A17521" s="134">
        <v>0.02</v>
      </c>
      <c r="B17521" s="211" t="s">
        <v>8764</v>
      </c>
      <c r="C17521" s="472">
        <v>20.631</v>
      </c>
      <c r="D17521" s="1488">
        <f>VLOOKUP($H17521,indexy!$C$44:$D$823,2,FALSE)/100</f>
        <v>28.37</v>
      </c>
      <c r="E17521" s="1491">
        <f>$D17521/$C17521-1</f>
        <v>0.37511511802627129</v>
      </c>
      <c r="F17521" s="1805">
        <f>$E17521*$A17521</f>
        <v>7.5023023605254261E-3</v>
      </c>
      <c r="G17521" s="78"/>
      <c r="H17521" t="str">
        <f>VLOOKUP(B17521,indexy!$A$44:$D$823,3,FALSE)</f>
        <v>ADM LN Equity</v>
      </c>
    </row>
    <row r="17522" spans="1:8" ht="12.75" hidden="1" customHeight="1" outlineLevel="1" x14ac:dyDescent="0.25">
      <c r="A17522" s="135">
        <v>0.03</v>
      </c>
      <c r="B17522" s="211" t="s">
        <v>359</v>
      </c>
      <c r="C17522" s="472">
        <v>201.75800000000001</v>
      </c>
      <c r="D17522" s="1489">
        <f>VLOOKUP(H17522,indexy!$C$44:$D$823,2,FALSE)</f>
        <v>277.8</v>
      </c>
      <c r="E17522" s="1493">
        <f t="shared" ref="E17522:E17550" si="273">$D17522/$C17522-1</f>
        <v>0.37689707471327027</v>
      </c>
      <c r="F17522" s="1313">
        <f t="shared" ref="F17522:F17549" si="274">$E17522*$A17522</f>
        <v>1.1306912241398109E-2</v>
      </c>
      <c r="G17522" s="78"/>
      <c r="H17522" t="str">
        <f>VLOOKUP(B17522,indexy!$A$44:$D$823,3,FALSE)</f>
        <v>ALV GY Equity</v>
      </c>
    </row>
    <row r="17523" spans="1:8" ht="12.75" hidden="1" customHeight="1" outlineLevel="1" x14ac:dyDescent="0.25">
      <c r="A17523" s="135">
        <v>0.08</v>
      </c>
      <c r="B17523" s="211" t="s">
        <v>2697</v>
      </c>
      <c r="C17523" s="472">
        <v>16.679500000000001</v>
      </c>
      <c r="D17523" s="1489">
        <f>VLOOKUP(H17523,indexy!$C$44:$D$823,2,FALSE)</f>
        <v>23.46</v>
      </c>
      <c r="E17523" s="1493">
        <f t="shared" si="273"/>
        <v>0.4065169819239185</v>
      </c>
      <c r="F17523" s="1313">
        <f t="shared" si="274"/>
        <v>3.2521358553913478E-2</v>
      </c>
      <c r="G17523" s="78"/>
      <c r="H17523" t="str">
        <f>VLOOKUP(B17523,indexy!$A$44:$D$823,3,FALSE)</f>
        <v>G IM Equity</v>
      </c>
    </row>
    <row r="17524" spans="1:8" ht="12.75" hidden="1" customHeight="1" outlineLevel="1" x14ac:dyDescent="0.25">
      <c r="A17524" s="135">
        <v>0.02</v>
      </c>
      <c r="B17524" s="211" t="s">
        <v>5745</v>
      </c>
      <c r="C17524" s="472">
        <v>27.143999999999998</v>
      </c>
      <c r="D17524" s="1489">
        <f>VLOOKUP(H17524,indexy!$C$44:$D$823,2,FALSE)</f>
        <v>29.4</v>
      </c>
      <c r="E17524" s="1493">
        <f t="shared" si="273"/>
        <v>8.3112290008841683E-2</v>
      </c>
      <c r="F17524" s="1313">
        <f t="shared" si="274"/>
        <v>1.6622458001768338E-3</v>
      </c>
      <c r="G17524" s="78"/>
      <c r="H17524" t="str">
        <f>VLOOKUP(B17524,indexy!$A$44:$D$823,3,FALSE)</f>
        <v>ANZ AT Equity</v>
      </c>
    </row>
    <row r="17525" spans="1:8" ht="12.75" hidden="1" customHeight="1" outlineLevel="1" x14ac:dyDescent="0.25">
      <c r="A17525" s="135">
        <v>0.02</v>
      </c>
      <c r="B17525" s="211" t="s">
        <v>1093</v>
      </c>
      <c r="C17525" s="472">
        <v>4.1468999999999996</v>
      </c>
      <c r="D17525" s="1489">
        <f>VLOOKUP(H17525,indexy!$C$44:$D$823,2,FALSE)/100</f>
        <v>4.9660000000000002</v>
      </c>
      <c r="E17525" s="1493">
        <f t="shared" si="273"/>
        <v>0.19752103981287239</v>
      </c>
      <c r="F17525" s="1313">
        <f t="shared" si="274"/>
        <v>3.9504207962574476E-3</v>
      </c>
      <c r="G17525" s="78"/>
      <c r="H17525" t="str">
        <f>VLOOKUP(B17525,indexy!$A$44:$D$823,3,FALSE)</f>
        <v>AV/ LN Equity</v>
      </c>
    </row>
    <row r="17526" spans="1:8" ht="12.75" hidden="1" customHeight="1" outlineLevel="1" x14ac:dyDescent="0.25">
      <c r="A17526" s="135">
        <v>0.08</v>
      </c>
      <c r="B17526" s="211" t="s">
        <v>218</v>
      </c>
      <c r="C17526" s="472">
        <v>22.324999999999999</v>
      </c>
      <c r="D17526" s="1489">
        <f>VLOOKUP(H17526,indexy!$C$44:$D$823,2,FALSE)</f>
        <v>34.814999999999998</v>
      </c>
      <c r="E17526" s="1493">
        <f t="shared" si="273"/>
        <v>0.55946248600223969</v>
      </c>
      <c r="F17526" s="1313">
        <f t="shared" si="274"/>
        <v>4.4756998880179179E-2</v>
      </c>
      <c r="G17526" s="78"/>
      <c r="H17526" t="str">
        <f>VLOOKUP(B17526,indexy!$A$44:$D$823,3,FALSE)</f>
        <v>CS FP Equity</v>
      </c>
    </row>
    <row r="17527" spans="1:8" ht="12.75" hidden="1" customHeight="1" outlineLevel="1" x14ac:dyDescent="0.25">
      <c r="A17527" s="135">
        <v>0.02</v>
      </c>
      <c r="B17527" s="211" t="s">
        <v>805</v>
      </c>
      <c r="C17527" s="472">
        <v>103.55</v>
      </c>
      <c r="D17527" s="1489">
        <f>VLOOKUP(H17527,indexy!$C$44:$D$823,2,FALSE)</f>
        <v>132.25</v>
      </c>
      <c r="E17527" s="1493">
        <f t="shared" si="273"/>
        <v>0.27716079188797682</v>
      </c>
      <c r="F17527" s="1313">
        <f t="shared" si="274"/>
        <v>5.5432158377595369E-3</v>
      </c>
      <c r="G17527" s="78"/>
      <c r="H17527" t="str">
        <f>VLOOKUP(B17527,indexy!$A$44:$D$823,3,FALSE)</f>
        <v>BMO CT Equity</v>
      </c>
    </row>
    <row r="17528" spans="1:8" ht="12.75" hidden="1" customHeight="1" outlineLevel="1" x14ac:dyDescent="0.25">
      <c r="A17528" s="135">
        <v>0.02</v>
      </c>
      <c r="B17528" s="211" t="s">
        <v>5748</v>
      </c>
      <c r="C17528" s="472">
        <v>71.308999999999997</v>
      </c>
      <c r="D17528" s="1489">
        <f>VLOOKUP(H17528,indexy!$C$44:$D$823,2,FALSE)</f>
        <v>70.069999999999993</v>
      </c>
      <c r="E17528" s="1493">
        <f t="shared" si="273"/>
        <v>-1.7375085893786224E-2</v>
      </c>
      <c r="F17528" s="1313">
        <f t="shared" si="274"/>
        <v>-3.4750171787572447E-4</v>
      </c>
      <c r="G17528" s="78"/>
      <c r="H17528" t="str">
        <f>VLOOKUP(B17528,indexy!$A$44:$D$823,3,FALSE)</f>
        <v>BNS CT Equity</v>
      </c>
    </row>
    <row r="17529" spans="1:8" ht="12.75" hidden="1" customHeight="1" outlineLevel="1" x14ac:dyDescent="0.25">
      <c r="A17529" s="135">
        <v>0.02</v>
      </c>
      <c r="B17529" s="211" t="s">
        <v>6776</v>
      </c>
      <c r="C17529" s="472">
        <v>2.7639</v>
      </c>
      <c r="D17529" s="1489">
        <f>VLOOKUP(H17529,indexy!$C$44:$D$823,2,FALSE)</f>
        <v>4.4930000000000003</v>
      </c>
      <c r="E17529" s="1493">
        <f t="shared" si="273"/>
        <v>0.62560150511957757</v>
      </c>
      <c r="F17529" s="1313">
        <f t="shared" si="274"/>
        <v>1.2512030102391552E-2</v>
      </c>
      <c r="G17529" s="78"/>
      <c r="H17529" t="str">
        <f>VLOOKUP(B17529,indexy!$A$44:$D$823,3,FALSE)</f>
        <v>CABK SQ Equity</v>
      </c>
    </row>
    <row r="17530" spans="1:8" ht="12.75" hidden="1" customHeight="1" outlineLevel="1" x14ac:dyDescent="0.25">
      <c r="A17530" s="135">
        <v>0.02</v>
      </c>
      <c r="B17530" s="211" t="s">
        <v>3954</v>
      </c>
      <c r="C17530" s="472">
        <f>108.896/2</f>
        <v>54.448</v>
      </c>
      <c r="D17530" s="1489">
        <f>VLOOKUP(H17530,indexy!$C$44:$D$823,2,FALSE)</f>
        <v>68.67</v>
      </c>
      <c r="E17530" s="1493">
        <f t="shared" si="273"/>
        <v>0.26120334998530703</v>
      </c>
      <c r="F17530" s="1313">
        <f t="shared" si="274"/>
        <v>5.2240669997061411E-3</v>
      </c>
      <c r="G17530" s="78"/>
      <c r="H17530" t="str">
        <f>VLOOKUP(B17530,indexy!$A$44:$D$823,3,FALSE)</f>
        <v>CM CT Equity</v>
      </c>
    </row>
    <row r="17531" spans="1:8" ht="12.75" hidden="1" customHeight="1" outlineLevel="1" x14ac:dyDescent="0.25">
      <c r="A17531" s="135">
        <v>0.02</v>
      </c>
      <c r="B17531" s="211" t="s">
        <v>7114</v>
      </c>
      <c r="C17531" s="472">
        <v>184.18299999999999</v>
      </c>
      <c r="D17531" s="1489">
        <f>VLOOKUP(H17531,indexy!$C$44:$D$823,2,FALSE)</f>
        <v>215.29</v>
      </c>
      <c r="E17531" s="1493">
        <f t="shared" si="273"/>
        <v>0.16889180869026998</v>
      </c>
      <c r="F17531" s="1313">
        <f t="shared" si="274"/>
        <v>3.3778361738053997E-3</v>
      </c>
      <c r="G17531" s="78"/>
      <c r="H17531" t="str">
        <f>VLOOKUP(B17531,indexy!$A$44:$D$823,3,FALSE)</f>
        <v>CME UW Equity</v>
      </c>
    </row>
    <row r="17532" spans="1:8" ht="12.75" hidden="1" customHeight="1" outlineLevel="1" x14ac:dyDescent="0.25">
      <c r="A17532" s="135">
        <v>7.0000000000000007E-2</v>
      </c>
      <c r="B17532" s="211" t="s">
        <v>8678</v>
      </c>
      <c r="C17532" s="472">
        <v>75.369</v>
      </c>
      <c r="D17532" s="1489">
        <f>VLOOKUP(H17532,indexy!$C$44:$D$823,2,FALSE)</f>
        <v>120.34</v>
      </c>
      <c r="E17532" s="1493">
        <f t="shared" si="273"/>
        <v>0.59667767915190595</v>
      </c>
      <c r="F17532" s="1313">
        <f t="shared" si="274"/>
        <v>4.1767437540633418E-2</v>
      </c>
      <c r="G17532" s="78"/>
      <c r="H17532" t="str">
        <f>VLOOKUP(B17532,indexy!$A$44:$D$823,3,FALSE)</f>
        <v>CBA AT Equity</v>
      </c>
    </row>
    <row r="17533" spans="1:8" ht="12.75" hidden="1" customHeight="1" outlineLevel="1" x14ac:dyDescent="0.25">
      <c r="A17533" s="135">
        <v>0.02</v>
      </c>
      <c r="B17533" s="211" t="s">
        <v>1714</v>
      </c>
      <c r="C17533" s="490">
        <v>11.17</v>
      </c>
      <c r="D17533" s="1489">
        <f>VLOOKUP(H17533,indexy!$C$44:$D$823,2,FALSE)</f>
        <v>13.816000000000001</v>
      </c>
      <c r="E17533" s="1493">
        <f t="shared" si="273"/>
        <v>0.23688451208594463</v>
      </c>
      <c r="F17533" s="1313">
        <f t="shared" si="274"/>
        <v>4.7376902417188924E-3</v>
      </c>
      <c r="G17533" s="78"/>
      <c r="H17533" t="str">
        <f>VLOOKUP(B17533,indexy!$A$44:$D$823,3,FALSE)</f>
        <v>ACA FP Equity</v>
      </c>
    </row>
    <row r="17534" spans="1:8" ht="12.75" hidden="1" customHeight="1" outlineLevel="1" x14ac:dyDescent="0.25">
      <c r="A17534" s="135">
        <v>0.04</v>
      </c>
      <c r="B17534" s="211" t="s">
        <v>6821</v>
      </c>
      <c r="C17534" s="472">
        <v>3.1808000000000001</v>
      </c>
      <c r="D17534" s="1489">
        <f>VLOOKUP(H17534,indexy!$C$44:$D$823,2,FALSE)/100</f>
        <v>1.9505000000000001</v>
      </c>
      <c r="E17534" s="1493">
        <f t="shared" si="273"/>
        <v>-0.38678948692152915</v>
      </c>
      <c r="F17534" s="1313">
        <f t="shared" si="274"/>
        <v>-1.5471579476861166E-2</v>
      </c>
      <c r="G17534" s="78"/>
      <c r="H17534" t="str">
        <f>VLOOKUP(B17534,indexy!$A$44:$D$823,3,FALSE)</f>
        <v>DLG LN Equity</v>
      </c>
    </row>
    <row r="17535" spans="1:8" ht="12.75" hidden="1" customHeight="1" outlineLevel="1" x14ac:dyDescent="0.25">
      <c r="A17535" s="135">
        <v>0.02</v>
      </c>
      <c r="B17535" s="211" t="s">
        <v>9901</v>
      </c>
      <c r="C17535" s="472">
        <v>4.9389000000000003</v>
      </c>
      <c r="D17535" s="1489">
        <f>VLOOKUP(H17535,indexy!$C$44:$D$823,2,FALSE)/100</f>
        <v>7.3</v>
      </c>
      <c r="E17535" s="1493">
        <f t="shared" si="273"/>
        <v>0.47806191662110975</v>
      </c>
      <c r="F17535" s="1313">
        <f t="shared" si="274"/>
        <v>9.5612383324221954E-3</v>
      </c>
      <c r="G17535" s="78"/>
      <c r="H17535" t="str">
        <f>VLOOKUP(B17535,indexy!$A$44:$D$823,3,FALSE)</f>
        <v>IGG LN Equity</v>
      </c>
    </row>
    <row r="17536" spans="1:8" ht="12.75" hidden="1" customHeight="1" outlineLevel="1" x14ac:dyDescent="0.25">
      <c r="A17536" s="135">
        <v>0.02</v>
      </c>
      <c r="B17536" s="211" t="s">
        <v>6902</v>
      </c>
      <c r="C17536" s="472">
        <v>2.7065000000000001</v>
      </c>
      <c r="D17536" s="1489">
        <f>VLOOKUP(H17536,indexy!$C$44:$D$823,2,FALSE)/100</f>
        <v>2.544</v>
      </c>
      <c r="E17536" s="1493">
        <f t="shared" si="273"/>
        <v>-6.0040642896730168E-2</v>
      </c>
      <c r="F17536" s="1313">
        <f t="shared" si="274"/>
        <v>-1.2008128579346035E-3</v>
      </c>
      <c r="G17536" s="78"/>
      <c r="H17536" t="str">
        <f>VLOOKUP(B17536,indexy!$A$44:$D$823,3,FALSE)</f>
        <v>LGEN LN Equity</v>
      </c>
    </row>
    <row r="17537" spans="1:8" ht="12.75" hidden="1" customHeight="1" outlineLevel="1" x14ac:dyDescent="0.25">
      <c r="A17537" s="135">
        <v>0.02</v>
      </c>
      <c r="B17537" s="211" t="s">
        <v>8768</v>
      </c>
      <c r="C17537" s="472">
        <v>120.90900000000001</v>
      </c>
      <c r="D17537" s="1489">
        <f>VLOOKUP(H17537,indexy!$C$44:$D$823,2,FALSE)</f>
        <v>199.7</v>
      </c>
      <c r="E17537" s="1493">
        <f t="shared" si="273"/>
        <v>0.65165537718449396</v>
      </c>
      <c r="F17537" s="1313">
        <f t="shared" si="274"/>
        <v>1.303310754368988E-2</v>
      </c>
      <c r="G17537" s="78"/>
      <c r="H17537" t="str">
        <f>VLOOKUP(B17537,indexy!$A$44:$D$823,3,FALSE)</f>
        <v>MQG AT Equity</v>
      </c>
    </row>
    <row r="17538" spans="1:8" ht="12.75" hidden="1" customHeight="1" outlineLevel="1" x14ac:dyDescent="0.25">
      <c r="A17538" s="135">
        <v>0.02</v>
      </c>
      <c r="B17538" s="211" t="s">
        <v>65</v>
      </c>
      <c r="C17538" s="472">
        <v>1.4943</v>
      </c>
      <c r="D17538" s="1489">
        <f>VLOOKUP(H17538,indexy!$C$44:$D$823,2,FALSE)/100</f>
        <v>2.6739999999999999</v>
      </c>
      <c r="E17538" s="1493">
        <f t="shared" si="273"/>
        <v>0.78946663989828014</v>
      </c>
      <c r="F17538" s="1313">
        <f t="shared" si="274"/>
        <v>1.5789332797965603E-2</v>
      </c>
      <c r="G17538" s="78"/>
      <c r="H17538" t="str">
        <f>VLOOKUP(B17538,indexy!$A$44:$D$823,3,FALSE)</f>
        <v>EMG LN Equity</v>
      </c>
    </row>
    <row r="17539" spans="1:8" ht="12.75" hidden="1" customHeight="1" outlineLevel="1" x14ac:dyDescent="0.25">
      <c r="A17539" s="135">
        <v>0.02</v>
      </c>
      <c r="B17539" s="211" t="s">
        <v>123</v>
      </c>
      <c r="C17539" s="472">
        <v>23.47</v>
      </c>
      <c r="D17539" s="1489">
        <f>VLOOKUP(H17539,indexy!$C$44:$D$823,2,FALSE)</f>
        <v>33.83</v>
      </c>
      <c r="E17539" s="1493">
        <f t="shared" si="273"/>
        <v>0.44141457179377919</v>
      </c>
      <c r="F17539" s="1313">
        <f t="shared" si="274"/>
        <v>8.8282914358755842E-3</v>
      </c>
      <c r="G17539" s="78"/>
      <c r="H17539" t="str">
        <f>VLOOKUP(B17539,indexy!$A$44:$D$823,3,FALSE)</f>
        <v>MFC CT Equity</v>
      </c>
    </row>
    <row r="17540" spans="1:8" ht="12.75" hidden="1" customHeight="1" outlineLevel="1" x14ac:dyDescent="0.25">
      <c r="A17540" s="135">
        <v>0.03</v>
      </c>
      <c r="B17540" s="211" t="s">
        <v>1772</v>
      </c>
      <c r="C17540" s="472">
        <v>215.21</v>
      </c>
      <c r="D17540" s="1489">
        <f>VLOOKUP(H17540,indexy!$C$44:$D$823,2,FALSE)</f>
        <v>452.3</v>
      </c>
      <c r="E17540" s="1493">
        <f t="shared" si="273"/>
        <v>1.1016681380976721</v>
      </c>
      <c r="F17540" s="1313">
        <f t="shared" si="274"/>
        <v>3.3050044142930161E-2</v>
      </c>
      <c r="G17540" s="78"/>
      <c r="H17540" t="str">
        <f>VLOOKUP(B17540,indexy!$A$44:$D$823,3,FALSE)</f>
        <v>MUV2 GY Equity</v>
      </c>
    </row>
    <row r="17541" spans="1:8" ht="12.75" hidden="1" customHeight="1" outlineLevel="1" x14ac:dyDescent="0.25">
      <c r="A17541" s="135">
        <v>0.03</v>
      </c>
      <c r="B17541" s="211" t="s">
        <v>8336</v>
      </c>
      <c r="C17541" s="472">
        <v>25.195</v>
      </c>
      <c r="D17541" s="1489">
        <f>VLOOKUP(H17541,indexy!$C$44:$D$823,2,FALSE)</f>
        <v>34.64</v>
      </c>
      <c r="E17541" s="1493">
        <f t="shared" si="273"/>
        <v>0.37487596745385998</v>
      </c>
      <c r="F17541" s="1313">
        <f t="shared" si="274"/>
        <v>1.1246279023615798E-2</v>
      </c>
      <c r="G17541" s="78"/>
      <c r="H17541" t="str">
        <f>VLOOKUP(B17541,indexy!$A$44:$D$823,3,FALSE)</f>
        <v>NAB AT Equity</v>
      </c>
    </row>
    <row r="17542" spans="1:8" ht="12.75" hidden="1" customHeight="1" outlineLevel="1" x14ac:dyDescent="0.25">
      <c r="A17542" s="135">
        <v>7.0000000000000007E-2</v>
      </c>
      <c r="B17542" s="211" t="s">
        <v>1203</v>
      </c>
      <c r="C17542" s="472">
        <v>72.055000000000007</v>
      </c>
      <c r="D17542" s="1489">
        <f>VLOOKUP(H17542,indexy!$C$44:$D$823,2,FALSE)</f>
        <v>119.2</v>
      </c>
      <c r="E17542" s="1493">
        <f t="shared" si="273"/>
        <v>0.65429186038442855</v>
      </c>
      <c r="F17542" s="1313">
        <f t="shared" si="274"/>
        <v>4.5800430226910001E-2</v>
      </c>
      <c r="G17542" s="78"/>
      <c r="H17542" t="str">
        <f>VLOOKUP(B17542,indexy!$A$44:$D$823,3,FALSE)</f>
        <v>NDA SS Equity</v>
      </c>
    </row>
    <row r="17543" spans="1:8" ht="12.75" hidden="1" customHeight="1" outlineLevel="1" x14ac:dyDescent="0.25">
      <c r="A17543" s="135">
        <v>0.02</v>
      </c>
      <c r="B17543" s="211" t="s">
        <v>102</v>
      </c>
      <c r="C17543" s="472">
        <v>5.5888</v>
      </c>
      <c r="D17543" s="1489">
        <f>VLOOKUP(H17543,indexy!$C$44:$D$823,2,FALSE)/100</f>
        <v>6.8420000000000005</v>
      </c>
      <c r="E17543" s="1493">
        <f t="shared" si="273"/>
        <v>0.22423418265101636</v>
      </c>
      <c r="F17543" s="1313">
        <f t="shared" si="274"/>
        <v>4.4846836530203276E-3</v>
      </c>
      <c r="G17543" s="78"/>
      <c r="H17543" t="str">
        <f>VLOOKUP(B17543,indexy!$A$44:$D$823,3,FALSE)</f>
        <v>RSA LN Equity</v>
      </c>
    </row>
    <row r="17544" spans="1:8" ht="12.75" hidden="1" customHeight="1" outlineLevel="1" x14ac:dyDescent="0.25">
      <c r="A17544" s="135">
        <v>0.02</v>
      </c>
      <c r="B17544" s="211" t="s">
        <v>3960</v>
      </c>
      <c r="C17544" s="472">
        <v>2.6324999999999998</v>
      </c>
      <c r="D17544" s="1489">
        <f>VLOOKUP(H17544,indexy!$C$44:$D$823,2,FALSE)/100</f>
        <v>1.411</v>
      </c>
      <c r="E17544" s="1493">
        <f t="shared" si="273"/>
        <v>-0.46400759734093067</v>
      </c>
      <c r="F17544" s="1313">
        <f t="shared" si="274"/>
        <v>-9.2801519468186135E-3</v>
      </c>
      <c r="G17544" s="78"/>
      <c r="H17544" t="str">
        <f>VLOOKUP(B17544,indexy!$A$44:$D$823,3,FALSE)</f>
        <v>ABDN LN Equity</v>
      </c>
    </row>
    <row r="17545" spans="1:8" ht="12.75" hidden="1" customHeight="1" outlineLevel="1" x14ac:dyDescent="0.25">
      <c r="A17545" s="135">
        <v>0.08</v>
      </c>
      <c r="B17545" s="211" t="s">
        <v>1724</v>
      </c>
      <c r="C17545" s="472">
        <v>143.55500000000001</v>
      </c>
      <c r="D17545" s="1489">
        <f>VLOOKUP(H17545,indexy!$C$44:$D$823,2,FALSE)</f>
        <v>212.3</v>
      </c>
      <c r="E17545" s="1493">
        <f t="shared" si="273"/>
        <v>0.47887569224339099</v>
      </c>
      <c r="F17545" s="1313">
        <f t="shared" si="274"/>
        <v>3.8310055379471283E-2</v>
      </c>
      <c r="G17545" s="78"/>
      <c r="H17545" t="str">
        <f>VLOOKUP(B17545,indexy!$A$44:$D$823,3,FALSE)</f>
        <v>SWEDA SS Equity</v>
      </c>
    </row>
    <row r="17546" spans="1:8" ht="12.75" hidden="1" customHeight="1" outlineLevel="1" x14ac:dyDescent="0.25">
      <c r="A17546" s="135">
        <v>0.02</v>
      </c>
      <c r="B17546" s="211" t="s">
        <v>9173</v>
      </c>
      <c r="C17546" s="472">
        <v>455.63</v>
      </c>
      <c r="D17546" s="1489">
        <f>VLOOKUP(H17546,indexy!$C$44:$D$823,2,FALSE)</f>
        <v>632.20000000000005</v>
      </c>
      <c r="E17546" s="1493">
        <f t="shared" si="273"/>
        <v>0.38752935495906771</v>
      </c>
      <c r="F17546" s="1313">
        <f t="shared" si="274"/>
        <v>7.7505870991813547E-3</v>
      </c>
      <c r="G17546" s="78"/>
      <c r="H17546" t="str">
        <f>VLOOKUP(B17546,indexy!$A$44:$D$823,3,FALSE)</f>
        <v>SLHN SE Equity</v>
      </c>
    </row>
    <row r="17547" spans="1:8" ht="12.75" hidden="1" customHeight="1" outlineLevel="1" x14ac:dyDescent="0.25">
      <c r="A17547" s="135">
        <v>0.05</v>
      </c>
      <c r="B17547" s="211" t="s">
        <v>6118</v>
      </c>
      <c r="C17547" s="472">
        <v>92.591999999999999</v>
      </c>
      <c r="D17547" s="1489">
        <f>VLOOKUP(H17547,indexy!$C$44:$D$823,2,FALSE)</f>
        <v>115.95</v>
      </c>
      <c r="E17547" s="1493">
        <f t="shared" si="273"/>
        <v>0.2522680145152929</v>
      </c>
      <c r="F17547" s="1313">
        <f t="shared" si="274"/>
        <v>1.2613400725764647E-2</v>
      </c>
      <c r="G17547" s="78"/>
      <c r="H17547" t="str">
        <f>VLOOKUP(B17547,indexy!$A$44:$D$823,3,FALSE)</f>
        <v>SREN SE Equity</v>
      </c>
    </row>
    <row r="17548" spans="1:8" ht="12.75" hidden="1" customHeight="1" outlineLevel="1" x14ac:dyDescent="0.25">
      <c r="A17548" s="135">
        <v>0.02</v>
      </c>
      <c r="B17548" s="211" t="s">
        <v>3626</v>
      </c>
      <c r="C17548" s="472">
        <v>74.451999999999998</v>
      </c>
      <c r="D17548" s="1489">
        <f>VLOOKUP(H17548,indexy!$C$44:$D$823,2,FALSE)</f>
        <v>81.75</v>
      </c>
      <c r="E17548" s="1493">
        <f t="shared" si="273"/>
        <v>9.8022887229355815E-2</v>
      </c>
      <c r="F17548" s="1313">
        <f t="shared" si="274"/>
        <v>1.9604577445871164E-3</v>
      </c>
      <c r="G17548" s="78"/>
      <c r="H17548" t="str">
        <f>VLOOKUP(B17548,indexy!$A$44:$D$823,3,FALSE)</f>
        <v>TD CT Equity</v>
      </c>
    </row>
    <row r="17549" spans="1:8" ht="12.75" hidden="1" customHeight="1" outlineLevel="1" x14ac:dyDescent="0.25">
      <c r="A17549" s="135">
        <v>0.03</v>
      </c>
      <c r="B17549" s="211" t="s">
        <v>5626</v>
      </c>
      <c r="C17549" s="472">
        <v>27.260999999999999</v>
      </c>
      <c r="D17549" s="1489">
        <f>VLOOKUP(H17549,indexy!$C$44:$D$823,2,FALSE)</f>
        <v>26.1</v>
      </c>
      <c r="E17549" s="1493">
        <f t="shared" si="273"/>
        <v>-4.258831297457899E-2</v>
      </c>
      <c r="F17549" s="1313">
        <f t="shared" si="274"/>
        <v>-1.2776493892373696E-3</v>
      </c>
      <c r="G17549" s="78"/>
      <c r="H17549" t="str">
        <f>VLOOKUP(B17549,indexy!$A$44:$D$823,3,FALSE)</f>
        <v>WBC AT Equity</v>
      </c>
    </row>
    <row r="17550" spans="1:8" ht="12.75" hidden="1" customHeight="1" outlineLevel="1" x14ac:dyDescent="0.25">
      <c r="A17550" s="135">
        <v>0.05</v>
      </c>
      <c r="B17550" s="1465" t="s">
        <v>4550</v>
      </c>
      <c r="C17550" s="472">
        <v>322.87</v>
      </c>
      <c r="D17550" s="1490">
        <f>VLOOKUP(H17550,indexy!$C$44:$D$823,2,FALSE)</f>
        <v>486.3</v>
      </c>
      <c r="E17550" s="1495">
        <f t="shared" si="273"/>
        <v>0.50617895747514474</v>
      </c>
      <c r="F17550" s="1314">
        <f>$E17550*$A17550</f>
        <v>2.5308947873757238E-2</v>
      </c>
      <c r="G17550" s="78"/>
      <c r="H17550" t="str">
        <f>VLOOKUP(B17550,indexy!$A$44:$D$823,3,FALSE)</f>
        <v>ZURN SE Equity</v>
      </c>
    </row>
    <row r="17551" spans="1:8" ht="12.75" hidden="1" customHeight="1" outlineLevel="1" x14ac:dyDescent="0.25">
      <c r="A17551" s="1475" t="s">
        <v>2734</v>
      </c>
      <c r="B17551" s="150"/>
      <c r="C17551" s="1476"/>
      <c r="D17551" s="1477"/>
      <c r="E17551" s="512"/>
      <c r="F17551" s="1313">
        <f>SUM(F17521:F17550)</f>
        <v>0.37502167611892923</v>
      </c>
      <c r="G17551" s="78"/>
    </row>
    <row r="17552" spans="1:8" ht="12.75" hidden="1" customHeight="1" outlineLevel="1" x14ac:dyDescent="0.25">
      <c r="A17552" s="221" t="s">
        <v>9904</v>
      </c>
      <c r="B17552" s="1478">
        <v>45139</v>
      </c>
      <c r="C17552" s="1497">
        <v>100</v>
      </c>
      <c r="D17552" s="1497"/>
      <c r="E17552" s="1498">
        <f>IF(D17552="",F17551,D17552/C17552-1)</f>
        <v>0.37502167611892923</v>
      </c>
      <c r="F17552" s="1842"/>
      <c r="G17552" s="78"/>
    </row>
    <row r="17553" spans="1:7" ht="12.75" hidden="1" customHeight="1" outlineLevel="1" x14ac:dyDescent="0.25">
      <c r="A17553" s="221" t="s">
        <v>9905</v>
      </c>
      <c r="B17553" s="1478">
        <v>45170</v>
      </c>
      <c r="C17553" s="1497">
        <v>100</v>
      </c>
      <c r="D17553" s="1500"/>
      <c r="E17553" s="1498">
        <f>IF(D17553="",E17552,D17553/C17553-1)</f>
        <v>0.37502167611892923</v>
      </c>
      <c r="F17553" s="1842"/>
      <c r="G17553" s="78"/>
    </row>
    <row r="17554" spans="1:7" ht="12.75" hidden="1" customHeight="1" outlineLevel="1" x14ac:dyDescent="0.25">
      <c r="A17554" s="221" t="s">
        <v>9906</v>
      </c>
      <c r="B17554" s="1478">
        <v>45200</v>
      </c>
      <c r="C17554" s="1497">
        <v>100</v>
      </c>
      <c r="D17554" s="1500"/>
      <c r="E17554" s="1498">
        <f>IF(D17554="",E17553,D17554/C17554-1)</f>
        <v>0.37502167611892923</v>
      </c>
      <c r="F17554" s="1842"/>
      <c r="G17554" s="78"/>
    </row>
    <row r="17555" spans="1:7" ht="12.75" hidden="1" customHeight="1" outlineLevel="1" x14ac:dyDescent="0.25">
      <c r="A17555" s="221" t="s">
        <v>9907</v>
      </c>
      <c r="B17555" s="1478">
        <v>45231</v>
      </c>
      <c r="C17555" s="1497">
        <v>100</v>
      </c>
      <c r="D17555" s="1500"/>
      <c r="E17555" s="1498">
        <f>IF(D17555="",E17554,D17555/C17555-1)</f>
        <v>0.37502167611892923</v>
      </c>
      <c r="F17555" s="1842"/>
      <c r="G17555" s="78"/>
    </row>
    <row r="17556" spans="1:7" ht="12.75" hidden="1" customHeight="1" outlineLevel="1" x14ac:dyDescent="0.25">
      <c r="A17556" s="221" t="s">
        <v>9908</v>
      </c>
      <c r="B17556" s="1478">
        <v>45261</v>
      </c>
      <c r="C17556" s="1497">
        <v>100</v>
      </c>
      <c r="D17556" s="1500"/>
      <c r="E17556" s="1498">
        <f>IF(D17556="",E17555,D17556/C17556-1)</f>
        <v>0.37502167611892923</v>
      </c>
      <c r="F17556" s="1842"/>
      <c r="G17556" s="78"/>
    </row>
    <row r="17557" spans="1:7" ht="12.75" hidden="1" customHeight="1" outlineLevel="1" x14ac:dyDescent="0.25">
      <c r="A17557" s="221" t="s">
        <v>9909</v>
      </c>
      <c r="B17557" s="1478">
        <v>45292</v>
      </c>
      <c r="C17557" s="1497">
        <v>100</v>
      </c>
      <c r="D17557" s="1500"/>
      <c r="E17557" s="1498">
        <f>IF(D17557="",E17556,D17557/C17557-1)</f>
        <v>0.37502167611892923</v>
      </c>
      <c r="F17557" s="1842"/>
      <c r="G17557" s="78"/>
    </row>
    <row r="17558" spans="1:7" ht="12.75" hidden="1" customHeight="1" outlineLevel="1" x14ac:dyDescent="0.25">
      <c r="A17558" s="221" t="s">
        <v>9910</v>
      </c>
      <c r="B17558" s="1478">
        <v>45323</v>
      </c>
      <c r="C17558" s="1497">
        <v>100</v>
      </c>
      <c r="D17558" s="1500"/>
      <c r="E17558" s="1498">
        <f t="shared" ref="E17558:E17569" si="275">IF(D17558="",E17557,D17558/C17558-1)</f>
        <v>0.37502167611892923</v>
      </c>
      <c r="F17558" s="1845"/>
      <c r="G17558" s="78"/>
    </row>
    <row r="17559" spans="1:7" ht="12.75" hidden="1" customHeight="1" outlineLevel="1" x14ac:dyDescent="0.25">
      <c r="A17559" s="221" t="s">
        <v>9911</v>
      </c>
      <c r="B17559" s="1478">
        <v>45352</v>
      </c>
      <c r="C17559" s="1497">
        <v>100</v>
      </c>
      <c r="D17559" s="1500"/>
      <c r="E17559" s="1498">
        <f t="shared" si="275"/>
        <v>0.37502167611892923</v>
      </c>
      <c r="F17559" s="1845"/>
      <c r="G17559" s="78"/>
    </row>
    <row r="17560" spans="1:7" ht="12.75" hidden="1" customHeight="1" outlineLevel="1" x14ac:dyDescent="0.25">
      <c r="A17560" s="221" t="s">
        <v>9912</v>
      </c>
      <c r="B17560" s="1478">
        <v>45383</v>
      </c>
      <c r="C17560" s="1497">
        <v>100</v>
      </c>
      <c r="D17560" s="1500"/>
      <c r="E17560" s="1498">
        <f t="shared" si="275"/>
        <v>0.37502167611892923</v>
      </c>
      <c r="F17560" s="1845"/>
      <c r="G17560" s="78"/>
    </row>
    <row r="17561" spans="1:7" ht="12.75" hidden="1" customHeight="1" outlineLevel="1" x14ac:dyDescent="0.25">
      <c r="A17561" s="221" t="s">
        <v>9913</v>
      </c>
      <c r="B17561" s="1478">
        <v>45413</v>
      </c>
      <c r="C17561" s="1497">
        <v>100</v>
      </c>
      <c r="D17561" s="1500"/>
      <c r="E17561" s="1498">
        <f t="shared" si="275"/>
        <v>0.37502167611892923</v>
      </c>
      <c r="F17561" s="1845"/>
      <c r="G17561" s="78"/>
    </row>
    <row r="17562" spans="1:7" ht="12.75" hidden="1" customHeight="1" outlineLevel="1" x14ac:dyDescent="0.25">
      <c r="A17562" s="221" t="s">
        <v>9914</v>
      </c>
      <c r="B17562" s="1478">
        <v>45444</v>
      </c>
      <c r="C17562" s="1497">
        <v>100</v>
      </c>
      <c r="D17562" s="1500"/>
      <c r="E17562" s="1498">
        <f t="shared" si="275"/>
        <v>0.37502167611892923</v>
      </c>
      <c r="F17562" s="1845"/>
      <c r="G17562" s="78"/>
    </row>
    <row r="17563" spans="1:7" ht="12.75" hidden="1" customHeight="1" outlineLevel="1" x14ac:dyDescent="0.25">
      <c r="A17563" s="221" t="s">
        <v>9915</v>
      </c>
      <c r="B17563" s="1478">
        <v>45474</v>
      </c>
      <c r="C17563" s="1497">
        <v>100</v>
      </c>
      <c r="D17563" s="1500"/>
      <c r="E17563" s="1498">
        <f t="shared" si="275"/>
        <v>0.37502167611892923</v>
      </c>
      <c r="F17563" s="1845"/>
      <c r="G17563" s="78"/>
    </row>
    <row r="17564" spans="1:7" ht="12.75" hidden="1" customHeight="1" outlineLevel="1" x14ac:dyDescent="0.25">
      <c r="A17564" s="221" t="s">
        <v>9916</v>
      </c>
      <c r="B17564" s="1478">
        <v>45505</v>
      </c>
      <c r="C17564" s="1497">
        <v>100</v>
      </c>
      <c r="D17564" s="1500"/>
      <c r="E17564" s="1498">
        <f t="shared" si="275"/>
        <v>0.37502167611892923</v>
      </c>
      <c r="F17564" s="1845"/>
      <c r="G17564" s="78"/>
    </row>
    <row r="17565" spans="1:7" ht="12.75" hidden="1" customHeight="1" outlineLevel="1" x14ac:dyDescent="0.25">
      <c r="A17565" s="221" t="s">
        <v>9917</v>
      </c>
      <c r="B17565" s="1478">
        <v>45536</v>
      </c>
      <c r="C17565" s="1497">
        <v>100</v>
      </c>
      <c r="D17565" s="1500"/>
      <c r="E17565" s="1498">
        <f t="shared" si="275"/>
        <v>0.37502167611892923</v>
      </c>
      <c r="F17565" s="1845"/>
      <c r="G17565" s="78"/>
    </row>
    <row r="17566" spans="1:7" ht="12.75" hidden="1" customHeight="1" outlineLevel="1" x14ac:dyDescent="0.25">
      <c r="A17566" s="221" t="s">
        <v>9918</v>
      </c>
      <c r="B17566" s="1478">
        <v>45566</v>
      </c>
      <c r="C17566" s="1497">
        <v>100</v>
      </c>
      <c r="D17566" s="1500"/>
      <c r="E17566" s="1498">
        <f t="shared" si="275"/>
        <v>0.37502167611892923</v>
      </c>
      <c r="F17566" s="1845"/>
      <c r="G17566" s="78"/>
    </row>
    <row r="17567" spans="1:7" ht="12.75" hidden="1" customHeight="1" outlineLevel="1" x14ac:dyDescent="0.25">
      <c r="A17567" s="221" t="s">
        <v>9919</v>
      </c>
      <c r="B17567" s="1478">
        <v>45597</v>
      </c>
      <c r="C17567" s="1497">
        <v>100</v>
      </c>
      <c r="D17567" s="1500"/>
      <c r="E17567" s="1498">
        <f t="shared" si="275"/>
        <v>0.37502167611892923</v>
      </c>
      <c r="F17567" s="1845"/>
      <c r="G17567" s="78"/>
    </row>
    <row r="17568" spans="1:7" ht="12.75" hidden="1" customHeight="1" outlineLevel="1" x14ac:dyDescent="0.25">
      <c r="A17568" s="221" t="s">
        <v>9920</v>
      </c>
      <c r="B17568" s="1478">
        <v>45627</v>
      </c>
      <c r="C17568" s="1497">
        <v>100</v>
      </c>
      <c r="D17568" s="1500"/>
      <c r="E17568" s="1498">
        <f t="shared" si="275"/>
        <v>0.37502167611892923</v>
      </c>
      <c r="F17568" s="1845"/>
      <c r="G17568" s="78"/>
    </row>
    <row r="17569" spans="1:25" ht="12.75" hidden="1" customHeight="1" outlineLevel="1" x14ac:dyDescent="0.25">
      <c r="A17569" s="221" t="s">
        <v>9921</v>
      </c>
      <c r="B17569" s="1478">
        <v>45658</v>
      </c>
      <c r="C17569" s="1497">
        <v>100</v>
      </c>
      <c r="D17569" s="1500"/>
      <c r="E17569" s="1498">
        <f t="shared" si="275"/>
        <v>0.37502167611892923</v>
      </c>
      <c r="F17569" s="1845"/>
      <c r="G17569" s="78"/>
    </row>
    <row r="17570" spans="1:25" ht="12.75" hidden="1" customHeight="1" outlineLevel="1" x14ac:dyDescent="0.25">
      <c r="A17570" s="1483" t="s">
        <v>2734</v>
      </c>
      <c r="B17570" s="1484"/>
      <c r="C17570" s="1500"/>
      <c r="D17570" s="1485" t="s">
        <v>2465</v>
      </c>
      <c r="E17570" s="1486">
        <f>AVERAGE(E17552:E17569)</f>
        <v>0.37502167611892917</v>
      </c>
      <c r="F17570" s="1844">
        <f>E17570</f>
        <v>0.37502167611892917</v>
      </c>
      <c r="G17570" s="78"/>
    </row>
    <row r="17571" spans="1:25" collapsed="1" x14ac:dyDescent="0.25">
      <c r="A17571" s="3904" t="s">
        <v>9772</v>
      </c>
      <c r="B17571" s="3905"/>
      <c r="C17571" s="3905"/>
      <c r="D17571" s="142"/>
      <c r="E17571" s="142"/>
      <c r="F17571" s="186">
        <f>MAX(0%,MIN(F17570*0.5,70%))</f>
        <v>0.18751083805946459</v>
      </c>
      <c r="G17571" s="78"/>
    </row>
    <row r="17573" spans="1:25" hidden="1" outlineLevel="1" x14ac:dyDescent="0.25">
      <c r="A17573" s="3248" t="s">
        <v>113</v>
      </c>
      <c r="B17573" s="3237" t="s">
        <v>114</v>
      </c>
      <c r="C17573" s="3237" t="s">
        <v>4613</v>
      </c>
      <c r="D17573" s="3237" t="s">
        <v>4363</v>
      </c>
      <c r="E17573" s="3237" t="s">
        <v>116</v>
      </c>
      <c r="F17573" s="3276" t="s">
        <v>121</v>
      </c>
      <c r="G17573" s="78"/>
      <c r="H17573" s="438" t="s">
        <v>5391</v>
      </c>
      <c r="I17573" s="438" t="s">
        <v>5392</v>
      </c>
    </row>
    <row r="17574" spans="1:25" hidden="1" outlineLevel="1" x14ac:dyDescent="0.25">
      <c r="A17574" s="1810" t="s">
        <v>9952</v>
      </c>
      <c r="B17574" s="2984" t="s">
        <v>2153</v>
      </c>
      <c r="C17574" s="3541">
        <v>3423.8789999999999</v>
      </c>
      <c r="D17574" s="3805">
        <v>3796.6979999999999</v>
      </c>
      <c r="E17574" s="2238"/>
      <c r="F17574" s="3536">
        <v>0.18</v>
      </c>
      <c r="G17574" s="78"/>
      <c r="H17574" s="92">
        <v>0.10888790170447038</v>
      </c>
      <c r="I17574" s="450">
        <v>0.18</v>
      </c>
    </row>
    <row r="17575" spans="1:25" hidden="1" outlineLevel="1" x14ac:dyDescent="0.25">
      <c r="A17575" s="1810" t="s">
        <v>9953</v>
      </c>
      <c r="B17575" s="2984" t="s">
        <v>2153</v>
      </c>
      <c r="C17575" s="1814" t="s">
        <v>5590</v>
      </c>
      <c r="D17575" s="3806"/>
      <c r="E17575" s="1815"/>
      <c r="F17575" s="3537" t="s">
        <v>5590</v>
      </c>
      <c r="G17575" s="78"/>
      <c r="H17575" s="79" t="s">
        <v>5590</v>
      </c>
      <c r="I17575" s="451">
        <v>0.24</v>
      </c>
    </row>
    <row r="17576" spans="1:25" hidden="1" outlineLevel="1" x14ac:dyDescent="0.25">
      <c r="A17576" s="1810" t="s">
        <v>9954</v>
      </c>
      <c r="B17576" s="2984" t="s">
        <v>2153</v>
      </c>
      <c r="C17576" s="1814" t="s">
        <v>5590</v>
      </c>
      <c r="D17576" s="3806"/>
      <c r="E17576" s="1815"/>
      <c r="F17576" s="3537" t="s">
        <v>5590</v>
      </c>
      <c r="G17576" s="78"/>
      <c r="H17576" s="79" t="s">
        <v>5590</v>
      </c>
      <c r="I17576" s="451">
        <v>0.3</v>
      </c>
    </row>
    <row r="17577" spans="1:25" hidden="1" outlineLevel="1" x14ac:dyDescent="0.25">
      <c r="A17577" s="1810" t="s">
        <v>9955</v>
      </c>
      <c r="B17577" s="2984" t="s">
        <v>2153</v>
      </c>
      <c r="C17577" s="1814" t="s">
        <v>5590</v>
      </c>
      <c r="D17577" s="3806"/>
      <c r="E17577" s="1815"/>
      <c r="F17577" s="3537" t="s">
        <v>5590</v>
      </c>
      <c r="G17577" s="78"/>
      <c r="H17577" s="82" t="s">
        <v>5590</v>
      </c>
      <c r="I17577" s="452">
        <v>0.36</v>
      </c>
    </row>
    <row r="17578" spans="1:25" hidden="1" outlineLevel="1" x14ac:dyDescent="0.25">
      <c r="A17578" s="1810" t="s">
        <v>9956</v>
      </c>
      <c r="B17578" s="2984" t="s">
        <v>2153</v>
      </c>
      <c r="C17578" s="1817" t="s">
        <v>5590</v>
      </c>
      <c r="D17578" s="3807"/>
      <c r="E17578" s="1815"/>
      <c r="F17578" s="3538" t="s">
        <v>5590</v>
      </c>
      <c r="G17578" s="78"/>
      <c r="H17578" s="37">
        <v>0.10888790170447038</v>
      </c>
    </row>
    <row r="17579" spans="1:25" hidden="1" outlineLevel="1" x14ac:dyDescent="0.25">
      <c r="A17579" s="1819" t="s">
        <v>2734</v>
      </c>
      <c r="B17579" s="2984"/>
      <c r="C17579" s="1820"/>
      <c r="D17579" s="3142"/>
      <c r="E17579" s="3539"/>
      <c r="F17579" s="3540">
        <v>0.18</v>
      </c>
      <c r="G17579" s="78"/>
      <c r="H17579" s="74"/>
    </row>
    <row r="17580" spans="1:25" collapsed="1" x14ac:dyDescent="0.25">
      <c r="A17580" s="3801" t="s">
        <v>9781</v>
      </c>
      <c r="B17580" s="3802"/>
      <c r="C17580" s="3802"/>
      <c r="D17580" s="3802"/>
      <c r="E17580" s="1906"/>
      <c r="F17580" s="1907">
        <v>0.18</v>
      </c>
      <c r="G17580" s="78"/>
      <c r="H17580" s="74"/>
    </row>
    <row r="17582" spans="1:25" hidden="1" outlineLevel="1" x14ac:dyDescent="0.25">
      <c r="A17582" s="1712" t="s">
        <v>113</v>
      </c>
      <c r="B17582" s="1712" t="s">
        <v>114</v>
      </c>
      <c r="C17582" s="1713" t="s">
        <v>112</v>
      </c>
      <c r="D17582" s="1713" t="s">
        <v>4155</v>
      </c>
      <c r="E17582" s="1713" t="s">
        <v>116</v>
      </c>
      <c r="F17582" s="1887" t="s">
        <v>8050</v>
      </c>
      <c r="G17582" s="78"/>
      <c r="H17582" s="1302">
        <v>45260</v>
      </c>
      <c r="I17582" s="1302">
        <v>45289</v>
      </c>
      <c r="J17582" s="1302">
        <v>45322</v>
      </c>
      <c r="K17582" s="1302">
        <v>45351</v>
      </c>
      <c r="L17582" s="1302">
        <v>45380</v>
      </c>
      <c r="M17582" s="1302">
        <v>45412</v>
      </c>
      <c r="N17582" s="1302">
        <v>45443</v>
      </c>
      <c r="O17582" s="1302">
        <v>45471</v>
      </c>
      <c r="P17582" s="1302">
        <v>45504</v>
      </c>
      <c r="Q17582" s="1302">
        <v>45534</v>
      </c>
      <c r="R17582" s="1302">
        <v>45565</v>
      </c>
      <c r="S17582" s="1302">
        <v>45596</v>
      </c>
      <c r="T17582" s="1302">
        <v>45625</v>
      </c>
      <c r="U17582" s="1302">
        <v>45657</v>
      </c>
      <c r="V17582" s="1302">
        <v>45688</v>
      </c>
      <c r="W17582" s="1302">
        <v>45716</v>
      </c>
      <c r="X17582" s="1302">
        <v>45747</v>
      </c>
      <c r="Y17582" s="1302">
        <v>45777</v>
      </c>
    </row>
    <row r="17583" spans="1:25" hidden="1" outlineLevel="1" x14ac:dyDescent="0.25">
      <c r="A17583" s="221" t="s">
        <v>1327</v>
      </c>
      <c r="B17583" s="1622" t="s">
        <v>9958</v>
      </c>
      <c r="C17583" s="1669">
        <v>243.32400000000001</v>
      </c>
      <c r="D17583" s="1669">
        <f>+H17585</f>
        <v>200.64944444444438</v>
      </c>
      <c r="E17583" s="1709"/>
      <c r="F17583" s="1733">
        <f>IF(E17583="",D17583/C17583-1,E17583/C17583-1)</f>
        <v>-0.17538161281071996</v>
      </c>
      <c r="G17583" s="78"/>
      <c r="H17583" s="367">
        <v>197.78</v>
      </c>
      <c r="I17583" s="367">
        <v>196.63</v>
      </c>
      <c r="J17583" s="1990">
        <f>indexy!$B$27</f>
        <v>201.08</v>
      </c>
      <c r="K17583" s="1990">
        <f>indexy!$B$27</f>
        <v>201.08</v>
      </c>
      <c r="L17583" s="1990">
        <f>indexy!$B$27</f>
        <v>201.08</v>
      </c>
      <c r="M17583" s="1990">
        <f>indexy!$B$27</f>
        <v>201.08</v>
      </c>
      <c r="N17583" s="1990">
        <f>indexy!$B$27</f>
        <v>201.08</v>
      </c>
      <c r="O17583" s="1990">
        <f>indexy!$B$27</f>
        <v>201.08</v>
      </c>
      <c r="P17583" s="1990">
        <f>indexy!$B$27</f>
        <v>201.08</v>
      </c>
      <c r="Q17583" s="1990">
        <f>indexy!$B$27</f>
        <v>201.08</v>
      </c>
      <c r="R17583" s="1990">
        <f>indexy!$B$27</f>
        <v>201.08</v>
      </c>
      <c r="S17583" s="1990">
        <f>indexy!$B$27</f>
        <v>201.08</v>
      </c>
      <c r="T17583" s="1990">
        <f>indexy!$B$27</f>
        <v>201.08</v>
      </c>
      <c r="U17583" s="1990">
        <f>indexy!$B$27</f>
        <v>201.08</v>
      </c>
      <c r="V17583" s="1990">
        <f>indexy!$B$27</f>
        <v>201.08</v>
      </c>
      <c r="W17583" s="1990">
        <f>indexy!$B$27</f>
        <v>201.08</v>
      </c>
      <c r="X17583" s="1990">
        <f>indexy!$B$27</f>
        <v>201.08</v>
      </c>
      <c r="Y17583" s="1990">
        <f>indexy!$B$27</f>
        <v>201.08</v>
      </c>
    </row>
    <row r="17584" spans="1:25" hidden="1" outlineLevel="1" x14ac:dyDescent="0.25">
      <c r="A17584" s="221" t="s">
        <v>6006</v>
      </c>
      <c r="B17584" s="1622" t="s">
        <v>9958</v>
      </c>
      <c r="C17584" s="1668"/>
      <c r="D17584" s="1668"/>
      <c r="E17584" s="1624"/>
      <c r="F17584" s="1305"/>
      <c r="G17584" s="78"/>
      <c r="H17584" t="s">
        <v>3766</v>
      </c>
    </row>
    <row r="17585" spans="1:14" hidden="1" outlineLevel="1" x14ac:dyDescent="0.25">
      <c r="A17585" s="52" t="s">
        <v>2734</v>
      </c>
      <c r="B17585" s="1710"/>
      <c r="C17585" s="1307"/>
      <c r="D17585" s="1307"/>
      <c r="E17585" s="1711"/>
      <c r="F17585" s="1305">
        <f>+D17583/C17583-1</f>
        <v>-0.17538161281071996</v>
      </c>
      <c r="G17585" s="78"/>
      <c r="H17585" s="367">
        <f>AVERAGE(H17583:Y17583)</f>
        <v>200.64944444444438</v>
      </c>
    </row>
    <row r="17586" spans="1:14" collapsed="1" x14ac:dyDescent="0.25">
      <c r="A17586" s="3799" t="s">
        <v>9957</v>
      </c>
      <c r="B17586" s="3800"/>
      <c r="C17586" s="3800"/>
      <c r="D17586" s="3800"/>
      <c r="E17586" s="18"/>
      <c r="F17586" s="36">
        <f>IF(F17583&gt;0,8%,IF(F17585&lt;-15%,+F17585+15%,IF(F17585&lt;0%,0,IF(F17585*0.7&lt;60%,F17585*0.7,60%))))</f>
        <v>-2.5381612810719961E-2</v>
      </c>
      <c r="G17586" s="78"/>
    </row>
    <row r="17588" spans="1:14" ht="12.75" hidden="1" customHeight="1" outlineLevel="1" x14ac:dyDescent="0.25">
      <c r="A17588" s="15" t="s">
        <v>113</v>
      </c>
      <c r="B17588" s="15" t="s">
        <v>114</v>
      </c>
      <c r="C17588" s="15" t="s">
        <v>112</v>
      </c>
      <c r="D17588" s="15" t="s">
        <v>116</v>
      </c>
      <c r="E17588" s="15" t="s">
        <v>117</v>
      </c>
      <c r="F17588" s="1882" t="s">
        <v>121</v>
      </c>
      <c r="G17588" s="78"/>
    </row>
    <row r="17589" spans="1:14" ht="12.75" hidden="1" customHeight="1" outlineLevel="1" x14ac:dyDescent="0.25">
      <c r="A17589" s="1803">
        <v>1</v>
      </c>
      <c r="B17589" s="1676" t="s">
        <v>252</v>
      </c>
      <c r="C17589" s="2321">
        <v>100</v>
      </c>
      <c r="D17589" s="1747" t="s">
        <v>3702</v>
      </c>
      <c r="E17589" s="2322">
        <f>indexy!$B$2</f>
        <v>45379</v>
      </c>
      <c r="F17589" s="2323"/>
      <c r="G17589" s="78"/>
    </row>
    <row r="17590" spans="1:14" ht="40.5" hidden="1" customHeight="1" outlineLevel="1" x14ac:dyDescent="0.25">
      <c r="A17590" s="1623" t="s">
        <v>4156</v>
      </c>
      <c r="B17590" s="1623" t="s">
        <v>4153</v>
      </c>
      <c r="C17590" s="1623" t="s">
        <v>112</v>
      </c>
      <c r="D17590" s="1623" t="s">
        <v>4155</v>
      </c>
      <c r="E17590" s="1623" t="s">
        <v>4154</v>
      </c>
      <c r="F17590" s="1623" t="s">
        <v>2519</v>
      </c>
      <c r="G17590" s="78"/>
    </row>
    <row r="17591" spans="1:14" ht="12.75" hidden="1" customHeight="1" outlineLevel="1" x14ac:dyDescent="0.25">
      <c r="A17591" s="134">
        <v>0.02</v>
      </c>
      <c r="B17591" s="211" t="s">
        <v>4266</v>
      </c>
      <c r="C17591" s="472">
        <v>18.578996731055252</v>
      </c>
      <c r="D17591" s="1596">
        <f>VLOOKUP(H17591,indexy!$C$44:$D$823,2,FALSE)</f>
        <v>41.89</v>
      </c>
      <c r="E17591" s="1636">
        <f>D17591/C17591-1</f>
        <v>1.254696559044</v>
      </c>
      <c r="F17591" s="1805">
        <f>E17591*A17591</f>
        <v>2.5093931180880002E-2</v>
      </c>
      <c r="G17591" s="3646">
        <f>VLOOKUP(H17591,[10]Fixing!$B$10:$D$39,3,0)-D17591</f>
        <v>-8.6300000000000026</v>
      </c>
      <c r="H17591" t="str">
        <f>VLOOKUP(B17591,indexy!$A$44:$D$823,3,FALSE)</f>
        <v>ABBN SE Equity</v>
      </c>
      <c r="I17591" s="98" t="s">
        <v>6654</v>
      </c>
      <c r="J17591" s="494" t="s">
        <v>7618</v>
      </c>
      <c r="L17591">
        <f>VLOOKUP(H17591,[10]Fixing!$B$10:$C$39,2,0)</f>
        <v>0.1076484392</v>
      </c>
      <c r="M17591">
        <f t="shared" ref="M17591:M17620" si="276">+A17591*100/L17591</f>
        <v>18.578996731055252</v>
      </c>
      <c r="N17591" s="434">
        <f t="shared" ref="N17591:N17620" si="277">+M17591-C17591</f>
        <v>0</v>
      </c>
    </row>
    <row r="17592" spans="1:14" ht="12.75" hidden="1" customHeight="1" outlineLevel="1" x14ac:dyDescent="0.3">
      <c r="A17592" s="135">
        <v>0.02</v>
      </c>
      <c r="B17592" s="211" t="s">
        <v>359</v>
      </c>
      <c r="C17592" s="472">
        <v>211.1</v>
      </c>
      <c r="D17592" s="1597">
        <f>VLOOKUP(H17592,indexy!$C$44:$D$823,2,FALSE)</f>
        <v>277.8</v>
      </c>
      <c r="E17592" s="1637">
        <f>D17592/C17592-1</f>
        <v>0.31596399810516362</v>
      </c>
      <c r="F17592" s="1313">
        <f t="shared" ref="F17592:F17615" si="278">E17592*A17592</f>
        <v>6.3192799621032726E-3</v>
      </c>
      <c r="G17592" s="3646">
        <f>VLOOKUP(H17592,[10]Fixing!$B$10:$D$39,3,0)-D17592</f>
        <v>-77.820000000000022</v>
      </c>
      <c r="H17592" t="str">
        <f>VLOOKUP(B17592,indexy!$A$44:$D$823,3,FALSE)</f>
        <v>ALV GY Equity</v>
      </c>
      <c r="I17592" s="1690">
        <v>43739</v>
      </c>
      <c r="J17592" s="1761"/>
      <c r="K17592" s="1773"/>
      <c r="L17592">
        <f>VLOOKUP(H17592,[10]Fixing!$B$10:$C$39,2,0)</f>
        <v>9.4741828999999993E-3</v>
      </c>
      <c r="M17592">
        <f t="shared" si="276"/>
        <v>211.09999892444552</v>
      </c>
      <c r="N17592" s="434">
        <f t="shared" si="277"/>
        <v>-1.0755544792573346E-6</v>
      </c>
    </row>
    <row r="17593" spans="1:14" ht="12.75" hidden="1" customHeight="1" outlineLevel="1" x14ac:dyDescent="0.25">
      <c r="A17593" s="135">
        <v>0.08</v>
      </c>
      <c r="B17593" s="211" t="s">
        <v>2697</v>
      </c>
      <c r="C17593" s="472">
        <v>16.5185</v>
      </c>
      <c r="D17593" s="1597">
        <f>VLOOKUP(H17593,indexy!$C$44:$D$823,2,FALSE)</f>
        <v>23.46</v>
      </c>
      <c r="E17593" s="1637">
        <f t="shared" ref="E17593:E17620" si="279">D17593/C17593-1</f>
        <v>0.42022580742803539</v>
      </c>
      <c r="F17593" s="1313">
        <f t="shared" si="278"/>
        <v>3.3618064594242832E-2</v>
      </c>
      <c r="G17593" s="3646">
        <f>VLOOKUP(H17593,[10]Fixing!$B$10:$D$39,3,0)-D17593</f>
        <v>-5.745000000000001</v>
      </c>
      <c r="H17593" t="str">
        <f>VLOOKUP(B17593,indexy!$A$44:$D$823,3,FALSE)</f>
        <v>G IM Equity</v>
      </c>
      <c r="I17593" s="1690">
        <v>44105</v>
      </c>
      <c r="J17593" s="478"/>
      <c r="L17593">
        <f>VLOOKUP(H17593,[10]Fixing!$B$10:$C$39,2,0)</f>
        <v>0.48430547569999999</v>
      </c>
      <c r="M17593">
        <f t="shared" si="276"/>
        <v>16.518499999276386</v>
      </c>
      <c r="N17593" s="434">
        <f t="shared" si="277"/>
        <v>-7.2361316938440723E-10</v>
      </c>
    </row>
    <row r="17594" spans="1:14" ht="12.75" hidden="1" customHeight="1" outlineLevel="1" x14ac:dyDescent="0.25">
      <c r="A17594" s="135">
        <v>0.05</v>
      </c>
      <c r="B17594" s="211" t="s">
        <v>218</v>
      </c>
      <c r="C17594" s="472">
        <v>23.077999999999999</v>
      </c>
      <c r="D17594" s="1597">
        <f>VLOOKUP(H17594,indexy!$C$44:$D$823,2,FALSE)</f>
        <v>34.814999999999998</v>
      </c>
      <c r="E17594" s="1637">
        <f t="shared" si="279"/>
        <v>0.50857959961868437</v>
      </c>
      <c r="F17594" s="1313">
        <f t="shared" si="278"/>
        <v>2.542897998093422E-2</v>
      </c>
      <c r="G17594" s="3646">
        <f>VLOOKUP(H17594,[10]Fixing!$B$10:$D$39,3,0)-D17594</f>
        <v>-8.3999999999999986</v>
      </c>
      <c r="H17594" t="str">
        <f>VLOOKUP(B17594,indexy!$A$44:$D$823,3,FALSE)</f>
        <v>CS FP Equity</v>
      </c>
      <c r="I17594" s="1690">
        <v>44470</v>
      </c>
      <c r="J17594" s="478"/>
      <c r="L17594">
        <f>VLOOKUP(H17594,[10]Fixing!$B$10:$C$39,2,0)</f>
        <v>0.216656556</v>
      </c>
      <c r="M17594">
        <f t="shared" si="276"/>
        <v>23.078000002917058</v>
      </c>
      <c r="N17594" s="434">
        <f t="shared" si="277"/>
        <v>2.9170585946758365E-9</v>
      </c>
    </row>
    <row r="17595" spans="1:14" ht="12.75" hidden="1" customHeight="1" outlineLevel="1" x14ac:dyDescent="0.25">
      <c r="A17595" s="135">
        <v>0.02</v>
      </c>
      <c r="B17595" s="211" t="s">
        <v>1184</v>
      </c>
      <c r="C17595" s="472">
        <v>61.847000000000001</v>
      </c>
      <c r="D17595" s="1597">
        <f>VLOOKUP(H17595,indexy!$C$44:$D$823,2,FALSE)</f>
        <v>52.93</v>
      </c>
      <c r="E17595" s="1637">
        <f t="shared" si="279"/>
        <v>-0.14417837566898961</v>
      </c>
      <c r="F17595" s="1313">
        <f t="shared" si="278"/>
        <v>-2.8835675133797923E-3</v>
      </c>
      <c r="G17595" s="3646">
        <f>VLOOKUP(H17595,[10]Fixing!$B$10:$D$39,3,0)-D17595</f>
        <v>-8.5150000000000006</v>
      </c>
      <c r="H17595" t="str">
        <f>VLOOKUP(B17595,indexy!$A$44:$D$823,3,FALSE)</f>
        <v>BAS GY Equity</v>
      </c>
      <c r="I17595" s="1690">
        <v>44835</v>
      </c>
      <c r="J17595" s="478"/>
      <c r="L17595">
        <f>VLOOKUP(H17595,[10]Fixing!$B$10:$C$39,2,0)</f>
        <v>3.2337866E-2</v>
      </c>
      <c r="M17595">
        <f t="shared" si="276"/>
        <v>61.847000046323402</v>
      </c>
      <c r="N17595" s="434">
        <f t="shared" si="277"/>
        <v>4.6323400226810918E-8</v>
      </c>
    </row>
    <row r="17596" spans="1:14" ht="12.75" hidden="1" customHeight="1" outlineLevel="1" x14ac:dyDescent="0.25">
      <c r="A17596" s="135">
        <v>0.02</v>
      </c>
      <c r="B17596" s="211" t="s">
        <v>807</v>
      </c>
      <c r="C17596" s="472">
        <v>59.933</v>
      </c>
      <c r="D17596" s="1597">
        <f>VLOOKUP(H17596,indexy!$C$44:$D$823,2,FALSE)</f>
        <v>46.03</v>
      </c>
      <c r="E17596" s="1637">
        <f t="shared" si="279"/>
        <v>-0.23197570620526253</v>
      </c>
      <c r="F17596" s="1313">
        <f t="shared" si="278"/>
        <v>-4.6395141241052503E-3</v>
      </c>
      <c r="G17596" s="3646">
        <f>VLOOKUP(H17596,[10]Fixing!$B$10:$D$39,3,0)-D17596</f>
        <v>15.21</v>
      </c>
      <c r="H17596" t="str">
        <f>VLOOKUP(B17596,indexy!$A$44:$D$823,3,FALSE)</f>
        <v>BCE CT Equity</v>
      </c>
      <c r="I17596" s="1690">
        <v>45200</v>
      </c>
      <c r="J17596" s="478"/>
      <c r="L17596">
        <f>VLOOKUP(H17596,[10]Fixing!$B$10:$C$39,2,0)</f>
        <v>3.3370597199999998E-2</v>
      </c>
      <c r="M17596">
        <f t="shared" si="276"/>
        <v>59.932999940438592</v>
      </c>
      <c r="N17596" s="434">
        <f t="shared" si="277"/>
        <v>-5.9561408249919623E-8</v>
      </c>
    </row>
    <row r="17597" spans="1:14" ht="12.75" hidden="1" customHeight="1" outlineLevel="1" x14ac:dyDescent="0.25">
      <c r="A17597" s="135">
        <v>0.02</v>
      </c>
      <c r="B17597" s="211" t="s">
        <v>951</v>
      </c>
      <c r="C17597" s="472">
        <v>3181.1</v>
      </c>
      <c r="D17597" s="1597">
        <f>VLOOKUP(H17597,indexy!$C$44:$D$823,2,FALSE)</f>
        <v>4501</v>
      </c>
      <c r="E17597" s="1637">
        <f t="shared" si="279"/>
        <v>0.41491936751438185</v>
      </c>
      <c r="F17597" s="1313">
        <f t="shared" si="278"/>
        <v>8.2983873502876365E-3</v>
      </c>
      <c r="G17597" s="3646">
        <f>VLOOKUP(H17597,[10]Fixing!$B$10:$D$39,3,0)-D17597</f>
        <v>-1040</v>
      </c>
      <c r="H17597" t="str">
        <f>VLOOKUP(B17597,indexy!$A$44:$D$823,3,FALSE)</f>
        <v>7751 JT Equity</v>
      </c>
      <c r="I17597" t="s">
        <v>9580</v>
      </c>
      <c r="J17597" s="1473">
        <v>0.9</v>
      </c>
      <c r="L17597">
        <f>VLOOKUP(H17597,[10]Fixing!$B$10:$C$39,2,0)</f>
        <v>6.2871330000000003E-4</v>
      </c>
      <c r="M17597">
        <f t="shared" si="276"/>
        <v>3181.1001930450652</v>
      </c>
      <c r="N17597" s="434">
        <f t="shared" si="277"/>
        <v>1.930450653162552E-4</v>
      </c>
    </row>
    <row r="17598" spans="1:14" ht="12.75" hidden="1" customHeight="1" outlineLevel="1" x14ac:dyDescent="0.25">
      <c r="A17598" s="135">
        <v>0.02</v>
      </c>
      <c r="B17598" s="211" t="s">
        <v>2629</v>
      </c>
      <c r="C17598" s="472">
        <v>15.385999999999999</v>
      </c>
      <c r="D17598" s="1597">
        <f>VLOOKUP(H17598,indexy!$C$44:$D$823,2,FALSE)</f>
        <v>22.5</v>
      </c>
      <c r="E17598" s="1637">
        <f t="shared" si="279"/>
        <v>0.462368386845184</v>
      </c>
      <c r="F17598" s="1313">
        <f t="shared" si="278"/>
        <v>9.2473677369036798E-3</v>
      </c>
      <c r="G17598" s="3646">
        <f>VLOOKUP(H17598,[10]Fixing!$B$10:$D$39,3,0)-D17598</f>
        <v>-1.754999999999999</v>
      </c>
      <c r="H17598" t="str">
        <f>VLOOKUP(B17598,indexy!$A$44:$D$823,3,FALSE)</f>
        <v>DTE GY Equity</v>
      </c>
      <c r="L17598">
        <f>VLOOKUP(H17598,[10]Fixing!$B$10:$C$39,2,0)</f>
        <v>0.12998830110000001</v>
      </c>
      <c r="M17598">
        <f t="shared" si="276"/>
        <v>15.385999994425651</v>
      </c>
      <c r="N17598" s="434">
        <f t="shared" si="277"/>
        <v>-5.5743480942282986E-9</v>
      </c>
    </row>
    <row r="17599" spans="1:14" ht="12.75" hidden="1" customHeight="1" outlineLevel="1" x14ac:dyDescent="0.25">
      <c r="A17599" s="135">
        <v>0.02</v>
      </c>
      <c r="B17599" s="211" t="s">
        <v>9591</v>
      </c>
      <c r="C17599" s="472">
        <v>77.353999999999999</v>
      </c>
      <c r="D17599" s="1597">
        <f>VLOOKUP(H17599,indexy!$C$44:$D$823,2,FALSE)</f>
        <v>49.19</v>
      </c>
      <c r="E17599" s="1637">
        <f t="shared" si="279"/>
        <v>-0.36409235462936629</v>
      </c>
      <c r="F17599" s="1313">
        <f t="shared" si="278"/>
        <v>-7.281847092587326E-3</v>
      </c>
      <c r="G17599" s="3646">
        <f>VLOOKUP(H17599,[10]Fixing!$B$10:$D$39,3,0)-D17599</f>
        <v>1.0900000000000034</v>
      </c>
      <c r="H17599" t="str">
        <f>VLOOKUP(B17599,indexy!$A$44:$D$823,3,FALSE)</f>
        <v>D UN Equity</v>
      </c>
      <c r="L17599">
        <f>VLOOKUP(H17599,[10]Fixing!$B$10:$C$39,2,0)</f>
        <v>2.5855159400000001E-2</v>
      </c>
      <c r="M17599">
        <f t="shared" si="276"/>
        <v>77.353999991197114</v>
      </c>
      <c r="N17599" s="434">
        <f t="shared" si="277"/>
        <v>-8.8028855316224508E-9</v>
      </c>
    </row>
    <row r="17600" spans="1:14" ht="12.75" hidden="1" customHeight="1" outlineLevel="1" x14ac:dyDescent="0.25">
      <c r="A17600" s="135">
        <v>0.02</v>
      </c>
      <c r="B17600" s="211" t="s">
        <v>4387</v>
      </c>
      <c r="C17600" s="472">
        <v>9.8237000000000005</v>
      </c>
      <c r="D17600" s="1597">
        <f>VLOOKUP(H17600,indexy!$C$44:$D$823,2,FALSE)</f>
        <v>12.885</v>
      </c>
      <c r="E17600" s="1637">
        <f t="shared" si="279"/>
        <v>0.31162392988385212</v>
      </c>
      <c r="F17600" s="1313">
        <f t="shared" si="278"/>
        <v>6.2324785976770429E-3</v>
      </c>
      <c r="G17600" s="3646">
        <f>VLOOKUP(H17600,[10]Fixing!$B$10:$D$39,3,0)-D17600</f>
        <v>-1.5749999999999993</v>
      </c>
      <c r="H17600" t="str">
        <f>VLOOKUP(B17600,indexy!$A$44:$D$823,3,FALSE)</f>
        <v>EOAN GY Equity</v>
      </c>
      <c r="L17600">
        <f>VLOOKUP(H17600,[10]Fixing!$B$10:$C$39,2,0)</f>
        <v>0.20358927900000001</v>
      </c>
      <c r="M17600">
        <f t="shared" si="276"/>
        <v>9.8236999994483991</v>
      </c>
      <c r="N17600" s="434">
        <f t="shared" si="277"/>
        <v>-5.5160143119792338E-10</v>
      </c>
    </row>
    <row r="17601" spans="1:14" ht="12.75" hidden="1" customHeight="1" outlineLevel="1" x14ac:dyDescent="0.25">
      <c r="A17601" s="135">
        <v>0.03</v>
      </c>
      <c r="B17601" s="211" t="s">
        <v>7855</v>
      </c>
      <c r="C17601" s="472">
        <v>46.296999999999997</v>
      </c>
      <c r="D17601" s="1597">
        <f>VLOOKUP(H17601,indexy!$C$44:$D$823,2,FALSE)</f>
        <v>48.95</v>
      </c>
      <c r="E17601" s="1637">
        <f t="shared" si="279"/>
        <v>5.7303928980279695E-2</v>
      </c>
      <c r="F17601" s="1313">
        <f t="shared" si="278"/>
        <v>1.7191178694083908E-3</v>
      </c>
      <c r="G17601" s="3646">
        <f>VLOOKUP(H17601,[10]Fixing!$B$10:$D$39,3,0)-D17601</f>
        <v>-1.1600000000000037</v>
      </c>
      <c r="H17601" t="str">
        <f>VLOOKUP(B17601,indexy!$A$44:$D$823,3,FALSE)</f>
        <v>ENB CT Equity</v>
      </c>
      <c r="L17601">
        <f>VLOOKUP(H17601,[10]Fixing!$B$10:$C$39,2,0)</f>
        <v>6.4799015099999996E-2</v>
      </c>
      <c r="M17601">
        <f t="shared" si="276"/>
        <v>46.296999967828221</v>
      </c>
      <c r="N17601" s="434">
        <f t="shared" si="277"/>
        <v>-3.2171776354061876E-8</v>
      </c>
    </row>
    <row r="17602" spans="1:14" ht="12.75" hidden="1" customHeight="1" outlineLevel="1" x14ac:dyDescent="0.25">
      <c r="A17602" s="135">
        <v>0.02</v>
      </c>
      <c r="B17602" s="211" t="s">
        <v>4338</v>
      </c>
      <c r="C17602" s="472">
        <v>13.285500000000001</v>
      </c>
      <c r="D17602" s="1597">
        <f>VLOOKUP(H17602,indexy!$C$44:$D$823,2,FALSE)</f>
        <v>15.51</v>
      </c>
      <c r="E17602" s="1637">
        <f t="shared" si="279"/>
        <v>0.16743818448684644</v>
      </c>
      <c r="F17602" s="1313">
        <f t="shared" si="278"/>
        <v>3.3487636897369289E-3</v>
      </c>
      <c r="G17602" s="3646">
        <f>VLOOKUP(H17602,[10]Fixing!$B$10:$D$39,3,0)-D17602</f>
        <v>-1.468</v>
      </c>
      <c r="H17602" t="str">
        <f>VLOOKUP(B17602,indexy!$A$44:$D$823,3,FALSE)</f>
        <v>ENGI FP Equity</v>
      </c>
      <c r="L17602">
        <f>VLOOKUP(H17602,[10]Fixing!$B$10:$C$39,2,0)</f>
        <v>0.15054006249999999</v>
      </c>
      <c r="M17602">
        <f t="shared" si="276"/>
        <v>13.285499997716556</v>
      </c>
      <c r="N17602" s="434">
        <f t="shared" si="277"/>
        <v>-2.283444544559643E-9</v>
      </c>
    </row>
    <row r="17603" spans="1:14" ht="12.75" hidden="1" customHeight="1" outlineLevel="1" x14ac:dyDescent="0.25">
      <c r="A17603" s="135">
        <v>0.05</v>
      </c>
      <c r="B17603" s="211" t="s">
        <v>3021</v>
      </c>
      <c r="C17603" s="490">
        <v>14.309200000000001</v>
      </c>
      <c r="D17603" s="1597">
        <f>VLOOKUP(H17603,indexy!$C$44:$D$823,2,FALSE)</f>
        <v>14.648</v>
      </c>
      <c r="E17603" s="1637">
        <f t="shared" si="279"/>
        <v>2.3677074888882599E-2</v>
      </c>
      <c r="F17603" s="1313">
        <f t="shared" si="278"/>
        <v>1.1838537444441299E-3</v>
      </c>
      <c r="G17603" s="3646">
        <f>VLOOKUP(H17603,[10]Fixing!$B$10:$D$39,3,0)-D17603</f>
        <v>-2.1980000000000004</v>
      </c>
      <c r="H17603" t="str">
        <f>VLOOKUP(B17603,indexy!$A$44:$D$823,3,FALSE)</f>
        <v>ENI IM Equity</v>
      </c>
      <c r="L17603">
        <f>VLOOKUP(H17603,[10]Fixing!$B$10:$C$39,2,0)</f>
        <v>0.34942554440000001</v>
      </c>
      <c r="M17603">
        <f t="shared" si="276"/>
        <v>14.309200000204678</v>
      </c>
      <c r="N17603" s="434">
        <f t="shared" si="277"/>
        <v>2.0467716410621506E-10</v>
      </c>
    </row>
    <row r="17604" spans="1:14" ht="12.75" hidden="1" customHeight="1" outlineLevel="1" x14ac:dyDescent="0.25">
      <c r="A17604" s="135">
        <v>0.03</v>
      </c>
      <c r="B17604" s="211" t="s">
        <v>3799</v>
      </c>
      <c r="C17604" s="472">
        <v>16.290376977454446</v>
      </c>
      <c r="D17604" s="1597">
        <f>VLOOKUP(H17604,indexy!$C$44:$D$823,2,FALSE)/100</f>
        <v>17.085999999999999</v>
      </c>
      <c r="E17604" s="1637">
        <f t="shared" si="279"/>
        <v>4.8840062059133382E-2</v>
      </c>
      <c r="F17604" s="1313">
        <f t="shared" si="278"/>
        <v>1.4652018617740015E-3</v>
      </c>
      <c r="G17604" s="3646">
        <f>VLOOKUP(H17604,[10]Fixing!$B$10:$D$39,3,0)-D17604</f>
        <v>-3.6219999999999981</v>
      </c>
      <c r="H17604" t="str">
        <f>VLOOKUP(B17604,indexy!$A$44:$D$823,3,FALSE)</f>
        <v>GSK LN Equity</v>
      </c>
      <c r="L17604">
        <f>VLOOKUP(H17604,[10]Fixing!$B$10:$C$39,2,0)</f>
        <v>0.1841578009</v>
      </c>
      <c r="M17604">
        <f t="shared" si="276"/>
        <v>16.290376977454446</v>
      </c>
      <c r="N17604" s="434">
        <f t="shared" si="277"/>
        <v>0</v>
      </c>
    </row>
    <row r="17605" spans="1:14" ht="12.75" hidden="1" customHeight="1" outlineLevel="1" x14ac:dyDescent="0.25">
      <c r="A17605" s="135">
        <v>0.03</v>
      </c>
      <c r="B17605" s="211" t="s">
        <v>1031</v>
      </c>
      <c r="C17605" s="472">
        <v>8.9116</v>
      </c>
      <c r="D17605" s="1597">
        <f>VLOOKUP(H17605,indexy!$C$44:$D$823,2,FALSE)</f>
        <v>11.494999999999999</v>
      </c>
      <c r="E17605" s="1637">
        <f t="shared" si="279"/>
        <v>0.2898918263835899</v>
      </c>
      <c r="F17605" s="1313">
        <f t="shared" si="278"/>
        <v>8.6967547915076972E-3</v>
      </c>
      <c r="G17605" s="3646">
        <f>VLOOKUP(H17605,[10]Fixing!$B$10:$D$39,3,0)-D17605</f>
        <v>-9.4999999999998863E-2</v>
      </c>
      <c r="H17605" t="str">
        <f>VLOOKUP(B17605,indexy!$A$44:$D$823,3,FALSE)</f>
        <v>IBE SQ Equity</v>
      </c>
      <c r="L17605">
        <f>VLOOKUP(H17605,[10]Fixing!$B$10:$C$39,2,0)</f>
        <v>0.33663988509999998</v>
      </c>
      <c r="M17605">
        <f t="shared" si="276"/>
        <v>8.9115999998302051</v>
      </c>
      <c r="N17605" s="434">
        <f t="shared" si="277"/>
        <v>-1.6979484485091234E-10</v>
      </c>
    </row>
    <row r="17606" spans="1:14" ht="12.75" hidden="1" customHeight="1" outlineLevel="1" x14ac:dyDescent="0.25">
      <c r="A17606" s="135">
        <v>0.02</v>
      </c>
      <c r="B17606" s="211" t="s">
        <v>1772</v>
      </c>
      <c r="C17606" s="472">
        <v>223.43</v>
      </c>
      <c r="D17606" s="1597">
        <f>VLOOKUP(H17606,indexy!$C$44:$D$823,2,FALSE)</f>
        <v>452.3</v>
      </c>
      <c r="E17606" s="1637">
        <f t="shared" si="279"/>
        <v>1.0243476704113146</v>
      </c>
      <c r="F17606" s="1313">
        <f t="shared" si="278"/>
        <v>2.0486953408226292E-2</v>
      </c>
      <c r="G17606" s="3646">
        <f>VLOOKUP(H17606,[10]Fixing!$B$10:$D$39,3,0)-D17606</f>
        <v>-118.30000000000001</v>
      </c>
      <c r="H17606" t="str">
        <f>VLOOKUP(B17606,indexy!$A$44:$D$823,3,FALSE)</f>
        <v>MUV2 GY Equity</v>
      </c>
      <c r="L17606">
        <f>VLOOKUP(H17606,[10]Fixing!$B$10:$C$39,2,0)</f>
        <v>8.9513493999999992E-3</v>
      </c>
      <c r="M17606">
        <f t="shared" si="276"/>
        <v>223.43000039748199</v>
      </c>
      <c r="N17606" s="434">
        <f t="shared" si="277"/>
        <v>3.9748198332745233E-7</v>
      </c>
    </row>
    <row r="17607" spans="1:14" ht="12.75" hidden="1" customHeight="1" outlineLevel="1" x14ac:dyDescent="0.25">
      <c r="A17607" s="135">
        <v>0.06</v>
      </c>
      <c r="B17607" s="211" t="s">
        <v>5824</v>
      </c>
      <c r="C17607" s="472">
        <v>13.637381821886889</v>
      </c>
      <c r="D17607" s="1597">
        <f>VLOOKUP(H17607,indexy!$C$44:$D$823,2,FALSE)</f>
        <v>10.888</v>
      </c>
      <c r="E17607" s="1637">
        <f t="shared" si="279"/>
        <v>-0.20160628028133343</v>
      </c>
      <c r="F17607" s="1313">
        <f t="shared" si="278"/>
        <v>-1.2096376816880005E-2</v>
      </c>
      <c r="G17607" s="3646">
        <f>VLOOKUP(H17607,[10]Fixing!$B$10:$D$39,3,0)-D17607</f>
        <v>0.2840000000000007</v>
      </c>
      <c r="H17607" t="str">
        <f>VLOOKUP(B17607,indexy!$A$44:$D$823,3,FALSE)</f>
        <v>ORA FP Equity</v>
      </c>
      <c r="L17607">
        <f>VLOOKUP(H17607,[10]Fixing!$B$10:$C$39,2,0)</f>
        <v>0.439967149</v>
      </c>
      <c r="M17607">
        <f t="shared" si="276"/>
        <v>13.637381821886889</v>
      </c>
      <c r="N17607" s="434">
        <f t="shared" si="277"/>
        <v>0</v>
      </c>
    </row>
    <row r="17608" spans="1:14" ht="12.75" hidden="1" customHeight="1" outlineLevel="1" x14ac:dyDescent="0.25">
      <c r="A17608" s="135">
        <v>0.03</v>
      </c>
      <c r="B17608" s="211" t="s">
        <v>10667</v>
      </c>
      <c r="C17608" s="472">
        <v>25.656500000000001</v>
      </c>
      <c r="D17608" s="1597">
        <f>VLOOKUP(H17608,indexy!$C$44:$D$823,2,FALSE)/100</f>
        <v>26.25</v>
      </c>
      <c r="E17608" s="1637">
        <f t="shared" si="279"/>
        <v>2.3132539512404238E-2</v>
      </c>
      <c r="F17608" s="1313">
        <f t="shared" si="278"/>
        <v>6.9397618537212706E-4</v>
      </c>
      <c r="G17608" s="3646">
        <f>VLOOKUP(H17608,[10]Fixing!$B$10:$D$39,3,0)-D17608</f>
        <v>-4.0450000000000017</v>
      </c>
      <c r="H17608" t="str">
        <f>VLOOKUP(B17608,indexy!$A$44:$D$823,3,FALSE)</f>
        <v>SHEL LN Equity</v>
      </c>
      <c r="L17608">
        <f>VLOOKUP(H17608,[10]Fixing!$B$10:$C$39,2,0)</f>
        <v>0.11692943309999999</v>
      </c>
      <c r="M17608">
        <f t="shared" si="276"/>
        <v>25.656499997176503</v>
      </c>
      <c r="N17608" s="434">
        <f t="shared" si="277"/>
        <v>-2.8234978799446253E-9</v>
      </c>
    </row>
    <row r="17609" spans="1:14" ht="12.75" hidden="1" customHeight="1" outlineLevel="1" x14ac:dyDescent="0.25">
      <c r="A17609" s="135">
        <v>0.02</v>
      </c>
      <c r="B17609" s="211" t="s">
        <v>1187</v>
      </c>
      <c r="C17609" s="472">
        <v>76.39546866083694</v>
      </c>
      <c r="D17609" s="1597">
        <f>VLOOKUP(H17609,indexy!$C$44:$D$823,2,FALSE)</f>
        <v>90.96</v>
      </c>
      <c r="E17609" s="1637">
        <f t="shared" si="279"/>
        <v>0.19064653433599998</v>
      </c>
      <c r="F17609" s="1313">
        <f t="shared" si="278"/>
        <v>3.8129306867199998E-3</v>
      </c>
      <c r="G17609" s="3646">
        <f>VLOOKUP(H17609,[10]Fixing!$B$10:$D$39,3,0)-D17609</f>
        <v>3.9200000000000017</v>
      </c>
      <c r="H17609" t="str">
        <f>VLOOKUP(B17609,indexy!$A$44:$D$823,3,FALSE)</f>
        <v>SAN FP Equity</v>
      </c>
      <c r="L17609">
        <f>VLOOKUP(H17609,[10]Fixing!$B$10:$C$39,2,0)</f>
        <v>2.6179563199999999E-2</v>
      </c>
      <c r="M17609">
        <f t="shared" si="276"/>
        <v>76.39546866083694</v>
      </c>
      <c r="N17609" s="434">
        <f t="shared" si="277"/>
        <v>0</v>
      </c>
    </row>
    <row r="17610" spans="1:14" ht="12.75" hidden="1" customHeight="1" outlineLevel="1" x14ac:dyDescent="0.25">
      <c r="A17610" s="135">
        <v>0.02</v>
      </c>
      <c r="B17610" s="211" t="s">
        <v>702</v>
      </c>
      <c r="C17610" s="472">
        <v>3770.4</v>
      </c>
      <c r="D17610" s="1597">
        <f>VLOOKUP(H17610,indexy!$C$44:$D$823,2,FALSE)</f>
        <v>8832</v>
      </c>
      <c r="E17610" s="1637">
        <f t="shared" si="279"/>
        <v>1.3424570337364736</v>
      </c>
      <c r="F17610" s="1313">
        <f t="shared" si="278"/>
        <v>2.6849140674729474E-2</v>
      </c>
      <c r="G17610" s="3646">
        <f>VLOOKUP(H17610,[10]Fixing!$B$10:$D$39,3,0)-D17610</f>
        <v>-3154</v>
      </c>
      <c r="H17610" t="str">
        <f>VLOOKUP(B17610,indexy!$A$44:$D$823,3,FALSE)</f>
        <v>8316 JT Equity</v>
      </c>
      <c r="L17610">
        <f>VLOOKUP(H17610,[10]Fixing!$B$10:$C$39,2,0)</f>
        <v>5.3044769999999999E-4</v>
      </c>
      <c r="M17610">
        <f t="shared" si="276"/>
        <v>3770.3999847675841</v>
      </c>
      <c r="N17610" s="434">
        <f t="shared" si="277"/>
        <v>-1.523241598988534E-5</v>
      </c>
    </row>
    <row r="17611" spans="1:14" ht="12.75" hidden="1" customHeight="1" outlineLevel="1" x14ac:dyDescent="0.25">
      <c r="A17611" s="135">
        <v>0.02</v>
      </c>
      <c r="B17611" s="211" t="s">
        <v>9173</v>
      </c>
      <c r="C17611" s="472">
        <v>478.16</v>
      </c>
      <c r="D17611" s="1597">
        <f>VLOOKUP(H17611,indexy!$C$44:$D$823,2,FALSE)</f>
        <v>632.20000000000005</v>
      </c>
      <c r="E17611" s="1637">
        <f t="shared" si="279"/>
        <v>0.32215158106073294</v>
      </c>
      <c r="F17611" s="1313">
        <f t="shared" si="278"/>
        <v>6.4430316212146588E-3</v>
      </c>
      <c r="G17611" s="3646">
        <f>VLOOKUP(H17611,[10]Fixing!$B$10:$D$39,3,0)-D17611</f>
        <v>-106.20000000000005</v>
      </c>
      <c r="H17611" t="str">
        <f>VLOOKUP(B17611,indexy!$A$44:$D$823,3,FALSE)</f>
        <v>SLHN SE Equity</v>
      </c>
      <c r="L17611">
        <f>VLOOKUP(H17611,[10]Fixing!$B$10:$C$39,2,0)</f>
        <v>4.1827004000000003E-3</v>
      </c>
      <c r="M17611">
        <f t="shared" si="276"/>
        <v>478.15999443804293</v>
      </c>
      <c r="N17611" s="434">
        <f t="shared" si="277"/>
        <v>-5.5619570957787801E-6</v>
      </c>
    </row>
    <row r="17612" spans="1:14" ht="12.75" hidden="1" customHeight="1" outlineLevel="1" x14ac:dyDescent="0.25">
      <c r="A17612" s="135">
        <v>0.08</v>
      </c>
      <c r="B17612" s="211" t="s">
        <v>6118</v>
      </c>
      <c r="C17612" s="472">
        <v>99.292000000000002</v>
      </c>
      <c r="D17612" s="1597">
        <f>VLOOKUP(H17612,indexy!$C$44:$D$823,2,FALSE)</f>
        <v>115.95</v>
      </c>
      <c r="E17612" s="1637">
        <f t="shared" si="279"/>
        <v>0.16776779599564917</v>
      </c>
      <c r="F17612" s="1313">
        <f t="shared" si="278"/>
        <v>1.3421423679651934E-2</v>
      </c>
      <c r="G17612" s="3646">
        <f>VLOOKUP(H17612,[10]Fixing!$B$10:$D$39,3,0)-D17612</f>
        <v>-24.730000000000004</v>
      </c>
      <c r="H17612" t="str">
        <f>VLOOKUP(B17612,indexy!$A$44:$D$823,3,FALSE)</f>
        <v>SREN SE Equity</v>
      </c>
      <c r="L17612">
        <f>VLOOKUP(H17612,[10]Fixing!$B$10:$C$39,2,0)</f>
        <v>8.0570438699999997E-2</v>
      </c>
      <c r="M17612">
        <f t="shared" si="276"/>
        <v>99.292000007441942</v>
      </c>
      <c r="N17612" s="434">
        <f t="shared" si="277"/>
        <v>7.4419403972569853E-9</v>
      </c>
    </row>
    <row r="17613" spans="1:14" ht="12.75" hidden="1" customHeight="1" outlineLevel="1" x14ac:dyDescent="0.25">
      <c r="A17613" s="135">
        <v>0.08</v>
      </c>
      <c r="B17613" s="211" t="s">
        <v>1239</v>
      </c>
      <c r="C17613" s="472">
        <v>492.74</v>
      </c>
      <c r="D17613" s="1597">
        <f>VLOOKUP(H17613,indexy!$C$44:$D$823,2,FALSE)</f>
        <v>551.4</v>
      </c>
      <c r="E17613" s="1637">
        <f t="shared" si="279"/>
        <v>0.11904858546089203</v>
      </c>
      <c r="F17613" s="1313">
        <f t="shared" si="278"/>
        <v>9.5238868368713626E-3</v>
      </c>
      <c r="G17613" s="3646">
        <f>VLOOKUP(H17613,[10]Fixing!$B$10:$D$39,3,0)-D17613</f>
        <v>25.399999999999977</v>
      </c>
      <c r="H17613" t="str">
        <f>VLOOKUP(B17613,indexy!$A$44:$D$823,3,FALSE)</f>
        <v>SCMN SE Equity</v>
      </c>
      <c r="L17613">
        <f>VLOOKUP(H17613,[10]Fixing!$B$10:$C$39,2,0)</f>
        <v>1.6235743E-2</v>
      </c>
      <c r="M17613">
        <f t="shared" si="276"/>
        <v>492.73999964153165</v>
      </c>
      <c r="N17613" s="434">
        <f t="shared" si="277"/>
        <v>-3.5846835544361966E-7</v>
      </c>
    </row>
    <row r="17614" spans="1:14" ht="12.75" hidden="1" customHeight="1" outlineLevel="1" x14ac:dyDescent="0.25">
      <c r="A17614" s="135">
        <v>0.02</v>
      </c>
      <c r="B17614" s="211" t="s">
        <v>366</v>
      </c>
      <c r="C17614" s="472">
        <v>65.433000000000007</v>
      </c>
      <c r="D17614" s="1597">
        <f>VLOOKUP(H17614,indexy!$C$44:$D$823,2,FALSE)</f>
        <v>54.44</v>
      </c>
      <c r="E17614" s="1637">
        <f t="shared" si="279"/>
        <v>-0.16800391239894252</v>
      </c>
      <c r="F17614" s="1313">
        <f t="shared" si="278"/>
        <v>-3.3600782479788504E-3</v>
      </c>
      <c r="G17614" s="3646">
        <f>VLOOKUP(H17614,[10]Fixing!$B$10:$D$39,3,0)-D17614</f>
        <v>-1.5999999999999943</v>
      </c>
      <c r="H17614" t="str">
        <f>VLOOKUP(B17614,indexy!$A$44:$D$823,3,FALSE)</f>
        <v>TRP CT Equity</v>
      </c>
      <c r="L17614">
        <f>VLOOKUP(H17614,[10]Fixing!$B$10:$C$39,2,0)</f>
        <v>3.0565616699999999E-2</v>
      </c>
      <c r="M17614">
        <f t="shared" si="276"/>
        <v>65.433000080773766</v>
      </c>
      <c r="N17614" s="434">
        <f t="shared" si="277"/>
        <v>8.0773759236762999E-8</v>
      </c>
    </row>
    <row r="17615" spans="1:14" ht="12.75" hidden="1" customHeight="1" outlineLevel="1" x14ac:dyDescent="0.25">
      <c r="A17615" s="135">
        <v>0.02</v>
      </c>
      <c r="B17615" s="211" t="s">
        <v>577</v>
      </c>
      <c r="C17615" s="472">
        <v>7.3182</v>
      </c>
      <c r="D17615" s="1597">
        <f>VLOOKUP(H17615,indexy!$C$44:$D$823,2,FALSE)</f>
        <v>4.0890000000000004</v>
      </c>
      <c r="E17615" s="1637">
        <f t="shared" si="279"/>
        <v>-0.44125604656882833</v>
      </c>
      <c r="F17615" s="1313">
        <f t="shared" si="278"/>
        <v>-8.8251209313765667E-3</v>
      </c>
      <c r="G17615" s="3646">
        <f>VLOOKUP(H17615,[10]Fixing!$B$10:$D$39,3,0)-D17615</f>
        <v>-0.11900000000000022</v>
      </c>
      <c r="H17615" t="str">
        <f>VLOOKUP(B17615,indexy!$A$44:$D$823,3,FALSE)</f>
        <v>TEF SQ Equity</v>
      </c>
      <c r="L17615">
        <f>VLOOKUP(H17615,[10]Fixing!$B$10:$C$39,2,0)</f>
        <v>0.27329124649999997</v>
      </c>
      <c r="M17615">
        <f t="shared" si="276"/>
        <v>7.3181999995012657</v>
      </c>
      <c r="N17615" s="434">
        <f t="shared" si="277"/>
        <v>-4.9873438712211282E-10</v>
      </c>
    </row>
    <row r="17616" spans="1:14" ht="12.75" hidden="1" customHeight="1" outlineLevel="1" x14ac:dyDescent="0.25">
      <c r="A17616" s="135">
        <v>0.03</v>
      </c>
      <c r="B17616" s="211" t="s">
        <v>10633</v>
      </c>
      <c r="C17616" s="472">
        <v>47.704098043917476</v>
      </c>
      <c r="D17616" s="1597">
        <f>VLOOKUP(H17616,indexy!$C$44:$D$823,2,FALSE)</f>
        <v>63.47</v>
      </c>
      <c r="E17616" s="1637">
        <f t="shared" si="279"/>
        <v>0.33049365992766644</v>
      </c>
      <c r="F17616" s="1313">
        <f>E17616*A17616</f>
        <v>9.9148097978299932E-3</v>
      </c>
      <c r="G17616" s="3646">
        <f>VLOOKUP(H17616,[10]Fixing!$B$10:$D$39,3,0)-D17616</f>
        <v>-10.39</v>
      </c>
      <c r="H17616" t="str">
        <f>VLOOKUP(B17616,indexy!$A$44:$D$823,3,FALSE)</f>
        <v>TTE FP Equity</v>
      </c>
      <c r="L17616">
        <f>VLOOKUP(H17616,[10]Fixing!$B$10:$C$39,2,0)</f>
        <v>6.2887678899999994E-2</v>
      </c>
      <c r="M17616">
        <f t="shared" si="276"/>
        <v>47.704098043917476</v>
      </c>
      <c r="N17616" s="434">
        <f t="shared" si="277"/>
        <v>0</v>
      </c>
    </row>
    <row r="17617" spans="1:14" ht="12.75" hidden="1" customHeight="1" outlineLevel="1" x14ac:dyDescent="0.25">
      <c r="A17617" s="135">
        <v>0.03</v>
      </c>
      <c r="B17617" s="211" t="s">
        <v>9961</v>
      </c>
      <c r="C17617" s="472">
        <v>41.182997754225241</v>
      </c>
      <c r="D17617" s="1597">
        <f>VLOOKUP(H17617,indexy!$C$44:$D$823,2,FALSE)</f>
        <v>27.4</v>
      </c>
      <c r="E17617" s="1637">
        <f t="shared" si="279"/>
        <v>-0.33467689352000007</v>
      </c>
      <c r="F17617" s="1313">
        <f>E17617*A17617</f>
        <v>-1.0040306805600002E-2</v>
      </c>
      <c r="G17617" s="3646">
        <f>VLOOKUP(H17617,[10]Fixing!$B$10:$D$39,3,0)-D17617</f>
        <v>-10.239999999999998</v>
      </c>
      <c r="H17617" t="str">
        <f>VLOOKUP(B17617,indexy!$A$44:$D$823,3,FALSE)</f>
        <v>VNA GY Equity</v>
      </c>
      <c r="L17617">
        <f>VLOOKUP(H17617,[10]Fixing!$B$10:$C$39,2,0)</f>
        <v>7.2845595599999993E-2</v>
      </c>
      <c r="M17617">
        <f t="shared" si="276"/>
        <v>41.182997754225241</v>
      </c>
      <c r="N17617" s="434">
        <f t="shared" si="277"/>
        <v>0</v>
      </c>
    </row>
    <row r="17618" spans="1:14" ht="12.75" hidden="1" customHeight="1" outlineLevel="1" x14ac:dyDescent="0.25">
      <c r="A17618" s="135">
        <v>0.02</v>
      </c>
      <c r="B17618" s="211" t="s">
        <v>3817</v>
      </c>
      <c r="C17618" s="472">
        <v>45.985999999999997</v>
      </c>
      <c r="D17618" s="1597">
        <f>VLOOKUP(H17618,indexy!$C$44:$D$823,2,FALSE)</f>
        <v>57.96</v>
      </c>
      <c r="E17618" s="1637">
        <f t="shared" si="279"/>
        <v>0.26038359500717623</v>
      </c>
      <c r="F17618" s="1313">
        <f>E17618*A17618</f>
        <v>5.2076719001435245E-3</v>
      </c>
      <c r="G17618" s="3646">
        <f>VLOOKUP(H17618,[10]Fixing!$B$10:$D$39,3,0)-D17618</f>
        <v>-18.149999999999999</v>
      </c>
      <c r="H17618" t="str">
        <f>VLOOKUP(B17618,indexy!$A$44:$D$823,3,FALSE)</f>
        <v>WFC UN Equity</v>
      </c>
      <c r="L17618">
        <f>VLOOKUP(H17618,[10]Fixing!$B$10:$C$39,2,0)</f>
        <v>4.3491497400000002E-2</v>
      </c>
      <c r="M17618">
        <f t="shared" si="276"/>
        <v>45.986000012958854</v>
      </c>
      <c r="N17618" s="434">
        <f t="shared" si="277"/>
        <v>1.2958857098510634E-8</v>
      </c>
    </row>
    <row r="17619" spans="1:14" ht="12.75" hidden="1" customHeight="1" outlineLevel="1" x14ac:dyDescent="0.25">
      <c r="A17619" s="135">
        <v>0.02</v>
      </c>
      <c r="B17619" s="211" t="s">
        <v>5522</v>
      </c>
      <c r="C17619" s="472">
        <v>34.980033265836738</v>
      </c>
      <c r="D17619" s="1597">
        <f>VLOOKUP(H17619,indexy!$C$44:$D$823,2,FALSE)</f>
        <v>68.400000000000006</v>
      </c>
      <c r="E17619" s="1637">
        <f t="shared" si="279"/>
        <v>0.95540122789999993</v>
      </c>
      <c r="F17619" s="1313">
        <f>E17619*A17619</f>
        <v>1.9108024557999998E-2</v>
      </c>
      <c r="G17619" s="3646">
        <f>VLOOKUP(H17619,[10]Fixing!$B$10:$D$39,3,0)-D17619</f>
        <v>-20.730000000000004</v>
      </c>
      <c r="H17619" t="str">
        <f>VLOOKUP(B17619,indexy!$A$44:$D$823,3,FALSE)</f>
        <v>WES AT Equity</v>
      </c>
      <c r="L17619">
        <f>VLOOKUP(H17619,[10]Fixing!$B$10:$C$39,2,0)</f>
        <v>5.7175474499999997E-2</v>
      </c>
      <c r="M17619">
        <f t="shared" si="276"/>
        <v>34.980033265836738</v>
      </c>
      <c r="N17619" s="434">
        <f t="shared" si="277"/>
        <v>0</v>
      </c>
    </row>
    <row r="17620" spans="1:14" ht="12.75" hidden="1" customHeight="1" outlineLevel="1" x14ac:dyDescent="0.25">
      <c r="A17620" s="135">
        <v>0.08</v>
      </c>
      <c r="B17620" s="1465" t="s">
        <v>4550</v>
      </c>
      <c r="C17620" s="472">
        <v>339.62</v>
      </c>
      <c r="D17620" s="1598">
        <f>VLOOKUP(H17620,indexy!$C$44:$D$823,2,FALSE)</f>
        <v>486.3</v>
      </c>
      <c r="E17620" s="1637">
        <f t="shared" si="279"/>
        <v>0.43189447029032446</v>
      </c>
      <c r="F17620" s="1313">
        <f>E17620*A17620</f>
        <v>3.4551557623225961E-2</v>
      </c>
      <c r="G17620" s="3646">
        <f>VLOOKUP(H17620,[10]Fixing!$B$10:$D$39,3,0)-D17620</f>
        <v>-60.300000000000011</v>
      </c>
      <c r="H17620" t="str">
        <f>VLOOKUP(B17620,indexy!$A$44:$D$823,3,FALSE)</f>
        <v>ZURN SE Equity</v>
      </c>
      <c r="L17620">
        <f>VLOOKUP(H17620,[10]Fixing!$B$10:$C$39,2,0)</f>
        <v>2.35557388E-2</v>
      </c>
      <c r="M17620">
        <f t="shared" si="276"/>
        <v>339.61999952215467</v>
      </c>
      <c r="N17620" s="434">
        <f t="shared" si="277"/>
        <v>-4.7784533308004029E-7</v>
      </c>
    </row>
    <row r="17621" spans="1:14" ht="12.75" hidden="1" customHeight="1" outlineLevel="1" x14ac:dyDescent="0.25">
      <c r="A17621" s="1475" t="s">
        <v>2734</v>
      </c>
      <c r="B17621" s="150"/>
      <c r="C17621" s="1476"/>
      <c r="D17621" s="1477"/>
      <c r="E17621" s="1599"/>
      <c r="F17621" s="1805">
        <f>SUM(F17591:F17620)</f>
        <v>0.23153877679997734</v>
      </c>
      <c r="G17621" s="78"/>
    </row>
    <row r="17622" spans="1:14" ht="12.75" hidden="1" customHeight="1" outlineLevel="1" x14ac:dyDescent="0.25">
      <c r="A17622" s="221" t="s">
        <v>9964</v>
      </c>
      <c r="B17622" s="1478">
        <v>45047</v>
      </c>
      <c r="C17622" s="1497">
        <v>100</v>
      </c>
      <c r="D17622" s="1497">
        <v>104.30240000000001</v>
      </c>
      <c r="E17622" s="1498">
        <f>IF(D17622="",$F$17621,D17622/C17622-1)</f>
        <v>4.3023999999999951E-2</v>
      </c>
      <c r="F17622" s="1842"/>
      <c r="G17622" s="78"/>
    </row>
    <row r="17623" spans="1:14" ht="12.75" hidden="1" customHeight="1" outlineLevel="1" x14ac:dyDescent="0.25">
      <c r="A17623" s="221" t="s">
        <v>9965</v>
      </c>
      <c r="B17623" s="1478">
        <v>45078</v>
      </c>
      <c r="C17623" s="1497">
        <v>100</v>
      </c>
      <c r="D17623" s="1500">
        <v>106.3056</v>
      </c>
      <c r="E17623" s="1498">
        <f t="shared" ref="E17623:E17645" si="280">IF(D17623="",$F$17621,D17623/C17623-1)</f>
        <v>6.3056000000000001E-2</v>
      </c>
      <c r="F17623" s="1842"/>
      <c r="G17623" s="78"/>
    </row>
    <row r="17624" spans="1:14" ht="12.75" hidden="1" customHeight="1" outlineLevel="1" x14ac:dyDescent="0.25">
      <c r="A17624" s="221" t="s">
        <v>9966</v>
      </c>
      <c r="B17624" s="1478">
        <v>45108</v>
      </c>
      <c r="C17624" s="1497">
        <v>100</v>
      </c>
      <c r="D17624" s="1500">
        <v>107.4315</v>
      </c>
      <c r="E17624" s="1498">
        <f t="shared" si="280"/>
        <v>7.4314999999999909E-2</v>
      </c>
      <c r="F17624" s="1842"/>
      <c r="G17624" s="78"/>
    </row>
    <row r="17625" spans="1:14" ht="12.75" hidden="1" customHeight="1" outlineLevel="1" x14ac:dyDescent="0.25">
      <c r="A17625" s="221" t="s">
        <v>9967</v>
      </c>
      <c r="B17625" s="1478">
        <v>45139</v>
      </c>
      <c r="C17625" s="1497">
        <v>100</v>
      </c>
      <c r="D17625" s="1500">
        <v>106.5414</v>
      </c>
      <c r="E17625" s="1498">
        <f t="shared" si="280"/>
        <v>6.5413999999999861E-2</v>
      </c>
      <c r="F17625" s="1842"/>
      <c r="G17625" s="78"/>
    </row>
    <row r="17626" spans="1:14" ht="12.75" hidden="1" customHeight="1" outlineLevel="1" x14ac:dyDescent="0.25">
      <c r="A17626" s="221" t="s">
        <v>9968</v>
      </c>
      <c r="B17626" s="1478">
        <v>45170</v>
      </c>
      <c r="C17626" s="1497">
        <v>100</v>
      </c>
      <c r="D17626" s="1500">
        <v>108.5772</v>
      </c>
      <c r="E17626" s="1498">
        <f t="shared" si="280"/>
        <v>8.5771999999999959E-2</v>
      </c>
      <c r="F17626" s="1842"/>
      <c r="G17626" s="78"/>
    </row>
    <row r="17627" spans="1:14" ht="12.75" hidden="1" customHeight="1" outlineLevel="1" x14ac:dyDescent="0.25">
      <c r="A17627" s="221" t="s">
        <v>9969</v>
      </c>
      <c r="B17627" s="1478">
        <v>45200</v>
      </c>
      <c r="C17627" s="1497">
        <v>100</v>
      </c>
      <c r="D17627" s="1500">
        <v>108.06780000000001</v>
      </c>
      <c r="E17627" s="1498">
        <f t="shared" si="280"/>
        <v>8.0678000000000027E-2</v>
      </c>
      <c r="F17627" s="1842"/>
      <c r="G17627" s="78"/>
    </row>
    <row r="17628" spans="1:14" ht="12.75" hidden="1" customHeight="1" outlineLevel="1" x14ac:dyDescent="0.25">
      <c r="A17628" s="221" t="s">
        <v>9970</v>
      </c>
      <c r="B17628" s="1478">
        <v>45231</v>
      </c>
      <c r="C17628" s="1497">
        <v>100</v>
      </c>
      <c r="D17628" s="1500">
        <v>110.71429999999999</v>
      </c>
      <c r="E17628" s="1498">
        <f t="shared" si="280"/>
        <v>0.10714299999999999</v>
      </c>
      <c r="F17628" s="1842"/>
      <c r="G17628" s="78"/>
    </row>
    <row r="17629" spans="1:14" ht="12.75" hidden="1" customHeight="1" outlineLevel="1" x14ac:dyDescent="0.25">
      <c r="A17629" s="221" t="s">
        <v>9971</v>
      </c>
      <c r="B17629" s="1478">
        <v>45261</v>
      </c>
      <c r="C17629" s="1497">
        <v>100</v>
      </c>
      <c r="D17629" s="1500">
        <v>111.00839999999999</v>
      </c>
      <c r="E17629" s="1498">
        <f t="shared" si="280"/>
        <v>0.11008399999999985</v>
      </c>
      <c r="F17629" s="1842"/>
      <c r="G17629" s="78"/>
    </row>
    <row r="17630" spans="1:14" ht="12.75" hidden="1" customHeight="1" outlineLevel="1" x14ac:dyDescent="0.25">
      <c r="A17630" s="221" t="s">
        <v>9972</v>
      </c>
      <c r="B17630" s="1478">
        <v>45292</v>
      </c>
      <c r="C17630" s="1497">
        <v>100</v>
      </c>
      <c r="D17630" s="1500"/>
      <c r="E17630" s="1498">
        <f t="shared" si="280"/>
        <v>0.23153877679997734</v>
      </c>
      <c r="F17630" s="1842"/>
      <c r="G17630" s="78"/>
    </row>
    <row r="17631" spans="1:14" ht="12.75" hidden="1" customHeight="1" outlineLevel="1" x14ac:dyDescent="0.25">
      <c r="A17631" s="221" t="s">
        <v>9973</v>
      </c>
      <c r="B17631" s="1478">
        <v>45323</v>
      </c>
      <c r="C17631" s="1497">
        <v>100</v>
      </c>
      <c r="D17631" s="1500"/>
      <c r="E17631" s="1498">
        <f t="shared" si="280"/>
        <v>0.23153877679997734</v>
      </c>
      <c r="F17631" s="1842"/>
      <c r="G17631" s="78"/>
    </row>
    <row r="17632" spans="1:14" ht="12.75" hidden="1" customHeight="1" outlineLevel="1" x14ac:dyDescent="0.25">
      <c r="A17632" s="221" t="s">
        <v>9974</v>
      </c>
      <c r="B17632" s="1478">
        <v>45352</v>
      </c>
      <c r="C17632" s="1497">
        <v>100</v>
      </c>
      <c r="D17632" s="1500"/>
      <c r="E17632" s="1498">
        <f t="shared" si="280"/>
        <v>0.23153877679997734</v>
      </c>
      <c r="F17632" s="1842"/>
      <c r="G17632" s="78"/>
    </row>
    <row r="17633" spans="1:7" ht="12.75" hidden="1" customHeight="1" outlineLevel="1" x14ac:dyDescent="0.25">
      <c r="A17633" s="221" t="s">
        <v>9975</v>
      </c>
      <c r="B17633" s="1478">
        <v>45383</v>
      </c>
      <c r="C17633" s="1497">
        <v>100</v>
      </c>
      <c r="D17633" s="1500"/>
      <c r="E17633" s="1498">
        <f t="shared" si="280"/>
        <v>0.23153877679997734</v>
      </c>
      <c r="F17633" s="1842"/>
      <c r="G17633" s="78"/>
    </row>
    <row r="17634" spans="1:7" ht="12.75" hidden="1" customHeight="1" outlineLevel="1" x14ac:dyDescent="0.25">
      <c r="A17634" s="221" t="s">
        <v>9976</v>
      </c>
      <c r="B17634" s="1478">
        <v>45413</v>
      </c>
      <c r="C17634" s="1497">
        <v>100</v>
      </c>
      <c r="D17634" s="1500"/>
      <c r="E17634" s="1498">
        <f t="shared" si="280"/>
        <v>0.23153877679997734</v>
      </c>
      <c r="F17634" s="1842"/>
      <c r="G17634" s="78"/>
    </row>
    <row r="17635" spans="1:7" ht="12.75" hidden="1" customHeight="1" outlineLevel="1" x14ac:dyDescent="0.25">
      <c r="A17635" s="221" t="s">
        <v>9977</v>
      </c>
      <c r="B17635" s="1478">
        <v>45444</v>
      </c>
      <c r="C17635" s="1497">
        <v>100</v>
      </c>
      <c r="D17635" s="1500"/>
      <c r="E17635" s="1498">
        <f t="shared" si="280"/>
        <v>0.23153877679997734</v>
      </c>
      <c r="F17635" s="1842"/>
      <c r="G17635" s="78"/>
    </row>
    <row r="17636" spans="1:7" ht="12.75" hidden="1" customHeight="1" outlineLevel="1" x14ac:dyDescent="0.25">
      <c r="A17636" s="221" t="s">
        <v>9978</v>
      </c>
      <c r="B17636" s="1478">
        <v>45474</v>
      </c>
      <c r="C17636" s="1497">
        <v>100</v>
      </c>
      <c r="D17636" s="1500"/>
      <c r="E17636" s="1498">
        <f t="shared" si="280"/>
        <v>0.23153877679997734</v>
      </c>
      <c r="F17636" s="1842"/>
      <c r="G17636" s="78"/>
    </row>
    <row r="17637" spans="1:7" ht="12.75" hidden="1" customHeight="1" outlineLevel="1" x14ac:dyDescent="0.25">
      <c r="A17637" s="221" t="s">
        <v>9979</v>
      </c>
      <c r="B17637" s="1478">
        <v>45505</v>
      </c>
      <c r="C17637" s="1497">
        <v>100</v>
      </c>
      <c r="D17637" s="1500"/>
      <c r="E17637" s="1498">
        <f t="shared" si="280"/>
        <v>0.23153877679997734</v>
      </c>
      <c r="F17637" s="1842"/>
      <c r="G17637" s="78"/>
    </row>
    <row r="17638" spans="1:7" ht="12.75" hidden="1" customHeight="1" outlineLevel="1" x14ac:dyDescent="0.25">
      <c r="A17638" s="221" t="s">
        <v>9980</v>
      </c>
      <c r="B17638" s="1478">
        <v>45536</v>
      </c>
      <c r="C17638" s="1497">
        <v>100</v>
      </c>
      <c r="D17638" s="1500"/>
      <c r="E17638" s="1498">
        <f t="shared" si="280"/>
        <v>0.23153877679997734</v>
      </c>
      <c r="F17638" s="1842"/>
      <c r="G17638" s="78"/>
    </row>
    <row r="17639" spans="1:7" ht="12.75" hidden="1" customHeight="1" outlineLevel="1" x14ac:dyDescent="0.25">
      <c r="A17639" s="221" t="s">
        <v>9981</v>
      </c>
      <c r="B17639" s="1478">
        <v>45566</v>
      </c>
      <c r="C17639" s="1497">
        <v>100</v>
      </c>
      <c r="D17639" s="1500"/>
      <c r="E17639" s="1498">
        <f t="shared" si="280"/>
        <v>0.23153877679997734</v>
      </c>
      <c r="F17639" s="1842"/>
      <c r="G17639" s="78"/>
    </row>
    <row r="17640" spans="1:7" ht="12.75" hidden="1" customHeight="1" outlineLevel="1" x14ac:dyDescent="0.25">
      <c r="A17640" s="221" t="s">
        <v>9982</v>
      </c>
      <c r="B17640" s="1478">
        <v>45597</v>
      </c>
      <c r="C17640" s="1497">
        <v>100</v>
      </c>
      <c r="D17640" s="1500"/>
      <c r="E17640" s="1498">
        <f t="shared" si="280"/>
        <v>0.23153877679997734</v>
      </c>
      <c r="F17640" s="1842"/>
      <c r="G17640" s="78"/>
    </row>
    <row r="17641" spans="1:7" ht="12.75" hidden="1" customHeight="1" outlineLevel="1" x14ac:dyDescent="0.25">
      <c r="A17641" s="221" t="s">
        <v>9983</v>
      </c>
      <c r="B17641" s="1478">
        <v>45627</v>
      </c>
      <c r="C17641" s="1497">
        <v>100</v>
      </c>
      <c r="D17641" s="1500"/>
      <c r="E17641" s="1498">
        <f t="shared" si="280"/>
        <v>0.23153877679997734</v>
      </c>
      <c r="F17641" s="1842"/>
      <c r="G17641" s="78"/>
    </row>
    <row r="17642" spans="1:7" ht="12.75" hidden="1" customHeight="1" outlineLevel="1" x14ac:dyDescent="0.25">
      <c r="A17642" s="221" t="s">
        <v>9984</v>
      </c>
      <c r="B17642" s="1478">
        <v>45658</v>
      </c>
      <c r="C17642" s="1497">
        <v>100</v>
      </c>
      <c r="D17642" s="1500"/>
      <c r="E17642" s="1498">
        <f t="shared" si="280"/>
        <v>0.23153877679997734</v>
      </c>
      <c r="F17642" s="1842"/>
      <c r="G17642" s="78"/>
    </row>
    <row r="17643" spans="1:7" ht="12.75" hidden="1" customHeight="1" outlineLevel="1" x14ac:dyDescent="0.25">
      <c r="A17643" s="221" t="s">
        <v>9985</v>
      </c>
      <c r="B17643" s="1478">
        <v>45689</v>
      </c>
      <c r="C17643" s="1497">
        <v>100</v>
      </c>
      <c r="D17643" s="1500"/>
      <c r="E17643" s="1498">
        <f t="shared" si="280"/>
        <v>0.23153877679997734</v>
      </c>
      <c r="F17643" s="1842"/>
      <c r="G17643" s="78"/>
    </row>
    <row r="17644" spans="1:7" ht="12.75" hidden="1" customHeight="1" outlineLevel="1" x14ac:dyDescent="0.25">
      <c r="A17644" s="221" t="s">
        <v>9986</v>
      </c>
      <c r="B17644" s="1478">
        <v>45717</v>
      </c>
      <c r="C17644" s="1497">
        <v>100</v>
      </c>
      <c r="D17644" s="1500"/>
      <c r="E17644" s="1498">
        <f t="shared" si="280"/>
        <v>0.23153877679997734</v>
      </c>
      <c r="F17644" s="1842"/>
      <c r="G17644" s="78"/>
    </row>
    <row r="17645" spans="1:7" ht="12.75" hidden="1" customHeight="1" outlineLevel="1" x14ac:dyDescent="0.25">
      <c r="A17645" s="221" t="s">
        <v>9987</v>
      </c>
      <c r="B17645" s="1478">
        <v>45748</v>
      </c>
      <c r="C17645" s="1497">
        <v>100</v>
      </c>
      <c r="D17645" s="1500"/>
      <c r="E17645" s="1498">
        <f t="shared" si="280"/>
        <v>0.23153877679997734</v>
      </c>
      <c r="F17645" s="1842"/>
      <c r="G17645" s="78"/>
    </row>
    <row r="17646" spans="1:7" ht="12.75" hidden="1" customHeight="1" outlineLevel="1" x14ac:dyDescent="0.25">
      <c r="A17646" s="1483" t="s">
        <v>2734</v>
      </c>
      <c r="B17646" s="1484"/>
      <c r="C17646" s="1500"/>
      <c r="D17646" s="1485" t="s">
        <v>2465</v>
      </c>
      <c r="E17646" s="1486">
        <f>AVERAGE(E17622:E17645)</f>
        <v>0.18058776786665154</v>
      </c>
      <c r="F17646" s="1844">
        <f>IF(E17646&lt;-5%,0%,MAX(8%,MIN(0.8*E17646,30%)))</f>
        <v>0.14447021429332124</v>
      </c>
      <c r="G17646" s="78"/>
    </row>
    <row r="17647" spans="1:7" collapsed="1" x14ac:dyDescent="0.25">
      <c r="A17647" s="3799" t="s">
        <v>9774</v>
      </c>
      <c r="B17647" s="3800"/>
      <c r="C17647" s="3800"/>
      <c r="D17647" s="3800"/>
      <c r="E17647" s="18"/>
      <c r="F17647" s="186">
        <f>+F17646</f>
        <v>0.14447021429332124</v>
      </c>
      <c r="G17647" s="78"/>
    </row>
    <row r="17649" spans="1:18" ht="12.75" hidden="1" customHeight="1" outlineLevel="1" x14ac:dyDescent="0.25">
      <c r="A17649" s="1677" t="s">
        <v>4156</v>
      </c>
      <c r="B17649" s="1677" t="s">
        <v>4153</v>
      </c>
      <c r="C17649" s="1623" t="s">
        <v>112</v>
      </c>
      <c r="D17649" s="1678" t="s">
        <v>4155</v>
      </c>
      <c r="E17649" s="1677" t="s">
        <v>4154</v>
      </c>
      <c r="F17649" s="1678" t="s">
        <v>2519</v>
      </c>
      <c r="G17649" s="12"/>
      <c r="H17649" s="415"/>
      <c r="I17649" s="412" t="s">
        <v>6964</v>
      </c>
      <c r="J17649" s="1462">
        <v>43678</v>
      </c>
      <c r="K17649" s="1462">
        <v>43709</v>
      </c>
      <c r="L17649" s="1462">
        <v>43739</v>
      </c>
      <c r="M17649" s="1462"/>
      <c r="N17649" s="1462"/>
      <c r="O17649" s="1462"/>
      <c r="P17649" s="1462"/>
      <c r="Q17649" s="1462"/>
      <c r="R17649" s="1462"/>
    </row>
    <row r="17650" spans="1:18" ht="12.75" hidden="1" customHeight="1" outlineLevel="1" x14ac:dyDescent="0.25">
      <c r="A17650" s="2034">
        <v>0.02</v>
      </c>
      <c r="B17650" s="2035" t="s">
        <v>9297</v>
      </c>
      <c r="C17650" s="2037">
        <v>19.218499999999999</v>
      </c>
      <c r="D17650" s="2060">
        <f>VLOOKUP(H17650,indexy!$C$44:$D$823,2,FALSE)</f>
        <v>15.85</v>
      </c>
      <c r="E17650" s="2061">
        <f>D17650/C17650-1</f>
        <v>-0.17527382470015862</v>
      </c>
      <c r="F17650" s="2062">
        <f>E17650*A17650</f>
        <v>-3.5054764940031726E-3</v>
      </c>
      <c r="G17650" s="415"/>
      <c r="H17650" s="415" t="str">
        <f>VLOOKUP(B17650,indexy!$A$44:$D$823,3,FALSE)</f>
        <v>ABN NA Equity</v>
      </c>
      <c r="I17650" s="412">
        <f>IF(J17650="",100,MIN(100,J17650:Y17650))</f>
        <v>98.0976</v>
      </c>
      <c r="J17650">
        <v>98.672600000000003</v>
      </c>
      <c r="K17650">
        <v>98.0976</v>
      </c>
      <c r="L17650">
        <v>102.62139999999999</v>
      </c>
    </row>
    <row r="17651" spans="1:18" ht="12.75" hidden="1" customHeight="1" outlineLevel="1" x14ac:dyDescent="0.25">
      <c r="A17651" s="1911">
        <v>0.03</v>
      </c>
      <c r="B17651" s="2035" t="s">
        <v>802</v>
      </c>
      <c r="C17651" s="2037">
        <v>37.219999988337733</v>
      </c>
      <c r="D17651" s="2063">
        <f>VLOOKUP(H17651,indexy!$C$44:$D$823,2,FALSE)</f>
        <v>19.690000000000001</v>
      </c>
      <c r="E17651" s="2064">
        <f>D17651/C17651-1</f>
        <v>-0.47098334212333326</v>
      </c>
      <c r="F17651" s="2065">
        <f t="shared" ref="F17651:F17674" si="281">E17651*A17651</f>
        <v>-1.4129500263699997E-2</v>
      </c>
      <c r="G17651" s="415"/>
      <c r="H17651" s="415" t="str">
        <f>VLOOKUP(B17651,indexy!$A$44:$D$823,3,FALSE)</f>
        <v>NLY UN Equity</v>
      </c>
      <c r="I17651" s="422">
        <f>+(((E17699*100)+100)-I17650)/100</f>
        <v>8.7553630684500519E-2</v>
      </c>
    </row>
    <row r="17652" spans="1:18" ht="12.75" hidden="1" customHeight="1" outlineLevel="1" x14ac:dyDescent="0.25">
      <c r="A17652" s="1911">
        <v>0.08</v>
      </c>
      <c r="B17652" s="2035" t="s">
        <v>2697</v>
      </c>
      <c r="C17652" s="2037">
        <v>17.104500000000002</v>
      </c>
      <c r="D17652" s="2063">
        <f>VLOOKUP(H17652,indexy!$C$44:$D$823,2,FALSE)</f>
        <v>23.46</v>
      </c>
      <c r="E17652" s="2064">
        <f t="shared" ref="E17652:E17679" si="282">D17652/C17652-1</f>
        <v>0.37156888538103994</v>
      </c>
      <c r="F17652" s="2065">
        <f t="shared" si="281"/>
        <v>2.9725510830483196E-2</v>
      </c>
      <c r="G17652" s="415"/>
      <c r="H17652" s="415" t="str">
        <f>VLOOKUP(B17652,indexy!$A$44:$D$823,3,FALSE)</f>
        <v>G IM Equity</v>
      </c>
      <c r="I17652" s="1638"/>
      <c r="K17652" s="434"/>
    </row>
    <row r="17653" spans="1:18" ht="12.75" hidden="1" customHeight="1" outlineLevel="1" x14ac:dyDescent="0.25">
      <c r="A17653" s="1911">
        <v>0.02</v>
      </c>
      <c r="B17653" s="2035" t="s">
        <v>218</v>
      </c>
      <c r="C17653" s="2037">
        <v>23.678000000000001</v>
      </c>
      <c r="D17653" s="2063">
        <f>VLOOKUP(H17653,indexy!$C$44:$D$823,2,FALSE)</f>
        <v>34.814999999999998</v>
      </c>
      <c r="E17653" s="2064">
        <f t="shared" si="282"/>
        <v>0.47035222569473767</v>
      </c>
      <c r="F17653" s="2065">
        <f t="shared" si="281"/>
        <v>9.407044513894753E-3</v>
      </c>
      <c r="G17653" s="415"/>
      <c r="H17653" s="415" t="str">
        <f>VLOOKUP(B17653,indexy!$A$44:$D$823,3,FALSE)</f>
        <v>CS FP Equity</v>
      </c>
      <c r="I17653" s="1638"/>
      <c r="K17653" s="434"/>
    </row>
    <row r="17654" spans="1:18" ht="12.75" hidden="1" customHeight="1" outlineLevel="1" x14ac:dyDescent="0.25">
      <c r="A17654" s="1911">
        <v>0.02</v>
      </c>
      <c r="B17654" s="2035" t="s">
        <v>807</v>
      </c>
      <c r="C17654" s="2037">
        <v>60.154000000000003</v>
      </c>
      <c r="D17654" s="2063">
        <f>VLOOKUP(H17654,indexy!$C$44:$D$823,2,FALSE)</f>
        <v>46.03</v>
      </c>
      <c r="E17654" s="2064">
        <f t="shared" si="282"/>
        <v>-0.23479735345945407</v>
      </c>
      <c r="F17654" s="2065">
        <f t="shared" si="281"/>
        <v>-4.6959470691890813E-3</v>
      </c>
      <c r="G17654" s="415"/>
      <c r="H17654" s="415" t="str">
        <f>VLOOKUP(B17654,indexy!$A$44:$D$823,3,FALSE)</f>
        <v>BCE CT Equity</v>
      </c>
      <c r="I17654" s="1638"/>
      <c r="K17654" s="434"/>
    </row>
    <row r="17655" spans="1:18" ht="12.75" hidden="1" customHeight="1" outlineLevel="1" x14ac:dyDescent="0.25">
      <c r="A17655" s="1911">
        <v>0.02</v>
      </c>
      <c r="B17655" s="2035" t="s">
        <v>8678</v>
      </c>
      <c r="C17655" s="2037">
        <v>81.352000000000004</v>
      </c>
      <c r="D17655" s="2063">
        <f>VLOOKUP(H17655,indexy!$C$44:$D$823,2,FALSE)</f>
        <v>120.34</v>
      </c>
      <c r="E17655" s="2064">
        <f t="shared" si="282"/>
        <v>0.47925066378208281</v>
      </c>
      <c r="F17655" s="2065">
        <f t="shared" si="281"/>
        <v>9.5850132756416569E-3</v>
      </c>
      <c r="G17655" s="415"/>
      <c r="H17655" s="415" t="str">
        <f>VLOOKUP(B17655,indexy!$A$44:$D$823,3,FALSE)</f>
        <v>CBA AT Equity</v>
      </c>
      <c r="I17655" s="1638"/>
      <c r="K17655" s="434"/>
    </row>
    <row r="17656" spans="1:18" ht="12.75" hidden="1" customHeight="1" outlineLevel="1" x14ac:dyDescent="0.25">
      <c r="A17656" s="1911">
        <v>0.02</v>
      </c>
      <c r="B17656" s="2035" t="s">
        <v>2629</v>
      </c>
      <c r="C17656" s="2037">
        <v>15.051399999999999</v>
      </c>
      <c r="D17656" s="2063">
        <f>VLOOKUP(H17656,indexy!$C$44:$D$823,2,FALSE)</f>
        <v>22.5</v>
      </c>
      <c r="E17656" s="2064">
        <f t="shared" si="282"/>
        <v>0.49487755291866553</v>
      </c>
      <c r="F17656" s="2065">
        <f t="shared" si="281"/>
        <v>9.8975510583733106E-3</v>
      </c>
      <c r="G17656" s="415"/>
      <c r="H17656" s="415" t="str">
        <f>VLOOKUP(B17656,indexy!$A$44:$D$823,3,FALSE)</f>
        <v>DTE GY Equity</v>
      </c>
      <c r="I17656" s="1638"/>
      <c r="K17656" s="434"/>
    </row>
    <row r="17657" spans="1:18" ht="12.75" hidden="1" customHeight="1" outlineLevel="1" x14ac:dyDescent="0.25">
      <c r="A17657" s="1911">
        <v>0.05</v>
      </c>
      <c r="B17657" s="2035" t="s">
        <v>9171</v>
      </c>
      <c r="C17657" s="2037">
        <v>22.824999999999999</v>
      </c>
      <c r="D17657" s="2063">
        <f>VLOOKUP(H17657,indexy!$C$44:$D$823,2,FALSE)</f>
        <v>17.164999999999999</v>
      </c>
      <c r="E17657" s="2064">
        <f t="shared" si="282"/>
        <v>-0.24797371303395399</v>
      </c>
      <c r="F17657" s="2065">
        <f t="shared" si="281"/>
        <v>-1.2398685651697701E-2</v>
      </c>
      <c r="G17657" s="415"/>
      <c r="H17657" s="415" t="str">
        <f>VLOOKUP(B17657,indexy!$A$44:$D$823,3,FALSE)</f>
        <v>ELE SQ Equity</v>
      </c>
      <c r="I17657" s="1638"/>
      <c r="K17657" s="434"/>
    </row>
    <row r="17658" spans="1:18" ht="12.75" hidden="1" customHeight="1" outlineLevel="1" x14ac:dyDescent="0.25">
      <c r="A17658" s="1911">
        <v>0.05</v>
      </c>
      <c r="B17658" s="2035" t="s">
        <v>3798</v>
      </c>
      <c r="C17658" s="2037">
        <v>6.4371999999999998</v>
      </c>
      <c r="D17658" s="2063">
        <f>VLOOKUP(H17658,indexy!$C$44:$D$823,2,FALSE)</f>
        <v>6.1189999999999998</v>
      </c>
      <c r="E17658" s="2064">
        <f t="shared" si="282"/>
        <v>-4.9431429814204897E-2</v>
      </c>
      <c r="F17658" s="2065">
        <f t="shared" si="281"/>
        <v>-2.4715714907102451E-3</v>
      </c>
      <c r="G17658" s="415"/>
      <c r="H17658" s="415" t="str">
        <f>VLOOKUP(B17658,indexy!$A$44:$D$823,3,FALSE)</f>
        <v>ENEL IM Equity</v>
      </c>
      <c r="I17658" s="1638"/>
      <c r="K17658" s="434"/>
    </row>
    <row r="17659" spans="1:18" ht="12.75" hidden="1" customHeight="1" outlineLevel="1" x14ac:dyDescent="0.25">
      <c r="A17659" s="1911">
        <v>0.02</v>
      </c>
      <c r="B17659" s="2035" t="s">
        <v>3021</v>
      </c>
      <c r="C17659" s="2037">
        <v>14.551</v>
      </c>
      <c r="D17659" s="2063">
        <f>VLOOKUP(H17659,indexy!$C$44:$D$823,2,FALSE)</f>
        <v>14.648</v>
      </c>
      <c r="E17659" s="2064">
        <f t="shared" si="282"/>
        <v>6.666208508006255E-3</v>
      </c>
      <c r="F17659" s="2065">
        <f t="shared" si="281"/>
        <v>1.333241701601251E-4</v>
      </c>
      <c r="G17659" s="415"/>
      <c r="H17659" s="415" t="str">
        <f>VLOOKUP(B17659,indexy!$A$44:$D$823,3,FALSE)</f>
        <v>ENI IM Equity</v>
      </c>
      <c r="I17659" s="1638"/>
      <c r="K17659" s="434"/>
    </row>
    <row r="17660" spans="1:18" ht="12.75" hidden="1" customHeight="1" outlineLevel="1" x14ac:dyDescent="0.25">
      <c r="A17660" s="1911">
        <v>0.02</v>
      </c>
      <c r="B17660" s="2035" t="s">
        <v>6902</v>
      </c>
      <c r="C17660" s="2037">
        <v>2.7008999999999999</v>
      </c>
      <c r="D17660" s="2063">
        <f>VLOOKUP(H17660,indexy!$C$44:$D$823,2,FALSE)/100</f>
        <v>2.544</v>
      </c>
      <c r="E17660" s="2064">
        <f t="shared" si="282"/>
        <v>-5.809174719537924E-2</v>
      </c>
      <c r="F17660" s="2065">
        <f t="shared" si="281"/>
        <v>-1.1618349439075847E-3</v>
      </c>
      <c r="G17660" s="415"/>
      <c r="H17660" s="415" t="str">
        <f>VLOOKUP(B17660,indexy!$A$44:$D$823,3,FALSE)</f>
        <v>LGEN LN Equity</v>
      </c>
      <c r="I17660" s="1638"/>
      <c r="K17660" s="434"/>
    </row>
    <row r="17661" spans="1:18" ht="12.75" hidden="1" customHeight="1" outlineLevel="1" x14ac:dyDescent="0.25">
      <c r="A17661" s="1911">
        <v>0.02</v>
      </c>
      <c r="B17661" s="2035" t="s">
        <v>8336</v>
      </c>
      <c r="C17661" s="2037">
        <v>27.062999999999999</v>
      </c>
      <c r="D17661" s="2063">
        <f>VLOOKUP(H17661,indexy!$C$44:$D$823,2,FALSE)</f>
        <v>34.64</v>
      </c>
      <c r="E17661" s="2064">
        <f t="shared" si="282"/>
        <v>0.27997635147618527</v>
      </c>
      <c r="F17661" s="2065">
        <f t="shared" si="281"/>
        <v>5.5995270295237055E-3</v>
      </c>
      <c r="G17661" s="415"/>
      <c r="H17661" s="415" t="str">
        <f>VLOOKUP(B17661,indexy!$A$44:$D$823,3,FALSE)</f>
        <v>NAB AT Equity</v>
      </c>
      <c r="I17661" s="1638"/>
      <c r="K17661" s="434"/>
    </row>
    <row r="17662" spans="1:18" ht="12.75" hidden="1" customHeight="1" outlineLevel="1" x14ac:dyDescent="0.25">
      <c r="A17662" s="1911">
        <v>0.02</v>
      </c>
      <c r="B17662" s="2035" t="s">
        <v>2786</v>
      </c>
      <c r="C17662" s="2038">
        <v>8.3854000000000006</v>
      </c>
      <c r="D17662" s="2063">
        <f>VLOOKUP(H17662,indexy!$C$44:$D$823,2,FALSE)/100</f>
        <v>10.66</v>
      </c>
      <c r="E17662" s="2064">
        <f t="shared" si="282"/>
        <v>0.27125718510744856</v>
      </c>
      <c r="F17662" s="2065">
        <f t="shared" si="281"/>
        <v>5.4251437021489712E-3</v>
      </c>
      <c r="G17662" s="415"/>
      <c r="H17662" s="415" t="str">
        <f>VLOOKUP(B17662,indexy!$A$44:$D$823,3,FALSE)</f>
        <v>NG/ LN Equity</v>
      </c>
      <c r="I17662" s="1638"/>
      <c r="K17662" s="434"/>
    </row>
    <row r="17663" spans="1:18" ht="12.75" hidden="1" customHeight="1" outlineLevel="1" x14ac:dyDescent="0.25">
      <c r="A17663" s="1911">
        <v>7.0000000000000007E-2</v>
      </c>
      <c r="B17663" s="2035" t="s">
        <v>9767</v>
      </c>
      <c r="C17663" s="2037">
        <v>22.675000000000001</v>
      </c>
      <c r="D17663" s="2063">
        <f>VLOOKUP(H17663,indexy!$C$44:$D$823,2,FALSE)</f>
        <v>20.100000000000001</v>
      </c>
      <c r="E17663" s="2064">
        <f t="shared" si="282"/>
        <v>-0.11356119073869897</v>
      </c>
      <c r="F17663" s="2065">
        <f t="shared" si="281"/>
        <v>-7.949283351708929E-3</v>
      </c>
      <c r="G17663" s="415"/>
      <c r="H17663" s="415" t="str">
        <f>VLOOKUP(B17663,indexy!$A$44:$D$823,3,FALSE)</f>
        <v>NTGY SQ Equity</v>
      </c>
      <c r="I17663" s="1638"/>
      <c r="K17663" s="434"/>
    </row>
    <row r="17664" spans="1:18" ht="12.75" hidden="1" customHeight="1" outlineLevel="1" x14ac:dyDescent="0.25">
      <c r="A17664" s="1911">
        <v>0.06</v>
      </c>
      <c r="B17664" s="2035" t="s">
        <v>459</v>
      </c>
      <c r="C17664" s="2037">
        <v>769.62</v>
      </c>
      <c r="D17664" s="2063">
        <f>VLOOKUP(H17664,indexy!$C$44:$D$823,2,FALSE)</f>
        <v>597.20000000000005</v>
      </c>
      <c r="E17664" s="2064">
        <f t="shared" si="282"/>
        <v>-0.22403263948442087</v>
      </c>
      <c r="F17664" s="2065">
        <f t="shared" si="281"/>
        <v>-1.3441958369065251E-2</v>
      </c>
      <c r="G17664" s="415"/>
      <c r="H17664" s="415" t="str">
        <f>VLOOKUP(B17664,indexy!$A$44:$D$823,3,FALSE)</f>
        <v>7201 JT Equity</v>
      </c>
      <c r="I17664" s="1638"/>
      <c r="K17664" s="434"/>
    </row>
    <row r="17665" spans="1:11" ht="12.75" hidden="1" customHeight="1" outlineLevel="1" x14ac:dyDescent="0.25">
      <c r="A17665" s="1911">
        <v>0.04</v>
      </c>
      <c r="B17665" s="2035" t="s">
        <v>5824</v>
      </c>
      <c r="C17665" s="2037">
        <v>13.143803001902981</v>
      </c>
      <c r="D17665" s="2063">
        <f>VLOOKUP(H17665,indexy!$C$44:$D$823,2,FALSE)</f>
        <v>10.888</v>
      </c>
      <c r="E17665" s="2064">
        <f t="shared" si="282"/>
        <v>-0.171624833511</v>
      </c>
      <c r="F17665" s="2065">
        <f t="shared" si="281"/>
        <v>-6.8649933404399998E-3</v>
      </c>
      <c r="G17665" s="415"/>
      <c r="H17665" s="415" t="str">
        <f>VLOOKUP(B17665,indexy!$A$44:$D$823,3,FALSE)</f>
        <v>ORA FP Equity</v>
      </c>
      <c r="I17665" s="1638"/>
      <c r="K17665" s="434"/>
    </row>
    <row r="17666" spans="1:11" ht="12.75" hidden="1" customHeight="1" outlineLevel="1" x14ac:dyDescent="0.25">
      <c r="A17666" s="1911">
        <v>0.02</v>
      </c>
      <c r="B17666" s="2035" t="s">
        <v>10734</v>
      </c>
      <c r="C17666" s="2037">
        <v>17.614000000000001</v>
      </c>
      <c r="D17666" s="2063">
        <f>VLOOKUP(H17666,indexy!$C$44:$D$823,2,FALSE)</f>
        <v>15.805</v>
      </c>
      <c r="E17666" s="2064">
        <f t="shared" si="282"/>
        <v>-0.10270239582150564</v>
      </c>
      <c r="F17666" s="2065">
        <f t="shared" si="281"/>
        <v>-2.054047916430113E-3</v>
      </c>
      <c r="G17666" s="415"/>
      <c r="H17666" s="415" t="str">
        <f>VLOOKUP(B17666,indexy!$A$44:$D$823,3,FALSE)</f>
        <v>RED SQ Equity</v>
      </c>
      <c r="I17666" s="1638"/>
      <c r="K17666" s="434"/>
    </row>
    <row r="17667" spans="1:11" ht="12.75" hidden="1" customHeight="1" outlineLevel="1" x14ac:dyDescent="0.25">
      <c r="A17667" s="1911">
        <v>0.02</v>
      </c>
      <c r="B17667" s="2035" t="s">
        <v>54</v>
      </c>
      <c r="C17667" s="2037">
        <v>13.635</v>
      </c>
      <c r="D17667" s="2063">
        <f>VLOOKUP(H17667,indexy!$C$44:$D$823,2,FALSE)</f>
        <v>15.44</v>
      </c>
      <c r="E17667" s="2064">
        <f t="shared" si="282"/>
        <v>0.13237990465713234</v>
      </c>
      <c r="F17667" s="2065">
        <f t="shared" si="281"/>
        <v>2.6475980931426469E-3</v>
      </c>
      <c r="G17667" s="415"/>
      <c r="H17667" s="415" t="str">
        <f>VLOOKUP(B17667,indexy!$A$44:$D$823,3,FALSE)</f>
        <v>REP SQ Equity</v>
      </c>
      <c r="I17667" s="1638"/>
      <c r="K17667" s="434"/>
    </row>
    <row r="17668" spans="1:11" ht="12.75" hidden="1" customHeight="1" outlineLevel="1" x14ac:dyDescent="0.25">
      <c r="A17668" s="1911">
        <v>0.02</v>
      </c>
      <c r="B17668" s="2035" t="s">
        <v>6116</v>
      </c>
      <c r="C17668" s="2037">
        <v>4.6196999999999999</v>
      </c>
      <c r="D17668" s="2063">
        <f>VLOOKUP(H17668,indexy!$C$44:$D$823,2,FALSE)</f>
        <v>4.3760000000000003</v>
      </c>
      <c r="E17668" s="2064">
        <f t="shared" si="282"/>
        <v>-5.2752343225750509E-2</v>
      </c>
      <c r="F17668" s="2065">
        <f t="shared" si="281"/>
        <v>-1.0550468645150102E-3</v>
      </c>
      <c r="G17668" s="415"/>
      <c r="H17668" s="415" t="str">
        <f>VLOOKUP(B17668,indexy!$A$44:$D$823,3,FALSE)</f>
        <v>SRG IM Equity</v>
      </c>
      <c r="I17668" s="1638"/>
      <c r="K17668" s="434"/>
    </row>
    <row r="17669" spans="1:11" ht="12.75" hidden="1" customHeight="1" outlineLevel="1" x14ac:dyDescent="0.25">
      <c r="A17669" s="1911">
        <v>0.04</v>
      </c>
      <c r="B17669" s="2035" t="s">
        <v>1857</v>
      </c>
      <c r="C17669" s="2037">
        <v>11.516999999999999</v>
      </c>
      <c r="D17669" s="2063">
        <f>VLOOKUP(H17669,indexy!$C$44:$D$823,2,FALSE)/100</f>
        <v>16.5</v>
      </c>
      <c r="E17669" s="2064">
        <f t="shared" si="282"/>
        <v>0.43266475644699143</v>
      </c>
      <c r="F17669" s="2065">
        <f t="shared" si="281"/>
        <v>1.7306590257879659E-2</v>
      </c>
      <c r="G17669" s="415"/>
      <c r="H17669" s="415" t="str">
        <f>VLOOKUP(B17669,indexy!$A$44:$D$823,3,FALSE)</f>
        <v>SSE LN Equity</v>
      </c>
      <c r="I17669" s="1638"/>
      <c r="K17669" s="434"/>
    </row>
    <row r="17670" spans="1:11" ht="12.75" hidden="1" customHeight="1" outlineLevel="1" x14ac:dyDescent="0.25">
      <c r="A17670" s="1911">
        <v>0.04</v>
      </c>
      <c r="B17670" s="2035" t="s">
        <v>6527</v>
      </c>
      <c r="C17670" s="2037">
        <v>88.909124803269933</v>
      </c>
      <c r="D17670" s="2063">
        <f>VLOOKUP(H17670,indexy!$C$44:$D$823,2,FALSE)</f>
        <v>108.25</v>
      </c>
      <c r="E17670" s="2064">
        <f t="shared" si="282"/>
        <v>0.21753532316875024</v>
      </c>
      <c r="F17670" s="2065">
        <f t="shared" si="281"/>
        <v>8.7014129267500104E-3</v>
      </c>
      <c r="G17670" s="415"/>
      <c r="H17670" s="415" t="str">
        <f>VLOOKUP(B17670,indexy!$A$44:$D$823,3,FALSE)</f>
        <v>SHBA SS Equity</v>
      </c>
      <c r="I17670" s="1638"/>
      <c r="K17670" s="434"/>
    </row>
    <row r="17671" spans="1:11" ht="12.75" hidden="1" customHeight="1" outlineLevel="1" x14ac:dyDescent="0.25">
      <c r="A17671" s="1911">
        <v>0.08</v>
      </c>
      <c r="B17671" s="2035" t="s">
        <v>6118</v>
      </c>
      <c r="C17671" s="2037">
        <v>97.02</v>
      </c>
      <c r="D17671" s="2063">
        <f>VLOOKUP(H17671,indexy!$C$44:$D$823,2,FALSE)</f>
        <v>115.95</v>
      </c>
      <c r="E17671" s="2064">
        <f t="shared" si="282"/>
        <v>0.19511440940012381</v>
      </c>
      <c r="F17671" s="2065">
        <f t="shared" si="281"/>
        <v>1.5609152752009905E-2</v>
      </c>
      <c r="G17671" s="415"/>
      <c r="H17671" s="415" t="str">
        <f>VLOOKUP(B17671,indexy!$A$44:$D$823,3,FALSE)</f>
        <v>SREN SE Equity</v>
      </c>
      <c r="I17671" s="1638"/>
      <c r="K17671" s="434"/>
    </row>
    <row r="17672" spans="1:11" ht="12.75" hidden="1" customHeight="1" outlineLevel="1" x14ac:dyDescent="0.25">
      <c r="A17672" s="1911">
        <v>0.02</v>
      </c>
      <c r="B17672" s="2035" t="s">
        <v>10737</v>
      </c>
      <c r="C17672" s="2037">
        <v>7.7787556274294243</v>
      </c>
      <c r="D17672" s="2063">
        <f>VLOOKUP(H17672,indexy!$C$44:$D$823,2,FALSE)</f>
        <v>9.0036000000000005</v>
      </c>
      <c r="E17672" s="2064">
        <f t="shared" si="282"/>
        <v>0.15746019430814018</v>
      </c>
      <c r="F17672" s="2065">
        <f t="shared" si="281"/>
        <v>3.1492038861628035E-3</v>
      </c>
      <c r="G17672" s="415"/>
      <c r="H17672" s="415" t="str">
        <f>VLOOKUP(B17672,indexy!$A$44:$D$823,3,FALSE)</f>
        <v>SYD AT CASH</v>
      </c>
      <c r="I17672" s="1638"/>
      <c r="K17672" s="434"/>
    </row>
    <row r="17673" spans="1:11" ht="12.75" hidden="1" customHeight="1" outlineLevel="1" x14ac:dyDescent="0.25">
      <c r="A17673" s="1911">
        <v>0.02</v>
      </c>
      <c r="B17673" s="2035" t="s">
        <v>366</v>
      </c>
      <c r="C17673" s="2037">
        <v>66.06</v>
      </c>
      <c r="D17673" s="2063">
        <f>VLOOKUP(H17673,indexy!$C$44:$D$823,2,FALSE)</f>
        <v>54.44</v>
      </c>
      <c r="E17673" s="2064">
        <f t="shared" si="282"/>
        <v>-0.17590069633666372</v>
      </c>
      <c r="F17673" s="2065">
        <f t="shared" si="281"/>
        <v>-3.5180139267332743E-3</v>
      </c>
      <c r="G17673" s="415"/>
      <c r="H17673" s="415" t="str">
        <f>VLOOKUP(B17673,indexy!$A$44:$D$823,3,FALSE)</f>
        <v>TRP CT Equity</v>
      </c>
      <c r="I17673" s="1638"/>
      <c r="K17673" s="434"/>
    </row>
    <row r="17674" spans="1:11" ht="12.75" hidden="1" customHeight="1" outlineLevel="1" x14ac:dyDescent="0.25">
      <c r="A17674" s="1911">
        <v>0.02</v>
      </c>
      <c r="B17674" s="2035" t="s">
        <v>577</v>
      </c>
      <c r="C17674" s="2037">
        <v>7.3537999999999997</v>
      </c>
      <c r="D17674" s="2063">
        <f>VLOOKUP(H17674,indexy!$C$44:$D$823,2,FALSE)</f>
        <v>4.0890000000000004</v>
      </c>
      <c r="E17674" s="2064">
        <f t="shared" si="282"/>
        <v>-0.4439609453615817</v>
      </c>
      <c r="F17674" s="2065">
        <f t="shared" si="281"/>
        <v>-8.8792189072316348E-3</v>
      </c>
      <c r="G17674" s="415"/>
      <c r="H17674" s="415" t="str">
        <f>VLOOKUP(B17674,indexy!$A$44:$D$823,3,FALSE)</f>
        <v>TEF SQ Equity</v>
      </c>
      <c r="I17674" s="1638"/>
      <c r="K17674" s="434"/>
    </row>
    <row r="17675" spans="1:11" ht="12.75" hidden="1" customHeight="1" outlineLevel="1" x14ac:dyDescent="0.25">
      <c r="A17675" s="1911">
        <v>0.02</v>
      </c>
      <c r="B17675" s="2035" t="s">
        <v>434</v>
      </c>
      <c r="C17675" s="2037">
        <v>43.046999999999997</v>
      </c>
      <c r="D17675" s="2063">
        <f>VLOOKUP(H17675,indexy!$C$44:$D$823,2,FALSE)</f>
        <v>27.43</v>
      </c>
      <c r="E17675" s="2064">
        <f t="shared" si="282"/>
        <v>-0.36278950914117125</v>
      </c>
      <c r="F17675" s="2065">
        <f>E17675*A17675</f>
        <v>-7.2557901828234255E-3</v>
      </c>
      <c r="G17675" s="415"/>
      <c r="H17675" s="415" t="str">
        <f>VLOOKUP(B17675,indexy!$A$44:$D$823,3,FALSE)</f>
        <v>TELIA SS Equity</v>
      </c>
      <c r="I17675" s="1638"/>
      <c r="K17675" s="434"/>
    </row>
    <row r="17676" spans="1:11" ht="12.75" hidden="1" customHeight="1" outlineLevel="1" x14ac:dyDescent="0.25">
      <c r="A17676" s="1911">
        <v>0.02</v>
      </c>
      <c r="B17676" s="2035" t="s">
        <v>10633</v>
      </c>
      <c r="C17676" s="2037">
        <v>48.369576572412285</v>
      </c>
      <c r="D17676" s="2063">
        <f>VLOOKUP(H17676,indexy!$C$44:$D$946,2,FALSE)</f>
        <v>63.47</v>
      </c>
      <c r="E17676" s="2064">
        <f t="shared" si="282"/>
        <v>0.31218845600150003</v>
      </c>
      <c r="F17676" s="2065">
        <f>E17676*A17676</f>
        <v>6.2437691200300004E-3</v>
      </c>
      <c r="G17676" s="415"/>
      <c r="H17676" s="415" t="str">
        <f>VLOOKUP(B17676,indexy!$A$44:$D$946,3,FALSE)</f>
        <v>TTE FP Equity</v>
      </c>
      <c r="I17676" s="1638"/>
      <c r="K17676" s="434"/>
    </row>
    <row r="17677" spans="1:11" ht="12.75" hidden="1" customHeight="1" outlineLevel="1" x14ac:dyDescent="0.25">
      <c r="A17677" s="1911">
        <v>0.02</v>
      </c>
      <c r="B17677" s="2035" t="s">
        <v>5522</v>
      </c>
      <c r="C17677" s="2037">
        <v>36.532945910209861</v>
      </c>
      <c r="D17677" s="2063">
        <f>VLOOKUP(H17677,indexy!$C$44:$D$823,2,FALSE)</f>
        <v>68.400000000000006</v>
      </c>
      <c r="E17677" s="2064">
        <f t="shared" si="282"/>
        <v>0.87228262862000028</v>
      </c>
      <c r="F17677" s="2065">
        <f>E17677*A17677</f>
        <v>1.7445652572400005E-2</v>
      </c>
      <c r="G17677" s="415"/>
      <c r="H17677" s="415" t="str">
        <f>VLOOKUP(B17677,indexy!$A$44:$D$823,3,FALSE)</f>
        <v>WES AT Equity</v>
      </c>
      <c r="I17677" s="1638"/>
      <c r="K17677" s="434"/>
    </row>
    <row r="17678" spans="1:11" ht="12.75" hidden="1" customHeight="1" outlineLevel="1" x14ac:dyDescent="0.25">
      <c r="A17678" s="1911">
        <v>0.02</v>
      </c>
      <c r="B17678" s="2035" t="s">
        <v>10003</v>
      </c>
      <c r="C17678" s="2037">
        <v>82.717464244517885</v>
      </c>
      <c r="D17678" s="2063">
        <f>VLOOKUP(H17678,indexy!$C$44:$D$823,2,FALSE)</f>
        <v>56.44</v>
      </c>
      <c r="E17678" s="2064">
        <f t="shared" si="282"/>
        <v>-0.317677342802</v>
      </c>
      <c r="F17678" s="2065">
        <f>E17678*A17678</f>
        <v>-6.35354685604E-3</v>
      </c>
      <c r="G17678" s="415"/>
      <c r="H17678" s="415" t="str">
        <f>VLOOKUP(B17678,indexy!$A$44:$D$823,3,FALSE)</f>
        <v>WPC UN Equity</v>
      </c>
      <c r="I17678" s="1638"/>
      <c r="K17678" s="434"/>
    </row>
    <row r="17679" spans="1:11" ht="12.75" hidden="1" customHeight="1" outlineLevel="1" x14ac:dyDescent="0.25">
      <c r="A17679" s="1911">
        <v>0.08</v>
      </c>
      <c r="B17679" s="2036" t="s">
        <v>4550</v>
      </c>
      <c r="C17679" s="2037">
        <v>345.83</v>
      </c>
      <c r="D17679" s="2066">
        <f>VLOOKUP(H17679,indexy!$C$44:$D$823,2,FALSE)</f>
        <v>486.3</v>
      </c>
      <c r="E17679" s="2064">
        <f t="shared" si="282"/>
        <v>0.40618222826244121</v>
      </c>
      <c r="F17679" s="2065">
        <f>E17679*A17679</f>
        <v>3.2494578260995298E-2</v>
      </c>
      <c r="G17679" s="415"/>
      <c r="H17679" s="415" t="str">
        <f>VLOOKUP(B17679,indexy!$A$44:$D$823,3,FALSE)</f>
        <v>ZURN SE Equity</v>
      </c>
      <c r="I17679" s="1638"/>
      <c r="K17679" s="434"/>
    </row>
    <row r="17680" spans="1:11" ht="12.75" hidden="1" customHeight="1" outlineLevel="1" x14ac:dyDescent="0.25">
      <c r="A17680" s="2048" t="s">
        <v>2734</v>
      </c>
      <c r="B17680" s="2049"/>
      <c r="C17680" s="2050">
        <v>100</v>
      </c>
      <c r="D17680" s="2051"/>
      <c r="E17680" s="2059"/>
      <c r="F17680" s="2059">
        <f>SUM(F17650:F17679)</f>
        <v>7.763615682140064E-2</v>
      </c>
      <c r="G17680" s="415"/>
      <c r="H17680" s="415"/>
    </row>
    <row r="17681" spans="1:8" ht="12.75" hidden="1" customHeight="1" outlineLevel="1" x14ac:dyDescent="0.25">
      <c r="A17681" s="2053" t="s">
        <v>10006</v>
      </c>
      <c r="B17681" s="2054">
        <v>45200</v>
      </c>
      <c r="C17681" s="2055">
        <v>100</v>
      </c>
      <c r="D17681" s="2055">
        <v>99.339200000000005</v>
      </c>
      <c r="E17681" s="2056">
        <f>IF(D17681="",F17680,D17681/C17681-1)</f>
        <v>-6.6079999999999472E-3</v>
      </c>
      <c r="F17681" s="2072"/>
      <c r="G17681" s="415"/>
      <c r="H17681" s="415"/>
    </row>
    <row r="17682" spans="1:8" ht="12.75" hidden="1" customHeight="1" outlineLevel="1" x14ac:dyDescent="0.25">
      <c r="A17682" s="2053" t="s">
        <v>10007</v>
      </c>
      <c r="B17682" s="2054">
        <v>45231</v>
      </c>
      <c r="C17682" s="2055">
        <v>100</v>
      </c>
      <c r="D17682" s="2058">
        <v>103.6677</v>
      </c>
      <c r="E17682" s="2056">
        <f>IF(D17682="",E17681,D17682/C17682-1)</f>
        <v>3.6677000000000071E-2</v>
      </c>
      <c r="F17682" s="2072"/>
      <c r="G17682" s="415"/>
      <c r="H17682" s="415"/>
    </row>
    <row r="17683" spans="1:8" ht="12.75" hidden="1" customHeight="1" outlineLevel="1" x14ac:dyDescent="0.25">
      <c r="A17683" s="2053" t="s">
        <v>10008</v>
      </c>
      <c r="B17683" s="2054">
        <v>45261</v>
      </c>
      <c r="C17683" s="2055">
        <v>100</v>
      </c>
      <c r="D17683" s="2058">
        <v>103.8922</v>
      </c>
      <c r="E17683" s="2056">
        <f>IF(D17683="",E17682,D17683/C17683-1)</f>
        <v>3.8922000000000123E-2</v>
      </c>
      <c r="F17683" s="2072"/>
      <c r="G17683" s="415"/>
      <c r="H17683" s="415"/>
    </row>
    <row r="17684" spans="1:8" ht="12.75" hidden="1" customHeight="1" outlineLevel="1" x14ac:dyDescent="0.25">
      <c r="A17684" s="2053" t="s">
        <v>10009</v>
      </c>
      <c r="B17684" s="2054">
        <v>45292</v>
      </c>
      <c r="C17684" s="2055">
        <v>100</v>
      </c>
      <c r="D17684" s="2058"/>
      <c r="E17684" s="2056">
        <f>IF(D17684="",$F$17680,D17684/C17684-1)</f>
        <v>7.763615682140064E-2</v>
      </c>
      <c r="F17684" s="2072"/>
      <c r="G17684" s="415"/>
      <c r="H17684" s="415"/>
    </row>
    <row r="17685" spans="1:8" ht="12.75" hidden="1" customHeight="1" outlineLevel="1" x14ac:dyDescent="0.25">
      <c r="A17685" s="2053" t="s">
        <v>10010</v>
      </c>
      <c r="B17685" s="2054">
        <v>45323</v>
      </c>
      <c r="C17685" s="2055">
        <v>100</v>
      </c>
      <c r="D17685" s="2058"/>
      <c r="E17685" s="2056">
        <f t="shared" ref="E17685:E17698" si="283">IF(D17685="",$F$17680,D17685/C17685-1)</f>
        <v>7.763615682140064E-2</v>
      </c>
      <c r="F17685" s="2072"/>
      <c r="G17685" s="415"/>
      <c r="H17685" s="415"/>
    </row>
    <row r="17686" spans="1:8" ht="12.75" hidden="1" customHeight="1" outlineLevel="1" x14ac:dyDescent="0.25">
      <c r="A17686" s="2053" t="s">
        <v>10011</v>
      </c>
      <c r="B17686" s="2054">
        <v>45352</v>
      </c>
      <c r="C17686" s="2055">
        <v>100</v>
      </c>
      <c r="D17686" s="2058"/>
      <c r="E17686" s="2056">
        <f t="shared" si="283"/>
        <v>7.763615682140064E-2</v>
      </c>
      <c r="F17686" s="2072"/>
      <c r="G17686" s="415"/>
      <c r="H17686" s="415"/>
    </row>
    <row r="17687" spans="1:8" ht="12.75" hidden="1" customHeight="1" outlineLevel="1" x14ac:dyDescent="0.25">
      <c r="A17687" s="2053" t="s">
        <v>10012</v>
      </c>
      <c r="B17687" s="2054">
        <v>45383</v>
      </c>
      <c r="C17687" s="2055">
        <v>100</v>
      </c>
      <c r="D17687" s="2058"/>
      <c r="E17687" s="2056">
        <f t="shared" si="283"/>
        <v>7.763615682140064E-2</v>
      </c>
      <c r="F17687" s="2072"/>
      <c r="G17687" s="415"/>
      <c r="H17687" s="415"/>
    </row>
    <row r="17688" spans="1:8" ht="12.75" hidden="1" customHeight="1" outlineLevel="1" x14ac:dyDescent="0.25">
      <c r="A17688" s="2053" t="s">
        <v>10013</v>
      </c>
      <c r="B17688" s="2054">
        <v>45413</v>
      </c>
      <c r="C17688" s="2055">
        <v>100</v>
      </c>
      <c r="D17688" s="2058"/>
      <c r="E17688" s="2056">
        <f t="shared" si="283"/>
        <v>7.763615682140064E-2</v>
      </c>
      <c r="F17688" s="2072"/>
      <c r="G17688" s="415"/>
      <c r="H17688" s="415"/>
    </row>
    <row r="17689" spans="1:8" ht="12.75" hidden="1" customHeight="1" outlineLevel="1" x14ac:dyDescent="0.25">
      <c r="A17689" s="2053" t="s">
        <v>10014</v>
      </c>
      <c r="B17689" s="2054">
        <v>45444</v>
      </c>
      <c r="C17689" s="2055">
        <v>100</v>
      </c>
      <c r="D17689" s="2058"/>
      <c r="E17689" s="2056">
        <f t="shared" si="283"/>
        <v>7.763615682140064E-2</v>
      </c>
      <c r="F17689" s="2072"/>
      <c r="G17689" s="415"/>
      <c r="H17689" s="415"/>
    </row>
    <row r="17690" spans="1:8" ht="12.75" hidden="1" customHeight="1" outlineLevel="1" x14ac:dyDescent="0.25">
      <c r="A17690" s="2053" t="s">
        <v>10015</v>
      </c>
      <c r="B17690" s="2054">
        <v>45474</v>
      </c>
      <c r="C17690" s="2055">
        <v>100</v>
      </c>
      <c r="D17690" s="2058"/>
      <c r="E17690" s="2056">
        <f t="shared" si="283"/>
        <v>7.763615682140064E-2</v>
      </c>
      <c r="F17690" s="2072"/>
      <c r="G17690" s="415"/>
      <c r="H17690" s="415"/>
    </row>
    <row r="17691" spans="1:8" ht="12.75" hidden="1" customHeight="1" outlineLevel="1" x14ac:dyDescent="0.25">
      <c r="A17691" s="2053" t="s">
        <v>10016</v>
      </c>
      <c r="B17691" s="2054">
        <v>45505</v>
      </c>
      <c r="C17691" s="2055">
        <v>100</v>
      </c>
      <c r="D17691" s="2058"/>
      <c r="E17691" s="2056">
        <f t="shared" si="283"/>
        <v>7.763615682140064E-2</v>
      </c>
      <c r="F17691" s="2072"/>
      <c r="G17691" s="415"/>
      <c r="H17691" s="415"/>
    </row>
    <row r="17692" spans="1:8" ht="12.75" hidden="1" customHeight="1" outlineLevel="1" x14ac:dyDescent="0.25">
      <c r="A17692" s="2053" t="s">
        <v>10017</v>
      </c>
      <c r="B17692" s="2054">
        <v>45536</v>
      </c>
      <c r="C17692" s="2055">
        <v>100</v>
      </c>
      <c r="D17692" s="2058"/>
      <c r="E17692" s="2056">
        <f t="shared" si="283"/>
        <v>7.763615682140064E-2</v>
      </c>
      <c r="F17692" s="2072"/>
      <c r="G17692" s="415"/>
      <c r="H17692" s="415"/>
    </row>
    <row r="17693" spans="1:8" ht="12.75" hidden="1" customHeight="1" outlineLevel="1" x14ac:dyDescent="0.25">
      <c r="A17693" s="2053" t="s">
        <v>10018</v>
      </c>
      <c r="B17693" s="2054">
        <v>45566</v>
      </c>
      <c r="C17693" s="2055">
        <v>100</v>
      </c>
      <c r="D17693" s="2058"/>
      <c r="E17693" s="2056">
        <f t="shared" si="283"/>
        <v>7.763615682140064E-2</v>
      </c>
      <c r="F17693" s="2110"/>
      <c r="G17693" s="415"/>
      <c r="H17693" s="415"/>
    </row>
    <row r="17694" spans="1:8" ht="12.75" hidden="1" customHeight="1" outlineLevel="1" x14ac:dyDescent="0.25">
      <c r="A17694" s="2053" t="s">
        <v>10019</v>
      </c>
      <c r="B17694" s="2054">
        <v>45597</v>
      </c>
      <c r="C17694" s="2055">
        <v>100</v>
      </c>
      <c r="D17694" s="2058"/>
      <c r="E17694" s="2056">
        <f t="shared" si="283"/>
        <v>7.763615682140064E-2</v>
      </c>
      <c r="F17694" s="2110"/>
      <c r="G17694" s="415"/>
      <c r="H17694" s="415"/>
    </row>
    <row r="17695" spans="1:8" ht="12.75" hidden="1" customHeight="1" outlineLevel="1" x14ac:dyDescent="0.25">
      <c r="A17695" s="2053" t="s">
        <v>10020</v>
      </c>
      <c r="B17695" s="2054">
        <v>45627</v>
      </c>
      <c r="C17695" s="2055">
        <v>100</v>
      </c>
      <c r="D17695" s="2058"/>
      <c r="E17695" s="2056">
        <f t="shared" si="283"/>
        <v>7.763615682140064E-2</v>
      </c>
      <c r="F17695" s="2110"/>
      <c r="G17695" s="415"/>
      <c r="H17695" s="415"/>
    </row>
    <row r="17696" spans="1:8" ht="12.75" hidden="1" customHeight="1" outlineLevel="1" x14ac:dyDescent="0.25">
      <c r="A17696" s="2053" t="s">
        <v>10021</v>
      </c>
      <c r="B17696" s="2054">
        <v>45658</v>
      </c>
      <c r="C17696" s="2055">
        <v>100</v>
      </c>
      <c r="D17696" s="2058"/>
      <c r="E17696" s="2056">
        <f t="shared" si="283"/>
        <v>7.763615682140064E-2</v>
      </c>
      <c r="F17696" s="2110"/>
      <c r="G17696" s="415"/>
      <c r="H17696" s="415"/>
    </row>
    <row r="17697" spans="1:9" ht="12.75" hidden="1" customHeight="1" outlineLevel="1" x14ac:dyDescent="0.25">
      <c r="A17697" s="2053" t="s">
        <v>10022</v>
      </c>
      <c r="B17697" s="2054">
        <v>45689</v>
      </c>
      <c r="C17697" s="2055">
        <v>100</v>
      </c>
      <c r="D17697" s="2058"/>
      <c r="E17697" s="2056">
        <f t="shared" si="283"/>
        <v>7.763615682140064E-2</v>
      </c>
      <c r="F17697" s="2110"/>
      <c r="G17697" s="415"/>
      <c r="H17697" s="415"/>
    </row>
    <row r="17698" spans="1:9" ht="12.75" hidden="1" customHeight="1" outlineLevel="1" x14ac:dyDescent="0.25">
      <c r="A17698" s="2053" t="s">
        <v>10023</v>
      </c>
      <c r="B17698" s="2054">
        <v>45717</v>
      </c>
      <c r="C17698" s="2055">
        <v>100</v>
      </c>
      <c r="D17698" s="2058"/>
      <c r="E17698" s="2056">
        <f t="shared" si="283"/>
        <v>7.763615682140064E-2</v>
      </c>
      <c r="F17698" s="2110"/>
      <c r="G17698" s="415"/>
      <c r="H17698" s="415"/>
    </row>
    <row r="17699" spans="1:9" s="444" customFormat="1" ht="12.75" hidden="1" customHeight="1" outlineLevel="1" x14ac:dyDescent="0.25">
      <c r="A17699" s="2067" t="s">
        <v>2734</v>
      </c>
      <c r="B17699" s="2068"/>
      <c r="C17699" s="2058"/>
      <c r="D17699" s="2069" t="s">
        <v>2465</v>
      </c>
      <c r="E17699" s="2070">
        <f>AVERAGE(E17681:E17698)</f>
        <v>6.8529630684500534E-2</v>
      </c>
      <c r="F17699" s="2071">
        <f>((((E17699*100)+100)-I17650)/100)</f>
        <v>8.7553630684500519E-2</v>
      </c>
    </row>
    <row r="17700" spans="1:9" collapsed="1" x14ac:dyDescent="0.25">
      <c r="A17700" s="3799" t="s">
        <v>9888</v>
      </c>
      <c r="B17700" s="3800"/>
      <c r="C17700" s="3800"/>
      <c r="D17700" s="3800"/>
      <c r="E17700" s="18"/>
      <c r="F17700" s="186">
        <f>MAX(0%,MIN(F17699*0.7,70%))</f>
        <v>6.1287541479150359E-2</v>
      </c>
      <c r="G17700" s="415"/>
    </row>
    <row r="17702" spans="1:9" hidden="1" outlineLevel="1" x14ac:dyDescent="0.25">
      <c r="A17702" s="3248" t="s">
        <v>113</v>
      </c>
      <c r="B17702" s="3237" t="s">
        <v>114</v>
      </c>
      <c r="C17702" s="3237" t="s">
        <v>112</v>
      </c>
      <c r="D17702" s="3237" t="s">
        <v>4363</v>
      </c>
      <c r="E17702" s="3237" t="s">
        <v>116</v>
      </c>
      <c r="F17702" s="3276" t="s">
        <v>121</v>
      </c>
      <c r="G17702" s="78"/>
      <c r="H17702" s="438" t="s">
        <v>5391</v>
      </c>
      <c r="I17702" s="438" t="s">
        <v>5392</v>
      </c>
    </row>
    <row r="17703" spans="1:9" hidden="1" outlineLevel="1" x14ac:dyDescent="0.25">
      <c r="A17703" s="1810" t="s">
        <v>10071</v>
      </c>
      <c r="B17703" s="2984" t="s">
        <v>2153</v>
      </c>
      <c r="C17703" s="3550">
        <v>3340.77</v>
      </c>
      <c r="D17703" s="3805">
        <v>3720.7559999999999</v>
      </c>
      <c r="E17703" s="2238"/>
      <c r="F17703" s="3545">
        <v>0.19500000000000001</v>
      </c>
      <c r="G17703" s="78"/>
      <c r="H17703" s="92">
        <v>0.11374204150540135</v>
      </c>
      <c r="I17703" s="450">
        <v>0.19500000000000001</v>
      </c>
    </row>
    <row r="17704" spans="1:9" hidden="1" outlineLevel="1" x14ac:dyDescent="0.25">
      <c r="A17704" s="1810" t="s">
        <v>10072</v>
      </c>
      <c r="B17704" s="2984" t="s">
        <v>2153</v>
      </c>
      <c r="C17704" s="1814" t="s">
        <v>5590</v>
      </c>
      <c r="D17704" s="3806"/>
      <c r="E17704" s="1815"/>
      <c r="F17704" s="3546" t="s">
        <v>5590</v>
      </c>
      <c r="G17704" s="78"/>
      <c r="H17704" s="79" t="s">
        <v>5590</v>
      </c>
      <c r="I17704" s="451">
        <v>0.26</v>
      </c>
    </row>
    <row r="17705" spans="1:9" hidden="1" outlineLevel="1" x14ac:dyDescent="0.25">
      <c r="A17705" s="1810" t="s">
        <v>10073</v>
      </c>
      <c r="B17705" s="2984" t="s">
        <v>2153</v>
      </c>
      <c r="C17705" s="1814" t="s">
        <v>5590</v>
      </c>
      <c r="D17705" s="3806"/>
      <c r="E17705" s="1815"/>
      <c r="F17705" s="3546" t="s">
        <v>5590</v>
      </c>
      <c r="G17705" s="78"/>
      <c r="H17705" s="79" t="s">
        <v>5590</v>
      </c>
      <c r="I17705" s="451">
        <v>0.32500000000000001</v>
      </c>
    </row>
    <row r="17706" spans="1:9" hidden="1" outlineLevel="1" x14ac:dyDescent="0.25">
      <c r="A17706" s="1810" t="s">
        <v>10074</v>
      </c>
      <c r="B17706" s="2984" t="s">
        <v>2153</v>
      </c>
      <c r="C17706" s="1814" t="s">
        <v>5590</v>
      </c>
      <c r="D17706" s="3806"/>
      <c r="E17706" s="1815"/>
      <c r="F17706" s="3546" t="s">
        <v>5590</v>
      </c>
      <c r="G17706" s="78"/>
      <c r="H17706" s="82" t="s">
        <v>5590</v>
      </c>
      <c r="I17706" s="452">
        <v>0.39</v>
      </c>
    </row>
    <row r="17707" spans="1:9" hidden="1" outlineLevel="1" x14ac:dyDescent="0.25">
      <c r="A17707" s="1810" t="s">
        <v>10075</v>
      </c>
      <c r="B17707" s="2984" t="s">
        <v>2153</v>
      </c>
      <c r="C17707" s="1817" t="s">
        <v>5590</v>
      </c>
      <c r="D17707" s="3807"/>
      <c r="E17707" s="1815"/>
      <c r="F17707" s="3547" t="s">
        <v>5590</v>
      </c>
      <c r="G17707" s="78"/>
      <c r="H17707" s="37">
        <v>0.11374204150540135</v>
      </c>
    </row>
    <row r="17708" spans="1:9" hidden="1" outlineLevel="1" x14ac:dyDescent="0.25">
      <c r="A17708" s="1819" t="s">
        <v>2734</v>
      </c>
      <c r="B17708" s="2984"/>
      <c r="C17708" s="1820"/>
      <c r="D17708" s="3142"/>
      <c r="E17708" s="3548"/>
      <c r="F17708" s="3549">
        <v>0.19500000000000001</v>
      </c>
      <c r="G17708" s="78"/>
      <c r="H17708" s="74"/>
    </row>
    <row r="17709" spans="1:9" collapsed="1" x14ac:dyDescent="0.25">
      <c r="A17709" s="3801" t="s">
        <v>9990</v>
      </c>
      <c r="B17709" s="3802"/>
      <c r="C17709" s="3802"/>
      <c r="D17709" s="3802"/>
      <c r="E17709" s="1906"/>
      <c r="F17709" s="1907">
        <v>0.19500000000000001</v>
      </c>
      <c r="G17709" s="78"/>
      <c r="H17709" s="74"/>
    </row>
    <row r="17711" spans="1:9" ht="12.75" hidden="1" customHeight="1" outlineLevel="1" x14ac:dyDescent="0.25">
      <c r="A17711" s="15" t="s">
        <v>113</v>
      </c>
      <c r="B17711" s="15" t="s">
        <v>114</v>
      </c>
      <c r="C17711" s="15" t="s">
        <v>112</v>
      </c>
      <c r="D17711" s="15" t="s">
        <v>116</v>
      </c>
      <c r="E17711" s="15" t="s">
        <v>117</v>
      </c>
      <c r="F17711" s="1882" t="s">
        <v>121</v>
      </c>
      <c r="G17711" s="78"/>
    </row>
    <row r="17712" spans="1:9" ht="12.75" hidden="1" customHeight="1" outlineLevel="1" x14ac:dyDescent="0.25">
      <c r="A17712" s="2127">
        <v>1</v>
      </c>
      <c r="B17712" s="2128" t="s">
        <v>252</v>
      </c>
      <c r="C17712" s="2427">
        <v>100</v>
      </c>
      <c r="D17712" s="2428" t="s">
        <v>3702</v>
      </c>
      <c r="E17712" s="2429">
        <f>indexy!$B$2</f>
        <v>45379</v>
      </c>
      <c r="F17712" s="2430"/>
      <c r="G17712" s="78"/>
    </row>
    <row r="17713" spans="1:14" ht="40.5" hidden="1" customHeight="1" outlineLevel="1" x14ac:dyDescent="0.25">
      <c r="A17713" s="2114" t="s">
        <v>4156</v>
      </c>
      <c r="B17713" s="2114" t="s">
        <v>4153</v>
      </c>
      <c r="C17713" s="2114" t="s">
        <v>112</v>
      </c>
      <c r="D17713" s="2114" t="s">
        <v>4155</v>
      </c>
      <c r="E17713" s="2114" t="s">
        <v>4154</v>
      </c>
      <c r="F17713" s="2114" t="s">
        <v>2519</v>
      </c>
      <c r="G17713" s="78"/>
    </row>
    <row r="17714" spans="1:14" ht="12.75" hidden="1" customHeight="1" outlineLevel="1" x14ac:dyDescent="0.25">
      <c r="A17714" s="2034">
        <v>0.02</v>
      </c>
      <c r="B17714" s="2035" t="s">
        <v>9297</v>
      </c>
      <c r="C17714" s="2037">
        <v>16.156500000000001</v>
      </c>
      <c r="D17714" s="2060">
        <f>VLOOKUP(H17714,indexy!$C$44:$D$823,2,FALSE)</f>
        <v>15.85</v>
      </c>
      <c r="E17714" s="2425">
        <f>D17714/C17714-1</f>
        <v>-1.897069290997444E-2</v>
      </c>
      <c r="F17714" s="2041">
        <f>E17714*A17714</f>
        <v>-3.7941385819948879E-4</v>
      </c>
      <c r="G17714" s="78"/>
      <c r="H17714" t="str">
        <f>VLOOKUP(B17714,indexy!$A$44:$D$823,3,FALSE)</f>
        <v>ABN NA Equity</v>
      </c>
      <c r="I17714" s="98" t="s">
        <v>6654</v>
      </c>
      <c r="J17714" s="494" t="s">
        <v>7618</v>
      </c>
      <c r="N17714" s="434"/>
    </row>
    <row r="17715" spans="1:14" ht="12.75" hidden="1" customHeight="1" outlineLevel="1" x14ac:dyDescent="0.3">
      <c r="A17715" s="1911">
        <v>0.03</v>
      </c>
      <c r="B17715" s="2035" t="s">
        <v>802</v>
      </c>
      <c r="C17715" s="2037">
        <v>8.9369999999999994</v>
      </c>
      <c r="D17715" s="2063">
        <f>VLOOKUP(H17715,indexy!$C$44:$D$823,2,FALSE)</f>
        <v>19.690000000000001</v>
      </c>
      <c r="E17715" s="2426">
        <f>D17715/C17715-1</f>
        <v>1.2032001790309952</v>
      </c>
      <c r="F17715" s="2044">
        <f t="shared" ref="F17715:F17738" si="284">E17715*A17715</f>
        <v>3.6096005370929857E-2</v>
      </c>
      <c r="G17715" s="78"/>
      <c r="H17715" t="str">
        <f>VLOOKUP(B17715,indexy!$A$44:$D$823,3,FALSE)</f>
        <v>NLY UN Equity</v>
      </c>
      <c r="I17715" s="1690">
        <v>43739</v>
      </c>
      <c r="J17715" s="1761"/>
      <c r="K17715" s="1773"/>
      <c r="N17715" s="434"/>
    </row>
    <row r="17716" spans="1:14" ht="12.75" hidden="1" customHeight="1" outlineLevel="1" x14ac:dyDescent="0.25">
      <c r="A17716" s="1911">
        <v>0.08</v>
      </c>
      <c r="B17716" s="2035" t="s">
        <v>2697</v>
      </c>
      <c r="C17716" s="2037">
        <v>16.190000000000001</v>
      </c>
      <c r="D17716" s="2063">
        <f>VLOOKUP(H17716,indexy!$C$44:$D$823,2,FALSE)</f>
        <v>23.46</v>
      </c>
      <c r="E17716" s="2426">
        <f t="shared" ref="E17716:E17743" si="285">D17716/C17716-1</f>
        <v>0.44904261890055586</v>
      </c>
      <c r="F17716" s="2044">
        <f t="shared" si="284"/>
        <v>3.5923409512044473E-2</v>
      </c>
      <c r="G17716" s="78"/>
      <c r="H17716" t="str">
        <f>VLOOKUP(B17716,indexy!$A$44:$D$823,3,FALSE)</f>
        <v>G IM Equity</v>
      </c>
      <c r="I17716" s="1690">
        <v>44105</v>
      </c>
      <c r="J17716" s="478"/>
      <c r="N17716" s="434"/>
    </row>
    <row r="17717" spans="1:14" ht="12.75" hidden="1" customHeight="1" outlineLevel="1" x14ac:dyDescent="0.25">
      <c r="A17717" s="1911">
        <v>0.02</v>
      </c>
      <c r="B17717" s="2035" t="s">
        <v>218</v>
      </c>
      <c r="C17717" s="2037">
        <v>21.4605</v>
      </c>
      <c r="D17717" s="2063">
        <f>VLOOKUP(H17717,indexy!$C$44:$D$823,2,FALSE)</f>
        <v>34.814999999999998</v>
      </c>
      <c r="E17717" s="2426">
        <f t="shared" si="285"/>
        <v>0.62228279863004121</v>
      </c>
      <c r="F17717" s="2044">
        <f t="shared" si="284"/>
        <v>1.2445655972600824E-2</v>
      </c>
      <c r="G17717" s="78"/>
      <c r="H17717" t="str">
        <f>VLOOKUP(B17717,indexy!$A$44:$D$823,3,FALSE)</f>
        <v>CS FP Equity</v>
      </c>
      <c r="I17717" s="1690">
        <v>44470</v>
      </c>
      <c r="J17717" s="478"/>
      <c r="N17717" s="434"/>
    </row>
    <row r="17718" spans="1:14" ht="12.75" hidden="1" customHeight="1" outlineLevel="1" x14ac:dyDescent="0.25">
      <c r="A17718" s="1911">
        <v>0.02</v>
      </c>
      <c r="B17718" s="2035" t="s">
        <v>807</v>
      </c>
      <c r="C17718" s="2037">
        <v>61.825000000000003</v>
      </c>
      <c r="D17718" s="2063">
        <f>VLOOKUP(H17718,indexy!$C$44:$D$823,2,FALSE)</f>
        <v>46.03</v>
      </c>
      <c r="E17718" s="2426">
        <f t="shared" si="285"/>
        <v>-0.25547917509098261</v>
      </c>
      <c r="F17718" s="2044">
        <f t="shared" si="284"/>
        <v>-5.1095835018196527E-3</v>
      </c>
      <c r="G17718" s="78"/>
      <c r="H17718" t="str">
        <f>VLOOKUP(B17718,indexy!$A$44:$D$823,3,FALSE)</f>
        <v>BCE CT Equity</v>
      </c>
      <c r="I17718" s="1690">
        <v>44835</v>
      </c>
      <c r="J17718" s="478"/>
      <c r="N17718" s="434"/>
    </row>
    <row r="17719" spans="1:14" ht="12.75" hidden="1" customHeight="1" outlineLevel="1" x14ac:dyDescent="0.25">
      <c r="A17719" s="1911">
        <v>0.02</v>
      </c>
      <c r="B17719" s="2035" t="s">
        <v>8678</v>
      </c>
      <c r="C17719" s="2037">
        <v>76.724999999999994</v>
      </c>
      <c r="D17719" s="2063">
        <f>VLOOKUP(H17719,indexy!$C$44:$D$823,2,FALSE)</f>
        <v>120.34</v>
      </c>
      <c r="E17719" s="2426">
        <f t="shared" si="285"/>
        <v>0.56845878136200723</v>
      </c>
      <c r="F17719" s="2044">
        <f t="shared" si="284"/>
        <v>1.1369175627240144E-2</v>
      </c>
      <c r="G17719" s="78"/>
      <c r="H17719" t="str">
        <f>VLOOKUP(B17719,indexy!$A$44:$D$823,3,FALSE)</f>
        <v>CBA AT Equity</v>
      </c>
      <c r="I17719" s="1690">
        <v>45200</v>
      </c>
      <c r="J17719" s="478"/>
      <c r="N17719" s="434"/>
    </row>
    <row r="17720" spans="1:14" ht="12.75" hidden="1" customHeight="1" outlineLevel="1" x14ac:dyDescent="0.25">
      <c r="A17720" s="1911">
        <v>0.02</v>
      </c>
      <c r="B17720" s="2035" t="s">
        <v>2629</v>
      </c>
      <c r="C17720" s="2037">
        <v>14.789400000000001</v>
      </c>
      <c r="D17720" s="2063">
        <f>VLOOKUP(H17720,indexy!$C$44:$D$823,2,FALSE)</f>
        <v>22.5</v>
      </c>
      <c r="E17720" s="2426">
        <f t="shared" si="285"/>
        <v>0.5213598928962635</v>
      </c>
      <c r="F17720" s="2044">
        <f t="shared" si="284"/>
        <v>1.042719785792527E-2</v>
      </c>
      <c r="G17720" s="78"/>
      <c r="H17720" t="str">
        <f>VLOOKUP(B17720,indexy!$A$44:$D$823,3,FALSE)</f>
        <v>DTE GY Equity</v>
      </c>
      <c r="I17720" t="s">
        <v>9580</v>
      </c>
      <c r="J17720" s="1473">
        <v>0.9</v>
      </c>
      <c r="N17720" s="434"/>
    </row>
    <row r="17721" spans="1:14" ht="12.75" hidden="1" customHeight="1" outlineLevel="1" x14ac:dyDescent="0.25">
      <c r="A17721" s="1911">
        <v>0.05</v>
      </c>
      <c r="B17721" s="2035" t="s">
        <v>9171</v>
      </c>
      <c r="C17721" s="2037">
        <v>23.196000000000002</v>
      </c>
      <c r="D17721" s="2063">
        <f>VLOOKUP(H17721,indexy!$C$44:$D$823,2,FALSE)</f>
        <v>17.164999999999999</v>
      </c>
      <c r="E17721" s="2426">
        <f t="shared" si="285"/>
        <v>-0.26000172443524749</v>
      </c>
      <c r="F17721" s="2044">
        <f t="shared" si="284"/>
        <v>-1.3000086221762375E-2</v>
      </c>
      <c r="G17721" s="78"/>
      <c r="H17721" t="str">
        <f>VLOOKUP(B17721,indexy!$A$44:$D$823,3,FALSE)</f>
        <v>ELE SQ Equity</v>
      </c>
      <c r="N17721" s="434"/>
    </row>
    <row r="17722" spans="1:14" ht="12.75" hidden="1" customHeight="1" outlineLevel="1" x14ac:dyDescent="0.25">
      <c r="A17722" s="1911">
        <v>0.05</v>
      </c>
      <c r="B17722" s="2035" t="s">
        <v>3798</v>
      </c>
      <c r="C17722" s="2037">
        <v>6.2621000000000002</v>
      </c>
      <c r="D17722" s="2063">
        <f>VLOOKUP(H17722,indexy!$C$44:$D$823,2,FALSE)</f>
        <v>6.1189999999999998</v>
      </c>
      <c r="E17722" s="2426">
        <f t="shared" si="285"/>
        <v>-2.285175899458658E-2</v>
      </c>
      <c r="F17722" s="2044">
        <f t="shared" si="284"/>
        <v>-1.1425879497293291E-3</v>
      </c>
      <c r="G17722" s="78"/>
      <c r="H17722" t="str">
        <f>VLOOKUP(B17722,indexy!$A$44:$D$823,3,FALSE)</f>
        <v>ENEL IM Equity</v>
      </c>
      <c r="N17722" s="434"/>
    </row>
    <row r="17723" spans="1:14" ht="12.75" hidden="1" customHeight="1" outlineLevel="1" x14ac:dyDescent="0.25">
      <c r="A17723" s="1911">
        <v>0.02</v>
      </c>
      <c r="B17723" s="2035" t="s">
        <v>3021</v>
      </c>
      <c r="C17723" s="2037">
        <v>13.230399999999999</v>
      </c>
      <c r="D17723" s="2063">
        <f>VLOOKUP(H17723,indexy!$C$44:$D$823,2,FALSE)</f>
        <v>14.648</v>
      </c>
      <c r="E17723" s="2426">
        <f t="shared" si="285"/>
        <v>0.10714717620026604</v>
      </c>
      <c r="F17723" s="2044">
        <f t="shared" si="284"/>
        <v>2.1429435240053209E-3</v>
      </c>
      <c r="G17723" s="78"/>
      <c r="H17723" t="str">
        <f>VLOOKUP(B17723,indexy!$A$44:$D$823,3,FALSE)</f>
        <v>ENI IM Equity</v>
      </c>
      <c r="N17723" s="434"/>
    </row>
    <row r="17724" spans="1:14" ht="12.75" hidden="1" customHeight="1" outlineLevel="1" x14ac:dyDescent="0.25">
      <c r="A17724" s="1911">
        <v>0.02</v>
      </c>
      <c r="B17724" s="2035" t="s">
        <v>6902</v>
      </c>
      <c r="C17724" s="2037">
        <v>2.2484000000000002</v>
      </c>
      <c r="D17724" s="2063">
        <f>VLOOKUP(H17724,indexy!$C$44:$D$823,2,FALSE)/100</f>
        <v>2.544</v>
      </c>
      <c r="E17724" s="2426">
        <f t="shared" si="285"/>
        <v>0.13147126845756985</v>
      </c>
      <c r="F17724" s="2044">
        <f t="shared" si="284"/>
        <v>2.6294253691513969E-3</v>
      </c>
      <c r="G17724" s="78"/>
      <c r="H17724" t="str">
        <f>VLOOKUP(B17724,indexy!$A$44:$D$823,3,FALSE)</f>
        <v>LGEN LN Equity</v>
      </c>
      <c r="N17724" s="434"/>
    </row>
    <row r="17725" spans="1:14" ht="12.75" hidden="1" customHeight="1" outlineLevel="1" x14ac:dyDescent="0.25">
      <c r="A17725" s="1911">
        <v>0.02</v>
      </c>
      <c r="B17725" s="2035" t="s">
        <v>8336</v>
      </c>
      <c r="C17725" s="2037">
        <v>27.263999999999999</v>
      </c>
      <c r="D17725" s="2063">
        <f>VLOOKUP(H17725,indexy!$C$44:$D$823,2,FALSE)</f>
        <v>34.64</v>
      </c>
      <c r="E17725" s="2426">
        <f t="shared" si="285"/>
        <v>0.27053990610328649</v>
      </c>
      <c r="F17725" s="2044">
        <f t="shared" si="284"/>
        <v>5.4107981220657296E-3</v>
      </c>
      <c r="G17725" s="78"/>
      <c r="H17725" t="str">
        <f>VLOOKUP(B17725,indexy!$A$44:$D$823,3,FALSE)</f>
        <v>NAB AT Equity</v>
      </c>
      <c r="N17725" s="434"/>
    </row>
    <row r="17726" spans="1:14" ht="12.75" hidden="1" customHeight="1" outlineLevel="1" x14ac:dyDescent="0.25">
      <c r="A17726" s="1911">
        <v>0.02</v>
      </c>
      <c r="B17726" s="2035" t="s">
        <v>2786</v>
      </c>
      <c r="C17726" s="2038">
        <v>8.5182000000000002</v>
      </c>
      <c r="D17726" s="2063">
        <f>VLOOKUP(H17726,indexy!$C$44:$D$823,2,FALSE)/100</f>
        <v>10.66</v>
      </c>
      <c r="E17726" s="2426">
        <f t="shared" si="285"/>
        <v>0.25143809725059274</v>
      </c>
      <c r="F17726" s="2044">
        <f t="shared" si="284"/>
        <v>5.0287619450118549E-3</v>
      </c>
      <c r="G17726" s="78"/>
      <c r="H17726" t="str">
        <f>VLOOKUP(B17726,indexy!$A$44:$D$823,3,FALSE)</f>
        <v>NG/ LN Equity</v>
      </c>
      <c r="N17726" s="434"/>
    </row>
    <row r="17727" spans="1:14" ht="12.75" hidden="1" customHeight="1" outlineLevel="1" x14ac:dyDescent="0.25">
      <c r="A17727" s="1911">
        <v>7.0000000000000007E-2</v>
      </c>
      <c r="B17727" s="2035" t="s">
        <v>9767</v>
      </c>
      <c r="C17727" s="2037">
        <v>23.584</v>
      </c>
      <c r="D17727" s="2063">
        <f>VLOOKUP(H17727,indexy!$C$44:$D$823,2,FALSE)</f>
        <v>20.100000000000001</v>
      </c>
      <c r="E17727" s="2426">
        <f t="shared" si="285"/>
        <v>-0.14772727272727271</v>
      </c>
      <c r="F17727" s="2044">
        <f t="shared" si="284"/>
        <v>-1.034090909090909E-2</v>
      </c>
      <c r="G17727" s="78"/>
      <c r="H17727" t="str">
        <f>VLOOKUP(B17727,indexy!$A$44:$D$823,3,FALSE)</f>
        <v>NTGY SQ Equity</v>
      </c>
      <c r="N17727" s="434"/>
    </row>
    <row r="17728" spans="1:14" ht="12.75" hidden="1" customHeight="1" outlineLevel="1" x14ac:dyDescent="0.25">
      <c r="A17728" s="1911">
        <v>0.06</v>
      </c>
      <c r="B17728" s="2035" t="s">
        <v>459</v>
      </c>
      <c r="C17728" s="2037">
        <v>660.03</v>
      </c>
      <c r="D17728" s="2063">
        <f>VLOOKUP(H17728,indexy!$C$44:$D$823,2,FALSE)</f>
        <v>597.20000000000005</v>
      </c>
      <c r="E17728" s="2426">
        <f t="shared" si="285"/>
        <v>-9.5192642758662349E-2</v>
      </c>
      <c r="F17728" s="2044">
        <f t="shared" si="284"/>
        <v>-5.7115585655197407E-3</v>
      </c>
      <c r="G17728" s="78"/>
      <c r="H17728" t="str">
        <f>VLOOKUP(B17728,indexy!$A$44:$D$823,3,FALSE)</f>
        <v>7201 JT Equity</v>
      </c>
      <c r="N17728" s="434"/>
    </row>
    <row r="17729" spans="1:14" ht="12.75" hidden="1" customHeight="1" outlineLevel="1" x14ac:dyDescent="0.25">
      <c r="A17729" s="1911">
        <v>0.04</v>
      </c>
      <c r="B17729" s="2035" t="s">
        <v>5824</v>
      </c>
      <c r="C17729" s="2037">
        <v>13.438000000000001</v>
      </c>
      <c r="D17729" s="2063">
        <f>VLOOKUP(H17729,indexy!$C$44:$D$823,2,FALSE)</f>
        <v>10.888</v>
      </c>
      <c r="E17729" s="2426">
        <f t="shared" si="285"/>
        <v>-0.18976038100907877</v>
      </c>
      <c r="F17729" s="2044">
        <f t="shared" si="284"/>
        <v>-7.5904152403631509E-3</v>
      </c>
      <c r="G17729" s="78"/>
      <c r="H17729" t="str">
        <f>VLOOKUP(B17729,indexy!$A$44:$D$823,3,FALSE)</f>
        <v>ORA FP Equity</v>
      </c>
      <c r="N17729" s="434"/>
    </row>
    <row r="17730" spans="1:14" ht="12.75" hidden="1" customHeight="1" outlineLevel="1" x14ac:dyDescent="0.25">
      <c r="A17730" s="1911">
        <v>0.02</v>
      </c>
      <c r="B17730" s="2035" t="s">
        <v>5629</v>
      </c>
      <c r="C17730" s="2037">
        <v>17.581</v>
      </c>
      <c r="D17730" s="2063">
        <f>VLOOKUP(H17730,indexy!$C$44:$D$823,2,FALSE)</f>
        <v>15.805</v>
      </c>
      <c r="E17730" s="2426">
        <f t="shared" si="285"/>
        <v>-0.10101814458790737</v>
      </c>
      <c r="F17730" s="2044">
        <f t="shared" si="284"/>
        <v>-2.0203628917581473E-3</v>
      </c>
      <c r="G17730" s="78"/>
      <c r="H17730" t="str">
        <f>VLOOKUP(B17730,indexy!$A$44:$D$823,3,FALSE)</f>
        <v>REE SQ Equity</v>
      </c>
      <c r="N17730" s="434"/>
    </row>
    <row r="17731" spans="1:14" ht="12.75" hidden="1" customHeight="1" outlineLevel="1" x14ac:dyDescent="0.25">
      <c r="A17731" s="1911">
        <v>0.02</v>
      </c>
      <c r="B17731" s="2035" t="s">
        <v>54</v>
      </c>
      <c r="C17731" s="2037">
        <v>12.685</v>
      </c>
      <c r="D17731" s="2063">
        <f>VLOOKUP(H17731,indexy!$C$44:$D$823,2,FALSE)</f>
        <v>15.44</v>
      </c>
      <c r="E17731" s="2426">
        <f t="shared" si="285"/>
        <v>0.21718565234528953</v>
      </c>
      <c r="F17731" s="2044">
        <f t="shared" si="284"/>
        <v>4.3437130469057908E-3</v>
      </c>
      <c r="G17731" s="78"/>
      <c r="H17731" t="str">
        <f>VLOOKUP(B17731,indexy!$A$44:$D$823,3,FALSE)</f>
        <v>REP SQ Equity</v>
      </c>
      <c r="N17731" s="434"/>
    </row>
    <row r="17732" spans="1:14" ht="12.75" hidden="1" customHeight="1" outlineLevel="1" x14ac:dyDescent="0.25">
      <c r="A17732" s="1911">
        <v>0.02</v>
      </c>
      <c r="B17732" s="2035" t="s">
        <v>6116</v>
      </c>
      <c r="C17732" s="2037">
        <v>4.4812000000000003</v>
      </c>
      <c r="D17732" s="2063">
        <f>VLOOKUP(H17732,indexy!$C$44:$D$823,2,FALSE)</f>
        <v>4.3760000000000003</v>
      </c>
      <c r="E17732" s="2426">
        <f t="shared" si="285"/>
        <v>-2.3475854681781705E-2</v>
      </c>
      <c r="F17732" s="2044">
        <f t="shared" si="284"/>
        <v>-4.695170936356341E-4</v>
      </c>
      <c r="G17732" s="78"/>
      <c r="H17732" t="str">
        <f>VLOOKUP(B17732,indexy!$A$44:$D$823,3,FALSE)</f>
        <v>SRG IM Equity</v>
      </c>
      <c r="N17732" s="434"/>
    </row>
    <row r="17733" spans="1:14" ht="12.75" hidden="1" customHeight="1" outlineLevel="1" x14ac:dyDescent="0.25">
      <c r="A17733" s="1911">
        <v>0.04</v>
      </c>
      <c r="B17733" s="2035" t="s">
        <v>1857</v>
      </c>
      <c r="C17733" s="2037">
        <v>11.095000000000001</v>
      </c>
      <c r="D17733" s="2063">
        <f>VLOOKUP(H17733,indexy!$C$44:$D$823,2,FALSE)/100</f>
        <v>16.5</v>
      </c>
      <c r="E17733" s="2426">
        <f t="shared" si="285"/>
        <v>0.48715637674628209</v>
      </c>
      <c r="F17733" s="2044">
        <f t="shared" si="284"/>
        <v>1.9486255069851285E-2</v>
      </c>
      <c r="G17733" s="78"/>
      <c r="H17733" t="str">
        <f>VLOOKUP(B17733,indexy!$A$44:$D$823,3,FALSE)</f>
        <v>SSE LN Equity</v>
      </c>
      <c r="N17733" s="434"/>
    </row>
    <row r="17734" spans="1:14" ht="12.75" hidden="1" customHeight="1" outlineLevel="1" x14ac:dyDescent="0.25">
      <c r="A17734" s="1911">
        <v>0.04</v>
      </c>
      <c r="B17734" s="2035" t="s">
        <v>6527</v>
      </c>
      <c r="C17734" s="2037">
        <v>84.08</v>
      </c>
      <c r="D17734" s="2063">
        <f>VLOOKUP(H17734,indexy!$C$44:$D$823,2,FALSE)</f>
        <v>108.25</v>
      </c>
      <c r="E17734" s="2426">
        <f t="shared" si="285"/>
        <v>0.28746431969552799</v>
      </c>
      <c r="F17734" s="2044">
        <f t="shared" si="284"/>
        <v>1.1498572787821119E-2</v>
      </c>
      <c r="G17734" s="78"/>
      <c r="H17734" t="str">
        <f>VLOOKUP(B17734,indexy!$A$44:$D$823,3,FALSE)</f>
        <v>SHBA SS Equity</v>
      </c>
      <c r="N17734" s="434"/>
    </row>
    <row r="17735" spans="1:14" ht="12.75" hidden="1" customHeight="1" outlineLevel="1" x14ac:dyDescent="0.25">
      <c r="A17735" s="1911">
        <v>0.08</v>
      </c>
      <c r="B17735" s="2035" t="s">
        <v>6118</v>
      </c>
      <c r="C17735" s="2037">
        <v>98.751999999999995</v>
      </c>
      <c r="D17735" s="2063">
        <f>VLOOKUP(H17735,indexy!$C$44:$D$823,2,FALSE)</f>
        <v>115.95</v>
      </c>
      <c r="E17735" s="2426">
        <f t="shared" si="285"/>
        <v>0.17415343486714208</v>
      </c>
      <c r="F17735" s="2044">
        <f t="shared" si="284"/>
        <v>1.3932274789371367E-2</v>
      </c>
      <c r="G17735" s="78"/>
      <c r="H17735" t="str">
        <f>VLOOKUP(B17735,indexy!$A$44:$D$823,3,FALSE)</f>
        <v>SREN SE Equity</v>
      </c>
      <c r="N17735" s="434"/>
    </row>
    <row r="17736" spans="1:14" ht="12.75" hidden="1" customHeight="1" outlineLevel="1" x14ac:dyDescent="0.25">
      <c r="A17736" s="1911">
        <v>0.02</v>
      </c>
      <c r="B17736" s="2035" t="s">
        <v>8530</v>
      </c>
      <c r="C17736" s="2037">
        <v>8.2279999999999998</v>
      </c>
      <c r="D17736" s="2063">
        <f>VLOOKUP(H17736,indexy!$C$44:$D$823,2,FALSE)</f>
        <v>8.7200000000000006</v>
      </c>
      <c r="E17736" s="2426">
        <f t="shared" si="285"/>
        <v>5.9795819154108143E-2</v>
      </c>
      <c r="F17736" s="2044">
        <f t="shared" si="284"/>
        <v>1.195916383082163E-3</v>
      </c>
      <c r="G17736" s="78"/>
      <c r="H17736" t="str">
        <f>VLOOKUP(B17736,indexy!$A$44:$D$823,3,FALSE)</f>
        <v>SYD AT Equity</v>
      </c>
      <c r="N17736" s="434"/>
    </row>
    <row r="17737" spans="1:14" ht="12.75" hidden="1" customHeight="1" outlineLevel="1" x14ac:dyDescent="0.25">
      <c r="A17737" s="1911">
        <v>0.02</v>
      </c>
      <c r="B17737" s="2035" t="s">
        <v>366</v>
      </c>
      <c r="C17737" s="2037">
        <v>64.462999999999994</v>
      </c>
      <c r="D17737" s="2063">
        <f>VLOOKUP(H17737,indexy!$C$44:$D$823,2,FALSE)</f>
        <v>54.44</v>
      </c>
      <c r="E17737" s="2426">
        <f t="shared" si="285"/>
        <v>-0.15548454151994162</v>
      </c>
      <c r="F17737" s="2044">
        <f t="shared" si="284"/>
        <v>-3.1096908303988326E-3</v>
      </c>
      <c r="G17737" s="78"/>
      <c r="H17737" t="str">
        <f>VLOOKUP(B17737,indexy!$A$44:$D$823,3,FALSE)</f>
        <v>TRP CT Equity</v>
      </c>
      <c r="N17737" s="434"/>
    </row>
    <row r="17738" spans="1:14" ht="12.75" hidden="1" customHeight="1" outlineLevel="1" x14ac:dyDescent="0.25">
      <c r="A17738" s="1911">
        <v>0.02</v>
      </c>
      <c r="B17738" s="2035" t="s">
        <v>577</v>
      </c>
      <c r="C17738" s="2037">
        <v>6.0210999999999997</v>
      </c>
      <c r="D17738" s="2063">
        <f>VLOOKUP(H17738,indexy!$C$44:$D$823,2,FALSE)</f>
        <v>4.0890000000000004</v>
      </c>
      <c r="E17738" s="2426">
        <f t="shared" si="285"/>
        <v>-0.32088820979555222</v>
      </c>
      <c r="F17738" s="2044">
        <f t="shared" si="284"/>
        <v>-6.4177641959110446E-3</v>
      </c>
      <c r="G17738" s="78"/>
      <c r="H17738" t="str">
        <f>VLOOKUP(B17738,indexy!$A$44:$D$823,3,FALSE)</f>
        <v>TEF SQ Equity</v>
      </c>
      <c r="N17738" s="434"/>
    </row>
    <row r="17739" spans="1:14" ht="12.75" hidden="1" customHeight="1" outlineLevel="1" x14ac:dyDescent="0.25">
      <c r="A17739" s="1911">
        <v>0.02</v>
      </c>
      <c r="B17739" s="2035" t="s">
        <v>434</v>
      </c>
      <c r="C17739" s="2037">
        <v>41.05</v>
      </c>
      <c r="D17739" s="2063">
        <f>VLOOKUP(H17739,indexy!$C$44:$D$823,2,FALSE)</f>
        <v>27.43</v>
      </c>
      <c r="E17739" s="2426">
        <f t="shared" si="285"/>
        <v>-0.33179049939098659</v>
      </c>
      <c r="F17739" s="2044">
        <f>E17739*A17739</f>
        <v>-6.6358099878197317E-3</v>
      </c>
      <c r="G17739" s="78"/>
      <c r="H17739" t="str">
        <f>VLOOKUP(B17739,indexy!$A$44:$D$823,3,FALSE)</f>
        <v>TELIA SS Equity</v>
      </c>
      <c r="N17739" s="434"/>
    </row>
    <row r="17740" spans="1:14" ht="12.75" hidden="1" customHeight="1" outlineLevel="1" x14ac:dyDescent="0.25">
      <c r="A17740" s="1911">
        <v>0.02</v>
      </c>
      <c r="B17740" s="2035" t="s">
        <v>10633</v>
      </c>
      <c r="C17740" s="2037">
        <v>43.841000000000001</v>
      </c>
      <c r="D17740" s="2063">
        <f>VLOOKUP(H17740,indexy!$C$44:$D$823,2,FALSE)</f>
        <v>63.47</v>
      </c>
      <c r="E17740" s="2426">
        <f t="shared" si="285"/>
        <v>0.44773157546588793</v>
      </c>
      <c r="F17740" s="2044">
        <f>E17740*A17740</f>
        <v>8.9546315093177592E-3</v>
      </c>
      <c r="G17740" s="78"/>
      <c r="H17740" t="str">
        <f>VLOOKUP(B17740,indexy!$A$44:$D$823,3,FALSE)</f>
        <v>TTE FP Equity</v>
      </c>
      <c r="N17740" s="434"/>
    </row>
    <row r="17741" spans="1:14" ht="12.75" hidden="1" customHeight="1" outlineLevel="1" x14ac:dyDescent="0.25">
      <c r="A17741" s="1911">
        <v>0.02</v>
      </c>
      <c r="B17741" s="2035" t="s">
        <v>5522</v>
      </c>
      <c r="C17741" s="2037">
        <v>38.616</v>
      </c>
      <c r="D17741" s="2063">
        <f>VLOOKUP(H17741,indexy!$C$44:$D$823,2,FALSE)</f>
        <v>68.400000000000006</v>
      </c>
      <c r="E17741" s="2426">
        <f t="shared" si="285"/>
        <v>0.771286513362337</v>
      </c>
      <c r="F17741" s="2044">
        <f>E17741*A17741</f>
        <v>1.5425730267246741E-2</v>
      </c>
      <c r="G17741" s="78"/>
      <c r="H17741" t="str">
        <f>VLOOKUP(B17741,indexy!$A$44:$D$823,3,FALSE)</f>
        <v>WES AT Equity</v>
      </c>
      <c r="N17741" s="434"/>
    </row>
    <row r="17742" spans="1:14" ht="12.75" hidden="1" customHeight="1" outlineLevel="1" x14ac:dyDescent="0.25">
      <c r="A17742" s="1911">
        <v>0.02</v>
      </c>
      <c r="B17742" s="2035" t="s">
        <v>10003</v>
      </c>
      <c r="C17742" s="2037">
        <v>88.153000000000006</v>
      </c>
      <c r="D17742" s="2063">
        <f>VLOOKUP(H17742,indexy!$C$44:$D$823,2,FALSE)</f>
        <v>56.44</v>
      </c>
      <c r="E17742" s="2426">
        <f t="shared" si="285"/>
        <v>-0.35974952639161462</v>
      </c>
      <c r="F17742" s="2044">
        <f>E17742*A17742</f>
        <v>-7.1949905278322927E-3</v>
      </c>
      <c r="G17742" s="78"/>
      <c r="H17742" t="str">
        <f>VLOOKUP(B17742,indexy!$A$44:$D$823,3,FALSE)</f>
        <v>WPC UN Equity</v>
      </c>
      <c r="N17742" s="434"/>
    </row>
    <row r="17743" spans="1:14" ht="12.75" hidden="1" customHeight="1" outlineLevel="1" x14ac:dyDescent="0.25">
      <c r="A17743" s="1911">
        <v>0.08</v>
      </c>
      <c r="B17743" s="2036" t="s">
        <v>4550</v>
      </c>
      <c r="C17743" s="2037">
        <v>348.97</v>
      </c>
      <c r="D17743" s="2066">
        <f>VLOOKUP(H17743,indexy!$C$44:$D$823,2,FALSE)</f>
        <v>486.3</v>
      </c>
      <c r="E17743" s="2426">
        <f t="shared" si="285"/>
        <v>0.3935295297590049</v>
      </c>
      <c r="F17743" s="2044">
        <f>E17743*A17743</f>
        <v>3.1482362380720393E-2</v>
      </c>
      <c r="G17743" s="78"/>
      <c r="H17743" t="str">
        <f>VLOOKUP(B17743,indexy!$A$44:$D$823,3,FALSE)</f>
        <v>ZURN SE Equity</v>
      </c>
      <c r="N17743" s="434"/>
    </row>
    <row r="17744" spans="1:14" ht="12.75" hidden="1" customHeight="1" outlineLevel="1" x14ac:dyDescent="0.25">
      <c r="A17744" s="2048" t="s">
        <v>2734</v>
      </c>
      <c r="B17744" s="2049"/>
      <c r="C17744" s="2050"/>
      <c r="D17744" s="2051"/>
      <c r="E17744" s="2059"/>
      <c r="F17744" s="2041">
        <f>SUM(F17714:F17743)</f>
        <v>0.15867013957963297</v>
      </c>
      <c r="G17744" s="78"/>
    </row>
    <row r="17745" spans="1:7" ht="12.75" hidden="1" customHeight="1" outlineLevel="1" x14ac:dyDescent="0.25">
      <c r="A17745" s="2053" t="s">
        <v>10077</v>
      </c>
      <c r="B17745" s="2054">
        <v>45292</v>
      </c>
      <c r="C17745" s="2055">
        <v>100</v>
      </c>
      <c r="D17745" s="2055"/>
      <c r="E17745" s="2056">
        <f>IF(D17745="",F17744,D17745/C17745-1)</f>
        <v>0.15867013957963297</v>
      </c>
      <c r="F17745" s="2057"/>
      <c r="G17745" s="78"/>
    </row>
    <row r="17746" spans="1:7" ht="12.75" hidden="1" customHeight="1" outlineLevel="1" x14ac:dyDescent="0.25">
      <c r="A17746" s="2053" t="s">
        <v>10078</v>
      </c>
      <c r="B17746" s="2054">
        <v>45323</v>
      </c>
      <c r="C17746" s="2055">
        <v>100</v>
      </c>
      <c r="D17746" s="2058"/>
      <c r="E17746" s="2056">
        <f>IF(D17746="",E17745,D17746/C17746-1)</f>
        <v>0.15867013957963297</v>
      </c>
      <c r="F17746" s="2057"/>
      <c r="G17746" s="78"/>
    </row>
    <row r="17747" spans="1:7" ht="12.75" hidden="1" customHeight="1" outlineLevel="1" x14ac:dyDescent="0.25">
      <c r="A17747" s="2053" t="s">
        <v>10079</v>
      </c>
      <c r="B17747" s="2054">
        <v>45352</v>
      </c>
      <c r="C17747" s="2055">
        <v>100</v>
      </c>
      <c r="D17747" s="2058"/>
      <c r="E17747" s="2056">
        <f t="shared" ref="E17747:E17768" si="286">IF(D17747="",E17746,D17747/C17747-1)</f>
        <v>0.15867013957963297</v>
      </c>
      <c r="F17747" s="2057"/>
      <c r="G17747" s="78"/>
    </row>
    <row r="17748" spans="1:7" ht="12.75" hidden="1" customHeight="1" outlineLevel="1" x14ac:dyDescent="0.25">
      <c r="A17748" s="2053" t="s">
        <v>10080</v>
      </c>
      <c r="B17748" s="2054">
        <v>45383</v>
      </c>
      <c r="C17748" s="2055">
        <v>100</v>
      </c>
      <c r="D17748" s="2058"/>
      <c r="E17748" s="2056">
        <f t="shared" si="286"/>
        <v>0.15867013957963297</v>
      </c>
      <c r="F17748" s="2057"/>
      <c r="G17748" s="78"/>
    </row>
    <row r="17749" spans="1:7" ht="12.75" hidden="1" customHeight="1" outlineLevel="1" x14ac:dyDescent="0.25">
      <c r="A17749" s="2053" t="s">
        <v>10081</v>
      </c>
      <c r="B17749" s="2054">
        <v>45413</v>
      </c>
      <c r="C17749" s="2055">
        <v>100</v>
      </c>
      <c r="D17749" s="2058"/>
      <c r="E17749" s="2056">
        <f t="shared" si="286"/>
        <v>0.15867013957963297</v>
      </c>
      <c r="F17749" s="2057"/>
      <c r="G17749" s="78"/>
    </row>
    <row r="17750" spans="1:7" ht="12.75" hidden="1" customHeight="1" outlineLevel="1" x14ac:dyDescent="0.25">
      <c r="A17750" s="2053" t="s">
        <v>10082</v>
      </c>
      <c r="B17750" s="2054">
        <v>45444</v>
      </c>
      <c r="C17750" s="2055">
        <v>100</v>
      </c>
      <c r="D17750" s="2058"/>
      <c r="E17750" s="2056">
        <f t="shared" si="286"/>
        <v>0.15867013957963297</v>
      </c>
      <c r="F17750" s="2057"/>
      <c r="G17750" s="78"/>
    </row>
    <row r="17751" spans="1:7" ht="12.75" hidden="1" customHeight="1" outlineLevel="1" x14ac:dyDescent="0.25">
      <c r="A17751" s="2053" t="s">
        <v>10083</v>
      </c>
      <c r="B17751" s="2054">
        <v>45474</v>
      </c>
      <c r="C17751" s="2055">
        <v>100</v>
      </c>
      <c r="D17751" s="2058"/>
      <c r="E17751" s="2056">
        <f t="shared" si="286"/>
        <v>0.15867013957963297</v>
      </c>
      <c r="F17751" s="2057"/>
      <c r="G17751" s="78"/>
    </row>
    <row r="17752" spans="1:7" ht="12.75" hidden="1" customHeight="1" outlineLevel="1" x14ac:dyDescent="0.25">
      <c r="A17752" s="2053" t="s">
        <v>10084</v>
      </c>
      <c r="B17752" s="2054">
        <v>45505</v>
      </c>
      <c r="C17752" s="2055">
        <v>100</v>
      </c>
      <c r="D17752" s="2058"/>
      <c r="E17752" s="2056">
        <f t="shared" si="286"/>
        <v>0.15867013957963297</v>
      </c>
      <c r="F17752" s="2057"/>
      <c r="G17752" s="78"/>
    </row>
    <row r="17753" spans="1:7" ht="12.75" hidden="1" customHeight="1" outlineLevel="1" x14ac:dyDescent="0.25">
      <c r="A17753" s="2053" t="s">
        <v>10085</v>
      </c>
      <c r="B17753" s="2054">
        <v>45536</v>
      </c>
      <c r="C17753" s="2055">
        <v>100</v>
      </c>
      <c r="D17753" s="2058"/>
      <c r="E17753" s="2056">
        <f t="shared" si="286"/>
        <v>0.15867013957963297</v>
      </c>
      <c r="F17753" s="2057"/>
      <c r="G17753" s="78"/>
    </row>
    <row r="17754" spans="1:7" ht="12.75" hidden="1" customHeight="1" outlineLevel="1" x14ac:dyDescent="0.25">
      <c r="A17754" s="2053" t="s">
        <v>10086</v>
      </c>
      <c r="B17754" s="2054">
        <v>45566</v>
      </c>
      <c r="C17754" s="2055">
        <v>100</v>
      </c>
      <c r="D17754" s="2058"/>
      <c r="E17754" s="2056">
        <f t="shared" si="286"/>
        <v>0.15867013957963297</v>
      </c>
      <c r="F17754" s="2057"/>
      <c r="G17754" s="78"/>
    </row>
    <row r="17755" spans="1:7" ht="12.75" hidden="1" customHeight="1" outlineLevel="1" x14ac:dyDescent="0.25">
      <c r="A17755" s="2053" t="s">
        <v>10087</v>
      </c>
      <c r="B17755" s="2054">
        <v>45597</v>
      </c>
      <c r="C17755" s="2055">
        <v>100</v>
      </c>
      <c r="D17755" s="2058"/>
      <c r="E17755" s="2056">
        <f t="shared" si="286"/>
        <v>0.15867013957963297</v>
      </c>
      <c r="F17755" s="2057"/>
      <c r="G17755" s="78"/>
    </row>
    <row r="17756" spans="1:7" ht="12.75" hidden="1" customHeight="1" outlineLevel="1" x14ac:dyDescent="0.25">
      <c r="A17756" s="2053" t="s">
        <v>10088</v>
      </c>
      <c r="B17756" s="2054">
        <v>45627</v>
      </c>
      <c r="C17756" s="2055">
        <v>100</v>
      </c>
      <c r="D17756" s="2058"/>
      <c r="E17756" s="2056">
        <f t="shared" si="286"/>
        <v>0.15867013957963297</v>
      </c>
      <c r="F17756" s="2057"/>
      <c r="G17756" s="78"/>
    </row>
    <row r="17757" spans="1:7" ht="12.75" hidden="1" customHeight="1" outlineLevel="1" x14ac:dyDescent="0.25">
      <c r="A17757" s="2053" t="s">
        <v>10089</v>
      </c>
      <c r="B17757" s="2054">
        <v>45658</v>
      </c>
      <c r="C17757" s="2055">
        <v>100</v>
      </c>
      <c r="D17757" s="2058"/>
      <c r="E17757" s="2056">
        <f t="shared" si="286"/>
        <v>0.15867013957963297</v>
      </c>
      <c r="F17757" s="2057"/>
      <c r="G17757" s="78"/>
    </row>
    <row r="17758" spans="1:7" ht="12.75" hidden="1" customHeight="1" outlineLevel="1" x14ac:dyDescent="0.25">
      <c r="A17758" s="2053" t="s">
        <v>10090</v>
      </c>
      <c r="B17758" s="2054">
        <v>45689</v>
      </c>
      <c r="C17758" s="2055">
        <v>100</v>
      </c>
      <c r="D17758" s="2058"/>
      <c r="E17758" s="2056">
        <f t="shared" si="286"/>
        <v>0.15867013957963297</v>
      </c>
      <c r="F17758" s="2057"/>
      <c r="G17758" s="78"/>
    </row>
    <row r="17759" spans="1:7" ht="12.75" hidden="1" customHeight="1" outlineLevel="1" x14ac:dyDescent="0.25">
      <c r="A17759" s="2053" t="s">
        <v>10091</v>
      </c>
      <c r="B17759" s="2054">
        <v>45717</v>
      </c>
      <c r="C17759" s="2055">
        <v>100</v>
      </c>
      <c r="D17759" s="2058"/>
      <c r="E17759" s="2056">
        <f t="shared" si="286"/>
        <v>0.15867013957963297</v>
      </c>
      <c r="F17759" s="2057"/>
      <c r="G17759" s="78"/>
    </row>
    <row r="17760" spans="1:7" ht="12.75" hidden="1" customHeight="1" outlineLevel="1" x14ac:dyDescent="0.25">
      <c r="A17760" s="2053" t="s">
        <v>10092</v>
      </c>
      <c r="B17760" s="2054">
        <v>45748</v>
      </c>
      <c r="C17760" s="2055">
        <v>100</v>
      </c>
      <c r="D17760" s="2058"/>
      <c r="E17760" s="2056">
        <f t="shared" si="286"/>
        <v>0.15867013957963297</v>
      </c>
      <c r="F17760" s="2057"/>
      <c r="G17760" s="78"/>
    </row>
    <row r="17761" spans="1:11" ht="12.75" hidden="1" customHeight="1" outlineLevel="1" x14ac:dyDescent="0.25">
      <c r="A17761" s="2053" t="s">
        <v>10093</v>
      </c>
      <c r="B17761" s="2054">
        <v>45778</v>
      </c>
      <c r="C17761" s="2055">
        <v>100</v>
      </c>
      <c r="D17761" s="2058"/>
      <c r="E17761" s="2056">
        <f t="shared" si="286"/>
        <v>0.15867013957963297</v>
      </c>
      <c r="F17761" s="2057"/>
      <c r="G17761" s="78"/>
    </row>
    <row r="17762" spans="1:11" ht="12.75" hidden="1" customHeight="1" outlineLevel="1" x14ac:dyDescent="0.25">
      <c r="A17762" s="2053" t="s">
        <v>10094</v>
      </c>
      <c r="B17762" s="2054">
        <v>45809</v>
      </c>
      <c r="C17762" s="2055">
        <v>100</v>
      </c>
      <c r="D17762" s="2058"/>
      <c r="E17762" s="2056">
        <f t="shared" si="286"/>
        <v>0.15867013957963297</v>
      </c>
      <c r="F17762" s="2057"/>
      <c r="G17762" s="78"/>
    </row>
    <row r="17763" spans="1:11" ht="12.75" hidden="1" customHeight="1" outlineLevel="1" x14ac:dyDescent="0.25">
      <c r="A17763" s="2053" t="s">
        <v>10095</v>
      </c>
      <c r="B17763" s="2054">
        <v>45839</v>
      </c>
      <c r="C17763" s="2055">
        <v>100</v>
      </c>
      <c r="D17763" s="2058"/>
      <c r="E17763" s="2056">
        <f t="shared" si="286"/>
        <v>0.15867013957963297</v>
      </c>
      <c r="F17763" s="2057"/>
      <c r="G17763" s="78"/>
    </row>
    <row r="17764" spans="1:11" ht="12.75" hidden="1" customHeight="1" outlineLevel="1" x14ac:dyDescent="0.25">
      <c r="A17764" s="2053" t="s">
        <v>10096</v>
      </c>
      <c r="B17764" s="2054">
        <v>45870</v>
      </c>
      <c r="C17764" s="2055">
        <v>100</v>
      </c>
      <c r="D17764" s="2058"/>
      <c r="E17764" s="2056">
        <f t="shared" si="286"/>
        <v>0.15867013957963297</v>
      </c>
      <c r="F17764" s="2057"/>
      <c r="G17764" s="78"/>
    </row>
    <row r="17765" spans="1:11" ht="12.75" hidden="1" customHeight="1" outlineLevel="1" x14ac:dyDescent="0.25">
      <c r="A17765" s="2053" t="s">
        <v>10097</v>
      </c>
      <c r="B17765" s="2054">
        <v>45901</v>
      </c>
      <c r="C17765" s="2055">
        <v>100</v>
      </c>
      <c r="D17765" s="2058"/>
      <c r="E17765" s="2056">
        <f t="shared" si="286"/>
        <v>0.15867013957963297</v>
      </c>
      <c r="F17765" s="2057"/>
      <c r="G17765" s="78"/>
    </row>
    <row r="17766" spans="1:11" ht="12.75" hidden="1" customHeight="1" outlineLevel="1" x14ac:dyDescent="0.25">
      <c r="A17766" s="2053" t="s">
        <v>10098</v>
      </c>
      <c r="B17766" s="2054">
        <v>45931</v>
      </c>
      <c r="C17766" s="2055">
        <v>100</v>
      </c>
      <c r="D17766" s="2058"/>
      <c r="E17766" s="2056">
        <f t="shared" si="286"/>
        <v>0.15867013957963297</v>
      </c>
      <c r="F17766" s="2057"/>
      <c r="G17766" s="78"/>
    </row>
    <row r="17767" spans="1:11" ht="12.75" hidden="1" customHeight="1" outlineLevel="1" x14ac:dyDescent="0.25">
      <c r="A17767" s="2053" t="s">
        <v>10099</v>
      </c>
      <c r="B17767" s="2054">
        <v>45962</v>
      </c>
      <c r="C17767" s="2055">
        <v>100</v>
      </c>
      <c r="D17767" s="2058"/>
      <c r="E17767" s="2056">
        <f t="shared" si="286"/>
        <v>0.15867013957963297</v>
      </c>
      <c r="F17767" s="2057"/>
      <c r="G17767" s="78"/>
    </row>
    <row r="17768" spans="1:11" ht="12.75" hidden="1" customHeight="1" outlineLevel="1" x14ac:dyDescent="0.25">
      <c r="A17768" s="2053" t="s">
        <v>10100</v>
      </c>
      <c r="B17768" s="2054">
        <v>45992</v>
      </c>
      <c r="C17768" s="2055">
        <v>100</v>
      </c>
      <c r="D17768" s="2058"/>
      <c r="E17768" s="2056">
        <f t="shared" si="286"/>
        <v>0.15867013957963297</v>
      </c>
      <c r="F17768" s="2057"/>
      <c r="G17768" s="78"/>
    </row>
    <row r="17769" spans="1:11" ht="12.75" hidden="1" customHeight="1" outlineLevel="1" x14ac:dyDescent="0.25">
      <c r="A17769" s="2067" t="s">
        <v>2734</v>
      </c>
      <c r="B17769" s="2068"/>
      <c r="C17769" s="2058"/>
      <c r="D17769" s="2069" t="s">
        <v>2465</v>
      </c>
      <c r="E17769" s="2070">
        <f>AVERAGE(E17745:E17768)</f>
        <v>0.15867013957963302</v>
      </c>
      <c r="F17769" s="2431">
        <f>IF(E17769&lt;-5%,0%,MAX(10%,MIN(0.9*E17769,50%)))</f>
        <v>0.14280312562166972</v>
      </c>
      <c r="G17769" s="78"/>
    </row>
    <row r="17770" spans="1:11" collapsed="1" x14ac:dyDescent="0.25">
      <c r="A17770" s="3799" t="s">
        <v>9988</v>
      </c>
      <c r="B17770" s="3800"/>
      <c r="C17770" s="3800"/>
      <c r="D17770" s="3800"/>
      <c r="E17770" s="18"/>
      <c r="F17770" s="186">
        <f>+F17769</f>
        <v>0.14280312562166972</v>
      </c>
      <c r="G17770" s="78"/>
    </row>
    <row r="17772" spans="1:11" ht="12.75" hidden="1" customHeight="1" outlineLevel="1" x14ac:dyDescent="0.25">
      <c r="A17772" s="15" t="s">
        <v>113</v>
      </c>
      <c r="B17772" s="15" t="s">
        <v>114</v>
      </c>
      <c r="C17772" s="15" t="s">
        <v>112</v>
      </c>
      <c r="D17772" s="15" t="s">
        <v>116</v>
      </c>
      <c r="E17772" s="15" t="s">
        <v>117</v>
      </c>
      <c r="F17772" s="1882" t="s">
        <v>121</v>
      </c>
      <c r="G17772" s="78"/>
    </row>
    <row r="17773" spans="1:11" ht="12.75" hidden="1" customHeight="1" outlineLevel="1" x14ac:dyDescent="0.25">
      <c r="A17773" s="4">
        <v>1</v>
      </c>
      <c r="B17773" s="5" t="s">
        <v>252</v>
      </c>
      <c r="C17773" s="6">
        <v>100</v>
      </c>
      <c r="D17773" s="6"/>
      <c r="E17773" s="9"/>
      <c r="F17773" s="10"/>
      <c r="G17773" s="78"/>
    </row>
    <row r="17774" spans="1:11" ht="12.75" hidden="1" customHeight="1" outlineLevel="1" x14ac:dyDescent="0.25">
      <c r="A17774" s="21" t="s">
        <v>2734</v>
      </c>
      <c r="B17774" s="21"/>
      <c r="C17774" s="11"/>
      <c r="D17774" s="32" t="s">
        <v>3702</v>
      </c>
      <c r="E17774" s="33">
        <f>indexy!$B$2</f>
        <v>45379</v>
      </c>
      <c r="F17774" s="38"/>
      <c r="G17774" s="78"/>
    </row>
    <row r="17775" spans="1:11" ht="12.75" hidden="1" customHeight="1" outlineLevel="1" x14ac:dyDescent="0.25">
      <c r="A17775" s="22" t="s">
        <v>4156</v>
      </c>
      <c r="B17775" s="22" t="s">
        <v>4153</v>
      </c>
      <c r="C17775" s="98" t="s">
        <v>112</v>
      </c>
      <c r="D17775" s="131" t="s">
        <v>4155</v>
      </c>
      <c r="E17775" s="24" t="s">
        <v>4154</v>
      </c>
      <c r="F17775" s="189" t="s">
        <v>2519</v>
      </c>
      <c r="G17775" s="78"/>
    </row>
    <row r="17776" spans="1:11" ht="12.75" hidden="1" customHeight="1" outlineLevel="1" x14ac:dyDescent="0.25">
      <c r="A17776" s="2034">
        <v>0.03</v>
      </c>
      <c r="B17776" s="2035" t="s">
        <v>802</v>
      </c>
      <c r="C17776" s="2037">
        <v>34.723999978489644</v>
      </c>
      <c r="D17776" s="2039">
        <f>VLOOKUP($H17776,indexy!$C$44:$D$823,2,FALSE)</f>
        <v>19.690000000000001</v>
      </c>
      <c r="E17776" s="2040">
        <f>$D17776/$C17776-1</f>
        <v>-0.43295703224866666</v>
      </c>
      <c r="F17776" s="2041">
        <f>$E17776*$A17776</f>
        <v>-1.298871096746E-2</v>
      </c>
      <c r="G17776" s="78"/>
      <c r="H17776" t="str">
        <f>VLOOKUP(B17776,indexy!$A$44:$D$823,3,FALSE)</f>
        <v>NLY UN Equity</v>
      </c>
      <c r="K17776" s="434"/>
    </row>
    <row r="17777" spans="1:11" ht="12.75" hidden="1" customHeight="1" outlineLevel="1" x14ac:dyDescent="0.25">
      <c r="A17777" s="1911">
        <v>0.04</v>
      </c>
      <c r="B17777" s="2035" t="s">
        <v>10829</v>
      </c>
      <c r="C17777" s="2037">
        <v>22.486999999999998</v>
      </c>
      <c r="D17777" s="2042">
        <f>VLOOKUP(H17777,indexy!$C$44:$D$994,2,FALSE)</f>
        <v>23.685600000000001</v>
      </c>
      <c r="E17777" s="2043">
        <f t="shared" ref="E17777:E17805" si="287">$D17777/$C17777-1</f>
        <v>5.3301907768933177E-2</v>
      </c>
      <c r="F17777" s="2044">
        <f t="shared" ref="F17777:F17804" si="288">$E17777*$A17777</f>
        <v>2.1320763107573271E-3</v>
      </c>
      <c r="G17777" s="78"/>
      <c r="H17777" t="str">
        <f>VLOOKUP(B17777,indexy!$A$44:$D$994,3,FALSE)</f>
        <v>ATL IM CASH</v>
      </c>
      <c r="K17777" s="434"/>
    </row>
    <row r="17778" spans="1:11" ht="12.75" hidden="1" customHeight="1" outlineLevel="1" x14ac:dyDescent="0.25">
      <c r="A17778" s="1911">
        <v>0.02</v>
      </c>
      <c r="B17778" s="2035" t="s">
        <v>5745</v>
      </c>
      <c r="C17778" s="2037">
        <v>27.371032825395393</v>
      </c>
      <c r="D17778" s="2042">
        <f>VLOOKUP(H17778,indexy!$C$44:$D$823,2,FALSE)</f>
        <v>29.4</v>
      </c>
      <c r="E17778" s="2043">
        <f t="shared" si="287"/>
        <v>7.4128264999999915E-2</v>
      </c>
      <c r="F17778" s="2044">
        <f t="shared" si="288"/>
        <v>1.4825652999999983E-3</v>
      </c>
      <c r="G17778" s="78"/>
      <c r="H17778" t="str">
        <f>VLOOKUP(B17778,indexy!$A$44:$D$823,3,FALSE)</f>
        <v>ANZ AT Equity</v>
      </c>
      <c r="K17778" s="434"/>
    </row>
    <row r="17779" spans="1:11" ht="12.75" hidden="1" customHeight="1" outlineLevel="1" x14ac:dyDescent="0.25">
      <c r="A17779" s="1911">
        <v>0.03</v>
      </c>
      <c r="B17779" s="2035" t="s">
        <v>218</v>
      </c>
      <c r="C17779" s="2037">
        <v>22.594999999999999</v>
      </c>
      <c r="D17779" s="2042">
        <f>VLOOKUP(H17779,indexy!$C$44:$D$823,2,FALSE)</f>
        <v>34.814999999999998</v>
      </c>
      <c r="E17779" s="2043">
        <f t="shared" si="287"/>
        <v>0.54082761672936486</v>
      </c>
      <c r="F17779" s="2044">
        <f t="shared" si="288"/>
        <v>1.6224828501880947E-2</v>
      </c>
      <c r="G17779" s="78"/>
      <c r="H17779" t="str">
        <f>VLOOKUP(B17779,indexy!$A$44:$D$823,3,FALSE)</f>
        <v>CS FP Equity</v>
      </c>
      <c r="K17779" s="434"/>
    </row>
    <row r="17780" spans="1:11" ht="12.75" hidden="1" customHeight="1" outlineLevel="1" x14ac:dyDescent="0.25">
      <c r="A17780" s="1911">
        <v>0.04</v>
      </c>
      <c r="B17780" s="2035" t="s">
        <v>807</v>
      </c>
      <c r="C17780" s="2037">
        <v>63.738999999999997</v>
      </c>
      <c r="D17780" s="2042">
        <f>VLOOKUP(H17780,indexy!$C$44:$D$823,2,FALSE)</f>
        <v>46.03</v>
      </c>
      <c r="E17780" s="2043">
        <f t="shared" si="287"/>
        <v>-0.27783617565383822</v>
      </c>
      <c r="F17780" s="2044">
        <f t="shared" si="288"/>
        <v>-1.1113447026153529E-2</v>
      </c>
      <c r="G17780" s="78"/>
      <c r="H17780" t="str">
        <f>VLOOKUP(B17780,indexy!$A$44:$D$823,3,FALSE)</f>
        <v>BCE CT Equity</v>
      </c>
      <c r="K17780" s="434"/>
    </row>
    <row r="17781" spans="1:11" ht="12.75" hidden="1" customHeight="1" outlineLevel="1" x14ac:dyDescent="0.25">
      <c r="A17781" s="1911">
        <v>0.02</v>
      </c>
      <c r="B17781" s="2035" t="s">
        <v>10831</v>
      </c>
      <c r="C17781" s="2037">
        <v>37.287999999999997</v>
      </c>
      <c r="D17781" s="2042">
        <f>VLOOKUP(H17781,indexy!$C$44:$D$994,2,FALSE)</f>
        <v>49.781399999999998</v>
      </c>
      <c r="E17781" s="2043">
        <f t="shared" si="287"/>
        <v>0.33505149109633137</v>
      </c>
      <c r="F17781" s="2044">
        <f t="shared" si="288"/>
        <v>6.7010298219266273E-3</v>
      </c>
      <c r="G17781" s="78"/>
      <c r="H17781" t="str">
        <f>VLOOKUP(B17781,indexy!$A$44:$D$994,3,FALSE)</f>
        <v>.BHPATWDS F Index</v>
      </c>
      <c r="K17781" s="434"/>
    </row>
    <row r="17782" spans="1:11" ht="12.75" hidden="1" customHeight="1" outlineLevel="1" x14ac:dyDescent="0.25">
      <c r="A17782" s="1911">
        <v>0.02</v>
      </c>
      <c r="B17782" s="2035" t="s">
        <v>3954</v>
      </c>
      <c r="C17782" s="2037">
        <f>108.418/2</f>
        <v>54.209000000000003</v>
      </c>
      <c r="D17782" s="2042">
        <f>VLOOKUP(H17782,indexy!$C$44:$D$823,2,FALSE)</f>
        <v>68.67</v>
      </c>
      <c r="E17782" s="2043">
        <f t="shared" si="287"/>
        <v>0.26676382150565403</v>
      </c>
      <c r="F17782" s="2044">
        <f t="shared" si="288"/>
        <v>5.3352764301130805E-3</v>
      </c>
      <c r="G17782" s="78"/>
      <c r="H17782" t="str">
        <f>VLOOKUP(B17782,indexy!$A$44:$D$823,3,FALSE)</f>
        <v>CM CT Equity</v>
      </c>
      <c r="K17782" s="434"/>
    </row>
    <row r="17783" spans="1:11" ht="12.75" hidden="1" customHeight="1" outlineLevel="1" x14ac:dyDescent="0.25">
      <c r="A17783" s="1911">
        <v>0.02</v>
      </c>
      <c r="B17783" s="2035" t="s">
        <v>2629</v>
      </c>
      <c r="C17783" s="2037">
        <v>15.1586</v>
      </c>
      <c r="D17783" s="2042">
        <f>VLOOKUP(H17783,indexy!$C$44:$D$823,2,FALSE)</f>
        <v>22.5</v>
      </c>
      <c r="E17783" s="2043">
        <f t="shared" si="287"/>
        <v>0.48430593854313719</v>
      </c>
      <c r="F17783" s="2044">
        <f t="shared" si="288"/>
        <v>9.6861187708627439E-3</v>
      </c>
      <c r="G17783" s="78"/>
      <c r="H17783" t="str">
        <f>VLOOKUP(B17783,indexy!$A$44:$D$823,3,FALSE)</f>
        <v>DTE GY Equity</v>
      </c>
      <c r="K17783" s="434"/>
    </row>
    <row r="17784" spans="1:11" ht="12.75" hidden="1" customHeight="1" outlineLevel="1" x14ac:dyDescent="0.25">
      <c r="A17784" s="1911">
        <v>0.02</v>
      </c>
      <c r="B17784" s="2035" t="s">
        <v>7855</v>
      </c>
      <c r="C17784" s="2037">
        <v>46.268000000000001</v>
      </c>
      <c r="D17784" s="2042">
        <f>VLOOKUP(H17784,indexy!$C$44:$D$823,2,FALSE)</f>
        <v>48.95</v>
      </c>
      <c r="E17784" s="2043">
        <f t="shared" si="287"/>
        <v>5.7966629203769493E-2</v>
      </c>
      <c r="F17784" s="2044">
        <f t="shared" si="288"/>
        <v>1.1593325840753899E-3</v>
      </c>
      <c r="G17784" s="78"/>
      <c r="H17784" t="str">
        <f>VLOOKUP(B17784,indexy!$A$44:$D$823,3,FALSE)</f>
        <v>ENB CT Equity</v>
      </c>
      <c r="K17784" s="434"/>
    </row>
    <row r="17785" spans="1:11" ht="12.75" hidden="1" customHeight="1" outlineLevel="1" x14ac:dyDescent="0.25">
      <c r="A17785" s="1911">
        <v>0.08</v>
      </c>
      <c r="B17785" s="2035" t="s">
        <v>9171</v>
      </c>
      <c r="C17785" s="2037">
        <v>23.475999999999999</v>
      </c>
      <c r="D17785" s="2042">
        <f>VLOOKUP(H17785,indexy!$C$44:$D$823,2,FALSE)</f>
        <v>17.164999999999999</v>
      </c>
      <c r="E17785" s="2043">
        <f t="shared" si="287"/>
        <v>-0.26882773896745615</v>
      </c>
      <c r="F17785" s="2044">
        <f t="shared" si="288"/>
        <v>-2.1506219117396492E-2</v>
      </c>
      <c r="G17785" s="78"/>
      <c r="H17785" t="str">
        <f>VLOOKUP(B17785,indexy!$A$44:$D$823,3,FALSE)</f>
        <v>ELE SQ Equity</v>
      </c>
      <c r="K17785" s="434"/>
    </row>
    <row r="17786" spans="1:11" ht="12.75" hidden="1" customHeight="1" outlineLevel="1" x14ac:dyDescent="0.25">
      <c r="A17786" s="1911">
        <v>0.08</v>
      </c>
      <c r="B17786" s="2035" t="s">
        <v>3798</v>
      </c>
      <c r="C17786" s="2037">
        <v>6.5522</v>
      </c>
      <c r="D17786" s="2042">
        <f>VLOOKUP(H17786,indexy!$C$44:$D$823,2,FALSE)</f>
        <v>6.1189999999999998</v>
      </c>
      <c r="E17786" s="2043">
        <f t="shared" si="287"/>
        <v>-6.6115197948780624E-2</v>
      </c>
      <c r="F17786" s="2044">
        <f t="shared" si="288"/>
        <v>-5.2892158359024504E-3</v>
      </c>
      <c r="G17786" s="78"/>
      <c r="H17786" t="str">
        <f>VLOOKUP(B17786,indexy!$A$44:$D$823,3,FALSE)</f>
        <v>ENEL IM Equity</v>
      </c>
      <c r="K17786" s="434"/>
    </row>
    <row r="17787" spans="1:11" ht="12.75" hidden="1" customHeight="1" outlineLevel="1" x14ac:dyDescent="0.25">
      <c r="A17787" s="1911">
        <v>0.02</v>
      </c>
      <c r="B17787" s="2035" t="s">
        <v>4338</v>
      </c>
      <c r="C17787" s="2037">
        <v>13.858000000000001</v>
      </c>
      <c r="D17787" s="2042">
        <f>VLOOKUP(H17787,indexy!$C$44:$D$823,2,FALSE)</f>
        <v>15.51</v>
      </c>
      <c r="E17787" s="2043">
        <f t="shared" si="287"/>
        <v>0.11920912108529369</v>
      </c>
      <c r="F17787" s="2044">
        <f t="shared" si="288"/>
        <v>2.3841824217058737E-3</v>
      </c>
      <c r="G17787" s="78"/>
      <c r="H17787" t="str">
        <f>VLOOKUP(B17787,indexy!$A$44:$D$823,3,FALSE)</f>
        <v>ENGI FP Equity</v>
      </c>
      <c r="K17787" s="434"/>
    </row>
    <row r="17788" spans="1:11" ht="12.75" hidden="1" customHeight="1" outlineLevel="1" x14ac:dyDescent="0.25">
      <c r="A17788" s="1911">
        <v>0.02</v>
      </c>
      <c r="B17788" s="2035" t="s">
        <v>3021</v>
      </c>
      <c r="C17788" s="2038">
        <v>14.1798</v>
      </c>
      <c r="D17788" s="2042">
        <f>VLOOKUP(H17788,indexy!$C$44:$D$823,2,FALSE)</f>
        <v>14.648</v>
      </c>
      <c r="E17788" s="2043">
        <f t="shared" si="287"/>
        <v>3.3018801393531527E-2</v>
      </c>
      <c r="F17788" s="2044">
        <f t="shared" si="288"/>
        <v>6.6037602787063056E-4</v>
      </c>
      <c r="G17788" s="78"/>
      <c r="H17788" t="str">
        <f>VLOOKUP(B17788,indexy!$A$44:$D$823,3,FALSE)</f>
        <v>ENI IM Equity</v>
      </c>
      <c r="K17788" s="434"/>
    </row>
    <row r="17789" spans="1:11" ht="12.75" hidden="1" customHeight="1" outlineLevel="1" x14ac:dyDescent="0.25">
      <c r="A17789" s="1911">
        <v>0.06</v>
      </c>
      <c r="B17789" s="2035" t="s">
        <v>9767</v>
      </c>
      <c r="C17789" s="2037">
        <v>23.548999999999999</v>
      </c>
      <c r="D17789" s="2042">
        <f>VLOOKUP(H17789,indexy!$C$44:$D$823,2,FALSE)</f>
        <v>20.100000000000001</v>
      </c>
      <c r="E17789" s="2043">
        <f t="shared" si="287"/>
        <v>-0.14646057157416448</v>
      </c>
      <c r="F17789" s="2044">
        <f t="shared" si="288"/>
        <v>-8.787634294449868E-3</v>
      </c>
      <c r="G17789" s="78"/>
      <c r="H17789" t="str">
        <f>VLOOKUP(B17789,indexy!$A$44:$D$823,3,FALSE)</f>
        <v>NTGY SQ Equity</v>
      </c>
      <c r="K17789" s="434"/>
    </row>
    <row r="17790" spans="1:11" ht="12.75" hidden="1" customHeight="1" outlineLevel="1" x14ac:dyDescent="0.25">
      <c r="A17790" s="1911">
        <v>0.04</v>
      </c>
      <c r="B17790" s="2035" t="s">
        <v>459</v>
      </c>
      <c r="C17790" s="2037">
        <v>706.88</v>
      </c>
      <c r="D17790" s="2042">
        <f>VLOOKUP(H17790,indexy!$C$44:$D$823,2,FALSE)</f>
        <v>597.20000000000005</v>
      </c>
      <c r="E17790" s="2043">
        <f t="shared" si="287"/>
        <v>-0.15516070620190126</v>
      </c>
      <c r="F17790" s="2044">
        <f t="shared" si="288"/>
        <v>-6.2064282480760501E-3</v>
      </c>
      <c r="G17790" s="78"/>
      <c r="H17790" t="str">
        <f>VLOOKUP(B17790,indexy!$A$44:$D$823,3,FALSE)</f>
        <v>7201 JT Equity</v>
      </c>
      <c r="K17790" s="434"/>
    </row>
    <row r="17791" spans="1:11" ht="12.75" hidden="1" customHeight="1" outlineLevel="1" x14ac:dyDescent="0.25">
      <c r="A17791" s="1911">
        <v>0.02</v>
      </c>
      <c r="B17791" s="2035" t="s">
        <v>2769</v>
      </c>
      <c r="C17791" s="2037">
        <v>30.855</v>
      </c>
      <c r="D17791" s="2042">
        <f>VLOOKUP(H17791,indexy!$C$44:$D$823,2,FALSE)</f>
        <v>27.53</v>
      </c>
      <c r="E17791" s="2043">
        <f t="shared" si="287"/>
        <v>-0.10776211310970663</v>
      </c>
      <c r="F17791" s="2044">
        <f t="shared" si="288"/>
        <v>-2.1552422621941326E-3</v>
      </c>
      <c r="G17791" s="78"/>
      <c r="H17791" t="str">
        <f>VLOOKUP(B17791,indexy!$A$44:$D$823,3,FALSE)</f>
        <v>PPL UN Equity</v>
      </c>
      <c r="K17791" s="434"/>
    </row>
    <row r="17792" spans="1:11" ht="12.75" hidden="1" customHeight="1" outlineLevel="1" x14ac:dyDescent="0.25">
      <c r="A17792" s="1911">
        <v>0.04</v>
      </c>
      <c r="B17792" s="2035" t="s">
        <v>10734</v>
      </c>
      <c r="C17792" s="2037">
        <v>18.263500000000001</v>
      </c>
      <c r="D17792" s="2042">
        <f>VLOOKUP(H17792,indexy!$C$44:$D$823,2,FALSE)</f>
        <v>15.805</v>
      </c>
      <c r="E17792" s="2043">
        <f t="shared" si="287"/>
        <v>-0.13461275221069346</v>
      </c>
      <c r="F17792" s="2044">
        <f t="shared" si="288"/>
        <v>-5.3845100884277386E-3</v>
      </c>
      <c r="G17792" s="78"/>
      <c r="H17792" t="str">
        <f>VLOOKUP(B17792,indexy!$A$44:$D$823,3,FALSE)</f>
        <v>RED SQ Equity</v>
      </c>
      <c r="K17792" s="434"/>
    </row>
    <row r="17793" spans="1:11" ht="12.75" hidden="1" customHeight="1" outlineLevel="1" x14ac:dyDescent="0.25">
      <c r="A17793" s="1911">
        <v>0.02</v>
      </c>
      <c r="B17793" s="2035" t="s">
        <v>54</v>
      </c>
      <c r="C17793" s="2037">
        <v>14.0555</v>
      </c>
      <c r="D17793" s="2042">
        <f>VLOOKUP(H17793,indexy!$C$44:$D$823,2,FALSE)</f>
        <v>15.44</v>
      </c>
      <c r="E17793" s="2043">
        <f t="shared" si="287"/>
        <v>9.8502365621998544E-2</v>
      </c>
      <c r="F17793" s="2044">
        <f t="shared" si="288"/>
        <v>1.970047312439971E-3</v>
      </c>
      <c r="G17793" s="78"/>
      <c r="H17793" t="str">
        <f>VLOOKUP(B17793,indexy!$A$44:$D$823,3,FALSE)</f>
        <v>REP SQ Equity</v>
      </c>
      <c r="K17793" s="434"/>
    </row>
    <row r="17794" spans="1:11" ht="12.75" hidden="1" customHeight="1" outlineLevel="1" x14ac:dyDescent="0.25">
      <c r="A17794" s="1911">
        <v>0.02</v>
      </c>
      <c r="B17794" s="2035" t="s">
        <v>10667</v>
      </c>
      <c r="C17794" s="2037">
        <v>23.171500000000002</v>
      </c>
      <c r="D17794" s="2042">
        <f>VLOOKUP(H17794,indexy!$C$44:$D$823,2,FALSE)/100</f>
        <v>26.25</v>
      </c>
      <c r="E17794" s="2043">
        <f t="shared" si="287"/>
        <v>0.13285717368318828</v>
      </c>
      <c r="F17794" s="2044">
        <f t="shared" si="288"/>
        <v>2.6571434736637656E-3</v>
      </c>
      <c r="G17794" s="78"/>
      <c r="H17794" t="str">
        <f>VLOOKUP(B17794,indexy!$A$44:$D$823,3,FALSE)</f>
        <v>SHEL LN Equity</v>
      </c>
      <c r="K17794" s="434"/>
    </row>
    <row r="17795" spans="1:11" ht="12.75" hidden="1" customHeight="1" outlineLevel="1" x14ac:dyDescent="0.25">
      <c r="A17795" s="1911">
        <v>0.03</v>
      </c>
      <c r="B17795" s="2035" t="s">
        <v>6116</v>
      </c>
      <c r="C17795" s="2037">
        <v>4.484</v>
      </c>
      <c r="D17795" s="2042">
        <f>VLOOKUP(H17795,indexy!$C$44:$D$823,2,FALSE)</f>
        <v>4.3760000000000003</v>
      </c>
      <c r="E17795" s="2043">
        <f t="shared" si="287"/>
        <v>-2.4085637823371919E-2</v>
      </c>
      <c r="F17795" s="2044">
        <f t="shared" si="288"/>
        <v>-7.2256913470115751E-4</v>
      </c>
      <c r="G17795" s="78"/>
      <c r="H17795" t="str">
        <f>VLOOKUP(B17795,indexy!$A$44:$D$823,3,FALSE)</f>
        <v>SRG IM Equity</v>
      </c>
      <c r="K17795" s="434"/>
    </row>
    <row r="17796" spans="1:11" ht="12.75" hidden="1" customHeight="1" outlineLevel="1" x14ac:dyDescent="0.25">
      <c r="A17796" s="1911">
        <v>0.02</v>
      </c>
      <c r="B17796" s="2035" t="s">
        <v>1857</v>
      </c>
      <c r="C17796" s="2037">
        <v>11.906000000000001</v>
      </c>
      <c r="D17796" s="2042">
        <f>VLOOKUP(H17796,indexy!$C$44:$D$823,2,FALSE)/100</f>
        <v>16.5</v>
      </c>
      <c r="E17796" s="2043">
        <f t="shared" si="287"/>
        <v>0.38585587098941709</v>
      </c>
      <c r="F17796" s="2044">
        <f t="shared" si="288"/>
        <v>7.717117419788342E-3</v>
      </c>
      <c r="G17796" s="78"/>
      <c r="H17796" t="str">
        <f>VLOOKUP(B17796,indexy!$A$44:$D$823,3,FALSE)</f>
        <v>SSE LN Equity</v>
      </c>
      <c r="K17796" s="434"/>
    </row>
    <row r="17797" spans="1:11" ht="12.75" hidden="1" customHeight="1" outlineLevel="1" x14ac:dyDescent="0.25">
      <c r="A17797" s="1911">
        <v>0.05</v>
      </c>
      <c r="B17797" s="2035" t="s">
        <v>10833</v>
      </c>
      <c r="C17797" s="2037">
        <v>5</v>
      </c>
      <c r="D17797" s="2042">
        <f>VLOOKUP(H17797,indexy!$C$44:$D$994,2,FALSE)</f>
        <v>6.6113999999999997</v>
      </c>
      <c r="E17797" s="2043">
        <f t="shared" si="287"/>
        <v>0.3222799999999999</v>
      </c>
      <c r="F17797" s="2044">
        <f t="shared" si="288"/>
        <v>1.6113999999999996E-2</v>
      </c>
      <c r="G17797" s="78"/>
      <c r="H17797" t="str">
        <f>VLOOKUP(B17797,indexy!$A$44:$D$994,3,FALSE)</f>
        <v>.SHBAGPC F Index</v>
      </c>
      <c r="K17797" s="434"/>
    </row>
    <row r="17798" spans="1:11" ht="12.75" hidden="1" customHeight="1" outlineLevel="1" x14ac:dyDescent="0.25">
      <c r="A17798" s="1911">
        <v>0.08</v>
      </c>
      <c r="B17798" s="2035" t="s">
        <v>6118</v>
      </c>
      <c r="C17798" s="2037">
        <v>102.4</v>
      </c>
      <c r="D17798" s="2042">
        <f>VLOOKUP(H17798,indexy!$C$44:$D$823,2,FALSE)</f>
        <v>115.95</v>
      </c>
      <c r="E17798" s="2043">
        <f t="shared" si="287"/>
        <v>0.13232421875</v>
      </c>
      <c r="F17798" s="2044">
        <f t="shared" si="288"/>
        <v>1.05859375E-2</v>
      </c>
      <c r="G17798" s="78"/>
      <c r="H17798" t="str">
        <f>VLOOKUP(B17798,indexy!$A$44:$D$823,3,FALSE)</f>
        <v>SREN SE Equity</v>
      </c>
      <c r="K17798" s="434"/>
    </row>
    <row r="17799" spans="1:11" ht="12.75" hidden="1" customHeight="1" outlineLevel="1" x14ac:dyDescent="0.25">
      <c r="A17799" s="1911">
        <v>0.04</v>
      </c>
      <c r="B17799" s="2035" t="s">
        <v>10737</v>
      </c>
      <c r="C17799" s="2037">
        <v>7.818656663752547</v>
      </c>
      <c r="D17799" s="2042">
        <f>VLOOKUP(H17799,indexy!$C$44:$D$823,2,FALSE)</f>
        <v>9.0036000000000005</v>
      </c>
      <c r="E17799" s="2043">
        <f t="shared" si="287"/>
        <v>0.15155331500114011</v>
      </c>
      <c r="F17799" s="2044">
        <f t="shared" si="288"/>
        <v>6.0621326000456048E-3</v>
      </c>
      <c r="G17799" s="78"/>
      <c r="H17799" t="str">
        <f>VLOOKUP(B17799,indexy!$A$44:$D$823,3,FALSE)</f>
        <v>SYD AT CASH</v>
      </c>
      <c r="K17799" s="434"/>
    </row>
    <row r="17800" spans="1:11" ht="12.75" hidden="1" customHeight="1" outlineLevel="1" x14ac:dyDescent="0.25">
      <c r="A17800" s="1911">
        <v>0.02</v>
      </c>
      <c r="B17800" s="2035" t="s">
        <v>434</v>
      </c>
      <c r="C17800" s="2037">
        <v>43.302999999999997</v>
      </c>
      <c r="D17800" s="2042">
        <f>VLOOKUP(H17800,indexy!$C$44:$D$823,2,FALSE)</f>
        <v>27.43</v>
      </c>
      <c r="E17800" s="2043">
        <f t="shared" si="287"/>
        <v>-0.36655658961272886</v>
      </c>
      <c r="F17800" s="2044">
        <f t="shared" si="288"/>
        <v>-7.3311317922545773E-3</v>
      </c>
      <c r="G17800" s="78"/>
      <c r="H17800" t="str">
        <f>VLOOKUP(B17800,indexy!$A$44:$D$823,3,FALSE)</f>
        <v>TELIA SS Equity</v>
      </c>
      <c r="K17800" s="434"/>
    </row>
    <row r="17801" spans="1:11" ht="12.75" hidden="1" customHeight="1" outlineLevel="1" x14ac:dyDescent="0.25">
      <c r="A17801" s="1911">
        <v>0.02</v>
      </c>
      <c r="B17801" s="2035" t="s">
        <v>10633</v>
      </c>
      <c r="C17801" s="2037">
        <v>46.731929176564996</v>
      </c>
      <c r="D17801" s="2042">
        <f>VLOOKUP(H17801,indexy!$C$44:$D$823,2,FALSE)</f>
        <v>63.47</v>
      </c>
      <c r="E17801" s="2043">
        <f t="shared" si="287"/>
        <v>0.35817204892599985</v>
      </c>
      <c r="F17801" s="2044">
        <f t="shared" si="288"/>
        <v>7.1634409785199969E-3</v>
      </c>
      <c r="G17801" s="78"/>
      <c r="H17801" t="str">
        <f>VLOOKUP(B17801,indexy!$A$44:$D$823,3,FALSE)</f>
        <v>TTE FP Equity</v>
      </c>
      <c r="K17801" s="434"/>
    </row>
    <row r="17802" spans="1:11" ht="12.75" hidden="1" customHeight="1" outlineLevel="1" x14ac:dyDescent="0.25">
      <c r="A17802" s="1911">
        <v>0.02</v>
      </c>
      <c r="B17802" s="2035" t="s">
        <v>5758</v>
      </c>
      <c r="C17802" s="2037">
        <v>71.933000000000007</v>
      </c>
      <c r="D17802" s="2042">
        <f>VLOOKUP(H17802,indexy!$C$44:$D$823,2,FALSE)</f>
        <v>43.54</v>
      </c>
      <c r="E17802" s="2043">
        <f t="shared" si="287"/>
        <v>-0.39471452601726609</v>
      </c>
      <c r="F17802" s="2044">
        <f t="shared" si="288"/>
        <v>-7.8942905203453224E-3</v>
      </c>
      <c r="G17802" s="78"/>
      <c r="H17802" t="str">
        <f>VLOOKUP(B17802,indexy!$A$44:$D$823,3,FALSE)</f>
        <v>VTR UN Equity</v>
      </c>
      <c r="K17802" s="434"/>
    </row>
    <row r="17803" spans="1:11" ht="12.75" hidden="1" customHeight="1" outlineLevel="1" x14ac:dyDescent="0.25">
      <c r="A17803" s="1911">
        <v>0.02</v>
      </c>
      <c r="B17803" s="2035" t="s">
        <v>5522</v>
      </c>
      <c r="C17803" s="2037">
        <v>37.892226198925052</v>
      </c>
      <c r="D17803" s="2042">
        <f>VLOOKUP(H17803,indexy!$C$44:$D$823,2,FALSE)</f>
        <v>68.400000000000006</v>
      </c>
      <c r="E17803" s="2043">
        <f t="shared" si="287"/>
        <v>0.80511959474000006</v>
      </c>
      <c r="F17803" s="2044">
        <f t="shared" si="288"/>
        <v>1.6102391894800002E-2</v>
      </c>
      <c r="G17803" s="78"/>
      <c r="H17803" t="str">
        <f>VLOOKUP(B17803,indexy!$A$44:$D$823,3,FALSE)</f>
        <v>WES AT Equity</v>
      </c>
      <c r="K17803" s="434"/>
    </row>
    <row r="17804" spans="1:11" ht="12.75" hidden="1" customHeight="1" outlineLevel="1" x14ac:dyDescent="0.25">
      <c r="A17804" s="1911">
        <v>0.02</v>
      </c>
      <c r="B17804" s="2035" t="s">
        <v>10740</v>
      </c>
      <c r="C17804" s="2037">
        <v>32.215000000000003</v>
      </c>
      <c r="D17804" s="2042">
        <f>VLOOKUP(H17804,indexy!$C$44:$D$823,2,FALSE)</f>
        <v>30.5</v>
      </c>
      <c r="E17804" s="2043">
        <f t="shared" si="287"/>
        <v>-5.3236070153655279E-2</v>
      </c>
      <c r="F17804" s="2044">
        <f t="shared" si="288"/>
        <v>-1.0647214030731055E-3</v>
      </c>
      <c r="G17804" s="78"/>
      <c r="H17804" t="str">
        <f>VLOOKUP(B17804,indexy!$A$44:$D$823,3,FALSE)</f>
        <v>WDS AT Equity</v>
      </c>
      <c r="K17804" s="434"/>
    </row>
    <row r="17805" spans="1:11" ht="12.75" hidden="1" customHeight="1" outlineLevel="1" x14ac:dyDescent="0.25">
      <c r="A17805" s="1911">
        <v>0.04</v>
      </c>
      <c r="B17805" s="2036" t="s">
        <v>10003</v>
      </c>
      <c r="C17805" s="2037">
        <v>86.548236267138748</v>
      </c>
      <c r="D17805" s="2045">
        <f>VLOOKUP(H17805,indexy!$C$44:$D$823,2,FALSE)</f>
        <v>56.44</v>
      </c>
      <c r="E17805" s="2046">
        <f t="shared" si="287"/>
        <v>-0.3478781031910001</v>
      </c>
      <c r="F17805" s="2047">
        <f>$E17805*$A17805</f>
        <v>-1.3915124127640004E-2</v>
      </c>
      <c r="G17805" s="78"/>
      <c r="H17805" t="str">
        <f>VLOOKUP(B17805,indexy!$A$44:$D$823,3,FALSE)</f>
        <v>WPC UN Equity</v>
      </c>
      <c r="K17805" s="434"/>
    </row>
    <row r="17806" spans="1:11" ht="12.75" hidden="1" customHeight="1" outlineLevel="1" x14ac:dyDescent="0.25">
      <c r="A17806" s="2048" t="s">
        <v>2734</v>
      </c>
      <c r="B17806" s="2049"/>
      <c r="C17806" s="2050"/>
      <c r="D17806" s="2051"/>
      <c r="E17806" s="2052"/>
      <c r="F17806" s="2044">
        <f>SUM(F17776:F17805)</f>
        <v>9.778752530375863E-3</v>
      </c>
      <c r="G17806" s="78"/>
    </row>
    <row r="17807" spans="1:11" ht="12.75" hidden="1" customHeight="1" outlineLevel="1" x14ac:dyDescent="0.25">
      <c r="A17807" s="2053" t="s">
        <v>10156</v>
      </c>
      <c r="B17807" s="2054">
        <v>45261</v>
      </c>
      <c r="C17807" s="2055">
        <v>100</v>
      </c>
      <c r="D17807" s="2055">
        <v>101.0639</v>
      </c>
      <c r="E17807" s="2056">
        <f>IF(D17807="",F17806,D17807/C17807-1)</f>
        <v>1.0639000000000065E-2</v>
      </c>
      <c r="F17807" s="2057"/>
      <c r="G17807" s="78"/>
    </row>
    <row r="17808" spans="1:11" ht="12.75" hidden="1" customHeight="1" outlineLevel="1" x14ac:dyDescent="0.25">
      <c r="A17808" s="2053" t="s">
        <v>10157</v>
      </c>
      <c r="B17808" s="2054">
        <v>45292</v>
      </c>
      <c r="C17808" s="2055">
        <v>100</v>
      </c>
      <c r="D17808" s="2058">
        <v>100.3648</v>
      </c>
      <c r="E17808" s="2056">
        <f>IF(D17808="",E17807,D17808/C17808-1)</f>
        <v>3.6480000000000956E-3</v>
      </c>
      <c r="F17808" s="2057"/>
      <c r="G17808" s="78"/>
    </row>
    <row r="17809" spans="1:7" ht="12.75" hidden="1" customHeight="1" outlineLevel="1" x14ac:dyDescent="0.25">
      <c r="A17809" s="2053" t="s">
        <v>10158</v>
      </c>
      <c r="B17809" s="2054">
        <v>45323</v>
      </c>
      <c r="C17809" s="2055">
        <v>100</v>
      </c>
      <c r="D17809" s="2058">
        <v>98.997</v>
      </c>
      <c r="E17809" s="2056">
        <f>IF(D17809="",E17808,D17809/C17809-1)</f>
        <v>-1.0029999999999983E-2</v>
      </c>
      <c r="F17809" s="2057"/>
      <c r="G17809" s="78"/>
    </row>
    <row r="17810" spans="1:7" ht="12.75" hidden="1" customHeight="1" outlineLevel="1" x14ac:dyDescent="0.25">
      <c r="A17810" s="2053" t="s">
        <v>10159</v>
      </c>
      <c r="B17810" s="2054">
        <v>45352</v>
      </c>
      <c r="C17810" s="2055">
        <v>100</v>
      </c>
      <c r="D17810" s="2058">
        <v>101.0938</v>
      </c>
      <c r="E17810" s="2056">
        <f>IF(D17810="",E17809,D17810/C17810-1)</f>
        <v>1.0938000000000114E-2</v>
      </c>
      <c r="F17810" s="2057"/>
      <c r="G17810" s="78"/>
    </row>
    <row r="17811" spans="1:7" ht="12.75" hidden="1" customHeight="1" outlineLevel="1" x14ac:dyDescent="0.25">
      <c r="A17811" s="2053" t="s">
        <v>10160</v>
      </c>
      <c r="B17811" s="2054">
        <v>45383</v>
      </c>
      <c r="C17811" s="2055">
        <v>100</v>
      </c>
      <c r="D17811" s="2058"/>
      <c r="E17811" s="2056">
        <f t="shared" ref="E17811:E17824" si="289">IF(D17811="",E17810,D17811/C17811-1)</f>
        <v>1.0938000000000114E-2</v>
      </c>
      <c r="F17811" s="2057"/>
      <c r="G17811" s="78"/>
    </row>
    <row r="17812" spans="1:7" ht="12.75" hidden="1" customHeight="1" outlineLevel="1" x14ac:dyDescent="0.25">
      <c r="A17812" s="2053" t="s">
        <v>10161</v>
      </c>
      <c r="B17812" s="2054">
        <v>45413</v>
      </c>
      <c r="C17812" s="2055">
        <v>100</v>
      </c>
      <c r="D17812" s="2058"/>
      <c r="E17812" s="2056">
        <f t="shared" si="289"/>
        <v>1.0938000000000114E-2</v>
      </c>
      <c r="F17812" s="2057"/>
      <c r="G17812" s="78"/>
    </row>
    <row r="17813" spans="1:7" ht="12.75" hidden="1" customHeight="1" outlineLevel="1" x14ac:dyDescent="0.25">
      <c r="A17813" s="2053" t="s">
        <v>10162</v>
      </c>
      <c r="B17813" s="2054">
        <v>45444</v>
      </c>
      <c r="C17813" s="2055">
        <v>100</v>
      </c>
      <c r="D17813" s="2058"/>
      <c r="E17813" s="2056">
        <f t="shared" si="289"/>
        <v>1.0938000000000114E-2</v>
      </c>
      <c r="F17813" s="2057"/>
      <c r="G17813" s="78"/>
    </row>
    <row r="17814" spans="1:7" ht="12.75" hidden="1" customHeight="1" outlineLevel="1" x14ac:dyDescent="0.25">
      <c r="A17814" s="2053" t="s">
        <v>10163</v>
      </c>
      <c r="B17814" s="2054">
        <v>45474</v>
      </c>
      <c r="C17814" s="2055">
        <v>100</v>
      </c>
      <c r="D17814" s="2058"/>
      <c r="E17814" s="2056">
        <f t="shared" si="289"/>
        <v>1.0938000000000114E-2</v>
      </c>
      <c r="F17814" s="2057"/>
      <c r="G17814" s="78"/>
    </row>
    <row r="17815" spans="1:7" ht="12.75" hidden="1" customHeight="1" outlineLevel="1" x14ac:dyDescent="0.25">
      <c r="A17815" s="2053" t="s">
        <v>10164</v>
      </c>
      <c r="B17815" s="2054">
        <v>45505</v>
      </c>
      <c r="C17815" s="2055">
        <v>100</v>
      </c>
      <c r="D17815" s="2058"/>
      <c r="E17815" s="2056">
        <f t="shared" si="289"/>
        <v>1.0938000000000114E-2</v>
      </c>
      <c r="F17815" s="2057"/>
      <c r="G17815" s="78"/>
    </row>
    <row r="17816" spans="1:7" ht="12.75" hidden="1" customHeight="1" outlineLevel="1" x14ac:dyDescent="0.25">
      <c r="A17816" s="2053" t="s">
        <v>10165</v>
      </c>
      <c r="B17816" s="2054">
        <v>45536</v>
      </c>
      <c r="C17816" s="2055">
        <v>100</v>
      </c>
      <c r="D17816" s="2058"/>
      <c r="E17816" s="2056">
        <f t="shared" si="289"/>
        <v>1.0938000000000114E-2</v>
      </c>
      <c r="F17816" s="2057"/>
      <c r="G17816" s="78"/>
    </row>
    <row r="17817" spans="1:7" ht="12.75" hidden="1" customHeight="1" outlineLevel="1" x14ac:dyDescent="0.25">
      <c r="A17817" s="2053" t="s">
        <v>10166</v>
      </c>
      <c r="B17817" s="2054">
        <v>45566</v>
      </c>
      <c r="C17817" s="2055">
        <v>100</v>
      </c>
      <c r="D17817" s="2058"/>
      <c r="E17817" s="2056">
        <f t="shared" si="289"/>
        <v>1.0938000000000114E-2</v>
      </c>
      <c r="F17817" s="2057"/>
      <c r="G17817" s="78"/>
    </row>
    <row r="17818" spans="1:7" ht="12.75" hidden="1" customHeight="1" outlineLevel="1" x14ac:dyDescent="0.25">
      <c r="A17818" s="2053" t="s">
        <v>10167</v>
      </c>
      <c r="B17818" s="2054">
        <v>45597</v>
      </c>
      <c r="C17818" s="2055">
        <v>100</v>
      </c>
      <c r="D17818" s="2058"/>
      <c r="E17818" s="2056">
        <f t="shared" si="289"/>
        <v>1.0938000000000114E-2</v>
      </c>
      <c r="F17818" s="2057"/>
      <c r="G17818" s="78"/>
    </row>
    <row r="17819" spans="1:7" ht="12.75" hidden="1" customHeight="1" outlineLevel="1" x14ac:dyDescent="0.25">
      <c r="A17819" s="2053" t="s">
        <v>10168</v>
      </c>
      <c r="B17819" s="2054">
        <v>45627</v>
      </c>
      <c r="C17819" s="2055">
        <v>100</v>
      </c>
      <c r="D17819" s="2058"/>
      <c r="E17819" s="2056">
        <f t="shared" si="289"/>
        <v>1.0938000000000114E-2</v>
      </c>
      <c r="F17819" s="2057"/>
      <c r="G17819" s="78"/>
    </row>
    <row r="17820" spans="1:7" ht="12.75" hidden="1" customHeight="1" outlineLevel="1" x14ac:dyDescent="0.25">
      <c r="A17820" s="2053" t="s">
        <v>10169</v>
      </c>
      <c r="B17820" s="2054">
        <v>45658</v>
      </c>
      <c r="C17820" s="2055">
        <v>100</v>
      </c>
      <c r="D17820" s="2058"/>
      <c r="E17820" s="2056">
        <f t="shared" si="289"/>
        <v>1.0938000000000114E-2</v>
      </c>
      <c r="F17820" s="2057"/>
      <c r="G17820" s="78"/>
    </row>
    <row r="17821" spans="1:7" ht="12.75" hidden="1" customHeight="1" outlineLevel="1" x14ac:dyDescent="0.25">
      <c r="A17821" s="2053" t="s">
        <v>10170</v>
      </c>
      <c r="B17821" s="2054">
        <v>45689</v>
      </c>
      <c r="C17821" s="2055">
        <v>100</v>
      </c>
      <c r="D17821" s="2058"/>
      <c r="E17821" s="2056">
        <f t="shared" si="289"/>
        <v>1.0938000000000114E-2</v>
      </c>
      <c r="F17821" s="2057"/>
      <c r="G17821" s="78"/>
    </row>
    <row r="17822" spans="1:7" ht="12.75" hidden="1" customHeight="1" outlineLevel="1" x14ac:dyDescent="0.25">
      <c r="A17822" s="2053" t="s">
        <v>10171</v>
      </c>
      <c r="B17822" s="2054">
        <v>45717</v>
      </c>
      <c r="C17822" s="2055">
        <v>100</v>
      </c>
      <c r="D17822" s="2058"/>
      <c r="E17822" s="2056">
        <f t="shared" si="289"/>
        <v>1.0938000000000114E-2</v>
      </c>
      <c r="F17822" s="2057"/>
      <c r="G17822" s="78"/>
    </row>
    <row r="17823" spans="1:7" ht="12.75" hidden="1" customHeight="1" outlineLevel="1" x14ac:dyDescent="0.25">
      <c r="A17823" s="2053" t="s">
        <v>10172</v>
      </c>
      <c r="B17823" s="2054">
        <v>45748</v>
      </c>
      <c r="C17823" s="2055">
        <v>100</v>
      </c>
      <c r="D17823" s="2058"/>
      <c r="E17823" s="2056">
        <f t="shared" si="289"/>
        <v>1.0938000000000114E-2</v>
      </c>
      <c r="F17823" s="2057"/>
      <c r="G17823" s="78"/>
    </row>
    <row r="17824" spans="1:7" ht="12.75" hidden="1" customHeight="1" outlineLevel="1" x14ac:dyDescent="0.25">
      <c r="A17824" s="2053" t="s">
        <v>10173</v>
      </c>
      <c r="B17824" s="2054">
        <v>45778</v>
      </c>
      <c r="C17824" s="2055">
        <v>100</v>
      </c>
      <c r="D17824" s="2058"/>
      <c r="E17824" s="2056">
        <f t="shared" si="289"/>
        <v>1.0938000000000114E-2</v>
      </c>
      <c r="F17824" s="2057"/>
      <c r="G17824" s="78"/>
    </row>
    <row r="17825" spans="1:56" ht="12.75" hidden="1" customHeight="1" outlineLevel="1" x14ac:dyDescent="0.25">
      <c r="A17825" s="1531" t="s">
        <v>2734</v>
      </c>
      <c r="B17825" s="1532"/>
      <c r="C17825" s="1530"/>
      <c r="D17825" s="1533" t="s">
        <v>2465</v>
      </c>
      <c r="E17825" s="1534">
        <f>AVERAGE(E17807:E17824)</f>
        <v>9.3515000000001045E-3</v>
      </c>
      <c r="F17825" s="1840">
        <f>E17825</f>
        <v>9.3515000000001045E-3</v>
      </c>
      <c r="G17825" s="78"/>
    </row>
    <row r="17826" spans="1:56" collapsed="1" x14ac:dyDescent="0.25">
      <c r="A17826" s="3799" t="s">
        <v>9989</v>
      </c>
      <c r="B17826" s="3800"/>
      <c r="C17826" s="3800"/>
      <c r="D17826" s="3800"/>
      <c r="E17826" s="18"/>
      <c r="F17826" s="186">
        <f>IF(F17825&lt;0,0%,MIN(F17825*0.7,60%))</f>
        <v>6.5460500000000732E-3</v>
      </c>
      <c r="G17826" s="78"/>
    </row>
    <row r="17828" spans="1:56" hidden="1" outlineLevel="1" x14ac:dyDescent="0.25">
      <c r="A17828" s="1712" t="s">
        <v>113</v>
      </c>
      <c r="B17828" s="1712" t="s">
        <v>114</v>
      </c>
      <c r="C17828" s="1713" t="s">
        <v>112</v>
      </c>
      <c r="D17828" s="1713" t="s">
        <v>4155</v>
      </c>
      <c r="E17828" s="1713" t="s">
        <v>116</v>
      </c>
      <c r="F17828" s="1887" t="s">
        <v>8050</v>
      </c>
      <c r="G17828" s="78"/>
      <c r="H17828" s="361" t="s">
        <v>3766</v>
      </c>
      <c r="I17828" s="1462">
        <v>45292</v>
      </c>
      <c r="J17828" s="1462">
        <v>45323</v>
      </c>
      <c r="K17828" s="1462">
        <v>45352</v>
      </c>
      <c r="L17828" s="1462">
        <v>45383</v>
      </c>
      <c r="M17828" s="1462">
        <v>45413</v>
      </c>
      <c r="N17828" s="1462">
        <v>45444</v>
      </c>
      <c r="O17828" s="1462">
        <v>45474</v>
      </c>
      <c r="P17828" s="1462">
        <v>45505</v>
      </c>
      <c r="Q17828" s="1462">
        <v>45536</v>
      </c>
      <c r="R17828" s="1462">
        <v>45566</v>
      </c>
      <c r="S17828" s="1462">
        <v>45597</v>
      </c>
      <c r="T17828" s="1462">
        <v>45627</v>
      </c>
      <c r="U17828" s="1462">
        <v>45658</v>
      </c>
      <c r="V17828" s="1462">
        <v>45689</v>
      </c>
      <c r="W17828" s="1462">
        <v>45717</v>
      </c>
      <c r="X17828" s="1462">
        <v>45748</v>
      </c>
      <c r="Y17828" s="1462">
        <v>45778</v>
      </c>
      <c r="Z17828" s="1462">
        <v>45809</v>
      </c>
      <c r="AA17828" s="1302"/>
      <c r="AB17828" s="1302"/>
      <c r="AC17828" s="1302"/>
      <c r="AD17828" s="1302"/>
      <c r="AE17828" s="1302"/>
      <c r="AF17828" s="1302"/>
      <c r="AG17828" s="1302"/>
      <c r="AH17828" s="1302"/>
      <c r="AI17828" s="1302"/>
      <c r="AJ17828" s="1302"/>
      <c r="AK17828" s="1302"/>
      <c r="AL17828" s="1302"/>
      <c r="AM17828" s="1302"/>
      <c r="AN17828" s="1302"/>
      <c r="AO17828" s="1302"/>
      <c r="AP17828" s="1302"/>
      <c r="AQ17828" s="1302"/>
      <c r="AR17828" s="1302"/>
      <c r="AS17828" s="1302"/>
      <c r="AT17828" s="1302"/>
      <c r="AU17828" s="1302"/>
      <c r="AV17828" s="1302"/>
      <c r="AW17828" s="1302"/>
      <c r="AX17828" s="1302"/>
      <c r="AY17828" s="1302"/>
      <c r="AZ17828" s="1302"/>
      <c r="BA17828" s="1302"/>
      <c r="BB17828" s="1302"/>
      <c r="BC17828" s="1302"/>
      <c r="BD17828" s="1302"/>
    </row>
    <row r="17829" spans="1:56" hidden="1" outlineLevel="1" x14ac:dyDescent="0.25">
      <c r="A17829" s="221" t="s">
        <v>1327</v>
      </c>
      <c r="B17829" s="1622" t="s">
        <v>10174</v>
      </c>
      <c r="C17829" s="1669">
        <v>340.15199999999999</v>
      </c>
      <c r="D17829" s="1669">
        <f>+indexy!$B$28</f>
        <v>371.51</v>
      </c>
      <c r="E17829" s="1709"/>
      <c r="F17829" s="1305">
        <f>+D17829/C17829-1</f>
        <v>9.2188198217267647E-2</v>
      </c>
      <c r="G17829" s="78"/>
      <c r="H17829" s="2487">
        <f>AVERAGE(I17829:Z17829)</f>
        <v>371.5100000000001</v>
      </c>
      <c r="I17829" s="2486">
        <f>+indexy!$B$28</f>
        <v>371.51</v>
      </c>
      <c r="J17829" s="2486">
        <f>+indexy!$B$28</f>
        <v>371.51</v>
      </c>
      <c r="K17829" s="2486">
        <f>+indexy!$B$28</f>
        <v>371.51</v>
      </c>
      <c r="L17829" s="2486">
        <f>+indexy!$B$28</f>
        <v>371.51</v>
      </c>
      <c r="M17829" s="2486">
        <f>+indexy!$B$28</f>
        <v>371.51</v>
      </c>
      <c r="N17829" s="2486">
        <f>+indexy!$B$28</f>
        <v>371.51</v>
      </c>
      <c r="O17829" s="2486">
        <f>+indexy!$B$28</f>
        <v>371.51</v>
      </c>
      <c r="P17829" s="2486">
        <f>+indexy!$B$28</f>
        <v>371.51</v>
      </c>
      <c r="Q17829" s="2486">
        <f>+indexy!$B$28</f>
        <v>371.51</v>
      </c>
      <c r="R17829" s="2486">
        <f>+indexy!$B$28</f>
        <v>371.51</v>
      </c>
      <c r="S17829" s="2486">
        <f>+indexy!$B$28</f>
        <v>371.51</v>
      </c>
      <c r="T17829" s="2486">
        <f>+indexy!$B$28</f>
        <v>371.51</v>
      </c>
      <c r="U17829" s="2486">
        <f>+indexy!$B$28</f>
        <v>371.51</v>
      </c>
      <c r="V17829" s="2486">
        <f>+indexy!$B$28</f>
        <v>371.51</v>
      </c>
      <c r="W17829" s="2486">
        <f>+indexy!$B$28</f>
        <v>371.51</v>
      </c>
      <c r="X17829" s="2486">
        <f>+indexy!$B$28</f>
        <v>371.51</v>
      </c>
      <c r="Y17829" s="2486">
        <f>+indexy!$B$28</f>
        <v>371.51</v>
      </c>
      <c r="Z17829" s="2486">
        <f>+indexy!$B$28</f>
        <v>371.51</v>
      </c>
    </row>
    <row r="17830" spans="1:56" hidden="1" outlineLevel="1" x14ac:dyDescent="0.25">
      <c r="A17830" s="52" t="s">
        <v>2734</v>
      </c>
      <c r="B17830" s="1710"/>
      <c r="C17830" s="1307"/>
      <c r="D17830" s="1307"/>
      <c r="E17830" s="1711"/>
      <c r="G17830" s="78"/>
      <c r="H17830" s="37">
        <f>+H17829/C17829-1</f>
        <v>9.2188198217267869E-2</v>
      </c>
    </row>
    <row r="17831" spans="1:56" collapsed="1" x14ac:dyDescent="0.25">
      <c r="A17831" s="3799" t="s">
        <v>9996</v>
      </c>
      <c r="B17831" s="3800"/>
      <c r="C17831" s="3800"/>
      <c r="D17831" s="3800"/>
      <c r="E17831" s="18"/>
      <c r="F17831" s="186">
        <f>IF($H$17830&lt;0,0%,MIN(H17830*0.6,40%))</f>
        <v>5.5312918930360722E-2</v>
      </c>
      <c r="G17831" s="78"/>
    </row>
    <row r="17833" spans="1:56" hidden="1" outlineLevel="1" x14ac:dyDescent="0.25">
      <c r="A17833" s="15" t="s">
        <v>113</v>
      </c>
      <c r="B17833" s="15" t="s">
        <v>114</v>
      </c>
      <c r="C17833" s="15" t="s">
        <v>112</v>
      </c>
      <c r="D17833" s="15" t="s">
        <v>116</v>
      </c>
      <c r="E17833" s="15" t="s">
        <v>117</v>
      </c>
      <c r="F17833" s="1882" t="s">
        <v>121</v>
      </c>
      <c r="G17833" s="78"/>
    </row>
    <row r="17834" spans="1:56" hidden="1" outlineLevel="1" x14ac:dyDescent="0.25">
      <c r="A17834" s="21">
        <v>5</v>
      </c>
      <c r="B17834" s="21"/>
      <c r="C17834" s="11"/>
      <c r="D17834" s="32" t="s">
        <v>3702</v>
      </c>
      <c r="E17834" s="33">
        <f>indexy!$B$2</f>
        <v>45379</v>
      </c>
      <c r="F17834" s="200"/>
      <c r="G17834" s="78"/>
    </row>
    <row r="17835" spans="1:56" hidden="1" outlineLevel="1" x14ac:dyDescent="0.25">
      <c r="A17835" s="2113" t="s">
        <v>4156</v>
      </c>
      <c r="B17835" s="2113" t="s">
        <v>4153</v>
      </c>
      <c r="C17835" s="2114" t="s">
        <v>112</v>
      </c>
      <c r="D17835" s="2113" t="s">
        <v>4155</v>
      </c>
      <c r="E17835" s="2113" t="s">
        <v>4154</v>
      </c>
      <c r="F17835" s="2115" t="s">
        <v>734</v>
      </c>
      <c r="G17835" s="78"/>
    </row>
    <row r="17836" spans="1:56" hidden="1" outlineLevel="1" x14ac:dyDescent="0.25">
      <c r="A17836" s="2111">
        <v>0.02</v>
      </c>
      <c r="B17836" s="2035" t="s">
        <v>802</v>
      </c>
      <c r="C17836" s="3464">
        <v>35.108000019590264</v>
      </c>
      <c r="D17836" s="2063">
        <f>VLOOKUP(H17836,indexy!$C$44:$D$823,2,FALSE)</f>
        <v>19.690000000000001</v>
      </c>
      <c r="E17836" s="2052">
        <f>D17836/C17836-1</f>
        <v>-0.43915916631499996</v>
      </c>
      <c r="F17836" s="2044">
        <f>IF(E17836&gt;0,5%,E17836)</f>
        <v>-0.43915916631499996</v>
      </c>
      <c r="G17836" s="78"/>
      <c r="H17836" t="str">
        <f>VLOOKUP(B17836,indexy!$A$44:$D$823,3,FALSE)</f>
        <v>NLY UN Equity</v>
      </c>
      <c r="K17836" s="425"/>
    </row>
    <row r="17837" spans="1:56" hidden="1" outlineLevel="1" x14ac:dyDescent="0.25">
      <c r="A17837" s="2111">
        <v>0.08</v>
      </c>
      <c r="B17837" s="2035" t="s">
        <v>2697</v>
      </c>
      <c r="C17837" s="3464">
        <v>18.206</v>
      </c>
      <c r="D17837" s="2063">
        <f>VLOOKUP(H17837,indexy!$C$44:$D$823,2,FALSE)</f>
        <v>23.46</v>
      </c>
      <c r="E17837" s="2052">
        <f t="shared" ref="E17837:E17865" si="290">D17837/C17837-1</f>
        <v>0.28858618038009465</v>
      </c>
      <c r="F17837" s="2044">
        <f t="shared" ref="F17837:F17865" si="291">IF(E17837&gt;0,5%,E17837)</f>
        <v>0.05</v>
      </c>
      <c r="G17837" s="78"/>
      <c r="H17837" t="str">
        <f>VLOOKUP(B17837,indexy!$A$44:$D$823,3,FALSE)</f>
        <v>G IM Equity</v>
      </c>
      <c r="K17837" s="425"/>
    </row>
    <row r="17838" spans="1:56" hidden="1" outlineLevel="1" x14ac:dyDescent="0.25">
      <c r="A17838" s="2111">
        <v>0.02</v>
      </c>
      <c r="B17838" s="2035" t="s">
        <v>5745</v>
      </c>
      <c r="C17838" s="3464">
        <v>27.57524248568679</v>
      </c>
      <c r="D17838" s="2063">
        <f>VLOOKUP(H17838,indexy!$C$44:$D$823,2,FALSE)</f>
        <v>29.4</v>
      </c>
      <c r="E17838" s="2052">
        <f t="shared" si="290"/>
        <v>6.6173761309999968E-2</v>
      </c>
      <c r="F17838" s="2044">
        <f t="shared" si="291"/>
        <v>0.05</v>
      </c>
      <c r="G17838" s="78"/>
      <c r="H17838" t="str">
        <f>VLOOKUP(B17838,indexy!$A$44:$D$823,3,FALSE)</f>
        <v>ANZ AT Equity</v>
      </c>
      <c r="K17838" s="425"/>
    </row>
    <row r="17839" spans="1:56" hidden="1" outlineLevel="1" x14ac:dyDescent="0.25">
      <c r="A17839" s="2111">
        <v>0.02</v>
      </c>
      <c r="B17839" s="2035" t="s">
        <v>218</v>
      </c>
      <c r="C17839" s="3464">
        <v>23.927</v>
      </c>
      <c r="D17839" s="2063">
        <f>VLOOKUP(H17839,indexy!$C$44:$D$823,2,FALSE)</f>
        <v>34.814999999999998</v>
      </c>
      <c r="E17839" s="2052">
        <f t="shared" si="290"/>
        <v>0.45505077945417294</v>
      </c>
      <c r="F17839" s="2044">
        <f t="shared" si="291"/>
        <v>0.05</v>
      </c>
      <c r="G17839" s="78"/>
      <c r="H17839" t="str">
        <f>VLOOKUP(B17839,indexy!$A$44:$D$823,3,FALSE)</f>
        <v>CS FP Equity</v>
      </c>
      <c r="K17839" s="425"/>
    </row>
    <row r="17840" spans="1:56" hidden="1" outlineLevel="1" x14ac:dyDescent="0.25">
      <c r="A17840" s="2111">
        <v>7.0000000000000007E-2</v>
      </c>
      <c r="B17840" s="2035" t="s">
        <v>807</v>
      </c>
      <c r="C17840" s="3464">
        <v>63.334000000000003</v>
      </c>
      <c r="D17840" s="2063">
        <f>VLOOKUP(H17840,indexy!$C$44:$D$823,2,FALSE)</f>
        <v>46.03</v>
      </c>
      <c r="E17840" s="2052">
        <f t="shared" si="290"/>
        <v>-0.27321817665077208</v>
      </c>
      <c r="F17840" s="2044">
        <f t="shared" si="291"/>
        <v>-0.27321817665077208</v>
      </c>
      <c r="G17840" s="78"/>
      <c r="H17840" t="str">
        <f>VLOOKUP(B17840,indexy!$A$44:$D$823,3,FALSE)</f>
        <v>BCE CT Equity</v>
      </c>
      <c r="K17840" s="425"/>
    </row>
    <row r="17841" spans="1:11" hidden="1" outlineLevel="1" x14ac:dyDescent="0.25">
      <c r="A17841" s="2111">
        <v>0.02</v>
      </c>
      <c r="B17841" s="2035" t="s">
        <v>3954</v>
      </c>
      <c r="C17841" s="3464">
        <f>111.093/2</f>
        <v>55.546500000000002</v>
      </c>
      <c r="D17841" s="2063">
        <f>VLOOKUP(H17841,indexy!$C$44:$D$823,2,FALSE)</f>
        <v>68.67</v>
      </c>
      <c r="E17841" s="2052">
        <f t="shared" si="290"/>
        <v>0.23626151062623202</v>
      </c>
      <c r="F17841" s="2044">
        <f t="shared" si="291"/>
        <v>0.05</v>
      </c>
      <c r="G17841" s="78"/>
      <c r="H17841" t="str">
        <f>VLOOKUP(B17841,indexy!$A$44:$D$823,3,FALSE)</f>
        <v>CM CT Equity</v>
      </c>
      <c r="K17841" s="425"/>
    </row>
    <row r="17842" spans="1:11" hidden="1" outlineLevel="1" x14ac:dyDescent="0.25">
      <c r="A17842" s="2111">
        <v>0.02</v>
      </c>
      <c r="B17842" s="2035" t="s">
        <v>951</v>
      </c>
      <c r="C17842" s="3464">
        <v>2917.95</v>
      </c>
      <c r="D17842" s="2063">
        <f>VLOOKUP(H17842,indexy!$C$44:$D$823,2,FALSE)</f>
        <v>4501</v>
      </c>
      <c r="E17842" s="2052">
        <f t="shared" si="290"/>
        <v>0.54252129063212196</v>
      </c>
      <c r="F17842" s="2044">
        <f t="shared" si="291"/>
        <v>0.05</v>
      </c>
      <c r="G17842" s="78"/>
      <c r="H17842" t="str">
        <f>VLOOKUP(B17842,indexy!$A$44:$D$823,3,FALSE)</f>
        <v>7751 JT Equity</v>
      </c>
      <c r="K17842" s="425"/>
    </row>
    <row r="17843" spans="1:11" hidden="1" outlineLevel="1" x14ac:dyDescent="0.25">
      <c r="A17843" s="2111">
        <v>0.03</v>
      </c>
      <c r="B17843" s="2035" t="s">
        <v>8678</v>
      </c>
      <c r="C17843" s="3464">
        <v>79.700999999999993</v>
      </c>
      <c r="D17843" s="2063">
        <f>VLOOKUP(H17843,indexy!$C$44:$D$823,2,FALSE)</f>
        <v>120.34</v>
      </c>
      <c r="E17843" s="2052">
        <f t="shared" si="290"/>
        <v>0.50989322593192066</v>
      </c>
      <c r="F17843" s="2044">
        <f t="shared" si="291"/>
        <v>0.05</v>
      </c>
      <c r="G17843" s="78"/>
      <c r="H17843" t="str">
        <f>VLOOKUP(B17843,indexy!$A$44:$D$823,3,FALSE)</f>
        <v>CBA AT Equity</v>
      </c>
      <c r="K17843" s="425"/>
    </row>
    <row r="17844" spans="1:11" hidden="1" outlineLevel="1" x14ac:dyDescent="0.25">
      <c r="A17844" s="2111">
        <v>0.08</v>
      </c>
      <c r="B17844" s="2035" t="s">
        <v>9171</v>
      </c>
      <c r="C17844" s="3464">
        <v>23.602</v>
      </c>
      <c r="D17844" s="2063">
        <f>VLOOKUP(H17844,indexy!$C$44:$D$823,2,FALSE)</f>
        <v>17.164999999999999</v>
      </c>
      <c r="E17844" s="2052">
        <f t="shared" si="290"/>
        <v>-0.27273112448097625</v>
      </c>
      <c r="F17844" s="2044">
        <f t="shared" si="291"/>
        <v>-0.27273112448097625</v>
      </c>
      <c r="G17844" s="78"/>
      <c r="H17844" t="str">
        <f>VLOOKUP(B17844,indexy!$A$44:$D$823,3,FALSE)</f>
        <v>ELE SQ Equity</v>
      </c>
      <c r="K17844" s="425"/>
    </row>
    <row r="17845" spans="1:11" hidden="1" outlineLevel="1" x14ac:dyDescent="0.25">
      <c r="A17845" s="2111">
        <v>0.04</v>
      </c>
      <c r="B17845" s="2035" t="s">
        <v>3798</v>
      </c>
      <c r="C17845" s="3464">
        <v>6.8023999999999996</v>
      </c>
      <c r="D17845" s="2063">
        <f>VLOOKUP(H17845,indexy!$C$44:$D$823,2,FALSE)</f>
        <v>6.1189999999999998</v>
      </c>
      <c r="E17845" s="2052">
        <f t="shared" si="290"/>
        <v>-0.10046454192637888</v>
      </c>
      <c r="F17845" s="2044">
        <f t="shared" si="291"/>
        <v>-0.10046454192637888</v>
      </c>
      <c r="G17845" s="78"/>
      <c r="H17845" t="str">
        <f>VLOOKUP(B17845,indexy!$A$44:$D$823,3,FALSE)</f>
        <v>ENEL IM Equity</v>
      </c>
      <c r="K17845" s="425"/>
    </row>
    <row r="17846" spans="1:11" hidden="1" outlineLevel="1" x14ac:dyDescent="0.25">
      <c r="A17846" s="2111">
        <v>0.03</v>
      </c>
      <c r="B17846" s="2035" t="s">
        <v>2701</v>
      </c>
      <c r="C17846" s="3464">
        <v>3.4947830995056246</v>
      </c>
      <c r="D17846" s="2063">
        <f>VLOOKUP(H17846,indexy!$C$44:$D$823,2,FALSE)</f>
        <v>3.61</v>
      </c>
      <c r="E17846" s="2052">
        <f t="shared" si="290"/>
        <v>3.2968255028666515E-2</v>
      </c>
      <c r="F17846" s="2044">
        <f t="shared" si="291"/>
        <v>0.05</v>
      </c>
      <c r="G17846" s="78"/>
      <c r="H17846" t="str">
        <f>VLOOKUP(B17846,indexy!$A$44:$D$823,3,FALSE)</f>
        <v>EDP PL Equity</v>
      </c>
      <c r="K17846" s="425"/>
    </row>
    <row r="17847" spans="1:11" hidden="1" outlineLevel="1" x14ac:dyDescent="0.25">
      <c r="A17847" s="2111">
        <v>0.02</v>
      </c>
      <c r="B17847" s="2035" t="s">
        <v>4338</v>
      </c>
      <c r="C17847" s="3464">
        <v>14.987500000000001</v>
      </c>
      <c r="D17847" s="2063">
        <f>VLOOKUP(H17847,indexy!$C$44:$D$823,2,FALSE)</f>
        <v>15.51</v>
      </c>
      <c r="E17847" s="2052">
        <f t="shared" si="290"/>
        <v>3.4862385321100753E-2</v>
      </c>
      <c r="F17847" s="2044">
        <f t="shared" si="291"/>
        <v>0.05</v>
      </c>
      <c r="G17847" s="78"/>
      <c r="H17847" t="str">
        <f>VLOOKUP(B17847,indexy!$A$44:$D$823,3,FALSE)</f>
        <v>ENGI FP Equity</v>
      </c>
      <c r="K17847" s="425"/>
    </row>
    <row r="17848" spans="1:11" hidden="1" outlineLevel="1" x14ac:dyDescent="0.25">
      <c r="A17848" s="2111">
        <v>0.02</v>
      </c>
      <c r="B17848" s="2035" t="s">
        <v>3799</v>
      </c>
      <c r="C17848" s="3464">
        <v>17.028774778317942</v>
      </c>
      <c r="D17848" s="2063">
        <f>VLOOKUP(H17848,indexy!$C$44:$D$823,2,FALSE)/100</f>
        <v>17.085999999999999</v>
      </c>
      <c r="E17848" s="2052">
        <f t="shared" si="290"/>
        <v>3.3605014116999676E-3</v>
      </c>
      <c r="F17848" s="2044">
        <f t="shared" si="291"/>
        <v>0.05</v>
      </c>
      <c r="G17848" s="78"/>
      <c r="H17848" t="str">
        <f>VLOOKUP(B17848,indexy!$A$44:$D$823,3,FALSE)</f>
        <v>GSK LN Equity</v>
      </c>
      <c r="K17848" s="425"/>
    </row>
    <row r="17849" spans="1:11" hidden="1" outlineLevel="1" x14ac:dyDescent="0.25">
      <c r="A17849" s="2111">
        <v>0.02</v>
      </c>
      <c r="B17849" s="2035" t="s">
        <v>6902</v>
      </c>
      <c r="C17849" s="3464">
        <v>2.6943999999999999</v>
      </c>
      <c r="D17849" s="2063">
        <f>VLOOKUP(H17849,indexy!$C$44:$D$823,2,FALSE)/100</f>
        <v>2.544</v>
      </c>
      <c r="E17849" s="2052">
        <f t="shared" si="290"/>
        <v>-5.5819477434679299E-2</v>
      </c>
      <c r="F17849" s="2044">
        <f t="shared" si="291"/>
        <v>-5.5819477434679299E-2</v>
      </c>
      <c r="G17849" s="78"/>
      <c r="H17849" t="str">
        <f>VLOOKUP(B17849,indexy!$A$44:$D$823,3,FALSE)</f>
        <v>LGEN LN Equity</v>
      </c>
      <c r="K17849" s="425"/>
    </row>
    <row r="17850" spans="1:11" hidden="1" outlineLevel="1" x14ac:dyDescent="0.25">
      <c r="A17850" s="2111">
        <v>0.02</v>
      </c>
      <c r="B17850" s="2035" t="s">
        <v>8336</v>
      </c>
      <c r="C17850" s="3464">
        <v>28.725999999999999</v>
      </c>
      <c r="D17850" s="2063">
        <f>VLOOKUP(H17850,indexy!$C$44:$D$823,2,FALSE)</f>
        <v>34.64</v>
      </c>
      <c r="E17850" s="2052">
        <f t="shared" si="290"/>
        <v>0.20587620970549336</v>
      </c>
      <c r="F17850" s="2044">
        <f t="shared" si="291"/>
        <v>0.05</v>
      </c>
      <c r="G17850" s="78"/>
      <c r="H17850" t="str">
        <f>VLOOKUP(B17850,indexy!$A$44:$D$823,3,FALSE)</f>
        <v>NAB AT Equity</v>
      </c>
      <c r="K17850" s="425"/>
    </row>
    <row r="17851" spans="1:11" hidden="1" outlineLevel="1" x14ac:dyDescent="0.25">
      <c r="A17851" s="2111">
        <v>0.05</v>
      </c>
      <c r="B17851" s="2035" t="s">
        <v>9767</v>
      </c>
      <c r="C17851" s="3464">
        <v>24.065999999999999</v>
      </c>
      <c r="D17851" s="2063">
        <f>VLOOKUP(H17851,indexy!$C$44:$D$823,2,FALSE)</f>
        <v>20.100000000000001</v>
      </c>
      <c r="E17851" s="2052">
        <f t="shared" si="290"/>
        <v>-0.16479680877586622</v>
      </c>
      <c r="F17851" s="2044">
        <f t="shared" si="291"/>
        <v>-0.16479680877586622</v>
      </c>
      <c r="G17851" s="78"/>
      <c r="H17851" t="str">
        <f>VLOOKUP(B17851,indexy!$A$44:$D$823,3,FALSE)</f>
        <v>NTGY SQ Equity</v>
      </c>
      <c r="K17851" s="425"/>
    </row>
    <row r="17852" spans="1:11" hidden="1" outlineLevel="1" x14ac:dyDescent="0.25">
      <c r="A17852" s="2111">
        <v>0.03</v>
      </c>
      <c r="B17852" s="2035" t="s">
        <v>5824</v>
      </c>
      <c r="C17852" s="3464">
        <v>14.554938472794021</v>
      </c>
      <c r="D17852" s="2063">
        <f>VLOOKUP(H17852,indexy!$C$44:$D$823,2,FALSE)</f>
        <v>10.888</v>
      </c>
      <c r="E17852" s="2052">
        <f t="shared" si="290"/>
        <v>-0.25193775155066678</v>
      </c>
      <c r="F17852" s="2044">
        <f t="shared" si="291"/>
        <v>-0.25193775155066678</v>
      </c>
      <c r="G17852" s="78"/>
      <c r="H17852" t="str">
        <f>VLOOKUP(B17852,indexy!$A$44:$D$823,3,FALSE)</f>
        <v>ORA FP Equity</v>
      </c>
      <c r="K17852" s="425"/>
    </row>
    <row r="17853" spans="1:11" hidden="1" outlineLevel="1" x14ac:dyDescent="0.25">
      <c r="A17853" s="2111">
        <v>0.02</v>
      </c>
      <c r="B17853" s="2035" t="s">
        <v>2769</v>
      </c>
      <c r="C17853" s="3464">
        <v>32.372999999999998</v>
      </c>
      <c r="D17853" s="2063">
        <f>VLOOKUP(H17853,indexy!$C$44:$D$823,2,FALSE)</f>
        <v>27.53</v>
      </c>
      <c r="E17853" s="2052">
        <f t="shared" si="290"/>
        <v>-0.14959997528804858</v>
      </c>
      <c r="F17853" s="2044">
        <f t="shared" si="291"/>
        <v>-0.14959997528804858</v>
      </c>
      <c r="G17853" s="78"/>
      <c r="H17853" t="str">
        <f>VLOOKUP(B17853,indexy!$A$44:$D$823,3,FALSE)</f>
        <v>PPL UN Equity</v>
      </c>
      <c r="K17853" s="425"/>
    </row>
    <row r="17854" spans="1:11" hidden="1" outlineLevel="1" x14ac:dyDescent="0.25">
      <c r="A17854" s="2111">
        <v>0.02</v>
      </c>
      <c r="B17854" s="2035" t="s">
        <v>10734</v>
      </c>
      <c r="C17854" s="3464">
        <v>18.111000000000001</v>
      </c>
      <c r="D17854" s="2063">
        <f>VLOOKUP(H17854,indexy!$C$44:$D$823,2,FALSE)</f>
        <v>15.805</v>
      </c>
      <c r="E17854" s="2052">
        <f t="shared" si="290"/>
        <v>-0.12732593451493568</v>
      </c>
      <c r="F17854" s="2044">
        <f t="shared" si="291"/>
        <v>-0.12732593451493568</v>
      </c>
      <c r="G17854" s="78"/>
      <c r="H17854" t="str">
        <f>VLOOKUP(B17854,indexy!$A$44:$D$823,3,FALSE)</f>
        <v>RED SQ Equity</v>
      </c>
      <c r="K17854" s="425"/>
    </row>
    <row r="17855" spans="1:11" hidden="1" outlineLevel="1" x14ac:dyDescent="0.25">
      <c r="A17855" s="2111">
        <v>0.02</v>
      </c>
      <c r="B17855" s="2112" t="s">
        <v>10667</v>
      </c>
      <c r="C17855" s="3464">
        <v>22.736000000000001</v>
      </c>
      <c r="D17855" s="2063">
        <f>VLOOKUP(H17855,indexy!$C$44:$D$823,2,FALSE)/100</f>
        <v>26.25</v>
      </c>
      <c r="E17855" s="2052">
        <f t="shared" si="290"/>
        <v>0.15455665024630538</v>
      </c>
      <c r="F17855" s="2044">
        <f t="shared" si="291"/>
        <v>0.05</v>
      </c>
      <c r="G17855" s="78"/>
      <c r="H17855" t="str">
        <f>VLOOKUP(B17855,indexy!$A$44:$D$823,3,FALSE)</f>
        <v>SHEL LN Equity</v>
      </c>
      <c r="K17855" s="425"/>
    </row>
    <row r="17856" spans="1:11" hidden="1" outlineLevel="1" x14ac:dyDescent="0.25">
      <c r="A17856" s="2111">
        <v>0.02</v>
      </c>
      <c r="B17856" s="2035" t="s">
        <v>6270</v>
      </c>
      <c r="C17856" s="3464">
        <v>34.371040649454287</v>
      </c>
      <c r="D17856" s="2063">
        <f>VLOOKUP(H17856,indexy!$C$44:$D$823,2,FALSE)</f>
        <v>39.515000000000001</v>
      </c>
      <c r="E17856" s="2052">
        <f t="shared" si="290"/>
        <v>0.14965969180299998</v>
      </c>
      <c r="F17856" s="2044">
        <f t="shared" si="291"/>
        <v>0.05</v>
      </c>
      <c r="G17856" s="78"/>
      <c r="H17856" t="str">
        <f>VLOOKUP(B17856,indexy!$A$44:$D$823,3,FALSE)</f>
        <v>SAMPO FH Equity</v>
      </c>
      <c r="K17856" s="425"/>
    </row>
    <row r="17857" spans="1:11" hidden="1" outlineLevel="1" x14ac:dyDescent="0.25">
      <c r="A17857" s="2111">
        <v>0.03</v>
      </c>
      <c r="B17857" s="2035" t="s">
        <v>6116</v>
      </c>
      <c r="C17857" s="3464">
        <v>4.5312999999999999</v>
      </c>
      <c r="D17857" s="2063">
        <f>VLOOKUP(H17857,indexy!$C$44:$D$823,2,FALSE)</f>
        <v>4.3760000000000003</v>
      </c>
      <c r="E17857" s="2052">
        <f t="shared" si="290"/>
        <v>-3.4272725266479731E-2</v>
      </c>
      <c r="F17857" s="2044">
        <f t="shared" si="291"/>
        <v>-3.4272725266479731E-2</v>
      </c>
      <c r="G17857" s="78"/>
      <c r="H17857" t="str">
        <f>VLOOKUP(B17857,indexy!$A$44:$D$823,3,FALSE)</f>
        <v>SRG IM Equity</v>
      </c>
      <c r="K17857" s="425"/>
    </row>
    <row r="17858" spans="1:11" hidden="1" outlineLevel="1" x14ac:dyDescent="0.25">
      <c r="A17858" s="2111">
        <v>0.08</v>
      </c>
      <c r="B17858" s="2035" t="s">
        <v>6118</v>
      </c>
      <c r="C17858" s="3464">
        <v>102.89</v>
      </c>
      <c r="D17858" s="2063">
        <f>VLOOKUP(H17858,indexy!$C$44:$D$823,2,FALSE)</f>
        <v>115.95</v>
      </c>
      <c r="E17858" s="2052">
        <f t="shared" si="290"/>
        <v>0.12693167460394594</v>
      </c>
      <c r="F17858" s="2044">
        <f t="shared" si="291"/>
        <v>0.05</v>
      </c>
      <c r="G17858" s="78"/>
      <c r="H17858" t="str">
        <f>VLOOKUP(B17858,indexy!$A$44:$D$823,3,FALSE)</f>
        <v>SREN SE Equity</v>
      </c>
      <c r="K17858" s="425"/>
    </row>
    <row r="17859" spans="1:11" hidden="1" outlineLevel="1" x14ac:dyDescent="0.25">
      <c r="A17859" s="2111">
        <v>0.03</v>
      </c>
      <c r="B17859" s="2035" t="s">
        <v>10737</v>
      </c>
      <c r="C17859" s="3464">
        <v>8.1894443390522103</v>
      </c>
      <c r="D17859" s="2063">
        <f>VLOOKUP(H17859,indexy!$C$44:$D$823,2,FALSE)</f>
        <v>9.0036000000000005</v>
      </c>
      <c r="E17859" s="2052">
        <f t="shared" si="290"/>
        <v>9.941525056412015E-2</v>
      </c>
      <c r="F17859" s="2044">
        <f t="shared" si="291"/>
        <v>0.05</v>
      </c>
      <c r="G17859" s="78"/>
      <c r="H17859" t="str">
        <f>VLOOKUP(B17859,indexy!$A$44:$D$823,3,FALSE)</f>
        <v>SYD AT CASH</v>
      </c>
      <c r="K17859" s="425"/>
    </row>
    <row r="17860" spans="1:11" hidden="1" outlineLevel="1" x14ac:dyDescent="0.25">
      <c r="A17860" s="2111">
        <v>0.02</v>
      </c>
      <c r="B17860" s="2035" t="s">
        <v>577</v>
      </c>
      <c r="C17860" s="3464">
        <v>7.0891000000000002</v>
      </c>
      <c r="D17860" s="2063">
        <f>VLOOKUP(H17860,indexy!$C$44:$D$823,2,FALSE)</f>
        <v>4.0890000000000004</v>
      </c>
      <c r="E17860" s="2052">
        <f t="shared" si="290"/>
        <v>-0.42319899564119556</v>
      </c>
      <c r="F17860" s="2044">
        <f t="shared" si="291"/>
        <v>-0.42319899564119556</v>
      </c>
      <c r="G17860" s="78"/>
      <c r="H17860" t="str">
        <f>VLOOKUP(B17860,indexy!$A$44:$D$823,3,FALSE)</f>
        <v>TEF SQ Equity</v>
      </c>
      <c r="K17860" s="425"/>
    </row>
    <row r="17861" spans="1:11" hidden="1" outlineLevel="1" x14ac:dyDescent="0.25">
      <c r="A17861" s="2111">
        <v>0.03</v>
      </c>
      <c r="B17861" s="2035" t="s">
        <v>434</v>
      </c>
      <c r="C17861" s="3464">
        <v>43.329000000000001</v>
      </c>
      <c r="D17861" s="2063">
        <f>VLOOKUP(H17861,indexy!$C$44:$D$823,2,FALSE)</f>
        <v>27.43</v>
      </c>
      <c r="E17861" s="2052">
        <f t="shared" si="290"/>
        <v>-0.36693669366936699</v>
      </c>
      <c r="F17861" s="2044">
        <f t="shared" si="291"/>
        <v>-0.36693669366936699</v>
      </c>
      <c r="G17861" s="78"/>
      <c r="H17861" t="str">
        <f>VLOOKUP(B17861,indexy!$A$44:$D$823,3,FALSE)</f>
        <v>TELIA SS Equity</v>
      </c>
      <c r="K17861" s="425"/>
    </row>
    <row r="17862" spans="1:11" hidden="1" outlineLevel="1" x14ac:dyDescent="0.25">
      <c r="A17862" s="2111">
        <v>0.02</v>
      </c>
      <c r="B17862" s="2035" t="s">
        <v>10633</v>
      </c>
      <c r="C17862" s="3464">
        <v>46.615000000000002</v>
      </c>
      <c r="D17862" s="2063">
        <f>VLOOKUP(H17862,indexy!$C$44:$D$823,2,FALSE)</f>
        <v>63.47</v>
      </c>
      <c r="E17862" s="2052">
        <f t="shared" si="290"/>
        <v>0.36157889091494155</v>
      </c>
      <c r="F17862" s="2044">
        <f t="shared" si="291"/>
        <v>0.05</v>
      </c>
      <c r="G17862" s="78"/>
      <c r="H17862" t="str">
        <f>VLOOKUP(B17862,indexy!$A$44:$D$823,3,FALSE)</f>
        <v>TTE FP Equity</v>
      </c>
      <c r="K17862" s="425"/>
    </row>
    <row r="17863" spans="1:11" hidden="1" outlineLevel="1" x14ac:dyDescent="0.25">
      <c r="A17863" s="2111">
        <v>0.02</v>
      </c>
      <c r="B17863" s="2035" t="s">
        <v>5522</v>
      </c>
      <c r="C17863" s="3464">
        <v>38.697582926719285</v>
      </c>
      <c r="D17863" s="2063">
        <f>VLOOKUP(H17863,indexy!$C$44:$D$823,2,FALSE)</f>
        <v>68.400000000000006</v>
      </c>
      <c r="E17863" s="2052">
        <f t="shared" si="290"/>
        <v>0.76755225590000031</v>
      </c>
      <c r="F17863" s="2044">
        <f t="shared" si="291"/>
        <v>0.05</v>
      </c>
      <c r="G17863" s="78"/>
      <c r="H17863" t="str">
        <f>VLOOKUP(B17863,indexy!$A$44:$D$823,3,FALSE)</f>
        <v>WES AT Equity</v>
      </c>
      <c r="K17863" s="425"/>
    </row>
    <row r="17864" spans="1:11" hidden="1" outlineLevel="1" x14ac:dyDescent="0.25">
      <c r="A17864" s="2111">
        <v>0.02</v>
      </c>
      <c r="B17864" s="2035" t="s">
        <v>5626</v>
      </c>
      <c r="C17864" s="3464">
        <v>28.943000000000001</v>
      </c>
      <c r="D17864" s="2063">
        <f>VLOOKUP(H17864,indexy!$C$44:$D$823,2,FALSE)</f>
        <v>26.1</v>
      </c>
      <c r="E17864" s="2052">
        <f t="shared" si="290"/>
        <v>-9.822755070310607E-2</v>
      </c>
      <c r="F17864" s="2044">
        <f t="shared" si="291"/>
        <v>-9.822755070310607E-2</v>
      </c>
      <c r="G17864" s="78"/>
      <c r="H17864" t="str">
        <f>VLOOKUP(B17864,indexy!$A$44:$D$823,3,FALSE)</f>
        <v>WBC AT Equity</v>
      </c>
      <c r="K17864" s="425"/>
    </row>
    <row r="17865" spans="1:11" hidden="1" outlineLevel="1" x14ac:dyDescent="0.25">
      <c r="A17865" s="2111">
        <v>0.08</v>
      </c>
      <c r="B17865" s="2036" t="s">
        <v>4550</v>
      </c>
      <c r="C17865" s="3464">
        <v>389.6</v>
      </c>
      <c r="D17865" s="2063">
        <f>VLOOKUP(H17865,indexy!$C$44:$D$823,2,FALSE)</f>
        <v>486.3</v>
      </c>
      <c r="E17865" s="2052">
        <f t="shared" si="290"/>
        <v>0.24820328542094461</v>
      </c>
      <c r="F17865" s="2044">
        <f t="shared" si="291"/>
        <v>0.05</v>
      </c>
      <c r="G17865" s="78"/>
      <c r="H17865" t="str">
        <f>VLOOKUP(B17865,indexy!$A$44:$D$823,3,FALSE)</f>
        <v>ZURN SE Equity</v>
      </c>
      <c r="K17865" s="425"/>
    </row>
    <row r="17866" spans="1:11" hidden="1" outlineLevel="1" x14ac:dyDescent="0.25">
      <c r="A17866" s="2116" t="s">
        <v>2465</v>
      </c>
      <c r="B17866" s="2117"/>
      <c r="C17866" s="2118"/>
      <c r="D17866" s="2119"/>
      <c r="E17866" s="2120">
        <f>SUMPRODUCT(A17836:A17865,E17836:E17865)</f>
        <v>3.325185017222608E-2</v>
      </c>
      <c r="F17866" s="2116">
        <f>SUMPRODUCT(A17836:A17865,F17836:F17865)</f>
        <v>-7.1163221552415307E-2</v>
      </c>
      <c r="G17866" s="78"/>
    </row>
    <row r="17867" spans="1:11" hidden="1" outlineLevel="1" x14ac:dyDescent="0.25">
      <c r="A17867" s="2121"/>
      <c r="B17867" s="2122"/>
      <c r="C17867" s="2122"/>
      <c r="D17867" s="2122"/>
      <c r="E17867" s="2122"/>
      <c r="F17867" s="2057"/>
      <c r="G17867" s="78"/>
    </row>
    <row r="17868" spans="1:11" hidden="1" outlineLevel="1" x14ac:dyDescent="0.25">
      <c r="A17868" s="2123" t="s">
        <v>113</v>
      </c>
      <c r="B17868" s="2123"/>
      <c r="C17868" s="2124"/>
      <c r="D17868" s="2124"/>
      <c r="E17868" s="2125"/>
      <c r="F17868" s="2047"/>
      <c r="G17868" s="78"/>
    </row>
    <row r="17869" spans="1:11" hidden="1" outlineLevel="1" x14ac:dyDescent="0.25">
      <c r="A17869" s="2126" t="s">
        <v>10178</v>
      </c>
      <c r="B17869" s="2127"/>
      <c r="C17869" s="2128"/>
      <c r="D17869" s="2128"/>
      <c r="E17869" s="2129"/>
      <c r="F17869" s="2041">
        <v>1.4999999999999999E-2</v>
      </c>
      <c r="G17869" s="78"/>
    </row>
    <row r="17870" spans="1:11" hidden="1" outlineLevel="1" x14ac:dyDescent="0.25">
      <c r="A17870" s="2126" t="s">
        <v>10179</v>
      </c>
      <c r="B17870" s="2130"/>
      <c r="C17870" s="2131"/>
      <c r="D17870" s="2131"/>
      <c r="E17870" s="3463">
        <v>-7.7078000000000063E-2</v>
      </c>
      <c r="F17870" s="2044">
        <v>0</v>
      </c>
      <c r="G17870" s="78"/>
      <c r="J17870" s="31"/>
    </row>
    <row r="17871" spans="1:11" hidden="1" outlineLevel="1" x14ac:dyDescent="0.25">
      <c r="A17871" s="2126" t="s">
        <v>10180</v>
      </c>
      <c r="B17871" s="2130"/>
      <c r="C17871" s="2131"/>
      <c r="D17871" s="2131"/>
      <c r="E17871" s="2132">
        <v>-0.13619999999999999</v>
      </c>
      <c r="F17871" s="2044">
        <v>0</v>
      </c>
      <c r="G17871" s="78"/>
    </row>
    <row r="17872" spans="1:11" hidden="1" outlineLevel="1" x14ac:dyDescent="0.25">
      <c r="A17872" s="2126" t="s">
        <v>10181</v>
      </c>
      <c r="B17872" s="2130"/>
      <c r="C17872" s="2131"/>
      <c r="D17872" s="2131"/>
      <c r="E17872" s="2132"/>
      <c r="F17872" s="2044"/>
      <c r="G17872" s="78"/>
    </row>
    <row r="17873" spans="1:8" hidden="1" outlineLevel="1" x14ac:dyDescent="0.25">
      <c r="A17873" s="2126" t="s">
        <v>10182</v>
      </c>
      <c r="B17873" s="2133"/>
      <c r="C17873" s="2125"/>
      <c r="D17873" s="2125"/>
      <c r="E17873" s="2134"/>
      <c r="F17873" s="2047"/>
      <c r="G17873" s="78"/>
    </row>
    <row r="17874" spans="1:8" collapsed="1" x14ac:dyDescent="0.25">
      <c r="A17874" s="3904" t="s">
        <v>10177</v>
      </c>
      <c r="B17874" s="3905"/>
      <c r="C17874" s="3905"/>
      <c r="D17874" s="142"/>
      <c r="E17874" s="142"/>
      <c r="F17874" s="190">
        <f>SUM(F17869:F17873)</f>
        <v>1.4999999999999999E-2</v>
      </c>
      <c r="G17874" s="78"/>
    </row>
    <row r="17876" spans="1:8" ht="12.75" hidden="1" customHeight="1" outlineLevel="1" x14ac:dyDescent="0.25">
      <c r="A17876" s="15" t="s">
        <v>113</v>
      </c>
      <c r="B17876" s="15" t="s">
        <v>114</v>
      </c>
      <c r="C17876" s="15" t="s">
        <v>112</v>
      </c>
      <c r="D17876" s="15" t="s">
        <v>116</v>
      </c>
      <c r="E17876" s="15" t="s">
        <v>117</v>
      </c>
      <c r="F17876" s="1882" t="s">
        <v>121</v>
      </c>
      <c r="G17876" s="78"/>
    </row>
    <row r="17877" spans="1:8" ht="12.75" hidden="1" customHeight="1" outlineLevel="1" x14ac:dyDescent="0.25">
      <c r="A17877" s="4">
        <v>1</v>
      </c>
      <c r="B17877" s="5" t="s">
        <v>252</v>
      </c>
      <c r="C17877" s="6">
        <v>100</v>
      </c>
      <c r="D17877" s="6"/>
      <c r="E17877" s="9"/>
      <c r="F17877" s="10"/>
      <c r="G17877" s="78"/>
    </row>
    <row r="17878" spans="1:8" ht="12.75" hidden="1" customHeight="1" outlineLevel="1" x14ac:dyDescent="0.25">
      <c r="A17878" s="21" t="s">
        <v>2734</v>
      </c>
      <c r="B17878" s="21"/>
      <c r="C17878" s="11"/>
      <c r="D17878" s="32" t="s">
        <v>3702</v>
      </c>
      <c r="E17878" s="33">
        <f>indexy!$B$2</f>
        <v>45379</v>
      </c>
      <c r="F17878" s="38"/>
      <c r="G17878" s="78"/>
    </row>
    <row r="17879" spans="1:8" ht="12.75" hidden="1" customHeight="1" outlineLevel="1" x14ac:dyDescent="0.25">
      <c r="A17879" s="2606" t="s">
        <v>4156</v>
      </c>
      <c r="B17879" s="2606" t="s">
        <v>4153</v>
      </c>
      <c r="C17879" s="2607" t="s">
        <v>112</v>
      </c>
      <c r="D17879" s="2608" t="s">
        <v>4155</v>
      </c>
      <c r="E17879" s="2608" t="s">
        <v>4154</v>
      </c>
      <c r="F17879" s="2609" t="s">
        <v>2519</v>
      </c>
      <c r="G17879" s="78"/>
    </row>
    <row r="17880" spans="1:8" ht="12.75" hidden="1" customHeight="1" outlineLevel="1" x14ac:dyDescent="0.25">
      <c r="A17880" s="2034">
        <v>0.02</v>
      </c>
      <c r="B17880" s="2035" t="s">
        <v>802</v>
      </c>
      <c r="C17880" s="2037">
        <v>9.2149999999999999</v>
      </c>
      <c r="D17880" s="2039">
        <f>VLOOKUP($H17880,indexy!$C$44:$D$823,2,FALSE)</f>
        <v>19.690000000000001</v>
      </c>
      <c r="E17880" s="2040">
        <f>$D17880/$C17880-1</f>
        <v>1.136733586543679</v>
      </c>
      <c r="F17880" s="2041">
        <f>$E17880*$A17880</f>
        <v>2.2734671730873578E-2</v>
      </c>
      <c r="G17880" s="78"/>
      <c r="H17880" t="str">
        <f>VLOOKUP(B17880,indexy!$A$44:$D$823,3,FALSE)</f>
        <v>NLY UN Equity</v>
      </c>
    </row>
    <row r="17881" spans="1:8" ht="12.75" hidden="1" customHeight="1" outlineLevel="1" x14ac:dyDescent="0.25">
      <c r="A17881" s="1911">
        <v>0.08</v>
      </c>
      <c r="B17881" s="2035" t="s">
        <v>2697</v>
      </c>
      <c r="C17881" s="2037">
        <v>18.739000000000001</v>
      </c>
      <c r="D17881" s="2042">
        <f>VLOOKUP(H17881,indexy!$C$44:$D$823,2,FALSE)</f>
        <v>23.46</v>
      </c>
      <c r="E17881" s="2043">
        <f t="shared" ref="E17881:E17909" si="292">$D17881/$C17881-1</f>
        <v>0.25193446822135646</v>
      </c>
      <c r="F17881" s="2044">
        <f t="shared" ref="F17881:F17908" si="293">$E17881*$A17881</f>
        <v>2.0154757457708516E-2</v>
      </c>
      <c r="G17881" s="78"/>
      <c r="H17881" t="str">
        <f>VLOOKUP(B17881,indexy!$A$44:$D$823,3,FALSE)</f>
        <v>G IM Equity</v>
      </c>
    </row>
    <row r="17882" spans="1:8" ht="12.75" hidden="1" customHeight="1" outlineLevel="1" x14ac:dyDescent="0.25">
      <c r="A17882" s="1911">
        <v>0.02</v>
      </c>
      <c r="B17882" s="2035" t="s">
        <v>5745</v>
      </c>
      <c r="C17882" s="2037">
        <v>25.04</v>
      </c>
      <c r="D17882" s="2042">
        <f>VLOOKUP(H17882,indexy!$C$44:$D$823,2,FALSE)</f>
        <v>29.4</v>
      </c>
      <c r="E17882" s="2043">
        <f t="shared" si="292"/>
        <v>0.17412140575079871</v>
      </c>
      <c r="F17882" s="2044">
        <f t="shared" si="293"/>
        <v>3.4824281150159743E-3</v>
      </c>
      <c r="G17882" s="78"/>
      <c r="H17882" t="str">
        <f>VLOOKUP(B17882,indexy!$A$44:$D$823,3,FALSE)</f>
        <v>ANZ AT Equity</v>
      </c>
    </row>
    <row r="17883" spans="1:8" ht="12.75" hidden="1" customHeight="1" outlineLevel="1" x14ac:dyDescent="0.25">
      <c r="A17883" s="1911">
        <v>0.02</v>
      </c>
      <c r="B17883" s="2035" t="s">
        <v>218</v>
      </c>
      <c r="C17883" s="2037">
        <v>25.013500000000001</v>
      </c>
      <c r="D17883" s="2042">
        <f>VLOOKUP(H17883,indexy!$C$44:$D$823,2,FALSE)</f>
        <v>34.814999999999998</v>
      </c>
      <c r="E17883" s="2043">
        <f t="shared" si="292"/>
        <v>0.39184840186299397</v>
      </c>
      <c r="F17883" s="2044">
        <f t="shared" si="293"/>
        <v>7.8369680372598789E-3</v>
      </c>
      <c r="G17883" s="78"/>
      <c r="H17883" t="str">
        <f>VLOOKUP(B17883,indexy!$A$44:$D$823,3,FALSE)</f>
        <v>CS FP Equity</v>
      </c>
    </row>
    <row r="17884" spans="1:8" ht="12.75" hidden="1" customHeight="1" outlineLevel="1" x14ac:dyDescent="0.25">
      <c r="A17884" s="1911">
        <v>7.0000000000000007E-2</v>
      </c>
      <c r="B17884" s="2035" t="s">
        <v>807</v>
      </c>
      <c r="C17884" s="2037">
        <v>63.895000000000003</v>
      </c>
      <c r="D17884" s="2042">
        <f>VLOOKUP(H17884,indexy!$C$44:$D$823,2,FALSE)</f>
        <v>46.03</v>
      </c>
      <c r="E17884" s="2043">
        <f t="shared" si="292"/>
        <v>-0.27959934267157061</v>
      </c>
      <c r="F17884" s="2044">
        <f t="shared" si="293"/>
        <v>-1.9571953987009946E-2</v>
      </c>
      <c r="G17884" s="78"/>
      <c r="H17884" t="str">
        <f>VLOOKUP(B17884,indexy!$A$44:$D$823,3,FALSE)</f>
        <v>BCE CT Equity</v>
      </c>
    </row>
    <row r="17885" spans="1:8" ht="12.75" hidden="1" customHeight="1" outlineLevel="1" x14ac:dyDescent="0.25">
      <c r="A17885" s="1911">
        <v>0.02</v>
      </c>
      <c r="B17885" s="2035" t="s">
        <v>3954</v>
      </c>
      <c r="C17885" s="2037">
        <f>115.288/2</f>
        <v>57.643999999999998</v>
      </c>
      <c r="D17885" s="2042">
        <f>VLOOKUP(H17885,indexy!$C$44:$D$823,2,FALSE)</f>
        <v>68.67</v>
      </c>
      <c r="E17885" s="2043">
        <f t="shared" si="292"/>
        <v>0.19127749635694968</v>
      </c>
      <c r="F17885" s="2044">
        <f t="shared" si="293"/>
        <v>3.8255499271389938E-3</v>
      </c>
      <c r="G17885" s="78"/>
      <c r="H17885" t="str">
        <f>VLOOKUP(B17885,indexy!$A$44:$D$823,3,FALSE)</f>
        <v>CM CT Equity</v>
      </c>
    </row>
    <row r="17886" spans="1:8" ht="12.75" hidden="1" customHeight="1" outlineLevel="1" x14ac:dyDescent="0.25">
      <c r="A17886" s="1911">
        <v>0.02</v>
      </c>
      <c r="B17886" s="2035" t="s">
        <v>951</v>
      </c>
      <c r="C17886" s="2037">
        <v>3012</v>
      </c>
      <c r="D17886" s="2042">
        <f>VLOOKUP(H17886,indexy!$C$44:$D$823,2,FALSE)</f>
        <v>4501</v>
      </c>
      <c r="E17886" s="2043">
        <f t="shared" si="292"/>
        <v>0.49435590969455512</v>
      </c>
      <c r="F17886" s="2044">
        <f t="shared" si="293"/>
        <v>9.8871181938911031E-3</v>
      </c>
      <c r="G17886" s="78"/>
      <c r="H17886" t="str">
        <f>VLOOKUP(B17886,indexy!$A$44:$D$823,3,FALSE)</f>
        <v>7751 JT Equity</v>
      </c>
    </row>
    <row r="17887" spans="1:8" ht="12.75" hidden="1" customHeight="1" outlineLevel="1" x14ac:dyDescent="0.25">
      <c r="A17887" s="1911">
        <v>0.03</v>
      </c>
      <c r="B17887" s="2035" t="s">
        <v>8678</v>
      </c>
      <c r="C17887" s="2037">
        <v>80.415000000000006</v>
      </c>
      <c r="D17887" s="2042">
        <f>VLOOKUP(H17887,indexy!$C$44:$D$823,2,FALSE)</f>
        <v>120.34</v>
      </c>
      <c r="E17887" s="2043">
        <f t="shared" si="292"/>
        <v>0.49648697382329154</v>
      </c>
      <c r="F17887" s="2044">
        <f t="shared" si="293"/>
        <v>1.4894609214698746E-2</v>
      </c>
      <c r="G17887" s="78"/>
      <c r="H17887" t="str">
        <f>VLOOKUP(B17887,indexy!$A$44:$D$823,3,FALSE)</f>
        <v>CBA AT Equity</v>
      </c>
    </row>
    <row r="17888" spans="1:8" ht="12.75" hidden="1" customHeight="1" outlineLevel="1" x14ac:dyDescent="0.25">
      <c r="A17888" s="1911">
        <v>0.08</v>
      </c>
      <c r="B17888" s="2035" t="s">
        <v>9171</v>
      </c>
      <c r="C17888" s="2037">
        <v>24.324999999999999</v>
      </c>
      <c r="D17888" s="2042">
        <f>VLOOKUP(H17888,indexy!$C$44:$D$823,2,FALSE)</f>
        <v>17.164999999999999</v>
      </c>
      <c r="E17888" s="2043">
        <f t="shared" si="292"/>
        <v>-0.29434737923946563</v>
      </c>
      <c r="F17888" s="2044">
        <f t="shared" si="293"/>
        <v>-2.354779033915725E-2</v>
      </c>
      <c r="G17888" s="78"/>
      <c r="H17888" t="str">
        <f>VLOOKUP(B17888,indexy!$A$44:$D$823,3,FALSE)</f>
        <v>ELE SQ Equity</v>
      </c>
    </row>
    <row r="17889" spans="1:8" ht="12.75" hidden="1" customHeight="1" outlineLevel="1" x14ac:dyDescent="0.25">
      <c r="A17889" s="1911">
        <v>0.04</v>
      </c>
      <c r="B17889" s="2035" t="s">
        <v>3798</v>
      </c>
      <c r="C17889" s="2037">
        <v>6.8432000000000004</v>
      </c>
      <c r="D17889" s="2042">
        <f>VLOOKUP(H17889,indexy!$C$44:$D$823,2,FALSE)</f>
        <v>6.1189999999999998</v>
      </c>
      <c r="E17889" s="2043">
        <f t="shared" si="292"/>
        <v>-0.10582768295534262</v>
      </c>
      <c r="F17889" s="2044">
        <f t="shared" si="293"/>
        <v>-4.2331073182137044E-3</v>
      </c>
      <c r="G17889" s="78"/>
      <c r="H17889" t="str">
        <f>VLOOKUP(B17889,indexy!$A$44:$D$823,3,FALSE)</f>
        <v>ENEL IM Equity</v>
      </c>
    </row>
    <row r="17890" spans="1:8" ht="12.75" hidden="1" customHeight="1" outlineLevel="1" x14ac:dyDescent="0.25">
      <c r="A17890" s="1911">
        <v>0.03</v>
      </c>
      <c r="B17890" s="2035" t="s">
        <v>2701</v>
      </c>
      <c r="C17890" s="2037">
        <v>3.6875</v>
      </c>
      <c r="D17890" s="2042">
        <f>VLOOKUP(H17890,indexy!$C$44:$D$823,2,FALSE)</f>
        <v>3.61</v>
      </c>
      <c r="E17890" s="2043">
        <f t="shared" si="292"/>
        <v>-2.1016949152542375E-2</v>
      </c>
      <c r="F17890" s="2044">
        <f t="shared" si="293"/>
        <v>-6.3050847457627119E-4</v>
      </c>
      <c r="G17890" s="78"/>
      <c r="H17890" t="str">
        <f>VLOOKUP(B17890,indexy!$A$44:$D$823,3,FALSE)</f>
        <v>EDP PL Equity</v>
      </c>
    </row>
    <row r="17891" spans="1:8" ht="12.75" hidden="1" customHeight="1" outlineLevel="1" x14ac:dyDescent="0.25">
      <c r="A17891" s="1911">
        <v>0.02</v>
      </c>
      <c r="B17891" s="2035" t="s">
        <v>4338</v>
      </c>
      <c r="C17891" s="2037">
        <v>14.231999999999999</v>
      </c>
      <c r="D17891" s="2042">
        <f>VLOOKUP(H17891,indexy!$C$44:$D$823,2,FALSE)</f>
        <v>15.51</v>
      </c>
      <c r="E17891" s="2043">
        <f t="shared" si="292"/>
        <v>8.9797639123103012E-2</v>
      </c>
      <c r="F17891" s="2044">
        <f t="shared" si="293"/>
        <v>1.7959527824620604E-3</v>
      </c>
      <c r="G17891" s="78"/>
      <c r="H17891" t="str">
        <f>VLOOKUP(B17891,indexy!$A$44:$D$823,3,FALSE)</f>
        <v>ENGI FP Equity</v>
      </c>
    </row>
    <row r="17892" spans="1:8" ht="12.75" hidden="1" customHeight="1" outlineLevel="1" x14ac:dyDescent="0.25">
      <c r="A17892" s="1911">
        <v>0.02</v>
      </c>
      <c r="B17892" s="2035" t="s">
        <v>3799</v>
      </c>
      <c r="C17892" s="2038">
        <v>17.232199999999999</v>
      </c>
      <c r="D17892" s="2042">
        <f>VLOOKUP(H17892,indexy!$C$44:$D$823,2,FALSE)/100</f>
        <v>17.085999999999999</v>
      </c>
      <c r="E17892" s="2043">
        <f t="shared" si="292"/>
        <v>-8.4841169438609754E-3</v>
      </c>
      <c r="F17892" s="2044">
        <f t="shared" si="293"/>
        <v>-1.6968233887721952E-4</v>
      </c>
      <c r="G17892" s="78"/>
      <c r="H17892" t="str">
        <f>VLOOKUP(B17892,indexy!$A$44:$D$823,3,FALSE)</f>
        <v>GSK LN Equity</v>
      </c>
    </row>
    <row r="17893" spans="1:8" ht="12.75" hidden="1" customHeight="1" outlineLevel="1" x14ac:dyDescent="0.25">
      <c r="A17893" s="1911">
        <v>0.02</v>
      </c>
      <c r="B17893" s="2035" t="s">
        <v>6902</v>
      </c>
      <c r="C17893" s="2037">
        <v>2.7907999999999999</v>
      </c>
      <c r="D17893" s="2042">
        <f>VLOOKUP(H17893,indexy!$C$44:$D$823,2,FALSE)/100</f>
        <v>2.544</v>
      </c>
      <c r="E17893" s="2043">
        <f t="shared" si="292"/>
        <v>-8.8433424107782654E-2</v>
      </c>
      <c r="F17893" s="2044">
        <f t="shared" si="293"/>
        <v>-1.7686684821556532E-3</v>
      </c>
      <c r="G17893" s="78"/>
      <c r="H17893" t="str">
        <f>VLOOKUP(B17893,indexy!$A$44:$D$823,3,FALSE)</f>
        <v>LGEN LN Equity</v>
      </c>
    </row>
    <row r="17894" spans="1:8" ht="12.75" hidden="1" customHeight="1" outlineLevel="1" x14ac:dyDescent="0.25">
      <c r="A17894" s="1911">
        <v>0.02</v>
      </c>
      <c r="B17894" s="2035" t="s">
        <v>8336</v>
      </c>
      <c r="C17894" s="2037">
        <v>26.582000000000001</v>
      </c>
      <c r="D17894" s="2042">
        <f>VLOOKUP(H17894,indexy!$C$44:$D$823,2,FALSE)</f>
        <v>34.64</v>
      </c>
      <c r="E17894" s="2043">
        <f t="shared" si="292"/>
        <v>0.30313746144007214</v>
      </c>
      <c r="F17894" s="2044">
        <f t="shared" si="293"/>
        <v>6.0627492288014432E-3</v>
      </c>
      <c r="G17894" s="78"/>
      <c r="H17894" t="str">
        <f>VLOOKUP(B17894,indexy!$A$44:$D$823,3,FALSE)</f>
        <v>NAB AT Equity</v>
      </c>
    </row>
    <row r="17895" spans="1:8" ht="12.75" hidden="1" customHeight="1" outlineLevel="1" x14ac:dyDescent="0.25">
      <c r="A17895" s="1911">
        <v>0.05</v>
      </c>
      <c r="B17895" s="2035" t="s">
        <v>9767</v>
      </c>
      <c r="C17895" s="2037">
        <v>23.696999999999999</v>
      </c>
      <c r="D17895" s="2042">
        <f>VLOOKUP(H17895,indexy!$C$44:$D$823,2,FALSE)</f>
        <v>20.100000000000001</v>
      </c>
      <c r="E17895" s="2043">
        <f t="shared" si="292"/>
        <v>-0.15179136599569554</v>
      </c>
      <c r="F17895" s="2044">
        <f t="shared" si="293"/>
        <v>-7.5895682997847774E-3</v>
      </c>
      <c r="G17895" s="78"/>
      <c r="H17895" t="str">
        <f>VLOOKUP(B17895,indexy!$A$44:$D$823,3,FALSE)</f>
        <v>NTGY SQ Equity</v>
      </c>
    </row>
    <row r="17896" spans="1:8" ht="12.75" hidden="1" customHeight="1" outlineLevel="1" x14ac:dyDescent="0.25">
      <c r="A17896" s="1911">
        <v>0.03</v>
      </c>
      <c r="B17896" s="2035" t="s">
        <v>5824</v>
      </c>
      <c r="C17896" s="2037">
        <v>14.792</v>
      </c>
      <c r="D17896" s="2042">
        <f>VLOOKUP(H17896,indexy!$C$44:$D$823,2,FALSE)</f>
        <v>10.888</v>
      </c>
      <c r="E17896" s="2043">
        <f t="shared" si="292"/>
        <v>-0.26392644672796106</v>
      </c>
      <c r="F17896" s="2044">
        <f t="shared" si="293"/>
        <v>-7.9177934018388324E-3</v>
      </c>
      <c r="G17896" s="78"/>
      <c r="H17896" t="str">
        <f>VLOOKUP(B17896,indexy!$A$44:$D$823,3,FALSE)</f>
        <v>ORA FP Equity</v>
      </c>
    </row>
    <row r="17897" spans="1:8" ht="12.75" hidden="1" customHeight="1" outlineLevel="1" x14ac:dyDescent="0.25">
      <c r="A17897" s="1911">
        <v>0.02</v>
      </c>
      <c r="B17897" s="2035" t="s">
        <v>2769</v>
      </c>
      <c r="C17897" s="2037">
        <v>33.869</v>
      </c>
      <c r="D17897" s="2042">
        <f>VLOOKUP(H17897,indexy!$C$44:$D$823,2,FALSE)</f>
        <v>27.53</v>
      </c>
      <c r="E17897" s="2043">
        <f t="shared" si="292"/>
        <v>-0.18716230180991467</v>
      </c>
      <c r="F17897" s="2044">
        <f t="shared" si="293"/>
        <v>-3.7432460361982935E-3</v>
      </c>
      <c r="G17897" s="78"/>
      <c r="H17897" t="str">
        <f>VLOOKUP(B17897,indexy!$A$44:$D$823,3,FALSE)</f>
        <v>PPL UN Equity</v>
      </c>
    </row>
    <row r="17898" spans="1:8" ht="12.75" hidden="1" customHeight="1" outlineLevel="1" x14ac:dyDescent="0.25">
      <c r="A17898" s="1911">
        <v>0.02</v>
      </c>
      <c r="B17898" s="2035" t="s">
        <v>5629</v>
      </c>
      <c r="C17898" s="2037">
        <v>17.262499999999999</v>
      </c>
      <c r="D17898" s="2042">
        <f>VLOOKUP(H17898,indexy!$C$44:$D$823,2,FALSE)</f>
        <v>15.805</v>
      </c>
      <c r="E17898" s="2043">
        <f t="shared" si="292"/>
        <v>-8.4431571325126686E-2</v>
      </c>
      <c r="F17898" s="2044">
        <f t="shared" si="293"/>
        <v>-1.6886314265025337E-3</v>
      </c>
      <c r="G17898" s="78"/>
      <c r="H17898" t="str">
        <f>VLOOKUP(B17898,indexy!$A$44:$D$823,3,FALSE)</f>
        <v>REE SQ Equity</v>
      </c>
    </row>
    <row r="17899" spans="1:8" ht="12.75" hidden="1" customHeight="1" outlineLevel="1" x14ac:dyDescent="0.25">
      <c r="A17899" s="1911">
        <v>0.02</v>
      </c>
      <c r="B17899" s="2035" t="s">
        <v>5205</v>
      </c>
      <c r="C17899" s="2037">
        <v>22.712</v>
      </c>
      <c r="D17899" s="2042">
        <f>VLOOKUP(H17899,indexy!$C$44:$D$823,2,FALSE)/100</f>
        <v>18.952000000000002</v>
      </c>
      <c r="E17899" s="2043">
        <f t="shared" si="292"/>
        <v>-0.16555125044029584</v>
      </c>
      <c r="F17899" s="2044">
        <f t="shared" si="293"/>
        <v>-3.3110250088059169E-3</v>
      </c>
      <c r="G17899" s="78"/>
      <c r="H17899" t="str">
        <f>VLOOKUP(B17899,indexy!$A$44:$D$823,3,FALSE)</f>
        <v>RDSA LN Equity</v>
      </c>
    </row>
    <row r="17900" spans="1:8" ht="12.75" hidden="1" customHeight="1" outlineLevel="1" x14ac:dyDescent="0.25">
      <c r="A17900" s="1911">
        <v>0.02</v>
      </c>
      <c r="B17900" s="2035" t="s">
        <v>6270</v>
      </c>
      <c r="C17900" s="2037">
        <v>37.048999999999999</v>
      </c>
      <c r="D17900" s="2042">
        <f>VLOOKUP(H17900,indexy!$C$44:$D$823,2,FALSE)</f>
        <v>39.515000000000001</v>
      </c>
      <c r="E17900" s="2043">
        <f t="shared" si="292"/>
        <v>6.6560500958190438E-2</v>
      </c>
      <c r="F17900" s="2044">
        <f t="shared" si="293"/>
        <v>1.3312100191638088E-3</v>
      </c>
      <c r="G17900" s="78"/>
      <c r="H17900" t="str">
        <f>VLOOKUP(B17900,indexy!$A$44:$D$823,3,FALSE)</f>
        <v>SAMPO FH Equity</v>
      </c>
    </row>
    <row r="17901" spans="1:8" ht="12.75" hidden="1" customHeight="1" outlineLevel="1" x14ac:dyDescent="0.25">
      <c r="A17901" s="1911">
        <v>0.03</v>
      </c>
      <c r="B17901" s="2035" t="s">
        <v>6116</v>
      </c>
      <c r="C17901" s="2037">
        <v>4.5296000000000003</v>
      </c>
      <c r="D17901" s="2042">
        <f>VLOOKUP(H17901,indexy!$C$44:$D$823,2,FALSE)</f>
        <v>4.3760000000000003</v>
      </c>
      <c r="E17901" s="2043">
        <f t="shared" si="292"/>
        <v>-3.3910279053337988E-2</v>
      </c>
      <c r="F17901" s="2044">
        <f t="shared" si="293"/>
        <v>-1.0173083716001395E-3</v>
      </c>
      <c r="G17901" s="78"/>
      <c r="H17901" t="str">
        <f>VLOOKUP(B17901,indexy!$A$44:$D$823,3,FALSE)</f>
        <v>SRG IM Equity</v>
      </c>
    </row>
    <row r="17902" spans="1:8" ht="12.75" hidden="1" customHeight="1" outlineLevel="1" x14ac:dyDescent="0.25">
      <c r="A17902" s="1911">
        <v>0.08</v>
      </c>
      <c r="B17902" s="2035" t="s">
        <v>6118</v>
      </c>
      <c r="C17902" s="2037">
        <v>106.375</v>
      </c>
      <c r="D17902" s="2042">
        <f>VLOOKUP(H17902,indexy!$C$44:$D$823,2,FALSE)</f>
        <v>115.95</v>
      </c>
      <c r="E17902" s="2043">
        <f t="shared" si="292"/>
        <v>9.0011750881316077E-2</v>
      </c>
      <c r="F17902" s="2044">
        <f t="shared" si="293"/>
        <v>7.2009400705052859E-3</v>
      </c>
      <c r="G17902" s="78"/>
      <c r="H17902" t="str">
        <f>VLOOKUP(B17902,indexy!$A$44:$D$823,3,FALSE)</f>
        <v>SREN SE Equity</v>
      </c>
    </row>
    <row r="17903" spans="1:8" ht="12.75" hidden="1" customHeight="1" outlineLevel="1" x14ac:dyDescent="0.25">
      <c r="A17903" s="1911">
        <v>0.03</v>
      </c>
      <c r="B17903" s="2035" t="s">
        <v>8530</v>
      </c>
      <c r="C17903" s="2037">
        <v>9.0009999999999994</v>
      </c>
      <c r="D17903" s="2042">
        <f>VLOOKUP(H17903,indexy!$C$44:$D$823,2,FALSE)</f>
        <v>8.7200000000000006</v>
      </c>
      <c r="E17903" s="2043">
        <f t="shared" si="292"/>
        <v>-3.1218753471836336E-2</v>
      </c>
      <c r="F17903" s="2044">
        <f t="shared" si="293"/>
        <v>-9.3656260415509005E-4</v>
      </c>
      <c r="G17903" s="78"/>
      <c r="H17903" t="str">
        <f>VLOOKUP(B17903,indexy!$A$44:$D$823,3,FALSE)</f>
        <v>SYD AT Equity</v>
      </c>
    </row>
    <row r="17904" spans="1:8" ht="12.75" hidden="1" customHeight="1" outlineLevel="1" x14ac:dyDescent="0.25">
      <c r="A17904" s="1911">
        <v>0.02</v>
      </c>
      <c r="B17904" s="2035" t="s">
        <v>577</v>
      </c>
      <c r="C17904" s="2037">
        <v>6.7394999999999996</v>
      </c>
      <c r="D17904" s="2042">
        <f>VLOOKUP(H17904,indexy!$C$44:$D$823,2,FALSE)</f>
        <v>4.0890000000000004</v>
      </c>
      <c r="E17904" s="2043">
        <f t="shared" si="292"/>
        <v>-0.39327843311818378</v>
      </c>
      <c r="F17904" s="2044">
        <f t="shared" si="293"/>
        <v>-7.8655686623636759E-3</v>
      </c>
      <c r="G17904" s="78"/>
      <c r="H17904" t="str">
        <f>VLOOKUP(B17904,indexy!$A$44:$D$823,3,FALSE)</f>
        <v>TEF SQ Equity</v>
      </c>
    </row>
    <row r="17905" spans="1:8" ht="12.75" hidden="1" customHeight="1" outlineLevel="1" x14ac:dyDescent="0.25">
      <c r="A17905" s="1911">
        <v>0.03</v>
      </c>
      <c r="B17905" s="2035" t="s">
        <v>434</v>
      </c>
      <c r="C17905" s="2037">
        <v>41.945</v>
      </c>
      <c r="D17905" s="2042">
        <f>VLOOKUP(H17905,indexy!$C$44:$D$823,2,FALSE)</f>
        <v>27.43</v>
      </c>
      <c r="E17905" s="2043">
        <f t="shared" si="292"/>
        <v>-0.34604839670997734</v>
      </c>
      <c r="F17905" s="2044">
        <f t="shared" si="293"/>
        <v>-1.038145190129932E-2</v>
      </c>
      <c r="G17905" s="78"/>
      <c r="H17905" t="str">
        <f>VLOOKUP(B17905,indexy!$A$44:$D$823,3,FALSE)</f>
        <v>TELIA SS Equity</v>
      </c>
    </row>
    <row r="17906" spans="1:8" ht="12.75" hidden="1" customHeight="1" outlineLevel="1" x14ac:dyDescent="0.25">
      <c r="A17906" s="1911">
        <v>0.02</v>
      </c>
      <c r="B17906" s="2035" t="s">
        <v>10633</v>
      </c>
      <c r="C17906" s="2037">
        <v>48.6965</v>
      </c>
      <c r="D17906" s="2042">
        <f>VLOOKUP(H17906,indexy!$C$44:$D$823,2,FALSE)</f>
        <v>63.47</v>
      </c>
      <c r="E17906" s="2043">
        <f t="shared" si="292"/>
        <v>0.30337909295329224</v>
      </c>
      <c r="F17906" s="2044">
        <f t="shared" si="293"/>
        <v>6.0675818590658452E-3</v>
      </c>
      <c r="G17906" s="78"/>
      <c r="H17906" t="str">
        <f>VLOOKUP(B17906,indexy!$A$44:$D$823,3,FALSE)</f>
        <v>TTE FP Equity</v>
      </c>
    </row>
    <row r="17907" spans="1:8" ht="12.75" hidden="1" customHeight="1" outlineLevel="1" x14ac:dyDescent="0.25">
      <c r="A17907" s="1911">
        <v>0.02</v>
      </c>
      <c r="B17907" s="2035" t="s">
        <v>5522</v>
      </c>
      <c r="C17907" s="2037">
        <v>42.188000000000002</v>
      </c>
      <c r="D17907" s="2042">
        <f>VLOOKUP(H17907,indexy!$C$44:$D$823,2,FALSE)</f>
        <v>68.400000000000006</v>
      </c>
      <c r="E17907" s="2043">
        <f t="shared" si="292"/>
        <v>0.62131411775860435</v>
      </c>
      <c r="F17907" s="2044">
        <f t="shared" si="293"/>
        <v>1.2426282355172086E-2</v>
      </c>
      <c r="G17907" s="78"/>
      <c r="H17907" t="str">
        <f>VLOOKUP(B17907,indexy!$A$44:$D$823,3,FALSE)</f>
        <v>WES AT Equity</v>
      </c>
    </row>
    <row r="17908" spans="1:8" ht="12.75" hidden="1" customHeight="1" outlineLevel="1" x14ac:dyDescent="0.25">
      <c r="A17908" s="1911">
        <v>0.02</v>
      </c>
      <c r="B17908" s="2035" t="s">
        <v>5626</v>
      </c>
      <c r="C17908" s="2037">
        <v>25.404</v>
      </c>
      <c r="D17908" s="2042">
        <f>VLOOKUP(H17908,indexy!$C$44:$D$823,2,FALSE)</f>
        <v>26.1</v>
      </c>
      <c r="E17908" s="2043">
        <f t="shared" si="292"/>
        <v>2.7397260273972712E-2</v>
      </c>
      <c r="F17908" s="2044">
        <f t="shared" si="293"/>
        <v>5.4794520547945429E-4</v>
      </c>
      <c r="G17908" s="78"/>
      <c r="H17908" t="str">
        <f>VLOOKUP(B17908,indexy!$A$44:$D$823,3,FALSE)</f>
        <v>WBC AT Equity</v>
      </c>
    </row>
    <row r="17909" spans="1:8" ht="12.75" hidden="1" customHeight="1" outlineLevel="1" x14ac:dyDescent="0.25">
      <c r="A17909" s="1911">
        <v>0.08</v>
      </c>
      <c r="B17909" s="2036" t="s">
        <v>4550</v>
      </c>
      <c r="C17909" s="2037">
        <v>391.73</v>
      </c>
      <c r="D17909" s="2045">
        <f>VLOOKUP(H17909,indexy!$C$44:$D$823,2,FALSE)</f>
        <v>486.3</v>
      </c>
      <c r="E17909" s="2046">
        <f t="shared" si="292"/>
        <v>0.24141628162254603</v>
      </c>
      <c r="F17909" s="2047">
        <f>$E17909*$A17909</f>
        <v>1.9313302529803681E-2</v>
      </c>
      <c r="G17909" s="78"/>
      <c r="H17909" t="str">
        <f>VLOOKUP(B17909,indexy!$A$44:$D$823,3,FALSE)</f>
        <v>ZURN SE Equity</v>
      </c>
    </row>
    <row r="17910" spans="1:8" ht="12.75" hidden="1" customHeight="1" outlineLevel="1" x14ac:dyDescent="0.25">
      <c r="A17910" s="2048" t="s">
        <v>2734</v>
      </c>
      <c r="B17910" s="2049"/>
      <c r="C17910" s="2050"/>
      <c r="D17910" s="2051"/>
      <c r="E17910" s="2052"/>
      <c r="F17910" s="2044">
        <f>SUM(F17880:F17909)</f>
        <v>4.3189200074501832E-2</v>
      </c>
      <c r="G17910" s="78"/>
    </row>
    <row r="17911" spans="1:8" ht="12.75" hidden="1" customHeight="1" outlineLevel="1" x14ac:dyDescent="0.25">
      <c r="A17911" s="221" t="s">
        <v>10200</v>
      </c>
      <c r="B17911" s="1478">
        <v>45323</v>
      </c>
      <c r="C17911" s="1497">
        <v>100</v>
      </c>
      <c r="D17911" s="1497"/>
      <c r="E17911" s="1498">
        <f>IF(D17911="",F17910,D17911/C17911-1)</f>
        <v>4.3189200074501832E-2</v>
      </c>
      <c r="F17911" s="1842"/>
      <c r="G17911" s="78"/>
    </row>
    <row r="17912" spans="1:8" ht="12.75" hidden="1" customHeight="1" outlineLevel="1" x14ac:dyDescent="0.25">
      <c r="A17912" s="221" t="s">
        <v>10201</v>
      </c>
      <c r="B17912" s="1478">
        <v>45352</v>
      </c>
      <c r="C17912" s="1497">
        <v>100</v>
      </c>
      <c r="D17912" s="1500"/>
      <c r="E17912" s="1498">
        <f>IF(D17912="",E17911,D17912/C17912-1)</f>
        <v>4.3189200074501832E-2</v>
      </c>
      <c r="F17912" s="1842"/>
      <c r="G17912" s="78"/>
    </row>
    <row r="17913" spans="1:8" ht="12.75" hidden="1" customHeight="1" outlineLevel="1" x14ac:dyDescent="0.25">
      <c r="A17913" s="221" t="s">
        <v>10202</v>
      </c>
      <c r="B17913" s="1478">
        <v>45383</v>
      </c>
      <c r="C17913" s="1497">
        <v>100</v>
      </c>
      <c r="D17913" s="1500"/>
      <c r="E17913" s="1498">
        <f>IF(D17913="",E17912,D17913/C17913-1)</f>
        <v>4.3189200074501832E-2</v>
      </c>
      <c r="F17913" s="1842"/>
      <c r="G17913" s="78"/>
    </row>
    <row r="17914" spans="1:8" ht="12.75" hidden="1" customHeight="1" outlineLevel="1" x14ac:dyDescent="0.25">
      <c r="A17914" s="221" t="s">
        <v>10203</v>
      </c>
      <c r="B17914" s="1478">
        <v>45413</v>
      </c>
      <c r="C17914" s="1497">
        <v>100</v>
      </c>
      <c r="D17914" s="1500"/>
      <c r="E17914" s="1498">
        <f>IF(D17914="",E17913,D17914/C17914-1)</f>
        <v>4.3189200074501832E-2</v>
      </c>
      <c r="F17914" s="1842"/>
      <c r="G17914" s="78"/>
    </row>
    <row r="17915" spans="1:8" ht="12.75" hidden="1" customHeight="1" outlineLevel="1" x14ac:dyDescent="0.25">
      <c r="A17915" s="221" t="s">
        <v>10204</v>
      </c>
      <c r="B17915" s="1478">
        <v>45444</v>
      </c>
      <c r="C17915" s="1497">
        <v>100</v>
      </c>
      <c r="D17915" s="1500"/>
      <c r="E17915" s="1498">
        <f t="shared" ref="E17915:E17928" si="294">IF(D17915="",E17914,D17915/C17915-1)</f>
        <v>4.3189200074501832E-2</v>
      </c>
      <c r="F17915" s="1842"/>
      <c r="G17915" s="78"/>
    </row>
    <row r="17916" spans="1:8" ht="12.75" hidden="1" customHeight="1" outlineLevel="1" x14ac:dyDescent="0.25">
      <c r="A17916" s="221" t="s">
        <v>10187</v>
      </c>
      <c r="B17916" s="1478">
        <v>45474</v>
      </c>
      <c r="C17916" s="1497">
        <v>100</v>
      </c>
      <c r="D17916" s="1500"/>
      <c r="E17916" s="1498">
        <f t="shared" si="294"/>
        <v>4.3189200074501832E-2</v>
      </c>
      <c r="F17916" s="1842"/>
      <c r="G17916" s="78"/>
    </row>
    <row r="17917" spans="1:8" ht="12.75" hidden="1" customHeight="1" outlineLevel="1" x14ac:dyDescent="0.25">
      <c r="A17917" s="221" t="s">
        <v>10188</v>
      </c>
      <c r="B17917" s="1478">
        <v>45505</v>
      </c>
      <c r="C17917" s="1497">
        <v>100</v>
      </c>
      <c r="D17917" s="1500"/>
      <c r="E17917" s="1498">
        <f t="shared" si="294"/>
        <v>4.3189200074501832E-2</v>
      </c>
      <c r="F17917" s="1842"/>
      <c r="G17917" s="78"/>
    </row>
    <row r="17918" spans="1:8" ht="12.75" hidden="1" customHeight="1" outlineLevel="1" x14ac:dyDescent="0.25">
      <c r="A17918" s="221" t="s">
        <v>10189</v>
      </c>
      <c r="B17918" s="1478">
        <v>45536</v>
      </c>
      <c r="C17918" s="1497">
        <v>100</v>
      </c>
      <c r="D17918" s="1500"/>
      <c r="E17918" s="1498">
        <f t="shared" si="294"/>
        <v>4.3189200074501832E-2</v>
      </c>
      <c r="F17918" s="1842"/>
      <c r="G17918" s="78"/>
    </row>
    <row r="17919" spans="1:8" ht="12.75" hidden="1" customHeight="1" outlineLevel="1" x14ac:dyDescent="0.25">
      <c r="A17919" s="221" t="s">
        <v>10190</v>
      </c>
      <c r="B17919" s="1478">
        <v>45566</v>
      </c>
      <c r="C17919" s="1497">
        <v>100</v>
      </c>
      <c r="D17919" s="1500"/>
      <c r="E17919" s="1498">
        <f t="shared" si="294"/>
        <v>4.3189200074501832E-2</v>
      </c>
      <c r="F17919" s="1842"/>
      <c r="G17919" s="78"/>
    </row>
    <row r="17920" spans="1:8" ht="12.75" hidden="1" customHeight="1" outlineLevel="1" x14ac:dyDescent="0.25">
      <c r="A17920" s="221" t="s">
        <v>10191</v>
      </c>
      <c r="B17920" s="1478">
        <v>45597</v>
      </c>
      <c r="C17920" s="1497">
        <v>100</v>
      </c>
      <c r="D17920" s="1500"/>
      <c r="E17920" s="1498">
        <f t="shared" si="294"/>
        <v>4.3189200074501832E-2</v>
      </c>
      <c r="F17920" s="1842"/>
      <c r="G17920" s="78"/>
    </row>
    <row r="17921" spans="1:9" ht="12.75" hidden="1" customHeight="1" outlineLevel="1" x14ac:dyDescent="0.25">
      <c r="A17921" s="221" t="s">
        <v>10192</v>
      </c>
      <c r="B17921" s="1478">
        <v>45627</v>
      </c>
      <c r="C17921" s="1497">
        <v>100</v>
      </c>
      <c r="D17921" s="1500"/>
      <c r="E17921" s="1498">
        <f t="shared" si="294"/>
        <v>4.3189200074501832E-2</v>
      </c>
      <c r="F17921" s="1842"/>
      <c r="G17921" s="78"/>
    </row>
    <row r="17922" spans="1:9" ht="12.75" hidden="1" customHeight="1" outlineLevel="1" x14ac:dyDescent="0.25">
      <c r="A17922" s="221" t="s">
        <v>10193</v>
      </c>
      <c r="B17922" s="1478">
        <v>45658</v>
      </c>
      <c r="C17922" s="1497">
        <v>100</v>
      </c>
      <c r="D17922" s="1500"/>
      <c r="E17922" s="1498">
        <f t="shared" si="294"/>
        <v>4.3189200074501832E-2</v>
      </c>
      <c r="F17922" s="1842"/>
      <c r="G17922" s="78"/>
    </row>
    <row r="17923" spans="1:9" ht="12.75" hidden="1" customHeight="1" outlineLevel="1" x14ac:dyDescent="0.25">
      <c r="A17923" s="221" t="s">
        <v>10194</v>
      </c>
      <c r="B17923" s="1478">
        <v>45689</v>
      </c>
      <c r="C17923" s="1497">
        <v>100</v>
      </c>
      <c r="D17923" s="1500"/>
      <c r="E17923" s="1498">
        <f t="shared" si="294"/>
        <v>4.3189200074501832E-2</v>
      </c>
      <c r="F17923" s="1842"/>
      <c r="G17923" s="78"/>
    </row>
    <row r="17924" spans="1:9" ht="12.75" hidden="1" customHeight="1" outlineLevel="1" x14ac:dyDescent="0.25">
      <c r="A17924" s="221" t="s">
        <v>10195</v>
      </c>
      <c r="B17924" s="1478">
        <v>45717</v>
      </c>
      <c r="C17924" s="1497">
        <v>100</v>
      </c>
      <c r="D17924" s="1500"/>
      <c r="E17924" s="1498">
        <f t="shared" si="294"/>
        <v>4.3189200074501832E-2</v>
      </c>
      <c r="F17924" s="1842"/>
      <c r="G17924" s="78"/>
    </row>
    <row r="17925" spans="1:9" ht="12.75" hidden="1" customHeight="1" outlineLevel="1" x14ac:dyDescent="0.25">
      <c r="A17925" s="221" t="s">
        <v>10196</v>
      </c>
      <c r="B17925" s="1478">
        <v>45748</v>
      </c>
      <c r="C17925" s="1497">
        <v>100</v>
      </c>
      <c r="D17925" s="1500"/>
      <c r="E17925" s="1498">
        <f t="shared" si="294"/>
        <v>4.3189200074501832E-2</v>
      </c>
      <c r="F17925" s="1842"/>
      <c r="G17925" s="78"/>
    </row>
    <row r="17926" spans="1:9" ht="12.75" hidden="1" customHeight="1" outlineLevel="1" x14ac:dyDescent="0.25">
      <c r="A17926" s="221" t="s">
        <v>10197</v>
      </c>
      <c r="B17926" s="1478">
        <v>45778</v>
      </c>
      <c r="C17926" s="1497">
        <v>100</v>
      </c>
      <c r="D17926" s="1500"/>
      <c r="E17926" s="1498">
        <f t="shared" si="294"/>
        <v>4.3189200074501832E-2</v>
      </c>
      <c r="F17926" s="1842"/>
      <c r="G17926" s="78"/>
    </row>
    <row r="17927" spans="1:9" ht="12.75" hidden="1" customHeight="1" outlineLevel="1" x14ac:dyDescent="0.25">
      <c r="A17927" s="221" t="s">
        <v>10198</v>
      </c>
      <c r="B17927" s="1478">
        <v>45809</v>
      </c>
      <c r="C17927" s="1497">
        <v>100</v>
      </c>
      <c r="D17927" s="1500"/>
      <c r="E17927" s="1498">
        <f t="shared" si="294"/>
        <v>4.3189200074501832E-2</v>
      </c>
      <c r="F17927" s="1842"/>
      <c r="G17927" s="78"/>
    </row>
    <row r="17928" spans="1:9" ht="12.75" hidden="1" customHeight="1" outlineLevel="1" x14ac:dyDescent="0.25">
      <c r="A17928" s="221" t="s">
        <v>10199</v>
      </c>
      <c r="B17928" s="1478">
        <v>45839</v>
      </c>
      <c r="C17928" s="1497">
        <v>100</v>
      </c>
      <c r="D17928" s="1500"/>
      <c r="E17928" s="1498">
        <f t="shared" si="294"/>
        <v>4.3189200074501832E-2</v>
      </c>
      <c r="F17928" s="1842"/>
      <c r="G17928" s="78"/>
    </row>
    <row r="17929" spans="1:9" ht="12.75" hidden="1" customHeight="1" outlineLevel="1" x14ac:dyDescent="0.25">
      <c r="A17929" s="1483" t="s">
        <v>2734</v>
      </c>
      <c r="B17929" s="1484"/>
      <c r="C17929" s="1500"/>
      <c r="D17929" s="1485" t="s">
        <v>2465</v>
      </c>
      <c r="E17929" s="1486">
        <f>AVERAGE(E17911:E17928)</f>
        <v>4.3189200074501811E-2</v>
      </c>
      <c r="F17929" s="1844">
        <f>E17929</f>
        <v>4.3189200074501811E-2</v>
      </c>
      <c r="G17929" s="78"/>
    </row>
    <row r="17930" spans="1:9" collapsed="1" x14ac:dyDescent="0.25">
      <c r="A17930" s="3799" t="s">
        <v>10104</v>
      </c>
      <c r="B17930" s="3800"/>
      <c r="C17930" s="3800"/>
      <c r="D17930" s="3800"/>
      <c r="E17930" s="18"/>
      <c r="F17930" s="186">
        <f>IF(F17929&lt;-5%,-5%,MIN(F17929,60%))</f>
        <v>4.3189200074501811E-2</v>
      </c>
      <c r="G17930" s="78"/>
    </row>
    <row r="17932" spans="1:9" hidden="1" outlineLevel="1" x14ac:dyDescent="0.25">
      <c r="A17932" s="3248" t="s">
        <v>113</v>
      </c>
      <c r="B17932" s="3237" t="s">
        <v>114</v>
      </c>
      <c r="C17932" s="3237" t="s">
        <v>112</v>
      </c>
      <c r="D17932" s="3237" t="s">
        <v>116</v>
      </c>
      <c r="E17932" s="3237" t="s">
        <v>116</v>
      </c>
      <c r="F17932" s="3276" t="s">
        <v>121</v>
      </c>
      <c r="G17932" s="78"/>
      <c r="H17932" s="438" t="s">
        <v>5391</v>
      </c>
      <c r="I17932" s="438" t="s">
        <v>5392</v>
      </c>
    </row>
    <row r="17933" spans="1:9" hidden="1" outlineLevel="1" x14ac:dyDescent="0.25">
      <c r="A17933" s="1810" t="s">
        <v>10071</v>
      </c>
      <c r="B17933" s="2984" t="s">
        <v>2153</v>
      </c>
      <c r="C17933" s="3583">
        <v>3758.5610000000001</v>
      </c>
      <c r="D17933" s="3805">
        <v>3937.9319999999998</v>
      </c>
      <c r="E17933" s="2238"/>
      <c r="F17933" s="3586">
        <v>0.18</v>
      </c>
      <c r="G17933" s="78"/>
      <c r="H17933" s="92">
        <f>IF(C17933="","",IF(E17933="",$D$17933/C17933-1,E17933/C17933-1))</f>
        <v>4.7723317514335895E-2</v>
      </c>
      <c r="I17933" s="450">
        <v>0.18</v>
      </c>
    </row>
    <row r="17934" spans="1:9" hidden="1" outlineLevel="1" x14ac:dyDescent="0.25">
      <c r="A17934" s="1810" t="s">
        <v>10072</v>
      </c>
      <c r="B17934" s="2984" t="s">
        <v>2153</v>
      </c>
      <c r="C17934" s="1814" t="s">
        <v>5590</v>
      </c>
      <c r="D17934" s="3806"/>
      <c r="E17934" s="1815"/>
      <c r="F17934" s="3587" t="s">
        <v>5590</v>
      </c>
      <c r="G17934" s="78"/>
      <c r="H17934" s="92" t="str">
        <f>IF(C17934="","",IF(E17934="",$D$17933/C17934-1,E17934/C17934-1))</f>
        <v/>
      </c>
      <c r="I17934" s="451">
        <v>0.24</v>
      </c>
    </row>
    <row r="17935" spans="1:9" hidden="1" outlineLevel="1" x14ac:dyDescent="0.25">
      <c r="A17935" s="1810" t="s">
        <v>10073</v>
      </c>
      <c r="B17935" s="2984" t="s">
        <v>2153</v>
      </c>
      <c r="C17935" s="1814" t="s">
        <v>5590</v>
      </c>
      <c r="D17935" s="3806"/>
      <c r="E17935" s="1815"/>
      <c r="F17935" s="3587" t="s">
        <v>5590</v>
      </c>
      <c r="G17935" s="78"/>
      <c r="H17935" s="92" t="str">
        <f>IF(C17935="","",IF(E17935="",$D$17933/C17935-1,E17935/C17935-1))</f>
        <v/>
      </c>
      <c r="I17935" s="451">
        <v>0.3</v>
      </c>
    </row>
    <row r="17936" spans="1:9" hidden="1" outlineLevel="1" x14ac:dyDescent="0.25">
      <c r="A17936" s="1810" t="s">
        <v>10074</v>
      </c>
      <c r="B17936" s="2984" t="s">
        <v>2153</v>
      </c>
      <c r="C17936" s="1814" t="s">
        <v>5590</v>
      </c>
      <c r="D17936" s="3806"/>
      <c r="E17936" s="1815"/>
      <c r="F17936" s="3587" t="s">
        <v>5590</v>
      </c>
      <c r="G17936" s="78"/>
      <c r="H17936" s="92" t="str">
        <f>IF(C17936="","",IF(E17936="",$D$17933/C17936-1,E17936/C17936-1))</f>
        <v/>
      </c>
      <c r="I17936" s="452">
        <v>0.36</v>
      </c>
    </row>
    <row r="17937" spans="1:18" hidden="1" outlineLevel="1" x14ac:dyDescent="0.25">
      <c r="A17937" s="1810" t="s">
        <v>10075</v>
      </c>
      <c r="B17937" s="2984" t="s">
        <v>2153</v>
      </c>
      <c r="C17937" s="1817" t="s">
        <v>5590</v>
      </c>
      <c r="D17937" s="3807"/>
      <c r="E17937" s="1815"/>
      <c r="F17937" s="3588" t="s">
        <v>5590</v>
      </c>
      <c r="G17937" s="78"/>
      <c r="H17937" s="37">
        <f>IF(H17936="",IF(H17935="",IF(H17934="",IF(H17933="",H17932,H17933),H17934),H17935),H17936)</f>
        <v>4.7723317514335895E-2</v>
      </c>
    </row>
    <row r="17938" spans="1:18" hidden="1" outlineLevel="1" x14ac:dyDescent="0.25">
      <c r="A17938" s="1819" t="s">
        <v>2734</v>
      </c>
      <c r="B17938" s="2984"/>
      <c r="C17938" s="1820"/>
      <c r="D17938" s="3142"/>
      <c r="E17938" s="3585"/>
      <c r="F17938" s="3584">
        <v>0.18</v>
      </c>
      <c r="G17938" s="78"/>
      <c r="H17938" s="74"/>
    </row>
    <row r="17939" spans="1:18" collapsed="1" x14ac:dyDescent="0.25">
      <c r="A17939" s="3801" t="s">
        <v>10106</v>
      </c>
      <c r="B17939" s="3802"/>
      <c r="C17939" s="3802"/>
      <c r="D17939" s="3802"/>
      <c r="E17939" s="1906"/>
      <c r="F17939" s="1907">
        <v>0.18</v>
      </c>
      <c r="G17939" s="78"/>
      <c r="H17939" s="74"/>
    </row>
    <row r="17941" spans="1:18" hidden="1" outlineLevel="1" x14ac:dyDescent="0.25">
      <c r="A17941" s="67" t="s">
        <v>113</v>
      </c>
      <c r="B17941" s="15" t="s">
        <v>114</v>
      </c>
      <c r="C17941" s="67" t="s">
        <v>112</v>
      </c>
      <c r="D17941" s="67" t="s">
        <v>4155</v>
      </c>
      <c r="E17941" s="15" t="s">
        <v>116</v>
      </c>
      <c r="F17941" s="1878" t="s">
        <v>121</v>
      </c>
      <c r="G17941" s="78"/>
      <c r="H17941" s="1671"/>
      <c r="I17941" s="1671"/>
    </row>
    <row r="17942" spans="1:18" hidden="1" outlineLevel="1" x14ac:dyDescent="0.25">
      <c r="A17942" s="222" t="s">
        <v>8494</v>
      </c>
      <c r="B17942" s="1303" t="s">
        <v>9958</v>
      </c>
      <c r="C17942" s="1673">
        <v>249.559</v>
      </c>
      <c r="D17942" s="1669">
        <f>VLOOKUP(B17942,indexy!A:D,2,0)</f>
        <v>201.08</v>
      </c>
      <c r="E17942" s="1304">
        <v>210.34200000000001</v>
      </c>
      <c r="F17942" s="1305">
        <f>IF(E17942="",IF($D$17942/$C$17942-1&gt;0,7%,IF($D$17942/$C$17942-1&lt;-0.4,0%,2%)),IF(E17942/$C$17942-1&gt;0,7%,IF(E17942/$C$17942-1&lt;-0.4,0%,2%)))</f>
        <v>0.02</v>
      </c>
      <c r="G17942" s="3480">
        <v>44197</v>
      </c>
      <c r="H17942" t="s">
        <v>8500</v>
      </c>
      <c r="I17942" s="81">
        <f>+D17942/C17942-1</f>
        <v>-0.19425867229793348</v>
      </c>
    </row>
    <row r="17943" spans="1:18" hidden="1" outlineLevel="1" x14ac:dyDescent="0.25">
      <c r="A17943" s="222" t="s">
        <v>8495</v>
      </c>
      <c r="B17943" s="1303" t="s">
        <v>9958</v>
      </c>
      <c r="C17943" s="1674"/>
      <c r="D17943" s="55"/>
      <c r="E17943" s="1304">
        <v>230.22399999999999</v>
      </c>
      <c r="F17943" s="1305">
        <f>IF(E17943="",IF($D$17942/$C$17942-1&gt;0,7%,IF($D$17942/$C$17942-1&lt;-0.4,0%,2%)),IF(E17943/$C$17942-1&gt;0,7%,IF(E17943/$C$17942-1&lt;-0.4,0%,2%)))</f>
        <v>0.02</v>
      </c>
      <c r="G17943" s="3480">
        <v>44562</v>
      </c>
      <c r="H17943" s="81"/>
      <c r="I17943" s="413"/>
    </row>
    <row r="17944" spans="1:18" hidden="1" outlineLevel="1" x14ac:dyDescent="0.25">
      <c r="A17944" s="222" t="s">
        <v>8496</v>
      </c>
      <c r="B17944" s="1303" t="s">
        <v>9958</v>
      </c>
      <c r="C17944" s="1674"/>
      <c r="D17944" s="55"/>
      <c r="E17944" s="1304">
        <v>195.792</v>
      </c>
      <c r="F17944" s="1305">
        <f>IF(E17944="",IF($D$17942/$C$17942-1&gt;0,7%,IF($D$17942/$C$17942-1&lt;-0.4,0%,2%)),IF(E17944/$C$17942-1&gt;0,7%,IF(E17944/$C$17942-1&lt;-0.4,0%,2%)))</f>
        <v>0.02</v>
      </c>
      <c r="G17944" s="3480">
        <v>44927</v>
      </c>
      <c r="H17944" s="81"/>
      <c r="I17944" s="413"/>
    </row>
    <row r="17945" spans="1:18" hidden="1" outlineLevel="1" x14ac:dyDescent="0.25">
      <c r="A17945" s="222" t="s">
        <v>8497</v>
      </c>
      <c r="B17945" s="1303" t="s">
        <v>9958</v>
      </c>
      <c r="C17945" s="1674">
        <f>IF(E17944="","",C17944)</f>
        <v>0</v>
      </c>
      <c r="D17945" s="55"/>
      <c r="E17945" s="1306">
        <v>200.542</v>
      </c>
      <c r="F17945" s="1305">
        <v>0.02</v>
      </c>
      <c r="G17945" s="3480">
        <v>45292</v>
      </c>
      <c r="H17945" s="81"/>
      <c r="I17945" s="413"/>
    </row>
    <row r="17946" spans="1:18" hidden="1" outlineLevel="1" x14ac:dyDescent="0.25">
      <c r="A17946" s="222" t="s">
        <v>8498</v>
      </c>
      <c r="B17946" s="1303" t="s">
        <v>9958</v>
      </c>
      <c r="C17946" s="1674">
        <f>IF(E17945="","",C17945)</f>
        <v>0</v>
      </c>
      <c r="D17946" s="55"/>
      <c r="E17946" s="1306"/>
      <c r="F17946" s="1305"/>
      <c r="G17946" s="78"/>
      <c r="H17946" s="81"/>
      <c r="I17946" s="413"/>
    </row>
    <row r="17947" spans="1:18" hidden="1" outlineLevel="1" x14ac:dyDescent="0.25">
      <c r="A17947" s="221" t="s">
        <v>8499</v>
      </c>
      <c r="B17947" s="1303" t="s">
        <v>9958</v>
      </c>
      <c r="C17947" s="1675"/>
      <c r="D17947" s="1668"/>
      <c r="E17947" s="1306"/>
      <c r="F17947" s="1305"/>
      <c r="G17947" s="78"/>
      <c r="H17947" s="81"/>
      <c r="I17947" s="413"/>
    </row>
    <row r="17948" spans="1:18" hidden="1" outlineLevel="1" x14ac:dyDescent="0.25">
      <c r="A17948" s="124" t="s">
        <v>2734</v>
      </c>
      <c r="B17948" s="1676"/>
      <c r="C17948" s="1309"/>
      <c r="D17948" s="1621"/>
      <c r="E17948" s="1310"/>
      <c r="F17948" s="1311">
        <f>SUM(F17942:F17947)</f>
        <v>0.08</v>
      </c>
      <c r="G17948" s="78"/>
      <c r="H17948" s="81"/>
      <c r="I17948" s="370"/>
    </row>
    <row r="17949" spans="1:18" collapsed="1" x14ac:dyDescent="0.25">
      <c r="A17949" s="1664" t="s">
        <v>10134</v>
      </c>
      <c r="B17949" s="1665"/>
      <c r="C17949" s="1665"/>
      <c r="D17949" s="1665"/>
      <c r="E17949" s="18"/>
      <c r="F17949" s="186">
        <f>IF(I17942&lt;-40%,I17942+F17948,F17948)</f>
        <v>0.08</v>
      </c>
      <c r="G17949" s="78"/>
      <c r="H17949" s="1672"/>
      <c r="I17949" s="370"/>
    </row>
    <row r="17951" spans="1:18" ht="12.75" hidden="1" customHeight="1" outlineLevel="1" x14ac:dyDescent="0.25">
      <c r="A17951" s="1677" t="s">
        <v>4156</v>
      </c>
      <c r="B17951" s="1677" t="s">
        <v>4153</v>
      </c>
      <c r="C17951" s="1623" t="s">
        <v>112</v>
      </c>
      <c r="D17951" s="1678" t="s">
        <v>4155</v>
      </c>
      <c r="E17951" s="1677" t="s">
        <v>4154</v>
      </c>
      <c r="F17951" s="1678" t="s">
        <v>2519</v>
      </c>
      <c r="G17951" s="12"/>
      <c r="H17951" s="415"/>
      <c r="I17951" s="412" t="s">
        <v>6964</v>
      </c>
      <c r="J17951" s="1462">
        <v>43831</v>
      </c>
      <c r="K17951" s="1462">
        <v>43862</v>
      </c>
      <c r="L17951" s="1462">
        <v>43891</v>
      </c>
      <c r="M17951" s="1462">
        <v>43922</v>
      </c>
      <c r="N17951" s="1462">
        <v>43952</v>
      </c>
      <c r="O17951" s="1462">
        <v>43983</v>
      </c>
      <c r="P17951" s="1462"/>
      <c r="Q17951" s="1462"/>
      <c r="R17951" s="1462"/>
    </row>
    <row r="17952" spans="1:18" ht="12.75" hidden="1" customHeight="1" outlineLevel="1" x14ac:dyDescent="0.25">
      <c r="A17952" s="134">
        <v>0.03</v>
      </c>
      <c r="B17952" s="211" t="s">
        <v>802</v>
      </c>
      <c r="C17952" s="472">
        <v>9.5419999999999998</v>
      </c>
      <c r="D17952" s="1596">
        <f>VLOOKUP(H17952,indexy!$C$44:$D$823,2,FALSE)</f>
        <v>19.690000000000001</v>
      </c>
      <c r="E17952" s="1466">
        <f>D17952/C17952-1</f>
        <v>1.0635086983860829</v>
      </c>
      <c r="F17952" s="1492">
        <f>E17952*A17952</f>
        <v>3.1905260951582484E-2</v>
      </c>
      <c r="G17952" s="415"/>
      <c r="H17952" s="415" t="str">
        <f>VLOOKUP(B17952,indexy!$A$44:$D$823,3,FALSE)</f>
        <v>NLY UN Equity</v>
      </c>
      <c r="I17952" s="412">
        <f>IF(J17952="",100,MIN(100,J17952:Y17952))</f>
        <v>71.072599999999994</v>
      </c>
      <c r="J17952">
        <v>99.425899999999999</v>
      </c>
      <c r="K17952">
        <v>100.55159999999999</v>
      </c>
      <c r="L17952">
        <v>92.859800000000007</v>
      </c>
      <c r="M17952">
        <v>71.072599999999994</v>
      </c>
      <c r="N17952">
        <v>72.490399999999994</v>
      </c>
      <c r="O17952">
        <v>78.697299999999998</v>
      </c>
    </row>
    <row r="17953" spans="1:11" ht="12.75" hidden="1" customHeight="1" outlineLevel="1" x14ac:dyDescent="0.25">
      <c r="A17953" s="135">
        <v>0.04</v>
      </c>
      <c r="B17953" s="211" t="s">
        <v>2351</v>
      </c>
      <c r="C17953" s="472">
        <v>21.456</v>
      </c>
      <c r="D17953" s="1597">
        <f>VLOOKUP(H17953,indexy!$C$44:$D$823,2,FALSE)</f>
        <v>22.99</v>
      </c>
      <c r="E17953" s="1463">
        <f>D17953/C17953-1</f>
        <v>7.1495152870991729E-2</v>
      </c>
      <c r="F17953" s="1494">
        <f t="shared" ref="F17953:F17976" si="295">E17953*A17953</f>
        <v>2.8598061148396694E-3</v>
      </c>
      <c r="G17953" s="415"/>
      <c r="H17953" s="415" t="str">
        <f>VLOOKUP(B17953,indexy!$A$44:$D$823,3,FALSE)</f>
        <v>ATL IM Equity</v>
      </c>
      <c r="I17953" s="422">
        <f>+(((E18001*100)+100)-I17952)/100</f>
        <v>0.29587613258388756</v>
      </c>
    </row>
    <row r="17954" spans="1:11" ht="12.75" hidden="1" customHeight="1" outlineLevel="1" x14ac:dyDescent="0.25">
      <c r="A17954" s="135">
        <v>0.02</v>
      </c>
      <c r="B17954" s="211" t="s">
        <v>5745</v>
      </c>
      <c r="C17954" s="472">
        <v>24.802</v>
      </c>
      <c r="D17954" s="1597">
        <f>VLOOKUP(H17954,indexy!$C$44:$D$823,2,FALSE)</f>
        <v>29.4</v>
      </c>
      <c r="E17954" s="1463">
        <f t="shared" ref="E17954:E17981" si="296">D17954/C17954-1</f>
        <v>0.18538827513910161</v>
      </c>
      <c r="F17954" s="1494">
        <f t="shared" si="295"/>
        <v>3.7077655027820322E-3</v>
      </c>
      <c r="G17954" s="415"/>
      <c r="H17954" s="415" t="str">
        <f>VLOOKUP(B17954,indexy!$A$44:$D$823,3,FALSE)</f>
        <v>ANZ AT Equity</v>
      </c>
      <c r="J17954" s="434"/>
    </row>
    <row r="17955" spans="1:11" ht="12.75" hidden="1" customHeight="1" outlineLevel="1" x14ac:dyDescent="0.25">
      <c r="A17955" s="135">
        <v>0.03</v>
      </c>
      <c r="B17955" s="211" t="s">
        <v>218</v>
      </c>
      <c r="C17955" s="472">
        <v>25.095500000000001</v>
      </c>
      <c r="D17955" s="1597">
        <f>VLOOKUP(H17955,indexy!$C$44:$D$823,2,FALSE)</f>
        <v>34.814999999999998</v>
      </c>
      <c r="E17955" s="1463">
        <f t="shared" si="296"/>
        <v>0.38730051204399185</v>
      </c>
      <c r="F17955" s="1494">
        <f t="shared" si="295"/>
        <v>1.1619015361319755E-2</v>
      </c>
      <c r="G17955" s="415"/>
      <c r="H17955" s="415" t="str">
        <f>VLOOKUP(B17955,indexy!$A$44:$D$823,3,FALSE)</f>
        <v>CS FP Equity</v>
      </c>
      <c r="J17955" s="434"/>
      <c r="K17955" s="37"/>
    </row>
    <row r="17956" spans="1:11" ht="12.75" hidden="1" customHeight="1" outlineLevel="1" x14ac:dyDescent="0.25">
      <c r="A17956" s="135">
        <v>0.04</v>
      </c>
      <c r="B17956" s="211" t="s">
        <v>807</v>
      </c>
      <c r="C17956" s="472">
        <v>61.6</v>
      </c>
      <c r="D17956" s="1597">
        <f>VLOOKUP(H17956,indexy!$C$44:$D$823,2,FALSE)</f>
        <v>46.03</v>
      </c>
      <c r="E17956" s="1463">
        <f t="shared" si="296"/>
        <v>-0.25275974025974024</v>
      </c>
      <c r="F17956" s="1494">
        <f t="shared" si="295"/>
        <v>-1.011038961038961E-2</v>
      </c>
      <c r="G17956" s="415"/>
      <c r="H17956" s="415" t="str">
        <f>VLOOKUP(B17956,indexy!$A$44:$D$823,3,FALSE)</f>
        <v>BCE CT Equity</v>
      </c>
      <c r="J17956" s="434"/>
    </row>
    <row r="17957" spans="1:11" ht="12.75" hidden="1" customHeight="1" outlineLevel="1" x14ac:dyDescent="0.25">
      <c r="A17957" s="135">
        <v>0.02</v>
      </c>
      <c r="B17957" s="211" t="s">
        <v>10153</v>
      </c>
      <c r="C17957" s="472">
        <v>39.579000000000001</v>
      </c>
      <c r="D17957" s="1597">
        <f>VLOOKUP(H17957,indexy!$C$44:$D$823,2,FALSE)</f>
        <v>44.27</v>
      </c>
      <c r="E17957" s="1463">
        <f t="shared" si="296"/>
        <v>0.11852244877333939</v>
      </c>
      <c r="F17957" s="1494">
        <f t="shared" si="295"/>
        <v>2.3704489754667879E-3</v>
      </c>
      <c r="G17957" s="415"/>
      <c r="H17957" s="415" t="str">
        <f>VLOOKUP(B17957,indexy!$A$44:$D$823,3,FALSE)</f>
        <v>BHP AT Equity</v>
      </c>
      <c r="J17957" s="434"/>
    </row>
    <row r="17958" spans="1:11" ht="12.75" hidden="1" customHeight="1" outlineLevel="1" x14ac:dyDescent="0.25">
      <c r="A17958" s="135">
        <v>0.02</v>
      </c>
      <c r="B17958" s="211" t="s">
        <v>3954</v>
      </c>
      <c r="C17958" s="472">
        <f>109.741/2</f>
        <v>54.8705</v>
      </c>
      <c r="D17958" s="1597">
        <f>VLOOKUP(H17958,indexy!$C$44:$D$823,2,FALSE)</f>
        <v>68.67</v>
      </c>
      <c r="E17958" s="1463">
        <f t="shared" si="296"/>
        <v>0.25149214969792522</v>
      </c>
      <c r="F17958" s="1494">
        <f t="shared" si="295"/>
        <v>5.0298429939585046E-3</v>
      </c>
      <c r="G17958" s="415"/>
      <c r="H17958" s="415" t="str">
        <f>VLOOKUP(B17958,indexy!$A$44:$D$823,3,FALSE)</f>
        <v>CM CT Equity</v>
      </c>
      <c r="J17958" s="434"/>
    </row>
    <row r="17959" spans="1:11" ht="12.75" hidden="1" customHeight="1" outlineLevel="1" x14ac:dyDescent="0.25">
      <c r="A17959" s="135">
        <v>0.02</v>
      </c>
      <c r="B17959" s="211" t="s">
        <v>2629</v>
      </c>
      <c r="C17959" s="472">
        <v>14.7568</v>
      </c>
      <c r="D17959" s="1597">
        <f>VLOOKUP(H17959,indexy!$C$44:$D$823,2,FALSE)</f>
        <v>22.5</v>
      </c>
      <c r="E17959" s="1463">
        <f t="shared" si="296"/>
        <v>0.52472080667895482</v>
      </c>
      <c r="F17959" s="1494">
        <f t="shared" si="295"/>
        <v>1.0494416133579097E-2</v>
      </c>
      <c r="G17959" s="415"/>
      <c r="H17959" s="415" t="str">
        <f>VLOOKUP(B17959,indexy!$A$44:$D$823,3,FALSE)</f>
        <v>DTE GY Equity</v>
      </c>
      <c r="J17959" s="434"/>
    </row>
    <row r="17960" spans="1:11" ht="12.75" hidden="1" customHeight="1" outlineLevel="1" x14ac:dyDescent="0.25">
      <c r="A17960" s="135">
        <v>0.02</v>
      </c>
      <c r="B17960" s="211" t="s">
        <v>7855</v>
      </c>
      <c r="C17960" s="472">
        <v>51.287999999999997</v>
      </c>
      <c r="D17960" s="1597">
        <f>VLOOKUP(H17960,indexy!$C$44:$D$823,2,FALSE)</f>
        <v>48.95</v>
      </c>
      <c r="E17960" s="1463">
        <f t="shared" si="296"/>
        <v>-4.5585712057401251E-2</v>
      </c>
      <c r="F17960" s="1494">
        <f t="shared" si="295"/>
        <v>-9.1171424114802504E-4</v>
      </c>
      <c r="G17960" s="415"/>
      <c r="H17960" s="415" t="str">
        <f>VLOOKUP(B17960,indexy!$A$44:$D$823,3,FALSE)</f>
        <v>ENB CT Equity</v>
      </c>
      <c r="J17960" s="434"/>
    </row>
    <row r="17961" spans="1:11" ht="12.75" hidden="1" customHeight="1" outlineLevel="1" x14ac:dyDescent="0.25">
      <c r="A17961" s="135">
        <v>0.08</v>
      </c>
      <c r="B17961" s="211" t="s">
        <v>9171</v>
      </c>
      <c r="C17961" s="472">
        <v>24.715</v>
      </c>
      <c r="D17961" s="1597">
        <f>VLOOKUP(H17961,indexy!$C$44:$D$823,2,FALSE)</f>
        <v>17.164999999999999</v>
      </c>
      <c r="E17961" s="1463">
        <f t="shared" si="296"/>
        <v>-0.30548250050576575</v>
      </c>
      <c r="F17961" s="1494">
        <f t="shared" si="295"/>
        <v>-2.4438600040461261E-2</v>
      </c>
      <c r="G17961" s="415"/>
      <c r="H17961" s="415" t="str">
        <f>VLOOKUP(B17961,indexy!$A$44:$D$823,3,FALSE)</f>
        <v>ELE SQ Equity</v>
      </c>
      <c r="J17961" s="434"/>
    </row>
    <row r="17962" spans="1:11" ht="12.75" hidden="1" customHeight="1" outlineLevel="1" x14ac:dyDescent="0.25">
      <c r="A17962" s="135">
        <v>0.08</v>
      </c>
      <c r="B17962" s="211" t="s">
        <v>3798</v>
      </c>
      <c r="C17962" s="472">
        <v>7.0294999999999996</v>
      </c>
      <c r="D17962" s="1597">
        <f>VLOOKUP(H17962,indexy!$C$44:$D$823,2,FALSE)</f>
        <v>6.1189999999999998</v>
      </c>
      <c r="E17962" s="1463">
        <f t="shared" si="296"/>
        <v>-0.12952557080873461</v>
      </c>
      <c r="F17962" s="1494">
        <f t="shared" si="295"/>
        <v>-1.0362045664698769E-2</v>
      </c>
      <c r="G17962" s="415"/>
      <c r="H17962" s="415" t="str">
        <f>VLOOKUP(B17962,indexy!$A$44:$D$823,3,FALSE)</f>
        <v>ENEL IM Equity</v>
      </c>
      <c r="J17962" s="434"/>
    </row>
    <row r="17963" spans="1:11" ht="12.75" hidden="1" customHeight="1" outlineLevel="1" x14ac:dyDescent="0.25">
      <c r="A17963" s="135">
        <v>0.02</v>
      </c>
      <c r="B17963" s="211" t="s">
        <v>4338</v>
      </c>
      <c r="C17963" s="472">
        <v>14.616</v>
      </c>
      <c r="D17963" s="1597">
        <f>VLOOKUP(H17963,indexy!$C$44:$D$823,2,FALSE)</f>
        <v>15.51</v>
      </c>
      <c r="E17963" s="1463">
        <f t="shared" si="296"/>
        <v>6.1165845648604389E-2</v>
      </c>
      <c r="F17963" s="1494">
        <f t="shared" si="295"/>
        <v>1.2233169129720878E-3</v>
      </c>
      <c r="G17963" s="415"/>
      <c r="H17963" s="415" t="str">
        <f>VLOOKUP(B17963,indexy!$A$44:$D$823,3,FALSE)</f>
        <v>ENGI FP Equity</v>
      </c>
      <c r="J17963" s="434"/>
    </row>
    <row r="17964" spans="1:11" ht="12.75" hidden="1" customHeight="1" outlineLevel="1" x14ac:dyDescent="0.25">
      <c r="A17964" s="135">
        <v>0.02</v>
      </c>
      <c r="B17964" s="211" t="s">
        <v>3021</v>
      </c>
      <c r="C17964" s="490">
        <v>13.808</v>
      </c>
      <c r="D17964" s="1597">
        <f>VLOOKUP(H17964,indexy!$C$44:$D$823,2,FALSE)</f>
        <v>14.648</v>
      </c>
      <c r="E17964" s="1463">
        <f t="shared" si="296"/>
        <v>6.083429895712622E-2</v>
      </c>
      <c r="F17964" s="1494">
        <f t="shared" si="295"/>
        <v>1.2166859791425243E-3</v>
      </c>
      <c r="G17964" s="415"/>
      <c r="H17964" s="415" t="str">
        <f>VLOOKUP(B17964,indexy!$A$44:$D$823,3,FALSE)</f>
        <v>ENI IM Equity</v>
      </c>
      <c r="J17964" s="434"/>
    </row>
    <row r="17965" spans="1:11" ht="12.75" hidden="1" customHeight="1" outlineLevel="1" x14ac:dyDescent="0.25">
      <c r="A17965" s="135">
        <v>0.06</v>
      </c>
      <c r="B17965" s="211" t="s">
        <v>9767</v>
      </c>
      <c r="C17965" s="472">
        <v>22.783000000000001</v>
      </c>
      <c r="D17965" s="1597">
        <f>VLOOKUP(H17965,indexy!$C$44:$D$823,2,FALSE)</f>
        <v>20.100000000000001</v>
      </c>
      <c r="E17965" s="1463">
        <f t="shared" si="296"/>
        <v>-0.1177632445244261</v>
      </c>
      <c r="F17965" s="1494">
        <f t="shared" si="295"/>
        <v>-7.0657946714655657E-3</v>
      </c>
      <c r="G17965" s="415"/>
      <c r="H17965" s="415" t="str">
        <f>VLOOKUP(B17965,indexy!$A$44:$D$823,3,FALSE)</f>
        <v>NTGY SQ Equity</v>
      </c>
      <c r="J17965" s="434"/>
    </row>
    <row r="17966" spans="1:11" ht="12.75" hidden="1" customHeight="1" outlineLevel="1" x14ac:dyDescent="0.25">
      <c r="A17966" s="135">
        <v>0.04</v>
      </c>
      <c r="B17966" s="211" t="s">
        <v>459</v>
      </c>
      <c r="C17966" s="472">
        <v>665.68</v>
      </c>
      <c r="D17966" s="1597">
        <f>VLOOKUP(H17966,indexy!$C$44:$D$823,2,FALSE)</f>
        <v>597.20000000000005</v>
      </c>
      <c r="E17966" s="1463">
        <f t="shared" si="296"/>
        <v>-0.10287225093137831</v>
      </c>
      <c r="F17966" s="1494">
        <f t="shared" si="295"/>
        <v>-4.1148900372551325E-3</v>
      </c>
      <c r="G17966" s="415"/>
      <c r="H17966" s="415" t="str">
        <f>VLOOKUP(B17966,indexy!$A$44:$D$823,3,FALSE)</f>
        <v>7201 JT Equity</v>
      </c>
      <c r="J17966" s="434"/>
    </row>
    <row r="17967" spans="1:11" ht="12.75" hidden="1" customHeight="1" outlineLevel="1" x14ac:dyDescent="0.25">
      <c r="A17967" s="135">
        <v>0.02</v>
      </c>
      <c r="B17967" s="211" t="s">
        <v>2769</v>
      </c>
      <c r="C17967" s="472">
        <v>35.579000000000001</v>
      </c>
      <c r="D17967" s="1597">
        <f>VLOOKUP(H17967,indexy!$C$44:$D$823,2,FALSE)</f>
        <v>27.53</v>
      </c>
      <c r="E17967" s="1463">
        <f t="shared" si="296"/>
        <v>-0.22622895528261056</v>
      </c>
      <c r="F17967" s="1494">
        <f t="shared" si="295"/>
        <v>-4.5245791056522109E-3</v>
      </c>
      <c r="G17967" s="415"/>
      <c r="H17967" s="415" t="str">
        <f>VLOOKUP(B17967,indexy!$A$44:$D$823,3,FALSE)</f>
        <v>PPL UN Equity</v>
      </c>
      <c r="J17967" s="434"/>
    </row>
    <row r="17968" spans="1:11" ht="12.75" hidden="1" customHeight="1" outlineLevel="1" x14ac:dyDescent="0.25">
      <c r="A17968" s="135">
        <v>0.04</v>
      </c>
      <c r="B17968" s="211" t="s">
        <v>5629</v>
      </c>
      <c r="C17968" s="472">
        <v>17.811499999999999</v>
      </c>
      <c r="D17968" s="1597">
        <f>VLOOKUP(H17968,indexy!$C$44:$D$823,2,FALSE)</f>
        <v>15.805</v>
      </c>
      <c r="E17968" s="1463">
        <f t="shared" si="296"/>
        <v>-0.11265193835443388</v>
      </c>
      <c r="F17968" s="1494">
        <f t="shared" si="295"/>
        <v>-4.506077534177355E-3</v>
      </c>
      <c r="G17968" s="415"/>
      <c r="H17968" s="415" t="str">
        <f>VLOOKUP(B17968,indexy!$A$44:$D$823,3,FALSE)</f>
        <v>REE SQ Equity</v>
      </c>
      <c r="J17968" s="434"/>
    </row>
    <row r="17969" spans="1:10" ht="12.75" hidden="1" customHeight="1" outlineLevel="1" x14ac:dyDescent="0.25">
      <c r="A17969" s="135">
        <v>0.02</v>
      </c>
      <c r="B17969" s="211" t="s">
        <v>54</v>
      </c>
      <c r="C17969" s="472">
        <v>14.161</v>
      </c>
      <c r="D17969" s="1597">
        <f>VLOOKUP(H17969,indexy!$C$44:$D$823,2,FALSE)</f>
        <v>15.44</v>
      </c>
      <c r="E17969" s="1463">
        <f t="shared" si="296"/>
        <v>9.0318480333309692E-2</v>
      </c>
      <c r="F17969" s="1494">
        <f t="shared" si="295"/>
        <v>1.8063696066661938E-3</v>
      </c>
      <c r="G17969" s="415"/>
      <c r="H17969" s="415" t="str">
        <f>VLOOKUP(B17969,indexy!$A$44:$D$823,3,FALSE)</f>
        <v>REP SQ Equity</v>
      </c>
      <c r="J17969" s="434"/>
    </row>
    <row r="17970" spans="1:10" ht="12.75" hidden="1" customHeight="1" outlineLevel="1" x14ac:dyDescent="0.25">
      <c r="A17970" s="135">
        <v>0.02</v>
      </c>
      <c r="B17970" s="211" t="s">
        <v>5205</v>
      </c>
      <c r="C17970" s="472">
        <v>22.296500000000002</v>
      </c>
      <c r="D17970" s="1597">
        <f>VLOOKUP(H17970,indexy!$C$44:$D$823,2,FALSE)/100</f>
        <v>18.952000000000002</v>
      </c>
      <c r="E17970" s="1463">
        <f t="shared" si="296"/>
        <v>-0.15000112125221443</v>
      </c>
      <c r="F17970" s="1494">
        <f t="shared" si="295"/>
        <v>-3.0000224250442886E-3</v>
      </c>
      <c r="G17970" s="415"/>
      <c r="H17970" s="415" t="str">
        <f>VLOOKUP(B17970,indexy!$A$44:$D$823,3,FALSE)</f>
        <v>RDSA LN Equity</v>
      </c>
      <c r="J17970" s="434"/>
    </row>
    <row r="17971" spans="1:10" ht="12.75" hidden="1" customHeight="1" outlineLevel="1" x14ac:dyDescent="0.25">
      <c r="A17971" s="135">
        <v>0.03</v>
      </c>
      <c r="B17971" s="211" t="s">
        <v>6116</v>
      </c>
      <c r="C17971" s="472">
        <v>4.5951000000000004</v>
      </c>
      <c r="D17971" s="1597">
        <f>VLOOKUP(H17971,indexy!$C$44:$D$823,2,FALSE)</f>
        <v>4.3760000000000003</v>
      </c>
      <c r="E17971" s="1463">
        <f t="shared" si="296"/>
        <v>-4.7681225653413484E-2</v>
      </c>
      <c r="F17971" s="1494">
        <f t="shared" si="295"/>
        <v>-1.4304367696024044E-3</v>
      </c>
      <c r="G17971" s="415"/>
      <c r="H17971" s="415" t="str">
        <f>VLOOKUP(B17971,indexy!$A$44:$D$823,3,FALSE)</f>
        <v>SRG IM Equity</v>
      </c>
      <c r="J17971" s="434"/>
    </row>
    <row r="17972" spans="1:10" ht="12.75" hidden="1" customHeight="1" outlineLevel="1" x14ac:dyDescent="0.25">
      <c r="A17972" s="135">
        <v>0.02</v>
      </c>
      <c r="B17972" s="211" t="s">
        <v>1857</v>
      </c>
      <c r="C17972" s="472">
        <v>14.379</v>
      </c>
      <c r="D17972" s="1597">
        <f>VLOOKUP(H17972,indexy!$C$44:$D$823,2,FALSE)/100</f>
        <v>16.5</v>
      </c>
      <c r="E17972" s="1463">
        <f t="shared" si="296"/>
        <v>0.14750678072188617</v>
      </c>
      <c r="F17972" s="1494">
        <f t="shared" si="295"/>
        <v>2.9501356144377234E-3</v>
      </c>
      <c r="G17972" s="415"/>
      <c r="H17972" s="415" t="str">
        <f>VLOOKUP(B17972,indexy!$A$44:$D$823,3,FALSE)</f>
        <v>SSE LN Equity</v>
      </c>
      <c r="J17972" s="434"/>
    </row>
    <row r="17973" spans="1:10" ht="12.75" hidden="1" customHeight="1" outlineLevel="1" x14ac:dyDescent="0.25">
      <c r="A17973" s="135">
        <v>0.05</v>
      </c>
      <c r="B17973" s="211" t="s">
        <v>6527</v>
      </c>
      <c r="C17973" s="472">
        <v>100.931</v>
      </c>
      <c r="D17973" s="1597">
        <f>VLOOKUP(H17973,indexy!$C$44:$D$823,2,FALSE)</f>
        <v>108.25</v>
      </c>
      <c r="E17973" s="1463">
        <f t="shared" si="296"/>
        <v>7.2514886407545776E-2</v>
      </c>
      <c r="F17973" s="1494">
        <f t="shared" si="295"/>
        <v>3.6257443203772891E-3</v>
      </c>
      <c r="G17973" s="415"/>
      <c r="H17973" s="415" t="str">
        <f>VLOOKUP(B17973,indexy!$A$44:$D$823,3,FALSE)</f>
        <v>SHBA SS Equity</v>
      </c>
      <c r="J17973" s="434"/>
    </row>
    <row r="17974" spans="1:10" ht="12.75" hidden="1" customHeight="1" outlineLevel="1" x14ac:dyDescent="0.25">
      <c r="A17974" s="135">
        <v>0.08</v>
      </c>
      <c r="B17974" s="211" t="s">
        <v>6118</v>
      </c>
      <c r="C17974" s="472">
        <v>109.04</v>
      </c>
      <c r="D17974" s="1597">
        <f>VLOOKUP(H17974,indexy!$C$44:$D$823,2,FALSE)</f>
        <v>115.95</v>
      </c>
      <c r="E17974" s="1463">
        <f t="shared" si="296"/>
        <v>6.337123991195881E-2</v>
      </c>
      <c r="F17974" s="1494">
        <f t="shared" si="295"/>
        <v>5.0696991929567049E-3</v>
      </c>
      <c r="G17974" s="415"/>
      <c r="H17974" s="415" t="str">
        <f>VLOOKUP(B17974,indexy!$A$44:$D$823,3,FALSE)</f>
        <v>SREN SE Equity</v>
      </c>
      <c r="J17974" s="434"/>
    </row>
    <row r="17975" spans="1:10" ht="12.75" hidden="1" customHeight="1" outlineLevel="1" x14ac:dyDescent="0.25">
      <c r="A17975" s="135">
        <v>0.04</v>
      </c>
      <c r="B17975" s="211" t="s">
        <v>8530</v>
      </c>
      <c r="C17975" s="472">
        <v>8.9469999999999992</v>
      </c>
      <c r="D17975" s="1597">
        <f>VLOOKUP(H17975,indexy!$C$44:$D$823,2,FALSE)</f>
        <v>8.7200000000000006</v>
      </c>
      <c r="E17975" s="1463">
        <f t="shared" si="296"/>
        <v>-2.5371632949591882E-2</v>
      </c>
      <c r="F17975" s="1494">
        <f t="shared" si="295"/>
        <v>-1.0148653179836754E-3</v>
      </c>
      <c r="G17975" s="415"/>
      <c r="H17975" s="415" t="str">
        <f>VLOOKUP(B17975,indexy!$A$44:$D$823,3,FALSE)</f>
        <v>SYD AT Equity</v>
      </c>
      <c r="J17975" s="434"/>
    </row>
    <row r="17976" spans="1:10" ht="12.75" hidden="1" customHeight="1" outlineLevel="1" x14ac:dyDescent="0.25">
      <c r="A17976" s="135">
        <v>0.02</v>
      </c>
      <c r="B17976" s="211" t="s">
        <v>434</v>
      </c>
      <c r="C17976" s="472">
        <v>40.79</v>
      </c>
      <c r="D17976" s="1597">
        <f>VLOOKUP(H17976,indexy!$C$44:$D$823,2,FALSE)</f>
        <v>27.43</v>
      </c>
      <c r="E17976" s="1463">
        <f t="shared" si="296"/>
        <v>-0.32753125766119151</v>
      </c>
      <c r="F17976" s="1494">
        <f t="shared" si="295"/>
        <v>-6.5506251532238303E-3</v>
      </c>
      <c r="G17976" s="415"/>
      <c r="H17976" s="415" t="str">
        <f>VLOOKUP(B17976,indexy!$A$44:$D$823,3,FALSE)</f>
        <v>TELIA SS Equity</v>
      </c>
      <c r="J17976" s="434"/>
    </row>
    <row r="17977" spans="1:10" ht="12.75" hidden="1" customHeight="1" outlineLevel="1" x14ac:dyDescent="0.25">
      <c r="A17977" s="135">
        <v>0.02</v>
      </c>
      <c r="B17977" s="211" t="s">
        <v>10633</v>
      </c>
      <c r="C17977" s="472">
        <v>48.731000000000002</v>
      </c>
      <c r="D17977" s="1597">
        <f>VLOOKUP(H17977,indexy!$C$44:$D$823,2,FALSE)</f>
        <v>63.47</v>
      </c>
      <c r="E17977" s="1463">
        <f t="shared" si="296"/>
        <v>0.30245634195891724</v>
      </c>
      <c r="F17977" s="1494">
        <f>E17977*A17977</f>
        <v>6.049126839178345E-3</v>
      </c>
      <c r="G17977" s="415"/>
      <c r="H17977" s="415" t="str">
        <f>VLOOKUP(B17977,indexy!$A$44:$D$823,3,FALSE)</f>
        <v>TTE FP Equity</v>
      </c>
      <c r="J17977" s="434"/>
    </row>
    <row r="17978" spans="1:10" ht="12.75" hidden="1" customHeight="1" outlineLevel="1" x14ac:dyDescent="0.25">
      <c r="A17978" s="135">
        <v>0.02</v>
      </c>
      <c r="B17978" s="211" t="s">
        <v>5758</v>
      </c>
      <c r="C17978" s="472">
        <v>56.530999999999999</v>
      </c>
      <c r="D17978" s="1597">
        <f>VLOOKUP(H17978,indexy!$C$44:$D$946,2,FALSE)</f>
        <v>43.54</v>
      </c>
      <c r="E17978" s="1463">
        <f t="shared" si="296"/>
        <v>-0.22980311687392763</v>
      </c>
      <c r="F17978" s="1494">
        <f>E17978*A17978</f>
        <v>-4.5960623374785526E-3</v>
      </c>
      <c r="G17978" s="415"/>
      <c r="H17978" s="415" t="str">
        <f>VLOOKUP(B17978,indexy!$A$44:$D$946,3,FALSE)</f>
        <v>VTR UN Equity</v>
      </c>
      <c r="J17978" s="434"/>
    </row>
    <row r="17979" spans="1:10" ht="12.75" hidden="1" customHeight="1" outlineLevel="1" x14ac:dyDescent="0.25">
      <c r="A17979" s="135">
        <v>0.02</v>
      </c>
      <c r="B17979" s="211" t="s">
        <v>5522</v>
      </c>
      <c r="C17979" s="472">
        <v>41.649000000000001</v>
      </c>
      <c r="D17979" s="1597">
        <f>VLOOKUP(H17979,indexy!$C$44:$D$823,2,FALSE)</f>
        <v>68.400000000000006</v>
      </c>
      <c r="E17979" s="1463">
        <f t="shared" si="296"/>
        <v>0.64229633364546568</v>
      </c>
      <c r="F17979" s="1494">
        <f>E17979*A17979</f>
        <v>1.2845926672909314E-2</v>
      </c>
      <c r="G17979" s="415"/>
      <c r="H17979" s="415" t="str">
        <f>VLOOKUP(B17979,indexy!$A$44:$D$823,3,FALSE)</f>
        <v>WES AT Equity</v>
      </c>
      <c r="J17979" s="434"/>
    </row>
    <row r="17980" spans="1:10" ht="12.75" hidden="1" customHeight="1" outlineLevel="1" x14ac:dyDescent="0.25">
      <c r="A17980" s="135">
        <v>0.02</v>
      </c>
      <c r="B17980" s="211" t="s">
        <v>7857</v>
      </c>
      <c r="C17980" s="472">
        <v>34.927</v>
      </c>
      <c r="D17980" s="1597">
        <f>VLOOKUP(H17980,indexy!$C$44:$D$823,2,FALSE)</f>
        <v>30.5</v>
      </c>
      <c r="E17980" s="1463">
        <f t="shared" si="296"/>
        <v>-0.12675007873564859</v>
      </c>
      <c r="F17980" s="1494">
        <f>E17980*A17980</f>
        <v>-2.5350015747129719E-3</v>
      </c>
      <c r="G17980" s="415"/>
      <c r="H17980" s="415" t="str">
        <f>VLOOKUP(B17980,indexy!$A$44:$D$823,3,FALSE)</f>
        <v>WDS AU Equity</v>
      </c>
      <c r="J17980" s="434"/>
    </row>
    <row r="17981" spans="1:10" ht="12.75" hidden="1" customHeight="1" outlineLevel="1" x14ac:dyDescent="0.25">
      <c r="A17981" s="135">
        <v>0.04</v>
      </c>
      <c r="B17981" s="1465" t="s">
        <v>10003</v>
      </c>
      <c r="C17981" s="472">
        <v>77.876000000000005</v>
      </c>
      <c r="D17981" s="1598">
        <f>VLOOKUP(H17981,indexy!$C$44:$D$823,2,FALSE)</f>
        <v>56.44</v>
      </c>
      <c r="E17981" s="1463">
        <f t="shared" si="296"/>
        <v>-0.27525810262468542</v>
      </c>
      <c r="F17981" s="1494">
        <f>E17981*A17981</f>
        <v>-1.1010324104987416E-2</v>
      </c>
      <c r="G17981" s="415"/>
      <c r="H17981" s="415" t="str">
        <f>VLOOKUP(B17981,indexy!$A$44:$D$823,3,FALSE)</f>
        <v>WPC UN Equity</v>
      </c>
      <c r="J17981" s="434"/>
    </row>
    <row r="17982" spans="1:10" ht="12.75" hidden="1" customHeight="1" outlineLevel="1" x14ac:dyDescent="0.25">
      <c r="A17982" s="1475" t="s">
        <v>2734</v>
      </c>
      <c r="B17982" s="150"/>
      <c r="C17982" s="1476">
        <v>100</v>
      </c>
      <c r="D17982" s="1477"/>
      <c r="E17982" s="1599"/>
      <c r="F17982" s="1599">
        <f>SUM(F17952:F17981)</f>
        <v>6.6021325838874489E-3</v>
      </c>
      <c r="G17982" s="415"/>
      <c r="H17982" s="415"/>
    </row>
    <row r="17983" spans="1:10" ht="12.75" hidden="1" customHeight="1" outlineLevel="1" x14ac:dyDescent="0.25">
      <c r="A17983" s="221" t="s">
        <v>10266</v>
      </c>
      <c r="B17983" s="1478">
        <v>45352</v>
      </c>
      <c r="C17983" s="1497">
        <v>100</v>
      </c>
      <c r="D17983" s="1497"/>
      <c r="E17983" s="1498">
        <f>IF(D17983="",F17982,D17983/C17983-1)</f>
        <v>6.6021325838874489E-3</v>
      </c>
      <c r="F17983" s="1499"/>
      <c r="G17983" s="415"/>
      <c r="H17983" s="415"/>
    </row>
    <row r="17984" spans="1:10" ht="12.75" hidden="1" customHeight="1" outlineLevel="1" x14ac:dyDescent="0.25">
      <c r="A17984" s="221" t="s">
        <v>10267</v>
      </c>
      <c r="B17984" s="1478">
        <v>45383</v>
      </c>
      <c r="C17984" s="1497">
        <v>100</v>
      </c>
      <c r="D17984" s="1500"/>
      <c r="E17984" s="1498">
        <f>IF(D17984="",E17983,D17984/C17984-1)</f>
        <v>6.6021325838874489E-3</v>
      </c>
      <c r="F17984" s="1499"/>
      <c r="G17984" s="415"/>
      <c r="H17984" s="415"/>
    </row>
    <row r="17985" spans="1:8" ht="12.75" hidden="1" customHeight="1" outlineLevel="1" x14ac:dyDescent="0.25">
      <c r="A17985" s="221" t="s">
        <v>10268</v>
      </c>
      <c r="B17985" s="1478">
        <v>45413</v>
      </c>
      <c r="C17985" s="1497">
        <v>100</v>
      </c>
      <c r="D17985" s="1500"/>
      <c r="E17985" s="1498">
        <f>IF(D17985="",E17984,D17985/C17985-1)</f>
        <v>6.6021325838874489E-3</v>
      </c>
      <c r="F17985" s="1499"/>
      <c r="G17985" s="415"/>
      <c r="H17985" s="415"/>
    </row>
    <row r="17986" spans="1:8" ht="12.75" hidden="1" customHeight="1" outlineLevel="1" x14ac:dyDescent="0.25">
      <c r="A17986" s="221" t="s">
        <v>10269</v>
      </c>
      <c r="B17986" s="1478">
        <v>45444</v>
      </c>
      <c r="C17986" s="1497">
        <v>100</v>
      </c>
      <c r="D17986" s="1500"/>
      <c r="E17986" s="1498">
        <f>IF(D17986="",E17985,D17986/C17986-1)</f>
        <v>6.6021325838874489E-3</v>
      </c>
      <c r="F17986" s="1499"/>
      <c r="G17986" s="415"/>
      <c r="H17986" s="415"/>
    </row>
    <row r="17987" spans="1:8" ht="12.75" hidden="1" customHeight="1" outlineLevel="1" x14ac:dyDescent="0.25">
      <c r="A17987" s="221" t="s">
        <v>10270</v>
      </c>
      <c r="B17987" s="1478">
        <v>45474</v>
      </c>
      <c r="C17987" s="1497">
        <v>100</v>
      </c>
      <c r="D17987" s="1500"/>
      <c r="E17987" s="1498">
        <f t="shared" ref="E17987:E17992" si="297">IF(D17987="",E17986,D17987/C17987-1)</f>
        <v>6.6021325838874489E-3</v>
      </c>
      <c r="F17987" s="1499"/>
      <c r="G17987" s="415"/>
      <c r="H17987" s="415"/>
    </row>
    <row r="17988" spans="1:8" ht="12.75" hidden="1" customHeight="1" outlineLevel="1" x14ac:dyDescent="0.25">
      <c r="A17988" s="221" t="s">
        <v>10271</v>
      </c>
      <c r="B17988" s="1478">
        <v>45505</v>
      </c>
      <c r="C17988" s="1497">
        <v>100</v>
      </c>
      <c r="D17988" s="1500"/>
      <c r="E17988" s="1498">
        <f t="shared" si="297"/>
        <v>6.6021325838874489E-3</v>
      </c>
      <c r="F17988" s="1499"/>
      <c r="G17988" s="415"/>
      <c r="H17988" s="415"/>
    </row>
    <row r="17989" spans="1:8" ht="12.75" hidden="1" customHeight="1" outlineLevel="1" x14ac:dyDescent="0.25">
      <c r="A17989" s="221" t="s">
        <v>10272</v>
      </c>
      <c r="B17989" s="1478">
        <v>45536</v>
      </c>
      <c r="C17989" s="1497">
        <v>100</v>
      </c>
      <c r="D17989" s="1500"/>
      <c r="E17989" s="1498">
        <f t="shared" si="297"/>
        <v>6.6021325838874489E-3</v>
      </c>
      <c r="F17989" s="1499"/>
      <c r="G17989" s="415"/>
      <c r="H17989" s="415"/>
    </row>
    <row r="17990" spans="1:8" ht="12.75" hidden="1" customHeight="1" outlineLevel="1" x14ac:dyDescent="0.25">
      <c r="A17990" s="221" t="s">
        <v>10273</v>
      </c>
      <c r="B17990" s="1478">
        <v>45566</v>
      </c>
      <c r="C17990" s="1497">
        <v>100</v>
      </c>
      <c r="D17990" s="1500"/>
      <c r="E17990" s="1498">
        <f t="shared" si="297"/>
        <v>6.6021325838874489E-3</v>
      </c>
      <c r="F17990" s="1499"/>
      <c r="G17990" s="415"/>
      <c r="H17990" s="415"/>
    </row>
    <row r="17991" spans="1:8" ht="12.75" hidden="1" customHeight="1" outlineLevel="1" x14ac:dyDescent="0.25">
      <c r="A17991" s="221" t="s">
        <v>10274</v>
      </c>
      <c r="B17991" s="1478">
        <v>45597</v>
      </c>
      <c r="C17991" s="1497">
        <v>100</v>
      </c>
      <c r="D17991" s="1500"/>
      <c r="E17991" s="1498">
        <f t="shared" si="297"/>
        <v>6.6021325838874489E-3</v>
      </c>
      <c r="F17991" s="1499"/>
      <c r="G17991" s="415"/>
      <c r="H17991" s="415"/>
    </row>
    <row r="17992" spans="1:8" ht="12.75" hidden="1" customHeight="1" outlineLevel="1" x14ac:dyDescent="0.25">
      <c r="A17992" s="221" t="s">
        <v>10275</v>
      </c>
      <c r="B17992" s="1478">
        <v>45627</v>
      </c>
      <c r="C17992" s="1497">
        <v>100</v>
      </c>
      <c r="D17992" s="1500"/>
      <c r="E17992" s="1498">
        <f t="shared" si="297"/>
        <v>6.6021325838874489E-3</v>
      </c>
      <c r="F17992" s="1499"/>
      <c r="G17992" s="415"/>
      <c r="H17992" s="415"/>
    </row>
    <row r="17993" spans="1:8" ht="12.75" hidden="1" customHeight="1" outlineLevel="1" x14ac:dyDescent="0.25">
      <c r="A17993" s="221" t="s">
        <v>10276</v>
      </c>
      <c r="B17993" s="1478">
        <v>45658</v>
      </c>
      <c r="C17993" s="1497">
        <v>100</v>
      </c>
      <c r="D17993" s="1500"/>
      <c r="E17993" s="1498">
        <f>IF(D17993="",E17986,D17993/C17993-1)</f>
        <v>6.6021325838874489E-3</v>
      </c>
      <c r="F17993" s="1499"/>
      <c r="G17993" s="415"/>
      <c r="H17993" s="415"/>
    </row>
    <row r="17994" spans="1:8" ht="12.75" hidden="1" customHeight="1" outlineLevel="1" x14ac:dyDescent="0.25">
      <c r="A17994" s="221" t="s">
        <v>10277</v>
      </c>
      <c r="B17994" s="1478">
        <v>45689</v>
      </c>
      <c r="C17994" s="1497">
        <v>100</v>
      </c>
      <c r="D17994" s="1500"/>
      <c r="E17994" s="1498">
        <f>IF(D17994="",E17993,D17994/C17994-1)</f>
        <v>6.6021325838874489E-3</v>
      </c>
      <c r="F17994" s="1499"/>
      <c r="G17994" s="415"/>
      <c r="H17994" s="415"/>
    </row>
    <row r="17995" spans="1:8" ht="12.75" hidden="1" customHeight="1" outlineLevel="1" x14ac:dyDescent="0.25">
      <c r="A17995" s="221" t="s">
        <v>10278</v>
      </c>
      <c r="B17995" s="1478">
        <v>45717</v>
      </c>
      <c r="C17995" s="1497">
        <v>100</v>
      </c>
      <c r="D17995" s="1500"/>
      <c r="E17995" s="1498">
        <f t="shared" ref="E17995:E18000" si="298">IF(D17995="",E17994,D17995/C17995-1)</f>
        <v>6.6021325838874489E-3</v>
      </c>
      <c r="F17995" s="2771"/>
      <c r="G17995" s="415"/>
      <c r="H17995" s="415"/>
    </row>
    <row r="17996" spans="1:8" ht="12.75" hidden="1" customHeight="1" outlineLevel="1" x14ac:dyDescent="0.25">
      <c r="A17996" s="221" t="s">
        <v>10279</v>
      </c>
      <c r="B17996" s="1478">
        <v>45748</v>
      </c>
      <c r="C17996" s="1497">
        <v>100</v>
      </c>
      <c r="D17996" s="1500"/>
      <c r="E17996" s="1498">
        <f t="shared" si="298"/>
        <v>6.6021325838874489E-3</v>
      </c>
      <c r="F17996" s="2771"/>
      <c r="G17996" s="415"/>
      <c r="H17996" s="415"/>
    </row>
    <row r="17997" spans="1:8" ht="12.75" hidden="1" customHeight="1" outlineLevel="1" x14ac:dyDescent="0.25">
      <c r="A17997" s="221" t="s">
        <v>10280</v>
      </c>
      <c r="B17997" s="1478">
        <v>45778</v>
      </c>
      <c r="C17997" s="1497">
        <v>100</v>
      </c>
      <c r="D17997" s="1500"/>
      <c r="E17997" s="1498">
        <f t="shared" si="298"/>
        <v>6.6021325838874489E-3</v>
      </c>
      <c r="F17997" s="2771"/>
      <c r="G17997" s="415"/>
      <c r="H17997" s="415"/>
    </row>
    <row r="17998" spans="1:8" ht="12.75" hidden="1" customHeight="1" outlineLevel="1" x14ac:dyDescent="0.25">
      <c r="A17998" s="221" t="s">
        <v>10281</v>
      </c>
      <c r="B17998" s="1478">
        <v>45809</v>
      </c>
      <c r="C17998" s="1497">
        <v>100</v>
      </c>
      <c r="D17998" s="1500"/>
      <c r="E17998" s="1498">
        <f t="shared" si="298"/>
        <v>6.6021325838874489E-3</v>
      </c>
      <c r="F17998" s="2771"/>
      <c r="G17998" s="415"/>
      <c r="H17998" s="415"/>
    </row>
    <row r="17999" spans="1:8" ht="12.75" hidden="1" customHeight="1" outlineLevel="1" x14ac:dyDescent="0.25">
      <c r="A17999" s="221" t="s">
        <v>10282</v>
      </c>
      <c r="B17999" s="1478">
        <v>45839</v>
      </c>
      <c r="C17999" s="1497">
        <v>100</v>
      </c>
      <c r="D17999" s="1500"/>
      <c r="E17999" s="1498">
        <f t="shared" si="298"/>
        <v>6.6021325838874489E-3</v>
      </c>
      <c r="F17999" s="2771"/>
      <c r="G17999" s="415"/>
      <c r="H17999" s="415"/>
    </row>
    <row r="18000" spans="1:8" ht="12.75" hidden="1" customHeight="1" outlineLevel="1" x14ac:dyDescent="0.25">
      <c r="A18000" s="221" t="s">
        <v>10283</v>
      </c>
      <c r="B18000" s="1478">
        <v>45870</v>
      </c>
      <c r="C18000" s="1497">
        <v>100</v>
      </c>
      <c r="D18000" s="1500"/>
      <c r="E18000" s="1498">
        <f t="shared" si="298"/>
        <v>6.6021325838874489E-3</v>
      </c>
      <c r="F18000" s="2771"/>
      <c r="G18000" s="415"/>
      <c r="H18000" s="415"/>
    </row>
    <row r="18001" spans="1:56" s="444" customFormat="1" ht="12.75" hidden="1" customHeight="1" outlineLevel="1" x14ac:dyDescent="0.25">
      <c r="A18001" s="2067" t="s">
        <v>2734</v>
      </c>
      <c r="B18001" s="2068"/>
      <c r="C18001" s="2058"/>
      <c r="D18001" s="2069" t="s">
        <v>2465</v>
      </c>
      <c r="E18001" s="2070">
        <f>AVERAGE(E17983:E18000)</f>
        <v>6.6021325838874489E-3</v>
      </c>
      <c r="F18001" s="2071">
        <f>((((E18001*100)+100)-I17952)/100)</f>
        <v>0.29587613258388756</v>
      </c>
    </row>
    <row r="18002" spans="1:56" collapsed="1" x14ac:dyDescent="0.25">
      <c r="A18002" s="3799" t="s">
        <v>10105</v>
      </c>
      <c r="B18002" s="3800"/>
      <c r="C18002" s="3800"/>
      <c r="D18002" s="3800"/>
      <c r="E18002" s="18"/>
      <c r="F18002" s="186">
        <f>IF(F18001&lt;-5%,-5%,IF(F18001&lt;0,F18001,MIN(F18001*0.6,60%)))</f>
        <v>0.17752567955033252</v>
      </c>
      <c r="G18002" s="415"/>
    </row>
    <row r="18004" spans="1:56" hidden="1" outlineLevel="1" x14ac:dyDescent="0.25">
      <c r="A18004" s="1712" t="s">
        <v>113</v>
      </c>
      <c r="B18004" s="1712" t="s">
        <v>114</v>
      </c>
      <c r="C18004" s="1713" t="s">
        <v>112</v>
      </c>
      <c r="D18004" s="1713" t="s">
        <v>4155</v>
      </c>
      <c r="E18004" s="1713" t="s">
        <v>116</v>
      </c>
      <c r="F18004" s="1887" t="s">
        <v>8050</v>
      </c>
      <c r="G18004" s="78"/>
      <c r="H18004" s="361" t="s">
        <v>3766</v>
      </c>
      <c r="I18004" s="1462">
        <v>45413</v>
      </c>
      <c r="J18004" s="1462">
        <v>45444</v>
      </c>
      <c r="K18004" s="1462">
        <v>45474</v>
      </c>
      <c r="L18004" s="1462">
        <v>45505</v>
      </c>
      <c r="M18004" s="1462">
        <v>45536</v>
      </c>
      <c r="N18004" s="1462">
        <v>45566</v>
      </c>
      <c r="O18004" s="1462">
        <v>45597</v>
      </c>
      <c r="P18004" s="1462">
        <v>45627</v>
      </c>
      <c r="Q18004" s="1462">
        <v>45658</v>
      </c>
      <c r="R18004" s="1462">
        <v>45689</v>
      </c>
      <c r="S18004" s="1462">
        <v>45717</v>
      </c>
      <c r="T18004" s="1462">
        <v>45748</v>
      </c>
      <c r="U18004" s="1462">
        <v>45778</v>
      </c>
      <c r="V18004" s="1462">
        <v>45809</v>
      </c>
      <c r="W18004" s="1462">
        <v>45839</v>
      </c>
      <c r="X18004" s="1462">
        <v>45870</v>
      </c>
      <c r="Y18004" s="1462">
        <v>45901</v>
      </c>
      <c r="Z18004" s="1462">
        <v>45931</v>
      </c>
      <c r="AA18004" s="1302"/>
      <c r="AB18004" s="1302"/>
      <c r="AC18004" s="1302"/>
      <c r="AD18004" s="1302"/>
      <c r="AE18004" s="1302"/>
      <c r="AF18004" s="1302"/>
      <c r="AG18004" s="1302"/>
      <c r="AH18004" s="1302"/>
      <c r="AI18004" s="1302"/>
      <c r="AJ18004" s="1302"/>
      <c r="AK18004" s="1302"/>
      <c r="AL18004" s="1302"/>
      <c r="AM18004" s="1302"/>
      <c r="AN18004" s="1302"/>
      <c r="AO18004" s="1302"/>
      <c r="AP18004" s="1302"/>
      <c r="AQ18004" s="1302"/>
      <c r="AR18004" s="1302"/>
      <c r="AS18004" s="1302"/>
      <c r="AT18004" s="1302"/>
      <c r="AU18004" s="1302"/>
      <c r="AV18004" s="1302"/>
      <c r="AW18004" s="1302"/>
      <c r="AX18004" s="1302"/>
      <c r="AY18004" s="1302"/>
      <c r="AZ18004" s="1302"/>
      <c r="BA18004" s="1302"/>
      <c r="BB18004" s="1302"/>
      <c r="BC18004" s="1302"/>
      <c r="BD18004" s="1302"/>
    </row>
    <row r="18005" spans="1:56" hidden="1" outlineLevel="1" x14ac:dyDescent="0.25">
      <c r="A18005" s="221" t="s">
        <v>1327</v>
      </c>
      <c r="B18005" s="1622" t="s">
        <v>10174</v>
      </c>
      <c r="C18005" s="1669">
        <v>405.48200000000003</v>
      </c>
      <c r="D18005" s="1669">
        <f>+indexy!$B$28</f>
        <v>371.51</v>
      </c>
      <c r="E18005" s="1709"/>
      <c r="F18005" s="1305">
        <f>+D18005/C18005-1</f>
        <v>-8.3781770830764435E-2</v>
      </c>
      <c r="G18005" s="78"/>
      <c r="H18005" s="2487">
        <f>AVERAGE(I18005:Z18005)</f>
        <v>371.5100000000001</v>
      </c>
      <c r="I18005" s="2486">
        <f>+indexy!$B$28</f>
        <v>371.51</v>
      </c>
      <c r="J18005" s="2486">
        <f>+indexy!$B$28</f>
        <v>371.51</v>
      </c>
      <c r="K18005" s="2486">
        <f>+indexy!$B$28</f>
        <v>371.51</v>
      </c>
      <c r="L18005" s="2486">
        <f>+indexy!$B$28</f>
        <v>371.51</v>
      </c>
      <c r="M18005" s="2486">
        <f>+indexy!$B$28</f>
        <v>371.51</v>
      </c>
      <c r="N18005" s="2486">
        <f>+indexy!$B$28</f>
        <v>371.51</v>
      </c>
      <c r="O18005" s="2486">
        <f>+indexy!$B$28</f>
        <v>371.51</v>
      </c>
      <c r="P18005" s="2486">
        <f>+indexy!$B$28</f>
        <v>371.51</v>
      </c>
      <c r="Q18005" s="2486">
        <f>+indexy!$B$28</f>
        <v>371.51</v>
      </c>
      <c r="R18005" s="2486">
        <f>+indexy!$B$28</f>
        <v>371.51</v>
      </c>
      <c r="S18005" s="2486">
        <f>+indexy!$B$28</f>
        <v>371.51</v>
      </c>
      <c r="T18005" s="2486">
        <f>+indexy!$B$28</f>
        <v>371.51</v>
      </c>
      <c r="U18005" s="2486">
        <f>+indexy!$B$28</f>
        <v>371.51</v>
      </c>
      <c r="V18005" s="2486">
        <f>+indexy!$B$28</f>
        <v>371.51</v>
      </c>
      <c r="W18005" s="2486">
        <f>+indexy!$B$28</f>
        <v>371.51</v>
      </c>
      <c r="X18005" s="2486">
        <f>+indexy!$B$28</f>
        <v>371.51</v>
      </c>
      <c r="Y18005" s="2486">
        <f>+indexy!$B$28</f>
        <v>371.51</v>
      </c>
      <c r="Z18005" s="2486">
        <f>+indexy!$B$28</f>
        <v>371.51</v>
      </c>
    </row>
    <row r="18006" spans="1:56" hidden="1" outlineLevel="1" x14ac:dyDescent="0.25">
      <c r="A18006" s="52" t="s">
        <v>2734</v>
      </c>
      <c r="B18006" s="1710"/>
      <c r="C18006" s="1307"/>
      <c r="D18006" s="1307"/>
      <c r="E18006" s="1711"/>
      <c r="G18006" s="78"/>
      <c r="H18006" s="37">
        <f>+H18005/C18005-1</f>
        <v>-8.3781770830764213E-2</v>
      </c>
    </row>
    <row r="18007" spans="1:56" collapsed="1" x14ac:dyDescent="0.25">
      <c r="A18007" s="3799" t="s">
        <v>10210</v>
      </c>
      <c r="B18007" s="3800"/>
      <c r="C18007" s="3800"/>
      <c r="D18007" s="3800"/>
      <c r="E18007" s="18"/>
      <c r="F18007" s="186">
        <f>IF($H$18006&lt;0,0%,MIN(H18006*0.5,40%))</f>
        <v>0</v>
      </c>
      <c r="G18007" s="78"/>
    </row>
    <row r="18009" spans="1:56" ht="12.75" hidden="1" customHeight="1" outlineLevel="1" x14ac:dyDescent="0.25">
      <c r="A18009" s="15" t="s">
        <v>113</v>
      </c>
      <c r="B18009" s="15" t="s">
        <v>114</v>
      </c>
      <c r="C18009" s="15" t="s">
        <v>112</v>
      </c>
      <c r="D18009" s="15" t="s">
        <v>116</v>
      </c>
      <c r="E18009" s="15" t="s">
        <v>117</v>
      </c>
      <c r="F18009" s="1882" t="s">
        <v>121</v>
      </c>
      <c r="G18009" s="78"/>
    </row>
    <row r="18010" spans="1:56" ht="12.75" hidden="1" customHeight="1" outlineLevel="1" x14ac:dyDescent="0.25">
      <c r="A18010" s="4">
        <v>1</v>
      </c>
      <c r="B18010" s="5" t="s">
        <v>252</v>
      </c>
      <c r="C18010" s="6">
        <v>100</v>
      </c>
      <c r="D18010" s="6"/>
      <c r="E18010" s="9"/>
      <c r="F18010" s="10"/>
      <c r="G18010" s="78"/>
    </row>
    <row r="18011" spans="1:56" ht="12.75" hidden="1" customHeight="1" outlineLevel="1" x14ac:dyDescent="0.25">
      <c r="A18011" s="21" t="s">
        <v>2734</v>
      </c>
      <c r="B18011" s="21"/>
      <c r="C18011" s="11"/>
      <c r="D18011" s="32" t="s">
        <v>3702</v>
      </c>
      <c r="E18011" s="33">
        <f>indexy!$B$2</f>
        <v>45379</v>
      </c>
      <c r="F18011" s="38"/>
      <c r="G18011" s="78"/>
    </row>
    <row r="18012" spans="1:56" ht="12.75" hidden="1" customHeight="1" outlineLevel="1" x14ac:dyDescent="0.25">
      <c r="A18012" s="22" t="s">
        <v>4156</v>
      </c>
      <c r="B18012" s="22" t="s">
        <v>4153</v>
      </c>
      <c r="C18012" s="98" t="s">
        <v>112</v>
      </c>
      <c r="D18012" s="131" t="s">
        <v>4155</v>
      </c>
      <c r="E18012" s="24" t="s">
        <v>4154</v>
      </c>
      <c r="F18012" s="189" t="s">
        <v>2519</v>
      </c>
      <c r="G18012" s="78"/>
    </row>
    <row r="18013" spans="1:56" ht="12.75" hidden="1" customHeight="1" outlineLevel="1" x14ac:dyDescent="0.25">
      <c r="A18013" s="134">
        <v>0.08</v>
      </c>
      <c r="B18013" s="211" t="s">
        <v>802</v>
      </c>
      <c r="C18013" s="472">
        <v>10.141</v>
      </c>
      <c r="D18013" s="1488">
        <f>VLOOKUP($H18013,indexy!$C$44:$D$823,2,FALSE)</f>
        <v>19.690000000000001</v>
      </c>
      <c r="E18013" s="1491">
        <f>$D18013/$C18013-1</f>
        <v>0.94162311409131272</v>
      </c>
      <c r="F18013" s="1805">
        <f>$E18013*$A18013</f>
        <v>7.5329849127305018E-2</v>
      </c>
      <c r="G18013" s="78"/>
      <c r="H18013" t="str">
        <f>VLOOKUP(B18013,indexy!$A$44:$D$823,3,FALSE)</f>
        <v>NLY UN Equity</v>
      </c>
    </row>
    <row r="18014" spans="1:56" ht="12.75" hidden="1" customHeight="1" outlineLevel="1" x14ac:dyDescent="0.25">
      <c r="A18014" s="135">
        <v>7.0000000000000007E-2</v>
      </c>
      <c r="B18014" s="211" t="s">
        <v>2697</v>
      </c>
      <c r="C18014" s="472">
        <v>18.281500000000001</v>
      </c>
      <c r="D18014" s="1489">
        <f>VLOOKUP(H18014,indexy!$C$44:$D$823,2,FALSE)</f>
        <v>23.46</v>
      </c>
      <c r="E18014" s="1493">
        <f t="shared" ref="E18014:E18042" si="299">$D18014/$C18014-1</f>
        <v>0.2832645023657796</v>
      </c>
      <c r="F18014" s="1313">
        <f t="shared" ref="F18014:F18041" si="300">$E18014*$A18014</f>
        <v>1.9828515165604573E-2</v>
      </c>
      <c r="G18014" s="78"/>
      <c r="H18014" t="str">
        <f>VLOOKUP(B18014,indexy!$A$44:$D$823,3,FALSE)</f>
        <v>G IM Equity</v>
      </c>
    </row>
    <row r="18015" spans="1:56" ht="12.75" hidden="1" customHeight="1" outlineLevel="1" x14ac:dyDescent="0.25">
      <c r="A18015" s="135">
        <v>0.02</v>
      </c>
      <c r="B18015" s="211" t="s">
        <v>5745</v>
      </c>
      <c r="C18015" s="472">
        <v>26.678999999999998</v>
      </c>
      <c r="D18015" s="1489">
        <f>VLOOKUP(H18015,indexy!$C$44:$D$823,2,FALSE)</f>
        <v>29.4</v>
      </c>
      <c r="E18015" s="1493">
        <f t="shared" si="299"/>
        <v>0.10199032947261899</v>
      </c>
      <c r="F18015" s="1313">
        <f t="shared" si="300"/>
        <v>2.03980658945238E-3</v>
      </c>
      <c r="G18015" s="78"/>
      <c r="H18015" t="str">
        <f>VLOOKUP(B18015,indexy!$A$44:$D$823,3,FALSE)</f>
        <v>ANZ AT Equity</v>
      </c>
    </row>
    <row r="18016" spans="1:56" ht="12.75" hidden="1" customHeight="1" outlineLevel="1" x14ac:dyDescent="0.25">
      <c r="A18016" s="135">
        <v>0.02</v>
      </c>
      <c r="B18016" s="211" t="s">
        <v>218</v>
      </c>
      <c r="C18016" s="472">
        <v>24.436</v>
      </c>
      <c r="D18016" s="1489">
        <f>VLOOKUP(H18016,indexy!$C$44:$D$823,2,FALSE)</f>
        <v>34.814999999999998</v>
      </c>
      <c r="E18016" s="1493">
        <f t="shared" si="299"/>
        <v>0.42474218366344729</v>
      </c>
      <c r="F18016" s="1313">
        <f t="shared" si="300"/>
        <v>8.494843673268946E-3</v>
      </c>
      <c r="G18016" s="78"/>
      <c r="H18016" t="str">
        <f>VLOOKUP(B18016,indexy!$A$44:$D$823,3,FALSE)</f>
        <v>CS FP Equity</v>
      </c>
    </row>
    <row r="18017" spans="1:8" ht="12.75" hidden="1" customHeight="1" outlineLevel="1" x14ac:dyDescent="0.25">
      <c r="A18017" s="135">
        <v>0.04</v>
      </c>
      <c r="B18017" s="211" t="s">
        <v>807</v>
      </c>
      <c r="C18017">
        <v>63.636000000000003</v>
      </c>
      <c r="D18017" s="1489">
        <f>VLOOKUP(H18017,indexy!$C$44:$D$823,2,FALSE)</f>
        <v>46.03</v>
      </c>
      <c r="E18017" s="1493">
        <f t="shared" si="299"/>
        <v>-0.27666729524168709</v>
      </c>
      <c r="F18017" s="1313">
        <f t="shared" si="300"/>
        <v>-1.1066691809667484E-2</v>
      </c>
      <c r="G18017" s="78"/>
      <c r="H18017" t="str">
        <f>VLOOKUP(B18017,indexy!$A$44:$D$823,3,FALSE)</f>
        <v>BCE CT Equity</v>
      </c>
    </row>
    <row r="18018" spans="1:8" ht="12.75" hidden="1" customHeight="1" outlineLevel="1" x14ac:dyDescent="0.25">
      <c r="A18018" s="135">
        <v>0.02</v>
      </c>
      <c r="B18018" s="211" t="s">
        <v>3954</v>
      </c>
      <c r="C18018">
        <f>108/2</f>
        <v>54</v>
      </c>
      <c r="D18018" s="1489">
        <f>VLOOKUP(H18018,indexy!$C$44:$D$823,2,FALSE)</f>
        <v>68.67</v>
      </c>
      <c r="E18018" s="1493">
        <f t="shared" si="299"/>
        <v>0.27166666666666672</v>
      </c>
      <c r="F18018" s="1313">
        <f t="shared" si="300"/>
        <v>5.4333333333333343E-3</v>
      </c>
      <c r="G18018" s="78"/>
      <c r="H18018" t="str">
        <f>VLOOKUP(B18018,indexy!$A$44:$D$823,3,FALSE)</f>
        <v>CM CT Equity</v>
      </c>
    </row>
    <row r="18019" spans="1:8" ht="12.75" hidden="1" customHeight="1" outlineLevel="1" x14ac:dyDescent="0.25">
      <c r="A18019" s="135">
        <v>0.02</v>
      </c>
      <c r="B18019" s="211" t="s">
        <v>951</v>
      </c>
      <c r="C18019" s="472">
        <v>2797.75</v>
      </c>
      <c r="D18019" s="1489">
        <f>VLOOKUP(H18019,indexy!$C$44:$D$823,2,FALSE)</f>
        <v>4501</v>
      </c>
      <c r="E18019" s="1493">
        <f t="shared" si="299"/>
        <v>0.60879277991242953</v>
      </c>
      <c r="F18019" s="1313">
        <f t="shared" si="300"/>
        <v>1.2175855598248591E-2</v>
      </c>
      <c r="G18019" s="78"/>
      <c r="H18019" t="str">
        <f>VLOOKUP(B18019,indexy!$A$44:$D$823,3,FALSE)</f>
        <v>7751 JT Equity</v>
      </c>
    </row>
    <row r="18020" spans="1:8" ht="12.75" hidden="1" customHeight="1" outlineLevel="1" x14ac:dyDescent="0.25">
      <c r="A18020" s="135">
        <v>0.03</v>
      </c>
      <c r="B18020" s="211" t="s">
        <v>8678</v>
      </c>
      <c r="C18020" s="472">
        <v>88.406000000000006</v>
      </c>
      <c r="D18020" s="1489">
        <f>VLOOKUP(H18020,indexy!$C$44:$D$823,2,FALSE)</f>
        <v>120.34</v>
      </c>
      <c r="E18020" s="1493">
        <f t="shared" si="299"/>
        <v>0.36121982670859443</v>
      </c>
      <c r="F18020" s="1313">
        <f t="shared" si="300"/>
        <v>1.0836594801257832E-2</v>
      </c>
      <c r="G18020" s="78"/>
      <c r="H18020" t="str">
        <f>VLOOKUP(B18020,indexy!$A$44:$D$823,3,FALSE)</f>
        <v>CBA AT Equity</v>
      </c>
    </row>
    <row r="18021" spans="1:8" ht="12.75" hidden="1" customHeight="1" outlineLevel="1" x14ac:dyDescent="0.25">
      <c r="A18021" s="135">
        <v>0.08</v>
      </c>
      <c r="B18021" s="211" t="s">
        <v>9171</v>
      </c>
      <c r="C18021" s="472">
        <v>25.338000000000001</v>
      </c>
      <c r="D18021" s="1489">
        <f>VLOOKUP(H18021,indexy!$C$44:$D$823,2,FALSE)</f>
        <v>17.164999999999999</v>
      </c>
      <c r="E18021" s="1493">
        <f t="shared" si="299"/>
        <v>-0.3225590022890521</v>
      </c>
      <c r="F18021" s="1313">
        <f t="shared" si="300"/>
        <v>-2.5804720183124168E-2</v>
      </c>
      <c r="G18021" s="78"/>
      <c r="H18021" t="str">
        <f>VLOOKUP(B18021,indexy!$A$44:$D$823,3,FALSE)</f>
        <v>ELE SQ Equity</v>
      </c>
    </row>
    <row r="18022" spans="1:8" ht="12.75" hidden="1" customHeight="1" outlineLevel="1" x14ac:dyDescent="0.25">
      <c r="A18022" s="135">
        <v>0.02</v>
      </c>
      <c r="B18022" s="211" t="s">
        <v>3798</v>
      </c>
      <c r="C18022" s="472">
        <v>8.2577999999999996</v>
      </c>
      <c r="D18022" s="1489">
        <f>VLOOKUP(H18022,indexy!$C$44:$D$823,2,FALSE)</f>
        <v>6.1189999999999998</v>
      </c>
      <c r="E18022" s="1493">
        <f t="shared" si="299"/>
        <v>-0.25900360870934147</v>
      </c>
      <c r="F18022" s="1313">
        <f t="shared" si="300"/>
        <v>-5.1800721741868299E-3</v>
      </c>
      <c r="G18022" s="78"/>
      <c r="H18022" t="str">
        <f>VLOOKUP(B18022,indexy!$A$44:$D$823,3,FALSE)</f>
        <v>ENEL IM Equity</v>
      </c>
    </row>
    <row r="18023" spans="1:8" ht="12.75" hidden="1" customHeight="1" outlineLevel="1" x14ac:dyDescent="0.25">
      <c r="A18023" s="135">
        <v>0.02</v>
      </c>
      <c r="B18023" s="211" t="s">
        <v>2701</v>
      </c>
      <c r="C18023" s="472">
        <v>4.7567000000000004</v>
      </c>
      <c r="D18023" s="1489">
        <f>VLOOKUP(H18023,indexy!$C$44:$D$823,2,FALSE)</f>
        <v>3.61</v>
      </c>
      <c r="E18023" s="1493">
        <f t="shared" si="299"/>
        <v>-0.24107049004561998</v>
      </c>
      <c r="F18023" s="1313">
        <f t="shared" si="300"/>
        <v>-4.8214098009123994E-3</v>
      </c>
      <c r="G18023" s="78"/>
      <c r="H18023" t="str">
        <f>VLOOKUP(B18023,indexy!$A$44:$D$823,3,FALSE)</f>
        <v>EDP PL Equity</v>
      </c>
    </row>
    <row r="18024" spans="1:8" ht="12.75" hidden="1" customHeight="1" outlineLevel="1" x14ac:dyDescent="0.25">
      <c r="A18024" s="135">
        <v>0.02</v>
      </c>
      <c r="B18024" s="211" t="s">
        <v>4338</v>
      </c>
      <c r="C18024" s="472">
        <v>16.192</v>
      </c>
      <c r="D18024" s="1489">
        <f>VLOOKUP(H18024,indexy!$C$44:$D$823,2,FALSE)</f>
        <v>15.51</v>
      </c>
      <c r="E18024" s="1493">
        <f t="shared" si="299"/>
        <v>-4.2119565217391353E-2</v>
      </c>
      <c r="F18024" s="1313">
        <f t="shared" si="300"/>
        <v>-8.4239130434782706E-4</v>
      </c>
      <c r="G18024" s="78"/>
      <c r="H18024" t="str">
        <f>VLOOKUP(B18024,indexy!$A$44:$D$823,3,FALSE)</f>
        <v>ENGI FP Equity</v>
      </c>
    </row>
    <row r="18025" spans="1:8" ht="12.75" hidden="1" customHeight="1" outlineLevel="1" x14ac:dyDescent="0.25">
      <c r="A18025" s="135">
        <v>0.02</v>
      </c>
      <c r="B18025" s="211" t="s">
        <v>3799</v>
      </c>
      <c r="C18025" s="490">
        <v>16.529399999999999</v>
      </c>
      <c r="D18025" s="1489">
        <f>VLOOKUP(H18025,indexy!$C$44:$D$823,2,FALSE)/100</f>
        <v>17.085999999999999</v>
      </c>
      <c r="E18025" s="1493">
        <f t="shared" si="299"/>
        <v>3.3673333575326314E-2</v>
      </c>
      <c r="F18025" s="1313">
        <f t="shared" si="300"/>
        <v>6.7346667150652633E-4</v>
      </c>
      <c r="G18025" s="78"/>
      <c r="H18025" t="str">
        <f>VLOOKUP(B18025,indexy!$A$44:$D$823,3,FALSE)</f>
        <v>GSK LN Equity</v>
      </c>
    </row>
    <row r="18026" spans="1:8" ht="12.75" hidden="1" customHeight="1" outlineLevel="1" x14ac:dyDescent="0.25">
      <c r="A18026" s="135">
        <v>0.02</v>
      </c>
      <c r="B18026" s="211" t="s">
        <v>6902</v>
      </c>
      <c r="C18026" s="472">
        <v>3.0863999999999998</v>
      </c>
      <c r="D18026" s="1489">
        <f>VLOOKUP(H18026,indexy!$C$44:$D$823,2,FALSE)/100</f>
        <v>2.544</v>
      </c>
      <c r="E18026" s="1493">
        <f t="shared" si="299"/>
        <v>-0.17573872472783825</v>
      </c>
      <c r="F18026" s="1313">
        <f t="shared" si="300"/>
        <v>-3.5147744945567649E-3</v>
      </c>
      <c r="G18026" s="78"/>
      <c r="H18026" t="str">
        <f>VLOOKUP(B18026,indexy!$A$44:$D$823,3,FALSE)</f>
        <v>LGEN LN Equity</v>
      </c>
    </row>
    <row r="18027" spans="1:8" ht="12.75" hidden="1" customHeight="1" outlineLevel="1" x14ac:dyDescent="0.25">
      <c r="A18027" s="135">
        <v>0.02</v>
      </c>
      <c r="B18027" s="211" t="s">
        <v>8336</v>
      </c>
      <c r="C18027" s="472">
        <v>27.067</v>
      </c>
      <c r="D18027" s="1489">
        <f>VLOOKUP(H18027,indexy!$C$44:$D$823,2,FALSE)</f>
        <v>34.64</v>
      </c>
      <c r="E18027" s="1493">
        <f t="shared" si="299"/>
        <v>0.27978719473898117</v>
      </c>
      <c r="F18027" s="1313">
        <f t="shared" si="300"/>
        <v>5.5957438947796239E-3</v>
      </c>
      <c r="G18027" s="78"/>
      <c r="H18027" t="str">
        <f>VLOOKUP(B18027,indexy!$A$44:$D$823,3,FALSE)</f>
        <v>NAB AT Equity</v>
      </c>
    </row>
    <row r="18028" spans="1:8" ht="12.75" hidden="1" customHeight="1" outlineLevel="1" x14ac:dyDescent="0.25">
      <c r="A18028" s="135">
        <v>0.04</v>
      </c>
      <c r="B18028" s="211" t="s">
        <v>9767</v>
      </c>
      <c r="C18028" s="472">
        <v>23.661000000000001</v>
      </c>
      <c r="D18028" s="1489">
        <f>VLOOKUP(H18028,indexy!$C$44:$D$823,2,FALSE)</f>
        <v>20.100000000000001</v>
      </c>
      <c r="E18028" s="1493">
        <f t="shared" si="299"/>
        <v>-0.15050082414099153</v>
      </c>
      <c r="F18028" s="1313">
        <f t="shared" si="300"/>
        <v>-6.0200329656396609E-3</v>
      </c>
      <c r="G18028" s="78"/>
      <c r="H18028" t="str">
        <f>VLOOKUP(B18028,indexy!$A$44:$D$823,3,FALSE)</f>
        <v>NTGY SQ Equity</v>
      </c>
    </row>
    <row r="18029" spans="1:8" ht="12.75" hidden="1" customHeight="1" outlineLevel="1" x14ac:dyDescent="0.25">
      <c r="A18029" s="135">
        <v>0.08</v>
      </c>
      <c r="B18029" s="211" t="s">
        <v>5824</v>
      </c>
      <c r="C18029" s="472">
        <v>13.287000000000001</v>
      </c>
      <c r="D18029" s="1489">
        <f>VLOOKUP(H18029,indexy!$C$44:$D$823,2,FALSE)</f>
        <v>10.888</v>
      </c>
      <c r="E18029" s="1493">
        <f t="shared" si="299"/>
        <v>-0.1805524196583127</v>
      </c>
      <c r="F18029" s="1313">
        <f t="shared" si="300"/>
        <v>-1.4444193572665017E-2</v>
      </c>
      <c r="G18029" s="78"/>
      <c r="H18029" t="str">
        <f>VLOOKUP(B18029,indexy!$A$44:$D$823,3,FALSE)</f>
        <v>ORA FP Equity</v>
      </c>
    </row>
    <row r="18030" spans="1:8" ht="12.75" hidden="1" customHeight="1" outlineLevel="1" x14ac:dyDescent="0.25">
      <c r="A18030" s="135">
        <v>0.02</v>
      </c>
      <c r="B18030" s="211" t="s">
        <v>2769</v>
      </c>
      <c r="C18030" s="472">
        <v>34.761000000000003</v>
      </c>
      <c r="D18030" s="1489">
        <f>VLOOKUP(H18030,indexy!$C$44:$D$823,2,FALSE)</f>
        <v>27.53</v>
      </c>
      <c r="E18030" s="1493">
        <f t="shared" si="299"/>
        <v>-0.20802048272489282</v>
      </c>
      <c r="F18030" s="1313">
        <f t="shared" si="300"/>
        <v>-4.1604096544978564E-3</v>
      </c>
      <c r="G18030" s="78"/>
      <c r="H18030" t="str">
        <f>VLOOKUP(B18030,indexy!$A$44:$D$823,3,FALSE)</f>
        <v>PPL UN Equity</v>
      </c>
    </row>
    <row r="18031" spans="1:8" ht="12.75" hidden="1" customHeight="1" outlineLevel="1" x14ac:dyDescent="0.25">
      <c r="A18031" s="135">
        <v>0.03</v>
      </c>
      <c r="B18031" s="211" t="s">
        <v>5629</v>
      </c>
      <c r="C18031" s="472">
        <v>19.081</v>
      </c>
      <c r="D18031" s="1489">
        <f>VLOOKUP(H18031,indexy!$C$44:$D$823,2,FALSE)</f>
        <v>15.805</v>
      </c>
      <c r="E18031" s="1493">
        <f t="shared" si="299"/>
        <v>-0.17168911482626692</v>
      </c>
      <c r="F18031" s="1313">
        <f t="shared" si="300"/>
        <v>-5.1506734447880074E-3</v>
      </c>
      <c r="G18031" s="78"/>
      <c r="H18031" t="str">
        <f>VLOOKUP(B18031,indexy!$A$44:$D$823,3,FALSE)</f>
        <v>REE SQ Equity</v>
      </c>
    </row>
    <row r="18032" spans="1:8" ht="12.75" hidden="1" customHeight="1" outlineLevel="1" x14ac:dyDescent="0.25">
      <c r="A18032" s="135">
        <v>0.02</v>
      </c>
      <c r="B18032" s="211" t="s">
        <v>5205</v>
      </c>
      <c r="C18032" s="472">
        <v>18.839600000000001</v>
      </c>
      <c r="D18032" s="1489">
        <f>VLOOKUP(H18032,indexy!$C$44:$D$823,2,FALSE)/100</f>
        <v>18.952000000000002</v>
      </c>
      <c r="E18032" s="1493">
        <f t="shared" si="299"/>
        <v>5.9661563939787943E-3</v>
      </c>
      <c r="F18032" s="1313">
        <f t="shared" si="300"/>
        <v>1.1932312787957589E-4</v>
      </c>
      <c r="G18032" s="78"/>
      <c r="H18032" t="str">
        <f>VLOOKUP(B18032,indexy!$A$44:$D$823,3,FALSE)</f>
        <v>RDSA LN Equity</v>
      </c>
    </row>
    <row r="18033" spans="1:8" ht="12.75" hidden="1" customHeight="1" outlineLevel="1" x14ac:dyDescent="0.25">
      <c r="A18033" s="135">
        <v>0.02</v>
      </c>
      <c r="B18033" s="211" t="s">
        <v>6270</v>
      </c>
      <c r="C18033" s="472">
        <v>40.630000000000003</v>
      </c>
      <c r="D18033" s="1489">
        <f>VLOOKUP(H18033,indexy!$C$44:$D$823,2,FALSE)</f>
        <v>39.515000000000001</v>
      </c>
      <c r="E18033" s="1493">
        <f t="shared" si="299"/>
        <v>-2.7442776273689407E-2</v>
      </c>
      <c r="F18033" s="1313">
        <f t="shared" si="300"/>
        <v>-5.4885552547378818E-4</v>
      </c>
      <c r="G18033" s="78"/>
      <c r="H18033" t="str">
        <f>VLOOKUP(B18033,indexy!$A$44:$D$823,3,FALSE)</f>
        <v>SAMPO FH Equity</v>
      </c>
    </row>
    <row r="18034" spans="1:8" ht="12.75" hidden="1" customHeight="1" outlineLevel="1" x14ac:dyDescent="0.25">
      <c r="A18034" s="135">
        <v>0.02</v>
      </c>
      <c r="B18034" s="211" t="s">
        <v>6116</v>
      </c>
      <c r="C18034" s="472">
        <v>4.9549000000000003</v>
      </c>
      <c r="D18034" s="1489">
        <f>VLOOKUP(H18034,indexy!$C$44:$D$823,2,FALSE)</f>
        <v>4.3760000000000003</v>
      </c>
      <c r="E18034" s="1493">
        <f t="shared" si="299"/>
        <v>-0.11683384124805751</v>
      </c>
      <c r="F18034" s="1313">
        <f t="shared" si="300"/>
        <v>-2.3366768249611504E-3</v>
      </c>
      <c r="G18034" s="78"/>
      <c r="H18034" t="str">
        <f>VLOOKUP(B18034,indexy!$A$44:$D$823,3,FALSE)</f>
        <v>SRG IM Equity</v>
      </c>
    </row>
    <row r="18035" spans="1:8" ht="12.75" hidden="1" customHeight="1" outlineLevel="1" x14ac:dyDescent="0.25">
      <c r="A18035" s="135">
        <v>0.04</v>
      </c>
      <c r="B18035" s="211" t="s">
        <v>6118</v>
      </c>
      <c r="C18035" s="472">
        <v>108.749</v>
      </c>
      <c r="D18035" s="1489">
        <f>VLOOKUP(H18035,indexy!$C$44:$D$823,2,FALSE)</f>
        <v>115.95</v>
      </c>
      <c r="E18035" s="1493">
        <f t="shared" si="299"/>
        <v>6.6216700843226173E-2</v>
      </c>
      <c r="F18035" s="1313">
        <f t="shared" si="300"/>
        <v>2.6486680337290468E-3</v>
      </c>
      <c r="G18035" s="78"/>
      <c r="H18035" t="str">
        <f>VLOOKUP(B18035,indexy!$A$44:$D$823,3,FALSE)</f>
        <v>SREN SE Equity</v>
      </c>
    </row>
    <row r="18036" spans="1:8" ht="12.75" hidden="1" customHeight="1" outlineLevel="1" x14ac:dyDescent="0.25">
      <c r="A18036" s="135">
        <v>0.02</v>
      </c>
      <c r="B18036" s="211" t="s">
        <v>8530</v>
      </c>
      <c r="C18036" s="472">
        <v>8.34</v>
      </c>
      <c r="D18036" s="1489">
        <f>VLOOKUP(H18036,indexy!$C$44:$D$823,2,FALSE)</f>
        <v>8.7200000000000006</v>
      </c>
      <c r="E18036" s="1493">
        <f t="shared" si="299"/>
        <v>4.5563549160671624E-2</v>
      </c>
      <c r="F18036" s="1313">
        <f t="shared" si="300"/>
        <v>9.1127098321343249E-4</v>
      </c>
      <c r="G18036" s="78"/>
      <c r="H18036" t="str">
        <f>VLOOKUP(B18036,indexy!$A$44:$D$823,3,FALSE)</f>
        <v>SYD AT Equity</v>
      </c>
    </row>
    <row r="18037" spans="1:8" ht="12.75" hidden="1" customHeight="1" outlineLevel="1" x14ac:dyDescent="0.25">
      <c r="A18037" s="135">
        <v>0.02</v>
      </c>
      <c r="B18037" s="211" t="s">
        <v>577</v>
      </c>
      <c r="C18037" s="472">
        <v>6.1997999999999998</v>
      </c>
      <c r="D18037" s="1489">
        <f>VLOOKUP(H18037,indexy!$C$44:$D$823,2,FALSE)</f>
        <v>4.0890000000000004</v>
      </c>
      <c r="E18037" s="1493">
        <f t="shared" si="299"/>
        <v>-0.34046259556759884</v>
      </c>
      <c r="F18037" s="1313">
        <f t="shared" si="300"/>
        <v>-6.8092519113519771E-3</v>
      </c>
      <c r="G18037" s="78"/>
      <c r="H18037" t="str">
        <f>VLOOKUP(B18037,indexy!$A$44:$D$823,3,FALSE)</f>
        <v>TEF SQ Equity</v>
      </c>
    </row>
    <row r="18038" spans="1:8" ht="12.75" hidden="1" customHeight="1" outlineLevel="1" x14ac:dyDescent="0.25">
      <c r="A18038" s="135">
        <v>0.04</v>
      </c>
      <c r="B18038" s="211" t="s">
        <v>434</v>
      </c>
      <c r="C18038" s="472">
        <v>41.292999999999999</v>
      </c>
      <c r="D18038" s="1489">
        <f>VLOOKUP(H18038,indexy!$C$44:$D$823,2,FALSE)</f>
        <v>27.43</v>
      </c>
      <c r="E18038" s="1493">
        <f t="shared" si="299"/>
        <v>-0.33572276172716919</v>
      </c>
      <c r="F18038" s="1313">
        <f t="shared" si="300"/>
        <v>-1.3428910469086768E-2</v>
      </c>
      <c r="G18038" s="78"/>
      <c r="H18038" t="str">
        <f>VLOOKUP(B18038,indexy!$A$44:$D$823,3,FALSE)</f>
        <v>TELIA SS Equity</v>
      </c>
    </row>
    <row r="18039" spans="1:8" ht="12.75" hidden="1" customHeight="1" outlineLevel="1" x14ac:dyDescent="0.25">
      <c r="A18039" s="135">
        <v>0.02</v>
      </c>
      <c r="B18039" s="211" t="s">
        <v>10633</v>
      </c>
      <c r="C18039" s="472">
        <v>43.899000000000001</v>
      </c>
      <c r="D18039" s="1489">
        <f>VLOOKUP(H18039,indexy!$C$44:$D$823,2,FALSE)</f>
        <v>63.47</v>
      </c>
      <c r="E18039" s="1493">
        <f t="shared" si="299"/>
        <v>0.4458188113624455</v>
      </c>
      <c r="F18039" s="1313">
        <f t="shared" si="300"/>
        <v>8.9163762272489108E-3</v>
      </c>
      <c r="G18039" s="78"/>
      <c r="H18039" t="str">
        <f>VLOOKUP(B18039,indexy!$A$44:$D$823,3,FALSE)</f>
        <v>TTE FP Equity</v>
      </c>
    </row>
    <row r="18040" spans="1:8" ht="12.75" hidden="1" customHeight="1" outlineLevel="1" x14ac:dyDescent="0.25">
      <c r="A18040" s="135">
        <v>0.02</v>
      </c>
      <c r="B18040" s="211" t="s">
        <v>5522</v>
      </c>
      <c r="C18040" s="472">
        <v>45.055999999999997</v>
      </c>
      <c r="D18040" s="1489">
        <f>VLOOKUP(H18040,indexy!$C$44:$D$823,2,FALSE)</f>
        <v>68.400000000000006</v>
      </c>
      <c r="E18040" s="1493">
        <f t="shared" si="299"/>
        <v>0.51811079545454564</v>
      </c>
      <c r="F18040" s="1313">
        <f t="shared" si="300"/>
        <v>1.0362215909090913E-2</v>
      </c>
      <c r="G18040" s="78"/>
      <c r="H18040" t="str">
        <f>VLOOKUP(B18040,indexy!$A$44:$D$823,3,FALSE)</f>
        <v>WES AT Equity</v>
      </c>
    </row>
    <row r="18041" spans="1:8" ht="12.75" hidden="1" customHeight="1" outlineLevel="1" x14ac:dyDescent="0.25">
      <c r="A18041" s="135">
        <v>0.03</v>
      </c>
      <c r="B18041" s="211" t="s">
        <v>5626</v>
      </c>
      <c r="C18041" s="472">
        <v>25.484000000000002</v>
      </c>
      <c r="D18041" s="1489">
        <f>VLOOKUP(H18041,indexy!$C$44:$D$823,2,FALSE)</f>
        <v>26.1</v>
      </c>
      <c r="E18041" s="1493">
        <f t="shared" si="299"/>
        <v>2.4172029508711335E-2</v>
      </c>
      <c r="F18041" s="1313">
        <f t="shared" si="300"/>
        <v>7.2516088526134001E-4</v>
      </c>
      <c r="G18041" s="78"/>
      <c r="H18041" t="str">
        <f>VLOOKUP(B18041,indexy!$A$44:$D$823,3,FALSE)</f>
        <v>WBC AT Equity</v>
      </c>
    </row>
    <row r="18042" spans="1:8" ht="12.75" hidden="1" customHeight="1" outlineLevel="1" x14ac:dyDescent="0.25">
      <c r="A18042" s="135">
        <v>0.08</v>
      </c>
      <c r="B18042" s="1465" t="s">
        <v>4550</v>
      </c>
      <c r="C18042" s="472">
        <v>426.96</v>
      </c>
      <c r="D18042" s="1490">
        <f>VLOOKUP(H18042,indexy!$C$44:$D$823,2,FALSE)</f>
        <v>486.3</v>
      </c>
      <c r="E18042" s="1495">
        <f t="shared" si="299"/>
        <v>0.13898257448004503</v>
      </c>
      <c r="F18042" s="1314">
        <f>$E18042*$A18042</f>
        <v>1.1118605958403603E-2</v>
      </c>
      <c r="G18042" s="78"/>
      <c r="H18042" t="str">
        <f>VLOOKUP(B18042,indexy!$A$44:$D$823,3,FALSE)</f>
        <v>ZURN SE Equity</v>
      </c>
    </row>
    <row r="18043" spans="1:8" ht="12.75" hidden="1" customHeight="1" outlineLevel="1" x14ac:dyDescent="0.25">
      <c r="A18043" s="1475" t="s">
        <v>2734</v>
      </c>
      <c r="B18043" s="150"/>
      <c r="C18043" s="1476"/>
      <c r="D18043" s="1477"/>
      <c r="E18043" s="512"/>
      <c r="F18043" s="1313">
        <f>SUM(F18013:F18042)</f>
        <v>7.1080565844323929E-2</v>
      </c>
      <c r="G18043" s="78"/>
    </row>
    <row r="18044" spans="1:8" ht="12.75" hidden="1" customHeight="1" outlineLevel="1" x14ac:dyDescent="0.25">
      <c r="A18044" s="221" t="s">
        <v>10318</v>
      </c>
      <c r="B18044" s="1478">
        <v>45413</v>
      </c>
      <c r="C18044" s="1497">
        <v>100</v>
      </c>
      <c r="D18044" s="1497"/>
      <c r="E18044" s="1498">
        <f>IF(D18044="",F18043,D18044/C18044-1)</f>
        <v>7.1080565844323929E-2</v>
      </c>
      <c r="F18044" s="1842"/>
      <c r="G18044" s="78"/>
    </row>
    <row r="18045" spans="1:8" ht="12.75" hidden="1" customHeight="1" outlineLevel="1" x14ac:dyDescent="0.25">
      <c r="A18045" s="221" t="s">
        <v>10319</v>
      </c>
      <c r="B18045" s="1478">
        <v>45444</v>
      </c>
      <c r="C18045" s="1497">
        <v>100</v>
      </c>
      <c r="D18045" s="1500"/>
      <c r="E18045" s="1498">
        <f>IF(D18045="",E18044,D18045/C18045-1)</f>
        <v>7.1080565844323929E-2</v>
      </c>
      <c r="F18045" s="1842"/>
      <c r="G18045" s="78"/>
    </row>
    <row r="18046" spans="1:8" ht="12.75" hidden="1" customHeight="1" outlineLevel="1" x14ac:dyDescent="0.25">
      <c r="A18046" s="221" t="s">
        <v>10320</v>
      </c>
      <c r="B18046" s="1478">
        <v>45474</v>
      </c>
      <c r="C18046" s="1497">
        <v>100</v>
      </c>
      <c r="D18046" s="1500"/>
      <c r="E18046" s="1498">
        <f>IF(D18046="",E18045,D18046/C18046-1)</f>
        <v>7.1080565844323929E-2</v>
      </c>
      <c r="F18046" s="1842"/>
      <c r="G18046" s="78"/>
    </row>
    <row r="18047" spans="1:8" ht="12.75" hidden="1" customHeight="1" outlineLevel="1" x14ac:dyDescent="0.25">
      <c r="A18047" s="221" t="s">
        <v>10321</v>
      </c>
      <c r="B18047" s="1478">
        <v>45505</v>
      </c>
      <c r="C18047" s="1497">
        <v>100</v>
      </c>
      <c r="D18047" s="1500"/>
      <c r="E18047" s="1498">
        <f>IF(D18047="",E18046,D18047/C18047-1)</f>
        <v>7.1080565844323929E-2</v>
      </c>
      <c r="F18047" s="1842"/>
      <c r="G18047" s="78"/>
    </row>
    <row r="18048" spans="1:8" ht="12.75" hidden="1" customHeight="1" outlineLevel="1" x14ac:dyDescent="0.25">
      <c r="A18048" s="221" t="s">
        <v>10322</v>
      </c>
      <c r="B18048" s="1478">
        <v>45536</v>
      </c>
      <c r="C18048" s="1497">
        <v>100</v>
      </c>
      <c r="D18048" s="1500"/>
      <c r="E18048" s="1498">
        <f t="shared" ref="E18048:E18061" si="301">IF(D18048="",E18047,D18048/C18048-1)</f>
        <v>7.1080565844323929E-2</v>
      </c>
      <c r="F18048" s="1842"/>
      <c r="G18048" s="78"/>
    </row>
    <row r="18049" spans="1:7" ht="12.75" hidden="1" customHeight="1" outlineLevel="1" x14ac:dyDescent="0.25">
      <c r="A18049" s="221" t="s">
        <v>10323</v>
      </c>
      <c r="B18049" s="1478">
        <v>45566</v>
      </c>
      <c r="C18049" s="1497">
        <v>100</v>
      </c>
      <c r="D18049" s="1500"/>
      <c r="E18049" s="1498">
        <f t="shared" si="301"/>
        <v>7.1080565844323929E-2</v>
      </c>
      <c r="F18049" s="1842"/>
      <c r="G18049" s="78"/>
    </row>
    <row r="18050" spans="1:7" ht="12.75" hidden="1" customHeight="1" outlineLevel="1" x14ac:dyDescent="0.25">
      <c r="A18050" s="221" t="s">
        <v>10324</v>
      </c>
      <c r="B18050" s="1478">
        <v>45597</v>
      </c>
      <c r="C18050" s="1497">
        <v>100</v>
      </c>
      <c r="D18050" s="1500"/>
      <c r="E18050" s="1498">
        <f t="shared" si="301"/>
        <v>7.1080565844323929E-2</v>
      </c>
      <c r="F18050" s="1842"/>
      <c r="G18050" s="78"/>
    </row>
    <row r="18051" spans="1:7" ht="12.75" hidden="1" customHeight="1" outlineLevel="1" x14ac:dyDescent="0.25">
      <c r="A18051" s="221" t="s">
        <v>10325</v>
      </c>
      <c r="B18051" s="1478">
        <v>45627</v>
      </c>
      <c r="C18051" s="1497">
        <v>100</v>
      </c>
      <c r="D18051" s="1500"/>
      <c r="E18051" s="1498">
        <f t="shared" si="301"/>
        <v>7.1080565844323929E-2</v>
      </c>
      <c r="F18051" s="1842"/>
      <c r="G18051" s="78"/>
    </row>
    <row r="18052" spans="1:7" ht="12.75" hidden="1" customHeight="1" outlineLevel="1" x14ac:dyDescent="0.25">
      <c r="A18052" s="221" t="s">
        <v>10326</v>
      </c>
      <c r="B18052" s="1478">
        <v>45658</v>
      </c>
      <c r="C18052" s="1497">
        <v>100</v>
      </c>
      <c r="D18052" s="1500"/>
      <c r="E18052" s="1498">
        <f t="shared" si="301"/>
        <v>7.1080565844323929E-2</v>
      </c>
      <c r="F18052" s="1842"/>
      <c r="G18052" s="78"/>
    </row>
    <row r="18053" spans="1:7" ht="12.75" hidden="1" customHeight="1" outlineLevel="1" x14ac:dyDescent="0.25">
      <c r="A18053" s="221" t="s">
        <v>10327</v>
      </c>
      <c r="B18053" s="1478">
        <v>45689</v>
      </c>
      <c r="C18053" s="1497">
        <v>100</v>
      </c>
      <c r="D18053" s="1500"/>
      <c r="E18053" s="1498">
        <f t="shared" si="301"/>
        <v>7.1080565844323929E-2</v>
      </c>
      <c r="F18053" s="1842"/>
      <c r="G18053" s="78"/>
    </row>
    <row r="18054" spans="1:7" ht="12.75" hidden="1" customHeight="1" outlineLevel="1" x14ac:dyDescent="0.25">
      <c r="A18054" s="221" t="s">
        <v>10328</v>
      </c>
      <c r="B18054" s="1478">
        <v>45717</v>
      </c>
      <c r="C18054" s="1497">
        <v>100</v>
      </c>
      <c r="D18054" s="1500"/>
      <c r="E18054" s="1498">
        <f t="shared" si="301"/>
        <v>7.1080565844323929E-2</v>
      </c>
      <c r="F18054" s="1842"/>
      <c r="G18054" s="78"/>
    </row>
    <row r="18055" spans="1:7" ht="12.75" hidden="1" customHeight="1" outlineLevel="1" x14ac:dyDescent="0.25">
      <c r="A18055" s="221" t="s">
        <v>10329</v>
      </c>
      <c r="B18055" s="1478">
        <v>45748</v>
      </c>
      <c r="C18055" s="1497">
        <v>100</v>
      </c>
      <c r="D18055" s="1500"/>
      <c r="E18055" s="1498">
        <f t="shared" si="301"/>
        <v>7.1080565844323929E-2</v>
      </c>
      <c r="F18055" s="1842"/>
      <c r="G18055" s="78"/>
    </row>
    <row r="18056" spans="1:7" ht="12.75" hidden="1" customHeight="1" outlineLevel="1" x14ac:dyDescent="0.25">
      <c r="A18056" s="221" t="s">
        <v>10330</v>
      </c>
      <c r="B18056" s="1478">
        <v>45778</v>
      </c>
      <c r="C18056" s="1497">
        <v>100</v>
      </c>
      <c r="D18056" s="1500"/>
      <c r="E18056" s="1498">
        <f t="shared" si="301"/>
        <v>7.1080565844323929E-2</v>
      </c>
      <c r="F18056" s="1842"/>
      <c r="G18056" s="78"/>
    </row>
    <row r="18057" spans="1:7" ht="12.75" hidden="1" customHeight="1" outlineLevel="1" x14ac:dyDescent="0.25">
      <c r="A18057" s="221" t="s">
        <v>10331</v>
      </c>
      <c r="B18057" s="1478">
        <v>45809</v>
      </c>
      <c r="C18057" s="1497">
        <v>100</v>
      </c>
      <c r="D18057" s="1500"/>
      <c r="E18057" s="1498">
        <f t="shared" si="301"/>
        <v>7.1080565844323929E-2</v>
      </c>
      <c r="F18057" s="1842"/>
      <c r="G18057" s="78"/>
    </row>
    <row r="18058" spans="1:7" ht="12.75" hidden="1" customHeight="1" outlineLevel="1" x14ac:dyDescent="0.25">
      <c r="A18058" s="221" t="s">
        <v>10332</v>
      </c>
      <c r="B18058" s="1478">
        <v>45839</v>
      </c>
      <c r="C18058" s="1497">
        <v>100</v>
      </c>
      <c r="D18058" s="1500"/>
      <c r="E18058" s="1498">
        <f t="shared" si="301"/>
        <v>7.1080565844323929E-2</v>
      </c>
      <c r="F18058" s="1842"/>
      <c r="G18058" s="78"/>
    </row>
    <row r="18059" spans="1:7" ht="12.75" hidden="1" customHeight="1" outlineLevel="1" x14ac:dyDescent="0.25">
      <c r="A18059" s="221" t="s">
        <v>10333</v>
      </c>
      <c r="B18059" s="1478">
        <v>45870</v>
      </c>
      <c r="C18059" s="1497">
        <v>100</v>
      </c>
      <c r="D18059" s="1500"/>
      <c r="E18059" s="1498">
        <f t="shared" si="301"/>
        <v>7.1080565844323929E-2</v>
      </c>
      <c r="F18059" s="1842"/>
      <c r="G18059" s="78"/>
    </row>
    <row r="18060" spans="1:7" ht="12.75" hidden="1" customHeight="1" outlineLevel="1" x14ac:dyDescent="0.25">
      <c r="A18060" s="221" t="s">
        <v>10334</v>
      </c>
      <c r="B18060" s="1478">
        <v>45901</v>
      </c>
      <c r="C18060" s="1497">
        <v>100</v>
      </c>
      <c r="D18060" s="1500"/>
      <c r="E18060" s="1498">
        <f t="shared" si="301"/>
        <v>7.1080565844323929E-2</v>
      </c>
      <c r="F18060" s="1842"/>
      <c r="G18060" s="78"/>
    </row>
    <row r="18061" spans="1:7" ht="12.75" hidden="1" customHeight="1" outlineLevel="1" x14ac:dyDescent="0.25">
      <c r="A18061" s="221" t="s">
        <v>10335</v>
      </c>
      <c r="B18061" s="1478">
        <v>45931</v>
      </c>
      <c r="C18061" s="1497">
        <v>100</v>
      </c>
      <c r="D18061" s="1500"/>
      <c r="E18061" s="1498">
        <f t="shared" si="301"/>
        <v>7.1080565844323929E-2</v>
      </c>
      <c r="F18061" s="1842"/>
      <c r="G18061" s="78"/>
    </row>
    <row r="18062" spans="1:7" ht="12.75" hidden="1" customHeight="1" outlineLevel="1" x14ac:dyDescent="0.25">
      <c r="A18062" s="1483" t="s">
        <v>2734</v>
      </c>
      <c r="B18062" s="1484"/>
      <c r="C18062" s="1500"/>
      <c r="D18062" s="1485" t="s">
        <v>2465</v>
      </c>
      <c r="E18062" s="1486">
        <f>AVERAGE(E18044:E18061)</f>
        <v>7.1080565844323901E-2</v>
      </c>
      <c r="F18062" s="1844">
        <f>E18062</f>
        <v>7.1080565844323901E-2</v>
      </c>
      <c r="G18062" s="78"/>
    </row>
    <row r="18063" spans="1:7" collapsed="1" x14ac:dyDescent="0.25">
      <c r="A18063" s="3799" t="s">
        <v>10212</v>
      </c>
      <c r="B18063" s="3800"/>
      <c r="C18063" s="3800"/>
      <c r="D18063" s="3800"/>
      <c r="E18063" s="18"/>
      <c r="F18063" s="186">
        <f>IF(F18062&lt;0,0%,MIN(F18062*0.8,60%))</f>
        <v>5.6864452675459122E-2</v>
      </c>
      <c r="G18063" s="78"/>
    </row>
    <row r="18065" spans="1:14" hidden="1" outlineLevel="1" x14ac:dyDescent="0.25">
      <c r="A18065" s="3248" t="s">
        <v>113</v>
      </c>
      <c r="B18065" s="3237" t="s">
        <v>114</v>
      </c>
      <c r="C18065" s="3237" t="s">
        <v>112</v>
      </c>
      <c r="D18065" s="3237" t="s">
        <v>4155</v>
      </c>
      <c r="E18065" s="3237" t="s">
        <v>116</v>
      </c>
      <c r="F18065" s="3276" t="s">
        <v>121</v>
      </c>
      <c r="G18065" s="78"/>
      <c r="H18065" s="438" t="s">
        <v>5391</v>
      </c>
      <c r="I18065" s="438" t="s">
        <v>5392</v>
      </c>
    </row>
    <row r="18066" spans="1:14" hidden="1" outlineLevel="1" x14ac:dyDescent="0.25">
      <c r="A18066" s="1810" t="s">
        <v>10071</v>
      </c>
      <c r="B18066" s="2984" t="s">
        <v>2153</v>
      </c>
      <c r="C18066" s="3619">
        <v>2627.5169999999998</v>
      </c>
      <c r="D18066" s="3805">
        <v>4313.4939999999997</v>
      </c>
      <c r="E18066" s="2238"/>
      <c r="F18066" s="3614">
        <v>0.21</v>
      </c>
      <c r="G18066" s="78"/>
      <c r="H18066" s="92">
        <v>0.64166169048573241</v>
      </c>
      <c r="I18066" s="450">
        <v>0.21</v>
      </c>
    </row>
    <row r="18067" spans="1:14" hidden="1" outlineLevel="1" x14ac:dyDescent="0.25">
      <c r="A18067" s="1810" t="s">
        <v>10072</v>
      </c>
      <c r="B18067" s="2984" t="s">
        <v>2153</v>
      </c>
      <c r="C18067" s="1814" t="s">
        <v>5590</v>
      </c>
      <c r="D18067" s="3806"/>
      <c r="E18067" s="1815"/>
      <c r="F18067" s="3615" t="s">
        <v>5590</v>
      </c>
      <c r="G18067" s="78"/>
      <c r="H18067" s="92" t="s">
        <v>5590</v>
      </c>
      <c r="I18067" s="451">
        <v>0.28000000000000003</v>
      </c>
    </row>
    <row r="18068" spans="1:14" hidden="1" outlineLevel="1" x14ac:dyDescent="0.25">
      <c r="A18068" s="1810" t="s">
        <v>10073</v>
      </c>
      <c r="B18068" s="2984" t="s">
        <v>2153</v>
      </c>
      <c r="C18068" s="1814" t="s">
        <v>5590</v>
      </c>
      <c r="D18068" s="3806"/>
      <c r="E18068" s="1815"/>
      <c r="F18068" s="3615" t="s">
        <v>5590</v>
      </c>
      <c r="G18068" s="78"/>
      <c r="H18068" s="92" t="s">
        <v>5590</v>
      </c>
      <c r="I18068" s="451">
        <v>0.35</v>
      </c>
    </row>
    <row r="18069" spans="1:14" hidden="1" outlineLevel="1" x14ac:dyDescent="0.25">
      <c r="A18069" s="1810" t="s">
        <v>10074</v>
      </c>
      <c r="B18069" s="2984" t="s">
        <v>2153</v>
      </c>
      <c r="C18069" s="1814" t="s">
        <v>5590</v>
      </c>
      <c r="D18069" s="3806"/>
      <c r="E18069" s="1815"/>
      <c r="F18069" s="3615" t="s">
        <v>5590</v>
      </c>
      <c r="G18069" s="78"/>
      <c r="H18069" s="92" t="s">
        <v>5590</v>
      </c>
      <c r="I18069" s="452">
        <v>0.42</v>
      </c>
    </row>
    <row r="18070" spans="1:14" hidden="1" outlineLevel="1" x14ac:dyDescent="0.25">
      <c r="A18070" s="1810" t="s">
        <v>10075</v>
      </c>
      <c r="B18070" s="2984" t="s">
        <v>2153</v>
      </c>
      <c r="C18070" s="1817" t="s">
        <v>5590</v>
      </c>
      <c r="D18070" s="3807"/>
      <c r="E18070" s="1815"/>
      <c r="F18070" s="3616" t="s">
        <v>5590</v>
      </c>
      <c r="G18070" s="78"/>
      <c r="H18070" s="37">
        <v>0.64166169048573241</v>
      </c>
    </row>
    <row r="18071" spans="1:14" hidden="1" outlineLevel="1" x14ac:dyDescent="0.25">
      <c r="A18071" s="1819" t="s">
        <v>2734</v>
      </c>
      <c r="B18071" s="2984"/>
      <c r="C18071" s="1820"/>
      <c r="D18071" s="3142"/>
      <c r="E18071" s="3617"/>
      <c r="F18071" s="3618">
        <v>0.21</v>
      </c>
      <c r="G18071" s="78"/>
      <c r="H18071" s="74"/>
    </row>
    <row r="18072" spans="1:14" collapsed="1" x14ac:dyDescent="0.25">
      <c r="A18072" s="3801" t="s">
        <v>10284</v>
      </c>
      <c r="B18072" s="3802"/>
      <c r="C18072" s="3802"/>
      <c r="D18072" s="3802"/>
      <c r="E18072" s="1906"/>
      <c r="F18072" s="1907">
        <v>0.21</v>
      </c>
      <c r="G18072" s="78"/>
      <c r="H18072" s="74"/>
    </row>
    <row r="18074" spans="1:14" ht="12.75" hidden="1" customHeight="1" outlineLevel="1" x14ac:dyDescent="0.25">
      <c r="A18074" s="15" t="s">
        <v>113</v>
      </c>
      <c r="B18074" s="15" t="s">
        <v>114</v>
      </c>
      <c r="C18074" s="15" t="s">
        <v>112</v>
      </c>
      <c r="D18074" s="15" t="s">
        <v>116</v>
      </c>
      <c r="E18074" s="15" t="s">
        <v>117</v>
      </c>
      <c r="F18074" s="1882" t="s">
        <v>121</v>
      </c>
      <c r="G18074" s="78"/>
    </row>
    <row r="18075" spans="1:14" ht="12.75" hidden="1" customHeight="1" outlineLevel="1" x14ac:dyDescent="0.25">
      <c r="A18075" s="1653">
        <v>1</v>
      </c>
      <c r="B18075" s="1654" t="s">
        <v>252</v>
      </c>
      <c r="C18075" s="1686">
        <v>100</v>
      </c>
      <c r="D18075" s="1687" t="s">
        <v>3702</v>
      </c>
      <c r="E18075" s="1688">
        <f>indexy!$B$2</f>
        <v>45379</v>
      </c>
      <c r="F18075" s="1689"/>
      <c r="G18075" s="78"/>
    </row>
    <row r="18076" spans="1:14" ht="40.5" hidden="1" customHeight="1" outlineLevel="1" x14ac:dyDescent="0.25">
      <c r="A18076" s="1518" t="s">
        <v>4156</v>
      </c>
      <c r="B18076" s="1518" t="s">
        <v>4153</v>
      </c>
      <c r="C18076" s="1518" t="s">
        <v>112</v>
      </c>
      <c r="D18076" s="1518" t="s">
        <v>4155</v>
      </c>
      <c r="E18076" s="1518" t="s">
        <v>4154</v>
      </c>
      <c r="F18076" s="1518" t="s">
        <v>2519</v>
      </c>
      <c r="G18076" s="78"/>
    </row>
    <row r="18077" spans="1:14" ht="12.75" hidden="1" customHeight="1" outlineLevel="1" x14ac:dyDescent="0.25">
      <c r="A18077" s="134">
        <v>0.05</v>
      </c>
      <c r="B18077" s="211" t="s">
        <v>2697</v>
      </c>
      <c r="C18077" s="472">
        <v>12.583500000000001</v>
      </c>
      <c r="D18077" s="1596">
        <f>VLOOKUP(H18077,indexy!$C$44:$D$823,2,FALSE)</f>
        <v>23.46</v>
      </c>
      <c r="E18077" s="1636">
        <f>D18077/C18077-1</f>
        <v>0.86434616760042915</v>
      </c>
      <c r="F18077" s="1805">
        <f>E18077*A18077</f>
        <v>4.3217308380021462E-2</v>
      </c>
      <c r="G18077" s="78"/>
      <c r="H18077" t="str">
        <f>VLOOKUP(B18077,indexy!$A$44:$D$823,3,FALSE)</f>
        <v>G IM Equity</v>
      </c>
      <c r="I18077" s="98" t="s">
        <v>6654</v>
      </c>
      <c r="J18077" s="494" t="s">
        <v>10402</v>
      </c>
      <c r="L18077">
        <f>VLOOKUP(H18077,[11]Fixing!$B$10:$C$39,2,0)</f>
        <v>0.39734573049999999</v>
      </c>
      <c r="M18077">
        <f t="shared" ref="M18077:M18106" si="302">+A18077*100/L18077</f>
        <v>12.583500000637354</v>
      </c>
      <c r="N18077" s="434">
        <f t="shared" ref="N18077:N18106" si="303">+M18077-C18077</f>
        <v>6.3735328126313107E-10</v>
      </c>
    </row>
    <row r="18078" spans="1:14" ht="12.75" hidden="1" customHeight="1" outlineLevel="1" x14ac:dyDescent="0.3">
      <c r="A18078" s="135">
        <v>0.02</v>
      </c>
      <c r="B18078" s="211" t="s">
        <v>807</v>
      </c>
      <c r="C18078" s="472">
        <v>57.728000000000002</v>
      </c>
      <c r="D18078" s="1597">
        <f>VLOOKUP(H18078,indexy!$C$44:$D$823,2,FALSE)</f>
        <v>46.03</v>
      </c>
      <c r="E18078" s="1637">
        <f>D18078/C18078-1</f>
        <v>-0.20263996674057649</v>
      </c>
      <c r="F18078" s="1313">
        <f t="shared" ref="F18078:F18101" si="304">E18078*A18078</f>
        <v>-4.0527993348115302E-3</v>
      </c>
      <c r="G18078" s="78"/>
      <c r="H18078" t="str">
        <f>VLOOKUP(B18078,indexy!$A$44:$D$823,3,FALSE)</f>
        <v>BCE CT Equity</v>
      </c>
      <c r="I18078" s="1690">
        <v>44256</v>
      </c>
      <c r="J18078" s="3373">
        <v>117.8584</v>
      </c>
      <c r="K18078" s="1773" t="s">
        <v>8597</v>
      </c>
      <c r="L18078">
        <f>VLOOKUP(H18078,[11]Fixing!$B$10:$C$39,2,0)</f>
        <v>3.4645232800000002E-2</v>
      </c>
      <c r="M18078">
        <f t="shared" si="302"/>
        <v>57.728000026601059</v>
      </c>
      <c r="N18078" s="434">
        <f t="shared" si="303"/>
        <v>2.6601057356856472E-8</v>
      </c>
    </row>
    <row r="18079" spans="1:14" ht="12.75" hidden="1" customHeight="1" outlineLevel="1" x14ac:dyDescent="0.25">
      <c r="A18079" s="135">
        <v>0.02</v>
      </c>
      <c r="B18079" s="211" t="s">
        <v>3954</v>
      </c>
      <c r="C18079" s="472">
        <f>81.661/2</f>
        <v>40.830500000000001</v>
      </c>
      <c r="D18079" s="1597">
        <f>VLOOKUP(H18079,indexy!$C$44:$D$823,2,FALSE)</f>
        <v>68.67</v>
      </c>
      <c r="E18079" s="1637">
        <f t="shared" ref="E18079:E18106" si="305">D18079/C18079-1</f>
        <v>0.68183098419073973</v>
      </c>
      <c r="F18079" s="1313">
        <f t="shared" si="304"/>
        <v>1.3636619683814796E-2</v>
      </c>
      <c r="G18079" s="78"/>
      <c r="H18079" t="str">
        <f>VLOOKUP(B18079,indexy!$A$44:$D$823,3,FALSE)</f>
        <v>CM CT Equity</v>
      </c>
      <c r="I18079" s="1690">
        <v>44621</v>
      </c>
      <c r="J18079" s="478"/>
      <c r="L18079">
        <f>VLOOKUP(H18079,[11]Fixing!$B$10:$C$39,2,0)</f>
        <v>4.8982990599999998E-2</v>
      </c>
      <c r="M18079">
        <f t="shared" si="302"/>
        <v>40.83050004709186</v>
      </c>
      <c r="N18079" s="434">
        <f t="shared" si="303"/>
        <v>4.7091859300962824E-8</v>
      </c>
    </row>
    <row r="18080" spans="1:14" ht="12.75" hidden="1" customHeight="1" outlineLevel="1" x14ac:dyDescent="0.25">
      <c r="A18080" s="135">
        <v>0.02</v>
      </c>
      <c r="B18080" s="211" t="s">
        <v>951</v>
      </c>
      <c r="C18080" s="472">
        <v>2264</v>
      </c>
      <c r="D18080" s="1597">
        <f>VLOOKUP(H18080,indexy!$C$44:$D$823,2,FALSE)</f>
        <v>4501</v>
      </c>
      <c r="E18080" s="1637">
        <f t="shared" si="305"/>
        <v>0.98807420494699638</v>
      </c>
      <c r="F18080" s="1313">
        <f t="shared" si="304"/>
        <v>1.9761484098939928E-2</v>
      </c>
      <c r="G18080" s="78"/>
      <c r="H18080" t="str">
        <f>VLOOKUP(B18080,indexy!$A$44:$D$823,3,FALSE)</f>
        <v>7751 JT Equity</v>
      </c>
      <c r="I18080" s="1690">
        <v>44986</v>
      </c>
      <c r="J18080" s="478"/>
      <c r="L18080">
        <f>VLOOKUP(H18080,[11]Fixing!$B$10:$C$39,2,0)</f>
        <v>8.8339219999999995E-4</v>
      </c>
      <c r="M18080">
        <f t="shared" si="302"/>
        <v>2264.0000670144022</v>
      </c>
      <c r="N18080" s="434">
        <f t="shared" si="303"/>
        <v>6.7014402247878024E-5</v>
      </c>
    </row>
    <row r="18081" spans="1:14" ht="12.75" hidden="1" customHeight="1" outlineLevel="1" x14ac:dyDescent="0.25">
      <c r="A18081" s="135">
        <v>0.05</v>
      </c>
      <c r="B18081" s="211" t="s">
        <v>8678</v>
      </c>
      <c r="C18081" s="472">
        <v>60.53</v>
      </c>
      <c r="D18081" s="1597">
        <f>VLOOKUP(H18081,indexy!$C$44:$D$823,2,FALSE)</f>
        <v>120.34</v>
      </c>
      <c r="E18081" s="1637">
        <f t="shared" si="305"/>
        <v>0.98810507186519092</v>
      </c>
      <c r="F18081" s="1313">
        <f t="shared" si="304"/>
        <v>4.9405253593259549E-2</v>
      </c>
      <c r="G18081" s="78"/>
      <c r="H18081" t="str">
        <f>VLOOKUP(B18081,indexy!$A$44:$D$823,3,FALSE)</f>
        <v>CBA AT Equity</v>
      </c>
      <c r="I18081" s="1690">
        <v>45352</v>
      </c>
      <c r="J18081" s="478"/>
      <c r="L18081">
        <f>VLOOKUP(H18081,[11]Fixing!$B$10:$C$39,2,0)</f>
        <v>8.26036676E-2</v>
      </c>
      <c r="M18081">
        <f t="shared" si="302"/>
        <v>60.530000002082232</v>
      </c>
      <c r="N18081" s="434">
        <f t="shared" si="303"/>
        <v>2.0822312762902584E-9</v>
      </c>
    </row>
    <row r="18082" spans="1:14" ht="12.75" hidden="1" customHeight="1" outlineLevel="1" x14ac:dyDescent="0.25">
      <c r="A18082" s="135">
        <v>0.02</v>
      </c>
      <c r="B18082" s="211" t="s">
        <v>2629</v>
      </c>
      <c r="C18082" s="472">
        <v>12.4185</v>
      </c>
      <c r="D18082" s="1597">
        <f>VLOOKUP(H18082,indexy!$C$44:$D$823,2,FALSE)</f>
        <v>22.5</v>
      </c>
      <c r="E18082" s="1637">
        <f t="shared" si="305"/>
        <v>0.81181302089624352</v>
      </c>
      <c r="F18082" s="1313">
        <f t="shared" si="304"/>
        <v>1.6236260417924871E-2</v>
      </c>
      <c r="G18082" s="78"/>
      <c r="H18082" t="str">
        <f>VLOOKUP(B18082,indexy!$A$44:$D$823,3,FALSE)</f>
        <v>DTE GY Equity</v>
      </c>
      <c r="I18082" s="1690"/>
      <c r="J18082" s="478"/>
      <c r="L18082">
        <f>VLOOKUP(H18082,[11]Fixing!$B$10:$C$39,2,0)</f>
        <v>0.1610500463</v>
      </c>
      <c r="M18082">
        <f t="shared" si="302"/>
        <v>12.418500000145608</v>
      </c>
      <c r="N18082" s="434">
        <f t="shared" si="303"/>
        <v>1.4560797012563853E-10</v>
      </c>
    </row>
    <row r="18083" spans="1:14" ht="12.75" hidden="1" customHeight="1" outlineLevel="1" x14ac:dyDescent="0.25">
      <c r="A18083" s="135">
        <v>0.02</v>
      </c>
      <c r="B18083" s="211" t="s">
        <v>9591</v>
      </c>
      <c r="C18083" s="472">
        <v>79.519000000000005</v>
      </c>
      <c r="D18083" s="1597">
        <f>VLOOKUP(H18083,indexy!$C$44:$D$823,2,FALSE)</f>
        <v>49.19</v>
      </c>
      <c r="E18083" s="1637">
        <f t="shared" si="305"/>
        <v>-0.38140570178196409</v>
      </c>
      <c r="F18083" s="1313">
        <f t="shared" si="304"/>
        <v>-7.6281140356392824E-3</v>
      </c>
      <c r="G18083" s="78"/>
      <c r="H18083" t="str">
        <f>VLOOKUP(B18083,indexy!$A$44:$D$823,3,FALSE)</f>
        <v>D UN Equity</v>
      </c>
      <c r="I18083" t="s">
        <v>9580</v>
      </c>
      <c r="J18083" s="1473">
        <v>0.9</v>
      </c>
      <c r="L18083">
        <f>VLOOKUP(H18083,[11]Fixing!$B$10:$C$39,2,0)</f>
        <v>2.51512217E-2</v>
      </c>
      <c r="M18083">
        <f t="shared" si="302"/>
        <v>79.519000065114128</v>
      </c>
      <c r="N18083" s="434">
        <f t="shared" si="303"/>
        <v>6.5114122094200866E-8</v>
      </c>
    </row>
    <row r="18084" spans="1:14" ht="12.75" hidden="1" customHeight="1" outlineLevel="1" x14ac:dyDescent="0.25">
      <c r="A18084" s="135">
        <v>0.02</v>
      </c>
      <c r="B18084" s="211" t="s">
        <v>7855</v>
      </c>
      <c r="C18084" s="472">
        <v>40.418999999999997</v>
      </c>
      <c r="D18084" s="1597">
        <f>VLOOKUP(H18084,indexy!$C$44:$D$823,2,FALSE)</f>
        <v>48.95</v>
      </c>
      <c r="E18084" s="1637">
        <f t="shared" si="305"/>
        <v>0.21106410351567351</v>
      </c>
      <c r="F18084" s="1313">
        <f t="shared" si="304"/>
        <v>4.2212820703134701E-3</v>
      </c>
      <c r="G18084" s="78"/>
      <c r="H18084" t="str">
        <f>VLOOKUP(B18084,indexy!$A$44:$D$823,3,FALSE)</f>
        <v>ENB CT Equity</v>
      </c>
      <c r="L18084">
        <f>VLOOKUP(H18084,[11]Fixing!$B$10:$C$39,2,0)</f>
        <v>4.9481679399999999E-2</v>
      </c>
      <c r="M18084">
        <f t="shared" si="302"/>
        <v>40.419000006697431</v>
      </c>
      <c r="N18084" s="434">
        <f t="shared" si="303"/>
        <v>6.6974337187275523E-9</v>
      </c>
    </row>
    <row r="18085" spans="1:14" ht="12.75" hidden="1" customHeight="1" outlineLevel="1" x14ac:dyDescent="0.25">
      <c r="A18085" s="135">
        <v>0.08</v>
      </c>
      <c r="B18085" s="211" t="s">
        <v>9171</v>
      </c>
      <c r="C18085" s="472">
        <v>19.4345</v>
      </c>
      <c r="D18085" s="1597">
        <f>VLOOKUP(H18085,indexy!$C$44:$D$823,2,FALSE)</f>
        <v>17.164999999999999</v>
      </c>
      <c r="E18085" s="1637">
        <f t="shared" si="305"/>
        <v>-0.11677686588283731</v>
      </c>
      <c r="F18085" s="1313">
        <f t="shared" si="304"/>
        <v>-9.3421492706269853E-3</v>
      </c>
      <c r="G18085" s="78"/>
      <c r="H18085" t="str">
        <f>VLOOKUP(B18085,indexy!$A$44:$D$823,3,FALSE)</f>
        <v>ELE SQ Equity</v>
      </c>
      <c r="L18085">
        <f>VLOOKUP(H18085,[11]Fixing!$B$10:$C$39,2,0)</f>
        <v>0.41163909539999999</v>
      </c>
      <c r="M18085">
        <f t="shared" si="302"/>
        <v>19.434500001090033</v>
      </c>
      <c r="N18085" s="434">
        <f t="shared" si="303"/>
        <v>1.0900329527885333E-9</v>
      </c>
    </row>
    <row r="18086" spans="1:14" ht="12.75" hidden="1" customHeight="1" outlineLevel="1" x14ac:dyDescent="0.25">
      <c r="A18086" s="135">
        <v>0.02</v>
      </c>
      <c r="B18086" s="211" t="s">
        <v>3798</v>
      </c>
      <c r="C18086" s="472">
        <v>6.1958000000000002</v>
      </c>
      <c r="D18086" s="1597">
        <f>VLOOKUP(H18086,indexy!$C$44:$D$823,2,FALSE)</f>
        <v>6.1189999999999998</v>
      </c>
      <c r="E18086" s="1637">
        <f t="shared" si="305"/>
        <v>-1.2395493721553352E-2</v>
      </c>
      <c r="F18086" s="1313">
        <f t="shared" si="304"/>
        <v>-2.4790987443106704E-4</v>
      </c>
      <c r="G18086" s="78"/>
      <c r="H18086" t="str">
        <f>VLOOKUP(B18086,indexy!$A$44:$D$823,3,FALSE)</f>
        <v>ENEL IM Equity</v>
      </c>
      <c r="L18086">
        <f>VLOOKUP(H18086,[11]Fixing!$B$10:$C$39,2,0)</f>
        <v>0.32279931569999998</v>
      </c>
      <c r="M18086">
        <f t="shared" si="302"/>
        <v>6.195799999336864</v>
      </c>
      <c r="N18086" s="434">
        <f t="shared" si="303"/>
        <v>-6.63136212608606E-10</v>
      </c>
    </row>
    <row r="18087" spans="1:14" ht="12.75" hidden="1" customHeight="1" outlineLevel="1" x14ac:dyDescent="0.25">
      <c r="A18087" s="135">
        <v>0.02</v>
      </c>
      <c r="B18087" s="211" t="s">
        <v>2701</v>
      </c>
      <c r="C18087" s="472">
        <v>3.6469554047340895</v>
      </c>
      <c r="D18087" s="1597">
        <f>VLOOKUP(H18087,indexy!$C$44:$D$823,2,FALSE)</f>
        <v>3.61</v>
      </c>
      <c r="E18087" s="1637">
        <f t="shared" si="305"/>
        <v>-1.0133220901499929E-2</v>
      </c>
      <c r="F18087" s="1313">
        <f t="shared" si="304"/>
        <v>-2.0266441802999858E-4</v>
      </c>
      <c r="G18087" s="78"/>
      <c r="H18087" t="str">
        <f>VLOOKUP(B18087,indexy!$A$44:$D$823,3,FALSE)</f>
        <v>EDP PL Equity</v>
      </c>
      <c r="L18087">
        <f>VLOOKUP(H18087,[11]Fixing!$B$10:$C$39,2,0)</f>
        <v>0.54840264770000002</v>
      </c>
      <c r="M18087">
        <f t="shared" si="302"/>
        <v>3.6469554047340895</v>
      </c>
      <c r="N18087" s="434">
        <f t="shared" si="303"/>
        <v>0</v>
      </c>
    </row>
    <row r="18088" spans="1:14" ht="12.75" hidden="1" customHeight="1" outlineLevel="1" x14ac:dyDescent="0.25">
      <c r="A18088" s="135">
        <v>0.02</v>
      </c>
      <c r="B18088" s="211" t="s">
        <v>4338</v>
      </c>
      <c r="C18088" s="472">
        <v>9.4263999999999992</v>
      </c>
      <c r="D18088" s="1597">
        <f>VLOOKUP(H18088,indexy!$C$44:$D$823,2,FALSE)</f>
        <v>15.51</v>
      </c>
      <c r="E18088" s="1637">
        <f t="shared" si="305"/>
        <v>0.64537893575490135</v>
      </c>
      <c r="F18088" s="1313">
        <f t="shared" si="304"/>
        <v>1.2907578715098027E-2</v>
      </c>
      <c r="G18088" s="78"/>
      <c r="H18088" t="str">
        <f>VLOOKUP(B18088,indexy!$A$44:$D$823,3,FALSE)</f>
        <v>ENGI FP Equity</v>
      </c>
      <c r="L18088">
        <f>VLOOKUP(H18088,[11]Fixing!$B$10:$C$39,2,0)</f>
        <v>0.2121700755</v>
      </c>
      <c r="M18088">
        <f t="shared" si="302"/>
        <v>9.4264000014460105</v>
      </c>
      <c r="N18088" s="434">
        <f t="shared" si="303"/>
        <v>1.4460113106906647E-9</v>
      </c>
    </row>
    <row r="18089" spans="1:14" ht="12.75" hidden="1" customHeight="1" outlineLevel="1" x14ac:dyDescent="0.25">
      <c r="A18089" s="135">
        <v>0.02</v>
      </c>
      <c r="B18089" s="211" t="s">
        <v>3021</v>
      </c>
      <c r="C18089" s="490">
        <v>8.6607000000000003</v>
      </c>
      <c r="D18089" s="1597">
        <f>VLOOKUP(H18089,indexy!$C$44:$D$823,2,FALSE)</f>
        <v>14.648</v>
      </c>
      <c r="E18089" s="1637">
        <f t="shared" si="305"/>
        <v>0.69131825372083089</v>
      </c>
      <c r="F18089" s="1313">
        <f t="shared" si="304"/>
        <v>1.3826365074416619E-2</v>
      </c>
      <c r="G18089" s="78"/>
      <c r="H18089" t="str">
        <f>VLOOKUP(B18089,indexy!$A$44:$D$823,3,FALSE)</f>
        <v>ENI IM Equity</v>
      </c>
      <c r="L18089">
        <f>VLOOKUP(H18089,[11]Fixing!$B$10:$C$39,2,0)</f>
        <v>0.23092821599999999</v>
      </c>
      <c r="M18089">
        <f t="shared" si="302"/>
        <v>8.6606999986523956</v>
      </c>
      <c r="N18089" s="434">
        <f t="shared" si="303"/>
        <v>-1.3476046945015696E-9</v>
      </c>
    </row>
    <row r="18090" spans="1:14" ht="12.75" hidden="1" customHeight="1" outlineLevel="1" x14ac:dyDescent="0.25">
      <c r="A18090" s="135">
        <v>0.02</v>
      </c>
      <c r="B18090" s="211" t="s">
        <v>3799</v>
      </c>
      <c r="C18090" s="472">
        <v>16.550217707439053</v>
      </c>
      <c r="D18090" s="1597">
        <f>VLOOKUP(H18090,indexy!$C$44:$D$823,2,FALSE)/100</f>
        <v>17.085999999999999</v>
      </c>
      <c r="E18090" s="1637">
        <f t="shared" si="305"/>
        <v>3.2373126567399879E-2</v>
      </c>
      <c r="F18090" s="1313">
        <f t="shared" si="304"/>
        <v>6.4746253134799763E-4</v>
      </c>
      <c r="G18090" s="78"/>
      <c r="H18090" t="str">
        <f>VLOOKUP(B18090,indexy!$A$44:$D$823,3,FALSE)</f>
        <v>GSK LN Equity</v>
      </c>
      <c r="L18090">
        <f>VLOOKUP(H18090,[11]Fixing!$B$10:$C$39,2,0)</f>
        <v>0.1208443318</v>
      </c>
      <c r="M18090">
        <f t="shared" si="302"/>
        <v>16.550217707439053</v>
      </c>
      <c r="N18090" s="434">
        <f t="shared" si="303"/>
        <v>0</v>
      </c>
    </row>
    <row r="18091" spans="1:14" ht="12.75" hidden="1" customHeight="1" outlineLevel="1" x14ac:dyDescent="0.25">
      <c r="A18091" s="135">
        <v>0.02</v>
      </c>
      <c r="B18091" s="211" t="s">
        <v>8768</v>
      </c>
      <c r="C18091" s="472">
        <v>98.8</v>
      </c>
      <c r="D18091" s="1597">
        <f>VLOOKUP(H18091,indexy!$C$44:$D$823,2,FALSE)</f>
        <v>199.7</v>
      </c>
      <c r="E18091" s="1637">
        <f t="shared" si="305"/>
        <v>1.0212550607287447</v>
      </c>
      <c r="F18091" s="1313">
        <f t="shared" si="304"/>
        <v>2.0425101214574894E-2</v>
      </c>
      <c r="G18091" s="78"/>
      <c r="H18091" t="str">
        <f>VLOOKUP(B18091,indexy!$A$44:$D$823,3,FALSE)</f>
        <v>MQG AT Equity</v>
      </c>
      <c r="L18091">
        <f>VLOOKUP(H18091,[11]Fixing!$B$10:$C$39,2,0)</f>
        <v>2.0242915E-2</v>
      </c>
      <c r="M18091">
        <f t="shared" si="302"/>
        <v>98.799999901199996</v>
      </c>
      <c r="N18091" s="434">
        <f t="shared" si="303"/>
        <v>-9.8800001069321297E-8</v>
      </c>
    </row>
    <row r="18092" spans="1:14" ht="12.75" hidden="1" customHeight="1" outlineLevel="1" x14ac:dyDescent="0.25">
      <c r="A18092" s="135">
        <v>0.08</v>
      </c>
      <c r="B18092" s="211" t="s">
        <v>9767</v>
      </c>
      <c r="C18092" s="472">
        <v>15.4625</v>
      </c>
      <c r="D18092" s="1597">
        <f>VLOOKUP(H18092,indexy!$C$44:$D$823,2,FALSE)</f>
        <v>20.100000000000001</v>
      </c>
      <c r="E18092" s="1637">
        <f t="shared" si="305"/>
        <v>0.29991915925626511</v>
      </c>
      <c r="F18092" s="1313">
        <f t="shared" si="304"/>
        <v>2.399353274050121E-2</v>
      </c>
      <c r="G18092" s="78"/>
      <c r="H18092" t="str">
        <f>VLOOKUP(B18092,indexy!$A$44:$D$823,3,FALSE)</f>
        <v>NTGY SQ Equity</v>
      </c>
      <c r="L18092">
        <f>VLOOKUP(H18092,[11]Fixing!$B$10:$C$39,2,0)</f>
        <v>0.51738075989999999</v>
      </c>
      <c r="M18092">
        <f t="shared" si="302"/>
        <v>15.462500000089394</v>
      </c>
      <c r="N18092" s="434">
        <f t="shared" si="303"/>
        <v>8.9393381585978204E-11</v>
      </c>
    </row>
    <row r="18093" spans="1:14" ht="12.75" hidden="1" customHeight="1" outlineLevel="1" x14ac:dyDescent="0.25">
      <c r="A18093" s="135">
        <v>7.0000000000000007E-2</v>
      </c>
      <c r="B18093" s="211" t="s">
        <v>5824</v>
      </c>
      <c r="C18093" s="472">
        <v>11.12194338966405</v>
      </c>
      <c r="D18093" s="1597">
        <f>VLOOKUP(H18093,indexy!$C$44:$D$823,2,FALSE)</f>
        <v>10.888</v>
      </c>
      <c r="E18093" s="1637">
        <f t="shared" si="305"/>
        <v>-2.1034398528000153E-2</v>
      </c>
      <c r="F18093" s="1313">
        <f t="shared" si="304"/>
        <v>-1.4724078969600108E-3</v>
      </c>
      <c r="G18093" s="78"/>
      <c r="H18093" t="str">
        <f>VLOOKUP(B18093,indexy!$A$44:$D$823,3,FALSE)</f>
        <v>ORA FP Equity</v>
      </c>
      <c r="L18093">
        <f>VLOOKUP(H18093,[11]Fixing!$B$10:$C$39,2,0)</f>
        <v>0.62938640800000001</v>
      </c>
      <c r="M18093">
        <f t="shared" si="302"/>
        <v>11.12194338966405</v>
      </c>
      <c r="N18093" s="434">
        <f t="shared" si="303"/>
        <v>0</v>
      </c>
    </row>
    <row r="18094" spans="1:14" ht="12.75" hidden="1" customHeight="1" outlineLevel="1" x14ac:dyDescent="0.25">
      <c r="A18094" s="135">
        <v>0.02</v>
      </c>
      <c r="B18094" s="211" t="s">
        <v>9516</v>
      </c>
      <c r="C18094" s="472">
        <v>27.58</v>
      </c>
      <c r="D18094" s="1597">
        <f>VLOOKUP(H18094,indexy!$C$44:$D$823,2,FALSE)</f>
        <v>47.81</v>
      </c>
      <c r="E18094" s="1637">
        <f t="shared" si="305"/>
        <v>0.73350253807106625</v>
      </c>
      <c r="F18094" s="1313">
        <f t="shared" si="304"/>
        <v>1.4670050761421326E-2</v>
      </c>
      <c r="G18094" s="78"/>
      <c r="H18094" t="str">
        <f>VLOOKUP(B18094,indexy!$A$44:$D$823,3,FALSE)</f>
        <v>PPL CT Equity</v>
      </c>
      <c r="L18094">
        <f>VLOOKUP(H18094,[11]Fixing!$B$10:$C$39,2,0)</f>
        <v>7.25163162E-2</v>
      </c>
      <c r="M18094">
        <f t="shared" si="302"/>
        <v>27.579999989023161</v>
      </c>
      <c r="N18094" s="434">
        <f t="shared" si="303"/>
        <v>-1.0976837216958302E-8</v>
      </c>
    </row>
    <row r="18095" spans="1:14" ht="12.75" hidden="1" customHeight="1" outlineLevel="1" x14ac:dyDescent="0.25">
      <c r="A18095" s="135">
        <v>0.02</v>
      </c>
      <c r="B18095" s="211" t="s">
        <v>2769</v>
      </c>
      <c r="C18095" s="472">
        <v>25.7</v>
      </c>
      <c r="D18095" s="1597">
        <f>VLOOKUP(H18095,indexy!$C$44:$D$823,2,FALSE)</f>
        <v>27.53</v>
      </c>
      <c r="E18095" s="1637">
        <f t="shared" si="305"/>
        <v>7.1206225680933821E-2</v>
      </c>
      <c r="F18095" s="1313">
        <f t="shared" si="304"/>
        <v>1.4241245136186764E-3</v>
      </c>
      <c r="G18095" s="78"/>
      <c r="H18095" t="str">
        <f>VLOOKUP(B18095,indexy!$A$44:$D$823,3,FALSE)</f>
        <v>PPL UN Equity</v>
      </c>
      <c r="L18095">
        <f>VLOOKUP(H18095,[11]Fixing!$B$10:$C$39,2,0)</f>
        <v>7.7821011699999998E-2</v>
      </c>
      <c r="M18095">
        <f t="shared" si="302"/>
        <v>25.699999991133502</v>
      </c>
      <c r="N18095" s="434">
        <f t="shared" si="303"/>
        <v>-8.8664968700413738E-9</v>
      </c>
    </row>
    <row r="18096" spans="1:14" ht="12.75" hidden="1" customHeight="1" outlineLevel="1" x14ac:dyDescent="0.25">
      <c r="A18096" s="135">
        <v>0.02</v>
      </c>
      <c r="B18096" s="211" t="s">
        <v>10667</v>
      </c>
      <c r="C18096" s="472">
        <v>13.9238</v>
      </c>
      <c r="D18096" s="1597">
        <f>VLOOKUP(H18096,indexy!$C$44:$D$823,2,FALSE)/100</f>
        <v>26.25</v>
      </c>
      <c r="E18096" s="1637">
        <f t="shared" si="305"/>
        <v>0.88526120742900649</v>
      </c>
      <c r="F18096" s="1313">
        <f t="shared" si="304"/>
        <v>1.7705224148580129E-2</v>
      </c>
      <c r="G18096" s="78"/>
      <c r="H18096" t="str">
        <f>VLOOKUP(B18096,indexy!$A$44:$D$823,3,FALSE)</f>
        <v>SHEL LN Equity</v>
      </c>
      <c r="L18096">
        <f>VLOOKUP(H18096,[11]Fixing!$B$10:$C$39,2,0)</f>
        <v>0.1436389491</v>
      </c>
      <c r="M18096">
        <f t="shared" si="302"/>
        <v>13.923800003630074</v>
      </c>
      <c r="N18096" s="434">
        <f t="shared" si="303"/>
        <v>3.6300740191563818E-9</v>
      </c>
    </row>
    <row r="18097" spans="1:14" ht="12.75" hidden="1" customHeight="1" outlineLevel="1" x14ac:dyDescent="0.25">
      <c r="A18097" s="135">
        <v>0.05</v>
      </c>
      <c r="B18097" s="211" t="s">
        <v>6116</v>
      </c>
      <c r="C18097" s="472">
        <v>3.8407</v>
      </c>
      <c r="D18097" s="1597">
        <f>VLOOKUP(H18097,indexy!$C$44:$D$823,2,FALSE)</f>
        <v>4.3760000000000003</v>
      </c>
      <c r="E18097" s="1637">
        <f t="shared" si="305"/>
        <v>0.13937563464993374</v>
      </c>
      <c r="F18097" s="1313">
        <f t="shared" si="304"/>
        <v>6.9687817324966877E-3</v>
      </c>
      <c r="G18097" s="78"/>
      <c r="H18097" t="str">
        <f>VLOOKUP(B18097,indexy!$A$44:$D$823,3,FALSE)</f>
        <v>SRG IM Equity</v>
      </c>
      <c r="L18097">
        <f>VLOOKUP(H18097,[11]Fixing!$B$10:$C$39,2,0)</f>
        <v>1.3018460177</v>
      </c>
      <c r="M18097">
        <f t="shared" si="302"/>
        <v>3.8406999998614353</v>
      </c>
      <c r="N18097" s="434">
        <f t="shared" si="303"/>
        <v>-1.3856471525741654E-10</v>
      </c>
    </row>
    <row r="18098" spans="1:14" ht="12.75" hidden="1" customHeight="1" outlineLevel="1" x14ac:dyDescent="0.25">
      <c r="A18098" s="135">
        <v>0.02</v>
      </c>
      <c r="B18098" s="211" t="s">
        <v>6527</v>
      </c>
      <c r="C18098" s="472">
        <v>77.242488874725709</v>
      </c>
      <c r="D18098" s="1597">
        <f>VLOOKUP(H18098,indexy!$C$44:$D$823,2,FALSE)</f>
        <v>108.25</v>
      </c>
      <c r="E18098" s="1637">
        <f t="shared" si="305"/>
        <v>0.4014307614499999</v>
      </c>
      <c r="F18098" s="1313">
        <f t="shared" si="304"/>
        <v>8.0286152289999989E-3</v>
      </c>
      <c r="G18098" s="78"/>
      <c r="H18098" t="str">
        <f>VLOOKUP(B18098,indexy!$A$44:$D$823,3,FALSE)</f>
        <v>SHBA SS Equity</v>
      </c>
      <c r="L18098">
        <f>VLOOKUP(H18098,[11]Fixing!$B$10:$C$39,2,0)</f>
        <v>2.5892485199999999E-2</v>
      </c>
      <c r="M18098">
        <f t="shared" si="302"/>
        <v>77.242488874725709</v>
      </c>
      <c r="N18098" s="434">
        <f t="shared" si="303"/>
        <v>0</v>
      </c>
    </row>
    <row r="18099" spans="1:14" ht="12.75" hidden="1" customHeight="1" outlineLevel="1" x14ac:dyDescent="0.25">
      <c r="A18099" s="135">
        <v>0.08</v>
      </c>
      <c r="B18099" s="211" t="s">
        <v>6118</v>
      </c>
      <c r="C18099" s="472">
        <v>74.504000000000005</v>
      </c>
      <c r="D18099" s="1597">
        <f>VLOOKUP(H18099,indexy!$C$44:$D$823,2,FALSE)</f>
        <v>115.95</v>
      </c>
      <c r="E18099" s="1637">
        <f t="shared" si="305"/>
        <v>0.55629227960914851</v>
      </c>
      <c r="F18099" s="1313">
        <f t="shared" si="304"/>
        <v>4.4503382368731879E-2</v>
      </c>
      <c r="G18099" s="78"/>
      <c r="H18099" t="str">
        <f>VLOOKUP(B18099,indexy!$A$44:$D$823,3,FALSE)</f>
        <v>SREN SE Equity</v>
      </c>
      <c r="L18099">
        <f>VLOOKUP(H18099,[11]Fixing!$B$10:$C$39,2,0)</f>
        <v>0.1073767851</v>
      </c>
      <c r="M18099">
        <f t="shared" si="302"/>
        <v>74.504000027097106</v>
      </c>
      <c r="N18099" s="434">
        <f t="shared" si="303"/>
        <v>2.7097101451545313E-8</v>
      </c>
    </row>
    <row r="18100" spans="1:14" ht="12.75" hidden="1" customHeight="1" outlineLevel="1" x14ac:dyDescent="0.25">
      <c r="A18100" s="135">
        <v>0.02</v>
      </c>
      <c r="B18100" s="211" t="s">
        <v>10737</v>
      </c>
      <c r="C18100" s="472">
        <v>5.6406440155892756</v>
      </c>
      <c r="D18100" s="1597">
        <f>VLOOKUP(H18100,indexy!$C$44:$D$823,2,FALSE)</f>
        <v>9.0036000000000005</v>
      </c>
      <c r="E18100" s="1637">
        <f t="shared" si="305"/>
        <v>0.59620071309524003</v>
      </c>
      <c r="F18100" s="1313">
        <f t="shared" si="304"/>
        <v>1.19240142619048E-2</v>
      </c>
      <c r="G18100" s="78"/>
      <c r="H18100" t="str">
        <f>VLOOKUP(B18100,indexy!$A$44:$D$823,3,FALSE)</f>
        <v>SYD AT CASH</v>
      </c>
      <c r="L18100">
        <f>VLOOKUP(H18100,[11]Fixing!$B$10:$C$39,2,0)</f>
        <v>0.3545694418</v>
      </c>
      <c r="M18100">
        <f t="shared" si="302"/>
        <v>5.6406440155892756</v>
      </c>
      <c r="N18100" s="434">
        <f t="shared" si="303"/>
        <v>0</v>
      </c>
    </row>
    <row r="18101" spans="1:14" ht="12.75" hidden="1" customHeight="1" outlineLevel="1" x14ac:dyDescent="0.25">
      <c r="A18101" s="135">
        <v>0.02</v>
      </c>
      <c r="B18101" s="211" t="s">
        <v>434</v>
      </c>
      <c r="C18101" s="472">
        <v>34.920999999999999</v>
      </c>
      <c r="D18101" s="1597">
        <f>VLOOKUP(H18101,indexy!$C$44:$D$823,2,FALSE)</f>
        <v>27.43</v>
      </c>
      <c r="E18101" s="1637">
        <f t="shared" si="305"/>
        <v>-0.21451275736662756</v>
      </c>
      <c r="F18101" s="1313">
        <f t="shared" si="304"/>
        <v>-4.2902551473325513E-3</v>
      </c>
      <c r="G18101" s="78"/>
      <c r="H18101" t="str">
        <f>VLOOKUP(B18101,indexy!$A$44:$D$823,3,FALSE)</f>
        <v>TELIA SS Equity</v>
      </c>
      <c r="L18101">
        <f>VLOOKUP(H18101,[11]Fixing!$B$10:$C$39,2,0)</f>
        <v>5.7272128499999998E-2</v>
      </c>
      <c r="M18101">
        <f t="shared" si="302"/>
        <v>34.921000011375519</v>
      </c>
      <c r="N18101" s="434">
        <f t="shared" si="303"/>
        <v>1.1375519193279615E-8</v>
      </c>
    </row>
    <row r="18102" spans="1:14" ht="12.75" hidden="1" customHeight="1" outlineLevel="1" x14ac:dyDescent="0.25">
      <c r="A18102" s="135">
        <v>0.02</v>
      </c>
      <c r="B18102" s="211" t="s">
        <v>3665</v>
      </c>
      <c r="C18102" s="472">
        <v>22.521000000000001</v>
      </c>
      <c r="D18102" s="1597">
        <f>VLOOKUP(H18102,indexy!$C$44:$D$823,2,FALSE)</f>
        <v>21.67</v>
      </c>
      <c r="E18102" s="1637">
        <f t="shared" si="305"/>
        <v>-3.7786954398117301E-2</v>
      </c>
      <c r="F18102" s="1313">
        <f>E18102*A18102</f>
        <v>-7.5573908796234602E-4</v>
      </c>
      <c r="G18102" s="78"/>
      <c r="H18102" t="str">
        <f>VLOOKUP(B18102,indexy!$A$44:$D$823,3,FALSE)</f>
        <v>T CT Equity</v>
      </c>
      <c r="L18102">
        <f>VLOOKUP(H18102,[11]Fixing!$B$10:$C$39,2,0)</f>
        <v>8.8806003300000005E-2</v>
      </c>
      <c r="M18102">
        <f t="shared" si="302"/>
        <v>22.52099999640452</v>
      </c>
      <c r="N18102" s="434">
        <f t="shared" si="303"/>
        <v>-3.5954812460659014E-9</v>
      </c>
    </row>
    <row r="18103" spans="1:14" ht="12.75" hidden="1" customHeight="1" outlineLevel="1" x14ac:dyDescent="0.25">
      <c r="A18103" s="135">
        <v>0.02</v>
      </c>
      <c r="B18103" s="211" t="s">
        <v>10633</v>
      </c>
      <c r="C18103" s="472">
        <v>31.061236208376265</v>
      </c>
      <c r="D18103" s="1597">
        <f>VLOOKUP(H18103,indexy!$C$44:$D$823,2,FALSE)</f>
        <v>63.47</v>
      </c>
      <c r="E18103" s="1637">
        <f t="shared" si="305"/>
        <v>1.043382934736</v>
      </c>
      <c r="F18103" s="1313">
        <f>E18103*A18103</f>
        <v>2.0867658694720001E-2</v>
      </c>
      <c r="G18103" s="78"/>
      <c r="H18103" t="str">
        <f>VLOOKUP(B18103,indexy!$A$44:$D$823,3,FALSE)</f>
        <v>TTE FP Equity</v>
      </c>
      <c r="L18103">
        <f>VLOOKUP(H18103,[11]Fixing!$B$10:$C$39,2,0)</f>
        <v>6.4388937600000001E-2</v>
      </c>
      <c r="M18103">
        <f t="shared" si="302"/>
        <v>31.061236208376265</v>
      </c>
      <c r="N18103" s="434">
        <f t="shared" si="303"/>
        <v>0</v>
      </c>
    </row>
    <row r="18104" spans="1:14" ht="12.75" hidden="1" customHeight="1" outlineLevel="1" x14ac:dyDescent="0.25">
      <c r="A18104" s="135">
        <v>0.04</v>
      </c>
      <c r="B18104" s="211" t="s">
        <v>5626</v>
      </c>
      <c r="C18104" s="472">
        <v>15.686999999999999</v>
      </c>
      <c r="D18104" s="1597">
        <f>VLOOKUP(H18104,indexy!$C$44:$D$823,2,FALSE)</f>
        <v>26.1</v>
      </c>
      <c r="E18104" s="1637">
        <f t="shared" si="305"/>
        <v>0.66379804934021824</v>
      </c>
      <c r="F18104" s="1313">
        <f>E18104*A18104</f>
        <v>2.6551921973608731E-2</v>
      </c>
      <c r="G18104" s="78"/>
      <c r="H18104" t="str">
        <f>VLOOKUP(B18104,indexy!$A$44:$D$823,3,FALSE)</f>
        <v>WBC AT Equity</v>
      </c>
      <c r="L18104">
        <f>VLOOKUP(H18104,[11]Fixing!$B$10:$C$39,2,0)</f>
        <v>0.25498820680000001</v>
      </c>
      <c r="M18104">
        <f t="shared" si="302"/>
        <v>15.686999999719202</v>
      </c>
      <c r="N18104" s="434">
        <f t="shared" si="303"/>
        <v>-2.8079760738819459E-10</v>
      </c>
    </row>
    <row r="18105" spans="1:14" ht="12.75" hidden="1" customHeight="1" outlineLevel="1" x14ac:dyDescent="0.25">
      <c r="A18105" s="135">
        <v>0.02</v>
      </c>
      <c r="B18105" s="211" t="s">
        <v>10003</v>
      </c>
      <c r="C18105" s="472">
        <v>62.997</v>
      </c>
      <c r="D18105" s="1597">
        <f>VLOOKUP(H18105,indexy!$C$44:$D$823,2,FALSE)</f>
        <v>56.44</v>
      </c>
      <c r="E18105" s="1637">
        <f t="shared" si="305"/>
        <v>-0.10408432147562585</v>
      </c>
      <c r="F18105" s="1313">
        <f>E18105*A18105</f>
        <v>-2.0816864295125173E-3</v>
      </c>
      <c r="G18105" s="78"/>
      <c r="H18105" t="str">
        <f>VLOOKUP(B18105,indexy!$A$44:$D$823,3,FALSE)</f>
        <v>WPC UN Equity</v>
      </c>
      <c r="L18105">
        <f>VLOOKUP(H18105,[11]Fixing!$B$10:$C$39,2,0)</f>
        <v>3.1747543500000003E-2</v>
      </c>
      <c r="M18105">
        <f t="shared" si="302"/>
        <v>62.99700006710755</v>
      </c>
      <c r="N18105" s="434">
        <f t="shared" si="303"/>
        <v>6.7107549739375827E-8</v>
      </c>
    </row>
    <row r="18106" spans="1:14" ht="12.75" hidden="1" customHeight="1" outlineLevel="1" x14ac:dyDescent="0.25">
      <c r="A18106" s="135">
        <v>0.08</v>
      </c>
      <c r="B18106" s="1465" t="s">
        <v>4550</v>
      </c>
      <c r="C18106" s="472">
        <v>304.02999999999997</v>
      </c>
      <c r="D18106" s="1598">
        <f>VLOOKUP(H18106,indexy!$C$44:$D$823,2,FALSE)</f>
        <v>486.3</v>
      </c>
      <c r="E18106" s="1637">
        <f t="shared" si="305"/>
        <v>0.59951320593362523</v>
      </c>
      <c r="F18106" s="1313">
        <f>E18106*A18106</f>
        <v>4.7961056474690018E-2</v>
      </c>
      <c r="G18106" s="78"/>
      <c r="H18106" t="str">
        <f>VLOOKUP(B18106,indexy!$A$44:$D$823,3,FALSE)</f>
        <v>ZURN SE Equity</v>
      </c>
      <c r="L18106">
        <f>VLOOKUP(H18106,[11]Fixing!$B$10:$C$39,2,0)</f>
        <v>2.6313192799999999E-2</v>
      </c>
      <c r="M18106">
        <f t="shared" si="302"/>
        <v>304.02999973458179</v>
      </c>
      <c r="N18106" s="434">
        <f t="shared" si="303"/>
        <v>-2.6541817987890681E-7</v>
      </c>
    </row>
    <row r="18107" spans="1:14" ht="12.75" hidden="1" customHeight="1" outlineLevel="1" x14ac:dyDescent="0.25">
      <c r="A18107" s="1475" t="s">
        <v>2734</v>
      </c>
      <c r="B18107" s="150"/>
      <c r="C18107" s="1476"/>
      <c r="D18107" s="1477"/>
      <c r="E18107" s="1599"/>
      <c r="F18107" s="1805">
        <f>SUM(F18077:F18106)</f>
        <v>0.38880935318367882</v>
      </c>
      <c r="G18107" s="78"/>
    </row>
    <row r="18108" spans="1:14" ht="12.75" hidden="1" customHeight="1" outlineLevel="1" x14ac:dyDescent="0.25">
      <c r="A18108" s="221" t="s">
        <v>10384</v>
      </c>
      <c r="B18108" s="1478">
        <v>45505</v>
      </c>
      <c r="C18108" s="1497">
        <v>100</v>
      </c>
      <c r="D18108" s="1497"/>
      <c r="E18108" s="1498">
        <f>IF(D18108="",F18107,D18108/C18108-1)</f>
        <v>0.38880935318367882</v>
      </c>
      <c r="F18108" s="1842"/>
      <c r="G18108" s="78"/>
    </row>
    <row r="18109" spans="1:14" ht="12.75" hidden="1" customHeight="1" outlineLevel="1" x14ac:dyDescent="0.25">
      <c r="A18109" s="221" t="s">
        <v>10385</v>
      </c>
      <c r="B18109" s="1478">
        <v>45536</v>
      </c>
      <c r="C18109" s="1497">
        <v>100</v>
      </c>
      <c r="D18109" s="1500"/>
      <c r="E18109" s="1498">
        <f>IF(D18109="",$F$18107,D18109/C18109-1)</f>
        <v>0.38880935318367882</v>
      </c>
      <c r="F18109" s="1842"/>
      <c r="G18109" s="78"/>
    </row>
    <row r="18110" spans="1:14" ht="12.75" hidden="1" customHeight="1" outlineLevel="1" x14ac:dyDescent="0.25">
      <c r="A18110" s="221" t="s">
        <v>10386</v>
      </c>
      <c r="B18110" s="1478">
        <v>45566</v>
      </c>
      <c r="C18110" s="1497">
        <v>100</v>
      </c>
      <c r="D18110" s="1500"/>
      <c r="E18110" s="1498">
        <f t="shared" ref="E18110:E18125" si="306">IF(D18110="",$F$18107,D18110/C18110-1)</f>
        <v>0.38880935318367882</v>
      </c>
      <c r="F18110" s="1842"/>
      <c r="G18110" s="78"/>
    </row>
    <row r="18111" spans="1:14" ht="12.75" hidden="1" customHeight="1" outlineLevel="1" x14ac:dyDescent="0.25">
      <c r="A18111" s="221" t="s">
        <v>10387</v>
      </c>
      <c r="B18111" s="1478">
        <v>45597</v>
      </c>
      <c r="C18111" s="1497">
        <v>100</v>
      </c>
      <c r="D18111" s="1500"/>
      <c r="E18111" s="1498">
        <f t="shared" si="306"/>
        <v>0.38880935318367882</v>
      </c>
      <c r="F18111" s="1842"/>
      <c r="G18111" s="78"/>
    </row>
    <row r="18112" spans="1:14" ht="12.75" hidden="1" customHeight="1" outlineLevel="1" x14ac:dyDescent="0.25">
      <c r="A18112" s="221" t="s">
        <v>10388</v>
      </c>
      <c r="B18112" s="1478">
        <v>45627</v>
      </c>
      <c r="C18112" s="1497">
        <v>100</v>
      </c>
      <c r="D18112" s="1500"/>
      <c r="E18112" s="1498">
        <f t="shared" si="306"/>
        <v>0.38880935318367882</v>
      </c>
      <c r="F18112" s="1842"/>
      <c r="G18112" s="78"/>
    </row>
    <row r="18113" spans="1:7" ht="12.75" hidden="1" customHeight="1" outlineLevel="1" x14ac:dyDescent="0.25">
      <c r="A18113" s="221" t="s">
        <v>10389</v>
      </c>
      <c r="B18113" s="1478">
        <v>45658</v>
      </c>
      <c r="C18113" s="1497">
        <v>100</v>
      </c>
      <c r="D18113" s="1500"/>
      <c r="E18113" s="1498">
        <f t="shared" si="306"/>
        <v>0.38880935318367882</v>
      </c>
      <c r="F18113" s="1842"/>
      <c r="G18113" s="78"/>
    </row>
    <row r="18114" spans="1:7" ht="12.75" hidden="1" customHeight="1" outlineLevel="1" x14ac:dyDescent="0.25">
      <c r="A18114" s="221" t="s">
        <v>10390</v>
      </c>
      <c r="B18114" s="1478">
        <v>45689</v>
      </c>
      <c r="C18114" s="1497">
        <v>100</v>
      </c>
      <c r="D18114" s="1500"/>
      <c r="E18114" s="1498">
        <f t="shared" si="306"/>
        <v>0.38880935318367882</v>
      </c>
      <c r="F18114" s="1842"/>
      <c r="G18114" s="78"/>
    </row>
    <row r="18115" spans="1:7" ht="12.75" hidden="1" customHeight="1" outlineLevel="1" x14ac:dyDescent="0.25">
      <c r="A18115" s="221" t="s">
        <v>10391</v>
      </c>
      <c r="B18115" s="1478">
        <v>45717</v>
      </c>
      <c r="C18115" s="1497">
        <v>100</v>
      </c>
      <c r="D18115" s="1500"/>
      <c r="E18115" s="1498">
        <f t="shared" si="306"/>
        <v>0.38880935318367882</v>
      </c>
      <c r="F18115" s="1842"/>
      <c r="G18115" s="78"/>
    </row>
    <row r="18116" spans="1:7" ht="12.75" hidden="1" customHeight="1" outlineLevel="1" x14ac:dyDescent="0.25">
      <c r="A18116" s="221" t="s">
        <v>10392</v>
      </c>
      <c r="B18116" s="1478">
        <v>45748</v>
      </c>
      <c r="C18116" s="1497">
        <v>100</v>
      </c>
      <c r="D18116" s="1500"/>
      <c r="E18116" s="1498">
        <f t="shared" si="306"/>
        <v>0.38880935318367882</v>
      </c>
      <c r="F18116" s="1842"/>
      <c r="G18116" s="78"/>
    </row>
    <row r="18117" spans="1:7" ht="12.75" hidden="1" customHeight="1" outlineLevel="1" x14ac:dyDescent="0.25">
      <c r="A18117" s="221" t="s">
        <v>10393</v>
      </c>
      <c r="B18117" s="1478">
        <v>45778</v>
      </c>
      <c r="C18117" s="1497">
        <v>100</v>
      </c>
      <c r="D18117" s="1500"/>
      <c r="E18117" s="1498">
        <f t="shared" si="306"/>
        <v>0.38880935318367882</v>
      </c>
      <c r="F18117" s="1842"/>
      <c r="G18117" s="78"/>
    </row>
    <row r="18118" spans="1:7" ht="12.75" hidden="1" customHeight="1" outlineLevel="1" x14ac:dyDescent="0.25">
      <c r="A18118" s="221" t="s">
        <v>10394</v>
      </c>
      <c r="B18118" s="1478">
        <v>45809</v>
      </c>
      <c r="C18118" s="1497">
        <v>100</v>
      </c>
      <c r="D18118" s="1500"/>
      <c r="E18118" s="1498">
        <f t="shared" si="306"/>
        <v>0.38880935318367882</v>
      </c>
      <c r="F18118" s="1842"/>
      <c r="G18118" s="78"/>
    </row>
    <row r="18119" spans="1:7" ht="12.75" hidden="1" customHeight="1" outlineLevel="1" x14ac:dyDescent="0.25">
      <c r="A18119" s="221" t="s">
        <v>10395</v>
      </c>
      <c r="B18119" s="1478">
        <v>45839</v>
      </c>
      <c r="C18119" s="1497">
        <v>100</v>
      </c>
      <c r="D18119" s="1500"/>
      <c r="E18119" s="1498">
        <f t="shared" si="306"/>
        <v>0.38880935318367882</v>
      </c>
      <c r="F18119" s="1842"/>
      <c r="G18119" s="78"/>
    </row>
    <row r="18120" spans="1:7" ht="12.75" hidden="1" customHeight="1" outlineLevel="1" x14ac:dyDescent="0.25">
      <c r="A18120" s="221" t="s">
        <v>10396</v>
      </c>
      <c r="B18120" s="1478">
        <v>45870</v>
      </c>
      <c r="C18120" s="1497">
        <v>100</v>
      </c>
      <c r="D18120" s="1500"/>
      <c r="E18120" s="1498">
        <f t="shared" si="306"/>
        <v>0.38880935318367882</v>
      </c>
      <c r="F18120" s="1842"/>
      <c r="G18120" s="78"/>
    </row>
    <row r="18121" spans="1:7" ht="12.75" hidden="1" customHeight="1" outlineLevel="1" x14ac:dyDescent="0.25">
      <c r="A18121" s="221" t="s">
        <v>10397</v>
      </c>
      <c r="B18121" s="1478">
        <v>45901</v>
      </c>
      <c r="C18121" s="1497">
        <v>100</v>
      </c>
      <c r="D18121" s="1500"/>
      <c r="E18121" s="1498">
        <f t="shared" si="306"/>
        <v>0.38880935318367882</v>
      </c>
      <c r="F18121" s="1842"/>
      <c r="G18121" s="78"/>
    </row>
    <row r="18122" spans="1:7" ht="12.75" hidden="1" customHeight="1" outlineLevel="1" x14ac:dyDescent="0.25">
      <c r="A18122" s="221" t="s">
        <v>10398</v>
      </c>
      <c r="B18122" s="1478">
        <v>45931</v>
      </c>
      <c r="C18122" s="1497">
        <v>100</v>
      </c>
      <c r="D18122" s="1500"/>
      <c r="E18122" s="1498">
        <f t="shared" si="306"/>
        <v>0.38880935318367882</v>
      </c>
      <c r="F18122" s="1842"/>
      <c r="G18122" s="78"/>
    </row>
    <row r="18123" spans="1:7" ht="12.75" hidden="1" customHeight="1" outlineLevel="1" x14ac:dyDescent="0.25">
      <c r="A18123" s="221" t="s">
        <v>10399</v>
      </c>
      <c r="B18123" s="1478">
        <v>45962</v>
      </c>
      <c r="C18123" s="1497">
        <v>100</v>
      </c>
      <c r="D18123" s="1500"/>
      <c r="E18123" s="1498">
        <f t="shared" si="306"/>
        <v>0.38880935318367882</v>
      </c>
      <c r="F18123" s="1842"/>
      <c r="G18123" s="78"/>
    </row>
    <row r="18124" spans="1:7" ht="12.75" hidden="1" customHeight="1" outlineLevel="1" x14ac:dyDescent="0.25">
      <c r="A18124" s="221" t="s">
        <v>10400</v>
      </c>
      <c r="B18124" s="1478">
        <v>45992</v>
      </c>
      <c r="C18124" s="1497">
        <v>100</v>
      </c>
      <c r="D18124" s="1500"/>
      <c r="E18124" s="1498">
        <f t="shared" si="306"/>
        <v>0.38880935318367882</v>
      </c>
      <c r="F18124" s="1842"/>
      <c r="G18124" s="78"/>
    </row>
    <row r="18125" spans="1:7" ht="12.75" hidden="1" customHeight="1" outlineLevel="1" x14ac:dyDescent="0.25">
      <c r="A18125" s="221" t="s">
        <v>10401</v>
      </c>
      <c r="B18125" s="1478">
        <v>46023</v>
      </c>
      <c r="C18125" s="1497">
        <v>100</v>
      </c>
      <c r="D18125" s="1500"/>
      <c r="E18125" s="1498">
        <f t="shared" si="306"/>
        <v>0.38880935318367882</v>
      </c>
      <c r="F18125" s="1842"/>
      <c r="G18125" s="78"/>
    </row>
    <row r="18126" spans="1:7" ht="12.75" hidden="1" customHeight="1" outlineLevel="1" x14ac:dyDescent="0.25">
      <c r="A18126" s="1483" t="s">
        <v>2734</v>
      </c>
      <c r="B18126" s="1484"/>
      <c r="C18126" s="1500"/>
      <c r="D18126" s="1485" t="s">
        <v>2465</v>
      </c>
      <c r="E18126" s="1486">
        <f>AVERAGE(E18108:E18125)</f>
        <v>0.38880935318367887</v>
      </c>
      <c r="F18126" s="1844">
        <f>MAX(0%,MIN(E18126,60%))</f>
        <v>0.38880935318367887</v>
      </c>
      <c r="G18126" s="78"/>
    </row>
    <row r="18127" spans="1:7" collapsed="1" x14ac:dyDescent="0.25">
      <c r="A18127" s="3799" t="s">
        <v>10337</v>
      </c>
      <c r="B18127" s="3800"/>
      <c r="C18127" s="3800"/>
      <c r="D18127" s="3800"/>
      <c r="E18127" s="18"/>
      <c r="F18127" s="186">
        <f>+F18126</f>
        <v>0.38880935318367887</v>
      </c>
      <c r="G18127" s="78"/>
    </row>
    <row r="18129" spans="1:10" hidden="1" outlineLevel="1" x14ac:dyDescent="0.25">
      <c r="A18129" s="3180" t="s">
        <v>113</v>
      </c>
      <c r="B18129" s="3180" t="s">
        <v>114</v>
      </c>
      <c r="C18129" s="3192" t="s">
        <v>112</v>
      </c>
      <c r="D18129" s="3248" t="s">
        <v>4363</v>
      </c>
      <c r="E18129" s="3192" t="s">
        <v>116</v>
      </c>
      <c r="F18129" s="3181" t="s">
        <v>8050</v>
      </c>
      <c r="G18129" s="78"/>
      <c r="J18129" s="31"/>
    </row>
    <row r="18130" spans="1:10" hidden="1" outlineLevel="1" x14ac:dyDescent="0.25">
      <c r="A18130" s="1956" t="s">
        <v>1327</v>
      </c>
      <c r="B18130" s="2999" t="s">
        <v>9958</v>
      </c>
      <c r="C18130" s="3368">
        <v>196.86099999999999</v>
      </c>
      <c r="D18130" s="3368">
        <v>215.32900000000001</v>
      </c>
      <c r="E18130" s="2961">
        <v>215.32900000000001</v>
      </c>
      <c r="F18130" s="3371">
        <v>9.3812385388675423E-2</v>
      </c>
      <c r="G18130" s="78"/>
      <c r="H18130" s="367"/>
      <c r="I18130" s="367"/>
    </row>
    <row r="18131" spans="1:10" hidden="1" outlineLevel="1" x14ac:dyDescent="0.25">
      <c r="A18131" s="1956" t="s">
        <v>6006</v>
      </c>
      <c r="B18131" s="2999" t="s">
        <v>9958</v>
      </c>
      <c r="C18131" s="3367"/>
      <c r="D18131" s="3367"/>
      <c r="E18131" s="2964"/>
      <c r="F18131" s="3371"/>
      <c r="G18131" s="78"/>
    </row>
    <row r="18132" spans="1:10" hidden="1" outlineLevel="1" x14ac:dyDescent="0.25">
      <c r="A18132" s="2197" t="s">
        <v>2734</v>
      </c>
      <c r="B18132" s="2965"/>
      <c r="C18132" s="1817"/>
      <c r="D18132" s="1817"/>
      <c r="E18132" s="2966"/>
      <c r="F18132" s="3371">
        <v>9.3812385388675423E-2</v>
      </c>
      <c r="G18132" s="78"/>
    </row>
    <row r="18133" spans="1:10" collapsed="1" x14ac:dyDescent="0.25">
      <c r="A18133" s="3801" t="s">
        <v>10403</v>
      </c>
      <c r="B18133" s="3802"/>
      <c r="C18133" s="3802"/>
      <c r="D18133" s="3802"/>
      <c r="E18133" s="1906"/>
      <c r="F18133" s="1890">
        <v>0.06</v>
      </c>
      <c r="G18133" s="78"/>
    </row>
    <row r="18135" spans="1:10" ht="12.75" hidden="1" customHeight="1" outlineLevel="1" x14ac:dyDescent="0.25">
      <c r="A18135" s="15" t="s">
        <v>113</v>
      </c>
      <c r="B18135" s="15" t="s">
        <v>114</v>
      </c>
      <c r="C18135" s="15" t="s">
        <v>112</v>
      </c>
      <c r="D18135" s="15" t="s">
        <v>116</v>
      </c>
      <c r="E18135" s="15" t="s">
        <v>117</v>
      </c>
      <c r="F18135" s="1882" t="s">
        <v>121</v>
      </c>
      <c r="G18135" s="78"/>
    </row>
    <row r="18136" spans="1:10" ht="12.75" hidden="1" customHeight="1" outlineLevel="1" x14ac:dyDescent="0.25">
      <c r="A18136" s="4">
        <v>1</v>
      </c>
      <c r="B18136" s="5" t="s">
        <v>252</v>
      </c>
      <c r="C18136" s="6">
        <v>100</v>
      </c>
      <c r="D18136" s="6"/>
      <c r="E18136" s="9"/>
      <c r="F18136" s="10"/>
      <c r="G18136" s="78"/>
    </row>
    <row r="18137" spans="1:10" ht="12.75" hidden="1" customHeight="1" outlineLevel="1" x14ac:dyDescent="0.25">
      <c r="A18137" s="21" t="s">
        <v>2734</v>
      </c>
      <c r="B18137" s="21"/>
      <c r="C18137" s="11"/>
      <c r="D18137" s="32" t="s">
        <v>3702</v>
      </c>
      <c r="E18137" s="33">
        <f>indexy!$B$2</f>
        <v>45379</v>
      </c>
      <c r="F18137" s="38"/>
      <c r="G18137" s="78"/>
    </row>
    <row r="18138" spans="1:10" ht="12.75" hidden="1" customHeight="1" outlineLevel="1" x14ac:dyDescent="0.25">
      <c r="A18138" s="15" t="s">
        <v>4156</v>
      </c>
      <c r="B18138" s="15" t="s">
        <v>4153</v>
      </c>
      <c r="C18138" s="15" t="s">
        <v>112</v>
      </c>
      <c r="D18138" s="15" t="s">
        <v>4155</v>
      </c>
      <c r="E18138" s="15" t="s">
        <v>4154</v>
      </c>
      <c r="F18138" s="1882" t="s">
        <v>2519</v>
      </c>
      <c r="G18138" s="78"/>
    </row>
    <row r="18139" spans="1:10" ht="12.75" hidden="1" customHeight="1" outlineLevel="1" x14ac:dyDescent="0.25">
      <c r="A18139" s="134">
        <v>0.03</v>
      </c>
      <c r="B18139" s="151" t="s">
        <v>802</v>
      </c>
      <c r="C18139" s="454">
        <v>5.9340000000000002</v>
      </c>
      <c r="D18139" s="2954">
        <f>VLOOKUP($H18139,indexy!$C$44:$D$823,2,FALSE)</f>
        <v>19.690000000000001</v>
      </c>
      <c r="E18139" s="1491">
        <f>$D18139/$C18139-1</f>
        <v>2.318166498146276</v>
      </c>
      <c r="F18139" s="1805">
        <f>$E18139*$A18139</f>
        <v>6.9544994944388275E-2</v>
      </c>
      <c r="G18139" s="78"/>
      <c r="H18139" t="str">
        <f>VLOOKUP(B18139,indexy!$A$44:$D$823,3,FALSE)</f>
        <v>NLY UN Equity</v>
      </c>
    </row>
    <row r="18140" spans="1:10" ht="12.75" hidden="1" customHeight="1" outlineLevel="1" x14ac:dyDescent="0.25">
      <c r="A18140" s="135">
        <v>0.02</v>
      </c>
      <c r="B18140" s="151" t="s">
        <v>2351</v>
      </c>
      <c r="C18140" s="410">
        <v>13.220499999999999</v>
      </c>
      <c r="D18140" s="2955">
        <f>VLOOKUP(H18140,indexy!$C$44:$D$823,2,FALSE)</f>
        <v>22.99</v>
      </c>
      <c r="E18140" s="1493">
        <f t="shared" ref="E18140:E18168" si="307">$D18140/$C18140-1</f>
        <v>0.73896599977307953</v>
      </c>
      <c r="F18140" s="1313">
        <f t="shared" ref="F18140:F18167" si="308">$E18140*$A18140</f>
        <v>1.4779319995461591E-2</v>
      </c>
      <c r="G18140" s="78"/>
      <c r="H18140" t="str">
        <f>VLOOKUP(B18140,indexy!$A$44:$D$823,3,FALSE)</f>
        <v>ATL IM Equity</v>
      </c>
    </row>
    <row r="18141" spans="1:10" ht="12.75" hidden="1" customHeight="1" outlineLevel="1" x14ac:dyDescent="0.25">
      <c r="A18141" s="135">
        <v>0.03</v>
      </c>
      <c r="B18141" s="151" t="s">
        <v>5745</v>
      </c>
      <c r="C18141" s="410">
        <v>16.134</v>
      </c>
      <c r="D18141" s="2955">
        <f>VLOOKUP(H18141,indexy!$C$44:$D$823,2,FALSE)</f>
        <v>29.4</v>
      </c>
      <c r="E18141" s="1493">
        <f t="shared" si="307"/>
        <v>0.82223875046485673</v>
      </c>
      <c r="F18141" s="1313">
        <f t="shared" si="308"/>
        <v>2.4667162513945701E-2</v>
      </c>
      <c r="G18141" s="78"/>
      <c r="H18141" t="str">
        <f>VLOOKUP(B18141,indexy!$A$44:$D$823,3,FALSE)</f>
        <v>ANZ AT Equity</v>
      </c>
    </row>
    <row r="18142" spans="1:10" ht="12.75" hidden="1" customHeight="1" outlineLevel="1" x14ac:dyDescent="0.25">
      <c r="A18142" s="135">
        <v>0.02</v>
      </c>
      <c r="B18142" s="151" t="s">
        <v>218</v>
      </c>
      <c r="C18142" s="410">
        <v>14.935600000000001</v>
      </c>
      <c r="D18142" s="2955">
        <f>VLOOKUP(H18142,indexy!$C$44:$D$823,2,FALSE)</f>
        <v>34.814999999999998</v>
      </c>
      <c r="E18142" s="1493">
        <f t="shared" si="307"/>
        <v>1.3310077934599209</v>
      </c>
      <c r="F18142" s="1313">
        <f t="shared" si="308"/>
        <v>2.6620155869198418E-2</v>
      </c>
      <c r="G18142" s="78"/>
      <c r="H18142" t="str">
        <f>VLOOKUP(B18142,indexy!$A$44:$D$823,3,FALSE)</f>
        <v>CS FP Equity</v>
      </c>
    </row>
    <row r="18143" spans="1:10" ht="12.75" hidden="1" customHeight="1" outlineLevel="1" x14ac:dyDescent="0.25">
      <c r="A18143" s="135">
        <v>0.02</v>
      </c>
      <c r="B18143" s="151" t="s">
        <v>807</v>
      </c>
      <c r="C18143" s="1468">
        <v>57.329000000000001</v>
      </c>
      <c r="D18143" s="2955">
        <f>VLOOKUP(H18143,indexy!$C$44:$D$823,2,FALSE)</f>
        <v>46.03</v>
      </c>
      <c r="E18143" s="1493">
        <f t="shared" si="307"/>
        <v>-0.1970904777686685</v>
      </c>
      <c r="F18143" s="1313">
        <f t="shared" si="308"/>
        <v>-3.9418095553733698E-3</v>
      </c>
      <c r="G18143" s="78"/>
      <c r="H18143" t="str">
        <f>VLOOKUP(B18143,indexy!$A$44:$D$823,3,FALSE)</f>
        <v>BCE CT Equity</v>
      </c>
    </row>
    <row r="18144" spans="1:10" ht="12.75" hidden="1" customHeight="1" outlineLevel="1" x14ac:dyDescent="0.25">
      <c r="A18144" s="135">
        <v>0.02</v>
      </c>
      <c r="B18144" s="151" t="s">
        <v>10153</v>
      </c>
      <c r="C18144" s="1468">
        <v>30.462</v>
      </c>
      <c r="D18144" s="2955">
        <f>VLOOKUP(H18144,indexy!$C$44:$D$823,2,FALSE)</f>
        <v>44.27</v>
      </c>
      <c r="E18144" s="1493">
        <f t="shared" si="307"/>
        <v>0.45328606132230331</v>
      </c>
      <c r="F18144" s="1313">
        <f t="shared" si="308"/>
        <v>9.0657212264460673E-3</v>
      </c>
      <c r="G18144" s="78"/>
      <c r="H18144" t="str">
        <f>VLOOKUP(B18144,indexy!$A$44:$D$823,3,FALSE)</f>
        <v>BHP AT Equity</v>
      </c>
    </row>
    <row r="18145" spans="1:8" ht="12.75" hidden="1" customHeight="1" outlineLevel="1" x14ac:dyDescent="0.25">
      <c r="A18145" s="135">
        <v>0.02</v>
      </c>
      <c r="B18145" s="151" t="s">
        <v>3954</v>
      </c>
      <c r="C18145" s="410">
        <f>79.897/2</f>
        <v>39.948500000000003</v>
      </c>
      <c r="D18145" s="2955">
        <f>VLOOKUP(H18145,indexy!$C$44:$D$823,2,FALSE)</f>
        <v>68.67</v>
      </c>
      <c r="E18145" s="1493">
        <f t="shared" si="307"/>
        <v>0.71896316507503411</v>
      </c>
      <c r="F18145" s="1313">
        <f t="shared" si="308"/>
        <v>1.4379263301500682E-2</v>
      </c>
      <c r="G18145" s="78"/>
      <c r="H18145" t="str">
        <f>VLOOKUP(B18145,indexy!$A$44:$D$823,3,FALSE)</f>
        <v>CM CT Equity</v>
      </c>
    </row>
    <row r="18146" spans="1:8" ht="12.75" hidden="1" customHeight="1" outlineLevel="1" x14ac:dyDescent="0.25">
      <c r="A18146" s="135">
        <v>0.04</v>
      </c>
      <c r="B18146" s="151" t="s">
        <v>2629</v>
      </c>
      <c r="C18146" s="410">
        <v>12.538500000000001</v>
      </c>
      <c r="D18146" s="2955">
        <f>VLOOKUP(H18146,indexy!$C$44:$D$823,2,FALSE)</f>
        <v>22.5</v>
      </c>
      <c r="E18146" s="1493">
        <f t="shared" si="307"/>
        <v>0.79447302308888612</v>
      </c>
      <c r="F18146" s="1313">
        <f t="shared" si="308"/>
        <v>3.1778920923555443E-2</v>
      </c>
      <c r="G18146" s="78"/>
      <c r="H18146" t="str">
        <f>VLOOKUP(B18146,indexy!$A$44:$D$823,3,FALSE)</f>
        <v>DTE GY Equity</v>
      </c>
    </row>
    <row r="18147" spans="1:8" ht="12.75" hidden="1" customHeight="1" outlineLevel="1" x14ac:dyDescent="0.25">
      <c r="A18147" s="135">
        <v>0.02</v>
      </c>
      <c r="B18147" s="151" t="s">
        <v>7855</v>
      </c>
      <c r="C18147" s="410">
        <v>40.956000000000003</v>
      </c>
      <c r="D18147" s="2955">
        <f>VLOOKUP(H18147,indexy!$C$44:$D$823,2,FALSE)</f>
        <v>48.95</v>
      </c>
      <c r="E18147" s="1493">
        <f t="shared" si="307"/>
        <v>0.19518507666764329</v>
      </c>
      <c r="F18147" s="1313">
        <f t="shared" si="308"/>
        <v>3.9037015333528657E-3</v>
      </c>
      <c r="G18147" s="78"/>
      <c r="H18147" t="str">
        <f>VLOOKUP(B18147,indexy!$A$44:$D$823,3,FALSE)</f>
        <v>ENB CT Equity</v>
      </c>
    </row>
    <row r="18148" spans="1:8" ht="12.75" hidden="1" customHeight="1" outlineLevel="1" x14ac:dyDescent="0.25">
      <c r="A18148" s="135">
        <v>0.08</v>
      </c>
      <c r="B18148" s="151" t="s">
        <v>9171</v>
      </c>
      <c r="C18148" s="410">
        <v>19.4785</v>
      </c>
      <c r="D18148" s="2955">
        <f>VLOOKUP(H18148,indexy!$C$44:$D$823,2,FALSE)</f>
        <v>17.164999999999999</v>
      </c>
      <c r="E18148" s="1493">
        <f t="shared" si="307"/>
        <v>-0.11877197936186057</v>
      </c>
      <c r="F18148" s="1313">
        <f t="shared" si="308"/>
        <v>-9.5017583489488463E-3</v>
      </c>
      <c r="G18148" s="78"/>
      <c r="H18148" t="str">
        <f>VLOOKUP(B18148,indexy!$A$44:$D$823,3,FALSE)</f>
        <v>ELE SQ Equity</v>
      </c>
    </row>
    <row r="18149" spans="1:8" ht="12.75" hidden="1" customHeight="1" outlineLevel="1" x14ac:dyDescent="0.25">
      <c r="A18149" s="135">
        <v>0.02</v>
      </c>
      <c r="B18149" s="151" t="s">
        <v>3798</v>
      </c>
      <c r="C18149" s="410">
        <v>6.0892999999999997</v>
      </c>
      <c r="D18149" s="2955">
        <f>VLOOKUP(H18149,indexy!$C$44:$D$823,2,FALSE)</f>
        <v>6.1189999999999998</v>
      </c>
      <c r="E18149" s="1493">
        <f t="shared" si="307"/>
        <v>4.8774079122395619E-3</v>
      </c>
      <c r="F18149" s="1313">
        <f t="shared" si="308"/>
        <v>9.7548158244791235E-5</v>
      </c>
      <c r="G18149" s="78"/>
      <c r="H18149" t="str">
        <f>VLOOKUP(B18149,indexy!$A$44:$D$823,3,FALSE)</f>
        <v>ENEL IM Equity</v>
      </c>
    </row>
    <row r="18150" spans="1:8" ht="12.75" hidden="1" customHeight="1" outlineLevel="1" x14ac:dyDescent="0.25">
      <c r="A18150" s="135">
        <v>0.02</v>
      </c>
      <c r="B18150" s="151" t="s">
        <v>4338</v>
      </c>
      <c r="C18150" s="410">
        <v>9.3165999999999993</v>
      </c>
      <c r="D18150" s="2955">
        <f>VLOOKUP(H18150,indexy!$C$44:$D$823,2,FALSE)</f>
        <v>15.51</v>
      </c>
      <c r="E18150" s="1493">
        <f t="shared" si="307"/>
        <v>0.66477040980615265</v>
      </c>
      <c r="F18150" s="1313">
        <f t="shared" si="308"/>
        <v>1.3295408196123053E-2</v>
      </c>
      <c r="G18150" s="78"/>
      <c r="H18150" t="str">
        <f>VLOOKUP(B18150,indexy!$A$44:$D$823,3,FALSE)</f>
        <v>ENGI FP Equity</v>
      </c>
    </row>
    <row r="18151" spans="1:8" ht="12.75" hidden="1" customHeight="1" outlineLevel="1" x14ac:dyDescent="0.25">
      <c r="A18151" s="135">
        <v>0.02</v>
      </c>
      <c r="B18151" s="151" t="s">
        <v>3021</v>
      </c>
      <c r="C18151" s="2740">
        <v>8.4175000000000004</v>
      </c>
      <c r="D18151" s="2955">
        <f>VLOOKUP(H18151,indexy!$C$44:$D$823,2,FALSE)</f>
        <v>14.648</v>
      </c>
      <c r="E18151" s="1493">
        <f t="shared" si="307"/>
        <v>0.74018414018414003</v>
      </c>
      <c r="F18151" s="1313">
        <f t="shared" si="308"/>
        <v>1.4803682803682801E-2</v>
      </c>
      <c r="G18151" s="78"/>
      <c r="H18151" t="str">
        <f>VLOOKUP(B18151,indexy!$A$44:$D$823,3,FALSE)</f>
        <v>ENI IM Equity</v>
      </c>
    </row>
    <row r="18152" spans="1:8" ht="12.75" hidden="1" customHeight="1" outlineLevel="1" x14ac:dyDescent="0.25">
      <c r="A18152" s="135">
        <v>0.08</v>
      </c>
      <c r="B18152" s="151" t="s">
        <v>9767</v>
      </c>
      <c r="C18152" s="410">
        <v>15.2935</v>
      </c>
      <c r="D18152" s="2955">
        <f>VLOOKUP(H18152,indexy!$C$44:$D$823,2,FALSE)</f>
        <v>20.100000000000001</v>
      </c>
      <c r="E18152" s="1493">
        <f t="shared" si="307"/>
        <v>0.31428384607839943</v>
      </c>
      <c r="F18152" s="1313">
        <f t="shared" si="308"/>
        <v>2.5142707686271956E-2</v>
      </c>
      <c r="G18152" s="78"/>
      <c r="H18152" t="str">
        <f>VLOOKUP(B18152,indexy!$A$44:$D$823,3,FALSE)</f>
        <v>NTGY SQ Equity</v>
      </c>
    </row>
    <row r="18153" spans="1:8" ht="12.75" hidden="1" customHeight="1" outlineLevel="1" x14ac:dyDescent="0.25">
      <c r="A18153" s="135">
        <v>0.05</v>
      </c>
      <c r="B18153" s="151" t="s">
        <v>459</v>
      </c>
      <c r="C18153" s="410">
        <v>357.29</v>
      </c>
      <c r="D18153" s="2955">
        <f>VLOOKUP(H18153,indexy!$C$44:$D$823,2,FALSE)</f>
        <v>597.20000000000005</v>
      </c>
      <c r="E18153" s="1493">
        <f t="shared" si="307"/>
        <v>0.67147135380223344</v>
      </c>
      <c r="F18153" s="1313">
        <f t="shared" si="308"/>
        <v>3.3573567690111675E-2</v>
      </c>
      <c r="G18153" s="78"/>
      <c r="H18153" t="str">
        <f>VLOOKUP(B18153,indexy!$A$44:$D$823,3,FALSE)</f>
        <v>7201 JT Equity</v>
      </c>
    </row>
    <row r="18154" spans="1:8" ht="12.75" hidden="1" customHeight="1" outlineLevel="1" x14ac:dyDescent="0.25">
      <c r="A18154" s="135">
        <v>0.02</v>
      </c>
      <c r="B18154" s="151" t="s">
        <v>2769</v>
      </c>
      <c r="C18154" s="410">
        <v>25.422999999999998</v>
      </c>
      <c r="D18154" s="2955">
        <f>VLOOKUP(H18154,indexy!$C$44:$D$823,2,FALSE)</f>
        <v>27.53</v>
      </c>
      <c r="E18154" s="1493">
        <f t="shared" si="307"/>
        <v>8.2877709160996016E-2</v>
      </c>
      <c r="F18154" s="1313">
        <f t="shared" si="308"/>
        <v>1.6575541832199205E-3</v>
      </c>
      <c r="G18154" s="78"/>
      <c r="H18154" t="str">
        <f>VLOOKUP(B18154,indexy!$A$44:$D$823,3,FALSE)</f>
        <v>PPL UN Equity</v>
      </c>
    </row>
    <row r="18155" spans="1:8" ht="12.75" hidden="1" customHeight="1" outlineLevel="1" x14ac:dyDescent="0.25">
      <c r="A18155" s="135">
        <v>0.06</v>
      </c>
      <c r="B18155" s="151" t="s">
        <v>5629</v>
      </c>
      <c r="C18155" s="410">
        <v>15.256500000000001</v>
      </c>
      <c r="D18155" s="2955">
        <f>VLOOKUP(H18155,indexy!$C$44:$D$823,2,FALSE)</f>
        <v>15.805</v>
      </c>
      <c r="E18155" s="1493">
        <f t="shared" si="307"/>
        <v>3.5951889358633915E-2</v>
      </c>
      <c r="F18155" s="1313">
        <f t="shared" si="308"/>
        <v>2.1571133615180347E-3</v>
      </c>
      <c r="G18155" s="78"/>
      <c r="H18155" t="str">
        <f>VLOOKUP(B18155,indexy!$A$44:$D$823,3,FALSE)</f>
        <v>REE SQ Equity</v>
      </c>
    </row>
    <row r="18156" spans="1:8" ht="12.75" hidden="1" customHeight="1" outlineLevel="1" x14ac:dyDescent="0.25">
      <c r="A18156" s="135">
        <v>0.02</v>
      </c>
      <c r="B18156" s="151" t="s">
        <v>54</v>
      </c>
      <c r="C18156" s="410">
        <v>7.6265999999999998</v>
      </c>
      <c r="D18156" s="2955">
        <f>VLOOKUP(H18156,indexy!$C$44:$D$823,2,FALSE)</f>
        <v>15.44</v>
      </c>
      <c r="E18156" s="1493">
        <f t="shared" si="307"/>
        <v>1.0244932210945898</v>
      </c>
      <c r="F18156" s="1313">
        <f t="shared" si="308"/>
        <v>2.0489864421891796E-2</v>
      </c>
      <c r="G18156" s="78"/>
      <c r="H18156" t="str">
        <f>VLOOKUP(B18156,indexy!$A$44:$D$823,3,FALSE)</f>
        <v>REP SQ Equity</v>
      </c>
    </row>
    <row r="18157" spans="1:8" ht="12.75" hidden="1" customHeight="1" outlineLevel="1" x14ac:dyDescent="0.25">
      <c r="A18157" s="135">
        <v>0.02</v>
      </c>
      <c r="B18157" s="151" t="s">
        <v>5205</v>
      </c>
      <c r="C18157" s="410">
        <v>13.686999999999999</v>
      </c>
      <c r="D18157" s="2955">
        <f>VLOOKUP(H18157,indexy!$C$44:$D$823,2,FALSE)/100</f>
        <v>18.952000000000002</v>
      </c>
      <c r="E18157" s="1493">
        <f t="shared" si="307"/>
        <v>0.38467158617666408</v>
      </c>
      <c r="F18157" s="1313">
        <f t="shared" si="308"/>
        <v>7.6934317235332816E-3</v>
      </c>
      <c r="G18157" s="78"/>
      <c r="H18157" t="str">
        <f>VLOOKUP(B18157,indexy!$A$44:$D$823,3,FALSE)</f>
        <v>RDSA LN Equity</v>
      </c>
    </row>
    <row r="18158" spans="1:8" ht="12.75" hidden="1" customHeight="1" outlineLevel="1" x14ac:dyDescent="0.25">
      <c r="A18158" s="135">
        <v>0.05</v>
      </c>
      <c r="B18158" s="151" t="s">
        <v>6116</v>
      </c>
      <c r="C18158" s="410">
        <v>3.8651</v>
      </c>
      <c r="D18158" s="2955">
        <f>VLOOKUP(H18158,indexy!$C$44:$D$823,2,FALSE)</f>
        <v>4.3760000000000003</v>
      </c>
      <c r="E18158" s="1493">
        <f t="shared" si="307"/>
        <v>0.13218286719619154</v>
      </c>
      <c r="F18158" s="1313">
        <f t="shared" si="308"/>
        <v>6.6091433598095776E-3</v>
      </c>
      <c r="G18158" s="78"/>
      <c r="H18158" t="str">
        <f>VLOOKUP(B18158,indexy!$A$44:$D$823,3,FALSE)</f>
        <v>SRG IM Equity</v>
      </c>
    </row>
    <row r="18159" spans="1:8" ht="12.75" hidden="1" customHeight="1" outlineLevel="1" x14ac:dyDescent="0.25">
      <c r="A18159" s="135">
        <v>0.02</v>
      </c>
      <c r="B18159" s="151" t="s">
        <v>1857</v>
      </c>
      <c r="C18159" s="410">
        <v>12.1615</v>
      </c>
      <c r="D18159" s="2955">
        <f>VLOOKUP(H18159,indexy!$C$44:$D$823,2,FALSE)/100</f>
        <v>16.5</v>
      </c>
      <c r="E18159" s="1493">
        <f t="shared" si="307"/>
        <v>0.35674053365127656</v>
      </c>
      <c r="F18159" s="1313">
        <f t="shared" si="308"/>
        <v>7.1348106730255312E-3</v>
      </c>
      <c r="G18159" s="78"/>
      <c r="H18159" t="str">
        <f>VLOOKUP(B18159,indexy!$A$44:$D$823,3,FALSE)</f>
        <v>SSE LN Equity</v>
      </c>
    </row>
    <row r="18160" spans="1:8" ht="12.75" hidden="1" customHeight="1" outlineLevel="1" x14ac:dyDescent="0.25">
      <c r="A18160" s="135">
        <v>0.04</v>
      </c>
      <c r="B18160" s="151" t="s">
        <v>6527</v>
      </c>
      <c r="C18160" s="410">
        <v>81.945999999999998</v>
      </c>
      <c r="D18160" s="2955">
        <f>VLOOKUP(H18160,indexy!$C$44:$D$823,2,FALSE)</f>
        <v>108.25</v>
      </c>
      <c r="E18160" s="1493">
        <f t="shared" si="307"/>
        <v>0.32099187269665386</v>
      </c>
      <c r="F18160" s="1313">
        <f t="shared" si="308"/>
        <v>1.2839674907866154E-2</v>
      </c>
      <c r="G18160" s="78"/>
      <c r="H18160" t="str">
        <f>VLOOKUP(B18160,indexy!$A$44:$D$823,3,FALSE)</f>
        <v>SHBA SS Equity</v>
      </c>
    </row>
    <row r="18161" spans="1:8" ht="12.75" hidden="1" customHeight="1" outlineLevel="1" x14ac:dyDescent="0.25">
      <c r="A18161" s="135">
        <v>0.08</v>
      </c>
      <c r="B18161" s="151" t="s">
        <v>6118</v>
      </c>
      <c r="C18161" s="410">
        <v>72.27</v>
      </c>
      <c r="D18161" s="2955">
        <f>VLOOKUP(H18161,indexy!$C$44:$D$823,2,FALSE)</f>
        <v>115.95</v>
      </c>
      <c r="E18161" s="1493">
        <f t="shared" si="307"/>
        <v>0.60440016604400171</v>
      </c>
      <c r="F18161" s="1313">
        <f t="shared" si="308"/>
        <v>4.8352013283520137E-2</v>
      </c>
      <c r="G18161" s="78"/>
      <c r="H18161" t="str">
        <f>VLOOKUP(B18161,indexy!$A$44:$D$823,3,FALSE)</f>
        <v>SREN SE Equity</v>
      </c>
    </row>
    <row r="18162" spans="1:8" ht="12.75" hidden="1" customHeight="1" outlineLevel="1" x14ac:dyDescent="0.25">
      <c r="A18162" s="135">
        <v>0.02</v>
      </c>
      <c r="B18162" s="151" t="s">
        <v>8530</v>
      </c>
      <c r="C18162" s="410">
        <v>5.82</v>
      </c>
      <c r="D18162" s="2955">
        <f>VLOOKUP(H18162,indexy!$C$44:$D$823,2,FALSE)</f>
        <v>8.7200000000000006</v>
      </c>
      <c r="E18162" s="1493">
        <f t="shared" si="307"/>
        <v>0.49828178694158076</v>
      </c>
      <c r="F18162" s="1313">
        <f t="shared" si="308"/>
        <v>9.9656357388316161E-3</v>
      </c>
      <c r="G18162" s="78"/>
      <c r="H18162" t="str">
        <f>VLOOKUP(B18162,indexy!$A$44:$D$823,3,FALSE)</f>
        <v>SYD AT Equity</v>
      </c>
    </row>
    <row r="18163" spans="1:8" ht="12.75" hidden="1" customHeight="1" outlineLevel="1" x14ac:dyDescent="0.25">
      <c r="A18163" s="135">
        <v>0.08</v>
      </c>
      <c r="B18163" s="151" t="s">
        <v>434</v>
      </c>
      <c r="C18163" s="410">
        <v>34.423999999999999</v>
      </c>
      <c r="D18163" s="2955">
        <f>VLOOKUP(H18163,indexy!$C$44:$D$823,2,FALSE)</f>
        <v>27.43</v>
      </c>
      <c r="E18163" s="1493">
        <f t="shared" si="307"/>
        <v>-0.20317220543806647</v>
      </c>
      <c r="F18163" s="1313">
        <f t="shared" si="308"/>
        <v>-1.6253776435045317E-2</v>
      </c>
      <c r="G18163" s="78"/>
      <c r="H18163" t="str">
        <f>VLOOKUP(B18163,indexy!$A$44:$D$823,3,FALSE)</f>
        <v>TELIA SS Equity</v>
      </c>
    </row>
    <row r="18164" spans="1:8" ht="12.75" hidden="1" customHeight="1" outlineLevel="1" x14ac:dyDescent="0.25">
      <c r="A18164" s="135">
        <v>0.02</v>
      </c>
      <c r="B18164" s="151" t="s">
        <v>10633</v>
      </c>
      <c r="C18164" s="410">
        <v>31.273</v>
      </c>
      <c r="D18164" s="2955">
        <f>VLOOKUP(H18164,indexy!$C$44:$D$823,2,FALSE)</f>
        <v>63.47</v>
      </c>
      <c r="E18164" s="1493">
        <f t="shared" si="307"/>
        <v>1.0295462539570877</v>
      </c>
      <c r="F18164" s="1313">
        <f t="shared" si="308"/>
        <v>2.0590925079141755E-2</v>
      </c>
      <c r="G18164" s="78"/>
      <c r="H18164" t="str">
        <f>VLOOKUP(B18164,indexy!$A$44:$D$823,3,FALSE)</f>
        <v>TTE FP Equity</v>
      </c>
    </row>
    <row r="18165" spans="1:8" ht="12.75" hidden="1" customHeight="1" outlineLevel="1" x14ac:dyDescent="0.25">
      <c r="A18165" s="135">
        <v>0.02</v>
      </c>
      <c r="B18165" s="151" t="s">
        <v>5758</v>
      </c>
      <c r="C18165" s="410">
        <v>28.937000000000001</v>
      </c>
      <c r="D18165" s="2955">
        <f>VLOOKUP(H18165,indexy!$C$44:$D$823,2,FALSE)</f>
        <v>43.54</v>
      </c>
      <c r="E18165" s="1493">
        <f t="shared" si="307"/>
        <v>0.50464802847565382</v>
      </c>
      <c r="F18165" s="1313">
        <f t="shared" si="308"/>
        <v>1.0092960569513077E-2</v>
      </c>
      <c r="G18165" s="78"/>
      <c r="H18165" t="str">
        <f>VLOOKUP(B18165,indexy!$A$44:$D$823,3,FALSE)</f>
        <v>VTR UN Equity</v>
      </c>
    </row>
    <row r="18166" spans="1:8" ht="12.75" hidden="1" customHeight="1" outlineLevel="1" x14ac:dyDescent="0.25">
      <c r="A18166" s="135">
        <v>0.02</v>
      </c>
      <c r="B18166" s="151" t="s">
        <v>5522</v>
      </c>
      <c r="C18166" s="410">
        <v>37.173000000000002</v>
      </c>
      <c r="D18166" s="2955">
        <f>VLOOKUP(H18166,indexy!$C$44:$D$823,2,FALSE)</f>
        <v>68.400000000000006</v>
      </c>
      <c r="E18166" s="1493">
        <f t="shared" si="307"/>
        <v>0.84004519409248646</v>
      </c>
      <c r="F18166" s="1313">
        <f t="shared" si="308"/>
        <v>1.6800903881849731E-2</v>
      </c>
      <c r="G18166" s="78"/>
      <c r="H18166" t="str">
        <f>VLOOKUP(B18166,indexy!$A$44:$D$823,3,FALSE)</f>
        <v>WES AT Equity</v>
      </c>
    </row>
    <row r="18167" spans="1:8" ht="12.75" hidden="1" customHeight="1" outlineLevel="1" x14ac:dyDescent="0.25">
      <c r="A18167" s="135">
        <v>0.02</v>
      </c>
      <c r="B18167" s="151" t="s">
        <v>7857</v>
      </c>
      <c r="C18167" s="410">
        <v>20.321999999999999</v>
      </c>
      <c r="D18167" s="2955">
        <f>VLOOKUP(H18167,indexy!$C$44:$D$823,2,FALSE)</f>
        <v>30.5</v>
      </c>
      <c r="E18167" s="1493">
        <f t="shared" si="307"/>
        <v>0.50083653183741772</v>
      </c>
      <c r="F18167" s="1313">
        <f t="shared" si="308"/>
        <v>1.0016730636748355E-2</v>
      </c>
      <c r="G18167" s="78"/>
      <c r="H18167" t="str">
        <f>VLOOKUP(B18167,indexy!$A$44:$D$823,3,FALSE)</f>
        <v>WDS AU Equity</v>
      </c>
    </row>
    <row r="18168" spans="1:8" ht="12.75" hidden="1" customHeight="1" outlineLevel="1" x14ac:dyDescent="0.25">
      <c r="A18168" s="135">
        <v>0.02</v>
      </c>
      <c r="B18168" s="2736" t="s">
        <v>10003</v>
      </c>
      <c r="C18168" s="2741">
        <v>60.924999999999997</v>
      </c>
      <c r="D18168" s="2956">
        <f>VLOOKUP(H18168,indexy!$C$44:$D$823,2,FALSE)</f>
        <v>56.44</v>
      </c>
      <c r="E18168" s="1495">
        <f t="shared" si="307"/>
        <v>-7.3615100533442779E-2</v>
      </c>
      <c r="F18168" s="1314">
        <f>$E18168*$A18168</f>
        <v>-1.4723020106688555E-3</v>
      </c>
      <c r="G18168" s="78"/>
      <c r="H18168" t="str">
        <f>VLOOKUP(B18168,indexy!$A$44:$D$823,3,FALSE)</f>
        <v>WPC UN Equity</v>
      </c>
    </row>
    <row r="18169" spans="1:8" ht="12.75" hidden="1" customHeight="1" outlineLevel="1" x14ac:dyDescent="0.25">
      <c r="A18169" s="1475" t="s">
        <v>2734</v>
      </c>
      <c r="B18169" s="150"/>
      <c r="C18169" s="1477"/>
      <c r="D18169" s="1477"/>
      <c r="E18169" s="512"/>
      <c r="F18169" s="1313">
        <f>SUM(F18139:F18168)</f>
        <v>0.42488327031271583</v>
      </c>
      <c r="G18169" s="78"/>
    </row>
    <row r="18170" spans="1:8" ht="12.75" hidden="1" customHeight="1" outlineLevel="1" x14ac:dyDescent="0.25">
      <c r="A18170" s="221" t="s">
        <v>10408</v>
      </c>
      <c r="B18170" s="1478">
        <v>45474</v>
      </c>
      <c r="C18170" s="1497">
        <v>100</v>
      </c>
      <c r="D18170" s="1497"/>
      <c r="E18170" s="1498">
        <f>IF(D18170="",F18169,D18170/C18170-1)</f>
        <v>0.42488327031271583</v>
      </c>
      <c r="F18170" s="1842"/>
      <c r="G18170" s="78"/>
    </row>
    <row r="18171" spans="1:8" ht="12.75" hidden="1" customHeight="1" outlineLevel="1" x14ac:dyDescent="0.25">
      <c r="A18171" s="221" t="s">
        <v>10409</v>
      </c>
      <c r="B18171" s="1478">
        <v>45505</v>
      </c>
      <c r="C18171" s="1497">
        <v>100</v>
      </c>
      <c r="D18171" s="1500"/>
      <c r="E18171" s="1498">
        <f>IF(D18171="",E18170,D18171/C18171-1)</f>
        <v>0.42488327031271583</v>
      </c>
      <c r="F18171" s="1842"/>
      <c r="G18171" s="78"/>
    </row>
    <row r="18172" spans="1:8" ht="12.75" hidden="1" customHeight="1" outlineLevel="1" x14ac:dyDescent="0.25">
      <c r="A18172" s="221" t="s">
        <v>10410</v>
      </c>
      <c r="B18172" s="1478">
        <v>45536</v>
      </c>
      <c r="C18172" s="1497">
        <v>100</v>
      </c>
      <c r="D18172" s="1500"/>
      <c r="E18172" s="1498">
        <f>IF(D18172="",E18171,D18172/C18172-1)</f>
        <v>0.42488327031271583</v>
      </c>
      <c r="F18172" s="1842"/>
      <c r="G18172" s="78"/>
    </row>
    <row r="18173" spans="1:8" ht="12.75" hidden="1" customHeight="1" outlineLevel="1" x14ac:dyDescent="0.25">
      <c r="A18173" s="221" t="s">
        <v>10411</v>
      </c>
      <c r="B18173" s="1478">
        <v>45566</v>
      </c>
      <c r="C18173" s="1497">
        <v>100</v>
      </c>
      <c r="D18173" s="1500"/>
      <c r="E18173" s="1498">
        <f>IF(D18173="",E18172,D18173/C18173-1)</f>
        <v>0.42488327031271583</v>
      </c>
      <c r="F18173" s="1842"/>
      <c r="G18173" s="78"/>
    </row>
    <row r="18174" spans="1:8" ht="12.75" hidden="1" customHeight="1" outlineLevel="1" x14ac:dyDescent="0.25">
      <c r="A18174" s="221" t="s">
        <v>10412</v>
      </c>
      <c r="B18174" s="1478">
        <v>45597</v>
      </c>
      <c r="C18174" s="1497">
        <v>100</v>
      </c>
      <c r="D18174" s="1500"/>
      <c r="E18174" s="1498">
        <f t="shared" ref="E18174:E18187" si="309">IF(D18174="",E18173,D18174/C18174-1)</f>
        <v>0.42488327031271583</v>
      </c>
      <c r="F18174" s="1842"/>
      <c r="G18174" s="78"/>
    </row>
    <row r="18175" spans="1:8" ht="12.75" hidden="1" customHeight="1" outlineLevel="1" x14ac:dyDescent="0.25">
      <c r="A18175" s="221" t="s">
        <v>10413</v>
      </c>
      <c r="B18175" s="1478">
        <v>45627</v>
      </c>
      <c r="C18175" s="1497">
        <v>100</v>
      </c>
      <c r="D18175" s="1500"/>
      <c r="E18175" s="1498">
        <f t="shared" si="309"/>
        <v>0.42488327031271583</v>
      </c>
      <c r="F18175" s="1842"/>
      <c r="G18175" s="78"/>
    </row>
    <row r="18176" spans="1:8" ht="12.75" hidden="1" customHeight="1" outlineLevel="1" x14ac:dyDescent="0.25">
      <c r="A18176" s="221" t="s">
        <v>10414</v>
      </c>
      <c r="B18176" s="1478">
        <v>45658</v>
      </c>
      <c r="C18176" s="1497">
        <v>100</v>
      </c>
      <c r="D18176" s="1500"/>
      <c r="E18176" s="1498">
        <f t="shared" si="309"/>
        <v>0.42488327031271583</v>
      </c>
      <c r="F18176" s="1842"/>
      <c r="G18176" s="78"/>
    </row>
    <row r="18177" spans="1:11" ht="12.75" hidden="1" customHeight="1" outlineLevel="1" x14ac:dyDescent="0.25">
      <c r="A18177" s="221" t="s">
        <v>10415</v>
      </c>
      <c r="B18177" s="1478">
        <v>45689</v>
      </c>
      <c r="C18177" s="1497">
        <v>100</v>
      </c>
      <c r="D18177" s="1500"/>
      <c r="E18177" s="1498">
        <f t="shared" si="309"/>
        <v>0.42488327031271583</v>
      </c>
      <c r="F18177" s="1842"/>
      <c r="G18177" s="78"/>
    </row>
    <row r="18178" spans="1:11" ht="12.75" hidden="1" customHeight="1" outlineLevel="1" x14ac:dyDescent="0.25">
      <c r="A18178" s="221" t="s">
        <v>10416</v>
      </c>
      <c r="B18178" s="1478">
        <v>45717</v>
      </c>
      <c r="C18178" s="1497">
        <v>100</v>
      </c>
      <c r="D18178" s="1500"/>
      <c r="E18178" s="1498">
        <f t="shared" si="309"/>
        <v>0.42488327031271583</v>
      </c>
      <c r="F18178" s="1842"/>
      <c r="G18178" s="78"/>
    </row>
    <row r="18179" spans="1:11" ht="12.75" hidden="1" customHeight="1" outlineLevel="1" x14ac:dyDescent="0.25">
      <c r="A18179" s="221" t="s">
        <v>10417</v>
      </c>
      <c r="B18179" s="1478">
        <v>45748</v>
      </c>
      <c r="C18179" s="1497">
        <v>100</v>
      </c>
      <c r="D18179" s="1500"/>
      <c r="E18179" s="1498">
        <f t="shared" si="309"/>
        <v>0.42488327031271583</v>
      </c>
      <c r="F18179" s="1842"/>
      <c r="G18179" s="78"/>
    </row>
    <row r="18180" spans="1:11" ht="12.75" hidden="1" customHeight="1" outlineLevel="1" x14ac:dyDescent="0.25">
      <c r="A18180" s="221" t="s">
        <v>10418</v>
      </c>
      <c r="B18180" s="1478">
        <v>45778</v>
      </c>
      <c r="C18180" s="1497">
        <v>100</v>
      </c>
      <c r="D18180" s="1500"/>
      <c r="E18180" s="1498">
        <f t="shared" si="309"/>
        <v>0.42488327031271583</v>
      </c>
      <c r="F18180" s="1842"/>
      <c r="G18180" s="78"/>
    </row>
    <row r="18181" spans="1:11" ht="12.75" hidden="1" customHeight="1" outlineLevel="1" x14ac:dyDescent="0.25">
      <c r="A18181" s="221" t="s">
        <v>10419</v>
      </c>
      <c r="B18181" s="1478">
        <v>45809</v>
      </c>
      <c r="C18181" s="1497">
        <v>100</v>
      </c>
      <c r="D18181" s="1500"/>
      <c r="E18181" s="1498">
        <f t="shared" si="309"/>
        <v>0.42488327031271583</v>
      </c>
      <c r="F18181" s="1842"/>
      <c r="G18181" s="78"/>
    </row>
    <row r="18182" spans="1:11" ht="12.75" hidden="1" customHeight="1" outlineLevel="1" x14ac:dyDescent="0.25">
      <c r="A18182" s="221" t="s">
        <v>10420</v>
      </c>
      <c r="B18182" s="1478">
        <v>45839</v>
      </c>
      <c r="C18182" s="1497">
        <v>100</v>
      </c>
      <c r="D18182" s="1500"/>
      <c r="E18182" s="1498">
        <f t="shared" si="309"/>
        <v>0.42488327031271583</v>
      </c>
      <c r="F18182" s="1842"/>
      <c r="G18182" s="78"/>
    </row>
    <row r="18183" spans="1:11" ht="12.75" hidden="1" customHeight="1" outlineLevel="1" x14ac:dyDescent="0.25">
      <c r="A18183" s="221" t="s">
        <v>10421</v>
      </c>
      <c r="B18183" s="1478">
        <v>45870</v>
      </c>
      <c r="C18183" s="1497">
        <v>100</v>
      </c>
      <c r="D18183" s="1500"/>
      <c r="E18183" s="1498">
        <f t="shared" si="309"/>
        <v>0.42488327031271583</v>
      </c>
      <c r="F18183" s="1842"/>
      <c r="G18183" s="78"/>
    </row>
    <row r="18184" spans="1:11" ht="12.75" hidden="1" customHeight="1" outlineLevel="1" x14ac:dyDescent="0.25">
      <c r="A18184" s="221" t="s">
        <v>10422</v>
      </c>
      <c r="B18184" s="1478">
        <v>45901</v>
      </c>
      <c r="C18184" s="1497">
        <v>100</v>
      </c>
      <c r="D18184" s="1500"/>
      <c r="E18184" s="1498">
        <f t="shared" si="309"/>
        <v>0.42488327031271583</v>
      </c>
      <c r="F18184" s="1842"/>
      <c r="G18184" s="78"/>
    </row>
    <row r="18185" spans="1:11" ht="12.75" hidden="1" customHeight="1" outlineLevel="1" x14ac:dyDescent="0.25">
      <c r="A18185" s="221" t="s">
        <v>10423</v>
      </c>
      <c r="B18185" s="1478">
        <v>45931</v>
      </c>
      <c r="C18185" s="1497">
        <v>100</v>
      </c>
      <c r="D18185" s="1500"/>
      <c r="E18185" s="1498">
        <f t="shared" si="309"/>
        <v>0.42488327031271583</v>
      </c>
      <c r="F18185" s="1842"/>
      <c r="G18185" s="78"/>
    </row>
    <row r="18186" spans="1:11" ht="12.75" hidden="1" customHeight="1" outlineLevel="1" x14ac:dyDescent="0.25">
      <c r="A18186" s="221" t="s">
        <v>10424</v>
      </c>
      <c r="B18186" s="1478">
        <v>45962</v>
      </c>
      <c r="C18186" s="1497">
        <v>100</v>
      </c>
      <c r="D18186" s="1500"/>
      <c r="E18186" s="1498">
        <f t="shared" si="309"/>
        <v>0.42488327031271583</v>
      </c>
      <c r="F18186" s="1842"/>
      <c r="G18186" s="78"/>
    </row>
    <row r="18187" spans="1:11" ht="12.75" hidden="1" customHeight="1" outlineLevel="1" x14ac:dyDescent="0.25">
      <c r="A18187" s="221" t="s">
        <v>10425</v>
      </c>
      <c r="B18187" s="1478">
        <v>45992</v>
      </c>
      <c r="C18187" s="1497">
        <v>100</v>
      </c>
      <c r="D18187" s="1500"/>
      <c r="E18187" s="1498">
        <f t="shared" si="309"/>
        <v>0.42488327031271583</v>
      </c>
      <c r="F18187" s="1842"/>
      <c r="G18187" s="78"/>
    </row>
    <row r="18188" spans="1:11" ht="12.75" hidden="1" customHeight="1" outlineLevel="1" x14ac:dyDescent="0.25">
      <c r="A18188" s="1483" t="s">
        <v>2734</v>
      </c>
      <c r="B18188" s="1484"/>
      <c r="C18188" s="1500"/>
      <c r="D18188" s="1485" t="s">
        <v>2465</v>
      </c>
      <c r="E18188" s="1486">
        <f>AVERAGE(E18170:E18187)</f>
        <v>0.42488327031271572</v>
      </c>
      <c r="F18188" s="1844">
        <f>E18188</f>
        <v>0.42488327031271572</v>
      </c>
      <c r="G18188" s="78"/>
    </row>
    <row r="18189" spans="1:11" collapsed="1" x14ac:dyDescent="0.25">
      <c r="A18189" s="3799" t="s">
        <v>10339</v>
      </c>
      <c r="B18189" s="3800"/>
      <c r="C18189" s="3800"/>
      <c r="D18189" s="3800"/>
      <c r="E18189" s="18"/>
      <c r="F18189" s="186">
        <f>IF(F18188&lt;0,0%,MIN(F18188,60%))</f>
        <v>0.42488327031271572</v>
      </c>
      <c r="G18189" s="78"/>
    </row>
    <row r="18191" spans="1:11" hidden="1" outlineLevel="1" x14ac:dyDescent="0.25">
      <c r="A18191" s="3237" t="s">
        <v>113</v>
      </c>
      <c r="B18191" s="3237" t="s">
        <v>114</v>
      </c>
      <c r="C18191" s="3237" t="s">
        <v>112</v>
      </c>
      <c r="D18191" s="3237" t="s">
        <v>10316</v>
      </c>
      <c r="E18191" s="3237" t="s">
        <v>10426</v>
      </c>
      <c r="F18191" s="3276"/>
      <c r="G18191" s="15" t="s">
        <v>8050</v>
      </c>
      <c r="H18191" s="1882" t="s">
        <v>10317</v>
      </c>
      <c r="K18191" s="31"/>
    </row>
    <row r="18192" spans="1:11" hidden="1" outlineLevel="1" x14ac:dyDescent="0.25">
      <c r="A18192" s="1956" t="s">
        <v>1327</v>
      </c>
      <c r="B18192" s="2999" t="s">
        <v>8334</v>
      </c>
      <c r="C18192" s="3384">
        <v>2867.6729999999998</v>
      </c>
      <c r="D18192" s="3384">
        <v>2724.2893499999996</v>
      </c>
      <c r="E18192" s="3384">
        <v>3992.306</v>
      </c>
      <c r="F18192" s="3385"/>
      <c r="G18192" s="1623">
        <v>0.39217616513458831</v>
      </c>
      <c r="H18192" s="1623">
        <v>0.46544859487851409</v>
      </c>
      <c r="I18192" s="367"/>
      <c r="J18192" s="367"/>
    </row>
    <row r="18193" spans="1:8" hidden="1" outlineLevel="1" x14ac:dyDescent="0.25">
      <c r="A18193" s="1956" t="s">
        <v>6006</v>
      </c>
      <c r="B18193" s="2999" t="s">
        <v>8334</v>
      </c>
      <c r="C18193" s="3384"/>
      <c r="D18193" s="3384"/>
      <c r="E18193" s="3384">
        <v>3992.306</v>
      </c>
      <c r="F18193" s="2964"/>
      <c r="G18193" s="1623"/>
      <c r="H18193" s="1622"/>
    </row>
    <row r="18194" spans="1:8" hidden="1" outlineLevel="1" x14ac:dyDescent="0.25">
      <c r="A18194" s="1956" t="s">
        <v>2734</v>
      </c>
      <c r="B18194" s="2999"/>
      <c r="C18194" s="2665"/>
      <c r="D18194" s="2665"/>
      <c r="E18194" s="2665"/>
      <c r="F18194" s="2964"/>
      <c r="G18194" s="1623"/>
      <c r="H18194" s="1622"/>
    </row>
    <row r="18195" spans="1:8" collapsed="1" x14ac:dyDescent="0.25">
      <c r="A18195" s="3801" t="s">
        <v>10340</v>
      </c>
      <c r="B18195" s="3802"/>
      <c r="C18195" s="3802"/>
      <c r="D18195" s="3802"/>
      <c r="E18195" s="1906"/>
      <c r="F18195" s="1907">
        <v>0.06</v>
      </c>
    </row>
    <row r="18197" spans="1:8" ht="12.75" hidden="1" customHeight="1" outlineLevel="1" x14ac:dyDescent="0.25">
      <c r="A18197" s="15" t="s">
        <v>4156</v>
      </c>
      <c r="B18197" s="15" t="s">
        <v>4153</v>
      </c>
      <c r="C18197" s="15" t="s">
        <v>112</v>
      </c>
      <c r="D18197" s="15" t="s">
        <v>4155</v>
      </c>
      <c r="E18197" s="15" t="s">
        <v>4154</v>
      </c>
      <c r="F18197" s="1882" t="s">
        <v>2519</v>
      </c>
      <c r="G18197" s="78"/>
    </row>
    <row r="18198" spans="1:8" ht="12.75" hidden="1" customHeight="1" outlineLevel="1" x14ac:dyDescent="0.25">
      <c r="A18198" s="134">
        <v>0.04</v>
      </c>
      <c r="B18198" s="151" t="s">
        <v>2697</v>
      </c>
      <c r="C18198" s="454">
        <v>13.7235</v>
      </c>
      <c r="D18198" s="2954">
        <f>VLOOKUP($H18198,indexy!$C$44:$D$823,2,FALSE)</f>
        <v>23.46</v>
      </c>
      <c r="E18198" s="1491">
        <f>$D18198/$C18198-1</f>
        <v>0.70947644551317102</v>
      </c>
      <c r="F18198" s="1805">
        <f>$E18198*$A18198</f>
        <v>2.837905782052684E-2</v>
      </c>
      <c r="G18198" s="78"/>
      <c r="H18198" t="str">
        <f>VLOOKUP(B18198,indexy!$A$44:$D$823,3,FALSE)</f>
        <v>G IM Equity</v>
      </c>
    </row>
    <row r="18199" spans="1:8" ht="12.75" hidden="1" customHeight="1" outlineLevel="1" x14ac:dyDescent="0.25">
      <c r="A18199" s="135">
        <v>0.02</v>
      </c>
      <c r="B18199" s="151" t="s">
        <v>807</v>
      </c>
      <c r="C18199" s="410">
        <v>56.2</v>
      </c>
      <c r="D18199" s="2955">
        <f>VLOOKUP(H18199,indexy!$C$44:$D$823,2,FALSE)</f>
        <v>46.03</v>
      </c>
      <c r="E18199" s="1493">
        <f t="shared" ref="E18199:E18227" si="310">$D18199/$C18199-1</f>
        <v>-0.18096085409252671</v>
      </c>
      <c r="F18199" s="1313">
        <f t="shared" ref="F18199:F18226" si="311">$E18199*$A18199</f>
        <v>-3.6192170818505343E-3</v>
      </c>
      <c r="G18199" s="78"/>
      <c r="H18199" t="str">
        <f>VLOOKUP(B18199,indexy!$A$44:$D$823,3,FALSE)</f>
        <v>BCE CT Equity</v>
      </c>
    </row>
    <row r="18200" spans="1:8" ht="12.75" hidden="1" customHeight="1" outlineLevel="1" x14ac:dyDescent="0.25">
      <c r="A18200" s="135">
        <v>0.02</v>
      </c>
      <c r="B18200" s="151" t="s">
        <v>3954</v>
      </c>
      <c r="C18200" s="410">
        <f>92.869/2</f>
        <v>46.4345</v>
      </c>
      <c r="D18200" s="2955">
        <f>VLOOKUP(H18200,indexy!$C$44:$D$823,2,FALSE)</f>
        <v>68.67</v>
      </c>
      <c r="E18200" s="1493">
        <f t="shared" si="310"/>
        <v>0.47885731514283569</v>
      </c>
      <c r="F18200" s="1313">
        <f t="shared" si="311"/>
        <v>9.5771463028567136E-3</v>
      </c>
      <c r="G18200" s="78"/>
      <c r="H18200" t="str">
        <f>VLOOKUP(B18200,indexy!$A$44:$D$823,3,FALSE)</f>
        <v>CM CT Equity</v>
      </c>
    </row>
    <row r="18201" spans="1:8" ht="12.75" hidden="1" customHeight="1" outlineLevel="1" x14ac:dyDescent="0.25">
      <c r="A18201" s="135">
        <v>0.02</v>
      </c>
      <c r="B18201" s="151" t="s">
        <v>951</v>
      </c>
      <c r="C18201" s="410">
        <v>2122.9</v>
      </c>
      <c r="D18201" s="2955">
        <f>VLOOKUP(H18201,indexy!$C$44:$D$823,2,FALSE)</f>
        <v>4501</v>
      </c>
      <c r="E18201" s="1493">
        <f t="shared" si="310"/>
        <v>1.1202129162937489</v>
      </c>
      <c r="F18201" s="1313">
        <f t="shared" si="311"/>
        <v>2.2404258325874976E-2</v>
      </c>
      <c r="G18201" s="78"/>
      <c r="H18201" t="str">
        <f>VLOOKUP(B18201,indexy!$A$44:$D$823,3,FALSE)</f>
        <v>7751 JT Equity</v>
      </c>
    </row>
    <row r="18202" spans="1:8" ht="12.75" hidden="1" customHeight="1" outlineLevel="1" x14ac:dyDescent="0.25">
      <c r="A18202" s="135">
        <v>0.05</v>
      </c>
      <c r="B18202" s="151" t="s">
        <v>8678</v>
      </c>
      <c r="C18202" s="1468">
        <v>72.341999999999999</v>
      </c>
      <c r="D18202" s="2955">
        <f>VLOOKUP(H18202,indexy!$C$44:$D$823,2,FALSE)</f>
        <v>120.34</v>
      </c>
      <c r="E18202" s="1493">
        <f t="shared" si="310"/>
        <v>0.6634873240994168</v>
      </c>
      <c r="F18202" s="1313">
        <f t="shared" si="311"/>
        <v>3.3174366204970843E-2</v>
      </c>
      <c r="G18202" s="78"/>
      <c r="H18202" t="str">
        <f>VLOOKUP(B18202,indexy!$A$44:$D$823,3,FALSE)</f>
        <v>CBA AT Equity</v>
      </c>
    </row>
    <row r="18203" spans="1:8" ht="12.75" hidden="1" customHeight="1" outlineLevel="1" x14ac:dyDescent="0.25">
      <c r="A18203" s="135">
        <v>0.02</v>
      </c>
      <c r="B18203" s="151" t="s">
        <v>2629</v>
      </c>
      <c r="C18203" s="1468">
        <v>15.179</v>
      </c>
      <c r="D18203" s="2955">
        <f>VLOOKUP(H18203,indexy!$C$44:$D$823,2,FALSE)</f>
        <v>22.5</v>
      </c>
      <c r="E18203" s="1493">
        <f t="shared" si="310"/>
        <v>0.48231108768693587</v>
      </c>
      <c r="F18203" s="1313">
        <f t="shared" si="311"/>
        <v>9.6462217537387172E-3</v>
      </c>
      <c r="G18203" s="78"/>
      <c r="H18203" t="str">
        <f>VLOOKUP(B18203,indexy!$A$44:$D$823,3,FALSE)</f>
        <v>DTE GY Equity</v>
      </c>
    </row>
    <row r="18204" spans="1:8" ht="12.75" hidden="1" customHeight="1" outlineLevel="1" x14ac:dyDescent="0.25">
      <c r="A18204" s="135">
        <v>0.02</v>
      </c>
      <c r="B18204" s="151" t="s">
        <v>9591</v>
      </c>
      <c r="C18204" s="410">
        <v>76.123999999999995</v>
      </c>
      <c r="D18204" s="2955">
        <f>VLOOKUP(H18204,indexy!$C$44:$D$823,2,FALSE)</f>
        <v>49.19</v>
      </c>
      <c r="E18204" s="1493">
        <f t="shared" si="310"/>
        <v>-0.35381745573012457</v>
      </c>
      <c r="F18204" s="1313">
        <f t="shared" si="311"/>
        <v>-7.0763491146024916E-3</v>
      </c>
      <c r="G18204" s="78"/>
      <c r="H18204" t="str">
        <f>VLOOKUP(B18204,indexy!$A$44:$D$823,3,FALSE)</f>
        <v>D UN Equity</v>
      </c>
    </row>
    <row r="18205" spans="1:8" ht="12.75" hidden="1" customHeight="1" outlineLevel="1" x14ac:dyDescent="0.25">
      <c r="A18205" s="135">
        <v>0.02</v>
      </c>
      <c r="B18205" s="151" t="s">
        <v>7855</v>
      </c>
      <c r="C18205" s="410">
        <v>41.305999999999997</v>
      </c>
      <c r="D18205" s="2955">
        <f>VLOOKUP(H18205,indexy!$C$44:$D$823,2,FALSE)</f>
        <v>48.95</v>
      </c>
      <c r="E18205" s="1493">
        <f t="shared" si="310"/>
        <v>0.18505786084346121</v>
      </c>
      <c r="F18205" s="1313">
        <f t="shared" si="311"/>
        <v>3.701157216869224E-3</v>
      </c>
      <c r="G18205" s="78"/>
      <c r="H18205" t="str">
        <f>VLOOKUP(B18205,indexy!$A$44:$D$823,3,FALSE)</f>
        <v>ENB CT Equity</v>
      </c>
    </row>
    <row r="18206" spans="1:8" ht="12.75" hidden="1" customHeight="1" outlineLevel="1" x14ac:dyDescent="0.25">
      <c r="A18206" s="135">
        <v>0.08</v>
      </c>
      <c r="B18206" s="151" t="s">
        <v>9171</v>
      </c>
      <c r="C18206" s="410">
        <v>24.206</v>
      </c>
      <c r="D18206" s="2955">
        <f>VLOOKUP(H18206,indexy!$C$44:$D$823,2,FALSE)</f>
        <v>17.164999999999999</v>
      </c>
      <c r="E18206" s="1493">
        <f t="shared" si="310"/>
        <v>-0.2908782946376931</v>
      </c>
      <c r="F18206" s="1313">
        <f t="shared" si="311"/>
        <v>-2.327026357101545E-2</v>
      </c>
      <c r="G18206" s="78"/>
      <c r="H18206" t="str">
        <f>VLOOKUP(B18206,indexy!$A$44:$D$823,3,FALSE)</f>
        <v>ELE SQ Equity</v>
      </c>
    </row>
    <row r="18207" spans="1:8" ht="12.75" hidden="1" customHeight="1" outlineLevel="1" x14ac:dyDescent="0.25">
      <c r="A18207" s="135">
        <v>0.02</v>
      </c>
      <c r="B18207" s="151" t="s">
        <v>3798</v>
      </c>
      <c r="C18207" s="410">
        <v>8.1797000000000004</v>
      </c>
      <c r="D18207" s="2955">
        <f>VLOOKUP(H18207,indexy!$C$44:$D$823,2,FALSE)</f>
        <v>6.1189999999999998</v>
      </c>
      <c r="E18207" s="1493">
        <f t="shared" si="310"/>
        <v>-0.25192855483697452</v>
      </c>
      <c r="F18207" s="1313">
        <f t="shared" si="311"/>
        <v>-5.0385710967394901E-3</v>
      </c>
      <c r="G18207" s="78"/>
      <c r="H18207" t="str">
        <f>VLOOKUP(B18207,indexy!$A$44:$D$823,3,FALSE)</f>
        <v>ENEL IM Equity</v>
      </c>
    </row>
    <row r="18208" spans="1:8" ht="12.75" hidden="1" customHeight="1" outlineLevel="1" x14ac:dyDescent="0.25">
      <c r="A18208" s="135">
        <v>0.02</v>
      </c>
      <c r="B18208" s="151" t="s">
        <v>2701</v>
      </c>
      <c r="C18208" s="410">
        <v>4.4942000000000002</v>
      </c>
      <c r="D18208" s="2955">
        <f>VLOOKUP(H18208,indexy!$C$44:$D$823,2,FALSE)</f>
        <v>3.61</v>
      </c>
      <c r="E18208" s="1493">
        <f t="shared" si="310"/>
        <v>-0.19674246806995688</v>
      </c>
      <c r="F18208" s="1313">
        <f t="shared" si="311"/>
        <v>-3.9348493613991379E-3</v>
      </c>
      <c r="G18208" s="78"/>
      <c r="H18208" t="str">
        <f>VLOOKUP(B18208,indexy!$A$44:$D$823,3,FALSE)</f>
        <v>EDP PL Equity</v>
      </c>
    </row>
    <row r="18209" spans="1:8" ht="12.75" hidden="1" customHeight="1" outlineLevel="1" x14ac:dyDescent="0.25">
      <c r="A18209" s="135">
        <v>0.02</v>
      </c>
      <c r="B18209" s="151" t="s">
        <v>4338</v>
      </c>
      <c r="C18209" s="410">
        <v>11.138500000000001</v>
      </c>
      <c r="D18209" s="2955">
        <f>VLOOKUP(H18209,indexy!$C$44:$D$823,2,FALSE)</f>
        <v>15.51</v>
      </c>
      <c r="E18209" s="1493">
        <f t="shared" si="310"/>
        <v>0.392467567446245</v>
      </c>
      <c r="F18209" s="1313">
        <f t="shared" si="311"/>
        <v>7.8493513489249003E-3</v>
      </c>
      <c r="G18209" s="78"/>
      <c r="H18209" t="str">
        <f>VLOOKUP(B18209,indexy!$A$44:$D$823,3,FALSE)</f>
        <v>ENGI FP Equity</v>
      </c>
    </row>
    <row r="18210" spans="1:8" ht="12.75" hidden="1" customHeight="1" outlineLevel="1" x14ac:dyDescent="0.25">
      <c r="A18210" s="135">
        <v>0.02</v>
      </c>
      <c r="B18210" s="151" t="s">
        <v>3021</v>
      </c>
      <c r="C18210" s="2740">
        <v>8.7330000000000005</v>
      </c>
      <c r="D18210" s="2955">
        <f>VLOOKUP(H18210,indexy!$C$44:$D$823,2,FALSE)</f>
        <v>14.648</v>
      </c>
      <c r="E18210" s="1493">
        <f t="shared" si="310"/>
        <v>0.67731592808885832</v>
      </c>
      <c r="F18210" s="1313">
        <f t="shared" si="311"/>
        <v>1.3546318561777166E-2</v>
      </c>
      <c r="G18210" s="78"/>
      <c r="H18210" t="str">
        <f>VLOOKUP(B18210,indexy!$A$44:$D$823,3,FALSE)</f>
        <v>ENI IM Equity</v>
      </c>
    </row>
    <row r="18211" spans="1:8" ht="12.75" hidden="1" customHeight="1" outlineLevel="1" x14ac:dyDescent="0.25">
      <c r="A18211" s="135">
        <v>0.02</v>
      </c>
      <c r="B18211" s="151" t="s">
        <v>3799</v>
      </c>
      <c r="C18211" s="410">
        <v>16.186800000000002</v>
      </c>
      <c r="D18211" s="2955">
        <f>VLOOKUP(H18211,indexy!$C$44:$D$823,2,FALSE)/100</f>
        <v>17.085999999999999</v>
      </c>
      <c r="E18211" s="1493">
        <f t="shared" si="310"/>
        <v>5.5551436973336088E-2</v>
      </c>
      <c r="F18211" s="1313">
        <f t="shared" si="311"/>
        <v>1.1110287394667218E-3</v>
      </c>
      <c r="G18211" s="78"/>
      <c r="H18211" t="str">
        <f>VLOOKUP(B18211,indexy!$A$44:$D$823,3,FALSE)</f>
        <v>GSK LN Equity</v>
      </c>
    </row>
    <row r="18212" spans="1:8" ht="12.75" hidden="1" customHeight="1" outlineLevel="1" x14ac:dyDescent="0.25">
      <c r="A18212" s="135">
        <v>0.02</v>
      </c>
      <c r="B18212" s="151" t="s">
        <v>8768</v>
      </c>
      <c r="C18212" s="410">
        <v>123.78700000000001</v>
      </c>
      <c r="D18212" s="2955">
        <f>VLOOKUP(H18212,indexy!$C$44:$D$823,2,FALSE)</f>
        <v>199.7</v>
      </c>
      <c r="E18212" s="1493">
        <f t="shared" si="310"/>
        <v>0.61325502677987176</v>
      </c>
      <c r="F18212" s="1313">
        <f t="shared" si="311"/>
        <v>1.2265100535597435E-2</v>
      </c>
      <c r="G18212" s="78"/>
      <c r="H18212" t="str">
        <f>VLOOKUP(B18212,indexy!$A$44:$D$823,3,FALSE)</f>
        <v>MQG AT Equity</v>
      </c>
    </row>
    <row r="18213" spans="1:8" ht="12.75" hidden="1" customHeight="1" outlineLevel="1" x14ac:dyDescent="0.25">
      <c r="A18213" s="135">
        <v>0.08</v>
      </c>
      <c r="B18213" s="151" t="s">
        <v>9767</v>
      </c>
      <c r="C18213" s="410">
        <v>16.862500000000001</v>
      </c>
      <c r="D18213" s="2955">
        <f>VLOOKUP(H18213,indexy!$C$44:$D$823,2,FALSE)</f>
        <v>20.100000000000001</v>
      </c>
      <c r="E18213" s="1493">
        <f t="shared" si="310"/>
        <v>0.19199406968124544</v>
      </c>
      <c r="F18213" s="1313">
        <f t="shared" si="311"/>
        <v>1.5359525574499636E-2</v>
      </c>
      <c r="G18213" s="78"/>
      <c r="H18213" t="str">
        <f>VLOOKUP(B18213,indexy!$A$44:$D$823,3,FALSE)</f>
        <v>NTGY SQ Equity</v>
      </c>
    </row>
    <row r="18214" spans="1:8" ht="12.75" hidden="1" customHeight="1" outlineLevel="1" x14ac:dyDescent="0.25">
      <c r="A18214" s="135">
        <v>7.0000000000000007E-2</v>
      </c>
      <c r="B18214" s="151" t="s">
        <v>5824</v>
      </c>
      <c r="C18214" s="410">
        <v>10.827</v>
      </c>
      <c r="D18214" s="2955">
        <f>VLOOKUP(H18214,indexy!$C$44:$D$823,2,FALSE)</f>
        <v>10.888</v>
      </c>
      <c r="E18214" s="1493">
        <f t="shared" si="310"/>
        <v>5.6340629906714845E-3</v>
      </c>
      <c r="F18214" s="1313">
        <f t="shared" si="311"/>
        <v>3.9438440934700395E-4</v>
      </c>
      <c r="G18214" s="78"/>
      <c r="H18214" t="str">
        <f>VLOOKUP(B18214,indexy!$A$44:$D$823,3,FALSE)</f>
        <v>ORA FP Equity</v>
      </c>
    </row>
    <row r="18215" spans="1:8" ht="12.75" hidden="1" customHeight="1" outlineLevel="1" x14ac:dyDescent="0.25">
      <c r="A18215" s="135">
        <v>0.02</v>
      </c>
      <c r="B18215" s="151" t="s">
        <v>9516</v>
      </c>
      <c r="C18215" s="410">
        <v>33.305</v>
      </c>
      <c r="D18215" s="2955">
        <f>VLOOKUP(H18215,indexy!$C$44:$D$823,2,FALSE)</f>
        <v>47.81</v>
      </c>
      <c r="E18215" s="1493">
        <f t="shared" si="310"/>
        <v>0.43552019216333893</v>
      </c>
      <c r="F18215" s="1313">
        <f t="shared" si="311"/>
        <v>8.7104038432667796E-3</v>
      </c>
      <c r="G18215" s="78"/>
      <c r="H18215" t="str">
        <f>VLOOKUP(B18215,indexy!$A$44:$D$823,3,FALSE)</f>
        <v>PPL CT Equity</v>
      </c>
    </row>
    <row r="18216" spans="1:8" ht="12.75" hidden="1" customHeight="1" outlineLevel="1" x14ac:dyDescent="0.25">
      <c r="A18216" s="135">
        <v>0.02</v>
      </c>
      <c r="B18216" s="151" t="s">
        <v>2769</v>
      </c>
      <c r="C18216" s="410">
        <v>25.486000000000001</v>
      </c>
      <c r="D18216" s="2955">
        <f>VLOOKUP(H18216,indexy!$C$44:$D$823,2,FALSE)</f>
        <v>27.53</v>
      </c>
      <c r="E18216" s="1493">
        <f t="shared" si="310"/>
        <v>8.0200894608804862E-2</v>
      </c>
      <c r="F18216" s="1313">
        <f t="shared" si="311"/>
        <v>1.6040178921760972E-3</v>
      </c>
      <c r="G18216" s="78"/>
      <c r="H18216" t="str">
        <f>VLOOKUP(B18216,indexy!$A$44:$D$823,3,FALSE)</f>
        <v>PPL UN Equity</v>
      </c>
    </row>
    <row r="18217" spans="1:8" ht="12.75" hidden="1" customHeight="1" outlineLevel="1" x14ac:dyDescent="0.25">
      <c r="A18217" s="135">
        <v>0.02</v>
      </c>
      <c r="B18217" s="151" t="s">
        <v>5205</v>
      </c>
      <c r="C18217" s="410">
        <v>12.8622</v>
      </c>
      <c r="D18217" s="2955">
        <f>VLOOKUP(H18217,indexy!$C$44:$D$823,2,FALSE)/100</f>
        <v>18.952000000000002</v>
      </c>
      <c r="E18217" s="1493">
        <f t="shared" si="310"/>
        <v>0.47346488159101874</v>
      </c>
      <c r="F18217" s="1313">
        <f t="shared" si="311"/>
        <v>9.4692976318203753E-3</v>
      </c>
      <c r="G18217" s="78"/>
      <c r="H18217" t="str">
        <f>VLOOKUP(B18217,indexy!$A$44:$D$823,3,FALSE)</f>
        <v>RDSA LN Equity</v>
      </c>
    </row>
    <row r="18218" spans="1:8" ht="12.75" hidden="1" customHeight="1" outlineLevel="1" x14ac:dyDescent="0.25">
      <c r="A18218" s="135">
        <v>0.03</v>
      </c>
      <c r="B18218" s="151" t="s">
        <v>6116</v>
      </c>
      <c r="C18218" s="410">
        <v>4.5800999999999998</v>
      </c>
      <c r="D18218" s="2955">
        <f>VLOOKUP(H18218,indexy!$C$44:$D$823,2,FALSE)</f>
        <v>4.3760000000000003</v>
      </c>
      <c r="E18218" s="1493">
        <f t="shared" si="310"/>
        <v>-4.4562345800309933E-2</v>
      </c>
      <c r="F18218" s="1313">
        <f t="shared" si="311"/>
        <v>-1.3368703740092979E-3</v>
      </c>
      <c r="G18218" s="78"/>
      <c r="H18218" t="str">
        <f>VLOOKUP(B18218,indexy!$A$44:$D$823,3,FALSE)</f>
        <v>SRG IM Equity</v>
      </c>
    </row>
    <row r="18219" spans="1:8" ht="12.75" hidden="1" customHeight="1" outlineLevel="1" x14ac:dyDescent="0.25">
      <c r="A18219" s="135">
        <v>0.02</v>
      </c>
      <c r="B18219" s="151" t="s">
        <v>6527</v>
      </c>
      <c r="C18219" s="410">
        <v>90.298000000000002</v>
      </c>
      <c r="D18219" s="2955">
        <f>VLOOKUP(H18219,indexy!$C$44:$D$823,2,FALSE)</f>
        <v>108.25</v>
      </c>
      <c r="E18219" s="1493">
        <f t="shared" si="310"/>
        <v>0.19880838999756367</v>
      </c>
      <c r="F18219" s="1313">
        <f t="shared" si="311"/>
        <v>3.9761677999512737E-3</v>
      </c>
      <c r="G18219" s="78"/>
      <c r="H18219" t="str">
        <f>VLOOKUP(B18219,indexy!$A$44:$D$823,3,FALSE)</f>
        <v>SHBA SS Equity</v>
      </c>
    </row>
    <row r="18220" spans="1:8" ht="12.75" hidden="1" customHeight="1" outlineLevel="1" x14ac:dyDescent="0.25">
      <c r="A18220" s="135">
        <v>0.08</v>
      </c>
      <c r="B18220" s="151" t="s">
        <v>6118</v>
      </c>
      <c r="C18220" s="410">
        <v>75.707999999999998</v>
      </c>
      <c r="D18220" s="2955">
        <f>VLOOKUP(H18220,indexy!$C$44:$D$823,2,FALSE)</f>
        <v>115.95</v>
      </c>
      <c r="E18220" s="1493">
        <f t="shared" si="310"/>
        <v>0.53154224124266936</v>
      </c>
      <c r="F18220" s="1313">
        <f t="shared" si="311"/>
        <v>4.252337929941355E-2</v>
      </c>
      <c r="G18220" s="78"/>
      <c r="H18220" t="str">
        <f>VLOOKUP(B18220,indexy!$A$44:$D$823,3,FALSE)</f>
        <v>SREN SE Equity</v>
      </c>
    </row>
    <row r="18221" spans="1:8" ht="12.75" hidden="1" customHeight="1" outlineLevel="1" x14ac:dyDescent="0.25">
      <c r="A18221" s="135">
        <v>0.02</v>
      </c>
      <c r="B18221" s="151" t="s">
        <v>8530</v>
      </c>
      <c r="C18221" s="410">
        <v>5.4219999999999997</v>
      </c>
      <c r="D18221" s="2955">
        <f>VLOOKUP(H18221,indexy!$C$44:$D$823,2,FALSE)</f>
        <v>8.7200000000000006</v>
      </c>
      <c r="E18221" s="1493">
        <f t="shared" si="310"/>
        <v>0.60826263371449674</v>
      </c>
      <c r="F18221" s="1313">
        <f t="shared" si="311"/>
        <v>1.2165252674289934E-2</v>
      </c>
      <c r="G18221" s="78"/>
      <c r="H18221" t="str">
        <f>VLOOKUP(B18221,indexy!$A$44:$D$823,3,FALSE)</f>
        <v>SYD AT Equity</v>
      </c>
    </row>
    <row r="18222" spans="1:8" ht="12.75" hidden="1" customHeight="1" outlineLevel="1" x14ac:dyDescent="0.25">
      <c r="A18222" s="135">
        <v>0.04</v>
      </c>
      <c r="B18222" s="151" t="s">
        <v>434</v>
      </c>
      <c r="C18222" s="410">
        <v>35.494999999999997</v>
      </c>
      <c r="D18222" s="2955">
        <f>VLOOKUP(H18222,indexy!$C$44:$D$823,2,FALSE)</f>
        <v>27.43</v>
      </c>
      <c r="E18222" s="1493">
        <f t="shared" si="310"/>
        <v>-0.227215100718411</v>
      </c>
      <c r="F18222" s="1313">
        <f t="shared" si="311"/>
        <v>-9.0886040287364404E-3</v>
      </c>
      <c r="G18222" s="78"/>
      <c r="H18222" t="str">
        <f>VLOOKUP(B18222,indexy!$A$44:$D$823,3,FALSE)</f>
        <v>TELIA SS Equity</v>
      </c>
    </row>
    <row r="18223" spans="1:8" ht="12.75" hidden="1" customHeight="1" outlineLevel="1" x14ac:dyDescent="0.25">
      <c r="A18223" s="135">
        <v>0.03</v>
      </c>
      <c r="B18223" s="151" t="s">
        <v>3665</v>
      </c>
      <c r="C18223" s="410">
        <v>23.22</v>
      </c>
      <c r="D18223" s="2955">
        <f>VLOOKUP(H18223,indexy!$C$44:$D$823,2,FALSE)</f>
        <v>21.67</v>
      </c>
      <c r="E18223" s="1493">
        <f t="shared" si="310"/>
        <v>-6.6752799310938693E-2</v>
      </c>
      <c r="F18223" s="1313">
        <f t="shared" si="311"/>
        <v>-2.0025839793281607E-3</v>
      </c>
      <c r="G18223" s="78"/>
      <c r="H18223" t="str">
        <f>VLOOKUP(B18223,indexy!$A$44:$D$823,3,FALSE)</f>
        <v>T CT Equity</v>
      </c>
    </row>
    <row r="18224" spans="1:8" ht="12.75" hidden="1" customHeight="1" outlineLevel="1" x14ac:dyDescent="0.25">
      <c r="A18224" s="135">
        <v>0.02</v>
      </c>
      <c r="B18224" s="151" t="s">
        <v>10633</v>
      </c>
      <c r="C18224" s="410">
        <v>33.646999999999998</v>
      </c>
      <c r="D18224" s="2955">
        <f>VLOOKUP(H18224,indexy!$C$44:$D$823,2,FALSE)</f>
        <v>63.47</v>
      </c>
      <c r="E18224" s="1493">
        <f t="shared" si="310"/>
        <v>0.88634945165988066</v>
      </c>
      <c r="F18224" s="1313">
        <f t="shared" si="311"/>
        <v>1.7726989033197613E-2</v>
      </c>
      <c r="G18224" s="78"/>
      <c r="H18224" t="str">
        <f>VLOOKUP(B18224,indexy!$A$44:$D$823,3,FALSE)</f>
        <v>TTE FP Equity</v>
      </c>
    </row>
    <row r="18225" spans="1:8" ht="12.75" hidden="1" customHeight="1" outlineLevel="1" x14ac:dyDescent="0.25">
      <c r="A18225" s="135">
        <v>0.04</v>
      </c>
      <c r="B18225" s="151" t="s">
        <v>5626</v>
      </c>
      <c r="C18225" s="410">
        <v>17.885999999999999</v>
      </c>
      <c r="D18225" s="2955">
        <f>VLOOKUP(H18225,indexy!$C$44:$D$823,2,FALSE)</f>
        <v>26.1</v>
      </c>
      <c r="E18225" s="1493">
        <f t="shared" si="310"/>
        <v>0.45924186514592424</v>
      </c>
      <c r="F18225" s="1313">
        <f t="shared" si="311"/>
        <v>1.836967460583697E-2</v>
      </c>
      <c r="G18225" s="78"/>
      <c r="H18225" t="str">
        <f>VLOOKUP(B18225,indexy!$A$44:$D$823,3,FALSE)</f>
        <v>WBC AT Equity</v>
      </c>
    </row>
    <row r="18226" spans="1:8" ht="12.75" hidden="1" customHeight="1" outlineLevel="1" x14ac:dyDescent="0.25">
      <c r="A18226" s="135">
        <v>0.02</v>
      </c>
      <c r="B18226" s="151" t="s">
        <v>10003</v>
      </c>
      <c r="C18226" s="410">
        <v>67.105000000000004</v>
      </c>
      <c r="D18226" s="2955">
        <f>VLOOKUP(H18226,indexy!$C$44:$D$823,2,FALSE)</f>
        <v>56.44</v>
      </c>
      <c r="E18226" s="1493">
        <f t="shared" si="310"/>
        <v>-0.15893003501974523</v>
      </c>
      <c r="F18226" s="1313">
        <f t="shared" si="311"/>
        <v>-3.1786007003949046E-3</v>
      </c>
      <c r="G18226" s="78"/>
      <c r="H18226" t="str">
        <f>VLOOKUP(B18226,indexy!$A$44:$D$823,3,FALSE)</f>
        <v>WPC UN Equity</v>
      </c>
    </row>
    <row r="18227" spans="1:8" ht="12.75" hidden="1" customHeight="1" outlineLevel="1" x14ac:dyDescent="0.25">
      <c r="A18227" s="135">
        <v>0.08</v>
      </c>
      <c r="B18227" s="2736" t="s">
        <v>4550</v>
      </c>
      <c r="C18227" s="2741">
        <v>345.83</v>
      </c>
      <c r="D18227" s="2956">
        <f>VLOOKUP(H18227,indexy!$C$44:$D$823,2,FALSE)</f>
        <v>486.3</v>
      </c>
      <c r="E18227" s="1495">
        <f t="shared" si="310"/>
        <v>0.40618222826244121</v>
      </c>
      <c r="F18227" s="1314">
        <f>$E18227*$A18227</f>
        <v>3.2494578260995298E-2</v>
      </c>
      <c r="G18227" s="78"/>
      <c r="H18227" t="str">
        <f>VLOOKUP(B18227,indexy!$A$44:$D$823,3,FALSE)</f>
        <v>ZURN SE Equity</v>
      </c>
    </row>
    <row r="18228" spans="1:8" ht="12.75" hidden="1" customHeight="1" outlineLevel="1" x14ac:dyDescent="0.25">
      <c r="A18228" s="1475" t="s">
        <v>2734</v>
      </c>
      <c r="B18228" s="150"/>
      <c r="C18228" s="1477"/>
      <c r="D18228" s="1477"/>
      <c r="E18228" s="512"/>
      <c r="F18228" s="1313">
        <f>SUM(F18198:F18227)</f>
        <v>0.24590176852732221</v>
      </c>
      <c r="G18228" s="78"/>
    </row>
    <row r="18229" spans="1:8" ht="12.75" hidden="1" customHeight="1" outlineLevel="1" x14ac:dyDescent="0.25">
      <c r="A18229" s="221" t="s">
        <v>10453</v>
      </c>
      <c r="B18229" s="1478">
        <v>45566</v>
      </c>
      <c r="C18229" s="1497">
        <v>100</v>
      </c>
      <c r="D18229" s="1497"/>
      <c r="E18229" s="1498">
        <f>IF(D18229="",$F$18228,D18229/C18229-1)</f>
        <v>0.24590176852732221</v>
      </c>
      <c r="F18229" s="1842"/>
      <c r="G18229" s="78"/>
    </row>
    <row r="18230" spans="1:8" ht="12.75" hidden="1" customHeight="1" outlineLevel="1" x14ac:dyDescent="0.25">
      <c r="A18230" s="221" t="s">
        <v>10454</v>
      </c>
      <c r="B18230" s="1478">
        <v>45597</v>
      </c>
      <c r="C18230" s="1497">
        <v>100</v>
      </c>
      <c r="D18230" s="1500"/>
      <c r="E18230" s="1498">
        <f t="shared" ref="E18230:E18246" si="312">IF(D18230="",$F$18228,D18230/C18230-1)</f>
        <v>0.24590176852732221</v>
      </c>
      <c r="F18230" s="1842"/>
      <c r="G18230" s="78"/>
    </row>
    <row r="18231" spans="1:8" ht="12.75" hidden="1" customHeight="1" outlineLevel="1" x14ac:dyDescent="0.25">
      <c r="A18231" s="221" t="s">
        <v>10455</v>
      </c>
      <c r="B18231" s="1478">
        <v>45627</v>
      </c>
      <c r="C18231" s="1497">
        <v>100</v>
      </c>
      <c r="D18231" s="1500"/>
      <c r="E18231" s="1498">
        <f t="shared" si="312"/>
        <v>0.24590176852732221</v>
      </c>
      <c r="F18231" s="1842"/>
      <c r="G18231" s="78"/>
    </row>
    <row r="18232" spans="1:8" ht="12.75" hidden="1" customHeight="1" outlineLevel="1" x14ac:dyDescent="0.25">
      <c r="A18232" s="221" t="s">
        <v>10456</v>
      </c>
      <c r="B18232" s="1478">
        <v>45658</v>
      </c>
      <c r="C18232" s="1497">
        <v>100</v>
      </c>
      <c r="D18232" s="1500"/>
      <c r="E18232" s="1498">
        <f t="shared" si="312"/>
        <v>0.24590176852732221</v>
      </c>
      <c r="F18232" s="1842"/>
      <c r="G18232" s="78"/>
    </row>
    <row r="18233" spans="1:8" ht="12.75" hidden="1" customHeight="1" outlineLevel="1" x14ac:dyDescent="0.25">
      <c r="A18233" s="221" t="s">
        <v>10457</v>
      </c>
      <c r="B18233" s="1478">
        <v>45689</v>
      </c>
      <c r="C18233" s="1497">
        <v>100</v>
      </c>
      <c r="D18233" s="1500"/>
      <c r="E18233" s="1498">
        <f t="shared" si="312"/>
        <v>0.24590176852732221</v>
      </c>
      <c r="F18233" s="1842"/>
      <c r="G18233" s="78"/>
    </row>
    <row r="18234" spans="1:8" ht="12.75" hidden="1" customHeight="1" outlineLevel="1" x14ac:dyDescent="0.25">
      <c r="A18234" s="221" t="s">
        <v>10458</v>
      </c>
      <c r="B18234" s="1478">
        <v>45717</v>
      </c>
      <c r="C18234" s="1497">
        <v>100</v>
      </c>
      <c r="D18234" s="1500"/>
      <c r="E18234" s="1498">
        <f t="shared" si="312"/>
        <v>0.24590176852732221</v>
      </c>
      <c r="F18234" s="1842"/>
      <c r="G18234" s="78"/>
    </row>
    <row r="18235" spans="1:8" ht="12.75" hidden="1" customHeight="1" outlineLevel="1" x14ac:dyDescent="0.25">
      <c r="A18235" s="221" t="s">
        <v>10459</v>
      </c>
      <c r="B18235" s="1478">
        <v>45748</v>
      </c>
      <c r="C18235" s="1497">
        <v>100</v>
      </c>
      <c r="D18235" s="1500"/>
      <c r="E18235" s="1498">
        <f t="shared" si="312"/>
        <v>0.24590176852732221</v>
      </c>
      <c r="F18235" s="1842"/>
      <c r="G18235" s="78"/>
    </row>
    <row r="18236" spans="1:8" ht="12.75" hidden="1" customHeight="1" outlineLevel="1" x14ac:dyDescent="0.25">
      <c r="A18236" s="221" t="s">
        <v>10460</v>
      </c>
      <c r="B18236" s="1478">
        <v>45778</v>
      </c>
      <c r="C18236" s="1497">
        <v>100</v>
      </c>
      <c r="D18236" s="1500"/>
      <c r="E18236" s="1498">
        <f t="shared" si="312"/>
        <v>0.24590176852732221</v>
      </c>
      <c r="F18236" s="1842"/>
      <c r="G18236" s="78"/>
    </row>
    <row r="18237" spans="1:8" ht="12.75" hidden="1" customHeight="1" outlineLevel="1" x14ac:dyDescent="0.25">
      <c r="A18237" s="221" t="s">
        <v>10461</v>
      </c>
      <c r="B18237" s="1478">
        <v>45809</v>
      </c>
      <c r="C18237" s="1497">
        <v>100</v>
      </c>
      <c r="D18237" s="1500"/>
      <c r="E18237" s="1498">
        <f t="shared" si="312"/>
        <v>0.24590176852732221</v>
      </c>
      <c r="F18237" s="1842"/>
      <c r="G18237" s="78"/>
    </row>
    <row r="18238" spans="1:8" ht="12.75" hidden="1" customHeight="1" outlineLevel="1" x14ac:dyDescent="0.25">
      <c r="A18238" s="221" t="s">
        <v>10462</v>
      </c>
      <c r="B18238" s="1478">
        <v>45839</v>
      </c>
      <c r="C18238" s="1497">
        <v>100</v>
      </c>
      <c r="D18238" s="1500"/>
      <c r="E18238" s="1498">
        <f t="shared" si="312"/>
        <v>0.24590176852732221</v>
      </c>
      <c r="F18238" s="1842"/>
      <c r="G18238" s="78"/>
    </row>
    <row r="18239" spans="1:8" ht="12.75" hidden="1" customHeight="1" outlineLevel="1" x14ac:dyDescent="0.25">
      <c r="A18239" s="221" t="s">
        <v>10463</v>
      </c>
      <c r="B18239" s="1478">
        <v>45870</v>
      </c>
      <c r="C18239" s="1497">
        <v>100</v>
      </c>
      <c r="D18239" s="1500"/>
      <c r="E18239" s="1498">
        <f t="shared" si="312"/>
        <v>0.24590176852732221</v>
      </c>
      <c r="F18239" s="1842"/>
      <c r="G18239" s="78"/>
    </row>
    <row r="18240" spans="1:8" ht="12.75" hidden="1" customHeight="1" outlineLevel="1" x14ac:dyDescent="0.25">
      <c r="A18240" s="221" t="s">
        <v>10464</v>
      </c>
      <c r="B18240" s="1478">
        <v>45901</v>
      </c>
      <c r="C18240" s="1497">
        <v>100</v>
      </c>
      <c r="D18240" s="1500"/>
      <c r="E18240" s="1498">
        <f t="shared" si="312"/>
        <v>0.24590176852732221</v>
      </c>
      <c r="F18240" s="1842"/>
      <c r="G18240" s="78"/>
    </row>
    <row r="18241" spans="1:8" ht="12.75" hidden="1" customHeight="1" outlineLevel="1" x14ac:dyDescent="0.25">
      <c r="A18241" s="221" t="s">
        <v>10465</v>
      </c>
      <c r="B18241" s="1478">
        <v>45931</v>
      </c>
      <c r="C18241" s="1497">
        <v>100</v>
      </c>
      <c r="D18241" s="1500"/>
      <c r="E18241" s="1498">
        <f t="shared" si="312"/>
        <v>0.24590176852732221</v>
      </c>
      <c r="F18241" s="1842"/>
      <c r="G18241" s="78"/>
    </row>
    <row r="18242" spans="1:8" ht="12.75" hidden="1" customHeight="1" outlineLevel="1" x14ac:dyDescent="0.25">
      <c r="A18242" s="221" t="s">
        <v>10466</v>
      </c>
      <c r="B18242" s="1478">
        <v>45962</v>
      </c>
      <c r="C18242" s="1497">
        <v>100</v>
      </c>
      <c r="D18242" s="1500"/>
      <c r="E18242" s="1498">
        <f t="shared" si="312"/>
        <v>0.24590176852732221</v>
      </c>
      <c r="F18242" s="1842"/>
      <c r="G18242" s="78"/>
    </row>
    <row r="18243" spans="1:8" ht="12.75" hidden="1" customHeight="1" outlineLevel="1" x14ac:dyDescent="0.25">
      <c r="A18243" s="221" t="s">
        <v>10467</v>
      </c>
      <c r="B18243" s="1478">
        <v>45992</v>
      </c>
      <c r="C18243" s="1497">
        <v>100</v>
      </c>
      <c r="D18243" s="1500"/>
      <c r="E18243" s="1498">
        <f t="shared" si="312"/>
        <v>0.24590176852732221</v>
      </c>
      <c r="F18243" s="1842"/>
      <c r="G18243" s="78"/>
    </row>
    <row r="18244" spans="1:8" ht="12.75" hidden="1" customHeight="1" outlineLevel="1" x14ac:dyDescent="0.25">
      <c r="A18244" s="221" t="s">
        <v>10468</v>
      </c>
      <c r="B18244" s="1478">
        <v>46023</v>
      </c>
      <c r="C18244" s="1497">
        <v>100</v>
      </c>
      <c r="D18244" s="1500"/>
      <c r="E18244" s="1498">
        <f t="shared" si="312"/>
        <v>0.24590176852732221</v>
      </c>
      <c r="F18244" s="1842"/>
      <c r="G18244" s="78"/>
    </row>
    <row r="18245" spans="1:8" hidden="1" outlineLevel="1" x14ac:dyDescent="0.25">
      <c r="A18245" s="221" t="s">
        <v>10469</v>
      </c>
      <c r="B18245" s="1478">
        <v>46054</v>
      </c>
      <c r="C18245" s="1497">
        <v>100</v>
      </c>
      <c r="D18245" s="1500"/>
      <c r="E18245" s="1498">
        <f t="shared" si="312"/>
        <v>0.24590176852732221</v>
      </c>
      <c r="F18245" s="1842"/>
      <c r="G18245" s="78"/>
    </row>
    <row r="18246" spans="1:8" ht="12.75" hidden="1" customHeight="1" outlineLevel="1" x14ac:dyDescent="0.25">
      <c r="A18246" s="221" t="s">
        <v>10470</v>
      </c>
      <c r="B18246" s="1478">
        <v>46082</v>
      </c>
      <c r="C18246" s="1497">
        <v>100</v>
      </c>
      <c r="D18246" s="1500"/>
      <c r="E18246" s="1498">
        <f t="shared" si="312"/>
        <v>0.24590176852732221</v>
      </c>
      <c r="F18246" s="1842"/>
      <c r="G18246" s="78"/>
    </row>
    <row r="18247" spans="1:8" ht="12.75" hidden="1" customHeight="1" outlineLevel="1" x14ac:dyDescent="0.25">
      <c r="A18247" s="1483" t="s">
        <v>2734</v>
      </c>
      <c r="B18247" s="1484"/>
      <c r="C18247" s="1500"/>
      <c r="D18247" s="1485" t="s">
        <v>2465</v>
      </c>
      <c r="E18247" s="1486">
        <f>AVERAGE(E18229:E18246)</f>
        <v>0.24590176852732221</v>
      </c>
      <c r="F18247" s="1844">
        <f>E18247</f>
        <v>0.24590176852732221</v>
      </c>
      <c r="G18247" s="78"/>
    </row>
    <row r="18248" spans="1:8" ht="13.5" customHeight="1" collapsed="1" x14ac:dyDescent="0.25">
      <c r="A18248" s="3799" t="s">
        <v>10404</v>
      </c>
      <c r="B18248" s="3800"/>
      <c r="C18248" s="3800"/>
      <c r="D18248" s="3800"/>
      <c r="E18248" s="18"/>
      <c r="F18248" s="186">
        <f>+IF(F18247&lt;-40%,F18247,IF(F18247&lt;0%,0%,250%*F18247))</f>
        <v>0.61475442131830549</v>
      </c>
      <c r="G18248" s="78"/>
    </row>
    <row r="18250" spans="1:8" ht="12.75" hidden="1" customHeight="1" outlineLevel="1" x14ac:dyDescent="0.25">
      <c r="A18250" s="15" t="s">
        <v>4156</v>
      </c>
      <c r="B18250" s="15" t="s">
        <v>4153</v>
      </c>
      <c r="C18250" s="15" t="s">
        <v>112</v>
      </c>
      <c r="D18250" s="15" t="s">
        <v>4155</v>
      </c>
      <c r="E18250" s="15" t="s">
        <v>4154</v>
      </c>
      <c r="F18250" s="1882" t="s">
        <v>2519</v>
      </c>
      <c r="G18250" s="78"/>
    </row>
    <row r="18251" spans="1:8" ht="12.75" hidden="1" customHeight="1" outlineLevel="1" x14ac:dyDescent="0.25">
      <c r="A18251" s="134">
        <v>0.02</v>
      </c>
      <c r="B18251" s="151" t="s">
        <v>1176</v>
      </c>
      <c r="C18251" s="454">
        <v>37.337000000000003</v>
      </c>
      <c r="D18251" s="2954">
        <f>VLOOKUP($H18251,indexy!$C$44:$D$823,2,FALSE)</f>
        <v>42.92</v>
      </c>
      <c r="E18251" s="1491">
        <f>$D18251/$C18251-1</f>
        <v>0.14952995687923498</v>
      </c>
      <c r="F18251" s="1805">
        <f>$E18251*$A18251</f>
        <v>2.9905991375846997E-3</v>
      </c>
      <c r="G18251" s="78"/>
      <c r="H18251" t="str">
        <f>VLOOKUP(B18251,indexy!$A$44:$D$823,3,FALSE)</f>
        <v>AGS BB Equity</v>
      </c>
    </row>
    <row r="18252" spans="1:8" ht="12.75" hidden="1" customHeight="1" outlineLevel="1" x14ac:dyDescent="0.25">
      <c r="A18252" s="135">
        <v>0.02</v>
      </c>
      <c r="B18252" s="151" t="s">
        <v>802</v>
      </c>
      <c r="C18252" s="410">
        <v>7.4470000000000001</v>
      </c>
      <c r="D18252" s="2955">
        <f>VLOOKUP(H18252,indexy!$C$44:$D$823,2,FALSE)</f>
        <v>19.690000000000001</v>
      </c>
      <c r="E18252" s="1493">
        <f t="shared" ref="E18252:E18280" si="313">$D18252/$C18252-1</f>
        <v>1.6440177252584935</v>
      </c>
      <c r="F18252" s="1313">
        <f t="shared" ref="F18252:F18279" si="314">$E18252*$A18252</f>
        <v>3.2880354505169872E-2</v>
      </c>
      <c r="G18252" s="78"/>
      <c r="H18252" t="str">
        <f>VLOOKUP(B18252,indexy!$A$44:$D$823,3,FALSE)</f>
        <v>NLY UN Equity</v>
      </c>
    </row>
    <row r="18253" spans="1:8" ht="12.75" hidden="1" customHeight="1" outlineLevel="1" x14ac:dyDescent="0.25">
      <c r="A18253" s="135">
        <v>0.02</v>
      </c>
      <c r="B18253" s="151" t="s">
        <v>2697</v>
      </c>
      <c r="C18253" s="410">
        <v>13.0555</v>
      </c>
      <c r="D18253" s="2955">
        <f>VLOOKUP(H18253,indexy!$C$44:$D$823,2,FALSE)</f>
        <v>23.46</v>
      </c>
      <c r="E18253" s="1493">
        <f t="shared" si="313"/>
        <v>0.79694381678219917</v>
      </c>
      <c r="F18253" s="1313">
        <f t="shared" si="314"/>
        <v>1.5938876335643982E-2</v>
      </c>
      <c r="G18253" s="78"/>
      <c r="H18253" t="str">
        <f>VLOOKUP(B18253,indexy!$A$44:$D$823,3,FALSE)</f>
        <v>G IM Equity</v>
      </c>
    </row>
    <row r="18254" spans="1:8" ht="12.75" hidden="1" customHeight="1" outlineLevel="1" x14ac:dyDescent="0.25">
      <c r="A18254" s="135">
        <v>0.05</v>
      </c>
      <c r="B18254" s="151" t="s">
        <v>5745</v>
      </c>
      <c r="C18254" s="410">
        <v>18.457999999999998</v>
      </c>
      <c r="D18254" s="2955">
        <f>VLOOKUP(H18254,indexy!$C$44:$D$823,2,FALSE)</f>
        <v>29.4</v>
      </c>
      <c r="E18254" s="1493">
        <f t="shared" si="313"/>
        <v>0.59280528768013885</v>
      </c>
      <c r="F18254" s="1313">
        <f t="shared" si="314"/>
        <v>2.9640264384006944E-2</v>
      </c>
      <c r="G18254" s="78"/>
      <c r="H18254" t="str">
        <f>VLOOKUP(B18254,indexy!$A$44:$D$823,3,FALSE)</f>
        <v>ANZ AT Equity</v>
      </c>
    </row>
    <row r="18255" spans="1:8" ht="12.75" hidden="1" customHeight="1" outlineLevel="1" x14ac:dyDescent="0.25">
      <c r="A18255" s="135">
        <v>0.02</v>
      </c>
      <c r="B18255" s="151" t="s">
        <v>218</v>
      </c>
      <c r="C18255" s="1468">
        <v>17.530200000000001</v>
      </c>
      <c r="D18255" s="2955">
        <f>VLOOKUP(H18255,indexy!$C$44:$D$823,2,FALSE)</f>
        <v>34.814999999999998</v>
      </c>
      <c r="E18255" s="1493">
        <f t="shared" si="313"/>
        <v>0.98600130061265689</v>
      </c>
      <c r="F18255" s="1313">
        <f t="shared" si="314"/>
        <v>1.9720026012253138E-2</v>
      </c>
      <c r="G18255" s="78"/>
      <c r="H18255" t="str">
        <f>VLOOKUP(B18255,indexy!$A$44:$D$823,3,FALSE)</f>
        <v>CS FP Equity</v>
      </c>
    </row>
    <row r="18256" spans="1:8" ht="12.75" hidden="1" customHeight="1" outlineLevel="1" x14ac:dyDescent="0.25">
      <c r="A18256" s="135">
        <v>0.02</v>
      </c>
      <c r="B18256" s="151" t="s">
        <v>5748</v>
      </c>
      <c r="C18256" s="1468">
        <v>57.31</v>
      </c>
      <c r="D18256" s="2955">
        <f>VLOOKUP(H18256,indexy!$C$44:$D$823,2,FALSE)</f>
        <v>70.069999999999993</v>
      </c>
      <c r="E18256" s="1493">
        <f t="shared" si="313"/>
        <v>0.22264875239923199</v>
      </c>
      <c r="F18256" s="1313">
        <f t="shared" si="314"/>
        <v>4.4529750479846402E-3</v>
      </c>
      <c r="G18256" s="78"/>
      <c r="H18256" t="str">
        <f>VLOOKUP(B18256,indexy!$A$44:$D$823,3,FALSE)</f>
        <v>BNS CT Equity</v>
      </c>
    </row>
    <row r="18257" spans="1:8" ht="12.75" hidden="1" customHeight="1" outlineLevel="1" x14ac:dyDescent="0.25">
      <c r="A18257" s="135">
        <v>0.05</v>
      </c>
      <c r="B18257" s="151" t="s">
        <v>807</v>
      </c>
      <c r="C18257" s="410">
        <v>57.003999999999998</v>
      </c>
      <c r="D18257" s="2955">
        <f>VLOOKUP(H18257,indexy!$C$44:$D$823,2,FALSE)</f>
        <v>46.03</v>
      </c>
      <c r="E18257" s="1493">
        <f t="shared" si="313"/>
        <v>-0.19251280611886878</v>
      </c>
      <c r="F18257" s="1313">
        <f t="shared" si="314"/>
        <v>-9.6256403059434403E-3</v>
      </c>
      <c r="G18257" s="78"/>
      <c r="H18257" t="str">
        <f>VLOOKUP(B18257,indexy!$A$44:$D$823,3,FALSE)</f>
        <v>BCE CT Equity</v>
      </c>
    </row>
    <row r="18258" spans="1:8" ht="12.75" hidden="1" customHeight="1" outlineLevel="1" x14ac:dyDescent="0.25">
      <c r="A18258" s="135">
        <v>0.02</v>
      </c>
      <c r="B18258" s="151" t="s">
        <v>3954</v>
      </c>
      <c r="C18258" s="410">
        <f>97.181/2</f>
        <v>48.590499999999999</v>
      </c>
      <c r="D18258" s="2955">
        <f>VLOOKUP(H18258,indexy!$C$44:$D$823,2,FALSE)</f>
        <v>68.67</v>
      </c>
      <c r="E18258" s="1493">
        <f t="shared" si="313"/>
        <v>0.41323921342649284</v>
      </c>
      <c r="F18258" s="1313">
        <f t="shared" si="314"/>
        <v>8.2647842685298571E-3</v>
      </c>
      <c r="G18258" s="78"/>
      <c r="H18258" t="str">
        <f>VLOOKUP(B18258,indexy!$A$44:$D$823,3,FALSE)</f>
        <v>CM CT Equity</v>
      </c>
    </row>
    <row r="18259" spans="1:8" ht="12.75" hidden="1" customHeight="1" outlineLevel="1" x14ac:dyDescent="0.25">
      <c r="A18259" s="135">
        <v>0.02</v>
      </c>
      <c r="B18259" s="151" t="s">
        <v>7855</v>
      </c>
      <c r="C18259" s="410">
        <v>43.813000000000002</v>
      </c>
      <c r="D18259" s="2955">
        <f>VLOOKUP(H18259,indexy!$C$44:$D$823,2,FALSE)</f>
        <v>48.95</v>
      </c>
      <c r="E18259" s="1493">
        <f t="shared" si="313"/>
        <v>0.1172483052975144</v>
      </c>
      <c r="F18259" s="1313">
        <f t="shared" si="314"/>
        <v>2.344966105950288E-3</v>
      </c>
      <c r="G18259" s="78"/>
      <c r="H18259" t="str">
        <f>VLOOKUP(B18259,indexy!$A$44:$D$823,3,FALSE)</f>
        <v>ENB CT Equity</v>
      </c>
    </row>
    <row r="18260" spans="1:8" ht="12.75" hidden="1" customHeight="1" outlineLevel="1" x14ac:dyDescent="0.25">
      <c r="A18260" s="135">
        <v>0.08</v>
      </c>
      <c r="B18260" s="151" t="s">
        <v>9171</v>
      </c>
      <c r="C18260" s="410">
        <v>23.994</v>
      </c>
      <c r="D18260" s="2955">
        <f>VLOOKUP(H18260,indexy!$C$44:$D$823,2,FALSE)</f>
        <v>17.164999999999999</v>
      </c>
      <c r="E18260" s="1493">
        <f t="shared" si="313"/>
        <v>-0.28461281987163456</v>
      </c>
      <c r="F18260" s="1313">
        <f t="shared" si="314"/>
        <v>-2.2769025589730766E-2</v>
      </c>
      <c r="G18260" s="78"/>
      <c r="H18260" t="str">
        <f>VLOOKUP(B18260,indexy!$A$44:$D$823,3,FALSE)</f>
        <v>ELE SQ Equity</v>
      </c>
    </row>
    <row r="18261" spans="1:8" ht="12.75" hidden="1" customHeight="1" outlineLevel="1" x14ac:dyDescent="0.25">
      <c r="A18261" s="135">
        <v>7.0000000000000007E-2</v>
      </c>
      <c r="B18261" s="151" t="s">
        <v>3021</v>
      </c>
      <c r="C18261" s="410">
        <v>8.1117000000000008</v>
      </c>
      <c r="D18261" s="2955">
        <f>VLOOKUP(H18261,indexy!$C$44:$D$823,2,FALSE)</f>
        <v>14.648</v>
      </c>
      <c r="E18261" s="1493">
        <f t="shared" si="313"/>
        <v>0.80578670315716772</v>
      </c>
      <c r="F18261" s="1313">
        <f t="shared" si="314"/>
        <v>5.6405069221001747E-2</v>
      </c>
      <c r="G18261" s="78"/>
      <c r="H18261" t="str">
        <f>VLOOKUP(B18261,indexy!$A$44:$D$823,3,FALSE)</f>
        <v>ENI IM Equity</v>
      </c>
    </row>
    <row r="18262" spans="1:8" ht="12.75" hidden="1" customHeight="1" outlineLevel="1" x14ac:dyDescent="0.25">
      <c r="A18262" s="135">
        <v>0.02</v>
      </c>
      <c r="B18262" s="151" t="s">
        <v>3799</v>
      </c>
      <c r="C18262" s="410">
        <v>15.532</v>
      </c>
      <c r="D18262" s="2955">
        <f>VLOOKUP(H18262,indexy!$C$44:$D$823,2,FALSE)/100</f>
        <v>17.085999999999999</v>
      </c>
      <c r="E18262" s="1493">
        <f t="shared" si="313"/>
        <v>0.10005150656708728</v>
      </c>
      <c r="F18262" s="1313">
        <f t="shared" si="314"/>
        <v>2.0010301313417456E-3</v>
      </c>
      <c r="G18262" s="78"/>
      <c r="H18262" t="str">
        <f>VLOOKUP(B18262,indexy!$A$44:$D$823,3,FALSE)</f>
        <v>GSK LN Equity</v>
      </c>
    </row>
    <row r="18263" spans="1:8" ht="12.75" hidden="1" customHeight="1" outlineLevel="1" x14ac:dyDescent="0.25">
      <c r="A18263" s="135">
        <v>0.02</v>
      </c>
      <c r="B18263" s="151" t="s">
        <v>10427</v>
      </c>
      <c r="C18263" s="2740">
        <v>19.155000000000001</v>
      </c>
      <c r="D18263" s="2955">
        <f>VLOOKUP(H18263,indexy!$C$44:$D$823,2,FALSE)</f>
        <v>4.7</v>
      </c>
      <c r="E18263" s="1493">
        <f t="shared" si="313"/>
        <v>-0.75463325502479772</v>
      </c>
      <c r="F18263" s="1313">
        <f t="shared" si="314"/>
        <v>-1.5092665100495955E-2</v>
      </c>
      <c r="G18263" s="78"/>
      <c r="H18263" t="str">
        <f>VLOOKUP(B18263,indexy!$A$44:$D$823,3,FALSE)</f>
        <v>MPW UN Equity</v>
      </c>
    </row>
    <row r="18264" spans="1:8" ht="12.75" hidden="1" customHeight="1" outlineLevel="1" x14ac:dyDescent="0.25">
      <c r="A18264" s="135">
        <v>0.03</v>
      </c>
      <c r="B18264" s="151" t="s">
        <v>8336</v>
      </c>
      <c r="C18264" s="410">
        <v>17.844999999999999</v>
      </c>
      <c r="D18264" s="2955">
        <f>VLOOKUP(H18264,indexy!$C$44:$D$823,2,FALSE)</f>
        <v>34.64</v>
      </c>
      <c r="E18264" s="1493">
        <f t="shared" si="313"/>
        <v>0.94115998879237894</v>
      </c>
      <c r="F18264" s="1313">
        <f t="shared" si="314"/>
        <v>2.8234799663771366E-2</v>
      </c>
      <c r="G18264" s="78"/>
      <c r="H18264" t="str">
        <f>VLOOKUP(B18264,indexy!$A$44:$D$823,3,FALSE)</f>
        <v>NAB AT Equity</v>
      </c>
    </row>
    <row r="18265" spans="1:8" ht="12.75" hidden="1" customHeight="1" outlineLevel="1" x14ac:dyDescent="0.25">
      <c r="A18265" s="135">
        <v>0.02</v>
      </c>
      <c r="B18265" s="151" t="s">
        <v>2786</v>
      </c>
      <c r="C18265" s="410">
        <v>8.8948</v>
      </c>
      <c r="D18265" s="2955">
        <f>VLOOKUP(H18265,indexy!$C$44:$D$823,2,FALSE)/100</f>
        <v>10.66</v>
      </c>
      <c r="E18265" s="1493">
        <f t="shared" si="313"/>
        <v>0.19845302873589055</v>
      </c>
      <c r="F18265" s="1313">
        <f t="shared" si="314"/>
        <v>3.9690605747178106E-3</v>
      </c>
      <c r="G18265" s="78"/>
      <c r="H18265" t="str">
        <f>VLOOKUP(B18265,indexy!$A$44:$D$823,3,FALSE)</f>
        <v>NG/ LN Equity</v>
      </c>
    </row>
    <row r="18266" spans="1:8" ht="12.75" hidden="1" customHeight="1" outlineLevel="1" x14ac:dyDescent="0.25">
      <c r="A18266" s="135">
        <v>0.02</v>
      </c>
      <c r="B18266" s="151" t="s">
        <v>1203</v>
      </c>
      <c r="C18266" s="410">
        <v>69.647999999999996</v>
      </c>
      <c r="D18266" s="2955">
        <f>VLOOKUP(H18266,indexy!$C$44:$D$823,2,FALSE)</f>
        <v>119.2</v>
      </c>
      <c r="E18266" s="1493">
        <f t="shared" si="313"/>
        <v>0.71146335860326215</v>
      </c>
      <c r="F18266" s="1313">
        <f t="shared" si="314"/>
        <v>1.4229267172065243E-2</v>
      </c>
      <c r="G18266" s="78"/>
      <c r="H18266" t="str">
        <f>VLOOKUP(B18266,indexy!$A$44:$D$823,3,FALSE)</f>
        <v>NDA SS Equity</v>
      </c>
    </row>
    <row r="18267" spans="1:8" ht="12.75" hidden="1" customHeight="1" outlineLevel="1" x14ac:dyDescent="0.25">
      <c r="A18267" s="135">
        <v>0.08</v>
      </c>
      <c r="B18267" s="151" t="s">
        <v>5824</v>
      </c>
      <c r="C18267" s="410">
        <v>9.9022000000000006</v>
      </c>
      <c r="D18267" s="2955">
        <f>VLOOKUP(H18267,indexy!$C$44:$D$823,2,FALSE)</f>
        <v>10.888</v>
      </c>
      <c r="E18267" s="1493">
        <f t="shared" si="313"/>
        <v>9.9553634545858527E-2</v>
      </c>
      <c r="F18267" s="1313">
        <f t="shared" si="314"/>
        <v>7.9642907636686827E-3</v>
      </c>
      <c r="G18267" s="78"/>
      <c r="H18267" t="str">
        <f>VLOOKUP(B18267,indexy!$A$44:$D$823,3,FALSE)</f>
        <v>ORA FP Equity</v>
      </c>
    </row>
    <row r="18268" spans="1:8" ht="12.75" hidden="1" customHeight="1" outlineLevel="1" x14ac:dyDescent="0.25">
      <c r="A18268" s="135">
        <v>0.02</v>
      </c>
      <c r="B18268" s="151" t="s">
        <v>10429</v>
      </c>
      <c r="C18268" s="410">
        <v>25.99</v>
      </c>
      <c r="D18268" s="2955">
        <f>VLOOKUP(H18268,indexy!$C$44:$D$823,2,FALSE)</f>
        <v>37.979999999999997</v>
      </c>
      <c r="E18268" s="1493">
        <f t="shared" si="313"/>
        <v>0.46133128126202383</v>
      </c>
      <c r="F18268" s="1313">
        <f t="shared" si="314"/>
        <v>9.2266256252404762E-3</v>
      </c>
      <c r="G18268" s="78"/>
      <c r="H18268" t="str">
        <f>VLOOKUP(B18268,indexy!$A$44:$D$823,3,FALSE)</f>
        <v>POW CT Equity</v>
      </c>
    </row>
    <row r="18269" spans="1:8" ht="12.75" hidden="1" customHeight="1" outlineLevel="1" x14ac:dyDescent="0.25">
      <c r="A18269" s="135">
        <v>0.02</v>
      </c>
      <c r="B18269" s="151" t="s">
        <v>2769</v>
      </c>
      <c r="C18269" s="410">
        <v>28.564</v>
      </c>
      <c r="D18269" s="2955">
        <f>VLOOKUP(H18269,indexy!$C$44:$D$823,2,FALSE)</f>
        <v>27.53</v>
      </c>
      <c r="E18269" s="1493">
        <f t="shared" si="313"/>
        <v>-3.6199411847080198E-2</v>
      </c>
      <c r="F18269" s="1313">
        <f t="shared" si="314"/>
        <v>-7.2398823694160399E-4</v>
      </c>
      <c r="G18269" s="78"/>
      <c r="H18269" t="str">
        <f>VLOOKUP(B18269,indexy!$A$44:$D$823,3,FALSE)</f>
        <v>PPL UN Equity</v>
      </c>
    </row>
    <row r="18270" spans="1:8" ht="12.75" hidden="1" customHeight="1" outlineLevel="1" x14ac:dyDescent="0.25">
      <c r="A18270" s="135">
        <v>0.03</v>
      </c>
      <c r="B18270" s="151" t="s">
        <v>5629</v>
      </c>
      <c r="C18270" s="410">
        <v>16.43</v>
      </c>
      <c r="D18270" s="2955">
        <f>VLOOKUP(H18270,indexy!$C$44:$D$823,2,FALSE)</f>
        <v>15.805</v>
      </c>
      <c r="E18270" s="1493">
        <f t="shared" si="313"/>
        <v>-3.8040170419963437E-2</v>
      </c>
      <c r="F18270" s="1313">
        <f t="shared" si="314"/>
        <v>-1.141205112598903E-3</v>
      </c>
      <c r="G18270" s="78"/>
      <c r="H18270" t="str">
        <f>VLOOKUP(B18270,indexy!$A$44:$D$823,3,FALSE)</f>
        <v>REE SQ Equity</v>
      </c>
    </row>
    <row r="18271" spans="1:8" ht="12.75" hidden="1" customHeight="1" outlineLevel="1" x14ac:dyDescent="0.25">
      <c r="A18271" s="135">
        <v>0.02</v>
      </c>
      <c r="B18271" s="151" t="s">
        <v>5205</v>
      </c>
      <c r="C18271" s="410">
        <v>11.7232</v>
      </c>
      <c r="D18271" s="2955">
        <f>VLOOKUP(H18271,indexy!$C$44:$D$823,2,FALSE)/100</f>
        <v>18.952000000000002</v>
      </c>
      <c r="E18271" s="1493">
        <f t="shared" si="313"/>
        <v>0.61662344752286069</v>
      </c>
      <c r="F18271" s="1313">
        <f t="shared" si="314"/>
        <v>1.2332468950457214E-2</v>
      </c>
      <c r="G18271" s="78"/>
      <c r="H18271" t="str">
        <f>VLOOKUP(B18271,indexy!$A$44:$D$823,3,FALSE)</f>
        <v>RDSA LN Equity</v>
      </c>
    </row>
    <row r="18272" spans="1:8" ht="12.75" hidden="1" customHeight="1" outlineLevel="1" x14ac:dyDescent="0.25">
      <c r="A18272" s="135">
        <v>0.02</v>
      </c>
      <c r="B18272" s="151" t="s">
        <v>6270</v>
      </c>
      <c r="C18272" s="410">
        <v>32.375</v>
      </c>
      <c r="D18272" s="2955">
        <f>VLOOKUP(H18272,indexy!$C$44:$D$823,2,FALSE)</f>
        <v>39.515000000000001</v>
      </c>
      <c r="E18272" s="1493">
        <f t="shared" si="313"/>
        <v>0.22054054054054051</v>
      </c>
      <c r="F18272" s="1313">
        <f t="shared" si="314"/>
        <v>4.4108108108108102E-3</v>
      </c>
      <c r="G18272" s="78"/>
      <c r="H18272" t="str">
        <f>VLOOKUP(B18272,indexy!$A$44:$D$823,3,FALSE)</f>
        <v>SAMPO FH Equity</v>
      </c>
    </row>
    <row r="18273" spans="1:8" ht="12.75" hidden="1" customHeight="1" outlineLevel="1" x14ac:dyDescent="0.25">
      <c r="A18273" s="135">
        <v>0.05</v>
      </c>
      <c r="B18273" s="151" t="s">
        <v>6116</v>
      </c>
      <c r="C18273" s="410">
        <v>4.4537000000000004</v>
      </c>
      <c r="D18273" s="2955">
        <f>VLOOKUP(H18273,indexy!$C$44:$D$823,2,FALSE)</f>
        <v>4.3760000000000003</v>
      </c>
      <c r="E18273" s="1493">
        <f t="shared" si="313"/>
        <v>-1.7446168354401936E-2</v>
      </c>
      <c r="F18273" s="1313">
        <f t="shared" si="314"/>
        <v>-8.7230841772009682E-4</v>
      </c>
      <c r="G18273" s="78"/>
      <c r="H18273" t="str">
        <f>VLOOKUP(B18273,indexy!$A$44:$D$823,3,FALSE)</f>
        <v>SRG IM Equity</v>
      </c>
    </row>
    <row r="18274" spans="1:8" ht="12.75" hidden="1" customHeight="1" outlineLevel="1" x14ac:dyDescent="0.25">
      <c r="A18274" s="135">
        <v>0.02</v>
      </c>
      <c r="B18274" s="151" t="s">
        <v>1857</v>
      </c>
      <c r="C18274" s="410">
        <v>13.064</v>
      </c>
      <c r="D18274" s="2955">
        <f>VLOOKUP(H18274,indexy!$C$44:$D$823,2,FALSE)/100</f>
        <v>16.5</v>
      </c>
      <c r="E18274" s="1493">
        <f t="shared" si="313"/>
        <v>0.26301285976729938</v>
      </c>
      <c r="F18274" s="1313">
        <f t="shared" si="314"/>
        <v>5.2602571953459876E-3</v>
      </c>
      <c r="G18274" s="78"/>
      <c r="H18274" t="str">
        <f>VLOOKUP(B18274,indexy!$A$44:$D$823,3,FALSE)</f>
        <v>SSE LN Equity</v>
      </c>
    </row>
    <row r="18275" spans="1:8" ht="12.75" hidden="1" customHeight="1" outlineLevel="1" x14ac:dyDescent="0.25">
      <c r="A18275" s="135">
        <v>0.02</v>
      </c>
      <c r="B18275" s="151" t="s">
        <v>6527</v>
      </c>
      <c r="C18275" s="410">
        <v>86.96</v>
      </c>
      <c r="D18275" s="2955">
        <f>VLOOKUP(H18275,indexy!$C$44:$D$823,2,FALSE)</f>
        <v>108.25</v>
      </c>
      <c r="E18275" s="1493">
        <f t="shared" si="313"/>
        <v>0.2448252069917205</v>
      </c>
      <c r="F18275" s="1313">
        <f t="shared" si="314"/>
        <v>4.89650413983441E-3</v>
      </c>
      <c r="G18275" s="78"/>
      <c r="H18275" t="str">
        <f>VLOOKUP(B18275,indexy!$A$44:$D$823,3,FALSE)</f>
        <v>SHBA SS Equity</v>
      </c>
    </row>
    <row r="18276" spans="1:8" ht="12.75" hidden="1" customHeight="1" outlineLevel="1" x14ac:dyDescent="0.25">
      <c r="A18276" s="135">
        <v>0.08</v>
      </c>
      <c r="B18276" s="151" t="s">
        <v>6118</v>
      </c>
      <c r="C18276" s="410">
        <v>73.055999999999997</v>
      </c>
      <c r="D18276" s="2955">
        <f>VLOOKUP(H18276,indexy!$C$44:$D$823,2,FALSE)</f>
        <v>115.95</v>
      </c>
      <c r="E18276" s="1493">
        <f t="shared" si="313"/>
        <v>0.58713863337713534</v>
      </c>
      <c r="F18276" s="1313">
        <f t="shared" si="314"/>
        <v>4.6971090670170829E-2</v>
      </c>
      <c r="G18276" s="78"/>
      <c r="H18276" t="str">
        <f>VLOOKUP(B18276,indexy!$A$44:$D$823,3,FALSE)</f>
        <v>SREN SE Equity</v>
      </c>
    </row>
    <row r="18277" spans="1:8" ht="12.75" hidden="1" customHeight="1" outlineLevel="1" x14ac:dyDescent="0.25">
      <c r="A18277" s="135">
        <v>0.02</v>
      </c>
      <c r="B18277" s="151" t="s">
        <v>434</v>
      </c>
      <c r="C18277" s="410">
        <v>34.054000000000002</v>
      </c>
      <c r="D18277" s="2955">
        <f>VLOOKUP(H18277,indexy!$C$44:$D$823,2,FALSE)</f>
        <v>27.43</v>
      </c>
      <c r="E18277" s="1493">
        <f t="shared" si="313"/>
        <v>-0.19451459446761032</v>
      </c>
      <c r="F18277" s="1313">
        <f t="shared" si="314"/>
        <v>-3.8902918893522066E-3</v>
      </c>
      <c r="G18277" s="78"/>
      <c r="H18277" t="str">
        <f>VLOOKUP(B18277,indexy!$A$44:$D$823,3,FALSE)</f>
        <v>TELIA SS Equity</v>
      </c>
    </row>
    <row r="18278" spans="1:8" ht="12.75" hidden="1" customHeight="1" outlineLevel="1" x14ac:dyDescent="0.25">
      <c r="A18278" s="135">
        <v>0.02</v>
      </c>
      <c r="B18278" s="151" t="s">
        <v>10633</v>
      </c>
      <c r="C18278" s="410">
        <v>33.339500000000001</v>
      </c>
      <c r="D18278" s="2955">
        <f>VLOOKUP(H18278,indexy!$C$44:$D$823,2,FALSE)</f>
        <v>63.47</v>
      </c>
      <c r="E18278" s="1493">
        <f t="shared" si="313"/>
        <v>0.90374780665576848</v>
      </c>
      <c r="F18278" s="1313">
        <f t="shared" si="314"/>
        <v>1.8074956133115369E-2</v>
      </c>
      <c r="G18278" s="78"/>
      <c r="H18278" t="str">
        <f>VLOOKUP(B18278,indexy!$A$44:$D$823,3,FALSE)</f>
        <v>TTE FP Equity</v>
      </c>
    </row>
    <row r="18279" spans="1:8" ht="12.75" hidden="1" customHeight="1" outlineLevel="1" x14ac:dyDescent="0.25">
      <c r="A18279" s="135">
        <v>0.02</v>
      </c>
      <c r="B18279" s="151" t="s">
        <v>5626</v>
      </c>
      <c r="C18279" s="410">
        <v>17.594000000000001</v>
      </c>
      <c r="D18279" s="2955">
        <f>VLOOKUP(H18279,indexy!$C$44:$D$823,2,FALSE)</f>
        <v>26.1</v>
      </c>
      <c r="E18279" s="1493">
        <f t="shared" si="313"/>
        <v>0.4834602705467772</v>
      </c>
      <c r="F18279" s="1313">
        <f t="shared" si="314"/>
        <v>9.6692054109355444E-3</v>
      </c>
      <c r="G18279" s="78"/>
      <c r="H18279" t="str">
        <f>VLOOKUP(B18279,indexy!$A$44:$D$823,3,FALSE)</f>
        <v>WBC AT Equity</v>
      </c>
    </row>
    <row r="18280" spans="1:8" ht="12.75" hidden="1" customHeight="1" outlineLevel="1" x14ac:dyDescent="0.25">
      <c r="A18280" s="135">
        <v>0.08</v>
      </c>
      <c r="B18280" s="2736" t="s">
        <v>4550</v>
      </c>
      <c r="C18280" s="2741">
        <v>343.08</v>
      </c>
      <c r="D18280" s="2956">
        <f>VLOOKUP(H18280,indexy!$C$44:$D$823,2,FALSE)</f>
        <v>486.3</v>
      </c>
      <c r="E18280" s="1495">
        <f t="shared" si="313"/>
        <v>0.41745365512416943</v>
      </c>
      <c r="F18280" s="1314">
        <f>$E18280*$A18280</f>
        <v>3.3396292409933553E-2</v>
      </c>
      <c r="G18280" s="78"/>
      <c r="H18280" t="str">
        <f>VLOOKUP(B18280,indexy!$A$44:$D$823,3,FALSE)</f>
        <v>ZURN SE Equity</v>
      </c>
    </row>
    <row r="18281" spans="1:8" ht="12.75" hidden="1" customHeight="1" outlineLevel="1" x14ac:dyDescent="0.25">
      <c r="A18281" s="1475" t="s">
        <v>2734</v>
      </c>
      <c r="B18281" s="150"/>
      <c r="C18281" s="1477"/>
      <c r="D18281" s="1477"/>
      <c r="E18281" s="512"/>
      <c r="F18281" s="1313">
        <f>SUM(F18251:F18280)</f>
        <v>0.31915945001675128</v>
      </c>
      <c r="G18281" s="78"/>
    </row>
    <row r="18282" spans="1:8" ht="12.75" hidden="1" customHeight="1" outlineLevel="1" x14ac:dyDescent="0.25">
      <c r="A18282" s="221" t="s">
        <v>10472</v>
      </c>
      <c r="B18282" s="1478">
        <v>45597</v>
      </c>
      <c r="C18282" s="1497">
        <v>100</v>
      </c>
      <c r="D18282" s="1497"/>
      <c r="E18282" s="1498">
        <f>IF(D18282="",$F$18281,D18282/C18282-1)</f>
        <v>0.31915945001675128</v>
      </c>
      <c r="F18282" s="1842"/>
      <c r="G18282" s="78"/>
    </row>
    <row r="18283" spans="1:8" ht="12.75" hidden="1" customHeight="1" outlineLevel="1" x14ac:dyDescent="0.25">
      <c r="A18283" s="221" t="s">
        <v>10473</v>
      </c>
      <c r="B18283" s="1478">
        <v>45627</v>
      </c>
      <c r="C18283" s="1497">
        <v>100</v>
      </c>
      <c r="D18283" s="1500"/>
      <c r="E18283" s="1498">
        <f t="shared" ref="E18283:E18299" si="315">IF(D18283="",$F$18281,D18283/C18283-1)</f>
        <v>0.31915945001675128</v>
      </c>
      <c r="F18283" s="1842"/>
      <c r="G18283" s="78"/>
    </row>
    <row r="18284" spans="1:8" ht="12.75" hidden="1" customHeight="1" outlineLevel="1" x14ac:dyDescent="0.25">
      <c r="A18284" s="221" t="s">
        <v>10474</v>
      </c>
      <c r="B18284" s="1478">
        <v>45658</v>
      </c>
      <c r="C18284" s="1497">
        <v>100</v>
      </c>
      <c r="D18284" s="1500"/>
      <c r="E18284" s="1498">
        <f t="shared" si="315"/>
        <v>0.31915945001675128</v>
      </c>
      <c r="F18284" s="1842"/>
      <c r="G18284" s="78"/>
    </row>
    <row r="18285" spans="1:8" ht="12.75" hidden="1" customHeight="1" outlineLevel="1" x14ac:dyDescent="0.25">
      <c r="A18285" s="221" t="s">
        <v>10475</v>
      </c>
      <c r="B18285" s="1478">
        <v>45689</v>
      </c>
      <c r="C18285" s="1497">
        <v>100</v>
      </c>
      <c r="D18285" s="1500"/>
      <c r="E18285" s="1498">
        <f t="shared" si="315"/>
        <v>0.31915945001675128</v>
      </c>
      <c r="F18285" s="1842"/>
      <c r="G18285" s="78"/>
    </row>
    <row r="18286" spans="1:8" ht="12.75" hidden="1" customHeight="1" outlineLevel="1" x14ac:dyDescent="0.25">
      <c r="A18286" s="221" t="s">
        <v>10476</v>
      </c>
      <c r="B18286" s="1478">
        <v>45717</v>
      </c>
      <c r="C18286" s="1497">
        <v>100</v>
      </c>
      <c r="D18286" s="1500"/>
      <c r="E18286" s="1498">
        <f t="shared" si="315"/>
        <v>0.31915945001675128</v>
      </c>
      <c r="F18286" s="1842"/>
      <c r="G18286" s="78"/>
    </row>
    <row r="18287" spans="1:8" ht="12.75" hidden="1" customHeight="1" outlineLevel="1" x14ac:dyDescent="0.25">
      <c r="A18287" s="221" t="s">
        <v>10477</v>
      </c>
      <c r="B18287" s="1478">
        <v>45748</v>
      </c>
      <c r="C18287" s="1497">
        <v>100</v>
      </c>
      <c r="D18287" s="1500"/>
      <c r="E18287" s="1498">
        <f t="shared" si="315"/>
        <v>0.31915945001675128</v>
      </c>
      <c r="F18287" s="1842"/>
      <c r="G18287" s="78"/>
    </row>
    <row r="18288" spans="1:8" ht="12.75" hidden="1" customHeight="1" outlineLevel="1" x14ac:dyDescent="0.25">
      <c r="A18288" s="221" t="s">
        <v>10478</v>
      </c>
      <c r="B18288" s="1478">
        <v>45778</v>
      </c>
      <c r="C18288" s="1497">
        <v>100</v>
      </c>
      <c r="D18288" s="1500"/>
      <c r="E18288" s="1498">
        <f t="shared" si="315"/>
        <v>0.31915945001675128</v>
      </c>
      <c r="F18288" s="1842"/>
      <c r="G18288" s="78"/>
    </row>
    <row r="18289" spans="1:9" ht="12.75" hidden="1" customHeight="1" outlineLevel="1" x14ac:dyDescent="0.25">
      <c r="A18289" s="221" t="s">
        <v>10479</v>
      </c>
      <c r="B18289" s="1478">
        <v>45809</v>
      </c>
      <c r="C18289" s="1497">
        <v>100</v>
      </c>
      <c r="D18289" s="1500"/>
      <c r="E18289" s="1498">
        <f t="shared" si="315"/>
        <v>0.31915945001675128</v>
      </c>
      <c r="F18289" s="1842"/>
      <c r="G18289" s="78"/>
    </row>
    <row r="18290" spans="1:9" ht="12.75" hidden="1" customHeight="1" outlineLevel="1" x14ac:dyDescent="0.25">
      <c r="A18290" s="221" t="s">
        <v>10480</v>
      </c>
      <c r="B18290" s="1478">
        <v>45839</v>
      </c>
      <c r="C18290" s="1497">
        <v>100</v>
      </c>
      <c r="D18290" s="1500"/>
      <c r="E18290" s="1498">
        <f t="shared" si="315"/>
        <v>0.31915945001675128</v>
      </c>
      <c r="F18290" s="1842"/>
      <c r="G18290" s="78"/>
    </row>
    <row r="18291" spans="1:9" ht="12.75" hidden="1" customHeight="1" outlineLevel="1" x14ac:dyDescent="0.25">
      <c r="A18291" s="221" t="s">
        <v>10481</v>
      </c>
      <c r="B18291" s="1478">
        <v>45870</v>
      </c>
      <c r="C18291" s="1497">
        <v>100</v>
      </c>
      <c r="D18291" s="1500"/>
      <c r="E18291" s="1498">
        <f t="shared" si="315"/>
        <v>0.31915945001675128</v>
      </c>
      <c r="F18291" s="1842"/>
      <c r="G18291" s="78"/>
    </row>
    <row r="18292" spans="1:9" ht="12.75" hidden="1" customHeight="1" outlineLevel="1" x14ac:dyDescent="0.25">
      <c r="A18292" s="221" t="s">
        <v>10482</v>
      </c>
      <c r="B18292" s="1478">
        <v>45901</v>
      </c>
      <c r="C18292" s="1497">
        <v>100</v>
      </c>
      <c r="D18292" s="1500"/>
      <c r="E18292" s="1498">
        <f t="shared" si="315"/>
        <v>0.31915945001675128</v>
      </c>
      <c r="F18292" s="1842"/>
      <c r="G18292" s="78"/>
    </row>
    <row r="18293" spans="1:9" ht="12.75" hidden="1" customHeight="1" outlineLevel="1" x14ac:dyDescent="0.25">
      <c r="A18293" s="221" t="s">
        <v>10483</v>
      </c>
      <c r="B18293" s="1478">
        <v>45931</v>
      </c>
      <c r="C18293" s="1497">
        <v>100</v>
      </c>
      <c r="D18293" s="1500"/>
      <c r="E18293" s="1498">
        <f t="shared" si="315"/>
        <v>0.31915945001675128</v>
      </c>
      <c r="F18293" s="1842"/>
      <c r="G18293" s="78"/>
    </row>
    <row r="18294" spans="1:9" ht="12.75" hidden="1" customHeight="1" outlineLevel="1" x14ac:dyDescent="0.25">
      <c r="A18294" s="221" t="s">
        <v>10484</v>
      </c>
      <c r="B18294" s="1478">
        <v>45962</v>
      </c>
      <c r="C18294" s="1497">
        <v>100</v>
      </c>
      <c r="D18294" s="1500"/>
      <c r="E18294" s="1498">
        <f t="shared" si="315"/>
        <v>0.31915945001675128</v>
      </c>
      <c r="F18294" s="1842"/>
      <c r="G18294" s="78"/>
    </row>
    <row r="18295" spans="1:9" ht="12.75" hidden="1" customHeight="1" outlineLevel="1" x14ac:dyDescent="0.25">
      <c r="A18295" s="221" t="s">
        <v>10485</v>
      </c>
      <c r="B18295" s="1478">
        <v>45992</v>
      </c>
      <c r="C18295" s="1497">
        <v>100</v>
      </c>
      <c r="D18295" s="1500"/>
      <c r="E18295" s="1498">
        <f t="shared" si="315"/>
        <v>0.31915945001675128</v>
      </c>
      <c r="F18295" s="1842"/>
      <c r="G18295" s="78"/>
    </row>
    <row r="18296" spans="1:9" ht="12.75" hidden="1" customHeight="1" outlineLevel="1" x14ac:dyDescent="0.25">
      <c r="A18296" s="221" t="s">
        <v>10486</v>
      </c>
      <c r="B18296" s="1478">
        <v>46023</v>
      </c>
      <c r="C18296" s="1497">
        <v>100</v>
      </c>
      <c r="D18296" s="1500"/>
      <c r="E18296" s="1498">
        <f t="shared" si="315"/>
        <v>0.31915945001675128</v>
      </c>
      <c r="F18296" s="1842"/>
      <c r="G18296" s="78"/>
    </row>
    <row r="18297" spans="1:9" ht="12.75" hidden="1" customHeight="1" outlineLevel="1" x14ac:dyDescent="0.25">
      <c r="A18297" s="221" t="s">
        <v>10487</v>
      </c>
      <c r="B18297" s="1478">
        <v>46054</v>
      </c>
      <c r="C18297" s="1497">
        <v>100</v>
      </c>
      <c r="D18297" s="1500"/>
      <c r="E18297" s="1498">
        <f t="shared" si="315"/>
        <v>0.31915945001675128</v>
      </c>
      <c r="F18297" s="1842"/>
      <c r="G18297" s="78"/>
    </row>
    <row r="18298" spans="1:9" hidden="1" outlineLevel="1" x14ac:dyDescent="0.25">
      <c r="A18298" s="221" t="s">
        <v>10488</v>
      </c>
      <c r="B18298" s="1478">
        <v>46082</v>
      </c>
      <c r="C18298" s="1497">
        <v>100</v>
      </c>
      <c r="D18298" s="1500"/>
      <c r="E18298" s="1498">
        <f t="shared" si="315"/>
        <v>0.31915945001675128</v>
      </c>
      <c r="F18298" s="1842"/>
      <c r="G18298" s="78"/>
    </row>
    <row r="18299" spans="1:9" ht="12.75" hidden="1" customHeight="1" outlineLevel="1" x14ac:dyDescent="0.25">
      <c r="A18299" s="221" t="s">
        <v>10489</v>
      </c>
      <c r="B18299" s="1478">
        <v>46113</v>
      </c>
      <c r="C18299" s="1497">
        <v>100</v>
      </c>
      <c r="D18299" s="1500"/>
      <c r="E18299" s="1498">
        <f t="shared" si="315"/>
        <v>0.31915945001675128</v>
      </c>
      <c r="F18299" s="1842"/>
      <c r="G18299" s="78"/>
    </row>
    <row r="18300" spans="1:9" ht="12.75" hidden="1" customHeight="1" outlineLevel="1" x14ac:dyDescent="0.25">
      <c r="A18300" s="1483" t="s">
        <v>2734</v>
      </c>
      <c r="B18300" s="1484"/>
      <c r="C18300" s="1500"/>
      <c r="D18300" s="1485" t="s">
        <v>2465</v>
      </c>
      <c r="E18300" s="1486">
        <f>AVERAGE(E18282:E18299)</f>
        <v>0.31915945001675122</v>
      </c>
      <c r="F18300" s="1844">
        <f>E18300</f>
        <v>0.31915945001675122</v>
      </c>
      <c r="G18300" s="78"/>
    </row>
    <row r="18301" spans="1:9" ht="13.5" customHeight="1" collapsed="1" x14ac:dyDescent="0.25">
      <c r="A18301" s="3799" t="s">
        <v>10471</v>
      </c>
      <c r="B18301" s="3800"/>
      <c r="C18301" s="3800"/>
      <c r="D18301" s="3800"/>
      <c r="E18301" s="18"/>
      <c r="F18301" s="186">
        <f>+IF(F18300&lt;-20%,+F18300+20%,IF(F18300&lt;0%,0,IF(F18300&lt;60%,F18300,60%)))</f>
        <v>0.31915945001675122</v>
      </c>
      <c r="G18301" s="78"/>
    </row>
    <row r="18303" spans="1:9" hidden="1" outlineLevel="1" x14ac:dyDescent="0.25">
      <c r="A18303" s="3248" t="s">
        <v>113</v>
      </c>
      <c r="B18303" s="3237" t="s">
        <v>114</v>
      </c>
      <c r="C18303" s="3237" t="s">
        <v>112</v>
      </c>
      <c r="D18303" s="3237" t="s">
        <v>4363</v>
      </c>
      <c r="E18303" s="3237" t="s">
        <v>116</v>
      </c>
      <c r="F18303" s="3276" t="s">
        <v>121</v>
      </c>
      <c r="G18303" s="78"/>
      <c r="H18303" s="438" t="s">
        <v>5391</v>
      </c>
      <c r="I18303" s="438" t="s">
        <v>5392</v>
      </c>
    </row>
    <row r="18304" spans="1:9" hidden="1" outlineLevel="1" x14ac:dyDescent="0.25">
      <c r="A18304" s="1810">
        <v>1</v>
      </c>
      <c r="B18304" s="2984" t="s">
        <v>2153</v>
      </c>
      <c r="C18304" s="3702">
        <v>3296.9879999999998</v>
      </c>
      <c r="D18304" s="3805">
        <v>4115.4620000000004</v>
      </c>
      <c r="E18304" s="2238"/>
      <c r="F18304" s="3705">
        <v>0.13500000000000001</v>
      </c>
      <c r="G18304" s="78"/>
      <c r="H18304" s="92">
        <v>0.24824900788234605</v>
      </c>
      <c r="I18304" s="450">
        <v>0.13500000000000001</v>
      </c>
    </row>
    <row r="18305" spans="1:9" hidden="1" outlineLevel="1" x14ac:dyDescent="0.25">
      <c r="A18305" s="1810">
        <v>2</v>
      </c>
      <c r="B18305" s="2984" t="s">
        <v>2153</v>
      </c>
      <c r="C18305" s="1814" t="s">
        <v>5590</v>
      </c>
      <c r="D18305" s="3806"/>
      <c r="E18305" s="1815"/>
      <c r="F18305" s="3706" t="s">
        <v>5590</v>
      </c>
      <c r="G18305" s="78"/>
      <c r="H18305" s="92" t="s">
        <v>5590</v>
      </c>
      <c r="I18305" s="450">
        <v>0.18</v>
      </c>
    </row>
    <row r="18306" spans="1:9" hidden="1" outlineLevel="1" x14ac:dyDescent="0.25">
      <c r="A18306" s="1810">
        <v>3</v>
      </c>
      <c r="B18306" s="2984" t="s">
        <v>2153</v>
      </c>
      <c r="C18306" s="1814" t="s">
        <v>5590</v>
      </c>
      <c r="D18306" s="3806"/>
      <c r="E18306" s="1815"/>
      <c r="F18306" s="3706" t="s">
        <v>5590</v>
      </c>
      <c r="G18306" s="78"/>
      <c r="H18306" s="92" t="s">
        <v>5590</v>
      </c>
      <c r="I18306" s="450">
        <v>0.22500000000000001</v>
      </c>
    </row>
    <row r="18307" spans="1:9" hidden="1" outlineLevel="1" x14ac:dyDescent="0.25">
      <c r="A18307" s="1810">
        <v>4</v>
      </c>
      <c r="B18307" s="2984" t="s">
        <v>2153</v>
      </c>
      <c r="C18307" s="1814" t="s">
        <v>5590</v>
      </c>
      <c r="D18307" s="3806"/>
      <c r="E18307" s="1815"/>
      <c r="F18307" s="3706" t="s">
        <v>5590</v>
      </c>
      <c r="G18307" s="78"/>
      <c r="H18307" s="92" t="s">
        <v>5590</v>
      </c>
      <c r="I18307" s="450">
        <v>0.27</v>
      </c>
    </row>
    <row r="18308" spans="1:9" hidden="1" outlineLevel="1" x14ac:dyDescent="0.25">
      <c r="A18308" s="1810">
        <v>5</v>
      </c>
      <c r="B18308" s="2984" t="s">
        <v>2153</v>
      </c>
      <c r="C18308" s="1817" t="s">
        <v>5590</v>
      </c>
      <c r="D18308" s="3807"/>
      <c r="E18308" s="1815"/>
      <c r="F18308" s="3707" t="s">
        <v>5590</v>
      </c>
      <c r="G18308" s="78"/>
      <c r="H18308" s="37">
        <v>0.24824900788234605</v>
      </c>
    </row>
    <row r="18309" spans="1:9" hidden="1" outlineLevel="1" x14ac:dyDescent="0.25">
      <c r="A18309" s="1819" t="s">
        <v>2734</v>
      </c>
      <c r="B18309" s="2984"/>
      <c r="C18309" s="1820"/>
      <c r="D18309" s="3142"/>
      <c r="E18309" s="3704"/>
      <c r="F18309" s="3703">
        <v>0.13500000000000001</v>
      </c>
      <c r="G18309" s="78"/>
      <c r="H18309" s="74"/>
    </row>
    <row r="18310" spans="1:9" collapsed="1" x14ac:dyDescent="0.25">
      <c r="A18310" s="3801" t="s">
        <v>10450</v>
      </c>
      <c r="B18310" s="3802"/>
      <c r="C18310" s="3802"/>
      <c r="D18310" s="3802"/>
      <c r="E18310" s="1906"/>
      <c r="F18310" s="1907">
        <v>0.13500000000000001</v>
      </c>
      <c r="G18310" s="78"/>
      <c r="H18310" s="74"/>
    </row>
    <row r="18312" spans="1:9" ht="12.75" hidden="1" customHeight="1" outlineLevel="1" x14ac:dyDescent="0.25">
      <c r="A18312" s="15" t="s">
        <v>4156</v>
      </c>
      <c r="B18312" s="15" t="s">
        <v>4153</v>
      </c>
      <c r="C18312" s="15" t="s">
        <v>112</v>
      </c>
      <c r="D18312" s="15" t="s">
        <v>4155</v>
      </c>
      <c r="E18312" s="15" t="s">
        <v>4154</v>
      </c>
      <c r="F18312" s="1882" t="s">
        <v>2519</v>
      </c>
      <c r="G18312" s="78"/>
    </row>
    <row r="18313" spans="1:9" ht="12.75" hidden="1" customHeight="1" outlineLevel="1" x14ac:dyDescent="0.25">
      <c r="A18313" s="134">
        <v>0.05</v>
      </c>
      <c r="B18313" s="151" t="s">
        <v>7111</v>
      </c>
      <c r="C18313" s="454">
        <v>86.021000000000001</v>
      </c>
      <c r="D18313" s="2954">
        <f>VLOOKUP($H18313,indexy!$C$44:$D$823,2,FALSE)</f>
        <v>182.1</v>
      </c>
      <c r="E18313" s="1491">
        <f>$D18313/$C18313-1</f>
        <v>1.1169249369340042</v>
      </c>
      <c r="F18313" s="1805">
        <f>$E18313*$A18313</f>
        <v>5.5846246846700212E-2</v>
      </c>
      <c r="G18313" s="78"/>
      <c r="H18313" t="str">
        <f>VLOOKUP(B18313,indexy!$A$44:$D$823,3,FALSE)</f>
        <v>ABBV UN Equity</v>
      </c>
    </row>
    <row r="18314" spans="1:9" ht="12.75" hidden="1" customHeight="1" outlineLevel="1" x14ac:dyDescent="0.25">
      <c r="A18314" s="135">
        <v>0.02</v>
      </c>
      <c r="B18314" s="151" t="s">
        <v>6325</v>
      </c>
      <c r="C18314" s="410">
        <v>90.167000000000002</v>
      </c>
      <c r="D18314" s="2955">
        <f>VLOOKUP(H18314,indexy!$C$44:$D$823,2,FALSE)</f>
        <v>86.1</v>
      </c>
      <c r="E18314" s="1493">
        <f t="shared" ref="E18314:E18342" si="316">$D18314/$C18314-1</f>
        <v>-4.5105193696141632E-2</v>
      </c>
      <c r="F18314" s="1313">
        <f t="shared" ref="F18314:F18341" si="317">$E18314*$A18314</f>
        <v>-9.0210387392283267E-4</v>
      </c>
      <c r="G18314" s="78"/>
      <c r="H18314" t="str">
        <f>VLOOKUP(B18314,indexy!$A$44:$D$823,3,FALSE)</f>
        <v>AEP US Equity</v>
      </c>
    </row>
    <row r="18315" spans="1:9" ht="12.75" hidden="1" customHeight="1" outlineLevel="1" x14ac:dyDescent="0.25">
      <c r="A18315" s="135">
        <v>0.03</v>
      </c>
      <c r="B18315" s="151" t="s">
        <v>8259</v>
      </c>
      <c r="C18315" s="410">
        <v>235.48</v>
      </c>
      <c r="D18315" s="2955">
        <f>VLOOKUP(H18315,indexy!$C$44:$D$823,2,FALSE)</f>
        <v>284.32</v>
      </c>
      <c r="E18315" s="1493">
        <f t="shared" si="316"/>
        <v>0.2074061491421777</v>
      </c>
      <c r="F18315" s="1313">
        <f t="shared" si="317"/>
        <v>6.2221844742653305E-3</v>
      </c>
      <c r="G18315" s="78"/>
      <c r="H18315" t="str">
        <f>VLOOKUP(B18315,indexy!$A$44:$D$823,3,FALSE)</f>
        <v>AMGN UW Equity</v>
      </c>
    </row>
    <row r="18316" spans="1:9" ht="12.75" hidden="1" customHeight="1" outlineLevel="1" x14ac:dyDescent="0.25">
      <c r="A18316" s="135">
        <v>0.08</v>
      </c>
      <c r="B18316" s="151" t="s">
        <v>807</v>
      </c>
      <c r="C18316" s="410">
        <v>55.872</v>
      </c>
      <c r="D18316" s="2955">
        <f>VLOOKUP(H18316,indexy!$C$44:$D$823,2,FALSE)</f>
        <v>46.03</v>
      </c>
      <c r="E18316" s="1493">
        <f t="shared" si="316"/>
        <v>-0.17615263459335617</v>
      </c>
      <c r="F18316" s="1313">
        <f t="shared" si="317"/>
        <v>-1.4092210767468494E-2</v>
      </c>
      <c r="G18316" s="78"/>
      <c r="H18316" t="str">
        <f>VLOOKUP(B18316,indexy!$A$44:$D$823,3,FALSE)</f>
        <v>BCE CT Equity</v>
      </c>
    </row>
    <row r="18317" spans="1:9" ht="12.75" hidden="1" customHeight="1" outlineLevel="1" x14ac:dyDescent="0.25">
      <c r="A18317" s="135">
        <v>0.02</v>
      </c>
      <c r="B18317" s="151" t="s">
        <v>4377</v>
      </c>
      <c r="C18317" s="1468">
        <v>61.05</v>
      </c>
      <c r="D18317" s="2955">
        <f>VLOOKUP(H18317,indexy!$C$44:$D$823,2,FALSE)</f>
        <v>54.23</v>
      </c>
      <c r="E18317" s="1493">
        <f t="shared" si="316"/>
        <v>-0.11171171171171168</v>
      </c>
      <c r="F18317" s="1313">
        <f t="shared" si="317"/>
        <v>-2.2342342342342339E-3</v>
      </c>
      <c r="G18317" s="78"/>
      <c r="H18317" t="str">
        <f>VLOOKUP(B18317,indexy!$A$44:$D$823,3,FALSE)</f>
        <v>BMY UN Equity</v>
      </c>
    </row>
    <row r="18318" spans="1:9" ht="12.75" hidden="1" customHeight="1" outlineLevel="1" x14ac:dyDescent="0.25">
      <c r="A18318" s="135">
        <v>0.08</v>
      </c>
      <c r="B18318" s="151" t="s">
        <v>3954</v>
      </c>
      <c r="C18318" s="1468">
        <f>100.957/2</f>
        <v>50.478499999999997</v>
      </c>
      <c r="D18318" s="2955">
        <f>VLOOKUP(H18318,indexy!$C$44:$D$823,2,FALSE)</f>
        <v>68.67</v>
      </c>
      <c r="E18318" s="1493">
        <f t="shared" si="316"/>
        <v>0.3603811523718019</v>
      </c>
      <c r="F18318" s="1313">
        <f t="shared" si="317"/>
        <v>2.8830492189744154E-2</v>
      </c>
      <c r="G18318" s="78"/>
      <c r="H18318" t="str">
        <f>VLOOKUP(B18318,indexy!$A$44:$D$823,3,FALSE)</f>
        <v>CM CT Equity</v>
      </c>
    </row>
    <row r="18319" spans="1:9" ht="12.75" hidden="1" customHeight="1" outlineLevel="1" x14ac:dyDescent="0.25">
      <c r="A18319" s="135">
        <v>0.02</v>
      </c>
      <c r="B18319" s="151" t="s">
        <v>8642</v>
      </c>
      <c r="C18319" s="410">
        <v>39.738999999999997</v>
      </c>
      <c r="D18319" s="2955">
        <f>VLOOKUP(H18319,indexy!$C$44:$D$823,2,FALSE)</f>
        <v>49.91</v>
      </c>
      <c r="E18319" s="1493">
        <f t="shared" si="316"/>
        <v>0.25594504139510299</v>
      </c>
      <c r="F18319" s="1313">
        <f t="shared" si="317"/>
        <v>5.1189008279020603E-3</v>
      </c>
      <c r="G18319" s="78"/>
      <c r="H18319" t="str">
        <f>VLOOKUP(B18319,indexy!$A$44:$D$823,3,FALSE)</f>
        <v>CSCO UW Equity</v>
      </c>
    </row>
    <row r="18320" spans="1:9" ht="12.75" hidden="1" customHeight="1" outlineLevel="1" x14ac:dyDescent="0.25">
      <c r="A18320" s="135">
        <v>0.02</v>
      </c>
      <c r="B18320" s="151" t="s">
        <v>1319</v>
      </c>
      <c r="C18320" s="410">
        <v>81.742999999999995</v>
      </c>
      <c r="D18320" s="2955">
        <f>VLOOKUP(H18320,indexy!$C$44:$D$823,2,FALSE)</f>
        <v>90.81</v>
      </c>
      <c r="E18320" s="1493">
        <f t="shared" si="316"/>
        <v>0.1109208127913095</v>
      </c>
      <c r="F18320" s="1313">
        <f t="shared" si="317"/>
        <v>2.2184162558261901E-3</v>
      </c>
      <c r="G18320" s="78"/>
      <c r="H18320" t="str">
        <f>VLOOKUP(B18320,indexy!$A$44:$D$823,3,FALSE)</f>
        <v>ED UN Equity</v>
      </c>
    </row>
    <row r="18321" spans="1:8" ht="12.75" hidden="1" customHeight="1" outlineLevel="1" x14ac:dyDescent="0.25">
      <c r="A18321" s="135">
        <v>0.03</v>
      </c>
      <c r="B18321" s="151" t="s">
        <v>9591</v>
      </c>
      <c r="C18321" s="410">
        <v>81.331000000000003</v>
      </c>
      <c r="D18321" s="2955">
        <f>VLOOKUP(H18321,indexy!$C$44:$D$823,2,FALSE)</f>
        <v>49.19</v>
      </c>
      <c r="E18321" s="1493">
        <f t="shared" si="316"/>
        <v>-0.39518756685642631</v>
      </c>
      <c r="F18321" s="1313">
        <f t="shared" si="317"/>
        <v>-1.1855627005692789E-2</v>
      </c>
      <c r="G18321" s="78"/>
      <c r="H18321" t="str">
        <f>VLOOKUP(B18321,indexy!$A$44:$D$823,3,FALSE)</f>
        <v>D UN Equity</v>
      </c>
    </row>
    <row r="18322" spans="1:8" ht="12.75" hidden="1" customHeight="1" outlineLevel="1" x14ac:dyDescent="0.25">
      <c r="A18322" s="135">
        <v>0.03</v>
      </c>
      <c r="B18322" s="151" t="s">
        <v>1231</v>
      </c>
      <c r="C18322" s="410">
        <v>92.611999999999995</v>
      </c>
      <c r="D18322" s="2955">
        <f>VLOOKUP(H18322,indexy!$C$44:$D$823,2,FALSE)</f>
        <v>96.71</v>
      </c>
      <c r="E18322" s="1493">
        <f t="shared" si="316"/>
        <v>4.424912538331971E-2</v>
      </c>
      <c r="F18322" s="1313">
        <f t="shared" si="317"/>
        <v>1.3274737614995913E-3</v>
      </c>
      <c r="G18322" s="78"/>
      <c r="H18322" t="str">
        <f>VLOOKUP(B18322,indexy!$A$44:$D$823,3,FALSE)</f>
        <v>DUK UN Equity</v>
      </c>
    </row>
    <row r="18323" spans="1:8" ht="12.75" hidden="1" customHeight="1" outlineLevel="1" x14ac:dyDescent="0.25">
      <c r="A18323" s="135">
        <v>0.02</v>
      </c>
      <c r="B18323" s="151" t="s">
        <v>7855</v>
      </c>
      <c r="C18323" s="410">
        <v>38.747999999999998</v>
      </c>
      <c r="D18323" s="2955">
        <f>VLOOKUP(H18323,indexy!$C$44:$D$823,2,FALSE)</f>
        <v>48.95</v>
      </c>
      <c r="E18323" s="1493">
        <f t="shared" si="316"/>
        <v>0.26329100856818433</v>
      </c>
      <c r="F18323" s="1313">
        <f t="shared" si="317"/>
        <v>5.2658201713636863E-3</v>
      </c>
      <c r="G18323" s="78"/>
      <c r="H18323" t="str">
        <f>VLOOKUP(B18323,indexy!$A$44:$D$823,3,FALSE)</f>
        <v>ENB CT Equity</v>
      </c>
    </row>
    <row r="18324" spans="1:8" ht="12.75" hidden="1" customHeight="1" outlineLevel="1" x14ac:dyDescent="0.25">
      <c r="A18324" s="135">
        <v>0.02</v>
      </c>
      <c r="B18324" s="151" t="s">
        <v>10118</v>
      </c>
      <c r="C18324" s="410">
        <v>54.424999999999997</v>
      </c>
      <c r="D18324" s="2955">
        <f>VLOOKUP(H18324,indexy!$C$44:$D$823,2,FALSE)</f>
        <v>53.52</v>
      </c>
      <c r="E18324" s="1493">
        <f t="shared" si="316"/>
        <v>-1.6628387689480828E-2</v>
      </c>
      <c r="F18324" s="1313">
        <f t="shared" si="317"/>
        <v>-3.3256775378961658E-4</v>
      </c>
      <c r="G18324" s="78"/>
      <c r="H18324" t="str">
        <f>VLOOKUP(B18324,indexy!$A$44:$D$823,3,FALSE)</f>
        <v>FTS CT Equity</v>
      </c>
    </row>
    <row r="18325" spans="1:8" ht="12.75" hidden="1" customHeight="1" outlineLevel="1" x14ac:dyDescent="0.25">
      <c r="A18325" s="135">
        <v>0.02</v>
      </c>
      <c r="B18325" s="151" t="s">
        <v>5489</v>
      </c>
      <c r="C18325" s="2740">
        <v>61.887</v>
      </c>
      <c r="D18325" s="2955">
        <f>VLOOKUP(H18325,indexy!$C$44:$D$823,2,FALSE)</f>
        <v>69.97</v>
      </c>
      <c r="E18325" s="1493">
        <f t="shared" si="316"/>
        <v>0.13060901320148011</v>
      </c>
      <c r="F18325" s="1313">
        <f t="shared" si="317"/>
        <v>2.612180264029602E-3</v>
      </c>
      <c r="G18325" s="78"/>
      <c r="H18325" t="str">
        <f>VLOOKUP(B18325,indexy!$A$44:$D$823,3,FALSE)</f>
        <v>GIS UN Equity</v>
      </c>
    </row>
    <row r="18326" spans="1:8" ht="12.75" hidden="1" customHeight="1" outlineLevel="1" x14ac:dyDescent="0.25">
      <c r="A18326" s="135">
        <v>0.04</v>
      </c>
      <c r="B18326" s="151" t="s">
        <v>10510</v>
      </c>
      <c r="C18326" s="410">
        <v>29.68</v>
      </c>
      <c r="D18326" s="2955">
        <f>VLOOKUP(H18326,indexy!$C$44:$D$823,2,FALSE)</f>
        <v>39.5</v>
      </c>
      <c r="E18326" s="1493">
        <f t="shared" si="316"/>
        <v>0.33086253369272245</v>
      </c>
      <c r="F18326" s="1313">
        <f t="shared" si="317"/>
        <v>1.3234501347708899E-2</v>
      </c>
      <c r="G18326" s="78"/>
      <c r="H18326" t="str">
        <f>VLOOKUP(B18326,indexy!$A$44:$D$823,3,FALSE)</f>
        <v>H CT Equity</v>
      </c>
    </row>
    <row r="18327" spans="1:8" ht="12.75" hidden="1" customHeight="1" outlineLevel="1" x14ac:dyDescent="0.25">
      <c r="A18327" s="135">
        <v>0.02</v>
      </c>
      <c r="B18327" s="151" t="s">
        <v>52</v>
      </c>
      <c r="C18327" s="410">
        <v>124.63</v>
      </c>
      <c r="D18327" s="2955">
        <f>VLOOKUP(H18327,indexy!$C$44:$D$823,2,FALSE)</f>
        <v>190.96</v>
      </c>
      <c r="E18327" s="1493">
        <f t="shared" si="316"/>
        <v>0.53221535745807613</v>
      </c>
      <c r="F18327" s="1313">
        <f t="shared" si="317"/>
        <v>1.0644307149161522E-2</v>
      </c>
      <c r="G18327" s="78"/>
      <c r="H18327" t="str">
        <f>VLOOKUP(B18327,indexy!$A$44:$D$823,3,FALSE)</f>
        <v>IBM UN Equity</v>
      </c>
    </row>
    <row r="18328" spans="1:8" ht="12.75" hidden="1" customHeight="1" outlineLevel="1" x14ac:dyDescent="0.25">
      <c r="A18328" s="135">
        <v>0.02</v>
      </c>
      <c r="B18328" s="151" t="s">
        <v>10512</v>
      </c>
      <c r="C18328" s="410">
        <v>143.49100000000001</v>
      </c>
      <c r="D18328" s="2955">
        <f>VLOOKUP(H18328,indexy!$C$44:$D$823,2,FALSE)</f>
        <v>220.04</v>
      </c>
      <c r="E18328" s="1493">
        <f t="shared" si="316"/>
        <v>0.53347596713382694</v>
      </c>
      <c r="F18328" s="1313">
        <f t="shared" si="317"/>
        <v>1.0669519342676539E-2</v>
      </c>
      <c r="G18328" s="78"/>
      <c r="H18328" t="str">
        <f>VLOOKUP(B18328,indexy!$A$44:$D$823,3,FALSE)</f>
        <v>IFC CT Equity</v>
      </c>
    </row>
    <row r="18329" spans="1:8" ht="12.75" hidden="1" customHeight="1" outlineLevel="1" x14ac:dyDescent="0.25">
      <c r="A18329" s="135">
        <v>0.02</v>
      </c>
      <c r="B18329" s="151" t="s">
        <v>3426</v>
      </c>
      <c r="C18329" s="410">
        <v>147.625</v>
      </c>
      <c r="D18329" s="2955">
        <f>VLOOKUP(H18329,indexy!$C$44:$D$823,2,FALSE)</f>
        <v>158.19</v>
      </c>
      <c r="E18329" s="1493">
        <f t="shared" si="316"/>
        <v>7.1566469093988117E-2</v>
      </c>
      <c r="F18329" s="1313">
        <f t="shared" si="317"/>
        <v>1.4313293818797623E-3</v>
      </c>
      <c r="G18329" s="78"/>
      <c r="H18329" t="str">
        <f>VLOOKUP(B18329,indexy!$A$44:$D$823,3,FALSE)</f>
        <v>JNJ UN Equity</v>
      </c>
    </row>
    <row r="18330" spans="1:8" ht="12.75" hidden="1" customHeight="1" outlineLevel="1" x14ac:dyDescent="0.25">
      <c r="A18330" s="135">
        <v>0.05</v>
      </c>
      <c r="B18330" s="151" t="s">
        <v>811</v>
      </c>
      <c r="C18330" s="410">
        <v>66.421000000000006</v>
      </c>
      <c r="D18330" s="2955">
        <f>VLOOKUP(H18330,indexy!$C$44:$D$823,2,FALSE)</f>
        <v>57.29</v>
      </c>
      <c r="E18330" s="1493">
        <f t="shared" si="316"/>
        <v>-0.13747158278255378</v>
      </c>
      <c r="F18330" s="1313">
        <f t="shared" si="317"/>
        <v>-6.8735791391276897E-3</v>
      </c>
      <c r="G18330" s="78"/>
      <c r="H18330" t="str">
        <f>VLOOKUP(B18330,indexy!$A$44:$D$823,3,FALSE)</f>
        <v>K UN Equity</v>
      </c>
    </row>
    <row r="18331" spans="1:8" ht="12.75" hidden="1" customHeight="1" outlineLevel="1" x14ac:dyDescent="0.25">
      <c r="A18331" s="135">
        <v>0.02</v>
      </c>
      <c r="B18331" s="151" t="s">
        <v>1381</v>
      </c>
      <c r="C18331" s="410">
        <v>151.84100000000001</v>
      </c>
      <c r="D18331" s="2955">
        <f>VLOOKUP(H18331,indexy!$C$44:$D$823,2,FALSE)</f>
        <v>129.35</v>
      </c>
      <c r="E18331" s="1493">
        <f t="shared" si="316"/>
        <v>-0.14812204872201851</v>
      </c>
      <c r="F18331" s="1313">
        <f t="shared" si="317"/>
        <v>-2.9624409744403702E-3</v>
      </c>
      <c r="G18331" s="78"/>
      <c r="H18331" t="str">
        <f>VLOOKUP(B18331,indexy!$A$44:$D$823,3,FALSE)</f>
        <v>KMB UN Equity</v>
      </c>
    </row>
    <row r="18332" spans="1:8" ht="12.75" hidden="1" customHeight="1" outlineLevel="1" x14ac:dyDescent="0.25">
      <c r="A18332" s="135">
        <v>0.02</v>
      </c>
      <c r="B18332" s="151" t="s">
        <v>7573</v>
      </c>
      <c r="C18332" s="410">
        <v>31.818000000000001</v>
      </c>
      <c r="D18332" s="2955">
        <f>VLOOKUP(H18332,indexy!$C$44:$D$823,2,FALSE)</f>
        <v>36.9</v>
      </c>
      <c r="E18332" s="1493">
        <f t="shared" si="316"/>
        <v>0.15972091269092958</v>
      </c>
      <c r="F18332" s="1313">
        <f t="shared" si="317"/>
        <v>3.1944182538185917E-3</v>
      </c>
      <c r="G18332" s="78"/>
      <c r="H18332" t="str">
        <f>VLOOKUP(B18332,indexy!$A$44:$D$823,3,FALSE)</f>
        <v>KHC UW Equity</v>
      </c>
    </row>
    <row r="18333" spans="1:8" ht="12.75" hidden="1" customHeight="1" outlineLevel="1" x14ac:dyDescent="0.25">
      <c r="A18333" s="135">
        <v>0.02</v>
      </c>
      <c r="B18333" s="151" t="s">
        <v>1204</v>
      </c>
      <c r="C18333" s="410">
        <v>140.66300000000001</v>
      </c>
      <c r="D18333" s="2955">
        <f>VLOOKUP(H18333,indexy!$C$44:$D$823,2,FALSE)</f>
        <v>175.01</v>
      </c>
      <c r="E18333" s="1493">
        <f t="shared" si="316"/>
        <v>0.24417935064658058</v>
      </c>
      <c r="F18333" s="1313">
        <f t="shared" si="317"/>
        <v>4.8835870129316115E-3</v>
      </c>
      <c r="G18333" s="78"/>
      <c r="H18333" t="str">
        <f>VLOOKUP(B18333,indexy!$A$44:$D$823,3,FALSE)</f>
        <v>PEP UW Equity</v>
      </c>
    </row>
    <row r="18334" spans="1:8" ht="12.75" hidden="1" customHeight="1" outlineLevel="1" x14ac:dyDescent="0.25">
      <c r="A18334" s="135">
        <v>0.08</v>
      </c>
      <c r="B18334" s="151" t="s">
        <v>10429</v>
      </c>
      <c r="C18334" s="410">
        <v>26.640999999999998</v>
      </c>
      <c r="D18334" s="2955">
        <f>VLOOKUP(H18334,indexy!$C$44:$D$823,2,FALSE)</f>
        <v>37.979999999999997</v>
      </c>
      <c r="E18334" s="1493">
        <f t="shared" si="316"/>
        <v>0.42562216133028041</v>
      </c>
      <c r="F18334" s="1313">
        <f t="shared" si="317"/>
        <v>3.4049772906422436E-2</v>
      </c>
      <c r="G18334" s="78"/>
      <c r="H18334" t="str">
        <f>VLOOKUP(B18334,indexy!$A$44:$D$823,3,FALSE)</f>
        <v>POW CT Equity</v>
      </c>
    </row>
    <row r="18335" spans="1:8" ht="12.75" hidden="1" customHeight="1" outlineLevel="1" x14ac:dyDescent="0.25">
      <c r="A18335" s="135">
        <v>0.02</v>
      </c>
      <c r="B18335" s="151" t="s">
        <v>9833</v>
      </c>
      <c r="C18335" s="410">
        <v>233.46600000000001</v>
      </c>
      <c r="D18335" s="2955">
        <f>VLOOKUP(H18335,indexy!$C$44:$D$823,2,FALSE)</f>
        <v>290.06</v>
      </c>
      <c r="E18335" s="1493">
        <f t="shared" si="316"/>
        <v>0.24240788808648794</v>
      </c>
      <c r="F18335" s="1313">
        <f t="shared" si="317"/>
        <v>4.8481577617297588E-3</v>
      </c>
      <c r="G18335" s="78"/>
      <c r="H18335" t="str">
        <f>VLOOKUP(B18335,indexy!$A$44:$D$823,3,FALSE)</f>
        <v>PSA UN Equity</v>
      </c>
    </row>
    <row r="18336" spans="1:8" ht="12.75" hidden="1" customHeight="1" outlineLevel="1" x14ac:dyDescent="0.25">
      <c r="A18336" s="135">
        <v>0.03</v>
      </c>
      <c r="B18336" s="151" t="s">
        <v>2297</v>
      </c>
      <c r="C18336" s="410">
        <v>53.927</v>
      </c>
      <c r="D18336" s="2955">
        <f>VLOOKUP(H18336,indexy!$C$44:$D$823,2,FALSE)</f>
        <v>55.5</v>
      </c>
      <c r="E18336" s="1493">
        <f t="shared" si="316"/>
        <v>2.9169061879948721E-2</v>
      </c>
      <c r="F18336" s="1313">
        <f t="shared" si="317"/>
        <v>8.7507185639846164E-4</v>
      </c>
      <c r="G18336" s="78"/>
      <c r="H18336" t="str">
        <f>VLOOKUP(B18336,indexy!$A$44:$D$823,3,FALSE)</f>
        <v>RCI/B CT Equity</v>
      </c>
    </row>
    <row r="18337" spans="1:8" ht="12.75" hidden="1" customHeight="1" outlineLevel="1" x14ac:dyDescent="0.25">
      <c r="A18337" s="135">
        <v>0.02</v>
      </c>
      <c r="B18337" s="151" t="s">
        <v>2728</v>
      </c>
      <c r="C18337" s="410">
        <v>96.998000000000005</v>
      </c>
      <c r="D18337" s="2955">
        <f>VLOOKUP(H18337,indexy!$C$44:$D$823,2,FALSE)</f>
        <v>136.62</v>
      </c>
      <c r="E18337" s="1493">
        <f t="shared" si="316"/>
        <v>0.40848264912678611</v>
      </c>
      <c r="F18337" s="1313">
        <f t="shared" si="317"/>
        <v>8.1696529825357224E-3</v>
      </c>
      <c r="G18337" s="78"/>
      <c r="H18337" t="str">
        <f>VLOOKUP(B18337,indexy!$A$44:$D$823,3,FALSE)</f>
        <v>RY CT Equity</v>
      </c>
    </row>
    <row r="18338" spans="1:8" ht="12.75" hidden="1" customHeight="1" outlineLevel="1" x14ac:dyDescent="0.25">
      <c r="A18338" s="135">
        <v>0.08</v>
      </c>
      <c r="B18338" s="151" t="s">
        <v>3665</v>
      </c>
      <c r="C18338" s="410">
        <v>23.934000000000001</v>
      </c>
      <c r="D18338" s="2955">
        <f>VLOOKUP(H18338,indexy!$C$44:$D$823,2,FALSE)</f>
        <v>21.67</v>
      </c>
      <c r="E18338" s="1493">
        <f t="shared" si="316"/>
        <v>-9.4593465363081775E-2</v>
      </c>
      <c r="F18338" s="1313">
        <f t="shared" si="317"/>
        <v>-7.5674772290465426E-3</v>
      </c>
      <c r="G18338" s="78"/>
      <c r="H18338" t="str">
        <f>VLOOKUP(B18338,indexy!$A$44:$D$823,3,FALSE)</f>
        <v>T CT Equity</v>
      </c>
    </row>
    <row r="18339" spans="1:8" ht="12.75" hidden="1" customHeight="1" outlineLevel="1" x14ac:dyDescent="0.25">
      <c r="A18339" s="135">
        <v>0.02</v>
      </c>
      <c r="B18339" s="151" t="s">
        <v>3626</v>
      </c>
      <c r="C18339" s="410">
        <v>60.350999999999999</v>
      </c>
      <c r="D18339" s="2955">
        <f>VLOOKUP(H18339,indexy!$C$44:$D$823,2,FALSE)</f>
        <v>81.75</v>
      </c>
      <c r="E18339" s="1493">
        <f t="shared" si="316"/>
        <v>0.3545757319679872</v>
      </c>
      <c r="F18339" s="1313">
        <f t="shared" si="317"/>
        <v>7.0915146393597441E-3</v>
      </c>
      <c r="G18339" s="78"/>
      <c r="H18339" t="str">
        <f>VLOOKUP(B18339,indexy!$A$44:$D$823,3,FALSE)</f>
        <v>TD CT Equity</v>
      </c>
    </row>
    <row r="18340" spans="1:8" ht="12.75" hidden="1" customHeight="1" outlineLevel="1" x14ac:dyDescent="0.25">
      <c r="A18340" s="135">
        <v>0.02</v>
      </c>
      <c r="B18340" s="151" t="s">
        <v>3641</v>
      </c>
      <c r="C18340" s="410">
        <v>174.334</v>
      </c>
      <c r="D18340" s="2955">
        <f>VLOOKUP(H18340,indexy!$C$44:$D$823,2,FALSE)</f>
        <v>148.63</v>
      </c>
      <c r="E18340" s="1493">
        <f t="shared" si="316"/>
        <v>-0.14744111877201238</v>
      </c>
      <c r="F18340" s="1313">
        <f t="shared" si="317"/>
        <v>-2.9488223754402477E-3</v>
      </c>
      <c r="G18340" s="78"/>
      <c r="H18340" t="str">
        <f>VLOOKUP(B18340,indexy!$A$44:$D$823,3,FALSE)</f>
        <v>UPS UN Equity</v>
      </c>
    </row>
    <row r="18341" spans="1:8" ht="12.75" hidden="1" customHeight="1" outlineLevel="1" x14ac:dyDescent="0.25">
      <c r="A18341" s="135">
        <v>0.06</v>
      </c>
      <c r="B18341" s="151" t="s">
        <v>255</v>
      </c>
      <c r="C18341" s="410">
        <v>58.337000000000003</v>
      </c>
      <c r="D18341" s="2955">
        <f>VLOOKUP(H18341,indexy!$C$44:$D$823,2,FALSE)</f>
        <v>41.96</v>
      </c>
      <c r="E18341" s="1493">
        <f t="shared" si="316"/>
        <v>-0.28073092548468381</v>
      </c>
      <c r="F18341" s="1313">
        <f t="shared" si="317"/>
        <v>-1.6843855529081027E-2</v>
      </c>
      <c r="G18341" s="78"/>
      <c r="H18341" t="str">
        <f>VLOOKUP(B18341,indexy!$A$44:$D$823,3,FALSE)</f>
        <v>VZ UN Equity</v>
      </c>
    </row>
    <row r="18342" spans="1:8" ht="12.75" hidden="1" customHeight="1" outlineLevel="1" x14ac:dyDescent="0.25">
      <c r="A18342" s="135">
        <v>0.02</v>
      </c>
      <c r="B18342" s="2736" t="s">
        <v>2874</v>
      </c>
      <c r="C18342" s="2741">
        <v>72.427000000000007</v>
      </c>
      <c r="D18342" s="2956">
        <f>VLOOKUP(H18342,indexy!$C$44:$D$823,2,FALSE)</f>
        <v>53.75</v>
      </c>
      <c r="E18342" s="1495">
        <f t="shared" si="316"/>
        <v>-0.25787344498598597</v>
      </c>
      <c r="F18342" s="1314">
        <f>$E18342*$A18342</f>
        <v>-5.1574688997197199E-3</v>
      </c>
      <c r="G18342" s="78"/>
      <c r="H18342" t="str">
        <f>VLOOKUP(B18342,indexy!$A$44:$D$823,3,FALSE)</f>
        <v>XEL US Equity</v>
      </c>
    </row>
    <row r="18343" spans="1:8" ht="12.75" hidden="1" customHeight="1" outlineLevel="1" x14ac:dyDescent="0.25">
      <c r="A18343" s="1475" t="s">
        <v>2734</v>
      </c>
      <c r="B18343" s="150"/>
      <c r="C18343" s="1477"/>
      <c r="D18343" s="1477"/>
      <c r="E18343" s="512"/>
      <c r="F18343" s="1313">
        <f>SUM(F18313:F18342)</f>
        <v>0.13476315964399033</v>
      </c>
      <c r="G18343" s="78"/>
    </row>
    <row r="18344" spans="1:8" ht="12.75" hidden="1" customHeight="1" outlineLevel="1" x14ac:dyDescent="0.25">
      <c r="A18344" s="221"/>
      <c r="B18344" s="1478">
        <v>45658</v>
      </c>
      <c r="C18344" s="1497">
        <v>100</v>
      </c>
      <c r="D18344" s="1497"/>
      <c r="E18344" s="1498">
        <f>IF(D18344="",$F$18343,D18344/C18344-1)</f>
        <v>0.13476315964399033</v>
      </c>
      <c r="F18344" s="1842"/>
      <c r="G18344" s="78"/>
    </row>
    <row r="18345" spans="1:8" ht="12.75" hidden="1" customHeight="1" outlineLevel="1" x14ac:dyDescent="0.25">
      <c r="A18345" s="221"/>
      <c r="B18345" s="1478">
        <v>45689</v>
      </c>
      <c r="C18345" s="1497">
        <v>100</v>
      </c>
      <c r="D18345" s="1500"/>
      <c r="E18345" s="1498">
        <f t="shared" ref="E18345:E18361" si="318">IF(D18345="",$F$18343,D18345/C18345-1)</f>
        <v>0.13476315964399033</v>
      </c>
      <c r="F18345" s="1842"/>
      <c r="G18345" s="78"/>
    </row>
    <row r="18346" spans="1:8" ht="12.75" hidden="1" customHeight="1" outlineLevel="1" x14ac:dyDescent="0.25">
      <c r="A18346" s="221"/>
      <c r="B18346" s="1478">
        <v>45717</v>
      </c>
      <c r="C18346" s="1497">
        <v>100</v>
      </c>
      <c r="D18346" s="1500"/>
      <c r="E18346" s="1498">
        <f t="shared" si="318"/>
        <v>0.13476315964399033</v>
      </c>
      <c r="F18346" s="1842"/>
      <c r="G18346" s="78"/>
    </row>
    <row r="18347" spans="1:8" ht="12.75" hidden="1" customHeight="1" outlineLevel="1" x14ac:dyDescent="0.25">
      <c r="A18347" s="221"/>
      <c r="B18347" s="1478">
        <v>45748</v>
      </c>
      <c r="C18347" s="1497">
        <v>100</v>
      </c>
      <c r="D18347" s="1500"/>
      <c r="E18347" s="1498">
        <f t="shared" si="318"/>
        <v>0.13476315964399033</v>
      </c>
      <c r="F18347" s="1842"/>
      <c r="G18347" s="78"/>
    </row>
    <row r="18348" spans="1:8" ht="12.75" hidden="1" customHeight="1" outlineLevel="1" x14ac:dyDescent="0.25">
      <c r="A18348" s="221"/>
      <c r="B18348" s="1478">
        <v>45778</v>
      </c>
      <c r="C18348" s="1497">
        <v>100</v>
      </c>
      <c r="D18348" s="1500"/>
      <c r="E18348" s="1498">
        <f t="shared" si="318"/>
        <v>0.13476315964399033</v>
      </c>
      <c r="F18348" s="1842"/>
      <c r="G18348" s="78"/>
    </row>
    <row r="18349" spans="1:8" ht="12.75" hidden="1" customHeight="1" outlineLevel="1" x14ac:dyDescent="0.25">
      <c r="A18349" s="221"/>
      <c r="B18349" s="1478">
        <v>45809</v>
      </c>
      <c r="C18349" s="1497">
        <v>100</v>
      </c>
      <c r="D18349" s="1500"/>
      <c r="E18349" s="1498">
        <f t="shared" si="318"/>
        <v>0.13476315964399033</v>
      </c>
      <c r="F18349" s="1842"/>
      <c r="G18349" s="78"/>
    </row>
    <row r="18350" spans="1:8" ht="12.75" hidden="1" customHeight="1" outlineLevel="1" x14ac:dyDescent="0.25">
      <c r="A18350" s="221"/>
      <c r="B18350" s="1478">
        <v>45839</v>
      </c>
      <c r="C18350" s="1497">
        <v>100</v>
      </c>
      <c r="D18350" s="1500"/>
      <c r="E18350" s="1498">
        <f t="shared" si="318"/>
        <v>0.13476315964399033</v>
      </c>
      <c r="F18350" s="1842"/>
      <c r="G18350" s="78"/>
    </row>
    <row r="18351" spans="1:8" ht="12.75" hidden="1" customHeight="1" outlineLevel="1" x14ac:dyDescent="0.25">
      <c r="A18351" s="221"/>
      <c r="B18351" s="1478">
        <v>45870</v>
      </c>
      <c r="C18351" s="1497">
        <v>100</v>
      </c>
      <c r="D18351" s="1500"/>
      <c r="E18351" s="1498">
        <f t="shared" si="318"/>
        <v>0.13476315964399033</v>
      </c>
      <c r="F18351" s="1842"/>
      <c r="G18351" s="78"/>
    </row>
    <row r="18352" spans="1:8" ht="12.75" hidden="1" customHeight="1" outlineLevel="1" x14ac:dyDescent="0.25">
      <c r="A18352" s="221"/>
      <c r="B18352" s="1478">
        <v>45901</v>
      </c>
      <c r="C18352" s="1497">
        <v>100</v>
      </c>
      <c r="D18352" s="1500"/>
      <c r="E18352" s="1498">
        <f t="shared" si="318"/>
        <v>0.13476315964399033</v>
      </c>
      <c r="F18352" s="1842"/>
      <c r="G18352" s="78"/>
    </row>
    <row r="18353" spans="1:9" ht="12.75" hidden="1" customHeight="1" outlineLevel="1" x14ac:dyDescent="0.25">
      <c r="A18353" s="221"/>
      <c r="B18353" s="1478">
        <v>45931</v>
      </c>
      <c r="C18353" s="1497">
        <v>100</v>
      </c>
      <c r="D18353" s="1500"/>
      <c r="E18353" s="1498">
        <f t="shared" si="318"/>
        <v>0.13476315964399033</v>
      </c>
      <c r="F18353" s="1842"/>
      <c r="G18353" s="78"/>
    </row>
    <row r="18354" spans="1:9" ht="12.75" hidden="1" customHeight="1" outlineLevel="1" x14ac:dyDescent="0.25">
      <c r="A18354" s="221"/>
      <c r="B18354" s="1478">
        <v>45962</v>
      </c>
      <c r="C18354" s="1497">
        <v>100</v>
      </c>
      <c r="D18354" s="1500"/>
      <c r="E18354" s="1498">
        <f t="shared" si="318"/>
        <v>0.13476315964399033</v>
      </c>
      <c r="F18354" s="1842"/>
      <c r="G18354" s="78"/>
    </row>
    <row r="18355" spans="1:9" ht="12.75" hidden="1" customHeight="1" outlineLevel="1" x14ac:dyDescent="0.25">
      <c r="A18355" s="221"/>
      <c r="B18355" s="1478">
        <v>45992</v>
      </c>
      <c r="C18355" s="1497">
        <v>100</v>
      </c>
      <c r="D18355" s="1500"/>
      <c r="E18355" s="1498">
        <f t="shared" si="318"/>
        <v>0.13476315964399033</v>
      </c>
      <c r="F18355" s="1842"/>
      <c r="G18355" s="78"/>
    </row>
    <row r="18356" spans="1:9" ht="12.75" hidden="1" customHeight="1" outlineLevel="1" x14ac:dyDescent="0.25">
      <c r="A18356" s="221"/>
      <c r="B18356" s="1478">
        <v>46023</v>
      </c>
      <c r="C18356" s="1497">
        <v>100</v>
      </c>
      <c r="D18356" s="1500"/>
      <c r="E18356" s="1498">
        <f t="shared" si="318"/>
        <v>0.13476315964399033</v>
      </c>
      <c r="F18356" s="1842"/>
      <c r="G18356" s="78"/>
    </row>
    <row r="18357" spans="1:9" ht="12.75" hidden="1" customHeight="1" outlineLevel="1" x14ac:dyDescent="0.25">
      <c r="A18357" s="221"/>
      <c r="B18357" s="1478">
        <v>46054</v>
      </c>
      <c r="C18357" s="1497">
        <v>100</v>
      </c>
      <c r="D18357" s="1500"/>
      <c r="E18357" s="1498">
        <f t="shared" si="318"/>
        <v>0.13476315964399033</v>
      </c>
      <c r="F18357" s="1842"/>
      <c r="G18357" s="78"/>
    </row>
    <row r="18358" spans="1:9" ht="12.75" hidden="1" customHeight="1" outlineLevel="1" x14ac:dyDescent="0.25">
      <c r="A18358" s="221"/>
      <c r="B18358" s="1478">
        <v>46082</v>
      </c>
      <c r="C18358" s="1497">
        <v>100</v>
      </c>
      <c r="D18358" s="1500"/>
      <c r="E18358" s="1498">
        <f t="shared" si="318"/>
        <v>0.13476315964399033</v>
      </c>
      <c r="F18358" s="1842"/>
      <c r="G18358" s="78"/>
    </row>
    <row r="18359" spans="1:9" ht="12.75" hidden="1" customHeight="1" outlineLevel="1" x14ac:dyDescent="0.25">
      <c r="A18359" s="221"/>
      <c r="B18359" s="1478">
        <v>46113</v>
      </c>
      <c r="C18359" s="1497">
        <v>100</v>
      </c>
      <c r="D18359" s="1500"/>
      <c r="E18359" s="1498">
        <f t="shared" si="318"/>
        <v>0.13476315964399033</v>
      </c>
      <c r="F18359" s="1842"/>
      <c r="G18359" s="78"/>
    </row>
    <row r="18360" spans="1:9" hidden="1" outlineLevel="1" x14ac:dyDescent="0.25">
      <c r="A18360" s="221"/>
      <c r="B18360" s="1478">
        <v>46143</v>
      </c>
      <c r="C18360" s="1497">
        <v>100</v>
      </c>
      <c r="D18360" s="1500"/>
      <c r="E18360" s="1498">
        <f t="shared" si="318"/>
        <v>0.13476315964399033</v>
      </c>
      <c r="F18360" s="1842"/>
      <c r="G18360" s="78"/>
    </row>
    <row r="18361" spans="1:9" ht="12.75" hidden="1" customHeight="1" outlineLevel="1" x14ac:dyDescent="0.25">
      <c r="A18361" s="221"/>
      <c r="B18361" s="1478">
        <v>46174</v>
      </c>
      <c r="C18361" s="1497">
        <v>100</v>
      </c>
      <c r="D18361" s="1500"/>
      <c r="E18361" s="1498">
        <f t="shared" si="318"/>
        <v>0.13476315964399033</v>
      </c>
      <c r="F18361" s="1842"/>
      <c r="G18361" s="78"/>
    </row>
    <row r="18362" spans="1:9" ht="12.75" hidden="1" customHeight="1" outlineLevel="1" x14ac:dyDescent="0.25">
      <c r="A18362" s="1483" t="s">
        <v>2734</v>
      </c>
      <c r="B18362" s="1484"/>
      <c r="C18362" s="1500"/>
      <c r="D18362" s="1485" t="s">
        <v>2465</v>
      </c>
      <c r="E18362" s="1486">
        <f>AVERAGE(E18344:E18361)</f>
        <v>0.13476315964399038</v>
      </c>
      <c r="F18362" s="1844">
        <f>E18362</f>
        <v>0.13476315964399038</v>
      </c>
      <c r="G18362" s="78"/>
    </row>
    <row r="18363" spans="1:9" ht="13.5" customHeight="1" collapsed="1" x14ac:dyDescent="0.25">
      <c r="A18363" s="3799" t="s">
        <v>10448</v>
      </c>
      <c r="B18363" s="3800"/>
      <c r="C18363" s="3800"/>
      <c r="D18363" s="3800"/>
      <c r="E18363" s="18"/>
      <c r="F18363" s="186">
        <f>+IF(F18362&lt;-15%,+F18362+15%,IF(F18362&lt;0%,0,IF(F18362&lt;60%,F18362,60%)))</f>
        <v>0.13476315964399038</v>
      </c>
      <c r="G18363" s="78"/>
    </row>
    <row r="18365" spans="1:9" hidden="1" outlineLevel="1" x14ac:dyDescent="0.25">
      <c r="A18365" s="3248" t="s">
        <v>113</v>
      </c>
      <c r="B18365" s="3237" t="s">
        <v>114</v>
      </c>
      <c r="C18365" s="3237" t="s">
        <v>112</v>
      </c>
      <c r="D18365" s="3237" t="s">
        <v>116</v>
      </c>
      <c r="E18365" s="3237" t="s">
        <v>116</v>
      </c>
      <c r="F18365" s="3276" t="s">
        <v>121</v>
      </c>
      <c r="G18365" s="78"/>
      <c r="H18365" s="438" t="s">
        <v>5391</v>
      </c>
      <c r="I18365" s="438" t="s">
        <v>5392</v>
      </c>
    </row>
    <row r="18366" spans="1:9" hidden="1" outlineLevel="1" x14ac:dyDescent="0.25">
      <c r="A18366" s="1810">
        <v>1</v>
      </c>
      <c r="B18366" s="2984" t="s">
        <v>2153</v>
      </c>
      <c r="C18366" s="3715">
        <v>3451.453</v>
      </c>
      <c r="D18366" s="3805">
        <v>4149.6019999999999</v>
      </c>
      <c r="E18366" s="2238"/>
      <c r="F18366" s="3718">
        <v>0.13500000000000001</v>
      </c>
      <c r="G18366" s="78"/>
      <c r="H18366" s="92">
        <v>0.20227683818959719</v>
      </c>
      <c r="I18366" s="450">
        <v>0.13500000000000001</v>
      </c>
    </row>
    <row r="18367" spans="1:9" hidden="1" outlineLevel="1" x14ac:dyDescent="0.25">
      <c r="A18367" s="1810">
        <v>2</v>
      </c>
      <c r="B18367" s="2984" t="s">
        <v>2153</v>
      </c>
      <c r="C18367" s="1814" t="s">
        <v>5590</v>
      </c>
      <c r="D18367" s="3806"/>
      <c r="E18367" s="1815"/>
      <c r="F18367" s="3719" t="s">
        <v>5590</v>
      </c>
      <c r="G18367" s="78"/>
      <c r="H18367" s="92" t="s">
        <v>5590</v>
      </c>
      <c r="I18367" s="450">
        <v>0.18</v>
      </c>
    </row>
    <row r="18368" spans="1:9" hidden="1" outlineLevel="1" x14ac:dyDescent="0.25">
      <c r="A18368" s="1810">
        <v>3</v>
      </c>
      <c r="B18368" s="2984" t="s">
        <v>2153</v>
      </c>
      <c r="C18368" s="1814" t="s">
        <v>5590</v>
      </c>
      <c r="D18368" s="3806"/>
      <c r="E18368" s="1815"/>
      <c r="F18368" s="3719" t="s">
        <v>5590</v>
      </c>
      <c r="G18368" s="78"/>
      <c r="H18368" s="92" t="s">
        <v>5590</v>
      </c>
      <c r="I18368" s="450">
        <v>0.22500000000000001</v>
      </c>
    </row>
    <row r="18369" spans="1:18" hidden="1" outlineLevel="1" x14ac:dyDescent="0.25">
      <c r="A18369" s="1810">
        <v>4</v>
      </c>
      <c r="B18369" s="2984" t="s">
        <v>2153</v>
      </c>
      <c r="C18369" s="1814" t="s">
        <v>5590</v>
      </c>
      <c r="D18369" s="3806"/>
      <c r="E18369" s="1815"/>
      <c r="F18369" s="3719" t="s">
        <v>5590</v>
      </c>
      <c r="G18369" s="78"/>
      <c r="H18369" s="92" t="s">
        <v>5590</v>
      </c>
      <c r="I18369" s="450">
        <v>0.27</v>
      </c>
    </row>
    <row r="18370" spans="1:18" hidden="1" outlineLevel="1" x14ac:dyDescent="0.25">
      <c r="A18370" s="1810">
        <v>5</v>
      </c>
      <c r="B18370" s="2984" t="s">
        <v>2153</v>
      </c>
      <c r="C18370" s="1817" t="s">
        <v>5590</v>
      </c>
      <c r="D18370" s="3807"/>
      <c r="E18370" s="1815"/>
      <c r="F18370" s="3720" t="s">
        <v>5590</v>
      </c>
      <c r="G18370" s="78"/>
      <c r="H18370" s="37">
        <v>0.20227683818959719</v>
      </c>
    </row>
    <row r="18371" spans="1:18" hidden="1" outlineLevel="1" x14ac:dyDescent="0.25">
      <c r="A18371" s="1819" t="s">
        <v>2734</v>
      </c>
      <c r="B18371" s="2984"/>
      <c r="C18371" s="1820"/>
      <c r="D18371" s="3142"/>
      <c r="E18371" s="3717"/>
      <c r="F18371" s="3716">
        <v>0.13500000000000001</v>
      </c>
      <c r="G18371" s="78"/>
      <c r="H18371" s="74"/>
    </row>
    <row r="18372" spans="1:18" collapsed="1" x14ac:dyDescent="0.25">
      <c r="A18372" s="3801" t="s">
        <v>10494</v>
      </c>
      <c r="B18372" s="3802"/>
      <c r="C18372" s="3802"/>
      <c r="D18372" s="3802"/>
      <c r="E18372" s="1906"/>
      <c r="F18372" s="1907">
        <v>0.13500000000000001</v>
      </c>
      <c r="G18372" s="78"/>
      <c r="H18372" s="74"/>
    </row>
    <row r="18374" spans="1:18" ht="12.75" hidden="1" customHeight="1" outlineLevel="1" x14ac:dyDescent="0.25">
      <c r="A18374" s="1677" t="s">
        <v>4156</v>
      </c>
      <c r="B18374" s="1677" t="s">
        <v>4153</v>
      </c>
      <c r="C18374" s="1305" t="s">
        <v>112</v>
      </c>
      <c r="D18374" s="1678" t="s">
        <v>4155</v>
      </c>
      <c r="E18374" s="1677" t="s">
        <v>4154</v>
      </c>
      <c r="F18374" s="1678" t="s">
        <v>2519</v>
      </c>
      <c r="G18374" s="12"/>
      <c r="H18374" s="415"/>
      <c r="I18374" s="412" t="s">
        <v>6964</v>
      </c>
      <c r="J18374" s="1462">
        <v>44166</v>
      </c>
      <c r="K18374" s="1462">
        <v>44197</v>
      </c>
      <c r="L18374" s="1462">
        <v>44228</v>
      </c>
      <c r="M18374" s="1462">
        <v>44256</v>
      </c>
      <c r="N18374" s="1462">
        <v>44287</v>
      </c>
      <c r="O18374" s="1462">
        <v>44317</v>
      </c>
      <c r="P18374" s="1462"/>
      <c r="Q18374" s="1462"/>
      <c r="R18374" s="1462"/>
    </row>
    <row r="18375" spans="1:18" ht="12.75" hidden="1" customHeight="1" outlineLevel="1" x14ac:dyDescent="0.25">
      <c r="A18375" s="135">
        <v>0.02</v>
      </c>
      <c r="B18375" s="151" t="s">
        <v>7111</v>
      </c>
      <c r="C18375" s="454">
        <v>98.558000000000007</v>
      </c>
      <c r="D18375" s="2737">
        <f>VLOOKUP(H18375,indexy!$C$44:$D$823,2,FALSE)</f>
        <v>182.1</v>
      </c>
      <c r="E18375" s="1466">
        <f>D18375/C18375-1</f>
        <v>0.84764301223644933</v>
      </c>
      <c r="F18375" s="1492">
        <f>E18375*A18375</f>
        <v>1.6952860244728987E-2</v>
      </c>
      <c r="G18375" s="415"/>
      <c r="H18375" s="415" t="str">
        <f>VLOOKUP(B18375,indexy!$A$44:$D$823,3,FALSE)</f>
        <v>ABBV UN Equity</v>
      </c>
      <c r="I18375" s="412">
        <f>IF(J18375="",100,MIN(100,J18375:Y18375))</f>
        <v>100</v>
      </c>
      <c r="J18375">
        <v>101.0157</v>
      </c>
      <c r="K18375">
        <v>101.8292</v>
      </c>
      <c r="L18375">
        <v>100.98699999999999</v>
      </c>
      <c r="M18375">
        <v>103.0685</v>
      </c>
      <c r="N18375">
        <v>108.7281</v>
      </c>
      <c r="O18375">
        <v>109.197</v>
      </c>
    </row>
    <row r="18376" spans="1:18" ht="12.75" hidden="1" customHeight="1" outlineLevel="1" x14ac:dyDescent="0.25">
      <c r="A18376" s="135">
        <v>0.02</v>
      </c>
      <c r="B18376" s="151" t="s">
        <v>359</v>
      </c>
      <c r="C18376" s="410">
        <v>192.96799999999999</v>
      </c>
      <c r="D18376" s="2738">
        <f>VLOOKUP(H18376,indexy!$C$44:$D$823,2,FALSE)</f>
        <v>277.8</v>
      </c>
      <c r="E18376" s="1463">
        <f>D18376/C18376-1</f>
        <v>0.4396169313046725</v>
      </c>
      <c r="F18376" s="1494">
        <f t="shared" ref="F18376:F18399" si="319">E18376*A18376</f>
        <v>8.7923386260934499E-3</v>
      </c>
      <c r="G18376" s="415"/>
      <c r="H18376" s="415" t="str">
        <f>VLOOKUP(B18376,indexy!$A$44:$D$823,3,FALSE)</f>
        <v>ALV GY Equity</v>
      </c>
      <c r="I18376" s="422">
        <f>+(((E18424*100)+100)-I18375)/100</f>
        <v>0.28744865749265558</v>
      </c>
    </row>
    <row r="18377" spans="1:18" ht="12.75" hidden="1" customHeight="1" outlineLevel="1" x14ac:dyDescent="0.25">
      <c r="A18377" s="135">
        <v>0.08</v>
      </c>
      <c r="B18377" s="151" t="s">
        <v>2697</v>
      </c>
      <c r="C18377" s="410">
        <v>13.7805</v>
      </c>
      <c r="D18377" s="2738">
        <f>VLOOKUP(H18377,indexy!$C$44:$D$823,2,FALSE)</f>
        <v>23.46</v>
      </c>
      <c r="E18377" s="1463">
        <f t="shared" ref="E18377:E18404" si="320">D18377/C18377-1</f>
        <v>0.70240557309241325</v>
      </c>
      <c r="F18377" s="1494">
        <f t="shared" si="319"/>
        <v>5.6192445847393059E-2</v>
      </c>
      <c r="G18377" s="415"/>
      <c r="H18377" s="415" t="str">
        <f>VLOOKUP(B18377,indexy!$A$44:$D$823,3,FALSE)</f>
        <v>G IM Equity</v>
      </c>
      <c r="J18377" s="434"/>
    </row>
    <row r="18378" spans="1:18" ht="12.75" hidden="1" customHeight="1" outlineLevel="1" x14ac:dyDescent="0.25">
      <c r="A18378" s="135">
        <v>0.02</v>
      </c>
      <c r="B18378" s="151" t="s">
        <v>807</v>
      </c>
      <c r="C18378" s="410">
        <v>56.23</v>
      </c>
      <c r="D18378" s="2738">
        <f>VLOOKUP(H18378,indexy!$C$44:$D$823,2,FALSE)</f>
        <v>46.03</v>
      </c>
      <c r="E18378" s="1463">
        <f t="shared" si="320"/>
        <v>-0.18139783033967627</v>
      </c>
      <c r="F18378" s="1494">
        <f t="shared" si="319"/>
        <v>-3.6279566067935255E-3</v>
      </c>
      <c r="G18378" s="415"/>
      <c r="H18378" s="415" t="str">
        <f>VLOOKUP(B18378,indexy!$A$44:$D$823,3,FALSE)</f>
        <v>BCE CT Equity</v>
      </c>
      <c r="J18378" s="434"/>
      <c r="K18378" s="37"/>
    </row>
    <row r="18379" spans="1:18" ht="12.75" hidden="1" customHeight="1" outlineLevel="1" x14ac:dyDescent="0.25">
      <c r="A18379" s="135">
        <v>0.02</v>
      </c>
      <c r="B18379" s="151" t="s">
        <v>3954</v>
      </c>
      <c r="C18379" s="410">
        <f>107.199/2</f>
        <v>53.599499999999999</v>
      </c>
      <c r="D18379" s="2738">
        <f>VLOOKUP(H18379,indexy!$C$44:$D$823,2,FALSE)</f>
        <v>68.67</v>
      </c>
      <c r="E18379" s="1463">
        <f t="shared" si="320"/>
        <v>0.28116866761816817</v>
      </c>
      <c r="F18379" s="1494">
        <f t="shared" si="319"/>
        <v>5.6233733523633634E-3</v>
      </c>
      <c r="G18379" s="415"/>
      <c r="H18379" s="415" t="str">
        <f>VLOOKUP(B18379,indexy!$A$44:$D$823,3,FALSE)</f>
        <v>CM CT Equity</v>
      </c>
      <c r="J18379" s="434"/>
    </row>
    <row r="18380" spans="1:18" ht="12.75" hidden="1" customHeight="1" outlineLevel="1" x14ac:dyDescent="0.25">
      <c r="A18380" s="135">
        <v>7.0000000000000007E-2</v>
      </c>
      <c r="B18380" s="151" t="s">
        <v>8678</v>
      </c>
      <c r="C18380" s="410">
        <v>74.962000000000003</v>
      </c>
      <c r="D18380" s="2738">
        <f>VLOOKUP(H18380,indexy!$C$44:$D$823,2,FALSE)</f>
        <v>120.34</v>
      </c>
      <c r="E18380" s="1463">
        <f t="shared" si="320"/>
        <v>0.60534670899922616</v>
      </c>
      <c r="F18380" s="1494">
        <f t="shared" si="319"/>
        <v>4.2374269629945838E-2</v>
      </c>
      <c r="G18380" s="415"/>
      <c r="H18380" s="415" t="str">
        <f>VLOOKUP(B18380,indexy!$A$44:$D$823,3,FALSE)</f>
        <v>CBA AT Equity</v>
      </c>
      <c r="J18380" s="434"/>
    </row>
    <row r="18381" spans="1:18" ht="12.75" hidden="1" customHeight="1" outlineLevel="1" x14ac:dyDescent="0.25">
      <c r="A18381" s="135">
        <v>0.02</v>
      </c>
      <c r="B18381" s="151" t="s">
        <v>2629</v>
      </c>
      <c r="C18381" s="410">
        <v>14.881500000000001</v>
      </c>
      <c r="D18381" s="2738">
        <f>VLOOKUP(H18381,indexy!$C$44:$D$823,2,FALSE)</f>
        <v>22.5</v>
      </c>
      <c r="E18381" s="1463">
        <f t="shared" si="320"/>
        <v>0.51194436044753555</v>
      </c>
      <c r="F18381" s="1494">
        <f t="shared" si="319"/>
        <v>1.0238887208950711E-2</v>
      </c>
      <c r="G18381" s="415"/>
      <c r="H18381" s="415" t="str">
        <f>VLOOKUP(B18381,indexy!$A$44:$D$823,3,FALSE)</f>
        <v>DTE GY Equity</v>
      </c>
      <c r="J18381" s="434"/>
    </row>
    <row r="18382" spans="1:18" ht="12.75" hidden="1" customHeight="1" outlineLevel="1" x14ac:dyDescent="0.25">
      <c r="A18382" s="135">
        <v>0.02</v>
      </c>
      <c r="B18382" s="151" t="s">
        <v>9591</v>
      </c>
      <c r="C18382" s="410">
        <v>83.483000000000004</v>
      </c>
      <c r="D18382" s="2738">
        <f>VLOOKUP(H18382,indexy!$C$44:$D$823,2,FALSE)</f>
        <v>49.19</v>
      </c>
      <c r="E18382" s="1463">
        <f t="shared" si="320"/>
        <v>-0.41077824227687076</v>
      </c>
      <c r="F18382" s="1494">
        <f t="shared" si="319"/>
        <v>-8.215564845537416E-3</v>
      </c>
      <c r="G18382" s="415"/>
      <c r="H18382" s="415" t="str">
        <f>VLOOKUP(B18382,indexy!$A$44:$D$823,3,FALSE)</f>
        <v>D UN Equity</v>
      </c>
      <c r="J18382" s="434"/>
    </row>
    <row r="18383" spans="1:18" ht="12.75" hidden="1" customHeight="1" outlineLevel="1" x14ac:dyDescent="0.25">
      <c r="A18383" s="135">
        <v>0.02</v>
      </c>
      <c r="B18383" s="151" t="s">
        <v>1231</v>
      </c>
      <c r="C18383" s="410">
        <v>94.281999999999996</v>
      </c>
      <c r="D18383" s="2738">
        <f>VLOOKUP(H18383,indexy!$C$44:$D$823,2,FALSE)</f>
        <v>96.71</v>
      </c>
      <c r="E18383" s="1463">
        <f t="shared" si="320"/>
        <v>2.5752529645107103E-2</v>
      </c>
      <c r="F18383" s="1494">
        <f t="shared" si="319"/>
        <v>5.1505059290214207E-4</v>
      </c>
      <c r="G18383" s="415"/>
      <c r="H18383" s="415" t="str">
        <f>VLOOKUP(B18383,indexy!$A$44:$D$823,3,FALSE)</f>
        <v>DUK UN Equity</v>
      </c>
      <c r="J18383" s="434"/>
    </row>
    <row r="18384" spans="1:18" ht="12.75" hidden="1" customHeight="1" outlineLevel="1" x14ac:dyDescent="0.25">
      <c r="A18384" s="135">
        <v>0.02</v>
      </c>
      <c r="B18384" s="151" t="s">
        <v>4387</v>
      </c>
      <c r="C18384" s="410">
        <v>9.2514000000000003</v>
      </c>
      <c r="D18384" s="2738">
        <f>VLOOKUP(H18384,indexy!$C$44:$D$823,2,FALSE)</f>
        <v>12.885</v>
      </c>
      <c r="E18384" s="1463">
        <f t="shared" si="320"/>
        <v>0.39276217653544321</v>
      </c>
      <c r="F18384" s="1494">
        <f t="shared" si="319"/>
        <v>7.8552435307088636E-3</v>
      </c>
      <c r="G18384" s="415"/>
      <c r="H18384" s="415" t="str">
        <f>VLOOKUP(B18384,indexy!$A$44:$D$823,3,FALSE)</f>
        <v>EOAN GY Equity</v>
      </c>
      <c r="J18384" s="434"/>
    </row>
    <row r="18385" spans="1:10" ht="12.75" hidden="1" customHeight="1" outlineLevel="1" x14ac:dyDescent="0.25">
      <c r="A18385" s="135">
        <v>0.02</v>
      </c>
      <c r="B18385" s="151" t="s">
        <v>9171</v>
      </c>
      <c r="C18385" s="410">
        <v>24.318999999999999</v>
      </c>
      <c r="D18385" s="2738">
        <f>VLOOKUP(H18385,indexy!$C$44:$D$823,2,FALSE)</f>
        <v>17.164999999999999</v>
      </c>
      <c r="E18385" s="1463">
        <f t="shared" si="320"/>
        <v>-0.29417328015132205</v>
      </c>
      <c r="F18385" s="1494">
        <f t="shared" si="319"/>
        <v>-5.8834656030264413E-3</v>
      </c>
      <c r="G18385" s="415"/>
      <c r="H18385" s="415" t="str">
        <f>VLOOKUP(B18385,indexy!$A$44:$D$823,3,FALSE)</f>
        <v>ELE SQ Equity</v>
      </c>
      <c r="J18385" s="434"/>
    </row>
    <row r="18386" spans="1:10" ht="12.75" hidden="1" customHeight="1" outlineLevel="1" x14ac:dyDescent="0.25">
      <c r="A18386" s="135">
        <v>0.02</v>
      </c>
      <c r="B18386" s="151" t="s">
        <v>2701</v>
      </c>
      <c r="C18386" s="410">
        <v>4.4835000000000003</v>
      </c>
      <c r="D18386" s="2738">
        <f>VLOOKUP(H18386,indexy!$C$44:$D$823,2,FALSE)</f>
        <v>3.61</v>
      </c>
      <c r="E18386" s="1463">
        <f t="shared" si="320"/>
        <v>-0.19482547117207549</v>
      </c>
      <c r="F18386" s="1494">
        <f t="shared" si="319"/>
        <v>-3.89650942344151E-3</v>
      </c>
      <c r="G18386" s="415"/>
      <c r="H18386" s="415" t="str">
        <f>VLOOKUP(B18386,indexy!$A$44:$D$823,3,FALSE)</f>
        <v>EDP PL Equity</v>
      </c>
      <c r="J18386" s="434"/>
    </row>
    <row r="18387" spans="1:10" ht="12.75" hidden="1" customHeight="1" outlineLevel="1" x14ac:dyDescent="0.25">
      <c r="A18387" s="135">
        <v>0.05</v>
      </c>
      <c r="B18387" s="151" t="s">
        <v>4268</v>
      </c>
      <c r="C18387" s="2740">
        <v>17.545999999999999</v>
      </c>
      <c r="D18387" s="2738">
        <f>VLOOKUP(H18387,indexy!$C$44:$D$823,2,FALSE)</f>
        <v>11.445</v>
      </c>
      <c r="E18387" s="1463">
        <f t="shared" si="320"/>
        <v>-0.34771457882138379</v>
      </c>
      <c r="F18387" s="1494">
        <f t="shared" si="319"/>
        <v>-1.7385728941069191E-2</v>
      </c>
      <c r="G18387" s="415"/>
      <c r="H18387" s="415" t="str">
        <f>VLOOKUP(B18387,indexy!$A$44:$D$823,3,FALSE)</f>
        <v>FORTUM FH Equity</v>
      </c>
      <c r="J18387" s="434"/>
    </row>
    <row r="18388" spans="1:10" ht="12.75" hidden="1" customHeight="1" outlineLevel="1" x14ac:dyDescent="0.25">
      <c r="A18388" s="135">
        <v>7.0000000000000007E-2</v>
      </c>
      <c r="B18388" s="151" t="s">
        <v>3799</v>
      </c>
      <c r="C18388" s="410">
        <v>14.250999999999999</v>
      </c>
      <c r="D18388" s="2738">
        <f>VLOOKUP(H18388,indexy!$C$44:$D$823,2,FALSE)/100</f>
        <v>17.085999999999999</v>
      </c>
      <c r="E18388" s="1463">
        <f t="shared" si="320"/>
        <v>0.19893340818188188</v>
      </c>
      <c r="F18388" s="1494">
        <f t="shared" si="319"/>
        <v>1.3925338572731732E-2</v>
      </c>
      <c r="G18388" s="415"/>
      <c r="H18388" s="415" t="str">
        <f>VLOOKUP(B18388,indexy!$A$44:$D$823,3,FALSE)</f>
        <v>GSK LN Equity</v>
      </c>
      <c r="J18388" s="434"/>
    </row>
    <row r="18389" spans="1:10" ht="12.75" hidden="1" customHeight="1" outlineLevel="1" x14ac:dyDescent="0.25">
      <c r="A18389" s="135">
        <v>0.02</v>
      </c>
      <c r="B18389" s="151" t="s">
        <v>10501</v>
      </c>
      <c r="C18389" s="410">
        <v>795.07</v>
      </c>
      <c r="D18389" s="2738">
        <f>VLOOKUP(H18389,indexy!$C$44:$D$823,2,FALSE)</f>
        <v>1522.5</v>
      </c>
      <c r="E18389" s="1463">
        <f t="shared" si="320"/>
        <v>0.91492572980995379</v>
      </c>
      <c r="F18389" s="1494">
        <f t="shared" si="319"/>
        <v>1.8298514596199075E-2</v>
      </c>
      <c r="G18389" s="415"/>
      <c r="H18389" s="415" t="str">
        <f>VLOOKUP(B18389,indexy!$A$44:$D$823,3,FALSE)</f>
        <v>6178 JT Equity</v>
      </c>
      <c r="J18389" s="434"/>
    </row>
    <row r="18390" spans="1:10" ht="12.75" hidden="1" customHeight="1" outlineLevel="1" x14ac:dyDescent="0.25">
      <c r="A18390" s="135">
        <v>0.02</v>
      </c>
      <c r="B18390" s="151" t="s">
        <v>4143</v>
      </c>
      <c r="C18390" s="410">
        <v>2.5326</v>
      </c>
      <c r="D18390" s="2738">
        <f>VLOOKUP(H18390,indexy!$C$44:$D$823,2,FALSE)</f>
        <v>3.4660000000000002</v>
      </c>
      <c r="E18390" s="1463">
        <f t="shared" si="320"/>
        <v>0.36855405512121941</v>
      </c>
      <c r="F18390" s="1494">
        <f t="shared" si="319"/>
        <v>7.3710811024243882E-3</v>
      </c>
      <c r="G18390" s="415"/>
      <c r="H18390" s="415" t="str">
        <f>VLOOKUP(B18390,indexy!$A$44:$D$823,3,FALSE)</f>
        <v>KPN NA Equity</v>
      </c>
      <c r="J18390" s="434"/>
    </row>
    <row r="18391" spans="1:10" ht="12.75" hidden="1" customHeight="1" outlineLevel="1" x14ac:dyDescent="0.25">
      <c r="A18391" s="135">
        <v>0.08</v>
      </c>
      <c r="B18391" s="151" t="s">
        <v>3528</v>
      </c>
      <c r="C18391" s="410">
        <v>1404.25</v>
      </c>
      <c r="D18391" s="2738">
        <f>VLOOKUP(H18391,indexy!$C$44:$D$823,2,FALSE)</f>
        <v>2988</v>
      </c>
      <c r="E18391" s="1463">
        <f t="shared" si="320"/>
        <v>1.1278262417660674</v>
      </c>
      <c r="F18391" s="1494">
        <f t="shared" si="319"/>
        <v>9.0226099341285393E-2</v>
      </c>
      <c r="G18391" s="415"/>
      <c r="H18391" s="415" t="str">
        <f>VLOOKUP(B18391,indexy!$A$44:$D$823,3,FALSE)</f>
        <v>8411 JT Equity</v>
      </c>
      <c r="J18391" s="434"/>
    </row>
    <row r="18392" spans="1:10" ht="12.75" hidden="1" customHeight="1" outlineLevel="1" x14ac:dyDescent="0.25">
      <c r="A18392" s="135">
        <v>0.02</v>
      </c>
      <c r="B18392" s="151" t="s">
        <v>1772</v>
      </c>
      <c r="C18392" s="410">
        <v>237.08</v>
      </c>
      <c r="D18392" s="2738">
        <f>VLOOKUP(H18392,indexy!$C$44:$D$823,2,FALSE)</f>
        <v>452.3</v>
      </c>
      <c r="E18392" s="1463">
        <f t="shared" si="320"/>
        <v>0.90779483718576004</v>
      </c>
      <c r="F18392" s="1494">
        <f t="shared" si="319"/>
        <v>1.8155896743715202E-2</v>
      </c>
      <c r="G18392" s="415"/>
      <c r="H18392" s="415" t="str">
        <f>VLOOKUP(B18392,indexy!$A$44:$D$823,3,FALSE)</f>
        <v>MUV2 GY Equity</v>
      </c>
      <c r="J18392" s="434"/>
    </row>
    <row r="18393" spans="1:10" ht="12.75" hidden="1" customHeight="1" outlineLevel="1" x14ac:dyDescent="0.25">
      <c r="A18393" s="135">
        <v>0.03</v>
      </c>
      <c r="B18393" s="151" t="s">
        <v>2786</v>
      </c>
      <c r="C18393" s="410">
        <v>9.4396000000000004</v>
      </c>
      <c r="D18393" s="2738">
        <f>VLOOKUP(H18393,indexy!$C$44:$D$823,2,FALSE)/100</f>
        <v>10.66</v>
      </c>
      <c r="E18393" s="1463">
        <f t="shared" si="320"/>
        <v>0.12928513920081364</v>
      </c>
      <c r="F18393" s="1494">
        <f t="shared" si="319"/>
        <v>3.8785541760244088E-3</v>
      </c>
      <c r="G18393" s="415"/>
      <c r="H18393" s="415" t="str">
        <f>VLOOKUP(B18393,indexy!$A$44:$D$823,3,FALSE)</f>
        <v>NG/ LN Equity</v>
      </c>
      <c r="J18393" s="434"/>
    </row>
    <row r="18394" spans="1:10" ht="12.75" hidden="1" customHeight="1" outlineLevel="1" x14ac:dyDescent="0.25">
      <c r="A18394" s="135">
        <v>0.02</v>
      </c>
      <c r="B18394" s="151" t="s">
        <v>5824</v>
      </c>
      <c r="C18394" s="410">
        <v>10.2607</v>
      </c>
      <c r="D18394" s="2738">
        <f>VLOOKUP(H18394,indexy!$C$44:$D$823,2,FALSE)</f>
        <v>10.888</v>
      </c>
      <c r="E18394" s="1463">
        <f t="shared" si="320"/>
        <v>6.1136179792801615E-2</v>
      </c>
      <c r="F18394" s="1494">
        <f t="shared" si="319"/>
        <v>1.2227235958560323E-3</v>
      </c>
      <c r="G18394" s="415"/>
      <c r="H18394" s="415" t="str">
        <f>VLOOKUP(B18394,indexy!$A$44:$D$823,3,FALSE)</f>
        <v>ORA FP Equity</v>
      </c>
      <c r="J18394" s="434"/>
    </row>
    <row r="18395" spans="1:10" ht="12.75" hidden="1" customHeight="1" outlineLevel="1" x14ac:dyDescent="0.25">
      <c r="A18395" s="135">
        <v>0.02</v>
      </c>
      <c r="B18395" s="151" t="s">
        <v>2777</v>
      </c>
      <c r="C18395" s="410">
        <v>47.496000000000002</v>
      </c>
      <c r="D18395" s="2738">
        <f>VLOOKUP(H18395,indexy!$C$44:$D$823,2,FALSE)/100</f>
        <v>50.17</v>
      </c>
      <c r="E18395" s="1463">
        <f t="shared" si="320"/>
        <v>5.6299477850766388E-2</v>
      </c>
      <c r="F18395" s="1494">
        <f t="shared" si="319"/>
        <v>1.1259895570153277E-3</v>
      </c>
      <c r="G18395" s="415"/>
      <c r="H18395" s="415" t="str">
        <f>VLOOKUP(B18395,indexy!$A$44:$D$823,3,FALSE)</f>
        <v>RIO LN Equity</v>
      </c>
      <c r="J18395" s="434"/>
    </row>
    <row r="18396" spans="1:10" ht="12.75" hidden="1" customHeight="1" outlineLevel="1" x14ac:dyDescent="0.25">
      <c r="A18396" s="135">
        <v>0.08</v>
      </c>
      <c r="B18396" s="151" t="s">
        <v>6116</v>
      </c>
      <c r="C18396" s="410">
        <v>4.5868000000000002</v>
      </c>
      <c r="D18396" s="2738">
        <f>VLOOKUP(H18396,indexy!$C$44:$D$823,2,FALSE)</f>
        <v>4.3760000000000003</v>
      </c>
      <c r="E18396" s="1463">
        <f t="shared" si="320"/>
        <v>-4.5957966338187828E-2</v>
      </c>
      <c r="F18396" s="1494">
        <f t="shared" si="319"/>
        <v>-3.6766373070550263E-3</v>
      </c>
      <c r="G18396" s="415"/>
      <c r="H18396" s="415" t="str">
        <f>VLOOKUP(B18396,indexy!$A$44:$D$823,3,FALSE)</f>
        <v>SRG IM Equity</v>
      </c>
      <c r="J18396" s="434"/>
    </row>
    <row r="18397" spans="1:10" ht="12.75" hidden="1" customHeight="1" outlineLevel="1" x14ac:dyDescent="0.25">
      <c r="A18397" s="135">
        <v>0.02</v>
      </c>
      <c r="B18397" s="151" t="s">
        <v>3427</v>
      </c>
      <c r="C18397" s="410">
        <v>62.804000000000002</v>
      </c>
      <c r="D18397" s="2738">
        <f>VLOOKUP(H18397,indexy!$C$44:$D$823,2,FALSE)</f>
        <v>71.739999999999995</v>
      </c>
      <c r="E18397" s="1463">
        <f t="shared" si="320"/>
        <v>0.1422839309598114</v>
      </c>
      <c r="F18397" s="1494">
        <f t="shared" si="319"/>
        <v>2.8456786191962281E-3</v>
      </c>
      <c r="G18397" s="415"/>
      <c r="H18397" s="415" t="str">
        <f>VLOOKUP(B18397,indexy!$A$44:$D$823,3,FALSE)</f>
        <v>SO UN Equity</v>
      </c>
      <c r="J18397" s="434"/>
    </row>
    <row r="18398" spans="1:10" ht="12.75" hidden="1" customHeight="1" outlineLevel="1" x14ac:dyDescent="0.25">
      <c r="A18398" s="135">
        <v>0.02</v>
      </c>
      <c r="B18398" s="151" t="s">
        <v>1857</v>
      </c>
      <c r="C18398" s="410">
        <v>13.663</v>
      </c>
      <c r="D18398" s="2738">
        <f>VLOOKUP(H18398,indexy!$C$44:$D$823,2,FALSE)/100</f>
        <v>16.5</v>
      </c>
      <c r="E18398" s="1463">
        <f t="shared" si="320"/>
        <v>0.20764107443460444</v>
      </c>
      <c r="F18398" s="1494">
        <f t="shared" si="319"/>
        <v>4.1528214886920886E-3</v>
      </c>
      <c r="G18398" s="415"/>
      <c r="H18398" s="415" t="str">
        <f>VLOOKUP(B18398,indexy!$A$44:$D$823,3,FALSE)</f>
        <v>SSE LN Equity</v>
      </c>
      <c r="J18398" s="434"/>
    </row>
    <row r="18399" spans="1:10" ht="12.75" hidden="1" customHeight="1" outlineLevel="1" x14ac:dyDescent="0.25">
      <c r="A18399" s="135">
        <v>0.02</v>
      </c>
      <c r="B18399" s="151" t="s">
        <v>9173</v>
      </c>
      <c r="C18399" s="410">
        <v>387.86</v>
      </c>
      <c r="D18399" s="2738">
        <f>VLOOKUP(H18399,indexy!$C$44:$D$823,2,FALSE)</f>
        <v>632.20000000000005</v>
      </c>
      <c r="E18399" s="1463">
        <f t="shared" si="320"/>
        <v>0.6299695766513691</v>
      </c>
      <c r="F18399" s="1494">
        <f t="shared" si="319"/>
        <v>1.2599391533027382E-2</v>
      </c>
      <c r="G18399" s="415"/>
      <c r="H18399" s="415" t="str">
        <f>VLOOKUP(B18399,indexy!$A$44:$D$823,3,FALSE)</f>
        <v>SLHN SE Equity</v>
      </c>
      <c r="J18399" s="434"/>
    </row>
    <row r="18400" spans="1:10" ht="12.75" hidden="1" customHeight="1" outlineLevel="1" x14ac:dyDescent="0.25">
      <c r="A18400" s="135">
        <v>0.05</v>
      </c>
      <c r="B18400" s="151" t="s">
        <v>3383</v>
      </c>
      <c r="C18400" s="410">
        <v>153.46</v>
      </c>
      <c r="D18400" s="2738">
        <f>VLOOKUP(H18400,indexy!$C$44:$D$823,2,FALSE)</f>
        <v>120.75</v>
      </c>
      <c r="E18400" s="1463">
        <f t="shared" si="320"/>
        <v>-0.21315000651635607</v>
      </c>
      <c r="F18400" s="1494">
        <f>E18400*A18400</f>
        <v>-1.0657500325817804E-2</v>
      </c>
      <c r="G18400" s="415"/>
      <c r="H18400" s="415" t="str">
        <f>VLOOKUP(B18400,indexy!$A$44:$D$823,3,FALSE)</f>
        <v>TEL NO Equity</v>
      </c>
      <c r="J18400" s="434"/>
    </row>
    <row r="18401" spans="1:10" ht="12.75" hidden="1" customHeight="1" outlineLevel="1" x14ac:dyDescent="0.25">
      <c r="A18401" s="135">
        <v>0.05</v>
      </c>
      <c r="B18401" s="151" t="s">
        <v>3921</v>
      </c>
      <c r="C18401" s="410">
        <v>6.3102</v>
      </c>
      <c r="D18401" s="2738">
        <f>VLOOKUP(H18401,indexy!$C$44:$D$946,2,FALSE)</f>
        <v>7.66</v>
      </c>
      <c r="E18401" s="1463">
        <f t="shared" si="320"/>
        <v>0.21390764159614584</v>
      </c>
      <c r="F18401" s="1494">
        <f>E18401*A18401</f>
        <v>1.0695382079807293E-2</v>
      </c>
      <c r="G18401" s="415"/>
      <c r="H18401" s="415" t="str">
        <f>VLOOKUP(B18401,indexy!$A$44:$D$946,3,FALSE)</f>
        <v>TRN IM Equity</v>
      </c>
      <c r="J18401" s="434"/>
    </row>
    <row r="18402" spans="1:10" ht="12.75" hidden="1" customHeight="1" outlineLevel="1" x14ac:dyDescent="0.25">
      <c r="A18402" s="135">
        <v>0.04</v>
      </c>
      <c r="B18402" s="151" t="s">
        <v>3903</v>
      </c>
      <c r="C18402" s="410">
        <v>26.576000000000001</v>
      </c>
      <c r="D18402" s="2738">
        <f>VLOOKUP(H18402,indexy!$C$44:$D$823,2,FALSE)</f>
        <v>30.87</v>
      </c>
      <c r="E18402" s="1463">
        <f t="shared" si="320"/>
        <v>0.16157435279951837</v>
      </c>
      <c r="F18402" s="1494">
        <f>E18402*A18402</f>
        <v>6.4629741119807353E-3</v>
      </c>
      <c r="G18402" s="415"/>
      <c r="H18402" s="415" t="str">
        <f>VLOOKUP(B18402,indexy!$A$44:$D$823,3,FALSE)</f>
        <v>UPM FH Equity</v>
      </c>
      <c r="J18402" s="434"/>
    </row>
    <row r="18403" spans="1:10" ht="12.75" hidden="1" customHeight="1" outlineLevel="1" x14ac:dyDescent="0.25">
      <c r="A18403" s="135">
        <v>0.02</v>
      </c>
      <c r="B18403" s="151" t="s">
        <v>255</v>
      </c>
      <c r="C18403" s="410">
        <v>60.6</v>
      </c>
      <c r="D18403" s="2738">
        <f>VLOOKUP(H18403,indexy!$C$44:$D$823,2,FALSE)</f>
        <v>41.96</v>
      </c>
      <c r="E18403" s="1463">
        <f t="shared" si="320"/>
        <v>-0.3075907590759076</v>
      </c>
      <c r="F18403" s="1494">
        <f>E18403*A18403</f>
        <v>-6.1518151815181527E-3</v>
      </c>
      <c r="G18403" s="415"/>
      <c r="H18403" s="415" t="str">
        <f>VLOOKUP(B18403,indexy!$A$44:$D$823,3,FALSE)</f>
        <v>VZ UN Equity</v>
      </c>
      <c r="J18403" s="434"/>
    </row>
    <row r="18404" spans="1:10" ht="12.75" hidden="1" customHeight="1" outlineLevel="1" x14ac:dyDescent="0.25">
      <c r="A18404" s="135">
        <v>0.02</v>
      </c>
      <c r="B18404" s="2736" t="s">
        <v>4550</v>
      </c>
      <c r="C18404" s="2741">
        <v>354.46</v>
      </c>
      <c r="D18404" s="2739">
        <f>VLOOKUP(H18404,indexy!$C$44:$D$823,2,FALSE)</f>
        <v>486.3</v>
      </c>
      <c r="E18404" s="1463">
        <f t="shared" si="320"/>
        <v>0.37194605879365805</v>
      </c>
      <c r="F18404" s="1494">
        <f>E18404*A18404</f>
        <v>7.4389211758731609E-3</v>
      </c>
      <c r="G18404" s="415"/>
      <c r="H18404" s="415" t="str">
        <f>VLOOKUP(B18404,indexy!$A$44:$D$823,3,FALSE)</f>
        <v>ZURN SE Equity</v>
      </c>
      <c r="J18404" s="434"/>
    </row>
    <row r="18405" spans="1:10" ht="12.75" hidden="1" customHeight="1" outlineLevel="1" x14ac:dyDescent="0.25">
      <c r="A18405" s="1475" t="s">
        <v>2734</v>
      </c>
      <c r="B18405" s="150"/>
      <c r="C18405" s="1477">
        <v>100</v>
      </c>
      <c r="D18405" s="1477"/>
      <c r="E18405" s="1599"/>
      <c r="F18405" s="1599">
        <f>SUM(F18375:F18404)</f>
        <v>0.28744865749265569</v>
      </c>
      <c r="G18405" s="415"/>
      <c r="H18405" s="415"/>
    </row>
    <row r="18406" spans="1:10" ht="12.75" hidden="1" customHeight="1" outlineLevel="1" x14ac:dyDescent="0.25">
      <c r="A18406" s="221"/>
      <c r="B18406" s="1478">
        <v>45689</v>
      </c>
      <c r="C18406" s="1497">
        <v>100</v>
      </c>
      <c r="D18406" s="1497"/>
      <c r="E18406" s="1498">
        <f>IF(D18406="",$F$18405,D18406/C18406-1)</f>
        <v>0.28744865749265569</v>
      </c>
      <c r="F18406" s="1499"/>
      <c r="G18406" s="415"/>
      <c r="H18406" s="415"/>
    </row>
    <row r="18407" spans="1:10" ht="12.75" hidden="1" customHeight="1" outlineLevel="1" x14ac:dyDescent="0.25">
      <c r="A18407" s="221"/>
      <c r="B18407" s="1478">
        <v>45717</v>
      </c>
      <c r="C18407" s="1497">
        <v>100</v>
      </c>
      <c r="D18407" s="1500"/>
      <c r="E18407" s="1498">
        <f>IF(D18407="",$F$18405,D18407/C18407-1)</f>
        <v>0.28744865749265569</v>
      </c>
      <c r="F18407" s="1499"/>
      <c r="G18407" s="415"/>
      <c r="H18407" s="415"/>
    </row>
    <row r="18408" spans="1:10" ht="12.75" hidden="1" customHeight="1" outlineLevel="1" x14ac:dyDescent="0.25">
      <c r="A18408" s="221"/>
      <c r="B18408" s="1478">
        <v>45748</v>
      </c>
      <c r="C18408" s="1497">
        <v>100</v>
      </c>
      <c r="D18408" s="1500"/>
      <c r="E18408" s="1498">
        <f t="shared" ref="E18408:E18423" si="321">IF(D18408="",$F$18405,D18408/C18408-1)</f>
        <v>0.28744865749265569</v>
      </c>
      <c r="F18408" s="1499"/>
      <c r="G18408" s="415"/>
      <c r="H18408" s="415"/>
    </row>
    <row r="18409" spans="1:10" ht="12.75" hidden="1" customHeight="1" outlineLevel="1" x14ac:dyDescent="0.25">
      <c r="A18409" s="221"/>
      <c r="B18409" s="1478">
        <v>45778</v>
      </c>
      <c r="C18409" s="1497">
        <v>100</v>
      </c>
      <c r="D18409" s="1500"/>
      <c r="E18409" s="1498">
        <f t="shared" si="321"/>
        <v>0.28744865749265569</v>
      </c>
      <c r="F18409" s="1499"/>
      <c r="G18409" s="415"/>
      <c r="H18409" s="415"/>
    </row>
    <row r="18410" spans="1:10" ht="12.75" hidden="1" customHeight="1" outlineLevel="1" x14ac:dyDescent="0.25">
      <c r="A18410" s="221"/>
      <c r="B18410" s="1478">
        <v>45809</v>
      </c>
      <c r="C18410" s="1497">
        <v>100</v>
      </c>
      <c r="D18410" s="1500"/>
      <c r="E18410" s="1498">
        <f t="shared" si="321"/>
        <v>0.28744865749265569</v>
      </c>
      <c r="F18410" s="1499"/>
      <c r="G18410" s="415"/>
      <c r="H18410" s="415"/>
    </row>
    <row r="18411" spans="1:10" ht="12.75" hidden="1" customHeight="1" outlineLevel="1" x14ac:dyDescent="0.25">
      <c r="A18411" s="221"/>
      <c r="B18411" s="1478">
        <v>45839</v>
      </c>
      <c r="C18411" s="1497">
        <v>100</v>
      </c>
      <c r="D18411" s="1500"/>
      <c r="E18411" s="1498">
        <f t="shared" si="321"/>
        <v>0.28744865749265569</v>
      </c>
      <c r="F18411" s="1499"/>
      <c r="G18411" s="415"/>
      <c r="H18411" s="415"/>
    </row>
    <row r="18412" spans="1:10" ht="12.75" hidden="1" customHeight="1" outlineLevel="1" x14ac:dyDescent="0.25">
      <c r="A18412" s="221"/>
      <c r="B18412" s="1478">
        <v>45870</v>
      </c>
      <c r="C18412" s="1497">
        <v>100</v>
      </c>
      <c r="D18412" s="1500"/>
      <c r="E18412" s="1498">
        <f t="shared" si="321"/>
        <v>0.28744865749265569</v>
      </c>
      <c r="F18412" s="1499"/>
      <c r="G18412" s="415"/>
      <c r="H18412" s="415"/>
    </row>
    <row r="18413" spans="1:10" ht="12.75" hidden="1" customHeight="1" outlineLevel="1" x14ac:dyDescent="0.25">
      <c r="A18413" s="221"/>
      <c r="B18413" s="1478">
        <v>45901</v>
      </c>
      <c r="C18413" s="1497">
        <v>100</v>
      </c>
      <c r="D18413" s="1500"/>
      <c r="E18413" s="1498">
        <f t="shared" si="321"/>
        <v>0.28744865749265569</v>
      </c>
      <c r="F18413" s="1499"/>
      <c r="G18413" s="415"/>
      <c r="H18413" s="415"/>
    </row>
    <row r="18414" spans="1:10" ht="12.75" hidden="1" customHeight="1" outlineLevel="1" x14ac:dyDescent="0.25">
      <c r="A18414" s="221"/>
      <c r="B18414" s="1478">
        <v>45931</v>
      </c>
      <c r="C18414" s="1497">
        <v>100</v>
      </c>
      <c r="D18414" s="1500"/>
      <c r="E18414" s="1498">
        <f t="shared" si="321"/>
        <v>0.28744865749265569</v>
      </c>
      <c r="F18414" s="1499"/>
      <c r="G18414" s="415"/>
      <c r="H18414" s="415"/>
    </row>
    <row r="18415" spans="1:10" ht="12.75" hidden="1" customHeight="1" outlineLevel="1" x14ac:dyDescent="0.25">
      <c r="A18415" s="221"/>
      <c r="B18415" s="1478">
        <v>45962</v>
      </c>
      <c r="C18415" s="1497">
        <v>100</v>
      </c>
      <c r="D18415" s="1500"/>
      <c r="E18415" s="1498">
        <f t="shared" si="321"/>
        <v>0.28744865749265569</v>
      </c>
      <c r="F18415" s="1499"/>
      <c r="G18415" s="415"/>
      <c r="H18415" s="415"/>
    </row>
    <row r="18416" spans="1:10" ht="12.75" hidden="1" customHeight="1" outlineLevel="1" x14ac:dyDescent="0.25">
      <c r="A18416" s="221"/>
      <c r="B18416" s="1478">
        <v>45992</v>
      </c>
      <c r="C18416" s="1497">
        <v>100</v>
      </c>
      <c r="D18416" s="1500"/>
      <c r="E18416" s="1498">
        <f t="shared" si="321"/>
        <v>0.28744865749265569</v>
      </c>
      <c r="F18416" s="1499"/>
      <c r="G18416" s="415"/>
      <c r="H18416" s="415"/>
    </row>
    <row r="18417" spans="1:8" ht="12.75" hidden="1" customHeight="1" outlineLevel="1" x14ac:dyDescent="0.25">
      <c r="A18417" s="221"/>
      <c r="B18417" s="1478">
        <v>46023</v>
      </c>
      <c r="C18417" s="1497">
        <v>100</v>
      </c>
      <c r="D18417" s="1500"/>
      <c r="E18417" s="1498">
        <f t="shared" si="321"/>
        <v>0.28744865749265569</v>
      </c>
      <c r="F18417" s="1499"/>
      <c r="G18417" s="415"/>
      <c r="H18417" s="415"/>
    </row>
    <row r="18418" spans="1:8" ht="12.75" hidden="1" customHeight="1" outlineLevel="1" x14ac:dyDescent="0.25">
      <c r="A18418" s="221"/>
      <c r="B18418" s="1478">
        <v>46054</v>
      </c>
      <c r="C18418" s="1497">
        <v>100</v>
      </c>
      <c r="D18418" s="1500"/>
      <c r="E18418" s="1498">
        <f t="shared" si="321"/>
        <v>0.28744865749265569</v>
      </c>
      <c r="F18418" s="1499"/>
      <c r="G18418" s="415"/>
      <c r="H18418" s="415"/>
    </row>
    <row r="18419" spans="1:8" ht="12.75" hidden="1" customHeight="1" outlineLevel="1" x14ac:dyDescent="0.25">
      <c r="A18419" s="221"/>
      <c r="B18419" s="1478">
        <v>46082</v>
      </c>
      <c r="C18419" s="1497">
        <v>100</v>
      </c>
      <c r="D18419" s="1500"/>
      <c r="E18419" s="1498">
        <f t="shared" si="321"/>
        <v>0.28744865749265569</v>
      </c>
      <c r="F18419" s="1499"/>
      <c r="G18419" s="415"/>
      <c r="H18419" s="415"/>
    </row>
    <row r="18420" spans="1:8" ht="12.75" hidden="1" customHeight="1" outlineLevel="1" x14ac:dyDescent="0.25">
      <c r="A18420" s="221"/>
      <c r="B18420" s="1478">
        <v>46113</v>
      </c>
      <c r="C18420" s="1497">
        <v>100</v>
      </c>
      <c r="D18420" s="1500"/>
      <c r="E18420" s="1498">
        <f t="shared" si="321"/>
        <v>0.28744865749265569</v>
      </c>
      <c r="F18420" s="1499"/>
      <c r="G18420" s="415"/>
      <c r="H18420" s="415"/>
    </row>
    <row r="18421" spans="1:8" ht="12.75" hidden="1" customHeight="1" outlineLevel="1" x14ac:dyDescent="0.25">
      <c r="A18421" s="221"/>
      <c r="B18421" s="1478">
        <v>46143</v>
      </c>
      <c r="C18421" s="1497">
        <v>100</v>
      </c>
      <c r="D18421" s="1500"/>
      <c r="E18421" s="1498">
        <f t="shared" si="321"/>
        <v>0.28744865749265569</v>
      </c>
      <c r="F18421" s="1499"/>
      <c r="G18421" s="415"/>
      <c r="H18421" s="415"/>
    </row>
    <row r="18422" spans="1:8" ht="12.75" hidden="1" customHeight="1" outlineLevel="1" x14ac:dyDescent="0.25">
      <c r="A18422" s="221"/>
      <c r="B18422" s="1478">
        <v>46174</v>
      </c>
      <c r="C18422" s="1497">
        <v>100</v>
      </c>
      <c r="D18422" s="1500"/>
      <c r="E18422" s="1498">
        <f t="shared" si="321"/>
        <v>0.28744865749265569</v>
      </c>
      <c r="F18422" s="1499"/>
      <c r="G18422" s="415"/>
      <c r="H18422" s="415"/>
    </row>
    <row r="18423" spans="1:8" ht="12.75" hidden="1" customHeight="1" outlineLevel="1" x14ac:dyDescent="0.25">
      <c r="A18423" s="221"/>
      <c r="B18423" s="1478">
        <v>46204</v>
      </c>
      <c r="C18423" s="1497">
        <v>100</v>
      </c>
      <c r="D18423" s="1500"/>
      <c r="E18423" s="1498">
        <f t="shared" si="321"/>
        <v>0.28744865749265569</v>
      </c>
      <c r="F18423" s="1499"/>
      <c r="G18423" s="415"/>
      <c r="H18423" s="415"/>
    </row>
    <row r="18424" spans="1:8" s="444" customFormat="1" ht="12.75" hidden="1" customHeight="1" outlineLevel="1" x14ac:dyDescent="0.25">
      <c r="A18424" s="1483" t="s">
        <v>2734</v>
      </c>
      <c r="B18424" s="1484"/>
      <c r="C18424" s="1500"/>
      <c r="D18424" s="1485" t="s">
        <v>2465</v>
      </c>
      <c r="E18424" s="1486">
        <f>AVERAGE(E18406:E18423)</f>
        <v>0.28744865749265563</v>
      </c>
      <c r="F18424" s="1487">
        <f>((((E18424*100)+100)-I18375)/100)</f>
        <v>0.28744865749265558</v>
      </c>
    </row>
    <row r="18425" spans="1:8" collapsed="1" x14ac:dyDescent="0.25">
      <c r="A18425" s="3799" t="s">
        <v>10497</v>
      </c>
      <c r="B18425" s="3800"/>
      <c r="C18425" s="3800"/>
      <c r="D18425" s="3800"/>
      <c r="E18425" s="18"/>
      <c r="F18425" s="186">
        <f>+I18376</f>
        <v>0.28744865749265558</v>
      </c>
      <c r="G18425" s="415"/>
    </row>
    <row r="18427" spans="1:8" ht="12.75" hidden="1" customHeight="1" outlineLevel="1" x14ac:dyDescent="0.25">
      <c r="A18427" s="15" t="s">
        <v>4156</v>
      </c>
      <c r="B18427" s="15" t="s">
        <v>4153</v>
      </c>
      <c r="C18427" s="15" t="s">
        <v>112</v>
      </c>
      <c r="D18427" s="15" t="s">
        <v>4155</v>
      </c>
      <c r="E18427" s="15" t="s">
        <v>4154</v>
      </c>
      <c r="F18427" s="1882" t="s">
        <v>2519</v>
      </c>
      <c r="G18427" s="78"/>
    </row>
    <row r="18428" spans="1:8" ht="12.75" hidden="1" customHeight="1" outlineLevel="1" x14ac:dyDescent="0.25">
      <c r="A18428" s="2034">
        <v>0.02</v>
      </c>
      <c r="B18428" s="2826" t="s">
        <v>7111</v>
      </c>
      <c r="C18428" s="2827">
        <v>105.49</v>
      </c>
      <c r="D18428" s="3272">
        <f>VLOOKUP($H18428,indexy!$C$44:$D$823,2,FALSE)</f>
        <v>182.1</v>
      </c>
      <c r="E18428" s="2040">
        <f>$D18428/$C18428-1</f>
        <v>0.72622997440515702</v>
      </c>
      <c r="F18428" s="2609">
        <f>$E18428*$A18428</f>
        <v>1.452459948810314E-2</v>
      </c>
      <c r="G18428" s="78"/>
      <c r="H18428" t="str">
        <f>VLOOKUP(B18428,indexy!$A$44:$D$823,3,FALSE)</f>
        <v>ABBV UN Equity</v>
      </c>
    </row>
    <row r="18429" spans="1:8" ht="12.75" hidden="1" customHeight="1" outlineLevel="1" x14ac:dyDescent="0.25">
      <c r="A18429" s="1911">
        <v>0.04</v>
      </c>
      <c r="B18429" s="2826" t="s">
        <v>2697</v>
      </c>
      <c r="C18429" s="2829">
        <v>14.2555</v>
      </c>
      <c r="D18429" s="3273">
        <f>VLOOKUP(H18429,indexy!$C$44:$D$823,2,FALSE)</f>
        <v>23.46</v>
      </c>
      <c r="E18429" s="2043">
        <f t="shared" ref="E18429:E18457" si="322">$D18429/$C18429-1</f>
        <v>0.64568061449966696</v>
      </c>
      <c r="F18429" s="2044">
        <f t="shared" ref="F18429:F18456" si="323">$E18429*$A18429</f>
        <v>2.582722457998668E-2</v>
      </c>
      <c r="G18429" s="78"/>
      <c r="H18429" t="str">
        <f>VLOOKUP(B18429,indexy!$A$44:$D$823,3,FALSE)</f>
        <v>G IM Equity</v>
      </c>
    </row>
    <row r="18430" spans="1:8" ht="12.75" hidden="1" customHeight="1" outlineLevel="1" x14ac:dyDescent="0.25">
      <c r="A18430" s="1911">
        <v>0.02</v>
      </c>
      <c r="B18430" s="2826" t="s">
        <v>5748</v>
      </c>
      <c r="C18430" s="2829">
        <v>68.185000000000002</v>
      </c>
      <c r="D18430" s="3273">
        <f>VLOOKUP(H18430,indexy!$C$44:$D$823,2,FALSE)</f>
        <v>70.069999999999993</v>
      </c>
      <c r="E18430" s="2043">
        <f t="shared" si="322"/>
        <v>2.7645376549094269E-2</v>
      </c>
      <c r="F18430" s="2044">
        <f t="shared" si="323"/>
        <v>5.5290753098188536E-4</v>
      </c>
      <c r="G18430" s="78"/>
      <c r="H18430" t="str">
        <f>VLOOKUP(B18430,indexy!$A$44:$D$823,3,FALSE)</f>
        <v>BNS CT Equity</v>
      </c>
    </row>
    <row r="18431" spans="1:8" ht="12.75" hidden="1" customHeight="1" outlineLevel="1" x14ac:dyDescent="0.25">
      <c r="A18431" s="1911">
        <v>0.02</v>
      </c>
      <c r="B18431" s="2826" t="s">
        <v>807</v>
      </c>
      <c r="C18431" s="2829">
        <v>56.688000000000002</v>
      </c>
      <c r="D18431" s="3273">
        <f>VLOOKUP(H18431,indexy!$C$44:$D$823,2,FALSE)</f>
        <v>46.03</v>
      </c>
      <c r="E18431" s="2043">
        <f t="shared" si="322"/>
        <v>-0.18801157211402764</v>
      </c>
      <c r="F18431" s="2044">
        <f t="shared" si="323"/>
        <v>-3.7602314422805526E-3</v>
      </c>
      <c r="G18431" s="78"/>
      <c r="H18431" t="str">
        <f>VLOOKUP(B18431,indexy!$A$44:$D$823,3,FALSE)</f>
        <v>BCE CT Equity</v>
      </c>
    </row>
    <row r="18432" spans="1:8" ht="12.75" hidden="1" customHeight="1" outlineLevel="1" x14ac:dyDescent="0.25">
      <c r="A18432" s="1911">
        <v>0.02</v>
      </c>
      <c r="B18432" s="2826" t="s">
        <v>3954</v>
      </c>
      <c r="C18432" s="3274">
        <f>111.497/2</f>
        <v>55.7485</v>
      </c>
      <c r="D18432" s="3273">
        <f>VLOOKUP(H18432,indexy!$C$44:$D$823,2,FALSE)</f>
        <v>68.67</v>
      </c>
      <c r="E18432" s="2043">
        <f t="shared" si="322"/>
        <v>0.23178202104092493</v>
      </c>
      <c r="F18432" s="2044">
        <f t="shared" si="323"/>
        <v>4.6356404208184989E-3</v>
      </c>
      <c r="G18432" s="78"/>
      <c r="H18432" t="str">
        <f>VLOOKUP(B18432,indexy!$A$44:$D$823,3,FALSE)</f>
        <v>CM CT Equity</v>
      </c>
    </row>
    <row r="18433" spans="1:8" ht="12.75" hidden="1" customHeight="1" outlineLevel="1" x14ac:dyDescent="0.25">
      <c r="A18433" s="1911">
        <v>0.02</v>
      </c>
      <c r="B18433" s="2826" t="s">
        <v>8678</v>
      </c>
      <c r="C18433" s="3274">
        <v>83.218999999999994</v>
      </c>
      <c r="D18433" s="3273">
        <f>VLOOKUP(H18433,indexy!$C$44:$D$823,2,FALSE)</f>
        <v>120.34</v>
      </c>
      <c r="E18433" s="2043">
        <f t="shared" si="322"/>
        <v>0.44606399980773626</v>
      </c>
      <c r="F18433" s="2044">
        <f t="shared" si="323"/>
        <v>8.9212799961547254E-3</v>
      </c>
      <c r="G18433" s="78"/>
      <c r="H18433" t="str">
        <f>VLOOKUP(B18433,indexy!$A$44:$D$823,3,FALSE)</f>
        <v>CBA AT Equity</v>
      </c>
    </row>
    <row r="18434" spans="1:8" ht="12.75" hidden="1" customHeight="1" outlineLevel="1" x14ac:dyDescent="0.25">
      <c r="A18434" s="1911">
        <v>0.08</v>
      </c>
      <c r="B18434" s="2826" t="s">
        <v>2629</v>
      </c>
      <c r="C18434" s="2829">
        <v>14.926</v>
      </c>
      <c r="D18434" s="3273">
        <f>VLOOKUP(H18434,indexy!$C$44:$D$823,2,FALSE)</f>
        <v>22.5</v>
      </c>
      <c r="E18434" s="2043">
        <f t="shared" si="322"/>
        <v>0.50743668765911831</v>
      </c>
      <c r="F18434" s="2044">
        <f t="shared" si="323"/>
        <v>4.0594935012729469E-2</v>
      </c>
      <c r="G18434" s="78"/>
      <c r="H18434" t="str">
        <f>VLOOKUP(B18434,indexy!$A$44:$D$823,3,FALSE)</f>
        <v>DTE GY Equity</v>
      </c>
    </row>
    <row r="18435" spans="1:8" ht="12.75" hidden="1" customHeight="1" outlineLevel="1" x14ac:dyDescent="0.25">
      <c r="A18435" s="1911">
        <v>0.02</v>
      </c>
      <c r="B18435" s="2826" t="s">
        <v>7855</v>
      </c>
      <c r="C18435" s="2829">
        <v>42.63</v>
      </c>
      <c r="D18435" s="3273">
        <f>VLOOKUP(H18435,indexy!$C$44:$D$823,2,FALSE)</f>
        <v>48.95</v>
      </c>
      <c r="E18435" s="2043">
        <f t="shared" si="322"/>
        <v>0.14825240441003995</v>
      </c>
      <c r="F18435" s="2044">
        <f t="shared" si="323"/>
        <v>2.9650480882007992E-3</v>
      </c>
      <c r="G18435" s="78"/>
      <c r="H18435" t="str">
        <f>VLOOKUP(B18435,indexy!$A$44:$D$823,3,FALSE)</f>
        <v>ENB CT Equity</v>
      </c>
    </row>
    <row r="18436" spans="1:8" ht="12.75" hidden="1" customHeight="1" outlineLevel="1" x14ac:dyDescent="0.25">
      <c r="A18436" s="1911">
        <v>0.08</v>
      </c>
      <c r="B18436" s="2826" t="s">
        <v>3799</v>
      </c>
      <c r="C18436" s="2829">
        <v>13.810600000000001</v>
      </c>
      <c r="D18436" s="3273">
        <f>VLOOKUP(H18436,indexy!$C$44:$D$823,2,FALSE)/100</f>
        <v>17.085999999999999</v>
      </c>
      <c r="E18436" s="2043">
        <f t="shared" si="322"/>
        <v>0.23716565536616785</v>
      </c>
      <c r="F18436" s="2044">
        <f t="shared" si="323"/>
        <v>1.8973252429293427E-2</v>
      </c>
      <c r="G18436" s="78"/>
      <c r="H18436" t="str">
        <f>VLOOKUP(B18436,indexy!$A$44:$D$823,3,FALSE)</f>
        <v>GSK LN Equity</v>
      </c>
    </row>
    <row r="18437" spans="1:8" ht="12.75" hidden="1" customHeight="1" outlineLevel="1" x14ac:dyDescent="0.25">
      <c r="A18437" s="1911">
        <v>0.02</v>
      </c>
      <c r="B18437" s="2826" t="s">
        <v>10510</v>
      </c>
      <c r="C18437" s="2829">
        <v>28.890999999999998</v>
      </c>
      <c r="D18437" s="3273">
        <f>VLOOKUP(H18437,indexy!$C$44:$D$823,2,FALSE)</f>
        <v>39.5</v>
      </c>
      <c r="E18437" s="2043">
        <f t="shared" si="322"/>
        <v>0.36720778096985218</v>
      </c>
      <c r="F18437" s="2044">
        <f t="shared" si="323"/>
        <v>7.3441556193970439E-3</v>
      </c>
      <c r="G18437" s="78"/>
      <c r="H18437" t="str">
        <f>VLOOKUP(B18437,indexy!$A$44:$D$823,3,FALSE)</f>
        <v>H CT Equity</v>
      </c>
    </row>
    <row r="18438" spans="1:8" ht="12.75" hidden="1" customHeight="1" outlineLevel="1" x14ac:dyDescent="0.25">
      <c r="A18438" s="1911">
        <v>0.02</v>
      </c>
      <c r="B18438" s="2826" t="s">
        <v>52</v>
      </c>
      <c r="C18438" s="2829">
        <v>125.15300000000001</v>
      </c>
      <c r="D18438" s="3273">
        <f>VLOOKUP(H18438,indexy!$C$44:$D$823,2,FALSE)</f>
        <v>190.96</v>
      </c>
      <c r="E18438" s="2043">
        <f t="shared" si="322"/>
        <v>0.52581240561552667</v>
      </c>
      <c r="F18438" s="2044">
        <f t="shared" si="323"/>
        <v>1.0516248112310533E-2</v>
      </c>
      <c r="G18438" s="78"/>
      <c r="H18438" t="str">
        <f>VLOOKUP(B18438,indexy!$A$44:$D$823,3,FALSE)</f>
        <v>IBM UN Equity</v>
      </c>
    </row>
    <row r="18439" spans="1:8" ht="12.75" hidden="1" customHeight="1" outlineLevel="1" x14ac:dyDescent="0.25">
      <c r="A18439" s="1911">
        <v>0.02</v>
      </c>
      <c r="B18439" s="2826" t="s">
        <v>2786</v>
      </c>
      <c r="C18439" s="2829">
        <v>8.7552000000000003</v>
      </c>
      <c r="D18439" s="3273">
        <f>VLOOKUP(H18439,indexy!$C$44:$D$823,2,FALSE)/100</f>
        <v>10.66</v>
      </c>
      <c r="E18439" s="2043">
        <f t="shared" si="322"/>
        <v>0.21756213450292394</v>
      </c>
      <c r="F18439" s="2044">
        <f t="shared" si="323"/>
        <v>4.3512426900584791E-3</v>
      </c>
      <c r="G18439" s="78"/>
      <c r="H18439" t="str">
        <f>VLOOKUP(B18439,indexy!$A$44:$D$823,3,FALSE)</f>
        <v>NG/ LN Equity</v>
      </c>
    </row>
    <row r="18440" spans="1:8" ht="12.75" hidden="1" customHeight="1" outlineLevel="1" x14ac:dyDescent="0.25">
      <c r="A18440" s="1911">
        <v>0.02</v>
      </c>
      <c r="B18440" s="2826" t="s">
        <v>2787</v>
      </c>
      <c r="C18440" s="2831">
        <v>80.703000000000003</v>
      </c>
      <c r="D18440" s="3273">
        <f>VLOOKUP(H18440,indexy!$C$44:$D$823,2,FALSE)</f>
        <v>87.37</v>
      </c>
      <c r="E18440" s="2043">
        <f t="shared" si="322"/>
        <v>8.2611550995626004E-2</v>
      </c>
      <c r="F18440" s="2044">
        <f t="shared" si="323"/>
        <v>1.6522310199125201E-3</v>
      </c>
      <c r="G18440" s="78"/>
      <c r="H18440" t="str">
        <f>VLOOKUP(B18440,indexy!$A$44:$D$823,3,FALSE)</f>
        <v>NOVN SE Equity</v>
      </c>
    </row>
    <row r="18441" spans="1:8" ht="12.75" hidden="1" customHeight="1" outlineLevel="1" x14ac:dyDescent="0.25">
      <c r="A18441" s="1911">
        <v>0.02</v>
      </c>
      <c r="B18441" s="2826" t="s">
        <v>5824</v>
      </c>
      <c r="C18441" s="2829">
        <v>9.9528999999999996</v>
      </c>
      <c r="D18441" s="3273">
        <f>VLOOKUP(H18441,indexy!$C$44:$D$823,2,FALSE)</f>
        <v>10.888</v>
      </c>
      <c r="E18441" s="2043">
        <f t="shared" si="322"/>
        <v>9.3952516352018067E-2</v>
      </c>
      <c r="F18441" s="2044">
        <f t="shared" si="323"/>
        <v>1.8790503270403613E-3</v>
      </c>
      <c r="G18441" s="78"/>
      <c r="H18441" t="str">
        <f>VLOOKUP(B18441,indexy!$A$44:$D$823,3,FALSE)</f>
        <v>ORA FP Equity</v>
      </c>
    </row>
    <row r="18442" spans="1:8" ht="12.75" hidden="1" customHeight="1" outlineLevel="1" x14ac:dyDescent="0.25">
      <c r="A18442" s="1911">
        <v>0.03</v>
      </c>
      <c r="B18442" s="2826" t="s">
        <v>10429</v>
      </c>
      <c r="C18442" s="2829">
        <v>29.532</v>
      </c>
      <c r="D18442" s="3273">
        <f>VLOOKUP(H18442,indexy!$C$44:$D$823,2,FALSE)</f>
        <v>37.979999999999997</v>
      </c>
      <c r="E18442" s="2043">
        <f t="shared" si="322"/>
        <v>0.28606257618854114</v>
      </c>
      <c r="F18442" s="2044">
        <f t="shared" si="323"/>
        <v>8.5818772856562347E-3</v>
      </c>
      <c r="G18442" s="78"/>
      <c r="H18442" t="str">
        <f>VLOOKUP(B18442,indexy!$A$44:$D$823,3,FALSE)</f>
        <v>POW CT Equity</v>
      </c>
    </row>
    <row r="18443" spans="1:8" ht="12.75" hidden="1" customHeight="1" outlineLevel="1" x14ac:dyDescent="0.25">
      <c r="A18443" s="1911">
        <v>0.02</v>
      </c>
      <c r="B18443" s="2826" t="s">
        <v>9833</v>
      </c>
      <c r="C18443" s="2829">
        <v>224.322</v>
      </c>
      <c r="D18443" s="3273">
        <f>VLOOKUP(H18443,indexy!$C$44:$D$823,2,FALSE)</f>
        <v>290.06</v>
      </c>
      <c r="E18443" s="2043">
        <f t="shared" si="322"/>
        <v>0.29305195210456403</v>
      </c>
      <c r="F18443" s="2044">
        <f t="shared" si="323"/>
        <v>5.8610390420912803E-3</v>
      </c>
      <c r="G18443" s="78"/>
      <c r="H18443" t="str">
        <f>VLOOKUP(B18443,indexy!$A$44:$D$823,3,FALSE)</f>
        <v>PSA UN Equity</v>
      </c>
    </row>
    <row r="18444" spans="1:8" ht="12.75" hidden="1" customHeight="1" outlineLevel="1" x14ac:dyDescent="0.25">
      <c r="A18444" s="1911">
        <v>0.02</v>
      </c>
      <c r="B18444" s="2826" t="s">
        <v>10556</v>
      </c>
      <c r="C18444" s="2829">
        <v>115.515</v>
      </c>
      <c r="D18444" s="3273">
        <f>VLOOKUP(H18444,indexy!$C$44:$D$823,2,FALSE)</f>
        <v>121.76</v>
      </c>
      <c r="E18444" s="2043">
        <f t="shared" si="322"/>
        <v>5.4062242998744736E-2</v>
      </c>
      <c r="F18444" s="2044">
        <f t="shared" si="323"/>
        <v>1.0812448599748948E-3</v>
      </c>
      <c r="G18444" s="78"/>
      <c r="H18444" t="str">
        <f>VLOOKUP(B18444,indexy!$A$44:$D$823,3,FALSE)</f>
        <v>RIO AT Equity</v>
      </c>
    </row>
    <row r="18445" spans="1:8" ht="12.75" hidden="1" customHeight="1" outlineLevel="1" x14ac:dyDescent="0.25">
      <c r="A18445" s="1911">
        <v>0.02</v>
      </c>
      <c r="B18445" s="2826" t="s">
        <v>1187</v>
      </c>
      <c r="C18445" s="2829">
        <v>79.013999999999996</v>
      </c>
      <c r="D18445" s="3273">
        <f>VLOOKUP(H18445,indexy!$C$44:$D$823,2,FALSE)</f>
        <v>90.96</v>
      </c>
      <c r="E18445" s="2043">
        <f t="shared" si="322"/>
        <v>0.15118839699293796</v>
      </c>
      <c r="F18445" s="2044">
        <f t="shared" si="323"/>
        <v>3.0237679398587591E-3</v>
      </c>
      <c r="G18445" s="78"/>
      <c r="H18445" t="str">
        <f>VLOOKUP(B18445,indexy!$A$44:$D$823,3,FALSE)</f>
        <v>SAN FP Equity</v>
      </c>
    </row>
    <row r="18446" spans="1:8" ht="12.75" hidden="1" customHeight="1" outlineLevel="1" x14ac:dyDescent="0.25">
      <c r="A18446" s="1911">
        <v>0.04</v>
      </c>
      <c r="B18446" s="2826" t="s">
        <v>6116</v>
      </c>
      <c r="C18446" s="2829">
        <v>4.5362999999999998</v>
      </c>
      <c r="D18446" s="3273">
        <f>VLOOKUP(H18446,indexy!$C$44:$D$823,2,FALSE)</f>
        <v>4.3760000000000003</v>
      </c>
      <c r="E18446" s="2043">
        <f t="shared" si="322"/>
        <v>-3.5337169058483719E-2</v>
      </c>
      <c r="F18446" s="2044">
        <f t="shared" si="323"/>
        <v>-1.4134867623393488E-3</v>
      </c>
      <c r="G18446" s="78"/>
      <c r="H18446" t="str">
        <f>VLOOKUP(B18446,indexy!$A$44:$D$823,3,FALSE)</f>
        <v>SRG IM Equity</v>
      </c>
    </row>
    <row r="18447" spans="1:8" ht="12.75" hidden="1" customHeight="1" outlineLevel="1" x14ac:dyDescent="0.25">
      <c r="A18447" s="1911">
        <v>0.02</v>
      </c>
      <c r="B18447" s="2826" t="s">
        <v>898</v>
      </c>
      <c r="C18447" s="2829">
        <v>56.728999999999999</v>
      </c>
      <c r="D18447" s="3273">
        <f>VLOOKUP(H18447,indexy!$C$44:$D$823,2,FALSE)</f>
        <v>73.91</v>
      </c>
      <c r="E18447" s="2043">
        <f t="shared" si="322"/>
        <v>0.30286097057942141</v>
      </c>
      <c r="F18447" s="2044">
        <f t="shared" si="323"/>
        <v>6.0572194115884282E-3</v>
      </c>
      <c r="G18447" s="78"/>
      <c r="H18447" t="str">
        <f>VLOOKUP(B18447,indexy!$A$44:$D$823,3,FALSE)</f>
        <v>SLF CT Equity</v>
      </c>
    </row>
    <row r="18448" spans="1:8" ht="12.75" hidden="1" customHeight="1" outlineLevel="1" x14ac:dyDescent="0.25">
      <c r="A18448" s="1911">
        <v>0.08</v>
      </c>
      <c r="B18448" s="2826" t="s">
        <v>1239</v>
      </c>
      <c r="C18448" s="2829">
        <v>473.54</v>
      </c>
      <c r="D18448" s="3273">
        <f>VLOOKUP(H18448,indexy!$C$44:$D$823,2,FALSE)</f>
        <v>551.4</v>
      </c>
      <c r="E18448" s="2043">
        <f t="shared" si="322"/>
        <v>0.16442116822232533</v>
      </c>
      <c r="F18448" s="2044">
        <f t="shared" si="323"/>
        <v>1.3153693457786027E-2</v>
      </c>
      <c r="G18448" s="78"/>
      <c r="H18448" t="str">
        <f>VLOOKUP(B18448,indexy!$A$44:$D$823,3,FALSE)</f>
        <v>SCMN SE Equity</v>
      </c>
    </row>
    <row r="18449" spans="1:8" ht="12.75" hidden="1" customHeight="1" outlineLevel="1" x14ac:dyDescent="0.25">
      <c r="A18449" s="1911">
        <v>0.04</v>
      </c>
      <c r="B18449" s="2826" t="s">
        <v>3383</v>
      </c>
      <c r="C18449" s="2829">
        <v>149.43</v>
      </c>
      <c r="D18449" s="3273">
        <f>VLOOKUP(H18449,indexy!$C$44:$D$823,2,FALSE)</f>
        <v>120.75</v>
      </c>
      <c r="E18449" s="2043">
        <f t="shared" si="322"/>
        <v>-0.19192933145954627</v>
      </c>
      <c r="F18449" s="2044">
        <f t="shared" si="323"/>
        <v>-7.6771732583818513E-3</v>
      </c>
      <c r="G18449" s="78"/>
      <c r="H18449" t="str">
        <f>VLOOKUP(B18449,indexy!$A$44:$D$823,3,FALSE)</f>
        <v>TEL NO Equity</v>
      </c>
    </row>
    <row r="18450" spans="1:8" ht="12.75" hidden="1" customHeight="1" outlineLevel="1" x14ac:dyDescent="0.25">
      <c r="A18450" s="1911">
        <v>0.08</v>
      </c>
      <c r="B18450" s="2826" t="s">
        <v>434</v>
      </c>
      <c r="C18450" s="2829">
        <v>34.552</v>
      </c>
      <c r="D18450" s="3273">
        <f>VLOOKUP(H18450,indexy!$C$44:$D$823,2,FALSE)</f>
        <v>27.43</v>
      </c>
      <c r="E18450" s="2043">
        <f t="shared" si="322"/>
        <v>-0.20612410280157445</v>
      </c>
      <c r="F18450" s="2044">
        <f t="shared" si="323"/>
        <v>-1.6489928224125955E-2</v>
      </c>
      <c r="G18450" s="78"/>
      <c r="H18450" t="str">
        <f>VLOOKUP(B18450,indexy!$A$44:$D$823,3,FALSE)</f>
        <v>TELIA SS Equity</v>
      </c>
    </row>
    <row r="18451" spans="1:8" ht="12.75" hidden="1" customHeight="1" outlineLevel="1" x14ac:dyDescent="0.25">
      <c r="A18451" s="1911">
        <v>0.02</v>
      </c>
      <c r="B18451" s="2826" t="s">
        <v>5249</v>
      </c>
      <c r="C18451" s="2829">
        <v>3.036</v>
      </c>
      <c r="D18451" s="3273">
        <f>VLOOKUP(H18451,indexy!$C$44:$D$823,2,FALSE)</f>
        <v>3.86</v>
      </c>
      <c r="E18451" s="2043">
        <f t="shared" si="322"/>
        <v>0.27140974967061915</v>
      </c>
      <c r="F18451" s="2044">
        <f t="shared" si="323"/>
        <v>5.4281949934123835E-3</v>
      </c>
      <c r="G18451" s="78"/>
      <c r="H18451" t="str">
        <f>VLOOKUP(B18451,indexy!$A$44:$D$823,3,FALSE)</f>
        <v>TLS AT Equity</v>
      </c>
    </row>
    <row r="18452" spans="1:8" ht="12.75" hidden="1" customHeight="1" outlineLevel="1" x14ac:dyDescent="0.25">
      <c r="A18452" s="1911">
        <v>0.02</v>
      </c>
      <c r="B18452" s="2826" t="s">
        <v>3665</v>
      </c>
      <c r="C18452" s="2829">
        <v>25.552</v>
      </c>
      <c r="D18452" s="3273">
        <f>VLOOKUP(H18452,indexy!$C$44:$D$823,2,FALSE)</f>
        <v>21.67</v>
      </c>
      <c r="E18452" s="2043">
        <f t="shared" si="322"/>
        <v>-0.15192548528490912</v>
      </c>
      <c r="F18452" s="2044">
        <f t="shared" si="323"/>
        <v>-3.0385097056981826E-3</v>
      </c>
      <c r="G18452" s="78"/>
      <c r="H18452" t="str">
        <f>VLOOKUP(B18452,indexy!$A$44:$D$823,3,FALSE)</f>
        <v>T CT Equity</v>
      </c>
    </row>
    <row r="18453" spans="1:8" ht="12.75" hidden="1" customHeight="1" outlineLevel="1" x14ac:dyDescent="0.25">
      <c r="A18453" s="1911">
        <v>0.05</v>
      </c>
      <c r="B18453" s="2826" t="s">
        <v>3921</v>
      </c>
      <c r="C18453" s="2829">
        <v>6.1054000000000004</v>
      </c>
      <c r="D18453" s="3273">
        <f>VLOOKUP(H18453,indexy!$C$44:$D$823,2,FALSE)</f>
        <v>7.66</v>
      </c>
      <c r="E18453" s="2043">
        <f t="shared" si="322"/>
        <v>0.25462705146263964</v>
      </c>
      <c r="F18453" s="2044">
        <f t="shared" si="323"/>
        <v>1.2731352573131982E-2</v>
      </c>
      <c r="G18453" s="78"/>
      <c r="H18453" t="str">
        <f>VLOOKUP(B18453,indexy!$A$44:$D$823,3,FALSE)</f>
        <v>TRN IM Equity</v>
      </c>
    </row>
    <row r="18454" spans="1:8" ht="12.75" hidden="1" customHeight="1" outlineLevel="1" x14ac:dyDescent="0.25">
      <c r="A18454" s="1911">
        <v>0.02</v>
      </c>
      <c r="B18454" s="2826" t="s">
        <v>3641</v>
      </c>
      <c r="C18454" s="2829">
        <v>169.43899999999999</v>
      </c>
      <c r="D18454" s="3273">
        <f>VLOOKUP(H18454,indexy!$C$44:$D$823,2,FALSE)</f>
        <v>148.63</v>
      </c>
      <c r="E18454" s="2043">
        <f t="shared" si="322"/>
        <v>-0.12281115917822938</v>
      </c>
      <c r="F18454" s="2044">
        <f t="shared" si="323"/>
        <v>-2.4562231835645876E-3</v>
      </c>
      <c r="G18454" s="78"/>
      <c r="H18454" t="str">
        <f>VLOOKUP(B18454,indexy!$A$44:$D$823,3,FALSE)</f>
        <v>UPS UN Equity</v>
      </c>
    </row>
    <row r="18455" spans="1:8" ht="12.75" hidden="1" customHeight="1" outlineLevel="1" x14ac:dyDescent="0.25">
      <c r="A18455" s="1911">
        <v>0.08</v>
      </c>
      <c r="B18455" s="2826" t="s">
        <v>3903</v>
      </c>
      <c r="C18455" s="2829">
        <v>29.646000000000001</v>
      </c>
      <c r="D18455" s="3273">
        <f>VLOOKUP(H18455,indexy!$C$44:$D$823,2,FALSE)</f>
        <v>30.87</v>
      </c>
      <c r="E18455" s="2043">
        <f t="shared" si="322"/>
        <v>4.1287188828172505E-2</v>
      </c>
      <c r="F18455" s="2044">
        <f t="shared" si="323"/>
        <v>3.3029751062538006E-3</v>
      </c>
      <c r="G18455" s="78"/>
      <c r="H18455" t="str">
        <f>VLOOKUP(B18455,indexy!$A$44:$D$823,3,FALSE)</f>
        <v>UPM FH Equity</v>
      </c>
    </row>
    <row r="18456" spans="1:8" ht="12.75" hidden="1" customHeight="1" outlineLevel="1" x14ac:dyDescent="0.25">
      <c r="A18456" s="1911">
        <v>0.02</v>
      </c>
      <c r="B18456" s="2826" t="s">
        <v>255</v>
      </c>
      <c r="C18456" s="2829">
        <v>60.417000000000002</v>
      </c>
      <c r="D18456" s="3273">
        <f>VLOOKUP(H18456,indexy!$C$44:$D$823,2,FALSE)</f>
        <v>41.96</v>
      </c>
      <c r="E18456" s="2043">
        <f t="shared" si="322"/>
        <v>-0.3054934869324859</v>
      </c>
      <c r="F18456" s="2044">
        <f t="shared" si="323"/>
        <v>-6.1098697386497182E-3</v>
      </c>
      <c r="G18456" s="78"/>
      <c r="H18456" t="str">
        <f>VLOOKUP(B18456,indexy!$A$44:$D$823,3,FALSE)</f>
        <v>VZ UN Equity</v>
      </c>
    </row>
    <row r="18457" spans="1:8" ht="12.75" hidden="1" customHeight="1" outlineLevel="1" x14ac:dyDescent="0.25">
      <c r="A18457" s="1911">
        <v>0.02</v>
      </c>
      <c r="B18457" s="2832" t="s">
        <v>5522</v>
      </c>
      <c r="C18457" s="2833">
        <v>50.658000000000001</v>
      </c>
      <c r="D18457" s="3275">
        <f>VLOOKUP(H18457,indexy!$C$44:$D$823,2,FALSE)</f>
        <v>68.400000000000006</v>
      </c>
      <c r="E18457" s="2046">
        <f t="shared" si="322"/>
        <v>0.35023096055904301</v>
      </c>
      <c r="F18457" s="2047">
        <f>$E18457*$A18457</f>
        <v>7.0046192111808602E-3</v>
      </c>
      <c r="G18457" s="78"/>
      <c r="H18457" t="str">
        <f>VLOOKUP(B18457,indexy!$A$44:$D$823,3,FALSE)</f>
        <v>WES AT Equity</v>
      </c>
    </row>
    <row r="18458" spans="1:8" ht="12.75" hidden="1" customHeight="1" outlineLevel="1" x14ac:dyDescent="0.25">
      <c r="A18458" s="2048" t="s">
        <v>2734</v>
      </c>
      <c r="B18458" s="2049"/>
      <c r="C18458" s="2051"/>
      <c r="D18458" s="2051"/>
      <c r="E18458" s="2052"/>
      <c r="F18458" s="2044">
        <f>SUM(F18428:F18457)</f>
        <v>0.16801837688088206</v>
      </c>
      <c r="G18458" s="78"/>
    </row>
    <row r="18459" spans="1:8" ht="12.75" hidden="1" customHeight="1" outlineLevel="1" x14ac:dyDescent="0.25">
      <c r="A18459" s="2053"/>
      <c r="B18459" s="2054">
        <v>45717</v>
      </c>
      <c r="C18459" s="2055">
        <v>100</v>
      </c>
      <c r="D18459" s="2055"/>
      <c r="E18459" s="2056">
        <f>IF(D18459="",$F$18458,D18459/C18459-1)</f>
        <v>0.16801837688088206</v>
      </c>
      <c r="F18459" s="2057"/>
      <c r="G18459" s="78"/>
    </row>
    <row r="18460" spans="1:8" ht="12.75" hidden="1" customHeight="1" outlineLevel="1" x14ac:dyDescent="0.25">
      <c r="A18460" s="2053"/>
      <c r="B18460" s="2054">
        <v>45748</v>
      </c>
      <c r="C18460" s="2055">
        <v>100</v>
      </c>
      <c r="D18460" s="2058"/>
      <c r="E18460" s="2056">
        <f t="shared" ref="E18460:E18476" si="324">IF(D18460="",$F$18458,D18460/C18460-1)</f>
        <v>0.16801837688088206</v>
      </c>
      <c r="F18460" s="2057"/>
      <c r="G18460" s="78"/>
    </row>
    <row r="18461" spans="1:8" ht="12.75" hidden="1" customHeight="1" outlineLevel="1" x14ac:dyDescent="0.25">
      <c r="A18461" s="2053"/>
      <c r="B18461" s="2054">
        <v>45778</v>
      </c>
      <c r="C18461" s="2055">
        <v>100</v>
      </c>
      <c r="D18461" s="2058"/>
      <c r="E18461" s="2056">
        <f t="shared" si="324"/>
        <v>0.16801837688088206</v>
      </c>
      <c r="F18461" s="2057"/>
      <c r="G18461" s="78"/>
    </row>
    <row r="18462" spans="1:8" ht="12.75" hidden="1" customHeight="1" outlineLevel="1" x14ac:dyDescent="0.25">
      <c r="A18462" s="2053"/>
      <c r="B18462" s="2054">
        <v>45809</v>
      </c>
      <c r="C18462" s="2055">
        <v>100</v>
      </c>
      <c r="D18462" s="2058"/>
      <c r="E18462" s="2056">
        <f t="shared" si="324"/>
        <v>0.16801837688088206</v>
      </c>
      <c r="F18462" s="2057"/>
      <c r="G18462" s="78"/>
    </row>
    <row r="18463" spans="1:8" ht="12.75" hidden="1" customHeight="1" outlineLevel="1" x14ac:dyDescent="0.25">
      <c r="A18463" s="2053"/>
      <c r="B18463" s="2054">
        <v>45839</v>
      </c>
      <c r="C18463" s="2055">
        <v>100</v>
      </c>
      <c r="D18463" s="2058"/>
      <c r="E18463" s="2056">
        <f t="shared" si="324"/>
        <v>0.16801837688088206</v>
      </c>
      <c r="F18463" s="2057"/>
      <c r="G18463" s="78"/>
    </row>
    <row r="18464" spans="1:8" ht="12.75" hidden="1" customHeight="1" outlineLevel="1" x14ac:dyDescent="0.25">
      <c r="A18464" s="2053"/>
      <c r="B18464" s="2054">
        <v>45870</v>
      </c>
      <c r="C18464" s="2055">
        <v>100</v>
      </c>
      <c r="D18464" s="2058"/>
      <c r="E18464" s="2056">
        <f t="shared" si="324"/>
        <v>0.16801837688088206</v>
      </c>
      <c r="F18464" s="2057"/>
      <c r="G18464" s="78"/>
    </row>
    <row r="18465" spans="1:7" ht="12.75" hidden="1" customHeight="1" outlineLevel="1" x14ac:dyDescent="0.25">
      <c r="A18465" s="2053"/>
      <c r="B18465" s="2054">
        <v>45901</v>
      </c>
      <c r="C18465" s="2055">
        <v>100</v>
      </c>
      <c r="D18465" s="2058"/>
      <c r="E18465" s="2056">
        <f t="shared" si="324"/>
        <v>0.16801837688088206</v>
      </c>
      <c r="F18465" s="2057"/>
      <c r="G18465" s="78"/>
    </row>
    <row r="18466" spans="1:7" ht="12.75" hidden="1" customHeight="1" outlineLevel="1" x14ac:dyDescent="0.25">
      <c r="A18466" s="2053"/>
      <c r="B18466" s="2054">
        <v>45931</v>
      </c>
      <c r="C18466" s="2055">
        <v>100</v>
      </c>
      <c r="D18466" s="2058"/>
      <c r="E18466" s="2056">
        <f t="shared" si="324"/>
        <v>0.16801837688088206</v>
      </c>
      <c r="F18466" s="2057"/>
      <c r="G18466" s="78"/>
    </row>
    <row r="18467" spans="1:7" ht="12.75" hidden="1" customHeight="1" outlineLevel="1" x14ac:dyDescent="0.25">
      <c r="A18467" s="2053"/>
      <c r="B18467" s="2054">
        <v>45962</v>
      </c>
      <c r="C18467" s="2055">
        <v>100</v>
      </c>
      <c r="D18467" s="2058"/>
      <c r="E18467" s="2056">
        <f t="shared" si="324"/>
        <v>0.16801837688088206</v>
      </c>
      <c r="F18467" s="2057"/>
      <c r="G18467" s="78"/>
    </row>
    <row r="18468" spans="1:7" ht="12.75" hidden="1" customHeight="1" outlineLevel="1" x14ac:dyDescent="0.25">
      <c r="A18468" s="2053"/>
      <c r="B18468" s="2054">
        <v>45992</v>
      </c>
      <c r="C18468" s="2055">
        <v>100</v>
      </c>
      <c r="D18468" s="2058"/>
      <c r="E18468" s="2056">
        <f t="shared" si="324"/>
        <v>0.16801837688088206</v>
      </c>
      <c r="F18468" s="2057"/>
      <c r="G18468" s="78"/>
    </row>
    <row r="18469" spans="1:7" ht="12.75" hidden="1" customHeight="1" outlineLevel="1" x14ac:dyDescent="0.25">
      <c r="A18469" s="2053"/>
      <c r="B18469" s="2054">
        <v>46023</v>
      </c>
      <c r="C18469" s="2055">
        <v>100</v>
      </c>
      <c r="D18469" s="2058"/>
      <c r="E18469" s="2056">
        <f t="shared" si="324"/>
        <v>0.16801837688088206</v>
      </c>
      <c r="F18469" s="2057"/>
      <c r="G18469" s="78"/>
    </row>
    <row r="18470" spans="1:7" ht="12.75" hidden="1" customHeight="1" outlineLevel="1" x14ac:dyDescent="0.25">
      <c r="A18470" s="2053"/>
      <c r="B18470" s="2054">
        <v>46054</v>
      </c>
      <c r="C18470" s="2055">
        <v>100</v>
      </c>
      <c r="D18470" s="2058"/>
      <c r="E18470" s="2056">
        <f t="shared" si="324"/>
        <v>0.16801837688088206</v>
      </c>
      <c r="F18470" s="2057"/>
      <c r="G18470" s="78"/>
    </row>
    <row r="18471" spans="1:7" ht="12.75" hidden="1" customHeight="1" outlineLevel="1" x14ac:dyDescent="0.25">
      <c r="A18471" s="2053"/>
      <c r="B18471" s="2054">
        <v>46082</v>
      </c>
      <c r="C18471" s="2055">
        <v>100</v>
      </c>
      <c r="D18471" s="2058"/>
      <c r="E18471" s="2056">
        <f t="shared" si="324"/>
        <v>0.16801837688088206</v>
      </c>
      <c r="F18471" s="2057"/>
      <c r="G18471" s="78"/>
    </row>
    <row r="18472" spans="1:7" ht="12.75" hidden="1" customHeight="1" outlineLevel="1" x14ac:dyDescent="0.25">
      <c r="A18472" s="2053"/>
      <c r="B18472" s="2054">
        <v>46113</v>
      </c>
      <c r="C18472" s="2055">
        <v>100</v>
      </c>
      <c r="D18472" s="2058"/>
      <c r="E18472" s="2056">
        <f t="shared" si="324"/>
        <v>0.16801837688088206</v>
      </c>
      <c r="F18472" s="2057"/>
      <c r="G18472" s="78"/>
    </row>
    <row r="18473" spans="1:7" ht="12.75" hidden="1" customHeight="1" outlineLevel="1" x14ac:dyDescent="0.25">
      <c r="A18473" s="2053"/>
      <c r="B18473" s="2054">
        <v>46143</v>
      </c>
      <c r="C18473" s="2055">
        <v>100</v>
      </c>
      <c r="D18473" s="2058"/>
      <c r="E18473" s="2056">
        <f t="shared" si="324"/>
        <v>0.16801837688088206</v>
      </c>
      <c r="F18473" s="2057"/>
      <c r="G18473" s="78"/>
    </row>
    <row r="18474" spans="1:7" ht="12.75" hidden="1" customHeight="1" outlineLevel="1" x14ac:dyDescent="0.25">
      <c r="A18474" s="2053"/>
      <c r="B18474" s="2054">
        <v>46174</v>
      </c>
      <c r="C18474" s="2055">
        <v>100</v>
      </c>
      <c r="D18474" s="2058"/>
      <c r="E18474" s="2056">
        <f t="shared" si="324"/>
        <v>0.16801837688088206</v>
      </c>
      <c r="F18474" s="2057"/>
      <c r="G18474" s="78"/>
    </row>
    <row r="18475" spans="1:7" hidden="1" outlineLevel="1" x14ac:dyDescent="0.25">
      <c r="A18475" s="2053"/>
      <c r="B18475" s="2054">
        <v>46204</v>
      </c>
      <c r="C18475" s="2055">
        <v>100</v>
      </c>
      <c r="D18475" s="2058"/>
      <c r="E18475" s="2056">
        <f t="shared" si="324"/>
        <v>0.16801837688088206</v>
      </c>
      <c r="F18475" s="2057"/>
      <c r="G18475" s="78"/>
    </row>
    <row r="18476" spans="1:7" ht="12.75" hidden="1" customHeight="1" outlineLevel="1" x14ac:dyDescent="0.25">
      <c r="A18476" s="2053"/>
      <c r="B18476" s="2054">
        <v>46235</v>
      </c>
      <c r="C18476" s="2055">
        <v>100</v>
      </c>
      <c r="D18476" s="2058"/>
      <c r="E18476" s="2056">
        <f t="shared" si="324"/>
        <v>0.16801837688088206</v>
      </c>
      <c r="F18476" s="2057"/>
      <c r="G18476" s="78"/>
    </row>
    <row r="18477" spans="1:7" ht="12.75" hidden="1" customHeight="1" outlineLevel="1" x14ac:dyDescent="0.25">
      <c r="A18477" s="1483" t="s">
        <v>2734</v>
      </c>
      <c r="B18477" s="1484"/>
      <c r="C18477" s="1500"/>
      <c r="D18477" s="1485" t="s">
        <v>2465</v>
      </c>
      <c r="E18477" s="1486">
        <f>AVERAGE(E18459:E18476)</f>
        <v>0.16801837688088206</v>
      </c>
      <c r="F18477" s="1844">
        <f>E18477</f>
        <v>0.16801837688088206</v>
      </c>
      <c r="G18477" s="78"/>
    </row>
    <row r="18478" spans="1:7" ht="13.5" customHeight="1" collapsed="1" x14ac:dyDescent="0.25">
      <c r="A18478" s="3799" t="s">
        <v>10504</v>
      </c>
      <c r="B18478" s="3800"/>
      <c r="C18478" s="3800"/>
      <c r="D18478" s="3800"/>
      <c r="E18478" s="18"/>
      <c r="F18478" s="186">
        <f>+IF(F18477&lt;-35%,F18477,IF(F18477&lt;0%,0%,130%*F18477))</f>
        <v>0.21842388994514669</v>
      </c>
      <c r="G18478" s="78"/>
    </row>
    <row r="18480" spans="1:7" ht="12.75" hidden="1" customHeight="1" outlineLevel="1" x14ac:dyDescent="0.25">
      <c r="A18480" s="15" t="s">
        <v>4156</v>
      </c>
      <c r="B18480" s="15" t="s">
        <v>4153</v>
      </c>
      <c r="C18480" s="15" t="s">
        <v>112</v>
      </c>
      <c r="D18480" s="15" t="s">
        <v>4155</v>
      </c>
      <c r="E18480" s="15" t="s">
        <v>4154</v>
      </c>
      <c r="F18480" s="1882" t="s">
        <v>2519</v>
      </c>
      <c r="G18480" s="78"/>
    </row>
    <row r="18481" spans="1:8" ht="12.75" hidden="1" customHeight="1" outlineLevel="1" x14ac:dyDescent="0.25">
      <c r="A18481" s="134">
        <v>0.02</v>
      </c>
      <c r="B18481" s="151" t="s">
        <v>7111</v>
      </c>
      <c r="C18481" s="454">
        <v>111.08199999999999</v>
      </c>
      <c r="D18481" s="2954">
        <f>VLOOKUP($H18481,indexy!$C$44:$D$823,2,FALSE)</f>
        <v>182.1</v>
      </c>
      <c r="E18481" s="1491">
        <f>$D18481/$C18481-1</f>
        <v>0.63932950433013458</v>
      </c>
      <c r="F18481" s="1805">
        <f>$E18481*$A18481</f>
        <v>1.2786590086602692E-2</v>
      </c>
      <c r="G18481" s="78"/>
      <c r="H18481" t="str">
        <f>VLOOKUP(B18481,indexy!$A$44:$D$823,3,FALSE)</f>
        <v>ABBV UN Equity</v>
      </c>
    </row>
    <row r="18482" spans="1:8" ht="12.75" hidden="1" customHeight="1" outlineLevel="1" x14ac:dyDescent="0.25">
      <c r="A18482" s="135">
        <v>0.02</v>
      </c>
      <c r="B18482" s="151" t="s">
        <v>8259</v>
      </c>
      <c r="C18482" s="410">
        <v>246.23099999999999</v>
      </c>
      <c r="D18482" s="2955">
        <f>VLOOKUP(H18482,indexy!$C$44:$D$823,2,FALSE)</f>
        <v>284.32</v>
      </c>
      <c r="E18482" s="1493">
        <f t="shared" ref="E18482:E18510" si="325">$D18482/$C18482-1</f>
        <v>0.15468807745572244</v>
      </c>
      <c r="F18482" s="1313">
        <f t="shared" ref="F18482:F18509" si="326">$E18482*$A18482</f>
        <v>3.0937615491144488E-3</v>
      </c>
      <c r="G18482" s="78"/>
      <c r="H18482" t="str">
        <f>VLOOKUP(B18482,indexy!$A$44:$D$823,3,FALSE)</f>
        <v>AMGN UW Equity</v>
      </c>
    </row>
    <row r="18483" spans="1:8" ht="12.75" hidden="1" customHeight="1" outlineLevel="1" x14ac:dyDescent="0.25">
      <c r="A18483" s="135">
        <v>0.02</v>
      </c>
      <c r="B18483" s="151" t="s">
        <v>2942</v>
      </c>
      <c r="C18483" s="410">
        <v>1673.45</v>
      </c>
      <c r="D18483" s="2955">
        <f>VLOOKUP(H18483,indexy!$C$44:$D$823,2,FALSE)</f>
        <v>1625</v>
      </c>
      <c r="E18483" s="1493">
        <f t="shared" si="325"/>
        <v>-2.8952164689712845E-2</v>
      </c>
      <c r="F18483" s="1313">
        <f t="shared" si="326"/>
        <v>-5.7904329379425694E-4</v>
      </c>
      <c r="G18483" s="78"/>
      <c r="H18483" t="str">
        <f>VLOOKUP(B18483,indexy!$A$44:$D$823,3,FALSE)</f>
        <v>4503 JT Equity</v>
      </c>
    </row>
    <row r="18484" spans="1:8" ht="12.75" hidden="1" customHeight="1" outlineLevel="1" x14ac:dyDescent="0.25">
      <c r="A18484" s="135">
        <v>0.02</v>
      </c>
      <c r="B18484" s="151" t="s">
        <v>1903</v>
      </c>
      <c r="C18484" s="410">
        <v>76.096999999999994</v>
      </c>
      <c r="D18484" s="2955">
        <f>VLOOKUP(H18484,indexy!$C$44:$D$823,2,FALSE)/100</f>
        <v>106.78</v>
      </c>
      <c r="E18484" s="1493">
        <f t="shared" si="325"/>
        <v>0.40320906211808616</v>
      </c>
      <c r="F18484" s="1313">
        <f t="shared" si="326"/>
        <v>8.0641812423617228E-3</v>
      </c>
      <c r="G18484" s="78"/>
      <c r="H18484" t="str">
        <f>VLOOKUP(B18484,indexy!$A$44:$D$823,3,FALSE)</f>
        <v>AZN LN Equity</v>
      </c>
    </row>
    <row r="18485" spans="1:8" ht="12.75" hidden="1" customHeight="1" outlineLevel="1" x14ac:dyDescent="0.25">
      <c r="A18485" s="135">
        <v>0.03</v>
      </c>
      <c r="B18485" s="151" t="s">
        <v>807</v>
      </c>
      <c r="C18485" s="1468">
        <v>55.16</v>
      </c>
      <c r="D18485" s="2955">
        <f>VLOOKUP(H18485,indexy!$C$44:$D$823,2,FALSE)</f>
        <v>46.03</v>
      </c>
      <c r="E18485" s="1493">
        <f t="shared" si="325"/>
        <v>-0.1655184916606236</v>
      </c>
      <c r="F18485" s="1313">
        <f t="shared" si="326"/>
        <v>-4.9655547498187076E-3</v>
      </c>
      <c r="G18485" s="78"/>
      <c r="H18485" t="str">
        <f>VLOOKUP(B18485,indexy!$A$44:$D$823,3,FALSE)</f>
        <v>BCE CT Equity</v>
      </c>
    </row>
    <row r="18486" spans="1:8" ht="12.75" hidden="1" customHeight="1" outlineLevel="1" x14ac:dyDescent="0.25">
      <c r="A18486" s="135">
        <v>0.02</v>
      </c>
      <c r="B18486" s="151" t="s">
        <v>4377</v>
      </c>
      <c r="C18486" s="1468">
        <v>65.424999999999997</v>
      </c>
      <c r="D18486" s="2955">
        <f>VLOOKUP(H18486,indexy!$C$44:$D$823,2,FALSE)</f>
        <v>54.23</v>
      </c>
      <c r="E18486" s="1493">
        <f t="shared" si="325"/>
        <v>-0.17111196025983955</v>
      </c>
      <c r="F18486" s="1313">
        <f t="shared" si="326"/>
        <v>-3.4222392051967911E-3</v>
      </c>
      <c r="G18486" s="78"/>
      <c r="H18486" t="str">
        <f>VLOOKUP(B18486,indexy!$A$44:$D$823,3,FALSE)</f>
        <v>BMY UN Equity</v>
      </c>
    </row>
    <row r="18487" spans="1:8" ht="12.75" hidden="1" customHeight="1" outlineLevel="1" x14ac:dyDescent="0.25">
      <c r="A18487" s="135">
        <v>0.02</v>
      </c>
      <c r="B18487" s="151" t="s">
        <v>53</v>
      </c>
      <c r="C18487" s="410">
        <v>54.131999999999998</v>
      </c>
      <c r="D18487" s="2955">
        <f>VLOOKUP(H18487,indexy!$C$44:$D$823,2,FALSE)</f>
        <v>59.89</v>
      </c>
      <c r="E18487" s="1493">
        <f t="shared" si="325"/>
        <v>0.1063696150151483</v>
      </c>
      <c r="F18487" s="1313">
        <f t="shared" si="326"/>
        <v>2.1273923003029662E-3</v>
      </c>
      <c r="G18487" s="78"/>
      <c r="H18487" t="str">
        <f>VLOOKUP(B18487,indexy!$A$44:$D$823,3,FALSE)</f>
        <v>BN FP Equity</v>
      </c>
    </row>
    <row r="18488" spans="1:8" ht="12.75" hidden="1" customHeight="1" outlineLevel="1" x14ac:dyDescent="0.25">
      <c r="A18488" s="135">
        <v>0.08</v>
      </c>
      <c r="B18488" s="151" t="s">
        <v>2629</v>
      </c>
      <c r="C18488" s="410">
        <v>15.1065</v>
      </c>
      <c r="D18488" s="2955">
        <f>VLOOKUP(H18488,indexy!$C$44:$D$823,2,FALSE)</f>
        <v>22.5</v>
      </c>
      <c r="E18488" s="1493">
        <f t="shared" si="325"/>
        <v>0.48942508191837941</v>
      </c>
      <c r="F18488" s="1313">
        <f t="shared" si="326"/>
        <v>3.9154006553470351E-2</v>
      </c>
      <c r="G18488" s="78"/>
      <c r="H18488" t="str">
        <f>VLOOKUP(B18488,indexy!$A$44:$D$823,3,FALSE)</f>
        <v>DTE GY Equity</v>
      </c>
    </row>
    <row r="18489" spans="1:8" ht="12.75" hidden="1" customHeight="1" outlineLevel="1" x14ac:dyDescent="0.25">
      <c r="A18489" s="135">
        <v>0.02</v>
      </c>
      <c r="B18489" s="151" t="s">
        <v>4064</v>
      </c>
      <c r="C18489" s="410">
        <v>194.828</v>
      </c>
      <c r="D18489" s="2955">
        <f>VLOOKUP(H18489,indexy!$C$44:$D$823,2,FALSE)</f>
        <v>777.96</v>
      </c>
      <c r="E18489" s="1493">
        <f t="shared" si="325"/>
        <v>2.9930605457121153</v>
      </c>
      <c r="F18489" s="1313">
        <f t="shared" si="326"/>
        <v>5.9861210914242305E-2</v>
      </c>
      <c r="G18489" s="78"/>
      <c r="H18489" t="str">
        <f>VLOOKUP(B18489,indexy!$A$44:$D$823,3,FALSE)</f>
        <v>LLY UN Equity</v>
      </c>
    </row>
    <row r="18490" spans="1:8" ht="12.75" hidden="1" customHeight="1" outlineLevel="1" x14ac:dyDescent="0.25">
      <c r="A18490" s="135">
        <v>0.02</v>
      </c>
      <c r="B18490" s="151" t="s">
        <v>10118</v>
      </c>
      <c r="C18490" s="410">
        <v>51.878</v>
      </c>
      <c r="D18490" s="2955">
        <f>VLOOKUP(H18490,indexy!$C$44:$D$823,2,FALSE)</f>
        <v>53.52</v>
      </c>
      <c r="E18490" s="1493">
        <f t="shared" si="325"/>
        <v>3.1651181618412405E-2</v>
      </c>
      <c r="F18490" s="1313">
        <f t="shared" si="326"/>
        <v>6.3302363236824807E-4</v>
      </c>
      <c r="G18490" s="78"/>
      <c r="H18490" t="str">
        <f>VLOOKUP(B18490,indexy!$A$44:$D$823,3,FALSE)</f>
        <v>FTS CT Equity</v>
      </c>
    </row>
    <row r="18491" spans="1:8" ht="12.75" hidden="1" customHeight="1" outlineLevel="1" x14ac:dyDescent="0.25">
      <c r="A18491" s="135">
        <v>0.02</v>
      </c>
      <c r="B18491" s="151" t="s">
        <v>9623</v>
      </c>
      <c r="C18491" s="410">
        <v>64.900000000000006</v>
      </c>
      <c r="D18491" s="2955">
        <f>VLOOKUP(H18491,indexy!$C$44:$D$823,2,FALSE)</f>
        <v>73.25</v>
      </c>
      <c r="E18491" s="1493">
        <f t="shared" si="325"/>
        <v>0.12865947611710316</v>
      </c>
      <c r="F18491" s="1313">
        <f t="shared" si="326"/>
        <v>2.5731895223420633E-3</v>
      </c>
      <c r="G18491" s="78"/>
      <c r="H18491" t="str">
        <f>VLOOKUP(B18491,indexy!$A$44:$D$823,3,FALSE)</f>
        <v>GILD UW Equity</v>
      </c>
    </row>
    <row r="18492" spans="1:8" ht="12.75" hidden="1" customHeight="1" outlineLevel="1" x14ac:dyDescent="0.25">
      <c r="A18492" s="135">
        <v>0.08</v>
      </c>
      <c r="B18492" s="151" t="s">
        <v>3799</v>
      </c>
      <c r="C18492" s="410">
        <v>13.876799999999999</v>
      </c>
      <c r="D18492" s="2955">
        <f>VLOOKUP(H18492,indexy!$C$44:$D$823,2,FALSE)/100</f>
        <v>17.085999999999999</v>
      </c>
      <c r="E18492" s="1493">
        <f t="shared" si="325"/>
        <v>0.23126369191744489</v>
      </c>
      <c r="F18492" s="1313">
        <f t="shared" si="326"/>
        <v>1.8501095353395593E-2</v>
      </c>
      <c r="G18492" s="78"/>
      <c r="H18492" t="str">
        <f>VLOOKUP(B18492,indexy!$A$44:$D$823,3,FALSE)</f>
        <v>GSK LN Equity</v>
      </c>
    </row>
    <row r="18493" spans="1:8" ht="12.75" hidden="1" customHeight="1" outlineLevel="1" x14ac:dyDescent="0.25">
      <c r="A18493" s="135">
        <v>0.02</v>
      </c>
      <c r="B18493" s="151" t="s">
        <v>10510</v>
      </c>
      <c r="C18493" s="2740">
        <v>29.408000000000001</v>
      </c>
      <c r="D18493" s="2955">
        <f>VLOOKUP(H18493,indexy!$C$44:$D$823,2,FALSE)</f>
        <v>39.5</v>
      </c>
      <c r="E18493" s="1493">
        <f t="shared" si="325"/>
        <v>0.34317192600652868</v>
      </c>
      <c r="F18493" s="1313">
        <f t="shared" si="326"/>
        <v>6.8634385201305735E-3</v>
      </c>
      <c r="G18493" s="78"/>
      <c r="H18493" t="str">
        <f>VLOOKUP(B18493,indexy!$A$44:$D$823,3,FALSE)</f>
        <v>H CT Equity</v>
      </c>
    </row>
    <row r="18494" spans="1:8" ht="12.75" hidden="1" customHeight="1" outlineLevel="1" x14ac:dyDescent="0.25">
      <c r="A18494" s="135">
        <v>0.02</v>
      </c>
      <c r="B18494" s="151" t="s">
        <v>3426</v>
      </c>
      <c r="C18494" s="410">
        <v>161.27600000000001</v>
      </c>
      <c r="D18494" s="2955">
        <f>VLOOKUP(H18494,indexy!$C$44:$D$823,2,FALSE)</f>
        <v>158.19</v>
      </c>
      <c r="E18494" s="1493">
        <f t="shared" si="325"/>
        <v>-1.9134899179047204E-2</v>
      </c>
      <c r="F18494" s="1313">
        <f t="shared" si="326"/>
        <v>-3.8269798358094411E-4</v>
      </c>
      <c r="G18494" s="78"/>
      <c r="H18494" t="str">
        <f>VLOOKUP(B18494,indexy!$A$44:$D$823,3,FALSE)</f>
        <v>JNJ UN Equity</v>
      </c>
    </row>
    <row r="18495" spans="1:8" ht="12.75" hidden="1" customHeight="1" outlineLevel="1" x14ac:dyDescent="0.25">
      <c r="A18495" s="135">
        <v>0.02</v>
      </c>
      <c r="B18495" s="151" t="s">
        <v>1381</v>
      </c>
      <c r="C18495" s="410">
        <v>131.90700000000001</v>
      </c>
      <c r="D18495" s="2955">
        <f>VLOOKUP(H18495,indexy!$C$44:$D$823,2,FALSE)</f>
        <v>129.35</v>
      </c>
      <c r="E18495" s="1493">
        <f t="shared" si="325"/>
        <v>-1.9384869643006231E-2</v>
      </c>
      <c r="F18495" s="1313">
        <f t="shared" si="326"/>
        <v>-3.8769739286012464E-4</v>
      </c>
      <c r="G18495" s="78"/>
      <c r="H18495" t="str">
        <f>VLOOKUP(B18495,indexy!$A$44:$D$823,3,FALSE)</f>
        <v>KMB UN Equity</v>
      </c>
    </row>
    <row r="18496" spans="1:8" ht="12.75" hidden="1" customHeight="1" outlineLevel="1" x14ac:dyDescent="0.25">
      <c r="A18496" s="135">
        <v>0.02</v>
      </c>
      <c r="B18496" s="151" t="s">
        <v>4034</v>
      </c>
      <c r="C18496" s="410">
        <v>23.969000000000001</v>
      </c>
      <c r="D18496" s="2955">
        <f>VLOOKUP(H18496,indexy!$C$44:$D$823,2,FALSE)</f>
        <v>27.72</v>
      </c>
      <c r="E18496" s="1493">
        <f t="shared" si="325"/>
        <v>0.15649380449747574</v>
      </c>
      <c r="F18496" s="1313">
        <f t="shared" si="326"/>
        <v>3.129876089949515E-3</v>
      </c>
      <c r="G18496" s="78"/>
      <c r="H18496" t="str">
        <f>VLOOKUP(B18496,indexy!$A$44:$D$823,3,FALSE)</f>
        <v>AD NA Equity</v>
      </c>
    </row>
    <row r="18497" spans="1:8" ht="12.75" hidden="1" customHeight="1" outlineLevel="1" x14ac:dyDescent="0.25">
      <c r="A18497" s="135">
        <v>0.02</v>
      </c>
      <c r="B18497" s="151" t="s">
        <v>1905</v>
      </c>
      <c r="C18497" s="410">
        <v>82.494</v>
      </c>
      <c r="D18497" s="2955">
        <f>VLOOKUP(H18497,indexy!$C$44:$D$823,2,FALSE)</f>
        <v>131.94999999999999</v>
      </c>
      <c r="E18497" s="1493">
        <f t="shared" si="325"/>
        <v>0.59951026741338742</v>
      </c>
      <c r="F18497" s="1313">
        <f t="shared" si="326"/>
        <v>1.1990205348267748E-2</v>
      </c>
      <c r="G18497" s="78"/>
      <c r="H18497" t="str">
        <f>VLOOKUP(B18497,indexy!$A$44:$D$823,3,FALSE)</f>
        <v>MRK UN Equity</v>
      </c>
    </row>
    <row r="18498" spans="1:8" ht="12.75" hidden="1" customHeight="1" outlineLevel="1" x14ac:dyDescent="0.25">
      <c r="A18498" s="135">
        <v>0.08</v>
      </c>
      <c r="B18498" s="151" t="s">
        <v>10528</v>
      </c>
      <c r="C18498" s="410">
        <f>3230.9/3</f>
        <v>1076.9666666666667</v>
      </c>
      <c r="D18498" s="2955">
        <f>VLOOKUP(H18498,indexy!$C$44:$D$823,2,FALSE)</f>
        <v>2664.5</v>
      </c>
      <c r="E18498" s="1493">
        <f t="shared" si="325"/>
        <v>1.4740784301587793</v>
      </c>
      <c r="F18498" s="1313">
        <f t="shared" si="326"/>
        <v>0.11792627441270234</v>
      </c>
      <c r="G18498" s="78"/>
      <c r="H18498" t="str">
        <f>VLOOKUP(B18498,indexy!$A$44:$D$823,3,FALSE)</f>
        <v>8725 JT Equity</v>
      </c>
    </row>
    <row r="18499" spans="1:8" ht="12.75" hidden="1" customHeight="1" outlineLevel="1" x14ac:dyDescent="0.25">
      <c r="A18499" s="135">
        <v>0.05</v>
      </c>
      <c r="B18499" s="151" t="s">
        <v>2786</v>
      </c>
      <c r="C18499" s="410">
        <v>8.7254000000000005</v>
      </c>
      <c r="D18499" s="2955">
        <f>VLOOKUP(H18499,indexy!$C$44:$D$823,2,FALSE)/100</f>
        <v>10.66</v>
      </c>
      <c r="E18499" s="1493">
        <f t="shared" si="325"/>
        <v>0.221720494189378</v>
      </c>
      <c r="F18499" s="1313">
        <f t="shared" si="326"/>
        <v>1.10860247094689E-2</v>
      </c>
      <c r="G18499" s="78"/>
      <c r="H18499" t="str">
        <f>VLOOKUP(B18499,indexy!$A$44:$D$823,3,FALSE)</f>
        <v>NG/ LN Equity</v>
      </c>
    </row>
    <row r="18500" spans="1:8" ht="12.75" hidden="1" customHeight="1" outlineLevel="1" x14ac:dyDescent="0.25">
      <c r="A18500" s="135">
        <v>0.05</v>
      </c>
      <c r="B18500" s="151" t="s">
        <v>2787</v>
      </c>
      <c r="C18500" s="410">
        <v>84.724000000000004</v>
      </c>
      <c r="D18500" s="2955">
        <f>VLOOKUP(H18500,indexy!$C$44:$D$823,2,FALSE)</f>
        <v>87.37</v>
      </c>
      <c r="E18500" s="1493">
        <f t="shared" si="325"/>
        <v>3.1230820074595211E-2</v>
      </c>
      <c r="F18500" s="1313">
        <f t="shared" si="326"/>
        <v>1.5615410037297607E-3</v>
      </c>
      <c r="G18500" s="78"/>
      <c r="H18500" t="str">
        <f>VLOOKUP(B18500,indexy!$A$44:$D$823,3,FALSE)</f>
        <v>NOVN SE Equity</v>
      </c>
    </row>
    <row r="18501" spans="1:8" ht="12.75" hidden="1" customHeight="1" outlineLevel="1" x14ac:dyDescent="0.25">
      <c r="A18501" s="135">
        <v>0.02</v>
      </c>
      <c r="B18501" s="151" t="s">
        <v>4293</v>
      </c>
      <c r="C18501" s="410">
        <f>438.925/2</f>
        <v>219.46250000000001</v>
      </c>
      <c r="D18501" s="2955">
        <f>VLOOKUP(H18501,indexy!$C$44:$D$823,2,FALSE)</f>
        <v>881.3</v>
      </c>
      <c r="E18501" s="1493">
        <f t="shared" si="325"/>
        <v>3.0157202255510622</v>
      </c>
      <c r="F18501" s="1313">
        <f t="shared" si="326"/>
        <v>6.0314404511021248E-2</v>
      </c>
      <c r="G18501" s="78"/>
      <c r="H18501" t="str">
        <f>VLOOKUP(B18501,indexy!$A$44:$D$823,3,FALSE)</f>
        <v>NOVOB DC Equity</v>
      </c>
    </row>
    <row r="18502" spans="1:8" ht="12.75" hidden="1" customHeight="1" outlineLevel="1" x14ac:dyDescent="0.25">
      <c r="A18502" s="135">
        <v>0.02</v>
      </c>
      <c r="B18502" s="151" t="s">
        <v>1204</v>
      </c>
      <c r="C18502" s="410">
        <v>141.10300000000001</v>
      </c>
      <c r="D18502" s="2955">
        <f>VLOOKUP(H18502,indexy!$C$44:$D$823,2,FALSE)</f>
        <v>175.01</v>
      </c>
      <c r="E18502" s="1493">
        <f t="shared" si="325"/>
        <v>0.2402996392706036</v>
      </c>
      <c r="F18502" s="1313">
        <f t="shared" si="326"/>
        <v>4.8059927854120724E-3</v>
      </c>
      <c r="G18502" s="78"/>
      <c r="H18502" t="str">
        <f>VLOOKUP(B18502,indexy!$A$44:$D$823,3,FALSE)</f>
        <v>PEP UW Equity</v>
      </c>
    </row>
    <row r="18503" spans="1:8" ht="12.75" hidden="1" customHeight="1" outlineLevel="1" x14ac:dyDescent="0.25">
      <c r="A18503" s="135">
        <v>0.02</v>
      </c>
      <c r="B18503" s="151" t="s">
        <v>3800</v>
      </c>
      <c r="C18503" s="410">
        <v>315.61500000000001</v>
      </c>
      <c r="D18503" s="2955">
        <f>VLOOKUP(H18503,indexy!$C$44:$D$823,2,FALSE)</f>
        <v>229.7</v>
      </c>
      <c r="E18503" s="1493">
        <f t="shared" si="325"/>
        <v>-0.27221456521394738</v>
      </c>
      <c r="F18503" s="1313">
        <f t="shared" si="326"/>
        <v>-5.4442913042789479E-3</v>
      </c>
      <c r="G18503" s="78"/>
      <c r="H18503" t="str">
        <f>VLOOKUP(B18503,indexy!$A$44:$D$823,3,FALSE)</f>
        <v>ROG SE Equity</v>
      </c>
    </row>
    <row r="18504" spans="1:8" ht="12.75" hidden="1" customHeight="1" outlineLevel="1" x14ac:dyDescent="0.25">
      <c r="A18504" s="135">
        <v>0.02</v>
      </c>
      <c r="B18504" s="151" t="s">
        <v>1187</v>
      </c>
      <c r="C18504" s="410">
        <v>81.004999999999995</v>
      </c>
      <c r="D18504" s="2955">
        <f>VLOOKUP(H18504,indexy!$C$44:$D$823,2,FALSE)</f>
        <v>90.96</v>
      </c>
      <c r="E18504" s="1493">
        <f t="shared" si="325"/>
        <v>0.12289364854021345</v>
      </c>
      <c r="F18504" s="1313">
        <f t="shared" si="326"/>
        <v>2.4578729708042693E-3</v>
      </c>
      <c r="G18504" s="78"/>
      <c r="H18504" t="str">
        <f>VLOOKUP(B18504,indexy!$A$44:$D$823,3,FALSE)</f>
        <v>SAN FP Equity</v>
      </c>
    </row>
    <row r="18505" spans="1:8" ht="12.75" hidden="1" customHeight="1" outlineLevel="1" x14ac:dyDescent="0.25">
      <c r="A18505" s="135">
        <v>0.05</v>
      </c>
      <c r="B18505" s="151" t="s">
        <v>7348</v>
      </c>
      <c r="C18505" s="410">
        <f>2718.4/25</f>
        <v>108.736</v>
      </c>
      <c r="D18505" s="2955">
        <f>VLOOKUP(H18505,indexy!$C$44:$D$823,2,FALSE)</f>
        <v>87.5</v>
      </c>
      <c r="E18505" s="1493">
        <f t="shared" si="325"/>
        <v>-0.19529870512065928</v>
      </c>
      <c r="F18505" s="1313">
        <f t="shared" si="326"/>
        <v>-9.7649352560329646E-3</v>
      </c>
      <c r="G18505" s="78"/>
      <c r="H18505" t="str">
        <f>VLOOKUP(B18505,indexy!$A$44:$D$823,3,FALSE)</f>
        <v>SGSN SE Equity</v>
      </c>
    </row>
    <row r="18506" spans="1:8" ht="12.75" hidden="1" customHeight="1" outlineLevel="1" x14ac:dyDescent="0.25">
      <c r="A18506" s="135">
        <v>0.08</v>
      </c>
      <c r="B18506" s="151" t="s">
        <v>1239</v>
      </c>
      <c r="C18506" s="410">
        <v>474.39</v>
      </c>
      <c r="D18506" s="2955">
        <f>VLOOKUP(H18506,indexy!$C$44:$D$823,2,FALSE)</f>
        <v>551.4</v>
      </c>
      <c r="E18506" s="1493">
        <f t="shared" si="325"/>
        <v>0.16233478783279587</v>
      </c>
      <c r="F18506" s="1313">
        <f t="shared" si="326"/>
        <v>1.298678302662367E-2</v>
      </c>
      <c r="G18506" s="78"/>
      <c r="H18506" t="str">
        <f>VLOOKUP(B18506,indexy!$A$44:$D$823,3,FALSE)</f>
        <v>SCMN SE Equity</v>
      </c>
    </row>
    <row r="18507" spans="1:8" ht="12.75" hidden="1" customHeight="1" outlineLevel="1" x14ac:dyDescent="0.25">
      <c r="A18507" s="135">
        <v>0.04</v>
      </c>
      <c r="B18507" s="151" t="s">
        <v>3022</v>
      </c>
      <c r="C18507" s="410">
        <v>3654.8</v>
      </c>
      <c r="D18507" s="2955">
        <f>VLOOKUP(H18507,indexy!$C$44:$D$823,2,FALSE)</f>
        <v>4203</v>
      </c>
      <c r="E18507" s="1493">
        <f t="shared" si="325"/>
        <v>0.14999452774433619</v>
      </c>
      <c r="F18507" s="1313">
        <f t="shared" si="326"/>
        <v>5.9997811097734482E-3</v>
      </c>
      <c r="G18507" s="78"/>
      <c r="H18507" t="str">
        <f>VLOOKUP(B18507,indexy!$A$44:$D$823,3,FALSE)</f>
        <v>4502 JT Equity</v>
      </c>
    </row>
    <row r="18508" spans="1:8" ht="12.75" hidden="1" customHeight="1" outlineLevel="1" x14ac:dyDescent="0.25">
      <c r="A18508" s="135">
        <v>0.06</v>
      </c>
      <c r="B18508" s="151" t="s">
        <v>5249</v>
      </c>
      <c r="C18508" s="410">
        <v>3.1070000000000002</v>
      </c>
      <c r="D18508" s="2955">
        <f>VLOOKUP(H18508,indexy!$C$44:$D$823,2,FALSE)</f>
        <v>3.86</v>
      </c>
      <c r="E18508" s="1493">
        <f t="shared" si="325"/>
        <v>0.24235597038944312</v>
      </c>
      <c r="F18508" s="1313">
        <f t="shared" si="326"/>
        <v>1.4541358223366586E-2</v>
      </c>
      <c r="G18508" s="78"/>
      <c r="H18508" t="str">
        <f>VLOOKUP(B18508,indexy!$A$44:$D$823,3,FALSE)</f>
        <v>TLS AT Equity</v>
      </c>
    </row>
    <row r="18509" spans="1:8" ht="12.75" hidden="1" customHeight="1" outlineLevel="1" x14ac:dyDescent="0.25">
      <c r="A18509" s="135">
        <v>0.02</v>
      </c>
      <c r="B18509" s="151" t="s">
        <v>3665</v>
      </c>
      <c r="C18509" s="410">
        <v>26.427</v>
      </c>
      <c r="D18509" s="2955">
        <f>VLOOKUP(H18509,indexy!$C$44:$D$823,2,FALSE)</f>
        <v>21.67</v>
      </c>
      <c r="E18509" s="1493">
        <f t="shared" si="325"/>
        <v>-0.18000529761229034</v>
      </c>
      <c r="F18509" s="1313">
        <f t="shared" si="326"/>
        <v>-3.6001059522458067E-3</v>
      </c>
      <c r="G18509" s="78"/>
      <c r="H18509" t="str">
        <f>VLOOKUP(B18509,indexy!$A$44:$D$823,3,FALSE)</f>
        <v>T CT Equity</v>
      </c>
    </row>
    <row r="18510" spans="1:8" ht="12.75" hidden="1" customHeight="1" outlineLevel="1" x14ac:dyDescent="0.25">
      <c r="A18510" s="135">
        <v>0.02</v>
      </c>
      <c r="B18510" s="2736" t="s">
        <v>255</v>
      </c>
      <c r="C18510" s="2741">
        <v>57.366999999999997</v>
      </c>
      <c r="D18510" s="2956">
        <f>VLOOKUP(H18510,indexy!$C$44:$D$823,2,FALSE)</f>
        <v>41.96</v>
      </c>
      <c r="E18510" s="1495">
        <f t="shared" si="325"/>
        <v>-0.26856903794864639</v>
      </c>
      <c r="F18510" s="1314">
        <f>$E18510*$A18510</f>
        <v>-5.3713807589729282E-3</v>
      </c>
      <c r="G18510" s="78"/>
      <c r="H18510" t="str">
        <f>VLOOKUP(B18510,indexy!$A$44:$D$823,3,FALSE)</f>
        <v>VZ UN Equity</v>
      </c>
    </row>
    <row r="18511" spans="1:8" ht="12.75" hidden="1" customHeight="1" outlineLevel="1" x14ac:dyDescent="0.25">
      <c r="A18511" s="1475" t="s">
        <v>2734</v>
      </c>
      <c r="B18511" s="150"/>
      <c r="C18511" s="1477"/>
      <c r="D18511" s="1477"/>
      <c r="E18511" s="512"/>
      <c r="F18511" s="1313">
        <f>SUM(F18481:F18510)</f>
        <v>0.36654005796866906</v>
      </c>
      <c r="G18511" s="78"/>
    </row>
    <row r="18512" spans="1:8" ht="12.75" hidden="1" customHeight="1" outlineLevel="1" x14ac:dyDescent="0.25">
      <c r="A18512" s="221"/>
      <c r="B18512" s="1478">
        <v>45748</v>
      </c>
      <c r="C18512" s="1497">
        <v>100</v>
      </c>
      <c r="D18512" s="1497"/>
      <c r="E18512" s="1498">
        <f>IF(D18512="",$F$18511,D18512/C18512-1)</f>
        <v>0.36654005796866906</v>
      </c>
      <c r="F18512" s="1842"/>
      <c r="G18512" s="78"/>
    </row>
    <row r="18513" spans="1:7" ht="12.75" hidden="1" customHeight="1" outlineLevel="1" x14ac:dyDescent="0.25">
      <c r="A18513" s="221"/>
      <c r="B18513" s="1478">
        <v>45778</v>
      </c>
      <c r="C18513" s="1497">
        <v>100</v>
      </c>
      <c r="D18513" s="1500"/>
      <c r="E18513" s="1498">
        <f t="shared" ref="E18513:E18529" si="327">IF(D18513="",$F$18511,D18513/C18513-1)</f>
        <v>0.36654005796866906</v>
      </c>
      <c r="F18513" s="1842"/>
      <c r="G18513" s="78"/>
    </row>
    <row r="18514" spans="1:7" ht="12.75" hidden="1" customHeight="1" outlineLevel="1" x14ac:dyDescent="0.25">
      <c r="A18514" s="221"/>
      <c r="B18514" s="1478">
        <v>45809</v>
      </c>
      <c r="C18514" s="1497">
        <v>100</v>
      </c>
      <c r="D18514" s="1500"/>
      <c r="E18514" s="1498">
        <f t="shared" si="327"/>
        <v>0.36654005796866906</v>
      </c>
      <c r="F18514" s="1842"/>
      <c r="G18514" s="78"/>
    </row>
    <row r="18515" spans="1:7" ht="12.75" hidden="1" customHeight="1" outlineLevel="1" x14ac:dyDescent="0.25">
      <c r="A18515" s="221"/>
      <c r="B18515" s="1478">
        <v>45839</v>
      </c>
      <c r="C18515" s="1497">
        <v>100</v>
      </c>
      <c r="D18515" s="1500"/>
      <c r="E18515" s="1498">
        <f t="shared" si="327"/>
        <v>0.36654005796866906</v>
      </c>
      <c r="F18515" s="1842"/>
      <c r="G18515" s="78"/>
    </row>
    <row r="18516" spans="1:7" ht="12.75" hidden="1" customHeight="1" outlineLevel="1" x14ac:dyDescent="0.25">
      <c r="A18516" s="221"/>
      <c r="B18516" s="1478">
        <v>45870</v>
      </c>
      <c r="C18516" s="1497">
        <v>100</v>
      </c>
      <c r="D18516" s="1500"/>
      <c r="E18516" s="1498">
        <f t="shared" si="327"/>
        <v>0.36654005796866906</v>
      </c>
      <c r="F18516" s="1842"/>
      <c r="G18516" s="78"/>
    </row>
    <row r="18517" spans="1:7" ht="12.75" hidden="1" customHeight="1" outlineLevel="1" x14ac:dyDescent="0.25">
      <c r="A18517" s="221"/>
      <c r="B18517" s="1478">
        <v>45901</v>
      </c>
      <c r="C18517" s="1497">
        <v>100</v>
      </c>
      <c r="D18517" s="1500"/>
      <c r="E18517" s="1498">
        <f t="shared" si="327"/>
        <v>0.36654005796866906</v>
      </c>
      <c r="F18517" s="1842"/>
      <c r="G18517" s="78"/>
    </row>
    <row r="18518" spans="1:7" ht="12.75" hidden="1" customHeight="1" outlineLevel="1" x14ac:dyDescent="0.25">
      <c r="A18518" s="221"/>
      <c r="B18518" s="1478">
        <v>45931</v>
      </c>
      <c r="C18518" s="1497">
        <v>100</v>
      </c>
      <c r="D18518" s="1500"/>
      <c r="E18518" s="1498">
        <f t="shared" si="327"/>
        <v>0.36654005796866906</v>
      </c>
      <c r="F18518" s="1842"/>
      <c r="G18518" s="78"/>
    </row>
    <row r="18519" spans="1:7" ht="12.75" hidden="1" customHeight="1" outlineLevel="1" x14ac:dyDescent="0.25">
      <c r="A18519" s="221"/>
      <c r="B18519" s="1478">
        <v>45962</v>
      </c>
      <c r="C18519" s="1497">
        <v>100</v>
      </c>
      <c r="D18519" s="1500"/>
      <c r="E18519" s="1498">
        <f t="shared" si="327"/>
        <v>0.36654005796866906</v>
      </c>
      <c r="F18519" s="1842"/>
      <c r="G18519" s="78"/>
    </row>
    <row r="18520" spans="1:7" ht="12.75" hidden="1" customHeight="1" outlineLevel="1" x14ac:dyDescent="0.25">
      <c r="A18520" s="221"/>
      <c r="B18520" s="1478">
        <v>45992</v>
      </c>
      <c r="C18520" s="1497">
        <v>100</v>
      </c>
      <c r="D18520" s="1500"/>
      <c r="E18520" s="1498">
        <f t="shared" si="327"/>
        <v>0.36654005796866906</v>
      </c>
      <c r="F18520" s="1842"/>
      <c r="G18520" s="78"/>
    </row>
    <row r="18521" spans="1:7" ht="12.75" hidden="1" customHeight="1" outlineLevel="1" x14ac:dyDescent="0.25">
      <c r="A18521" s="221"/>
      <c r="B18521" s="1478">
        <v>46023</v>
      </c>
      <c r="C18521" s="1497">
        <v>100</v>
      </c>
      <c r="D18521" s="1500"/>
      <c r="E18521" s="1498">
        <f t="shared" si="327"/>
        <v>0.36654005796866906</v>
      </c>
      <c r="F18521" s="1842"/>
      <c r="G18521" s="78"/>
    </row>
    <row r="18522" spans="1:7" ht="12.75" hidden="1" customHeight="1" outlineLevel="1" x14ac:dyDescent="0.25">
      <c r="A18522" s="221"/>
      <c r="B18522" s="1478">
        <v>46054</v>
      </c>
      <c r="C18522" s="1497">
        <v>100</v>
      </c>
      <c r="D18522" s="1500"/>
      <c r="E18522" s="1498">
        <f t="shared" si="327"/>
        <v>0.36654005796866906</v>
      </c>
      <c r="F18522" s="1842"/>
      <c r="G18522" s="78"/>
    </row>
    <row r="18523" spans="1:7" ht="12.75" hidden="1" customHeight="1" outlineLevel="1" x14ac:dyDescent="0.25">
      <c r="A18523" s="221"/>
      <c r="B18523" s="1478">
        <v>46082</v>
      </c>
      <c r="C18523" s="1497">
        <v>100</v>
      </c>
      <c r="D18523" s="1500"/>
      <c r="E18523" s="1498">
        <f t="shared" si="327"/>
        <v>0.36654005796866906</v>
      </c>
      <c r="F18523" s="1842"/>
      <c r="G18523" s="78"/>
    </row>
    <row r="18524" spans="1:7" ht="12.75" hidden="1" customHeight="1" outlineLevel="1" x14ac:dyDescent="0.25">
      <c r="A18524" s="221"/>
      <c r="B18524" s="1478">
        <v>46113</v>
      </c>
      <c r="C18524" s="1497">
        <v>100</v>
      </c>
      <c r="D18524" s="1500"/>
      <c r="E18524" s="1498">
        <f t="shared" si="327"/>
        <v>0.36654005796866906</v>
      </c>
      <c r="F18524" s="1842"/>
      <c r="G18524" s="78"/>
    </row>
    <row r="18525" spans="1:7" ht="12.75" hidden="1" customHeight="1" outlineLevel="1" x14ac:dyDescent="0.25">
      <c r="A18525" s="221"/>
      <c r="B18525" s="1478">
        <v>46143</v>
      </c>
      <c r="C18525" s="1497">
        <v>100</v>
      </c>
      <c r="D18525" s="1500"/>
      <c r="E18525" s="1498">
        <f t="shared" si="327"/>
        <v>0.36654005796866906</v>
      </c>
      <c r="F18525" s="1842"/>
      <c r="G18525" s="78"/>
    </row>
    <row r="18526" spans="1:7" ht="12.75" hidden="1" customHeight="1" outlineLevel="1" x14ac:dyDescent="0.25">
      <c r="A18526" s="221"/>
      <c r="B18526" s="1478">
        <v>46174</v>
      </c>
      <c r="C18526" s="1497">
        <v>100</v>
      </c>
      <c r="D18526" s="1500"/>
      <c r="E18526" s="1498">
        <f t="shared" si="327"/>
        <v>0.36654005796866906</v>
      </c>
      <c r="F18526" s="1842"/>
      <c r="G18526" s="78"/>
    </row>
    <row r="18527" spans="1:7" ht="12.75" hidden="1" customHeight="1" outlineLevel="1" x14ac:dyDescent="0.25">
      <c r="A18527" s="221"/>
      <c r="B18527" s="1478">
        <v>46204</v>
      </c>
      <c r="C18527" s="1497">
        <v>100</v>
      </c>
      <c r="D18527" s="1500"/>
      <c r="E18527" s="1498">
        <f t="shared" si="327"/>
        <v>0.36654005796866906</v>
      </c>
      <c r="F18527" s="1842"/>
      <c r="G18527" s="78"/>
    </row>
    <row r="18528" spans="1:7" hidden="1" outlineLevel="1" x14ac:dyDescent="0.25">
      <c r="A18528" s="221"/>
      <c r="B18528" s="1478">
        <v>46235</v>
      </c>
      <c r="C18528" s="1497">
        <v>100</v>
      </c>
      <c r="D18528" s="1500"/>
      <c r="E18528" s="1498">
        <f t="shared" si="327"/>
        <v>0.36654005796866906</v>
      </c>
      <c r="F18528" s="1842"/>
      <c r="G18528" s="78"/>
    </row>
    <row r="18529" spans="1:8" ht="12.75" hidden="1" customHeight="1" outlineLevel="1" x14ac:dyDescent="0.25">
      <c r="A18529" s="221"/>
      <c r="B18529" s="1478">
        <v>46266</v>
      </c>
      <c r="C18529" s="1497">
        <v>100</v>
      </c>
      <c r="D18529" s="1500"/>
      <c r="E18529" s="1498">
        <f t="shared" si="327"/>
        <v>0.36654005796866906</v>
      </c>
      <c r="F18529" s="1842"/>
      <c r="G18529" s="78"/>
    </row>
    <row r="18530" spans="1:8" ht="12.75" hidden="1" customHeight="1" outlineLevel="1" x14ac:dyDescent="0.25">
      <c r="A18530" s="1483" t="s">
        <v>2734</v>
      </c>
      <c r="B18530" s="1484"/>
      <c r="C18530" s="1500"/>
      <c r="D18530" s="1485" t="s">
        <v>2465</v>
      </c>
      <c r="E18530" s="1486">
        <f>AVERAGE(E18512:E18529)</f>
        <v>0.3665400579686689</v>
      </c>
      <c r="F18530" s="1844">
        <f>E18530</f>
        <v>0.3665400579686689</v>
      </c>
      <c r="G18530" s="78"/>
    </row>
    <row r="18531" spans="1:8" ht="13.5" customHeight="1" collapsed="1" x14ac:dyDescent="0.25">
      <c r="A18531" s="3799" t="s">
        <v>10519</v>
      </c>
      <c r="B18531" s="3800"/>
      <c r="C18531" s="3800"/>
      <c r="D18531" s="3800"/>
      <c r="E18531" s="18"/>
      <c r="F18531" s="186">
        <f>+IF(F18530&lt;-40%,F18530,IF(F18530&lt;0%,0%,90%*F18530))</f>
        <v>0.329886052171802</v>
      </c>
      <c r="G18531" s="78"/>
    </row>
    <row r="18533" spans="1:8" ht="12.75" hidden="1" customHeight="1" outlineLevel="1" x14ac:dyDescent="0.25">
      <c r="A18533" s="15" t="s">
        <v>4156</v>
      </c>
      <c r="B18533" s="15" t="s">
        <v>4153</v>
      </c>
      <c r="C18533" s="15" t="s">
        <v>112</v>
      </c>
      <c r="D18533" s="15" t="s">
        <v>4155</v>
      </c>
      <c r="E18533" s="15" t="s">
        <v>4154</v>
      </c>
      <c r="F18533" s="1882" t="s">
        <v>2519</v>
      </c>
      <c r="G18533" s="78"/>
    </row>
    <row r="18534" spans="1:8" ht="12.75" hidden="1" customHeight="1" outlineLevel="1" x14ac:dyDescent="0.25">
      <c r="A18534" s="134">
        <v>0.02</v>
      </c>
      <c r="B18534" s="151" t="s">
        <v>359</v>
      </c>
      <c r="C18534" s="454">
        <v>202.57499999999999</v>
      </c>
      <c r="D18534" s="2954">
        <f>VLOOKUP($H18534,indexy!$C$44:$D$823,2,FALSE)</f>
        <v>277.8</v>
      </c>
      <c r="E18534" s="1491">
        <f>$D18534/$C18534-1</f>
        <v>0.37134394668641257</v>
      </c>
      <c r="F18534" s="1805">
        <f>$E18534*$A18534</f>
        <v>7.4268789337282514E-3</v>
      </c>
      <c r="G18534" s="78"/>
      <c r="H18534" t="str">
        <f>VLOOKUP(B18534,indexy!$A$44:$D$823,3,FALSE)</f>
        <v>ALV GY Equity</v>
      </c>
    </row>
    <row r="18535" spans="1:8" ht="12.75" hidden="1" customHeight="1" outlineLevel="1" x14ac:dyDescent="0.25">
      <c r="A18535" s="135">
        <v>0.03</v>
      </c>
      <c r="B18535" s="151" t="s">
        <v>2697</v>
      </c>
      <c r="C18535" s="410">
        <v>14.3665</v>
      </c>
      <c r="D18535" s="2955">
        <f>VLOOKUP(H18535,indexy!$C$44:$D$823,2,FALSE)</f>
        <v>23.46</v>
      </c>
      <c r="E18535" s="1493">
        <f t="shared" ref="E18535:E18563" si="328">$D18535/$C18535-1</f>
        <v>0.63296557964709566</v>
      </c>
      <c r="F18535" s="1313">
        <f t="shared" ref="F18535:F18562" si="329">$E18535*$A18535</f>
        <v>1.8988967389412869E-2</v>
      </c>
      <c r="G18535" s="78"/>
      <c r="H18535" t="str">
        <f>VLOOKUP(B18535,indexy!$A$44:$D$823,3,FALSE)</f>
        <v>G IM Equity</v>
      </c>
    </row>
    <row r="18536" spans="1:8" ht="12.75" hidden="1" customHeight="1" outlineLevel="1" x14ac:dyDescent="0.25">
      <c r="A18536" s="135">
        <v>0.02</v>
      </c>
      <c r="B18536" s="151" t="s">
        <v>807</v>
      </c>
      <c r="C18536" s="410">
        <v>55.273000000000003</v>
      </c>
      <c r="D18536" s="2955">
        <f>VLOOKUP(H18536,indexy!$C$44:$D$823,2,FALSE)</f>
        <v>46.03</v>
      </c>
      <c r="E18536" s="1493">
        <f t="shared" si="328"/>
        <v>-0.16722450382646137</v>
      </c>
      <c r="F18536" s="1313">
        <f t="shared" si="329"/>
        <v>-3.3444900765292273E-3</v>
      </c>
      <c r="G18536" s="78"/>
      <c r="H18536" t="str">
        <f>VLOOKUP(B18536,indexy!$A$44:$D$823,3,FALSE)</f>
        <v>BCE CT Equity</v>
      </c>
    </row>
    <row r="18537" spans="1:8" ht="12.75" hidden="1" customHeight="1" outlineLevel="1" x14ac:dyDescent="0.25">
      <c r="A18537" s="135">
        <v>0.02</v>
      </c>
      <c r="B18537" s="151" t="s">
        <v>2629</v>
      </c>
      <c r="C18537" s="410">
        <v>15.154999999999999</v>
      </c>
      <c r="D18537" s="2955">
        <f>VLOOKUP(H18537,indexy!$C$44:$D$823,2,FALSE)</f>
        <v>22.5</v>
      </c>
      <c r="E18537" s="1493">
        <f t="shared" si="328"/>
        <v>0.48465852853843616</v>
      </c>
      <c r="F18537" s="1313">
        <f t="shared" si="329"/>
        <v>9.6931705707687232E-3</v>
      </c>
      <c r="G18537" s="78"/>
      <c r="H18537" t="str">
        <f>VLOOKUP(B18537,indexy!$A$44:$D$823,3,FALSE)</f>
        <v>DTE GY Equity</v>
      </c>
    </row>
    <row r="18538" spans="1:8" ht="12.75" hidden="1" customHeight="1" outlineLevel="1" x14ac:dyDescent="0.25">
      <c r="A18538" s="135">
        <v>0.02</v>
      </c>
      <c r="B18538" s="151" t="s">
        <v>9591</v>
      </c>
      <c r="C18538" s="1468">
        <v>72.715000000000003</v>
      </c>
      <c r="D18538" s="2955">
        <f>VLOOKUP(H18538,indexy!$C$44:$D$823,2,FALSE)</f>
        <v>49.19</v>
      </c>
      <c r="E18538" s="1493">
        <f t="shared" si="328"/>
        <v>-0.32352334456439535</v>
      </c>
      <c r="F18538" s="1313">
        <f t="shared" si="329"/>
        <v>-6.4704668912879074E-3</v>
      </c>
      <c r="G18538" s="78"/>
      <c r="H18538" t="str">
        <f>VLOOKUP(B18538,indexy!$A$44:$D$823,3,FALSE)</f>
        <v>D UN Equity</v>
      </c>
    </row>
    <row r="18539" spans="1:8" ht="12.75" hidden="1" customHeight="1" outlineLevel="1" x14ac:dyDescent="0.25">
      <c r="A18539" s="135">
        <v>0.02</v>
      </c>
      <c r="B18539" s="151" t="s">
        <v>1231</v>
      </c>
      <c r="C18539" s="1468">
        <v>90.385999999999996</v>
      </c>
      <c r="D18539" s="2955">
        <f>VLOOKUP(H18539,indexy!$C$44:$D$823,2,FALSE)</f>
        <v>96.71</v>
      </c>
      <c r="E18539" s="1493">
        <f t="shared" si="328"/>
        <v>6.996658774588993E-2</v>
      </c>
      <c r="F18539" s="1313">
        <f t="shared" si="329"/>
        <v>1.3993317549177986E-3</v>
      </c>
      <c r="G18539" s="78"/>
      <c r="H18539" t="str">
        <f>VLOOKUP(B18539,indexy!$A$44:$D$823,3,FALSE)</f>
        <v>DUK UN Equity</v>
      </c>
    </row>
    <row r="18540" spans="1:8" ht="12.75" hidden="1" customHeight="1" outlineLevel="1" x14ac:dyDescent="0.25">
      <c r="A18540" s="135">
        <v>0.02</v>
      </c>
      <c r="B18540" s="151" t="s">
        <v>4387</v>
      </c>
      <c r="C18540" s="410">
        <v>8.9794</v>
      </c>
      <c r="D18540" s="2955">
        <f>VLOOKUP(H18540,indexy!$C$44:$D$823,2,FALSE)</f>
        <v>12.885</v>
      </c>
      <c r="E18540" s="1493">
        <f t="shared" si="328"/>
        <v>0.43495111031917499</v>
      </c>
      <c r="F18540" s="1313">
        <f t="shared" si="329"/>
        <v>8.6990222063834995E-3</v>
      </c>
      <c r="G18540" s="78"/>
      <c r="H18540" t="str">
        <f>VLOOKUP(B18540,indexy!$A$44:$D$823,3,FALSE)</f>
        <v>EOAN GY Equity</v>
      </c>
    </row>
    <row r="18541" spans="1:8" ht="12.75" hidden="1" customHeight="1" outlineLevel="1" x14ac:dyDescent="0.25">
      <c r="A18541" s="135">
        <v>0.04</v>
      </c>
      <c r="B18541" s="151" t="s">
        <v>9171</v>
      </c>
      <c r="C18541" s="410">
        <v>22.433</v>
      </c>
      <c r="D18541" s="2955">
        <f>VLOOKUP(H18541,indexy!$C$44:$D$823,2,FALSE)</f>
        <v>17.164999999999999</v>
      </c>
      <c r="E18541" s="1493">
        <f t="shared" si="328"/>
        <v>-0.23483261266883615</v>
      </c>
      <c r="F18541" s="1313">
        <f t="shared" si="329"/>
        <v>-9.3933045067534464E-3</v>
      </c>
      <c r="G18541" s="78"/>
      <c r="H18541" t="str">
        <f>VLOOKUP(B18541,indexy!$A$44:$D$823,3,FALSE)</f>
        <v>ELE SQ Equity</v>
      </c>
    </row>
    <row r="18542" spans="1:8" ht="12.75" hidden="1" customHeight="1" outlineLevel="1" x14ac:dyDescent="0.25">
      <c r="A18542" s="135">
        <v>0.02</v>
      </c>
      <c r="B18542" s="151" t="s">
        <v>3798</v>
      </c>
      <c r="C18542" s="410">
        <v>8.7864000000000004</v>
      </c>
      <c r="D18542" s="2955">
        <f>VLOOKUP(H18542,indexy!$C$44:$D$823,2,FALSE)</f>
        <v>6.1189999999999998</v>
      </c>
      <c r="E18542" s="1493">
        <f t="shared" si="328"/>
        <v>-0.30358280979695895</v>
      </c>
      <c r="F18542" s="1313">
        <f t="shared" si="329"/>
        <v>-6.0716561959391789E-3</v>
      </c>
      <c r="G18542" s="78"/>
      <c r="H18542" t="str">
        <f>VLOOKUP(B18542,indexy!$A$44:$D$823,3,FALSE)</f>
        <v>ENEL IM Equity</v>
      </c>
    </row>
    <row r="18543" spans="1:8" ht="12.75" hidden="1" customHeight="1" outlineLevel="1" x14ac:dyDescent="0.25">
      <c r="A18543" s="135">
        <v>0.03</v>
      </c>
      <c r="B18543" s="151" t="s">
        <v>4268</v>
      </c>
      <c r="C18543" s="410">
        <v>21.103000000000002</v>
      </c>
      <c r="D18543" s="2955">
        <f>VLOOKUP(H18543,indexy!$C$44:$D$823,2,FALSE)</f>
        <v>11.445</v>
      </c>
      <c r="E18543" s="1493">
        <f t="shared" si="328"/>
        <v>-0.45766004833436003</v>
      </c>
      <c r="F18543" s="1313">
        <f t="shared" si="329"/>
        <v>-1.3729801450030801E-2</v>
      </c>
      <c r="G18543" s="78"/>
      <c r="H18543" t="str">
        <f>VLOOKUP(B18543,indexy!$A$44:$D$823,3,FALSE)</f>
        <v>FORTUM FH Equity</v>
      </c>
    </row>
    <row r="18544" spans="1:8" ht="12.75" hidden="1" customHeight="1" outlineLevel="1" x14ac:dyDescent="0.25">
      <c r="A18544" s="135">
        <v>0.02</v>
      </c>
      <c r="B18544" s="151" t="s">
        <v>7574</v>
      </c>
      <c r="C18544" s="410">
        <v>51.311999999999998</v>
      </c>
      <c r="D18544" s="2955">
        <f>VLOOKUP(H18544,indexy!$C$44:$D$823,2,FALSE)</f>
        <v>81.66</v>
      </c>
      <c r="E18544" s="1493">
        <f t="shared" si="328"/>
        <v>0.5914405986903648</v>
      </c>
      <c r="F18544" s="1313">
        <f t="shared" si="329"/>
        <v>1.1828811973807297E-2</v>
      </c>
      <c r="G18544" s="78"/>
      <c r="H18544" t="str">
        <f>VLOOKUP(B18544,indexy!$A$44:$D$823,3,FALSE)</f>
        <v>HOLN SE Equity</v>
      </c>
    </row>
    <row r="18545" spans="1:8" ht="12.75" hidden="1" customHeight="1" outlineLevel="1" x14ac:dyDescent="0.25">
      <c r="A18545" s="135">
        <v>0.08</v>
      </c>
      <c r="B18545" s="151" t="s">
        <v>3526</v>
      </c>
      <c r="C18545" s="410">
        <v>481.22</v>
      </c>
      <c r="D18545" s="2955">
        <f>VLOOKUP(H18545,indexy!$C$44:$D$823,2,FALSE)</f>
        <v>1535</v>
      </c>
      <c r="E18545" s="1493">
        <f t="shared" si="328"/>
        <v>2.1898092348613938</v>
      </c>
      <c r="F18545" s="1313">
        <f t="shared" si="329"/>
        <v>0.1751847387889115</v>
      </c>
      <c r="G18545" s="78"/>
      <c r="H18545" t="str">
        <f>VLOOKUP(B18545,indexy!$A$44:$D$823,3,FALSE)</f>
        <v>8306 JT Equity</v>
      </c>
    </row>
    <row r="18546" spans="1:8" ht="12.75" hidden="1" customHeight="1" outlineLevel="1" x14ac:dyDescent="0.25">
      <c r="A18546" s="135">
        <v>0.02</v>
      </c>
      <c r="B18546" s="151" t="s">
        <v>5164</v>
      </c>
      <c r="C18546" s="2740">
        <v>1954.45</v>
      </c>
      <c r="D18546" s="2955">
        <f>VLOOKUP(H18546,indexy!$C$44:$D$823,2,FALSE)</f>
        <v>7043</v>
      </c>
      <c r="E18546" s="1493">
        <f t="shared" si="328"/>
        <v>2.6035713372048401</v>
      </c>
      <c r="F18546" s="1313">
        <f t="shared" si="329"/>
        <v>5.2071426744096802E-2</v>
      </c>
      <c r="G18546" s="78"/>
      <c r="H18546" t="str">
        <f>VLOOKUP(B18546,indexy!$A$44:$D$823,3,FALSE)</f>
        <v>8031 JT equity</v>
      </c>
    </row>
    <row r="18547" spans="1:8" ht="12.75" hidden="1" customHeight="1" outlineLevel="1" x14ac:dyDescent="0.25">
      <c r="A18547" s="135">
        <v>0.02</v>
      </c>
      <c r="B18547" s="151" t="s">
        <v>10528</v>
      </c>
      <c r="C18547" s="410">
        <f>3230.7/3</f>
        <v>1076.8999999999999</v>
      </c>
      <c r="D18547" s="2955">
        <f>VLOOKUP(H18547,indexy!$C$44:$D$823,2,FALSE)</f>
        <v>2664.5</v>
      </c>
      <c r="E18547" s="1493">
        <f t="shared" si="328"/>
        <v>1.4742315906769434</v>
      </c>
      <c r="F18547" s="1313">
        <f t="shared" si="329"/>
        <v>2.9484631813538869E-2</v>
      </c>
      <c r="G18547" s="78"/>
      <c r="H18547" t="str">
        <f>VLOOKUP(B18547,indexy!$A$44:$D$823,3,FALSE)</f>
        <v>8725 JT Equity</v>
      </c>
    </row>
    <row r="18548" spans="1:8" ht="12.75" hidden="1" customHeight="1" outlineLevel="1" x14ac:dyDescent="0.25">
      <c r="A18548" s="135">
        <v>0.02</v>
      </c>
      <c r="B18548" s="151" t="s">
        <v>2786</v>
      </c>
      <c r="C18548" s="410">
        <v>8.7493999999999996</v>
      </c>
      <c r="D18548" s="2955">
        <f>VLOOKUP(H18548,indexy!$C$44:$D$823,2,FALSE)/100</f>
        <v>10.66</v>
      </c>
      <c r="E18548" s="1493">
        <f t="shared" si="328"/>
        <v>0.2183692596063731</v>
      </c>
      <c r="F18548" s="1313">
        <f t="shared" si="329"/>
        <v>4.367385192127462E-3</v>
      </c>
      <c r="G18548" s="78"/>
      <c r="H18548" t="str">
        <f>VLOOKUP(B18548,indexy!$A$44:$D$823,3,FALSE)</f>
        <v>NG/ LN Equity</v>
      </c>
    </row>
    <row r="18549" spans="1:8" ht="12.75" hidden="1" customHeight="1" outlineLevel="1" x14ac:dyDescent="0.25">
      <c r="A18549" s="135">
        <v>0.02</v>
      </c>
      <c r="B18549" s="151" t="s">
        <v>9767</v>
      </c>
      <c r="C18549" s="410">
        <v>19.901499999999999</v>
      </c>
      <c r="D18549" s="2955">
        <f>VLOOKUP(H18549,indexy!$C$44:$D$823,2,FALSE)</f>
        <v>20.100000000000001</v>
      </c>
      <c r="E18549" s="1493">
        <f t="shared" si="328"/>
        <v>9.9741225535765476E-3</v>
      </c>
      <c r="F18549" s="1313">
        <f t="shared" si="329"/>
        <v>1.9948245107153097E-4</v>
      </c>
      <c r="G18549" s="78"/>
      <c r="H18549" t="str">
        <f>VLOOKUP(B18549,indexy!$A$44:$D$823,3,FALSE)</f>
        <v>NTGY SQ Equity</v>
      </c>
    </row>
    <row r="18550" spans="1:8" ht="12.75" hidden="1" customHeight="1" outlineLevel="1" x14ac:dyDescent="0.25">
      <c r="A18550" s="135">
        <v>0.03</v>
      </c>
      <c r="B18550" s="151" t="s">
        <v>5824</v>
      </c>
      <c r="C18550" s="410">
        <v>10.038600000000001</v>
      </c>
      <c r="D18550" s="2955">
        <f>VLOOKUP(H18550,indexy!$C$44:$D$823,2,FALSE)</f>
        <v>10.888</v>
      </c>
      <c r="E18550" s="1493">
        <f t="shared" si="328"/>
        <v>8.4613392305699975E-2</v>
      </c>
      <c r="F18550" s="1313">
        <f t="shared" si="329"/>
        <v>2.5384017691709991E-3</v>
      </c>
      <c r="G18550" s="78"/>
      <c r="H18550" t="str">
        <f>VLOOKUP(B18550,indexy!$A$44:$D$823,3,FALSE)</f>
        <v>ORA FP Equity</v>
      </c>
    </row>
    <row r="18551" spans="1:8" ht="12.75" hidden="1" customHeight="1" outlineLevel="1" x14ac:dyDescent="0.25">
      <c r="A18551" s="135">
        <v>0.08</v>
      </c>
      <c r="B18551" s="151" t="s">
        <v>6116</v>
      </c>
      <c r="C18551" s="410">
        <v>4.609</v>
      </c>
      <c r="D18551" s="2955">
        <f>VLOOKUP(H18551,indexy!$C$44:$D$823,2,FALSE)</f>
        <v>4.3760000000000003</v>
      </c>
      <c r="E18551" s="1493">
        <f t="shared" si="328"/>
        <v>-5.0553265350401277E-2</v>
      </c>
      <c r="F18551" s="1313">
        <f t="shared" si="329"/>
        <v>-4.0442612280321023E-3</v>
      </c>
      <c r="G18551" s="78"/>
      <c r="H18551" t="str">
        <f>VLOOKUP(B18551,indexy!$A$44:$D$823,3,FALSE)</f>
        <v>SRG IM Equity</v>
      </c>
    </row>
    <row r="18552" spans="1:8" ht="12.75" hidden="1" customHeight="1" outlineLevel="1" x14ac:dyDescent="0.25">
      <c r="A18552" s="135">
        <v>0.08</v>
      </c>
      <c r="B18552" s="151" t="s">
        <v>10529</v>
      </c>
      <c r="C18552" s="410">
        <v>1339.4</v>
      </c>
      <c r="D18552" s="2955">
        <f>VLOOKUP(H18552,indexy!$C$44:$D$823,2,FALSE)</f>
        <v>1941</v>
      </c>
      <c r="E18552" s="1493">
        <f t="shared" si="328"/>
        <v>0.4491563386591011</v>
      </c>
      <c r="F18552" s="1313">
        <f t="shared" si="329"/>
        <v>3.5932507092728092E-2</v>
      </c>
      <c r="G18552" s="78"/>
      <c r="H18552" t="str">
        <f>VLOOKUP(B18552,indexy!$A$44:$D$823,3,FALSE)</f>
        <v>9434 JT Equity</v>
      </c>
    </row>
    <row r="18553" spans="1:8" ht="12.75" hidden="1" customHeight="1" outlineLevel="1" x14ac:dyDescent="0.25">
      <c r="A18553" s="135">
        <v>0.05</v>
      </c>
      <c r="B18553" s="151" t="s">
        <v>702</v>
      </c>
      <c r="C18553" s="410">
        <v>3407.6</v>
      </c>
      <c r="D18553" s="2955">
        <f>VLOOKUP(H18553,indexy!$C$44:$D$823,2,FALSE)</f>
        <v>8832</v>
      </c>
      <c r="E18553" s="1493">
        <f t="shared" si="328"/>
        <v>1.5918535039323864</v>
      </c>
      <c r="F18553" s="1313">
        <f t="shared" si="329"/>
        <v>7.9592675196619334E-2</v>
      </c>
      <c r="G18553" s="78"/>
      <c r="H18553" t="str">
        <f>VLOOKUP(B18553,indexy!$A$44:$D$823,3,FALSE)</f>
        <v>8316 JT Equity</v>
      </c>
    </row>
    <row r="18554" spans="1:8" ht="12.75" hidden="1" customHeight="1" outlineLevel="1" x14ac:dyDescent="0.25">
      <c r="A18554" s="135">
        <v>0.02</v>
      </c>
      <c r="B18554" s="151" t="s">
        <v>9173</v>
      </c>
      <c r="C18554" s="410">
        <v>428.35</v>
      </c>
      <c r="D18554" s="2955">
        <f>VLOOKUP(H18554,indexy!$C$44:$D$823,2,FALSE)</f>
        <v>632.20000000000005</v>
      </c>
      <c r="E18554" s="1493">
        <f t="shared" si="328"/>
        <v>0.47589587953776125</v>
      </c>
      <c r="F18554" s="1313">
        <f t="shared" si="329"/>
        <v>9.517917590755225E-3</v>
      </c>
      <c r="G18554" s="78"/>
      <c r="H18554" t="str">
        <f>VLOOKUP(B18554,indexy!$A$44:$D$823,3,FALSE)</f>
        <v>SLHN SE Equity</v>
      </c>
    </row>
    <row r="18555" spans="1:8" ht="12.75" hidden="1" customHeight="1" outlineLevel="1" x14ac:dyDescent="0.25">
      <c r="A18555" s="135">
        <v>0.08</v>
      </c>
      <c r="B18555" s="151" t="s">
        <v>1239</v>
      </c>
      <c r="C18555" s="410">
        <v>477.37</v>
      </c>
      <c r="D18555" s="2955">
        <f>VLOOKUP(H18555,indexy!$C$44:$D$823,2,FALSE)</f>
        <v>551.4</v>
      </c>
      <c r="E18555" s="1493">
        <f t="shared" si="328"/>
        <v>0.15507886963990192</v>
      </c>
      <c r="F18555" s="1313">
        <f t="shared" si="329"/>
        <v>1.2406309571192153E-2</v>
      </c>
      <c r="G18555" s="78"/>
      <c r="H18555" t="str">
        <f>VLOOKUP(B18555,indexy!$A$44:$D$823,3,FALSE)</f>
        <v>SCMN SE Equity</v>
      </c>
    </row>
    <row r="18556" spans="1:8" ht="12.75" hidden="1" customHeight="1" outlineLevel="1" x14ac:dyDescent="0.25">
      <c r="A18556" s="135">
        <v>0.02</v>
      </c>
      <c r="B18556" s="151" t="s">
        <v>3383</v>
      </c>
      <c r="C18556" s="410">
        <v>145.45500000000001</v>
      </c>
      <c r="D18556" s="2955">
        <f>VLOOKUP(H18556,indexy!$C$44:$D$823,2,FALSE)</f>
        <v>120.75</v>
      </c>
      <c r="E18556" s="1493">
        <f t="shared" si="328"/>
        <v>-0.16984634423017431</v>
      </c>
      <c r="F18556" s="1313">
        <f t="shared" si="329"/>
        <v>-3.3969268846034861E-3</v>
      </c>
      <c r="G18556" s="78"/>
      <c r="H18556" t="str">
        <f>VLOOKUP(B18556,indexy!$A$44:$D$823,3,FALSE)</f>
        <v>TEL NO Equity</v>
      </c>
    </row>
    <row r="18557" spans="1:8" ht="12.75" hidden="1" customHeight="1" outlineLevel="1" x14ac:dyDescent="0.25">
      <c r="A18557" s="135">
        <v>0.08</v>
      </c>
      <c r="B18557" s="151" t="s">
        <v>434</v>
      </c>
      <c r="C18557" s="410">
        <v>34.398000000000003</v>
      </c>
      <c r="D18557" s="2955">
        <f>VLOOKUP(H18557,indexy!$C$44:$D$823,2,FALSE)</f>
        <v>27.43</v>
      </c>
      <c r="E18557" s="1493">
        <f t="shared" si="328"/>
        <v>-0.20256991685563119</v>
      </c>
      <c r="F18557" s="1313">
        <f t="shared" si="329"/>
        <v>-1.6205593348450495E-2</v>
      </c>
      <c r="G18557" s="78"/>
      <c r="H18557" t="str">
        <f>VLOOKUP(B18557,indexy!$A$44:$D$823,3,FALSE)</f>
        <v>TELIA SS Equity</v>
      </c>
    </row>
    <row r="18558" spans="1:8" ht="12.75" hidden="1" customHeight="1" outlineLevel="1" x14ac:dyDescent="0.25">
      <c r="A18558" s="135">
        <v>0.02</v>
      </c>
      <c r="B18558" s="151" t="s">
        <v>3665</v>
      </c>
      <c r="C18558" s="410">
        <v>26.222000000000001</v>
      </c>
      <c r="D18558" s="2955">
        <f>VLOOKUP(H18558,indexy!$C$44:$D$823,2,FALSE)</f>
        <v>21.67</v>
      </c>
      <c r="E18558" s="1493">
        <f t="shared" si="328"/>
        <v>-0.17359469148043627</v>
      </c>
      <c r="F18558" s="1313">
        <f t="shared" si="329"/>
        <v>-3.4718938296087257E-3</v>
      </c>
      <c r="G18558" s="78"/>
      <c r="H18558" t="str">
        <f>VLOOKUP(B18558,indexy!$A$44:$D$823,3,FALSE)</f>
        <v>T CT Equity</v>
      </c>
    </row>
    <row r="18559" spans="1:8" ht="12.75" hidden="1" customHeight="1" outlineLevel="1" x14ac:dyDescent="0.25">
      <c r="A18559" s="135">
        <v>0.04</v>
      </c>
      <c r="B18559" s="151" t="s">
        <v>3921</v>
      </c>
      <c r="C18559" s="410">
        <v>6.1673999999999998</v>
      </c>
      <c r="D18559" s="2955">
        <f>VLOOKUP(H18559,indexy!$C$44:$D$823,2,FALSE)</f>
        <v>7.66</v>
      </c>
      <c r="E18559" s="1493">
        <f t="shared" si="328"/>
        <v>0.24201446314492348</v>
      </c>
      <c r="F18559" s="1313">
        <f t="shared" si="329"/>
        <v>9.6805785257969394E-3</v>
      </c>
      <c r="G18559" s="78"/>
      <c r="H18559" t="str">
        <f>VLOOKUP(B18559,indexy!$A$44:$D$823,3,FALSE)</f>
        <v>TRN IM Equity</v>
      </c>
    </row>
    <row r="18560" spans="1:8" ht="12.75" hidden="1" customHeight="1" outlineLevel="1" x14ac:dyDescent="0.25">
      <c r="A18560" s="135">
        <v>0.02</v>
      </c>
      <c r="B18560" s="151" t="s">
        <v>10530</v>
      </c>
      <c r="C18560" s="410">
        <f>5461.2/3</f>
        <v>1820.3999999999999</v>
      </c>
      <c r="D18560" s="2955">
        <f>VLOOKUP(H18560,indexy!$C$44:$D$823,2,FALSE)</f>
        <v>4725</v>
      </c>
      <c r="E18560" s="1493">
        <f t="shared" si="328"/>
        <v>1.5955833882663151</v>
      </c>
      <c r="F18560" s="1313">
        <f t="shared" si="329"/>
        <v>3.19116677653263E-2</v>
      </c>
      <c r="G18560" s="78"/>
      <c r="H18560" t="str">
        <f>VLOOKUP(B18560,indexy!$A$44:$D$823,3,FALSE)</f>
        <v>8766 JT Equity</v>
      </c>
    </row>
    <row r="18561" spans="1:8" ht="12.75" hidden="1" customHeight="1" outlineLevel="1" x14ac:dyDescent="0.25">
      <c r="A18561" s="135">
        <v>0.02</v>
      </c>
      <c r="B18561" s="151" t="s">
        <v>3903</v>
      </c>
      <c r="C18561" s="410">
        <v>31.085000000000001</v>
      </c>
      <c r="D18561" s="2955">
        <f>VLOOKUP(H18561,indexy!$C$44:$D$823,2,FALSE)</f>
        <v>30.87</v>
      </c>
      <c r="E18561" s="1493">
        <f t="shared" si="328"/>
        <v>-6.9165192214895033E-3</v>
      </c>
      <c r="F18561" s="1313">
        <f t="shared" si="329"/>
        <v>-1.3833038442979007E-4</v>
      </c>
      <c r="G18561" s="78"/>
      <c r="H18561" t="str">
        <f>VLOOKUP(B18561,indexy!$A$44:$D$823,3,FALSE)</f>
        <v>UPM FH Equity</v>
      </c>
    </row>
    <row r="18562" spans="1:8" ht="12.75" hidden="1" customHeight="1" outlineLevel="1" x14ac:dyDescent="0.25">
      <c r="A18562" s="135">
        <v>0.02</v>
      </c>
      <c r="B18562" s="151" t="s">
        <v>255</v>
      </c>
      <c r="C18562" s="410">
        <v>57.924999999999997</v>
      </c>
      <c r="D18562" s="2955">
        <f>VLOOKUP(H18562,indexy!$C$44:$D$823,2,FALSE)</f>
        <v>41.96</v>
      </c>
      <c r="E18562" s="1493">
        <f t="shared" si="328"/>
        <v>-0.27561501942166589</v>
      </c>
      <c r="F18562" s="1313">
        <f t="shared" si="329"/>
        <v>-5.512300388433318E-3</v>
      </c>
      <c r="G18562" s="78"/>
      <c r="H18562" t="str">
        <f>VLOOKUP(B18562,indexy!$A$44:$D$823,3,FALSE)</f>
        <v>VZ UN Equity</v>
      </c>
    </row>
    <row r="18563" spans="1:8" ht="12.75" hidden="1" customHeight="1" outlineLevel="1" x14ac:dyDescent="0.25">
      <c r="A18563" s="135">
        <v>0.02</v>
      </c>
      <c r="B18563" s="2736" t="s">
        <v>4550</v>
      </c>
      <c r="C18563" s="2741">
        <v>380.11</v>
      </c>
      <c r="D18563" s="2956">
        <f>VLOOKUP(H18563,indexy!$C$44:$D$823,2,FALSE)</f>
        <v>486.3</v>
      </c>
      <c r="E18563" s="1495">
        <f t="shared" si="328"/>
        <v>0.27936649917129253</v>
      </c>
      <c r="F18563" s="1314">
        <f>$E18563*$A18563</f>
        <v>5.5873299834258506E-3</v>
      </c>
      <c r="G18563" s="78"/>
      <c r="H18563" t="str">
        <f>VLOOKUP(B18563,indexy!$A$44:$D$823,3,FALSE)</f>
        <v>ZURN SE Equity</v>
      </c>
    </row>
    <row r="18564" spans="1:8" ht="12.75" hidden="1" customHeight="1" outlineLevel="1" x14ac:dyDescent="0.25">
      <c r="A18564" s="1475" t="s">
        <v>2734</v>
      </c>
      <c r="B18564" s="150"/>
      <c r="C18564" s="1477"/>
      <c r="D18564" s="1477"/>
      <c r="E18564" s="512"/>
      <c r="F18564" s="1313">
        <f>SUM(F18534:F18563)</f>
        <v>0.43473221012968111</v>
      </c>
      <c r="G18564" s="78"/>
    </row>
    <row r="18565" spans="1:8" ht="12.75" hidden="1" customHeight="1" outlineLevel="1" x14ac:dyDescent="0.25">
      <c r="A18565" s="221" t="s">
        <v>10408</v>
      </c>
      <c r="B18565" s="1478">
        <v>45839</v>
      </c>
      <c r="C18565" s="1497">
        <v>100</v>
      </c>
      <c r="D18565" s="1497"/>
      <c r="E18565" s="1498">
        <f>IF(D18565="",$F$18564,D18565/C18565-1)</f>
        <v>0.43473221012968111</v>
      </c>
      <c r="F18565" s="1842"/>
      <c r="G18565" s="78"/>
    </row>
    <row r="18566" spans="1:8" ht="12.75" hidden="1" customHeight="1" outlineLevel="1" x14ac:dyDescent="0.25">
      <c r="A18566" s="221" t="s">
        <v>10409</v>
      </c>
      <c r="B18566" s="1478">
        <v>45870</v>
      </c>
      <c r="C18566" s="1497">
        <v>100</v>
      </c>
      <c r="D18566" s="1500"/>
      <c r="E18566" s="1498">
        <f t="shared" ref="E18566:E18582" si="330">IF(D18566="",$F$18564,D18566/C18566-1)</f>
        <v>0.43473221012968111</v>
      </c>
      <c r="F18566" s="1842"/>
      <c r="G18566" s="78"/>
    </row>
    <row r="18567" spans="1:8" ht="12.75" hidden="1" customHeight="1" outlineLevel="1" x14ac:dyDescent="0.25">
      <c r="A18567" s="221" t="s">
        <v>10410</v>
      </c>
      <c r="B18567" s="1478">
        <v>45901</v>
      </c>
      <c r="C18567" s="1497">
        <v>100</v>
      </c>
      <c r="D18567" s="1500"/>
      <c r="E18567" s="1498">
        <f t="shared" si="330"/>
        <v>0.43473221012968111</v>
      </c>
      <c r="F18567" s="1842"/>
      <c r="G18567" s="78"/>
    </row>
    <row r="18568" spans="1:8" ht="12.75" hidden="1" customHeight="1" outlineLevel="1" x14ac:dyDescent="0.25">
      <c r="A18568" s="221" t="s">
        <v>10411</v>
      </c>
      <c r="B18568" s="1478">
        <v>45931</v>
      </c>
      <c r="C18568" s="1497">
        <v>100</v>
      </c>
      <c r="D18568" s="1500"/>
      <c r="E18568" s="1498">
        <f t="shared" si="330"/>
        <v>0.43473221012968111</v>
      </c>
      <c r="F18568" s="1842"/>
      <c r="G18568" s="78"/>
    </row>
    <row r="18569" spans="1:8" ht="12.75" hidden="1" customHeight="1" outlineLevel="1" x14ac:dyDescent="0.25">
      <c r="A18569" s="221" t="s">
        <v>10412</v>
      </c>
      <c r="B18569" s="1478">
        <v>45962</v>
      </c>
      <c r="C18569" s="1497">
        <v>100</v>
      </c>
      <c r="D18569" s="1500"/>
      <c r="E18569" s="1498">
        <f t="shared" si="330"/>
        <v>0.43473221012968111</v>
      </c>
      <c r="F18569" s="1842"/>
      <c r="G18569" s="78"/>
    </row>
    <row r="18570" spans="1:8" ht="12.75" hidden="1" customHeight="1" outlineLevel="1" x14ac:dyDescent="0.25">
      <c r="A18570" s="221" t="s">
        <v>10413</v>
      </c>
      <c r="B18570" s="1478">
        <v>45992</v>
      </c>
      <c r="C18570" s="1497">
        <v>100</v>
      </c>
      <c r="D18570" s="1500"/>
      <c r="E18570" s="1498">
        <f t="shared" si="330"/>
        <v>0.43473221012968111</v>
      </c>
      <c r="F18570" s="1842"/>
      <c r="G18570" s="78"/>
    </row>
    <row r="18571" spans="1:8" ht="12.75" hidden="1" customHeight="1" outlineLevel="1" x14ac:dyDescent="0.25">
      <c r="A18571" s="221" t="s">
        <v>10414</v>
      </c>
      <c r="B18571" s="1478">
        <v>46023</v>
      </c>
      <c r="C18571" s="1497">
        <v>100</v>
      </c>
      <c r="D18571" s="1500"/>
      <c r="E18571" s="1498">
        <f t="shared" si="330"/>
        <v>0.43473221012968111</v>
      </c>
      <c r="F18571" s="1842"/>
      <c r="G18571" s="78"/>
    </row>
    <row r="18572" spans="1:8" ht="12.75" hidden="1" customHeight="1" outlineLevel="1" x14ac:dyDescent="0.25">
      <c r="A18572" s="221" t="s">
        <v>10415</v>
      </c>
      <c r="B18572" s="1478">
        <v>46054</v>
      </c>
      <c r="C18572" s="1497">
        <v>100</v>
      </c>
      <c r="D18572" s="1500"/>
      <c r="E18572" s="1498">
        <f t="shared" si="330"/>
        <v>0.43473221012968111</v>
      </c>
      <c r="F18572" s="1842"/>
      <c r="G18572" s="78"/>
    </row>
    <row r="18573" spans="1:8" ht="12.75" hidden="1" customHeight="1" outlineLevel="1" x14ac:dyDescent="0.25">
      <c r="A18573" s="221" t="s">
        <v>10416</v>
      </c>
      <c r="B18573" s="1478">
        <v>46082</v>
      </c>
      <c r="C18573" s="1497">
        <v>100</v>
      </c>
      <c r="D18573" s="1500"/>
      <c r="E18573" s="1498">
        <f t="shared" si="330"/>
        <v>0.43473221012968111</v>
      </c>
      <c r="F18573" s="1842"/>
      <c r="G18573" s="78"/>
    </row>
    <row r="18574" spans="1:8" ht="12.75" hidden="1" customHeight="1" outlineLevel="1" x14ac:dyDescent="0.25">
      <c r="A18574" s="221" t="s">
        <v>10417</v>
      </c>
      <c r="B18574" s="1478">
        <v>46113</v>
      </c>
      <c r="C18574" s="1497">
        <v>100</v>
      </c>
      <c r="D18574" s="1500"/>
      <c r="E18574" s="1498">
        <f t="shared" si="330"/>
        <v>0.43473221012968111</v>
      </c>
      <c r="F18574" s="1842"/>
      <c r="G18574" s="78"/>
    </row>
    <row r="18575" spans="1:8" ht="12.75" hidden="1" customHeight="1" outlineLevel="1" x14ac:dyDescent="0.25">
      <c r="A18575" s="221" t="s">
        <v>10418</v>
      </c>
      <c r="B18575" s="1478">
        <v>46143</v>
      </c>
      <c r="C18575" s="1497">
        <v>100</v>
      </c>
      <c r="D18575" s="1500"/>
      <c r="E18575" s="1498">
        <f t="shared" si="330"/>
        <v>0.43473221012968111</v>
      </c>
      <c r="F18575" s="1842"/>
      <c r="G18575" s="78"/>
    </row>
    <row r="18576" spans="1:8" ht="12.75" hidden="1" customHeight="1" outlineLevel="1" x14ac:dyDescent="0.25">
      <c r="A18576" s="221" t="s">
        <v>10419</v>
      </c>
      <c r="B18576" s="1478">
        <v>46174</v>
      </c>
      <c r="C18576" s="1497">
        <v>100</v>
      </c>
      <c r="D18576" s="1500"/>
      <c r="E18576" s="1498">
        <f t="shared" si="330"/>
        <v>0.43473221012968111</v>
      </c>
      <c r="F18576" s="1842"/>
      <c r="G18576" s="78"/>
    </row>
    <row r="18577" spans="1:9" ht="12.75" hidden="1" customHeight="1" outlineLevel="1" x14ac:dyDescent="0.25">
      <c r="A18577" s="221" t="s">
        <v>10420</v>
      </c>
      <c r="B18577" s="1478">
        <v>46204</v>
      </c>
      <c r="C18577" s="1497">
        <v>100</v>
      </c>
      <c r="D18577" s="1500"/>
      <c r="E18577" s="1498">
        <f t="shared" si="330"/>
        <v>0.43473221012968111</v>
      </c>
      <c r="F18577" s="1842"/>
      <c r="G18577" s="78"/>
    </row>
    <row r="18578" spans="1:9" ht="12.75" hidden="1" customHeight="1" outlineLevel="1" x14ac:dyDescent="0.25">
      <c r="A18578" s="221" t="s">
        <v>10421</v>
      </c>
      <c r="B18578" s="1478">
        <v>46235</v>
      </c>
      <c r="C18578" s="1497">
        <v>100</v>
      </c>
      <c r="D18578" s="1500"/>
      <c r="E18578" s="1498">
        <f t="shared" si="330"/>
        <v>0.43473221012968111</v>
      </c>
      <c r="F18578" s="1842"/>
      <c r="G18578" s="78"/>
    </row>
    <row r="18579" spans="1:9" ht="12.75" hidden="1" customHeight="1" outlineLevel="1" x14ac:dyDescent="0.25">
      <c r="A18579" s="221" t="s">
        <v>10422</v>
      </c>
      <c r="B18579" s="1478">
        <v>46266</v>
      </c>
      <c r="C18579" s="1497">
        <v>100</v>
      </c>
      <c r="D18579" s="1500"/>
      <c r="E18579" s="1498">
        <f t="shared" si="330"/>
        <v>0.43473221012968111</v>
      </c>
      <c r="F18579" s="1842"/>
      <c r="G18579" s="78"/>
    </row>
    <row r="18580" spans="1:9" ht="12.75" hidden="1" customHeight="1" outlineLevel="1" x14ac:dyDescent="0.25">
      <c r="A18580" s="221" t="s">
        <v>10423</v>
      </c>
      <c r="B18580" s="1478">
        <v>46296</v>
      </c>
      <c r="C18580" s="1497">
        <v>100</v>
      </c>
      <c r="D18580" s="1500"/>
      <c r="E18580" s="1498">
        <f t="shared" si="330"/>
        <v>0.43473221012968111</v>
      </c>
      <c r="F18580" s="1842"/>
      <c r="G18580" s="78"/>
    </row>
    <row r="18581" spans="1:9" ht="12.75" hidden="1" customHeight="1" outlineLevel="1" x14ac:dyDescent="0.25">
      <c r="A18581" s="221" t="s">
        <v>10424</v>
      </c>
      <c r="B18581" s="1478">
        <v>46327</v>
      </c>
      <c r="C18581" s="1497">
        <v>100</v>
      </c>
      <c r="D18581" s="1500"/>
      <c r="E18581" s="1498">
        <f t="shared" si="330"/>
        <v>0.43473221012968111</v>
      </c>
      <c r="F18581" s="1842"/>
      <c r="G18581" s="78"/>
    </row>
    <row r="18582" spans="1:9" ht="12.75" hidden="1" customHeight="1" outlineLevel="1" x14ac:dyDescent="0.25">
      <c r="A18582" s="221" t="s">
        <v>10425</v>
      </c>
      <c r="B18582" s="1478">
        <v>46357</v>
      </c>
      <c r="C18582" s="1497">
        <v>100</v>
      </c>
      <c r="D18582" s="1500"/>
      <c r="E18582" s="1498">
        <f t="shared" si="330"/>
        <v>0.43473221012968111</v>
      </c>
      <c r="F18582" s="1842"/>
      <c r="G18582" s="78"/>
    </row>
    <row r="18583" spans="1:9" ht="12.75" hidden="1" customHeight="1" outlineLevel="1" x14ac:dyDescent="0.25">
      <c r="A18583" s="1483" t="s">
        <v>2734</v>
      </c>
      <c r="B18583" s="1484"/>
      <c r="C18583" s="1500"/>
      <c r="D18583" s="1485" t="s">
        <v>2465</v>
      </c>
      <c r="E18583" s="1486">
        <f>AVERAGE(E18565:E18582)</f>
        <v>0.43473221012968111</v>
      </c>
      <c r="F18583" s="1844">
        <f>E18583</f>
        <v>0.43473221012968111</v>
      </c>
      <c r="G18583" s="78"/>
    </row>
    <row r="18584" spans="1:9" collapsed="1" x14ac:dyDescent="0.25">
      <c r="A18584" s="3799" t="s">
        <v>10522</v>
      </c>
      <c r="B18584" s="3800"/>
      <c r="C18584" s="3800"/>
      <c r="D18584" s="3800"/>
      <c r="E18584" s="18"/>
      <c r="F18584" s="186">
        <f>IF(F18583&lt;-10%,-10%,IF(F18583&lt;0%,+F18583,MIN(F18583*0.7,40%)))</f>
        <v>0.30431254709077676</v>
      </c>
      <c r="G18584" s="78"/>
    </row>
    <row r="18586" spans="1:9" hidden="1" outlineLevel="1" x14ac:dyDescent="0.25">
      <c r="A18586" s="3248" t="s">
        <v>113</v>
      </c>
      <c r="B18586" s="3237" t="s">
        <v>114</v>
      </c>
      <c r="C18586" s="3237" t="s">
        <v>112</v>
      </c>
      <c r="D18586" s="3237" t="s">
        <v>4363</v>
      </c>
      <c r="E18586" s="3237" t="s">
        <v>116</v>
      </c>
      <c r="F18586" s="3276" t="s">
        <v>121</v>
      </c>
      <c r="G18586" s="78"/>
      <c r="H18586" s="438" t="s">
        <v>5391</v>
      </c>
      <c r="I18586" s="438" t="s">
        <v>5392</v>
      </c>
    </row>
    <row r="18587" spans="1:9" hidden="1" outlineLevel="1" x14ac:dyDescent="0.25">
      <c r="A18587" s="1810">
        <v>1</v>
      </c>
      <c r="B18587" s="2984" t="s">
        <v>2153</v>
      </c>
      <c r="C18587" s="3748">
        <v>3689.7249999999999</v>
      </c>
      <c r="D18587" s="3805">
        <v>4663.6279999999997</v>
      </c>
      <c r="E18587" s="2238"/>
      <c r="F18587" s="3751">
        <v>0.13500000000000001</v>
      </c>
      <c r="G18587" s="78"/>
      <c r="H18587" s="92">
        <v>0.26395002337572571</v>
      </c>
      <c r="I18587" s="450">
        <v>0.13500000000000001</v>
      </c>
    </row>
    <row r="18588" spans="1:9" hidden="1" outlineLevel="1" x14ac:dyDescent="0.25">
      <c r="A18588" s="1810">
        <v>2</v>
      </c>
      <c r="B18588" s="2984" t="s">
        <v>2153</v>
      </c>
      <c r="C18588" s="1814" t="s">
        <v>5590</v>
      </c>
      <c r="D18588" s="3806"/>
      <c r="E18588" s="1815"/>
      <c r="F18588" s="3752" t="s">
        <v>5590</v>
      </c>
      <c r="G18588" s="78"/>
      <c r="H18588" s="92" t="s">
        <v>5590</v>
      </c>
      <c r="I18588" s="450">
        <v>0.18</v>
      </c>
    </row>
    <row r="18589" spans="1:9" hidden="1" outlineLevel="1" x14ac:dyDescent="0.25">
      <c r="A18589" s="1810">
        <v>3</v>
      </c>
      <c r="B18589" s="2984" t="s">
        <v>2153</v>
      </c>
      <c r="C18589" s="1814" t="s">
        <v>5590</v>
      </c>
      <c r="D18589" s="3806"/>
      <c r="E18589" s="1815"/>
      <c r="F18589" s="3752" t="s">
        <v>5590</v>
      </c>
      <c r="G18589" s="78"/>
      <c r="H18589" s="92" t="s">
        <v>5590</v>
      </c>
      <c r="I18589" s="450">
        <v>0.22500000000000001</v>
      </c>
    </row>
    <row r="18590" spans="1:9" hidden="1" outlineLevel="1" x14ac:dyDescent="0.25">
      <c r="A18590" s="1810">
        <v>4</v>
      </c>
      <c r="B18590" s="2984" t="s">
        <v>2153</v>
      </c>
      <c r="C18590" s="1814" t="s">
        <v>5590</v>
      </c>
      <c r="D18590" s="3806"/>
      <c r="E18590" s="1815"/>
      <c r="F18590" s="3752" t="s">
        <v>5590</v>
      </c>
      <c r="G18590" s="78"/>
      <c r="H18590" s="92" t="s">
        <v>5590</v>
      </c>
      <c r="I18590" s="450">
        <v>0.27</v>
      </c>
    </row>
    <row r="18591" spans="1:9" hidden="1" outlineLevel="1" x14ac:dyDescent="0.25">
      <c r="A18591" s="1810">
        <v>5</v>
      </c>
      <c r="B18591" s="2984" t="s">
        <v>2153</v>
      </c>
      <c r="C18591" s="1817" t="s">
        <v>5590</v>
      </c>
      <c r="D18591" s="3807"/>
      <c r="E18591" s="1815"/>
      <c r="F18591" s="3753" t="s">
        <v>5590</v>
      </c>
      <c r="G18591" s="78"/>
      <c r="H18591" s="37">
        <v>0.26395002337572571</v>
      </c>
    </row>
    <row r="18592" spans="1:9" hidden="1" outlineLevel="1" x14ac:dyDescent="0.25">
      <c r="A18592" s="1819" t="s">
        <v>2734</v>
      </c>
      <c r="B18592" s="2984"/>
      <c r="C18592" s="1820"/>
      <c r="D18592" s="3142"/>
      <c r="E18592" s="3750"/>
      <c r="F18592" s="3749">
        <v>0.13500000000000001</v>
      </c>
      <c r="G18592" s="78"/>
      <c r="H18592" s="74"/>
    </row>
    <row r="18593" spans="1:14" collapsed="1" x14ac:dyDescent="0.25">
      <c r="A18593" s="3801" t="s">
        <v>10559</v>
      </c>
      <c r="B18593" s="3802"/>
      <c r="C18593" s="3802"/>
      <c r="D18593" s="3802"/>
      <c r="E18593" s="1906"/>
      <c r="F18593" s="1907">
        <v>0.13500000000000001</v>
      </c>
      <c r="G18593" s="78"/>
      <c r="H18593" s="74"/>
    </row>
    <row r="18595" spans="1:14" ht="12.75" hidden="1" customHeight="1" outlineLevel="1" x14ac:dyDescent="0.25">
      <c r="A18595" s="15" t="s">
        <v>113</v>
      </c>
      <c r="B18595" s="15" t="s">
        <v>114</v>
      </c>
      <c r="C18595" s="15" t="s">
        <v>112</v>
      </c>
      <c r="D18595" s="15" t="s">
        <v>116</v>
      </c>
      <c r="E18595" s="15" t="s">
        <v>117</v>
      </c>
      <c r="F18595" s="1882" t="s">
        <v>121</v>
      </c>
      <c r="G18595" s="78"/>
    </row>
    <row r="18596" spans="1:14" ht="12.75" hidden="1" customHeight="1" outlineLevel="1" x14ac:dyDescent="0.25">
      <c r="A18596" s="1653">
        <v>1</v>
      </c>
      <c r="B18596" s="1654" t="s">
        <v>252</v>
      </c>
      <c r="C18596" s="1686">
        <v>100</v>
      </c>
      <c r="D18596" s="1687" t="s">
        <v>3702</v>
      </c>
      <c r="E18596" s="1688">
        <f>indexy!$B$2</f>
        <v>45379</v>
      </c>
      <c r="F18596" s="1689"/>
      <c r="G18596" s="78"/>
    </row>
    <row r="18597" spans="1:14" ht="40.5" hidden="1" customHeight="1" outlineLevel="1" x14ac:dyDescent="0.25">
      <c r="A18597" s="1518" t="s">
        <v>4156</v>
      </c>
      <c r="B18597" s="1518" t="s">
        <v>4153</v>
      </c>
      <c r="C18597" s="1518" t="s">
        <v>112</v>
      </c>
      <c r="D18597" s="1518" t="s">
        <v>4155</v>
      </c>
      <c r="E18597" s="1518" t="s">
        <v>4154</v>
      </c>
      <c r="F18597" s="1518" t="s">
        <v>2519</v>
      </c>
      <c r="G18597" s="78"/>
    </row>
    <row r="18598" spans="1:14" ht="12.75" hidden="1" customHeight="1" outlineLevel="1" x14ac:dyDescent="0.25">
      <c r="A18598" s="2034">
        <v>0.02</v>
      </c>
      <c r="B18598" s="2035" t="s">
        <v>359</v>
      </c>
      <c r="C18598" s="2037">
        <v>213.55</v>
      </c>
      <c r="D18598" s="2060">
        <f>VLOOKUP(H18598,indexy!$C$44:$D$823,2,FALSE)</f>
        <v>277.8</v>
      </c>
      <c r="E18598" s="2425">
        <f>D18598/C18598-1</f>
        <v>0.30086630765628652</v>
      </c>
      <c r="F18598" s="2609">
        <f>E18598*A18598</f>
        <v>6.0173261531257308E-3</v>
      </c>
      <c r="G18598" s="78"/>
      <c r="H18598" t="str">
        <f>VLOOKUP(B18598,indexy!$A$44:$D$823,3,FALSE)</f>
        <v>ALV GY Equity</v>
      </c>
      <c r="I18598" s="98" t="s">
        <v>6654</v>
      </c>
      <c r="J18598" s="494" t="s">
        <v>10402</v>
      </c>
      <c r="K18598" t="s">
        <v>10599</v>
      </c>
      <c r="N18598" s="434"/>
    </row>
    <row r="18599" spans="1:14" ht="12.75" hidden="1" customHeight="1" outlineLevel="1" x14ac:dyDescent="0.3">
      <c r="A18599" s="1911">
        <v>0.03</v>
      </c>
      <c r="B18599" s="2035" t="s">
        <v>2697</v>
      </c>
      <c r="C18599" s="2037">
        <v>16.738499999999998</v>
      </c>
      <c r="D18599" s="2063">
        <f>VLOOKUP(H18599,indexy!$C$44:$D$823,2,FALSE)</f>
        <v>23.46</v>
      </c>
      <c r="E18599" s="2426">
        <f>D18599/C18599-1</f>
        <v>0.40155927950533221</v>
      </c>
      <c r="F18599" s="2044">
        <f t="shared" ref="F18599:F18622" si="331">E18599*A18599</f>
        <v>1.2046778385159966E-2</v>
      </c>
      <c r="G18599" s="78"/>
      <c r="H18599" t="str">
        <f>VLOOKUP(B18599,indexy!$A$44:$D$823,3,FALSE)</f>
        <v>G IM Equity</v>
      </c>
      <c r="I18599" s="1690">
        <v>44621</v>
      </c>
      <c r="J18599" s="3494">
        <v>103.6416</v>
      </c>
      <c r="K18599" s="3495" t="s">
        <v>10701</v>
      </c>
      <c r="N18599" s="434"/>
    </row>
    <row r="18600" spans="1:14" ht="12.75" hidden="1" customHeight="1" outlineLevel="1" x14ac:dyDescent="0.25">
      <c r="A18600" s="1911">
        <v>0.02</v>
      </c>
      <c r="B18600" s="2035" t="s">
        <v>807</v>
      </c>
      <c r="C18600" s="2037">
        <v>56.933</v>
      </c>
      <c r="D18600" s="2063">
        <f>VLOOKUP(H18600,indexy!$C$44:$D$823,2,FALSE)</f>
        <v>46.03</v>
      </c>
      <c r="E18600" s="2426">
        <f t="shared" ref="E18600:E18627" si="332">D18600/C18600-1</f>
        <v>-0.1915058050691163</v>
      </c>
      <c r="F18600" s="2044">
        <f t="shared" si="331"/>
        <v>-3.8301161013823259E-3</v>
      </c>
      <c r="G18600" s="78"/>
      <c r="H18600" t="str">
        <f>VLOOKUP(B18600,indexy!$A$44:$D$823,3,FALSE)</f>
        <v>BCE CT Equity</v>
      </c>
      <c r="I18600" s="1690">
        <v>44986</v>
      </c>
      <c r="J18600" s="478">
        <v>109.9769</v>
      </c>
      <c r="N18600" s="434"/>
    </row>
    <row r="18601" spans="1:14" ht="12.75" hidden="1" customHeight="1" outlineLevel="1" x14ac:dyDescent="0.25">
      <c r="A18601" s="1911">
        <v>0.02</v>
      </c>
      <c r="B18601" s="2035" t="s">
        <v>2629</v>
      </c>
      <c r="C18601" s="2037">
        <v>16.259499999999999</v>
      </c>
      <c r="D18601" s="2063">
        <f>VLOOKUP(H18601,indexy!$C$44:$D$823,2,FALSE)</f>
        <v>22.5</v>
      </c>
      <c r="E18601" s="2426">
        <f t="shared" si="332"/>
        <v>0.38380639011039697</v>
      </c>
      <c r="F18601" s="2044">
        <f t="shared" si="331"/>
        <v>7.6761278022079394E-3</v>
      </c>
      <c r="G18601" s="78"/>
      <c r="H18601" t="str">
        <f>VLOOKUP(B18601,indexy!$A$44:$D$823,3,FALSE)</f>
        <v>DTE GY Equity</v>
      </c>
      <c r="I18601" s="1690">
        <v>45352</v>
      </c>
      <c r="J18601" s="478"/>
      <c r="N18601" s="434"/>
    </row>
    <row r="18602" spans="1:14" ht="12.75" hidden="1" customHeight="1" outlineLevel="1" x14ac:dyDescent="0.25">
      <c r="A18602" s="1911">
        <v>0.02</v>
      </c>
      <c r="B18602" s="2035" t="s">
        <v>9591</v>
      </c>
      <c r="C18602" s="2037">
        <v>73.296999999999997</v>
      </c>
      <c r="D18602" s="2063">
        <f>VLOOKUP(H18602,indexy!$C$44:$D$823,2,FALSE)</f>
        <v>49.19</v>
      </c>
      <c r="E18602" s="2426">
        <f t="shared" si="332"/>
        <v>-0.32889477059088368</v>
      </c>
      <c r="F18602" s="2044">
        <f t="shared" si="331"/>
        <v>-6.577895411817674E-3</v>
      </c>
      <c r="G18602" s="78"/>
      <c r="H18602" t="str">
        <f>VLOOKUP(B18602,indexy!$A$44:$D$823,3,FALSE)</f>
        <v>D UN Equity</v>
      </c>
      <c r="I18602" s="1690">
        <v>45717</v>
      </c>
      <c r="J18602" s="478"/>
      <c r="N18602" s="434"/>
    </row>
    <row r="18603" spans="1:14" ht="12.75" hidden="1" customHeight="1" outlineLevel="1" x14ac:dyDescent="0.25">
      <c r="A18603" s="1911">
        <v>0.02</v>
      </c>
      <c r="B18603" s="2035" t="s">
        <v>4387</v>
      </c>
      <c r="C18603" s="2037">
        <v>8.7690000000000001</v>
      </c>
      <c r="D18603" s="2063">
        <f>VLOOKUP(H18603,indexy!$C$44:$D$823,2,FALSE)</f>
        <v>12.885</v>
      </c>
      <c r="E18603" s="2426">
        <f t="shared" si="332"/>
        <v>0.46938077317824156</v>
      </c>
      <c r="F18603" s="2044">
        <f t="shared" si="331"/>
        <v>9.3876154635648308E-3</v>
      </c>
      <c r="G18603" s="78"/>
      <c r="H18603" t="str">
        <f>VLOOKUP(B18603,indexy!$A$44:$D$823,3,FALSE)</f>
        <v>EOAN GY Equity</v>
      </c>
      <c r="I18603" s="1690"/>
      <c r="J18603" s="478"/>
      <c r="N18603" s="434"/>
    </row>
    <row r="18604" spans="1:14" ht="12.75" hidden="1" customHeight="1" outlineLevel="1" x14ac:dyDescent="0.25">
      <c r="A18604" s="1911">
        <v>0.04</v>
      </c>
      <c r="B18604" s="2035" t="s">
        <v>9171</v>
      </c>
      <c r="C18604" s="2037">
        <v>21.571999999999999</v>
      </c>
      <c r="D18604" s="2063">
        <f>VLOOKUP(H18604,indexy!$C$44:$D$823,2,FALSE)</f>
        <v>17.164999999999999</v>
      </c>
      <c r="E18604" s="2426">
        <f t="shared" si="332"/>
        <v>-0.20429260152048956</v>
      </c>
      <c r="F18604" s="2044">
        <f t="shared" si="331"/>
        <v>-8.1717040608195821E-3</v>
      </c>
      <c r="G18604" s="78"/>
      <c r="H18604" t="str">
        <f>VLOOKUP(B18604,indexy!$A$44:$D$823,3,FALSE)</f>
        <v>ELE SQ Equity</v>
      </c>
      <c r="I18604" t="s">
        <v>9580</v>
      </c>
      <c r="J18604" s="1473">
        <v>1</v>
      </c>
      <c r="N18604" s="434"/>
    </row>
    <row r="18605" spans="1:14" ht="12.75" hidden="1" customHeight="1" outlineLevel="1" x14ac:dyDescent="0.25">
      <c r="A18605" s="1911">
        <v>0.02</v>
      </c>
      <c r="B18605" s="2035" t="s">
        <v>3798</v>
      </c>
      <c r="C18605" s="2037">
        <v>8.1934000000000005</v>
      </c>
      <c r="D18605" s="2063">
        <f>VLOOKUP(H18605,indexy!$C$44:$D$823,2,FALSE)</f>
        <v>6.1189999999999998</v>
      </c>
      <c r="E18605" s="2426">
        <f t="shared" si="332"/>
        <v>-0.25317938828813447</v>
      </c>
      <c r="F18605" s="2044">
        <f t="shared" si="331"/>
        <v>-5.0635877657626898E-3</v>
      </c>
      <c r="G18605" s="78"/>
      <c r="H18605" t="str">
        <f>VLOOKUP(B18605,indexy!$A$44:$D$823,3,FALSE)</f>
        <v>ENEL IM Equity</v>
      </c>
      <c r="N18605" s="434"/>
    </row>
    <row r="18606" spans="1:14" ht="12.75" hidden="1" customHeight="1" outlineLevel="1" x14ac:dyDescent="0.25">
      <c r="A18606" s="1911">
        <v>0.03</v>
      </c>
      <c r="B18606" s="2035" t="s">
        <v>4268</v>
      </c>
      <c r="C18606" s="2037">
        <v>22.074000000000002</v>
      </c>
      <c r="D18606" s="2063">
        <f>VLOOKUP(H18606,indexy!$C$44:$D$823,2,FALSE)</f>
        <v>11.445</v>
      </c>
      <c r="E18606" s="2426">
        <f t="shared" si="332"/>
        <v>-0.4815167164990487</v>
      </c>
      <c r="F18606" s="2044">
        <f t="shared" si="331"/>
        <v>-1.4445501494971461E-2</v>
      </c>
      <c r="G18606" s="78"/>
      <c r="H18606" t="str">
        <f>VLOOKUP(B18606,indexy!$A$44:$D$823,3,FALSE)</f>
        <v>FORTUM FH Equity</v>
      </c>
      <c r="N18606" s="434"/>
    </row>
    <row r="18607" spans="1:14" ht="12.75" hidden="1" customHeight="1" outlineLevel="1" x14ac:dyDescent="0.25">
      <c r="A18607" s="1911">
        <v>0.02</v>
      </c>
      <c r="B18607" s="2035" t="s">
        <v>7573</v>
      </c>
      <c r="C18607" s="2037">
        <v>38.832000000000001</v>
      </c>
      <c r="D18607" s="2063">
        <f>VLOOKUP(H18607,indexy!$C$44:$D$823,2,FALSE)</f>
        <v>36.9</v>
      </c>
      <c r="E18607" s="2426">
        <f t="shared" si="332"/>
        <v>-4.9752781211372166E-2</v>
      </c>
      <c r="F18607" s="2044">
        <f t="shared" si="331"/>
        <v>-9.9505562422744329E-4</v>
      </c>
      <c r="G18607" s="78"/>
      <c r="H18607" t="str">
        <f>VLOOKUP(B18607,indexy!$A$44:$D$823,3,FALSE)</f>
        <v>KHC UW Equity</v>
      </c>
      <c r="N18607" s="434"/>
    </row>
    <row r="18608" spans="1:14" ht="12.75" hidden="1" customHeight="1" outlineLevel="1" x14ac:dyDescent="0.25">
      <c r="A18608" s="1911">
        <v>0.02</v>
      </c>
      <c r="B18608" s="2035" t="s">
        <v>10623</v>
      </c>
      <c r="C18608" s="2037">
        <v>53.558</v>
      </c>
      <c r="D18608" s="2063">
        <f>VLOOKUP(H18608,indexy!$C$44:$D$823,2,FALSE)</f>
        <v>81.66</v>
      </c>
      <c r="E18608" s="2426">
        <f t="shared" si="332"/>
        <v>0.52470219201613189</v>
      </c>
      <c r="F18608" s="2044">
        <f t="shared" si="331"/>
        <v>1.0494043840322638E-2</v>
      </c>
      <c r="G18608" s="78"/>
      <c r="H18608" t="str">
        <f>VLOOKUP(B18608,indexy!$A$44:$D$823,3,FALSE)</f>
        <v>HOLN SW Equity</v>
      </c>
      <c r="N18608" s="434"/>
    </row>
    <row r="18609" spans="1:14" ht="12.75" hidden="1" customHeight="1" outlineLevel="1" x14ac:dyDescent="0.25">
      <c r="A18609" s="1911">
        <v>0.02</v>
      </c>
      <c r="B18609" s="2035" t="s">
        <v>1238</v>
      </c>
      <c r="C18609" s="2037">
        <v>9.4540000000000006</v>
      </c>
      <c r="D18609" s="2063">
        <f>VLOOKUP(H18609,indexy!$C$44:$D$823,2,FALSE)</f>
        <v>13.81</v>
      </c>
      <c r="E18609" s="2426">
        <f t="shared" si="332"/>
        <v>0.46075735138565688</v>
      </c>
      <c r="F18609" s="2044">
        <f t="shared" si="331"/>
        <v>9.2151470277131373E-3</v>
      </c>
      <c r="G18609" s="78"/>
      <c r="H18609" t="str">
        <f>VLOOKUP(B18609,indexy!$A$44:$D$823,3,FALSE)</f>
        <v>MB IM Equity</v>
      </c>
      <c r="N18609" s="434"/>
    </row>
    <row r="18610" spans="1:14" ht="12.75" hidden="1" customHeight="1" outlineLevel="1" x14ac:dyDescent="0.25">
      <c r="A18610" s="1911">
        <v>0.08</v>
      </c>
      <c r="B18610" s="2035" t="s">
        <v>3526</v>
      </c>
      <c r="C18610" s="2038">
        <v>610.74</v>
      </c>
      <c r="D18610" s="2063">
        <f>VLOOKUP(H18610,indexy!$C$44:$D$823,2,FALSE)</f>
        <v>1535</v>
      </c>
      <c r="E18610" s="2426">
        <f t="shared" si="332"/>
        <v>1.5133444673674559</v>
      </c>
      <c r="F18610" s="2044">
        <f t="shared" si="331"/>
        <v>0.12106755738939647</v>
      </c>
      <c r="G18610" s="78"/>
      <c r="H18610" t="str">
        <f>VLOOKUP(B18610,indexy!$A$44:$D$823,3,FALSE)</f>
        <v>8306 JT Equity</v>
      </c>
      <c r="N18610" s="434"/>
    </row>
    <row r="18611" spans="1:14" ht="12.75" hidden="1" customHeight="1" outlineLevel="1" x14ac:dyDescent="0.25">
      <c r="A18611" s="1911">
        <v>0.02</v>
      </c>
      <c r="B18611" s="2035" t="s">
        <v>10528</v>
      </c>
      <c r="C18611" s="2037">
        <v>3238.5</v>
      </c>
      <c r="D18611" s="2063">
        <f>VLOOKUP(H18611,indexy!$C$44:$D$823,2,FALSE)</f>
        <v>2664.5</v>
      </c>
      <c r="E18611" s="2426">
        <f t="shared" si="332"/>
        <v>-0.17724255056353255</v>
      </c>
      <c r="F18611" s="2044">
        <f t="shared" si="331"/>
        <v>-3.544851011270651E-3</v>
      </c>
      <c r="G18611" s="78"/>
      <c r="H18611" t="str">
        <f>VLOOKUP(B18611,indexy!$A$44:$D$823,3,FALSE)</f>
        <v>8725 JT Equity</v>
      </c>
      <c r="N18611" s="434"/>
    </row>
    <row r="18612" spans="1:14" ht="12.75" hidden="1" customHeight="1" outlineLevel="1" x14ac:dyDescent="0.25">
      <c r="A18612" s="1911">
        <v>0.02</v>
      </c>
      <c r="B18612" s="2035" t="s">
        <v>2786</v>
      </c>
      <c r="C18612" s="2037">
        <v>8.3818000000000001</v>
      </c>
      <c r="D18612" s="2063">
        <f>VLOOKUP(H18612,indexy!$C$44:$D$823,2,FALSE)/100</f>
        <v>10.66</v>
      </c>
      <c r="E18612" s="2426">
        <f t="shared" si="332"/>
        <v>0.2718031926316542</v>
      </c>
      <c r="F18612" s="2044">
        <f t="shared" si="331"/>
        <v>5.4360638526330845E-3</v>
      </c>
      <c r="G18612" s="78"/>
      <c r="H18612" t="str">
        <f>VLOOKUP(B18612,indexy!$A$44:$D$823,3,FALSE)</f>
        <v>NG/ LN Equity</v>
      </c>
      <c r="N18612" s="434"/>
    </row>
    <row r="18613" spans="1:14" ht="12.75" hidden="1" customHeight="1" outlineLevel="1" x14ac:dyDescent="0.25">
      <c r="A18613" s="1911">
        <v>0.02</v>
      </c>
      <c r="B18613" s="2035" t="s">
        <v>9767</v>
      </c>
      <c r="C18613" s="2037">
        <v>21.088000000000001</v>
      </c>
      <c r="D18613" s="2063">
        <f>VLOOKUP(H18613,indexy!$C$44:$D$823,2,FALSE)</f>
        <v>20.100000000000001</v>
      </c>
      <c r="E18613" s="2426">
        <f t="shared" si="332"/>
        <v>-4.6851289833080401E-2</v>
      </c>
      <c r="F18613" s="2044">
        <f t="shared" si="331"/>
        <v>-9.3702579666160807E-4</v>
      </c>
      <c r="G18613" s="78"/>
      <c r="H18613" t="str">
        <f>VLOOKUP(B18613,indexy!$A$44:$D$823,3,FALSE)</f>
        <v>NTGY SQ Equity</v>
      </c>
      <c r="N18613" s="434"/>
    </row>
    <row r="18614" spans="1:14" ht="12.75" hidden="1" customHeight="1" outlineLevel="1" x14ac:dyDescent="0.25">
      <c r="A18614" s="1911">
        <v>0.03</v>
      </c>
      <c r="B18614" s="2035" t="s">
        <v>5824</v>
      </c>
      <c r="C18614" s="2037">
        <v>10.058028605841351</v>
      </c>
      <c r="D18614" s="2063">
        <f>VLOOKUP(H18614,indexy!$C$44:$D$823,2,FALSE)</f>
        <v>10.888</v>
      </c>
      <c r="E18614" s="2426">
        <f t="shared" si="332"/>
        <v>8.2518297241333194E-2</v>
      </c>
      <c r="F18614" s="2044">
        <f t="shared" si="331"/>
        <v>2.4755489172399959E-3</v>
      </c>
      <c r="G18614" s="78"/>
      <c r="H18614" t="str">
        <f>VLOOKUP(B18614,indexy!$A$44:$D$823,3,FALSE)</f>
        <v>ORA FP Equity</v>
      </c>
      <c r="N18614" s="434"/>
    </row>
    <row r="18615" spans="1:14" ht="12.75" hidden="1" customHeight="1" outlineLevel="1" x14ac:dyDescent="0.25">
      <c r="A18615" s="1911">
        <v>0.08</v>
      </c>
      <c r="B18615" s="2035" t="s">
        <v>6116</v>
      </c>
      <c r="C18615" s="2037">
        <v>4.4939999999999998</v>
      </c>
      <c r="D18615" s="2063">
        <f>VLOOKUP(H18615,indexy!$C$44:$D$823,2,FALSE)</f>
        <v>4.3760000000000003</v>
      </c>
      <c r="E18615" s="2426">
        <f t="shared" si="332"/>
        <v>-2.6257231864708408E-2</v>
      </c>
      <c r="F18615" s="2044">
        <f t="shared" si="331"/>
        <v>-2.1005785491766725E-3</v>
      </c>
      <c r="G18615" s="78"/>
      <c r="H18615" t="str">
        <f>VLOOKUP(B18615,indexy!$A$44:$D$823,3,FALSE)</f>
        <v>SRG IM Equity</v>
      </c>
      <c r="N18615" s="434"/>
    </row>
    <row r="18616" spans="1:14" ht="12.75" hidden="1" customHeight="1" outlineLevel="1" x14ac:dyDescent="0.25">
      <c r="A18616" s="1911">
        <v>0.08</v>
      </c>
      <c r="B18616" s="2035" t="s">
        <v>10529</v>
      </c>
      <c r="C18616" s="2037">
        <v>1457.2</v>
      </c>
      <c r="D18616" s="2063">
        <f>VLOOKUP(H18616,indexy!$C$44:$D$823,2,FALSE)</f>
        <v>1941</v>
      </c>
      <c r="E18616" s="2426">
        <f t="shared" si="332"/>
        <v>0.33200658797694205</v>
      </c>
      <c r="F18616" s="2044">
        <f t="shared" si="331"/>
        <v>2.6560527038155365E-2</v>
      </c>
      <c r="G18616" s="78"/>
      <c r="H18616" t="str">
        <f>VLOOKUP(B18616,indexy!$A$44:$D$823,3,FALSE)</f>
        <v>9434 JT Equity</v>
      </c>
      <c r="N18616" s="434"/>
    </row>
    <row r="18617" spans="1:14" ht="12.75" hidden="1" customHeight="1" outlineLevel="1" x14ac:dyDescent="0.25">
      <c r="A18617" s="1911">
        <v>0.05</v>
      </c>
      <c r="B18617" s="2035" t="s">
        <v>702</v>
      </c>
      <c r="C18617" s="2037">
        <v>4076.9</v>
      </c>
      <c r="D18617" s="2063">
        <f>VLOOKUP(H18617,indexy!$C$44:$D$823,2,FALSE)</f>
        <v>8832</v>
      </c>
      <c r="E18617" s="2426">
        <f t="shared" si="332"/>
        <v>1.1663518850106698</v>
      </c>
      <c r="F18617" s="2044">
        <f t="shared" si="331"/>
        <v>5.831759425053349E-2</v>
      </c>
      <c r="G18617" s="78"/>
      <c r="H18617" t="str">
        <f>VLOOKUP(B18617,indexy!$A$44:$D$823,3,FALSE)</f>
        <v>8316 JT Equity</v>
      </c>
      <c r="N18617" s="434"/>
    </row>
    <row r="18618" spans="1:14" ht="12.75" hidden="1" customHeight="1" outlineLevel="1" x14ac:dyDescent="0.25">
      <c r="A18618" s="1911">
        <v>0.02</v>
      </c>
      <c r="B18618" s="2035" t="s">
        <v>9173</v>
      </c>
      <c r="C18618" s="2037">
        <v>454.87</v>
      </c>
      <c r="D18618" s="2063">
        <f>VLOOKUP(H18618,indexy!$C$44:$D$823,2,FALSE)</f>
        <v>632.20000000000005</v>
      </c>
      <c r="E18618" s="2426">
        <f t="shared" si="332"/>
        <v>0.38984764877877209</v>
      </c>
      <c r="F18618" s="2044">
        <f t="shared" si="331"/>
        <v>7.7969529755754418E-3</v>
      </c>
      <c r="G18618" s="78"/>
      <c r="H18618" t="str">
        <f>VLOOKUP(B18618,indexy!$A$44:$D$823,3,FALSE)</f>
        <v>SLHN SE Equity</v>
      </c>
      <c r="N18618" s="434"/>
    </row>
    <row r="18619" spans="1:14" ht="12.75" hidden="1" customHeight="1" outlineLevel="1" x14ac:dyDescent="0.25">
      <c r="A18619" s="1911">
        <v>0.08</v>
      </c>
      <c r="B18619" s="2035" t="s">
        <v>1239</v>
      </c>
      <c r="C18619" s="2037">
        <v>481.19</v>
      </c>
      <c r="D18619" s="2063">
        <f>VLOOKUP(H18619,indexy!$C$44:$D$823,2,FALSE)</f>
        <v>551.4</v>
      </c>
      <c r="E18619" s="2426">
        <f t="shared" si="332"/>
        <v>0.14590910035536897</v>
      </c>
      <c r="F18619" s="2044">
        <f t="shared" si="331"/>
        <v>1.1672728028429518E-2</v>
      </c>
      <c r="G18619" s="78"/>
      <c r="H18619" t="str">
        <f>VLOOKUP(B18619,indexy!$A$44:$D$823,3,FALSE)</f>
        <v>SCMN SE Equity</v>
      </c>
      <c r="N18619" s="434"/>
    </row>
    <row r="18620" spans="1:14" ht="12.75" hidden="1" customHeight="1" outlineLevel="1" x14ac:dyDescent="0.25">
      <c r="A18620" s="1911">
        <v>0.02</v>
      </c>
      <c r="B18620" s="2035" t="s">
        <v>3383</v>
      </c>
      <c r="C18620" s="2037">
        <v>150.51</v>
      </c>
      <c r="D18620" s="2063">
        <f>VLOOKUP(H18620,indexy!$C$44:$D$823,2,FALSE)</f>
        <v>120.75</v>
      </c>
      <c r="E18620" s="2426">
        <f t="shared" si="332"/>
        <v>-0.19772772573250941</v>
      </c>
      <c r="F18620" s="2044">
        <f t="shared" si="331"/>
        <v>-3.9545545146501878E-3</v>
      </c>
      <c r="G18620" s="78"/>
      <c r="H18620" t="str">
        <f>VLOOKUP(B18620,indexy!$A$44:$D$823,3,FALSE)</f>
        <v>TEL NO Equity</v>
      </c>
      <c r="N18620" s="434"/>
    </row>
    <row r="18621" spans="1:14" ht="12.75" hidden="1" customHeight="1" outlineLevel="1" x14ac:dyDescent="0.25">
      <c r="A18621" s="1911">
        <v>0.08</v>
      </c>
      <c r="B18621" s="2035" t="s">
        <v>434</v>
      </c>
      <c r="C18621" s="2037">
        <v>36.42</v>
      </c>
      <c r="D18621" s="2063">
        <f>VLOOKUP(H18621,indexy!$C$44:$D$823,2,FALSE)</f>
        <v>27.43</v>
      </c>
      <c r="E18621" s="2426">
        <f t="shared" si="332"/>
        <v>-0.24684239428885235</v>
      </c>
      <c r="F18621" s="2044">
        <f t="shared" si="331"/>
        <v>-1.974739154310819E-2</v>
      </c>
      <c r="G18621" s="78"/>
      <c r="H18621" t="str">
        <f>VLOOKUP(B18621,indexy!$A$44:$D$823,3,FALSE)</f>
        <v>TELIA SS Equity</v>
      </c>
      <c r="N18621" s="434"/>
    </row>
    <row r="18622" spans="1:14" ht="12.75" hidden="1" customHeight="1" outlineLevel="1" x14ac:dyDescent="0.25">
      <c r="A18622" s="1911">
        <v>0.02</v>
      </c>
      <c r="B18622" s="2035" t="s">
        <v>3665</v>
      </c>
      <c r="C18622" s="2037">
        <v>26.364000000000001</v>
      </c>
      <c r="D18622" s="2063">
        <f>VLOOKUP(H18622,indexy!$C$44:$D$823,2,FALSE)</f>
        <v>21.67</v>
      </c>
      <c r="E18622" s="2426">
        <f t="shared" si="332"/>
        <v>-0.17804582005765435</v>
      </c>
      <c r="F18622" s="2044">
        <f t="shared" si="331"/>
        <v>-3.5609164011530872E-3</v>
      </c>
      <c r="G18622" s="78"/>
      <c r="H18622" t="str">
        <f>VLOOKUP(B18622,indexy!$A$44:$D$823,3,FALSE)</f>
        <v>T CT Equity</v>
      </c>
      <c r="N18622" s="434"/>
    </row>
    <row r="18623" spans="1:14" ht="12.75" hidden="1" customHeight="1" outlineLevel="1" x14ac:dyDescent="0.25">
      <c r="A18623" s="1911">
        <v>0.04</v>
      </c>
      <c r="B18623" s="2035" t="s">
        <v>3921</v>
      </c>
      <c r="C18623" s="2037">
        <v>6.0696000000000003</v>
      </c>
      <c r="D18623" s="2063">
        <f>VLOOKUP(H18623,indexy!$C$44:$D$823,2,FALSE)</f>
        <v>7.66</v>
      </c>
      <c r="E18623" s="2426">
        <f t="shared" si="332"/>
        <v>0.26202715170686686</v>
      </c>
      <c r="F18623" s="2044">
        <f>E18623*A18623</f>
        <v>1.0481086068274675E-2</v>
      </c>
      <c r="G18623" s="78"/>
      <c r="H18623" t="str">
        <f>VLOOKUP(B18623,indexy!$A$44:$D$823,3,FALSE)</f>
        <v>TRN IM Equity</v>
      </c>
      <c r="N18623" s="434"/>
    </row>
    <row r="18624" spans="1:14" ht="12.75" hidden="1" customHeight="1" outlineLevel="1" x14ac:dyDescent="0.25">
      <c r="A18624" s="1911">
        <v>0.02</v>
      </c>
      <c r="B18624" s="2035" t="s">
        <v>10530</v>
      </c>
      <c r="C18624" s="2037">
        <f>5592.4/3</f>
        <v>1864.1333333333332</v>
      </c>
      <c r="D18624" s="2063">
        <f>VLOOKUP(H18624,indexy!$C$44:$D$823,2,FALSE)</f>
        <v>4725</v>
      </c>
      <c r="E18624" s="2426">
        <f t="shared" si="332"/>
        <v>1.5346899363421787</v>
      </c>
      <c r="F18624" s="2044">
        <f>E18624*A18624</f>
        <v>3.0693798726843573E-2</v>
      </c>
      <c r="G18624" s="78"/>
      <c r="H18624" t="str">
        <f>VLOOKUP(B18624,indexy!$A$44:$D$823,3,FALSE)</f>
        <v>8766 JT Equity</v>
      </c>
      <c r="N18624" s="434"/>
    </row>
    <row r="18625" spans="1:14" ht="12.75" hidden="1" customHeight="1" outlineLevel="1" x14ac:dyDescent="0.25">
      <c r="A18625" s="1911">
        <v>0.02</v>
      </c>
      <c r="B18625" s="2035" t="s">
        <v>3903</v>
      </c>
      <c r="C18625" s="2037">
        <v>32.491999999999997</v>
      </c>
      <c r="D18625" s="2063">
        <f>VLOOKUP(H18625,indexy!$C$44:$D$823,2,FALSE)</f>
        <v>30.87</v>
      </c>
      <c r="E18625" s="2426">
        <f t="shared" si="332"/>
        <v>-4.9919980302843614E-2</v>
      </c>
      <c r="F18625" s="2044">
        <f>E18625*A18625</f>
        <v>-9.983996060568723E-4</v>
      </c>
      <c r="G18625" s="78"/>
      <c r="H18625" t="str">
        <f>VLOOKUP(B18625,indexy!$A$44:$D$823,3,FALSE)</f>
        <v>UPM FH Equity</v>
      </c>
      <c r="N18625" s="434"/>
    </row>
    <row r="18626" spans="1:14" ht="12.75" hidden="1" customHeight="1" outlineLevel="1" x14ac:dyDescent="0.25">
      <c r="A18626" s="1911">
        <v>0.02</v>
      </c>
      <c r="B18626" s="2035" t="s">
        <v>255</v>
      </c>
      <c r="C18626" s="2037">
        <v>56.079000000000001</v>
      </c>
      <c r="D18626" s="2063">
        <f>VLOOKUP(H18626,indexy!$C$44:$D$823,2,FALSE)</f>
        <v>41.96</v>
      </c>
      <c r="E18626" s="2426">
        <f t="shared" si="332"/>
        <v>-0.25176982471156761</v>
      </c>
      <c r="F18626" s="2044">
        <f>E18626*A18626</f>
        <v>-5.0353964942313522E-3</v>
      </c>
      <c r="G18626" s="78"/>
      <c r="H18626" t="str">
        <f>VLOOKUP(B18626,indexy!$A$44:$D$823,3,FALSE)</f>
        <v>VZ UN Equity</v>
      </c>
      <c r="N18626" s="434"/>
    </row>
    <row r="18627" spans="1:14" ht="12.75" hidden="1" customHeight="1" outlineLevel="1" x14ac:dyDescent="0.25">
      <c r="A18627" s="1911">
        <v>0.02</v>
      </c>
      <c r="B18627" s="2036" t="s">
        <v>4550</v>
      </c>
      <c r="C18627" s="2037">
        <v>394.07</v>
      </c>
      <c r="D18627" s="2066">
        <f>VLOOKUP(H18627,indexy!$C$44:$D$823,2,FALSE)</f>
        <v>486.3</v>
      </c>
      <c r="E18627" s="2426">
        <f t="shared" si="332"/>
        <v>0.23404471286827211</v>
      </c>
      <c r="F18627" s="2044">
        <f>E18627*A18627</f>
        <v>4.680894257365442E-3</v>
      </c>
      <c r="G18627" s="78"/>
      <c r="H18627" t="str">
        <f>VLOOKUP(B18627,indexy!$A$44:$D$823,3,FALSE)</f>
        <v>ZURN SE Equity</v>
      </c>
      <c r="N18627" s="434"/>
    </row>
    <row r="18628" spans="1:14" ht="12.75" hidden="1" customHeight="1" outlineLevel="1" x14ac:dyDescent="0.25">
      <c r="A18628" s="2048" t="s">
        <v>2734</v>
      </c>
      <c r="B18628" s="2049"/>
      <c r="C18628" s="2050"/>
      <c r="D18628" s="2051"/>
      <c r="E18628" s="2059"/>
      <c r="F18628" s="2609">
        <f>SUM(F18598:F18627)</f>
        <v>0.25505681580125156</v>
      </c>
      <c r="G18628" s="78"/>
    </row>
    <row r="18629" spans="1:14" ht="12.75" hidden="1" customHeight="1" outlineLevel="1" x14ac:dyDescent="0.25">
      <c r="A18629" s="2053"/>
      <c r="B18629" s="2054">
        <v>45839</v>
      </c>
      <c r="C18629" s="2055">
        <v>100</v>
      </c>
      <c r="D18629" s="2055"/>
      <c r="E18629" s="2056">
        <f>IF(D18629="",$F$18628,D18629/C18629-1)</f>
        <v>0.25505681580125156</v>
      </c>
      <c r="F18629" s="2057"/>
      <c r="G18629" s="78"/>
    </row>
    <row r="18630" spans="1:14" ht="12.75" hidden="1" customHeight="1" outlineLevel="1" x14ac:dyDescent="0.25">
      <c r="A18630" s="2053"/>
      <c r="B18630" s="2054">
        <v>45870</v>
      </c>
      <c r="C18630" s="2055">
        <v>100</v>
      </c>
      <c r="D18630" s="2058"/>
      <c r="E18630" s="2056">
        <f t="shared" ref="E18630:E18646" si="333">IF(D18630="",$F$18628,D18630/C18630-1)</f>
        <v>0.25505681580125156</v>
      </c>
      <c r="F18630" s="2057"/>
      <c r="G18630" s="78"/>
    </row>
    <row r="18631" spans="1:14" ht="12.75" hidden="1" customHeight="1" outlineLevel="1" x14ac:dyDescent="0.25">
      <c r="A18631" s="2053"/>
      <c r="B18631" s="2054">
        <v>45901</v>
      </c>
      <c r="C18631" s="2055">
        <v>100</v>
      </c>
      <c r="D18631" s="2058"/>
      <c r="E18631" s="2056">
        <f t="shared" si="333"/>
        <v>0.25505681580125156</v>
      </c>
      <c r="F18631" s="2057"/>
      <c r="G18631" s="78"/>
    </row>
    <row r="18632" spans="1:14" ht="12.75" hidden="1" customHeight="1" outlineLevel="1" x14ac:dyDescent="0.25">
      <c r="A18632" s="2053"/>
      <c r="B18632" s="2054">
        <v>45931</v>
      </c>
      <c r="C18632" s="2055">
        <v>100</v>
      </c>
      <c r="D18632" s="2058"/>
      <c r="E18632" s="2056">
        <f t="shared" si="333"/>
        <v>0.25505681580125156</v>
      </c>
      <c r="F18632" s="2057"/>
      <c r="G18632" s="78"/>
    </row>
    <row r="18633" spans="1:14" ht="12.75" hidden="1" customHeight="1" outlineLevel="1" x14ac:dyDescent="0.25">
      <c r="A18633" s="2053"/>
      <c r="B18633" s="2054">
        <v>45962</v>
      </c>
      <c r="C18633" s="2055">
        <v>100</v>
      </c>
      <c r="D18633" s="2058"/>
      <c r="E18633" s="2056">
        <f t="shared" si="333"/>
        <v>0.25505681580125156</v>
      </c>
      <c r="F18633" s="2057"/>
      <c r="G18633" s="78"/>
    </row>
    <row r="18634" spans="1:14" ht="12.75" hidden="1" customHeight="1" outlineLevel="1" x14ac:dyDescent="0.25">
      <c r="A18634" s="2053"/>
      <c r="B18634" s="2054">
        <v>45992</v>
      </c>
      <c r="C18634" s="2055">
        <v>100</v>
      </c>
      <c r="D18634" s="2058"/>
      <c r="E18634" s="2056">
        <f t="shared" si="333"/>
        <v>0.25505681580125156</v>
      </c>
      <c r="F18634" s="2057"/>
      <c r="G18634" s="78"/>
    </row>
    <row r="18635" spans="1:14" ht="12.75" hidden="1" customHeight="1" outlineLevel="1" x14ac:dyDescent="0.25">
      <c r="A18635" s="2053"/>
      <c r="B18635" s="2054">
        <v>46023</v>
      </c>
      <c r="C18635" s="2055">
        <v>100</v>
      </c>
      <c r="D18635" s="2058"/>
      <c r="E18635" s="2056">
        <f t="shared" si="333"/>
        <v>0.25505681580125156</v>
      </c>
      <c r="F18635" s="2057"/>
      <c r="G18635" s="78"/>
    </row>
    <row r="18636" spans="1:14" ht="12.75" hidden="1" customHeight="1" outlineLevel="1" x14ac:dyDescent="0.25">
      <c r="A18636" s="2053"/>
      <c r="B18636" s="2054">
        <v>46054</v>
      </c>
      <c r="C18636" s="2055">
        <v>100</v>
      </c>
      <c r="D18636" s="2058"/>
      <c r="E18636" s="2056">
        <f t="shared" si="333"/>
        <v>0.25505681580125156</v>
      </c>
      <c r="F18636" s="2057"/>
      <c r="G18636" s="78"/>
    </row>
    <row r="18637" spans="1:14" ht="12.75" hidden="1" customHeight="1" outlineLevel="1" x14ac:dyDescent="0.25">
      <c r="A18637" s="2053"/>
      <c r="B18637" s="2054">
        <v>46082</v>
      </c>
      <c r="C18637" s="2055">
        <v>100</v>
      </c>
      <c r="D18637" s="2058"/>
      <c r="E18637" s="2056">
        <f t="shared" si="333"/>
        <v>0.25505681580125156</v>
      </c>
      <c r="F18637" s="2057"/>
      <c r="G18637" s="78"/>
    </row>
    <row r="18638" spans="1:14" ht="12.75" hidden="1" customHeight="1" outlineLevel="1" x14ac:dyDescent="0.25">
      <c r="A18638" s="2053"/>
      <c r="B18638" s="2054">
        <v>46113</v>
      </c>
      <c r="C18638" s="2055">
        <v>100</v>
      </c>
      <c r="D18638" s="2058"/>
      <c r="E18638" s="2056">
        <f t="shared" si="333"/>
        <v>0.25505681580125156</v>
      </c>
      <c r="F18638" s="2057"/>
      <c r="G18638" s="78"/>
    </row>
    <row r="18639" spans="1:14" ht="12.75" hidden="1" customHeight="1" outlineLevel="1" x14ac:dyDescent="0.25">
      <c r="A18639" s="2053"/>
      <c r="B18639" s="2054">
        <v>46143</v>
      </c>
      <c r="C18639" s="2055">
        <v>100</v>
      </c>
      <c r="D18639" s="2058"/>
      <c r="E18639" s="2056">
        <f t="shared" si="333"/>
        <v>0.25505681580125156</v>
      </c>
      <c r="F18639" s="2057"/>
      <c r="G18639" s="78"/>
    </row>
    <row r="18640" spans="1:14" ht="12.75" hidden="1" customHeight="1" outlineLevel="1" x14ac:dyDescent="0.25">
      <c r="A18640" s="2053"/>
      <c r="B18640" s="2054">
        <v>46174</v>
      </c>
      <c r="C18640" s="2055">
        <v>100</v>
      </c>
      <c r="D18640" s="2058"/>
      <c r="E18640" s="2056">
        <f t="shared" si="333"/>
        <v>0.25505681580125156</v>
      </c>
      <c r="F18640" s="2057"/>
      <c r="G18640" s="78"/>
    </row>
    <row r="18641" spans="1:8" ht="12.75" hidden="1" customHeight="1" outlineLevel="1" x14ac:dyDescent="0.25">
      <c r="A18641" s="2053"/>
      <c r="B18641" s="2054">
        <v>46204</v>
      </c>
      <c r="C18641" s="2055">
        <v>100</v>
      </c>
      <c r="D18641" s="2058"/>
      <c r="E18641" s="2056">
        <f t="shared" si="333"/>
        <v>0.25505681580125156</v>
      </c>
      <c r="F18641" s="2057"/>
      <c r="G18641" s="78"/>
    </row>
    <row r="18642" spans="1:8" ht="12.75" hidden="1" customHeight="1" outlineLevel="1" x14ac:dyDescent="0.25">
      <c r="A18642" s="2053"/>
      <c r="B18642" s="2054">
        <v>46235</v>
      </c>
      <c r="C18642" s="2055">
        <v>100</v>
      </c>
      <c r="D18642" s="2058"/>
      <c r="E18642" s="2056">
        <f t="shared" si="333"/>
        <v>0.25505681580125156</v>
      </c>
      <c r="F18642" s="2057"/>
      <c r="G18642" s="78"/>
    </row>
    <row r="18643" spans="1:8" ht="12.75" hidden="1" customHeight="1" outlineLevel="1" x14ac:dyDescent="0.25">
      <c r="A18643" s="2053"/>
      <c r="B18643" s="2054">
        <v>46266</v>
      </c>
      <c r="C18643" s="2055">
        <v>100</v>
      </c>
      <c r="D18643" s="2058"/>
      <c r="E18643" s="2056">
        <f t="shared" si="333"/>
        <v>0.25505681580125156</v>
      </c>
      <c r="F18643" s="2057"/>
      <c r="G18643" s="78"/>
    </row>
    <row r="18644" spans="1:8" ht="12.75" hidden="1" customHeight="1" outlineLevel="1" x14ac:dyDescent="0.25">
      <c r="A18644" s="2053"/>
      <c r="B18644" s="2054">
        <v>46296</v>
      </c>
      <c r="C18644" s="2055">
        <v>100</v>
      </c>
      <c r="D18644" s="2058"/>
      <c r="E18644" s="2056">
        <f t="shared" si="333"/>
        <v>0.25505681580125156</v>
      </c>
      <c r="F18644" s="2057"/>
      <c r="G18644" s="78"/>
    </row>
    <row r="18645" spans="1:8" ht="12.75" hidden="1" customHeight="1" outlineLevel="1" x14ac:dyDescent="0.25">
      <c r="A18645" s="2053"/>
      <c r="B18645" s="2054">
        <v>46327</v>
      </c>
      <c r="C18645" s="2055">
        <v>100</v>
      </c>
      <c r="D18645" s="2058"/>
      <c r="E18645" s="2056">
        <f t="shared" si="333"/>
        <v>0.25505681580125156</v>
      </c>
      <c r="F18645" s="2057"/>
      <c r="G18645" s="78"/>
    </row>
    <row r="18646" spans="1:8" ht="12.75" hidden="1" customHeight="1" outlineLevel="1" x14ac:dyDescent="0.25">
      <c r="A18646" s="2053"/>
      <c r="B18646" s="2054">
        <v>46357</v>
      </c>
      <c r="C18646" s="2055">
        <v>100</v>
      </c>
      <c r="D18646" s="2058"/>
      <c r="E18646" s="2056">
        <f t="shared" si="333"/>
        <v>0.25505681580125156</v>
      </c>
      <c r="F18646" s="2057"/>
      <c r="G18646" s="78"/>
    </row>
    <row r="18647" spans="1:8" ht="12.75" hidden="1" customHeight="1" outlineLevel="1" x14ac:dyDescent="0.25">
      <c r="A18647" s="2067" t="s">
        <v>2734</v>
      </c>
      <c r="B18647" s="2068"/>
      <c r="C18647" s="2058"/>
      <c r="D18647" s="2069" t="s">
        <v>2465</v>
      </c>
      <c r="E18647" s="2070">
        <f>AVERAGE(E18629:E18646)</f>
        <v>0.2550568158012515</v>
      </c>
      <c r="F18647" s="2431">
        <f>IF(E18647&lt;0,0%,E18646*1.9)</f>
        <v>0.48460795002237794</v>
      </c>
      <c r="G18647" s="78"/>
    </row>
    <row r="18648" spans="1:8" collapsed="1" x14ac:dyDescent="0.25">
      <c r="A18648" s="3799" t="s">
        <v>10560</v>
      </c>
      <c r="B18648" s="3800"/>
      <c r="C18648" s="3800"/>
      <c r="D18648" s="3800"/>
      <c r="E18648" s="18"/>
      <c r="F18648" s="186">
        <f>+F18647</f>
        <v>0.48460795002237794</v>
      </c>
      <c r="G18648" s="78"/>
    </row>
    <row r="18650" spans="1:8" ht="12.75" hidden="1" customHeight="1" outlineLevel="1" x14ac:dyDescent="0.25">
      <c r="A18650" s="15" t="s">
        <v>4156</v>
      </c>
      <c r="B18650" s="15" t="s">
        <v>4153</v>
      </c>
      <c r="C18650" s="15" t="s">
        <v>112</v>
      </c>
      <c r="D18650" s="15" t="s">
        <v>4155</v>
      </c>
      <c r="E18650" s="15" t="s">
        <v>4154</v>
      </c>
      <c r="F18650" s="1882" t="s">
        <v>2519</v>
      </c>
      <c r="G18650" s="78"/>
    </row>
    <row r="18651" spans="1:8" ht="12.75" hidden="1" customHeight="1" outlineLevel="1" x14ac:dyDescent="0.25">
      <c r="A18651" s="2034">
        <v>0.04</v>
      </c>
      <c r="B18651" s="2826" t="s">
        <v>7111</v>
      </c>
      <c r="C18651" s="2827">
        <v>116.22799999999999</v>
      </c>
      <c r="D18651" s="3272">
        <f>VLOOKUP($H18651,indexy!$C$44:$D$823,2,FALSE)</f>
        <v>182.1</v>
      </c>
      <c r="E18651" s="2040">
        <f>$D18651/$C18651-1</f>
        <v>0.56674811577244721</v>
      </c>
      <c r="F18651" s="2609">
        <f>$E18651*$A18651</f>
        <v>2.2669924630897891E-2</v>
      </c>
      <c r="G18651" s="78"/>
      <c r="H18651" t="str">
        <f>VLOOKUP(B18651,indexy!$A$44:$D$823,3,FALSE)</f>
        <v>ABBV UN Equity</v>
      </c>
    </row>
    <row r="18652" spans="1:8" ht="12.75" hidden="1" customHeight="1" outlineLevel="1" x14ac:dyDescent="0.25">
      <c r="A18652" s="1911">
        <v>0.02</v>
      </c>
      <c r="B18652" s="2826" t="s">
        <v>1176</v>
      </c>
      <c r="C18652" s="2829">
        <v>52.206000000000003</v>
      </c>
      <c r="D18652" s="3273">
        <f>VLOOKUP(H18652,indexy!$C$44:$D$823,2,FALSE)</f>
        <v>42.92</v>
      </c>
      <c r="E18652" s="2043">
        <f t="shared" ref="E18652:E18680" si="334">$D18652/$C18652-1</f>
        <v>-0.177872275217408</v>
      </c>
      <c r="F18652" s="2044">
        <f t="shared" ref="F18652:F18679" si="335">$E18652*$A18652</f>
        <v>-3.5574455043481602E-3</v>
      </c>
      <c r="G18652" s="78"/>
      <c r="H18652" t="str">
        <f>VLOOKUP(B18652,indexy!$A$44:$D$823,3,FALSE)</f>
        <v>AGS BB Equity</v>
      </c>
    </row>
    <row r="18653" spans="1:8" ht="12.75" hidden="1" customHeight="1" outlineLevel="1" x14ac:dyDescent="0.25">
      <c r="A18653" s="1911">
        <v>0.04</v>
      </c>
      <c r="B18653" s="2826" t="s">
        <v>8259</v>
      </c>
      <c r="C18653" s="2829">
        <v>251.40100000000001</v>
      </c>
      <c r="D18653" s="3273">
        <f>VLOOKUP(H18653,indexy!$C$44:$D$823,2,FALSE)</f>
        <v>284.32</v>
      </c>
      <c r="E18653" s="2043">
        <f t="shared" si="334"/>
        <v>0.13094219991169487</v>
      </c>
      <c r="F18653" s="2044">
        <f t="shared" si="335"/>
        <v>5.237687996467795E-3</v>
      </c>
      <c r="G18653" s="78"/>
      <c r="H18653" t="str">
        <f>VLOOKUP(B18653,indexy!$A$44:$D$823,3,FALSE)</f>
        <v>AMGN UW Equity</v>
      </c>
    </row>
    <row r="18654" spans="1:8" ht="12.75" hidden="1" customHeight="1" outlineLevel="1" x14ac:dyDescent="0.25">
      <c r="A18654" s="1911">
        <v>0.03</v>
      </c>
      <c r="B18654" s="2826" t="s">
        <v>2942</v>
      </c>
      <c r="C18654" s="2829">
        <v>1685.15</v>
      </c>
      <c r="D18654" s="3273">
        <f>VLOOKUP(H18654,indexy!$C$44:$D$823,2,FALSE)</f>
        <v>1625</v>
      </c>
      <c r="E18654" s="2043">
        <f t="shared" si="334"/>
        <v>-3.5694151855917955E-2</v>
      </c>
      <c r="F18654" s="2044">
        <f t="shared" si="335"/>
        <v>-1.0708245556775387E-3</v>
      </c>
      <c r="G18654" s="78"/>
      <c r="H18654" t="str">
        <f>VLOOKUP(B18654,indexy!$A$44:$D$823,3,FALSE)</f>
        <v>4503 JT Equity</v>
      </c>
    </row>
    <row r="18655" spans="1:8" ht="12.75" hidden="1" customHeight="1" outlineLevel="1" x14ac:dyDescent="0.25">
      <c r="A18655" s="1911">
        <v>0.02</v>
      </c>
      <c r="B18655" s="2826" t="s">
        <v>1903</v>
      </c>
      <c r="C18655" s="3274">
        <v>78.896000000000001</v>
      </c>
      <c r="D18655" s="3273">
        <f>VLOOKUP(H18655,indexy!$C$44:$D$823,2,FALSE)/100</f>
        <v>106.78</v>
      </c>
      <c r="E18655" s="2043">
        <f t="shared" si="334"/>
        <v>0.35342729669438255</v>
      </c>
      <c r="F18655" s="2044">
        <f t="shared" si="335"/>
        <v>7.0685459338876511E-3</v>
      </c>
      <c r="G18655" s="78"/>
      <c r="H18655" t="str">
        <f>VLOOKUP(B18655,indexy!$A$44:$D$823,3,FALSE)</f>
        <v>AZN LN Equity</v>
      </c>
    </row>
    <row r="18656" spans="1:8" ht="12.75" hidden="1" customHeight="1" outlineLevel="1" x14ac:dyDescent="0.25">
      <c r="A18656" s="1911">
        <v>0.02</v>
      </c>
      <c r="B18656" s="2826" t="s">
        <v>807</v>
      </c>
      <c r="C18656" s="3274">
        <v>59.323</v>
      </c>
      <c r="D18656" s="3273">
        <f>VLOOKUP(H18656,indexy!$C$44:$D$823,2,FALSE)</f>
        <v>46.03</v>
      </c>
      <c r="E18656" s="2043">
        <f t="shared" si="334"/>
        <v>-0.22407835072400251</v>
      </c>
      <c r="F18656" s="2044">
        <f t="shared" si="335"/>
        <v>-4.4815670144800505E-3</v>
      </c>
      <c r="G18656" s="78"/>
      <c r="H18656" t="str">
        <f>VLOOKUP(B18656,indexy!$A$44:$D$823,3,FALSE)</f>
        <v>BCE CT Equity</v>
      </c>
    </row>
    <row r="18657" spans="1:8" ht="12.75" hidden="1" customHeight="1" outlineLevel="1" x14ac:dyDescent="0.25">
      <c r="A18657" s="1911">
        <v>0.03</v>
      </c>
      <c r="B18657" s="2826" t="s">
        <v>53</v>
      </c>
      <c r="C18657" s="2829">
        <v>58.066000000000003</v>
      </c>
      <c r="D18657" s="3273">
        <f>VLOOKUP(H18657,indexy!$C$44:$D$823,2,FALSE)</f>
        <v>59.89</v>
      </c>
      <c r="E18657" s="2043">
        <f t="shared" si="334"/>
        <v>3.1412530568663222E-2</v>
      </c>
      <c r="F18657" s="2044">
        <f t="shared" si="335"/>
        <v>9.4237591705989662E-4</v>
      </c>
      <c r="G18657" s="78"/>
      <c r="H18657" t="str">
        <f>VLOOKUP(B18657,indexy!$A$44:$D$823,3,FALSE)</f>
        <v>BN FP Equity</v>
      </c>
    </row>
    <row r="18658" spans="1:8" ht="12.75" hidden="1" customHeight="1" outlineLevel="1" x14ac:dyDescent="0.25">
      <c r="A18658" s="1911">
        <v>0.04</v>
      </c>
      <c r="B18658" s="2826" t="s">
        <v>2629</v>
      </c>
      <c r="C18658" s="2829">
        <v>16.824999999999999</v>
      </c>
      <c r="D18658" s="3273">
        <f>VLOOKUP(H18658,indexy!$C$44:$D$823,2,FALSE)</f>
        <v>22.5</v>
      </c>
      <c r="E18658" s="2043">
        <f t="shared" si="334"/>
        <v>0.33729569093610712</v>
      </c>
      <c r="F18658" s="2044">
        <f t="shared" si="335"/>
        <v>1.3491827637444284E-2</v>
      </c>
      <c r="G18658" s="78"/>
      <c r="H18658" t="str">
        <f>VLOOKUP(B18658,indexy!$A$44:$D$823,3,FALSE)</f>
        <v>DTE GY Equity</v>
      </c>
    </row>
    <row r="18659" spans="1:8" ht="12.75" hidden="1" customHeight="1" outlineLevel="1" x14ac:dyDescent="0.25">
      <c r="A18659" s="1911">
        <v>0.02</v>
      </c>
      <c r="B18659" s="2826" t="s">
        <v>4064</v>
      </c>
      <c r="C18659" s="2829">
        <v>195.994</v>
      </c>
      <c r="D18659" s="3273">
        <f>VLOOKUP(H18659,indexy!$C$44:$D$823,2,FALSE)</f>
        <v>777.96</v>
      </c>
      <c r="E18659" s="2043">
        <f t="shared" si="334"/>
        <v>2.969305182811719</v>
      </c>
      <c r="F18659" s="2044">
        <f t="shared" si="335"/>
        <v>5.9386103656234382E-2</v>
      </c>
      <c r="G18659" s="78"/>
      <c r="H18659" t="str">
        <f>VLOOKUP(B18659,indexy!$A$44:$D$823,3,FALSE)</f>
        <v>LLY UN Equity</v>
      </c>
    </row>
    <row r="18660" spans="1:8" ht="12.75" hidden="1" customHeight="1" outlineLevel="1" x14ac:dyDescent="0.25">
      <c r="A18660" s="1911">
        <v>0.02</v>
      </c>
      <c r="B18660" s="2826" t="s">
        <v>9623</v>
      </c>
      <c r="C18660" s="2829">
        <v>68.411000000000001</v>
      </c>
      <c r="D18660" s="3273">
        <f>VLOOKUP(H18660,indexy!$C$44:$D$823,2,FALSE)</f>
        <v>73.25</v>
      </c>
      <c r="E18660" s="2043">
        <f t="shared" si="334"/>
        <v>7.0734238645831837E-2</v>
      </c>
      <c r="F18660" s="2044">
        <f t="shared" si="335"/>
        <v>1.4146847729166368E-3</v>
      </c>
      <c r="G18660" s="78"/>
      <c r="H18660" t="str">
        <f>VLOOKUP(B18660,indexy!$A$44:$D$823,3,FALSE)</f>
        <v>GILD UW Equity</v>
      </c>
    </row>
    <row r="18661" spans="1:8" ht="12.75" hidden="1" customHeight="1" outlineLevel="1" x14ac:dyDescent="0.25">
      <c r="A18661" s="1911">
        <v>0.06</v>
      </c>
      <c r="B18661" s="2826" t="s">
        <v>3799</v>
      </c>
      <c r="C18661" s="2829">
        <v>13.5908</v>
      </c>
      <c r="D18661" s="3273">
        <f>VLOOKUP(H18661,indexy!$C$44:$D$823,2,FALSE)/100</f>
        <v>17.085999999999999</v>
      </c>
      <c r="E18661" s="2043">
        <f t="shared" si="334"/>
        <v>0.25717397062718894</v>
      </c>
      <c r="F18661" s="2044">
        <f t="shared" si="335"/>
        <v>1.5430438237631336E-2</v>
      </c>
      <c r="G18661" s="78"/>
      <c r="H18661" t="str">
        <f>VLOOKUP(B18661,indexy!$A$44:$D$823,3,FALSE)</f>
        <v>GSK LN Equity</v>
      </c>
    </row>
    <row r="18662" spans="1:8" ht="12.75" hidden="1" customHeight="1" outlineLevel="1" x14ac:dyDescent="0.25">
      <c r="A18662" s="1911">
        <v>0.02</v>
      </c>
      <c r="B18662" s="2826" t="s">
        <v>52</v>
      </c>
      <c r="C18662" s="2829">
        <v>144.137</v>
      </c>
      <c r="D18662" s="3273">
        <f>VLOOKUP(H18662,indexy!$C$44:$D$823,2,FALSE)</f>
        <v>190.96</v>
      </c>
      <c r="E18662" s="2043">
        <f t="shared" si="334"/>
        <v>0.32485066291098064</v>
      </c>
      <c r="F18662" s="2044">
        <f t="shared" si="335"/>
        <v>6.4970132582196126E-3</v>
      </c>
      <c r="G18662" s="78"/>
      <c r="H18662" t="str">
        <f>VLOOKUP(B18662,indexy!$A$44:$D$823,3,FALSE)</f>
        <v>IBM UN Equity</v>
      </c>
    </row>
    <row r="18663" spans="1:8" ht="12.75" hidden="1" customHeight="1" outlineLevel="1" x14ac:dyDescent="0.25">
      <c r="A18663" s="1911">
        <v>0.02</v>
      </c>
      <c r="B18663" s="2826" t="s">
        <v>3426</v>
      </c>
      <c r="C18663" s="2831">
        <v>170.048</v>
      </c>
      <c r="D18663" s="3273">
        <f>VLOOKUP(H18663,indexy!$C$44:$D$823,2,FALSE)</f>
        <v>158.19</v>
      </c>
      <c r="E18663" s="2043">
        <f t="shared" si="334"/>
        <v>-6.9733251787730599E-2</v>
      </c>
      <c r="F18663" s="2044">
        <f t="shared" si="335"/>
        <v>-1.394665035754612E-3</v>
      </c>
      <c r="G18663" s="78"/>
      <c r="H18663" t="str">
        <f>VLOOKUP(B18663,indexy!$A$44:$D$823,3,FALSE)</f>
        <v>JNJ UN Equity</v>
      </c>
    </row>
    <row r="18664" spans="1:8" ht="12.75" hidden="1" customHeight="1" outlineLevel="1" x14ac:dyDescent="0.25">
      <c r="A18664" s="1911">
        <v>0.03</v>
      </c>
      <c r="B18664" s="2826" t="s">
        <v>1381</v>
      </c>
      <c r="C18664" s="2829">
        <v>133.62</v>
      </c>
      <c r="D18664" s="3273">
        <f>VLOOKUP(H18664,indexy!$C$44:$D$823,2,FALSE)</f>
        <v>129.35</v>
      </c>
      <c r="E18664" s="2043">
        <f t="shared" si="334"/>
        <v>-3.1956293967968952E-2</v>
      </c>
      <c r="F18664" s="2044">
        <f t="shared" si="335"/>
        <v>-9.5868881903906852E-4</v>
      </c>
      <c r="G18664" s="78"/>
      <c r="H18664" t="str">
        <f>VLOOKUP(B18664,indexy!$A$44:$D$823,3,FALSE)</f>
        <v>KMB UN Equity</v>
      </c>
    </row>
    <row r="18665" spans="1:8" ht="12.75" hidden="1" customHeight="1" outlineLevel="1" x14ac:dyDescent="0.25">
      <c r="A18665" s="1911">
        <v>0.02</v>
      </c>
      <c r="B18665" s="2826" t="s">
        <v>4034</v>
      </c>
      <c r="C18665" s="2829">
        <v>23.651499999999999</v>
      </c>
      <c r="D18665" s="3273">
        <f>VLOOKUP(H18665,indexy!$C$44:$D$823,2,FALSE)</f>
        <v>27.72</v>
      </c>
      <c r="E18665" s="2043">
        <f t="shared" si="334"/>
        <v>0.17201868803247145</v>
      </c>
      <c r="F18665" s="2044">
        <f t="shared" si="335"/>
        <v>3.4403737606494289E-3</v>
      </c>
      <c r="G18665" s="78"/>
      <c r="H18665" t="str">
        <f>VLOOKUP(B18665,indexy!$A$44:$D$823,3,FALSE)</f>
        <v>AD NA Equity</v>
      </c>
    </row>
    <row r="18666" spans="1:8" ht="12.75" hidden="1" customHeight="1" outlineLevel="1" x14ac:dyDescent="0.25">
      <c r="A18666" s="1911">
        <v>0.02</v>
      </c>
      <c r="B18666" s="2826" t="s">
        <v>7573</v>
      </c>
      <c r="C18666" s="2829">
        <v>43.64</v>
      </c>
      <c r="D18666" s="3273">
        <f>VLOOKUP(H18666,indexy!$C$44:$D$823,2,FALSE)</f>
        <v>36.9</v>
      </c>
      <c r="E18666" s="2043">
        <f t="shared" si="334"/>
        <v>-0.15444546287809358</v>
      </c>
      <c r="F18666" s="2044">
        <f t="shared" si="335"/>
        <v>-3.0889092575618715E-3</v>
      </c>
      <c r="G18666" s="78"/>
      <c r="H18666" t="str">
        <f>VLOOKUP(B18666,indexy!$A$44:$D$823,3,FALSE)</f>
        <v>KHC UW Equity</v>
      </c>
    </row>
    <row r="18667" spans="1:8" ht="12.75" hidden="1" customHeight="1" outlineLevel="1" x14ac:dyDescent="0.25">
      <c r="A18667" s="1911">
        <v>0.02</v>
      </c>
      <c r="B18667" s="2826" t="s">
        <v>1905</v>
      </c>
      <c r="C18667" s="2829">
        <v>78.805999999999997</v>
      </c>
      <c r="D18667" s="3273">
        <f>VLOOKUP(H18667,indexy!$C$44:$D$823,2,FALSE)</f>
        <v>131.94999999999999</v>
      </c>
      <c r="E18667" s="2043">
        <f t="shared" si="334"/>
        <v>0.67436489607390282</v>
      </c>
      <c r="F18667" s="2044">
        <f t="shared" si="335"/>
        <v>1.3487297921478056E-2</v>
      </c>
      <c r="G18667" s="78"/>
      <c r="H18667" t="str">
        <f>VLOOKUP(B18667,indexy!$A$44:$D$823,3,FALSE)</f>
        <v>MRK UN Equity</v>
      </c>
    </row>
    <row r="18668" spans="1:8" ht="12.75" hidden="1" customHeight="1" outlineLevel="1" x14ac:dyDescent="0.25">
      <c r="A18668" s="1911">
        <v>0.02</v>
      </c>
      <c r="B18668" s="2826" t="s">
        <v>2786</v>
      </c>
      <c r="C18668" s="2829">
        <v>9.3116000000000003</v>
      </c>
      <c r="D18668" s="3273">
        <f>VLOOKUP(H18668,indexy!$C$44:$D$823,2,FALSE)/100</f>
        <v>10.66</v>
      </c>
      <c r="E18668" s="2043">
        <f t="shared" si="334"/>
        <v>0.14480862580007736</v>
      </c>
      <c r="F18668" s="2044">
        <f t="shared" si="335"/>
        <v>2.8961725160015473E-3</v>
      </c>
      <c r="G18668" s="78"/>
      <c r="H18668" t="str">
        <f>VLOOKUP(B18668,indexy!$A$44:$D$823,3,FALSE)</f>
        <v>NG/ LN Equity</v>
      </c>
    </row>
    <row r="18669" spans="1:8" ht="12.75" hidden="1" customHeight="1" outlineLevel="1" x14ac:dyDescent="0.25">
      <c r="A18669" s="1911">
        <v>7.0000000000000007E-2</v>
      </c>
      <c r="B18669" s="2826" t="s">
        <v>2787</v>
      </c>
      <c r="C18669" s="2829">
        <v>79.575000000000003</v>
      </c>
      <c r="D18669" s="3273">
        <f>VLOOKUP(H18669,indexy!$C$44:$D$823,2,FALSE)</f>
        <v>87.37</v>
      </c>
      <c r="E18669" s="2043">
        <f t="shared" si="334"/>
        <v>9.7957901350926857E-2</v>
      </c>
      <c r="F18669" s="2044">
        <f t="shared" si="335"/>
        <v>6.8570530945648803E-3</v>
      </c>
      <c r="G18669" s="78"/>
      <c r="H18669" t="str">
        <f>VLOOKUP(B18669,indexy!$A$44:$D$823,3,FALSE)</f>
        <v>NOVN SE Equity</v>
      </c>
    </row>
    <row r="18670" spans="1:8" ht="12.75" hidden="1" customHeight="1" outlineLevel="1" x14ac:dyDescent="0.25">
      <c r="A18670" s="1911">
        <v>0.02</v>
      </c>
      <c r="B18670" s="2826" t="s">
        <v>4293</v>
      </c>
      <c r="C18670" s="2829">
        <f>484.17/2</f>
        <v>242.08500000000001</v>
      </c>
      <c r="D18670" s="3273">
        <f>VLOOKUP(H18670,indexy!$C$44:$D$823,2,FALSE)</f>
        <v>881.3</v>
      </c>
      <c r="E18670" s="2043">
        <f t="shared" si="334"/>
        <v>2.6404568643245137</v>
      </c>
      <c r="F18670" s="2044">
        <f t="shared" si="335"/>
        <v>5.2809137286490275E-2</v>
      </c>
      <c r="G18670" s="78"/>
      <c r="H18670" t="str">
        <f>VLOOKUP(B18670,indexy!$A$44:$D$823,3,FALSE)</f>
        <v>NOVOB DC Equity</v>
      </c>
    </row>
    <row r="18671" spans="1:8" ht="12.75" hidden="1" customHeight="1" outlineLevel="1" x14ac:dyDescent="0.25">
      <c r="A18671" s="1911">
        <v>0.02</v>
      </c>
      <c r="B18671" s="2826" t="s">
        <v>1204</v>
      </c>
      <c r="C18671" s="2829">
        <v>146.1</v>
      </c>
      <c r="D18671" s="3273">
        <f>VLOOKUP(H18671,indexy!$C$44:$D$823,2,FALSE)</f>
        <v>175.01</v>
      </c>
      <c r="E18671" s="2043">
        <f t="shared" si="334"/>
        <v>0.19787816563997263</v>
      </c>
      <c r="F18671" s="2044">
        <f t="shared" si="335"/>
        <v>3.9575633127994529E-3</v>
      </c>
      <c r="G18671" s="78"/>
      <c r="H18671" t="str">
        <f>VLOOKUP(B18671,indexy!$A$44:$D$823,3,FALSE)</f>
        <v>PEP UW Equity</v>
      </c>
    </row>
    <row r="18672" spans="1:8" ht="12.75" hidden="1" customHeight="1" outlineLevel="1" x14ac:dyDescent="0.25">
      <c r="A18672" s="1911">
        <v>0.02</v>
      </c>
      <c r="B18672" s="2826" t="s">
        <v>3800</v>
      </c>
      <c r="C18672" s="2829">
        <v>305.17</v>
      </c>
      <c r="D18672" s="3273">
        <f>VLOOKUP(H18672,indexy!$C$44:$D$823,2,FALSE)</f>
        <v>229.7</v>
      </c>
      <c r="E18672" s="2043">
        <f t="shared" si="334"/>
        <v>-0.24730478094177022</v>
      </c>
      <c r="F18672" s="2044">
        <f t="shared" si="335"/>
        <v>-4.9460956188354041E-3</v>
      </c>
      <c r="G18672" s="78"/>
      <c r="H18672" t="str">
        <f>VLOOKUP(B18672,indexy!$A$44:$D$823,3,FALSE)</f>
        <v>ROG SE Equity</v>
      </c>
    </row>
    <row r="18673" spans="1:8" ht="12.75" hidden="1" customHeight="1" outlineLevel="1" x14ac:dyDescent="0.25">
      <c r="A18673" s="1911">
        <v>0.04</v>
      </c>
      <c r="B18673" s="2826" t="s">
        <v>1187</v>
      </c>
      <c r="C18673" s="2829">
        <v>86.884</v>
      </c>
      <c r="D18673" s="3273">
        <f>VLOOKUP(H18673,indexy!$C$44:$D$823,2,FALSE)</f>
        <v>90.96</v>
      </c>
      <c r="E18673" s="2043">
        <f t="shared" si="334"/>
        <v>4.6913125546705903E-2</v>
      </c>
      <c r="F18673" s="2044">
        <f t="shared" si="335"/>
        <v>1.8765250218682362E-3</v>
      </c>
      <c r="G18673" s="78"/>
      <c r="H18673" t="str">
        <f>VLOOKUP(B18673,indexy!$A$44:$D$823,3,FALSE)</f>
        <v>SAN FP Equity</v>
      </c>
    </row>
    <row r="18674" spans="1:8" ht="12.75" hidden="1" customHeight="1" outlineLevel="1" x14ac:dyDescent="0.25">
      <c r="A18674" s="1911">
        <v>0.02</v>
      </c>
      <c r="B18674" s="2826" t="s">
        <v>7348</v>
      </c>
      <c r="C18674" s="2829">
        <f>2720.7/25</f>
        <v>108.82799999999999</v>
      </c>
      <c r="D18674" s="3273">
        <f>VLOOKUP(H18674,indexy!$C$44:$D$823,2,FALSE)</f>
        <v>87.5</v>
      </c>
      <c r="E18674" s="2043">
        <f t="shared" si="334"/>
        <v>-0.19597897599882375</v>
      </c>
      <c r="F18674" s="2044">
        <f t="shared" si="335"/>
        <v>-3.9195795199764754E-3</v>
      </c>
      <c r="G18674" s="78"/>
      <c r="H18674" t="str">
        <f>VLOOKUP(B18674,indexy!$A$44:$D$823,3,FALSE)</f>
        <v>SGSN SE Equity</v>
      </c>
    </row>
    <row r="18675" spans="1:8" ht="12.75" hidden="1" customHeight="1" outlineLevel="1" x14ac:dyDescent="0.25">
      <c r="A18675" s="1911">
        <v>0.06</v>
      </c>
      <c r="B18675" s="2826" t="s">
        <v>6118</v>
      </c>
      <c r="C18675" s="2829">
        <v>86.813999999999993</v>
      </c>
      <c r="D18675" s="3273">
        <f>VLOOKUP(H18675,indexy!$C$44:$D$823,2,FALSE)</f>
        <v>115.95</v>
      </c>
      <c r="E18675" s="2043">
        <f t="shared" si="334"/>
        <v>0.33561407146312816</v>
      </c>
      <c r="F18675" s="2044">
        <f t="shared" si="335"/>
        <v>2.013684428778769E-2</v>
      </c>
      <c r="G18675" s="78"/>
      <c r="H18675" t="str">
        <f>VLOOKUP(B18675,indexy!$A$44:$D$823,3,FALSE)</f>
        <v>SREN SE Equity</v>
      </c>
    </row>
    <row r="18676" spans="1:8" ht="12.75" hidden="1" customHeight="1" outlineLevel="1" x14ac:dyDescent="0.25">
      <c r="A18676" s="1911">
        <v>0.08</v>
      </c>
      <c r="B18676" s="2826" t="s">
        <v>1239</v>
      </c>
      <c r="C18676" s="2829">
        <v>504.78</v>
      </c>
      <c r="D18676" s="3273">
        <f>VLOOKUP(H18676,indexy!$C$44:$D$823,2,FALSE)</f>
        <v>551.4</v>
      </c>
      <c r="E18676" s="2043">
        <f t="shared" si="334"/>
        <v>9.2357066444787916E-2</v>
      </c>
      <c r="F18676" s="2044">
        <f t="shared" si="335"/>
        <v>7.3885653155830334E-3</v>
      </c>
      <c r="G18676" s="78"/>
      <c r="H18676" t="str">
        <f>VLOOKUP(B18676,indexy!$A$44:$D$823,3,FALSE)</f>
        <v>SCMN SE Equity</v>
      </c>
    </row>
    <row r="18677" spans="1:8" ht="12.75" hidden="1" customHeight="1" outlineLevel="1" x14ac:dyDescent="0.25">
      <c r="A18677" s="1911">
        <v>0.03</v>
      </c>
      <c r="B18677" s="2826" t="s">
        <v>3022</v>
      </c>
      <c r="C18677" s="2829">
        <v>3745</v>
      </c>
      <c r="D18677" s="3273">
        <f>VLOOKUP(H18677,indexy!$C$44:$D$823,2,FALSE)</f>
        <v>4203</v>
      </c>
      <c r="E18677" s="2043">
        <f t="shared" si="334"/>
        <v>0.12229639519359137</v>
      </c>
      <c r="F18677" s="2044">
        <f t="shared" si="335"/>
        <v>3.6688918558077407E-3</v>
      </c>
      <c r="G18677" s="78"/>
      <c r="H18677" t="str">
        <f>VLOOKUP(B18677,indexy!$A$44:$D$823,3,FALSE)</f>
        <v>4502 JT Equity</v>
      </c>
    </row>
    <row r="18678" spans="1:8" ht="12.75" hidden="1" customHeight="1" outlineLevel="1" x14ac:dyDescent="0.25">
      <c r="A18678" s="1911">
        <v>0.06</v>
      </c>
      <c r="B18678" s="2826" t="s">
        <v>5249</v>
      </c>
      <c r="C18678" s="2829">
        <v>3.448</v>
      </c>
      <c r="D18678" s="3273">
        <f>VLOOKUP(H18678,indexy!$C$44:$D$823,2,FALSE)</f>
        <v>3.86</v>
      </c>
      <c r="E18678" s="2043">
        <f t="shared" si="334"/>
        <v>0.11948955916473314</v>
      </c>
      <c r="F18678" s="2044">
        <f t="shared" si="335"/>
        <v>7.1693735498839879E-3</v>
      </c>
      <c r="G18678" s="78"/>
      <c r="H18678" t="str">
        <f>VLOOKUP(B18678,indexy!$A$44:$D$823,3,FALSE)</f>
        <v>TLS AT Equity</v>
      </c>
    </row>
    <row r="18679" spans="1:8" ht="12.75" hidden="1" customHeight="1" outlineLevel="1" x14ac:dyDescent="0.25">
      <c r="A18679" s="1911">
        <v>0.04</v>
      </c>
      <c r="B18679" s="2826" t="s">
        <v>3665</v>
      </c>
      <c r="C18679" s="2829">
        <v>26.422000000000001</v>
      </c>
      <c r="D18679" s="3273">
        <f>VLOOKUP(H18679,indexy!$C$44:$D$823,2,FALSE)</f>
        <v>21.67</v>
      </c>
      <c r="E18679" s="2043">
        <f t="shared" si="334"/>
        <v>-0.17985012489592</v>
      </c>
      <c r="F18679" s="2044">
        <f t="shared" si="335"/>
        <v>-7.1940049958368005E-3</v>
      </c>
      <c r="G18679" s="78"/>
      <c r="H18679" t="str">
        <f>VLOOKUP(B18679,indexy!$A$44:$D$823,3,FALSE)</f>
        <v>T CT Equity</v>
      </c>
    </row>
    <row r="18680" spans="1:8" ht="12.75" hidden="1" customHeight="1" outlineLevel="1" x14ac:dyDescent="0.25">
      <c r="A18680" s="1911">
        <v>0.05</v>
      </c>
      <c r="B18680" s="2832" t="s">
        <v>255</v>
      </c>
      <c r="C18680" s="2833">
        <v>57.970999999999997</v>
      </c>
      <c r="D18680" s="3275">
        <f>VLOOKUP(H18680,indexy!$C$44:$D$823,2,FALSE)</f>
        <v>41.96</v>
      </c>
      <c r="E18680" s="2046">
        <f t="shared" si="334"/>
        <v>-0.27618981904745465</v>
      </c>
      <c r="F18680" s="2047">
        <f>$E18680*$A18680</f>
        <v>-1.3809490952372733E-2</v>
      </c>
      <c r="G18680" s="78"/>
      <c r="H18680" t="str">
        <f>VLOOKUP(B18680,indexy!$A$44:$D$823,3,FALSE)</f>
        <v>VZ UN Equity</v>
      </c>
    </row>
    <row r="18681" spans="1:8" ht="12.75" hidden="1" customHeight="1" outlineLevel="1" x14ac:dyDescent="0.25">
      <c r="A18681" s="2048" t="s">
        <v>2734</v>
      </c>
      <c r="B18681" s="2049"/>
      <c r="C18681" s="2051"/>
      <c r="D18681" s="2051"/>
      <c r="E18681" s="2052"/>
      <c r="F18681" s="2044">
        <f>SUM(F18651:F18680)</f>
        <v>0.21140512868979108</v>
      </c>
      <c r="G18681" s="78"/>
    </row>
    <row r="18682" spans="1:8" ht="12.75" hidden="1" customHeight="1" outlineLevel="1" x14ac:dyDescent="0.25">
      <c r="A18682" s="2053"/>
      <c r="B18682" s="2054">
        <v>45870</v>
      </c>
      <c r="C18682" s="2055">
        <v>100</v>
      </c>
      <c r="D18682" s="2055"/>
      <c r="E18682" s="2056">
        <f>IF(D18682="",$F$18681,D18682/C18682-1)</f>
        <v>0.21140512868979108</v>
      </c>
      <c r="F18682" s="2057"/>
      <c r="G18682" s="78"/>
    </row>
    <row r="18683" spans="1:8" ht="12.75" hidden="1" customHeight="1" outlineLevel="1" x14ac:dyDescent="0.25">
      <c r="A18683" s="2053"/>
      <c r="B18683" s="2054">
        <v>45901</v>
      </c>
      <c r="C18683" s="2055">
        <v>100</v>
      </c>
      <c r="D18683" s="2058"/>
      <c r="E18683" s="2056">
        <f t="shared" ref="E18683:E18699" si="336">IF(D18683="",$F$18681,D18683/C18683-1)</f>
        <v>0.21140512868979108</v>
      </c>
      <c r="F18683" s="2057"/>
      <c r="G18683" s="78"/>
    </row>
    <row r="18684" spans="1:8" ht="12.75" hidden="1" customHeight="1" outlineLevel="1" x14ac:dyDescent="0.25">
      <c r="A18684" s="2053"/>
      <c r="B18684" s="2054">
        <v>45931</v>
      </c>
      <c r="C18684" s="2055">
        <v>100</v>
      </c>
      <c r="D18684" s="2058"/>
      <c r="E18684" s="2056">
        <f t="shared" si="336"/>
        <v>0.21140512868979108</v>
      </c>
      <c r="F18684" s="2057"/>
      <c r="G18684" s="78"/>
    </row>
    <row r="18685" spans="1:8" ht="12.75" hidden="1" customHeight="1" outlineLevel="1" x14ac:dyDescent="0.25">
      <c r="A18685" s="2053"/>
      <c r="B18685" s="2054">
        <v>45962</v>
      </c>
      <c r="C18685" s="2055">
        <v>100</v>
      </c>
      <c r="D18685" s="2058"/>
      <c r="E18685" s="2056">
        <f t="shared" si="336"/>
        <v>0.21140512868979108</v>
      </c>
      <c r="F18685" s="2057"/>
      <c r="G18685" s="78"/>
    </row>
    <row r="18686" spans="1:8" ht="12.75" hidden="1" customHeight="1" outlineLevel="1" x14ac:dyDescent="0.25">
      <c r="A18686" s="2053"/>
      <c r="B18686" s="2054">
        <v>45992</v>
      </c>
      <c r="C18686" s="2055">
        <v>100</v>
      </c>
      <c r="D18686" s="2058"/>
      <c r="E18686" s="2056">
        <f t="shared" si="336"/>
        <v>0.21140512868979108</v>
      </c>
      <c r="F18686" s="2057"/>
      <c r="G18686" s="78"/>
    </row>
    <row r="18687" spans="1:8" ht="12.75" hidden="1" customHeight="1" outlineLevel="1" x14ac:dyDescent="0.25">
      <c r="A18687" s="2053"/>
      <c r="B18687" s="2054">
        <v>46023</v>
      </c>
      <c r="C18687" s="2055">
        <v>100</v>
      </c>
      <c r="D18687" s="2058"/>
      <c r="E18687" s="2056">
        <f t="shared" si="336"/>
        <v>0.21140512868979108</v>
      </c>
      <c r="F18687" s="2057"/>
      <c r="G18687" s="78"/>
    </row>
    <row r="18688" spans="1:8" ht="12.75" hidden="1" customHeight="1" outlineLevel="1" x14ac:dyDescent="0.25">
      <c r="A18688" s="2053"/>
      <c r="B18688" s="2054">
        <v>46054</v>
      </c>
      <c r="C18688" s="2055">
        <v>100</v>
      </c>
      <c r="D18688" s="2058"/>
      <c r="E18688" s="2056">
        <f t="shared" si="336"/>
        <v>0.21140512868979108</v>
      </c>
      <c r="F18688" s="2057"/>
      <c r="G18688" s="78"/>
    </row>
    <row r="18689" spans="1:8" ht="12.75" hidden="1" customHeight="1" outlineLevel="1" x14ac:dyDescent="0.25">
      <c r="A18689" s="2053"/>
      <c r="B18689" s="2054">
        <v>46082</v>
      </c>
      <c r="C18689" s="2055">
        <v>100</v>
      </c>
      <c r="D18689" s="2058"/>
      <c r="E18689" s="2056">
        <f t="shared" si="336"/>
        <v>0.21140512868979108</v>
      </c>
      <c r="F18689" s="2057"/>
      <c r="G18689" s="78"/>
    </row>
    <row r="18690" spans="1:8" ht="12.75" hidden="1" customHeight="1" outlineLevel="1" x14ac:dyDescent="0.25">
      <c r="A18690" s="2053"/>
      <c r="B18690" s="2054">
        <v>46113</v>
      </c>
      <c r="C18690" s="2055">
        <v>100</v>
      </c>
      <c r="D18690" s="2058"/>
      <c r="E18690" s="2056">
        <f t="shared" si="336"/>
        <v>0.21140512868979108</v>
      </c>
      <c r="F18690" s="2057"/>
      <c r="G18690" s="78"/>
    </row>
    <row r="18691" spans="1:8" ht="12.75" hidden="1" customHeight="1" outlineLevel="1" x14ac:dyDescent="0.25">
      <c r="A18691" s="2053"/>
      <c r="B18691" s="2054">
        <v>46143</v>
      </c>
      <c r="C18691" s="2055">
        <v>100</v>
      </c>
      <c r="D18691" s="2058"/>
      <c r="E18691" s="2056">
        <f t="shared" si="336"/>
        <v>0.21140512868979108</v>
      </c>
      <c r="F18691" s="2057"/>
      <c r="G18691" s="78"/>
    </row>
    <row r="18692" spans="1:8" ht="12.75" hidden="1" customHeight="1" outlineLevel="1" x14ac:dyDescent="0.25">
      <c r="A18692" s="2053"/>
      <c r="B18692" s="2054">
        <v>46174</v>
      </c>
      <c r="C18692" s="2055">
        <v>100</v>
      </c>
      <c r="D18692" s="2058"/>
      <c r="E18692" s="2056">
        <f t="shared" si="336"/>
        <v>0.21140512868979108</v>
      </c>
      <c r="F18692" s="2057"/>
      <c r="G18692" s="78"/>
    </row>
    <row r="18693" spans="1:8" ht="12.75" hidden="1" customHeight="1" outlineLevel="1" x14ac:dyDescent="0.25">
      <c r="A18693" s="2053"/>
      <c r="B18693" s="2054">
        <v>46204</v>
      </c>
      <c r="C18693" s="2055">
        <v>100</v>
      </c>
      <c r="D18693" s="2058"/>
      <c r="E18693" s="2056">
        <f t="shared" si="336"/>
        <v>0.21140512868979108</v>
      </c>
      <c r="F18693" s="2057"/>
      <c r="G18693" s="78"/>
    </row>
    <row r="18694" spans="1:8" ht="12.75" hidden="1" customHeight="1" outlineLevel="1" x14ac:dyDescent="0.25">
      <c r="A18694" s="2053"/>
      <c r="B18694" s="2054">
        <v>46235</v>
      </c>
      <c r="C18694" s="2055">
        <v>100</v>
      </c>
      <c r="D18694" s="2058"/>
      <c r="E18694" s="2056">
        <f t="shared" si="336"/>
        <v>0.21140512868979108</v>
      </c>
      <c r="F18694" s="2057"/>
      <c r="G18694" s="78"/>
    </row>
    <row r="18695" spans="1:8" ht="12.75" hidden="1" customHeight="1" outlineLevel="1" x14ac:dyDescent="0.25">
      <c r="A18695" s="2053"/>
      <c r="B18695" s="2054">
        <v>46266</v>
      </c>
      <c r="C18695" s="2055">
        <v>100</v>
      </c>
      <c r="D18695" s="2058"/>
      <c r="E18695" s="2056">
        <f t="shared" si="336"/>
        <v>0.21140512868979108</v>
      </c>
      <c r="F18695" s="2057"/>
      <c r="G18695" s="78"/>
    </row>
    <row r="18696" spans="1:8" ht="12.75" hidden="1" customHeight="1" outlineLevel="1" x14ac:dyDescent="0.25">
      <c r="A18696" s="2053"/>
      <c r="B18696" s="2054">
        <v>46296</v>
      </c>
      <c r="C18696" s="2055">
        <v>100</v>
      </c>
      <c r="D18696" s="2058"/>
      <c r="E18696" s="2056">
        <f t="shared" si="336"/>
        <v>0.21140512868979108</v>
      </c>
      <c r="F18696" s="2057"/>
      <c r="G18696" s="78"/>
    </row>
    <row r="18697" spans="1:8" ht="12.75" hidden="1" customHeight="1" outlineLevel="1" x14ac:dyDescent="0.25">
      <c r="A18697" s="2053"/>
      <c r="B18697" s="2054">
        <v>46327</v>
      </c>
      <c r="C18697" s="2055">
        <v>100</v>
      </c>
      <c r="D18697" s="2058"/>
      <c r="E18697" s="2056">
        <f t="shared" si="336"/>
        <v>0.21140512868979108</v>
      </c>
      <c r="F18697" s="2057"/>
      <c r="G18697" s="78"/>
    </row>
    <row r="18698" spans="1:8" hidden="1" outlineLevel="1" x14ac:dyDescent="0.25">
      <c r="A18698" s="2053"/>
      <c r="B18698" s="2054">
        <v>46357</v>
      </c>
      <c r="C18698" s="2055">
        <v>100</v>
      </c>
      <c r="D18698" s="2058"/>
      <c r="E18698" s="2056">
        <f t="shared" si="336"/>
        <v>0.21140512868979108</v>
      </c>
      <c r="F18698" s="2057"/>
      <c r="G18698" s="78"/>
    </row>
    <row r="18699" spans="1:8" ht="12.75" hidden="1" customHeight="1" outlineLevel="1" x14ac:dyDescent="0.25">
      <c r="A18699" s="2053"/>
      <c r="B18699" s="2054">
        <v>46388</v>
      </c>
      <c r="C18699" s="2055">
        <v>100</v>
      </c>
      <c r="D18699" s="2058"/>
      <c r="E18699" s="2056">
        <f t="shared" si="336"/>
        <v>0.21140512868979108</v>
      </c>
      <c r="F18699" s="2057"/>
      <c r="G18699" s="78"/>
    </row>
    <row r="18700" spans="1:8" ht="12.75" hidden="1" customHeight="1" outlineLevel="1" x14ac:dyDescent="0.25">
      <c r="A18700" s="2067" t="s">
        <v>2734</v>
      </c>
      <c r="B18700" s="2068"/>
      <c r="C18700" s="2058"/>
      <c r="D18700" s="2069" t="s">
        <v>2465</v>
      </c>
      <c r="E18700" s="2070">
        <f>AVERAGE(E18682:E18699)</f>
        <v>0.211405128689791</v>
      </c>
      <c r="F18700" s="2431">
        <f>E18700</f>
        <v>0.211405128689791</v>
      </c>
      <c r="G18700" s="78"/>
    </row>
    <row r="18701" spans="1:8" ht="13.5" customHeight="1" collapsed="1" x14ac:dyDescent="0.25">
      <c r="A18701" s="3799" t="s">
        <v>10597</v>
      </c>
      <c r="B18701" s="3800"/>
      <c r="C18701" s="3800"/>
      <c r="D18701" s="3800"/>
      <c r="E18701" s="18"/>
      <c r="F18701" s="186">
        <f>+IF(F18700&lt;-40%,F18700,IF(F18700&lt;0%,0%,90%*F18700))</f>
        <v>0.19026461582081192</v>
      </c>
      <c r="G18701" s="78"/>
    </row>
    <row r="18703" spans="1:8" ht="12.75" hidden="1" customHeight="1" outlineLevel="1" x14ac:dyDescent="0.25">
      <c r="A18703" s="15" t="s">
        <v>4156</v>
      </c>
      <c r="B18703" s="15" t="s">
        <v>4153</v>
      </c>
      <c r="C18703" s="15" t="s">
        <v>112</v>
      </c>
      <c r="D18703" s="15" t="s">
        <v>4155</v>
      </c>
      <c r="E18703" s="15" t="s">
        <v>4154</v>
      </c>
      <c r="F18703" s="1882" t="s">
        <v>2519</v>
      </c>
      <c r="G18703" s="78"/>
    </row>
    <row r="18704" spans="1:8" ht="12.75" hidden="1" customHeight="1" outlineLevel="1" x14ac:dyDescent="0.25">
      <c r="A18704" s="134">
        <v>0.02</v>
      </c>
      <c r="B18704" s="151" t="s">
        <v>6799</v>
      </c>
      <c r="C18704" s="454">
        <v>16.306999999999999</v>
      </c>
      <c r="D18704" s="2954">
        <f>VLOOKUP($H18704,indexy!$C$44:$D$823,2,FALSE)</f>
        <v>9.9</v>
      </c>
      <c r="E18704" s="1491">
        <f>$D18704/$C18704-1</f>
        <v>-0.39289875513583117</v>
      </c>
      <c r="F18704" s="1805">
        <f>$E18704*$A18704</f>
        <v>-7.8579751027166231E-3</v>
      </c>
      <c r="G18704" s="78"/>
      <c r="H18704" t="str">
        <f>VLOOKUP(B18704,indexy!$A$44:$D$823,3,FALSE)</f>
        <v>AGNC UW Equity</v>
      </c>
    </row>
    <row r="18705" spans="1:8" ht="12.75" hidden="1" customHeight="1" outlineLevel="1" x14ac:dyDescent="0.25">
      <c r="A18705" s="135">
        <v>0.02</v>
      </c>
      <c r="B18705" s="151" t="s">
        <v>802</v>
      </c>
      <c r="C18705" s="410">
        <v>8.5839999999999996</v>
      </c>
      <c r="D18705" s="2955">
        <f>VLOOKUP(H18705,indexy!$C$44:$D$823,2,FALSE)</f>
        <v>19.690000000000001</v>
      </c>
      <c r="E18705" s="1493">
        <f t="shared" ref="E18705:E18733" si="337">$D18705/$C18705-1</f>
        <v>1.2938024231127683</v>
      </c>
      <c r="F18705" s="1313">
        <f t="shared" ref="F18705:F18732" si="338">$E18705*$A18705</f>
        <v>2.5876048462255365E-2</v>
      </c>
      <c r="G18705" s="78"/>
      <c r="H18705" t="str">
        <f>VLOOKUP(B18705,indexy!$A$44:$D$823,3,FALSE)</f>
        <v>NLY UN Equity</v>
      </c>
    </row>
    <row r="18706" spans="1:8" ht="12.75" hidden="1" customHeight="1" outlineLevel="1" x14ac:dyDescent="0.25">
      <c r="A18706" s="135">
        <v>0.05</v>
      </c>
      <c r="B18706" s="151" t="s">
        <v>2697</v>
      </c>
      <c r="C18706" s="410">
        <v>18.701000000000001</v>
      </c>
      <c r="D18706" s="2955">
        <f>VLOOKUP(H18706,indexy!$C$44:$D$823,2,FALSE)</f>
        <v>23.46</v>
      </c>
      <c r="E18706" s="1493">
        <f t="shared" si="337"/>
        <v>0.25447837014063412</v>
      </c>
      <c r="F18706" s="1313">
        <f t="shared" si="338"/>
        <v>1.2723918507031707E-2</v>
      </c>
      <c r="G18706" s="78"/>
      <c r="H18706" t="str">
        <f>VLOOKUP(B18706,indexy!$A$44:$D$823,3,FALSE)</f>
        <v>G IM Equity</v>
      </c>
    </row>
    <row r="18707" spans="1:8" ht="12.75" hidden="1" customHeight="1" outlineLevel="1" x14ac:dyDescent="0.25">
      <c r="A18707" s="135">
        <v>0.02</v>
      </c>
      <c r="B18707" s="151" t="s">
        <v>218</v>
      </c>
      <c r="C18707" s="410">
        <v>23.914999999999999</v>
      </c>
      <c r="D18707" s="2955">
        <f>VLOOKUP(H18707,indexy!$C$44:$D$823,2,FALSE)</f>
        <v>34.814999999999998</v>
      </c>
      <c r="E18707" s="1493">
        <f t="shared" si="337"/>
        <v>0.45578089065440097</v>
      </c>
      <c r="F18707" s="1313">
        <f t="shared" si="338"/>
        <v>9.11561781308802E-3</v>
      </c>
      <c r="G18707" s="78"/>
      <c r="H18707" t="str">
        <f>VLOOKUP(B18707,indexy!$A$44:$D$823,3,FALSE)</f>
        <v>CS FP Equity</v>
      </c>
    </row>
    <row r="18708" spans="1:8" ht="12.75" hidden="1" customHeight="1" outlineLevel="1" x14ac:dyDescent="0.25">
      <c r="A18708" s="135">
        <v>0.03</v>
      </c>
      <c r="B18708" s="151" t="s">
        <v>5748</v>
      </c>
      <c r="C18708" s="1468">
        <v>80.037999999999997</v>
      </c>
      <c r="D18708" s="2955">
        <f>VLOOKUP(H18708,indexy!$C$44:$D$823,2,FALSE)</f>
        <v>70.069999999999993</v>
      </c>
      <c r="E18708" s="1493">
        <f t="shared" si="337"/>
        <v>-0.12454084309952773</v>
      </c>
      <c r="F18708" s="1313">
        <f t="shared" si="338"/>
        <v>-3.7362252929858319E-3</v>
      </c>
      <c r="G18708" s="78"/>
      <c r="H18708" t="str">
        <f>VLOOKUP(B18708,indexy!$A$44:$D$823,3,FALSE)</f>
        <v>BNS CT Equity</v>
      </c>
    </row>
    <row r="18709" spans="1:8" ht="12.75" hidden="1" customHeight="1" outlineLevel="1" x14ac:dyDescent="0.25">
      <c r="A18709" s="135">
        <v>0.06</v>
      </c>
      <c r="B18709" s="151" t="s">
        <v>807</v>
      </c>
      <c r="C18709" s="1468">
        <v>63.289000000000001</v>
      </c>
      <c r="D18709" s="2955">
        <f>VLOOKUP(H18709,indexy!$C$44:$D$823,2,FALSE)</f>
        <v>46.03</v>
      </c>
      <c r="E18709" s="1493">
        <f t="shared" si="337"/>
        <v>-0.27270141730790498</v>
      </c>
      <c r="F18709" s="1313">
        <f t="shared" si="338"/>
        <v>-1.6362085038474299E-2</v>
      </c>
      <c r="G18709" s="78"/>
      <c r="H18709" t="str">
        <f>VLOOKUP(B18709,indexy!$A$44:$D$823,3,FALSE)</f>
        <v>BCE CT Equity</v>
      </c>
    </row>
    <row r="18710" spans="1:8" ht="12.75" hidden="1" customHeight="1" outlineLevel="1" x14ac:dyDescent="0.25">
      <c r="A18710" s="135">
        <v>0.02</v>
      </c>
      <c r="B18710" s="151" t="s">
        <v>3954</v>
      </c>
      <c r="C18710" s="410">
        <f>147.278/2</f>
        <v>73.638999999999996</v>
      </c>
      <c r="D18710" s="2955">
        <f>VLOOKUP(H18710,indexy!$C$44:$D$823,2,FALSE)</f>
        <v>68.67</v>
      </c>
      <c r="E18710" s="1493">
        <f t="shared" si="337"/>
        <v>-6.7477831040616998E-2</v>
      </c>
      <c r="F18710" s="1313">
        <f t="shared" si="338"/>
        <v>-1.3495566208123399E-3</v>
      </c>
      <c r="G18710" s="78"/>
      <c r="H18710" t="str">
        <f>VLOOKUP(B18710,indexy!$A$44:$D$823,3,FALSE)</f>
        <v>CM CT Equity</v>
      </c>
    </row>
    <row r="18711" spans="1:8" ht="12.75" hidden="1" customHeight="1" outlineLevel="1" x14ac:dyDescent="0.25">
      <c r="A18711" s="135">
        <v>0.02</v>
      </c>
      <c r="B18711" s="151" t="s">
        <v>1319</v>
      </c>
      <c r="C18711" s="410">
        <v>74.683999999999997</v>
      </c>
      <c r="D18711" s="2955">
        <f>VLOOKUP(H18711,indexy!$C$44:$D$823,2,FALSE)</f>
        <v>90.81</v>
      </c>
      <c r="E18711" s="1493">
        <f t="shared" si="337"/>
        <v>0.2159230892828452</v>
      </c>
      <c r="F18711" s="1313">
        <f t="shared" si="338"/>
        <v>4.3184617856569041E-3</v>
      </c>
      <c r="G18711" s="78"/>
      <c r="H18711" t="str">
        <f>VLOOKUP(B18711,indexy!$A$44:$D$823,3,FALSE)</f>
        <v>ED UN Equity</v>
      </c>
    </row>
    <row r="18712" spans="1:8" ht="12.75" hidden="1" customHeight="1" outlineLevel="1" x14ac:dyDescent="0.25">
      <c r="A18712" s="135">
        <v>0.02</v>
      </c>
      <c r="B18712" s="151" t="s">
        <v>7855</v>
      </c>
      <c r="C18712" s="410">
        <v>52.618000000000002</v>
      </c>
      <c r="D18712" s="2955">
        <f>VLOOKUP(H18712,indexy!$C$44:$D$823,2,FALSE)</f>
        <v>48.95</v>
      </c>
      <c r="E18712" s="1493">
        <f t="shared" si="337"/>
        <v>-6.9709985176175437E-2</v>
      </c>
      <c r="F18712" s="1313">
        <f t="shared" si="338"/>
        <v>-1.3941997035235088E-3</v>
      </c>
      <c r="G18712" s="78"/>
      <c r="H18712" t="str">
        <f>VLOOKUP(B18712,indexy!$A$44:$D$823,3,FALSE)</f>
        <v>ENB CT Equity</v>
      </c>
    </row>
    <row r="18713" spans="1:8" ht="12.75" hidden="1" customHeight="1" outlineLevel="1" x14ac:dyDescent="0.25">
      <c r="A18713" s="135">
        <v>0.05</v>
      </c>
      <c r="B18713" s="151" t="s">
        <v>10643</v>
      </c>
      <c r="C18713" s="410">
        <v>37.921999999999997</v>
      </c>
      <c r="D18713" s="2955">
        <f>VLOOKUP(H18713,indexy!$C$44:$D$823,2,FALSE)</f>
        <v>43.32</v>
      </c>
      <c r="E18713" s="1493">
        <f t="shared" si="337"/>
        <v>0.14234481303728708</v>
      </c>
      <c r="F18713" s="1313">
        <f t="shared" si="338"/>
        <v>7.1172406518643545E-3</v>
      </c>
      <c r="G18713" s="78"/>
      <c r="H18713" t="str">
        <f>VLOOKUP(B18713,indexy!$A$44:$D$823,3,FALSE)</f>
        <v>GWO CT Equity</v>
      </c>
    </row>
    <row r="18714" spans="1:8" ht="12.75" hidden="1" customHeight="1" outlineLevel="1" x14ac:dyDescent="0.25">
      <c r="A18714" s="135">
        <v>0.02</v>
      </c>
      <c r="B18714" s="151" t="s">
        <v>52</v>
      </c>
      <c r="C18714" s="410">
        <v>140.941</v>
      </c>
      <c r="D18714" s="2955">
        <f>VLOOKUP(H18714,indexy!$C$44:$D$823,2,FALSE)</f>
        <v>190.96</v>
      </c>
      <c r="E18714" s="1493">
        <f t="shared" si="337"/>
        <v>0.35489318225356703</v>
      </c>
      <c r="F18714" s="1313">
        <f t="shared" si="338"/>
        <v>7.0978636450713404E-3</v>
      </c>
      <c r="G18714" s="78"/>
      <c r="H18714" t="str">
        <f>VLOOKUP(B18714,indexy!$A$44:$D$823,3,FALSE)</f>
        <v>IBM UN Equity</v>
      </c>
    </row>
    <row r="18715" spans="1:8" ht="12.75" hidden="1" customHeight="1" outlineLevel="1" x14ac:dyDescent="0.25">
      <c r="A18715" s="135">
        <v>0.02</v>
      </c>
      <c r="B18715" s="151" t="s">
        <v>10645</v>
      </c>
      <c r="C18715" s="410">
        <v>1.9891000000000001</v>
      </c>
      <c r="D18715" s="2955">
        <f>VLOOKUP(H18715,indexy!$C$44:$D$823,2,FALSE)/100</f>
        <v>2.2050000000000001</v>
      </c>
      <c r="E18715" s="1493">
        <f t="shared" si="337"/>
        <v>0.10854155145543198</v>
      </c>
      <c r="F18715" s="1313">
        <f t="shared" si="338"/>
        <v>2.1708310291086398E-3</v>
      </c>
      <c r="G18715" s="78"/>
      <c r="H18715" t="str">
        <f>VLOOKUP(B18715,indexy!$A$44:$D$823,3,FALSE)</f>
        <v>MNG LN Equity</v>
      </c>
    </row>
    <row r="18716" spans="1:8" ht="12.75" hidden="1" customHeight="1" outlineLevel="1" x14ac:dyDescent="0.25">
      <c r="A18716" s="135">
        <v>0.05</v>
      </c>
      <c r="B18716" s="151" t="s">
        <v>10427</v>
      </c>
      <c r="C18716" s="2740">
        <v>20.436</v>
      </c>
      <c r="D18716" s="2955">
        <f>VLOOKUP(H18716,indexy!$C$44:$D$823,2,FALSE)</f>
        <v>4.7</v>
      </c>
      <c r="E18716" s="1493">
        <f t="shared" si="337"/>
        <v>-0.77001370131141122</v>
      </c>
      <c r="F18716" s="1313">
        <f t="shared" si="338"/>
        <v>-3.8500685065570563E-2</v>
      </c>
      <c r="G18716" s="78"/>
      <c r="H18716" t="str">
        <f>VLOOKUP(B18716,indexy!$A$44:$D$823,3,FALSE)</f>
        <v>MPW UN Equity</v>
      </c>
    </row>
    <row r="18717" spans="1:8" ht="12.75" hidden="1" customHeight="1" outlineLevel="1" x14ac:dyDescent="0.25">
      <c r="A18717" s="135">
        <v>0.04</v>
      </c>
      <c r="B18717" s="151" t="s">
        <v>2786</v>
      </c>
      <c r="C18717" s="410">
        <v>8.9984999999999999</v>
      </c>
      <c r="D18717" s="2955">
        <f>VLOOKUP(H18717,indexy!$C$44:$D$823,2,FALSE)/100</f>
        <v>10.66</v>
      </c>
      <c r="E18717" s="1493">
        <f t="shared" si="337"/>
        <v>0.18464188475857091</v>
      </c>
      <c r="F18717" s="1313">
        <f t="shared" si="338"/>
        <v>7.3856753903428366E-3</v>
      </c>
      <c r="G18717" s="78"/>
      <c r="H18717" t="str">
        <f>VLOOKUP(B18717,indexy!$A$44:$D$823,3,FALSE)</f>
        <v>NG/ LN Equity</v>
      </c>
    </row>
    <row r="18718" spans="1:8" ht="12.75" hidden="1" customHeight="1" outlineLevel="1" x14ac:dyDescent="0.25">
      <c r="A18718" s="135">
        <v>0.02</v>
      </c>
      <c r="B18718" s="151" t="s">
        <v>8527</v>
      </c>
      <c r="C18718" s="410">
        <v>45.694000000000003</v>
      </c>
      <c r="D18718" s="2955">
        <f>VLOOKUP(H18718,indexy!$C$44:$D$823,2,FALSE)</f>
        <v>42.82</v>
      </c>
      <c r="E18718" s="1493">
        <f t="shared" si="337"/>
        <v>-6.2896660393049419E-2</v>
      </c>
      <c r="F18718" s="1313">
        <f t="shared" si="338"/>
        <v>-1.2579332078609883E-3</v>
      </c>
      <c r="G18718" s="78"/>
      <c r="H18718" t="str">
        <f>VLOOKUP(B18718,indexy!$A$44:$D$823,3,FALSE)</f>
        <v>NN NA Equity</v>
      </c>
    </row>
    <row r="18719" spans="1:8" ht="12.75" hidden="1" customHeight="1" outlineLevel="1" x14ac:dyDescent="0.25">
      <c r="A18719" s="135">
        <v>7.0000000000000007E-2</v>
      </c>
      <c r="B18719" s="151" t="s">
        <v>5824</v>
      </c>
      <c r="C18719" s="410">
        <v>9.4840999999999998</v>
      </c>
      <c r="D18719" s="2955">
        <f>VLOOKUP(H18719,indexy!$C$44:$D$823,2,FALSE)</f>
        <v>10.888</v>
      </c>
      <c r="E18719" s="1493">
        <f t="shared" si="337"/>
        <v>0.14802669731445262</v>
      </c>
      <c r="F18719" s="1313">
        <f t="shared" si="338"/>
        <v>1.0361868812011683E-2</v>
      </c>
      <c r="G18719" s="78"/>
      <c r="H18719" t="str">
        <f>VLOOKUP(B18719,indexy!$A$44:$D$823,3,FALSE)</f>
        <v>ORA FP Equity</v>
      </c>
    </row>
    <row r="18720" spans="1:8" ht="12.75" hidden="1" customHeight="1" outlineLevel="1" x14ac:dyDescent="0.25">
      <c r="A18720" s="135">
        <v>0.02</v>
      </c>
      <c r="B18720" s="151" t="s">
        <v>8529</v>
      </c>
      <c r="C18720" s="410">
        <v>69.451999999999998</v>
      </c>
      <c r="D18720" s="2955">
        <f>VLOOKUP(H18720,indexy!$C$44:$D$823,2,FALSE)</f>
        <v>54.1</v>
      </c>
      <c r="E18720" s="1493">
        <f t="shared" si="337"/>
        <v>-0.22104475033116389</v>
      </c>
      <c r="F18720" s="1313">
        <f t="shared" si="338"/>
        <v>-4.4208950066232777E-3</v>
      </c>
      <c r="G18720" s="78"/>
      <c r="H18720" t="str">
        <f>VLOOKUP(B18720,indexy!$A$44:$D$823,3,FALSE)</f>
        <v>O UN Equity</v>
      </c>
    </row>
    <row r="18721" spans="1:8" ht="12.75" hidden="1" customHeight="1" outlineLevel="1" x14ac:dyDescent="0.25">
      <c r="A18721" s="135">
        <v>7.0000000000000007E-2</v>
      </c>
      <c r="B18721" s="151" t="s">
        <v>5629</v>
      </c>
      <c r="C18721" s="410">
        <v>17.71</v>
      </c>
      <c r="D18721" s="2955">
        <f>VLOOKUP(H18721,indexy!$C$44:$D$823,2,FALSE)</f>
        <v>15.805</v>
      </c>
      <c r="E18721" s="1493">
        <f t="shared" si="337"/>
        <v>-0.10756634669678156</v>
      </c>
      <c r="F18721" s="1313">
        <f t="shared" si="338"/>
        <v>-7.5296442687747094E-3</v>
      </c>
      <c r="G18721" s="78"/>
      <c r="H18721" t="str">
        <f>VLOOKUP(B18721,indexy!$A$44:$D$823,3,FALSE)</f>
        <v>REE SQ Equity</v>
      </c>
    </row>
    <row r="18722" spans="1:8" ht="12.75" hidden="1" customHeight="1" outlineLevel="1" x14ac:dyDescent="0.25">
      <c r="A18722" s="135">
        <v>0.02</v>
      </c>
      <c r="B18722" s="151" t="s">
        <v>6270</v>
      </c>
      <c r="C18722" s="410">
        <v>45.488</v>
      </c>
      <c r="D18722" s="2955">
        <f>VLOOKUP(H18722,indexy!$C$44:$D$823,2,FALSE)</f>
        <v>39.515000000000001</v>
      </c>
      <c r="E18722" s="1493">
        <f t="shared" si="337"/>
        <v>-0.13130935631375307</v>
      </c>
      <c r="F18722" s="1313">
        <f t="shared" si="338"/>
        <v>-2.6261871262750615E-3</v>
      </c>
      <c r="G18722" s="78"/>
      <c r="H18722" t="str">
        <f>VLOOKUP(B18722,indexy!$A$44:$D$823,3,FALSE)</f>
        <v>SAMPO FH Equity</v>
      </c>
    </row>
    <row r="18723" spans="1:8" ht="12.75" hidden="1" customHeight="1" outlineLevel="1" x14ac:dyDescent="0.25">
      <c r="A18723" s="135">
        <v>0.04</v>
      </c>
      <c r="B18723" s="151" t="s">
        <v>4460</v>
      </c>
      <c r="C18723" s="410">
        <v>26.327000000000002</v>
      </c>
      <c r="D18723" s="2955">
        <f>VLOOKUP(H18723,indexy!$C$44:$D$823,2,FALSE)/100</f>
        <v>24.7</v>
      </c>
      <c r="E18723" s="1493">
        <f t="shared" si="337"/>
        <v>-6.179967333915759E-2</v>
      </c>
      <c r="F18723" s="1313">
        <f t="shared" si="338"/>
        <v>-2.4719869335663035E-3</v>
      </c>
      <c r="G18723" s="78"/>
      <c r="H18723" t="str">
        <f>VLOOKUP(B18723,indexy!$A$44:$D$823,3,FALSE)</f>
        <v>SVT LN Equity</v>
      </c>
    </row>
    <row r="18724" spans="1:8" ht="12.75" hidden="1" customHeight="1" outlineLevel="1" x14ac:dyDescent="0.25">
      <c r="A18724" s="135">
        <v>0.02</v>
      </c>
      <c r="B18724" s="151" t="s">
        <v>6116</v>
      </c>
      <c r="C18724" s="410">
        <v>4.7785000000000002</v>
      </c>
      <c r="D18724" s="2955">
        <f>VLOOKUP(H18724,indexy!$C$44:$D$823,2,FALSE)</f>
        <v>4.3760000000000003</v>
      </c>
      <c r="E18724" s="1493">
        <f t="shared" si="337"/>
        <v>-8.4231453384953414E-2</v>
      </c>
      <c r="F18724" s="1313">
        <f t="shared" si="338"/>
        <v>-1.6846290676990683E-3</v>
      </c>
      <c r="G18724" s="78"/>
      <c r="H18724" t="str">
        <f>VLOOKUP(B18724,indexy!$A$44:$D$823,3,FALSE)</f>
        <v>SRG IM Equity</v>
      </c>
    </row>
    <row r="18725" spans="1:8" ht="12.75" hidden="1" customHeight="1" outlineLevel="1" x14ac:dyDescent="0.25">
      <c r="A18725" s="135">
        <v>0.08</v>
      </c>
      <c r="B18725" s="151" t="s">
        <v>10529</v>
      </c>
      <c r="C18725" s="410">
        <v>1524.35</v>
      </c>
      <c r="D18725" s="2955">
        <f>VLOOKUP(H18725,indexy!$C$44:$D$823,2,FALSE)</f>
        <v>1941</v>
      </c>
      <c r="E18725" s="1493">
        <f t="shared" si="337"/>
        <v>0.27332961590185989</v>
      </c>
      <c r="F18725" s="1313">
        <f t="shared" si="338"/>
        <v>2.1866369272148793E-2</v>
      </c>
      <c r="G18725" s="78"/>
      <c r="H18725" t="str">
        <f>VLOOKUP(B18725,indexy!$A$44:$D$823,3,FALSE)</f>
        <v>9434 JT Equity</v>
      </c>
    </row>
    <row r="18726" spans="1:8" ht="12.75" hidden="1" customHeight="1" outlineLevel="1" x14ac:dyDescent="0.25">
      <c r="A18726" s="135">
        <v>0.02</v>
      </c>
      <c r="B18726" s="151" t="s">
        <v>6118</v>
      </c>
      <c r="C18726" s="410">
        <v>80.992000000000004</v>
      </c>
      <c r="D18726" s="2955">
        <f>VLOOKUP(H18726,indexy!$C$44:$D$823,2,FALSE)</f>
        <v>115.95</v>
      </c>
      <c r="E18726" s="1493">
        <f t="shared" si="337"/>
        <v>0.43162287633346508</v>
      </c>
      <c r="F18726" s="1313">
        <f t="shared" si="338"/>
        <v>8.6324575266693016E-3</v>
      </c>
      <c r="G18726" s="78"/>
      <c r="H18726" t="str">
        <f>VLOOKUP(B18726,indexy!$A$44:$D$823,3,FALSE)</f>
        <v>SREN SE Equity</v>
      </c>
    </row>
    <row r="18727" spans="1:8" ht="12.75" hidden="1" customHeight="1" outlineLevel="1" x14ac:dyDescent="0.25">
      <c r="A18727" s="135">
        <v>7.0000000000000007E-2</v>
      </c>
      <c r="B18727" s="151" t="s">
        <v>1239</v>
      </c>
      <c r="C18727" s="410">
        <v>542.02</v>
      </c>
      <c r="D18727" s="2955">
        <f>VLOOKUP(H18727,indexy!$C$44:$D$823,2,FALSE)</f>
        <v>551.4</v>
      </c>
      <c r="E18727" s="1493">
        <f t="shared" si="337"/>
        <v>1.7305634478432586E-2</v>
      </c>
      <c r="F18727" s="1313">
        <f t="shared" si="338"/>
        <v>1.211394413490281E-3</v>
      </c>
      <c r="G18727" s="78"/>
      <c r="H18727" t="str">
        <f>VLOOKUP(B18727,indexy!$A$44:$D$823,3,FALSE)</f>
        <v>SCMN SE Equity</v>
      </c>
    </row>
    <row r="18728" spans="1:8" ht="12.75" hidden="1" customHeight="1" outlineLevel="1" x14ac:dyDescent="0.25">
      <c r="A18728" s="135">
        <v>0.02</v>
      </c>
      <c r="B18728" s="151" t="s">
        <v>366</v>
      </c>
      <c r="C18728" s="410">
        <v>65.897999999999996</v>
      </c>
      <c r="D18728" s="2955">
        <f>VLOOKUP(H18728,indexy!$C$44:$D$823,2,FALSE)</f>
        <v>54.44</v>
      </c>
      <c r="E18728" s="1493">
        <f t="shared" si="337"/>
        <v>-0.17387477616923119</v>
      </c>
      <c r="F18728" s="1313">
        <f t="shared" si="338"/>
        <v>-3.477495523384624E-3</v>
      </c>
      <c r="G18728" s="78"/>
      <c r="H18728" t="str">
        <f>VLOOKUP(B18728,indexy!$A$44:$D$823,3,FALSE)</f>
        <v>TRP CT Equity</v>
      </c>
    </row>
    <row r="18729" spans="1:8" ht="12.75" hidden="1" customHeight="1" outlineLevel="1" x14ac:dyDescent="0.25">
      <c r="A18729" s="135">
        <v>0.03</v>
      </c>
      <c r="B18729" s="151" t="s">
        <v>434</v>
      </c>
      <c r="C18729" s="410">
        <v>36.191000000000003</v>
      </c>
      <c r="D18729" s="2955">
        <f>VLOOKUP(H18729,indexy!$C$44:$D$823,2,FALSE)</f>
        <v>27.43</v>
      </c>
      <c r="E18729" s="1493">
        <f t="shared" si="337"/>
        <v>-0.24207675941532436</v>
      </c>
      <c r="F18729" s="1313">
        <f t="shared" si="338"/>
        <v>-7.2623027824597307E-3</v>
      </c>
      <c r="G18729" s="78"/>
      <c r="H18729" t="str">
        <f>VLOOKUP(B18729,indexy!$A$44:$D$823,3,FALSE)</f>
        <v>TELIA SS Equity</v>
      </c>
    </row>
    <row r="18730" spans="1:8" ht="12.75" hidden="1" customHeight="1" outlineLevel="1" x14ac:dyDescent="0.25">
      <c r="A18730" s="135">
        <v>0.02</v>
      </c>
      <c r="B18730" s="151" t="s">
        <v>3921</v>
      </c>
      <c r="C18730" s="410">
        <v>6.28</v>
      </c>
      <c r="D18730" s="2955">
        <f>VLOOKUP(H18730,indexy!$C$44:$D$823,2,FALSE)</f>
        <v>7.66</v>
      </c>
      <c r="E18730" s="1493">
        <f t="shared" si="337"/>
        <v>0.21974522292993637</v>
      </c>
      <c r="F18730" s="1313">
        <f t="shared" si="338"/>
        <v>4.3949044585987274E-3</v>
      </c>
      <c r="G18730" s="78"/>
      <c r="H18730" t="str">
        <f>VLOOKUP(B18730,indexy!$A$44:$D$823,3,FALSE)</f>
        <v>TRN IM Equity</v>
      </c>
    </row>
    <row r="18731" spans="1:8" ht="12.75" hidden="1" customHeight="1" outlineLevel="1" x14ac:dyDescent="0.25">
      <c r="A18731" s="135">
        <v>0.02</v>
      </c>
      <c r="B18731" s="151" t="s">
        <v>2983</v>
      </c>
      <c r="C18731" s="410">
        <v>9.8930000000000007</v>
      </c>
      <c r="D18731" s="2955">
        <f>VLOOKUP(H18731,indexy!$C$44:$D$823,2,FALSE)/100</f>
        <v>10.29</v>
      </c>
      <c r="E18731" s="1493">
        <f t="shared" si="337"/>
        <v>4.0129384413221336E-2</v>
      </c>
      <c r="F18731" s="1313">
        <f t="shared" si="338"/>
        <v>8.0258768826442679E-4</v>
      </c>
      <c r="G18731" s="78"/>
      <c r="H18731" t="str">
        <f>VLOOKUP(B18731,indexy!$A$44:$D$823,3,FALSE)</f>
        <v>UU/ LN Equity</v>
      </c>
    </row>
    <row r="18732" spans="1:8" ht="12.75" hidden="1" customHeight="1" outlineLevel="1" x14ac:dyDescent="0.25">
      <c r="A18732" s="135">
        <v>0.02</v>
      </c>
      <c r="B18732" s="151" t="s">
        <v>255</v>
      </c>
      <c r="C18732" s="410">
        <v>52.354999999999997</v>
      </c>
      <c r="D18732" s="2955">
        <f>VLOOKUP(H18732,indexy!$C$44:$D$823,2,FALSE)</f>
        <v>41.96</v>
      </c>
      <c r="E18732" s="1493">
        <f t="shared" si="337"/>
        <v>-0.1985483716932479</v>
      </c>
      <c r="F18732" s="1313">
        <f t="shared" si="338"/>
        <v>-3.9709674338649584E-3</v>
      </c>
      <c r="G18732" s="78"/>
      <c r="H18732" t="str">
        <f>VLOOKUP(B18732,indexy!$A$44:$D$823,3,FALSE)</f>
        <v>VZ UN Equity</v>
      </c>
    </row>
    <row r="18733" spans="1:8" ht="12.75" hidden="1" customHeight="1" outlineLevel="1" x14ac:dyDescent="0.25">
      <c r="A18733" s="135">
        <v>0.02</v>
      </c>
      <c r="B18733" s="2736" t="s">
        <v>4550</v>
      </c>
      <c r="C18733" s="2741">
        <v>390.7</v>
      </c>
      <c r="D18733" s="2956">
        <f>VLOOKUP(H18733,indexy!$C$44:$D$823,2,FALSE)</f>
        <v>486.3</v>
      </c>
      <c r="E18733" s="1495">
        <f t="shared" si="337"/>
        <v>0.2446890197082161</v>
      </c>
      <c r="F18733" s="1314">
        <f>$E18733*$A18733</f>
        <v>4.8937803941643222E-3</v>
      </c>
      <c r="G18733" s="78"/>
      <c r="H18733" t="str">
        <f>VLOOKUP(B18733,indexy!$A$44:$D$823,3,FALSE)</f>
        <v>ZURN SE Equity</v>
      </c>
    </row>
    <row r="18734" spans="1:8" ht="12.75" hidden="1" customHeight="1" outlineLevel="1" x14ac:dyDescent="0.25">
      <c r="A18734" s="1475" t="s">
        <v>2734</v>
      </c>
      <c r="B18734" s="150"/>
      <c r="C18734" s="1477"/>
      <c r="D18734" s="1477"/>
      <c r="E18734" s="512"/>
      <c r="F18734" s="1313">
        <f>SUM(F18704:F18733)</f>
        <v>2.4066251675174819E-2</v>
      </c>
      <c r="G18734" s="78"/>
    </row>
    <row r="18735" spans="1:8" ht="12.75" hidden="1" customHeight="1" outlineLevel="1" x14ac:dyDescent="0.25">
      <c r="A18735" s="221"/>
      <c r="B18735" s="1478">
        <v>46082</v>
      </c>
      <c r="C18735" s="1497">
        <v>100</v>
      </c>
      <c r="D18735" s="1497"/>
      <c r="E18735" s="1498">
        <f>IF(D18735="",$F$18734,D18735/C18735-1)</f>
        <v>2.4066251675174819E-2</v>
      </c>
      <c r="F18735" s="1842"/>
      <c r="G18735" s="78"/>
    </row>
    <row r="18736" spans="1:8" ht="12.75" hidden="1" customHeight="1" outlineLevel="1" x14ac:dyDescent="0.25">
      <c r="A18736" s="221"/>
      <c r="B18736" s="1478">
        <v>46113</v>
      </c>
      <c r="C18736" s="1497">
        <v>100</v>
      </c>
      <c r="D18736" s="1500"/>
      <c r="E18736" s="1498">
        <f t="shared" ref="E18736:E18752" si="339">IF(D18736="",$F$18734,D18736/C18736-1)</f>
        <v>2.4066251675174819E-2</v>
      </c>
      <c r="F18736" s="1842"/>
      <c r="G18736" s="78"/>
    </row>
    <row r="18737" spans="1:7" ht="12.75" hidden="1" customHeight="1" outlineLevel="1" x14ac:dyDescent="0.25">
      <c r="A18737" s="221"/>
      <c r="B18737" s="1478">
        <v>46143</v>
      </c>
      <c r="C18737" s="1497">
        <v>100</v>
      </c>
      <c r="D18737" s="1500"/>
      <c r="E18737" s="1498">
        <f t="shared" si="339"/>
        <v>2.4066251675174819E-2</v>
      </c>
      <c r="F18737" s="1842"/>
      <c r="G18737" s="78"/>
    </row>
    <row r="18738" spans="1:7" ht="12.75" hidden="1" customHeight="1" outlineLevel="1" x14ac:dyDescent="0.25">
      <c r="A18738" s="221"/>
      <c r="B18738" s="1478">
        <v>46174</v>
      </c>
      <c r="C18738" s="1497">
        <v>100</v>
      </c>
      <c r="D18738" s="1500"/>
      <c r="E18738" s="1498">
        <f t="shared" si="339"/>
        <v>2.4066251675174819E-2</v>
      </c>
      <c r="F18738" s="1842"/>
      <c r="G18738" s="78"/>
    </row>
    <row r="18739" spans="1:7" ht="12.75" hidden="1" customHeight="1" outlineLevel="1" x14ac:dyDescent="0.25">
      <c r="A18739" s="221"/>
      <c r="B18739" s="1478">
        <v>46204</v>
      </c>
      <c r="C18739" s="1497">
        <v>100</v>
      </c>
      <c r="D18739" s="1500"/>
      <c r="E18739" s="1498">
        <f t="shared" si="339"/>
        <v>2.4066251675174819E-2</v>
      </c>
      <c r="F18739" s="1842"/>
      <c r="G18739" s="78"/>
    </row>
    <row r="18740" spans="1:7" ht="12.75" hidden="1" customHeight="1" outlineLevel="1" x14ac:dyDescent="0.25">
      <c r="A18740" s="221"/>
      <c r="B18740" s="1478">
        <v>46235</v>
      </c>
      <c r="C18740" s="1497">
        <v>100</v>
      </c>
      <c r="D18740" s="1500"/>
      <c r="E18740" s="1498">
        <f t="shared" si="339"/>
        <v>2.4066251675174819E-2</v>
      </c>
      <c r="F18740" s="1842"/>
      <c r="G18740" s="78"/>
    </row>
    <row r="18741" spans="1:7" ht="12.75" hidden="1" customHeight="1" outlineLevel="1" x14ac:dyDescent="0.25">
      <c r="A18741" s="221"/>
      <c r="B18741" s="1478">
        <v>46266</v>
      </c>
      <c r="C18741" s="1497">
        <v>100</v>
      </c>
      <c r="D18741" s="1500"/>
      <c r="E18741" s="1498">
        <f t="shared" si="339"/>
        <v>2.4066251675174819E-2</v>
      </c>
      <c r="F18741" s="1842"/>
      <c r="G18741" s="78"/>
    </row>
    <row r="18742" spans="1:7" ht="12.75" hidden="1" customHeight="1" outlineLevel="1" x14ac:dyDescent="0.25">
      <c r="A18742" s="221"/>
      <c r="B18742" s="1478">
        <v>46296</v>
      </c>
      <c r="C18742" s="1497">
        <v>100</v>
      </c>
      <c r="D18742" s="1500"/>
      <c r="E18742" s="1498">
        <f t="shared" si="339"/>
        <v>2.4066251675174819E-2</v>
      </c>
      <c r="F18742" s="1842"/>
      <c r="G18742" s="78"/>
    </row>
    <row r="18743" spans="1:7" ht="12.75" hidden="1" customHeight="1" outlineLevel="1" x14ac:dyDescent="0.25">
      <c r="A18743" s="221"/>
      <c r="B18743" s="1478">
        <v>46327</v>
      </c>
      <c r="C18743" s="1497">
        <v>100</v>
      </c>
      <c r="D18743" s="1500"/>
      <c r="E18743" s="1498">
        <f t="shared" si="339"/>
        <v>2.4066251675174819E-2</v>
      </c>
      <c r="F18743" s="1842"/>
      <c r="G18743" s="78"/>
    </row>
    <row r="18744" spans="1:7" ht="12.75" hidden="1" customHeight="1" outlineLevel="1" x14ac:dyDescent="0.25">
      <c r="A18744" s="221"/>
      <c r="B18744" s="1478">
        <v>46357</v>
      </c>
      <c r="C18744" s="1497">
        <v>100</v>
      </c>
      <c r="D18744" s="1500"/>
      <c r="E18744" s="1498">
        <f t="shared" si="339"/>
        <v>2.4066251675174819E-2</v>
      </c>
      <c r="F18744" s="1842"/>
      <c r="G18744" s="78"/>
    </row>
    <row r="18745" spans="1:7" ht="12.75" hidden="1" customHeight="1" outlineLevel="1" x14ac:dyDescent="0.25">
      <c r="A18745" s="221"/>
      <c r="B18745" s="1478">
        <v>46388</v>
      </c>
      <c r="C18745" s="1497">
        <v>100</v>
      </c>
      <c r="D18745" s="1500"/>
      <c r="E18745" s="1498">
        <f t="shared" si="339"/>
        <v>2.4066251675174819E-2</v>
      </c>
      <c r="F18745" s="1842"/>
      <c r="G18745" s="78"/>
    </row>
    <row r="18746" spans="1:7" ht="12.75" hidden="1" customHeight="1" outlineLevel="1" x14ac:dyDescent="0.25">
      <c r="A18746" s="221"/>
      <c r="B18746" s="1478">
        <v>46419</v>
      </c>
      <c r="C18746" s="1497">
        <v>100</v>
      </c>
      <c r="D18746" s="1500"/>
      <c r="E18746" s="1498">
        <f t="shared" si="339"/>
        <v>2.4066251675174819E-2</v>
      </c>
      <c r="F18746" s="1842"/>
      <c r="G18746" s="78"/>
    </row>
    <row r="18747" spans="1:7" ht="12.75" hidden="1" customHeight="1" outlineLevel="1" x14ac:dyDescent="0.25">
      <c r="A18747" s="221"/>
      <c r="B18747" s="1478">
        <v>46447</v>
      </c>
      <c r="C18747" s="1497">
        <v>100</v>
      </c>
      <c r="D18747" s="1500"/>
      <c r="E18747" s="1498">
        <f t="shared" si="339"/>
        <v>2.4066251675174819E-2</v>
      </c>
      <c r="F18747" s="1842"/>
      <c r="G18747" s="78"/>
    </row>
    <row r="18748" spans="1:7" ht="12.75" hidden="1" customHeight="1" outlineLevel="1" x14ac:dyDescent="0.25">
      <c r="A18748" s="221"/>
      <c r="B18748" s="1478">
        <v>46478</v>
      </c>
      <c r="C18748" s="1497">
        <v>100</v>
      </c>
      <c r="D18748" s="1500"/>
      <c r="E18748" s="1498">
        <f t="shared" si="339"/>
        <v>2.4066251675174819E-2</v>
      </c>
      <c r="F18748" s="1842"/>
      <c r="G18748" s="78"/>
    </row>
    <row r="18749" spans="1:7" ht="12.75" hidden="1" customHeight="1" outlineLevel="1" x14ac:dyDescent="0.25">
      <c r="A18749" s="221"/>
      <c r="B18749" s="1478">
        <v>46508</v>
      </c>
      <c r="C18749" s="1497">
        <v>100</v>
      </c>
      <c r="D18749" s="1500"/>
      <c r="E18749" s="1498">
        <f t="shared" si="339"/>
        <v>2.4066251675174819E-2</v>
      </c>
      <c r="F18749" s="1842"/>
      <c r="G18749" s="78"/>
    </row>
    <row r="18750" spans="1:7" ht="12.75" hidden="1" customHeight="1" outlineLevel="1" x14ac:dyDescent="0.25">
      <c r="A18750" s="221"/>
      <c r="B18750" s="1478">
        <v>46539</v>
      </c>
      <c r="C18750" s="1497">
        <v>100</v>
      </c>
      <c r="D18750" s="1500"/>
      <c r="E18750" s="1498">
        <f t="shared" si="339"/>
        <v>2.4066251675174819E-2</v>
      </c>
      <c r="F18750" s="1842"/>
      <c r="G18750" s="78"/>
    </row>
    <row r="18751" spans="1:7" ht="12.75" hidden="1" customHeight="1" outlineLevel="1" x14ac:dyDescent="0.25">
      <c r="A18751" s="221"/>
      <c r="B18751" s="1478">
        <v>46569</v>
      </c>
      <c r="C18751" s="1497">
        <v>100</v>
      </c>
      <c r="D18751" s="1500"/>
      <c r="E18751" s="1498">
        <f t="shared" si="339"/>
        <v>2.4066251675174819E-2</v>
      </c>
      <c r="F18751" s="1842"/>
      <c r="G18751" s="78"/>
    </row>
    <row r="18752" spans="1:7" ht="12.75" hidden="1" customHeight="1" outlineLevel="1" x14ac:dyDescent="0.25">
      <c r="A18752" s="221"/>
      <c r="B18752" s="1478">
        <v>46600</v>
      </c>
      <c r="C18752" s="1497">
        <v>100</v>
      </c>
      <c r="D18752" s="1500"/>
      <c r="E18752" s="1498">
        <f t="shared" si="339"/>
        <v>2.4066251675174819E-2</v>
      </c>
      <c r="F18752" s="1842"/>
      <c r="G18752" s="78"/>
    </row>
    <row r="18753" spans="1:8" ht="12.75" hidden="1" customHeight="1" outlineLevel="1" x14ac:dyDescent="0.25">
      <c r="A18753" s="1483" t="s">
        <v>2734</v>
      </c>
      <c r="B18753" s="1484"/>
      <c r="C18753" s="1500"/>
      <c r="D18753" s="1485" t="s">
        <v>2465</v>
      </c>
      <c r="E18753" s="1486">
        <f>AVERAGE(E18735:E18752)</f>
        <v>2.406625167517483E-2</v>
      </c>
      <c r="F18753" s="1844">
        <f>E18753</f>
        <v>2.406625167517483E-2</v>
      </c>
      <c r="G18753" s="78"/>
    </row>
    <row r="18754" spans="1:8" collapsed="1" x14ac:dyDescent="0.25">
      <c r="A18754" s="3799" t="s">
        <v>10654</v>
      </c>
      <c r="B18754" s="3800"/>
      <c r="C18754" s="3800"/>
      <c r="D18754" s="3800"/>
      <c r="E18754" s="18"/>
      <c r="F18754" s="186">
        <f>IF(F18753&lt;0,0%,MIN(F18753*0.75,50%))</f>
        <v>1.8049688756381122E-2</v>
      </c>
      <c r="G18754" s="78"/>
    </row>
    <row r="18756" spans="1:8" ht="12.75" hidden="1" customHeight="1" outlineLevel="1" x14ac:dyDescent="0.25">
      <c r="A18756" s="15" t="s">
        <v>4156</v>
      </c>
      <c r="B18756" s="15" t="s">
        <v>4153</v>
      </c>
      <c r="C18756" s="15" t="s">
        <v>112</v>
      </c>
      <c r="D18756" s="15" t="s">
        <v>4155</v>
      </c>
      <c r="E18756" s="15" t="s">
        <v>4154</v>
      </c>
      <c r="F18756" s="1882" t="s">
        <v>2519</v>
      </c>
      <c r="G18756" s="78"/>
    </row>
    <row r="18757" spans="1:8" ht="12.75" hidden="1" customHeight="1" outlineLevel="1" x14ac:dyDescent="0.25">
      <c r="A18757" s="134">
        <v>0.08</v>
      </c>
      <c r="B18757" s="151" t="s">
        <v>8764</v>
      </c>
      <c r="C18757" s="454">
        <v>29.513999999999999</v>
      </c>
      <c r="D18757" s="2954">
        <f>VLOOKUP($H18757,indexy!$C$44:$D$823,2,FALSE)/100</f>
        <v>28.37</v>
      </c>
      <c r="E18757" s="1491">
        <f>$D18757/$C18757-1</f>
        <v>-3.8761265839940329E-2</v>
      </c>
      <c r="F18757" s="1805">
        <f>$E18757*$A18757</f>
        <v>-3.1009012671952265E-3</v>
      </c>
      <c r="G18757" s="78"/>
      <c r="H18757" t="str">
        <f>VLOOKUP(B18757,indexy!$A$44:$D$823,3,FALSE)</f>
        <v>ADM LN Equity</v>
      </c>
    </row>
    <row r="18758" spans="1:8" ht="12.75" hidden="1" customHeight="1" outlineLevel="1" x14ac:dyDescent="0.25">
      <c r="A18758" s="135">
        <v>7.0000000000000007E-2</v>
      </c>
      <c r="B18758" s="151" t="s">
        <v>2697</v>
      </c>
      <c r="C18758" s="410">
        <v>18.834499999999998</v>
      </c>
      <c r="D18758" s="2955">
        <f>VLOOKUP(H18758,indexy!$C$44:$D$823,2,FALSE)</f>
        <v>23.46</v>
      </c>
      <c r="E18758" s="1493">
        <f t="shared" ref="E18758:E18786" si="340">$D18758/$C18758-1</f>
        <v>0.2455865565849904</v>
      </c>
      <c r="F18758" s="1313">
        <f t="shared" ref="F18758:F18785" si="341">$E18758*$A18758</f>
        <v>1.7191058960949329E-2</v>
      </c>
      <c r="G18758" s="78"/>
      <c r="H18758" t="str">
        <f>VLOOKUP(B18758,indexy!$A$44:$D$823,3,FALSE)</f>
        <v>G IM Equity</v>
      </c>
    </row>
    <row r="18759" spans="1:8" ht="12.75" hidden="1" customHeight="1" outlineLevel="1" x14ac:dyDescent="0.25">
      <c r="A18759" s="135">
        <v>0.02</v>
      </c>
      <c r="B18759" s="151" t="s">
        <v>218</v>
      </c>
      <c r="C18759" s="410">
        <v>25.553000000000001</v>
      </c>
      <c r="D18759" s="2955">
        <f>VLOOKUP(H18759,indexy!$C$44:$D$823,2,FALSE)</f>
        <v>34.814999999999998</v>
      </c>
      <c r="E18759" s="1493">
        <f t="shared" si="340"/>
        <v>0.36246233318984067</v>
      </c>
      <c r="F18759" s="1313">
        <f t="shared" si="341"/>
        <v>7.2492466637968135E-3</v>
      </c>
      <c r="G18759" s="78"/>
      <c r="H18759" t="str">
        <f>VLOOKUP(B18759,indexy!$A$44:$D$823,3,FALSE)</f>
        <v>CS FP Equity</v>
      </c>
    </row>
    <row r="18760" spans="1:8" ht="12.75" hidden="1" customHeight="1" outlineLevel="1" x14ac:dyDescent="0.25">
      <c r="A18760" s="135">
        <v>0.03</v>
      </c>
      <c r="B18760" s="151" t="s">
        <v>805</v>
      </c>
      <c r="C18760" s="410">
        <v>139.33000000000001</v>
      </c>
      <c r="D18760" s="2955">
        <f>VLOOKUP(H18760,indexy!$C$44:$D$823,2,FALSE)</f>
        <v>132.25</v>
      </c>
      <c r="E18760" s="1493">
        <f t="shared" si="340"/>
        <v>-5.0814612789779723E-2</v>
      </c>
      <c r="F18760" s="1313">
        <f t="shared" si="341"/>
        <v>-1.5244383836933917E-3</v>
      </c>
      <c r="G18760" s="78"/>
      <c r="H18760" t="str">
        <f>VLOOKUP(B18760,indexy!$A$44:$D$823,3,FALSE)</f>
        <v>BMO CT Equity</v>
      </c>
    </row>
    <row r="18761" spans="1:8" ht="12.75" hidden="1" customHeight="1" outlineLevel="1" x14ac:dyDescent="0.25">
      <c r="A18761" s="135">
        <v>0.03</v>
      </c>
      <c r="B18761" s="151" t="s">
        <v>5748</v>
      </c>
      <c r="C18761" s="1468">
        <v>82.751999999999995</v>
      </c>
      <c r="D18761" s="2955">
        <f>VLOOKUP(H18761,indexy!$C$44:$D$823,2,FALSE)</f>
        <v>70.069999999999993</v>
      </c>
      <c r="E18761" s="1493">
        <f t="shared" si="340"/>
        <v>-0.15325309358081984</v>
      </c>
      <c r="F18761" s="1313">
        <f t="shared" si="341"/>
        <v>-4.5975928074245952E-3</v>
      </c>
      <c r="G18761" s="78"/>
      <c r="H18761" t="str">
        <f>VLOOKUP(B18761,indexy!$A$44:$D$823,3,FALSE)</f>
        <v>BNS CT Equity</v>
      </c>
    </row>
    <row r="18762" spans="1:8" ht="12.75" hidden="1" customHeight="1" outlineLevel="1" x14ac:dyDescent="0.25">
      <c r="A18762" s="135">
        <v>0.02</v>
      </c>
      <c r="B18762" s="151" t="s">
        <v>807</v>
      </c>
      <c r="C18762" s="1468">
        <v>64.236000000000004</v>
      </c>
      <c r="D18762" s="2955">
        <f>VLOOKUP(H18762,indexy!$C$44:$D$823,2,FALSE)</f>
        <v>46.03</v>
      </c>
      <c r="E18762" s="1493">
        <f t="shared" si="340"/>
        <v>-0.28342362538140609</v>
      </c>
      <c r="F18762" s="1313">
        <f t="shared" si="341"/>
        <v>-5.6684725076281217E-3</v>
      </c>
      <c r="G18762" s="78"/>
      <c r="H18762" t="str">
        <f>VLOOKUP(B18762,indexy!$A$44:$D$823,3,FALSE)</f>
        <v>BCE CT Equity</v>
      </c>
    </row>
    <row r="18763" spans="1:8" ht="12.75" hidden="1" customHeight="1" outlineLevel="1" x14ac:dyDescent="0.25">
      <c r="A18763" s="135">
        <v>0.02</v>
      </c>
      <c r="B18763" s="151" t="s">
        <v>3954</v>
      </c>
      <c r="C18763" s="410">
        <f>148.878/2</f>
        <v>74.438999999999993</v>
      </c>
      <c r="D18763" s="2955">
        <f>VLOOKUP(H18763,indexy!$C$44:$D$823,2,FALSE)</f>
        <v>68.67</v>
      </c>
      <c r="E18763" s="1493">
        <f t="shared" si="340"/>
        <v>-7.7499697739088269E-2</v>
      </c>
      <c r="F18763" s="1313">
        <f t="shared" si="341"/>
        <v>-1.5499939547817653E-3</v>
      </c>
      <c r="G18763" s="78"/>
      <c r="H18763" t="str">
        <f>VLOOKUP(B18763,indexy!$A$44:$D$823,3,FALSE)</f>
        <v>CM CT Equity</v>
      </c>
    </row>
    <row r="18764" spans="1:8" ht="12.75" hidden="1" customHeight="1" outlineLevel="1" x14ac:dyDescent="0.25">
      <c r="A18764" s="135">
        <v>0.04</v>
      </c>
      <c r="B18764" s="151" t="s">
        <v>1319</v>
      </c>
      <c r="C18764" s="410">
        <v>77.856999999999999</v>
      </c>
      <c r="D18764" s="2955">
        <f>VLOOKUP(H18764,indexy!$C$44:$D$823,2,FALSE)</f>
        <v>90.81</v>
      </c>
      <c r="E18764" s="1493">
        <f t="shared" si="340"/>
        <v>0.16636911260387643</v>
      </c>
      <c r="F18764" s="1313">
        <f t="shared" si="341"/>
        <v>6.6547645041550576E-3</v>
      </c>
      <c r="G18764" s="78"/>
      <c r="H18764" t="str">
        <f>VLOOKUP(B18764,indexy!$A$44:$D$823,3,FALSE)</f>
        <v>ED UN Equity</v>
      </c>
    </row>
    <row r="18765" spans="1:8" ht="12.75" hidden="1" customHeight="1" outlineLevel="1" x14ac:dyDescent="0.25">
      <c r="A18765" s="135">
        <v>0.04</v>
      </c>
      <c r="B18765" s="151" t="s">
        <v>4387</v>
      </c>
      <c r="C18765" s="410">
        <v>11.069800000000001</v>
      </c>
      <c r="D18765" s="2955">
        <f>VLOOKUP(H18765,indexy!$C$44:$D$823,2,FALSE)</f>
        <v>12.885</v>
      </c>
      <c r="E18765" s="1493">
        <f t="shared" si="340"/>
        <v>0.1639776689732424</v>
      </c>
      <c r="F18765" s="1313">
        <f t="shared" si="341"/>
        <v>6.5591067589296963E-3</v>
      </c>
      <c r="G18765" s="78"/>
      <c r="H18765" t="str">
        <f>VLOOKUP(B18765,indexy!$A$44:$D$823,3,FALSE)</f>
        <v>EOAN GY Equity</v>
      </c>
    </row>
    <row r="18766" spans="1:8" ht="12.75" hidden="1" customHeight="1" outlineLevel="1" x14ac:dyDescent="0.25">
      <c r="A18766" s="135">
        <v>0.02</v>
      </c>
      <c r="B18766" s="151" t="s">
        <v>7855</v>
      </c>
      <c r="C18766" s="410">
        <v>51.15</v>
      </c>
      <c r="D18766" s="2955">
        <f>VLOOKUP(H18766,indexy!$C$44:$D$823,2,FALSE)</f>
        <v>48.95</v>
      </c>
      <c r="E18766" s="1493">
        <f t="shared" si="340"/>
        <v>-4.3010752688172005E-2</v>
      </c>
      <c r="F18766" s="1313">
        <f t="shared" si="341"/>
        <v>-8.602150537634401E-4</v>
      </c>
      <c r="G18766" s="78"/>
      <c r="H18766" t="str">
        <f>VLOOKUP(B18766,indexy!$A$44:$D$823,3,FALSE)</f>
        <v>ENB CT Equity</v>
      </c>
    </row>
    <row r="18767" spans="1:8" ht="12.75" hidden="1" customHeight="1" outlineLevel="1" x14ac:dyDescent="0.25">
      <c r="A18767" s="135">
        <v>0.02</v>
      </c>
      <c r="B18767" s="151" t="s">
        <v>3798</v>
      </c>
      <c r="C18767" s="410">
        <v>7.0701000000000001</v>
      </c>
      <c r="D18767" s="2955">
        <f>VLOOKUP(H18767,indexy!$C$44:$D$823,2,FALSE)</f>
        <v>6.1189999999999998</v>
      </c>
      <c r="E18767" s="1493">
        <f t="shared" si="340"/>
        <v>-0.13452426415467955</v>
      </c>
      <c r="F18767" s="1313">
        <f t="shared" si="341"/>
        <v>-2.6904852830935909E-3</v>
      </c>
      <c r="G18767" s="78"/>
      <c r="H18767" t="str">
        <f>VLOOKUP(B18767,indexy!$A$44:$D$823,3,FALSE)</f>
        <v>ENEL IM Equity</v>
      </c>
    </row>
    <row r="18768" spans="1:8" ht="12.75" hidden="1" customHeight="1" outlineLevel="1" x14ac:dyDescent="0.25">
      <c r="A18768" s="135">
        <v>0.03</v>
      </c>
      <c r="B18768" s="151" t="s">
        <v>1031</v>
      </c>
      <c r="C18768" s="410">
        <v>10.131</v>
      </c>
      <c r="D18768" s="2955">
        <f>VLOOKUP(H18768,indexy!$C$44:$D$823,2,FALSE)</f>
        <v>11.494999999999999</v>
      </c>
      <c r="E18768" s="1493">
        <f t="shared" si="340"/>
        <v>0.13463626492942438</v>
      </c>
      <c r="F18768" s="1313">
        <f t="shared" si="341"/>
        <v>4.0390879478827309E-3</v>
      </c>
      <c r="G18768" s="78"/>
      <c r="H18768" t="str">
        <f>VLOOKUP(B18768,indexy!$A$44:$D$823,3,FALSE)</f>
        <v>IBE SQ Equity</v>
      </c>
    </row>
    <row r="18769" spans="1:8" ht="12.75" hidden="1" customHeight="1" outlineLevel="1" x14ac:dyDescent="0.25">
      <c r="A18769" s="135">
        <v>0.02</v>
      </c>
      <c r="B18769" s="151" t="s">
        <v>7505</v>
      </c>
      <c r="C18769" s="2740">
        <v>3420.5</v>
      </c>
      <c r="D18769" s="2955">
        <f>VLOOKUP(H18769,indexy!$C$44:$D$823,2,FALSE)</f>
        <v>4468</v>
      </c>
      <c r="E18769" s="1493">
        <f t="shared" si="340"/>
        <v>0.30624177751790671</v>
      </c>
      <c r="F18769" s="1313">
        <f t="shared" si="341"/>
        <v>6.1248355503581344E-3</v>
      </c>
      <c r="G18769" s="78"/>
      <c r="H18769" t="str">
        <f>VLOOKUP(B18769,indexy!$A$44:$D$823,3,FALSE)</f>
        <v>9433 JT Equity</v>
      </c>
    </row>
    <row r="18770" spans="1:8" ht="12.75" hidden="1" customHeight="1" outlineLevel="1" x14ac:dyDescent="0.25">
      <c r="A18770" s="135">
        <v>0.04</v>
      </c>
      <c r="B18770" s="151" t="s">
        <v>247</v>
      </c>
      <c r="C18770" s="410">
        <f>3453.2/3</f>
        <v>1151.0666666666666</v>
      </c>
      <c r="D18770" s="2955">
        <f>VLOOKUP(H18770,indexy!$C$44:$D$823,2,FALSE)</f>
        <v>3483</v>
      </c>
      <c r="E18770" s="1493">
        <f t="shared" si="340"/>
        <v>2.025889030464497</v>
      </c>
      <c r="F18770" s="1313">
        <f t="shared" si="341"/>
        <v>8.1035561218579882E-2</v>
      </c>
      <c r="G18770" s="78"/>
      <c r="H18770" t="str">
        <f>VLOOKUP(B18770,indexy!$A$44:$D$823,3,FALSE)</f>
        <v>8058 JT Equity</v>
      </c>
    </row>
    <row r="18771" spans="1:8" ht="12.75" hidden="1" customHeight="1" outlineLevel="1" x14ac:dyDescent="0.25">
      <c r="A18771" s="135">
        <v>0.02</v>
      </c>
      <c r="B18771" s="151" t="s">
        <v>3528</v>
      </c>
      <c r="C18771" s="410">
        <v>1511.75</v>
      </c>
      <c r="D18771" s="2955">
        <f>VLOOKUP(H18771,indexy!$C$44:$D$823,2,FALSE)</f>
        <v>2988</v>
      </c>
      <c r="E18771" s="1493">
        <f t="shared" si="340"/>
        <v>0.97651728129651061</v>
      </c>
      <c r="F18771" s="1313">
        <f t="shared" si="341"/>
        <v>1.9530345625930211E-2</v>
      </c>
      <c r="G18771" s="78"/>
      <c r="H18771" t="str">
        <f>VLOOKUP(B18771,indexy!$A$44:$D$823,3,FALSE)</f>
        <v>8411 JT Equity</v>
      </c>
    </row>
    <row r="18772" spans="1:8" ht="12.75" hidden="1" customHeight="1" outlineLevel="1" x14ac:dyDescent="0.25">
      <c r="A18772" s="135">
        <v>0.05</v>
      </c>
      <c r="B18772" s="151" t="s">
        <v>2786</v>
      </c>
      <c r="C18772" s="410">
        <v>9.7399000000000004</v>
      </c>
      <c r="D18772" s="2955">
        <f>VLOOKUP(H18772,indexy!$C$44:$D$823,2,FALSE)/100</f>
        <v>10.66</v>
      </c>
      <c r="E18772" s="1493">
        <f t="shared" si="340"/>
        <v>9.4467088984486525E-2</v>
      </c>
      <c r="F18772" s="1313">
        <f t="shared" si="341"/>
        <v>4.7233544492243269E-3</v>
      </c>
      <c r="G18772" s="78"/>
      <c r="H18772" t="str">
        <f>VLOOKUP(B18772,indexy!$A$44:$D$823,3,FALSE)</f>
        <v>NG/ LN Equity</v>
      </c>
    </row>
    <row r="18773" spans="1:8" ht="12.75" hidden="1" customHeight="1" outlineLevel="1" x14ac:dyDescent="0.25">
      <c r="A18773" s="135">
        <v>0.02</v>
      </c>
      <c r="B18773" s="151" t="s">
        <v>2787</v>
      </c>
      <c r="C18773" s="410">
        <v>76.177999999999997</v>
      </c>
      <c r="D18773" s="2955">
        <f>VLOOKUP(H18773,indexy!$C$44:$D$823,2,FALSE)</f>
        <v>87.37</v>
      </c>
      <c r="E18773" s="1493">
        <f t="shared" si="340"/>
        <v>0.14691905799574689</v>
      </c>
      <c r="F18773" s="1313">
        <f t="shared" si="341"/>
        <v>2.938381159914938E-3</v>
      </c>
      <c r="G18773" s="78"/>
      <c r="H18773" t="str">
        <f>VLOOKUP(B18773,indexy!$A$44:$D$823,3,FALSE)</f>
        <v>NOVN SE Equity</v>
      </c>
    </row>
    <row r="18774" spans="1:8" ht="12.75" hidden="1" customHeight="1" outlineLevel="1" x14ac:dyDescent="0.25">
      <c r="A18774" s="135">
        <v>7.0000000000000007E-2</v>
      </c>
      <c r="B18774" s="151" t="s">
        <v>5824</v>
      </c>
      <c r="C18774" s="410">
        <v>9.7927</v>
      </c>
      <c r="D18774" s="2955">
        <f>VLOOKUP(H18774,indexy!$C$44:$D$823,2,FALSE)</f>
        <v>10.888</v>
      </c>
      <c r="E18774" s="1493">
        <f t="shared" si="340"/>
        <v>0.11184862193266421</v>
      </c>
      <c r="F18774" s="1313">
        <f t="shared" si="341"/>
        <v>7.8294035352864944E-3</v>
      </c>
      <c r="G18774" s="78"/>
      <c r="H18774" t="str">
        <f>VLOOKUP(B18774,indexy!$A$44:$D$823,3,FALSE)</f>
        <v>ORA FP Equity</v>
      </c>
    </row>
    <row r="18775" spans="1:8" ht="12.75" hidden="1" customHeight="1" outlineLevel="1" x14ac:dyDescent="0.25">
      <c r="A18775" s="135">
        <v>0.02</v>
      </c>
      <c r="B18775" s="151" t="s">
        <v>10429</v>
      </c>
      <c r="C18775" s="410">
        <v>42.677</v>
      </c>
      <c r="D18775" s="2955">
        <f>VLOOKUP(H18775,indexy!$C$44:$D$823,2,FALSE)</f>
        <v>37.979999999999997</v>
      </c>
      <c r="E18775" s="1493">
        <f t="shared" si="340"/>
        <v>-0.1100592825175154</v>
      </c>
      <c r="F18775" s="1313">
        <f t="shared" si="341"/>
        <v>-2.2011856503503079E-3</v>
      </c>
      <c r="G18775" s="78"/>
      <c r="H18775" t="str">
        <f>VLOOKUP(B18775,indexy!$A$44:$D$823,3,FALSE)</f>
        <v>POW CT Equity</v>
      </c>
    </row>
    <row r="18776" spans="1:8" ht="12.75" hidden="1" customHeight="1" outlineLevel="1" x14ac:dyDescent="0.25">
      <c r="A18776" s="135">
        <v>0.02</v>
      </c>
      <c r="B18776" s="151" t="s">
        <v>2728</v>
      </c>
      <c r="C18776" s="410">
        <v>132.37</v>
      </c>
      <c r="D18776" s="2955">
        <f>VLOOKUP(H18776,indexy!$C$44:$D$823,2,FALSE)</f>
        <v>136.62</v>
      </c>
      <c r="E18776" s="1493">
        <f t="shared" si="340"/>
        <v>3.2106972879051066E-2</v>
      </c>
      <c r="F18776" s="1313">
        <f t="shared" si="341"/>
        <v>6.4213945758102137E-4</v>
      </c>
      <c r="G18776" s="78"/>
      <c r="H18776" t="str">
        <f>VLOOKUP(B18776,indexy!$A$44:$D$823,3,FALSE)</f>
        <v>RY CT Equity</v>
      </c>
    </row>
    <row r="18777" spans="1:8" ht="12.75" hidden="1" customHeight="1" outlineLevel="1" x14ac:dyDescent="0.25">
      <c r="A18777" s="135">
        <v>0.02</v>
      </c>
      <c r="B18777" s="151" t="s">
        <v>1187</v>
      </c>
      <c r="C18777" s="410">
        <v>89.491</v>
      </c>
      <c r="D18777" s="2955">
        <f>VLOOKUP(H18777,indexy!$C$44:$D$823,2,FALSE)</f>
        <v>90.96</v>
      </c>
      <c r="E18777" s="1493">
        <f t="shared" si="340"/>
        <v>1.6415058497502466E-2</v>
      </c>
      <c r="F18777" s="1313">
        <f t="shared" si="341"/>
        <v>3.2830116995004934E-4</v>
      </c>
      <c r="G18777" s="78"/>
      <c r="H18777" t="str">
        <f>VLOOKUP(B18777,indexy!$A$44:$D$823,3,FALSE)</f>
        <v>SAN FP Equity</v>
      </c>
    </row>
    <row r="18778" spans="1:8" ht="12.75" hidden="1" customHeight="1" outlineLevel="1" x14ac:dyDescent="0.25">
      <c r="A18778" s="135">
        <v>0.03</v>
      </c>
      <c r="B18778" s="151" t="s">
        <v>4460</v>
      </c>
      <c r="C18778" s="410">
        <v>27.934999999999999</v>
      </c>
      <c r="D18778" s="2955">
        <f>VLOOKUP(H18778,indexy!$C$44:$D$823,2,FALSE)/100</f>
        <v>24.7</v>
      </c>
      <c r="E18778" s="1493">
        <f t="shared" si="340"/>
        <v>-0.11580454626812242</v>
      </c>
      <c r="F18778" s="1313">
        <f t="shared" si="341"/>
        <v>-3.4741363880436723E-3</v>
      </c>
      <c r="G18778" s="78"/>
      <c r="H18778" t="str">
        <f>VLOOKUP(B18778,indexy!$A$44:$D$823,3,FALSE)</f>
        <v>SVT LN Equity</v>
      </c>
    </row>
    <row r="18779" spans="1:8" ht="12.75" hidden="1" customHeight="1" outlineLevel="1" x14ac:dyDescent="0.25">
      <c r="A18779" s="135">
        <v>0.06</v>
      </c>
      <c r="B18779" s="151" t="s">
        <v>10529</v>
      </c>
      <c r="C18779" s="410">
        <v>1551</v>
      </c>
      <c r="D18779" s="2955">
        <f>VLOOKUP(H18779,indexy!$C$44:$D$823,2,FALSE)</f>
        <v>1941</v>
      </c>
      <c r="E18779" s="1493">
        <f t="shared" si="340"/>
        <v>0.25145067698259194</v>
      </c>
      <c r="F18779" s="1313">
        <f t="shared" si="341"/>
        <v>1.5087040618955515E-2</v>
      </c>
      <c r="G18779" s="78"/>
      <c r="H18779" t="str">
        <f>VLOOKUP(B18779,indexy!$A$44:$D$823,3,FALSE)</f>
        <v>9434 JT Equity</v>
      </c>
    </row>
    <row r="18780" spans="1:8" ht="12.75" hidden="1" customHeight="1" outlineLevel="1" x14ac:dyDescent="0.25">
      <c r="A18780" s="135">
        <v>0.02</v>
      </c>
      <c r="B18780" s="151" t="s">
        <v>6118</v>
      </c>
      <c r="C18780" s="410">
        <v>88.924000000000007</v>
      </c>
      <c r="D18780" s="2955">
        <f>VLOOKUP(H18780,indexy!$C$44:$D$823,2,FALSE)</f>
        <v>115.95</v>
      </c>
      <c r="E18780" s="1493">
        <f t="shared" si="340"/>
        <v>0.30392245063200019</v>
      </c>
      <c r="F18780" s="1313">
        <f t="shared" si="341"/>
        <v>6.0784490126400042E-3</v>
      </c>
      <c r="G18780" s="78"/>
      <c r="H18780" t="str">
        <f>VLOOKUP(B18780,indexy!$A$44:$D$823,3,FALSE)</f>
        <v>SREN SE Equity</v>
      </c>
    </row>
    <row r="18781" spans="1:8" ht="12.75" hidden="1" customHeight="1" outlineLevel="1" x14ac:dyDescent="0.25">
      <c r="A18781" s="135">
        <v>7.0000000000000007E-2</v>
      </c>
      <c r="B18781" s="151" t="s">
        <v>1239</v>
      </c>
      <c r="C18781" s="410">
        <v>513.34</v>
      </c>
      <c r="D18781" s="2955">
        <f>VLOOKUP(H18781,indexy!$C$44:$D$823,2,FALSE)</f>
        <v>551.4</v>
      </c>
      <c r="E18781" s="1493">
        <f t="shared" si="340"/>
        <v>7.4141894261113395E-2</v>
      </c>
      <c r="F18781" s="1313">
        <f t="shared" si="341"/>
        <v>5.189932598277938E-3</v>
      </c>
      <c r="G18781" s="78"/>
      <c r="H18781" t="str">
        <f>VLOOKUP(B18781,indexy!$A$44:$D$823,3,FALSE)</f>
        <v>SCMN SE Equity</v>
      </c>
    </row>
    <row r="18782" spans="1:8" ht="12.75" hidden="1" customHeight="1" outlineLevel="1" x14ac:dyDescent="0.25">
      <c r="A18782" s="135">
        <v>0.04</v>
      </c>
      <c r="B18782" s="151" t="s">
        <v>3022</v>
      </c>
      <c r="C18782" s="410">
        <v>3249.3</v>
      </c>
      <c r="D18782" s="2955">
        <f>VLOOKUP(H18782,indexy!$C$44:$D$823,2,FALSE)</f>
        <v>4203</v>
      </c>
      <c r="E18782" s="1493">
        <f t="shared" si="340"/>
        <v>0.29350937124919207</v>
      </c>
      <c r="F18782" s="1313">
        <f t="shared" si="341"/>
        <v>1.1740374849967683E-2</v>
      </c>
      <c r="G18782" s="78"/>
      <c r="H18782" t="str">
        <f>VLOOKUP(B18782,indexy!$A$44:$D$823,3,FALSE)</f>
        <v>4502 JT Equity</v>
      </c>
    </row>
    <row r="18783" spans="1:8" ht="12.75" hidden="1" customHeight="1" outlineLevel="1" x14ac:dyDescent="0.25">
      <c r="A18783" s="135">
        <v>0.02</v>
      </c>
      <c r="B18783" s="151" t="s">
        <v>366</v>
      </c>
      <c r="C18783" s="410">
        <v>61.58</v>
      </c>
      <c r="D18783" s="2955">
        <f>VLOOKUP(H18783,indexy!$C$44:$D$823,2,FALSE)</f>
        <v>54.44</v>
      </c>
      <c r="E18783" s="1493">
        <f t="shared" si="340"/>
        <v>-0.11594673595323157</v>
      </c>
      <c r="F18783" s="1313">
        <f t="shared" si="341"/>
        <v>-2.3189347190646315E-3</v>
      </c>
      <c r="G18783" s="78"/>
      <c r="H18783" t="str">
        <f>VLOOKUP(B18783,indexy!$A$44:$D$823,3,FALSE)</f>
        <v>TRP CT Equity</v>
      </c>
    </row>
    <row r="18784" spans="1:8" ht="12.75" hidden="1" customHeight="1" outlineLevel="1" x14ac:dyDescent="0.25">
      <c r="A18784" s="135">
        <v>0.02</v>
      </c>
      <c r="B18784" s="151" t="s">
        <v>3626</v>
      </c>
      <c r="C18784" s="410">
        <v>92.622</v>
      </c>
      <c r="D18784" s="2955">
        <f>VLOOKUP(H18784,indexy!$C$44:$D$823,2,FALSE)</f>
        <v>81.75</v>
      </c>
      <c r="E18784" s="1493">
        <f t="shared" si="340"/>
        <v>-0.11738032001036469</v>
      </c>
      <c r="F18784" s="1313">
        <f t="shared" si="341"/>
        <v>-2.3476064002072939E-3</v>
      </c>
      <c r="G18784" s="78"/>
      <c r="H18784" t="str">
        <f>VLOOKUP(B18784,indexy!$A$44:$D$823,3,FALSE)</f>
        <v>TD CT Equity</v>
      </c>
    </row>
    <row r="18785" spans="1:8" ht="12.75" hidden="1" customHeight="1" outlineLevel="1" x14ac:dyDescent="0.25">
      <c r="A18785" s="135">
        <v>0.02</v>
      </c>
      <c r="B18785" s="151" t="s">
        <v>255</v>
      </c>
      <c r="C18785" s="410">
        <v>51.945999999999998</v>
      </c>
      <c r="D18785" s="2955">
        <f>VLOOKUP(H18785,indexy!$C$44:$D$823,2,FALSE)</f>
        <v>41.96</v>
      </c>
      <c r="E18785" s="1493">
        <f t="shared" si="340"/>
        <v>-0.19223809340468945</v>
      </c>
      <c r="F18785" s="1313">
        <f t="shared" si="341"/>
        <v>-3.8447618680937891E-3</v>
      </c>
      <c r="G18785" s="78"/>
      <c r="H18785" t="str">
        <f>VLOOKUP(B18785,indexy!$A$44:$D$823,3,FALSE)</f>
        <v>VZ UN Equity</v>
      </c>
    </row>
    <row r="18786" spans="1:8" ht="12.75" hidden="1" customHeight="1" outlineLevel="1" x14ac:dyDescent="0.25">
      <c r="A18786" s="135">
        <v>0.02</v>
      </c>
      <c r="B18786" s="2736" t="s">
        <v>4550</v>
      </c>
      <c r="C18786" s="2741">
        <v>401.24</v>
      </c>
      <c r="D18786" s="2956">
        <f>VLOOKUP(H18786,indexy!$C$44:$D$823,2,FALSE)</f>
        <v>486.3</v>
      </c>
      <c r="E18786" s="1495">
        <f t="shared" si="340"/>
        <v>0.2119928222510219</v>
      </c>
      <c r="F18786" s="1314">
        <f>$E18786*$A18786</f>
        <v>4.2398564450204382E-3</v>
      </c>
      <c r="G18786" s="78"/>
      <c r="H18786" t="str">
        <f>VLOOKUP(B18786,indexy!$A$44:$D$823,3,FALSE)</f>
        <v>ZURN SE Equity</v>
      </c>
    </row>
    <row r="18787" spans="1:8" ht="12.75" hidden="1" customHeight="1" outlineLevel="1" x14ac:dyDescent="0.25">
      <c r="A18787" s="1475" t="s">
        <v>2734</v>
      </c>
      <c r="B18787" s="150"/>
      <c r="C18787" s="1477"/>
      <c r="D18787" s="1477"/>
      <c r="E18787" s="512"/>
      <c r="F18787" s="1313">
        <f>SUM(F18757:F18786)</f>
        <v>0.17300251624406046</v>
      </c>
      <c r="G18787" s="78"/>
    </row>
    <row r="18788" spans="1:8" ht="12.75" hidden="1" customHeight="1" outlineLevel="1" x14ac:dyDescent="0.25">
      <c r="A18788" s="221"/>
      <c r="B18788" s="1478">
        <v>46113</v>
      </c>
      <c r="C18788" s="1497">
        <v>100</v>
      </c>
      <c r="D18788" s="1497"/>
      <c r="E18788" s="1498">
        <f>IF(D18788="",$F$18787,D18788/C18788-1)</f>
        <v>0.17300251624406046</v>
      </c>
      <c r="F18788" s="1842"/>
      <c r="G18788" s="78"/>
    </row>
    <row r="18789" spans="1:8" ht="12.75" hidden="1" customHeight="1" outlineLevel="1" x14ac:dyDescent="0.25">
      <c r="A18789" s="221"/>
      <c r="B18789" s="1478">
        <v>46143</v>
      </c>
      <c r="C18789" s="1497">
        <v>100</v>
      </c>
      <c r="D18789" s="1500"/>
      <c r="E18789" s="1498">
        <f t="shared" ref="E18789:E18805" si="342">IF(D18789="",$F$18787,D18789/C18789-1)</f>
        <v>0.17300251624406046</v>
      </c>
      <c r="F18789" s="1842"/>
      <c r="G18789" s="78"/>
    </row>
    <row r="18790" spans="1:8" ht="12.75" hidden="1" customHeight="1" outlineLevel="1" x14ac:dyDescent="0.25">
      <c r="A18790" s="221"/>
      <c r="B18790" s="1478">
        <v>46174</v>
      </c>
      <c r="C18790" s="1497">
        <v>100</v>
      </c>
      <c r="D18790" s="1500"/>
      <c r="E18790" s="1498">
        <f t="shared" si="342"/>
        <v>0.17300251624406046</v>
      </c>
      <c r="F18790" s="1842"/>
      <c r="G18790" s="78"/>
    </row>
    <row r="18791" spans="1:8" ht="12.75" hidden="1" customHeight="1" outlineLevel="1" x14ac:dyDescent="0.25">
      <c r="A18791" s="221"/>
      <c r="B18791" s="1478">
        <v>46204</v>
      </c>
      <c r="C18791" s="1497">
        <v>100</v>
      </c>
      <c r="D18791" s="1500"/>
      <c r="E18791" s="1498">
        <f t="shared" si="342"/>
        <v>0.17300251624406046</v>
      </c>
      <c r="F18791" s="1842"/>
      <c r="G18791" s="78"/>
    </row>
    <row r="18792" spans="1:8" ht="12.75" hidden="1" customHeight="1" outlineLevel="1" x14ac:dyDescent="0.25">
      <c r="A18792" s="221"/>
      <c r="B18792" s="1478">
        <v>46235</v>
      </c>
      <c r="C18792" s="1497">
        <v>100</v>
      </c>
      <c r="D18792" s="1500"/>
      <c r="E18792" s="1498">
        <f t="shared" si="342"/>
        <v>0.17300251624406046</v>
      </c>
      <c r="F18792" s="1842"/>
      <c r="G18792" s="78"/>
    </row>
    <row r="18793" spans="1:8" ht="12.75" hidden="1" customHeight="1" outlineLevel="1" x14ac:dyDescent="0.25">
      <c r="A18793" s="221"/>
      <c r="B18793" s="1478">
        <v>46266</v>
      </c>
      <c r="C18793" s="1497">
        <v>100</v>
      </c>
      <c r="D18793" s="1500"/>
      <c r="E18793" s="1498">
        <f t="shared" si="342"/>
        <v>0.17300251624406046</v>
      </c>
      <c r="F18793" s="1842"/>
      <c r="G18793" s="78"/>
    </row>
    <row r="18794" spans="1:8" ht="12.75" hidden="1" customHeight="1" outlineLevel="1" x14ac:dyDescent="0.25">
      <c r="A18794" s="221"/>
      <c r="B18794" s="1478">
        <v>46296</v>
      </c>
      <c r="C18794" s="1497">
        <v>100</v>
      </c>
      <c r="D18794" s="1500"/>
      <c r="E18794" s="1498">
        <f t="shared" si="342"/>
        <v>0.17300251624406046</v>
      </c>
      <c r="F18794" s="1842"/>
      <c r="G18794" s="78"/>
    </row>
    <row r="18795" spans="1:8" ht="12.75" hidden="1" customHeight="1" outlineLevel="1" x14ac:dyDescent="0.25">
      <c r="A18795" s="221"/>
      <c r="B18795" s="1478">
        <v>46327</v>
      </c>
      <c r="C18795" s="1497">
        <v>100</v>
      </c>
      <c r="D18795" s="1500"/>
      <c r="E18795" s="1498">
        <f t="shared" si="342"/>
        <v>0.17300251624406046</v>
      </c>
      <c r="F18795" s="1842"/>
      <c r="G18795" s="78"/>
    </row>
    <row r="18796" spans="1:8" ht="12.75" hidden="1" customHeight="1" outlineLevel="1" x14ac:dyDescent="0.25">
      <c r="A18796" s="221"/>
      <c r="B18796" s="1478">
        <v>46357</v>
      </c>
      <c r="C18796" s="1497">
        <v>100</v>
      </c>
      <c r="D18796" s="1500"/>
      <c r="E18796" s="1498">
        <f t="shared" si="342"/>
        <v>0.17300251624406046</v>
      </c>
      <c r="F18796" s="1842"/>
      <c r="G18796" s="78"/>
    </row>
    <row r="18797" spans="1:8" ht="12.75" hidden="1" customHeight="1" outlineLevel="1" x14ac:dyDescent="0.25">
      <c r="A18797" s="221"/>
      <c r="B18797" s="1478">
        <v>46388</v>
      </c>
      <c r="C18797" s="1497">
        <v>100</v>
      </c>
      <c r="D18797" s="1500"/>
      <c r="E18797" s="1498">
        <f t="shared" si="342"/>
        <v>0.17300251624406046</v>
      </c>
      <c r="F18797" s="1842"/>
      <c r="G18797" s="78"/>
    </row>
    <row r="18798" spans="1:8" ht="12.75" hidden="1" customHeight="1" outlineLevel="1" x14ac:dyDescent="0.25">
      <c r="A18798" s="221"/>
      <c r="B18798" s="1478">
        <v>46419</v>
      </c>
      <c r="C18798" s="1497">
        <v>100</v>
      </c>
      <c r="D18798" s="1500"/>
      <c r="E18798" s="1498">
        <f t="shared" si="342"/>
        <v>0.17300251624406046</v>
      </c>
      <c r="F18798" s="1842"/>
      <c r="G18798" s="78"/>
    </row>
    <row r="18799" spans="1:8" ht="12.75" hidden="1" customHeight="1" outlineLevel="1" x14ac:dyDescent="0.25">
      <c r="A18799" s="221"/>
      <c r="B18799" s="1478">
        <v>46447</v>
      </c>
      <c r="C18799" s="1497">
        <v>100</v>
      </c>
      <c r="D18799" s="1500"/>
      <c r="E18799" s="1498">
        <f t="shared" si="342"/>
        <v>0.17300251624406046</v>
      </c>
      <c r="F18799" s="1842"/>
      <c r="G18799" s="78"/>
    </row>
    <row r="18800" spans="1:8" ht="12.75" hidden="1" customHeight="1" outlineLevel="1" x14ac:dyDescent="0.25">
      <c r="A18800" s="221"/>
      <c r="B18800" s="1478">
        <v>46478</v>
      </c>
      <c r="C18800" s="1497">
        <v>100</v>
      </c>
      <c r="D18800" s="1500"/>
      <c r="E18800" s="1498">
        <f t="shared" si="342"/>
        <v>0.17300251624406046</v>
      </c>
      <c r="F18800" s="1842"/>
      <c r="G18800" s="78"/>
    </row>
    <row r="18801" spans="1:9" ht="12.75" hidden="1" customHeight="1" outlineLevel="1" x14ac:dyDescent="0.25">
      <c r="A18801" s="221"/>
      <c r="B18801" s="1478">
        <v>46508</v>
      </c>
      <c r="C18801" s="1497">
        <v>100</v>
      </c>
      <c r="D18801" s="1500"/>
      <c r="E18801" s="1498">
        <f t="shared" si="342"/>
        <v>0.17300251624406046</v>
      </c>
      <c r="F18801" s="1842"/>
      <c r="G18801" s="78"/>
    </row>
    <row r="18802" spans="1:9" ht="12.75" hidden="1" customHeight="1" outlineLevel="1" x14ac:dyDescent="0.25">
      <c r="A18802" s="221"/>
      <c r="B18802" s="1478">
        <v>46539</v>
      </c>
      <c r="C18802" s="1497">
        <v>100</v>
      </c>
      <c r="D18802" s="1500"/>
      <c r="E18802" s="1498">
        <f t="shared" si="342"/>
        <v>0.17300251624406046</v>
      </c>
      <c r="F18802" s="1842"/>
      <c r="G18802" s="78"/>
    </row>
    <row r="18803" spans="1:9" ht="12.75" hidden="1" customHeight="1" outlineLevel="1" x14ac:dyDescent="0.25">
      <c r="A18803" s="221"/>
      <c r="B18803" s="1478">
        <v>46569</v>
      </c>
      <c r="C18803" s="1497">
        <v>100</v>
      </c>
      <c r="D18803" s="1500"/>
      <c r="E18803" s="1498">
        <f t="shared" si="342"/>
        <v>0.17300251624406046</v>
      </c>
      <c r="F18803" s="1842"/>
      <c r="G18803" s="78"/>
    </row>
    <row r="18804" spans="1:9" hidden="1" outlineLevel="1" x14ac:dyDescent="0.25">
      <c r="A18804" s="221"/>
      <c r="B18804" s="1478">
        <v>46600</v>
      </c>
      <c r="C18804" s="1497">
        <v>100</v>
      </c>
      <c r="D18804" s="1500"/>
      <c r="E18804" s="1498">
        <f t="shared" si="342"/>
        <v>0.17300251624406046</v>
      </c>
      <c r="F18804" s="1842"/>
      <c r="G18804" s="78"/>
    </row>
    <row r="18805" spans="1:9" ht="12.75" hidden="1" customHeight="1" outlineLevel="1" x14ac:dyDescent="0.25">
      <c r="A18805" s="221"/>
      <c r="B18805" s="1478">
        <v>46631</v>
      </c>
      <c r="C18805" s="1497">
        <v>100</v>
      </c>
      <c r="D18805" s="1500"/>
      <c r="E18805" s="1498">
        <f t="shared" si="342"/>
        <v>0.17300251624406046</v>
      </c>
      <c r="F18805" s="1842"/>
      <c r="G18805" s="78"/>
    </row>
    <row r="18806" spans="1:9" ht="12.75" hidden="1" customHeight="1" outlineLevel="1" x14ac:dyDescent="0.25">
      <c r="A18806" s="1483" t="s">
        <v>2734</v>
      </c>
      <c r="B18806" s="1484"/>
      <c r="C18806" s="1500"/>
      <c r="D18806" s="1485" t="s">
        <v>2465</v>
      </c>
      <c r="E18806" s="1486">
        <f>AVERAGE(E18788:E18805)</f>
        <v>0.17300251624406038</v>
      </c>
      <c r="F18806" s="1844">
        <f>E18806</f>
        <v>0.17300251624406038</v>
      </c>
      <c r="G18806" s="78"/>
    </row>
    <row r="18807" spans="1:9" ht="13.5" customHeight="1" collapsed="1" x14ac:dyDescent="0.25">
      <c r="A18807" s="3799" t="s">
        <v>10655</v>
      </c>
      <c r="B18807" s="3800"/>
      <c r="C18807" s="3800"/>
      <c r="D18807" s="3800"/>
      <c r="E18807" s="18"/>
      <c r="F18807" s="186">
        <f>+IF(F18806&lt;-40%,F18806,IF(F18806&lt;0%,0%,200%*F18806))</f>
        <v>0.34600503248812076</v>
      </c>
      <c r="G18807" s="78"/>
    </row>
    <row r="18809" spans="1:9" hidden="1" outlineLevel="1" x14ac:dyDescent="0.25">
      <c r="A18809" s="67" t="s">
        <v>113</v>
      </c>
      <c r="B18809" s="15" t="s">
        <v>114</v>
      </c>
      <c r="C18809" s="15" t="s">
        <v>112</v>
      </c>
      <c r="D18809" s="15" t="s">
        <v>4155</v>
      </c>
      <c r="E18809" s="15" t="s">
        <v>116</v>
      </c>
      <c r="F18809" s="1882" t="s">
        <v>121</v>
      </c>
      <c r="G18809" s="78"/>
      <c r="H18809" s="438" t="s">
        <v>5391</v>
      </c>
      <c r="I18809" s="438" t="s">
        <v>5392</v>
      </c>
    </row>
    <row r="18810" spans="1:9" hidden="1" outlineLevel="1" x14ac:dyDescent="0.25">
      <c r="A18810" s="2126">
        <v>1</v>
      </c>
      <c r="B18810" s="2122" t="s">
        <v>2153</v>
      </c>
      <c r="C18810" s="2239">
        <v>3764.7939999999999</v>
      </c>
      <c r="D18810" s="3912">
        <f>VLOOKUP(B18810,indexy!A:D,2,0)</f>
        <v>5083.42</v>
      </c>
      <c r="E18810" s="2244"/>
      <c r="F18810" s="2245">
        <f>IF(H18810="","",IF(H18810&lt;0%,H18810,I18810))</f>
        <v>0.22500000000000001</v>
      </c>
      <c r="G18810" s="78"/>
      <c r="H18810" s="92">
        <f>IF(C18810="","",IF(E18810="",$D$18810/C18810-1,E18810/C18810-1))</f>
        <v>0.35025183316802999</v>
      </c>
      <c r="I18810" s="450">
        <v>0.22500000000000001</v>
      </c>
    </row>
    <row r="18811" spans="1:9" hidden="1" outlineLevel="1" x14ac:dyDescent="0.25">
      <c r="A18811" s="2126">
        <v>2</v>
      </c>
      <c r="B18811" s="2122" t="s">
        <v>2153</v>
      </c>
      <c r="C18811" s="2240" t="str">
        <f>IF(E18810="","",C18810)</f>
        <v/>
      </c>
      <c r="D18811" s="3913"/>
      <c r="E18811" s="2246"/>
      <c r="F18811" s="2247" t="str">
        <f>IF(F18810&gt;0%,"",IF(H18811="","",IF(H18811&lt;0%,H18811,I18811)))</f>
        <v/>
      </c>
      <c r="G18811" s="78"/>
      <c r="H18811" s="92" t="str">
        <f>IF(C18811="","",IF(E18811="",$D$18810/C18811-1,E18811/C18811-1))</f>
        <v/>
      </c>
      <c r="I18811" s="450">
        <f>7.5*4%</f>
        <v>0.3</v>
      </c>
    </row>
    <row r="18812" spans="1:9" hidden="1" outlineLevel="1" x14ac:dyDescent="0.25">
      <c r="A18812" s="2126">
        <v>3</v>
      </c>
      <c r="B18812" s="2122" t="s">
        <v>2153</v>
      </c>
      <c r="C18812" s="2240" t="str">
        <f>IF(E18811="","",C18811)</f>
        <v/>
      </c>
      <c r="D18812" s="3913"/>
      <c r="E18812" s="2246"/>
      <c r="F18812" s="2247" t="str">
        <f>IF(F18811&gt;0%,"",IF(H18812="","",IF(H18812&lt;0%,H18812,I18812)))</f>
        <v/>
      </c>
      <c r="G18812" s="78"/>
      <c r="H18812" s="92" t="str">
        <f>IF(C18812="","",IF(E18812="",$D$18810/C18812-1,E18812/C18812-1))</f>
        <v/>
      </c>
      <c r="I18812" s="450">
        <f>7.5*5%</f>
        <v>0.375</v>
      </c>
    </row>
    <row r="18813" spans="1:9" hidden="1" outlineLevel="1" x14ac:dyDescent="0.25">
      <c r="A18813" s="2126">
        <v>4</v>
      </c>
      <c r="B18813" s="2122" t="s">
        <v>2153</v>
      </c>
      <c r="C18813" s="2240" t="str">
        <f>IF(E18812="","",C18812)</f>
        <v/>
      </c>
      <c r="D18813" s="3913"/>
      <c r="E18813" s="2246"/>
      <c r="F18813" s="2247" t="str">
        <f>IF(F18812&gt;0%,"",IF(H18813="","",IF(H18813&lt;0%,H18813,I18813)))</f>
        <v/>
      </c>
      <c r="G18813" s="78"/>
      <c r="H18813" s="92" t="str">
        <f>IF(C18813="","",IF(E18813="",$D$18810/C18813-1,E18813/C18813-1))</f>
        <v/>
      </c>
      <c r="I18813" s="450">
        <f>7.5*6%</f>
        <v>0.44999999999999996</v>
      </c>
    </row>
    <row r="18814" spans="1:9" hidden="1" outlineLevel="1" x14ac:dyDescent="0.25">
      <c r="A18814" s="2126">
        <v>5</v>
      </c>
      <c r="B18814" s="2122" t="s">
        <v>2153</v>
      </c>
      <c r="C18814" s="2241" t="str">
        <f>IF(E18813="","",C18813)</f>
        <v/>
      </c>
      <c r="D18814" s="3914"/>
      <c r="E18814" s="2246"/>
      <c r="F18814" s="2248" t="str">
        <f>IF(F18813&gt;0%,"",IF(H18814="","",IF(H18814&lt;0%,H18814,I18814)))</f>
        <v/>
      </c>
      <c r="G18814" s="78"/>
      <c r="H18814" s="37">
        <f>IF(H18813="",IF(H18812="",IF(H18811="",IF(H18810="",H18809,H18810),H18811),H18812),H18813)</f>
        <v>0.35025183316802999</v>
      </c>
    </row>
    <row r="18815" spans="1:9" hidden="1" outlineLevel="1" x14ac:dyDescent="0.25">
      <c r="A18815" s="2242" t="s">
        <v>2734</v>
      </c>
      <c r="B18815" s="2122"/>
      <c r="C18815" s="2243"/>
      <c r="D18815" s="2249"/>
      <c r="E18815" s="2250"/>
      <c r="F18815" s="2251">
        <f>IF(F18814="",IF(F18813="",IF(F18812="",IF(F18811="",F18810,F18811),F18812),F18813),F18814)</f>
        <v>0.22500000000000001</v>
      </c>
      <c r="G18815" s="78"/>
      <c r="H18815" s="74"/>
    </row>
    <row r="18816" spans="1:9" collapsed="1" x14ac:dyDescent="0.25">
      <c r="A18816" s="3799" t="s">
        <v>10704</v>
      </c>
      <c r="B18816" s="3800"/>
      <c r="C18816" s="3800"/>
      <c r="D18816" s="3800"/>
      <c r="E18816" s="18"/>
      <c r="F18816" s="186">
        <f>IF(F18815&lt;-40%,F18815,IF(F18815&lt;0%,0%,F18815))</f>
        <v>0.22500000000000001</v>
      </c>
      <c r="G18816" s="78"/>
      <c r="H18816" s="74"/>
    </row>
    <row r="18818" spans="1:18" ht="12.75" hidden="1" customHeight="1" outlineLevel="1" x14ac:dyDescent="0.25">
      <c r="A18818" s="1677" t="s">
        <v>4156</v>
      </c>
      <c r="B18818" s="1677" t="s">
        <v>4153</v>
      </c>
      <c r="C18818" s="1305" t="s">
        <v>112</v>
      </c>
      <c r="D18818" s="1678" t="s">
        <v>4155</v>
      </c>
      <c r="E18818" s="1677" t="s">
        <v>4154</v>
      </c>
      <c r="F18818" s="1678" t="s">
        <v>2519</v>
      </c>
      <c r="G18818" s="12"/>
      <c r="H18818" s="415"/>
      <c r="I18818" s="412" t="s">
        <v>6964</v>
      </c>
      <c r="J18818" s="1462">
        <v>44713</v>
      </c>
      <c r="K18818" s="1462">
        <v>44743</v>
      </c>
      <c r="L18818" s="1462">
        <v>44774</v>
      </c>
      <c r="M18818" s="1462">
        <v>44805</v>
      </c>
      <c r="N18818" s="1462">
        <v>44835</v>
      </c>
      <c r="O18818" s="1462">
        <v>44866</v>
      </c>
      <c r="P18818" s="1462"/>
      <c r="Q18818" s="1462"/>
      <c r="R18818" s="1462"/>
    </row>
    <row r="18819" spans="1:18" ht="12.75" hidden="1" customHeight="1" outlineLevel="1" x14ac:dyDescent="0.25">
      <c r="A18819" s="135">
        <v>0.02</v>
      </c>
      <c r="B18819" s="151" t="s">
        <v>359</v>
      </c>
      <c r="C18819" s="454">
        <v>198.15700000000001</v>
      </c>
      <c r="D18819" s="2737">
        <f>VLOOKUP(H18819,indexy!$C$44:$D$823,2,FALSE)</f>
        <v>277.8</v>
      </c>
      <c r="E18819" s="1466">
        <f>D18819/C18819-1</f>
        <v>0.40191868064211711</v>
      </c>
      <c r="F18819" s="1492">
        <f>E18819*A18819</f>
        <v>8.0383736128423425E-3</v>
      </c>
      <c r="G18819" s="415"/>
      <c r="H18819" s="415" t="str">
        <f>VLOOKUP(B18819,indexy!$A$44:$D$823,3,FALSE)</f>
        <v>ALV GY Equity</v>
      </c>
      <c r="I18819" s="412">
        <f>IF(J18819="",100,MIN(100,J18819:Y18819))</f>
        <v>85.884600000000006</v>
      </c>
      <c r="J18819">
        <v>99.662599999999998</v>
      </c>
      <c r="K18819">
        <v>93.920100000000005</v>
      </c>
      <c r="L18819">
        <v>93.608000000000004</v>
      </c>
      <c r="M18819">
        <v>91.898099999999999</v>
      </c>
      <c r="N18819">
        <v>85.884600000000006</v>
      </c>
      <c r="O18819">
        <v>90.379099999999994</v>
      </c>
    </row>
    <row r="18820" spans="1:18" ht="12.75" hidden="1" customHeight="1" outlineLevel="1" x14ac:dyDescent="0.25">
      <c r="A18820" s="135">
        <v>0.08</v>
      </c>
      <c r="B18820" s="151" t="s">
        <v>2697</v>
      </c>
      <c r="C18820" s="410">
        <v>17.8325</v>
      </c>
      <c r="D18820" s="2738">
        <f>VLOOKUP(H18820,indexy!$C$44:$D$823,2,FALSE)</f>
        <v>23.46</v>
      </c>
      <c r="E18820" s="1463">
        <f>D18820/C18820-1</f>
        <v>0.31557549418197128</v>
      </c>
      <c r="F18820" s="1494">
        <f t="shared" ref="F18820:F18843" si="343">E18820*A18820</f>
        <v>2.5246039534557702E-2</v>
      </c>
      <c r="G18820" s="415"/>
      <c r="H18820" s="415" t="str">
        <f>VLOOKUP(B18820,indexy!$A$44:$D$823,3,FALSE)</f>
        <v>G IM Equity</v>
      </c>
      <c r="I18820" s="422">
        <f>+(((E18868*100)+100)-I18819)/100</f>
        <v>0.19111383668174453</v>
      </c>
    </row>
    <row r="18821" spans="1:18" ht="12.75" hidden="1" customHeight="1" outlineLevel="1" x14ac:dyDescent="0.25">
      <c r="A18821" s="135">
        <v>0.02</v>
      </c>
      <c r="B18821" s="151" t="s">
        <v>5745</v>
      </c>
      <c r="C18821" s="410">
        <v>25.558</v>
      </c>
      <c r="D18821" s="2738">
        <f>VLOOKUP(H18821,indexy!$C$44:$D$823,2,FALSE)</f>
        <v>29.4</v>
      </c>
      <c r="E18821" s="1463">
        <f t="shared" ref="E18821:E18848" si="344">D18821/C18821-1</f>
        <v>0.1503247515455044</v>
      </c>
      <c r="F18821" s="1494">
        <f t="shared" si="343"/>
        <v>3.0064950309100879E-3</v>
      </c>
      <c r="G18821" s="415"/>
      <c r="H18821" s="415" t="str">
        <f>VLOOKUP(B18821,indexy!$A$44:$D$823,3,FALSE)</f>
        <v>ANZ AT Equity</v>
      </c>
    </row>
    <row r="18822" spans="1:18" ht="12.75" hidden="1" customHeight="1" outlineLevel="1" x14ac:dyDescent="0.25">
      <c r="A18822" s="135">
        <v>0.04</v>
      </c>
      <c r="B18822" s="151" t="s">
        <v>218</v>
      </c>
      <c r="C18822" s="410">
        <v>22.954000000000001</v>
      </c>
      <c r="D18822" s="2738">
        <f>VLOOKUP(H18822,indexy!$C$44:$D$823,2,FALSE)</f>
        <v>34.814999999999998</v>
      </c>
      <c r="E18822" s="1463">
        <f t="shared" si="344"/>
        <v>0.51672911039470226</v>
      </c>
      <c r="F18822" s="1494">
        <f t="shared" si="343"/>
        <v>2.0669164415788092E-2</v>
      </c>
      <c r="G18822" s="415"/>
      <c r="H18822" s="415" t="str">
        <f>VLOOKUP(B18822,indexy!$A$44:$D$823,3,FALSE)</f>
        <v>CS FP Equity</v>
      </c>
      <c r="J18822" s="434"/>
      <c r="K18822" s="37"/>
    </row>
    <row r="18823" spans="1:18" ht="12.75" hidden="1" customHeight="1" outlineLevel="1" x14ac:dyDescent="0.25">
      <c r="A18823" s="135">
        <v>0.03</v>
      </c>
      <c r="B18823" s="151" t="s">
        <v>5748</v>
      </c>
      <c r="C18823" s="410">
        <v>80.977000000000004</v>
      </c>
      <c r="D18823" s="2738">
        <f>VLOOKUP(H18823,indexy!$C$44:$D$823,2,FALSE)</f>
        <v>70.069999999999993</v>
      </c>
      <c r="E18823" s="1463">
        <f t="shared" si="344"/>
        <v>-0.13469256702520482</v>
      </c>
      <c r="F18823" s="1494">
        <f t="shared" si="343"/>
        <v>-4.0407770107561448E-3</v>
      </c>
      <c r="G18823" s="415"/>
      <c r="H18823" s="415" t="str">
        <f>VLOOKUP(B18823,indexy!$A$44:$D$823,3,FALSE)</f>
        <v>BNS CT Equity</v>
      </c>
      <c r="J18823" s="434"/>
    </row>
    <row r="18824" spans="1:18" ht="12.75" hidden="1" customHeight="1" outlineLevel="1" x14ac:dyDescent="0.25">
      <c r="A18824" s="135">
        <v>0.02</v>
      </c>
      <c r="B18824" s="151" t="s">
        <v>807</v>
      </c>
      <c r="C18824" s="410">
        <v>68.438000000000002</v>
      </c>
      <c r="D18824" s="2738">
        <f>VLOOKUP(H18824,indexy!$C$44:$D$823,2,FALSE)</f>
        <v>46.03</v>
      </c>
      <c r="E18824" s="1463">
        <f t="shared" si="344"/>
        <v>-0.32742043893743245</v>
      </c>
      <c r="F18824" s="1494">
        <f t="shared" si="343"/>
        <v>-6.5484087787486493E-3</v>
      </c>
      <c r="G18824" s="415"/>
      <c r="H18824" s="415" t="str">
        <f>VLOOKUP(B18824,indexy!$A$44:$D$823,3,FALSE)</f>
        <v>BCE CT Equity</v>
      </c>
      <c r="J18824" s="434"/>
    </row>
    <row r="18825" spans="1:18" ht="12.75" hidden="1" customHeight="1" outlineLevel="1" x14ac:dyDescent="0.25">
      <c r="A18825" s="135">
        <v>0.02</v>
      </c>
      <c r="B18825" s="151" t="s">
        <v>8678</v>
      </c>
      <c r="C18825" s="410">
        <v>103.19499999999999</v>
      </c>
      <c r="D18825" s="2738">
        <f>VLOOKUP(H18825,indexy!$C$44:$D$823,2,FALSE)</f>
        <v>120.34</v>
      </c>
      <c r="E18825" s="1463">
        <f t="shared" si="344"/>
        <v>0.1661417704346142</v>
      </c>
      <c r="F18825" s="1494">
        <f t="shared" si="343"/>
        <v>3.3228354086922841E-3</v>
      </c>
      <c r="G18825" s="415"/>
      <c r="H18825" s="415" t="str">
        <f>VLOOKUP(B18825,indexy!$A$44:$D$823,3,FALSE)</f>
        <v>CBA AT Equity</v>
      </c>
      <c r="J18825" s="434"/>
    </row>
    <row r="18826" spans="1:18" ht="12.75" hidden="1" customHeight="1" outlineLevel="1" x14ac:dyDescent="0.25">
      <c r="A18826" s="135">
        <v>0.02</v>
      </c>
      <c r="B18826" s="151" t="s">
        <v>1319</v>
      </c>
      <c r="C18826" s="410">
        <v>94.745000000000005</v>
      </c>
      <c r="D18826" s="2738">
        <f>VLOOKUP(H18826,indexy!$C$44:$D$823,2,FALSE)</f>
        <v>90.81</v>
      </c>
      <c r="E18826" s="1463">
        <f t="shared" si="344"/>
        <v>-4.1532534698401014E-2</v>
      </c>
      <c r="F18826" s="1494">
        <f t="shared" si="343"/>
        <v>-8.3065069396802025E-4</v>
      </c>
      <c r="G18826" s="415"/>
      <c r="H18826" s="415" t="str">
        <f>VLOOKUP(B18826,indexy!$A$44:$D$823,3,FALSE)</f>
        <v>ED UN Equity</v>
      </c>
      <c r="J18826" s="434"/>
    </row>
    <row r="18827" spans="1:18" ht="12.75" hidden="1" customHeight="1" outlineLevel="1" x14ac:dyDescent="0.25">
      <c r="A18827" s="135">
        <v>0.02</v>
      </c>
      <c r="B18827" s="151" t="s">
        <v>53</v>
      </c>
      <c r="C18827" s="410">
        <v>55.366999999999997</v>
      </c>
      <c r="D18827" s="2738">
        <f>VLOOKUP(H18827,indexy!$C$44:$D$823,2,FALSE)</f>
        <v>59.89</v>
      </c>
      <c r="E18827" s="1463">
        <f t="shared" si="344"/>
        <v>8.1691260136904642E-2</v>
      </c>
      <c r="F18827" s="1494">
        <f t="shared" si="343"/>
        <v>1.6338252027380928E-3</v>
      </c>
      <c r="G18827" s="415"/>
      <c r="H18827" s="415" t="str">
        <f>VLOOKUP(B18827,indexy!$A$44:$D$823,3,FALSE)</f>
        <v>BN FP Equity</v>
      </c>
      <c r="J18827" s="434"/>
    </row>
    <row r="18828" spans="1:18" ht="12.75" hidden="1" customHeight="1" outlineLevel="1" x14ac:dyDescent="0.25">
      <c r="A18828" s="135">
        <v>0.02</v>
      </c>
      <c r="B18828" s="151" t="s">
        <v>10643</v>
      </c>
      <c r="C18828" s="410">
        <v>33.18</v>
      </c>
      <c r="D18828" s="2738">
        <f>VLOOKUP(H18828,indexy!$C$44:$D$823,2,FALSE)</f>
        <v>43.32</v>
      </c>
      <c r="E18828" s="1463">
        <f t="shared" si="344"/>
        <v>0.30560578661844495</v>
      </c>
      <c r="F18828" s="1494">
        <f t="shared" si="343"/>
        <v>6.1121157323688995E-3</v>
      </c>
      <c r="G18828" s="415"/>
      <c r="H18828" s="415" t="str">
        <f>VLOOKUP(B18828,indexy!$A$44:$D$823,3,FALSE)</f>
        <v>GWO CT Equity</v>
      </c>
      <c r="J18828" s="434"/>
    </row>
    <row r="18829" spans="1:18" ht="12.75" hidden="1" customHeight="1" outlineLevel="1" x14ac:dyDescent="0.25">
      <c r="A18829" s="135">
        <v>0.04</v>
      </c>
      <c r="B18829" s="151" t="s">
        <v>1031</v>
      </c>
      <c r="C18829" s="410">
        <v>10.7675</v>
      </c>
      <c r="D18829" s="2738">
        <f>VLOOKUP(H18829,indexy!$C$44:$D$823,2,FALSE)</f>
        <v>11.494999999999999</v>
      </c>
      <c r="E18829" s="1463">
        <f t="shared" si="344"/>
        <v>6.7564429997678088E-2</v>
      </c>
      <c r="F18829" s="1494">
        <f t="shared" si="343"/>
        <v>2.7025771999071237E-3</v>
      </c>
      <c r="G18829" s="415"/>
      <c r="H18829" s="415" t="str">
        <f>VLOOKUP(B18829,indexy!$A$44:$D$823,3,FALSE)</f>
        <v>IBE SQ Equity</v>
      </c>
      <c r="J18829" s="434"/>
    </row>
    <row r="18830" spans="1:18" ht="12.75" hidden="1" customHeight="1" outlineLevel="1" x14ac:dyDescent="0.25">
      <c r="A18830" s="135">
        <v>0.03</v>
      </c>
      <c r="B18830" s="151" t="s">
        <v>4143</v>
      </c>
      <c r="C18830" s="410">
        <v>3.3130000000000002</v>
      </c>
      <c r="D18830" s="2738">
        <f>VLOOKUP(H18830,indexy!$C$44:$D$823,2,FALSE)</f>
        <v>3.4660000000000002</v>
      </c>
      <c r="E18830" s="1463">
        <f t="shared" si="344"/>
        <v>4.618170842137026E-2</v>
      </c>
      <c r="F18830" s="1494">
        <f t="shared" si="343"/>
        <v>1.3854512526411077E-3</v>
      </c>
      <c r="G18830" s="415"/>
      <c r="H18830" s="415" t="str">
        <f>VLOOKUP(B18830,indexy!$A$44:$D$823,3,FALSE)</f>
        <v>KPN NA Equity</v>
      </c>
      <c r="J18830" s="434"/>
    </row>
    <row r="18831" spans="1:18" ht="12.75" hidden="1" customHeight="1" outlineLevel="1" x14ac:dyDescent="0.25">
      <c r="A18831" s="135">
        <v>0.02</v>
      </c>
      <c r="B18831" s="151" t="s">
        <v>8336</v>
      </c>
      <c r="C18831" s="2740">
        <v>31.196000000000002</v>
      </c>
      <c r="D18831" s="2738">
        <f>VLOOKUP(H18831,indexy!$C$44:$D$823,2,FALSE)</f>
        <v>34.64</v>
      </c>
      <c r="E18831" s="1463">
        <f t="shared" si="344"/>
        <v>0.11039876907295798</v>
      </c>
      <c r="F18831" s="1494">
        <f t="shared" si="343"/>
        <v>2.2079753814591599E-3</v>
      </c>
      <c r="G18831" s="415"/>
      <c r="H18831" s="415" t="str">
        <f>VLOOKUP(B18831,indexy!$A$44:$D$823,3,FALSE)</f>
        <v>NAB AT Equity</v>
      </c>
      <c r="J18831" s="434"/>
    </row>
    <row r="18832" spans="1:18" ht="12.75" hidden="1" customHeight="1" outlineLevel="1" x14ac:dyDescent="0.25">
      <c r="A18832" s="135">
        <v>0.04</v>
      </c>
      <c r="B18832" s="151" t="s">
        <v>2786</v>
      </c>
      <c r="C18832" s="410">
        <v>12.105</v>
      </c>
      <c r="D18832" s="2738">
        <f>VLOOKUP(H18832,indexy!$C$44:$D$823,2,FALSE)/100</f>
        <v>10.66</v>
      </c>
      <c r="E18832" s="1463">
        <f t="shared" si="344"/>
        <v>-0.1193721602643536</v>
      </c>
      <c r="F18832" s="1494">
        <f t="shared" si="343"/>
        <v>-4.774886410574144E-3</v>
      </c>
      <c r="G18832" s="415"/>
      <c r="H18832" s="415" t="str">
        <f>VLOOKUP(B18832,indexy!$A$44:$D$823,3,FALSE)</f>
        <v>NG/ LN Equity</v>
      </c>
      <c r="J18832" s="434"/>
    </row>
    <row r="18833" spans="1:10" ht="12.75" hidden="1" customHeight="1" outlineLevel="1" x14ac:dyDescent="0.25">
      <c r="A18833" s="135">
        <v>0.02</v>
      </c>
      <c r="B18833" s="151" t="s">
        <v>8527</v>
      </c>
      <c r="C18833" s="410">
        <v>46.475999999999999</v>
      </c>
      <c r="D18833" s="2738">
        <f>VLOOKUP(H18833,indexy!$C$44:$D$823,2,FALSE)</f>
        <v>42.82</v>
      </c>
      <c r="E18833" s="1463">
        <f t="shared" si="344"/>
        <v>-7.8664256820724643E-2</v>
      </c>
      <c r="F18833" s="1494">
        <f t="shared" si="343"/>
        <v>-1.573285136414493E-3</v>
      </c>
      <c r="G18833" s="415"/>
      <c r="H18833" s="415" t="str">
        <f>VLOOKUP(B18833,indexy!$A$44:$D$823,3,FALSE)</f>
        <v>NN NA Equity</v>
      </c>
      <c r="J18833" s="434"/>
    </row>
    <row r="18834" spans="1:10" ht="12.75" hidden="1" customHeight="1" outlineLevel="1" x14ac:dyDescent="0.25">
      <c r="A18834" s="135">
        <v>0.03</v>
      </c>
      <c r="B18834" s="151" t="s">
        <v>2787</v>
      </c>
      <c r="C18834" s="410">
        <v>85.787999999999997</v>
      </c>
      <c r="D18834" s="2738">
        <f>VLOOKUP(H18834,indexy!$C$44:$D$823,2,FALSE)</f>
        <v>87.37</v>
      </c>
      <c r="E18834" s="1463">
        <f t="shared" si="344"/>
        <v>1.8440807572154716E-2</v>
      </c>
      <c r="F18834" s="1494">
        <f t="shared" si="343"/>
        <v>5.5322422716464143E-4</v>
      </c>
      <c r="G18834" s="415"/>
      <c r="H18834" s="415" t="str">
        <f>VLOOKUP(B18834,indexy!$A$44:$D$823,3,FALSE)</f>
        <v>NOVN SE Equity</v>
      </c>
      <c r="J18834" s="434"/>
    </row>
    <row r="18835" spans="1:10" ht="12.75" hidden="1" customHeight="1" outlineLevel="1" x14ac:dyDescent="0.25">
      <c r="A18835" s="135">
        <v>7.0000000000000007E-2</v>
      </c>
      <c r="B18835" s="151" t="s">
        <v>5824</v>
      </c>
      <c r="C18835" s="410">
        <v>11.664199999999999</v>
      </c>
      <c r="D18835" s="2738">
        <f>VLOOKUP(H18835,indexy!$C$44:$D$823,2,FALSE)</f>
        <v>10.888</v>
      </c>
      <c r="E18835" s="1463">
        <f t="shared" si="344"/>
        <v>-6.6545498191046049E-2</v>
      </c>
      <c r="F18835" s="1494">
        <f t="shared" si="343"/>
        <v>-4.6581848733732237E-3</v>
      </c>
      <c r="G18835" s="415"/>
      <c r="H18835" s="415" t="str">
        <f>VLOOKUP(B18835,indexy!$A$44:$D$823,3,FALSE)</f>
        <v>ORA FP Equity</v>
      </c>
      <c r="J18835" s="434"/>
    </row>
    <row r="18836" spans="1:10" ht="12.75" hidden="1" customHeight="1" outlineLevel="1" x14ac:dyDescent="0.25">
      <c r="A18836" s="135">
        <v>0.02</v>
      </c>
      <c r="B18836" s="151" t="s">
        <v>10429</v>
      </c>
      <c r="C18836" s="410">
        <v>34.994</v>
      </c>
      <c r="D18836" s="2738">
        <f>VLOOKUP(H18836,indexy!$C$44:$D$823,2,FALSE)</f>
        <v>37.979999999999997</v>
      </c>
      <c r="E18836" s="1463">
        <f t="shared" si="344"/>
        <v>8.532891352803329E-2</v>
      </c>
      <c r="F18836" s="1494">
        <f t="shared" si="343"/>
        <v>1.7065782705606659E-3</v>
      </c>
      <c r="G18836" s="415"/>
      <c r="H18836" s="415" t="str">
        <f>VLOOKUP(B18836,indexy!$A$44:$D$823,3,FALSE)</f>
        <v>POW CT Equity</v>
      </c>
      <c r="J18836" s="434"/>
    </row>
    <row r="18837" spans="1:10" ht="12.75" hidden="1" customHeight="1" outlineLevel="1" x14ac:dyDescent="0.25">
      <c r="A18837" s="135">
        <v>0.04</v>
      </c>
      <c r="B18837" s="151" t="s">
        <v>8529</v>
      </c>
      <c r="C18837" s="410">
        <v>66.403000000000006</v>
      </c>
      <c r="D18837" s="2738">
        <f>VLOOKUP(H18837,indexy!$C$44:$D$823,2,FALSE)</f>
        <v>54.1</v>
      </c>
      <c r="E18837" s="1463">
        <f t="shared" si="344"/>
        <v>-0.18527777359456654</v>
      </c>
      <c r="F18837" s="1494">
        <f t="shared" si="343"/>
        <v>-7.4111109437826617E-3</v>
      </c>
      <c r="G18837" s="415"/>
      <c r="H18837" s="415" t="str">
        <f>VLOOKUP(B18837,indexy!$A$44:$D$823,3,FALSE)</f>
        <v>O UN Equity</v>
      </c>
      <c r="J18837" s="434"/>
    </row>
    <row r="18838" spans="1:10" ht="12.75" hidden="1" customHeight="1" outlineLevel="1" x14ac:dyDescent="0.25">
      <c r="A18838" s="135">
        <v>0.03</v>
      </c>
      <c r="B18838" s="151" t="s">
        <v>6270</v>
      </c>
      <c r="C18838" s="410">
        <v>42.8795</v>
      </c>
      <c r="D18838" s="2738">
        <f>VLOOKUP(H18838,indexy!$C$44:$D$823,2,FALSE)</f>
        <v>39.515000000000001</v>
      </c>
      <c r="E18838" s="1463">
        <f t="shared" si="344"/>
        <v>-7.846406791123961E-2</v>
      </c>
      <c r="F18838" s="1494">
        <f t="shared" si="343"/>
        <v>-2.3539220373371881E-3</v>
      </c>
      <c r="G18838" s="415"/>
      <c r="H18838" s="415" t="str">
        <f>VLOOKUP(B18838,indexy!$A$44:$D$823,3,FALSE)</f>
        <v>SAMPO FH Equity</v>
      </c>
      <c r="J18838" s="434"/>
    </row>
    <row r="18839" spans="1:10" ht="12.75" hidden="1" customHeight="1" outlineLevel="1" x14ac:dyDescent="0.25">
      <c r="A18839" s="135">
        <v>0.04</v>
      </c>
      <c r="B18839" s="151" t="s">
        <v>6524</v>
      </c>
      <c r="C18839" s="410">
        <v>107.4</v>
      </c>
      <c r="D18839" s="2738">
        <f>VLOOKUP(H18839,indexy!$C$44:$D$823,2,FALSE)</f>
        <v>144.94999999999999</v>
      </c>
      <c r="E18839" s="1463">
        <f t="shared" si="344"/>
        <v>0.34962756052141519</v>
      </c>
      <c r="F18839" s="1494">
        <f t="shared" si="343"/>
        <v>1.3985102420856607E-2</v>
      </c>
      <c r="G18839" s="415"/>
      <c r="H18839" s="415" t="str">
        <f>VLOOKUP(B18839,indexy!$A$44:$D$823,3,FALSE)</f>
        <v>SEBA SS Equity</v>
      </c>
      <c r="J18839" s="434"/>
    </row>
    <row r="18840" spans="1:10" ht="12.75" hidden="1" customHeight="1" outlineLevel="1" x14ac:dyDescent="0.25">
      <c r="A18840" s="135">
        <v>0.05</v>
      </c>
      <c r="B18840" s="151" t="s">
        <v>6116</v>
      </c>
      <c r="C18840" s="410">
        <v>5.3074000000000003</v>
      </c>
      <c r="D18840" s="2738">
        <f>VLOOKUP(H18840,indexy!$C$44:$D$823,2,FALSE)</f>
        <v>4.3760000000000003</v>
      </c>
      <c r="E18840" s="1463">
        <f t="shared" si="344"/>
        <v>-0.17549082413234351</v>
      </c>
      <c r="F18840" s="1494">
        <f t="shared" si="343"/>
        <v>-8.7745412066171768E-3</v>
      </c>
      <c r="G18840" s="415"/>
      <c r="H18840" s="415" t="str">
        <f>VLOOKUP(B18840,indexy!$A$44:$D$823,3,FALSE)</f>
        <v>SRG IM Equity</v>
      </c>
      <c r="J18840" s="434"/>
    </row>
    <row r="18841" spans="1:10" ht="12.75" hidden="1" customHeight="1" outlineLevel="1" x14ac:dyDescent="0.25">
      <c r="A18841" s="135">
        <v>0.02</v>
      </c>
      <c r="B18841" s="151" t="s">
        <v>9173</v>
      </c>
      <c r="C18841" s="410">
        <v>542.14</v>
      </c>
      <c r="D18841" s="2738">
        <f>VLOOKUP(H18841,indexy!$C$44:$D$823,2,FALSE)</f>
        <v>632.20000000000005</v>
      </c>
      <c r="E18841" s="1463">
        <f t="shared" si="344"/>
        <v>0.16611945253993454</v>
      </c>
      <c r="F18841" s="1494">
        <f t="shared" si="343"/>
        <v>3.322389050798691E-3</v>
      </c>
      <c r="G18841" s="415"/>
      <c r="H18841" s="415" t="str">
        <f>VLOOKUP(B18841,indexy!$A$44:$D$823,3,FALSE)</f>
        <v>SLHN SE Equity</v>
      </c>
      <c r="J18841" s="434"/>
    </row>
    <row r="18842" spans="1:10" ht="12.75" hidden="1" customHeight="1" outlineLevel="1" x14ac:dyDescent="0.25">
      <c r="A18842" s="135">
        <v>0.04</v>
      </c>
      <c r="B18842" s="151" t="s">
        <v>6118</v>
      </c>
      <c r="C18842" s="410">
        <v>80.56</v>
      </c>
      <c r="D18842" s="2738">
        <f>VLOOKUP(H18842,indexy!$C$44:$D$823,2,FALSE)</f>
        <v>115.95</v>
      </c>
      <c r="E18842" s="1463">
        <f t="shared" si="344"/>
        <v>0.43929990069513414</v>
      </c>
      <c r="F18842" s="1494">
        <f t="shared" si="343"/>
        <v>1.7571996027805365E-2</v>
      </c>
      <c r="G18842" s="415"/>
      <c r="H18842" s="415" t="str">
        <f>VLOOKUP(B18842,indexy!$A$44:$D$823,3,FALSE)</f>
        <v>SREN SE Equity</v>
      </c>
      <c r="J18842" s="434"/>
    </row>
    <row r="18843" spans="1:10" ht="12.75" hidden="1" customHeight="1" outlineLevel="1" x14ac:dyDescent="0.25">
      <c r="A18843" s="135">
        <v>0.08</v>
      </c>
      <c r="B18843" s="151" t="s">
        <v>1239</v>
      </c>
      <c r="C18843" s="410">
        <v>576.52</v>
      </c>
      <c r="D18843" s="2738">
        <f>VLOOKUP(H18843,indexy!$C$44:$D$823,2,FALSE)</f>
        <v>551.4</v>
      </c>
      <c r="E18843" s="1463">
        <f t="shared" si="344"/>
        <v>-4.3571775480468977E-2</v>
      </c>
      <c r="F18843" s="1494">
        <f t="shared" si="343"/>
        <v>-3.4857420384375184E-3</v>
      </c>
      <c r="G18843" s="415"/>
      <c r="H18843" s="415" t="str">
        <f>VLOOKUP(B18843,indexy!$A$44:$D$823,3,FALSE)</f>
        <v>SCMN SE Equity</v>
      </c>
      <c r="J18843" s="434"/>
    </row>
    <row r="18844" spans="1:10" ht="12.75" hidden="1" customHeight="1" outlineLevel="1" x14ac:dyDescent="0.25">
      <c r="A18844" s="135">
        <v>0.06</v>
      </c>
      <c r="B18844" s="151" t="s">
        <v>434</v>
      </c>
      <c r="C18844" s="410">
        <v>40.557000000000002</v>
      </c>
      <c r="D18844" s="2738">
        <f>VLOOKUP(H18844,indexy!$C$44:$D$823,2,FALSE)</f>
        <v>27.43</v>
      </c>
      <c r="E18844" s="1463">
        <f t="shared" si="344"/>
        <v>-0.323667924156126</v>
      </c>
      <c r="F18844" s="1494">
        <f>E18844*A18844</f>
        <v>-1.9420075449367559E-2</v>
      </c>
      <c r="G18844" s="415"/>
      <c r="H18844" s="415" t="str">
        <f>VLOOKUP(B18844,indexy!$A$44:$D$823,3,FALSE)</f>
        <v>TELIA SS Equity</v>
      </c>
      <c r="J18844" s="434"/>
    </row>
    <row r="18845" spans="1:10" ht="12.75" hidden="1" customHeight="1" outlineLevel="1" x14ac:dyDescent="0.25">
      <c r="A18845" s="135">
        <v>0.02</v>
      </c>
      <c r="B18845" s="151" t="s">
        <v>583</v>
      </c>
      <c r="C18845" s="410">
        <v>2.7303999999999999</v>
      </c>
      <c r="D18845" s="2738">
        <f>VLOOKUP(H18845,indexy!$C$44:$D$946,2,FALSE)/100</f>
        <v>2.9660000000000002</v>
      </c>
      <c r="E18845" s="1463">
        <f t="shared" si="344"/>
        <v>8.6287723410489292E-2</v>
      </c>
      <c r="F18845" s="1494">
        <f>E18845*A18845</f>
        <v>1.725754468209786E-3</v>
      </c>
      <c r="G18845" s="415"/>
      <c r="H18845" s="415" t="str">
        <f>VLOOKUP(B18845,indexy!$A$44:$D$946,3,FALSE)</f>
        <v>TSCO LN Equity</v>
      </c>
      <c r="J18845" s="434"/>
    </row>
    <row r="18846" spans="1:10" ht="12.75" hidden="1" customHeight="1" outlineLevel="1" x14ac:dyDescent="0.25">
      <c r="A18846" s="135">
        <v>0.02</v>
      </c>
      <c r="B18846" s="151" t="s">
        <v>255</v>
      </c>
      <c r="C18846" s="410">
        <v>48.637</v>
      </c>
      <c r="D18846" s="2738">
        <f>VLOOKUP(H18846,indexy!$C$44:$D$823,2,FALSE)</f>
        <v>41.96</v>
      </c>
      <c r="E18846" s="1463">
        <f t="shared" si="344"/>
        <v>-0.13728231593231488</v>
      </c>
      <c r="F18846" s="1494">
        <f>E18846*A18846</f>
        <v>-2.7456463186462977E-3</v>
      </c>
      <c r="G18846" s="415"/>
      <c r="H18846" s="415" t="str">
        <f>VLOOKUP(B18846,indexy!$A$44:$D$823,3,FALSE)</f>
        <v>VZ UN Equity</v>
      </c>
      <c r="J18846" s="434"/>
    </row>
    <row r="18847" spans="1:10" ht="12.75" hidden="1" customHeight="1" outlineLevel="1" x14ac:dyDescent="0.25">
      <c r="A18847" s="135">
        <v>0.02</v>
      </c>
      <c r="B18847" s="151" t="s">
        <v>5626</v>
      </c>
      <c r="C18847" s="410">
        <v>24.158999999999999</v>
      </c>
      <c r="D18847" s="2738">
        <f>VLOOKUP(H18847,indexy!$C$44:$D$823,2,FALSE)</f>
        <v>26.1</v>
      </c>
      <c r="E18847" s="1463">
        <f t="shared" si="344"/>
        <v>8.0342729417608449E-2</v>
      </c>
      <c r="F18847" s="1494">
        <f>E18847*A18847</f>
        <v>1.6068545883521691E-3</v>
      </c>
      <c r="G18847" s="415"/>
      <c r="H18847" s="415" t="str">
        <f>VLOOKUP(B18847,indexy!$A$44:$D$823,3,FALSE)</f>
        <v>WBC AT Equity</v>
      </c>
      <c r="J18847" s="434"/>
    </row>
    <row r="18848" spans="1:10" ht="12.75" hidden="1" customHeight="1" outlineLevel="1" x14ac:dyDescent="0.25">
      <c r="A18848" s="135">
        <v>0.02</v>
      </c>
      <c r="B18848" s="2736" t="s">
        <v>4550</v>
      </c>
      <c r="C18848" s="2741">
        <v>446.55</v>
      </c>
      <c r="D18848" s="2739">
        <f>VLOOKUP(H18848,indexy!$C$44:$D$823,2,FALSE)</f>
        <v>486.3</v>
      </c>
      <c r="E18848" s="1463">
        <f t="shared" si="344"/>
        <v>8.9015787705744032E-2</v>
      </c>
      <c r="F18848" s="1494">
        <f>E18848*A18848</f>
        <v>1.7803157541148808E-3</v>
      </c>
      <c r="G18848" s="415"/>
      <c r="H18848" s="415" t="str">
        <f>VLOOKUP(B18848,indexy!$A$44:$D$823,3,FALSE)</f>
        <v>ZURN SE Equity</v>
      </c>
      <c r="J18848" s="434"/>
    </row>
    <row r="18849" spans="1:8" ht="12.75" hidden="1" customHeight="1" outlineLevel="1" x14ac:dyDescent="0.25">
      <c r="A18849" s="1475" t="s">
        <v>2734</v>
      </c>
      <c r="B18849" s="150"/>
      <c r="C18849" s="1477">
        <v>100</v>
      </c>
      <c r="D18849" s="1477"/>
      <c r="E18849" s="1599"/>
      <c r="F18849" s="1599">
        <f>SUM(F18819:F18848)</f>
        <v>4.9959836681744613E-2</v>
      </c>
      <c r="G18849" s="415"/>
      <c r="H18849" s="415"/>
    </row>
    <row r="18850" spans="1:8" ht="12.75" hidden="1" customHeight="1" outlineLevel="1" x14ac:dyDescent="0.25">
      <c r="A18850" s="221"/>
      <c r="B18850" s="1478">
        <v>46235</v>
      </c>
      <c r="C18850" s="1497">
        <v>100</v>
      </c>
      <c r="D18850" s="1497"/>
      <c r="E18850" s="1498">
        <f>IF(D18850="",$F$18849,D18850/C18850-1)</f>
        <v>4.9959836681744613E-2</v>
      </c>
      <c r="F18850" s="1499"/>
      <c r="G18850" s="415"/>
      <c r="H18850" s="415"/>
    </row>
    <row r="18851" spans="1:8" ht="12.75" hidden="1" customHeight="1" outlineLevel="1" x14ac:dyDescent="0.25">
      <c r="A18851" s="221"/>
      <c r="B18851" s="1478">
        <v>46266</v>
      </c>
      <c r="C18851" s="1497">
        <v>100</v>
      </c>
      <c r="D18851" s="1500"/>
      <c r="E18851" s="1498">
        <f t="shared" ref="E18851:E18867" si="345">IF(D18851="",$F$18849,D18851/C18851-1)</f>
        <v>4.9959836681744613E-2</v>
      </c>
      <c r="F18851" s="1499"/>
      <c r="G18851" s="415"/>
      <c r="H18851" s="415"/>
    </row>
    <row r="18852" spans="1:8" ht="12.75" hidden="1" customHeight="1" outlineLevel="1" x14ac:dyDescent="0.25">
      <c r="A18852" s="221"/>
      <c r="B18852" s="1478">
        <v>46296</v>
      </c>
      <c r="C18852" s="1497">
        <v>100</v>
      </c>
      <c r="D18852" s="1500"/>
      <c r="E18852" s="1498">
        <f t="shared" si="345"/>
        <v>4.9959836681744613E-2</v>
      </c>
      <c r="F18852" s="1499"/>
      <c r="G18852" s="415"/>
      <c r="H18852" s="415"/>
    </row>
    <row r="18853" spans="1:8" ht="12.75" hidden="1" customHeight="1" outlineLevel="1" x14ac:dyDescent="0.25">
      <c r="A18853" s="221"/>
      <c r="B18853" s="1478">
        <v>46327</v>
      </c>
      <c r="C18853" s="1497">
        <v>100</v>
      </c>
      <c r="D18853" s="1500"/>
      <c r="E18853" s="1498">
        <f t="shared" si="345"/>
        <v>4.9959836681744613E-2</v>
      </c>
      <c r="F18853" s="1499"/>
      <c r="G18853" s="415"/>
      <c r="H18853" s="415"/>
    </row>
    <row r="18854" spans="1:8" ht="12.75" hidden="1" customHeight="1" outlineLevel="1" x14ac:dyDescent="0.25">
      <c r="A18854" s="221"/>
      <c r="B18854" s="1478">
        <v>46357</v>
      </c>
      <c r="C18854" s="1497">
        <v>100</v>
      </c>
      <c r="D18854" s="1500"/>
      <c r="E18854" s="1498">
        <f t="shared" si="345"/>
        <v>4.9959836681744613E-2</v>
      </c>
      <c r="F18854" s="1499"/>
      <c r="G18854" s="415"/>
      <c r="H18854" s="415"/>
    </row>
    <row r="18855" spans="1:8" ht="12.75" hidden="1" customHeight="1" outlineLevel="1" x14ac:dyDescent="0.25">
      <c r="A18855" s="221"/>
      <c r="B18855" s="1478">
        <v>46388</v>
      </c>
      <c r="C18855" s="1497">
        <v>100</v>
      </c>
      <c r="D18855" s="1500"/>
      <c r="E18855" s="1498">
        <f t="shared" si="345"/>
        <v>4.9959836681744613E-2</v>
      </c>
      <c r="F18855" s="1499"/>
      <c r="G18855" s="415"/>
      <c r="H18855" s="415"/>
    </row>
    <row r="18856" spans="1:8" ht="12.75" hidden="1" customHeight="1" outlineLevel="1" x14ac:dyDescent="0.25">
      <c r="A18856" s="221"/>
      <c r="B18856" s="1478">
        <v>46419</v>
      </c>
      <c r="C18856" s="1497">
        <v>100</v>
      </c>
      <c r="D18856" s="1500"/>
      <c r="E18856" s="1498">
        <f t="shared" si="345"/>
        <v>4.9959836681744613E-2</v>
      </c>
      <c r="F18856" s="1499"/>
      <c r="G18856" s="415"/>
      <c r="H18856" s="415"/>
    </row>
    <row r="18857" spans="1:8" ht="12.75" hidden="1" customHeight="1" outlineLevel="1" x14ac:dyDescent="0.25">
      <c r="A18857" s="221"/>
      <c r="B18857" s="1478">
        <v>46447</v>
      </c>
      <c r="C18857" s="1497">
        <v>100</v>
      </c>
      <c r="D18857" s="1500"/>
      <c r="E18857" s="1498">
        <f t="shared" si="345"/>
        <v>4.9959836681744613E-2</v>
      </c>
      <c r="F18857" s="1499"/>
      <c r="G18857" s="415"/>
      <c r="H18857" s="415"/>
    </row>
    <row r="18858" spans="1:8" ht="12.75" hidden="1" customHeight="1" outlineLevel="1" x14ac:dyDescent="0.25">
      <c r="A18858" s="221"/>
      <c r="B18858" s="1478">
        <v>46478</v>
      </c>
      <c r="C18858" s="1497">
        <v>100</v>
      </c>
      <c r="D18858" s="1500"/>
      <c r="E18858" s="1498">
        <f t="shared" si="345"/>
        <v>4.9959836681744613E-2</v>
      </c>
      <c r="F18858" s="1499"/>
      <c r="G18858" s="415"/>
      <c r="H18858" s="415"/>
    </row>
    <row r="18859" spans="1:8" ht="12.75" hidden="1" customHeight="1" outlineLevel="1" x14ac:dyDescent="0.25">
      <c r="A18859" s="221"/>
      <c r="B18859" s="1478">
        <v>46508</v>
      </c>
      <c r="C18859" s="1497">
        <v>100</v>
      </c>
      <c r="D18859" s="1500"/>
      <c r="E18859" s="1498">
        <f t="shared" si="345"/>
        <v>4.9959836681744613E-2</v>
      </c>
      <c r="F18859" s="1499"/>
      <c r="G18859" s="415"/>
      <c r="H18859" s="415"/>
    </row>
    <row r="18860" spans="1:8" ht="12.75" hidden="1" customHeight="1" outlineLevel="1" x14ac:dyDescent="0.25">
      <c r="A18860" s="221"/>
      <c r="B18860" s="1478">
        <v>46539</v>
      </c>
      <c r="C18860" s="1497">
        <v>100</v>
      </c>
      <c r="D18860" s="1500"/>
      <c r="E18860" s="1498">
        <f t="shared" si="345"/>
        <v>4.9959836681744613E-2</v>
      </c>
      <c r="F18860" s="1499"/>
      <c r="G18860" s="415"/>
      <c r="H18860" s="415"/>
    </row>
    <row r="18861" spans="1:8" ht="12.75" hidden="1" customHeight="1" outlineLevel="1" x14ac:dyDescent="0.25">
      <c r="A18861" s="221"/>
      <c r="B18861" s="1478">
        <v>46569</v>
      </c>
      <c r="C18861" s="1497">
        <v>100</v>
      </c>
      <c r="D18861" s="1500"/>
      <c r="E18861" s="1498">
        <f t="shared" si="345"/>
        <v>4.9959836681744613E-2</v>
      </c>
      <c r="F18861" s="1499"/>
      <c r="G18861" s="415"/>
      <c r="H18861" s="415"/>
    </row>
    <row r="18862" spans="1:8" ht="12.75" hidden="1" customHeight="1" outlineLevel="1" x14ac:dyDescent="0.25">
      <c r="A18862" s="221"/>
      <c r="B18862" s="1478">
        <v>46600</v>
      </c>
      <c r="C18862" s="1497">
        <v>100</v>
      </c>
      <c r="D18862" s="1500"/>
      <c r="E18862" s="1498">
        <f t="shared" si="345"/>
        <v>4.9959836681744613E-2</v>
      </c>
      <c r="F18862" s="1499"/>
      <c r="G18862" s="415"/>
      <c r="H18862" s="415"/>
    </row>
    <row r="18863" spans="1:8" ht="12.75" hidden="1" customHeight="1" outlineLevel="1" x14ac:dyDescent="0.25">
      <c r="A18863" s="221"/>
      <c r="B18863" s="1478">
        <v>46631</v>
      </c>
      <c r="C18863" s="1497">
        <v>100</v>
      </c>
      <c r="D18863" s="1500"/>
      <c r="E18863" s="1498">
        <f t="shared" si="345"/>
        <v>4.9959836681744613E-2</v>
      </c>
      <c r="F18863" s="1499"/>
      <c r="G18863" s="415"/>
      <c r="H18863" s="415"/>
    </row>
    <row r="18864" spans="1:8" ht="12.75" hidden="1" customHeight="1" outlineLevel="1" x14ac:dyDescent="0.25">
      <c r="A18864" s="221"/>
      <c r="B18864" s="1478">
        <v>46661</v>
      </c>
      <c r="C18864" s="1497">
        <v>100</v>
      </c>
      <c r="D18864" s="1500"/>
      <c r="E18864" s="1498">
        <f t="shared" si="345"/>
        <v>4.9959836681744613E-2</v>
      </c>
      <c r="F18864" s="1499"/>
      <c r="G18864" s="415"/>
      <c r="H18864" s="415"/>
    </row>
    <row r="18865" spans="1:9" ht="12.75" hidden="1" customHeight="1" outlineLevel="1" x14ac:dyDescent="0.25">
      <c r="A18865" s="221"/>
      <c r="B18865" s="1478">
        <v>46692</v>
      </c>
      <c r="C18865" s="1497">
        <v>100</v>
      </c>
      <c r="D18865" s="1500"/>
      <c r="E18865" s="1498">
        <f t="shared" si="345"/>
        <v>4.9959836681744613E-2</v>
      </c>
      <c r="F18865" s="1499"/>
      <c r="G18865" s="415"/>
      <c r="H18865" s="415"/>
    </row>
    <row r="18866" spans="1:9" ht="12.75" hidden="1" customHeight="1" outlineLevel="1" x14ac:dyDescent="0.25">
      <c r="A18866" s="221"/>
      <c r="B18866" s="1478">
        <v>46722</v>
      </c>
      <c r="C18866" s="1497">
        <v>100</v>
      </c>
      <c r="D18866" s="1500"/>
      <c r="E18866" s="1498">
        <f t="shared" si="345"/>
        <v>4.9959836681744613E-2</v>
      </c>
      <c r="F18866" s="1499"/>
      <c r="G18866" s="415"/>
      <c r="H18866" s="415"/>
    </row>
    <row r="18867" spans="1:9" ht="12.75" hidden="1" customHeight="1" outlineLevel="1" x14ac:dyDescent="0.25">
      <c r="A18867" s="221"/>
      <c r="B18867" s="1478">
        <v>46753</v>
      </c>
      <c r="C18867" s="1497">
        <v>100</v>
      </c>
      <c r="D18867" s="1500"/>
      <c r="E18867" s="1498">
        <f t="shared" si="345"/>
        <v>4.9959836681744613E-2</v>
      </c>
      <c r="F18867" s="1499"/>
      <c r="G18867" s="415"/>
      <c r="H18867" s="415"/>
    </row>
    <row r="18868" spans="1:9" s="444" customFormat="1" ht="12.75" hidden="1" customHeight="1" outlineLevel="1" x14ac:dyDescent="0.25">
      <c r="A18868" s="1483" t="s">
        <v>2734</v>
      </c>
      <c r="B18868" s="1484"/>
      <c r="C18868" s="1500"/>
      <c r="D18868" s="1485" t="s">
        <v>2465</v>
      </c>
      <c r="E18868" s="1486">
        <f>AVERAGE(E18850:E18867)</f>
        <v>4.9959836681744627E-2</v>
      </c>
      <c r="F18868" s="1487">
        <f>+(((E18868*100)+100)-I18819)/100</f>
        <v>0.19111383668174453</v>
      </c>
    </row>
    <row r="18869" spans="1:9" collapsed="1" x14ac:dyDescent="0.25">
      <c r="A18869" s="3799" t="s">
        <v>10709</v>
      </c>
      <c r="B18869" s="3800"/>
      <c r="C18869" s="3800"/>
      <c r="D18869" s="3800"/>
      <c r="E18869" s="18"/>
      <c r="F18869" s="18">
        <f>MIN(MAX(0,+F18868),100%)</f>
        <v>0.19111383668174453</v>
      </c>
      <c r="G18869" s="415"/>
    </row>
    <row r="18871" spans="1:9" hidden="1" outlineLevel="1" x14ac:dyDescent="0.25">
      <c r="A18871" s="67" t="s">
        <v>113</v>
      </c>
      <c r="B18871" s="15" t="s">
        <v>114</v>
      </c>
      <c r="C18871" s="15" t="s">
        <v>112</v>
      </c>
      <c r="D18871" s="15" t="s">
        <v>4155</v>
      </c>
      <c r="E18871" s="15" t="s">
        <v>116</v>
      </c>
      <c r="F18871" s="1882" t="s">
        <v>121</v>
      </c>
      <c r="G18871" s="78"/>
      <c r="H18871" s="3552" t="s">
        <v>5391</v>
      </c>
      <c r="I18871" s="3553" t="s">
        <v>5392</v>
      </c>
    </row>
    <row r="18872" spans="1:9" hidden="1" outlineLevel="1" x14ac:dyDescent="0.25">
      <c r="A18872" s="2126">
        <v>1</v>
      </c>
      <c r="B18872" s="2122" t="s">
        <v>2153</v>
      </c>
      <c r="C18872" s="2239">
        <v>3761.44</v>
      </c>
      <c r="D18872" s="3912">
        <f>VLOOKUP(B18872,indexy!A:D,2,0)</f>
        <v>5083.42</v>
      </c>
      <c r="E18872" s="2244"/>
      <c r="F18872" s="2245">
        <f>IF(H18872="","",IF(H18872&lt;0%,H18872,I18872))</f>
        <v>0.27</v>
      </c>
      <c r="G18872" s="78"/>
      <c r="H18872" s="3554">
        <f>IF(C18872="","",IF(E18872="",$D$18872/C18872-1,E18872/C18872-1))</f>
        <v>0.35145582542855935</v>
      </c>
      <c r="I18872" s="3555">
        <v>0.27</v>
      </c>
    </row>
    <row r="18873" spans="1:9" hidden="1" outlineLevel="1" x14ac:dyDescent="0.25">
      <c r="A18873" s="2126">
        <v>2</v>
      </c>
      <c r="B18873" s="2122" t="s">
        <v>2153</v>
      </c>
      <c r="C18873" s="2240" t="str">
        <f>IF(E18872="","",C18872)</f>
        <v/>
      </c>
      <c r="D18873" s="3913"/>
      <c r="E18873" s="2246"/>
      <c r="F18873" s="2247" t="str">
        <f>IF(F18872&gt;0%,"",IF(H18873="","",IF(H18873&lt;0%,H18873,I18873)))</f>
        <v/>
      </c>
      <c r="G18873" s="78"/>
      <c r="H18873" s="3554" t="str">
        <f>IF(C18873="","",IF(E18873="",$D$18872/C18873-1,E18873/C18873-1))</f>
        <v/>
      </c>
      <c r="I18873" s="3555">
        <f>9*4%</f>
        <v>0.36</v>
      </c>
    </row>
    <row r="18874" spans="1:9" hidden="1" outlineLevel="1" x14ac:dyDescent="0.25">
      <c r="A18874" s="2126">
        <v>3</v>
      </c>
      <c r="B18874" s="2122" t="s">
        <v>2153</v>
      </c>
      <c r="C18874" s="2240" t="str">
        <f>IF(E18873="","",C18873)</f>
        <v/>
      </c>
      <c r="D18874" s="3913"/>
      <c r="E18874" s="2246"/>
      <c r="F18874" s="2247" t="str">
        <f>IF(F18873&gt;0%,"",IF(H18874="","",IF(H18874&lt;0%,H18874,I18874)))</f>
        <v/>
      </c>
      <c r="G18874" s="78"/>
      <c r="H18874" s="3554" t="str">
        <f>IF(C18874="","",IF(E18874="",$D$18872/C18874-1,E18874/C18874-1))</f>
        <v/>
      </c>
      <c r="I18874" s="3555">
        <f>9*5%</f>
        <v>0.45</v>
      </c>
    </row>
    <row r="18875" spans="1:9" hidden="1" outlineLevel="1" x14ac:dyDescent="0.25">
      <c r="A18875" s="2126">
        <v>4</v>
      </c>
      <c r="B18875" s="2122" t="s">
        <v>2153</v>
      </c>
      <c r="C18875" s="2240" t="str">
        <f>IF(E18874="","",C18874)</f>
        <v/>
      </c>
      <c r="D18875" s="3913"/>
      <c r="E18875" s="2246"/>
      <c r="F18875" s="2247" t="str">
        <f>IF(F18874&gt;0%,"",IF(H18875="","",IF(H18875&lt;0%,H18875,I18875)))</f>
        <v/>
      </c>
      <c r="G18875" s="78"/>
      <c r="H18875" s="3556" t="str">
        <f>IF(C18875="","",IF(E18875="",$D$18872/C18875-1,E18875/C18875-1))</f>
        <v/>
      </c>
      <c r="I18875" s="3557">
        <f>9*6%</f>
        <v>0.54</v>
      </c>
    </row>
    <row r="18876" spans="1:9" hidden="1" outlineLevel="1" x14ac:dyDescent="0.25">
      <c r="A18876" s="2126">
        <v>5</v>
      </c>
      <c r="B18876" s="2122" t="s">
        <v>2153</v>
      </c>
      <c r="C18876" s="2241" t="str">
        <f>IF(E18875="","",C18875)</f>
        <v/>
      </c>
      <c r="D18876" s="3914"/>
      <c r="E18876" s="2246"/>
      <c r="F18876" s="2248" t="str">
        <f>IF(F18875&gt;0%,"",IF(H18876="","",IF(H18876&lt;0%,H18876,I18876)))</f>
        <v/>
      </c>
      <c r="G18876" s="78"/>
      <c r="H18876" s="37">
        <f>IF(H18875="",IF(H18874="",IF(H18873="",IF(H18872="",H18871,H18872),H18873),H18874),H18875)</f>
        <v>0.35145582542855935</v>
      </c>
    </row>
    <row r="18877" spans="1:9" hidden="1" outlineLevel="1" x14ac:dyDescent="0.25">
      <c r="A18877" s="2242" t="s">
        <v>2734</v>
      </c>
      <c r="B18877" s="2122"/>
      <c r="C18877" s="2243"/>
      <c r="D18877" s="2249"/>
      <c r="E18877" s="2250"/>
      <c r="F18877" s="2251">
        <f>IF(F18876="",IF(F18875="",IF(F18874="",IF(F18873="",F18872,F18873),F18874),F18875),F18876)</f>
        <v>0.27</v>
      </c>
      <c r="G18877" s="78"/>
      <c r="H18877" s="74"/>
    </row>
    <row r="18878" spans="1:9" collapsed="1" x14ac:dyDescent="0.25">
      <c r="A18878" s="3799" t="s">
        <v>10726</v>
      </c>
      <c r="B18878" s="3800"/>
      <c r="C18878" s="3800"/>
      <c r="D18878" s="3800"/>
      <c r="E18878" s="18"/>
      <c r="F18878" s="186">
        <f>IF(F18877&lt;-40%,F18877,IF(F18877&lt;0%,0%,F18877))</f>
        <v>0.27</v>
      </c>
      <c r="G18878" s="78"/>
      <c r="H18878" s="74"/>
    </row>
    <row r="18880" spans="1:9" hidden="1" outlineLevel="1" x14ac:dyDescent="0.25">
      <c r="A18880" s="67" t="s">
        <v>113</v>
      </c>
      <c r="B18880" s="15" t="s">
        <v>114</v>
      </c>
      <c r="C18880" s="15" t="s">
        <v>112</v>
      </c>
      <c r="D18880" s="15" t="s">
        <v>4155</v>
      </c>
      <c r="E18880" s="15" t="s">
        <v>116</v>
      </c>
      <c r="F18880" s="1882" t="s">
        <v>121</v>
      </c>
      <c r="G18880" s="78"/>
      <c r="H18880" s="3552" t="s">
        <v>5391</v>
      </c>
      <c r="I18880" s="3553" t="s">
        <v>5392</v>
      </c>
    </row>
    <row r="18881" spans="1:9" hidden="1" outlineLevel="1" x14ac:dyDescent="0.25">
      <c r="A18881" s="2126">
        <v>1</v>
      </c>
      <c r="B18881" s="2122" t="s">
        <v>2153</v>
      </c>
      <c r="C18881" s="2239">
        <v>3887.34</v>
      </c>
      <c r="D18881" s="3912">
        <f>VLOOKUP(B18881,indexy!A:D,2,0)</f>
        <v>5083.42</v>
      </c>
      <c r="E18881" s="2244"/>
      <c r="F18881" s="2245">
        <f>IF(H18881="","",IF(H18881&lt;0%,H18881,I18881))</f>
        <v>0.3</v>
      </c>
      <c r="G18881" s="78"/>
      <c r="H18881" s="3554">
        <f>IF(C18881="","",IF(E18881="",$D$18881/C18881-1,E18881/C18881-1))</f>
        <v>0.30768597549995613</v>
      </c>
      <c r="I18881" s="3555">
        <v>0.3</v>
      </c>
    </row>
    <row r="18882" spans="1:9" hidden="1" outlineLevel="1" x14ac:dyDescent="0.25">
      <c r="A18882" s="2126">
        <v>2</v>
      </c>
      <c r="B18882" s="2122" t="s">
        <v>2153</v>
      </c>
      <c r="C18882" s="2240" t="str">
        <f>IF(E18881="","",C18881)</f>
        <v/>
      </c>
      <c r="D18882" s="3913"/>
      <c r="E18882" s="2246"/>
      <c r="F18882" s="2247" t="str">
        <f>IF(F18881&gt;0%,"",IF(H18882="","",IF(H18882&lt;0%,H18882,I18882)))</f>
        <v/>
      </c>
      <c r="G18882" s="78"/>
      <c r="H18882" s="3554" t="str">
        <f>IF(C18882="","",IF(E18882="",$D$18881/C18882-1,E18882/C18882-1))</f>
        <v/>
      </c>
      <c r="I18882" s="3555">
        <v>0.4</v>
      </c>
    </row>
    <row r="18883" spans="1:9" hidden="1" outlineLevel="1" x14ac:dyDescent="0.25">
      <c r="A18883" s="2126">
        <v>3</v>
      </c>
      <c r="B18883" s="2122" t="s">
        <v>2153</v>
      </c>
      <c r="C18883" s="2240" t="str">
        <f>IF(E18882="","",C18882)</f>
        <v/>
      </c>
      <c r="D18883" s="3913"/>
      <c r="E18883" s="2246"/>
      <c r="F18883" s="2247" t="str">
        <f>IF(F18882&gt;0%,"",IF(H18883="","",IF(H18883&lt;0%,H18883,I18883)))</f>
        <v/>
      </c>
      <c r="G18883" s="78"/>
      <c r="H18883" s="3554" t="str">
        <f>IF(C18883="","",IF(E18883="",$D$18881/C18883-1,E18883/C18883-1))</f>
        <v/>
      </c>
      <c r="I18883" s="3555">
        <v>0.5</v>
      </c>
    </row>
    <row r="18884" spans="1:9" hidden="1" outlineLevel="1" x14ac:dyDescent="0.25">
      <c r="A18884" s="2126">
        <v>4</v>
      </c>
      <c r="B18884" s="2122" t="s">
        <v>2153</v>
      </c>
      <c r="C18884" s="2240" t="str">
        <f>IF(E18883="","",C18883)</f>
        <v/>
      </c>
      <c r="D18884" s="3913"/>
      <c r="E18884" s="2246"/>
      <c r="F18884" s="2247" t="str">
        <f>IF(F18883&gt;0%,"",IF(H18884="","",IF(H18884&lt;0%,H18884,I18884)))</f>
        <v/>
      </c>
      <c r="G18884" s="78"/>
      <c r="H18884" s="3554" t="str">
        <f>IF(C18884="","",IF(E18884="",$D$18881/C18884-1,E18884/C18884-1))</f>
        <v/>
      </c>
      <c r="I18884" s="3557">
        <v>0.6</v>
      </c>
    </row>
    <row r="18885" spans="1:9" hidden="1" outlineLevel="1" x14ac:dyDescent="0.25">
      <c r="A18885" s="2126">
        <v>5</v>
      </c>
      <c r="B18885" s="2122" t="s">
        <v>2153</v>
      </c>
      <c r="C18885" s="2241" t="str">
        <f>IF(E18884="","",C18884)</f>
        <v/>
      </c>
      <c r="D18885" s="3914"/>
      <c r="E18885" s="2246"/>
      <c r="F18885" s="2248" t="str">
        <f>IF(F18884&gt;0%,"",IF(H18885="","",IF(H18885&lt;0%,H18885,I18885)))</f>
        <v/>
      </c>
      <c r="G18885" s="78"/>
      <c r="H18885" s="37">
        <f>IF(H18884="",IF(H18883="",IF(H18882="",IF(H18881="",H18880,H18881),H18882),H18883),H18884)</f>
        <v>0.30768597549995613</v>
      </c>
    </row>
    <row r="18886" spans="1:9" hidden="1" outlineLevel="1" x14ac:dyDescent="0.25">
      <c r="A18886" s="2242" t="s">
        <v>2734</v>
      </c>
      <c r="B18886" s="2122"/>
      <c r="C18886" s="2243"/>
      <c r="D18886" s="2249"/>
      <c r="E18886" s="2250"/>
      <c r="F18886" s="2251">
        <f>IF(F18885="",IF(F18884="",IF(F18883="",IF(F18882="",F18881,F18882),F18883),F18884),F18885)</f>
        <v>0.3</v>
      </c>
      <c r="G18886" s="78"/>
      <c r="H18886" s="74"/>
    </row>
    <row r="18887" spans="1:9" collapsed="1" x14ac:dyDescent="0.25">
      <c r="A18887" s="3799" t="s">
        <v>10748</v>
      </c>
      <c r="B18887" s="3800"/>
      <c r="C18887" s="3800"/>
      <c r="D18887" s="3800"/>
      <c r="E18887" s="18"/>
      <c r="F18887" s="186">
        <f>IF(F18886&lt;-40%,F18886,IF(F18886&lt;0%,0%,F18886))</f>
        <v>0.3</v>
      </c>
      <c r="G18887" s="78"/>
      <c r="H18887" s="74"/>
    </row>
    <row r="18889" spans="1:9" hidden="1" outlineLevel="1" x14ac:dyDescent="0.25">
      <c r="A18889" s="67" t="s">
        <v>113</v>
      </c>
      <c r="B18889" s="15" t="s">
        <v>114</v>
      </c>
      <c r="C18889" s="15" t="s">
        <v>112</v>
      </c>
      <c r="D18889" s="15" t="s">
        <v>4155</v>
      </c>
      <c r="E18889" s="15" t="s">
        <v>116</v>
      </c>
      <c r="F18889" s="1882" t="s">
        <v>121</v>
      </c>
      <c r="G18889" s="78"/>
      <c r="H18889" s="3552" t="s">
        <v>5391</v>
      </c>
      <c r="I18889" s="3553" t="s">
        <v>5392</v>
      </c>
    </row>
    <row r="18890" spans="1:9" hidden="1" outlineLevel="1" x14ac:dyDescent="0.25">
      <c r="A18890" s="2126">
        <v>1</v>
      </c>
      <c r="B18890" s="2122" t="s">
        <v>2153</v>
      </c>
      <c r="C18890" s="2239">
        <v>4159.8019999999997</v>
      </c>
      <c r="D18890" s="3912">
        <f>VLOOKUP(B18890,indexy!A:D,2,0)</f>
        <v>5083.42</v>
      </c>
      <c r="E18890" s="2244"/>
      <c r="F18890" s="2245">
        <f>IF(H18890="","",IF(H18890&lt;0%,H18890,I18890))</f>
        <v>0.33</v>
      </c>
      <c r="G18890" s="78"/>
      <c r="H18890" s="3554">
        <f>IF(C18890="","",IF(E18890="",$D$18890/C18890-1,E18890/C18890-1))</f>
        <v>0.22203412566271186</v>
      </c>
      <c r="I18890" s="3555">
        <v>0.33</v>
      </c>
    </row>
    <row r="18891" spans="1:9" hidden="1" outlineLevel="1" x14ac:dyDescent="0.25">
      <c r="A18891" s="2126">
        <v>2</v>
      </c>
      <c r="B18891" s="2122" t="s">
        <v>2153</v>
      </c>
      <c r="C18891" s="2240" t="str">
        <f>IF(E18890="","",C18890)</f>
        <v/>
      </c>
      <c r="D18891" s="3913"/>
      <c r="E18891" s="2246"/>
      <c r="F18891" s="2247" t="str">
        <f>IF(F18890&gt;0%,"",IF(H18891="","",IF(H18891&lt;0%,H18891,I18891)))</f>
        <v/>
      </c>
      <c r="G18891" s="78"/>
      <c r="H18891" s="3554" t="str">
        <f>IF(C18891="","",IF(E18891="",$D$18890/C18891-1,E18891/C18891-1))</f>
        <v/>
      </c>
      <c r="I18891" s="3555">
        <v>0.44</v>
      </c>
    </row>
    <row r="18892" spans="1:9" hidden="1" outlineLevel="1" x14ac:dyDescent="0.25">
      <c r="A18892" s="2126">
        <v>3</v>
      </c>
      <c r="B18892" s="2122" t="s">
        <v>2153</v>
      </c>
      <c r="C18892" s="2240" t="str">
        <f>IF(E18891="","",C18891)</f>
        <v/>
      </c>
      <c r="D18892" s="3913"/>
      <c r="E18892" s="2246"/>
      <c r="F18892" s="2247" t="str">
        <f>IF(F18891&gt;0%,"",IF(H18892="","",IF(H18892&lt;0%,H18892,I18892)))</f>
        <v/>
      </c>
      <c r="G18892" s="78"/>
      <c r="H18892" s="3554" t="str">
        <f>IF(C18892="","",IF(E18892="",$D$18890/C18892-1,E18892/C18892-1))</f>
        <v/>
      </c>
      <c r="I18892" s="3555">
        <v>0.55000000000000004</v>
      </c>
    </row>
    <row r="18893" spans="1:9" hidden="1" outlineLevel="1" x14ac:dyDescent="0.25">
      <c r="A18893" s="2126">
        <v>4</v>
      </c>
      <c r="B18893" s="2122" t="s">
        <v>2153</v>
      </c>
      <c r="C18893" s="2240" t="str">
        <f>IF(E18892="","",C18892)</f>
        <v/>
      </c>
      <c r="D18893" s="3913"/>
      <c r="E18893" s="2246"/>
      <c r="F18893" s="2247" t="str">
        <f>IF(F18892&gt;0%,"",IF(H18893="","",IF(H18893&lt;0%,H18893,I18893)))</f>
        <v/>
      </c>
      <c r="G18893" s="78"/>
      <c r="H18893" s="3554" t="str">
        <f>IF(C18893="","",IF(E18893="",$D$18890/C18893-1,E18893/C18893-1))</f>
        <v/>
      </c>
      <c r="I18893" s="3557">
        <v>0.66</v>
      </c>
    </row>
    <row r="18894" spans="1:9" hidden="1" outlineLevel="1" x14ac:dyDescent="0.25">
      <c r="A18894" s="2126">
        <v>5</v>
      </c>
      <c r="B18894" s="2122" t="s">
        <v>2153</v>
      </c>
      <c r="C18894" s="2241" t="str">
        <f>IF(E18893="","",C18893)</f>
        <v/>
      </c>
      <c r="D18894" s="3914"/>
      <c r="E18894" s="2246"/>
      <c r="F18894" s="2248" t="str">
        <f>IF(F18893&gt;0%,"",IF(H18894="","",IF(H18894&lt;0%,H18894,I18894)))</f>
        <v/>
      </c>
      <c r="G18894" s="78"/>
      <c r="H18894" s="37">
        <f>IF(H18893="",IF(H18892="",IF(H18891="",IF(H18890="",H18889,H18890),H18891),H18892),H18893)</f>
        <v>0.22203412566271186</v>
      </c>
    </row>
    <row r="18895" spans="1:9" hidden="1" outlineLevel="1" x14ac:dyDescent="0.25">
      <c r="A18895" s="2242" t="s">
        <v>2734</v>
      </c>
      <c r="B18895" s="2122"/>
      <c r="C18895" s="2243"/>
      <c r="D18895" s="2249"/>
      <c r="E18895" s="2250"/>
      <c r="F18895" s="2251">
        <f>IF(F18894="",IF(F18893="",IF(F18892="",IF(F18891="",F18890,F18891),F18892),F18893),F18894)</f>
        <v>0.33</v>
      </c>
      <c r="G18895" s="78"/>
      <c r="H18895" s="74"/>
    </row>
    <row r="18896" spans="1:9" collapsed="1" x14ac:dyDescent="0.25">
      <c r="A18896" s="3799" t="s">
        <v>10760</v>
      </c>
      <c r="B18896" s="3800"/>
      <c r="C18896" s="3800"/>
      <c r="D18896" s="3800"/>
      <c r="E18896" s="18"/>
      <c r="F18896" s="186">
        <f>IF(F18895&lt;-40%,F18895,IF(F18895&lt;0%,0%,F18895))</f>
        <v>0.33</v>
      </c>
      <c r="G18896" s="78"/>
      <c r="H18896" s="74"/>
    </row>
    <row r="18898" spans="1:9" hidden="1" outlineLevel="1" x14ac:dyDescent="0.25">
      <c r="A18898" s="67" t="s">
        <v>113</v>
      </c>
      <c r="B18898" s="15" t="s">
        <v>114</v>
      </c>
      <c r="C18898" s="15" t="s">
        <v>112</v>
      </c>
      <c r="D18898" s="15" t="s">
        <v>4155</v>
      </c>
      <c r="E18898" s="15" t="s">
        <v>116</v>
      </c>
      <c r="F18898" s="1882" t="s">
        <v>121</v>
      </c>
      <c r="G18898" s="78"/>
      <c r="H18898" s="3552" t="s">
        <v>5391</v>
      </c>
      <c r="I18898" s="3553" t="s">
        <v>5392</v>
      </c>
    </row>
    <row r="18899" spans="1:9" hidden="1" outlineLevel="1" x14ac:dyDescent="0.25">
      <c r="A18899" s="2126">
        <v>1</v>
      </c>
      <c r="B18899" s="2122" t="s">
        <v>2153</v>
      </c>
      <c r="C18899" s="2240">
        <v>4341.57</v>
      </c>
      <c r="D18899" s="3912">
        <f>VLOOKUP(B18899,indexy!A:D,2,0)</f>
        <v>5083.42</v>
      </c>
      <c r="E18899" s="2244"/>
      <c r="F18899" s="2245">
        <f>IF(H18899="","",IF(H18899&lt;0%,H18899,I18899))</f>
        <v>0.27</v>
      </c>
      <c r="G18899" s="78"/>
      <c r="H18899" s="3554">
        <f>IF(C18899="","",IF(E18899="",$D$18899/C18899-1,E18899/C18899-1))</f>
        <v>0.17087136680970261</v>
      </c>
      <c r="I18899" s="3555">
        <v>0.27</v>
      </c>
    </row>
    <row r="18900" spans="1:9" hidden="1" outlineLevel="1" x14ac:dyDescent="0.25">
      <c r="A18900" s="2126">
        <v>2</v>
      </c>
      <c r="B18900" s="2122" t="s">
        <v>2153</v>
      </c>
      <c r="C18900" s="2240" t="str">
        <f>IF(E18899="","",C18899)</f>
        <v/>
      </c>
      <c r="D18900" s="3913"/>
      <c r="E18900" s="2246"/>
      <c r="F18900" s="2247" t="str">
        <f>IF(F18899&gt;0%,"",IF(H18900="","",IF(H18900&lt;0%,H18900,I18900)))</f>
        <v/>
      </c>
      <c r="G18900" s="78"/>
      <c r="H18900" s="3554" t="str">
        <f>IF(C18900="","",IF(E18900="",$D$18899/C18900-1,E18900/C18900-1))</f>
        <v/>
      </c>
      <c r="I18900" s="3555">
        <v>0.36</v>
      </c>
    </row>
    <row r="18901" spans="1:9" hidden="1" outlineLevel="1" x14ac:dyDescent="0.25">
      <c r="A18901" s="2126">
        <v>3</v>
      </c>
      <c r="B18901" s="2122" t="s">
        <v>2153</v>
      </c>
      <c r="C18901" s="2240"/>
      <c r="D18901" s="3913"/>
      <c r="E18901" s="2246"/>
      <c r="F18901" s="2247" t="str">
        <f>IF(F18900&gt;0%,"",IF(H18901="","",IF(H18901&lt;0%,H18901,I18901)))</f>
        <v/>
      </c>
      <c r="G18901" s="78"/>
      <c r="H18901" s="3554" t="str">
        <f>IF(C18901="","",IF(E18901="",$D$18899/C18901-1,E18901/C18901-1))</f>
        <v/>
      </c>
      <c r="I18901" s="3555">
        <v>0.45</v>
      </c>
    </row>
    <row r="18902" spans="1:9" hidden="1" outlineLevel="1" x14ac:dyDescent="0.25">
      <c r="A18902" s="2126">
        <v>4</v>
      </c>
      <c r="B18902" s="2122" t="s">
        <v>2153</v>
      </c>
      <c r="C18902" s="2240" t="str">
        <f>IF(E18901="","",C18901)</f>
        <v/>
      </c>
      <c r="D18902" s="3913"/>
      <c r="E18902" s="2246"/>
      <c r="F18902" s="2247" t="str">
        <f>IF(F18901&gt;0%,"",IF(H18902="","",IF(H18902&lt;0%,H18902,I18902)))</f>
        <v/>
      </c>
      <c r="G18902" s="78"/>
      <c r="H18902" s="3554" t="str">
        <f>IF(C18902="","",IF(E18902="",$D$18899/C18902-1,E18902/C18902-1))</f>
        <v/>
      </c>
      <c r="I18902" s="3557">
        <v>0.54</v>
      </c>
    </row>
    <row r="18903" spans="1:9" hidden="1" outlineLevel="1" x14ac:dyDescent="0.25">
      <c r="A18903" s="2126">
        <v>5</v>
      </c>
      <c r="B18903" s="2122" t="s">
        <v>2153</v>
      </c>
      <c r="C18903" s="2241" t="str">
        <f>IF(E18902="","",C18902)</f>
        <v/>
      </c>
      <c r="D18903" s="3914"/>
      <c r="E18903" s="2246"/>
      <c r="F18903" s="2248" t="str">
        <f>IF(F18902&gt;0%,"",IF(H18903="","",IF(H18903&lt;0%,H18903,I18903)))</f>
        <v/>
      </c>
      <c r="G18903" s="78"/>
      <c r="H18903" s="37">
        <f>IF(H18902="",IF(H18901="",IF(H18900="",IF(H18899="",H18898,H18899),H18900),H18901),H18902)</f>
        <v>0.17087136680970261</v>
      </c>
    </row>
    <row r="18904" spans="1:9" hidden="1" outlineLevel="1" x14ac:dyDescent="0.25">
      <c r="A18904" s="2242" t="s">
        <v>2734</v>
      </c>
      <c r="B18904" s="2122"/>
      <c r="C18904" s="2243"/>
      <c r="D18904" s="2249"/>
      <c r="E18904" s="2250"/>
      <c r="F18904" s="2251">
        <f>IF(F18903="",IF(F18902="",IF(F18901="",IF(F18900="",F18899,F18900),F18901),F18902),F18903)</f>
        <v>0.27</v>
      </c>
      <c r="G18904" s="78"/>
      <c r="H18904" s="74"/>
    </row>
    <row r="18905" spans="1:9" collapsed="1" x14ac:dyDescent="0.25">
      <c r="A18905" s="3799" t="s">
        <v>10774</v>
      </c>
      <c r="B18905" s="3800"/>
      <c r="C18905" s="3800"/>
      <c r="D18905" s="3800"/>
      <c r="E18905" s="18"/>
      <c r="F18905" s="186">
        <f>IF(F18904&lt;-40%,F18904,IF(F18904&lt;0%,0%,F18904))</f>
        <v>0.27</v>
      </c>
      <c r="G18905" s="78"/>
      <c r="H18905" s="74"/>
    </row>
    <row r="18907" spans="1:9" ht="12.75" hidden="1" customHeight="1" outlineLevel="1" x14ac:dyDescent="0.25">
      <c r="A18907" s="15" t="s">
        <v>4156</v>
      </c>
      <c r="B18907" s="15" t="s">
        <v>4153</v>
      </c>
      <c r="C18907" s="15" t="s">
        <v>112</v>
      </c>
      <c r="D18907" s="15" t="s">
        <v>4155</v>
      </c>
      <c r="E18907" s="15" t="s">
        <v>4154</v>
      </c>
      <c r="F18907" s="1882" t="s">
        <v>2519</v>
      </c>
      <c r="G18907" s="78"/>
    </row>
    <row r="18908" spans="1:9" ht="12.75" hidden="1" customHeight="1" outlineLevel="1" x14ac:dyDescent="0.25">
      <c r="A18908" s="134">
        <v>0.02</v>
      </c>
      <c r="B18908" s="3668" t="s">
        <v>7111</v>
      </c>
      <c r="C18908" s="3670">
        <v>136.96600000000001</v>
      </c>
      <c r="D18908" s="2954">
        <f>VLOOKUP($H18908,indexy!$C$44:$D$890,2,FALSE)</f>
        <v>182.1</v>
      </c>
      <c r="E18908" s="1491">
        <f>$D18908/$C18908-1</f>
        <v>0.32952703590672128</v>
      </c>
      <c r="F18908" s="1805">
        <f>$E18908*$A18908</f>
        <v>6.5905407181344258E-3</v>
      </c>
      <c r="G18908" s="78"/>
      <c r="H18908" t="str">
        <f>VLOOKUP(B18908,indexy!$A$44:$D$890,3,FALSE)</f>
        <v>ABBV UN Equity</v>
      </c>
    </row>
    <row r="18909" spans="1:9" ht="12.75" hidden="1" customHeight="1" outlineLevel="1" x14ac:dyDescent="0.25">
      <c r="A18909" s="135">
        <v>0.05</v>
      </c>
      <c r="B18909" s="3668" t="s">
        <v>1384</v>
      </c>
      <c r="C18909" s="2740">
        <v>4.7327000000000004</v>
      </c>
      <c r="D18909" s="2955">
        <f>VLOOKUP($H18909,indexy!$C$44:$D$890,2,FALSE)</f>
        <v>5.65</v>
      </c>
      <c r="E18909" s="1493">
        <f t="shared" ref="E18909:E18937" si="346">$D18909/$C18909-1</f>
        <v>0.19382170853846636</v>
      </c>
      <c r="F18909" s="1313">
        <f t="shared" ref="F18909:F18936" si="347">$E18909*$A18909</f>
        <v>9.6910854269233182E-3</v>
      </c>
      <c r="G18909" s="78"/>
      <c r="H18909" t="str">
        <f>VLOOKUP(B18909,indexy!$A$44:$D$890,3,FALSE)</f>
        <v>AGN NA Equity</v>
      </c>
    </row>
    <row r="18910" spans="1:9" ht="12.75" hidden="1" customHeight="1" outlineLevel="1" x14ac:dyDescent="0.25">
      <c r="A18910" s="135">
        <v>0.02</v>
      </c>
      <c r="B18910" s="3668" t="s">
        <v>8259</v>
      </c>
      <c r="C18910" s="2740">
        <v>228.98699999999999</v>
      </c>
      <c r="D18910" s="2955">
        <f>VLOOKUP($H18910,indexy!$C$44:$D$890,2,FALSE)</f>
        <v>284.32</v>
      </c>
      <c r="E18910" s="1493">
        <f t="shared" si="346"/>
        <v>0.24164253865939989</v>
      </c>
      <c r="F18910" s="1313">
        <f t="shared" si="347"/>
        <v>4.8328507731879976E-3</v>
      </c>
      <c r="G18910" s="78"/>
      <c r="H18910" t="str">
        <f>VLOOKUP(B18910,indexy!$A$44:$D$890,3,FALSE)</f>
        <v>AMGN UW Equity</v>
      </c>
    </row>
    <row r="18911" spans="1:9" ht="12.75" hidden="1" customHeight="1" outlineLevel="1" x14ac:dyDescent="0.25">
      <c r="A18911" s="135">
        <v>0.02</v>
      </c>
      <c r="B18911" s="3668" t="s">
        <v>2942</v>
      </c>
      <c r="C18911" s="2740">
        <v>2044.7</v>
      </c>
      <c r="D18911" s="2955">
        <f>VLOOKUP($H18911,indexy!$C$44:$D$890,2,FALSE)</f>
        <v>1625</v>
      </c>
      <c r="E18911" s="1493">
        <f t="shared" si="346"/>
        <v>-0.20526238568005084</v>
      </c>
      <c r="F18911" s="1313">
        <f t="shared" si="347"/>
        <v>-4.1052477136010171E-3</v>
      </c>
      <c r="G18911" s="78"/>
      <c r="H18911" t="str">
        <f>VLOOKUP(B18911,indexy!$A$44:$D$890,3,FALSE)</f>
        <v>4503 JT Equity</v>
      </c>
    </row>
    <row r="18912" spans="1:9" ht="12.75" hidden="1" customHeight="1" outlineLevel="1" x14ac:dyDescent="0.25">
      <c r="A18912" s="135">
        <v>0.02</v>
      </c>
      <c r="B18912" s="3668" t="s">
        <v>4377</v>
      </c>
      <c r="C18912" s="3671">
        <v>62.613</v>
      </c>
      <c r="D18912" s="2955">
        <f>VLOOKUP($H18912,indexy!$C$44:$D$890,2,FALSE)</f>
        <v>54.23</v>
      </c>
      <c r="E18912" s="1493">
        <f t="shared" si="346"/>
        <v>-0.13388593423091055</v>
      </c>
      <c r="F18912" s="1313">
        <f t="shared" si="347"/>
        <v>-2.677718684618211E-3</v>
      </c>
      <c r="G18912" s="78"/>
      <c r="H18912" t="str">
        <f>VLOOKUP(B18912,indexy!$A$44:$D$890,3,FALSE)</f>
        <v>BMY UN Equity</v>
      </c>
    </row>
    <row r="18913" spans="1:8" ht="12.75" hidden="1" customHeight="1" outlineLevel="1" x14ac:dyDescent="0.25">
      <c r="A18913" s="135">
        <v>0.03</v>
      </c>
      <c r="B18913" s="3668" t="s">
        <v>10781</v>
      </c>
      <c r="C18913" s="3671">
        <v>2748.75</v>
      </c>
      <c r="D18913" s="2955">
        <f>VLOOKUP($H18913,indexy!$C$44:$D$890,2,FALSE)</f>
        <v>3850</v>
      </c>
      <c r="E18913" s="1493">
        <f t="shared" si="346"/>
        <v>0.4006366530241019</v>
      </c>
      <c r="F18913" s="1313">
        <f t="shared" si="347"/>
        <v>1.2019099590723056E-2</v>
      </c>
      <c r="G18913" s="78"/>
      <c r="H18913" t="str">
        <f>VLOOKUP(B18913,indexy!$A$44:$D$890,3,FALSE)</f>
        <v>8750 JT Equity</v>
      </c>
    </row>
    <row r="18914" spans="1:8" ht="12.75" hidden="1" customHeight="1" outlineLevel="1" x14ac:dyDescent="0.25">
      <c r="A18914" s="135">
        <v>0.02</v>
      </c>
      <c r="B18914" s="3668" t="s">
        <v>10782</v>
      </c>
      <c r="C18914" s="2740">
        <v>59.204000000000001</v>
      </c>
      <c r="D18914" s="2955">
        <f>VLOOKUP($H18914,indexy!$C$44:$D$890,2,FALSE)</f>
        <v>59.08</v>
      </c>
      <c r="E18914" s="1493">
        <f t="shared" si="346"/>
        <v>-2.0944530774947845E-3</v>
      </c>
      <c r="F18914" s="1313">
        <f t="shared" si="347"/>
        <v>-4.1889061549895692E-5</v>
      </c>
      <c r="G18914" s="78"/>
      <c r="H18914" t="str">
        <f>VLOOKUP(B18914,indexy!$A$44:$D$890,3,FALSE)</f>
        <v>ERF FP Equity</v>
      </c>
    </row>
    <row r="18915" spans="1:8" ht="12.75" hidden="1" customHeight="1" outlineLevel="1" x14ac:dyDescent="0.25">
      <c r="A18915" s="135">
        <v>0.02</v>
      </c>
      <c r="B18915" s="3668" t="s">
        <v>9623</v>
      </c>
      <c r="C18915" s="2740">
        <v>77.733000000000004</v>
      </c>
      <c r="D18915" s="2955">
        <f>VLOOKUP($H18915,indexy!$C$44:$D$890,2,FALSE)</f>
        <v>73.25</v>
      </c>
      <c r="E18915" s="1493">
        <f t="shared" si="346"/>
        <v>-5.7671773892683964E-2</v>
      </c>
      <c r="F18915" s="1313">
        <f t="shared" si="347"/>
        <v>-1.1534354778536793E-3</v>
      </c>
      <c r="G18915" s="78"/>
      <c r="H18915" t="str">
        <f>VLOOKUP(B18915,indexy!$A$44:$D$890,3,FALSE)</f>
        <v>GILD UW Equity</v>
      </c>
    </row>
    <row r="18916" spans="1:8" ht="12.75" hidden="1" customHeight="1" outlineLevel="1" x14ac:dyDescent="0.25">
      <c r="A18916" s="135">
        <v>0.04</v>
      </c>
      <c r="B18916" s="3668" t="s">
        <v>3799</v>
      </c>
      <c r="C18916" s="2740">
        <v>13.403600000000001</v>
      </c>
      <c r="D18916" s="2955">
        <f>VLOOKUP($H18916,indexy!$C$44:$D$890,2,FALSE)/100</f>
        <v>17.085999999999999</v>
      </c>
      <c r="E18916" s="1493">
        <f t="shared" si="346"/>
        <v>0.27473216150884827</v>
      </c>
      <c r="F18916" s="1313">
        <f t="shared" si="347"/>
        <v>1.0989286460353931E-2</v>
      </c>
      <c r="G18916" s="78"/>
      <c r="H18916" t="str">
        <f>VLOOKUP(B18916,indexy!$A$44:$D$890,3,FALSE)</f>
        <v>GSK LN Equity</v>
      </c>
    </row>
    <row r="18917" spans="1:8" ht="12.75" hidden="1" customHeight="1" outlineLevel="1" x14ac:dyDescent="0.25">
      <c r="A18917" s="135">
        <v>0.02</v>
      </c>
      <c r="B18917" s="3668" t="s">
        <v>10643</v>
      </c>
      <c r="C18917" s="2740">
        <v>39.107999999999997</v>
      </c>
      <c r="D18917" s="2955">
        <f>VLOOKUP($H18917,indexy!$C$44:$D$890,2,FALSE)</f>
        <v>43.32</v>
      </c>
      <c r="E18917" s="1493">
        <f t="shared" si="346"/>
        <v>0.10770174900276164</v>
      </c>
      <c r="F18917" s="1313">
        <f t="shared" si="347"/>
        <v>2.1540349800552327E-3</v>
      </c>
      <c r="G18917" s="78"/>
      <c r="H18917" t="str">
        <f>VLOOKUP(B18917,indexy!$A$44:$D$890,3,FALSE)</f>
        <v>GWO CT Equity</v>
      </c>
    </row>
    <row r="18918" spans="1:8" ht="12.75" hidden="1" customHeight="1" outlineLevel="1" x14ac:dyDescent="0.25">
      <c r="A18918" s="135">
        <v>0.08</v>
      </c>
      <c r="B18918" s="3668" t="s">
        <v>10501</v>
      </c>
      <c r="C18918" s="2740">
        <v>1029.3</v>
      </c>
      <c r="D18918" s="2955">
        <f>VLOOKUP($H18918,indexy!$C$44:$D$890,2,FALSE)</f>
        <v>1522.5</v>
      </c>
      <c r="E18918" s="1493">
        <f t="shared" si="346"/>
        <v>0.47916059457883997</v>
      </c>
      <c r="F18918" s="1313">
        <f t="shared" si="347"/>
        <v>3.8332847566307199E-2</v>
      </c>
      <c r="G18918" s="78"/>
      <c r="H18918" t="str">
        <f>VLOOKUP(B18918,indexy!$A$44:$D$890,3,FALSE)</f>
        <v>6178 JT Equity</v>
      </c>
    </row>
    <row r="18919" spans="1:8" ht="12.75" hidden="1" customHeight="1" outlineLevel="1" x14ac:dyDescent="0.25">
      <c r="A18919" s="135">
        <v>0.02</v>
      </c>
      <c r="B18919" s="3668" t="s">
        <v>3426</v>
      </c>
      <c r="C18919" s="2740">
        <v>161.03399999999999</v>
      </c>
      <c r="D18919" s="2955">
        <f>VLOOKUP($H18919,indexy!$C$44:$D$890,2,FALSE)</f>
        <v>158.19</v>
      </c>
      <c r="E18919" s="1493">
        <f t="shared" si="346"/>
        <v>-1.7660866649279017E-2</v>
      </c>
      <c r="F18919" s="1313">
        <f t="shared" si="347"/>
        <v>-3.5321733298558032E-4</v>
      </c>
      <c r="G18919" s="78"/>
      <c r="H18919" t="str">
        <f>VLOOKUP(B18919,indexy!$A$44:$D$890,3,FALSE)</f>
        <v>JNJ UN Equity</v>
      </c>
    </row>
    <row r="18920" spans="1:8" ht="12.75" hidden="1" customHeight="1" outlineLevel="1" x14ac:dyDescent="0.25">
      <c r="A18920" s="135">
        <v>0.02</v>
      </c>
      <c r="B18920" s="3668" t="s">
        <v>123</v>
      </c>
      <c r="C18920" s="2740">
        <v>25.093</v>
      </c>
      <c r="D18920" s="2955">
        <f>VLOOKUP($H18920,indexy!$C$44:$D$890,2,FALSE)</f>
        <v>33.83</v>
      </c>
      <c r="E18920" s="1493">
        <f t="shared" si="346"/>
        <v>0.34818475271988203</v>
      </c>
      <c r="F18920" s="1313">
        <f t="shared" si="347"/>
        <v>6.9636950543976407E-3</v>
      </c>
      <c r="G18920" s="78"/>
      <c r="H18920" t="str">
        <f>VLOOKUP(B18920,indexy!$A$44:$D$890,3,FALSE)</f>
        <v>MFC CT Equity</v>
      </c>
    </row>
    <row r="18921" spans="1:8" ht="12.75" hidden="1" customHeight="1" outlineLevel="1" x14ac:dyDescent="0.25">
      <c r="A18921" s="135">
        <v>0.02</v>
      </c>
      <c r="B18921" s="3668" t="s">
        <v>4040</v>
      </c>
      <c r="C18921" s="2740">
        <v>87.474999999999994</v>
      </c>
      <c r="D18921" s="2955">
        <f>VLOOKUP($H18921,indexy!$C$44:$D$890,2,FALSE)</f>
        <v>87.15</v>
      </c>
      <c r="E18921" s="1493">
        <f t="shared" si="346"/>
        <v>-3.7153472420690115E-3</v>
      </c>
      <c r="F18921" s="1313">
        <f t="shared" si="347"/>
        <v>-7.4306944841380228E-5</v>
      </c>
      <c r="G18921" s="78"/>
      <c r="H18921" t="str">
        <f>VLOOKUP(B18921,indexy!$A$44:$D$890,3,FALSE)</f>
        <v>MDT UN Equity</v>
      </c>
    </row>
    <row r="18922" spans="1:8" ht="12.75" hidden="1" customHeight="1" outlineLevel="1" x14ac:dyDescent="0.25">
      <c r="A18922" s="135">
        <v>0.02</v>
      </c>
      <c r="B18922" s="3668" t="s">
        <v>1905</v>
      </c>
      <c r="C18922" s="2740">
        <v>107.611</v>
      </c>
      <c r="D18922" s="2955">
        <f>VLOOKUP($H18922,indexy!$C$44:$D$890,2,FALSE)</f>
        <v>131.94999999999999</v>
      </c>
      <c r="E18922" s="1493">
        <f t="shared" si="346"/>
        <v>0.22617576270083894</v>
      </c>
      <c r="F18922" s="1313">
        <f t="shared" si="347"/>
        <v>4.5235152540167786E-3</v>
      </c>
      <c r="G18922" s="78"/>
      <c r="H18922" t="str">
        <f>VLOOKUP(B18922,indexy!$A$44:$D$890,3,FALSE)</f>
        <v>MRK UN Equity</v>
      </c>
    </row>
    <row r="18923" spans="1:8" ht="12.75" hidden="1" customHeight="1" outlineLevel="1" x14ac:dyDescent="0.25">
      <c r="A18923" s="135">
        <v>0.03</v>
      </c>
      <c r="B18923" s="3668" t="s">
        <v>8527</v>
      </c>
      <c r="C18923" s="2740">
        <v>33.829000000000001</v>
      </c>
      <c r="D18923" s="2955">
        <f>VLOOKUP($H18923,indexy!$C$44:$D$890,2,FALSE)</f>
        <v>42.82</v>
      </c>
      <c r="E18923" s="1493">
        <f t="shared" si="346"/>
        <v>0.26577788288155135</v>
      </c>
      <c r="F18923" s="1313">
        <f t="shared" si="347"/>
        <v>7.9733364864465403E-3</v>
      </c>
      <c r="G18923" s="78"/>
      <c r="H18923" t="str">
        <f>VLOOKUP(B18923,indexy!$A$44:$D$890,3,FALSE)</f>
        <v>NN NA Equity</v>
      </c>
    </row>
    <row r="18924" spans="1:8" ht="12.75" hidden="1" customHeight="1" outlineLevel="1" x14ac:dyDescent="0.25">
      <c r="A18924" s="135">
        <v>0.08</v>
      </c>
      <c r="B18924" s="3668" t="s">
        <v>2787</v>
      </c>
      <c r="C18924" s="2740">
        <v>87.09</v>
      </c>
      <c r="D18924" s="2955">
        <f>VLOOKUP($H18924,indexy!$C$44:$D$890,2,FALSE)</f>
        <v>87.37</v>
      </c>
      <c r="E18924" s="1493">
        <f t="shared" si="346"/>
        <v>3.2150648754163402E-3</v>
      </c>
      <c r="F18924" s="1313">
        <f t="shared" si="347"/>
        <v>2.5720519003330722E-4</v>
      </c>
      <c r="G18924" s="78"/>
      <c r="H18924" t="str">
        <f>VLOOKUP(B18924,indexy!$A$44:$D$890,3,FALSE)</f>
        <v>NOVN SE Equity</v>
      </c>
    </row>
    <row r="18925" spans="1:8" ht="12.75" hidden="1" customHeight="1" outlineLevel="1" x14ac:dyDescent="0.25">
      <c r="A18925" s="135">
        <v>0.02</v>
      </c>
      <c r="B18925" s="3668" t="s">
        <v>4293</v>
      </c>
      <c r="C18925" s="2740">
        <f>1065.36/2</f>
        <v>532.67999999999995</v>
      </c>
      <c r="D18925" s="2955">
        <f>VLOOKUP($H18925,indexy!$C$44:$D$890,2,FALSE)</f>
        <v>881.3</v>
      </c>
      <c r="E18925" s="1493">
        <f t="shared" si="346"/>
        <v>0.65446421866786819</v>
      </c>
      <c r="F18925" s="1313">
        <f t="shared" si="347"/>
        <v>1.3089284373357364E-2</v>
      </c>
      <c r="G18925" s="78"/>
      <c r="H18925" t="str">
        <f>VLOOKUP(B18925,indexy!$A$44:$D$890,3,FALSE)</f>
        <v>NOVOB DC Equity</v>
      </c>
    </row>
    <row r="18926" spans="1:8" ht="12.75" hidden="1" customHeight="1" outlineLevel="1" x14ac:dyDescent="0.25">
      <c r="A18926" s="135">
        <v>0.03</v>
      </c>
      <c r="B18926" s="3668" t="s">
        <v>9625</v>
      </c>
      <c r="C18926" s="2740">
        <v>2539.35</v>
      </c>
      <c r="D18926" s="2955">
        <f>VLOOKUP($H18926,indexy!$C$44:$D$890,2,FALSE)</f>
        <v>2477</v>
      </c>
      <c r="E18926" s="1493">
        <f t="shared" si="346"/>
        <v>-2.4553527477504056E-2</v>
      </c>
      <c r="F18926" s="1313">
        <f t="shared" si="347"/>
        <v>-7.366058243251216E-4</v>
      </c>
      <c r="G18926" s="78"/>
      <c r="H18926" t="str">
        <f>VLOOKUP(B18926,indexy!$A$44:$D$890,3,FALSE)</f>
        <v>4528 JT Equity</v>
      </c>
    </row>
    <row r="18927" spans="1:8" ht="12.75" hidden="1" customHeight="1" outlineLevel="1" x14ac:dyDescent="0.25">
      <c r="A18927" s="135">
        <v>0.02</v>
      </c>
      <c r="B18927" s="3668" t="s">
        <v>5847</v>
      </c>
      <c r="C18927" s="2740">
        <v>5186.8999999999996</v>
      </c>
      <c r="D18927" s="2955">
        <f>VLOOKUP($H18927,indexy!$C$44:$D$890,2,FALSE)</f>
        <v>6271</v>
      </c>
      <c r="E18927" s="1493">
        <f t="shared" si="346"/>
        <v>0.20900730686922842</v>
      </c>
      <c r="F18927" s="1313">
        <f t="shared" si="347"/>
        <v>4.1801461373845682E-3</v>
      </c>
      <c r="G18927" s="78"/>
      <c r="H18927" t="str">
        <f>VLOOKUP(B18927,indexy!$A$44:$D$890,3,FALSE)</f>
        <v>4578 JT Equity</v>
      </c>
    </row>
    <row r="18928" spans="1:8" ht="12.75" hidden="1" customHeight="1" outlineLevel="1" x14ac:dyDescent="0.25">
      <c r="A18928" s="135">
        <v>0.04</v>
      </c>
      <c r="B18928" s="3668" t="s">
        <v>1414</v>
      </c>
      <c r="C18928" s="2740">
        <v>36.277999999999999</v>
      </c>
      <c r="D18928" s="2955">
        <f>VLOOKUP($H18928,indexy!$C$44:$D$890,2,FALSE)</f>
        <v>27.75</v>
      </c>
      <c r="E18928" s="1493">
        <f t="shared" si="346"/>
        <v>-0.23507359832405317</v>
      </c>
      <c r="F18928" s="1313">
        <f t="shared" si="347"/>
        <v>-9.4029439329621264E-3</v>
      </c>
      <c r="G18928" s="78"/>
      <c r="H18928" t="str">
        <f>VLOOKUP(B18928,indexy!$A$44:$D$890,3,FALSE)</f>
        <v>PFE UN Equity</v>
      </c>
    </row>
    <row r="18929" spans="1:8" ht="12.75" hidden="1" customHeight="1" outlineLevel="1" x14ac:dyDescent="0.25">
      <c r="A18929" s="135">
        <v>0.02</v>
      </c>
      <c r="B18929" s="3668" t="s">
        <v>10783</v>
      </c>
      <c r="C18929" s="2740">
        <v>9.9458000000000002</v>
      </c>
      <c r="D18929" s="2955">
        <f>VLOOKUP($H18929,indexy!$C$44:$D$890,2,FALSE)</f>
        <v>11.605</v>
      </c>
      <c r="E18929" s="1493">
        <f t="shared" si="346"/>
        <v>0.16682418709404967</v>
      </c>
      <c r="F18929" s="1313">
        <f t="shared" si="347"/>
        <v>3.3364837418809936E-3</v>
      </c>
      <c r="G18929" s="78"/>
      <c r="H18929" t="str">
        <f>VLOOKUP(B18929,indexy!$A$44:$D$890,3,FALSE)</f>
        <v>PST IM Equity</v>
      </c>
    </row>
    <row r="18930" spans="1:8" ht="12.75" hidden="1" customHeight="1" outlineLevel="1" x14ac:dyDescent="0.25">
      <c r="A18930" s="135">
        <v>0.03</v>
      </c>
      <c r="B18930" s="3668" t="s">
        <v>10429</v>
      </c>
      <c r="C18930" s="2740">
        <v>37.168999999999997</v>
      </c>
      <c r="D18930" s="2955">
        <f>VLOOKUP($H18930,indexy!$C$44:$D$890,2,FALSE)</f>
        <v>37.979999999999997</v>
      </c>
      <c r="E18930" s="1493">
        <f t="shared" si="346"/>
        <v>2.1819257983803686E-2</v>
      </c>
      <c r="F18930" s="1313">
        <f t="shared" si="347"/>
        <v>6.5457773951411058E-4</v>
      </c>
      <c r="G18930" s="78"/>
      <c r="H18930" t="str">
        <f>VLOOKUP(B18930,indexy!$A$44:$D$890,3,FALSE)</f>
        <v>POW CT Equity</v>
      </c>
    </row>
    <row r="18931" spans="1:8" ht="12.75" hidden="1" customHeight="1" outlineLevel="1" x14ac:dyDescent="0.25">
      <c r="A18931" s="135">
        <v>0.02</v>
      </c>
      <c r="B18931" s="3668" t="s">
        <v>2831</v>
      </c>
      <c r="C18931" s="2740">
        <v>92.784999999999997</v>
      </c>
      <c r="D18931" s="2955">
        <f>VLOOKUP($H18931,indexy!$C$44:$D$890,2,FALSE)</f>
        <v>117.4</v>
      </c>
      <c r="E18931" s="1493">
        <f t="shared" si="346"/>
        <v>0.26529072587163882</v>
      </c>
      <c r="F18931" s="1313">
        <f t="shared" si="347"/>
        <v>5.3058145174327762E-3</v>
      </c>
      <c r="G18931" s="78"/>
      <c r="H18931" t="str">
        <f>VLOOKUP(B18931,indexy!$A$44:$D$890,3,FALSE)</f>
        <v>PRU UN Equity</v>
      </c>
    </row>
    <row r="18932" spans="1:8" ht="12.75" hidden="1" customHeight="1" outlineLevel="1" x14ac:dyDescent="0.25">
      <c r="A18932" s="135">
        <v>0.08</v>
      </c>
      <c r="B18932" s="3668" t="s">
        <v>3800</v>
      </c>
      <c r="C18932" s="2740">
        <v>269.19</v>
      </c>
      <c r="D18932" s="2955">
        <f>VLOOKUP($H18932,indexy!$C$44:$D$890,2,FALSE)</f>
        <v>229.7</v>
      </c>
      <c r="E18932" s="1493">
        <f t="shared" si="346"/>
        <v>-0.14669935733125306</v>
      </c>
      <c r="F18932" s="1313">
        <f t="shared" si="347"/>
        <v>-1.1735948586500245E-2</v>
      </c>
      <c r="G18932" s="78"/>
      <c r="H18932" t="str">
        <f>VLOOKUP(B18932,indexy!$A$44:$D$890,3,FALSE)</f>
        <v>ROG SE Equity</v>
      </c>
    </row>
    <row r="18933" spans="1:8" ht="12.75" hidden="1" customHeight="1" outlineLevel="1" x14ac:dyDescent="0.25">
      <c r="A18933" s="135">
        <v>0.02</v>
      </c>
      <c r="B18933" s="3668" t="s">
        <v>10784</v>
      </c>
      <c r="C18933" s="2740">
        <v>35.207000000000001</v>
      </c>
      <c r="D18933" s="2955">
        <f>VLOOKUP($H18933,indexy!$C$44:$D$890,2,FALSE)</f>
        <v>29.41</v>
      </c>
      <c r="E18933" s="1493">
        <f t="shared" si="346"/>
        <v>-0.1646547561564462</v>
      </c>
      <c r="F18933" s="1313">
        <f t="shared" si="347"/>
        <v>-3.2930951231289239E-3</v>
      </c>
      <c r="G18933" s="78"/>
      <c r="H18933" t="str">
        <f>VLOOKUP(B18933,indexy!$A$44:$D$890,3,FALSE)</f>
        <v>SHL AT Equity</v>
      </c>
    </row>
    <row r="18934" spans="1:8" ht="12.75" hidden="1" customHeight="1" outlineLevel="1" x14ac:dyDescent="0.25">
      <c r="A18934" s="135">
        <v>0.02</v>
      </c>
      <c r="B18934" s="3668" t="s">
        <v>898</v>
      </c>
      <c r="C18934" s="2740">
        <v>67.884</v>
      </c>
      <c r="D18934" s="2955">
        <f>VLOOKUP($H18934,indexy!$C$44:$D$890,2,FALSE)</f>
        <v>73.91</v>
      </c>
      <c r="E18934" s="1493">
        <f t="shared" si="346"/>
        <v>8.8769076660184965E-2</v>
      </c>
      <c r="F18934" s="1313">
        <f t="shared" si="347"/>
        <v>1.7753815332036994E-3</v>
      </c>
      <c r="G18934" s="78"/>
      <c r="H18934" t="str">
        <f>VLOOKUP(B18934,indexy!$A$44:$D$890,3,FALSE)</f>
        <v>SLF CT Equity</v>
      </c>
    </row>
    <row r="18935" spans="1:8" ht="12.75" hidden="1" customHeight="1" outlineLevel="1" x14ac:dyDescent="0.25">
      <c r="A18935" s="135">
        <v>0.08</v>
      </c>
      <c r="B18935" s="3668" t="s">
        <v>9173</v>
      </c>
      <c r="C18935" s="2740">
        <v>530.46</v>
      </c>
      <c r="D18935" s="2955">
        <f>VLOOKUP($H18935,indexy!$C$44:$D$890,2,FALSE)</f>
        <v>632.20000000000005</v>
      </c>
      <c r="E18935" s="1493">
        <f t="shared" si="346"/>
        <v>0.19179579987180939</v>
      </c>
      <c r="F18935" s="1313">
        <f t="shared" si="347"/>
        <v>1.5343663989744752E-2</v>
      </c>
      <c r="G18935" s="78"/>
      <c r="H18935" t="str">
        <f>VLOOKUP(B18935,indexy!$A$44:$D$890,3,FALSE)</f>
        <v>SLHN SE Equity</v>
      </c>
    </row>
    <row r="18936" spans="1:8" ht="12.75" hidden="1" customHeight="1" outlineLevel="1" x14ac:dyDescent="0.25">
      <c r="A18936" s="135">
        <v>7.0000000000000007E-2</v>
      </c>
      <c r="B18936" s="3668" t="s">
        <v>3022</v>
      </c>
      <c r="C18936" s="2740">
        <v>4348.3999999999996</v>
      </c>
      <c r="D18936" s="2955">
        <f>VLOOKUP($H18936,indexy!$C$44:$D$890,2,FALSE)</f>
        <v>4203</v>
      </c>
      <c r="E18936" s="1493">
        <f t="shared" si="346"/>
        <v>-3.3437586238616368E-2</v>
      </c>
      <c r="F18936" s="1313">
        <f t="shared" si="347"/>
        <v>-2.3406310367031459E-3</v>
      </c>
      <c r="G18936" s="78"/>
      <c r="H18936" t="str">
        <f>VLOOKUP(B18936,indexy!$A$44:$D$890,3,FALSE)</f>
        <v>4502 JT Equity</v>
      </c>
    </row>
    <row r="18937" spans="1:8" ht="12.75" hidden="1" customHeight="1" outlineLevel="1" x14ac:dyDescent="0.25">
      <c r="A18937" s="135">
        <v>0.02</v>
      </c>
      <c r="B18937" s="3669" t="s">
        <v>2036</v>
      </c>
      <c r="C18937" s="3672">
        <v>79.89</v>
      </c>
      <c r="D18937" s="2956">
        <f>VLOOKUP($H18937,indexy!$C$44:$D$890,2,FALSE)</f>
        <v>114.4</v>
      </c>
      <c r="E18937" s="1495">
        <f t="shared" si="346"/>
        <v>0.43196895731630991</v>
      </c>
      <c r="F18937" s="1314">
        <f>$E18937*$A18937</f>
        <v>8.6393791463261985E-3</v>
      </c>
      <c r="G18937" s="78"/>
      <c r="H18937" t="str">
        <f>VLOOKUP(B18937,indexy!$A$44:$D$890,3,FALSE)</f>
        <v>UCB BB Equity</v>
      </c>
    </row>
    <row r="18938" spans="1:8" ht="12.75" hidden="1" customHeight="1" outlineLevel="1" x14ac:dyDescent="0.25">
      <c r="A18938" s="3673" t="s">
        <v>2734</v>
      </c>
      <c r="B18938" s="3674"/>
      <c r="C18938" s="3675"/>
      <c r="D18938" s="3675"/>
      <c r="E18938" s="3676"/>
      <c r="F18938" s="3677">
        <f>SUM(F18908:F18937)</f>
        <v>0.12073718896035457</v>
      </c>
      <c r="G18938" s="78"/>
    </row>
    <row r="18939" spans="1:8" ht="12.75" hidden="1" customHeight="1" outlineLevel="1" x14ac:dyDescent="0.25">
      <c r="A18939" s="3678"/>
      <c r="B18939" s="3679">
        <v>46600</v>
      </c>
      <c r="C18939" s="3680">
        <v>100</v>
      </c>
      <c r="D18939" s="3680"/>
      <c r="E18939" s="3681">
        <f>IF(D18939="",$F$18938,D18939/C18939-1)</f>
        <v>0.12073718896035457</v>
      </c>
      <c r="F18939" s="3682"/>
      <c r="G18939" s="78"/>
    </row>
    <row r="18940" spans="1:8" ht="12.75" hidden="1" customHeight="1" outlineLevel="1" x14ac:dyDescent="0.25">
      <c r="A18940" s="3678"/>
      <c r="B18940" s="3679">
        <v>46631</v>
      </c>
      <c r="C18940" s="3680">
        <v>100</v>
      </c>
      <c r="D18940" s="3683"/>
      <c r="E18940" s="3681">
        <f t="shared" ref="E18940:E18956" si="348">IF(D18940="",$F$18938,D18940/C18940-1)</f>
        <v>0.12073718896035457</v>
      </c>
      <c r="F18940" s="3682"/>
      <c r="G18940" s="78"/>
    </row>
    <row r="18941" spans="1:8" ht="12.75" hidden="1" customHeight="1" outlineLevel="1" x14ac:dyDescent="0.25">
      <c r="A18941" s="3678"/>
      <c r="B18941" s="3679">
        <v>46661</v>
      </c>
      <c r="C18941" s="3680">
        <v>100</v>
      </c>
      <c r="D18941" s="3683"/>
      <c r="E18941" s="3681">
        <f t="shared" si="348"/>
        <v>0.12073718896035457</v>
      </c>
      <c r="F18941" s="3682"/>
      <c r="G18941" s="78"/>
    </row>
    <row r="18942" spans="1:8" ht="12.75" hidden="1" customHeight="1" outlineLevel="1" x14ac:dyDescent="0.25">
      <c r="A18942" s="3678"/>
      <c r="B18942" s="3679">
        <v>46692</v>
      </c>
      <c r="C18942" s="3680">
        <v>100</v>
      </c>
      <c r="D18942" s="3683"/>
      <c r="E18942" s="3681">
        <f t="shared" si="348"/>
        <v>0.12073718896035457</v>
      </c>
      <c r="F18942" s="3682"/>
      <c r="G18942" s="78"/>
    </row>
    <row r="18943" spans="1:8" ht="12.75" hidden="1" customHeight="1" outlineLevel="1" x14ac:dyDescent="0.25">
      <c r="A18943" s="3678"/>
      <c r="B18943" s="3679">
        <v>46722</v>
      </c>
      <c r="C18943" s="3680">
        <v>100</v>
      </c>
      <c r="D18943" s="3683"/>
      <c r="E18943" s="3681">
        <f t="shared" si="348"/>
        <v>0.12073718896035457</v>
      </c>
      <c r="F18943" s="3682"/>
      <c r="G18943" s="78"/>
    </row>
    <row r="18944" spans="1:8" ht="12.75" hidden="1" customHeight="1" outlineLevel="1" x14ac:dyDescent="0.25">
      <c r="A18944" s="3678"/>
      <c r="B18944" s="3679">
        <v>46753</v>
      </c>
      <c r="C18944" s="3680">
        <v>100</v>
      </c>
      <c r="D18944" s="3683"/>
      <c r="E18944" s="3681">
        <f t="shared" si="348"/>
        <v>0.12073718896035457</v>
      </c>
      <c r="F18944" s="3682"/>
      <c r="G18944" s="78"/>
    </row>
    <row r="18945" spans="1:18" ht="12.75" hidden="1" customHeight="1" outlineLevel="1" x14ac:dyDescent="0.25">
      <c r="A18945" s="3678"/>
      <c r="B18945" s="3679">
        <v>46784</v>
      </c>
      <c r="C18945" s="3680">
        <v>100</v>
      </c>
      <c r="D18945" s="3683"/>
      <c r="E18945" s="3681">
        <f t="shared" si="348"/>
        <v>0.12073718896035457</v>
      </c>
      <c r="F18945" s="3682"/>
      <c r="G18945" s="78"/>
    </row>
    <row r="18946" spans="1:18" ht="12.75" hidden="1" customHeight="1" outlineLevel="1" x14ac:dyDescent="0.25">
      <c r="A18946" s="3678"/>
      <c r="B18946" s="3679">
        <v>46813</v>
      </c>
      <c r="C18946" s="3680">
        <v>100</v>
      </c>
      <c r="D18946" s="3683"/>
      <c r="E18946" s="3681">
        <f t="shared" si="348"/>
        <v>0.12073718896035457</v>
      </c>
      <c r="F18946" s="3682"/>
      <c r="G18946" s="78"/>
    </row>
    <row r="18947" spans="1:18" ht="12.75" hidden="1" customHeight="1" outlineLevel="1" x14ac:dyDescent="0.25">
      <c r="A18947" s="3678"/>
      <c r="B18947" s="3679">
        <v>46844</v>
      </c>
      <c r="C18947" s="3680">
        <v>100</v>
      </c>
      <c r="D18947" s="3683"/>
      <c r="E18947" s="3681">
        <f t="shared" si="348"/>
        <v>0.12073718896035457</v>
      </c>
      <c r="F18947" s="3682"/>
      <c r="G18947" s="78"/>
    </row>
    <row r="18948" spans="1:18" ht="12.75" hidden="1" customHeight="1" outlineLevel="1" x14ac:dyDescent="0.25">
      <c r="A18948" s="3678"/>
      <c r="B18948" s="3679">
        <v>46874</v>
      </c>
      <c r="C18948" s="3680">
        <v>100</v>
      </c>
      <c r="D18948" s="3683"/>
      <c r="E18948" s="3681">
        <f t="shared" si="348"/>
        <v>0.12073718896035457</v>
      </c>
      <c r="F18948" s="3682"/>
      <c r="G18948" s="78"/>
    </row>
    <row r="18949" spans="1:18" ht="12.75" hidden="1" customHeight="1" outlineLevel="1" x14ac:dyDescent="0.25">
      <c r="A18949" s="3678"/>
      <c r="B18949" s="3679">
        <v>46905</v>
      </c>
      <c r="C18949" s="3680">
        <v>100</v>
      </c>
      <c r="D18949" s="3683"/>
      <c r="E18949" s="3681">
        <f t="shared" si="348"/>
        <v>0.12073718896035457</v>
      </c>
      <c r="F18949" s="3682"/>
      <c r="G18949" s="78"/>
    </row>
    <row r="18950" spans="1:18" ht="12.75" hidden="1" customHeight="1" outlineLevel="1" x14ac:dyDescent="0.25">
      <c r="A18950" s="3678"/>
      <c r="B18950" s="3679">
        <v>46935</v>
      </c>
      <c r="C18950" s="3680">
        <v>100</v>
      </c>
      <c r="D18950" s="3683"/>
      <c r="E18950" s="3681">
        <f t="shared" si="348"/>
        <v>0.12073718896035457</v>
      </c>
      <c r="F18950" s="3682"/>
      <c r="G18950" s="78"/>
    </row>
    <row r="18951" spans="1:18" ht="12.75" hidden="1" customHeight="1" outlineLevel="1" x14ac:dyDescent="0.25">
      <c r="A18951" s="3678"/>
      <c r="B18951" s="3679">
        <v>46966</v>
      </c>
      <c r="C18951" s="3680">
        <v>100</v>
      </c>
      <c r="D18951" s="3683"/>
      <c r="E18951" s="3681">
        <f t="shared" si="348"/>
        <v>0.12073718896035457</v>
      </c>
      <c r="F18951" s="3682"/>
      <c r="G18951" s="78"/>
    </row>
    <row r="18952" spans="1:18" ht="12.75" hidden="1" customHeight="1" outlineLevel="1" x14ac:dyDescent="0.25">
      <c r="A18952" s="3678"/>
      <c r="B18952" s="3679">
        <v>46997</v>
      </c>
      <c r="C18952" s="3680">
        <v>100</v>
      </c>
      <c r="D18952" s="3683"/>
      <c r="E18952" s="3681">
        <f t="shared" si="348"/>
        <v>0.12073718896035457</v>
      </c>
      <c r="F18952" s="3682"/>
      <c r="G18952" s="78"/>
    </row>
    <row r="18953" spans="1:18" ht="12.75" hidden="1" customHeight="1" outlineLevel="1" x14ac:dyDescent="0.25">
      <c r="A18953" s="3678"/>
      <c r="B18953" s="3679">
        <v>47027</v>
      </c>
      <c r="C18953" s="3680">
        <v>100</v>
      </c>
      <c r="D18953" s="3683"/>
      <c r="E18953" s="3681">
        <f t="shared" si="348"/>
        <v>0.12073718896035457</v>
      </c>
      <c r="F18953" s="3682"/>
      <c r="G18953" s="78"/>
    </row>
    <row r="18954" spans="1:18" ht="12.75" hidden="1" customHeight="1" outlineLevel="1" x14ac:dyDescent="0.25">
      <c r="A18954" s="3678"/>
      <c r="B18954" s="3679">
        <v>47058</v>
      </c>
      <c r="C18954" s="3680">
        <v>100</v>
      </c>
      <c r="D18954" s="3683"/>
      <c r="E18954" s="3681">
        <f t="shared" si="348"/>
        <v>0.12073718896035457</v>
      </c>
      <c r="F18954" s="3682"/>
      <c r="G18954" s="78"/>
    </row>
    <row r="18955" spans="1:18" hidden="1" outlineLevel="1" x14ac:dyDescent="0.25">
      <c r="A18955" s="3678"/>
      <c r="B18955" s="3679">
        <v>47088</v>
      </c>
      <c r="C18955" s="3680">
        <v>100</v>
      </c>
      <c r="D18955" s="3683"/>
      <c r="E18955" s="3681">
        <f t="shared" si="348"/>
        <v>0.12073718896035457</v>
      </c>
      <c r="F18955" s="3682"/>
      <c r="G18955" s="78"/>
    </row>
    <row r="18956" spans="1:18" ht="12.75" hidden="1" customHeight="1" outlineLevel="1" x14ac:dyDescent="0.25">
      <c r="A18956" s="3678"/>
      <c r="B18956" s="3679">
        <v>47119</v>
      </c>
      <c r="C18956" s="3680">
        <v>100</v>
      </c>
      <c r="D18956" s="3683"/>
      <c r="E18956" s="3681">
        <f t="shared" si="348"/>
        <v>0.12073718896035457</v>
      </c>
      <c r="F18956" s="3682"/>
      <c r="G18956" s="78"/>
    </row>
    <row r="18957" spans="1:18" ht="12.75" hidden="1" customHeight="1" outlineLevel="1" x14ac:dyDescent="0.25">
      <c r="A18957" s="1483" t="s">
        <v>2734</v>
      </c>
      <c r="B18957" s="1484"/>
      <c r="C18957" s="1500"/>
      <c r="D18957" s="1485" t="s">
        <v>2465</v>
      </c>
      <c r="E18957" s="1486">
        <f>AVERAGE(E18939:E18956)</f>
        <v>0.12073718896035457</v>
      </c>
      <c r="F18957" s="1844">
        <f>E18957</f>
        <v>0.12073718896035457</v>
      </c>
      <c r="G18957" s="78"/>
    </row>
    <row r="18958" spans="1:18" ht="13.5" customHeight="1" collapsed="1" x14ac:dyDescent="0.25">
      <c r="A18958" s="3799" t="s">
        <v>10780</v>
      </c>
      <c r="B18958" s="3800"/>
      <c r="C18958" s="3800"/>
      <c r="D18958" s="3800"/>
      <c r="E18958" s="18"/>
      <c r="F18958" s="186">
        <f>MAX(12%,F18957)</f>
        <v>0.12073718896035457</v>
      </c>
      <c r="G18958" s="78"/>
    </row>
    <row r="18960" spans="1:18" ht="12.75" hidden="1" customHeight="1" outlineLevel="1" x14ac:dyDescent="0.25">
      <c r="A18960" s="1677" t="s">
        <v>4156</v>
      </c>
      <c r="B18960" s="1677" t="s">
        <v>4153</v>
      </c>
      <c r="C18960" s="1305" t="s">
        <v>112</v>
      </c>
      <c r="D18960" s="1678" t="s">
        <v>4155</v>
      </c>
      <c r="E18960" s="1677" t="s">
        <v>4154</v>
      </c>
      <c r="F18960" s="1678" t="s">
        <v>2519</v>
      </c>
      <c r="G18960" s="12"/>
      <c r="H18960" s="415"/>
      <c r="I18960" s="412" t="s">
        <v>6964</v>
      </c>
      <c r="J18960" s="1462">
        <v>45200</v>
      </c>
      <c r="K18960" s="1462">
        <v>45231</v>
      </c>
      <c r="L18960" s="1462">
        <v>45261</v>
      </c>
      <c r="M18960" s="1462">
        <v>45292</v>
      </c>
      <c r="N18960" s="1462">
        <v>45323</v>
      </c>
      <c r="O18960" s="1462">
        <v>45352</v>
      </c>
      <c r="P18960" s="1462"/>
      <c r="Q18960" s="1462"/>
      <c r="R18960" s="1462"/>
    </row>
    <row r="18961" spans="1:12" ht="12.75" hidden="1" customHeight="1" outlineLevel="1" x14ac:dyDescent="0.25">
      <c r="A18961" s="135">
        <v>0.02</v>
      </c>
      <c r="B18961" s="151" t="s">
        <v>359</v>
      </c>
      <c r="C18961" s="454">
        <v>229.23</v>
      </c>
      <c r="D18961" s="2737">
        <f>VLOOKUP(H18961,indexy!$C$44:$D$823,2,FALSE)</f>
        <v>277.8</v>
      </c>
      <c r="E18961" s="1466">
        <f>D18961/C18961-1</f>
        <v>0.21188326135322622</v>
      </c>
      <c r="F18961" s="1492">
        <f>E18961*A18961</f>
        <v>4.2376652270645241E-3</v>
      </c>
      <c r="G18961" s="415"/>
      <c r="H18961" s="415" t="str">
        <f>VLOOKUP(B18961,indexy!$A$44:$D$823,3,FALSE)</f>
        <v>ALV GY Equity</v>
      </c>
      <c r="I18961" s="412">
        <f>IF(J18961="",100,MIN(100,J18961:Y18961))</f>
        <v>97.5809</v>
      </c>
      <c r="J18961">
        <v>97.5809</v>
      </c>
      <c r="K18961">
        <v>98.800799999999995</v>
      </c>
      <c r="L18961">
        <v>101.76609999999999</v>
      </c>
    </row>
    <row r="18962" spans="1:12" ht="12.75" hidden="1" customHeight="1" outlineLevel="1" x14ac:dyDescent="0.25">
      <c r="A18962" s="135">
        <v>0.02</v>
      </c>
      <c r="B18962" s="151" t="s">
        <v>2697</v>
      </c>
      <c r="C18962" s="410">
        <v>19.646999999999998</v>
      </c>
      <c r="D18962" s="2738">
        <f>VLOOKUP(H18962,indexy!$C$44:$D$823,2,FALSE)</f>
        <v>23.46</v>
      </c>
      <c r="E18962" s="1463">
        <f>D18962/C18962-1</f>
        <v>0.19407543136356709</v>
      </c>
      <c r="F18962" s="1494">
        <f t="shared" ref="F18962:F18985" si="349">E18962*A18962</f>
        <v>3.8815086272713417E-3</v>
      </c>
      <c r="G18962" s="415"/>
      <c r="H18962" s="415" t="str">
        <f>VLOOKUP(B18962,indexy!$A$44:$D$823,3,FALSE)</f>
        <v>G IM Equity</v>
      </c>
      <c r="I18962" s="422">
        <f>+(((E19004*100)+100)-I18961)/100</f>
        <v>0.14730058043046099</v>
      </c>
    </row>
    <row r="18963" spans="1:12" ht="12.75" hidden="1" customHeight="1" outlineLevel="1" x14ac:dyDescent="0.25">
      <c r="A18963" s="135">
        <v>0.02</v>
      </c>
      <c r="B18963" s="151" t="s">
        <v>218</v>
      </c>
      <c r="C18963" s="410">
        <v>28.778500000000001</v>
      </c>
      <c r="D18963" s="2738">
        <f>VLOOKUP(H18963,indexy!$C$44:$D$823,2,FALSE)</f>
        <v>34.814999999999998</v>
      </c>
      <c r="E18963" s="1463">
        <f t="shared" ref="E18963:E18990" si="350">D18963/C18963-1</f>
        <v>0.20975728408360395</v>
      </c>
      <c r="F18963" s="1494">
        <f t="shared" si="349"/>
        <v>4.195145681672079E-3</v>
      </c>
      <c r="G18963" s="415"/>
      <c r="H18963" s="415" t="str">
        <f>VLOOKUP(B18963,indexy!$A$44:$D$823,3,FALSE)</f>
        <v>CS FP Equity</v>
      </c>
    </row>
    <row r="18964" spans="1:12" ht="12.75" hidden="1" customHeight="1" outlineLevel="1" x14ac:dyDescent="0.25">
      <c r="A18964" s="135">
        <v>0.02</v>
      </c>
      <c r="B18964" s="151" t="s">
        <v>1184</v>
      </c>
      <c r="C18964" s="410">
        <v>44.911000000000001</v>
      </c>
      <c r="D18964" s="2738">
        <f>VLOOKUP(H18964,indexy!$C$44:$D$823,2,FALSE)</f>
        <v>52.93</v>
      </c>
      <c r="E18964" s="1463">
        <f t="shared" si="350"/>
        <v>0.17855313842933795</v>
      </c>
      <c r="F18964" s="1494">
        <f t="shared" si="349"/>
        <v>3.5710627685867592E-3</v>
      </c>
      <c r="G18964" s="415"/>
      <c r="H18964" s="415" t="str">
        <f>VLOOKUP(B18964,indexy!$A$44:$D$823,3,FALSE)</f>
        <v>BAS GY Equity</v>
      </c>
      <c r="J18964" s="434"/>
      <c r="K18964" s="37"/>
    </row>
    <row r="18965" spans="1:12" ht="12.75" hidden="1" customHeight="1" outlineLevel="1" x14ac:dyDescent="0.25">
      <c r="A18965" s="135">
        <v>0.02</v>
      </c>
      <c r="B18965" s="151" t="s">
        <v>10617</v>
      </c>
      <c r="C18965" s="410">
        <v>15.795</v>
      </c>
      <c r="D18965" s="2738">
        <f>VLOOKUP(H18965,indexy!$C$44:$D$823,2,FALSE)</f>
        <v>16.940000000000001</v>
      </c>
      <c r="E18965" s="1463">
        <f t="shared" si="350"/>
        <v>7.2491294713517007E-2</v>
      </c>
      <c r="F18965" s="1494">
        <f t="shared" si="349"/>
        <v>1.4498258942703401E-3</v>
      </c>
      <c r="G18965" s="415"/>
      <c r="H18965" s="415" t="str">
        <f>VLOOKUP(B18965,indexy!$A$44:$D$823,3,FALSE)</f>
        <v>COL AT Equity</v>
      </c>
      <c r="J18965" s="434"/>
    </row>
    <row r="18966" spans="1:12" ht="12.75" hidden="1" customHeight="1" outlineLevel="1" x14ac:dyDescent="0.25">
      <c r="A18966" s="135">
        <v>0.02</v>
      </c>
      <c r="B18966" s="151" t="s">
        <v>7855</v>
      </c>
      <c r="C18966" s="410">
        <v>46.726999999999997</v>
      </c>
      <c r="D18966" s="2738">
        <f>VLOOKUP(H18966,indexy!$C$44:$D$823,2,FALSE)</f>
        <v>48.95</v>
      </c>
      <c r="E18966" s="1463">
        <f t="shared" si="350"/>
        <v>4.7574207631562171E-2</v>
      </c>
      <c r="F18966" s="1494">
        <f t="shared" si="349"/>
        <v>9.5148415263124342E-4</v>
      </c>
      <c r="G18966" s="415"/>
      <c r="H18966" s="415" t="str">
        <f>VLOOKUP(B18966,indexy!$A$44:$D$823,3,FALSE)</f>
        <v>ENB CT Equity</v>
      </c>
      <c r="J18966" s="434"/>
    </row>
    <row r="18967" spans="1:12" ht="12.75" hidden="1" customHeight="1" outlineLevel="1" x14ac:dyDescent="0.25">
      <c r="A18967" s="135">
        <v>0.02</v>
      </c>
      <c r="B18967" s="151" t="s">
        <v>3799</v>
      </c>
      <c r="C18967" s="410">
        <v>14.913600000000001</v>
      </c>
      <c r="D18967" s="2738">
        <f>VLOOKUP(H18967,indexy!$C$44:$D$823,2,FALSE)/100</f>
        <v>17.085999999999999</v>
      </c>
      <c r="E18967" s="1463">
        <f t="shared" si="350"/>
        <v>0.14566570110503152</v>
      </c>
      <c r="F18967" s="1494">
        <f t="shared" si="349"/>
        <v>2.9133140221006305E-3</v>
      </c>
      <c r="G18967" s="415"/>
      <c r="H18967" s="415" t="str">
        <f>VLOOKUP(B18967,indexy!$A$44:$D$823,3,FALSE)</f>
        <v>GSK LN Equity</v>
      </c>
      <c r="J18967" s="434"/>
    </row>
    <row r="18968" spans="1:12" ht="12.75" hidden="1" customHeight="1" outlineLevel="1" x14ac:dyDescent="0.25">
      <c r="A18968" s="135">
        <v>0.02</v>
      </c>
      <c r="B18968" s="151" t="s">
        <v>10643</v>
      </c>
      <c r="C18968" s="410">
        <v>40.439</v>
      </c>
      <c r="D18968" s="2738">
        <f>VLOOKUP(H18968,indexy!$C$44:$D$823,2,FALSE)</f>
        <v>43.32</v>
      </c>
      <c r="E18968" s="1463">
        <f t="shared" si="350"/>
        <v>7.1243106901753173E-2</v>
      </c>
      <c r="F18968" s="1494">
        <f t="shared" si="349"/>
        <v>1.4248621380350635E-3</v>
      </c>
      <c r="G18968" s="415"/>
      <c r="H18968" s="415" t="str">
        <f>VLOOKUP(B18968,indexy!$A$44:$D$823,3,FALSE)</f>
        <v>GWO CT Equity</v>
      </c>
      <c r="J18968" s="434"/>
    </row>
    <row r="18969" spans="1:12" ht="12.75" hidden="1" customHeight="1" outlineLevel="1" x14ac:dyDescent="0.25">
      <c r="A18969" s="135">
        <v>0.06</v>
      </c>
      <c r="B18969" s="151" t="s">
        <v>7574</v>
      </c>
      <c r="C18969" s="410">
        <v>58.073999999999998</v>
      </c>
      <c r="D18969" s="2738">
        <f>VLOOKUP(H18969,indexy!$C$44:$D$823,2,FALSE)</f>
        <v>81.66</v>
      </c>
      <c r="E18969" s="1463">
        <f t="shared" si="350"/>
        <v>0.40613699762372146</v>
      </c>
      <c r="F18969" s="1494">
        <f t="shared" si="349"/>
        <v>2.4368219857423289E-2</v>
      </c>
      <c r="G18969" s="415"/>
      <c r="H18969" s="415" t="str">
        <f>VLOOKUP(B18969,indexy!$A$44:$D$823,3,FALSE)</f>
        <v>HOLN SE Equity</v>
      </c>
      <c r="J18969" s="434"/>
    </row>
    <row r="18970" spans="1:12" ht="12.75" hidden="1" customHeight="1" outlineLevel="1" x14ac:dyDescent="0.25">
      <c r="A18970" s="135">
        <v>0.02</v>
      </c>
      <c r="B18970" s="151" t="s">
        <v>4034</v>
      </c>
      <c r="C18970" s="410">
        <v>29.0625</v>
      </c>
      <c r="D18970" s="2738">
        <f>VLOOKUP(H18970,indexy!$C$44:$D$823,2,FALSE)</f>
        <v>27.72</v>
      </c>
      <c r="E18970" s="1463">
        <f t="shared" si="350"/>
        <v>-4.6193548387096772E-2</v>
      </c>
      <c r="F18970" s="1494">
        <f t="shared" si="349"/>
        <v>-9.2387096774193544E-4</v>
      </c>
      <c r="G18970" s="415"/>
      <c r="H18970" s="415" t="str">
        <f>VLOOKUP(B18970,indexy!$A$44:$D$823,3,FALSE)</f>
        <v>AD NA Equity</v>
      </c>
      <c r="J18970" s="434"/>
    </row>
    <row r="18971" spans="1:12" ht="12.75" hidden="1" customHeight="1" outlineLevel="1" x14ac:dyDescent="0.25">
      <c r="A18971" s="135">
        <v>0.02</v>
      </c>
      <c r="B18971" s="151" t="s">
        <v>4143</v>
      </c>
      <c r="C18971" s="410">
        <v>3.2292999999999998</v>
      </c>
      <c r="D18971" s="2738">
        <f>VLOOKUP(H18971,indexy!$C$44:$D$823,2,FALSE)</f>
        <v>3.4660000000000002</v>
      </c>
      <c r="E18971" s="1463">
        <f t="shared" si="350"/>
        <v>7.3297618678970888E-2</v>
      </c>
      <c r="F18971" s="1494">
        <f t="shared" si="349"/>
        <v>1.4659523735794178E-3</v>
      </c>
      <c r="G18971" s="415"/>
      <c r="H18971" s="415" t="str">
        <f>VLOOKUP(B18971,indexy!$A$44:$D$823,3,FALSE)</f>
        <v>KPN NA Equity</v>
      </c>
      <c r="J18971" s="434"/>
    </row>
    <row r="18972" spans="1:12" ht="12.75" hidden="1" customHeight="1" outlineLevel="1" x14ac:dyDescent="0.25">
      <c r="A18972" s="135">
        <v>0.02</v>
      </c>
      <c r="B18972" s="151" t="s">
        <v>7573</v>
      </c>
      <c r="C18972" s="410">
        <v>33.643000000000001</v>
      </c>
      <c r="D18972" s="2738">
        <f>VLOOKUP(H18972,indexy!$C$44:$D$823,2,FALSE)</f>
        <v>36.9</v>
      </c>
      <c r="E18972" s="1463">
        <f t="shared" si="350"/>
        <v>9.681062925422812E-2</v>
      </c>
      <c r="F18972" s="1494">
        <f t="shared" si="349"/>
        <v>1.9362125850845625E-3</v>
      </c>
      <c r="G18972" s="415"/>
      <c r="H18972" s="415" t="str">
        <f>VLOOKUP(B18972,indexy!$A$44:$D$823,3,FALSE)</f>
        <v>KHC UW Equity</v>
      </c>
      <c r="J18972" s="434"/>
    </row>
    <row r="18973" spans="1:12" ht="12.75" hidden="1" customHeight="1" outlineLevel="1" x14ac:dyDescent="0.25">
      <c r="A18973" s="135">
        <v>0.06</v>
      </c>
      <c r="B18973" s="151" t="s">
        <v>3528</v>
      </c>
      <c r="C18973" s="2740">
        <v>2627.9</v>
      </c>
      <c r="D18973" s="2738">
        <f>VLOOKUP(H18973,indexy!$C$44:$D$823,2,FALSE)</f>
        <v>2988</v>
      </c>
      <c r="E18973" s="1463">
        <f t="shared" si="350"/>
        <v>0.13702956733513449</v>
      </c>
      <c r="F18973" s="1494">
        <f t="shared" si="349"/>
        <v>8.221774040108069E-3</v>
      </c>
      <c r="G18973" s="415"/>
      <c r="H18973" s="415" t="str">
        <f>VLOOKUP(B18973,indexy!$A$44:$D$823,3,FALSE)</f>
        <v>8411 JT Equity</v>
      </c>
      <c r="J18973" s="434"/>
    </row>
    <row r="18974" spans="1:12" ht="12.75" hidden="1" customHeight="1" outlineLevel="1" x14ac:dyDescent="0.25">
      <c r="A18974" s="135">
        <v>0.02</v>
      </c>
      <c r="B18974" s="151" t="s">
        <v>8336</v>
      </c>
      <c r="C18974" s="410">
        <v>29.187999999999999</v>
      </c>
      <c r="D18974" s="2738">
        <f>VLOOKUP(H18974,indexy!$C$44:$D$823,2,FALSE)</f>
        <v>34.64</v>
      </c>
      <c r="E18974" s="1463">
        <f t="shared" si="350"/>
        <v>0.18678909140742772</v>
      </c>
      <c r="F18974" s="1494">
        <f t="shared" si="349"/>
        <v>3.7357818281485546E-3</v>
      </c>
      <c r="G18974" s="415"/>
      <c r="H18974" s="415" t="str">
        <f>VLOOKUP(B18974,indexy!$A$44:$D$823,3,FALSE)</f>
        <v>NAB AT Equity</v>
      </c>
      <c r="J18974" s="434"/>
    </row>
    <row r="18975" spans="1:12" ht="12.75" hidden="1" customHeight="1" outlineLevel="1" x14ac:dyDescent="0.25">
      <c r="A18975" s="135">
        <v>0.04</v>
      </c>
      <c r="B18975" s="151" t="s">
        <v>2786</v>
      </c>
      <c r="C18975" s="410">
        <v>10.141500000000001</v>
      </c>
      <c r="D18975" s="2738">
        <f>VLOOKUP(H18975,indexy!$C$44:$D$823,2,FALSE)/100</f>
        <v>10.66</v>
      </c>
      <c r="E18975" s="1463">
        <f t="shared" si="350"/>
        <v>5.1126559187496978E-2</v>
      </c>
      <c r="F18975" s="1494">
        <f t="shared" si="349"/>
        <v>2.0450623674998793E-3</v>
      </c>
      <c r="G18975" s="415"/>
      <c r="H18975" s="415" t="str">
        <f>VLOOKUP(B18975,indexy!$A$44:$D$823,3,FALSE)</f>
        <v>NG/ LN Equity</v>
      </c>
      <c r="J18975" s="434"/>
    </row>
    <row r="18976" spans="1:12" ht="12.75" hidden="1" customHeight="1" outlineLevel="1" x14ac:dyDescent="0.25">
      <c r="A18976" s="135">
        <v>0.05</v>
      </c>
      <c r="B18976" s="151" t="s">
        <v>2787</v>
      </c>
      <c r="C18976" s="410">
        <v>90.903000000000006</v>
      </c>
      <c r="D18976" s="2738">
        <f>VLOOKUP(H18976,indexy!$C$44:$D$823,2,FALSE)</f>
        <v>87.37</v>
      </c>
      <c r="E18976" s="1463">
        <f t="shared" si="350"/>
        <v>-3.8865603995467679E-2</v>
      </c>
      <c r="F18976" s="1494">
        <f t="shared" si="349"/>
        <v>-1.943280199773384E-3</v>
      </c>
      <c r="G18976" s="415"/>
      <c r="H18976" s="415" t="str">
        <f>VLOOKUP(B18976,indexy!$A$44:$D$823,3,FALSE)</f>
        <v>NOVN SE Equity</v>
      </c>
      <c r="J18976" s="434"/>
    </row>
    <row r="18977" spans="1:10" ht="12.75" hidden="1" customHeight="1" outlineLevel="1" x14ac:dyDescent="0.25">
      <c r="A18977" s="135">
        <v>0.04</v>
      </c>
      <c r="B18977" s="151" t="s">
        <v>5824</v>
      </c>
      <c r="C18977" s="410">
        <v>11.044</v>
      </c>
      <c r="D18977" s="2738">
        <f>VLOOKUP(H18977,indexy!$C$44:$D$823,2,FALSE)</f>
        <v>10.888</v>
      </c>
      <c r="E18977" s="1463">
        <f t="shared" si="350"/>
        <v>-1.4125316914161634E-2</v>
      </c>
      <c r="F18977" s="1494">
        <f t="shared" si="349"/>
        <v>-5.6501267656646533E-4</v>
      </c>
      <c r="G18977" s="415"/>
      <c r="H18977" s="415" t="str">
        <f>VLOOKUP(B18977,indexy!$A$44:$D$823,3,FALSE)</f>
        <v>ORA FP Equity</v>
      </c>
      <c r="J18977" s="434"/>
    </row>
    <row r="18978" spans="1:10" ht="12.75" hidden="1" customHeight="1" outlineLevel="1" x14ac:dyDescent="0.25">
      <c r="A18978" s="135">
        <v>0.02</v>
      </c>
      <c r="B18978" s="151" t="s">
        <v>9516</v>
      </c>
      <c r="C18978" s="410">
        <v>41.637</v>
      </c>
      <c r="D18978" s="2738">
        <f>VLOOKUP(H18978,indexy!$C$44:$D$823,2,FALSE)</f>
        <v>47.81</v>
      </c>
      <c r="E18978" s="1463">
        <f t="shared" si="350"/>
        <v>0.14825755938228014</v>
      </c>
      <c r="F18978" s="1494">
        <f t="shared" si="349"/>
        <v>2.9651511876456027E-3</v>
      </c>
      <c r="G18978" s="415"/>
      <c r="H18978" s="415" t="str">
        <f>VLOOKUP(B18978,indexy!$A$44:$D$823,3,FALSE)</f>
        <v>PPL CT Equity</v>
      </c>
      <c r="J18978" s="434"/>
    </row>
    <row r="18979" spans="1:10" ht="12.75" hidden="1" customHeight="1" outlineLevel="1" x14ac:dyDescent="0.25">
      <c r="A18979" s="135">
        <v>0.02</v>
      </c>
      <c r="B18979" s="151" t="s">
        <v>10429</v>
      </c>
      <c r="C18979" s="410">
        <v>37.798999999999999</v>
      </c>
      <c r="D18979" s="2738">
        <f>VLOOKUP(H18979,indexy!$C$44:$D$823,2,FALSE)</f>
        <v>37.979999999999997</v>
      </c>
      <c r="E18979" s="1463">
        <f t="shared" si="350"/>
        <v>4.7884864678959804E-3</v>
      </c>
      <c r="F18979" s="1494">
        <f t="shared" si="349"/>
        <v>9.5769729357919611E-5</v>
      </c>
      <c r="G18979" s="415"/>
      <c r="H18979" s="415" t="str">
        <f>VLOOKUP(B18979,indexy!$A$44:$D$823,3,FALSE)</f>
        <v>POW CT Equity</v>
      </c>
      <c r="J18979" s="434"/>
    </row>
    <row r="18980" spans="1:10" ht="12.75" hidden="1" customHeight="1" outlineLevel="1" x14ac:dyDescent="0.25">
      <c r="A18980" s="135">
        <v>0.02</v>
      </c>
      <c r="B18980" s="151" t="s">
        <v>6270</v>
      </c>
      <c r="C18980" s="410">
        <v>41.162999999999997</v>
      </c>
      <c r="D18980" s="2738">
        <f>VLOOKUP(H18980,indexy!$C$44:$D$823,2,FALSE)</f>
        <v>39.515000000000001</v>
      </c>
      <c r="E18980" s="1463">
        <f t="shared" si="350"/>
        <v>-4.0035954619439651E-2</v>
      </c>
      <c r="F18980" s="1494">
        <f t="shared" si="349"/>
        <v>-8.0071909238879299E-4</v>
      </c>
      <c r="G18980" s="415"/>
      <c r="H18980" s="415" t="str">
        <f>VLOOKUP(B18980,indexy!$A$44:$D$823,3,FALSE)</f>
        <v>SAMPO FH Equity</v>
      </c>
      <c r="J18980" s="434"/>
    </row>
    <row r="18981" spans="1:10" ht="12.75" hidden="1" customHeight="1" outlineLevel="1" x14ac:dyDescent="0.25">
      <c r="A18981" s="135">
        <v>0.08</v>
      </c>
      <c r="B18981" s="151" t="s">
        <v>10529</v>
      </c>
      <c r="C18981" s="410">
        <v>1744.9</v>
      </c>
      <c r="D18981" s="2738">
        <f>VLOOKUP(H18981,indexy!$C$44:$D$823,2,FALSE)</f>
        <v>1941</v>
      </c>
      <c r="E18981" s="1463">
        <f t="shared" si="350"/>
        <v>0.11238466387758606</v>
      </c>
      <c r="F18981" s="1494">
        <f t="shared" si="349"/>
        <v>8.9907731102068841E-3</v>
      </c>
      <c r="G18981" s="415"/>
      <c r="H18981" s="415" t="str">
        <f>VLOOKUP(B18981,indexy!$A$44:$D$823,3,FALSE)</f>
        <v>9434 JT Equity</v>
      </c>
      <c r="J18981" s="434"/>
    </row>
    <row r="18982" spans="1:10" ht="12.75" hidden="1" customHeight="1" outlineLevel="1" x14ac:dyDescent="0.25">
      <c r="A18982" s="135">
        <v>0.06</v>
      </c>
      <c r="B18982" s="151" t="s">
        <v>702</v>
      </c>
      <c r="C18982" s="410">
        <v>7459.6</v>
      </c>
      <c r="D18982" s="2738">
        <f>VLOOKUP(H18982,indexy!$C$44:$D$823,2,FALSE)</f>
        <v>8832</v>
      </c>
      <c r="E18982" s="1463">
        <f t="shared" si="350"/>
        <v>0.18397769317389656</v>
      </c>
      <c r="F18982" s="1494">
        <f t="shared" si="349"/>
        <v>1.1038661590433794E-2</v>
      </c>
      <c r="G18982" s="415"/>
      <c r="H18982" s="415" t="str">
        <f>VLOOKUP(B18982,indexy!$A$44:$D$823,3,FALSE)</f>
        <v>8316 JT Equity</v>
      </c>
      <c r="J18982" s="434"/>
    </row>
    <row r="18983" spans="1:10" ht="12.75" hidden="1" customHeight="1" outlineLevel="1" x14ac:dyDescent="0.25">
      <c r="A18983" s="135">
        <v>7.0000000000000007E-2</v>
      </c>
      <c r="B18983" s="151" t="s">
        <v>6118</v>
      </c>
      <c r="C18983" s="410">
        <v>92.75</v>
      </c>
      <c r="D18983" s="2738">
        <f>VLOOKUP(H18983,indexy!$C$44:$D$823,2,FALSE)</f>
        <v>115.95</v>
      </c>
      <c r="E18983" s="1463">
        <f t="shared" si="350"/>
        <v>0.25013477088948788</v>
      </c>
      <c r="F18983" s="1494">
        <f t="shared" si="349"/>
        <v>1.7509433962264152E-2</v>
      </c>
      <c r="G18983" s="415"/>
      <c r="H18983" s="415" t="str">
        <f>VLOOKUP(B18983,indexy!$A$44:$D$823,3,FALSE)</f>
        <v>SREN SE Equity</v>
      </c>
      <c r="J18983" s="434"/>
    </row>
    <row r="18984" spans="1:10" ht="12.75" hidden="1" customHeight="1" outlineLevel="1" x14ac:dyDescent="0.25">
      <c r="A18984" s="135">
        <v>0.05</v>
      </c>
      <c r="B18984" s="151" t="s">
        <v>3022</v>
      </c>
      <c r="C18984" s="410">
        <v>4721.2</v>
      </c>
      <c r="D18984" s="2738">
        <f>VLOOKUP(H18984,indexy!$C$44:$D$823,2,FALSE)</f>
        <v>4203</v>
      </c>
      <c r="E18984" s="1463">
        <f t="shared" si="350"/>
        <v>-0.10976023044988559</v>
      </c>
      <c r="F18984" s="1494">
        <f t="shared" si="349"/>
        <v>-5.4880115224942797E-3</v>
      </c>
      <c r="G18984" s="415"/>
      <c r="H18984" s="415" t="str">
        <f>VLOOKUP(B18984,indexy!$A$44:$D$823,3,FALSE)</f>
        <v>4502 JT Equity</v>
      </c>
      <c r="J18984" s="434"/>
    </row>
    <row r="18985" spans="1:10" ht="12.75" hidden="1" customHeight="1" outlineLevel="1" x14ac:dyDescent="0.25">
      <c r="A18985" s="135">
        <v>0.02</v>
      </c>
      <c r="B18985" s="151" t="s">
        <v>366</v>
      </c>
      <c r="C18985" s="410">
        <v>49.720999999999997</v>
      </c>
      <c r="D18985" s="2738">
        <f>VLOOKUP(H18985,indexy!$C$44:$D$823,2,FALSE)</f>
        <v>54.44</v>
      </c>
      <c r="E18985" s="1463">
        <f t="shared" si="350"/>
        <v>9.490959554313072E-2</v>
      </c>
      <c r="F18985" s="1494">
        <f t="shared" si="349"/>
        <v>1.8981919108626145E-3</v>
      </c>
      <c r="G18985" s="415"/>
      <c r="H18985" s="415" t="str">
        <f>VLOOKUP(B18985,indexy!$A$44:$D$823,3,FALSE)</f>
        <v>TRP CT Equity</v>
      </c>
      <c r="J18985" s="434"/>
    </row>
    <row r="18986" spans="1:10" ht="12.75" hidden="1" customHeight="1" outlineLevel="1" x14ac:dyDescent="0.25">
      <c r="A18986" s="135">
        <v>0.06</v>
      </c>
      <c r="B18986" s="151" t="s">
        <v>434</v>
      </c>
      <c r="C18986" s="410">
        <v>22.669</v>
      </c>
      <c r="D18986" s="2738">
        <f>VLOOKUP(H18986,indexy!$C$44:$D$823,2,FALSE)</f>
        <v>27.43</v>
      </c>
      <c r="E18986" s="1463">
        <f t="shared" si="350"/>
        <v>0.21002249768406189</v>
      </c>
      <c r="F18986" s="1494">
        <f>E18986*A18986</f>
        <v>1.2601349861043713E-2</v>
      </c>
      <c r="G18986" s="415"/>
      <c r="H18986" s="415" t="str">
        <f>VLOOKUP(B18986,indexy!$A$44:$D$823,3,FALSE)</f>
        <v>TELIA SS Equity</v>
      </c>
      <c r="J18986" s="434"/>
    </row>
    <row r="18987" spans="1:10" ht="12.75" hidden="1" customHeight="1" outlineLevel="1" x14ac:dyDescent="0.25">
      <c r="A18987" s="135">
        <v>0.04</v>
      </c>
      <c r="B18987" s="151" t="s">
        <v>583</v>
      </c>
      <c r="C18987" s="410">
        <v>2.6667000000000001</v>
      </c>
      <c r="D18987" s="2738">
        <f>VLOOKUP(H18987,indexy!$C$44:$D$946,2,FALSE)/100</f>
        <v>2.9660000000000002</v>
      </c>
      <c r="E18987" s="1463">
        <f t="shared" si="350"/>
        <v>0.11223609704878701</v>
      </c>
      <c r="F18987" s="1494">
        <f>E18987*A18987</f>
        <v>4.4894438819514807E-3</v>
      </c>
      <c r="G18987" s="415"/>
      <c r="H18987" s="415" t="str">
        <f>VLOOKUP(B18987,indexy!$A$44:$D$946,3,FALSE)</f>
        <v>TSCO LN Equity</v>
      </c>
      <c r="J18987" s="434"/>
    </row>
    <row r="18988" spans="1:10" ht="12.75" hidden="1" customHeight="1" outlineLevel="1" x14ac:dyDescent="0.25">
      <c r="A18988" s="135">
        <v>0.02</v>
      </c>
      <c r="B18988" s="151" t="s">
        <v>255</v>
      </c>
      <c r="C18988" s="410">
        <v>33.694000000000003</v>
      </c>
      <c r="D18988" s="2738">
        <f>VLOOKUP(H18988,indexy!$C$44:$D$823,2,FALSE)</f>
        <v>41.96</v>
      </c>
      <c r="E18988" s="1463">
        <f t="shared" si="350"/>
        <v>0.24532557725411053</v>
      </c>
      <c r="F18988" s="1494">
        <f>E18988*A18988</f>
        <v>4.9065115450822108E-3</v>
      </c>
      <c r="G18988" s="415"/>
      <c r="H18988" s="415" t="str">
        <f>VLOOKUP(B18988,indexy!$A$44:$D$823,3,FALSE)</f>
        <v>VZ UN Equity</v>
      </c>
      <c r="J18988" s="434"/>
    </row>
    <row r="18989" spans="1:10" ht="12.75" hidden="1" customHeight="1" outlineLevel="1" x14ac:dyDescent="0.25">
      <c r="A18989" s="135">
        <v>0.02</v>
      </c>
      <c r="B18989" s="151" t="s">
        <v>5626</v>
      </c>
      <c r="C18989" s="410">
        <v>21.515999999999998</v>
      </c>
      <c r="D18989" s="2738">
        <f>VLOOKUP(H18989,indexy!$C$44:$D$823,2,FALSE)</f>
        <v>26.1</v>
      </c>
      <c r="E18989" s="1463">
        <f t="shared" si="350"/>
        <v>0.21305075292805364</v>
      </c>
      <c r="F18989" s="1494">
        <f>E18989*A18989</f>
        <v>4.2610150585610726E-3</v>
      </c>
      <c r="G18989" s="415"/>
      <c r="H18989" s="415" t="str">
        <f>VLOOKUP(B18989,indexy!$A$44:$D$823,3,FALSE)</f>
        <v>WBC AT Equity</v>
      </c>
      <c r="J18989" s="434"/>
    </row>
    <row r="18990" spans="1:10" ht="12.75" hidden="1" customHeight="1" outlineLevel="1" x14ac:dyDescent="0.25">
      <c r="A18990" s="135">
        <v>0.03</v>
      </c>
      <c r="B18990" s="2736" t="s">
        <v>3306</v>
      </c>
      <c r="C18990" s="2741">
        <v>7.6181999999999999</v>
      </c>
      <c r="D18990" s="2739">
        <f>VLOOKUP(H18990,indexy!$C$44:$D$823,2,FALSE)/100</f>
        <v>7.5360000000000005</v>
      </c>
      <c r="E18990" s="1463">
        <f t="shared" si="350"/>
        <v>-1.078995038197994E-2</v>
      </c>
      <c r="F18990" s="1494">
        <f>E18990*A18990</f>
        <v>-3.2369851145939819E-4</v>
      </c>
      <c r="G18990" s="415"/>
      <c r="H18990" s="415" t="str">
        <f>VLOOKUP(B18990,indexy!$A$44:$D$823,3,FALSE)</f>
        <v>WPP LN Equity</v>
      </c>
      <c r="J18990" s="434"/>
    </row>
    <row r="18991" spans="1:10" ht="12.75" hidden="1" customHeight="1" outlineLevel="1" x14ac:dyDescent="0.25">
      <c r="A18991" s="3698" t="s">
        <v>2734</v>
      </c>
      <c r="B18991" s="3699"/>
      <c r="C18991" s="3700">
        <v>100</v>
      </c>
      <c r="D18991" s="3700"/>
      <c r="E18991" s="3701"/>
      <c r="F18991" s="3701">
        <f>SUM(F18961:F18990)</f>
        <v>0.12310958043046093</v>
      </c>
      <c r="G18991" s="415"/>
      <c r="H18991" s="415"/>
    </row>
    <row r="18992" spans="1:10" ht="12.75" hidden="1" customHeight="1" outlineLevel="1" x14ac:dyDescent="0.25">
      <c r="A18992" s="221"/>
      <c r="B18992" s="1478">
        <v>46569</v>
      </c>
      <c r="C18992" s="1497">
        <v>100</v>
      </c>
      <c r="D18992" s="1497"/>
      <c r="E18992" s="1498">
        <f>IF(D18992="",$F$18991,D18992/C18992-1)</f>
        <v>0.12310958043046093</v>
      </c>
      <c r="F18992" s="1499"/>
      <c r="G18992" s="415"/>
      <c r="H18992" s="415"/>
    </row>
    <row r="18993" spans="1:8" ht="12.75" hidden="1" customHeight="1" outlineLevel="1" x14ac:dyDescent="0.25">
      <c r="A18993" s="221"/>
      <c r="B18993" s="1478">
        <v>46600</v>
      </c>
      <c r="C18993" s="1497">
        <v>100</v>
      </c>
      <c r="D18993" s="1500"/>
      <c r="E18993" s="1498">
        <f t="shared" ref="E18993:E19003" si="351">IF(D18993="",$F$18991,D18993/C18993-1)</f>
        <v>0.12310958043046093</v>
      </c>
      <c r="F18993" s="1499"/>
      <c r="G18993" s="415"/>
      <c r="H18993" s="415"/>
    </row>
    <row r="18994" spans="1:8" ht="12.75" hidden="1" customHeight="1" outlineLevel="1" x14ac:dyDescent="0.25">
      <c r="A18994" s="221"/>
      <c r="B18994" s="1478">
        <v>46631</v>
      </c>
      <c r="C18994" s="1497">
        <v>100</v>
      </c>
      <c r="D18994" s="1500"/>
      <c r="E18994" s="1498">
        <f t="shared" si="351"/>
        <v>0.12310958043046093</v>
      </c>
      <c r="F18994" s="1499"/>
      <c r="G18994" s="415"/>
      <c r="H18994" s="415"/>
    </row>
    <row r="18995" spans="1:8" ht="12.75" hidden="1" customHeight="1" outlineLevel="1" x14ac:dyDescent="0.25">
      <c r="A18995" s="221"/>
      <c r="B18995" s="1478">
        <v>46661</v>
      </c>
      <c r="C18995" s="1497">
        <v>100</v>
      </c>
      <c r="D18995" s="1500"/>
      <c r="E18995" s="1498">
        <f t="shared" si="351"/>
        <v>0.12310958043046093</v>
      </c>
      <c r="F18995" s="1499"/>
      <c r="G18995" s="415"/>
      <c r="H18995" s="415"/>
    </row>
    <row r="18996" spans="1:8" ht="12.75" hidden="1" customHeight="1" outlineLevel="1" x14ac:dyDescent="0.25">
      <c r="A18996" s="221"/>
      <c r="B18996" s="1478">
        <v>46692</v>
      </c>
      <c r="C18996" s="1497">
        <v>100</v>
      </c>
      <c r="D18996" s="1500"/>
      <c r="E18996" s="1498">
        <f t="shared" si="351"/>
        <v>0.12310958043046093</v>
      </c>
      <c r="F18996" s="1499"/>
      <c r="G18996" s="415"/>
      <c r="H18996" s="415"/>
    </row>
    <row r="18997" spans="1:8" ht="12.75" hidden="1" customHeight="1" outlineLevel="1" x14ac:dyDescent="0.25">
      <c r="A18997" s="221"/>
      <c r="B18997" s="1478">
        <v>46722</v>
      </c>
      <c r="C18997" s="1497">
        <v>100</v>
      </c>
      <c r="D18997" s="1500"/>
      <c r="E18997" s="1498">
        <f t="shared" si="351"/>
        <v>0.12310958043046093</v>
      </c>
      <c r="F18997" s="1499"/>
      <c r="G18997" s="415"/>
      <c r="H18997" s="415"/>
    </row>
    <row r="18998" spans="1:8" ht="12.75" hidden="1" customHeight="1" outlineLevel="1" x14ac:dyDescent="0.25">
      <c r="A18998" s="221"/>
      <c r="B18998" s="1478">
        <v>46753</v>
      </c>
      <c r="C18998" s="1497">
        <v>100</v>
      </c>
      <c r="D18998" s="1500"/>
      <c r="E18998" s="1498">
        <f t="shared" si="351"/>
        <v>0.12310958043046093</v>
      </c>
      <c r="F18998" s="1499"/>
      <c r="G18998" s="415"/>
      <c r="H18998" s="415"/>
    </row>
    <row r="18999" spans="1:8" ht="12.75" hidden="1" customHeight="1" outlineLevel="1" x14ac:dyDescent="0.25">
      <c r="A18999" s="221"/>
      <c r="B18999" s="1478">
        <v>46784</v>
      </c>
      <c r="C18999" s="1497">
        <v>100</v>
      </c>
      <c r="D18999" s="1500"/>
      <c r="E18999" s="1498">
        <f t="shared" si="351"/>
        <v>0.12310958043046093</v>
      </c>
      <c r="F18999" s="1499"/>
      <c r="G18999" s="415"/>
      <c r="H18999" s="415"/>
    </row>
    <row r="19000" spans="1:8" ht="12.75" hidden="1" customHeight="1" outlineLevel="1" x14ac:dyDescent="0.25">
      <c r="A19000" s="221"/>
      <c r="B19000" s="1478">
        <v>46813</v>
      </c>
      <c r="C19000" s="1497">
        <v>100</v>
      </c>
      <c r="D19000" s="1500"/>
      <c r="E19000" s="1498">
        <f t="shared" si="351"/>
        <v>0.12310958043046093</v>
      </c>
      <c r="F19000" s="1499"/>
      <c r="G19000" s="415"/>
      <c r="H19000" s="415"/>
    </row>
    <row r="19001" spans="1:8" ht="12.75" hidden="1" customHeight="1" outlineLevel="1" x14ac:dyDescent="0.25">
      <c r="A19001" s="221"/>
      <c r="B19001" s="1478">
        <v>46844</v>
      </c>
      <c r="C19001" s="1497">
        <v>100</v>
      </c>
      <c r="D19001" s="1500"/>
      <c r="E19001" s="1498">
        <f t="shared" si="351"/>
        <v>0.12310958043046093</v>
      </c>
      <c r="F19001" s="1499"/>
      <c r="G19001" s="415"/>
      <c r="H19001" s="415"/>
    </row>
    <row r="19002" spans="1:8" ht="12.75" hidden="1" customHeight="1" outlineLevel="1" x14ac:dyDescent="0.25">
      <c r="A19002" s="221"/>
      <c r="B19002" s="1478">
        <v>46874</v>
      </c>
      <c r="C19002" s="1497">
        <v>100</v>
      </c>
      <c r="D19002" s="1500"/>
      <c r="E19002" s="1498">
        <f t="shared" si="351"/>
        <v>0.12310958043046093</v>
      </c>
      <c r="F19002" s="1499"/>
      <c r="G19002" s="415"/>
      <c r="H19002" s="415"/>
    </row>
    <row r="19003" spans="1:8" ht="12.75" hidden="1" customHeight="1" outlineLevel="1" x14ac:dyDescent="0.25">
      <c r="A19003" s="221"/>
      <c r="B19003" s="1478">
        <v>46905</v>
      </c>
      <c r="C19003" s="1497">
        <v>100</v>
      </c>
      <c r="D19003" s="1500"/>
      <c r="E19003" s="1498">
        <f t="shared" si="351"/>
        <v>0.12310958043046093</v>
      </c>
      <c r="F19003" s="1499"/>
      <c r="G19003" s="415"/>
      <c r="H19003" s="415"/>
    </row>
    <row r="19004" spans="1:8" s="444" customFormat="1" ht="12.75" hidden="1" customHeight="1" outlineLevel="1" x14ac:dyDescent="0.25">
      <c r="A19004" s="1483" t="s">
        <v>2734</v>
      </c>
      <c r="B19004" s="1484"/>
      <c r="C19004" s="1500"/>
      <c r="D19004" s="1485" t="s">
        <v>2465</v>
      </c>
      <c r="E19004" s="1486">
        <f>AVERAGE(E18992:E19003)</f>
        <v>0.12310958043046093</v>
      </c>
      <c r="F19004" s="1487">
        <f>+(((E19004*100)+100)-I18961)/100</f>
        <v>0.14730058043046099</v>
      </c>
    </row>
    <row r="19005" spans="1:8" collapsed="1" x14ac:dyDescent="0.25">
      <c r="A19005" s="3799" t="s">
        <v>10794</v>
      </c>
      <c r="B19005" s="3800"/>
      <c r="C19005" s="3800"/>
      <c r="D19005" s="3800"/>
      <c r="E19005" s="18"/>
      <c r="F19005" s="186">
        <f>MIN(MAX(8%,+F19004),120%)</f>
        <v>0.14730058043046099</v>
      </c>
      <c r="G19005" s="415"/>
    </row>
    <row r="19007" spans="1:8" ht="12.75" hidden="1" customHeight="1" outlineLevel="1" x14ac:dyDescent="0.25">
      <c r="A19007" s="15" t="s">
        <v>4156</v>
      </c>
      <c r="B19007" s="15" t="s">
        <v>4153</v>
      </c>
      <c r="C19007" s="15" t="s">
        <v>112</v>
      </c>
      <c r="D19007" s="15" t="s">
        <v>4155</v>
      </c>
      <c r="E19007" s="15" t="s">
        <v>4154</v>
      </c>
      <c r="F19007" s="1882" t="s">
        <v>2519</v>
      </c>
      <c r="G19007" s="78"/>
    </row>
    <row r="19008" spans="1:8" ht="12.75" hidden="1" customHeight="1" outlineLevel="1" x14ac:dyDescent="0.25">
      <c r="A19008" s="2034">
        <v>0.03</v>
      </c>
      <c r="B19008" s="3727" t="s">
        <v>8978</v>
      </c>
      <c r="C19008" s="3729">
        <v>5629</v>
      </c>
      <c r="D19008" s="3272">
        <f>VLOOKUP($H19008,indexy!$C$44:$D$890,2,FALSE)</f>
        <v>5632</v>
      </c>
      <c r="E19008" s="2040">
        <f>$D19008/$C19008-1</f>
        <v>5.3295434357791827E-4</v>
      </c>
      <c r="F19008" s="2609">
        <f>$E19008*$A19008</f>
        <v>1.5988630307337546E-5</v>
      </c>
      <c r="G19008" s="78"/>
      <c r="H19008" t="str">
        <f>VLOOKUP(B19008,indexy!$A$44:$D$890,3,FALSE)</f>
        <v>2802 JT Equity</v>
      </c>
    </row>
    <row r="19009" spans="1:8" ht="12.75" hidden="1" customHeight="1" outlineLevel="1" x14ac:dyDescent="0.25">
      <c r="A19009" s="1911">
        <v>0.03</v>
      </c>
      <c r="B19009" s="3727" t="s">
        <v>5479</v>
      </c>
      <c r="C19009" s="2831">
        <v>23.507999999999999</v>
      </c>
      <c r="D19009" s="3273">
        <f>VLOOKUP($H19009,indexy!$C$44:$D$890,2,FALSE)/100</f>
        <v>24.98</v>
      </c>
      <c r="E19009" s="2043">
        <f t="shared" ref="E19009:E19037" si="352">$D19009/$C19009-1</f>
        <v>6.2616981453122333E-2</v>
      </c>
      <c r="F19009" s="2044">
        <f t="shared" ref="F19009:F19036" si="353">$E19009*$A19009</f>
        <v>1.87850944359367E-3</v>
      </c>
      <c r="G19009" s="78"/>
      <c r="H19009" t="str">
        <f>VLOOKUP(B19009,indexy!$A$44:$D$890,3,FALSE)</f>
        <v>ABF LN Equity</v>
      </c>
    </row>
    <row r="19010" spans="1:8" ht="12.75" hidden="1" customHeight="1" outlineLevel="1" x14ac:dyDescent="0.25">
      <c r="A19010" s="1911">
        <v>0.02</v>
      </c>
      <c r="B19010" s="3727" t="s">
        <v>3850</v>
      </c>
      <c r="C19010" s="2831">
        <v>40.69</v>
      </c>
      <c r="D19010" s="3273">
        <f>VLOOKUP($H19010,indexy!$C$44:$D$890,2,FALSE)</f>
        <v>44.45</v>
      </c>
      <c r="E19010" s="2043">
        <f t="shared" si="352"/>
        <v>9.2405996559351333E-2</v>
      </c>
      <c r="F19010" s="2044">
        <f t="shared" si="353"/>
        <v>1.8481199311870266E-3</v>
      </c>
      <c r="G19010" s="78"/>
      <c r="H19010" t="str">
        <f>VLOOKUP(B19010,indexy!$A$44:$D$890,3,FALSE)</f>
        <v>CPB UN Equity</v>
      </c>
    </row>
    <row r="19011" spans="1:8" ht="12.75" hidden="1" customHeight="1" outlineLevel="1" x14ac:dyDescent="0.25">
      <c r="A19011" s="1911">
        <v>0.02</v>
      </c>
      <c r="B19011" s="3727" t="s">
        <v>4515</v>
      </c>
      <c r="C19011" s="2831">
        <v>841.56</v>
      </c>
      <c r="D19011" s="3273">
        <f>VLOOKUP($H19011,indexy!$C$44:$D$890,2,FALSE)</f>
        <v>943.6</v>
      </c>
      <c r="E19011" s="2043">
        <f t="shared" si="352"/>
        <v>0.12125101002899386</v>
      </c>
      <c r="F19011" s="2044">
        <f t="shared" si="353"/>
        <v>2.4250202005798773E-3</v>
      </c>
      <c r="G19011" s="78"/>
      <c r="H19011" t="str">
        <f>VLOOKUP(B19011,indexy!$A$44:$D$890,3,FALSE)</f>
        <v>CARLB DC Equity</v>
      </c>
    </row>
    <row r="19012" spans="1:8" ht="12.75" hidden="1" customHeight="1" outlineLevel="1" x14ac:dyDescent="0.25">
      <c r="A19012" s="1911">
        <v>0.03</v>
      </c>
      <c r="B19012" s="3727" t="s">
        <v>3405</v>
      </c>
      <c r="C19012" s="3730">
        <v>17.0825</v>
      </c>
      <c r="D19012" s="3273">
        <f>VLOOKUP($H19012,indexy!$C$44:$D$890,2,FALSE)</f>
        <v>15.875</v>
      </c>
      <c r="E19012" s="2043">
        <f t="shared" si="352"/>
        <v>-7.0686374945119201E-2</v>
      </c>
      <c r="F19012" s="2044">
        <f t="shared" si="353"/>
        <v>-2.1205912483535758E-3</v>
      </c>
      <c r="G19012" s="78"/>
      <c r="H19012" t="str">
        <f>VLOOKUP(B19012,indexy!$A$44:$D$890,3,FALSE)</f>
        <v>CA FP Equity</v>
      </c>
    </row>
    <row r="19013" spans="1:8" ht="12.75" hidden="1" customHeight="1" outlineLevel="1" x14ac:dyDescent="0.25">
      <c r="A19013" s="1911">
        <v>0.05</v>
      </c>
      <c r="B19013" s="3727" t="s">
        <v>10799</v>
      </c>
      <c r="C19013" s="3730">
        <v>21.134</v>
      </c>
      <c r="D19013" s="3273">
        <f>VLOOKUP($H19013,indexy!$C$44:$D$890,2,FALSE)/100</f>
        <v>25.03</v>
      </c>
      <c r="E19013" s="2043">
        <f t="shared" si="352"/>
        <v>0.18434749692438723</v>
      </c>
      <c r="F19013" s="2044">
        <f t="shared" si="353"/>
        <v>9.2173748462193623E-3</v>
      </c>
      <c r="G19013" s="78"/>
      <c r="H19013" t="str">
        <f>VLOOKUP(B19013,indexy!$A$44:$D$890,3,FALSE)</f>
        <v>CCH LN Equity</v>
      </c>
    </row>
    <row r="19014" spans="1:8" ht="12.75" hidden="1" customHeight="1" outlineLevel="1" x14ac:dyDescent="0.25">
      <c r="A19014" s="1911">
        <v>0.02</v>
      </c>
      <c r="B19014" s="3727" t="s">
        <v>10801</v>
      </c>
      <c r="C19014" s="2831">
        <v>91.738</v>
      </c>
      <c r="D19014" s="3273">
        <f>VLOOKUP($H19014,indexy!$C$44:$D$890,2,FALSE)</f>
        <v>104.31</v>
      </c>
      <c r="E19014" s="2043">
        <f t="shared" si="352"/>
        <v>0.13704244696854095</v>
      </c>
      <c r="F19014" s="2044">
        <f t="shared" si="353"/>
        <v>2.7408489393708191E-3</v>
      </c>
      <c r="G19014" s="78"/>
      <c r="H19014" t="str">
        <f>VLOOKUP(B19014,indexy!$A$44:$D$890,3,FALSE)</f>
        <v>CHD UN Equity</v>
      </c>
    </row>
    <row r="19015" spans="1:8" ht="12.75" hidden="1" customHeight="1" outlineLevel="1" x14ac:dyDescent="0.25">
      <c r="A19015" s="1911">
        <v>0.02</v>
      </c>
      <c r="B19015" s="3727" t="s">
        <v>809</v>
      </c>
      <c r="C19015" s="2831">
        <v>136.92099999999999</v>
      </c>
      <c r="D19015" s="3273">
        <f>VLOOKUP($H19015,indexy!$C$44:$D$890,2,FALSE)</f>
        <v>153.11000000000001</v>
      </c>
      <c r="E19015" s="2043">
        <f t="shared" si="352"/>
        <v>0.11823606313129487</v>
      </c>
      <c r="F19015" s="2044">
        <f t="shared" si="353"/>
        <v>2.3647212626258973E-3</v>
      </c>
      <c r="G19015" s="78"/>
      <c r="H19015" t="str">
        <f>VLOOKUP(B19015,indexy!$A$44:$D$890,3,FALSE)</f>
        <v>CLX UN Equity</v>
      </c>
    </row>
    <row r="19016" spans="1:8" ht="12.75" hidden="1" customHeight="1" outlineLevel="1" x14ac:dyDescent="0.25">
      <c r="A19016" s="1911">
        <v>0.04</v>
      </c>
      <c r="B19016" s="3727" t="s">
        <v>53</v>
      </c>
      <c r="C19016" s="2831">
        <v>57.753999999999998</v>
      </c>
      <c r="D19016" s="3273">
        <f>VLOOKUP($H19016,indexy!$C$44:$D$890,2,FALSE)</f>
        <v>59.89</v>
      </c>
      <c r="E19016" s="2043">
        <f t="shared" si="352"/>
        <v>3.6984451293416987E-2</v>
      </c>
      <c r="F19016" s="2044">
        <f t="shared" si="353"/>
        <v>1.4793780517366796E-3</v>
      </c>
      <c r="G19016" s="78"/>
      <c r="H19016" t="str">
        <f>VLOOKUP(B19016,indexy!$A$44:$D$890,3,FALSE)</f>
        <v>BN FP Equity</v>
      </c>
    </row>
    <row r="19017" spans="1:8" ht="12.75" hidden="1" customHeight="1" outlineLevel="1" x14ac:dyDescent="0.25">
      <c r="A19017" s="1911">
        <v>0.02</v>
      </c>
      <c r="B19017" s="3727" t="s">
        <v>3406</v>
      </c>
      <c r="C19017" s="2831">
        <v>28.766500000000001</v>
      </c>
      <c r="D19017" s="3273">
        <f>VLOOKUP($H19017,indexy!$C$44:$D$890,2,FALSE)/100</f>
        <v>29.254999999999999</v>
      </c>
      <c r="E19017" s="2043">
        <f t="shared" si="352"/>
        <v>1.6981558409955966E-2</v>
      </c>
      <c r="F19017" s="2044">
        <f t="shared" si="353"/>
        <v>3.3963116819911931E-4</v>
      </c>
      <c r="G19017" s="78"/>
      <c r="H19017" t="str">
        <f>VLOOKUP(B19017,indexy!$A$44:$D$890,3,FALSE)</f>
        <v>DGE LN Equity</v>
      </c>
    </row>
    <row r="19018" spans="1:8" ht="12.75" hidden="1" customHeight="1" outlineLevel="1" x14ac:dyDescent="0.25">
      <c r="A19018" s="1911">
        <v>0.05</v>
      </c>
      <c r="B19018" s="3727" t="s">
        <v>10619</v>
      </c>
      <c r="C19018" s="2831">
        <v>254.82</v>
      </c>
      <c r="D19018" s="3273">
        <f>VLOOKUP($H19018,indexy!$C$44:$D$890,2,FALSE)</f>
        <v>254.2</v>
      </c>
      <c r="E19018" s="2043">
        <f t="shared" si="352"/>
        <v>-2.4330900243308973E-3</v>
      </c>
      <c r="F19018" s="2044">
        <f t="shared" si="353"/>
        <v>-1.2165450121654487E-4</v>
      </c>
      <c r="G19018" s="78"/>
      <c r="H19018" t="str">
        <f>VLOOKUP(B19018,indexy!$A$44:$D$890,3,FALSE)</f>
        <v>ESSITYB SS Equity</v>
      </c>
    </row>
    <row r="19019" spans="1:8" ht="12.75" hidden="1" customHeight="1" outlineLevel="1" x14ac:dyDescent="0.25">
      <c r="A19019" s="1911">
        <v>0.02</v>
      </c>
      <c r="B19019" s="3727" t="s">
        <v>5489</v>
      </c>
      <c r="C19019" s="2831">
        <v>64.924999999999997</v>
      </c>
      <c r="D19019" s="3273">
        <f>VLOOKUP($H19019,indexy!$C$44:$D$890,2,FALSE)</f>
        <v>69.97</v>
      </c>
      <c r="E19019" s="2043">
        <f t="shared" si="352"/>
        <v>7.7705044281863644E-2</v>
      </c>
      <c r="F19019" s="2044">
        <f t="shared" si="353"/>
        <v>1.5541008856372728E-3</v>
      </c>
      <c r="G19019" s="78"/>
      <c r="H19019" t="str">
        <f>VLOOKUP(B19019,indexy!$A$44:$D$890,3,FALSE)</f>
        <v>GIS UN Equity</v>
      </c>
    </row>
    <row r="19020" spans="1:8" ht="12.75" hidden="1" customHeight="1" outlineLevel="1" x14ac:dyDescent="0.25">
      <c r="A19020" s="1911">
        <v>0.02</v>
      </c>
      <c r="B19020" s="3727" t="s">
        <v>3319</v>
      </c>
      <c r="C19020" s="2831">
        <v>84.427999999999997</v>
      </c>
      <c r="D19020" s="3273">
        <f>VLOOKUP($H19020,indexy!$C$44:$D$890,2,FALSE)</f>
        <v>89.34</v>
      </c>
      <c r="E19020" s="2043">
        <f t="shared" si="352"/>
        <v>5.8179750793575735E-2</v>
      </c>
      <c r="F19020" s="2044">
        <f t="shared" si="353"/>
        <v>1.1635950158715147E-3</v>
      </c>
      <c r="G19020" s="78"/>
      <c r="H19020" t="str">
        <f>VLOOKUP(B19020,indexy!$A$44:$D$890,3,FALSE)</f>
        <v>HEIA NA Equity</v>
      </c>
    </row>
    <row r="19021" spans="1:8" ht="12.75" hidden="1" customHeight="1" outlineLevel="1" x14ac:dyDescent="0.25">
      <c r="A19021" s="1911">
        <v>0.02</v>
      </c>
      <c r="B19021" s="3727" t="s">
        <v>5492</v>
      </c>
      <c r="C19021" s="2831">
        <v>193.547</v>
      </c>
      <c r="D19021" s="3273">
        <f>VLOOKUP($H19021,indexy!$C$44:$D$890,2,FALSE)</f>
        <v>194.5</v>
      </c>
      <c r="E19021" s="2043">
        <f t="shared" si="352"/>
        <v>4.9238686210584248E-3</v>
      </c>
      <c r="F19021" s="2044">
        <f t="shared" si="353"/>
        <v>9.8477372421168502E-5</v>
      </c>
      <c r="G19021" s="78"/>
      <c r="H19021" t="str">
        <f>VLOOKUP(B19021,indexy!$A$44:$D$890,3,FALSE)</f>
        <v>HSY UN Equity</v>
      </c>
    </row>
    <row r="19022" spans="1:8" ht="12.75" hidden="1" customHeight="1" outlineLevel="1" x14ac:dyDescent="0.25">
      <c r="A19022" s="1911">
        <v>0.02</v>
      </c>
      <c r="B19022" s="3727" t="s">
        <v>10803</v>
      </c>
      <c r="C19022" s="2831">
        <f>9550.4/5</f>
        <v>1910.08</v>
      </c>
      <c r="D19022" s="3273">
        <f>VLOOKUP($H19022,indexy!$C$44:$D$890,2,FALSE)</f>
        <v>1936</v>
      </c>
      <c r="E19022" s="2043">
        <f t="shared" si="352"/>
        <v>1.3570112246607424E-2</v>
      </c>
      <c r="F19022" s="2044">
        <f t="shared" si="353"/>
        <v>2.7140224493214847E-4</v>
      </c>
      <c r="G19022" s="78"/>
      <c r="H19022" t="str">
        <f>VLOOKUP(B19022,indexy!$A$44:$D$890,3,FALSE)</f>
        <v>2801 JT Equity</v>
      </c>
    </row>
    <row r="19023" spans="1:8" ht="12.75" hidden="1" customHeight="1" outlineLevel="1" x14ac:dyDescent="0.25">
      <c r="A19023" s="1911">
        <v>0.02</v>
      </c>
      <c r="B19023" s="3727" t="s">
        <v>1381</v>
      </c>
      <c r="C19023" s="2831">
        <v>121.21899999999999</v>
      </c>
      <c r="D19023" s="3273">
        <f>VLOOKUP($H19023,indexy!$C$44:$D$890,2,FALSE)</f>
        <v>129.35</v>
      </c>
      <c r="E19023" s="2043">
        <f t="shared" si="352"/>
        <v>6.7076943383463039E-2</v>
      </c>
      <c r="F19023" s="2044">
        <f t="shared" si="353"/>
        <v>1.3415388676692609E-3</v>
      </c>
      <c r="G19023" s="78"/>
      <c r="H19023" t="str">
        <f>VLOOKUP(B19023,indexy!$A$44:$D$890,3,FALSE)</f>
        <v>KMB UN Equity</v>
      </c>
    </row>
    <row r="19024" spans="1:8" ht="12.75" hidden="1" customHeight="1" outlineLevel="1" x14ac:dyDescent="0.25">
      <c r="A19024" s="1911">
        <v>0.02</v>
      </c>
      <c r="B19024" s="3727" t="s">
        <v>4034</v>
      </c>
      <c r="C19024" s="2831">
        <v>26.774000000000001</v>
      </c>
      <c r="D19024" s="3273">
        <f>VLOOKUP($H19024,indexy!$C$44:$D$890,2,FALSE)</f>
        <v>27.72</v>
      </c>
      <c r="E19024" s="2043">
        <f t="shared" si="352"/>
        <v>3.5332785538208622E-2</v>
      </c>
      <c r="F19024" s="2044">
        <f t="shared" si="353"/>
        <v>7.066557107641725E-4</v>
      </c>
      <c r="G19024" s="78"/>
      <c r="H19024" t="str">
        <f>VLOOKUP(B19024,indexy!$A$44:$D$890,3,FALSE)</f>
        <v>AD NA Equity</v>
      </c>
    </row>
    <row r="19025" spans="1:8" ht="12.75" hidden="1" customHeight="1" outlineLevel="1" x14ac:dyDescent="0.25">
      <c r="A19025" s="1911">
        <v>0.02</v>
      </c>
      <c r="B19025" s="3727" t="s">
        <v>10805</v>
      </c>
      <c r="C19025" s="2831">
        <v>10512.1</v>
      </c>
      <c r="D19025" s="3273">
        <f>VLOOKUP($H19025,indexy!$C$44:$D$890,2,FALSE)</f>
        <v>8088</v>
      </c>
      <c r="E19025" s="2043">
        <f t="shared" si="352"/>
        <v>-0.23060092655130759</v>
      </c>
      <c r="F19025" s="2044">
        <f t="shared" si="353"/>
        <v>-4.6120185310261517E-3</v>
      </c>
      <c r="G19025" s="78"/>
      <c r="H19025" t="str">
        <f>VLOOKUP(B19025,indexy!$A$44:$D$890,3,FALSE)</f>
        <v>4922 JT Equity</v>
      </c>
    </row>
    <row r="19026" spans="1:8" ht="12.75" hidden="1" customHeight="1" outlineLevel="1" x14ac:dyDescent="0.25">
      <c r="A19026" s="1911">
        <v>0.02</v>
      </c>
      <c r="B19026" s="3727" t="s">
        <v>7573</v>
      </c>
      <c r="C19026" s="2831">
        <v>33.631</v>
      </c>
      <c r="D19026" s="3273">
        <f>VLOOKUP($H19026,indexy!$C$44:$D$890,2,FALSE)</f>
        <v>36.9</v>
      </c>
      <c r="E19026" s="2043">
        <f t="shared" si="352"/>
        <v>9.7201986262674289E-2</v>
      </c>
      <c r="F19026" s="2044">
        <f t="shared" si="353"/>
        <v>1.9440397252534858E-3</v>
      </c>
      <c r="G19026" s="78"/>
      <c r="H19026" t="str">
        <f>VLOOKUP(B19026,indexy!$A$44:$D$890,3,FALSE)</f>
        <v>KHC UW Equity</v>
      </c>
    </row>
    <row r="19027" spans="1:8" ht="12.75" hidden="1" customHeight="1" outlineLevel="1" x14ac:dyDescent="0.25">
      <c r="A19027" s="1911">
        <v>0.02</v>
      </c>
      <c r="B19027" s="3727" t="s">
        <v>10807</v>
      </c>
      <c r="C19027" s="2831">
        <v>43.555999999999997</v>
      </c>
      <c r="D19027" s="3273">
        <f>VLOOKUP($H19027,indexy!$C$44:$D$890,2,FALSE)</f>
        <v>57.13</v>
      </c>
      <c r="E19027" s="2043">
        <f t="shared" si="352"/>
        <v>0.31164477913490685</v>
      </c>
      <c r="F19027" s="2044">
        <f t="shared" si="353"/>
        <v>6.2328955826981367E-3</v>
      </c>
      <c r="G19027" s="78"/>
      <c r="H19027" t="str">
        <f>VLOOKUP(B19027,indexy!$A$44:$D$890,3,FALSE)</f>
        <v>KR UN Equity</v>
      </c>
    </row>
    <row r="19028" spans="1:8" ht="12.75" hidden="1" customHeight="1" outlineLevel="1" x14ac:dyDescent="0.25">
      <c r="A19028" s="1911">
        <v>0.02</v>
      </c>
      <c r="B19028" s="3727" t="s">
        <v>816</v>
      </c>
      <c r="C19028" s="2831">
        <v>273.90800000000002</v>
      </c>
      <c r="D19028" s="3273">
        <f>VLOOKUP($H19028,indexy!$C$44:$D$890,2,FALSE)</f>
        <v>281.95</v>
      </c>
      <c r="E19028" s="2043">
        <f t="shared" si="352"/>
        <v>2.9360223140616482E-2</v>
      </c>
      <c r="F19028" s="2044">
        <f t="shared" si="353"/>
        <v>5.8720446281232961E-4</v>
      </c>
      <c r="G19028" s="78"/>
      <c r="H19028" t="str">
        <f>VLOOKUP(B19028,indexy!$A$44:$D$890,3,FALSE)</f>
        <v>MCD UN Equity</v>
      </c>
    </row>
    <row r="19029" spans="1:8" ht="12.75" hidden="1" customHeight="1" outlineLevel="1" x14ac:dyDescent="0.25">
      <c r="A19029" s="1911">
        <v>7.0000000000000007E-2</v>
      </c>
      <c r="B19029" s="3727" t="s">
        <v>3797</v>
      </c>
      <c r="C19029" s="2831">
        <v>99.314999999999998</v>
      </c>
      <c r="D19029" s="3273">
        <f>VLOOKUP($H19029,indexy!$C$44:$D$890,2,FALSE)</f>
        <v>95.75</v>
      </c>
      <c r="E19029" s="2043">
        <f t="shared" si="352"/>
        <v>-3.5895886824749534E-2</v>
      </c>
      <c r="F19029" s="2044">
        <f t="shared" si="353"/>
        <v>-2.5127120777324674E-3</v>
      </c>
      <c r="G19029" s="78"/>
      <c r="H19029" t="str">
        <f>VLOOKUP(B19029,indexy!$A$44:$D$890,3,FALSE)</f>
        <v>NESN SE Equity</v>
      </c>
    </row>
    <row r="19030" spans="1:8" ht="12.75" hidden="1" customHeight="1" outlineLevel="1" x14ac:dyDescent="0.25">
      <c r="A19030" s="1911">
        <v>0.02</v>
      </c>
      <c r="B19030" s="3727" t="s">
        <v>4044</v>
      </c>
      <c r="C19030" s="2831">
        <v>167.47499999999999</v>
      </c>
      <c r="D19030" s="3273">
        <f>VLOOKUP($H19030,indexy!$C$44:$D$890,2,FALSE)</f>
        <v>149.94999999999999</v>
      </c>
      <c r="E19030" s="2043">
        <f t="shared" si="352"/>
        <v>-0.10464248395282882</v>
      </c>
      <c r="F19030" s="2044">
        <f t="shared" si="353"/>
        <v>-2.0928496790565765E-3</v>
      </c>
      <c r="G19030" s="78"/>
      <c r="H19030" t="str">
        <f>VLOOKUP(B19030,indexy!$A$44:$D$890,3,FALSE)</f>
        <v>RI FP Equity</v>
      </c>
    </row>
    <row r="19031" spans="1:8" ht="12.75" hidden="1" customHeight="1" outlineLevel="1" x14ac:dyDescent="0.25">
      <c r="A19031" s="1911">
        <v>0.08</v>
      </c>
      <c r="B19031" s="3727" t="s">
        <v>10809</v>
      </c>
      <c r="C19031" s="2831">
        <v>54.47</v>
      </c>
      <c r="D19031" s="3273">
        <f>VLOOKUP($H19031,indexy!$C$44:$D$890,2,FALSE)/100</f>
        <v>45.12</v>
      </c>
      <c r="E19031" s="2043">
        <f t="shared" si="352"/>
        <v>-0.17165412153478987</v>
      </c>
      <c r="F19031" s="2044">
        <f t="shared" si="353"/>
        <v>-1.3732329722783191E-2</v>
      </c>
      <c r="G19031" s="78"/>
      <c r="H19031" t="str">
        <f>VLOOKUP(B19031,indexy!$A$44:$D$890,3,FALSE)</f>
        <v>RKT LN Equity</v>
      </c>
    </row>
    <row r="19032" spans="1:8" ht="12.75" hidden="1" customHeight="1" outlineLevel="1" x14ac:dyDescent="0.25">
      <c r="A19032" s="1911">
        <v>0.08</v>
      </c>
      <c r="B19032" s="3727" t="s">
        <v>7530</v>
      </c>
      <c r="C19032" s="2831">
        <v>3017.15</v>
      </c>
      <c r="D19032" s="3273">
        <f>VLOOKUP($H19032,indexy!$C$44:$D$890,2,FALSE)</f>
        <v>3434</v>
      </c>
      <c r="E19032" s="2043">
        <f t="shared" si="352"/>
        <v>0.13816018427986676</v>
      </c>
      <c r="F19032" s="2044">
        <f t="shared" si="353"/>
        <v>1.105281474238934E-2</v>
      </c>
      <c r="G19032" s="78"/>
      <c r="H19032" t="str">
        <f>VLOOKUP(B19032,indexy!$A$44:$D$890,3,FALSE)</f>
        <v>1928 JT Equity</v>
      </c>
    </row>
    <row r="19033" spans="1:8" ht="12.75" hidden="1" customHeight="1" outlineLevel="1" x14ac:dyDescent="0.25">
      <c r="A19033" s="1911">
        <v>0.03</v>
      </c>
      <c r="B19033" s="3727" t="s">
        <v>10811</v>
      </c>
      <c r="C19033" s="2831">
        <v>4437.3999999999996</v>
      </c>
      <c r="D19033" s="3273">
        <f>VLOOKUP($H19033,indexy!$C$44:$D$890,2,FALSE)</f>
        <v>4130</v>
      </c>
      <c r="E19033" s="2043">
        <f t="shared" si="352"/>
        <v>-6.9274800558885796E-2</v>
      </c>
      <c r="F19033" s="2044">
        <f t="shared" si="353"/>
        <v>-2.0782440167665737E-3</v>
      </c>
      <c r="G19033" s="78"/>
      <c r="H19033" t="str">
        <f>VLOOKUP(B19033,indexy!$A$44:$D$890,3,FALSE)</f>
        <v>4911 JT Equity</v>
      </c>
    </row>
    <row r="19034" spans="1:8" ht="12.75" hidden="1" customHeight="1" outlineLevel="1" x14ac:dyDescent="0.25">
      <c r="A19034" s="1911">
        <v>0.08</v>
      </c>
      <c r="B19034" s="3727" t="s">
        <v>583</v>
      </c>
      <c r="C19034" s="2831">
        <v>2.7728999999999999</v>
      </c>
      <c r="D19034" s="3273">
        <f>VLOOKUP($H19034,indexy!$C$44:$D$890,2,FALSE)/100</f>
        <v>2.9660000000000002</v>
      </c>
      <c r="E19034" s="2043">
        <f t="shared" si="352"/>
        <v>6.9638284828158259E-2</v>
      </c>
      <c r="F19034" s="2044">
        <f t="shared" si="353"/>
        <v>5.571062786252661E-3</v>
      </c>
      <c r="G19034" s="78"/>
      <c r="H19034" t="str">
        <f>VLOOKUP(B19034,indexy!$A$44:$D$890,3,FALSE)</f>
        <v>TSCO LN Equity</v>
      </c>
    </row>
    <row r="19035" spans="1:8" ht="12.75" hidden="1" customHeight="1" outlineLevel="1" x14ac:dyDescent="0.25">
      <c r="A19035" s="1911">
        <v>0.02</v>
      </c>
      <c r="B19035" s="3727" t="s">
        <v>1142</v>
      </c>
      <c r="C19035" s="2831">
        <v>57.287999999999997</v>
      </c>
      <c r="D19035" s="3273">
        <f>VLOOKUP($H19035,indexy!$C$44:$D$890,2,FALSE)</f>
        <v>61.18</v>
      </c>
      <c r="E19035" s="2043">
        <f t="shared" si="352"/>
        <v>6.7937438905181002E-2</v>
      </c>
      <c r="F19035" s="2044">
        <f t="shared" si="353"/>
        <v>1.3587487781036201E-3</v>
      </c>
      <c r="G19035" s="78"/>
      <c r="H19035" t="str">
        <f>VLOOKUP(B19035,indexy!$A$44:$D$890,3,FALSE)</f>
        <v>KO UN Equity</v>
      </c>
    </row>
    <row r="19036" spans="1:8" ht="12.75" hidden="1" customHeight="1" outlineLevel="1" x14ac:dyDescent="0.25">
      <c r="A19036" s="1911">
        <v>0.02</v>
      </c>
      <c r="B19036" s="3727" t="s">
        <v>9073</v>
      </c>
      <c r="C19036" s="2831">
        <v>47.649000000000001</v>
      </c>
      <c r="D19036" s="3273">
        <f>VLOOKUP($H19036,indexy!$C$44:$D$890,2,FALSE)</f>
        <v>58.73</v>
      </c>
      <c r="E19036" s="2043">
        <f t="shared" si="352"/>
        <v>0.23255472307918312</v>
      </c>
      <c r="F19036" s="2044">
        <f t="shared" si="353"/>
        <v>4.6510944615836625E-3</v>
      </c>
      <c r="G19036" s="78"/>
      <c r="H19036" t="str">
        <f>VLOOKUP(B19036,indexy!$A$44:$D$890,3,FALSE)</f>
        <v>TSN UN Equity</v>
      </c>
    </row>
    <row r="19037" spans="1:8" ht="12.75" hidden="1" customHeight="1" outlineLevel="1" x14ac:dyDescent="0.25">
      <c r="A19037" s="1911">
        <v>7.0000000000000007E-2</v>
      </c>
      <c r="B19037" s="3728" t="s">
        <v>106</v>
      </c>
      <c r="C19037" s="3731">
        <v>38.741500000000002</v>
      </c>
      <c r="D19037" s="3275">
        <f>VLOOKUP($H19037,indexy!$C$44:$D$890,2,FALSE)/100</f>
        <v>39.755000000000003</v>
      </c>
      <c r="E19037" s="2046">
        <f t="shared" si="352"/>
        <v>2.6160577158860665E-2</v>
      </c>
      <c r="F19037" s="2047">
        <f>$E19037*$A19037</f>
        <v>1.8312404011202466E-3</v>
      </c>
      <c r="G19037" s="78"/>
      <c r="H19037" t="str">
        <f>VLOOKUP(B19037,indexy!$A$44:$D$890,3,FALSE)</f>
        <v>ULVR LN Equity</v>
      </c>
    </row>
    <row r="19038" spans="1:8" ht="12.75" hidden="1" customHeight="1" outlineLevel="1" x14ac:dyDescent="0.25">
      <c r="A19038" s="3732" t="s">
        <v>2734</v>
      </c>
      <c r="B19038" s="3733"/>
      <c r="C19038" s="3734"/>
      <c r="D19038" s="3734"/>
      <c r="E19038" s="3735"/>
      <c r="F19038" s="3736">
        <f>SUM(F19008:F19037)</f>
        <v>3.3404063734393738E-2</v>
      </c>
      <c r="G19038" s="78"/>
    </row>
    <row r="19039" spans="1:8" ht="12.75" hidden="1" customHeight="1" outlineLevel="1" x14ac:dyDescent="0.25">
      <c r="A19039" s="3737"/>
      <c r="B19039" s="3738">
        <v>46661</v>
      </c>
      <c r="C19039" s="3739">
        <v>100</v>
      </c>
      <c r="D19039" s="3739"/>
      <c r="E19039" s="3741">
        <f>IF(D19039="",$F$19038,D19039/C19039-1)</f>
        <v>3.3404063734393738E-2</v>
      </c>
      <c r="F19039" s="3742"/>
      <c r="G19039" s="78"/>
    </row>
    <row r="19040" spans="1:8" ht="12.75" hidden="1" customHeight="1" outlineLevel="1" x14ac:dyDescent="0.25">
      <c r="A19040" s="3737"/>
      <c r="B19040" s="3738">
        <v>46693</v>
      </c>
      <c r="C19040" s="3739">
        <v>100</v>
      </c>
      <c r="D19040" s="3740"/>
      <c r="E19040" s="3741">
        <f t="shared" ref="E19040:E19056" si="354">IF(D19040="",$F$19038,D19040/C19040-1)</f>
        <v>3.3404063734393738E-2</v>
      </c>
      <c r="F19040" s="3742"/>
      <c r="G19040" s="78"/>
    </row>
    <row r="19041" spans="1:7" ht="12.75" hidden="1" customHeight="1" outlineLevel="1" x14ac:dyDescent="0.25">
      <c r="A19041" s="3737"/>
      <c r="B19041" s="3738">
        <v>46725</v>
      </c>
      <c r="C19041" s="3739">
        <v>100</v>
      </c>
      <c r="D19041" s="3740"/>
      <c r="E19041" s="3741">
        <f t="shared" si="354"/>
        <v>3.3404063734393738E-2</v>
      </c>
      <c r="F19041" s="3742"/>
      <c r="G19041" s="78"/>
    </row>
    <row r="19042" spans="1:7" ht="12.75" hidden="1" customHeight="1" outlineLevel="1" x14ac:dyDescent="0.25">
      <c r="A19042" s="3737"/>
      <c r="B19042" s="3738">
        <v>46757</v>
      </c>
      <c r="C19042" s="3739">
        <v>100</v>
      </c>
      <c r="D19042" s="3740"/>
      <c r="E19042" s="3741">
        <f t="shared" si="354"/>
        <v>3.3404063734393738E-2</v>
      </c>
      <c r="F19042" s="3742"/>
      <c r="G19042" s="78"/>
    </row>
    <row r="19043" spans="1:7" ht="12.75" hidden="1" customHeight="1" outlineLevel="1" x14ac:dyDescent="0.25">
      <c r="A19043" s="3737"/>
      <c r="B19043" s="3738">
        <v>46789</v>
      </c>
      <c r="C19043" s="3739">
        <v>100</v>
      </c>
      <c r="D19043" s="3740"/>
      <c r="E19043" s="3741">
        <f t="shared" si="354"/>
        <v>3.3404063734393738E-2</v>
      </c>
      <c r="F19043" s="3742"/>
      <c r="G19043" s="78"/>
    </row>
    <row r="19044" spans="1:7" ht="12.75" hidden="1" customHeight="1" outlineLevel="1" x14ac:dyDescent="0.25">
      <c r="A19044" s="3737"/>
      <c r="B19044" s="3738">
        <v>46821</v>
      </c>
      <c r="C19044" s="3739">
        <v>100</v>
      </c>
      <c r="D19044" s="3740"/>
      <c r="E19044" s="3741">
        <f t="shared" si="354"/>
        <v>3.3404063734393738E-2</v>
      </c>
      <c r="F19044" s="3742"/>
      <c r="G19044" s="78"/>
    </row>
    <row r="19045" spans="1:7" ht="12.75" hidden="1" customHeight="1" outlineLevel="1" x14ac:dyDescent="0.25">
      <c r="A19045" s="3737"/>
      <c r="B19045" s="3738">
        <v>46853</v>
      </c>
      <c r="C19045" s="3739">
        <v>100</v>
      </c>
      <c r="D19045" s="3740"/>
      <c r="E19045" s="3741">
        <f t="shared" si="354"/>
        <v>3.3404063734393738E-2</v>
      </c>
      <c r="F19045" s="3742"/>
      <c r="G19045" s="78"/>
    </row>
    <row r="19046" spans="1:7" ht="12.75" hidden="1" customHeight="1" outlineLevel="1" x14ac:dyDescent="0.25">
      <c r="A19046" s="3737"/>
      <c r="B19046" s="3738">
        <v>46885</v>
      </c>
      <c r="C19046" s="3739">
        <v>100</v>
      </c>
      <c r="D19046" s="3740"/>
      <c r="E19046" s="3741">
        <f t="shared" si="354"/>
        <v>3.3404063734393738E-2</v>
      </c>
      <c r="F19046" s="3742"/>
      <c r="G19046" s="78"/>
    </row>
    <row r="19047" spans="1:7" ht="12.75" hidden="1" customHeight="1" outlineLevel="1" x14ac:dyDescent="0.25">
      <c r="A19047" s="3737"/>
      <c r="B19047" s="3738">
        <v>46917</v>
      </c>
      <c r="C19047" s="3739">
        <v>100</v>
      </c>
      <c r="D19047" s="3740"/>
      <c r="E19047" s="3741">
        <f t="shared" si="354"/>
        <v>3.3404063734393738E-2</v>
      </c>
      <c r="F19047" s="3742"/>
      <c r="G19047" s="78"/>
    </row>
    <row r="19048" spans="1:7" ht="12.75" hidden="1" customHeight="1" outlineLevel="1" x14ac:dyDescent="0.25">
      <c r="A19048" s="3737"/>
      <c r="B19048" s="3738">
        <v>46949</v>
      </c>
      <c r="C19048" s="3739">
        <v>100</v>
      </c>
      <c r="D19048" s="3740"/>
      <c r="E19048" s="3741">
        <f t="shared" si="354"/>
        <v>3.3404063734393738E-2</v>
      </c>
      <c r="F19048" s="3742"/>
      <c r="G19048" s="78"/>
    </row>
    <row r="19049" spans="1:7" ht="12.75" hidden="1" customHeight="1" outlineLevel="1" x14ac:dyDescent="0.25">
      <c r="A19049" s="3737"/>
      <c r="B19049" s="3738">
        <v>46981</v>
      </c>
      <c r="C19049" s="3739">
        <v>100</v>
      </c>
      <c r="D19049" s="3740"/>
      <c r="E19049" s="3741">
        <f t="shared" si="354"/>
        <v>3.3404063734393738E-2</v>
      </c>
      <c r="F19049" s="3742"/>
      <c r="G19049" s="78"/>
    </row>
    <row r="19050" spans="1:7" ht="12.75" hidden="1" customHeight="1" outlineLevel="1" x14ac:dyDescent="0.25">
      <c r="A19050" s="3737"/>
      <c r="B19050" s="3738">
        <v>47013</v>
      </c>
      <c r="C19050" s="3739">
        <v>100</v>
      </c>
      <c r="D19050" s="3740"/>
      <c r="E19050" s="3741">
        <f t="shared" si="354"/>
        <v>3.3404063734393738E-2</v>
      </c>
      <c r="F19050" s="3742"/>
      <c r="G19050" s="78"/>
    </row>
    <row r="19051" spans="1:7" ht="12.75" hidden="1" customHeight="1" outlineLevel="1" x14ac:dyDescent="0.25">
      <c r="A19051" s="3737"/>
      <c r="B19051" s="3738">
        <v>47045</v>
      </c>
      <c r="C19051" s="3739">
        <v>100</v>
      </c>
      <c r="D19051" s="3740"/>
      <c r="E19051" s="3741">
        <f t="shared" si="354"/>
        <v>3.3404063734393738E-2</v>
      </c>
      <c r="F19051" s="3742"/>
      <c r="G19051" s="78"/>
    </row>
    <row r="19052" spans="1:7" ht="12.75" hidden="1" customHeight="1" outlineLevel="1" x14ac:dyDescent="0.25">
      <c r="A19052" s="3737"/>
      <c r="B19052" s="3738">
        <v>47077</v>
      </c>
      <c r="C19052" s="3739">
        <v>100</v>
      </c>
      <c r="D19052" s="3740"/>
      <c r="E19052" s="3741">
        <f t="shared" si="354"/>
        <v>3.3404063734393738E-2</v>
      </c>
      <c r="F19052" s="3742"/>
      <c r="G19052" s="78"/>
    </row>
    <row r="19053" spans="1:7" ht="12.75" hidden="1" customHeight="1" outlineLevel="1" x14ac:dyDescent="0.25">
      <c r="A19053" s="3737"/>
      <c r="B19053" s="3738">
        <v>47109</v>
      </c>
      <c r="C19053" s="3739">
        <v>100</v>
      </c>
      <c r="D19053" s="3740"/>
      <c r="E19053" s="3741">
        <f t="shared" si="354"/>
        <v>3.3404063734393738E-2</v>
      </c>
      <c r="F19053" s="3742"/>
      <c r="G19053" s="78"/>
    </row>
    <row r="19054" spans="1:7" ht="12.75" hidden="1" customHeight="1" outlineLevel="1" x14ac:dyDescent="0.25">
      <c r="A19054" s="3737"/>
      <c r="B19054" s="3738">
        <v>47141</v>
      </c>
      <c r="C19054" s="3739">
        <v>100</v>
      </c>
      <c r="D19054" s="3740"/>
      <c r="E19054" s="3741">
        <f t="shared" si="354"/>
        <v>3.3404063734393738E-2</v>
      </c>
      <c r="F19054" s="3742"/>
      <c r="G19054" s="78"/>
    </row>
    <row r="19055" spans="1:7" hidden="1" outlineLevel="1" x14ac:dyDescent="0.25">
      <c r="A19055" s="3737"/>
      <c r="B19055" s="3738">
        <v>47173</v>
      </c>
      <c r="C19055" s="3739">
        <v>100</v>
      </c>
      <c r="D19055" s="3740"/>
      <c r="E19055" s="3741">
        <f t="shared" si="354"/>
        <v>3.3404063734393738E-2</v>
      </c>
      <c r="F19055" s="3742"/>
      <c r="G19055" s="78"/>
    </row>
    <row r="19056" spans="1:7" ht="12.75" hidden="1" customHeight="1" outlineLevel="1" x14ac:dyDescent="0.25">
      <c r="A19056" s="3737"/>
      <c r="B19056" s="3738">
        <v>47205</v>
      </c>
      <c r="C19056" s="3739">
        <v>100</v>
      </c>
      <c r="D19056" s="3740"/>
      <c r="E19056" s="3741">
        <f t="shared" si="354"/>
        <v>3.3404063734393738E-2</v>
      </c>
      <c r="F19056" s="3742"/>
      <c r="G19056" s="78"/>
    </row>
    <row r="19057" spans="1:18" ht="12.75" hidden="1" customHeight="1" outlineLevel="1" x14ac:dyDescent="0.25">
      <c r="A19057" s="2067" t="s">
        <v>2734</v>
      </c>
      <c r="B19057" s="2068"/>
      <c r="C19057" s="2058"/>
      <c r="D19057" s="2069" t="s">
        <v>2465</v>
      </c>
      <c r="E19057" s="2070">
        <f>AVERAGE(E19039:E19056)</f>
        <v>3.3404063734393745E-2</v>
      </c>
      <c r="F19057" s="2431">
        <f>E19057</f>
        <v>3.3404063734393745E-2</v>
      </c>
      <c r="G19057" s="78"/>
    </row>
    <row r="19058" spans="1:18" ht="13.5" customHeight="1" collapsed="1" x14ac:dyDescent="0.25">
      <c r="A19058" s="3799" t="s">
        <v>10797</v>
      </c>
      <c r="B19058" s="3800"/>
      <c r="C19058" s="3800"/>
      <c r="D19058" s="3800"/>
      <c r="E19058" s="18"/>
      <c r="F19058" s="186">
        <f>IF(F19057&lt;0,0%,MAX(20%,+MIN(F19057*0.8,80%)))</f>
        <v>0.2</v>
      </c>
      <c r="G19058" s="78"/>
    </row>
    <row r="19060" spans="1:18" hidden="1" outlineLevel="1" x14ac:dyDescent="0.25">
      <c r="A19060" s="67" t="s">
        <v>113</v>
      </c>
      <c r="B19060" s="15" t="s">
        <v>114</v>
      </c>
      <c r="C19060" s="15" t="s">
        <v>112</v>
      </c>
      <c r="D19060" s="15" t="s">
        <v>4155</v>
      </c>
      <c r="E19060" s="15" t="s">
        <v>116</v>
      </c>
      <c r="F19060" s="1882" t="s">
        <v>121</v>
      </c>
      <c r="G19060" s="78"/>
      <c r="H19060" s="3552" t="s">
        <v>5391</v>
      </c>
      <c r="I19060" s="3553" t="s">
        <v>5392</v>
      </c>
    </row>
    <row r="19061" spans="1:18" hidden="1" outlineLevel="1" x14ac:dyDescent="0.25">
      <c r="A19061" s="2126">
        <v>1</v>
      </c>
      <c r="B19061" s="2122" t="s">
        <v>2153</v>
      </c>
      <c r="C19061" s="2240">
        <v>4533.4110000000001</v>
      </c>
      <c r="D19061" s="3912">
        <f>VLOOKUP(B19061,indexy!A:D,2,0)</f>
        <v>5083.42</v>
      </c>
      <c r="E19061" s="2244"/>
      <c r="F19061" s="2245">
        <f>IF(H19061="","",IF(H19061&lt;0%,H19061,I19061))</f>
        <v>0.22500000000000001</v>
      </c>
      <c r="G19061" s="78"/>
      <c r="H19061" s="3554">
        <f>IF(C19061="","",IF(E19061="",$D$19061/C19061-1,E19061/C19061-1))</f>
        <v>0.12132343614995422</v>
      </c>
      <c r="I19061" s="3555">
        <v>0.22500000000000001</v>
      </c>
    </row>
    <row r="19062" spans="1:18" hidden="1" outlineLevel="1" x14ac:dyDescent="0.25">
      <c r="A19062" s="2126">
        <v>2</v>
      </c>
      <c r="B19062" s="2122" t="s">
        <v>2153</v>
      </c>
      <c r="C19062" s="2240" t="str">
        <f>IF(E19061="","",C19061)</f>
        <v/>
      </c>
      <c r="D19062" s="3913"/>
      <c r="E19062" s="2246"/>
      <c r="F19062" s="2247" t="str">
        <f>IF(F19061&gt;0%,"",IF(H19062="","",IF(H19062&lt;0%,H19062,I19062)))</f>
        <v/>
      </c>
      <c r="G19062" s="78"/>
      <c r="H19062" s="3554" t="str">
        <f>IF(C19062="","",IF(E19062="",$D$18899/C19062-1,E19062/C19062-1))</f>
        <v/>
      </c>
      <c r="I19062" s="3555">
        <v>0.3</v>
      </c>
    </row>
    <row r="19063" spans="1:18" hidden="1" outlineLevel="1" x14ac:dyDescent="0.25">
      <c r="A19063" s="2126">
        <v>3</v>
      </c>
      <c r="B19063" s="2122" t="s">
        <v>2153</v>
      </c>
      <c r="C19063" s="2240"/>
      <c r="D19063" s="3913"/>
      <c r="E19063" s="2246"/>
      <c r="F19063" s="2247" t="str">
        <f>IF(F19062&gt;0%,"",IF(H19063="","",IF(H19063&lt;0%,H19063,I19063)))</f>
        <v/>
      </c>
      <c r="G19063" s="78"/>
      <c r="H19063" s="3554" t="str">
        <f>IF(C19063="","",IF(E19063="",$D$18899/C19063-1,E19063/C19063-1))</f>
        <v/>
      </c>
      <c r="I19063" s="3555">
        <v>0.375</v>
      </c>
    </row>
    <row r="19064" spans="1:18" hidden="1" outlineLevel="1" x14ac:dyDescent="0.25">
      <c r="A19064" s="2126">
        <v>4</v>
      </c>
      <c r="B19064" s="2122" t="s">
        <v>2153</v>
      </c>
      <c r="C19064" s="2240" t="str">
        <f>IF(E19063="","",C19063)</f>
        <v/>
      </c>
      <c r="D19064" s="3913"/>
      <c r="E19064" s="2246"/>
      <c r="F19064" s="2247" t="str">
        <f>IF(F19063&gt;0%,"",IF(H19064="","",IF(H19064&lt;0%,H19064,I19064)))</f>
        <v/>
      </c>
      <c r="G19064" s="78"/>
      <c r="H19064" s="3554" t="str">
        <f>IF(C19064="","",IF(E19064="",$D$18899/C19064-1,E19064/C19064-1))</f>
        <v/>
      </c>
      <c r="I19064" s="3557">
        <v>0.45</v>
      </c>
    </row>
    <row r="19065" spans="1:18" hidden="1" outlineLevel="1" x14ac:dyDescent="0.25">
      <c r="A19065" s="2126">
        <v>5</v>
      </c>
      <c r="B19065" s="2122" t="s">
        <v>2153</v>
      </c>
      <c r="C19065" s="2241" t="str">
        <f>IF(E19064="","",C19064)</f>
        <v/>
      </c>
      <c r="D19065" s="3914"/>
      <c r="E19065" s="2246"/>
      <c r="F19065" s="2248" t="str">
        <f>IF(F19064&gt;0%,"",IF(H19065="","",IF(H19065&lt;0%,H19065,I19065)))</f>
        <v/>
      </c>
      <c r="G19065" s="78"/>
      <c r="H19065" s="37">
        <f>IF(H19064="",IF(H19063="",IF(H19062="",IF(H19061="",H19060,H19061),H19062),H19063),H19064)</f>
        <v>0.12132343614995422</v>
      </c>
    </row>
    <row r="19066" spans="1:18" hidden="1" outlineLevel="1" x14ac:dyDescent="0.25">
      <c r="A19066" s="2242" t="s">
        <v>2734</v>
      </c>
      <c r="B19066" s="2122"/>
      <c r="C19066" s="2243"/>
      <c r="D19066" s="2249"/>
      <c r="E19066" s="2250"/>
      <c r="F19066" s="2251">
        <f>IF(F19065="",IF(F19064="",IF(F19063="",IF(F19062="",F19061,F19062),F19063),F19064),F19065)</f>
        <v>0.22500000000000001</v>
      </c>
      <c r="G19066" s="78"/>
      <c r="H19066" s="74"/>
    </row>
    <row r="19067" spans="1:18" collapsed="1" x14ac:dyDescent="0.25">
      <c r="A19067" s="3799" t="s">
        <v>10821</v>
      </c>
      <c r="B19067" s="3800"/>
      <c r="C19067" s="3800"/>
      <c r="D19067" s="3800"/>
      <c r="E19067" s="18"/>
      <c r="F19067" s="186">
        <f>IF(F19066&lt;-40%,F19066,IF(F19066&lt;0%,0%,F19066))</f>
        <v>0.22500000000000001</v>
      </c>
      <c r="G19067" s="78"/>
      <c r="H19067" s="74"/>
    </row>
    <row r="19069" spans="1:18" ht="12.75" hidden="1" customHeight="1" outlineLevel="1" x14ac:dyDescent="0.25">
      <c r="A19069" s="1677" t="s">
        <v>4156</v>
      </c>
      <c r="B19069" s="1677" t="s">
        <v>4153</v>
      </c>
      <c r="C19069" s="1305" t="s">
        <v>112</v>
      </c>
      <c r="D19069" s="1678" t="s">
        <v>4155</v>
      </c>
      <c r="E19069" s="1677" t="s">
        <v>4154</v>
      </c>
      <c r="F19069" s="1678" t="s">
        <v>2519</v>
      </c>
      <c r="G19069" s="12"/>
      <c r="H19069" s="415"/>
      <c r="I19069" s="412" t="s">
        <v>6964</v>
      </c>
      <c r="J19069" s="1462">
        <v>45323</v>
      </c>
      <c r="K19069" s="1462">
        <v>45352</v>
      </c>
      <c r="L19069" s="1462">
        <v>45383</v>
      </c>
      <c r="M19069" s="1462">
        <v>45413</v>
      </c>
      <c r="N19069" s="1462">
        <v>45444</v>
      </c>
      <c r="O19069" s="1462">
        <v>45474</v>
      </c>
      <c r="P19069" s="1462">
        <v>45505</v>
      </c>
      <c r="Q19069" s="1462">
        <v>45536</v>
      </c>
      <c r="R19069" s="1462">
        <v>45566</v>
      </c>
    </row>
    <row r="19070" spans="1:18" ht="12.75" hidden="1" customHeight="1" outlineLevel="1" x14ac:dyDescent="0.25">
      <c r="A19070" s="135">
        <v>0.02</v>
      </c>
      <c r="B19070" s="151" t="s">
        <v>7111</v>
      </c>
      <c r="C19070" s="454">
        <v>164.214</v>
      </c>
      <c r="D19070" s="2737">
        <f>VLOOKUP(H19070,indexy!$C$44:$D$823,2,FALSE)</f>
        <v>182.1</v>
      </c>
      <c r="E19070" s="1466">
        <f>D19070/C19070-1</f>
        <v>0.10891884979356203</v>
      </c>
      <c r="F19070" s="1492">
        <f>E19070*A19070</f>
        <v>2.1783769958712406E-3</v>
      </c>
      <c r="G19070" s="415"/>
      <c r="H19070" s="415" t="str">
        <f>VLOOKUP(B19070,indexy!$A$44:$D$895,3,FALSE)</f>
        <v>ABBV UN Equity</v>
      </c>
      <c r="I19070" s="412">
        <f>IF(J19070="",100,MIN(100,J19070:Y19070))</f>
        <v>99.733800000000002</v>
      </c>
      <c r="J19070">
        <v>99.733800000000002</v>
      </c>
      <c r="K19070">
        <v>102.13509999999999</v>
      </c>
      <c r="L19070">
        <v>102.8355</v>
      </c>
    </row>
    <row r="19071" spans="1:18" ht="12.75" hidden="1" customHeight="1" outlineLevel="1" x14ac:dyDescent="0.25">
      <c r="A19071" s="135">
        <v>0.05</v>
      </c>
      <c r="B19071" s="151" t="s">
        <v>1384</v>
      </c>
      <c r="C19071" s="410">
        <v>5.4740000000000002</v>
      </c>
      <c r="D19071" s="2738">
        <f>VLOOKUP(H19071,indexy!$C$44:$D$823,2,FALSE)</f>
        <v>5.65</v>
      </c>
      <c r="E19071" s="1463">
        <f>D19071/C19071-1</f>
        <v>3.2151991231275101E-2</v>
      </c>
      <c r="F19071" s="1494">
        <f t="shared" ref="F19071:F19094" si="355">E19071*A19071</f>
        <v>1.6075995615637551E-3</v>
      </c>
      <c r="G19071" s="415"/>
      <c r="H19071" s="415" t="str">
        <f>VLOOKUP(B19071,indexy!$A$44:$D$895,3,FALSE)</f>
        <v>AGN NA Equity</v>
      </c>
      <c r="I19071" s="422">
        <f>+(((E19119*100)+100)-I19070)/100</f>
        <v>4.0935093482814863E-2</v>
      </c>
    </row>
    <row r="19072" spans="1:18" ht="12.75" hidden="1" customHeight="1" outlineLevel="1" x14ac:dyDescent="0.25">
      <c r="A19072" s="135">
        <v>0.02</v>
      </c>
      <c r="B19072" s="151" t="s">
        <v>8259</v>
      </c>
      <c r="C19072" s="410">
        <v>308.09100000000001</v>
      </c>
      <c r="D19072" s="2738">
        <f>VLOOKUP(H19072,indexy!$C$44:$D$823,2,FALSE)</f>
        <v>284.32</v>
      </c>
      <c r="E19072" s="1463">
        <f t="shared" ref="E19072:E19099" si="356">D19072/C19072-1</f>
        <v>-7.7155775404020299E-2</v>
      </c>
      <c r="F19072" s="1494">
        <f t="shared" si="355"/>
        <v>-1.5431155080804059E-3</v>
      </c>
      <c r="G19072" s="415"/>
      <c r="H19072" s="415" t="str">
        <f>VLOOKUP(B19072,indexy!$A$44:$D$895,3,FALSE)</f>
        <v>AMGN UW Equity</v>
      </c>
    </row>
    <row r="19073" spans="1:11" ht="12.75" hidden="1" customHeight="1" outlineLevel="1" x14ac:dyDescent="0.25">
      <c r="A19073" s="135">
        <v>0.02</v>
      </c>
      <c r="B19073" s="151" t="s">
        <v>2942</v>
      </c>
      <c r="C19073" s="410">
        <v>1723.55</v>
      </c>
      <c r="D19073" s="2738">
        <f>VLOOKUP(H19073,indexy!$C$44:$D$823,2,FALSE)</f>
        <v>1625</v>
      </c>
      <c r="E19073" s="1463">
        <f t="shared" si="356"/>
        <v>-5.7178497867772848E-2</v>
      </c>
      <c r="F19073" s="1494">
        <f t="shared" si="355"/>
        <v>-1.1435699573554569E-3</v>
      </c>
      <c r="G19073" s="415"/>
      <c r="H19073" s="415" t="str">
        <f>VLOOKUP(B19073,indexy!$A$44:$D$895,3,FALSE)</f>
        <v>4503 JT Equity</v>
      </c>
      <c r="J19073" s="434"/>
      <c r="K19073" s="37"/>
    </row>
    <row r="19074" spans="1:11" ht="12.75" hidden="1" customHeight="1" outlineLevel="1" x14ac:dyDescent="0.25">
      <c r="A19074" s="135">
        <v>0.02</v>
      </c>
      <c r="B19074" s="151" t="s">
        <v>4377</v>
      </c>
      <c r="C19074" s="410">
        <v>49.929000000000002</v>
      </c>
      <c r="D19074" s="2738">
        <f>VLOOKUP(H19074,indexy!$C$44:$D$823,2,FALSE)</f>
        <v>54.23</v>
      </c>
      <c r="E19074" s="1463">
        <f t="shared" si="356"/>
        <v>8.6142322097378266E-2</v>
      </c>
      <c r="F19074" s="1494">
        <f t="shared" si="355"/>
        <v>1.7228464419475654E-3</v>
      </c>
      <c r="G19074" s="415"/>
      <c r="H19074" s="415" t="str">
        <f>VLOOKUP(B19074,indexy!$A$44:$D$895,3,FALSE)</f>
        <v>BMY UN Equity</v>
      </c>
      <c r="J19074" s="434"/>
    </row>
    <row r="19075" spans="1:11" ht="12.75" hidden="1" customHeight="1" outlineLevel="1" x14ac:dyDescent="0.25">
      <c r="A19075" s="135">
        <v>0.03</v>
      </c>
      <c r="B19075" s="151" t="s">
        <v>10781</v>
      </c>
      <c r="C19075" s="410">
        <v>3139.2</v>
      </c>
      <c r="D19075" s="2738">
        <f>VLOOKUP(H19075,indexy!$C$44:$D$823,2,FALSE)</f>
        <v>3850</v>
      </c>
      <c r="E19075" s="1463">
        <f t="shared" si="356"/>
        <v>0.22642711518858305</v>
      </c>
      <c r="F19075" s="1494">
        <f t="shared" si="355"/>
        <v>6.7928134556574909E-3</v>
      </c>
      <c r="G19075" s="415"/>
      <c r="H19075" s="415" t="str">
        <f>VLOOKUP(B19075,indexy!$A$44:$D$895,3,FALSE)</f>
        <v>8750 JT Equity</v>
      </c>
      <c r="J19075" s="434"/>
    </row>
    <row r="19076" spans="1:11" ht="12.75" hidden="1" customHeight="1" outlineLevel="1" x14ac:dyDescent="0.25">
      <c r="A19076" s="135">
        <v>0.02</v>
      </c>
      <c r="B19076" s="151" t="s">
        <v>10782</v>
      </c>
      <c r="C19076" s="410">
        <v>56.171999999999997</v>
      </c>
      <c r="D19076" s="2738">
        <f>VLOOKUP(H19076,indexy!$C$44:$D$823,2,FALSE)</f>
        <v>59.08</v>
      </c>
      <c r="E19076" s="1463">
        <f t="shared" si="356"/>
        <v>5.1769564907783172E-2</v>
      </c>
      <c r="F19076" s="1494">
        <f t="shared" si="355"/>
        <v>1.0353912981556634E-3</v>
      </c>
      <c r="G19076" s="415"/>
      <c r="H19076" s="415" t="str">
        <f>VLOOKUP(B19076,indexy!$A$44:$D$895,3,FALSE)</f>
        <v>ERF FP Equity</v>
      </c>
      <c r="J19076" s="434"/>
    </row>
    <row r="19077" spans="1:11" ht="12.75" hidden="1" customHeight="1" outlineLevel="1" x14ac:dyDescent="0.25">
      <c r="A19077" s="135">
        <v>0.02</v>
      </c>
      <c r="B19077" s="151" t="s">
        <v>9623</v>
      </c>
      <c r="C19077" s="410">
        <v>82.242000000000004</v>
      </c>
      <c r="D19077" s="2738">
        <f>VLOOKUP(H19077,indexy!$C$44:$D$823,2,FALSE)</f>
        <v>73.25</v>
      </c>
      <c r="E19077" s="1463">
        <f t="shared" si="356"/>
        <v>-0.10933586245470683</v>
      </c>
      <c r="F19077" s="1494">
        <f t="shared" si="355"/>
        <v>-2.1867172490941367E-3</v>
      </c>
      <c r="G19077" s="415"/>
      <c r="H19077" s="415" t="str">
        <f>VLOOKUP(B19077,indexy!$A$44:$D$895,3,FALSE)</f>
        <v>GILD UW Equity</v>
      </c>
      <c r="J19077" s="434"/>
    </row>
    <row r="19078" spans="1:11" ht="12.75" hidden="1" customHeight="1" outlineLevel="1" x14ac:dyDescent="0.25">
      <c r="A19078" s="135">
        <v>0.04</v>
      </c>
      <c r="B19078" s="151" t="s">
        <v>3799</v>
      </c>
      <c r="C19078" s="410">
        <v>15.579599999999999</v>
      </c>
      <c r="D19078" s="2738">
        <f>VLOOKUP(H19078,indexy!$C$44:$D$823,2,FALSE)/100</f>
        <v>17.085999999999999</v>
      </c>
      <c r="E19078" s="1463">
        <f t="shared" si="356"/>
        <v>9.6690544044776505E-2</v>
      </c>
      <c r="F19078" s="1494">
        <f t="shared" si="355"/>
        <v>3.8676217617910603E-3</v>
      </c>
      <c r="G19078" s="415"/>
      <c r="H19078" s="415" t="str">
        <f>VLOOKUP(B19078,indexy!$A$44:$D$895,3,FALSE)</f>
        <v>GSK LN Equity</v>
      </c>
      <c r="J19078" s="434"/>
    </row>
    <row r="19079" spans="1:11" ht="12.75" hidden="1" customHeight="1" outlineLevel="1" x14ac:dyDescent="0.25">
      <c r="A19079" s="135">
        <v>0.02</v>
      </c>
      <c r="B19079" s="151" t="s">
        <v>10643</v>
      </c>
      <c r="C19079" s="410">
        <v>43.363999999999997</v>
      </c>
      <c r="D19079" s="2738">
        <f>VLOOKUP(H19079,indexy!$C$44:$D$823,2,FALSE)</f>
        <v>43.32</v>
      </c>
      <c r="E19079" s="1463">
        <f t="shared" si="356"/>
        <v>-1.0146665436766567E-3</v>
      </c>
      <c r="F19079" s="1494">
        <f t="shared" si="355"/>
        <v>-2.0293330873533135E-5</v>
      </c>
      <c r="G19079" s="415"/>
      <c r="H19079" s="415" t="str">
        <f>VLOOKUP(B19079,indexy!$A$44:$D$895,3,FALSE)</f>
        <v>GWO CT Equity</v>
      </c>
      <c r="J19079" s="434"/>
    </row>
    <row r="19080" spans="1:11" ht="12.75" hidden="1" customHeight="1" outlineLevel="1" x14ac:dyDescent="0.25">
      <c r="A19080" s="135">
        <v>0.08</v>
      </c>
      <c r="B19080" s="151" t="s">
        <v>10501</v>
      </c>
      <c r="C19080" s="410">
        <v>1376.85</v>
      </c>
      <c r="D19080" s="2738">
        <f>VLOOKUP(H19080,indexy!$C$44:$D$823,2,FALSE)</f>
        <v>1522.5</v>
      </c>
      <c r="E19080" s="1463">
        <f t="shared" si="356"/>
        <v>0.10578494389367044</v>
      </c>
      <c r="F19080" s="1494">
        <f t="shared" si="355"/>
        <v>8.4627955114936343E-3</v>
      </c>
      <c r="G19080" s="415"/>
      <c r="H19080" s="415" t="str">
        <f>VLOOKUP(B19080,indexy!$A$44:$D$895,3,FALSE)</f>
        <v>6178 JT Equity</v>
      </c>
      <c r="J19080" s="434"/>
    </row>
    <row r="19081" spans="1:11" ht="12.75" hidden="1" customHeight="1" outlineLevel="1" x14ac:dyDescent="0.25">
      <c r="A19081" s="135">
        <v>0.02</v>
      </c>
      <c r="B19081" s="151" t="s">
        <v>3426</v>
      </c>
      <c r="C19081" s="410">
        <v>160.35</v>
      </c>
      <c r="D19081" s="2738">
        <f>VLOOKUP(H19081,indexy!$C$44:$D$823,2,FALSE)</f>
        <v>158.19</v>
      </c>
      <c r="E19081" s="1463">
        <f t="shared" si="356"/>
        <v>-1.3470533208606139E-2</v>
      </c>
      <c r="F19081" s="1494">
        <f t="shared" si="355"/>
        <v>-2.6941066417212277E-4</v>
      </c>
      <c r="G19081" s="415"/>
      <c r="H19081" s="415" t="str">
        <f>VLOOKUP(B19081,indexy!$A$44:$D$895,3,FALSE)</f>
        <v>JNJ UN Equity</v>
      </c>
      <c r="J19081" s="434"/>
    </row>
    <row r="19082" spans="1:11" ht="12.75" hidden="1" customHeight="1" outlineLevel="1" x14ac:dyDescent="0.25">
      <c r="A19082" s="135">
        <v>0.02</v>
      </c>
      <c r="B19082" s="151" t="s">
        <v>123</v>
      </c>
      <c r="C19082" s="2740">
        <v>28.85</v>
      </c>
      <c r="D19082" s="2738">
        <f>VLOOKUP(H19082,indexy!$C$44:$D$823,2,FALSE)</f>
        <v>33.83</v>
      </c>
      <c r="E19082" s="1463">
        <f t="shared" si="356"/>
        <v>0.17261698440207951</v>
      </c>
      <c r="F19082" s="1494">
        <f t="shared" si="355"/>
        <v>3.4523396880415903E-3</v>
      </c>
      <c r="G19082" s="415"/>
      <c r="H19082" s="415" t="str">
        <f>VLOOKUP(B19082,indexy!$A$44:$D$895,3,FALSE)</f>
        <v>MFC CT Equity</v>
      </c>
      <c r="J19082" s="434"/>
    </row>
    <row r="19083" spans="1:11" ht="12.75" hidden="1" customHeight="1" outlineLevel="1" x14ac:dyDescent="0.25">
      <c r="A19083" s="135">
        <v>0.02</v>
      </c>
      <c r="B19083" s="151" t="s">
        <v>4040</v>
      </c>
      <c r="C19083" s="410">
        <v>86.266999999999996</v>
      </c>
      <c r="D19083" s="2738">
        <f>VLOOKUP(H19083,indexy!$C$44:$D$823,2,FALSE)</f>
        <v>87.15</v>
      </c>
      <c r="E19083" s="1463">
        <f t="shared" si="356"/>
        <v>1.0235663695271846E-2</v>
      </c>
      <c r="F19083" s="1494">
        <f t="shared" si="355"/>
        <v>2.0471327390543694E-4</v>
      </c>
      <c r="G19083" s="415"/>
      <c r="H19083" s="415" t="str">
        <f>VLOOKUP(B19083,indexy!$A$44:$D$895,3,FALSE)</f>
        <v>MDT UN Equity</v>
      </c>
      <c r="J19083" s="434"/>
    </row>
    <row r="19084" spans="1:11" ht="12.75" hidden="1" customHeight="1" outlineLevel="1" x14ac:dyDescent="0.25">
      <c r="A19084" s="135">
        <v>0.02</v>
      </c>
      <c r="B19084" s="151" t="s">
        <v>1905</v>
      </c>
      <c r="C19084" s="410">
        <v>119.443</v>
      </c>
      <c r="D19084" s="2738">
        <f>VLOOKUP(H19084,indexy!$C$44:$D$823,2,FALSE)</f>
        <v>131.94999999999999</v>
      </c>
      <c r="E19084" s="1463">
        <f t="shared" si="356"/>
        <v>0.10471103371482626</v>
      </c>
      <c r="F19084" s="1494">
        <f t="shared" si="355"/>
        <v>2.0942206742965252E-3</v>
      </c>
      <c r="G19084" s="415"/>
      <c r="H19084" s="415" t="str">
        <f>VLOOKUP(B19084,indexy!$A$44:$D$895,3,FALSE)</f>
        <v>MRK UN Equity</v>
      </c>
      <c r="J19084" s="434"/>
    </row>
    <row r="19085" spans="1:11" ht="12.75" hidden="1" customHeight="1" outlineLevel="1" x14ac:dyDescent="0.25">
      <c r="A19085" s="135">
        <v>0.03</v>
      </c>
      <c r="B19085" s="151" t="s">
        <v>8527</v>
      </c>
      <c r="C19085" s="410">
        <v>37.402000000000001</v>
      </c>
      <c r="D19085" s="2738">
        <f>VLOOKUP(H19085,indexy!$C$44:$D$823,2,FALSE)</f>
        <v>42.82</v>
      </c>
      <c r="E19085" s="1463">
        <f t="shared" si="356"/>
        <v>0.1448585637131703</v>
      </c>
      <c r="F19085" s="1494">
        <f t="shared" si="355"/>
        <v>4.3457569113951088E-3</v>
      </c>
      <c r="G19085" s="415"/>
      <c r="H19085" s="415" t="str">
        <f>VLOOKUP(B19085,indexy!$A$44:$D$895,3,FALSE)</f>
        <v>NN NA Equity</v>
      </c>
      <c r="J19085" s="434"/>
    </row>
    <row r="19086" spans="1:11" ht="12.75" hidden="1" customHeight="1" outlineLevel="1" x14ac:dyDescent="0.25">
      <c r="A19086" s="135">
        <v>0.08</v>
      </c>
      <c r="B19086" s="151" t="s">
        <v>2787</v>
      </c>
      <c r="C19086" s="410">
        <v>93.200999999999993</v>
      </c>
      <c r="D19086" s="2738">
        <f>VLOOKUP(H19086,indexy!$C$44:$D$823,2,FALSE)</f>
        <v>87.37</v>
      </c>
      <c r="E19086" s="1463">
        <f t="shared" si="356"/>
        <v>-6.2563706397999908E-2</v>
      </c>
      <c r="F19086" s="1494">
        <f t="shared" si="355"/>
        <v>-5.0050965118399928E-3</v>
      </c>
      <c r="G19086" s="415"/>
      <c r="H19086" s="415" t="str">
        <f>VLOOKUP(B19086,indexy!$A$44:$D$895,3,FALSE)</f>
        <v>NOVN SE Equity</v>
      </c>
      <c r="J19086" s="434"/>
    </row>
    <row r="19087" spans="1:11" ht="12.75" hidden="1" customHeight="1" outlineLevel="1" x14ac:dyDescent="0.25">
      <c r="A19087" s="135">
        <v>0.02</v>
      </c>
      <c r="B19087" s="151" t="s">
        <v>4293</v>
      </c>
      <c r="C19087" s="410">
        <v>728.28</v>
      </c>
      <c r="D19087" s="2738">
        <f>VLOOKUP(H19087,indexy!$C$44:$D$823,2,FALSE)</f>
        <v>881.3</v>
      </c>
      <c r="E19087" s="1463">
        <f t="shared" si="356"/>
        <v>0.21011149557862363</v>
      </c>
      <c r="F19087" s="1494">
        <f t="shared" si="355"/>
        <v>4.2022299115724729E-3</v>
      </c>
      <c r="G19087" s="415"/>
      <c r="H19087" s="415" t="str">
        <f>VLOOKUP(B19087,indexy!$A$44:$D$895,3,FALSE)</f>
        <v>NOVOB DC Equity</v>
      </c>
      <c r="J19087" s="434"/>
    </row>
    <row r="19088" spans="1:11" ht="12.75" hidden="1" customHeight="1" outlineLevel="1" x14ac:dyDescent="0.25">
      <c r="A19088" s="135">
        <v>0.03</v>
      </c>
      <c r="B19088" s="151" t="s">
        <v>9625</v>
      </c>
      <c r="C19088" s="410">
        <v>2630.95</v>
      </c>
      <c r="D19088" s="2738">
        <f>VLOOKUP(H19088,indexy!$C$44:$D$823,2,FALSE)</f>
        <v>2477</v>
      </c>
      <c r="E19088" s="1463">
        <f t="shared" si="356"/>
        <v>-5.8514985081434379E-2</v>
      </c>
      <c r="F19088" s="1494">
        <f t="shared" si="355"/>
        <v>-1.7554495524430313E-3</v>
      </c>
      <c r="G19088" s="415"/>
      <c r="H19088" s="415" t="str">
        <f>VLOOKUP(B19088,indexy!$A$44:$D$895,3,FALSE)</f>
        <v>4528 JT Equity</v>
      </c>
      <c r="J19088" s="434"/>
    </row>
    <row r="19089" spans="1:10" ht="12.75" hidden="1" customHeight="1" outlineLevel="1" x14ac:dyDescent="0.25">
      <c r="A19089" s="135">
        <v>0.02</v>
      </c>
      <c r="B19089" s="151" t="s">
        <v>5847</v>
      </c>
      <c r="C19089" s="410">
        <v>5823.5</v>
      </c>
      <c r="D19089" s="2738">
        <f>VLOOKUP(H19089,indexy!$C$44:$D$823,2,FALSE)</f>
        <v>6271</v>
      </c>
      <c r="E19089" s="1463">
        <f t="shared" si="356"/>
        <v>7.6843822443547705E-2</v>
      </c>
      <c r="F19089" s="1494">
        <f t="shared" si="355"/>
        <v>1.536876448870954E-3</v>
      </c>
      <c r="G19089" s="415"/>
      <c r="H19089" s="415" t="str">
        <f>VLOOKUP(B19089,indexy!$A$44:$D$895,3,FALSE)</f>
        <v>4578 JT Equity</v>
      </c>
      <c r="J19089" s="434"/>
    </row>
    <row r="19090" spans="1:10" ht="12.75" hidden="1" customHeight="1" outlineLevel="1" x14ac:dyDescent="0.25">
      <c r="A19090" s="135">
        <v>0.04</v>
      </c>
      <c r="B19090" s="151" t="s">
        <v>1414</v>
      </c>
      <c r="C19090" s="410">
        <v>28.033000000000001</v>
      </c>
      <c r="D19090" s="2738">
        <f>VLOOKUP(H19090,indexy!$C$44:$D$823,2,FALSE)</f>
        <v>27.75</v>
      </c>
      <c r="E19090" s="1463">
        <f t="shared" si="356"/>
        <v>-1.0095244889951172E-2</v>
      </c>
      <c r="F19090" s="1494">
        <f t="shared" si="355"/>
        <v>-4.0380979559804684E-4</v>
      </c>
      <c r="G19090" s="415"/>
      <c r="H19090" s="415" t="str">
        <f>VLOOKUP(B19090,indexy!$A$44:$D$895,3,FALSE)</f>
        <v>PFE UN Equity</v>
      </c>
      <c r="J19090" s="434"/>
    </row>
    <row r="19091" spans="1:10" ht="12.75" hidden="1" customHeight="1" outlineLevel="1" x14ac:dyDescent="0.25">
      <c r="A19091" s="135">
        <v>0.02</v>
      </c>
      <c r="B19091" s="151" t="s">
        <v>10783</v>
      </c>
      <c r="C19091" s="410">
        <v>10.1915</v>
      </c>
      <c r="D19091" s="2738">
        <f>VLOOKUP(H19091,indexy!$C$44:$D$823,2,FALSE)</f>
        <v>11.605</v>
      </c>
      <c r="E19091" s="1463">
        <f t="shared" si="356"/>
        <v>0.1386940097139775</v>
      </c>
      <c r="F19091" s="1494">
        <f t="shared" si="355"/>
        <v>2.7738801942795497E-3</v>
      </c>
      <c r="G19091" s="415"/>
      <c r="H19091" s="415" t="str">
        <f>VLOOKUP(B19091,indexy!$A$44:$D$895,3,FALSE)</f>
        <v>PST IM Equity</v>
      </c>
      <c r="J19091" s="434"/>
    </row>
    <row r="19092" spans="1:10" ht="12.75" hidden="1" customHeight="1" outlineLevel="1" x14ac:dyDescent="0.25">
      <c r="A19092" s="135">
        <v>0.03</v>
      </c>
      <c r="B19092" s="151" t="s">
        <v>10429</v>
      </c>
      <c r="C19092" s="410">
        <v>38.497</v>
      </c>
      <c r="D19092" s="2738">
        <f>VLOOKUP(H19092,indexy!$C$44:$D$823,2,FALSE)</f>
        <v>37.979999999999997</v>
      </c>
      <c r="E19092" s="1463">
        <f t="shared" si="356"/>
        <v>-1.3429617892303347E-2</v>
      </c>
      <c r="F19092" s="1494">
        <f t="shared" si="355"/>
        <v>-4.0288853676910042E-4</v>
      </c>
      <c r="G19092" s="415"/>
      <c r="H19092" s="415" t="str">
        <f>VLOOKUP(B19092,indexy!$A$44:$D$895,3,FALSE)</f>
        <v>POW CT Equity</v>
      </c>
      <c r="J19092" s="434"/>
    </row>
    <row r="19093" spans="1:10" ht="12.75" hidden="1" customHeight="1" outlineLevel="1" x14ac:dyDescent="0.25">
      <c r="A19093" s="135">
        <v>0.02</v>
      </c>
      <c r="B19093" s="151" t="s">
        <v>2831</v>
      </c>
      <c r="C19093" s="410">
        <v>104.07599999999999</v>
      </c>
      <c r="D19093" s="2738">
        <f>VLOOKUP(H19093,indexy!$C$44:$D$823,2,FALSE)</f>
        <v>117.4</v>
      </c>
      <c r="E19093" s="1463">
        <f t="shared" si="356"/>
        <v>0.12802183020100699</v>
      </c>
      <c r="F19093" s="1494">
        <f t="shared" si="355"/>
        <v>2.56043660402014E-3</v>
      </c>
      <c r="G19093" s="415"/>
      <c r="H19093" s="415" t="str">
        <f>VLOOKUP(B19093,indexy!$A$44:$D$895,3,FALSE)</f>
        <v>PRU UN Equity</v>
      </c>
      <c r="J19093" s="434"/>
    </row>
    <row r="19094" spans="1:10" ht="12.75" hidden="1" customHeight="1" outlineLevel="1" x14ac:dyDescent="0.25">
      <c r="A19094" s="135">
        <v>0.08</v>
      </c>
      <c r="B19094" s="151" t="s">
        <v>3800</v>
      </c>
      <c r="C19094" s="410">
        <v>246.44</v>
      </c>
      <c r="D19094" s="2738">
        <f>VLOOKUP(H19094,indexy!$C$44:$D$823,2,FALSE)</f>
        <v>229.7</v>
      </c>
      <c r="E19094" s="1463">
        <f t="shared" si="356"/>
        <v>-6.7927284531731913E-2</v>
      </c>
      <c r="F19094" s="1494">
        <f t="shared" si="355"/>
        <v>-5.4341827625385532E-3</v>
      </c>
      <c r="G19094" s="415"/>
      <c r="H19094" s="415" t="str">
        <f>VLOOKUP(B19094,indexy!$A$44:$D$895,3,FALSE)</f>
        <v>ROG SE Equity</v>
      </c>
      <c r="J19094" s="434"/>
    </row>
    <row r="19095" spans="1:10" ht="12.75" hidden="1" customHeight="1" outlineLevel="1" x14ac:dyDescent="0.25">
      <c r="A19095" s="135">
        <v>0.02</v>
      </c>
      <c r="B19095" s="151" t="s">
        <v>10784</v>
      </c>
      <c r="C19095" s="410">
        <v>31.475000000000001</v>
      </c>
      <c r="D19095" s="2738">
        <f>VLOOKUP(H19095,indexy!$C$44:$D$895,2,FALSE)</f>
        <v>29.41</v>
      </c>
      <c r="E19095" s="1463">
        <f t="shared" si="356"/>
        <v>-6.5607625099285194E-2</v>
      </c>
      <c r="F19095" s="1494">
        <f>E19095*A19095</f>
        <v>-1.3121525019857039E-3</v>
      </c>
      <c r="G19095" s="415"/>
      <c r="H19095" s="415" t="str">
        <f>VLOOKUP(B19095,indexy!$A$44:$D$895,3,FALSE)</f>
        <v>SHL AT Equity</v>
      </c>
      <c r="J19095" s="434"/>
    </row>
    <row r="19096" spans="1:10" ht="12.75" hidden="1" customHeight="1" outlineLevel="1" x14ac:dyDescent="0.25">
      <c r="A19096" s="135">
        <v>0.02</v>
      </c>
      <c r="B19096" s="151" t="s">
        <v>898</v>
      </c>
      <c r="C19096" s="410">
        <v>68.536000000000001</v>
      </c>
      <c r="D19096" s="2738">
        <f>VLOOKUP(H19096,indexy!$C$44:$D$946,2,FALSE)</f>
        <v>73.91</v>
      </c>
      <c r="E19096" s="1463">
        <f t="shared" si="356"/>
        <v>7.8411345862028581E-2</v>
      </c>
      <c r="F19096" s="1494">
        <f>E19096*A19096</f>
        <v>1.5682269172405717E-3</v>
      </c>
      <c r="G19096" s="415"/>
      <c r="H19096" s="415" t="str">
        <f>VLOOKUP(B19096,indexy!$A$44:$D$895,3,FALSE)</f>
        <v>SLF CT Equity</v>
      </c>
      <c r="J19096" s="434"/>
    </row>
    <row r="19097" spans="1:10" ht="12.75" hidden="1" customHeight="1" outlineLevel="1" x14ac:dyDescent="0.25">
      <c r="A19097" s="135">
        <v>0.08</v>
      </c>
      <c r="B19097" s="151" t="s">
        <v>9173</v>
      </c>
      <c r="C19097" s="410">
        <v>595.72</v>
      </c>
      <c r="D19097" s="2738">
        <f>VLOOKUP(H19097,indexy!$C$44:$D$823,2,FALSE)</f>
        <v>632.20000000000005</v>
      </c>
      <c r="E19097" s="1463">
        <f t="shared" si="356"/>
        <v>6.1236822668367719E-2</v>
      </c>
      <c r="F19097" s="1494">
        <f>E19097*A19097</f>
        <v>4.8989458134694177E-3</v>
      </c>
      <c r="G19097" s="415"/>
      <c r="H19097" s="415" t="str">
        <f>VLOOKUP(B19097,indexy!$A$44:$D$895,3,FALSE)</f>
        <v>SLHN SE Equity</v>
      </c>
      <c r="J19097" s="434"/>
    </row>
    <row r="19098" spans="1:10" ht="12.75" hidden="1" customHeight="1" outlineLevel="1" x14ac:dyDescent="0.25">
      <c r="A19098" s="135">
        <v>7.0000000000000007E-2</v>
      </c>
      <c r="B19098" s="151" t="s">
        <v>3022</v>
      </c>
      <c r="C19098" s="410">
        <v>4373.3999999999996</v>
      </c>
      <c r="D19098" s="2738">
        <f>VLOOKUP(H19098,indexy!$C$44:$D$823,2,FALSE)</f>
        <v>4203</v>
      </c>
      <c r="E19098" s="1463">
        <f t="shared" si="356"/>
        <v>-3.8962820688708932E-2</v>
      </c>
      <c r="F19098" s="1494">
        <f>E19098*A19098</f>
        <v>-2.7273974482096256E-3</v>
      </c>
      <c r="G19098" s="415"/>
      <c r="H19098" s="415" t="str">
        <f>VLOOKUP(B19098,indexy!$A$44:$D$895,3,FALSE)</f>
        <v>4502 JT Equity</v>
      </c>
      <c r="J19098" s="434"/>
    </row>
    <row r="19099" spans="1:10" ht="12.75" hidden="1" customHeight="1" outlineLevel="1" x14ac:dyDescent="0.25">
      <c r="A19099" s="135">
        <v>0.02</v>
      </c>
      <c r="B19099" s="2736" t="s">
        <v>2036</v>
      </c>
      <c r="C19099" s="2741">
        <v>84.203999999999994</v>
      </c>
      <c r="D19099" s="2739">
        <f>VLOOKUP(H19099,indexy!$C$44:$D$823,2,FALSE)</f>
        <v>114.4</v>
      </c>
      <c r="E19099" s="1463">
        <f t="shared" si="356"/>
        <v>0.35860529191012325</v>
      </c>
      <c r="F19099" s="1494">
        <f>E19099*A19099</f>
        <v>7.1721058382024647E-3</v>
      </c>
      <c r="G19099" s="415"/>
      <c r="H19099" s="415" t="str">
        <f>VLOOKUP(B19099,indexy!$A$44:$D$895,3,FALSE)</f>
        <v>UCB BB Equity</v>
      </c>
      <c r="J19099" s="434"/>
    </row>
    <row r="19100" spans="1:10" ht="12.75" hidden="1" customHeight="1" outlineLevel="1" x14ac:dyDescent="0.25">
      <c r="A19100" s="1475" t="s">
        <v>2734</v>
      </c>
      <c r="B19100" s="150"/>
      <c r="C19100" s="1477">
        <v>100</v>
      </c>
      <c r="D19100" s="1477"/>
      <c r="E19100" s="1599"/>
      <c r="F19100" s="1599">
        <f>SUM(F19070:F19099)</f>
        <v>3.8273093482814935E-2</v>
      </c>
      <c r="G19100" s="415"/>
      <c r="H19100" s="415"/>
    </row>
    <row r="19101" spans="1:10" ht="12.75" hidden="1" customHeight="1" outlineLevel="1" x14ac:dyDescent="0.25">
      <c r="A19101" s="221"/>
      <c r="B19101" s="1478">
        <v>46722</v>
      </c>
      <c r="C19101" s="1497">
        <v>100</v>
      </c>
      <c r="D19101" s="1497"/>
      <c r="E19101" s="1498">
        <f>IF(D19101="",+$F$19100,D19101/C19101-1)</f>
        <v>3.8273093482814935E-2</v>
      </c>
      <c r="F19101" s="1499"/>
      <c r="G19101" s="415"/>
      <c r="H19101" s="415"/>
    </row>
    <row r="19102" spans="1:10" ht="12.75" hidden="1" customHeight="1" outlineLevel="1" x14ac:dyDescent="0.25">
      <c r="A19102" s="221"/>
      <c r="B19102" s="1478">
        <v>46753</v>
      </c>
      <c r="C19102" s="1497">
        <v>100</v>
      </c>
      <c r="D19102" s="1500"/>
      <c r="E19102" s="1498">
        <f t="shared" ref="E19102:E19118" si="357">IF(D19102="",+$F$19100,D19102/C19102-1)</f>
        <v>3.8273093482814935E-2</v>
      </c>
      <c r="F19102" s="1499"/>
      <c r="G19102" s="415"/>
      <c r="H19102" s="415"/>
    </row>
    <row r="19103" spans="1:10" ht="12.75" hidden="1" customHeight="1" outlineLevel="1" x14ac:dyDescent="0.25">
      <c r="A19103" s="221"/>
      <c r="B19103" s="1478">
        <v>46784</v>
      </c>
      <c r="C19103" s="1497">
        <v>100</v>
      </c>
      <c r="D19103" s="1500"/>
      <c r="E19103" s="1498">
        <f t="shared" si="357"/>
        <v>3.8273093482814935E-2</v>
      </c>
      <c r="F19103" s="1499"/>
      <c r="G19103" s="415"/>
      <c r="H19103" s="415"/>
    </row>
    <row r="19104" spans="1:10" ht="12.75" hidden="1" customHeight="1" outlineLevel="1" x14ac:dyDescent="0.25">
      <c r="A19104" s="221"/>
      <c r="B19104" s="1478">
        <v>46813</v>
      </c>
      <c r="C19104" s="1497">
        <v>100</v>
      </c>
      <c r="D19104" s="1500"/>
      <c r="E19104" s="1498">
        <f t="shared" si="357"/>
        <v>3.8273093482814935E-2</v>
      </c>
      <c r="F19104" s="1499"/>
      <c r="G19104" s="415"/>
      <c r="H19104" s="415"/>
    </row>
    <row r="19105" spans="1:8" ht="12.75" hidden="1" customHeight="1" outlineLevel="1" x14ac:dyDescent="0.25">
      <c r="A19105" s="221"/>
      <c r="B19105" s="1478">
        <v>46844</v>
      </c>
      <c r="C19105" s="1497">
        <v>100</v>
      </c>
      <c r="D19105" s="1500"/>
      <c r="E19105" s="1498">
        <f t="shared" si="357"/>
        <v>3.8273093482814935E-2</v>
      </c>
      <c r="F19105" s="1499"/>
      <c r="G19105" s="415"/>
      <c r="H19105" s="415"/>
    </row>
    <row r="19106" spans="1:8" ht="12.75" hidden="1" customHeight="1" outlineLevel="1" x14ac:dyDescent="0.25">
      <c r="A19106" s="221"/>
      <c r="B19106" s="1478">
        <v>46874</v>
      </c>
      <c r="C19106" s="1497">
        <v>100</v>
      </c>
      <c r="D19106" s="1500"/>
      <c r="E19106" s="1498">
        <f t="shared" si="357"/>
        <v>3.8273093482814935E-2</v>
      </c>
      <c r="F19106" s="1499"/>
      <c r="G19106" s="415"/>
      <c r="H19106" s="415"/>
    </row>
    <row r="19107" spans="1:8" ht="12.75" hidden="1" customHeight="1" outlineLevel="1" x14ac:dyDescent="0.25">
      <c r="A19107" s="221"/>
      <c r="B19107" s="1478">
        <v>46905</v>
      </c>
      <c r="C19107" s="1497">
        <v>100</v>
      </c>
      <c r="D19107" s="1500"/>
      <c r="E19107" s="1498">
        <f t="shared" si="357"/>
        <v>3.8273093482814935E-2</v>
      </c>
      <c r="F19107" s="1499"/>
      <c r="G19107" s="415"/>
      <c r="H19107" s="415"/>
    </row>
    <row r="19108" spans="1:8" ht="12.75" hidden="1" customHeight="1" outlineLevel="1" x14ac:dyDescent="0.25">
      <c r="A19108" s="221"/>
      <c r="B19108" s="1478">
        <v>46935</v>
      </c>
      <c r="C19108" s="1497">
        <v>100</v>
      </c>
      <c r="D19108" s="1500"/>
      <c r="E19108" s="1498">
        <f t="shared" si="357"/>
        <v>3.8273093482814935E-2</v>
      </c>
      <c r="F19108" s="1499"/>
      <c r="G19108" s="415"/>
      <c r="H19108" s="415"/>
    </row>
    <row r="19109" spans="1:8" ht="12.75" hidden="1" customHeight="1" outlineLevel="1" x14ac:dyDescent="0.25">
      <c r="A19109" s="221"/>
      <c r="B19109" s="1478">
        <v>46966</v>
      </c>
      <c r="C19109" s="1497">
        <v>100</v>
      </c>
      <c r="D19109" s="1500"/>
      <c r="E19109" s="1498">
        <f t="shared" si="357"/>
        <v>3.8273093482814935E-2</v>
      </c>
      <c r="F19109" s="1499"/>
      <c r="G19109" s="415"/>
      <c r="H19109" s="415"/>
    </row>
    <row r="19110" spans="1:8" ht="12.75" hidden="1" customHeight="1" outlineLevel="1" x14ac:dyDescent="0.25">
      <c r="A19110" s="221"/>
      <c r="B19110" s="1478">
        <v>46997</v>
      </c>
      <c r="C19110" s="1497">
        <v>100</v>
      </c>
      <c r="D19110" s="1500"/>
      <c r="E19110" s="1498">
        <f t="shared" si="357"/>
        <v>3.8273093482814935E-2</v>
      </c>
      <c r="F19110" s="1499"/>
      <c r="G19110" s="415"/>
      <c r="H19110" s="415"/>
    </row>
    <row r="19111" spans="1:8" ht="12.75" hidden="1" customHeight="1" outlineLevel="1" x14ac:dyDescent="0.25">
      <c r="A19111" s="221"/>
      <c r="B19111" s="1478">
        <v>47027</v>
      </c>
      <c r="C19111" s="1497">
        <v>100</v>
      </c>
      <c r="D19111" s="1500"/>
      <c r="E19111" s="1498">
        <f t="shared" si="357"/>
        <v>3.8273093482814935E-2</v>
      </c>
      <c r="F19111" s="1499"/>
      <c r="G19111" s="415"/>
      <c r="H19111" s="415"/>
    </row>
    <row r="19112" spans="1:8" ht="12.75" hidden="1" customHeight="1" outlineLevel="1" x14ac:dyDescent="0.25">
      <c r="A19112" s="221"/>
      <c r="B19112" s="1478">
        <v>47058</v>
      </c>
      <c r="C19112" s="1497">
        <v>100</v>
      </c>
      <c r="D19112" s="1500"/>
      <c r="E19112" s="1498">
        <f t="shared" si="357"/>
        <v>3.8273093482814935E-2</v>
      </c>
      <c r="F19112" s="1499"/>
      <c r="G19112" s="415"/>
      <c r="H19112" s="415"/>
    </row>
    <row r="19113" spans="1:8" ht="12.75" hidden="1" customHeight="1" outlineLevel="1" x14ac:dyDescent="0.25">
      <c r="A19113" s="221"/>
      <c r="B19113" s="1478">
        <v>47088</v>
      </c>
      <c r="C19113" s="1497">
        <v>100</v>
      </c>
      <c r="D19113" s="1500"/>
      <c r="E19113" s="1498">
        <f t="shared" si="357"/>
        <v>3.8273093482814935E-2</v>
      </c>
      <c r="F19113" s="1499"/>
      <c r="G19113" s="415"/>
      <c r="H19113" s="415"/>
    </row>
    <row r="19114" spans="1:8" ht="12.75" hidden="1" customHeight="1" outlineLevel="1" x14ac:dyDescent="0.25">
      <c r="A19114" s="221"/>
      <c r="B19114" s="1478">
        <v>47119</v>
      </c>
      <c r="C19114" s="1497">
        <v>100</v>
      </c>
      <c r="D19114" s="1500"/>
      <c r="E19114" s="1498">
        <f t="shared" si="357"/>
        <v>3.8273093482814935E-2</v>
      </c>
      <c r="F19114" s="1499"/>
      <c r="G19114" s="415"/>
      <c r="H19114" s="415"/>
    </row>
    <row r="19115" spans="1:8" ht="12.75" hidden="1" customHeight="1" outlineLevel="1" x14ac:dyDescent="0.25">
      <c r="A19115" s="221"/>
      <c r="B19115" s="1478">
        <v>47150</v>
      </c>
      <c r="C19115" s="1497">
        <v>100</v>
      </c>
      <c r="D19115" s="1500"/>
      <c r="E19115" s="1498">
        <f t="shared" si="357"/>
        <v>3.8273093482814935E-2</v>
      </c>
      <c r="F19115" s="1499"/>
      <c r="G19115" s="415"/>
      <c r="H19115" s="415"/>
    </row>
    <row r="19116" spans="1:8" ht="12.75" hidden="1" customHeight="1" outlineLevel="1" x14ac:dyDescent="0.25">
      <c r="A19116" s="221"/>
      <c r="B19116" s="1478">
        <v>47178</v>
      </c>
      <c r="C19116" s="1497">
        <v>100</v>
      </c>
      <c r="D19116" s="1500"/>
      <c r="E19116" s="1498">
        <f t="shared" si="357"/>
        <v>3.8273093482814935E-2</v>
      </c>
      <c r="F19116" s="1499"/>
      <c r="G19116" s="415"/>
      <c r="H19116" s="415"/>
    </row>
    <row r="19117" spans="1:8" ht="12.75" hidden="1" customHeight="1" outlineLevel="1" x14ac:dyDescent="0.25">
      <c r="A19117" s="221"/>
      <c r="B19117" s="1478">
        <v>47209</v>
      </c>
      <c r="C19117" s="1497">
        <v>100</v>
      </c>
      <c r="D19117" s="1500"/>
      <c r="E19117" s="1498">
        <f t="shared" si="357"/>
        <v>3.8273093482814935E-2</v>
      </c>
      <c r="F19117" s="1499"/>
      <c r="G19117" s="415"/>
      <c r="H19117" s="415"/>
    </row>
    <row r="19118" spans="1:8" ht="12.75" hidden="1" customHeight="1" outlineLevel="1" x14ac:dyDescent="0.25">
      <c r="A19118" s="221"/>
      <c r="B19118" s="1478">
        <v>47239</v>
      </c>
      <c r="C19118" s="1497">
        <v>100</v>
      </c>
      <c r="D19118" s="1500"/>
      <c r="E19118" s="1498">
        <f t="shared" si="357"/>
        <v>3.8273093482814935E-2</v>
      </c>
      <c r="F19118" s="1499"/>
      <c r="G19118" s="415"/>
      <c r="H19118" s="415"/>
    </row>
    <row r="19119" spans="1:8" s="444" customFormat="1" ht="12.75" hidden="1" customHeight="1" outlineLevel="1" x14ac:dyDescent="0.25">
      <c r="A19119" s="1483" t="s">
        <v>2734</v>
      </c>
      <c r="B19119" s="1484"/>
      <c r="C19119" s="1500"/>
      <c r="D19119" s="1485" t="s">
        <v>2465</v>
      </c>
      <c r="E19119" s="1486">
        <f>AVERAGE(E19101:E19118)</f>
        <v>3.8273093482814935E-2</v>
      </c>
      <c r="F19119" s="1487">
        <f>+(((E19119*100)+100)-I19070)/100</f>
        <v>4.0935093482814863E-2</v>
      </c>
    </row>
    <row r="19120" spans="1:8" collapsed="1" x14ac:dyDescent="0.25">
      <c r="A19120" s="3799" t="s">
        <v>10836</v>
      </c>
      <c r="B19120" s="3800"/>
      <c r="C19120" s="3800"/>
      <c r="D19120" s="3800"/>
      <c r="E19120" s="18"/>
      <c r="F19120" s="18">
        <f>MIN(MAX(9%,+F19119*0.8),80%)</f>
        <v>0.09</v>
      </c>
      <c r="G19120" s="415"/>
    </row>
  </sheetData>
  <dataConsolidate/>
  <mergeCells count="1253">
    <mergeCell ref="D19061:D19065"/>
    <mergeCell ref="A19067:D19067"/>
    <mergeCell ref="A19058:D19058"/>
    <mergeCell ref="A19005:D19005"/>
    <mergeCell ref="A18958:D18958"/>
    <mergeCell ref="D18890:D18894"/>
    <mergeCell ref="A18896:D18896"/>
    <mergeCell ref="D18881:D18885"/>
    <mergeCell ref="A18887:D18887"/>
    <mergeCell ref="D18810:D18814"/>
    <mergeCell ref="A18816:D18816"/>
    <mergeCell ref="A18648:D18648"/>
    <mergeCell ref="D18587:D18591"/>
    <mergeCell ref="A18593:D18593"/>
    <mergeCell ref="A18531:D18531"/>
    <mergeCell ref="A18478:D18478"/>
    <mergeCell ref="A18425:D18425"/>
    <mergeCell ref="D18899:D18903"/>
    <mergeCell ref="A18905:D18905"/>
    <mergeCell ref="D18366:D18370"/>
    <mergeCell ref="A18372:D18372"/>
    <mergeCell ref="A18363:D18363"/>
    <mergeCell ref="D18304:D18308"/>
    <mergeCell ref="A18127:D18127"/>
    <mergeCell ref="A18133:D18133"/>
    <mergeCell ref="A18189:D18189"/>
    <mergeCell ref="A18195:D18195"/>
    <mergeCell ref="A18007:D18007"/>
    <mergeCell ref="A18063:D18063"/>
    <mergeCell ref="A18584:D18584"/>
    <mergeCell ref="A18754:D18754"/>
    <mergeCell ref="A18807:D18807"/>
    <mergeCell ref="A18701:D18701"/>
    <mergeCell ref="D18872:D18876"/>
    <mergeCell ref="A18878:D18878"/>
    <mergeCell ref="A18869:D18869"/>
    <mergeCell ref="D17933:D17937"/>
    <mergeCell ref="A17939:D17939"/>
    <mergeCell ref="A18310:D18310"/>
    <mergeCell ref="A17647:D17647"/>
    <mergeCell ref="A17586:D17586"/>
    <mergeCell ref="A17770:D17770"/>
    <mergeCell ref="A17874:C17874"/>
    <mergeCell ref="A17930:D17930"/>
    <mergeCell ref="D17574:D17578"/>
    <mergeCell ref="A17580:D17580"/>
    <mergeCell ref="A17700:D17700"/>
    <mergeCell ref="A17826:D17826"/>
    <mergeCell ref="A17831:D17831"/>
    <mergeCell ref="A17472:D17472"/>
    <mergeCell ref="D17703:D17707"/>
    <mergeCell ref="A17709:D17709"/>
    <mergeCell ref="A17413:D17413"/>
    <mergeCell ref="A18002:D18002"/>
    <mergeCell ref="D18066:D18070"/>
    <mergeCell ref="A18072:D18072"/>
    <mergeCell ref="A18301:D18301"/>
    <mergeCell ref="A18248:D18248"/>
    <mergeCell ref="A17357:C17357"/>
    <mergeCell ref="A17571:C17571"/>
    <mergeCell ref="A17515:C17515"/>
    <mergeCell ref="A17136:D17136"/>
    <mergeCell ref="D17124:D17128"/>
    <mergeCell ref="A17130:D17130"/>
    <mergeCell ref="A17419:D17419"/>
    <mergeCell ref="A17192:D17192"/>
    <mergeCell ref="A16733:D16733"/>
    <mergeCell ref="A16276:D16276"/>
    <mergeCell ref="A16515:D16515"/>
    <mergeCell ref="A17258:D17258"/>
    <mergeCell ref="A17314:D17314"/>
    <mergeCell ref="A16898:C16898"/>
    <mergeCell ref="A16789:D16789"/>
    <mergeCell ref="A16855:D16855"/>
    <mergeCell ref="A16403:D16403"/>
    <mergeCell ref="A16437:D16437"/>
    <mergeCell ref="A17121:D17121"/>
    <mergeCell ref="A17066:D17066"/>
    <mergeCell ref="A17010:D17010"/>
    <mergeCell ref="A16954:D16954"/>
    <mergeCell ref="A16320:D16320"/>
    <mergeCell ref="A16364:D16364"/>
    <mergeCell ref="A16627:D16627"/>
    <mergeCell ref="A16671:D16671"/>
    <mergeCell ref="A16677:D16677"/>
    <mergeCell ref="A15323:D15323"/>
    <mergeCell ref="A15221:D15221"/>
    <mergeCell ref="A16140:D16140"/>
    <mergeCell ref="A16174:D16174"/>
    <mergeCell ref="A16481:D16481"/>
    <mergeCell ref="A16571:D16571"/>
    <mergeCell ref="D16217:D16220"/>
    <mergeCell ref="A15952:D15952"/>
    <mergeCell ref="A15998:D15998"/>
    <mergeCell ref="A16214:D16214"/>
    <mergeCell ref="A16086:D16086"/>
    <mergeCell ref="A16042:D16042"/>
    <mergeCell ref="A16180:D16180"/>
    <mergeCell ref="A15678:D15678"/>
    <mergeCell ref="A15721:C15721"/>
    <mergeCell ref="A15767:D15767"/>
    <mergeCell ref="A15841:D15841"/>
    <mergeCell ref="A15887:D15887"/>
    <mergeCell ref="C15890:C15895"/>
    <mergeCell ref="D15890:D15895"/>
    <mergeCell ref="D15770:D15773"/>
    <mergeCell ref="A15775:D15775"/>
    <mergeCell ref="A16222:D16222"/>
    <mergeCell ref="A14998:D14998"/>
    <mergeCell ref="A15054:D15054"/>
    <mergeCell ref="A14733:D14733"/>
    <mergeCell ref="A14788:D14788"/>
    <mergeCell ref="A14677:D14677"/>
    <mergeCell ref="A14409:D14409"/>
    <mergeCell ref="D14412:D14416"/>
    <mergeCell ref="A14418:D14418"/>
    <mergeCell ref="C14497:C14498"/>
    <mergeCell ref="D14497:D14498"/>
    <mergeCell ref="A14500:D14500"/>
    <mergeCell ref="A14494:D14494"/>
    <mergeCell ref="A14297:D14297"/>
    <mergeCell ref="D14615:D14619"/>
    <mergeCell ref="A15576:D15576"/>
    <mergeCell ref="A15622:D15622"/>
    <mergeCell ref="D15412:D15416"/>
    <mergeCell ref="A15418:D15418"/>
    <mergeCell ref="A15464:D15464"/>
    <mergeCell ref="A15520:D15520"/>
    <mergeCell ref="C15412:C15416"/>
    <mergeCell ref="A15400:D15400"/>
    <mergeCell ref="D15332:D15336"/>
    <mergeCell ref="A15338:D15338"/>
    <mergeCell ref="C15341:C15342"/>
    <mergeCell ref="D15341:D15342"/>
    <mergeCell ref="A15344:D15344"/>
    <mergeCell ref="A15165:D15165"/>
    <mergeCell ref="D15057:D15061"/>
    <mergeCell ref="A15063:D15063"/>
    <mergeCell ref="A15109:D15109"/>
    <mergeCell ref="A15277:D15277"/>
    <mergeCell ref="A13392:D13392"/>
    <mergeCell ref="A13550:D13550"/>
    <mergeCell ref="A13166:D13166"/>
    <mergeCell ref="A13438:D13438"/>
    <mergeCell ref="C13337:C13338"/>
    <mergeCell ref="D13337:D13338"/>
    <mergeCell ref="A13340:D13340"/>
    <mergeCell ref="A14942:D14942"/>
    <mergeCell ref="A14621:D14621"/>
    <mergeCell ref="A14556:D14556"/>
    <mergeCell ref="A14612:D14612"/>
    <mergeCell ref="A14189:D14189"/>
    <mergeCell ref="C14130:C14131"/>
    <mergeCell ref="D14130:D14131"/>
    <mergeCell ref="D14890:D14894"/>
    <mergeCell ref="A14896:D14896"/>
    <mergeCell ref="A14887:C14887"/>
    <mergeCell ref="A14844:D14844"/>
    <mergeCell ref="A14353:D14353"/>
    <mergeCell ref="C14192:C14193"/>
    <mergeCell ref="D14192:D14193"/>
    <mergeCell ref="A14195:D14195"/>
    <mergeCell ref="A14251:D14251"/>
    <mergeCell ref="C14023:C14024"/>
    <mergeCell ref="D14023:D14024"/>
    <mergeCell ref="A14133:D14133"/>
    <mergeCell ref="A14026:D14026"/>
    <mergeCell ref="A14081:D14081"/>
    <mergeCell ref="A14127:D14127"/>
    <mergeCell ref="A13708:D13708"/>
    <mergeCell ref="A13606:D13606"/>
    <mergeCell ref="A13652:D13652"/>
    <mergeCell ref="A13977:D13977"/>
    <mergeCell ref="A14020:C14020"/>
    <mergeCell ref="A13494:D13494"/>
    <mergeCell ref="A13865:D13865"/>
    <mergeCell ref="A13921:D13921"/>
    <mergeCell ref="A13819:D13819"/>
    <mergeCell ref="A13763:D13763"/>
    <mergeCell ref="A9914:C9914"/>
    <mergeCell ref="A9839:D9839"/>
    <mergeCell ref="A12708:D12708"/>
    <mergeCell ref="A13222:D13222"/>
    <mergeCell ref="A13054:D13054"/>
    <mergeCell ref="A13110:D13110"/>
    <mergeCell ref="A13328:D13328"/>
    <mergeCell ref="A13272:D13272"/>
    <mergeCell ref="A10201:D10201"/>
    <mergeCell ref="A10192:D10192"/>
    <mergeCell ref="A10025:D10025"/>
    <mergeCell ref="A10068:C10068"/>
    <mergeCell ref="A11641:C11641"/>
    <mergeCell ref="A11678:D11678"/>
    <mergeCell ref="A11323:C11323"/>
    <mergeCell ref="A11598:D11598"/>
    <mergeCell ref="A11280:C11280"/>
    <mergeCell ref="A10713:D10713"/>
    <mergeCell ref="A10668:C10668"/>
    <mergeCell ref="A10876:D10876"/>
    <mergeCell ref="A10963:D10963"/>
    <mergeCell ref="A11000:D11000"/>
    <mergeCell ref="A11473:D11473"/>
    <mergeCell ref="A11185:D11185"/>
    <mergeCell ref="A11393:D11393"/>
    <mergeCell ref="A11194:D11194"/>
    <mergeCell ref="D11188:D11192"/>
    <mergeCell ref="A11361:D11361"/>
    <mergeCell ref="A11436:C11436"/>
    <mergeCell ref="A11510:D11510"/>
    <mergeCell ref="A12175:C12175"/>
    <mergeCell ref="A11761:D11761"/>
    <mergeCell ref="A10240:D10240"/>
    <mergeCell ref="D11179:D11183"/>
    <mergeCell ref="A11098:D11098"/>
    <mergeCell ref="A11089:C11089"/>
    <mergeCell ref="D11092:D11096"/>
    <mergeCell ref="A11237:C11237"/>
    <mergeCell ref="A9961:C9961"/>
    <mergeCell ref="A9988:D9988"/>
    <mergeCell ref="C13343:C13344"/>
    <mergeCell ref="D13343:D13344"/>
    <mergeCell ref="A10625:D10625"/>
    <mergeCell ref="A10824:D10824"/>
    <mergeCell ref="A10750:D10750"/>
    <mergeCell ref="A10787:D10787"/>
    <mergeCell ref="A11052:D11052"/>
    <mergeCell ref="A10926:C10926"/>
    <mergeCell ref="A12258:D12258"/>
    <mergeCell ref="A12291:C12291"/>
    <mergeCell ref="D12331:D12333"/>
    <mergeCell ref="A12328:D12328"/>
    <mergeCell ref="A12334:D12334"/>
    <mergeCell ref="C12331:C12333"/>
    <mergeCell ref="D12475:D12479"/>
    <mergeCell ref="A12481:D12481"/>
    <mergeCell ref="A13346:D13346"/>
    <mergeCell ref="A12754:D12754"/>
    <mergeCell ref="A12984:D12984"/>
    <mergeCell ref="C13331:C13332"/>
    <mergeCell ref="D13331:D13332"/>
    <mergeCell ref="A13334:D13334"/>
    <mergeCell ref="A12810:D12810"/>
    <mergeCell ref="C12813:C12814"/>
    <mergeCell ref="D12813:D12814"/>
    <mergeCell ref="A12816:D12816"/>
    <mergeCell ref="A12872:D12872"/>
    <mergeCell ref="A13030:D13030"/>
    <mergeCell ref="A12928:D12928"/>
    <mergeCell ref="A11752:D11752"/>
    <mergeCell ref="A11542:D11542"/>
    <mergeCell ref="A12536:D12536"/>
    <mergeCell ref="A12591:D12591"/>
    <mergeCell ref="A12646:D12646"/>
    <mergeCell ref="A12702:D12702"/>
    <mergeCell ref="A12044:D12044"/>
    <mergeCell ref="A11798:D11798"/>
    <mergeCell ref="D11965:D11969"/>
    <mergeCell ref="A11971:D11971"/>
    <mergeCell ref="A11935:D11935"/>
    <mergeCell ref="A12008:D12008"/>
    <mergeCell ref="C12705:C12706"/>
    <mergeCell ref="D12705:D12706"/>
    <mergeCell ref="A12128:D12128"/>
    <mergeCell ref="A12072:D12072"/>
    <mergeCell ref="A12371:D12371"/>
    <mergeCell ref="A12472:D12472"/>
    <mergeCell ref="A12202:D12202"/>
    <mergeCell ref="R2616:S2616"/>
    <mergeCell ref="K3523:L3523"/>
    <mergeCell ref="R2617:S2617"/>
    <mergeCell ref="A8404:D8404"/>
    <mergeCell ref="A7399:D7399"/>
    <mergeCell ref="D6935:D6939"/>
    <mergeCell ref="A6977:D6977"/>
    <mergeCell ref="A7261:D7261"/>
    <mergeCell ref="A8127:D8127"/>
    <mergeCell ref="F6980:F6984"/>
    <mergeCell ref="A9089:D9089"/>
    <mergeCell ref="A9126:D9126"/>
    <mergeCell ref="A8890:D8890"/>
    <mergeCell ref="A8927:D8927"/>
    <mergeCell ref="A8181:D8181"/>
    <mergeCell ref="A8222:C8222"/>
    <mergeCell ref="A8533:D8533"/>
    <mergeCell ref="A8496:D8496"/>
    <mergeCell ref="A8581:C8581"/>
    <mergeCell ref="A8300:C8300"/>
    <mergeCell ref="D9037:D9041"/>
    <mergeCell ref="A7485:C7485"/>
    <mergeCell ref="A7603:D7603"/>
    <mergeCell ref="A7524:D7524"/>
    <mergeCell ref="A7566:C7566"/>
    <mergeCell ref="A8075:D8075"/>
    <mergeCell ref="A8116:C8116"/>
    <mergeCell ref="A8954:D8954"/>
    <mergeCell ref="A7865:C7865"/>
    <mergeCell ref="A7902:D7902"/>
    <mergeCell ref="A9052:D9052"/>
    <mergeCell ref="A9043:D9043"/>
    <mergeCell ref="E8123:E8124"/>
    <mergeCell ref="F8123:F8124"/>
    <mergeCell ref="F8125:F8126"/>
    <mergeCell ref="E6923:E6925"/>
    <mergeCell ref="F6926:F6928"/>
    <mergeCell ref="F6929:F6931"/>
    <mergeCell ref="A7030:D7030"/>
    <mergeCell ref="A7357:C7357"/>
    <mergeCell ref="A6985:D6985"/>
    <mergeCell ref="A7072:C7072"/>
    <mergeCell ref="A7315:D7315"/>
    <mergeCell ref="A7224:D7224"/>
    <mergeCell ref="A7938:D7938"/>
    <mergeCell ref="A7630:D7630"/>
    <mergeCell ref="F8536:F8538"/>
    <mergeCell ref="E8536:E8538"/>
    <mergeCell ref="F8633:F8635"/>
    <mergeCell ref="E8633:E8635"/>
    <mergeCell ref="A8456:D8456"/>
    <mergeCell ref="A8259:D8259"/>
    <mergeCell ref="E8125:E8126"/>
    <mergeCell ref="E8119:E8120"/>
    <mergeCell ref="A7116:C7116"/>
    <mergeCell ref="F8119:F8120"/>
    <mergeCell ref="E8121:E8122"/>
    <mergeCell ref="F8121:F8122"/>
    <mergeCell ref="A7801:D7801"/>
    <mergeCell ref="A8012:D8012"/>
    <mergeCell ref="A8048:D8048"/>
    <mergeCell ref="A7824:D7824"/>
    <mergeCell ref="A8335:D8335"/>
    <mergeCell ref="A7170:D7170"/>
    <mergeCell ref="F6920:F6922"/>
    <mergeCell ref="F6923:F6925"/>
    <mergeCell ref="E6926:E6928"/>
    <mergeCell ref="E6929:E6931"/>
    <mergeCell ref="F5846:F5851"/>
    <mergeCell ref="A6296:D6296"/>
    <mergeCell ref="E6917:E6919"/>
    <mergeCell ref="F6917:F6919"/>
    <mergeCell ref="E6920:E6922"/>
    <mergeCell ref="A6520:D6520"/>
    <mergeCell ref="A6557:D6557"/>
    <mergeCell ref="A6757:D6757"/>
    <mergeCell ref="F6560:F6564"/>
    <mergeCell ref="A6619:D6619"/>
    <mergeCell ref="E6560:E6564"/>
    <mergeCell ref="A6565:D6565"/>
    <mergeCell ref="A6683:D6683"/>
    <mergeCell ref="A6720:D6720"/>
    <mergeCell ref="A6646:D6646"/>
    <mergeCell ref="A6842:D6842"/>
    <mergeCell ref="A6794:D6794"/>
    <mergeCell ref="A6914:D6914"/>
    <mergeCell ref="A6869:D6869"/>
    <mergeCell ref="F5081:F5083"/>
    <mergeCell ref="A6370:D6370"/>
    <mergeCell ref="A5808:D5808"/>
    <mergeCell ref="A5466:D5466"/>
    <mergeCell ref="A5885:D5885"/>
    <mergeCell ref="A5265:D5265"/>
    <mergeCell ref="A5302:D5302"/>
    <mergeCell ref="A5947:D5947"/>
    <mergeCell ref="A5954:D5954"/>
    <mergeCell ref="A6475:D6475"/>
    <mergeCell ref="A5416:D5416"/>
    <mergeCell ref="A5362:D5362"/>
    <mergeCell ref="A5977:D5977"/>
    <mergeCell ref="A6031:D6031"/>
    <mergeCell ref="E5305:E5310"/>
    <mergeCell ref="A5893:D5893"/>
    <mergeCell ref="E5852:E5857"/>
    <mergeCell ref="F5840:F5845"/>
    <mergeCell ref="A5858:D5858"/>
    <mergeCell ref="A5520:D5520"/>
    <mergeCell ref="A5606:D5606"/>
    <mergeCell ref="A5633:D5633"/>
    <mergeCell ref="A5569:D5569"/>
    <mergeCell ref="F4803:F4807"/>
    <mergeCell ref="A5228:D5228"/>
    <mergeCell ref="A4763:D4763"/>
    <mergeCell ref="A4800:D4800"/>
    <mergeCell ref="A5090:D5090"/>
    <mergeCell ref="A5149:D5149"/>
    <mergeCell ref="E5078:E5080"/>
    <mergeCell ref="A4948:D4948"/>
    <mergeCell ref="E5081:E5083"/>
    <mergeCell ref="A5191:C5191"/>
    <mergeCell ref="A4431:D4431"/>
    <mergeCell ref="E5072:E5074"/>
    <mergeCell ref="E4372:E4374"/>
    <mergeCell ref="E4803:E4807"/>
    <mergeCell ref="F5072:F5074"/>
    <mergeCell ref="A4898:D4898"/>
    <mergeCell ref="A5032:D5032"/>
    <mergeCell ref="A4648:D4648"/>
    <mergeCell ref="A4985:D4985"/>
    <mergeCell ref="A4808:D4808"/>
    <mergeCell ref="A4375:D4375"/>
    <mergeCell ref="A4726:D4726"/>
    <mergeCell ref="A4481:D4481"/>
    <mergeCell ref="F5075:F5077"/>
    <mergeCell ref="F5078:F5080"/>
    <mergeCell ref="F4372:F4374"/>
    <mergeCell ref="A5069:D5069"/>
    <mergeCell ref="A4652:D4652"/>
    <mergeCell ref="A4689:D4689"/>
    <mergeCell ref="A4593:D4593"/>
    <mergeCell ref="A4485:D4485"/>
    <mergeCell ref="A4570:D4570"/>
    <mergeCell ref="E3327:E3330"/>
    <mergeCell ref="F3339:F3342"/>
    <mergeCell ref="F3335:F3338"/>
    <mergeCell ref="E3339:E3342"/>
    <mergeCell ref="F4161:F4165"/>
    <mergeCell ref="E4185:E4188"/>
    <mergeCell ref="F4176:F4180"/>
    <mergeCell ref="F3596:F3598"/>
    <mergeCell ref="F4185:F4188"/>
    <mergeCell ref="A3724:D3724"/>
    <mergeCell ref="A3343:D3343"/>
    <mergeCell ref="A3687:D3687"/>
    <mergeCell ref="A3655:D3655"/>
    <mergeCell ref="A3566:D3566"/>
    <mergeCell ref="A3593:D3593"/>
    <mergeCell ref="E3596:E3598"/>
    <mergeCell ref="F3608:F3610"/>
    <mergeCell ref="F3602:F3604"/>
    <mergeCell ref="E3605:E3607"/>
    <mergeCell ref="E3602:E3604"/>
    <mergeCell ref="F3605:F3607"/>
    <mergeCell ref="E3599:E3601"/>
    <mergeCell ref="F3599:F3601"/>
    <mergeCell ref="E3608:E3610"/>
    <mergeCell ref="E2377:E2379"/>
    <mergeCell ref="F2398:F2400"/>
    <mergeCell ref="F3230:F3232"/>
    <mergeCell ref="A2031:D2031"/>
    <mergeCell ref="A1957:D1957"/>
    <mergeCell ref="A1920:D1920"/>
    <mergeCell ref="A2374:D2374"/>
    <mergeCell ref="A2370:D2370"/>
    <mergeCell ref="F2386:F2388"/>
    <mergeCell ref="E2389:E2391"/>
    <mergeCell ref="F2389:F2391"/>
    <mergeCell ref="F2377:F2379"/>
    <mergeCell ref="E2401:E2403"/>
    <mergeCell ref="F2401:F2403"/>
    <mergeCell ref="E2380:E2382"/>
    <mergeCell ref="F2380:F2382"/>
    <mergeCell ref="E2383:E2385"/>
    <mergeCell ref="F2383:F2385"/>
    <mergeCell ref="E2392:E2394"/>
    <mergeCell ref="F2392:F2394"/>
    <mergeCell ref="E2386:E2388"/>
    <mergeCell ref="F2404:F2406"/>
    <mergeCell ref="E2407:E2409"/>
    <mergeCell ref="F2407:F2409"/>
    <mergeCell ref="A2463:D2463"/>
    <mergeCell ref="A2410:D2410"/>
    <mergeCell ref="A2553:D2553"/>
    <mergeCell ref="A2617:D2617"/>
    <mergeCell ref="A2755:D2755"/>
    <mergeCell ref="A2792:D2792"/>
    <mergeCell ref="A2844:D2844"/>
    <mergeCell ref="A2395:D2395"/>
    <mergeCell ref="A1805:D1805"/>
    <mergeCell ref="A2074:D2074"/>
    <mergeCell ref="A2180:D2180"/>
    <mergeCell ref="A1994:D1994"/>
    <mergeCell ref="A2035:D2035"/>
    <mergeCell ref="A2082:D2082"/>
    <mergeCell ref="A1953:D1953"/>
    <mergeCell ref="A1718:D1718"/>
    <mergeCell ref="A1710:D1710"/>
    <mergeCell ref="A1673:D1673"/>
    <mergeCell ref="E1881:E1883"/>
    <mergeCell ref="E1727:E1729"/>
    <mergeCell ref="E1730:E1732"/>
    <mergeCell ref="A1768:D1768"/>
    <mergeCell ref="A1736:D1736"/>
    <mergeCell ref="E1733:E1735"/>
    <mergeCell ref="E1872:E1874"/>
    <mergeCell ref="A1893:D1893"/>
    <mergeCell ref="E1875:E1877"/>
    <mergeCell ref="A2115:D2115"/>
    <mergeCell ref="A2147:D2147"/>
    <mergeCell ref="E2077:E2081"/>
    <mergeCell ref="E1890:E1892"/>
    <mergeCell ref="A1629:D1629"/>
    <mergeCell ref="E1623:E1624"/>
    <mergeCell ref="A1662:D1662"/>
    <mergeCell ref="F1727:F1729"/>
    <mergeCell ref="E1724:E1726"/>
    <mergeCell ref="F1724:F1726"/>
    <mergeCell ref="E1615:E1616"/>
    <mergeCell ref="F1615:F1616"/>
    <mergeCell ref="E1617:E1618"/>
    <mergeCell ref="F1617:F1618"/>
    <mergeCell ref="E1619:E1620"/>
    <mergeCell ref="F1619:F1620"/>
    <mergeCell ref="A1498:D1498"/>
    <mergeCell ref="A1532:D1532"/>
    <mergeCell ref="E1613:E1614"/>
    <mergeCell ref="F1613:F1614"/>
    <mergeCell ref="E1609:E1610"/>
    <mergeCell ref="F1609:F1610"/>
    <mergeCell ref="E1611:E1612"/>
    <mergeCell ref="F1611:F1612"/>
    <mergeCell ref="E1621:E1622"/>
    <mergeCell ref="F1621:F1622"/>
    <mergeCell ref="E1627:E1628"/>
    <mergeCell ref="F1627:F1628"/>
    <mergeCell ref="E1669:E1670"/>
    <mergeCell ref="E1721:E1723"/>
    <mergeCell ref="F1721:F1723"/>
    <mergeCell ref="F580:F581"/>
    <mergeCell ref="E1449:E1450"/>
    <mergeCell ref="F1449:F1450"/>
    <mergeCell ref="E804:E805"/>
    <mergeCell ref="E1459:E1460"/>
    <mergeCell ref="F1459:F1460"/>
    <mergeCell ref="E810:E811"/>
    <mergeCell ref="F810:F811"/>
    <mergeCell ref="E806:E807"/>
    <mergeCell ref="F806:F807"/>
    <mergeCell ref="F587:F588"/>
    <mergeCell ref="E589:E590"/>
    <mergeCell ref="F589:F590"/>
    <mergeCell ref="F593:F594"/>
    <mergeCell ref="E595:E596"/>
    <mergeCell ref="F595:F596"/>
    <mergeCell ref="F582:F583"/>
    <mergeCell ref="E591:E592"/>
    <mergeCell ref="F591:F592"/>
    <mergeCell ref="F854:F859"/>
    <mergeCell ref="F860:F865"/>
    <mergeCell ref="F899:F900"/>
    <mergeCell ref="E895:E896"/>
    <mergeCell ref="F895:F896"/>
    <mergeCell ref="E897:E898"/>
    <mergeCell ref="F897:F898"/>
    <mergeCell ref="E899:E900"/>
    <mergeCell ref="E869:E870"/>
    <mergeCell ref="F869:F870"/>
    <mergeCell ref="E871:E872"/>
    <mergeCell ref="F871:F872"/>
    <mergeCell ref="E873:E874"/>
    <mergeCell ref="E569:E570"/>
    <mergeCell ref="E587:E588"/>
    <mergeCell ref="F569:F570"/>
    <mergeCell ref="F578:F579"/>
    <mergeCell ref="E576:E577"/>
    <mergeCell ref="F576:F577"/>
    <mergeCell ref="E578:E579"/>
    <mergeCell ref="A599:D599"/>
    <mergeCell ref="E882:E883"/>
    <mergeCell ref="F882:F883"/>
    <mergeCell ref="F873:F874"/>
    <mergeCell ref="E875:E876"/>
    <mergeCell ref="F875:F876"/>
    <mergeCell ref="E773:E774"/>
    <mergeCell ref="A790:D790"/>
    <mergeCell ref="E769:E770"/>
    <mergeCell ref="F769:F770"/>
    <mergeCell ref="A584:D584"/>
    <mergeCell ref="F814:F815"/>
    <mergeCell ref="E814:E815"/>
    <mergeCell ref="E758:E759"/>
    <mergeCell ref="F758:F759"/>
    <mergeCell ref="E760:E761"/>
    <mergeCell ref="F804:F805"/>
    <mergeCell ref="F760:F761"/>
    <mergeCell ref="E797:E798"/>
    <mergeCell ref="F797:F798"/>
    <mergeCell ref="E764:E765"/>
    <mergeCell ref="E777:E778"/>
    <mergeCell ref="E782:E783"/>
    <mergeCell ref="F762:F763"/>
    <mergeCell ref="F777:F778"/>
    <mergeCell ref="A1064:D1064"/>
    <mergeCell ref="F994:F995"/>
    <mergeCell ref="A849:D849"/>
    <mergeCell ref="E793:E794"/>
    <mergeCell ref="F793:F794"/>
    <mergeCell ref="E795:E796"/>
    <mergeCell ref="F795:F796"/>
    <mergeCell ref="E808:E809"/>
    <mergeCell ref="A801:D801"/>
    <mergeCell ref="F808:F809"/>
    <mergeCell ref="E597:E598"/>
    <mergeCell ref="F799:F800"/>
    <mergeCell ref="E771:E772"/>
    <mergeCell ref="F771:F772"/>
    <mergeCell ref="E784:E785"/>
    <mergeCell ref="F784:F785"/>
    <mergeCell ref="E786:E787"/>
    <mergeCell ref="F597:F598"/>
    <mergeCell ref="F764:F765"/>
    <mergeCell ref="F756:F757"/>
    <mergeCell ref="E799:E800"/>
    <mergeCell ref="E775:E776"/>
    <mergeCell ref="F775:F776"/>
    <mergeCell ref="A779:D779"/>
    <mergeCell ref="E788:E789"/>
    <mergeCell ref="F788:F789"/>
    <mergeCell ref="F773:F774"/>
    <mergeCell ref="F782:F783"/>
    <mergeCell ref="F786:F787"/>
    <mergeCell ref="A816:D816"/>
    <mergeCell ref="F812:F813"/>
    <mergeCell ref="E812:E813"/>
    <mergeCell ref="F518:F519"/>
    <mergeCell ref="E518:E519"/>
    <mergeCell ref="F520:F521"/>
    <mergeCell ref="E520:E521"/>
    <mergeCell ref="F522:F523"/>
    <mergeCell ref="E522:E523"/>
    <mergeCell ref="E516:E517"/>
    <mergeCell ref="F535:F537"/>
    <mergeCell ref="E535:E537"/>
    <mergeCell ref="A529:D529"/>
    <mergeCell ref="E527:E528"/>
    <mergeCell ref="F527:F528"/>
    <mergeCell ref="E538:E540"/>
    <mergeCell ref="F538:F540"/>
    <mergeCell ref="A573:D573"/>
    <mergeCell ref="A766:D766"/>
    <mergeCell ref="E756:E757"/>
    <mergeCell ref="A714:D714"/>
    <mergeCell ref="A681:D681"/>
    <mergeCell ref="E762:E763"/>
    <mergeCell ref="A753:D753"/>
    <mergeCell ref="E593:E594"/>
    <mergeCell ref="E582:E583"/>
    <mergeCell ref="E580:E581"/>
    <mergeCell ref="E563:E564"/>
    <mergeCell ref="F563:F564"/>
    <mergeCell ref="E571:E572"/>
    <mergeCell ref="F571:F572"/>
    <mergeCell ref="E565:E566"/>
    <mergeCell ref="F565:F566"/>
    <mergeCell ref="F567:F568"/>
    <mergeCell ref="E567:E568"/>
    <mergeCell ref="A436:D436"/>
    <mergeCell ref="A459:D459"/>
    <mergeCell ref="A410:D410"/>
    <mergeCell ref="A392:D392"/>
    <mergeCell ref="A524:D524"/>
    <mergeCell ref="E532:E534"/>
    <mergeCell ref="E398:E400"/>
    <mergeCell ref="E439:E442"/>
    <mergeCell ref="E430:E431"/>
    <mergeCell ref="E419:E420"/>
    <mergeCell ref="A209:D209"/>
    <mergeCell ref="E212:E213"/>
    <mergeCell ref="F212:F213"/>
    <mergeCell ref="E214:E215"/>
    <mergeCell ref="A325:D325"/>
    <mergeCell ref="A498:D498"/>
    <mergeCell ref="A373:D373"/>
    <mergeCell ref="A293:D293"/>
    <mergeCell ref="A336:D336"/>
    <mergeCell ref="A423:D423"/>
    <mergeCell ref="F289:F290"/>
    <mergeCell ref="E291:E292"/>
    <mergeCell ref="F291:F292"/>
    <mergeCell ref="E289:E290"/>
    <mergeCell ref="F334:F335"/>
    <mergeCell ref="A282:D282"/>
    <mergeCell ref="E278:E279"/>
    <mergeCell ref="F278:F279"/>
    <mergeCell ref="E280:E281"/>
    <mergeCell ref="F280:F281"/>
    <mergeCell ref="E285:E286"/>
    <mergeCell ref="F285:F286"/>
    <mergeCell ref="A1:D1"/>
    <mergeCell ref="A271:D271"/>
    <mergeCell ref="E218:E219"/>
    <mergeCell ref="F218:F219"/>
    <mergeCell ref="A220:D220"/>
    <mergeCell ref="A176:D176"/>
    <mergeCell ref="F214:F215"/>
    <mergeCell ref="E216:E217"/>
    <mergeCell ref="F216:F217"/>
    <mergeCell ref="E168:E169"/>
    <mergeCell ref="F168:F169"/>
    <mergeCell ref="E170:E171"/>
    <mergeCell ref="F170:F171"/>
    <mergeCell ref="E172:E173"/>
    <mergeCell ref="F172:F173"/>
    <mergeCell ref="E174:E175"/>
    <mergeCell ref="F174:F175"/>
    <mergeCell ref="E157:E158"/>
    <mergeCell ref="F157:F158"/>
    <mergeCell ref="E159:E160"/>
    <mergeCell ref="F159:F160"/>
    <mergeCell ref="E161:E162"/>
    <mergeCell ref="F161:F162"/>
    <mergeCell ref="A163:D163"/>
    <mergeCell ref="E166:E167"/>
    <mergeCell ref="F166:F167"/>
    <mergeCell ref="E153:E154"/>
    <mergeCell ref="F153:F154"/>
    <mergeCell ref="E155:E156"/>
    <mergeCell ref="F155:F156"/>
    <mergeCell ref="A150:D150"/>
    <mergeCell ref="E148:E149"/>
    <mergeCell ref="F148:F149"/>
    <mergeCell ref="E142:E143"/>
    <mergeCell ref="F142:F143"/>
    <mergeCell ref="E144:E145"/>
    <mergeCell ref="F144:F145"/>
    <mergeCell ref="E146:E147"/>
    <mergeCell ref="F146:F147"/>
    <mergeCell ref="E135:E136"/>
    <mergeCell ref="F135:F136"/>
    <mergeCell ref="A137:D137"/>
    <mergeCell ref="E140:E141"/>
    <mergeCell ref="F140:F141"/>
    <mergeCell ref="E131:E132"/>
    <mergeCell ref="F131:F132"/>
    <mergeCell ref="E133:E134"/>
    <mergeCell ref="F133:F134"/>
    <mergeCell ref="E124:E125"/>
    <mergeCell ref="F124:F125"/>
    <mergeCell ref="A126:D126"/>
    <mergeCell ref="E129:E130"/>
    <mergeCell ref="F129:F130"/>
    <mergeCell ref="F120:F121"/>
    <mergeCell ref="E122:E123"/>
    <mergeCell ref="F122:F123"/>
    <mergeCell ref="E116:E117"/>
    <mergeCell ref="F116:F117"/>
    <mergeCell ref="E118:E119"/>
    <mergeCell ref="F118:F119"/>
    <mergeCell ref="E112:E113"/>
    <mergeCell ref="F112:F113"/>
    <mergeCell ref="E114:E115"/>
    <mergeCell ref="F114:F115"/>
    <mergeCell ref="E108:E109"/>
    <mergeCell ref="F108:F109"/>
    <mergeCell ref="E110:E111"/>
    <mergeCell ref="F110:F111"/>
    <mergeCell ref="E104:E105"/>
    <mergeCell ref="F104:F105"/>
    <mergeCell ref="E106:E107"/>
    <mergeCell ref="F106:F107"/>
    <mergeCell ref="A99:D99"/>
    <mergeCell ref="E102:E103"/>
    <mergeCell ref="F102:F103"/>
    <mergeCell ref="E93:E94"/>
    <mergeCell ref="F93:F94"/>
    <mergeCell ref="E95:E96"/>
    <mergeCell ref="F95:F96"/>
    <mergeCell ref="A88:D88"/>
    <mergeCell ref="E91:E92"/>
    <mergeCell ref="F91:F92"/>
    <mergeCell ref="E79:E81"/>
    <mergeCell ref="F79:F81"/>
    <mergeCell ref="E82:E84"/>
    <mergeCell ref="F82:F84"/>
    <mergeCell ref="A53:D53"/>
    <mergeCell ref="E56:E58"/>
    <mergeCell ref="A70:D70"/>
    <mergeCell ref="A59:D59"/>
    <mergeCell ref="F76:F78"/>
    <mergeCell ref="E66:E67"/>
    <mergeCell ref="F66:F67"/>
    <mergeCell ref="E68:E69"/>
    <mergeCell ref="F68:F69"/>
    <mergeCell ref="A12:D12"/>
    <mergeCell ref="A23:D23"/>
    <mergeCell ref="E44:E46"/>
    <mergeCell ref="F44:F46"/>
    <mergeCell ref="E47:E49"/>
    <mergeCell ref="F47:F49"/>
    <mergeCell ref="A29:D29"/>
    <mergeCell ref="A35:D35"/>
    <mergeCell ref="E50:E52"/>
    <mergeCell ref="E38:E40"/>
    <mergeCell ref="F38:F40"/>
    <mergeCell ref="E19:E20"/>
    <mergeCell ref="F19:F20"/>
    <mergeCell ref="E21:E22"/>
    <mergeCell ref="F21:F22"/>
    <mergeCell ref="E32:E34"/>
    <mergeCell ref="F32:F34"/>
    <mergeCell ref="F4:F5"/>
    <mergeCell ref="F6:F7"/>
    <mergeCell ref="F8:F9"/>
    <mergeCell ref="F10:F11"/>
    <mergeCell ref="E4:E5"/>
    <mergeCell ref="E6:E7"/>
    <mergeCell ref="E8:E9"/>
    <mergeCell ref="E10:E11"/>
    <mergeCell ref="E276:E277"/>
    <mergeCell ref="F276:F277"/>
    <mergeCell ref="E15:E16"/>
    <mergeCell ref="F15:F16"/>
    <mergeCell ref="E17:E18"/>
    <mergeCell ref="F17:F18"/>
    <mergeCell ref="E41:E43"/>
    <mergeCell ref="F41:F43"/>
    <mergeCell ref="F56:F58"/>
    <mergeCell ref="E62:E63"/>
    <mergeCell ref="E274:E275"/>
    <mergeCell ref="F274:F275"/>
    <mergeCell ref="F62:F63"/>
    <mergeCell ref="E64:E65"/>
    <mergeCell ref="F64:F65"/>
    <mergeCell ref="E73:E75"/>
    <mergeCell ref="F73:F75"/>
    <mergeCell ref="E76:E78"/>
    <mergeCell ref="E85:E87"/>
    <mergeCell ref="F85:F87"/>
    <mergeCell ref="F50:F52"/>
    <mergeCell ref="E97:E98"/>
    <mergeCell ref="F97:F98"/>
    <mergeCell ref="E120:E121"/>
    <mergeCell ref="E287:E288"/>
    <mergeCell ref="F287:F288"/>
    <mergeCell ref="E382:E383"/>
    <mergeCell ref="F382:F383"/>
    <mergeCell ref="E384:E385"/>
    <mergeCell ref="F328:F329"/>
    <mergeCell ref="E330:E331"/>
    <mergeCell ref="F330:F331"/>
    <mergeCell ref="E332:E333"/>
    <mergeCell ref="F332:F333"/>
    <mergeCell ref="E328:E329"/>
    <mergeCell ref="E334:E335"/>
    <mergeCell ref="F376:F377"/>
    <mergeCell ref="E378:E379"/>
    <mergeCell ref="F378:F379"/>
    <mergeCell ref="E380:E381"/>
    <mergeCell ref="F380:F381"/>
    <mergeCell ref="E376:E377"/>
    <mergeCell ref="F398:F400"/>
    <mergeCell ref="F401:F403"/>
    <mergeCell ref="F415:F416"/>
    <mergeCell ref="F404:F406"/>
    <mergeCell ref="F413:F414"/>
    <mergeCell ref="E401:E403"/>
    <mergeCell ref="E404:E406"/>
    <mergeCell ref="E413:E414"/>
    <mergeCell ref="E415:E416"/>
    <mergeCell ref="F384:F385"/>
    <mergeCell ref="E395:E397"/>
    <mergeCell ref="F395:F397"/>
    <mergeCell ref="E390:E391"/>
    <mergeCell ref="F390:F391"/>
    <mergeCell ref="E386:E387"/>
    <mergeCell ref="F386:F387"/>
    <mergeCell ref="E388:E389"/>
    <mergeCell ref="F388:F389"/>
    <mergeCell ref="E407:E409"/>
    <mergeCell ref="F407:F409"/>
    <mergeCell ref="E417:E418"/>
    <mergeCell ref="E428:E429"/>
    <mergeCell ref="F428:F429"/>
    <mergeCell ref="E426:E427"/>
    <mergeCell ref="F434:F435"/>
    <mergeCell ref="F417:F418"/>
    <mergeCell ref="F455:F458"/>
    <mergeCell ref="E455:E458"/>
    <mergeCell ref="E434:E435"/>
    <mergeCell ref="F419:F420"/>
    <mergeCell ref="F426:F427"/>
    <mergeCell ref="E421:E422"/>
    <mergeCell ref="F421:F422"/>
    <mergeCell ref="F447:F450"/>
    <mergeCell ref="F451:F454"/>
    <mergeCell ref="E451:E454"/>
    <mergeCell ref="E501:E502"/>
    <mergeCell ref="F430:F431"/>
    <mergeCell ref="E432:E433"/>
    <mergeCell ref="F432:F433"/>
    <mergeCell ref="F439:F442"/>
    <mergeCell ref="E443:E446"/>
    <mergeCell ref="F443:F446"/>
    <mergeCell ref="E447:E450"/>
    <mergeCell ref="A511:D511"/>
    <mergeCell ref="F501:F502"/>
    <mergeCell ref="F503:F504"/>
    <mergeCell ref="E514:E515"/>
    <mergeCell ref="F514:F515"/>
    <mergeCell ref="E851:F851"/>
    <mergeCell ref="E852:F853"/>
    <mergeCell ref="F532:F534"/>
    <mergeCell ref="E541:E543"/>
    <mergeCell ref="F541:F543"/>
    <mergeCell ref="E544:E546"/>
    <mergeCell ref="E503:E504"/>
    <mergeCell ref="F505:F506"/>
    <mergeCell ref="E507:E508"/>
    <mergeCell ref="F507:F508"/>
    <mergeCell ref="E505:E506"/>
    <mergeCell ref="E509:E510"/>
    <mergeCell ref="F509:F510"/>
    <mergeCell ref="E558:E559"/>
    <mergeCell ref="F558:F559"/>
    <mergeCell ref="A560:D560"/>
    <mergeCell ref="E554:E555"/>
    <mergeCell ref="F554:F555"/>
    <mergeCell ref="E556:E557"/>
    <mergeCell ref="F556:F557"/>
    <mergeCell ref="F544:F546"/>
    <mergeCell ref="E550:E551"/>
    <mergeCell ref="F550:F551"/>
    <mergeCell ref="F552:F553"/>
    <mergeCell ref="E552:E553"/>
    <mergeCell ref="A547:D547"/>
    <mergeCell ref="F516:F517"/>
    <mergeCell ref="F877:F878"/>
    <mergeCell ref="A890:D890"/>
    <mergeCell ref="A879:D879"/>
    <mergeCell ref="F893:F894"/>
    <mergeCell ref="E886:E887"/>
    <mergeCell ref="F886:F887"/>
    <mergeCell ref="E888:E889"/>
    <mergeCell ref="F888:F889"/>
    <mergeCell ref="E884:E885"/>
    <mergeCell ref="F884:F885"/>
    <mergeCell ref="E893:E894"/>
    <mergeCell ref="A1091:D1091"/>
    <mergeCell ref="A1004:D1004"/>
    <mergeCell ref="F1007:F1008"/>
    <mergeCell ref="F996:F997"/>
    <mergeCell ref="F998:F999"/>
    <mergeCell ref="E998:E999"/>
    <mergeCell ref="F1000:F1001"/>
    <mergeCell ref="E1000:E1001"/>
    <mergeCell ref="F1002:F1003"/>
    <mergeCell ref="E1002:E1003"/>
    <mergeCell ref="F1019:F1020"/>
    <mergeCell ref="F1021:F1022"/>
    <mergeCell ref="F1009:F1010"/>
    <mergeCell ref="E1011:E1012"/>
    <mergeCell ref="F1011:F1012"/>
    <mergeCell ref="F1013:F1014"/>
    <mergeCell ref="F1015:F1016"/>
    <mergeCell ref="E1017:E1018"/>
    <mergeCell ref="F1017:F1018"/>
    <mergeCell ref="E1075:E1076"/>
    <mergeCell ref="F1075:F1076"/>
    <mergeCell ref="A1128:D1128"/>
    <mergeCell ref="E877:E878"/>
    <mergeCell ref="E1009:E1010"/>
    <mergeCell ref="E1015:E1016"/>
    <mergeCell ref="E1021:E1022"/>
    <mergeCell ref="E1027:E1028"/>
    <mergeCell ref="E1013:E1014"/>
    <mergeCell ref="E1019:E1020"/>
    <mergeCell ref="E909:E910"/>
    <mergeCell ref="F909:F910"/>
    <mergeCell ref="E911:E912"/>
    <mergeCell ref="F911:F912"/>
    <mergeCell ref="A915:D915"/>
    <mergeCell ref="A1029:D1029"/>
    <mergeCell ref="A952:D952"/>
    <mergeCell ref="A991:D991"/>
    <mergeCell ref="A986:D986"/>
    <mergeCell ref="F913:F914"/>
    <mergeCell ref="F907:F908"/>
    <mergeCell ref="E901:E902"/>
    <mergeCell ref="F901:F902"/>
    <mergeCell ref="E903:E904"/>
    <mergeCell ref="F903:F904"/>
    <mergeCell ref="E905:E906"/>
    <mergeCell ref="F905:F906"/>
    <mergeCell ref="E907:E908"/>
    <mergeCell ref="E913:E914"/>
    <mergeCell ref="E994:E995"/>
    <mergeCell ref="E996:E997"/>
    <mergeCell ref="E989:E990"/>
    <mergeCell ref="F989:F990"/>
    <mergeCell ref="E1007:E1008"/>
    <mergeCell ref="F1023:F1024"/>
    <mergeCell ref="F1025:F1026"/>
    <mergeCell ref="F1027:F1028"/>
    <mergeCell ref="E1067:E1068"/>
    <mergeCell ref="F1067:F1068"/>
    <mergeCell ref="E1025:E1026"/>
    <mergeCell ref="E1023:E1024"/>
    <mergeCell ref="E1069:E1070"/>
    <mergeCell ref="F1069:F1070"/>
    <mergeCell ref="F1071:F1072"/>
    <mergeCell ref="E1073:E1074"/>
    <mergeCell ref="F1073:F1074"/>
    <mergeCell ref="E1071:E1072"/>
    <mergeCell ref="F1077:F1078"/>
    <mergeCell ref="E1079:E1080"/>
    <mergeCell ref="F1079:F1080"/>
    <mergeCell ref="E1077:E1078"/>
    <mergeCell ref="E1081:E1082"/>
    <mergeCell ref="F1081:F1082"/>
    <mergeCell ref="E1083:E1084"/>
    <mergeCell ref="F1083:F1084"/>
    <mergeCell ref="E1087:E1088"/>
    <mergeCell ref="F1087:F1088"/>
    <mergeCell ref="E1085:E1086"/>
    <mergeCell ref="F1085:F1086"/>
    <mergeCell ref="E1089:E1090"/>
    <mergeCell ref="F1089:F1090"/>
    <mergeCell ref="E1665:E1666"/>
    <mergeCell ref="F1665:F1666"/>
    <mergeCell ref="E1451:E1452"/>
    <mergeCell ref="F1451:F1452"/>
    <mergeCell ref="E1453:E1454"/>
    <mergeCell ref="F1453:F1454"/>
    <mergeCell ref="E1447:E1448"/>
    <mergeCell ref="F1447:F1448"/>
    <mergeCell ref="E1455:E1456"/>
    <mergeCell ref="F1455:F1456"/>
    <mergeCell ref="E1457:E1458"/>
    <mergeCell ref="F1457:F1458"/>
    <mergeCell ref="F1463:F1464"/>
    <mergeCell ref="E1465:E1466"/>
    <mergeCell ref="F1465:F1466"/>
    <mergeCell ref="E1470:E1471"/>
    <mergeCell ref="F1470:F1471"/>
    <mergeCell ref="E1463:E1464"/>
    <mergeCell ref="F1625:F1626"/>
    <mergeCell ref="A1444:D1444"/>
    <mergeCell ref="A1290:D1290"/>
    <mergeCell ref="A1163:D1163"/>
    <mergeCell ref="A1362:D1362"/>
    <mergeCell ref="A1399:D1399"/>
    <mergeCell ref="A1325:D1325"/>
    <mergeCell ref="A1176:D1176"/>
    <mergeCell ref="A1253:D1253"/>
    <mergeCell ref="A1208:D1208"/>
    <mergeCell ref="F1872:F1874"/>
    <mergeCell ref="F1860:F1862"/>
    <mergeCell ref="E1863:E1865"/>
    <mergeCell ref="F1863:F1865"/>
    <mergeCell ref="E1866:E1868"/>
    <mergeCell ref="F1866:F1868"/>
    <mergeCell ref="E1860:E1862"/>
    <mergeCell ref="E1869:E1871"/>
    <mergeCell ref="F1869:F1871"/>
    <mergeCell ref="F1733:F1735"/>
    <mergeCell ref="F1730:F1732"/>
    <mergeCell ref="A1467:D1467"/>
    <mergeCell ref="E1713:E1717"/>
    <mergeCell ref="F1713:F1717"/>
    <mergeCell ref="E1667:E1668"/>
    <mergeCell ref="F1667:F1668"/>
    <mergeCell ref="F1669:F1670"/>
    <mergeCell ref="E1671:E1672"/>
    <mergeCell ref="F1671:F1672"/>
    <mergeCell ref="E1461:E1462"/>
    <mergeCell ref="F1461:F1462"/>
    <mergeCell ref="F1623:F1624"/>
    <mergeCell ref="E1625:E1626"/>
    <mergeCell ref="F1875:F1877"/>
    <mergeCell ref="E1878:E1880"/>
    <mergeCell ref="F1878:F1880"/>
    <mergeCell ref="E1887:E1889"/>
    <mergeCell ref="F1887:F1889"/>
    <mergeCell ref="F1881:F1883"/>
    <mergeCell ref="E1884:E1886"/>
    <mergeCell ref="F1884:F1886"/>
    <mergeCell ref="A2343:D2343"/>
    <mergeCell ref="A2316:D2316"/>
    <mergeCell ref="E2216:E2218"/>
    <mergeCell ref="F2216:F2218"/>
    <mergeCell ref="E2219:E2221"/>
    <mergeCell ref="F2219:F2221"/>
    <mergeCell ref="A2225:D2225"/>
    <mergeCell ref="E2222:E2224"/>
    <mergeCell ref="F2222:F2224"/>
    <mergeCell ref="A2207:D2207"/>
    <mergeCell ref="A2279:D2279"/>
    <mergeCell ref="E2210:E2212"/>
    <mergeCell ref="F2210:F2212"/>
    <mergeCell ref="E2213:E2215"/>
    <mergeCell ref="F2213:F2215"/>
    <mergeCell ref="F2077:F2081"/>
    <mergeCell ref="F1890:F1892"/>
    <mergeCell ref="E2404:E2406"/>
    <mergeCell ref="E2398:E2400"/>
    <mergeCell ref="A2517:D2517"/>
    <mergeCell ref="A2590:D2590"/>
    <mergeCell ref="A2654:D2654"/>
    <mergeCell ref="A2955:D2955"/>
    <mergeCell ref="F2970:F2974"/>
    <mergeCell ref="F2985:F2989"/>
    <mergeCell ref="A2964:D2964"/>
    <mergeCell ref="A2918:D2918"/>
    <mergeCell ref="A2691:D2691"/>
    <mergeCell ref="A2723:D2723"/>
    <mergeCell ref="A2881:D2881"/>
    <mergeCell ref="E2958:E2963"/>
    <mergeCell ref="F2958:F2963"/>
    <mergeCell ref="A2991:D2991"/>
    <mergeCell ref="E3135:E3138"/>
    <mergeCell ref="E3215:E3217"/>
    <mergeCell ref="A3045:D3045"/>
    <mergeCell ref="A3132:C3132"/>
    <mergeCell ref="A3099:D3099"/>
    <mergeCell ref="F3135:F3138"/>
    <mergeCell ref="A3139:D3139"/>
    <mergeCell ref="E3142:E3144"/>
    <mergeCell ref="A3189:D3189"/>
    <mergeCell ref="A3212:D3212"/>
    <mergeCell ref="F3215:F3217"/>
    <mergeCell ref="F3142:F3144"/>
    <mergeCell ref="F3168:F3172"/>
    <mergeCell ref="F3183:F3187"/>
    <mergeCell ref="F3218:F3220"/>
    <mergeCell ref="E3335:E3338"/>
    <mergeCell ref="E3323:E3326"/>
    <mergeCell ref="A3227:D3227"/>
    <mergeCell ref="F3315:F3319"/>
    <mergeCell ref="F3221:F3223"/>
    <mergeCell ref="E3218:E3220"/>
    <mergeCell ref="E3221:E3223"/>
    <mergeCell ref="F3224:F3226"/>
    <mergeCell ref="E3230:E3232"/>
    <mergeCell ref="A3233:D3233"/>
    <mergeCell ref="A3285:D3285"/>
    <mergeCell ref="A3312:D3312"/>
    <mergeCell ref="A3320:D3320"/>
    <mergeCell ref="E3224:E3226"/>
    <mergeCell ref="E3331:E3334"/>
    <mergeCell ref="F3331:F3334"/>
    <mergeCell ref="F3323:F3326"/>
    <mergeCell ref="F3327:F3330"/>
    <mergeCell ref="A4369:D4369"/>
    <mergeCell ref="A4095:D4095"/>
    <mergeCell ref="A4132:D4132"/>
    <mergeCell ref="A4003:D4003"/>
    <mergeCell ref="A4091:D4091"/>
    <mergeCell ref="A4036:D4036"/>
    <mergeCell ref="A4312:D4312"/>
    <mergeCell ref="A4316:D4316"/>
    <mergeCell ref="A4209:D4209"/>
    <mergeCell ref="A4182:D4182"/>
    <mergeCell ref="A4155:D4155"/>
    <mergeCell ref="A4258:D4258"/>
    <mergeCell ref="A3396:D3396"/>
    <mergeCell ref="A3747:D3747"/>
    <mergeCell ref="A3862:D3862"/>
    <mergeCell ref="A3899:D3899"/>
    <mergeCell ref="A3954:D3954"/>
    <mergeCell ref="A3450:D3450"/>
    <mergeCell ref="A3487:D3487"/>
    <mergeCell ref="A3543:D3543"/>
    <mergeCell ref="A3611:D3611"/>
    <mergeCell ref="A3807:D3807"/>
    <mergeCell ref="A4538:D4538"/>
    <mergeCell ref="A5311:D5311"/>
    <mergeCell ref="A6430:D6430"/>
    <mergeCell ref="A4845:D4845"/>
    <mergeCell ref="E5075:E5077"/>
    <mergeCell ref="A6333:D6333"/>
    <mergeCell ref="A6259:D6259"/>
    <mergeCell ref="A6183:D6183"/>
    <mergeCell ref="A6393:D6393"/>
    <mergeCell ref="A5831:D5831"/>
    <mergeCell ref="A5670:D5670"/>
    <mergeCell ref="A5726:D5726"/>
    <mergeCell ref="A5763:D5763"/>
    <mergeCell ref="A6205:D6205"/>
    <mergeCell ref="A6073:C6073"/>
    <mergeCell ref="A6077:D6077"/>
    <mergeCell ref="F5950:F5953"/>
    <mergeCell ref="E5846:E5851"/>
    <mergeCell ref="E5084:E5086"/>
    <mergeCell ref="F5084:F5086"/>
    <mergeCell ref="E5087:E5089"/>
    <mergeCell ref="F5087:F5089"/>
    <mergeCell ref="E5523:E5528"/>
    <mergeCell ref="F5834:F5839"/>
    <mergeCell ref="F5523:F5528"/>
    <mergeCell ref="F5305:F5310"/>
    <mergeCell ref="E5950:E5953"/>
    <mergeCell ref="E5834:E5839"/>
    <mergeCell ref="A6133:D6133"/>
    <mergeCell ref="F5852:F5857"/>
    <mergeCell ref="D5888:D5892"/>
    <mergeCell ref="E5840:E5845"/>
    <mergeCell ref="D9779:D9783"/>
    <mergeCell ref="A9785:D9785"/>
    <mergeCell ref="A10324:D10324"/>
    <mergeCell ref="A9627:D9627"/>
    <mergeCell ref="A9586:C9586"/>
    <mergeCell ref="A9623:D9623"/>
    <mergeCell ref="A9174:D9174"/>
    <mergeCell ref="A9256:D9256"/>
    <mergeCell ref="A9299:C9299"/>
    <mergeCell ref="A9135:D9135"/>
    <mergeCell ref="A9034:D9034"/>
    <mergeCell ref="A9749:D9749"/>
    <mergeCell ref="A9543:D9543"/>
    <mergeCell ref="A9670:C9670"/>
    <mergeCell ref="A9776:D9776"/>
    <mergeCell ref="A9362:D9362"/>
    <mergeCell ref="A9446:C9446"/>
    <mergeCell ref="A9697:D9697"/>
    <mergeCell ref="A9248:D9248"/>
    <mergeCell ref="A8760:D8760"/>
    <mergeCell ref="A8539:D8539"/>
    <mergeCell ref="A8720:D8720"/>
    <mergeCell ref="A8685:C8685"/>
    <mergeCell ref="A8590:D8590"/>
    <mergeCell ref="A8644:D8644"/>
    <mergeCell ref="A8752:D8752"/>
    <mergeCell ref="A6940:D6940"/>
    <mergeCell ref="A7442:C7442"/>
    <mergeCell ref="A8812:D8812"/>
    <mergeCell ref="D9356:D9360"/>
    <mergeCell ref="D9743:D9747"/>
    <mergeCell ref="A9399:D9399"/>
    <mergeCell ref="D9129:D9133"/>
    <mergeCell ref="A9516:D9516"/>
    <mergeCell ref="A9740:C9740"/>
    <mergeCell ref="A9252:D9252"/>
    <mergeCell ref="A9353:D9353"/>
    <mergeCell ref="D9046:D9050"/>
    <mergeCell ref="A19120:D19120"/>
    <mergeCell ref="A6932:D6932"/>
    <mergeCell ref="A7747:D7747"/>
    <mergeCell ref="A7671:C7671"/>
    <mergeCell ref="A7710:D7710"/>
    <mergeCell ref="A11962:D11962"/>
    <mergeCell ref="A11834:D11834"/>
    <mergeCell ref="A11861:D11861"/>
    <mergeCell ref="A11898:D11898"/>
    <mergeCell ref="D11755:D11759"/>
    <mergeCell ref="A11715:D11715"/>
    <mergeCell ref="A11043:C11043"/>
    <mergeCell ref="A10867:C10867"/>
    <mergeCell ref="A10883:D10883"/>
    <mergeCell ref="A10461:C10461"/>
    <mergeCell ref="A9871:D9871"/>
    <mergeCell ref="A10165:C10165"/>
    <mergeCell ref="A10367:C10367"/>
    <mergeCell ref="A10122:D10122"/>
    <mergeCell ref="A10621:C10621"/>
    <mergeCell ref="A10578:D10578"/>
    <mergeCell ref="A10541:C10541"/>
    <mergeCell ref="A10414:C10414"/>
    <mergeCell ref="A10283:C10283"/>
    <mergeCell ref="A10504:C10504"/>
    <mergeCell ref="A8372:D8372"/>
    <mergeCell ref="A7975:D7975"/>
    <mergeCell ref="A9211:D9211"/>
    <mergeCell ref="A8991:D8991"/>
    <mergeCell ref="A8863:C8863"/>
    <mergeCell ref="A8820:D8820"/>
    <mergeCell ref="A8630:D8630"/>
  </mergeCells>
  <phoneticPr fontId="0" type="noConversion"/>
  <conditionalFormatting sqref="E13713:E13742 E5983:E6012 E4954:E4983 E5368:E5397 E4599:E4628 E4658:E4687 E4381:E4410 E4264:E4293 E4322:E4346 E5472:E5501 E4042:E4071 E6083:E6112 E6211:E6240 E6571:E6600 E7122:E7151 E7176:E7205 E7267:E7296 E7753:E7782 E8133:E8162 E8410:E8439 E8766:E8795 E9305:E9334 E13658:E13687 E9791:E9820 E8797:E8810 E10756:E10786 E10793:E10823 E11131:E11160 E11548:E11577 E11721:E11751 E11767:E11797 E11867:E11897 E11904:E11934 E11941:E11960 E12181:E12200 E12208:E12237 E12297:E12327 E12340:E12370 E12377:E12396 E12714:E12733 E12760:E12789 E12822:E12851 E12878:E12907 E12934:E12963 E12990:E13009 E13060:E13089 E13116:E13145 E13172:E13201 E13228:E13257 E13278:E13307 E13352:E13371 E13398:E13417 E13444:E13473 E13500:E13529 E13556:E13585 E13612:E13631 E13769:E13798 E13825:E13844 E13871:E13900 E13927:E13956 E14031:E14060 E14087:E14106 E14139:E14168 E14201:E14230 E14257:E14276 E14303:E14332 E14359:E14388 E14506:E14535 E14562:E14591 E14627:E14656 E14683:E14712 E14738:E14767 E14794:E14823 E11804:E11833 E12487:E12515 E12542:E12570 E12423:E12451 E12597:E12625 E12653:E12681 E12078:E12106 E11840:E11859 E14424:E14473">
    <cfRule type="cellIs" dxfId="511" priority="138" stopIfTrue="1" operator="greaterThan">
      <formula>0.6</formula>
    </cfRule>
  </conditionalFormatting>
  <conditionalFormatting sqref="H4762:H4763 I1752:I1754">
    <cfRule type="cellIs" dxfId="510" priority="139" stopIfTrue="1" operator="equal">
      <formula>"'01.2007"</formula>
    </cfRule>
  </conditionalFormatting>
  <conditionalFormatting sqref="D4484">
    <cfRule type="cellIs" dxfId="509" priority="137" stopIfTrue="1" operator="equal">
      <formula>"#N/A History"</formula>
    </cfRule>
  </conditionalFormatting>
  <conditionalFormatting sqref="E14902:E14921">
    <cfRule type="cellIs" dxfId="508" priority="74" stopIfTrue="1" operator="greaterThan">
      <formula>0.6</formula>
    </cfRule>
  </conditionalFormatting>
  <conditionalFormatting sqref="E14948:E14977">
    <cfRule type="cellIs" dxfId="507" priority="73" stopIfTrue="1" operator="greaterThan">
      <formula>0.6</formula>
    </cfRule>
  </conditionalFormatting>
  <conditionalFormatting sqref="E15004:E15033">
    <cfRule type="cellIs" dxfId="506" priority="72" stopIfTrue="1" operator="greaterThan">
      <formula>0.6</formula>
    </cfRule>
  </conditionalFormatting>
  <conditionalFormatting sqref="E15069:E15088">
    <cfRule type="cellIs" dxfId="505" priority="71" stopIfTrue="1" operator="greaterThan">
      <formula>0.6</formula>
    </cfRule>
  </conditionalFormatting>
  <conditionalFormatting sqref="E15115:E15144">
    <cfRule type="cellIs" dxfId="504" priority="70" stopIfTrue="1" operator="greaterThan">
      <formula>0.6</formula>
    </cfRule>
  </conditionalFormatting>
  <conditionalFormatting sqref="E15171:E15200">
    <cfRule type="cellIs" dxfId="503" priority="69" stopIfTrue="1" operator="greaterThan">
      <formula>0.6</formula>
    </cfRule>
  </conditionalFormatting>
  <conditionalFormatting sqref="E15227:E15256">
    <cfRule type="cellIs" dxfId="502" priority="68" stopIfTrue="1" operator="greaterThan">
      <formula>0.6</formula>
    </cfRule>
  </conditionalFormatting>
  <conditionalFormatting sqref="E15283:E15302">
    <cfRule type="cellIs" dxfId="501" priority="67" stopIfTrue="1" operator="greaterThan">
      <formula>0.6</formula>
    </cfRule>
  </conditionalFormatting>
  <conditionalFormatting sqref="E15350:E15379">
    <cfRule type="cellIs" dxfId="500" priority="66" stopIfTrue="1" operator="greaterThan">
      <formula>0.6</formula>
    </cfRule>
  </conditionalFormatting>
  <conditionalFormatting sqref="E15424:E15443">
    <cfRule type="cellIs" dxfId="499" priority="65" stopIfTrue="1" operator="greaterThan">
      <formula>0.6</formula>
    </cfRule>
  </conditionalFormatting>
  <conditionalFormatting sqref="E15470:E15499">
    <cfRule type="cellIs" dxfId="498" priority="64" stopIfTrue="1" operator="greaterThan">
      <formula>0.6</formula>
    </cfRule>
  </conditionalFormatting>
  <conditionalFormatting sqref="E15526:E15555">
    <cfRule type="cellIs" dxfId="497" priority="63" stopIfTrue="1" operator="greaterThan">
      <formula>0.6</formula>
    </cfRule>
  </conditionalFormatting>
  <conditionalFormatting sqref="E15582:E15601">
    <cfRule type="cellIs" dxfId="496" priority="62" stopIfTrue="1" operator="greaterThan">
      <formula>0.6</formula>
    </cfRule>
  </conditionalFormatting>
  <conditionalFormatting sqref="E15628:E15657">
    <cfRule type="cellIs" dxfId="495" priority="61" stopIfTrue="1" operator="greaterThan">
      <formula>0.6</formula>
    </cfRule>
  </conditionalFormatting>
  <conditionalFormatting sqref="E15727:E15746">
    <cfRule type="cellIs" dxfId="494" priority="60" stopIfTrue="1" operator="greaterThan">
      <formula>0.6</formula>
    </cfRule>
  </conditionalFormatting>
  <conditionalFormatting sqref="E15791:E15820">
    <cfRule type="cellIs" dxfId="493" priority="59" stopIfTrue="1" operator="greaterThan">
      <formula>0.6</formula>
    </cfRule>
  </conditionalFormatting>
  <conditionalFormatting sqref="E15847:E15866">
    <cfRule type="cellIs" dxfId="492" priority="58" stopIfTrue="1" operator="greaterThan">
      <formula>0.6</formula>
    </cfRule>
  </conditionalFormatting>
  <conditionalFormatting sqref="E15902:E15931">
    <cfRule type="cellIs" dxfId="491" priority="57" stopIfTrue="1" operator="greaterThan">
      <formula>0.6</formula>
    </cfRule>
  </conditionalFormatting>
  <conditionalFormatting sqref="E15958:E15977">
    <cfRule type="cellIs" dxfId="490" priority="56" stopIfTrue="1" operator="greaterThan">
      <formula>0.6</formula>
    </cfRule>
  </conditionalFormatting>
  <conditionalFormatting sqref="E16004:E16033">
    <cfRule type="cellIs" dxfId="489" priority="55" stopIfTrue="1" operator="greaterThan">
      <formula>0.6</formula>
    </cfRule>
  </conditionalFormatting>
  <conditionalFormatting sqref="E16048:E16077">
    <cfRule type="cellIs" dxfId="488" priority="54" stopIfTrue="1" operator="greaterThan">
      <formula>0.6</formula>
    </cfRule>
  </conditionalFormatting>
  <conditionalFormatting sqref="E16102:E16131">
    <cfRule type="cellIs" dxfId="487" priority="53" stopIfTrue="1" operator="greaterThan">
      <formula>0.6</formula>
    </cfRule>
  </conditionalFormatting>
  <conditionalFormatting sqref="E16146:E16165">
    <cfRule type="cellIs" dxfId="486" priority="52" stopIfTrue="1" operator="greaterThan">
      <formula>0.6</formula>
    </cfRule>
  </conditionalFormatting>
  <conditionalFormatting sqref="E16186:E16205">
    <cfRule type="cellIs" dxfId="485" priority="51" stopIfTrue="1" operator="greaterThan">
      <formula>0.6</formula>
    </cfRule>
  </conditionalFormatting>
  <conditionalFormatting sqref="E16238:E16267">
    <cfRule type="cellIs" dxfId="484" priority="50" stopIfTrue="1" operator="greaterThan">
      <formula>0.6</formula>
    </cfRule>
  </conditionalFormatting>
  <conditionalFormatting sqref="E16282:E16311">
    <cfRule type="cellIs" dxfId="483" priority="49" stopIfTrue="1" operator="greaterThan">
      <formula>0.6</formula>
    </cfRule>
  </conditionalFormatting>
  <conditionalFormatting sqref="E16326:E16355">
    <cfRule type="cellIs" dxfId="482" priority="48" stopIfTrue="1" operator="greaterThan">
      <formula>0.6</formula>
    </cfRule>
  </conditionalFormatting>
  <conditionalFormatting sqref="E16369:E16388">
    <cfRule type="cellIs" dxfId="481" priority="47" stopIfTrue="1" operator="greaterThan">
      <formula>0.6</formula>
    </cfRule>
  </conditionalFormatting>
  <conditionalFormatting sqref="E16409:E16428">
    <cfRule type="cellIs" dxfId="480" priority="46" stopIfTrue="1" operator="greaterThan">
      <formula>0.6</formula>
    </cfRule>
  </conditionalFormatting>
  <conditionalFormatting sqref="E16443:E16472">
    <cfRule type="cellIs" dxfId="479" priority="45" stopIfTrue="1" operator="greaterThan">
      <formula>0.6</formula>
    </cfRule>
  </conditionalFormatting>
  <conditionalFormatting sqref="E16487:E16506">
    <cfRule type="cellIs" dxfId="478" priority="44" stopIfTrue="1" operator="greaterThan">
      <formula>0.6</formula>
    </cfRule>
  </conditionalFormatting>
  <conditionalFormatting sqref="E16521:E16550">
    <cfRule type="cellIs" dxfId="477" priority="43" stopIfTrue="1" operator="greaterThan">
      <formula>0.6</formula>
    </cfRule>
  </conditionalFormatting>
  <conditionalFormatting sqref="E16577:E16606">
    <cfRule type="cellIs" dxfId="476" priority="42" stopIfTrue="1" operator="greaterThan">
      <formula>0.6</formula>
    </cfRule>
  </conditionalFormatting>
  <conditionalFormatting sqref="E16633:E16662">
    <cfRule type="cellIs" dxfId="475" priority="40" stopIfTrue="1" operator="greaterThan">
      <formula>0.6</formula>
    </cfRule>
  </conditionalFormatting>
  <conditionalFormatting sqref="E16683:E16712">
    <cfRule type="cellIs" dxfId="474" priority="39" stopIfTrue="1" operator="greaterThan">
      <formula>0.6</formula>
    </cfRule>
  </conditionalFormatting>
  <conditionalFormatting sqref="M16683:M16692">
    <cfRule type="cellIs" dxfId="473" priority="38" stopIfTrue="1" operator="greaterThan">
      <formula>0.6</formula>
    </cfRule>
  </conditionalFormatting>
  <conditionalFormatting sqref="E16739:E16768">
    <cfRule type="cellIs" dxfId="472" priority="37" stopIfTrue="1" operator="greaterThan">
      <formula>0.6</formula>
    </cfRule>
  </conditionalFormatting>
  <conditionalFormatting sqref="E16805:E16834">
    <cfRule type="cellIs" dxfId="471" priority="36" stopIfTrue="1" operator="greaterThan">
      <formula>0.6</formula>
    </cfRule>
  </conditionalFormatting>
  <conditionalFormatting sqref="E16904:E16933">
    <cfRule type="cellIs" dxfId="470" priority="35" stopIfTrue="1" operator="greaterThan">
      <formula>0.6</formula>
    </cfRule>
  </conditionalFormatting>
  <conditionalFormatting sqref="E16960:E16989">
    <cfRule type="cellIs" dxfId="469" priority="34" stopIfTrue="1" operator="greaterThan">
      <formula>0.6</formula>
    </cfRule>
  </conditionalFormatting>
  <conditionalFormatting sqref="E17016:E17045">
    <cfRule type="cellIs" dxfId="468" priority="33" stopIfTrue="1" operator="greaterThan">
      <formula>0.6</formula>
    </cfRule>
  </conditionalFormatting>
  <conditionalFormatting sqref="E17071:E17100">
    <cfRule type="cellIs" dxfId="467" priority="32" stopIfTrue="1" operator="greaterThan">
      <formula>0.6</formula>
    </cfRule>
  </conditionalFormatting>
  <conditionalFormatting sqref="E17142:E17171">
    <cfRule type="cellIs" dxfId="466" priority="31" stopIfTrue="1" operator="greaterThan">
      <formula>0.6</formula>
    </cfRule>
  </conditionalFormatting>
  <conditionalFormatting sqref="E17208:E17237">
    <cfRule type="cellIs" dxfId="465" priority="30" stopIfTrue="1" operator="greaterThan">
      <formula>0.6</formula>
    </cfRule>
  </conditionalFormatting>
  <conditionalFormatting sqref="E17264:E17293">
    <cfRule type="cellIs" dxfId="464" priority="29" stopIfTrue="1" operator="greaterThan">
      <formula>0.6</formula>
    </cfRule>
  </conditionalFormatting>
  <conditionalFormatting sqref="E17363:E17392">
    <cfRule type="cellIs" dxfId="463" priority="28" stopIfTrue="1" operator="greaterThan">
      <formula>0.6</formula>
    </cfRule>
  </conditionalFormatting>
  <conditionalFormatting sqref="E17422:E17451">
    <cfRule type="cellIs" dxfId="462" priority="27" stopIfTrue="1" operator="greaterThan">
      <formula>0.6</formula>
    </cfRule>
  </conditionalFormatting>
  <conditionalFormatting sqref="E17521:E17550">
    <cfRule type="cellIs" dxfId="461" priority="26" stopIfTrue="1" operator="greaterThan">
      <formula>0.6</formula>
    </cfRule>
  </conditionalFormatting>
  <conditionalFormatting sqref="E17591:E17620">
    <cfRule type="cellIs" dxfId="460" priority="25" stopIfTrue="1" operator="greaterThan">
      <formula>0.6</formula>
    </cfRule>
  </conditionalFormatting>
  <conditionalFormatting sqref="E17650:E17679">
    <cfRule type="cellIs" dxfId="459" priority="24" stopIfTrue="1" operator="greaterThan">
      <formula>0.6</formula>
    </cfRule>
  </conditionalFormatting>
  <conditionalFormatting sqref="E17714:E17743">
    <cfRule type="cellIs" dxfId="458" priority="23" stopIfTrue="1" operator="greaterThan">
      <formula>0.6</formula>
    </cfRule>
  </conditionalFormatting>
  <conditionalFormatting sqref="E17776:E17805">
    <cfRule type="cellIs" dxfId="457" priority="22" stopIfTrue="1" operator="greaterThan">
      <formula>0.6</formula>
    </cfRule>
  </conditionalFormatting>
  <conditionalFormatting sqref="E17880:E17909">
    <cfRule type="cellIs" dxfId="456" priority="21" stopIfTrue="1" operator="greaterThan">
      <formula>0.6</formula>
    </cfRule>
  </conditionalFormatting>
  <conditionalFormatting sqref="E17952:E17981">
    <cfRule type="cellIs" dxfId="455" priority="20" stopIfTrue="1" operator="greaterThan">
      <formula>0.6</formula>
    </cfRule>
  </conditionalFormatting>
  <conditionalFormatting sqref="E18013:E18042">
    <cfRule type="cellIs" dxfId="454" priority="19" stopIfTrue="1" operator="greaterThan">
      <formula>0.6</formula>
    </cfRule>
  </conditionalFormatting>
  <conditionalFormatting sqref="E18077:E18106">
    <cfRule type="cellIs" dxfId="453" priority="18" stopIfTrue="1" operator="greaterThan">
      <formula>0.6</formula>
    </cfRule>
  </conditionalFormatting>
  <conditionalFormatting sqref="E18139:E18168">
    <cfRule type="cellIs" dxfId="452" priority="17" stopIfTrue="1" operator="greaterThan">
      <formula>0.6</formula>
    </cfRule>
  </conditionalFormatting>
  <conditionalFormatting sqref="E18198:E18227">
    <cfRule type="cellIs" dxfId="451" priority="16" stopIfTrue="1" operator="greaterThan">
      <formula>0.6</formula>
    </cfRule>
  </conditionalFormatting>
  <conditionalFormatting sqref="E18251:E18280">
    <cfRule type="cellIs" dxfId="450" priority="15" stopIfTrue="1" operator="greaterThan">
      <formula>0.6</formula>
    </cfRule>
  </conditionalFormatting>
  <conditionalFormatting sqref="E18313:E18342">
    <cfRule type="cellIs" dxfId="449" priority="14" stopIfTrue="1" operator="greaterThan">
      <formula>0.6</formula>
    </cfRule>
  </conditionalFormatting>
  <conditionalFormatting sqref="E18375:E18404">
    <cfRule type="cellIs" dxfId="448" priority="13" stopIfTrue="1" operator="greaterThan">
      <formula>0.6</formula>
    </cfRule>
  </conditionalFormatting>
  <conditionalFormatting sqref="E18428:E18457">
    <cfRule type="cellIs" dxfId="447" priority="12" stopIfTrue="1" operator="greaterThan">
      <formula>0.6</formula>
    </cfRule>
  </conditionalFormatting>
  <conditionalFormatting sqref="E18481:E18510">
    <cfRule type="cellIs" dxfId="446" priority="11" stopIfTrue="1" operator="greaterThan">
      <formula>0.6</formula>
    </cfRule>
  </conditionalFormatting>
  <conditionalFormatting sqref="E18534:E18563">
    <cfRule type="cellIs" dxfId="445" priority="10" stopIfTrue="1" operator="greaterThan">
      <formula>0.6</formula>
    </cfRule>
  </conditionalFormatting>
  <conditionalFormatting sqref="E18598:E18627">
    <cfRule type="cellIs" dxfId="444" priority="9" stopIfTrue="1" operator="greaterThan">
      <formula>0.6</formula>
    </cfRule>
  </conditionalFormatting>
  <conditionalFormatting sqref="E18651:E18680">
    <cfRule type="cellIs" dxfId="443" priority="8" stopIfTrue="1" operator="greaterThan">
      <formula>0.6</formula>
    </cfRule>
  </conditionalFormatting>
  <conditionalFormatting sqref="E18704:E18733">
    <cfRule type="cellIs" dxfId="442" priority="7" stopIfTrue="1" operator="greaterThan">
      <formula>0.6</formula>
    </cfRule>
  </conditionalFormatting>
  <conditionalFormatting sqref="E18757:E18786">
    <cfRule type="cellIs" dxfId="441" priority="6" stopIfTrue="1" operator="greaterThan">
      <formula>0.6</formula>
    </cfRule>
  </conditionalFormatting>
  <conditionalFormatting sqref="E18819:E18848">
    <cfRule type="cellIs" dxfId="440" priority="5" stopIfTrue="1" operator="greaterThan">
      <formula>0.6</formula>
    </cfRule>
  </conditionalFormatting>
  <conditionalFormatting sqref="E18908:E18937">
    <cfRule type="cellIs" dxfId="439" priority="4" stopIfTrue="1" operator="greaterThan">
      <formula>0.6</formula>
    </cfRule>
  </conditionalFormatting>
  <conditionalFormatting sqref="E18961:E18990">
    <cfRule type="cellIs" dxfId="438" priority="3" stopIfTrue="1" operator="greaterThan">
      <formula>0.6</formula>
    </cfRule>
  </conditionalFormatting>
  <conditionalFormatting sqref="E19008:E19037">
    <cfRule type="cellIs" dxfId="437" priority="2" stopIfTrue="1" operator="greaterThan">
      <formula>0.6</formula>
    </cfRule>
  </conditionalFormatting>
  <conditionalFormatting sqref="E19070:E19099">
    <cfRule type="cellIs" dxfId="436" priority="1" stopIfTrue="1" operator="greaterThan">
      <formula>0.6</formula>
    </cfRule>
  </conditionalFormatting>
  <pageMargins left="0.27559055118110237" right="0.78740157480314965" top="0.98425196850393704" bottom="0.98425196850393704" header="0.51181102362204722" footer="0.51181102362204722"/>
  <pageSetup paperSize="9" scale="10" orientation="landscape" r:id="rId1"/>
  <headerFooter alignWithMargins="0">
    <oddHeader>&amp;L&amp;10&amp;"Arial"Interní
&amp;"Arial"&amp;06 &amp;C&amp;"Calibri"&amp;10&amp;K000000 Public&amp;1#_x000D_</oddHeader>
  </headerFooter>
  <ignoredErrors>
    <ignoredError sqref="H61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R7765"/>
  <sheetViews>
    <sheetView zoomScale="65" zoomScaleNormal="65" workbookViewId="0">
      <pane xSplit="3" ySplit="2" topLeftCell="D33" activePane="bottomRight" state="frozen"/>
      <selection pane="topRight" activeCell="D1" sqref="D1"/>
      <selection pane="bottomLeft" activeCell="A3" sqref="A3"/>
      <selection pane="bottomRight" activeCell="D57" sqref="D57"/>
    </sheetView>
  </sheetViews>
  <sheetFormatPr defaultRowHeight="13.2" outlineLevelCol="1" x14ac:dyDescent="0.25"/>
  <cols>
    <col min="1" max="1" width="72" hidden="1" customWidth="1" outlineLevel="1"/>
    <col min="2" max="2" width="47.44140625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customWidth="1"/>
    <col min="15" max="15" width="11.6640625" customWidth="1"/>
    <col min="16" max="16" width="10.33203125" customWidth="1"/>
    <col min="18" max="18" width="11.109375" style="459" customWidth="1"/>
    <col min="19" max="19" width="11.109375" customWidth="1"/>
    <col min="20" max="20" width="14" style="459" hidden="1" customWidth="1" outlineLevel="1"/>
    <col min="21" max="31" width="10.88671875" hidden="1" customWidth="1" outlineLevel="1"/>
    <col min="32" max="32" width="10.6640625" customWidth="1" collapsed="1"/>
    <col min="33" max="33" width="11.6640625" style="459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8.6640625" style="462" bestFit="1" customWidth="1"/>
    <col min="42" max="42" width="15.6640625" style="101" customWidth="1"/>
    <col min="43" max="43" width="13.44140625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8.88671875" style="3429"/>
    <col min="57" max="57" width="18.6640625" style="3433" bestFit="1" customWidth="1"/>
    <col min="58" max="59" width="8.88671875" style="3433"/>
    <col min="60" max="61" width="9.109375" style="1638" customWidth="1"/>
  </cols>
  <sheetData>
    <row r="1" spans="1:252" ht="64.5" customHeight="1" x14ac:dyDescent="0.25">
      <c r="A1" s="3784" t="s">
        <v>914</v>
      </c>
      <c r="B1" s="3786" t="s">
        <v>1240</v>
      </c>
      <c r="C1" s="3786" t="s">
        <v>2827</v>
      </c>
      <c r="D1" s="3786" t="s">
        <v>4277</v>
      </c>
      <c r="E1" s="3786" t="s">
        <v>2828</v>
      </c>
      <c r="F1" s="3786" t="s">
        <v>111</v>
      </c>
      <c r="G1" s="3786" t="s">
        <v>1603</v>
      </c>
      <c r="H1" s="3786"/>
      <c r="I1" s="3786" t="s">
        <v>1604</v>
      </c>
      <c r="J1" s="3786" t="s">
        <v>2459</v>
      </c>
      <c r="K1" s="3786" t="s">
        <v>1605</v>
      </c>
      <c r="L1" s="3786"/>
      <c r="M1" s="3786" t="s">
        <v>1606</v>
      </c>
      <c r="N1" s="3786" t="s">
        <v>264</v>
      </c>
      <c r="O1" s="3786" t="s">
        <v>908</v>
      </c>
      <c r="P1" s="3786" t="s">
        <v>9111</v>
      </c>
      <c r="Q1" s="3792" t="s">
        <v>8860</v>
      </c>
      <c r="R1" s="3786" t="s">
        <v>2864</v>
      </c>
      <c r="S1" s="3790" t="s">
        <v>2069</v>
      </c>
      <c r="T1" s="3786" t="s">
        <v>3402</v>
      </c>
      <c r="U1" s="3786"/>
      <c r="V1" s="3786"/>
      <c r="W1" s="3786"/>
      <c r="X1" s="3786"/>
      <c r="Y1" s="3786"/>
      <c r="Z1" s="3786"/>
      <c r="AA1" s="3786"/>
      <c r="AB1" s="3786"/>
      <c r="AC1" s="3786"/>
      <c r="AD1" s="3786"/>
      <c r="AE1" s="3786"/>
      <c r="AF1" s="3792" t="s">
        <v>2074</v>
      </c>
      <c r="AG1" s="3786" t="s">
        <v>4216</v>
      </c>
      <c r="AH1" s="3786" t="s">
        <v>1607</v>
      </c>
      <c r="AI1" s="3786"/>
      <c r="AJ1" s="3786"/>
      <c r="AK1" s="3786"/>
      <c r="AL1" s="3786"/>
      <c r="AM1" s="3786"/>
      <c r="AN1" s="3792" t="s">
        <v>89</v>
      </c>
      <c r="AO1" s="467" t="s">
        <v>5678</v>
      </c>
      <c r="AP1" s="3797" t="s">
        <v>2255</v>
      </c>
      <c r="AQ1" s="3917" t="s">
        <v>90</v>
      </c>
      <c r="AR1" s="3786" t="s">
        <v>3657</v>
      </c>
      <c r="AS1" s="3786"/>
      <c r="AT1" s="3786"/>
      <c r="AU1" s="3786"/>
      <c r="AV1" s="3786" t="s">
        <v>3661</v>
      </c>
      <c r="AW1" s="3786"/>
      <c r="AX1" s="3786"/>
      <c r="AY1" s="3786"/>
      <c r="AZ1" s="3793" t="s">
        <v>1833</v>
      </c>
      <c r="BA1" s="3786" t="s">
        <v>758</v>
      </c>
      <c r="BB1" s="3786" t="s">
        <v>312</v>
      </c>
      <c r="BC1" s="3786" t="s">
        <v>313</v>
      </c>
    </row>
    <row r="2" spans="1:252" ht="54.75" customHeight="1" x14ac:dyDescent="0.25">
      <c r="A2" s="3785"/>
      <c r="B2" s="3786"/>
      <c r="C2" s="3786"/>
      <c r="D2" s="3786"/>
      <c r="E2" s="3786"/>
      <c r="F2" s="3786"/>
      <c r="G2" s="35" t="s">
        <v>1608</v>
      </c>
      <c r="H2" s="35" t="s">
        <v>1609</v>
      </c>
      <c r="I2" s="3786"/>
      <c r="J2" s="3786"/>
      <c r="K2" s="35" t="s">
        <v>824</v>
      </c>
      <c r="L2" s="35" t="s">
        <v>825</v>
      </c>
      <c r="M2" s="3786"/>
      <c r="N2" s="3786"/>
      <c r="O2" s="3786"/>
      <c r="P2" s="3786"/>
      <c r="Q2" s="3792"/>
      <c r="R2" s="3786"/>
      <c r="S2" s="3791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3423</v>
      </c>
      <c r="Y2" s="35" t="s">
        <v>2520</v>
      </c>
      <c r="Z2" s="35" t="s">
        <v>2521</v>
      </c>
      <c r="AA2" s="35" t="s">
        <v>2457</v>
      </c>
      <c r="AB2" s="35" t="s">
        <v>3464</v>
      </c>
      <c r="AC2" s="35" t="s">
        <v>3465</v>
      </c>
      <c r="AD2" s="35" t="s">
        <v>3466</v>
      </c>
      <c r="AE2" s="35" t="s">
        <v>4389</v>
      </c>
      <c r="AF2" s="3792"/>
      <c r="AG2" s="3786"/>
      <c r="AH2" s="204" t="s">
        <v>2153</v>
      </c>
      <c r="AI2" s="35" t="s">
        <v>760</v>
      </c>
      <c r="AJ2" s="35" t="s">
        <v>761</v>
      </c>
      <c r="AK2" s="35" t="s">
        <v>3226</v>
      </c>
      <c r="AL2" s="35" t="s">
        <v>904</v>
      </c>
      <c r="AM2" s="35" t="s">
        <v>5145</v>
      </c>
      <c r="AN2" s="3792"/>
      <c r="AO2" s="468">
        <f>+indexy!B1</f>
        <v>45379</v>
      </c>
      <c r="AP2" s="3798"/>
      <c r="AQ2" s="3786"/>
      <c r="AR2" s="35" t="s">
        <v>215</v>
      </c>
      <c r="AS2" s="35" t="s">
        <v>216</v>
      </c>
      <c r="AT2" s="35" t="s">
        <v>2733</v>
      </c>
      <c r="AU2" s="35" t="s">
        <v>2732</v>
      </c>
      <c r="AV2" s="35" t="s">
        <v>3463</v>
      </c>
      <c r="AW2" s="35" t="s">
        <v>216</v>
      </c>
      <c r="AX2" s="35" t="s">
        <v>2733</v>
      </c>
      <c r="AY2" s="35" t="s">
        <v>2732</v>
      </c>
      <c r="AZ2" s="3794"/>
      <c r="BA2" s="3786"/>
      <c r="BB2" s="3786"/>
      <c r="BC2" s="3786"/>
      <c r="BD2" s="1638" t="s">
        <v>6671</v>
      </c>
    </row>
    <row r="3" spans="1:252" s="1813" customFormat="1" ht="13.5" customHeight="1" x14ac:dyDescent="0.25">
      <c r="A3" s="1961" t="s">
        <v>7862</v>
      </c>
      <c r="B3" s="1962" t="s">
        <v>7862</v>
      </c>
      <c r="C3" s="3432" t="s">
        <v>7616</v>
      </c>
      <c r="D3" s="1964" t="s">
        <v>1872</v>
      </c>
      <c r="E3" s="1960" t="s">
        <v>905</v>
      </c>
      <c r="F3" s="1965">
        <v>42377</v>
      </c>
      <c r="G3" s="1966">
        <v>42352</v>
      </c>
      <c r="H3" s="1965">
        <v>42361</v>
      </c>
      <c r="I3" s="1967">
        <v>43496</v>
      </c>
      <c r="J3" s="1989">
        <v>1000</v>
      </c>
      <c r="K3" s="1964" t="s">
        <v>3229</v>
      </c>
      <c r="L3" s="1968" t="s">
        <v>3229</v>
      </c>
      <c r="M3" s="1969">
        <v>-1</v>
      </c>
      <c r="N3" s="1970">
        <v>1</v>
      </c>
      <c r="O3" s="1971" t="s">
        <v>3229</v>
      </c>
      <c r="P3" s="1924" t="s">
        <v>3229</v>
      </c>
      <c r="Q3" s="1924" t="s">
        <v>3229</v>
      </c>
      <c r="R3" s="1972" t="s">
        <v>3229</v>
      </c>
      <c r="S3" s="1973"/>
      <c r="T3" s="1974" t="s">
        <v>3229</v>
      </c>
      <c r="U3" s="1974" t="s">
        <v>3229</v>
      </c>
      <c r="V3" s="1974" t="s">
        <v>3229</v>
      </c>
      <c r="W3" s="1974" t="s">
        <v>3229</v>
      </c>
      <c r="X3" s="1974" t="s">
        <v>3229</v>
      </c>
      <c r="Y3" s="1974" t="s">
        <v>3229</v>
      </c>
      <c r="Z3" s="1974" t="s">
        <v>3229</v>
      </c>
      <c r="AA3" s="1974" t="s">
        <v>3229</v>
      </c>
      <c r="AB3" s="1974" t="s">
        <v>3229</v>
      </c>
      <c r="AC3" s="1974" t="s">
        <v>3229</v>
      </c>
      <c r="AD3" s="1974" t="s">
        <v>3229</v>
      </c>
      <c r="AE3" s="1974" t="s">
        <v>3229</v>
      </c>
      <c r="AF3" s="1963" t="str">
        <f>IF(S3="","-",IF(T3="",S3,MAX(IF(T3&gt;indexy!$B$1,S3,S3-S3),IF(U3&gt;indexy!$B$1,S3-1,S3-S3),IF(V3&gt;indexy!$B$1,S3-2,S3-S3),IF(W3&gt;indexy!$B$1,S3-3,S3-S3),IF(X3&gt;indexy!$B$1,S3-4,S3-S3),IF(Y3&gt;indexy!$B$1,S3-5,S3-S3),IF(Z3&gt;indexy!$B$1,S3-6,S3-S3),IF(AA3&gt;indexy!$B$1,S3-7,S3-S3),IF(AB3&gt;indexy!$B$1,S3-8,S3-S3),IF(AC3&gt;indexy!$B$1,S3-9,S3-S3),IF(AD3&gt;indexy!$B$1,S3-10,S3-S3),IF(AE3&gt;indexy!$B$1,S3-11,S3-S3))))</f>
        <v>-</v>
      </c>
      <c r="AG3" s="1975" t="s">
        <v>10636</v>
      </c>
      <c r="AH3" s="1976" t="s">
        <v>3229</v>
      </c>
      <c r="AI3" s="1976" t="s">
        <v>3229</v>
      </c>
      <c r="AJ3" s="1976" t="s">
        <v>3229</v>
      </c>
      <c r="AK3" s="1976" t="s">
        <v>3229</v>
      </c>
      <c r="AL3" s="1976" t="s">
        <v>3229</v>
      </c>
      <c r="AM3" s="1977">
        <v>1</v>
      </c>
      <c r="AN3" s="1978">
        <f>+'klikací hodnoty2'!F812</f>
        <v>0.15081883333333337</v>
      </c>
      <c r="AO3" s="1979">
        <v>1149.71</v>
      </c>
      <c r="AP3" s="1978">
        <f>+'klikací hodnoty2'!E811</f>
        <v>0.15081883333333332</v>
      </c>
      <c r="AQ3" s="1978">
        <f>+'klikací hodnoty2'!F804</f>
        <v>9.6581779255835443E-2</v>
      </c>
      <c r="AR3" s="3915" t="s">
        <v>3660</v>
      </c>
      <c r="AS3" s="3916"/>
      <c r="AT3" s="3916"/>
      <c r="AU3" s="3806"/>
      <c r="AV3" s="1980">
        <f t="shared" ref="AV3:AV26" si="0">M3</f>
        <v>-1</v>
      </c>
      <c r="AW3" s="1981">
        <f t="shared" ref="AW3:AW26" si="1">POWER(1+AV3,1/((I3-F3)/365))-1</f>
        <v>-1</v>
      </c>
      <c r="AX3" s="1913">
        <f t="shared" ref="AX3:AX26" si="2">IF(AO3="","",J3*(1+AV3)/AO3-1)</f>
        <v>-1</v>
      </c>
      <c r="AY3" s="1982"/>
      <c r="AZ3" s="1983">
        <f t="shared" ref="AZ3:AZ26" si="3">J3*(1+AV3)</f>
        <v>0</v>
      </c>
      <c r="BB3" s="1973"/>
      <c r="BC3" s="1927"/>
      <c r="BD3" s="3431"/>
      <c r="BE3" s="3434"/>
      <c r="BF3" s="3434"/>
      <c r="BG3" s="3434"/>
      <c r="BH3" s="1985"/>
      <c r="BI3" s="1986"/>
      <c r="BJ3" s="1984"/>
      <c r="BK3" s="1984"/>
      <c r="BL3" s="1984"/>
      <c r="BM3" s="1984"/>
      <c r="BN3" s="1984"/>
      <c r="BO3" s="1984"/>
      <c r="BP3" s="1984"/>
      <c r="BQ3" s="1984"/>
      <c r="BR3" s="1984"/>
      <c r="BS3" s="1984"/>
      <c r="BT3" s="1984"/>
      <c r="BU3" s="1984"/>
      <c r="BV3" s="1984"/>
      <c r="BW3" s="1984"/>
      <c r="BX3" s="1984"/>
      <c r="BY3" s="1984"/>
      <c r="BZ3" s="1984"/>
      <c r="CA3" s="1984"/>
      <c r="CB3" s="1984"/>
      <c r="CC3" s="1984"/>
      <c r="CD3" s="1984"/>
      <c r="CE3" s="1984"/>
      <c r="CF3" s="1984"/>
      <c r="CG3" s="1984"/>
      <c r="CH3" s="1984"/>
      <c r="CI3" s="1984"/>
      <c r="CJ3" s="1984"/>
      <c r="CK3" s="1984"/>
      <c r="CL3" s="1984"/>
      <c r="CM3" s="1984"/>
      <c r="CN3" s="1984"/>
      <c r="CO3" s="1984"/>
      <c r="CP3" s="1984"/>
      <c r="CQ3" s="1984"/>
      <c r="CR3" s="1984"/>
      <c r="CS3" s="1984"/>
      <c r="CT3" s="1984"/>
      <c r="CU3" s="1984"/>
      <c r="CV3" s="1984"/>
      <c r="CW3" s="1984"/>
      <c r="CX3" s="1984"/>
      <c r="CY3" s="1984"/>
      <c r="CZ3" s="1984"/>
      <c r="DA3" s="1984"/>
      <c r="DB3" s="1984"/>
      <c r="DC3" s="1984"/>
      <c r="DD3" s="1984"/>
      <c r="DE3" s="1984"/>
      <c r="DF3" s="1984"/>
      <c r="DG3" s="1984"/>
      <c r="DH3" s="1984"/>
      <c r="DI3" s="1984"/>
      <c r="DJ3" s="1984"/>
      <c r="DK3" s="1984"/>
      <c r="DL3" s="1984"/>
      <c r="DM3" s="1984"/>
      <c r="DN3" s="1984"/>
      <c r="DO3" s="1984"/>
      <c r="DP3" s="1984"/>
      <c r="DQ3" s="1984"/>
      <c r="DR3" s="1984"/>
      <c r="DS3" s="1984"/>
      <c r="DT3" s="1984"/>
      <c r="DU3" s="1984"/>
      <c r="DV3" s="1984"/>
      <c r="DW3" s="1984"/>
      <c r="DX3" s="1984"/>
      <c r="DY3" s="1984"/>
      <c r="DZ3" s="1984"/>
      <c r="EA3" s="1984"/>
      <c r="EB3" s="1984"/>
      <c r="EC3" s="1984"/>
      <c r="ED3" s="1984"/>
      <c r="EE3" s="1984"/>
      <c r="EF3" s="1984"/>
      <c r="EG3" s="1984"/>
      <c r="EH3" s="1984"/>
      <c r="EI3" s="1984"/>
      <c r="EJ3" s="1984"/>
      <c r="EK3" s="1984"/>
      <c r="EL3" s="1984"/>
      <c r="EM3" s="1984"/>
      <c r="EN3" s="1984"/>
      <c r="EO3" s="1984"/>
      <c r="EP3" s="1984"/>
      <c r="EQ3" s="1984"/>
      <c r="ER3" s="1984"/>
      <c r="ES3" s="1984"/>
      <c r="ET3" s="1984"/>
      <c r="EU3" s="1984"/>
      <c r="EV3" s="1984"/>
      <c r="EW3" s="1984"/>
      <c r="EX3" s="1984"/>
      <c r="EY3" s="1984"/>
      <c r="EZ3" s="1984"/>
      <c r="FA3" s="1984"/>
      <c r="FB3" s="1984"/>
      <c r="FC3" s="1984"/>
      <c r="FD3" s="1984"/>
      <c r="FE3" s="1984"/>
      <c r="FF3" s="1984"/>
      <c r="FG3" s="1984"/>
      <c r="FH3" s="1984"/>
      <c r="FI3" s="1984"/>
      <c r="FJ3" s="1984"/>
      <c r="FK3" s="1984"/>
      <c r="FL3" s="1984"/>
      <c r="FM3" s="1984"/>
      <c r="FN3" s="1984"/>
      <c r="FO3" s="1984"/>
      <c r="FP3" s="1984"/>
      <c r="FQ3" s="1984"/>
      <c r="FR3" s="1984"/>
      <c r="FS3" s="1984"/>
      <c r="FT3" s="1984"/>
      <c r="FU3" s="1984"/>
      <c r="FV3" s="1984"/>
      <c r="FW3" s="1984"/>
      <c r="FX3" s="1984"/>
      <c r="FY3" s="1984"/>
      <c r="FZ3" s="1984"/>
      <c r="GA3" s="1984"/>
      <c r="GB3" s="1984"/>
      <c r="GC3" s="1984"/>
      <c r="GD3" s="1984"/>
      <c r="GE3" s="1984"/>
      <c r="GF3" s="1984"/>
      <c r="GG3" s="1984"/>
      <c r="GH3" s="1984"/>
      <c r="GI3" s="1984"/>
      <c r="GJ3" s="1984"/>
      <c r="GK3" s="1984"/>
      <c r="GL3" s="1984"/>
      <c r="GM3" s="1984"/>
      <c r="GN3" s="1984"/>
      <c r="GO3" s="1984"/>
      <c r="GP3" s="1984"/>
      <c r="GQ3" s="1984"/>
      <c r="GR3" s="1984"/>
      <c r="GS3" s="1984"/>
      <c r="GT3" s="1984"/>
      <c r="GU3" s="1984"/>
      <c r="GV3" s="1984"/>
      <c r="GW3" s="1984"/>
      <c r="GX3" s="1984"/>
      <c r="GY3" s="1984"/>
      <c r="GZ3" s="1984"/>
      <c r="HA3" s="1984"/>
      <c r="HB3" s="1984"/>
      <c r="HC3" s="1984"/>
      <c r="HD3" s="1984"/>
      <c r="HE3" s="1984"/>
      <c r="HF3" s="1984"/>
      <c r="HG3" s="1984"/>
      <c r="HH3" s="1984"/>
      <c r="HI3" s="1984"/>
      <c r="HJ3" s="1984"/>
      <c r="HK3" s="1984"/>
      <c r="HL3" s="1984"/>
      <c r="HM3" s="1984"/>
      <c r="HN3" s="1984"/>
      <c r="HO3" s="1984"/>
      <c r="HP3" s="1984"/>
      <c r="HQ3" s="1984"/>
      <c r="HR3" s="1984"/>
      <c r="HS3" s="1984"/>
      <c r="HT3" s="1984"/>
      <c r="HU3" s="1984"/>
      <c r="HV3" s="1984"/>
      <c r="HW3" s="1984"/>
      <c r="HX3" s="1984"/>
      <c r="HY3" s="1984"/>
      <c r="HZ3" s="1984"/>
      <c r="IA3" s="1984"/>
      <c r="IB3" s="1984"/>
      <c r="IC3" s="1984"/>
      <c r="ID3" s="1984"/>
      <c r="IE3" s="1984"/>
      <c r="IF3" s="1984"/>
      <c r="IG3" s="1984"/>
      <c r="IH3" s="1984"/>
      <c r="II3" s="1984"/>
      <c r="IJ3" s="1984"/>
      <c r="IK3" s="1984"/>
      <c r="IL3" s="1984"/>
      <c r="IM3" s="1984"/>
      <c r="IN3" s="1984"/>
      <c r="IO3" s="1984"/>
      <c r="IP3" s="1984"/>
      <c r="IQ3" s="1984"/>
      <c r="IR3" s="1984"/>
    </row>
    <row r="4" spans="1:252" s="1813" customFormat="1" ht="13.5" customHeight="1" x14ac:dyDescent="0.25">
      <c r="A4" s="1961" t="s">
        <v>7048</v>
      </c>
      <c r="B4" s="1962" t="s">
        <v>7864</v>
      </c>
      <c r="C4" s="1963" t="s">
        <v>7060</v>
      </c>
      <c r="D4" s="1964" t="s">
        <v>4384</v>
      </c>
      <c r="E4" s="1960" t="s">
        <v>905</v>
      </c>
      <c r="F4" s="1965">
        <v>42041</v>
      </c>
      <c r="G4" s="1966">
        <v>42016</v>
      </c>
      <c r="H4" s="1965">
        <v>42034</v>
      </c>
      <c r="I4" s="1967">
        <v>43524</v>
      </c>
      <c r="J4" s="1989">
        <v>1000</v>
      </c>
      <c r="K4" s="1964" t="s">
        <v>3229</v>
      </c>
      <c r="L4" s="1968" t="s">
        <v>3229</v>
      </c>
      <c r="M4" s="1969">
        <v>-1</v>
      </c>
      <c r="N4" s="1970">
        <v>1</v>
      </c>
      <c r="O4" s="1971" t="s">
        <v>3229</v>
      </c>
      <c r="P4" s="1924" t="s">
        <v>3229</v>
      </c>
      <c r="Q4" s="1924" t="s">
        <v>3229</v>
      </c>
      <c r="R4" s="1972" t="s">
        <v>3229</v>
      </c>
      <c r="S4" s="1973"/>
      <c r="T4" s="1974" t="s">
        <v>3229</v>
      </c>
      <c r="U4" s="1974" t="s">
        <v>3229</v>
      </c>
      <c r="V4" s="1974" t="s">
        <v>3229</v>
      </c>
      <c r="W4" s="1974" t="s">
        <v>3229</v>
      </c>
      <c r="X4" s="1974" t="s">
        <v>3229</v>
      </c>
      <c r="Y4" s="1974" t="s">
        <v>3229</v>
      </c>
      <c r="Z4" s="1974" t="s">
        <v>3229</v>
      </c>
      <c r="AA4" s="1974" t="s">
        <v>3229</v>
      </c>
      <c r="AB4" s="1974" t="s">
        <v>3229</v>
      </c>
      <c r="AC4" s="1974" t="s">
        <v>3229</v>
      </c>
      <c r="AD4" s="1974" t="s">
        <v>3229</v>
      </c>
      <c r="AE4" s="1974" t="s">
        <v>3229</v>
      </c>
      <c r="AF4" s="1963" t="str">
        <f>IF(S4="","-",IF(T4="",S4,MAX(IF(T4&gt;indexy!$B$1,S4,S4-S4),IF(U4&gt;indexy!$B$1,S4-1,S4-S4),IF(V4&gt;indexy!$B$1,S4-2,S4-S4),IF(W4&gt;indexy!$B$1,S4-3,S4-S4),IF(X4&gt;indexy!$B$1,S4-4,S4-S4),IF(Y4&gt;indexy!$B$1,S4-5,S4-S4),IF(Z4&gt;indexy!$B$1,S4-6,S4-S4),IF(AA4&gt;indexy!$B$1,S4-7,S4-S4),IF(AB4&gt;indexy!$B$1,S4-8,S4-S4),IF(AC4&gt;indexy!$B$1,S4-9,S4-S4),IF(AD4&gt;indexy!$B$1,S4-10,S4-S4),IF(AE4&gt;indexy!$B$1,S4-11,S4-S4))))</f>
        <v>-</v>
      </c>
      <c r="AG4" s="3415" t="s">
        <v>10636</v>
      </c>
      <c r="AH4" s="1976" t="s">
        <v>3229</v>
      </c>
      <c r="AI4" s="1976" t="s">
        <v>3229</v>
      </c>
      <c r="AJ4" s="1976" t="s">
        <v>3229</v>
      </c>
      <c r="AK4" s="1976" t="s">
        <v>3229</v>
      </c>
      <c r="AL4" s="1976" t="s">
        <v>3229</v>
      </c>
      <c r="AM4" s="1977">
        <v>1</v>
      </c>
      <c r="AN4" s="1978">
        <f>'klikací hodnoty2'!F200</f>
        <v>-3.811566666666668E-2</v>
      </c>
      <c r="AO4" s="1979">
        <v>958.8</v>
      </c>
      <c r="AP4" s="1978">
        <f>'klikací hodnoty2'!E199</f>
        <v>-3.811566666666668E-2</v>
      </c>
      <c r="AQ4" s="1978">
        <f>'klikací hodnoty2'!F192</f>
        <v>-3.0301349173959408E-2</v>
      </c>
      <c r="AR4" s="3915" t="s">
        <v>3660</v>
      </c>
      <c r="AS4" s="3916"/>
      <c r="AT4" s="3916"/>
      <c r="AU4" s="3806"/>
      <c r="AV4" s="1980">
        <f t="shared" si="0"/>
        <v>-1</v>
      </c>
      <c r="AW4" s="1981">
        <f t="shared" si="1"/>
        <v>-1</v>
      </c>
      <c r="AX4" s="1913">
        <f t="shared" si="2"/>
        <v>-1</v>
      </c>
      <c r="AY4" s="1982"/>
      <c r="AZ4" s="1983">
        <f t="shared" si="3"/>
        <v>0</v>
      </c>
      <c r="BB4" s="1973"/>
      <c r="BC4" s="1927"/>
      <c r="BD4" s="3431"/>
      <c r="BE4" s="3434"/>
      <c r="BF4" s="3434"/>
      <c r="BG4" s="3434"/>
      <c r="BH4" s="1985"/>
      <c r="BI4" s="1986"/>
      <c r="BJ4" s="1984"/>
      <c r="BK4" s="1984"/>
      <c r="BL4" s="1984"/>
      <c r="BM4" s="1984"/>
      <c r="BN4" s="1984"/>
      <c r="BO4" s="1984"/>
      <c r="BP4" s="1984"/>
      <c r="BQ4" s="1984"/>
      <c r="BR4" s="1984"/>
      <c r="BS4" s="1984"/>
      <c r="BT4" s="1984"/>
      <c r="BU4" s="1984"/>
      <c r="BV4" s="1984"/>
      <c r="BW4" s="1984"/>
      <c r="BX4" s="1984"/>
      <c r="BY4" s="1984"/>
      <c r="BZ4" s="1984"/>
      <c r="CA4" s="1984"/>
      <c r="CB4" s="1984"/>
      <c r="CC4" s="1984"/>
      <c r="CD4" s="1984"/>
      <c r="CE4" s="1984"/>
      <c r="CF4" s="1984"/>
      <c r="CG4" s="1984"/>
      <c r="CH4" s="1984"/>
      <c r="CI4" s="1984"/>
      <c r="CJ4" s="1984"/>
      <c r="CK4" s="1984"/>
      <c r="CL4" s="1984"/>
      <c r="CM4" s="1984"/>
      <c r="CN4" s="1984"/>
      <c r="CO4" s="1984"/>
      <c r="CP4" s="1984"/>
      <c r="CQ4" s="1984"/>
      <c r="CR4" s="1984"/>
      <c r="CS4" s="1984"/>
      <c r="CT4" s="1984"/>
      <c r="CU4" s="1984"/>
      <c r="CV4" s="1984"/>
      <c r="CW4" s="1984"/>
      <c r="CX4" s="1984"/>
      <c r="CY4" s="1984"/>
      <c r="CZ4" s="1984"/>
      <c r="DA4" s="1984"/>
      <c r="DB4" s="1984"/>
      <c r="DC4" s="1984"/>
      <c r="DD4" s="1984"/>
      <c r="DE4" s="1984"/>
      <c r="DF4" s="1984"/>
      <c r="DG4" s="1984"/>
      <c r="DH4" s="1984"/>
      <c r="DI4" s="1984"/>
      <c r="DJ4" s="1984"/>
      <c r="DK4" s="1984"/>
      <c r="DL4" s="1984"/>
      <c r="DM4" s="1984"/>
      <c r="DN4" s="1984"/>
      <c r="DO4" s="1984"/>
      <c r="DP4" s="1984"/>
      <c r="DQ4" s="1984"/>
      <c r="DR4" s="1984"/>
      <c r="DS4" s="1984"/>
      <c r="DT4" s="1984"/>
      <c r="DU4" s="1984"/>
      <c r="DV4" s="1984"/>
      <c r="DW4" s="1984"/>
      <c r="DX4" s="1984"/>
      <c r="DY4" s="1984"/>
      <c r="DZ4" s="1984"/>
      <c r="EA4" s="1984"/>
      <c r="EB4" s="1984"/>
      <c r="EC4" s="1984"/>
      <c r="ED4" s="1984"/>
      <c r="EE4" s="1984"/>
      <c r="EF4" s="1984"/>
      <c r="EG4" s="1984"/>
      <c r="EH4" s="1984"/>
      <c r="EI4" s="1984"/>
      <c r="EJ4" s="1984"/>
      <c r="EK4" s="1984"/>
      <c r="EL4" s="1984"/>
      <c r="EM4" s="1984"/>
      <c r="EN4" s="1984"/>
      <c r="EO4" s="1984"/>
      <c r="EP4" s="1984"/>
      <c r="EQ4" s="1984"/>
      <c r="ER4" s="1984"/>
      <c r="ES4" s="1984"/>
      <c r="ET4" s="1984"/>
      <c r="EU4" s="1984"/>
      <c r="EV4" s="1984"/>
      <c r="EW4" s="1984"/>
      <c r="EX4" s="1984"/>
      <c r="EY4" s="1984"/>
      <c r="EZ4" s="1984"/>
      <c r="FA4" s="1984"/>
      <c r="FB4" s="1984"/>
      <c r="FC4" s="1984"/>
      <c r="FD4" s="1984"/>
      <c r="FE4" s="1984"/>
      <c r="FF4" s="1984"/>
      <c r="FG4" s="1984"/>
      <c r="FH4" s="1984"/>
      <c r="FI4" s="1984"/>
      <c r="FJ4" s="1984"/>
      <c r="FK4" s="1984"/>
      <c r="FL4" s="1984"/>
      <c r="FM4" s="1984"/>
      <c r="FN4" s="1984"/>
      <c r="FO4" s="1984"/>
      <c r="FP4" s="1984"/>
      <c r="FQ4" s="1984"/>
      <c r="FR4" s="1984"/>
      <c r="FS4" s="1984"/>
      <c r="FT4" s="1984"/>
      <c r="FU4" s="1984"/>
      <c r="FV4" s="1984"/>
      <c r="FW4" s="1984"/>
      <c r="FX4" s="1984"/>
      <c r="FY4" s="1984"/>
      <c r="FZ4" s="1984"/>
      <c r="GA4" s="1984"/>
      <c r="GB4" s="1984"/>
      <c r="GC4" s="1984"/>
      <c r="GD4" s="1984"/>
      <c r="GE4" s="1984"/>
      <c r="GF4" s="1984"/>
      <c r="GG4" s="1984"/>
      <c r="GH4" s="1984"/>
      <c r="GI4" s="1984"/>
      <c r="GJ4" s="1984"/>
      <c r="GK4" s="1984"/>
      <c r="GL4" s="1984"/>
      <c r="GM4" s="1984"/>
      <c r="GN4" s="1984"/>
      <c r="GO4" s="1984"/>
      <c r="GP4" s="1984"/>
      <c r="GQ4" s="1984"/>
      <c r="GR4" s="1984"/>
      <c r="GS4" s="1984"/>
      <c r="GT4" s="1984"/>
      <c r="GU4" s="1984"/>
      <c r="GV4" s="1984"/>
      <c r="GW4" s="1984"/>
      <c r="GX4" s="1984"/>
      <c r="GY4" s="1984"/>
      <c r="GZ4" s="1984"/>
      <c r="HA4" s="1984"/>
      <c r="HB4" s="1984"/>
      <c r="HC4" s="1984"/>
      <c r="HD4" s="1984"/>
      <c r="HE4" s="1984"/>
      <c r="HF4" s="1984"/>
      <c r="HG4" s="1984"/>
      <c r="HH4" s="1984"/>
      <c r="HI4" s="1984"/>
      <c r="HJ4" s="1984"/>
      <c r="HK4" s="1984"/>
      <c r="HL4" s="1984"/>
      <c r="HM4" s="1984"/>
      <c r="HN4" s="1984"/>
      <c r="HO4" s="1984"/>
      <c r="HP4" s="1984"/>
      <c r="HQ4" s="1984"/>
      <c r="HR4" s="1984"/>
      <c r="HS4" s="1984"/>
      <c r="HT4" s="1984"/>
      <c r="HU4" s="1984"/>
      <c r="HV4" s="1984"/>
      <c r="HW4" s="1984"/>
      <c r="HX4" s="1984"/>
      <c r="HY4" s="1984"/>
      <c r="HZ4" s="1984"/>
      <c r="IA4" s="1984"/>
      <c r="IB4" s="1984"/>
      <c r="IC4" s="1984"/>
      <c r="ID4" s="1984"/>
      <c r="IE4" s="1984"/>
      <c r="IF4" s="1984"/>
      <c r="IG4" s="1984"/>
      <c r="IH4" s="1984"/>
      <c r="II4" s="1984"/>
      <c r="IJ4" s="1984"/>
      <c r="IK4" s="1984"/>
      <c r="IL4" s="1984"/>
      <c r="IM4" s="1984"/>
      <c r="IN4" s="1984"/>
      <c r="IO4" s="1984"/>
      <c r="IP4" s="1984"/>
      <c r="IQ4" s="1984"/>
      <c r="IR4" s="1984"/>
    </row>
    <row r="5" spans="1:252" s="1813" customFormat="1" ht="13.5" customHeight="1" x14ac:dyDescent="0.25">
      <c r="A5" s="1961" t="s">
        <v>7045</v>
      </c>
      <c r="B5" s="1962" t="s">
        <v>7045</v>
      </c>
      <c r="C5" s="1963" t="s">
        <v>7057</v>
      </c>
      <c r="D5" s="1964" t="s">
        <v>4384</v>
      </c>
      <c r="E5" s="1960" t="s">
        <v>1743</v>
      </c>
      <c r="F5" s="1965">
        <v>41950</v>
      </c>
      <c r="G5" s="1966">
        <v>41921</v>
      </c>
      <c r="H5" s="1965">
        <v>41936</v>
      </c>
      <c r="I5" s="1967">
        <v>43798</v>
      </c>
      <c r="J5" s="1989">
        <v>1000</v>
      </c>
      <c r="K5" s="1964" t="s">
        <v>3229</v>
      </c>
      <c r="L5" s="1968" t="s">
        <v>3229</v>
      </c>
      <c r="M5" s="1969">
        <v>-0.1</v>
      </c>
      <c r="N5" s="1970">
        <v>1</v>
      </c>
      <c r="O5" s="1971" t="s">
        <v>3229</v>
      </c>
      <c r="P5" s="2451" t="s">
        <v>3229</v>
      </c>
      <c r="Q5" s="2451" t="s">
        <v>3229</v>
      </c>
      <c r="R5" s="1972" t="s">
        <v>3229</v>
      </c>
      <c r="S5" s="1973"/>
      <c r="T5" s="1974" t="s">
        <v>3229</v>
      </c>
      <c r="U5" s="1974" t="s">
        <v>3229</v>
      </c>
      <c r="V5" s="1974" t="s">
        <v>3229</v>
      </c>
      <c r="W5" s="1974" t="s">
        <v>3229</v>
      </c>
      <c r="X5" s="1974" t="s">
        <v>3229</v>
      </c>
      <c r="Y5" s="1974" t="s">
        <v>3229</v>
      </c>
      <c r="Z5" s="1974" t="s">
        <v>3229</v>
      </c>
      <c r="AA5" s="1974" t="s">
        <v>3229</v>
      </c>
      <c r="AB5" s="1974" t="s">
        <v>3229</v>
      </c>
      <c r="AC5" s="1974" t="s">
        <v>3229</v>
      </c>
      <c r="AD5" s="1974" t="s">
        <v>3229</v>
      </c>
      <c r="AE5" s="1974" t="s">
        <v>3229</v>
      </c>
      <c r="AF5" s="1963" t="str">
        <f>IF(S5="","-",IF(T5="",S5,MAX(IF(T5&gt;indexy!$B$1,S5,S5-S5),IF(U5&gt;indexy!$B$1,S5-1,S5-S5),IF(V5&gt;indexy!$B$1,S5-2,S5-S5),IF(W5&gt;indexy!$B$1,S5-3,S5-S5),IF(X5&gt;indexy!$B$1,S5-4,S5-S5),IF(Y5&gt;indexy!$B$1,S5-5,S5-S5),IF(Z5&gt;indexy!$B$1,S5-6,S5-S5),IF(AA5&gt;indexy!$B$1,S5-7,S5-S5),IF(AB5&gt;indexy!$B$1,S5-8,S5-S5),IF(AC5&gt;indexy!$B$1,S5-9,S5-S5),IF(AD5&gt;indexy!$B$1,S5-10,S5-S5),IF(AE5&gt;indexy!$B$1,S5-11,S5-S5))))</f>
        <v>-</v>
      </c>
      <c r="AG5" s="3415" t="s">
        <v>10636</v>
      </c>
      <c r="AH5" s="1976" t="s">
        <v>3229</v>
      </c>
      <c r="AI5" s="1976" t="s">
        <v>3229</v>
      </c>
      <c r="AJ5" s="1976" t="s">
        <v>3229</v>
      </c>
      <c r="AK5" s="1976" t="s">
        <v>3229</v>
      </c>
      <c r="AL5" s="1976" t="s">
        <v>3229</v>
      </c>
      <c r="AM5" s="1977">
        <v>1</v>
      </c>
      <c r="AN5" s="2349">
        <f>'klikací hodnoty2'!F106</f>
        <v>0.16702783333333335</v>
      </c>
      <c r="AO5" s="1979">
        <v>1160.0999999999999</v>
      </c>
      <c r="AP5" s="2349">
        <f>'klikací hodnoty2'!F105</f>
        <v>0.16702783333333335</v>
      </c>
      <c r="AQ5" s="2349">
        <f>'klikací hodnoty2'!F92</f>
        <v>0.24433421301712796</v>
      </c>
      <c r="AR5" s="3915" t="s">
        <v>3660</v>
      </c>
      <c r="AS5" s="3916"/>
      <c r="AT5" s="3916"/>
      <c r="AU5" s="3806"/>
      <c r="AV5" s="1980">
        <f t="shared" si="0"/>
        <v>-0.1</v>
      </c>
      <c r="AW5" s="1981">
        <f t="shared" si="1"/>
        <v>-2.0594811510765587E-2</v>
      </c>
      <c r="AX5" s="1913">
        <f t="shared" si="2"/>
        <v>-0.22420480993017833</v>
      </c>
      <c r="AY5" s="2097"/>
      <c r="AZ5" s="1983">
        <f t="shared" si="3"/>
        <v>900</v>
      </c>
      <c r="BB5" s="1973"/>
      <c r="BC5" s="2411"/>
      <c r="BD5" s="3431"/>
      <c r="BE5" s="3434"/>
      <c r="BF5" s="3434"/>
      <c r="BG5" s="3434"/>
      <c r="BH5" s="1985"/>
      <c r="BI5" s="1986"/>
      <c r="BJ5" s="1984"/>
      <c r="BK5" s="1984"/>
      <c r="BL5" s="1984"/>
      <c r="BM5" s="1984"/>
      <c r="BN5" s="1984"/>
      <c r="BO5" s="1984"/>
      <c r="BP5" s="1984"/>
      <c r="BQ5" s="1984"/>
      <c r="BR5" s="1984"/>
      <c r="BS5" s="1984"/>
      <c r="BT5" s="1984"/>
      <c r="BU5" s="1984"/>
      <c r="BV5" s="1984"/>
      <c r="BW5" s="1984"/>
      <c r="BX5" s="1984"/>
      <c r="BY5" s="1984"/>
      <c r="BZ5" s="1984"/>
      <c r="CA5" s="1984"/>
      <c r="CB5" s="1984"/>
      <c r="CC5" s="1984"/>
      <c r="CD5" s="1984"/>
      <c r="CE5" s="1984"/>
      <c r="CF5" s="1984"/>
      <c r="CG5" s="1984"/>
      <c r="CH5" s="1984"/>
      <c r="CI5" s="1984"/>
      <c r="CJ5" s="1984"/>
      <c r="CK5" s="1984"/>
      <c r="CL5" s="1984"/>
      <c r="CM5" s="1984"/>
      <c r="CN5" s="1984"/>
      <c r="CO5" s="1984"/>
      <c r="CP5" s="1984"/>
      <c r="CQ5" s="1984"/>
      <c r="CR5" s="1984"/>
      <c r="CS5" s="1984"/>
      <c r="CT5" s="1984"/>
      <c r="CU5" s="1984"/>
      <c r="CV5" s="1984"/>
      <c r="CW5" s="1984"/>
      <c r="CX5" s="1984"/>
      <c r="CY5" s="1984"/>
      <c r="CZ5" s="1984"/>
      <c r="DA5" s="1984"/>
      <c r="DB5" s="1984"/>
      <c r="DC5" s="1984"/>
      <c r="DD5" s="1984"/>
      <c r="DE5" s="1984"/>
      <c r="DF5" s="1984"/>
      <c r="DG5" s="1984"/>
      <c r="DH5" s="1984"/>
      <c r="DI5" s="1984"/>
      <c r="DJ5" s="1984"/>
      <c r="DK5" s="1984"/>
      <c r="DL5" s="1984"/>
      <c r="DM5" s="1984"/>
      <c r="DN5" s="1984"/>
      <c r="DO5" s="1984"/>
      <c r="DP5" s="1984"/>
      <c r="DQ5" s="1984"/>
      <c r="DR5" s="1984"/>
      <c r="DS5" s="1984"/>
      <c r="DT5" s="1984"/>
      <c r="DU5" s="1984"/>
      <c r="DV5" s="1984"/>
      <c r="DW5" s="1984"/>
      <c r="DX5" s="1984"/>
      <c r="DY5" s="1984"/>
      <c r="DZ5" s="1984"/>
      <c r="EA5" s="1984"/>
      <c r="EB5" s="1984"/>
      <c r="EC5" s="1984"/>
      <c r="ED5" s="1984"/>
      <c r="EE5" s="1984"/>
      <c r="EF5" s="1984"/>
      <c r="EG5" s="1984"/>
      <c r="EH5" s="1984"/>
      <c r="EI5" s="1984"/>
      <c r="EJ5" s="1984"/>
      <c r="EK5" s="1984"/>
      <c r="EL5" s="1984"/>
      <c r="EM5" s="1984"/>
      <c r="EN5" s="1984"/>
      <c r="EO5" s="1984"/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</row>
    <row r="6" spans="1:252" s="1813" customFormat="1" ht="13.5" customHeight="1" x14ac:dyDescent="0.25">
      <c r="A6" s="1961" t="s">
        <v>7047</v>
      </c>
      <c r="B6" s="1962" t="s">
        <v>7047</v>
      </c>
      <c r="C6" s="1963" t="s">
        <v>7059</v>
      </c>
      <c r="D6" s="1964" t="s">
        <v>4384</v>
      </c>
      <c r="E6" s="1960" t="s">
        <v>1743</v>
      </c>
      <c r="F6" s="1965">
        <v>42012</v>
      </c>
      <c r="G6" s="1966">
        <v>41988</v>
      </c>
      <c r="H6" s="1965">
        <v>41996</v>
      </c>
      <c r="I6" s="1967">
        <v>43861</v>
      </c>
      <c r="J6" s="1989">
        <v>1000</v>
      </c>
      <c r="K6" s="1964" t="s">
        <v>3229</v>
      </c>
      <c r="L6" s="1968" t="s">
        <v>3229</v>
      </c>
      <c r="M6" s="1969">
        <v>-0.1</v>
      </c>
      <c r="N6" s="1970">
        <v>1</v>
      </c>
      <c r="O6" s="1971">
        <v>1</v>
      </c>
      <c r="P6" s="2701" t="s">
        <v>3229</v>
      </c>
      <c r="Q6" s="2701" t="s">
        <v>3229</v>
      </c>
      <c r="R6" s="1972" t="s">
        <v>3229</v>
      </c>
      <c r="S6" s="1973"/>
      <c r="T6" s="1974" t="s">
        <v>3229</v>
      </c>
      <c r="U6" s="1974" t="s">
        <v>3229</v>
      </c>
      <c r="V6" s="1974" t="s">
        <v>3229</v>
      </c>
      <c r="W6" s="1974" t="s">
        <v>3229</v>
      </c>
      <c r="X6" s="1974" t="s">
        <v>3229</v>
      </c>
      <c r="Y6" s="1974" t="s">
        <v>3229</v>
      </c>
      <c r="Z6" s="1974" t="s">
        <v>3229</v>
      </c>
      <c r="AA6" s="1974" t="s">
        <v>3229</v>
      </c>
      <c r="AB6" s="1974" t="s">
        <v>3229</v>
      </c>
      <c r="AC6" s="1974" t="s">
        <v>3229</v>
      </c>
      <c r="AD6" s="1974" t="s">
        <v>3229</v>
      </c>
      <c r="AE6" s="1974" t="s">
        <v>3229</v>
      </c>
      <c r="AF6" s="1963" t="str">
        <f>IF(S6="","-",IF(T6="",S6,MAX(IF(T6&gt;indexy!$B$1,S6,S6-S6),IF(U6&gt;indexy!$B$1,S6-1,S6-S6),IF(V6&gt;indexy!$B$1,S6-2,S6-S6),IF(W6&gt;indexy!$B$1,S6-3,S6-S6),IF(X6&gt;indexy!$B$1,S6-4,S6-S6),IF(Y6&gt;indexy!$B$1,S6-5,S6-S6),IF(Z6&gt;indexy!$B$1,S6-6,S6-S6),IF(AA6&gt;indexy!$B$1,S6-7,S6-S6),IF(AB6&gt;indexy!$B$1,S6-8,S6-S6),IF(AC6&gt;indexy!$B$1,S6-9,S6-S6),IF(AD6&gt;indexy!$B$1,S6-10,S6-S6),IF(AE6&gt;indexy!$B$1,S6-11,S6-S6))))</f>
        <v>-</v>
      </c>
      <c r="AG6" s="3415" t="s">
        <v>10636</v>
      </c>
      <c r="AH6" s="1976" t="s">
        <v>3229</v>
      </c>
      <c r="AI6" s="1976" t="s">
        <v>3229</v>
      </c>
      <c r="AJ6" s="1976" t="s">
        <v>3229</v>
      </c>
      <c r="AK6" s="1976" t="s">
        <v>3229</v>
      </c>
      <c r="AL6" s="1976" t="s">
        <v>3229</v>
      </c>
      <c r="AM6" s="1977">
        <v>1</v>
      </c>
      <c r="AN6" s="2349">
        <f>'klikací hodnoty2'!F156</f>
        <v>0.61332816666666667</v>
      </c>
      <c r="AO6" s="1979">
        <v>1613.2</v>
      </c>
      <c r="AP6" s="2349">
        <f>'klikací hodnoty2'!F155</f>
        <v>0.61332816666666667</v>
      </c>
      <c r="AQ6" s="2349">
        <f>'klikací hodnoty2'!F142</f>
        <v>0.75613010626725996</v>
      </c>
      <c r="AR6" s="3915">
        <f>O6</f>
        <v>1</v>
      </c>
      <c r="AS6" s="3916">
        <f>POWER(1+AR6,1/((I6-F6)/365))-1</f>
        <v>0.14663323587356447</v>
      </c>
      <c r="AT6" s="3916">
        <f>IF(AO6="","",J6*(1+AR6)/AO6-1)</f>
        <v>0.2397718819737169</v>
      </c>
      <c r="AU6" s="3806" t="e">
        <f>IF(AT6="","",POWER(1+AT6,1/AG6)-1)</f>
        <v>#VALUE!</v>
      </c>
      <c r="AV6" s="1980">
        <f>M6</f>
        <v>-0.1</v>
      </c>
      <c r="AW6" s="1981">
        <f>POWER(1+AV6,1/((I6-F6)/365))-1</f>
        <v>-2.0583788589173202E-2</v>
      </c>
      <c r="AX6" s="1913">
        <f>IF(AO6="","",J6*(1+AV6)/AO6-1)</f>
        <v>-0.44210265311182739</v>
      </c>
      <c r="AY6" s="2097"/>
      <c r="AZ6" s="1983">
        <f t="shared" si="3"/>
        <v>900</v>
      </c>
      <c r="BB6" s="1973"/>
      <c r="BC6" s="2689"/>
      <c r="BD6" s="3431"/>
      <c r="BE6" s="3434"/>
      <c r="BF6" s="3434"/>
      <c r="BG6" s="3434"/>
      <c r="BH6" s="1985"/>
      <c r="BI6" s="1986"/>
      <c r="BJ6" s="1984"/>
      <c r="BK6" s="1984"/>
      <c r="BL6" s="1984"/>
      <c r="BM6" s="1984"/>
      <c r="BN6" s="1984"/>
      <c r="BO6" s="1984"/>
      <c r="BP6" s="1984"/>
      <c r="BQ6" s="1984"/>
      <c r="BR6" s="1984"/>
      <c r="BS6" s="1984"/>
      <c r="BT6" s="1984"/>
      <c r="BU6" s="1984"/>
      <c r="BV6" s="1984"/>
      <c r="BW6" s="1984"/>
      <c r="BX6" s="1984"/>
      <c r="BY6" s="1984"/>
      <c r="BZ6" s="1984"/>
      <c r="CA6" s="1984"/>
      <c r="CB6" s="1984"/>
      <c r="CC6" s="1984"/>
      <c r="CD6" s="1984"/>
      <c r="CE6" s="1984"/>
      <c r="CF6" s="1984"/>
      <c r="CG6" s="1984"/>
      <c r="CH6" s="1984"/>
      <c r="CI6" s="1984"/>
      <c r="CJ6" s="1984"/>
      <c r="CK6" s="1984"/>
      <c r="CL6" s="1984"/>
      <c r="CM6" s="1984"/>
      <c r="CN6" s="1984"/>
      <c r="CO6" s="1984"/>
      <c r="CP6" s="1984"/>
      <c r="CQ6" s="1984"/>
      <c r="CR6" s="1984"/>
      <c r="CS6" s="1984"/>
      <c r="CT6" s="1984"/>
      <c r="CU6" s="1984"/>
      <c r="CV6" s="1984"/>
      <c r="CW6" s="1984"/>
      <c r="CX6" s="1984"/>
      <c r="CY6" s="1984"/>
      <c r="CZ6" s="1984"/>
      <c r="DA6" s="1984"/>
      <c r="DB6" s="1984"/>
      <c r="DC6" s="1984"/>
      <c r="DD6" s="1984"/>
      <c r="DE6" s="1984"/>
      <c r="DF6" s="1984"/>
      <c r="DG6" s="1984"/>
      <c r="DH6" s="1984"/>
      <c r="DI6" s="1984"/>
      <c r="DJ6" s="1984"/>
      <c r="DK6" s="1984"/>
      <c r="DL6" s="1984"/>
      <c r="DM6" s="1984"/>
      <c r="DN6" s="1984"/>
      <c r="DO6" s="1984"/>
      <c r="DP6" s="1984"/>
      <c r="DQ6" s="1984"/>
      <c r="DR6" s="1984"/>
      <c r="DS6" s="1984"/>
      <c r="DT6" s="1984"/>
      <c r="DU6" s="1984"/>
      <c r="DV6" s="1984"/>
      <c r="DW6" s="1984"/>
      <c r="DX6" s="1984"/>
      <c r="DY6" s="1984"/>
      <c r="DZ6" s="1984"/>
      <c r="EA6" s="1984"/>
      <c r="EB6" s="1984"/>
      <c r="EC6" s="1984"/>
      <c r="ED6" s="1984"/>
      <c r="EE6" s="1984"/>
      <c r="EF6" s="1984"/>
      <c r="EG6" s="1984"/>
      <c r="EH6" s="1984"/>
      <c r="EI6" s="1984"/>
      <c r="EJ6" s="1984"/>
      <c r="EK6" s="1984"/>
      <c r="EL6" s="1984"/>
      <c r="EM6" s="1984"/>
      <c r="EN6" s="1984"/>
      <c r="EO6" s="1984"/>
      <c r="EP6" s="1984"/>
      <c r="EQ6" s="1984"/>
      <c r="ER6" s="1984"/>
      <c r="ES6" s="1984"/>
      <c r="ET6" s="1984"/>
      <c r="EU6" s="1984"/>
      <c r="EV6" s="1984"/>
      <c r="EW6" s="1984"/>
      <c r="EX6" s="1984"/>
      <c r="EY6" s="1984"/>
      <c r="EZ6" s="1984"/>
      <c r="FA6" s="1984"/>
      <c r="FB6" s="1984"/>
      <c r="FC6" s="1984"/>
      <c r="FD6" s="1984"/>
      <c r="FE6" s="1984"/>
      <c r="FF6" s="1984"/>
      <c r="FG6" s="1984"/>
      <c r="FH6" s="1984"/>
      <c r="FI6" s="1984"/>
      <c r="FJ6" s="1984"/>
      <c r="FK6" s="1984"/>
      <c r="FL6" s="1984"/>
      <c r="FM6" s="1984"/>
      <c r="FN6" s="1984"/>
      <c r="FO6" s="1984"/>
      <c r="FP6" s="1984"/>
      <c r="FQ6" s="1984"/>
      <c r="FR6" s="1984"/>
      <c r="FS6" s="1984"/>
      <c r="FT6" s="1984"/>
      <c r="FU6" s="1984"/>
      <c r="FV6" s="1984"/>
      <c r="FW6" s="1984"/>
      <c r="FX6" s="1984"/>
      <c r="FY6" s="1984"/>
      <c r="FZ6" s="1984"/>
      <c r="GA6" s="1984"/>
      <c r="GB6" s="1984"/>
      <c r="GC6" s="1984"/>
      <c r="GD6" s="1984"/>
      <c r="GE6" s="1984"/>
      <c r="GF6" s="1984"/>
      <c r="GG6" s="1984"/>
      <c r="GH6" s="1984"/>
      <c r="GI6" s="1984"/>
      <c r="GJ6" s="1984"/>
      <c r="GK6" s="1984"/>
      <c r="GL6" s="1984"/>
      <c r="GM6" s="1984"/>
      <c r="GN6" s="1984"/>
      <c r="GO6" s="1984"/>
      <c r="GP6" s="1984"/>
      <c r="GQ6" s="1984"/>
      <c r="GR6" s="1984"/>
      <c r="GS6" s="1984"/>
      <c r="GT6" s="1984"/>
      <c r="GU6" s="1984"/>
      <c r="GV6" s="1984"/>
      <c r="GW6" s="1984"/>
      <c r="GX6" s="1984"/>
      <c r="GY6" s="1984"/>
      <c r="GZ6" s="1984"/>
      <c r="HA6" s="1984"/>
      <c r="HB6" s="1984"/>
      <c r="HC6" s="1984"/>
      <c r="HD6" s="1984"/>
      <c r="HE6" s="1984"/>
      <c r="HF6" s="1984"/>
      <c r="HG6" s="1984"/>
      <c r="HH6" s="1984"/>
      <c r="HI6" s="1984"/>
      <c r="HJ6" s="1984"/>
      <c r="HK6" s="1984"/>
      <c r="HL6" s="1984"/>
      <c r="HM6" s="1984"/>
      <c r="HN6" s="1984"/>
      <c r="HO6" s="1984"/>
      <c r="HP6" s="1984"/>
      <c r="HQ6" s="1984"/>
      <c r="HR6" s="1984"/>
      <c r="HS6" s="1984"/>
      <c r="HT6" s="1984"/>
      <c r="HU6" s="1984"/>
      <c r="HV6" s="1984"/>
      <c r="HW6" s="1984"/>
      <c r="HX6" s="1984"/>
      <c r="HY6" s="1984"/>
      <c r="HZ6" s="1984"/>
      <c r="IA6" s="1984"/>
      <c r="IB6" s="1984"/>
      <c r="IC6" s="1984"/>
      <c r="ID6" s="1984"/>
      <c r="IE6" s="1984"/>
      <c r="IF6" s="1984"/>
      <c r="IG6" s="1984"/>
      <c r="IH6" s="1984"/>
      <c r="II6" s="1984"/>
      <c r="IJ6" s="1984"/>
      <c r="IK6" s="1984"/>
      <c r="IL6" s="1984"/>
      <c r="IM6" s="1984"/>
      <c r="IN6" s="1984"/>
      <c r="IO6" s="1984"/>
      <c r="IP6" s="1984"/>
      <c r="IQ6" s="1984"/>
      <c r="IR6" s="1984"/>
    </row>
    <row r="7" spans="1:252" s="1813" customFormat="1" ht="13.5" customHeight="1" x14ac:dyDescent="0.25">
      <c r="A7" s="1961" t="s">
        <v>7640</v>
      </c>
      <c r="B7" s="1962" t="s">
        <v>7640</v>
      </c>
      <c r="C7" s="1963" t="s">
        <v>7641</v>
      </c>
      <c r="D7" s="1964" t="s">
        <v>4384</v>
      </c>
      <c r="E7" s="1960" t="s">
        <v>1743</v>
      </c>
      <c r="F7" s="1965">
        <v>41919</v>
      </c>
      <c r="G7" s="1966">
        <v>41890</v>
      </c>
      <c r="H7" s="1965">
        <v>41908</v>
      </c>
      <c r="I7" s="1967">
        <v>43921</v>
      </c>
      <c r="J7" s="1989">
        <v>1000</v>
      </c>
      <c r="K7" s="1964" t="s">
        <v>3229</v>
      </c>
      <c r="L7" s="1968" t="s">
        <v>3229</v>
      </c>
      <c r="M7" s="1969">
        <v>0</v>
      </c>
      <c r="N7" s="1970">
        <v>1</v>
      </c>
      <c r="O7" s="1971" t="s">
        <v>3229</v>
      </c>
      <c r="P7" s="2817" t="s">
        <v>3229</v>
      </c>
      <c r="Q7" s="2817" t="s">
        <v>3229</v>
      </c>
      <c r="R7" s="1972" t="s">
        <v>3229</v>
      </c>
      <c r="S7" s="1973"/>
      <c r="T7" s="1974" t="s">
        <v>3229</v>
      </c>
      <c r="U7" s="1974" t="s">
        <v>3229</v>
      </c>
      <c r="V7" s="1974" t="s">
        <v>3229</v>
      </c>
      <c r="W7" s="1974" t="s">
        <v>3229</v>
      </c>
      <c r="X7" s="1974" t="s">
        <v>3229</v>
      </c>
      <c r="Y7" s="1974" t="s">
        <v>3229</v>
      </c>
      <c r="Z7" s="1974" t="s">
        <v>3229</v>
      </c>
      <c r="AA7" s="1974" t="s">
        <v>3229</v>
      </c>
      <c r="AB7" s="1974" t="s">
        <v>3229</v>
      </c>
      <c r="AC7" s="1974" t="s">
        <v>3229</v>
      </c>
      <c r="AD7" s="1974" t="s">
        <v>3229</v>
      </c>
      <c r="AE7" s="1974" t="s">
        <v>3229</v>
      </c>
      <c r="AF7" s="1963" t="str">
        <f>IF(S7="","-",IF(T7="",S7,MAX(IF(T7&gt;indexy!$B$1,S7,S7-S7),IF(U7&gt;indexy!$B$1,S7-1,S7-S7),IF(V7&gt;indexy!$B$1,S7-2,S7-S7),IF(W7&gt;indexy!$B$1,S7-3,S7-S7),IF(X7&gt;indexy!$B$1,S7-4,S7-S7),IF(Y7&gt;indexy!$B$1,S7-5,S7-S7),IF(Z7&gt;indexy!$B$1,S7-6,S7-S7),IF(AA7&gt;indexy!$B$1,S7-7,S7-S7),IF(AB7&gt;indexy!$B$1,S7-8,S7-S7),IF(AC7&gt;indexy!$B$1,S7-9,S7-S7),IF(AD7&gt;indexy!$B$1,S7-10,S7-S7),IF(AE7&gt;indexy!$B$1,S7-11,S7-S7))))</f>
        <v>-</v>
      </c>
      <c r="AG7" s="3415" t="s">
        <v>10636</v>
      </c>
      <c r="AH7" s="1976" t="s">
        <v>3229</v>
      </c>
      <c r="AI7" s="1976" t="s">
        <v>3229</v>
      </c>
      <c r="AJ7" s="1976" t="s">
        <v>3229</v>
      </c>
      <c r="AK7" s="1976" t="s">
        <v>3229</v>
      </c>
      <c r="AL7" s="1976" t="s">
        <v>3229</v>
      </c>
      <c r="AM7" s="1977">
        <v>1</v>
      </c>
      <c r="AN7" s="2349">
        <f>'klikací hodnoty2'!F598</f>
        <v>3.0133499999999997E-2</v>
      </c>
      <c r="AO7" s="1979">
        <v>1030.0999999999999</v>
      </c>
      <c r="AP7" s="2349">
        <f>'klikací hodnoty2'!F597</f>
        <v>3.0133499999999997E-2</v>
      </c>
      <c r="AQ7" s="2349">
        <f>'klikací hodnoty2'!F584</f>
        <v>-9.0427071263001479E-2</v>
      </c>
      <c r="AR7" s="3915" t="s">
        <v>3660</v>
      </c>
      <c r="AS7" s="3916"/>
      <c r="AT7" s="3916"/>
      <c r="AU7" s="3806"/>
      <c r="AV7" s="1980">
        <f>M7</f>
        <v>0</v>
      </c>
      <c r="AW7" s="1981">
        <f>POWER(1+AV7,1/((I7-F7)/365))-1</f>
        <v>0</v>
      </c>
      <c r="AX7" s="1913">
        <f>IF(AO7="","",J7*(1+AV7)/AO7-1)</f>
        <v>-2.9220464032618132E-2</v>
      </c>
      <c r="AY7" s="2097"/>
      <c r="AZ7" s="1983">
        <f t="shared" si="3"/>
        <v>1000</v>
      </c>
      <c r="BB7" s="1973"/>
      <c r="BC7" s="2757"/>
      <c r="BD7" s="3431"/>
      <c r="BE7" s="3434"/>
      <c r="BF7" s="3434"/>
      <c r="BG7" s="3434"/>
      <c r="BH7" s="1985"/>
      <c r="BI7" s="1986"/>
      <c r="BJ7" s="1984"/>
      <c r="BK7" s="1984"/>
      <c r="BL7" s="1984"/>
      <c r="BM7" s="1984"/>
      <c r="BN7" s="1984"/>
      <c r="BO7" s="1984"/>
      <c r="BP7" s="1984"/>
      <c r="BQ7" s="1984"/>
      <c r="BR7" s="1984"/>
      <c r="BS7" s="1984"/>
      <c r="BT7" s="1984"/>
      <c r="BU7" s="1984"/>
      <c r="BV7" s="1984"/>
      <c r="BW7" s="1984"/>
      <c r="BX7" s="1984"/>
      <c r="BY7" s="1984"/>
      <c r="BZ7" s="1984"/>
      <c r="CA7" s="1984"/>
      <c r="CB7" s="1984"/>
      <c r="CC7" s="1984"/>
      <c r="CD7" s="1984"/>
      <c r="CE7" s="1984"/>
      <c r="CF7" s="1984"/>
      <c r="CG7" s="1984"/>
      <c r="CH7" s="1984"/>
      <c r="CI7" s="1984"/>
      <c r="CJ7" s="1984"/>
      <c r="CK7" s="1984"/>
      <c r="CL7" s="1984"/>
      <c r="CM7" s="1984"/>
      <c r="CN7" s="1984"/>
      <c r="CO7" s="1984"/>
      <c r="CP7" s="1984"/>
      <c r="CQ7" s="1984"/>
      <c r="CR7" s="1984"/>
      <c r="CS7" s="1984"/>
      <c r="CT7" s="1984"/>
      <c r="CU7" s="1984"/>
      <c r="CV7" s="1984"/>
      <c r="CW7" s="1984"/>
      <c r="CX7" s="1984"/>
      <c r="CY7" s="1984"/>
      <c r="CZ7" s="1984"/>
      <c r="DA7" s="1984"/>
      <c r="DB7" s="1984"/>
      <c r="DC7" s="1984"/>
      <c r="DD7" s="1984"/>
      <c r="DE7" s="1984"/>
      <c r="DF7" s="1984"/>
      <c r="DG7" s="1984"/>
      <c r="DH7" s="1984"/>
      <c r="DI7" s="1984"/>
      <c r="DJ7" s="1984"/>
      <c r="DK7" s="1984"/>
      <c r="DL7" s="1984"/>
      <c r="DM7" s="1984"/>
      <c r="DN7" s="1984"/>
      <c r="DO7" s="1984"/>
      <c r="DP7" s="1984"/>
      <c r="DQ7" s="1984"/>
      <c r="DR7" s="1984"/>
      <c r="DS7" s="1984"/>
      <c r="DT7" s="1984"/>
      <c r="DU7" s="1984"/>
      <c r="DV7" s="1984"/>
      <c r="DW7" s="1984"/>
      <c r="DX7" s="1984"/>
      <c r="DY7" s="1984"/>
      <c r="DZ7" s="1984"/>
      <c r="EA7" s="1984"/>
      <c r="EB7" s="1984"/>
      <c r="EC7" s="1984"/>
      <c r="ED7" s="1984"/>
      <c r="EE7" s="1984"/>
      <c r="EF7" s="1984"/>
      <c r="EG7" s="1984"/>
      <c r="EH7" s="1984"/>
      <c r="EI7" s="1984"/>
      <c r="EJ7" s="1984"/>
      <c r="EK7" s="1984"/>
      <c r="EL7" s="1984"/>
      <c r="EM7" s="1984"/>
      <c r="EN7" s="1984"/>
      <c r="EO7" s="1984"/>
      <c r="EP7" s="1984"/>
      <c r="EQ7" s="1984"/>
      <c r="ER7" s="1984"/>
      <c r="ES7" s="1984"/>
      <c r="ET7" s="1984"/>
      <c r="EU7" s="1984"/>
      <c r="EV7" s="1984"/>
      <c r="EW7" s="1984"/>
      <c r="EX7" s="1984"/>
      <c r="EY7" s="1984"/>
      <c r="EZ7" s="1984"/>
      <c r="FA7" s="1984"/>
      <c r="FB7" s="1984"/>
      <c r="FC7" s="1984"/>
      <c r="FD7" s="1984"/>
      <c r="FE7" s="1984"/>
      <c r="FF7" s="1984"/>
      <c r="FG7" s="1984"/>
      <c r="FH7" s="1984"/>
      <c r="FI7" s="1984"/>
      <c r="FJ7" s="1984"/>
      <c r="FK7" s="1984"/>
      <c r="FL7" s="1984"/>
      <c r="FM7" s="1984"/>
      <c r="FN7" s="1984"/>
      <c r="FO7" s="1984"/>
      <c r="FP7" s="1984"/>
      <c r="FQ7" s="1984"/>
      <c r="FR7" s="1984"/>
      <c r="FS7" s="1984"/>
      <c r="FT7" s="1984"/>
      <c r="FU7" s="1984"/>
      <c r="FV7" s="1984"/>
      <c r="FW7" s="1984"/>
      <c r="FX7" s="1984"/>
      <c r="FY7" s="1984"/>
      <c r="FZ7" s="1984"/>
      <c r="GA7" s="1984"/>
      <c r="GB7" s="1984"/>
      <c r="GC7" s="1984"/>
      <c r="GD7" s="1984"/>
      <c r="GE7" s="1984"/>
      <c r="GF7" s="1984"/>
      <c r="GG7" s="1984"/>
      <c r="GH7" s="1984"/>
      <c r="GI7" s="1984"/>
      <c r="GJ7" s="1984"/>
      <c r="GK7" s="1984"/>
      <c r="GL7" s="1984"/>
      <c r="GM7" s="1984"/>
      <c r="GN7" s="1984"/>
      <c r="GO7" s="1984"/>
      <c r="GP7" s="1984"/>
      <c r="GQ7" s="1984"/>
      <c r="GR7" s="1984"/>
      <c r="GS7" s="1984"/>
      <c r="GT7" s="1984"/>
      <c r="GU7" s="1984"/>
      <c r="GV7" s="1984"/>
      <c r="GW7" s="1984"/>
      <c r="GX7" s="1984"/>
      <c r="GY7" s="1984"/>
      <c r="GZ7" s="1984"/>
      <c r="HA7" s="1984"/>
      <c r="HB7" s="1984"/>
      <c r="HC7" s="1984"/>
      <c r="HD7" s="1984"/>
      <c r="HE7" s="1984"/>
      <c r="HF7" s="1984"/>
      <c r="HG7" s="1984"/>
      <c r="HH7" s="1984"/>
      <c r="HI7" s="1984"/>
      <c r="HJ7" s="1984"/>
      <c r="HK7" s="1984"/>
      <c r="HL7" s="1984"/>
      <c r="HM7" s="1984"/>
      <c r="HN7" s="1984"/>
      <c r="HO7" s="1984"/>
      <c r="HP7" s="1984"/>
      <c r="HQ7" s="1984"/>
      <c r="HR7" s="1984"/>
      <c r="HS7" s="1984"/>
      <c r="HT7" s="1984"/>
      <c r="HU7" s="1984"/>
      <c r="HV7" s="1984"/>
      <c r="HW7" s="1984"/>
      <c r="HX7" s="1984"/>
      <c r="HY7" s="1984"/>
      <c r="HZ7" s="1984"/>
      <c r="IA7" s="1984"/>
      <c r="IB7" s="1984"/>
      <c r="IC7" s="1984"/>
      <c r="ID7" s="1984"/>
      <c r="IE7" s="1984"/>
      <c r="IF7" s="1984"/>
      <c r="IG7" s="1984"/>
      <c r="IH7" s="1984"/>
      <c r="II7" s="1984"/>
      <c r="IJ7" s="1984"/>
      <c r="IK7" s="1984"/>
      <c r="IL7" s="1984"/>
      <c r="IM7" s="1984"/>
      <c r="IN7" s="1984"/>
      <c r="IO7" s="1984"/>
      <c r="IP7" s="1984"/>
      <c r="IQ7" s="1984"/>
      <c r="IR7" s="1984"/>
    </row>
    <row r="8" spans="1:252" s="1813" customFormat="1" ht="13.5" customHeight="1" x14ac:dyDescent="0.25">
      <c r="A8" s="1961" t="s">
        <v>7061</v>
      </c>
      <c r="B8" s="1962" t="s">
        <v>7061</v>
      </c>
      <c r="C8" s="1963" t="s">
        <v>7062</v>
      </c>
      <c r="D8" s="1964" t="s">
        <v>1872</v>
      </c>
      <c r="E8" s="1960" t="s">
        <v>1743</v>
      </c>
      <c r="F8" s="1965">
        <v>42041</v>
      </c>
      <c r="G8" s="1966">
        <v>42020</v>
      </c>
      <c r="H8" s="1965">
        <v>42034</v>
      </c>
      <c r="I8" s="1967">
        <v>44043</v>
      </c>
      <c r="J8" s="1989">
        <v>1000</v>
      </c>
      <c r="K8" s="1964" t="s">
        <v>3229</v>
      </c>
      <c r="L8" s="1968" t="s">
        <v>3229</v>
      </c>
      <c r="M8" s="1969">
        <v>-0.1</v>
      </c>
      <c r="N8" s="1970">
        <v>1</v>
      </c>
      <c r="O8" s="1971" t="s">
        <v>3229</v>
      </c>
      <c r="P8" s="3061" t="s">
        <v>3229</v>
      </c>
      <c r="Q8" s="3061" t="s">
        <v>3229</v>
      </c>
      <c r="R8" s="1972" t="s">
        <v>3229</v>
      </c>
      <c r="S8" s="1973"/>
      <c r="T8" s="1974" t="s">
        <v>3229</v>
      </c>
      <c r="U8" s="1974" t="s">
        <v>3229</v>
      </c>
      <c r="V8" s="1974" t="s">
        <v>3229</v>
      </c>
      <c r="W8" s="1974" t="s">
        <v>3229</v>
      </c>
      <c r="X8" s="1974" t="s">
        <v>3229</v>
      </c>
      <c r="Y8" s="1974" t="s">
        <v>3229</v>
      </c>
      <c r="Z8" s="1974" t="s">
        <v>3229</v>
      </c>
      <c r="AA8" s="1974" t="s">
        <v>3229</v>
      </c>
      <c r="AB8" s="1974" t="s">
        <v>3229</v>
      </c>
      <c r="AC8" s="1974" t="s">
        <v>3229</v>
      </c>
      <c r="AD8" s="1974" t="s">
        <v>3229</v>
      </c>
      <c r="AE8" s="1974" t="s">
        <v>3229</v>
      </c>
      <c r="AF8" s="1963" t="str">
        <f>IF(S8="","-",IF(T8="",S8,MAX(IF(T8&gt;indexy!$B$1,S8,S8-S8),IF(U8&gt;indexy!$B$1,S8-1,S8-S8),IF(V8&gt;indexy!$B$1,S8-2,S8-S8),IF(W8&gt;indexy!$B$1,S8-3,S8-S8),IF(X8&gt;indexy!$B$1,S8-4,S8-S8),IF(Y8&gt;indexy!$B$1,S8-5,S8-S8),IF(Z8&gt;indexy!$B$1,S8-6,S8-S8),IF(AA8&gt;indexy!$B$1,S8-7,S8-S8),IF(AB8&gt;indexy!$B$1,S8-8,S8-S8),IF(AC8&gt;indexy!$B$1,S8-9,S8-S8),IF(AD8&gt;indexy!$B$1,S8-10,S8-S8),IF(AE8&gt;indexy!$B$1,S8-11,S8-S8))))</f>
        <v>-</v>
      </c>
      <c r="AG8" s="3415" t="s">
        <v>10636</v>
      </c>
      <c r="AH8" s="1976" t="s">
        <v>3229</v>
      </c>
      <c r="AI8" s="1976" t="s">
        <v>3229</v>
      </c>
      <c r="AJ8" s="1976" t="s">
        <v>3229</v>
      </c>
      <c r="AK8" s="1976" t="s">
        <v>3229</v>
      </c>
      <c r="AL8" s="1976" t="s">
        <v>3229</v>
      </c>
      <c r="AM8" s="1977">
        <v>1</v>
      </c>
      <c r="AN8" s="2349">
        <f>+'klikací hodnoty2'!F249</f>
        <v>0.18594841666666664</v>
      </c>
      <c r="AO8" s="1979">
        <v>1185.95</v>
      </c>
      <c r="AP8" s="2349">
        <f>'klikací hodnoty2'!F249</f>
        <v>0.18594841666666664</v>
      </c>
      <c r="AQ8" s="2349">
        <f>+'klikací hodnoty2'!F235</f>
        <v>0.14980458157198906</v>
      </c>
      <c r="AR8" s="3915" t="s">
        <v>3660</v>
      </c>
      <c r="AS8" s="3916"/>
      <c r="AT8" s="3916"/>
      <c r="AU8" s="3806"/>
      <c r="AV8" s="1980">
        <f>M8</f>
        <v>-0.1</v>
      </c>
      <c r="AW8" s="1981">
        <f>POWER(1+AV8,1/((I8-F8)/365))-1</f>
        <v>-1.9025766220863272E-2</v>
      </c>
      <c r="AX8" s="3012">
        <f>IF(AO8="","",J8*(1+AV8)/AO8-1)</f>
        <v>-0.24111471815843843</v>
      </c>
      <c r="AY8" s="2097"/>
      <c r="AZ8" s="1983">
        <f t="shared" si="3"/>
        <v>900</v>
      </c>
      <c r="BB8" s="1973"/>
      <c r="BC8" s="2965"/>
      <c r="BD8" s="3431"/>
      <c r="BE8" s="3434"/>
      <c r="BF8" s="3434"/>
      <c r="BG8" s="3434"/>
      <c r="BH8" s="1985"/>
      <c r="BI8" s="1986"/>
      <c r="BJ8" s="1984"/>
      <c r="BK8" s="1984"/>
      <c r="BL8" s="1984"/>
      <c r="BM8" s="1984"/>
      <c r="BN8" s="1984"/>
      <c r="BO8" s="1984"/>
      <c r="BP8" s="1984"/>
      <c r="BQ8" s="1984"/>
      <c r="BR8" s="1984"/>
      <c r="BS8" s="1984"/>
      <c r="BT8" s="1984"/>
      <c r="BU8" s="1984"/>
      <c r="BV8" s="1984"/>
      <c r="BW8" s="1984"/>
      <c r="BX8" s="1984"/>
      <c r="BY8" s="1984"/>
      <c r="BZ8" s="1984"/>
      <c r="CA8" s="1984"/>
      <c r="CB8" s="1984"/>
      <c r="CC8" s="1984"/>
      <c r="CD8" s="1984"/>
      <c r="CE8" s="1984"/>
      <c r="CF8" s="1984"/>
      <c r="CG8" s="1984"/>
      <c r="CH8" s="1984"/>
      <c r="CI8" s="1984"/>
      <c r="CJ8" s="1984"/>
      <c r="CK8" s="1984"/>
      <c r="CL8" s="1984"/>
      <c r="CM8" s="1984"/>
      <c r="CN8" s="1984"/>
      <c r="CO8" s="1984"/>
      <c r="CP8" s="1984"/>
      <c r="CQ8" s="1984"/>
      <c r="CR8" s="1984"/>
      <c r="CS8" s="1984"/>
      <c r="CT8" s="1984"/>
      <c r="CU8" s="1984"/>
      <c r="CV8" s="1984"/>
      <c r="CW8" s="1984"/>
      <c r="CX8" s="1984"/>
      <c r="CY8" s="1984"/>
      <c r="CZ8" s="1984"/>
      <c r="DA8" s="1984"/>
      <c r="DB8" s="1984"/>
      <c r="DC8" s="1984"/>
      <c r="DD8" s="1984"/>
      <c r="DE8" s="1984"/>
      <c r="DF8" s="1984"/>
      <c r="DG8" s="1984"/>
      <c r="DH8" s="1984"/>
      <c r="DI8" s="1984"/>
      <c r="DJ8" s="1984"/>
      <c r="DK8" s="1984"/>
      <c r="DL8" s="1984"/>
      <c r="DM8" s="1984"/>
      <c r="DN8" s="1984"/>
      <c r="DO8" s="1984"/>
      <c r="DP8" s="1984"/>
      <c r="DQ8" s="1984"/>
      <c r="DR8" s="1984"/>
      <c r="DS8" s="1984"/>
      <c r="DT8" s="1984"/>
      <c r="DU8" s="1984"/>
      <c r="DV8" s="1984"/>
      <c r="DW8" s="1984"/>
      <c r="DX8" s="1984"/>
      <c r="DY8" s="1984"/>
      <c r="DZ8" s="1984"/>
      <c r="EA8" s="1984"/>
      <c r="EB8" s="1984"/>
      <c r="EC8" s="1984"/>
      <c r="ED8" s="1984"/>
      <c r="EE8" s="1984"/>
      <c r="EF8" s="1984"/>
      <c r="EG8" s="1984"/>
      <c r="EH8" s="1984"/>
      <c r="EI8" s="1984"/>
      <c r="EJ8" s="1984"/>
      <c r="EK8" s="1984"/>
      <c r="EL8" s="1984"/>
      <c r="EM8" s="1984"/>
      <c r="EN8" s="1984"/>
      <c r="EO8" s="1984"/>
      <c r="EP8" s="1984"/>
      <c r="EQ8" s="1984"/>
      <c r="ER8" s="1984"/>
      <c r="ES8" s="1984"/>
      <c r="ET8" s="1984"/>
      <c r="EU8" s="1984"/>
      <c r="EV8" s="1984"/>
      <c r="EW8" s="1984"/>
      <c r="EX8" s="1984"/>
      <c r="EY8" s="1984"/>
      <c r="EZ8" s="1984"/>
      <c r="FA8" s="1984"/>
      <c r="FB8" s="1984"/>
      <c r="FC8" s="1984"/>
      <c r="FD8" s="1984"/>
      <c r="FE8" s="1984"/>
      <c r="FF8" s="1984"/>
      <c r="FG8" s="1984"/>
      <c r="FH8" s="1984"/>
      <c r="FI8" s="1984"/>
      <c r="FJ8" s="1984"/>
      <c r="FK8" s="1984"/>
      <c r="FL8" s="1984"/>
      <c r="FM8" s="1984"/>
      <c r="FN8" s="1984"/>
      <c r="FO8" s="1984"/>
      <c r="FP8" s="1984"/>
      <c r="FQ8" s="1984"/>
      <c r="FR8" s="1984"/>
      <c r="FS8" s="1984"/>
      <c r="FT8" s="1984"/>
      <c r="FU8" s="1984"/>
      <c r="FV8" s="1984"/>
      <c r="FW8" s="1984"/>
      <c r="FX8" s="1984"/>
      <c r="FY8" s="1984"/>
      <c r="FZ8" s="1984"/>
      <c r="GA8" s="1984"/>
      <c r="GB8" s="1984"/>
      <c r="GC8" s="1984"/>
      <c r="GD8" s="1984"/>
      <c r="GE8" s="1984"/>
      <c r="GF8" s="1984"/>
      <c r="GG8" s="1984"/>
      <c r="GH8" s="1984"/>
      <c r="GI8" s="1984"/>
      <c r="GJ8" s="1984"/>
      <c r="GK8" s="1984"/>
      <c r="GL8" s="1984"/>
      <c r="GM8" s="1984"/>
      <c r="GN8" s="1984"/>
      <c r="GO8" s="1984"/>
      <c r="GP8" s="1984"/>
      <c r="GQ8" s="1984"/>
      <c r="GR8" s="1984"/>
      <c r="GS8" s="1984"/>
      <c r="GT8" s="1984"/>
      <c r="GU8" s="1984"/>
      <c r="GV8" s="1984"/>
      <c r="GW8" s="1984"/>
      <c r="GX8" s="1984"/>
      <c r="GY8" s="1984"/>
      <c r="GZ8" s="1984"/>
      <c r="HA8" s="1984"/>
      <c r="HB8" s="1984"/>
      <c r="HC8" s="1984"/>
      <c r="HD8" s="1984"/>
      <c r="HE8" s="1984"/>
      <c r="HF8" s="1984"/>
      <c r="HG8" s="1984"/>
      <c r="HH8" s="1984"/>
      <c r="HI8" s="1984"/>
      <c r="HJ8" s="1984"/>
      <c r="HK8" s="1984"/>
      <c r="HL8" s="1984"/>
      <c r="HM8" s="1984"/>
      <c r="HN8" s="1984"/>
      <c r="HO8" s="1984"/>
      <c r="HP8" s="1984"/>
      <c r="HQ8" s="1984"/>
      <c r="HR8" s="1984"/>
      <c r="HS8" s="1984"/>
      <c r="HT8" s="1984"/>
      <c r="HU8" s="1984"/>
      <c r="HV8" s="1984"/>
      <c r="HW8" s="1984"/>
      <c r="HX8" s="1984"/>
      <c r="HY8" s="1984"/>
      <c r="HZ8" s="1984"/>
      <c r="IA8" s="1984"/>
      <c r="IB8" s="1984"/>
      <c r="IC8" s="1984"/>
      <c r="ID8" s="1984"/>
      <c r="IE8" s="1984"/>
      <c r="IF8" s="1984"/>
      <c r="IG8" s="1984"/>
      <c r="IH8" s="1984"/>
      <c r="II8" s="1984"/>
      <c r="IJ8" s="1984"/>
      <c r="IK8" s="1984"/>
      <c r="IL8" s="1984"/>
      <c r="IM8" s="1984"/>
      <c r="IN8" s="1984"/>
      <c r="IO8" s="1984"/>
      <c r="IP8" s="1984"/>
      <c r="IQ8" s="1984"/>
      <c r="IR8" s="1984"/>
    </row>
    <row r="9" spans="1:252" s="1813" customFormat="1" ht="13.5" customHeight="1" x14ac:dyDescent="0.25">
      <c r="A9" s="1961" t="s">
        <v>7646</v>
      </c>
      <c r="B9" s="1962" t="s">
        <v>7646</v>
      </c>
      <c r="C9" s="1963" t="s">
        <v>7647</v>
      </c>
      <c r="D9" s="1964" t="s">
        <v>4384</v>
      </c>
      <c r="E9" s="1960" t="s">
        <v>1743</v>
      </c>
      <c r="F9" s="1965">
        <v>41950</v>
      </c>
      <c r="G9" s="1966">
        <v>41919</v>
      </c>
      <c r="H9" s="1965">
        <v>41936</v>
      </c>
      <c r="I9" s="1967">
        <v>44134</v>
      </c>
      <c r="J9" s="1989">
        <v>1000</v>
      </c>
      <c r="K9" s="1964" t="s">
        <v>3229</v>
      </c>
      <c r="L9" s="1968" t="s">
        <v>3229</v>
      </c>
      <c r="M9" s="1969">
        <v>-0.1</v>
      </c>
      <c r="N9" s="1970">
        <v>1</v>
      </c>
      <c r="O9" s="1971">
        <v>1</v>
      </c>
      <c r="P9" s="3171" t="s">
        <v>3229</v>
      </c>
      <c r="Q9" s="3171" t="s">
        <v>3229</v>
      </c>
      <c r="R9" s="1972" t="s">
        <v>3229</v>
      </c>
      <c r="S9" s="1973"/>
      <c r="T9" s="1974" t="s">
        <v>3229</v>
      </c>
      <c r="U9" s="1974" t="s">
        <v>3229</v>
      </c>
      <c r="V9" s="1974" t="s">
        <v>3229</v>
      </c>
      <c r="W9" s="1974" t="s">
        <v>3229</v>
      </c>
      <c r="X9" s="1974" t="s">
        <v>3229</v>
      </c>
      <c r="Y9" s="1974" t="s">
        <v>3229</v>
      </c>
      <c r="Z9" s="1974" t="s">
        <v>3229</v>
      </c>
      <c r="AA9" s="1974" t="s">
        <v>3229</v>
      </c>
      <c r="AB9" s="1974" t="s">
        <v>3229</v>
      </c>
      <c r="AC9" s="1974" t="s">
        <v>3229</v>
      </c>
      <c r="AD9" s="1974" t="s">
        <v>3229</v>
      </c>
      <c r="AE9" s="1974" t="s">
        <v>3229</v>
      </c>
      <c r="AF9" s="1963" t="str">
        <f>IF(S9="","-",IF(T9="",S9,MAX(IF(T9&gt;indexy!$B$1,S9,S9-S9),IF(U9&gt;indexy!$B$1,S9-1,S9-S9),IF(V9&gt;indexy!$B$1,S9-2,S9-S9),IF(W9&gt;indexy!$B$1,S9-3,S9-S9),IF(X9&gt;indexy!$B$1,S9-4,S9-S9),IF(Y9&gt;indexy!$B$1,S9-5,S9-S9),IF(Z9&gt;indexy!$B$1,S9-6,S9-S9),IF(AA9&gt;indexy!$B$1,S9-7,S9-S9),IF(AB9&gt;indexy!$B$1,S9-8,S9-S9),IF(AC9&gt;indexy!$B$1,S9-9,S9-S9),IF(AD9&gt;indexy!$B$1,S9-10,S9-S9),IF(AE9&gt;indexy!$B$1,S9-11,S9-S9))))</f>
        <v>-</v>
      </c>
      <c r="AG9" s="3415" t="s">
        <v>10636</v>
      </c>
      <c r="AH9" s="1976" t="s">
        <v>3229</v>
      </c>
      <c r="AI9" s="1976" t="s">
        <v>3229</v>
      </c>
      <c r="AJ9" s="1976" t="s">
        <v>3229</v>
      </c>
      <c r="AK9" s="1976" t="s">
        <v>3229</v>
      </c>
      <c r="AL9" s="1976" t="s">
        <v>3229</v>
      </c>
      <c r="AM9" s="1977">
        <v>1</v>
      </c>
      <c r="AN9" s="2349">
        <f>+'klikací hodnoty2'!F618</f>
        <v>0.12066024999999998</v>
      </c>
      <c r="AO9" s="1979">
        <v>1120.6600000000001</v>
      </c>
      <c r="AP9" s="2349">
        <f>+'klikací hodnoty2'!E617</f>
        <v>0.12066024999999998</v>
      </c>
      <c r="AQ9" s="2349">
        <f>+'klikací hodnoty2'!E601</f>
        <v>0.17432176970911883</v>
      </c>
      <c r="AR9" s="3915">
        <f>O9</f>
        <v>1</v>
      </c>
      <c r="AS9" s="3916">
        <f>POWER(1+AR9,1/((I9-F9)/365))-1</f>
        <v>0.12281834633181998</v>
      </c>
      <c r="AT9" s="3916">
        <f>IF(AO9="","",J9*(1+AR9)/AO9-1)</f>
        <v>0.78466260953366751</v>
      </c>
      <c r="AU9" s="3806" t="e">
        <f>IF(AT9="","",POWER(1+AT9,1/AG9)-1)</f>
        <v>#VALUE!</v>
      </c>
      <c r="AV9" s="1980">
        <f>M9</f>
        <v>-0.1</v>
      </c>
      <c r="AW9" s="1981">
        <f>POWER(1+AV9,1/((I9-F9)/365))-1</f>
        <v>-1.7454207259243848E-2</v>
      </c>
      <c r="AX9" s="3012">
        <f>IF(AO9="","",J9*(1+AV9)/AO9-1)</f>
        <v>-0.1969018257098496</v>
      </c>
      <c r="AY9" s="2097"/>
      <c r="AZ9" s="1983">
        <f>J9*(1+AV9)</f>
        <v>900</v>
      </c>
      <c r="BB9" s="1973"/>
      <c r="BC9" s="2965"/>
      <c r="BD9" s="3431"/>
      <c r="BE9" s="3434"/>
      <c r="BF9" s="3434"/>
      <c r="BG9" s="3434"/>
      <c r="BH9" s="1985"/>
      <c r="BI9" s="1986"/>
      <c r="BJ9" s="1984"/>
      <c r="BK9" s="1984"/>
      <c r="BL9" s="1984"/>
      <c r="BM9" s="1984"/>
      <c r="BN9" s="1984"/>
      <c r="BO9" s="1984"/>
      <c r="BP9" s="1984"/>
      <c r="BQ9" s="1984"/>
      <c r="BR9" s="1984"/>
      <c r="BS9" s="1984"/>
      <c r="BT9" s="1984"/>
      <c r="BU9" s="1984"/>
      <c r="BV9" s="1984"/>
      <c r="BW9" s="1984"/>
      <c r="BX9" s="1984"/>
      <c r="BY9" s="1984"/>
      <c r="BZ9" s="1984"/>
      <c r="CA9" s="1984"/>
      <c r="CB9" s="1984"/>
      <c r="CC9" s="1984"/>
      <c r="CD9" s="1984"/>
      <c r="CE9" s="1984"/>
      <c r="CF9" s="1984"/>
      <c r="CG9" s="1984"/>
      <c r="CH9" s="1984"/>
      <c r="CI9" s="1984"/>
      <c r="CJ9" s="1984"/>
      <c r="CK9" s="1984"/>
      <c r="CL9" s="1984"/>
      <c r="CM9" s="1984"/>
      <c r="CN9" s="1984"/>
      <c r="CO9" s="1984"/>
      <c r="CP9" s="1984"/>
      <c r="CQ9" s="1984"/>
      <c r="CR9" s="1984"/>
      <c r="CS9" s="1984"/>
      <c r="CT9" s="1984"/>
      <c r="CU9" s="1984"/>
      <c r="CV9" s="1984"/>
      <c r="CW9" s="1984"/>
      <c r="CX9" s="1984"/>
      <c r="CY9" s="1984"/>
      <c r="CZ9" s="1984"/>
      <c r="DA9" s="1984"/>
      <c r="DB9" s="1984"/>
      <c r="DC9" s="1984"/>
      <c r="DD9" s="1984"/>
      <c r="DE9" s="1984"/>
      <c r="DF9" s="1984"/>
      <c r="DG9" s="1984"/>
      <c r="DH9" s="1984"/>
      <c r="DI9" s="1984"/>
      <c r="DJ9" s="1984"/>
      <c r="DK9" s="1984"/>
      <c r="DL9" s="1984"/>
      <c r="DM9" s="1984"/>
      <c r="DN9" s="1984"/>
      <c r="DO9" s="1984"/>
      <c r="DP9" s="1984"/>
      <c r="DQ9" s="1984"/>
      <c r="DR9" s="1984"/>
      <c r="DS9" s="1984"/>
      <c r="DT9" s="1984"/>
      <c r="DU9" s="1984"/>
      <c r="DV9" s="1984"/>
      <c r="DW9" s="1984"/>
      <c r="DX9" s="1984"/>
      <c r="DY9" s="1984"/>
      <c r="DZ9" s="1984"/>
      <c r="EA9" s="1984"/>
      <c r="EB9" s="1984"/>
      <c r="EC9" s="1984"/>
      <c r="ED9" s="1984"/>
      <c r="EE9" s="1984"/>
      <c r="EF9" s="1984"/>
      <c r="EG9" s="1984"/>
      <c r="EH9" s="1984"/>
      <c r="EI9" s="1984"/>
      <c r="EJ9" s="1984"/>
      <c r="EK9" s="1984"/>
      <c r="EL9" s="1984"/>
      <c r="EM9" s="1984"/>
      <c r="EN9" s="1984"/>
      <c r="EO9" s="1984"/>
      <c r="EP9" s="1984"/>
      <c r="EQ9" s="1984"/>
      <c r="ER9" s="1984"/>
      <c r="ES9" s="1984"/>
      <c r="ET9" s="1984"/>
      <c r="EU9" s="1984"/>
      <c r="EV9" s="1984"/>
      <c r="EW9" s="1984"/>
      <c r="EX9" s="1984"/>
      <c r="EY9" s="1984"/>
      <c r="EZ9" s="1984"/>
      <c r="FA9" s="1984"/>
      <c r="FB9" s="1984"/>
      <c r="FC9" s="1984"/>
      <c r="FD9" s="1984"/>
      <c r="FE9" s="1984"/>
      <c r="FF9" s="1984"/>
      <c r="FG9" s="1984"/>
      <c r="FH9" s="1984"/>
      <c r="FI9" s="1984"/>
      <c r="FJ9" s="1984"/>
      <c r="FK9" s="1984"/>
      <c r="FL9" s="1984"/>
      <c r="FM9" s="1984"/>
      <c r="FN9" s="1984"/>
      <c r="FO9" s="1984"/>
      <c r="FP9" s="1984"/>
      <c r="FQ9" s="1984"/>
      <c r="FR9" s="1984"/>
      <c r="FS9" s="1984"/>
      <c r="FT9" s="1984"/>
      <c r="FU9" s="1984"/>
      <c r="FV9" s="1984"/>
      <c r="FW9" s="1984"/>
      <c r="FX9" s="1984"/>
      <c r="FY9" s="1984"/>
      <c r="FZ9" s="1984"/>
      <c r="GA9" s="1984"/>
      <c r="GB9" s="1984"/>
      <c r="GC9" s="1984"/>
      <c r="GD9" s="1984"/>
      <c r="GE9" s="1984"/>
      <c r="GF9" s="1984"/>
      <c r="GG9" s="1984"/>
      <c r="GH9" s="1984"/>
      <c r="GI9" s="1984"/>
      <c r="GJ9" s="1984"/>
      <c r="GK9" s="1984"/>
      <c r="GL9" s="1984"/>
      <c r="GM9" s="1984"/>
      <c r="GN9" s="1984"/>
      <c r="GO9" s="1984"/>
      <c r="GP9" s="1984"/>
      <c r="GQ9" s="1984"/>
      <c r="GR9" s="1984"/>
      <c r="GS9" s="1984"/>
      <c r="GT9" s="1984"/>
      <c r="GU9" s="1984"/>
      <c r="GV9" s="1984"/>
      <c r="GW9" s="1984"/>
      <c r="GX9" s="1984"/>
      <c r="GY9" s="1984"/>
      <c r="GZ9" s="1984"/>
      <c r="HA9" s="1984"/>
      <c r="HB9" s="1984"/>
      <c r="HC9" s="1984"/>
      <c r="HD9" s="1984"/>
      <c r="HE9" s="1984"/>
      <c r="HF9" s="1984"/>
      <c r="HG9" s="1984"/>
      <c r="HH9" s="1984"/>
      <c r="HI9" s="1984"/>
      <c r="HJ9" s="1984"/>
      <c r="HK9" s="1984"/>
      <c r="HL9" s="1984"/>
      <c r="HM9" s="1984"/>
      <c r="HN9" s="1984"/>
      <c r="HO9" s="1984"/>
      <c r="HP9" s="1984"/>
      <c r="HQ9" s="1984"/>
      <c r="HR9" s="1984"/>
      <c r="HS9" s="1984"/>
      <c r="HT9" s="1984"/>
      <c r="HU9" s="1984"/>
      <c r="HV9" s="1984"/>
      <c r="HW9" s="1984"/>
      <c r="HX9" s="1984"/>
      <c r="HY9" s="1984"/>
      <c r="HZ9" s="1984"/>
      <c r="IA9" s="1984"/>
      <c r="IB9" s="1984"/>
      <c r="IC9" s="1984"/>
      <c r="ID9" s="1984"/>
      <c r="IE9" s="1984"/>
      <c r="IF9" s="1984"/>
      <c r="IG9" s="1984"/>
      <c r="IH9" s="1984"/>
      <c r="II9" s="1984"/>
      <c r="IJ9" s="1984"/>
      <c r="IK9" s="1984"/>
      <c r="IL9" s="1984"/>
      <c r="IM9" s="1984"/>
      <c r="IN9" s="1984"/>
      <c r="IO9" s="1984"/>
      <c r="IP9" s="1984"/>
      <c r="IQ9" s="1984"/>
      <c r="IR9" s="1984"/>
    </row>
    <row r="10" spans="1:252" s="1813" customFormat="1" ht="13.5" customHeight="1" x14ac:dyDescent="0.25">
      <c r="A10" s="1961" t="s">
        <v>7054</v>
      </c>
      <c r="B10" s="1962" t="s">
        <v>7863</v>
      </c>
      <c r="C10" s="1963" t="s">
        <v>7068</v>
      </c>
      <c r="D10" s="1964" t="s">
        <v>4384</v>
      </c>
      <c r="E10" s="1960" t="s">
        <v>1743</v>
      </c>
      <c r="F10" s="1965">
        <v>42223</v>
      </c>
      <c r="G10" s="1966">
        <v>42198</v>
      </c>
      <c r="H10" s="1965">
        <v>42216</v>
      </c>
      <c r="I10" s="1967">
        <v>44195</v>
      </c>
      <c r="J10" s="1989">
        <v>1000</v>
      </c>
      <c r="K10" s="1964" t="s">
        <v>3229</v>
      </c>
      <c r="L10" s="1968" t="s">
        <v>3229</v>
      </c>
      <c r="M10" s="1969">
        <v>-0.1</v>
      </c>
      <c r="N10" s="1970">
        <v>1</v>
      </c>
      <c r="O10" s="1971" t="s">
        <v>3229</v>
      </c>
      <c r="P10" s="3198" t="s">
        <v>3229</v>
      </c>
      <c r="Q10" s="3198" t="s">
        <v>3229</v>
      </c>
      <c r="R10" s="1972" t="s">
        <v>3229</v>
      </c>
      <c r="S10" s="1973"/>
      <c r="T10" s="1974" t="s">
        <v>3229</v>
      </c>
      <c r="U10" s="1974" t="s">
        <v>3229</v>
      </c>
      <c r="V10" s="1974" t="s">
        <v>3229</v>
      </c>
      <c r="W10" s="1974" t="s">
        <v>3229</v>
      </c>
      <c r="X10" s="1974" t="s">
        <v>3229</v>
      </c>
      <c r="Y10" s="1974" t="s">
        <v>3229</v>
      </c>
      <c r="Z10" s="1974" t="s">
        <v>3229</v>
      </c>
      <c r="AA10" s="1974" t="s">
        <v>3229</v>
      </c>
      <c r="AB10" s="1974" t="s">
        <v>3229</v>
      </c>
      <c r="AC10" s="1974" t="s">
        <v>3229</v>
      </c>
      <c r="AD10" s="1974" t="s">
        <v>3229</v>
      </c>
      <c r="AE10" s="1974" t="s">
        <v>3229</v>
      </c>
      <c r="AF10" s="1963" t="str">
        <f>IF(S10="","-",IF(T10="",S10,MAX(IF(T10&gt;indexy!$B$1,S10,S10-S10),IF(U10&gt;indexy!$B$1,S10-1,S10-S10),IF(V10&gt;indexy!$B$1,S10-2,S10-S10),IF(W10&gt;indexy!$B$1,S10-3,S10-S10),IF(X10&gt;indexy!$B$1,S10-4,S10-S10),IF(Y10&gt;indexy!$B$1,S10-5,S10-S10),IF(Z10&gt;indexy!$B$1,S10-6,S10-S10),IF(AA10&gt;indexy!$B$1,S10-7,S10-S10),IF(AB10&gt;indexy!$B$1,S10-8,S10-S10),IF(AC10&gt;indexy!$B$1,S10-9,S10-S10),IF(AD10&gt;indexy!$B$1,S10-10,S10-S10),IF(AE10&gt;indexy!$B$1,S10-11,S10-S10))))</f>
        <v>-</v>
      </c>
      <c r="AG10" s="3415" t="s">
        <v>10636</v>
      </c>
      <c r="AH10" s="1976" t="s">
        <v>3229</v>
      </c>
      <c r="AI10" s="1976" t="s">
        <v>3229</v>
      </c>
      <c r="AJ10" s="1976" t="s">
        <v>3229</v>
      </c>
      <c r="AK10" s="1976" t="s">
        <v>3229</v>
      </c>
      <c r="AL10" s="1976" t="s">
        <v>3229</v>
      </c>
      <c r="AM10" s="1977">
        <v>1</v>
      </c>
      <c r="AN10" s="2349">
        <f>'klikací hodnoty2'!F443</f>
        <v>-9.1404999999999972E-2</v>
      </c>
      <c r="AO10" s="1979">
        <v>908.6</v>
      </c>
      <c r="AP10" s="2349">
        <f>'klikací hodnoty2'!F442</f>
        <v>-9.1404999999999972E-2</v>
      </c>
      <c r="AQ10" s="2349">
        <f>'klikací hodnoty2'!F435</f>
        <v>-4.547922124067412E-2</v>
      </c>
      <c r="AR10" s="3915" t="s">
        <v>3660</v>
      </c>
      <c r="AS10" s="3916"/>
      <c r="AT10" s="3916"/>
      <c r="AU10" s="3806"/>
      <c r="AV10" s="1980">
        <f>M10</f>
        <v>-0.1</v>
      </c>
      <c r="AW10" s="1981">
        <f>POWER(1+AV10,1/((I10-F10)/365))-1</f>
        <v>-1.931239194731138E-2</v>
      </c>
      <c r="AX10" s="3012">
        <f>IF(AO10="","",J10*(1+AV10)/AO10-1)</f>
        <v>-9.4651111600264626E-3</v>
      </c>
      <c r="AY10" s="2097"/>
      <c r="AZ10" s="1983">
        <f>J10*(1+AV10)</f>
        <v>900</v>
      </c>
      <c r="BB10" s="1973"/>
      <c r="BC10" s="2965"/>
      <c r="BD10" s="3431"/>
      <c r="BE10" s="3434"/>
      <c r="BF10" s="3434"/>
      <c r="BG10" s="3434"/>
      <c r="BH10" s="1985"/>
      <c r="BI10" s="1986"/>
      <c r="BJ10" s="1984"/>
      <c r="BK10" s="1984"/>
      <c r="BL10" s="1984"/>
      <c r="BM10" s="1984"/>
      <c r="BN10" s="1984"/>
      <c r="BO10" s="1984"/>
      <c r="BP10" s="1984"/>
      <c r="BQ10" s="1984"/>
      <c r="BR10" s="1984"/>
      <c r="BS10" s="1984"/>
      <c r="BT10" s="1984"/>
      <c r="BU10" s="1984"/>
      <c r="BV10" s="1984"/>
      <c r="BW10" s="1984"/>
      <c r="BX10" s="1984"/>
      <c r="BY10" s="1984"/>
      <c r="BZ10" s="1984"/>
      <c r="CA10" s="1984"/>
      <c r="CB10" s="1984"/>
      <c r="CC10" s="1984"/>
      <c r="CD10" s="1984"/>
      <c r="CE10" s="1984"/>
      <c r="CF10" s="1984"/>
      <c r="CG10" s="1984"/>
      <c r="CH10" s="1984"/>
      <c r="CI10" s="1984"/>
      <c r="CJ10" s="1984"/>
      <c r="CK10" s="1984"/>
      <c r="CL10" s="1984"/>
      <c r="CM10" s="1984"/>
      <c r="CN10" s="1984"/>
      <c r="CO10" s="1984"/>
      <c r="CP10" s="1984"/>
      <c r="CQ10" s="1984"/>
      <c r="CR10" s="1984"/>
      <c r="CS10" s="1984"/>
      <c r="CT10" s="1984"/>
      <c r="CU10" s="1984"/>
      <c r="CV10" s="1984"/>
      <c r="CW10" s="1984"/>
      <c r="CX10" s="1984"/>
      <c r="CY10" s="1984"/>
      <c r="CZ10" s="1984"/>
      <c r="DA10" s="1984"/>
      <c r="DB10" s="1984"/>
      <c r="DC10" s="1984"/>
      <c r="DD10" s="1984"/>
      <c r="DE10" s="1984"/>
      <c r="DF10" s="1984"/>
      <c r="DG10" s="1984"/>
      <c r="DH10" s="1984"/>
      <c r="DI10" s="1984"/>
      <c r="DJ10" s="1984"/>
      <c r="DK10" s="1984"/>
      <c r="DL10" s="1984"/>
      <c r="DM10" s="1984"/>
      <c r="DN10" s="1984"/>
      <c r="DO10" s="1984"/>
      <c r="DP10" s="1984"/>
      <c r="DQ10" s="1984"/>
      <c r="DR10" s="1984"/>
      <c r="DS10" s="1984"/>
      <c r="DT10" s="1984"/>
      <c r="DU10" s="1984"/>
      <c r="DV10" s="1984"/>
      <c r="DW10" s="1984"/>
      <c r="DX10" s="1984"/>
      <c r="DY10" s="1984"/>
      <c r="DZ10" s="1984"/>
      <c r="EA10" s="1984"/>
      <c r="EB10" s="1984"/>
      <c r="EC10" s="1984"/>
      <c r="ED10" s="1984"/>
      <c r="EE10" s="1984"/>
      <c r="EF10" s="1984"/>
      <c r="EG10" s="1984"/>
      <c r="EH10" s="1984"/>
      <c r="EI10" s="1984"/>
      <c r="EJ10" s="1984"/>
      <c r="EK10" s="1984"/>
      <c r="EL10" s="1984"/>
      <c r="EM10" s="1984"/>
      <c r="EN10" s="1984"/>
      <c r="EO10" s="1984"/>
      <c r="EP10" s="1984"/>
      <c r="EQ10" s="1984"/>
      <c r="ER10" s="1984"/>
      <c r="ES10" s="1984"/>
      <c r="ET10" s="1984"/>
      <c r="EU10" s="1984"/>
      <c r="EV10" s="1984"/>
      <c r="EW10" s="1984"/>
      <c r="EX10" s="1984"/>
      <c r="EY10" s="1984"/>
      <c r="EZ10" s="1984"/>
      <c r="FA10" s="1984"/>
      <c r="FB10" s="1984"/>
      <c r="FC10" s="1984"/>
      <c r="FD10" s="1984"/>
      <c r="FE10" s="1984"/>
      <c r="FF10" s="1984"/>
      <c r="FG10" s="1984"/>
      <c r="FH10" s="1984"/>
      <c r="FI10" s="1984"/>
      <c r="FJ10" s="1984"/>
      <c r="FK10" s="1984"/>
      <c r="FL10" s="1984"/>
      <c r="FM10" s="1984"/>
      <c r="FN10" s="1984"/>
      <c r="FO10" s="1984"/>
      <c r="FP10" s="1984"/>
      <c r="FQ10" s="1984"/>
      <c r="FR10" s="1984"/>
      <c r="FS10" s="1984"/>
      <c r="FT10" s="1984"/>
      <c r="FU10" s="1984"/>
      <c r="FV10" s="1984"/>
      <c r="FW10" s="1984"/>
      <c r="FX10" s="1984"/>
      <c r="FY10" s="1984"/>
      <c r="FZ10" s="1984"/>
      <c r="GA10" s="1984"/>
      <c r="GB10" s="1984"/>
      <c r="GC10" s="1984"/>
      <c r="GD10" s="1984"/>
      <c r="GE10" s="1984"/>
      <c r="GF10" s="1984"/>
      <c r="GG10" s="1984"/>
      <c r="GH10" s="1984"/>
      <c r="GI10" s="1984"/>
      <c r="GJ10" s="1984"/>
      <c r="GK10" s="1984"/>
      <c r="GL10" s="1984"/>
      <c r="GM10" s="1984"/>
      <c r="GN10" s="1984"/>
      <c r="GO10" s="1984"/>
      <c r="GP10" s="1984"/>
      <c r="GQ10" s="1984"/>
      <c r="GR10" s="1984"/>
      <c r="GS10" s="1984"/>
      <c r="GT10" s="1984"/>
      <c r="GU10" s="1984"/>
      <c r="GV10" s="1984"/>
      <c r="GW10" s="1984"/>
      <c r="GX10" s="1984"/>
      <c r="GY10" s="1984"/>
      <c r="GZ10" s="1984"/>
      <c r="HA10" s="1984"/>
      <c r="HB10" s="1984"/>
      <c r="HC10" s="1984"/>
      <c r="HD10" s="1984"/>
      <c r="HE10" s="1984"/>
      <c r="HF10" s="1984"/>
      <c r="HG10" s="1984"/>
      <c r="HH10" s="1984"/>
      <c r="HI10" s="1984"/>
      <c r="HJ10" s="1984"/>
      <c r="HK10" s="1984"/>
      <c r="HL10" s="1984"/>
      <c r="HM10" s="1984"/>
      <c r="HN10" s="1984"/>
      <c r="HO10" s="1984"/>
      <c r="HP10" s="1984"/>
      <c r="HQ10" s="1984"/>
      <c r="HR10" s="1984"/>
      <c r="HS10" s="1984"/>
      <c r="HT10" s="1984"/>
      <c r="HU10" s="1984"/>
      <c r="HV10" s="1984"/>
      <c r="HW10" s="1984"/>
      <c r="HX10" s="1984"/>
      <c r="HY10" s="1984"/>
      <c r="HZ10" s="1984"/>
      <c r="IA10" s="1984"/>
      <c r="IB10" s="1984"/>
      <c r="IC10" s="1984"/>
      <c r="ID10" s="1984"/>
      <c r="IE10" s="1984"/>
      <c r="IF10" s="1984"/>
      <c r="IG10" s="1984"/>
      <c r="IH10" s="1984"/>
      <c r="II10" s="1984"/>
      <c r="IJ10" s="1984"/>
      <c r="IK10" s="1984"/>
      <c r="IL10" s="1984"/>
      <c r="IM10" s="1984"/>
      <c r="IN10" s="1984"/>
      <c r="IO10" s="1984"/>
      <c r="IP10" s="1984"/>
      <c r="IQ10" s="1984"/>
      <c r="IR10" s="1984"/>
    </row>
    <row r="11" spans="1:252" s="1813" customFormat="1" ht="13.5" customHeight="1" x14ac:dyDescent="0.25">
      <c r="A11" s="1961" t="s">
        <v>8235</v>
      </c>
      <c r="B11" s="1962" t="s">
        <v>8235</v>
      </c>
      <c r="C11" s="1963" t="s">
        <v>8137</v>
      </c>
      <c r="D11" s="1964" t="s">
        <v>1872</v>
      </c>
      <c r="E11" s="1960" t="s">
        <v>1743</v>
      </c>
      <c r="F11" s="1965">
        <v>42558</v>
      </c>
      <c r="G11" s="1966">
        <v>42534</v>
      </c>
      <c r="H11" s="1965">
        <v>42552</v>
      </c>
      <c r="I11" s="1967">
        <v>44225</v>
      </c>
      <c r="J11" s="1989">
        <v>1000</v>
      </c>
      <c r="K11" s="1964" t="s">
        <v>3229</v>
      </c>
      <c r="L11" s="1968" t="s">
        <v>3229</v>
      </c>
      <c r="M11" s="1969">
        <v>0</v>
      </c>
      <c r="N11" s="1970">
        <v>1</v>
      </c>
      <c r="O11" s="1971">
        <v>0.5</v>
      </c>
      <c r="P11" s="3198" t="s">
        <v>3229</v>
      </c>
      <c r="Q11" s="3198" t="s">
        <v>3229</v>
      </c>
      <c r="R11" s="1972" t="s">
        <v>3229</v>
      </c>
      <c r="S11" s="1973"/>
      <c r="T11" s="1974" t="s">
        <v>3229</v>
      </c>
      <c r="U11" s="1974" t="s">
        <v>3229</v>
      </c>
      <c r="V11" s="1974" t="s">
        <v>3229</v>
      </c>
      <c r="W11" s="1974" t="s">
        <v>3229</v>
      </c>
      <c r="X11" s="1974" t="s">
        <v>3229</v>
      </c>
      <c r="Y11" s="1974" t="s">
        <v>3229</v>
      </c>
      <c r="Z11" s="1974" t="s">
        <v>3229</v>
      </c>
      <c r="AA11" s="1974" t="s">
        <v>3229</v>
      </c>
      <c r="AB11" s="1974" t="s">
        <v>3229</v>
      </c>
      <c r="AC11" s="1974" t="s">
        <v>3229</v>
      </c>
      <c r="AD11" s="1974" t="s">
        <v>3229</v>
      </c>
      <c r="AE11" s="1974" t="s">
        <v>3229</v>
      </c>
      <c r="AF11" s="1963" t="str">
        <f>IF(S11="","-",IF(T11="",S11,MAX(IF(T11&gt;indexy!$B$1,S11,S11-S11),IF(U11&gt;indexy!$B$1,S11-1,S11-S11),IF(V11&gt;indexy!$B$1,S11-2,S11-S11),IF(W11&gt;indexy!$B$1,S11-3,S11-S11),IF(X11&gt;indexy!$B$1,S11-4,S11-S11),IF(Y11&gt;indexy!$B$1,S11-5,S11-S11),IF(Z11&gt;indexy!$B$1,S11-6,S11-S11),IF(AA11&gt;indexy!$B$1,S11-7,S11-S11),IF(AB11&gt;indexy!$B$1,S11-8,S11-S11),IF(AC11&gt;indexy!$B$1,S11-9,S11-S11),IF(AD11&gt;indexy!$B$1,S11-10,S11-S11),IF(AE11&gt;indexy!$B$1,S11-11,S11-S11))))</f>
        <v>-</v>
      </c>
      <c r="AG11" s="3415" t="s">
        <v>10636</v>
      </c>
      <c r="AH11" s="1976" t="s">
        <v>3229</v>
      </c>
      <c r="AI11" s="1976" t="s">
        <v>3229</v>
      </c>
      <c r="AJ11" s="1976" t="s">
        <v>3229</v>
      </c>
      <c r="AK11" s="1976" t="s">
        <v>3229</v>
      </c>
      <c r="AL11" s="1976" t="s">
        <v>3229</v>
      </c>
      <c r="AM11" s="1977">
        <v>1</v>
      </c>
      <c r="AN11" s="2349">
        <f>+'klikací hodnoty2'!F1184</f>
        <v>3.7471301685953495E-3</v>
      </c>
      <c r="AO11" s="1979">
        <v>1000</v>
      </c>
      <c r="AP11" s="2349">
        <f>+'klikací hodnoty2'!E1183</f>
        <v>-0.60622773756176029</v>
      </c>
      <c r="AQ11" s="2349">
        <f>+'klikací hodnoty2'!F1170</f>
        <v>1.2413762367412429E-2</v>
      </c>
      <c r="AR11" s="3915">
        <f t="shared" ref="AR11" si="4">O11</f>
        <v>0.5</v>
      </c>
      <c r="AS11" s="3916">
        <f t="shared" ref="AS11" si="5">POWER(1+AR11,1/((I11-F11)/365))-1</f>
        <v>9.2839224596992453E-2</v>
      </c>
      <c r="AT11" s="3916">
        <f>IF(AO11="","",J11*(1+AR11)/AO11-1)</f>
        <v>0.5</v>
      </c>
      <c r="AU11" s="3806" t="e">
        <f>IF(AT11="","",POWER(1+AT11,1/AG11)-1)</f>
        <v>#VALUE!</v>
      </c>
      <c r="AV11" s="1980">
        <f t="shared" ref="AV11" si="6">M11</f>
        <v>0</v>
      </c>
      <c r="AW11" s="1981">
        <f t="shared" ref="AW11" si="7">POWER(1+AV11,1/((I11-F11)/365))-1</f>
        <v>0</v>
      </c>
      <c r="AX11" s="3012">
        <f t="shared" ref="AX11" si="8">IF(AO11="","",J11*(1+AV11)/AO11-1)</f>
        <v>0</v>
      </c>
      <c r="AY11" s="2097"/>
      <c r="AZ11" s="1983">
        <f t="shared" ref="AZ11" si="9">J11*(1+AV11)</f>
        <v>1000</v>
      </c>
      <c r="BB11" s="1973"/>
      <c r="BC11" s="2965"/>
      <c r="BD11" s="3431"/>
      <c r="BE11" s="3434"/>
      <c r="BF11" s="3434"/>
      <c r="BG11" s="3434"/>
      <c r="BH11" s="1985"/>
      <c r="BI11" s="1986"/>
      <c r="BJ11" s="1984"/>
      <c r="BK11" s="1984"/>
      <c r="BL11" s="1984"/>
      <c r="BM11" s="1984"/>
      <c r="BN11" s="1984"/>
      <c r="BO11" s="1984"/>
      <c r="BP11" s="1984"/>
      <c r="BQ11" s="1984"/>
      <c r="BR11" s="1984"/>
      <c r="BS11" s="1984"/>
      <c r="BT11" s="1984"/>
      <c r="BU11" s="1984"/>
      <c r="BV11" s="1984"/>
      <c r="BW11" s="1984"/>
      <c r="BX11" s="1984"/>
      <c r="BY11" s="1984"/>
      <c r="BZ11" s="1984"/>
      <c r="CA11" s="1984"/>
      <c r="CB11" s="1984"/>
      <c r="CC11" s="1984"/>
      <c r="CD11" s="1984"/>
      <c r="CE11" s="1984"/>
      <c r="CF11" s="1984"/>
      <c r="CG11" s="1984"/>
      <c r="CH11" s="1984"/>
      <c r="CI11" s="1984"/>
      <c r="CJ11" s="1984"/>
      <c r="CK11" s="1984"/>
      <c r="CL11" s="1984"/>
      <c r="CM11" s="1984"/>
      <c r="CN11" s="1984"/>
      <c r="CO11" s="1984"/>
      <c r="CP11" s="1984"/>
      <c r="CQ11" s="1984"/>
      <c r="CR11" s="1984"/>
      <c r="CS11" s="1984"/>
      <c r="CT11" s="1984"/>
      <c r="CU11" s="1984"/>
      <c r="CV11" s="1984"/>
      <c r="CW11" s="1984"/>
      <c r="CX11" s="1984"/>
      <c r="CY11" s="1984"/>
      <c r="CZ11" s="1984"/>
      <c r="DA11" s="1984"/>
      <c r="DB11" s="1984"/>
      <c r="DC11" s="1984"/>
      <c r="DD11" s="1984"/>
      <c r="DE11" s="1984"/>
      <c r="DF11" s="1984"/>
      <c r="DG11" s="1984"/>
      <c r="DH11" s="1984"/>
      <c r="DI11" s="1984"/>
      <c r="DJ11" s="1984"/>
      <c r="DK11" s="1984"/>
      <c r="DL11" s="1984"/>
      <c r="DM11" s="1984"/>
      <c r="DN11" s="1984"/>
      <c r="DO11" s="1984"/>
      <c r="DP11" s="1984"/>
      <c r="DQ11" s="1984"/>
      <c r="DR11" s="1984"/>
      <c r="DS11" s="1984"/>
      <c r="DT11" s="1984"/>
      <c r="DU11" s="1984"/>
      <c r="DV11" s="1984"/>
      <c r="DW11" s="1984"/>
      <c r="DX11" s="1984"/>
      <c r="DY11" s="1984"/>
      <c r="DZ11" s="1984"/>
      <c r="EA11" s="1984"/>
      <c r="EB11" s="1984"/>
      <c r="EC11" s="1984"/>
      <c r="ED11" s="1984"/>
      <c r="EE11" s="1984"/>
      <c r="EF11" s="1984"/>
      <c r="EG11" s="1984"/>
      <c r="EH11" s="1984"/>
      <c r="EI11" s="1984"/>
      <c r="EJ11" s="1984"/>
      <c r="EK11" s="1984"/>
      <c r="EL11" s="1984"/>
      <c r="EM11" s="1984"/>
      <c r="EN11" s="1984"/>
      <c r="EO11" s="1984"/>
      <c r="EP11" s="1984"/>
      <c r="EQ11" s="1984"/>
      <c r="ER11" s="1984"/>
      <c r="ES11" s="1984"/>
      <c r="ET11" s="1984"/>
      <c r="EU11" s="1984"/>
      <c r="EV11" s="1984"/>
      <c r="EW11" s="1984"/>
      <c r="EX11" s="1984"/>
      <c r="EY11" s="1984"/>
      <c r="EZ11" s="1984"/>
      <c r="FA11" s="1984"/>
      <c r="FB11" s="1984"/>
      <c r="FC11" s="1984"/>
      <c r="FD11" s="1984"/>
      <c r="FE11" s="1984"/>
      <c r="FF11" s="1984"/>
      <c r="FG11" s="1984"/>
      <c r="FH11" s="1984"/>
      <c r="FI11" s="1984"/>
      <c r="FJ11" s="1984"/>
      <c r="FK11" s="1984"/>
      <c r="FL11" s="1984"/>
      <c r="FM11" s="1984"/>
      <c r="FN11" s="1984"/>
      <c r="FO11" s="1984"/>
      <c r="FP11" s="1984"/>
      <c r="FQ11" s="1984"/>
      <c r="FR11" s="1984"/>
      <c r="FS11" s="1984"/>
      <c r="FT11" s="1984"/>
      <c r="FU11" s="1984"/>
      <c r="FV11" s="1984"/>
      <c r="FW11" s="1984"/>
      <c r="FX11" s="1984"/>
      <c r="FY11" s="1984"/>
      <c r="FZ11" s="1984"/>
      <c r="GA11" s="1984"/>
      <c r="GB11" s="1984"/>
      <c r="GC11" s="1984"/>
      <c r="GD11" s="1984"/>
      <c r="GE11" s="1984"/>
      <c r="GF11" s="1984"/>
      <c r="GG11" s="1984"/>
      <c r="GH11" s="1984"/>
      <c r="GI11" s="1984"/>
      <c r="GJ11" s="1984"/>
      <c r="GK11" s="1984"/>
      <c r="GL11" s="1984"/>
      <c r="GM11" s="1984"/>
      <c r="GN11" s="1984"/>
      <c r="GO11" s="1984"/>
      <c r="GP11" s="1984"/>
      <c r="GQ11" s="1984"/>
      <c r="GR11" s="1984"/>
      <c r="GS11" s="1984"/>
      <c r="GT11" s="1984"/>
      <c r="GU11" s="1984"/>
      <c r="GV11" s="1984"/>
      <c r="GW11" s="1984"/>
      <c r="GX11" s="1984"/>
      <c r="GY11" s="1984"/>
      <c r="GZ11" s="1984"/>
      <c r="HA11" s="1984"/>
      <c r="HB11" s="1984"/>
      <c r="HC11" s="1984"/>
      <c r="HD11" s="1984"/>
      <c r="HE11" s="1984"/>
      <c r="HF11" s="1984"/>
      <c r="HG11" s="1984"/>
      <c r="HH11" s="1984"/>
      <c r="HI11" s="1984"/>
      <c r="HJ11" s="1984"/>
      <c r="HK11" s="1984"/>
      <c r="HL11" s="1984"/>
      <c r="HM11" s="1984"/>
      <c r="HN11" s="1984"/>
      <c r="HO11" s="1984"/>
      <c r="HP11" s="1984"/>
      <c r="HQ11" s="1984"/>
      <c r="HR11" s="1984"/>
      <c r="HS11" s="1984"/>
      <c r="HT11" s="1984"/>
      <c r="HU11" s="1984"/>
      <c r="HV11" s="1984"/>
      <c r="HW11" s="1984"/>
      <c r="HX11" s="1984"/>
      <c r="HY11" s="1984"/>
      <c r="HZ11" s="1984"/>
      <c r="IA11" s="1984"/>
      <c r="IB11" s="1984"/>
      <c r="IC11" s="1984"/>
      <c r="ID11" s="1984"/>
      <c r="IE11" s="1984"/>
      <c r="IF11" s="1984"/>
      <c r="IG11" s="1984"/>
      <c r="IH11" s="1984"/>
      <c r="II11" s="1984"/>
      <c r="IJ11" s="1984"/>
      <c r="IK11" s="1984"/>
      <c r="IL11" s="1984"/>
      <c r="IM11" s="1984"/>
      <c r="IN11" s="1984"/>
      <c r="IO11" s="1984"/>
      <c r="IP11" s="1984"/>
      <c r="IQ11" s="1984"/>
      <c r="IR11" s="1984"/>
    </row>
    <row r="12" spans="1:252" s="1813" customFormat="1" ht="13.5" customHeight="1" x14ac:dyDescent="0.25">
      <c r="A12" s="1961" t="s">
        <v>7636</v>
      </c>
      <c r="B12" s="1962" t="s">
        <v>7636</v>
      </c>
      <c r="C12" s="1963" t="s">
        <v>7637</v>
      </c>
      <c r="D12" s="1964" t="s">
        <v>4384</v>
      </c>
      <c r="E12" s="1960" t="s">
        <v>905</v>
      </c>
      <c r="F12" s="1965">
        <v>41919</v>
      </c>
      <c r="G12" s="1966">
        <v>41890</v>
      </c>
      <c r="H12" s="1965">
        <v>41908</v>
      </c>
      <c r="I12" s="1967">
        <v>44286</v>
      </c>
      <c r="J12" s="1989">
        <v>1000</v>
      </c>
      <c r="K12" s="1964" t="s">
        <v>3229</v>
      </c>
      <c r="L12" s="1968" t="s">
        <v>3229</v>
      </c>
      <c r="M12" s="1969">
        <v>-1</v>
      </c>
      <c r="N12" s="1970">
        <v>1</v>
      </c>
      <c r="O12" s="1971" t="s">
        <v>3229</v>
      </c>
      <c r="P12" s="3198" t="s">
        <v>3229</v>
      </c>
      <c r="Q12" s="3198" t="s">
        <v>3229</v>
      </c>
      <c r="R12" s="1972" t="s">
        <v>3229</v>
      </c>
      <c r="S12" s="1973"/>
      <c r="T12" s="1974" t="s">
        <v>3229</v>
      </c>
      <c r="U12" s="1974" t="s">
        <v>3229</v>
      </c>
      <c r="V12" s="1974" t="s">
        <v>3229</v>
      </c>
      <c r="W12" s="1974" t="s">
        <v>3229</v>
      </c>
      <c r="X12" s="1974" t="s">
        <v>3229</v>
      </c>
      <c r="Y12" s="1974" t="s">
        <v>3229</v>
      </c>
      <c r="Z12" s="1974" t="s">
        <v>3229</v>
      </c>
      <c r="AA12" s="1974" t="s">
        <v>3229</v>
      </c>
      <c r="AB12" s="1974" t="s">
        <v>3229</v>
      </c>
      <c r="AC12" s="1974" t="s">
        <v>3229</v>
      </c>
      <c r="AD12" s="1974" t="s">
        <v>3229</v>
      </c>
      <c r="AE12" s="1974" t="s">
        <v>3229</v>
      </c>
      <c r="AF12" s="1963" t="str">
        <f>IF(S12="","-",IF(T12="",S12,MAX(IF(T12&gt;indexy!$B$1,S12,S12-S12),IF(U12&gt;indexy!$B$1,S12-1,S12-S12),IF(V12&gt;indexy!$B$1,S12-2,S12-S12),IF(W12&gt;indexy!$B$1,S12-3,S12-S12),IF(X12&gt;indexy!$B$1,S12-4,S12-S12),IF(Y12&gt;indexy!$B$1,S12-5,S12-S12),IF(Z12&gt;indexy!$B$1,S12-6,S12-S12),IF(AA12&gt;indexy!$B$1,S12-7,S12-S12),IF(AB12&gt;indexy!$B$1,S12-8,S12-S12),IF(AC12&gt;indexy!$B$1,S12-9,S12-S12),IF(AD12&gt;indexy!$B$1,S12-10,S12-S12),IF(AE12&gt;indexy!$B$1,S12-11,S12-S12))))</f>
        <v>-</v>
      </c>
      <c r="AG12" s="3415" t="s">
        <v>10636</v>
      </c>
      <c r="AH12" s="1976" t="s">
        <v>3229</v>
      </c>
      <c r="AI12" s="1976" t="s">
        <v>3229</v>
      </c>
      <c r="AJ12" s="1976" t="s">
        <v>3229</v>
      </c>
      <c r="AK12" s="1976" t="s">
        <v>3229</v>
      </c>
      <c r="AL12" s="1976" t="s">
        <v>3229</v>
      </c>
      <c r="AM12" s="1977">
        <v>1</v>
      </c>
      <c r="AN12" s="2349">
        <f>+'klikací hodnoty2'!F548</f>
        <v>8.3500000000000005E-2</v>
      </c>
      <c r="AO12" s="1979">
        <v>1083.5</v>
      </c>
      <c r="AP12" s="2349">
        <f>+'klikací hodnoty2'!F546</f>
        <v>8.3500000000000005E-2</v>
      </c>
      <c r="AQ12" s="2349">
        <f>+'klikací hodnoty2'!H547</f>
        <v>0.21924225014844723</v>
      </c>
      <c r="AR12" s="3915" t="s">
        <v>3660</v>
      </c>
      <c r="AS12" s="3916"/>
      <c r="AT12" s="3916"/>
      <c r="AU12" s="3806"/>
      <c r="AV12" s="1980">
        <f t="shared" ref="AV12:AV17" si="10">M12</f>
        <v>-1</v>
      </c>
      <c r="AW12" s="1981">
        <f t="shared" ref="AW12:AW17" si="11">POWER(1+AV12,1/((I12-F12)/365))-1</f>
        <v>-1</v>
      </c>
      <c r="AX12" s="3012">
        <f>IF(AO12="","",J12*(1+AV12)/AO12-1)</f>
        <v>-1</v>
      </c>
      <c r="AY12" s="2097"/>
      <c r="AZ12" s="1983">
        <f t="shared" ref="AZ12:AZ17" si="12">J12*(1+AV12)</f>
        <v>0</v>
      </c>
      <c r="BB12" s="1973"/>
      <c r="BC12" s="2965"/>
      <c r="BD12" s="3431"/>
      <c r="BE12" s="3434"/>
      <c r="BF12" s="3434"/>
      <c r="BG12" s="3434"/>
      <c r="BH12" s="1985"/>
      <c r="BI12" s="1986"/>
      <c r="BJ12" s="1984"/>
      <c r="BK12" s="1984"/>
      <c r="BL12" s="1984"/>
      <c r="BM12" s="1984"/>
      <c r="BN12" s="1984"/>
      <c r="BO12" s="1984"/>
      <c r="BP12" s="1984"/>
      <c r="BQ12" s="1984"/>
      <c r="BR12" s="1984"/>
      <c r="BS12" s="1984"/>
      <c r="BT12" s="1984"/>
      <c r="BU12" s="1984"/>
      <c r="BV12" s="1984"/>
      <c r="BW12" s="1984"/>
      <c r="BX12" s="1984"/>
      <c r="BY12" s="1984"/>
      <c r="BZ12" s="1984"/>
      <c r="CA12" s="1984"/>
      <c r="CB12" s="1984"/>
      <c r="CC12" s="1984"/>
      <c r="CD12" s="1984"/>
      <c r="CE12" s="1984"/>
      <c r="CF12" s="1984"/>
      <c r="CG12" s="1984"/>
      <c r="CH12" s="1984"/>
      <c r="CI12" s="1984"/>
      <c r="CJ12" s="1984"/>
      <c r="CK12" s="1984"/>
      <c r="CL12" s="1984"/>
      <c r="CM12" s="1984"/>
      <c r="CN12" s="1984"/>
      <c r="CO12" s="1984"/>
      <c r="CP12" s="1984"/>
      <c r="CQ12" s="1984"/>
      <c r="CR12" s="1984"/>
      <c r="CS12" s="1984"/>
      <c r="CT12" s="1984"/>
      <c r="CU12" s="1984"/>
      <c r="CV12" s="1984"/>
      <c r="CW12" s="1984"/>
      <c r="CX12" s="1984"/>
      <c r="CY12" s="1984"/>
      <c r="CZ12" s="1984"/>
      <c r="DA12" s="1984"/>
      <c r="DB12" s="1984"/>
      <c r="DC12" s="1984"/>
      <c r="DD12" s="1984"/>
      <c r="DE12" s="1984"/>
      <c r="DF12" s="1984"/>
      <c r="DG12" s="1984"/>
      <c r="DH12" s="1984"/>
      <c r="DI12" s="1984"/>
      <c r="DJ12" s="1984"/>
      <c r="DK12" s="1984"/>
      <c r="DL12" s="1984"/>
      <c r="DM12" s="1984"/>
      <c r="DN12" s="1984"/>
      <c r="DO12" s="1984"/>
      <c r="DP12" s="1984"/>
      <c r="DQ12" s="1984"/>
      <c r="DR12" s="1984"/>
      <c r="DS12" s="1984"/>
      <c r="DT12" s="1984"/>
      <c r="DU12" s="1984"/>
      <c r="DV12" s="1984"/>
      <c r="DW12" s="1984"/>
      <c r="DX12" s="1984"/>
      <c r="DY12" s="1984"/>
      <c r="DZ12" s="1984"/>
      <c r="EA12" s="1984"/>
      <c r="EB12" s="1984"/>
      <c r="EC12" s="1984"/>
      <c r="ED12" s="1984"/>
      <c r="EE12" s="1984"/>
      <c r="EF12" s="1984"/>
      <c r="EG12" s="1984"/>
      <c r="EH12" s="1984"/>
      <c r="EI12" s="1984"/>
      <c r="EJ12" s="1984"/>
      <c r="EK12" s="1984"/>
      <c r="EL12" s="1984"/>
      <c r="EM12" s="1984"/>
      <c r="EN12" s="1984"/>
      <c r="EO12" s="1984"/>
      <c r="EP12" s="1984"/>
      <c r="EQ12" s="1984"/>
      <c r="ER12" s="1984"/>
      <c r="ES12" s="1984"/>
      <c r="ET12" s="1984"/>
      <c r="EU12" s="1984"/>
      <c r="EV12" s="1984"/>
      <c r="EW12" s="1984"/>
      <c r="EX12" s="1984"/>
      <c r="EY12" s="1984"/>
      <c r="EZ12" s="1984"/>
      <c r="FA12" s="1984"/>
      <c r="FB12" s="1984"/>
      <c r="FC12" s="1984"/>
      <c r="FD12" s="1984"/>
      <c r="FE12" s="1984"/>
      <c r="FF12" s="1984"/>
      <c r="FG12" s="1984"/>
      <c r="FH12" s="1984"/>
      <c r="FI12" s="1984"/>
      <c r="FJ12" s="1984"/>
      <c r="FK12" s="1984"/>
      <c r="FL12" s="1984"/>
      <c r="FM12" s="1984"/>
      <c r="FN12" s="1984"/>
      <c r="FO12" s="1984"/>
      <c r="FP12" s="1984"/>
      <c r="FQ12" s="1984"/>
      <c r="FR12" s="1984"/>
      <c r="FS12" s="1984"/>
      <c r="FT12" s="1984"/>
      <c r="FU12" s="1984"/>
      <c r="FV12" s="1984"/>
      <c r="FW12" s="1984"/>
      <c r="FX12" s="1984"/>
      <c r="FY12" s="1984"/>
      <c r="FZ12" s="1984"/>
      <c r="GA12" s="1984"/>
      <c r="GB12" s="1984"/>
      <c r="GC12" s="1984"/>
      <c r="GD12" s="1984"/>
      <c r="GE12" s="1984"/>
      <c r="GF12" s="1984"/>
      <c r="GG12" s="1984"/>
      <c r="GH12" s="1984"/>
      <c r="GI12" s="1984"/>
      <c r="GJ12" s="1984"/>
      <c r="GK12" s="1984"/>
      <c r="GL12" s="1984"/>
      <c r="GM12" s="1984"/>
      <c r="GN12" s="1984"/>
      <c r="GO12" s="1984"/>
      <c r="GP12" s="1984"/>
      <c r="GQ12" s="1984"/>
      <c r="GR12" s="1984"/>
      <c r="GS12" s="1984"/>
      <c r="GT12" s="1984"/>
      <c r="GU12" s="1984"/>
      <c r="GV12" s="1984"/>
      <c r="GW12" s="1984"/>
      <c r="GX12" s="1984"/>
      <c r="GY12" s="1984"/>
      <c r="GZ12" s="1984"/>
      <c r="HA12" s="1984"/>
      <c r="HB12" s="1984"/>
      <c r="HC12" s="1984"/>
      <c r="HD12" s="1984"/>
      <c r="HE12" s="1984"/>
      <c r="HF12" s="1984"/>
      <c r="HG12" s="1984"/>
      <c r="HH12" s="1984"/>
      <c r="HI12" s="1984"/>
      <c r="HJ12" s="1984"/>
      <c r="HK12" s="1984"/>
      <c r="HL12" s="1984"/>
      <c r="HM12" s="1984"/>
      <c r="HN12" s="1984"/>
      <c r="HO12" s="1984"/>
      <c r="HP12" s="1984"/>
      <c r="HQ12" s="1984"/>
      <c r="HR12" s="1984"/>
      <c r="HS12" s="1984"/>
      <c r="HT12" s="1984"/>
      <c r="HU12" s="1984"/>
      <c r="HV12" s="1984"/>
      <c r="HW12" s="1984"/>
      <c r="HX12" s="1984"/>
      <c r="HY12" s="1984"/>
      <c r="HZ12" s="1984"/>
      <c r="IA12" s="1984"/>
      <c r="IB12" s="1984"/>
      <c r="IC12" s="1984"/>
      <c r="ID12" s="1984"/>
      <c r="IE12" s="1984"/>
      <c r="IF12" s="1984"/>
      <c r="IG12" s="1984"/>
      <c r="IH12" s="1984"/>
      <c r="II12" s="1984"/>
      <c r="IJ12" s="1984"/>
      <c r="IK12" s="1984"/>
      <c r="IL12" s="1984"/>
      <c r="IM12" s="1984"/>
      <c r="IN12" s="1984"/>
      <c r="IO12" s="1984"/>
      <c r="IP12" s="1984"/>
      <c r="IQ12" s="1984"/>
      <c r="IR12" s="1984"/>
    </row>
    <row r="13" spans="1:252" s="1813" customFormat="1" ht="13.5" customHeight="1" x14ac:dyDescent="0.25">
      <c r="A13" s="1961" t="s">
        <v>7055</v>
      </c>
      <c r="B13" s="1962" t="s">
        <v>7055</v>
      </c>
      <c r="C13" s="1963" t="s">
        <v>7071</v>
      </c>
      <c r="D13" s="1964" t="s">
        <v>1872</v>
      </c>
      <c r="E13" s="1960" t="s">
        <v>1743</v>
      </c>
      <c r="F13" s="1965">
        <v>42254</v>
      </c>
      <c r="G13" s="1966">
        <v>42229</v>
      </c>
      <c r="H13" s="1965">
        <v>42244</v>
      </c>
      <c r="I13" s="1967">
        <v>44286</v>
      </c>
      <c r="J13" s="1989">
        <v>1000</v>
      </c>
      <c r="K13" s="1964" t="s">
        <v>3229</v>
      </c>
      <c r="L13" s="1968" t="s">
        <v>3229</v>
      </c>
      <c r="M13" s="1969">
        <v>-0.1</v>
      </c>
      <c r="N13" s="1970">
        <v>1</v>
      </c>
      <c r="O13" s="1971">
        <v>0.75</v>
      </c>
      <c r="P13" s="3198" t="s">
        <v>3229</v>
      </c>
      <c r="Q13" s="3198" t="s">
        <v>3229</v>
      </c>
      <c r="R13" s="1972" t="s">
        <v>3229</v>
      </c>
      <c r="S13" s="1973"/>
      <c r="T13" s="1974" t="s">
        <v>3229</v>
      </c>
      <c r="U13" s="1974" t="s">
        <v>3229</v>
      </c>
      <c r="V13" s="1974" t="s">
        <v>3229</v>
      </c>
      <c r="W13" s="1974" t="s">
        <v>3229</v>
      </c>
      <c r="X13" s="1974" t="s">
        <v>3229</v>
      </c>
      <c r="Y13" s="1974" t="s">
        <v>3229</v>
      </c>
      <c r="Z13" s="1974" t="s">
        <v>3229</v>
      </c>
      <c r="AA13" s="1974" t="s">
        <v>3229</v>
      </c>
      <c r="AB13" s="1974" t="s">
        <v>3229</v>
      </c>
      <c r="AC13" s="1974" t="s">
        <v>3229</v>
      </c>
      <c r="AD13" s="1974" t="s">
        <v>3229</v>
      </c>
      <c r="AE13" s="1974" t="s">
        <v>3229</v>
      </c>
      <c r="AF13" s="1963" t="str">
        <f>IF(S13="","-",IF(T13="",S13,MAX(IF(T13&gt;indexy!$B$1,S13,S13-S13),IF(U13&gt;indexy!$B$1,S13-1,S13-S13),IF(V13&gt;indexy!$B$1,S13-2,S13-S13),IF(W13&gt;indexy!$B$1,S13-3,S13-S13),IF(X13&gt;indexy!$B$1,S13-4,S13-S13),IF(Y13&gt;indexy!$B$1,S13-5,S13-S13),IF(Z13&gt;indexy!$B$1,S13-6,S13-S13),IF(AA13&gt;indexy!$B$1,S13-7,S13-S13),IF(AB13&gt;indexy!$B$1,S13-8,S13-S13),IF(AC13&gt;indexy!$B$1,S13-9,S13-S13),IF(AD13&gt;indexy!$B$1,S13-10,S13-S13),IF(AE13&gt;indexy!$B$1,S13-11,S13-S13))))</f>
        <v>-</v>
      </c>
      <c r="AG13" s="3415" t="s">
        <v>10636</v>
      </c>
      <c r="AH13" s="1976" t="s">
        <v>3229</v>
      </c>
      <c r="AI13" s="1976" t="s">
        <v>3229</v>
      </c>
      <c r="AJ13" s="1976" t="s">
        <v>3229</v>
      </c>
      <c r="AK13" s="1976" t="s">
        <v>3229</v>
      </c>
      <c r="AL13" s="1976" t="s">
        <v>3229</v>
      </c>
      <c r="AM13" s="1977">
        <v>1</v>
      </c>
      <c r="AN13" s="2349">
        <f>+'klikací hodnoty2'!F543</f>
        <v>0.17395850000000004</v>
      </c>
      <c r="AO13" s="1979">
        <v>1174</v>
      </c>
      <c r="AP13" s="2349">
        <f>+'klikací hodnoty2'!E542</f>
        <v>0.17395850000000004</v>
      </c>
      <c r="AQ13" s="2349">
        <f>+'klikací hodnoty2'!F529</f>
        <v>0.29469765687224403</v>
      </c>
      <c r="AR13" s="3915">
        <f>O13</f>
        <v>0.75</v>
      </c>
      <c r="AS13" s="3916">
        <f>POWER(1+AR13,1/((I13-F13)/365))-1</f>
        <v>0.10574745561085486</v>
      </c>
      <c r="AT13" s="3916">
        <f>IF(AO13="","",J13*(1+AR13)/AO13-1)</f>
        <v>0.49063032367972736</v>
      </c>
      <c r="AU13" s="3806" t="e">
        <f>IF(AT13="","",POWER(1+AT13,1/AG13)-1)</f>
        <v>#VALUE!</v>
      </c>
      <c r="AV13" s="1980">
        <f t="shared" si="10"/>
        <v>-0.1</v>
      </c>
      <c r="AW13" s="1981">
        <f t="shared" si="11"/>
        <v>-1.8747523754423345E-2</v>
      </c>
      <c r="AX13" s="3012">
        <f>IF(AO13="","",J13*(1+AV13)/AO13-1)</f>
        <v>-0.23339011925042585</v>
      </c>
      <c r="AY13" s="2097"/>
      <c r="AZ13" s="1983">
        <f t="shared" si="12"/>
        <v>900</v>
      </c>
      <c r="BB13" s="1973"/>
      <c r="BC13" s="2965"/>
      <c r="BD13" s="3431"/>
      <c r="BE13" s="3434"/>
      <c r="BF13" s="3434"/>
      <c r="BG13" s="3434"/>
      <c r="BH13" s="1985"/>
      <c r="BI13" s="1986"/>
      <c r="BJ13" s="1984"/>
      <c r="BK13" s="1984"/>
      <c r="BL13" s="1984"/>
      <c r="BM13" s="1984"/>
      <c r="BN13" s="1984"/>
      <c r="BO13" s="1984"/>
      <c r="BP13" s="1984"/>
      <c r="BQ13" s="1984"/>
      <c r="BR13" s="1984"/>
      <c r="BS13" s="1984"/>
      <c r="BT13" s="1984"/>
      <c r="BU13" s="1984"/>
      <c r="BV13" s="1984"/>
      <c r="BW13" s="1984"/>
      <c r="BX13" s="1984"/>
      <c r="BY13" s="1984"/>
      <c r="BZ13" s="1984"/>
      <c r="CA13" s="1984"/>
      <c r="CB13" s="1984"/>
      <c r="CC13" s="1984"/>
      <c r="CD13" s="1984"/>
      <c r="CE13" s="1984"/>
      <c r="CF13" s="1984"/>
      <c r="CG13" s="1984"/>
      <c r="CH13" s="1984"/>
      <c r="CI13" s="1984"/>
      <c r="CJ13" s="1984"/>
      <c r="CK13" s="1984"/>
      <c r="CL13" s="1984"/>
      <c r="CM13" s="1984"/>
      <c r="CN13" s="1984"/>
      <c r="CO13" s="1984"/>
      <c r="CP13" s="1984"/>
      <c r="CQ13" s="1984"/>
      <c r="CR13" s="1984"/>
      <c r="CS13" s="1984"/>
      <c r="CT13" s="1984"/>
      <c r="CU13" s="1984"/>
      <c r="CV13" s="1984"/>
      <c r="CW13" s="1984"/>
      <c r="CX13" s="1984"/>
      <c r="CY13" s="1984"/>
      <c r="CZ13" s="1984"/>
      <c r="DA13" s="1984"/>
      <c r="DB13" s="1984"/>
      <c r="DC13" s="1984"/>
      <c r="DD13" s="1984"/>
      <c r="DE13" s="1984"/>
      <c r="DF13" s="1984"/>
      <c r="DG13" s="1984"/>
      <c r="DH13" s="1984"/>
      <c r="DI13" s="1984"/>
      <c r="DJ13" s="1984"/>
      <c r="DK13" s="1984"/>
      <c r="DL13" s="1984"/>
      <c r="DM13" s="1984"/>
      <c r="DN13" s="1984"/>
      <c r="DO13" s="1984"/>
      <c r="DP13" s="1984"/>
      <c r="DQ13" s="1984"/>
      <c r="DR13" s="1984"/>
      <c r="DS13" s="1984"/>
      <c r="DT13" s="1984"/>
      <c r="DU13" s="1984"/>
      <c r="DV13" s="1984"/>
      <c r="DW13" s="1984"/>
      <c r="DX13" s="1984"/>
      <c r="DY13" s="1984"/>
      <c r="DZ13" s="1984"/>
      <c r="EA13" s="1984"/>
      <c r="EB13" s="1984"/>
      <c r="EC13" s="1984"/>
      <c r="ED13" s="1984"/>
      <c r="EE13" s="1984"/>
      <c r="EF13" s="1984"/>
      <c r="EG13" s="1984"/>
      <c r="EH13" s="1984"/>
      <c r="EI13" s="1984"/>
      <c r="EJ13" s="1984"/>
      <c r="EK13" s="1984"/>
      <c r="EL13" s="1984"/>
      <c r="EM13" s="1984"/>
      <c r="EN13" s="1984"/>
      <c r="EO13" s="1984"/>
      <c r="EP13" s="1984"/>
      <c r="EQ13" s="1984"/>
      <c r="ER13" s="1984"/>
      <c r="ES13" s="1984"/>
      <c r="ET13" s="1984"/>
      <c r="EU13" s="1984"/>
      <c r="EV13" s="1984"/>
      <c r="EW13" s="1984"/>
      <c r="EX13" s="1984"/>
      <c r="EY13" s="1984"/>
      <c r="EZ13" s="1984"/>
      <c r="FA13" s="1984"/>
      <c r="FB13" s="1984"/>
      <c r="FC13" s="1984"/>
      <c r="FD13" s="1984"/>
      <c r="FE13" s="1984"/>
      <c r="FF13" s="1984"/>
      <c r="FG13" s="1984"/>
      <c r="FH13" s="1984"/>
      <c r="FI13" s="1984"/>
      <c r="FJ13" s="1984"/>
      <c r="FK13" s="1984"/>
      <c r="FL13" s="1984"/>
      <c r="FM13" s="1984"/>
      <c r="FN13" s="1984"/>
      <c r="FO13" s="1984"/>
      <c r="FP13" s="1984"/>
      <c r="FQ13" s="1984"/>
      <c r="FR13" s="1984"/>
      <c r="FS13" s="1984"/>
      <c r="FT13" s="1984"/>
      <c r="FU13" s="1984"/>
      <c r="FV13" s="1984"/>
      <c r="FW13" s="1984"/>
      <c r="FX13" s="1984"/>
      <c r="FY13" s="1984"/>
      <c r="FZ13" s="1984"/>
      <c r="GA13" s="1984"/>
      <c r="GB13" s="1984"/>
      <c r="GC13" s="1984"/>
      <c r="GD13" s="1984"/>
      <c r="GE13" s="1984"/>
      <c r="GF13" s="1984"/>
      <c r="GG13" s="1984"/>
      <c r="GH13" s="1984"/>
      <c r="GI13" s="1984"/>
      <c r="GJ13" s="1984"/>
      <c r="GK13" s="1984"/>
      <c r="GL13" s="1984"/>
      <c r="GM13" s="1984"/>
      <c r="GN13" s="1984"/>
      <c r="GO13" s="1984"/>
      <c r="GP13" s="1984"/>
      <c r="GQ13" s="1984"/>
      <c r="GR13" s="1984"/>
      <c r="GS13" s="1984"/>
      <c r="GT13" s="1984"/>
      <c r="GU13" s="1984"/>
      <c r="GV13" s="1984"/>
      <c r="GW13" s="1984"/>
      <c r="GX13" s="1984"/>
      <c r="GY13" s="1984"/>
      <c r="GZ13" s="1984"/>
      <c r="HA13" s="1984"/>
      <c r="HB13" s="1984"/>
      <c r="HC13" s="1984"/>
      <c r="HD13" s="1984"/>
      <c r="HE13" s="1984"/>
      <c r="HF13" s="1984"/>
      <c r="HG13" s="1984"/>
      <c r="HH13" s="1984"/>
      <c r="HI13" s="1984"/>
      <c r="HJ13" s="1984"/>
      <c r="HK13" s="1984"/>
      <c r="HL13" s="1984"/>
      <c r="HM13" s="1984"/>
      <c r="HN13" s="1984"/>
      <c r="HO13" s="1984"/>
      <c r="HP13" s="1984"/>
      <c r="HQ13" s="1984"/>
      <c r="HR13" s="1984"/>
      <c r="HS13" s="1984"/>
      <c r="HT13" s="1984"/>
      <c r="HU13" s="1984"/>
      <c r="HV13" s="1984"/>
      <c r="HW13" s="1984"/>
      <c r="HX13" s="1984"/>
      <c r="HY13" s="1984"/>
      <c r="HZ13" s="1984"/>
      <c r="IA13" s="1984"/>
      <c r="IB13" s="1984"/>
      <c r="IC13" s="1984"/>
      <c r="ID13" s="1984"/>
      <c r="IE13" s="1984"/>
      <c r="IF13" s="1984"/>
      <c r="IG13" s="1984"/>
      <c r="IH13" s="1984"/>
      <c r="II13" s="1984"/>
      <c r="IJ13" s="1984"/>
      <c r="IK13" s="1984"/>
      <c r="IL13" s="1984"/>
      <c r="IM13" s="1984"/>
      <c r="IN13" s="1984"/>
      <c r="IO13" s="1984"/>
      <c r="IP13" s="1984"/>
      <c r="IQ13" s="1984"/>
      <c r="IR13" s="1984"/>
    </row>
    <row r="14" spans="1:252" s="1813" customFormat="1" ht="13.5" customHeight="1" x14ac:dyDescent="0.25">
      <c r="A14" s="1961" t="s">
        <v>7703</v>
      </c>
      <c r="B14" s="1962" t="s">
        <v>7861</v>
      </c>
      <c r="C14" s="1963" t="s">
        <v>7702</v>
      </c>
      <c r="D14" s="1964" t="s">
        <v>1872</v>
      </c>
      <c r="E14" s="1960" t="s">
        <v>1743</v>
      </c>
      <c r="F14" s="1965">
        <v>42436</v>
      </c>
      <c r="G14" s="1966">
        <v>42415</v>
      </c>
      <c r="H14" s="1965">
        <v>42426</v>
      </c>
      <c r="I14" s="1967">
        <v>44286</v>
      </c>
      <c r="J14" s="1989">
        <v>1000</v>
      </c>
      <c r="K14" s="1964" t="s">
        <v>3229</v>
      </c>
      <c r="L14" s="1968" t="s">
        <v>3229</v>
      </c>
      <c r="M14" s="1969">
        <v>-1</v>
      </c>
      <c r="N14" s="1970">
        <v>1</v>
      </c>
      <c r="O14" s="1971" t="s">
        <v>3229</v>
      </c>
      <c r="P14" s="3198" t="s">
        <v>3229</v>
      </c>
      <c r="Q14" s="3198" t="s">
        <v>3229</v>
      </c>
      <c r="R14" s="1972" t="s">
        <v>3229</v>
      </c>
      <c r="S14" s="1973"/>
      <c r="T14" s="1974" t="s">
        <v>3229</v>
      </c>
      <c r="U14" s="1974" t="s">
        <v>3229</v>
      </c>
      <c r="V14" s="1974" t="s">
        <v>3229</v>
      </c>
      <c r="W14" s="1974" t="s">
        <v>3229</v>
      </c>
      <c r="X14" s="1974" t="s">
        <v>3229</v>
      </c>
      <c r="Y14" s="1974" t="s">
        <v>3229</v>
      </c>
      <c r="Z14" s="1974" t="s">
        <v>3229</v>
      </c>
      <c r="AA14" s="1974" t="s">
        <v>3229</v>
      </c>
      <c r="AB14" s="1974" t="s">
        <v>3229</v>
      </c>
      <c r="AC14" s="1974" t="s">
        <v>3229</v>
      </c>
      <c r="AD14" s="1974" t="s">
        <v>3229</v>
      </c>
      <c r="AE14" s="1974" t="s">
        <v>3229</v>
      </c>
      <c r="AF14" s="1963" t="str">
        <f>IF(S14="","-",IF(T14="",S14,MAX(IF(T14&gt;indexy!$B$1,S14,S14-S14),IF(U14&gt;indexy!$B$1,S14-1,S14-S14),IF(V14&gt;indexy!$B$1,S14-2,S14-S14),IF(W14&gt;indexy!$B$1,S14-3,S14-S14),IF(X14&gt;indexy!$B$1,S14-4,S14-S14),IF(Y14&gt;indexy!$B$1,S14-5,S14-S14),IF(Z14&gt;indexy!$B$1,S14-6,S14-S14),IF(AA14&gt;indexy!$B$1,S14-7,S14-S14),IF(AB14&gt;indexy!$B$1,S14-8,S14-S14),IF(AC14&gt;indexy!$B$1,S14-9,S14-S14),IF(AD14&gt;indexy!$B$1,S14-10,S14-S14),IF(AE14&gt;indexy!$B$1,S14-11,S14-S14))))</f>
        <v>-</v>
      </c>
      <c r="AG14" s="3415" t="s">
        <v>10636</v>
      </c>
      <c r="AH14" s="1976" t="s">
        <v>3229</v>
      </c>
      <c r="AI14" s="1976" t="s">
        <v>3229</v>
      </c>
      <c r="AJ14" s="1976" t="s">
        <v>3229</v>
      </c>
      <c r="AK14" s="1976" t="s">
        <v>3229</v>
      </c>
      <c r="AL14" s="1976" t="s">
        <v>3229</v>
      </c>
      <c r="AM14" s="1977">
        <v>1</v>
      </c>
      <c r="AN14" s="2349">
        <f>+'klikací hodnoty2'!F856</f>
        <v>7.4089999999999634E-3</v>
      </c>
      <c r="AO14" s="1979">
        <v>1007.4</v>
      </c>
      <c r="AP14" s="2349">
        <f>+'klikací hodnoty2'!F855</f>
        <v>7.4089999999999634E-3</v>
      </c>
      <c r="AQ14" s="2349">
        <f>+'klikací hodnoty2'!F848</f>
        <v>3.932278112553169E-2</v>
      </c>
      <c r="AR14" s="3915" t="s">
        <v>3660</v>
      </c>
      <c r="AS14" s="3916"/>
      <c r="AT14" s="3916"/>
      <c r="AU14" s="3806"/>
      <c r="AV14" s="1980">
        <f t="shared" si="10"/>
        <v>-1</v>
      </c>
      <c r="AW14" s="1981">
        <f t="shared" si="11"/>
        <v>-1</v>
      </c>
      <c r="AX14" s="3012">
        <f>IF(AO14="","",J14*(1+AV14)/AO14-1)</f>
        <v>-1</v>
      </c>
      <c r="AY14" s="2097"/>
      <c r="AZ14" s="1983">
        <f t="shared" si="12"/>
        <v>0</v>
      </c>
      <c r="BB14" s="1973"/>
      <c r="BC14" s="2965"/>
      <c r="BD14" s="3431"/>
      <c r="BE14" s="3434"/>
      <c r="BF14" s="3434"/>
      <c r="BG14" s="3434"/>
      <c r="BH14" s="1985"/>
      <c r="BI14" s="1986"/>
      <c r="BJ14" s="1984"/>
      <c r="BK14" s="1984"/>
      <c r="BL14" s="1984"/>
      <c r="BM14" s="1984"/>
      <c r="BN14" s="1984"/>
      <c r="BO14" s="1984"/>
      <c r="BP14" s="1984"/>
      <c r="BQ14" s="1984"/>
      <c r="BR14" s="1984"/>
      <c r="BS14" s="1984"/>
      <c r="BT14" s="1984"/>
      <c r="BU14" s="1984"/>
      <c r="BV14" s="1984"/>
      <c r="BW14" s="1984"/>
      <c r="BX14" s="1984"/>
      <c r="BY14" s="1984"/>
      <c r="BZ14" s="1984"/>
      <c r="CA14" s="1984"/>
      <c r="CB14" s="1984"/>
      <c r="CC14" s="1984"/>
      <c r="CD14" s="1984"/>
      <c r="CE14" s="1984"/>
      <c r="CF14" s="1984"/>
      <c r="CG14" s="1984"/>
      <c r="CH14" s="1984"/>
      <c r="CI14" s="1984"/>
      <c r="CJ14" s="1984"/>
      <c r="CK14" s="1984"/>
      <c r="CL14" s="1984"/>
      <c r="CM14" s="1984"/>
      <c r="CN14" s="1984"/>
      <c r="CO14" s="1984"/>
      <c r="CP14" s="1984"/>
      <c r="CQ14" s="1984"/>
      <c r="CR14" s="1984"/>
      <c r="CS14" s="1984"/>
      <c r="CT14" s="1984"/>
      <c r="CU14" s="1984"/>
      <c r="CV14" s="1984"/>
      <c r="CW14" s="1984"/>
      <c r="CX14" s="1984"/>
      <c r="CY14" s="1984"/>
      <c r="CZ14" s="1984"/>
      <c r="DA14" s="1984"/>
      <c r="DB14" s="1984"/>
      <c r="DC14" s="1984"/>
      <c r="DD14" s="1984"/>
      <c r="DE14" s="1984"/>
      <c r="DF14" s="1984"/>
      <c r="DG14" s="1984"/>
      <c r="DH14" s="1984"/>
      <c r="DI14" s="1984"/>
      <c r="DJ14" s="1984"/>
      <c r="DK14" s="1984"/>
      <c r="DL14" s="1984"/>
      <c r="DM14" s="1984"/>
      <c r="DN14" s="1984"/>
      <c r="DO14" s="1984"/>
      <c r="DP14" s="1984"/>
      <c r="DQ14" s="1984"/>
      <c r="DR14" s="1984"/>
      <c r="DS14" s="1984"/>
      <c r="DT14" s="1984"/>
      <c r="DU14" s="1984"/>
      <c r="DV14" s="1984"/>
      <c r="DW14" s="1984"/>
      <c r="DX14" s="1984"/>
      <c r="DY14" s="1984"/>
      <c r="DZ14" s="1984"/>
      <c r="EA14" s="1984"/>
      <c r="EB14" s="1984"/>
      <c r="EC14" s="1984"/>
      <c r="ED14" s="1984"/>
      <c r="EE14" s="1984"/>
      <c r="EF14" s="1984"/>
      <c r="EG14" s="1984"/>
      <c r="EH14" s="1984"/>
      <c r="EI14" s="1984"/>
      <c r="EJ14" s="1984"/>
      <c r="EK14" s="1984"/>
      <c r="EL14" s="1984"/>
      <c r="EM14" s="1984"/>
      <c r="EN14" s="1984"/>
      <c r="EO14" s="1984"/>
      <c r="EP14" s="1984"/>
      <c r="EQ14" s="1984"/>
      <c r="ER14" s="1984"/>
      <c r="ES14" s="1984"/>
      <c r="ET14" s="1984"/>
      <c r="EU14" s="1984"/>
      <c r="EV14" s="1984"/>
      <c r="EW14" s="1984"/>
      <c r="EX14" s="1984"/>
      <c r="EY14" s="1984"/>
      <c r="EZ14" s="1984"/>
      <c r="FA14" s="1984"/>
      <c r="FB14" s="1984"/>
      <c r="FC14" s="1984"/>
      <c r="FD14" s="1984"/>
      <c r="FE14" s="1984"/>
      <c r="FF14" s="1984"/>
      <c r="FG14" s="1984"/>
      <c r="FH14" s="1984"/>
      <c r="FI14" s="1984"/>
      <c r="FJ14" s="1984"/>
      <c r="FK14" s="1984"/>
      <c r="FL14" s="1984"/>
      <c r="FM14" s="1984"/>
      <c r="FN14" s="1984"/>
      <c r="FO14" s="1984"/>
      <c r="FP14" s="1984"/>
      <c r="FQ14" s="1984"/>
      <c r="FR14" s="1984"/>
      <c r="FS14" s="1984"/>
      <c r="FT14" s="1984"/>
      <c r="FU14" s="1984"/>
      <c r="FV14" s="1984"/>
      <c r="FW14" s="1984"/>
      <c r="FX14" s="1984"/>
      <c r="FY14" s="1984"/>
      <c r="FZ14" s="1984"/>
      <c r="GA14" s="1984"/>
      <c r="GB14" s="1984"/>
      <c r="GC14" s="1984"/>
      <c r="GD14" s="1984"/>
      <c r="GE14" s="1984"/>
      <c r="GF14" s="1984"/>
      <c r="GG14" s="1984"/>
      <c r="GH14" s="1984"/>
      <c r="GI14" s="1984"/>
      <c r="GJ14" s="1984"/>
      <c r="GK14" s="1984"/>
      <c r="GL14" s="1984"/>
      <c r="GM14" s="1984"/>
      <c r="GN14" s="1984"/>
      <c r="GO14" s="1984"/>
      <c r="GP14" s="1984"/>
      <c r="GQ14" s="1984"/>
      <c r="GR14" s="1984"/>
      <c r="GS14" s="1984"/>
      <c r="GT14" s="1984"/>
      <c r="GU14" s="1984"/>
      <c r="GV14" s="1984"/>
      <c r="GW14" s="1984"/>
      <c r="GX14" s="1984"/>
      <c r="GY14" s="1984"/>
      <c r="GZ14" s="1984"/>
      <c r="HA14" s="1984"/>
      <c r="HB14" s="1984"/>
      <c r="HC14" s="1984"/>
      <c r="HD14" s="1984"/>
      <c r="HE14" s="1984"/>
      <c r="HF14" s="1984"/>
      <c r="HG14" s="1984"/>
      <c r="HH14" s="1984"/>
      <c r="HI14" s="1984"/>
      <c r="HJ14" s="1984"/>
      <c r="HK14" s="1984"/>
      <c r="HL14" s="1984"/>
      <c r="HM14" s="1984"/>
      <c r="HN14" s="1984"/>
      <c r="HO14" s="1984"/>
      <c r="HP14" s="1984"/>
      <c r="HQ14" s="1984"/>
      <c r="HR14" s="1984"/>
      <c r="HS14" s="1984"/>
      <c r="HT14" s="1984"/>
      <c r="HU14" s="1984"/>
      <c r="HV14" s="1984"/>
      <c r="HW14" s="1984"/>
      <c r="HX14" s="1984"/>
      <c r="HY14" s="1984"/>
      <c r="HZ14" s="1984"/>
      <c r="IA14" s="1984"/>
      <c r="IB14" s="1984"/>
      <c r="IC14" s="1984"/>
      <c r="ID14" s="1984"/>
      <c r="IE14" s="1984"/>
      <c r="IF14" s="1984"/>
      <c r="IG14" s="1984"/>
      <c r="IH14" s="1984"/>
      <c r="II14" s="1984"/>
      <c r="IJ14" s="1984"/>
      <c r="IK14" s="1984"/>
      <c r="IL14" s="1984"/>
      <c r="IM14" s="1984"/>
      <c r="IN14" s="1984"/>
      <c r="IO14" s="1984"/>
      <c r="IP14" s="1984"/>
      <c r="IQ14" s="1984"/>
      <c r="IR14" s="1984"/>
    </row>
    <row r="15" spans="1:252" s="1813" customFormat="1" ht="13.5" customHeight="1" x14ac:dyDescent="0.25">
      <c r="A15" s="1961" t="s">
        <v>7125</v>
      </c>
      <c r="B15" s="1962" t="s">
        <v>7125</v>
      </c>
      <c r="C15" s="1963" t="s">
        <v>7126</v>
      </c>
      <c r="D15" s="1964" t="s">
        <v>1872</v>
      </c>
      <c r="E15" s="1960" t="s">
        <v>1743</v>
      </c>
      <c r="F15" s="1965">
        <v>42284</v>
      </c>
      <c r="G15" s="1966">
        <v>42256</v>
      </c>
      <c r="H15" s="1965">
        <v>42272</v>
      </c>
      <c r="I15" s="1967">
        <v>44316</v>
      </c>
      <c r="J15" s="1989">
        <v>1000</v>
      </c>
      <c r="K15" s="1964" t="s">
        <v>3229</v>
      </c>
      <c r="L15" s="1968" t="s">
        <v>3229</v>
      </c>
      <c r="M15" s="1969">
        <v>-0.1</v>
      </c>
      <c r="N15" s="1970">
        <v>1</v>
      </c>
      <c r="O15" s="1971">
        <v>0.75</v>
      </c>
      <c r="P15" s="3198" t="s">
        <v>3229</v>
      </c>
      <c r="Q15" s="3198" t="s">
        <v>3229</v>
      </c>
      <c r="R15" s="1972" t="s">
        <v>3229</v>
      </c>
      <c r="S15" s="1973"/>
      <c r="T15" s="1974" t="s">
        <v>3229</v>
      </c>
      <c r="U15" s="1974" t="s">
        <v>3229</v>
      </c>
      <c r="V15" s="1974" t="s">
        <v>3229</v>
      </c>
      <c r="W15" s="1974" t="s">
        <v>3229</v>
      </c>
      <c r="X15" s="1974" t="s">
        <v>3229</v>
      </c>
      <c r="Y15" s="1974" t="s">
        <v>3229</v>
      </c>
      <c r="Z15" s="1974" t="s">
        <v>3229</v>
      </c>
      <c r="AA15" s="1974" t="s">
        <v>3229</v>
      </c>
      <c r="AB15" s="1974" t="s">
        <v>3229</v>
      </c>
      <c r="AC15" s="1974" t="s">
        <v>3229</v>
      </c>
      <c r="AD15" s="1974" t="s">
        <v>3229</v>
      </c>
      <c r="AE15" s="1974" t="s">
        <v>3229</v>
      </c>
      <c r="AF15" s="1963" t="str">
        <f>IF(S15="","-",IF(T15="",S15,MAX(IF(T15&gt;indexy!$B$1,S15,S15-S15),IF(U15&gt;indexy!$B$1,S15-1,S15-S15),IF(V15&gt;indexy!$B$1,S15-2,S15-S15),IF(W15&gt;indexy!$B$1,S15-3,S15-S15),IF(X15&gt;indexy!$B$1,S15-4,S15-S15),IF(Y15&gt;indexy!$B$1,S15-5,S15-S15),IF(Z15&gt;indexy!$B$1,S15-6,S15-S15),IF(AA15&gt;indexy!$B$1,S15-7,S15-S15),IF(AB15&gt;indexy!$B$1,S15-8,S15-S15),IF(AC15&gt;indexy!$B$1,S15-9,S15-S15),IF(AD15&gt;indexy!$B$1,S15-10,S15-S15),IF(AE15&gt;indexy!$B$1,S15-11,S15-S15))))</f>
        <v>-</v>
      </c>
      <c r="AG15" s="3415" t="s">
        <v>10636</v>
      </c>
      <c r="AH15" s="1976" t="s">
        <v>3229</v>
      </c>
      <c r="AI15" s="1976" t="s">
        <v>3229</v>
      </c>
      <c r="AJ15" s="1976" t="s">
        <v>3229</v>
      </c>
      <c r="AK15" s="1976" t="s">
        <v>3229</v>
      </c>
      <c r="AL15" s="1976" t="s">
        <v>3229</v>
      </c>
      <c r="AM15" s="1977">
        <v>1</v>
      </c>
      <c r="AN15" s="2349">
        <f>+'klikací hodnoty2'!F1058</f>
        <v>0.16041933333333333</v>
      </c>
      <c r="AO15" s="1979">
        <v>1160.42</v>
      </c>
      <c r="AP15" s="2349">
        <f>+'klikací hodnoty2'!F1057</f>
        <v>0.16041933333333333</v>
      </c>
      <c r="AQ15" s="2349">
        <f>+'klikací hodnoty2'!F1044</f>
        <v>0.29334199632047459</v>
      </c>
      <c r="AR15" s="3915">
        <f t="shared" ref="AR15:AR21" si="13">O15</f>
        <v>0.75</v>
      </c>
      <c r="AS15" s="3916">
        <f t="shared" ref="AS15:AS21" si="14">POWER(1+AR15,1/((I15-F15)/365))-1</f>
        <v>0.10574745561085486</v>
      </c>
      <c r="AT15" s="3916">
        <f>IF(AO15="","",J15*(1+AR15)/AO15-1)</f>
        <v>0.50807466262215395</v>
      </c>
      <c r="AU15" s="3806" t="e">
        <f>IF(AT15="","",POWER(1+AT15,1/AG15)-1)</f>
        <v>#VALUE!</v>
      </c>
      <c r="AV15" s="1980">
        <f t="shared" si="10"/>
        <v>-0.1</v>
      </c>
      <c r="AW15" s="1981">
        <f t="shared" si="11"/>
        <v>-1.8747523754423345E-2</v>
      </c>
      <c r="AX15" s="3012">
        <f>IF(AO15="","",J15*(1+AV15)/AO15-1)</f>
        <v>-0.22441874493717795</v>
      </c>
      <c r="AY15" s="2097"/>
      <c r="AZ15" s="1983">
        <f t="shared" si="12"/>
        <v>900</v>
      </c>
      <c r="BB15" s="1973"/>
      <c r="BC15" s="2965"/>
      <c r="BD15" s="3431"/>
      <c r="BE15" s="3434"/>
      <c r="BF15" s="3434"/>
      <c r="BG15" s="3434"/>
      <c r="BH15" s="1985"/>
      <c r="BI15" s="1986"/>
      <c r="BJ15" s="1984"/>
      <c r="BK15" s="1984"/>
      <c r="BL15" s="1984"/>
      <c r="BM15" s="1984"/>
      <c r="BN15" s="1984"/>
      <c r="BO15" s="1984"/>
      <c r="BP15" s="1984"/>
      <c r="BQ15" s="1984"/>
      <c r="BR15" s="1984"/>
      <c r="BS15" s="1984"/>
      <c r="BT15" s="1984"/>
      <c r="BU15" s="1984"/>
      <c r="BV15" s="1984"/>
      <c r="BW15" s="1984"/>
      <c r="BX15" s="1984"/>
      <c r="BY15" s="1984"/>
      <c r="BZ15" s="1984"/>
      <c r="CA15" s="1984"/>
      <c r="CB15" s="1984"/>
      <c r="CC15" s="1984"/>
      <c r="CD15" s="1984"/>
      <c r="CE15" s="1984"/>
      <c r="CF15" s="1984"/>
      <c r="CG15" s="1984"/>
      <c r="CH15" s="1984"/>
      <c r="CI15" s="1984"/>
      <c r="CJ15" s="1984"/>
      <c r="CK15" s="1984"/>
      <c r="CL15" s="1984"/>
      <c r="CM15" s="1984"/>
      <c r="CN15" s="1984"/>
      <c r="CO15" s="1984"/>
      <c r="CP15" s="1984"/>
      <c r="CQ15" s="1984"/>
      <c r="CR15" s="1984"/>
      <c r="CS15" s="1984"/>
      <c r="CT15" s="1984"/>
      <c r="CU15" s="1984"/>
      <c r="CV15" s="1984"/>
      <c r="CW15" s="1984"/>
      <c r="CX15" s="1984"/>
      <c r="CY15" s="1984"/>
      <c r="CZ15" s="1984"/>
      <c r="DA15" s="1984"/>
      <c r="DB15" s="1984"/>
      <c r="DC15" s="1984"/>
      <c r="DD15" s="1984"/>
      <c r="DE15" s="1984"/>
      <c r="DF15" s="1984"/>
      <c r="DG15" s="1984"/>
      <c r="DH15" s="1984"/>
      <c r="DI15" s="1984"/>
      <c r="DJ15" s="1984"/>
      <c r="DK15" s="1984"/>
      <c r="DL15" s="1984"/>
      <c r="DM15" s="1984"/>
      <c r="DN15" s="1984"/>
      <c r="DO15" s="1984"/>
      <c r="DP15" s="1984"/>
      <c r="DQ15" s="1984"/>
      <c r="DR15" s="1984"/>
      <c r="DS15" s="1984"/>
      <c r="DT15" s="1984"/>
      <c r="DU15" s="1984"/>
      <c r="DV15" s="1984"/>
      <c r="DW15" s="1984"/>
      <c r="DX15" s="1984"/>
      <c r="DY15" s="1984"/>
      <c r="DZ15" s="1984"/>
      <c r="EA15" s="1984"/>
      <c r="EB15" s="1984"/>
      <c r="EC15" s="1984"/>
      <c r="ED15" s="1984"/>
      <c r="EE15" s="1984"/>
      <c r="EF15" s="1984"/>
      <c r="EG15" s="1984"/>
      <c r="EH15" s="1984"/>
      <c r="EI15" s="1984"/>
      <c r="EJ15" s="1984"/>
      <c r="EK15" s="1984"/>
      <c r="EL15" s="1984"/>
      <c r="EM15" s="1984"/>
      <c r="EN15" s="1984"/>
      <c r="EO15" s="1984"/>
      <c r="EP15" s="1984"/>
      <c r="EQ15" s="1984"/>
      <c r="ER15" s="1984"/>
      <c r="ES15" s="1984"/>
      <c r="ET15" s="1984"/>
      <c r="EU15" s="1984"/>
      <c r="EV15" s="1984"/>
      <c r="EW15" s="1984"/>
      <c r="EX15" s="1984"/>
      <c r="EY15" s="1984"/>
      <c r="EZ15" s="1984"/>
      <c r="FA15" s="1984"/>
      <c r="FB15" s="1984"/>
      <c r="FC15" s="1984"/>
      <c r="FD15" s="1984"/>
      <c r="FE15" s="1984"/>
      <c r="FF15" s="1984"/>
      <c r="FG15" s="1984"/>
      <c r="FH15" s="1984"/>
      <c r="FI15" s="1984"/>
      <c r="FJ15" s="1984"/>
      <c r="FK15" s="1984"/>
      <c r="FL15" s="1984"/>
      <c r="FM15" s="1984"/>
      <c r="FN15" s="1984"/>
      <c r="FO15" s="1984"/>
      <c r="FP15" s="1984"/>
      <c r="FQ15" s="1984"/>
      <c r="FR15" s="1984"/>
      <c r="FS15" s="1984"/>
      <c r="FT15" s="1984"/>
      <c r="FU15" s="1984"/>
      <c r="FV15" s="1984"/>
      <c r="FW15" s="1984"/>
      <c r="FX15" s="1984"/>
      <c r="FY15" s="1984"/>
      <c r="FZ15" s="1984"/>
      <c r="GA15" s="1984"/>
      <c r="GB15" s="1984"/>
      <c r="GC15" s="1984"/>
      <c r="GD15" s="1984"/>
      <c r="GE15" s="1984"/>
      <c r="GF15" s="1984"/>
      <c r="GG15" s="1984"/>
      <c r="GH15" s="1984"/>
      <c r="GI15" s="1984"/>
      <c r="GJ15" s="1984"/>
      <c r="GK15" s="1984"/>
      <c r="GL15" s="1984"/>
      <c r="GM15" s="1984"/>
      <c r="GN15" s="1984"/>
      <c r="GO15" s="1984"/>
      <c r="GP15" s="1984"/>
      <c r="GQ15" s="1984"/>
      <c r="GR15" s="1984"/>
      <c r="GS15" s="1984"/>
      <c r="GT15" s="1984"/>
      <c r="GU15" s="1984"/>
      <c r="GV15" s="1984"/>
      <c r="GW15" s="1984"/>
      <c r="GX15" s="1984"/>
      <c r="GY15" s="1984"/>
      <c r="GZ15" s="1984"/>
      <c r="HA15" s="1984"/>
      <c r="HB15" s="1984"/>
      <c r="HC15" s="1984"/>
      <c r="HD15" s="1984"/>
      <c r="HE15" s="1984"/>
      <c r="HF15" s="1984"/>
      <c r="HG15" s="1984"/>
      <c r="HH15" s="1984"/>
      <c r="HI15" s="1984"/>
      <c r="HJ15" s="1984"/>
      <c r="HK15" s="1984"/>
      <c r="HL15" s="1984"/>
      <c r="HM15" s="1984"/>
      <c r="HN15" s="1984"/>
      <c r="HO15" s="1984"/>
      <c r="HP15" s="1984"/>
      <c r="HQ15" s="1984"/>
      <c r="HR15" s="1984"/>
      <c r="HS15" s="1984"/>
      <c r="HT15" s="1984"/>
      <c r="HU15" s="1984"/>
      <c r="HV15" s="1984"/>
      <c r="HW15" s="1984"/>
      <c r="HX15" s="1984"/>
      <c r="HY15" s="1984"/>
      <c r="HZ15" s="1984"/>
      <c r="IA15" s="1984"/>
      <c r="IB15" s="1984"/>
      <c r="IC15" s="1984"/>
      <c r="ID15" s="1984"/>
      <c r="IE15" s="1984"/>
      <c r="IF15" s="1984"/>
      <c r="IG15" s="1984"/>
      <c r="IH15" s="1984"/>
      <c r="II15" s="1984"/>
      <c r="IJ15" s="1984"/>
      <c r="IK15" s="1984"/>
      <c r="IL15" s="1984"/>
      <c r="IM15" s="1984"/>
      <c r="IN15" s="1984"/>
      <c r="IO15" s="1984"/>
      <c r="IP15" s="1984"/>
      <c r="IQ15" s="1984"/>
      <c r="IR15" s="1984"/>
    </row>
    <row r="16" spans="1:252" s="1813" customFormat="1" ht="13.5" customHeight="1" x14ac:dyDescent="0.25">
      <c r="A16" s="1961" t="s">
        <v>8152</v>
      </c>
      <c r="B16" s="1962" t="s">
        <v>8152</v>
      </c>
      <c r="C16" s="1963" t="s">
        <v>8169</v>
      </c>
      <c r="D16" s="1964" t="s">
        <v>1872</v>
      </c>
      <c r="E16" s="1960" t="s">
        <v>1743</v>
      </c>
      <c r="F16" s="1965">
        <v>42587</v>
      </c>
      <c r="G16" s="1966">
        <v>42569</v>
      </c>
      <c r="H16" s="1965">
        <v>42580</v>
      </c>
      <c r="I16" s="1967">
        <v>44316</v>
      </c>
      <c r="J16" s="1989">
        <v>1000</v>
      </c>
      <c r="K16" s="1964" t="s">
        <v>3229</v>
      </c>
      <c r="L16" s="1968" t="s">
        <v>3229</v>
      </c>
      <c r="M16" s="1969">
        <v>-0.1</v>
      </c>
      <c r="N16" s="1970">
        <v>1</v>
      </c>
      <c r="O16" s="1971">
        <v>0.8</v>
      </c>
      <c r="P16" s="3198" t="s">
        <v>3229</v>
      </c>
      <c r="Q16" s="3198" t="s">
        <v>3229</v>
      </c>
      <c r="R16" s="1972" t="s">
        <v>3229</v>
      </c>
      <c r="S16" s="1973"/>
      <c r="T16" s="1974" t="s">
        <v>3229</v>
      </c>
      <c r="U16" s="1974" t="s">
        <v>3229</v>
      </c>
      <c r="V16" s="1974" t="s">
        <v>3229</v>
      </c>
      <c r="W16" s="1974" t="s">
        <v>3229</v>
      </c>
      <c r="X16" s="1974" t="s">
        <v>3229</v>
      </c>
      <c r="Y16" s="1974" t="s">
        <v>3229</v>
      </c>
      <c r="Z16" s="1974" t="s">
        <v>3229</v>
      </c>
      <c r="AA16" s="1974" t="s">
        <v>3229</v>
      </c>
      <c r="AB16" s="1974" t="s">
        <v>3229</v>
      </c>
      <c r="AC16" s="1974" t="s">
        <v>3229</v>
      </c>
      <c r="AD16" s="1974" t="s">
        <v>3229</v>
      </c>
      <c r="AE16" s="1974" t="s">
        <v>3229</v>
      </c>
      <c r="AF16" s="1963" t="str">
        <f>IF(S16="","-",IF(T16="",S16,MAX(IF(T16&gt;indexy!$B$1,S16,S16-S16),IF(U16&gt;indexy!$B$1,S16-1,S16-S16),IF(V16&gt;indexy!$B$1,S16-2,S16-S16),IF(W16&gt;indexy!$B$1,S16-3,S16-S16),IF(X16&gt;indexy!$B$1,S16-4,S16-S16),IF(Y16&gt;indexy!$B$1,S16-5,S16-S16),IF(Z16&gt;indexy!$B$1,S16-6,S16-S16),IF(AA16&gt;indexy!$B$1,S16-7,S16-S16),IF(AB16&gt;indexy!$B$1,S16-8,S16-S16),IF(AC16&gt;indexy!$B$1,S16-9,S16-S16),IF(AD16&gt;indexy!$B$1,S16-10,S16-S16),IF(AE16&gt;indexy!$B$1,S16-11,S16-S16))))</f>
        <v>-</v>
      </c>
      <c r="AG16" s="3415" t="s">
        <v>10636</v>
      </c>
      <c r="AH16" s="1976" t="s">
        <v>3229</v>
      </c>
      <c r="AI16" s="1976" t="s">
        <v>3229</v>
      </c>
      <c r="AJ16" s="1976" t="s">
        <v>3229</v>
      </c>
      <c r="AK16" s="1976" t="s">
        <v>3229</v>
      </c>
      <c r="AL16" s="1976" t="s">
        <v>3229</v>
      </c>
      <c r="AM16" s="1977">
        <v>1</v>
      </c>
      <c r="AN16" s="2349">
        <f>+'klikací hodnoty2'!F1252</f>
        <v>0.17879983333333344</v>
      </c>
      <c r="AO16" s="1979">
        <v>1178.8</v>
      </c>
      <c r="AP16" s="2349">
        <f>+'klikací hodnoty2'!F1251</f>
        <v>0.17879983333333344</v>
      </c>
      <c r="AQ16" s="2349">
        <f>+'klikací hodnoty2'!F1238</f>
        <v>0.22648440856321245</v>
      </c>
      <c r="AR16" s="3915">
        <f t="shared" si="13"/>
        <v>0.8</v>
      </c>
      <c r="AS16" s="3916">
        <f t="shared" si="14"/>
        <v>0.13211155145866171</v>
      </c>
      <c r="AT16" s="3916">
        <f>IF(AO16="","",J16*(1+AR16)/AO16-1)</f>
        <v>0.52697658635900924</v>
      </c>
      <c r="AU16" s="3806" t="e">
        <f>IF(AT16="","",POWER(1+AT16,1/AG16)-1)</f>
        <v>#VALUE!</v>
      </c>
      <c r="AV16" s="1980">
        <f t="shared" si="10"/>
        <v>-0.1</v>
      </c>
      <c r="AW16" s="1981">
        <f t="shared" si="11"/>
        <v>-2.1996566724798883E-2</v>
      </c>
      <c r="AX16" s="3012">
        <f>IF(AO16="","",J16*(1+AV16)/AO16-1)</f>
        <v>-0.23651170682049538</v>
      </c>
      <c r="AY16" s="2097"/>
      <c r="AZ16" s="1983">
        <f t="shared" si="12"/>
        <v>900</v>
      </c>
      <c r="BB16" s="1973"/>
      <c r="BC16" s="2965"/>
      <c r="BD16" s="3431"/>
      <c r="BE16" s="3434"/>
      <c r="BF16" s="3434"/>
      <c r="BG16" s="3434"/>
      <c r="BH16" s="1985"/>
      <c r="BI16" s="1986"/>
      <c r="BJ16" s="1984"/>
      <c r="BK16" s="1984"/>
      <c r="BL16" s="1984"/>
      <c r="BM16" s="1984"/>
      <c r="BN16" s="1984"/>
      <c r="BO16" s="1984"/>
      <c r="BP16" s="1984"/>
      <c r="BQ16" s="1984"/>
      <c r="BR16" s="1984"/>
      <c r="BS16" s="1984"/>
      <c r="BT16" s="1984"/>
      <c r="BU16" s="1984"/>
      <c r="BV16" s="1984"/>
      <c r="BW16" s="1984"/>
      <c r="BX16" s="1984"/>
      <c r="BY16" s="1984"/>
      <c r="BZ16" s="1984"/>
      <c r="CA16" s="1984"/>
      <c r="CB16" s="1984"/>
      <c r="CC16" s="1984"/>
      <c r="CD16" s="1984"/>
      <c r="CE16" s="1984"/>
      <c r="CF16" s="1984"/>
      <c r="CG16" s="1984"/>
      <c r="CH16" s="1984"/>
      <c r="CI16" s="1984"/>
      <c r="CJ16" s="1984"/>
      <c r="CK16" s="1984"/>
      <c r="CL16" s="1984"/>
      <c r="CM16" s="1984"/>
      <c r="CN16" s="1984"/>
      <c r="CO16" s="1984"/>
      <c r="CP16" s="1984"/>
      <c r="CQ16" s="1984"/>
      <c r="CR16" s="1984"/>
      <c r="CS16" s="1984"/>
      <c r="CT16" s="1984"/>
      <c r="CU16" s="1984"/>
      <c r="CV16" s="1984"/>
      <c r="CW16" s="1984"/>
      <c r="CX16" s="1984"/>
      <c r="CY16" s="1984"/>
      <c r="CZ16" s="1984"/>
      <c r="DA16" s="1984"/>
      <c r="DB16" s="1984"/>
      <c r="DC16" s="1984"/>
      <c r="DD16" s="1984"/>
      <c r="DE16" s="1984"/>
      <c r="DF16" s="1984"/>
      <c r="DG16" s="1984"/>
      <c r="DH16" s="1984"/>
      <c r="DI16" s="1984"/>
      <c r="DJ16" s="1984"/>
      <c r="DK16" s="1984"/>
      <c r="DL16" s="1984"/>
      <c r="DM16" s="1984"/>
      <c r="DN16" s="1984"/>
      <c r="DO16" s="1984"/>
      <c r="DP16" s="1984"/>
      <c r="DQ16" s="1984"/>
      <c r="DR16" s="1984"/>
      <c r="DS16" s="1984"/>
      <c r="DT16" s="1984"/>
      <c r="DU16" s="1984"/>
      <c r="DV16" s="1984"/>
      <c r="DW16" s="1984"/>
      <c r="DX16" s="1984"/>
      <c r="DY16" s="1984"/>
      <c r="DZ16" s="1984"/>
      <c r="EA16" s="1984"/>
      <c r="EB16" s="1984"/>
      <c r="EC16" s="1984"/>
      <c r="ED16" s="1984"/>
      <c r="EE16" s="1984"/>
      <c r="EF16" s="1984"/>
      <c r="EG16" s="1984"/>
      <c r="EH16" s="1984"/>
      <c r="EI16" s="1984"/>
      <c r="EJ16" s="1984"/>
      <c r="EK16" s="1984"/>
      <c r="EL16" s="1984"/>
      <c r="EM16" s="1984"/>
      <c r="EN16" s="1984"/>
      <c r="EO16" s="1984"/>
      <c r="EP16" s="1984"/>
      <c r="EQ16" s="1984"/>
      <c r="ER16" s="1984"/>
      <c r="ES16" s="1984"/>
      <c r="ET16" s="1984"/>
      <c r="EU16" s="1984"/>
      <c r="EV16" s="1984"/>
      <c r="EW16" s="1984"/>
      <c r="EX16" s="1984"/>
      <c r="EY16" s="1984"/>
      <c r="EZ16" s="1984"/>
      <c r="FA16" s="1984"/>
      <c r="FB16" s="1984"/>
      <c r="FC16" s="1984"/>
      <c r="FD16" s="1984"/>
      <c r="FE16" s="1984"/>
      <c r="FF16" s="1984"/>
      <c r="FG16" s="1984"/>
      <c r="FH16" s="1984"/>
      <c r="FI16" s="1984"/>
      <c r="FJ16" s="1984"/>
      <c r="FK16" s="1984"/>
      <c r="FL16" s="1984"/>
      <c r="FM16" s="1984"/>
      <c r="FN16" s="1984"/>
      <c r="FO16" s="1984"/>
      <c r="FP16" s="1984"/>
      <c r="FQ16" s="1984"/>
      <c r="FR16" s="1984"/>
      <c r="FS16" s="1984"/>
      <c r="FT16" s="1984"/>
      <c r="FU16" s="1984"/>
      <c r="FV16" s="1984"/>
      <c r="FW16" s="1984"/>
      <c r="FX16" s="1984"/>
      <c r="FY16" s="1984"/>
      <c r="FZ16" s="1984"/>
      <c r="GA16" s="1984"/>
      <c r="GB16" s="1984"/>
      <c r="GC16" s="1984"/>
      <c r="GD16" s="1984"/>
      <c r="GE16" s="1984"/>
      <c r="GF16" s="1984"/>
      <c r="GG16" s="1984"/>
      <c r="GH16" s="1984"/>
      <c r="GI16" s="1984"/>
      <c r="GJ16" s="1984"/>
      <c r="GK16" s="1984"/>
      <c r="GL16" s="1984"/>
      <c r="GM16" s="1984"/>
      <c r="GN16" s="1984"/>
      <c r="GO16" s="1984"/>
      <c r="GP16" s="1984"/>
      <c r="GQ16" s="1984"/>
      <c r="GR16" s="1984"/>
      <c r="GS16" s="1984"/>
      <c r="GT16" s="1984"/>
      <c r="GU16" s="1984"/>
      <c r="GV16" s="1984"/>
      <c r="GW16" s="1984"/>
      <c r="GX16" s="1984"/>
      <c r="GY16" s="1984"/>
      <c r="GZ16" s="1984"/>
      <c r="HA16" s="1984"/>
      <c r="HB16" s="1984"/>
      <c r="HC16" s="1984"/>
      <c r="HD16" s="1984"/>
      <c r="HE16" s="1984"/>
      <c r="HF16" s="1984"/>
      <c r="HG16" s="1984"/>
      <c r="HH16" s="1984"/>
      <c r="HI16" s="1984"/>
      <c r="HJ16" s="1984"/>
      <c r="HK16" s="1984"/>
      <c r="HL16" s="1984"/>
      <c r="HM16" s="1984"/>
      <c r="HN16" s="1984"/>
      <c r="HO16" s="1984"/>
      <c r="HP16" s="1984"/>
      <c r="HQ16" s="1984"/>
      <c r="HR16" s="1984"/>
      <c r="HS16" s="1984"/>
      <c r="HT16" s="1984"/>
      <c r="HU16" s="1984"/>
      <c r="HV16" s="1984"/>
      <c r="HW16" s="1984"/>
      <c r="HX16" s="1984"/>
      <c r="HY16" s="1984"/>
      <c r="HZ16" s="1984"/>
      <c r="IA16" s="1984"/>
      <c r="IB16" s="1984"/>
      <c r="IC16" s="1984"/>
      <c r="ID16" s="1984"/>
      <c r="IE16" s="1984"/>
      <c r="IF16" s="1984"/>
      <c r="IG16" s="1984"/>
      <c r="IH16" s="1984"/>
      <c r="II16" s="1984"/>
      <c r="IJ16" s="1984"/>
      <c r="IK16" s="1984"/>
      <c r="IL16" s="1984"/>
      <c r="IM16" s="1984"/>
      <c r="IN16" s="1984"/>
      <c r="IO16" s="1984"/>
      <c r="IP16" s="1984"/>
      <c r="IQ16" s="1984"/>
      <c r="IR16" s="1984"/>
    </row>
    <row r="17" spans="1:252" s="1813" customFormat="1" ht="13.5" customHeight="1" x14ac:dyDescent="0.25">
      <c r="A17" s="1961" t="s">
        <v>8607</v>
      </c>
      <c r="B17" s="1962" t="s">
        <v>8607</v>
      </c>
      <c r="C17" s="1963" t="s">
        <v>8609</v>
      </c>
      <c r="D17" s="1964" t="s">
        <v>1872</v>
      </c>
      <c r="E17" s="1960" t="s">
        <v>1743</v>
      </c>
      <c r="F17" s="1965">
        <v>42832</v>
      </c>
      <c r="G17" s="1966">
        <v>42807</v>
      </c>
      <c r="H17" s="1965">
        <v>42825</v>
      </c>
      <c r="I17" s="1967">
        <v>44316</v>
      </c>
      <c r="J17" s="1989">
        <v>1000</v>
      </c>
      <c r="K17" s="1964" t="s">
        <v>3229</v>
      </c>
      <c r="L17" s="1968" t="s">
        <v>3229</v>
      </c>
      <c r="M17" s="1969">
        <v>-0.1</v>
      </c>
      <c r="N17" s="1970">
        <v>1</v>
      </c>
      <c r="O17" s="1971">
        <v>0.5</v>
      </c>
      <c r="P17" s="3198" t="s">
        <v>3229</v>
      </c>
      <c r="Q17" s="3198" t="s">
        <v>3229</v>
      </c>
      <c r="R17" s="1972" t="s">
        <v>3229</v>
      </c>
      <c r="S17" s="1973"/>
      <c r="T17" s="1974" t="s">
        <v>3229</v>
      </c>
      <c r="U17" s="1974" t="s">
        <v>3229</v>
      </c>
      <c r="V17" s="1974" t="s">
        <v>3229</v>
      </c>
      <c r="W17" s="1974" t="s">
        <v>3229</v>
      </c>
      <c r="X17" s="1974" t="s">
        <v>3229</v>
      </c>
      <c r="Y17" s="1974" t="s">
        <v>3229</v>
      </c>
      <c r="Z17" s="1974" t="s">
        <v>3229</v>
      </c>
      <c r="AA17" s="1974" t="s">
        <v>3229</v>
      </c>
      <c r="AB17" s="1974" t="s">
        <v>3229</v>
      </c>
      <c r="AC17" s="1974" t="s">
        <v>3229</v>
      </c>
      <c r="AD17" s="1974" t="s">
        <v>3229</v>
      </c>
      <c r="AE17" s="1974" t="s">
        <v>3229</v>
      </c>
      <c r="AF17" s="1963" t="str">
        <f>IF(S17="","-",IF(T17="",S17,MAX(IF(T17&gt;indexy!$B$1,S17,S17-S17),IF(U17&gt;indexy!$B$1,S17-1,S17-S17),IF(V17&gt;indexy!$B$1,S17-2,S17-S17),IF(W17&gt;indexy!$B$1,S17-3,S17-S17),IF(X17&gt;indexy!$B$1,S17-4,S17-S17),IF(Y17&gt;indexy!$B$1,S17-5,S17-S17),IF(Z17&gt;indexy!$B$1,S17-6,S17-S17),IF(AA17&gt;indexy!$B$1,S17-7,S17-S17),IF(AB17&gt;indexy!$B$1,S17-8,S17-S17),IF(AC17&gt;indexy!$B$1,S17-9,S17-S17),IF(AD17&gt;indexy!$B$1,S17-10,S17-S17),IF(AE17&gt;indexy!$B$1,S17-11,S17-S17))))</f>
        <v>-</v>
      </c>
      <c r="AG17" s="3415" t="s">
        <v>10636</v>
      </c>
      <c r="AH17" s="1976" t="s">
        <v>3229</v>
      </c>
      <c r="AI17" s="1976" t="s">
        <v>3229</v>
      </c>
      <c r="AJ17" s="1976" t="s">
        <v>3229</v>
      </c>
      <c r="AK17" s="1976" t="s">
        <v>3229</v>
      </c>
      <c r="AL17" s="1976" t="s">
        <v>3229</v>
      </c>
      <c r="AM17" s="1977">
        <v>1</v>
      </c>
      <c r="AN17" s="2349">
        <f>+'klikací hodnoty2'!F1628</f>
        <v>9.2428833333333335E-2</v>
      </c>
      <c r="AO17" s="1979">
        <v>1092.4000000000001</v>
      </c>
      <c r="AP17" s="2349">
        <f>+'klikací hodnoty2'!E1627</f>
        <v>9.2428833333333335E-2</v>
      </c>
      <c r="AQ17" s="2349">
        <f>+'klikací hodnoty2'!F1620</f>
        <v>0.17420795772589323</v>
      </c>
      <c r="AR17" s="3915">
        <f t="shared" si="13"/>
        <v>0.5</v>
      </c>
      <c r="AS17" s="3916">
        <f t="shared" si="14"/>
        <v>0.10486917050681255</v>
      </c>
      <c r="AT17" s="3916"/>
      <c r="AU17" s="3806"/>
      <c r="AV17" s="1980">
        <f t="shared" si="10"/>
        <v>-0.1</v>
      </c>
      <c r="AW17" s="1981">
        <f t="shared" si="11"/>
        <v>-2.5581253314280405E-2</v>
      </c>
      <c r="AX17" s="3012"/>
      <c r="AY17" s="2097"/>
      <c r="AZ17" s="1983">
        <f t="shared" si="12"/>
        <v>900</v>
      </c>
      <c r="BB17" s="1973"/>
      <c r="BC17" s="2965"/>
      <c r="BD17" s="3431"/>
      <c r="BE17" s="3434"/>
      <c r="BF17" s="3434"/>
      <c r="BG17" s="3434"/>
      <c r="BH17" s="1985"/>
      <c r="BI17" s="1986"/>
      <c r="BJ17" s="1984"/>
      <c r="BK17" s="1984"/>
      <c r="BL17" s="1984"/>
      <c r="BM17" s="1984"/>
      <c r="BN17" s="1984"/>
      <c r="BO17" s="1984"/>
      <c r="BP17" s="1984"/>
      <c r="BQ17" s="1984"/>
      <c r="BR17" s="1984"/>
      <c r="BS17" s="1984"/>
      <c r="BT17" s="1984"/>
      <c r="BU17" s="1984"/>
      <c r="BV17" s="1984"/>
      <c r="BW17" s="1984"/>
      <c r="BX17" s="1984"/>
      <c r="BY17" s="1984"/>
      <c r="BZ17" s="1984"/>
      <c r="CA17" s="1984"/>
      <c r="CB17" s="1984"/>
      <c r="CC17" s="1984"/>
      <c r="CD17" s="1984"/>
      <c r="CE17" s="1984"/>
      <c r="CF17" s="1984"/>
      <c r="CG17" s="1984"/>
      <c r="CH17" s="1984"/>
      <c r="CI17" s="1984"/>
      <c r="CJ17" s="1984"/>
      <c r="CK17" s="1984"/>
      <c r="CL17" s="1984"/>
      <c r="CM17" s="1984"/>
      <c r="CN17" s="1984"/>
      <c r="CO17" s="1984"/>
      <c r="CP17" s="1984"/>
      <c r="CQ17" s="1984"/>
      <c r="CR17" s="1984"/>
      <c r="CS17" s="1984"/>
      <c r="CT17" s="1984"/>
      <c r="CU17" s="1984"/>
      <c r="CV17" s="1984"/>
      <c r="CW17" s="1984"/>
      <c r="CX17" s="1984"/>
      <c r="CY17" s="1984"/>
      <c r="CZ17" s="1984"/>
      <c r="DA17" s="1984"/>
      <c r="DB17" s="1984"/>
      <c r="DC17" s="1984"/>
      <c r="DD17" s="1984"/>
      <c r="DE17" s="1984"/>
      <c r="DF17" s="1984"/>
      <c r="DG17" s="1984"/>
      <c r="DH17" s="1984"/>
      <c r="DI17" s="1984"/>
      <c r="DJ17" s="1984"/>
      <c r="DK17" s="1984"/>
      <c r="DL17" s="1984"/>
      <c r="DM17" s="1984"/>
      <c r="DN17" s="1984"/>
      <c r="DO17" s="1984"/>
      <c r="DP17" s="1984"/>
      <c r="DQ17" s="1984"/>
      <c r="DR17" s="1984"/>
      <c r="DS17" s="1984"/>
      <c r="DT17" s="1984"/>
      <c r="DU17" s="1984"/>
      <c r="DV17" s="1984"/>
      <c r="DW17" s="1984"/>
      <c r="DX17" s="1984"/>
      <c r="DY17" s="1984"/>
      <c r="DZ17" s="1984"/>
      <c r="EA17" s="1984"/>
      <c r="EB17" s="1984"/>
      <c r="EC17" s="1984"/>
      <c r="ED17" s="1984"/>
      <c r="EE17" s="1984"/>
      <c r="EF17" s="1984"/>
      <c r="EG17" s="1984"/>
      <c r="EH17" s="1984"/>
      <c r="EI17" s="1984"/>
      <c r="EJ17" s="1984"/>
      <c r="EK17" s="1984"/>
      <c r="EL17" s="1984"/>
      <c r="EM17" s="1984"/>
      <c r="EN17" s="1984"/>
      <c r="EO17" s="1984"/>
      <c r="EP17" s="1984"/>
      <c r="EQ17" s="1984"/>
      <c r="ER17" s="1984"/>
      <c r="ES17" s="1984"/>
      <c r="ET17" s="1984"/>
      <c r="EU17" s="1984"/>
      <c r="EV17" s="1984"/>
      <c r="EW17" s="1984"/>
      <c r="EX17" s="1984"/>
      <c r="EY17" s="1984"/>
      <c r="EZ17" s="1984"/>
      <c r="FA17" s="1984"/>
      <c r="FB17" s="1984"/>
      <c r="FC17" s="1984"/>
      <c r="FD17" s="1984"/>
      <c r="FE17" s="1984"/>
      <c r="FF17" s="1984"/>
      <c r="FG17" s="1984"/>
      <c r="FH17" s="1984"/>
      <c r="FI17" s="1984"/>
      <c r="FJ17" s="1984"/>
      <c r="FK17" s="1984"/>
      <c r="FL17" s="1984"/>
      <c r="FM17" s="1984"/>
      <c r="FN17" s="1984"/>
      <c r="FO17" s="1984"/>
      <c r="FP17" s="1984"/>
      <c r="FQ17" s="1984"/>
      <c r="FR17" s="1984"/>
      <c r="FS17" s="1984"/>
      <c r="FT17" s="1984"/>
      <c r="FU17" s="1984"/>
      <c r="FV17" s="1984"/>
      <c r="FW17" s="1984"/>
      <c r="FX17" s="1984"/>
      <c r="FY17" s="1984"/>
      <c r="FZ17" s="1984"/>
      <c r="GA17" s="1984"/>
      <c r="GB17" s="1984"/>
      <c r="GC17" s="1984"/>
      <c r="GD17" s="1984"/>
      <c r="GE17" s="1984"/>
      <c r="GF17" s="1984"/>
      <c r="GG17" s="1984"/>
      <c r="GH17" s="1984"/>
      <c r="GI17" s="1984"/>
      <c r="GJ17" s="1984"/>
      <c r="GK17" s="1984"/>
      <c r="GL17" s="1984"/>
      <c r="GM17" s="1984"/>
      <c r="GN17" s="1984"/>
      <c r="GO17" s="1984"/>
      <c r="GP17" s="1984"/>
      <c r="GQ17" s="1984"/>
      <c r="GR17" s="1984"/>
      <c r="GS17" s="1984"/>
      <c r="GT17" s="1984"/>
      <c r="GU17" s="1984"/>
      <c r="GV17" s="1984"/>
      <c r="GW17" s="1984"/>
      <c r="GX17" s="1984"/>
      <c r="GY17" s="1984"/>
      <c r="GZ17" s="1984"/>
      <c r="HA17" s="1984"/>
      <c r="HB17" s="1984"/>
      <c r="HC17" s="1984"/>
      <c r="HD17" s="1984"/>
      <c r="HE17" s="1984"/>
      <c r="HF17" s="1984"/>
      <c r="HG17" s="1984"/>
      <c r="HH17" s="1984"/>
      <c r="HI17" s="1984"/>
      <c r="HJ17" s="1984"/>
      <c r="HK17" s="1984"/>
      <c r="HL17" s="1984"/>
      <c r="HM17" s="1984"/>
      <c r="HN17" s="1984"/>
      <c r="HO17" s="1984"/>
      <c r="HP17" s="1984"/>
      <c r="HQ17" s="1984"/>
      <c r="HR17" s="1984"/>
      <c r="HS17" s="1984"/>
      <c r="HT17" s="1984"/>
      <c r="HU17" s="1984"/>
      <c r="HV17" s="1984"/>
      <c r="HW17" s="1984"/>
      <c r="HX17" s="1984"/>
      <c r="HY17" s="1984"/>
      <c r="HZ17" s="1984"/>
      <c r="IA17" s="1984"/>
      <c r="IB17" s="1984"/>
      <c r="IC17" s="1984"/>
      <c r="ID17" s="1984"/>
      <c r="IE17" s="1984"/>
      <c r="IF17" s="1984"/>
      <c r="IG17" s="1984"/>
      <c r="IH17" s="1984"/>
      <c r="II17" s="1984"/>
      <c r="IJ17" s="1984"/>
      <c r="IK17" s="1984"/>
      <c r="IL17" s="1984"/>
      <c r="IM17" s="1984"/>
      <c r="IN17" s="1984"/>
      <c r="IO17" s="1984"/>
      <c r="IP17" s="1984"/>
      <c r="IQ17" s="1984"/>
      <c r="IR17" s="1984"/>
    </row>
    <row r="18" spans="1:252" s="1813" customFormat="1" ht="13.5" customHeight="1" x14ac:dyDescent="0.25">
      <c r="A18" s="1961" t="s">
        <v>7051</v>
      </c>
      <c r="B18" s="1962" t="s">
        <v>7051</v>
      </c>
      <c r="C18" s="1963" t="s">
        <v>7065</v>
      </c>
      <c r="D18" s="1964" t="s">
        <v>4384</v>
      </c>
      <c r="E18" s="1960" t="s">
        <v>1743</v>
      </c>
      <c r="F18" s="1965">
        <v>42132</v>
      </c>
      <c r="G18" s="1966">
        <v>42107</v>
      </c>
      <c r="H18" s="1965">
        <v>42124</v>
      </c>
      <c r="I18" s="1967">
        <v>44347</v>
      </c>
      <c r="J18" s="1989">
        <v>1000</v>
      </c>
      <c r="K18" s="1964" t="s">
        <v>3229</v>
      </c>
      <c r="L18" s="1968" t="s">
        <v>3229</v>
      </c>
      <c r="M18" s="1969">
        <v>-0.1</v>
      </c>
      <c r="N18" s="1970">
        <v>1</v>
      </c>
      <c r="O18" s="1971">
        <v>0.7</v>
      </c>
      <c r="P18" s="3198" t="s">
        <v>3229</v>
      </c>
      <c r="Q18" s="3198" t="s">
        <v>3229</v>
      </c>
      <c r="R18" s="1972" t="s">
        <v>3229</v>
      </c>
      <c r="S18" s="1973"/>
      <c r="T18" s="1974" t="s">
        <v>3229</v>
      </c>
      <c r="U18" s="1974" t="s">
        <v>3229</v>
      </c>
      <c r="V18" s="1974" t="s">
        <v>3229</v>
      </c>
      <c r="W18" s="1974" t="s">
        <v>3229</v>
      </c>
      <c r="X18" s="1974" t="s">
        <v>3229</v>
      </c>
      <c r="Y18" s="1974" t="s">
        <v>3229</v>
      </c>
      <c r="Z18" s="1974" t="s">
        <v>3229</v>
      </c>
      <c r="AA18" s="1974" t="s">
        <v>3229</v>
      </c>
      <c r="AB18" s="1974" t="s">
        <v>3229</v>
      </c>
      <c r="AC18" s="1974" t="s">
        <v>3229</v>
      </c>
      <c r="AD18" s="1974" t="s">
        <v>3229</v>
      </c>
      <c r="AE18" s="1974" t="s">
        <v>3229</v>
      </c>
      <c r="AF18" s="1963" t="str">
        <f>IF(S18="","-",IF(T18="",S18,MAX(IF(T18&gt;indexy!$B$1,S18,S18-S18),IF(U18&gt;indexy!$B$1,S18-1,S18-S18),IF(V18&gt;indexy!$B$1,S18-2,S18-S18),IF(W18&gt;indexy!$B$1,S18-3,S18-S18),IF(X18&gt;indexy!$B$1,S18-4,S18-S18),IF(Y18&gt;indexy!$B$1,S18-5,S18-S18),IF(Z18&gt;indexy!$B$1,S18-6,S18-S18),IF(AA18&gt;indexy!$B$1,S18-7,S18-S18),IF(AB18&gt;indexy!$B$1,S18-8,S18-S18),IF(AC18&gt;indexy!$B$1,S18-9,S18-S18),IF(AD18&gt;indexy!$B$1,S18-10,S18-S18),IF(AE18&gt;indexy!$B$1,S18-11,S18-S18))))</f>
        <v>-</v>
      </c>
      <c r="AG18" s="3415" t="s">
        <v>10636</v>
      </c>
      <c r="AH18" s="1976" t="s">
        <v>3229</v>
      </c>
      <c r="AI18" s="1976" t="s">
        <v>3229</v>
      </c>
      <c r="AJ18" s="1976" t="s">
        <v>3229</v>
      </c>
      <c r="AK18" s="1976" t="s">
        <v>3229</v>
      </c>
      <c r="AL18" s="1976" t="s">
        <v>3229</v>
      </c>
      <c r="AM18" s="1977">
        <v>1</v>
      </c>
      <c r="AN18" s="2349">
        <f>'klikací hodnoty2'!F399</f>
        <v>6.3169166666666851E-3</v>
      </c>
      <c r="AO18" s="1979">
        <v>1006.3</v>
      </c>
      <c r="AP18" s="2349">
        <f>'klikací hodnoty2'!F398</f>
        <v>6.3169166666666851E-3</v>
      </c>
      <c r="AQ18" s="2349">
        <f>'klikací hodnoty2'!F385</f>
        <v>0.11047006651225928</v>
      </c>
      <c r="AR18" s="3915">
        <f t="shared" si="13"/>
        <v>0.7</v>
      </c>
      <c r="AS18" s="3916">
        <f t="shared" si="14"/>
        <v>9.1376637789517101E-2</v>
      </c>
      <c r="AT18" s="3916">
        <f>IF(AO18="","",J18*(1+AR18)/AO18-1)</f>
        <v>0.68935705058133756</v>
      </c>
      <c r="AU18" s="3806" t="e">
        <f>IF(AT18="","",POWER(1+AT18,1/AG18)-1)</f>
        <v>#VALUE!</v>
      </c>
      <c r="AV18" s="1980">
        <f>M18</f>
        <v>-0.1</v>
      </c>
      <c r="AW18" s="1981">
        <f>POWER(1+AV18,1/((I18-F18)/365))-1</f>
        <v>-1.7212041690031876E-2</v>
      </c>
      <c r="AX18" s="3012">
        <f>IF(AO18="","",J18*(1+AV18)/AO18-1)</f>
        <v>-0.10563450263340946</v>
      </c>
      <c r="AY18" s="2097"/>
      <c r="AZ18" s="1983">
        <f>J18*(1+AV18)</f>
        <v>900</v>
      </c>
      <c r="BB18" s="1973"/>
      <c r="BC18" s="2965"/>
      <c r="BD18" s="3431"/>
      <c r="BE18" s="3434"/>
      <c r="BF18" s="3434"/>
      <c r="BG18" s="3434"/>
      <c r="BH18" s="1985"/>
      <c r="BI18" s="1986"/>
      <c r="BJ18" s="1984"/>
      <c r="BK18" s="1984"/>
      <c r="BL18" s="1984"/>
      <c r="BM18" s="1984"/>
      <c r="BN18" s="1984"/>
      <c r="BO18" s="1984"/>
      <c r="BP18" s="1984"/>
      <c r="BQ18" s="1984"/>
      <c r="BR18" s="1984"/>
      <c r="BS18" s="1984"/>
      <c r="BT18" s="1984"/>
      <c r="BU18" s="1984"/>
      <c r="BV18" s="1984"/>
      <c r="BW18" s="1984"/>
      <c r="BX18" s="1984"/>
      <c r="BY18" s="1984"/>
      <c r="BZ18" s="1984"/>
      <c r="CA18" s="1984"/>
      <c r="CB18" s="1984"/>
      <c r="CC18" s="1984"/>
      <c r="CD18" s="1984"/>
      <c r="CE18" s="1984"/>
      <c r="CF18" s="1984"/>
      <c r="CG18" s="1984"/>
      <c r="CH18" s="1984"/>
      <c r="CI18" s="1984"/>
      <c r="CJ18" s="1984"/>
      <c r="CK18" s="1984"/>
      <c r="CL18" s="1984"/>
      <c r="CM18" s="1984"/>
      <c r="CN18" s="1984"/>
      <c r="CO18" s="1984"/>
      <c r="CP18" s="1984"/>
      <c r="CQ18" s="1984"/>
      <c r="CR18" s="1984"/>
      <c r="CS18" s="1984"/>
      <c r="CT18" s="1984"/>
      <c r="CU18" s="1984"/>
      <c r="CV18" s="1984"/>
      <c r="CW18" s="1984"/>
      <c r="CX18" s="1984"/>
      <c r="CY18" s="1984"/>
      <c r="CZ18" s="1984"/>
      <c r="DA18" s="1984"/>
      <c r="DB18" s="1984"/>
      <c r="DC18" s="1984"/>
      <c r="DD18" s="1984"/>
      <c r="DE18" s="1984"/>
      <c r="DF18" s="1984"/>
      <c r="DG18" s="1984"/>
      <c r="DH18" s="1984"/>
      <c r="DI18" s="1984"/>
      <c r="DJ18" s="1984"/>
      <c r="DK18" s="1984"/>
      <c r="DL18" s="1984"/>
      <c r="DM18" s="1984"/>
      <c r="DN18" s="1984"/>
      <c r="DO18" s="1984"/>
      <c r="DP18" s="1984"/>
      <c r="DQ18" s="1984"/>
      <c r="DR18" s="1984"/>
      <c r="DS18" s="1984"/>
      <c r="DT18" s="1984"/>
      <c r="DU18" s="1984"/>
      <c r="DV18" s="1984"/>
      <c r="DW18" s="1984"/>
      <c r="DX18" s="1984"/>
      <c r="DY18" s="1984"/>
      <c r="DZ18" s="1984"/>
      <c r="EA18" s="1984"/>
      <c r="EB18" s="1984"/>
      <c r="EC18" s="1984"/>
      <c r="ED18" s="1984"/>
      <c r="EE18" s="1984"/>
      <c r="EF18" s="1984"/>
      <c r="EG18" s="1984"/>
      <c r="EH18" s="1984"/>
      <c r="EI18" s="1984"/>
      <c r="EJ18" s="1984"/>
      <c r="EK18" s="1984"/>
      <c r="EL18" s="1984"/>
      <c r="EM18" s="1984"/>
      <c r="EN18" s="1984"/>
      <c r="EO18" s="1984"/>
      <c r="EP18" s="1984"/>
      <c r="EQ18" s="1984"/>
      <c r="ER18" s="1984"/>
      <c r="ES18" s="1984"/>
      <c r="ET18" s="1984"/>
      <c r="EU18" s="1984"/>
      <c r="EV18" s="1984"/>
      <c r="EW18" s="1984"/>
      <c r="EX18" s="1984"/>
      <c r="EY18" s="1984"/>
      <c r="EZ18" s="1984"/>
      <c r="FA18" s="1984"/>
      <c r="FB18" s="1984"/>
      <c r="FC18" s="1984"/>
      <c r="FD18" s="1984"/>
      <c r="FE18" s="1984"/>
      <c r="FF18" s="1984"/>
      <c r="FG18" s="1984"/>
      <c r="FH18" s="1984"/>
      <c r="FI18" s="1984"/>
      <c r="FJ18" s="1984"/>
      <c r="FK18" s="1984"/>
      <c r="FL18" s="1984"/>
      <c r="FM18" s="1984"/>
      <c r="FN18" s="1984"/>
      <c r="FO18" s="1984"/>
      <c r="FP18" s="1984"/>
      <c r="FQ18" s="1984"/>
      <c r="FR18" s="1984"/>
      <c r="FS18" s="1984"/>
      <c r="FT18" s="1984"/>
      <c r="FU18" s="1984"/>
      <c r="FV18" s="1984"/>
      <c r="FW18" s="1984"/>
      <c r="FX18" s="1984"/>
      <c r="FY18" s="1984"/>
      <c r="FZ18" s="1984"/>
      <c r="GA18" s="1984"/>
      <c r="GB18" s="1984"/>
      <c r="GC18" s="1984"/>
      <c r="GD18" s="1984"/>
      <c r="GE18" s="1984"/>
      <c r="GF18" s="1984"/>
      <c r="GG18" s="1984"/>
      <c r="GH18" s="1984"/>
      <c r="GI18" s="1984"/>
      <c r="GJ18" s="1984"/>
      <c r="GK18" s="1984"/>
      <c r="GL18" s="1984"/>
      <c r="GM18" s="1984"/>
      <c r="GN18" s="1984"/>
      <c r="GO18" s="1984"/>
      <c r="GP18" s="1984"/>
      <c r="GQ18" s="1984"/>
      <c r="GR18" s="1984"/>
      <c r="GS18" s="1984"/>
      <c r="GT18" s="1984"/>
      <c r="GU18" s="1984"/>
      <c r="GV18" s="1984"/>
      <c r="GW18" s="1984"/>
      <c r="GX18" s="1984"/>
      <c r="GY18" s="1984"/>
      <c r="GZ18" s="1984"/>
      <c r="HA18" s="1984"/>
      <c r="HB18" s="1984"/>
      <c r="HC18" s="1984"/>
      <c r="HD18" s="1984"/>
      <c r="HE18" s="1984"/>
      <c r="HF18" s="1984"/>
      <c r="HG18" s="1984"/>
      <c r="HH18" s="1984"/>
      <c r="HI18" s="1984"/>
      <c r="HJ18" s="1984"/>
      <c r="HK18" s="1984"/>
      <c r="HL18" s="1984"/>
      <c r="HM18" s="1984"/>
      <c r="HN18" s="1984"/>
      <c r="HO18" s="1984"/>
      <c r="HP18" s="1984"/>
      <c r="HQ18" s="1984"/>
      <c r="HR18" s="1984"/>
      <c r="HS18" s="1984"/>
      <c r="HT18" s="1984"/>
      <c r="HU18" s="1984"/>
      <c r="HV18" s="1984"/>
      <c r="HW18" s="1984"/>
      <c r="HX18" s="1984"/>
      <c r="HY18" s="1984"/>
      <c r="HZ18" s="1984"/>
      <c r="IA18" s="1984"/>
      <c r="IB18" s="1984"/>
      <c r="IC18" s="1984"/>
      <c r="ID18" s="1984"/>
      <c r="IE18" s="1984"/>
      <c r="IF18" s="1984"/>
      <c r="IG18" s="1984"/>
      <c r="IH18" s="1984"/>
      <c r="II18" s="1984"/>
      <c r="IJ18" s="1984"/>
      <c r="IK18" s="1984"/>
      <c r="IL18" s="1984"/>
      <c r="IM18" s="1984"/>
      <c r="IN18" s="1984"/>
      <c r="IO18" s="1984"/>
      <c r="IP18" s="1984"/>
      <c r="IQ18" s="1984"/>
      <c r="IR18" s="1984"/>
    </row>
    <row r="19" spans="1:252" s="1813" customFormat="1" ht="13.5" customHeight="1" x14ac:dyDescent="0.25">
      <c r="A19" s="1961" t="s">
        <v>8608</v>
      </c>
      <c r="B19" s="1962" t="s">
        <v>8608</v>
      </c>
      <c r="C19" s="1963" t="s">
        <v>8610</v>
      </c>
      <c r="D19" s="1964" t="s">
        <v>4384</v>
      </c>
      <c r="E19" s="1960" t="s">
        <v>1743</v>
      </c>
      <c r="F19" s="1965">
        <v>42860</v>
      </c>
      <c r="G19" s="1966">
        <v>42843</v>
      </c>
      <c r="H19" s="1965">
        <v>42853</v>
      </c>
      <c r="I19" s="1967">
        <v>44347</v>
      </c>
      <c r="J19" s="1989">
        <v>1000</v>
      </c>
      <c r="K19" s="1964" t="s">
        <v>3229</v>
      </c>
      <c r="L19" s="1968" t="s">
        <v>3229</v>
      </c>
      <c r="M19" s="1969">
        <v>-0.1</v>
      </c>
      <c r="N19" s="1970">
        <v>1</v>
      </c>
      <c r="O19" s="1971">
        <v>0.5</v>
      </c>
      <c r="P19" s="3198" t="s">
        <v>3229</v>
      </c>
      <c r="Q19" s="3198" t="s">
        <v>3229</v>
      </c>
      <c r="R19" s="1972" t="s">
        <v>3229</v>
      </c>
      <c r="S19" s="1973"/>
      <c r="T19" s="1974" t="s">
        <v>3229</v>
      </c>
      <c r="U19" s="1974" t="s">
        <v>3229</v>
      </c>
      <c r="V19" s="1974" t="s">
        <v>3229</v>
      </c>
      <c r="W19" s="1974" t="s">
        <v>3229</v>
      </c>
      <c r="X19" s="1974" t="s">
        <v>3229</v>
      </c>
      <c r="Y19" s="1974" t="s">
        <v>3229</v>
      </c>
      <c r="Z19" s="1974" t="s">
        <v>3229</v>
      </c>
      <c r="AA19" s="1974" t="s">
        <v>3229</v>
      </c>
      <c r="AB19" s="1974" t="s">
        <v>3229</v>
      </c>
      <c r="AC19" s="1974" t="s">
        <v>3229</v>
      </c>
      <c r="AD19" s="1974" t="s">
        <v>3229</v>
      </c>
      <c r="AE19" s="1974" t="s">
        <v>3229</v>
      </c>
      <c r="AF19" s="1963" t="str">
        <f>IF(S19="","-",IF(T19="",S19,MAX(IF(T19&gt;indexy!$B$1,S19,S19-S19),IF(U19&gt;indexy!$B$1,S19-1,S19-S19),IF(V19&gt;indexy!$B$1,S19-2,S19-S19),IF(W19&gt;indexy!$B$1,S19-3,S19-S19),IF(X19&gt;indexy!$B$1,S19-4,S19-S19),IF(Y19&gt;indexy!$B$1,S19-5,S19-S19),IF(Z19&gt;indexy!$B$1,S19-6,S19-S19),IF(AA19&gt;indexy!$B$1,S19-7,S19-S19),IF(AB19&gt;indexy!$B$1,S19-8,S19-S19),IF(AC19&gt;indexy!$B$1,S19-9,S19-S19),IF(AD19&gt;indexy!$B$1,S19-10,S19-S19),IF(AE19&gt;indexy!$B$1,S19-11,S19-S19))))</f>
        <v>-</v>
      </c>
      <c r="AG19" s="3415" t="s">
        <v>10636</v>
      </c>
      <c r="AH19" s="1976" t="s">
        <v>3229</v>
      </c>
      <c r="AI19" s="1976" t="s">
        <v>3229</v>
      </c>
      <c r="AJ19" s="1976" t="s">
        <v>3229</v>
      </c>
      <c r="AK19" s="1976" t="s">
        <v>3229</v>
      </c>
      <c r="AL19" s="1976" t="s">
        <v>3229</v>
      </c>
      <c r="AM19" s="1977">
        <v>1</v>
      </c>
      <c r="AN19" s="2349">
        <f>+'klikací hodnoty2'!F1669</f>
        <v>-3.690033333333332E-2</v>
      </c>
      <c r="AO19" s="1979">
        <v>963.1</v>
      </c>
      <c r="AP19" s="2349">
        <f>+'klikací hodnoty2'!E1668</f>
        <v>-4.5322333333333374E-2</v>
      </c>
      <c r="AQ19" s="2349">
        <f>+'klikací hodnoty2'!F1661</f>
        <v>5.0826141097673541E-3</v>
      </c>
      <c r="AR19" s="3915">
        <f t="shared" si="13"/>
        <v>0.5</v>
      </c>
      <c r="AS19" s="3916">
        <f t="shared" si="14"/>
        <v>0.10464689587280329</v>
      </c>
      <c r="AT19" s="3916"/>
      <c r="AU19" s="3806"/>
      <c r="AV19" s="1980">
        <f>M19</f>
        <v>-0.1</v>
      </c>
      <c r="AW19" s="1981">
        <f>POWER(1+AV19,1/((I19-F19)/365))-1</f>
        <v>-2.5530308014667158E-2</v>
      </c>
      <c r="AX19" s="3012"/>
      <c r="AY19" s="2097"/>
      <c r="AZ19" s="1983">
        <f>J19*(1+AV19)</f>
        <v>900</v>
      </c>
      <c r="BB19" s="1973"/>
      <c r="BC19" s="2965"/>
      <c r="BD19" s="3431"/>
      <c r="BE19" s="3434"/>
      <c r="BF19" s="3434"/>
      <c r="BG19" s="3434"/>
      <c r="BH19" s="1985"/>
      <c r="BI19" s="1986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4"/>
      <c r="BU19" s="1984"/>
      <c r="BV19" s="1984"/>
      <c r="BW19" s="1984"/>
      <c r="BX19" s="1984"/>
      <c r="BY19" s="1984"/>
      <c r="BZ19" s="1984"/>
      <c r="CA19" s="1984"/>
      <c r="CB19" s="1984"/>
      <c r="CC19" s="1984"/>
      <c r="CD19" s="1984"/>
      <c r="CE19" s="1984"/>
      <c r="CF19" s="1984"/>
      <c r="CG19" s="1984"/>
      <c r="CH19" s="1984"/>
      <c r="CI19" s="1984"/>
      <c r="CJ19" s="1984"/>
      <c r="CK19" s="1984"/>
      <c r="CL19" s="1984"/>
      <c r="CM19" s="1984"/>
      <c r="CN19" s="1984"/>
      <c r="CO19" s="1984"/>
      <c r="CP19" s="1984"/>
      <c r="CQ19" s="1984"/>
      <c r="CR19" s="1984"/>
      <c r="CS19" s="1984"/>
      <c r="CT19" s="1984"/>
      <c r="CU19" s="1984"/>
      <c r="CV19" s="1984"/>
      <c r="CW19" s="1984"/>
      <c r="CX19" s="1984"/>
      <c r="CY19" s="1984"/>
      <c r="CZ19" s="1984"/>
      <c r="DA19" s="1984"/>
      <c r="DB19" s="1984"/>
      <c r="DC19" s="1984"/>
      <c r="DD19" s="1984"/>
      <c r="DE19" s="1984"/>
      <c r="DF19" s="1984"/>
      <c r="DG19" s="1984"/>
      <c r="DH19" s="1984"/>
      <c r="DI19" s="1984"/>
      <c r="DJ19" s="1984"/>
      <c r="DK19" s="1984"/>
      <c r="DL19" s="1984"/>
      <c r="DM19" s="1984"/>
      <c r="DN19" s="1984"/>
      <c r="DO19" s="1984"/>
      <c r="DP19" s="1984"/>
      <c r="DQ19" s="1984"/>
      <c r="DR19" s="1984"/>
      <c r="DS19" s="1984"/>
      <c r="DT19" s="1984"/>
      <c r="DU19" s="1984"/>
      <c r="DV19" s="1984"/>
      <c r="DW19" s="1984"/>
      <c r="DX19" s="1984"/>
      <c r="DY19" s="1984"/>
      <c r="DZ19" s="1984"/>
      <c r="EA19" s="1984"/>
      <c r="EB19" s="1984"/>
      <c r="EC19" s="1984"/>
      <c r="ED19" s="1984"/>
      <c r="EE19" s="1984"/>
      <c r="EF19" s="1984"/>
      <c r="EG19" s="1984"/>
      <c r="EH19" s="1984"/>
      <c r="EI19" s="1984"/>
      <c r="EJ19" s="1984"/>
      <c r="EK19" s="1984"/>
      <c r="EL19" s="1984"/>
      <c r="EM19" s="1984"/>
      <c r="EN19" s="1984"/>
      <c r="EO19" s="1984"/>
      <c r="EP19" s="1984"/>
      <c r="EQ19" s="1984"/>
      <c r="ER19" s="1984"/>
      <c r="ES19" s="1984"/>
      <c r="ET19" s="1984"/>
      <c r="EU19" s="1984"/>
      <c r="EV19" s="1984"/>
      <c r="EW19" s="1984"/>
      <c r="EX19" s="1984"/>
      <c r="EY19" s="1984"/>
      <c r="EZ19" s="1984"/>
      <c r="FA19" s="1984"/>
      <c r="FB19" s="1984"/>
      <c r="FC19" s="1984"/>
      <c r="FD19" s="1984"/>
      <c r="FE19" s="1984"/>
      <c r="FF19" s="1984"/>
      <c r="FG19" s="1984"/>
      <c r="FH19" s="1984"/>
      <c r="FI19" s="1984"/>
      <c r="FJ19" s="1984"/>
      <c r="FK19" s="1984"/>
      <c r="FL19" s="1984"/>
      <c r="FM19" s="1984"/>
      <c r="FN19" s="1984"/>
      <c r="FO19" s="1984"/>
      <c r="FP19" s="1984"/>
      <c r="FQ19" s="1984"/>
      <c r="FR19" s="1984"/>
      <c r="FS19" s="1984"/>
      <c r="FT19" s="1984"/>
      <c r="FU19" s="1984"/>
      <c r="FV19" s="1984"/>
      <c r="FW19" s="1984"/>
      <c r="FX19" s="1984"/>
      <c r="FY19" s="1984"/>
      <c r="FZ19" s="1984"/>
      <c r="GA19" s="1984"/>
      <c r="GB19" s="1984"/>
      <c r="GC19" s="1984"/>
      <c r="GD19" s="1984"/>
      <c r="GE19" s="1984"/>
      <c r="GF19" s="1984"/>
      <c r="GG19" s="1984"/>
      <c r="GH19" s="1984"/>
      <c r="GI19" s="1984"/>
      <c r="GJ19" s="1984"/>
      <c r="GK19" s="1984"/>
      <c r="GL19" s="1984"/>
      <c r="GM19" s="1984"/>
      <c r="GN19" s="1984"/>
      <c r="GO19" s="1984"/>
      <c r="GP19" s="1984"/>
      <c r="GQ19" s="1984"/>
      <c r="GR19" s="1984"/>
      <c r="GS19" s="1984"/>
      <c r="GT19" s="1984"/>
      <c r="GU19" s="1984"/>
      <c r="GV19" s="1984"/>
      <c r="GW19" s="1984"/>
      <c r="GX19" s="1984"/>
      <c r="GY19" s="1984"/>
      <c r="GZ19" s="1984"/>
      <c r="HA19" s="1984"/>
      <c r="HB19" s="1984"/>
      <c r="HC19" s="1984"/>
      <c r="HD19" s="1984"/>
      <c r="HE19" s="1984"/>
      <c r="HF19" s="1984"/>
      <c r="HG19" s="1984"/>
      <c r="HH19" s="1984"/>
      <c r="HI19" s="1984"/>
      <c r="HJ19" s="1984"/>
      <c r="HK19" s="1984"/>
      <c r="HL19" s="1984"/>
      <c r="HM19" s="1984"/>
      <c r="HN19" s="1984"/>
      <c r="HO19" s="1984"/>
      <c r="HP19" s="1984"/>
      <c r="HQ19" s="1984"/>
      <c r="HR19" s="1984"/>
      <c r="HS19" s="1984"/>
      <c r="HT19" s="1984"/>
      <c r="HU19" s="1984"/>
      <c r="HV19" s="1984"/>
      <c r="HW19" s="1984"/>
      <c r="HX19" s="1984"/>
      <c r="HY19" s="1984"/>
      <c r="HZ19" s="1984"/>
      <c r="IA19" s="1984"/>
      <c r="IB19" s="1984"/>
      <c r="IC19" s="1984"/>
      <c r="ID19" s="1984"/>
      <c r="IE19" s="1984"/>
      <c r="IF19" s="1984"/>
      <c r="IG19" s="1984"/>
      <c r="IH19" s="1984"/>
      <c r="II19" s="1984"/>
      <c r="IJ19" s="1984"/>
      <c r="IK19" s="1984"/>
      <c r="IL19" s="1984"/>
      <c r="IM19" s="1984"/>
      <c r="IN19" s="1984"/>
      <c r="IO19" s="1984"/>
      <c r="IP19" s="1984"/>
      <c r="IQ19" s="1984"/>
      <c r="IR19" s="1984"/>
    </row>
    <row r="20" spans="1:252" s="1813" customFormat="1" ht="13.5" customHeight="1" x14ac:dyDescent="0.25">
      <c r="A20" s="1961" t="s">
        <v>7596</v>
      </c>
      <c r="B20" s="1962" t="s">
        <v>7596</v>
      </c>
      <c r="C20" s="1963" t="s">
        <v>7600</v>
      </c>
      <c r="D20" s="1964" t="s">
        <v>4384</v>
      </c>
      <c r="E20" s="1960" t="s">
        <v>1743</v>
      </c>
      <c r="F20" s="1965">
        <v>42345</v>
      </c>
      <c r="G20" s="1966">
        <v>42324</v>
      </c>
      <c r="H20" s="1965">
        <v>42335</v>
      </c>
      <c r="I20" s="1967">
        <v>44377</v>
      </c>
      <c r="J20" s="1989">
        <v>1000</v>
      </c>
      <c r="K20" s="1964" t="s">
        <v>3229</v>
      </c>
      <c r="L20" s="1968" t="s">
        <v>3229</v>
      </c>
      <c r="M20" s="1969">
        <v>-0.1</v>
      </c>
      <c r="N20" s="1970">
        <v>1</v>
      </c>
      <c r="O20" s="1971">
        <v>0.65</v>
      </c>
      <c r="P20" s="3198" t="s">
        <v>3229</v>
      </c>
      <c r="Q20" s="3198" t="s">
        <v>3229</v>
      </c>
      <c r="R20" s="1972" t="s">
        <v>3229</v>
      </c>
      <c r="S20" s="1973"/>
      <c r="T20" s="1974" t="s">
        <v>3229</v>
      </c>
      <c r="U20" s="1974" t="s">
        <v>3229</v>
      </c>
      <c r="V20" s="1974" t="s">
        <v>3229</v>
      </c>
      <c r="W20" s="1974" t="s">
        <v>3229</v>
      </c>
      <c r="X20" s="1974" t="s">
        <v>3229</v>
      </c>
      <c r="Y20" s="1974" t="s">
        <v>3229</v>
      </c>
      <c r="Z20" s="1974" t="s">
        <v>3229</v>
      </c>
      <c r="AA20" s="1974" t="s">
        <v>3229</v>
      </c>
      <c r="AB20" s="1974" t="s">
        <v>3229</v>
      </c>
      <c r="AC20" s="1974" t="s">
        <v>3229</v>
      </c>
      <c r="AD20" s="1974" t="s">
        <v>3229</v>
      </c>
      <c r="AE20" s="1974" t="s">
        <v>3229</v>
      </c>
      <c r="AF20" s="1963" t="str">
        <f>IF(S20="","-",IF(T20="",S20,MAX(IF(T20&gt;indexy!$B$1,S20,S20-S20),IF(U20&gt;indexy!$B$1,S20-1,S20-S20),IF(V20&gt;indexy!$B$1,S20-2,S20-S20),IF(W20&gt;indexy!$B$1,S20-3,S20-S20),IF(X20&gt;indexy!$B$1,S20-4,S20-S20),IF(Y20&gt;indexy!$B$1,S20-5,S20-S20),IF(Z20&gt;indexy!$B$1,S20-6,S20-S20),IF(AA20&gt;indexy!$B$1,S20-7,S20-S20),IF(AB20&gt;indexy!$B$1,S20-8,S20-S20),IF(AC20&gt;indexy!$B$1,S20-9,S20-S20),IF(AD20&gt;indexy!$B$1,S20-10,S20-S20),IF(AE20&gt;indexy!$B$1,S20-11,S20-S20))))</f>
        <v>-</v>
      </c>
      <c r="AG20" s="3415" t="s">
        <v>10636</v>
      </c>
      <c r="AH20" s="1976" t="s">
        <v>3229</v>
      </c>
      <c r="AI20" s="1976" t="s">
        <v>3229</v>
      </c>
      <c r="AJ20" s="1976" t="s">
        <v>3229</v>
      </c>
      <c r="AK20" s="1976" t="s">
        <v>3229</v>
      </c>
      <c r="AL20" s="1976" t="s">
        <v>3229</v>
      </c>
      <c r="AM20" s="1977">
        <v>1</v>
      </c>
      <c r="AN20" s="2349">
        <f>+'klikací hodnoty2'!F718</f>
        <v>0.26177308333333343</v>
      </c>
      <c r="AO20" s="1979">
        <v>1261.8</v>
      </c>
      <c r="AP20" s="2349">
        <f>+'klikací hodnoty2'!E717</f>
        <v>0.22694908333333333</v>
      </c>
      <c r="AQ20" s="2349">
        <f>+'klikací hodnoty2'!F704</f>
        <v>0.38019824653349288</v>
      </c>
      <c r="AR20" s="3915">
        <f t="shared" si="13"/>
        <v>0.65</v>
      </c>
      <c r="AS20" s="3916">
        <f t="shared" si="14"/>
        <v>9.4122042485518254E-2</v>
      </c>
      <c r="AT20" s="3916">
        <f>IF(AO20="","",J20*(1+AR20)/AO20-1)</f>
        <v>0.30765572990965295</v>
      </c>
      <c r="AU20" s="3806" t="e">
        <f>IF(AT20="","",POWER(1+AT20,1/AG20)-1)</f>
        <v>#VALUE!</v>
      </c>
      <c r="AV20" s="1980">
        <f>M20</f>
        <v>-0.1</v>
      </c>
      <c r="AW20" s="1981">
        <f>POWER(1+AV20,1/((I20-F20)/365))-1</f>
        <v>-1.8747523754423345E-2</v>
      </c>
      <c r="AX20" s="3012">
        <f>IF(AO20="","",J20*(1+AV20)/AO20-1)</f>
        <v>-0.28673323823109842</v>
      </c>
      <c r="AY20" s="2097"/>
      <c r="AZ20" s="1983">
        <f>J20*(1+AV20)</f>
        <v>900</v>
      </c>
      <c r="BB20" s="1973"/>
      <c r="BC20" s="2965"/>
      <c r="BD20" s="3431"/>
      <c r="BE20" s="3434"/>
      <c r="BF20" s="3434"/>
      <c r="BG20" s="3434"/>
      <c r="BH20" s="1985"/>
      <c r="BI20" s="1986"/>
      <c r="BJ20" s="1984"/>
      <c r="BK20" s="1984"/>
      <c r="BL20" s="1984"/>
      <c r="BM20" s="1984"/>
      <c r="BN20" s="1984"/>
      <c r="BO20" s="1984"/>
      <c r="BP20" s="1984"/>
      <c r="BQ20" s="1984"/>
      <c r="BR20" s="1984"/>
      <c r="BS20" s="1984"/>
      <c r="BT20" s="1984"/>
      <c r="BU20" s="1984"/>
      <c r="BV20" s="1984"/>
      <c r="BW20" s="1984"/>
      <c r="BX20" s="1984"/>
      <c r="BY20" s="1984"/>
      <c r="BZ20" s="1984"/>
      <c r="CA20" s="1984"/>
      <c r="CB20" s="1984"/>
      <c r="CC20" s="1984"/>
      <c r="CD20" s="1984"/>
      <c r="CE20" s="1984"/>
      <c r="CF20" s="1984"/>
      <c r="CG20" s="1984"/>
      <c r="CH20" s="1984"/>
      <c r="CI20" s="1984"/>
      <c r="CJ20" s="1984"/>
      <c r="CK20" s="1984"/>
      <c r="CL20" s="1984"/>
      <c r="CM20" s="1984"/>
      <c r="CN20" s="1984"/>
      <c r="CO20" s="1984"/>
      <c r="CP20" s="1984"/>
      <c r="CQ20" s="1984"/>
      <c r="CR20" s="1984"/>
      <c r="CS20" s="1984"/>
      <c r="CT20" s="1984"/>
      <c r="CU20" s="1984"/>
      <c r="CV20" s="1984"/>
      <c r="CW20" s="1984"/>
      <c r="CX20" s="1984"/>
      <c r="CY20" s="1984"/>
      <c r="CZ20" s="1984"/>
      <c r="DA20" s="1984"/>
      <c r="DB20" s="1984"/>
      <c r="DC20" s="1984"/>
      <c r="DD20" s="1984"/>
      <c r="DE20" s="1984"/>
      <c r="DF20" s="1984"/>
      <c r="DG20" s="1984"/>
      <c r="DH20" s="1984"/>
      <c r="DI20" s="1984"/>
      <c r="DJ20" s="1984"/>
      <c r="DK20" s="1984"/>
      <c r="DL20" s="1984"/>
      <c r="DM20" s="1984"/>
      <c r="DN20" s="1984"/>
      <c r="DO20" s="1984"/>
      <c r="DP20" s="1984"/>
      <c r="DQ20" s="1984"/>
      <c r="DR20" s="1984"/>
      <c r="DS20" s="1984"/>
      <c r="DT20" s="1984"/>
      <c r="DU20" s="1984"/>
      <c r="DV20" s="1984"/>
      <c r="DW20" s="1984"/>
      <c r="DX20" s="1984"/>
      <c r="DY20" s="1984"/>
      <c r="DZ20" s="1984"/>
      <c r="EA20" s="1984"/>
      <c r="EB20" s="1984"/>
      <c r="EC20" s="1984"/>
      <c r="ED20" s="1984"/>
      <c r="EE20" s="1984"/>
      <c r="EF20" s="1984"/>
      <c r="EG20" s="1984"/>
      <c r="EH20" s="1984"/>
      <c r="EI20" s="1984"/>
      <c r="EJ20" s="1984"/>
      <c r="EK20" s="1984"/>
      <c r="EL20" s="1984"/>
      <c r="EM20" s="1984"/>
      <c r="EN20" s="1984"/>
      <c r="EO20" s="1984"/>
      <c r="EP20" s="1984"/>
      <c r="EQ20" s="1984"/>
      <c r="ER20" s="1984"/>
      <c r="ES20" s="1984"/>
      <c r="ET20" s="1984"/>
      <c r="EU20" s="1984"/>
      <c r="EV20" s="1984"/>
      <c r="EW20" s="1984"/>
      <c r="EX20" s="1984"/>
      <c r="EY20" s="1984"/>
      <c r="EZ20" s="1984"/>
      <c r="FA20" s="1984"/>
      <c r="FB20" s="1984"/>
      <c r="FC20" s="1984"/>
      <c r="FD20" s="1984"/>
      <c r="FE20" s="1984"/>
      <c r="FF20" s="1984"/>
      <c r="FG20" s="1984"/>
      <c r="FH20" s="1984"/>
      <c r="FI20" s="1984"/>
      <c r="FJ20" s="1984"/>
      <c r="FK20" s="1984"/>
      <c r="FL20" s="1984"/>
      <c r="FM20" s="1984"/>
      <c r="FN20" s="1984"/>
      <c r="FO20" s="1984"/>
      <c r="FP20" s="1984"/>
      <c r="FQ20" s="1984"/>
      <c r="FR20" s="1984"/>
      <c r="FS20" s="1984"/>
      <c r="FT20" s="1984"/>
      <c r="FU20" s="1984"/>
      <c r="FV20" s="1984"/>
      <c r="FW20" s="1984"/>
      <c r="FX20" s="1984"/>
      <c r="FY20" s="1984"/>
      <c r="FZ20" s="1984"/>
      <c r="GA20" s="1984"/>
      <c r="GB20" s="1984"/>
      <c r="GC20" s="1984"/>
      <c r="GD20" s="1984"/>
      <c r="GE20" s="1984"/>
      <c r="GF20" s="1984"/>
      <c r="GG20" s="1984"/>
      <c r="GH20" s="1984"/>
      <c r="GI20" s="1984"/>
      <c r="GJ20" s="1984"/>
      <c r="GK20" s="1984"/>
      <c r="GL20" s="1984"/>
      <c r="GM20" s="1984"/>
      <c r="GN20" s="1984"/>
      <c r="GO20" s="1984"/>
      <c r="GP20" s="1984"/>
      <c r="GQ20" s="1984"/>
      <c r="GR20" s="1984"/>
      <c r="GS20" s="1984"/>
      <c r="GT20" s="1984"/>
      <c r="GU20" s="1984"/>
      <c r="GV20" s="1984"/>
      <c r="GW20" s="1984"/>
      <c r="GX20" s="1984"/>
      <c r="GY20" s="1984"/>
      <c r="GZ20" s="1984"/>
      <c r="HA20" s="1984"/>
      <c r="HB20" s="1984"/>
      <c r="HC20" s="1984"/>
      <c r="HD20" s="1984"/>
      <c r="HE20" s="1984"/>
      <c r="HF20" s="1984"/>
      <c r="HG20" s="1984"/>
      <c r="HH20" s="1984"/>
      <c r="HI20" s="1984"/>
      <c r="HJ20" s="1984"/>
      <c r="HK20" s="1984"/>
      <c r="HL20" s="1984"/>
      <c r="HM20" s="1984"/>
      <c r="HN20" s="1984"/>
      <c r="HO20" s="1984"/>
      <c r="HP20" s="1984"/>
      <c r="HQ20" s="1984"/>
      <c r="HR20" s="1984"/>
      <c r="HS20" s="1984"/>
      <c r="HT20" s="1984"/>
      <c r="HU20" s="1984"/>
      <c r="HV20" s="1984"/>
      <c r="HW20" s="1984"/>
      <c r="HX20" s="1984"/>
      <c r="HY20" s="1984"/>
      <c r="HZ20" s="1984"/>
      <c r="IA20" s="1984"/>
      <c r="IB20" s="1984"/>
      <c r="IC20" s="1984"/>
      <c r="ID20" s="1984"/>
      <c r="IE20" s="1984"/>
      <c r="IF20" s="1984"/>
      <c r="IG20" s="1984"/>
      <c r="IH20" s="1984"/>
      <c r="II20" s="1984"/>
      <c r="IJ20" s="1984"/>
      <c r="IK20" s="1984"/>
      <c r="IL20" s="1984"/>
      <c r="IM20" s="1984"/>
      <c r="IN20" s="1984"/>
      <c r="IO20" s="1984"/>
      <c r="IP20" s="1984"/>
      <c r="IQ20" s="1984"/>
      <c r="IR20" s="1984"/>
    </row>
    <row r="21" spans="1:252" s="1813" customFormat="1" ht="13.5" customHeight="1" x14ac:dyDescent="0.25">
      <c r="A21" s="1961" t="s">
        <v>7052</v>
      </c>
      <c r="B21" s="1962" t="s">
        <v>7052</v>
      </c>
      <c r="C21" s="3432" t="s">
        <v>7066</v>
      </c>
      <c r="D21" s="1964" t="s">
        <v>4384</v>
      </c>
      <c r="E21" s="1960" t="s">
        <v>1743</v>
      </c>
      <c r="F21" s="1965">
        <v>42160</v>
      </c>
      <c r="G21" s="1966">
        <v>42142</v>
      </c>
      <c r="H21" s="1965">
        <v>42153</v>
      </c>
      <c r="I21" s="1967">
        <v>44377</v>
      </c>
      <c r="J21" s="1989">
        <v>1000</v>
      </c>
      <c r="K21" s="1964" t="s">
        <v>3229</v>
      </c>
      <c r="L21" s="1968" t="s">
        <v>3229</v>
      </c>
      <c r="M21" s="1969">
        <v>-0.1</v>
      </c>
      <c r="N21" s="1970">
        <v>1</v>
      </c>
      <c r="O21" s="1971">
        <v>0.6</v>
      </c>
      <c r="P21" s="3198" t="s">
        <v>3229</v>
      </c>
      <c r="Q21" s="3198" t="s">
        <v>3229</v>
      </c>
      <c r="R21" s="1972" t="s">
        <v>3229</v>
      </c>
      <c r="S21" s="1973"/>
      <c r="T21" s="1974" t="s">
        <v>3229</v>
      </c>
      <c r="U21" s="1974" t="s">
        <v>3229</v>
      </c>
      <c r="V21" s="1974" t="s">
        <v>3229</v>
      </c>
      <c r="W21" s="1974" t="s">
        <v>3229</v>
      </c>
      <c r="X21" s="1974" t="s">
        <v>3229</v>
      </c>
      <c r="Y21" s="1974" t="s">
        <v>3229</v>
      </c>
      <c r="Z21" s="1974" t="s">
        <v>3229</v>
      </c>
      <c r="AA21" s="1974" t="s">
        <v>3229</v>
      </c>
      <c r="AB21" s="1974" t="s">
        <v>3229</v>
      </c>
      <c r="AC21" s="1974" t="s">
        <v>3229</v>
      </c>
      <c r="AD21" s="1974" t="s">
        <v>3229</v>
      </c>
      <c r="AE21" s="1974" t="s">
        <v>3229</v>
      </c>
      <c r="AF21" s="1963" t="str">
        <f>IF(S21="","-",IF(T21="",S21,MAX(IF(T21&gt;indexy!$B$1,S21,S21-S21),IF(U21&gt;indexy!$B$1,S21-1,S21-S21),IF(V21&gt;indexy!$B$1,S21-2,S21-S21),IF(W21&gt;indexy!$B$1,S21-3,S21-S21),IF(X21&gt;indexy!$B$1,S21-4,S21-S21),IF(Y21&gt;indexy!$B$1,S21-5,S21-S21),IF(Z21&gt;indexy!$B$1,S21-6,S21-S21),IF(AA21&gt;indexy!$B$1,S21-7,S21-S21),IF(AB21&gt;indexy!$B$1,S21-8,S21-S21),IF(AC21&gt;indexy!$B$1,S21-9,S21-S21),IF(AD21&gt;indexy!$B$1,S21-10,S21-S21),IF(AE21&gt;indexy!$B$1,S21-11,S21-S21))))</f>
        <v>-</v>
      </c>
      <c r="AG21" s="3415" t="s">
        <v>10636</v>
      </c>
      <c r="AH21" s="1976" t="s">
        <v>3229</v>
      </c>
      <c r="AI21" s="1976" t="s">
        <v>3229</v>
      </c>
      <c r="AJ21" s="1976" t="s">
        <v>3229</v>
      </c>
      <c r="AK21" s="1976" t="s">
        <v>3229</v>
      </c>
      <c r="AL21" s="1976" t="s">
        <v>3229</v>
      </c>
      <c r="AM21" s="1977">
        <v>1</v>
      </c>
      <c r="AN21" s="2349">
        <f>+'klikací hodnoty2'!F961</f>
        <v>0.11111416666666669</v>
      </c>
      <c r="AO21" s="1979">
        <v>1111.0999999999999</v>
      </c>
      <c r="AP21" s="2349">
        <f>+'klikací hodnoty2'!E960</f>
        <v>0.11111416666666669</v>
      </c>
      <c r="AQ21" s="2349">
        <f>+'klikací hodnoty2'!F947</f>
        <v>0.16636973402257998</v>
      </c>
      <c r="AR21" s="3915">
        <f t="shared" si="13"/>
        <v>0.6</v>
      </c>
      <c r="AS21" s="3916">
        <f t="shared" si="14"/>
        <v>8.0452504419904924E-2</v>
      </c>
      <c r="AT21" s="3916">
        <f>IF(AO21="","",J21*(1+AR21)/AO21-1)</f>
        <v>0.44001440014400162</v>
      </c>
      <c r="AU21" s="3806" t="e">
        <f>IF(AT21="","",POWER(1+AT21,1/AG21)-1)</f>
        <v>#VALUE!</v>
      </c>
      <c r="AV21" s="1980">
        <f>M21</f>
        <v>-0.1</v>
      </c>
      <c r="AW21" s="1981">
        <f>POWER(1+AV21,1/((I21-F21)/365))-1</f>
        <v>-1.7196648644584145E-2</v>
      </c>
      <c r="AX21" s="3012">
        <f>IF(AO21="","",J21*(1+AV21)/AO21-1)</f>
        <v>-0.18999189991899912</v>
      </c>
      <c r="AY21" s="2097"/>
      <c r="AZ21" s="1983">
        <f>J21*(1+AV21)</f>
        <v>900</v>
      </c>
      <c r="BB21" s="1973"/>
      <c r="BC21" s="2965"/>
      <c r="BD21" s="3431"/>
      <c r="BE21" s="3434"/>
      <c r="BF21" s="3434"/>
      <c r="BG21" s="3434"/>
      <c r="BH21" s="1985"/>
      <c r="BI21" s="1986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4"/>
      <c r="BU21" s="1984"/>
      <c r="BV21" s="1984"/>
      <c r="BW21" s="1984"/>
      <c r="BX21" s="1984"/>
      <c r="BY21" s="1984"/>
      <c r="BZ21" s="1984"/>
      <c r="CA21" s="1984"/>
      <c r="CB21" s="1984"/>
      <c r="CC21" s="1984"/>
      <c r="CD21" s="1984"/>
      <c r="CE21" s="1984"/>
      <c r="CF21" s="1984"/>
      <c r="CG21" s="1984"/>
      <c r="CH21" s="1984"/>
      <c r="CI21" s="1984"/>
      <c r="CJ21" s="1984"/>
      <c r="CK21" s="1984"/>
      <c r="CL21" s="1984"/>
      <c r="CM21" s="1984"/>
      <c r="CN21" s="1984"/>
      <c r="CO21" s="1984"/>
      <c r="CP21" s="1984"/>
      <c r="CQ21" s="1984"/>
      <c r="CR21" s="1984"/>
      <c r="CS21" s="1984"/>
      <c r="CT21" s="1984"/>
      <c r="CU21" s="1984"/>
      <c r="CV21" s="1984"/>
      <c r="CW21" s="1984"/>
      <c r="CX21" s="1984"/>
      <c r="CY21" s="1984"/>
      <c r="CZ21" s="1984"/>
      <c r="DA21" s="1984"/>
      <c r="DB21" s="1984"/>
      <c r="DC21" s="1984"/>
      <c r="DD21" s="1984"/>
      <c r="DE21" s="1984"/>
      <c r="DF21" s="1984"/>
      <c r="DG21" s="1984"/>
      <c r="DH21" s="1984"/>
      <c r="DI21" s="1984"/>
      <c r="DJ21" s="1984"/>
      <c r="DK21" s="1984"/>
      <c r="DL21" s="1984"/>
      <c r="DM21" s="1984"/>
      <c r="DN21" s="1984"/>
      <c r="DO21" s="1984"/>
      <c r="DP21" s="1984"/>
      <c r="DQ21" s="1984"/>
      <c r="DR21" s="1984"/>
      <c r="DS21" s="1984"/>
      <c r="DT21" s="1984"/>
      <c r="DU21" s="1984"/>
      <c r="DV21" s="1984"/>
      <c r="DW21" s="1984"/>
      <c r="DX21" s="1984"/>
      <c r="DY21" s="1984"/>
      <c r="DZ21" s="1984"/>
      <c r="EA21" s="1984"/>
      <c r="EB21" s="1984"/>
      <c r="EC21" s="1984"/>
      <c r="ED21" s="1984"/>
      <c r="EE21" s="1984"/>
      <c r="EF21" s="1984"/>
      <c r="EG21" s="1984"/>
      <c r="EH21" s="1984"/>
      <c r="EI21" s="1984"/>
      <c r="EJ21" s="1984"/>
      <c r="EK21" s="1984"/>
      <c r="EL21" s="1984"/>
      <c r="EM21" s="1984"/>
      <c r="EN21" s="1984"/>
      <c r="EO21" s="1984"/>
      <c r="EP21" s="1984"/>
      <c r="EQ21" s="1984"/>
      <c r="ER21" s="1984"/>
      <c r="ES21" s="1984"/>
      <c r="ET21" s="1984"/>
      <c r="EU21" s="1984"/>
      <c r="EV21" s="1984"/>
      <c r="EW21" s="1984"/>
      <c r="EX21" s="1984"/>
      <c r="EY21" s="1984"/>
      <c r="EZ21" s="1984"/>
      <c r="FA21" s="1984"/>
      <c r="FB21" s="1984"/>
      <c r="FC21" s="1984"/>
      <c r="FD21" s="1984"/>
      <c r="FE21" s="1984"/>
      <c r="FF21" s="1984"/>
      <c r="FG21" s="1984"/>
      <c r="FH21" s="1984"/>
      <c r="FI21" s="1984"/>
      <c r="FJ21" s="1984"/>
      <c r="FK21" s="1984"/>
      <c r="FL21" s="1984"/>
      <c r="FM21" s="1984"/>
      <c r="FN21" s="1984"/>
      <c r="FO21" s="1984"/>
      <c r="FP21" s="1984"/>
      <c r="FQ21" s="1984"/>
      <c r="FR21" s="1984"/>
      <c r="FS21" s="1984"/>
      <c r="FT21" s="1984"/>
      <c r="FU21" s="1984"/>
      <c r="FV21" s="1984"/>
      <c r="FW21" s="1984"/>
      <c r="FX21" s="1984"/>
      <c r="FY21" s="1984"/>
      <c r="FZ21" s="1984"/>
      <c r="GA21" s="1984"/>
      <c r="GB21" s="1984"/>
      <c r="GC21" s="1984"/>
      <c r="GD21" s="1984"/>
      <c r="GE21" s="1984"/>
      <c r="GF21" s="1984"/>
      <c r="GG21" s="1984"/>
      <c r="GH21" s="1984"/>
      <c r="GI21" s="1984"/>
      <c r="GJ21" s="1984"/>
      <c r="GK21" s="1984"/>
      <c r="GL21" s="1984"/>
      <c r="GM21" s="1984"/>
      <c r="GN21" s="1984"/>
      <c r="GO21" s="1984"/>
      <c r="GP21" s="1984"/>
      <c r="GQ21" s="1984"/>
      <c r="GR21" s="1984"/>
      <c r="GS21" s="1984"/>
      <c r="GT21" s="1984"/>
      <c r="GU21" s="1984"/>
      <c r="GV21" s="1984"/>
      <c r="GW21" s="1984"/>
      <c r="GX21" s="1984"/>
      <c r="GY21" s="1984"/>
      <c r="GZ21" s="1984"/>
      <c r="HA21" s="1984"/>
      <c r="HB21" s="1984"/>
      <c r="HC21" s="1984"/>
      <c r="HD21" s="1984"/>
      <c r="HE21" s="1984"/>
      <c r="HF21" s="1984"/>
      <c r="HG21" s="1984"/>
      <c r="HH21" s="1984"/>
      <c r="HI21" s="1984"/>
      <c r="HJ21" s="1984"/>
      <c r="HK21" s="1984"/>
      <c r="HL21" s="1984"/>
      <c r="HM21" s="1984"/>
      <c r="HN21" s="1984"/>
      <c r="HO21" s="1984"/>
      <c r="HP21" s="1984"/>
      <c r="HQ21" s="1984"/>
      <c r="HR21" s="1984"/>
      <c r="HS21" s="1984"/>
      <c r="HT21" s="1984"/>
      <c r="HU21" s="1984"/>
      <c r="HV21" s="1984"/>
      <c r="HW21" s="1984"/>
      <c r="HX21" s="1984"/>
      <c r="HY21" s="1984"/>
      <c r="HZ21" s="1984"/>
      <c r="IA21" s="1984"/>
      <c r="IB21" s="1984"/>
      <c r="IC21" s="1984"/>
      <c r="ID21" s="1984"/>
      <c r="IE21" s="1984"/>
      <c r="IF21" s="1984"/>
      <c r="IG21" s="1984"/>
      <c r="IH21" s="1984"/>
      <c r="II21" s="1984"/>
      <c r="IJ21" s="1984"/>
      <c r="IK21" s="1984"/>
      <c r="IL21" s="1984"/>
      <c r="IM21" s="1984"/>
      <c r="IN21" s="1984"/>
      <c r="IO21" s="1984"/>
      <c r="IP21" s="1984"/>
      <c r="IQ21" s="1984"/>
      <c r="IR21" s="1984"/>
    </row>
    <row r="22" spans="1:252" s="1813" customFormat="1" ht="13.5" customHeight="1" x14ac:dyDescent="0.25">
      <c r="A22" s="1961" t="s">
        <v>7053</v>
      </c>
      <c r="B22" s="1962" t="s">
        <v>7053</v>
      </c>
      <c r="C22" s="1963" t="s">
        <v>7067</v>
      </c>
      <c r="D22" s="1964" t="s">
        <v>1872</v>
      </c>
      <c r="E22" s="1960" t="s">
        <v>1743</v>
      </c>
      <c r="F22" s="1965">
        <v>42192</v>
      </c>
      <c r="G22" s="1966">
        <v>42170</v>
      </c>
      <c r="H22" s="1965">
        <v>42181</v>
      </c>
      <c r="I22" s="1967">
        <v>44407</v>
      </c>
      <c r="J22" s="1989">
        <v>1000</v>
      </c>
      <c r="K22" s="1964" t="s">
        <v>3229</v>
      </c>
      <c r="L22" s="1968" t="s">
        <v>3229</v>
      </c>
      <c r="M22" s="1969">
        <v>-0.1</v>
      </c>
      <c r="N22" s="1970">
        <v>1</v>
      </c>
      <c r="O22" s="1971">
        <v>0.6</v>
      </c>
      <c r="P22" s="3198" t="s">
        <v>3229</v>
      </c>
      <c r="Q22" s="3198" t="s">
        <v>3229</v>
      </c>
      <c r="R22" s="1972" t="s">
        <v>3229</v>
      </c>
      <c r="S22" s="1973"/>
      <c r="T22" s="1974" t="s">
        <v>3229</v>
      </c>
      <c r="U22" s="1974" t="s">
        <v>3229</v>
      </c>
      <c r="V22" s="1974" t="s">
        <v>3229</v>
      </c>
      <c r="W22" s="1974" t="s">
        <v>3229</v>
      </c>
      <c r="X22" s="1974" t="s">
        <v>3229</v>
      </c>
      <c r="Y22" s="1974" t="s">
        <v>3229</v>
      </c>
      <c r="Z22" s="1974" t="s">
        <v>3229</v>
      </c>
      <c r="AA22" s="1974" t="s">
        <v>3229</v>
      </c>
      <c r="AB22" s="1974" t="s">
        <v>3229</v>
      </c>
      <c r="AC22" s="1974" t="s">
        <v>3229</v>
      </c>
      <c r="AD22" s="1974" t="s">
        <v>3229</v>
      </c>
      <c r="AE22" s="1974" t="s">
        <v>3229</v>
      </c>
      <c r="AF22" s="1963" t="s">
        <v>3229</v>
      </c>
      <c r="AG22" s="3450" t="s">
        <v>10636</v>
      </c>
      <c r="AH22" s="1976" t="s">
        <v>3229</v>
      </c>
      <c r="AI22" s="1976" t="s">
        <v>3229</v>
      </c>
      <c r="AJ22" s="1976" t="s">
        <v>3229</v>
      </c>
      <c r="AK22" s="1976" t="s">
        <v>3229</v>
      </c>
      <c r="AL22" s="1976" t="s">
        <v>3229</v>
      </c>
      <c r="AM22" s="1977">
        <v>1</v>
      </c>
      <c r="AN22" s="2349">
        <v>0.20074024999999993</v>
      </c>
      <c r="AO22" s="1979">
        <v>1200.7</v>
      </c>
      <c r="AP22" s="2349">
        <v>0.20074024999999993</v>
      </c>
      <c r="AQ22" s="2349">
        <v>0.19873987093146528</v>
      </c>
      <c r="AR22" s="3427">
        <v>0.6</v>
      </c>
      <c r="AS22" s="3428">
        <v>8.0527997214145275E-2</v>
      </c>
      <c r="AT22" s="3428">
        <v>0.33255600899475302</v>
      </c>
      <c r="AU22" s="3426"/>
      <c r="AV22" s="1980">
        <v>-0.1</v>
      </c>
      <c r="AW22" s="1981">
        <v>-1.7212041690031876E-2</v>
      </c>
      <c r="AX22" s="3012">
        <v>-0.25043724494045139</v>
      </c>
      <c r="AY22" s="2097"/>
      <c r="AZ22" s="1983">
        <v>900</v>
      </c>
      <c r="BB22" s="1973"/>
      <c r="BC22" s="2965"/>
      <c r="BD22" s="3431"/>
      <c r="BE22" s="3434"/>
      <c r="BF22" s="3434"/>
      <c r="BG22" s="3434"/>
      <c r="BH22" s="1985"/>
      <c r="BI22" s="1986"/>
      <c r="BJ22" s="1984"/>
      <c r="BK22" s="1984"/>
      <c r="BL22" s="1984"/>
      <c r="BM22" s="1984"/>
      <c r="BN22" s="1984"/>
      <c r="BO22" s="1984"/>
      <c r="BP22" s="1984"/>
      <c r="BQ22" s="1984"/>
      <c r="BR22" s="1984"/>
      <c r="BS22" s="1984"/>
      <c r="BT22" s="1984"/>
      <c r="BU22" s="1984"/>
      <c r="BV22" s="1984"/>
      <c r="BW22" s="1984"/>
      <c r="BX22" s="1984"/>
      <c r="BY22" s="1984"/>
      <c r="BZ22" s="1984"/>
      <c r="CA22" s="1984"/>
      <c r="CB22" s="1984"/>
      <c r="CC22" s="1984"/>
      <c r="CD22" s="1984"/>
      <c r="CE22" s="1984"/>
      <c r="CF22" s="1984"/>
      <c r="CG22" s="1984"/>
      <c r="CH22" s="1984"/>
      <c r="CI22" s="1984"/>
      <c r="CJ22" s="1984"/>
      <c r="CK22" s="1984"/>
      <c r="CL22" s="1984"/>
      <c r="CM22" s="1984"/>
      <c r="CN22" s="1984"/>
      <c r="CO22" s="1984"/>
      <c r="CP22" s="1984"/>
      <c r="CQ22" s="1984"/>
      <c r="CR22" s="1984"/>
      <c r="CS22" s="1984"/>
      <c r="CT22" s="1984"/>
      <c r="CU22" s="1984"/>
      <c r="CV22" s="1984"/>
      <c r="CW22" s="1984"/>
      <c r="CX22" s="1984"/>
      <c r="CY22" s="1984"/>
      <c r="CZ22" s="1984"/>
      <c r="DA22" s="1984"/>
      <c r="DB22" s="1984"/>
      <c r="DC22" s="1984"/>
      <c r="DD22" s="1984"/>
      <c r="DE22" s="1984"/>
      <c r="DF22" s="1984"/>
      <c r="DG22" s="1984"/>
      <c r="DH22" s="1984"/>
      <c r="DI22" s="1984"/>
      <c r="DJ22" s="1984"/>
      <c r="DK22" s="1984"/>
      <c r="DL22" s="1984"/>
      <c r="DM22" s="1984"/>
      <c r="DN22" s="1984"/>
      <c r="DO22" s="1984"/>
      <c r="DP22" s="1984"/>
      <c r="DQ22" s="1984"/>
      <c r="DR22" s="1984"/>
      <c r="DS22" s="1984"/>
      <c r="DT22" s="1984"/>
      <c r="DU22" s="1984"/>
      <c r="DV22" s="1984"/>
      <c r="DW22" s="1984"/>
      <c r="DX22" s="1984"/>
      <c r="DY22" s="1984"/>
      <c r="DZ22" s="1984"/>
      <c r="EA22" s="1984"/>
      <c r="EB22" s="1984"/>
      <c r="EC22" s="1984"/>
      <c r="ED22" s="1984"/>
      <c r="EE22" s="1984"/>
      <c r="EF22" s="1984"/>
      <c r="EG22" s="1984"/>
      <c r="EH22" s="1984"/>
      <c r="EI22" s="1984"/>
      <c r="EJ22" s="1984"/>
      <c r="EK22" s="1984"/>
      <c r="EL22" s="1984"/>
      <c r="EM22" s="1984"/>
      <c r="EN22" s="1984"/>
      <c r="EO22" s="1984"/>
      <c r="EP22" s="1984"/>
      <c r="EQ22" s="1984"/>
      <c r="ER22" s="1984"/>
      <c r="ES22" s="1984"/>
      <c r="ET22" s="1984"/>
      <c r="EU22" s="1984"/>
      <c r="EV22" s="1984"/>
      <c r="EW22" s="1984"/>
      <c r="EX22" s="1984"/>
      <c r="EY22" s="1984"/>
      <c r="EZ22" s="1984"/>
      <c r="FA22" s="1984"/>
      <c r="FB22" s="1984"/>
      <c r="FC22" s="1984"/>
      <c r="FD22" s="1984"/>
      <c r="FE22" s="1984"/>
      <c r="FF22" s="1984"/>
      <c r="FG22" s="1984"/>
      <c r="FH22" s="1984"/>
      <c r="FI22" s="1984"/>
      <c r="FJ22" s="1984"/>
      <c r="FK22" s="1984"/>
      <c r="FL22" s="1984"/>
      <c r="FM22" s="1984"/>
      <c r="FN22" s="1984"/>
      <c r="FO22" s="1984"/>
      <c r="FP22" s="1984"/>
      <c r="FQ22" s="1984"/>
      <c r="FR22" s="1984"/>
      <c r="FS22" s="1984"/>
      <c r="FT22" s="1984"/>
      <c r="FU22" s="1984"/>
      <c r="FV22" s="1984"/>
      <c r="FW22" s="1984"/>
      <c r="FX22" s="1984"/>
      <c r="FY22" s="1984"/>
      <c r="FZ22" s="1984"/>
      <c r="GA22" s="1984"/>
      <c r="GB22" s="1984"/>
      <c r="GC22" s="1984"/>
      <c r="GD22" s="1984"/>
      <c r="GE22" s="1984"/>
      <c r="GF22" s="1984"/>
      <c r="GG22" s="1984"/>
      <c r="GH22" s="1984"/>
      <c r="GI22" s="1984"/>
      <c r="GJ22" s="1984"/>
      <c r="GK22" s="1984"/>
      <c r="GL22" s="1984"/>
      <c r="GM22" s="1984"/>
      <c r="GN22" s="1984"/>
      <c r="GO22" s="1984"/>
      <c r="GP22" s="1984"/>
      <c r="GQ22" s="1984"/>
      <c r="GR22" s="1984"/>
      <c r="GS22" s="1984"/>
      <c r="GT22" s="1984"/>
      <c r="GU22" s="1984"/>
      <c r="GV22" s="1984"/>
      <c r="GW22" s="1984"/>
      <c r="GX22" s="1984"/>
      <c r="GY22" s="1984"/>
      <c r="GZ22" s="1984"/>
      <c r="HA22" s="1984"/>
      <c r="HB22" s="1984"/>
      <c r="HC22" s="1984"/>
      <c r="HD22" s="1984"/>
      <c r="HE22" s="1984"/>
      <c r="HF22" s="1984"/>
      <c r="HG22" s="1984"/>
      <c r="HH22" s="1984"/>
      <c r="HI22" s="1984"/>
      <c r="HJ22" s="1984"/>
      <c r="HK22" s="1984"/>
      <c r="HL22" s="1984"/>
      <c r="HM22" s="1984"/>
      <c r="HN22" s="1984"/>
      <c r="HO22" s="1984"/>
      <c r="HP22" s="1984"/>
      <c r="HQ22" s="1984"/>
      <c r="HR22" s="1984"/>
      <c r="HS22" s="1984"/>
      <c r="HT22" s="1984"/>
      <c r="HU22" s="1984"/>
      <c r="HV22" s="1984"/>
      <c r="HW22" s="1984"/>
      <c r="HX22" s="1984"/>
      <c r="HY22" s="1984"/>
      <c r="HZ22" s="1984"/>
      <c r="IA22" s="1984"/>
      <c r="IB22" s="1984"/>
      <c r="IC22" s="1984"/>
      <c r="ID22" s="1984"/>
      <c r="IE22" s="1984"/>
      <c r="IF22" s="1984"/>
      <c r="IG22" s="1984"/>
      <c r="IH22" s="1984"/>
      <c r="II22" s="1984"/>
      <c r="IJ22" s="1984"/>
      <c r="IK22" s="1984"/>
      <c r="IL22" s="1984"/>
      <c r="IM22" s="1984"/>
      <c r="IN22" s="1984"/>
      <c r="IO22" s="1984"/>
      <c r="IP22" s="1984"/>
      <c r="IQ22" s="1984"/>
      <c r="IR22" s="1984"/>
    </row>
    <row r="23" spans="1:252" s="1813" customFormat="1" ht="13.5" customHeight="1" x14ac:dyDescent="0.25">
      <c r="A23" s="1961" t="s">
        <v>7197</v>
      </c>
      <c r="B23" s="1962" t="s">
        <v>7197</v>
      </c>
      <c r="C23" s="1963" t="s">
        <v>7198</v>
      </c>
      <c r="D23" s="1964" t="s">
        <v>4384</v>
      </c>
      <c r="E23" s="1960" t="s">
        <v>1743</v>
      </c>
      <c r="F23" s="1965">
        <v>42314</v>
      </c>
      <c r="G23" s="1966">
        <v>42289</v>
      </c>
      <c r="H23" s="1965">
        <v>42307</v>
      </c>
      <c r="I23" s="1967">
        <v>44407</v>
      </c>
      <c r="J23" s="1989">
        <v>1000</v>
      </c>
      <c r="K23" s="1964" t="s">
        <v>3229</v>
      </c>
      <c r="L23" s="1968" t="s">
        <v>3229</v>
      </c>
      <c r="M23" s="1969">
        <v>-0.1</v>
      </c>
      <c r="N23" s="1970">
        <v>1</v>
      </c>
      <c r="O23" s="1971">
        <v>0.6</v>
      </c>
      <c r="P23" s="3198" t="s">
        <v>3229</v>
      </c>
      <c r="Q23" s="3198" t="s">
        <v>3229</v>
      </c>
      <c r="R23" s="1972" t="s">
        <v>3229</v>
      </c>
      <c r="S23" s="1973"/>
      <c r="T23" s="1974" t="s">
        <v>3229</v>
      </c>
      <c r="U23" s="1974" t="s">
        <v>3229</v>
      </c>
      <c r="V23" s="1974" t="s">
        <v>3229</v>
      </c>
      <c r="W23" s="1974" t="s">
        <v>3229</v>
      </c>
      <c r="X23" s="1974" t="s">
        <v>3229</v>
      </c>
      <c r="Y23" s="1974" t="s">
        <v>3229</v>
      </c>
      <c r="Z23" s="1974" t="s">
        <v>3229</v>
      </c>
      <c r="AA23" s="1974" t="s">
        <v>3229</v>
      </c>
      <c r="AB23" s="1974" t="s">
        <v>3229</v>
      </c>
      <c r="AC23" s="1974" t="s">
        <v>3229</v>
      </c>
      <c r="AD23" s="1974" t="s">
        <v>3229</v>
      </c>
      <c r="AE23" s="1974" t="s">
        <v>3229</v>
      </c>
      <c r="AF23" s="1963" t="s">
        <v>3229</v>
      </c>
      <c r="AG23" s="3450" t="s">
        <v>10636</v>
      </c>
      <c r="AH23" s="1976" t="s">
        <v>3229</v>
      </c>
      <c r="AI23" s="1976" t="s">
        <v>3229</v>
      </c>
      <c r="AJ23" s="1976" t="s">
        <v>3229</v>
      </c>
      <c r="AK23" s="1976" t="s">
        <v>3229</v>
      </c>
      <c r="AL23" s="1976" t="s">
        <v>3229</v>
      </c>
      <c r="AM23" s="1977">
        <v>1</v>
      </c>
      <c r="AN23" s="2349">
        <v>0.45159374999999996</v>
      </c>
      <c r="AO23" s="1979">
        <v>1451.55</v>
      </c>
      <c r="AP23" s="2349">
        <v>0.45159374999999996</v>
      </c>
      <c r="AQ23" s="2349">
        <v>0.6297023988831183</v>
      </c>
      <c r="AR23" s="3427">
        <v>0.6</v>
      </c>
      <c r="AS23" s="3428">
        <v>8.5417082968714864E-2</v>
      </c>
      <c r="AT23" s="3428">
        <v>0.10226998725500325</v>
      </c>
      <c r="AU23" s="3426"/>
      <c r="AV23" s="1980">
        <v>-0.1</v>
      </c>
      <c r="AW23" s="1981">
        <v>-1.8206136284499519E-2</v>
      </c>
      <c r="AX23" s="3012">
        <v>-0.37997313216906059</v>
      </c>
      <c r="AY23" s="2097"/>
      <c r="AZ23" s="1983">
        <v>900</v>
      </c>
      <c r="BB23" s="1973"/>
      <c r="BC23" s="2965"/>
      <c r="BD23" s="3431"/>
      <c r="BE23" s="3434"/>
      <c r="BF23" s="3434"/>
      <c r="BG23" s="3434"/>
      <c r="BH23" s="3431"/>
      <c r="BI23" s="1986"/>
      <c r="BJ23" s="1984"/>
      <c r="BK23" s="1984"/>
      <c r="BL23" s="1984"/>
      <c r="BM23" s="1984"/>
      <c r="BN23" s="1984"/>
      <c r="BO23" s="1984"/>
      <c r="BP23" s="1984"/>
      <c r="BQ23" s="1984"/>
      <c r="BR23" s="1984"/>
      <c r="BS23" s="1984"/>
      <c r="BT23" s="1984"/>
      <c r="BU23" s="1984"/>
      <c r="BV23" s="1984"/>
      <c r="BW23" s="1984"/>
      <c r="BX23" s="1984"/>
      <c r="BY23" s="1984"/>
      <c r="BZ23" s="1984"/>
      <c r="CA23" s="1984"/>
      <c r="CB23" s="1984"/>
      <c r="CC23" s="1984"/>
      <c r="CD23" s="1984"/>
      <c r="CE23" s="1984"/>
      <c r="CF23" s="1984"/>
      <c r="CG23" s="1984"/>
      <c r="CH23" s="1984"/>
      <c r="CI23" s="1984"/>
      <c r="CJ23" s="1984"/>
      <c r="CK23" s="1984"/>
      <c r="CL23" s="1984"/>
      <c r="CM23" s="1984"/>
      <c r="CN23" s="1984"/>
      <c r="CO23" s="1984"/>
      <c r="CP23" s="1984"/>
      <c r="CQ23" s="1984"/>
      <c r="CR23" s="1984"/>
      <c r="CS23" s="1984"/>
      <c r="CT23" s="1984"/>
      <c r="CU23" s="1984"/>
      <c r="CV23" s="1984"/>
      <c r="CW23" s="1984"/>
      <c r="CX23" s="1984"/>
      <c r="CY23" s="1984"/>
      <c r="CZ23" s="1984"/>
      <c r="DA23" s="1984"/>
      <c r="DB23" s="1984"/>
      <c r="DC23" s="1984"/>
      <c r="DD23" s="1984"/>
      <c r="DE23" s="1984"/>
      <c r="DF23" s="1984"/>
      <c r="DG23" s="1984"/>
      <c r="DH23" s="1984"/>
      <c r="DI23" s="1984"/>
      <c r="DJ23" s="1984"/>
      <c r="DK23" s="1984"/>
      <c r="DL23" s="1984"/>
      <c r="DM23" s="1984"/>
      <c r="DN23" s="1984"/>
      <c r="DO23" s="1984"/>
      <c r="DP23" s="1984"/>
      <c r="DQ23" s="1984"/>
      <c r="DR23" s="1984"/>
      <c r="DS23" s="1984"/>
      <c r="DT23" s="1984"/>
      <c r="DU23" s="1984"/>
      <c r="DV23" s="1984"/>
      <c r="DW23" s="1984"/>
      <c r="DX23" s="1984"/>
      <c r="DY23" s="1984"/>
      <c r="DZ23" s="1984"/>
      <c r="EA23" s="1984"/>
      <c r="EB23" s="1984"/>
      <c r="EC23" s="1984"/>
      <c r="ED23" s="1984"/>
      <c r="EE23" s="1984"/>
      <c r="EF23" s="1984"/>
      <c r="EG23" s="1984"/>
      <c r="EH23" s="1984"/>
      <c r="EI23" s="1984"/>
      <c r="EJ23" s="1984"/>
      <c r="EK23" s="1984"/>
      <c r="EL23" s="1984"/>
      <c r="EM23" s="1984"/>
      <c r="EN23" s="1984"/>
      <c r="EO23" s="1984"/>
      <c r="EP23" s="1984"/>
      <c r="EQ23" s="1984"/>
      <c r="ER23" s="1984"/>
      <c r="ES23" s="1984"/>
      <c r="ET23" s="1984"/>
      <c r="EU23" s="1984"/>
      <c r="EV23" s="1984"/>
      <c r="EW23" s="1984"/>
      <c r="EX23" s="1984"/>
      <c r="EY23" s="1984"/>
      <c r="EZ23" s="1984"/>
      <c r="FA23" s="1984"/>
      <c r="FB23" s="1984"/>
      <c r="FC23" s="1984"/>
      <c r="FD23" s="1984"/>
      <c r="FE23" s="1984"/>
      <c r="FF23" s="1984"/>
      <c r="FG23" s="1984"/>
      <c r="FH23" s="1984"/>
      <c r="FI23" s="1984"/>
      <c r="FJ23" s="1984"/>
      <c r="FK23" s="1984"/>
      <c r="FL23" s="1984"/>
      <c r="FM23" s="1984"/>
      <c r="FN23" s="1984"/>
      <c r="FO23" s="1984"/>
      <c r="FP23" s="1984"/>
      <c r="FQ23" s="1984"/>
      <c r="FR23" s="1984"/>
      <c r="FS23" s="1984"/>
      <c r="FT23" s="1984"/>
      <c r="FU23" s="1984"/>
      <c r="FV23" s="1984"/>
      <c r="FW23" s="1984"/>
      <c r="FX23" s="1984"/>
      <c r="FY23" s="1984"/>
      <c r="FZ23" s="1984"/>
      <c r="GA23" s="1984"/>
      <c r="GB23" s="1984"/>
      <c r="GC23" s="1984"/>
      <c r="GD23" s="1984"/>
      <c r="GE23" s="1984"/>
      <c r="GF23" s="1984"/>
      <c r="GG23" s="1984"/>
      <c r="GH23" s="1984"/>
      <c r="GI23" s="1984"/>
      <c r="GJ23" s="1984"/>
      <c r="GK23" s="1984"/>
      <c r="GL23" s="1984"/>
      <c r="GM23" s="1984"/>
      <c r="GN23" s="1984"/>
      <c r="GO23" s="1984"/>
      <c r="GP23" s="1984"/>
      <c r="GQ23" s="1984"/>
      <c r="GR23" s="1984"/>
      <c r="GS23" s="1984"/>
      <c r="GT23" s="1984"/>
      <c r="GU23" s="1984"/>
      <c r="GV23" s="1984"/>
      <c r="GW23" s="1984"/>
      <c r="GX23" s="1984"/>
      <c r="GY23" s="1984"/>
      <c r="GZ23" s="1984"/>
      <c r="HA23" s="1984"/>
      <c r="HB23" s="1984"/>
      <c r="HC23" s="1984"/>
      <c r="HD23" s="1984"/>
      <c r="HE23" s="1984"/>
      <c r="HF23" s="1984"/>
      <c r="HG23" s="1984"/>
      <c r="HH23" s="1984"/>
      <c r="HI23" s="1984"/>
      <c r="HJ23" s="1984"/>
      <c r="HK23" s="1984"/>
      <c r="HL23" s="1984"/>
      <c r="HM23" s="1984"/>
      <c r="HN23" s="1984"/>
      <c r="HO23" s="1984"/>
      <c r="HP23" s="1984"/>
      <c r="HQ23" s="1984"/>
      <c r="HR23" s="1984"/>
      <c r="HS23" s="1984"/>
      <c r="HT23" s="1984"/>
      <c r="HU23" s="1984"/>
      <c r="HV23" s="1984"/>
      <c r="HW23" s="1984"/>
      <c r="HX23" s="1984"/>
      <c r="HY23" s="1984"/>
      <c r="HZ23" s="1984"/>
      <c r="IA23" s="1984"/>
      <c r="IB23" s="1984"/>
      <c r="IC23" s="1984"/>
      <c r="ID23" s="1984"/>
      <c r="IE23" s="1984"/>
      <c r="IF23" s="1984"/>
      <c r="IG23" s="1984"/>
      <c r="IH23" s="1984"/>
      <c r="II23" s="1984"/>
      <c r="IJ23" s="1984"/>
      <c r="IK23" s="1984"/>
      <c r="IL23" s="1984"/>
      <c r="IM23" s="1984"/>
      <c r="IN23" s="1984"/>
      <c r="IO23" s="1984"/>
      <c r="IP23" s="1984"/>
      <c r="IQ23" s="1984"/>
      <c r="IR23" s="1984"/>
    </row>
    <row r="24" spans="1:252" s="1813" customFormat="1" ht="13.5" customHeight="1" x14ac:dyDescent="0.25">
      <c r="A24" s="1961" t="s">
        <v>7069</v>
      </c>
      <c r="B24" s="1962" t="s">
        <v>7069</v>
      </c>
      <c r="C24" s="1963" t="s">
        <v>7070</v>
      </c>
      <c r="D24" s="1964" t="s">
        <v>1872</v>
      </c>
      <c r="E24" s="1960" t="s">
        <v>1743</v>
      </c>
      <c r="F24" s="1965">
        <v>42223</v>
      </c>
      <c r="G24" s="1966">
        <v>42198</v>
      </c>
      <c r="H24" s="1965">
        <v>42216</v>
      </c>
      <c r="I24" s="1967">
        <v>44439</v>
      </c>
      <c r="J24" s="1989">
        <v>1000</v>
      </c>
      <c r="K24" s="1964" t="s">
        <v>3229</v>
      </c>
      <c r="L24" s="1968" t="s">
        <v>3229</v>
      </c>
      <c r="M24" s="1969">
        <v>-0.1</v>
      </c>
      <c r="N24" s="1970">
        <v>1</v>
      </c>
      <c r="O24" s="1971">
        <v>0.6</v>
      </c>
      <c r="P24" s="3198" t="s">
        <v>3229</v>
      </c>
      <c r="Q24" s="3198" t="s">
        <v>3229</v>
      </c>
      <c r="R24" s="1972" t="s">
        <v>3229</v>
      </c>
      <c r="S24" s="1973"/>
      <c r="T24" s="1974" t="s">
        <v>3229</v>
      </c>
      <c r="U24" s="1974" t="s">
        <v>3229</v>
      </c>
      <c r="V24" s="1974" t="s">
        <v>3229</v>
      </c>
      <c r="W24" s="1974" t="s">
        <v>3229</v>
      </c>
      <c r="X24" s="1974" t="s">
        <v>3229</v>
      </c>
      <c r="Y24" s="1974" t="s">
        <v>3229</v>
      </c>
      <c r="Z24" s="1974" t="s">
        <v>3229</v>
      </c>
      <c r="AA24" s="1974" t="s">
        <v>3229</v>
      </c>
      <c r="AB24" s="1974" t="s">
        <v>3229</v>
      </c>
      <c r="AC24" s="1974" t="s">
        <v>3229</v>
      </c>
      <c r="AD24" s="1974" t="s">
        <v>3229</v>
      </c>
      <c r="AE24" s="1974" t="s">
        <v>3229</v>
      </c>
      <c r="AF24" s="1963" t="str">
        <f>IF(S24="","-",IF(T24="",S24,MAX(IF(T24&gt;indexy!$B$1,S24,S24-S24),IF(U24&gt;indexy!$B$1,S24-1,S24-S24),IF(V24&gt;indexy!$B$1,S24-2,S24-S24),IF(W24&gt;indexy!$B$1,S24-3,S24-S24),IF(X24&gt;indexy!$B$1,S24-4,S24-S24),IF(Y24&gt;indexy!$B$1,S24-5,S24-S24),IF(Z24&gt;indexy!$B$1,S24-6,S24-S24),IF(AA24&gt;indexy!$B$1,S24-7,S24-S24),IF(AB24&gt;indexy!$B$1,S24-8,S24-S24),IF(AC24&gt;indexy!$B$1,S24-9,S24-S24),IF(AD24&gt;indexy!$B$1,S24-10,S24-S24),IF(AE24&gt;indexy!$B$1,S24-11,S24-S24))))</f>
        <v>-</v>
      </c>
      <c r="AG24" s="3450" t="s">
        <v>10636</v>
      </c>
      <c r="AH24" s="1976" t="s">
        <v>3229</v>
      </c>
      <c r="AI24" s="1976" t="s">
        <v>3229</v>
      </c>
      <c r="AJ24" s="1976" t="s">
        <v>3229</v>
      </c>
      <c r="AK24" s="1976" t="s">
        <v>3229</v>
      </c>
      <c r="AL24" s="1976" t="s">
        <v>3229</v>
      </c>
      <c r="AM24" s="1977">
        <v>1</v>
      </c>
      <c r="AN24" s="2349">
        <f>'klikací hodnoty2'!F493</f>
        <v>0.1069775</v>
      </c>
      <c r="AO24" s="1979">
        <v>1107</v>
      </c>
      <c r="AP24" s="2349">
        <f>'klikací hodnoty2'!F492</f>
        <v>0.1069775</v>
      </c>
      <c r="AQ24" s="2349">
        <f>'klikací hodnoty2'!F479</f>
        <v>0.11089915342681426</v>
      </c>
      <c r="AR24" s="3437">
        <f>O24</f>
        <v>0.6</v>
      </c>
      <c r="AS24" s="3438">
        <f>POWER(1+AR24,1/((I24-F24)/365))-1</f>
        <v>8.049023312412662E-2</v>
      </c>
      <c r="AT24" s="3438">
        <f>IF(AO24="","",J24*(1+AR24)/AO24-1)</f>
        <v>0.44534778681120146</v>
      </c>
      <c r="AU24" s="3436"/>
      <c r="AV24" s="1980">
        <f>M24</f>
        <v>-0.1</v>
      </c>
      <c r="AW24" s="1981">
        <f>POWER(1+AV24,1/((I24-F24)/365))-1</f>
        <v>-1.7204341724284644E-2</v>
      </c>
      <c r="AX24" s="3012">
        <f>IF(AO24="","",J24*(1+AV24)/AO24-1)</f>
        <v>-0.18699186991869921</v>
      </c>
      <c r="AY24" s="2097"/>
      <c r="AZ24" s="1983">
        <f>J24*(1+AV24)</f>
        <v>900</v>
      </c>
      <c r="BB24" s="1973"/>
      <c r="BC24" s="2965"/>
      <c r="BD24" s="3431"/>
      <c r="BE24" s="3434"/>
      <c r="BF24" s="3434"/>
      <c r="BG24" s="3434"/>
      <c r="BH24" s="3431"/>
      <c r="BI24" s="1986"/>
      <c r="BJ24" s="1984"/>
      <c r="BK24" s="1984"/>
      <c r="BL24" s="1984"/>
      <c r="BM24" s="1984"/>
      <c r="BN24" s="1984"/>
      <c r="BO24" s="1984"/>
      <c r="BP24" s="1984"/>
      <c r="BQ24" s="1984"/>
      <c r="BR24" s="1984"/>
      <c r="BS24" s="1984"/>
      <c r="BT24" s="1984"/>
      <c r="BU24" s="1984"/>
      <c r="BV24" s="1984"/>
      <c r="BW24" s="1984"/>
      <c r="BX24" s="1984"/>
      <c r="BY24" s="1984"/>
      <c r="BZ24" s="1984"/>
      <c r="CA24" s="1984"/>
      <c r="CB24" s="1984"/>
      <c r="CC24" s="1984"/>
      <c r="CD24" s="1984"/>
      <c r="CE24" s="1984"/>
      <c r="CF24" s="1984"/>
      <c r="CG24" s="1984"/>
      <c r="CH24" s="1984"/>
      <c r="CI24" s="1984"/>
      <c r="CJ24" s="1984"/>
      <c r="CK24" s="1984"/>
      <c r="CL24" s="1984"/>
      <c r="CM24" s="1984"/>
      <c r="CN24" s="1984"/>
      <c r="CO24" s="1984"/>
      <c r="CP24" s="1984"/>
      <c r="CQ24" s="1984"/>
      <c r="CR24" s="1984"/>
      <c r="CS24" s="1984"/>
      <c r="CT24" s="1984"/>
      <c r="CU24" s="1984"/>
      <c r="CV24" s="1984"/>
      <c r="CW24" s="1984"/>
      <c r="CX24" s="1984"/>
      <c r="CY24" s="1984"/>
      <c r="CZ24" s="1984"/>
      <c r="DA24" s="1984"/>
      <c r="DB24" s="1984"/>
      <c r="DC24" s="1984"/>
      <c r="DD24" s="1984"/>
      <c r="DE24" s="1984"/>
      <c r="DF24" s="1984"/>
      <c r="DG24" s="1984"/>
      <c r="DH24" s="1984"/>
      <c r="DI24" s="1984"/>
      <c r="DJ24" s="1984"/>
      <c r="DK24" s="1984"/>
      <c r="DL24" s="1984"/>
      <c r="DM24" s="1984"/>
      <c r="DN24" s="1984"/>
      <c r="DO24" s="1984"/>
      <c r="DP24" s="1984"/>
      <c r="DQ24" s="1984"/>
      <c r="DR24" s="1984"/>
      <c r="DS24" s="1984"/>
      <c r="DT24" s="1984"/>
      <c r="DU24" s="1984"/>
      <c r="DV24" s="1984"/>
      <c r="DW24" s="1984"/>
      <c r="DX24" s="1984"/>
      <c r="DY24" s="1984"/>
      <c r="DZ24" s="1984"/>
      <c r="EA24" s="1984"/>
      <c r="EB24" s="1984"/>
      <c r="EC24" s="1984"/>
      <c r="ED24" s="1984"/>
      <c r="EE24" s="1984"/>
      <c r="EF24" s="1984"/>
      <c r="EG24" s="1984"/>
      <c r="EH24" s="1984"/>
      <c r="EI24" s="1984"/>
      <c r="EJ24" s="1984"/>
      <c r="EK24" s="1984"/>
      <c r="EL24" s="1984"/>
      <c r="EM24" s="1984"/>
      <c r="EN24" s="1984"/>
      <c r="EO24" s="1984"/>
      <c r="EP24" s="1984"/>
      <c r="EQ24" s="1984"/>
      <c r="ER24" s="1984"/>
      <c r="ES24" s="1984"/>
      <c r="ET24" s="1984"/>
      <c r="EU24" s="1984"/>
      <c r="EV24" s="1984"/>
      <c r="EW24" s="1984"/>
      <c r="EX24" s="1984"/>
      <c r="EY24" s="1984"/>
      <c r="EZ24" s="1984"/>
      <c r="FA24" s="1984"/>
      <c r="FB24" s="1984"/>
      <c r="FC24" s="1984"/>
      <c r="FD24" s="1984"/>
      <c r="FE24" s="1984"/>
      <c r="FF24" s="1984"/>
      <c r="FG24" s="1984"/>
      <c r="FH24" s="1984"/>
      <c r="FI24" s="1984"/>
      <c r="FJ24" s="1984"/>
      <c r="FK24" s="1984"/>
      <c r="FL24" s="1984"/>
      <c r="FM24" s="1984"/>
      <c r="FN24" s="1984"/>
      <c r="FO24" s="1984"/>
      <c r="FP24" s="1984"/>
      <c r="FQ24" s="1984"/>
      <c r="FR24" s="1984"/>
      <c r="FS24" s="1984"/>
      <c r="FT24" s="1984"/>
      <c r="FU24" s="1984"/>
      <c r="FV24" s="1984"/>
      <c r="FW24" s="1984"/>
      <c r="FX24" s="1984"/>
      <c r="FY24" s="1984"/>
      <c r="FZ24" s="1984"/>
      <c r="GA24" s="1984"/>
      <c r="GB24" s="1984"/>
      <c r="GC24" s="1984"/>
      <c r="GD24" s="1984"/>
      <c r="GE24" s="1984"/>
      <c r="GF24" s="1984"/>
      <c r="GG24" s="1984"/>
      <c r="GH24" s="1984"/>
      <c r="GI24" s="1984"/>
      <c r="GJ24" s="1984"/>
      <c r="GK24" s="1984"/>
      <c r="GL24" s="1984"/>
      <c r="GM24" s="1984"/>
      <c r="GN24" s="1984"/>
      <c r="GO24" s="1984"/>
      <c r="GP24" s="1984"/>
      <c r="GQ24" s="1984"/>
      <c r="GR24" s="1984"/>
      <c r="GS24" s="1984"/>
      <c r="GT24" s="1984"/>
      <c r="GU24" s="1984"/>
      <c r="GV24" s="1984"/>
      <c r="GW24" s="1984"/>
      <c r="GX24" s="1984"/>
      <c r="GY24" s="1984"/>
      <c r="GZ24" s="1984"/>
      <c r="HA24" s="1984"/>
      <c r="HB24" s="1984"/>
      <c r="HC24" s="1984"/>
      <c r="HD24" s="1984"/>
      <c r="HE24" s="1984"/>
      <c r="HF24" s="1984"/>
      <c r="HG24" s="1984"/>
      <c r="HH24" s="1984"/>
      <c r="HI24" s="1984"/>
      <c r="HJ24" s="1984"/>
      <c r="HK24" s="1984"/>
      <c r="HL24" s="1984"/>
      <c r="HM24" s="1984"/>
      <c r="HN24" s="1984"/>
      <c r="HO24" s="1984"/>
      <c r="HP24" s="1984"/>
      <c r="HQ24" s="1984"/>
      <c r="HR24" s="1984"/>
      <c r="HS24" s="1984"/>
      <c r="HT24" s="1984"/>
      <c r="HU24" s="1984"/>
      <c r="HV24" s="1984"/>
      <c r="HW24" s="1984"/>
      <c r="HX24" s="1984"/>
      <c r="HY24" s="1984"/>
      <c r="HZ24" s="1984"/>
      <c r="IA24" s="1984"/>
      <c r="IB24" s="1984"/>
      <c r="IC24" s="1984"/>
      <c r="ID24" s="1984"/>
      <c r="IE24" s="1984"/>
      <c r="IF24" s="1984"/>
      <c r="IG24" s="1984"/>
      <c r="IH24" s="1984"/>
      <c r="II24" s="1984"/>
      <c r="IJ24" s="1984"/>
      <c r="IK24" s="1984"/>
      <c r="IL24" s="1984"/>
      <c r="IM24" s="1984"/>
      <c r="IN24" s="1984"/>
      <c r="IO24" s="1984"/>
      <c r="IP24" s="1984"/>
      <c r="IQ24" s="1984"/>
      <c r="IR24" s="1984"/>
    </row>
    <row r="25" spans="1:252" s="1813" customFormat="1" ht="13.5" customHeight="1" x14ac:dyDescent="0.25">
      <c r="A25" s="1961" t="s">
        <v>7049</v>
      </c>
      <c r="B25" s="1962" t="s">
        <v>7049</v>
      </c>
      <c r="C25" s="1963" t="s">
        <v>7063</v>
      </c>
      <c r="D25" s="1964" t="s">
        <v>4384</v>
      </c>
      <c r="E25" s="1960" t="s">
        <v>1743</v>
      </c>
      <c r="F25" s="1965">
        <v>42069</v>
      </c>
      <c r="G25" s="1966">
        <v>42051</v>
      </c>
      <c r="H25" s="1965">
        <v>42062</v>
      </c>
      <c r="I25" s="1967">
        <v>44439</v>
      </c>
      <c r="J25" s="1989">
        <v>1000</v>
      </c>
      <c r="K25" s="1964" t="s">
        <v>3229</v>
      </c>
      <c r="L25" s="1968" t="s">
        <v>3229</v>
      </c>
      <c r="M25" s="1969">
        <v>-0.1</v>
      </c>
      <c r="N25" s="1970">
        <v>1</v>
      </c>
      <c r="O25" s="1971">
        <v>0.7</v>
      </c>
      <c r="P25" s="3198" t="s">
        <v>3229</v>
      </c>
      <c r="Q25" s="3198" t="s">
        <v>3229</v>
      </c>
      <c r="R25" s="1972" t="s">
        <v>3229</v>
      </c>
      <c r="S25" s="1973"/>
      <c r="T25" s="1974" t="s">
        <v>3229</v>
      </c>
      <c r="U25" s="1974" t="s">
        <v>3229</v>
      </c>
      <c r="V25" s="1974" t="s">
        <v>3229</v>
      </c>
      <c r="W25" s="1974" t="s">
        <v>3229</v>
      </c>
      <c r="X25" s="1974" t="s">
        <v>3229</v>
      </c>
      <c r="Y25" s="1974" t="s">
        <v>3229</v>
      </c>
      <c r="Z25" s="1974" t="s">
        <v>3229</v>
      </c>
      <c r="AA25" s="1974" t="s">
        <v>3229</v>
      </c>
      <c r="AB25" s="1974" t="s">
        <v>3229</v>
      </c>
      <c r="AC25" s="1974" t="s">
        <v>3229</v>
      </c>
      <c r="AD25" s="1974" t="s">
        <v>3229</v>
      </c>
      <c r="AE25" s="1974" t="s">
        <v>3229</v>
      </c>
      <c r="AF25" s="1963" t="str">
        <f>IF(S25="","-",IF(T25="",S25,MAX(IF(T25&gt;indexy!$B$1,S25,S25-S25),IF(U25&gt;indexy!$B$1,S25-1,S25-S25),IF(V25&gt;indexy!$B$1,S25-2,S25-S25),IF(W25&gt;indexy!$B$1,S25-3,S25-S25),IF(X25&gt;indexy!$B$1,S25-4,S25-S25),IF(Y25&gt;indexy!$B$1,S25-5,S25-S25),IF(Z25&gt;indexy!$B$1,S25-6,S25-S25),IF(AA25&gt;indexy!$B$1,S25-7,S25-S25),IF(AB25&gt;indexy!$B$1,S25-8,S25-S25),IF(AC25&gt;indexy!$B$1,S25-9,S25-S25),IF(AD25&gt;indexy!$B$1,S25-10,S25-S25),IF(AE25&gt;indexy!$B$1,S25-11,S25-S25))))</f>
        <v>-</v>
      </c>
      <c r="AG25" s="3450" t="s">
        <v>10636</v>
      </c>
      <c r="AH25" s="1976" t="s">
        <v>3229</v>
      </c>
      <c r="AI25" s="1976" t="s">
        <v>3229</v>
      </c>
      <c r="AJ25" s="1976" t="s">
        <v>3229</v>
      </c>
      <c r="AK25" s="1976" t="s">
        <v>3229</v>
      </c>
      <c r="AL25" s="1976" t="s">
        <v>3229</v>
      </c>
      <c r="AM25" s="1977">
        <v>1</v>
      </c>
      <c r="AN25" s="2349">
        <f>'klikací hodnoty2'!F299</f>
        <v>8.9920166666666856E-2</v>
      </c>
      <c r="AO25" s="1979">
        <v>1089.92</v>
      </c>
      <c r="AP25" s="2349">
        <f>'klikací hodnoty2'!F298</f>
        <v>8.9920166666666856E-2</v>
      </c>
      <c r="AQ25" s="2349">
        <f>'klikací hodnoty2'!F285</f>
        <v>0.13282711431769942</v>
      </c>
      <c r="AR25" s="3437">
        <f>O25</f>
        <v>0.7</v>
      </c>
      <c r="AS25" s="3438">
        <f>POWER(1+AR25,1/((I25-F25)/365))-1</f>
        <v>8.515325790109296E-2</v>
      </c>
      <c r="AT25" s="3438">
        <f>IF(AO25="","",J25*(1+AR25)/AO25-1)</f>
        <v>0.55974750440399279</v>
      </c>
      <c r="AU25" s="3436"/>
      <c r="AV25" s="1980">
        <f>M25</f>
        <v>-0.1</v>
      </c>
      <c r="AW25" s="1981">
        <f>POWER(1+AV25,1/((I25-F25)/365))-1</f>
        <v>-1.6095469542484642E-2</v>
      </c>
      <c r="AX25" s="3012">
        <f>IF(AO25="","",J25*(1+AV25)/AO25-1)</f>
        <v>-0.17425132119788611</v>
      </c>
      <c r="AY25" s="2097"/>
      <c r="AZ25" s="1983">
        <f>J25*(1+AV25)</f>
        <v>900</v>
      </c>
      <c r="BB25" s="1973"/>
      <c r="BC25" s="2965"/>
      <c r="BD25" s="3431"/>
      <c r="BE25" s="3434"/>
      <c r="BF25" s="3434"/>
      <c r="BG25" s="3434"/>
      <c r="BH25" s="3431"/>
      <c r="BI25" s="1986"/>
      <c r="BJ25" s="1984"/>
      <c r="BK25" s="1984"/>
      <c r="BL25" s="1984"/>
      <c r="BM25" s="1984"/>
      <c r="BN25" s="1984"/>
      <c r="BO25" s="1984"/>
      <c r="BP25" s="1984"/>
      <c r="BQ25" s="1984"/>
      <c r="BR25" s="1984"/>
      <c r="BS25" s="1984"/>
      <c r="BT25" s="1984"/>
      <c r="BU25" s="1984"/>
      <c r="BV25" s="1984"/>
      <c r="BW25" s="1984"/>
      <c r="BX25" s="1984"/>
      <c r="BY25" s="1984"/>
      <c r="BZ25" s="1984"/>
      <c r="CA25" s="1984"/>
      <c r="CB25" s="1984"/>
      <c r="CC25" s="1984"/>
      <c r="CD25" s="1984"/>
      <c r="CE25" s="1984"/>
      <c r="CF25" s="1984"/>
      <c r="CG25" s="1984"/>
      <c r="CH25" s="1984"/>
      <c r="CI25" s="1984"/>
      <c r="CJ25" s="1984"/>
      <c r="CK25" s="1984"/>
      <c r="CL25" s="1984"/>
      <c r="CM25" s="1984"/>
      <c r="CN25" s="1984"/>
      <c r="CO25" s="1984"/>
      <c r="CP25" s="1984"/>
      <c r="CQ25" s="1984"/>
      <c r="CR25" s="1984"/>
      <c r="CS25" s="1984"/>
      <c r="CT25" s="1984"/>
      <c r="CU25" s="1984"/>
      <c r="CV25" s="1984"/>
      <c r="CW25" s="1984"/>
      <c r="CX25" s="1984"/>
      <c r="CY25" s="1984"/>
      <c r="CZ25" s="1984"/>
      <c r="DA25" s="1984"/>
      <c r="DB25" s="1984"/>
      <c r="DC25" s="1984"/>
      <c r="DD25" s="1984"/>
      <c r="DE25" s="1984"/>
      <c r="DF25" s="1984"/>
      <c r="DG25" s="1984"/>
      <c r="DH25" s="1984"/>
      <c r="DI25" s="1984"/>
      <c r="DJ25" s="1984"/>
      <c r="DK25" s="1984"/>
      <c r="DL25" s="1984"/>
      <c r="DM25" s="1984"/>
      <c r="DN25" s="1984"/>
      <c r="DO25" s="1984"/>
      <c r="DP25" s="1984"/>
      <c r="DQ25" s="1984"/>
      <c r="DR25" s="1984"/>
      <c r="DS25" s="1984"/>
      <c r="DT25" s="1984"/>
      <c r="DU25" s="1984"/>
      <c r="DV25" s="1984"/>
      <c r="DW25" s="1984"/>
      <c r="DX25" s="1984"/>
      <c r="DY25" s="1984"/>
      <c r="DZ25" s="1984"/>
      <c r="EA25" s="1984"/>
      <c r="EB25" s="1984"/>
      <c r="EC25" s="1984"/>
      <c r="ED25" s="1984"/>
      <c r="EE25" s="1984"/>
      <c r="EF25" s="1984"/>
      <c r="EG25" s="1984"/>
      <c r="EH25" s="1984"/>
      <c r="EI25" s="1984"/>
      <c r="EJ25" s="1984"/>
      <c r="EK25" s="1984"/>
      <c r="EL25" s="1984"/>
      <c r="EM25" s="1984"/>
      <c r="EN25" s="1984"/>
      <c r="EO25" s="1984"/>
      <c r="EP25" s="1984"/>
      <c r="EQ25" s="1984"/>
      <c r="ER25" s="1984"/>
      <c r="ES25" s="1984"/>
      <c r="ET25" s="1984"/>
      <c r="EU25" s="1984"/>
      <c r="EV25" s="1984"/>
      <c r="EW25" s="1984"/>
      <c r="EX25" s="1984"/>
      <c r="EY25" s="1984"/>
      <c r="EZ25" s="1984"/>
      <c r="FA25" s="1984"/>
      <c r="FB25" s="1984"/>
      <c r="FC25" s="1984"/>
      <c r="FD25" s="1984"/>
      <c r="FE25" s="1984"/>
      <c r="FF25" s="1984"/>
      <c r="FG25" s="1984"/>
      <c r="FH25" s="1984"/>
      <c r="FI25" s="1984"/>
      <c r="FJ25" s="1984"/>
      <c r="FK25" s="1984"/>
      <c r="FL25" s="1984"/>
      <c r="FM25" s="1984"/>
      <c r="FN25" s="1984"/>
      <c r="FO25" s="1984"/>
      <c r="FP25" s="1984"/>
      <c r="FQ25" s="1984"/>
      <c r="FR25" s="1984"/>
      <c r="FS25" s="1984"/>
      <c r="FT25" s="1984"/>
      <c r="FU25" s="1984"/>
      <c r="FV25" s="1984"/>
      <c r="FW25" s="1984"/>
      <c r="FX25" s="1984"/>
      <c r="FY25" s="1984"/>
      <c r="FZ25" s="1984"/>
      <c r="GA25" s="1984"/>
      <c r="GB25" s="1984"/>
      <c r="GC25" s="1984"/>
      <c r="GD25" s="1984"/>
      <c r="GE25" s="1984"/>
      <c r="GF25" s="1984"/>
      <c r="GG25" s="1984"/>
      <c r="GH25" s="1984"/>
      <c r="GI25" s="1984"/>
      <c r="GJ25" s="1984"/>
      <c r="GK25" s="1984"/>
      <c r="GL25" s="1984"/>
      <c r="GM25" s="1984"/>
      <c r="GN25" s="1984"/>
      <c r="GO25" s="1984"/>
      <c r="GP25" s="1984"/>
      <c r="GQ25" s="1984"/>
      <c r="GR25" s="1984"/>
      <c r="GS25" s="1984"/>
      <c r="GT25" s="1984"/>
      <c r="GU25" s="1984"/>
      <c r="GV25" s="1984"/>
      <c r="GW25" s="1984"/>
      <c r="GX25" s="1984"/>
      <c r="GY25" s="1984"/>
      <c r="GZ25" s="1984"/>
      <c r="HA25" s="1984"/>
      <c r="HB25" s="1984"/>
      <c r="HC25" s="1984"/>
      <c r="HD25" s="1984"/>
      <c r="HE25" s="1984"/>
      <c r="HF25" s="1984"/>
      <c r="HG25" s="1984"/>
      <c r="HH25" s="1984"/>
      <c r="HI25" s="1984"/>
      <c r="HJ25" s="1984"/>
      <c r="HK25" s="1984"/>
      <c r="HL25" s="1984"/>
      <c r="HM25" s="1984"/>
      <c r="HN25" s="1984"/>
      <c r="HO25" s="1984"/>
      <c r="HP25" s="1984"/>
      <c r="HQ25" s="1984"/>
      <c r="HR25" s="1984"/>
      <c r="HS25" s="1984"/>
      <c r="HT25" s="1984"/>
      <c r="HU25" s="1984"/>
      <c r="HV25" s="1984"/>
      <c r="HW25" s="1984"/>
      <c r="HX25" s="1984"/>
      <c r="HY25" s="1984"/>
      <c r="HZ25" s="1984"/>
      <c r="IA25" s="1984"/>
      <c r="IB25" s="1984"/>
      <c r="IC25" s="1984"/>
      <c r="ID25" s="1984"/>
      <c r="IE25" s="1984"/>
      <c r="IF25" s="1984"/>
      <c r="IG25" s="1984"/>
      <c r="IH25" s="1984"/>
      <c r="II25" s="1984"/>
      <c r="IJ25" s="1984"/>
      <c r="IK25" s="1984"/>
      <c r="IL25" s="1984"/>
      <c r="IM25" s="1984"/>
      <c r="IN25" s="1984"/>
      <c r="IO25" s="1984"/>
      <c r="IP25" s="1984"/>
      <c r="IQ25" s="1984"/>
      <c r="IR25" s="1984"/>
    </row>
    <row r="26" spans="1:252" s="1813" customFormat="1" ht="13.5" customHeight="1" x14ac:dyDescent="0.25">
      <c r="A26" s="1961" t="s">
        <v>7044</v>
      </c>
      <c r="B26" s="1962" t="s">
        <v>7044</v>
      </c>
      <c r="C26" s="1963" t="s">
        <v>7056</v>
      </c>
      <c r="D26" s="1964" t="s">
        <v>4384</v>
      </c>
      <c r="E26" s="1960" t="s">
        <v>1743</v>
      </c>
      <c r="F26" s="1965">
        <v>41919</v>
      </c>
      <c r="G26" s="1966">
        <v>41892</v>
      </c>
      <c r="H26" s="1965">
        <v>41908</v>
      </c>
      <c r="I26" s="1967">
        <v>44439</v>
      </c>
      <c r="J26" s="1989">
        <v>1000</v>
      </c>
      <c r="K26" s="1964" t="s">
        <v>3229</v>
      </c>
      <c r="L26" s="1968" t="s">
        <v>3229</v>
      </c>
      <c r="M26" s="1969">
        <v>-0.1</v>
      </c>
      <c r="N26" s="1970">
        <v>1</v>
      </c>
      <c r="O26" s="1971" t="s">
        <v>3229</v>
      </c>
      <c r="P26" s="3198" t="s">
        <v>3229</v>
      </c>
      <c r="Q26" s="3198" t="s">
        <v>3229</v>
      </c>
      <c r="R26" s="1972" t="s">
        <v>3229</v>
      </c>
      <c r="S26" s="1973"/>
      <c r="T26" s="1974" t="s">
        <v>3229</v>
      </c>
      <c r="U26" s="1974" t="s">
        <v>3229</v>
      </c>
      <c r="V26" s="1974" t="s">
        <v>3229</v>
      </c>
      <c r="W26" s="1974" t="s">
        <v>3229</v>
      </c>
      <c r="X26" s="1974" t="s">
        <v>3229</v>
      </c>
      <c r="Y26" s="1974" t="s">
        <v>3229</v>
      </c>
      <c r="Z26" s="1974" t="s">
        <v>3229</v>
      </c>
      <c r="AA26" s="1974" t="s">
        <v>3229</v>
      </c>
      <c r="AB26" s="1974" t="s">
        <v>3229</v>
      </c>
      <c r="AC26" s="1974" t="s">
        <v>3229</v>
      </c>
      <c r="AD26" s="1974" t="s">
        <v>3229</v>
      </c>
      <c r="AE26" s="1974" t="s">
        <v>3229</v>
      </c>
      <c r="AF26" s="1963" t="str">
        <f>IF(S26="","-",IF(T26="",S26,MAX(IF(T26&gt;indexy!$B$1,S26,S26-S26),IF(U26&gt;indexy!$B$1,S26-1,S26-S26),IF(V26&gt;indexy!$B$1,S26-2,S26-S26),IF(W26&gt;indexy!$B$1,S26-3,S26-S26),IF(X26&gt;indexy!$B$1,S26-4,S26-S26),IF(Y26&gt;indexy!$B$1,S26-5,S26-S26),IF(Z26&gt;indexy!$B$1,S26-6,S26-S26),IF(AA26&gt;indexy!$B$1,S26-7,S26-S26),IF(AB26&gt;indexy!$B$1,S26-8,S26-S26),IF(AC26&gt;indexy!$B$1,S26-9,S26-S26),IF(AD26&gt;indexy!$B$1,S26-10,S26-S26),IF(AE26&gt;indexy!$B$1,S26-11,S26-S26))))</f>
        <v>-</v>
      </c>
      <c r="AG26" s="3450" t="s">
        <v>10636</v>
      </c>
      <c r="AH26" s="1976" t="s">
        <v>3229</v>
      </c>
      <c r="AI26" s="1976" t="s">
        <v>3229</v>
      </c>
      <c r="AJ26" s="1976" t="s">
        <v>3229</v>
      </c>
      <c r="AK26" s="1976" t="s">
        <v>3229</v>
      </c>
      <c r="AL26" s="1976" t="s">
        <v>3229</v>
      </c>
      <c r="AM26" s="1977">
        <v>1</v>
      </c>
      <c r="AN26" s="2349">
        <f>+'klikací hodnoty2'!F56</f>
        <v>0.28687227777777774</v>
      </c>
      <c r="AO26" s="1979">
        <v>1286.9000000000001</v>
      </c>
      <c r="AP26" s="2349">
        <f>+'klikací hodnoty2'!H55</f>
        <v>0.28687227777777774</v>
      </c>
      <c r="AQ26" s="2349">
        <f>+'klikací hodnoty2'!H55</f>
        <v>0.28687227777777774</v>
      </c>
      <c r="AR26" s="3437" t="s">
        <v>3660</v>
      </c>
      <c r="AS26" s="3438"/>
      <c r="AT26" s="3438"/>
      <c r="AU26" s="3436"/>
      <c r="AV26" s="1980">
        <f t="shared" si="0"/>
        <v>-0.1</v>
      </c>
      <c r="AW26" s="1981">
        <f t="shared" si="1"/>
        <v>-1.5144698743599472E-2</v>
      </c>
      <c r="AX26" s="3012">
        <f t="shared" si="2"/>
        <v>-0.30064496075841174</v>
      </c>
      <c r="AY26" s="2097"/>
      <c r="AZ26" s="1983">
        <f t="shared" si="3"/>
        <v>900</v>
      </c>
      <c r="BB26" s="1973"/>
      <c r="BC26" s="2965"/>
      <c r="BD26" s="3431"/>
      <c r="BE26" s="3434"/>
      <c r="BF26" s="3434"/>
      <c r="BG26" s="3434"/>
      <c r="BH26" s="3431"/>
      <c r="BI26" s="1986"/>
      <c r="BJ26" s="1984"/>
      <c r="BK26" s="1984"/>
      <c r="BL26" s="1984"/>
      <c r="BM26" s="1984"/>
      <c r="BN26" s="1984"/>
      <c r="BO26" s="1984"/>
      <c r="BP26" s="1984"/>
      <c r="BQ26" s="1984"/>
      <c r="BR26" s="1984"/>
      <c r="BS26" s="1984"/>
      <c r="BT26" s="1984"/>
      <c r="BU26" s="1984"/>
      <c r="BV26" s="1984"/>
      <c r="BW26" s="1984"/>
      <c r="BX26" s="1984"/>
      <c r="BY26" s="1984"/>
      <c r="BZ26" s="1984"/>
      <c r="CA26" s="1984"/>
      <c r="CB26" s="1984"/>
      <c r="CC26" s="1984"/>
      <c r="CD26" s="1984"/>
      <c r="CE26" s="1984"/>
      <c r="CF26" s="1984"/>
      <c r="CG26" s="1984"/>
      <c r="CH26" s="1984"/>
      <c r="CI26" s="1984"/>
      <c r="CJ26" s="1984"/>
      <c r="CK26" s="1984"/>
      <c r="CL26" s="1984"/>
      <c r="CM26" s="1984"/>
      <c r="CN26" s="1984"/>
      <c r="CO26" s="1984"/>
      <c r="CP26" s="1984"/>
      <c r="CQ26" s="1984"/>
      <c r="CR26" s="1984"/>
      <c r="CS26" s="1984"/>
      <c r="CT26" s="1984"/>
      <c r="CU26" s="1984"/>
      <c r="CV26" s="1984"/>
      <c r="CW26" s="1984"/>
      <c r="CX26" s="1984"/>
      <c r="CY26" s="1984"/>
      <c r="CZ26" s="1984"/>
      <c r="DA26" s="1984"/>
      <c r="DB26" s="1984"/>
      <c r="DC26" s="1984"/>
      <c r="DD26" s="1984"/>
      <c r="DE26" s="1984"/>
      <c r="DF26" s="1984"/>
      <c r="DG26" s="1984"/>
      <c r="DH26" s="1984"/>
      <c r="DI26" s="1984"/>
      <c r="DJ26" s="1984"/>
      <c r="DK26" s="1984"/>
      <c r="DL26" s="1984"/>
      <c r="DM26" s="1984"/>
      <c r="DN26" s="1984"/>
      <c r="DO26" s="1984"/>
      <c r="DP26" s="1984"/>
      <c r="DQ26" s="1984"/>
      <c r="DR26" s="1984"/>
      <c r="DS26" s="1984"/>
      <c r="DT26" s="1984"/>
      <c r="DU26" s="1984"/>
      <c r="DV26" s="1984"/>
      <c r="DW26" s="1984"/>
      <c r="DX26" s="1984"/>
      <c r="DY26" s="1984"/>
      <c r="DZ26" s="1984"/>
      <c r="EA26" s="1984"/>
      <c r="EB26" s="1984"/>
      <c r="EC26" s="1984"/>
      <c r="ED26" s="1984"/>
      <c r="EE26" s="1984"/>
      <c r="EF26" s="1984"/>
      <c r="EG26" s="1984"/>
      <c r="EH26" s="1984"/>
      <c r="EI26" s="1984"/>
      <c r="EJ26" s="1984"/>
      <c r="EK26" s="1984"/>
      <c r="EL26" s="1984"/>
      <c r="EM26" s="1984"/>
      <c r="EN26" s="1984"/>
      <c r="EO26" s="1984"/>
      <c r="EP26" s="1984"/>
      <c r="EQ26" s="1984"/>
      <c r="ER26" s="1984"/>
      <c r="ES26" s="1984"/>
      <c r="ET26" s="1984"/>
      <c r="EU26" s="1984"/>
      <c r="EV26" s="1984"/>
      <c r="EW26" s="1984"/>
      <c r="EX26" s="1984"/>
      <c r="EY26" s="1984"/>
      <c r="EZ26" s="1984"/>
      <c r="FA26" s="1984"/>
      <c r="FB26" s="1984"/>
      <c r="FC26" s="1984"/>
      <c r="FD26" s="1984"/>
      <c r="FE26" s="1984"/>
      <c r="FF26" s="1984"/>
      <c r="FG26" s="1984"/>
      <c r="FH26" s="1984"/>
      <c r="FI26" s="1984"/>
      <c r="FJ26" s="1984"/>
      <c r="FK26" s="1984"/>
      <c r="FL26" s="1984"/>
      <c r="FM26" s="1984"/>
      <c r="FN26" s="1984"/>
      <c r="FO26" s="1984"/>
      <c r="FP26" s="1984"/>
      <c r="FQ26" s="1984"/>
      <c r="FR26" s="1984"/>
      <c r="FS26" s="1984"/>
      <c r="FT26" s="1984"/>
      <c r="FU26" s="1984"/>
      <c r="FV26" s="1984"/>
      <c r="FW26" s="1984"/>
      <c r="FX26" s="1984"/>
      <c r="FY26" s="1984"/>
      <c r="FZ26" s="1984"/>
      <c r="GA26" s="1984"/>
      <c r="GB26" s="1984"/>
      <c r="GC26" s="1984"/>
      <c r="GD26" s="1984"/>
      <c r="GE26" s="1984"/>
      <c r="GF26" s="1984"/>
      <c r="GG26" s="1984"/>
      <c r="GH26" s="1984"/>
      <c r="GI26" s="1984"/>
      <c r="GJ26" s="1984"/>
      <c r="GK26" s="1984"/>
      <c r="GL26" s="1984"/>
      <c r="GM26" s="1984"/>
      <c r="GN26" s="1984"/>
      <c r="GO26" s="1984"/>
      <c r="GP26" s="1984"/>
      <c r="GQ26" s="1984"/>
      <c r="GR26" s="1984"/>
      <c r="GS26" s="1984"/>
      <c r="GT26" s="1984"/>
      <c r="GU26" s="1984"/>
      <c r="GV26" s="1984"/>
      <c r="GW26" s="1984"/>
      <c r="GX26" s="1984"/>
      <c r="GY26" s="1984"/>
      <c r="GZ26" s="1984"/>
      <c r="HA26" s="1984"/>
      <c r="HB26" s="1984"/>
      <c r="HC26" s="1984"/>
      <c r="HD26" s="1984"/>
      <c r="HE26" s="1984"/>
      <c r="HF26" s="1984"/>
      <c r="HG26" s="1984"/>
      <c r="HH26" s="1984"/>
      <c r="HI26" s="1984"/>
      <c r="HJ26" s="1984"/>
      <c r="HK26" s="1984"/>
      <c r="HL26" s="1984"/>
      <c r="HM26" s="1984"/>
      <c r="HN26" s="1984"/>
      <c r="HO26" s="1984"/>
      <c r="HP26" s="1984"/>
      <c r="HQ26" s="1984"/>
      <c r="HR26" s="1984"/>
      <c r="HS26" s="1984"/>
      <c r="HT26" s="1984"/>
      <c r="HU26" s="1984"/>
      <c r="HV26" s="1984"/>
      <c r="HW26" s="1984"/>
      <c r="HX26" s="1984"/>
      <c r="HY26" s="1984"/>
      <c r="HZ26" s="1984"/>
      <c r="IA26" s="1984"/>
      <c r="IB26" s="1984"/>
      <c r="IC26" s="1984"/>
      <c r="ID26" s="1984"/>
      <c r="IE26" s="1984"/>
      <c r="IF26" s="1984"/>
      <c r="IG26" s="1984"/>
      <c r="IH26" s="1984"/>
      <c r="II26" s="1984"/>
      <c r="IJ26" s="1984"/>
      <c r="IK26" s="1984"/>
      <c r="IL26" s="1984"/>
      <c r="IM26" s="1984"/>
      <c r="IN26" s="1984"/>
      <c r="IO26" s="1984"/>
      <c r="IP26" s="1984"/>
      <c r="IQ26" s="1984"/>
      <c r="IR26" s="1984"/>
    </row>
    <row r="27" spans="1:252" s="1813" customFormat="1" ht="13.5" customHeight="1" x14ac:dyDescent="0.25">
      <c r="A27" s="1961" t="s">
        <v>7614</v>
      </c>
      <c r="B27" s="1962" t="s">
        <v>7614</v>
      </c>
      <c r="C27" s="1963" t="s">
        <v>7615</v>
      </c>
      <c r="D27" s="1964" t="s">
        <v>1872</v>
      </c>
      <c r="E27" s="1960" t="s">
        <v>1743</v>
      </c>
      <c r="F27" s="1965">
        <v>42377</v>
      </c>
      <c r="G27" s="1966">
        <v>42348</v>
      </c>
      <c r="H27" s="1965">
        <v>42361</v>
      </c>
      <c r="I27" s="1967">
        <v>44469</v>
      </c>
      <c r="J27" s="1989">
        <v>1000</v>
      </c>
      <c r="K27" s="1964" t="s">
        <v>3229</v>
      </c>
      <c r="L27" s="1968" t="s">
        <v>3229</v>
      </c>
      <c r="M27" s="1969">
        <v>-0.1</v>
      </c>
      <c r="N27" s="1970">
        <v>1</v>
      </c>
      <c r="O27" s="1971">
        <v>0.6</v>
      </c>
      <c r="P27" s="3198" t="s">
        <v>3229</v>
      </c>
      <c r="Q27" s="3198" t="s">
        <v>3229</v>
      </c>
      <c r="R27" s="1972" t="s">
        <v>3229</v>
      </c>
      <c r="S27" s="1973"/>
      <c r="T27" s="1974" t="s">
        <v>3229</v>
      </c>
      <c r="U27" s="1974" t="s">
        <v>3229</v>
      </c>
      <c r="V27" s="1974" t="s">
        <v>3229</v>
      </c>
      <c r="W27" s="1974" t="s">
        <v>3229</v>
      </c>
      <c r="X27" s="1974" t="s">
        <v>3229</v>
      </c>
      <c r="Y27" s="1974" t="s">
        <v>3229</v>
      </c>
      <c r="Z27" s="1974" t="s">
        <v>3229</v>
      </c>
      <c r="AA27" s="1974" t="s">
        <v>3229</v>
      </c>
      <c r="AB27" s="1974" t="s">
        <v>3229</v>
      </c>
      <c r="AC27" s="1974" t="s">
        <v>3229</v>
      </c>
      <c r="AD27" s="1974" t="s">
        <v>3229</v>
      </c>
      <c r="AE27" s="1974" t="s">
        <v>3229</v>
      </c>
      <c r="AF27" s="1963" t="str">
        <f>IF(S27="","-",IF(T27="",S27,MAX(IF(T27&gt;indexy!$B$1,S27,S27-S27),IF(U27&gt;indexy!$B$1,S27-1,S27-S27),IF(V27&gt;indexy!$B$1,S27-2,S27-S27),IF(W27&gt;indexy!$B$1,S27-3,S27-S27),IF(X27&gt;indexy!$B$1,S27-4,S27-S27),IF(Y27&gt;indexy!$B$1,S27-5,S27-S27),IF(Z27&gt;indexy!$B$1,S27-6,S27-S27),IF(AA27&gt;indexy!$B$1,S27-7,S27-S27),IF(AB27&gt;indexy!$B$1,S27-8,S27-S27),IF(AC27&gt;indexy!$B$1,S27-9,S27-S27),IF(AD27&gt;indexy!$B$1,S27-10,S27-S27),IF(AE27&gt;indexy!$B$1,S27-11,S27-S27))))</f>
        <v>-</v>
      </c>
      <c r="AG27" s="3465" t="s">
        <v>10636</v>
      </c>
      <c r="AH27" s="1976" t="s">
        <v>3229</v>
      </c>
      <c r="AI27" s="1976" t="s">
        <v>3229</v>
      </c>
      <c r="AJ27" s="1976" t="s">
        <v>3229</v>
      </c>
      <c r="AK27" s="1976" t="s">
        <v>3229</v>
      </c>
      <c r="AL27" s="1976" t="s">
        <v>3229</v>
      </c>
      <c r="AM27" s="1977">
        <v>1</v>
      </c>
      <c r="AN27" s="2349">
        <f>+'klikací hodnoty2'!F768</f>
        <v>0.6</v>
      </c>
      <c r="AO27" s="1979">
        <v>1600</v>
      </c>
      <c r="AP27" s="2349">
        <f>+'klikací hodnoty2'!E767</f>
        <v>0.65485091666666662</v>
      </c>
      <c r="AQ27" s="2349">
        <f>+'klikací hodnoty2'!F754</f>
        <v>0.81802159575600786</v>
      </c>
      <c r="AR27" s="3461">
        <f>O27</f>
        <v>0.6</v>
      </c>
      <c r="AS27" s="3462">
        <f>POWER(1+AR27,1/((I27-F27)/365))-1</f>
        <v>8.5459610319329027E-2</v>
      </c>
      <c r="AT27" s="3462">
        <f>IF(AO27="","",J27*(1+AR27)/AO27-1)</f>
        <v>0</v>
      </c>
      <c r="AU27" s="3460"/>
      <c r="AV27" s="1980">
        <f>M27</f>
        <v>-0.1</v>
      </c>
      <c r="AW27" s="1981">
        <f>POWER(1+AV27,1/((I27-F27)/365))-1</f>
        <v>-1.8214759281789727E-2</v>
      </c>
      <c r="AX27" s="3012">
        <f>IF(AO27="","",J27*(1+AV27)/AO27-1)</f>
        <v>-0.4375</v>
      </c>
      <c r="AY27" s="2097"/>
      <c r="AZ27" s="1983">
        <f>J27*(1+AV27)</f>
        <v>900</v>
      </c>
      <c r="BB27" s="1973"/>
      <c r="BC27" s="2965"/>
      <c r="BD27" s="3431"/>
      <c r="BE27" s="3434"/>
      <c r="BF27" s="3434"/>
      <c r="BG27" s="3434"/>
      <c r="BH27" s="3431"/>
      <c r="BI27" s="1986"/>
      <c r="BJ27" s="1984"/>
      <c r="BK27" s="1984"/>
      <c r="BL27" s="1984"/>
      <c r="BM27" s="1984"/>
      <c r="BN27" s="1984"/>
      <c r="BO27" s="1984"/>
      <c r="BP27" s="1984"/>
      <c r="BQ27" s="1984"/>
      <c r="BR27" s="1984"/>
      <c r="BS27" s="1984"/>
      <c r="BT27" s="1984"/>
      <c r="BU27" s="1984"/>
      <c r="BV27" s="1984"/>
      <c r="BW27" s="1984"/>
      <c r="BX27" s="1984"/>
      <c r="BY27" s="1984"/>
      <c r="BZ27" s="1984"/>
      <c r="CA27" s="1984"/>
      <c r="CB27" s="1984"/>
      <c r="CC27" s="1984"/>
      <c r="CD27" s="1984"/>
      <c r="CE27" s="1984"/>
      <c r="CF27" s="1984"/>
      <c r="CG27" s="1984"/>
      <c r="CH27" s="1984"/>
      <c r="CI27" s="1984"/>
      <c r="CJ27" s="1984"/>
      <c r="CK27" s="1984"/>
      <c r="CL27" s="1984"/>
      <c r="CM27" s="1984"/>
      <c r="CN27" s="1984"/>
      <c r="CO27" s="1984"/>
      <c r="CP27" s="1984"/>
      <c r="CQ27" s="1984"/>
      <c r="CR27" s="1984"/>
      <c r="CS27" s="1984"/>
      <c r="CT27" s="1984"/>
      <c r="CU27" s="1984"/>
      <c r="CV27" s="1984"/>
      <c r="CW27" s="1984"/>
      <c r="CX27" s="1984"/>
      <c r="CY27" s="1984"/>
      <c r="CZ27" s="1984"/>
      <c r="DA27" s="1984"/>
      <c r="DB27" s="1984"/>
      <c r="DC27" s="1984"/>
      <c r="DD27" s="1984"/>
      <c r="DE27" s="1984"/>
      <c r="DF27" s="1984"/>
      <c r="DG27" s="1984"/>
      <c r="DH27" s="1984"/>
      <c r="DI27" s="1984"/>
      <c r="DJ27" s="1984"/>
      <c r="DK27" s="1984"/>
      <c r="DL27" s="1984"/>
      <c r="DM27" s="1984"/>
      <c r="DN27" s="1984"/>
      <c r="DO27" s="1984"/>
      <c r="DP27" s="1984"/>
      <c r="DQ27" s="1984"/>
      <c r="DR27" s="1984"/>
      <c r="DS27" s="1984"/>
      <c r="DT27" s="1984"/>
      <c r="DU27" s="1984"/>
      <c r="DV27" s="1984"/>
      <c r="DW27" s="1984"/>
      <c r="DX27" s="1984"/>
      <c r="DY27" s="1984"/>
      <c r="DZ27" s="1984"/>
      <c r="EA27" s="1984"/>
      <c r="EB27" s="1984"/>
      <c r="EC27" s="1984"/>
      <c r="ED27" s="1984"/>
      <c r="EE27" s="1984"/>
      <c r="EF27" s="1984"/>
      <c r="EG27" s="1984"/>
      <c r="EH27" s="1984"/>
      <c r="EI27" s="1984"/>
      <c r="EJ27" s="1984"/>
      <c r="EK27" s="1984"/>
      <c r="EL27" s="1984"/>
      <c r="EM27" s="1984"/>
      <c r="EN27" s="1984"/>
      <c r="EO27" s="1984"/>
      <c r="EP27" s="1984"/>
      <c r="EQ27" s="1984"/>
      <c r="ER27" s="1984"/>
      <c r="ES27" s="1984"/>
      <c r="ET27" s="1984"/>
      <c r="EU27" s="1984"/>
      <c r="EV27" s="1984"/>
      <c r="EW27" s="1984"/>
      <c r="EX27" s="1984"/>
      <c r="EY27" s="1984"/>
      <c r="EZ27" s="1984"/>
      <c r="FA27" s="1984"/>
      <c r="FB27" s="1984"/>
      <c r="FC27" s="1984"/>
      <c r="FD27" s="1984"/>
      <c r="FE27" s="1984"/>
      <c r="FF27" s="1984"/>
      <c r="FG27" s="1984"/>
      <c r="FH27" s="1984"/>
      <c r="FI27" s="1984"/>
      <c r="FJ27" s="1984"/>
      <c r="FK27" s="1984"/>
      <c r="FL27" s="1984"/>
      <c r="FM27" s="1984"/>
      <c r="FN27" s="1984"/>
      <c r="FO27" s="1984"/>
      <c r="FP27" s="1984"/>
      <c r="FQ27" s="1984"/>
      <c r="FR27" s="1984"/>
      <c r="FS27" s="1984"/>
      <c r="FT27" s="1984"/>
      <c r="FU27" s="1984"/>
      <c r="FV27" s="1984"/>
      <c r="FW27" s="1984"/>
      <c r="FX27" s="1984"/>
      <c r="FY27" s="1984"/>
      <c r="FZ27" s="1984"/>
      <c r="GA27" s="1984"/>
      <c r="GB27" s="1984"/>
      <c r="GC27" s="1984"/>
      <c r="GD27" s="1984"/>
      <c r="GE27" s="1984"/>
      <c r="GF27" s="1984"/>
      <c r="GG27" s="1984"/>
      <c r="GH27" s="1984"/>
      <c r="GI27" s="1984"/>
      <c r="GJ27" s="1984"/>
      <c r="GK27" s="1984"/>
      <c r="GL27" s="1984"/>
      <c r="GM27" s="1984"/>
      <c r="GN27" s="1984"/>
      <c r="GO27" s="1984"/>
      <c r="GP27" s="1984"/>
      <c r="GQ27" s="1984"/>
      <c r="GR27" s="1984"/>
      <c r="GS27" s="1984"/>
      <c r="GT27" s="1984"/>
      <c r="GU27" s="1984"/>
      <c r="GV27" s="1984"/>
      <c r="GW27" s="1984"/>
      <c r="GX27" s="1984"/>
      <c r="GY27" s="1984"/>
      <c r="GZ27" s="1984"/>
      <c r="HA27" s="1984"/>
      <c r="HB27" s="1984"/>
      <c r="HC27" s="1984"/>
      <c r="HD27" s="1984"/>
      <c r="HE27" s="1984"/>
      <c r="HF27" s="1984"/>
      <c r="HG27" s="1984"/>
      <c r="HH27" s="1984"/>
      <c r="HI27" s="1984"/>
      <c r="HJ27" s="1984"/>
      <c r="HK27" s="1984"/>
      <c r="HL27" s="1984"/>
      <c r="HM27" s="1984"/>
      <c r="HN27" s="1984"/>
      <c r="HO27" s="1984"/>
      <c r="HP27" s="1984"/>
      <c r="HQ27" s="1984"/>
      <c r="HR27" s="1984"/>
      <c r="HS27" s="1984"/>
      <c r="HT27" s="1984"/>
      <c r="HU27" s="1984"/>
      <c r="HV27" s="1984"/>
      <c r="HW27" s="1984"/>
      <c r="HX27" s="1984"/>
      <c r="HY27" s="1984"/>
      <c r="HZ27" s="1984"/>
      <c r="IA27" s="1984"/>
      <c r="IB27" s="1984"/>
      <c r="IC27" s="1984"/>
      <c r="ID27" s="1984"/>
      <c r="IE27" s="1984"/>
      <c r="IF27" s="1984"/>
      <c r="IG27" s="1984"/>
      <c r="IH27" s="1984"/>
      <c r="II27" s="1984"/>
      <c r="IJ27" s="1984"/>
      <c r="IK27" s="1984"/>
      <c r="IL27" s="1984"/>
      <c r="IM27" s="1984"/>
      <c r="IN27" s="1984"/>
      <c r="IO27" s="1984"/>
      <c r="IP27" s="1984"/>
      <c r="IQ27" s="1984"/>
      <c r="IR27" s="1984"/>
    </row>
    <row r="28" spans="1:252" s="1813" customFormat="1" ht="13.5" customHeight="1" x14ac:dyDescent="0.25">
      <c r="A28" s="1961" t="s">
        <v>7046</v>
      </c>
      <c r="B28" s="1962" t="s">
        <v>7046</v>
      </c>
      <c r="C28" s="1963" t="s">
        <v>7058</v>
      </c>
      <c r="D28" s="1964" t="s">
        <v>4384</v>
      </c>
      <c r="E28" s="1960" t="s">
        <v>1743</v>
      </c>
      <c r="F28" s="1965">
        <v>41978</v>
      </c>
      <c r="G28" s="1966">
        <v>41950</v>
      </c>
      <c r="H28" s="1965">
        <v>41971</v>
      </c>
      <c r="I28" s="1967">
        <v>44498</v>
      </c>
      <c r="J28" s="1989">
        <v>1000</v>
      </c>
      <c r="K28" s="1964" t="s">
        <v>3229</v>
      </c>
      <c r="L28" s="1968" t="s">
        <v>3229</v>
      </c>
      <c r="M28" s="1969">
        <v>-0.1</v>
      </c>
      <c r="N28" s="1970">
        <v>1</v>
      </c>
      <c r="O28" s="1971" t="s">
        <v>3229</v>
      </c>
      <c r="P28" s="3198" t="s">
        <v>3229</v>
      </c>
      <c r="Q28" s="3198" t="s">
        <v>3229</v>
      </c>
      <c r="R28" s="1972" t="s">
        <v>3229</v>
      </c>
      <c r="S28" s="1973"/>
      <c r="T28" s="1974" t="s">
        <v>3229</v>
      </c>
      <c r="U28" s="1974" t="s">
        <v>3229</v>
      </c>
      <c r="V28" s="1974" t="s">
        <v>3229</v>
      </c>
      <c r="W28" s="1974" t="s">
        <v>3229</v>
      </c>
      <c r="X28" s="1974" t="s">
        <v>3229</v>
      </c>
      <c r="Y28" s="1974" t="s">
        <v>3229</v>
      </c>
      <c r="Z28" s="1974" t="s">
        <v>3229</v>
      </c>
      <c r="AA28" s="1974" t="s">
        <v>3229</v>
      </c>
      <c r="AB28" s="1974" t="s">
        <v>3229</v>
      </c>
      <c r="AC28" s="1974" t="s">
        <v>3229</v>
      </c>
      <c r="AD28" s="1974" t="s">
        <v>3229</v>
      </c>
      <c r="AE28" s="1974" t="s">
        <v>3229</v>
      </c>
      <c r="AF28" s="1963" t="str">
        <f>IF(S28="","-",IF(T28="",S28,MAX(IF(T28&gt;indexy!$B$1,S28,S28-S28),IF(U28&gt;indexy!$B$1,S28-1,S28-S28),IF(V28&gt;indexy!$B$1,S28-2,S28-S28),IF(W28&gt;indexy!$B$1,S28-3,S28-S28),IF(X28&gt;indexy!$B$1,S28-4,S28-S28),IF(Y28&gt;indexy!$B$1,S28-5,S28-S28),IF(Z28&gt;indexy!$B$1,S28-6,S28-S28),IF(AA28&gt;indexy!$B$1,S28-7,S28-S28),IF(AB28&gt;indexy!$B$1,S28-8,S28-S28),IF(AC28&gt;indexy!$B$1,S28-9,S28-S28),IF(AD28&gt;indexy!$B$1,S28-10,S28-S28),IF(AE28&gt;indexy!$B$1,S28-11,S28-S28))))</f>
        <v>-</v>
      </c>
      <c r="AG28" s="3450" t="s">
        <v>10636</v>
      </c>
      <c r="AH28" s="1976" t="s">
        <v>3229</v>
      </c>
      <c r="AI28" s="1976" t="s">
        <v>3229</v>
      </c>
      <c r="AJ28" s="1976" t="s">
        <v>3229</v>
      </c>
      <c r="AK28" s="1976" t="s">
        <v>3229</v>
      </c>
      <c r="AL28" s="1976" t="s">
        <v>3229</v>
      </c>
      <c r="AM28" s="1977">
        <v>1</v>
      </c>
      <c r="AN28" s="2349">
        <f>+'klikací hodnoty2'!F911</f>
        <v>0.23764799999999997</v>
      </c>
      <c r="AO28" s="1979">
        <v>1223.69</v>
      </c>
      <c r="AP28" s="2349">
        <f>+'klikací hodnoty2'!H910</f>
        <v>0.23764799999999997</v>
      </c>
      <c r="AQ28" s="2349">
        <f>+'klikací hodnoty2'!H910</f>
        <v>0.23764799999999997</v>
      </c>
      <c r="AR28" s="3451" t="s">
        <v>3660</v>
      </c>
      <c r="AS28" s="3452"/>
      <c r="AT28" s="3452"/>
      <c r="AU28" s="3449"/>
      <c r="AV28" s="1980">
        <f>M28</f>
        <v>-0.1</v>
      </c>
      <c r="AW28" s="1981">
        <f>POWER(1+AV28,1/((I28-F28)/365))-1</f>
        <v>-1.5144698743599472E-2</v>
      </c>
      <c r="AX28" s="3012">
        <f>IF(AO28="","",J28*(1+AV28)/AO28-1)</f>
        <v>-0.26451960872443192</v>
      </c>
      <c r="AY28" s="2097"/>
      <c r="AZ28" s="1983">
        <f>J28*(1+AV28)</f>
        <v>900</v>
      </c>
      <c r="BB28" s="1973"/>
      <c r="BC28" s="2965"/>
      <c r="BD28" s="3431"/>
      <c r="BE28" s="3434"/>
      <c r="BF28" s="3434"/>
      <c r="BG28" s="3434"/>
      <c r="BH28" s="3431"/>
      <c r="BI28" s="1986"/>
      <c r="BJ28" s="1984"/>
      <c r="BK28" s="1984"/>
      <c r="BL28" s="1984"/>
      <c r="BM28" s="1984"/>
      <c r="BN28" s="1984"/>
      <c r="BO28" s="1984"/>
      <c r="BP28" s="1984"/>
      <c r="BQ28" s="1984"/>
      <c r="BR28" s="1984"/>
      <c r="BS28" s="1984"/>
      <c r="BT28" s="1984"/>
      <c r="BU28" s="1984"/>
      <c r="BV28" s="1984"/>
      <c r="BW28" s="1984"/>
      <c r="BX28" s="1984"/>
      <c r="BY28" s="1984"/>
      <c r="BZ28" s="1984"/>
      <c r="CA28" s="1984"/>
      <c r="CB28" s="1984"/>
      <c r="CC28" s="1984"/>
      <c r="CD28" s="1984"/>
      <c r="CE28" s="1984"/>
      <c r="CF28" s="1984"/>
      <c r="CG28" s="1984"/>
      <c r="CH28" s="1984"/>
      <c r="CI28" s="1984"/>
      <c r="CJ28" s="1984"/>
      <c r="CK28" s="1984"/>
      <c r="CL28" s="1984"/>
      <c r="CM28" s="1984"/>
      <c r="CN28" s="1984"/>
      <c r="CO28" s="1984"/>
      <c r="CP28" s="1984"/>
      <c r="CQ28" s="1984"/>
      <c r="CR28" s="1984"/>
      <c r="CS28" s="1984"/>
      <c r="CT28" s="1984"/>
      <c r="CU28" s="1984"/>
      <c r="CV28" s="1984"/>
      <c r="CW28" s="1984"/>
      <c r="CX28" s="1984"/>
      <c r="CY28" s="1984"/>
      <c r="CZ28" s="1984"/>
      <c r="DA28" s="1984"/>
      <c r="DB28" s="1984"/>
      <c r="DC28" s="1984"/>
      <c r="DD28" s="1984"/>
      <c r="DE28" s="1984"/>
      <c r="DF28" s="1984"/>
      <c r="DG28" s="1984"/>
      <c r="DH28" s="1984"/>
      <c r="DI28" s="1984"/>
      <c r="DJ28" s="1984"/>
      <c r="DK28" s="1984"/>
      <c r="DL28" s="1984"/>
      <c r="DM28" s="1984"/>
      <c r="DN28" s="1984"/>
      <c r="DO28" s="1984"/>
      <c r="DP28" s="1984"/>
      <c r="DQ28" s="1984"/>
      <c r="DR28" s="1984"/>
      <c r="DS28" s="1984"/>
      <c r="DT28" s="1984"/>
      <c r="DU28" s="1984"/>
      <c r="DV28" s="1984"/>
      <c r="DW28" s="1984"/>
      <c r="DX28" s="1984"/>
      <c r="DY28" s="1984"/>
      <c r="DZ28" s="1984"/>
      <c r="EA28" s="1984"/>
      <c r="EB28" s="1984"/>
      <c r="EC28" s="1984"/>
      <c r="ED28" s="1984"/>
      <c r="EE28" s="1984"/>
      <c r="EF28" s="1984"/>
      <c r="EG28" s="1984"/>
      <c r="EH28" s="1984"/>
      <c r="EI28" s="1984"/>
      <c r="EJ28" s="1984"/>
      <c r="EK28" s="1984"/>
      <c r="EL28" s="1984"/>
      <c r="EM28" s="1984"/>
      <c r="EN28" s="1984"/>
      <c r="EO28" s="1984"/>
      <c r="EP28" s="1984"/>
      <c r="EQ28" s="1984"/>
      <c r="ER28" s="1984"/>
      <c r="ES28" s="1984"/>
      <c r="ET28" s="1984"/>
      <c r="EU28" s="1984"/>
      <c r="EV28" s="1984"/>
      <c r="EW28" s="1984"/>
      <c r="EX28" s="1984"/>
      <c r="EY28" s="1984"/>
      <c r="EZ28" s="1984"/>
      <c r="FA28" s="1984"/>
      <c r="FB28" s="1984"/>
      <c r="FC28" s="1984"/>
      <c r="FD28" s="1984"/>
      <c r="FE28" s="1984"/>
      <c r="FF28" s="1984"/>
      <c r="FG28" s="1984"/>
      <c r="FH28" s="1984"/>
      <c r="FI28" s="1984"/>
      <c r="FJ28" s="1984"/>
      <c r="FK28" s="1984"/>
      <c r="FL28" s="1984"/>
      <c r="FM28" s="1984"/>
      <c r="FN28" s="1984"/>
      <c r="FO28" s="1984"/>
      <c r="FP28" s="1984"/>
      <c r="FQ28" s="1984"/>
      <c r="FR28" s="1984"/>
      <c r="FS28" s="1984"/>
      <c r="FT28" s="1984"/>
      <c r="FU28" s="1984"/>
      <c r="FV28" s="1984"/>
      <c r="FW28" s="1984"/>
      <c r="FX28" s="1984"/>
      <c r="FY28" s="1984"/>
      <c r="FZ28" s="1984"/>
      <c r="GA28" s="1984"/>
      <c r="GB28" s="1984"/>
      <c r="GC28" s="1984"/>
      <c r="GD28" s="1984"/>
      <c r="GE28" s="1984"/>
      <c r="GF28" s="1984"/>
      <c r="GG28" s="1984"/>
      <c r="GH28" s="1984"/>
      <c r="GI28" s="1984"/>
      <c r="GJ28" s="1984"/>
      <c r="GK28" s="1984"/>
      <c r="GL28" s="1984"/>
      <c r="GM28" s="1984"/>
      <c r="GN28" s="1984"/>
      <c r="GO28" s="1984"/>
      <c r="GP28" s="1984"/>
      <c r="GQ28" s="1984"/>
      <c r="GR28" s="1984"/>
      <c r="GS28" s="1984"/>
      <c r="GT28" s="1984"/>
      <c r="GU28" s="1984"/>
      <c r="GV28" s="1984"/>
      <c r="GW28" s="1984"/>
      <c r="GX28" s="1984"/>
      <c r="GY28" s="1984"/>
      <c r="GZ28" s="1984"/>
      <c r="HA28" s="1984"/>
      <c r="HB28" s="1984"/>
      <c r="HC28" s="1984"/>
      <c r="HD28" s="1984"/>
      <c r="HE28" s="1984"/>
      <c r="HF28" s="1984"/>
      <c r="HG28" s="1984"/>
      <c r="HH28" s="1984"/>
      <c r="HI28" s="1984"/>
      <c r="HJ28" s="1984"/>
      <c r="HK28" s="1984"/>
      <c r="HL28" s="1984"/>
      <c r="HM28" s="1984"/>
      <c r="HN28" s="1984"/>
      <c r="HO28" s="1984"/>
      <c r="HP28" s="1984"/>
      <c r="HQ28" s="1984"/>
      <c r="HR28" s="1984"/>
      <c r="HS28" s="1984"/>
      <c r="HT28" s="1984"/>
      <c r="HU28" s="1984"/>
      <c r="HV28" s="1984"/>
      <c r="HW28" s="1984"/>
      <c r="HX28" s="1984"/>
      <c r="HY28" s="1984"/>
      <c r="HZ28" s="1984"/>
      <c r="IA28" s="1984"/>
      <c r="IB28" s="1984"/>
      <c r="IC28" s="1984"/>
      <c r="ID28" s="1984"/>
      <c r="IE28" s="1984"/>
      <c r="IF28" s="1984"/>
      <c r="IG28" s="1984"/>
      <c r="IH28" s="1984"/>
      <c r="II28" s="1984"/>
      <c r="IJ28" s="1984"/>
      <c r="IK28" s="1984"/>
      <c r="IL28" s="1984"/>
      <c r="IM28" s="1984"/>
      <c r="IN28" s="1984"/>
      <c r="IO28" s="1984"/>
      <c r="IP28" s="1984"/>
      <c r="IQ28" s="1984"/>
      <c r="IR28" s="1984"/>
    </row>
    <row r="29" spans="1:252" s="1813" customFormat="1" ht="13.5" customHeight="1" x14ac:dyDescent="0.25">
      <c r="A29" s="1961" t="s">
        <v>7050</v>
      </c>
      <c r="B29" s="1962" t="s">
        <v>7050</v>
      </c>
      <c r="C29" s="1963" t="s">
        <v>7064</v>
      </c>
      <c r="D29" s="1964" t="s">
        <v>4384</v>
      </c>
      <c r="E29" s="1960" t="s">
        <v>905</v>
      </c>
      <c r="F29" s="1965">
        <v>42069</v>
      </c>
      <c r="G29" s="1966">
        <v>42051</v>
      </c>
      <c r="H29" s="1965">
        <v>42062</v>
      </c>
      <c r="I29" s="1967">
        <v>44592</v>
      </c>
      <c r="J29" s="1989">
        <v>1000</v>
      </c>
      <c r="K29" s="1964" t="s">
        <v>3229</v>
      </c>
      <c r="L29" s="1968" t="s">
        <v>3229</v>
      </c>
      <c r="M29" s="1969">
        <v>-0.1</v>
      </c>
      <c r="N29" s="1970">
        <v>1</v>
      </c>
      <c r="O29" s="1971">
        <v>0.7</v>
      </c>
      <c r="P29" s="3198" t="s">
        <v>3229</v>
      </c>
      <c r="Q29" s="3198" t="s">
        <v>3229</v>
      </c>
      <c r="R29" s="1972" t="s">
        <v>3229</v>
      </c>
      <c r="S29" s="1973"/>
      <c r="T29" s="1974" t="s">
        <v>3229</v>
      </c>
      <c r="U29" s="1974" t="s">
        <v>3229</v>
      </c>
      <c r="V29" s="1974" t="s">
        <v>3229</v>
      </c>
      <c r="W29" s="1974" t="s">
        <v>3229</v>
      </c>
      <c r="X29" s="1974" t="s">
        <v>3229</v>
      </c>
      <c r="Y29" s="1974" t="s">
        <v>3229</v>
      </c>
      <c r="Z29" s="1974" t="s">
        <v>3229</v>
      </c>
      <c r="AA29" s="1974" t="s">
        <v>3229</v>
      </c>
      <c r="AB29" s="1974" t="s">
        <v>3229</v>
      </c>
      <c r="AC29" s="1974" t="s">
        <v>3229</v>
      </c>
      <c r="AD29" s="1974" t="s">
        <v>3229</v>
      </c>
      <c r="AE29" s="1974" t="s">
        <v>3229</v>
      </c>
      <c r="AF29" s="1963" t="str">
        <f>IF(S29="","-",IF(T29="",S29,MAX(IF(T29&gt;indexy!$B$1,S29,S29-S29),IF(U29&gt;indexy!$B$1,S29-1,S29-S29),IF(V29&gt;indexy!$B$1,S29-2,S29-S29),IF(W29&gt;indexy!$B$1,S29-3,S29-S29),IF(X29&gt;indexy!$B$1,S29-4,S29-S29),IF(Y29&gt;indexy!$B$1,S29-5,S29-S29),IF(Z29&gt;indexy!$B$1,S29-6,S29-S29),IF(AA29&gt;indexy!$B$1,S29-7,S29-S29),IF(AB29&gt;indexy!$B$1,S29-8,S29-S29),IF(AC29&gt;indexy!$B$1,S29-9,S29-S29),IF(AD29&gt;indexy!$B$1,S29-10,S29-S29),IF(AE29&gt;indexy!$B$1,S29-11,S29-S29))))</f>
        <v>-</v>
      </c>
      <c r="AG29" s="3551" t="s">
        <v>10636</v>
      </c>
      <c r="AH29" s="1976" t="s">
        <v>3229</v>
      </c>
      <c r="AI29" s="1976" t="s">
        <v>3229</v>
      </c>
      <c r="AJ29" s="1976" t="s">
        <v>3229</v>
      </c>
      <c r="AK29" s="1976" t="s">
        <v>3229</v>
      </c>
      <c r="AL29" s="1976" t="s">
        <v>3229</v>
      </c>
      <c r="AM29" s="1977">
        <v>1</v>
      </c>
      <c r="AN29" s="2349">
        <f>'klikací hodnoty2'!F349</f>
        <v>2.37291666666667E-2</v>
      </c>
      <c r="AO29" s="1979">
        <v>1023.7</v>
      </c>
      <c r="AP29" s="2349">
        <f>'klikací hodnoty2'!F348</f>
        <v>2.37291666666667E-2</v>
      </c>
      <c r="AQ29" s="2349">
        <f>'klikací hodnoty2'!F335</f>
        <v>8.8376534955258032E-2</v>
      </c>
      <c r="AR29" s="3482">
        <f t="shared" ref="AR29" si="15">O29</f>
        <v>0.7</v>
      </c>
      <c r="AS29" s="3483">
        <f t="shared" ref="AS29" si="16">POWER(1+AR29,1/((I29-F29)/365))-1</f>
        <v>7.9788817019170288E-2</v>
      </c>
      <c r="AT29" s="3483">
        <f t="shared" ref="AT29" si="17">IF(AO29="","",J29*(1+AR29)/AO29-1)</f>
        <v>0.66064276643547903</v>
      </c>
      <c r="AU29" s="3481"/>
      <c r="AV29" s="1980">
        <f t="shared" ref="AV29" si="18">M29</f>
        <v>-0.1</v>
      </c>
      <c r="AW29" s="1981">
        <f t="shared" ref="AW29" si="19">POWER(1+AV29,1/((I29-F29)/365))-1</f>
        <v>-1.512682767250062E-2</v>
      </c>
      <c r="AX29" s="3012">
        <f t="shared" ref="AX29" si="20">IF(AO29="","",J29*(1+AV29)/AO29-1)</f>
        <v>-0.12083618247533456</v>
      </c>
      <c r="AY29" s="2097"/>
      <c r="AZ29" s="1983">
        <f t="shared" ref="AZ29" si="21">J29*(1+AV29)</f>
        <v>900</v>
      </c>
      <c r="BB29" s="1973"/>
      <c r="BC29" s="2965"/>
      <c r="BD29" s="3431"/>
      <c r="BE29" s="3434"/>
      <c r="BF29" s="3434"/>
      <c r="BG29" s="3434"/>
      <c r="BH29" s="3431"/>
      <c r="BI29" s="1986"/>
      <c r="BJ29" s="1984"/>
      <c r="BK29" s="1984"/>
      <c r="BL29" s="1984"/>
      <c r="BM29" s="1984"/>
      <c r="BN29" s="1984"/>
      <c r="BO29" s="1984"/>
      <c r="BP29" s="1984"/>
      <c r="BQ29" s="1984"/>
      <c r="BR29" s="1984"/>
      <c r="BS29" s="1984"/>
      <c r="BT29" s="1984"/>
      <c r="BU29" s="1984"/>
      <c r="BV29" s="1984"/>
      <c r="BW29" s="1984"/>
      <c r="BX29" s="1984"/>
      <c r="BY29" s="1984"/>
      <c r="BZ29" s="1984"/>
      <c r="CA29" s="1984"/>
      <c r="CB29" s="1984"/>
      <c r="CC29" s="1984"/>
      <c r="CD29" s="1984"/>
      <c r="CE29" s="1984"/>
      <c r="CF29" s="1984"/>
      <c r="CG29" s="1984"/>
      <c r="CH29" s="1984"/>
      <c r="CI29" s="1984"/>
      <c r="CJ29" s="1984"/>
      <c r="CK29" s="1984"/>
      <c r="CL29" s="1984"/>
      <c r="CM29" s="1984"/>
      <c r="CN29" s="1984"/>
      <c r="CO29" s="1984"/>
      <c r="CP29" s="1984"/>
      <c r="CQ29" s="1984"/>
      <c r="CR29" s="1984"/>
      <c r="CS29" s="1984"/>
      <c r="CT29" s="1984"/>
      <c r="CU29" s="1984"/>
      <c r="CV29" s="1984"/>
      <c r="CW29" s="1984"/>
      <c r="CX29" s="1984"/>
      <c r="CY29" s="1984"/>
      <c r="CZ29" s="1984"/>
      <c r="DA29" s="1984"/>
      <c r="DB29" s="1984"/>
      <c r="DC29" s="1984"/>
      <c r="DD29" s="1984"/>
      <c r="DE29" s="1984"/>
      <c r="DF29" s="1984"/>
      <c r="DG29" s="1984"/>
      <c r="DH29" s="1984"/>
      <c r="DI29" s="1984"/>
      <c r="DJ29" s="1984"/>
      <c r="DK29" s="1984"/>
      <c r="DL29" s="1984"/>
      <c r="DM29" s="1984"/>
      <c r="DN29" s="1984"/>
      <c r="DO29" s="1984"/>
      <c r="DP29" s="1984"/>
      <c r="DQ29" s="1984"/>
      <c r="DR29" s="1984"/>
      <c r="DS29" s="1984"/>
      <c r="DT29" s="1984"/>
      <c r="DU29" s="1984"/>
      <c r="DV29" s="1984"/>
      <c r="DW29" s="1984"/>
      <c r="DX29" s="1984"/>
      <c r="DY29" s="1984"/>
      <c r="DZ29" s="1984"/>
      <c r="EA29" s="1984"/>
      <c r="EB29" s="1984"/>
      <c r="EC29" s="1984"/>
      <c r="ED29" s="1984"/>
      <c r="EE29" s="1984"/>
      <c r="EF29" s="1984"/>
      <c r="EG29" s="1984"/>
      <c r="EH29" s="1984"/>
      <c r="EI29" s="1984"/>
      <c r="EJ29" s="1984"/>
      <c r="EK29" s="1984"/>
      <c r="EL29" s="1984"/>
      <c r="EM29" s="1984"/>
      <c r="EN29" s="1984"/>
      <c r="EO29" s="1984"/>
      <c r="EP29" s="1984"/>
      <c r="EQ29" s="1984"/>
      <c r="ER29" s="1984"/>
      <c r="ES29" s="1984"/>
      <c r="ET29" s="1984"/>
      <c r="EU29" s="1984"/>
      <c r="EV29" s="1984"/>
      <c r="EW29" s="1984"/>
      <c r="EX29" s="1984"/>
      <c r="EY29" s="1984"/>
      <c r="EZ29" s="1984"/>
      <c r="FA29" s="1984"/>
      <c r="FB29" s="1984"/>
      <c r="FC29" s="1984"/>
      <c r="FD29" s="1984"/>
      <c r="FE29" s="1984"/>
      <c r="FF29" s="1984"/>
      <c r="FG29" s="1984"/>
      <c r="FH29" s="1984"/>
      <c r="FI29" s="1984"/>
      <c r="FJ29" s="1984"/>
      <c r="FK29" s="1984"/>
      <c r="FL29" s="1984"/>
      <c r="FM29" s="1984"/>
      <c r="FN29" s="1984"/>
      <c r="FO29" s="1984"/>
      <c r="FP29" s="1984"/>
      <c r="FQ29" s="1984"/>
      <c r="FR29" s="1984"/>
      <c r="FS29" s="1984"/>
      <c r="FT29" s="1984"/>
      <c r="FU29" s="1984"/>
      <c r="FV29" s="1984"/>
      <c r="FW29" s="1984"/>
      <c r="FX29" s="1984"/>
      <c r="FY29" s="1984"/>
      <c r="FZ29" s="1984"/>
      <c r="GA29" s="1984"/>
      <c r="GB29" s="1984"/>
      <c r="GC29" s="1984"/>
      <c r="GD29" s="1984"/>
      <c r="GE29" s="1984"/>
      <c r="GF29" s="1984"/>
      <c r="GG29" s="1984"/>
      <c r="GH29" s="1984"/>
      <c r="GI29" s="1984"/>
      <c r="GJ29" s="1984"/>
      <c r="GK29" s="1984"/>
      <c r="GL29" s="1984"/>
      <c r="GM29" s="1984"/>
      <c r="GN29" s="1984"/>
      <c r="GO29" s="1984"/>
      <c r="GP29" s="1984"/>
      <c r="GQ29" s="1984"/>
      <c r="GR29" s="1984"/>
      <c r="GS29" s="1984"/>
      <c r="GT29" s="1984"/>
      <c r="GU29" s="1984"/>
      <c r="GV29" s="1984"/>
      <c r="GW29" s="1984"/>
      <c r="GX29" s="1984"/>
      <c r="GY29" s="1984"/>
      <c r="GZ29" s="1984"/>
      <c r="HA29" s="1984"/>
      <c r="HB29" s="1984"/>
      <c r="HC29" s="1984"/>
      <c r="HD29" s="1984"/>
      <c r="HE29" s="1984"/>
      <c r="HF29" s="1984"/>
      <c r="HG29" s="1984"/>
      <c r="HH29" s="1984"/>
      <c r="HI29" s="1984"/>
      <c r="HJ29" s="1984"/>
      <c r="HK29" s="1984"/>
      <c r="HL29" s="1984"/>
      <c r="HM29" s="1984"/>
      <c r="HN29" s="1984"/>
      <c r="HO29" s="1984"/>
      <c r="HP29" s="1984"/>
      <c r="HQ29" s="1984"/>
      <c r="HR29" s="1984"/>
      <c r="HS29" s="1984"/>
      <c r="HT29" s="1984"/>
      <c r="HU29" s="1984"/>
      <c r="HV29" s="1984"/>
      <c r="HW29" s="1984"/>
      <c r="HX29" s="1984"/>
      <c r="HY29" s="1984"/>
      <c r="HZ29" s="1984"/>
      <c r="IA29" s="1984"/>
      <c r="IB29" s="1984"/>
      <c r="IC29" s="1984"/>
      <c r="ID29" s="1984"/>
      <c r="IE29" s="1984"/>
      <c r="IF29" s="1984"/>
      <c r="IG29" s="1984"/>
      <c r="IH29" s="1984"/>
      <c r="II29" s="1984"/>
      <c r="IJ29" s="1984"/>
      <c r="IK29" s="1984"/>
      <c r="IL29" s="1984"/>
      <c r="IM29" s="1984"/>
      <c r="IN29" s="1984"/>
      <c r="IO29" s="1984"/>
      <c r="IP29" s="1984"/>
      <c r="IQ29" s="1984"/>
      <c r="IR29" s="1984"/>
    </row>
    <row r="30" spans="1:252" s="1813" customFormat="1" ht="13.5" customHeight="1" x14ac:dyDescent="0.25">
      <c r="A30" s="1961" t="s">
        <v>7960</v>
      </c>
      <c r="B30" s="1962" t="s">
        <v>7960</v>
      </c>
      <c r="C30" s="1963" t="s">
        <v>7959</v>
      </c>
      <c r="D30" s="1964" t="s">
        <v>4384</v>
      </c>
      <c r="E30" s="1960" t="s">
        <v>1743</v>
      </c>
      <c r="F30" s="1965">
        <v>42467</v>
      </c>
      <c r="G30" s="1966">
        <v>42445</v>
      </c>
      <c r="H30" s="1965">
        <v>42453</v>
      </c>
      <c r="I30" s="1967">
        <v>44680</v>
      </c>
      <c r="J30" s="1989">
        <v>1000</v>
      </c>
      <c r="K30" s="1964" t="s">
        <v>3229</v>
      </c>
      <c r="L30" s="1968" t="s">
        <v>3229</v>
      </c>
      <c r="M30" s="1969">
        <v>-0.1</v>
      </c>
      <c r="N30" s="1970">
        <v>1</v>
      </c>
      <c r="O30" s="1971">
        <v>0.6</v>
      </c>
      <c r="P30" s="3198" t="s">
        <v>3229</v>
      </c>
      <c r="Q30" s="3198" t="s">
        <v>3229</v>
      </c>
      <c r="R30" s="1972" t="s">
        <v>3229</v>
      </c>
      <c r="S30" s="1973"/>
      <c r="T30" s="1974" t="s">
        <v>3229</v>
      </c>
      <c r="U30" s="1974" t="s">
        <v>3229</v>
      </c>
      <c r="V30" s="1974" t="s">
        <v>3229</v>
      </c>
      <c r="W30" s="1974" t="s">
        <v>3229</v>
      </c>
      <c r="X30" s="1974" t="s">
        <v>3229</v>
      </c>
      <c r="Y30" s="1974" t="s">
        <v>3229</v>
      </c>
      <c r="Z30" s="1974" t="s">
        <v>3229</v>
      </c>
      <c r="AA30" s="1974" t="s">
        <v>3229</v>
      </c>
      <c r="AB30" s="1974" t="s">
        <v>3229</v>
      </c>
      <c r="AC30" s="1974" t="s">
        <v>3229</v>
      </c>
      <c r="AD30" s="1974" t="s">
        <v>3229</v>
      </c>
      <c r="AE30" s="1974" t="s">
        <v>3229</v>
      </c>
      <c r="AF30" s="1963" t="str">
        <f>IF(S30="","-",IF(T30="",S30,MAX(IF(T30&gt;indexy!$B$1,S30,S30-S30),IF(U30&gt;indexy!$B$1,S30-1,S30-S30),IF(V30&gt;indexy!$B$1,S30-2,S30-S30),IF(W30&gt;indexy!$B$1,S30-3,S30-S30),IF(X30&gt;indexy!$B$1,S30-4,S30-S30),IF(Y30&gt;indexy!$B$1,S30-5,S30-S30),IF(Z30&gt;indexy!$B$1,S30-6,S30-S30),IF(AA30&gt;indexy!$B$1,S30-7,S30-S30),IF(AB30&gt;indexy!$B$1,S30-8,S30-S30),IF(AC30&gt;indexy!$B$1,S30-9,S30-S30),IF(AD30&gt;indexy!$B$1,S30-10,S30-S30),IF(AE30&gt;indexy!$B$1,S30-11,S30-S30))))</f>
        <v>-</v>
      </c>
      <c r="AG30" s="3551" t="s">
        <v>10636</v>
      </c>
      <c r="AH30" s="1976" t="s">
        <v>3229</v>
      </c>
      <c r="AI30" s="1976" t="s">
        <v>3229</v>
      </c>
      <c r="AJ30" s="1976" t="s">
        <v>3229</v>
      </c>
      <c r="AK30" s="1976" t="s">
        <v>3229</v>
      </c>
      <c r="AL30" s="1976" t="s">
        <v>3229</v>
      </c>
      <c r="AM30" s="1977">
        <v>1</v>
      </c>
      <c r="AN30" s="2349">
        <f>+'klikací hodnoty2'!F1008</f>
        <v>0.24873800000000001</v>
      </c>
      <c r="AO30" s="1979">
        <v>1248.7</v>
      </c>
      <c r="AP30" s="2349">
        <f>+'klikací hodnoty2'!E1007</f>
        <v>0.14873800000000001</v>
      </c>
      <c r="AQ30" s="2349">
        <f>+'klikací hodnoty2'!F994</f>
        <v>0.17169999999999999</v>
      </c>
      <c r="AR30" s="3498">
        <f t="shared" ref="AR30:AR35" si="22">O30</f>
        <v>0.6</v>
      </c>
      <c r="AS30" s="3499">
        <f t="shared" ref="AS30:AS35" si="23">POWER(1+AR30,1/((I30-F30)/365))-1</f>
        <v>8.0603631750798543E-2</v>
      </c>
      <c r="AT30" s="3499">
        <f t="shared" ref="AT30:AT31" si="24">IF(AO30="","",J30*(1+AR30)/AO30-1)</f>
        <v>0.28133258588932475</v>
      </c>
      <c r="AU30" s="3497"/>
      <c r="AV30" s="1980">
        <f t="shared" ref="AV30:AV34" si="25">M30</f>
        <v>-0.1</v>
      </c>
      <c r="AW30" s="1981">
        <f t="shared" ref="AW30:AW34" si="26">POWER(1+AV30,1/((I30-F30)/365))-1</f>
        <v>-1.722746231668093E-2</v>
      </c>
      <c r="AX30" s="3012">
        <f t="shared" ref="AX30:AX31" si="27">IF(AO30="","",J30*(1+AV30)/AO30-1)</f>
        <v>-0.27925042043725479</v>
      </c>
      <c r="AY30" s="2097"/>
      <c r="AZ30" s="1983">
        <f t="shared" ref="AZ30:AZ34" si="28">J30*(1+AV30)</f>
        <v>900</v>
      </c>
      <c r="BB30" s="1973"/>
      <c r="BC30" s="2965"/>
      <c r="BD30" s="3431"/>
      <c r="BE30" s="3434"/>
      <c r="BF30" s="3434"/>
      <c r="BG30" s="3434"/>
      <c r="BH30" s="3431"/>
      <c r="BI30" s="1986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4"/>
      <c r="BU30" s="1984"/>
      <c r="BV30" s="1984"/>
      <c r="BW30" s="1984"/>
      <c r="BX30" s="1984"/>
      <c r="BY30" s="1984"/>
      <c r="BZ30" s="1984"/>
      <c r="CA30" s="1984"/>
      <c r="CB30" s="1984"/>
      <c r="CC30" s="1984"/>
      <c r="CD30" s="1984"/>
      <c r="CE30" s="1984"/>
      <c r="CF30" s="1984"/>
      <c r="CG30" s="1984"/>
      <c r="CH30" s="1984"/>
      <c r="CI30" s="1984"/>
      <c r="CJ30" s="1984"/>
      <c r="CK30" s="1984"/>
      <c r="CL30" s="1984"/>
      <c r="CM30" s="1984"/>
      <c r="CN30" s="1984"/>
      <c r="CO30" s="1984"/>
      <c r="CP30" s="1984"/>
      <c r="CQ30" s="1984"/>
      <c r="CR30" s="1984"/>
      <c r="CS30" s="1984"/>
      <c r="CT30" s="1984"/>
      <c r="CU30" s="1984"/>
      <c r="CV30" s="1984"/>
      <c r="CW30" s="1984"/>
      <c r="CX30" s="1984"/>
      <c r="CY30" s="1984"/>
      <c r="CZ30" s="1984"/>
      <c r="DA30" s="1984"/>
      <c r="DB30" s="1984"/>
      <c r="DC30" s="1984"/>
      <c r="DD30" s="1984"/>
      <c r="DE30" s="1984"/>
      <c r="DF30" s="1984"/>
      <c r="DG30" s="1984"/>
      <c r="DH30" s="1984"/>
      <c r="DI30" s="1984"/>
      <c r="DJ30" s="1984"/>
      <c r="DK30" s="1984"/>
      <c r="DL30" s="1984"/>
      <c r="DM30" s="1984"/>
      <c r="DN30" s="1984"/>
      <c r="DO30" s="1984"/>
      <c r="DP30" s="1984"/>
      <c r="DQ30" s="1984"/>
      <c r="DR30" s="1984"/>
      <c r="DS30" s="1984"/>
      <c r="DT30" s="1984"/>
      <c r="DU30" s="1984"/>
      <c r="DV30" s="1984"/>
      <c r="DW30" s="1984"/>
      <c r="DX30" s="1984"/>
      <c r="DY30" s="1984"/>
      <c r="DZ30" s="1984"/>
      <c r="EA30" s="1984"/>
      <c r="EB30" s="1984"/>
      <c r="EC30" s="1984"/>
      <c r="ED30" s="1984"/>
      <c r="EE30" s="1984"/>
      <c r="EF30" s="1984"/>
      <c r="EG30" s="1984"/>
      <c r="EH30" s="1984"/>
      <c r="EI30" s="1984"/>
      <c r="EJ30" s="1984"/>
      <c r="EK30" s="1984"/>
      <c r="EL30" s="1984"/>
      <c r="EM30" s="1984"/>
      <c r="EN30" s="1984"/>
      <c r="EO30" s="1984"/>
      <c r="EP30" s="1984"/>
      <c r="EQ30" s="1984"/>
      <c r="ER30" s="1984"/>
      <c r="ES30" s="1984"/>
      <c r="ET30" s="1984"/>
      <c r="EU30" s="1984"/>
      <c r="EV30" s="1984"/>
      <c r="EW30" s="1984"/>
      <c r="EX30" s="1984"/>
      <c r="EY30" s="1984"/>
      <c r="EZ30" s="1984"/>
      <c r="FA30" s="1984"/>
      <c r="FB30" s="1984"/>
      <c r="FC30" s="1984"/>
      <c r="FD30" s="1984"/>
      <c r="FE30" s="1984"/>
      <c r="FF30" s="1984"/>
      <c r="FG30" s="1984"/>
      <c r="FH30" s="1984"/>
      <c r="FI30" s="1984"/>
      <c r="FJ30" s="1984"/>
      <c r="FK30" s="1984"/>
      <c r="FL30" s="1984"/>
      <c r="FM30" s="1984"/>
      <c r="FN30" s="1984"/>
      <c r="FO30" s="1984"/>
      <c r="FP30" s="1984"/>
      <c r="FQ30" s="1984"/>
      <c r="FR30" s="1984"/>
      <c r="FS30" s="1984"/>
      <c r="FT30" s="1984"/>
      <c r="FU30" s="1984"/>
      <c r="FV30" s="1984"/>
      <c r="FW30" s="1984"/>
      <c r="FX30" s="1984"/>
      <c r="FY30" s="1984"/>
      <c r="FZ30" s="1984"/>
      <c r="GA30" s="1984"/>
      <c r="GB30" s="1984"/>
      <c r="GC30" s="1984"/>
      <c r="GD30" s="1984"/>
      <c r="GE30" s="1984"/>
      <c r="GF30" s="1984"/>
      <c r="GG30" s="1984"/>
      <c r="GH30" s="1984"/>
      <c r="GI30" s="1984"/>
      <c r="GJ30" s="1984"/>
      <c r="GK30" s="1984"/>
      <c r="GL30" s="1984"/>
      <c r="GM30" s="1984"/>
      <c r="GN30" s="1984"/>
      <c r="GO30" s="1984"/>
      <c r="GP30" s="1984"/>
      <c r="GQ30" s="1984"/>
      <c r="GR30" s="1984"/>
      <c r="GS30" s="1984"/>
      <c r="GT30" s="1984"/>
      <c r="GU30" s="1984"/>
      <c r="GV30" s="1984"/>
      <c r="GW30" s="1984"/>
      <c r="GX30" s="1984"/>
      <c r="GY30" s="1984"/>
      <c r="GZ30" s="1984"/>
      <c r="HA30" s="1984"/>
      <c r="HB30" s="1984"/>
      <c r="HC30" s="1984"/>
      <c r="HD30" s="1984"/>
      <c r="HE30" s="1984"/>
      <c r="HF30" s="1984"/>
      <c r="HG30" s="1984"/>
      <c r="HH30" s="1984"/>
      <c r="HI30" s="1984"/>
      <c r="HJ30" s="1984"/>
      <c r="HK30" s="1984"/>
      <c r="HL30" s="1984"/>
      <c r="HM30" s="1984"/>
      <c r="HN30" s="1984"/>
      <c r="HO30" s="1984"/>
      <c r="HP30" s="1984"/>
      <c r="HQ30" s="1984"/>
      <c r="HR30" s="1984"/>
      <c r="HS30" s="1984"/>
      <c r="HT30" s="1984"/>
      <c r="HU30" s="1984"/>
      <c r="HV30" s="1984"/>
      <c r="HW30" s="1984"/>
      <c r="HX30" s="1984"/>
      <c r="HY30" s="1984"/>
      <c r="HZ30" s="1984"/>
      <c r="IA30" s="1984"/>
      <c r="IB30" s="1984"/>
      <c r="IC30" s="1984"/>
      <c r="ID30" s="1984"/>
      <c r="IE30" s="1984"/>
      <c r="IF30" s="1984"/>
      <c r="IG30" s="1984"/>
      <c r="IH30" s="1984"/>
      <c r="II30" s="1984"/>
      <c r="IJ30" s="1984"/>
      <c r="IK30" s="1984"/>
      <c r="IL30" s="1984"/>
      <c r="IM30" s="1984"/>
      <c r="IN30" s="1984"/>
      <c r="IO30" s="1984"/>
      <c r="IP30" s="1984"/>
      <c r="IQ30" s="1984"/>
      <c r="IR30" s="1984"/>
    </row>
    <row r="31" spans="1:252" s="1813" customFormat="1" ht="13.5" customHeight="1" x14ac:dyDescent="0.25">
      <c r="A31" s="1961" t="s">
        <v>7961</v>
      </c>
      <c r="B31" s="1962" t="s">
        <v>7961</v>
      </c>
      <c r="C31" s="1963" t="s">
        <v>8079</v>
      </c>
      <c r="D31" s="1964" t="s">
        <v>1872</v>
      </c>
      <c r="E31" s="1960" t="s">
        <v>1743</v>
      </c>
      <c r="F31" s="1965">
        <v>42528</v>
      </c>
      <c r="G31" s="1966">
        <v>42506</v>
      </c>
      <c r="H31" s="1965">
        <v>42517</v>
      </c>
      <c r="I31" s="1967">
        <v>44742</v>
      </c>
      <c r="J31" s="1989">
        <v>1000</v>
      </c>
      <c r="K31" s="1964" t="s">
        <v>3229</v>
      </c>
      <c r="L31" s="1968" t="s">
        <v>3229</v>
      </c>
      <c r="M31" s="1969">
        <v>-0.1</v>
      </c>
      <c r="N31" s="1970">
        <v>1</v>
      </c>
      <c r="O31" s="1971">
        <v>0.6</v>
      </c>
      <c r="P31" s="3198" t="s">
        <v>3229</v>
      </c>
      <c r="Q31" s="3198" t="s">
        <v>3229</v>
      </c>
      <c r="R31" s="1972" t="s">
        <v>3229</v>
      </c>
      <c r="S31" s="1973"/>
      <c r="T31" s="1974" t="s">
        <v>3229</v>
      </c>
      <c r="U31" s="1974" t="s">
        <v>3229</v>
      </c>
      <c r="V31" s="1974" t="s">
        <v>3229</v>
      </c>
      <c r="W31" s="1974" t="s">
        <v>3229</v>
      </c>
      <c r="X31" s="1974" t="s">
        <v>3229</v>
      </c>
      <c r="Y31" s="1974" t="s">
        <v>3229</v>
      </c>
      <c r="Z31" s="1974" t="s">
        <v>3229</v>
      </c>
      <c r="AA31" s="1974" t="s">
        <v>3229</v>
      </c>
      <c r="AB31" s="1974" t="s">
        <v>3229</v>
      </c>
      <c r="AC31" s="1974" t="s">
        <v>3229</v>
      </c>
      <c r="AD31" s="1974" t="s">
        <v>3229</v>
      </c>
      <c r="AE31" s="1974" t="s">
        <v>3229</v>
      </c>
      <c r="AF31" s="1963" t="str">
        <f>IF(S31="","-",IF(T31="",S31,MAX(IF(T31&gt;indexy!$B$1,S31,S31-S31),IF(U31&gt;indexy!$B$1,S31-1,S31-S31),IF(V31&gt;indexy!$B$1,S31-2,S31-S31),IF(W31&gt;indexy!$B$1,S31-3,S31-S31),IF(X31&gt;indexy!$B$1,S31-4,S31-S31),IF(Y31&gt;indexy!$B$1,S31-5,S31-S31),IF(Z31&gt;indexy!$B$1,S31-6,S31-S31),IF(AA31&gt;indexy!$B$1,S31-7,S31-S31),IF(AB31&gt;indexy!$B$1,S31-8,S31-S31),IF(AC31&gt;indexy!$B$1,S31-9,S31-S31),IF(AD31&gt;indexy!$B$1,S31-10,S31-S31),IF(AE31&gt;indexy!$B$1,S31-11,S31-S31))))</f>
        <v>-</v>
      </c>
      <c r="AG31" s="3551" t="s">
        <v>10636</v>
      </c>
      <c r="AH31" s="1976" t="s">
        <v>3229</v>
      </c>
      <c r="AI31" s="1976" t="s">
        <v>3229</v>
      </c>
      <c r="AJ31" s="1976" t="s">
        <v>3229</v>
      </c>
      <c r="AK31" s="1976" t="s">
        <v>3229</v>
      </c>
      <c r="AL31" s="1976" t="s">
        <v>3229</v>
      </c>
      <c r="AM31" s="1977">
        <v>1</v>
      </c>
      <c r="AN31" s="2349">
        <f>+'klikací hodnoty2'!F1155</f>
        <v>0.27774208333333333</v>
      </c>
      <c r="AO31" s="1979">
        <v>1277.7</v>
      </c>
      <c r="AP31" s="2349">
        <f>+'klikací hodnoty2'!E1154</f>
        <v>0.17774208333333333</v>
      </c>
      <c r="AQ31" s="2349">
        <f>+'klikací hodnoty2'!E1154</f>
        <v>0.17774208333333333</v>
      </c>
      <c r="AR31" s="3543">
        <f t="shared" si="22"/>
        <v>0.6</v>
      </c>
      <c r="AS31" s="3544">
        <f t="shared" si="23"/>
        <v>8.0565796739743734E-2</v>
      </c>
      <c r="AT31" s="3544">
        <f t="shared" si="24"/>
        <v>0.25225013696485865</v>
      </c>
      <c r="AU31" s="3542"/>
      <c r="AV31" s="1980">
        <f t="shared" si="25"/>
        <v>-0.1</v>
      </c>
      <c r="AW31" s="1981">
        <f t="shared" si="26"/>
        <v>-1.7219748551075331E-2</v>
      </c>
      <c r="AX31" s="3012">
        <f t="shared" si="27"/>
        <v>-0.29560929795726698</v>
      </c>
      <c r="AY31" s="2097"/>
      <c r="AZ31" s="1983">
        <f t="shared" si="28"/>
        <v>900</v>
      </c>
      <c r="BB31" s="1973"/>
      <c r="BC31" s="2965"/>
      <c r="BD31" s="3431"/>
      <c r="BE31" s="3434"/>
      <c r="BF31" s="3434"/>
      <c r="BG31" s="3434"/>
      <c r="BH31" s="3431"/>
      <c r="BI31" s="1986"/>
      <c r="BJ31" s="1984"/>
      <c r="BK31" s="1984"/>
      <c r="BL31" s="1984"/>
      <c r="BM31" s="1984"/>
      <c r="BN31" s="1984"/>
      <c r="BO31" s="1984"/>
      <c r="BP31" s="1984"/>
      <c r="BQ31" s="1984"/>
      <c r="BR31" s="1984"/>
      <c r="BS31" s="1984"/>
      <c r="BT31" s="1984"/>
      <c r="BU31" s="1984"/>
      <c r="BV31" s="1984"/>
      <c r="BW31" s="1984"/>
      <c r="BX31" s="1984"/>
      <c r="BY31" s="1984"/>
      <c r="BZ31" s="1984"/>
      <c r="CA31" s="1984"/>
      <c r="CB31" s="1984"/>
      <c r="CC31" s="1984"/>
      <c r="CD31" s="1984"/>
      <c r="CE31" s="1984"/>
      <c r="CF31" s="1984"/>
      <c r="CG31" s="1984"/>
      <c r="CH31" s="1984"/>
      <c r="CI31" s="1984"/>
      <c r="CJ31" s="1984"/>
      <c r="CK31" s="1984"/>
      <c r="CL31" s="1984"/>
      <c r="CM31" s="1984"/>
      <c r="CN31" s="1984"/>
      <c r="CO31" s="1984"/>
      <c r="CP31" s="1984"/>
      <c r="CQ31" s="1984"/>
      <c r="CR31" s="1984"/>
      <c r="CS31" s="1984"/>
      <c r="CT31" s="1984"/>
      <c r="CU31" s="1984"/>
      <c r="CV31" s="1984"/>
      <c r="CW31" s="1984"/>
      <c r="CX31" s="1984"/>
      <c r="CY31" s="1984"/>
      <c r="CZ31" s="1984"/>
      <c r="DA31" s="1984"/>
      <c r="DB31" s="1984"/>
      <c r="DC31" s="1984"/>
      <c r="DD31" s="1984"/>
      <c r="DE31" s="1984"/>
      <c r="DF31" s="1984"/>
      <c r="DG31" s="1984"/>
      <c r="DH31" s="1984"/>
      <c r="DI31" s="1984"/>
      <c r="DJ31" s="1984"/>
      <c r="DK31" s="1984"/>
      <c r="DL31" s="1984"/>
      <c r="DM31" s="1984"/>
      <c r="DN31" s="1984"/>
      <c r="DO31" s="1984"/>
      <c r="DP31" s="1984"/>
      <c r="DQ31" s="1984"/>
      <c r="DR31" s="1984"/>
      <c r="DS31" s="1984"/>
      <c r="DT31" s="1984"/>
      <c r="DU31" s="1984"/>
      <c r="DV31" s="1984"/>
      <c r="DW31" s="1984"/>
      <c r="DX31" s="1984"/>
      <c r="DY31" s="1984"/>
      <c r="DZ31" s="1984"/>
      <c r="EA31" s="1984"/>
      <c r="EB31" s="1984"/>
      <c r="EC31" s="1984"/>
      <c r="ED31" s="1984"/>
      <c r="EE31" s="1984"/>
      <c r="EF31" s="1984"/>
      <c r="EG31" s="1984"/>
      <c r="EH31" s="1984"/>
      <c r="EI31" s="1984"/>
      <c r="EJ31" s="1984"/>
      <c r="EK31" s="1984"/>
      <c r="EL31" s="1984"/>
      <c r="EM31" s="1984"/>
      <c r="EN31" s="1984"/>
      <c r="EO31" s="1984"/>
      <c r="EP31" s="1984"/>
      <c r="EQ31" s="1984"/>
      <c r="ER31" s="1984"/>
      <c r="ES31" s="1984"/>
      <c r="ET31" s="1984"/>
      <c r="EU31" s="1984"/>
      <c r="EV31" s="1984"/>
      <c r="EW31" s="1984"/>
      <c r="EX31" s="1984"/>
      <c r="EY31" s="1984"/>
      <c r="EZ31" s="1984"/>
      <c r="FA31" s="1984"/>
      <c r="FB31" s="1984"/>
      <c r="FC31" s="1984"/>
      <c r="FD31" s="1984"/>
      <c r="FE31" s="1984"/>
      <c r="FF31" s="1984"/>
      <c r="FG31" s="1984"/>
      <c r="FH31" s="1984"/>
      <c r="FI31" s="1984"/>
      <c r="FJ31" s="1984"/>
      <c r="FK31" s="1984"/>
      <c r="FL31" s="1984"/>
      <c r="FM31" s="1984"/>
      <c r="FN31" s="1984"/>
      <c r="FO31" s="1984"/>
      <c r="FP31" s="1984"/>
      <c r="FQ31" s="1984"/>
      <c r="FR31" s="1984"/>
      <c r="FS31" s="1984"/>
      <c r="FT31" s="1984"/>
      <c r="FU31" s="1984"/>
      <c r="FV31" s="1984"/>
      <c r="FW31" s="1984"/>
      <c r="FX31" s="1984"/>
      <c r="FY31" s="1984"/>
      <c r="FZ31" s="1984"/>
      <c r="GA31" s="1984"/>
      <c r="GB31" s="1984"/>
      <c r="GC31" s="1984"/>
      <c r="GD31" s="1984"/>
      <c r="GE31" s="1984"/>
      <c r="GF31" s="1984"/>
      <c r="GG31" s="1984"/>
      <c r="GH31" s="1984"/>
      <c r="GI31" s="1984"/>
      <c r="GJ31" s="1984"/>
      <c r="GK31" s="1984"/>
      <c r="GL31" s="1984"/>
      <c r="GM31" s="1984"/>
      <c r="GN31" s="1984"/>
      <c r="GO31" s="1984"/>
      <c r="GP31" s="1984"/>
      <c r="GQ31" s="1984"/>
      <c r="GR31" s="1984"/>
      <c r="GS31" s="1984"/>
      <c r="GT31" s="1984"/>
      <c r="GU31" s="1984"/>
      <c r="GV31" s="1984"/>
      <c r="GW31" s="1984"/>
      <c r="GX31" s="1984"/>
      <c r="GY31" s="1984"/>
      <c r="GZ31" s="1984"/>
      <c r="HA31" s="1984"/>
      <c r="HB31" s="1984"/>
      <c r="HC31" s="1984"/>
      <c r="HD31" s="1984"/>
      <c r="HE31" s="1984"/>
      <c r="HF31" s="1984"/>
      <c r="HG31" s="1984"/>
      <c r="HH31" s="1984"/>
      <c r="HI31" s="1984"/>
      <c r="HJ31" s="1984"/>
      <c r="HK31" s="1984"/>
      <c r="HL31" s="1984"/>
      <c r="HM31" s="1984"/>
      <c r="HN31" s="1984"/>
      <c r="HO31" s="1984"/>
      <c r="HP31" s="1984"/>
      <c r="HQ31" s="1984"/>
      <c r="HR31" s="1984"/>
      <c r="HS31" s="1984"/>
      <c r="HT31" s="1984"/>
      <c r="HU31" s="1984"/>
      <c r="HV31" s="1984"/>
      <c r="HW31" s="1984"/>
      <c r="HX31" s="1984"/>
      <c r="HY31" s="1984"/>
      <c r="HZ31" s="1984"/>
      <c r="IA31" s="1984"/>
      <c r="IB31" s="1984"/>
      <c r="IC31" s="1984"/>
      <c r="ID31" s="1984"/>
      <c r="IE31" s="1984"/>
      <c r="IF31" s="1984"/>
      <c r="IG31" s="1984"/>
      <c r="IH31" s="1984"/>
      <c r="II31" s="1984"/>
      <c r="IJ31" s="1984"/>
      <c r="IK31" s="1984"/>
      <c r="IL31" s="1984"/>
      <c r="IM31" s="1984"/>
      <c r="IN31" s="1984"/>
      <c r="IO31" s="1984"/>
      <c r="IP31" s="1984"/>
      <c r="IQ31" s="1984"/>
      <c r="IR31" s="1984"/>
    </row>
    <row r="32" spans="1:252" s="1813" customFormat="1" ht="13.5" customHeight="1" x14ac:dyDescent="0.25">
      <c r="A32" s="1961" t="s">
        <v>8178</v>
      </c>
      <c r="B32" s="1962" t="s">
        <v>8178</v>
      </c>
      <c r="C32" s="1963" t="s">
        <v>8180</v>
      </c>
      <c r="D32" s="1964" t="s">
        <v>1872</v>
      </c>
      <c r="E32" s="1960" t="s">
        <v>1743</v>
      </c>
      <c r="F32" s="1965">
        <v>42620</v>
      </c>
      <c r="G32" s="1966">
        <v>42597</v>
      </c>
      <c r="H32" s="1965">
        <v>42608</v>
      </c>
      <c r="I32" s="1967">
        <v>44834</v>
      </c>
      <c r="J32" s="1989">
        <v>1000</v>
      </c>
      <c r="K32" s="1964" t="s">
        <v>3229</v>
      </c>
      <c r="L32" s="1968" t="s">
        <v>3229</v>
      </c>
      <c r="M32" s="1969">
        <v>0</v>
      </c>
      <c r="N32" s="1970">
        <v>1</v>
      </c>
      <c r="O32" s="1971">
        <v>0.6</v>
      </c>
      <c r="P32" s="3198" t="s">
        <v>3229</v>
      </c>
      <c r="Q32" s="3198" t="s">
        <v>3229</v>
      </c>
      <c r="R32" s="1972" t="s">
        <v>3229</v>
      </c>
      <c r="S32" s="1973"/>
      <c r="T32" s="1974" t="s">
        <v>3229</v>
      </c>
      <c r="U32" s="1974" t="s">
        <v>3229</v>
      </c>
      <c r="V32" s="1974" t="s">
        <v>3229</v>
      </c>
      <c r="W32" s="1974" t="s">
        <v>3229</v>
      </c>
      <c r="X32" s="1974" t="s">
        <v>3229</v>
      </c>
      <c r="Y32" s="1974" t="s">
        <v>3229</v>
      </c>
      <c r="Z32" s="1974" t="s">
        <v>3229</v>
      </c>
      <c r="AA32" s="1974" t="s">
        <v>3229</v>
      </c>
      <c r="AB32" s="1974" t="s">
        <v>3229</v>
      </c>
      <c r="AC32" s="1974" t="s">
        <v>3229</v>
      </c>
      <c r="AD32" s="1974" t="s">
        <v>3229</v>
      </c>
      <c r="AE32" s="1974" t="s">
        <v>3229</v>
      </c>
      <c r="AF32" s="1963" t="str">
        <f>IF(S32="","-",IF(T32="",S32,MAX(IF(T32&gt;indexy!$B$1,S32,S32-S32),IF(U32&gt;indexy!$B$1,S32-1,S32-S32),IF(V32&gt;indexy!$B$1,S32-2,S32-S32),IF(W32&gt;indexy!$B$1,S32-3,S32-S32),IF(X32&gt;indexy!$B$1,S32-4,S32-S32),IF(Y32&gt;indexy!$B$1,S32-5,S32-S32),IF(Z32&gt;indexy!$B$1,S32-6,S32-S32),IF(AA32&gt;indexy!$B$1,S32-7,S32-S32),IF(AB32&gt;indexy!$B$1,S32-8,S32-S32),IF(AC32&gt;indexy!$B$1,S32-9,S32-S32),IF(AD32&gt;indexy!$B$1,S32-10,S32-S32),IF(AE32&gt;indexy!$B$1,S32-11,S32-S32))))</f>
        <v>-</v>
      </c>
      <c r="AG32" s="3576" t="s">
        <v>10636</v>
      </c>
      <c r="AH32" s="1976" t="s">
        <v>3229</v>
      </c>
      <c r="AI32" s="1976" t="s">
        <v>3229</v>
      </c>
      <c r="AJ32" s="1976" t="s">
        <v>3229</v>
      </c>
      <c r="AK32" s="1976" t="s">
        <v>3229</v>
      </c>
      <c r="AL32" s="1976" t="s">
        <v>3229</v>
      </c>
      <c r="AM32" s="1977">
        <v>1</v>
      </c>
      <c r="AN32" s="2349">
        <f>+'klikací hodnoty2'!F1299</f>
        <v>0.1652828333333333</v>
      </c>
      <c r="AO32" s="1979">
        <v>1165.3</v>
      </c>
      <c r="AP32" s="2349">
        <f>+'klikací hodnoty2'!E1298</f>
        <v>0.1652828333333333</v>
      </c>
      <c r="AQ32" s="2349">
        <f>+'klikací hodnoty2'!F1299</f>
        <v>0.1652828333333333</v>
      </c>
      <c r="AR32" s="3562">
        <v>0.1653</v>
      </c>
      <c r="AS32" s="3563">
        <f t="shared" si="23"/>
        <v>2.5540759169380589E-2</v>
      </c>
      <c r="AT32" s="3563"/>
      <c r="AU32" s="3561"/>
      <c r="AV32" s="1980">
        <f t="shared" si="25"/>
        <v>0</v>
      </c>
      <c r="AW32" s="1981">
        <f t="shared" si="26"/>
        <v>0</v>
      </c>
      <c r="AX32" s="3012"/>
      <c r="AY32" s="2097"/>
      <c r="AZ32" s="1983">
        <f t="shared" si="28"/>
        <v>1000</v>
      </c>
      <c r="BB32" s="1973"/>
      <c r="BC32" s="2965"/>
      <c r="BD32" s="3431"/>
      <c r="BE32" s="3434"/>
      <c r="BF32" s="3434"/>
      <c r="BG32" s="3434"/>
      <c r="BH32" s="3431"/>
      <c r="BI32" s="1986"/>
      <c r="BJ32" s="1984"/>
      <c r="BK32" s="1984"/>
      <c r="BL32" s="1984"/>
      <c r="BM32" s="1984"/>
      <c r="BN32" s="1984"/>
      <c r="BO32" s="1984"/>
      <c r="BP32" s="1984"/>
      <c r="BQ32" s="1984"/>
      <c r="BR32" s="1984"/>
      <c r="BS32" s="1984"/>
      <c r="BT32" s="1984"/>
      <c r="BU32" s="1984"/>
      <c r="BV32" s="1984"/>
      <c r="BW32" s="1984"/>
      <c r="BX32" s="1984"/>
      <c r="BY32" s="1984"/>
      <c r="BZ32" s="1984"/>
      <c r="CA32" s="1984"/>
      <c r="CB32" s="1984"/>
      <c r="CC32" s="1984"/>
      <c r="CD32" s="1984"/>
      <c r="CE32" s="1984"/>
      <c r="CF32" s="1984"/>
      <c r="CG32" s="1984"/>
      <c r="CH32" s="1984"/>
      <c r="CI32" s="1984"/>
      <c r="CJ32" s="1984"/>
      <c r="CK32" s="1984"/>
      <c r="CL32" s="1984"/>
      <c r="CM32" s="1984"/>
      <c r="CN32" s="1984"/>
      <c r="CO32" s="1984"/>
      <c r="CP32" s="1984"/>
      <c r="CQ32" s="1984"/>
      <c r="CR32" s="1984"/>
      <c r="CS32" s="1984"/>
      <c r="CT32" s="1984"/>
      <c r="CU32" s="1984"/>
      <c r="CV32" s="1984"/>
      <c r="CW32" s="1984"/>
      <c r="CX32" s="1984"/>
      <c r="CY32" s="1984"/>
      <c r="CZ32" s="1984"/>
      <c r="DA32" s="1984"/>
      <c r="DB32" s="1984"/>
      <c r="DC32" s="1984"/>
      <c r="DD32" s="1984"/>
      <c r="DE32" s="1984"/>
      <c r="DF32" s="1984"/>
      <c r="DG32" s="1984"/>
      <c r="DH32" s="1984"/>
      <c r="DI32" s="1984"/>
      <c r="DJ32" s="1984"/>
      <c r="DK32" s="1984"/>
      <c r="DL32" s="1984"/>
      <c r="DM32" s="1984"/>
      <c r="DN32" s="1984"/>
      <c r="DO32" s="1984"/>
      <c r="DP32" s="1984"/>
      <c r="DQ32" s="1984"/>
      <c r="DR32" s="1984"/>
      <c r="DS32" s="1984"/>
      <c r="DT32" s="1984"/>
      <c r="DU32" s="1984"/>
      <c r="DV32" s="1984"/>
      <c r="DW32" s="1984"/>
      <c r="DX32" s="1984"/>
      <c r="DY32" s="1984"/>
      <c r="DZ32" s="1984"/>
      <c r="EA32" s="1984"/>
      <c r="EB32" s="1984"/>
      <c r="EC32" s="1984"/>
      <c r="ED32" s="1984"/>
      <c r="EE32" s="1984"/>
      <c r="EF32" s="1984"/>
      <c r="EG32" s="1984"/>
      <c r="EH32" s="1984"/>
      <c r="EI32" s="1984"/>
      <c r="EJ32" s="1984"/>
      <c r="EK32" s="1984"/>
      <c r="EL32" s="1984"/>
      <c r="EM32" s="1984"/>
      <c r="EN32" s="1984"/>
      <c r="EO32" s="1984"/>
      <c r="EP32" s="1984"/>
      <c r="EQ32" s="1984"/>
      <c r="ER32" s="1984"/>
      <c r="ES32" s="1984"/>
      <c r="ET32" s="1984"/>
      <c r="EU32" s="1984"/>
      <c r="EV32" s="1984"/>
      <c r="EW32" s="1984"/>
      <c r="EX32" s="1984"/>
      <c r="EY32" s="1984"/>
      <c r="EZ32" s="1984"/>
      <c r="FA32" s="1984"/>
      <c r="FB32" s="1984"/>
      <c r="FC32" s="1984"/>
      <c r="FD32" s="1984"/>
      <c r="FE32" s="1984"/>
      <c r="FF32" s="1984"/>
      <c r="FG32" s="1984"/>
      <c r="FH32" s="1984"/>
      <c r="FI32" s="1984"/>
      <c r="FJ32" s="1984"/>
      <c r="FK32" s="1984"/>
      <c r="FL32" s="1984"/>
      <c r="FM32" s="1984"/>
      <c r="FN32" s="1984"/>
      <c r="FO32" s="1984"/>
      <c r="FP32" s="1984"/>
      <c r="FQ32" s="1984"/>
      <c r="FR32" s="1984"/>
      <c r="FS32" s="1984"/>
      <c r="FT32" s="1984"/>
      <c r="FU32" s="1984"/>
      <c r="FV32" s="1984"/>
      <c r="FW32" s="1984"/>
      <c r="FX32" s="1984"/>
      <c r="FY32" s="1984"/>
      <c r="FZ32" s="1984"/>
      <c r="GA32" s="1984"/>
      <c r="GB32" s="1984"/>
      <c r="GC32" s="1984"/>
      <c r="GD32" s="1984"/>
      <c r="GE32" s="1984"/>
      <c r="GF32" s="1984"/>
      <c r="GG32" s="1984"/>
      <c r="GH32" s="1984"/>
      <c r="GI32" s="1984"/>
      <c r="GJ32" s="1984"/>
      <c r="GK32" s="1984"/>
      <c r="GL32" s="1984"/>
      <c r="GM32" s="1984"/>
      <c r="GN32" s="1984"/>
      <c r="GO32" s="1984"/>
      <c r="GP32" s="1984"/>
      <c r="GQ32" s="1984"/>
      <c r="GR32" s="1984"/>
      <c r="GS32" s="1984"/>
      <c r="GT32" s="1984"/>
      <c r="GU32" s="1984"/>
      <c r="GV32" s="1984"/>
      <c r="GW32" s="1984"/>
      <c r="GX32" s="1984"/>
      <c r="GY32" s="1984"/>
      <c r="GZ32" s="1984"/>
      <c r="HA32" s="1984"/>
      <c r="HB32" s="1984"/>
      <c r="HC32" s="1984"/>
      <c r="HD32" s="1984"/>
      <c r="HE32" s="1984"/>
      <c r="HF32" s="1984"/>
      <c r="HG32" s="1984"/>
      <c r="HH32" s="1984"/>
      <c r="HI32" s="1984"/>
      <c r="HJ32" s="1984"/>
      <c r="HK32" s="1984"/>
      <c r="HL32" s="1984"/>
      <c r="HM32" s="1984"/>
      <c r="HN32" s="1984"/>
      <c r="HO32" s="1984"/>
      <c r="HP32" s="1984"/>
      <c r="HQ32" s="1984"/>
      <c r="HR32" s="1984"/>
      <c r="HS32" s="1984"/>
      <c r="HT32" s="1984"/>
      <c r="HU32" s="1984"/>
      <c r="HV32" s="1984"/>
      <c r="HW32" s="1984"/>
      <c r="HX32" s="1984"/>
      <c r="HY32" s="1984"/>
      <c r="HZ32" s="1984"/>
      <c r="IA32" s="1984"/>
      <c r="IB32" s="1984"/>
      <c r="IC32" s="1984"/>
      <c r="ID32" s="1984"/>
      <c r="IE32" s="1984"/>
      <c r="IF32" s="1984"/>
      <c r="IG32" s="1984"/>
      <c r="IH32" s="1984"/>
      <c r="II32" s="1984"/>
      <c r="IJ32" s="1984"/>
      <c r="IK32" s="1984"/>
      <c r="IL32" s="1984"/>
      <c r="IM32" s="1984"/>
      <c r="IN32" s="1984"/>
      <c r="IO32" s="1984"/>
      <c r="IP32" s="1984"/>
      <c r="IQ32" s="1984"/>
      <c r="IR32" s="1984"/>
    </row>
    <row r="33" spans="1:252" s="1813" customFormat="1" ht="13.5" customHeight="1" x14ac:dyDescent="0.25">
      <c r="A33" s="1961" t="s">
        <v>8355</v>
      </c>
      <c r="B33" s="1962" t="s">
        <v>8355</v>
      </c>
      <c r="C33" s="1963" t="s">
        <v>8439</v>
      </c>
      <c r="D33" s="1964" t="s">
        <v>4384</v>
      </c>
      <c r="E33" s="1960" t="s">
        <v>1743</v>
      </c>
      <c r="F33" s="1965">
        <v>42711</v>
      </c>
      <c r="G33" s="1966">
        <v>42688</v>
      </c>
      <c r="H33" s="1965">
        <v>42699</v>
      </c>
      <c r="I33" s="1967">
        <v>44834</v>
      </c>
      <c r="J33" s="1989">
        <v>1000</v>
      </c>
      <c r="K33" s="1964" t="s">
        <v>3229</v>
      </c>
      <c r="L33" s="1968" t="s">
        <v>3229</v>
      </c>
      <c r="M33" s="1969">
        <v>-0.1</v>
      </c>
      <c r="N33" s="1970">
        <v>1</v>
      </c>
      <c r="O33" s="1971">
        <v>0.8</v>
      </c>
      <c r="P33" s="3198" t="s">
        <v>3229</v>
      </c>
      <c r="Q33" s="3198" t="s">
        <v>3229</v>
      </c>
      <c r="R33" s="1972" t="s">
        <v>3229</v>
      </c>
      <c r="S33" s="1973"/>
      <c r="T33" s="1974" t="s">
        <v>3229</v>
      </c>
      <c r="U33" s="1974" t="s">
        <v>3229</v>
      </c>
      <c r="V33" s="1974" t="s">
        <v>3229</v>
      </c>
      <c r="W33" s="1974" t="s">
        <v>3229</v>
      </c>
      <c r="X33" s="1974" t="s">
        <v>3229</v>
      </c>
      <c r="Y33" s="1974" t="s">
        <v>3229</v>
      </c>
      <c r="Z33" s="1974" t="s">
        <v>3229</v>
      </c>
      <c r="AA33" s="1974" t="s">
        <v>3229</v>
      </c>
      <c r="AB33" s="1974" t="s">
        <v>3229</v>
      </c>
      <c r="AC33" s="1974" t="s">
        <v>3229</v>
      </c>
      <c r="AD33" s="1974" t="s">
        <v>3229</v>
      </c>
      <c r="AE33" s="1974" t="s">
        <v>3229</v>
      </c>
      <c r="AF33" s="1963" t="str">
        <f>IF(S33="","-",IF(T33="",S33,MAX(IF(T33&gt;indexy!$B$1,S33,S33-S33),IF(U33&gt;indexy!$B$1,S33-1,S33-S33),IF(V33&gt;indexy!$B$1,S33-2,S33-S33),IF(W33&gt;indexy!$B$1,S33-3,S33-S33),IF(X33&gt;indexy!$B$1,S33-4,S33-S33),IF(Y33&gt;indexy!$B$1,S33-5,S33-S33),IF(Z33&gt;indexy!$B$1,S33-6,S33-S33),IF(AA33&gt;indexy!$B$1,S33-7,S33-S33),IF(AB33&gt;indexy!$B$1,S33-8,S33-S33),IF(AC33&gt;indexy!$B$1,S33-9,S33-S33),IF(AD33&gt;indexy!$B$1,S33-10,S33-S33),IF(AE33&gt;indexy!$B$1,S33-11,S33-S33))))</f>
        <v>-</v>
      </c>
      <c r="AG33" s="3576" t="s">
        <v>10636</v>
      </c>
      <c r="AH33" s="1976" t="s">
        <v>3229</v>
      </c>
      <c r="AI33" s="1976" t="s">
        <v>3229</v>
      </c>
      <c r="AJ33" s="1976" t="s">
        <v>3229</v>
      </c>
      <c r="AK33" s="1976" t="s">
        <v>3229</v>
      </c>
      <c r="AL33" s="1976" t="s">
        <v>3229</v>
      </c>
      <c r="AM33" s="1977">
        <v>1</v>
      </c>
      <c r="AN33" s="2349">
        <f>+'klikací hodnoty2'!F1443</f>
        <v>0.59007566666666666</v>
      </c>
      <c r="AO33" s="1979">
        <v>1590.1</v>
      </c>
      <c r="AP33" s="2349">
        <f>+'klikací hodnoty2'!F1442</f>
        <v>0.59007566666666666</v>
      </c>
      <c r="AQ33" s="2349">
        <f>+'klikací hodnoty2'!F1429</f>
        <v>0.51822526155732695</v>
      </c>
      <c r="AR33" s="3562">
        <v>0.59009999999999996</v>
      </c>
      <c r="AS33" s="3563">
        <f>POWER(1+AR33,1/((I33-F33)/365))-1</f>
        <v>8.3004353471684E-2</v>
      </c>
      <c r="AT33" s="3563"/>
      <c r="AU33" s="3561"/>
      <c r="AV33" s="1980">
        <f>M33</f>
        <v>-0.1</v>
      </c>
      <c r="AW33" s="1981">
        <f>POWER(1+AV33,1/((I33-F33)/365))-1</f>
        <v>-1.7951189535092338E-2</v>
      </c>
      <c r="AX33" s="3012"/>
      <c r="AY33" s="2097"/>
      <c r="AZ33" s="1983">
        <f>J33*(1+AV33)</f>
        <v>900</v>
      </c>
      <c r="BB33" s="1973"/>
      <c r="BC33" s="2965"/>
      <c r="BD33" s="3431"/>
      <c r="BE33" s="3434"/>
      <c r="BF33" s="3434"/>
      <c r="BG33" s="3434"/>
      <c r="BH33" s="3431"/>
      <c r="BI33" s="1986"/>
      <c r="BJ33" s="1984"/>
      <c r="BK33" s="1984"/>
      <c r="BL33" s="1984"/>
      <c r="BM33" s="1984"/>
      <c r="BN33" s="1984"/>
      <c r="BO33" s="1984"/>
      <c r="BP33" s="1984"/>
      <c r="BQ33" s="1984"/>
      <c r="BR33" s="1984"/>
      <c r="BS33" s="1984"/>
      <c r="BT33" s="1984"/>
      <c r="BU33" s="1984"/>
      <c r="BV33" s="1984"/>
      <c r="BW33" s="1984"/>
      <c r="BX33" s="1984"/>
      <c r="BY33" s="1984"/>
      <c r="BZ33" s="1984"/>
      <c r="CA33" s="1984"/>
      <c r="CB33" s="1984"/>
      <c r="CC33" s="1984"/>
      <c r="CD33" s="1984"/>
      <c r="CE33" s="1984"/>
      <c r="CF33" s="1984"/>
      <c r="CG33" s="1984"/>
      <c r="CH33" s="1984"/>
      <c r="CI33" s="1984"/>
      <c r="CJ33" s="1984"/>
      <c r="CK33" s="1984"/>
      <c r="CL33" s="1984"/>
      <c r="CM33" s="1984"/>
      <c r="CN33" s="1984"/>
      <c r="CO33" s="1984"/>
      <c r="CP33" s="1984"/>
      <c r="CQ33" s="1984"/>
      <c r="CR33" s="1984"/>
      <c r="CS33" s="1984"/>
      <c r="CT33" s="1984"/>
      <c r="CU33" s="1984"/>
      <c r="CV33" s="1984"/>
      <c r="CW33" s="1984"/>
      <c r="CX33" s="1984"/>
      <c r="CY33" s="1984"/>
      <c r="CZ33" s="1984"/>
      <c r="DA33" s="1984"/>
      <c r="DB33" s="1984"/>
      <c r="DC33" s="1984"/>
      <c r="DD33" s="1984"/>
      <c r="DE33" s="1984"/>
      <c r="DF33" s="1984"/>
      <c r="DG33" s="1984"/>
      <c r="DH33" s="1984"/>
      <c r="DI33" s="1984"/>
      <c r="DJ33" s="1984"/>
      <c r="DK33" s="1984"/>
      <c r="DL33" s="1984"/>
      <c r="DM33" s="1984"/>
      <c r="DN33" s="1984"/>
      <c r="DO33" s="1984"/>
      <c r="DP33" s="1984"/>
      <c r="DQ33" s="1984"/>
      <c r="DR33" s="1984"/>
      <c r="DS33" s="1984"/>
      <c r="DT33" s="1984"/>
      <c r="DU33" s="1984"/>
      <c r="DV33" s="1984"/>
      <c r="DW33" s="1984"/>
      <c r="DX33" s="1984"/>
      <c r="DY33" s="1984"/>
      <c r="DZ33" s="1984"/>
      <c r="EA33" s="1984"/>
      <c r="EB33" s="1984"/>
      <c r="EC33" s="1984"/>
      <c r="ED33" s="1984"/>
      <c r="EE33" s="1984"/>
      <c r="EF33" s="1984"/>
      <c r="EG33" s="1984"/>
      <c r="EH33" s="1984"/>
      <c r="EI33" s="1984"/>
      <c r="EJ33" s="1984"/>
      <c r="EK33" s="1984"/>
      <c r="EL33" s="1984"/>
      <c r="EM33" s="1984"/>
      <c r="EN33" s="1984"/>
      <c r="EO33" s="1984"/>
      <c r="EP33" s="1984"/>
      <c r="EQ33" s="1984"/>
      <c r="ER33" s="1984"/>
      <c r="ES33" s="1984"/>
      <c r="ET33" s="1984"/>
      <c r="EU33" s="1984"/>
      <c r="EV33" s="1984"/>
      <c r="EW33" s="1984"/>
      <c r="EX33" s="1984"/>
      <c r="EY33" s="1984"/>
      <c r="EZ33" s="1984"/>
      <c r="FA33" s="1984"/>
      <c r="FB33" s="1984"/>
      <c r="FC33" s="1984"/>
      <c r="FD33" s="1984"/>
      <c r="FE33" s="1984"/>
      <c r="FF33" s="1984"/>
      <c r="FG33" s="1984"/>
      <c r="FH33" s="1984"/>
      <c r="FI33" s="1984"/>
      <c r="FJ33" s="1984"/>
      <c r="FK33" s="1984"/>
      <c r="FL33" s="1984"/>
      <c r="FM33" s="1984"/>
      <c r="FN33" s="1984"/>
      <c r="FO33" s="1984"/>
      <c r="FP33" s="1984"/>
      <c r="FQ33" s="1984"/>
      <c r="FR33" s="1984"/>
      <c r="FS33" s="1984"/>
      <c r="FT33" s="1984"/>
      <c r="FU33" s="1984"/>
      <c r="FV33" s="1984"/>
      <c r="FW33" s="1984"/>
      <c r="FX33" s="1984"/>
      <c r="FY33" s="1984"/>
      <c r="FZ33" s="1984"/>
      <c r="GA33" s="1984"/>
      <c r="GB33" s="1984"/>
      <c r="GC33" s="1984"/>
      <c r="GD33" s="1984"/>
      <c r="GE33" s="1984"/>
      <c r="GF33" s="1984"/>
      <c r="GG33" s="1984"/>
      <c r="GH33" s="1984"/>
      <c r="GI33" s="1984"/>
      <c r="GJ33" s="1984"/>
      <c r="GK33" s="1984"/>
      <c r="GL33" s="1984"/>
      <c r="GM33" s="1984"/>
      <c r="GN33" s="1984"/>
      <c r="GO33" s="1984"/>
      <c r="GP33" s="1984"/>
      <c r="GQ33" s="1984"/>
      <c r="GR33" s="1984"/>
      <c r="GS33" s="1984"/>
      <c r="GT33" s="1984"/>
      <c r="GU33" s="1984"/>
      <c r="GV33" s="1984"/>
      <c r="GW33" s="1984"/>
      <c r="GX33" s="1984"/>
      <c r="GY33" s="1984"/>
      <c r="GZ33" s="1984"/>
      <c r="HA33" s="1984"/>
      <c r="HB33" s="1984"/>
      <c r="HC33" s="1984"/>
      <c r="HD33" s="1984"/>
      <c r="HE33" s="1984"/>
      <c r="HF33" s="1984"/>
      <c r="HG33" s="1984"/>
      <c r="HH33" s="1984"/>
      <c r="HI33" s="1984"/>
      <c r="HJ33" s="1984"/>
      <c r="HK33" s="1984"/>
      <c r="HL33" s="1984"/>
      <c r="HM33" s="1984"/>
      <c r="HN33" s="1984"/>
      <c r="HO33" s="1984"/>
      <c r="HP33" s="1984"/>
      <c r="HQ33" s="1984"/>
      <c r="HR33" s="1984"/>
      <c r="HS33" s="1984"/>
      <c r="HT33" s="1984"/>
      <c r="HU33" s="1984"/>
      <c r="HV33" s="1984"/>
      <c r="HW33" s="1984"/>
      <c r="HX33" s="1984"/>
      <c r="HY33" s="1984"/>
      <c r="HZ33" s="1984"/>
      <c r="IA33" s="1984"/>
      <c r="IB33" s="1984"/>
      <c r="IC33" s="1984"/>
      <c r="ID33" s="1984"/>
      <c r="IE33" s="1984"/>
      <c r="IF33" s="1984"/>
      <c r="IG33" s="1984"/>
      <c r="IH33" s="1984"/>
      <c r="II33" s="1984"/>
      <c r="IJ33" s="1984"/>
      <c r="IK33" s="1984"/>
      <c r="IL33" s="1984"/>
      <c r="IM33" s="1984"/>
      <c r="IN33" s="1984"/>
      <c r="IO33" s="1984"/>
      <c r="IP33" s="1984"/>
      <c r="IQ33" s="1984"/>
      <c r="IR33" s="1984"/>
    </row>
    <row r="34" spans="1:252" s="1813" customFormat="1" ht="13.5" customHeight="1" x14ac:dyDescent="0.25">
      <c r="A34" s="1961" t="s">
        <v>8179</v>
      </c>
      <c r="B34" s="1962" t="s">
        <v>8179</v>
      </c>
      <c r="C34" s="1963" t="s">
        <v>8181</v>
      </c>
      <c r="D34" s="1964" t="s">
        <v>1872</v>
      </c>
      <c r="E34" s="1960" t="s">
        <v>1743</v>
      </c>
      <c r="F34" s="1965">
        <v>42650</v>
      </c>
      <c r="G34" s="1966">
        <v>42625</v>
      </c>
      <c r="H34" s="1965">
        <v>42643</v>
      </c>
      <c r="I34" s="1967">
        <v>44865</v>
      </c>
      <c r="J34" s="1989">
        <v>1000</v>
      </c>
      <c r="K34" s="1964" t="s">
        <v>3229</v>
      </c>
      <c r="L34" s="1968" t="s">
        <v>3229</v>
      </c>
      <c r="M34" s="1969">
        <v>0</v>
      </c>
      <c r="N34" s="1970">
        <v>1</v>
      </c>
      <c r="O34" s="1971">
        <v>0.6</v>
      </c>
      <c r="P34" s="3198" t="s">
        <v>3229</v>
      </c>
      <c r="Q34" s="3198" t="s">
        <v>3229</v>
      </c>
      <c r="R34" s="1972" t="s">
        <v>3229</v>
      </c>
      <c r="S34" s="1973"/>
      <c r="T34" s="1974" t="s">
        <v>3229</v>
      </c>
      <c r="U34" s="1974" t="s">
        <v>3229</v>
      </c>
      <c r="V34" s="1974" t="s">
        <v>3229</v>
      </c>
      <c r="W34" s="1974" t="s">
        <v>3229</v>
      </c>
      <c r="X34" s="1974" t="s">
        <v>3229</v>
      </c>
      <c r="Y34" s="1974" t="s">
        <v>3229</v>
      </c>
      <c r="Z34" s="1974" t="s">
        <v>3229</v>
      </c>
      <c r="AA34" s="1974" t="s">
        <v>3229</v>
      </c>
      <c r="AB34" s="1974" t="s">
        <v>3229</v>
      </c>
      <c r="AC34" s="1974" t="s">
        <v>3229</v>
      </c>
      <c r="AD34" s="1974" t="s">
        <v>3229</v>
      </c>
      <c r="AE34" s="1974" t="s">
        <v>3229</v>
      </c>
      <c r="AF34" s="1963" t="str">
        <f>IF(S34="","-",IF(T34="",S34,MAX(IF(T34&gt;indexy!$B$1,S34,S34-S34),IF(U34&gt;indexy!$B$1,S34-1,S34-S34),IF(V34&gt;indexy!$B$1,S34-2,S34-S34),IF(W34&gt;indexy!$B$1,S34-3,S34-S34),IF(X34&gt;indexy!$B$1,S34-4,S34-S34),IF(Y34&gt;indexy!$B$1,S34-5,S34-S34),IF(Z34&gt;indexy!$B$1,S34-6,S34-S34),IF(AA34&gt;indexy!$B$1,S34-7,S34-S34),IF(AB34&gt;indexy!$B$1,S34-8,S34-S34),IF(AC34&gt;indexy!$B$1,S34-9,S34-S34),IF(AD34&gt;indexy!$B$1,S34-10,S34-S34),IF(AE34&gt;indexy!$B$1,S34-11,S34-S34))))</f>
        <v>-</v>
      </c>
      <c r="AG34" s="3576" t="s">
        <v>10636</v>
      </c>
      <c r="AH34" s="1976" t="s">
        <v>3229</v>
      </c>
      <c r="AI34" s="1976" t="s">
        <v>3229</v>
      </c>
      <c r="AJ34" s="1976" t="s">
        <v>3229</v>
      </c>
      <c r="AK34" s="1976" t="s">
        <v>3229</v>
      </c>
      <c r="AL34" s="1976" t="s">
        <v>3229</v>
      </c>
      <c r="AM34" s="1977">
        <v>1</v>
      </c>
      <c r="AN34" s="2349">
        <f>+'klikací hodnoty2'!F1346</f>
        <v>0.17517283333333333</v>
      </c>
      <c r="AO34" s="1979">
        <v>1175.2</v>
      </c>
      <c r="AP34" s="2349">
        <f>+'klikací hodnoty2'!E1345</f>
        <v>0.17517283333333333</v>
      </c>
      <c r="AQ34" s="2349">
        <f>+'klikací hodnoty2'!F1332</f>
        <v>4.5499999999999999E-2</v>
      </c>
      <c r="AR34" s="3573">
        <f t="shared" si="22"/>
        <v>0.6</v>
      </c>
      <c r="AS34" s="3574">
        <f t="shared" si="23"/>
        <v>8.0527997214145275E-2</v>
      </c>
      <c r="AT34" s="3574"/>
      <c r="AU34" s="3572"/>
      <c r="AV34" s="1980">
        <f t="shared" si="25"/>
        <v>0</v>
      </c>
      <c r="AW34" s="1981">
        <f t="shared" si="26"/>
        <v>0</v>
      </c>
      <c r="AX34" s="3012"/>
      <c r="AY34" s="2097"/>
      <c r="AZ34" s="1983">
        <f t="shared" si="28"/>
        <v>1000</v>
      </c>
      <c r="BB34" s="1973"/>
      <c r="BC34" s="2965"/>
      <c r="BD34" s="3431"/>
      <c r="BE34" s="3434"/>
      <c r="BF34" s="3434"/>
      <c r="BG34" s="3434"/>
      <c r="BH34" s="3431"/>
      <c r="BI34" s="1986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4"/>
      <c r="BU34" s="1984"/>
      <c r="BV34" s="1984"/>
      <c r="BW34" s="1984"/>
      <c r="BX34" s="1984"/>
      <c r="BY34" s="1984"/>
      <c r="BZ34" s="1984"/>
      <c r="CA34" s="1984"/>
      <c r="CB34" s="1984"/>
      <c r="CC34" s="1984"/>
      <c r="CD34" s="1984"/>
      <c r="CE34" s="1984"/>
      <c r="CF34" s="1984"/>
      <c r="CG34" s="1984"/>
      <c r="CH34" s="1984"/>
      <c r="CI34" s="1984"/>
      <c r="CJ34" s="1984"/>
      <c r="CK34" s="1984"/>
      <c r="CL34" s="1984"/>
      <c r="CM34" s="1984"/>
      <c r="CN34" s="1984"/>
      <c r="CO34" s="1984"/>
      <c r="CP34" s="1984"/>
      <c r="CQ34" s="1984"/>
      <c r="CR34" s="1984"/>
      <c r="CS34" s="1984"/>
      <c r="CT34" s="1984"/>
      <c r="CU34" s="1984"/>
      <c r="CV34" s="1984"/>
      <c r="CW34" s="1984"/>
      <c r="CX34" s="1984"/>
      <c r="CY34" s="1984"/>
      <c r="CZ34" s="1984"/>
      <c r="DA34" s="1984"/>
      <c r="DB34" s="1984"/>
      <c r="DC34" s="1984"/>
      <c r="DD34" s="1984"/>
      <c r="DE34" s="1984"/>
      <c r="DF34" s="1984"/>
      <c r="DG34" s="1984"/>
      <c r="DH34" s="1984"/>
      <c r="DI34" s="1984"/>
      <c r="DJ34" s="1984"/>
      <c r="DK34" s="1984"/>
      <c r="DL34" s="1984"/>
      <c r="DM34" s="1984"/>
      <c r="DN34" s="1984"/>
      <c r="DO34" s="1984"/>
      <c r="DP34" s="1984"/>
      <c r="DQ34" s="1984"/>
      <c r="DR34" s="1984"/>
      <c r="DS34" s="1984"/>
      <c r="DT34" s="1984"/>
      <c r="DU34" s="1984"/>
      <c r="DV34" s="1984"/>
      <c r="DW34" s="1984"/>
      <c r="DX34" s="1984"/>
      <c r="DY34" s="1984"/>
      <c r="DZ34" s="1984"/>
      <c r="EA34" s="1984"/>
      <c r="EB34" s="1984"/>
      <c r="EC34" s="1984"/>
      <c r="ED34" s="1984"/>
      <c r="EE34" s="1984"/>
      <c r="EF34" s="1984"/>
      <c r="EG34" s="1984"/>
      <c r="EH34" s="1984"/>
      <c r="EI34" s="1984"/>
      <c r="EJ34" s="1984"/>
      <c r="EK34" s="1984"/>
      <c r="EL34" s="1984"/>
      <c r="EM34" s="1984"/>
      <c r="EN34" s="1984"/>
      <c r="EO34" s="1984"/>
      <c r="EP34" s="1984"/>
      <c r="EQ34" s="1984"/>
      <c r="ER34" s="1984"/>
      <c r="ES34" s="1984"/>
      <c r="ET34" s="1984"/>
      <c r="EU34" s="1984"/>
      <c r="EV34" s="1984"/>
      <c r="EW34" s="1984"/>
      <c r="EX34" s="1984"/>
      <c r="EY34" s="1984"/>
      <c r="EZ34" s="1984"/>
      <c r="FA34" s="1984"/>
      <c r="FB34" s="1984"/>
      <c r="FC34" s="1984"/>
      <c r="FD34" s="1984"/>
      <c r="FE34" s="1984"/>
      <c r="FF34" s="1984"/>
      <c r="FG34" s="1984"/>
      <c r="FH34" s="1984"/>
      <c r="FI34" s="1984"/>
      <c r="FJ34" s="1984"/>
      <c r="FK34" s="1984"/>
      <c r="FL34" s="1984"/>
      <c r="FM34" s="1984"/>
      <c r="FN34" s="1984"/>
      <c r="FO34" s="1984"/>
      <c r="FP34" s="1984"/>
      <c r="FQ34" s="1984"/>
      <c r="FR34" s="1984"/>
      <c r="FS34" s="1984"/>
      <c r="FT34" s="1984"/>
      <c r="FU34" s="1984"/>
      <c r="FV34" s="1984"/>
      <c r="FW34" s="1984"/>
      <c r="FX34" s="1984"/>
      <c r="FY34" s="1984"/>
      <c r="FZ34" s="1984"/>
      <c r="GA34" s="1984"/>
      <c r="GB34" s="1984"/>
      <c r="GC34" s="1984"/>
      <c r="GD34" s="1984"/>
      <c r="GE34" s="1984"/>
      <c r="GF34" s="1984"/>
      <c r="GG34" s="1984"/>
      <c r="GH34" s="1984"/>
      <c r="GI34" s="1984"/>
      <c r="GJ34" s="1984"/>
      <c r="GK34" s="1984"/>
      <c r="GL34" s="1984"/>
      <c r="GM34" s="1984"/>
      <c r="GN34" s="1984"/>
      <c r="GO34" s="1984"/>
      <c r="GP34" s="1984"/>
      <c r="GQ34" s="1984"/>
      <c r="GR34" s="1984"/>
      <c r="GS34" s="1984"/>
      <c r="GT34" s="1984"/>
      <c r="GU34" s="1984"/>
      <c r="GV34" s="1984"/>
      <c r="GW34" s="1984"/>
      <c r="GX34" s="1984"/>
      <c r="GY34" s="1984"/>
      <c r="GZ34" s="1984"/>
      <c r="HA34" s="1984"/>
      <c r="HB34" s="1984"/>
      <c r="HC34" s="1984"/>
      <c r="HD34" s="1984"/>
      <c r="HE34" s="1984"/>
      <c r="HF34" s="1984"/>
      <c r="HG34" s="1984"/>
      <c r="HH34" s="1984"/>
      <c r="HI34" s="1984"/>
      <c r="HJ34" s="1984"/>
      <c r="HK34" s="1984"/>
      <c r="HL34" s="1984"/>
      <c r="HM34" s="1984"/>
      <c r="HN34" s="1984"/>
      <c r="HO34" s="1984"/>
      <c r="HP34" s="1984"/>
      <c r="HQ34" s="1984"/>
      <c r="HR34" s="1984"/>
      <c r="HS34" s="1984"/>
      <c r="HT34" s="1984"/>
      <c r="HU34" s="1984"/>
      <c r="HV34" s="1984"/>
      <c r="HW34" s="1984"/>
      <c r="HX34" s="1984"/>
      <c r="HY34" s="1984"/>
      <c r="HZ34" s="1984"/>
      <c r="IA34" s="1984"/>
      <c r="IB34" s="1984"/>
      <c r="IC34" s="1984"/>
      <c r="ID34" s="1984"/>
      <c r="IE34" s="1984"/>
      <c r="IF34" s="1984"/>
      <c r="IG34" s="1984"/>
      <c r="IH34" s="1984"/>
      <c r="II34" s="1984"/>
      <c r="IJ34" s="1984"/>
      <c r="IK34" s="1984"/>
      <c r="IL34" s="1984"/>
      <c r="IM34" s="1984"/>
      <c r="IN34" s="1984"/>
      <c r="IO34" s="1984"/>
      <c r="IP34" s="1984"/>
      <c r="IQ34" s="1984"/>
      <c r="IR34" s="1984"/>
    </row>
    <row r="35" spans="1:252" s="1813" customFormat="1" ht="13.5" customHeight="1" x14ac:dyDescent="0.25">
      <c r="A35" s="1961" t="s">
        <v>8354</v>
      </c>
      <c r="B35" s="1962" t="s">
        <v>8354</v>
      </c>
      <c r="C35" s="1963" t="s">
        <v>8487</v>
      </c>
      <c r="D35" s="1964" t="s">
        <v>4384</v>
      </c>
      <c r="E35" s="1960" t="s">
        <v>1743</v>
      </c>
      <c r="F35" s="1965">
        <v>42682</v>
      </c>
      <c r="G35" s="1966">
        <v>42660</v>
      </c>
      <c r="H35" s="1965">
        <v>42670</v>
      </c>
      <c r="I35" s="1967">
        <v>44895</v>
      </c>
      <c r="J35" s="1989">
        <v>1000</v>
      </c>
      <c r="K35" s="1964" t="s">
        <v>3229</v>
      </c>
      <c r="L35" s="1968" t="s">
        <v>3229</v>
      </c>
      <c r="M35" s="1969">
        <v>-0.1</v>
      </c>
      <c r="N35" s="1970">
        <v>1</v>
      </c>
      <c r="O35" s="1971">
        <v>1</v>
      </c>
      <c r="P35" s="3198" t="s">
        <v>3229</v>
      </c>
      <c r="Q35" s="3198" t="s">
        <v>3229</v>
      </c>
      <c r="R35" s="1972" t="s">
        <v>3229</v>
      </c>
      <c r="S35" s="1973"/>
      <c r="T35" s="1974" t="s">
        <v>3229</v>
      </c>
      <c r="U35" s="1974" t="s">
        <v>3229</v>
      </c>
      <c r="V35" s="1974" t="s">
        <v>3229</v>
      </c>
      <c r="W35" s="1974" t="s">
        <v>3229</v>
      </c>
      <c r="X35" s="1974" t="s">
        <v>3229</v>
      </c>
      <c r="Y35" s="1974" t="s">
        <v>3229</v>
      </c>
      <c r="Z35" s="1974" t="s">
        <v>3229</v>
      </c>
      <c r="AA35" s="1974" t="s">
        <v>3229</v>
      </c>
      <c r="AB35" s="1974" t="s">
        <v>3229</v>
      </c>
      <c r="AC35" s="1974" t="s">
        <v>3229</v>
      </c>
      <c r="AD35" s="1974" t="s">
        <v>3229</v>
      </c>
      <c r="AE35" s="1974" t="s">
        <v>3229</v>
      </c>
      <c r="AF35" s="1963" t="str">
        <f>IF(S35="","-",IF(T35="",S35,MAX(IF(T35&gt;indexy!$B$1,S35,S35-S35),IF(U35&gt;indexy!$B$1,S35-1,S35-S35),IF(V35&gt;indexy!$B$1,S35-2,S35-S35),IF(W35&gt;indexy!$B$1,S35-3,S35-S35),IF(X35&gt;indexy!$B$1,S35-4,S35-S35),IF(Y35&gt;indexy!$B$1,S35-5,S35-S35),IF(Z35&gt;indexy!$B$1,S35-6,S35-S35),IF(AA35&gt;indexy!$B$1,S35-7,S35-S35),IF(AB35&gt;indexy!$B$1,S35-8,S35-S35),IF(AC35&gt;indexy!$B$1,S35-9,S35-S35),IF(AD35&gt;indexy!$B$1,S35-10,S35-S35),IF(AE35&gt;indexy!$B$1,S35-11,S35-S35))))</f>
        <v>-</v>
      </c>
      <c r="AG35" s="3578" t="s">
        <v>10636</v>
      </c>
      <c r="AH35" s="1976" t="s">
        <v>3229</v>
      </c>
      <c r="AI35" s="1976" t="s">
        <v>3229</v>
      </c>
      <c r="AJ35" s="1976" t="s">
        <v>3229</v>
      </c>
      <c r="AK35" s="1976" t="s">
        <v>3229</v>
      </c>
      <c r="AL35" s="1976" t="s">
        <v>3229</v>
      </c>
      <c r="AM35" s="1977">
        <v>1</v>
      </c>
      <c r="AN35" s="2349">
        <f>+'klikací hodnoty2'!F1393</f>
        <v>0.29166274999999997</v>
      </c>
      <c r="AO35" s="1979">
        <v>1291.7</v>
      </c>
      <c r="AP35" s="2349">
        <f>+'klikací hodnoty2'!E1392</f>
        <v>0.19166275000000002</v>
      </c>
      <c r="AQ35" s="2349">
        <f>+'klikací hodnoty2'!F1379</f>
        <v>0.12379999999999999</v>
      </c>
      <c r="AR35" s="3579">
        <f t="shared" si="22"/>
        <v>1</v>
      </c>
      <c r="AS35" s="3580">
        <f t="shared" si="23"/>
        <v>0.12111515993472488</v>
      </c>
      <c r="AT35" s="3580"/>
      <c r="AU35" s="3577"/>
      <c r="AV35" s="1980">
        <f t="shared" ref="AV35:AV39" si="29">M35</f>
        <v>-0.1</v>
      </c>
      <c r="AW35" s="1981">
        <f t="shared" ref="AW35:AW39" si="30">POWER(1+AV35,1/((I35-F35)/365))-1</f>
        <v>-1.722746231668093E-2</v>
      </c>
      <c r="AX35" s="3012"/>
      <c r="AY35" s="2097"/>
      <c r="AZ35" s="1983">
        <f t="shared" ref="AZ35:AZ46" si="31">J35*(1+AV35)</f>
        <v>900</v>
      </c>
      <c r="BB35" s="1973"/>
      <c r="BC35" s="2965"/>
      <c r="BD35" s="3431"/>
      <c r="BE35" s="3434"/>
      <c r="BF35" s="3434"/>
      <c r="BG35" s="3434"/>
      <c r="BH35" s="3431"/>
      <c r="BI35" s="1986"/>
      <c r="BJ35" s="1984"/>
      <c r="BK35" s="1984"/>
      <c r="BL35" s="1984"/>
      <c r="BM35" s="1984"/>
      <c r="BN35" s="1984"/>
      <c r="BO35" s="1984"/>
      <c r="BP35" s="1984"/>
      <c r="BQ35" s="1984"/>
      <c r="BR35" s="1984"/>
      <c r="BS35" s="1984"/>
      <c r="BT35" s="1984"/>
      <c r="BU35" s="1984"/>
      <c r="BV35" s="1984"/>
      <c r="BW35" s="1984"/>
      <c r="BX35" s="1984"/>
      <c r="BY35" s="1984"/>
      <c r="BZ35" s="1984"/>
      <c r="CA35" s="1984"/>
      <c r="CB35" s="1984"/>
      <c r="CC35" s="1984"/>
      <c r="CD35" s="1984"/>
      <c r="CE35" s="1984"/>
      <c r="CF35" s="1984"/>
      <c r="CG35" s="1984"/>
      <c r="CH35" s="1984"/>
      <c r="CI35" s="1984"/>
      <c r="CJ35" s="1984"/>
      <c r="CK35" s="1984"/>
      <c r="CL35" s="1984"/>
      <c r="CM35" s="1984"/>
      <c r="CN35" s="1984"/>
      <c r="CO35" s="1984"/>
      <c r="CP35" s="1984"/>
      <c r="CQ35" s="1984"/>
      <c r="CR35" s="1984"/>
      <c r="CS35" s="1984"/>
      <c r="CT35" s="1984"/>
      <c r="CU35" s="1984"/>
      <c r="CV35" s="1984"/>
      <c r="CW35" s="1984"/>
      <c r="CX35" s="1984"/>
      <c r="CY35" s="1984"/>
      <c r="CZ35" s="1984"/>
      <c r="DA35" s="1984"/>
      <c r="DB35" s="1984"/>
      <c r="DC35" s="1984"/>
      <c r="DD35" s="1984"/>
      <c r="DE35" s="1984"/>
      <c r="DF35" s="1984"/>
      <c r="DG35" s="1984"/>
      <c r="DH35" s="1984"/>
      <c r="DI35" s="1984"/>
      <c r="DJ35" s="1984"/>
      <c r="DK35" s="1984"/>
      <c r="DL35" s="1984"/>
      <c r="DM35" s="1984"/>
      <c r="DN35" s="1984"/>
      <c r="DO35" s="1984"/>
      <c r="DP35" s="1984"/>
      <c r="DQ35" s="1984"/>
      <c r="DR35" s="1984"/>
      <c r="DS35" s="1984"/>
      <c r="DT35" s="1984"/>
      <c r="DU35" s="1984"/>
      <c r="DV35" s="1984"/>
      <c r="DW35" s="1984"/>
      <c r="DX35" s="1984"/>
      <c r="DY35" s="1984"/>
      <c r="DZ35" s="1984"/>
      <c r="EA35" s="1984"/>
      <c r="EB35" s="1984"/>
      <c r="EC35" s="1984"/>
      <c r="ED35" s="1984"/>
      <c r="EE35" s="1984"/>
      <c r="EF35" s="1984"/>
      <c r="EG35" s="1984"/>
      <c r="EH35" s="1984"/>
      <c r="EI35" s="1984"/>
      <c r="EJ35" s="1984"/>
      <c r="EK35" s="1984"/>
      <c r="EL35" s="1984"/>
      <c r="EM35" s="1984"/>
      <c r="EN35" s="1984"/>
      <c r="EO35" s="1984"/>
      <c r="EP35" s="1984"/>
      <c r="EQ35" s="1984"/>
      <c r="ER35" s="1984"/>
      <c r="ES35" s="1984"/>
      <c r="ET35" s="1984"/>
      <c r="EU35" s="1984"/>
      <c r="EV35" s="1984"/>
      <c r="EW35" s="1984"/>
      <c r="EX35" s="1984"/>
      <c r="EY35" s="1984"/>
      <c r="EZ35" s="1984"/>
      <c r="FA35" s="1984"/>
      <c r="FB35" s="1984"/>
      <c r="FC35" s="1984"/>
      <c r="FD35" s="1984"/>
      <c r="FE35" s="1984"/>
      <c r="FF35" s="1984"/>
      <c r="FG35" s="1984"/>
      <c r="FH35" s="1984"/>
      <c r="FI35" s="1984"/>
      <c r="FJ35" s="1984"/>
      <c r="FK35" s="1984"/>
      <c r="FL35" s="1984"/>
      <c r="FM35" s="1984"/>
      <c r="FN35" s="1984"/>
      <c r="FO35" s="1984"/>
      <c r="FP35" s="1984"/>
      <c r="FQ35" s="1984"/>
      <c r="FR35" s="1984"/>
      <c r="FS35" s="1984"/>
      <c r="FT35" s="1984"/>
      <c r="FU35" s="1984"/>
      <c r="FV35" s="1984"/>
      <c r="FW35" s="1984"/>
      <c r="FX35" s="1984"/>
      <c r="FY35" s="1984"/>
      <c r="FZ35" s="1984"/>
      <c r="GA35" s="1984"/>
      <c r="GB35" s="1984"/>
      <c r="GC35" s="1984"/>
      <c r="GD35" s="1984"/>
      <c r="GE35" s="1984"/>
      <c r="GF35" s="1984"/>
      <c r="GG35" s="1984"/>
      <c r="GH35" s="1984"/>
      <c r="GI35" s="1984"/>
      <c r="GJ35" s="1984"/>
      <c r="GK35" s="1984"/>
      <c r="GL35" s="1984"/>
      <c r="GM35" s="1984"/>
      <c r="GN35" s="1984"/>
      <c r="GO35" s="1984"/>
      <c r="GP35" s="1984"/>
      <c r="GQ35" s="1984"/>
      <c r="GR35" s="1984"/>
      <c r="GS35" s="1984"/>
      <c r="GT35" s="1984"/>
      <c r="GU35" s="1984"/>
      <c r="GV35" s="1984"/>
      <c r="GW35" s="1984"/>
      <c r="GX35" s="1984"/>
      <c r="GY35" s="1984"/>
      <c r="GZ35" s="1984"/>
      <c r="HA35" s="1984"/>
      <c r="HB35" s="1984"/>
      <c r="HC35" s="1984"/>
      <c r="HD35" s="1984"/>
      <c r="HE35" s="1984"/>
      <c r="HF35" s="1984"/>
      <c r="HG35" s="1984"/>
      <c r="HH35" s="1984"/>
      <c r="HI35" s="1984"/>
      <c r="HJ35" s="1984"/>
      <c r="HK35" s="1984"/>
      <c r="HL35" s="1984"/>
      <c r="HM35" s="1984"/>
      <c r="HN35" s="1984"/>
      <c r="HO35" s="1984"/>
      <c r="HP35" s="1984"/>
      <c r="HQ35" s="1984"/>
      <c r="HR35" s="1984"/>
      <c r="HS35" s="1984"/>
      <c r="HT35" s="1984"/>
      <c r="HU35" s="1984"/>
      <c r="HV35" s="1984"/>
      <c r="HW35" s="1984"/>
      <c r="HX35" s="1984"/>
      <c r="HY35" s="1984"/>
      <c r="HZ35" s="1984"/>
      <c r="IA35" s="1984"/>
      <c r="IB35" s="1984"/>
      <c r="IC35" s="1984"/>
      <c r="ID35" s="1984"/>
      <c r="IE35" s="1984"/>
      <c r="IF35" s="1984"/>
      <c r="IG35" s="1984"/>
      <c r="IH35" s="1984"/>
      <c r="II35" s="1984"/>
      <c r="IJ35" s="1984"/>
      <c r="IK35" s="1984"/>
      <c r="IL35" s="1984"/>
      <c r="IM35" s="1984"/>
      <c r="IN35" s="1984"/>
      <c r="IO35" s="1984"/>
      <c r="IP35" s="1984"/>
      <c r="IQ35" s="1984"/>
      <c r="IR35" s="1984"/>
    </row>
    <row r="36" spans="1:252" s="1813" customFormat="1" ht="13.5" customHeight="1" x14ac:dyDescent="0.25">
      <c r="A36" s="1961" t="s">
        <v>8356</v>
      </c>
      <c r="B36" s="1962" t="s">
        <v>8356</v>
      </c>
      <c r="C36" s="1963" t="s">
        <v>8594</v>
      </c>
      <c r="D36" s="1964" t="s">
        <v>1872</v>
      </c>
      <c r="E36" s="1960" t="s">
        <v>1743</v>
      </c>
      <c r="F36" s="1965">
        <v>42741</v>
      </c>
      <c r="G36" s="1966">
        <v>42710</v>
      </c>
      <c r="H36" s="1965">
        <v>42734</v>
      </c>
      <c r="I36" s="1967">
        <v>44957</v>
      </c>
      <c r="J36" s="1989">
        <v>1000</v>
      </c>
      <c r="K36" s="1964" t="s">
        <v>3229</v>
      </c>
      <c r="L36" s="1968" t="s">
        <v>3229</v>
      </c>
      <c r="M36" s="1969">
        <v>0</v>
      </c>
      <c r="N36" s="1970">
        <v>1</v>
      </c>
      <c r="O36" s="1971">
        <v>1</v>
      </c>
      <c r="P36" s="3198" t="s">
        <v>3229</v>
      </c>
      <c r="Q36" s="3198" t="s">
        <v>3229</v>
      </c>
      <c r="R36" s="1972" t="s">
        <v>3229</v>
      </c>
      <c r="S36" s="1973"/>
      <c r="T36" s="1974" t="s">
        <v>3229</v>
      </c>
      <c r="U36" s="1974" t="s">
        <v>3229</v>
      </c>
      <c r="V36" s="1974" t="s">
        <v>3229</v>
      </c>
      <c r="W36" s="1974" t="s">
        <v>3229</v>
      </c>
      <c r="X36" s="1974" t="s">
        <v>3229</v>
      </c>
      <c r="Y36" s="1974" t="s">
        <v>3229</v>
      </c>
      <c r="Z36" s="1974" t="s">
        <v>3229</v>
      </c>
      <c r="AA36" s="1974" t="s">
        <v>3229</v>
      </c>
      <c r="AB36" s="1974" t="s">
        <v>3229</v>
      </c>
      <c r="AC36" s="1974" t="s">
        <v>3229</v>
      </c>
      <c r="AD36" s="1974" t="s">
        <v>3229</v>
      </c>
      <c r="AE36" s="1974" t="s">
        <v>3229</v>
      </c>
      <c r="AF36" s="1963" t="str">
        <f>IF(S36="","-",IF(T36="",S36,MAX(IF(T36&gt;indexy!$B$1,S36,S36-S36),IF(U36&gt;indexy!$B$1,S36-1,S36-S36),IF(V36&gt;indexy!$B$1,S36-2,S36-S36),IF(W36&gt;indexy!$B$1,S36-3,S36-S36),IF(X36&gt;indexy!$B$1,S36-4,S36-S36),IF(Y36&gt;indexy!$B$1,S36-5,S36-S36),IF(Z36&gt;indexy!$B$1,S36-6,S36-S36),IF(AA36&gt;indexy!$B$1,S36-7,S36-S36),IF(AB36&gt;indexy!$B$1,S36-8,S36-S36),IF(AC36&gt;indexy!$B$1,S36-9,S36-S36),IF(AD36&gt;indexy!$B$1,S36-10,S36-S36),IF(AE36&gt;indexy!$B$1,S36-11,S36-S36))))</f>
        <v>-</v>
      </c>
      <c r="AG36" s="3650" t="s">
        <v>10636</v>
      </c>
      <c r="AH36" s="1976" t="s">
        <v>3229</v>
      </c>
      <c r="AI36" s="1976" t="s">
        <v>3229</v>
      </c>
      <c r="AJ36" s="1976" t="s">
        <v>3229</v>
      </c>
      <c r="AK36" s="1976" t="s">
        <v>3229</v>
      </c>
      <c r="AL36" s="1976" t="s">
        <v>3229</v>
      </c>
      <c r="AM36" s="1977">
        <v>1</v>
      </c>
      <c r="AN36" s="2349">
        <f>+'klikací hodnoty2'!F1490</f>
        <v>0.12476058333333334</v>
      </c>
      <c r="AO36" s="1979">
        <v>1124.8</v>
      </c>
      <c r="AP36" s="2349">
        <f>+'klikací hodnoty2'!E1489</f>
        <v>0.12476058333333334</v>
      </c>
      <c r="AQ36" s="2349">
        <f>+'klikací hodnoty2'!F1476</f>
        <v>9.5723610033128001E-2</v>
      </c>
      <c r="AR36" s="3591">
        <f>O36</f>
        <v>1</v>
      </c>
      <c r="AS36" s="3592">
        <f>POWER(1+AR36,1/((I36-F36)/365))-1</f>
        <v>0.12094165771798826</v>
      </c>
      <c r="AT36" s="3592"/>
      <c r="AU36" s="3589"/>
      <c r="AV36" s="1980">
        <f t="shared" si="29"/>
        <v>0</v>
      </c>
      <c r="AW36" s="1981">
        <f t="shared" si="30"/>
        <v>0</v>
      </c>
      <c r="AX36" s="3012"/>
      <c r="AY36" s="2097"/>
      <c r="AZ36" s="1983">
        <f t="shared" si="31"/>
        <v>1000</v>
      </c>
      <c r="BB36" s="1973"/>
      <c r="BC36" s="2965"/>
      <c r="BD36" s="3431"/>
      <c r="BE36" s="3434"/>
      <c r="BF36" s="3434"/>
      <c r="BG36" s="3434"/>
      <c r="BH36" s="3431"/>
      <c r="BI36" s="1986"/>
      <c r="BJ36" s="1984"/>
      <c r="BK36" s="1984"/>
      <c r="BL36" s="1984"/>
      <c r="BM36" s="1984"/>
      <c r="BN36" s="1984"/>
      <c r="BO36" s="1984"/>
      <c r="BP36" s="1984"/>
      <c r="BQ36" s="1984"/>
      <c r="BR36" s="1984"/>
      <c r="BS36" s="1984"/>
      <c r="BT36" s="1984"/>
      <c r="BU36" s="1984"/>
      <c r="BV36" s="1984"/>
      <c r="BW36" s="1984"/>
      <c r="BX36" s="1984"/>
      <c r="BY36" s="1984"/>
      <c r="BZ36" s="1984"/>
      <c r="CA36" s="1984"/>
      <c r="CB36" s="1984"/>
      <c r="CC36" s="1984"/>
      <c r="CD36" s="1984"/>
      <c r="CE36" s="1984"/>
      <c r="CF36" s="1984"/>
      <c r="CG36" s="1984"/>
      <c r="CH36" s="1984"/>
      <c r="CI36" s="1984"/>
      <c r="CJ36" s="1984"/>
      <c r="CK36" s="1984"/>
      <c r="CL36" s="1984"/>
      <c r="CM36" s="1984"/>
      <c r="CN36" s="1984"/>
      <c r="CO36" s="1984"/>
      <c r="CP36" s="1984"/>
      <c r="CQ36" s="1984"/>
      <c r="CR36" s="1984"/>
      <c r="CS36" s="1984"/>
      <c r="CT36" s="1984"/>
      <c r="CU36" s="1984"/>
      <c r="CV36" s="1984"/>
      <c r="CW36" s="1984"/>
      <c r="CX36" s="1984"/>
      <c r="CY36" s="1984"/>
      <c r="CZ36" s="1984"/>
      <c r="DA36" s="1984"/>
      <c r="DB36" s="1984"/>
      <c r="DC36" s="1984"/>
      <c r="DD36" s="1984"/>
      <c r="DE36" s="1984"/>
      <c r="DF36" s="1984"/>
      <c r="DG36" s="1984"/>
      <c r="DH36" s="1984"/>
      <c r="DI36" s="1984"/>
      <c r="DJ36" s="1984"/>
      <c r="DK36" s="1984"/>
      <c r="DL36" s="1984"/>
      <c r="DM36" s="1984"/>
      <c r="DN36" s="1984"/>
      <c r="DO36" s="1984"/>
      <c r="DP36" s="1984"/>
      <c r="DQ36" s="1984"/>
      <c r="DR36" s="1984"/>
      <c r="DS36" s="1984"/>
      <c r="DT36" s="1984"/>
      <c r="DU36" s="1984"/>
      <c r="DV36" s="1984"/>
      <c r="DW36" s="1984"/>
      <c r="DX36" s="1984"/>
      <c r="DY36" s="1984"/>
      <c r="DZ36" s="1984"/>
      <c r="EA36" s="1984"/>
      <c r="EB36" s="1984"/>
      <c r="EC36" s="1984"/>
      <c r="ED36" s="1984"/>
      <c r="EE36" s="1984"/>
      <c r="EF36" s="1984"/>
      <c r="EG36" s="1984"/>
      <c r="EH36" s="1984"/>
      <c r="EI36" s="1984"/>
      <c r="EJ36" s="1984"/>
      <c r="EK36" s="1984"/>
      <c r="EL36" s="1984"/>
      <c r="EM36" s="1984"/>
      <c r="EN36" s="1984"/>
      <c r="EO36" s="1984"/>
      <c r="EP36" s="1984"/>
      <c r="EQ36" s="1984"/>
      <c r="ER36" s="1984"/>
      <c r="ES36" s="1984"/>
      <c r="ET36" s="1984"/>
      <c r="EU36" s="1984"/>
      <c r="EV36" s="1984"/>
      <c r="EW36" s="1984"/>
      <c r="EX36" s="1984"/>
      <c r="EY36" s="1984"/>
      <c r="EZ36" s="1984"/>
      <c r="FA36" s="1984"/>
      <c r="FB36" s="1984"/>
      <c r="FC36" s="1984"/>
      <c r="FD36" s="1984"/>
      <c r="FE36" s="1984"/>
      <c r="FF36" s="1984"/>
      <c r="FG36" s="1984"/>
      <c r="FH36" s="1984"/>
      <c r="FI36" s="1984"/>
      <c r="FJ36" s="1984"/>
      <c r="FK36" s="1984"/>
      <c r="FL36" s="1984"/>
      <c r="FM36" s="1984"/>
      <c r="FN36" s="1984"/>
      <c r="FO36" s="1984"/>
      <c r="FP36" s="1984"/>
      <c r="FQ36" s="1984"/>
      <c r="FR36" s="1984"/>
      <c r="FS36" s="1984"/>
      <c r="FT36" s="1984"/>
      <c r="FU36" s="1984"/>
      <c r="FV36" s="1984"/>
      <c r="FW36" s="1984"/>
      <c r="FX36" s="1984"/>
      <c r="FY36" s="1984"/>
      <c r="FZ36" s="1984"/>
      <c r="GA36" s="1984"/>
      <c r="GB36" s="1984"/>
      <c r="GC36" s="1984"/>
      <c r="GD36" s="1984"/>
      <c r="GE36" s="1984"/>
      <c r="GF36" s="1984"/>
      <c r="GG36" s="1984"/>
      <c r="GH36" s="1984"/>
      <c r="GI36" s="1984"/>
      <c r="GJ36" s="1984"/>
      <c r="GK36" s="1984"/>
      <c r="GL36" s="1984"/>
      <c r="GM36" s="1984"/>
      <c r="GN36" s="1984"/>
      <c r="GO36" s="1984"/>
      <c r="GP36" s="1984"/>
      <c r="GQ36" s="1984"/>
      <c r="GR36" s="1984"/>
      <c r="GS36" s="1984"/>
      <c r="GT36" s="1984"/>
      <c r="GU36" s="1984"/>
      <c r="GV36" s="1984"/>
      <c r="GW36" s="1984"/>
      <c r="GX36" s="1984"/>
      <c r="GY36" s="1984"/>
      <c r="GZ36" s="1984"/>
      <c r="HA36" s="1984"/>
      <c r="HB36" s="1984"/>
      <c r="HC36" s="1984"/>
      <c r="HD36" s="1984"/>
      <c r="HE36" s="1984"/>
      <c r="HF36" s="1984"/>
      <c r="HG36" s="1984"/>
      <c r="HH36" s="1984"/>
      <c r="HI36" s="1984"/>
      <c r="HJ36" s="1984"/>
      <c r="HK36" s="1984"/>
      <c r="HL36" s="1984"/>
      <c r="HM36" s="1984"/>
      <c r="HN36" s="1984"/>
      <c r="HO36" s="1984"/>
      <c r="HP36" s="1984"/>
      <c r="HQ36" s="1984"/>
      <c r="HR36" s="1984"/>
      <c r="HS36" s="1984"/>
      <c r="HT36" s="1984"/>
      <c r="HU36" s="1984"/>
      <c r="HV36" s="1984"/>
      <c r="HW36" s="1984"/>
      <c r="HX36" s="1984"/>
      <c r="HY36" s="1984"/>
      <c r="HZ36" s="1984"/>
      <c r="IA36" s="1984"/>
      <c r="IB36" s="1984"/>
      <c r="IC36" s="1984"/>
      <c r="ID36" s="1984"/>
      <c r="IE36" s="1984"/>
      <c r="IF36" s="1984"/>
      <c r="IG36" s="1984"/>
      <c r="IH36" s="1984"/>
      <c r="II36" s="1984"/>
      <c r="IJ36" s="1984"/>
      <c r="IK36" s="1984"/>
      <c r="IL36" s="1984"/>
      <c r="IM36" s="1984"/>
      <c r="IN36" s="1984"/>
      <c r="IO36" s="1984"/>
      <c r="IP36" s="1984"/>
      <c r="IQ36" s="1984"/>
      <c r="IR36" s="1984"/>
    </row>
    <row r="37" spans="1:252" s="1813" customFormat="1" ht="13.5" customHeight="1" x14ac:dyDescent="0.25">
      <c r="A37" s="1961" t="s">
        <v>8446</v>
      </c>
      <c r="B37" s="1962" t="s">
        <v>8446</v>
      </c>
      <c r="C37" s="1963" t="s">
        <v>8595</v>
      </c>
      <c r="D37" s="1964" t="s">
        <v>1872</v>
      </c>
      <c r="E37" s="1960" t="s">
        <v>1743</v>
      </c>
      <c r="F37" s="1965">
        <v>42773</v>
      </c>
      <c r="G37" s="1966">
        <v>42751</v>
      </c>
      <c r="H37" s="1965">
        <v>42762</v>
      </c>
      <c r="I37" s="1967">
        <v>44985</v>
      </c>
      <c r="J37" s="1989">
        <v>1000</v>
      </c>
      <c r="K37" s="1964" t="s">
        <v>3229</v>
      </c>
      <c r="L37" s="1968" t="s">
        <v>3229</v>
      </c>
      <c r="M37" s="1969">
        <v>-0.1</v>
      </c>
      <c r="N37" s="1970">
        <v>1</v>
      </c>
      <c r="O37" s="1971" t="s">
        <v>3229</v>
      </c>
      <c r="P37" s="3198" t="s">
        <v>3229</v>
      </c>
      <c r="Q37" s="3198" t="s">
        <v>3229</v>
      </c>
      <c r="R37" s="1972" t="s">
        <v>3229</v>
      </c>
      <c r="S37" s="1973"/>
      <c r="T37" s="1974" t="s">
        <v>3229</v>
      </c>
      <c r="U37" s="1974" t="s">
        <v>3229</v>
      </c>
      <c r="V37" s="1974" t="s">
        <v>3229</v>
      </c>
      <c r="W37" s="1974" t="s">
        <v>3229</v>
      </c>
      <c r="X37" s="1974" t="s">
        <v>3229</v>
      </c>
      <c r="Y37" s="1974" t="s">
        <v>3229</v>
      </c>
      <c r="Z37" s="1974" t="s">
        <v>3229</v>
      </c>
      <c r="AA37" s="1974" t="s">
        <v>3229</v>
      </c>
      <c r="AB37" s="1974" t="s">
        <v>3229</v>
      </c>
      <c r="AC37" s="1974" t="s">
        <v>3229</v>
      </c>
      <c r="AD37" s="1974" t="s">
        <v>3229</v>
      </c>
      <c r="AE37" s="1974" t="s">
        <v>3229</v>
      </c>
      <c r="AF37" s="1963" t="str">
        <f>IF(S37="","-",IF(T37="",S37,MAX(IF(T37&gt;indexy!$B$1,S37,S37-S37),IF(U37&gt;indexy!$B$1,S37-1,S37-S37),IF(V37&gt;indexy!$B$1,S37-2,S37-S37),IF(W37&gt;indexy!$B$1,S37-3,S37-S37),IF(X37&gt;indexy!$B$1,S37-4,S37-S37),IF(Y37&gt;indexy!$B$1,S37-5,S37-S37),IF(Z37&gt;indexy!$B$1,S37-6,S37-S37),IF(AA37&gt;indexy!$B$1,S37-7,S37-S37),IF(AB37&gt;indexy!$B$1,S37-8,S37-S37),IF(AC37&gt;indexy!$B$1,S37-9,S37-S37),IF(AD37&gt;indexy!$B$1,S37-10,S37-S37),IF(AE37&gt;indexy!$B$1,S37-11,S37-S37))))</f>
        <v>-</v>
      </c>
      <c r="AG37" s="3650" t="s">
        <v>10636</v>
      </c>
      <c r="AH37" s="1976" t="s">
        <v>3229</v>
      </c>
      <c r="AI37" s="1976" t="s">
        <v>3229</v>
      </c>
      <c r="AJ37" s="1976" t="s">
        <v>3229</v>
      </c>
      <c r="AK37" s="1976" t="s">
        <v>3229</v>
      </c>
      <c r="AL37" s="1976" t="s">
        <v>3229</v>
      </c>
      <c r="AM37" s="1977">
        <v>1</v>
      </c>
      <c r="AN37" s="2349">
        <f>+'klikací hodnoty2'!F1537</f>
        <v>0.226545</v>
      </c>
      <c r="AO37" s="1979">
        <v>1226.5</v>
      </c>
      <c r="AP37" s="2349">
        <f>+'klikací hodnoty2'!E1536</f>
        <v>0.12654499999999999</v>
      </c>
      <c r="AQ37" s="2349">
        <f>+'klikací hodnoty2'!F1523</f>
        <v>0.1143</v>
      </c>
      <c r="AR37" s="3596" t="s">
        <v>3660</v>
      </c>
      <c r="AS37" s="3597"/>
      <c r="AT37" s="3597"/>
      <c r="AU37" s="3595"/>
      <c r="AV37" s="1980">
        <f t="shared" si="29"/>
        <v>-0.1</v>
      </c>
      <c r="AW37" s="1981">
        <f t="shared" si="30"/>
        <v>-1.7235182996131138E-2</v>
      </c>
      <c r="AX37" s="3012"/>
      <c r="AY37" s="2097"/>
      <c r="AZ37" s="1983">
        <f t="shared" si="31"/>
        <v>900</v>
      </c>
      <c r="BB37" s="1973"/>
      <c r="BC37" s="2965"/>
      <c r="BD37" s="3431"/>
      <c r="BE37" s="3434"/>
      <c r="BF37" s="3434"/>
      <c r="BG37" s="3434"/>
      <c r="BH37" s="3431"/>
      <c r="BI37" s="1986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4"/>
      <c r="BU37" s="1984"/>
      <c r="BV37" s="1984"/>
      <c r="BW37" s="1984"/>
      <c r="BX37" s="1984"/>
      <c r="BY37" s="1984"/>
      <c r="BZ37" s="1984"/>
      <c r="CA37" s="1984"/>
      <c r="CB37" s="1984"/>
      <c r="CC37" s="1984"/>
      <c r="CD37" s="1984"/>
      <c r="CE37" s="1984"/>
      <c r="CF37" s="1984"/>
      <c r="CG37" s="1984"/>
      <c r="CH37" s="1984"/>
      <c r="CI37" s="1984"/>
      <c r="CJ37" s="1984"/>
      <c r="CK37" s="1984"/>
      <c r="CL37" s="1984"/>
      <c r="CM37" s="1984"/>
      <c r="CN37" s="1984"/>
      <c r="CO37" s="1984"/>
      <c r="CP37" s="1984"/>
      <c r="CQ37" s="1984"/>
      <c r="CR37" s="1984"/>
      <c r="CS37" s="1984"/>
      <c r="CT37" s="1984"/>
      <c r="CU37" s="1984"/>
      <c r="CV37" s="1984"/>
      <c r="CW37" s="1984"/>
      <c r="CX37" s="1984"/>
      <c r="CY37" s="1984"/>
      <c r="CZ37" s="1984"/>
      <c r="DA37" s="1984"/>
      <c r="DB37" s="1984"/>
      <c r="DC37" s="1984"/>
      <c r="DD37" s="1984"/>
      <c r="DE37" s="1984"/>
      <c r="DF37" s="1984"/>
      <c r="DG37" s="1984"/>
      <c r="DH37" s="1984"/>
      <c r="DI37" s="1984"/>
      <c r="DJ37" s="1984"/>
      <c r="DK37" s="1984"/>
      <c r="DL37" s="1984"/>
      <c r="DM37" s="1984"/>
      <c r="DN37" s="1984"/>
      <c r="DO37" s="1984"/>
      <c r="DP37" s="1984"/>
      <c r="DQ37" s="1984"/>
      <c r="DR37" s="1984"/>
      <c r="DS37" s="1984"/>
      <c r="DT37" s="1984"/>
      <c r="DU37" s="1984"/>
      <c r="DV37" s="1984"/>
      <c r="DW37" s="1984"/>
      <c r="DX37" s="1984"/>
      <c r="DY37" s="1984"/>
      <c r="DZ37" s="1984"/>
      <c r="EA37" s="1984"/>
      <c r="EB37" s="1984"/>
      <c r="EC37" s="1984"/>
      <c r="ED37" s="1984"/>
      <c r="EE37" s="1984"/>
      <c r="EF37" s="1984"/>
      <c r="EG37" s="1984"/>
      <c r="EH37" s="1984"/>
      <c r="EI37" s="1984"/>
      <c r="EJ37" s="1984"/>
      <c r="EK37" s="1984"/>
      <c r="EL37" s="1984"/>
      <c r="EM37" s="1984"/>
      <c r="EN37" s="1984"/>
      <c r="EO37" s="1984"/>
      <c r="EP37" s="1984"/>
      <c r="EQ37" s="1984"/>
      <c r="ER37" s="1984"/>
      <c r="ES37" s="1984"/>
      <c r="ET37" s="1984"/>
      <c r="EU37" s="1984"/>
      <c r="EV37" s="1984"/>
      <c r="EW37" s="1984"/>
      <c r="EX37" s="1984"/>
      <c r="EY37" s="1984"/>
      <c r="EZ37" s="1984"/>
      <c r="FA37" s="1984"/>
      <c r="FB37" s="1984"/>
      <c r="FC37" s="1984"/>
      <c r="FD37" s="1984"/>
      <c r="FE37" s="1984"/>
      <c r="FF37" s="1984"/>
      <c r="FG37" s="1984"/>
      <c r="FH37" s="1984"/>
      <c r="FI37" s="1984"/>
      <c r="FJ37" s="1984"/>
      <c r="FK37" s="1984"/>
      <c r="FL37" s="1984"/>
      <c r="FM37" s="1984"/>
      <c r="FN37" s="1984"/>
      <c r="FO37" s="1984"/>
      <c r="FP37" s="1984"/>
      <c r="FQ37" s="1984"/>
      <c r="FR37" s="1984"/>
      <c r="FS37" s="1984"/>
      <c r="FT37" s="1984"/>
      <c r="FU37" s="1984"/>
      <c r="FV37" s="1984"/>
      <c r="FW37" s="1984"/>
      <c r="FX37" s="1984"/>
      <c r="FY37" s="1984"/>
      <c r="FZ37" s="1984"/>
      <c r="GA37" s="1984"/>
      <c r="GB37" s="1984"/>
      <c r="GC37" s="1984"/>
      <c r="GD37" s="1984"/>
      <c r="GE37" s="1984"/>
      <c r="GF37" s="1984"/>
      <c r="GG37" s="1984"/>
      <c r="GH37" s="1984"/>
      <c r="GI37" s="1984"/>
      <c r="GJ37" s="1984"/>
      <c r="GK37" s="1984"/>
      <c r="GL37" s="1984"/>
      <c r="GM37" s="1984"/>
      <c r="GN37" s="1984"/>
      <c r="GO37" s="1984"/>
      <c r="GP37" s="1984"/>
      <c r="GQ37" s="1984"/>
      <c r="GR37" s="1984"/>
      <c r="GS37" s="1984"/>
      <c r="GT37" s="1984"/>
      <c r="GU37" s="1984"/>
      <c r="GV37" s="1984"/>
      <c r="GW37" s="1984"/>
      <c r="GX37" s="1984"/>
      <c r="GY37" s="1984"/>
      <c r="GZ37" s="1984"/>
      <c r="HA37" s="1984"/>
      <c r="HB37" s="1984"/>
      <c r="HC37" s="1984"/>
      <c r="HD37" s="1984"/>
      <c r="HE37" s="1984"/>
      <c r="HF37" s="1984"/>
      <c r="HG37" s="1984"/>
      <c r="HH37" s="1984"/>
      <c r="HI37" s="1984"/>
      <c r="HJ37" s="1984"/>
      <c r="HK37" s="1984"/>
      <c r="HL37" s="1984"/>
      <c r="HM37" s="1984"/>
      <c r="HN37" s="1984"/>
      <c r="HO37" s="1984"/>
      <c r="HP37" s="1984"/>
      <c r="HQ37" s="1984"/>
      <c r="HR37" s="1984"/>
      <c r="HS37" s="1984"/>
      <c r="HT37" s="1984"/>
      <c r="HU37" s="1984"/>
      <c r="HV37" s="1984"/>
      <c r="HW37" s="1984"/>
      <c r="HX37" s="1984"/>
      <c r="HY37" s="1984"/>
      <c r="HZ37" s="1984"/>
      <c r="IA37" s="1984"/>
      <c r="IB37" s="1984"/>
      <c r="IC37" s="1984"/>
      <c r="ID37" s="1984"/>
      <c r="IE37" s="1984"/>
      <c r="IF37" s="1984"/>
      <c r="IG37" s="1984"/>
      <c r="IH37" s="1984"/>
      <c r="II37" s="1984"/>
      <c r="IJ37" s="1984"/>
      <c r="IK37" s="1984"/>
      <c r="IL37" s="1984"/>
      <c r="IM37" s="1984"/>
      <c r="IN37" s="1984"/>
      <c r="IO37" s="1984"/>
      <c r="IP37" s="1984"/>
      <c r="IQ37" s="1984"/>
      <c r="IR37" s="1984"/>
    </row>
    <row r="38" spans="1:252" s="1813" customFormat="1" ht="13.5" customHeight="1" x14ac:dyDescent="0.25">
      <c r="A38" s="1961" t="s">
        <v>8581</v>
      </c>
      <c r="B38" s="1962" t="s">
        <v>8581</v>
      </c>
      <c r="C38" s="1963" t="s">
        <v>8596</v>
      </c>
      <c r="D38" s="1964" t="s">
        <v>1872</v>
      </c>
      <c r="E38" s="1960" t="s">
        <v>1743</v>
      </c>
      <c r="F38" s="1965">
        <v>42801</v>
      </c>
      <c r="G38" s="1966">
        <v>42779</v>
      </c>
      <c r="H38" s="1965">
        <v>42790</v>
      </c>
      <c r="I38" s="1967">
        <v>45016</v>
      </c>
      <c r="J38" s="1989">
        <v>1000</v>
      </c>
      <c r="K38" s="1964" t="s">
        <v>3229</v>
      </c>
      <c r="L38" s="1968" t="s">
        <v>3229</v>
      </c>
      <c r="M38" s="1969">
        <v>0</v>
      </c>
      <c r="N38" s="1970">
        <v>1</v>
      </c>
      <c r="O38" s="1971">
        <v>1</v>
      </c>
      <c r="P38" s="3198" t="s">
        <v>3229</v>
      </c>
      <c r="Q38" s="3198" t="s">
        <v>3229</v>
      </c>
      <c r="R38" s="1972" t="s">
        <v>3229</v>
      </c>
      <c r="S38" s="1973"/>
      <c r="T38" s="1974" t="s">
        <v>3229</v>
      </c>
      <c r="U38" s="1974" t="s">
        <v>3229</v>
      </c>
      <c r="V38" s="1974" t="s">
        <v>3229</v>
      </c>
      <c r="W38" s="1974" t="s">
        <v>3229</v>
      </c>
      <c r="X38" s="1974" t="s">
        <v>3229</v>
      </c>
      <c r="Y38" s="1974" t="s">
        <v>3229</v>
      </c>
      <c r="Z38" s="1974" t="s">
        <v>3229</v>
      </c>
      <c r="AA38" s="1974" t="s">
        <v>3229</v>
      </c>
      <c r="AB38" s="1974" t="s">
        <v>3229</v>
      </c>
      <c r="AC38" s="1974" t="s">
        <v>3229</v>
      </c>
      <c r="AD38" s="1974" t="s">
        <v>3229</v>
      </c>
      <c r="AE38" s="1974" t="s">
        <v>3229</v>
      </c>
      <c r="AF38" s="1963" t="str">
        <f>IF(S38="","-",IF(T38="",S38,MAX(IF(T38&gt;indexy!$B$1,S38,S38-S38),IF(U38&gt;indexy!$B$1,S38-1,S38-S38),IF(V38&gt;indexy!$B$1,S38-2,S38-S38),IF(W38&gt;indexy!$B$1,S38-3,S38-S38),IF(X38&gt;indexy!$B$1,S38-4,S38-S38),IF(Y38&gt;indexy!$B$1,S38-5,S38-S38),IF(Z38&gt;indexy!$B$1,S38-6,S38-S38),IF(AA38&gt;indexy!$B$1,S38-7,S38-S38),IF(AB38&gt;indexy!$B$1,S38-8,S38-S38),IF(AC38&gt;indexy!$B$1,S38-9,S38-S38),IF(AD38&gt;indexy!$B$1,S38-10,S38-S38),IF(AE38&gt;indexy!$B$1,S38-11,S38-S38))))</f>
        <v>-</v>
      </c>
      <c r="AG38" s="3650" t="s">
        <v>10636</v>
      </c>
      <c r="AH38" s="1976" t="s">
        <v>3229</v>
      </c>
      <c r="AI38" s="1976" t="s">
        <v>3229</v>
      </c>
      <c r="AJ38" s="1976" t="s">
        <v>3229</v>
      </c>
      <c r="AK38" s="1976" t="s">
        <v>3229</v>
      </c>
      <c r="AL38" s="1976" t="s">
        <v>3229</v>
      </c>
      <c r="AM38" s="1977">
        <v>1</v>
      </c>
      <c r="AN38" s="2349">
        <f>+'klikací hodnoty2'!F1584</f>
        <v>0.10614649999999996</v>
      </c>
      <c r="AO38" s="1979">
        <v>1106.0999999999999</v>
      </c>
      <c r="AP38" s="2349">
        <f>+'klikací hodnoty2'!E1583</f>
        <v>0.10614649999999996</v>
      </c>
      <c r="AQ38" s="2349">
        <f>+'klikací hodnoty2'!F1570</f>
        <v>8.2900000000000001E-2</v>
      </c>
      <c r="AR38" s="3610">
        <f t="shared" ref="AR38:AR47" si="32">O38</f>
        <v>1</v>
      </c>
      <c r="AS38" s="3611">
        <f t="shared" ref="AS38:AS47" si="33">POWER(1+AR38,1/((I38-F38)/365))-1</f>
        <v>0.12099943658755552</v>
      </c>
      <c r="AT38" s="3611"/>
      <c r="AU38" s="3609"/>
      <c r="AV38" s="1980">
        <f t="shared" si="29"/>
        <v>0</v>
      </c>
      <c r="AW38" s="1981">
        <f t="shared" si="30"/>
        <v>0</v>
      </c>
      <c r="AX38" s="3012"/>
      <c r="AY38" s="2097"/>
      <c r="AZ38" s="1983">
        <f t="shared" si="31"/>
        <v>1000</v>
      </c>
      <c r="BB38" s="1973"/>
      <c r="BC38" s="2965"/>
      <c r="BD38" s="3431"/>
      <c r="BE38" s="3434"/>
      <c r="BF38" s="3434"/>
      <c r="BG38" s="3434"/>
      <c r="BH38" s="3431"/>
      <c r="BI38" s="1986"/>
      <c r="BJ38" s="1984"/>
      <c r="BK38" s="1984"/>
      <c r="BL38" s="1984"/>
      <c r="BM38" s="1984"/>
      <c r="BN38" s="1984"/>
      <c r="BO38" s="1984"/>
      <c r="BP38" s="1984"/>
      <c r="BQ38" s="1984"/>
      <c r="BR38" s="1984"/>
      <c r="BS38" s="1984"/>
      <c r="BT38" s="1984"/>
      <c r="BU38" s="1984"/>
      <c r="BV38" s="1984"/>
      <c r="BW38" s="1984"/>
      <c r="BX38" s="1984"/>
      <c r="BY38" s="1984"/>
      <c r="BZ38" s="1984"/>
      <c r="CA38" s="1984"/>
      <c r="CB38" s="1984"/>
      <c r="CC38" s="1984"/>
      <c r="CD38" s="1984"/>
      <c r="CE38" s="1984"/>
      <c r="CF38" s="1984"/>
      <c r="CG38" s="1984"/>
      <c r="CH38" s="1984"/>
      <c r="CI38" s="1984"/>
      <c r="CJ38" s="1984"/>
      <c r="CK38" s="1984"/>
      <c r="CL38" s="1984"/>
      <c r="CM38" s="1984"/>
      <c r="CN38" s="1984"/>
      <c r="CO38" s="1984"/>
      <c r="CP38" s="1984"/>
      <c r="CQ38" s="1984"/>
      <c r="CR38" s="1984"/>
      <c r="CS38" s="1984"/>
      <c r="CT38" s="1984"/>
      <c r="CU38" s="1984"/>
      <c r="CV38" s="1984"/>
      <c r="CW38" s="1984"/>
      <c r="CX38" s="1984"/>
      <c r="CY38" s="1984"/>
      <c r="CZ38" s="1984"/>
      <c r="DA38" s="1984"/>
      <c r="DB38" s="1984"/>
      <c r="DC38" s="1984"/>
      <c r="DD38" s="1984"/>
      <c r="DE38" s="1984"/>
      <c r="DF38" s="1984"/>
      <c r="DG38" s="1984"/>
      <c r="DH38" s="1984"/>
      <c r="DI38" s="1984"/>
      <c r="DJ38" s="1984"/>
      <c r="DK38" s="1984"/>
      <c r="DL38" s="1984"/>
      <c r="DM38" s="1984"/>
      <c r="DN38" s="1984"/>
      <c r="DO38" s="1984"/>
      <c r="DP38" s="1984"/>
      <c r="DQ38" s="1984"/>
      <c r="DR38" s="1984"/>
      <c r="DS38" s="1984"/>
      <c r="DT38" s="1984"/>
      <c r="DU38" s="1984"/>
      <c r="DV38" s="1984"/>
      <c r="DW38" s="1984"/>
      <c r="DX38" s="1984"/>
      <c r="DY38" s="1984"/>
      <c r="DZ38" s="1984"/>
      <c r="EA38" s="1984"/>
      <c r="EB38" s="1984"/>
      <c r="EC38" s="1984"/>
      <c r="ED38" s="1984"/>
      <c r="EE38" s="1984"/>
      <c r="EF38" s="1984"/>
      <c r="EG38" s="1984"/>
      <c r="EH38" s="1984"/>
      <c r="EI38" s="1984"/>
      <c r="EJ38" s="1984"/>
      <c r="EK38" s="1984"/>
      <c r="EL38" s="1984"/>
      <c r="EM38" s="1984"/>
      <c r="EN38" s="1984"/>
      <c r="EO38" s="1984"/>
      <c r="EP38" s="1984"/>
      <c r="EQ38" s="1984"/>
      <c r="ER38" s="1984"/>
      <c r="ES38" s="1984"/>
      <c r="ET38" s="1984"/>
      <c r="EU38" s="1984"/>
      <c r="EV38" s="1984"/>
      <c r="EW38" s="1984"/>
      <c r="EX38" s="1984"/>
      <c r="EY38" s="1984"/>
      <c r="EZ38" s="1984"/>
      <c r="FA38" s="1984"/>
      <c r="FB38" s="1984"/>
      <c r="FC38" s="1984"/>
      <c r="FD38" s="1984"/>
      <c r="FE38" s="1984"/>
      <c r="FF38" s="1984"/>
      <c r="FG38" s="1984"/>
      <c r="FH38" s="1984"/>
      <c r="FI38" s="1984"/>
      <c r="FJ38" s="1984"/>
      <c r="FK38" s="1984"/>
      <c r="FL38" s="1984"/>
      <c r="FM38" s="1984"/>
      <c r="FN38" s="1984"/>
      <c r="FO38" s="1984"/>
      <c r="FP38" s="1984"/>
      <c r="FQ38" s="1984"/>
      <c r="FR38" s="1984"/>
      <c r="FS38" s="1984"/>
      <c r="FT38" s="1984"/>
      <c r="FU38" s="1984"/>
      <c r="FV38" s="1984"/>
      <c r="FW38" s="1984"/>
      <c r="FX38" s="1984"/>
      <c r="FY38" s="1984"/>
      <c r="FZ38" s="1984"/>
      <c r="GA38" s="1984"/>
      <c r="GB38" s="1984"/>
      <c r="GC38" s="1984"/>
      <c r="GD38" s="1984"/>
      <c r="GE38" s="1984"/>
      <c r="GF38" s="1984"/>
      <c r="GG38" s="1984"/>
      <c r="GH38" s="1984"/>
      <c r="GI38" s="1984"/>
      <c r="GJ38" s="1984"/>
      <c r="GK38" s="1984"/>
      <c r="GL38" s="1984"/>
      <c r="GM38" s="1984"/>
      <c r="GN38" s="1984"/>
      <c r="GO38" s="1984"/>
      <c r="GP38" s="1984"/>
      <c r="GQ38" s="1984"/>
      <c r="GR38" s="1984"/>
      <c r="GS38" s="1984"/>
      <c r="GT38" s="1984"/>
      <c r="GU38" s="1984"/>
      <c r="GV38" s="1984"/>
      <c r="GW38" s="1984"/>
      <c r="GX38" s="1984"/>
      <c r="GY38" s="1984"/>
      <c r="GZ38" s="1984"/>
      <c r="HA38" s="1984"/>
      <c r="HB38" s="1984"/>
      <c r="HC38" s="1984"/>
      <c r="HD38" s="1984"/>
      <c r="HE38" s="1984"/>
      <c r="HF38" s="1984"/>
      <c r="HG38" s="1984"/>
      <c r="HH38" s="1984"/>
      <c r="HI38" s="1984"/>
      <c r="HJ38" s="1984"/>
      <c r="HK38" s="1984"/>
      <c r="HL38" s="1984"/>
      <c r="HM38" s="1984"/>
      <c r="HN38" s="1984"/>
      <c r="HO38" s="1984"/>
      <c r="HP38" s="1984"/>
      <c r="HQ38" s="1984"/>
      <c r="HR38" s="1984"/>
      <c r="HS38" s="1984"/>
      <c r="HT38" s="1984"/>
      <c r="HU38" s="1984"/>
      <c r="HV38" s="1984"/>
      <c r="HW38" s="1984"/>
      <c r="HX38" s="1984"/>
      <c r="HY38" s="1984"/>
      <c r="HZ38" s="1984"/>
      <c r="IA38" s="1984"/>
      <c r="IB38" s="1984"/>
      <c r="IC38" s="1984"/>
      <c r="ID38" s="1984"/>
      <c r="IE38" s="1984"/>
      <c r="IF38" s="1984"/>
      <c r="IG38" s="1984"/>
      <c r="IH38" s="1984"/>
      <c r="II38" s="1984"/>
      <c r="IJ38" s="1984"/>
      <c r="IK38" s="1984"/>
      <c r="IL38" s="1984"/>
      <c r="IM38" s="1984"/>
      <c r="IN38" s="1984"/>
      <c r="IO38" s="1984"/>
      <c r="IP38" s="1984"/>
      <c r="IQ38" s="1984"/>
      <c r="IR38" s="1984"/>
    </row>
    <row r="39" spans="1:252" s="1813" customFormat="1" ht="13.5" customHeight="1" x14ac:dyDescent="0.25">
      <c r="A39" s="1961" t="s">
        <v>9296</v>
      </c>
      <c r="B39" s="1962" t="s">
        <v>9296</v>
      </c>
      <c r="C39" s="1963" t="s">
        <v>9320</v>
      </c>
      <c r="D39" s="1964" t="s">
        <v>4384</v>
      </c>
      <c r="E39" s="1960" t="s">
        <v>1743</v>
      </c>
      <c r="F39" s="1965">
        <v>43319</v>
      </c>
      <c r="G39" s="1966">
        <v>43290</v>
      </c>
      <c r="H39" s="1965">
        <v>43308</v>
      </c>
      <c r="I39" s="1967">
        <v>45016</v>
      </c>
      <c r="J39" s="1989">
        <v>1000</v>
      </c>
      <c r="K39" s="1964" t="s">
        <v>3229</v>
      </c>
      <c r="L39" s="1968" t="s">
        <v>3229</v>
      </c>
      <c r="M39" s="1969">
        <v>0</v>
      </c>
      <c r="N39" s="1970">
        <v>1</v>
      </c>
      <c r="O39" s="1971">
        <v>1</v>
      </c>
      <c r="P39" s="3198" t="s">
        <v>3229</v>
      </c>
      <c r="Q39" s="3198" t="s">
        <v>3229</v>
      </c>
      <c r="R39" s="1972" t="s">
        <v>3229</v>
      </c>
      <c r="S39" s="1973"/>
      <c r="T39" s="1974" t="s">
        <v>3229</v>
      </c>
      <c r="U39" s="1974" t="s">
        <v>3229</v>
      </c>
      <c r="V39" s="1974" t="s">
        <v>3229</v>
      </c>
      <c r="W39" s="1974" t="s">
        <v>3229</v>
      </c>
      <c r="X39" s="1974" t="s">
        <v>3229</v>
      </c>
      <c r="Y39" s="1974" t="s">
        <v>3229</v>
      </c>
      <c r="Z39" s="1974" t="s">
        <v>3229</v>
      </c>
      <c r="AA39" s="1974" t="s">
        <v>3229</v>
      </c>
      <c r="AB39" s="1974" t="s">
        <v>3229</v>
      </c>
      <c r="AC39" s="1974" t="s">
        <v>3229</v>
      </c>
      <c r="AD39" s="1974" t="s">
        <v>3229</v>
      </c>
      <c r="AE39" s="1974" t="s">
        <v>3229</v>
      </c>
      <c r="AF39" s="1963" t="str">
        <f>IF(S77="","-",IF(T39="",S77,MAX(IF(T39&gt;indexy!$B$1,S77,S77-S77),IF(U39&gt;indexy!$B$1,S77-1,S77-S77),IF(V39&gt;indexy!$B$1,S77-2,S77-S77),IF(W39&gt;indexy!$B$1,S77-3,S77-S77),IF(X39&gt;indexy!$B$1,S77-4,S77-S77),IF(Y39&gt;indexy!$B$1,S77-5,S77-S77),IF(Z39&gt;indexy!$B$1,S77-6,S77-S77),IF(AA39&gt;indexy!$B$1,S77-7,S77-S77),IF(AB39&gt;indexy!$B$1,S77-8,S77-S77),IF(AC39&gt;indexy!$B$1,S77-9,S77-S77),IF(AD39&gt;indexy!$B$1,S77-10,S77-S77),IF(AE39&gt;indexy!$B$1,S77-11,S77-S77))))</f>
        <v>-</v>
      </c>
      <c r="AG39" s="3650" t="s">
        <v>10636</v>
      </c>
      <c r="AH39" s="1976" t="s">
        <v>3229</v>
      </c>
      <c r="AI39" s="1976" t="s">
        <v>3229</v>
      </c>
      <c r="AJ39" s="1976" t="s">
        <v>3229</v>
      </c>
      <c r="AK39" s="1976" t="s">
        <v>3229</v>
      </c>
      <c r="AL39" s="1976" t="s">
        <v>3229</v>
      </c>
      <c r="AM39" s="1977">
        <v>1</v>
      </c>
      <c r="AN39" s="2349">
        <f>+'klikací hodnoty2'!F2316</f>
        <v>5.3600000000000002E-2</v>
      </c>
      <c r="AO39" s="1979">
        <v>1058.3</v>
      </c>
      <c r="AP39" s="2349">
        <f>+'klikací hodnoty2'!F2315</f>
        <v>9.9838796346050484E-3</v>
      </c>
      <c r="AQ39" s="2349">
        <f>+'klikací hodnoty2'!F2302</f>
        <v>-1.9434416365824304E-3</v>
      </c>
      <c r="AR39" s="3610">
        <f t="shared" si="32"/>
        <v>1</v>
      </c>
      <c r="AS39" s="3611">
        <f t="shared" si="33"/>
        <v>0.16077266014582259</v>
      </c>
      <c r="AT39" s="3611"/>
      <c r="AU39" s="3609"/>
      <c r="AV39" s="1980">
        <f t="shared" si="29"/>
        <v>0</v>
      </c>
      <c r="AW39" s="1981">
        <f t="shared" si="30"/>
        <v>0</v>
      </c>
      <c r="AX39" s="3012"/>
      <c r="AY39" s="2097"/>
      <c r="AZ39" s="1983">
        <f t="shared" si="31"/>
        <v>1000</v>
      </c>
      <c r="BB39" s="1973"/>
      <c r="BC39" s="2965"/>
      <c r="BD39" s="3431"/>
      <c r="BE39" s="3434"/>
      <c r="BF39" s="3434"/>
      <c r="BG39" s="3434"/>
      <c r="BH39" s="3431"/>
      <c r="BI39" s="1986"/>
      <c r="BJ39" s="1984"/>
      <c r="BK39" s="1984"/>
      <c r="BL39" s="1984"/>
      <c r="BM39" s="1984"/>
      <c r="BN39" s="1984"/>
      <c r="BO39" s="1984"/>
      <c r="BP39" s="1984"/>
      <c r="BQ39" s="1984"/>
      <c r="BR39" s="1984"/>
      <c r="BS39" s="1984"/>
      <c r="BT39" s="1984"/>
      <c r="BU39" s="1984"/>
      <c r="BV39" s="1984"/>
      <c r="BW39" s="1984"/>
      <c r="BX39" s="1984"/>
      <c r="BY39" s="1984"/>
      <c r="BZ39" s="1984"/>
      <c r="CA39" s="1984"/>
      <c r="CB39" s="1984"/>
      <c r="CC39" s="1984"/>
      <c r="CD39" s="1984"/>
      <c r="CE39" s="1984"/>
      <c r="CF39" s="1984"/>
      <c r="CG39" s="1984"/>
      <c r="CH39" s="1984"/>
      <c r="CI39" s="1984"/>
      <c r="CJ39" s="1984"/>
      <c r="CK39" s="1984"/>
      <c r="CL39" s="1984"/>
      <c r="CM39" s="1984"/>
      <c r="CN39" s="1984"/>
      <c r="CO39" s="1984"/>
      <c r="CP39" s="1984"/>
      <c r="CQ39" s="1984"/>
      <c r="CR39" s="1984"/>
      <c r="CS39" s="1984"/>
      <c r="CT39" s="1984"/>
      <c r="CU39" s="1984"/>
      <c r="CV39" s="1984"/>
      <c r="CW39" s="1984"/>
      <c r="CX39" s="1984"/>
      <c r="CY39" s="1984"/>
      <c r="CZ39" s="1984"/>
      <c r="DA39" s="1984"/>
      <c r="DB39" s="1984"/>
      <c r="DC39" s="1984"/>
      <c r="DD39" s="1984"/>
      <c r="DE39" s="1984"/>
      <c r="DF39" s="1984"/>
      <c r="DG39" s="1984"/>
      <c r="DH39" s="1984"/>
      <c r="DI39" s="1984"/>
      <c r="DJ39" s="1984"/>
      <c r="DK39" s="1984"/>
      <c r="DL39" s="1984"/>
      <c r="DM39" s="1984"/>
      <c r="DN39" s="1984"/>
      <c r="DO39" s="1984"/>
      <c r="DP39" s="1984"/>
      <c r="DQ39" s="1984"/>
      <c r="DR39" s="1984"/>
      <c r="DS39" s="1984"/>
      <c r="DT39" s="1984"/>
      <c r="DU39" s="1984"/>
      <c r="DV39" s="1984"/>
      <c r="DW39" s="1984"/>
      <c r="DX39" s="1984"/>
      <c r="DY39" s="1984"/>
      <c r="DZ39" s="1984"/>
      <c r="EA39" s="1984"/>
      <c r="EB39" s="1984"/>
      <c r="EC39" s="1984"/>
      <c r="ED39" s="1984"/>
      <c r="EE39" s="1984"/>
      <c r="EF39" s="1984"/>
      <c r="EG39" s="1984"/>
      <c r="EH39" s="1984"/>
      <c r="EI39" s="1984"/>
      <c r="EJ39" s="1984"/>
      <c r="EK39" s="1984"/>
      <c r="EL39" s="1984"/>
      <c r="EM39" s="1984"/>
      <c r="EN39" s="1984"/>
      <c r="EO39" s="1984"/>
      <c r="EP39" s="1984"/>
      <c r="EQ39" s="1984"/>
      <c r="ER39" s="1984"/>
      <c r="ES39" s="1984"/>
      <c r="ET39" s="1984"/>
      <c r="EU39" s="1984"/>
      <c r="EV39" s="1984"/>
      <c r="EW39" s="1984"/>
      <c r="EX39" s="1984"/>
      <c r="EY39" s="1984"/>
      <c r="EZ39" s="1984"/>
      <c r="FA39" s="1984"/>
      <c r="FB39" s="1984"/>
      <c r="FC39" s="1984"/>
      <c r="FD39" s="1984"/>
      <c r="FE39" s="1984"/>
      <c r="FF39" s="1984"/>
      <c r="FG39" s="1984"/>
      <c r="FH39" s="1984"/>
      <c r="FI39" s="1984"/>
      <c r="FJ39" s="1984"/>
      <c r="FK39" s="1984"/>
      <c r="FL39" s="1984"/>
      <c r="FM39" s="1984"/>
      <c r="FN39" s="1984"/>
      <c r="FO39" s="1984"/>
      <c r="FP39" s="1984"/>
      <c r="FQ39" s="1984"/>
      <c r="FR39" s="1984"/>
      <c r="FS39" s="1984"/>
      <c r="FT39" s="1984"/>
      <c r="FU39" s="1984"/>
      <c r="FV39" s="1984"/>
      <c r="FW39" s="1984"/>
      <c r="FX39" s="1984"/>
      <c r="FY39" s="1984"/>
      <c r="FZ39" s="1984"/>
      <c r="GA39" s="1984"/>
      <c r="GB39" s="1984"/>
      <c r="GC39" s="1984"/>
      <c r="GD39" s="1984"/>
      <c r="GE39" s="1984"/>
      <c r="GF39" s="1984"/>
      <c r="GG39" s="1984"/>
      <c r="GH39" s="1984"/>
      <c r="GI39" s="1984"/>
      <c r="GJ39" s="1984"/>
      <c r="GK39" s="1984"/>
      <c r="GL39" s="1984"/>
      <c r="GM39" s="1984"/>
      <c r="GN39" s="1984"/>
      <c r="GO39" s="1984"/>
      <c r="GP39" s="1984"/>
      <c r="GQ39" s="1984"/>
      <c r="GR39" s="1984"/>
      <c r="GS39" s="1984"/>
      <c r="GT39" s="1984"/>
      <c r="GU39" s="1984"/>
      <c r="GV39" s="1984"/>
      <c r="GW39" s="1984"/>
      <c r="GX39" s="1984"/>
      <c r="GY39" s="1984"/>
      <c r="GZ39" s="1984"/>
      <c r="HA39" s="1984"/>
      <c r="HB39" s="1984"/>
      <c r="HC39" s="1984"/>
      <c r="HD39" s="1984"/>
      <c r="HE39" s="1984"/>
      <c r="HF39" s="1984"/>
      <c r="HG39" s="1984"/>
      <c r="HH39" s="1984"/>
      <c r="HI39" s="1984"/>
      <c r="HJ39" s="1984"/>
      <c r="HK39" s="1984"/>
      <c r="HL39" s="1984"/>
      <c r="HM39" s="1984"/>
      <c r="HN39" s="1984"/>
      <c r="HO39" s="1984"/>
      <c r="HP39" s="1984"/>
      <c r="HQ39" s="1984"/>
      <c r="HR39" s="1984"/>
      <c r="HS39" s="1984"/>
      <c r="HT39" s="1984"/>
      <c r="HU39" s="1984"/>
      <c r="HV39" s="1984"/>
      <c r="HW39" s="1984"/>
      <c r="HX39" s="1984"/>
      <c r="HY39" s="1984"/>
      <c r="HZ39" s="1984"/>
      <c r="IA39" s="1984"/>
      <c r="IB39" s="1984"/>
      <c r="IC39" s="1984"/>
      <c r="ID39" s="1984"/>
      <c r="IE39" s="1984"/>
      <c r="IF39" s="1984"/>
      <c r="IG39" s="1984"/>
      <c r="IH39" s="1984"/>
      <c r="II39" s="1984"/>
      <c r="IJ39" s="1984"/>
      <c r="IK39" s="1984"/>
      <c r="IL39" s="1984"/>
      <c r="IM39" s="1984"/>
      <c r="IN39" s="1984"/>
      <c r="IO39" s="1984"/>
      <c r="IP39" s="1984"/>
      <c r="IQ39" s="1984"/>
      <c r="IR39" s="1984"/>
    </row>
    <row r="40" spans="1:252" s="1813" customFormat="1" ht="13.5" customHeight="1" x14ac:dyDescent="0.25">
      <c r="A40" s="1961" t="s">
        <v>9110</v>
      </c>
      <c r="B40" s="1962" t="s">
        <v>9110</v>
      </c>
      <c r="C40" s="1963" t="s">
        <v>9138</v>
      </c>
      <c r="D40" s="1964" t="s">
        <v>4384</v>
      </c>
      <c r="E40" s="1960" t="s">
        <v>905</v>
      </c>
      <c r="F40" s="1965">
        <v>43166</v>
      </c>
      <c r="G40" s="1966">
        <v>43136</v>
      </c>
      <c r="H40" s="1965">
        <v>43154</v>
      </c>
      <c r="I40" s="1967">
        <v>45044</v>
      </c>
      <c r="J40" s="1989">
        <v>1000</v>
      </c>
      <c r="K40" s="1964" t="s">
        <v>3229</v>
      </c>
      <c r="L40" s="1968" t="s">
        <v>3229</v>
      </c>
      <c r="M40" s="1969">
        <v>-0.8</v>
      </c>
      <c r="N40" s="1970">
        <v>1</v>
      </c>
      <c r="O40" s="1971" t="s">
        <v>3229</v>
      </c>
      <c r="P40" s="3198">
        <v>0.2</v>
      </c>
      <c r="Q40" s="3198" t="s">
        <v>3229</v>
      </c>
      <c r="R40" s="1972" t="s">
        <v>3229</v>
      </c>
      <c r="S40" s="1973"/>
      <c r="T40" s="1974" t="s">
        <v>3229</v>
      </c>
      <c r="U40" s="1974" t="s">
        <v>3229</v>
      </c>
      <c r="V40" s="1974" t="s">
        <v>3229</v>
      </c>
      <c r="W40" s="1974" t="s">
        <v>3229</v>
      </c>
      <c r="X40" s="1974" t="s">
        <v>3229</v>
      </c>
      <c r="Y40" s="1974" t="s">
        <v>3229</v>
      </c>
      <c r="Z40" s="1974" t="s">
        <v>3229</v>
      </c>
      <c r="AA40" s="1974" t="s">
        <v>3229</v>
      </c>
      <c r="AB40" s="1974" t="s">
        <v>3229</v>
      </c>
      <c r="AC40" s="1974" t="s">
        <v>3229</v>
      </c>
      <c r="AD40" s="1974" t="s">
        <v>3229</v>
      </c>
      <c r="AE40" s="1974" t="s">
        <v>3229</v>
      </c>
      <c r="AF40" s="1963" t="str">
        <f>IF(S52="","-",IF(T40="",S52,MAX(IF(T40&gt;indexy!$B$1,S52,S52-S52),IF(U40&gt;indexy!$B$1,S52-1,S52-S52),IF(V40&gt;indexy!$B$1,S52-2,S52-S52),IF(W40&gt;indexy!$B$1,S52-3,S52-S52),IF(X40&gt;indexy!$B$1,S52-4,S52-S52),IF(Y40&gt;indexy!$B$1,S52-5,S52-S52),IF(Z40&gt;indexy!$B$1,S52-6,S52-S52),IF(AA40&gt;indexy!$B$1,S52-7,S52-S52),IF(AB40&gt;indexy!$B$1,S52-8,S52-S52),IF(AC40&gt;indexy!$B$1,S52-9,S52-S52),IF(AD40&gt;indexy!$B$1,S52-10,S52-S52),IF(AE40&gt;indexy!$B$1,S52-11,S52-S52))))</f>
        <v>-</v>
      </c>
      <c r="AG40" s="3650" t="s">
        <v>10636</v>
      </c>
      <c r="AH40" s="1976" t="s">
        <v>3229</v>
      </c>
      <c r="AI40" s="1976" t="s">
        <v>3229</v>
      </c>
      <c r="AJ40" s="1976" t="s">
        <v>3229</v>
      </c>
      <c r="AK40" s="1976" t="s">
        <v>3229</v>
      </c>
      <c r="AL40" s="1976" t="s">
        <v>3229</v>
      </c>
      <c r="AM40" s="1977">
        <v>1</v>
      </c>
      <c r="AN40" s="2349">
        <f>+'klikací hodnoty2'!F2095</f>
        <v>0</v>
      </c>
      <c r="AO40" s="1979">
        <v>1000</v>
      </c>
      <c r="AP40" s="2349">
        <f>+'klikací hodnoty2'!F2094</f>
        <v>-1.6765666666666679E-2</v>
      </c>
      <c r="AQ40" s="2349">
        <f>+'klikací hodnoty2'!F2081</f>
        <v>-7.6E-3</v>
      </c>
      <c r="AR40" s="3621" t="s">
        <v>3660</v>
      </c>
      <c r="AS40" s="3622"/>
      <c r="AT40" s="3622"/>
      <c r="AU40" s="3620"/>
      <c r="AV40" s="1980">
        <f>M40</f>
        <v>-0.8</v>
      </c>
      <c r="AW40" s="1981">
        <f>POWER(1+AV40,1/((I40-F40)/365))-1</f>
        <v>-0.26860633014352409</v>
      </c>
      <c r="AX40" s="3012"/>
      <c r="AY40" s="2097"/>
      <c r="AZ40" s="1983">
        <f>J40*(1+AV40)</f>
        <v>199.99999999999994</v>
      </c>
      <c r="BB40" s="1973"/>
      <c r="BC40" s="2965"/>
      <c r="BD40" s="3431"/>
      <c r="BE40" s="3434"/>
      <c r="BF40" s="3434"/>
      <c r="BG40" s="3434"/>
      <c r="BH40" s="3431"/>
      <c r="BI40" s="1986"/>
      <c r="BJ40" s="1984"/>
      <c r="BK40" s="1984"/>
      <c r="BL40" s="1984"/>
      <c r="BM40" s="1984"/>
      <c r="BN40" s="1984"/>
      <c r="BO40" s="1984"/>
      <c r="BP40" s="1984"/>
      <c r="BQ40" s="1984"/>
      <c r="BR40" s="1984"/>
      <c r="BS40" s="1984"/>
      <c r="BT40" s="1984"/>
      <c r="BU40" s="1984"/>
      <c r="BV40" s="1984"/>
      <c r="BW40" s="1984"/>
      <c r="BX40" s="1984"/>
      <c r="BY40" s="1984"/>
      <c r="BZ40" s="1984"/>
      <c r="CA40" s="1984"/>
      <c r="CB40" s="1984"/>
      <c r="CC40" s="1984"/>
      <c r="CD40" s="1984"/>
      <c r="CE40" s="1984"/>
      <c r="CF40" s="1984"/>
      <c r="CG40" s="1984"/>
      <c r="CH40" s="1984"/>
      <c r="CI40" s="1984"/>
      <c r="CJ40" s="1984"/>
      <c r="CK40" s="1984"/>
      <c r="CL40" s="1984"/>
      <c r="CM40" s="1984"/>
      <c r="CN40" s="1984"/>
      <c r="CO40" s="1984"/>
      <c r="CP40" s="1984"/>
      <c r="CQ40" s="1984"/>
      <c r="CR40" s="1984"/>
      <c r="CS40" s="1984"/>
      <c r="CT40" s="1984"/>
      <c r="CU40" s="1984"/>
      <c r="CV40" s="1984"/>
      <c r="CW40" s="1984"/>
      <c r="CX40" s="1984"/>
      <c r="CY40" s="1984"/>
      <c r="CZ40" s="1984"/>
      <c r="DA40" s="1984"/>
      <c r="DB40" s="1984"/>
      <c r="DC40" s="1984"/>
      <c r="DD40" s="1984"/>
      <c r="DE40" s="1984"/>
      <c r="DF40" s="1984"/>
      <c r="DG40" s="1984"/>
      <c r="DH40" s="1984"/>
      <c r="DI40" s="1984"/>
      <c r="DJ40" s="1984"/>
      <c r="DK40" s="1984"/>
      <c r="DL40" s="1984"/>
      <c r="DM40" s="1984"/>
      <c r="DN40" s="1984"/>
      <c r="DO40" s="1984"/>
      <c r="DP40" s="1984"/>
      <c r="DQ40" s="1984"/>
      <c r="DR40" s="1984"/>
      <c r="DS40" s="1984"/>
      <c r="DT40" s="1984"/>
      <c r="DU40" s="1984"/>
      <c r="DV40" s="1984"/>
      <c r="DW40" s="1984"/>
      <c r="DX40" s="1984"/>
      <c r="DY40" s="1984"/>
      <c r="DZ40" s="1984"/>
      <c r="EA40" s="1984"/>
      <c r="EB40" s="1984"/>
      <c r="EC40" s="1984"/>
      <c r="ED40" s="1984"/>
      <c r="EE40" s="1984"/>
      <c r="EF40" s="1984"/>
      <c r="EG40" s="1984"/>
      <c r="EH40" s="1984"/>
      <c r="EI40" s="1984"/>
      <c r="EJ40" s="1984"/>
      <c r="EK40" s="1984"/>
      <c r="EL40" s="1984"/>
      <c r="EM40" s="1984"/>
      <c r="EN40" s="1984"/>
      <c r="EO40" s="1984"/>
      <c r="EP40" s="1984"/>
      <c r="EQ40" s="1984"/>
      <c r="ER40" s="1984"/>
      <c r="ES40" s="1984"/>
      <c r="ET40" s="1984"/>
      <c r="EU40" s="1984"/>
      <c r="EV40" s="1984"/>
      <c r="EW40" s="1984"/>
      <c r="EX40" s="1984"/>
      <c r="EY40" s="1984"/>
      <c r="EZ40" s="1984"/>
      <c r="FA40" s="1984"/>
      <c r="FB40" s="1984"/>
      <c r="FC40" s="1984"/>
      <c r="FD40" s="1984"/>
      <c r="FE40" s="1984"/>
      <c r="FF40" s="1984"/>
      <c r="FG40" s="1984"/>
      <c r="FH40" s="1984"/>
      <c r="FI40" s="1984"/>
      <c r="FJ40" s="1984"/>
      <c r="FK40" s="1984"/>
      <c r="FL40" s="1984"/>
      <c r="FM40" s="1984"/>
      <c r="FN40" s="1984"/>
      <c r="FO40" s="1984"/>
      <c r="FP40" s="1984"/>
      <c r="FQ40" s="1984"/>
      <c r="FR40" s="1984"/>
      <c r="FS40" s="1984"/>
      <c r="FT40" s="1984"/>
      <c r="FU40" s="1984"/>
      <c r="FV40" s="1984"/>
      <c r="FW40" s="1984"/>
      <c r="FX40" s="1984"/>
      <c r="FY40" s="1984"/>
      <c r="FZ40" s="1984"/>
      <c r="GA40" s="1984"/>
      <c r="GB40" s="1984"/>
      <c r="GC40" s="1984"/>
      <c r="GD40" s="1984"/>
      <c r="GE40" s="1984"/>
      <c r="GF40" s="1984"/>
      <c r="GG40" s="1984"/>
      <c r="GH40" s="1984"/>
      <c r="GI40" s="1984"/>
      <c r="GJ40" s="1984"/>
      <c r="GK40" s="1984"/>
      <c r="GL40" s="1984"/>
      <c r="GM40" s="1984"/>
      <c r="GN40" s="1984"/>
      <c r="GO40" s="1984"/>
      <c r="GP40" s="1984"/>
      <c r="GQ40" s="1984"/>
      <c r="GR40" s="1984"/>
      <c r="GS40" s="1984"/>
      <c r="GT40" s="1984"/>
      <c r="GU40" s="1984"/>
      <c r="GV40" s="1984"/>
      <c r="GW40" s="1984"/>
      <c r="GX40" s="1984"/>
      <c r="GY40" s="1984"/>
      <c r="GZ40" s="1984"/>
      <c r="HA40" s="1984"/>
      <c r="HB40" s="1984"/>
      <c r="HC40" s="1984"/>
      <c r="HD40" s="1984"/>
      <c r="HE40" s="1984"/>
      <c r="HF40" s="1984"/>
      <c r="HG40" s="1984"/>
      <c r="HH40" s="1984"/>
      <c r="HI40" s="1984"/>
      <c r="HJ40" s="1984"/>
      <c r="HK40" s="1984"/>
      <c r="HL40" s="1984"/>
      <c r="HM40" s="1984"/>
      <c r="HN40" s="1984"/>
      <c r="HO40" s="1984"/>
      <c r="HP40" s="1984"/>
      <c r="HQ40" s="1984"/>
      <c r="HR40" s="1984"/>
      <c r="HS40" s="1984"/>
      <c r="HT40" s="1984"/>
      <c r="HU40" s="1984"/>
      <c r="HV40" s="1984"/>
      <c r="HW40" s="1984"/>
      <c r="HX40" s="1984"/>
      <c r="HY40" s="1984"/>
      <c r="HZ40" s="1984"/>
      <c r="IA40" s="1984"/>
      <c r="IB40" s="1984"/>
      <c r="IC40" s="1984"/>
      <c r="ID40" s="1984"/>
      <c r="IE40" s="1984"/>
      <c r="IF40" s="1984"/>
      <c r="IG40" s="1984"/>
      <c r="IH40" s="1984"/>
      <c r="II40" s="1984"/>
      <c r="IJ40" s="1984"/>
      <c r="IK40" s="1984"/>
      <c r="IL40" s="1984"/>
      <c r="IM40" s="1984"/>
      <c r="IN40" s="1984"/>
      <c r="IO40" s="1984"/>
      <c r="IP40" s="1984"/>
      <c r="IQ40" s="1984"/>
      <c r="IR40" s="1984"/>
    </row>
    <row r="41" spans="1:252" s="1813" customFormat="1" ht="13.5" customHeight="1" x14ac:dyDescent="0.25">
      <c r="A41" s="1961" t="s">
        <v>8744</v>
      </c>
      <c r="B41" s="1962" t="s">
        <v>8744</v>
      </c>
      <c r="C41" s="1963" t="s">
        <v>8743</v>
      </c>
      <c r="D41" s="1964" t="s">
        <v>1872</v>
      </c>
      <c r="E41" s="1960" t="s">
        <v>1743</v>
      </c>
      <c r="F41" s="1965">
        <v>42895</v>
      </c>
      <c r="G41" s="1966">
        <v>42870</v>
      </c>
      <c r="H41" s="1965">
        <v>42888</v>
      </c>
      <c r="I41" s="1967">
        <v>45107</v>
      </c>
      <c r="J41" s="1989">
        <v>1000</v>
      </c>
      <c r="K41" s="1964" t="s">
        <v>3229</v>
      </c>
      <c r="L41" s="1968" t="s">
        <v>3229</v>
      </c>
      <c r="M41" s="1969">
        <v>0</v>
      </c>
      <c r="N41" s="1970">
        <v>1</v>
      </c>
      <c r="O41" s="1971">
        <v>1</v>
      </c>
      <c r="P41" s="3198" t="s">
        <v>3229</v>
      </c>
      <c r="Q41" s="3198" t="s">
        <v>3229</v>
      </c>
      <c r="R41" s="1972" t="s">
        <v>3229</v>
      </c>
      <c r="S41" s="1973"/>
      <c r="T41" s="1974" t="s">
        <v>3229</v>
      </c>
      <c r="U41" s="1974" t="s">
        <v>3229</v>
      </c>
      <c r="V41" s="1974" t="s">
        <v>3229</v>
      </c>
      <c r="W41" s="1974" t="s">
        <v>3229</v>
      </c>
      <c r="X41" s="1974" t="s">
        <v>3229</v>
      </c>
      <c r="Y41" s="1974" t="s">
        <v>3229</v>
      </c>
      <c r="Z41" s="1974" t="s">
        <v>3229</v>
      </c>
      <c r="AA41" s="1974" t="s">
        <v>3229</v>
      </c>
      <c r="AB41" s="1974" t="s">
        <v>3229</v>
      </c>
      <c r="AC41" s="1974" t="s">
        <v>3229</v>
      </c>
      <c r="AD41" s="1974" t="s">
        <v>3229</v>
      </c>
      <c r="AE41" s="1974" t="s">
        <v>3229</v>
      </c>
      <c r="AF41" s="1963" t="str">
        <f>IF(S41="","-",IF(T41="",S41,MAX(IF(T41&gt;indexy!$B$1,S41,S41-S41),IF(U41&gt;indexy!$B$1,S41-1,S41-S41),IF(V41&gt;indexy!$B$1,S41-2,S41-S41),IF(W41&gt;indexy!$B$1,S41-3,S41-S41),IF(X41&gt;indexy!$B$1,S41-4,S41-S41),IF(Y41&gt;indexy!$B$1,S41-5,S41-S41),IF(Z41&gt;indexy!$B$1,S41-6,S41-S41),IF(AA41&gt;indexy!$B$1,S41-7,S41-S41),IF(AB41&gt;indexy!$B$1,S41-8,S41-S41),IF(AC41&gt;indexy!$B$1,S41-9,S41-S41),IF(AD41&gt;indexy!$B$1,S41-10,S41-S41),IF(AE41&gt;indexy!$B$1,S41-11,S41-S41))))</f>
        <v>-</v>
      </c>
      <c r="AG41" s="3650" t="s">
        <v>10636</v>
      </c>
      <c r="AH41" s="1976" t="s">
        <v>3229</v>
      </c>
      <c r="AI41" s="1976" t="s">
        <v>3229</v>
      </c>
      <c r="AJ41" s="1976" t="s">
        <v>3229</v>
      </c>
      <c r="AK41" s="1976" t="s">
        <v>3229</v>
      </c>
      <c r="AL41" s="1976" t="s">
        <v>3229</v>
      </c>
      <c r="AM41" s="1977">
        <v>1</v>
      </c>
      <c r="AN41" s="2349">
        <f>+'klikací hodnoty2'!F1716</f>
        <v>0.14718433333333333</v>
      </c>
      <c r="AO41" s="1979">
        <v>1147.2</v>
      </c>
      <c r="AP41" s="2349">
        <f>+'klikací hodnoty2'!E1715</f>
        <v>4.7184333333333321E-2</v>
      </c>
      <c r="AQ41" s="2349">
        <f>+'klikací hodnoty2'!F1702</f>
        <v>4.3299999999999998E-2</v>
      </c>
      <c r="AR41" s="3651">
        <f t="shared" si="32"/>
        <v>1</v>
      </c>
      <c r="AS41" s="3652">
        <f t="shared" si="33"/>
        <v>0.12117310457047203</v>
      </c>
      <c r="AT41" s="3652"/>
      <c r="AU41" s="3649"/>
      <c r="AV41" s="1980">
        <f t="shared" ref="AV41:AV49" si="34">M41</f>
        <v>0</v>
      </c>
      <c r="AW41" s="1981">
        <f t="shared" ref="AW41:AW49" si="35">POWER(1+AV41,1/((I41-F41)/365))-1</f>
        <v>0</v>
      </c>
      <c r="AX41" s="3012"/>
      <c r="AY41" s="2097"/>
      <c r="AZ41" s="1983">
        <f t="shared" si="31"/>
        <v>1000</v>
      </c>
      <c r="BB41" s="1973"/>
      <c r="BC41" s="2965"/>
      <c r="BD41" s="3431"/>
      <c r="BE41" s="3434"/>
      <c r="BF41" s="3434"/>
      <c r="BG41" s="3434"/>
      <c r="BH41" s="3431"/>
      <c r="BI41" s="1986"/>
      <c r="BJ41" s="1984"/>
      <c r="BK41" s="1984"/>
      <c r="BL41" s="1984"/>
      <c r="BM41" s="1984"/>
      <c r="BN41" s="1984"/>
      <c r="BO41" s="1984"/>
      <c r="BP41" s="1984"/>
      <c r="BQ41" s="1984"/>
      <c r="BR41" s="1984"/>
      <c r="BS41" s="1984"/>
      <c r="BT41" s="1984"/>
      <c r="BU41" s="1984"/>
      <c r="BV41" s="1984"/>
      <c r="BW41" s="1984"/>
      <c r="BX41" s="1984"/>
      <c r="BY41" s="1984"/>
      <c r="BZ41" s="1984"/>
      <c r="CA41" s="1984"/>
      <c r="CB41" s="1984"/>
      <c r="CC41" s="1984"/>
      <c r="CD41" s="1984"/>
      <c r="CE41" s="1984"/>
      <c r="CF41" s="1984"/>
      <c r="CG41" s="1984"/>
      <c r="CH41" s="1984"/>
      <c r="CI41" s="1984"/>
      <c r="CJ41" s="1984"/>
      <c r="CK41" s="1984"/>
      <c r="CL41" s="1984"/>
      <c r="CM41" s="1984"/>
      <c r="CN41" s="1984"/>
      <c r="CO41" s="1984"/>
      <c r="CP41" s="1984"/>
      <c r="CQ41" s="1984"/>
      <c r="CR41" s="1984"/>
      <c r="CS41" s="1984"/>
      <c r="CT41" s="1984"/>
      <c r="CU41" s="1984"/>
      <c r="CV41" s="1984"/>
      <c r="CW41" s="1984"/>
      <c r="CX41" s="1984"/>
      <c r="CY41" s="1984"/>
      <c r="CZ41" s="1984"/>
      <c r="DA41" s="1984"/>
      <c r="DB41" s="1984"/>
      <c r="DC41" s="1984"/>
      <c r="DD41" s="1984"/>
      <c r="DE41" s="1984"/>
      <c r="DF41" s="1984"/>
      <c r="DG41" s="1984"/>
      <c r="DH41" s="1984"/>
      <c r="DI41" s="1984"/>
      <c r="DJ41" s="1984"/>
      <c r="DK41" s="1984"/>
      <c r="DL41" s="1984"/>
      <c r="DM41" s="1984"/>
      <c r="DN41" s="1984"/>
      <c r="DO41" s="1984"/>
      <c r="DP41" s="1984"/>
      <c r="DQ41" s="1984"/>
      <c r="DR41" s="1984"/>
      <c r="DS41" s="1984"/>
      <c r="DT41" s="1984"/>
      <c r="DU41" s="1984"/>
      <c r="DV41" s="1984"/>
      <c r="DW41" s="1984"/>
      <c r="DX41" s="1984"/>
      <c r="DY41" s="1984"/>
      <c r="DZ41" s="1984"/>
      <c r="EA41" s="1984"/>
      <c r="EB41" s="1984"/>
      <c r="EC41" s="1984"/>
      <c r="ED41" s="1984"/>
      <c r="EE41" s="1984"/>
      <c r="EF41" s="1984"/>
      <c r="EG41" s="1984"/>
      <c r="EH41" s="1984"/>
      <c r="EI41" s="1984"/>
      <c r="EJ41" s="1984"/>
      <c r="EK41" s="1984"/>
      <c r="EL41" s="1984"/>
      <c r="EM41" s="1984"/>
      <c r="EN41" s="1984"/>
      <c r="EO41" s="1984"/>
      <c r="EP41" s="1984"/>
      <c r="EQ41" s="1984"/>
      <c r="ER41" s="1984"/>
      <c r="ES41" s="1984"/>
      <c r="ET41" s="1984"/>
      <c r="EU41" s="1984"/>
      <c r="EV41" s="1984"/>
      <c r="EW41" s="1984"/>
      <c r="EX41" s="1984"/>
      <c r="EY41" s="1984"/>
      <c r="EZ41" s="1984"/>
      <c r="FA41" s="1984"/>
      <c r="FB41" s="1984"/>
      <c r="FC41" s="1984"/>
      <c r="FD41" s="1984"/>
      <c r="FE41" s="1984"/>
      <c r="FF41" s="1984"/>
      <c r="FG41" s="1984"/>
      <c r="FH41" s="1984"/>
      <c r="FI41" s="1984"/>
      <c r="FJ41" s="1984"/>
      <c r="FK41" s="1984"/>
      <c r="FL41" s="1984"/>
      <c r="FM41" s="1984"/>
      <c r="FN41" s="1984"/>
      <c r="FO41" s="1984"/>
      <c r="FP41" s="1984"/>
      <c r="FQ41" s="1984"/>
      <c r="FR41" s="1984"/>
      <c r="FS41" s="1984"/>
      <c r="FT41" s="1984"/>
      <c r="FU41" s="1984"/>
      <c r="FV41" s="1984"/>
      <c r="FW41" s="1984"/>
      <c r="FX41" s="1984"/>
      <c r="FY41" s="1984"/>
      <c r="FZ41" s="1984"/>
      <c r="GA41" s="1984"/>
      <c r="GB41" s="1984"/>
      <c r="GC41" s="1984"/>
      <c r="GD41" s="1984"/>
      <c r="GE41" s="1984"/>
      <c r="GF41" s="1984"/>
      <c r="GG41" s="1984"/>
      <c r="GH41" s="1984"/>
      <c r="GI41" s="1984"/>
      <c r="GJ41" s="1984"/>
      <c r="GK41" s="1984"/>
      <c r="GL41" s="1984"/>
      <c r="GM41" s="1984"/>
      <c r="GN41" s="1984"/>
      <c r="GO41" s="1984"/>
      <c r="GP41" s="1984"/>
      <c r="GQ41" s="1984"/>
      <c r="GR41" s="1984"/>
      <c r="GS41" s="1984"/>
      <c r="GT41" s="1984"/>
      <c r="GU41" s="1984"/>
      <c r="GV41" s="1984"/>
      <c r="GW41" s="1984"/>
      <c r="GX41" s="1984"/>
      <c r="GY41" s="1984"/>
      <c r="GZ41" s="1984"/>
      <c r="HA41" s="1984"/>
      <c r="HB41" s="1984"/>
      <c r="HC41" s="1984"/>
      <c r="HD41" s="1984"/>
      <c r="HE41" s="1984"/>
      <c r="HF41" s="1984"/>
      <c r="HG41" s="1984"/>
      <c r="HH41" s="1984"/>
      <c r="HI41" s="1984"/>
      <c r="HJ41" s="1984"/>
      <c r="HK41" s="1984"/>
      <c r="HL41" s="1984"/>
      <c r="HM41" s="1984"/>
      <c r="HN41" s="1984"/>
      <c r="HO41" s="1984"/>
      <c r="HP41" s="1984"/>
      <c r="HQ41" s="1984"/>
      <c r="HR41" s="1984"/>
      <c r="HS41" s="1984"/>
      <c r="HT41" s="1984"/>
      <c r="HU41" s="1984"/>
      <c r="HV41" s="1984"/>
      <c r="HW41" s="1984"/>
      <c r="HX41" s="1984"/>
      <c r="HY41" s="1984"/>
      <c r="HZ41" s="1984"/>
      <c r="IA41" s="1984"/>
      <c r="IB41" s="1984"/>
      <c r="IC41" s="1984"/>
      <c r="ID41" s="1984"/>
      <c r="IE41" s="1984"/>
      <c r="IF41" s="1984"/>
      <c r="IG41" s="1984"/>
      <c r="IH41" s="1984"/>
      <c r="II41" s="1984"/>
      <c r="IJ41" s="1984"/>
      <c r="IK41" s="1984"/>
      <c r="IL41" s="1984"/>
      <c r="IM41" s="1984"/>
      <c r="IN41" s="1984"/>
      <c r="IO41" s="1984"/>
      <c r="IP41" s="1984"/>
      <c r="IQ41" s="1984"/>
      <c r="IR41" s="1984"/>
    </row>
    <row r="42" spans="1:252" s="1813" customFormat="1" ht="13.5" customHeight="1" x14ac:dyDescent="0.25">
      <c r="A42" s="1961" t="s">
        <v>9167</v>
      </c>
      <c r="B42" s="1962" t="s">
        <v>9167</v>
      </c>
      <c r="C42" s="1963" t="s">
        <v>9168</v>
      </c>
      <c r="D42" s="1964" t="s">
        <v>4384</v>
      </c>
      <c r="E42" s="1960" t="s">
        <v>1743</v>
      </c>
      <c r="F42" s="1965">
        <v>43227</v>
      </c>
      <c r="G42" s="1966">
        <v>43199</v>
      </c>
      <c r="H42" s="1965">
        <v>43217</v>
      </c>
      <c r="I42" s="1967">
        <v>45107</v>
      </c>
      <c r="J42" s="1989">
        <v>1000</v>
      </c>
      <c r="K42" s="1964" t="s">
        <v>3229</v>
      </c>
      <c r="L42" s="1968" t="s">
        <v>3229</v>
      </c>
      <c r="M42" s="1969">
        <v>0</v>
      </c>
      <c r="N42" s="1970">
        <v>1</v>
      </c>
      <c r="O42" s="1971">
        <v>1</v>
      </c>
      <c r="P42" s="3198" t="s">
        <v>3229</v>
      </c>
      <c r="Q42" s="3198" t="s">
        <v>3229</v>
      </c>
      <c r="R42" s="1972" t="s">
        <v>3229</v>
      </c>
      <c r="S42" s="1973"/>
      <c r="T42" s="1974" t="s">
        <v>3229</v>
      </c>
      <c r="U42" s="1974" t="s">
        <v>3229</v>
      </c>
      <c r="V42" s="1974" t="s">
        <v>3229</v>
      </c>
      <c r="W42" s="1974" t="s">
        <v>3229</v>
      </c>
      <c r="X42" s="1974" t="s">
        <v>3229</v>
      </c>
      <c r="Y42" s="1974" t="s">
        <v>3229</v>
      </c>
      <c r="Z42" s="1974" t="s">
        <v>3229</v>
      </c>
      <c r="AA42" s="1974" t="s">
        <v>3229</v>
      </c>
      <c r="AB42" s="1974" t="s">
        <v>3229</v>
      </c>
      <c r="AC42" s="1974" t="s">
        <v>3229</v>
      </c>
      <c r="AD42" s="1974" t="s">
        <v>3229</v>
      </c>
      <c r="AE42" s="1974" t="s">
        <v>3229</v>
      </c>
      <c r="AF42" s="1963" t="str">
        <f>IF(S45="","-",IF(T42="",S45,MAX(IF(T42&gt;indexy!$B$1,S45,S45-S45),IF(U42&gt;indexy!$B$1,S45-1,S45-S45),IF(V42&gt;indexy!$B$1,S45-2,S45-S45),IF(W42&gt;indexy!$B$1,S45-3,S45-S45),IF(X42&gt;indexy!$B$1,S45-4,S45-S45),IF(Y42&gt;indexy!$B$1,S45-5,S45-S45),IF(Z42&gt;indexy!$B$1,S45-6,S45-S45),IF(AA42&gt;indexy!$B$1,S45-7,S45-S45),IF(AB42&gt;indexy!$B$1,S45-8,S45-S45),IF(AC42&gt;indexy!$B$1,S45-9,S45-S45),IF(AD42&gt;indexy!$B$1,S45-10,S45-S45),IF(AE42&gt;indexy!$B$1,S45-11,S45-S45))))</f>
        <v>-</v>
      </c>
      <c r="AG42" s="3650" t="s">
        <v>10636</v>
      </c>
      <c r="AH42" s="1976" t="s">
        <v>3229</v>
      </c>
      <c r="AI42" s="1976" t="s">
        <v>3229</v>
      </c>
      <c r="AJ42" s="1976" t="s">
        <v>3229</v>
      </c>
      <c r="AK42" s="1976" t="s">
        <v>3229</v>
      </c>
      <c r="AL42" s="1976" t="s">
        <v>3229</v>
      </c>
      <c r="AM42" s="1977">
        <v>1</v>
      </c>
      <c r="AN42" s="2349">
        <f>+'klikací hodnoty2'!F2189</f>
        <v>1.925808333333336E-2</v>
      </c>
      <c r="AO42" s="1979">
        <v>1019.3</v>
      </c>
      <c r="AP42" s="2349">
        <f>+'klikací hodnoty2'!F2188</f>
        <v>1.925808333333336E-2</v>
      </c>
      <c r="AQ42" s="2349">
        <f>+'klikací hodnoty2'!F2175</f>
        <v>-2.9499999999999998E-2</v>
      </c>
      <c r="AR42" s="3651">
        <f>O42</f>
        <v>1</v>
      </c>
      <c r="AS42" s="3652">
        <f>POWER(1+AR42,1/((I42-F42)/365))-1</f>
        <v>0.1440490726550403</v>
      </c>
      <c r="AT42" s="3652"/>
      <c r="AU42" s="3649"/>
      <c r="AV42" s="1980">
        <f>M42</f>
        <v>0</v>
      </c>
      <c r="AW42" s="1981">
        <f>POWER(1+AV42,1/((I42-F42)/365))-1</f>
        <v>0</v>
      </c>
      <c r="AX42" s="3012"/>
      <c r="AY42" s="2097"/>
      <c r="AZ42" s="1983">
        <f>J42*(1+AV42)</f>
        <v>1000</v>
      </c>
      <c r="BB42" s="1973"/>
      <c r="BC42" s="2965"/>
      <c r="BD42" s="3431"/>
      <c r="BE42" s="3434"/>
      <c r="BF42" s="3434"/>
      <c r="BG42" s="3434"/>
      <c r="BH42" s="3431"/>
      <c r="BI42" s="1986"/>
      <c r="BJ42" s="1984"/>
      <c r="BK42" s="1984"/>
      <c r="BL42" s="1984"/>
      <c r="BM42" s="1984"/>
      <c r="BN42" s="1984"/>
      <c r="BO42" s="1984"/>
      <c r="BP42" s="1984"/>
      <c r="BQ42" s="1984"/>
      <c r="BR42" s="1984"/>
      <c r="BS42" s="1984"/>
      <c r="BT42" s="1984"/>
      <c r="BU42" s="1984"/>
      <c r="BV42" s="1984"/>
      <c r="BW42" s="1984"/>
      <c r="BX42" s="1984"/>
      <c r="BY42" s="1984"/>
      <c r="BZ42" s="1984"/>
      <c r="CA42" s="1984"/>
      <c r="CB42" s="1984"/>
      <c r="CC42" s="1984"/>
      <c r="CD42" s="1984"/>
      <c r="CE42" s="1984"/>
      <c r="CF42" s="1984"/>
      <c r="CG42" s="1984"/>
      <c r="CH42" s="1984"/>
      <c r="CI42" s="1984"/>
      <c r="CJ42" s="1984"/>
      <c r="CK42" s="1984"/>
      <c r="CL42" s="1984"/>
      <c r="CM42" s="1984"/>
      <c r="CN42" s="1984"/>
      <c r="CO42" s="1984"/>
      <c r="CP42" s="1984"/>
      <c r="CQ42" s="1984"/>
      <c r="CR42" s="1984"/>
      <c r="CS42" s="1984"/>
      <c r="CT42" s="1984"/>
      <c r="CU42" s="1984"/>
      <c r="CV42" s="1984"/>
      <c r="CW42" s="1984"/>
      <c r="CX42" s="1984"/>
      <c r="CY42" s="1984"/>
      <c r="CZ42" s="1984"/>
      <c r="DA42" s="1984"/>
      <c r="DB42" s="1984"/>
      <c r="DC42" s="1984"/>
      <c r="DD42" s="1984"/>
      <c r="DE42" s="1984"/>
      <c r="DF42" s="1984"/>
      <c r="DG42" s="1984"/>
      <c r="DH42" s="1984"/>
      <c r="DI42" s="1984"/>
      <c r="DJ42" s="1984"/>
      <c r="DK42" s="1984"/>
      <c r="DL42" s="1984"/>
      <c r="DM42" s="1984"/>
      <c r="DN42" s="1984"/>
      <c r="DO42" s="1984"/>
      <c r="DP42" s="1984"/>
      <c r="DQ42" s="1984"/>
      <c r="DR42" s="1984"/>
      <c r="DS42" s="1984"/>
      <c r="DT42" s="1984"/>
      <c r="DU42" s="1984"/>
      <c r="DV42" s="1984"/>
      <c r="DW42" s="1984"/>
      <c r="DX42" s="1984"/>
      <c r="DY42" s="1984"/>
      <c r="DZ42" s="1984"/>
      <c r="EA42" s="1984"/>
      <c r="EB42" s="1984"/>
      <c r="EC42" s="1984"/>
      <c r="ED42" s="1984"/>
      <c r="EE42" s="1984"/>
      <c r="EF42" s="1984"/>
      <c r="EG42" s="1984"/>
      <c r="EH42" s="1984"/>
      <c r="EI42" s="1984"/>
      <c r="EJ42" s="1984"/>
      <c r="EK42" s="1984"/>
      <c r="EL42" s="1984"/>
      <c r="EM42" s="1984"/>
      <c r="EN42" s="1984"/>
      <c r="EO42" s="1984"/>
      <c r="EP42" s="1984"/>
      <c r="EQ42" s="1984"/>
      <c r="ER42" s="1984"/>
      <c r="ES42" s="1984"/>
      <c r="ET42" s="1984"/>
      <c r="EU42" s="1984"/>
      <c r="EV42" s="1984"/>
      <c r="EW42" s="1984"/>
      <c r="EX42" s="1984"/>
      <c r="EY42" s="1984"/>
      <c r="EZ42" s="1984"/>
      <c r="FA42" s="1984"/>
      <c r="FB42" s="1984"/>
      <c r="FC42" s="1984"/>
      <c r="FD42" s="1984"/>
      <c r="FE42" s="1984"/>
      <c r="FF42" s="1984"/>
      <c r="FG42" s="1984"/>
      <c r="FH42" s="1984"/>
      <c r="FI42" s="1984"/>
      <c r="FJ42" s="1984"/>
      <c r="FK42" s="1984"/>
      <c r="FL42" s="1984"/>
      <c r="FM42" s="1984"/>
      <c r="FN42" s="1984"/>
      <c r="FO42" s="1984"/>
      <c r="FP42" s="1984"/>
      <c r="FQ42" s="1984"/>
      <c r="FR42" s="1984"/>
      <c r="FS42" s="1984"/>
      <c r="FT42" s="1984"/>
      <c r="FU42" s="1984"/>
      <c r="FV42" s="1984"/>
      <c r="FW42" s="1984"/>
      <c r="FX42" s="1984"/>
      <c r="FY42" s="1984"/>
      <c r="FZ42" s="1984"/>
      <c r="GA42" s="1984"/>
      <c r="GB42" s="1984"/>
      <c r="GC42" s="1984"/>
      <c r="GD42" s="1984"/>
      <c r="GE42" s="1984"/>
      <c r="GF42" s="1984"/>
      <c r="GG42" s="1984"/>
      <c r="GH42" s="1984"/>
      <c r="GI42" s="1984"/>
      <c r="GJ42" s="1984"/>
      <c r="GK42" s="1984"/>
      <c r="GL42" s="1984"/>
      <c r="GM42" s="1984"/>
      <c r="GN42" s="1984"/>
      <c r="GO42" s="1984"/>
      <c r="GP42" s="1984"/>
      <c r="GQ42" s="1984"/>
      <c r="GR42" s="1984"/>
      <c r="GS42" s="1984"/>
      <c r="GT42" s="1984"/>
      <c r="GU42" s="1984"/>
      <c r="GV42" s="1984"/>
      <c r="GW42" s="1984"/>
      <c r="GX42" s="1984"/>
      <c r="GY42" s="1984"/>
      <c r="GZ42" s="1984"/>
      <c r="HA42" s="1984"/>
      <c r="HB42" s="1984"/>
      <c r="HC42" s="1984"/>
      <c r="HD42" s="1984"/>
      <c r="HE42" s="1984"/>
      <c r="HF42" s="1984"/>
      <c r="HG42" s="1984"/>
      <c r="HH42" s="1984"/>
      <c r="HI42" s="1984"/>
      <c r="HJ42" s="1984"/>
      <c r="HK42" s="1984"/>
      <c r="HL42" s="1984"/>
      <c r="HM42" s="1984"/>
      <c r="HN42" s="1984"/>
      <c r="HO42" s="1984"/>
      <c r="HP42" s="1984"/>
      <c r="HQ42" s="1984"/>
      <c r="HR42" s="1984"/>
      <c r="HS42" s="1984"/>
      <c r="HT42" s="1984"/>
      <c r="HU42" s="1984"/>
      <c r="HV42" s="1984"/>
      <c r="HW42" s="1984"/>
      <c r="HX42" s="1984"/>
      <c r="HY42" s="1984"/>
      <c r="HZ42" s="1984"/>
      <c r="IA42" s="1984"/>
      <c r="IB42" s="1984"/>
      <c r="IC42" s="1984"/>
      <c r="ID42" s="1984"/>
      <c r="IE42" s="1984"/>
      <c r="IF42" s="1984"/>
      <c r="IG42" s="1984"/>
      <c r="IH42" s="1984"/>
      <c r="II42" s="1984"/>
      <c r="IJ42" s="1984"/>
      <c r="IK42" s="1984"/>
      <c r="IL42" s="1984"/>
      <c r="IM42" s="1984"/>
      <c r="IN42" s="1984"/>
      <c r="IO42" s="1984"/>
      <c r="IP42" s="1984"/>
      <c r="IQ42" s="1984"/>
      <c r="IR42" s="1984"/>
    </row>
    <row r="43" spans="1:252" s="1813" customFormat="1" ht="13.5" customHeight="1" x14ac:dyDescent="0.25">
      <c r="A43" s="1961" t="s">
        <v>8790</v>
      </c>
      <c r="B43" s="1962" t="s">
        <v>8790</v>
      </c>
      <c r="C43" s="1963" t="s">
        <v>8791</v>
      </c>
      <c r="D43" s="1964" t="s">
        <v>1872</v>
      </c>
      <c r="E43" s="1960" t="s">
        <v>1743</v>
      </c>
      <c r="F43" s="1965">
        <v>42923</v>
      </c>
      <c r="G43" s="1966">
        <v>42898</v>
      </c>
      <c r="H43" s="1965">
        <v>42916</v>
      </c>
      <c r="I43" s="1967">
        <v>45138</v>
      </c>
      <c r="J43" s="1989">
        <v>1000</v>
      </c>
      <c r="K43" s="1964" t="s">
        <v>3229</v>
      </c>
      <c r="L43" s="1968" t="s">
        <v>3229</v>
      </c>
      <c r="M43" s="1969">
        <v>0</v>
      </c>
      <c r="N43" s="1970">
        <v>1</v>
      </c>
      <c r="O43" s="1971">
        <v>1</v>
      </c>
      <c r="P43" s="3198" t="s">
        <v>3229</v>
      </c>
      <c r="Q43" s="3198" t="s">
        <v>3229</v>
      </c>
      <c r="R43" s="1972" t="s">
        <v>3229</v>
      </c>
      <c r="S43" s="1973"/>
      <c r="T43" s="1974" t="s">
        <v>3229</v>
      </c>
      <c r="U43" s="1974" t="s">
        <v>3229</v>
      </c>
      <c r="V43" s="1974" t="s">
        <v>3229</v>
      </c>
      <c r="W43" s="1974" t="s">
        <v>3229</v>
      </c>
      <c r="X43" s="1974" t="s">
        <v>3229</v>
      </c>
      <c r="Y43" s="1974" t="s">
        <v>3229</v>
      </c>
      <c r="Z43" s="1974" t="s">
        <v>3229</v>
      </c>
      <c r="AA43" s="1974" t="s">
        <v>3229</v>
      </c>
      <c r="AB43" s="1974" t="s">
        <v>3229</v>
      </c>
      <c r="AC43" s="1974" t="s">
        <v>3229</v>
      </c>
      <c r="AD43" s="1974" t="s">
        <v>3229</v>
      </c>
      <c r="AE43" s="1974" t="s">
        <v>3229</v>
      </c>
      <c r="AF43" s="1963" t="str">
        <f>IF(S43="","-",IF(T43="",S43,MAX(IF(T43&gt;indexy!$B$1,S43,S43-S43),IF(U43&gt;indexy!$B$1,S43-1,S43-S43),IF(V43&gt;indexy!$B$1,S43-2,S43-S43),IF(W43&gt;indexy!$B$1,S43-3,S43-S43),IF(X43&gt;indexy!$B$1,S43-4,S43-S43),IF(Y43&gt;indexy!$B$1,S43-5,S43-S43),IF(Z43&gt;indexy!$B$1,S43-6,S43-S43),IF(AA43&gt;indexy!$B$1,S43-7,S43-S43),IF(AB43&gt;indexy!$B$1,S43-8,S43-S43),IF(AC43&gt;indexy!$B$1,S43-9,S43-S43),IF(AD43&gt;indexy!$B$1,S43-10,S43-S43),IF(AE43&gt;indexy!$B$1,S43-11,S43-S43))))</f>
        <v>-</v>
      </c>
      <c r="AG43" s="3663" t="s">
        <v>10636</v>
      </c>
      <c r="AH43" s="1976" t="s">
        <v>3229</v>
      </c>
      <c r="AI43" s="1976" t="s">
        <v>3229</v>
      </c>
      <c r="AJ43" s="1976" t="s">
        <v>3229</v>
      </c>
      <c r="AK43" s="1976" t="s">
        <v>3229</v>
      </c>
      <c r="AL43" s="1976" t="s">
        <v>3229</v>
      </c>
      <c r="AM43" s="1977">
        <v>1</v>
      </c>
      <c r="AN43" s="2349">
        <f>+'klikací hodnoty2'!F1763</f>
        <v>0.15224808333333334</v>
      </c>
      <c r="AO43" s="1979">
        <v>1152.2</v>
      </c>
      <c r="AP43" s="2349">
        <f>+'klikací hodnoty2'!F1762</f>
        <v>5.2248083333333327E-2</v>
      </c>
      <c r="AQ43" s="2349">
        <f>+'klikací hodnoty2'!F1749</f>
        <v>4.8300000000000003E-2</v>
      </c>
      <c r="AR43" s="3665">
        <f t="shared" si="32"/>
        <v>1</v>
      </c>
      <c r="AS43" s="3666">
        <f t="shared" si="33"/>
        <v>0.12099943658755552</v>
      </c>
      <c r="AT43" s="3666"/>
      <c r="AU43" s="3662"/>
      <c r="AV43" s="1980">
        <v>0.1522</v>
      </c>
      <c r="AW43" s="1981">
        <f t="shared" si="35"/>
        <v>2.3620333444379193E-2</v>
      </c>
      <c r="AX43" s="3012"/>
      <c r="AY43" s="2097"/>
      <c r="AZ43" s="1983">
        <f t="shared" si="31"/>
        <v>1152.2</v>
      </c>
      <c r="BB43" s="1973"/>
      <c r="BC43" s="2965"/>
      <c r="BD43" s="3431"/>
      <c r="BE43" s="3434"/>
      <c r="BF43" s="3434"/>
      <c r="BG43" s="3434"/>
      <c r="BH43" s="3431"/>
      <c r="BI43" s="1986"/>
      <c r="BJ43" s="1984"/>
      <c r="BK43" s="1984"/>
      <c r="BL43" s="1984"/>
      <c r="BM43" s="1984"/>
      <c r="BN43" s="1984"/>
      <c r="BO43" s="1984"/>
      <c r="BP43" s="1984"/>
      <c r="BQ43" s="1984"/>
      <c r="BR43" s="1984"/>
      <c r="BS43" s="1984"/>
      <c r="BT43" s="1984"/>
      <c r="BU43" s="1984"/>
      <c r="BV43" s="1984"/>
      <c r="BW43" s="1984"/>
      <c r="BX43" s="1984"/>
      <c r="BY43" s="1984"/>
      <c r="BZ43" s="1984"/>
      <c r="CA43" s="1984"/>
      <c r="CB43" s="1984"/>
      <c r="CC43" s="1984"/>
      <c r="CD43" s="1984"/>
      <c r="CE43" s="1984"/>
      <c r="CF43" s="1984"/>
      <c r="CG43" s="1984"/>
      <c r="CH43" s="1984"/>
      <c r="CI43" s="1984"/>
      <c r="CJ43" s="1984"/>
      <c r="CK43" s="1984"/>
      <c r="CL43" s="1984"/>
      <c r="CM43" s="1984"/>
      <c r="CN43" s="1984"/>
      <c r="CO43" s="1984"/>
      <c r="CP43" s="1984"/>
      <c r="CQ43" s="1984"/>
      <c r="CR43" s="1984"/>
      <c r="CS43" s="1984"/>
      <c r="CT43" s="1984"/>
      <c r="CU43" s="1984"/>
      <c r="CV43" s="1984"/>
      <c r="CW43" s="1984"/>
      <c r="CX43" s="1984"/>
      <c r="CY43" s="1984"/>
      <c r="CZ43" s="1984"/>
      <c r="DA43" s="1984"/>
      <c r="DB43" s="1984"/>
      <c r="DC43" s="1984"/>
      <c r="DD43" s="1984"/>
      <c r="DE43" s="1984"/>
      <c r="DF43" s="1984"/>
      <c r="DG43" s="1984"/>
      <c r="DH43" s="1984"/>
      <c r="DI43" s="1984"/>
      <c r="DJ43" s="1984"/>
      <c r="DK43" s="1984"/>
      <c r="DL43" s="1984"/>
      <c r="DM43" s="1984"/>
      <c r="DN43" s="1984"/>
      <c r="DO43" s="1984"/>
      <c r="DP43" s="1984"/>
      <c r="DQ43" s="1984"/>
      <c r="DR43" s="1984"/>
      <c r="DS43" s="1984"/>
      <c r="DT43" s="1984"/>
      <c r="DU43" s="1984"/>
      <c r="DV43" s="1984"/>
      <c r="DW43" s="1984"/>
      <c r="DX43" s="1984"/>
      <c r="DY43" s="1984"/>
      <c r="DZ43" s="1984"/>
      <c r="EA43" s="1984"/>
      <c r="EB43" s="1984"/>
      <c r="EC43" s="1984"/>
      <c r="ED43" s="1984"/>
      <c r="EE43" s="1984"/>
      <c r="EF43" s="1984"/>
      <c r="EG43" s="1984"/>
      <c r="EH43" s="1984"/>
      <c r="EI43" s="1984"/>
      <c r="EJ43" s="1984"/>
      <c r="EK43" s="1984"/>
      <c r="EL43" s="1984"/>
      <c r="EM43" s="1984"/>
      <c r="EN43" s="1984"/>
      <c r="EO43" s="1984"/>
      <c r="EP43" s="1984"/>
      <c r="EQ43" s="1984"/>
      <c r="ER43" s="1984"/>
      <c r="ES43" s="1984"/>
      <c r="ET43" s="1984"/>
      <c r="EU43" s="1984"/>
      <c r="EV43" s="1984"/>
      <c r="EW43" s="1984"/>
      <c r="EX43" s="1984"/>
      <c r="EY43" s="1984"/>
      <c r="EZ43" s="1984"/>
      <c r="FA43" s="1984"/>
      <c r="FB43" s="1984"/>
      <c r="FC43" s="1984"/>
      <c r="FD43" s="1984"/>
      <c r="FE43" s="1984"/>
      <c r="FF43" s="1984"/>
      <c r="FG43" s="1984"/>
      <c r="FH43" s="1984"/>
      <c r="FI43" s="1984"/>
      <c r="FJ43" s="1984"/>
      <c r="FK43" s="1984"/>
      <c r="FL43" s="1984"/>
      <c r="FM43" s="1984"/>
      <c r="FN43" s="1984"/>
      <c r="FO43" s="1984"/>
      <c r="FP43" s="1984"/>
      <c r="FQ43" s="1984"/>
      <c r="FR43" s="1984"/>
      <c r="FS43" s="1984"/>
      <c r="FT43" s="1984"/>
      <c r="FU43" s="1984"/>
      <c r="FV43" s="1984"/>
      <c r="FW43" s="1984"/>
      <c r="FX43" s="1984"/>
      <c r="FY43" s="1984"/>
      <c r="FZ43" s="1984"/>
      <c r="GA43" s="1984"/>
      <c r="GB43" s="1984"/>
      <c r="GC43" s="1984"/>
      <c r="GD43" s="1984"/>
      <c r="GE43" s="1984"/>
      <c r="GF43" s="1984"/>
      <c r="GG43" s="1984"/>
      <c r="GH43" s="1984"/>
      <c r="GI43" s="1984"/>
      <c r="GJ43" s="1984"/>
      <c r="GK43" s="1984"/>
      <c r="GL43" s="1984"/>
      <c r="GM43" s="1984"/>
      <c r="GN43" s="1984"/>
      <c r="GO43" s="1984"/>
      <c r="GP43" s="1984"/>
      <c r="GQ43" s="1984"/>
      <c r="GR43" s="1984"/>
      <c r="GS43" s="1984"/>
      <c r="GT43" s="1984"/>
      <c r="GU43" s="1984"/>
      <c r="GV43" s="1984"/>
      <c r="GW43" s="1984"/>
      <c r="GX43" s="1984"/>
      <c r="GY43" s="1984"/>
      <c r="GZ43" s="1984"/>
      <c r="HA43" s="1984"/>
      <c r="HB43" s="1984"/>
      <c r="HC43" s="1984"/>
      <c r="HD43" s="1984"/>
      <c r="HE43" s="1984"/>
      <c r="HF43" s="1984"/>
      <c r="HG43" s="1984"/>
      <c r="HH43" s="1984"/>
      <c r="HI43" s="1984"/>
      <c r="HJ43" s="1984"/>
      <c r="HK43" s="1984"/>
      <c r="HL43" s="1984"/>
      <c r="HM43" s="1984"/>
      <c r="HN43" s="1984"/>
      <c r="HO43" s="1984"/>
      <c r="HP43" s="1984"/>
      <c r="HQ43" s="1984"/>
      <c r="HR43" s="1984"/>
      <c r="HS43" s="1984"/>
      <c r="HT43" s="1984"/>
      <c r="HU43" s="1984"/>
      <c r="HV43" s="1984"/>
      <c r="HW43" s="1984"/>
      <c r="HX43" s="1984"/>
      <c r="HY43" s="1984"/>
      <c r="HZ43" s="1984"/>
      <c r="IA43" s="1984"/>
      <c r="IB43" s="1984"/>
      <c r="IC43" s="1984"/>
      <c r="ID43" s="1984"/>
      <c r="IE43" s="1984"/>
      <c r="IF43" s="1984"/>
      <c r="IG43" s="1984"/>
      <c r="IH43" s="1984"/>
      <c r="II43" s="1984"/>
      <c r="IJ43" s="1984"/>
      <c r="IK43" s="1984"/>
      <c r="IL43" s="1984"/>
      <c r="IM43" s="1984"/>
      <c r="IN43" s="1984"/>
      <c r="IO43" s="1984"/>
      <c r="IP43" s="1984"/>
      <c r="IQ43" s="1984"/>
      <c r="IR43" s="1984"/>
    </row>
    <row r="44" spans="1:252" s="1813" customFormat="1" ht="13.5" customHeight="1" x14ac:dyDescent="0.25">
      <c r="A44" s="1961" t="s">
        <v>9191</v>
      </c>
      <c r="B44" s="1962" t="s">
        <v>9191</v>
      </c>
      <c r="C44" s="1963" t="s">
        <v>9318</v>
      </c>
      <c r="D44" s="1964" t="s">
        <v>4384</v>
      </c>
      <c r="E44" s="1960" t="s">
        <v>1743</v>
      </c>
      <c r="F44" s="1965">
        <v>43258</v>
      </c>
      <c r="G44" s="1966">
        <v>43227</v>
      </c>
      <c r="H44" s="1965">
        <v>43252</v>
      </c>
      <c r="I44" s="1967">
        <v>45138</v>
      </c>
      <c r="J44" s="1989">
        <v>1000</v>
      </c>
      <c r="K44" s="1964" t="s">
        <v>3229</v>
      </c>
      <c r="L44" s="1968" t="s">
        <v>3229</v>
      </c>
      <c r="M44" s="1969">
        <v>0</v>
      </c>
      <c r="N44" s="1970">
        <v>1</v>
      </c>
      <c r="O44" s="1971">
        <v>1</v>
      </c>
      <c r="P44" s="3198" t="s">
        <v>3229</v>
      </c>
      <c r="Q44" s="3198" t="s">
        <v>3229</v>
      </c>
      <c r="R44" s="1972" t="s">
        <v>3229</v>
      </c>
      <c r="S44" s="1973"/>
      <c r="T44" s="1974" t="s">
        <v>3229</v>
      </c>
      <c r="U44" s="1974" t="s">
        <v>3229</v>
      </c>
      <c r="V44" s="1974" t="s">
        <v>3229</v>
      </c>
      <c r="W44" s="1974" t="s">
        <v>3229</v>
      </c>
      <c r="X44" s="1974" t="s">
        <v>3229</v>
      </c>
      <c r="Y44" s="1974" t="s">
        <v>3229</v>
      </c>
      <c r="Z44" s="1974" t="s">
        <v>3229</v>
      </c>
      <c r="AA44" s="1974" t="s">
        <v>3229</v>
      </c>
      <c r="AB44" s="1974" t="s">
        <v>3229</v>
      </c>
      <c r="AC44" s="1974" t="s">
        <v>3229</v>
      </c>
      <c r="AD44" s="1974" t="s">
        <v>3229</v>
      </c>
      <c r="AE44" s="1974" t="s">
        <v>3229</v>
      </c>
      <c r="AF44" s="1963" t="str">
        <f>IF(S87="","-",IF(T44="",S87,MAX(IF(T44&gt;indexy!$B$1,S87,S87-S87),IF(U44&gt;indexy!$B$1,S87-1,S87-S87),IF(V44&gt;indexy!$B$1,S87-2,S87-S87),IF(W44&gt;indexy!$B$1,S87-3,S87-S87),IF(X44&gt;indexy!$B$1,S87-4,S87-S87),IF(Y44&gt;indexy!$B$1,S87-5,S87-S87),IF(Z44&gt;indexy!$B$1,S87-6,S87-S87),IF(AA44&gt;indexy!$B$1,S87-7,S87-S87),IF(AB44&gt;indexy!$B$1,S87-8,S87-S87),IF(AC44&gt;indexy!$B$1,S87-9,S87-S87),IF(AD44&gt;indexy!$B$1,S87-10,S87-S87),IF(AE44&gt;indexy!$B$1,S87-11,S87-S87))))</f>
        <v>-</v>
      </c>
      <c r="AG44" s="3663" t="s">
        <v>10636</v>
      </c>
      <c r="AH44" s="1976" t="s">
        <v>3229</v>
      </c>
      <c r="AI44" s="1976" t="s">
        <v>3229</v>
      </c>
      <c r="AJ44" s="1976" t="s">
        <v>3229</v>
      </c>
      <c r="AK44" s="1976" t="s">
        <v>3229</v>
      </c>
      <c r="AL44" s="1976" t="s">
        <v>3229</v>
      </c>
      <c r="AM44" s="1977">
        <v>1</v>
      </c>
      <c r="AN44" s="2349">
        <f>+'klikací hodnoty2'!F2236</f>
        <v>5.0826916666666618E-2</v>
      </c>
      <c r="AO44" s="1979">
        <v>1050.8</v>
      </c>
      <c r="AP44" s="2349">
        <f>+'klikací hodnoty2'!F2235</f>
        <v>5.0826916666666618E-2</v>
      </c>
      <c r="AQ44" s="2349">
        <f>+'klikací hodnoty2'!F2222</f>
        <v>4.6800000000000001E-2</v>
      </c>
      <c r="AR44" s="3665">
        <f>O44</f>
        <v>1</v>
      </c>
      <c r="AS44" s="3666">
        <f>POWER(1+AR44,1/((I44-F44)/365))-1</f>
        <v>0.1440490726550403</v>
      </c>
      <c r="AT44" s="3666"/>
      <c r="AU44" s="3662"/>
      <c r="AV44" s="1980">
        <v>5.0799999999999998E-2</v>
      </c>
      <c r="AW44" s="1981">
        <f>POWER(1+AV44,1/((I44-F44)/365))-1</f>
        <v>9.6668501918240057E-3</v>
      </c>
      <c r="AX44" s="3012"/>
      <c r="AY44" s="2097"/>
      <c r="AZ44" s="1983">
        <f>J44*(1+AV44)</f>
        <v>1050.8</v>
      </c>
      <c r="BB44" s="1973"/>
      <c r="BC44" s="2965"/>
      <c r="BD44" s="3431"/>
      <c r="BE44" s="3434"/>
      <c r="BF44" s="3434"/>
      <c r="BG44" s="3434"/>
      <c r="BH44" s="3431"/>
      <c r="BI44" s="1986"/>
      <c r="BJ44" s="1984"/>
      <c r="BK44" s="1984"/>
      <c r="BL44" s="1984"/>
      <c r="BM44" s="1984"/>
      <c r="BN44" s="1984"/>
      <c r="BO44" s="1984"/>
      <c r="BP44" s="1984"/>
      <c r="BQ44" s="1984"/>
      <c r="BR44" s="1984"/>
      <c r="BS44" s="1984"/>
      <c r="BT44" s="1984"/>
      <c r="BU44" s="1984"/>
      <c r="BV44" s="1984"/>
      <c r="BW44" s="1984"/>
      <c r="BX44" s="1984"/>
      <c r="BY44" s="1984"/>
      <c r="BZ44" s="1984"/>
      <c r="CA44" s="1984"/>
      <c r="CB44" s="1984"/>
      <c r="CC44" s="1984"/>
      <c r="CD44" s="1984"/>
      <c r="CE44" s="1984"/>
      <c r="CF44" s="1984"/>
      <c r="CG44" s="1984"/>
      <c r="CH44" s="1984"/>
      <c r="CI44" s="1984"/>
      <c r="CJ44" s="1984"/>
      <c r="CK44" s="1984"/>
      <c r="CL44" s="1984"/>
      <c r="CM44" s="1984"/>
      <c r="CN44" s="1984"/>
      <c r="CO44" s="1984"/>
      <c r="CP44" s="1984"/>
      <c r="CQ44" s="1984"/>
      <c r="CR44" s="1984"/>
      <c r="CS44" s="1984"/>
      <c r="CT44" s="1984"/>
      <c r="CU44" s="1984"/>
      <c r="CV44" s="1984"/>
      <c r="CW44" s="1984"/>
      <c r="CX44" s="1984"/>
      <c r="CY44" s="1984"/>
      <c r="CZ44" s="1984"/>
      <c r="DA44" s="1984"/>
      <c r="DB44" s="1984"/>
      <c r="DC44" s="1984"/>
      <c r="DD44" s="1984"/>
      <c r="DE44" s="1984"/>
      <c r="DF44" s="1984"/>
      <c r="DG44" s="1984"/>
      <c r="DH44" s="1984"/>
      <c r="DI44" s="1984"/>
      <c r="DJ44" s="1984"/>
      <c r="DK44" s="1984"/>
      <c r="DL44" s="1984"/>
      <c r="DM44" s="1984"/>
      <c r="DN44" s="1984"/>
      <c r="DO44" s="1984"/>
      <c r="DP44" s="1984"/>
      <c r="DQ44" s="1984"/>
      <c r="DR44" s="1984"/>
      <c r="DS44" s="1984"/>
      <c r="DT44" s="1984"/>
      <c r="DU44" s="1984"/>
      <c r="DV44" s="1984"/>
      <c r="DW44" s="1984"/>
      <c r="DX44" s="1984"/>
      <c r="DY44" s="1984"/>
      <c r="DZ44" s="1984"/>
      <c r="EA44" s="1984"/>
      <c r="EB44" s="1984"/>
      <c r="EC44" s="1984"/>
      <c r="ED44" s="1984"/>
      <c r="EE44" s="1984"/>
      <c r="EF44" s="1984"/>
      <c r="EG44" s="1984"/>
      <c r="EH44" s="1984"/>
      <c r="EI44" s="1984"/>
      <c r="EJ44" s="1984"/>
      <c r="EK44" s="1984"/>
      <c r="EL44" s="1984"/>
      <c r="EM44" s="1984"/>
      <c r="EN44" s="1984"/>
      <c r="EO44" s="1984"/>
      <c r="EP44" s="1984"/>
      <c r="EQ44" s="1984"/>
      <c r="ER44" s="1984"/>
      <c r="ES44" s="1984"/>
      <c r="ET44" s="1984"/>
      <c r="EU44" s="1984"/>
      <c r="EV44" s="1984"/>
      <c r="EW44" s="1984"/>
      <c r="EX44" s="1984"/>
      <c r="EY44" s="1984"/>
      <c r="EZ44" s="1984"/>
      <c r="FA44" s="1984"/>
      <c r="FB44" s="1984"/>
      <c r="FC44" s="1984"/>
      <c r="FD44" s="1984"/>
      <c r="FE44" s="1984"/>
      <c r="FF44" s="1984"/>
      <c r="FG44" s="1984"/>
      <c r="FH44" s="1984"/>
      <c r="FI44" s="1984"/>
      <c r="FJ44" s="1984"/>
      <c r="FK44" s="1984"/>
      <c r="FL44" s="1984"/>
      <c r="FM44" s="1984"/>
      <c r="FN44" s="1984"/>
      <c r="FO44" s="1984"/>
      <c r="FP44" s="1984"/>
      <c r="FQ44" s="1984"/>
      <c r="FR44" s="1984"/>
      <c r="FS44" s="1984"/>
      <c r="FT44" s="1984"/>
      <c r="FU44" s="1984"/>
      <c r="FV44" s="1984"/>
      <c r="FW44" s="1984"/>
      <c r="FX44" s="1984"/>
      <c r="FY44" s="1984"/>
      <c r="FZ44" s="1984"/>
      <c r="GA44" s="1984"/>
      <c r="GB44" s="1984"/>
      <c r="GC44" s="1984"/>
      <c r="GD44" s="1984"/>
      <c r="GE44" s="1984"/>
      <c r="GF44" s="1984"/>
      <c r="GG44" s="1984"/>
      <c r="GH44" s="1984"/>
      <c r="GI44" s="1984"/>
      <c r="GJ44" s="1984"/>
      <c r="GK44" s="1984"/>
      <c r="GL44" s="1984"/>
      <c r="GM44" s="1984"/>
      <c r="GN44" s="1984"/>
      <c r="GO44" s="1984"/>
      <c r="GP44" s="1984"/>
      <c r="GQ44" s="1984"/>
      <c r="GR44" s="1984"/>
      <c r="GS44" s="1984"/>
      <c r="GT44" s="1984"/>
      <c r="GU44" s="1984"/>
      <c r="GV44" s="1984"/>
      <c r="GW44" s="1984"/>
      <c r="GX44" s="1984"/>
      <c r="GY44" s="1984"/>
      <c r="GZ44" s="1984"/>
      <c r="HA44" s="1984"/>
      <c r="HB44" s="1984"/>
      <c r="HC44" s="1984"/>
      <c r="HD44" s="1984"/>
      <c r="HE44" s="1984"/>
      <c r="HF44" s="1984"/>
      <c r="HG44" s="1984"/>
      <c r="HH44" s="1984"/>
      <c r="HI44" s="1984"/>
      <c r="HJ44" s="1984"/>
      <c r="HK44" s="1984"/>
      <c r="HL44" s="1984"/>
      <c r="HM44" s="1984"/>
      <c r="HN44" s="1984"/>
      <c r="HO44" s="1984"/>
      <c r="HP44" s="1984"/>
      <c r="HQ44" s="1984"/>
      <c r="HR44" s="1984"/>
      <c r="HS44" s="1984"/>
      <c r="HT44" s="1984"/>
      <c r="HU44" s="1984"/>
      <c r="HV44" s="1984"/>
      <c r="HW44" s="1984"/>
      <c r="HX44" s="1984"/>
      <c r="HY44" s="1984"/>
      <c r="HZ44" s="1984"/>
      <c r="IA44" s="1984"/>
      <c r="IB44" s="1984"/>
      <c r="IC44" s="1984"/>
      <c r="ID44" s="1984"/>
      <c r="IE44" s="1984"/>
      <c r="IF44" s="1984"/>
      <c r="IG44" s="1984"/>
      <c r="IH44" s="1984"/>
      <c r="II44" s="1984"/>
      <c r="IJ44" s="1984"/>
      <c r="IK44" s="1984"/>
      <c r="IL44" s="1984"/>
      <c r="IM44" s="1984"/>
      <c r="IN44" s="1984"/>
      <c r="IO44" s="1984"/>
      <c r="IP44" s="1984"/>
      <c r="IQ44" s="1984"/>
      <c r="IR44" s="1984"/>
    </row>
    <row r="45" spans="1:252" s="1813" customFormat="1" ht="13.5" customHeight="1" x14ac:dyDescent="0.25">
      <c r="A45" s="1961" t="s">
        <v>9295</v>
      </c>
      <c r="B45" s="1962" t="s">
        <v>9295</v>
      </c>
      <c r="C45" s="1963" t="s">
        <v>9319</v>
      </c>
      <c r="D45" s="1964" t="s">
        <v>4384</v>
      </c>
      <c r="E45" s="1960" t="s">
        <v>1743</v>
      </c>
      <c r="F45" s="1965">
        <v>43287</v>
      </c>
      <c r="G45" s="1966">
        <v>43262</v>
      </c>
      <c r="H45" s="1965">
        <v>43280</v>
      </c>
      <c r="I45" s="1967">
        <v>45169</v>
      </c>
      <c r="J45" s="1989">
        <v>1000</v>
      </c>
      <c r="K45" s="1964" t="s">
        <v>3229</v>
      </c>
      <c r="L45" s="1968" t="s">
        <v>3229</v>
      </c>
      <c r="M45" s="1969">
        <v>0</v>
      </c>
      <c r="N45" s="1970">
        <v>1</v>
      </c>
      <c r="O45" s="1971">
        <v>1</v>
      </c>
      <c r="P45" s="3198" t="s">
        <v>3229</v>
      </c>
      <c r="Q45" s="3198" t="s">
        <v>3229</v>
      </c>
      <c r="R45" s="1972" t="s">
        <v>3229</v>
      </c>
      <c r="S45" s="1973"/>
      <c r="T45" s="1974" t="s">
        <v>3229</v>
      </c>
      <c r="U45" s="1974" t="s">
        <v>3229</v>
      </c>
      <c r="V45" s="1974" t="s">
        <v>3229</v>
      </c>
      <c r="W45" s="1974" t="s">
        <v>3229</v>
      </c>
      <c r="X45" s="1974" t="s">
        <v>3229</v>
      </c>
      <c r="Y45" s="1974" t="s">
        <v>3229</v>
      </c>
      <c r="Z45" s="1974" t="s">
        <v>3229</v>
      </c>
      <c r="AA45" s="1974" t="s">
        <v>3229</v>
      </c>
      <c r="AB45" s="1974" t="s">
        <v>3229</v>
      </c>
      <c r="AC45" s="1974" t="s">
        <v>3229</v>
      </c>
      <c r="AD45" s="1974" t="s">
        <v>3229</v>
      </c>
      <c r="AE45" s="1974" t="s">
        <v>3229</v>
      </c>
      <c r="AF45" s="1963" t="str">
        <f>IF(S88="","-",IF(T45="",S88,MAX(IF(T45&gt;indexy!$B$1,S88,S88-S88),IF(U45&gt;indexy!$B$1,S88-1,S88-S88),IF(V45&gt;indexy!$B$1,S88-2,S88-S88),IF(W45&gt;indexy!$B$1,S88-3,S88-S88),IF(X45&gt;indexy!$B$1,S88-4,S88-S88),IF(Y45&gt;indexy!$B$1,S88-5,S88-S88),IF(Z45&gt;indexy!$B$1,S88-6,S88-S88),IF(AA45&gt;indexy!$B$1,S88-7,S88-S88),IF(AB45&gt;indexy!$B$1,S88-8,S88-S88),IF(AC45&gt;indexy!$B$1,S88-9,S88-S88),IF(AD45&gt;indexy!$B$1,S88-10,S88-S88),IF(AE45&gt;indexy!$B$1,S88-11,S88-S88))))</f>
        <v>-</v>
      </c>
      <c r="AG45" s="3695" t="s">
        <v>10636</v>
      </c>
      <c r="AH45" s="1976" t="s">
        <v>3229</v>
      </c>
      <c r="AI45" s="1976" t="s">
        <v>3229</v>
      </c>
      <c r="AJ45" s="1976" t="s">
        <v>3229</v>
      </c>
      <c r="AK45" s="1976" t="s">
        <v>3229</v>
      </c>
      <c r="AL45" s="1976" t="s">
        <v>3229</v>
      </c>
      <c r="AM45" s="1977">
        <v>1</v>
      </c>
      <c r="AN45" s="2349">
        <f>+'klikací hodnoty2'!F2283</f>
        <v>5.4278249999999986E-2</v>
      </c>
      <c r="AO45" s="1979">
        <v>1054.3</v>
      </c>
      <c r="AP45" s="2349">
        <f>+'klikací hodnoty2'!F2282</f>
        <v>5.4278249999999986E-2</v>
      </c>
      <c r="AQ45" s="2349">
        <f>+'klikací hodnoty2'!F2269</f>
        <v>3.7600000000000001E-2</v>
      </c>
      <c r="AR45" s="3696">
        <f>O45</f>
        <v>1</v>
      </c>
      <c r="AS45" s="3697">
        <f>POWER(1+AR45,1/((I45-F45)/365))-1</f>
        <v>0.14388547222080894</v>
      </c>
      <c r="AT45" s="3697"/>
      <c r="AU45" s="3694"/>
      <c r="AV45" s="1980">
        <f>M45</f>
        <v>0</v>
      </c>
      <c r="AW45" s="1981">
        <f>POWER(1+AV45,1/((I45-F45)/365))-1</f>
        <v>0</v>
      </c>
      <c r="AX45" s="3012"/>
      <c r="AY45" s="2097"/>
      <c r="AZ45" s="1983">
        <f>J45*(1+AV45)</f>
        <v>1000</v>
      </c>
      <c r="BB45" s="1973"/>
      <c r="BC45" s="2965"/>
      <c r="BD45" s="3431"/>
      <c r="BE45" s="3434"/>
      <c r="BF45" s="3434"/>
      <c r="BG45" s="3434"/>
      <c r="BH45" s="3431"/>
      <c r="BI45" s="1986"/>
      <c r="BJ45" s="1984"/>
      <c r="BK45" s="1984"/>
      <c r="BL45" s="1984"/>
      <c r="BM45" s="1984"/>
      <c r="BN45" s="1984"/>
      <c r="BO45" s="1984"/>
      <c r="BP45" s="1984"/>
      <c r="BQ45" s="1984"/>
      <c r="BR45" s="1984"/>
      <c r="BS45" s="1984"/>
      <c r="BT45" s="1984"/>
      <c r="BU45" s="1984"/>
      <c r="BV45" s="1984"/>
      <c r="BW45" s="1984"/>
      <c r="BX45" s="1984"/>
      <c r="BY45" s="1984"/>
      <c r="BZ45" s="1984"/>
      <c r="CA45" s="1984"/>
      <c r="CB45" s="1984"/>
      <c r="CC45" s="1984"/>
      <c r="CD45" s="1984"/>
      <c r="CE45" s="1984"/>
      <c r="CF45" s="1984"/>
      <c r="CG45" s="1984"/>
      <c r="CH45" s="1984"/>
      <c r="CI45" s="1984"/>
      <c r="CJ45" s="1984"/>
      <c r="CK45" s="1984"/>
      <c r="CL45" s="1984"/>
      <c r="CM45" s="1984"/>
      <c r="CN45" s="1984"/>
      <c r="CO45" s="1984"/>
      <c r="CP45" s="1984"/>
      <c r="CQ45" s="1984"/>
      <c r="CR45" s="1984"/>
      <c r="CS45" s="1984"/>
      <c r="CT45" s="1984"/>
      <c r="CU45" s="1984"/>
      <c r="CV45" s="1984"/>
      <c r="CW45" s="1984"/>
      <c r="CX45" s="1984"/>
      <c r="CY45" s="1984"/>
      <c r="CZ45" s="1984"/>
      <c r="DA45" s="1984"/>
      <c r="DB45" s="1984"/>
      <c r="DC45" s="1984"/>
      <c r="DD45" s="1984"/>
      <c r="DE45" s="1984"/>
      <c r="DF45" s="1984"/>
      <c r="DG45" s="1984"/>
      <c r="DH45" s="1984"/>
      <c r="DI45" s="1984"/>
      <c r="DJ45" s="1984"/>
      <c r="DK45" s="1984"/>
      <c r="DL45" s="1984"/>
      <c r="DM45" s="1984"/>
      <c r="DN45" s="1984"/>
      <c r="DO45" s="1984"/>
      <c r="DP45" s="1984"/>
      <c r="DQ45" s="1984"/>
      <c r="DR45" s="1984"/>
      <c r="DS45" s="1984"/>
      <c r="DT45" s="1984"/>
      <c r="DU45" s="1984"/>
      <c r="DV45" s="1984"/>
      <c r="DW45" s="1984"/>
      <c r="DX45" s="1984"/>
      <c r="DY45" s="1984"/>
      <c r="DZ45" s="1984"/>
      <c r="EA45" s="1984"/>
      <c r="EB45" s="1984"/>
      <c r="EC45" s="1984"/>
      <c r="ED45" s="1984"/>
      <c r="EE45" s="1984"/>
      <c r="EF45" s="1984"/>
      <c r="EG45" s="1984"/>
      <c r="EH45" s="1984"/>
      <c r="EI45" s="1984"/>
      <c r="EJ45" s="1984"/>
      <c r="EK45" s="1984"/>
      <c r="EL45" s="1984"/>
      <c r="EM45" s="1984"/>
      <c r="EN45" s="1984"/>
      <c r="EO45" s="1984"/>
      <c r="EP45" s="1984"/>
      <c r="EQ45" s="1984"/>
      <c r="ER45" s="1984"/>
      <c r="ES45" s="1984"/>
      <c r="ET45" s="1984"/>
      <c r="EU45" s="1984"/>
      <c r="EV45" s="1984"/>
      <c r="EW45" s="1984"/>
      <c r="EX45" s="1984"/>
      <c r="EY45" s="1984"/>
      <c r="EZ45" s="1984"/>
      <c r="FA45" s="1984"/>
      <c r="FB45" s="1984"/>
      <c r="FC45" s="1984"/>
      <c r="FD45" s="1984"/>
      <c r="FE45" s="1984"/>
      <c r="FF45" s="1984"/>
      <c r="FG45" s="1984"/>
      <c r="FH45" s="1984"/>
      <c r="FI45" s="1984"/>
      <c r="FJ45" s="1984"/>
      <c r="FK45" s="1984"/>
      <c r="FL45" s="1984"/>
      <c r="FM45" s="1984"/>
      <c r="FN45" s="1984"/>
      <c r="FO45" s="1984"/>
      <c r="FP45" s="1984"/>
      <c r="FQ45" s="1984"/>
      <c r="FR45" s="1984"/>
      <c r="FS45" s="1984"/>
      <c r="FT45" s="1984"/>
      <c r="FU45" s="1984"/>
      <c r="FV45" s="1984"/>
      <c r="FW45" s="1984"/>
      <c r="FX45" s="1984"/>
      <c r="FY45" s="1984"/>
      <c r="FZ45" s="1984"/>
      <c r="GA45" s="1984"/>
      <c r="GB45" s="1984"/>
      <c r="GC45" s="1984"/>
      <c r="GD45" s="1984"/>
      <c r="GE45" s="1984"/>
      <c r="GF45" s="1984"/>
      <c r="GG45" s="1984"/>
      <c r="GH45" s="1984"/>
      <c r="GI45" s="1984"/>
      <c r="GJ45" s="1984"/>
      <c r="GK45" s="1984"/>
      <c r="GL45" s="1984"/>
      <c r="GM45" s="1984"/>
      <c r="GN45" s="1984"/>
      <c r="GO45" s="1984"/>
      <c r="GP45" s="1984"/>
      <c r="GQ45" s="1984"/>
      <c r="GR45" s="1984"/>
      <c r="GS45" s="1984"/>
      <c r="GT45" s="1984"/>
      <c r="GU45" s="1984"/>
      <c r="GV45" s="1984"/>
      <c r="GW45" s="1984"/>
      <c r="GX45" s="1984"/>
      <c r="GY45" s="1984"/>
      <c r="GZ45" s="1984"/>
      <c r="HA45" s="1984"/>
      <c r="HB45" s="1984"/>
      <c r="HC45" s="1984"/>
      <c r="HD45" s="1984"/>
      <c r="HE45" s="1984"/>
      <c r="HF45" s="1984"/>
      <c r="HG45" s="1984"/>
      <c r="HH45" s="1984"/>
      <c r="HI45" s="1984"/>
      <c r="HJ45" s="1984"/>
      <c r="HK45" s="1984"/>
      <c r="HL45" s="1984"/>
      <c r="HM45" s="1984"/>
      <c r="HN45" s="1984"/>
      <c r="HO45" s="1984"/>
      <c r="HP45" s="1984"/>
      <c r="HQ45" s="1984"/>
      <c r="HR45" s="1984"/>
      <c r="HS45" s="1984"/>
      <c r="HT45" s="1984"/>
      <c r="HU45" s="1984"/>
      <c r="HV45" s="1984"/>
      <c r="HW45" s="1984"/>
      <c r="HX45" s="1984"/>
      <c r="HY45" s="1984"/>
      <c r="HZ45" s="1984"/>
      <c r="IA45" s="1984"/>
      <c r="IB45" s="1984"/>
      <c r="IC45" s="1984"/>
      <c r="ID45" s="1984"/>
      <c r="IE45" s="1984"/>
      <c r="IF45" s="1984"/>
      <c r="IG45" s="1984"/>
      <c r="IH45" s="1984"/>
      <c r="II45" s="1984"/>
      <c r="IJ45" s="1984"/>
      <c r="IK45" s="1984"/>
      <c r="IL45" s="1984"/>
      <c r="IM45" s="1984"/>
      <c r="IN45" s="1984"/>
      <c r="IO45" s="1984"/>
      <c r="IP45" s="1984"/>
      <c r="IQ45" s="1984"/>
      <c r="IR45" s="1984"/>
    </row>
    <row r="46" spans="1:252" s="415" customFormat="1" ht="12.75" customHeight="1" x14ac:dyDescent="0.25">
      <c r="A46" s="1715" t="s">
        <v>8858</v>
      </c>
      <c r="B46" s="1730" t="s">
        <v>8858</v>
      </c>
      <c r="C46" s="621" t="s">
        <v>8859</v>
      </c>
      <c r="D46" s="46" t="s">
        <v>1872</v>
      </c>
      <c r="E46" s="52" t="s">
        <v>1743</v>
      </c>
      <c r="F46" s="49">
        <v>43014</v>
      </c>
      <c r="G46" s="57">
        <v>42996</v>
      </c>
      <c r="H46" s="49">
        <v>43007</v>
      </c>
      <c r="I46" s="1706">
        <v>45688</v>
      </c>
      <c r="J46" s="103">
        <v>1000</v>
      </c>
      <c r="K46" s="46" t="s">
        <v>3229</v>
      </c>
      <c r="L46" s="50" t="s">
        <v>3229</v>
      </c>
      <c r="M46" s="54">
        <v>0</v>
      </c>
      <c r="N46" s="1680">
        <v>1</v>
      </c>
      <c r="O46" s="1707">
        <v>0.7</v>
      </c>
      <c r="P46" s="89" t="s">
        <v>3229</v>
      </c>
      <c r="Q46" s="89">
        <v>0.2</v>
      </c>
      <c r="R46" s="620" t="s">
        <v>3229</v>
      </c>
      <c r="S46" s="619"/>
      <c r="T46" s="196" t="s">
        <v>3229</v>
      </c>
      <c r="U46" s="196" t="s">
        <v>3229</v>
      </c>
      <c r="V46" s="196" t="s">
        <v>3229</v>
      </c>
      <c r="W46" s="196" t="s">
        <v>3229</v>
      </c>
      <c r="X46" s="196" t="s">
        <v>3229</v>
      </c>
      <c r="Y46" s="196" t="s">
        <v>3229</v>
      </c>
      <c r="Z46" s="196" t="s">
        <v>3229</v>
      </c>
      <c r="AA46" s="196" t="s">
        <v>3229</v>
      </c>
      <c r="AB46" s="196" t="s">
        <v>3229</v>
      </c>
      <c r="AC46" s="196" t="s">
        <v>3229</v>
      </c>
      <c r="AD46" s="196" t="s">
        <v>3229</v>
      </c>
      <c r="AE46" s="196" t="s">
        <v>3229</v>
      </c>
      <c r="AF46" s="621" t="str">
        <f>IF(S46="","-",IF(T46="",S46,MAX(IF(T46&gt;indexy!$B$1,S46,S46-S46),IF(U46&gt;indexy!$B$1,S46-1,S46-S46),IF(V46&gt;indexy!$B$1,S46-2,S46-S46),IF(W46&gt;indexy!$B$1,S46-3,S46-S46),IF(X46&gt;indexy!$B$1,S46-4,S46-S46),IF(Y46&gt;indexy!$B$1,S46-5,S46-S46),IF(Z46&gt;indexy!$B$1,S46-6,S46-S46),IF(AA46&gt;indexy!$B$1,S46-7,S46-S46),IF(AB46&gt;indexy!$B$1,S46-8,S46-S46),IF(AC46&gt;indexy!$B$1,S46-9,S46-S46),IF(AD46&gt;indexy!$B$1,S46-10,S46-S46),IF(AE46&gt;indexy!$B$1,S46-11,S46-S46))))</f>
        <v>-</v>
      </c>
      <c r="AG46" s="55">
        <f>(I46-indexy!$B$1)/365</f>
        <v>0.84657534246575339</v>
      </c>
      <c r="AH46" s="687" t="s">
        <v>3229</v>
      </c>
      <c r="AI46" s="687" t="s">
        <v>3229</v>
      </c>
      <c r="AJ46" s="687" t="s">
        <v>3229</v>
      </c>
      <c r="AK46" s="687" t="s">
        <v>3229</v>
      </c>
      <c r="AL46" s="687" t="s">
        <v>3229</v>
      </c>
      <c r="AM46" s="126">
        <v>1</v>
      </c>
      <c r="AN46" s="685">
        <f>+'klikací hodnoty2'!F1810</f>
        <v>1.08501716504376E-2</v>
      </c>
      <c r="AO46" s="317">
        <v>965.15</v>
      </c>
      <c r="AP46" s="685">
        <f>+'klikací hodnoty2'!F1809</f>
        <v>-5.4250858252187999E-2</v>
      </c>
      <c r="AQ46" s="685">
        <f>+'klikací hodnoty2'!F1796</f>
        <v>-5.4250858252187985E-2</v>
      </c>
      <c r="AR46" s="197">
        <f t="shared" si="32"/>
        <v>0.7</v>
      </c>
      <c r="AS46" s="56">
        <f t="shared" si="33"/>
        <v>7.5118144960986566E-2</v>
      </c>
      <c r="AT46" s="56"/>
      <c r="AU46" s="56"/>
      <c r="AV46" s="127">
        <f t="shared" si="34"/>
        <v>0</v>
      </c>
      <c r="AW46" s="45">
        <f t="shared" si="35"/>
        <v>0</v>
      </c>
      <c r="AX46" s="171"/>
      <c r="AY46" s="136"/>
      <c r="AZ46" s="210">
        <f t="shared" si="31"/>
        <v>1000</v>
      </c>
      <c r="BA46" s="12"/>
      <c r="BB46" s="619"/>
      <c r="BC46" s="138"/>
      <c r="BD46" s="3430"/>
      <c r="BE46" s="3435"/>
      <c r="BF46" s="3435"/>
      <c r="BG46" s="3435"/>
      <c r="BH46" s="3430"/>
      <c r="BI46" s="209"/>
    </row>
    <row r="47" spans="1:252" s="415" customFormat="1" ht="12.75" customHeight="1" x14ac:dyDescent="0.25">
      <c r="A47" s="1715" t="s">
        <v>8912</v>
      </c>
      <c r="B47" s="1730" t="s">
        <v>8912</v>
      </c>
      <c r="C47" s="621" t="s">
        <v>9088</v>
      </c>
      <c r="D47" s="46" t="s">
        <v>1872</v>
      </c>
      <c r="E47" s="52" t="s">
        <v>1743</v>
      </c>
      <c r="F47" s="49">
        <v>43047</v>
      </c>
      <c r="G47" s="57">
        <v>43024</v>
      </c>
      <c r="H47" s="49">
        <v>43035</v>
      </c>
      <c r="I47" s="1706">
        <v>45716</v>
      </c>
      <c r="J47" s="103">
        <v>1000</v>
      </c>
      <c r="K47" s="46" t="s">
        <v>3229</v>
      </c>
      <c r="L47" s="50" t="s">
        <v>3229</v>
      </c>
      <c r="M47" s="54">
        <v>0</v>
      </c>
      <c r="N47" s="1680">
        <v>1</v>
      </c>
      <c r="O47" s="1707">
        <v>1</v>
      </c>
      <c r="P47" s="89" t="s">
        <v>3229</v>
      </c>
      <c r="Q47" s="89">
        <v>0.2</v>
      </c>
      <c r="R47" s="620" t="s">
        <v>3229</v>
      </c>
      <c r="S47" s="619"/>
      <c r="T47" s="196" t="s">
        <v>3229</v>
      </c>
      <c r="U47" s="196" t="s">
        <v>3229</v>
      </c>
      <c r="V47" s="196" t="s">
        <v>3229</v>
      </c>
      <c r="W47" s="196" t="s">
        <v>3229</v>
      </c>
      <c r="X47" s="196" t="s">
        <v>3229</v>
      </c>
      <c r="Y47" s="196" t="s">
        <v>3229</v>
      </c>
      <c r="Z47" s="196" t="s">
        <v>3229</v>
      </c>
      <c r="AA47" s="196" t="s">
        <v>3229</v>
      </c>
      <c r="AB47" s="196" t="s">
        <v>3229</v>
      </c>
      <c r="AC47" s="196" t="s">
        <v>3229</v>
      </c>
      <c r="AD47" s="196" t="s">
        <v>3229</v>
      </c>
      <c r="AE47" s="196" t="s">
        <v>3229</v>
      </c>
      <c r="AF47" s="621" t="str">
        <f>IF(S47="","-",IF(T47="",S47,MAX(IF(T47&gt;indexy!$B$1,S47,S47-S47),IF(U47&gt;indexy!$B$1,S47-1,S47-S47),IF(V47&gt;indexy!$B$1,S47-2,S47-S47),IF(W47&gt;indexy!$B$1,S47-3,S47-S47),IF(X47&gt;indexy!$B$1,S47-4,S47-S47),IF(Y47&gt;indexy!$B$1,S47-5,S47-S47),IF(Z47&gt;indexy!$B$1,S47-6,S47-S47),IF(AA47&gt;indexy!$B$1,S47-7,S47-S47),IF(AB47&gt;indexy!$B$1,S47-8,S47-S47),IF(AC47&gt;indexy!$B$1,S47-9,S47-S47),IF(AD47&gt;indexy!$B$1,S47-10,S47-S47),IF(AE47&gt;indexy!$B$1,S47-11,S47-S47))))</f>
        <v>-</v>
      </c>
      <c r="AG47" s="55">
        <f>(I47-indexy!$B$1)/365</f>
        <v>0.92328767123287669</v>
      </c>
      <c r="AH47" s="687" t="s">
        <v>3229</v>
      </c>
      <c r="AI47" s="687" t="s">
        <v>3229</v>
      </c>
      <c r="AJ47" s="687" t="s">
        <v>3229</v>
      </c>
      <c r="AK47" s="687" t="s">
        <v>3229</v>
      </c>
      <c r="AL47" s="687" t="s">
        <v>3229</v>
      </c>
      <c r="AM47" s="126">
        <v>1</v>
      </c>
      <c r="AN47" s="685">
        <f>+'klikací hodnoty2'!F1857</f>
        <v>2.3897216481522389E-3</v>
      </c>
      <c r="AO47" s="317">
        <v>975.88</v>
      </c>
      <c r="AP47" s="685">
        <f>+'klikací hodnoty2'!F1856</f>
        <v>-1.1948608240761193E-2</v>
      </c>
      <c r="AQ47" s="685">
        <f>+'klikací hodnoty2'!F1843</f>
        <v>-1.1948608240761195E-2</v>
      </c>
      <c r="AR47" s="197">
        <f t="shared" si="32"/>
        <v>1</v>
      </c>
      <c r="AS47" s="56">
        <f t="shared" si="33"/>
        <v>9.9429685590660899E-2</v>
      </c>
      <c r="AT47" s="56"/>
      <c r="AU47" s="56"/>
      <c r="AV47" s="127">
        <f t="shared" si="34"/>
        <v>0</v>
      </c>
      <c r="AW47" s="45">
        <f t="shared" si="35"/>
        <v>0</v>
      </c>
      <c r="AX47" s="171"/>
      <c r="AY47" s="136"/>
      <c r="AZ47" s="210">
        <f t="shared" ref="AZ47:AZ52" si="36">J47*(1+AV47)</f>
        <v>1000</v>
      </c>
      <c r="BA47" s="12"/>
      <c r="BB47" s="619"/>
      <c r="BC47" s="138"/>
      <c r="BD47" s="3430"/>
      <c r="BE47" s="3435"/>
      <c r="BF47" s="3435"/>
      <c r="BG47" s="3435"/>
      <c r="BH47" s="3430"/>
      <c r="BI47" s="209"/>
    </row>
    <row r="48" spans="1:252" s="415" customFormat="1" x14ac:dyDescent="0.25">
      <c r="A48" s="1715" t="s">
        <v>8913</v>
      </c>
      <c r="B48" s="1730" t="s">
        <v>8913</v>
      </c>
      <c r="C48" s="52" t="s">
        <v>9089</v>
      </c>
      <c r="D48" s="46" t="s">
        <v>1872</v>
      </c>
      <c r="E48" s="52" t="s">
        <v>1743</v>
      </c>
      <c r="F48" s="49">
        <v>43076</v>
      </c>
      <c r="G48" s="57">
        <v>43052</v>
      </c>
      <c r="H48" s="49">
        <v>43070</v>
      </c>
      <c r="I48" s="1706">
        <v>45747</v>
      </c>
      <c r="J48" s="103">
        <v>1000</v>
      </c>
      <c r="K48" s="46" t="s">
        <v>3229</v>
      </c>
      <c r="L48" s="50" t="s">
        <v>3229</v>
      </c>
      <c r="M48" s="54">
        <v>0</v>
      </c>
      <c r="N48" s="1680">
        <v>1</v>
      </c>
      <c r="O48" s="1707">
        <v>1</v>
      </c>
      <c r="P48" s="89" t="s">
        <v>3229</v>
      </c>
      <c r="Q48" s="89">
        <v>0.2</v>
      </c>
      <c r="R48" s="620" t="s">
        <v>3229</v>
      </c>
      <c r="S48" s="619"/>
      <c r="T48" s="196" t="s">
        <v>3229</v>
      </c>
      <c r="U48" s="196" t="s">
        <v>3229</v>
      </c>
      <c r="V48" s="196" t="s">
        <v>3229</v>
      </c>
      <c r="W48" s="196" t="s">
        <v>3229</v>
      </c>
      <c r="X48" s="196" t="s">
        <v>3229</v>
      </c>
      <c r="Y48" s="196" t="s">
        <v>3229</v>
      </c>
      <c r="Z48" s="196" t="s">
        <v>3229</v>
      </c>
      <c r="AA48" s="196" t="s">
        <v>3229</v>
      </c>
      <c r="AB48" s="196" t="s">
        <v>3229</v>
      </c>
      <c r="AC48" s="196" t="s">
        <v>3229</v>
      </c>
      <c r="AD48" s="196" t="s">
        <v>3229</v>
      </c>
      <c r="AE48" s="196" t="s">
        <v>3229</v>
      </c>
      <c r="AF48" s="621" t="str">
        <f>IF(S49="","-",IF(T48="",S49,MAX(IF(T48&gt;indexy!$B$1,S49,S49-S49),IF(U48&gt;indexy!$B$1,S49-1,S49-S49),IF(V48&gt;indexy!$B$1,S49-2,S49-S49),IF(W48&gt;indexy!$B$1,S49-3,S49-S49),IF(X48&gt;indexy!$B$1,S49-4,S49-S49),IF(Y48&gt;indexy!$B$1,S49-5,S49-S49),IF(Z48&gt;indexy!$B$1,S49-6,S49-S49),IF(AA48&gt;indexy!$B$1,S49-7,S49-S49),IF(AB48&gt;indexy!$B$1,S49-8,S49-S49),IF(AC48&gt;indexy!$B$1,S49-9,S49-S49),IF(AD48&gt;indexy!$B$1,S49-10,S49-S49),IF(AE48&gt;indexy!$B$1,S49-11,S49-S49))))</f>
        <v>-</v>
      </c>
      <c r="AG48" s="55">
        <f>(I48-indexy!$B$1)/365</f>
        <v>1.0082191780821919</v>
      </c>
      <c r="AH48" s="687" t="s">
        <v>3229</v>
      </c>
      <c r="AI48" s="687" t="s">
        <v>3229</v>
      </c>
      <c r="AJ48" s="687" t="s">
        <v>3229</v>
      </c>
      <c r="AK48" s="687" t="s">
        <v>3229</v>
      </c>
      <c r="AL48" s="687" t="s">
        <v>3229</v>
      </c>
      <c r="AM48" s="126">
        <v>1</v>
      </c>
      <c r="AN48" s="685">
        <f>+'klikací hodnoty2'!F1904</f>
        <v>3.2899518978743436E-3</v>
      </c>
      <c r="AO48" s="317">
        <v>978.33</v>
      </c>
      <c r="AP48" s="685">
        <f>+'klikací hodnoty2'!F1903</f>
        <v>3.2899518978743436E-3</v>
      </c>
      <c r="AQ48" s="685">
        <f>+'klikací hodnoty2'!F1890</f>
        <v>3.2899518978743436E-3</v>
      </c>
      <c r="AR48" s="197">
        <f>O48</f>
        <v>1</v>
      </c>
      <c r="AS48" s="56">
        <f>POWER(1+AR48,1/((I48-F48)/365))-1</f>
        <v>9.9351652662168943E-2</v>
      </c>
      <c r="AT48" s="56"/>
      <c r="AU48" s="56"/>
      <c r="AV48" s="127">
        <f t="shared" si="34"/>
        <v>0</v>
      </c>
      <c r="AW48" s="45">
        <f t="shared" si="35"/>
        <v>0</v>
      </c>
      <c r="AX48" s="171"/>
      <c r="AY48" s="136"/>
      <c r="AZ48" s="210">
        <f t="shared" si="36"/>
        <v>1000</v>
      </c>
      <c r="BA48" s="12"/>
      <c r="BB48" s="619"/>
      <c r="BC48" s="138"/>
      <c r="BD48" s="3430"/>
      <c r="BE48" s="3435"/>
      <c r="BF48" s="3435"/>
      <c r="BG48" s="3435"/>
      <c r="BH48" s="3430"/>
      <c r="BI48" s="209"/>
    </row>
    <row r="49" spans="1:61" s="415" customFormat="1" x14ac:dyDescent="0.25">
      <c r="A49" s="1715" t="s">
        <v>9008</v>
      </c>
      <c r="B49" s="1730" t="s">
        <v>9008</v>
      </c>
      <c r="C49" s="52" t="s">
        <v>9090</v>
      </c>
      <c r="D49" s="46" t="s">
        <v>4384</v>
      </c>
      <c r="E49" s="52" t="s">
        <v>1743</v>
      </c>
      <c r="F49" s="49">
        <v>43108</v>
      </c>
      <c r="G49" s="57">
        <v>43081</v>
      </c>
      <c r="H49" s="49">
        <v>43098</v>
      </c>
      <c r="I49" s="1706">
        <v>45777</v>
      </c>
      <c r="J49" s="103">
        <v>1000</v>
      </c>
      <c r="K49" s="46" t="s">
        <v>3229</v>
      </c>
      <c r="L49" s="50" t="s">
        <v>3229</v>
      </c>
      <c r="M49" s="54">
        <v>0</v>
      </c>
      <c r="N49" s="1680">
        <v>1</v>
      </c>
      <c r="O49" s="1707">
        <v>1</v>
      </c>
      <c r="P49" s="89" t="s">
        <v>3229</v>
      </c>
      <c r="Q49" s="89">
        <v>0.2</v>
      </c>
      <c r="R49" s="620" t="s">
        <v>3229</v>
      </c>
      <c r="S49" s="619"/>
      <c r="T49" s="196" t="s">
        <v>3229</v>
      </c>
      <c r="U49" s="196" t="s">
        <v>3229</v>
      </c>
      <c r="V49" s="196" t="s">
        <v>3229</v>
      </c>
      <c r="W49" s="196" t="s">
        <v>3229</v>
      </c>
      <c r="X49" s="196" t="s">
        <v>3229</v>
      </c>
      <c r="Y49" s="196" t="s">
        <v>3229</v>
      </c>
      <c r="Z49" s="196" t="s">
        <v>3229</v>
      </c>
      <c r="AA49" s="196" t="s">
        <v>3229</v>
      </c>
      <c r="AB49" s="196" t="s">
        <v>3229</v>
      </c>
      <c r="AC49" s="196" t="s">
        <v>3229</v>
      </c>
      <c r="AD49" s="196" t="s">
        <v>3229</v>
      </c>
      <c r="AE49" s="196" t="s">
        <v>3229</v>
      </c>
      <c r="AF49" s="621" t="str">
        <f>IF(S50="","-",IF(T49="",S50,MAX(IF(T49&gt;indexy!$B$1,S50,S50-S50),IF(U49&gt;indexy!$B$1,S50-1,S50-S50),IF(V49&gt;indexy!$B$1,S50-2,S50-S50),IF(W49&gt;indexy!$B$1,S50-3,S50-S50),IF(X49&gt;indexy!$B$1,S50-4,S50-S50),IF(Y49&gt;indexy!$B$1,S50-5,S50-S50),IF(Z49&gt;indexy!$B$1,S50-6,S50-S50),IF(AA49&gt;indexy!$B$1,S50-7,S50-S50),IF(AB49&gt;indexy!$B$1,S50-8,S50-S50),IF(AC49&gt;indexy!$B$1,S50-9,S50-S50),IF(AD49&gt;indexy!$B$1,S50-10,S50-S50),IF(AE49&gt;indexy!$B$1,S50-11,S50-S50))))</f>
        <v>-</v>
      </c>
      <c r="AG49" s="55">
        <f>(I49-indexy!$B$1)/365</f>
        <v>1.0904109589041096</v>
      </c>
      <c r="AH49" s="687" t="s">
        <v>3229</v>
      </c>
      <c r="AI49" s="687" t="s">
        <v>3229</v>
      </c>
      <c r="AJ49" s="687" t="s">
        <v>3229</v>
      </c>
      <c r="AK49" s="687" t="s">
        <v>3229</v>
      </c>
      <c r="AL49" s="687" t="s">
        <v>3229</v>
      </c>
      <c r="AM49" s="126">
        <v>1</v>
      </c>
      <c r="AN49" s="685">
        <f>+'klikací hodnoty2'!F1951</f>
        <v>2.7721514577246417E-3</v>
      </c>
      <c r="AO49" s="317">
        <v>970.38</v>
      </c>
      <c r="AP49" s="685">
        <f>+'klikací hodnoty2'!F1950</f>
        <v>-1.3860757288623208E-2</v>
      </c>
      <c r="AQ49" s="685">
        <f>+'klikací hodnoty2'!F1937</f>
        <v>-1.3860757288623203E-2</v>
      </c>
      <c r="AR49" s="197">
        <f>O49</f>
        <v>1</v>
      </c>
      <c r="AS49" s="56">
        <f>POWER(1+AR49,1/((I49-F49)/365))-1</f>
        <v>9.9429685590660899E-2</v>
      </c>
      <c r="AT49" s="56"/>
      <c r="AU49" s="56"/>
      <c r="AV49" s="127">
        <f t="shared" si="34"/>
        <v>0</v>
      </c>
      <c r="AW49" s="45">
        <f t="shared" si="35"/>
        <v>0</v>
      </c>
      <c r="AX49" s="171"/>
      <c r="AY49" s="136"/>
      <c r="AZ49" s="210">
        <f t="shared" si="36"/>
        <v>1000</v>
      </c>
      <c r="BA49" s="12"/>
      <c r="BB49" s="619"/>
      <c r="BC49" s="138"/>
      <c r="BD49" s="3430"/>
      <c r="BE49" s="3435"/>
      <c r="BF49" s="3435"/>
      <c r="BG49" s="3435"/>
      <c r="BH49" s="3430"/>
      <c r="BI49" s="209"/>
    </row>
    <row r="50" spans="1:61" s="415" customFormat="1" x14ac:dyDescent="0.25">
      <c r="A50" s="1715" t="s">
        <v>9009</v>
      </c>
      <c r="B50" s="1730" t="s">
        <v>9009</v>
      </c>
      <c r="C50" s="52" t="s">
        <v>9136</v>
      </c>
      <c r="D50" s="46" t="s">
        <v>1872</v>
      </c>
      <c r="E50" s="52" t="s">
        <v>1743</v>
      </c>
      <c r="F50" s="49">
        <v>43138</v>
      </c>
      <c r="G50" s="57">
        <v>43116</v>
      </c>
      <c r="H50" s="49">
        <v>43126</v>
      </c>
      <c r="I50" s="1706">
        <v>45807</v>
      </c>
      <c r="J50" s="103">
        <v>1000</v>
      </c>
      <c r="K50" s="46" t="s">
        <v>3229</v>
      </c>
      <c r="L50" s="50" t="s">
        <v>3229</v>
      </c>
      <c r="M50" s="54">
        <v>0</v>
      </c>
      <c r="N50" s="1680">
        <v>1</v>
      </c>
      <c r="O50" s="1707">
        <v>1</v>
      </c>
      <c r="P50" s="89" t="s">
        <v>3229</v>
      </c>
      <c r="Q50" s="89">
        <v>0.2</v>
      </c>
      <c r="R50" s="620" t="s">
        <v>3229</v>
      </c>
      <c r="S50" s="619"/>
      <c r="T50" s="196" t="s">
        <v>3229</v>
      </c>
      <c r="U50" s="196" t="s">
        <v>3229</v>
      </c>
      <c r="V50" s="196" t="s">
        <v>3229</v>
      </c>
      <c r="W50" s="196" t="s">
        <v>3229</v>
      </c>
      <c r="X50" s="196" t="s">
        <v>3229</v>
      </c>
      <c r="Y50" s="196" t="s">
        <v>3229</v>
      </c>
      <c r="Z50" s="196" t="s">
        <v>3229</v>
      </c>
      <c r="AA50" s="196" t="s">
        <v>3229</v>
      </c>
      <c r="AB50" s="196" t="s">
        <v>3229</v>
      </c>
      <c r="AC50" s="196" t="s">
        <v>3229</v>
      </c>
      <c r="AD50" s="196" t="s">
        <v>3229</v>
      </c>
      <c r="AE50" s="196" t="s">
        <v>3229</v>
      </c>
      <c r="AF50" s="621" t="str">
        <f>IF(S51="","-",IF(T50="",S51,MAX(IF(T50&gt;indexy!$B$1,S51,S51-S51),IF(U50&gt;indexy!$B$1,S51-1,S51-S51),IF(V50&gt;indexy!$B$1,S51-2,S51-S51),IF(W50&gt;indexy!$B$1,S51-3,S51-S51),IF(X50&gt;indexy!$B$1,S51-4,S51-S51),IF(Y50&gt;indexy!$B$1,S51-5,S51-S51),IF(Z50&gt;indexy!$B$1,S51-6,S51-S51),IF(AA50&gt;indexy!$B$1,S51-7,S51-S51),IF(AB50&gt;indexy!$B$1,S51-8,S51-S51),IF(AC50&gt;indexy!$B$1,S51-9,S51-S51),IF(AD50&gt;indexy!$B$1,S51-10,S51-S51),IF(AE50&gt;indexy!$B$1,S51-11,S51-S51))))</f>
        <v>-</v>
      </c>
      <c r="AG50" s="55">
        <f>(I50-indexy!$B$1)/365</f>
        <v>1.1726027397260275</v>
      </c>
      <c r="AH50" s="687" t="s">
        <v>3229</v>
      </c>
      <c r="AI50" s="687" t="s">
        <v>3229</v>
      </c>
      <c r="AJ50" s="687" t="s">
        <v>3229</v>
      </c>
      <c r="AK50" s="687" t="s">
        <v>3229</v>
      </c>
      <c r="AL50" s="687" t="s">
        <v>3229</v>
      </c>
      <c r="AM50" s="126">
        <v>1</v>
      </c>
      <c r="AN50" s="685">
        <f>+'klikací hodnoty2'!F1998</f>
        <v>3.3057991954843276E-2</v>
      </c>
      <c r="AO50" s="317">
        <v>1001.77</v>
      </c>
      <c r="AP50" s="685">
        <f>+'klikací hodnoty2'!F1997</f>
        <v>3.3057991954843276E-2</v>
      </c>
      <c r="AQ50" s="685">
        <f>+'klikací hodnoty2'!F1984</f>
        <v>3.3057991954843283E-2</v>
      </c>
      <c r="AR50" s="197">
        <f>O50</f>
        <v>1</v>
      </c>
      <c r="AS50" s="56">
        <f>POWER(1+AR50,1/((I50-F50)/365))-1</f>
        <v>9.9429685590660899E-2</v>
      </c>
      <c r="AT50" s="56"/>
      <c r="AU50" s="56"/>
      <c r="AV50" s="127">
        <f t="shared" ref="AV50:AV53" si="37">M50</f>
        <v>0</v>
      </c>
      <c r="AW50" s="45">
        <f t="shared" ref="AW50:AW53" si="38">POWER(1+AV50,1/((I50-F50)/365))-1</f>
        <v>0</v>
      </c>
      <c r="AX50" s="171"/>
      <c r="AY50" s="136"/>
      <c r="AZ50" s="210">
        <f t="shared" si="36"/>
        <v>1000</v>
      </c>
      <c r="BA50" s="12"/>
      <c r="BB50" s="619"/>
      <c r="BC50" s="138"/>
      <c r="BD50" s="3430"/>
      <c r="BE50" s="3435"/>
      <c r="BF50" s="3435"/>
      <c r="BG50" s="3435"/>
      <c r="BH50" s="3430"/>
      <c r="BI50" s="209"/>
    </row>
    <row r="51" spans="1:61" s="415" customFormat="1" x14ac:dyDescent="0.25">
      <c r="A51" s="1715" t="s">
        <v>9109</v>
      </c>
      <c r="B51" s="1730" t="s">
        <v>9109</v>
      </c>
      <c r="C51" s="52" t="s">
        <v>9137</v>
      </c>
      <c r="D51" s="46" t="s">
        <v>4384</v>
      </c>
      <c r="E51" s="52" t="s">
        <v>1743</v>
      </c>
      <c r="F51" s="49">
        <v>43166</v>
      </c>
      <c r="G51" s="57">
        <v>43136</v>
      </c>
      <c r="H51" s="49">
        <v>43154</v>
      </c>
      <c r="I51" s="1706">
        <v>45838</v>
      </c>
      <c r="J51" s="103">
        <v>1000</v>
      </c>
      <c r="K51" s="46" t="s">
        <v>3229</v>
      </c>
      <c r="L51" s="50" t="s">
        <v>3229</v>
      </c>
      <c r="M51" s="54">
        <v>0</v>
      </c>
      <c r="N51" s="1680">
        <v>1</v>
      </c>
      <c r="O51" s="1707">
        <v>1</v>
      </c>
      <c r="P51" s="89" t="s">
        <v>3229</v>
      </c>
      <c r="Q51" s="89">
        <v>0.2</v>
      </c>
      <c r="R51" s="620" t="s">
        <v>3229</v>
      </c>
      <c r="S51" s="619"/>
      <c r="T51" s="196" t="s">
        <v>3229</v>
      </c>
      <c r="U51" s="196" t="s">
        <v>3229</v>
      </c>
      <c r="V51" s="196" t="s">
        <v>3229</v>
      </c>
      <c r="W51" s="196" t="s">
        <v>3229</v>
      </c>
      <c r="X51" s="196" t="s">
        <v>3229</v>
      </c>
      <c r="Y51" s="196" t="s">
        <v>3229</v>
      </c>
      <c r="Z51" s="196" t="s">
        <v>3229</v>
      </c>
      <c r="AA51" s="196" t="s">
        <v>3229</v>
      </c>
      <c r="AB51" s="196" t="s">
        <v>3229</v>
      </c>
      <c r="AC51" s="196" t="s">
        <v>3229</v>
      </c>
      <c r="AD51" s="196" t="s">
        <v>3229</v>
      </c>
      <c r="AE51" s="196" t="s">
        <v>3229</v>
      </c>
      <c r="AF51" s="621" t="str">
        <f>IF(S40="","-",IF(T51="",S40,MAX(IF(T51&gt;indexy!$B$1,S40,S40-S40),IF(U51&gt;indexy!$B$1,S40-1,S40-S40),IF(V51&gt;indexy!$B$1,S40-2,S40-S40),IF(W51&gt;indexy!$B$1,S40-3,S40-S40),IF(X51&gt;indexy!$B$1,S40-4,S40-S40),IF(Y51&gt;indexy!$B$1,S40-5,S40-S40),IF(Z51&gt;indexy!$B$1,S40-6,S40-S40),IF(AA51&gt;indexy!$B$1,S40-7,S40-S40),IF(AB51&gt;indexy!$B$1,S40-8,S40-S40),IF(AC51&gt;indexy!$B$1,S40-9,S40-S40),IF(AD51&gt;indexy!$B$1,S40-10,S40-S40),IF(AE51&gt;indexy!$B$1,S40-11,S40-S40))))</f>
        <v>-</v>
      </c>
      <c r="AG51" s="55">
        <f>(I51-indexy!$B$1)/365</f>
        <v>1.2575342465753425</v>
      </c>
      <c r="AH51" s="687" t="s">
        <v>3229</v>
      </c>
      <c r="AI51" s="687" t="s">
        <v>3229</v>
      </c>
      <c r="AJ51" s="687" t="s">
        <v>3229</v>
      </c>
      <c r="AK51" s="687" t="s">
        <v>3229</v>
      </c>
      <c r="AL51" s="687" t="s">
        <v>3229</v>
      </c>
      <c r="AM51" s="126">
        <v>1</v>
      </c>
      <c r="AN51" s="685">
        <f>+'klikací hodnoty2'!F2045</f>
        <v>2.2724355400570131E-2</v>
      </c>
      <c r="AO51" s="317">
        <v>982.95</v>
      </c>
      <c r="AP51" s="685">
        <f>+'klikací hodnoty2'!F2044</f>
        <v>2.2724355400570131E-2</v>
      </c>
      <c r="AQ51" s="685">
        <f>+'klikací hodnoty2'!F2031</f>
        <v>2.2724355400570131E-2</v>
      </c>
      <c r="AR51" s="197">
        <f>O51</f>
        <v>1</v>
      </c>
      <c r="AS51" s="56">
        <f>POWER(1+AR51,1/((I51-F51)/365))-1</f>
        <v>9.9312682077669079E-2</v>
      </c>
      <c r="AT51" s="56"/>
      <c r="AU51" s="56"/>
      <c r="AV51" s="127">
        <f t="shared" si="37"/>
        <v>0</v>
      </c>
      <c r="AW51" s="45">
        <f t="shared" si="38"/>
        <v>0</v>
      </c>
      <c r="AX51" s="171"/>
      <c r="AY51" s="136"/>
      <c r="AZ51" s="210">
        <f t="shared" si="36"/>
        <v>1000</v>
      </c>
      <c r="BA51" s="12"/>
      <c r="BB51" s="619"/>
      <c r="BC51" s="138"/>
      <c r="BD51" s="3430"/>
      <c r="BE51" s="3435"/>
      <c r="BF51" s="3435"/>
      <c r="BG51" s="3435"/>
      <c r="BH51" s="3430"/>
      <c r="BI51" s="209"/>
    </row>
    <row r="52" spans="1:61" s="415" customFormat="1" x14ac:dyDescent="0.25">
      <c r="A52" s="1715" t="s">
        <v>9165</v>
      </c>
      <c r="B52" s="1730" t="s">
        <v>9160</v>
      </c>
      <c r="C52" s="52" t="s">
        <v>9166</v>
      </c>
      <c r="D52" s="46" t="s">
        <v>4384</v>
      </c>
      <c r="E52" s="52" t="s">
        <v>1743</v>
      </c>
      <c r="F52" s="49">
        <v>43199</v>
      </c>
      <c r="G52" s="57">
        <v>43164</v>
      </c>
      <c r="H52" s="49">
        <v>43188</v>
      </c>
      <c r="I52" s="1706">
        <v>45869</v>
      </c>
      <c r="J52" s="103">
        <v>1000</v>
      </c>
      <c r="K52" s="46" t="s">
        <v>3229</v>
      </c>
      <c r="L52" s="50" t="s">
        <v>3229</v>
      </c>
      <c r="M52" s="54">
        <v>0</v>
      </c>
      <c r="N52" s="1680">
        <v>1</v>
      </c>
      <c r="O52" s="1707">
        <v>1</v>
      </c>
      <c r="P52" s="89" t="s">
        <v>3229</v>
      </c>
      <c r="Q52" s="89">
        <v>0.25</v>
      </c>
      <c r="R52" s="620" t="s">
        <v>3229</v>
      </c>
      <c r="S52" s="619"/>
      <c r="T52" s="196" t="s">
        <v>3229</v>
      </c>
      <c r="U52" s="196" t="s">
        <v>3229</v>
      </c>
      <c r="V52" s="196" t="s">
        <v>3229</v>
      </c>
      <c r="W52" s="196" t="s">
        <v>3229</v>
      </c>
      <c r="X52" s="196" t="s">
        <v>3229</v>
      </c>
      <c r="Y52" s="196" t="s">
        <v>3229</v>
      </c>
      <c r="Z52" s="196" t="s">
        <v>3229</v>
      </c>
      <c r="AA52" s="196" t="s">
        <v>3229</v>
      </c>
      <c r="AB52" s="196" t="s">
        <v>3229</v>
      </c>
      <c r="AC52" s="196" t="s">
        <v>3229</v>
      </c>
      <c r="AD52" s="196" t="s">
        <v>3229</v>
      </c>
      <c r="AE52" s="196" t="s">
        <v>3229</v>
      </c>
      <c r="AF52" s="621" t="str">
        <f>IF(S42="","-",IF(T52="",S42,MAX(IF(T52&gt;indexy!$B$1,S42,S42-S42),IF(U52&gt;indexy!$B$1,S42-1,S42-S42),IF(V52&gt;indexy!$B$1,S42-2,S42-S42),IF(W52&gt;indexy!$B$1,S42-3,S42-S42),IF(X52&gt;indexy!$B$1,S42-4,S42-S42),IF(Y52&gt;indexy!$B$1,S42-5,S42-S42),IF(Z52&gt;indexy!$B$1,S42-6,S42-S42),IF(AA52&gt;indexy!$B$1,S42-7,S42-S42),IF(AB52&gt;indexy!$B$1,S42-8,S42-S42),IF(AC52&gt;indexy!$B$1,S42-9,S42-S42),IF(AD52&gt;indexy!$B$1,S42-10,S42-S42),IF(AE52&gt;indexy!$B$1,S42-11,S42-S42))))</f>
        <v>-</v>
      </c>
      <c r="AG52" s="55">
        <f>(I52-indexy!$B$1)/365</f>
        <v>1.3424657534246576</v>
      </c>
      <c r="AH52" s="687" t="s">
        <v>3229</v>
      </c>
      <c r="AI52" s="687" t="s">
        <v>3229</v>
      </c>
      <c r="AJ52" s="687" t="s">
        <v>3229</v>
      </c>
      <c r="AK52" s="687" t="s">
        <v>3229</v>
      </c>
      <c r="AL52" s="687" t="s">
        <v>3229</v>
      </c>
      <c r="AM52" s="126">
        <v>1</v>
      </c>
      <c r="AN52" s="685">
        <f>+'klikací hodnoty2'!F2142</f>
        <v>1.4807462998312702E-2</v>
      </c>
      <c r="AO52" s="317">
        <v>983.15</v>
      </c>
      <c r="AP52" s="685">
        <f>+'klikací hodnoty2'!F2141</f>
        <v>4.4795693921173572E-2</v>
      </c>
      <c r="AQ52" s="685">
        <f>+'klikací hodnoty2'!F2128</f>
        <v>4.4795693921173579E-2</v>
      </c>
      <c r="AR52" s="197">
        <f t="shared" ref="AR52:AR53" si="39">O52</f>
        <v>1</v>
      </c>
      <c r="AS52" s="56">
        <f t="shared" ref="AS52:AS53" si="40">POWER(1+AR52,1/((I52-F52)/365))-1</f>
        <v>9.9390653821176178E-2</v>
      </c>
      <c r="AT52" s="56"/>
      <c r="AU52" s="56"/>
      <c r="AV52" s="127">
        <f t="shared" si="37"/>
        <v>0</v>
      </c>
      <c r="AW52" s="45">
        <f t="shared" si="38"/>
        <v>0</v>
      </c>
      <c r="AX52" s="171"/>
      <c r="AY52" s="136"/>
      <c r="AZ52" s="210">
        <f t="shared" si="36"/>
        <v>1000</v>
      </c>
      <c r="BA52" s="12"/>
      <c r="BB52" s="619"/>
      <c r="BC52" s="138"/>
      <c r="BD52" s="3430"/>
      <c r="BE52" s="3435"/>
      <c r="BF52" s="3435"/>
      <c r="BG52" s="3435"/>
      <c r="BH52" s="3430"/>
      <c r="BI52" s="209"/>
    </row>
    <row r="53" spans="1:61" s="415" customFormat="1" x14ac:dyDescent="0.25">
      <c r="A53" s="1715" t="s">
        <v>9423</v>
      </c>
      <c r="B53" s="1730" t="s">
        <v>9418</v>
      </c>
      <c r="C53" s="52" t="s">
        <v>9424</v>
      </c>
      <c r="D53" s="46" t="s">
        <v>4384</v>
      </c>
      <c r="E53" s="52" t="s">
        <v>1743</v>
      </c>
      <c r="F53" s="49">
        <v>43378</v>
      </c>
      <c r="G53" s="57">
        <v>43353</v>
      </c>
      <c r="H53" s="49">
        <v>43370</v>
      </c>
      <c r="I53" s="1706">
        <v>45412</v>
      </c>
      <c r="J53" s="103">
        <v>1000</v>
      </c>
      <c r="K53" s="46" t="s">
        <v>3229</v>
      </c>
      <c r="L53" s="50" t="s">
        <v>3229</v>
      </c>
      <c r="M53" s="54">
        <v>0</v>
      </c>
      <c r="N53" s="1680">
        <v>1</v>
      </c>
      <c r="O53" s="1707">
        <v>1</v>
      </c>
      <c r="P53" s="89" t="s">
        <v>3229</v>
      </c>
      <c r="Q53" s="89" t="s">
        <v>3229</v>
      </c>
      <c r="R53" s="620" t="s">
        <v>3229</v>
      </c>
      <c r="S53" s="619"/>
      <c r="T53" s="196" t="s">
        <v>3229</v>
      </c>
      <c r="U53" s="196" t="s">
        <v>3229</v>
      </c>
      <c r="V53" s="196" t="s">
        <v>3229</v>
      </c>
      <c r="W53" s="196" t="s">
        <v>3229</v>
      </c>
      <c r="X53" s="196" t="s">
        <v>3229</v>
      </c>
      <c r="Y53" s="196" t="s">
        <v>3229</v>
      </c>
      <c r="Z53" s="196" t="s">
        <v>3229</v>
      </c>
      <c r="AA53" s="196" t="s">
        <v>3229</v>
      </c>
      <c r="AB53" s="196" t="s">
        <v>3229</v>
      </c>
      <c r="AC53" s="196" t="s">
        <v>3229</v>
      </c>
      <c r="AD53" s="196" t="s">
        <v>3229</v>
      </c>
      <c r="AE53" s="196" t="s">
        <v>3229</v>
      </c>
      <c r="AF53" s="621" t="str">
        <f>IF(S92="","-",IF(T53="",S92,MAX(IF(T53&gt;indexy!$B$1,S92,S92-S92),IF(U53&gt;indexy!$B$1,S92-1,S92-S92),IF(V53&gt;indexy!$B$1,S92-2,S92-S92),IF(W53&gt;indexy!$B$1,S92-3,S92-S92),IF(X53&gt;indexy!$B$1,S92-4,S92-S92),IF(Y53&gt;indexy!$B$1,S92-5,S92-S92),IF(Z53&gt;indexy!$B$1,S92-6,S92-S92),IF(AA53&gt;indexy!$B$1,S92-7,S92-S92),IF(AB53&gt;indexy!$B$1,S92-8,S92-S92),IF(AC53&gt;indexy!$B$1,S92-9,S92-S92),IF(AD53&gt;indexy!$B$1,S92-10,S92-S92),IF(AE53&gt;indexy!$B$1,S92-11,S92-S92))))</f>
        <v>-</v>
      </c>
      <c r="AG53" s="55">
        <f>(I53-indexy!$B$1)/365</f>
        <v>9.0410958904109592E-2</v>
      </c>
      <c r="AH53" s="687" t="s">
        <v>3229</v>
      </c>
      <c r="AI53" s="687" t="s">
        <v>3229</v>
      </c>
      <c r="AJ53" s="687" t="s">
        <v>3229</v>
      </c>
      <c r="AK53" s="687" t="s">
        <v>3229</v>
      </c>
      <c r="AL53" s="687" t="s">
        <v>3229</v>
      </c>
      <c r="AM53" s="126">
        <v>1</v>
      </c>
      <c r="AN53" s="685">
        <f>+'klikací hodnoty2'!F2377</f>
        <v>0.15387641666666668</v>
      </c>
      <c r="AO53" s="317">
        <v>1143.31</v>
      </c>
      <c r="AP53" s="685">
        <f>+'klikací hodnoty2'!F2376</f>
        <v>0.15387641666666668</v>
      </c>
      <c r="AQ53" s="685">
        <f>+'klikací hodnoty2'!F2363</f>
        <v>0.15579999999999999</v>
      </c>
      <c r="AR53" s="197">
        <f t="shared" si="39"/>
        <v>1</v>
      </c>
      <c r="AS53" s="56">
        <f t="shared" si="40"/>
        <v>0.13245157551879294</v>
      </c>
      <c r="AT53" s="56"/>
      <c r="AU53" s="56"/>
      <c r="AV53" s="127">
        <f t="shared" si="37"/>
        <v>0</v>
      </c>
      <c r="AW53" s="45">
        <f t="shared" si="38"/>
        <v>0</v>
      </c>
      <c r="AX53" s="171"/>
      <c r="AY53" s="136"/>
      <c r="AZ53" s="210">
        <f t="shared" ref="AZ53:AZ55" si="41">J53*(1+AV53)</f>
        <v>1000</v>
      </c>
      <c r="BA53" s="12"/>
      <c r="BB53" s="619"/>
      <c r="BC53" s="138"/>
      <c r="BD53" s="3430"/>
      <c r="BE53" s="3435"/>
      <c r="BF53" s="3435"/>
      <c r="BG53" s="3435"/>
      <c r="BH53" s="3430"/>
      <c r="BI53" s="209"/>
    </row>
    <row r="54" spans="1:61" s="415" customFormat="1" x14ac:dyDescent="0.25">
      <c r="A54" s="1715" t="s">
        <v>9419</v>
      </c>
      <c r="B54" s="1730" t="s">
        <v>9419</v>
      </c>
      <c r="C54" s="52" t="s">
        <v>9505</v>
      </c>
      <c r="D54" s="46" t="s">
        <v>4384</v>
      </c>
      <c r="E54" s="52" t="s">
        <v>1743</v>
      </c>
      <c r="F54" s="49">
        <v>43412</v>
      </c>
      <c r="G54" s="57">
        <v>43381</v>
      </c>
      <c r="H54" s="49">
        <v>43399</v>
      </c>
      <c r="I54" s="1706">
        <v>45443</v>
      </c>
      <c r="J54" s="103">
        <v>1000</v>
      </c>
      <c r="K54" s="46" t="s">
        <v>3229</v>
      </c>
      <c r="L54" s="50" t="s">
        <v>3229</v>
      </c>
      <c r="M54" s="54">
        <v>0</v>
      </c>
      <c r="N54" s="1680">
        <v>1</v>
      </c>
      <c r="O54" s="1707">
        <v>1</v>
      </c>
      <c r="P54" s="89" t="s">
        <v>3229</v>
      </c>
      <c r="Q54" s="89" t="s">
        <v>3229</v>
      </c>
      <c r="R54" s="620" t="s">
        <v>3229</v>
      </c>
      <c r="S54" s="619"/>
      <c r="T54" s="196" t="s">
        <v>3229</v>
      </c>
      <c r="U54" s="196" t="s">
        <v>3229</v>
      </c>
      <c r="V54" s="196" t="s">
        <v>3229</v>
      </c>
      <c r="W54" s="196" t="s">
        <v>3229</v>
      </c>
      <c r="X54" s="196" t="s">
        <v>3229</v>
      </c>
      <c r="Y54" s="196" t="s">
        <v>3229</v>
      </c>
      <c r="Z54" s="196" t="s">
        <v>3229</v>
      </c>
      <c r="AA54" s="196" t="s">
        <v>3229</v>
      </c>
      <c r="AB54" s="196" t="s">
        <v>3229</v>
      </c>
      <c r="AC54" s="196" t="s">
        <v>3229</v>
      </c>
      <c r="AD54" s="196" t="s">
        <v>3229</v>
      </c>
      <c r="AE54" s="196" t="s">
        <v>3229</v>
      </c>
      <c r="AF54" s="621" t="str">
        <f>IF(S93="","-",IF(T54="",S93,MAX(IF(T54&gt;indexy!$B$1,S93,S93-S93),IF(U54&gt;indexy!$B$1,S93-1,S93-S93),IF(V54&gt;indexy!$B$1,S93-2,S93-S93),IF(W54&gt;indexy!$B$1,S93-3,S93-S93),IF(X54&gt;indexy!$B$1,S93-4,S93-S93),IF(Y54&gt;indexy!$B$1,S93-5,S93-S93),IF(Z54&gt;indexy!$B$1,S93-6,S93-S93),IF(AA54&gt;indexy!$B$1,S93-7,S93-S93),IF(AB54&gt;indexy!$B$1,S93-8,S93-S93),IF(AC54&gt;indexy!$B$1,S93-9,S93-S93),IF(AD54&gt;indexy!$B$1,S93-10,S93-S93),IF(AE54&gt;indexy!$B$1,S93-11,S93-S93))))</f>
        <v>-</v>
      </c>
      <c r="AG54" s="55">
        <f>(I54-indexy!$B$1)/365</f>
        <v>0.17534246575342466</v>
      </c>
      <c r="AH54" s="687" t="s">
        <v>3229</v>
      </c>
      <c r="AI54" s="687" t="s">
        <v>3229</v>
      </c>
      <c r="AJ54" s="687" t="s">
        <v>3229</v>
      </c>
      <c r="AK54" s="687" t="s">
        <v>3229</v>
      </c>
      <c r="AL54" s="687" t="s">
        <v>3229</v>
      </c>
      <c r="AM54" s="126">
        <v>1</v>
      </c>
      <c r="AN54" s="685">
        <f>+'klikací hodnoty2'!F2424</f>
        <v>0.15218291666666658</v>
      </c>
      <c r="AO54" s="317">
        <v>1134.7</v>
      </c>
      <c r="AP54" s="685">
        <f>+'klikací hodnoty2'!F2423</f>
        <v>0.15218291666666658</v>
      </c>
      <c r="AQ54" s="685">
        <f>+'klikací hodnoty2'!F2410</f>
        <v>0.14169013197166686</v>
      </c>
      <c r="AR54" s="197">
        <f t="shared" ref="AR54:AR61" si="42">O54</f>
        <v>1</v>
      </c>
      <c r="AS54" s="56">
        <f t="shared" ref="AS54:AS61" si="43">POWER(1+AR54,1/((I54-F54)/365))-1</f>
        <v>0.13265965930691515</v>
      </c>
      <c r="AT54" s="56"/>
      <c r="AU54" s="56"/>
      <c r="AV54" s="127">
        <f t="shared" ref="AV54:AV61" si="44">M54</f>
        <v>0</v>
      </c>
      <c r="AW54" s="45">
        <f t="shared" ref="AW54:AW61" si="45">POWER(1+AV54,1/((I54-F54)/365))-1</f>
        <v>0</v>
      </c>
      <c r="AX54" s="171"/>
      <c r="AY54" s="136"/>
      <c r="AZ54" s="210">
        <f t="shared" si="41"/>
        <v>1000</v>
      </c>
      <c r="BA54" s="12"/>
      <c r="BB54" s="619"/>
      <c r="BC54" s="138"/>
      <c r="BD54" s="3430"/>
      <c r="BE54" s="3435"/>
      <c r="BF54" s="3435"/>
      <c r="BG54" s="3435"/>
      <c r="BH54" s="3430"/>
      <c r="BI54" s="209"/>
    </row>
    <row r="55" spans="1:61" s="415" customFormat="1" x14ac:dyDescent="0.25">
      <c r="A55" s="1715" t="s">
        <v>9539</v>
      </c>
      <c r="B55" s="1730" t="s">
        <v>9539</v>
      </c>
      <c r="C55" s="52" t="s">
        <v>9549</v>
      </c>
      <c r="D55" s="46" t="s">
        <v>4384</v>
      </c>
      <c r="E55" s="52" t="s">
        <v>1743</v>
      </c>
      <c r="F55" s="49">
        <v>43441</v>
      </c>
      <c r="G55" s="57">
        <v>43409</v>
      </c>
      <c r="H55" s="49">
        <v>43434</v>
      </c>
      <c r="I55" s="1706">
        <v>45471</v>
      </c>
      <c r="J55" s="103">
        <v>1000</v>
      </c>
      <c r="K55" s="46" t="s">
        <v>3229</v>
      </c>
      <c r="L55" s="50" t="s">
        <v>3229</v>
      </c>
      <c r="M55" s="54">
        <v>0</v>
      </c>
      <c r="N55" s="1680">
        <v>1</v>
      </c>
      <c r="O55" s="1707">
        <v>1</v>
      </c>
      <c r="P55" s="89" t="s">
        <v>3229</v>
      </c>
      <c r="Q55" s="89" t="s">
        <v>3229</v>
      </c>
      <c r="R55" s="620" t="s">
        <v>3229</v>
      </c>
      <c r="S55" s="619"/>
      <c r="T55" s="196" t="s">
        <v>3229</v>
      </c>
      <c r="U55" s="196" t="s">
        <v>3229</v>
      </c>
      <c r="V55" s="196" t="s">
        <v>3229</v>
      </c>
      <c r="W55" s="196" t="s">
        <v>3229</v>
      </c>
      <c r="X55" s="196" t="s">
        <v>3229</v>
      </c>
      <c r="Y55" s="196" t="s">
        <v>3229</v>
      </c>
      <c r="Z55" s="196" t="s">
        <v>3229</v>
      </c>
      <c r="AA55" s="196" t="s">
        <v>3229</v>
      </c>
      <c r="AB55" s="196" t="s">
        <v>3229</v>
      </c>
      <c r="AC55" s="196" t="s">
        <v>3229</v>
      </c>
      <c r="AD55" s="196" t="s">
        <v>3229</v>
      </c>
      <c r="AE55" s="196" t="s">
        <v>3229</v>
      </c>
      <c r="AF55" s="621" t="str">
        <f>IF(S94="","-",IF(T55="",S94,MAX(IF(T55&gt;indexy!$B$1,S94,S94-S94),IF(U55&gt;indexy!$B$1,S94-1,S94-S94),IF(V55&gt;indexy!$B$1,S94-2,S94-S94),IF(W55&gt;indexy!$B$1,S94-3,S94-S94),IF(X55&gt;indexy!$B$1,S94-4,S94-S94),IF(Y55&gt;indexy!$B$1,S94-5,S94-S94),IF(Z55&gt;indexy!$B$1,S94-6,S94-S94),IF(AA55&gt;indexy!$B$1,S94-7,S94-S94),IF(AB55&gt;indexy!$B$1,S94-8,S94-S94),IF(AC55&gt;indexy!$B$1,S94-9,S94-S94),IF(AD55&gt;indexy!$B$1,S94-10,S94-S94),IF(AE55&gt;indexy!$B$1,S94-11,S94-S94))))</f>
        <v>-</v>
      </c>
      <c r="AG55" s="55">
        <f>(I55-indexy!$B$1)/365</f>
        <v>0.25205479452054796</v>
      </c>
      <c r="AH55" s="687" t="s">
        <v>3229</v>
      </c>
      <c r="AI55" s="687" t="s">
        <v>3229</v>
      </c>
      <c r="AJ55" s="687" t="s">
        <v>3229</v>
      </c>
      <c r="AK55" s="687" t="s">
        <v>3229</v>
      </c>
      <c r="AL55" s="687" t="s">
        <v>3229</v>
      </c>
      <c r="AM55" s="126">
        <v>1</v>
      </c>
      <c r="AN55" s="685">
        <f>+'klikací hodnoty2'!F2471</f>
        <v>0.14558866666666659</v>
      </c>
      <c r="AO55" s="317">
        <v>1149.44</v>
      </c>
      <c r="AP55" s="685">
        <f>+'klikací hodnoty2'!E2470</f>
        <v>0.10499766666666666</v>
      </c>
      <c r="AQ55" s="685">
        <f>+'klikací hodnoty2'!F2457</f>
        <v>0.1716076949246797</v>
      </c>
      <c r="AR55" s="197">
        <f t="shared" si="42"/>
        <v>1</v>
      </c>
      <c r="AS55" s="56">
        <f t="shared" si="43"/>
        <v>0.13272916575923333</v>
      </c>
      <c r="AT55" s="56"/>
      <c r="AU55" s="56"/>
      <c r="AV55" s="127">
        <f t="shared" si="44"/>
        <v>0</v>
      </c>
      <c r="AW55" s="45">
        <f t="shared" si="45"/>
        <v>0</v>
      </c>
      <c r="AX55" s="171"/>
      <c r="AY55" s="136"/>
      <c r="AZ55" s="210">
        <f t="shared" si="41"/>
        <v>1000</v>
      </c>
      <c r="BA55" s="12"/>
      <c r="BB55" s="619"/>
      <c r="BC55" s="138"/>
      <c r="BD55" s="3430"/>
      <c r="BE55" s="3435"/>
      <c r="BF55" s="3435"/>
      <c r="BG55" s="3435"/>
      <c r="BH55" s="3430"/>
      <c r="BI55" s="209"/>
    </row>
    <row r="56" spans="1:61" s="415" customFormat="1" x14ac:dyDescent="0.25">
      <c r="A56" s="1715" t="s">
        <v>9590</v>
      </c>
      <c r="B56" s="1730" t="s">
        <v>9590</v>
      </c>
      <c r="C56" s="52" t="s">
        <v>9604</v>
      </c>
      <c r="D56" s="46" t="s">
        <v>4384</v>
      </c>
      <c r="E56" s="52" t="s">
        <v>1743</v>
      </c>
      <c r="F56" s="49">
        <v>43475</v>
      </c>
      <c r="G56" s="57">
        <v>43444</v>
      </c>
      <c r="H56" s="49">
        <v>43469</v>
      </c>
      <c r="I56" s="1706">
        <v>45504</v>
      </c>
      <c r="J56" s="103">
        <v>1000</v>
      </c>
      <c r="K56" s="46" t="s">
        <v>3229</v>
      </c>
      <c r="L56" s="50" t="s">
        <v>3229</v>
      </c>
      <c r="M56" s="54">
        <v>0</v>
      </c>
      <c r="N56" s="1680">
        <v>1</v>
      </c>
      <c r="O56" s="1707">
        <v>1</v>
      </c>
      <c r="P56" s="89" t="s">
        <v>3229</v>
      </c>
      <c r="Q56" s="89" t="s">
        <v>3229</v>
      </c>
      <c r="R56" s="620" t="s">
        <v>3229</v>
      </c>
      <c r="S56" s="619"/>
      <c r="T56" s="196" t="s">
        <v>3229</v>
      </c>
      <c r="U56" s="196" t="s">
        <v>3229</v>
      </c>
      <c r="V56" s="196" t="s">
        <v>3229</v>
      </c>
      <c r="W56" s="196" t="s">
        <v>3229</v>
      </c>
      <c r="X56" s="196" t="s">
        <v>3229</v>
      </c>
      <c r="Y56" s="196" t="s">
        <v>3229</v>
      </c>
      <c r="Z56" s="196" t="s">
        <v>3229</v>
      </c>
      <c r="AA56" s="196" t="s">
        <v>3229</v>
      </c>
      <c r="AB56" s="196" t="s">
        <v>3229</v>
      </c>
      <c r="AC56" s="196" t="s">
        <v>3229</v>
      </c>
      <c r="AD56" s="196" t="s">
        <v>3229</v>
      </c>
      <c r="AE56" s="196" t="s">
        <v>3229</v>
      </c>
      <c r="AF56" s="621" t="str">
        <f>IF(S95="","-",IF(T56="",S95,MAX(IF(T56&gt;indexy!$B$1,S95,S95-S95),IF(U56&gt;indexy!$B$1,S95-1,S95-S95),IF(V56&gt;indexy!$B$1,S95-2,S95-S95),IF(W56&gt;indexy!$B$1,S95-3,S95-S95),IF(X56&gt;indexy!$B$1,S95-4,S95-S95),IF(Y56&gt;indexy!$B$1,S95-5,S95-S95),IF(Z56&gt;indexy!$B$1,S95-6,S95-S95),IF(AA56&gt;indexy!$B$1,S95-7,S95-S95),IF(AB56&gt;indexy!$B$1,S95-8,S95-S95),IF(AC56&gt;indexy!$B$1,S95-9,S95-S95),IF(AD56&gt;indexy!$B$1,S95-10,S95-S95),IF(AE56&gt;indexy!$B$1,S95-11,S95-S95))))</f>
        <v>-</v>
      </c>
      <c r="AG56" s="55">
        <f>(I56-indexy!$B$1)/365</f>
        <v>0.34246575342465752</v>
      </c>
      <c r="AH56" s="687" t="s">
        <v>3229</v>
      </c>
      <c r="AI56" s="687" t="s">
        <v>3229</v>
      </c>
      <c r="AJ56" s="687" t="s">
        <v>3229</v>
      </c>
      <c r="AK56" s="687" t="s">
        <v>3229</v>
      </c>
      <c r="AL56" s="687" t="s">
        <v>3229</v>
      </c>
      <c r="AM56" s="126">
        <v>1</v>
      </c>
      <c r="AN56" s="685">
        <f>+'klikací hodnoty2'!F2518</f>
        <v>0.11773907248822341</v>
      </c>
      <c r="AO56" s="317">
        <v>1094.3499999999999</v>
      </c>
      <c r="AP56" s="685">
        <f>+'klikací hodnoty2'!E2517</f>
        <v>0.11773907248822341</v>
      </c>
      <c r="AQ56" s="685">
        <f>+'klikací hodnoty2'!F2504</f>
        <v>0.16009728995289357</v>
      </c>
      <c r="AR56" s="197">
        <f t="shared" si="42"/>
        <v>1</v>
      </c>
      <c r="AS56" s="56">
        <f t="shared" si="43"/>
        <v>0.13279874499618605</v>
      </c>
      <c r="AT56" s="56"/>
      <c r="AU56" s="56"/>
      <c r="AV56" s="127">
        <f t="shared" si="44"/>
        <v>0</v>
      </c>
      <c r="AW56" s="45">
        <f t="shared" si="45"/>
        <v>0</v>
      </c>
      <c r="AX56" s="171"/>
      <c r="AY56" s="136"/>
      <c r="AZ56" s="210">
        <f t="shared" ref="AZ56:AZ61" si="46">J56*(1+AV56)</f>
        <v>1000</v>
      </c>
      <c r="BA56" s="12"/>
      <c r="BB56" s="619"/>
      <c r="BC56" s="138"/>
      <c r="BD56" s="3430"/>
      <c r="BE56" s="3435"/>
      <c r="BF56" s="3435"/>
      <c r="BG56" s="3435"/>
      <c r="BH56" s="3430"/>
      <c r="BI56" s="209"/>
    </row>
    <row r="57" spans="1:61" s="415" customFormat="1" x14ac:dyDescent="0.25">
      <c r="A57" s="1715" t="s">
        <v>9605</v>
      </c>
      <c r="B57" s="1730" t="s">
        <v>9605</v>
      </c>
      <c r="C57" s="52" t="s">
        <v>9742</v>
      </c>
      <c r="D57" s="46" t="s">
        <v>4384</v>
      </c>
      <c r="E57" s="52" t="s">
        <v>1743</v>
      </c>
      <c r="F57" s="49">
        <v>43503</v>
      </c>
      <c r="G57" s="57">
        <v>43479</v>
      </c>
      <c r="H57" s="49">
        <v>43497</v>
      </c>
      <c r="I57" s="1706">
        <v>45534</v>
      </c>
      <c r="J57" s="103">
        <v>1000</v>
      </c>
      <c r="K57" s="46" t="s">
        <v>3229</v>
      </c>
      <c r="L57" s="50" t="s">
        <v>3229</v>
      </c>
      <c r="M57" s="54">
        <v>0</v>
      </c>
      <c r="N57" s="1680">
        <v>1</v>
      </c>
      <c r="O57" s="1707">
        <v>1</v>
      </c>
      <c r="P57" s="89" t="s">
        <v>3229</v>
      </c>
      <c r="Q57" s="89" t="s">
        <v>3229</v>
      </c>
      <c r="R57" s="620" t="s">
        <v>3229</v>
      </c>
      <c r="S57" s="619"/>
      <c r="T57" s="196" t="s">
        <v>3229</v>
      </c>
      <c r="U57" s="196" t="s">
        <v>3229</v>
      </c>
      <c r="V57" s="196" t="s">
        <v>3229</v>
      </c>
      <c r="W57" s="196" t="s">
        <v>3229</v>
      </c>
      <c r="X57" s="196" t="s">
        <v>3229</v>
      </c>
      <c r="Y57" s="196" t="s">
        <v>3229</v>
      </c>
      <c r="Z57" s="196" t="s">
        <v>3229</v>
      </c>
      <c r="AA57" s="196" t="s">
        <v>3229</v>
      </c>
      <c r="AB57" s="196" t="s">
        <v>3229</v>
      </c>
      <c r="AC57" s="196" t="s">
        <v>3229</v>
      </c>
      <c r="AD57" s="196" t="s">
        <v>3229</v>
      </c>
      <c r="AE57" s="196" t="s">
        <v>3229</v>
      </c>
      <c r="AF57" s="621" t="str">
        <f>IF(S96="","-",IF(T57="",S96,MAX(IF(T57&gt;indexy!$B$1,S96,S96-S96),IF(U57&gt;indexy!$B$1,S96-1,S96-S96),IF(V57&gt;indexy!$B$1,S96-2,S96-S96),IF(W57&gt;indexy!$B$1,S96-3,S96-S96),IF(X57&gt;indexy!$B$1,S96-4,S96-S96),IF(Y57&gt;indexy!$B$1,S96-5,S96-S96),IF(Z57&gt;indexy!$B$1,S96-6,S96-S96),IF(AA57&gt;indexy!$B$1,S96-7,S96-S96),IF(AB57&gt;indexy!$B$1,S96-8,S96-S96),IF(AC57&gt;indexy!$B$1,S96-9,S96-S96),IF(AD57&gt;indexy!$B$1,S96-10,S96-S96),IF(AE57&gt;indexy!$B$1,S96-11,S96-S96))))</f>
        <v>-</v>
      </c>
      <c r="AG57" s="55">
        <f>(I57-indexy!$B$1)/365</f>
        <v>0.42465753424657532</v>
      </c>
      <c r="AH57" s="687" t="s">
        <v>3229</v>
      </c>
      <c r="AI57" s="687" t="s">
        <v>3229</v>
      </c>
      <c r="AJ57" s="687" t="s">
        <v>3229</v>
      </c>
      <c r="AK57" s="687" t="s">
        <v>3229</v>
      </c>
      <c r="AL57" s="687" t="s">
        <v>3229</v>
      </c>
      <c r="AM57" s="126">
        <v>1</v>
      </c>
      <c r="AN57" s="685">
        <f>+'klikací hodnoty2'!F2565</f>
        <v>0.10625334553368859</v>
      </c>
      <c r="AO57" s="317">
        <v>1038.06</v>
      </c>
      <c r="AP57" s="685">
        <f>+'klikací hodnoty2'!E2564</f>
        <v>0.10625334553368863</v>
      </c>
      <c r="AQ57" s="685">
        <f>+'klikací hodnoty2'!F2551</f>
        <v>0.10625334553368861</v>
      </c>
      <c r="AR57" s="197">
        <f t="shared" si="42"/>
        <v>1</v>
      </c>
      <c r="AS57" s="56">
        <f t="shared" si="43"/>
        <v>0.13265965930691515</v>
      </c>
      <c r="AT57" s="56"/>
      <c r="AU57" s="56"/>
      <c r="AV57" s="127">
        <f t="shared" si="44"/>
        <v>0</v>
      </c>
      <c r="AW57" s="45">
        <f t="shared" si="45"/>
        <v>0</v>
      </c>
      <c r="AX57" s="171"/>
      <c r="AY57" s="136"/>
      <c r="AZ57" s="210">
        <f t="shared" si="46"/>
        <v>1000</v>
      </c>
      <c r="BA57" s="12"/>
      <c r="BB57" s="619"/>
      <c r="BC57" s="138"/>
      <c r="BD57" s="3430"/>
      <c r="BE57" s="3435"/>
      <c r="BF57" s="3435"/>
      <c r="BG57" s="3435"/>
      <c r="BH57" s="3430"/>
      <c r="BI57" s="209"/>
    </row>
    <row r="58" spans="1:61" s="415" customFormat="1" x14ac:dyDescent="0.25">
      <c r="A58" s="1715" t="s">
        <v>9741</v>
      </c>
      <c r="B58" s="1730" t="s">
        <v>9741</v>
      </c>
      <c r="C58" s="52" t="s">
        <v>9743</v>
      </c>
      <c r="D58" s="46" t="s">
        <v>4384</v>
      </c>
      <c r="E58" s="52" t="s">
        <v>1743</v>
      </c>
      <c r="F58" s="49">
        <v>43531</v>
      </c>
      <c r="G58" s="57">
        <v>43507</v>
      </c>
      <c r="H58" s="49">
        <v>43525</v>
      </c>
      <c r="I58" s="1706">
        <v>45565</v>
      </c>
      <c r="J58" s="103">
        <v>1000</v>
      </c>
      <c r="K58" s="46" t="s">
        <v>3229</v>
      </c>
      <c r="L58" s="50" t="s">
        <v>3229</v>
      </c>
      <c r="M58" s="54">
        <v>0</v>
      </c>
      <c r="N58" s="1680">
        <v>1</v>
      </c>
      <c r="O58" s="1707">
        <v>1</v>
      </c>
      <c r="P58" s="89" t="s">
        <v>3229</v>
      </c>
      <c r="Q58" s="89" t="s">
        <v>3229</v>
      </c>
      <c r="R58" s="620" t="s">
        <v>3229</v>
      </c>
      <c r="S58" s="619"/>
      <c r="T58" s="196" t="s">
        <v>3229</v>
      </c>
      <c r="U58" s="196" t="s">
        <v>3229</v>
      </c>
      <c r="V58" s="196" t="s">
        <v>3229</v>
      </c>
      <c r="W58" s="196" t="s">
        <v>3229</v>
      </c>
      <c r="X58" s="196" t="s">
        <v>3229</v>
      </c>
      <c r="Y58" s="196" t="s">
        <v>3229</v>
      </c>
      <c r="Z58" s="196" t="s">
        <v>3229</v>
      </c>
      <c r="AA58" s="196" t="s">
        <v>3229</v>
      </c>
      <c r="AB58" s="196" t="s">
        <v>3229</v>
      </c>
      <c r="AC58" s="196" t="s">
        <v>3229</v>
      </c>
      <c r="AD58" s="196" t="s">
        <v>3229</v>
      </c>
      <c r="AE58" s="196" t="s">
        <v>3229</v>
      </c>
      <c r="AF58" s="621" t="str">
        <f>IF(S97="","-",IF(T58="",S97,MAX(IF(T58&gt;indexy!$B$1,S97,S97-S97),IF(U58&gt;indexy!$B$1,S97-1,S97-S97),IF(V58&gt;indexy!$B$1,S97-2,S97-S97),IF(W58&gt;indexy!$B$1,S97-3,S97-S97),IF(X58&gt;indexy!$B$1,S97-4,S97-S97),IF(Y58&gt;indexy!$B$1,S97-5,S97-S97),IF(Z58&gt;indexy!$B$1,S97-6,S97-S97),IF(AA58&gt;indexy!$B$1,S97-7,S97-S97),IF(AB58&gt;indexy!$B$1,S97-8,S97-S97),IF(AC58&gt;indexy!$B$1,S97-9,S97-S97),IF(AD58&gt;indexy!$B$1,S97-10,S97-S97),IF(AE58&gt;indexy!$B$1,S97-11,S97-S97))))</f>
        <v>-</v>
      </c>
      <c r="AG58" s="55">
        <f>(I58-indexy!$B$1)/365</f>
        <v>0.50958904109589043</v>
      </c>
      <c r="AH58" s="687" t="s">
        <v>3229</v>
      </c>
      <c r="AI58" s="687" t="s">
        <v>3229</v>
      </c>
      <c r="AJ58" s="687" t="s">
        <v>3229</v>
      </c>
      <c r="AK58" s="687" t="s">
        <v>3229</v>
      </c>
      <c r="AL58" s="687" t="s">
        <v>3229</v>
      </c>
      <c r="AM58" s="126">
        <v>1</v>
      </c>
      <c r="AN58" s="685">
        <f>+'klikací hodnoty2'!F2612</f>
        <v>8.3002035630298537E-2</v>
      </c>
      <c r="AO58" s="317">
        <v>1052.7</v>
      </c>
      <c r="AP58" s="685">
        <f>+'klikací hodnoty2'!F2611</f>
        <v>8.3002035630298537E-2</v>
      </c>
      <c r="AQ58" s="685">
        <f>+'klikací hodnoty2'!F2598</f>
        <v>0.10151148551271634</v>
      </c>
      <c r="AR58" s="197">
        <f t="shared" si="42"/>
        <v>1</v>
      </c>
      <c r="AS58" s="56">
        <f t="shared" si="43"/>
        <v>0.13245157551879294</v>
      </c>
      <c r="AT58" s="56"/>
      <c r="AU58" s="56"/>
      <c r="AV58" s="127">
        <f t="shared" si="44"/>
        <v>0</v>
      </c>
      <c r="AW58" s="45">
        <f t="shared" si="45"/>
        <v>0</v>
      </c>
      <c r="AX58" s="171"/>
      <c r="AY58" s="136"/>
      <c r="AZ58" s="210">
        <f t="shared" si="46"/>
        <v>1000</v>
      </c>
      <c r="BA58" s="12"/>
      <c r="BB58" s="619"/>
      <c r="BC58" s="138"/>
      <c r="BD58" s="3430"/>
      <c r="BE58" s="3435"/>
      <c r="BF58" s="3435"/>
      <c r="BG58" s="3435"/>
      <c r="BH58" s="3430"/>
      <c r="BI58" s="209"/>
    </row>
    <row r="59" spans="1:61" s="415" customFormat="1" x14ac:dyDescent="0.25">
      <c r="A59" s="1715" t="s">
        <v>9900</v>
      </c>
      <c r="B59" s="1730" t="s">
        <v>9900</v>
      </c>
      <c r="C59" s="52" t="s">
        <v>9923</v>
      </c>
      <c r="D59" s="46" t="s">
        <v>4384</v>
      </c>
      <c r="E59" s="52" t="s">
        <v>1743</v>
      </c>
      <c r="F59" s="49">
        <v>43560</v>
      </c>
      <c r="G59" s="57">
        <v>43535</v>
      </c>
      <c r="H59" s="49">
        <v>43553</v>
      </c>
      <c r="I59" s="1706">
        <v>45596</v>
      </c>
      <c r="J59" s="103">
        <v>1000</v>
      </c>
      <c r="K59" s="46" t="s">
        <v>3229</v>
      </c>
      <c r="L59" s="50" t="s">
        <v>3229</v>
      </c>
      <c r="M59" s="54">
        <v>0</v>
      </c>
      <c r="N59" s="1680">
        <v>1</v>
      </c>
      <c r="O59" s="1707">
        <v>1</v>
      </c>
      <c r="P59" s="89" t="s">
        <v>3229</v>
      </c>
      <c r="Q59" s="89" t="s">
        <v>3229</v>
      </c>
      <c r="R59" s="620" t="s">
        <v>3229</v>
      </c>
      <c r="S59" s="619"/>
      <c r="T59" s="196" t="s">
        <v>3229</v>
      </c>
      <c r="U59" s="196" t="s">
        <v>3229</v>
      </c>
      <c r="V59" s="196" t="s">
        <v>3229</v>
      </c>
      <c r="W59" s="196" t="s">
        <v>3229</v>
      </c>
      <c r="X59" s="196" t="s">
        <v>3229</v>
      </c>
      <c r="Y59" s="196" t="s">
        <v>3229</v>
      </c>
      <c r="Z59" s="196" t="s">
        <v>3229</v>
      </c>
      <c r="AA59" s="196" t="s">
        <v>3229</v>
      </c>
      <c r="AB59" s="196" t="s">
        <v>3229</v>
      </c>
      <c r="AC59" s="196" t="s">
        <v>3229</v>
      </c>
      <c r="AD59" s="196" t="s">
        <v>3229</v>
      </c>
      <c r="AE59" s="196" t="s">
        <v>3229</v>
      </c>
      <c r="AF59" s="621" t="str">
        <f>IF(S98="","-",IF(T59="",S98,MAX(IF(T59&gt;indexy!$B$1,S98,S98-S98),IF(U59&gt;indexy!$B$1,S98-1,S98-S98),IF(V59&gt;indexy!$B$1,S98-2,S98-S98),IF(W59&gt;indexy!$B$1,S98-3,S98-S98),IF(X59&gt;indexy!$B$1,S98-4,S98-S98),IF(Y59&gt;indexy!$B$1,S98-5,S98-S98),IF(Z59&gt;indexy!$B$1,S98-6,S98-S98),IF(AA59&gt;indexy!$B$1,S98-7,S98-S98),IF(AB59&gt;indexy!$B$1,S98-8,S98-S98),IF(AC59&gt;indexy!$B$1,S98-9,S98-S98),IF(AD59&gt;indexy!$B$1,S98-10,S98-S98),IF(AE59&gt;indexy!$B$1,S98-11,S98-S98))))</f>
        <v>-</v>
      </c>
      <c r="AG59" s="55">
        <f>(I59-indexy!$B$1)/365</f>
        <v>0.59452054794520548</v>
      </c>
      <c r="AH59" s="687" t="s">
        <v>3229</v>
      </c>
      <c r="AI59" s="687" t="s">
        <v>3229</v>
      </c>
      <c r="AJ59" s="687" t="s">
        <v>3229</v>
      </c>
      <c r="AK59" s="687" t="s">
        <v>3229</v>
      </c>
      <c r="AL59" s="687" t="s">
        <v>3229</v>
      </c>
      <c r="AM59" s="126">
        <v>1</v>
      </c>
      <c r="AN59" s="685">
        <f>+'klikací hodnoty2'!F2659</f>
        <v>0.18274325000000005</v>
      </c>
      <c r="AO59" s="317">
        <v>1157.6500000000001</v>
      </c>
      <c r="AP59" s="685">
        <f>+'klikací hodnoty2'!F2658</f>
        <v>0.18274325000000005</v>
      </c>
      <c r="AQ59" s="685">
        <f>+'klikací hodnoty2'!F2645</f>
        <v>0.19123641048223439</v>
      </c>
      <c r="AR59" s="197">
        <f t="shared" si="42"/>
        <v>1</v>
      </c>
      <c r="AS59" s="56">
        <f t="shared" si="43"/>
        <v>0.13231321483258141</v>
      </c>
      <c r="AT59" s="56"/>
      <c r="AU59" s="56"/>
      <c r="AV59" s="127">
        <f t="shared" si="44"/>
        <v>0</v>
      </c>
      <c r="AW59" s="45">
        <f t="shared" si="45"/>
        <v>0</v>
      </c>
      <c r="AX59" s="171"/>
      <c r="AY59" s="136"/>
      <c r="AZ59" s="210">
        <f t="shared" si="46"/>
        <v>1000</v>
      </c>
      <c r="BA59" s="12"/>
      <c r="BB59" s="619"/>
      <c r="BC59" s="138"/>
      <c r="BD59" s="3430"/>
      <c r="BE59" s="3435"/>
      <c r="BF59" s="3435"/>
      <c r="BG59" s="3435"/>
      <c r="BH59" s="3430"/>
      <c r="BI59" s="209"/>
    </row>
    <row r="60" spans="1:61" s="415" customFormat="1" x14ac:dyDescent="0.25">
      <c r="A60" s="1715" t="s">
        <v>9899</v>
      </c>
      <c r="B60" s="1730" t="s">
        <v>9899</v>
      </c>
      <c r="C60" s="52" t="s">
        <v>9922</v>
      </c>
      <c r="D60" s="46" t="s">
        <v>4384</v>
      </c>
      <c r="E60" s="52" t="s">
        <v>1743</v>
      </c>
      <c r="F60" s="49">
        <v>43594</v>
      </c>
      <c r="G60" s="57">
        <v>43563</v>
      </c>
      <c r="H60" s="49">
        <v>43588</v>
      </c>
      <c r="I60" s="1706">
        <v>45625</v>
      </c>
      <c r="J60" s="103">
        <v>1000</v>
      </c>
      <c r="K60" s="46" t="s">
        <v>3229</v>
      </c>
      <c r="L60" s="50" t="s">
        <v>3229</v>
      </c>
      <c r="M60" s="54">
        <v>0</v>
      </c>
      <c r="N60" s="1680">
        <v>1</v>
      </c>
      <c r="O60" s="1707">
        <v>1</v>
      </c>
      <c r="P60" s="89" t="s">
        <v>3229</v>
      </c>
      <c r="Q60" s="89" t="s">
        <v>3229</v>
      </c>
      <c r="R60" s="620" t="s">
        <v>3229</v>
      </c>
      <c r="S60" s="619"/>
      <c r="T60" s="196" t="s">
        <v>3229</v>
      </c>
      <c r="U60" s="196" t="s">
        <v>3229</v>
      </c>
      <c r="V60" s="196" t="s">
        <v>3229</v>
      </c>
      <c r="W60" s="196" t="s">
        <v>3229</v>
      </c>
      <c r="X60" s="196" t="s">
        <v>3229</v>
      </c>
      <c r="Y60" s="196" t="s">
        <v>3229</v>
      </c>
      <c r="Z60" s="196" t="s">
        <v>3229</v>
      </c>
      <c r="AA60" s="196" t="s">
        <v>3229</v>
      </c>
      <c r="AB60" s="196" t="s">
        <v>3229</v>
      </c>
      <c r="AC60" s="196" t="s">
        <v>3229</v>
      </c>
      <c r="AD60" s="196" t="s">
        <v>3229</v>
      </c>
      <c r="AE60" s="196" t="s">
        <v>3229</v>
      </c>
      <c r="AF60" s="621" t="str">
        <f>IF(S99="","-",IF(T60="",S99,MAX(IF(T60&gt;indexy!$B$1,S99,S99-S99),IF(U60&gt;indexy!$B$1,S99-1,S99-S99),IF(V60&gt;indexy!$B$1,S99-2,S99-S99),IF(W60&gt;indexy!$B$1,S99-3,S99-S99),IF(X60&gt;indexy!$B$1,S99-4,S99-S99),IF(Y60&gt;indexy!$B$1,S99-5,S99-S99),IF(Z60&gt;indexy!$B$1,S99-6,S99-S99),IF(AA60&gt;indexy!$B$1,S99-7,S99-S99),IF(AB60&gt;indexy!$B$1,S99-8,S99-S99),IF(AC60&gt;indexy!$B$1,S99-9,S99-S99),IF(AD60&gt;indexy!$B$1,S99-10,S99-S99),IF(AE60&gt;indexy!$B$1,S99-11,S99-S99))))</f>
        <v>-</v>
      </c>
      <c r="AG60" s="55">
        <f>(I60-indexy!$B$1)/365</f>
        <v>0.67397260273972603</v>
      </c>
      <c r="AH60" s="687" t="s">
        <v>3229</v>
      </c>
      <c r="AI60" s="687" t="s">
        <v>3229</v>
      </c>
      <c r="AJ60" s="687" t="s">
        <v>3229</v>
      </c>
      <c r="AK60" s="687" t="s">
        <v>3229</v>
      </c>
      <c r="AL60" s="687" t="s">
        <v>3229</v>
      </c>
      <c r="AM60" s="126">
        <v>1</v>
      </c>
      <c r="AN60" s="685">
        <f>+'klikací hodnoty2'!F2706</f>
        <v>0.23571739966752531</v>
      </c>
      <c r="AO60" s="317">
        <v>1163.67</v>
      </c>
      <c r="AP60" s="685">
        <f>+'klikací hodnoty2'!F2705</f>
        <v>0.23571739966752531</v>
      </c>
      <c r="AQ60" s="685">
        <f>+'klikací hodnoty2'!F2692</f>
        <v>0.20030739966752531</v>
      </c>
      <c r="AR60" s="197">
        <f t="shared" si="42"/>
        <v>1</v>
      </c>
      <c r="AS60" s="56">
        <f t="shared" si="43"/>
        <v>0.13265965930691515</v>
      </c>
      <c r="AT60" s="56"/>
      <c r="AU60" s="56"/>
      <c r="AV60" s="127">
        <f t="shared" si="44"/>
        <v>0</v>
      </c>
      <c r="AW60" s="45">
        <f t="shared" si="45"/>
        <v>0</v>
      </c>
      <c r="AX60" s="171"/>
      <c r="AY60" s="136"/>
      <c r="AZ60" s="210">
        <f t="shared" si="46"/>
        <v>1000</v>
      </c>
      <c r="BA60" s="12"/>
      <c r="BB60" s="619"/>
      <c r="BC60" s="138"/>
      <c r="BD60" s="3430"/>
      <c r="BE60" s="3435"/>
      <c r="BF60" s="3435"/>
      <c r="BG60" s="3435"/>
      <c r="BH60" s="3430"/>
      <c r="BI60" s="209"/>
    </row>
    <row r="61" spans="1:61" s="415" customFormat="1" x14ac:dyDescent="0.25">
      <c r="A61" s="1715" t="s">
        <v>9924</v>
      </c>
      <c r="B61" s="1730" t="s">
        <v>9924</v>
      </c>
      <c r="C61" s="52" t="s">
        <v>9925</v>
      </c>
      <c r="D61" s="46" t="s">
        <v>4384</v>
      </c>
      <c r="E61" s="52" t="s">
        <v>1743</v>
      </c>
      <c r="F61" s="49">
        <v>43623</v>
      </c>
      <c r="G61" s="57">
        <v>43598</v>
      </c>
      <c r="H61" s="49">
        <v>43616</v>
      </c>
      <c r="I61" s="1706">
        <v>45930</v>
      </c>
      <c r="J61" s="103">
        <v>1000</v>
      </c>
      <c r="K61" s="46" t="s">
        <v>3229</v>
      </c>
      <c r="L61" s="50" t="s">
        <v>3229</v>
      </c>
      <c r="M61" s="54">
        <v>0</v>
      </c>
      <c r="N61" s="1680">
        <v>1</v>
      </c>
      <c r="O61" s="1707">
        <v>1</v>
      </c>
      <c r="P61" s="89" t="s">
        <v>3229</v>
      </c>
      <c r="Q61" s="89" t="s">
        <v>3229</v>
      </c>
      <c r="R61" s="620" t="s">
        <v>3229</v>
      </c>
      <c r="S61" s="619"/>
      <c r="T61" s="196" t="s">
        <v>3229</v>
      </c>
      <c r="U61" s="196" t="s">
        <v>3229</v>
      </c>
      <c r="V61" s="196" t="s">
        <v>3229</v>
      </c>
      <c r="W61" s="196" t="s">
        <v>3229</v>
      </c>
      <c r="X61" s="196" t="s">
        <v>3229</v>
      </c>
      <c r="Y61" s="196" t="s">
        <v>3229</v>
      </c>
      <c r="Z61" s="196" t="s">
        <v>3229</v>
      </c>
      <c r="AA61" s="196" t="s">
        <v>3229</v>
      </c>
      <c r="AB61" s="196" t="s">
        <v>3229</v>
      </c>
      <c r="AC61" s="196" t="s">
        <v>3229</v>
      </c>
      <c r="AD61" s="196" t="s">
        <v>3229</v>
      </c>
      <c r="AE61" s="196" t="s">
        <v>3229</v>
      </c>
      <c r="AF61" s="621" t="str">
        <f>IF(S100="","-",IF(T61="",S100,MAX(IF(T61&gt;indexy!$B$1,S100,S100-S100),IF(U61&gt;indexy!$B$1,S100-1,S100-S100),IF(V61&gt;indexy!$B$1,S100-2,S100-S100),IF(W61&gt;indexy!$B$1,S100-3,S100-S100),IF(X61&gt;indexy!$B$1,S100-4,S100-S100),IF(Y61&gt;indexy!$B$1,S100-5,S100-S100),IF(Z61&gt;indexy!$B$1,S100-6,S100-S100),IF(AA61&gt;indexy!$B$1,S100-7,S100-S100),IF(AB61&gt;indexy!$B$1,S100-8,S100-S100),IF(AC61&gt;indexy!$B$1,S100-9,S100-S100),IF(AD61&gt;indexy!$B$1,S100-10,S100-S100),IF(AE61&gt;indexy!$B$1,S100-11,S100-S100))))</f>
        <v>-</v>
      </c>
      <c r="AG61" s="55">
        <f>(I61-indexy!$B$1)/365</f>
        <v>1.5095890410958903</v>
      </c>
      <c r="AH61" s="687" t="s">
        <v>3229</v>
      </c>
      <c r="AI61" s="687" t="s">
        <v>3229</v>
      </c>
      <c r="AJ61" s="687" t="s">
        <v>3229</v>
      </c>
      <c r="AK61" s="687" t="s">
        <v>3229</v>
      </c>
      <c r="AL61" s="687" t="s">
        <v>3229</v>
      </c>
      <c r="AM61" s="126">
        <v>1</v>
      </c>
      <c r="AN61" s="685">
        <f>+'klikací hodnoty2'!F2753</f>
        <v>0.10362661471116028</v>
      </c>
      <c r="AO61" s="317">
        <v>958.12</v>
      </c>
      <c r="AP61" s="685">
        <f>+'klikací hodnoty2'!F2752</f>
        <v>0.10362661471116028</v>
      </c>
      <c r="AQ61" s="685">
        <f>+'klikací hodnoty2'!F2739</f>
        <v>9.0905614711160307E-2</v>
      </c>
      <c r="AR61" s="197">
        <f t="shared" si="42"/>
        <v>1</v>
      </c>
      <c r="AS61" s="56">
        <f t="shared" si="43"/>
        <v>0.11590493736925267</v>
      </c>
      <c r="AT61" s="56"/>
      <c r="AU61" s="56"/>
      <c r="AV61" s="127">
        <f t="shared" si="44"/>
        <v>0</v>
      </c>
      <c r="AW61" s="45">
        <f t="shared" si="45"/>
        <v>0</v>
      </c>
      <c r="AX61" s="171"/>
      <c r="AY61" s="136"/>
      <c r="AZ61" s="210">
        <f t="shared" si="46"/>
        <v>1000</v>
      </c>
      <c r="BA61" s="12"/>
      <c r="BB61" s="619"/>
      <c r="BC61" s="138"/>
      <c r="BD61" s="3430"/>
      <c r="BE61" s="3435"/>
      <c r="BF61" s="3435"/>
      <c r="BG61" s="3435"/>
      <c r="BH61" s="3430"/>
      <c r="BI61" s="209"/>
    </row>
    <row r="62" spans="1:61" s="415" customFormat="1" x14ac:dyDescent="0.25">
      <c r="A62" s="1715" t="s">
        <v>9951</v>
      </c>
      <c r="B62" s="1730" t="s">
        <v>9951</v>
      </c>
      <c r="C62" s="52" t="s">
        <v>10002</v>
      </c>
      <c r="D62" s="46" t="s">
        <v>4384</v>
      </c>
      <c r="E62" s="52" t="s">
        <v>1743</v>
      </c>
      <c r="F62" s="49">
        <v>43654</v>
      </c>
      <c r="G62" s="57">
        <v>43626</v>
      </c>
      <c r="H62" s="49">
        <v>43644</v>
      </c>
      <c r="I62" s="1706">
        <v>45961</v>
      </c>
      <c r="J62" s="103">
        <v>1000</v>
      </c>
      <c r="K62" s="46" t="s">
        <v>3229</v>
      </c>
      <c r="L62" s="50" t="s">
        <v>3229</v>
      </c>
      <c r="M62" s="54">
        <v>0</v>
      </c>
      <c r="N62" s="1680">
        <v>1</v>
      </c>
      <c r="O62" s="1707">
        <v>1</v>
      </c>
      <c r="P62" s="89" t="s">
        <v>3229</v>
      </c>
      <c r="Q62" s="89" t="s">
        <v>3229</v>
      </c>
      <c r="R62" s="620" t="s">
        <v>3229</v>
      </c>
      <c r="S62" s="619"/>
      <c r="T62" s="196" t="s">
        <v>3229</v>
      </c>
      <c r="U62" s="196" t="s">
        <v>3229</v>
      </c>
      <c r="V62" s="196" t="s">
        <v>3229</v>
      </c>
      <c r="W62" s="196" t="s">
        <v>3229</v>
      </c>
      <c r="X62" s="196" t="s">
        <v>3229</v>
      </c>
      <c r="Y62" s="196" t="s">
        <v>3229</v>
      </c>
      <c r="Z62" s="196" t="s">
        <v>3229</v>
      </c>
      <c r="AA62" s="196" t="s">
        <v>3229</v>
      </c>
      <c r="AB62" s="196" t="s">
        <v>3229</v>
      </c>
      <c r="AC62" s="196" t="s">
        <v>3229</v>
      </c>
      <c r="AD62" s="196" t="s">
        <v>3229</v>
      </c>
      <c r="AE62" s="196" t="s">
        <v>3229</v>
      </c>
      <c r="AF62" s="621" t="str">
        <f>IF(S101="","-",IF(T62="",S101,MAX(IF(T62&gt;indexy!$B$1,S101,S101-S101),IF(U62&gt;indexy!$B$1,S101-1,S101-S101),IF(V62&gt;indexy!$B$1,S101-2,S101-S101),IF(W62&gt;indexy!$B$1,S101-3,S101-S101),IF(X62&gt;indexy!$B$1,S101-4,S101-S101),IF(Y62&gt;indexy!$B$1,S101-5,S101-S101),IF(Z62&gt;indexy!$B$1,S101-6,S101-S101),IF(AA62&gt;indexy!$B$1,S101-7,S101-S101),IF(AB62&gt;indexy!$B$1,S101-8,S101-S101),IF(AC62&gt;indexy!$B$1,S101-9,S101-S101),IF(AD62&gt;indexy!$B$1,S101-10,S101-S101),IF(AE62&gt;indexy!$B$1,S101-11,S101-S101))))</f>
        <v>-</v>
      </c>
      <c r="AG62" s="55">
        <f>(I62-indexy!$B$1)/365</f>
        <v>1.5945205479452054</v>
      </c>
      <c r="AH62" s="687" t="s">
        <v>3229</v>
      </c>
      <c r="AI62" s="687" t="s">
        <v>3229</v>
      </c>
      <c r="AJ62" s="687" t="s">
        <v>3229</v>
      </c>
      <c r="AK62" s="687" t="s">
        <v>3229</v>
      </c>
      <c r="AL62" s="687" t="s">
        <v>3229</v>
      </c>
      <c r="AM62" s="126">
        <v>1</v>
      </c>
      <c r="AN62" s="685">
        <f>+'klikací hodnoty2'!F2800</f>
        <v>0.38854612261876326</v>
      </c>
      <c r="AO62" s="317">
        <v>1163.93</v>
      </c>
      <c r="AP62" s="685">
        <f>+'klikací hodnoty2'!F2799</f>
        <v>0.38854612261876326</v>
      </c>
      <c r="AQ62" s="685">
        <f>+'klikací hodnoty2'!F2786</f>
        <v>7.697912261876326E-2</v>
      </c>
      <c r="AR62" s="197">
        <f t="shared" ref="AR62:AR67" si="47">O62</f>
        <v>1</v>
      </c>
      <c r="AS62" s="56">
        <f t="shared" ref="AS62:AS67" si="48">POWER(1+AR62,1/((I62-F62)/365))-1</f>
        <v>0.11590493736925267</v>
      </c>
      <c r="AT62" s="56"/>
      <c r="AU62" s="56"/>
      <c r="AV62" s="127">
        <f t="shared" ref="AV62:AV67" si="49">M62</f>
        <v>0</v>
      </c>
      <c r="AW62" s="45">
        <f t="shared" ref="AW62:AW67" si="50">POWER(1+AV62,1/((I62-F62)/365))-1</f>
        <v>0</v>
      </c>
      <c r="AX62" s="171"/>
      <c r="AY62" s="136"/>
      <c r="AZ62" s="210">
        <f t="shared" ref="AZ62:AZ67" si="51">J62*(1+AV62)</f>
        <v>1000</v>
      </c>
      <c r="BA62" s="12"/>
      <c r="BB62" s="619"/>
      <c r="BC62" s="138"/>
      <c r="BD62" s="3430"/>
      <c r="BE62" s="3435"/>
      <c r="BF62" s="3435"/>
      <c r="BG62" s="3435"/>
      <c r="BH62" s="3430"/>
      <c r="BI62" s="209"/>
    </row>
    <row r="63" spans="1:61" s="415" customFormat="1" x14ac:dyDescent="0.25">
      <c r="A63" s="1715" t="s">
        <v>9960</v>
      </c>
      <c r="B63" s="1730" t="s">
        <v>9960</v>
      </c>
      <c r="C63" s="52" t="s">
        <v>10068</v>
      </c>
      <c r="D63" s="46" t="s">
        <v>4384</v>
      </c>
      <c r="E63" s="52" t="s">
        <v>1743</v>
      </c>
      <c r="F63" s="49">
        <v>43685</v>
      </c>
      <c r="G63" s="57">
        <v>43654</v>
      </c>
      <c r="H63" s="49">
        <v>43679</v>
      </c>
      <c r="I63" s="1706">
        <v>45989</v>
      </c>
      <c r="J63" s="103">
        <v>1000</v>
      </c>
      <c r="K63" s="46" t="s">
        <v>3229</v>
      </c>
      <c r="L63" s="50" t="s">
        <v>3229</v>
      </c>
      <c r="M63" s="54">
        <v>0</v>
      </c>
      <c r="N63" s="1680">
        <v>1</v>
      </c>
      <c r="O63" s="1707">
        <v>1</v>
      </c>
      <c r="P63" s="89" t="s">
        <v>3229</v>
      </c>
      <c r="Q63" s="89" t="s">
        <v>3229</v>
      </c>
      <c r="R63" s="620" t="s">
        <v>3229</v>
      </c>
      <c r="S63" s="619"/>
      <c r="T63" s="196" t="s">
        <v>3229</v>
      </c>
      <c r="U63" s="196" t="s">
        <v>3229</v>
      </c>
      <c r="V63" s="196" t="s">
        <v>3229</v>
      </c>
      <c r="W63" s="196" t="s">
        <v>3229</v>
      </c>
      <c r="X63" s="196" t="s">
        <v>3229</v>
      </c>
      <c r="Y63" s="196" t="s">
        <v>3229</v>
      </c>
      <c r="Z63" s="196" t="s">
        <v>3229</v>
      </c>
      <c r="AA63" s="196" t="s">
        <v>3229</v>
      </c>
      <c r="AB63" s="196" t="s">
        <v>3229</v>
      </c>
      <c r="AC63" s="196" t="s">
        <v>3229</v>
      </c>
      <c r="AD63" s="196" t="s">
        <v>3229</v>
      </c>
      <c r="AE63" s="196" t="s">
        <v>3229</v>
      </c>
      <c r="AF63" s="621" t="str">
        <f>IF(S102="","-",IF(T63="",S102,MAX(IF(T63&gt;indexy!$B$1,S102,S102-S102),IF(U63&gt;indexy!$B$1,S102-1,S102-S102),IF(V63&gt;indexy!$B$1,S102-2,S102-S102),IF(W63&gt;indexy!$B$1,S102-3,S102-S102),IF(X63&gt;indexy!$B$1,S102-4,S102-S102),IF(Y63&gt;indexy!$B$1,S102-5,S102-S102),IF(Z63&gt;indexy!$B$1,S102-6,S102-S102),IF(AA63&gt;indexy!$B$1,S102-7,S102-S102),IF(AB63&gt;indexy!$B$1,S102-8,S102-S102),IF(AC63&gt;indexy!$B$1,S102-9,S102-S102),IF(AD63&gt;indexy!$B$1,S102-10,S102-S102),IF(AE63&gt;indexy!$B$1,S102-11,S102-S102))))</f>
        <v>-</v>
      </c>
      <c r="AG63" s="55">
        <f>(I63-indexy!$B$1)/365</f>
        <v>1.6712328767123288</v>
      </c>
      <c r="AH63" s="687" t="s">
        <v>3229</v>
      </c>
      <c r="AI63" s="687" t="s">
        <v>3229</v>
      </c>
      <c r="AJ63" s="687" t="s">
        <v>3229</v>
      </c>
      <c r="AK63" s="687" t="s">
        <v>3229</v>
      </c>
      <c r="AL63" s="687" t="s">
        <v>3229</v>
      </c>
      <c r="AM63" s="126">
        <v>1</v>
      </c>
      <c r="AN63" s="685">
        <f>+'klikací hodnoty2'!F2847</f>
        <v>0.40890462703055375</v>
      </c>
      <c r="AO63" s="317">
        <v>1180.18</v>
      </c>
      <c r="AP63" s="685">
        <f>+'klikací hodnoty2'!F2846</f>
        <v>0.40890462703055375</v>
      </c>
      <c r="AQ63" s="685">
        <f>+'klikací hodnoty2'!F2833</f>
        <v>0.11455062703055371</v>
      </c>
      <c r="AR63" s="197">
        <f t="shared" si="47"/>
        <v>1</v>
      </c>
      <c r="AS63" s="56">
        <f t="shared" si="48"/>
        <v>0.11606429311158406</v>
      </c>
      <c r="AT63" s="56"/>
      <c r="AU63" s="56"/>
      <c r="AV63" s="127">
        <f t="shared" si="49"/>
        <v>0</v>
      </c>
      <c r="AW63" s="45">
        <f t="shared" si="50"/>
        <v>0</v>
      </c>
      <c r="AX63" s="171"/>
      <c r="AY63" s="136"/>
      <c r="AZ63" s="210">
        <f t="shared" si="51"/>
        <v>1000</v>
      </c>
      <c r="BA63" s="12"/>
      <c r="BB63" s="619"/>
      <c r="BC63" s="138"/>
      <c r="BD63" s="3430"/>
      <c r="BE63" s="3435"/>
      <c r="BF63" s="3435"/>
      <c r="BG63" s="3435"/>
      <c r="BH63" s="3430"/>
      <c r="BI63" s="209"/>
    </row>
    <row r="64" spans="1:61" s="415" customFormat="1" x14ac:dyDescent="0.25">
      <c r="A64" s="1715" t="s">
        <v>9998</v>
      </c>
      <c r="B64" s="1730" t="s">
        <v>9998</v>
      </c>
      <c r="C64" s="52" t="s">
        <v>10069</v>
      </c>
      <c r="D64" s="46" t="s">
        <v>1872</v>
      </c>
      <c r="E64" s="52" t="s">
        <v>1743</v>
      </c>
      <c r="F64" s="49">
        <v>43714</v>
      </c>
      <c r="G64" s="57">
        <v>43689</v>
      </c>
      <c r="H64" s="49">
        <v>43707</v>
      </c>
      <c r="I64" s="1706">
        <v>46052</v>
      </c>
      <c r="J64" s="103">
        <v>1000</v>
      </c>
      <c r="K64" s="46" t="s">
        <v>3229</v>
      </c>
      <c r="L64" s="50" t="s">
        <v>3229</v>
      </c>
      <c r="M64" s="54">
        <v>0</v>
      </c>
      <c r="N64" s="1680">
        <v>1</v>
      </c>
      <c r="O64" s="1707">
        <v>1</v>
      </c>
      <c r="P64" s="89" t="s">
        <v>3229</v>
      </c>
      <c r="Q64" s="89" t="s">
        <v>3229</v>
      </c>
      <c r="R64" s="620" t="s">
        <v>3229</v>
      </c>
      <c r="S64" s="619"/>
      <c r="T64" s="196" t="s">
        <v>3229</v>
      </c>
      <c r="U64" s="196" t="s">
        <v>3229</v>
      </c>
      <c r="V64" s="196" t="s">
        <v>3229</v>
      </c>
      <c r="W64" s="196" t="s">
        <v>3229</v>
      </c>
      <c r="X64" s="196" t="s">
        <v>3229</v>
      </c>
      <c r="Y64" s="196" t="s">
        <v>3229</v>
      </c>
      <c r="Z64" s="196" t="s">
        <v>3229</v>
      </c>
      <c r="AA64" s="196" t="s">
        <v>3229</v>
      </c>
      <c r="AB64" s="196" t="s">
        <v>3229</v>
      </c>
      <c r="AC64" s="196" t="s">
        <v>3229</v>
      </c>
      <c r="AD64" s="196" t="s">
        <v>3229</v>
      </c>
      <c r="AE64" s="196" t="s">
        <v>3229</v>
      </c>
      <c r="AF64" s="621" t="str">
        <f>IF(S103="","-",IF(T64="",S103,MAX(IF(T64&gt;indexy!$B$1,S103,S103-S103),IF(U64&gt;indexy!$B$1,S103-1,S103-S103),IF(V64&gt;indexy!$B$1,S103-2,S103-S103),IF(W64&gt;indexy!$B$1,S103-3,S103-S103),IF(X64&gt;indexy!$B$1,S103-4,S103-S103),IF(Y64&gt;indexy!$B$1,S103-5,S103-S103),IF(Z64&gt;indexy!$B$1,S103-6,S103-S103),IF(AA64&gt;indexy!$B$1,S103-7,S103-S103),IF(AB64&gt;indexy!$B$1,S103-8,S103-S103),IF(AC64&gt;indexy!$B$1,S103-9,S103-S103),IF(AD64&gt;indexy!$B$1,S103-10,S103-S103),IF(AE64&gt;indexy!$B$1,S103-11,S103-S103))))</f>
        <v>-</v>
      </c>
      <c r="AG64" s="55">
        <f>(I64-indexy!$B$1)/365</f>
        <v>1.8438356164383563</v>
      </c>
      <c r="AH64" s="687" t="s">
        <v>3229</v>
      </c>
      <c r="AI64" s="687" t="s">
        <v>3229</v>
      </c>
      <c r="AJ64" s="687" t="s">
        <v>3229</v>
      </c>
      <c r="AK64" s="687" t="s">
        <v>3229</v>
      </c>
      <c r="AL64" s="687" t="s">
        <v>3229</v>
      </c>
      <c r="AM64" s="126">
        <v>1</v>
      </c>
      <c r="AN64" s="685">
        <f>+'klikací hodnoty2'!F2941</f>
        <v>0.41213392465199616</v>
      </c>
      <c r="AO64" s="317">
        <v>1158.5899999999999</v>
      </c>
      <c r="AP64" s="685">
        <f>+'klikací hodnoty2'!E2940</f>
        <v>0.13678192465199612</v>
      </c>
      <c r="AQ64" s="685">
        <f>+'klikací hodnoty2'!F2927</f>
        <v>0.13678192465199612</v>
      </c>
      <c r="AR64" s="197">
        <f t="shared" si="47"/>
        <v>1</v>
      </c>
      <c r="AS64" s="56">
        <f t="shared" si="48"/>
        <v>0.11428350288139666</v>
      </c>
      <c r="AT64" s="56"/>
      <c r="AU64" s="56"/>
      <c r="AV64" s="127">
        <f t="shared" si="49"/>
        <v>0</v>
      </c>
      <c r="AW64" s="45">
        <f t="shared" si="50"/>
        <v>0</v>
      </c>
      <c r="AX64" s="171"/>
      <c r="AY64" s="136"/>
      <c r="AZ64" s="210">
        <f t="shared" si="51"/>
        <v>1000</v>
      </c>
      <c r="BA64" s="12"/>
      <c r="BB64" s="619"/>
      <c r="BC64" s="138"/>
      <c r="BD64" s="3430"/>
      <c r="BE64" s="3435"/>
      <c r="BF64" s="3435"/>
      <c r="BG64" s="3435"/>
      <c r="BH64" s="3430"/>
      <c r="BI64" s="209"/>
    </row>
    <row r="65" spans="1:61" s="415" customFormat="1" x14ac:dyDescent="0.25">
      <c r="A65" s="1715" t="s">
        <v>10117</v>
      </c>
      <c r="B65" s="1730" t="s">
        <v>10114</v>
      </c>
      <c r="C65" s="52" t="s">
        <v>10184</v>
      </c>
      <c r="D65" s="46" t="s">
        <v>4384</v>
      </c>
      <c r="E65" s="52" t="s">
        <v>1743</v>
      </c>
      <c r="F65" s="49">
        <v>43745</v>
      </c>
      <c r="G65" s="57">
        <v>43720</v>
      </c>
      <c r="H65" s="49">
        <v>43734</v>
      </c>
      <c r="I65" s="1706">
        <v>46052</v>
      </c>
      <c r="J65" s="103">
        <v>1000</v>
      </c>
      <c r="K65" s="46" t="s">
        <v>3229</v>
      </c>
      <c r="L65" s="50" t="s">
        <v>3229</v>
      </c>
      <c r="M65" s="54">
        <v>0</v>
      </c>
      <c r="N65" s="1680">
        <v>1</v>
      </c>
      <c r="O65" s="1707">
        <v>1</v>
      </c>
      <c r="P65" s="89" t="s">
        <v>3229</v>
      </c>
      <c r="Q65" s="89" t="s">
        <v>3229</v>
      </c>
      <c r="R65" s="620" t="s">
        <v>3229</v>
      </c>
      <c r="S65" s="619"/>
      <c r="T65" s="196" t="s">
        <v>3229</v>
      </c>
      <c r="U65" s="196" t="s">
        <v>3229</v>
      </c>
      <c r="V65" s="196" t="s">
        <v>3229</v>
      </c>
      <c r="W65" s="196" t="s">
        <v>3229</v>
      </c>
      <c r="X65" s="196" t="s">
        <v>3229</v>
      </c>
      <c r="Y65" s="196" t="s">
        <v>3229</v>
      </c>
      <c r="Z65" s="196" t="s">
        <v>3229</v>
      </c>
      <c r="AA65" s="196" t="s">
        <v>3229</v>
      </c>
      <c r="AB65" s="196" t="s">
        <v>3229</v>
      </c>
      <c r="AC65" s="196" t="s">
        <v>3229</v>
      </c>
      <c r="AD65" s="196" t="s">
        <v>3229</v>
      </c>
      <c r="AE65" s="196" t="s">
        <v>3229</v>
      </c>
      <c r="AF65" s="621" t="str">
        <f>IF(S104="","-",IF(T65="",S104,MAX(IF(T65&gt;indexy!$B$1,S104,S104-S104),IF(U65&gt;indexy!$B$1,S104-1,S104-S104),IF(V65&gt;indexy!$B$1,S104-2,S104-S104),IF(W65&gt;indexy!$B$1,S104-3,S104-S104),IF(X65&gt;indexy!$B$1,S104-4,S104-S104),IF(Y65&gt;indexy!$B$1,S104-5,S104-S104),IF(Z65&gt;indexy!$B$1,S104-6,S104-S104),IF(AA65&gt;indexy!$B$1,S104-7,S104-S104),IF(AB65&gt;indexy!$B$1,S104-8,S104-S104),IF(AC65&gt;indexy!$B$1,S104-9,S104-S104),IF(AD65&gt;indexy!$B$1,S104-10,S104-S104),IF(AE65&gt;indexy!$B$1,S104-11,S104-S104))))</f>
        <v>-</v>
      </c>
      <c r="AG65" s="55">
        <f>(I65-indexy!$B$1)/365</f>
        <v>1.8438356164383563</v>
      </c>
      <c r="AH65" s="687" t="s">
        <v>3229</v>
      </c>
      <c r="AI65" s="687" t="s">
        <v>3229</v>
      </c>
      <c r="AJ65" s="687" t="s">
        <v>3229</v>
      </c>
      <c r="AK65" s="687" t="s">
        <v>3229</v>
      </c>
      <c r="AL65" s="687" t="s">
        <v>3229</v>
      </c>
      <c r="AM65" s="126">
        <v>1</v>
      </c>
      <c r="AN65" s="685">
        <f>+'klikací hodnoty2'!F2894</f>
        <v>0.41861103386183485</v>
      </c>
      <c r="AO65" s="317">
        <v>1159.96</v>
      </c>
      <c r="AP65" s="685">
        <f>+'klikací hodnoty2'!F2893</f>
        <v>0.41861103386183485</v>
      </c>
      <c r="AQ65" s="685">
        <f>+'klikací hodnoty2'!F2880</f>
        <v>0.12261103386183494</v>
      </c>
      <c r="AR65" s="197">
        <f t="shared" si="47"/>
        <v>1</v>
      </c>
      <c r="AS65" s="56">
        <f t="shared" si="48"/>
        <v>0.11590493736925267</v>
      </c>
      <c r="AT65" s="56"/>
      <c r="AU65" s="56"/>
      <c r="AV65" s="127">
        <f t="shared" si="49"/>
        <v>0</v>
      </c>
      <c r="AW65" s="45">
        <f t="shared" si="50"/>
        <v>0</v>
      </c>
      <c r="AX65" s="171"/>
      <c r="AY65" s="136"/>
      <c r="AZ65" s="210">
        <f t="shared" si="51"/>
        <v>1000</v>
      </c>
      <c r="BA65" s="12"/>
      <c r="BB65" s="619"/>
      <c r="BC65" s="138"/>
      <c r="BD65" s="3430"/>
      <c r="BE65" s="3435"/>
      <c r="BF65" s="3435"/>
      <c r="BG65" s="3435"/>
      <c r="BH65" s="3430"/>
      <c r="BI65" s="209"/>
    </row>
    <row r="66" spans="1:61" s="415" customFormat="1" x14ac:dyDescent="0.25">
      <c r="A66" s="1715" t="s">
        <v>10115</v>
      </c>
      <c r="B66" s="1730" t="s">
        <v>10115</v>
      </c>
      <c r="C66" s="52" t="s">
        <v>10208</v>
      </c>
      <c r="D66" s="46" t="s">
        <v>4384</v>
      </c>
      <c r="E66" s="52" t="s">
        <v>1743</v>
      </c>
      <c r="F66" s="49">
        <v>43781</v>
      </c>
      <c r="G66" s="57">
        <v>43745</v>
      </c>
      <c r="H66" s="49">
        <v>43769</v>
      </c>
      <c r="I66" s="1706">
        <v>46080</v>
      </c>
      <c r="J66" s="103">
        <v>1000</v>
      </c>
      <c r="K66" s="46" t="s">
        <v>3229</v>
      </c>
      <c r="L66" s="50" t="s">
        <v>3229</v>
      </c>
      <c r="M66" s="54">
        <v>0</v>
      </c>
      <c r="N66" s="1680">
        <v>1</v>
      </c>
      <c r="O66" s="1707">
        <v>1</v>
      </c>
      <c r="P66" s="89" t="s">
        <v>3229</v>
      </c>
      <c r="Q66" s="89" t="s">
        <v>3229</v>
      </c>
      <c r="R66" s="620" t="s">
        <v>3229</v>
      </c>
      <c r="S66" s="619"/>
      <c r="T66" s="196" t="s">
        <v>3229</v>
      </c>
      <c r="U66" s="196" t="s">
        <v>3229</v>
      </c>
      <c r="V66" s="196" t="s">
        <v>3229</v>
      </c>
      <c r="W66" s="196" t="s">
        <v>3229</v>
      </c>
      <c r="X66" s="196" t="s">
        <v>3229</v>
      </c>
      <c r="Y66" s="196" t="s">
        <v>3229</v>
      </c>
      <c r="Z66" s="196" t="s">
        <v>3229</v>
      </c>
      <c r="AA66" s="196" t="s">
        <v>3229</v>
      </c>
      <c r="AB66" s="196" t="s">
        <v>3229</v>
      </c>
      <c r="AC66" s="196" t="s">
        <v>3229</v>
      </c>
      <c r="AD66" s="196" t="s">
        <v>3229</v>
      </c>
      <c r="AE66" s="196" t="s">
        <v>3229</v>
      </c>
      <c r="AF66" s="621" t="str">
        <f>IF(S105="","-",IF(T66="",S105,MAX(IF(T66&gt;indexy!$B$1,S105,S105-S105),IF(U66&gt;indexy!$B$1,S105-1,S105-S105),IF(V66&gt;indexy!$B$1,S105-2,S105-S105),IF(W66&gt;indexy!$B$1,S105-3,S105-S105),IF(X66&gt;indexy!$B$1,S105-4,S105-S105),IF(Y66&gt;indexy!$B$1,S105-5,S105-S105),IF(Z66&gt;indexy!$B$1,S105-6,S105-S105),IF(AA66&gt;indexy!$B$1,S105-7,S105-S105),IF(AB66&gt;indexy!$B$1,S105-8,S105-S105),IF(AC66&gt;indexy!$B$1,S105-9,S105-S105),IF(AD66&gt;indexy!$B$1,S105-10,S105-S105),IF(AE66&gt;indexy!$B$1,S105-11,S105-S105))))</f>
        <v>-</v>
      </c>
      <c r="AG66" s="55">
        <f>(I66-indexy!$B$1)/365</f>
        <v>1.9205479452054794</v>
      </c>
      <c r="AH66" s="687" t="s">
        <v>3229</v>
      </c>
      <c r="AI66" s="687" t="s">
        <v>3229</v>
      </c>
      <c r="AJ66" s="687" t="s">
        <v>3229</v>
      </c>
      <c r="AK66" s="687" t="s">
        <v>3229</v>
      </c>
      <c r="AL66" s="687" t="s">
        <v>3229</v>
      </c>
      <c r="AM66" s="126">
        <v>1</v>
      </c>
      <c r="AN66" s="685">
        <f>+'klikací hodnoty2'!F2988</f>
        <v>8.7228326580625432E-2</v>
      </c>
      <c r="AO66" s="317">
        <v>1142.5899999999999</v>
      </c>
      <c r="AP66" s="685">
        <f>+'klikací hodnoty2'!F2987</f>
        <v>8.7228326580625432E-2</v>
      </c>
      <c r="AQ66" s="685">
        <f>+'klikací hodnoty2'!F2974</f>
        <v>8.7228326580625515E-2</v>
      </c>
      <c r="AR66" s="197">
        <f t="shared" si="47"/>
        <v>1</v>
      </c>
      <c r="AS66" s="56">
        <f t="shared" si="48"/>
        <v>0.11633086107699175</v>
      </c>
      <c r="AT66" s="56"/>
      <c r="AU66" s="56"/>
      <c r="AV66" s="127">
        <f t="shared" si="49"/>
        <v>0</v>
      </c>
      <c r="AW66" s="45">
        <f t="shared" si="50"/>
        <v>0</v>
      </c>
      <c r="AX66" s="171"/>
      <c r="AY66" s="136"/>
      <c r="AZ66" s="210">
        <f t="shared" si="51"/>
        <v>1000</v>
      </c>
      <c r="BA66" s="12"/>
      <c r="BB66" s="619"/>
      <c r="BC66" s="138"/>
      <c r="BD66" s="3430"/>
      <c r="BE66" s="3435"/>
      <c r="BF66" s="3435"/>
      <c r="BG66" s="3435"/>
      <c r="BH66" s="3430"/>
      <c r="BI66" s="209"/>
    </row>
    <row r="67" spans="1:61" s="415" customFormat="1" x14ac:dyDescent="0.25">
      <c r="A67" s="1715" t="s">
        <v>10116</v>
      </c>
      <c r="B67" s="1730" t="s">
        <v>10116</v>
      </c>
      <c r="C67" s="52" t="s">
        <v>10185</v>
      </c>
      <c r="D67" s="46" t="s">
        <v>1872</v>
      </c>
      <c r="E67" s="52" t="s">
        <v>905</v>
      </c>
      <c r="F67" s="49">
        <v>43781</v>
      </c>
      <c r="G67" s="57">
        <v>43745</v>
      </c>
      <c r="H67" s="49">
        <v>43769</v>
      </c>
      <c r="I67" s="1706">
        <v>45716</v>
      </c>
      <c r="J67" s="103">
        <v>1000</v>
      </c>
      <c r="K67" s="46" t="s">
        <v>3229</v>
      </c>
      <c r="L67" s="50" t="s">
        <v>3229</v>
      </c>
      <c r="M67" s="54">
        <v>-0.1</v>
      </c>
      <c r="N67" s="1680">
        <v>1</v>
      </c>
      <c r="O67" s="1707">
        <v>0.45</v>
      </c>
      <c r="P67" s="89" t="s">
        <v>3229</v>
      </c>
      <c r="Q67" s="89" t="s">
        <v>3229</v>
      </c>
      <c r="R67" s="620" t="s">
        <v>3229</v>
      </c>
      <c r="S67" s="619"/>
      <c r="T67" s="196" t="s">
        <v>3229</v>
      </c>
      <c r="U67" s="196" t="s">
        <v>3229</v>
      </c>
      <c r="V67" s="196" t="s">
        <v>3229</v>
      </c>
      <c r="W67" s="196" t="s">
        <v>3229</v>
      </c>
      <c r="X67" s="196" t="s">
        <v>3229</v>
      </c>
      <c r="Y67" s="196" t="s">
        <v>3229</v>
      </c>
      <c r="Z67" s="196" t="s">
        <v>3229</v>
      </c>
      <c r="AA67" s="196" t="s">
        <v>3229</v>
      </c>
      <c r="AB67" s="196" t="s">
        <v>3229</v>
      </c>
      <c r="AC67" s="196" t="s">
        <v>3229</v>
      </c>
      <c r="AD67" s="196" t="s">
        <v>3229</v>
      </c>
      <c r="AE67" s="196" t="s">
        <v>3229</v>
      </c>
      <c r="AF67" s="621" t="str">
        <f>IF(S106="","-",IF(T67="",S106,MAX(IF(T67&gt;indexy!$B$1,S106,S106-S106),IF(U67&gt;indexy!$B$1,S106-1,S106-S106),IF(V67&gt;indexy!$B$1,S106-2,S106-S106),IF(W67&gt;indexy!$B$1,S106-3,S106-S106),IF(X67&gt;indexy!$B$1,S106-4,S106-S106),IF(Y67&gt;indexy!$B$1,S106-5,S106-S106),IF(Z67&gt;indexy!$B$1,S106-6,S106-S106),IF(AA67&gt;indexy!$B$1,S106-7,S106-S106),IF(AB67&gt;indexy!$B$1,S106-8,S106-S106),IF(AC67&gt;indexy!$B$1,S106-9,S106-S106),IF(AD67&gt;indexy!$B$1,S106-10,S106-S106),IF(AE67&gt;indexy!$B$1,S106-11,S106-S106))))</f>
        <v>-</v>
      </c>
      <c r="AG67" s="55">
        <f>(I67-indexy!$B$1)/365</f>
        <v>0.92328767123287669</v>
      </c>
      <c r="AH67" s="687" t="s">
        <v>3229</v>
      </c>
      <c r="AI67" s="687" t="s">
        <v>3229</v>
      </c>
      <c r="AJ67" s="687" t="s">
        <v>3229</v>
      </c>
      <c r="AK67" s="687" t="s">
        <v>3229</v>
      </c>
      <c r="AL67" s="687" t="s">
        <v>3229</v>
      </c>
      <c r="AM67" s="126">
        <v>1</v>
      </c>
      <c r="AN67" s="685">
        <f>+'klikací hodnoty2'!F3038</f>
        <v>1.5350934777277113E-2</v>
      </c>
      <c r="AO67" s="317">
        <v>982.35</v>
      </c>
      <c r="AP67" s="685">
        <f>+'klikací hodnoty2'!F3037</f>
        <v>1.5350934777277113E-2</v>
      </c>
      <c r="AQ67" s="685">
        <f>+'klikací hodnoty2'!F3024</f>
        <v>1.5350934777277111E-2</v>
      </c>
      <c r="AR67" s="197">
        <f t="shared" si="47"/>
        <v>0.45</v>
      </c>
      <c r="AS67" s="56">
        <f t="shared" si="48"/>
        <v>7.2602797885635617E-2</v>
      </c>
      <c r="AT67" s="56"/>
      <c r="AU67" s="56"/>
      <c r="AV67" s="127">
        <f t="shared" si="49"/>
        <v>-0.1</v>
      </c>
      <c r="AW67" s="45">
        <f t="shared" si="50"/>
        <v>-1.9678015625550271E-2</v>
      </c>
      <c r="AX67" s="171"/>
      <c r="AY67" s="136"/>
      <c r="AZ67" s="210">
        <f t="shared" si="51"/>
        <v>900</v>
      </c>
      <c r="BA67" s="12"/>
      <c r="BB67" s="619"/>
      <c r="BC67" s="138"/>
      <c r="BD67" s="3430"/>
      <c r="BE67" s="3435"/>
      <c r="BF67" s="3435"/>
      <c r="BG67" s="3435"/>
      <c r="BH67" s="3430"/>
      <c r="BI67" s="209"/>
    </row>
    <row r="68" spans="1:61" s="415" customFormat="1" x14ac:dyDescent="0.25">
      <c r="A68" s="1715" t="s">
        <v>10183</v>
      </c>
      <c r="B68" s="1730" t="s">
        <v>10183</v>
      </c>
      <c r="C68" s="52" t="s">
        <v>10186</v>
      </c>
      <c r="D68" s="46" t="s">
        <v>4384</v>
      </c>
      <c r="E68" s="52" t="s">
        <v>1743</v>
      </c>
      <c r="F68" s="49">
        <v>43808</v>
      </c>
      <c r="G68" s="57">
        <v>43780</v>
      </c>
      <c r="H68" s="49">
        <v>43798</v>
      </c>
      <c r="I68" s="1706">
        <v>45838</v>
      </c>
      <c r="J68" s="103">
        <v>1000</v>
      </c>
      <c r="K68" s="46" t="s">
        <v>3229</v>
      </c>
      <c r="L68" s="50" t="s">
        <v>3229</v>
      </c>
      <c r="M68" s="54">
        <v>0</v>
      </c>
      <c r="N68" s="1680">
        <v>1</v>
      </c>
      <c r="O68" s="1707">
        <v>1</v>
      </c>
      <c r="P68" s="89" t="s">
        <v>3229</v>
      </c>
      <c r="Q68" s="89" t="s">
        <v>3229</v>
      </c>
      <c r="R68" s="620" t="s">
        <v>3229</v>
      </c>
      <c r="S68" s="619"/>
      <c r="T68" s="196" t="s">
        <v>3229</v>
      </c>
      <c r="U68" s="196" t="s">
        <v>3229</v>
      </c>
      <c r="V68" s="196" t="s">
        <v>3229</v>
      </c>
      <c r="W68" s="196" t="s">
        <v>3229</v>
      </c>
      <c r="X68" s="196" t="s">
        <v>3229</v>
      </c>
      <c r="Y68" s="196" t="s">
        <v>3229</v>
      </c>
      <c r="Z68" s="196" t="s">
        <v>3229</v>
      </c>
      <c r="AA68" s="196" t="s">
        <v>3229</v>
      </c>
      <c r="AB68" s="196" t="s">
        <v>3229</v>
      </c>
      <c r="AC68" s="196" t="s">
        <v>3229</v>
      </c>
      <c r="AD68" s="196" t="s">
        <v>3229</v>
      </c>
      <c r="AE68" s="196" t="s">
        <v>3229</v>
      </c>
      <c r="AF68" s="621" t="str">
        <f>IF(S107="","-",IF(T68="",S107,MAX(IF(T68&gt;indexy!$B$1,S107,S107-S107),IF(U68&gt;indexy!$B$1,S107-1,S107-S107),IF(V68&gt;indexy!$B$1,S107-2,S107-S107),IF(W68&gt;indexy!$B$1,S107-3,S107-S107),IF(X68&gt;indexy!$B$1,S107-4,S107-S107),IF(Y68&gt;indexy!$B$1,S107-5,S107-S107),IF(Z68&gt;indexy!$B$1,S107-6,S107-S107),IF(AA68&gt;indexy!$B$1,S107-7,S107-S107),IF(AB68&gt;indexy!$B$1,S107-8,S107-S107),IF(AC68&gt;indexy!$B$1,S107-9,S107-S107),IF(AD68&gt;indexy!$B$1,S107-10,S107-S107),IF(AE68&gt;indexy!$B$1,S107-11,S107-S107))))</f>
        <v>-</v>
      </c>
      <c r="AG68" s="55">
        <f>(I68-indexy!$B$1)/365</f>
        <v>1.2575342465753425</v>
      </c>
      <c r="AH68" s="687" t="s">
        <v>3229</v>
      </c>
      <c r="AI68" s="687" t="s">
        <v>3229</v>
      </c>
      <c r="AJ68" s="687" t="s">
        <v>3229</v>
      </c>
      <c r="AK68" s="687" t="s">
        <v>3229</v>
      </c>
      <c r="AL68" s="687" t="s">
        <v>3229</v>
      </c>
      <c r="AM68" s="126">
        <v>1</v>
      </c>
      <c r="AN68" s="685">
        <f>+'klikací hodnoty2'!F3085</f>
        <v>0.20760421576441687</v>
      </c>
      <c r="AO68" s="317">
        <v>1136.48</v>
      </c>
      <c r="AP68" s="685">
        <f>+'klikací hodnoty2'!F3084</f>
        <v>0.20760421576441687</v>
      </c>
      <c r="AQ68" s="685">
        <f>+'klikací hodnoty2'!F3071</f>
        <v>0.11007321576441685</v>
      </c>
      <c r="AR68" s="197">
        <f t="shared" ref="AR68:AR76" si="52">O68</f>
        <v>1</v>
      </c>
      <c r="AS68" s="56">
        <f t="shared" ref="AS68:AS76" si="53">POWER(1+AR68,1/((I68-F68)/365))-1</f>
        <v>0.13272916575923333</v>
      </c>
      <c r="AT68" s="56"/>
      <c r="AU68" s="56"/>
      <c r="AV68" s="127">
        <f t="shared" ref="AV68:AV73" si="54">M68</f>
        <v>0</v>
      </c>
      <c r="AW68" s="45">
        <f t="shared" ref="AW68:AW73" si="55">POWER(1+AV68,1/((I68-F68)/365))-1</f>
        <v>0</v>
      </c>
      <c r="AX68" s="171"/>
      <c r="AY68" s="136"/>
      <c r="AZ68" s="210">
        <f t="shared" ref="AZ68:AZ73" si="56">J68*(1+AV68)</f>
        <v>1000</v>
      </c>
      <c r="BA68" s="12"/>
      <c r="BB68" s="619"/>
      <c r="BC68" s="138"/>
      <c r="BD68" s="3430"/>
      <c r="BE68" s="3435"/>
      <c r="BF68" s="3435"/>
      <c r="BG68" s="3435"/>
      <c r="BH68" s="3430"/>
      <c r="BI68" s="209"/>
    </row>
    <row r="69" spans="1:61" s="415" customFormat="1" x14ac:dyDescent="0.25">
      <c r="A69" s="1715" t="s">
        <v>10214</v>
      </c>
      <c r="B69" s="1730" t="s">
        <v>10213</v>
      </c>
      <c r="C69" s="52" t="s">
        <v>10215</v>
      </c>
      <c r="D69" s="46" t="s">
        <v>4384</v>
      </c>
      <c r="E69" s="52" t="s">
        <v>1743</v>
      </c>
      <c r="F69" s="49">
        <v>43473</v>
      </c>
      <c r="G69" s="57">
        <v>43810</v>
      </c>
      <c r="H69" s="49">
        <v>43826</v>
      </c>
      <c r="I69" s="1706">
        <v>46052</v>
      </c>
      <c r="J69" s="103">
        <v>1000</v>
      </c>
      <c r="K69" s="46" t="s">
        <v>3229</v>
      </c>
      <c r="L69" s="50" t="s">
        <v>3229</v>
      </c>
      <c r="M69" s="54">
        <v>0</v>
      </c>
      <c r="N69" s="1680">
        <v>1</v>
      </c>
      <c r="O69" s="1707">
        <v>1</v>
      </c>
      <c r="P69" s="89" t="s">
        <v>3229</v>
      </c>
      <c r="Q69" s="89" t="s">
        <v>3229</v>
      </c>
      <c r="R69" s="620" t="s">
        <v>3229</v>
      </c>
      <c r="S69" s="619"/>
      <c r="T69" s="196" t="s">
        <v>3229</v>
      </c>
      <c r="U69" s="196" t="s">
        <v>3229</v>
      </c>
      <c r="V69" s="196" t="s">
        <v>3229</v>
      </c>
      <c r="W69" s="196" t="s">
        <v>3229</v>
      </c>
      <c r="X69" s="196" t="s">
        <v>3229</v>
      </c>
      <c r="Y69" s="196" t="s">
        <v>3229</v>
      </c>
      <c r="Z69" s="196" t="s">
        <v>3229</v>
      </c>
      <c r="AA69" s="196" t="s">
        <v>3229</v>
      </c>
      <c r="AB69" s="196" t="s">
        <v>3229</v>
      </c>
      <c r="AC69" s="196" t="s">
        <v>3229</v>
      </c>
      <c r="AD69" s="196" t="s">
        <v>3229</v>
      </c>
      <c r="AE69" s="196" t="s">
        <v>3229</v>
      </c>
      <c r="AF69" s="621" t="str">
        <f>IF(S108="","-",IF(T69="",S108,MAX(IF(T69&gt;indexy!$B$1,S108,S108-S108),IF(U69&gt;indexy!$B$1,S108-1,S108-S108),IF(V69&gt;indexy!$B$1,S108-2,S108-S108),IF(W69&gt;indexy!$B$1,S108-3,S108-S108),IF(X69&gt;indexy!$B$1,S108-4,S108-S108),IF(Y69&gt;indexy!$B$1,S108-5,S108-S108),IF(Z69&gt;indexy!$B$1,S108-6,S108-S108),IF(AA69&gt;indexy!$B$1,S108-7,S108-S108),IF(AB69&gt;indexy!$B$1,S108-8,S108-S108),IF(AC69&gt;indexy!$B$1,S108-9,S108-S108),IF(AD69&gt;indexy!$B$1,S108-10,S108-S108),IF(AE69&gt;indexy!$B$1,S108-11,S108-S108))))</f>
        <v>-</v>
      </c>
      <c r="AG69" s="55">
        <f>(I69-indexy!$B$1)/365</f>
        <v>1.8438356164383563</v>
      </c>
      <c r="AH69" s="687" t="s">
        <v>3229</v>
      </c>
      <c r="AI69" s="687" t="s">
        <v>3229</v>
      </c>
      <c r="AJ69" s="687" t="s">
        <v>3229</v>
      </c>
      <c r="AK69" s="687" t="s">
        <v>3229</v>
      </c>
      <c r="AL69" s="687" t="s">
        <v>3229</v>
      </c>
      <c r="AM69" s="126">
        <v>1</v>
      </c>
      <c r="AN69" s="685">
        <f>+'klikací hodnoty2'!F3132</f>
        <v>0.38263545989445336</v>
      </c>
      <c r="AO69" s="317">
        <v>1268.8699999999999</v>
      </c>
      <c r="AP69" s="685">
        <f>+'klikací hodnoty2'!E3131</f>
        <v>9.2337459894453397E-2</v>
      </c>
      <c r="AQ69" s="685">
        <f>+'klikací hodnoty2'!F3118</f>
        <v>9.2337459894453397E-2</v>
      </c>
      <c r="AR69" s="197">
        <f t="shared" si="52"/>
        <v>1</v>
      </c>
      <c r="AS69" s="56">
        <f t="shared" si="53"/>
        <v>0.10307258258703067</v>
      </c>
      <c r="AT69" s="56"/>
      <c r="AU69" s="56"/>
      <c r="AV69" s="127">
        <f t="shared" si="54"/>
        <v>0</v>
      </c>
      <c r="AW69" s="45">
        <f t="shared" si="55"/>
        <v>0</v>
      </c>
      <c r="AX69" s="171"/>
      <c r="AY69" s="136"/>
      <c r="AZ69" s="210">
        <f t="shared" si="56"/>
        <v>1000</v>
      </c>
      <c r="BA69" s="12"/>
      <c r="BB69" s="619"/>
      <c r="BC69" s="138"/>
      <c r="BD69" s="3430"/>
      <c r="BE69" s="3435"/>
      <c r="BF69" s="3435"/>
      <c r="BG69" s="3435"/>
      <c r="BH69" s="3430"/>
      <c r="BI69" s="209"/>
    </row>
    <row r="70" spans="1:61" s="415" customFormat="1" x14ac:dyDescent="0.25">
      <c r="A70" s="1715" t="s">
        <v>10220</v>
      </c>
      <c r="B70" s="1730" t="s">
        <v>10220</v>
      </c>
      <c r="C70" s="52" t="s">
        <v>10336</v>
      </c>
      <c r="D70" s="46" t="s">
        <v>4384</v>
      </c>
      <c r="E70" s="52" t="s">
        <v>1743</v>
      </c>
      <c r="F70" s="49">
        <v>43868</v>
      </c>
      <c r="G70" s="57">
        <v>43836</v>
      </c>
      <c r="H70" s="49">
        <v>43861</v>
      </c>
      <c r="I70" s="1706">
        <v>46080</v>
      </c>
      <c r="J70" s="103">
        <v>1000</v>
      </c>
      <c r="K70" s="46" t="s">
        <v>3229</v>
      </c>
      <c r="L70" s="50" t="s">
        <v>3229</v>
      </c>
      <c r="M70" s="54">
        <v>0</v>
      </c>
      <c r="N70" s="1680">
        <v>1</v>
      </c>
      <c r="O70" s="1707">
        <v>1</v>
      </c>
      <c r="P70" s="89" t="s">
        <v>3229</v>
      </c>
      <c r="Q70" s="89" t="s">
        <v>3229</v>
      </c>
      <c r="R70" s="620" t="s">
        <v>3229</v>
      </c>
      <c r="S70" s="619"/>
      <c r="T70" s="196" t="s">
        <v>3229</v>
      </c>
      <c r="U70" s="196" t="s">
        <v>3229</v>
      </c>
      <c r="V70" s="196" t="s">
        <v>3229</v>
      </c>
      <c r="W70" s="196" t="s">
        <v>3229</v>
      </c>
      <c r="X70" s="196" t="s">
        <v>3229</v>
      </c>
      <c r="Y70" s="196" t="s">
        <v>3229</v>
      </c>
      <c r="Z70" s="196" t="s">
        <v>3229</v>
      </c>
      <c r="AA70" s="196" t="s">
        <v>3229</v>
      </c>
      <c r="AB70" s="196" t="s">
        <v>3229</v>
      </c>
      <c r="AC70" s="196" t="s">
        <v>3229</v>
      </c>
      <c r="AD70" s="196" t="s">
        <v>3229</v>
      </c>
      <c r="AE70" s="196" t="s">
        <v>3229</v>
      </c>
      <c r="AF70" s="621" t="str">
        <f>IF(S109="","-",IF(T70="",S109,MAX(IF(T70&gt;indexy!$B$1,S109,S109-S109),IF(U70&gt;indexy!$B$1,S109-1,S109-S109),IF(V70&gt;indexy!$B$1,S109-2,S109-S109),IF(W70&gt;indexy!$B$1,S109-3,S109-S109),IF(X70&gt;indexy!$B$1,S109-4,S109-S109),IF(Y70&gt;indexy!$B$1,S109-5,S109-S109),IF(Z70&gt;indexy!$B$1,S109-6,S109-S109),IF(AA70&gt;indexy!$B$1,S109-7,S109-S109),IF(AB70&gt;indexy!$B$1,S109-8,S109-S109),IF(AC70&gt;indexy!$B$1,S109-9,S109-S109),IF(AD70&gt;indexy!$B$1,S109-10,S109-S109),IF(AE70&gt;indexy!$B$1,S109-11,S109-S109))))</f>
        <v>-</v>
      </c>
      <c r="AG70" s="55">
        <f>(I70-indexy!$B$1)/365</f>
        <v>1.9205479452054794</v>
      </c>
      <c r="AH70" s="687" t="s">
        <v>3229</v>
      </c>
      <c r="AI70" s="687" t="s">
        <v>3229</v>
      </c>
      <c r="AJ70" s="687" t="s">
        <v>3229</v>
      </c>
      <c r="AK70" s="687" t="s">
        <v>3229</v>
      </c>
      <c r="AL70" s="687" t="s">
        <v>3229</v>
      </c>
      <c r="AM70" s="126">
        <v>1</v>
      </c>
      <c r="AN70" s="685">
        <f>+'klikací hodnoty2'!F3179</f>
        <v>0.39999607015297201</v>
      </c>
      <c r="AO70" s="317">
        <v>1275.2</v>
      </c>
      <c r="AP70" s="685">
        <f>+'klikací hodnoty2'!F3178</f>
        <v>0.39999607015297201</v>
      </c>
      <c r="AQ70" s="685">
        <f>+'klikací hodnoty2'!F3165</f>
        <v>9.6677070152971931E-2</v>
      </c>
      <c r="AR70" s="197">
        <f t="shared" si="52"/>
        <v>1</v>
      </c>
      <c r="AS70" s="56">
        <f t="shared" si="53"/>
        <v>0.12117310457047203</v>
      </c>
      <c r="AT70" s="56"/>
      <c r="AU70" s="56"/>
      <c r="AV70" s="127">
        <f t="shared" si="54"/>
        <v>0</v>
      </c>
      <c r="AW70" s="45">
        <f t="shared" si="55"/>
        <v>0</v>
      </c>
      <c r="AX70" s="171"/>
      <c r="AY70" s="136"/>
      <c r="AZ70" s="210">
        <f t="shared" si="56"/>
        <v>1000</v>
      </c>
      <c r="BA70" s="12"/>
      <c r="BB70" s="619"/>
      <c r="BC70" s="138"/>
      <c r="BD70" s="3430"/>
      <c r="BE70" s="3435"/>
      <c r="BF70" s="3435"/>
      <c r="BG70" s="3435"/>
      <c r="BH70" s="3430"/>
      <c r="BI70" s="209"/>
    </row>
    <row r="71" spans="1:61" s="415" customFormat="1" x14ac:dyDescent="0.25">
      <c r="A71" s="1715" t="s">
        <v>10299</v>
      </c>
      <c r="B71" s="1730" t="s">
        <v>10299</v>
      </c>
      <c r="C71" s="52" t="s">
        <v>10343</v>
      </c>
      <c r="D71" s="46" t="s">
        <v>4384</v>
      </c>
      <c r="E71" s="52" t="s">
        <v>1743</v>
      </c>
      <c r="F71" s="49">
        <v>43896</v>
      </c>
      <c r="G71" s="57">
        <v>43871</v>
      </c>
      <c r="H71" s="49">
        <v>43889</v>
      </c>
      <c r="I71" s="1706">
        <v>46112</v>
      </c>
      <c r="J71" s="103">
        <v>1000</v>
      </c>
      <c r="K71" s="46" t="s">
        <v>3229</v>
      </c>
      <c r="L71" s="50" t="s">
        <v>3229</v>
      </c>
      <c r="M71" s="54">
        <v>0</v>
      </c>
      <c r="N71" s="1680">
        <v>1</v>
      </c>
      <c r="O71" s="1707">
        <v>1</v>
      </c>
      <c r="P71" s="89" t="s">
        <v>3229</v>
      </c>
      <c r="Q71" s="89" t="s">
        <v>3229</v>
      </c>
      <c r="R71" s="620" t="s">
        <v>3229</v>
      </c>
      <c r="S71" s="619"/>
      <c r="T71" s="196" t="s">
        <v>3229</v>
      </c>
      <c r="U71" s="196" t="s">
        <v>3229</v>
      </c>
      <c r="V71" s="196" t="s">
        <v>3229</v>
      </c>
      <c r="W71" s="196" t="s">
        <v>3229</v>
      </c>
      <c r="X71" s="196" t="s">
        <v>3229</v>
      </c>
      <c r="Y71" s="196" t="s">
        <v>3229</v>
      </c>
      <c r="Z71" s="196" t="s">
        <v>3229</v>
      </c>
      <c r="AA71" s="196" t="s">
        <v>3229</v>
      </c>
      <c r="AB71" s="196" t="s">
        <v>3229</v>
      </c>
      <c r="AC71" s="196" t="s">
        <v>3229</v>
      </c>
      <c r="AD71" s="196" t="s">
        <v>3229</v>
      </c>
      <c r="AE71" s="196" t="s">
        <v>3229</v>
      </c>
      <c r="AF71" s="621" t="str">
        <f>IF(S110="","-",IF(T71="",S110,MAX(IF(T71&gt;indexy!$B$1,S110,S110-S110),IF(U71&gt;indexy!$B$1,S110-1,S110-S110),IF(V71&gt;indexy!$B$1,S110-2,S110-S110),IF(W71&gt;indexy!$B$1,S110-3,S110-S110),IF(X71&gt;indexy!$B$1,S110-4,S110-S110),IF(Y71&gt;indexy!$B$1,S110-5,S110-S110),IF(Z71&gt;indexy!$B$1,S110-6,S110-S110),IF(AA71&gt;indexy!$B$1,S110-7,S110-S110),IF(AB71&gt;indexy!$B$1,S110-8,S110-S110),IF(AC71&gt;indexy!$B$1,S110-9,S110-S110),IF(AD71&gt;indexy!$B$1,S110-10,S110-S110),IF(AE71&gt;indexy!$B$1,S110-11,S110-S110))))</f>
        <v>-</v>
      </c>
      <c r="AG71" s="55">
        <f>(I71-indexy!$B$1)/365</f>
        <v>2.0082191780821916</v>
      </c>
      <c r="AH71" s="687" t="s">
        <v>3229</v>
      </c>
      <c r="AI71" s="687" t="s">
        <v>3229</v>
      </c>
      <c r="AJ71" s="687" t="s">
        <v>3229</v>
      </c>
      <c r="AK71" s="687" t="s">
        <v>3229</v>
      </c>
      <c r="AL71" s="687" t="s">
        <v>3229</v>
      </c>
      <c r="AM71" s="126">
        <v>1</v>
      </c>
      <c r="AN71" s="685">
        <f>+'klikací hodnoty2'!F3226</f>
        <v>0.62061083699732744</v>
      </c>
      <c r="AO71" s="317">
        <v>1459.64</v>
      </c>
      <c r="AP71" s="685">
        <f>+'klikací hodnoty2'!F3225</f>
        <v>0.62061083699732744</v>
      </c>
      <c r="AQ71" s="685">
        <f>+'klikací hodnoty2'!F3212</f>
        <v>0.59582883699732725</v>
      </c>
      <c r="AR71" s="197">
        <f t="shared" si="52"/>
        <v>1</v>
      </c>
      <c r="AS71" s="56">
        <f t="shared" si="53"/>
        <v>0.12094165771798826</v>
      </c>
      <c r="AT71" s="56"/>
      <c r="AU71" s="56"/>
      <c r="AV71" s="127">
        <f t="shared" si="54"/>
        <v>0</v>
      </c>
      <c r="AW71" s="45">
        <f t="shared" si="55"/>
        <v>0</v>
      </c>
      <c r="AX71" s="171"/>
      <c r="AY71" s="136"/>
      <c r="AZ71" s="210">
        <f t="shared" si="56"/>
        <v>1000</v>
      </c>
      <c r="BA71" s="12"/>
      <c r="BB71" s="619"/>
      <c r="BC71" s="138"/>
      <c r="BD71" s="3430"/>
      <c r="BE71" s="3435"/>
      <c r="BF71" s="3435"/>
      <c r="BG71" s="3435"/>
      <c r="BH71" s="3430"/>
      <c r="BI71" s="209"/>
    </row>
    <row r="72" spans="1:61" s="415" customFormat="1" x14ac:dyDescent="0.25">
      <c r="A72" s="1715" t="s">
        <v>10341</v>
      </c>
      <c r="B72" s="1730" t="s">
        <v>10341</v>
      </c>
      <c r="C72" s="52" t="s">
        <v>10344</v>
      </c>
      <c r="D72" s="46" t="s">
        <v>4384</v>
      </c>
      <c r="E72" s="52" t="s">
        <v>1743</v>
      </c>
      <c r="F72" s="49">
        <v>43930</v>
      </c>
      <c r="G72" s="57">
        <v>43899</v>
      </c>
      <c r="H72" s="49">
        <v>43924</v>
      </c>
      <c r="I72" s="1706">
        <v>46325</v>
      </c>
      <c r="J72" s="103">
        <v>1000</v>
      </c>
      <c r="K72" s="46" t="s">
        <v>3229</v>
      </c>
      <c r="L72" s="50" t="s">
        <v>3229</v>
      </c>
      <c r="M72" s="54">
        <v>0</v>
      </c>
      <c r="N72" s="1680">
        <v>1</v>
      </c>
      <c r="O72" s="1707">
        <v>1</v>
      </c>
      <c r="P72" s="89" t="s">
        <v>3229</v>
      </c>
      <c r="Q72" s="89" t="s">
        <v>3229</v>
      </c>
      <c r="R72" s="620" t="s">
        <v>3229</v>
      </c>
      <c r="S72" s="619"/>
      <c r="T72" s="196" t="s">
        <v>3229</v>
      </c>
      <c r="U72" s="196" t="s">
        <v>3229</v>
      </c>
      <c r="V72" s="196" t="s">
        <v>3229</v>
      </c>
      <c r="W72" s="196" t="s">
        <v>3229</v>
      </c>
      <c r="X72" s="196" t="s">
        <v>3229</v>
      </c>
      <c r="Y72" s="196" t="s">
        <v>3229</v>
      </c>
      <c r="Z72" s="196" t="s">
        <v>3229</v>
      </c>
      <c r="AA72" s="196" t="s">
        <v>3229</v>
      </c>
      <c r="AB72" s="196" t="s">
        <v>3229</v>
      </c>
      <c r="AC72" s="196" t="s">
        <v>3229</v>
      </c>
      <c r="AD72" s="196" t="s">
        <v>3229</v>
      </c>
      <c r="AE72" s="196" t="s">
        <v>3229</v>
      </c>
      <c r="AF72" s="621" t="str">
        <f>IF(S111="","-",IF(T72="",S111,MAX(IF(T72&gt;indexy!$B$1,S111,S111-S111),IF(U72&gt;indexy!$B$1,S111-1,S111-S111),IF(V72&gt;indexy!$B$1,S111-2,S111-S111),IF(W72&gt;indexy!$B$1,S111-3,S111-S111),IF(X72&gt;indexy!$B$1,S111-4,S111-S111),IF(Y72&gt;indexy!$B$1,S111-5,S111-S111),IF(Z72&gt;indexy!$B$1,S111-6,S111-S111),IF(AA72&gt;indexy!$B$1,S111-7,S111-S111),IF(AB72&gt;indexy!$B$1,S111-8,S111-S111),IF(AC72&gt;indexy!$B$1,S111-9,S111-S111),IF(AD72&gt;indexy!$B$1,S111-10,S111-S111),IF(AE72&gt;indexy!$B$1,S111-11,S111-S111))))</f>
        <v>-</v>
      </c>
      <c r="AG72" s="55">
        <f>(I72-indexy!$B$1)/365</f>
        <v>2.591780821917808</v>
      </c>
      <c r="AH72" s="687" t="s">
        <v>3229</v>
      </c>
      <c r="AI72" s="687" t="s">
        <v>3229</v>
      </c>
      <c r="AJ72" s="687" t="s">
        <v>3229</v>
      </c>
      <c r="AK72" s="687" t="s">
        <v>3229</v>
      </c>
      <c r="AL72" s="687" t="s">
        <v>3229</v>
      </c>
      <c r="AM72" s="126">
        <v>1</v>
      </c>
      <c r="AN72" s="685">
        <f>+'klikací hodnoty2'!F3273</f>
        <v>0.56579968965668215</v>
      </c>
      <c r="AO72" s="317">
        <v>1380.37</v>
      </c>
      <c r="AP72" s="685">
        <f>+'klikací hodnoty2'!F3272</f>
        <v>0.56579968965668215</v>
      </c>
      <c r="AQ72" s="685">
        <f>+'klikací hodnoty2'!F3259</f>
        <v>0.55425568965668215</v>
      </c>
      <c r="AR72" s="197">
        <f t="shared" si="52"/>
        <v>1</v>
      </c>
      <c r="AS72" s="56">
        <f t="shared" si="53"/>
        <v>0.11141747943888336</v>
      </c>
      <c r="AT72" s="56"/>
      <c r="AU72" s="56"/>
      <c r="AV72" s="127">
        <f t="shared" si="54"/>
        <v>0</v>
      </c>
      <c r="AW72" s="45">
        <f t="shared" si="55"/>
        <v>0</v>
      </c>
      <c r="AX72" s="171"/>
      <c r="AY72" s="136"/>
      <c r="AZ72" s="210">
        <f t="shared" si="56"/>
        <v>1000</v>
      </c>
      <c r="BA72" s="12"/>
      <c r="BB72" s="619"/>
      <c r="BC72" s="138"/>
      <c r="BD72" s="3430"/>
      <c r="BE72" s="3435"/>
      <c r="BF72" s="3435"/>
      <c r="BG72" s="3435"/>
      <c r="BH72" s="3430"/>
      <c r="BI72" s="209"/>
    </row>
    <row r="73" spans="1:61" s="415" customFormat="1" x14ac:dyDescent="0.25">
      <c r="A73" s="1715" t="s">
        <v>10368</v>
      </c>
      <c r="B73" s="1730" t="s">
        <v>10368</v>
      </c>
      <c r="C73" s="52" t="s">
        <v>10369</v>
      </c>
      <c r="D73" s="46" t="s">
        <v>1872</v>
      </c>
      <c r="E73" s="52" t="s">
        <v>1743</v>
      </c>
      <c r="F73" s="49">
        <v>43958</v>
      </c>
      <c r="G73" s="57">
        <v>43941</v>
      </c>
      <c r="H73" s="49">
        <v>43951</v>
      </c>
      <c r="I73" s="1706">
        <v>46171</v>
      </c>
      <c r="J73" s="103">
        <v>1000</v>
      </c>
      <c r="K73" s="46" t="s">
        <v>3229</v>
      </c>
      <c r="L73" s="50" t="s">
        <v>3229</v>
      </c>
      <c r="M73" s="54">
        <v>-0.1</v>
      </c>
      <c r="N73" s="1680">
        <v>1</v>
      </c>
      <c r="O73" s="1707">
        <v>1</v>
      </c>
      <c r="P73" s="89" t="s">
        <v>3229</v>
      </c>
      <c r="Q73" s="89" t="s">
        <v>3229</v>
      </c>
      <c r="R73" s="620" t="s">
        <v>3229</v>
      </c>
      <c r="S73" s="619"/>
      <c r="T73" s="196" t="s">
        <v>3229</v>
      </c>
      <c r="U73" s="196" t="s">
        <v>3229</v>
      </c>
      <c r="V73" s="196" t="s">
        <v>3229</v>
      </c>
      <c r="W73" s="196" t="s">
        <v>3229</v>
      </c>
      <c r="X73" s="196" t="s">
        <v>3229</v>
      </c>
      <c r="Y73" s="196" t="s">
        <v>3229</v>
      </c>
      <c r="Z73" s="196" t="s">
        <v>3229</v>
      </c>
      <c r="AA73" s="196" t="s">
        <v>3229</v>
      </c>
      <c r="AB73" s="196" t="s">
        <v>3229</v>
      </c>
      <c r="AC73" s="196" t="s">
        <v>3229</v>
      </c>
      <c r="AD73" s="196" t="s">
        <v>3229</v>
      </c>
      <c r="AE73" s="196" t="s">
        <v>3229</v>
      </c>
      <c r="AF73" s="621" t="str">
        <f>IF(S112="","-",IF(T73="",S112,MAX(IF(T73&gt;indexy!$B$1,S112,S112-S112),IF(U73&gt;indexy!$B$1,S112-1,S112-S112),IF(V73&gt;indexy!$B$1,S112-2,S112-S112),IF(W73&gt;indexy!$B$1,S112-3,S112-S112),IF(X73&gt;indexy!$B$1,S112-4,S112-S112),IF(Y73&gt;indexy!$B$1,S112-5,S112-S112),IF(Z73&gt;indexy!$B$1,S112-6,S112-S112),IF(AA73&gt;indexy!$B$1,S112-7,S112-S112),IF(AB73&gt;indexy!$B$1,S112-8,S112-S112),IF(AC73&gt;indexy!$B$1,S112-9,S112-S112),IF(AD73&gt;indexy!$B$1,S112-10,S112-S112),IF(AE73&gt;indexy!$B$1,S112-11,S112-S112))))</f>
        <v>-</v>
      </c>
      <c r="AG73" s="55">
        <f>(I73-indexy!$B$1)/365</f>
        <v>2.1698630136986301</v>
      </c>
      <c r="AH73" s="687" t="s">
        <v>3229</v>
      </c>
      <c r="AI73" s="687" t="s">
        <v>3229</v>
      </c>
      <c r="AJ73" s="687" t="s">
        <v>3229</v>
      </c>
      <c r="AK73" s="687" t="s">
        <v>3229</v>
      </c>
      <c r="AL73" s="687" t="s">
        <v>3229</v>
      </c>
      <c r="AM73" s="126">
        <v>1</v>
      </c>
      <c r="AN73" s="685">
        <f>+'klikací hodnoty2'!F3320</f>
        <v>0.4456080253711201</v>
      </c>
      <c r="AO73" s="317">
        <v>1206.8699999999999</v>
      </c>
      <c r="AP73" s="685">
        <f>+'klikací hodnoty2'!E3319</f>
        <v>0.44560802537112004</v>
      </c>
      <c r="AQ73" s="685">
        <f>+'klikací hodnoty2'!F3306</f>
        <v>0.44560802537111999</v>
      </c>
      <c r="AR73" s="197">
        <f t="shared" si="52"/>
        <v>1</v>
      </c>
      <c r="AS73" s="56">
        <f t="shared" si="53"/>
        <v>0.12111515993472488</v>
      </c>
      <c r="AT73" s="56"/>
      <c r="AU73" s="56"/>
      <c r="AV73" s="127">
        <f t="shared" si="54"/>
        <v>-0.1</v>
      </c>
      <c r="AW73" s="45">
        <f t="shared" si="55"/>
        <v>-1.722746231668093E-2</v>
      </c>
      <c r="AX73" s="171"/>
      <c r="AY73" s="136"/>
      <c r="AZ73" s="210">
        <f t="shared" si="56"/>
        <v>900</v>
      </c>
      <c r="BA73" s="12"/>
      <c r="BB73" s="619"/>
      <c r="BC73" s="138"/>
      <c r="BD73" s="3430"/>
      <c r="BE73" s="3435"/>
      <c r="BF73" s="3435"/>
      <c r="BG73" s="3435"/>
      <c r="BH73" s="3430"/>
      <c r="BI73" s="209"/>
    </row>
    <row r="74" spans="1:61" s="415" customFormat="1" x14ac:dyDescent="0.25">
      <c r="A74" s="1715" t="s">
        <v>10405</v>
      </c>
      <c r="B74" s="1730" t="s">
        <v>10405</v>
      </c>
      <c r="C74" s="52" t="s">
        <v>10435</v>
      </c>
      <c r="D74" s="46" t="s">
        <v>1872</v>
      </c>
      <c r="E74" s="52" t="s">
        <v>1743</v>
      </c>
      <c r="F74" s="49">
        <v>43997</v>
      </c>
      <c r="G74" s="57">
        <v>43966</v>
      </c>
      <c r="H74" s="49">
        <v>43980</v>
      </c>
      <c r="I74" s="1706">
        <v>46568</v>
      </c>
      <c r="J74" s="103">
        <v>1000</v>
      </c>
      <c r="K74" s="46" t="s">
        <v>3229</v>
      </c>
      <c r="L74" s="50" t="s">
        <v>3229</v>
      </c>
      <c r="M74" s="54">
        <v>-0.1</v>
      </c>
      <c r="N74" s="1680">
        <v>1</v>
      </c>
      <c r="O74" s="1707">
        <v>0.5</v>
      </c>
      <c r="P74" s="89" t="s">
        <v>3229</v>
      </c>
      <c r="Q74" s="89" t="s">
        <v>3229</v>
      </c>
      <c r="R74" s="620" t="s">
        <v>3229</v>
      </c>
      <c r="S74" s="619"/>
      <c r="T74" s="196" t="s">
        <v>3229</v>
      </c>
      <c r="U74" s="196" t="s">
        <v>3229</v>
      </c>
      <c r="V74" s="196" t="s">
        <v>3229</v>
      </c>
      <c r="W74" s="196" t="s">
        <v>3229</v>
      </c>
      <c r="X74" s="196" t="s">
        <v>3229</v>
      </c>
      <c r="Y74" s="196" t="s">
        <v>3229</v>
      </c>
      <c r="Z74" s="196" t="s">
        <v>3229</v>
      </c>
      <c r="AA74" s="196" t="s">
        <v>3229</v>
      </c>
      <c r="AB74" s="196" t="s">
        <v>3229</v>
      </c>
      <c r="AC74" s="196" t="s">
        <v>3229</v>
      </c>
      <c r="AD74" s="196" t="s">
        <v>3229</v>
      </c>
      <c r="AE74" s="196" t="s">
        <v>3229</v>
      </c>
      <c r="AF74" s="621" t="str">
        <f>IF(S113="","-",IF(T74="",S113,MAX(IF(T74&gt;indexy!$B$1,S113,S113-S113),IF(U74&gt;indexy!$B$1,S113-1,S113-S113),IF(V74&gt;indexy!$B$1,S113-2,S113-S113),IF(W74&gt;indexy!$B$1,S113-3,S113-S113),IF(X74&gt;indexy!$B$1,S113-4,S113-S113),IF(Y74&gt;indexy!$B$1,S113-5,S113-S113),IF(Z74&gt;indexy!$B$1,S113-6,S113-S113),IF(AA74&gt;indexy!$B$1,S113-7,S113-S113),IF(AB74&gt;indexy!$B$1,S113-8,S113-S113),IF(AC74&gt;indexy!$B$1,S113-9,S113-S113),IF(AD74&gt;indexy!$B$1,S113-10,S113-S113),IF(AE74&gt;indexy!$B$1,S113-11,S113-S113))))</f>
        <v>-</v>
      </c>
      <c r="AG74" s="55">
        <f>(I74-indexy!$B$1)/365</f>
        <v>3.2575342465753425</v>
      </c>
      <c r="AH74" s="687" t="s">
        <v>3229</v>
      </c>
      <c r="AI74" s="687" t="s">
        <v>3229</v>
      </c>
      <c r="AJ74" s="687" t="s">
        <v>3229</v>
      </c>
      <c r="AK74" s="687" t="s">
        <v>3229</v>
      </c>
      <c r="AL74" s="687" t="s">
        <v>3229</v>
      </c>
      <c r="AM74" s="126">
        <v>1</v>
      </c>
      <c r="AN74" s="685">
        <f>+'klikací hodnoty2'!F3367</f>
        <v>0.33919263558730989</v>
      </c>
      <c r="AO74" s="317">
        <v>1067.28</v>
      </c>
      <c r="AP74" s="685">
        <f>+'klikací hodnoty2'!F3366</f>
        <v>0.33919263558730989</v>
      </c>
      <c r="AQ74" s="685">
        <f>+'klikací hodnoty2'!F3353</f>
        <v>0.31116863558730967</v>
      </c>
      <c r="AR74" s="197">
        <f t="shared" si="52"/>
        <v>0.5</v>
      </c>
      <c r="AS74" s="56">
        <f t="shared" si="53"/>
        <v>5.9252121510093625E-2</v>
      </c>
      <c r="AT74" s="56"/>
      <c r="AU74" s="56"/>
      <c r="AV74" s="127">
        <f t="shared" ref="AV74:AV80" si="57">M74</f>
        <v>-0.1</v>
      </c>
      <c r="AW74" s="45">
        <f t="shared" ref="AW74:AW80" si="58">POWER(1+AV74,1/((I74-F74)/365))-1</f>
        <v>-1.4846520142015929E-2</v>
      </c>
      <c r="AX74" s="171"/>
      <c r="AY74" s="136"/>
      <c r="AZ74" s="210">
        <f t="shared" ref="AZ74:AZ81" si="59">J74*(1+AV74)</f>
        <v>900</v>
      </c>
      <c r="BA74" s="12"/>
      <c r="BB74" s="619"/>
      <c r="BC74" s="138"/>
      <c r="BD74" s="3430"/>
      <c r="BE74" s="3435"/>
      <c r="BF74" s="3435"/>
      <c r="BG74" s="3435"/>
      <c r="BH74" s="3430"/>
      <c r="BI74" s="209"/>
    </row>
    <row r="75" spans="1:61" s="415" customFormat="1" x14ac:dyDescent="0.25">
      <c r="A75" s="1715" t="s">
        <v>10406</v>
      </c>
      <c r="B75" s="1730" t="s">
        <v>10406</v>
      </c>
      <c r="C75" s="52" t="s">
        <v>10444</v>
      </c>
      <c r="D75" s="46" t="s">
        <v>1872</v>
      </c>
      <c r="E75" s="52" t="s">
        <v>1743</v>
      </c>
      <c r="F75" s="49">
        <v>44021</v>
      </c>
      <c r="G75" s="57">
        <v>43991</v>
      </c>
      <c r="H75" s="49">
        <v>44015</v>
      </c>
      <c r="I75" s="1706">
        <v>46598</v>
      </c>
      <c r="J75" s="103">
        <v>1000</v>
      </c>
      <c r="K75" s="46" t="s">
        <v>3229</v>
      </c>
      <c r="L75" s="50" t="s">
        <v>3229</v>
      </c>
      <c r="M75" s="54">
        <v>-0.1</v>
      </c>
      <c r="N75" s="1680">
        <v>1</v>
      </c>
      <c r="O75" s="1707">
        <v>0.4</v>
      </c>
      <c r="P75" s="89" t="s">
        <v>3229</v>
      </c>
      <c r="Q75" s="89" t="s">
        <v>3229</v>
      </c>
      <c r="R75" s="620" t="s">
        <v>3229</v>
      </c>
      <c r="S75" s="619"/>
      <c r="T75" s="196" t="s">
        <v>3229</v>
      </c>
      <c r="U75" s="196" t="s">
        <v>3229</v>
      </c>
      <c r="V75" s="196" t="s">
        <v>3229</v>
      </c>
      <c r="W75" s="196" t="s">
        <v>3229</v>
      </c>
      <c r="X75" s="196" t="s">
        <v>3229</v>
      </c>
      <c r="Y75" s="196" t="s">
        <v>3229</v>
      </c>
      <c r="Z75" s="196" t="s">
        <v>3229</v>
      </c>
      <c r="AA75" s="196" t="s">
        <v>3229</v>
      </c>
      <c r="AB75" s="196" t="s">
        <v>3229</v>
      </c>
      <c r="AC75" s="196" t="s">
        <v>3229</v>
      </c>
      <c r="AD75" s="196" t="s">
        <v>3229</v>
      </c>
      <c r="AE75" s="196" t="s">
        <v>3229</v>
      </c>
      <c r="AF75" s="621" t="str">
        <f>IF(S114="","-",IF(T75="",S114,MAX(IF(T75&gt;indexy!$B$1,S114,S114-S114),IF(U75&gt;indexy!$B$1,S114-1,S114-S114),IF(V75&gt;indexy!$B$1,S114-2,S114-S114),IF(W75&gt;indexy!$B$1,S114-3,S114-S114),IF(X75&gt;indexy!$B$1,S114-4,S114-S114),IF(Y75&gt;indexy!$B$1,S114-5,S114-S114),IF(Z75&gt;indexy!$B$1,S114-6,S114-S114),IF(AA75&gt;indexy!$B$1,S114-7,S114-S114),IF(AB75&gt;indexy!$B$1,S114-8,S114-S114),IF(AC75&gt;indexy!$B$1,S114-9,S114-S114),IF(AD75&gt;indexy!$B$1,S114-10,S114-S114),IF(AE75&gt;indexy!$B$1,S114-11,S114-S114))))</f>
        <v>-</v>
      </c>
      <c r="AG75" s="55">
        <f>(I75-indexy!$B$1)/365</f>
        <v>3.3397260273972602</v>
      </c>
      <c r="AH75" s="687" t="s">
        <v>3229</v>
      </c>
      <c r="AI75" s="687" t="s">
        <v>3229</v>
      </c>
      <c r="AJ75" s="687" t="s">
        <v>3229</v>
      </c>
      <c r="AK75" s="687" t="s">
        <v>3229</v>
      </c>
      <c r="AL75" s="687" t="s">
        <v>3229</v>
      </c>
      <c r="AM75" s="126">
        <v>1</v>
      </c>
      <c r="AN75" s="685">
        <f>+'klikací hodnoty2'!F3414</f>
        <v>0.38643963558730987</v>
      </c>
      <c r="AO75" s="317">
        <v>1066.93</v>
      </c>
      <c r="AP75" s="685">
        <f>+'klikací hodnoty2'!F3413</f>
        <v>0.38643963558730987</v>
      </c>
      <c r="AQ75" s="685">
        <f>+'klikací hodnoty2'!F3400</f>
        <v>0.29752565077978227</v>
      </c>
      <c r="AR75" s="197">
        <f t="shared" si="52"/>
        <v>0.4</v>
      </c>
      <c r="AS75" s="56">
        <f t="shared" si="53"/>
        <v>4.8810964384818467E-2</v>
      </c>
      <c r="AT75" s="56"/>
      <c r="AU75" s="56"/>
      <c r="AV75" s="127">
        <f t="shared" si="57"/>
        <v>-0.1</v>
      </c>
      <c r="AW75" s="45">
        <f t="shared" si="58"/>
        <v>-1.481221043848846E-2</v>
      </c>
      <c r="AX75" s="171"/>
      <c r="AY75" s="136"/>
      <c r="AZ75" s="210">
        <f t="shared" si="59"/>
        <v>900</v>
      </c>
      <c r="BA75" s="12"/>
      <c r="BB75" s="619"/>
      <c r="BC75" s="138"/>
      <c r="BD75" s="3430"/>
      <c r="BE75" s="3435"/>
      <c r="BF75" s="3435"/>
      <c r="BG75" s="3435"/>
      <c r="BH75" s="3430"/>
      <c r="BI75" s="209"/>
    </row>
    <row r="76" spans="1:61" s="415" customFormat="1" x14ac:dyDescent="0.25">
      <c r="A76" s="1715" t="s">
        <v>10442</v>
      </c>
      <c r="B76" s="1730" t="s">
        <v>10442</v>
      </c>
      <c r="C76" s="52" t="s">
        <v>10445</v>
      </c>
      <c r="D76" s="46" t="s">
        <v>1872</v>
      </c>
      <c r="E76" s="52" t="s">
        <v>1743</v>
      </c>
      <c r="F76" s="49">
        <v>44050</v>
      </c>
      <c r="G76" s="57">
        <v>44021</v>
      </c>
      <c r="H76" s="49">
        <v>44043</v>
      </c>
      <c r="I76" s="1706">
        <v>46630</v>
      </c>
      <c r="J76" s="103">
        <v>1000</v>
      </c>
      <c r="K76" s="46" t="s">
        <v>3229</v>
      </c>
      <c r="L76" s="50" t="s">
        <v>3229</v>
      </c>
      <c r="M76" s="54">
        <v>-0.1</v>
      </c>
      <c r="N76" s="1680">
        <v>1</v>
      </c>
      <c r="O76" s="1707">
        <v>0.4</v>
      </c>
      <c r="P76" s="89" t="s">
        <v>3229</v>
      </c>
      <c r="Q76" s="89" t="s">
        <v>3229</v>
      </c>
      <c r="R76" s="620" t="s">
        <v>3229</v>
      </c>
      <c r="S76" s="619"/>
      <c r="T76" s="196" t="s">
        <v>3229</v>
      </c>
      <c r="U76" s="196" t="s">
        <v>3229</v>
      </c>
      <c r="V76" s="196" t="s">
        <v>3229</v>
      </c>
      <c r="W76" s="196" t="s">
        <v>3229</v>
      </c>
      <c r="X76" s="196" t="s">
        <v>3229</v>
      </c>
      <c r="Y76" s="196" t="s">
        <v>3229</v>
      </c>
      <c r="Z76" s="196" t="s">
        <v>3229</v>
      </c>
      <c r="AA76" s="196" t="s">
        <v>3229</v>
      </c>
      <c r="AB76" s="196" t="s">
        <v>3229</v>
      </c>
      <c r="AC76" s="196" t="s">
        <v>3229</v>
      </c>
      <c r="AD76" s="196" t="s">
        <v>3229</v>
      </c>
      <c r="AE76" s="196" t="s">
        <v>3229</v>
      </c>
      <c r="AF76" s="621" t="str">
        <f>IF(S115="","-",IF(T76="",S115,MAX(IF(T76&gt;indexy!$B$1,S115,S115-S115),IF(U76&gt;indexy!$B$1,S115-1,S115-S115),IF(V76&gt;indexy!$B$1,S115-2,S115-S115),IF(W76&gt;indexy!$B$1,S115-3,S115-S115),IF(X76&gt;indexy!$B$1,S115-4,S115-S115),IF(Y76&gt;indexy!$B$1,S115-5,S115-S115),IF(Z76&gt;indexy!$B$1,S115-6,S115-S115),IF(AA76&gt;indexy!$B$1,S115-7,S115-S115),IF(AB76&gt;indexy!$B$1,S115-8,S115-S115),IF(AC76&gt;indexy!$B$1,S115-9,S115-S115),IF(AD76&gt;indexy!$B$1,S115-10,S115-S115),IF(AE76&gt;indexy!$B$1,S115-11,S115-S115))))</f>
        <v>-</v>
      </c>
      <c r="AG76" s="55">
        <f>(I76-indexy!$B$1)/365</f>
        <v>3.4273972602739726</v>
      </c>
      <c r="AH76" s="687" t="s">
        <v>3229</v>
      </c>
      <c r="AI76" s="687" t="s">
        <v>3229</v>
      </c>
      <c r="AJ76" s="687" t="s">
        <v>3229</v>
      </c>
      <c r="AK76" s="687" t="s">
        <v>3229</v>
      </c>
      <c r="AL76" s="687" t="s">
        <v>3229</v>
      </c>
      <c r="AM76" s="126">
        <v>1</v>
      </c>
      <c r="AN76" s="685">
        <f>+'klikací hodnoty2'!F3461</f>
        <v>0.38260254970555635</v>
      </c>
      <c r="AO76" s="317">
        <v>1056.71</v>
      </c>
      <c r="AP76" s="685">
        <f>+'klikací hodnoty2'!F3460</f>
        <v>0.38260254970555635</v>
      </c>
      <c r="AQ76" s="685">
        <f>+'klikací hodnoty2'!F3447</f>
        <v>0.32028854970555642</v>
      </c>
      <c r="AR76" s="197">
        <f t="shared" si="52"/>
        <v>0.4</v>
      </c>
      <c r="AS76" s="56">
        <f t="shared" si="53"/>
        <v>4.8752845882350737E-2</v>
      </c>
      <c r="AT76" s="56"/>
      <c r="AU76" s="56"/>
      <c r="AV76" s="127">
        <f t="shared" si="57"/>
        <v>-0.1</v>
      </c>
      <c r="AW76" s="45">
        <f t="shared" si="58"/>
        <v>-1.4795114983229829E-2</v>
      </c>
      <c r="AX76" s="171"/>
      <c r="AY76" s="136"/>
      <c r="AZ76" s="210">
        <f t="shared" si="59"/>
        <v>900</v>
      </c>
      <c r="BA76" s="12"/>
      <c r="BB76" s="619"/>
      <c r="BC76" s="138"/>
      <c r="BD76" s="3430"/>
      <c r="BE76" s="3435"/>
      <c r="BF76" s="3435"/>
      <c r="BG76" s="3435"/>
      <c r="BH76" s="3430"/>
      <c r="BI76" s="209"/>
    </row>
    <row r="77" spans="1:61" s="415" customFormat="1" x14ac:dyDescent="0.25">
      <c r="A77" s="1715" t="s">
        <v>10443</v>
      </c>
      <c r="B77" s="1730" t="s">
        <v>10443</v>
      </c>
      <c r="C77" s="52" t="s">
        <v>10446</v>
      </c>
      <c r="D77" s="46" t="s">
        <v>4384</v>
      </c>
      <c r="E77" s="52" t="s">
        <v>1743</v>
      </c>
      <c r="F77" s="49">
        <v>44081</v>
      </c>
      <c r="G77" s="57">
        <v>44053</v>
      </c>
      <c r="H77" s="49">
        <v>44071</v>
      </c>
      <c r="I77" s="1706">
        <v>46660</v>
      </c>
      <c r="J77" s="103">
        <v>1000</v>
      </c>
      <c r="K77" s="46" t="s">
        <v>3229</v>
      </c>
      <c r="L77" s="50" t="s">
        <v>3229</v>
      </c>
      <c r="M77" s="54">
        <v>-0.1</v>
      </c>
      <c r="N77" s="1680">
        <v>1</v>
      </c>
      <c r="O77" s="1707">
        <v>0.4</v>
      </c>
      <c r="P77" s="89" t="s">
        <v>3229</v>
      </c>
      <c r="Q77" s="89" t="s">
        <v>3229</v>
      </c>
      <c r="R77" s="620" t="s">
        <v>3229</v>
      </c>
      <c r="S77" s="619"/>
      <c r="T77" s="196" t="s">
        <v>3229</v>
      </c>
      <c r="U77" s="196" t="s">
        <v>3229</v>
      </c>
      <c r="V77" s="196" t="s">
        <v>3229</v>
      </c>
      <c r="W77" s="196" t="s">
        <v>3229</v>
      </c>
      <c r="X77" s="196" t="s">
        <v>3229</v>
      </c>
      <c r="Y77" s="196" t="s">
        <v>3229</v>
      </c>
      <c r="Z77" s="196" t="s">
        <v>3229</v>
      </c>
      <c r="AA77" s="196" t="s">
        <v>3229</v>
      </c>
      <c r="AB77" s="196" t="s">
        <v>3229</v>
      </c>
      <c r="AC77" s="196" t="s">
        <v>3229</v>
      </c>
      <c r="AD77" s="196" t="s">
        <v>3229</v>
      </c>
      <c r="AE77" s="196" t="s">
        <v>3229</v>
      </c>
      <c r="AF77" s="621" t="str">
        <f>IF(S116="","-",IF(T77="",S116,MAX(IF(T77&gt;indexy!$B$1,S116,S116-S116),IF(U77&gt;indexy!$B$1,S116-1,S116-S116),IF(V77&gt;indexy!$B$1,S116-2,S116-S116),IF(W77&gt;indexy!$B$1,S116-3,S116-S116),IF(X77&gt;indexy!$B$1,S116-4,S116-S116),IF(Y77&gt;indexy!$B$1,S116-5,S116-S116),IF(Z77&gt;indexy!$B$1,S116-6,S116-S116),IF(AA77&gt;indexy!$B$1,S116-7,S116-S116),IF(AB77&gt;indexy!$B$1,S116-8,S116-S116),IF(AC77&gt;indexy!$B$1,S116-9,S116-S116),IF(AD77&gt;indexy!$B$1,S116-10,S116-S116),IF(AE77&gt;indexy!$B$1,S116-11,S116-S116))))</f>
        <v>-</v>
      </c>
      <c r="AG77" s="55">
        <f>(I77-indexy!$B$1)/365</f>
        <v>3.5095890410958903</v>
      </c>
      <c r="AH77" s="687" t="s">
        <v>3229</v>
      </c>
      <c r="AI77" s="687" t="s">
        <v>3229</v>
      </c>
      <c r="AJ77" s="687" t="s">
        <v>3229</v>
      </c>
      <c r="AK77" s="687" t="s">
        <v>3229</v>
      </c>
      <c r="AL77" s="687" t="s">
        <v>3229</v>
      </c>
      <c r="AM77" s="126">
        <v>1</v>
      </c>
      <c r="AN77" s="685">
        <f>+'klikací hodnoty2'!F3508</f>
        <v>0.38013060120167552</v>
      </c>
      <c r="AO77" s="317">
        <v>1071.98</v>
      </c>
      <c r="AP77" s="685">
        <f>+'klikací hodnoty2'!E3507</f>
        <v>0.34347160120167558</v>
      </c>
      <c r="AQ77" s="685">
        <f>+'klikací hodnoty2'!F3494</f>
        <v>0.34347160120167547</v>
      </c>
      <c r="AR77" s="197">
        <f t="shared" ref="AR77:AR82" si="60">O77</f>
        <v>0.4</v>
      </c>
      <c r="AS77" s="56">
        <f t="shared" ref="AS77:AS82" si="61">POWER(1+AR77,1/((I77-F77)/365))-1</f>
        <v>4.8772203335272435E-2</v>
      </c>
      <c r="AT77" s="56"/>
      <c r="AU77" s="56"/>
      <c r="AV77" s="127">
        <f t="shared" si="57"/>
        <v>-0.1</v>
      </c>
      <c r="AW77" s="45">
        <f t="shared" si="58"/>
        <v>-1.4800809082120892E-2</v>
      </c>
      <c r="AX77" s="171"/>
      <c r="AY77" s="136"/>
      <c r="AZ77" s="210">
        <f t="shared" si="59"/>
        <v>900</v>
      </c>
      <c r="BA77" s="12"/>
      <c r="BB77" s="619"/>
      <c r="BC77" s="138"/>
      <c r="BD77" s="3430"/>
      <c r="BE77" s="3435"/>
      <c r="BF77" s="3435"/>
      <c r="BG77" s="3435"/>
      <c r="BH77" s="3430"/>
      <c r="BI77" s="209"/>
    </row>
    <row r="78" spans="1:61" s="415" customFormat="1" x14ac:dyDescent="0.25">
      <c r="A78" s="1715" t="s">
        <v>10499</v>
      </c>
      <c r="B78" s="1730" t="s">
        <v>10499</v>
      </c>
      <c r="C78" s="52" t="s">
        <v>10500</v>
      </c>
      <c r="D78" s="46" t="s">
        <v>4384</v>
      </c>
      <c r="E78" s="52" t="s">
        <v>1743</v>
      </c>
      <c r="F78" s="49">
        <v>44112</v>
      </c>
      <c r="G78" s="57">
        <v>44075</v>
      </c>
      <c r="H78" s="49">
        <v>44106</v>
      </c>
      <c r="I78" s="1706">
        <v>46689</v>
      </c>
      <c r="J78" s="103">
        <v>1000</v>
      </c>
      <c r="K78" s="46" t="s">
        <v>3229</v>
      </c>
      <c r="L78" s="50" t="s">
        <v>3229</v>
      </c>
      <c r="M78" s="54">
        <v>-0.1</v>
      </c>
      <c r="N78" s="1680">
        <v>1</v>
      </c>
      <c r="O78" s="1707">
        <v>0.4</v>
      </c>
      <c r="P78" s="89" t="s">
        <v>3229</v>
      </c>
      <c r="Q78" s="89" t="s">
        <v>3229</v>
      </c>
      <c r="R78" s="620" t="s">
        <v>3229</v>
      </c>
      <c r="S78" s="619"/>
      <c r="T78" s="196" t="s">
        <v>3229</v>
      </c>
      <c r="U78" s="196" t="s">
        <v>3229</v>
      </c>
      <c r="V78" s="196" t="s">
        <v>3229</v>
      </c>
      <c r="W78" s="196" t="s">
        <v>3229</v>
      </c>
      <c r="X78" s="196" t="s">
        <v>3229</v>
      </c>
      <c r="Y78" s="196" t="s">
        <v>3229</v>
      </c>
      <c r="Z78" s="196" t="s">
        <v>3229</v>
      </c>
      <c r="AA78" s="196" t="s">
        <v>3229</v>
      </c>
      <c r="AB78" s="196" t="s">
        <v>3229</v>
      </c>
      <c r="AC78" s="196" t="s">
        <v>3229</v>
      </c>
      <c r="AD78" s="196" t="s">
        <v>3229</v>
      </c>
      <c r="AE78" s="196" t="s">
        <v>3229</v>
      </c>
      <c r="AF78" s="621" t="str">
        <f>IF(S117="","-",IF(T78="",S117,MAX(IF(T78&gt;indexy!$B$1,S117,S117-S117),IF(U78&gt;indexy!$B$1,S117-1,S117-S117),IF(V78&gt;indexy!$B$1,S117-2,S117-S117),IF(W78&gt;indexy!$B$1,S117-3,S117-S117),IF(X78&gt;indexy!$B$1,S117-4,S117-S117),IF(Y78&gt;indexy!$B$1,S117-5,S117-S117),IF(Z78&gt;indexy!$B$1,S117-6,S117-S117),IF(AA78&gt;indexy!$B$1,S117-7,S117-S117),IF(AB78&gt;indexy!$B$1,S117-8,S117-S117),IF(AC78&gt;indexy!$B$1,S117-9,S117-S117),IF(AD78&gt;indexy!$B$1,S117-10,S117-S117),IF(AE78&gt;indexy!$B$1,S117-11,S117-S117))))</f>
        <v>-</v>
      </c>
      <c r="AG78" s="55">
        <f>(I78-indexy!$B$1)/365</f>
        <v>3.5890410958904111</v>
      </c>
      <c r="AH78" s="687" t="s">
        <v>3229</v>
      </c>
      <c r="AI78" s="687" t="s">
        <v>3229</v>
      </c>
      <c r="AJ78" s="687" t="s">
        <v>3229</v>
      </c>
      <c r="AK78" s="687" t="s">
        <v>3229</v>
      </c>
      <c r="AL78" s="687" t="s">
        <v>3229</v>
      </c>
      <c r="AM78" s="126">
        <v>1</v>
      </c>
      <c r="AN78" s="685">
        <f>+'klikací hodnoty2'!F3555</f>
        <v>0.39754624804281152</v>
      </c>
      <c r="AO78" s="317">
        <v>1079.1099999999999</v>
      </c>
      <c r="AP78" s="685">
        <f>+'klikací hodnoty2'!F3554</f>
        <v>0.39754624804281152</v>
      </c>
      <c r="AQ78" s="685">
        <f>+'klikací hodnoty2'!F3541</f>
        <v>0.36804224804281144</v>
      </c>
      <c r="AR78" s="197">
        <f t="shared" si="60"/>
        <v>0.4</v>
      </c>
      <c r="AS78" s="56">
        <f t="shared" si="61"/>
        <v>4.8810964384818467E-2</v>
      </c>
      <c r="AT78" s="56"/>
      <c r="AU78" s="56"/>
      <c r="AV78" s="127">
        <f t="shared" si="57"/>
        <v>-0.1</v>
      </c>
      <c r="AW78" s="45">
        <f t="shared" si="58"/>
        <v>-1.481221043848846E-2</v>
      </c>
      <c r="AX78" s="171"/>
      <c r="AY78" s="136"/>
      <c r="AZ78" s="210">
        <f t="shared" si="59"/>
        <v>900</v>
      </c>
      <c r="BA78" s="12"/>
      <c r="BB78" s="619"/>
      <c r="BC78" s="138"/>
      <c r="BD78" s="3430"/>
      <c r="BE78" s="3435"/>
      <c r="BF78" s="3435"/>
      <c r="BG78" s="3435"/>
      <c r="BH78" s="3430"/>
      <c r="BI78" s="209"/>
    </row>
    <row r="79" spans="1:61" s="415" customFormat="1" x14ac:dyDescent="0.25">
      <c r="A79" s="1714" t="s">
        <v>10524</v>
      </c>
      <c r="B79" s="1726" t="s">
        <v>10524</v>
      </c>
      <c r="C79" s="52" t="s">
        <v>10526</v>
      </c>
      <c r="D79" s="46" t="s">
        <v>1872</v>
      </c>
      <c r="E79" s="1615" t="s">
        <v>1743</v>
      </c>
      <c r="F79" s="49">
        <v>44141</v>
      </c>
      <c r="G79" s="49">
        <v>44111</v>
      </c>
      <c r="H79" s="49">
        <v>44134</v>
      </c>
      <c r="I79" s="1729">
        <v>46721</v>
      </c>
      <c r="J79" s="114">
        <v>1000</v>
      </c>
      <c r="K79" s="46" t="s">
        <v>3229</v>
      </c>
      <c r="L79" s="50" t="s">
        <v>3229</v>
      </c>
      <c r="M79" s="56">
        <v>-0.1</v>
      </c>
      <c r="N79" s="230">
        <v>1</v>
      </c>
      <c r="O79" s="2483">
        <v>0.4</v>
      </c>
      <c r="P79" s="89" t="s">
        <v>3229</v>
      </c>
      <c r="Q79" s="89" t="s">
        <v>3229</v>
      </c>
      <c r="R79" s="620" t="s">
        <v>3229</v>
      </c>
      <c r="S79" s="619"/>
      <c r="T79" s="196" t="s">
        <v>3229</v>
      </c>
      <c r="U79" s="196" t="s">
        <v>3229</v>
      </c>
      <c r="V79" s="196" t="s">
        <v>3229</v>
      </c>
      <c r="W79" s="196" t="s">
        <v>3229</v>
      </c>
      <c r="X79" s="196" t="s">
        <v>3229</v>
      </c>
      <c r="Y79" s="196" t="s">
        <v>3229</v>
      </c>
      <c r="Z79" s="196" t="s">
        <v>3229</v>
      </c>
      <c r="AA79" s="196" t="s">
        <v>3229</v>
      </c>
      <c r="AB79" s="196" t="s">
        <v>3229</v>
      </c>
      <c r="AC79" s="196" t="s">
        <v>3229</v>
      </c>
      <c r="AD79" s="196" t="s">
        <v>3229</v>
      </c>
      <c r="AE79" s="196" t="s">
        <v>3229</v>
      </c>
      <c r="AF79" s="621" t="str">
        <f>IF(S118="","-",IF(T79="",S118,MAX(IF(T79&gt;indexy!$B$1,S118,S118-S118),IF(U79&gt;indexy!$B$1,S118-1,S118-S118),IF(V79&gt;indexy!$B$1,S118-2,S118-S118),IF(W79&gt;indexy!$B$1,S118-3,S118-S118),IF(X79&gt;indexy!$B$1,S118-4,S118-S118),IF(Y79&gt;indexy!$B$1,S118-5,S118-S118),IF(Z79&gt;indexy!$B$1,S118-6,S118-S118),IF(AA79&gt;indexy!$B$1,S118-7,S118-S118),IF(AB79&gt;indexy!$B$1,S118-8,S118-S118),IF(AC79&gt;indexy!$B$1,S118-9,S118-S118),IF(AD79&gt;indexy!$B$1,S118-10,S118-S118),IF(AE79&gt;indexy!$B$1,S118-11,S118-S118))))</f>
        <v>-</v>
      </c>
      <c r="AG79" s="55">
        <f>(I79-indexy!$B$1)/365</f>
        <v>3.6767123287671235</v>
      </c>
      <c r="AH79" s="687" t="s">
        <v>3229</v>
      </c>
      <c r="AI79" s="687" t="s">
        <v>3229</v>
      </c>
      <c r="AJ79" s="687" t="s">
        <v>3229</v>
      </c>
      <c r="AK79" s="687" t="s">
        <v>3229</v>
      </c>
      <c r="AL79" s="687" t="s">
        <v>3229</v>
      </c>
      <c r="AM79" s="126">
        <v>1</v>
      </c>
      <c r="AN79" s="685">
        <f>+'klikací hodnoty2'!F3602</f>
        <v>0.4</v>
      </c>
      <c r="AO79" s="317">
        <v>1088.1199999999999</v>
      </c>
      <c r="AP79" s="685">
        <f>+'klikací hodnoty2'!F3601</f>
        <v>0.45891183771710131</v>
      </c>
      <c r="AQ79" s="685">
        <f>+'klikací hodnoty2'!F3588</f>
        <v>0.45891183771710142</v>
      </c>
      <c r="AR79" s="197">
        <f t="shared" si="60"/>
        <v>0.4</v>
      </c>
      <c r="AS79" s="56">
        <f t="shared" si="61"/>
        <v>4.8752845882350737E-2</v>
      </c>
      <c r="AT79" s="56"/>
      <c r="AU79" s="56"/>
      <c r="AV79" s="127">
        <f t="shared" si="57"/>
        <v>-0.1</v>
      </c>
      <c r="AW79" s="45">
        <f t="shared" si="58"/>
        <v>-1.4795114983229829E-2</v>
      </c>
      <c r="AX79" s="171"/>
      <c r="AY79" s="136"/>
      <c r="AZ79" s="210">
        <f t="shared" si="59"/>
        <v>900</v>
      </c>
      <c r="BA79" s="12"/>
      <c r="BB79" s="619"/>
      <c r="BC79" s="138"/>
      <c r="BD79" s="3430"/>
      <c r="BE79" s="3435"/>
      <c r="BF79" s="3435"/>
      <c r="BG79" s="3435"/>
      <c r="BH79" s="3430"/>
      <c r="BI79" s="1639"/>
    </row>
    <row r="80" spans="1:61" s="415" customFormat="1" x14ac:dyDescent="0.25">
      <c r="A80" s="1714" t="s">
        <v>10525</v>
      </c>
      <c r="B80" s="1726" t="s">
        <v>10525</v>
      </c>
      <c r="C80" s="52" t="s">
        <v>10527</v>
      </c>
      <c r="D80" s="46" t="s">
        <v>1872</v>
      </c>
      <c r="E80" s="1615" t="s">
        <v>1743</v>
      </c>
      <c r="F80" s="49">
        <v>44172</v>
      </c>
      <c r="G80" s="49">
        <v>44139</v>
      </c>
      <c r="H80" s="49">
        <v>44162</v>
      </c>
      <c r="I80" s="1729">
        <v>46783</v>
      </c>
      <c r="J80" s="114">
        <v>1000</v>
      </c>
      <c r="K80" s="46" t="s">
        <v>3229</v>
      </c>
      <c r="L80" s="50" t="s">
        <v>3229</v>
      </c>
      <c r="M80" s="56">
        <v>-0.1</v>
      </c>
      <c r="N80" s="230">
        <v>1</v>
      </c>
      <c r="O80" s="2483">
        <v>0.4</v>
      </c>
      <c r="P80" s="89" t="s">
        <v>3229</v>
      </c>
      <c r="Q80" s="89" t="s">
        <v>3229</v>
      </c>
      <c r="R80" s="620" t="s">
        <v>3229</v>
      </c>
      <c r="S80" s="619"/>
      <c r="T80" s="196" t="s">
        <v>3229</v>
      </c>
      <c r="U80" s="196" t="s">
        <v>3229</v>
      </c>
      <c r="V80" s="196" t="s">
        <v>3229</v>
      </c>
      <c r="W80" s="196" t="s">
        <v>3229</v>
      </c>
      <c r="X80" s="196" t="s">
        <v>3229</v>
      </c>
      <c r="Y80" s="196" t="s">
        <v>3229</v>
      </c>
      <c r="Z80" s="196" t="s">
        <v>3229</v>
      </c>
      <c r="AA80" s="196" t="s">
        <v>3229</v>
      </c>
      <c r="AB80" s="196" t="s">
        <v>3229</v>
      </c>
      <c r="AC80" s="196" t="s">
        <v>3229</v>
      </c>
      <c r="AD80" s="196" t="s">
        <v>3229</v>
      </c>
      <c r="AE80" s="196" t="s">
        <v>3229</v>
      </c>
      <c r="AF80" s="621" t="str">
        <f>IF(S119="","-",IF(T80="",S119,MAX(IF(T80&gt;indexy!$B$1,S119,S119-S119),IF(U80&gt;indexy!$B$1,S119-1,S119-S119),IF(V80&gt;indexy!$B$1,S119-2,S119-S119),IF(W80&gt;indexy!$B$1,S119-3,S119-S119),IF(X80&gt;indexy!$B$1,S119-4,S119-S119),IF(Y80&gt;indexy!$B$1,S119-5,S119-S119),IF(Z80&gt;indexy!$B$1,S119-6,S119-S119),IF(AA80&gt;indexy!$B$1,S119-7,S119-S119),IF(AB80&gt;indexy!$B$1,S119-8,S119-S119),IF(AC80&gt;indexy!$B$1,S119-9,S119-S119),IF(AD80&gt;indexy!$B$1,S119-10,S119-S119),IF(AE80&gt;indexy!$B$1,S119-11,S119-S119))))</f>
        <v>-</v>
      </c>
      <c r="AG80" s="55">
        <f>(I80-indexy!$B$1)/365</f>
        <v>3.8465753424657536</v>
      </c>
      <c r="AH80" s="687" t="s">
        <v>3229</v>
      </c>
      <c r="AI80" s="687" t="s">
        <v>3229</v>
      </c>
      <c r="AJ80" s="687" t="s">
        <v>3229</v>
      </c>
      <c r="AK80" s="687" t="s">
        <v>3229</v>
      </c>
      <c r="AL80" s="687" t="s">
        <v>3229</v>
      </c>
      <c r="AM80" s="126">
        <v>1</v>
      </c>
      <c r="AN80" s="469">
        <f>+'klikací hodnoty2'!F3649</f>
        <v>0.4</v>
      </c>
      <c r="AO80" s="317">
        <v>1080.8</v>
      </c>
      <c r="AP80" s="685">
        <f>+'klikací hodnoty2'!F3648</f>
        <v>0.45214422157752721</v>
      </c>
      <c r="AQ80" s="685">
        <f>+'klikací hodnoty2'!F3635</f>
        <v>0.45214422157752721</v>
      </c>
      <c r="AR80" s="197">
        <f t="shared" si="60"/>
        <v>0.4</v>
      </c>
      <c r="AS80" s="56">
        <f t="shared" si="61"/>
        <v>4.8160292271291816E-2</v>
      </c>
      <c r="AT80" s="56"/>
      <c r="AU80" s="56"/>
      <c r="AV80" s="127">
        <f t="shared" si="57"/>
        <v>-0.1</v>
      </c>
      <c r="AW80" s="45">
        <f t="shared" si="58"/>
        <v>-1.4620745349929631E-2</v>
      </c>
      <c r="AX80" s="171"/>
      <c r="AY80" s="136"/>
      <c r="AZ80" s="210">
        <f t="shared" si="59"/>
        <v>900</v>
      </c>
      <c r="BA80" s="12"/>
      <c r="BB80" s="619"/>
      <c r="BC80" s="138"/>
      <c r="BD80" s="3430"/>
      <c r="BE80" s="3435"/>
      <c r="BF80" s="3435"/>
      <c r="BG80" s="3435"/>
      <c r="BH80" s="3430"/>
      <c r="BI80" s="1639"/>
    </row>
    <row r="81" spans="1:61" s="415" customFormat="1" x14ac:dyDescent="0.25">
      <c r="A81" s="1714" t="s">
        <v>10564</v>
      </c>
      <c r="B81" s="1726" t="s">
        <v>10564</v>
      </c>
      <c r="C81" s="52" t="s">
        <v>10566</v>
      </c>
      <c r="D81" s="46" t="s">
        <v>1872</v>
      </c>
      <c r="E81" s="1615" t="s">
        <v>1743</v>
      </c>
      <c r="F81" s="49">
        <v>44204</v>
      </c>
      <c r="G81" s="49">
        <v>44167</v>
      </c>
      <c r="H81" s="49">
        <v>44196</v>
      </c>
      <c r="I81" s="1729">
        <v>46783</v>
      </c>
      <c r="J81" s="114">
        <v>1000</v>
      </c>
      <c r="K81" s="46" t="s">
        <v>3229</v>
      </c>
      <c r="L81" s="50" t="s">
        <v>3229</v>
      </c>
      <c r="M81" s="56">
        <v>-0.1</v>
      </c>
      <c r="N81" s="230">
        <v>1</v>
      </c>
      <c r="O81" s="2483">
        <v>0.4</v>
      </c>
      <c r="P81" s="89" t="s">
        <v>3229</v>
      </c>
      <c r="Q81" s="89" t="s">
        <v>3229</v>
      </c>
      <c r="R81" s="620" t="s">
        <v>3229</v>
      </c>
      <c r="S81" s="619"/>
      <c r="T81" s="196" t="s">
        <v>3229</v>
      </c>
      <c r="U81" s="196" t="s">
        <v>3229</v>
      </c>
      <c r="V81" s="196" t="s">
        <v>3229</v>
      </c>
      <c r="W81" s="196" t="s">
        <v>3229</v>
      </c>
      <c r="X81" s="196" t="s">
        <v>3229</v>
      </c>
      <c r="Y81" s="196" t="s">
        <v>3229</v>
      </c>
      <c r="Z81" s="196" t="s">
        <v>3229</v>
      </c>
      <c r="AA81" s="196" t="s">
        <v>3229</v>
      </c>
      <c r="AB81" s="196" t="s">
        <v>3229</v>
      </c>
      <c r="AC81" s="196" t="s">
        <v>3229</v>
      </c>
      <c r="AD81" s="196" t="s">
        <v>3229</v>
      </c>
      <c r="AE81" s="196" t="s">
        <v>3229</v>
      </c>
      <c r="AF81" s="621" t="str">
        <f>IF(S120="","-",IF(T81="",S120,MAX(IF(T81&gt;indexy!$B$1,S120,S120-S120),IF(U81&gt;indexy!$B$1,S120-1,S120-S120),IF(V81&gt;indexy!$B$1,S120-2,S120-S120),IF(W81&gt;indexy!$B$1,S120-3,S120-S120),IF(X81&gt;indexy!$B$1,S120-4,S120-S120),IF(Y81&gt;indexy!$B$1,S120-5,S120-S120),IF(Z81&gt;indexy!$B$1,S120-6,S120-S120),IF(AA81&gt;indexy!$B$1,S120-7,S120-S120),IF(AB81&gt;indexy!$B$1,S120-8,S120-S120),IF(AC81&gt;indexy!$B$1,S120-9,S120-S120),IF(AD81&gt;indexy!$B$1,S120-10,S120-S120),IF(AE81&gt;indexy!$B$1,S120-11,S120-S120))))</f>
        <v>-</v>
      </c>
      <c r="AG81" s="55">
        <f>(I81-indexy!$B$1)/365</f>
        <v>3.8465753424657536</v>
      </c>
      <c r="AH81" s="687" t="s">
        <v>3229</v>
      </c>
      <c r="AI81" s="687" t="s">
        <v>3229</v>
      </c>
      <c r="AJ81" s="687" t="s">
        <v>3229</v>
      </c>
      <c r="AK81" s="687" t="s">
        <v>3229</v>
      </c>
      <c r="AL81" s="687" t="s">
        <v>3229</v>
      </c>
      <c r="AM81" s="126">
        <v>1</v>
      </c>
      <c r="AN81" s="469">
        <f>+'klikací hodnoty2'!F3696</f>
        <v>0.36826561274849495</v>
      </c>
      <c r="AO81" s="317">
        <v>1040</v>
      </c>
      <c r="AP81" s="685">
        <f>+'klikací hodnoty2'!F3695</f>
        <v>0.36826561274849495</v>
      </c>
      <c r="AQ81" s="685">
        <f>+'klikací hodnoty2'!F3682</f>
        <v>0.35076461274849485</v>
      </c>
      <c r="AR81" s="197">
        <f t="shared" si="60"/>
        <v>0.4</v>
      </c>
      <c r="AS81" s="56">
        <f t="shared" si="61"/>
        <v>4.8772203335272435E-2</v>
      </c>
      <c r="AT81" s="56"/>
      <c r="AU81" s="56"/>
      <c r="AV81" s="127">
        <f t="shared" ref="AV81" si="62">M81</f>
        <v>-0.1</v>
      </c>
      <c r="AW81" s="45">
        <f t="shared" ref="AW81" si="63">POWER(1+AV81,1/((I81-F81)/365))-1</f>
        <v>-1.4800809082120892E-2</v>
      </c>
      <c r="AX81" s="171"/>
      <c r="AY81" s="136"/>
      <c r="AZ81" s="210">
        <f t="shared" si="59"/>
        <v>900</v>
      </c>
      <c r="BA81" s="12"/>
      <c r="BB81" s="619"/>
      <c r="BC81" s="138"/>
      <c r="BD81" s="3430"/>
      <c r="BE81" s="3435"/>
      <c r="BF81" s="3435"/>
      <c r="BG81" s="3435"/>
      <c r="BH81" s="3430"/>
      <c r="BI81" s="1639"/>
    </row>
    <row r="82" spans="1:61" s="415" customFormat="1" x14ac:dyDescent="0.25">
      <c r="A82" s="1714" t="s">
        <v>10565</v>
      </c>
      <c r="B82" s="1726" t="s">
        <v>10565</v>
      </c>
      <c r="C82" s="52" t="s">
        <v>10567</v>
      </c>
      <c r="D82" s="46" t="s">
        <v>1872</v>
      </c>
      <c r="E82" s="1615" t="s">
        <v>1743</v>
      </c>
      <c r="F82" s="49">
        <v>44232</v>
      </c>
      <c r="G82" s="49">
        <v>44203</v>
      </c>
      <c r="H82" s="49">
        <v>44225</v>
      </c>
      <c r="I82" s="1729">
        <v>46444</v>
      </c>
      <c r="J82" s="114">
        <v>1000</v>
      </c>
      <c r="K82" s="46" t="s">
        <v>3229</v>
      </c>
      <c r="L82" s="50" t="s">
        <v>3229</v>
      </c>
      <c r="M82" s="56">
        <v>-0.1</v>
      </c>
      <c r="N82" s="230">
        <v>1</v>
      </c>
      <c r="O82" s="2483">
        <v>0.4</v>
      </c>
      <c r="P82" s="89" t="s">
        <v>3229</v>
      </c>
      <c r="Q82" s="89" t="s">
        <v>3229</v>
      </c>
      <c r="R82" s="620" t="s">
        <v>3229</v>
      </c>
      <c r="S82" s="619"/>
      <c r="T82" s="196" t="s">
        <v>3229</v>
      </c>
      <c r="U82" s="196" t="s">
        <v>3229</v>
      </c>
      <c r="V82" s="196" t="s">
        <v>3229</v>
      </c>
      <c r="W82" s="196" t="s">
        <v>3229</v>
      </c>
      <c r="X82" s="196" t="s">
        <v>3229</v>
      </c>
      <c r="Y82" s="196" t="s">
        <v>3229</v>
      </c>
      <c r="Z82" s="196" t="s">
        <v>3229</v>
      </c>
      <c r="AA82" s="196" t="s">
        <v>3229</v>
      </c>
      <c r="AB82" s="196" t="s">
        <v>3229</v>
      </c>
      <c r="AC82" s="196" t="s">
        <v>3229</v>
      </c>
      <c r="AD82" s="196" t="s">
        <v>3229</v>
      </c>
      <c r="AE82" s="196" t="s">
        <v>3229</v>
      </c>
      <c r="AF82" s="621" t="str">
        <f>IF(S121="","-",IF(T82="",S121,MAX(IF(T82&gt;indexy!$B$1,S121,S121-S121),IF(U82&gt;indexy!$B$1,S121-1,S121-S121),IF(V82&gt;indexy!$B$1,S121-2,S121-S121),IF(W82&gt;indexy!$B$1,S121-3,S121-S121),IF(X82&gt;indexy!$B$1,S121-4,S121-S121),IF(Y82&gt;indexy!$B$1,S121-5,S121-S121),IF(Z82&gt;indexy!$B$1,S121-6,S121-S121),IF(AA82&gt;indexy!$B$1,S121-7,S121-S121),IF(AB82&gt;indexy!$B$1,S121-8,S121-S121),IF(AC82&gt;indexy!$B$1,S121-9,S121-S121),IF(AD82&gt;indexy!$B$1,S121-10,S121-S121),IF(AE82&gt;indexy!$B$1,S121-11,S121-S121))))</f>
        <v>-</v>
      </c>
      <c r="AG82" s="55">
        <f>(I82-indexy!$B$1)/365</f>
        <v>2.9178082191780823</v>
      </c>
      <c r="AH82" s="687" t="s">
        <v>3229</v>
      </c>
      <c r="AI82" s="687" t="s">
        <v>3229</v>
      </c>
      <c r="AJ82" s="687" t="s">
        <v>3229</v>
      </c>
      <c r="AK82" s="687" t="s">
        <v>3229</v>
      </c>
      <c r="AL82" s="687" t="s">
        <v>3229</v>
      </c>
      <c r="AM82" s="126">
        <v>1</v>
      </c>
      <c r="AN82" s="469">
        <f>+'klikací hodnoty2'!F3743</f>
        <v>0.10999771297386246</v>
      </c>
      <c r="AO82" s="317">
        <v>951.98</v>
      </c>
      <c r="AP82" s="685">
        <f>+'klikací hodnoty2'!F3742</f>
        <v>0.10999771297386246</v>
      </c>
      <c r="AQ82" s="685">
        <f>+'klikací hodnoty2'!F3729</f>
        <v>0.10999771297386256</v>
      </c>
      <c r="AR82" s="197">
        <f t="shared" si="60"/>
        <v>0.4</v>
      </c>
      <c r="AS82" s="56">
        <f t="shared" si="61"/>
        <v>5.709117483164694E-2</v>
      </c>
      <c r="AT82" s="56"/>
      <c r="AU82" s="56"/>
      <c r="AV82" s="127">
        <f t="shared" ref="AV82" si="64">M82</f>
        <v>-0.1</v>
      </c>
      <c r="AW82" s="45">
        <f t="shared" ref="AW82" si="65">POWER(1+AV82,1/((I82-F82)/365))-1</f>
        <v>-1.7235182996131138E-2</v>
      </c>
      <c r="AX82" s="171"/>
      <c r="AY82" s="136"/>
      <c r="AZ82" s="210">
        <f t="shared" ref="AZ82" si="66">J82*(1+AV82)</f>
        <v>900</v>
      </c>
      <c r="BA82" s="12"/>
      <c r="BB82" s="619"/>
      <c r="BC82" s="138"/>
      <c r="BD82" s="3430"/>
      <c r="BE82" s="3435"/>
      <c r="BF82" s="3435"/>
      <c r="BG82" s="3435"/>
      <c r="BH82" s="3430"/>
      <c r="BI82" s="1639"/>
    </row>
    <row r="83" spans="1:61" s="415" customFormat="1" x14ac:dyDescent="0.25">
      <c r="A83" s="1714" t="s">
        <v>10593</v>
      </c>
      <c r="B83" s="1726" t="s">
        <v>10593</v>
      </c>
      <c r="C83" s="52" t="s">
        <v>10595</v>
      </c>
      <c r="D83" s="46" t="s">
        <v>1872</v>
      </c>
      <c r="E83" s="1615" t="s">
        <v>1743</v>
      </c>
      <c r="F83" s="49">
        <v>44260</v>
      </c>
      <c r="G83" s="49">
        <v>44235</v>
      </c>
      <c r="H83" s="49">
        <v>44253</v>
      </c>
      <c r="I83" s="1729">
        <v>46477</v>
      </c>
      <c r="J83" s="114">
        <v>1000</v>
      </c>
      <c r="K83" s="46" t="s">
        <v>3229</v>
      </c>
      <c r="L83" s="50" t="s">
        <v>3229</v>
      </c>
      <c r="M83" s="56">
        <v>-0.1</v>
      </c>
      <c r="N83" s="230">
        <v>1</v>
      </c>
      <c r="O83" s="2483">
        <v>0.4</v>
      </c>
      <c r="P83" s="89" t="s">
        <v>3229</v>
      </c>
      <c r="Q83" s="89" t="s">
        <v>3229</v>
      </c>
      <c r="R83" s="620" t="s">
        <v>3229</v>
      </c>
      <c r="S83" s="619"/>
      <c r="T83" s="196" t="s">
        <v>3229</v>
      </c>
      <c r="U83" s="196" t="s">
        <v>3229</v>
      </c>
      <c r="V83" s="196" t="s">
        <v>3229</v>
      </c>
      <c r="W83" s="196" t="s">
        <v>3229</v>
      </c>
      <c r="X83" s="196" t="s">
        <v>3229</v>
      </c>
      <c r="Y83" s="196" t="s">
        <v>3229</v>
      </c>
      <c r="Z83" s="196" t="s">
        <v>3229</v>
      </c>
      <c r="AA83" s="196" t="s">
        <v>3229</v>
      </c>
      <c r="AB83" s="196" t="s">
        <v>3229</v>
      </c>
      <c r="AC83" s="196" t="s">
        <v>3229</v>
      </c>
      <c r="AD83" s="196" t="s">
        <v>3229</v>
      </c>
      <c r="AE83" s="196" t="s">
        <v>3229</v>
      </c>
      <c r="AF83" s="621" t="str">
        <f>IF(S122="","-",IF(T83="",S122,MAX(IF(T83&gt;indexy!$B$1,S122,S122-S122),IF(U83&gt;indexy!$B$1,S122-1,S122-S122),IF(V83&gt;indexy!$B$1,S122-2,S122-S122),IF(W83&gt;indexy!$B$1,S122-3,S122-S122),IF(X83&gt;indexy!$B$1,S122-4,S122-S122),IF(Y83&gt;indexy!$B$1,S122-5,S122-S122),IF(Z83&gt;indexy!$B$1,S122-6,S122-S122),IF(AA83&gt;indexy!$B$1,S122-7,S122-S122),IF(AB83&gt;indexy!$B$1,S122-8,S122-S122),IF(AC83&gt;indexy!$B$1,S122-9,S122-S122),IF(AD83&gt;indexy!$B$1,S122-10,S122-S122),IF(AE83&gt;indexy!$B$1,S122-11,S122-S122))))</f>
        <v>-</v>
      </c>
      <c r="AG83" s="55">
        <f>(I83-indexy!$B$1)/365</f>
        <v>3.0082191780821916</v>
      </c>
      <c r="AH83" s="687" t="s">
        <v>3229</v>
      </c>
      <c r="AI83" s="687" t="s">
        <v>3229</v>
      </c>
      <c r="AJ83" s="687" t="s">
        <v>3229</v>
      </c>
      <c r="AK83" s="687" t="s">
        <v>3229</v>
      </c>
      <c r="AL83" s="687" t="s">
        <v>3229</v>
      </c>
      <c r="AM83" s="126">
        <v>1</v>
      </c>
      <c r="AN83" s="469">
        <f>+'klikací hodnoty2'!F3790</f>
        <v>5.2611938321354759E-2</v>
      </c>
      <c r="AO83" s="317">
        <v>920.62</v>
      </c>
      <c r="AP83" s="685">
        <f>+'klikací hodnoty2'!F3789</f>
        <v>5.2611938321354759E-2</v>
      </c>
      <c r="AQ83" s="685">
        <f>+'klikací hodnoty2'!F3776</f>
        <v>5.2611938321354759E-2</v>
      </c>
      <c r="AR83" s="197">
        <f t="shared" ref="AR83:AR84" si="67">O83</f>
        <v>0.4</v>
      </c>
      <c r="AS83" s="56">
        <f t="shared" ref="AS83:AS84" si="68">POWER(1+AR83,1/((I83-F83)/365))-1</f>
        <v>5.6958817944350759E-2</v>
      </c>
      <c r="AT83" s="56"/>
      <c r="AU83" s="56"/>
      <c r="AV83" s="127">
        <f t="shared" ref="AV83:AV84" si="69">M83</f>
        <v>-0.1</v>
      </c>
      <c r="AW83" s="45">
        <f t="shared" ref="AW83:AW84" si="70">POWER(1+AV83,1/((I83-F83)/365))-1</f>
        <v>-1.7196648644584145E-2</v>
      </c>
      <c r="AX83" s="171"/>
      <c r="AY83" s="136"/>
      <c r="AZ83" s="210">
        <f t="shared" ref="AZ83:AZ84" si="71">J83*(1+AV83)</f>
        <v>900</v>
      </c>
      <c r="BA83" s="12"/>
      <c r="BB83" s="619"/>
      <c r="BC83" s="138"/>
      <c r="BD83" s="3430"/>
      <c r="BE83" s="3435"/>
      <c r="BF83" s="3435"/>
      <c r="BG83" s="3435"/>
      <c r="BH83" s="3430"/>
      <c r="BI83" s="1639"/>
    </row>
    <row r="84" spans="1:61" s="415" customFormat="1" x14ac:dyDescent="0.25">
      <c r="A84" s="1714" t="s">
        <v>10594</v>
      </c>
      <c r="B84" s="1726" t="s">
        <v>10594</v>
      </c>
      <c r="C84" s="52" t="s">
        <v>10596</v>
      </c>
      <c r="D84" s="46" t="s">
        <v>1872</v>
      </c>
      <c r="E84" s="1615" t="s">
        <v>1743</v>
      </c>
      <c r="F84" s="49">
        <v>44295</v>
      </c>
      <c r="G84" s="49">
        <v>44259</v>
      </c>
      <c r="H84" s="49">
        <v>44287</v>
      </c>
      <c r="I84" s="1729">
        <v>46507</v>
      </c>
      <c r="J84" s="114">
        <v>1000</v>
      </c>
      <c r="K84" s="46" t="s">
        <v>3229</v>
      </c>
      <c r="L84" s="50" t="s">
        <v>3229</v>
      </c>
      <c r="M84" s="56">
        <v>-0.1</v>
      </c>
      <c r="N84" s="230">
        <v>1</v>
      </c>
      <c r="O84" s="2483">
        <v>0.4</v>
      </c>
      <c r="P84" s="89" t="s">
        <v>3229</v>
      </c>
      <c r="Q84" s="89" t="s">
        <v>3229</v>
      </c>
      <c r="R84" s="620" t="s">
        <v>3229</v>
      </c>
      <c r="S84" s="619"/>
      <c r="T84" s="196" t="s">
        <v>3229</v>
      </c>
      <c r="U84" s="196" t="s">
        <v>3229</v>
      </c>
      <c r="V84" s="196" t="s">
        <v>3229</v>
      </c>
      <c r="W84" s="196" t="s">
        <v>3229</v>
      </c>
      <c r="X84" s="196" t="s">
        <v>3229</v>
      </c>
      <c r="Y84" s="196" t="s">
        <v>3229</v>
      </c>
      <c r="Z84" s="196" t="s">
        <v>3229</v>
      </c>
      <c r="AA84" s="196" t="s">
        <v>3229</v>
      </c>
      <c r="AB84" s="196" t="s">
        <v>3229</v>
      </c>
      <c r="AC84" s="196" t="s">
        <v>3229</v>
      </c>
      <c r="AD84" s="196" t="s">
        <v>3229</v>
      </c>
      <c r="AE84" s="196" t="s">
        <v>3229</v>
      </c>
      <c r="AF84" s="621" t="str">
        <f>IF(S123="","-",IF(T84="",S123,MAX(IF(T84&gt;indexy!$B$1,S123,S123-S123),IF(U84&gt;indexy!$B$1,S123-1,S123-S123),IF(V84&gt;indexy!$B$1,S123-2,S123-S123),IF(W84&gt;indexy!$B$1,S123-3,S123-S123),IF(X84&gt;indexy!$B$1,S123-4,S123-S123),IF(Y84&gt;indexy!$B$1,S123-5,S123-S123),IF(Z84&gt;indexy!$B$1,S123-6,S123-S123),IF(AA84&gt;indexy!$B$1,S123-7,S123-S123),IF(AB84&gt;indexy!$B$1,S123-8,S123-S123),IF(AC84&gt;indexy!$B$1,S123-9,S123-S123),IF(AD84&gt;indexy!$B$1,S123-10,S123-S123),IF(AE84&gt;indexy!$B$1,S123-11,S123-S123))))</f>
        <v>-</v>
      </c>
      <c r="AG84" s="55">
        <f>(I84-indexy!$B$1)/365</f>
        <v>3.0904109589041098</v>
      </c>
      <c r="AH84" s="687" t="s">
        <v>3229</v>
      </c>
      <c r="AI84" s="687" t="s">
        <v>3229</v>
      </c>
      <c r="AJ84" s="687" t="s">
        <v>3229</v>
      </c>
      <c r="AK84" s="687" t="s">
        <v>3229</v>
      </c>
      <c r="AL84" s="687" t="s">
        <v>3229</v>
      </c>
      <c r="AM84" s="126">
        <v>1</v>
      </c>
      <c r="AN84" s="469">
        <f>+'klikací hodnoty2'!F3884</f>
        <v>3.746706249885165E-2</v>
      </c>
      <c r="AO84" s="317">
        <v>921.47</v>
      </c>
      <c r="AP84" s="685">
        <f>+'klikací hodnoty2'!F3883</f>
        <v>3.746706249885165E-2</v>
      </c>
      <c r="AQ84" s="685">
        <f>+'klikací hodnoty2'!F3870</f>
        <v>3.7467062498851622E-2</v>
      </c>
      <c r="AR84" s="197">
        <f t="shared" si="67"/>
        <v>0.4</v>
      </c>
      <c r="AS84" s="56">
        <f t="shared" si="68"/>
        <v>5.709117483164694E-2</v>
      </c>
      <c r="AT84" s="56"/>
      <c r="AU84" s="56"/>
      <c r="AV84" s="127">
        <f t="shared" si="69"/>
        <v>-0.1</v>
      </c>
      <c r="AW84" s="45">
        <f t="shared" si="70"/>
        <v>-1.7235182996131138E-2</v>
      </c>
      <c r="AX84" s="171"/>
      <c r="AY84" s="136"/>
      <c r="AZ84" s="210">
        <f t="shared" si="71"/>
        <v>900</v>
      </c>
      <c r="BA84" s="12"/>
      <c r="BB84" s="619"/>
      <c r="BC84" s="138"/>
      <c r="BD84" s="3430"/>
      <c r="BE84" s="3435"/>
      <c r="BF84" s="3435"/>
      <c r="BG84" s="3435"/>
      <c r="BH84" s="3430"/>
      <c r="BI84" s="1639"/>
    </row>
    <row r="85" spans="1:61" s="415" customFormat="1" x14ac:dyDescent="0.25">
      <c r="A85" s="1714" t="s">
        <v>10603</v>
      </c>
      <c r="B85" s="1726" t="s">
        <v>10603</v>
      </c>
      <c r="C85" s="52" t="s">
        <v>10614</v>
      </c>
      <c r="D85" s="46" t="s">
        <v>1872</v>
      </c>
      <c r="E85" s="1615" t="s">
        <v>1743</v>
      </c>
      <c r="F85" s="49">
        <v>44323</v>
      </c>
      <c r="G85" s="49">
        <v>44298</v>
      </c>
      <c r="H85" s="49">
        <v>44316</v>
      </c>
      <c r="I85" s="1729">
        <v>46721</v>
      </c>
      <c r="J85" s="114">
        <v>1000</v>
      </c>
      <c r="K85" s="46" t="s">
        <v>3229</v>
      </c>
      <c r="L85" s="50" t="s">
        <v>3229</v>
      </c>
      <c r="M85" s="56">
        <v>-0.1</v>
      </c>
      <c r="N85" s="230">
        <v>1</v>
      </c>
      <c r="O85" s="2483">
        <v>0.4</v>
      </c>
      <c r="P85" s="89" t="s">
        <v>3229</v>
      </c>
      <c r="Q85" s="89" t="s">
        <v>3229</v>
      </c>
      <c r="R85" s="620" t="s">
        <v>3229</v>
      </c>
      <c r="S85" s="619"/>
      <c r="T85" s="196" t="s">
        <v>3229</v>
      </c>
      <c r="U85" s="196" t="s">
        <v>3229</v>
      </c>
      <c r="V85" s="196" t="s">
        <v>3229</v>
      </c>
      <c r="W85" s="196" t="s">
        <v>3229</v>
      </c>
      <c r="X85" s="196" t="s">
        <v>3229</v>
      </c>
      <c r="Y85" s="196" t="s">
        <v>3229</v>
      </c>
      <c r="Z85" s="196" t="s">
        <v>3229</v>
      </c>
      <c r="AA85" s="196" t="s">
        <v>3229</v>
      </c>
      <c r="AB85" s="196" t="s">
        <v>3229</v>
      </c>
      <c r="AC85" s="196" t="s">
        <v>3229</v>
      </c>
      <c r="AD85" s="196" t="s">
        <v>3229</v>
      </c>
      <c r="AE85" s="196" t="s">
        <v>3229</v>
      </c>
      <c r="AF85" s="621" t="str">
        <f>IF(S124="","-",IF(T85="",S124,MAX(IF(T85&gt;indexy!$B$1,S124,S124-S124),IF(U85&gt;indexy!$B$1,S124-1,S124-S124),IF(V85&gt;indexy!$B$1,S124-2,S124-S124),IF(W85&gt;indexy!$B$1,S124-3,S124-S124),IF(X85&gt;indexy!$B$1,S124-4,S124-S124),IF(Y85&gt;indexy!$B$1,S124-5,S124-S124),IF(Z85&gt;indexy!$B$1,S124-6,S124-S124),IF(AA85&gt;indexy!$B$1,S124-7,S124-S124),IF(AB85&gt;indexy!$B$1,S124-8,S124-S124),IF(AC85&gt;indexy!$B$1,S124-9,S124-S124),IF(AD85&gt;indexy!$B$1,S124-10,S124-S124),IF(AE85&gt;indexy!$B$1,S124-11,S124-S124))))</f>
        <v>-</v>
      </c>
      <c r="AG85" s="55">
        <f>(I85-indexy!$B$1)/365</f>
        <v>3.6767123287671235</v>
      </c>
      <c r="AH85" s="687" t="s">
        <v>3229</v>
      </c>
      <c r="AI85" s="687" t="s">
        <v>3229</v>
      </c>
      <c r="AJ85" s="687" t="s">
        <v>3229</v>
      </c>
      <c r="AK85" s="687" t="s">
        <v>3229</v>
      </c>
      <c r="AL85" s="687" t="s">
        <v>3229</v>
      </c>
      <c r="AM85" s="126">
        <v>1</v>
      </c>
      <c r="AN85" s="469">
        <f>+'klikací hodnoty2'!F3837</f>
        <v>6.959502479596566E-2</v>
      </c>
      <c r="AO85" s="317">
        <v>934.96</v>
      </c>
      <c r="AP85" s="685">
        <f>+'klikací hodnoty2'!F3836</f>
        <v>6.959502479596566E-2</v>
      </c>
      <c r="AQ85" s="685">
        <f>+'klikací hodnoty2'!F3823</f>
        <v>6.8377024795965718E-2</v>
      </c>
      <c r="AR85" s="197">
        <f t="shared" ref="AR85:AR86" si="72">O85</f>
        <v>0.4</v>
      </c>
      <c r="AS85" s="56">
        <f t="shared" ref="AS85:AS86" si="73">POWER(1+AR85,1/((I85-F85)/365))-1</f>
        <v>5.2548638720698815E-2</v>
      </c>
      <c r="AT85" s="56"/>
      <c r="AU85" s="56"/>
      <c r="AV85" s="127">
        <f t="shared" ref="AV85:AV86" si="74">M85</f>
        <v>-0.1</v>
      </c>
      <c r="AW85" s="45">
        <f t="shared" ref="AW85:AW86" si="75">POWER(1+AV85,1/((I85-F85)/365))-1</f>
        <v>-1.5909035437782992E-2</v>
      </c>
      <c r="AX85" s="171"/>
      <c r="AY85" s="136"/>
      <c r="AZ85" s="210">
        <f t="shared" ref="AZ85:AZ86" si="76">J85*(1+AV85)</f>
        <v>900</v>
      </c>
      <c r="BA85" s="12"/>
      <c r="BB85" s="619"/>
      <c r="BC85" s="138"/>
      <c r="BD85" s="3430"/>
      <c r="BE85" s="3435"/>
      <c r="BF85" s="3435"/>
      <c r="BG85" s="3435"/>
      <c r="BH85" s="3430"/>
      <c r="BI85" s="1639"/>
    </row>
    <row r="86" spans="1:61" s="415" customFormat="1" x14ac:dyDescent="0.25">
      <c r="A86" t="s">
        <v>10631</v>
      </c>
      <c r="B86" s="1640" t="s">
        <v>10631</v>
      </c>
      <c r="C86" s="52" t="s">
        <v>10632</v>
      </c>
      <c r="D86" s="46" t="s">
        <v>1872</v>
      </c>
      <c r="E86" s="1615" t="s">
        <v>1743</v>
      </c>
      <c r="F86" s="49">
        <v>44354</v>
      </c>
      <c r="G86" s="49">
        <v>44323</v>
      </c>
      <c r="H86" s="49">
        <v>44344</v>
      </c>
      <c r="I86" s="1729">
        <v>46538</v>
      </c>
      <c r="J86" s="114">
        <v>1000</v>
      </c>
      <c r="K86" s="46" t="s">
        <v>3229</v>
      </c>
      <c r="L86" s="50" t="s">
        <v>3229</v>
      </c>
      <c r="M86" s="56">
        <v>-0.05</v>
      </c>
      <c r="N86" s="230">
        <v>1</v>
      </c>
      <c r="O86" s="2483">
        <v>0.5</v>
      </c>
      <c r="P86" s="89" t="s">
        <v>3229</v>
      </c>
      <c r="Q86" s="89" t="s">
        <v>3229</v>
      </c>
      <c r="R86" s="620" t="s">
        <v>3229</v>
      </c>
      <c r="S86" s="619"/>
      <c r="T86" s="196" t="s">
        <v>3229</v>
      </c>
      <c r="U86" s="196" t="s">
        <v>3229</v>
      </c>
      <c r="V86" s="196" t="s">
        <v>3229</v>
      </c>
      <c r="W86" s="196" t="s">
        <v>3229</v>
      </c>
      <c r="X86" s="196" t="s">
        <v>3229</v>
      </c>
      <c r="Y86" s="196" t="s">
        <v>3229</v>
      </c>
      <c r="Z86" s="196" t="s">
        <v>3229</v>
      </c>
      <c r="AA86" s="196" t="s">
        <v>3229</v>
      </c>
      <c r="AB86" s="196" t="s">
        <v>3229</v>
      </c>
      <c r="AC86" s="196" t="s">
        <v>3229</v>
      </c>
      <c r="AD86" s="196" t="s">
        <v>3229</v>
      </c>
      <c r="AE86" s="196" t="s">
        <v>3229</v>
      </c>
      <c r="AF86" s="621" t="str">
        <f>IF(S125="","-",IF(T86="",S125,MAX(IF(T86&gt;indexy!$B$1,S125,S125-S125),IF(U86&gt;indexy!$B$1,S125-1,S125-S125),IF(V86&gt;indexy!$B$1,S125-2,S125-S125),IF(W86&gt;indexy!$B$1,S125-3,S125-S125),IF(X86&gt;indexy!$B$1,S125-4,S125-S125),IF(Y86&gt;indexy!$B$1,S125-5,S125-S125),IF(Z86&gt;indexy!$B$1,S125-6,S125-S125),IF(AA86&gt;indexy!$B$1,S125-7,S125-S125),IF(AB86&gt;indexy!$B$1,S125-8,S125-S125),IF(AC86&gt;indexy!$B$1,S125-9,S125-S125),IF(AD86&gt;indexy!$B$1,S125-10,S125-S125),IF(AE86&gt;indexy!$B$1,S125-11,S125-S125))))</f>
        <v>-</v>
      </c>
      <c r="AG86" s="55">
        <f>(I86-indexy!$B$1)/365</f>
        <v>3.1753424657534248</v>
      </c>
      <c r="AH86" s="687" t="s">
        <v>3229</v>
      </c>
      <c r="AI86" s="687" t="s">
        <v>3229</v>
      </c>
      <c r="AJ86" s="687" t="s">
        <v>3229</v>
      </c>
      <c r="AK86" s="687" t="s">
        <v>3229</v>
      </c>
      <c r="AL86" s="687" t="s">
        <v>3229</v>
      </c>
      <c r="AM86" s="126">
        <v>1</v>
      </c>
      <c r="AN86" s="469">
        <f>+'klikací hodnoty2'!F3934</f>
        <v>5.2540973336509922E-2</v>
      </c>
      <c r="AO86" s="317">
        <v>950.79</v>
      </c>
      <c r="AP86" s="685">
        <f>+'klikací hodnoty2'!F3933</f>
        <v>5.2540973336509922E-2</v>
      </c>
      <c r="AQ86" s="685">
        <f>+'klikací hodnoty2'!F3920</f>
        <v>5.2540973336509922E-2</v>
      </c>
      <c r="AR86" s="56">
        <f t="shared" si="72"/>
        <v>0.5</v>
      </c>
      <c r="AS86" s="56">
        <f t="shared" si="73"/>
        <v>7.0111844455881922E-2</v>
      </c>
      <c r="AT86" s="56"/>
      <c r="AU86" s="56"/>
      <c r="AV86" s="45">
        <f t="shared" si="74"/>
        <v>-0.05</v>
      </c>
      <c r="AW86" s="45">
        <f t="shared" si="75"/>
        <v>-8.5357303552869856E-3</v>
      </c>
      <c r="AX86" s="171"/>
      <c r="AY86" s="136"/>
      <c r="AZ86" s="3374">
        <f t="shared" si="76"/>
        <v>950</v>
      </c>
      <c r="BA86" s="12"/>
      <c r="BB86" s="619"/>
      <c r="BC86" s="138"/>
      <c r="BD86" s="3430"/>
      <c r="BE86" s="3435"/>
      <c r="BF86" s="3435"/>
      <c r="BG86" s="3435"/>
      <c r="BH86" s="3430"/>
      <c r="BI86" s="1639"/>
    </row>
    <row r="87" spans="1:61" s="415" customFormat="1" x14ac:dyDescent="0.25">
      <c r="A87" s="1714" t="s">
        <v>10639</v>
      </c>
      <c r="B87" s="1726" t="s">
        <v>10639</v>
      </c>
      <c r="C87" s="52" t="s">
        <v>10641</v>
      </c>
      <c r="D87" s="46" t="s">
        <v>1872</v>
      </c>
      <c r="E87" s="1615" t="s">
        <v>1743</v>
      </c>
      <c r="F87" s="49">
        <v>44385</v>
      </c>
      <c r="G87" s="49">
        <v>44355</v>
      </c>
      <c r="H87" s="49">
        <v>44379</v>
      </c>
      <c r="I87" s="1729">
        <v>46568</v>
      </c>
      <c r="J87" s="114">
        <v>1000</v>
      </c>
      <c r="K87" s="46" t="s">
        <v>3229</v>
      </c>
      <c r="L87" s="50" t="s">
        <v>3229</v>
      </c>
      <c r="M87" s="56">
        <v>-0.05</v>
      </c>
      <c r="N87" s="230">
        <v>1</v>
      </c>
      <c r="O87" s="2483">
        <v>0.5</v>
      </c>
      <c r="P87" s="89" t="s">
        <v>3229</v>
      </c>
      <c r="Q87" s="89" t="s">
        <v>3229</v>
      </c>
      <c r="R87" s="620" t="s">
        <v>3229</v>
      </c>
      <c r="S87" s="619"/>
      <c r="T87" s="196" t="s">
        <v>3229</v>
      </c>
      <c r="U87" s="196" t="s">
        <v>3229</v>
      </c>
      <c r="V87" s="196" t="s">
        <v>3229</v>
      </c>
      <c r="W87" s="196" t="s">
        <v>3229</v>
      </c>
      <c r="X87" s="196" t="s">
        <v>3229</v>
      </c>
      <c r="Y87" s="196" t="s">
        <v>3229</v>
      </c>
      <c r="Z87" s="196" t="s">
        <v>3229</v>
      </c>
      <c r="AA87" s="196" t="s">
        <v>3229</v>
      </c>
      <c r="AB87" s="196" t="s">
        <v>3229</v>
      </c>
      <c r="AC87" s="196" t="s">
        <v>3229</v>
      </c>
      <c r="AD87" s="196" t="s">
        <v>3229</v>
      </c>
      <c r="AE87" s="196" t="s">
        <v>3229</v>
      </c>
      <c r="AF87" s="621" t="str">
        <f>IF(S126="","-",IF(T87="",S126,MAX(IF(T87&gt;indexy!$B$1,S126,S126-S126),IF(U87&gt;indexy!$B$1,S126-1,S126-S126),IF(V87&gt;indexy!$B$1,S126-2,S126-S126),IF(W87&gt;indexy!$B$1,S126-3,S126-S126),IF(X87&gt;indexy!$B$1,S126-4,S126-S126),IF(Y87&gt;indexy!$B$1,S126-5,S126-S126),IF(Z87&gt;indexy!$B$1,S126-6,S126-S126),IF(AA87&gt;indexy!$B$1,S126-7,S126-S126),IF(AB87&gt;indexy!$B$1,S126-8,S126-S126),IF(AC87&gt;indexy!$B$1,S126-9,S126-S126),IF(AD87&gt;indexy!$B$1,S126-10,S126-S126),IF(AE87&gt;indexy!$B$1,S126-11,S126-S126))))</f>
        <v>-</v>
      </c>
      <c r="AG87" s="55">
        <f>(I87-indexy!$B$1)/365</f>
        <v>3.2575342465753425</v>
      </c>
      <c r="AH87" s="687" t="s">
        <v>3229</v>
      </c>
      <c r="AI87" s="687" t="s">
        <v>3229</v>
      </c>
      <c r="AJ87" s="687" t="s">
        <v>3229</v>
      </c>
      <c r="AK87" s="687" t="s">
        <v>3229</v>
      </c>
      <c r="AL87" s="687" t="s">
        <v>3229</v>
      </c>
      <c r="AM87" s="126">
        <v>1</v>
      </c>
      <c r="AN87" s="469">
        <f>+'klikací hodnoty2'!F3984</f>
        <v>0.21199373190787454</v>
      </c>
      <c r="AO87" s="317">
        <v>1040.52</v>
      </c>
      <c r="AP87" s="685">
        <f>+'klikací hodnoty2'!F3983</f>
        <v>0.21199373190787454</v>
      </c>
      <c r="AQ87" s="685">
        <f>+'klikací hodnoty2'!F3970</f>
        <v>0.21199373190787454</v>
      </c>
      <c r="AR87" s="56">
        <f t="shared" ref="AR87" si="77">O87</f>
        <v>0.5</v>
      </c>
      <c r="AS87" s="56">
        <f t="shared" ref="AS87" si="78">POWER(1+AR87,1/((I87-F87)/365))-1</f>
        <v>7.0145062640440736E-2</v>
      </c>
      <c r="AT87" s="56"/>
      <c r="AU87" s="56"/>
      <c r="AV87" s="45">
        <f t="shared" ref="AV87" si="79">M87</f>
        <v>-0.05</v>
      </c>
      <c r="AW87" s="45">
        <f t="shared" ref="AW87" si="80">POWER(1+AV87,1/((I87-F87)/365))-1</f>
        <v>-8.5396237039934153E-3</v>
      </c>
      <c r="AX87" s="171"/>
      <c r="AY87" s="136"/>
      <c r="AZ87" s="3374">
        <f t="shared" ref="AZ87" si="81">J87*(1+AV87)</f>
        <v>950</v>
      </c>
      <c r="BA87" s="12"/>
      <c r="BB87" s="619"/>
      <c r="BC87" s="138"/>
      <c r="BD87" s="3430"/>
      <c r="BE87" s="3435"/>
      <c r="BF87" s="3435"/>
      <c r="BG87" s="3435"/>
      <c r="BH87" s="3430"/>
      <c r="BI87" s="1639"/>
    </row>
    <row r="88" spans="1:61" s="415" customFormat="1" x14ac:dyDescent="0.25">
      <c r="A88" s="1714" t="s">
        <v>10640</v>
      </c>
      <c r="B88" s="1726" t="s">
        <v>10640</v>
      </c>
      <c r="C88" s="52" t="s">
        <v>10642</v>
      </c>
      <c r="D88" s="46" t="s">
        <v>1872</v>
      </c>
      <c r="E88" s="1615" t="s">
        <v>1743</v>
      </c>
      <c r="F88" s="49">
        <v>44414</v>
      </c>
      <c r="G88" s="49">
        <v>44389</v>
      </c>
      <c r="H88" s="49">
        <v>44407</v>
      </c>
      <c r="I88" s="1729">
        <v>46598</v>
      </c>
      <c r="J88" s="114">
        <v>1000</v>
      </c>
      <c r="K88" s="46" t="s">
        <v>3229</v>
      </c>
      <c r="L88" s="50" t="s">
        <v>3229</v>
      </c>
      <c r="M88" s="56">
        <v>-0.05</v>
      </c>
      <c r="N88" s="230">
        <v>1</v>
      </c>
      <c r="O88" s="2483">
        <v>0.5</v>
      </c>
      <c r="P88" s="89" t="s">
        <v>3229</v>
      </c>
      <c r="Q88" s="89" t="s">
        <v>3229</v>
      </c>
      <c r="R88" s="620" t="s">
        <v>3229</v>
      </c>
      <c r="S88" s="619"/>
      <c r="T88" s="196" t="s">
        <v>3229</v>
      </c>
      <c r="U88" s="196" t="s">
        <v>3229</v>
      </c>
      <c r="V88" s="196" t="s">
        <v>3229</v>
      </c>
      <c r="W88" s="196" t="s">
        <v>3229</v>
      </c>
      <c r="X88" s="196" t="s">
        <v>3229</v>
      </c>
      <c r="Y88" s="196" t="s">
        <v>3229</v>
      </c>
      <c r="Z88" s="196" t="s">
        <v>3229</v>
      </c>
      <c r="AA88" s="196" t="s">
        <v>3229</v>
      </c>
      <c r="AB88" s="196" t="s">
        <v>3229</v>
      </c>
      <c r="AC88" s="196" t="s">
        <v>3229</v>
      </c>
      <c r="AD88" s="196" t="s">
        <v>3229</v>
      </c>
      <c r="AE88" s="196" t="s">
        <v>3229</v>
      </c>
      <c r="AF88" s="621" t="str">
        <f>IF(S127="","-",IF(T88="",S127,MAX(IF(T88&gt;indexy!$B$1,S127,S127-S127),IF(U88&gt;indexy!$B$1,S127-1,S127-S127),IF(V88&gt;indexy!$B$1,S127-2,S127-S127),IF(W88&gt;indexy!$B$1,S127-3,S127-S127),IF(X88&gt;indexy!$B$1,S127-4,S127-S127),IF(Y88&gt;indexy!$B$1,S127-5,S127-S127),IF(Z88&gt;indexy!$B$1,S127-6,S127-S127),IF(AA88&gt;indexy!$B$1,S127-7,S127-S127),IF(AB88&gt;indexy!$B$1,S127-8,S127-S127),IF(AC88&gt;indexy!$B$1,S127-9,S127-S127),IF(AD88&gt;indexy!$B$1,S127-10,S127-S127),IF(AE88&gt;indexy!$B$1,S127-11,S127-S127))))</f>
        <v>-</v>
      </c>
      <c r="AG88" s="55">
        <f>(I88-indexy!$B$1)/365</f>
        <v>3.3397260273972602</v>
      </c>
      <c r="AH88" s="687" t="s">
        <v>3229</v>
      </c>
      <c r="AI88" s="687" t="s">
        <v>3229</v>
      </c>
      <c r="AJ88" s="687" t="s">
        <v>3229</v>
      </c>
      <c r="AK88" s="687" t="s">
        <v>3229</v>
      </c>
      <c r="AL88" s="687" t="s">
        <v>3229</v>
      </c>
      <c r="AM88" s="126">
        <v>1</v>
      </c>
      <c r="AN88" s="469">
        <f>+'klikací hodnoty2'!F4034</f>
        <v>1.6265818104657468E-2</v>
      </c>
      <c r="AO88" s="317">
        <v>890.51</v>
      </c>
      <c r="AP88" s="685">
        <f>+'klikací hodnoty2'!F4034</f>
        <v>1.6265818104657468E-2</v>
      </c>
      <c r="AQ88" s="685">
        <f>+'klikací hodnoty2'!F4020</f>
        <v>1.6265818104657468E-2</v>
      </c>
      <c r="AR88" s="56">
        <f t="shared" ref="AR88" si="82">O88</f>
        <v>0.5</v>
      </c>
      <c r="AS88" s="56">
        <f t="shared" ref="AS88" si="83">POWER(1+AR88,1/((I88-F88)/365))-1</f>
        <v>7.0111844455881922E-2</v>
      </c>
      <c r="AT88" s="56"/>
      <c r="AU88" s="56"/>
      <c r="AV88" s="45">
        <f t="shared" ref="AV88" si="84">M88</f>
        <v>-0.05</v>
      </c>
      <c r="AW88" s="45">
        <f t="shared" ref="AW88" si="85">POWER(1+AV88,1/((I88-F88)/365))-1</f>
        <v>-8.5357303552869856E-3</v>
      </c>
      <c r="AX88" s="171"/>
      <c r="AY88" s="136"/>
      <c r="AZ88" s="3374">
        <f t="shared" ref="AZ88" si="86">J88*(1+AV88)</f>
        <v>950</v>
      </c>
      <c r="BA88" s="12"/>
      <c r="BB88" s="619"/>
      <c r="BC88" s="138"/>
      <c r="BD88" s="3430"/>
      <c r="BE88" s="3435"/>
      <c r="BF88" s="3435"/>
      <c r="BG88" s="3435"/>
      <c r="BH88" s="3430"/>
      <c r="BI88" s="1639"/>
    </row>
    <row r="89" spans="1:61" s="415" customFormat="1" x14ac:dyDescent="0.25">
      <c r="A89" s="1714" t="s">
        <v>10649</v>
      </c>
      <c r="B89" s="1726" t="s">
        <v>10649</v>
      </c>
      <c r="C89" s="52" t="s">
        <v>10650</v>
      </c>
      <c r="D89" s="46" t="s">
        <v>1872</v>
      </c>
      <c r="E89" s="1615" t="s">
        <v>1743</v>
      </c>
      <c r="F89" s="49">
        <v>44446</v>
      </c>
      <c r="G89" s="49">
        <v>44417</v>
      </c>
      <c r="H89" s="49">
        <v>44435</v>
      </c>
      <c r="I89" s="1729">
        <v>46630</v>
      </c>
      <c r="J89" s="114">
        <v>1000</v>
      </c>
      <c r="K89" s="46" t="s">
        <v>3229</v>
      </c>
      <c r="L89" s="50" t="s">
        <v>3229</v>
      </c>
      <c r="M89" s="56">
        <v>-0.05</v>
      </c>
      <c r="N89" s="230">
        <v>1</v>
      </c>
      <c r="O89" s="2483">
        <v>0.5</v>
      </c>
      <c r="P89" s="89" t="s">
        <v>3229</v>
      </c>
      <c r="Q89" s="89" t="s">
        <v>3229</v>
      </c>
      <c r="R89" s="620" t="s">
        <v>3229</v>
      </c>
      <c r="S89" s="619"/>
      <c r="T89" s="196" t="s">
        <v>3229</v>
      </c>
      <c r="U89" s="196" t="s">
        <v>3229</v>
      </c>
      <c r="V89" s="196" t="s">
        <v>3229</v>
      </c>
      <c r="W89" s="196" t="s">
        <v>3229</v>
      </c>
      <c r="X89" s="196" t="s">
        <v>3229</v>
      </c>
      <c r="Y89" s="196" t="s">
        <v>3229</v>
      </c>
      <c r="Z89" s="196" t="s">
        <v>3229</v>
      </c>
      <c r="AA89" s="196" t="s">
        <v>3229</v>
      </c>
      <c r="AB89" s="196" t="s">
        <v>3229</v>
      </c>
      <c r="AC89" s="196" t="s">
        <v>3229</v>
      </c>
      <c r="AD89" s="196" t="s">
        <v>3229</v>
      </c>
      <c r="AE89" s="196" t="s">
        <v>3229</v>
      </c>
      <c r="AF89" s="621" t="str">
        <f>IF(S128="","-",IF(T89="",S128,MAX(IF(T89&gt;indexy!$B$1,S128,S128-S128),IF(U89&gt;indexy!$B$1,S128-1,S128-S128),IF(V89&gt;indexy!$B$1,S128-2,S128-S128),IF(W89&gt;indexy!$B$1,S128-3,S128-S128),IF(X89&gt;indexy!$B$1,S128-4,S128-S128),IF(Y89&gt;indexy!$B$1,S128-5,S128-S128),IF(Z89&gt;indexy!$B$1,S128-6,S128-S128),IF(AA89&gt;indexy!$B$1,S128-7,S128-S128),IF(AB89&gt;indexy!$B$1,S128-8,S128-S128),IF(AC89&gt;indexy!$B$1,S128-9,S128-S128),IF(AD89&gt;indexy!$B$1,S128-10,S128-S128),IF(AE89&gt;indexy!$B$1,S128-11,S128-S128))))</f>
        <v>-</v>
      </c>
      <c r="AG89" s="55">
        <f>(I89-indexy!$B$1)/365</f>
        <v>3.4273972602739726</v>
      </c>
      <c r="AH89" s="687" t="s">
        <v>3229</v>
      </c>
      <c r="AI89" s="687" t="s">
        <v>3229</v>
      </c>
      <c r="AJ89" s="687" t="s">
        <v>3229</v>
      </c>
      <c r="AK89" s="687" t="s">
        <v>3229</v>
      </c>
      <c r="AL89" s="687" t="s">
        <v>3229</v>
      </c>
      <c r="AM89" s="126">
        <v>1</v>
      </c>
      <c r="AN89" s="469">
        <f>+'klikací hodnoty2'!F4084</f>
        <v>2.0384484931113101E-2</v>
      </c>
      <c r="AO89" s="317">
        <v>894.66</v>
      </c>
      <c r="AP89" s="685">
        <f>+'klikací hodnoty2'!F4083</f>
        <v>2.0384484931113101E-2</v>
      </c>
      <c r="AQ89" s="685">
        <f>+'klikací hodnoty2'!F4070</f>
        <v>2.0384484931113098E-2</v>
      </c>
      <c r="AR89" s="56">
        <f t="shared" ref="AR89" si="87">O89</f>
        <v>0.5</v>
      </c>
      <c r="AS89" s="56">
        <f t="shared" ref="AS89" si="88">POWER(1+AR89,1/((I89-F89)/365))-1</f>
        <v>7.0111844455881922E-2</v>
      </c>
      <c r="AT89" s="56"/>
      <c r="AU89" s="56"/>
      <c r="AV89" s="45">
        <f t="shared" ref="AV89" si="89">M89</f>
        <v>-0.05</v>
      </c>
      <c r="AW89" s="45">
        <f t="shared" ref="AW89" si="90">POWER(1+AV89,1/((I89-F89)/365))-1</f>
        <v>-8.5357303552869856E-3</v>
      </c>
      <c r="AX89" s="171"/>
      <c r="AY89" s="136"/>
      <c r="AZ89" s="3374">
        <f t="shared" ref="AZ89" si="91">J89*(1+AV89)</f>
        <v>950</v>
      </c>
      <c r="BA89" s="12"/>
      <c r="BB89" s="619"/>
      <c r="BC89" s="138"/>
      <c r="BD89" s="3430"/>
      <c r="BE89" s="3435"/>
      <c r="BF89" s="3435"/>
      <c r="BG89" s="3435"/>
      <c r="BH89" s="3430"/>
      <c r="BI89" s="1639"/>
    </row>
    <row r="90" spans="1:61" s="415" customFormat="1" x14ac:dyDescent="0.25">
      <c r="B90" s="1714"/>
      <c r="C90" s="1615"/>
      <c r="D90" s="46"/>
      <c r="E90" s="39"/>
      <c r="F90" s="39"/>
      <c r="G90" s="39"/>
      <c r="H90" s="3286"/>
      <c r="I90" s="39"/>
      <c r="J90" s="39"/>
      <c r="K90" s="39"/>
      <c r="L90" s="39"/>
      <c r="M90" s="39"/>
      <c r="N90" s="39"/>
      <c r="O90" s="39"/>
      <c r="P90" s="39"/>
      <c r="Q90" s="39"/>
      <c r="R90" s="217"/>
      <c r="S90" s="39"/>
      <c r="T90" s="217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217"/>
      <c r="AH90" s="39"/>
      <c r="AI90" s="39"/>
      <c r="AJ90" s="39"/>
      <c r="AK90" s="39"/>
      <c r="AL90" s="39"/>
      <c r="AM90" s="39"/>
      <c r="AN90" s="39"/>
      <c r="AO90" s="317"/>
      <c r="AP90" s="469"/>
      <c r="AQ90" s="46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138"/>
      <c r="BC90" s="138"/>
      <c r="BD90" s="3430"/>
      <c r="BE90" s="3435"/>
      <c r="BF90" s="3435"/>
      <c r="BG90" s="3435"/>
      <c r="BH90" s="3430"/>
      <c r="BI90" s="1639"/>
    </row>
    <row r="91" spans="1:61" s="415" customFormat="1" x14ac:dyDescent="0.25">
      <c r="B91" s="3918" t="s">
        <v>1952</v>
      </c>
      <c r="C91" s="3918"/>
      <c r="D91" s="3918"/>
      <c r="E91" s="3918"/>
      <c r="F91" s="3918"/>
      <c r="G91" s="3918"/>
      <c r="H91" s="3918"/>
      <c r="I91" s="3918"/>
      <c r="J91" s="3918"/>
      <c r="K91" s="3918"/>
      <c r="L91" s="3918"/>
      <c r="M91" s="3918"/>
      <c r="N91" s="3918"/>
      <c r="O91" s="3918"/>
      <c r="P91" s="39"/>
      <c r="Q91" s="39"/>
      <c r="R91" s="217"/>
      <c r="S91" s="39"/>
      <c r="T91" s="217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217"/>
      <c r="AH91" s="39"/>
      <c r="AI91" s="39"/>
      <c r="AJ91" s="39"/>
      <c r="AK91" s="39"/>
      <c r="AL91" s="39"/>
      <c r="AM91" s="39"/>
      <c r="AN91" s="39"/>
      <c r="AO91" s="317"/>
      <c r="AP91" s="224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138"/>
      <c r="BC91" s="138"/>
      <c r="BD91" s="3430"/>
      <c r="BE91" s="3435"/>
      <c r="BF91" s="3435"/>
      <c r="BG91" s="3435"/>
      <c r="BH91" s="3430"/>
      <c r="BI91" s="1639"/>
    </row>
    <row r="92" spans="1:61" s="415" customFormat="1" x14ac:dyDescent="0.25">
      <c r="A92" s="1708"/>
      <c r="B92" s="3918"/>
      <c r="C92" s="3918"/>
      <c r="D92" s="3918"/>
      <c r="E92" s="3918"/>
      <c r="F92" s="3918"/>
      <c r="G92" s="3918"/>
      <c r="H92" s="3918"/>
      <c r="I92" s="3918"/>
      <c r="J92" s="3918"/>
      <c r="K92" s="3918"/>
      <c r="L92" s="3918"/>
      <c r="M92" s="3918"/>
      <c r="N92" s="3918"/>
      <c r="O92" s="3918"/>
      <c r="P92" s="39"/>
      <c r="Q92" s="39"/>
      <c r="R92" s="217"/>
      <c r="S92" s="39"/>
      <c r="T92" s="217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217"/>
      <c r="AH92" s="39"/>
      <c r="AI92" s="39"/>
      <c r="AJ92" s="39"/>
      <c r="AK92" s="39"/>
      <c r="AL92" s="39"/>
      <c r="AM92" s="39"/>
      <c r="AN92" s="39"/>
      <c r="AO92" s="317"/>
      <c r="AP92" s="224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138"/>
      <c r="BC92" s="138"/>
      <c r="BD92" s="3430"/>
      <c r="BE92" s="3435"/>
      <c r="BF92" s="3435"/>
      <c r="BG92" s="3435"/>
      <c r="BH92" s="3430"/>
      <c r="BI92" s="1639"/>
    </row>
    <row r="93" spans="1:61" x14ac:dyDescent="0.25">
      <c r="AN93" s="39"/>
      <c r="AO93" s="317"/>
      <c r="BB93" s="75"/>
      <c r="BC93" s="75"/>
      <c r="BH93" s="3429"/>
    </row>
    <row r="94" spans="1:61" x14ac:dyDescent="0.25">
      <c r="F94" s="236"/>
      <c r="AN94" s="39"/>
      <c r="AO94" s="317"/>
      <c r="BC94" s="75"/>
      <c r="BH94" s="3429"/>
    </row>
    <row r="95" spans="1:61" x14ac:dyDescent="0.25">
      <c r="F95" s="236"/>
      <c r="I95" s="236"/>
      <c r="AN95" s="39"/>
      <c r="AO95" s="317"/>
      <c r="AR95" s="237"/>
      <c r="AS95" s="45"/>
      <c r="BH95" s="3429"/>
    </row>
    <row r="96" spans="1:61" x14ac:dyDescent="0.25">
      <c r="F96" s="31"/>
      <c r="AN96" s="39"/>
      <c r="AO96" s="317"/>
      <c r="BH96" s="3429"/>
    </row>
    <row r="97" spans="6:60" x14ac:dyDescent="0.25">
      <c r="G97" s="31"/>
      <c r="AO97" s="317"/>
      <c r="BH97" s="3429"/>
    </row>
    <row r="98" spans="6:60" x14ac:dyDescent="0.25">
      <c r="AO98" s="317"/>
      <c r="BH98" s="3429"/>
    </row>
    <row r="99" spans="6:60" x14ac:dyDescent="0.25">
      <c r="AO99" s="317"/>
      <c r="BH99" s="3429"/>
    </row>
    <row r="100" spans="6:60" x14ac:dyDescent="0.25">
      <c r="AO100" s="317"/>
      <c r="BH100" s="3429"/>
    </row>
    <row r="101" spans="6:60" x14ac:dyDescent="0.25">
      <c r="AO101" s="317"/>
      <c r="BH101" s="3429"/>
    </row>
    <row r="102" spans="6:60" x14ac:dyDescent="0.25">
      <c r="F102" s="236"/>
      <c r="I102" s="236"/>
      <c r="AO102" s="317"/>
      <c r="BH102" s="3429"/>
    </row>
    <row r="103" spans="6:60" x14ac:dyDescent="0.25">
      <c r="AO103" s="317"/>
      <c r="BH103" s="3429"/>
    </row>
    <row r="104" spans="6:60" x14ac:dyDescent="0.25">
      <c r="AO104" s="317"/>
      <c r="BH104" s="3429"/>
    </row>
    <row r="105" spans="6:60" x14ac:dyDescent="0.25">
      <c r="AO105" s="317"/>
      <c r="BH105" s="3429"/>
    </row>
    <row r="106" spans="6:60" x14ac:dyDescent="0.25">
      <c r="AO106" s="317"/>
      <c r="BH106" s="3429"/>
    </row>
    <row r="107" spans="6:60" x14ac:dyDescent="0.25">
      <c r="BH107" s="3429"/>
    </row>
    <row r="108" spans="6:60" x14ac:dyDescent="0.25">
      <c r="BH108" s="3429"/>
    </row>
    <row r="109" spans="6:60" x14ac:dyDescent="0.25">
      <c r="BH109" s="3429"/>
    </row>
    <row r="110" spans="6:60" x14ac:dyDescent="0.25">
      <c r="BH110" s="3429"/>
    </row>
    <row r="111" spans="6:60" x14ac:dyDescent="0.25">
      <c r="BH111" s="3429"/>
    </row>
    <row r="112" spans="6:60" x14ac:dyDescent="0.25">
      <c r="BH112" s="3429"/>
    </row>
    <row r="113" spans="60:60" x14ac:dyDescent="0.25">
      <c r="BH113" s="3429"/>
    </row>
    <row r="114" spans="60:60" x14ac:dyDescent="0.25">
      <c r="BH114" s="3429"/>
    </row>
    <row r="115" spans="60:60" x14ac:dyDescent="0.25">
      <c r="BH115" s="3429"/>
    </row>
    <row r="116" spans="60:60" x14ac:dyDescent="0.25">
      <c r="BH116" s="3429"/>
    </row>
    <row r="117" spans="60:60" x14ac:dyDescent="0.25">
      <c r="BH117" s="3429"/>
    </row>
    <row r="118" spans="60:60" x14ac:dyDescent="0.25">
      <c r="BH118" s="3429"/>
    </row>
    <row r="119" spans="60:60" x14ac:dyDescent="0.25">
      <c r="BH119" s="3429"/>
    </row>
    <row r="120" spans="60:60" x14ac:dyDescent="0.25">
      <c r="BH120" s="3429"/>
    </row>
    <row r="121" spans="60:60" x14ac:dyDescent="0.25">
      <c r="BH121" s="3429"/>
    </row>
    <row r="122" spans="60:60" x14ac:dyDescent="0.25">
      <c r="BH122" s="3429"/>
    </row>
    <row r="123" spans="60:60" x14ac:dyDescent="0.25">
      <c r="BH123" s="3429"/>
    </row>
    <row r="124" spans="60:60" x14ac:dyDescent="0.25">
      <c r="BH124" s="3429"/>
    </row>
    <row r="125" spans="60:60" x14ac:dyDescent="0.25">
      <c r="BH125" s="3429"/>
    </row>
    <row r="126" spans="60:60" x14ac:dyDescent="0.25">
      <c r="BH126" s="3429"/>
    </row>
    <row r="127" spans="60:60" x14ac:dyDescent="0.25">
      <c r="BH127" s="3429"/>
    </row>
    <row r="128" spans="60:60" x14ac:dyDescent="0.25">
      <c r="BH128" s="3429"/>
    </row>
    <row r="129" spans="60:60" x14ac:dyDescent="0.25">
      <c r="BH129" s="3429"/>
    </row>
    <row r="130" spans="60:60" x14ac:dyDescent="0.25">
      <c r="BH130" s="3429"/>
    </row>
    <row r="131" spans="60:60" x14ac:dyDescent="0.25">
      <c r="BH131" s="3429"/>
    </row>
    <row r="132" spans="60:60" x14ac:dyDescent="0.25">
      <c r="BH132" s="3429"/>
    </row>
    <row r="133" spans="60:60" x14ac:dyDescent="0.25">
      <c r="BH133" s="3429"/>
    </row>
    <row r="134" spans="60:60" x14ac:dyDescent="0.25">
      <c r="BH134" s="3429"/>
    </row>
    <row r="135" spans="60:60" x14ac:dyDescent="0.25">
      <c r="BH135" s="3429"/>
    </row>
    <row r="136" spans="60:60" x14ac:dyDescent="0.25">
      <c r="BH136" s="3429"/>
    </row>
    <row r="137" spans="60:60" x14ac:dyDescent="0.25">
      <c r="BH137" s="3429"/>
    </row>
    <row r="138" spans="60:60" x14ac:dyDescent="0.25">
      <c r="BH138" s="3429"/>
    </row>
    <row r="139" spans="60:60" x14ac:dyDescent="0.25">
      <c r="BH139" s="3429"/>
    </row>
    <row r="140" spans="60:60" x14ac:dyDescent="0.25">
      <c r="BH140" s="3429"/>
    </row>
    <row r="141" spans="60:60" x14ac:dyDescent="0.25">
      <c r="BH141" s="3429"/>
    </row>
    <row r="142" spans="60:60" x14ac:dyDescent="0.25">
      <c r="BH142" s="3429"/>
    </row>
    <row r="143" spans="60:60" x14ac:dyDescent="0.25">
      <c r="BH143" s="3429"/>
    </row>
    <row r="144" spans="60:60" x14ac:dyDescent="0.25">
      <c r="BH144" s="3429"/>
    </row>
    <row r="145" spans="60:60" x14ac:dyDescent="0.25">
      <c r="BH145" s="3429"/>
    </row>
    <row r="146" spans="60:60" x14ac:dyDescent="0.25">
      <c r="BH146" s="3429"/>
    </row>
    <row r="147" spans="60:60" x14ac:dyDescent="0.25">
      <c r="BH147" s="3429"/>
    </row>
    <row r="148" spans="60:60" x14ac:dyDescent="0.25">
      <c r="BH148" s="3429"/>
    </row>
    <row r="7765" spans="8:8" x14ac:dyDescent="0.25">
      <c r="H7765" t="e">
        <f>VLOOKUP(B7765,indexy!$A$44:$D$823,3,FALSE)</f>
        <v>#N/A</v>
      </c>
    </row>
  </sheetData>
  <autoFilter ref="A2:IR89" xr:uid="{00000000-0009-0000-0000-000003000000}"/>
  <mergeCells count="50">
    <mergeCell ref="AR12:AU12"/>
    <mergeCell ref="AR15:AU15"/>
    <mergeCell ref="AR14:AU14"/>
    <mergeCell ref="BB1:BB2"/>
    <mergeCell ref="BC1:BC2"/>
    <mergeCell ref="AR3:AU3"/>
    <mergeCell ref="AV1:AY1"/>
    <mergeCell ref="AZ1:AZ2"/>
    <mergeCell ref="BA1:BA2"/>
    <mergeCell ref="AR8:AU8"/>
    <mergeCell ref="AR13:AU13"/>
    <mergeCell ref="AR4:AU4"/>
    <mergeCell ref="AR10:AU10"/>
    <mergeCell ref="AR7:AU7"/>
    <mergeCell ref="AR5:AU5"/>
    <mergeCell ref="AR11:AU11"/>
    <mergeCell ref="AR21:AU21"/>
    <mergeCell ref="B91:O92"/>
    <mergeCell ref="AR19:AU19"/>
    <mergeCell ref="AR16:AU16"/>
    <mergeCell ref="AR17:AU17"/>
    <mergeCell ref="AR18:AU18"/>
    <mergeCell ref="AR20:AU20"/>
    <mergeCell ref="AR6:AU6"/>
    <mergeCell ref="AR9:AU9"/>
    <mergeCell ref="Q1:Q2"/>
    <mergeCell ref="R1:R2"/>
    <mergeCell ref="S1:S2"/>
    <mergeCell ref="T1:AE1"/>
    <mergeCell ref="AF1:AF2"/>
    <mergeCell ref="AG1:AG2"/>
    <mergeCell ref="AN1:AN2"/>
    <mergeCell ref="AP1:AP2"/>
    <mergeCell ref="AQ1:AQ2"/>
    <mergeCell ref="AR1:AU1"/>
    <mergeCell ref="A1:A2"/>
    <mergeCell ref="B1:B2"/>
    <mergeCell ref="C1:C2"/>
    <mergeCell ref="D1:D2"/>
    <mergeCell ref="E1:E2"/>
    <mergeCell ref="F1:F2"/>
    <mergeCell ref="AH1:AM1"/>
    <mergeCell ref="K1:L1"/>
    <mergeCell ref="M1:M2"/>
    <mergeCell ref="N1:N2"/>
    <mergeCell ref="O1:O2"/>
    <mergeCell ref="P1:P2"/>
    <mergeCell ref="G1:H1"/>
    <mergeCell ref="I1:I2"/>
    <mergeCell ref="J1:J2"/>
  </mergeCells>
  <conditionalFormatting sqref="T3 T51:T52">
    <cfRule type="expression" dxfId="435" priority="496" stopIfTrue="1">
      <formula>IF(T3="-",FALSE,IF(T3&gt;$AO$2,TRUE,FALSE))</formula>
    </cfRule>
  </conditionalFormatting>
  <conditionalFormatting sqref="T3:AE3 T8:AE9 T11:AE11 T14:AE14 T17:AE17 T19:AE19 T21:AE23 T27:AE28 T39:AE39 T43:AE44">
    <cfRule type="expression" dxfId="434" priority="495" stopIfTrue="1">
      <formula>IF(T3="-",FALSE,IF(T3&gt;$AO$2,IF(S3&gt;$AO$2,FALSE,TRUE),FALSE))</formula>
    </cfRule>
  </conditionalFormatting>
  <conditionalFormatting sqref="T46">
    <cfRule type="expression" dxfId="433" priority="464" stopIfTrue="1">
      <formula>IF(T46="-",FALSE,IF(T46&gt;$AO$2,TRUE,FALSE))</formula>
    </cfRule>
  </conditionalFormatting>
  <conditionalFormatting sqref="T46:AE46">
    <cfRule type="expression" dxfId="432" priority="463" stopIfTrue="1">
      <formula>IF(T46="-",FALSE,IF(T46&gt;$AO$2,IF(S46&gt;$AO$2,FALSE,TRUE),FALSE))</formula>
    </cfRule>
  </conditionalFormatting>
  <conditionalFormatting sqref="T48">
    <cfRule type="expression" dxfId="431" priority="458" stopIfTrue="1">
      <formula>IF(T48="-",FALSE,IF(T48&gt;$AO$2,TRUE,FALSE))</formula>
    </cfRule>
  </conditionalFormatting>
  <conditionalFormatting sqref="T47">
    <cfRule type="expression" dxfId="430" priority="460" stopIfTrue="1">
      <formula>IF(T47="-",FALSE,IF(T47&gt;$AO$2,TRUE,FALSE))</formula>
    </cfRule>
  </conditionalFormatting>
  <conditionalFormatting sqref="T47:AE47">
    <cfRule type="expression" dxfId="429" priority="459" stopIfTrue="1">
      <formula>IF(T47="-",FALSE,IF(T47&gt;$AO$2,IF(S47&gt;$AO$2,FALSE,TRUE),FALSE))</formula>
    </cfRule>
  </conditionalFormatting>
  <conditionalFormatting sqref="T48:AE48">
    <cfRule type="expression" dxfId="428" priority="554" stopIfTrue="1">
      <formula>IF(T48="-",FALSE,IF(T48&gt;$AO$2,IF(S49&gt;$AO$2,FALSE,TRUE),FALSE))</formula>
    </cfRule>
  </conditionalFormatting>
  <conditionalFormatting sqref="T49:T50">
    <cfRule type="expression" dxfId="427" priority="451" stopIfTrue="1">
      <formula>IF(T49="-",FALSE,IF(T49&gt;$AO$2,TRUE,FALSE))</formula>
    </cfRule>
  </conditionalFormatting>
  <conditionalFormatting sqref="T49:AE50">
    <cfRule type="expression" dxfId="426" priority="452" stopIfTrue="1">
      <formula>IF(T49="-",FALSE,IF(T49&gt;$AO$2,IF(S50&gt;$AO$2,FALSE,TRUE),FALSE))</formula>
    </cfRule>
  </conditionalFormatting>
  <conditionalFormatting sqref="T4">
    <cfRule type="expression" dxfId="425" priority="424" stopIfTrue="1">
      <formula>IF(T4="-",FALSE,IF(T4&gt;$AO$2,TRUE,FALSE))</formula>
    </cfRule>
  </conditionalFormatting>
  <conditionalFormatting sqref="T4:AE4">
    <cfRule type="expression" dxfId="424" priority="423" stopIfTrue="1">
      <formula>IF(T4="-",FALSE,IF(T4&gt;$AO$2,IF(S4&gt;$AO$2,FALSE,TRUE),FALSE))</formula>
    </cfRule>
  </conditionalFormatting>
  <conditionalFormatting sqref="T53:T58">
    <cfRule type="expression" dxfId="423" priority="411" stopIfTrue="1">
      <formula>IF(T53="-",FALSE,IF(T53&gt;$AO$2,TRUE,FALSE))</formula>
    </cfRule>
  </conditionalFormatting>
  <conditionalFormatting sqref="T53:AE58">
    <cfRule type="expression" dxfId="422" priority="412" stopIfTrue="1">
      <formula>IF(T53="-",FALSE,IF(T53&gt;$AO$2,IF(S54&gt;$AO$2,FALSE,TRUE),FALSE))</formula>
    </cfRule>
  </conditionalFormatting>
  <conditionalFormatting sqref="T59:T63">
    <cfRule type="expression" dxfId="421" priority="401" stopIfTrue="1">
      <formula>IF(T59="-",FALSE,IF(T59&gt;$AO$2,TRUE,FALSE))</formula>
    </cfRule>
  </conditionalFormatting>
  <conditionalFormatting sqref="T59:AE63">
    <cfRule type="expression" dxfId="420" priority="402" stopIfTrue="1">
      <formula>IF(T59="-",FALSE,IF(T59&gt;$AO$2,IF(S60&gt;$AO$2,FALSE,TRUE),FALSE))</formula>
    </cfRule>
  </conditionalFormatting>
  <conditionalFormatting sqref="T5">
    <cfRule type="expression" dxfId="419" priority="396" stopIfTrue="1">
      <formula>IF(T5="-",FALSE,IF(T5&gt;$AO$2,TRUE,FALSE))</formula>
    </cfRule>
  </conditionalFormatting>
  <conditionalFormatting sqref="T5:AE5">
    <cfRule type="expression" dxfId="418" priority="395" stopIfTrue="1">
      <formula>IF(T5="-",FALSE,IF(T5&gt;$AO$2,IF(S5&gt;$AO$2,FALSE,TRUE),FALSE))</formula>
    </cfRule>
  </conditionalFormatting>
  <conditionalFormatting sqref="T64:T65">
    <cfRule type="expression" dxfId="417" priority="393" stopIfTrue="1">
      <formula>IF(T64="-",FALSE,IF(T64&gt;$AO$2,TRUE,FALSE))</formula>
    </cfRule>
  </conditionalFormatting>
  <conditionalFormatting sqref="T64:AE65">
    <cfRule type="expression" dxfId="416" priority="394" stopIfTrue="1">
      <formula>IF(T64="-",FALSE,IF(T64&gt;$AO$2,IF(S65&gt;$AO$2,FALSE,TRUE),FALSE))</formula>
    </cfRule>
  </conditionalFormatting>
  <conditionalFormatting sqref="T66">
    <cfRule type="expression" dxfId="415" priority="387" stopIfTrue="1">
      <formula>IF(T66="-",FALSE,IF(T66&gt;$AO$2,TRUE,FALSE))</formula>
    </cfRule>
  </conditionalFormatting>
  <conditionalFormatting sqref="T66:AE66">
    <cfRule type="expression" dxfId="414" priority="388" stopIfTrue="1">
      <formula>IF(T66="-",FALSE,IF(T66&gt;$AO$2,IF(S67&gt;$AO$2,FALSE,TRUE),FALSE))</formula>
    </cfRule>
  </conditionalFormatting>
  <conditionalFormatting sqref="T6">
    <cfRule type="expression" dxfId="413" priority="386" stopIfTrue="1">
      <formula>IF(T6="-",FALSE,IF(T6&gt;$AO$2,TRUE,FALSE))</formula>
    </cfRule>
  </conditionalFormatting>
  <conditionalFormatting sqref="T6:AE6">
    <cfRule type="expression" dxfId="412" priority="385" stopIfTrue="1">
      <formula>IF(T6="-",FALSE,IF(T6&gt;$AO$2,IF(S6&gt;$AO$2,FALSE,TRUE),FALSE))</formula>
    </cfRule>
  </conditionalFormatting>
  <conditionalFormatting sqref="T67:T68">
    <cfRule type="expression" dxfId="411" priority="381" stopIfTrue="1">
      <formula>IF(T67="-",FALSE,IF(T67&gt;$AO$2,TRUE,FALSE))</formula>
    </cfRule>
  </conditionalFormatting>
  <conditionalFormatting sqref="T67:AE68">
    <cfRule type="expression" dxfId="410" priority="382" stopIfTrue="1">
      <formula>IF(T67="-",FALSE,IF(T67&gt;$AO$2,IF(S68&gt;$AO$2,FALSE,TRUE),FALSE))</formula>
    </cfRule>
  </conditionalFormatting>
  <conditionalFormatting sqref="T7">
    <cfRule type="expression" dxfId="409" priority="378" stopIfTrue="1">
      <formula>IF(T7="-",FALSE,IF(T7&gt;$AO$2,TRUE,FALSE))</formula>
    </cfRule>
  </conditionalFormatting>
  <conditionalFormatting sqref="T7:AE7">
    <cfRule type="expression" dxfId="408" priority="377" stopIfTrue="1">
      <formula>IF(T7="-",FALSE,IF(T7&gt;$AO$2,IF(S7&gt;$AO$2,FALSE,TRUE),FALSE))</formula>
    </cfRule>
  </conditionalFormatting>
  <conditionalFormatting sqref="T69:T70">
    <cfRule type="expression" dxfId="407" priority="373" stopIfTrue="1">
      <formula>IF(T69="-",FALSE,IF(T69&gt;$AO$2,TRUE,FALSE))</formula>
    </cfRule>
  </conditionalFormatting>
  <conditionalFormatting sqref="T69:AE70">
    <cfRule type="expression" dxfId="406" priority="374" stopIfTrue="1">
      <formula>IF(T69="-",FALSE,IF(T69&gt;$AO$2,IF(S70&gt;$AO$2,FALSE,TRUE),FALSE))</formula>
    </cfRule>
  </conditionalFormatting>
  <conditionalFormatting sqref="T71">
    <cfRule type="expression" dxfId="405" priority="371" stopIfTrue="1">
      <formula>IF(T71="-",FALSE,IF(T71&gt;$AO$2,TRUE,FALSE))</formula>
    </cfRule>
  </conditionalFormatting>
  <conditionalFormatting sqref="T71:AE71">
    <cfRule type="expression" dxfId="404" priority="372" stopIfTrue="1">
      <formula>IF(T71="-",FALSE,IF(T71&gt;$AO$2,IF(S72&gt;$AO$2,FALSE,TRUE),FALSE))</formula>
    </cfRule>
  </conditionalFormatting>
  <conditionalFormatting sqref="T72:T73">
    <cfRule type="expression" dxfId="403" priority="363" stopIfTrue="1">
      <formula>IF(T72="-",FALSE,IF(T72&gt;$AO$2,TRUE,FALSE))</formula>
    </cfRule>
  </conditionalFormatting>
  <conditionalFormatting sqref="T72:AE73">
    <cfRule type="expression" dxfId="402" priority="364" stopIfTrue="1">
      <formula>IF(T72="-",FALSE,IF(T72&gt;$AO$2,IF(S73&gt;$AO$2,FALSE,TRUE),FALSE))</formula>
    </cfRule>
  </conditionalFormatting>
  <conditionalFormatting sqref="T8">
    <cfRule type="expression" dxfId="401" priority="360" stopIfTrue="1">
      <formula>IF(T8="-",FALSE,IF(T8&gt;$AO$2,TRUE,FALSE))</formula>
    </cfRule>
  </conditionalFormatting>
  <conditionalFormatting sqref="T74:T75">
    <cfRule type="expression" dxfId="400" priority="349" stopIfTrue="1">
      <formula>IF(T74="-",FALSE,IF(T74&gt;$AO$2,TRUE,FALSE))</formula>
    </cfRule>
  </conditionalFormatting>
  <conditionalFormatting sqref="T74:AE75">
    <cfRule type="expression" dxfId="399" priority="350" stopIfTrue="1">
      <formula>IF(T74="-",FALSE,IF(T74&gt;$AO$2,IF(S75&gt;$AO$2,FALSE,TRUE),FALSE))</formula>
    </cfRule>
  </conditionalFormatting>
  <conditionalFormatting sqref="T9">
    <cfRule type="expression" dxfId="398" priority="345" stopIfTrue="1">
      <formula>IF(T9="-",FALSE,IF(T9&gt;$AO$2,TRUE,FALSE))</formula>
    </cfRule>
  </conditionalFormatting>
  <conditionalFormatting sqref="T79:AE80 T82:AE82 T85:AE85">
    <cfRule type="expression" dxfId="397" priority="344" stopIfTrue="1">
      <formula>IF(T79="-",FALSE,IF(T79&gt;$AO$2,IF(S108&gt;$AO$2,FALSE,TRUE),FALSE))</formula>
    </cfRule>
  </conditionalFormatting>
  <conditionalFormatting sqref="T79">
    <cfRule type="expression" dxfId="396" priority="343" stopIfTrue="1">
      <formula>IF(T79="-",FALSE,IF(T79&gt;$AO$2,TRUE,FALSE))</formula>
    </cfRule>
  </conditionalFormatting>
  <conditionalFormatting sqref="T76:T78">
    <cfRule type="expression" dxfId="395" priority="341" stopIfTrue="1">
      <formula>IF(T76="-",FALSE,IF(T76&gt;$AO$2,TRUE,FALSE))</formula>
    </cfRule>
  </conditionalFormatting>
  <conditionalFormatting sqref="T76:AE78">
    <cfRule type="expression" dxfId="394" priority="342" stopIfTrue="1">
      <formula>IF(T76="-",FALSE,IF(T76&gt;$AO$2,IF(S77&gt;$AO$2,FALSE,TRUE),FALSE))</formula>
    </cfRule>
  </conditionalFormatting>
  <conditionalFormatting sqref="T80">
    <cfRule type="expression" dxfId="393" priority="339" stopIfTrue="1">
      <formula>IF(T80="-",FALSE,IF(T80&gt;$AO$2,TRUE,FALSE))</formula>
    </cfRule>
  </conditionalFormatting>
  <conditionalFormatting sqref="T10:AE10">
    <cfRule type="expression" dxfId="392" priority="336" stopIfTrue="1">
      <formula>IF(T10="-",FALSE,IF(T10&gt;$AO$2,IF(S10&gt;$AO$2,FALSE,TRUE),FALSE))</formula>
    </cfRule>
  </conditionalFormatting>
  <conditionalFormatting sqref="T10">
    <cfRule type="expression" dxfId="391" priority="335" stopIfTrue="1">
      <formula>IF(T10="-",FALSE,IF(T10&gt;$AO$2,TRUE,FALSE))</formula>
    </cfRule>
  </conditionalFormatting>
  <conditionalFormatting sqref="T81:AE81">
    <cfRule type="expression" dxfId="390" priority="334" stopIfTrue="1">
      <formula>IF(T81="-",FALSE,IF(T81&gt;$AO$2,IF(S110&gt;$AO$2,FALSE,TRUE),FALSE))</formula>
    </cfRule>
  </conditionalFormatting>
  <conditionalFormatting sqref="T81">
    <cfRule type="expression" dxfId="389" priority="333" stopIfTrue="1">
      <formula>IF(T81="-",FALSE,IF(T81&gt;$AO$2,TRUE,FALSE))</formula>
    </cfRule>
  </conditionalFormatting>
  <conditionalFormatting sqref="T82">
    <cfRule type="expression" dxfId="388" priority="331" stopIfTrue="1">
      <formula>IF(T82="-",FALSE,IF(T82&gt;$AO$2,TRUE,FALSE))</formula>
    </cfRule>
  </conditionalFormatting>
  <conditionalFormatting sqref="T11:T19">
    <cfRule type="expression" dxfId="387" priority="329" stopIfTrue="1">
      <formula>IF(T11="-",FALSE,IF(T11&gt;$AO$2,TRUE,FALSE))</formula>
    </cfRule>
  </conditionalFormatting>
  <conditionalFormatting sqref="T83:AE83">
    <cfRule type="expression" dxfId="386" priority="328" stopIfTrue="1">
      <formula>IF(T83="-",FALSE,IF(T83&gt;$AO$2,IF(S112&gt;$AO$2,FALSE,TRUE),FALSE))</formula>
    </cfRule>
  </conditionalFormatting>
  <conditionalFormatting sqref="T83">
    <cfRule type="expression" dxfId="385" priority="327" stopIfTrue="1">
      <formula>IF(T83="-",FALSE,IF(T83&gt;$AO$2,TRUE,FALSE))</formula>
    </cfRule>
  </conditionalFormatting>
  <conditionalFormatting sqref="T84:AE84">
    <cfRule type="expression" dxfId="384" priority="326" stopIfTrue="1">
      <formula>IF(T84="-",FALSE,IF(T84&gt;$AO$2,IF(S113&gt;$AO$2,FALSE,TRUE),FALSE))</formula>
    </cfRule>
  </conditionalFormatting>
  <conditionalFormatting sqref="T84">
    <cfRule type="expression" dxfId="383" priority="325" stopIfTrue="1">
      <formula>IF(T84="-",FALSE,IF(T84&gt;$AO$2,TRUE,FALSE))</formula>
    </cfRule>
  </conditionalFormatting>
  <conditionalFormatting sqref="T12:AE12">
    <cfRule type="expression" dxfId="382" priority="324" stopIfTrue="1">
      <formula>IF(T12="-",FALSE,IF(T12&gt;$AO$2,IF(S12&gt;$AO$2,FALSE,TRUE),FALSE))</formula>
    </cfRule>
  </conditionalFormatting>
  <conditionalFormatting sqref="T12">
    <cfRule type="expression" dxfId="381" priority="323" stopIfTrue="1">
      <formula>IF(T12="-",FALSE,IF(T12&gt;$AO$2,TRUE,FALSE))</formula>
    </cfRule>
  </conditionalFormatting>
  <conditionalFormatting sqref="T13:AE13">
    <cfRule type="expression" dxfId="380" priority="322" stopIfTrue="1">
      <formula>IF(T13="-",FALSE,IF(T13&gt;$AO$2,IF(S13&gt;$AO$2,FALSE,TRUE),FALSE))</formula>
    </cfRule>
  </conditionalFormatting>
  <conditionalFormatting sqref="T13">
    <cfRule type="expression" dxfId="379" priority="321" stopIfTrue="1">
      <formula>IF(T13="-",FALSE,IF(T13&gt;$AO$2,TRUE,FALSE))</formula>
    </cfRule>
  </conditionalFormatting>
  <conditionalFormatting sqref="T14:T19">
    <cfRule type="expression" dxfId="378" priority="319" stopIfTrue="1">
      <formula>IF(T14="-",FALSE,IF(T14&gt;$AO$2,TRUE,FALSE))</formula>
    </cfRule>
  </conditionalFormatting>
  <conditionalFormatting sqref="T85">
    <cfRule type="expression" dxfId="377" priority="317" stopIfTrue="1">
      <formula>IF(T85="-",FALSE,IF(T85&gt;$AO$2,TRUE,FALSE))</formula>
    </cfRule>
  </conditionalFormatting>
  <conditionalFormatting sqref="T15">
    <cfRule type="expression" dxfId="376" priority="316" stopIfTrue="1">
      <formula>IF(T15="-",FALSE,IF(T15&gt;$AO$2,TRUE,FALSE))</formula>
    </cfRule>
  </conditionalFormatting>
  <conditionalFormatting sqref="T15:AE15">
    <cfRule type="expression" dxfId="375" priority="315" stopIfTrue="1">
      <formula>IF(T15="-",FALSE,IF(T15&gt;$AO$2,IF(S15&gt;$AO$2,FALSE,TRUE),FALSE))</formula>
    </cfRule>
  </conditionalFormatting>
  <conditionalFormatting sqref="T15">
    <cfRule type="expression" dxfId="374" priority="314" stopIfTrue="1">
      <formula>IF(T15="-",FALSE,IF(T15&gt;$AO$2,TRUE,FALSE))</formula>
    </cfRule>
  </conditionalFormatting>
  <conditionalFormatting sqref="T16">
    <cfRule type="expression" dxfId="373" priority="313" stopIfTrue="1">
      <formula>IF(T16="-",FALSE,IF(T16&gt;$AO$2,TRUE,FALSE))</formula>
    </cfRule>
  </conditionalFormatting>
  <conditionalFormatting sqref="T16:AE16">
    <cfRule type="expression" dxfId="372" priority="312" stopIfTrue="1">
      <formula>IF(T16="-",FALSE,IF(T16&gt;$AO$2,IF(S16&gt;$AO$2,FALSE,TRUE),FALSE))</formula>
    </cfRule>
  </conditionalFormatting>
  <conditionalFormatting sqref="T16">
    <cfRule type="expression" dxfId="371" priority="311" stopIfTrue="1">
      <formula>IF(T16="-",FALSE,IF(T16&gt;$AO$2,TRUE,FALSE))</formula>
    </cfRule>
  </conditionalFormatting>
  <conditionalFormatting sqref="T17:T19">
    <cfRule type="expression" dxfId="370" priority="310" stopIfTrue="1">
      <formula>IF(T17="-",FALSE,IF(T17&gt;$AO$2,TRUE,FALSE))</formula>
    </cfRule>
  </conditionalFormatting>
  <conditionalFormatting sqref="T17:T19">
    <cfRule type="expression" dxfId="369" priority="308" stopIfTrue="1">
      <formula>IF(T17="-",FALSE,IF(T17&gt;$AO$2,TRUE,FALSE))</formula>
    </cfRule>
  </conditionalFormatting>
  <conditionalFormatting sqref="T86:AE86">
    <cfRule type="expression" dxfId="368" priority="307" stopIfTrue="1">
      <formula>IF(T86="-",FALSE,IF(T86&gt;$AO$2,IF(S115&gt;$AO$2,FALSE,TRUE),FALSE))</formula>
    </cfRule>
  </conditionalFormatting>
  <conditionalFormatting sqref="T86">
    <cfRule type="expression" dxfId="367" priority="306" stopIfTrue="1">
      <formula>IF(T86="-",FALSE,IF(T86&gt;$AO$2,TRUE,FALSE))</formula>
    </cfRule>
  </conditionalFormatting>
  <conditionalFormatting sqref="T18">
    <cfRule type="expression" dxfId="366" priority="305" stopIfTrue="1">
      <formula>IF(T18="-",FALSE,IF(T18&gt;$AO$2,TRUE,FALSE))</formula>
    </cfRule>
  </conditionalFormatting>
  <conditionalFormatting sqref="T18">
    <cfRule type="expression" dxfId="365" priority="304" stopIfTrue="1">
      <formula>IF(T18="-",FALSE,IF(T18&gt;$AO$2,TRUE,FALSE))</formula>
    </cfRule>
  </conditionalFormatting>
  <conditionalFormatting sqref="T18">
    <cfRule type="expression" dxfId="364" priority="303" stopIfTrue="1">
      <formula>IF(T18="-",FALSE,IF(T18&gt;$AO$2,TRUE,FALSE))</formula>
    </cfRule>
  </conditionalFormatting>
  <conditionalFormatting sqref="T18:AE18">
    <cfRule type="expression" dxfId="363" priority="302" stopIfTrue="1">
      <formula>IF(T18="-",FALSE,IF(T18&gt;$AO$2,IF(S18&gt;$AO$2,FALSE,TRUE),FALSE))</formula>
    </cfRule>
  </conditionalFormatting>
  <conditionalFormatting sqref="T18">
    <cfRule type="expression" dxfId="362" priority="301" stopIfTrue="1">
      <formula>IF(T18="-",FALSE,IF(T18&gt;$AO$2,TRUE,FALSE))</formula>
    </cfRule>
  </conditionalFormatting>
  <conditionalFormatting sqref="T19">
    <cfRule type="expression" dxfId="361" priority="300" stopIfTrue="1">
      <formula>IF(T19="-",FALSE,IF(T19&gt;$AO$2,TRUE,FALSE))</formula>
    </cfRule>
  </conditionalFormatting>
  <conditionalFormatting sqref="T19">
    <cfRule type="expression" dxfId="360" priority="299" stopIfTrue="1">
      <formula>IF(T19="-",FALSE,IF(T19&gt;$AO$2,TRUE,FALSE))</formula>
    </cfRule>
  </conditionalFormatting>
  <conditionalFormatting sqref="T19">
    <cfRule type="expression" dxfId="359" priority="298" stopIfTrue="1">
      <formula>IF(T19="-",FALSE,IF(T19&gt;$AO$2,TRUE,FALSE))</formula>
    </cfRule>
  </conditionalFormatting>
  <conditionalFormatting sqref="T19">
    <cfRule type="expression" dxfId="358" priority="296" stopIfTrue="1">
      <formula>IF(T19="-",FALSE,IF(T19&gt;$AO$2,TRUE,FALSE))</formula>
    </cfRule>
  </conditionalFormatting>
  <conditionalFormatting sqref="T20:T25">
    <cfRule type="expression" dxfId="357" priority="294" stopIfTrue="1">
      <formula>IF(T20="-",FALSE,IF(T20&gt;$AO$2,TRUE,FALSE))</formula>
    </cfRule>
  </conditionalFormatting>
  <conditionalFormatting sqref="T20:T25">
    <cfRule type="expression" dxfId="356" priority="293" stopIfTrue="1">
      <formula>IF(T20="-",FALSE,IF(T20&gt;$AO$2,TRUE,FALSE))</formula>
    </cfRule>
  </conditionalFormatting>
  <conditionalFormatting sqref="T20:T25">
    <cfRule type="expression" dxfId="355" priority="292" stopIfTrue="1">
      <formula>IF(T20="-",FALSE,IF(T20&gt;$AO$2,TRUE,FALSE))</formula>
    </cfRule>
  </conditionalFormatting>
  <conditionalFormatting sqref="T20:T25">
    <cfRule type="expression" dxfId="354" priority="291" stopIfTrue="1">
      <formula>IF(T20="-",FALSE,IF(T20&gt;$AO$2,TRUE,FALSE))</formula>
    </cfRule>
  </conditionalFormatting>
  <conditionalFormatting sqref="T20">
    <cfRule type="expression" dxfId="353" priority="290" stopIfTrue="1">
      <formula>IF(T20="-",FALSE,IF(T20&gt;$AO$2,TRUE,FALSE))</formula>
    </cfRule>
  </conditionalFormatting>
  <conditionalFormatting sqref="T20">
    <cfRule type="expression" dxfId="352" priority="289" stopIfTrue="1">
      <formula>IF(T20="-",FALSE,IF(T20&gt;$AO$2,TRUE,FALSE))</formula>
    </cfRule>
  </conditionalFormatting>
  <conditionalFormatting sqref="T20">
    <cfRule type="expression" dxfId="351" priority="288" stopIfTrue="1">
      <formula>IF(T20="-",FALSE,IF(T20&gt;$AO$2,TRUE,FALSE))</formula>
    </cfRule>
  </conditionalFormatting>
  <conditionalFormatting sqref="T20:AE20">
    <cfRule type="expression" dxfId="350" priority="287" stopIfTrue="1">
      <formula>IF(T20="-",FALSE,IF(T20&gt;$AO$2,IF(S20&gt;$AO$2,FALSE,TRUE),FALSE))</formula>
    </cfRule>
  </conditionalFormatting>
  <conditionalFormatting sqref="T20">
    <cfRule type="expression" dxfId="349" priority="286" stopIfTrue="1">
      <formula>IF(T20="-",FALSE,IF(T20&gt;$AO$2,TRUE,FALSE))</formula>
    </cfRule>
  </conditionalFormatting>
  <conditionalFormatting sqref="T21:T25">
    <cfRule type="expression" dxfId="348" priority="285" stopIfTrue="1">
      <formula>IF(T21="-",FALSE,IF(T21&gt;$AO$2,TRUE,FALSE))</formula>
    </cfRule>
  </conditionalFormatting>
  <conditionalFormatting sqref="T21:T25">
    <cfRule type="expression" dxfId="347" priority="284" stopIfTrue="1">
      <formula>IF(T21="-",FALSE,IF(T21&gt;$AO$2,TRUE,FALSE))</formula>
    </cfRule>
  </conditionalFormatting>
  <conditionalFormatting sqref="T21:T25">
    <cfRule type="expression" dxfId="346" priority="283" stopIfTrue="1">
      <formula>IF(T21="-",FALSE,IF(T21&gt;$AO$2,TRUE,FALSE))</formula>
    </cfRule>
  </conditionalFormatting>
  <conditionalFormatting sqref="T21:T25">
    <cfRule type="expression" dxfId="345" priority="282" stopIfTrue="1">
      <formula>IF(T21="-",FALSE,IF(T21&gt;$AO$2,TRUE,FALSE))</formula>
    </cfRule>
  </conditionalFormatting>
  <conditionalFormatting sqref="T87:AE87">
    <cfRule type="expression" dxfId="344" priority="281" stopIfTrue="1">
      <formula>IF(T87="-",FALSE,IF(T87&gt;$AO$2,IF(S116&gt;$AO$2,FALSE,TRUE),FALSE))</formula>
    </cfRule>
  </conditionalFormatting>
  <conditionalFormatting sqref="T87">
    <cfRule type="expression" dxfId="343" priority="280" stopIfTrue="1">
      <formula>IF(T87="-",FALSE,IF(T87&gt;$AO$2,TRUE,FALSE))</formula>
    </cfRule>
  </conditionalFormatting>
  <conditionalFormatting sqref="T88:AE88">
    <cfRule type="expression" dxfId="342" priority="275" stopIfTrue="1">
      <formula>IF(T88="-",FALSE,IF(T88&gt;$AO$2,IF(S117&gt;$AO$2,FALSE,TRUE),FALSE))</formula>
    </cfRule>
  </conditionalFormatting>
  <conditionalFormatting sqref="T88">
    <cfRule type="expression" dxfId="341" priority="274" stopIfTrue="1">
      <formula>IF(T88="-",FALSE,IF(T88&gt;$AO$2,TRUE,FALSE))</formula>
    </cfRule>
  </conditionalFormatting>
  <conditionalFormatting sqref="T26:AE26">
    <cfRule type="expression" dxfId="340" priority="273" stopIfTrue="1">
      <formula>IF(T26="-",FALSE,IF(T26&gt;$AO$2,IF(S26&gt;$AO$2,FALSE,TRUE),FALSE))</formula>
    </cfRule>
  </conditionalFormatting>
  <conditionalFormatting sqref="T26">
    <cfRule type="expression" dxfId="339" priority="272" stopIfTrue="1">
      <formula>IF(T26="-",FALSE,IF(T26&gt;$AO$2,TRUE,FALSE))</formula>
    </cfRule>
  </conditionalFormatting>
  <conditionalFormatting sqref="T26">
    <cfRule type="expression" dxfId="338" priority="271" stopIfTrue="1">
      <formula>IF(T26="-",FALSE,IF(T26&gt;$AO$2,TRUE,FALSE))</formula>
    </cfRule>
  </conditionalFormatting>
  <conditionalFormatting sqref="T26">
    <cfRule type="expression" dxfId="337" priority="270" stopIfTrue="1">
      <formula>IF(T26="-",FALSE,IF(T26&gt;$AO$2,TRUE,FALSE))</formula>
    </cfRule>
  </conditionalFormatting>
  <conditionalFormatting sqref="T26">
    <cfRule type="expression" dxfId="336" priority="269" stopIfTrue="1">
      <formula>IF(T26="-",FALSE,IF(T26&gt;$AO$2,TRUE,FALSE))</formula>
    </cfRule>
  </conditionalFormatting>
  <conditionalFormatting sqref="T26">
    <cfRule type="expression" dxfId="335" priority="268" stopIfTrue="1">
      <formula>IF(T26="-",FALSE,IF(T26&gt;$AO$2,TRUE,FALSE))</formula>
    </cfRule>
  </conditionalFormatting>
  <conditionalFormatting sqref="T26">
    <cfRule type="expression" dxfId="334" priority="267" stopIfTrue="1">
      <formula>IF(T26="-",FALSE,IF(T26&gt;$AO$2,TRUE,FALSE))</formula>
    </cfRule>
  </conditionalFormatting>
  <conditionalFormatting sqref="T26">
    <cfRule type="expression" dxfId="333" priority="266" stopIfTrue="1">
      <formula>IF(T26="-",FALSE,IF(T26&gt;$AO$2,TRUE,FALSE))</formula>
    </cfRule>
  </conditionalFormatting>
  <conditionalFormatting sqref="T26">
    <cfRule type="expression" dxfId="332" priority="265" stopIfTrue="1">
      <formula>IF(T26="-",FALSE,IF(T26&gt;$AO$2,TRUE,FALSE))</formula>
    </cfRule>
  </conditionalFormatting>
  <conditionalFormatting sqref="T24:AE24">
    <cfRule type="expression" dxfId="331" priority="264" stopIfTrue="1">
      <formula>IF(T24="-",FALSE,IF(T24&gt;$AO$2,IF(S24&gt;$AO$2,FALSE,TRUE),FALSE))</formula>
    </cfRule>
  </conditionalFormatting>
  <conditionalFormatting sqref="T24">
    <cfRule type="expression" dxfId="330" priority="263" stopIfTrue="1">
      <formula>IF(T24="-",FALSE,IF(T24&gt;$AO$2,TRUE,FALSE))</formula>
    </cfRule>
  </conditionalFormatting>
  <conditionalFormatting sqref="T24">
    <cfRule type="expression" dxfId="329" priority="262" stopIfTrue="1">
      <formula>IF(T24="-",FALSE,IF(T24&gt;$AO$2,TRUE,FALSE))</formula>
    </cfRule>
  </conditionalFormatting>
  <conditionalFormatting sqref="T24">
    <cfRule type="expression" dxfId="328" priority="261" stopIfTrue="1">
      <formula>IF(T24="-",FALSE,IF(T24&gt;$AO$2,TRUE,FALSE))</formula>
    </cfRule>
  </conditionalFormatting>
  <conditionalFormatting sqref="T24">
    <cfRule type="expression" dxfId="327" priority="260" stopIfTrue="1">
      <formula>IF(T24="-",FALSE,IF(T24&gt;$AO$2,TRUE,FALSE))</formula>
    </cfRule>
  </conditionalFormatting>
  <conditionalFormatting sqref="T24">
    <cfRule type="expression" dxfId="326" priority="259" stopIfTrue="1">
      <formula>IF(T24="-",FALSE,IF(T24&gt;$AO$2,TRUE,FALSE))</formula>
    </cfRule>
  </conditionalFormatting>
  <conditionalFormatting sqref="T24">
    <cfRule type="expression" dxfId="325" priority="258" stopIfTrue="1">
      <formula>IF(T24="-",FALSE,IF(T24&gt;$AO$2,TRUE,FALSE))</formula>
    </cfRule>
  </conditionalFormatting>
  <conditionalFormatting sqref="T24">
    <cfRule type="expression" dxfId="324" priority="257" stopIfTrue="1">
      <formula>IF(T24="-",FALSE,IF(T24&gt;$AO$2,TRUE,FALSE))</formula>
    </cfRule>
  </conditionalFormatting>
  <conditionalFormatting sqref="T24">
    <cfRule type="expression" dxfId="323" priority="256" stopIfTrue="1">
      <formula>IF(T24="-",FALSE,IF(T24&gt;$AO$2,TRUE,FALSE))</formula>
    </cfRule>
  </conditionalFormatting>
  <conditionalFormatting sqref="T25:AE25">
    <cfRule type="expression" dxfId="322" priority="255" stopIfTrue="1">
      <formula>IF(T25="-",FALSE,IF(T25&gt;$AO$2,IF(S25&gt;$AO$2,FALSE,TRUE),FALSE))</formula>
    </cfRule>
  </conditionalFormatting>
  <conditionalFormatting sqref="T25">
    <cfRule type="expression" dxfId="321" priority="254" stopIfTrue="1">
      <formula>IF(T25="-",FALSE,IF(T25&gt;$AO$2,TRUE,FALSE))</formula>
    </cfRule>
  </conditionalFormatting>
  <conditionalFormatting sqref="T25">
    <cfRule type="expression" dxfId="320" priority="253" stopIfTrue="1">
      <formula>IF(T25="-",FALSE,IF(T25&gt;$AO$2,TRUE,FALSE))</formula>
    </cfRule>
  </conditionalFormatting>
  <conditionalFormatting sqref="T25">
    <cfRule type="expression" dxfId="319" priority="252" stopIfTrue="1">
      <formula>IF(T25="-",FALSE,IF(T25&gt;$AO$2,TRUE,FALSE))</formula>
    </cfRule>
  </conditionalFormatting>
  <conditionalFormatting sqref="T25">
    <cfRule type="expression" dxfId="318" priority="251" stopIfTrue="1">
      <formula>IF(T25="-",FALSE,IF(T25&gt;$AO$2,TRUE,FALSE))</formula>
    </cfRule>
  </conditionalFormatting>
  <conditionalFormatting sqref="T25">
    <cfRule type="expression" dxfId="317" priority="250" stopIfTrue="1">
      <formula>IF(T25="-",FALSE,IF(T25&gt;$AO$2,TRUE,FALSE))</formula>
    </cfRule>
  </conditionalFormatting>
  <conditionalFormatting sqref="T25">
    <cfRule type="expression" dxfId="316" priority="249" stopIfTrue="1">
      <formula>IF(T25="-",FALSE,IF(T25&gt;$AO$2,TRUE,FALSE))</formula>
    </cfRule>
  </conditionalFormatting>
  <conditionalFormatting sqref="T25">
    <cfRule type="expression" dxfId="315" priority="248" stopIfTrue="1">
      <formula>IF(T25="-",FALSE,IF(T25&gt;$AO$2,TRUE,FALSE))</formula>
    </cfRule>
  </conditionalFormatting>
  <conditionalFormatting sqref="T25">
    <cfRule type="expression" dxfId="314" priority="247" stopIfTrue="1">
      <formula>IF(T25="-",FALSE,IF(T25&gt;$AO$2,TRUE,FALSE))</formula>
    </cfRule>
  </conditionalFormatting>
  <conditionalFormatting sqref="T89:AE89">
    <cfRule type="expression" dxfId="313" priority="246" stopIfTrue="1">
      <formula>IF(T89="-",FALSE,IF(T89&gt;$AO$2,IF(S118&gt;$AO$2,FALSE,TRUE),FALSE))</formula>
    </cfRule>
  </conditionalFormatting>
  <conditionalFormatting sqref="T89">
    <cfRule type="expression" dxfId="312" priority="245" stopIfTrue="1">
      <formula>IF(T89="-",FALSE,IF(T89&gt;$AO$2,TRUE,FALSE))</formula>
    </cfRule>
  </conditionalFormatting>
  <conditionalFormatting sqref="T28">
    <cfRule type="expression" dxfId="311" priority="243" stopIfTrue="1">
      <formula>IF(T28="-",FALSE,IF(T28&gt;$AO$2,TRUE,FALSE))</formula>
    </cfRule>
  </conditionalFormatting>
  <conditionalFormatting sqref="T28">
    <cfRule type="expression" dxfId="310" priority="242" stopIfTrue="1">
      <formula>IF(T28="-",FALSE,IF(T28&gt;$AO$2,TRUE,FALSE))</formula>
    </cfRule>
  </conditionalFormatting>
  <conditionalFormatting sqref="T28">
    <cfRule type="expression" dxfId="309" priority="241" stopIfTrue="1">
      <formula>IF(T28="-",FALSE,IF(T28&gt;$AO$2,TRUE,FALSE))</formula>
    </cfRule>
  </conditionalFormatting>
  <conditionalFormatting sqref="T28">
    <cfRule type="expression" dxfId="308" priority="240" stopIfTrue="1">
      <formula>IF(T28="-",FALSE,IF(T28&gt;$AO$2,TRUE,FALSE))</formula>
    </cfRule>
  </conditionalFormatting>
  <conditionalFormatting sqref="T28">
    <cfRule type="expression" dxfId="307" priority="239" stopIfTrue="1">
      <formula>IF(T28="-",FALSE,IF(T28&gt;$AO$2,TRUE,FALSE))</formula>
    </cfRule>
  </conditionalFormatting>
  <conditionalFormatting sqref="T28">
    <cfRule type="expression" dxfId="306" priority="238" stopIfTrue="1">
      <formula>IF(T28="-",FALSE,IF(T28&gt;$AO$2,TRUE,FALSE))</formula>
    </cfRule>
  </conditionalFormatting>
  <conditionalFormatting sqref="T28">
    <cfRule type="expression" dxfId="305" priority="237" stopIfTrue="1">
      <formula>IF(T28="-",FALSE,IF(T28&gt;$AO$2,TRUE,FALSE))</formula>
    </cfRule>
  </conditionalFormatting>
  <conditionalFormatting sqref="T28">
    <cfRule type="expression" dxfId="304" priority="236" stopIfTrue="1">
      <formula>IF(T28="-",FALSE,IF(T28&gt;$AO$2,TRUE,FALSE))</formula>
    </cfRule>
  </conditionalFormatting>
  <conditionalFormatting sqref="T27:T28">
    <cfRule type="expression" dxfId="303" priority="234" stopIfTrue="1">
      <formula>IF(T27="-",FALSE,IF(T27&gt;$AO$2,TRUE,FALSE))</formula>
    </cfRule>
  </conditionalFormatting>
  <conditionalFormatting sqref="T27:T28">
    <cfRule type="expression" dxfId="302" priority="233" stopIfTrue="1">
      <formula>IF(T27="-",FALSE,IF(T27&gt;$AO$2,TRUE,FALSE))</formula>
    </cfRule>
  </conditionalFormatting>
  <conditionalFormatting sqref="T27:T28">
    <cfRule type="expression" dxfId="301" priority="232" stopIfTrue="1">
      <formula>IF(T27="-",FALSE,IF(T27&gt;$AO$2,TRUE,FALSE))</formula>
    </cfRule>
  </conditionalFormatting>
  <conditionalFormatting sqref="T27:T28">
    <cfRule type="expression" dxfId="300" priority="231" stopIfTrue="1">
      <formula>IF(T27="-",FALSE,IF(T27&gt;$AO$2,TRUE,FALSE))</formula>
    </cfRule>
  </conditionalFormatting>
  <conditionalFormatting sqref="T27:T28">
    <cfRule type="expression" dxfId="299" priority="230" stopIfTrue="1">
      <formula>IF(T27="-",FALSE,IF(T27&gt;$AO$2,TRUE,FALSE))</formula>
    </cfRule>
  </conditionalFormatting>
  <conditionalFormatting sqref="T27:T28">
    <cfRule type="expression" dxfId="298" priority="229" stopIfTrue="1">
      <formula>IF(T27="-",FALSE,IF(T27&gt;$AO$2,TRUE,FALSE))</formula>
    </cfRule>
  </conditionalFormatting>
  <conditionalFormatting sqref="T27:T28">
    <cfRule type="expression" dxfId="297" priority="228" stopIfTrue="1">
      <formula>IF(T27="-",FALSE,IF(T27&gt;$AO$2,TRUE,FALSE))</formula>
    </cfRule>
  </conditionalFormatting>
  <conditionalFormatting sqref="T27:T28">
    <cfRule type="expression" dxfId="296" priority="227" stopIfTrue="1">
      <formula>IF(T27="-",FALSE,IF(T27&gt;$AO$2,TRUE,FALSE))</formula>
    </cfRule>
  </conditionalFormatting>
  <conditionalFormatting sqref="T29:AE29">
    <cfRule type="expression" dxfId="295" priority="226" stopIfTrue="1">
      <formula>IF(T29="-",FALSE,IF(T29&gt;$AO$2,IF(S29&gt;$AO$2,FALSE,TRUE),FALSE))</formula>
    </cfRule>
  </conditionalFormatting>
  <conditionalFormatting sqref="T29">
    <cfRule type="expression" dxfId="294" priority="225" stopIfTrue="1">
      <formula>IF(T29="-",FALSE,IF(T29&gt;$AO$2,TRUE,FALSE))</formula>
    </cfRule>
  </conditionalFormatting>
  <conditionalFormatting sqref="T29">
    <cfRule type="expression" dxfId="293" priority="224" stopIfTrue="1">
      <formula>IF(T29="-",FALSE,IF(T29&gt;$AO$2,TRUE,FALSE))</formula>
    </cfRule>
  </conditionalFormatting>
  <conditionalFormatting sqref="T29">
    <cfRule type="expression" dxfId="292" priority="223" stopIfTrue="1">
      <formula>IF(T29="-",FALSE,IF(T29&gt;$AO$2,TRUE,FALSE))</formula>
    </cfRule>
  </conditionalFormatting>
  <conditionalFormatting sqref="T29">
    <cfRule type="expression" dxfId="291" priority="222" stopIfTrue="1">
      <formula>IF(T29="-",FALSE,IF(T29&gt;$AO$2,TRUE,FALSE))</formula>
    </cfRule>
  </conditionalFormatting>
  <conditionalFormatting sqref="T29">
    <cfRule type="expression" dxfId="290" priority="221" stopIfTrue="1">
      <formula>IF(T29="-",FALSE,IF(T29&gt;$AO$2,TRUE,FALSE))</formula>
    </cfRule>
  </conditionalFormatting>
  <conditionalFormatting sqref="T29">
    <cfRule type="expression" dxfId="289" priority="220" stopIfTrue="1">
      <formula>IF(T29="-",FALSE,IF(T29&gt;$AO$2,TRUE,FALSE))</formula>
    </cfRule>
  </conditionalFormatting>
  <conditionalFormatting sqref="T29">
    <cfRule type="expression" dxfId="288" priority="219" stopIfTrue="1">
      <formula>IF(T29="-",FALSE,IF(T29&gt;$AO$2,TRUE,FALSE))</formula>
    </cfRule>
  </conditionalFormatting>
  <conditionalFormatting sqref="T29">
    <cfRule type="expression" dxfId="287" priority="218" stopIfTrue="1">
      <formula>IF(T29="-",FALSE,IF(T29&gt;$AO$2,TRUE,FALSE))</formula>
    </cfRule>
  </conditionalFormatting>
  <conditionalFormatting sqref="T29">
    <cfRule type="expression" dxfId="286" priority="217" stopIfTrue="1">
      <formula>IF(T29="-",FALSE,IF(T29&gt;$AO$2,TRUE,FALSE))</formula>
    </cfRule>
  </conditionalFormatting>
  <conditionalFormatting sqref="T29">
    <cfRule type="expression" dxfId="285" priority="216" stopIfTrue="1">
      <formula>IF(T29="-",FALSE,IF(T29&gt;$AO$2,TRUE,FALSE))</formula>
    </cfRule>
  </conditionalFormatting>
  <conditionalFormatting sqref="T29">
    <cfRule type="expression" dxfId="284" priority="215" stopIfTrue="1">
      <formula>IF(T29="-",FALSE,IF(T29&gt;$AO$2,TRUE,FALSE))</formula>
    </cfRule>
  </conditionalFormatting>
  <conditionalFormatting sqref="T29">
    <cfRule type="expression" dxfId="283" priority="214" stopIfTrue="1">
      <formula>IF(T29="-",FALSE,IF(T29&gt;$AO$2,TRUE,FALSE))</formula>
    </cfRule>
  </conditionalFormatting>
  <conditionalFormatting sqref="T29">
    <cfRule type="expression" dxfId="282" priority="213" stopIfTrue="1">
      <formula>IF(T29="-",FALSE,IF(T29&gt;$AO$2,TRUE,FALSE))</formula>
    </cfRule>
  </conditionalFormatting>
  <conditionalFormatting sqref="T29">
    <cfRule type="expression" dxfId="281" priority="212" stopIfTrue="1">
      <formula>IF(T29="-",FALSE,IF(T29&gt;$AO$2,TRUE,FALSE))</formula>
    </cfRule>
  </conditionalFormatting>
  <conditionalFormatting sqref="T29">
    <cfRule type="expression" dxfId="280" priority="211" stopIfTrue="1">
      <formula>IF(T29="-",FALSE,IF(T29&gt;$AO$2,TRUE,FALSE))</formula>
    </cfRule>
  </conditionalFormatting>
  <conditionalFormatting sqref="T29">
    <cfRule type="expression" dxfId="279" priority="210" stopIfTrue="1">
      <formula>IF(T29="-",FALSE,IF(T29&gt;$AO$2,TRUE,FALSE))</formula>
    </cfRule>
  </conditionalFormatting>
  <conditionalFormatting sqref="T30:AE30">
    <cfRule type="expression" dxfId="278" priority="209" stopIfTrue="1">
      <formula>IF(T30="-",FALSE,IF(T30&gt;$AO$2,IF(S30&gt;$AO$2,FALSE,TRUE),FALSE))</formula>
    </cfRule>
  </conditionalFormatting>
  <conditionalFormatting sqref="T30">
    <cfRule type="expression" dxfId="277" priority="208" stopIfTrue="1">
      <formula>IF(T30="-",FALSE,IF(T30&gt;$AO$2,TRUE,FALSE))</formula>
    </cfRule>
  </conditionalFormatting>
  <conditionalFormatting sqref="T30">
    <cfRule type="expression" dxfId="276" priority="207" stopIfTrue="1">
      <formula>IF(T30="-",FALSE,IF(T30&gt;$AO$2,TRUE,FALSE))</formula>
    </cfRule>
  </conditionalFormatting>
  <conditionalFormatting sqref="T30">
    <cfRule type="expression" dxfId="275" priority="206" stopIfTrue="1">
      <formula>IF(T30="-",FALSE,IF(T30&gt;$AO$2,TRUE,FALSE))</formula>
    </cfRule>
  </conditionalFormatting>
  <conditionalFormatting sqref="T30">
    <cfRule type="expression" dxfId="274" priority="205" stopIfTrue="1">
      <formula>IF(T30="-",FALSE,IF(T30&gt;$AO$2,TRUE,FALSE))</formula>
    </cfRule>
  </conditionalFormatting>
  <conditionalFormatting sqref="T30">
    <cfRule type="expression" dxfId="273" priority="204" stopIfTrue="1">
      <formula>IF(T30="-",FALSE,IF(T30&gt;$AO$2,TRUE,FALSE))</formula>
    </cfRule>
  </conditionalFormatting>
  <conditionalFormatting sqref="T30">
    <cfRule type="expression" dxfId="272" priority="203" stopIfTrue="1">
      <formula>IF(T30="-",FALSE,IF(T30&gt;$AO$2,TRUE,FALSE))</formula>
    </cfRule>
  </conditionalFormatting>
  <conditionalFormatting sqref="T30">
    <cfRule type="expression" dxfId="271" priority="202" stopIfTrue="1">
      <formula>IF(T30="-",FALSE,IF(T30&gt;$AO$2,TRUE,FALSE))</formula>
    </cfRule>
  </conditionalFormatting>
  <conditionalFormatting sqref="T30">
    <cfRule type="expression" dxfId="270" priority="201" stopIfTrue="1">
      <formula>IF(T30="-",FALSE,IF(T30&gt;$AO$2,TRUE,FALSE))</formula>
    </cfRule>
  </conditionalFormatting>
  <conditionalFormatting sqref="T30">
    <cfRule type="expression" dxfId="269" priority="200" stopIfTrue="1">
      <formula>IF(T30="-",FALSE,IF(T30&gt;$AO$2,TRUE,FALSE))</formula>
    </cfRule>
  </conditionalFormatting>
  <conditionalFormatting sqref="T30">
    <cfRule type="expression" dxfId="268" priority="199" stopIfTrue="1">
      <formula>IF(T30="-",FALSE,IF(T30&gt;$AO$2,TRUE,FALSE))</formula>
    </cfRule>
  </conditionalFormatting>
  <conditionalFormatting sqref="T30">
    <cfRule type="expression" dxfId="267" priority="198" stopIfTrue="1">
      <formula>IF(T30="-",FALSE,IF(T30&gt;$AO$2,TRUE,FALSE))</formula>
    </cfRule>
  </conditionalFormatting>
  <conditionalFormatting sqref="T30">
    <cfRule type="expression" dxfId="266" priority="197" stopIfTrue="1">
      <formula>IF(T30="-",FALSE,IF(T30&gt;$AO$2,TRUE,FALSE))</formula>
    </cfRule>
  </conditionalFormatting>
  <conditionalFormatting sqref="T30">
    <cfRule type="expression" dxfId="265" priority="196" stopIfTrue="1">
      <formula>IF(T30="-",FALSE,IF(T30&gt;$AO$2,TRUE,FALSE))</formula>
    </cfRule>
  </conditionalFormatting>
  <conditionalFormatting sqref="T30">
    <cfRule type="expression" dxfId="264" priority="195" stopIfTrue="1">
      <formula>IF(T30="-",FALSE,IF(T30&gt;$AO$2,TRUE,FALSE))</formula>
    </cfRule>
  </conditionalFormatting>
  <conditionalFormatting sqref="T30">
    <cfRule type="expression" dxfId="263" priority="194" stopIfTrue="1">
      <formula>IF(T30="-",FALSE,IF(T30&gt;$AO$2,TRUE,FALSE))</formula>
    </cfRule>
  </conditionalFormatting>
  <conditionalFormatting sqref="T30">
    <cfRule type="expression" dxfId="262" priority="193" stopIfTrue="1">
      <formula>IF(T30="-",FALSE,IF(T30&gt;$AO$2,TRUE,FALSE))</formula>
    </cfRule>
  </conditionalFormatting>
  <conditionalFormatting sqref="T31:AE31">
    <cfRule type="expression" dxfId="261" priority="192" stopIfTrue="1">
      <formula>IF(T31="-",FALSE,IF(T31&gt;$AO$2,IF(S31&gt;$AO$2,FALSE,TRUE),FALSE))</formula>
    </cfRule>
  </conditionalFormatting>
  <conditionalFormatting sqref="T31">
    <cfRule type="expression" dxfId="260" priority="191" stopIfTrue="1">
      <formula>IF(T31="-",FALSE,IF(T31&gt;$AO$2,TRUE,FALSE))</formula>
    </cfRule>
  </conditionalFormatting>
  <conditionalFormatting sqref="T31">
    <cfRule type="expression" dxfId="259" priority="190" stopIfTrue="1">
      <formula>IF(T31="-",FALSE,IF(T31&gt;$AO$2,TRUE,FALSE))</formula>
    </cfRule>
  </conditionalFormatting>
  <conditionalFormatting sqref="T31">
    <cfRule type="expression" dxfId="258" priority="189" stopIfTrue="1">
      <formula>IF(T31="-",FALSE,IF(T31&gt;$AO$2,TRUE,FALSE))</formula>
    </cfRule>
  </conditionalFormatting>
  <conditionalFormatting sqref="T31">
    <cfRule type="expression" dxfId="257" priority="188" stopIfTrue="1">
      <formula>IF(T31="-",FALSE,IF(T31&gt;$AO$2,TRUE,FALSE))</formula>
    </cfRule>
  </conditionalFormatting>
  <conditionalFormatting sqref="T31">
    <cfRule type="expression" dxfId="256" priority="187" stopIfTrue="1">
      <formula>IF(T31="-",FALSE,IF(T31&gt;$AO$2,TRUE,FALSE))</formula>
    </cfRule>
  </conditionalFormatting>
  <conditionalFormatting sqref="T31">
    <cfRule type="expression" dxfId="255" priority="186" stopIfTrue="1">
      <formula>IF(T31="-",FALSE,IF(T31&gt;$AO$2,TRUE,FALSE))</formula>
    </cfRule>
  </conditionalFormatting>
  <conditionalFormatting sqref="T31">
    <cfRule type="expression" dxfId="254" priority="185" stopIfTrue="1">
      <formula>IF(T31="-",FALSE,IF(T31&gt;$AO$2,TRUE,FALSE))</formula>
    </cfRule>
  </conditionalFormatting>
  <conditionalFormatting sqref="T31">
    <cfRule type="expression" dxfId="253" priority="184" stopIfTrue="1">
      <formula>IF(T31="-",FALSE,IF(T31&gt;$AO$2,TRUE,FALSE))</formula>
    </cfRule>
  </conditionalFormatting>
  <conditionalFormatting sqref="T31">
    <cfRule type="expression" dxfId="252" priority="183" stopIfTrue="1">
      <formula>IF(T31="-",FALSE,IF(T31&gt;$AO$2,TRUE,FALSE))</formula>
    </cfRule>
  </conditionalFormatting>
  <conditionalFormatting sqref="T31">
    <cfRule type="expression" dxfId="251" priority="182" stopIfTrue="1">
      <formula>IF(T31="-",FALSE,IF(T31&gt;$AO$2,TRUE,FALSE))</formula>
    </cfRule>
  </conditionalFormatting>
  <conditionalFormatting sqref="T31">
    <cfRule type="expression" dxfId="250" priority="181" stopIfTrue="1">
      <formula>IF(T31="-",FALSE,IF(T31&gt;$AO$2,TRUE,FALSE))</formula>
    </cfRule>
  </conditionalFormatting>
  <conditionalFormatting sqref="T31">
    <cfRule type="expression" dxfId="249" priority="180" stopIfTrue="1">
      <formula>IF(T31="-",FALSE,IF(T31&gt;$AO$2,TRUE,FALSE))</formula>
    </cfRule>
  </conditionalFormatting>
  <conditionalFormatting sqref="T31">
    <cfRule type="expression" dxfId="248" priority="179" stopIfTrue="1">
      <formula>IF(T31="-",FALSE,IF(T31&gt;$AO$2,TRUE,FALSE))</formula>
    </cfRule>
  </conditionalFormatting>
  <conditionalFormatting sqref="T31">
    <cfRule type="expression" dxfId="247" priority="178" stopIfTrue="1">
      <formula>IF(T31="-",FALSE,IF(T31&gt;$AO$2,TRUE,FALSE))</formula>
    </cfRule>
  </conditionalFormatting>
  <conditionalFormatting sqref="T31">
    <cfRule type="expression" dxfId="246" priority="177" stopIfTrue="1">
      <formula>IF(T31="-",FALSE,IF(T31&gt;$AO$2,TRUE,FALSE))</formula>
    </cfRule>
  </conditionalFormatting>
  <conditionalFormatting sqref="T31">
    <cfRule type="expression" dxfId="245" priority="176" stopIfTrue="1">
      <formula>IF(T31="-",FALSE,IF(T31&gt;$AO$2,TRUE,FALSE))</formula>
    </cfRule>
  </conditionalFormatting>
  <conditionalFormatting sqref="T32:AE33">
    <cfRule type="expression" dxfId="244" priority="175" stopIfTrue="1">
      <formula>IF(T32="-",FALSE,IF(T32&gt;$AO$2,IF(S32&gt;$AO$2,FALSE,TRUE),FALSE))</formula>
    </cfRule>
  </conditionalFormatting>
  <conditionalFormatting sqref="T32:T33">
    <cfRule type="expression" dxfId="243" priority="174" stopIfTrue="1">
      <formula>IF(T32="-",FALSE,IF(T32&gt;$AO$2,TRUE,FALSE))</formula>
    </cfRule>
  </conditionalFormatting>
  <conditionalFormatting sqref="T32:T33">
    <cfRule type="expression" dxfId="242" priority="173" stopIfTrue="1">
      <formula>IF(T32="-",FALSE,IF(T32&gt;$AO$2,TRUE,FALSE))</formula>
    </cfRule>
  </conditionalFormatting>
  <conditionalFormatting sqref="T32:T33">
    <cfRule type="expression" dxfId="241" priority="172" stopIfTrue="1">
      <formula>IF(T32="-",FALSE,IF(T32&gt;$AO$2,TRUE,FALSE))</formula>
    </cfRule>
  </conditionalFormatting>
  <conditionalFormatting sqref="T32:T33">
    <cfRule type="expression" dxfId="240" priority="171" stopIfTrue="1">
      <formula>IF(T32="-",FALSE,IF(T32&gt;$AO$2,TRUE,FALSE))</formula>
    </cfRule>
  </conditionalFormatting>
  <conditionalFormatting sqref="T32:T33">
    <cfRule type="expression" dxfId="239" priority="170" stopIfTrue="1">
      <formula>IF(T32="-",FALSE,IF(T32&gt;$AO$2,TRUE,FALSE))</formula>
    </cfRule>
  </conditionalFormatting>
  <conditionalFormatting sqref="T32:T33">
    <cfRule type="expression" dxfId="238" priority="169" stopIfTrue="1">
      <formula>IF(T32="-",FALSE,IF(T32&gt;$AO$2,TRUE,FALSE))</formula>
    </cfRule>
  </conditionalFormatting>
  <conditionalFormatting sqref="T32:T33">
    <cfRule type="expression" dxfId="237" priority="168" stopIfTrue="1">
      <formula>IF(T32="-",FALSE,IF(T32&gt;$AO$2,TRUE,FALSE))</formula>
    </cfRule>
  </conditionalFormatting>
  <conditionalFormatting sqref="T32:T33">
    <cfRule type="expression" dxfId="236" priority="167" stopIfTrue="1">
      <formula>IF(T32="-",FALSE,IF(T32&gt;$AO$2,TRUE,FALSE))</formula>
    </cfRule>
  </conditionalFormatting>
  <conditionalFormatting sqref="T32:T33">
    <cfRule type="expression" dxfId="235" priority="166" stopIfTrue="1">
      <formula>IF(T32="-",FALSE,IF(T32&gt;$AO$2,TRUE,FALSE))</formula>
    </cfRule>
  </conditionalFormatting>
  <conditionalFormatting sqref="T32:T33">
    <cfRule type="expression" dxfId="234" priority="165" stopIfTrue="1">
      <formula>IF(T32="-",FALSE,IF(T32&gt;$AO$2,TRUE,FALSE))</formula>
    </cfRule>
  </conditionalFormatting>
  <conditionalFormatting sqref="T32:T33">
    <cfRule type="expression" dxfId="233" priority="164" stopIfTrue="1">
      <formula>IF(T32="-",FALSE,IF(T32&gt;$AO$2,TRUE,FALSE))</formula>
    </cfRule>
  </conditionalFormatting>
  <conditionalFormatting sqref="T32:T33">
    <cfRule type="expression" dxfId="232" priority="163" stopIfTrue="1">
      <formula>IF(T32="-",FALSE,IF(T32&gt;$AO$2,TRUE,FALSE))</formula>
    </cfRule>
  </conditionalFormatting>
  <conditionalFormatting sqref="T32:T33">
    <cfRule type="expression" dxfId="231" priority="162" stopIfTrue="1">
      <formula>IF(T32="-",FALSE,IF(T32&gt;$AO$2,TRUE,FALSE))</formula>
    </cfRule>
  </conditionalFormatting>
  <conditionalFormatting sqref="T32:T33">
    <cfRule type="expression" dxfId="230" priority="161" stopIfTrue="1">
      <formula>IF(T32="-",FALSE,IF(T32&gt;$AO$2,TRUE,FALSE))</formula>
    </cfRule>
  </conditionalFormatting>
  <conditionalFormatting sqref="T32:T33">
    <cfRule type="expression" dxfId="229" priority="160" stopIfTrue="1">
      <formula>IF(T32="-",FALSE,IF(T32&gt;$AO$2,TRUE,FALSE))</formula>
    </cfRule>
  </conditionalFormatting>
  <conditionalFormatting sqref="T32:T33">
    <cfRule type="expression" dxfId="228" priority="159" stopIfTrue="1">
      <formula>IF(T32="-",FALSE,IF(T32&gt;$AO$2,TRUE,FALSE))</formula>
    </cfRule>
  </conditionalFormatting>
  <conditionalFormatting sqref="T34:AE34">
    <cfRule type="expression" dxfId="227" priority="158" stopIfTrue="1">
      <formula>IF(T34="-",FALSE,IF(T34&gt;$AO$2,IF(S34&gt;$AO$2,FALSE,TRUE),FALSE))</formula>
    </cfRule>
  </conditionalFormatting>
  <conditionalFormatting sqref="T34">
    <cfRule type="expression" dxfId="226" priority="157" stopIfTrue="1">
      <formula>IF(T34="-",FALSE,IF(T34&gt;$AO$2,TRUE,FALSE))</formula>
    </cfRule>
  </conditionalFormatting>
  <conditionalFormatting sqref="T34">
    <cfRule type="expression" dxfId="225" priority="156" stopIfTrue="1">
      <formula>IF(T34="-",FALSE,IF(T34&gt;$AO$2,TRUE,FALSE))</formula>
    </cfRule>
  </conditionalFormatting>
  <conditionalFormatting sqref="T34">
    <cfRule type="expression" dxfId="224" priority="155" stopIfTrue="1">
      <formula>IF(T34="-",FALSE,IF(T34&gt;$AO$2,TRUE,FALSE))</formula>
    </cfRule>
  </conditionalFormatting>
  <conditionalFormatting sqref="T34">
    <cfRule type="expression" dxfId="223" priority="154" stopIfTrue="1">
      <formula>IF(T34="-",FALSE,IF(T34&gt;$AO$2,TRUE,FALSE))</formula>
    </cfRule>
  </conditionalFormatting>
  <conditionalFormatting sqref="T34">
    <cfRule type="expression" dxfId="222" priority="153" stopIfTrue="1">
      <formula>IF(T34="-",FALSE,IF(T34&gt;$AO$2,TRUE,FALSE))</formula>
    </cfRule>
  </conditionalFormatting>
  <conditionalFormatting sqref="T34">
    <cfRule type="expression" dxfId="221" priority="152" stopIfTrue="1">
      <formula>IF(T34="-",FALSE,IF(T34&gt;$AO$2,TRUE,FALSE))</formula>
    </cfRule>
  </conditionalFormatting>
  <conditionalFormatting sqref="T34">
    <cfRule type="expression" dxfId="220" priority="151" stopIfTrue="1">
      <formula>IF(T34="-",FALSE,IF(T34&gt;$AO$2,TRUE,FALSE))</formula>
    </cfRule>
  </conditionalFormatting>
  <conditionalFormatting sqref="T34">
    <cfRule type="expression" dxfId="219" priority="150" stopIfTrue="1">
      <formula>IF(T34="-",FALSE,IF(T34&gt;$AO$2,TRUE,FALSE))</formula>
    </cfRule>
  </conditionalFormatting>
  <conditionalFormatting sqref="T34">
    <cfRule type="expression" dxfId="218" priority="149" stopIfTrue="1">
      <formula>IF(T34="-",FALSE,IF(T34&gt;$AO$2,TRUE,FALSE))</formula>
    </cfRule>
  </conditionalFormatting>
  <conditionalFormatting sqref="T34">
    <cfRule type="expression" dxfId="217" priority="148" stopIfTrue="1">
      <formula>IF(T34="-",FALSE,IF(T34&gt;$AO$2,TRUE,FALSE))</formula>
    </cfRule>
  </conditionalFormatting>
  <conditionalFormatting sqref="T34">
    <cfRule type="expression" dxfId="216" priority="147" stopIfTrue="1">
      <formula>IF(T34="-",FALSE,IF(T34&gt;$AO$2,TRUE,FALSE))</formula>
    </cfRule>
  </conditionalFormatting>
  <conditionalFormatting sqref="T34">
    <cfRule type="expression" dxfId="215" priority="146" stopIfTrue="1">
      <formula>IF(T34="-",FALSE,IF(T34&gt;$AO$2,TRUE,FALSE))</formula>
    </cfRule>
  </conditionalFormatting>
  <conditionalFormatting sqref="T34">
    <cfRule type="expression" dxfId="214" priority="145" stopIfTrue="1">
      <formula>IF(T34="-",FALSE,IF(T34&gt;$AO$2,TRUE,FALSE))</formula>
    </cfRule>
  </conditionalFormatting>
  <conditionalFormatting sqref="T34">
    <cfRule type="expression" dxfId="213" priority="144" stopIfTrue="1">
      <formula>IF(T34="-",FALSE,IF(T34&gt;$AO$2,TRUE,FALSE))</formula>
    </cfRule>
  </conditionalFormatting>
  <conditionalFormatting sqref="T34">
    <cfRule type="expression" dxfId="212" priority="143" stopIfTrue="1">
      <formula>IF(T34="-",FALSE,IF(T34&gt;$AO$2,TRUE,FALSE))</formula>
    </cfRule>
  </conditionalFormatting>
  <conditionalFormatting sqref="T34">
    <cfRule type="expression" dxfId="211" priority="142" stopIfTrue="1">
      <formula>IF(T34="-",FALSE,IF(T34&gt;$AO$2,TRUE,FALSE))</formula>
    </cfRule>
  </conditionalFormatting>
  <conditionalFormatting sqref="T35:AE35">
    <cfRule type="expression" dxfId="210" priority="141" stopIfTrue="1">
      <formula>IF(T35="-",FALSE,IF(T35&gt;$AO$2,IF(S35&gt;$AO$2,FALSE,TRUE),FALSE))</formula>
    </cfRule>
  </conditionalFormatting>
  <conditionalFormatting sqref="T35">
    <cfRule type="expression" dxfId="209" priority="140" stopIfTrue="1">
      <formula>IF(T35="-",FALSE,IF(T35&gt;$AO$2,TRUE,FALSE))</formula>
    </cfRule>
  </conditionalFormatting>
  <conditionalFormatting sqref="T35">
    <cfRule type="expression" dxfId="208" priority="139" stopIfTrue="1">
      <formula>IF(T35="-",FALSE,IF(T35&gt;$AO$2,TRUE,FALSE))</formula>
    </cfRule>
  </conditionalFormatting>
  <conditionalFormatting sqref="T35">
    <cfRule type="expression" dxfId="207" priority="138" stopIfTrue="1">
      <formula>IF(T35="-",FALSE,IF(T35&gt;$AO$2,TRUE,FALSE))</formula>
    </cfRule>
  </conditionalFormatting>
  <conditionalFormatting sqref="T35">
    <cfRule type="expression" dxfId="206" priority="137" stopIfTrue="1">
      <formula>IF(T35="-",FALSE,IF(T35&gt;$AO$2,TRUE,FALSE))</formula>
    </cfRule>
  </conditionalFormatting>
  <conditionalFormatting sqref="T35">
    <cfRule type="expression" dxfId="205" priority="136" stopIfTrue="1">
      <formula>IF(T35="-",FALSE,IF(T35&gt;$AO$2,TRUE,FALSE))</formula>
    </cfRule>
  </conditionalFormatting>
  <conditionalFormatting sqref="T35">
    <cfRule type="expression" dxfId="204" priority="135" stopIfTrue="1">
      <formula>IF(T35="-",FALSE,IF(T35&gt;$AO$2,TRUE,FALSE))</formula>
    </cfRule>
  </conditionalFormatting>
  <conditionalFormatting sqref="T35">
    <cfRule type="expression" dxfId="203" priority="134" stopIfTrue="1">
      <formula>IF(T35="-",FALSE,IF(T35&gt;$AO$2,TRUE,FALSE))</formula>
    </cfRule>
  </conditionalFormatting>
  <conditionalFormatting sqref="T35">
    <cfRule type="expression" dxfId="202" priority="133" stopIfTrue="1">
      <formula>IF(T35="-",FALSE,IF(T35&gt;$AO$2,TRUE,FALSE))</formula>
    </cfRule>
  </conditionalFormatting>
  <conditionalFormatting sqref="T35">
    <cfRule type="expression" dxfId="201" priority="132" stopIfTrue="1">
      <formula>IF(T35="-",FALSE,IF(T35&gt;$AO$2,TRUE,FALSE))</formula>
    </cfRule>
  </conditionalFormatting>
  <conditionalFormatting sqref="T35">
    <cfRule type="expression" dxfId="200" priority="131" stopIfTrue="1">
      <formula>IF(T35="-",FALSE,IF(T35&gt;$AO$2,TRUE,FALSE))</formula>
    </cfRule>
  </conditionalFormatting>
  <conditionalFormatting sqref="T35">
    <cfRule type="expression" dxfId="199" priority="130" stopIfTrue="1">
      <formula>IF(T35="-",FALSE,IF(T35&gt;$AO$2,TRUE,FALSE))</formula>
    </cfRule>
  </conditionalFormatting>
  <conditionalFormatting sqref="T35">
    <cfRule type="expression" dxfId="198" priority="129" stopIfTrue="1">
      <formula>IF(T35="-",FALSE,IF(T35&gt;$AO$2,TRUE,FALSE))</formula>
    </cfRule>
  </conditionalFormatting>
  <conditionalFormatting sqref="T35">
    <cfRule type="expression" dxfId="197" priority="128" stopIfTrue="1">
      <formula>IF(T35="-",FALSE,IF(T35&gt;$AO$2,TRUE,FALSE))</formula>
    </cfRule>
  </conditionalFormatting>
  <conditionalFormatting sqref="T35">
    <cfRule type="expression" dxfId="196" priority="127" stopIfTrue="1">
      <formula>IF(T35="-",FALSE,IF(T35&gt;$AO$2,TRUE,FALSE))</formula>
    </cfRule>
  </conditionalFormatting>
  <conditionalFormatting sqref="T35">
    <cfRule type="expression" dxfId="195" priority="126" stopIfTrue="1">
      <formula>IF(T35="-",FALSE,IF(T35&gt;$AO$2,TRUE,FALSE))</formula>
    </cfRule>
  </conditionalFormatting>
  <conditionalFormatting sqref="T35">
    <cfRule type="expression" dxfId="194" priority="125" stopIfTrue="1">
      <formula>IF(T35="-",FALSE,IF(T35&gt;$AO$2,TRUE,FALSE))</formula>
    </cfRule>
  </conditionalFormatting>
  <conditionalFormatting sqref="T36:AE36">
    <cfRule type="expression" dxfId="193" priority="124" stopIfTrue="1">
      <formula>IF(T36="-",FALSE,IF(T36&gt;$AO$2,IF(S36&gt;$AO$2,FALSE,TRUE),FALSE))</formula>
    </cfRule>
  </conditionalFormatting>
  <conditionalFormatting sqref="T36">
    <cfRule type="expression" dxfId="192" priority="123" stopIfTrue="1">
      <formula>IF(T36="-",FALSE,IF(T36&gt;$AO$2,TRUE,FALSE))</formula>
    </cfRule>
  </conditionalFormatting>
  <conditionalFormatting sqref="T36">
    <cfRule type="expression" dxfId="191" priority="122" stopIfTrue="1">
      <formula>IF(T36="-",FALSE,IF(T36&gt;$AO$2,TRUE,FALSE))</formula>
    </cfRule>
  </conditionalFormatting>
  <conditionalFormatting sqref="T36">
    <cfRule type="expression" dxfId="190" priority="121" stopIfTrue="1">
      <formula>IF(T36="-",FALSE,IF(T36&gt;$AO$2,TRUE,FALSE))</formula>
    </cfRule>
  </conditionalFormatting>
  <conditionalFormatting sqref="T36">
    <cfRule type="expression" dxfId="189" priority="120" stopIfTrue="1">
      <formula>IF(T36="-",FALSE,IF(T36&gt;$AO$2,TRUE,FALSE))</formula>
    </cfRule>
  </conditionalFormatting>
  <conditionalFormatting sqref="T36">
    <cfRule type="expression" dxfId="188" priority="119" stopIfTrue="1">
      <formula>IF(T36="-",FALSE,IF(T36&gt;$AO$2,TRUE,FALSE))</formula>
    </cfRule>
  </conditionalFormatting>
  <conditionalFormatting sqref="T36">
    <cfRule type="expression" dxfId="187" priority="118" stopIfTrue="1">
      <formula>IF(T36="-",FALSE,IF(T36&gt;$AO$2,TRUE,FALSE))</formula>
    </cfRule>
  </conditionalFormatting>
  <conditionalFormatting sqref="T36">
    <cfRule type="expression" dxfId="186" priority="117" stopIfTrue="1">
      <formula>IF(T36="-",FALSE,IF(T36&gt;$AO$2,TRUE,FALSE))</formula>
    </cfRule>
  </conditionalFormatting>
  <conditionalFormatting sqref="T36">
    <cfRule type="expression" dxfId="185" priority="116" stopIfTrue="1">
      <formula>IF(T36="-",FALSE,IF(T36&gt;$AO$2,TRUE,FALSE))</formula>
    </cfRule>
  </conditionalFormatting>
  <conditionalFormatting sqref="T36">
    <cfRule type="expression" dxfId="184" priority="115" stopIfTrue="1">
      <formula>IF(T36="-",FALSE,IF(T36&gt;$AO$2,TRUE,FALSE))</formula>
    </cfRule>
  </conditionalFormatting>
  <conditionalFormatting sqref="T36">
    <cfRule type="expression" dxfId="183" priority="114" stopIfTrue="1">
      <formula>IF(T36="-",FALSE,IF(T36&gt;$AO$2,TRUE,FALSE))</formula>
    </cfRule>
  </conditionalFormatting>
  <conditionalFormatting sqref="T36">
    <cfRule type="expression" dxfId="182" priority="113" stopIfTrue="1">
      <formula>IF(T36="-",FALSE,IF(T36&gt;$AO$2,TRUE,FALSE))</formula>
    </cfRule>
  </conditionalFormatting>
  <conditionalFormatting sqref="T36">
    <cfRule type="expression" dxfId="181" priority="112" stopIfTrue="1">
      <formula>IF(T36="-",FALSE,IF(T36&gt;$AO$2,TRUE,FALSE))</formula>
    </cfRule>
  </conditionalFormatting>
  <conditionalFormatting sqref="T36">
    <cfRule type="expression" dxfId="180" priority="111" stopIfTrue="1">
      <formula>IF(T36="-",FALSE,IF(T36&gt;$AO$2,TRUE,FALSE))</formula>
    </cfRule>
  </conditionalFormatting>
  <conditionalFormatting sqref="T36">
    <cfRule type="expression" dxfId="179" priority="110" stopIfTrue="1">
      <formula>IF(T36="-",FALSE,IF(T36&gt;$AO$2,TRUE,FALSE))</formula>
    </cfRule>
  </conditionalFormatting>
  <conditionalFormatting sqref="T36">
    <cfRule type="expression" dxfId="178" priority="109" stopIfTrue="1">
      <formula>IF(T36="-",FALSE,IF(T36&gt;$AO$2,TRUE,FALSE))</formula>
    </cfRule>
  </conditionalFormatting>
  <conditionalFormatting sqref="T36">
    <cfRule type="expression" dxfId="177" priority="108" stopIfTrue="1">
      <formula>IF(T36="-",FALSE,IF(T36&gt;$AO$2,TRUE,FALSE))</formula>
    </cfRule>
  </conditionalFormatting>
  <conditionalFormatting sqref="T37:AE37">
    <cfRule type="expression" dxfId="176" priority="107" stopIfTrue="1">
      <formula>IF(T37="-",FALSE,IF(T37&gt;$AO$2,IF(S37&gt;$AO$2,FALSE,TRUE),FALSE))</formula>
    </cfRule>
  </conditionalFormatting>
  <conditionalFormatting sqref="T37">
    <cfRule type="expression" dxfId="175" priority="106" stopIfTrue="1">
      <formula>IF(T37="-",FALSE,IF(T37&gt;$AO$2,TRUE,FALSE))</formula>
    </cfRule>
  </conditionalFormatting>
  <conditionalFormatting sqref="T37">
    <cfRule type="expression" dxfId="174" priority="105" stopIfTrue="1">
      <formula>IF(T37="-",FALSE,IF(T37&gt;$AO$2,TRUE,FALSE))</formula>
    </cfRule>
  </conditionalFormatting>
  <conditionalFormatting sqref="T37">
    <cfRule type="expression" dxfId="173" priority="104" stopIfTrue="1">
      <formula>IF(T37="-",FALSE,IF(T37&gt;$AO$2,TRUE,FALSE))</formula>
    </cfRule>
  </conditionalFormatting>
  <conditionalFormatting sqref="T37">
    <cfRule type="expression" dxfId="172" priority="103" stopIfTrue="1">
      <formula>IF(T37="-",FALSE,IF(T37&gt;$AO$2,TRUE,FALSE))</formula>
    </cfRule>
  </conditionalFormatting>
  <conditionalFormatting sqref="T37">
    <cfRule type="expression" dxfId="171" priority="102" stopIfTrue="1">
      <formula>IF(T37="-",FALSE,IF(T37&gt;$AO$2,TRUE,FALSE))</formula>
    </cfRule>
  </conditionalFormatting>
  <conditionalFormatting sqref="T37">
    <cfRule type="expression" dxfId="170" priority="101" stopIfTrue="1">
      <formula>IF(T37="-",FALSE,IF(T37&gt;$AO$2,TRUE,FALSE))</formula>
    </cfRule>
  </conditionalFormatting>
  <conditionalFormatting sqref="T37">
    <cfRule type="expression" dxfId="169" priority="100" stopIfTrue="1">
      <formula>IF(T37="-",FALSE,IF(T37&gt;$AO$2,TRUE,FALSE))</formula>
    </cfRule>
  </conditionalFormatting>
  <conditionalFormatting sqref="T37">
    <cfRule type="expression" dxfId="168" priority="99" stopIfTrue="1">
      <formula>IF(T37="-",FALSE,IF(T37&gt;$AO$2,TRUE,FALSE))</formula>
    </cfRule>
  </conditionalFormatting>
  <conditionalFormatting sqref="T37">
    <cfRule type="expression" dxfId="167" priority="98" stopIfTrue="1">
      <formula>IF(T37="-",FALSE,IF(T37&gt;$AO$2,TRUE,FALSE))</formula>
    </cfRule>
  </conditionalFormatting>
  <conditionalFormatting sqref="T37">
    <cfRule type="expression" dxfId="166" priority="97" stopIfTrue="1">
      <formula>IF(T37="-",FALSE,IF(T37&gt;$AO$2,TRUE,FALSE))</formula>
    </cfRule>
  </conditionalFormatting>
  <conditionalFormatting sqref="T37">
    <cfRule type="expression" dxfId="165" priority="96" stopIfTrue="1">
      <formula>IF(T37="-",FALSE,IF(T37&gt;$AO$2,TRUE,FALSE))</formula>
    </cfRule>
  </conditionalFormatting>
  <conditionalFormatting sqref="T37">
    <cfRule type="expression" dxfId="164" priority="95" stopIfTrue="1">
      <formula>IF(T37="-",FALSE,IF(T37&gt;$AO$2,TRUE,FALSE))</formula>
    </cfRule>
  </conditionalFormatting>
  <conditionalFormatting sqref="T37">
    <cfRule type="expression" dxfId="163" priority="94" stopIfTrue="1">
      <formula>IF(T37="-",FALSE,IF(T37&gt;$AO$2,TRUE,FALSE))</formula>
    </cfRule>
  </conditionalFormatting>
  <conditionalFormatting sqref="T37">
    <cfRule type="expression" dxfId="162" priority="93" stopIfTrue="1">
      <formula>IF(T37="-",FALSE,IF(T37&gt;$AO$2,TRUE,FALSE))</formula>
    </cfRule>
  </conditionalFormatting>
  <conditionalFormatting sqref="T37">
    <cfRule type="expression" dxfId="161" priority="92" stopIfTrue="1">
      <formula>IF(T37="-",FALSE,IF(T37&gt;$AO$2,TRUE,FALSE))</formula>
    </cfRule>
  </conditionalFormatting>
  <conditionalFormatting sqref="T37">
    <cfRule type="expression" dxfId="160" priority="91" stopIfTrue="1">
      <formula>IF(T37="-",FALSE,IF(T37&gt;$AO$2,TRUE,FALSE))</formula>
    </cfRule>
  </conditionalFormatting>
  <conditionalFormatting sqref="T38:AE38">
    <cfRule type="expression" dxfId="159" priority="90" stopIfTrue="1">
      <formula>IF(T38="-",FALSE,IF(T38&gt;$AO$2,IF(S38&gt;$AO$2,FALSE,TRUE),FALSE))</formula>
    </cfRule>
  </conditionalFormatting>
  <conditionalFormatting sqref="T38">
    <cfRule type="expression" dxfId="158" priority="89" stopIfTrue="1">
      <formula>IF(T38="-",FALSE,IF(T38&gt;$AO$2,TRUE,FALSE))</formula>
    </cfRule>
  </conditionalFormatting>
  <conditionalFormatting sqref="T38">
    <cfRule type="expression" dxfId="157" priority="88" stopIfTrue="1">
      <formula>IF(T38="-",FALSE,IF(T38&gt;$AO$2,TRUE,FALSE))</formula>
    </cfRule>
  </conditionalFormatting>
  <conditionalFormatting sqref="T38">
    <cfRule type="expression" dxfId="156" priority="87" stopIfTrue="1">
      <formula>IF(T38="-",FALSE,IF(T38&gt;$AO$2,TRUE,FALSE))</formula>
    </cfRule>
  </conditionalFormatting>
  <conditionalFormatting sqref="T38">
    <cfRule type="expression" dxfId="155" priority="86" stopIfTrue="1">
      <formula>IF(T38="-",FALSE,IF(T38&gt;$AO$2,TRUE,FALSE))</formula>
    </cfRule>
  </conditionalFormatting>
  <conditionalFormatting sqref="T38">
    <cfRule type="expression" dxfId="154" priority="85" stopIfTrue="1">
      <formula>IF(T38="-",FALSE,IF(T38&gt;$AO$2,TRUE,FALSE))</formula>
    </cfRule>
  </conditionalFormatting>
  <conditionalFormatting sqref="T38">
    <cfRule type="expression" dxfId="153" priority="84" stopIfTrue="1">
      <formula>IF(T38="-",FALSE,IF(T38&gt;$AO$2,TRUE,FALSE))</formula>
    </cfRule>
  </conditionalFormatting>
  <conditionalFormatting sqref="T38">
    <cfRule type="expression" dxfId="152" priority="83" stopIfTrue="1">
      <formula>IF(T38="-",FALSE,IF(T38&gt;$AO$2,TRUE,FALSE))</formula>
    </cfRule>
  </conditionalFormatting>
  <conditionalFormatting sqref="T38">
    <cfRule type="expression" dxfId="151" priority="82" stopIfTrue="1">
      <formula>IF(T38="-",FALSE,IF(T38&gt;$AO$2,TRUE,FALSE))</formula>
    </cfRule>
  </conditionalFormatting>
  <conditionalFormatting sqref="T38">
    <cfRule type="expression" dxfId="150" priority="81" stopIfTrue="1">
      <formula>IF(T38="-",FALSE,IF(T38&gt;$AO$2,TRUE,FALSE))</formula>
    </cfRule>
  </conditionalFormatting>
  <conditionalFormatting sqref="T38">
    <cfRule type="expression" dxfId="149" priority="80" stopIfTrue="1">
      <formula>IF(T38="-",FALSE,IF(T38&gt;$AO$2,TRUE,FALSE))</formula>
    </cfRule>
  </conditionalFormatting>
  <conditionalFormatting sqref="T38">
    <cfRule type="expression" dxfId="148" priority="79" stopIfTrue="1">
      <formula>IF(T38="-",FALSE,IF(T38&gt;$AO$2,TRUE,FALSE))</formula>
    </cfRule>
  </conditionalFormatting>
  <conditionalFormatting sqref="T38">
    <cfRule type="expression" dxfId="147" priority="78" stopIfTrue="1">
      <formula>IF(T38="-",FALSE,IF(T38&gt;$AO$2,TRUE,FALSE))</formula>
    </cfRule>
  </conditionalFormatting>
  <conditionalFormatting sqref="T38">
    <cfRule type="expression" dxfId="146" priority="77" stopIfTrue="1">
      <formula>IF(T38="-",FALSE,IF(T38&gt;$AO$2,TRUE,FALSE))</formula>
    </cfRule>
  </conditionalFormatting>
  <conditionalFormatting sqref="T38">
    <cfRule type="expression" dxfId="145" priority="76" stopIfTrue="1">
      <formula>IF(T38="-",FALSE,IF(T38&gt;$AO$2,TRUE,FALSE))</formula>
    </cfRule>
  </conditionalFormatting>
  <conditionalFormatting sqref="T38">
    <cfRule type="expression" dxfId="144" priority="75" stopIfTrue="1">
      <formula>IF(T38="-",FALSE,IF(T38&gt;$AO$2,TRUE,FALSE))</formula>
    </cfRule>
  </conditionalFormatting>
  <conditionalFormatting sqref="T38">
    <cfRule type="expression" dxfId="143" priority="74" stopIfTrue="1">
      <formula>IF(T38="-",FALSE,IF(T38&gt;$AO$2,TRUE,FALSE))</formula>
    </cfRule>
  </conditionalFormatting>
  <conditionalFormatting sqref="T39">
    <cfRule type="expression" dxfId="142" priority="70" stopIfTrue="1">
      <formula>IF(T39="-",FALSE,IF(T39&gt;$AO$2,TRUE,FALSE))</formula>
    </cfRule>
  </conditionalFormatting>
  <conditionalFormatting sqref="T39">
    <cfRule type="expression" dxfId="141" priority="69" stopIfTrue="1">
      <formula>IF(T39="-",FALSE,IF(T39&gt;$AO$2,TRUE,FALSE))</formula>
    </cfRule>
  </conditionalFormatting>
  <conditionalFormatting sqref="T39">
    <cfRule type="expression" dxfId="140" priority="68" stopIfTrue="1">
      <formula>IF(T39="-",FALSE,IF(T39&gt;$AO$2,TRUE,FALSE))</formula>
    </cfRule>
  </conditionalFormatting>
  <conditionalFormatting sqref="T39">
    <cfRule type="expression" dxfId="139" priority="67" stopIfTrue="1">
      <formula>IF(T39="-",FALSE,IF(T39&gt;$AO$2,TRUE,FALSE))</formula>
    </cfRule>
  </conditionalFormatting>
  <conditionalFormatting sqref="T39">
    <cfRule type="expression" dxfId="138" priority="66" stopIfTrue="1">
      <formula>IF(T39="-",FALSE,IF(T39&gt;$AO$2,TRUE,FALSE))</formula>
    </cfRule>
  </conditionalFormatting>
  <conditionalFormatting sqref="T39">
    <cfRule type="expression" dxfId="137" priority="65" stopIfTrue="1">
      <formula>IF(T39="-",FALSE,IF(T39&gt;$AO$2,TRUE,FALSE))</formula>
    </cfRule>
  </conditionalFormatting>
  <conditionalFormatting sqref="T39">
    <cfRule type="expression" dxfId="136" priority="64" stopIfTrue="1">
      <formula>IF(T39="-",FALSE,IF(T39&gt;$AO$2,TRUE,FALSE))</formula>
    </cfRule>
  </conditionalFormatting>
  <conditionalFormatting sqref="T39">
    <cfRule type="expression" dxfId="135" priority="63" stopIfTrue="1">
      <formula>IF(T39="-",FALSE,IF(T39&gt;$AO$2,TRUE,FALSE))</formula>
    </cfRule>
  </conditionalFormatting>
  <conditionalFormatting sqref="T39">
    <cfRule type="expression" dxfId="134" priority="62" stopIfTrue="1">
      <formula>IF(T39="-",FALSE,IF(T39&gt;$AO$2,TRUE,FALSE))</formula>
    </cfRule>
  </conditionalFormatting>
  <conditionalFormatting sqref="T39">
    <cfRule type="expression" dxfId="133" priority="61" stopIfTrue="1">
      <formula>IF(T39="-",FALSE,IF(T39&gt;$AO$2,TRUE,FALSE))</formula>
    </cfRule>
  </conditionalFormatting>
  <conditionalFormatting sqref="T39">
    <cfRule type="expression" dxfId="132" priority="60" stopIfTrue="1">
      <formula>IF(T39="-",FALSE,IF(T39&gt;$AO$2,TRUE,FALSE))</formula>
    </cfRule>
  </conditionalFormatting>
  <conditionalFormatting sqref="T39">
    <cfRule type="expression" dxfId="131" priority="59" stopIfTrue="1">
      <formula>IF(T39="-",FALSE,IF(T39&gt;$AO$2,TRUE,FALSE))</formula>
    </cfRule>
  </conditionalFormatting>
  <conditionalFormatting sqref="T39">
    <cfRule type="expression" dxfId="130" priority="58" stopIfTrue="1">
      <formula>IF(T39="-",FALSE,IF(T39&gt;$AO$2,TRUE,FALSE))</formula>
    </cfRule>
  </conditionalFormatting>
  <conditionalFormatting sqref="T39">
    <cfRule type="expression" dxfId="129" priority="57" stopIfTrue="1">
      <formula>IF(T39="-",FALSE,IF(T39&gt;$AO$2,TRUE,FALSE))</formula>
    </cfRule>
  </conditionalFormatting>
  <conditionalFormatting sqref="T39">
    <cfRule type="expression" dxfId="128" priority="56" stopIfTrue="1">
      <formula>IF(T39="-",FALSE,IF(T39&gt;$AO$2,TRUE,FALSE))</formula>
    </cfRule>
  </conditionalFormatting>
  <conditionalFormatting sqref="T39">
    <cfRule type="expression" dxfId="127" priority="55" stopIfTrue="1">
      <formula>IF(T39="-",FALSE,IF(T39&gt;$AO$2,TRUE,FALSE))</formula>
    </cfRule>
  </conditionalFormatting>
  <conditionalFormatting sqref="T51:AE51">
    <cfRule type="expression" dxfId="126" priority="555" stopIfTrue="1">
      <formula>IF(T51="-",FALSE,IF(T51&gt;$AO$2,IF(S40&gt;$AO$2,FALSE,TRUE),FALSE))</formula>
    </cfRule>
  </conditionalFormatting>
  <conditionalFormatting sqref="T52:AE52">
    <cfRule type="expression" dxfId="125" priority="557" stopIfTrue="1">
      <formula>IF(T52="-",FALSE,IF(T52&gt;$AO$2,IF(S43&gt;$AO$2,FALSE,TRUE),FALSE))</formula>
    </cfRule>
  </conditionalFormatting>
  <conditionalFormatting sqref="T40:AE40">
    <cfRule type="expression" dxfId="124" priority="54" stopIfTrue="1">
      <formula>IF(T40="-",FALSE,IF(T40&gt;$AO$2,IF(S40&gt;$AO$2,FALSE,TRUE),FALSE))</formula>
    </cfRule>
  </conditionalFormatting>
  <conditionalFormatting sqref="T40">
    <cfRule type="expression" dxfId="123" priority="53" stopIfTrue="1">
      <formula>IF(T40="-",FALSE,IF(T40&gt;$AO$2,TRUE,FALSE))</formula>
    </cfRule>
  </conditionalFormatting>
  <conditionalFormatting sqref="T40">
    <cfRule type="expression" dxfId="122" priority="52" stopIfTrue="1">
      <formula>IF(T40="-",FALSE,IF(T40&gt;$AO$2,TRUE,FALSE))</formula>
    </cfRule>
  </conditionalFormatting>
  <conditionalFormatting sqref="T40">
    <cfRule type="expression" dxfId="121" priority="51" stopIfTrue="1">
      <formula>IF(T40="-",FALSE,IF(T40&gt;$AO$2,TRUE,FALSE))</formula>
    </cfRule>
  </conditionalFormatting>
  <conditionalFormatting sqref="T40">
    <cfRule type="expression" dxfId="120" priority="50" stopIfTrue="1">
      <formula>IF(T40="-",FALSE,IF(T40&gt;$AO$2,TRUE,FALSE))</formula>
    </cfRule>
  </conditionalFormatting>
  <conditionalFormatting sqref="T40">
    <cfRule type="expression" dxfId="119" priority="49" stopIfTrue="1">
      <formula>IF(T40="-",FALSE,IF(T40&gt;$AO$2,TRUE,FALSE))</formula>
    </cfRule>
  </conditionalFormatting>
  <conditionalFormatting sqref="T40">
    <cfRule type="expression" dxfId="118" priority="48" stopIfTrue="1">
      <formula>IF(T40="-",FALSE,IF(T40&gt;$AO$2,TRUE,FALSE))</formula>
    </cfRule>
  </conditionalFormatting>
  <conditionalFormatting sqref="T40">
    <cfRule type="expression" dxfId="117" priority="47" stopIfTrue="1">
      <formula>IF(T40="-",FALSE,IF(T40&gt;$AO$2,TRUE,FALSE))</formula>
    </cfRule>
  </conditionalFormatting>
  <conditionalFormatting sqref="T40">
    <cfRule type="expression" dxfId="116" priority="46" stopIfTrue="1">
      <formula>IF(T40="-",FALSE,IF(T40&gt;$AO$2,TRUE,FALSE))</formula>
    </cfRule>
  </conditionalFormatting>
  <conditionalFormatting sqref="T40">
    <cfRule type="expression" dxfId="115" priority="45" stopIfTrue="1">
      <formula>IF(T40="-",FALSE,IF(T40&gt;$AO$2,TRUE,FALSE))</formula>
    </cfRule>
  </conditionalFormatting>
  <conditionalFormatting sqref="T40">
    <cfRule type="expression" dxfId="114" priority="44" stopIfTrue="1">
      <formula>IF(T40="-",FALSE,IF(T40&gt;$AO$2,TRUE,FALSE))</formula>
    </cfRule>
  </conditionalFormatting>
  <conditionalFormatting sqref="T40">
    <cfRule type="expression" dxfId="113" priority="43" stopIfTrue="1">
      <formula>IF(T40="-",FALSE,IF(T40&gt;$AO$2,TRUE,FALSE))</formula>
    </cfRule>
  </conditionalFormatting>
  <conditionalFormatting sqref="T40">
    <cfRule type="expression" dxfId="112" priority="42" stopIfTrue="1">
      <formula>IF(T40="-",FALSE,IF(T40&gt;$AO$2,TRUE,FALSE))</formula>
    </cfRule>
  </conditionalFormatting>
  <conditionalFormatting sqref="T40">
    <cfRule type="expression" dxfId="111" priority="41" stopIfTrue="1">
      <formula>IF(T40="-",FALSE,IF(T40&gt;$AO$2,TRUE,FALSE))</formula>
    </cfRule>
  </conditionalFormatting>
  <conditionalFormatting sqref="T40">
    <cfRule type="expression" dxfId="110" priority="40" stopIfTrue="1">
      <formula>IF(T40="-",FALSE,IF(T40&gt;$AO$2,TRUE,FALSE))</formula>
    </cfRule>
  </conditionalFormatting>
  <conditionalFormatting sqref="T40">
    <cfRule type="expression" dxfId="109" priority="39" stopIfTrue="1">
      <formula>IF(T40="-",FALSE,IF(T40&gt;$AO$2,TRUE,FALSE))</formula>
    </cfRule>
  </conditionalFormatting>
  <conditionalFormatting sqref="T40">
    <cfRule type="expression" dxfId="108" priority="38" stopIfTrue="1">
      <formula>IF(T40="-",FALSE,IF(T40&gt;$AO$2,TRUE,FALSE))</formula>
    </cfRule>
  </conditionalFormatting>
  <conditionalFormatting sqref="T41:AE41">
    <cfRule type="expression" dxfId="107" priority="37" stopIfTrue="1">
      <formula>IF(T41="-",FALSE,IF(T41&gt;$AO$2,IF(S41&gt;$AO$2,FALSE,TRUE),FALSE))</formula>
    </cfRule>
  </conditionalFormatting>
  <conditionalFormatting sqref="T41">
    <cfRule type="expression" dxfId="106" priority="36" stopIfTrue="1">
      <formula>IF(T41="-",FALSE,IF(T41&gt;$AO$2,TRUE,FALSE))</formula>
    </cfRule>
  </conditionalFormatting>
  <conditionalFormatting sqref="T41">
    <cfRule type="expression" dxfId="105" priority="35" stopIfTrue="1">
      <formula>IF(T41="-",FALSE,IF(T41&gt;$AO$2,TRUE,FALSE))</formula>
    </cfRule>
  </conditionalFormatting>
  <conditionalFormatting sqref="T41">
    <cfRule type="expression" dxfId="104" priority="34" stopIfTrue="1">
      <formula>IF(T41="-",FALSE,IF(T41&gt;$AO$2,TRUE,FALSE))</formula>
    </cfRule>
  </conditionalFormatting>
  <conditionalFormatting sqref="T41">
    <cfRule type="expression" dxfId="103" priority="33" stopIfTrue="1">
      <formula>IF(T41="-",FALSE,IF(T41&gt;$AO$2,TRUE,FALSE))</formula>
    </cfRule>
  </conditionalFormatting>
  <conditionalFormatting sqref="T41">
    <cfRule type="expression" dxfId="102" priority="32" stopIfTrue="1">
      <formula>IF(T41="-",FALSE,IF(T41&gt;$AO$2,TRUE,FALSE))</formula>
    </cfRule>
  </conditionalFormatting>
  <conditionalFormatting sqref="T41">
    <cfRule type="expression" dxfId="101" priority="31" stopIfTrue="1">
      <formula>IF(T41="-",FALSE,IF(T41&gt;$AO$2,TRUE,FALSE))</formula>
    </cfRule>
  </conditionalFormatting>
  <conditionalFormatting sqref="T41">
    <cfRule type="expression" dxfId="100" priority="30" stopIfTrue="1">
      <formula>IF(T41="-",FALSE,IF(T41&gt;$AO$2,TRUE,FALSE))</formula>
    </cfRule>
  </conditionalFormatting>
  <conditionalFormatting sqref="T41">
    <cfRule type="expression" dxfId="99" priority="29" stopIfTrue="1">
      <formula>IF(T41="-",FALSE,IF(T41&gt;$AO$2,TRUE,FALSE))</formula>
    </cfRule>
  </conditionalFormatting>
  <conditionalFormatting sqref="T41">
    <cfRule type="expression" dxfId="98" priority="28" stopIfTrue="1">
      <formula>IF(T41="-",FALSE,IF(T41&gt;$AO$2,TRUE,FALSE))</formula>
    </cfRule>
  </conditionalFormatting>
  <conditionalFormatting sqref="T41">
    <cfRule type="expression" dxfId="97" priority="27" stopIfTrue="1">
      <formula>IF(T41="-",FALSE,IF(T41&gt;$AO$2,TRUE,FALSE))</formula>
    </cfRule>
  </conditionalFormatting>
  <conditionalFormatting sqref="T41">
    <cfRule type="expression" dxfId="96" priority="26" stopIfTrue="1">
      <formula>IF(T41="-",FALSE,IF(T41&gt;$AO$2,TRUE,FALSE))</formula>
    </cfRule>
  </conditionalFormatting>
  <conditionalFormatting sqref="T41">
    <cfRule type="expression" dxfId="95" priority="25" stopIfTrue="1">
      <formula>IF(T41="-",FALSE,IF(T41&gt;$AO$2,TRUE,FALSE))</formula>
    </cfRule>
  </conditionalFormatting>
  <conditionalFormatting sqref="T41">
    <cfRule type="expression" dxfId="94" priority="24" stopIfTrue="1">
      <formula>IF(T41="-",FALSE,IF(T41&gt;$AO$2,TRUE,FALSE))</formula>
    </cfRule>
  </conditionalFormatting>
  <conditionalFormatting sqref="T41">
    <cfRule type="expression" dxfId="93" priority="23" stopIfTrue="1">
      <formula>IF(T41="-",FALSE,IF(T41&gt;$AO$2,TRUE,FALSE))</formula>
    </cfRule>
  </conditionalFormatting>
  <conditionalFormatting sqref="T41">
    <cfRule type="expression" dxfId="92" priority="22" stopIfTrue="1">
      <formula>IF(T41="-",FALSE,IF(T41&gt;$AO$2,TRUE,FALSE))</formula>
    </cfRule>
  </conditionalFormatting>
  <conditionalFormatting sqref="T41">
    <cfRule type="expression" dxfId="91" priority="21" stopIfTrue="1">
      <formula>IF(T41="-",FALSE,IF(T41&gt;$AO$2,TRUE,FALSE))</formula>
    </cfRule>
  </conditionalFormatting>
  <conditionalFormatting sqref="T42:AE42">
    <cfRule type="expression" dxfId="90" priority="20" stopIfTrue="1">
      <formula>IF(T42="-",FALSE,IF(T42&gt;$AO$2,IF(S42&gt;$AO$2,FALSE,TRUE),FALSE))</formula>
    </cfRule>
  </conditionalFormatting>
  <conditionalFormatting sqref="T42:T45">
    <cfRule type="expression" dxfId="89" priority="19" stopIfTrue="1">
      <formula>IF(T42="-",FALSE,IF(T42&gt;$AO$2,TRUE,FALSE))</formula>
    </cfRule>
  </conditionalFormatting>
  <conditionalFormatting sqref="T42:T45">
    <cfRule type="expression" dxfId="88" priority="18" stopIfTrue="1">
      <formula>IF(T42="-",FALSE,IF(T42&gt;$AO$2,TRUE,FALSE))</formula>
    </cfRule>
  </conditionalFormatting>
  <conditionalFormatting sqref="T42:T45">
    <cfRule type="expression" dxfId="87" priority="17" stopIfTrue="1">
      <formula>IF(T42="-",FALSE,IF(T42&gt;$AO$2,TRUE,FALSE))</formula>
    </cfRule>
  </conditionalFormatting>
  <conditionalFormatting sqref="T42:T45">
    <cfRule type="expression" dxfId="86" priority="16" stopIfTrue="1">
      <formula>IF(T42="-",FALSE,IF(T42&gt;$AO$2,TRUE,FALSE))</formula>
    </cfRule>
  </conditionalFormatting>
  <conditionalFormatting sqref="T42:T45">
    <cfRule type="expression" dxfId="85" priority="15" stopIfTrue="1">
      <formula>IF(T42="-",FALSE,IF(T42&gt;$AO$2,TRUE,FALSE))</formula>
    </cfRule>
  </conditionalFormatting>
  <conditionalFormatting sqref="T42:T45">
    <cfRule type="expression" dxfId="84" priority="14" stopIfTrue="1">
      <formula>IF(T42="-",FALSE,IF(T42&gt;$AO$2,TRUE,FALSE))</formula>
    </cfRule>
  </conditionalFormatting>
  <conditionalFormatting sqref="T42:T45">
    <cfRule type="expression" dxfId="83" priority="13" stopIfTrue="1">
      <formula>IF(T42="-",FALSE,IF(T42&gt;$AO$2,TRUE,FALSE))</formula>
    </cfRule>
  </conditionalFormatting>
  <conditionalFormatting sqref="T42:T45">
    <cfRule type="expression" dxfId="82" priority="12" stopIfTrue="1">
      <formula>IF(T42="-",FALSE,IF(T42&gt;$AO$2,TRUE,FALSE))</formula>
    </cfRule>
  </conditionalFormatting>
  <conditionalFormatting sqref="T42:T45">
    <cfRule type="expression" dxfId="81" priority="11" stopIfTrue="1">
      <formula>IF(T42="-",FALSE,IF(T42&gt;$AO$2,TRUE,FALSE))</formula>
    </cfRule>
  </conditionalFormatting>
  <conditionalFormatting sqref="T42:T45">
    <cfRule type="expression" dxfId="80" priority="10" stopIfTrue="1">
      <formula>IF(T42="-",FALSE,IF(T42&gt;$AO$2,TRUE,FALSE))</formula>
    </cfRule>
  </conditionalFormatting>
  <conditionalFormatting sqref="T42:T45">
    <cfRule type="expression" dxfId="79" priority="9" stopIfTrue="1">
      <formula>IF(T42="-",FALSE,IF(T42&gt;$AO$2,TRUE,FALSE))</formula>
    </cfRule>
  </conditionalFormatting>
  <conditionalFormatting sqref="T42:T45">
    <cfRule type="expression" dxfId="78" priority="8" stopIfTrue="1">
      <formula>IF(T42="-",FALSE,IF(T42&gt;$AO$2,TRUE,FALSE))</formula>
    </cfRule>
  </conditionalFormatting>
  <conditionalFormatting sqref="T42:T45">
    <cfRule type="expression" dxfId="77" priority="7" stopIfTrue="1">
      <formula>IF(T42="-",FALSE,IF(T42&gt;$AO$2,TRUE,FALSE))</formula>
    </cfRule>
  </conditionalFormatting>
  <conditionalFormatting sqref="T42:T45">
    <cfRule type="expression" dxfId="76" priority="6" stopIfTrue="1">
      <formula>IF(T42="-",FALSE,IF(T42&gt;$AO$2,TRUE,FALSE))</formula>
    </cfRule>
  </conditionalFormatting>
  <conditionalFormatting sqref="T42:T45">
    <cfRule type="expression" dxfId="75" priority="5" stopIfTrue="1">
      <formula>IF(T42="-",FALSE,IF(T42&gt;$AO$2,TRUE,FALSE))</formula>
    </cfRule>
  </conditionalFormatting>
  <conditionalFormatting sqref="T42:T45">
    <cfRule type="expression" dxfId="74" priority="4" stopIfTrue="1">
      <formula>IF(T42="-",FALSE,IF(T42&gt;$AO$2,TRUE,FALSE))</formula>
    </cfRule>
  </conditionalFormatting>
  <conditionalFormatting sqref="T45:AE45">
    <cfRule type="expression" dxfId="73" priority="1" stopIfTrue="1">
      <formula>IF(T45="-",FALSE,IF(T45&gt;$AO$2,IF(S45&gt;$AO$2,FALSE,TRUE),FALSE))</formula>
    </cfRule>
  </conditionalFormatting>
  <hyperlinks>
    <hyperlink ref="H1" location="'klikací hodnoty'!F53" display="KBC CLICK ČSOB SVĚTOVÉ AKCIE 2" xr:uid="{00000000-0004-0000-0300-000000000000}"/>
    <hyperlink ref="H2" location="'klikací hodnoty'!F59" display="KBC EQUISAFE ČSOB SVĚTOVÉ INVESTICE 1" xr:uid="{00000000-0004-0000-0300-000001000000}"/>
    <hyperlink ref="AT1" location="'klikací hodnoty'!F53" display="KBC CLICK ČSOB SVĚTOVÉ AKCIE 2" xr:uid="{00000000-0004-0000-0300-000002000000}"/>
    <hyperlink ref="B26" location="'klikací hodnoty2'!A56" display="90 Best Performer USD 1" xr:uid="{00000000-0004-0000-0300-000003000000}"/>
    <hyperlink ref="B5" location="'klikací hodnoty2'!A106" display="Silver Economy 90 USD 1" xr:uid="{00000000-0004-0000-0300-000004000000}"/>
    <hyperlink ref="B6" location="'klikací hodnoty2'!A156" display="European Champions 90 USD 3" xr:uid="{00000000-0004-0000-0300-000005000000}"/>
    <hyperlink ref="B4" location="'klikací hodnoty2'!A200" display="Global Stocks Invest Ladder 1" xr:uid="{00000000-0004-0000-0300-000006000000}"/>
    <hyperlink ref="B25" location="'klikací hodnoty2'!A299" display="Germany 90 Smart start USD 1" xr:uid="{00000000-0004-0000-0300-000007000000}"/>
    <hyperlink ref="B29" location="'klikací hodnoty2'!A349" display="Global Stocks 90 2" xr:uid="{00000000-0004-0000-0300-000008000000}"/>
    <hyperlink ref="B18" location="'klikací hodnoty2'!A399" display="Germany 90 Smart start USD 3" xr:uid="{00000000-0004-0000-0300-000009000000}"/>
    <hyperlink ref="B10" location="'klikací hodnoty2'!A443" display="QS Conditional Coupon USD 1" xr:uid="{00000000-0004-0000-0300-00000A000000}"/>
    <hyperlink ref="B24" location="'klikací hodnoty2'!A493" display="Japan 90 USD 3" xr:uid="{00000000-0004-0000-0300-00000B000000}"/>
    <hyperlink ref="B13" location="'klikací hodnoty2'!A543" display="European Exporters 90 Smart Start USD 1" xr:uid="{00000000-0004-0000-0300-00000C000000}"/>
    <hyperlink ref="B12" location="'klikací hodnoty2'!A548" display="Perspective Eurozone Airbag 1" xr:uid="{00000000-0004-0000-0300-00000D000000}"/>
    <hyperlink ref="B7" location="'klikací hodnoty2'!A598" display="Perspective World Stocks 90 Timing Step Up USD 1" xr:uid="{00000000-0004-0000-0300-00000E000000}"/>
    <hyperlink ref="B9" location="'klikací hodnoty2'!A618" display="Perspective Asia 90 Timing USD 2" xr:uid="{00000000-0004-0000-0300-00000F000000}"/>
    <hyperlink ref="B20" location="'klikací hodnoty2'!A718" display="Perspective European Exporters 90 Smart Start USD 4" xr:uid="{00000000-0004-0000-0300-000011000000}"/>
    <hyperlink ref="B27" location="'klikací hodnoty2'!A768" display="Perspective E-commerce 90 USD 3" xr:uid="{00000000-0004-0000-0300-000012000000}"/>
    <hyperlink ref="B3" location="'klikací hodnoty2'!A812" display="Perspective Exclusive Universal Selection Short Term Timing 1" xr:uid="{00000000-0004-0000-0300-000013000000}"/>
    <hyperlink ref="B14" location="'klikací hodnoty2'!A856" display="Perpective Universal Selection Airbag USD April 2021" xr:uid="{00000000-0004-0000-0300-000014000000}"/>
    <hyperlink ref="B28" location="'klikací hodnoty2'!A911" display="Perspective 90 Best Performer USD 3" xr:uid="{00000000-0004-0000-0300-000015000000}"/>
    <hyperlink ref="B21" location="'klikací hodnoty2'!A961" display="Perspective Japan 90 USD 1" xr:uid="{00000000-0004-0000-0300-000016000000}"/>
    <hyperlink ref="B30" location="'klikací hodnoty2'!A1008" display="Perspective Universal Selection 90 Timing Optimizer USD 1" xr:uid="{00000000-0004-0000-0300-000017000000}"/>
    <hyperlink ref="B15" location="'klikací hodnoty2'!A1058" display="Perspective European Exporters 90 Smart Start USD 2" xr:uid="{00000000-0004-0000-0300-000019000000}"/>
    <hyperlink ref="B31" location="'klikací hodnoty2'!A1155" display="Perspective Universal Selection 90 Timing Optimizer USD 3" xr:uid="{00000000-0004-0000-0300-00001A000000}"/>
    <hyperlink ref="B16" location="'klikací hodnoty2'!A1252" display="Perspective Solid Companies 90 Timing USD 3" xr:uid="{00000000-0004-0000-0300-00001C000000}"/>
    <hyperlink ref="B32" location="'klikací hodnoty2'!A1299" display="Perspective Universal Selection 100 USD 1 " xr:uid="{00000000-0004-0000-0300-00001D000000}"/>
    <hyperlink ref="B34" location="'klikací hodnoty2'!A1346" display="Perspective Universal Selection 100 USD 2 " xr:uid="{00000000-0004-0000-0300-00001E000000}"/>
    <hyperlink ref="B35" location="'klikací hodnoty2'!A1393" display="Perspective Universal Selection 90 Timing Optimizer USD 6 " xr:uid="{00000000-0004-0000-0300-00001F000000}"/>
    <hyperlink ref="B33" location="'klikací hodnoty2'!A1443" display="Perspective Healthcare 90 USD 1" xr:uid="{00000000-0004-0000-0300-000020000000}"/>
    <hyperlink ref="B36" location="'klikací hodnoty2'!A1490" display="Perspective Universal Selection 100 USD 5 " xr:uid="{00000000-0004-0000-0300-000021000000}"/>
    <hyperlink ref="B37" location="'klikací hodnoty2'!A1537" display="Perspective Global Select 90 Timing Optimizer USD 1" xr:uid="{00000000-0004-0000-0300-000022000000}"/>
    <hyperlink ref="B38" location="'klikací hodnoty2'!A1584" display="Perspective Global Select 100 USD 2" xr:uid="{00000000-0004-0000-0300-000023000000}"/>
    <hyperlink ref="B17" location="'klikací hodnoty2'!A1628" display="Perspective US Growth 90 USD 1 " xr:uid="{00000000-0004-0000-0300-000024000000}"/>
    <hyperlink ref="B19" location="'klikací hodnoty2'!A1669" display="Perspective Low Carbon Emission 90 Timing USD 1 " xr:uid="{00000000-0004-0000-0300-000025000000}"/>
    <hyperlink ref="B41" location="'klikací hodnoty2'!A1716" display="Perspective Universal Selection 100 Head Start USD 1" xr:uid="{00000000-0004-0000-0300-000026000000}"/>
    <hyperlink ref="B43" location="'klikací hodnoty2'!A1763" display="Perspective Universal Selection 100 Head Start USD 2" xr:uid="{00000000-0004-0000-0300-000027000000}"/>
    <hyperlink ref="B46" location="'klikací hodnoty2'!A1810" display="Perspective World Selection 100 Absolute Performance USD 1" xr:uid="{00000000-0004-0000-0300-000028000000}"/>
    <hyperlink ref="B47" location="'klikací hodnoty2'!A1857" display="Perspective World Selection 100 Absolute Performance USD 2" xr:uid="{00000000-0004-0000-0300-000029000000}"/>
    <hyperlink ref="B48" location="'klikací hodnoty2'!A1904" display="Perspective World Selection 100 Absolute Performance USD 3" xr:uid="{00000000-0004-0000-0300-00002A000000}"/>
    <hyperlink ref="B49" location="'klikací hodnoty2'!A1951" display="Perspective World Selection 100 Absolute Performance USD 4" xr:uid="{00000000-0004-0000-0300-00002B000000}"/>
    <hyperlink ref="B50" location="'klikací hodnoty2'!A1998" display="Perspective World Selection 100 Absolute Performance USD 5" xr:uid="{00000000-0004-0000-0300-00002C000000}"/>
    <hyperlink ref="B51" location="'klikací hodnoty2'!A2045" display="Perspective World Selection 100 Absolute Performance USD 6" xr:uid="{00000000-0004-0000-0300-00002D000000}"/>
    <hyperlink ref="B40" location="'klikací hodnoty2'!A2095" display="Perspective Premium World Selection Airbag 2" xr:uid="{00000000-0004-0000-0300-00002E000000}"/>
    <hyperlink ref="B52" location="'klikací hodnoty2'!A2142" display="Perspective European Quality 100 Absolute Performance USD 1" xr:uid="{00000000-0004-0000-0300-00002F000000}"/>
    <hyperlink ref="B42" location="'klikací hodnoty2'!A2189" display="Perspective Europe 100 Timing USD 1 " xr:uid="{00000000-0004-0000-0300-000030000000}"/>
    <hyperlink ref="B44" location="'klikací hodnoty2'!A2236" display="Perspective Europe 100 Timing USD 2" xr:uid="{00000000-0004-0000-0300-000031000000}"/>
    <hyperlink ref="B45" location="'klikací hodnoty2'!A2283" display="Perspective Europe 100 Timing USD 3" xr:uid="{00000000-0004-0000-0300-000032000000}"/>
    <hyperlink ref="B53" location="'klikací hodnoty2'!A2377" display="Perspective America 100 Timing USD 1" xr:uid="{00000000-0004-0000-0300-000034000000}"/>
    <hyperlink ref="B54" location="'klikací hodnoty2'!A2424" display="Perspective America 100 Timing USD 2" xr:uid="{00000000-0004-0000-0300-000035000000}"/>
    <hyperlink ref="A54" location="'klikací hodnoty2'!A2330" display="Perspective Europe 100 Timing USD 4" xr:uid="{00000000-0004-0000-0300-000036000000}"/>
    <hyperlink ref="B55" location="'klikací hodnoty2'!A2471" display="Perspective America 100 Timing USD 3" xr:uid="{00000000-0004-0000-0300-000037000000}"/>
    <hyperlink ref="A55" location="'klikací hodnoty2'!A2330" display="Perspective Europe 100 Timing USD 4" xr:uid="{00000000-0004-0000-0300-000038000000}"/>
    <hyperlink ref="B56" location="'klikací hodnoty2'!A2518" display="Perspective America 100 Timing USD 4" xr:uid="{00000000-0004-0000-0300-000039000000}"/>
    <hyperlink ref="A56" location="'klikací hodnoty2'!A2330" display="Perspective Europe 100 Timing USD 4" xr:uid="{00000000-0004-0000-0300-00003A000000}"/>
    <hyperlink ref="B57" location="'klikací hodnoty2'!A2565" display="Perspective America 100 Timing USD 5" xr:uid="{00000000-0004-0000-0300-00003B000000}"/>
    <hyperlink ref="A57" location="'klikací hodnoty2'!A2330" display="Perspective Europe 100 Timing USD 4" xr:uid="{00000000-0004-0000-0300-00003C000000}"/>
    <hyperlink ref="B58" location="'klikací hodnoty2'!A2612" display="Perspective America 100 Timing USD 6" xr:uid="{00000000-0004-0000-0300-00003D000000}"/>
    <hyperlink ref="A58" location="'klikací hodnoty2'!A2330" display="Perspective Europe 100 Timing USD 4" xr:uid="{00000000-0004-0000-0300-00003E000000}"/>
    <hyperlink ref="B59" location="'klikací hodnoty2'!A2659" display="Perspective North America 100 Timing USD 1" xr:uid="{00000000-0004-0000-0300-00003F000000}"/>
    <hyperlink ref="B60" location="'klikací hodnoty2'!A2706" display="Perspective North America 100 Timing USD 2" xr:uid="{00000000-0004-0000-0300-000040000000}"/>
    <hyperlink ref="B61" location="'klikací hodnoty2'!A2753" display="Perspective North America 100 Timing USD 3" xr:uid="{00000000-0004-0000-0300-000041000000}"/>
    <hyperlink ref="B62" location="'klikací hodnoty2'!A2800" display="Perspective North America 100 Timing USD 4" xr:uid="{00000000-0004-0000-0300-000042000000}"/>
    <hyperlink ref="B63" location="'klikací hodnoty2'!A2846" display="Perspective North America 100 Timing USD 5" xr:uid="{00000000-0004-0000-0300-000043000000}"/>
    <hyperlink ref="B65" location="'klikací hodnoty2'!A2894" display="Perspective USA &amp; Canada 100 Timing USD 1 " xr:uid="{00000000-0004-0000-0300-000044000000}"/>
    <hyperlink ref="B64" location="'klikací hodnoty2'!A2941" display="Perspective North America 100 Timing USD 6" xr:uid="{00000000-0004-0000-0300-000045000000}"/>
    <hyperlink ref="B66" location="'klikací hodnoty2'!A2988" display="Perspective USA &amp; Canada 100 Timing USD 2" xr:uid="{00000000-0004-0000-0300-000046000000}"/>
    <hyperlink ref="B67" location="'klikací hodnoty2'!A3038" display="Perspective Global 90 Long Term 6" xr:uid="{00000000-0004-0000-0300-000047000000}"/>
    <hyperlink ref="B68" location="'klikací hodnoty2'!A3085" display="Perspective Buyback 100 Timing USD 1" xr:uid="{00000000-0004-0000-0300-000048000000}"/>
    <hyperlink ref="B69" location="'klikací hodnoty2'!A3132" display="Perspective Buyback 100 Timing USD 2" xr:uid="{00000000-0004-0000-0300-000049000000}"/>
    <hyperlink ref="B70" location="'klikací hodnoty2'!A3179" display="Perspective Buyback 100 Timing USD 3" xr:uid="{00000000-0004-0000-0300-00004A000000}"/>
    <hyperlink ref="B71" location="'klikací hodnoty2'!A3226" display="Perspective Buyback 100 Timing USD 4" xr:uid="{00000000-0004-0000-0300-00004B000000}"/>
    <hyperlink ref="B72" location="'klikací hodnoty2'!A3273" display="Perspective Buyback 100 Timing USD 5" xr:uid="{00000000-0004-0000-0300-00004C000000}"/>
    <hyperlink ref="B74" location="'klikací hodnoty2'!A3367" display="Perspective Global Timing USD 2" xr:uid="{00000000-0004-0000-0300-00004D000000}"/>
    <hyperlink ref="B8" location="'klikací hodnoty2'!A255" display="US and Asia Winners 90 Best Performer USD 1" xr:uid="{00000000-0004-0000-0300-00004E000000}"/>
    <hyperlink ref="B75" location="'klikací hodnoty2'!A3414" display="Perspective Global Timing USD 3" xr:uid="{00000000-0004-0000-0300-00004F000000}"/>
    <hyperlink ref="B76" location="'klikací hodnoty2'!A3461" display="Perspective Global Timing USD 4" xr:uid="{00000000-0004-0000-0300-000050000000}"/>
    <hyperlink ref="B77" location="'klikací hodnoty2'!A3508" display="Perspective Global Timing USD 5" xr:uid="{00000000-0004-0000-0300-000051000000}"/>
    <hyperlink ref="B78" location="'klikací hodnoty2'!A3555" display="Perspective Global Timing USD 6" xr:uid="{00000000-0004-0000-0300-000052000000}"/>
    <hyperlink ref="B79" location="'klikací hodnoty2'!A3602" display="Perspective Global Timing USD 7" xr:uid="{00000000-0004-0000-0300-000053000000}"/>
    <hyperlink ref="B11" location="'klikací hodnoty2'!A1202" display="Perspective Universal Selection Protection USD 1" xr:uid="{E1831D9F-5E52-490C-BB32-0A0F2E202074}"/>
    <hyperlink ref="B80" location="'klikací hodnoty2'!A3649" display="Perspective Global Timing USD 8" xr:uid="{E3B88240-A237-45F8-AAC2-89C8352F2B8F}"/>
    <hyperlink ref="B81" location="'klikací hodnoty2'!A3696" display="Perspective Global Timing USD 9" xr:uid="{63DB69DD-1853-43EC-A362-F66AD814CBFC}"/>
    <hyperlink ref="B82" location="'klikací hodnoty2'!A3743" display="Perspective Global 90 Smart Start USD 1" xr:uid="{CCBE892B-5FE2-4CF5-95E7-9112ADB806D9}"/>
    <hyperlink ref="B83" location="'klikací hodnoty2'!A3790" display="Perspective Global 90 Smart Start USD 2" xr:uid="{6DDA70F1-C3D0-40A0-A966-9000BA4739E4}"/>
    <hyperlink ref="B85" location="'klikací hodnoty2'!A3837" display="Perspective Global Timing USD 10" xr:uid="{18BD382B-74C3-4D01-B2ED-B0E0C412D957}"/>
    <hyperlink ref="B84" location="'klikací hodnoty2'!A3884" display="Perspective Global 90 Smart Start USD 3" xr:uid="{8F7D4D0A-4122-4B9D-A435-16E845D0F545}"/>
    <hyperlink ref="B86" location="'klikací hodnoty2'!A3934" display="Perspective Global 95 USD 1" xr:uid="{2D425A66-BF9C-4177-AB99-4A9DD46FFC8D}"/>
    <hyperlink ref="B87" location="'klikací hodnoty2'!A3984" display="Perspective Global 95 USD 2" xr:uid="{C1660DD0-E1A3-4C13-97CE-83096DBE0155}"/>
    <hyperlink ref="B88" location="'klikací hodnoty2'!A4034" display="Perspective Global 95 USD 3" xr:uid="{86BEB4D6-8736-4FB2-8E0D-222D3076E850}"/>
    <hyperlink ref="B89" location="'klikací hodnoty2'!A4084" display="Perspective Global 95 USD 4" xr:uid="{E272E188-CE93-44FD-BC9F-947F916B6570}"/>
    <hyperlink ref="B39" location="'klikací hodnoty2'!A2330" display="Perspective Europe 100 Timing USD 4" xr:uid="{9FEEB93C-E49B-4869-8337-731C93268737}"/>
  </hyperlinks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 Public&amp;1#_x000D_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4084"/>
  <sheetViews>
    <sheetView topLeftCell="A2377" zoomScale="80" zoomScaleNormal="80" workbookViewId="0">
      <selection activeCell="F2377" sqref="A2332:F2377"/>
    </sheetView>
  </sheetViews>
  <sheetFormatPr defaultRowHeight="13.2" outlineLevelRow="1" x14ac:dyDescent="0.25"/>
  <cols>
    <col min="1" max="1" width="18.33203125" customWidth="1"/>
    <col min="2" max="2" width="52.44140625" customWidth="1"/>
    <col min="3" max="3" width="17.109375" customWidth="1"/>
    <col min="4" max="4" width="18.6640625" bestFit="1" customWidth="1"/>
    <col min="5" max="5" width="22.5546875" customWidth="1"/>
    <col min="6" max="6" width="24" customWidth="1"/>
    <col min="7" max="7" width="16.5546875" customWidth="1"/>
    <col min="8" max="8" width="24" customWidth="1"/>
    <col min="9" max="9" width="30" customWidth="1"/>
    <col min="10" max="10" width="28.5546875" customWidth="1"/>
    <col min="11" max="11" width="20.109375" bestFit="1" customWidth="1"/>
    <col min="12" max="13" width="13.6640625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19" s="17" customFormat="1" x14ac:dyDescent="0.25">
      <c r="A1" s="3799" t="s">
        <v>122</v>
      </c>
      <c r="B1" s="3800"/>
      <c r="C1" s="3800"/>
      <c r="D1" s="3859"/>
      <c r="E1" s="16" t="s">
        <v>117</v>
      </c>
      <c r="F1" s="16" t="s">
        <v>121</v>
      </c>
      <c r="G1" s="97"/>
      <c r="O1"/>
    </row>
    <row r="3" spans="1:19" ht="12.75" hidden="1" customHeight="1" outlineLevel="1" x14ac:dyDescent="0.25">
      <c r="A3" s="15" t="s">
        <v>113</v>
      </c>
      <c r="B3" s="15" t="s">
        <v>114</v>
      </c>
      <c r="C3" s="15" t="s">
        <v>112</v>
      </c>
      <c r="D3" s="15" t="s">
        <v>116</v>
      </c>
      <c r="E3" s="15" t="s">
        <v>117</v>
      </c>
      <c r="F3" s="15" t="s">
        <v>121</v>
      </c>
      <c r="G3" s="18"/>
      <c r="H3" s="18"/>
      <c r="I3" s="15" t="s">
        <v>113</v>
      </c>
      <c r="J3" s="15" t="s">
        <v>114</v>
      </c>
      <c r="K3" s="15" t="s">
        <v>112</v>
      </c>
      <c r="L3" s="15" t="s">
        <v>116</v>
      </c>
      <c r="M3" s="15" t="s">
        <v>117</v>
      </c>
      <c r="N3" s="15" t="s">
        <v>121</v>
      </c>
    </row>
    <row r="4" spans="1:19" ht="12.75" hidden="1" customHeight="1" outlineLevel="1" x14ac:dyDescent="0.25">
      <c r="A4" s="4">
        <v>1</v>
      </c>
      <c r="B4" s="5" t="s">
        <v>7092</v>
      </c>
      <c r="C4" s="6">
        <v>100</v>
      </c>
      <c r="D4" s="32" t="s">
        <v>3702</v>
      </c>
      <c r="E4" s="33">
        <v>44408</v>
      </c>
      <c r="F4" s="38"/>
      <c r="I4" s="4">
        <v>1</v>
      </c>
      <c r="J4" s="5" t="s">
        <v>7093</v>
      </c>
      <c r="K4" s="6">
        <v>100</v>
      </c>
      <c r="L4" s="32" t="s">
        <v>3702</v>
      </c>
      <c r="M4" s="33">
        <v>44408</v>
      </c>
      <c r="N4" s="38"/>
    </row>
    <row r="5" spans="1:19" ht="40.5" hidden="1" customHeight="1" outlineLevel="1" x14ac:dyDescent="0.25">
      <c r="A5" s="98" t="s">
        <v>4156</v>
      </c>
      <c r="B5" s="98" t="s">
        <v>4153</v>
      </c>
      <c r="C5" s="98" t="s">
        <v>112</v>
      </c>
      <c r="D5" s="98" t="s">
        <v>4155</v>
      </c>
      <c r="E5" s="98" t="s">
        <v>4154</v>
      </c>
      <c r="F5" s="98" t="s">
        <v>2519</v>
      </c>
      <c r="I5" s="98" t="s">
        <v>4156</v>
      </c>
      <c r="J5" s="98" t="s">
        <v>4153</v>
      </c>
      <c r="K5" s="98" t="s">
        <v>112</v>
      </c>
      <c r="L5" s="98" t="s">
        <v>4155</v>
      </c>
      <c r="M5" s="98" t="s">
        <v>4154</v>
      </c>
      <c r="N5" s="98" t="s">
        <v>2519</v>
      </c>
    </row>
    <row r="6" spans="1:19" ht="12.75" hidden="1" customHeight="1" outlineLevel="1" x14ac:dyDescent="0.25">
      <c r="A6" s="134">
        <v>0.02</v>
      </c>
      <c r="B6" s="141" t="s">
        <v>7090</v>
      </c>
      <c r="C6" s="472">
        <v>19.756</v>
      </c>
      <c r="D6" s="107">
        <v>33.130000000000003</v>
      </c>
      <c r="E6" s="85">
        <v>0.67695889856246216</v>
      </c>
      <c r="F6" s="183">
        <v>1.3539177971249244E-2</v>
      </c>
      <c r="H6" t="s">
        <v>8883</v>
      </c>
      <c r="I6" s="1312">
        <v>0.02</v>
      </c>
      <c r="J6" s="141" t="s">
        <v>7111</v>
      </c>
      <c r="K6" s="472">
        <v>54.974000000000004</v>
      </c>
      <c r="L6" s="107">
        <v>116.3</v>
      </c>
      <c r="M6" s="85">
        <v>1.1155455306144719</v>
      </c>
      <c r="N6" s="183">
        <v>2.2310910612289438E-2</v>
      </c>
      <c r="P6" t="str">
        <f>VLOOKUP(J6,indexy!$A$44:$D$823,3,FALSE)</f>
        <v>ABBV UN Equity</v>
      </c>
      <c r="S6" s="434"/>
    </row>
    <row r="7" spans="1:19" ht="12.75" hidden="1" customHeight="1" outlineLevel="1" x14ac:dyDescent="0.25">
      <c r="A7" s="135">
        <v>0.02</v>
      </c>
      <c r="B7" s="141" t="s">
        <v>7091</v>
      </c>
      <c r="C7" s="472">
        <v>74.131346304865957</v>
      </c>
      <c r="D7" s="77">
        <v>146.58000000000001</v>
      </c>
      <c r="E7" s="81">
        <v>0.9773011999160004</v>
      </c>
      <c r="F7" s="184">
        <v>1.9546023998320009E-2</v>
      </c>
      <c r="H7" t="s">
        <v>7099</v>
      </c>
      <c r="I7" s="1313">
        <v>0.08</v>
      </c>
      <c r="J7" s="141" t="s">
        <v>7112</v>
      </c>
      <c r="K7" s="472">
        <v>46.095000000000013</v>
      </c>
      <c r="L7" s="77">
        <v>48.04</v>
      </c>
      <c r="M7" s="81">
        <v>4.2195465885670691E-2</v>
      </c>
      <c r="N7" s="184">
        <v>3.3756372708536554E-3</v>
      </c>
      <c r="P7" t="str">
        <f>VLOOKUP(J7,indexy!$A$44:$D$823,3,FALSE)</f>
        <v>MO UN Equity</v>
      </c>
      <c r="S7" s="434"/>
    </row>
    <row r="8" spans="1:19" ht="12.75" hidden="1" customHeight="1" outlineLevel="1" x14ac:dyDescent="0.25">
      <c r="A8" s="135">
        <v>0.02</v>
      </c>
      <c r="B8" s="141" t="s">
        <v>2697</v>
      </c>
      <c r="C8" s="472">
        <v>15.483999998411342</v>
      </c>
      <c r="D8" s="77">
        <v>16.850000000000001</v>
      </c>
      <c r="E8" s="81">
        <v>8.8220098277500103E-2</v>
      </c>
      <c r="F8" s="184">
        <v>1.764401965550002E-3</v>
      </c>
      <c r="H8" t="s">
        <v>329</v>
      </c>
      <c r="I8" s="1313">
        <v>0.02</v>
      </c>
      <c r="J8" s="141" t="s">
        <v>1317</v>
      </c>
      <c r="K8" s="472">
        <v>54.176000000000002</v>
      </c>
      <c r="L8" s="77">
        <v>88.1</v>
      </c>
      <c r="M8" s="81">
        <v>0.62618133490844641</v>
      </c>
      <c r="N8" s="184">
        <v>1.2523626698168928E-2</v>
      </c>
      <c r="P8" t="str">
        <f>VLOOKUP(J8,indexy!$A$44:$D$823,3,FALSE)</f>
        <v>AEP UN Equity</v>
      </c>
      <c r="S8" s="434"/>
    </row>
    <row r="9" spans="1:19" ht="12.75" hidden="1" customHeight="1" outlineLevel="1" x14ac:dyDescent="0.25">
      <c r="A9" s="135">
        <v>0.02</v>
      </c>
      <c r="B9" s="141" t="s">
        <v>1184</v>
      </c>
      <c r="C9" s="472">
        <v>67.676999904582189</v>
      </c>
      <c r="D9" s="77">
        <v>66.22</v>
      </c>
      <c r="E9" s="81">
        <v>-2.1528730685999919E-2</v>
      </c>
      <c r="F9" s="184">
        <v>-4.3057461371999841E-4</v>
      </c>
      <c r="H9" t="s">
        <v>3497</v>
      </c>
      <c r="I9" s="1313">
        <v>0.08</v>
      </c>
      <c r="J9" s="141" t="s">
        <v>3998</v>
      </c>
      <c r="K9" s="472">
        <v>34.291999999999994</v>
      </c>
      <c r="L9" s="77">
        <v>28.05</v>
      </c>
      <c r="M9" s="81">
        <v>-0.18202496209028329</v>
      </c>
      <c r="N9" s="184">
        <v>-1.4561996967222664E-2</v>
      </c>
      <c r="P9" t="str">
        <f>VLOOKUP(J9,indexy!$A$44:$D$823,3,FALSE)</f>
        <v>T UN Equity</v>
      </c>
      <c r="S9" s="434"/>
    </row>
    <row r="10" spans="1:19" ht="12.75" hidden="1" customHeight="1" outlineLevel="1" x14ac:dyDescent="0.25">
      <c r="A10" s="135">
        <v>0.02</v>
      </c>
      <c r="B10" s="141" t="s">
        <v>3289</v>
      </c>
      <c r="C10" s="472">
        <v>50.70100001156743</v>
      </c>
      <c r="D10" s="77">
        <v>62.06</v>
      </c>
      <c r="E10" s="81">
        <v>0.2240389733110002</v>
      </c>
      <c r="F10" s="184">
        <v>4.4807794662200043E-3</v>
      </c>
      <c r="H10" t="s">
        <v>2751</v>
      </c>
      <c r="I10" s="1313">
        <v>0.02</v>
      </c>
      <c r="J10" s="141" t="s">
        <v>7113</v>
      </c>
      <c r="K10" s="472">
        <v>112.78</v>
      </c>
      <c r="L10" s="77">
        <v>101.81</v>
      </c>
      <c r="M10" s="81">
        <v>-9.726901932966836E-2</v>
      </c>
      <c r="N10" s="184">
        <v>-1.9453803865933672E-3</v>
      </c>
      <c r="P10" t="str">
        <f>VLOOKUP(J10,indexy!$A$44:$D$823,3,FALSE)</f>
        <v>CVX UN Equity</v>
      </c>
      <c r="S10" s="434"/>
    </row>
    <row r="11" spans="1:19" ht="12.75" hidden="1" customHeight="1" outlineLevel="1" x14ac:dyDescent="0.25">
      <c r="A11" s="135">
        <v>0.02</v>
      </c>
      <c r="B11" s="141" t="s">
        <v>7101</v>
      </c>
      <c r="C11" s="472">
        <v>3.7654000002644819</v>
      </c>
      <c r="D11" s="77">
        <v>7.78</v>
      </c>
      <c r="E11" s="81">
        <v>1.066181547632</v>
      </c>
      <c r="F11" s="184">
        <v>2.1323630952640001E-2</v>
      </c>
      <c r="H11" t="s">
        <v>4122</v>
      </c>
      <c r="I11" s="1313">
        <v>0.02</v>
      </c>
      <c r="J11" s="141" t="s">
        <v>7114</v>
      </c>
      <c r="K11" s="472">
        <v>79.844499999999996</v>
      </c>
      <c r="L11" s="77">
        <v>212.13</v>
      </c>
      <c r="M11" s="81">
        <v>1.6567891338789775</v>
      </c>
      <c r="N11" s="184">
        <v>3.3135782677579551E-2</v>
      </c>
      <c r="P11" t="str">
        <f>VLOOKUP(J11,indexy!$A$44:$D$823,3,FALSE)</f>
        <v>CME UW Equity</v>
      </c>
      <c r="S11" s="434"/>
    </row>
    <row r="12" spans="1:19" ht="12.75" hidden="1" customHeight="1" outlineLevel="1" x14ac:dyDescent="0.25">
      <c r="A12" s="135">
        <v>0.05</v>
      </c>
      <c r="B12" s="141" t="s">
        <v>6404</v>
      </c>
      <c r="C12" s="472">
        <v>250.95999999836175</v>
      </c>
      <c r="D12" s="77">
        <v>244.8</v>
      </c>
      <c r="E12" s="81">
        <v>-2.4545744335360054E-2</v>
      </c>
      <c r="F12" s="184">
        <v>-1.2272872167680027E-3</v>
      </c>
      <c r="H12" t="s">
        <v>6402</v>
      </c>
      <c r="I12" s="1313">
        <v>0.02</v>
      </c>
      <c r="J12" s="141" t="s">
        <v>7094</v>
      </c>
      <c r="K12" s="472">
        <v>69.460000000000008</v>
      </c>
      <c r="L12" s="77">
        <v>56.06</v>
      </c>
      <c r="M12" s="81">
        <v>-0.19291678663979273</v>
      </c>
      <c r="N12" s="184">
        <v>-3.8583357327958544E-3</v>
      </c>
      <c r="P12" t="str">
        <f>VLOOKUP(J12,indexy!$A$44:$D$823,3,FALSE)</f>
        <v>COP UN Equity</v>
      </c>
      <c r="S12" s="434"/>
    </row>
    <row r="13" spans="1:19" ht="12.75" hidden="1" customHeight="1" outlineLevel="1" x14ac:dyDescent="0.25">
      <c r="A13" s="135">
        <v>0.05</v>
      </c>
      <c r="B13" s="141" t="s">
        <v>722</v>
      </c>
      <c r="C13" s="472">
        <v>17.586343293319462</v>
      </c>
      <c r="D13" s="77">
        <v>11.252000000000001</v>
      </c>
      <c r="E13" s="81">
        <v>-0.36018535449183986</v>
      </c>
      <c r="F13" s="184">
        <v>-1.8009267724591993E-2</v>
      </c>
      <c r="H13" t="s">
        <v>7229</v>
      </c>
      <c r="I13" s="1313">
        <v>0.05</v>
      </c>
      <c r="J13" s="141" t="s">
        <v>6079</v>
      </c>
      <c r="K13" s="472">
        <v>59.917000000000009</v>
      </c>
      <c r="L13" s="77">
        <v>73.77</v>
      </c>
      <c r="M13" s="81">
        <v>0.23120316437738841</v>
      </c>
      <c r="N13" s="184">
        <v>1.1560158218869422E-2</v>
      </c>
      <c r="P13" t="str">
        <f>VLOOKUP(J13,indexy!$A$44:$D$823,3,FALSE)</f>
        <v>ED UN Equity</v>
      </c>
      <c r="S13" s="434"/>
    </row>
    <row r="14" spans="1:19" ht="12.75" hidden="1" customHeight="1" outlineLevel="1" x14ac:dyDescent="0.25">
      <c r="A14" s="135">
        <v>0.05</v>
      </c>
      <c r="B14" s="141" t="s">
        <v>1386</v>
      </c>
      <c r="C14" s="472">
        <v>1347.1342379139649</v>
      </c>
      <c r="D14" s="77">
        <v>1417.8</v>
      </c>
      <c r="E14" s="81">
        <v>5.2456362623119812E-2</v>
      </c>
      <c r="F14" s="184">
        <v>2.6228181311559909E-3</v>
      </c>
      <c r="H14" t="s">
        <v>4128</v>
      </c>
      <c r="I14" s="1313">
        <v>0.02</v>
      </c>
      <c r="J14" s="141" t="s">
        <v>9591</v>
      </c>
      <c r="K14" s="472">
        <v>69.404000000000011</v>
      </c>
      <c r="L14" s="77">
        <v>74.87</v>
      </c>
      <c r="M14" s="81">
        <v>7.8756267650279321E-2</v>
      </c>
      <c r="N14" s="184">
        <v>1.5751253530055865E-3</v>
      </c>
      <c r="P14" t="str">
        <f>VLOOKUP(J14,indexy!$A$44:$D$823,3,FALSE)</f>
        <v>D UN Equity</v>
      </c>
      <c r="S14" s="434"/>
    </row>
    <row r="15" spans="1:19" ht="12.75" hidden="1" customHeight="1" outlineLevel="1" x14ac:dyDescent="0.25">
      <c r="A15" s="135">
        <v>0.03</v>
      </c>
      <c r="B15" s="141" t="s">
        <v>7005</v>
      </c>
      <c r="C15" s="472">
        <v>625.39</v>
      </c>
      <c r="D15" s="77">
        <v>397.45</v>
      </c>
      <c r="E15" s="136">
        <v>-0.36447656662242756</v>
      </c>
      <c r="F15" s="185">
        <v>-1.0934296998672826E-2</v>
      </c>
      <c r="H15" t="s">
        <v>4329</v>
      </c>
      <c r="I15" s="1313">
        <v>0.08</v>
      </c>
      <c r="J15" s="141" t="s">
        <v>1231</v>
      </c>
      <c r="K15" s="472">
        <v>77.676000000000002</v>
      </c>
      <c r="L15" s="77">
        <v>105.11</v>
      </c>
      <c r="M15" s="136">
        <v>0.35318502497553927</v>
      </c>
      <c r="N15" s="185">
        <v>2.8254801998043144E-2</v>
      </c>
      <c r="P15" t="str">
        <f>VLOOKUP(J15,indexy!$A$44:$D$823,3,FALSE)</f>
        <v>DUK UN Equity</v>
      </c>
      <c r="S15" s="434"/>
    </row>
    <row r="16" spans="1:19" ht="12.75" hidden="1" customHeight="1" outlineLevel="1" x14ac:dyDescent="0.25">
      <c r="A16" s="135">
        <v>0.02</v>
      </c>
      <c r="B16" s="141" t="s">
        <v>7102</v>
      </c>
      <c r="C16" s="472">
        <v>5.3887</v>
      </c>
      <c r="D16" s="77">
        <v>10.16</v>
      </c>
      <c r="E16" s="81">
        <v>0.88542691187113776</v>
      </c>
      <c r="F16" s="184">
        <v>1.7708538237422754E-2</v>
      </c>
      <c r="H16" t="s">
        <v>7872</v>
      </c>
      <c r="I16" s="1313">
        <v>0.02</v>
      </c>
      <c r="J16" s="141" t="s">
        <v>3407</v>
      </c>
      <c r="K16" s="472">
        <v>188.8204564872608</v>
      </c>
      <c r="L16" s="77">
        <v>103.6</v>
      </c>
      <c r="M16" s="81">
        <v>-0.45133063478749924</v>
      </c>
      <c r="N16" s="184">
        <v>-9.0266126957499852E-3</v>
      </c>
      <c r="P16" t="str">
        <f>VLOOKUP(J16,indexy!$A$44:$D$823,3,FALSE)</f>
        <v>GE UN Equity</v>
      </c>
      <c r="S16" s="434"/>
    </row>
    <row r="17" spans="1:19" ht="12.75" hidden="1" customHeight="1" outlineLevel="1" x14ac:dyDescent="0.25">
      <c r="A17" s="135">
        <v>0.02</v>
      </c>
      <c r="B17" s="141" t="s">
        <v>9660</v>
      </c>
      <c r="C17" s="472">
        <v>19.956585207231907</v>
      </c>
      <c r="D17" s="77">
        <v>28.59</v>
      </c>
      <c r="E17" s="81">
        <v>0.43260982292899985</v>
      </c>
      <c r="F17" s="184">
        <v>8.6521964585799978E-3</v>
      </c>
      <c r="H17" t="s">
        <v>9669</v>
      </c>
      <c r="I17" s="1313">
        <v>0.02</v>
      </c>
      <c r="J17" s="141" t="s">
        <v>7095</v>
      </c>
      <c r="K17" s="472">
        <v>91.17</v>
      </c>
      <c r="L17" s="77">
        <v>328.19</v>
      </c>
      <c r="M17" s="81">
        <v>2.5997586925523746</v>
      </c>
      <c r="N17" s="184">
        <v>5.1995173851047495E-2</v>
      </c>
      <c r="P17" t="str">
        <f>VLOOKUP(J17,indexy!$A$44:$D$823,3,FALSE)</f>
        <v>HD UN Equity</v>
      </c>
      <c r="S17" s="434"/>
    </row>
    <row r="18" spans="1:19" ht="12.75" hidden="1" customHeight="1" outlineLevel="1" x14ac:dyDescent="0.25">
      <c r="A18" s="135">
        <v>0.02</v>
      </c>
      <c r="B18" s="141" t="s">
        <v>1205</v>
      </c>
      <c r="C18" s="490">
        <v>22.677</v>
      </c>
      <c r="D18" s="77">
        <v>38.89</v>
      </c>
      <c r="E18" s="81">
        <v>0.71495347709132617</v>
      </c>
      <c r="F18" s="184">
        <v>1.4299069541826524E-2</v>
      </c>
      <c r="H18" t="s">
        <v>1092</v>
      </c>
      <c r="I18" s="1313">
        <v>0.02</v>
      </c>
      <c r="J18" s="141" t="s">
        <v>2920</v>
      </c>
      <c r="K18" s="490">
        <v>32.1965</v>
      </c>
      <c r="L18" s="77">
        <v>53.72</v>
      </c>
      <c r="M18" s="81">
        <v>0.66850434053390884</v>
      </c>
      <c r="N18" s="184">
        <v>1.3370086810678177E-2</v>
      </c>
      <c r="P18" t="str">
        <f>VLOOKUP(J18,indexy!$A$44:$D$823,3,FALSE)</f>
        <v>INTC UW Equity</v>
      </c>
      <c r="S18" s="434"/>
    </row>
    <row r="19" spans="1:19" ht="12.75" hidden="1" customHeight="1" outlineLevel="1" x14ac:dyDescent="0.25">
      <c r="A19" s="135">
        <v>0.02</v>
      </c>
      <c r="B19" s="141" t="s">
        <v>1772</v>
      </c>
      <c r="C19" s="472">
        <v>147.95999999999998</v>
      </c>
      <c r="D19" s="77">
        <v>227.9</v>
      </c>
      <c r="E19" s="81">
        <v>0.54028115706947855</v>
      </c>
      <c r="F19" s="184">
        <v>1.0805623141389571E-2</v>
      </c>
      <c r="H19" t="s">
        <v>4330</v>
      </c>
      <c r="I19" s="1313">
        <v>0.02</v>
      </c>
      <c r="J19" s="141" t="s">
        <v>3426</v>
      </c>
      <c r="K19" s="472">
        <v>99.963000000000008</v>
      </c>
      <c r="L19" s="77">
        <v>172.2</v>
      </c>
      <c r="M19" s="81">
        <v>0.72263737582905652</v>
      </c>
      <c r="N19" s="184">
        <v>1.445274751658113E-2</v>
      </c>
      <c r="P19" t="str">
        <f>VLOOKUP(J19,indexy!$A$44:$D$823,3,FALSE)</f>
        <v>JNJ UN Equity</v>
      </c>
      <c r="S19" s="434"/>
    </row>
    <row r="20" spans="1:19" ht="12.75" hidden="1" customHeight="1" outlineLevel="1" x14ac:dyDescent="0.25">
      <c r="A20" s="135">
        <v>0.08</v>
      </c>
      <c r="B20" s="141" t="s">
        <v>1039</v>
      </c>
      <c r="C20" s="472">
        <v>67.589999999999989</v>
      </c>
      <c r="D20" s="77">
        <v>114.8</v>
      </c>
      <c r="E20" s="81">
        <v>0.6984761059328306</v>
      </c>
      <c r="F20" s="184">
        <v>5.5878088474626449E-2</v>
      </c>
      <c r="H20" t="s">
        <v>8872</v>
      </c>
      <c r="I20" s="1313">
        <v>0.02</v>
      </c>
      <c r="J20" s="141" t="s">
        <v>6707</v>
      </c>
      <c r="K20" s="472">
        <v>36.617000000000004</v>
      </c>
      <c r="L20" s="77">
        <v>17.38</v>
      </c>
      <c r="M20" s="81">
        <v>-0.5253570745828442</v>
      </c>
      <c r="N20" s="184">
        <v>-1.0507141491656885E-2</v>
      </c>
      <c r="P20" t="str">
        <f>VLOOKUP(J20,indexy!$A$44:$D$823,3,FALSE)</f>
        <v>KMI UN Equity</v>
      </c>
      <c r="S20" s="434"/>
    </row>
    <row r="21" spans="1:19" ht="12.75" hidden="1" customHeight="1" outlineLevel="1" x14ac:dyDescent="0.25">
      <c r="A21" s="135">
        <v>0.02</v>
      </c>
      <c r="B21" s="141" t="s">
        <v>1203</v>
      </c>
      <c r="C21" s="472">
        <v>87.31</v>
      </c>
      <c r="D21" s="77">
        <v>100.9</v>
      </c>
      <c r="E21" s="81">
        <v>0.15565227350818933</v>
      </c>
      <c r="F21" s="184">
        <v>3.1130454701637869E-3</v>
      </c>
      <c r="H21" t="s">
        <v>79</v>
      </c>
      <c r="I21" s="1313">
        <v>0.05</v>
      </c>
      <c r="J21" s="141" t="s">
        <v>816</v>
      </c>
      <c r="K21" s="472">
        <v>91.647000000000006</v>
      </c>
      <c r="L21" s="77">
        <v>242.71</v>
      </c>
      <c r="M21" s="81">
        <v>1.6483136381987409</v>
      </c>
      <c r="N21" s="184">
        <v>8.2415681909937047E-2</v>
      </c>
      <c r="P21" t="str">
        <f>VLOOKUP(J21,indexy!$A$44:$D$823,3,FALSE)</f>
        <v>MCD UN Equity</v>
      </c>
      <c r="S21" s="434"/>
    </row>
    <row r="22" spans="1:19" ht="12.75" hidden="1" customHeight="1" outlineLevel="1" x14ac:dyDescent="0.25">
      <c r="A22" s="135">
        <v>0.08</v>
      </c>
      <c r="B22" s="141" t="s">
        <v>7103</v>
      </c>
      <c r="C22" s="472">
        <v>73.494058893238574</v>
      </c>
      <c r="D22" s="77">
        <v>83.88</v>
      </c>
      <c r="E22" s="81">
        <v>0.14131674400850014</v>
      </c>
      <c r="F22" s="184">
        <v>1.1305339520680011E-2</v>
      </c>
      <c r="H22" t="s">
        <v>8874</v>
      </c>
      <c r="I22" s="1313">
        <v>0.02</v>
      </c>
      <c r="J22" s="141" t="s">
        <v>1905</v>
      </c>
      <c r="K22" s="472">
        <v>56.520999999999994</v>
      </c>
      <c r="L22" s="77">
        <v>76.87</v>
      </c>
      <c r="M22" s="81">
        <v>0.36002547725624123</v>
      </c>
      <c r="N22" s="184">
        <v>7.2005095451248245E-3</v>
      </c>
      <c r="P22" t="str">
        <f>VLOOKUP(J22,indexy!$A$44:$D$823,3,FALSE)</f>
        <v>MRK UN Equity</v>
      </c>
      <c r="S22" s="434"/>
    </row>
    <row r="23" spans="1:19" ht="12.75" hidden="1" customHeight="1" outlineLevel="1" x14ac:dyDescent="0.25">
      <c r="A23" s="135">
        <v>0.02</v>
      </c>
      <c r="B23" s="141" t="s">
        <v>7007</v>
      </c>
      <c r="C23" s="472">
        <v>1150.7</v>
      </c>
      <c r="D23" s="77">
        <v>869.4</v>
      </c>
      <c r="E23" s="81">
        <v>-0.24445989397757895</v>
      </c>
      <c r="F23" s="184">
        <v>-4.8891978795515788E-3</v>
      </c>
      <c r="H23" t="s">
        <v>3959</v>
      </c>
      <c r="I23" s="1313">
        <v>0.02</v>
      </c>
      <c r="J23" s="141" t="s">
        <v>7096</v>
      </c>
      <c r="K23" s="472">
        <v>92.98299999999999</v>
      </c>
      <c r="L23" s="77">
        <v>156.94999999999999</v>
      </c>
      <c r="M23" s="81">
        <v>0.68794295731477795</v>
      </c>
      <c r="N23" s="184">
        <v>1.3758859146295559E-2</v>
      </c>
      <c r="P23" t="str">
        <f>VLOOKUP(J23,indexy!$A$44:$D$823,3,FALSE)</f>
        <v>PEP UW Equity</v>
      </c>
      <c r="S23" s="434"/>
    </row>
    <row r="24" spans="1:19" ht="12.75" hidden="1" customHeight="1" outlineLevel="1" x14ac:dyDescent="0.25">
      <c r="A24" s="135">
        <v>0.02</v>
      </c>
      <c r="B24" s="141" t="s">
        <v>7104</v>
      </c>
      <c r="C24" s="472">
        <v>17.288500000000003</v>
      </c>
      <c r="D24" s="77">
        <v>9.2210000000000001</v>
      </c>
      <c r="E24" s="81">
        <v>-0.46663967377158233</v>
      </c>
      <c r="F24" s="184">
        <v>-9.3327934754316461E-3</v>
      </c>
      <c r="H24" t="s">
        <v>6741</v>
      </c>
      <c r="I24" s="1313">
        <v>0.02</v>
      </c>
      <c r="J24" s="141" t="s">
        <v>6061</v>
      </c>
      <c r="K24" s="472">
        <v>28.487000000000002</v>
      </c>
      <c r="L24" s="77">
        <v>42.81</v>
      </c>
      <c r="M24" s="81">
        <v>0.50279074665636947</v>
      </c>
      <c r="N24" s="184">
        <v>1.0055814933127389E-2</v>
      </c>
      <c r="P24" t="str">
        <f>VLOOKUP(J24,indexy!$A$44:$D$823,3,FALSE)</f>
        <v>PFE UN Equity</v>
      </c>
      <c r="S24" s="434"/>
    </row>
    <row r="25" spans="1:19" ht="12.75" hidden="1" customHeight="1" outlineLevel="1" x14ac:dyDescent="0.25">
      <c r="A25" s="135">
        <v>0.02</v>
      </c>
      <c r="B25" s="141" t="s">
        <v>6087</v>
      </c>
      <c r="C25" s="472">
        <v>231.82</v>
      </c>
      <c r="D25" s="77">
        <v>283.3</v>
      </c>
      <c r="E25" s="81">
        <v>0.22206884651885095</v>
      </c>
      <c r="F25" s="184">
        <v>4.4413769303770188E-3</v>
      </c>
      <c r="H25" t="s">
        <v>5517</v>
      </c>
      <c r="I25" s="1313">
        <v>0.02</v>
      </c>
      <c r="J25" s="141" t="s">
        <v>2469</v>
      </c>
      <c r="K25" s="472">
        <v>45.082000000000001</v>
      </c>
      <c r="L25" s="77">
        <v>8.7899999999999991</v>
      </c>
      <c r="M25" s="81">
        <v>-0.80502195998402915</v>
      </c>
      <c r="N25" s="184">
        <v>-1.6100439199680582E-2</v>
      </c>
      <c r="P25" t="str">
        <f>VLOOKUP(J25,indexy!$A$44:$D$823,3,FALSE)</f>
        <v>PCG UN Equity</v>
      </c>
      <c r="S25" s="434"/>
    </row>
    <row r="26" spans="1:19" ht="12.75" hidden="1" customHeight="1" outlineLevel="1" x14ac:dyDescent="0.25">
      <c r="A26" s="135">
        <v>0.02</v>
      </c>
      <c r="B26" s="141" t="s">
        <v>1187</v>
      </c>
      <c r="C26" s="472">
        <v>82.256999999999991</v>
      </c>
      <c r="D26" s="77">
        <v>86.88</v>
      </c>
      <c r="E26" s="81">
        <v>5.620190378934331E-2</v>
      </c>
      <c r="F26" s="184">
        <v>1.1240380757868663E-3</v>
      </c>
      <c r="H26" t="s">
        <v>3483</v>
      </c>
      <c r="I26" s="1313">
        <v>0.05</v>
      </c>
      <c r="J26" s="141" t="s">
        <v>3793</v>
      </c>
      <c r="K26" s="472">
        <v>84.676999999999992</v>
      </c>
      <c r="L26" s="77">
        <v>100.09</v>
      </c>
      <c r="M26" s="81">
        <v>0.18202109191397908</v>
      </c>
      <c r="N26" s="184">
        <v>9.1010545956989545E-3</v>
      </c>
      <c r="P26" t="str">
        <f>VLOOKUP(J26,indexy!$A$44:$D$823,3,FALSE)</f>
        <v>PM UN Equity</v>
      </c>
      <c r="S26" s="434"/>
    </row>
    <row r="27" spans="1:19" ht="12.75" hidden="1" customHeight="1" outlineLevel="1" x14ac:dyDescent="0.25">
      <c r="A27" s="135">
        <v>0.02</v>
      </c>
      <c r="B27" s="141" t="s">
        <v>1206</v>
      </c>
      <c r="C27" s="472">
        <v>53.671000000000006</v>
      </c>
      <c r="D27" s="77">
        <v>120.84</v>
      </c>
      <c r="E27" s="81">
        <v>1.2514952208827856</v>
      </c>
      <c r="F27" s="184">
        <v>2.5029904417655714E-2</v>
      </c>
      <c r="H27" t="s">
        <v>3484</v>
      </c>
      <c r="I27" s="1313">
        <v>0.08</v>
      </c>
      <c r="J27" s="141" t="s">
        <v>5775</v>
      </c>
      <c r="K27" s="472">
        <v>31.122213201634594</v>
      </c>
      <c r="L27" s="77">
        <v>28.37</v>
      </c>
      <c r="M27" s="81">
        <v>-8.8432438393874935E-2</v>
      </c>
      <c r="N27" s="184">
        <v>-7.0745950715099953E-3</v>
      </c>
      <c r="P27" t="str">
        <f>VLOOKUP(J27,indexy!$A$44:$D$823,3,FALSE)</f>
        <v>PPL UN Equity</v>
      </c>
      <c r="S27" s="434"/>
    </row>
    <row r="28" spans="1:19" ht="12.75" hidden="1" customHeight="1" outlineLevel="1" x14ac:dyDescent="0.25">
      <c r="A28" s="135">
        <v>0.02</v>
      </c>
      <c r="B28" s="141" t="s">
        <v>7105</v>
      </c>
      <c r="C28" s="472">
        <v>84.64700000000002</v>
      </c>
      <c r="D28" s="77">
        <v>131.58000000000001</v>
      </c>
      <c r="E28" s="81">
        <v>0.55445556251255201</v>
      </c>
      <c r="F28" s="184">
        <v>1.1089111250251041E-2</v>
      </c>
      <c r="H28" t="s">
        <v>3775</v>
      </c>
      <c r="I28" s="1313">
        <v>0.02</v>
      </c>
      <c r="J28" s="141" t="s">
        <v>6063</v>
      </c>
      <c r="K28" s="472">
        <v>83.525000000000006</v>
      </c>
      <c r="L28" s="77">
        <v>142.22999999999999</v>
      </c>
      <c r="M28" s="81">
        <v>0.70284346004190335</v>
      </c>
      <c r="N28" s="184">
        <v>1.4056869200838068E-2</v>
      </c>
      <c r="P28" t="str">
        <f>VLOOKUP(J28,indexy!$A$44:$D$823,3,FALSE)</f>
        <v>PG UN Equity</v>
      </c>
      <c r="S28" s="434"/>
    </row>
    <row r="29" spans="1:19" ht="12.75" hidden="1" customHeight="1" outlineLevel="1" x14ac:dyDescent="0.25">
      <c r="A29" s="135">
        <v>0.08</v>
      </c>
      <c r="B29" s="141" t="s">
        <v>7106</v>
      </c>
      <c r="C29" s="472">
        <v>70.838263779798211</v>
      </c>
      <c r="D29" s="77">
        <v>82.02</v>
      </c>
      <c r="E29" s="81">
        <v>0.15784881818899987</v>
      </c>
      <c r="F29" s="184">
        <v>1.262790545511999E-2</v>
      </c>
      <c r="H29" t="s">
        <v>8893</v>
      </c>
      <c r="I29" s="1313">
        <v>0.08</v>
      </c>
      <c r="J29" s="141" t="s">
        <v>3427</v>
      </c>
      <c r="K29" s="472">
        <v>45.809000000000005</v>
      </c>
      <c r="L29" s="77">
        <v>63.87</v>
      </c>
      <c r="M29" s="81">
        <v>0.39426750201925365</v>
      </c>
      <c r="N29" s="184">
        <v>3.1541400161540292E-2</v>
      </c>
      <c r="P29" t="str">
        <f>VLOOKUP(J29,indexy!$A$44:$D$823,3,FALSE)</f>
        <v>SO UN Equity</v>
      </c>
      <c r="S29" s="434"/>
    </row>
    <row r="30" spans="1:19" ht="12.75" hidden="1" customHeight="1" outlineLevel="1" x14ac:dyDescent="0.25">
      <c r="A30" s="135">
        <v>0.08</v>
      </c>
      <c r="B30" s="141" t="s">
        <v>7107</v>
      </c>
      <c r="C30" s="472">
        <v>11.398416320592617</v>
      </c>
      <c r="D30" s="77">
        <v>3.8660000000000001</v>
      </c>
      <c r="E30" s="81">
        <v>-0.66083007575222497</v>
      </c>
      <c r="F30" s="184">
        <v>-5.2866406060177999E-2</v>
      </c>
      <c r="H30" t="s">
        <v>6732</v>
      </c>
      <c r="I30" s="1313">
        <v>0.02</v>
      </c>
      <c r="J30" s="141" t="s">
        <v>7119</v>
      </c>
      <c r="K30" s="472">
        <v>60.745000000000005</v>
      </c>
      <c r="L30" s="77">
        <v>261.05</v>
      </c>
      <c r="M30" s="81">
        <v>3.2974730430488108</v>
      </c>
      <c r="N30" s="184">
        <v>6.5949460860976222E-2</v>
      </c>
      <c r="P30" t="str">
        <f>VLOOKUP(J30,indexy!$A$44:$D$823,3,FALSE)</f>
        <v>TGT UN Equity</v>
      </c>
      <c r="S30" s="434"/>
    </row>
    <row r="31" spans="1:19" ht="12.75" hidden="1" customHeight="1" outlineLevel="1" x14ac:dyDescent="0.25">
      <c r="A31" s="135">
        <v>0.02</v>
      </c>
      <c r="B31" s="141" t="s">
        <v>6165</v>
      </c>
      <c r="C31" s="472">
        <v>46.766999980453733</v>
      </c>
      <c r="D31" s="77">
        <v>37.79</v>
      </c>
      <c r="E31" s="81">
        <v>-0.19195158945849999</v>
      </c>
      <c r="F31" s="184">
        <v>-3.8390317891699999E-3</v>
      </c>
      <c r="H31" t="s">
        <v>7745</v>
      </c>
      <c r="I31" s="1313">
        <v>0.02</v>
      </c>
      <c r="J31" s="141" t="s">
        <v>1003</v>
      </c>
      <c r="K31" s="472">
        <v>44.038000000000011</v>
      </c>
      <c r="L31" s="77">
        <v>190.62</v>
      </c>
      <c r="M31" s="81">
        <v>3.3285344475225935</v>
      </c>
      <c r="N31" s="184">
        <v>6.6570688950451873E-2</v>
      </c>
      <c r="P31" t="str">
        <f>VLOOKUP(J31,indexy!$A$44:$D$823,3,FALSE)</f>
        <v>TXN UW Equity</v>
      </c>
      <c r="S31" s="434"/>
    </row>
    <row r="32" spans="1:19" ht="12.75" hidden="1" customHeight="1" outlineLevel="1" x14ac:dyDescent="0.25">
      <c r="A32" s="135">
        <v>0.02</v>
      </c>
      <c r="B32" s="141" t="s">
        <v>9301</v>
      </c>
      <c r="C32" s="472">
        <v>191.54500000000002</v>
      </c>
      <c r="D32" s="77">
        <v>70.17</v>
      </c>
      <c r="E32" s="81">
        <v>-0.63366310788587543</v>
      </c>
      <c r="F32" s="184">
        <v>-1.2673262157717509E-2</v>
      </c>
      <c r="H32" t="s">
        <v>9302</v>
      </c>
      <c r="I32" s="1313">
        <v>0.02</v>
      </c>
      <c r="J32" s="141" t="s">
        <v>1142</v>
      </c>
      <c r="K32" s="472">
        <v>43.648000000000003</v>
      </c>
      <c r="L32" s="77">
        <v>57.03</v>
      </c>
      <c r="M32" s="81">
        <v>0.30658907624633414</v>
      </c>
      <c r="N32" s="184">
        <v>6.1317815249266831E-3</v>
      </c>
      <c r="P32" t="str">
        <f>VLOOKUP(J32,indexy!$A$44:$D$823,3,FALSE)</f>
        <v>KO UN Equity</v>
      </c>
      <c r="S32" s="434"/>
    </row>
    <row r="33" spans="1:19" ht="12.75" hidden="1" customHeight="1" outlineLevel="1" x14ac:dyDescent="0.25">
      <c r="A33" s="135">
        <v>0.02</v>
      </c>
      <c r="B33" s="141" t="s">
        <v>6211</v>
      </c>
      <c r="C33" s="472">
        <v>2505.5</v>
      </c>
      <c r="D33" s="77">
        <v>4151</v>
      </c>
      <c r="E33" s="81">
        <v>0.65675513869487134</v>
      </c>
      <c r="F33" s="184">
        <v>1.3135102773897428E-2</v>
      </c>
      <c r="H33" t="s">
        <v>107</v>
      </c>
      <c r="I33" s="1313">
        <v>0.02</v>
      </c>
      <c r="J33" s="141" t="s">
        <v>6070</v>
      </c>
      <c r="K33" s="472">
        <v>96.477000000000004</v>
      </c>
      <c r="L33" s="77">
        <v>191.36</v>
      </c>
      <c r="M33" s="81">
        <v>0.98347792738165585</v>
      </c>
      <c r="N33" s="184">
        <v>1.9669558547633116E-2</v>
      </c>
      <c r="P33" t="str">
        <f>VLOOKUP(J33,indexy!$A$44:$D$823,3,FALSE)</f>
        <v>UPS UN Equity</v>
      </c>
      <c r="S33" s="434"/>
    </row>
    <row r="34" spans="1:19" ht="12.75" hidden="1" customHeight="1" outlineLevel="1" x14ac:dyDescent="0.25">
      <c r="A34" s="135">
        <v>0.02</v>
      </c>
      <c r="B34" s="141" t="s">
        <v>7108</v>
      </c>
      <c r="C34" s="472">
        <v>42.717419061383822</v>
      </c>
      <c r="D34" s="77">
        <v>89.21</v>
      </c>
      <c r="E34" s="81">
        <v>1.0883752333399999</v>
      </c>
      <c r="F34" s="184">
        <v>2.1767504666799997E-2</v>
      </c>
      <c r="H34" t="s">
        <v>1697</v>
      </c>
      <c r="I34" s="1313">
        <v>0.03</v>
      </c>
      <c r="J34" s="141" t="s">
        <v>255</v>
      </c>
      <c r="K34" s="472">
        <v>48.615000000000002</v>
      </c>
      <c r="L34" s="77">
        <v>55.78</v>
      </c>
      <c r="M34" s="81">
        <v>0.14738249511467649</v>
      </c>
      <c r="N34" s="184">
        <v>4.4214748534402949E-3</v>
      </c>
      <c r="P34" t="str">
        <f>VLOOKUP(J34,indexy!$A$44:$D$823,3,FALSE)</f>
        <v>VZ UN Equity</v>
      </c>
      <c r="S34" s="434"/>
    </row>
    <row r="35" spans="1:19" ht="12.75" hidden="1" customHeight="1" outlineLevel="1" x14ac:dyDescent="0.25">
      <c r="A35" s="135">
        <v>0.08</v>
      </c>
      <c r="B35" s="309" t="s">
        <v>4550</v>
      </c>
      <c r="C35" s="472">
        <v>276.57000000000005</v>
      </c>
      <c r="D35" s="34">
        <v>365.8</v>
      </c>
      <c r="E35" s="81">
        <v>0.32263079871280298</v>
      </c>
      <c r="F35" s="184">
        <v>2.5810463897024238E-2</v>
      </c>
      <c r="H35" t="s">
        <v>8889</v>
      </c>
      <c r="I35" s="1314">
        <v>0.02</v>
      </c>
      <c r="J35" s="309" t="s">
        <v>3817</v>
      </c>
      <c r="K35" s="472">
        <v>49.786999999999999</v>
      </c>
      <c r="L35" s="34">
        <v>45.94</v>
      </c>
      <c r="M35" s="81">
        <v>-7.7269166649928778E-2</v>
      </c>
      <c r="N35" s="184">
        <v>-1.5453833329985755E-3</v>
      </c>
      <c r="P35" t="str">
        <f>VLOOKUP(J35,indexy!$A$44:$D$823,3,FALSE)</f>
        <v>WFC UN Equity</v>
      </c>
      <c r="S35" s="434"/>
    </row>
    <row r="36" spans="1:19" ht="12.75" hidden="1" customHeight="1" outlineLevel="1" x14ac:dyDescent="0.25">
      <c r="A36" s="167" t="s">
        <v>2734</v>
      </c>
      <c r="B36" s="140"/>
      <c r="C36" s="25"/>
      <c r="D36" s="26"/>
      <c r="E36" s="92"/>
      <c r="F36" s="92">
        <v>0.18586202288093506</v>
      </c>
      <c r="H36" s="37">
        <v>0.45880732035889887</v>
      </c>
      <c r="I36" s="167" t="s">
        <v>2734</v>
      </c>
      <c r="J36" s="140"/>
      <c r="K36" s="25"/>
      <c r="L36" s="26"/>
      <c r="M36" s="92"/>
      <c r="N36" s="92">
        <v>0.45880732035889887</v>
      </c>
    </row>
    <row r="37" spans="1:19" ht="12.75" hidden="1" customHeight="1" outlineLevel="1" x14ac:dyDescent="0.25">
      <c r="A37" s="221" t="s">
        <v>7072</v>
      </c>
      <c r="B37" s="273">
        <v>43862</v>
      </c>
      <c r="C37" s="13">
        <v>100</v>
      </c>
      <c r="D37" s="13">
        <v>114.5018</v>
      </c>
      <c r="E37" s="14">
        <v>0.14501800000000009</v>
      </c>
      <c r="F37" s="2"/>
      <c r="I37" s="221" t="s">
        <v>7072</v>
      </c>
      <c r="J37" s="273">
        <v>43862</v>
      </c>
      <c r="K37" s="13">
        <v>100</v>
      </c>
      <c r="L37" s="13">
        <v>123.68980000000001</v>
      </c>
      <c r="M37" s="14">
        <v>0.23689800000000005</v>
      </c>
      <c r="N37" s="2"/>
    </row>
    <row r="38" spans="1:19" ht="12.75" hidden="1" customHeight="1" outlineLevel="1" x14ac:dyDescent="0.25">
      <c r="A38" s="221" t="s">
        <v>7073</v>
      </c>
      <c r="B38" s="273">
        <v>43891</v>
      </c>
      <c r="C38" s="13">
        <v>100</v>
      </c>
      <c r="D38" s="8">
        <v>100.4198</v>
      </c>
      <c r="E38" s="14">
        <v>4.197999999999924E-3</v>
      </c>
      <c r="F38" s="2"/>
      <c r="I38" s="221" t="s">
        <v>7073</v>
      </c>
      <c r="J38" s="273">
        <v>43891</v>
      </c>
      <c r="K38" s="13">
        <v>100</v>
      </c>
      <c r="L38" s="8">
        <v>109.9632</v>
      </c>
      <c r="M38" s="14">
        <v>9.9631999999999943E-2</v>
      </c>
      <c r="N38" s="2"/>
    </row>
    <row r="39" spans="1:19" ht="12.75" hidden="1" customHeight="1" outlineLevel="1" x14ac:dyDescent="0.25">
      <c r="A39" s="221" t="s">
        <v>7074</v>
      </c>
      <c r="B39" s="273">
        <v>43922</v>
      </c>
      <c r="C39" s="13">
        <v>100</v>
      </c>
      <c r="D39" s="8">
        <v>101.5466</v>
      </c>
      <c r="E39" s="14">
        <v>1.546599999999998E-2</v>
      </c>
      <c r="F39" s="2"/>
      <c r="I39" s="221" t="s">
        <v>7074</v>
      </c>
      <c r="J39" s="273">
        <v>43922</v>
      </c>
      <c r="K39" s="13">
        <v>100</v>
      </c>
      <c r="L39" s="8">
        <v>118.14400000000001</v>
      </c>
      <c r="M39" s="14">
        <v>0.18144000000000005</v>
      </c>
      <c r="N39" s="2"/>
    </row>
    <row r="40" spans="1:19" ht="12.75" hidden="1" customHeight="1" outlineLevel="1" x14ac:dyDescent="0.25">
      <c r="A40" s="221" t="s">
        <v>7075</v>
      </c>
      <c r="B40" s="273">
        <v>43952</v>
      </c>
      <c r="C40" s="13">
        <v>100</v>
      </c>
      <c r="D40" s="8">
        <v>103.04640000000001</v>
      </c>
      <c r="E40" s="14">
        <v>3.0464000000000047E-2</v>
      </c>
      <c r="F40" s="2"/>
      <c r="I40" s="221" t="s">
        <v>7075</v>
      </c>
      <c r="J40" s="273">
        <v>43952</v>
      </c>
      <c r="K40" s="13">
        <v>100</v>
      </c>
      <c r="L40" s="8">
        <v>120.74299999999999</v>
      </c>
      <c r="M40" s="14">
        <v>0.20743</v>
      </c>
      <c r="N40" s="2"/>
    </row>
    <row r="41" spans="1:19" ht="12.75" hidden="1" customHeight="1" outlineLevel="1" x14ac:dyDescent="0.25">
      <c r="A41" s="221" t="s">
        <v>7076</v>
      </c>
      <c r="B41" s="273">
        <v>43983</v>
      </c>
      <c r="C41" s="13">
        <v>100</v>
      </c>
      <c r="D41" s="8">
        <v>107.69629999999999</v>
      </c>
      <c r="E41" s="14">
        <v>7.6962999999999893E-2</v>
      </c>
      <c r="F41" s="2"/>
      <c r="I41" s="221" t="s">
        <v>7076</v>
      </c>
      <c r="J41" s="273">
        <v>43983</v>
      </c>
      <c r="K41" s="13">
        <v>100</v>
      </c>
      <c r="L41" s="8">
        <v>116.77209999999999</v>
      </c>
      <c r="M41" s="14">
        <v>0.16772100000000001</v>
      </c>
      <c r="N41" s="2"/>
    </row>
    <row r="42" spans="1:19" ht="12.75" hidden="1" customHeight="1" outlineLevel="1" x14ac:dyDescent="0.25">
      <c r="A42" s="221" t="s">
        <v>7077</v>
      </c>
      <c r="B42" s="273">
        <v>44013</v>
      </c>
      <c r="C42" s="13">
        <v>100</v>
      </c>
      <c r="D42" s="8">
        <v>106.86190000000001</v>
      </c>
      <c r="E42" s="14">
        <v>6.8618999999999986E-2</v>
      </c>
      <c r="F42" s="2"/>
      <c r="I42" s="221" t="s">
        <v>7077</v>
      </c>
      <c r="J42" s="273">
        <v>44013</v>
      </c>
      <c r="K42" s="13">
        <v>100</v>
      </c>
      <c r="L42" s="8">
        <v>121.0479</v>
      </c>
      <c r="M42" s="14">
        <v>0.21047900000000008</v>
      </c>
      <c r="N42" s="2"/>
    </row>
    <row r="43" spans="1:19" ht="12.75" hidden="1" customHeight="1" outlineLevel="1" x14ac:dyDescent="0.25">
      <c r="A43" s="221" t="s">
        <v>7078</v>
      </c>
      <c r="B43" s="273">
        <v>44044</v>
      </c>
      <c r="C43" s="13">
        <v>100</v>
      </c>
      <c r="D43" s="8">
        <v>107.1948</v>
      </c>
      <c r="E43" s="14">
        <v>7.1947999999999901E-2</v>
      </c>
      <c r="F43" s="2"/>
      <c r="I43" s="221" t="s">
        <v>7078</v>
      </c>
      <c r="J43" s="273">
        <v>44044</v>
      </c>
      <c r="K43" s="13">
        <v>100</v>
      </c>
      <c r="L43" s="8">
        <v>124.8969</v>
      </c>
      <c r="M43" s="14">
        <v>0.248969</v>
      </c>
      <c r="N43" s="2"/>
    </row>
    <row r="44" spans="1:19" ht="12.75" hidden="1" customHeight="1" outlineLevel="1" x14ac:dyDescent="0.25">
      <c r="A44" s="221" t="s">
        <v>7079</v>
      </c>
      <c r="B44" s="273">
        <v>44075</v>
      </c>
      <c r="C44" s="13">
        <v>100</v>
      </c>
      <c r="D44" s="8">
        <v>106.4695</v>
      </c>
      <c r="E44" s="14">
        <v>6.4694999999999947E-2</v>
      </c>
      <c r="F44" s="2"/>
      <c r="I44" s="221" t="s">
        <v>7079</v>
      </c>
      <c r="J44" s="273">
        <v>44075</v>
      </c>
      <c r="K44" s="13">
        <v>100</v>
      </c>
      <c r="L44" s="8">
        <v>124.45440000000001</v>
      </c>
      <c r="M44" s="14">
        <v>0.24454400000000009</v>
      </c>
      <c r="N44" s="2"/>
    </row>
    <row r="45" spans="1:19" ht="12.75" hidden="1" customHeight="1" outlineLevel="1" x14ac:dyDescent="0.25">
      <c r="A45" s="221" t="s">
        <v>7080</v>
      </c>
      <c r="B45" s="273">
        <v>44105</v>
      </c>
      <c r="C45" s="13">
        <v>100</v>
      </c>
      <c r="D45" s="8">
        <v>98.855000000000004</v>
      </c>
      <c r="E45" s="14">
        <v>-1.144999999999996E-2</v>
      </c>
      <c r="F45" s="2"/>
      <c r="I45" s="221" t="s">
        <v>7080</v>
      </c>
      <c r="J45" s="273">
        <v>44105</v>
      </c>
      <c r="K45" s="13">
        <v>100</v>
      </c>
      <c r="L45" s="8">
        <v>121.84650000000001</v>
      </c>
      <c r="M45" s="14">
        <v>0.21846500000000013</v>
      </c>
      <c r="N45" s="2"/>
    </row>
    <row r="46" spans="1:19" ht="12.75" hidden="1" customHeight="1" outlineLevel="1" x14ac:dyDescent="0.25">
      <c r="A46" s="221" t="s">
        <v>7081</v>
      </c>
      <c r="B46" s="273">
        <v>44136</v>
      </c>
      <c r="C46" s="13">
        <v>100</v>
      </c>
      <c r="D46" s="8">
        <v>112.95050000000001</v>
      </c>
      <c r="E46" s="14">
        <v>0.12950499999999998</v>
      </c>
      <c r="F46" s="2"/>
      <c r="I46" s="221" t="s">
        <v>7081</v>
      </c>
      <c r="J46" s="273">
        <v>44136</v>
      </c>
      <c r="K46" s="13">
        <v>100</v>
      </c>
      <c r="L46" s="8">
        <v>130.16970000000001</v>
      </c>
      <c r="M46" s="14">
        <v>0.3016970000000001</v>
      </c>
      <c r="N46" s="2"/>
    </row>
    <row r="47" spans="1:19" ht="12.75" hidden="1" customHeight="1" outlineLevel="1" x14ac:dyDescent="0.25">
      <c r="A47" s="221" t="s">
        <v>7082</v>
      </c>
      <c r="B47" s="273">
        <v>44166</v>
      </c>
      <c r="C47" s="13">
        <v>100</v>
      </c>
      <c r="D47" s="8">
        <v>113.8605</v>
      </c>
      <c r="E47" s="14">
        <v>0.13860500000000009</v>
      </c>
      <c r="F47" s="2"/>
      <c r="I47" s="221" t="s">
        <v>7082</v>
      </c>
      <c r="J47" s="273">
        <v>44166</v>
      </c>
      <c r="K47" s="13">
        <v>100</v>
      </c>
      <c r="L47" s="8">
        <v>130.74629999999999</v>
      </c>
      <c r="M47" s="14">
        <v>0.30746299999999982</v>
      </c>
      <c r="N47" s="2"/>
    </row>
    <row r="48" spans="1:19" ht="12.75" hidden="1" customHeight="1" outlineLevel="1" x14ac:dyDescent="0.25">
      <c r="A48" s="221" t="s">
        <v>7083</v>
      </c>
      <c r="B48" s="273">
        <v>44197</v>
      </c>
      <c r="C48" s="13">
        <v>100</v>
      </c>
      <c r="D48" s="8">
        <v>112.42489999999999</v>
      </c>
      <c r="E48" s="14">
        <v>0.12424899999999983</v>
      </c>
      <c r="F48" s="2"/>
      <c r="I48" s="221" t="s">
        <v>7083</v>
      </c>
      <c r="J48" s="273">
        <v>44197</v>
      </c>
      <c r="K48" s="13">
        <v>100</v>
      </c>
      <c r="L48" s="8">
        <v>128.5909</v>
      </c>
      <c r="M48" s="14">
        <v>0.28590899999999997</v>
      </c>
      <c r="N48" s="2"/>
    </row>
    <row r="49" spans="1:14" ht="12.75" hidden="1" customHeight="1" outlineLevel="1" x14ac:dyDescent="0.25">
      <c r="A49" s="221" t="s">
        <v>7084</v>
      </c>
      <c r="B49" s="273">
        <v>44228</v>
      </c>
      <c r="C49" s="13">
        <v>100</v>
      </c>
      <c r="D49" s="8">
        <v>111.904</v>
      </c>
      <c r="E49" s="14">
        <v>0.11904000000000003</v>
      </c>
      <c r="F49" s="2"/>
      <c r="I49" s="221" t="s">
        <v>7084</v>
      </c>
      <c r="J49" s="273">
        <v>44228</v>
      </c>
      <c r="K49" s="13">
        <v>100</v>
      </c>
      <c r="L49" s="8">
        <v>128.1182</v>
      </c>
      <c r="M49" s="14">
        <v>0.28118200000000004</v>
      </c>
      <c r="N49" s="2"/>
    </row>
    <row r="50" spans="1:14" ht="12.75" hidden="1" customHeight="1" outlineLevel="1" x14ac:dyDescent="0.25">
      <c r="A50" s="221" t="s">
        <v>7085</v>
      </c>
      <c r="B50" s="273">
        <v>44256</v>
      </c>
      <c r="C50" s="13">
        <v>100</v>
      </c>
      <c r="D50" s="8">
        <v>119.5909</v>
      </c>
      <c r="E50" s="14">
        <v>0.19590900000000011</v>
      </c>
      <c r="F50" s="2"/>
      <c r="I50" s="221" t="s">
        <v>7085</v>
      </c>
      <c r="J50" s="273">
        <v>44256</v>
      </c>
      <c r="K50" s="13">
        <v>100</v>
      </c>
      <c r="L50" s="8">
        <v>140.02070000000001</v>
      </c>
      <c r="M50" s="14">
        <v>0.40020699999999998</v>
      </c>
      <c r="N50" s="2"/>
    </row>
    <row r="51" spans="1:14" ht="12.75" hidden="1" customHeight="1" outlineLevel="1" x14ac:dyDescent="0.25">
      <c r="A51" s="221" t="s">
        <v>7086</v>
      </c>
      <c r="B51" s="273">
        <v>44287</v>
      </c>
      <c r="C51" s="13">
        <v>100</v>
      </c>
      <c r="D51" s="8">
        <v>118.8112</v>
      </c>
      <c r="E51" s="14">
        <v>0.18811200000000006</v>
      </c>
      <c r="F51" s="2"/>
      <c r="I51" s="221" t="s">
        <v>7086</v>
      </c>
      <c r="J51" s="273">
        <v>44287</v>
      </c>
      <c r="K51" s="13">
        <v>100</v>
      </c>
      <c r="L51" s="8">
        <v>143.3433</v>
      </c>
      <c r="M51" s="14">
        <v>0.43343299999999996</v>
      </c>
      <c r="N51" s="2"/>
    </row>
    <row r="52" spans="1:14" ht="12.75" hidden="1" customHeight="1" outlineLevel="1" x14ac:dyDescent="0.25">
      <c r="A52" s="221" t="s">
        <v>7087</v>
      </c>
      <c r="B52" s="273">
        <v>44317</v>
      </c>
      <c r="C52" s="13">
        <v>100</v>
      </c>
      <c r="D52" s="8">
        <v>119.5515</v>
      </c>
      <c r="E52" s="14">
        <v>0.19551500000000011</v>
      </c>
      <c r="F52" s="2"/>
      <c r="I52" s="221" t="s">
        <v>7087</v>
      </c>
      <c r="J52" s="273">
        <v>44317</v>
      </c>
      <c r="K52" s="13">
        <v>100</v>
      </c>
      <c r="L52" s="8">
        <v>144.66890000000001</v>
      </c>
      <c r="M52" s="14">
        <v>0.44668900000000011</v>
      </c>
      <c r="N52" s="2"/>
    </row>
    <row r="53" spans="1:14" ht="12.75" hidden="1" customHeight="1" outlineLevel="1" x14ac:dyDescent="0.25">
      <c r="A53" s="221" t="s">
        <v>7088</v>
      </c>
      <c r="B53" s="273">
        <v>44348</v>
      </c>
      <c r="C53" s="13">
        <v>100</v>
      </c>
      <c r="D53" s="8">
        <v>119.80800000000001</v>
      </c>
      <c r="E53" s="14">
        <v>0.19808000000000003</v>
      </c>
      <c r="F53" s="2"/>
      <c r="I53" s="221" t="s">
        <v>7088</v>
      </c>
      <c r="J53" s="273">
        <v>44348</v>
      </c>
      <c r="K53" s="13">
        <v>100</v>
      </c>
      <c r="L53" s="8">
        <v>142.9708</v>
      </c>
      <c r="M53" s="14">
        <v>0.42970799999999998</v>
      </c>
      <c r="N53" s="2"/>
    </row>
    <row r="54" spans="1:14" ht="12.75" hidden="1" customHeight="1" outlineLevel="1" x14ac:dyDescent="0.25">
      <c r="A54" s="221" t="s">
        <v>7089</v>
      </c>
      <c r="B54" s="273">
        <v>44378</v>
      </c>
      <c r="C54" s="13">
        <v>100</v>
      </c>
      <c r="D54" s="8">
        <v>118.89790000000001</v>
      </c>
      <c r="E54" s="14">
        <v>0.18897900000000001</v>
      </c>
      <c r="F54" s="2"/>
      <c r="I54" s="221" t="s">
        <v>7089</v>
      </c>
      <c r="J54" s="273">
        <v>44378</v>
      </c>
      <c r="K54" s="13">
        <v>100</v>
      </c>
      <c r="L54" s="8">
        <v>146.18350000000001</v>
      </c>
      <c r="M54" s="14">
        <v>0.461835</v>
      </c>
      <c r="N54" s="2"/>
    </row>
    <row r="55" spans="1:14" ht="12.75" hidden="1" customHeight="1" outlineLevel="1" x14ac:dyDescent="0.25">
      <c r="A55" s="27" t="s">
        <v>2734</v>
      </c>
      <c r="B55" s="28"/>
      <c r="C55" s="8"/>
      <c r="D55" s="411" t="s">
        <v>2465</v>
      </c>
      <c r="E55" s="407">
        <v>0.10799527777777779</v>
      </c>
      <c r="F55" s="170">
        <v>0.10799527777777779</v>
      </c>
      <c r="G55" t="s">
        <v>7980</v>
      </c>
      <c r="H55" s="37">
        <v>0.28687227777777774</v>
      </c>
      <c r="I55" s="27" t="s">
        <v>2734</v>
      </c>
      <c r="J55" s="28"/>
      <c r="K55" s="8"/>
      <c r="L55" s="411" t="s">
        <v>2465</v>
      </c>
      <c r="M55" s="407">
        <v>0.28687227777777774</v>
      </c>
      <c r="N55" s="170">
        <v>0.28687227777777774</v>
      </c>
    </row>
    <row r="56" spans="1:14" collapsed="1" x14ac:dyDescent="0.25">
      <c r="A56" s="3801" t="s">
        <v>7097</v>
      </c>
      <c r="B56" s="3802"/>
      <c r="C56" s="3802"/>
      <c r="D56" s="3802"/>
      <c r="E56" s="1906"/>
      <c r="F56" s="1907">
        <v>0.28687227777777774</v>
      </c>
      <c r="G56" s="1906"/>
      <c r="H56" s="1906"/>
      <c r="I56" s="3801" t="s">
        <v>7097</v>
      </c>
      <c r="J56" s="3802"/>
      <c r="K56" s="3802"/>
      <c r="L56" s="3802"/>
      <c r="M56" s="1906"/>
      <c r="N56" s="1907"/>
    </row>
    <row r="58" spans="1:14" ht="12.75" hidden="1" customHeight="1" outlineLevel="1" x14ac:dyDescent="0.25">
      <c r="A58" s="2489" t="s">
        <v>113</v>
      </c>
      <c r="B58" s="2489" t="s">
        <v>114</v>
      </c>
      <c r="C58" s="2489" t="s">
        <v>112</v>
      </c>
      <c r="D58" s="2489" t="s">
        <v>116</v>
      </c>
      <c r="E58" s="2489" t="s">
        <v>117</v>
      </c>
      <c r="F58" s="2489" t="s">
        <v>121</v>
      </c>
      <c r="G58" s="78"/>
    </row>
    <row r="59" spans="1:14" ht="12.75" hidden="1" customHeight="1" outlineLevel="1" x14ac:dyDescent="0.25">
      <c r="A59" s="2504">
        <v>1</v>
      </c>
      <c r="B59" s="2505" t="s">
        <v>252</v>
      </c>
      <c r="C59" s="2506">
        <v>100</v>
      </c>
      <c r="D59" s="2506"/>
      <c r="E59" s="2507"/>
      <c r="F59" s="2508"/>
      <c r="G59" s="78"/>
    </row>
    <row r="60" spans="1:14" ht="12.75" hidden="1" customHeight="1" outlineLevel="1" x14ac:dyDescent="0.25">
      <c r="A60" s="2509" t="s">
        <v>2734</v>
      </c>
      <c r="B60" s="2509"/>
      <c r="C60" s="2498"/>
      <c r="D60" s="1900" t="s">
        <v>3702</v>
      </c>
      <c r="E60" s="2510">
        <v>43769</v>
      </c>
      <c r="F60" s="2511"/>
      <c r="G60" s="78"/>
    </row>
    <row r="61" spans="1:14" ht="12.75" hidden="1" customHeight="1" outlineLevel="1" x14ac:dyDescent="0.25">
      <c r="A61" s="2489" t="s">
        <v>4156</v>
      </c>
      <c r="B61" s="2489" t="s">
        <v>4153</v>
      </c>
      <c r="C61" s="2512" t="s">
        <v>112</v>
      </c>
      <c r="D61" s="2488" t="s">
        <v>4155</v>
      </c>
      <c r="E61" s="2488" t="s">
        <v>4154</v>
      </c>
      <c r="F61" s="2488" t="s">
        <v>2519</v>
      </c>
      <c r="G61" s="78"/>
    </row>
    <row r="62" spans="1:14" ht="12.75" hidden="1" customHeight="1" outlineLevel="1" x14ac:dyDescent="0.25">
      <c r="A62" s="1991">
        <v>0.02</v>
      </c>
      <c r="B62" s="1921" t="s">
        <v>1995</v>
      </c>
      <c r="C62" s="2108">
        <v>43.896000000000001</v>
      </c>
      <c r="D62" s="2513">
        <v>83.61</v>
      </c>
      <c r="E62" s="2514">
        <v>0.90472936030617812</v>
      </c>
      <c r="F62" s="2515">
        <v>1.8094587206123561E-2</v>
      </c>
      <c r="G62" s="78"/>
      <c r="H62" t="s">
        <v>2739</v>
      </c>
      <c r="K62" s="434"/>
    </row>
    <row r="63" spans="1:14" ht="12.75" hidden="1" customHeight="1" outlineLevel="1" x14ac:dyDescent="0.25">
      <c r="A63" s="2380">
        <v>0.08</v>
      </c>
      <c r="B63" s="1921" t="s">
        <v>359</v>
      </c>
      <c r="C63" s="2108">
        <v>131.97</v>
      </c>
      <c r="D63" s="2516">
        <v>219</v>
      </c>
      <c r="E63" s="2517">
        <v>0.65946806092293708</v>
      </c>
      <c r="F63" s="2518">
        <v>5.275744487383497E-2</v>
      </c>
      <c r="G63" s="78"/>
      <c r="H63" t="s">
        <v>360</v>
      </c>
      <c r="K63" s="434"/>
    </row>
    <row r="64" spans="1:14" ht="12.75" hidden="1" customHeight="1" outlineLevel="1" x14ac:dyDescent="0.25">
      <c r="A64" s="2380">
        <v>0.03</v>
      </c>
      <c r="B64" s="1921" t="s">
        <v>2697</v>
      </c>
      <c r="C64" s="2108">
        <v>16.405000000000001</v>
      </c>
      <c r="D64" s="2516">
        <v>18.175000000000001</v>
      </c>
      <c r="E64" s="2517">
        <v>0.10789393477598286</v>
      </c>
      <c r="F64" s="2518">
        <v>3.2368180432794857E-3</v>
      </c>
      <c r="G64" s="78"/>
      <c r="H64" t="s">
        <v>329</v>
      </c>
      <c r="K64" s="434"/>
    </row>
    <row r="65" spans="1:11" ht="12.75" hidden="1" customHeight="1" outlineLevel="1" x14ac:dyDescent="0.25">
      <c r="A65" s="2380">
        <v>0.02</v>
      </c>
      <c r="B65" s="1921" t="s">
        <v>2942</v>
      </c>
      <c r="C65" s="2108">
        <v>1785.3</v>
      </c>
      <c r="D65" s="2516">
        <v>1858.5</v>
      </c>
      <c r="E65" s="2517">
        <v>4.1001512350865355E-2</v>
      </c>
      <c r="F65" s="2518">
        <v>8.2003024701730713E-4</v>
      </c>
      <c r="G65" s="78"/>
      <c r="H65" t="s">
        <v>2336</v>
      </c>
      <c r="K65" s="434"/>
    </row>
    <row r="66" spans="1:11" ht="12.75" hidden="1" customHeight="1" outlineLevel="1" x14ac:dyDescent="0.25">
      <c r="A66" s="2380">
        <v>0.02</v>
      </c>
      <c r="B66" s="1921" t="s">
        <v>1093</v>
      </c>
      <c r="C66" s="2108">
        <v>529.20000000000005</v>
      </c>
      <c r="D66" s="2516">
        <v>415.2</v>
      </c>
      <c r="E66" s="2517">
        <v>-0.21541950113378694</v>
      </c>
      <c r="F66" s="2518">
        <v>-4.3083900226757385E-3</v>
      </c>
      <c r="G66" s="78"/>
      <c r="H66" t="s">
        <v>2039</v>
      </c>
      <c r="K66" s="434"/>
    </row>
    <row r="67" spans="1:11" ht="12.75" hidden="1" customHeight="1" outlineLevel="1" x14ac:dyDescent="0.25">
      <c r="A67" s="2380">
        <v>0.02</v>
      </c>
      <c r="B67" s="1921" t="s">
        <v>7212</v>
      </c>
      <c r="C67" s="2108">
        <v>68.013999999999996</v>
      </c>
      <c r="D67" s="2516">
        <v>106.15</v>
      </c>
      <c r="E67" s="2517">
        <v>0.56070808951098328</v>
      </c>
      <c r="F67" s="2518">
        <v>1.1214161790219666E-2</v>
      </c>
      <c r="G67" s="78"/>
      <c r="H67" t="s">
        <v>7213</v>
      </c>
      <c r="K67" s="434"/>
    </row>
    <row r="68" spans="1:11" ht="12.75" hidden="1" customHeight="1" outlineLevel="1" x14ac:dyDescent="0.25">
      <c r="A68" s="2380">
        <v>0.02</v>
      </c>
      <c r="B68" s="1921" t="s">
        <v>4377</v>
      </c>
      <c r="C68" s="2108">
        <v>58.475999999999999</v>
      </c>
      <c r="D68" s="2516">
        <v>57.37</v>
      </c>
      <c r="E68" s="2517">
        <v>-1.89137423900404E-2</v>
      </c>
      <c r="F68" s="2518">
        <v>-3.7827484780080802E-4</v>
      </c>
      <c r="G68" s="78"/>
      <c r="H68" t="s">
        <v>4327</v>
      </c>
      <c r="K68" s="434"/>
    </row>
    <row r="69" spans="1:11" ht="12.75" hidden="1" customHeight="1" outlineLevel="1" x14ac:dyDescent="0.25">
      <c r="A69" s="2380">
        <v>0.02</v>
      </c>
      <c r="B69" s="1921" t="s">
        <v>7215</v>
      </c>
      <c r="C69" s="2108">
        <v>89.495999999999995</v>
      </c>
      <c r="D69" s="2516">
        <v>66.39</v>
      </c>
      <c r="E69" s="2517">
        <v>-0.25817913649772051</v>
      </c>
      <c r="F69" s="2518">
        <v>-5.1635827299544102E-3</v>
      </c>
      <c r="G69" s="78"/>
      <c r="H69" t="s">
        <v>7216</v>
      </c>
      <c r="K69" s="434"/>
    </row>
    <row r="70" spans="1:11" ht="12.75" hidden="1" customHeight="1" outlineLevel="1" x14ac:dyDescent="0.25">
      <c r="A70" s="2380">
        <v>0.03</v>
      </c>
      <c r="B70" s="1921" t="s">
        <v>4025</v>
      </c>
      <c r="C70" s="2108">
        <v>62.048000000000002</v>
      </c>
      <c r="D70" s="2516">
        <v>52.41</v>
      </c>
      <c r="E70" s="2517">
        <v>-0.15533135636926254</v>
      </c>
      <c r="F70" s="2518">
        <v>-4.6599406910778759E-3</v>
      </c>
      <c r="G70" s="78"/>
      <c r="H70" t="s">
        <v>3977</v>
      </c>
      <c r="K70" s="434"/>
    </row>
    <row r="71" spans="1:11" ht="12.75" hidden="1" customHeight="1" outlineLevel="1" x14ac:dyDescent="0.25">
      <c r="A71" s="2380">
        <v>0.02</v>
      </c>
      <c r="B71" s="1921" t="s">
        <v>7218</v>
      </c>
      <c r="C71" s="2108">
        <v>49.650476286840671</v>
      </c>
      <c r="D71" s="2516">
        <v>112.27</v>
      </c>
      <c r="E71" s="2517">
        <v>1.2612069086990001</v>
      </c>
      <c r="F71" s="2518">
        <v>2.5224138173980004E-2</v>
      </c>
      <c r="G71" s="78"/>
      <c r="H71" t="s">
        <v>7219</v>
      </c>
      <c r="K71" s="434"/>
    </row>
    <row r="72" spans="1:11" ht="12.75" hidden="1" customHeight="1" outlineLevel="1" x14ac:dyDescent="0.25">
      <c r="A72" s="2380">
        <v>0.02</v>
      </c>
      <c r="B72" s="1921" t="s">
        <v>2844</v>
      </c>
      <c r="C72" s="2108">
        <v>58.319000000000003</v>
      </c>
      <c r="D72" s="2516">
        <v>64.88</v>
      </c>
      <c r="E72" s="2517">
        <v>0.11250192904542256</v>
      </c>
      <c r="F72" s="2518">
        <v>2.2500385809084513E-3</v>
      </c>
      <c r="G72" s="78"/>
      <c r="H72" t="s">
        <v>4094</v>
      </c>
      <c r="K72" s="434"/>
    </row>
    <row r="73" spans="1:11" ht="12.75" hidden="1" customHeight="1" outlineLevel="1" x14ac:dyDescent="0.25">
      <c r="A73" s="2380">
        <v>0.08</v>
      </c>
      <c r="B73" s="1921" t="s">
        <v>6530</v>
      </c>
      <c r="C73" s="2108">
        <v>39.640715836862924</v>
      </c>
      <c r="D73" s="2516">
        <v>37.619999999999997</v>
      </c>
      <c r="E73" s="2517">
        <v>-5.0975765553249897E-2</v>
      </c>
      <c r="F73" s="2518">
        <v>-4.0780612442599916E-3</v>
      </c>
      <c r="G73" s="78"/>
      <c r="H73" t="s">
        <v>6162</v>
      </c>
      <c r="K73" s="434"/>
    </row>
    <row r="74" spans="1:11" ht="12.75" hidden="1" customHeight="1" outlineLevel="1" x14ac:dyDescent="0.25">
      <c r="A74" s="2380">
        <v>0.08</v>
      </c>
      <c r="B74" s="1921" t="s">
        <v>6163</v>
      </c>
      <c r="C74" s="2519">
        <v>71.358000000000004</v>
      </c>
      <c r="D74" s="2516">
        <v>90.69</v>
      </c>
      <c r="E74" s="2517">
        <v>0.27091566467670058</v>
      </c>
      <c r="F74" s="2518">
        <v>2.1673253174136046E-2</v>
      </c>
      <c r="G74" s="78"/>
      <c r="H74" t="s">
        <v>9170</v>
      </c>
      <c r="K74" s="434"/>
    </row>
    <row r="75" spans="1:11" ht="12.75" hidden="1" customHeight="1" outlineLevel="1" x14ac:dyDescent="0.25">
      <c r="A75" s="2380">
        <v>0.08</v>
      </c>
      <c r="B75" s="1921" t="s">
        <v>7221</v>
      </c>
      <c r="C75" s="2108">
        <v>25.838000000000001</v>
      </c>
      <c r="D75" s="2516">
        <v>34.770000000000003</v>
      </c>
      <c r="E75" s="2517">
        <v>0.34569239105193916</v>
      </c>
      <c r="F75" s="2518">
        <v>2.7655391284155135E-2</v>
      </c>
      <c r="G75" s="78"/>
      <c r="H75" t="s">
        <v>7222</v>
      </c>
      <c r="K75" s="434"/>
    </row>
    <row r="76" spans="1:11" ht="12.75" hidden="1" customHeight="1" outlineLevel="1" x14ac:dyDescent="0.25">
      <c r="A76" s="2380">
        <v>0.03</v>
      </c>
      <c r="B76" s="1921" t="s">
        <v>3426</v>
      </c>
      <c r="C76" s="2108">
        <v>108.598</v>
      </c>
      <c r="D76" s="2516">
        <v>132.04</v>
      </c>
      <c r="E76" s="2517">
        <v>0.21586032891950113</v>
      </c>
      <c r="F76" s="2518">
        <v>6.4758098675850341E-3</v>
      </c>
      <c r="G76" s="78"/>
      <c r="H76" t="s">
        <v>4145</v>
      </c>
      <c r="K76" s="434"/>
    </row>
    <row r="77" spans="1:11" ht="12.75" hidden="1" customHeight="1" outlineLevel="1" x14ac:dyDescent="0.25">
      <c r="A77" s="2380">
        <v>0.03</v>
      </c>
      <c r="B77" s="1921" t="s">
        <v>1381</v>
      </c>
      <c r="C77" s="2108">
        <v>113.44499999999999</v>
      </c>
      <c r="D77" s="2516">
        <v>132.88</v>
      </c>
      <c r="E77" s="2517">
        <v>0.171316496980916</v>
      </c>
      <c r="F77" s="2518">
        <v>5.13949490942748E-3</v>
      </c>
      <c r="G77" s="78"/>
      <c r="H77" t="s">
        <v>1383</v>
      </c>
      <c r="K77" s="434"/>
    </row>
    <row r="78" spans="1:11" ht="12.75" hidden="1" customHeight="1" outlineLevel="1" x14ac:dyDescent="0.25">
      <c r="A78" s="2380">
        <v>0.03</v>
      </c>
      <c r="B78" s="1921" t="s">
        <v>6902</v>
      </c>
      <c r="C78" s="2108">
        <v>242.08</v>
      </c>
      <c r="D78" s="2516">
        <v>263.7</v>
      </c>
      <c r="E78" s="2517">
        <v>8.9309319233311202E-2</v>
      </c>
      <c r="F78" s="2518">
        <v>2.679279576999336E-3</v>
      </c>
      <c r="G78" s="78"/>
      <c r="H78" t="s">
        <v>6899</v>
      </c>
      <c r="K78" s="434"/>
    </row>
    <row r="79" spans="1:11" ht="12.75" hidden="1" customHeight="1" outlineLevel="1" x14ac:dyDescent="0.25">
      <c r="A79" s="2380">
        <v>0.03</v>
      </c>
      <c r="B79" s="1921" t="s">
        <v>1528</v>
      </c>
      <c r="C79" s="2108">
        <v>124.01826059751228</v>
      </c>
      <c r="D79" s="2516">
        <v>382.5</v>
      </c>
      <c r="E79" s="2517">
        <v>2.0842232277500004</v>
      </c>
      <c r="F79" s="2518">
        <v>6.2526696832500006E-2</v>
      </c>
      <c r="G79" s="78"/>
      <c r="H79" t="s">
        <v>4149</v>
      </c>
      <c r="K79" s="434"/>
    </row>
    <row r="80" spans="1:11" ht="12.75" hidden="1" customHeight="1" outlineLevel="1" x14ac:dyDescent="0.25">
      <c r="A80" s="2380">
        <v>0.02</v>
      </c>
      <c r="B80" s="1921" t="s">
        <v>7224</v>
      </c>
      <c r="C80" s="2108">
        <v>467.22715507180828</v>
      </c>
      <c r="D80" s="2516">
        <v>181.5</v>
      </c>
      <c r="E80" s="2517">
        <v>-0.61153798954149996</v>
      </c>
      <c r="F80" s="2518">
        <v>-1.2230759790829999E-2</v>
      </c>
      <c r="G80" s="78"/>
      <c r="H80" t="s">
        <v>7225</v>
      </c>
      <c r="K80" s="434"/>
    </row>
    <row r="81" spans="1:11" ht="12.75" hidden="1" customHeight="1" outlineLevel="1" x14ac:dyDescent="0.25">
      <c r="A81" s="2380">
        <v>0.02</v>
      </c>
      <c r="B81" s="1921" t="s">
        <v>4040</v>
      </c>
      <c r="C81" s="2108">
        <v>69.813000000000002</v>
      </c>
      <c r="D81" s="2516">
        <v>108.9</v>
      </c>
      <c r="E81" s="2517">
        <v>0.55988139744746679</v>
      </c>
      <c r="F81" s="2518">
        <v>1.1197627948949336E-2</v>
      </c>
      <c r="G81" s="78"/>
      <c r="H81" t="s">
        <v>4041</v>
      </c>
      <c r="K81" s="434"/>
    </row>
    <row r="82" spans="1:11" ht="12.75" hidden="1" customHeight="1" outlineLevel="1" x14ac:dyDescent="0.25">
      <c r="A82" s="2380">
        <v>0.02</v>
      </c>
      <c r="B82" s="1921" t="s">
        <v>1905</v>
      </c>
      <c r="C82" s="2108">
        <v>59.381</v>
      </c>
      <c r="D82" s="2516">
        <v>86.66</v>
      </c>
      <c r="E82" s="2517">
        <v>0.4593893669692326</v>
      </c>
      <c r="F82" s="2518">
        <v>9.1877873393846517E-3</v>
      </c>
      <c r="G82" s="78"/>
      <c r="H82" t="s">
        <v>504</v>
      </c>
      <c r="K82" s="434"/>
    </row>
    <row r="83" spans="1:11" ht="12.75" hidden="1" customHeight="1" outlineLevel="1" x14ac:dyDescent="0.25">
      <c r="A83" s="2380">
        <v>0.03</v>
      </c>
      <c r="B83" s="1921" t="s">
        <v>2787</v>
      </c>
      <c r="C83" s="2108">
        <v>90.42</v>
      </c>
      <c r="D83" s="2516">
        <v>86.09</v>
      </c>
      <c r="E83" s="2517">
        <v>-4.7887635478876311E-2</v>
      </c>
      <c r="F83" s="2518">
        <v>-1.4366290643662892E-3</v>
      </c>
      <c r="G83" s="78"/>
      <c r="H83" t="s">
        <v>8874</v>
      </c>
      <c r="K83" s="434"/>
    </row>
    <row r="84" spans="1:11" ht="12.75" hidden="1" customHeight="1" outlineLevel="1" x14ac:dyDescent="0.25">
      <c r="A84" s="2380">
        <v>0.02</v>
      </c>
      <c r="B84" s="1921" t="s">
        <v>4044</v>
      </c>
      <c r="C84" s="2108">
        <v>91.290999999999997</v>
      </c>
      <c r="D84" s="2516">
        <v>165.5</v>
      </c>
      <c r="E84" s="2517">
        <v>0.81288407400510465</v>
      </c>
      <c r="F84" s="2518">
        <v>1.6257681480102093E-2</v>
      </c>
      <c r="G84" s="78"/>
      <c r="H84" t="s">
        <v>4045</v>
      </c>
      <c r="K84" s="434"/>
    </row>
    <row r="85" spans="1:11" ht="12.75" hidden="1" customHeight="1" outlineLevel="1" x14ac:dyDescent="0.25">
      <c r="A85" s="2380">
        <v>0.02</v>
      </c>
      <c r="B85" s="1921" t="s">
        <v>1414</v>
      </c>
      <c r="C85" s="2108">
        <v>30.341000000000001</v>
      </c>
      <c r="D85" s="2516">
        <v>38.369999999999997</v>
      </c>
      <c r="E85" s="2517">
        <v>0.26462542434329772</v>
      </c>
      <c r="F85" s="2518">
        <v>5.2925084868659543E-3</v>
      </c>
      <c r="G85" s="78"/>
      <c r="H85" t="s">
        <v>2428</v>
      </c>
      <c r="K85" s="434"/>
    </row>
    <row r="86" spans="1:11" ht="12.75" hidden="1" customHeight="1" outlineLevel="1" x14ac:dyDescent="0.25">
      <c r="A86" s="2380">
        <v>0.03</v>
      </c>
      <c r="B86" s="1921" t="s">
        <v>1187</v>
      </c>
      <c r="C86" s="2108">
        <v>75.046000000000006</v>
      </c>
      <c r="D86" s="2516">
        <v>82.62</v>
      </c>
      <c r="E86" s="2517">
        <v>0.10092476614343204</v>
      </c>
      <c r="F86" s="2518">
        <v>3.0277429843029611E-3</v>
      </c>
      <c r="G86" s="78"/>
      <c r="H86" t="s">
        <v>3483</v>
      </c>
      <c r="K86" s="434"/>
    </row>
    <row r="87" spans="1:11" ht="12.75" hidden="1" customHeight="1" outlineLevel="1" x14ac:dyDescent="0.25">
      <c r="A87" s="2380">
        <v>0.03</v>
      </c>
      <c r="B87" s="1921" t="s">
        <v>5755</v>
      </c>
      <c r="C87" s="2108">
        <v>21.996311258195362</v>
      </c>
      <c r="D87" s="2516">
        <v>9.9250000000000007</v>
      </c>
      <c r="E87" s="2517">
        <v>-0.54878798160749998</v>
      </c>
      <c r="F87" s="2518">
        <v>-1.6463639448224997E-2</v>
      </c>
      <c r="G87" s="78"/>
      <c r="H87" t="s">
        <v>8917</v>
      </c>
      <c r="K87" s="434"/>
    </row>
    <row r="88" spans="1:11" ht="12.75" hidden="1" customHeight="1" outlineLevel="1" x14ac:dyDescent="0.25">
      <c r="A88" s="2380">
        <v>0.03</v>
      </c>
      <c r="B88" s="1921" t="s">
        <v>1214</v>
      </c>
      <c r="C88" s="2108">
        <v>89.188000000000002</v>
      </c>
      <c r="D88" s="2516">
        <v>103.38</v>
      </c>
      <c r="E88" s="2517">
        <v>0.15912454590303615</v>
      </c>
      <c r="F88" s="2518">
        <v>4.7737363770910847E-3</v>
      </c>
      <c r="G88" s="78"/>
      <c r="H88" t="s">
        <v>3775</v>
      </c>
      <c r="K88" s="434"/>
    </row>
    <row r="89" spans="1:11" ht="12.75" hidden="1" customHeight="1" outlineLevel="1" x14ac:dyDescent="0.25">
      <c r="A89" s="2380">
        <v>0.02</v>
      </c>
      <c r="B89" s="1921" t="s">
        <v>3960</v>
      </c>
      <c r="C89" s="2108">
        <v>415.14791582411704</v>
      </c>
      <c r="D89" s="2516">
        <v>303.5</v>
      </c>
      <c r="E89" s="2517">
        <v>-0.26893526757199993</v>
      </c>
      <c r="F89" s="2518">
        <v>-5.3787053514399987E-3</v>
      </c>
      <c r="G89" s="78"/>
      <c r="H89" t="s">
        <v>8828</v>
      </c>
      <c r="K89" s="434"/>
    </row>
    <row r="90" spans="1:11" ht="12.75" hidden="1" customHeight="1" outlineLevel="1" x14ac:dyDescent="0.25">
      <c r="A90" s="2380">
        <v>0.02</v>
      </c>
      <c r="B90" s="1921" t="s">
        <v>3551</v>
      </c>
      <c r="C90" s="2108">
        <v>6902.6</v>
      </c>
      <c r="D90" s="2516">
        <v>7542</v>
      </c>
      <c r="E90" s="2517">
        <v>9.2631761944774293E-2</v>
      </c>
      <c r="F90" s="2518">
        <v>1.8526352388954859E-3</v>
      </c>
      <c r="G90" s="78"/>
      <c r="H90" t="s">
        <v>2806</v>
      </c>
      <c r="K90" s="434"/>
    </row>
    <row r="91" spans="1:11" ht="12.75" hidden="1" customHeight="1" outlineLevel="1" x14ac:dyDescent="0.25">
      <c r="A91" s="2380">
        <v>0.08</v>
      </c>
      <c r="B91" s="2109" t="s">
        <v>5758</v>
      </c>
      <c r="C91" s="2108">
        <v>59.796545840570211</v>
      </c>
      <c r="D91" s="2520">
        <v>65.099999999999994</v>
      </c>
      <c r="E91" s="2521">
        <v>8.8691647399999907E-2</v>
      </c>
      <c r="F91" s="2522">
        <v>7.0953317919999924E-3</v>
      </c>
      <c r="G91" s="78"/>
      <c r="H91" t="s">
        <v>5756</v>
      </c>
      <c r="K91" s="434"/>
    </row>
    <row r="92" spans="1:11" ht="12.75" hidden="1" customHeight="1" outlineLevel="1" x14ac:dyDescent="0.25">
      <c r="A92" s="2181" t="s">
        <v>2734</v>
      </c>
      <c r="B92" s="2103"/>
      <c r="C92" s="2523"/>
      <c r="D92" s="2524"/>
      <c r="E92" s="2525"/>
      <c r="F92" s="2525">
        <v>0.24433421301712796</v>
      </c>
      <c r="G92" s="78"/>
    </row>
    <row r="93" spans="1:11" ht="12.75" hidden="1" customHeight="1" outlineLevel="1" x14ac:dyDescent="0.25">
      <c r="A93" s="1956" t="s">
        <v>7199</v>
      </c>
      <c r="B93" s="2185">
        <v>43405</v>
      </c>
      <c r="C93" s="2502">
        <v>100</v>
      </c>
      <c r="D93" s="2502">
        <v>112.6148</v>
      </c>
      <c r="E93" s="2526">
        <v>0.12614799999999993</v>
      </c>
      <c r="F93" s="2527"/>
      <c r="G93" s="78"/>
    </row>
    <row r="94" spans="1:11" ht="12.75" hidden="1" customHeight="1" outlineLevel="1" x14ac:dyDescent="0.25">
      <c r="A94" s="1956" t="s">
        <v>7200</v>
      </c>
      <c r="B94" s="2185">
        <v>43435</v>
      </c>
      <c r="C94" s="2502">
        <v>100</v>
      </c>
      <c r="D94" s="2501">
        <v>105.46210000000001</v>
      </c>
      <c r="E94" s="2526">
        <v>5.4621000000000031E-2</v>
      </c>
      <c r="F94" s="2527"/>
      <c r="G94" s="78"/>
    </row>
    <row r="95" spans="1:11" ht="12.75" hidden="1" customHeight="1" outlineLevel="1" x14ac:dyDescent="0.25">
      <c r="A95" s="1956" t="s">
        <v>7201</v>
      </c>
      <c r="B95" s="2185">
        <v>43466</v>
      </c>
      <c r="C95" s="2502">
        <v>100</v>
      </c>
      <c r="D95" s="2501">
        <v>112.0311</v>
      </c>
      <c r="E95" s="2526">
        <v>0.12031100000000006</v>
      </c>
      <c r="F95" s="2527"/>
      <c r="G95" s="78"/>
    </row>
    <row r="96" spans="1:11" ht="12.75" hidden="1" customHeight="1" outlineLevel="1" x14ac:dyDescent="0.25">
      <c r="A96" s="1956" t="s">
        <v>7202</v>
      </c>
      <c r="B96" s="2185">
        <v>43497</v>
      </c>
      <c r="C96" s="2502">
        <v>100</v>
      </c>
      <c r="D96" s="2501">
        <v>113.8138</v>
      </c>
      <c r="E96" s="2526">
        <v>0.13813800000000009</v>
      </c>
      <c r="F96" s="2527"/>
      <c r="G96" s="78"/>
    </row>
    <row r="97" spans="1:12" ht="12.75" hidden="1" customHeight="1" outlineLevel="1" x14ac:dyDescent="0.25">
      <c r="A97" s="1956" t="s">
        <v>7203</v>
      </c>
      <c r="B97" s="2185">
        <v>43525</v>
      </c>
      <c r="C97" s="2502">
        <v>100</v>
      </c>
      <c r="D97" s="2501">
        <v>116.74160000000001</v>
      </c>
      <c r="E97" s="2526">
        <v>0.16741600000000001</v>
      </c>
      <c r="F97" s="2527"/>
      <c r="G97" s="78"/>
    </row>
    <row r="98" spans="1:12" ht="12.75" hidden="1" customHeight="1" outlineLevel="1" x14ac:dyDescent="0.25">
      <c r="A98" s="1956" t="s">
        <v>7204</v>
      </c>
      <c r="B98" s="2185">
        <v>43556</v>
      </c>
      <c r="C98" s="2502">
        <v>100</v>
      </c>
      <c r="D98" s="2501">
        <v>116.9753</v>
      </c>
      <c r="E98" s="2526">
        <v>0.16975300000000004</v>
      </c>
      <c r="F98" s="2527"/>
      <c r="G98" s="78"/>
    </row>
    <row r="99" spans="1:12" ht="12.75" hidden="1" customHeight="1" outlineLevel="1" x14ac:dyDescent="0.25">
      <c r="A99" s="1956" t="s">
        <v>7205</v>
      </c>
      <c r="B99" s="2185">
        <v>43586</v>
      </c>
      <c r="C99" s="2502">
        <v>100</v>
      </c>
      <c r="D99" s="2501">
        <v>115.23390000000001</v>
      </c>
      <c r="E99" s="2526">
        <v>0.152339</v>
      </c>
      <c r="F99" s="2527"/>
      <c r="G99" s="78"/>
    </row>
    <row r="100" spans="1:12" ht="12.75" hidden="1" customHeight="1" outlineLevel="1" x14ac:dyDescent="0.25">
      <c r="A100" s="1956" t="s">
        <v>7206</v>
      </c>
      <c r="B100" s="2185">
        <v>43617</v>
      </c>
      <c r="C100" s="2502">
        <v>100</v>
      </c>
      <c r="D100" s="2501">
        <v>120.0822</v>
      </c>
      <c r="E100" s="2526">
        <v>0.20082200000000006</v>
      </c>
      <c r="F100" s="2527"/>
      <c r="G100" s="78"/>
    </row>
    <row r="101" spans="1:12" ht="12.75" hidden="1" customHeight="1" outlineLevel="1" x14ac:dyDescent="0.25">
      <c r="A101" s="1956" t="s">
        <v>7207</v>
      </c>
      <c r="B101" s="2185">
        <v>43647</v>
      </c>
      <c r="C101" s="2502">
        <v>100</v>
      </c>
      <c r="D101" s="2501">
        <v>119.5077</v>
      </c>
      <c r="E101" s="2526">
        <v>0.19507699999999994</v>
      </c>
      <c r="F101" s="2527"/>
      <c r="G101" s="78"/>
    </row>
    <row r="102" spans="1:12" ht="12.75" hidden="1" customHeight="1" outlineLevel="1" x14ac:dyDescent="0.25">
      <c r="A102" s="1956" t="s">
        <v>7208</v>
      </c>
      <c r="B102" s="2185">
        <v>43678</v>
      </c>
      <c r="C102" s="2502">
        <v>100</v>
      </c>
      <c r="D102" s="2501">
        <v>120.29600000000001</v>
      </c>
      <c r="E102" s="2526">
        <v>0.20296000000000003</v>
      </c>
      <c r="F102" s="2527"/>
      <c r="G102" s="78"/>
    </row>
    <row r="103" spans="1:12" ht="12.75" hidden="1" customHeight="1" outlineLevel="1" x14ac:dyDescent="0.25">
      <c r="A103" s="1956" t="s">
        <v>7209</v>
      </c>
      <c r="B103" s="2185">
        <v>43709</v>
      </c>
      <c r="C103" s="2502">
        <v>100</v>
      </c>
      <c r="D103" s="2501">
        <v>122.8151</v>
      </c>
      <c r="E103" s="2526">
        <v>0.22815099999999999</v>
      </c>
      <c r="F103" s="2527"/>
      <c r="G103" s="78"/>
    </row>
    <row r="104" spans="1:12" ht="12.75" hidden="1" customHeight="1" outlineLevel="1" x14ac:dyDescent="0.25">
      <c r="A104" s="1956" t="s">
        <v>7210</v>
      </c>
      <c r="B104" s="2185">
        <v>43739</v>
      </c>
      <c r="C104" s="2502">
        <v>100</v>
      </c>
      <c r="D104" s="2501">
        <v>124.85980000000001</v>
      </c>
      <c r="E104" s="2526">
        <v>0.2485980000000001</v>
      </c>
      <c r="F104" s="2527"/>
      <c r="G104" s="78"/>
    </row>
    <row r="105" spans="1:12" ht="12.75" hidden="1" customHeight="1" outlineLevel="1" x14ac:dyDescent="0.25">
      <c r="A105" s="2189" t="s">
        <v>2734</v>
      </c>
      <c r="B105" s="2190"/>
      <c r="C105" s="2501"/>
      <c r="D105" s="2191" t="s">
        <v>2465</v>
      </c>
      <c r="E105" s="1987">
        <v>0.16702783333333335</v>
      </c>
      <c r="F105" s="2528">
        <v>0.16702783333333335</v>
      </c>
      <c r="G105" s="78"/>
    </row>
    <row r="106" spans="1:12" collapsed="1" x14ac:dyDescent="0.25">
      <c r="A106" s="3801" t="s">
        <v>7211</v>
      </c>
      <c r="B106" s="3802"/>
      <c r="C106" s="3802"/>
      <c r="D106" s="3802"/>
      <c r="E106" s="1906"/>
      <c r="F106" s="1907">
        <v>0.16702783333333335</v>
      </c>
      <c r="G106" s="78"/>
    </row>
    <row r="108" spans="1:12" ht="12.75" hidden="1" customHeight="1" outlineLevel="1" x14ac:dyDescent="0.25">
      <c r="A108" s="2708" t="s">
        <v>113</v>
      </c>
      <c r="B108" s="2708" t="s">
        <v>114</v>
      </c>
      <c r="C108" s="2708" t="s">
        <v>112</v>
      </c>
      <c r="D108" s="2708" t="s">
        <v>116</v>
      </c>
      <c r="E108" s="2708" t="s">
        <v>117</v>
      </c>
      <c r="F108" s="2708" t="s">
        <v>121</v>
      </c>
      <c r="G108" s="78"/>
    </row>
    <row r="109" spans="1:12" ht="12.75" hidden="1" customHeight="1" outlineLevel="1" x14ac:dyDescent="0.25">
      <c r="A109" s="2709">
        <v>1</v>
      </c>
      <c r="B109" s="2710" t="s">
        <v>252</v>
      </c>
      <c r="C109" s="2711">
        <v>100</v>
      </c>
      <c r="D109" s="2711"/>
      <c r="E109" s="2712"/>
      <c r="F109" s="2713"/>
      <c r="G109" s="78"/>
    </row>
    <row r="110" spans="1:12" ht="12.75" hidden="1" customHeight="1" outlineLevel="1" x14ac:dyDescent="0.25">
      <c r="A110" s="2714" t="s">
        <v>2734</v>
      </c>
      <c r="B110" s="2714"/>
      <c r="C110" s="2715"/>
      <c r="D110" s="1900" t="s">
        <v>3702</v>
      </c>
      <c r="E110" s="2716">
        <v>43830</v>
      </c>
      <c r="F110" s="2717"/>
      <c r="G110" s="78"/>
    </row>
    <row r="111" spans="1:12" ht="12.75" hidden="1" customHeight="1" outlineLevel="1" x14ac:dyDescent="0.25">
      <c r="A111" s="2708" t="s">
        <v>4156</v>
      </c>
      <c r="B111" s="2708" t="s">
        <v>4153</v>
      </c>
      <c r="C111" s="2718" t="s">
        <v>112</v>
      </c>
      <c r="D111" s="2719" t="s">
        <v>4155</v>
      </c>
      <c r="E111" s="2719" t="s">
        <v>4154</v>
      </c>
      <c r="F111" s="2719" t="s">
        <v>2519</v>
      </c>
      <c r="G111" s="78"/>
    </row>
    <row r="112" spans="1:12" ht="12.75" hidden="1" customHeight="1" outlineLevel="1" x14ac:dyDescent="0.25">
      <c r="A112" s="1991">
        <v>0.02</v>
      </c>
      <c r="B112" s="1921" t="s">
        <v>2917</v>
      </c>
      <c r="C112" s="2108">
        <v>57.039000000000001</v>
      </c>
      <c r="D112" s="2720">
        <v>289.8</v>
      </c>
      <c r="E112" s="2721">
        <v>4.0807342344711515</v>
      </c>
      <c r="F112" s="2722">
        <v>8.1614684689423025E-2</v>
      </c>
      <c r="G112" s="78"/>
      <c r="H112" t="s">
        <v>2929</v>
      </c>
      <c r="L112" s="434"/>
    </row>
    <row r="113" spans="1:12" ht="12.75" hidden="1" customHeight="1" outlineLevel="1" x14ac:dyDescent="0.25">
      <c r="A113" s="2380">
        <v>0.02</v>
      </c>
      <c r="B113" s="1921" t="s">
        <v>7098</v>
      </c>
      <c r="C113" s="2108">
        <v>83.017416090893846</v>
      </c>
      <c r="D113" s="2723">
        <v>126.2</v>
      </c>
      <c r="E113" s="2724">
        <v>0.52016294823999987</v>
      </c>
      <c r="F113" s="2725">
        <v>1.0403258964799997E-2</v>
      </c>
      <c r="G113" s="78"/>
      <c r="H113" t="s">
        <v>7099</v>
      </c>
      <c r="L113" s="434"/>
    </row>
    <row r="114" spans="1:12" ht="12.75" hidden="1" customHeight="1" outlineLevel="1" x14ac:dyDescent="0.25">
      <c r="A114" s="2380">
        <v>0.02</v>
      </c>
      <c r="B114" s="1921" t="s">
        <v>7312</v>
      </c>
      <c r="C114" s="2108">
        <v>45.863500000000002</v>
      </c>
      <c r="D114" s="2723">
        <v>130.47999999999999</v>
      </c>
      <c r="E114" s="2724">
        <v>1.8449638601502278</v>
      </c>
      <c r="F114" s="2725">
        <v>3.6899277203004559E-2</v>
      </c>
      <c r="G114" s="78"/>
      <c r="H114" t="s">
        <v>7310</v>
      </c>
      <c r="L114" s="434"/>
    </row>
    <row r="115" spans="1:12" ht="12.75" hidden="1" customHeight="1" outlineLevel="1" x14ac:dyDescent="0.25">
      <c r="A115" s="2380">
        <v>0.02</v>
      </c>
      <c r="B115" s="1921" t="s">
        <v>3320</v>
      </c>
      <c r="C115" s="2108">
        <v>98.43</v>
      </c>
      <c r="D115" s="2723">
        <v>72.709999999999994</v>
      </c>
      <c r="E115" s="2724">
        <v>-0.2613024484405162</v>
      </c>
      <c r="F115" s="2725">
        <v>-5.2260489688103241E-3</v>
      </c>
      <c r="G115" s="78"/>
      <c r="H115" t="s">
        <v>4093</v>
      </c>
      <c r="L115" s="434"/>
    </row>
    <row r="116" spans="1:12" ht="12.75" hidden="1" customHeight="1" outlineLevel="1" x14ac:dyDescent="0.25">
      <c r="A116" s="2380">
        <v>0.02</v>
      </c>
      <c r="B116" s="1921" t="s">
        <v>1141</v>
      </c>
      <c r="C116" s="2108">
        <v>91.415000000000006</v>
      </c>
      <c r="D116" s="2723">
        <v>73.14</v>
      </c>
      <c r="E116" s="2724">
        <v>-0.19991248700979058</v>
      </c>
      <c r="F116" s="2725">
        <v>-3.9982497401958115E-3</v>
      </c>
      <c r="G116" s="78"/>
      <c r="H116" t="s">
        <v>666</v>
      </c>
      <c r="L116" s="434"/>
    </row>
    <row r="117" spans="1:12" ht="12.75" hidden="1" customHeight="1" outlineLevel="1" x14ac:dyDescent="0.25">
      <c r="A117" s="2380">
        <v>0.02</v>
      </c>
      <c r="B117" s="1921" t="s">
        <v>7315</v>
      </c>
      <c r="C117" s="2108">
        <v>60.101999999999997</v>
      </c>
      <c r="D117" s="2723">
        <v>108.9</v>
      </c>
      <c r="E117" s="2724">
        <v>0.81191973644803861</v>
      </c>
      <c r="F117" s="2725">
        <v>1.6238394728960773E-2</v>
      </c>
      <c r="G117" s="78"/>
      <c r="H117" t="s">
        <v>7313</v>
      </c>
      <c r="L117" s="434"/>
    </row>
    <row r="118" spans="1:12" ht="12.75" hidden="1" customHeight="1" outlineLevel="1" x14ac:dyDescent="0.25">
      <c r="A118" s="2380">
        <v>0.02</v>
      </c>
      <c r="B118" s="1921" t="s">
        <v>4025</v>
      </c>
      <c r="C118" s="2108">
        <v>72.594999999999999</v>
      </c>
      <c r="D118" s="2723">
        <v>49.37</v>
      </c>
      <c r="E118" s="2724">
        <v>-0.31992561471175707</v>
      </c>
      <c r="F118" s="2725">
        <v>-6.3985122942351418E-3</v>
      </c>
      <c r="G118" s="78"/>
      <c r="H118" t="s">
        <v>3977</v>
      </c>
      <c r="L118" s="434"/>
    </row>
    <row r="119" spans="1:12" ht="12.75" hidden="1" customHeight="1" outlineLevel="1" x14ac:dyDescent="0.25">
      <c r="A119" s="2380">
        <v>0.02</v>
      </c>
      <c r="B119" s="1921" t="s">
        <v>1108</v>
      </c>
      <c r="C119" s="2108">
        <v>22.009235209350177</v>
      </c>
      <c r="D119" s="2723">
        <v>6.9169999999999998</v>
      </c>
      <c r="E119" s="2724">
        <v>-0.68572283706334991</v>
      </c>
      <c r="F119" s="2725">
        <v>-1.3714456741266999E-2</v>
      </c>
      <c r="G119" s="78"/>
      <c r="H119" t="s">
        <v>1109</v>
      </c>
      <c r="L119" s="434"/>
    </row>
    <row r="120" spans="1:12" ht="12.75" hidden="1" customHeight="1" outlineLevel="1" x14ac:dyDescent="0.25">
      <c r="A120" s="2380">
        <v>0.05</v>
      </c>
      <c r="B120" s="1921" t="s">
        <v>7316</v>
      </c>
      <c r="C120" s="2108">
        <v>45.250500000000002</v>
      </c>
      <c r="D120" s="2723">
        <v>116.1</v>
      </c>
      <c r="E120" s="2724">
        <v>1.5657175058839128</v>
      </c>
      <c r="F120" s="2725">
        <v>7.8285875294195645E-2</v>
      </c>
      <c r="G120" s="78"/>
      <c r="H120" t="s">
        <v>3309</v>
      </c>
      <c r="L120" s="434"/>
    </row>
    <row r="121" spans="1:12" ht="12.75" hidden="1" customHeight="1" outlineLevel="1" x14ac:dyDescent="0.25">
      <c r="A121" s="2380">
        <v>0.04</v>
      </c>
      <c r="B121" s="1921" t="s">
        <v>7317</v>
      </c>
      <c r="C121" s="2108">
        <v>98.923897924465834</v>
      </c>
      <c r="D121" s="2723">
        <v>135.80000000000001</v>
      </c>
      <c r="E121" s="2724">
        <v>0.37277243263999993</v>
      </c>
      <c r="F121" s="2725">
        <v>1.4910897305599998E-2</v>
      </c>
      <c r="G121" s="78"/>
      <c r="H121" t="s">
        <v>9482</v>
      </c>
      <c r="L121" s="434"/>
    </row>
    <row r="122" spans="1:12" ht="12.75" hidden="1" customHeight="1" outlineLevel="1" x14ac:dyDescent="0.25">
      <c r="A122" s="2380">
        <v>0.02</v>
      </c>
      <c r="B122" s="1921" t="s">
        <v>2844</v>
      </c>
      <c r="C122" s="2108">
        <v>63.968000000000004</v>
      </c>
      <c r="D122" s="2723">
        <v>65.959999999999994</v>
      </c>
      <c r="E122" s="2724">
        <v>3.1140570285142388E-2</v>
      </c>
      <c r="F122" s="2725">
        <v>6.2281140570284775E-4</v>
      </c>
      <c r="G122" s="78"/>
      <c r="H122" t="s">
        <v>4094</v>
      </c>
      <c r="L122" s="434"/>
    </row>
    <row r="123" spans="1:12" ht="12.75" hidden="1" customHeight="1" outlineLevel="1" x14ac:dyDescent="0.25">
      <c r="A123" s="2380">
        <v>0.02</v>
      </c>
      <c r="B123" s="1921" t="s">
        <v>6450</v>
      </c>
      <c r="C123" s="2108">
        <v>153.3104670260729</v>
      </c>
      <c r="D123" s="2723">
        <v>585.20000000000005</v>
      </c>
      <c r="E123" s="2724">
        <v>2.8170909746200006</v>
      </c>
      <c r="F123" s="2725">
        <v>5.6341819492400011E-2</v>
      </c>
      <c r="G123" s="78"/>
      <c r="H123" t="s">
        <v>6448</v>
      </c>
      <c r="L123" s="434"/>
    </row>
    <row r="124" spans="1:12" ht="12.75" hidden="1" customHeight="1" outlineLevel="1" x14ac:dyDescent="0.25">
      <c r="A124" s="2380">
        <v>0.08</v>
      </c>
      <c r="B124" s="1921" t="s">
        <v>1205</v>
      </c>
      <c r="C124" s="2519">
        <v>24.107500000000002</v>
      </c>
      <c r="D124" s="2723">
        <v>43.52</v>
      </c>
      <c r="E124" s="2724">
        <v>0.80524732966918999</v>
      </c>
      <c r="F124" s="2725">
        <v>6.4419786373535196E-2</v>
      </c>
      <c r="G124" s="78"/>
      <c r="H124" t="s">
        <v>1092</v>
      </c>
      <c r="L124" s="434"/>
    </row>
    <row r="125" spans="1:12" ht="12.75" hidden="1" customHeight="1" outlineLevel="1" x14ac:dyDescent="0.25">
      <c r="A125" s="2380">
        <v>0.02</v>
      </c>
      <c r="B125" s="1921" t="s">
        <v>64</v>
      </c>
      <c r="C125" s="2108">
        <v>102.00324686535097</v>
      </c>
      <c r="D125" s="2723">
        <v>190.8</v>
      </c>
      <c r="E125" s="2724">
        <v>0.87052869259999999</v>
      </c>
      <c r="F125" s="2725">
        <v>1.7410573852E-2</v>
      </c>
      <c r="G125" s="78"/>
      <c r="H125" t="s">
        <v>2388</v>
      </c>
      <c r="L125" s="434"/>
    </row>
    <row r="126" spans="1:12" ht="12.75" hidden="1" customHeight="1" outlineLevel="1" x14ac:dyDescent="0.25">
      <c r="A126" s="2380">
        <v>0.05</v>
      </c>
      <c r="B126" s="1921" t="s">
        <v>2856</v>
      </c>
      <c r="C126" s="2108">
        <v>144.07499999999999</v>
      </c>
      <c r="D126" s="2723">
        <v>264</v>
      </c>
      <c r="E126" s="2724">
        <v>0.83237896928682997</v>
      </c>
      <c r="F126" s="2725">
        <v>4.1618948464341499E-2</v>
      </c>
      <c r="G126" s="78"/>
      <c r="H126" t="s">
        <v>2721</v>
      </c>
      <c r="L126" s="434"/>
    </row>
    <row r="127" spans="1:12" ht="12.75" hidden="1" customHeight="1" outlineLevel="1" x14ac:dyDescent="0.25">
      <c r="A127" s="2380">
        <v>0</v>
      </c>
      <c r="B127" s="1921" t="s">
        <v>7320</v>
      </c>
      <c r="C127" s="2108">
        <v>48.15</v>
      </c>
      <c r="D127" s="2723">
        <v>49</v>
      </c>
      <c r="E127" s="2724">
        <v>1.7653167185877505E-2</v>
      </c>
      <c r="F127" s="2725">
        <v>0</v>
      </c>
      <c r="G127" s="78"/>
      <c r="H127" t="s">
        <v>7318</v>
      </c>
      <c r="L127" s="434"/>
    </row>
    <row r="128" spans="1:12" ht="12.75" hidden="1" customHeight="1" outlineLevel="1" x14ac:dyDescent="0.25">
      <c r="A128" s="2380">
        <v>0.08</v>
      </c>
      <c r="B128" s="1921" t="s">
        <v>1528</v>
      </c>
      <c r="C128" s="2108">
        <v>133.22999999999999</v>
      </c>
      <c r="D128" s="2723">
        <v>414.2</v>
      </c>
      <c r="E128" s="2724">
        <v>2.1089094047887116</v>
      </c>
      <c r="F128" s="2725">
        <v>0.16871275238309694</v>
      </c>
      <c r="G128" s="78"/>
      <c r="H128" t="s">
        <v>4149</v>
      </c>
      <c r="L128" s="434"/>
    </row>
    <row r="129" spans="1:12" ht="12.75" hidden="1" customHeight="1" outlineLevel="1" x14ac:dyDescent="0.25">
      <c r="A129" s="2380">
        <v>0.04</v>
      </c>
      <c r="B129" s="1921" t="s">
        <v>7321</v>
      </c>
      <c r="C129" s="2108">
        <v>77.218999999999994</v>
      </c>
      <c r="D129" s="2723">
        <v>109.1</v>
      </c>
      <c r="E129" s="2724">
        <v>0.41286470946269693</v>
      </c>
      <c r="F129" s="2725">
        <v>1.6514588378507878E-2</v>
      </c>
      <c r="G129" s="78"/>
      <c r="H129" t="s">
        <v>7322</v>
      </c>
      <c r="L129" s="434"/>
    </row>
    <row r="130" spans="1:12" ht="12.75" hidden="1" customHeight="1" outlineLevel="1" x14ac:dyDescent="0.25">
      <c r="A130" s="2380">
        <v>0.04</v>
      </c>
      <c r="B130" s="1921" t="s">
        <v>4044</v>
      </c>
      <c r="C130" s="2108">
        <v>99.239000000000004</v>
      </c>
      <c r="D130" s="2723">
        <v>159.4</v>
      </c>
      <c r="E130" s="2724">
        <v>0.60622335976783326</v>
      </c>
      <c r="F130" s="2725">
        <v>2.424893439071333E-2</v>
      </c>
      <c r="G130" s="78"/>
      <c r="H130" t="s">
        <v>4045</v>
      </c>
      <c r="L130" s="434"/>
    </row>
    <row r="131" spans="1:12" ht="12.75" hidden="1" customHeight="1" outlineLevel="1" x14ac:dyDescent="0.25">
      <c r="A131" s="2380">
        <v>0.02</v>
      </c>
      <c r="B131" s="1921" t="s">
        <v>818</v>
      </c>
      <c r="C131" s="2108">
        <v>61.283999999999999</v>
      </c>
      <c r="D131" s="2723">
        <v>40.36</v>
      </c>
      <c r="E131" s="2724">
        <v>-0.34142679981724433</v>
      </c>
      <c r="F131" s="2725">
        <v>-6.828535996344887E-3</v>
      </c>
      <c r="G131" s="78"/>
      <c r="H131" t="s">
        <v>2421</v>
      </c>
      <c r="L131" s="434"/>
    </row>
    <row r="132" spans="1:12" ht="12.75" hidden="1" customHeight="1" outlineLevel="1" x14ac:dyDescent="0.25">
      <c r="A132" s="2380">
        <v>0.02</v>
      </c>
      <c r="B132" s="1921" t="s">
        <v>7324</v>
      </c>
      <c r="C132" s="2108">
        <v>40.865739214083753</v>
      </c>
      <c r="D132" s="2723">
        <v>54.44</v>
      </c>
      <c r="E132" s="2724">
        <v>0.33216726399599983</v>
      </c>
      <c r="F132" s="2725">
        <v>6.6433452799199971E-3</v>
      </c>
      <c r="G132" s="78"/>
      <c r="H132" t="s">
        <v>7325</v>
      </c>
      <c r="L132" s="434"/>
    </row>
    <row r="133" spans="1:12" ht="12.75" hidden="1" customHeight="1" outlineLevel="1" x14ac:dyDescent="0.25">
      <c r="A133" s="2380">
        <v>0.08</v>
      </c>
      <c r="B133" s="1921" t="s">
        <v>1653</v>
      </c>
      <c r="C133" s="2108">
        <v>13.078122801662067</v>
      </c>
      <c r="D133" s="2723">
        <v>22.46</v>
      </c>
      <c r="E133" s="2724">
        <v>0.71737185379125012</v>
      </c>
      <c r="F133" s="2725">
        <v>5.7389748303300014E-2</v>
      </c>
      <c r="G133" s="78"/>
      <c r="H133" t="s">
        <v>285</v>
      </c>
      <c r="L133" s="434"/>
    </row>
    <row r="134" spans="1:12" ht="12.75" hidden="1" customHeight="1" outlineLevel="1" x14ac:dyDescent="0.25">
      <c r="A134" s="2380">
        <v>0.02</v>
      </c>
      <c r="B134" s="1921" t="s">
        <v>7327</v>
      </c>
      <c r="C134" s="2108">
        <v>54.73</v>
      </c>
      <c r="D134" s="2723">
        <v>137.65</v>
      </c>
      <c r="E134" s="2724">
        <v>1.5150739996345699</v>
      </c>
      <c r="F134" s="2725">
        <v>3.0301479992691397E-2</v>
      </c>
      <c r="G134" s="78"/>
      <c r="H134" t="s">
        <v>7328</v>
      </c>
      <c r="L134" s="434"/>
    </row>
    <row r="135" spans="1:12" ht="12.75" hidden="1" customHeight="1" outlineLevel="1" x14ac:dyDescent="0.25">
      <c r="A135" s="2380">
        <v>0.08</v>
      </c>
      <c r="B135" s="1921" t="s">
        <v>1187</v>
      </c>
      <c r="C135" s="2108">
        <v>77.926000000000002</v>
      </c>
      <c r="D135" s="2723">
        <v>89.62</v>
      </c>
      <c r="E135" s="2724">
        <v>0.15006544670584909</v>
      </c>
      <c r="F135" s="2725">
        <v>1.2005235736467928E-2</v>
      </c>
      <c r="G135" s="78"/>
      <c r="H135" t="s">
        <v>3483</v>
      </c>
      <c r="L135" s="434"/>
    </row>
    <row r="136" spans="1:12" ht="12.75" hidden="1" customHeight="1" outlineLevel="1" x14ac:dyDescent="0.25">
      <c r="A136" s="2380">
        <v>0.02</v>
      </c>
      <c r="B136" s="1921" t="s">
        <v>1206</v>
      </c>
      <c r="C136" s="2108">
        <v>56.456000000000003</v>
      </c>
      <c r="D136" s="2723">
        <v>120.32</v>
      </c>
      <c r="E136" s="2724">
        <v>1.1312172311180384</v>
      </c>
      <c r="F136" s="2725">
        <v>2.2624344622360768E-2</v>
      </c>
      <c r="G136" s="78"/>
      <c r="H136" t="s">
        <v>3484</v>
      </c>
      <c r="L136" s="434"/>
    </row>
    <row r="137" spans="1:12" ht="12.75" hidden="1" customHeight="1" outlineLevel="1" x14ac:dyDescent="0.25">
      <c r="A137" s="2380">
        <v>0.02</v>
      </c>
      <c r="B137" s="1921" t="s">
        <v>279</v>
      </c>
      <c r="C137" s="2108">
        <v>62.043999999999997</v>
      </c>
      <c r="D137" s="2723">
        <v>91.5</v>
      </c>
      <c r="E137" s="2724">
        <v>0.4747598478499131</v>
      </c>
      <c r="F137" s="2725">
        <v>9.4951969569982628E-3</v>
      </c>
      <c r="G137" s="78"/>
      <c r="H137" t="s">
        <v>1468</v>
      </c>
      <c r="L137" s="434"/>
    </row>
    <row r="138" spans="1:12" ht="12.75" hidden="1" customHeight="1" outlineLevel="1" x14ac:dyDescent="0.25">
      <c r="A138" s="2380">
        <v>0.02</v>
      </c>
      <c r="B138" s="1921" t="s">
        <v>1214</v>
      </c>
      <c r="C138" s="2108">
        <v>95.003</v>
      </c>
      <c r="D138" s="2723">
        <v>116.54</v>
      </c>
      <c r="E138" s="2724">
        <v>0.2266981042703915</v>
      </c>
      <c r="F138" s="2725">
        <v>4.53396208540783E-3</v>
      </c>
      <c r="G138" s="78"/>
      <c r="H138" t="s">
        <v>3775</v>
      </c>
      <c r="L138" s="434"/>
    </row>
    <row r="139" spans="1:12" ht="12.75" hidden="1" customHeight="1" outlineLevel="1" x14ac:dyDescent="0.25">
      <c r="A139" s="2380">
        <v>0.02</v>
      </c>
      <c r="B139" s="1921" t="s">
        <v>10136</v>
      </c>
      <c r="C139" s="2108">
        <v>23.774500008594483</v>
      </c>
      <c r="D139" s="2723">
        <v>18.91</v>
      </c>
      <c r="E139" s="2724">
        <v>-0.20460998156999999</v>
      </c>
      <c r="F139" s="2725">
        <v>-4.0921996313999995E-3</v>
      </c>
      <c r="G139" s="78"/>
      <c r="H139" t="s">
        <v>10137</v>
      </c>
      <c r="L139" s="434"/>
    </row>
    <row r="140" spans="1:12" ht="12.75" hidden="1" customHeight="1" outlineLevel="1" x14ac:dyDescent="0.25">
      <c r="A140" s="2380">
        <v>0.08</v>
      </c>
      <c r="B140" s="1921" t="s">
        <v>507</v>
      </c>
      <c r="C140" s="2108">
        <v>34.033999999999999</v>
      </c>
      <c r="D140" s="2723">
        <v>51.23</v>
      </c>
      <c r="E140" s="2724">
        <v>0.50525944643591703</v>
      </c>
      <c r="F140" s="2725">
        <v>4.0420755714873365E-2</v>
      </c>
      <c r="G140" s="78"/>
      <c r="H140" t="s">
        <v>2810</v>
      </c>
      <c r="L140" s="434"/>
    </row>
    <row r="141" spans="1:12" ht="12.75" hidden="1" customHeight="1" outlineLevel="1" x14ac:dyDescent="0.25">
      <c r="A141" s="2380">
        <v>0.02</v>
      </c>
      <c r="B141" s="2109" t="s">
        <v>7335</v>
      </c>
      <c r="C141" s="2108">
        <v>11.886449689896523</v>
      </c>
      <c r="D141" s="2726">
        <v>2.8120000000000003</v>
      </c>
      <c r="E141" s="2727">
        <v>-0.7634280989394</v>
      </c>
      <c r="F141" s="2728">
        <v>-1.5268561978788E-2</v>
      </c>
      <c r="G141" s="78"/>
      <c r="H141" t="s">
        <v>7334</v>
      </c>
      <c r="L141" s="434"/>
    </row>
    <row r="142" spans="1:12" ht="12.75" hidden="1" customHeight="1" outlineLevel="1" x14ac:dyDescent="0.25">
      <c r="A142" s="2181" t="s">
        <v>2734</v>
      </c>
      <c r="B142" s="2103"/>
      <c r="C142" s="2729"/>
      <c r="D142" s="2730"/>
      <c r="E142" s="2731"/>
      <c r="F142" s="2731">
        <v>0.75613010626725996</v>
      </c>
      <c r="G142" s="78"/>
    </row>
    <row r="143" spans="1:12" ht="12.75" hidden="1" customHeight="1" outlineLevel="1" x14ac:dyDescent="0.25">
      <c r="A143" s="1956" t="s">
        <v>7297</v>
      </c>
      <c r="B143" s="2185">
        <v>43466</v>
      </c>
      <c r="C143" s="2732">
        <v>100</v>
      </c>
      <c r="D143" s="2732">
        <v>140.2467</v>
      </c>
      <c r="E143" s="2733">
        <v>0.40246700000000013</v>
      </c>
      <c r="F143" s="2734"/>
      <c r="G143" s="78"/>
    </row>
    <row r="144" spans="1:12" ht="12.75" hidden="1" customHeight="1" outlineLevel="1" x14ac:dyDescent="0.25">
      <c r="A144" s="1956" t="s">
        <v>7298</v>
      </c>
      <c r="B144" s="2185">
        <v>43497</v>
      </c>
      <c r="C144" s="2732">
        <v>100</v>
      </c>
      <c r="D144" s="2735">
        <v>147.66309999999999</v>
      </c>
      <c r="E144" s="2733">
        <v>0.4766309999999998</v>
      </c>
      <c r="F144" s="2734"/>
      <c r="G144" s="78"/>
    </row>
    <row r="145" spans="1:12" ht="12.75" hidden="1" customHeight="1" outlineLevel="1" x14ac:dyDescent="0.25">
      <c r="A145" s="1956" t="s">
        <v>7299</v>
      </c>
      <c r="B145" s="2185">
        <v>43525</v>
      </c>
      <c r="C145" s="2732">
        <v>100</v>
      </c>
      <c r="D145" s="2735">
        <v>152.6474</v>
      </c>
      <c r="E145" s="2733">
        <v>0.52647400000000011</v>
      </c>
      <c r="F145" s="2734"/>
      <c r="G145" s="78"/>
    </row>
    <row r="146" spans="1:12" ht="12.75" hidden="1" customHeight="1" outlineLevel="1" x14ac:dyDescent="0.25">
      <c r="A146" s="1956" t="s">
        <v>7300</v>
      </c>
      <c r="B146" s="2185">
        <v>43556</v>
      </c>
      <c r="C146" s="2732">
        <v>100</v>
      </c>
      <c r="D146" s="2735">
        <v>160.47450000000001</v>
      </c>
      <c r="E146" s="2733">
        <v>0.60474500000000009</v>
      </c>
      <c r="F146" s="2734"/>
      <c r="G146" s="78"/>
    </row>
    <row r="147" spans="1:12" ht="12.75" hidden="1" customHeight="1" outlineLevel="1" x14ac:dyDescent="0.25">
      <c r="A147" s="1956" t="s">
        <v>7301</v>
      </c>
      <c r="B147" s="2185">
        <v>43586</v>
      </c>
      <c r="C147" s="2732">
        <v>100</v>
      </c>
      <c r="D147" s="2735">
        <v>154.44110000000001</v>
      </c>
      <c r="E147" s="2733">
        <v>0.54441099999999998</v>
      </c>
      <c r="F147" s="2734"/>
      <c r="G147" s="78"/>
    </row>
    <row r="148" spans="1:12" ht="12.75" hidden="1" customHeight="1" outlineLevel="1" x14ac:dyDescent="0.25">
      <c r="A148" s="1956" t="s">
        <v>7302</v>
      </c>
      <c r="B148" s="2185">
        <v>43617</v>
      </c>
      <c r="C148" s="2732">
        <v>100</v>
      </c>
      <c r="D148" s="2735">
        <v>164.7962</v>
      </c>
      <c r="E148" s="2733">
        <v>0.64796199999999993</v>
      </c>
      <c r="F148" s="2734"/>
      <c r="G148" s="78"/>
    </row>
    <row r="149" spans="1:12" ht="12.75" hidden="1" customHeight="1" outlineLevel="1" x14ac:dyDescent="0.25">
      <c r="A149" s="1956" t="s">
        <v>7303</v>
      </c>
      <c r="B149" s="2185">
        <v>43647</v>
      </c>
      <c r="C149" s="2732">
        <v>100</v>
      </c>
      <c r="D149" s="2735">
        <v>165.93199999999999</v>
      </c>
      <c r="E149" s="2733">
        <v>0.65931999999999991</v>
      </c>
      <c r="F149" s="2734"/>
      <c r="G149" s="78"/>
    </row>
    <row r="150" spans="1:12" ht="12.75" hidden="1" customHeight="1" outlineLevel="1" x14ac:dyDescent="0.25">
      <c r="A150" s="1956" t="s">
        <v>7304</v>
      </c>
      <c r="B150" s="2185">
        <v>43678</v>
      </c>
      <c r="C150" s="2732">
        <v>100</v>
      </c>
      <c r="D150" s="2735">
        <v>165.15899999999999</v>
      </c>
      <c r="E150" s="2733">
        <v>0.65158999999999989</v>
      </c>
      <c r="F150" s="2734"/>
      <c r="G150" s="78"/>
    </row>
    <row r="151" spans="1:12" ht="12.75" hidden="1" customHeight="1" outlineLevel="1" x14ac:dyDescent="0.25">
      <c r="A151" s="1956" t="s">
        <v>7305</v>
      </c>
      <c r="B151" s="2185">
        <v>43709</v>
      </c>
      <c r="C151" s="2732">
        <v>100</v>
      </c>
      <c r="D151" s="2735">
        <v>167.42009999999999</v>
      </c>
      <c r="E151" s="2733">
        <v>0.67420099999999983</v>
      </c>
      <c r="F151" s="2734"/>
      <c r="G151" s="78"/>
    </row>
    <row r="152" spans="1:12" ht="12.75" hidden="1" customHeight="1" outlineLevel="1" x14ac:dyDescent="0.25">
      <c r="A152" s="1956" t="s">
        <v>7306</v>
      </c>
      <c r="B152" s="2185">
        <v>43739</v>
      </c>
      <c r="C152" s="2732">
        <v>100</v>
      </c>
      <c r="D152" s="2735">
        <v>167.3511</v>
      </c>
      <c r="E152" s="2733">
        <v>0.67351099999999997</v>
      </c>
      <c r="F152" s="2734"/>
      <c r="G152" s="78"/>
    </row>
    <row r="153" spans="1:12" ht="12.75" hidden="1" customHeight="1" outlineLevel="1" x14ac:dyDescent="0.25">
      <c r="A153" s="1956" t="s">
        <v>7307</v>
      </c>
      <c r="B153" s="2185">
        <v>43770</v>
      </c>
      <c r="C153" s="2732">
        <v>100</v>
      </c>
      <c r="D153" s="2735">
        <v>174.18299999999999</v>
      </c>
      <c r="E153" s="2733">
        <v>0.74182999999999999</v>
      </c>
      <c r="F153" s="2734"/>
      <c r="G153" s="78"/>
    </row>
    <row r="154" spans="1:12" ht="12.75" hidden="1" customHeight="1" outlineLevel="1" x14ac:dyDescent="0.25">
      <c r="A154" s="1956" t="s">
        <v>7308</v>
      </c>
      <c r="B154" s="2185">
        <v>43800</v>
      </c>
      <c r="C154" s="2732">
        <v>100</v>
      </c>
      <c r="D154" s="2735">
        <v>175.67959999999999</v>
      </c>
      <c r="E154" s="2733">
        <v>0.75679600000000002</v>
      </c>
      <c r="F154" s="2734"/>
      <c r="G154" s="78"/>
    </row>
    <row r="155" spans="1:12" ht="12.75" hidden="1" customHeight="1" outlineLevel="1" x14ac:dyDescent="0.25">
      <c r="A155" s="2189" t="s">
        <v>2734</v>
      </c>
      <c r="B155" s="2190"/>
      <c r="C155" s="2735"/>
      <c r="D155" s="2191" t="s">
        <v>2465</v>
      </c>
      <c r="E155" s="1987">
        <v>0.61332816666666667</v>
      </c>
      <c r="F155" s="2528">
        <v>0.61332816666666667</v>
      </c>
      <c r="G155" s="78"/>
    </row>
    <row r="156" spans="1:12" collapsed="1" x14ac:dyDescent="0.25">
      <c r="A156" s="3801" t="s">
        <v>7309</v>
      </c>
      <c r="B156" s="3802"/>
      <c r="C156" s="3802"/>
      <c r="D156" s="3802"/>
      <c r="E156" s="1906"/>
      <c r="F156" s="1907">
        <v>0.61332816666666667</v>
      </c>
      <c r="G156" s="78"/>
    </row>
    <row r="158" spans="1:12" ht="12.75" hidden="1" customHeight="1" outlineLevel="1" x14ac:dyDescent="0.25">
      <c r="A158" s="3180" t="s">
        <v>113</v>
      </c>
      <c r="B158" s="3180" t="s">
        <v>114</v>
      </c>
      <c r="C158" s="3180" t="s">
        <v>112</v>
      </c>
      <c r="D158" s="3180" t="s">
        <v>116</v>
      </c>
      <c r="E158" s="3180" t="s">
        <v>117</v>
      </c>
      <c r="F158" s="3180" t="s">
        <v>121</v>
      </c>
      <c r="G158" s="78"/>
    </row>
    <row r="159" spans="1:12" ht="12.75" hidden="1" customHeight="1" outlineLevel="1" x14ac:dyDescent="0.25">
      <c r="A159" s="3182">
        <v>1</v>
      </c>
      <c r="B159" s="3183" t="s">
        <v>252</v>
      </c>
      <c r="C159" s="3184">
        <v>100</v>
      </c>
      <c r="D159" s="3184"/>
      <c r="E159" s="3361"/>
      <c r="F159" s="3362"/>
      <c r="G159" s="78"/>
      <c r="J159" s="412" t="s">
        <v>7865</v>
      </c>
    </row>
    <row r="160" spans="1:12" ht="12.75" hidden="1" customHeight="1" outlineLevel="1" x14ac:dyDescent="0.25">
      <c r="A160" s="3187" t="s">
        <v>2734</v>
      </c>
      <c r="B160" s="3187"/>
      <c r="C160" s="3188"/>
      <c r="D160" s="1900" t="s">
        <v>3702</v>
      </c>
      <c r="E160" s="3189">
        <v>43496</v>
      </c>
      <c r="F160" s="3363"/>
      <c r="G160" s="78"/>
      <c r="J160" s="412" t="s">
        <v>7866</v>
      </c>
      <c r="K160" s="412" t="s">
        <v>8501</v>
      </c>
      <c r="L160" s="412" t="s">
        <v>9085</v>
      </c>
    </row>
    <row r="161" spans="1:16" ht="12.75" hidden="1" customHeight="1" outlineLevel="1" x14ac:dyDescent="0.25">
      <c r="A161" s="3180" t="s">
        <v>4156</v>
      </c>
      <c r="B161" s="3180" t="s">
        <v>4153</v>
      </c>
      <c r="C161" s="3364" t="s">
        <v>112</v>
      </c>
      <c r="D161" s="3192" t="s">
        <v>4155</v>
      </c>
      <c r="E161" s="3192" t="s">
        <v>4154</v>
      </c>
      <c r="F161" s="3192" t="s">
        <v>2519</v>
      </c>
      <c r="G161" s="78"/>
      <c r="I161" t="s">
        <v>7867</v>
      </c>
      <c r="J161">
        <v>92.0017</v>
      </c>
      <c r="K161">
        <v>96.073800000000006</v>
      </c>
      <c r="L161">
        <v>94.425299999999993</v>
      </c>
    </row>
    <row r="162" spans="1:16" ht="12.75" hidden="1" customHeight="1" outlineLevel="1" x14ac:dyDescent="0.25">
      <c r="A162" s="1991">
        <v>0.03</v>
      </c>
      <c r="B162" s="1813" t="s">
        <v>359</v>
      </c>
      <c r="C162" s="2108">
        <v>147.29499999999999</v>
      </c>
      <c r="D162" s="2862">
        <v>184.92</v>
      </c>
      <c r="E162" s="2890">
        <v>0.25543976373943456</v>
      </c>
      <c r="F162" s="3004">
        <v>7.6631929121830367E-3</v>
      </c>
      <c r="G162" s="78"/>
      <c r="H162" t="s">
        <v>360</v>
      </c>
      <c r="I162" t="s">
        <v>4614</v>
      </c>
      <c r="J162" s="37">
        <v>-7.9983000000000026E-2</v>
      </c>
      <c r="K162" s="37">
        <v>-3.9261999999999908E-2</v>
      </c>
      <c r="L162" s="37">
        <v>-5.5747000000000102E-2</v>
      </c>
      <c r="P162" s="434"/>
    </row>
    <row r="163" spans="1:16" ht="12.75" hidden="1" customHeight="1" outlineLevel="1" x14ac:dyDescent="0.25">
      <c r="A163" s="2380">
        <v>0.02</v>
      </c>
      <c r="B163" s="1813" t="s">
        <v>1993</v>
      </c>
      <c r="C163" s="2108">
        <v>54.679000000000002</v>
      </c>
      <c r="D163" s="2865">
        <v>49.35</v>
      </c>
      <c r="E163" s="2892">
        <v>-9.745971945353793E-2</v>
      </c>
      <c r="F163" s="3007">
        <v>-1.9491943890707587E-3</v>
      </c>
      <c r="G163" s="78"/>
      <c r="H163" t="s">
        <v>2812</v>
      </c>
      <c r="I163" t="s">
        <v>7868</v>
      </c>
      <c r="J163" s="1473">
        <v>0</v>
      </c>
      <c r="K163" s="1473">
        <v>0</v>
      </c>
      <c r="L163" s="1473">
        <v>0</v>
      </c>
      <c r="P163" s="434"/>
    </row>
    <row r="164" spans="1:16" ht="12.75" hidden="1" customHeight="1" outlineLevel="1" x14ac:dyDescent="0.25">
      <c r="A164" s="2380">
        <v>0.03</v>
      </c>
      <c r="B164" s="1813" t="s">
        <v>3998</v>
      </c>
      <c r="C164" s="2108">
        <v>34.539000000000001</v>
      </c>
      <c r="D164" s="2865">
        <v>30.06</v>
      </c>
      <c r="E164" s="2892">
        <v>-0.12967949274732915</v>
      </c>
      <c r="F164" s="3007">
        <v>-3.8903847824198743E-3</v>
      </c>
      <c r="G164" s="78"/>
      <c r="H164" t="s">
        <v>4000</v>
      </c>
      <c r="P164" s="434"/>
    </row>
    <row r="165" spans="1:16" ht="12.75" hidden="1" customHeight="1" outlineLevel="1" x14ac:dyDescent="0.25">
      <c r="A165" s="2380">
        <v>0.03</v>
      </c>
      <c r="B165" s="1813" t="s">
        <v>218</v>
      </c>
      <c r="C165" s="2108">
        <v>20.788</v>
      </c>
      <c r="D165" s="2865">
        <v>20.245000000000001</v>
      </c>
      <c r="E165" s="2892">
        <v>-2.612083894554551E-2</v>
      </c>
      <c r="F165" s="3007">
        <v>-7.8362516836636526E-4</v>
      </c>
      <c r="G165" s="78"/>
      <c r="H165" t="s">
        <v>656</v>
      </c>
      <c r="P165" s="434"/>
    </row>
    <row r="166" spans="1:16" ht="12.75" hidden="1" customHeight="1" outlineLevel="1" x14ac:dyDescent="0.25">
      <c r="A166" s="2380">
        <v>0.02</v>
      </c>
      <c r="B166" s="1813" t="s">
        <v>807</v>
      </c>
      <c r="C166" s="2108">
        <v>55.74</v>
      </c>
      <c r="D166" s="2865">
        <v>57.13</v>
      </c>
      <c r="E166" s="2892">
        <v>2.4937208467886718E-2</v>
      </c>
      <c r="F166" s="3007">
        <v>4.987441693577344E-4</v>
      </c>
      <c r="G166" s="78"/>
      <c r="H166" t="s">
        <v>808</v>
      </c>
      <c r="P166" s="434"/>
    </row>
    <row r="167" spans="1:16" ht="12.75" hidden="1" customHeight="1" outlineLevel="1" x14ac:dyDescent="0.25">
      <c r="A167" s="2380">
        <v>0.05</v>
      </c>
      <c r="B167" s="1813" t="s">
        <v>7142</v>
      </c>
      <c r="C167" s="2108">
        <v>34.233499999999999</v>
      </c>
      <c r="D167" s="2865">
        <v>23.41</v>
      </c>
      <c r="E167" s="2892">
        <v>-0.31616691252720286</v>
      </c>
      <c r="F167" s="3007">
        <v>-1.5808345626360142E-2</v>
      </c>
      <c r="G167" s="78"/>
      <c r="H167" t="s">
        <v>7143</v>
      </c>
      <c r="P167" s="434"/>
    </row>
    <row r="168" spans="1:16" ht="12.75" hidden="1" customHeight="1" outlineLevel="1" x14ac:dyDescent="0.25">
      <c r="A168" s="2380">
        <v>0.03</v>
      </c>
      <c r="B168" s="1813" t="s">
        <v>4332</v>
      </c>
      <c r="C168" s="2108">
        <v>284.51</v>
      </c>
      <c r="D168" s="2865">
        <v>136.4</v>
      </c>
      <c r="E168" s="2892">
        <v>-0.52057924150293489</v>
      </c>
      <c r="F168" s="3007">
        <v>-1.5617377245088045E-2</v>
      </c>
      <c r="G168" s="78"/>
      <c r="H168" t="s">
        <v>4334</v>
      </c>
      <c r="P168" s="434"/>
    </row>
    <row r="169" spans="1:16" ht="12.75" hidden="1" customHeight="1" outlineLevel="1" x14ac:dyDescent="0.25">
      <c r="A169" s="2380">
        <v>0.03</v>
      </c>
      <c r="B169" s="1813" t="s">
        <v>5246</v>
      </c>
      <c r="C169" s="2108">
        <v>38.902999999999999</v>
      </c>
      <c r="D169" s="2865">
        <v>15.32</v>
      </c>
      <c r="E169" s="2892">
        <v>-0.60620003598694194</v>
      </c>
      <c r="F169" s="3007">
        <v>-1.8186001079608258E-2</v>
      </c>
      <c r="G169" s="78"/>
      <c r="H169" t="s">
        <v>5245</v>
      </c>
      <c r="P169" s="434"/>
    </row>
    <row r="170" spans="1:16" ht="12.75" hidden="1" customHeight="1" outlineLevel="1" x14ac:dyDescent="0.25">
      <c r="A170" s="2380">
        <v>0.03</v>
      </c>
      <c r="B170" s="1813" t="s">
        <v>496</v>
      </c>
      <c r="C170" s="2108">
        <v>22.07482077870592</v>
      </c>
      <c r="D170" s="2865">
        <v>14.43</v>
      </c>
      <c r="E170" s="2892">
        <v>-0.34631405868900011</v>
      </c>
      <c r="F170" s="3007">
        <v>-1.0389421760670004E-2</v>
      </c>
      <c r="G170" s="78"/>
      <c r="H170" t="s">
        <v>497</v>
      </c>
      <c r="P170" s="434"/>
    </row>
    <row r="171" spans="1:16" ht="12.75" hidden="1" customHeight="1" outlineLevel="1" x14ac:dyDescent="0.25">
      <c r="A171" s="2380">
        <v>0.08</v>
      </c>
      <c r="B171" s="1813" t="s">
        <v>6942</v>
      </c>
      <c r="C171" s="2108">
        <v>23.646999999999998</v>
      </c>
      <c r="D171" s="2865">
        <v>36.549999999999997</v>
      </c>
      <c r="E171" s="2892">
        <v>0.54565061107117185</v>
      </c>
      <c r="F171" s="3007">
        <v>4.3652048885693746E-2</v>
      </c>
      <c r="G171" s="78"/>
      <c r="H171" t="s">
        <v>7860</v>
      </c>
      <c r="P171" s="434"/>
    </row>
    <row r="172" spans="1:16" ht="12.75" hidden="1" customHeight="1" outlineLevel="1" x14ac:dyDescent="0.25">
      <c r="A172" s="2380">
        <v>0.02</v>
      </c>
      <c r="B172" s="1813" t="s">
        <v>6267</v>
      </c>
      <c r="C172" s="2108">
        <v>26.878499999999999</v>
      </c>
      <c r="D172" s="2865">
        <v>25.43</v>
      </c>
      <c r="E172" s="2892">
        <v>-5.3890656100600842E-2</v>
      </c>
      <c r="F172" s="3007">
        <v>-1.077813122012017E-3</v>
      </c>
      <c r="G172" s="78"/>
      <c r="H172" t="s">
        <v>6268</v>
      </c>
      <c r="P172" s="434"/>
    </row>
    <row r="173" spans="1:16" ht="12.75" hidden="1" customHeight="1" outlineLevel="1" x14ac:dyDescent="0.25">
      <c r="A173" s="2380">
        <v>0.03</v>
      </c>
      <c r="B173" s="1813" t="s">
        <v>4268</v>
      </c>
      <c r="C173" s="2108">
        <v>19.545915430144333</v>
      </c>
      <c r="D173" s="2865">
        <v>19.82</v>
      </c>
      <c r="E173" s="2892">
        <v>1.4022600826000042E-2</v>
      </c>
      <c r="F173" s="3007">
        <v>4.2067802478000125E-4</v>
      </c>
      <c r="G173" s="78"/>
      <c r="H173" t="s">
        <v>8442</v>
      </c>
      <c r="P173" s="434"/>
    </row>
    <row r="174" spans="1:16" ht="12.75" hidden="1" customHeight="1" outlineLevel="1" x14ac:dyDescent="0.25">
      <c r="A174" s="2380">
        <v>0.03</v>
      </c>
      <c r="B174" s="1813" t="s">
        <v>3799</v>
      </c>
      <c r="C174" s="2519">
        <v>1506.8701646470233</v>
      </c>
      <c r="D174" s="2865">
        <v>1506.8701646470233</v>
      </c>
      <c r="E174" s="2892">
        <v>0</v>
      </c>
      <c r="F174" s="3007">
        <v>0</v>
      </c>
      <c r="G174" s="78"/>
      <c r="H174" t="s">
        <v>4128</v>
      </c>
      <c r="P174" s="434"/>
    </row>
    <row r="175" spans="1:16" ht="12.75" hidden="1" customHeight="1" outlineLevel="1" x14ac:dyDescent="0.25">
      <c r="A175" s="2380">
        <v>0.02</v>
      </c>
      <c r="B175" s="1813" t="s">
        <v>6530</v>
      </c>
      <c r="C175" s="2108">
        <v>39.256543946634153</v>
      </c>
      <c r="D175" s="2865">
        <v>31.54</v>
      </c>
      <c r="E175" s="2892">
        <v>-0.19656707317700006</v>
      </c>
      <c r="F175" s="3007">
        <v>-3.9313414635400012E-3</v>
      </c>
      <c r="G175" s="78"/>
      <c r="H175" t="s">
        <v>6162</v>
      </c>
      <c r="P175" s="434"/>
    </row>
    <row r="176" spans="1:16" ht="12.75" hidden="1" customHeight="1" outlineLevel="1" x14ac:dyDescent="0.25">
      <c r="A176" s="2380">
        <v>0.03</v>
      </c>
      <c r="B176" s="1813" t="s">
        <v>1031</v>
      </c>
      <c r="C176" s="2108">
        <v>5.8524000000000003</v>
      </c>
      <c r="D176" s="2865">
        <v>7.2</v>
      </c>
      <c r="E176" s="2892">
        <v>0.23026450686897681</v>
      </c>
      <c r="F176" s="3007">
        <v>6.9079352060693044E-3</v>
      </c>
      <c r="G176" s="78"/>
      <c r="H176" t="s">
        <v>7872</v>
      </c>
      <c r="P176" s="434"/>
    </row>
    <row r="177" spans="1:16" ht="12.75" hidden="1" customHeight="1" outlineLevel="1" x14ac:dyDescent="0.25">
      <c r="A177" s="2380">
        <v>0.03</v>
      </c>
      <c r="B177" s="1813" t="s">
        <v>1343</v>
      </c>
      <c r="C177" s="2108">
        <v>3049</v>
      </c>
      <c r="D177" s="2865">
        <v>2525</v>
      </c>
      <c r="E177" s="2892">
        <v>-0.17185962610692029</v>
      </c>
      <c r="F177" s="3007">
        <v>-5.1557887832076087E-3</v>
      </c>
      <c r="G177" s="78"/>
      <c r="H177" t="s">
        <v>7747</v>
      </c>
      <c r="P177" s="434"/>
    </row>
    <row r="178" spans="1:16" ht="12.75" hidden="1" customHeight="1" outlineLevel="1" x14ac:dyDescent="0.25">
      <c r="A178" s="2380">
        <v>0.03</v>
      </c>
      <c r="B178" s="1813" t="s">
        <v>6993</v>
      </c>
      <c r="C178" s="2108">
        <v>247269.73006387803</v>
      </c>
      <c r="D178" s="2865">
        <v>223000</v>
      </c>
      <c r="E178" s="2892">
        <v>-9.8150833333333409E-2</v>
      </c>
      <c r="F178" s="3007">
        <v>-2.9445250000000021E-3</v>
      </c>
      <c r="G178" s="78"/>
      <c r="H178" t="s">
        <v>6992</v>
      </c>
      <c r="P178" s="434"/>
    </row>
    <row r="179" spans="1:16" ht="12.75" hidden="1" customHeight="1" outlineLevel="1" x14ac:dyDescent="0.25">
      <c r="A179" s="2380">
        <v>0.02</v>
      </c>
      <c r="B179" s="1813" t="s">
        <v>2786</v>
      </c>
      <c r="C179" s="2108">
        <v>893.36684453615442</v>
      </c>
      <c r="D179" s="2865">
        <v>825.2</v>
      </c>
      <c r="E179" s="2892">
        <v>-7.630330692600007E-2</v>
      </c>
      <c r="F179" s="3007">
        <v>-1.5260661385200014E-3</v>
      </c>
      <c r="G179" s="78"/>
      <c r="H179" t="s">
        <v>4195</v>
      </c>
      <c r="P179" s="434"/>
    </row>
    <row r="180" spans="1:16" ht="12.75" hidden="1" customHeight="1" outlineLevel="1" x14ac:dyDescent="0.25">
      <c r="A180" s="2380">
        <v>0.03</v>
      </c>
      <c r="B180" s="1813" t="s">
        <v>54</v>
      </c>
      <c r="C180" s="2108">
        <v>16.654499999999999</v>
      </c>
      <c r="D180" s="2865">
        <v>15.33</v>
      </c>
      <c r="E180" s="2892">
        <v>-7.9528055480500681E-2</v>
      </c>
      <c r="F180" s="3007">
        <v>-2.3858416644150205E-3</v>
      </c>
      <c r="G180" s="78"/>
      <c r="H180" t="s">
        <v>6741</v>
      </c>
      <c r="P180" s="434"/>
    </row>
    <row r="181" spans="1:16" ht="12.75" hidden="1" customHeight="1" outlineLevel="1" x14ac:dyDescent="0.25">
      <c r="A181" s="2380">
        <v>0.03</v>
      </c>
      <c r="B181" s="1813" t="s">
        <v>6270</v>
      </c>
      <c r="C181" s="2108">
        <v>43.476999999999997</v>
      </c>
      <c r="D181" s="2865">
        <v>39.97</v>
      </c>
      <c r="E181" s="2892">
        <v>-8.0663339236837772E-2</v>
      </c>
      <c r="F181" s="3007">
        <v>-2.4199001771051331E-3</v>
      </c>
      <c r="G181" s="78"/>
      <c r="H181" t="s">
        <v>8166</v>
      </c>
      <c r="P181" s="434"/>
    </row>
    <row r="182" spans="1:16" ht="12.75" hidden="1" customHeight="1" outlineLevel="1" x14ac:dyDescent="0.25">
      <c r="A182" s="2380">
        <v>0.03</v>
      </c>
      <c r="B182" s="1813" t="s">
        <v>6164</v>
      </c>
      <c r="C182" s="2108">
        <v>3.5085469211706957</v>
      </c>
      <c r="D182" s="2865">
        <v>4.17</v>
      </c>
      <c r="E182" s="2892">
        <v>0.18852621717499995</v>
      </c>
      <c r="F182" s="3007">
        <v>5.6557865152499984E-3</v>
      </c>
      <c r="G182" s="78"/>
      <c r="H182" t="s">
        <v>6114</v>
      </c>
      <c r="P182" s="434"/>
    </row>
    <row r="183" spans="1:16" ht="12.75" hidden="1" customHeight="1" outlineLevel="1" x14ac:dyDescent="0.25">
      <c r="A183" s="2380">
        <v>0.03</v>
      </c>
      <c r="B183" s="1813" t="s">
        <v>1857</v>
      </c>
      <c r="C183" s="2108">
        <v>1579.8</v>
      </c>
      <c r="D183" s="2865">
        <v>1170</v>
      </c>
      <c r="E183" s="2892">
        <v>-0.25939992404101786</v>
      </c>
      <c r="F183" s="3007">
        <v>-7.7819977212305359E-3</v>
      </c>
      <c r="G183" s="78"/>
      <c r="H183" t="s">
        <v>3559</v>
      </c>
      <c r="P183" s="434"/>
    </row>
    <row r="184" spans="1:16" ht="12.75" hidden="1" customHeight="1" outlineLevel="1" x14ac:dyDescent="0.25">
      <c r="A184" s="2380">
        <v>0.03</v>
      </c>
      <c r="B184" s="1813" t="s">
        <v>1724</v>
      </c>
      <c r="C184" s="2108">
        <v>204.47</v>
      </c>
      <c r="D184" s="2865">
        <v>205.1</v>
      </c>
      <c r="E184" s="2892">
        <v>3.081136597055778E-3</v>
      </c>
      <c r="F184" s="3007">
        <v>9.2434097911673333E-5</v>
      </c>
      <c r="G184" s="78"/>
      <c r="H184" t="s">
        <v>1725</v>
      </c>
      <c r="P184" s="434"/>
    </row>
    <row r="185" spans="1:16" ht="12.75" hidden="1" customHeight="1" outlineLevel="1" x14ac:dyDescent="0.25">
      <c r="A185" s="2380">
        <v>0.05</v>
      </c>
      <c r="B185" s="1813" t="s">
        <v>6118</v>
      </c>
      <c r="C185" s="2108">
        <v>81.718603287271705</v>
      </c>
      <c r="D185" s="2865">
        <v>95.18</v>
      </c>
      <c r="E185" s="2892">
        <v>0.16472866851880008</v>
      </c>
      <c r="F185" s="3007">
        <v>8.2364334259400051E-3</v>
      </c>
      <c r="G185" s="78"/>
      <c r="H185" t="s">
        <v>8893</v>
      </c>
      <c r="P185" s="434"/>
    </row>
    <row r="186" spans="1:16" ht="12.75" hidden="1" customHeight="1" outlineLevel="1" x14ac:dyDescent="0.25">
      <c r="A186" s="2380">
        <v>0.03</v>
      </c>
      <c r="B186" s="1813" t="s">
        <v>6945</v>
      </c>
      <c r="C186" s="2108">
        <v>85.823040180384922</v>
      </c>
      <c r="D186" s="2865">
        <v>112.9</v>
      </c>
      <c r="E186" s="2892">
        <v>0.31549756059333345</v>
      </c>
      <c r="F186" s="3007">
        <v>9.4649268178000033E-3</v>
      </c>
      <c r="G186" s="78"/>
      <c r="H186" t="s">
        <v>6943</v>
      </c>
      <c r="P186" s="434"/>
    </row>
    <row r="187" spans="1:16" ht="12.75" hidden="1" customHeight="1" outlineLevel="1" x14ac:dyDescent="0.25">
      <c r="A187" s="2380">
        <v>0.08</v>
      </c>
      <c r="B187" s="1813" t="s">
        <v>434</v>
      </c>
      <c r="C187" s="2108">
        <v>52.31</v>
      </c>
      <c r="D187" s="2865">
        <v>39.380000000000003</v>
      </c>
      <c r="E187" s="2892">
        <v>-0.2471802714586121</v>
      </c>
      <c r="F187" s="3007">
        <v>-1.9774421716688969E-2</v>
      </c>
      <c r="G187" s="78"/>
      <c r="H187" t="s">
        <v>7745</v>
      </c>
      <c r="P187" s="434"/>
    </row>
    <row r="188" spans="1:16" ht="12.75" hidden="1" customHeight="1" outlineLevel="1" x14ac:dyDescent="0.25">
      <c r="A188" s="2380">
        <v>0.03</v>
      </c>
      <c r="B188" s="1813" t="s">
        <v>3921</v>
      </c>
      <c r="C188" s="2108">
        <v>3.8997999999999999</v>
      </c>
      <c r="D188" s="2865">
        <v>5.3719999999999999</v>
      </c>
      <c r="E188" s="2892">
        <v>0.37750653879686147</v>
      </c>
      <c r="F188" s="3007">
        <v>1.1325196163905843E-2</v>
      </c>
      <c r="G188" s="78"/>
      <c r="H188" t="s">
        <v>3922</v>
      </c>
      <c r="P188" s="434"/>
    </row>
    <row r="189" spans="1:16" ht="12.75" hidden="1" customHeight="1" outlineLevel="1" x14ac:dyDescent="0.25">
      <c r="A189" s="2380">
        <v>0.03</v>
      </c>
      <c r="B189" s="1813" t="s">
        <v>1183</v>
      </c>
      <c r="C189" s="2108">
        <v>47.229500000000002</v>
      </c>
      <c r="D189" s="2865">
        <v>47.98</v>
      </c>
      <c r="E189" s="2892">
        <v>1.5890492171206416E-2</v>
      </c>
      <c r="F189" s="3007">
        <v>4.7671476513619246E-4</v>
      </c>
      <c r="G189" s="78"/>
      <c r="H189" t="s">
        <v>2805</v>
      </c>
      <c r="P189" s="434"/>
    </row>
    <row r="190" spans="1:16" ht="12.75" hidden="1" customHeight="1" outlineLevel="1" x14ac:dyDescent="0.25">
      <c r="A190" s="2380">
        <v>0.03</v>
      </c>
      <c r="B190" s="1813" t="s">
        <v>9301</v>
      </c>
      <c r="C190" s="2108">
        <v>255</v>
      </c>
      <c r="D190" s="2865">
        <v>157.16</v>
      </c>
      <c r="E190" s="2892">
        <v>-0.38368627450980397</v>
      </c>
      <c r="F190" s="3007">
        <v>-1.1510588235294118E-2</v>
      </c>
      <c r="G190" s="78"/>
      <c r="H190" t="s">
        <v>9302</v>
      </c>
      <c r="P190" s="434"/>
    </row>
    <row r="191" spans="1:16" ht="12.75" hidden="1" customHeight="1" outlineLevel="1" x14ac:dyDescent="0.25">
      <c r="A191" s="2380">
        <v>0.04</v>
      </c>
      <c r="B191" s="1813" t="s">
        <v>4550</v>
      </c>
      <c r="C191" s="2108">
        <v>308.33</v>
      </c>
      <c r="D191" s="2868">
        <v>311.7</v>
      </c>
      <c r="E191" s="2897">
        <v>1.0929847890247535E-2</v>
      </c>
      <c r="F191" s="2870">
        <v>4.3719391560990143E-4</v>
      </c>
      <c r="G191" s="78"/>
      <c r="H191" t="s">
        <v>8889</v>
      </c>
      <c r="P191" s="434"/>
    </row>
    <row r="192" spans="1:16" ht="12.75" hidden="1" customHeight="1" outlineLevel="1" x14ac:dyDescent="0.25">
      <c r="A192" s="2181" t="s">
        <v>2734</v>
      </c>
      <c r="B192" s="1813"/>
      <c r="C192" s="1813"/>
      <c r="D192" s="1813"/>
      <c r="E192" s="1813"/>
      <c r="F192" s="1813">
        <v>-3.0301349173959408E-2</v>
      </c>
      <c r="G192" s="78"/>
    </row>
    <row r="193" spans="1:20" ht="12.75" hidden="1" customHeight="1" outlineLevel="1" x14ac:dyDescent="0.25">
      <c r="A193" s="1956" t="s">
        <v>7336</v>
      </c>
      <c r="B193" s="2185">
        <v>43313</v>
      </c>
      <c r="C193" s="1813">
        <v>100</v>
      </c>
      <c r="D193" s="1813">
        <v>96.891000000000005</v>
      </c>
      <c r="E193" s="1813">
        <v>-3.1089999999999951E-2</v>
      </c>
      <c r="F193" s="1813"/>
      <c r="G193" s="78"/>
    </row>
    <row r="194" spans="1:20" ht="12.75" hidden="1" customHeight="1" outlineLevel="1" x14ac:dyDescent="0.25">
      <c r="A194" s="1956" t="s">
        <v>7337</v>
      </c>
      <c r="B194" s="2185">
        <v>43344</v>
      </c>
      <c r="C194" s="1813">
        <v>100</v>
      </c>
      <c r="D194" s="1813">
        <v>97.854799999999997</v>
      </c>
      <c r="E194" s="1813">
        <v>-2.1452000000000027E-2</v>
      </c>
      <c r="F194" s="1813"/>
      <c r="G194" s="78"/>
    </row>
    <row r="195" spans="1:20" ht="12.75" hidden="1" customHeight="1" outlineLevel="1" x14ac:dyDescent="0.25">
      <c r="A195" s="1956" t="s">
        <v>7338</v>
      </c>
      <c r="B195" s="2185">
        <v>43374</v>
      </c>
      <c r="C195" s="1813">
        <v>100</v>
      </c>
      <c r="D195" s="1813">
        <v>95.603999999999999</v>
      </c>
      <c r="E195" s="1813">
        <v>-4.3959999999999999E-2</v>
      </c>
      <c r="F195" s="1813"/>
      <c r="G195" s="78"/>
    </row>
    <row r="196" spans="1:20" ht="12.75" hidden="1" customHeight="1" outlineLevel="1" x14ac:dyDescent="0.25">
      <c r="A196" s="1956" t="s">
        <v>7339</v>
      </c>
      <c r="B196" s="2185">
        <v>43405</v>
      </c>
      <c r="C196" s="1813">
        <v>100</v>
      </c>
      <c r="D196" s="1813">
        <v>96.419799999999995</v>
      </c>
      <c r="E196" s="1813">
        <v>-3.5802E-2</v>
      </c>
      <c r="F196" s="1813"/>
      <c r="G196" s="78"/>
    </row>
    <row r="197" spans="1:20" ht="12.75" hidden="1" customHeight="1" outlineLevel="1" x14ac:dyDescent="0.25">
      <c r="A197" s="1956" t="s">
        <v>7340</v>
      </c>
      <c r="B197" s="2185">
        <v>43435</v>
      </c>
      <c r="C197" s="1813">
        <v>100</v>
      </c>
      <c r="D197" s="1813">
        <v>93.450199999999995</v>
      </c>
      <c r="E197" s="1813">
        <v>-6.5498000000000056E-2</v>
      </c>
      <c r="F197" s="1813"/>
      <c r="G197" s="78"/>
    </row>
    <row r="198" spans="1:20" ht="12.75" hidden="1" customHeight="1" outlineLevel="1" x14ac:dyDescent="0.25">
      <c r="A198" s="1956" t="s">
        <v>7341</v>
      </c>
      <c r="B198" s="2185">
        <v>43466</v>
      </c>
      <c r="C198" s="1813">
        <v>100</v>
      </c>
      <c r="D198" s="1813">
        <v>96.910799999999995</v>
      </c>
      <c r="E198" s="1813">
        <v>-3.0892000000000031E-2</v>
      </c>
      <c r="F198" s="1813"/>
      <c r="G198" s="78"/>
    </row>
    <row r="199" spans="1:20" ht="12.75" hidden="1" customHeight="1" outlineLevel="1" x14ac:dyDescent="0.25">
      <c r="A199" s="2646" t="s">
        <v>2734</v>
      </c>
      <c r="B199" s="1813"/>
      <c r="C199" s="1813"/>
      <c r="D199" s="2647" t="s">
        <v>2465</v>
      </c>
      <c r="E199" s="2648">
        <v>-3.811566666666668E-2</v>
      </c>
      <c r="F199" s="1813">
        <v>-3.811566666666668E-2</v>
      </c>
      <c r="G199" s="78"/>
    </row>
    <row r="200" spans="1:20" collapsed="1" x14ac:dyDescent="0.25">
      <c r="A200" s="3919" t="s">
        <v>7342</v>
      </c>
      <c r="B200" s="3920"/>
      <c r="C200" s="3920"/>
      <c r="D200" s="3920"/>
      <c r="E200" s="1987"/>
      <c r="F200" s="1948">
        <v>-3.811566666666668E-2</v>
      </c>
      <c r="G200" s="78"/>
    </row>
    <row r="202" spans="1:20" ht="12.75" hidden="1" customHeight="1" outlineLevel="1" x14ac:dyDescent="0.25">
      <c r="A202" s="2971" t="s">
        <v>113</v>
      </c>
      <c r="B202" s="2971" t="s">
        <v>114</v>
      </c>
      <c r="C202" s="2971" t="s">
        <v>112</v>
      </c>
      <c r="D202" s="2971" t="s">
        <v>116</v>
      </c>
      <c r="E202" s="2971" t="s">
        <v>117</v>
      </c>
      <c r="F202" s="2971" t="s">
        <v>121</v>
      </c>
      <c r="G202" s="1906"/>
      <c r="H202" s="1906"/>
      <c r="I202" s="2971" t="s">
        <v>113</v>
      </c>
      <c r="J202" s="2971" t="s">
        <v>114</v>
      </c>
      <c r="K202" s="2971" t="s">
        <v>112</v>
      </c>
      <c r="L202" s="2971" t="s">
        <v>116</v>
      </c>
      <c r="M202" s="2971" t="s">
        <v>117</v>
      </c>
      <c r="N202" s="2971" t="s">
        <v>121</v>
      </c>
      <c r="O202" s="1813"/>
      <c r="P202" s="1813"/>
    </row>
    <row r="203" spans="1:20" ht="12.75" hidden="1" customHeight="1" outlineLevel="1" x14ac:dyDescent="0.25">
      <c r="A203" s="2990">
        <v>1</v>
      </c>
      <c r="B203" s="2999" t="s">
        <v>7350</v>
      </c>
      <c r="C203" s="3000">
        <v>100</v>
      </c>
      <c r="D203" s="1900" t="s">
        <v>3702</v>
      </c>
      <c r="E203" s="2975">
        <v>44012</v>
      </c>
      <c r="F203" s="3001"/>
      <c r="G203" s="1813"/>
      <c r="H203" s="1813"/>
      <c r="I203" s="2990">
        <v>1</v>
      </c>
      <c r="J203" s="2999" t="s">
        <v>7349</v>
      </c>
      <c r="K203" s="3000">
        <v>100</v>
      </c>
      <c r="L203" s="1900" t="s">
        <v>3702</v>
      </c>
      <c r="M203" s="2975">
        <v>44012</v>
      </c>
      <c r="N203" s="3001"/>
      <c r="O203" s="1813"/>
      <c r="P203" s="1813"/>
    </row>
    <row r="204" spans="1:20" ht="40.5" hidden="1" customHeight="1" outlineLevel="1" x14ac:dyDescent="0.25">
      <c r="A204" s="2977" t="s">
        <v>4156</v>
      </c>
      <c r="B204" s="2977" t="s">
        <v>4153</v>
      </c>
      <c r="C204" s="2977" t="s">
        <v>112</v>
      </c>
      <c r="D204" s="2970" t="s">
        <v>4155</v>
      </c>
      <c r="E204" s="2977" t="s">
        <v>4154</v>
      </c>
      <c r="F204" s="2977" t="s">
        <v>2519</v>
      </c>
      <c r="G204" s="1813"/>
      <c r="H204" s="1813"/>
      <c r="I204" s="2977" t="s">
        <v>4156</v>
      </c>
      <c r="J204" s="2977" t="s">
        <v>4153</v>
      </c>
      <c r="K204" s="2977" t="s">
        <v>112</v>
      </c>
      <c r="L204" s="2977" t="s">
        <v>4155</v>
      </c>
      <c r="M204" s="2977" t="s">
        <v>4154</v>
      </c>
      <c r="N204" s="2977" t="s">
        <v>2519</v>
      </c>
      <c r="O204" s="1813"/>
      <c r="P204" s="1813"/>
    </row>
    <row r="205" spans="1:20" ht="12.75" hidden="1" customHeight="1" outlineLevel="1" x14ac:dyDescent="0.25">
      <c r="A205" s="1991">
        <v>0.08</v>
      </c>
      <c r="B205" s="1921" t="s">
        <v>7090</v>
      </c>
      <c r="C205" s="2108">
        <v>19.587</v>
      </c>
      <c r="D205" s="3002">
        <v>21.33</v>
      </c>
      <c r="E205" s="3003">
        <v>8.898759381222221E-2</v>
      </c>
      <c r="F205" s="3004">
        <v>7.1190075049777767E-3</v>
      </c>
      <c r="G205" s="1813"/>
      <c r="H205" s="1813" t="s">
        <v>8883</v>
      </c>
      <c r="I205" s="3005">
        <v>0.02</v>
      </c>
      <c r="J205" s="1921" t="s">
        <v>1384</v>
      </c>
      <c r="K205" s="2108">
        <v>6.5818000000000003</v>
      </c>
      <c r="L205" s="3002">
        <v>2.653</v>
      </c>
      <c r="M205" s="3003">
        <v>-0.59691877601871823</v>
      </c>
      <c r="N205" s="3004">
        <v>-1.1938375520374364E-2</v>
      </c>
      <c r="O205" s="1813"/>
      <c r="P205" s="1813" t="s">
        <v>3556</v>
      </c>
      <c r="S205" s="434"/>
      <c r="T205" s="434"/>
    </row>
    <row r="206" spans="1:20" ht="12.75" hidden="1" customHeight="1" outlineLevel="1" x14ac:dyDescent="0.25">
      <c r="A206" s="2380">
        <v>0.02</v>
      </c>
      <c r="B206" s="1921" t="s">
        <v>7353</v>
      </c>
      <c r="C206" s="2108">
        <v>3.82</v>
      </c>
      <c r="D206" s="2978">
        <v>3.12</v>
      </c>
      <c r="E206" s="3006">
        <v>-0.18324607329842924</v>
      </c>
      <c r="F206" s="3007">
        <v>-3.6649214659685847E-3</v>
      </c>
      <c r="G206" s="1813"/>
      <c r="H206" s="1813" t="s">
        <v>7351</v>
      </c>
      <c r="I206" s="2932">
        <v>0.02</v>
      </c>
      <c r="J206" s="1921" t="s">
        <v>3320</v>
      </c>
      <c r="K206" s="2108">
        <v>107.19</v>
      </c>
      <c r="L206" s="2978">
        <v>43.865000000000002</v>
      </c>
      <c r="M206" s="3006">
        <v>-0.59077339304039556</v>
      </c>
      <c r="N206" s="3007">
        <v>-1.1815467860807911E-2</v>
      </c>
      <c r="O206" s="1813"/>
      <c r="P206" s="1813" t="s">
        <v>4093</v>
      </c>
      <c r="S206" s="434"/>
      <c r="T206" s="434"/>
    </row>
    <row r="207" spans="1:20" ht="12.75" hidden="1" customHeight="1" outlineLevel="1" x14ac:dyDescent="0.25">
      <c r="A207" s="2380">
        <v>0.02</v>
      </c>
      <c r="B207" s="1921" t="s">
        <v>280</v>
      </c>
      <c r="C207" s="2108">
        <v>57.675172952992327</v>
      </c>
      <c r="D207" s="2978">
        <v>79.739999999999995</v>
      </c>
      <c r="E207" s="3006">
        <v>0.38257062644600004</v>
      </c>
      <c r="F207" s="3007">
        <v>7.6514125289200013E-3</v>
      </c>
      <c r="G207" s="1813"/>
      <c r="H207" s="1813" t="s">
        <v>1469</v>
      </c>
      <c r="I207" s="2932">
        <v>0.03</v>
      </c>
      <c r="J207" s="1921" t="s">
        <v>2704</v>
      </c>
      <c r="K207" s="2108">
        <v>189.56730371959674</v>
      </c>
      <c r="L207" s="2978">
        <v>394.6</v>
      </c>
      <c r="M207" s="3006">
        <v>1.0815825949800004</v>
      </c>
      <c r="N207" s="3007">
        <v>3.2447477849400011E-2</v>
      </c>
      <c r="O207" s="1813"/>
      <c r="P207" s="1813" t="s">
        <v>167</v>
      </c>
      <c r="S207" s="434"/>
      <c r="T207" s="434"/>
    </row>
    <row r="208" spans="1:20" ht="12.75" hidden="1" customHeight="1" outlineLevel="1" x14ac:dyDescent="0.25">
      <c r="A208" s="2380">
        <v>0.02</v>
      </c>
      <c r="B208" s="1921" t="s">
        <v>7355</v>
      </c>
      <c r="C208" s="2108">
        <v>157.86000000000001</v>
      </c>
      <c r="D208" s="2978">
        <v>204.4</v>
      </c>
      <c r="E208" s="3006">
        <v>0.29481819333586712</v>
      </c>
      <c r="F208" s="3007">
        <v>5.8963638667173428E-3</v>
      </c>
      <c r="G208" s="1813"/>
      <c r="H208" s="1813" t="s">
        <v>7356</v>
      </c>
      <c r="I208" s="2932">
        <v>0.04</v>
      </c>
      <c r="J208" s="1921" t="s">
        <v>872</v>
      </c>
      <c r="K208" s="2108">
        <v>521.95000000000005</v>
      </c>
      <c r="L208" s="2978">
        <v>483.4</v>
      </c>
      <c r="M208" s="3006">
        <v>-7.3857649200115061E-2</v>
      </c>
      <c r="N208" s="3007">
        <v>-2.9543059680046026E-3</v>
      </c>
      <c r="O208" s="1813"/>
      <c r="P208" s="1813" t="s">
        <v>4312</v>
      </c>
      <c r="S208" s="434"/>
      <c r="T208" s="434"/>
    </row>
    <row r="209" spans="1:20" ht="12.75" hidden="1" customHeight="1" outlineLevel="1" x14ac:dyDescent="0.25">
      <c r="A209" s="2380">
        <v>0.02</v>
      </c>
      <c r="B209" s="1921" t="s">
        <v>7344</v>
      </c>
      <c r="C209" s="2108">
        <v>75.716999999999999</v>
      </c>
      <c r="D209" s="2978">
        <v>101.1</v>
      </c>
      <c r="E209" s="3006">
        <v>0.33523515194738307</v>
      </c>
      <c r="F209" s="3007">
        <v>6.7047030389476613E-3</v>
      </c>
      <c r="G209" s="1813"/>
      <c r="H209" s="1813" t="s">
        <v>7213</v>
      </c>
      <c r="I209" s="2932">
        <v>0.02</v>
      </c>
      <c r="J209" s="1921" t="s">
        <v>951</v>
      </c>
      <c r="K209" s="2108">
        <v>3794.15</v>
      </c>
      <c r="L209" s="2978">
        <v>2134.5</v>
      </c>
      <c r="M209" s="3006">
        <v>-0.43742340181595352</v>
      </c>
      <c r="N209" s="3007">
        <v>-8.7484680363190698E-3</v>
      </c>
      <c r="O209" s="1813"/>
      <c r="P209" s="1813" t="s">
        <v>952</v>
      </c>
      <c r="S209" s="434"/>
      <c r="T209" s="434"/>
    </row>
    <row r="210" spans="1:20" ht="12.75" hidden="1" customHeight="1" outlineLevel="1" x14ac:dyDescent="0.25">
      <c r="A210" s="2380">
        <v>0.02</v>
      </c>
      <c r="B210" s="1921" t="s">
        <v>2582</v>
      </c>
      <c r="C210" s="2108">
        <v>1368.2605107371137</v>
      </c>
      <c r="D210" s="2978">
        <v>1654.4</v>
      </c>
      <c r="E210" s="3006">
        <v>0.20912646898560006</v>
      </c>
      <c r="F210" s="3007">
        <v>4.1825293797120014E-3</v>
      </c>
      <c r="G210" s="1813"/>
      <c r="H210" s="1813" t="s">
        <v>9582</v>
      </c>
      <c r="I210" s="2932">
        <v>0.04</v>
      </c>
      <c r="J210" s="1921" t="s">
        <v>6266</v>
      </c>
      <c r="K210" s="2108">
        <v>284.51</v>
      </c>
      <c r="L210" s="2978">
        <v>38.54</v>
      </c>
      <c r="M210" s="3006">
        <v>-0.86453903201996418</v>
      </c>
      <c r="N210" s="3007">
        <v>-3.4581561280798569E-2</v>
      </c>
      <c r="O210" s="1813"/>
      <c r="P210" s="1813" t="s">
        <v>4334</v>
      </c>
      <c r="S210" s="434"/>
      <c r="T210" s="434"/>
    </row>
    <row r="211" spans="1:20" ht="12.75" hidden="1" customHeight="1" outlineLevel="1" x14ac:dyDescent="0.25">
      <c r="A211" s="2380">
        <v>0.02</v>
      </c>
      <c r="B211" s="1921" t="s">
        <v>335</v>
      </c>
      <c r="C211" s="2108">
        <v>81.55</v>
      </c>
      <c r="D211" s="2978">
        <v>60.44</v>
      </c>
      <c r="E211" s="3006">
        <v>-0.25885959534028202</v>
      </c>
      <c r="F211" s="3007">
        <v>-5.1771919068056404E-3</v>
      </c>
      <c r="G211" s="1813"/>
      <c r="H211" s="1813" t="s">
        <v>8885</v>
      </c>
      <c r="I211" s="2932">
        <v>0.02</v>
      </c>
      <c r="J211" s="1921" t="s">
        <v>3288</v>
      </c>
      <c r="K211" s="2108">
        <v>1126.2601897721954</v>
      </c>
      <c r="L211" s="2978">
        <v>1112</v>
      </c>
      <c r="M211" s="3006">
        <v>-1.266154118000018E-2</v>
      </c>
      <c r="N211" s="3007">
        <v>-2.5323082360000359E-4</v>
      </c>
      <c r="O211" s="1813"/>
      <c r="P211" s="1813" t="s">
        <v>266</v>
      </c>
      <c r="S211" s="434"/>
      <c r="T211" s="434"/>
    </row>
    <row r="212" spans="1:20" ht="12.75" hidden="1" customHeight="1" outlineLevel="1" x14ac:dyDescent="0.25">
      <c r="A212" s="2380">
        <v>0.02</v>
      </c>
      <c r="B212" s="1921" t="s">
        <v>1442</v>
      </c>
      <c r="C212" s="2108">
        <v>58.19</v>
      </c>
      <c r="D212" s="2978">
        <v>62.03</v>
      </c>
      <c r="E212" s="3006">
        <v>6.5990720054992291E-2</v>
      </c>
      <c r="F212" s="3007">
        <v>1.3198144010998459E-3</v>
      </c>
      <c r="G212" s="1813"/>
      <c r="H212" s="1813" t="s">
        <v>2384</v>
      </c>
      <c r="I212" s="2932">
        <v>0.02</v>
      </c>
      <c r="J212" s="1921" t="s">
        <v>1212</v>
      </c>
      <c r="K212" s="2108">
        <v>20.097793814727495</v>
      </c>
      <c r="L212" s="2978">
        <v>9.798</v>
      </c>
      <c r="M212" s="3006">
        <v>-0.51248380343019995</v>
      </c>
      <c r="N212" s="3007">
        <v>-1.0249676068603998E-2</v>
      </c>
      <c r="O212" s="1813"/>
      <c r="P212" s="1813" t="s">
        <v>8879</v>
      </c>
      <c r="S212" s="434"/>
      <c r="T212" s="434"/>
    </row>
    <row r="213" spans="1:20" ht="12.75" hidden="1" customHeight="1" outlineLevel="1" x14ac:dyDescent="0.25">
      <c r="A213" s="2380">
        <v>0.02</v>
      </c>
      <c r="B213" s="1921" t="s">
        <v>7345</v>
      </c>
      <c r="C213" s="2108">
        <v>20.006</v>
      </c>
      <c r="D213" s="2978">
        <v>11.57</v>
      </c>
      <c r="E213" s="3006">
        <v>-0.42167349795061482</v>
      </c>
      <c r="F213" s="3007">
        <v>-8.4334699590122974E-3</v>
      </c>
      <c r="G213" s="1813"/>
      <c r="H213" s="1813" t="s">
        <v>6379</v>
      </c>
      <c r="I213" s="2932">
        <v>0.03</v>
      </c>
      <c r="J213" s="1921" t="s">
        <v>6049</v>
      </c>
      <c r="K213" s="2108">
        <v>1875.2500001257979</v>
      </c>
      <c r="L213" s="2978">
        <v>2681.5</v>
      </c>
      <c r="M213" s="3006">
        <v>0.42994267421416676</v>
      </c>
      <c r="N213" s="3007">
        <v>1.2898280226425002E-2</v>
      </c>
      <c r="O213" s="1813"/>
      <c r="P213" s="1813" t="s">
        <v>2105</v>
      </c>
      <c r="S213" s="434"/>
      <c r="T213" s="434"/>
    </row>
    <row r="214" spans="1:20" ht="12.75" hidden="1" customHeight="1" outlineLevel="1" x14ac:dyDescent="0.25">
      <c r="A214" s="2380">
        <v>0.02</v>
      </c>
      <c r="B214" s="1921" t="s">
        <v>7359</v>
      </c>
      <c r="C214" s="2108">
        <v>4002.4</v>
      </c>
      <c r="D214" s="2978">
        <v>4610</v>
      </c>
      <c r="E214" s="3006">
        <v>0.15180891465120916</v>
      </c>
      <c r="F214" s="3007">
        <v>3.0361782930241831E-3</v>
      </c>
      <c r="G214" s="1813"/>
      <c r="H214" s="1813" t="s">
        <v>7357</v>
      </c>
      <c r="I214" s="2932">
        <v>0.04</v>
      </c>
      <c r="J214" s="1921" t="s">
        <v>7347</v>
      </c>
      <c r="K214" s="2108">
        <v>6182.4002829066367</v>
      </c>
      <c r="L214" s="2978">
        <v>8546</v>
      </c>
      <c r="M214" s="3006">
        <v>0.38231101335000006</v>
      </c>
      <c r="N214" s="3007">
        <v>1.5292440534000003E-2</v>
      </c>
      <c r="O214" s="1813"/>
      <c r="P214" s="1813" t="s">
        <v>5091</v>
      </c>
      <c r="S214" s="434"/>
      <c r="T214" s="434"/>
    </row>
    <row r="215" spans="1:20" ht="12.75" hidden="1" customHeight="1" outlineLevel="1" x14ac:dyDescent="0.25">
      <c r="A215" s="2380">
        <v>0.03</v>
      </c>
      <c r="B215" s="1921" t="s">
        <v>6404</v>
      </c>
      <c r="C215" s="2108">
        <v>283.45</v>
      </c>
      <c r="D215" s="2978">
        <v>113.95</v>
      </c>
      <c r="E215" s="3006">
        <v>-0.59798906332686541</v>
      </c>
      <c r="F215" s="3007">
        <v>-1.7939671899805963E-2</v>
      </c>
      <c r="G215" s="1813"/>
      <c r="H215" s="1813" t="s">
        <v>6402</v>
      </c>
      <c r="I215" s="2932">
        <v>0.03</v>
      </c>
      <c r="J215" s="1921" t="s">
        <v>160</v>
      </c>
      <c r="K215" s="2108">
        <v>105.85999991721748</v>
      </c>
      <c r="L215" s="2978">
        <v>86.16</v>
      </c>
      <c r="M215" s="3006">
        <v>-0.18609484160800005</v>
      </c>
      <c r="N215" s="3007">
        <v>-5.5828452482400009E-3</v>
      </c>
      <c r="O215" s="1813"/>
      <c r="P215" s="1813" t="s">
        <v>1056</v>
      </c>
      <c r="S215" s="434"/>
      <c r="T215" s="434"/>
    </row>
    <row r="216" spans="1:20" ht="12.75" hidden="1" customHeight="1" outlineLevel="1" x14ac:dyDescent="0.25">
      <c r="A216" s="2380">
        <v>0.02</v>
      </c>
      <c r="B216" s="1921" t="s">
        <v>7362</v>
      </c>
      <c r="C216" s="2108">
        <v>1400.25</v>
      </c>
      <c r="D216" s="2978">
        <v>666.9</v>
      </c>
      <c r="E216" s="3006">
        <v>-0.52372790573111949</v>
      </c>
      <c r="F216" s="3007">
        <v>-1.047455811462239E-2</v>
      </c>
      <c r="G216" s="1813"/>
      <c r="H216" s="1813" t="s">
        <v>7360</v>
      </c>
      <c r="I216" s="2932">
        <v>0.03</v>
      </c>
      <c r="J216" s="1921" t="s">
        <v>7381</v>
      </c>
      <c r="K216" s="2108">
        <v>1778.099995839246</v>
      </c>
      <c r="L216" s="2978">
        <v>3528</v>
      </c>
      <c r="M216" s="3006">
        <v>0.98414037919999986</v>
      </c>
      <c r="N216" s="3007">
        <v>2.9524211375999993E-2</v>
      </c>
      <c r="O216" s="1813"/>
      <c r="P216" s="1813" t="s">
        <v>8897</v>
      </c>
      <c r="S216" s="434"/>
      <c r="T216" s="434"/>
    </row>
    <row r="217" spans="1:20" ht="12.75" hidden="1" customHeight="1" outlineLevel="1" x14ac:dyDescent="0.25">
      <c r="A217" s="2380">
        <v>0.02</v>
      </c>
      <c r="B217" s="1921" t="s">
        <v>7363</v>
      </c>
      <c r="C217" s="2519">
        <v>2503.4</v>
      </c>
      <c r="D217" s="2978">
        <v>5440</v>
      </c>
      <c r="E217" s="3006">
        <v>1.1730446592634016</v>
      </c>
      <c r="F217" s="3007">
        <v>2.3460893185268034E-2</v>
      </c>
      <c r="G217" s="1813"/>
      <c r="H217" s="1813" t="s">
        <v>7364</v>
      </c>
      <c r="I217" s="2932">
        <v>0.06</v>
      </c>
      <c r="J217" s="1921" t="s">
        <v>3799</v>
      </c>
      <c r="K217" s="2519">
        <v>1506.8701638901373</v>
      </c>
      <c r="L217" s="2978">
        <v>1636.6</v>
      </c>
      <c r="M217" s="3006">
        <v>8.6092245515666743E-2</v>
      </c>
      <c r="N217" s="3007">
        <v>5.1655347309400041E-3</v>
      </c>
      <c r="O217" s="1813"/>
      <c r="P217" s="1813" t="s">
        <v>4128</v>
      </c>
      <c r="S217" s="434"/>
      <c r="T217" s="434"/>
    </row>
    <row r="218" spans="1:20" ht="12.75" hidden="1" customHeight="1" outlineLevel="1" x14ac:dyDescent="0.25">
      <c r="A218" s="2380">
        <v>0.02</v>
      </c>
      <c r="B218" s="1921" t="s">
        <v>7346</v>
      </c>
      <c r="C218" s="2108">
        <v>168.50393954206712</v>
      </c>
      <c r="D218" s="2978">
        <v>484.25</v>
      </c>
      <c r="E218" s="3006">
        <v>1.8738200502375002</v>
      </c>
      <c r="F218" s="3007">
        <v>3.7476401004750005E-2</v>
      </c>
      <c r="G218" s="1813"/>
      <c r="H218" s="1813" t="s">
        <v>6448</v>
      </c>
      <c r="I218" s="2932">
        <v>0.04</v>
      </c>
      <c r="J218" s="1921" t="s">
        <v>6082</v>
      </c>
      <c r="K218" s="2108">
        <v>16.387499999999999</v>
      </c>
      <c r="L218" s="2978">
        <v>24.26</v>
      </c>
      <c r="M218" s="3006">
        <v>0.48039664378337155</v>
      </c>
      <c r="N218" s="3007">
        <v>1.9215865751334861E-2</v>
      </c>
      <c r="O218" s="1813"/>
      <c r="P218" s="1813" t="s">
        <v>8151</v>
      </c>
      <c r="S218" s="434"/>
      <c r="T218" s="434"/>
    </row>
    <row r="219" spans="1:20" ht="12.75" hidden="1" customHeight="1" outlineLevel="1" x14ac:dyDescent="0.25">
      <c r="A219" s="2380">
        <v>0.05</v>
      </c>
      <c r="B219" s="1921" t="s">
        <v>1381</v>
      </c>
      <c r="C219" s="2108">
        <v>110.15600000000001</v>
      </c>
      <c r="D219" s="2978">
        <v>141.35</v>
      </c>
      <c r="E219" s="3006">
        <v>0.28318021714659203</v>
      </c>
      <c r="F219" s="3007">
        <v>1.4159010857329603E-2</v>
      </c>
      <c r="G219" s="1813"/>
      <c r="H219" s="1813" t="s">
        <v>1383</v>
      </c>
      <c r="I219" s="2932">
        <v>0.08</v>
      </c>
      <c r="J219" s="1921" t="s">
        <v>6113</v>
      </c>
      <c r="K219" s="2108">
        <v>893.36684443639137</v>
      </c>
      <c r="L219" s="2978">
        <v>989.2</v>
      </c>
      <c r="M219" s="3006">
        <v>0.10727189637765</v>
      </c>
      <c r="N219" s="3007">
        <v>8.5817517102120006E-3</v>
      </c>
      <c r="O219" s="1813"/>
      <c r="P219" s="1813" t="s">
        <v>4195</v>
      </c>
      <c r="S219" s="434"/>
      <c r="T219" s="434"/>
    </row>
    <row r="220" spans="1:20" ht="12.75" hidden="1" customHeight="1" outlineLevel="1" x14ac:dyDescent="0.25">
      <c r="A220" s="2380">
        <v>0.04</v>
      </c>
      <c r="B220" s="1921" t="s">
        <v>7368</v>
      </c>
      <c r="C220" s="2108">
        <v>2447</v>
      </c>
      <c r="D220" s="2978">
        <v>2203.5</v>
      </c>
      <c r="E220" s="3006">
        <v>-9.9509603596240281E-2</v>
      </c>
      <c r="F220" s="3007">
        <v>-3.980384143849611E-3</v>
      </c>
      <c r="G220" s="1813"/>
      <c r="H220" s="1813" t="s">
        <v>7366</v>
      </c>
      <c r="I220" s="2932">
        <v>0.08</v>
      </c>
      <c r="J220" s="1921" t="s">
        <v>1039</v>
      </c>
      <c r="K220" s="2108">
        <v>71.030000028376492</v>
      </c>
      <c r="L220" s="2978">
        <v>104.74</v>
      </c>
      <c r="M220" s="3006">
        <v>0.47458820157899972</v>
      </c>
      <c r="N220" s="3007">
        <v>3.7967056126319981E-2</v>
      </c>
      <c r="O220" s="1813"/>
      <c r="P220" s="1813" t="s">
        <v>8872</v>
      </c>
      <c r="S220" s="434"/>
      <c r="T220" s="434"/>
    </row>
    <row r="221" spans="1:20" ht="12.75" hidden="1" customHeight="1" outlineLevel="1" x14ac:dyDescent="0.25">
      <c r="A221" s="2380">
        <v>0.02</v>
      </c>
      <c r="B221" s="1921" t="s">
        <v>6897</v>
      </c>
      <c r="C221" s="2108">
        <v>58.646000000000001</v>
      </c>
      <c r="D221" s="2978">
        <v>45.54</v>
      </c>
      <c r="E221" s="3006">
        <v>-0.22347645193193055</v>
      </c>
      <c r="F221" s="3007">
        <v>-4.4695290386386113E-3</v>
      </c>
      <c r="G221" s="1813"/>
      <c r="H221" s="1813" t="s">
        <v>6898</v>
      </c>
      <c r="I221" s="2932">
        <v>0.02</v>
      </c>
      <c r="J221" s="1921" t="s">
        <v>7103</v>
      </c>
      <c r="K221" s="2108">
        <v>83.512577770879275</v>
      </c>
      <c r="L221" s="2978">
        <v>82.42</v>
      </c>
      <c r="M221" s="3006">
        <v>-1.3082793036000018E-2</v>
      </c>
      <c r="N221" s="3007">
        <v>-2.6165586072000039E-4</v>
      </c>
      <c r="O221" s="1813"/>
      <c r="P221" s="1813" t="s">
        <v>8874</v>
      </c>
      <c r="S221" s="434"/>
      <c r="T221" s="434"/>
    </row>
    <row r="222" spans="1:20" ht="12.75" hidden="1" customHeight="1" outlineLevel="1" x14ac:dyDescent="0.25">
      <c r="A222" s="2380">
        <v>0.08</v>
      </c>
      <c r="B222" s="1921" t="s">
        <v>1528</v>
      </c>
      <c r="C222" s="2108">
        <v>156.785</v>
      </c>
      <c r="D222" s="2978">
        <v>390.5</v>
      </c>
      <c r="E222" s="3006">
        <v>1.4906719392799057</v>
      </c>
      <c r="F222" s="3007">
        <v>0.11925375514239246</v>
      </c>
      <c r="G222" s="1813"/>
      <c r="H222" s="1813" t="s">
        <v>4149</v>
      </c>
      <c r="I222" s="2932">
        <v>0.02</v>
      </c>
      <c r="J222" s="1921" t="s">
        <v>7007</v>
      </c>
      <c r="K222" s="2108">
        <v>1375.2000000632593</v>
      </c>
      <c r="L222" s="2978">
        <v>575.79999999999995</v>
      </c>
      <c r="M222" s="3006">
        <v>-0.5812972658715001</v>
      </c>
      <c r="N222" s="3007">
        <v>-1.1625945317430003E-2</v>
      </c>
      <c r="O222" s="1813"/>
      <c r="P222" s="1813" t="s">
        <v>3959</v>
      </c>
      <c r="S222" s="434"/>
      <c r="T222" s="434"/>
    </row>
    <row r="223" spans="1:20" ht="12.75" hidden="1" customHeight="1" outlineLevel="1" x14ac:dyDescent="0.25">
      <c r="A223" s="2380">
        <v>0.02</v>
      </c>
      <c r="B223" s="1921" t="s">
        <v>7371</v>
      </c>
      <c r="C223" s="2108">
        <v>34.447000000000003</v>
      </c>
      <c r="D223" s="2978">
        <v>60.61</v>
      </c>
      <c r="E223" s="3006">
        <v>0.75951461665747355</v>
      </c>
      <c r="F223" s="3007">
        <v>1.5190292333149471E-2</v>
      </c>
      <c r="G223" s="1813"/>
      <c r="H223" s="1813" t="s">
        <v>7369</v>
      </c>
      <c r="I223" s="2932">
        <v>0.02</v>
      </c>
      <c r="J223" s="1921" t="s">
        <v>7354</v>
      </c>
      <c r="K223" s="2108">
        <v>14.401604895263345</v>
      </c>
      <c r="L223" s="2978">
        <v>20.6</v>
      </c>
      <c r="M223" s="3006">
        <v>0.43039613639000018</v>
      </c>
      <c r="N223" s="3007">
        <v>8.607922727800003E-3</v>
      </c>
      <c r="O223" s="1813"/>
      <c r="P223" s="1813" t="s">
        <v>285</v>
      </c>
      <c r="S223" s="434"/>
      <c r="T223" s="434"/>
    </row>
    <row r="224" spans="1:20" ht="12.75" hidden="1" customHeight="1" outlineLevel="1" x14ac:dyDescent="0.25">
      <c r="A224" s="2380">
        <v>0.03</v>
      </c>
      <c r="B224" s="1921" t="s">
        <v>4044</v>
      </c>
      <c r="C224" s="2108">
        <v>104.63500000000001</v>
      </c>
      <c r="D224" s="2978">
        <v>140.05000000000001</v>
      </c>
      <c r="E224" s="3006">
        <v>0.33846227361781445</v>
      </c>
      <c r="F224" s="3007">
        <v>1.0153868208534433E-2</v>
      </c>
      <c r="G224" s="1813"/>
      <c r="H224" s="1813" t="s">
        <v>4045</v>
      </c>
      <c r="I224" s="2932">
        <v>0.02</v>
      </c>
      <c r="J224" s="1921" t="s">
        <v>10303</v>
      </c>
      <c r="K224" s="2108">
        <v>29.93399288157077</v>
      </c>
      <c r="L224" s="2978">
        <v>69.489999999999995</v>
      </c>
      <c r="M224" s="3006">
        <v>1.3214410544869999</v>
      </c>
      <c r="N224" s="3007">
        <v>2.6428821089739998E-2</v>
      </c>
      <c r="O224" s="1813"/>
      <c r="P224" s="1813" t="s">
        <v>10302</v>
      </c>
      <c r="S224" s="434"/>
      <c r="T224" s="434"/>
    </row>
    <row r="225" spans="1:20" ht="12.75" hidden="1" customHeight="1" outlineLevel="1" x14ac:dyDescent="0.25">
      <c r="A225" s="2380">
        <v>0.02</v>
      </c>
      <c r="B225" s="1921" t="s">
        <v>6061</v>
      </c>
      <c r="C225" s="2108">
        <v>34.218000000000004</v>
      </c>
      <c r="D225" s="2978">
        <v>32.700000000000003</v>
      </c>
      <c r="E225" s="3006">
        <v>-4.4362616166929714E-2</v>
      </c>
      <c r="F225" s="3007">
        <v>-8.8725232333859434E-4</v>
      </c>
      <c r="G225" s="1813"/>
      <c r="H225" s="1813" t="s">
        <v>2428</v>
      </c>
      <c r="I225" s="2932">
        <v>0.02</v>
      </c>
      <c r="J225" s="1921" t="s">
        <v>2754</v>
      </c>
      <c r="K225" s="2108">
        <v>247.34</v>
      </c>
      <c r="L225" s="2978">
        <v>328.35</v>
      </c>
      <c r="M225" s="3006">
        <v>0.32752486455890684</v>
      </c>
      <c r="N225" s="3007">
        <v>6.5504972911781369E-3</v>
      </c>
      <c r="O225" s="1813"/>
      <c r="P225" s="1813" t="s">
        <v>8876</v>
      </c>
      <c r="S225" s="434"/>
      <c r="T225" s="434"/>
    </row>
    <row r="226" spans="1:20" ht="12.75" hidden="1" customHeight="1" outlineLevel="1" x14ac:dyDescent="0.25">
      <c r="A226" s="2380">
        <v>0.08</v>
      </c>
      <c r="B226" s="1921" t="s">
        <v>3793</v>
      </c>
      <c r="C226" s="2108">
        <v>82.358999999999995</v>
      </c>
      <c r="D226" s="2978">
        <v>70.06</v>
      </c>
      <c r="E226" s="3006">
        <v>-0.14933401328330831</v>
      </c>
      <c r="F226" s="3007">
        <v>-1.1946721062664666E-2</v>
      </c>
      <c r="G226" s="1813"/>
      <c r="H226" s="1813" t="s">
        <v>3533</v>
      </c>
      <c r="I226" s="2932">
        <v>0.02</v>
      </c>
      <c r="J226" s="1921" t="s">
        <v>7348</v>
      </c>
      <c r="K226" s="2108">
        <v>1858.3</v>
      </c>
      <c r="L226" s="2978">
        <v>2315</v>
      </c>
      <c r="M226" s="3006">
        <v>0.2457622558252166</v>
      </c>
      <c r="N226" s="3007">
        <v>4.9152451165043317E-3</v>
      </c>
      <c r="O226" s="1813"/>
      <c r="P226" s="1813" t="s">
        <v>8899</v>
      </c>
      <c r="S226" s="434"/>
      <c r="T226" s="434"/>
    </row>
    <row r="227" spans="1:20" ht="12.75" hidden="1" customHeight="1" outlineLevel="1" x14ac:dyDescent="0.25">
      <c r="A227" s="2380">
        <v>0.08</v>
      </c>
      <c r="B227" s="1921" t="s">
        <v>1187</v>
      </c>
      <c r="C227" s="2108">
        <v>85.754000000000005</v>
      </c>
      <c r="D227" s="2978">
        <v>90.65</v>
      </c>
      <c r="E227" s="3006">
        <v>5.7093546656715732E-2</v>
      </c>
      <c r="F227" s="3007">
        <v>4.5674837325372589E-3</v>
      </c>
      <c r="G227" s="1813"/>
      <c r="H227" s="1813" t="s">
        <v>3483</v>
      </c>
      <c r="I227" s="2932">
        <v>0.02</v>
      </c>
      <c r="J227" s="1921" t="s">
        <v>7105</v>
      </c>
      <c r="K227" s="2108">
        <v>95.382000000000005</v>
      </c>
      <c r="L227" s="2978">
        <v>104.76</v>
      </c>
      <c r="M227" s="3006">
        <v>9.8320437818456341E-2</v>
      </c>
      <c r="N227" s="3007">
        <v>1.9664087563691268E-3</v>
      </c>
      <c r="O227" s="1813"/>
      <c r="P227" s="1813" t="s">
        <v>3775</v>
      </c>
      <c r="S227" s="434"/>
      <c r="T227" s="434"/>
    </row>
    <row r="228" spans="1:20" ht="12.75" hidden="1" customHeight="1" outlineLevel="1" x14ac:dyDescent="0.25">
      <c r="A228" s="2380">
        <v>0.05</v>
      </c>
      <c r="B228" s="1921" t="s">
        <v>7374</v>
      </c>
      <c r="C228" s="2108">
        <v>114.98497563763877</v>
      </c>
      <c r="D228" s="2978">
        <v>71.260000000000005</v>
      </c>
      <c r="E228" s="3006">
        <v>-0.38026686004119992</v>
      </c>
      <c r="F228" s="3007">
        <v>-1.9013343002059997E-2</v>
      </c>
      <c r="G228" s="1813"/>
      <c r="H228" s="1813" t="s">
        <v>7372</v>
      </c>
      <c r="I228" s="2932">
        <v>0.02</v>
      </c>
      <c r="J228" s="1921" t="s">
        <v>3656</v>
      </c>
      <c r="K228" s="2108">
        <v>202.37</v>
      </c>
      <c r="L228" s="2978">
        <v>173.15</v>
      </c>
      <c r="M228" s="3006">
        <v>-0.14438899046301323</v>
      </c>
      <c r="N228" s="3007">
        <v>-2.8877798092602647E-3</v>
      </c>
      <c r="O228" s="1813"/>
      <c r="P228" s="1813" t="s">
        <v>1467</v>
      </c>
      <c r="S228" s="434"/>
      <c r="T228" s="434"/>
    </row>
    <row r="229" spans="1:20" ht="12.75" hidden="1" customHeight="1" outlineLevel="1" x14ac:dyDescent="0.25">
      <c r="A229" s="2380">
        <v>0.02</v>
      </c>
      <c r="B229" s="1921" t="s">
        <v>7375</v>
      </c>
      <c r="C229" s="2108">
        <v>1482.25</v>
      </c>
      <c r="D229" s="2978">
        <v>1239.5</v>
      </c>
      <c r="E229" s="3006">
        <v>-0.16377129364142351</v>
      </c>
      <c r="F229" s="3007">
        <v>-3.2754258728284703E-3</v>
      </c>
      <c r="G229" s="1813"/>
      <c r="H229" s="1813" t="s">
        <v>7376</v>
      </c>
      <c r="I229" s="2932">
        <v>7.0000000000000007E-2</v>
      </c>
      <c r="J229" s="1921" t="s">
        <v>7106</v>
      </c>
      <c r="K229" s="2108">
        <v>81.718603306351511</v>
      </c>
      <c r="L229" s="2978">
        <v>73.06</v>
      </c>
      <c r="M229" s="3006">
        <v>-0.10595633008914296</v>
      </c>
      <c r="N229" s="3007">
        <v>-7.4169431062400077E-3</v>
      </c>
      <c r="O229" s="1813"/>
      <c r="P229" s="1813" t="s">
        <v>8893</v>
      </c>
      <c r="S229" s="434"/>
      <c r="T229" s="434"/>
    </row>
    <row r="230" spans="1:20" ht="12.75" hidden="1" customHeight="1" outlineLevel="1" x14ac:dyDescent="0.25">
      <c r="A230" s="2380">
        <v>0.08</v>
      </c>
      <c r="B230" s="1921" t="s">
        <v>3383</v>
      </c>
      <c r="C230" s="2108">
        <v>153.16616617132919</v>
      </c>
      <c r="D230" s="2978">
        <v>140.1</v>
      </c>
      <c r="E230" s="3006">
        <v>-8.5307130797499964E-2</v>
      </c>
      <c r="F230" s="3007">
        <v>-6.824570463799997E-3</v>
      </c>
      <c r="G230" s="1813"/>
      <c r="H230" s="1813" t="s">
        <v>3789</v>
      </c>
      <c r="I230" s="2932">
        <v>0.02</v>
      </c>
      <c r="J230" s="1921" t="s">
        <v>10301</v>
      </c>
      <c r="K230" s="2108">
        <v>319.0472025390925</v>
      </c>
      <c r="L230" s="2978">
        <v>422.16230000000002</v>
      </c>
      <c r="M230" s="3006">
        <v>0.32319699605663499</v>
      </c>
      <c r="N230" s="3007">
        <v>6.4639399211326998E-3</v>
      </c>
      <c r="O230" s="1813"/>
      <c r="P230" s="1813" t="s">
        <v>10300</v>
      </c>
      <c r="S230" s="434"/>
      <c r="T230" s="434"/>
    </row>
    <row r="231" spans="1:20" ht="12.75" hidden="1" customHeight="1" outlineLevel="1" x14ac:dyDescent="0.25">
      <c r="A231" s="2380">
        <v>0.02</v>
      </c>
      <c r="B231" s="1921" t="s">
        <v>1003</v>
      </c>
      <c r="C231" s="2108">
        <v>56.855499999999999</v>
      </c>
      <c r="D231" s="2978">
        <v>126.97</v>
      </c>
      <c r="E231" s="3006">
        <v>1.2332052308044075</v>
      </c>
      <c r="F231" s="3007">
        <v>2.4664104616088148E-2</v>
      </c>
      <c r="G231" s="1813"/>
      <c r="H231" s="1813" t="s">
        <v>7121</v>
      </c>
      <c r="I231" s="2932">
        <v>0.03</v>
      </c>
      <c r="J231" s="1921" t="s">
        <v>6211</v>
      </c>
      <c r="K231" s="2108">
        <v>2794.5</v>
      </c>
      <c r="L231" s="2978">
        <v>4355</v>
      </c>
      <c r="M231" s="3006">
        <v>0.55841832170334582</v>
      </c>
      <c r="N231" s="3007">
        <v>1.6752549651100374E-2</v>
      </c>
      <c r="O231" s="1813"/>
      <c r="P231" s="1813" t="s">
        <v>107</v>
      </c>
      <c r="S231" s="434"/>
      <c r="T231" s="434"/>
    </row>
    <row r="232" spans="1:20" ht="12.75" hidden="1" customHeight="1" outlineLevel="1" x14ac:dyDescent="0.25">
      <c r="A232" s="2380">
        <v>0.02</v>
      </c>
      <c r="B232" s="1921" t="s">
        <v>2893</v>
      </c>
      <c r="C232" s="2108">
        <v>421.02</v>
      </c>
      <c r="D232" s="2978">
        <v>189.1</v>
      </c>
      <c r="E232" s="3006">
        <v>-0.55085269108355894</v>
      </c>
      <c r="F232" s="3007">
        <v>-1.101705382167118E-2</v>
      </c>
      <c r="G232" s="1813"/>
      <c r="H232" s="1813" t="s">
        <v>8887</v>
      </c>
      <c r="I232" s="2932">
        <v>0.02</v>
      </c>
      <c r="J232" s="1921" t="s">
        <v>580</v>
      </c>
      <c r="K232" s="2108">
        <v>91.804852554796852</v>
      </c>
      <c r="L232" s="2978">
        <v>145.9</v>
      </c>
      <c r="M232" s="3006">
        <v>0.58924061135999994</v>
      </c>
      <c r="N232" s="3007">
        <v>1.1784812227199999E-2</v>
      </c>
      <c r="O232" s="1813"/>
      <c r="P232" s="1813" t="s">
        <v>3612</v>
      </c>
      <c r="S232" s="434"/>
      <c r="T232" s="434"/>
    </row>
    <row r="233" spans="1:20" ht="12.75" hidden="1" customHeight="1" outlineLevel="1" x14ac:dyDescent="0.25">
      <c r="A233" s="2380">
        <v>0.02</v>
      </c>
      <c r="B233" s="1921" t="s">
        <v>7333</v>
      </c>
      <c r="C233" s="2108">
        <v>540.51724242132002</v>
      </c>
      <c r="D233" s="2978">
        <v>37.159999999999997</v>
      </c>
      <c r="E233" s="3006">
        <v>-0.93125103681514998</v>
      </c>
      <c r="F233" s="3007">
        <v>-1.8625020736303E-2</v>
      </c>
      <c r="G233" s="1813"/>
      <c r="H233" s="1813" t="s">
        <v>7334</v>
      </c>
      <c r="I233" s="2932">
        <v>0.02</v>
      </c>
      <c r="J233" s="1921" t="s">
        <v>3306</v>
      </c>
      <c r="K233" s="2108">
        <v>1459</v>
      </c>
      <c r="L233" s="2978">
        <v>630.79999999999995</v>
      </c>
      <c r="M233" s="3006">
        <v>-0.56764907470870463</v>
      </c>
      <c r="N233" s="3007">
        <v>-1.1352981494174092E-2</v>
      </c>
      <c r="O233" s="1813"/>
      <c r="P233" s="1813" t="s">
        <v>2014</v>
      </c>
      <c r="S233" s="434"/>
      <c r="T233" s="434"/>
    </row>
    <row r="234" spans="1:20" ht="12.75" hidden="1" customHeight="1" outlineLevel="1" x14ac:dyDescent="0.25">
      <c r="A234" s="2380">
        <v>0.02</v>
      </c>
      <c r="B234" s="2109" t="s">
        <v>7380</v>
      </c>
      <c r="C234" s="2108">
        <v>13.756</v>
      </c>
      <c r="D234" s="3008">
        <v>7.3579999999999997</v>
      </c>
      <c r="E234" s="3006">
        <v>-0.46510613550450719</v>
      </c>
      <c r="F234" s="3007">
        <v>-9.3021227100901441E-3</v>
      </c>
      <c r="G234" s="1813"/>
      <c r="H234" s="1813" t="s">
        <v>7377</v>
      </c>
      <c r="I234" s="2898">
        <v>0.08</v>
      </c>
      <c r="J234" s="2109" t="s">
        <v>4550</v>
      </c>
      <c r="K234" s="2108">
        <v>308.33</v>
      </c>
      <c r="L234" s="3008">
        <v>334.2</v>
      </c>
      <c r="M234" s="3006">
        <v>8.3903609768754217E-2</v>
      </c>
      <c r="N234" s="3007">
        <v>6.7122887815003378E-3</v>
      </c>
      <c r="O234" s="1813"/>
      <c r="P234" s="1813" t="s">
        <v>8889</v>
      </c>
      <c r="S234" s="434"/>
      <c r="T234" s="434"/>
    </row>
    <row r="235" spans="1:20" ht="12.75" hidden="1" customHeight="1" outlineLevel="1" x14ac:dyDescent="0.25">
      <c r="A235" s="2181" t="s">
        <v>2734</v>
      </c>
      <c r="B235" s="2103"/>
      <c r="C235" s="3009"/>
      <c r="D235" s="3010"/>
      <c r="E235" s="3011"/>
      <c r="F235" s="3011">
        <v>0.14980458157198906</v>
      </c>
      <c r="G235" s="1813"/>
      <c r="H235" s="3012">
        <v>0.14980458157198906</v>
      </c>
      <c r="I235" s="2181" t="s">
        <v>2734</v>
      </c>
      <c r="J235" s="2103"/>
      <c r="K235" s="3009"/>
      <c r="L235" s="3010"/>
      <c r="M235" s="3011"/>
      <c r="N235" s="3011">
        <v>0.13160586747258399</v>
      </c>
      <c r="O235" s="1813"/>
      <c r="P235" s="1813"/>
    </row>
    <row r="236" spans="1:20" ht="12.75" hidden="1" customHeight="1" outlineLevel="1" x14ac:dyDescent="0.25">
      <c r="A236" s="1956" t="s">
        <v>7382</v>
      </c>
      <c r="B236" s="2185">
        <v>43647</v>
      </c>
      <c r="C236" s="3013">
        <v>100</v>
      </c>
      <c r="D236" s="3013">
        <v>121.78279999999999</v>
      </c>
      <c r="E236" s="3014">
        <v>0.21782799999999991</v>
      </c>
      <c r="F236" s="3015"/>
      <c r="G236" s="1813"/>
      <c r="H236" s="1813"/>
      <c r="I236" s="1956" t="s">
        <v>7382</v>
      </c>
      <c r="J236" s="2185">
        <v>43647</v>
      </c>
      <c r="K236" s="3013">
        <v>100</v>
      </c>
      <c r="L236" s="3013">
        <v>116.3039</v>
      </c>
      <c r="M236" s="3014">
        <v>0.16303899999999993</v>
      </c>
      <c r="N236" s="3015"/>
      <c r="O236" s="1813"/>
      <c r="P236" s="1813"/>
    </row>
    <row r="237" spans="1:20" ht="12.75" hidden="1" customHeight="1" outlineLevel="1" x14ac:dyDescent="0.25">
      <c r="A237" s="1956" t="s">
        <v>7383</v>
      </c>
      <c r="B237" s="2185">
        <v>43678</v>
      </c>
      <c r="C237" s="3013">
        <v>100</v>
      </c>
      <c r="D237" s="3016">
        <v>117.8784</v>
      </c>
      <c r="E237" s="3014">
        <v>0.17878400000000005</v>
      </c>
      <c r="F237" s="3015"/>
      <c r="G237" s="1813"/>
      <c r="H237" s="1813"/>
      <c r="I237" s="1956" t="s">
        <v>7383</v>
      </c>
      <c r="J237" s="2185">
        <v>43678</v>
      </c>
      <c r="K237" s="3013">
        <v>100</v>
      </c>
      <c r="L237" s="3016">
        <v>116.5712</v>
      </c>
      <c r="M237" s="3014">
        <v>0.16571200000000008</v>
      </c>
      <c r="N237" s="3015"/>
      <c r="O237" s="1813"/>
      <c r="P237" s="1813"/>
    </row>
    <row r="238" spans="1:20" ht="12.75" hidden="1" customHeight="1" outlineLevel="1" x14ac:dyDescent="0.25">
      <c r="A238" s="1956" t="s">
        <v>7384</v>
      </c>
      <c r="B238" s="2185">
        <v>43709</v>
      </c>
      <c r="C238" s="3013">
        <v>100</v>
      </c>
      <c r="D238" s="3016">
        <v>120.7689</v>
      </c>
      <c r="E238" s="3014">
        <v>0.20768900000000001</v>
      </c>
      <c r="F238" s="3015"/>
      <c r="G238" s="1813"/>
      <c r="H238" s="1813"/>
      <c r="I238" s="1956" t="s">
        <v>7384</v>
      </c>
      <c r="J238" s="2185">
        <v>43709</v>
      </c>
      <c r="K238" s="3013">
        <v>100</v>
      </c>
      <c r="L238" s="3016">
        <v>118.7521</v>
      </c>
      <c r="M238" s="3014">
        <v>0.18752100000000005</v>
      </c>
      <c r="N238" s="3015"/>
      <c r="O238" s="1813"/>
      <c r="P238" s="1813"/>
    </row>
    <row r="239" spans="1:20" ht="12.75" hidden="1" customHeight="1" outlineLevel="1" x14ac:dyDescent="0.25">
      <c r="A239" s="1956" t="s">
        <v>7385</v>
      </c>
      <c r="B239" s="2185">
        <v>43739</v>
      </c>
      <c r="C239" s="3013">
        <v>100</v>
      </c>
      <c r="D239" s="3016">
        <v>122.917</v>
      </c>
      <c r="E239" s="3014">
        <v>0.2291700000000001</v>
      </c>
      <c r="F239" s="3015"/>
      <c r="G239" s="1813"/>
      <c r="H239" s="1813"/>
      <c r="I239" s="1956" t="s">
        <v>7385</v>
      </c>
      <c r="J239" s="2185">
        <v>43739</v>
      </c>
      <c r="K239" s="3013">
        <v>100</v>
      </c>
      <c r="L239" s="3016">
        <v>120.35550000000001</v>
      </c>
      <c r="M239" s="3014">
        <v>0.20355500000000015</v>
      </c>
      <c r="N239" s="3015"/>
      <c r="O239" s="1813"/>
      <c r="P239" s="1813"/>
    </row>
    <row r="240" spans="1:20" ht="12.75" hidden="1" customHeight="1" outlineLevel="1" x14ac:dyDescent="0.25">
      <c r="A240" s="1956" t="s">
        <v>7386</v>
      </c>
      <c r="B240" s="2185">
        <v>43770</v>
      </c>
      <c r="C240" s="3013">
        <v>100</v>
      </c>
      <c r="D240" s="3016">
        <v>126.9632</v>
      </c>
      <c r="E240" s="3014">
        <v>0.26963200000000009</v>
      </c>
      <c r="F240" s="3015"/>
      <c r="G240" s="1813"/>
      <c r="H240" s="1813"/>
      <c r="I240" s="1956" t="s">
        <v>7386</v>
      </c>
      <c r="J240" s="2185">
        <v>43770</v>
      </c>
      <c r="K240" s="3013">
        <v>100</v>
      </c>
      <c r="L240" s="3016">
        <v>121.7791</v>
      </c>
      <c r="M240" s="3014">
        <v>0.21779100000000007</v>
      </c>
      <c r="N240" s="3015"/>
      <c r="O240" s="1813"/>
      <c r="P240" s="1813"/>
    </row>
    <row r="241" spans="1:16" ht="12.75" hidden="1" customHeight="1" outlineLevel="1" x14ac:dyDescent="0.25">
      <c r="A241" s="1956" t="s">
        <v>7387</v>
      </c>
      <c r="B241" s="2185">
        <v>43800</v>
      </c>
      <c r="C241" s="3013">
        <v>100</v>
      </c>
      <c r="D241" s="3016">
        <v>130.54730000000001</v>
      </c>
      <c r="E241" s="3014">
        <v>0.30547300000000011</v>
      </c>
      <c r="F241" s="3015"/>
      <c r="G241" s="1813"/>
      <c r="H241" s="1813"/>
      <c r="I241" s="1956" t="s">
        <v>7387</v>
      </c>
      <c r="J241" s="2185">
        <v>43800</v>
      </c>
      <c r="K241" s="3013">
        <v>100</v>
      </c>
      <c r="L241" s="3016">
        <v>123.0397</v>
      </c>
      <c r="M241" s="3014">
        <v>0.23039699999999996</v>
      </c>
      <c r="N241" s="3015"/>
      <c r="O241" s="1813"/>
      <c r="P241" s="1813"/>
    </row>
    <row r="242" spans="1:16" ht="12.75" hidden="1" customHeight="1" outlineLevel="1" x14ac:dyDescent="0.25">
      <c r="A242" s="1956" t="s">
        <v>7388</v>
      </c>
      <c r="B242" s="2185">
        <v>43831</v>
      </c>
      <c r="C242" s="3013">
        <v>100</v>
      </c>
      <c r="D242" s="3016">
        <v>126.0521</v>
      </c>
      <c r="E242" s="3014">
        <v>0.260521</v>
      </c>
      <c r="F242" s="3015"/>
      <c r="G242" s="1813"/>
      <c r="H242" s="1813"/>
      <c r="I242" s="1956" t="s">
        <v>7388</v>
      </c>
      <c r="J242" s="2185">
        <v>43831</v>
      </c>
      <c r="K242" s="3013">
        <v>100</v>
      </c>
      <c r="L242" s="3016">
        <v>124.1366</v>
      </c>
      <c r="M242" s="3014">
        <v>0.24136599999999997</v>
      </c>
      <c r="N242" s="3015"/>
      <c r="O242" s="1813"/>
      <c r="P242" s="1813"/>
    </row>
    <row r="243" spans="1:16" ht="12.75" hidden="1" customHeight="1" outlineLevel="1" x14ac:dyDescent="0.25">
      <c r="A243" s="1956" t="s">
        <v>7389</v>
      </c>
      <c r="B243" s="2185">
        <v>43862</v>
      </c>
      <c r="C243" s="3013">
        <v>100</v>
      </c>
      <c r="D243" s="3016">
        <v>116.20140000000001</v>
      </c>
      <c r="E243" s="3014">
        <v>0.1620140000000001</v>
      </c>
      <c r="F243" s="3015"/>
      <c r="G243" s="1813"/>
      <c r="H243" s="1813"/>
      <c r="I243" s="1956" t="s">
        <v>7389</v>
      </c>
      <c r="J243" s="2185">
        <v>43862</v>
      </c>
      <c r="K243" s="3013">
        <v>100</v>
      </c>
      <c r="L243" s="3016">
        <v>114.6692</v>
      </c>
      <c r="M243" s="3014">
        <v>0.14669200000000004</v>
      </c>
      <c r="N243" s="3015"/>
      <c r="O243" s="1813"/>
      <c r="P243" s="1813"/>
    </row>
    <row r="244" spans="1:16" ht="12.75" hidden="1" customHeight="1" outlineLevel="1" x14ac:dyDescent="0.25">
      <c r="A244" s="1956" t="s">
        <v>7390</v>
      </c>
      <c r="B244" s="2185">
        <v>43891</v>
      </c>
      <c r="C244" s="3013">
        <v>100</v>
      </c>
      <c r="D244" s="3016">
        <v>103.06359999999999</v>
      </c>
      <c r="E244" s="3014">
        <v>3.0635999999999886E-2</v>
      </c>
      <c r="F244" s="3015"/>
      <c r="G244" s="1813"/>
      <c r="H244" s="1813"/>
      <c r="I244" s="1956" t="s">
        <v>7390</v>
      </c>
      <c r="J244" s="2185">
        <v>43891</v>
      </c>
      <c r="K244" s="3013">
        <v>100</v>
      </c>
      <c r="L244" s="3016">
        <v>106.43689999999999</v>
      </c>
      <c r="M244" s="3014">
        <v>6.4368999999999899E-2</v>
      </c>
      <c r="N244" s="3015"/>
      <c r="O244" s="1813"/>
      <c r="P244" s="1813"/>
    </row>
    <row r="245" spans="1:16" ht="12.75" hidden="1" customHeight="1" outlineLevel="1" x14ac:dyDescent="0.25">
      <c r="A245" s="1956" t="s">
        <v>7391</v>
      </c>
      <c r="B245" s="2185">
        <v>43922</v>
      </c>
      <c r="C245" s="3013">
        <v>100</v>
      </c>
      <c r="D245" s="3016">
        <v>109.76609999999999</v>
      </c>
      <c r="E245" s="3014">
        <v>9.7660999999999998E-2</v>
      </c>
      <c r="F245" s="3015"/>
      <c r="G245" s="1813"/>
      <c r="H245" s="1813"/>
      <c r="I245" s="1956" t="s">
        <v>7391</v>
      </c>
      <c r="J245" s="2185">
        <v>43922</v>
      </c>
      <c r="K245" s="3013">
        <v>100</v>
      </c>
      <c r="L245" s="3016">
        <v>107.6172</v>
      </c>
      <c r="M245" s="3014">
        <v>7.6171999999999906E-2</v>
      </c>
      <c r="N245" s="3015"/>
      <c r="O245" s="1813"/>
      <c r="P245" s="1813"/>
    </row>
    <row r="246" spans="1:16" ht="12.75" hidden="1" customHeight="1" outlineLevel="1" x14ac:dyDescent="0.25">
      <c r="A246" s="1956" t="s">
        <v>7392</v>
      </c>
      <c r="B246" s="2185">
        <v>43952</v>
      </c>
      <c r="C246" s="3013">
        <v>100</v>
      </c>
      <c r="D246" s="3016">
        <v>112.21680000000001</v>
      </c>
      <c r="E246" s="3014">
        <v>0.12216800000000005</v>
      </c>
      <c r="F246" s="3015"/>
      <c r="G246" s="1813"/>
      <c r="H246" s="1813"/>
      <c r="I246" s="1956" t="s">
        <v>7392</v>
      </c>
      <c r="J246" s="2185">
        <v>43952</v>
      </c>
      <c r="K246" s="3013">
        <v>100</v>
      </c>
      <c r="L246" s="3016">
        <v>110.03319999999999</v>
      </c>
      <c r="M246" s="3014">
        <v>0.10033199999999987</v>
      </c>
      <c r="N246" s="3015"/>
      <c r="O246" s="1813"/>
      <c r="P246" s="1813"/>
    </row>
    <row r="247" spans="1:16" ht="12.75" hidden="1" customHeight="1" outlineLevel="1" x14ac:dyDescent="0.25">
      <c r="A247" s="1956" t="s">
        <v>7393</v>
      </c>
      <c r="B247" s="2185">
        <v>43983</v>
      </c>
      <c r="C247" s="3013">
        <v>100</v>
      </c>
      <c r="D247" s="3016">
        <v>114.98050000000001</v>
      </c>
      <c r="E247" s="3014">
        <v>0.14980499999999997</v>
      </c>
      <c r="F247" s="3015"/>
      <c r="G247" s="1813"/>
      <c r="H247" s="1813"/>
      <c r="I247" s="1956" t="s">
        <v>7393</v>
      </c>
      <c r="J247" s="2185">
        <v>43983</v>
      </c>
      <c r="K247" s="3013">
        <v>100</v>
      </c>
      <c r="L247" s="3016">
        <v>113.1467</v>
      </c>
      <c r="M247" s="3014">
        <v>0.131467</v>
      </c>
      <c r="N247" s="3015"/>
      <c r="O247" s="1813"/>
      <c r="P247" s="1813"/>
    </row>
    <row r="248" spans="1:16" ht="12.75" hidden="1" customHeight="1" outlineLevel="1" x14ac:dyDescent="0.25">
      <c r="A248" s="2189" t="s">
        <v>2734</v>
      </c>
      <c r="B248" s="2190"/>
      <c r="C248" s="3016"/>
      <c r="D248" s="2191" t="s">
        <v>2465</v>
      </c>
      <c r="E248" s="1987">
        <v>0.18594841666666664</v>
      </c>
      <c r="F248" s="2528">
        <v>0.18594841666666664</v>
      </c>
      <c r="G248" s="1813"/>
      <c r="H248" s="1813"/>
      <c r="I248" s="2189" t="s">
        <v>2734</v>
      </c>
      <c r="J248" s="2190"/>
      <c r="K248" s="3016"/>
      <c r="L248" s="2191" t="s">
        <v>2465</v>
      </c>
      <c r="M248" s="1987">
        <v>0.16070108333333333</v>
      </c>
      <c r="N248" s="2528">
        <v>0.16070108333333333</v>
      </c>
      <c r="O248" s="1813"/>
      <c r="P248" s="1813"/>
    </row>
    <row r="249" spans="1:16" collapsed="1" x14ac:dyDescent="0.25">
      <c r="A249" s="3801" t="s">
        <v>7343</v>
      </c>
      <c r="B249" s="3802"/>
      <c r="C249" s="3802"/>
      <c r="D249" s="3802"/>
      <c r="E249" s="1906"/>
      <c r="F249" s="1907">
        <v>0.18594841666666664</v>
      </c>
      <c r="G249" s="1906"/>
      <c r="H249" s="1906"/>
      <c r="I249" s="3801" t="s">
        <v>7343</v>
      </c>
      <c r="J249" s="3802"/>
      <c r="K249" s="3802"/>
      <c r="L249" s="3802"/>
      <c r="M249" s="1906"/>
      <c r="N249" s="1907"/>
      <c r="O249" s="1813"/>
      <c r="P249" s="1813"/>
    </row>
    <row r="251" spans="1:16" ht="12.75" hidden="1" customHeight="1" outlineLevel="1" x14ac:dyDescent="0.25">
      <c r="A251" s="3237" t="s">
        <v>113</v>
      </c>
      <c r="B251" s="3237" t="s">
        <v>114</v>
      </c>
      <c r="C251" s="3237" t="s">
        <v>112</v>
      </c>
      <c r="D251" s="3237" t="s">
        <v>116</v>
      </c>
      <c r="E251" s="3237" t="s">
        <v>117</v>
      </c>
      <c r="F251" s="3237" t="s">
        <v>121</v>
      </c>
      <c r="G251" s="78"/>
    </row>
    <row r="252" spans="1:16" ht="12.75" hidden="1" customHeight="1" outlineLevel="1" x14ac:dyDescent="0.25">
      <c r="A252" s="3238">
        <v>1</v>
      </c>
      <c r="B252" s="3239" t="s">
        <v>252</v>
      </c>
      <c r="C252" s="3240">
        <v>100</v>
      </c>
      <c r="D252" s="3240"/>
      <c r="E252" s="3241"/>
      <c r="F252" s="3242"/>
      <c r="G252" s="78"/>
    </row>
    <row r="253" spans="1:16" ht="12.75" hidden="1" customHeight="1" outlineLevel="1" x14ac:dyDescent="0.25">
      <c r="A253" s="3243" t="s">
        <v>2734</v>
      </c>
      <c r="B253" s="3243"/>
      <c r="C253" s="3244"/>
      <c r="D253" s="1900" t="s">
        <v>3702</v>
      </c>
      <c r="E253" s="3245">
        <v>44408</v>
      </c>
      <c r="F253" s="3246"/>
      <c r="G253" s="78"/>
    </row>
    <row r="254" spans="1:16" ht="12.75" hidden="1" customHeight="1" outlineLevel="1" x14ac:dyDescent="0.25">
      <c r="A254" s="3237" t="s">
        <v>4156</v>
      </c>
      <c r="B254" s="3237" t="s">
        <v>4153</v>
      </c>
      <c r="C254" s="3247" t="s">
        <v>112</v>
      </c>
      <c r="D254" s="3248" t="s">
        <v>4155</v>
      </c>
      <c r="E254" s="3248" t="s">
        <v>4154</v>
      </c>
      <c r="F254" s="3248" t="s">
        <v>2519</v>
      </c>
      <c r="G254" s="78"/>
    </row>
    <row r="255" spans="1:16" ht="12.75" hidden="1" customHeight="1" outlineLevel="1" x14ac:dyDescent="0.25">
      <c r="A255" s="1991">
        <v>0.02</v>
      </c>
      <c r="B255" s="1921" t="s">
        <v>2917</v>
      </c>
      <c r="C255" s="2108">
        <v>71.269000000000005</v>
      </c>
      <c r="D255" s="3249">
        <v>306.10000000000002</v>
      </c>
      <c r="E255" s="3250">
        <v>3.29499501887216</v>
      </c>
      <c r="F255" s="3251">
        <v>6.5899900377443199E-2</v>
      </c>
      <c r="G255" s="78"/>
      <c r="H255" t="s">
        <v>2929</v>
      </c>
      <c r="I255" s="1544" t="s">
        <v>8078</v>
      </c>
      <c r="L255" s="434"/>
    </row>
    <row r="256" spans="1:16" ht="12.75" hidden="1" customHeight="1" outlineLevel="1" x14ac:dyDescent="0.25">
      <c r="A256" s="2380">
        <v>0.08</v>
      </c>
      <c r="B256" s="1921" t="s">
        <v>359</v>
      </c>
      <c r="C256" s="2108">
        <v>155.24</v>
      </c>
      <c r="D256" s="3252">
        <v>210</v>
      </c>
      <c r="E256" s="3253">
        <v>0.35274413810873484</v>
      </c>
      <c r="F256" s="3254">
        <v>2.8219531048698787E-2</v>
      </c>
      <c r="G256" s="78"/>
      <c r="H256" t="s">
        <v>360</v>
      </c>
      <c r="I256" s="1544">
        <v>94.714299999999994</v>
      </c>
      <c r="L256" s="434"/>
    </row>
    <row r="257" spans="1:12" ht="12.75" hidden="1" customHeight="1" outlineLevel="1" x14ac:dyDescent="0.25">
      <c r="A257" s="2380">
        <v>0.08</v>
      </c>
      <c r="B257" s="1921" t="s">
        <v>1184</v>
      </c>
      <c r="C257" s="2108">
        <v>89.948999999999998</v>
      </c>
      <c r="D257" s="3252">
        <v>66.22</v>
      </c>
      <c r="E257" s="3253">
        <v>-0.26380504508110147</v>
      </c>
      <c r="F257" s="3254">
        <v>-2.1104403606488117E-2</v>
      </c>
      <c r="G257" s="78"/>
      <c r="H257" t="s">
        <v>3497</v>
      </c>
      <c r="L257" s="434"/>
    </row>
    <row r="258" spans="1:12" ht="12.75" hidden="1" customHeight="1" outlineLevel="1" x14ac:dyDescent="0.25">
      <c r="A258" s="2380">
        <v>0.02</v>
      </c>
      <c r="B258" s="1921" t="s">
        <v>7835</v>
      </c>
      <c r="C258" s="2108">
        <v>137.95535268147958</v>
      </c>
      <c r="D258" s="3252">
        <v>50.29</v>
      </c>
      <c r="E258" s="3253">
        <v>-0.63546177062000009</v>
      </c>
      <c r="F258" s="3254">
        <v>-1.2709235412400002E-2</v>
      </c>
      <c r="G258" s="78"/>
      <c r="H258" t="s">
        <v>5541</v>
      </c>
      <c r="L258" s="434"/>
    </row>
    <row r="259" spans="1:12" ht="12.75" hidden="1" customHeight="1" outlineLevel="1" x14ac:dyDescent="0.25">
      <c r="A259" s="2380">
        <v>0.02</v>
      </c>
      <c r="B259" s="1921" t="s">
        <v>7212</v>
      </c>
      <c r="C259" s="2108">
        <v>80.558999999999997</v>
      </c>
      <c r="D259" s="3252">
        <v>100.15</v>
      </c>
      <c r="E259" s="3253">
        <v>0.24318822229670189</v>
      </c>
      <c r="F259" s="3254">
        <v>4.8637644459340384E-3</v>
      </c>
      <c r="G259" s="78"/>
      <c r="H259" t="s">
        <v>7213</v>
      </c>
      <c r="L259" s="434"/>
    </row>
    <row r="260" spans="1:12" ht="12.75" hidden="1" customHeight="1" outlineLevel="1" x14ac:dyDescent="0.25">
      <c r="A260" s="2380">
        <v>0.04</v>
      </c>
      <c r="B260" s="1921" t="s">
        <v>7407</v>
      </c>
      <c r="C260" s="2108">
        <v>53.271000000000001</v>
      </c>
      <c r="D260" s="3252">
        <v>25.94</v>
      </c>
      <c r="E260" s="3253">
        <v>-0.51305588406450031</v>
      </c>
      <c r="F260" s="3254">
        <v>-2.0522235362580014E-2</v>
      </c>
      <c r="G260" s="78"/>
      <c r="H260" t="s">
        <v>7408</v>
      </c>
      <c r="L260" s="434"/>
    </row>
    <row r="261" spans="1:12" ht="12.75" hidden="1" customHeight="1" outlineLevel="1" x14ac:dyDescent="0.25">
      <c r="A261" s="2380">
        <v>0.02</v>
      </c>
      <c r="B261" s="1921" t="s">
        <v>1141</v>
      </c>
      <c r="C261" s="2108">
        <v>117.73</v>
      </c>
      <c r="D261" s="3252">
        <v>83.88</v>
      </c>
      <c r="E261" s="3253">
        <v>-0.28752229678076957</v>
      </c>
      <c r="F261" s="3254">
        <v>-5.7504459356153914E-3</v>
      </c>
      <c r="G261" s="78"/>
      <c r="H261" t="s">
        <v>666</v>
      </c>
      <c r="L261" s="434"/>
    </row>
    <row r="262" spans="1:12" ht="12.75" hidden="1" customHeight="1" outlineLevel="1" x14ac:dyDescent="0.25">
      <c r="A262" s="2380">
        <v>0.02</v>
      </c>
      <c r="B262" s="1921" t="s">
        <v>7410</v>
      </c>
      <c r="C262" s="2108">
        <v>54.036000000000001</v>
      </c>
      <c r="D262" s="3252">
        <v>84.2</v>
      </c>
      <c r="E262" s="3253">
        <v>0.55822044562883999</v>
      </c>
      <c r="F262" s="3254">
        <v>1.11644089125768E-2</v>
      </c>
      <c r="G262" s="78"/>
      <c r="H262" t="s">
        <v>7411</v>
      </c>
      <c r="L262" s="434"/>
    </row>
    <row r="263" spans="1:12" ht="12.75" hidden="1" customHeight="1" outlineLevel="1" x14ac:dyDescent="0.25">
      <c r="A263" s="2380">
        <v>0.02</v>
      </c>
      <c r="B263" s="1921" t="s">
        <v>4025</v>
      </c>
      <c r="C263" s="2108">
        <v>91.424000000000007</v>
      </c>
      <c r="D263" s="3252">
        <v>75.28</v>
      </c>
      <c r="E263" s="3253">
        <v>-0.17658382919145965</v>
      </c>
      <c r="F263" s="3254">
        <v>-3.531676583829193E-3</v>
      </c>
      <c r="G263" s="78"/>
      <c r="H263" t="s">
        <v>3977</v>
      </c>
      <c r="L263" s="434"/>
    </row>
    <row r="264" spans="1:12" ht="12.75" hidden="1" customHeight="1" outlineLevel="1" x14ac:dyDescent="0.25">
      <c r="A264" s="2380">
        <v>0.02</v>
      </c>
      <c r="B264" s="1921" t="s">
        <v>1108</v>
      </c>
      <c r="C264" s="2108">
        <v>26.853765948505306</v>
      </c>
      <c r="D264" s="3252">
        <v>10.657999999999999</v>
      </c>
      <c r="E264" s="3253">
        <v>-0.60310967108159996</v>
      </c>
      <c r="F264" s="3254">
        <v>-1.2062193421631999E-2</v>
      </c>
      <c r="G264" s="78"/>
      <c r="H264" t="s">
        <v>1109</v>
      </c>
      <c r="L264" s="434"/>
    </row>
    <row r="265" spans="1:12" ht="12.75" hidden="1" customHeight="1" outlineLevel="1" x14ac:dyDescent="0.25">
      <c r="A265" s="2380">
        <v>0.08</v>
      </c>
      <c r="B265" s="1921" t="s">
        <v>238</v>
      </c>
      <c r="C265" s="2108">
        <v>73.215999999999994</v>
      </c>
      <c r="D265" s="3252">
        <v>140.75</v>
      </c>
      <c r="E265" s="3253">
        <v>0.9223940122377623</v>
      </c>
      <c r="F265" s="3254">
        <v>7.3791520979020989E-2</v>
      </c>
      <c r="G265" s="78"/>
      <c r="H265" t="s">
        <v>239</v>
      </c>
      <c r="L265" s="434"/>
    </row>
    <row r="266" spans="1:12" ht="12.75" hidden="1" customHeight="1" outlineLevel="1" x14ac:dyDescent="0.25">
      <c r="A266" s="2380">
        <v>0.03</v>
      </c>
      <c r="B266" s="1921" t="s">
        <v>1441</v>
      </c>
      <c r="C266" s="2108">
        <v>13.266</v>
      </c>
      <c r="D266" s="3252">
        <v>9.548</v>
      </c>
      <c r="E266" s="3253">
        <v>-0.28026533996683245</v>
      </c>
      <c r="F266" s="3254">
        <v>-8.407960199004973E-3</v>
      </c>
      <c r="G266" s="78"/>
      <c r="H266" t="s">
        <v>1978</v>
      </c>
      <c r="L266" s="434"/>
    </row>
    <row r="267" spans="1:12" ht="12.75" hidden="1" customHeight="1" outlineLevel="1" x14ac:dyDescent="0.25">
      <c r="A267" s="2380">
        <v>0.03</v>
      </c>
      <c r="B267" s="1921" t="s">
        <v>2699</v>
      </c>
      <c r="C267" s="2519">
        <v>29.555</v>
      </c>
      <c r="D267" s="3252">
        <v>57.11</v>
      </c>
      <c r="E267" s="3253">
        <v>0.93232955506682447</v>
      </c>
      <c r="F267" s="3254">
        <v>2.7969886652004734E-2</v>
      </c>
      <c r="G267" s="78"/>
      <c r="H267" t="s">
        <v>505</v>
      </c>
      <c r="L267" s="434"/>
    </row>
    <row r="268" spans="1:12" ht="12.75" hidden="1" customHeight="1" outlineLevel="1" x14ac:dyDescent="0.25">
      <c r="A268" s="2380">
        <v>7.0000000000000007E-2</v>
      </c>
      <c r="B268" s="1921" t="s">
        <v>7413</v>
      </c>
      <c r="C268" s="2108">
        <v>26.651</v>
      </c>
      <c r="D268" s="3252">
        <v>20.2</v>
      </c>
      <c r="E268" s="3253">
        <v>-0.24205470714044508</v>
      </c>
      <c r="F268" s="3254">
        <v>-1.6943829499831156E-2</v>
      </c>
      <c r="G268" s="78"/>
      <c r="H268" t="s">
        <v>7414</v>
      </c>
      <c r="L268" s="434"/>
    </row>
    <row r="269" spans="1:12" ht="12.75" hidden="1" customHeight="1" outlineLevel="1" x14ac:dyDescent="0.25">
      <c r="A269" s="2380">
        <v>0.03</v>
      </c>
      <c r="B269" s="1921" t="s">
        <v>2844</v>
      </c>
      <c r="C269" s="2108">
        <v>76.804000000000002</v>
      </c>
      <c r="D269" s="3252">
        <v>66.540000000000006</v>
      </c>
      <c r="E269" s="3253">
        <v>-0.13363887297536581</v>
      </c>
      <c r="F269" s="3254">
        <v>-4.0091661892609739E-3</v>
      </c>
      <c r="G269" s="78"/>
      <c r="H269" t="s">
        <v>4094</v>
      </c>
      <c r="L269" s="434"/>
    </row>
    <row r="270" spans="1:12" ht="12.75" hidden="1" customHeight="1" outlineLevel="1" x14ac:dyDescent="0.25">
      <c r="A270" s="2380">
        <v>0.02</v>
      </c>
      <c r="B270" s="1921" t="s">
        <v>7416</v>
      </c>
      <c r="C270" s="2108">
        <v>44.037500000000001</v>
      </c>
      <c r="D270" s="3252">
        <v>37.39</v>
      </c>
      <c r="E270" s="3253">
        <v>-0.15095089412432583</v>
      </c>
      <c r="F270" s="3254">
        <v>-3.0190178824865167E-3</v>
      </c>
      <c r="G270" s="78"/>
      <c r="H270" t="s">
        <v>7417</v>
      </c>
      <c r="L270" s="434"/>
    </row>
    <row r="271" spans="1:12" ht="12.75" hidden="1" customHeight="1" outlineLevel="1" x14ac:dyDescent="0.25">
      <c r="A271" s="2380">
        <v>0.02</v>
      </c>
      <c r="B271" s="1921" t="s">
        <v>7421</v>
      </c>
      <c r="C271" s="2108">
        <v>71.78</v>
      </c>
      <c r="D271" s="3252">
        <v>74.78</v>
      </c>
      <c r="E271" s="3253">
        <v>4.1794371691278975E-2</v>
      </c>
      <c r="F271" s="3254">
        <v>8.3588743382557952E-4</v>
      </c>
      <c r="G271" s="78"/>
      <c r="H271" t="s">
        <v>7419</v>
      </c>
      <c r="L271" s="434"/>
    </row>
    <row r="272" spans="1:12" ht="12.75" hidden="1" customHeight="1" outlineLevel="1" x14ac:dyDescent="0.25">
      <c r="A272" s="2380">
        <v>0.03</v>
      </c>
      <c r="B272" s="1921" t="s">
        <v>7422</v>
      </c>
      <c r="C272" s="2108">
        <v>107.595</v>
      </c>
      <c r="D272" s="3252">
        <v>85.48</v>
      </c>
      <c r="E272" s="3253">
        <v>-0.20553929085924061</v>
      </c>
      <c r="F272" s="3254">
        <v>-6.1661787257772183E-3</v>
      </c>
      <c r="G272" s="78"/>
      <c r="H272" t="s">
        <v>7423</v>
      </c>
      <c r="L272" s="434"/>
    </row>
    <row r="273" spans="1:12" ht="12.75" hidden="1" customHeight="1" outlineLevel="1" x14ac:dyDescent="0.25">
      <c r="A273" s="2380">
        <v>0.08</v>
      </c>
      <c r="B273" s="1921" t="s">
        <v>7425</v>
      </c>
      <c r="C273" s="2108">
        <v>117.4</v>
      </c>
      <c r="D273" s="3252">
        <v>50.54</v>
      </c>
      <c r="E273" s="3253">
        <v>-0.56950596252129482</v>
      </c>
      <c r="F273" s="3254">
        <v>-4.5560477001703584E-2</v>
      </c>
      <c r="G273" s="78"/>
      <c r="H273" t="s">
        <v>7426</v>
      </c>
      <c r="L273" s="434"/>
    </row>
    <row r="274" spans="1:12" ht="12.75" hidden="1" customHeight="1" outlineLevel="1" x14ac:dyDescent="0.25">
      <c r="A274" s="2380">
        <v>0.05</v>
      </c>
      <c r="B274" s="1921" t="s">
        <v>64</v>
      </c>
      <c r="C274" s="2108">
        <v>123.29870139958206</v>
      </c>
      <c r="D274" s="3252">
        <v>258.14999999999998</v>
      </c>
      <c r="E274" s="3253">
        <v>1.0936960168249996</v>
      </c>
      <c r="F274" s="3254">
        <v>5.4684800841249985E-2</v>
      </c>
      <c r="G274" s="78"/>
      <c r="H274" t="s">
        <v>2388</v>
      </c>
      <c r="L274" s="434"/>
    </row>
    <row r="275" spans="1:12" ht="12.75" hidden="1" customHeight="1" outlineLevel="1" x14ac:dyDescent="0.25">
      <c r="A275" s="2380">
        <v>0.02</v>
      </c>
      <c r="B275" s="1921" t="s">
        <v>240</v>
      </c>
      <c r="C275" s="2108">
        <v>102.011</v>
      </c>
      <c r="D275" s="3252">
        <v>172.65</v>
      </c>
      <c r="E275" s="3253">
        <v>0.69246453813804409</v>
      </c>
      <c r="F275" s="3254">
        <v>1.3849290762760882E-2</v>
      </c>
      <c r="G275" s="78"/>
      <c r="H275" t="s">
        <v>241</v>
      </c>
      <c r="L275" s="434"/>
    </row>
    <row r="276" spans="1:12" ht="12.75" hidden="1" customHeight="1" outlineLevel="1" x14ac:dyDescent="0.25">
      <c r="A276" s="2380">
        <v>0.02</v>
      </c>
      <c r="B276" s="1921" t="s">
        <v>7428</v>
      </c>
      <c r="C276" s="2108">
        <v>87.867000000000004</v>
      </c>
      <c r="D276" s="3252">
        <v>91.28</v>
      </c>
      <c r="E276" s="3253">
        <v>3.8842796499254595E-2</v>
      </c>
      <c r="F276" s="3254">
        <v>7.7685592998509188E-4</v>
      </c>
      <c r="G276" s="78"/>
      <c r="H276" t="s">
        <v>7429</v>
      </c>
      <c r="L276" s="434"/>
    </row>
    <row r="277" spans="1:12" ht="12.75" hidden="1" customHeight="1" outlineLevel="1" x14ac:dyDescent="0.25">
      <c r="A277" s="2380">
        <v>0.03</v>
      </c>
      <c r="B277" s="1921" t="s">
        <v>7433</v>
      </c>
      <c r="C277" s="2108">
        <v>45.785499999999999</v>
      </c>
      <c r="D277" s="3252">
        <v>16.045000000000002</v>
      </c>
      <c r="E277" s="3253">
        <v>-0.64956154240971475</v>
      </c>
      <c r="F277" s="3254">
        <v>-1.9486846272291442E-2</v>
      </c>
      <c r="G277" s="78"/>
      <c r="H277" t="s">
        <v>7431</v>
      </c>
      <c r="L277" s="434"/>
    </row>
    <row r="278" spans="1:12" ht="12.75" hidden="1" customHeight="1" outlineLevel="1" x14ac:dyDescent="0.25">
      <c r="A278" s="2380">
        <v>0.02</v>
      </c>
      <c r="B278" s="1921" t="s">
        <v>1206</v>
      </c>
      <c r="C278" s="2108">
        <v>64.358000000000004</v>
      </c>
      <c r="D278" s="3252">
        <v>120.84</v>
      </c>
      <c r="E278" s="3253">
        <v>0.87762205164859064</v>
      </c>
      <c r="F278" s="3254">
        <v>1.7552441032971815E-2</v>
      </c>
      <c r="G278" s="78"/>
      <c r="H278" t="s">
        <v>3484</v>
      </c>
      <c r="L278" s="434"/>
    </row>
    <row r="279" spans="1:12" ht="12.75" hidden="1" customHeight="1" outlineLevel="1" x14ac:dyDescent="0.25">
      <c r="A279" s="2380">
        <v>0.03</v>
      </c>
      <c r="B279" s="1921" t="s">
        <v>1214</v>
      </c>
      <c r="C279" s="2108">
        <v>102.247</v>
      </c>
      <c r="D279" s="3252">
        <v>131.58000000000001</v>
      </c>
      <c r="E279" s="3253">
        <v>0.28688372274981178</v>
      </c>
      <c r="F279" s="3254">
        <v>8.6065116824943534E-3</v>
      </c>
      <c r="G279" s="78"/>
      <c r="H279" t="s">
        <v>3775</v>
      </c>
      <c r="L279" s="434"/>
    </row>
    <row r="280" spans="1:12" ht="12.75" hidden="1" customHeight="1" outlineLevel="1" x14ac:dyDescent="0.25">
      <c r="A280" s="2380">
        <v>0.02</v>
      </c>
      <c r="B280" s="1921" t="s">
        <v>10490</v>
      </c>
      <c r="C280" s="2108">
        <v>30.04</v>
      </c>
      <c r="D280" s="3252">
        <v>81.668300000000002</v>
      </c>
      <c r="E280" s="3253">
        <v>1.7186517976031959</v>
      </c>
      <c r="F280" s="3254">
        <v>3.4373035952063917E-2</v>
      </c>
      <c r="G280" s="78"/>
      <c r="H280" t="s">
        <v>10491</v>
      </c>
      <c r="L280" s="434"/>
    </row>
    <row r="281" spans="1:12" ht="12.75" hidden="1" customHeight="1" outlineLevel="1" x14ac:dyDescent="0.25">
      <c r="A281" s="2380">
        <v>0.02</v>
      </c>
      <c r="B281" s="1921" t="s">
        <v>7437</v>
      </c>
      <c r="C281" s="2108">
        <v>5.1920999999999999</v>
      </c>
      <c r="D281" s="3252">
        <v>2.274</v>
      </c>
      <c r="E281" s="3253">
        <v>-0.56202692552146527</v>
      </c>
      <c r="F281" s="3254">
        <v>-1.1240538510429306E-2</v>
      </c>
      <c r="G281" s="78"/>
      <c r="H281" t="s">
        <v>7438</v>
      </c>
      <c r="L281" s="434"/>
    </row>
    <row r="282" spans="1:12" ht="12.75" hidden="1" customHeight="1" outlineLevel="1" x14ac:dyDescent="0.25">
      <c r="A282" s="2380">
        <v>0.02</v>
      </c>
      <c r="B282" s="1921" t="s">
        <v>2631</v>
      </c>
      <c r="C282" s="2108">
        <v>24.8155</v>
      </c>
      <c r="D282" s="3252">
        <v>8.4079999999999995</v>
      </c>
      <c r="E282" s="3253">
        <v>-0.66117950474501819</v>
      </c>
      <c r="F282" s="3254">
        <v>-1.3223590094900364E-2</v>
      </c>
      <c r="G282" s="78"/>
      <c r="H282" t="s">
        <v>1727</v>
      </c>
      <c r="L282" s="434"/>
    </row>
    <row r="283" spans="1:12" ht="12.75" hidden="1" customHeight="1" outlineLevel="1" x14ac:dyDescent="0.25">
      <c r="A283" s="2380">
        <v>0.02</v>
      </c>
      <c r="B283" s="1921" t="s">
        <v>7440</v>
      </c>
      <c r="C283" s="2108">
        <v>40.991500000000002</v>
      </c>
      <c r="D283" s="3252">
        <v>34.9</v>
      </c>
      <c r="E283" s="3253">
        <v>-0.14860397887366905</v>
      </c>
      <c r="F283" s="3254">
        <v>-2.972079577473381E-3</v>
      </c>
      <c r="G283" s="78"/>
      <c r="H283" t="s">
        <v>7441</v>
      </c>
      <c r="L283" s="434"/>
    </row>
    <row r="284" spans="1:12" ht="12.75" hidden="1" customHeight="1" outlineLevel="1" x14ac:dyDescent="0.25">
      <c r="A284" s="2380">
        <v>0.02</v>
      </c>
      <c r="B284" s="2109" t="s">
        <v>9664</v>
      </c>
      <c r="C284" s="2108">
        <v>242.49</v>
      </c>
      <c r="D284" s="3255">
        <v>205.5</v>
      </c>
      <c r="E284" s="3256">
        <v>-0.15254237288135597</v>
      </c>
      <c r="F284" s="3257">
        <v>-3.0508474576271196E-3</v>
      </c>
      <c r="G284" s="78"/>
      <c r="H284" t="s">
        <v>9673</v>
      </c>
      <c r="L284" s="434"/>
    </row>
    <row r="285" spans="1:12" ht="12.75" hidden="1" customHeight="1" outlineLevel="1" x14ac:dyDescent="0.25">
      <c r="A285" s="2181" t="s">
        <v>2734</v>
      </c>
      <c r="B285" s="2103"/>
      <c r="C285" s="3258"/>
      <c r="D285" s="3259"/>
      <c r="E285" s="3260"/>
      <c r="F285" s="3260">
        <v>0.13282711431769942</v>
      </c>
      <c r="G285" s="78"/>
    </row>
    <row r="286" spans="1:12" ht="12.75" hidden="1" customHeight="1" outlineLevel="1" x14ac:dyDescent="0.25">
      <c r="A286" s="1956" t="s">
        <v>7395</v>
      </c>
      <c r="B286" s="2185">
        <v>44044</v>
      </c>
      <c r="C286" s="3261">
        <v>100</v>
      </c>
      <c r="D286" s="3261">
        <v>97.673299999999998</v>
      </c>
      <c r="E286" s="3262">
        <v>-2.3267000000000038E-2</v>
      </c>
      <c r="F286" s="3263"/>
      <c r="G286" s="78"/>
    </row>
    <row r="287" spans="1:12" ht="12.75" hidden="1" customHeight="1" outlineLevel="1" x14ac:dyDescent="0.25">
      <c r="A287" s="1956" t="s">
        <v>7396</v>
      </c>
      <c r="B287" s="2185">
        <v>44075</v>
      </c>
      <c r="C287" s="3261">
        <v>100</v>
      </c>
      <c r="D287" s="3264">
        <v>95.331699999999998</v>
      </c>
      <c r="E287" s="3262">
        <v>-4.668300000000003E-2</v>
      </c>
      <c r="F287" s="3263"/>
      <c r="G287" s="78"/>
    </row>
    <row r="288" spans="1:12" ht="12.75" hidden="1" customHeight="1" outlineLevel="1" x14ac:dyDescent="0.25">
      <c r="A288" s="1956" t="s">
        <v>7397</v>
      </c>
      <c r="B288" s="2185">
        <v>44105</v>
      </c>
      <c r="C288" s="3261">
        <v>100</v>
      </c>
      <c r="D288" s="3264">
        <v>86.9178</v>
      </c>
      <c r="E288" s="3262">
        <v>-0.13082199999999999</v>
      </c>
      <c r="F288" s="3263"/>
      <c r="G288" s="78"/>
    </row>
    <row r="289" spans="1:7" ht="12.75" hidden="1" customHeight="1" outlineLevel="1" x14ac:dyDescent="0.25">
      <c r="A289" s="1956" t="s">
        <v>7398</v>
      </c>
      <c r="B289" s="2185">
        <v>44136</v>
      </c>
      <c r="C289" s="3261">
        <v>100</v>
      </c>
      <c r="D289" s="3264">
        <v>99.158699999999996</v>
      </c>
      <c r="E289" s="3262">
        <v>-8.4130000000000038E-3</v>
      </c>
      <c r="F289" s="3263"/>
      <c r="G289" s="78"/>
    </row>
    <row r="290" spans="1:7" ht="12.75" hidden="1" customHeight="1" outlineLevel="1" x14ac:dyDescent="0.25">
      <c r="A290" s="1956" t="s">
        <v>7399</v>
      </c>
      <c r="B290" s="2185">
        <v>44166</v>
      </c>
      <c r="C290" s="3261">
        <v>100</v>
      </c>
      <c r="D290" s="3264">
        <v>101.95010000000001</v>
      </c>
      <c r="E290" s="3262">
        <v>1.9500999999999991E-2</v>
      </c>
      <c r="F290" s="3263"/>
      <c r="G290" s="78"/>
    </row>
    <row r="291" spans="1:7" ht="12.75" hidden="1" customHeight="1" outlineLevel="1" x14ac:dyDescent="0.25">
      <c r="A291" s="1956" t="s">
        <v>7400</v>
      </c>
      <c r="B291" s="2185">
        <v>44197</v>
      </c>
      <c r="C291" s="3261">
        <v>100</v>
      </c>
      <c r="D291" s="3264">
        <v>99.413899999999998</v>
      </c>
      <c r="E291" s="3262">
        <v>-5.8610000000000051E-3</v>
      </c>
      <c r="F291" s="3263"/>
      <c r="G291" s="78"/>
    </row>
    <row r="292" spans="1:7" ht="12.75" hidden="1" customHeight="1" outlineLevel="1" x14ac:dyDescent="0.25">
      <c r="A292" s="1956" t="s">
        <v>7401</v>
      </c>
      <c r="B292" s="2185">
        <v>44228</v>
      </c>
      <c r="C292" s="3261">
        <v>100</v>
      </c>
      <c r="D292" s="3264">
        <v>102.5701</v>
      </c>
      <c r="E292" s="3262">
        <v>2.5700999999999974E-2</v>
      </c>
      <c r="F292" s="3263"/>
      <c r="G292" s="78"/>
    </row>
    <row r="293" spans="1:7" ht="12.75" hidden="1" customHeight="1" outlineLevel="1" x14ac:dyDescent="0.25">
      <c r="A293" s="1956" t="s">
        <v>7402</v>
      </c>
      <c r="B293" s="2185">
        <v>44256</v>
      </c>
      <c r="C293" s="3261">
        <v>100</v>
      </c>
      <c r="D293" s="3264">
        <v>110.6758</v>
      </c>
      <c r="E293" s="3262">
        <v>0.10675799999999991</v>
      </c>
      <c r="F293" s="3263"/>
      <c r="G293" s="78"/>
    </row>
    <row r="294" spans="1:7" ht="12.75" hidden="1" customHeight="1" outlineLevel="1" x14ac:dyDescent="0.25">
      <c r="A294" s="1956" t="s">
        <v>7403</v>
      </c>
      <c r="B294" s="2185">
        <v>44287</v>
      </c>
      <c r="C294" s="3261">
        <v>100</v>
      </c>
      <c r="D294" s="3264">
        <v>110.9896</v>
      </c>
      <c r="E294" s="3262">
        <v>0.10989599999999999</v>
      </c>
      <c r="F294" s="3263"/>
      <c r="G294" s="78"/>
    </row>
    <row r="295" spans="1:7" ht="12.75" hidden="1" customHeight="1" outlineLevel="1" x14ac:dyDescent="0.25">
      <c r="A295" s="1956" t="s">
        <v>7404</v>
      </c>
      <c r="B295" s="2185">
        <v>44317</v>
      </c>
      <c r="C295" s="3261">
        <v>100</v>
      </c>
      <c r="D295" s="3264">
        <v>112.73</v>
      </c>
      <c r="E295" s="3262">
        <v>0.12729999999999997</v>
      </c>
      <c r="F295" s="3263"/>
      <c r="G295" s="78"/>
    </row>
    <row r="296" spans="1:7" ht="12.75" hidden="1" customHeight="1" outlineLevel="1" x14ac:dyDescent="0.25">
      <c r="A296" s="1956" t="s">
        <v>7405</v>
      </c>
      <c r="B296" s="2185">
        <v>44348</v>
      </c>
      <c r="C296" s="3261">
        <v>100</v>
      </c>
      <c r="D296" s="3264">
        <v>113.4119</v>
      </c>
      <c r="E296" s="3262">
        <v>0.1341190000000001</v>
      </c>
      <c r="F296" s="3263"/>
      <c r="G296" s="78"/>
    </row>
    <row r="297" spans="1:7" ht="12.75" hidden="1" customHeight="1" outlineLevel="1" x14ac:dyDescent="0.25">
      <c r="A297" s="1956" t="s">
        <v>7406</v>
      </c>
      <c r="B297" s="2185">
        <v>44378</v>
      </c>
      <c r="C297" s="3261">
        <v>100</v>
      </c>
      <c r="D297" s="3264">
        <v>113.6529</v>
      </c>
      <c r="E297" s="3262">
        <v>0.13652900000000012</v>
      </c>
      <c r="F297" s="3263"/>
      <c r="G297" s="78"/>
    </row>
    <row r="298" spans="1:7" ht="12.75" hidden="1" customHeight="1" outlineLevel="1" x14ac:dyDescent="0.25">
      <c r="A298" s="2189" t="s">
        <v>2734</v>
      </c>
      <c r="B298" s="2190"/>
      <c r="C298" s="3264"/>
      <c r="D298" s="2191" t="s">
        <v>2465</v>
      </c>
      <c r="E298" s="1987">
        <v>3.7063166666666668E-2</v>
      </c>
      <c r="F298" s="2528">
        <v>8.9920166666666856E-2</v>
      </c>
      <c r="G298" s="78"/>
    </row>
    <row r="299" spans="1:7" collapsed="1" x14ac:dyDescent="0.25">
      <c r="A299" s="3801" t="s">
        <v>7394</v>
      </c>
      <c r="B299" s="3802"/>
      <c r="C299" s="3802"/>
      <c r="D299" s="3802"/>
      <c r="E299" s="1906"/>
      <c r="F299" s="1907">
        <v>8.9920166666666856E-2</v>
      </c>
      <c r="G299" s="78"/>
    </row>
    <row r="301" spans="1:7" ht="12.75" hidden="1" customHeight="1" outlineLevel="1" x14ac:dyDescent="0.25">
      <c r="A301" s="3237" t="s">
        <v>113</v>
      </c>
      <c r="B301" s="3237" t="s">
        <v>114</v>
      </c>
      <c r="C301" s="3237" t="s">
        <v>112</v>
      </c>
      <c r="D301" s="3237" t="s">
        <v>116</v>
      </c>
      <c r="E301" s="3237" t="s">
        <v>117</v>
      </c>
      <c r="F301" s="3237" t="s">
        <v>121</v>
      </c>
      <c r="G301" s="78"/>
    </row>
    <row r="302" spans="1:7" ht="12.75" hidden="1" customHeight="1" outlineLevel="1" x14ac:dyDescent="0.25">
      <c r="A302" s="3238">
        <v>1</v>
      </c>
      <c r="B302" s="3239" t="s">
        <v>252</v>
      </c>
      <c r="C302" s="3240">
        <v>100</v>
      </c>
      <c r="D302" s="3240"/>
      <c r="E302" s="3241"/>
      <c r="F302" s="3242"/>
      <c r="G302" s="78"/>
    </row>
    <row r="303" spans="1:7" ht="12.75" hidden="1" customHeight="1" outlineLevel="1" x14ac:dyDescent="0.25">
      <c r="A303" s="3243" t="s">
        <v>2734</v>
      </c>
      <c r="B303" s="3243"/>
      <c r="C303" s="3244"/>
      <c r="D303" s="1900" t="s">
        <v>3702</v>
      </c>
      <c r="E303" s="3245">
        <v>44561</v>
      </c>
      <c r="F303" s="3246"/>
      <c r="G303" s="78"/>
    </row>
    <row r="304" spans="1:7" ht="12.75" hidden="1" customHeight="1" outlineLevel="1" x14ac:dyDescent="0.25">
      <c r="A304" s="3237" t="s">
        <v>4156</v>
      </c>
      <c r="B304" s="3237" t="s">
        <v>4153</v>
      </c>
      <c r="C304" s="3247" t="s">
        <v>112</v>
      </c>
      <c r="D304" s="3248" t="s">
        <v>4155</v>
      </c>
      <c r="E304" s="3248" t="s">
        <v>4154</v>
      </c>
      <c r="F304" s="3248" t="s">
        <v>2519</v>
      </c>
      <c r="G304" s="78"/>
    </row>
    <row r="305" spans="1:11" ht="12.75" hidden="1" customHeight="1" outlineLevel="1" x14ac:dyDescent="0.25">
      <c r="A305" s="1991">
        <v>0.03</v>
      </c>
      <c r="B305" s="1921" t="s">
        <v>359</v>
      </c>
      <c r="C305" s="2108">
        <v>155.24</v>
      </c>
      <c r="D305" s="3249">
        <v>207.65</v>
      </c>
      <c r="E305" s="3250">
        <v>0.33760628703942275</v>
      </c>
      <c r="F305" s="3251">
        <v>1.0128188611182682E-2</v>
      </c>
      <c r="G305" s="78"/>
      <c r="H305" t="s">
        <v>360</v>
      </c>
      <c r="K305" s="434"/>
    </row>
    <row r="306" spans="1:11" ht="12.75" hidden="1" customHeight="1" outlineLevel="1" x14ac:dyDescent="0.25">
      <c r="A306" s="2380">
        <v>0.02</v>
      </c>
      <c r="B306" s="1921" t="s">
        <v>1993</v>
      </c>
      <c r="C306" s="2108">
        <v>52.234000000000002</v>
      </c>
      <c r="D306" s="3252">
        <v>47.39</v>
      </c>
      <c r="E306" s="3253">
        <v>-9.2736531760922003E-2</v>
      </c>
      <c r="F306" s="3254">
        <v>-1.8547306352184401E-3</v>
      </c>
      <c r="G306" s="78"/>
      <c r="H306" t="s">
        <v>2812</v>
      </c>
      <c r="K306" s="434"/>
    </row>
    <row r="307" spans="1:11" ht="12.75" hidden="1" customHeight="1" outlineLevel="1" x14ac:dyDescent="0.25">
      <c r="A307" s="2380">
        <v>0.03</v>
      </c>
      <c r="B307" s="1921" t="s">
        <v>10578</v>
      </c>
      <c r="C307" s="2108">
        <v>12.006595611983361</v>
      </c>
      <c r="D307" s="3252">
        <v>1.911</v>
      </c>
      <c r="E307" s="3253">
        <v>-0.84083748118470003</v>
      </c>
      <c r="F307" s="3254">
        <v>-2.5225124435541001E-2</v>
      </c>
      <c r="G307" s="78"/>
      <c r="H307" t="s">
        <v>10579</v>
      </c>
      <c r="K307" s="434"/>
    </row>
    <row r="308" spans="1:11" ht="12.75" hidden="1" customHeight="1" outlineLevel="1" x14ac:dyDescent="0.25">
      <c r="A308" s="2380">
        <v>0.03</v>
      </c>
      <c r="B308" s="1921" t="s">
        <v>3998</v>
      </c>
      <c r="C308" s="2108">
        <v>33.087000000000003</v>
      </c>
      <c r="D308" s="3252">
        <v>24.6</v>
      </c>
      <c r="E308" s="3253">
        <v>-0.25650557620817849</v>
      </c>
      <c r="F308" s="3254">
        <v>-7.695167286245354E-3</v>
      </c>
      <c r="G308" s="78"/>
      <c r="H308" t="s">
        <v>4000</v>
      </c>
      <c r="K308" s="434"/>
    </row>
    <row r="309" spans="1:11" ht="12.75" hidden="1" customHeight="1" outlineLevel="1" x14ac:dyDescent="0.25">
      <c r="A309" s="2380">
        <v>0.03</v>
      </c>
      <c r="B309" s="1921" t="s">
        <v>218</v>
      </c>
      <c r="C309" s="2108">
        <v>23.123999999999999</v>
      </c>
      <c r="D309" s="3252">
        <v>26.184999999999999</v>
      </c>
      <c r="E309" s="3253">
        <v>0.13237329181802449</v>
      </c>
      <c r="F309" s="3254">
        <v>3.9711987545407341E-3</v>
      </c>
      <c r="G309" s="78"/>
      <c r="H309" t="s">
        <v>656</v>
      </c>
      <c r="K309" s="434"/>
    </row>
    <row r="310" spans="1:11" ht="12.75" hidden="1" customHeight="1" outlineLevel="1" x14ac:dyDescent="0.25">
      <c r="A310" s="2380">
        <v>0.02</v>
      </c>
      <c r="B310" s="1921" t="s">
        <v>807</v>
      </c>
      <c r="C310" s="2108">
        <v>53.517000000000003</v>
      </c>
      <c r="D310" s="3252">
        <v>65.81</v>
      </c>
      <c r="E310" s="3253">
        <v>0.2297027112880019</v>
      </c>
      <c r="F310" s="3254">
        <v>4.5940542257600385E-3</v>
      </c>
      <c r="G310" s="78"/>
      <c r="H310" t="s">
        <v>808</v>
      </c>
      <c r="K310" s="434"/>
    </row>
    <row r="311" spans="1:11" ht="12.75" hidden="1" customHeight="1" outlineLevel="1" x14ac:dyDescent="0.25">
      <c r="A311" s="2380">
        <v>0.05</v>
      </c>
      <c r="B311" s="1921" t="s">
        <v>7142</v>
      </c>
      <c r="C311" s="2108">
        <v>32.540500000000002</v>
      </c>
      <c r="D311" s="3252">
        <v>17.14</v>
      </c>
      <c r="E311" s="3253">
        <v>-0.47327176902629031</v>
      </c>
      <c r="F311" s="3254">
        <v>-2.3663588451314516E-2</v>
      </c>
      <c r="G311" s="78"/>
      <c r="H311" t="s">
        <v>7143</v>
      </c>
      <c r="K311" s="434"/>
    </row>
    <row r="312" spans="1:11" ht="12.75" hidden="1" customHeight="1" outlineLevel="1" x14ac:dyDescent="0.25">
      <c r="A312" s="2380">
        <v>0.03</v>
      </c>
      <c r="B312" s="1921" t="s">
        <v>4332</v>
      </c>
      <c r="C312" s="2108">
        <v>244.17</v>
      </c>
      <c r="D312" s="3252">
        <v>71.5</v>
      </c>
      <c r="E312" s="3253">
        <v>-0.70717123315722652</v>
      </c>
      <c r="F312" s="3254">
        <v>-2.1215136994716794E-2</v>
      </c>
      <c r="G312" s="78"/>
      <c r="H312" t="s">
        <v>4334</v>
      </c>
      <c r="K312" s="434"/>
    </row>
    <row r="313" spans="1:11" ht="12.75" hidden="1" customHeight="1" outlineLevel="1" x14ac:dyDescent="0.25">
      <c r="A313" s="2380">
        <v>0.03</v>
      </c>
      <c r="B313" s="1921" t="s">
        <v>10573</v>
      </c>
      <c r="C313" s="2108">
        <v>35.030999999999999</v>
      </c>
      <c r="D313" s="3252">
        <v>12.55</v>
      </c>
      <c r="E313" s="3253">
        <v>-0.6417458822186064</v>
      </c>
      <c r="F313" s="3254">
        <v>-1.9252376466558193E-2</v>
      </c>
      <c r="G313" s="78"/>
      <c r="H313" t="s">
        <v>10574</v>
      </c>
      <c r="K313" s="434"/>
    </row>
    <row r="314" spans="1:11" ht="12.75" hidden="1" customHeight="1" outlineLevel="1" x14ac:dyDescent="0.25">
      <c r="A314" s="2380">
        <v>0.03</v>
      </c>
      <c r="B314" s="1921" t="s">
        <v>6938</v>
      </c>
      <c r="C314" s="2108">
        <v>65.052999999999997</v>
      </c>
      <c r="D314" s="3252">
        <v>176.87</v>
      </c>
      <c r="E314" s="3253">
        <v>1.7188600064562745</v>
      </c>
      <c r="F314" s="3254">
        <v>5.1565800193688234E-2</v>
      </c>
      <c r="G314" s="78"/>
      <c r="H314" t="s">
        <v>6939</v>
      </c>
      <c r="K314" s="434"/>
    </row>
    <row r="315" spans="1:11" ht="12.75" hidden="1" customHeight="1" outlineLevel="1" x14ac:dyDescent="0.25">
      <c r="A315" s="2380">
        <v>0.03</v>
      </c>
      <c r="B315" s="1921" t="s">
        <v>496</v>
      </c>
      <c r="C315" s="2108">
        <v>20.977431329812148</v>
      </c>
      <c r="D315" s="3252">
        <v>10.33</v>
      </c>
      <c r="E315" s="3253">
        <v>-0.50756601999599993</v>
      </c>
      <c r="F315" s="3254">
        <v>-1.5226980599879997E-2</v>
      </c>
      <c r="G315" s="78"/>
      <c r="H315" t="s">
        <v>497</v>
      </c>
      <c r="K315" s="434"/>
    </row>
    <row r="316" spans="1:11" ht="12.75" hidden="1" customHeight="1" outlineLevel="1" x14ac:dyDescent="0.25">
      <c r="A316" s="2380">
        <v>0.08</v>
      </c>
      <c r="B316" s="1921" t="s">
        <v>6942</v>
      </c>
      <c r="C316" s="2108">
        <v>24.576000000000001</v>
      </c>
      <c r="D316" s="3252">
        <v>54.12</v>
      </c>
      <c r="E316" s="3253">
        <v>1.2021484375</v>
      </c>
      <c r="F316" s="3254">
        <v>9.6171875000000004E-2</v>
      </c>
      <c r="G316" s="78"/>
      <c r="H316" t="s">
        <v>7860</v>
      </c>
      <c r="K316" s="434"/>
    </row>
    <row r="317" spans="1:11" ht="12.75" hidden="1" customHeight="1" outlineLevel="1" x14ac:dyDescent="0.25">
      <c r="A317" s="2380">
        <v>0.02</v>
      </c>
      <c r="B317" s="1921" t="s">
        <v>6267</v>
      </c>
      <c r="C317" s="2519">
        <v>26.372</v>
      </c>
      <c r="D317" s="3252">
        <v>20.399999999999999</v>
      </c>
      <c r="E317" s="3253">
        <v>-0.2264522978917034</v>
      </c>
      <c r="F317" s="3254">
        <v>-4.5290459578340679E-3</v>
      </c>
      <c r="G317" s="78"/>
      <c r="H317" t="s">
        <v>6268</v>
      </c>
      <c r="K317" s="434"/>
    </row>
    <row r="318" spans="1:11" ht="12.75" hidden="1" customHeight="1" outlineLevel="1" x14ac:dyDescent="0.25">
      <c r="A318" s="2380">
        <v>0.03</v>
      </c>
      <c r="B318" s="1921" t="s">
        <v>4268</v>
      </c>
      <c r="C318" s="2108">
        <v>20.301638056885505</v>
      </c>
      <c r="D318" s="3252">
        <v>26.99</v>
      </c>
      <c r="E318" s="3253">
        <v>0.32944937370933314</v>
      </c>
      <c r="F318" s="3254">
        <v>9.883481211279993E-3</v>
      </c>
      <c r="G318" s="78"/>
      <c r="H318" t="s">
        <v>8442</v>
      </c>
      <c r="K318" s="434"/>
    </row>
    <row r="319" spans="1:11" ht="12.75" hidden="1" customHeight="1" outlineLevel="1" x14ac:dyDescent="0.25">
      <c r="A319" s="2380">
        <v>0.03</v>
      </c>
      <c r="B319" s="1921" t="s">
        <v>3799</v>
      </c>
      <c r="C319" s="2108">
        <v>1546.496107583738</v>
      </c>
      <c r="D319" s="3252">
        <v>1606.6</v>
      </c>
      <c r="E319" s="3253">
        <v>3.886456106906655E-2</v>
      </c>
      <c r="F319" s="3254">
        <v>1.1659368320719964E-3</v>
      </c>
      <c r="G319" s="78"/>
      <c r="H319" t="s">
        <v>4128</v>
      </c>
      <c r="K319" s="434"/>
    </row>
    <row r="320" spans="1:11" ht="12.75" hidden="1" customHeight="1" outlineLevel="1" x14ac:dyDescent="0.25">
      <c r="A320" s="2380">
        <v>0.02</v>
      </c>
      <c r="B320" s="1921" t="s">
        <v>10371</v>
      </c>
      <c r="C320" s="2108">
        <v>36.989747494352883</v>
      </c>
      <c r="D320" s="3252">
        <v>36.090000000000003</v>
      </c>
      <c r="E320" s="3253">
        <v>-2.4324239966499905E-2</v>
      </c>
      <c r="F320" s="3254">
        <v>-4.8648479932999811E-4</v>
      </c>
      <c r="G320" s="78"/>
      <c r="H320" t="s">
        <v>10370</v>
      </c>
      <c r="K320" s="434"/>
    </row>
    <row r="321" spans="1:11" ht="12.75" hidden="1" customHeight="1" outlineLevel="1" x14ac:dyDescent="0.25">
      <c r="A321" s="2380">
        <v>0.03</v>
      </c>
      <c r="B321" s="1921" t="s">
        <v>1031</v>
      </c>
      <c r="C321" s="2108">
        <v>5.9584000000000001</v>
      </c>
      <c r="D321" s="3252">
        <v>10.41</v>
      </c>
      <c r="E321" s="3253">
        <v>0.74711331901181532</v>
      </c>
      <c r="F321" s="3254">
        <v>2.2413399570354459E-2</v>
      </c>
      <c r="G321" s="78"/>
      <c r="H321" t="s">
        <v>7872</v>
      </c>
      <c r="K321" s="434"/>
    </row>
    <row r="322" spans="1:11" ht="12.75" hidden="1" customHeight="1" outlineLevel="1" x14ac:dyDescent="0.25">
      <c r="A322" s="2380">
        <v>0.02</v>
      </c>
      <c r="B322" s="1921" t="s">
        <v>2786</v>
      </c>
      <c r="C322" s="2108">
        <v>866.11964732363219</v>
      </c>
      <c r="D322" s="3252">
        <v>1059.8</v>
      </c>
      <c r="E322" s="3253">
        <v>0.22361847266119983</v>
      </c>
      <c r="F322" s="3254">
        <v>4.4723694532239969E-3</v>
      </c>
      <c r="G322" s="78"/>
      <c r="H322" t="s">
        <v>4195</v>
      </c>
      <c r="K322" s="434"/>
    </row>
    <row r="323" spans="1:11" ht="12.75" hidden="1" customHeight="1" outlineLevel="1" x14ac:dyDescent="0.25">
      <c r="A323" s="2380">
        <v>0.03</v>
      </c>
      <c r="B323" s="1921" t="s">
        <v>54</v>
      </c>
      <c r="C323" s="2108">
        <v>16.597000000000001</v>
      </c>
      <c r="D323" s="3252">
        <v>10.436</v>
      </c>
      <c r="E323" s="3253">
        <v>-0.37121166475869138</v>
      </c>
      <c r="F323" s="3254">
        <v>-1.1136349942760741E-2</v>
      </c>
      <c r="G323" s="78"/>
      <c r="H323" t="s">
        <v>6741</v>
      </c>
      <c r="K323" s="434"/>
    </row>
    <row r="324" spans="1:11" ht="12.75" hidden="1" customHeight="1" outlineLevel="1" x14ac:dyDescent="0.25">
      <c r="A324" s="2380">
        <v>0.03</v>
      </c>
      <c r="B324" s="1921" t="s">
        <v>6270</v>
      </c>
      <c r="C324" s="2108">
        <v>46.033938791439766</v>
      </c>
      <c r="D324" s="3252">
        <v>44.06</v>
      </c>
      <c r="E324" s="3253">
        <v>-4.2880075945333385E-2</v>
      </c>
      <c r="F324" s="3254">
        <v>-1.2864022783600016E-3</v>
      </c>
      <c r="G324" s="78"/>
      <c r="H324" t="s">
        <v>8166</v>
      </c>
      <c r="K324" s="434"/>
    </row>
    <row r="325" spans="1:11" ht="12.75" hidden="1" customHeight="1" outlineLevel="1" x14ac:dyDescent="0.25">
      <c r="A325" s="2380">
        <v>0.03</v>
      </c>
      <c r="B325" s="1921" t="s">
        <v>6164</v>
      </c>
      <c r="C325" s="2108">
        <v>3.7497407958864613</v>
      </c>
      <c r="D325" s="3252">
        <v>5.3</v>
      </c>
      <c r="E325" s="3253">
        <v>0.41343103123666669</v>
      </c>
      <c r="F325" s="3254">
        <v>1.24029309371E-2</v>
      </c>
      <c r="G325" s="78"/>
      <c r="H325" t="s">
        <v>6114</v>
      </c>
      <c r="K325" s="434"/>
    </row>
    <row r="326" spans="1:11" ht="12.75" hidden="1" customHeight="1" outlineLevel="1" x14ac:dyDescent="0.25">
      <c r="A326" s="2380">
        <v>0.03</v>
      </c>
      <c r="B326" s="1921" t="s">
        <v>1857</v>
      </c>
      <c r="C326" s="2108">
        <v>1497.4</v>
      </c>
      <c r="D326" s="3252">
        <v>1649</v>
      </c>
      <c r="E326" s="3253">
        <v>0.10124215306531315</v>
      </c>
      <c r="F326" s="3254">
        <v>3.0372645919593943E-3</v>
      </c>
      <c r="G326" s="78"/>
      <c r="H326" t="s">
        <v>3559</v>
      </c>
      <c r="K326" s="434"/>
    </row>
    <row r="327" spans="1:11" ht="12.75" hidden="1" customHeight="1" outlineLevel="1" x14ac:dyDescent="0.25">
      <c r="A327" s="2380">
        <v>0.03</v>
      </c>
      <c r="B327" s="1921" t="s">
        <v>1724</v>
      </c>
      <c r="C327" s="2108">
        <v>219.49</v>
      </c>
      <c r="D327" s="3252">
        <v>182.1</v>
      </c>
      <c r="E327" s="3253">
        <v>-0.17034944644402938</v>
      </c>
      <c r="F327" s="3254">
        <v>-5.1104833933208809E-3</v>
      </c>
      <c r="G327" s="78"/>
      <c r="H327" t="s">
        <v>1725</v>
      </c>
      <c r="K327" s="434"/>
    </row>
    <row r="328" spans="1:11" ht="12.75" hidden="1" customHeight="1" outlineLevel="1" x14ac:dyDescent="0.25">
      <c r="A328" s="2380">
        <v>0.05</v>
      </c>
      <c r="B328" s="1921" t="s">
        <v>6118</v>
      </c>
      <c r="C328" s="2108">
        <v>88.29032833575053</v>
      </c>
      <c r="D328" s="3252">
        <v>90.26</v>
      </c>
      <c r="E328" s="3253">
        <v>2.2309030914000161E-2</v>
      </c>
      <c r="F328" s="3254">
        <v>1.1154515457000081E-3</v>
      </c>
      <c r="G328" s="78"/>
      <c r="H328" t="s">
        <v>8893</v>
      </c>
      <c r="K328" s="434"/>
    </row>
    <row r="329" spans="1:11" ht="12.75" hidden="1" customHeight="1" outlineLevel="1" x14ac:dyDescent="0.25">
      <c r="A329" s="2380">
        <v>0.03</v>
      </c>
      <c r="B329" s="1921" t="s">
        <v>6945</v>
      </c>
      <c r="C329" s="2108">
        <v>77.312039144384258</v>
      </c>
      <c r="D329" s="3252">
        <v>129.1</v>
      </c>
      <c r="E329" s="3253">
        <v>0.66985635650999997</v>
      </c>
      <c r="F329" s="3254">
        <v>2.0095690695299998E-2</v>
      </c>
      <c r="G329" s="78"/>
      <c r="H329" t="s">
        <v>6943</v>
      </c>
      <c r="K329" s="434"/>
    </row>
    <row r="330" spans="1:11" ht="12.75" hidden="1" customHeight="1" outlineLevel="1" x14ac:dyDescent="0.25">
      <c r="A330" s="2380">
        <v>0.08</v>
      </c>
      <c r="B330" s="1921" t="s">
        <v>434</v>
      </c>
      <c r="C330" s="2108">
        <v>52.94</v>
      </c>
      <c r="D330" s="3252">
        <v>35.405000000000001</v>
      </c>
      <c r="E330" s="3253">
        <v>-0.3312240272006044</v>
      </c>
      <c r="F330" s="3254">
        <v>-2.6497922176048353E-2</v>
      </c>
      <c r="G330" s="78"/>
      <c r="H330" t="s">
        <v>7745</v>
      </c>
      <c r="K330" s="434"/>
    </row>
    <row r="331" spans="1:11" ht="12.75" hidden="1" customHeight="1" outlineLevel="1" x14ac:dyDescent="0.25">
      <c r="A331" s="2380">
        <v>0.03</v>
      </c>
      <c r="B331" s="1921" t="s">
        <v>3921</v>
      </c>
      <c r="C331" s="2108">
        <v>4.0023999999999997</v>
      </c>
      <c r="D331" s="3252">
        <v>7.1139999999999999</v>
      </c>
      <c r="E331" s="3253">
        <v>0.77743353987607455</v>
      </c>
      <c r="F331" s="3254">
        <v>2.3323006196282237E-2</v>
      </c>
      <c r="G331" s="78"/>
      <c r="H331" t="s">
        <v>3922</v>
      </c>
      <c r="K331" s="434"/>
    </row>
    <row r="332" spans="1:11" ht="12.75" hidden="1" customHeight="1" outlineLevel="1" x14ac:dyDescent="0.25">
      <c r="A332" s="2380">
        <v>0.03</v>
      </c>
      <c r="B332" s="1921" t="s">
        <v>10633</v>
      </c>
      <c r="C332" s="2108">
        <v>45.667499999999997</v>
      </c>
      <c r="D332" s="3252">
        <v>44.63</v>
      </c>
      <c r="E332" s="3253">
        <v>-2.2718563529862457E-2</v>
      </c>
      <c r="F332" s="3254">
        <v>-6.8155690589587366E-4</v>
      </c>
      <c r="G332" s="78"/>
      <c r="H332" t="s">
        <v>10634</v>
      </c>
      <c r="K332" s="434"/>
    </row>
    <row r="333" spans="1:11" ht="12.75" hidden="1" customHeight="1" outlineLevel="1" x14ac:dyDescent="0.25">
      <c r="A333" s="2380">
        <v>0.03</v>
      </c>
      <c r="B333" s="1921" t="s">
        <v>9301</v>
      </c>
      <c r="C333" s="2108">
        <v>252.84</v>
      </c>
      <c r="D333" s="3252">
        <v>61.62</v>
      </c>
      <c r="E333" s="3253">
        <v>-0.75628856193640248</v>
      </c>
      <c r="F333" s="3254">
        <v>-2.2688656858092075E-2</v>
      </c>
      <c r="G333" s="78"/>
      <c r="H333" t="s">
        <v>9302</v>
      </c>
      <c r="K333" s="434"/>
    </row>
    <row r="334" spans="1:11" ht="12.75" hidden="1" customHeight="1" outlineLevel="1" x14ac:dyDescent="0.25">
      <c r="A334" s="2380">
        <v>0.04</v>
      </c>
      <c r="B334" s="2109" t="s">
        <v>4550</v>
      </c>
      <c r="C334" s="2108">
        <v>316.61</v>
      </c>
      <c r="D334" s="3255">
        <v>400.4</v>
      </c>
      <c r="E334" s="3256">
        <v>0.26464735794826422</v>
      </c>
      <c r="F334" s="3257">
        <v>1.0585894317930569E-2</v>
      </c>
      <c r="G334" s="78"/>
      <c r="H334" t="s">
        <v>8889</v>
      </c>
      <c r="K334" s="434"/>
    </row>
    <row r="335" spans="1:11" ht="12.75" hidden="1" customHeight="1" outlineLevel="1" x14ac:dyDescent="0.25">
      <c r="A335" s="2181" t="s">
        <v>2734</v>
      </c>
      <c r="B335" s="2103"/>
      <c r="C335" s="3258"/>
      <c r="D335" s="3259"/>
      <c r="E335" s="3260"/>
      <c r="F335" s="3260">
        <v>8.8376534955258032E-2</v>
      </c>
      <c r="G335" s="78"/>
    </row>
    <row r="336" spans="1:11" ht="12.75" hidden="1" customHeight="1" outlineLevel="1" x14ac:dyDescent="0.25">
      <c r="A336" s="1956" t="s">
        <v>7444</v>
      </c>
      <c r="B336" s="2185">
        <v>44197</v>
      </c>
      <c r="C336" s="3261">
        <v>100</v>
      </c>
      <c r="D336" s="3261">
        <v>96.432900000000004</v>
      </c>
      <c r="E336" s="3262">
        <v>-3.5671000000000008E-2</v>
      </c>
      <c r="F336" s="3263"/>
      <c r="G336" s="78"/>
    </row>
    <row r="337" spans="1:7" ht="12.75" hidden="1" customHeight="1" outlineLevel="1" x14ac:dyDescent="0.25">
      <c r="A337" s="1956" t="s">
        <v>7445</v>
      </c>
      <c r="B337" s="2185">
        <v>44228</v>
      </c>
      <c r="C337" s="3261">
        <v>100</v>
      </c>
      <c r="D337" s="3264">
        <v>95.578299999999999</v>
      </c>
      <c r="E337" s="3262">
        <v>-4.4217000000000062E-2</v>
      </c>
      <c r="F337" s="3263"/>
      <c r="G337" s="78"/>
    </row>
    <row r="338" spans="1:7" ht="12.75" hidden="1" customHeight="1" outlineLevel="1" x14ac:dyDescent="0.25">
      <c r="A338" s="1956" t="s">
        <v>7446</v>
      </c>
      <c r="B338" s="2185">
        <v>44256</v>
      </c>
      <c r="C338" s="3261">
        <v>100</v>
      </c>
      <c r="D338" s="3264">
        <v>102.7252</v>
      </c>
      <c r="E338" s="3262">
        <v>2.7252000000000054E-2</v>
      </c>
      <c r="F338" s="3263"/>
      <c r="G338" s="78"/>
    </row>
    <row r="339" spans="1:7" ht="12.75" hidden="1" customHeight="1" outlineLevel="1" x14ac:dyDescent="0.25">
      <c r="A339" s="1956" t="s">
        <v>7447</v>
      </c>
      <c r="B339" s="2185">
        <v>44287</v>
      </c>
      <c r="C339" s="3261">
        <v>100</v>
      </c>
      <c r="D339" s="3264">
        <v>100.3291</v>
      </c>
      <c r="E339" s="3262">
        <v>3.2909999999999329E-3</v>
      </c>
      <c r="F339" s="3263"/>
      <c r="G339" s="78"/>
    </row>
    <row r="340" spans="1:7" ht="12.75" hidden="1" customHeight="1" outlineLevel="1" x14ac:dyDescent="0.25">
      <c r="A340" s="1956" t="s">
        <v>7448</v>
      </c>
      <c r="B340" s="2185">
        <v>44317</v>
      </c>
      <c r="C340" s="3261">
        <v>100</v>
      </c>
      <c r="D340" s="3264">
        <v>101.143</v>
      </c>
      <c r="E340" s="3262">
        <v>1.1430000000000051E-2</v>
      </c>
      <c r="F340" s="3263"/>
      <c r="G340" s="78"/>
    </row>
    <row r="341" spans="1:7" ht="12.75" hidden="1" customHeight="1" outlineLevel="1" x14ac:dyDescent="0.25">
      <c r="A341" s="1956" t="s">
        <v>7449</v>
      </c>
      <c r="B341" s="2185">
        <v>44348</v>
      </c>
      <c r="C341" s="3261">
        <v>100</v>
      </c>
      <c r="D341" s="3264">
        <v>101.5411</v>
      </c>
      <c r="E341" s="3262">
        <v>1.5411000000000064E-2</v>
      </c>
      <c r="F341" s="3263"/>
      <c r="G341" s="78"/>
    </row>
    <row r="342" spans="1:7" ht="12.75" hidden="1" customHeight="1" outlineLevel="1" x14ac:dyDescent="0.25">
      <c r="A342" s="1956" t="s">
        <v>7450</v>
      </c>
      <c r="B342" s="2185">
        <v>44378</v>
      </c>
      <c r="C342" s="3261">
        <v>100</v>
      </c>
      <c r="D342" s="3264">
        <v>103.42140000000001</v>
      </c>
      <c r="E342" s="3262">
        <v>3.4213999999999967E-2</v>
      </c>
      <c r="F342" s="3263"/>
      <c r="G342" s="78"/>
    </row>
    <row r="343" spans="1:7" ht="12.75" hidden="1" customHeight="1" outlineLevel="1" x14ac:dyDescent="0.25">
      <c r="A343" s="1956" t="s">
        <v>7451</v>
      </c>
      <c r="B343" s="2185">
        <v>44409</v>
      </c>
      <c r="C343" s="3261">
        <v>100</v>
      </c>
      <c r="D343" s="3264">
        <v>106.1311</v>
      </c>
      <c r="E343" s="3262">
        <v>6.1311000000000115E-2</v>
      </c>
      <c r="F343" s="3263"/>
      <c r="G343" s="78"/>
    </row>
    <row r="344" spans="1:7" ht="12.75" hidden="1" customHeight="1" outlineLevel="1" x14ac:dyDescent="0.25">
      <c r="A344" s="1956" t="s">
        <v>7452</v>
      </c>
      <c r="B344" s="2185">
        <v>44440</v>
      </c>
      <c r="C344" s="3261">
        <v>100</v>
      </c>
      <c r="D344" s="3264">
        <v>102.7179</v>
      </c>
      <c r="E344" s="3262">
        <v>2.7179000000000064E-2</v>
      </c>
      <c r="F344" s="3263"/>
      <c r="G344" s="78"/>
    </row>
    <row r="345" spans="1:7" ht="12.75" hidden="1" customHeight="1" outlineLevel="1" x14ac:dyDescent="0.25">
      <c r="A345" s="1956" t="s">
        <v>7453</v>
      </c>
      <c r="B345" s="2185">
        <v>44470</v>
      </c>
      <c r="C345" s="3261">
        <v>100</v>
      </c>
      <c r="D345" s="3264">
        <v>105.0485</v>
      </c>
      <c r="E345" s="3262">
        <v>5.0485000000000113E-2</v>
      </c>
      <c r="F345" s="3263"/>
      <c r="G345" s="78"/>
    </row>
    <row r="346" spans="1:7" ht="12.75" hidden="1" customHeight="1" outlineLevel="1" x14ac:dyDescent="0.25">
      <c r="A346" s="1956" t="s">
        <v>7454</v>
      </c>
      <c r="B346" s="2185">
        <v>44501</v>
      </c>
      <c r="C346" s="3261">
        <v>100</v>
      </c>
      <c r="D346" s="3264">
        <v>104.4384</v>
      </c>
      <c r="E346" s="3262">
        <v>4.4383999999999979E-2</v>
      </c>
      <c r="F346" s="3263"/>
      <c r="G346" s="78"/>
    </row>
    <row r="347" spans="1:7" ht="12.75" hidden="1" customHeight="1" outlineLevel="1" x14ac:dyDescent="0.25">
      <c r="A347" s="1956" t="s">
        <v>7455</v>
      </c>
      <c r="B347" s="2185">
        <v>44531</v>
      </c>
      <c r="C347" s="3261">
        <v>100</v>
      </c>
      <c r="D347" s="3264">
        <v>108.96810000000001</v>
      </c>
      <c r="E347" s="3262">
        <v>8.9681000000000122E-2</v>
      </c>
      <c r="F347" s="3263"/>
      <c r="G347" s="78"/>
    </row>
    <row r="348" spans="1:7" ht="12.75" hidden="1" customHeight="1" outlineLevel="1" x14ac:dyDescent="0.25">
      <c r="A348" s="2189" t="s">
        <v>2734</v>
      </c>
      <c r="B348" s="2190"/>
      <c r="C348" s="3264"/>
      <c r="D348" s="2191" t="s">
        <v>2465</v>
      </c>
      <c r="E348" s="1987">
        <v>2.37291666666667E-2</v>
      </c>
      <c r="F348" s="2528">
        <v>2.37291666666667E-2</v>
      </c>
      <c r="G348" s="78"/>
    </row>
    <row r="349" spans="1:7" collapsed="1" x14ac:dyDescent="0.25">
      <c r="A349" s="3801" t="s">
        <v>7443</v>
      </c>
      <c r="B349" s="3802"/>
      <c r="C349" s="3802"/>
      <c r="D349" s="3802"/>
      <c r="E349" s="1906"/>
      <c r="F349" s="1907">
        <v>2.37291666666667E-2</v>
      </c>
      <c r="G349" s="78"/>
    </row>
    <row r="351" spans="1:7" ht="12.75" hidden="1" customHeight="1" outlineLevel="1" x14ac:dyDescent="0.25">
      <c r="A351" s="3237" t="s">
        <v>113</v>
      </c>
      <c r="B351" s="3237" t="s">
        <v>114</v>
      </c>
      <c r="C351" s="3237" t="s">
        <v>112</v>
      </c>
      <c r="D351" s="3237" t="s">
        <v>116</v>
      </c>
      <c r="E351" s="3237" t="s">
        <v>117</v>
      </c>
      <c r="F351" s="3237" t="s">
        <v>121</v>
      </c>
      <c r="G351" s="78"/>
    </row>
    <row r="352" spans="1:7" ht="12.75" hidden="1" customHeight="1" outlineLevel="1" x14ac:dyDescent="0.25">
      <c r="A352" s="3238">
        <v>1</v>
      </c>
      <c r="B352" s="3239" t="s">
        <v>252</v>
      </c>
      <c r="C352" s="3240">
        <v>100</v>
      </c>
      <c r="D352" s="3240"/>
      <c r="E352" s="3241"/>
      <c r="F352" s="3242"/>
      <c r="G352" s="78"/>
    </row>
    <row r="353" spans="1:12" ht="12.75" hidden="1" customHeight="1" outlineLevel="1" x14ac:dyDescent="0.25">
      <c r="A353" s="3243" t="s">
        <v>2734</v>
      </c>
      <c r="B353" s="3243"/>
      <c r="C353" s="3244"/>
      <c r="D353" s="1900" t="s">
        <v>3702</v>
      </c>
      <c r="E353" s="3245">
        <v>44316</v>
      </c>
      <c r="F353" s="3246"/>
      <c r="G353" s="78"/>
    </row>
    <row r="354" spans="1:12" ht="12.75" hidden="1" customHeight="1" outlineLevel="1" x14ac:dyDescent="0.25">
      <c r="A354" s="3237" t="s">
        <v>4156</v>
      </c>
      <c r="B354" s="3237" t="s">
        <v>4153</v>
      </c>
      <c r="C354" s="3247" t="s">
        <v>112</v>
      </c>
      <c r="D354" s="3248" t="s">
        <v>4155</v>
      </c>
      <c r="E354" s="3248" t="s">
        <v>4154</v>
      </c>
      <c r="F354" s="3248" t="s">
        <v>2519</v>
      </c>
      <c r="G354" s="78"/>
    </row>
    <row r="355" spans="1:12" ht="12.75" hidden="1" customHeight="1" outlineLevel="1" x14ac:dyDescent="0.25">
      <c r="A355" s="1991">
        <v>0.02</v>
      </c>
      <c r="B355" s="1921" t="s">
        <v>2917</v>
      </c>
      <c r="C355" s="2108">
        <v>74.795000000000016</v>
      </c>
      <c r="D355" s="3249">
        <v>256.85000000000002</v>
      </c>
      <c r="E355" s="3250">
        <v>2.4340530784143319</v>
      </c>
      <c r="F355" s="3251">
        <v>4.8681061568286638E-2</v>
      </c>
      <c r="G355" s="78"/>
      <c r="H355" t="s">
        <v>2929</v>
      </c>
      <c r="I355" s="1544" t="s">
        <v>8078</v>
      </c>
      <c r="L355" s="434"/>
    </row>
    <row r="356" spans="1:12" ht="12.75" hidden="1" customHeight="1" outlineLevel="1" x14ac:dyDescent="0.25">
      <c r="A356" s="2380">
        <v>0.08</v>
      </c>
      <c r="B356" s="1921" t="s">
        <v>359</v>
      </c>
      <c r="C356" s="2108">
        <v>149.11500000000001</v>
      </c>
      <c r="D356" s="3252">
        <v>216.4</v>
      </c>
      <c r="E356" s="3253">
        <v>0.45122891727861036</v>
      </c>
      <c r="F356" s="3254">
        <v>3.6098313382288832E-2</v>
      </c>
      <c r="G356" s="78"/>
      <c r="H356" t="s">
        <v>360</v>
      </c>
      <c r="I356" s="1544">
        <v>98.313900000000004</v>
      </c>
      <c r="L356" s="434"/>
    </row>
    <row r="357" spans="1:12" ht="12.75" hidden="1" customHeight="1" outlineLevel="1" x14ac:dyDescent="0.25">
      <c r="A357" s="2380">
        <v>0.08</v>
      </c>
      <c r="B357" s="1921" t="s">
        <v>1184</v>
      </c>
      <c r="C357" s="2108">
        <v>87.061000000000007</v>
      </c>
      <c r="D357" s="3252">
        <v>67.08</v>
      </c>
      <c r="E357" s="3253">
        <v>-0.22950574884276553</v>
      </c>
      <c r="F357" s="3254">
        <v>-1.8360459907421241E-2</v>
      </c>
      <c r="G357" s="78"/>
      <c r="H357" t="s">
        <v>3497</v>
      </c>
      <c r="L357" s="434"/>
    </row>
    <row r="358" spans="1:12" ht="12.75" hidden="1" customHeight="1" outlineLevel="1" x14ac:dyDescent="0.25">
      <c r="A358" s="2380">
        <v>0.02</v>
      </c>
      <c r="B358" s="1921" t="s">
        <v>3020</v>
      </c>
      <c r="C358" s="2108">
        <v>133.23499999999999</v>
      </c>
      <c r="D358" s="3252">
        <v>53.76</v>
      </c>
      <c r="E358" s="3253">
        <v>-0.59650242053514457</v>
      </c>
      <c r="F358" s="3254">
        <v>-1.1930048410702892E-2</v>
      </c>
      <c r="G358" s="78"/>
      <c r="H358" t="s">
        <v>490</v>
      </c>
      <c r="L358" s="434"/>
    </row>
    <row r="359" spans="1:12" ht="12.75" hidden="1" customHeight="1" outlineLevel="1" x14ac:dyDescent="0.25">
      <c r="A359" s="2380">
        <v>0.02</v>
      </c>
      <c r="B359" s="1921" t="s">
        <v>7212</v>
      </c>
      <c r="C359" s="2108">
        <v>81.506</v>
      </c>
      <c r="D359" s="3252">
        <v>93.9</v>
      </c>
      <c r="E359" s="3253">
        <v>0.15206242485215826</v>
      </c>
      <c r="F359" s="3254">
        <v>3.0412484970431652E-3</v>
      </c>
      <c r="G359" s="78"/>
      <c r="H359" t="s">
        <v>7213</v>
      </c>
      <c r="L359" s="434"/>
    </row>
    <row r="360" spans="1:12" ht="12.75" hidden="1" customHeight="1" outlineLevel="1" x14ac:dyDescent="0.25">
      <c r="A360" s="2380">
        <v>0.04</v>
      </c>
      <c r="B360" s="1921" t="s">
        <v>7407</v>
      </c>
      <c r="C360" s="2108">
        <v>39.752500000000005</v>
      </c>
      <c r="D360" s="3252">
        <v>31.08</v>
      </c>
      <c r="E360" s="3253">
        <v>-0.21816237972454577</v>
      </c>
      <c r="F360" s="3254">
        <v>-8.726495188981831E-3</v>
      </c>
      <c r="G360" s="78"/>
      <c r="H360" t="s">
        <v>7408</v>
      </c>
      <c r="L360" s="434"/>
    </row>
    <row r="361" spans="1:12" ht="12.75" hidden="1" customHeight="1" outlineLevel="1" x14ac:dyDescent="0.25">
      <c r="A361" s="2380">
        <v>0.02</v>
      </c>
      <c r="B361" s="1921" t="s">
        <v>1141</v>
      </c>
      <c r="C361" s="2108">
        <v>105.89500000000001</v>
      </c>
      <c r="D361" s="3252">
        <v>83.4</v>
      </c>
      <c r="E361" s="3253">
        <v>-0.21242740450446196</v>
      </c>
      <c r="F361" s="3254">
        <v>-4.2485480900892394E-3</v>
      </c>
      <c r="G361" s="78"/>
      <c r="H361" t="s">
        <v>666</v>
      </c>
      <c r="L361" s="434"/>
    </row>
    <row r="362" spans="1:12" ht="12.75" hidden="1" customHeight="1" outlineLevel="1" x14ac:dyDescent="0.25">
      <c r="A362" s="2380">
        <v>0.02</v>
      </c>
      <c r="B362" s="1921" t="s">
        <v>7410</v>
      </c>
      <c r="C362" s="2108">
        <v>56.476999999999997</v>
      </c>
      <c r="D362" s="3252">
        <v>74.680000000000007</v>
      </c>
      <c r="E362" s="3253">
        <v>0.32230819625688345</v>
      </c>
      <c r="F362" s="3254">
        <v>6.4461639251376691E-3</v>
      </c>
      <c r="G362" s="78"/>
      <c r="H362" t="s">
        <v>7411</v>
      </c>
      <c r="L362" s="434"/>
    </row>
    <row r="363" spans="1:12" ht="12.75" hidden="1" customHeight="1" outlineLevel="1" x14ac:dyDescent="0.25">
      <c r="A363" s="2380">
        <v>0.02</v>
      </c>
      <c r="B363" s="1921" t="s">
        <v>4025</v>
      </c>
      <c r="C363" s="2108">
        <v>87.329000000000008</v>
      </c>
      <c r="D363" s="3252">
        <v>74.05</v>
      </c>
      <c r="E363" s="3253">
        <v>-0.15205716314168272</v>
      </c>
      <c r="F363" s="3254">
        <v>-3.0411432628336542E-3</v>
      </c>
      <c r="G363" s="78"/>
      <c r="H363" t="s">
        <v>3977</v>
      </c>
      <c r="L363" s="434"/>
    </row>
    <row r="364" spans="1:12" ht="12.75" hidden="1" customHeight="1" outlineLevel="1" x14ac:dyDescent="0.25">
      <c r="A364" s="2380">
        <v>0.02</v>
      </c>
      <c r="B364" s="1921" t="s">
        <v>1108</v>
      </c>
      <c r="C364" s="2108">
        <v>26.026411495677525</v>
      </c>
      <c r="D364" s="3252">
        <v>11.606</v>
      </c>
      <c r="E364" s="3253">
        <v>-0.55406837389289998</v>
      </c>
      <c r="F364" s="3254">
        <v>-1.1081367477858E-2</v>
      </c>
      <c r="G364" s="78"/>
      <c r="H364" t="s">
        <v>1109</v>
      </c>
      <c r="L364" s="434"/>
    </row>
    <row r="365" spans="1:12" ht="12.75" hidden="1" customHeight="1" outlineLevel="1" x14ac:dyDescent="0.25">
      <c r="A365" s="2380">
        <v>0.08</v>
      </c>
      <c r="B365" s="1921" t="s">
        <v>238</v>
      </c>
      <c r="C365" s="2108">
        <v>74.210999999999999</v>
      </c>
      <c r="D365" s="3252">
        <v>143.30000000000001</v>
      </c>
      <c r="E365" s="3253">
        <v>0.93098058239344583</v>
      </c>
      <c r="F365" s="3254">
        <v>7.4478446591475664E-2</v>
      </c>
      <c r="G365" s="78"/>
      <c r="H365" t="s">
        <v>239</v>
      </c>
      <c r="L365" s="434"/>
    </row>
    <row r="366" spans="1:12" ht="12.75" hidden="1" customHeight="1" outlineLevel="1" x14ac:dyDescent="0.25">
      <c r="A366" s="2380">
        <v>0.03</v>
      </c>
      <c r="B366" s="1921" t="s">
        <v>1441</v>
      </c>
      <c r="C366" s="2108">
        <v>13.606999999999999</v>
      </c>
      <c r="D366" s="3252">
        <v>10.738</v>
      </c>
      <c r="E366" s="3253">
        <v>-0.21084735797751153</v>
      </c>
      <c r="F366" s="3254">
        <v>-6.3254207393253457E-3</v>
      </c>
      <c r="G366" s="78"/>
      <c r="H366" t="s">
        <v>1978</v>
      </c>
      <c r="L366" s="434"/>
    </row>
    <row r="367" spans="1:12" ht="12.75" hidden="1" customHeight="1" outlineLevel="1" x14ac:dyDescent="0.25">
      <c r="A367" s="2380">
        <v>7.0000000000000007E-2</v>
      </c>
      <c r="B367" s="1921" t="s">
        <v>7413</v>
      </c>
      <c r="C367" s="2519">
        <v>31.728499999999997</v>
      </c>
      <c r="D367" s="3252">
        <v>20.25</v>
      </c>
      <c r="E367" s="3253">
        <v>-0.36177253888459893</v>
      </c>
      <c r="F367" s="3254">
        <v>-2.5324077721921929E-2</v>
      </c>
      <c r="G367" s="78"/>
      <c r="H367" t="s">
        <v>7414</v>
      </c>
      <c r="L367" s="434"/>
    </row>
    <row r="368" spans="1:12" ht="12.75" hidden="1" customHeight="1" outlineLevel="1" x14ac:dyDescent="0.25">
      <c r="A368" s="2380">
        <v>0.03</v>
      </c>
      <c r="B368" s="1921" t="s">
        <v>2844</v>
      </c>
      <c r="C368" s="2108">
        <v>76.965000000000003</v>
      </c>
      <c r="D368" s="3252">
        <v>66.16</v>
      </c>
      <c r="E368" s="3253">
        <v>-0.14038848827389083</v>
      </c>
      <c r="F368" s="3254">
        <v>-4.2116546482167247E-3</v>
      </c>
      <c r="G368" s="78"/>
      <c r="H368" t="s">
        <v>4094</v>
      </c>
      <c r="L368" s="434"/>
    </row>
    <row r="369" spans="1:12" ht="12.75" hidden="1" customHeight="1" outlineLevel="1" x14ac:dyDescent="0.25">
      <c r="A369" s="2380">
        <v>0.02</v>
      </c>
      <c r="B369" s="1921" t="s">
        <v>7416</v>
      </c>
      <c r="C369" s="2108">
        <v>43.798999999999999</v>
      </c>
      <c r="D369" s="3252">
        <v>36.51</v>
      </c>
      <c r="E369" s="3253">
        <v>-0.16641932464211517</v>
      </c>
      <c r="F369" s="3254">
        <v>-3.3283864928423034E-3</v>
      </c>
      <c r="G369" s="78"/>
      <c r="H369" t="s">
        <v>7417</v>
      </c>
      <c r="L369" s="434"/>
    </row>
    <row r="370" spans="1:12" ht="12.75" hidden="1" customHeight="1" outlineLevel="1" x14ac:dyDescent="0.25">
      <c r="A370" s="2380">
        <v>0.02</v>
      </c>
      <c r="B370" s="1921" t="s">
        <v>7421</v>
      </c>
      <c r="C370" s="2108">
        <v>75.215000000000003</v>
      </c>
      <c r="D370" s="3252">
        <v>76.22</v>
      </c>
      <c r="E370" s="3253">
        <v>1.3361696470118867E-2</v>
      </c>
      <c r="F370" s="3254">
        <v>2.6723392940237735E-4</v>
      </c>
      <c r="G370" s="78"/>
      <c r="H370" t="s">
        <v>7419</v>
      </c>
      <c r="L370" s="434"/>
    </row>
    <row r="371" spans="1:12" ht="12.75" hidden="1" customHeight="1" outlineLevel="1" x14ac:dyDescent="0.25">
      <c r="A371" s="2380">
        <v>0.03</v>
      </c>
      <c r="B371" s="1921" t="s">
        <v>7422</v>
      </c>
      <c r="C371" s="2108">
        <v>105.80499999999999</v>
      </c>
      <c r="D371" s="3252">
        <v>95.56</v>
      </c>
      <c r="E371" s="3253">
        <v>-9.6829072350077872E-2</v>
      </c>
      <c r="F371" s="3254">
        <v>-2.904872170502336E-3</v>
      </c>
      <c r="G371" s="78"/>
      <c r="H371" t="s">
        <v>7423</v>
      </c>
      <c r="L371" s="434"/>
    </row>
    <row r="372" spans="1:12" ht="12.75" hidden="1" customHeight="1" outlineLevel="1" x14ac:dyDescent="0.25">
      <c r="A372" s="2380">
        <v>0.08</v>
      </c>
      <c r="B372" s="1921" t="s">
        <v>7425</v>
      </c>
      <c r="C372" s="2108">
        <v>106.42999999999999</v>
      </c>
      <c r="D372" s="3252">
        <v>38.380000000000003</v>
      </c>
      <c r="E372" s="3253">
        <v>-0.63938739077327811</v>
      </c>
      <c r="F372" s="3254">
        <v>-5.1150991261862247E-2</v>
      </c>
      <c r="G372" s="78"/>
      <c r="H372" t="s">
        <v>7426</v>
      </c>
      <c r="L372" s="434"/>
    </row>
    <row r="373" spans="1:12" ht="12.75" hidden="1" customHeight="1" outlineLevel="1" x14ac:dyDescent="0.25">
      <c r="A373" s="2380">
        <v>0.05</v>
      </c>
      <c r="B373" s="1921" t="s">
        <v>64</v>
      </c>
      <c r="C373" s="2108">
        <v>114.40909095735074</v>
      </c>
      <c r="D373" s="3252">
        <v>237.7</v>
      </c>
      <c r="E373" s="3253">
        <v>1.077632100832</v>
      </c>
      <c r="F373" s="3254">
        <v>5.38816050416E-2</v>
      </c>
      <c r="G373" s="78"/>
      <c r="H373" t="s">
        <v>2388</v>
      </c>
      <c r="L373" s="434"/>
    </row>
    <row r="374" spans="1:12" ht="12.75" hidden="1" customHeight="1" outlineLevel="1" x14ac:dyDescent="0.25">
      <c r="A374" s="2380">
        <v>0.02</v>
      </c>
      <c r="B374" s="1921" t="s">
        <v>240</v>
      </c>
      <c r="C374" s="2108">
        <v>100.16799999999999</v>
      </c>
      <c r="D374" s="3252">
        <v>146.15</v>
      </c>
      <c r="E374" s="3253">
        <v>0.45904879801932763</v>
      </c>
      <c r="F374" s="3254">
        <v>9.1809759603865525E-3</v>
      </c>
      <c r="G374" s="78"/>
      <c r="H374" t="s">
        <v>241</v>
      </c>
      <c r="L374" s="434"/>
    </row>
    <row r="375" spans="1:12" ht="12.75" hidden="1" customHeight="1" outlineLevel="1" x14ac:dyDescent="0.25">
      <c r="A375" s="2380">
        <v>0.03</v>
      </c>
      <c r="B375" s="1921" t="s">
        <v>1772</v>
      </c>
      <c r="C375" s="2108">
        <v>173.65999999999997</v>
      </c>
      <c r="D375" s="3252">
        <v>240.65</v>
      </c>
      <c r="E375" s="3253">
        <v>0.38575377173787895</v>
      </c>
      <c r="F375" s="3254">
        <v>1.1572613152136368E-2</v>
      </c>
      <c r="G375" s="78"/>
      <c r="H375" t="s">
        <v>4330</v>
      </c>
      <c r="L375" s="434"/>
    </row>
    <row r="376" spans="1:12" ht="12.75" hidden="1" customHeight="1" outlineLevel="1" x14ac:dyDescent="0.25">
      <c r="A376" s="2380">
        <v>0.02</v>
      </c>
      <c r="B376" s="1921" t="s">
        <v>7428</v>
      </c>
      <c r="C376" s="2108">
        <v>83.248000000000005</v>
      </c>
      <c r="D376" s="3252">
        <v>87.58</v>
      </c>
      <c r="E376" s="3253">
        <v>5.2037286181049414E-2</v>
      </c>
      <c r="F376" s="3254">
        <v>1.0407457236209883E-3</v>
      </c>
      <c r="G376" s="78"/>
      <c r="H376" t="s">
        <v>7429</v>
      </c>
      <c r="L376" s="434"/>
    </row>
    <row r="377" spans="1:12" ht="12.75" hidden="1" customHeight="1" outlineLevel="1" x14ac:dyDescent="0.25">
      <c r="A377" s="2380">
        <v>0.03</v>
      </c>
      <c r="B377" s="1921" t="s">
        <v>7433</v>
      </c>
      <c r="C377" s="2108">
        <v>46.715500000000006</v>
      </c>
      <c r="D377" s="3252">
        <v>18.045000000000002</v>
      </c>
      <c r="E377" s="3253">
        <v>-0.61372563710117634</v>
      </c>
      <c r="F377" s="3254">
        <v>-1.8411769113035291E-2</v>
      </c>
      <c r="G377" s="78"/>
      <c r="H377" t="s">
        <v>7431</v>
      </c>
      <c r="L377" s="434"/>
    </row>
    <row r="378" spans="1:12" ht="12.75" hidden="1" customHeight="1" outlineLevel="1" x14ac:dyDescent="0.25">
      <c r="A378" s="2380">
        <v>0.02</v>
      </c>
      <c r="B378" s="1921" t="s">
        <v>1206</v>
      </c>
      <c r="C378" s="2108">
        <v>67.962999999999994</v>
      </c>
      <c r="D378" s="3252">
        <v>116.76</v>
      </c>
      <c r="E378" s="3253">
        <v>0.71799361417241747</v>
      </c>
      <c r="F378" s="3254">
        <v>1.4359872283448349E-2</v>
      </c>
      <c r="G378" s="78"/>
      <c r="H378" t="s">
        <v>3484</v>
      </c>
      <c r="L378" s="434"/>
    </row>
    <row r="379" spans="1:12" ht="12.75" hidden="1" customHeight="1" outlineLevel="1" x14ac:dyDescent="0.25">
      <c r="A379" s="2380">
        <v>0.03</v>
      </c>
      <c r="B379" s="1921" t="s">
        <v>1214</v>
      </c>
      <c r="C379" s="2108">
        <v>96.72999999999999</v>
      </c>
      <c r="D379" s="3252">
        <v>138.82</v>
      </c>
      <c r="E379" s="3253">
        <v>0.43512870877700816</v>
      </c>
      <c r="F379" s="3254">
        <v>1.3053861263310243E-2</v>
      </c>
      <c r="G379" s="78"/>
      <c r="H379" t="s">
        <v>3775</v>
      </c>
      <c r="L379" s="434"/>
    </row>
    <row r="380" spans="1:12" ht="12.75" hidden="1" customHeight="1" outlineLevel="1" x14ac:dyDescent="0.25">
      <c r="A380" s="2380">
        <v>0.02</v>
      </c>
      <c r="B380" s="1921" t="s">
        <v>7434</v>
      </c>
      <c r="C380" s="2108">
        <v>32.651499999999999</v>
      </c>
      <c r="D380" s="3252">
        <v>80.400000000000006</v>
      </c>
      <c r="E380" s="3253">
        <v>1.4623677319571846</v>
      </c>
      <c r="F380" s="3254">
        <v>2.9247354639143693E-2</v>
      </c>
      <c r="G380" s="78"/>
      <c r="H380" t="s">
        <v>7435</v>
      </c>
      <c r="L380" s="434"/>
    </row>
    <row r="381" spans="1:12" ht="12.75" hidden="1" customHeight="1" outlineLevel="1" x14ac:dyDescent="0.25">
      <c r="A381" s="2380">
        <v>0.02</v>
      </c>
      <c r="B381" s="1921" t="s">
        <v>7437</v>
      </c>
      <c r="C381" s="2108">
        <v>5.2736999999999998</v>
      </c>
      <c r="D381" s="3252">
        <v>2.4180000000000001</v>
      </c>
      <c r="E381" s="3253">
        <v>-0.54149837874736906</v>
      </c>
      <c r="F381" s="3254">
        <v>-1.0829967574947381E-2</v>
      </c>
      <c r="G381" s="78"/>
      <c r="H381" t="s">
        <v>7438</v>
      </c>
      <c r="L381" s="434"/>
    </row>
    <row r="382" spans="1:12" ht="12.75" hidden="1" customHeight="1" outlineLevel="1" x14ac:dyDescent="0.25">
      <c r="A382" s="2380">
        <v>0.02</v>
      </c>
      <c r="B382" s="1921" t="s">
        <v>2631</v>
      </c>
      <c r="C382" s="2108">
        <v>25.483000000000004</v>
      </c>
      <c r="D382" s="3252">
        <v>11.12</v>
      </c>
      <c r="E382" s="3253">
        <v>-0.56363065573127191</v>
      </c>
      <c r="F382" s="3254">
        <v>-1.1272613114625438E-2</v>
      </c>
      <c r="G382" s="78"/>
      <c r="H382" t="s">
        <v>1727</v>
      </c>
      <c r="L382" s="434"/>
    </row>
    <row r="383" spans="1:12" ht="12.75" hidden="1" customHeight="1" outlineLevel="1" x14ac:dyDescent="0.25">
      <c r="A383" s="2380">
        <v>0.02</v>
      </c>
      <c r="B383" s="1921" t="s">
        <v>7440</v>
      </c>
      <c r="C383" s="2108">
        <v>41.637</v>
      </c>
      <c r="D383" s="3252">
        <v>35.01</v>
      </c>
      <c r="E383" s="3253">
        <v>-0.15916132286187767</v>
      </c>
      <c r="F383" s="3254">
        <v>-3.1832264572375537E-3</v>
      </c>
      <c r="G383" s="78"/>
      <c r="H383" t="s">
        <v>7441</v>
      </c>
      <c r="L383" s="434"/>
    </row>
    <row r="384" spans="1:12" ht="12.75" hidden="1" customHeight="1" outlineLevel="1" x14ac:dyDescent="0.25">
      <c r="A384" s="2380">
        <v>0.02</v>
      </c>
      <c r="B384" s="2109" t="s">
        <v>3385</v>
      </c>
      <c r="C384" s="2108">
        <v>225.31499999999997</v>
      </c>
      <c r="D384" s="3255">
        <v>264.2</v>
      </c>
      <c r="E384" s="3256">
        <v>0.17258060936910558</v>
      </c>
      <c r="F384" s="3257">
        <v>3.4516121873821117E-3</v>
      </c>
      <c r="G384" s="78"/>
      <c r="H384" t="s">
        <v>3791</v>
      </c>
      <c r="L384" s="434"/>
    </row>
    <row r="385" spans="1:7" ht="12.75" hidden="1" customHeight="1" outlineLevel="1" x14ac:dyDescent="0.25">
      <c r="A385" s="2181" t="s">
        <v>2734</v>
      </c>
      <c r="B385" s="2103"/>
      <c r="C385" s="3258"/>
      <c r="D385" s="3259"/>
      <c r="E385" s="3260"/>
      <c r="F385" s="3260">
        <v>0.11047006651225928</v>
      </c>
      <c r="G385" s="78"/>
    </row>
    <row r="386" spans="1:7" ht="12.75" hidden="1" customHeight="1" outlineLevel="1" x14ac:dyDescent="0.25">
      <c r="A386" s="1956" t="s">
        <v>7456</v>
      </c>
      <c r="B386" s="2185">
        <v>43952</v>
      </c>
      <c r="C386" s="3261">
        <v>100</v>
      </c>
      <c r="D386" s="3261">
        <v>90.675700000000006</v>
      </c>
      <c r="E386" s="3262">
        <v>-9.3242999999999965E-2</v>
      </c>
      <c r="F386" s="3263"/>
      <c r="G386" s="78"/>
    </row>
    <row r="387" spans="1:7" ht="12.75" hidden="1" customHeight="1" outlineLevel="1" x14ac:dyDescent="0.25">
      <c r="A387" s="1956" t="s">
        <v>7457</v>
      </c>
      <c r="B387" s="2185">
        <v>43983</v>
      </c>
      <c r="C387" s="3261">
        <v>100</v>
      </c>
      <c r="D387" s="3264">
        <v>94.973799999999997</v>
      </c>
      <c r="E387" s="3262">
        <v>-5.0262000000000029E-2</v>
      </c>
      <c r="F387" s="3263"/>
      <c r="G387" s="78"/>
    </row>
    <row r="388" spans="1:7" ht="12.75" hidden="1" customHeight="1" outlineLevel="1" x14ac:dyDescent="0.25">
      <c r="A388" s="1956" t="s">
        <v>7458</v>
      </c>
      <c r="B388" s="2185">
        <v>44013</v>
      </c>
      <c r="C388" s="3261">
        <v>100</v>
      </c>
      <c r="D388" s="3264">
        <v>93.801900000000003</v>
      </c>
      <c r="E388" s="3262">
        <v>-6.1980999999999953E-2</v>
      </c>
      <c r="F388" s="3263"/>
      <c r="G388" s="78"/>
    </row>
    <row r="389" spans="1:7" ht="12.75" hidden="1" customHeight="1" outlineLevel="1" x14ac:dyDescent="0.25">
      <c r="A389" s="1956" t="s">
        <v>7459</v>
      </c>
      <c r="B389" s="2185">
        <v>44044</v>
      </c>
      <c r="C389" s="3261">
        <v>100</v>
      </c>
      <c r="D389" s="3264">
        <v>98.117099999999994</v>
      </c>
      <c r="E389" s="3262">
        <v>-1.8829000000000096E-2</v>
      </c>
      <c r="F389" s="3263"/>
      <c r="G389" s="78"/>
    </row>
    <row r="390" spans="1:7" ht="12.75" hidden="1" customHeight="1" outlineLevel="1" x14ac:dyDescent="0.25">
      <c r="A390" s="1956" t="s">
        <v>7460</v>
      </c>
      <c r="B390" s="2185">
        <v>44075</v>
      </c>
      <c r="C390" s="3261">
        <v>100</v>
      </c>
      <c r="D390" s="3264">
        <v>95.216200000000001</v>
      </c>
      <c r="E390" s="3262">
        <v>-4.7838000000000047E-2</v>
      </c>
      <c r="F390" s="3263"/>
      <c r="G390" s="78"/>
    </row>
    <row r="391" spans="1:7" ht="12.75" hidden="1" customHeight="1" outlineLevel="1" x14ac:dyDescent="0.25">
      <c r="A391" s="1956" t="s">
        <v>7461</v>
      </c>
      <c r="B391" s="2185">
        <v>44105</v>
      </c>
      <c r="C391" s="3261">
        <v>100</v>
      </c>
      <c r="D391" s="3264">
        <v>86.704599999999999</v>
      </c>
      <c r="E391" s="3262">
        <v>-0.13295400000000002</v>
      </c>
      <c r="F391" s="3263"/>
      <c r="G391" s="78"/>
    </row>
    <row r="392" spans="1:7" ht="12.75" hidden="1" customHeight="1" outlineLevel="1" x14ac:dyDescent="0.25">
      <c r="A392" s="1956" t="s">
        <v>7462</v>
      </c>
      <c r="B392" s="2185">
        <v>44136</v>
      </c>
      <c r="C392" s="3261">
        <v>100</v>
      </c>
      <c r="D392" s="3264">
        <v>99.626499999999993</v>
      </c>
      <c r="E392" s="3262">
        <v>-3.7350000000000438E-3</v>
      </c>
      <c r="F392" s="3263"/>
      <c r="G392" s="78"/>
    </row>
    <row r="393" spans="1:7" ht="12.75" hidden="1" customHeight="1" outlineLevel="1" x14ac:dyDescent="0.25">
      <c r="A393" s="1956" t="s">
        <v>7463</v>
      </c>
      <c r="B393" s="2185">
        <v>44166</v>
      </c>
      <c r="C393" s="3261">
        <v>100</v>
      </c>
      <c r="D393" s="3264">
        <v>102.6264</v>
      </c>
      <c r="E393" s="3262">
        <v>2.6264000000000065E-2</v>
      </c>
      <c r="F393" s="3263"/>
      <c r="G393" s="78"/>
    </row>
    <row r="394" spans="1:7" ht="12.75" hidden="1" customHeight="1" outlineLevel="1" x14ac:dyDescent="0.25">
      <c r="A394" s="1956" t="s">
        <v>7464</v>
      </c>
      <c r="B394" s="2185">
        <v>44197</v>
      </c>
      <c r="C394" s="3261">
        <v>100</v>
      </c>
      <c r="D394" s="3264">
        <v>99.713300000000004</v>
      </c>
      <c r="E394" s="3262">
        <v>-2.8669999999999529E-3</v>
      </c>
      <c r="F394" s="3263"/>
      <c r="G394" s="78"/>
    </row>
    <row r="395" spans="1:7" ht="12.75" hidden="1" customHeight="1" outlineLevel="1" x14ac:dyDescent="0.25">
      <c r="A395" s="1956" t="s">
        <v>7465</v>
      </c>
      <c r="B395" s="2185">
        <v>44228</v>
      </c>
      <c r="C395" s="3261">
        <v>100</v>
      </c>
      <c r="D395" s="3264">
        <v>103.33110000000001</v>
      </c>
      <c r="E395" s="3262">
        <v>3.3311000000000091E-2</v>
      </c>
      <c r="F395" s="3263"/>
      <c r="G395" s="78"/>
    </row>
    <row r="396" spans="1:7" ht="12.75" hidden="1" customHeight="1" outlineLevel="1" x14ac:dyDescent="0.25">
      <c r="A396" s="1956" t="s">
        <v>7466</v>
      </c>
      <c r="B396" s="2185">
        <v>44256</v>
      </c>
      <c r="C396" s="3261">
        <v>100</v>
      </c>
      <c r="D396" s="3264">
        <v>111.4341</v>
      </c>
      <c r="E396" s="3262">
        <v>0.11434100000000003</v>
      </c>
      <c r="F396" s="3263"/>
      <c r="G396" s="78"/>
    </row>
    <row r="397" spans="1:7" ht="12.75" hidden="1" customHeight="1" outlineLevel="1" x14ac:dyDescent="0.25">
      <c r="A397" s="1956" t="s">
        <v>7467</v>
      </c>
      <c r="B397" s="2185">
        <v>44287</v>
      </c>
      <c r="C397" s="3261">
        <v>100</v>
      </c>
      <c r="D397" s="3264">
        <v>111.1264</v>
      </c>
      <c r="E397" s="3262">
        <v>0.11126400000000003</v>
      </c>
      <c r="F397" s="3263"/>
      <c r="G397" s="78"/>
    </row>
    <row r="398" spans="1:7" ht="12.75" hidden="1" customHeight="1" outlineLevel="1" x14ac:dyDescent="0.25">
      <c r="A398" s="2189" t="s">
        <v>2734</v>
      </c>
      <c r="B398" s="2190"/>
      <c r="C398" s="3264"/>
      <c r="D398" s="2191" t="s">
        <v>2465</v>
      </c>
      <c r="E398" s="1987">
        <v>-1.0544083333333324E-2</v>
      </c>
      <c r="F398" s="2528">
        <v>6.3169166666666851E-3</v>
      </c>
      <c r="G398" s="78"/>
    </row>
    <row r="399" spans="1:7" collapsed="1" x14ac:dyDescent="0.25">
      <c r="A399" s="3801" t="s">
        <v>7468</v>
      </c>
      <c r="B399" s="3802"/>
      <c r="C399" s="3802"/>
      <c r="D399" s="3802"/>
      <c r="E399" s="1906"/>
      <c r="F399" s="1907">
        <v>6.3169166666666851E-3</v>
      </c>
      <c r="G399" s="78"/>
    </row>
    <row r="401" spans="1:16" ht="12.75" hidden="1" customHeight="1" outlineLevel="1" x14ac:dyDescent="0.25">
      <c r="A401" s="3237" t="s">
        <v>113</v>
      </c>
      <c r="B401" s="3237" t="s">
        <v>114</v>
      </c>
      <c r="C401" s="3237" t="s">
        <v>112</v>
      </c>
      <c r="D401" s="3237" t="s">
        <v>116</v>
      </c>
      <c r="E401" s="3237" t="s">
        <v>117</v>
      </c>
      <c r="F401" s="3237" t="s">
        <v>121</v>
      </c>
      <c r="G401" s="78"/>
    </row>
    <row r="402" spans="1:16" ht="12.75" hidden="1" customHeight="1" outlineLevel="1" x14ac:dyDescent="0.25">
      <c r="A402" s="3238">
        <v>1</v>
      </c>
      <c r="B402" s="3239" t="s">
        <v>252</v>
      </c>
      <c r="C402" s="3240">
        <v>100</v>
      </c>
      <c r="D402" s="3240"/>
      <c r="E402" s="3241"/>
      <c r="F402" s="3242"/>
      <c r="G402" s="78"/>
    </row>
    <row r="403" spans="1:16" ht="12.75" hidden="1" customHeight="1" outlineLevel="1" x14ac:dyDescent="0.25">
      <c r="A403" s="3243" t="s">
        <v>2734</v>
      </c>
      <c r="B403" s="3243"/>
      <c r="C403" s="3244"/>
      <c r="D403" s="1900" t="s">
        <v>3702</v>
      </c>
      <c r="E403" s="3245">
        <v>44181</v>
      </c>
      <c r="F403" s="3246"/>
      <c r="G403" s="78"/>
    </row>
    <row r="404" spans="1:16" ht="12.75" hidden="1" customHeight="1" outlineLevel="1" x14ac:dyDescent="0.25">
      <c r="A404" s="3237" t="s">
        <v>4156</v>
      </c>
      <c r="B404" s="3237" t="s">
        <v>4153</v>
      </c>
      <c r="C404" s="3247" t="s">
        <v>112</v>
      </c>
      <c r="D404" s="3248" t="s">
        <v>4155</v>
      </c>
      <c r="E404" s="3248" t="s">
        <v>4154</v>
      </c>
      <c r="F404" s="3248" t="s">
        <v>2519</v>
      </c>
      <c r="G404" s="78"/>
    </row>
    <row r="405" spans="1:16" ht="12.75" hidden="1" customHeight="1" outlineLevel="1" x14ac:dyDescent="0.25">
      <c r="A405" s="1991">
        <v>0.03</v>
      </c>
      <c r="B405" s="1921" t="s">
        <v>359</v>
      </c>
      <c r="C405" s="2108">
        <v>151.91</v>
      </c>
      <c r="D405" s="3249">
        <v>198.6</v>
      </c>
      <c r="E405" s="3250">
        <v>0.30735303798301628</v>
      </c>
      <c r="F405" s="3251">
        <v>9.2205911394904871E-3</v>
      </c>
      <c r="G405" s="78"/>
      <c r="H405" t="s">
        <v>360</v>
      </c>
      <c r="P405" s="434"/>
    </row>
    <row r="406" spans="1:16" ht="12.75" hidden="1" customHeight="1" outlineLevel="1" x14ac:dyDescent="0.25">
      <c r="A406" s="2380">
        <v>0.03</v>
      </c>
      <c r="B406" s="1921" t="s">
        <v>3998</v>
      </c>
      <c r="C406" s="2108">
        <v>34.241</v>
      </c>
      <c r="D406" s="3252">
        <v>30.29</v>
      </c>
      <c r="E406" s="3253">
        <v>-0.11538798516398474</v>
      </c>
      <c r="F406" s="3254">
        <v>-3.461639554919542E-3</v>
      </c>
      <c r="G406" s="78"/>
      <c r="H406" t="s">
        <v>4000</v>
      </c>
      <c r="P406" s="434"/>
    </row>
    <row r="407" spans="1:16" ht="12.75" hidden="1" customHeight="1" outlineLevel="1" x14ac:dyDescent="0.25">
      <c r="A407" s="2380">
        <v>0.02</v>
      </c>
      <c r="B407" s="1921" t="s">
        <v>218</v>
      </c>
      <c r="C407" s="2108">
        <v>24.14</v>
      </c>
      <c r="D407" s="3252">
        <v>20.234999999999999</v>
      </c>
      <c r="E407" s="3253">
        <v>-0.16176470588235303</v>
      </c>
      <c r="F407" s="3254">
        <v>-3.2352941176470606E-3</v>
      </c>
      <c r="G407" s="78"/>
      <c r="H407" t="s">
        <v>656</v>
      </c>
      <c r="P407" s="434"/>
    </row>
    <row r="408" spans="1:16" ht="12.75" hidden="1" customHeight="1" outlineLevel="1" x14ac:dyDescent="0.25">
      <c r="A408" s="2380">
        <v>0.02</v>
      </c>
      <c r="B408" s="1921" t="s">
        <v>807</v>
      </c>
      <c r="C408" s="2108">
        <v>53.87</v>
      </c>
      <c r="D408" s="3252">
        <v>55.76</v>
      </c>
      <c r="E408" s="3253">
        <v>3.5084462595136534E-2</v>
      </c>
      <c r="F408" s="3254">
        <v>7.0168925190273069E-4</v>
      </c>
      <c r="G408" s="78"/>
      <c r="H408" t="s">
        <v>808</v>
      </c>
      <c r="P408" s="434"/>
    </row>
    <row r="409" spans="1:16" ht="12.75" hidden="1" customHeight="1" outlineLevel="1" x14ac:dyDescent="0.25">
      <c r="A409" s="2380">
        <v>0.03</v>
      </c>
      <c r="B409" s="1921" t="s">
        <v>8527</v>
      </c>
      <c r="C409" s="2108">
        <v>52.720065044469798</v>
      </c>
      <c r="D409" s="3252">
        <v>34.369999999999997</v>
      </c>
      <c r="E409" s="3253">
        <v>-0.34806605471733343</v>
      </c>
      <c r="F409" s="3254">
        <v>-1.0441981641520003E-2</v>
      </c>
      <c r="G409" s="78"/>
      <c r="H409" t="s">
        <v>8516</v>
      </c>
      <c r="I409" t="s">
        <v>8250</v>
      </c>
      <c r="J409" s="1626">
        <v>93.549172753825943</v>
      </c>
      <c r="K409" s="37">
        <v>-6.450800000000001E-2</v>
      </c>
      <c r="L409" t="s">
        <v>8251</v>
      </c>
      <c r="P409" s="434"/>
    </row>
    <row r="410" spans="1:16" ht="12.75" hidden="1" customHeight="1" outlineLevel="1" x14ac:dyDescent="0.25">
      <c r="A410" s="2380">
        <v>0.03</v>
      </c>
      <c r="B410" s="1921" t="s">
        <v>6821</v>
      </c>
      <c r="C410" s="2108">
        <v>333.56687558546423</v>
      </c>
      <c r="D410" s="3252">
        <v>306.3</v>
      </c>
      <c r="E410" s="3253">
        <v>-8.1743355174600074E-2</v>
      </c>
      <c r="F410" s="3254">
        <v>-2.452300655238002E-3</v>
      </c>
      <c r="G410" s="78"/>
      <c r="H410" t="s">
        <v>6822</v>
      </c>
      <c r="I410" t="s">
        <v>8954</v>
      </c>
      <c r="J410">
        <v>103.4816</v>
      </c>
      <c r="K410" s="2531">
        <v>3.4799999999999998E-2</v>
      </c>
      <c r="L410" s="2530" t="s">
        <v>8955</v>
      </c>
      <c r="P410" s="434"/>
    </row>
    <row r="411" spans="1:16" ht="12.75" hidden="1" customHeight="1" outlineLevel="1" x14ac:dyDescent="0.25">
      <c r="A411" s="2380">
        <v>0.02</v>
      </c>
      <c r="B411" s="1921" t="s">
        <v>496</v>
      </c>
      <c r="C411" s="2108">
        <v>19.620414475408911</v>
      </c>
      <c r="D411" s="3252">
        <v>12.425000000000001</v>
      </c>
      <c r="E411" s="3253">
        <v>-0.36673101296749999</v>
      </c>
      <c r="F411" s="3254">
        <v>-7.3346202593499998E-3</v>
      </c>
      <c r="G411" s="78"/>
      <c r="H411" t="s">
        <v>497</v>
      </c>
      <c r="I411" t="s">
        <v>9546</v>
      </c>
      <c r="J411">
        <v>99.611400000000003</v>
      </c>
      <c r="K411" s="406">
        <v>-3.8859999999999672E-3</v>
      </c>
      <c r="L411" t="s">
        <v>8251</v>
      </c>
      <c r="P411" s="434"/>
    </row>
    <row r="412" spans="1:16" ht="12.75" hidden="1" customHeight="1" outlineLevel="1" x14ac:dyDescent="0.25">
      <c r="A412" s="2380">
        <v>0.08</v>
      </c>
      <c r="B412" s="1921" t="s">
        <v>6942</v>
      </c>
      <c r="C412" s="2108">
        <v>30.609000000000002</v>
      </c>
      <c r="D412" s="3252">
        <v>44.75</v>
      </c>
      <c r="E412" s="3253">
        <v>0.46198830409356706</v>
      </c>
      <c r="F412" s="3254">
        <v>3.6959064327485365E-2</v>
      </c>
      <c r="G412" s="78"/>
      <c r="H412" t="s">
        <v>7860</v>
      </c>
      <c r="I412" t="s">
        <v>10176</v>
      </c>
      <c r="J412">
        <v>109.0582</v>
      </c>
      <c r="K412" s="2529">
        <v>0.05</v>
      </c>
      <c r="L412" s="2530" t="s">
        <v>8955</v>
      </c>
      <c r="P412" s="434"/>
    </row>
    <row r="413" spans="1:16" ht="12.75" hidden="1" customHeight="1" outlineLevel="1" x14ac:dyDescent="0.25">
      <c r="A413" s="2380">
        <v>0.03</v>
      </c>
      <c r="B413" s="1921" t="s">
        <v>4268</v>
      </c>
      <c r="C413" s="2108">
        <v>15.782</v>
      </c>
      <c r="D413" s="3252">
        <v>19.079999999999998</v>
      </c>
      <c r="E413" s="3253">
        <v>0.20897224686351534</v>
      </c>
      <c r="F413" s="3254">
        <v>6.2691674059054603E-3</v>
      </c>
      <c r="G413" s="78"/>
      <c r="H413" t="s">
        <v>8442</v>
      </c>
      <c r="P413" s="434"/>
    </row>
    <row r="414" spans="1:16" ht="12.75" hidden="1" customHeight="1" outlineLevel="1" x14ac:dyDescent="0.25">
      <c r="A414" s="2380">
        <v>0.02</v>
      </c>
      <c r="B414" s="1921" t="s">
        <v>3799</v>
      </c>
      <c r="C414" s="2108">
        <v>1393.9559380843245</v>
      </c>
      <c r="D414" s="3252">
        <v>1364.2</v>
      </c>
      <c r="E414" s="3253">
        <v>-2.134639788199999E-2</v>
      </c>
      <c r="F414" s="3254">
        <v>-4.2692795763999981E-4</v>
      </c>
      <c r="G414" s="78"/>
      <c r="H414" t="s">
        <v>4128</v>
      </c>
      <c r="P414" s="434"/>
    </row>
    <row r="415" spans="1:16" ht="12.75" hidden="1" customHeight="1" outlineLevel="1" x14ac:dyDescent="0.25">
      <c r="A415" s="2380">
        <v>0.03</v>
      </c>
      <c r="B415" s="1921" t="s">
        <v>10371</v>
      </c>
      <c r="C415" s="2108">
        <v>36.044793860166344</v>
      </c>
      <c r="D415" s="3252">
        <v>30.38</v>
      </c>
      <c r="E415" s="3253">
        <v>-0.1571598351246668</v>
      </c>
      <c r="F415" s="3254">
        <v>-4.7147950537400037E-3</v>
      </c>
      <c r="G415" s="78"/>
      <c r="H415" t="s">
        <v>10370</v>
      </c>
      <c r="P415" s="434"/>
    </row>
    <row r="416" spans="1:16" ht="12.75" hidden="1" customHeight="1" outlineLevel="1" x14ac:dyDescent="0.25">
      <c r="A416" s="2380">
        <v>0.08</v>
      </c>
      <c r="B416" s="1921" t="s">
        <v>1771</v>
      </c>
      <c r="C416" s="2108">
        <v>562.12</v>
      </c>
      <c r="D416" s="3252">
        <v>397</v>
      </c>
      <c r="E416" s="3253">
        <v>-0.29374510780616236</v>
      </c>
      <c r="F416" s="3254">
        <v>-2.349960862449299E-2</v>
      </c>
      <c r="G416" s="78"/>
      <c r="H416" t="s">
        <v>4329</v>
      </c>
      <c r="P416" s="434"/>
    </row>
    <row r="417" spans="1:16" ht="12.75" hidden="1" customHeight="1" outlineLevel="1" x14ac:dyDescent="0.25">
      <c r="A417" s="2380">
        <v>0.02</v>
      </c>
      <c r="B417" s="1921" t="s">
        <v>1343</v>
      </c>
      <c r="C417" s="2519">
        <v>3282.7</v>
      </c>
      <c r="D417" s="3252">
        <v>1575</v>
      </c>
      <c r="E417" s="3253">
        <v>-0.52021202059280469</v>
      </c>
      <c r="F417" s="3254">
        <v>-1.0404240411856095E-2</v>
      </c>
      <c r="G417" s="78"/>
      <c r="H417" t="s">
        <v>7747</v>
      </c>
      <c r="P417" s="434"/>
    </row>
    <row r="418" spans="1:16" ht="12.75" hidden="1" customHeight="1" outlineLevel="1" x14ac:dyDescent="0.25">
      <c r="A418" s="2380">
        <v>0.03</v>
      </c>
      <c r="B418" s="1921" t="s">
        <v>2786</v>
      </c>
      <c r="C418" s="2108">
        <v>871.37840658449704</v>
      </c>
      <c r="D418" s="3252">
        <v>877.4</v>
      </c>
      <c r="E418" s="3253">
        <v>6.9104230377998732E-3</v>
      </c>
      <c r="F418" s="3254">
        <v>2.0731269113399619E-4</v>
      </c>
      <c r="G418" s="78"/>
      <c r="H418" t="s">
        <v>4195</v>
      </c>
      <c r="P418" s="434"/>
    </row>
    <row r="419" spans="1:16" ht="12.75" hidden="1" customHeight="1" outlineLevel="1" x14ac:dyDescent="0.25">
      <c r="A419" s="2380">
        <v>0.02</v>
      </c>
      <c r="B419" s="1921" t="s">
        <v>7142</v>
      </c>
      <c r="C419" s="2108">
        <v>33.872</v>
      </c>
      <c r="D419" s="3252">
        <v>17.14</v>
      </c>
      <c r="E419" s="3253">
        <v>-0.49397732640529046</v>
      </c>
      <c r="F419" s="3254">
        <v>-9.8795465281058103E-3</v>
      </c>
      <c r="G419" s="78"/>
      <c r="H419" t="s">
        <v>7143</v>
      </c>
      <c r="P419" s="434"/>
    </row>
    <row r="420" spans="1:16" ht="12.75" hidden="1" customHeight="1" outlineLevel="1" x14ac:dyDescent="0.25">
      <c r="A420" s="2380">
        <v>0.02</v>
      </c>
      <c r="B420" s="1921" t="s">
        <v>54</v>
      </c>
      <c r="C420" s="2108">
        <v>14.6495</v>
      </c>
      <c r="D420" s="3252">
        <v>8.7140000000000004</v>
      </c>
      <c r="E420" s="3253">
        <v>-0.40516741185705996</v>
      </c>
      <c r="F420" s="3254">
        <v>-8.1033482371411988E-3</v>
      </c>
      <c r="G420" s="78"/>
      <c r="H420" t="s">
        <v>6741</v>
      </c>
      <c r="P420" s="434"/>
    </row>
    <row r="421" spans="1:16" ht="12.75" hidden="1" customHeight="1" outlineLevel="1" x14ac:dyDescent="0.25">
      <c r="A421" s="2380">
        <v>0.03</v>
      </c>
      <c r="B421" s="1921" t="s">
        <v>5205</v>
      </c>
      <c r="C421" s="2108">
        <v>1815.25</v>
      </c>
      <c r="D421" s="3252">
        <v>1392.4</v>
      </c>
      <c r="E421" s="3253">
        <v>-0.23294312078226131</v>
      </c>
      <c r="F421" s="3254">
        <v>-6.9882936234678394E-3</v>
      </c>
      <c r="G421" s="78"/>
      <c r="H421" t="s">
        <v>5199</v>
      </c>
      <c r="P421" s="434"/>
    </row>
    <row r="422" spans="1:16" ht="12.75" hidden="1" customHeight="1" outlineLevel="1" x14ac:dyDescent="0.25">
      <c r="A422" s="2380">
        <v>0.03</v>
      </c>
      <c r="B422" s="1921" t="s">
        <v>6270</v>
      </c>
      <c r="C422" s="2108">
        <v>45.137474461198146</v>
      </c>
      <c r="D422" s="3252">
        <v>35.06</v>
      </c>
      <c r="E422" s="3253">
        <v>-0.22326181474466666</v>
      </c>
      <c r="F422" s="3254">
        <v>-6.6978544423399993E-3</v>
      </c>
      <c r="G422" s="78"/>
      <c r="H422" t="s">
        <v>8166</v>
      </c>
      <c r="P422" s="434"/>
    </row>
    <row r="423" spans="1:16" ht="12.75" hidden="1" customHeight="1" outlineLevel="1" x14ac:dyDescent="0.25">
      <c r="A423" s="2380">
        <v>0.03</v>
      </c>
      <c r="B423" s="1921" t="s">
        <v>6164</v>
      </c>
      <c r="C423" s="2108">
        <v>3.7642224156637996</v>
      </c>
      <c r="D423" s="3252">
        <v>4.5590000000000002</v>
      </c>
      <c r="E423" s="3253">
        <v>0.21113991060383341</v>
      </c>
      <c r="F423" s="3254">
        <v>6.334197318115002E-3</v>
      </c>
      <c r="G423" s="78"/>
      <c r="H423" t="s">
        <v>6114</v>
      </c>
      <c r="P423" s="434"/>
    </row>
    <row r="424" spans="1:16" ht="12.75" hidden="1" customHeight="1" outlineLevel="1" x14ac:dyDescent="0.25">
      <c r="A424" s="2380">
        <v>0.03</v>
      </c>
      <c r="B424" s="1921" t="s">
        <v>3427</v>
      </c>
      <c r="C424" s="2108">
        <v>46.1</v>
      </c>
      <c r="D424" s="3252">
        <v>60.43</v>
      </c>
      <c r="E424" s="3253">
        <v>0.31084598698481547</v>
      </c>
      <c r="F424" s="3254">
        <v>9.3253796095444635E-3</v>
      </c>
      <c r="G424" s="78"/>
      <c r="H424" t="s">
        <v>2800</v>
      </c>
      <c r="P424" s="434"/>
    </row>
    <row r="425" spans="1:16" ht="12.75" hidden="1" customHeight="1" outlineLevel="1" x14ac:dyDescent="0.25">
      <c r="A425" s="2380">
        <v>0.03</v>
      </c>
      <c r="B425" s="1921" t="s">
        <v>1857</v>
      </c>
      <c r="C425" s="2108">
        <v>1535</v>
      </c>
      <c r="D425" s="3252">
        <v>1487.5</v>
      </c>
      <c r="E425" s="3253">
        <v>-3.0944625407166138E-2</v>
      </c>
      <c r="F425" s="3254">
        <v>-9.2833876221498407E-4</v>
      </c>
      <c r="G425" s="78"/>
      <c r="H425" t="s">
        <v>3559</v>
      </c>
      <c r="P425" s="434"/>
    </row>
    <row r="426" spans="1:16" ht="12.75" hidden="1" customHeight="1" outlineLevel="1" x14ac:dyDescent="0.25">
      <c r="A426" s="2380">
        <v>0.03</v>
      </c>
      <c r="B426" s="1921" t="s">
        <v>1724</v>
      </c>
      <c r="C426" s="2108">
        <v>198.71</v>
      </c>
      <c r="D426" s="3252">
        <v>145.80000000000001</v>
      </c>
      <c r="E426" s="3253">
        <v>-0.266267424890544</v>
      </c>
      <c r="F426" s="3254">
        <v>-7.9880227467163199E-3</v>
      </c>
      <c r="G426" s="78"/>
      <c r="H426" t="s">
        <v>1725</v>
      </c>
      <c r="P426" s="434"/>
    </row>
    <row r="427" spans="1:16" ht="12.75" hidden="1" customHeight="1" outlineLevel="1" x14ac:dyDescent="0.25">
      <c r="A427" s="2380">
        <v>0.05</v>
      </c>
      <c r="B427" s="1921" t="s">
        <v>6118</v>
      </c>
      <c r="C427" s="2108">
        <v>86.86</v>
      </c>
      <c r="D427" s="3252">
        <v>83.62</v>
      </c>
      <c r="E427" s="3253">
        <v>-3.7301404559060503E-2</v>
      </c>
      <c r="F427" s="3254">
        <v>-1.8650702279530253E-3</v>
      </c>
      <c r="G427" s="78"/>
      <c r="H427" t="s">
        <v>8893</v>
      </c>
      <c r="P427" s="434"/>
    </row>
    <row r="428" spans="1:16" ht="12.75" hidden="1" customHeight="1" outlineLevel="1" x14ac:dyDescent="0.25">
      <c r="A428" s="2380">
        <v>0.03</v>
      </c>
      <c r="B428" s="1921" t="s">
        <v>1239</v>
      </c>
      <c r="C428" s="2108">
        <v>559</v>
      </c>
      <c r="D428" s="3252">
        <v>473.8</v>
      </c>
      <c r="E428" s="3253">
        <v>-0.15241502683363151</v>
      </c>
      <c r="F428" s="3254">
        <v>-4.5724508050089454E-3</v>
      </c>
      <c r="G428" s="78"/>
      <c r="H428" t="s">
        <v>8891</v>
      </c>
      <c r="P428" s="434"/>
    </row>
    <row r="429" spans="1:16" ht="12.75" hidden="1" customHeight="1" outlineLevel="1" x14ac:dyDescent="0.25">
      <c r="A429" s="2380">
        <v>0.03</v>
      </c>
      <c r="B429" s="1921" t="s">
        <v>6945</v>
      </c>
      <c r="C429" s="2108">
        <v>78.847101467010248</v>
      </c>
      <c r="D429" s="3252">
        <v>110.25</v>
      </c>
      <c r="E429" s="3253">
        <v>0.39827587759999994</v>
      </c>
      <c r="F429" s="3254">
        <v>1.1948276327999998E-2</v>
      </c>
      <c r="G429" s="78"/>
      <c r="H429" t="s">
        <v>6943</v>
      </c>
      <c r="P429" s="434"/>
    </row>
    <row r="430" spans="1:16" ht="12.75" hidden="1" customHeight="1" outlineLevel="1" x14ac:dyDescent="0.25">
      <c r="A430" s="2380">
        <v>0.08</v>
      </c>
      <c r="B430" s="1921" t="s">
        <v>434</v>
      </c>
      <c r="C430" s="2108">
        <v>50.581000000000003</v>
      </c>
      <c r="D430" s="3252">
        <v>34.229999999999997</v>
      </c>
      <c r="E430" s="3253">
        <v>-0.32326367608390516</v>
      </c>
      <c r="F430" s="3254">
        <v>-2.5861094086712413E-2</v>
      </c>
      <c r="G430" s="78"/>
      <c r="H430" t="s">
        <v>7745</v>
      </c>
      <c r="P430" s="434"/>
    </row>
    <row r="431" spans="1:16" ht="12.75" hidden="1" customHeight="1" outlineLevel="1" x14ac:dyDescent="0.25">
      <c r="A431" s="2380">
        <v>0.03</v>
      </c>
      <c r="B431" s="1921" t="s">
        <v>3921</v>
      </c>
      <c r="C431" s="2108">
        <v>4.2758000000000003</v>
      </c>
      <c r="D431" s="3252">
        <v>6.1260000000000003</v>
      </c>
      <c r="E431" s="3253">
        <v>0.43271434585340751</v>
      </c>
      <c r="F431" s="3254">
        <v>1.2981430375602225E-2</v>
      </c>
      <c r="G431" s="78"/>
      <c r="H431" t="s">
        <v>3922</v>
      </c>
      <c r="P431" s="434"/>
    </row>
    <row r="432" spans="1:16" ht="12.75" hidden="1" customHeight="1" outlineLevel="1" x14ac:dyDescent="0.25">
      <c r="A432" s="2380">
        <v>0.02</v>
      </c>
      <c r="B432" s="1921" t="s">
        <v>9301</v>
      </c>
      <c r="C432" s="2108">
        <v>246.14</v>
      </c>
      <c r="D432" s="3252">
        <v>62.7</v>
      </c>
      <c r="E432" s="3253">
        <v>-0.74526692126432104</v>
      </c>
      <c r="F432" s="3254">
        <v>-1.4905338425286421E-2</v>
      </c>
      <c r="G432" s="78"/>
      <c r="H432" t="s">
        <v>9302</v>
      </c>
      <c r="P432" s="434"/>
    </row>
    <row r="433" spans="1:16" ht="12.75" hidden="1" customHeight="1" outlineLevel="1" x14ac:dyDescent="0.25">
      <c r="A433" s="2380">
        <v>0.03</v>
      </c>
      <c r="B433" s="1921" t="s">
        <v>3169</v>
      </c>
      <c r="C433" s="2108">
        <v>23.453499999999998</v>
      </c>
      <c r="D433" s="3252">
        <v>25.88</v>
      </c>
      <c r="E433" s="3253">
        <v>0.10346003794742797</v>
      </c>
      <c r="F433" s="3254">
        <v>3.1038011384228389E-3</v>
      </c>
      <c r="G433" s="78"/>
      <c r="H433" t="s">
        <v>657</v>
      </c>
      <c r="P433" s="434"/>
    </row>
    <row r="434" spans="1:16" ht="12.75" hidden="1" customHeight="1" outlineLevel="1" x14ac:dyDescent="0.25">
      <c r="A434" s="2380">
        <v>0.04</v>
      </c>
      <c r="B434" s="2109" t="s">
        <v>4550</v>
      </c>
      <c r="C434" s="2108">
        <v>287.25</v>
      </c>
      <c r="D434" s="3255">
        <v>367.9</v>
      </c>
      <c r="E434" s="3256">
        <v>0.28076588337684938</v>
      </c>
      <c r="F434" s="3257">
        <v>1.1230635335073975E-2</v>
      </c>
      <c r="G434" s="78"/>
      <c r="H434" t="s">
        <v>8889</v>
      </c>
      <c r="P434" s="434"/>
    </row>
    <row r="435" spans="1:16" ht="12.75" hidden="1" customHeight="1" outlineLevel="1" x14ac:dyDescent="0.25">
      <c r="A435" s="2181" t="s">
        <v>2734</v>
      </c>
      <c r="B435" s="2103"/>
      <c r="C435" s="3258"/>
      <c r="D435" s="3259"/>
      <c r="E435" s="3260"/>
      <c r="F435" s="3260">
        <v>-4.547922124067412E-2</v>
      </c>
      <c r="G435" s="78"/>
    </row>
    <row r="436" spans="1:16" ht="12.75" hidden="1" customHeight="1" outlineLevel="1" x14ac:dyDescent="0.25">
      <c r="A436" s="1956" t="s">
        <v>7470</v>
      </c>
      <c r="B436" s="2185">
        <v>43983</v>
      </c>
      <c r="C436" s="3261">
        <v>100</v>
      </c>
      <c r="D436" s="3261">
        <v>93.019400000000005</v>
      </c>
      <c r="E436" s="3262">
        <v>-6.9805999999999924E-2</v>
      </c>
      <c r="F436" s="3263"/>
      <c r="G436" s="78"/>
    </row>
    <row r="437" spans="1:16" ht="12.75" hidden="1" customHeight="1" outlineLevel="1" x14ac:dyDescent="0.25">
      <c r="A437" s="1956" t="s">
        <v>7471</v>
      </c>
      <c r="B437" s="2185">
        <v>44013</v>
      </c>
      <c r="C437" s="3261">
        <v>100</v>
      </c>
      <c r="D437" s="3264">
        <v>93.887600000000006</v>
      </c>
      <c r="E437" s="3262">
        <v>-6.1123999999999956E-2</v>
      </c>
      <c r="F437" s="3263"/>
      <c r="G437" s="78"/>
    </row>
    <row r="438" spans="1:16" ht="12.75" hidden="1" customHeight="1" outlineLevel="1" x14ac:dyDescent="0.25">
      <c r="A438" s="1956" t="s">
        <v>7472</v>
      </c>
      <c r="B438" s="2185">
        <v>44044</v>
      </c>
      <c r="C438" s="3261">
        <v>100</v>
      </c>
      <c r="D438" s="3264">
        <v>92.4054</v>
      </c>
      <c r="E438" s="3262">
        <v>-7.5945999999999958E-2</v>
      </c>
      <c r="F438" s="3263"/>
      <c r="G438" s="78"/>
    </row>
    <row r="439" spans="1:16" ht="12.75" hidden="1" customHeight="1" outlineLevel="1" x14ac:dyDescent="0.25">
      <c r="A439" s="1956" t="s">
        <v>7473</v>
      </c>
      <c r="B439" s="2185">
        <v>44075</v>
      </c>
      <c r="C439" s="3261">
        <v>100</v>
      </c>
      <c r="D439" s="3264">
        <v>90.194900000000004</v>
      </c>
      <c r="E439" s="3262">
        <v>-9.8050999999999999E-2</v>
      </c>
      <c r="F439" s="3263"/>
      <c r="G439" s="78"/>
    </row>
    <row r="440" spans="1:16" ht="12.75" hidden="1" customHeight="1" outlineLevel="1" x14ac:dyDescent="0.25">
      <c r="A440" s="1956" t="s">
        <v>7474</v>
      </c>
      <c r="B440" s="2185">
        <v>44105</v>
      </c>
      <c r="C440" s="3261">
        <v>100</v>
      </c>
      <c r="D440" s="3264">
        <v>89.118200000000002</v>
      </c>
      <c r="E440" s="3262">
        <v>-0.10881799999999997</v>
      </c>
      <c r="F440" s="3263"/>
      <c r="G440" s="78"/>
    </row>
    <row r="441" spans="1:16" ht="12.75" hidden="1" customHeight="1" outlineLevel="1" x14ac:dyDescent="0.25">
      <c r="A441" s="1956" t="s">
        <v>7475</v>
      </c>
      <c r="B441" s="2185">
        <v>44136</v>
      </c>
      <c r="C441" s="3261">
        <v>100</v>
      </c>
      <c r="D441" s="3264">
        <v>86.531499999999994</v>
      </c>
      <c r="E441" s="3262">
        <v>-0.13468500000000005</v>
      </c>
      <c r="F441" s="3263"/>
      <c r="G441" s="78"/>
    </row>
    <row r="442" spans="1:16" ht="12.75" hidden="1" customHeight="1" outlineLevel="1" x14ac:dyDescent="0.25">
      <c r="A442" s="2189" t="s">
        <v>2734</v>
      </c>
      <c r="B442" s="2190"/>
      <c r="C442" s="3264"/>
      <c r="D442" s="2191" t="s">
        <v>2465</v>
      </c>
      <c r="E442" s="3265">
        <v>-9.1404999999999972E-2</v>
      </c>
      <c r="F442" s="2528">
        <v>-9.1404999999999972E-2</v>
      </c>
      <c r="G442" s="78"/>
    </row>
    <row r="443" spans="1:16" collapsed="1" x14ac:dyDescent="0.25">
      <c r="A443" s="3801" t="s">
        <v>7469</v>
      </c>
      <c r="B443" s="3802"/>
      <c r="C443" s="3802"/>
      <c r="D443" s="3802"/>
      <c r="E443" s="1906"/>
      <c r="F443" s="1907">
        <v>-9.1404999999999972E-2</v>
      </c>
      <c r="G443" s="78"/>
    </row>
    <row r="445" spans="1:16" ht="12.75" hidden="1" customHeight="1" outlineLevel="1" x14ac:dyDescent="0.25">
      <c r="A445" s="3237" t="s">
        <v>113</v>
      </c>
      <c r="B445" s="3237" t="s">
        <v>114</v>
      </c>
      <c r="C445" s="3237" t="s">
        <v>112</v>
      </c>
      <c r="D445" s="3237" t="s">
        <v>116</v>
      </c>
      <c r="E445" s="3237" t="s">
        <v>117</v>
      </c>
      <c r="F445" s="3237" t="s">
        <v>121</v>
      </c>
      <c r="G445" s="78"/>
    </row>
    <row r="446" spans="1:16" ht="12.75" hidden="1" customHeight="1" outlineLevel="1" x14ac:dyDescent="0.25">
      <c r="A446" s="3238">
        <v>1</v>
      </c>
      <c r="B446" s="3239" t="s">
        <v>252</v>
      </c>
      <c r="C446" s="3240">
        <v>100</v>
      </c>
      <c r="D446" s="3240"/>
      <c r="E446" s="3241"/>
      <c r="F446" s="3242"/>
      <c r="G446" s="78"/>
    </row>
    <row r="447" spans="1:16" ht="12.75" hidden="1" customHeight="1" outlineLevel="1" x14ac:dyDescent="0.25">
      <c r="A447" s="3243" t="s">
        <v>2734</v>
      </c>
      <c r="B447" s="3243"/>
      <c r="C447" s="3244"/>
      <c r="D447" s="1900" t="s">
        <v>3702</v>
      </c>
      <c r="E447" s="3245">
        <v>44408</v>
      </c>
      <c r="F447" s="3246"/>
      <c r="G447" s="78"/>
    </row>
    <row r="448" spans="1:16" ht="12.75" hidden="1" customHeight="1" outlineLevel="1" x14ac:dyDescent="0.25">
      <c r="A448" s="3237" t="s">
        <v>4156</v>
      </c>
      <c r="B448" s="3237" t="s">
        <v>4153</v>
      </c>
      <c r="C448" s="3247" t="s">
        <v>112</v>
      </c>
      <c r="D448" s="3248" t="s">
        <v>4155</v>
      </c>
      <c r="E448" s="3248" t="s">
        <v>4154</v>
      </c>
      <c r="F448" s="3248" t="s">
        <v>2519</v>
      </c>
      <c r="G448" s="78"/>
    </row>
    <row r="449" spans="1:8" ht="12.75" hidden="1" customHeight="1" outlineLevel="1" x14ac:dyDescent="0.25">
      <c r="A449" s="1991">
        <v>0.05</v>
      </c>
      <c r="B449" s="2461" t="s">
        <v>7491</v>
      </c>
      <c r="C449" s="2108">
        <v>4529.8</v>
      </c>
      <c r="D449" s="3249">
        <v>4800</v>
      </c>
      <c r="E449" s="3250">
        <v>5.9649432646032841E-2</v>
      </c>
      <c r="F449" s="3251">
        <v>2.982471632301642E-3</v>
      </c>
      <c r="G449" s="78"/>
      <c r="H449" t="s">
        <v>7489</v>
      </c>
    </row>
    <row r="450" spans="1:8" ht="12.75" hidden="1" customHeight="1" outlineLevel="1" x14ac:dyDescent="0.25">
      <c r="A450" s="2380">
        <v>0.08</v>
      </c>
      <c r="B450" s="2461" t="s">
        <v>951</v>
      </c>
      <c r="C450" s="2108">
        <v>4011.1</v>
      </c>
      <c r="D450" s="3252">
        <v>2496.5</v>
      </c>
      <c r="E450" s="3253">
        <v>-0.37760215402258734</v>
      </c>
      <c r="F450" s="3254">
        <v>-3.0208172321806989E-2</v>
      </c>
      <c r="G450" s="78"/>
      <c r="H450" t="s">
        <v>952</v>
      </c>
    </row>
    <row r="451" spans="1:8" ht="12.75" hidden="1" customHeight="1" outlineLevel="1" x14ac:dyDescent="0.25">
      <c r="A451" s="2380">
        <v>0.08</v>
      </c>
      <c r="B451" s="2461" t="s">
        <v>5516</v>
      </c>
      <c r="C451" s="2108">
        <v>879.55000000000007</v>
      </c>
      <c r="D451" s="3252">
        <v>2159.5</v>
      </c>
      <c r="E451" s="3253">
        <v>1.4552327894946275</v>
      </c>
      <c r="F451" s="3254">
        <v>0.1164186231595702</v>
      </c>
      <c r="G451" s="78"/>
      <c r="H451" t="s">
        <v>5514</v>
      </c>
    </row>
    <row r="452" spans="1:8" ht="12.75" hidden="1" customHeight="1" outlineLevel="1" x14ac:dyDescent="0.25">
      <c r="A452" s="2380">
        <v>0.02</v>
      </c>
      <c r="B452" s="2461" t="s">
        <v>7494</v>
      </c>
      <c r="C452" s="2108">
        <v>6013.3</v>
      </c>
      <c r="D452" s="3252">
        <v>7482</v>
      </c>
      <c r="E452" s="3253">
        <v>0.24424193038764064</v>
      </c>
      <c r="F452" s="3254">
        <v>4.8848386077528132E-3</v>
      </c>
      <c r="G452" s="78"/>
      <c r="H452" t="s">
        <v>7492</v>
      </c>
    </row>
    <row r="453" spans="1:8" ht="12.75" hidden="1" customHeight="1" outlineLevel="1" x14ac:dyDescent="0.25">
      <c r="A453" s="2380">
        <v>0.02</v>
      </c>
      <c r="B453" s="2461" t="s">
        <v>5090</v>
      </c>
      <c r="C453" s="2108">
        <v>8543.2999999999993</v>
      </c>
      <c r="D453" s="3252">
        <v>8983</v>
      </c>
      <c r="E453" s="3253">
        <v>5.1467231631805221E-2</v>
      </c>
      <c r="F453" s="3254">
        <v>1.0293446326361045E-3</v>
      </c>
      <c r="G453" s="78"/>
      <c r="H453" t="s">
        <v>5091</v>
      </c>
    </row>
    <row r="454" spans="1:8" ht="12.75" hidden="1" customHeight="1" outlineLevel="1" x14ac:dyDescent="0.25">
      <c r="A454" s="2380">
        <v>0.02</v>
      </c>
      <c r="B454" s="2461" t="s">
        <v>7497</v>
      </c>
      <c r="C454" s="2108">
        <v>4268.7</v>
      </c>
      <c r="D454" s="3252">
        <v>3493</v>
      </c>
      <c r="E454" s="3253">
        <v>-0.18171808747393814</v>
      </c>
      <c r="F454" s="3254">
        <v>-3.6343617494787629E-3</v>
      </c>
      <c r="G454" s="78"/>
      <c r="H454" t="s">
        <v>7495</v>
      </c>
    </row>
    <row r="455" spans="1:8" ht="12.75" hidden="1" customHeight="1" outlineLevel="1" x14ac:dyDescent="0.25">
      <c r="A455" s="2380">
        <v>0.02</v>
      </c>
      <c r="B455" s="2461" t="s">
        <v>7500</v>
      </c>
      <c r="C455" s="2108">
        <v>2206.6999999999998</v>
      </c>
      <c r="D455" s="3252">
        <v>1326</v>
      </c>
      <c r="E455" s="3253">
        <v>-0.39910273258712103</v>
      </c>
      <c r="F455" s="3254">
        <v>-7.982054651742421E-3</v>
      </c>
      <c r="G455" s="78"/>
      <c r="H455" t="s">
        <v>7498</v>
      </c>
    </row>
    <row r="456" spans="1:8" ht="12.75" hidden="1" customHeight="1" outlineLevel="1" x14ac:dyDescent="0.25">
      <c r="A456" s="2380">
        <v>0.05</v>
      </c>
      <c r="B456" s="2461" t="s">
        <v>7488</v>
      </c>
      <c r="C456" s="2108">
        <v>6246.7</v>
      </c>
      <c r="D456" s="3252">
        <v>6574</v>
      </c>
      <c r="E456" s="3253">
        <v>5.2395664911073059E-2</v>
      </c>
      <c r="F456" s="3254">
        <v>2.619783245553653E-3</v>
      </c>
      <c r="G456" s="78"/>
      <c r="H456" t="s">
        <v>7501</v>
      </c>
    </row>
    <row r="457" spans="1:8" ht="12.75" hidden="1" customHeight="1" outlineLevel="1" x14ac:dyDescent="0.25">
      <c r="A457" s="2380">
        <v>0.02</v>
      </c>
      <c r="B457" s="2461" t="s">
        <v>7505</v>
      </c>
      <c r="C457" s="2108">
        <v>3257.45</v>
      </c>
      <c r="D457" s="3252">
        <v>3332</v>
      </c>
      <c r="E457" s="3253">
        <v>2.288599978510808E-2</v>
      </c>
      <c r="F457" s="3254">
        <v>4.577199957021616E-4</v>
      </c>
      <c r="G457" s="78"/>
      <c r="H457" t="s">
        <v>7503</v>
      </c>
    </row>
    <row r="458" spans="1:8" ht="12.75" hidden="1" customHeight="1" outlineLevel="1" x14ac:dyDescent="0.25">
      <c r="A458" s="2380">
        <v>0.02</v>
      </c>
      <c r="B458" s="2461" t="s">
        <v>7368</v>
      </c>
      <c r="C458" s="2108">
        <v>2272.15</v>
      </c>
      <c r="D458" s="3252">
        <v>2829</v>
      </c>
      <c r="E458" s="3253">
        <v>0.24507624936733929</v>
      </c>
      <c r="F458" s="3254">
        <v>4.9015249873467859E-3</v>
      </c>
      <c r="G458" s="78"/>
      <c r="H458" t="s">
        <v>7366</v>
      </c>
    </row>
    <row r="459" spans="1:8" ht="12.75" hidden="1" customHeight="1" outlineLevel="1" x14ac:dyDescent="0.25">
      <c r="A459" s="2380">
        <v>0.02</v>
      </c>
      <c r="B459" s="2461" t="s">
        <v>7508</v>
      </c>
      <c r="C459" s="2108">
        <v>1552.4</v>
      </c>
      <c r="D459" s="3252">
        <v>1013</v>
      </c>
      <c r="E459" s="3253">
        <v>-0.34746199433135794</v>
      </c>
      <c r="F459" s="3254">
        <v>-6.9492398866271591E-3</v>
      </c>
      <c r="G459" s="78"/>
      <c r="H459" t="s">
        <v>7506</v>
      </c>
    </row>
    <row r="460" spans="1:8" ht="12.75" hidden="1" customHeight="1" outlineLevel="1" x14ac:dyDescent="0.25">
      <c r="A460" s="2380">
        <v>0.02</v>
      </c>
      <c r="B460" s="2461" t="s">
        <v>4292</v>
      </c>
      <c r="C460" s="2108">
        <v>6400.6</v>
      </c>
      <c r="D460" s="3252">
        <v>6737</v>
      </c>
      <c r="E460" s="3253">
        <v>5.2557572727556678E-2</v>
      </c>
      <c r="F460" s="3254">
        <v>1.0511514545511337E-3</v>
      </c>
      <c r="G460" s="78"/>
      <c r="H460" t="s">
        <v>1892</v>
      </c>
    </row>
    <row r="461" spans="1:8" ht="12.75" hidden="1" customHeight="1" outlineLevel="1" x14ac:dyDescent="0.25">
      <c r="A461" s="2380">
        <v>0.03</v>
      </c>
      <c r="B461" s="2461" t="s">
        <v>5631</v>
      </c>
      <c r="C461" s="2519">
        <v>724.4</v>
      </c>
      <c r="D461" s="3252">
        <v>925.9</v>
      </c>
      <c r="E461" s="3253">
        <v>0.27816123688569849</v>
      </c>
      <c r="F461" s="3254">
        <v>8.3448371065709542E-3</v>
      </c>
      <c r="G461" s="78"/>
      <c r="H461" t="s">
        <v>5632</v>
      </c>
    </row>
    <row r="462" spans="1:8" ht="12.75" hidden="1" customHeight="1" outlineLevel="1" x14ac:dyDescent="0.25">
      <c r="A462" s="2380">
        <v>0.02</v>
      </c>
      <c r="B462" s="2461" t="s">
        <v>247</v>
      </c>
      <c r="C462" s="2108">
        <v>2412.35</v>
      </c>
      <c r="D462" s="3252">
        <v>3062</v>
      </c>
      <c r="E462" s="3253">
        <v>0.26930171824154869</v>
      </c>
      <c r="F462" s="3254">
        <v>5.3860343648309741E-3</v>
      </c>
      <c r="G462" s="78"/>
      <c r="H462" t="s">
        <v>3640</v>
      </c>
    </row>
    <row r="463" spans="1:8" ht="12.75" hidden="1" customHeight="1" outlineLevel="1" x14ac:dyDescent="0.25">
      <c r="A463" s="2380">
        <v>0.08</v>
      </c>
      <c r="B463" s="2461" t="s">
        <v>5164</v>
      </c>
      <c r="C463" s="2108">
        <v>1637</v>
      </c>
      <c r="D463" s="3252">
        <v>2499.5</v>
      </c>
      <c r="E463" s="3253">
        <v>0.52687843616371421</v>
      </c>
      <c r="F463" s="3254">
        <v>4.2150274893097139E-2</v>
      </c>
      <c r="G463" s="78"/>
      <c r="H463" t="s">
        <v>5162</v>
      </c>
    </row>
    <row r="464" spans="1:8" ht="12.75" hidden="1" customHeight="1" outlineLevel="1" x14ac:dyDescent="0.25">
      <c r="A464" s="2380">
        <v>0.08</v>
      </c>
      <c r="B464" s="2461" t="s">
        <v>3528</v>
      </c>
      <c r="C464" s="2108">
        <v>2623.8999999999996</v>
      </c>
      <c r="D464" s="3252">
        <v>1565.5</v>
      </c>
      <c r="E464" s="3253">
        <v>-0.40336903083196762</v>
      </c>
      <c r="F464" s="3254">
        <v>-3.2269522466557413E-2</v>
      </c>
      <c r="G464" s="78"/>
      <c r="H464" t="s">
        <v>3529</v>
      </c>
    </row>
    <row r="465" spans="1:8" ht="12.75" hidden="1" customHeight="1" outlineLevel="1" x14ac:dyDescent="0.25">
      <c r="A465" s="2380">
        <v>0.02</v>
      </c>
      <c r="B465" s="2461" t="s">
        <v>7511</v>
      </c>
      <c r="C465" s="2108">
        <v>1635.7</v>
      </c>
      <c r="D465" s="3252">
        <v>1013</v>
      </c>
      <c r="E465" s="3253">
        <v>-0.38069328116402767</v>
      </c>
      <c r="F465" s="3254">
        <v>-7.6138656232805539E-3</v>
      </c>
      <c r="G465" s="78"/>
      <c r="H465" t="s">
        <v>7509</v>
      </c>
    </row>
    <row r="466" spans="1:8" ht="12.75" hidden="1" customHeight="1" outlineLevel="1" x14ac:dyDescent="0.25">
      <c r="A466" s="2380">
        <v>0.02</v>
      </c>
      <c r="B466" s="2461" t="s">
        <v>7512</v>
      </c>
      <c r="C466" s="2108">
        <v>2806.6</v>
      </c>
      <c r="D466" s="3252">
        <v>1892</v>
      </c>
      <c r="E466" s="3253">
        <v>-0.32587472386517491</v>
      </c>
      <c r="F466" s="3254">
        <v>-6.5174944773034984E-3</v>
      </c>
      <c r="G466" s="78"/>
      <c r="H466" t="s">
        <v>7513</v>
      </c>
    </row>
    <row r="467" spans="1:8" ht="12.75" hidden="1" customHeight="1" outlineLevel="1" x14ac:dyDescent="0.25">
      <c r="A467" s="2380">
        <v>0.02</v>
      </c>
      <c r="B467" s="2461" t="s">
        <v>459</v>
      </c>
      <c r="C467" s="2108">
        <v>1171.2</v>
      </c>
      <c r="D467" s="3252">
        <v>630.9</v>
      </c>
      <c r="E467" s="3253">
        <v>-0.46132172131147542</v>
      </c>
      <c r="F467" s="3254">
        <v>-9.2264344262295087E-3</v>
      </c>
      <c r="G467" s="78"/>
      <c r="H467" t="s">
        <v>639</v>
      </c>
    </row>
    <row r="468" spans="1:8" ht="12.75" hidden="1" customHeight="1" outlineLevel="1" x14ac:dyDescent="0.25">
      <c r="A468" s="2380">
        <v>0.02</v>
      </c>
      <c r="B468" s="2461" t="s">
        <v>7517</v>
      </c>
      <c r="C468" s="2108">
        <v>1785</v>
      </c>
      <c r="D468" s="3252">
        <v>1766</v>
      </c>
      <c r="E468" s="3253">
        <v>-1.0644257703081195E-2</v>
      </c>
      <c r="F468" s="3254">
        <v>-2.128851540616239E-4</v>
      </c>
      <c r="G468" s="78"/>
      <c r="H468" t="s">
        <v>7515</v>
      </c>
    </row>
    <row r="469" spans="1:8" ht="12.75" hidden="1" customHeight="1" outlineLevel="1" x14ac:dyDescent="0.25">
      <c r="A469" s="2380">
        <v>0.02</v>
      </c>
      <c r="B469" s="2461" t="s">
        <v>7520</v>
      </c>
      <c r="C469" s="2108">
        <v>8643.7000000000007</v>
      </c>
      <c r="D469" s="3252">
        <v>8100</v>
      </c>
      <c r="E469" s="3253">
        <v>-6.2901303839790867E-2</v>
      </c>
      <c r="F469" s="3254">
        <v>-1.2580260767958173E-3</v>
      </c>
      <c r="G469" s="78"/>
      <c r="H469" t="s">
        <v>7518</v>
      </c>
    </row>
    <row r="470" spans="1:8" ht="12.75" hidden="1" customHeight="1" outlineLevel="1" x14ac:dyDescent="0.25">
      <c r="A470" s="2380">
        <v>0.02</v>
      </c>
      <c r="B470" s="2461" t="s">
        <v>7521</v>
      </c>
      <c r="C470" s="2108">
        <v>858.08</v>
      </c>
      <c r="D470" s="3252">
        <v>548.1</v>
      </c>
      <c r="E470" s="3253">
        <v>-0.36124836845049413</v>
      </c>
      <c r="F470" s="3254">
        <v>-7.2249673690098831E-3</v>
      </c>
      <c r="G470" s="78"/>
      <c r="H470" t="s">
        <v>7522</v>
      </c>
    </row>
    <row r="471" spans="1:8" ht="12.75" hidden="1" customHeight="1" outlineLevel="1" x14ac:dyDescent="0.25">
      <c r="A471" s="2380">
        <v>0.05</v>
      </c>
      <c r="B471" s="2461" t="s">
        <v>4273</v>
      </c>
      <c r="C471" s="2108">
        <v>2753.85</v>
      </c>
      <c r="D471" s="3252">
        <v>3880</v>
      </c>
      <c r="E471" s="3253">
        <v>0.4089365796975144</v>
      </c>
      <c r="F471" s="3254">
        <v>2.0446828984875723E-2</v>
      </c>
      <c r="G471" s="78"/>
      <c r="H471" t="s">
        <v>82</v>
      </c>
    </row>
    <row r="472" spans="1:8" ht="12.75" hidden="1" customHeight="1" outlineLevel="1" x14ac:dyDescent="0.25">
      <c r="A472" s="2380">
        <v>0.02</v>
      </c>
      <c r="B472" s="2461" t="s">
        <v>7524</v>
      </c>
      <c r="C472" s="2108">
        <v>1424.1</v>
      </c>
      <c r="D472" s="3252">
        <v>1305.5</v>
      </c>
      <c r="E472" s="3253">
        <v>-8.3280668492381138E-2</v>
      </c>
      <c r="F472" s="3254">
        <v>-1.6656133698476228E-3</v>
      </c>
      <c r="G472" s="78"/>
      <c r="H472" t="s">
        <v>1556</v>
      </c>
    </row>
    <row r="473" spans="1:8" ht="12.75" hidden="1" customHeight="1" outlineLevel="1" x14ac:dyDescent="0.25">
      <c r="A473" s="2380">
        <v>0.02</v>
      </c>
      <c r="B473" s="2461" t="s">
        <v>7525</v>
      </c>
      <c r="C473" s="2108">
        <v>1161.95</v>
      </c>
      <c r="D473" s="3252">
        <v>1191</v>
      </c>
      <c r="E473" s="3253">
        <v>2.5001075777787207E-2</v>
      </c>
      <c r="F473" s="3254">
        <v>5.0002151555574416E-4</v>
      </c>
      <c r="G473" s="78"/>
      <c r="H473" t="s">
        <v>7526</v>
      </c>
    </row>
    <row r="474" spans="1:8" ht="12.75" hidden="1" customHeight="1" outlineLevel="1" x14ac:dyDescent="0.25">
      <c r="A474" s="2380">
        <v>0.02</v>
      </c>
      <c r="B474" s="2461" t="s">
        <v>7530</v>
      </c>
      <c r="C474" s="2108">
        <v>1955.15</v>
      </c>
      <c r="D474" s="3252">
        <v>2160.5</v>
      </c>
      <c r="E474" s="3253">
        <v>0.10503030458021123</v>
      </c>
      <c r="F474" s="3254">
        <v>2.1006060916042247E-3</v>
      </c>
      <c r="G474" s="78"/>
      <c r="H474" t="s">
        <v>7528</v>
      </c>
    </row>
    <row r="475" spans="1:8" ht="12.75" hidden="1" customHeight="1" outlineLevel="1" x14ac:dyDescent="0.25">
      <c r="A475" s="2380">
        <v>0.02</v>
      </c>
      <c r="B475" s="2461" t="s">
        <v>2773</v>
      </c>
      <c r="C475" s="2108">
        <v>5799.9</v>
      </c>
      <c r="D475" s="3252">
        <v>4868</v>
      </c>
      <c r="E475" s="3253">
        <v>-0.16067518405489745</v>
      </c>
      <c r="F475" s="3254">
        <v>-3.2135036810979488E-3</v>
      </c>
      <c r="G475" s="78"/>
      <c r="H475" t="s">
        <v>2707</v>
      </c>
    </row>
    <row r="476" spans="1:8" ht="12.75" hidden="1" customHeight="1" outlineLevel="1" x14ac:dyDescent="0.25">
      <c r="A476" s="2380">
        <v>0.08</v>
      </c>
      <c r="B476" s="2461" t="s">
        <v>5168</v>
      </c>
      <c r="C476" s="2108">
        <v>1380.8</v>
      </c>
      <c r="D476" s="3252">
        <v>1483</v>
      </c>
      <c r="E476" s="3253">
        <v>7.4015063731170283E-2</v>
      </c>
      <c r="F476" s="3254">
        <v>5.9212050984936227E-3</v>
      </c>
      <c r="G476" s="78"/>
      <c r="H476" t="s">
        <v>5170</v>
      </c>
    </row>
    <row r="477" spans="1:8" ht="12.75" hidden="1" customHeight="1" outlineLevel="1" x14ac:dyDescent="0.25">
      <c r="A477" s="2380">
        <v>0.02</v>
      </c>
      <c r="B477" s="2461" t="s">
        <v>7532</v>
      </c>
      <c r="C477" s="2108">
        <v>3744.8</v>
      </c>
      <c r="D477" s="3252">
        <v>4700</v>
      </c>
      <c r="E477" s="3253">
        <v>0.25507370220038439</v>
      </c>
      <c r="F477" s="3254">
        <v>5.1014740440076881E-3</v>
      </c>
      <c r="G477" s="78"/>
      <c r="H477" t="s">
        <v>7531</v>
      </c>
    </row>
    <row r="478" spans="1:8" ht="12.75" hidden="1" customHeight="1" outlineLevel="1" x14ac:dyDescent="0.25">
      <c r="A478" s="2380">
        <v>0.02</v>
      </c>
      <c r="B478" s="2461" t="s">
        <v>3551</v>
      </c>
      <c r="C478" s="2108">
        <v>7978.5</v>
      </c>
      <c r="D478" s="3255">
        <v>9805</v>
      </c>
      <c r="E478" s="3256">
        <v>0.22892774331014598</v>
      </c>
      <c r="F478" s="3257">
        <v>4.5785548662029196E-3</v>
      </c>
      <c r="G478" s="78"/>
      <c r="H478" t="s">
        <v>2806</v>
      </c>
    </row>
    <row r="479" spans="1:8" ht="12.75" hidden="1" customHeight="1" outlineLevel="1" x14ac:dyDescent="0.25">
      <c r="A479" s="2181" t="s">
        <v>2734</v>
      </c>
      <c r="B479" s="2103"/>
      <c r="C479" s="3258"/>
      <c r="D479" s="3259"/>
      <c r="E479" s="3260"/>
      <c r="F479" s="3260">
        <v>0.11089915342681426</v>
      </c>
      <c r="G479" s="78"/>
    </row>
    <row r="480" spans="1:8" ht="12.75" hidden="1" customHeight="1" outlineLevel="1" x14ac:dyDescent="0.25">
      <c r="A480" s="1956" t="s">
        <v>7476</v>
      </c>
      <c r="B480" s="2185">
        <v>44044</v>
      </c>
      <c r="C480" s="3261">
        <v>100</v>
      </c>
      <c r="D480" s="3261">
        <v>103.81910000000001</v>
      </c>
      <c r="E480" s="3262">
        <v>3.8191000000000086E-2</v>
      </c>
      <c r="F480" s="3263"/>
      <c r="G480" s="78"/>
    </row>
    <row r="481" spans="1:7" ht="12.75" hidden="1" customHeight="1" outlineLevel="1" x14ac:dyDescent="0.25">
      <c r="A481" s="1956" t="s">
        <v>7477</v>
      </c>
      <c r="B481" s="2185">
        <v>44075</v>
      </c>
      <c r="C481" s="3261">
        <v>100</v>
      </c>
      <c r="D481" s="3264">
        <v>102.3887</v>
      </c>
      <c r="E481" s="3262">
        <v>2.3886999999999992E-2</v>
      </c>
      <c r="F481" s="3263"/>
      <c r="G481" s="78"/>
    </row>
    <row r="482" spans="1:7" ht="12.75" hidden="1" customHeight="1" outlineLevel="1" x14ac:dyDescent="0.25">
      <c r="A482" s="1956" t="s">
        <v>7478</v>
      </c>
      <c r="B482" s="2185">
        <v>44105</v>
      </c>
      <c r="C482" s="3261">
        <v>100</v>
      </c>
      <c r="D482" s="3264">
        <v>95.2547</v>
      </c>
      <c r="E482" s="3262">
        <v>-4.7452999999999967E-2</v>
      </c>
      <c r="F482" s="3263"/>
      <c r="G482" s="78"/>
    </row>
    <row r="483" spans="1:7" ht="12.75" hidden="1" customHeight="1" outlineLevel="1" x14ac:dyDescent="0.25">
      <c r="A483" s="1956" t="s">
        <v>7479</v>
      </c>
      <c r="B483" s="2185">
        <v>44136</v>
      </c>
      <c r="C483" s="3261">
        <v>100</v>
      </c>
      <c r="D483" s="3264">
        <v>109.10590000000001</v>
      </c>
      <c r="E483" s="3262">
        <v>9.1059000000000001E-2</v>
      </c>
      <c r="F483" s="3263"/>
      <c r="G483" s="78"/>
    </row>
    <row r="484" spans="1:7" ht="12.75" hidden="1" customHeight="1" outlineLevel="1" x14ac:dyDescent="0.25">
      <c r="A484" s="1956" t="s">
        <v>7480</v>
      </c>
      <c r="B484" s="2185">
        <v>44166</v>
      </c>
      <c r="C484" s="3261">
        <v>100</v>
      </c>
      <c r="D484" s="3264">
        <v>110.8758</v>
      </c>
      <c r="E484" s="3262">
        <v>0.10875799999999991</v>
      </c>
      <c r="F484" s="3263"/>
      <c r="G484" s="78"/>
    </row>
    <row r="485" spans="1:7" ht="12.75" hidden="1" customHeight="1" outlineLevel="1" x14ac:dyDescent="0.25">
      <c r="A485" s="1956" t="s">
        <v>7481</v>
      </c>
      <c r="B485" s="2185">
        <v>44197</v>
      </c>
      <c r="C485" s="3261">
        <v>100</v>
      </c>
      <c r="D485" s="3264">
        <v>111.69410000000001</v>
      </c>
      <c r="E485" s="3262">
        <v>0.11694099999999996</v>
      </c>
      <c r="F485" s="3263"/>
      <c r="G485" s="78"/>
    </row>
    <row r="486" spans="1:7" ht="12.75" hidden="1" customHeight="1" outlineLevel="1" x14ac:dyDescent="0.25">
      <c r="A486" s="1956" t="s">
        <v>7482</v>
      </c>
      <c r="B486" s="2185">
        <v>44228</v>
      </c>
      <c r="C486" s="3261">
        <v>100</v>
      </c>
      <c r="D486" s="3264">
        <v>114.3128</v>
      </c>
      <c r="E486" s="3262">
        <v>0.14312799999999992</v>
      </c>
      <c r="F486" s="3263"/>
      <c r="G486" s="78"/>
    </row>
    <row r="487" spans="1:7" ht="12.75" hidden="1" customHeight="1" outlineLevel="1" x14ac:dyDescent="0.25">
      <c r="A487" s="1956" t="s">
        <v>7483</v>
      </c>
      <c r="B487" s="2185">
        <v>44256</v>
      </c>
      <c r="C487" s="3261">
        <v>100</v>
      </c>
      <c r="D487" s="3264">
        <v>121.6341</v>
      </c>
      <c r="E487" s="3262">
        <v>0.21634100000000012</v>
      </c>
      <c r="F487" s="3263"/>
      <c r="G487" s="78"/>
    </row>
    <row r="488" spans="1:7" ht="12.75" hidden="1" customHeight="1" outlineLevel="1" x14ac:dyDescent="0.25">
      <c r="A488" s="1956" t="s">
        <v>7484</v>
      </c>
      <c r="B488" s="2185">
        <v>44287</v>
      </c>
      <c r="C488" s="3261">
        <v>100</v>
      </c>
      <c r="D488" s="3264">
        <v>115.6122</v>
      </c>
      <c r="E488" s="3262">
        <v>0.15612200000000009</v>
      </c>
      <c r="F488" s="3263"/>
      <c r="G488" s="78"/>
    </row>
    <row r="489" spans="1:7" ht="12.75" hidden="1" customHeight="1" outlineLevel="1" x14ac:dyDescent="0.25">
      <c r="A489" s="1956" t="s">
        <v>7485</v>
      </c>
      <c r="B489" s="2185">
        <v>44317</v>
      </c>
      <c r="C489" s="3261">
        <v>100</v>
      </c>
      <c r="D489" s="3264">
        <v>116.3027</v>
      </c>
      <c r="E489" s="3262">
        <v>0.16302700000000003</v>
      </c>
      <c r="F489" s="3263"/>
      <c r="G489" s="78"/>
    </row>
    <row r="490" spans="1:7" ht="12.75" hidden="1" customHeight="1" outlineLevel="1" x14ac:dyDescent="0.25">
      <c r="A490" s="1956" t="s">
        <v>7486</v>
      </c>
      <c r="B490" s="2185">
        <v>44348</v>
      </c>
      <c r="C490" s="3261">
        <v>100</v>
      </c>
      <c r="D490" s="3264">
        <v>115.753</v>
      </c>
      <c r="E490" s="3262">
        <v>0.15752999999999995</v>
      </c>
      <c r="F490" s="3263"/>
      <c r="G490" s="78"/>
    </row>
    <row r="491" spans="1:7" ht="12.75" hidden="1" customHeight="1" outlineLevel="1" x14ac:dyDescent="0.25">
      <c r="A491" s="1956" t="s">
        <v>7487</v>
      </c>
      <c r="B491" s="2185">
        <v>44378</v>
      </c>
      <c r="C491" s="3261">
        <v>100</v>
      </c>
      <c r="D491" s="3264">
        <v>111.6199</v>
      </c>
      <c r="E491" s="3262">
        <v>0.11619899999999994</v>
      </c>
      <c r="F491" s="3263"/>
      <c r="G491" s="78"/>
    </row>
    <row r="492" spans="1:7" ht="12.75" hidden="1" customHeight="1" outlineLevel="1" x14ac:dyDescent="0.25">
      <c r="A492" s="2189" t="s">
        <v>2734</v>
      </c>
      <c r="B492" s="2190"/>
      <c r="C492" s="3264"/>
      <c r="D492" s="2191" t="s">
        <v>2465</v>
      </c>
      <c r="E492" s="1987">
        <v>0.1069775</v>
      </c>
      <c r="F492" s="2528">
        <v>0.1069775</v>
      </c>
      <c r="G492" s="78"/>
    </row>
    <row r="493" spans="1:7" collapsed="1" x14ac:dyDescent="0.25">
      <c r="A493" s="3801" t="s">
        <v>7533</v>
      </c>
      <c r="B493" s="3802"/>
      <c r="C493" s="3802"/>
      <c r="D493" s="3802"/>
      <c r="E493" s="1906"/>
      <c r="F493" s="1907">
        <v>0.1069775</v>
      </c>
      <c r="G493" s="78"/>
    </row>
    <row r="495" spans="1:7" ht="12.75" hidden="1" customHeight="1" outlineLevel="1" x14ac:dyDescent="0.25">
      <c r="A495" s="3219" t="s">
        <v>113</v>
      </c>
      <c r="B495" s="3219" t="s">
        <v>114</v>
      </c>
      <c r="C495" s="3219" t="s">
        <v>112</v>
      </c>
      <c r="D495" s="3219" t="s">
        <v>116</v>
      </c>
      <c r="E495" s="3219" t="s">
        <v>117</v>
      </c>
      <c r="F495" s="3219" t="s">
        <v>121</v>
      </c>
      <c r="G495" s="78"/>
    </row>
    <row r="496" spans="1:7" ht="12.75" hidden="1" customHeight="1" outlineLevel="1" x14ac:dyDescent="0.25">
      <c r="A496" s="3303">
        <v>1</v>
      </c>
      <c r="B496" s="3304" t="s">
        <v>252</v>
      </c>
      <c r="C496" s="3305">
        <v>100</v>
      </c>
      <c r="D496" s="3305"/>
      <c r="E496" s="3306"/>
      <c r="F496" s="3307"/>
      <c r="G496" s="78"/>
    </row>
    <row r="497" spans="1:14" ht="12.75" hidden="1" customHeight="1" outlineLevel="1" x14ac:dyDescent="0.25">
      <c r="A497" s="3308" t="s">
        <v>2734</v>
      </c>
      <c r="B497" s="3308"/>
      <c r="C497" s="3309"/>
      <c r="D497" s="3310" t="s">
        <v>3702</v>
      </c>
      <c r="E497" s="3311">
        <v>44243</v>
      </c>
      <c r="F497" s="3312"/>
      <c r="G497" s="78"/>
    </row>
    <row r="498" spans="1:14" ht="12.75" hidden="1" customHeight="1" outlineLevel="1" x14ac:dyDescent="0.25">
      <c r="A498" s="3219" t="s">
        <v>4156</v>
      </c>
      <c r="B498" s="3219" t="s">
        <v>4153</v>
      </c>
      <c r="C498" s="3221" t="s">
        <v>112</v>
      </c>
      <c r="D498" s="3222" t="s">
        <v>4155</v>
      </c>
      <c r="E498" s="3222" t="s">
        <v>4154</v>
      </c>
      <c r="F498" s="3222" t="s">
        <v>2519</v>
      </c>
      <c r="G498" s="78"/>
    </row>
    <row r="499" spans="1:14" ht="12.75" hidden="1" customHeight="1" outlineLevel="1" x14ac:dyDescent="0.25">
      <c r="A499" s="3313">
        <v>0.08</v>
      </c>
      <c r="B499" s="3314" t="s">
        <v>10436</v>
      </c>
      <c r="C499" s="3315">
        <v>13.747599819650668</v>
      </c>
      <c r="D499" s="3341">
        <v>18.363499999999998</v>
      </c>
      <c r="E499" s="3342">
        <v>0.33576044116089365</v>
      </c>
      <c r="F499" s="3318">
        <v>2.6860835292871494E-2</v>
      </c>
      <c r="G499" s="78"/>
      <c r="H499" t="s">
        <v>10437</v>
      </c>
      <c r="I499" s="1544" t="s">
        <v>8086</v>
      </c>
      <c r="L499" s="434"/>
      <c r="N499" s="434"/>
    </row>
    <row r="500" spans="1:14" ht="12.75" hidden="1" customHeight="1" outlineLevel="1" x14ac:dyDescent="0.25">
      <c r="A500" s="3319">
        <v>0.02</v>
      </c>
      <c r="B500" s="3314" t="s">
        <v>2917</v>
      </c>
      <c r="C500" s="3315">
        <v>66.710999999999999</v>
      </c>
      <c r="D500" s="3343">
        <v>288.89999999999998</v>
      </c>
      <c r="E500" s="3344">
        <v>3.3306201376084905</v>
      </c>
      <c r="F500" s="3321">
        <v>6.6612402752169814E-2</v>
      </c>
      <c r="G500" s="78"/>
      <c r="H500" t="s">
        <v>2929</v>
      </c>
      <c r="I500" s="1544">
        <v>103.71169999999999</v>
      </c>
      <c r="L500" s="434"/>
      <c r="N500" s="434"/>
    </row>
    <row r="501" spans="1:14" ht="12.75" hidden="1" customHeight="1" outlineLevel="1" x14ac:dyDescent="0.25">
      <c r="A501" s="3319">
        <v>0.02</v>
      </c>
      <c r="B501" s="3314" t="s">
        <v>3320</v>
      </c>
      <c r="C501" s="3315">
        <v>96.734999999999999</v>
      </c>
      <c r="D501" s="3343">
        <v>47.46</v>
      </c>
      <c r="E501" s="3344">
        <v>-0.50938129942626764</v>
      </c>
      <c r="F501" s="3321">
        <v>-1.0187625988525352E-2</v>
      </c>
      <c r="G501" s="78"/>
      <c r="H501" t="s">
        <v>4093</v>
      </c>
      <c r="L501" s="434"/>
      <c r="N501" s="434"/>
    </row>
    <row r="502" spans="1:14" ht="12.75" hidden="1" customHeight="1" outlineLevel="1" x14ac:dyDescent="0.25">
      <c r="A502" s="3319">
        <v>0.04</v>
      </c>
      <c r="B502" s="3314" t="s">
        <v>7407</v>
      </c>
      <c r="C502" s="3315">
        <v>35.000999999999998</v>
      </c>
      <c r="D502" s="3343">
        <v>29.5</v>
      </c>
      <c r="E502" s="3344">
        <v>-0.15716693808748317</v>
      </c>
      <c r="F502" s="3321">
        <v>-6.2866775234993264E-3</v>
      </c>
      <c r="G502" s="78"/>
      <c r="H502" t="s">
        <v>7408</v>
      </c>
      <c r="I502" s="412" t="s">
        <v>8087</v>
      </c>
      <c r="L502" s="434"/>
      <c r="N502" s="434"/>
    </row>
    <row r="503" spans="1:14" ht="12.75" hidden="1" customHeight="1" outlineLevel="1" x14ac:dyDescent="0.25">
      <c r="A503" s="3319">
        <v>0.02</v>
      </c>
      <c r="B503" s="3314" t="s">
        <v>2467</v>
      </c>
      <c r="C503" s="3315">
        <v>34.143000000000001</v>
      </c>
      <c r="D503" s="3343">
        <v>33.56</v>
      </c>
      <c r="E503" s="3344">
        <v>-1.7075242363002618E-2</v>
      </c>
      <c r="F503" s="3321">
        <v>-3.4150484726005239E-4</v>
      </c>
      <c r="G503" s="78"/>
      <c r="H503" t="s">
        <v>2468</v>
      </c>
      <c r="L503" s="434"/>
      <c r="N503" s="434"/>
    </row>
    <row r="504" spans="1:14" ht="12.75" hidden="1" customHeight="1" outlineLevel="1" x14ac:dyDescent="0.25">
      <c r="A504" s="3319">
        <v>0.03</v>
      </c>
      <c r="B504" s="3314" t="s">
        <v>7553</v>
      </c>
      <c r="C504" s="3315">
        <v>51.146000000000001</v>
      </c>
      <c r="D504" s="3343">
        <v>26.58</v>
      </c>
      <c r="E504" s="3344">
        <v>-0.48031126578813599</v>
      </c>
      <c r="F504" s="3321">
        <v>-1.440933797364408E-2</v>
      </c>
      <c r="G504" s="78"/>
      <c r="H504" t="s">
        <v>7551</v>
      </c>
      <c r="L504" s="434"/>
      <c r="N504" s="434"/>
    </row>
    <row r="505" spans="1:14" ht="12.75" hidden="1" customHeight="1" outlineLevel="1" x14ac:dyDescent="0.25">
      <c r="A505" s="3319">
        <v>0.02</v>
      </c>
      <c r="B505" s="3314" t="s">
        <v>1528</v>
      </c>
      <c r="C505" s="3315">
        <v>143.15279222885334</v>
      </c>
      <c r="D505" s="3343">
        <v>525</v>
      </c>
      <c r="E505" s="3344">
        <v>2.6674101274999997</v>
      </c>
      <c r="F505" s="3321">
        <v>5.3348202549999994E-2</v>
      </c>
      <c r="G505" s="78"/>
      <c r="H505" t="s">
        <v>4149</v>
      </c>
      <c r="L505" s="434"/>
      <c r="N505" s="434"/>
    </row>
    <row r="506" spans="1:14" ht="12.75" hidden="1" customHeight="1" outlineLevel="1" x14ac:dyDescent="0.25">
      <c r="A506" s="3319">
        <v>0.06</v>
      </c>
      <c r="B506" s="3314" t="s">
        <v>1441</v>
      </c>
      <c r="C506" s="3315">
        <v>11.786</v>
      </c>
      <c r="D506" s="3343">
        <v>12.285</v>
      </c>
      <c r="E506" s="3344">
        <v>4.2338367554725975E-2</v>
      </c>
      <c r="F506" s="3321">
        <v>2.5403020532835585E-3</v>
      </c>
      <c r="G506" s="78"/>
      <c r="H506" t="s">
        <v>1978</v>
      </c>
      <c r="L506" s="434"/>
      <c r="N506" s="434"/>
    </row>
    <row r="507" spans="1:14" ht="12.75" hidden="1" customHeight="1" outlineLevel="1" x14ac:dyDescent="0.25">
      <c r="A507" s="3319">
        <v>0.03</v>
      </c>
      <c r="B507" s="3314" t="s">
        <v>7316</v>
      </c>
      <c r="C507" s="3315">
        <v>45.1815</v>
      </c>
      <c r="D507" s="3343">
        <v>136.55000000000001</v>
      </c>
      <c r="E507" s="3344">
        <v>2.022254683886104</v>
      </c>
      <c r="F507" s="3321">
        <v>6.0667640516583118E-2</v>
      </c>
      <c r="G507" s="78"/>
      <c r="H507" t="s">
        <v>3309</v>
      </c>
      <c r="L507" s="434"/>
      <c r="N507" s="434"/>
    </row>
    <row r="508" spans="1:14" ht="12.75" hidden="1" customHeight="1" outlineLevel="1" x14ac:dyDescent="0.25">
      <c r="A508" s="3319">
        <v>0.03</v>
      </c>
      <c r="B508" s="3314" t="s">
        <v>7227</v>
      </c>
      <c r="C508" s="3315">
        <v>14.858173643646916</v>
      </c>
      <c r="D508" s="3343">
        <v>12.085000000000001</v>
      </c>
      <c r="E508" s="3344">
        <v>-0.18664296905916655</v>
      </c>
      <c r="F508" s="3321">
        <v>-5.599289071774996E-3</v>
      </c>
      <c r="G508" s="78"/>
      <c r="H508" t="s">
        <v>7229</v>
      </c>
      <c r="L508" s="434"/>
      <c r="N508" s="434"/>
    </row>
    <row r="509" spans="1:14" ht="12.75" hidden="1" customHeight="1" outlineLevel="1" x14ac:dyDescent="0.25">
      <c r="A509" s="3319">
        <v>0.08</v>
      </c>
      <c r="B509" s="3314" t="s">
        <v>7557</v>
      </c>
      <c r="C509" s="3315">
        <v>27.404499999999999</v>
      </c>
      <c r="D509" s="3343">
        <v>9.9879999999999995</v>
      </c>
      <c r="E509" s="3344">
        <v>-0.63553431005856709</v>
      </c>
      <c r="F509" s="3321">
        <v>-5.0842744804685369E-2</v>
      </c>
      <c r="G509" s="78"/>
      <c r="H509" t="s">
        <v>7558</v>
      </c>
      <c r="L509" s="434"/>
      <c r="N509" s="434"/>
    </row>
    <row r="510" spans="1:14" ht="12.75" hidden="1" customHeight="1" outlineLevel="1" x14ac:dyDescent="0.25">
      <c r="A510" s="3319">
        <v>0.02</v>
      </c>
      <c r="B510" s="3314" t="s">
        <v>7562</v>
      </c>
      <c r="C510" s="3315">
        <v>8.9766999999999992</v>
      </c>
      <c r="D510" s="3343">
        <v>9.2840000000000007</v>
      </c>
      <c r="E510" s="3344">
        <v>3.4233070059153325E-2</v>
      </c>
      <c r="F510" s="3321">
        <v>6.8466140118306651E-4</v>
      </c>
      <c r="G510" s="78"/>
      <c r="H510" t="s">
        <v>7560</v>
      </c>
      <c r="L510" s="434"/>
      <c r="N510" s="434"/>
    </row>
    <row r="511" spans="1:14" ht="12.75" hidden="1" customHeight="1" outlineLevel="1" x14ac:dyDescent="0.25">
      <c r="A511" s="3319">
        <v>0.05</v>
      </c>
      <c r="B511" s="3314" t="s">
        <v>9767</v>
      </c>
      <c r="C511" s="3322">
        <v>17.767499999999998</v>
      </c>
      <c r="D511" s="3343">
        <v>20.71</v>
      </c>
      <c r="E511" s="3344">
        <v>0.16561136907274543</v>
      </c>
      <c r="F511" s="3321">
        <v>8.2805684536372721E-3</v>
      </c>
      <c r="G511" s="78"/>
      <c r="H511" t="s">
        <v>9768</v>
      </c>
      <c r="L511" s="434"/>
      <c r="N511" s="434"/>
    </row>
    <row r="512" spans="1:14" ht="12.75" hidden="1" customHeight="1" outlineLevel="1" x14ac:dyDescent="0.25">
      <c r="A512" s="3319">
        <v>0.02</v>
      </c>
      <c r="B512" s="3314" t="s">
        <v>1031</v>
      </c>
      <c r="C512" s="3315">
        <v>5.8861999999999997</v>
      </c>
      <c r="D512" s="3343">
        <v>10.425000000000001</v>
      </c>
      <c r="E512" s="3344">
        <v>0.77109170602426036</v>
      </c>
      <c r="F512" s="3321">
        <v>1.5421834120485207E-2</v>
      </c>
      <c r="G512" s="78"/>
      <c r="H512" t="s">
        <v>7872</v>
      </c>
      <c r="L512" s="434"/>
      <c r="N512" s="434"/>
    </row>
    <row r="513" spans="1:14" ht="12.75" hidden="1" customHeight="1" outlineLevel="1" x14ac:dyDescent="0.25">
      <c r="A513" s="3319">
        <v>0.03</v>
      </c>
      <c r="B513" s="3314" t="s">
        <v>6450</v>
      </c>
      <c r="C513" s="3315">
        <v>136.36479422470734</v>
      </c>
      <c r="D513" s="3343">
        <v>524.9</v>
      </c>
      <c r="E513" s="3344">
        <v>2.8492339828933329</v>
      </c>
      <c r="F513" s="3321">
        <v>8.5477019486799977E-2</v>
      </c>
      <c r="G513" s="78"/>
      <c r="H513" t="s">
        <v>6448</v>
      </c>
      <c r="L513" s="434"/>
      <c r="N513" s="434"/>
    </row>
    <row r="514" spans="1:14" ht="12.75" hidden="1" customHeight="1" outlineLevel="1" x14ac:dyDescent="0.25">
      <c r="A514" s="3319">
        <v>0.03</v>
      </c>
      <c r="B514" s="3314" t="s">
        <v>6742</v>
      </c>
      <c r="C514" s="3315">
        <v>34.814</v>
      </c>
      <c r="D514" s="3343">
        <v>66.08</v>
      </c>
      <c r="E514" s="3344">
        <v>0.89808697650370539</v>
      </c>
      <c r="F514" s="3321">
        <v>2.6942609295111161E-2</v>
      </c>
      <c r="G514" s="78"/>
      <c r="H514" t="s">
        <v>6743</v>
      </c>
      <c r="L514" s="434"/>
      <c r="N514" s="434"/>
    </row>
    <row r="515" spans="1:14" ht="12.75" hidden="1" customHeight="1" outlineLevel="1" x14ac:dyDescent="0.25">
      <c r="A515" s="3319">
        <v>0.02</v>
      </c>
      <c r="B515" s="3314" t="s">
        <v>6082</v>
      </c>
      <c r="C515" s="3315">
        <v>17.623026038575215</v>
      </c>
      <c r="D515" s="3343">
        <v>21.84</v>
      </c>
      <c r="E515" s="3344">
        <v>0.23928773368400003</v>
      </c>
      <c r="F515" s="3321">
        <v>4.7857546736800004E-3</v>
      </c>
      <c r="G515" s="78"/>
      <c r="H515" t="s">
        <v>8151</v>
      </c>
      <c r="L515" s="434"/>
      <c r="N515" s="434"/>
    </row>
    <row r="516" spans="1:14" ht="12.75" hidden="1" customHeight="1" outlineLevel="1" x14ac:dyDescent="0.25">
      <c r="A516" s="3319">
        <v>0.02</v>
      </c>
      <c r="B516" s="3314" t="s">
        <v>7547</v>
      </c>
      <c r="C516" s="3315">
        <v>97.003246688966357</v>
      </c>
      <c r="D516" s="3343">
        <v>204.2</v>
      </c>
      <c r="E516" s="3344">
        <v>1.10508417986</v>
      </c>
      <c r="F516" s="3321">
        <v>2.2101683597199998E-2</v>
      </c>
      <c r="G516" s="78"/>
      <c r="H516" t="s">
        <v>2388</v>
      </c>
      <c r="L516" s="434"/>
      <c r="N516" s="434"/>
    </row>
    <row r="517" spans="1:14" ht="12.75" hidden="1" customHeight="1" outlineLevel="1" x14ac:dyDescent="0.25">
      <c r="A517" s="3319">
        <v>0.08</v>
      </c>
      <c r="B517" s="3314" t="s">
        <v>1772</v>
      </c>
      <c r="C517" s="3315">
        <v>165.815</v>
      </c>
      <c r="D517" s="3343">
        <v>243</v>
      </c>
      <c r="E517" s="3344">
        <v>0.46548864698609904</v>
      </c>
      <c r="F517" s="3321">
        <v>3.7239091758887927E-2</v>
      </c>
      <c r="G517" s="78"/>
      <c r="H517" t="s">
        <v>4330</v>
      </c>
      <c r="L517" s="434"/>
      <c r="N517" s="434"/>
    </row>
    <row r="518" spans="1:14" ht="12.75" hidden="1" customHeight="1" outlineLevel="1" x14ac:dyDescent="0.25">
      <c r="A518" s="3319">
        <v>0.02</v>
      </c>
      <c r="B518" s="3314" t="s">
        <v>818</v>
      </c>
      <c r="C518" s="3315">
        <v>62.091999999999999</v>
      </c>
      <c r="D518" s="3343">
        <v>48.54</v>
      </c>
      <c r="E518" s="3344">
        <v>-0.21825678026154738</v>
      </c>
      <c r="F518" s="3321">
        <v>-4.3651356052309478E-3</v>
      </c>
      <c r="G518" s="78"/>
      <c r="H518" t="s">
        <v>2421</v>
      </c>
      <c r="L518" s="434"/>
      <c r="N518" s="434"/>
    </row>
    <row r="519" spans="1:14" ht="12.75" hidden="1" customHeight="1" outlineLevel="1" x14ac:dyDescent="0.25">
      <c r="A519" s="3319">
        <v>0.02</v>
      </c>
      <c r="B519" s="3314" t="s">
        <v>54</v>
      </c>
      <c r="C519" s="3315">
        <v>11.395</v>
      </c>
      <c r="D519" s="3343">
        <v>10.414999999999999</v>
      </c>
      <c r="E519" s="3344">
        <v>-8.600263273365516E-2</v>
      </c>
      <c r="F519" s="3321">
        <v>-1.7200526546731032E-3</v>
      </c>
      <c r="G519" s="78"/>
      <c r="H519" t="s">
        <v>6741</v>
      </c>
      <c r="L519" s="434"/>
      <c r="N519" s="434"/>
    </row>
    <row r="520" spans="1:14" ht="12.75" hidden="1" customHeight="1" outlineLevel="1" x14ac:dyDescent="0.25">
      <c r="A520" s="3319">
        <v>0.02</v>
      </c>
      <c r="B520" s="3314" t="s">
        <v>1187</v>
      </c>
      <c r="C520" s="3315">
        <v>88.563000000000002</v>
      </c>
      <c r="D520" s="3343">
        <v>75.8</v>
      </c>
      <c r="E520" s="3344">
        <v>-0.14411210099025562</v>
      </c>
      <c r="F520" s="3321">
        <v>-2.8822420198051125E-3</v>
      </c>
      <c r="G520" s="78"/>
      <c r="H520" t="s">
        <v>3483</v>
      </c>
      <c r="L520" s="434"/>
      <c r="N520" s="434"/>
    </row>
    <row r="521" spans="1:14" ht="12.75" hidden="1" customHeight="1" outlineLevel="1" x14ac:dyDescent="0.25">
      <c r="A521" s="3319">
        <v>0.02</v>
      </c>
      <c r="B521" s="3314" t="s">
        <v>1214</v>
      </c>
      <c r="C521" s="3315">
        <v>77.869890027430174</v>
      </c>
      <c r="D521" s="3343">
        <v>127.98</v>
      </c>
      <c r="E521" s="3344">
        <v>0.64351073251699997</v>
      </c>
      <c r="F521" s="3321">
        <v>1.287021465034E-2</v>
      </c>
      <c r="G521" s="78"/>
      <c r="H521" t="s">
        <v>3775</v>
      </c>
      <c r="L521" s="434"/>
      <c r="N521" s="434"/>
    </row>
    <row r="522" spans="1:14" ht="12.75" hidden="1" customHeight="1" outlineLevel="1" x14ac:dyDescent="0.25">
      <c r="A522" s="3319">
        <v>0.04</v>
      </c>
      <c r="B522" s="3314" t="s">
        <v>7563</v>
      </c>
      <c r="C522" s="3315">
        <v>75.722999999999999</v>
      </c>
      <c r="D522" s="3343">
        <v>79.22</v>
      </c>
      <c r="E522" s="3344">
        <v>4.6181477226206136E-2</v>
      </c>
      <c r="F522" s="3321">
        <v>1.8472590890482455E-3</v>
      </c>
      <c r="G522" s="78"/>
      <c r="H522" t="s">
        <v>7564</v>
      </c>
      <c r="L522" s="434"/>
      <c r="N522" s="434"/>
    </row>
    <row r="523" spans="1:14" ht="12.75" hidden="1" customHeight="1" outlineLevel="1" x14ac:dyDescent="0.25">
      <c r="A523" s="3319">
        <v>0.02</v>
      </c>
      <c r="B523" s="3314" t="s">
        <v>7374</v>
      </c>
      <c r="C523" s="3315">
        <v>95.211431050135772</v>
      </c>
      <c r="D523" s="3343">
        <v>101.1</v>
      </c>
      <c r="E523" s="3344">
        <v>6.1847289604999744E-2</v>
      </c>
      <c r="F523" s="3321">
        <v>1.2369457920999949E-3</v>
      </c>
      <c r="G523" s="78"/>
      <c r="H523" t="s">
        <v>7372</v>
      </c>
      <c r="L523" s="434"/>
      <c r="N523" s="434"/>
    </row>
    <row r="524" spans="1:14" ht="12.75" hidden="1" customHeight="1" outlineLevel="1" x14ac:dyDescent="0.25">
      <c r="A524" s="3319">
        <v>0.02</v>
      </c>
      <c r="B524" s="3314" t="s">
        <v>7566</v>
      </c>
      <c r="C524" s="3315">
        <v>16.449000000000002</v>
      </c>
      <c r="D524" s="3343">
        <v>17.25</v>
      </c>
      <c r="E524" s="3344">
        <v>4.8695969359839442E-2</v>
      </c>
      <c r="F524" s="3321">
        <v>9.739193871967888E-4</v>
      </c>
      <c r="G524" s="78"/>
      <c r="H524" t="s">
        <v>7567</v>
      </c>
      <c r="L524" s="434"/>
      <c r="N524" s="434"/>
    </row>
    <row r="525" spans="1:14" ht="12.75" hidden="1" customHeight="1" outlineLevel="1" x14ac:dyDescent="0.25">
      <c r="A525" s="3319">
        <v>7.0000000000000007E-2</v>
      </c>
      <c r="B525" s="3314" t="s">
        <v>577</v>
      </c>
      <c r="C525" s="3315">
        <v>11.7325</v>
      </c>
      <c r="D525" s="3343">
        <v>3.5259999999999998</v>
      </c>
      <c r="E525" s="3344">
        <v>-0.69946729171105904</v>
      </c>
      <c r="F525" s="3321">
        <v>-4.8962710419774139E-2</v>
      </c>
      <c r="G525" s="78"/>
      <c r="H525" t="s">
        <v>6732</v>
      </c>
      <c r="L525" s="434"/>
      <c r="N525" s="434"/>
    </row>
    <row r="526" spans="1:14" ht="12.75" hidden="1" customHeight="1" outlineLevel="1" x14ac:dyDescent="0.25">
      <c r="A526" s="3319">
        <v>0.03</v>
      </c>
      <c r="B526" s="3314" t="s">
        <v>6068</v>
      </c>
      <c r="C526" s="3315">
        <v>40.6325</v>
      </c>
      <c r="D526" s="3343">
        <v>38.375</v>
      </c>
      <c r="E526" s="3344">
        <v>-5.5558973727927174E-2</v>
      </c>
      <c r="F526" s="3321">
        <v>-1.6667692118378151E-3</v>
      </c>
      <c r="G526" s="78"/>
      <c r="H526" t="s">
        <v>2805</v>
      </c>
      <c r="L526" s="434"/>
      <c r="N526" s="434"/>
    </row>
    <row r="527" spans="1:14" ht="12.75" hidden="1" customHeight="1" outlineLevel="1" x14ac:dyDescent="0.25">
      <c r="A527" s="3319">
        <v>0.02</v>
      </c>
      <c r="B527" s="3314" t="s">
        <v>507</v>
      </c>
      <c r="C527" s="3315">
        <v>35.141500000000001</v>
      </c>
      <c r="D527" s="3343">
        <v>43.055</v>
      </c>
      <c r="E527" s="3344">
        <v>0.22518959065492372</v>
      </c>
      <c r="F527" s="3321">
        <v>4.5037918130984749E-3</v>
      </c>
      <c r="G527" s="78"/>
      <c r="H527" t="s">
        <v>2810</v>
      </c>
      <c r="L527" s="434"/>
      <c r="N527" s="434"/>
    </row>
    <row r="528" spans="1:14" ht="12.75" hidden="1" customHeight="1" outlineLevel="1" x14ac:dyDescent="0.25">
      <c r="A528" s="3319">
        <v>0.02</v>
      </c>
      <c r="B528" s="3323" t="s">
        <v>719</v>
      </c>
      <c r="C528" s="3315">
        <v>58.2</v>
      </c>
      <c r="D528" s="3345">
        <v>86.04</v>
      </c>
      <c r="E528" s="3346">
        <v>0.4783505154639176</v>
      </c>
      <c r="F528" s="3347">
        <v>9.567010309278352E-3</v>
      </c>
      <c r="G528" s="78"/>
      <c r="H528" t="s">
        <v>1697</v>
      </c>
      <c r="L528" s="434"/>
      <c r="N528" s="434"/>
    </row>
    <row r="529" spans="1:7" ht="12.75" hidden="1" customHeight="1" outlineLevel="1" x14ac:dyDescent="0.25">
      <c r="A529" s="3324" t="s">
        <v>2734</v>
      </c>
      <c r="B529" s="3325"/>
      <c r="C529" s="3326"/>
      <c r="D529" s="3348"/>
      <c r="E529" s="3349"/>
      <c r="F529" s="3349">
        <v>0.29469765687224403</v>
      </c>
      <c r="G529" s="78"/>
    </row>
    <row r="530" spans="1:7" ht="12.75" hidden="1" customHeight="1" outlineLevel="1" x14ac:dyDescent="0.25">
      <c r="A530" s="3328" t="s">
        <v>7535</v>
      </c>
      <c r="B530" s="3329">
        <v>43891</v>
      </c>
      <c r="C530" s="3330">
        <v>100</v>
      </c>
      <c r="D530" s="3330">
        <v>105.09569999999999</v>
      </c>
      <c r="E530" s="3331">
        <v>5.0956999999999919E-2</v>
      </c>
      <c r="F530" s="3332"/>
      <c r="G530" s="78"/>
    </row>
    <row r="531" spans="1:7" ht="12.75" hidden="1" customHeight="1" outlineLevel="1" x14ac:dyDescent="0.25">
      <c r="A531" s="3328" t="s">
        <v>7536</v>
      </c>
      <c r="B531" s="3329">
        <v>43922</v>
      </c>
      <c r="C531" s="3330">
        <v>100</v>
      </c>
      <c r="D531" s="3333">
        <v>108.4679</v>
      </c>
      <c r="E531" s="3331">
        <v>8.4678999999999949E-2</v>
      </c>
      <c r="F531" s="3332"/>
      <c r="G531" s="78"/>
    </row>
    <row r="532" spans="1:7" ht="12.75" hidden="1" customHeight="1" outlineLevel="1" x14ac:dyDescent="0.25">
      <c r="A532" s="3328" t="s">
        <v>7537</v>
      </c>
      <c r="B532" s="3329">
        <v>43952</v>
      </c>
      <c r="C532" s="3330">
        <v>100</v>
      </c>
      <c r="D532" s="3333">
        <v>111.5733</v>
      </c>
      <c r="E532" s="3331">
        <v>0.11573300000000009</v>
      </c>
      <c r="F532" s="3332"/>
      <c r="G532" s="78"/>
    </row>
    <row r="533" spans="1:7" ht="12.75" hidden="1" customHeight="1" outlineLevel="1" x14ac:dyDescent="0.25">
      <c r="A533" s="3328" t="s">
        <v>7538</v>
      </c>
      <c r="B533" s="3329">
        <v>43983</v>
      </c>
      <c r="C533" s="3330">
        <v>100</v>
      </c>
      <c r="D533" s="3333">
        <v>114.5348</v>
      </c>
      <c r="E533" s="3331">
        <v>0.14534800000000003</v>
      </c>
      <c r="F533" s="3332"/>
      <c r="G533" s="78"/>
    </row>
    <row r="534" spans="1:7" ht="12.75" hidden="1" customHeight="1" outlineLevel="1" x14ac:dyDescent="0.25">
      <c r="A534" s="3328" t="s">
        <v>7539</v>
      </c>
      <c r="B534" s="3329">
        <v>44013</v>
      </c>
      <c r="C534" s="3330">
        <v>100</v>
      </c>
      <c r="D534" s="3333">
        <v>112.3695</v>
      </c>
      <c r="E534" s="3331">
        <v>0.12369500000000011</v>
      </c>
      <c r="F534" s="3332"/>
      <c r="G534" s="78"/>
    </row>
    <row r="535" spans="1:7" ht="12.75" hidden="1" customHeight="1" outlineLevel="1" x14ac:dyDescent="0.25">
      <c r="A535" s="3328" t="s">
        <v>7540</v>
      </c>
      <c r="B535" s="3329">
        <v>44044</v>
      </c>
      <c r="C535" s="3330">
        <v>100</v>
      </c>
      <c r="D535" s="3333">
        <v>117.7223</v>
      </c>
      <c r="E535" s="3331">
        <v>0.17722300000000013</v>
      </c>
      <c r="F535" s="3332"/>
      <c r="G535" s="78"/>
    </row>
    <row r="536" spans="1:7" ht="12.75" hidden="1" customHeight="1" outlineLevel="1" x14ac:dyDescent="0.25">
      <c r="A536" s="3328" t="s">
        <v>7541</v>
      </c>
      <c r="B536" s="3329">
        <v>44075</v>
      </c>
      <c r="C536" s="3330">
        <v>100</v>
      </c>
      <c r="D536" s="3333">
        <v>116.9671</v>
      </c>
      <c r="E536" s="3331">
        <v>0.16967100000000013</v>
      </c>
      <c r="F536" s="3332"/>
      <c r="G536" s="78"/>
    </row>
    <row r="537" spans="1:7" ht="12.75" hidden="1" customHeight="1" outlineLevel="1" x14ac:dyDescent="0.25">
      <c r="A537" s="3328" t="s">
        <v>7542</v>
      </c>
      <c r="B537" s="3329">
        <v>44105</v>
      </c>
      <c r="C537" s="3330">
        <v>100</v>
      </c>
      <c r="D537" s="3333">
        <v>111.1542</v>
      </c>
      <c r="E537" s="3331">
        <v>0.11154200000000003</v>
      </c>
      <c r="F537" s="3332"/>
      <c r="G537" s="78"/>
    </row>
    <row r="538" spans="1:7" ht="12.75" hidden="1" customHeight="1" outlineLevel="1" x14ac:dyDescent="0.25">
      <c r="A538" s="3328" t="s">
        <v>7543</v>
      </c>
      <c r="B538" s="3329">
        <v>44136</v>
      </c>
      <c r="C538" s="3330">
        <v>100</v>
      </c>
      <c r="D538" s="3333">
        <v>126.6939</v>
      </c>
      <c r="E538" s="3331">
        <v>0.26693900000000004</v>
      </c>
      <c r="F538" s="3332"/>
      <c r="G538" s="78"/>
    </row>
    <row r="539" spans="1:7" ht="12.75" hidden="1" customHeight="1" outlineLevel="1" x14ac:dyDescent="0.25">
      <c r="A539" s="3328" t="s">
        <v>7544</v>
      </c>
      <c r="B539" s="3329">
        <v>44166</v>
      </c>
      <c r="C539" s="3330">
        <v>100</v>
      </c>
      <c r="D539" s="3333">
        <v>128.59630000000001</v>
      </c>
      <c r="E539" s="3331">
        <v>0.28596300000000019</v>
      </c>
      <c r="F539" s="3332"/>
      <c r="G539" s="78"/>
    </row>
    <row r="540" spans="1:7" ht="12.75" hidden="1" customHeight="1" outlineLevel="1" x14ac:dyDescent="0.25">
      <c r="A540" s="3328" t="s">
        <v>7545</v>
      </c>
      <c r="B540" s="3329">
        <v>44197</v>
      </c>
      <c r="C540" s="3330">
        <v>100</v>
      </c>
      <c r="D540" s="3333">
        <v>126.1054</v>
      </c>
      <c r="E540" s="3331">
        <v>0.26105400000000012</v>
      </c>
      <c r="F540" s="3332"/>
      <c r="G540" s="78"/>
    </row>
    <row r="541" spans="1:7" ht="12.75" hidden="1" customHeight="1" outlineLevel="1" x14ac:dyDescent="0.25">
      <c r="A541" s="3328" t="s">
        <v>7546</v>
      </c>
      <c r="B541" s="3329">
        <v>44228</v>
      </c>
      <c r="C541" s="3330">
        <v>100</v>
      </c>
      <c r="D541" s="3333">
        <v>129.46979999999999</v>
      </c>
      <c r="E541" s="3331">
        <v>0.2946979999999999</v>
      </c>
      <c r="F541" s="3332"/>
      <c r="G541" s="78"/>
    </row>
    <row r="542" spans="1:7" ht="12.75" hidden="1" customHeight="1" outlineLevel="1" x14ac:dyDescent="0.25">
      <c r="A542" s="3334" t="s">
        <v>2734</v>
      </c>
      <c r="B542" s="3335"/>
      <c r="C542" s="3333"/>
      <c r="D542" s="3336" t="s">
        <v>2465</v>
      </c>
      <c r="E542" s="3337">
        <v>0.17395850000000004</v>
      </c>
      <c r="F542" s="3338">
        <v>0.17395850000000004</v>
      </c>
      <c r="G542" s="78"/>
    </row>
    <row r="543" spans="1:7" collapsed="1" x14ac:dyDescent="0.25">
      <c r="A543" s="3897" t="s">
        <v>7534</v>
      </c>
      <c r="B543" s="3898"/>
      <c r="C543" s="3898"/>
      <c r="D543" s="3898"/>
      <c r="E543" s="3339"/>
      <c r="F543" s="3340">
        <v>0.17395850000000004</v>
      </c>
      <c r="G543" s="78"/>
    </row>
    <row r="545" spans="1:22" hidden="1" outlineLevel="1" x14ac:dyDescent="0.25">
      <c r="A545" s="3219" t="s">
        <v>113</v>
      </c>
      <c r="B545" s="3219" t="s">
        <v>114</v>
      </c>
      <c r="C545" s="3222" t="s">
        <v>112</v>
      </c>
      <c r="D545" s="3222" t="s">
        <v>9896</v>
      </c>
      <c r="E545" s="3222" t="s">
        <v>116</v>
      </c>
      <c r="F545" s="3219" t="s">
        <v>121</v>
      </c>
      <c r="G545" s="78"/>
      <c r="H545" s="361" t="s">
        <v>3766</v>
      </c>
      <c r="I545" s="1462">
        <v>43891</v>
      </c>
      <c r="J545" s="1549">
        <v>43922</v>
      </c>
      <c r="K545" s="1462">
        <v>43952</v>
      </c>
      <c r="L545" s="1549">
        <v>43983</v>
      </c>
      <c r="M545" s="1462">
        <v>44013</v>
      </c>
      <c r="N545" s="1549">
        <v>44044</v>
      </c>
      <c r="O545" s="1462">
        <v>44075</v>
      </c>
      <c r="P545" s="1549">
        <v>44105</v>
      </c>
      <c r="Q545" s="1462">
        <v>44136</v>
      </c>
      <c r="R545" s="1549">
        <v>44166</v>
      </c>
      <c r="S545" s="1462">
        <v>44197</v>
      </c>
      <c r="T545" s="1549">
        <v>44228</v>
      </c>
    </row>
    <row r="546" spans="1:22" hidden="1" outlineLevel="1" x14ac:dyDescent="0.25">
      <c r="A546" s="3296" t="s">
        <v>7638</v>
      </c>
      <c r="B546" s="3297" t="s">
        <v>2153</v>
      </c>
      <c r="C546" s="3923">
        <v>2982.5410000000002</v>
      </c>
      <c r="D546" s="3923">
        <v>3231.6466666666702</v>
      </c>
      <c r="E546" s="3921">
        <v>3231.6466666666702</v>
      </c>
      <c r="F546" s="3298">
        <v>8.3500000000000005E-2</v>
      </c>
      <c r="G546" s="78"/>
      <c r="H546">
        <f>AVERAGE(I546:T546)</f>
        <v>3231.646666666667</v>
      </c>
      <c r="I546">
        <v>2786.9</v>
      </c>
      <c r="J546" s="415">
        <v>2927.93</v>
      </c>
      <c r="K546" s="415">
        <v>3050.2</v>
      </c>
      <c r="L546" s="415">
        <v>3234.07</v>
      </c>
      <c r="M546" s="415">
        <v>3174.32</v>
      </c>
      <c r="N546" s="2432">
        <v>3272.51</v>
      </c>
      <c r="O546" s="2432">
        <v>3193.61</v>
      </c>
      <c r="P546" s="2432">
        <v>2958.21</v>
      </c>
      <c r="Q546" s="2432">
        <v>3492.54</v>
      </c>
      <c r="R546" s="2432">
        <v>3571.59</v>
      </c>
      <c r="S546" s="2432">
        <v>3481.44</v>
      </c>
      <c r="T546" s="2432">
        <v>3636.44</v>
      </c>
    </row>
    <row r="547" spans="1:22" hidden="1" outlineLevel="1" x14ac:dyDescent="0.25">
      <c r="A547" s="3299" t="s">
        <v>2734</v>
      </c>
      <c r="B547" s="3300"/>
      <c r="C547" s="3924"/>
      <c r="D547" s="3924"/>
      <c r="E547" s="3922"/>
      <c r="F547" s="3298"/>
      <c r="G547" s="78" t="s">
        <v>10358</v>
      </c>
      <c r="H547" s="37">
        <f>+T546/C546-1</f>
        <v>0.21924225014844723</v>
      </c>
    </row>
    <row r="548" spans="1:22" collapsed="1" x14ac:dyDescent="0.25">
      <c r="A548" s="3897" t="s">
        <v>7639</v>
      </c>
      <c r="B548" s="3898"/>
      <c r="C548" s="3898"/>
      <c r="D548" s="3898"/>
      <c r="E548" s="3301"/>
      <c r="F548" s="3302">
        <v>8.3500000000000005E-2</v>
      </c>
      <c r="G548" s="78"/>
    </row>
    <row r="550" spans="1:22" ht="12.75" hidden="1" customHeight="1" outlineLevel="1" x14ac:dyDescent="0.25">
      <c r="A550" s="2835" t="s">
        <v>113</v>
      </c>
      <c r="B550" s="2835" t="s">
        <v>114</v>
      </c>
      <c r="C550" s="2835" t="s">
        <v>112</v>
      </c>
      <c r="D550" s="2835" t="s">
        <v>116</v>
      </c>
      <c r="E550" s="2835" t="s">
        <v>117</v>
      </c>
      <c r="F550" s="2835" t="s">
        <v>121</v>
      </c>
      <c r="G550" s="78"/>
    </row>
    <row r="551" spans="1:22" ht="12.75" hidden="1" customHeight="1" outlineLevel="1" x14ac:dyDescent="0.25">
      <c r="A551" s="2837">
        <v>1</v>
      </c>
      <c r="B551" s="2838" t="s">
        <v>252</v>
      </c>
      <c r="C551" s="2839">
        <v>100</v>
      </c>
      <c r="D551" s="2839"/>
      <c r="E551" s="2840"/>
      <c r="F551" s="2841"/>
      <c r="G551" s="78"/>
    </row>
    <row r="552" spans="1:22" ht="12.75" hidden="1" customHeight="1" outlineLevel="1" x14ac:dyDescent="0.25">
      <c r="A552" s="2842" t="s">
        <v>2734</v>
      </c>
      <c r="B552" s="2842"/>
      <c r="C552" s="2843"/>
      <c r="D552" s="1900" t="s">
        <v>3702</v>
      </c>
      <c r="E552" s="2844">
        <v>43889</v>
      </c>
      <c r="F552" s="2845"/>
      <c r="G552" s="78"/>
    </row>
    <row r="553" spans="1:22" ht="12.75" hidden="1" customHeight="1" outlineLevel="1" x14ac:dyDescent="0.25">
      <c r="A553" s="2835" t="s">
        <v>4156</v>
      </c>
      <c r="B553" s="2835" t="s">
        <v>4153</v>
      </c>
      <c r="C553" s="2846" t="s">
        <v>112</v>
      </c>
      <c r="D553" s="2847" t="s">
        <v>4155</v>
      </c>
      <c r="E553" s="2847" t="s">
        <v>4154</v>
      </c>
      <c r="F553" s="2847" t="s">
        <v>2519</v>
      </c>
      <c r="G553" s="78"/>
      <c r="I553" s="1462">
        <v>41946</v>
      </c>
      <c r="J553" s="1462">
        <v>41974</v>
      </c>
      <c r="K553" s="1462">
        <v>42009</v>
      </c>
      <c r="L553" s="1462">
        <v>42037</v>
      </c>
      <c r="M553" s="1462">
        <v>42065</v>
      </c>
      <c r="N553" s="1462">
        <v>42095</v>
      </c>
    </row>
    <row r="554" spans="1:22" ht="12.75" hidden="1" customHeight="1" outlineLevel="1" x14ac:dyDescent="0.25">
      <c r="A554" s="1991">
        <v>0.02</v>
      </c>
      <c r="B554" s="1921" t="s">
        <v>359</v>
      </c>
      <c r="C554" s="2108">
        <v>121.98999999999998</v>
      </c>
      <c r="D554" s="2862">
        <v>194.8</v>
      </c>
      <c r="E554" s="2863">
        <v>0.59685220100008229</v>
      </c>
      <c r="F554" s="2864">
        <v>1.1937044020001647E-2</v>
      </c>
      <c r="G554" s="78"/>
      <c r="H554" t="s">
        <v>360</v>
      </c>
      <c r="I554" s="412">
        <v>103.43510000000001</v>
      </c>
      <c r="J554" s="412">
        <v>106.6007</v>
      </c>
      <c r="K554" s="412">
        <v>103.2272</v>
      </c>
      <c r="L554" s="412">
        <v>107.0256</v>
      </c>
      <c r="M554" s="412">
        <v>108.0898</v>
      </c>
      <c r="N554" s="412">
        <v>107.9744</v>
      </c>
      <c r="R554" s="434"/>
      <c r="V554" s="434"/>
    </row>
    <row r="555" spans="1:22" ht="12.75" hidden="1" customHeight="1" outlineLevel="1" x14ac:dyDescent="0.25">
      <c r="A555" s="2380">
        <v>0.08</v>
      </c>
      <c r="B555" s="1921" t="s">
        <v>6601</v>
      </c>
      <c r="C555" s="2108">
        <v>36.638000000000005</v>
      </c>
      <c r="D555" s="2865">
        <v>1.24</v>
      </c>
      <c r="E555" s="2866">
        <v>-0.96615535782520878</v>
      </c>
      <c r="F555" s="2867">
        <v>-7.7292428626016707E-2</v>
      </c>
      <c r="G555" s="78"/>
      <c r="H555" t="s">
        <v>6602</v>
      </c>
      <c r="R555" s="434"/>
      <c r="V555" s="434"/>
    </row>
    <row r="556" spans="1:22" ht="12.75" hidden="1" customHeight="1" outlineLevel="1" x14ac:dyDescent="0.25">
      <c r="A556" s="2380">
        <v>0.08</v>
      </c>
      <c r="B556" s="1921" t="s">
        <v>807</v>
      </c>
      <c r="C556" s="2108">
        <v>47.751999999999995</v>
      </c>
      <c r="D556" s="2865">
        <v>58.95</v>
      </c>
      <c r="E556" s="2866">
        <v>0.23450326687887446</v>
      </c>
      <c r="F556" s="2867">
        <v>1.8760261350309958E-2</v>
      </c>
      <c r="G556" s="78"/>
      <c r="H556" t="s">
        <v>808</v>
      </c>
      <c r="I556" s="1546" t="s">
        <v>8076</v>
      </c>
      <c r="R556" s="434"/>
      <c r="V556" s="434"/>
    </row>
    <row r="557" spans="1:22" ht="12.75" hidden="1" customHeight="1" outlineLevel="1" x14ac:dyDescent="0.25">
      <c r="A557" s="2380">
        <v>0.02</v>
      </c>
      <c r="B557" s="1921" t="s">
        <v>901</v>
      </c>
      <c r="C557" s="2108">
        <v>3435.4</v>
      </c>
      <c r="D557" s="2865">
        <v>3062.5</v>
      </c>
      <c r="E557" s="2866">
        <v>-0.10854631192874198</v>
      </c>
      <c r="F557" s="2867">
        <v>-2.1709262385748397E-3</v>
      </c>
      <c r="G557" s="78"/>
      <c r="H557" t="s">
        <v>531</v>
      </c>
      <c r="I557" s="412">
        <v>100</v>
      </c>
      <c r="R557" s="434"/>
      <c r="V557" s="434"/>
    </row>
    <row r="558" spans="1:22" ht="12.75" hidden="1" customHeight="1" outlineLevel="1" x14ac:dyDescent="0.25">
      <c r="A558" s="2380">
        <v>0.02</v>
      </c>
      <c r="B558" s="1921" t="s">
        <v>6078</v>
      </c>
      <c r="C558" s="2108">
        <v>680.4</v>
      </c>
      <c r="D558" s="2865">
        <v>501</v>
      </c>
      <c r="E558" s="2866">
        <v>-0.26366843033509701</v>
      </c>
      <c r="F558" s="2867">
        <v>-5.2733686067019401E-3</v>
      </c>
      <c r="G558" s="78"/>
      <c r="H558" t="s">
        <v>2354</v>
      </c>
      <c r="R558" s="434"/>
      <c r="V558" s="434"/>
    </row>
    <row r="559" spans="1:22" ht="12.75" hidden="1" customHeight="1" outlineLevel="1" x14ac:dyDescent="0.25">
      <c r="A559" s="2380">
        <v>0.04</v>
      </c>
      <c r="B559" s="1921" t="s">
        <v>3954</v>
      </c>
      <c r="C559" s="2108">
        <v>98.705999999999989</v>
      </c>
      <c r="D559" s="2865">
        <v>102.16</v>
      </c>
      <c r="E559" s="2866">
        <v>3.4992806921565034E-2</v>
      </c>
      <c r="F559" s="2867">
        <v>1.3997122768626014E-3</v>
      </c>
      <c r="G559" s="78"/>
      <c r="H559" t="s">
        <v>3955</v>
      </c>
      <c r="J559" s="412" t="s">
        <v>8870</v>
      </c>
      <c r="L559">
        <v>100.053</v>
      </c>
      <c r="M559" s="1619" t="s">
        <v>8183</v>
      </c>
      <c r="R559" s="434"/>
      <c r="V559" s="434"/>
    </row>
    <row r="560" spans="1:22" ht="12.75" hidden="1" customHeight="1" outlineLevel="1" x14ac:dyDescent="0.25">
      <c r="A560" s="2380">
        <v>0.02</v>
      </c>
      <c r="B560" s="1921" t="s">
        <v>6266</v>
      </c>
      <c r="C560" s="2108">
        <v>295.42</v>
      </c>
      <c r="D560" s="2865">
        <v>72.12</v>
      </c>
      <c r="E560" s="2866">
        <v>-0.75587299438088151</v>
      </c>
      <c r="F560" s="2867">
        <v>-1.511745988761763E-2</v>
      </c>
      <c r="G560" s="78"/>
      <c r="H560" t="s">
        <v>4334</v>
      </c>
      <c r="J560" s="412" t="s">
        <v>8868</v>
      </c>
      <c r="L560">
        <v>102.60509999999999</v>
      </c>
      <c r="M560" s="1619" t="s">
        <v>8183</v>
      </c>
      <c r="R560" s="434"/>
      <c r="V560" s="434"/>
    </row>
    <row r="561" spans="1:22" ht="12.75" hidden="1" customHeight="1" outlineLevel="1" x14ac:dyDescent="0.25">
      <c r="A561" s="2380">
        <v>0.02</v>
      </c>
      <c r="B561" s="1921" t="s">
        <v>7644</v>
      </c>
      <c r="C561" s="2108">
        <v>16.484333332048379</v>
      </c>
      <c r="D561" s="2865">
        <v>23.4</v>
      </c>
      <c r="E561" s="2866">
        <v>0.41952965453000002</v>
      </c>
      <c r="F561" s="2867">
        <v>8.3905930905999997E-3</v>
      </c>
      <c r="G561" s="78"/>
      <c r="H561" t="s">
        <v>6268</v>
      </c>
      <c r="J561" s="412" t="s">
        <v>8869</v>
      </c>
      <c r="L561">
        <v>107.7761</v>
      </c>
      <c r="M561" s="1727" t="s">
        <v>8867</v>
      </c>
      <c r="R561" s="434"/>
      <c r="V561" s="434"/>
    </row>
    <row r="562" spans="1:22" ht="12.75" hidden="1" customHeight="1" outlineLevel="1" x14ac:dyDescent="0.25">
      <c r="A562" s="2380">
        <v>0.02</v>
      </c>
      <c r="B562" s="1921" t="s">
        <v>722</v>
      </c>
      <c r="C562" s="2108">
        <v>18.094500000000004</v>
      </c>
      <c r="D562" s="2865">
        <v>15.03</v>
      </c>
      <c r="E562" s="2866">
        <v>-0.16936085550858015</v>
      </c>
      <c r="F562" s="2867">
        <v>-3.3872171101716033E-3</v>
      </c>
      <c r="G562" s="78"/>
      <c r="H562" t="s">
        <v>7229</v>
      </c>
      <c r="J562" s="412"/>
      <c r="R562" s="434"/>
      <c r="V562" s="434"/>
    </row>
    <row r="563" spans="1:22" ht="12.75" hidden="1" customHeight="1" outlineLevel="1" x14ac:dyDescent="0.25">
      <c r="A563" s="2380">
        <v>0.02</v>
      </c>
      <c r="B563" s="1921" t="s">
        <v>3799</v>
      </c>
      <c r="C563" s="2108">
        <v>1366.65</v>
      </c>
      <c r="D563" s="2865">
        <v>1562.2</v>
      </c>
      <c r="E563" s="2866">
        <v>0.14308711081842462</v>
      </c>
      <c r="F563" s="2867">
        <v>2.8617422163684926E-3</v>
      </c>
      <c r="G563" s="78"/>
      <c r="H563" t="s">
        <v>4128</v>
      </c>
      <c r="R563" s="434"/>
      <c r="V563" s="434"/>
    </row>
    <row r="564" spans="1:22" ht="12.75" hidden="1" customHeight="1" outlineLevel="1" x14ac:dyDescent="0.25">
      <c r="A564" s="2380">
        <v>0.08</v>
      </c>
      <c r="B564" s="1921" t="s">
        <v>1771</v>
      </c>
      <c r="C564" s="2108">
        <v>625.39</v>
      </c>
      <c r="D564" s="2865">
        <v>523.9</v>
      </c>
      <c r="E564" s="2866">
        <v>-0.16228273557300243</v>
      </c>
      <c r="F564" s="2867">
        <v>-1.2982618845840194E-2</v>
      </c>
      <c r="G564" s="78"/>
      <c r="H564" t="s">
        <v>4329</v>
      </c>
      <c r="R564" s="434"/>
      <c r="V564" s="434"/>
    </row>
    <row r="565" spans="1:22" ht="12.75" hidden="1" customHeight="1" outlineLevel="1" x14ac:dyDescent="0.25">
      <c r="A565" s="2380">
        <v>0.03</v>
      </c>
      <c r="B565" s="1921" t="s">
        <v>1772</v>
      </c>
      <c r="C565" s="2108">
        <v>147.95999999999998</v>
      </c>
      <c r="D565" s="2865">
        <v>230.7</v>
      </c>
      <c r="E565" s="2866">
        <v>0.55920519059205209</v>
      </c>
      <c r="F565" s="2867">
        <v>1.6776155717761563E-2</v>
      </c>
      <c r="G565" s="78"/>
      <c r="H565" t="s">
        <v>4330</v>
      </c>
      <c r="R565" s="434"/>
      <c r="V565" s="434"/>
    </row>
    <row r="566" spans="1:22" ht="12.75" hidden="1" customHeight="1" outlineLevel="1" x14ac:dyDescent="0.25">
      <c r="A566" s="2380">
        <v>0.03</v>
      </c>
      <c r="B566" s="1921" t="s">
        <v>6113</v>
      </c>
      <c r="C566" s="2519">
        <v>872.95</v>
      </c>
      <c r="D566" s="2865">
        <v>982.8</v>
      </c>
      <c r="E566" s="2866">
        <v>0.12583767684288905</v>
      </c>
      <c r="F566" s="2867">
        <v>3.7751303052866712E-3</v>
      </c>
      <c r="G566" s="78"/>
      <c r="H566" t="s">
        <v>4195</v>
      </c>
      <c r="R566" s="434"/>
      <c r="V566" s="434"/>
    </row>
    <row r="567" spans="1:22" ht="12.75" hidden="1" customHeight="1" outlineLevel="1" x14ac:dyDescent="0.25">
      <c r="A567" s="2380">
        <v>7.0000000000000007E-2</v>
      </c>
      <c r="B567" s="1921" t="s">
        <v>7645</v>
      </c>
      <c r="C567" s="2108">
        <v>10.8535</v>
      </c>
      <c r="D567" s="2865">
        <v>12.19</v>
      </c>
      <c r="E567" s="2866">
        <v>0.12314000092136168</v>
      </c>
      <c r="F567" s="2867">
        <v>8.6198000644953192E-3</v>
      </c>
      <c r="G567" s="78"/>
      <c r="H567" t="s">
        <v>5817</v>
      </c>
      <c r="R567" s="434"/>
      <c r="V567" s="434"/>
    </row>
    <row r="568" spans="1:22" ht="12.75" hidden="1" customHeight="1" outlineLevel="1" x14ac:dyDescent="0.25">
      <c r="A568" s="2380">
        <v>0.03</v>
      </c>
      <c r="B568" s="1921" t="s">
        <v>7007</v>
      </c>
      <c r="C568" s="2108">
        <v>1150.7</v>
      </c>
      <c r="D568" s="2865">
        <v>557.6</v>
      </c>
      <c r="E568" s="2866">
        <v>-0.51542539323889813</v>
      </c>
      <c r="F568" s="2867">
        <v>-1.5462761797166944E-2</v>
      </c>
      <c r="G568" s="78"/>
      <c r="H568" t="s">
        <v>3959</v>
      </c>
      <c r="R568" s="434"/>
      <c r="V568" s="434"/>
    </row>
    <row r="569" spans="1:22" ht="12.75" hidden="1" customHeight="1" outlineLevel="1" x14ac:dyDescent="0.25">
      <c r="A569" s="2380">
        <v>0.02</v>
      </c>
      <c r="B569" s="1921" t="s">
        <v>2469</v>
      </c>
      <c r="C569" s="2108">
        <v>45.082000000000001</v>
      </c>
      <c r="D569" s="2865">
        <v>15.5</v>
      </c>
      <c r="E569" s="2866">
        <v>-0.65618206823122316</v>
      </c>
      <c r="F569" s="2867">
        <v>-1.3123641364624463E-2</v>
      </c>
      <c r="G569" s="78"/>
      <c r="H569" t="s">
        <v>2696</v>
      </c>
      <c r="R569" s="434"/>
      <c r="V569" s="434"/>
    </row>
    <row r="570" spans="1:22" ht="12.75" hidden="1" customHeight="1" outlineLevel="1" x14ac:dyDescent="0.25">
      <c r="A570" s="2380">
        <v>0.02</v>
      </c>
      <c r="B570" s="1921" t="s">
        <v>7006</v>
      </c>
      <c r="C570" s="2108">
        <v>84.676999999999992</v>
      </c>
      <c r="D570" s="2865">
        <v>81.87</v>
      </c>
      <c r="E570" s="2866">
        <v>-3.3149497502273251E-2</v>
      </c>
      <c r="F570" s="2867">
        <v>-6.6298995004546505E-4</v>
      </c>
      <c r="G570" s="78"/>
      <c r="H570" t="s">
        <v>3533</v>
      </c>
      <c r="R570" s="434"/>
      <c r="V570" s="434"/>
    </row>
    <row r="571" spans="1:22" ht="12.75" hidden="1" customHeight="1" outlineLevel="1" x14ac:dyDescent="0.25">
      <c r="A571" s="2380">
        <v>0.03</v>
      </c>
      <c r="B571" s="1921" t="s">
        <v>6270</v>
      </c>
      <c r="C571" s="2108">
        <v>36.860999999999997</v>
      </c>
      <c r="D571" s="2865">
        <v>36.880000000000003</v>
      </c>
      <c r="E571" s="2866">
        <v>5.1544993353425106E-4</v>
      </c>
      <c r="F571" s="2867">
        <v>1.546349800602753E-5</v>
      </c>
      <c r="G571" s="78"/>
      <c r="H571" t="s">
        <v>8166</v>
      </c>
      <c r="R571" s="434"/>
      <c r="V571" s="434"/>
    </row>
    <row r="572" spans="1:22" ht="12.75" hidden="1" customHeight="1" outlineLevel="1" x14ac:dyDescent="0.25">
      <c r="A572" s="2380">
        <v>0.08</v>
      </c>
      <c r="B572" s="1921" t="s">
        <v>6524</v>
      </c>
      <c r="C572" s="2108">
        <v>88.594999999999999</v>
      </c>
      <c r="D572" s="2865">
        <v>91.44</v>
      </c>
      <c r="E572" s="2866">
        <v>3.2112421694226567E-2</v>
      </c>
      <c r="F572" s="2867">
        <v>2.5689937355381255E-3</v>
      </c>
      <c r="G572" s="78"/>
      <c r="H572" t="s">
        <v>6525</v>
      </c>
      <c r="R572" s="434"/>
      <c r="V572" s="434"/>
    </row>
    <row r="573" spans="1:22" ht="12.75" hidden="1" customHeight="1" outlineLevel="1" x14ac:dyDescent="0.25">
      <c r="A573" s="2380">
        <v>0.05</v>
      </c>
      <c r="B573" s="1921" t="s">
        <v>6164</v>
      </c>
      <c r="C573" s="2108">
        <v>4.0898000000000003</v>
      </c>
      <c r="D573" s="2865">
        <v>4.4710000000000001</v>
      </c>
      <c r="E573" s="2866">
        <v>9.3207491808890319E-2</v>
      </c>
      <c r="F573" s="2867">
        <v>4.6603745904445163E-3</v>
      </c>
      <c r="G573" s="78"/>
      <c r="H573" t="s">
        <v>6114</v>
      </c>
      <c r="R573" s="434"/>
      <c r="V573" s="434"/>
    </row>
    <row r="574" spans="1:22" ht="12.75" hidden="1" customHeight="1" outlineLevel="1" x14ac:dyDescent="0.25">
      <c r="A574" s="2380">
        <v>0.02</v>
      </c>
      <c r="B574" s="1921" t="s">
        <v>1857</v>
      </c>
      <c r="C574" s="2108">
        <v>1505.7</v>
      </c>
      <c r="D574" s="2865">
        <v>1529</v>
      </c>
      <c r="E574" s="2866">
        <v>1.5474530118881447E-2</v>
      </c>
      <c r="F574" s="2867">
        <v>3.0949060237762894E-4</v>
      </c>
      <c r="G574" s="78"/>
      <c r="H574" t="s">
        <v>3559</v>
      </c>
      <c r="R574" s="434"/>
      <c r="V574" s="434"/>
    </row>
    <row r="575" spans="1:22" ht="12.75" hidden="1" customHeight="1" outlineLevel="1" x14ac:dyDescent="0.25">
      <c r="A575" s="2380">
        <v>0.02</v>
      </c>
      <c r="B575" s="1921" t="s">
        <v>3381</v>
      </c>
      <c r="C575" s="2108">
        <v>156.69999999999999</v>
      </c>
      <c r="D575" s="2865">
        <v>141.25</v>
      </c>
      <c r="E575" s="2866">
        <v>-9.8596043395022259E-2</v>
      </c>
      <c r="F575" s="2867">
        <v>-1.9719208679004454E-3</v>
      </c>
      <c r="G575" s="78"/>
      <c r="H575" t="s">
        <v>9199</v>
      </c>
      <c r="R575" s="434"/>
      <c r="V575" s="434"/>
    </row>
    <row r="576" spans="1:22" ht="12.75" hidden="1" customHeight="1" outlineLevel="1" x14ac:dyDescent="0.25">
      <c r="A576" s="2380">
        <v>0.03</v>
      </c>
      <c r="B576" s="1921" t="s">
        <v>1724</v>
      </c>
      <c r="C576" s="2108">
        <v>174.13000000000002</v>
      </c>
      <c r="D576" s="2865">
        <v>144.75</v>
      </c>
      <c r="E576" s="2866">
        <v>-0.16872451616608297</v>
      </c>
      <c r="F576" s="2867">
        <v>-5.0617354849824886E-3</v>
      </c>
      <c r="G576" s="78"/>
      <c r="H576" t="s">
        <v>1725</v>
      </c>
      <c r="R576" s="434"/>
      <c r="V576" s="434"/>
    </row>
    <row r="577" spans="1:22" ht="12.75" hidden="1" customHeight="1" outlineLevel="1" x14ac:dyDescent="0.25">
      <c r="A577" s="2380">
        <v>0.02</v>
      </c>
      <c r="B577" s="1921" t="s">
        <v>7106</v>
      </c>
      <c r="C577" s="2108">
        <v>70.838263779798211</v>
      </c>
      <c r="D577" s="2865">
        <v>91.64</v>
      </c>
      <c r="E577" s="2866">
        <v>0.29365113019800004</v>
      </c>
      <c r="F577" s="2867">
        <v>5.8730226039600012E-3</v>
      </c>
      <c r="G577" s="78"/>
      <c r="H577" t="s">
        <v>8893</v>
      </c>
      <c r="R577" s="434"/>
      <c r="V577" s="434"/>
    </row>
    <row r="578" spans="1:22" ht="12.75" hidden="1" customHeight="1" outlineLevel="1" x14ac:dyDescent="0.25">
      <c r="A578" s="2380">
        <v>0.03</v>
      </c>
      <c r="B578" s="1921" t="s">
        <v>1239</v>
      </c>
      <c r="C578" s="2108">
        <v>527.6</v>
      </c>
      <c r="D578" s="2865">
        <v>513.6</v>
      </c>
      <c r="E578" s="2866">
        <v>-2.6535253980288109E-2</v>
      </c>
      <c r="F578" s="2867">
        <v>-7.9605761940864327E-4</v>
      </c>
      <c r="G578" s="78"/>
      <c r="H578" t="s">
        <v>8891</v>
      </c>
      <c r="R578" s="434"/>
      <c r="V578" s="434"/>
    </row>
    <row r="579" spans="1:22" ht="12.75" hidden="1" customHeight="1" outlineLevel="1" x14ac:dyDescent="0.25">
      <c r="A579" s="2380">
        <v>0.02</v>
      </c>
      <c r="B579" s="1921" t="s">
        <v>577</v>
      </c>
      <c r="C579" s="2108">
        <v>11.398416318968568</v>
      </c>
      <c r="D579" s="2865">
        <v>5.36</v>
      </c>
      <c r="E579" s="2866">
        <v>-0.52975923584399998</v>
      </c>
      <c r="F579" s="2867">
        <v>-1.059518471688E-2</v>
      </c>
      <c r="G579" s="78"/>
      <c r="H579" t="s">
        <v>6732</v>
      </c>
      <c r="R579" s="434"/>
      <c r="V579" s="434"/>
    </row>
    <row r="580" spans="1:22" ht="12.75" hidden="1" customHeight="1" outlineLevel="1" x14ac:dyDescent="0.25">
      <c r="A580" s="2380">
        <v>0.02</v>
      </c>
      <c r="B580" s="1921" t="s">
        <v>6165</v>
      </c>
      <c r="C580" s="2108">
        <v>46.767000000000003</v>
      </c>
      <c r="D580" s="2865">
        <v>37.93</v>
      </c>
      <c r="E580" s="2866">
        <v>-0.18895802595847511</v>
      </c>
      <c r="F580" s="2867">
        <v>-3.7791605191695023E-3</v>
      </c>
      <c r="G580" s="78"/>
      <c r="H580" t="s">
        <v>7745</v>
      </c>
      <c r="R580" s="434"/>
      <c r="V580" s="434"/>
    </row>
    <row r="581" spans="1:22" ht="12.75" hidden="1" customHeight="1" outlineLevel="1" x14ac:dyDescent="0.25">
      <c r="A581" s="2380">
        <v>0.02</v>
      </c>
      <c r="B581" s="1921" t="s">
        <v>7643</v>
      </c>
      <c r="C581" s="2108">
        <v>29.621999999999996</v>
      </c>
      <c r="D581" s="2865">
        <v>3.35</v>
      </c>
      <c r="E581" s="2866">
        <v>-0.88690837890756868</v>
      </c>
      <c r="F581" s="2867">
        <v>-1.7738167578151373E-2</v>
      </c>
      <c r="G581" s="78"/>
      <c r="H581" t="s">
        <v>12</v>
      </c>
      <c r="R581" s="434"/>
      <c r="V581" s="434"/>
    </row>
    <row r="582" spans="1:22" ht="12.75" hidden="1" customHeight="1" outlineLevel="1" x14ac:dyDescent="0.25">
      <c r="A582" s="2380">
        <v>0.02</v>
      </c>
      <c r="B582" s="1921" t="s">
        <v>6094</v>
      </c>
      <c r="C582" s="2108">
        <v>154.14482370640985</v>
      </c>
      <c r="D582" s="2865">
        <v>171.25</v>
      </c>
      <c r="E582" s="2866">
        <v>0.11096821730562501</v>
      </c>
      <c r="F582" s="2867">
        <v>2.2193643461125004E-3</v>
      </c>
      <c r="G582" s="78"/>
      <c r="H582" t="s">
        <v>5172</v>
      </c>
      <c r="R582" s="434"/>
      <c r="V582" s="434"/>
    </row>
    <row r="583" spans="1:22" ht="12.75" hidden="1" customHeight="1" outlineLevel="1" x14ac:dyDescent="0.25">
      <c r="A583" s="2380">
        <v>0.02</v>
      </c>
      <c r="B583" s="2109" t="s">
        <v>4550</v>
      </c>
      <c r="C583" s="2108">
        <v>276.57000000000005</v>
      </c>
      <c r="D583" s="2868">
        <v>370.9</v>
      </c>
      <c r="E583" s="2869">
        <v>0.34107097660628383</v>
      </c>
      <c r="F583" s="2870">
        <v>6.8214195321256764E-3</v>
      </c>
      <c r="G583" s="78"/>
      <c r="H583" t="s">
        <v>8889</v>
      </c>
      <c r="R583" s="434"/>
      <c r="V583" s="434"/>
    </row>
    <row r="584" spans="1:22" ht="12.75" hidden="1" customHeight="1" outlineLevel="1" x14ac:dyDescent="0.25">
      <c r="A584" s="2181" t="s">
        <v>2734</v>
      </c>
      <c r="B584" s="2103"/>
      <c r="C584" s="2855"/>
      <c r="D584" s="2856"/>
      <c r="E584" s="2871"/>
      <c r="F584" s="2871">
        <v>-9.0427071263001479E-2</v>
      </c>
      <c r="G584" s="78"/>
    </row>
    <row r="585" spans="1:22" ht="12.75" hidden="1" customHeight="1" outlineLevel="1" x14ac:dyDescent="0.25">
      <c r="A585" s="1956" t="s">
        <v>7663</v>
      </c>
      <c r="B585" s="2185">
        <v>43525</v>
      </c>
      <c r="C585" s="2858">
        <v>100</v>
      </c>
      <c r="D585" s="2858">
        <v>102.6546</v>
      </c>
      <c r="E585" s="2859">
        <v>2.6545999999999959E-2</v>
      </c>
      <c r="F585" s="2872"/>
      <c r="G585" s="78"/>
    </row>
    <row r="586" spans="1:22" ht="12.75" hidden="1" customHeight="1" outlineLevel="1" x14ac:dyDescent="0.25">
      <c r="A586" s="1956" t="s">
        <v>7664</v>
      </c>
      <c r="B586" s="2185">
        <v>43556</v>
      </c>
      <c r="C586" s="2858">
        <v>100</v>
      </c>
      <c r="D586" s="2861">
        <v>103.3133</v>
      </c>
      <c r="E586" s="2859">
        <v>3.3133000000000079E-2</v>
      </c>
      <c r="F586" s="2872"/>
      <c r="G586" s="78"/>
    </row>
    <row r="587" spans="1:22" ht="12.75" hidden="1" customHeight="1" outlineLevel="1" x14ac:dyDescent="0.25">
      <c r="A587" s="1956" t="s">
        <v>7665</v>
      </c>
      <c r="B587" s="2185">
        <v>43586</v>
      </c>
      <c r="C587" s="2858">
        <v>100</v>
      </c>
      <c r="D587" s="2861">
        <v>99.021000000000001</v>
      </c>
      <c r="E587" s="2859">
        <v>-9.7899999999999654E-3</v>
      </c>
      <c r="F587" s="2872"/>
      <c r="G587" s="78"/>
    </row>
    <row r="588" spans="1:22" ht="12.75" hidden="1" customHeight="1" outlineLevel="1" x14ac:dyDescent="0.25">
      <c r="A588" s="1956" t="s">
        <v>7666</v>
      </c>
      <c r="B588" s="2185">
        <v>43617</v>
      </c>
      <c r="C588" s="2858">
        <v>100</v>
      </c>
      <c r="D588" s="2861">
        <v>100.6797</v>
      </c>
      <c r="E588" s="2859">
        <v>6.796999999999942E-3</v>
      </c>
      <c r="F588" s="2872"/>
      <c r="G588" s="78"/>
    </row>
    <row r="589" spans="1:22" ht="12.75" hidden="1" customHeight="1" outlineLevel="1" x14ac:dyDescent="0.25">
      <c r="A589" s="1956" t="s">
        <v>7667</v>
      </c>
      <c r="B589" s="2185">
        <v>43647</v>
      </c>
      <c r="C589" s="2858">
        <v>100</v>
      </c>
      <c r="D589" s="2861">
        <v>100.5397</v>
      </c>
      <c r="E589" s="2859">
        <v>5.3969999999998741E-3</v>
      </c>
      <c r="F589" s="2872"/>
      <c r="G589" s="78"/>
    </row>
    <row r="590" spans="1:22" ht="12.75" hidden="1" customHeight="1" outlineLevel="1" x14ac:dyDescent="0.25">
      <c r="A590" s="1956" t="s">
        <v>7668</v>
      </c>
      <c r="B590" s="2185">
        <v>43678</v>
      </c>
      <c r="C590" s="2858">
        <v>100</v>
      </c>
      <c r="D590" s="2861">
        <v>99.786500000000004</v>
      </c>
      <c r="E590" s="2859">
        <v>-2.134999999999998E-3</v>
      </c>
      <c r="F590" s="2872"/>
      <c r="G590" s="78"/>
    </row>
    <row r="591" spans="1:22" ht="12.75" hidden="1" customHeight="1" outlineLevel="1" x14ac:dyDescent="0.25">
      <c r="A591" s="1956" t="s">
        <v>7669</v>
      </c>
      <c r="B591" s="2185">
        <v>43709</v>
      </c>
      <c r="C591" s="2858">
        <v>100</v>
      </c>
      <c r="D591" s="2861">
        <v>104.48990000000001</v>
      </c>
      <c r="E591" s="2859">
        <v>4.4899000000000022E-2</v>
      </c>
      <c r="F591" s="2872"/>
      <c r="G591" s="78"/>
    </row>
    <row r="592" spans="1:22" ht="12.75" hidden="1" customHeight="1" outlineLevel="1" x14ac:dyDescent="0.25">
      <c r="A592" s="1956" t="s">
        <v>7670</v>
      </c>
      <c r="B592" s="2185">
        <v>43739</v>
      </c>
      <c r="C592" s="2858">
        <v>100</v>
      </c>
      <c r="D592" s="2861">
        <v>104.9376</v>
      </c>
      <c r="E592" s="2859">
        <v>4.9376000000000086E-2</v>
      </c>
      <c r="F592" s="2872"/>
      <c r="G592" s="78"/>
    </row>
    <row r="593" spans="1:16" ht="12.75" hidden="1" customHeight="1" outlineLevel="1" x14ac:dyDescent="0.25">
      <c r="A593" s="1956" t="s">
        <v>7671</v>
      </c>
      <c r="B593" s="2185">
        <v>43770</v>
      </c>
      <c r="C593" s="2858">
        <v>100</v>
      </c>
      <c r="D593" s="2861">
        <v>105.7667</v>
      </c>
      <c r="E593" s="2859">
        <v>5.7666999999999913E-2</v>
      </c>
      <c r="F593" s="2872"/>
      <c r="G593" s="78"/>
    </row>
    <row r="594" spans="1:16" ht="12.75" hidden="1" customHeight="1" outlineLevel="1" x14ac:dyDescent="0.25">
      <c r="A594" s="1956" t="s">
        <v>7672</v>
      </c>
      <c r="B594" s="2185">
        <v>43800</v>
      </c>
      <c r="C594" s="2858">
        <v>100</v>
      </c>
      <c r="D594" s="2861">
        <v>106.56950000000001</v>
      </c>
      <c r="E594" s="2859">
        <v>6.5695000000000059E-2</v>
      </c>
      <c r="F594" s="2872"/>
      <c r="G594" s="78"/>
    </row>
    <row r="595" spans="1:16" ht="12.75" hidden="1" customHeight="1" outlineLevel="1" x14ac:dyDescent="0.25">
      <c r="A595" s="1956" t="s">
        <v>7673</v>
      </c>
      <c r="B595" s="2185">
        <v>43831</v>
      </c>
      <c r="C595" s="2858">
        <v>100</v>
      </c>
      <c r="D595" s="2861">
        <v>107.77970000000001</v>
      </c>
      <c r="E595" s="2859">
        <v>7.7797000000000116E-2</v>
      </c>
      <c r="F595" s="2872"/>
      <c r="G595" s="78"/>
    </row>
    <row r="596" spans="1:16" ht="12.75" hidden="1" customHeight="1" outlineLevel="1" x14ac:dyDescent="0.25">
      <c r="A596" s="1956" t="s">
        <v>7674</v>
      </c>
      <c r="B596" s="2185">
        <v>43862</v>
      </c>
      <c r="C596" s="2858">
        <v>100</v>
      </c>
      <c r="D596" s="2861">
        <v>100.622</v>
      </c>
      <c r="E596" s="2859">
        <v>6.2199999999998923E-3</v>
      </c>
      <c r="F596" s="2872"/>
      <c r="G596" s="78"/>
    </row>
    <row r="597" spans="1:16" ht="12.75" hidden="1" customHeight="1" outlineLevel="1" x14ac:dyDescent="0.25">
      <c r="A597" s="2189" t="s">
        <v>2734</v>
      </c>
      <c r="B597" s="2190"/>
      <c r="C597" s="2861"/>
      <c r="D597" s="2191" t="s">
        <v>2465</v>
      </c>
      <c r="E597" s="1987">
        <v>3.0133499999999997E-2</v>
      </c>
      <c r="F597" s="2528">
        <v>3.0133499999999997E-2</v>
      </c>
      <c r="G597" s="78"/>
    </row>
    <row r="598" spans="1:16" collapsed="1" x14ac:dyDescent="0.25">
      <c r="A598" s="3801" t="s">
        <v>7642</v>
      </c>
      <c r="B598" s="3802"/>
      <c r="C598" s="3802"/>
      <c r="D598" s="3802"/>
      <c r="E598" s="1906"/>
      <c r="F598" s="1907">
        <v>3.0133499999999997E-2</v>
      </c>
      <c r="G598" s="78"/>
    </row>
    <row r="600" spans="1:16" hidden="1" outlineLevel="1" x14ac:dyDescent="0.25">
      <c r="A600" s="3140"/>
      <c r="B600" s="3140" t="s">
        <v>114</v>
      </c>
      <c r="C600" s="3140" t="s">
        <v>112</v>
      </c>
      <c r="D600" s="3140" t="s">
        <v>4155</v>
      </c>
      <c r="E600" s="3140" t="s">
        <v>117</v>
      </c>
      <c r="F600" s="3140" t="s">
        <v>121</v>
      </c>
      <c r="N600" s="256"/>
    </row>
    <row r="601" spans="1:16" hidden="1" outlineLevel="1" x14ac:dyDescent="0.25">
      <c r="A601" s="3141">
        <v>0.33329999999999999</v>
      </c>
      <c r="B601" s="3117" t="s">
        <v>3563</v>
      </c>
      <c r="C601" s="2941">
        <v>10583.978999999999</v>
      </c>
      <c r="D601" s="3142">
        <v>9397.3700000000008</v>
      </c>
      <c r="E601" s="3837">
        <v>0.17432176970911883</v>
      </c>
      <c r="F601" s="3839">
        <v>0.17432176970911883</v>
      </c>
      <c r="N601" s="256"/>
    </row>
    <row r="602" spans="1:16" hidden="1" outlineLevel="1" x14ac:dyDescent="0.25">
      <c r="A602" s="3143">
        <v>0.33329999999999999</v>
      </c>
      <c r="B602" s="3138" t="s">
        <v>1916</v>
      </c>
      <c r="C602" s="2943">
        <v>249.62700000000001</v>
      </c>
      <c r="D602" s="3144">
        <v>309.44</v>
      </c>
      <c r="E602" s="3858"/>
      <c r="F602" s="3857"/>
      <c r="H602" s="69"/>
      <c r="N602" s="256"/>
      <c r="P602" s="256"/>
    </row>
    <row r="603" spans="1:16" hidden="1" outlineLevel="1" x14ac:dyDescent="0.25">
      <c r="A603" s="3145">
        <v>0.33329999999999999</v>
      </c>
      <c r="B603" s="3146" t="s">
        <v>7649</v>
      </c>
      <c r="C603" s="2947">
        <v>8966.4809999999998</v>
      </c>
      <c r="D603" s="3147">
        <v>12515.61</v>
      </c>
      <c r="E603" s="3886"/>
      <c r="F603" s="3925"/>
      <c r="H603" s="1549">
        <v>41974</v>
      </c>
      <c r="I603" s="1549">
        <v>42009</v>
      </c>
      <c r="J603" s="1462">
        <v>42037</v>
      </c>
      <c r="K603" s="1549">
        <v>42065</v>
      </c>
      <c r="L603" s="1462">
        <v>42095</v>
      </c>
      <c r="M603" s="1549">
        <v>42128</v>
      </c>
      <c r="O603" s="256"/>
    </row>
    <row r="604" spans="1:16" hidden="1" outlineLevel="1" x14ac:dyDescent="0.25">
      <c r="A604" s="1819"/>
      <c r="B604" s="3138"/>
      <c r="C604" s="2947"/>
      <c r="D604" s="3147"/>
      <c r="E604" s="3148"/>
      <c r="F604" s="3149"/>
      <c r="H604" s="1547">
        <v>101.56189999999999</v>
      </c>
      <c r="I604" s="1547">
        <v>105.73</v>
      </c>
      <c r="J604" s="1548">
        <v>104.8259</v>
      </c>
      <c r="K604" s="1547">
        <v>108.0301</v>
      </c>
      <c r="L604" s="1548">
        <v>108.877</v>
      </c>
      <c r="M604" s="1547">
        <v>117.8344</v>
      </c>
      <c r="O604" s="256"/>
    </row>
    <row r="605" spans="1:16" hidden="1" outlineLevel="1" x14ac:dyDescent="0.25">
      <c r="A605" s="1956" t="s">
        <v>7648</v>
      </c>
      <c r="B605" s="2306">
        <v>43739</v>
      </c>
      <c r="C605" s="3150">
        <v>100</v>
      </c>
      <c r="D605" s="3132">
        <v>112.23090000000001</v>
      </c>
      <c r="E605" s="3133">
        <v>0.122309</v>
      </c>
      <c r="F605" s="3151"/>
      <c r="H605" s="256"/>
      <c r="J605" s="256"/>
      <c r="L605" s="256"/>
      <c r="N605" s="256"/>
      <c r="P605" s="256"/>
    </row>
    <row r="606" spans="1:16" hidden="1" outlineLevel="1" x14ac:dyDescent="0.25">
      <c r="A606" s="1956" t="s">
        <v>7651</v>
      </c>
      <c r="B606" s="2310">
        <v>43770</v>
      </c>
      <c r="C606" s="3150">
        <v>100</v>
      </c>
      <c r="D606" s="3135">
        <v>112.1168</v>
      </c>
      <c r="E606" s="3133">
        <v>0.12116799999999994</v>
      </c>
      <c r="F606" s="3151"/>
      <c r="H606" s="1550" t="s">
        <v>8077</v>
      </c>
      <c r="J606" s="256"/>
      <c r="L606" s="256"/>
      <c r="N606" s="256"/>
      <c r="P606" s="256"/>
    </row>
    <row r="607" spans="1:16" hidden="1" outlineLevel="1" x14ac:dyDescent="0.25">
      <c r="A607" s="1956" t="s">
        <v>7652</v>
      </c>
      <c r="B607" s="2306">
        <v>43800</v>
      </c>
      <c r="C607" s="3150">
        <v>100</v>
      </c>
      <c r="D607" s="3135">
        <v>119.0005</v>
      </c>
      <c r="E607" s="3133">
        <v>0.19000499999999998</v>
      </c>
      <c r="F607" s="3151"/>
      <c r="H607" s="1551">
        <v>100</v>
      </c>
      <c r="J607" s="256"/>
      <c r="L607" s="256"/>
      <c r="N607" s="256"/>
      <c r="P607" s="256"/>
    </row>
    <row r="608" spans="1:16" hidden="1" outlineLevel="1" x14ac:dyDescent="0.25">
      <c r="A608" s="1956" t="s">
        <v>7653</v>
      </c>
      <c r="B608" s="2310">
        <v>43831</v>
      </c>
      <c r="C608" s="3150">
        <v>100</v>
      </c>
      <c r="D608" s="3135">
        <v>112.9791</v>
      </c>
      <c r="E608" s="3133">
        <v>0.12979099999999999</v>
      </c>
      <c r="F608" s="3151"/>
      <c r="H608" s="256"/>
      <c r="J608" s="256"/>
      <c r="L608" s="256"/>
      <c r="N608" s="256"/>
      <c r="P608" s="256"/>
    </row>
    <row r="609" spans="1:24" hidden="1" outlineLevel="1" x14ac:dyDescent="0.25">
      <c r="A609" s="1956" t="s">
        <v>7654</v>
      </c>
      <c r="B609" s="2306">
        <v>43862</v>
      </c>
      <c r="C609" s="3150">
        <v>100</v>
      </c>
      <c r="D609" s="3135">
        <v>110.2149</v>
      </c>
      <c r="E609" s="3133">
        <v>0.10214900000000005</v>
      </c>
      <c r="F609" s="3151"/>
      <c r="H609" s="256"/>
      <c r="J609" s="256"/>
      <c r="L609" s="256"/>
      <c r="N609" s="256"/>
      <c r="P609" s="256"/>
    </row>
    <row r="610" spans="1:24" hidden="1" outlineLevel="1" x14ac:dyDescent="0.25">
      <c r="A610" s="1956" t="s">
        <v>7655</v>
      </c>
      <c r="B610" s="2310">
        <v>43891</v>
      </c>
      <c r="C610" s="3150">
        <v>100</v>
      </c>
      <c r="D610" s="3135">
        <v>97.931200000000004</v>
      </c>
      <c r="E610" s="3133">
        <v>-2.0687999999999929E-2</v>
      </c>
      <c r="F610" s="3151"/>
      <c r="H610" s="256"/>
      <c r="J610" s="256"/>
      <c r="L610" s="256"/>
      <c r="N610" s="256"/>
      <c r="P610" s="256"/>
    </row>
    <row r="611" spans="1:24" hidden="1" outlineLevel="1" x14ac:dyDescent="0.25">
      <c r="A611" s="1956" t="s">
        <v>7656</v>
      </c>
      <c r="B611" s="2306">
        <v>43922</v>
      </c>
      <c r="C611" s="3150">
        <v>100</v>
      </c>
      <c r="D611" s="3135">
        <v>106.958</v>
      </c>
      <c r="E611" s="3133">
        <v>6.9579999999999975E-2</v>
      </c>
      <c r="F611" s="3151"/>
      <c r="H611" s="256"/>
      <c r="J611" s="256"/>
      <c r="L611" s="256"/>
      <c r="N611" s="256"/>
      <c r="P611" s="256"/>
    </row>
    <row r="612" spans="1:24" hidden="1" outlineLevel="1" x14ac:dyDescent="0.25">
      <c r="A612" s="1956" t="s">
        <v>7657</v>
      </c>
      <c r="B612" s="2310">
        <v>43952</v>
      </c>
      <c r="C612" s="3150">
        <v>100</v>
      </c>
      <c r="D612" s="3135">
        <v>106.619</v>
      </c>
      <c r="E612" s="3133">
        <v>6.6189999999999971E-2</v>
      </c>
      <c r="F612" s="3151"/>
      <c r="H612" s="256"/>
      <c r="J612" s="256"/>
      <c r="L612" s="256"/>
      <c r="N612" s="256"/>
      <c r="P612" s="256"/>
    </row>
    <row r="613" spans="1:24" hidden="1" outlineLevel="1" x14ac:dyDescent="0.25">
      <c r="A613" s="1956" t="s">
        <v>7658</v>
      </c>
      <c r="B613" s="2306">
        <v>43983</v>
      </c>
      <c r="C613" s="3150">
        <v>100</v>
      </c>
      <c r="D613" s="3135">
        <v>111.33750000000001</v>
      </c>
      <c r="E613" s="3133">
        <v>0.113375</v>
      </c>
      <c r="F613" s="3151"/>
      <c r="H613" s="256"/>
      <c r="J613" s="256"/>
      <c r="L613" s="256"/>
      <c r="N613" s="256"/>
      <c r="P613" s="256"/>
    </row>
    <row r="614" spans="1:24" hidden="1" outlineLevel="1" x14ac:dyDescent="0.25">
      <c r="A614" s="1956" t="s">
        <v>7659</v>
      </c>
      <c r="B614" s="2310">
        <v>44013</v>
      </c>
      <c r="C614" s="3150">
        <v>100</v>
      </c>
      <c r="D614" s="3135">
        <v>118.6709</v>
      </c>
      <c r="E614" s="3133">
        <v>0.18670900000000001</v>
      </c>
      <c r="F614" s="3151"/>
      <c r="H614" s="256"/>
      <c r="J614" s="256"/>
      <c r="L614" s="256"/>
      <c r="P614" s="256"/>
    </row>
    <row r="615" spans="1:24" hidden="1" outlineLevel="1" x14ac:dyDescent="0.25">
      <c r="A615" s="1956" t="s">
        <v>7660</v>
      </c>
      <c r="B615" s="2306">
        <v>44044</v>
      </c>
      <c r="C615" s="3150">
        <v>100</v>
      </c>
      <c r="D615" s="3135">
        <v>119.2897</v>
      </c>
      <c r="E615" s="3133">
        <v>0.19289699999999987</v>
      </c>
      <c r="F615" s="3151"/>
      <c r="H615" s="256"/>
      <c r="J615" s="256"/>
      <c r="L615" s="256"/>
      <c r="P615" s="256"/>
    </row>
    <row r="616" spans="1:24" hidden="1" outlineLevel="1" x14ac:dyDescent="0.25">
      <c r="A616" s="1956" t="s">
        <v>7661</v>
      </c>
      <c r="B616" s="2310">
        <v>44075</v>
      </c>
      <c r="C616" s="3150">
        <v>100</v>
      </c>
      <c r="D616" s="3135">
        <v>117.4438</v>
      </c>
      <c r="E616" s="3133">
        <v>0.17443799999999987</v>
      </c>
      <c r="F616" s="3151"/>
      <c r="H616" s="256"/>
      <c r="J616" s="256"/>
      <c r="L616" s="256"/>
    </row>
    <row r="617" spans="1:24" hidden="1" outlineLevel="1" x14ac:dyDescent="0.25">
      <c r="A617" s="2945"/>
      <c r="B617" s="2185"/>
      <c r="C617" s="3135"/>
      <c r="D617" s="2191" t="s">
        <v>2465</v>
      </c>
      <c r="E617" s="1987">
        <v>0.12066024999999998</v>
      </c>
      <c r="F617" s="2528">
        <v>0.12066024999999998</v>
      </c>
      <c r="H617" s="256"/>
      <c r="J617" s="256"/>
      <c r="L617" s="256"/>
    </row>
    <row r="618" spans="1:24" collapsed="1" x14ac:dyDescent="0.25">
      <c r="A618" s="3801" t="s">
        <v>7662</v>
      </c>
      <c r="B618" s="3802"/>
      <c r="C618" s="3802"/>
      <c r="D618" s="3802"/>
      <c r="E618" s="1906"/>
      <c r="F618" s="1907">
        <v>0.12066024999999998</v>
      </c>
    </row>
    <row r="620" spans="1:24" ht="12.75" hidden="1" customHeight="1" outlineLevel="1" x14ac:dyDescent="0.25">
      <c r="A620" s="3237" t="s">
        <v>113</v>
      </c>
      <c r="B620" s="3237" t="s">
        <v>114</v>
      </c>
      <c r="C620" s="3237" t="s">
        <v>112</v>
      </c>
      <c r="D620" s="3237" t="s">
        <v>116</v>
      </c>
      <c r="E620" s="3237" t="s">
        <v>117</v>
      </c>
      <c r="F620" s="3237" t="s">
        <v>121</v>
      </c>
      <c r="G620" s="78"/>
    </row>
    <row r="621" spans="1:24" ht="12.75" hidden="1" customHeight="1" outlineLevel="1" x14ac:dyDescent="0.25">
      <c r="A621" s="3238">
        <v>1</v>
      </c>
      <c r="B621" s="3239" t="s">
        <v>252</v>
      </c>
      <c r="C621" s="3240">
        <v>100</v>
      </c>
      <c r="D621" s="3240"/>
      <c r="E621" s="3241"/>
      <c r="F621" s="3242"/>
      <c r="G621" s="78"/>
    </row>
    <row r="622" spans="1:24" ht="12.75" hidden="1" customHeight="1" outlineLevel="1" x14ac:dyDescent="0.25">
      <c r="A622" s="3243" t="s">
        <v>2734</v>
      </c>
      <c r="B622" s="3243"/>
      <c r="C622" s="3244"/>
      <c r="D622" s="1900" t="s">
        <v>3702</v>
      </c>
      <c r="E622" s="3245">
        <v>44377</v>
      </c>
      <c r="F622" s="3246"/>
      <c r="G622" s="78"/>
    </row>
    <row r="623" spans="1:24" ht="12.75" hidden="1" customHeight="1" outlineLevel="1" x14ac:dyDescent="0.25">
      <c r="A623" s="3237" t="s">
        <v>4156</v>
      </c>
      <c r="B623" s="3237" t="s">
        <v>4153</v>
      </c>
      <c r="C623" s="3247" t="s">
        <v>112</v>
      </c>
      <c r="D623" s="3248" t="s">
        <v>4155</v>
      </c>
      <c r="E623" s="3248" t="s">
        <v>4154</v>
      </c>
      <c r="F623" s="3248" t="s">
        <v>2519</v>
      </c>
      <c r="G623" s="78"/>
      <c r="I623" s="1347">
        <v>42278</v>
      </c>
      <c r="J623" s="1347">
        <v>42279</v>
      </c>
      <c r="K623" s="1347">
        <v>42282</v>
      </c>
      <c r="L623" s="1347">
        <v>42283</v>
      </c>
      <c r="M623" s="1347">
        <v>42284</v>
      </c>
      <c r="N623" s="1347">
        <v>42285</v>
      </c>
      <c r="O623" s="1347">
        <v>42286</v>
      </c>
      <c r="P623" s="1347">
        <v>42289</v>
      </c>
      <c r="Q623" s="1347">
        <v>42290</v>
      </c>
      <c r="R623" s="1347">
        <v>42291</v>
      </c>
      <c r="S623" s="1347" t="s">
        <v>1837</v>
      </c>
      <c r="T623" s="1347" t="s">
        <v>7698</v>
      </c>
    </row>
    <row r="624" spans="1:24" ht="12.75" hidden="1" customHeight="1" outlineLevel="1" x14ac:dyDescent="0.25">
      <c r="A624" s="3420">
        <v>0.02</v>
      </c>
      <c r="B624" s="1931" t="s">
        <v>2917</v>
      </c>
      <c r="C624" s="2108">
        <v>69.287000000000006</v>
      </c>
      <c r="D624" s="3387">
        <v>313.89999999999998</v>
      </c>
      <c r="E624" s="3388">
        <v>3.5304313940566043</v>
      </c>
      <c r="F624" s="3421">
        <v>7.0608627881132091E-2</v>
      </c>
      <c r="G624" s="78"/>
      <c r="H624" t="s">
        <v>2929</v>
      </c>
      <c r="I624" s="417">
        <v>71.7</v>
      </c>
      <c r="J624" s="417">
        <v>71.8</v>
      </c>
      <c r="K624" s="417">
        <v>73.459999999999994</v>
      </c>
      <c r="L624" s="417">
        <v>74.56</v>
      </c>
      <c r="M624" s="417">
        <v>74.66</v>
      </c>
      <c r="N624" s="417">
        <v>75.23</v>
      </c>
      <c r="O624" s="417">
        <v>76.3</v>
      </c>
      <c r="P624" s="417">
        <v>75.8</v>
      </c>
      <c r="Q624" s="417">
        <v>75.31</v>
      </c>
      <c r="R624" s="417">
        <v>76.099999999999994</v>
      </c>
      <c r="S624" s="417">
        <v>74.49199999999999</v>
      </c>
      <c r="T624" s="417">
        <v>2.88654437340338E-2</v>
      </c>
      <c r="X624" s="434"/>
    </row>
    <row r="625" spans="1:24" ht="12.75" hidden="1" customHeight="1" outlineLevel="1" x14ac:dyDescent="0.25">
      <c r="A625" s="3181">
        <v>0.08</v>
      </c>
      <c r="B625" s="1931" t="s">
        <v>359</v>
      </c>
      <c r="C625" s="2108">
        <v>147.745</v>
      </c>
      <c r="D625" s="3387">
        <v>210.3</v>
      </c>
      <c r="E625" s="3388">
        <v>0.42339842295847574</v>
      </c>
      <c r="F625" s="3421">
        <v>3.3871873836678057E-2</v>
      </c>
      <c r="G625" s="78"/>
      <c r="H625" t="s">
        <v>360</v>
      </c>
      <c r="I625" s="417">
        <v>138.30000000000001</v>
      </c>
      <c r="J625" s="417">
        <v>139.44999999999999</v>
      </c>
      <c r="K625" s="417">
        <v>143.15</v>
      </c>
      <c r="L625" s="417">
        <v>144.19999999999999</v>
      </c>
      <c r="M625" s="417">
        <v>144.15</v>
      </c>
      <c r="N625" s="417">
        <v>145.19999999999999</v>
      </c>
      <c r="O625" s="417">
        <v>146.30000000000001</v>
      </c>
      <c r="P625" s="417">
        <v>146.55000000000001</v>
      </c>
      <c r="Q625" s="417">
        <v>145.5</v>
      </c>
      <c r="R625" s="417">
        <v>144.30000000000001</v>
      </c>
      <c r="S625" s="417">
        <v>143.70999999999998</v>
      </c>
      <c r="T625" s="417">
        <v>5.4147348472029518E-2</v>
      </c>
      <c r="X625" s="434"/>
    </row>
    <row r="626" spans="1:24" ht="12.75" hidden="1" customHeight="1" outlineLevel="1" x14ac:dyDescent="0.25">
      <c r="A626" s="3181">
        <v>0.02</v>
      </c>
      <c r="B626" s="1931" t="s">
        <v>7835</v>
      </c>
      <c r="C626" s="2108">
        <v>130.42702531959625</v>
      </c>
      <c r="D626" s="3387">
        <v>51.21</v>
      </c>
      <c r="E626" s="3388">
        <v>-0.60736664909349991</v>
      </c>
      <c r="F626" s="3421">
        <v>-1.2147332981869999E-2</v>
      </c>
      <c r="G626" s="78"/>
      <c r="H626" t="s">
        <v>5541</v>
      </c>
      <c r="I626" s="417">
        <v>112.65</v>
      </c>
      <c r="J626" s="417">
        <v>113.15</v>
      </c>
      <c r="K626" s="417">
        <v>116.3</v>
      </c>
      <c r="L626" s="417">
        <v>116.15</v>
      </c>
      <c r="M626" s="417">
        <v>114.05</v>
      </c>
      <c r="N626" s="417">
        <v>112</v>
      </c>
      <c r="O626" s="417">
        <v>111.35</v>
      </c>
      <c r="P626" s="417">
        <v>111.15</v>
      </c>
      <c r="Q626" s="417">
        <v>109.5</v>
      </c>
      <c r="R626" s="417">
        <v>108</v>
      </c>
      <c r="S626" s="417">
        <v>112.42999999999999</v>
      </c>
      <c r="T626" s="417">
        <v>1.5090353491530541E-2</v>
      </c>
      <c r="X626" s="434"/>
    </row>
    <row r="627" spans="1:24" ht="12.75" hidden="1" customHeight="1" outlineLevel="1" x14ac:dyDescent="0.25">
      <c r="A627" s="3181">
        <v>0.02</v>
      </c>
      <c r="B627" s="1931" t="s">
        <v>1141</v>
      </c>
      <c r="C627" s="2108">
        <v>94.53</v>
      </c>
      <c r="D627" s="3387">
        <v>89.31</v>
      </c>
      <c r="E627" s="3388">
        <v>-5.5220564900031688E-2</v>
      </c>
      <c r="F627" s="3421">
        <v>-1.1044112980006337E-3</v>
      </c>
      <c r="G627" s="78"/>
      <c r="H627" t="s">
        <v>666</v>
      </c>
      <c r="I627" s="417">
        <v>78.33</v>
      </c>
      <c r="J627" s="417">
        <v>78.209999999999994</v>
      </c>
      <c r="K627" s="417">
        <v>81.17</v>
      </c>
      <c r="L627" s="417">
        <v>82.22</v>
      </c>
      <c r="M627" s="417">
        <v>85.74</v>
      </c>
      <c r="N627" s="417">
        <v>86.2</v>
      </c>
      <c r="O627" s="417">
        <v>87.8</v>
      </c>
      <c r="P627" s="417">
        <v>89.25</v>
      </c>
      <c r="Q627" s="417">
        <v>88.11</v>
      </c>
      <c r="R627" s="417">
        <v>86.74</v>
      </c>
      <c r="S627" s="417">
        <v>84.376999999999995</v>
      </c>
      <c r="T627" s="417">
        <v>2.1157304559399133E-2</v>
      </c>
      <c r="X627" s="434"/>
    </row>
    <row r="628" spans="1:24" ht="12.75" hidden="1" customHeight="1" outlineLevel="1" x14ac:dyDescent="0.25">
      <c r="A628" s="3181">
        <v>0.02</v>
      </c>
      <c r="B628" s="1931" t="s">
        <v>7693</v>
      </c>
      <c r="C628" s="2108">
        <v>52.194000000000003</v>
      </c>
      <c r="D628" s="3387">
        <v>78.42</v>
      </c>
      <c r="E628" s="3388">
        <v>0.50247154845384512</v>
      </c>
      <c r="F628" s="3421">
        <v>1.0049430969076902E-2</v>
      </c>
      <c r="G628" s="78"/>
      <c r="H628" t="s">
        <v>7411</v>
      </c>
      <c r="I628" s="417">
        <v>47.96</v>
      </c>
      <c r="J628" s="417">
        <v>48.335000000000001</v>
      </c>
      <c r="K628" s="417">
        <v>49.445</v>
      </c>
      <c r="L628" s="417">
        <v>49.94</v>
      </c>
      <c r="M628" s="417">
        <v>49.475000000000001</v>
      </c>
      <c r="N628" s="417">
        <v>49.7</v>
      </c>
      <c r="O628" s="417">
        <v>49.73</v>
      </c>
      <c r="P628" s="417">
        <v>49.314999999999998</v>
      </c>
      <c r="Q628" s="417">
        <v>48.524999999999999</v>
      </c>
      <c r="R628" s="417">
        <v>48.63</v>
      </c>
      <c r="S628" s="417">
        <v>49.105499999999999</v>
      </c>
      <c r="T628" s="417">
        <v>3.8318580679771626E-2</v>
      </c>
      <c r="X628" s="434"/>
    </row>
    <row r="629" spans="1:24" ht="12.75" hidden="1" customHeight="1" outlineLevel="1" x14ac:dyDescent="0.25">
      <c r="A629" s="3181">
        <v>0.02</v>
      </c>
      <c r="B629" s="1931" t="s">
        <v>7688</v>
      </c>
      <c r="C629" s="2108">
        <v>11.539</v>
      </c>
      <c r="D629" s="3387">
        <v>5.9820000000000002</v>
      </c>
      <c r="E629" s="3388">
        <v>-0.48158419273767217</v>
      </c>
      <c r="F629" s="3421">
        <v>-9.6316838547534436E-3</v>
      </c>
      <c r="G629" s="78"/>
      <c r="H629" t="s">
        <v>3818</v>
      </c>
      <c r="I629" s="417">
        <v>9.3279999999999994</v>
      </c>
      <c r="J629" s="417">
        <v>9.4320000000000004</v>
      </c>
      <c r="K629" s="417">
        <v>9.7270000000000003</v>
      </c>
      <c r="L629" s="417">
        <v>9.83</v>
      </c>
      <c r="M629" s="417">
        <v>9.9710000000000001</v>
      </c>
      <c r="N629" s="417">
        <v>9.98</v>
      </c>
      <c r="O629" s="417">
        <v>10.074999999999999</v>
      </c>
      <c r="P629" s="417">
        <v>9.9969999999999999</v>
      </c>
      <c r="Q629" s="417">
        <v>9.7360000000000007</v>
      </c>
      <c r="R629" s="417">
        <v>9.6270000000000007</v>
      </c>
      <c r="S629" s="417">
        <v>9.7703000000000007</v>
      </c>
      <c r="T629" s="417">
        <v>0.17332524482190831</v>
      </c>
      <c r="X629" s="434"/>
    </row>
    <row r="630" spans="1:24" ht="12.75" hidden="1" customHeight="1" outlineLevel="1" x14ac:dyDescent="0.25">
      <c r="A630" s="3181">
        <v>0.02</v>
      </c>
      <c r="B630" s="1931" t="s">
        <v>7689</v>
      </c>
      <c r="C630" s="2108">
        <v>211.69499999999999</v>
      </c>
      <c r="D630" s="3387">
        <v>123.98</v>
      </c>
      <c r="E630" s="3388">
        <v>-0.41434611115047593</v>
      </c>
      <c r="F630" s="3421">
        <v>-8.2869222230095192E-3</v>
      </c>
      <c r="G630" s="78"/>
      <c r="H630" t="s">
        <v>68</v>
      </c>
      <c r="I630" s="417">
        <v>191.05</v>
      </c>
      <c r="J630" s="417">
        <v>192.85</v>
      </c>
      <c r="K630" s="417">
        <v>195</v>
      </c>
      <c r="L630" s="417">
        <v>198</v>
      </c>
      <c r="M630" s="417">
        <v>199.6</v>
      </c>
      <c r="N630" s="417">
        <v>200</v>
      </c>
      <c r="O630" s="417">
        <v>204.75</v>
      </c>
      <c r="P630" s="417">
        <v>204.3</v>
      </c>
      <c r="Q630" s="417">
        <v>200.95</v>
      </c>
      <c r="R630" s="417">
        <v>197.4</v>
      </c>
      <c r="S630" s="417">
        <v>198.39000000000001</v>
      </c>
      <c r="T630" s="417">
        <v>9.4475542643898073E-3</v>
      </c>
      <c r="X630" s="434"/>
    </row>
    <row r="631" spans="1:24" ht="12.75" hidden="1" customHeight="1" outlineLevel="1" x14ac:dyDescent="0.25">
      <c r="A631" s="3181">
        <v>0.02</v>
      </c>
      <c r="B631" s="1931" t="s">
        <v>4025</v>
      </c>
      <c r="C631" s="2108">
        <v>82.742000000000004</v>
      </c>
      <c r="D631" s="3387">
        <v>75.3</v>
      </c>
      <c r="E631" s="3388">
        <v>-8.9942230064538053E-2</v>
      </c>
      <c r="F631" s="3421">
        <v>-1.7988446012907611E-3</v>
      </c>
      <c r="G631" s="78"/>
      <c r="H631" t="s">
        <v>3977</v>
      </c>
      <c r="I631" s="417">
        <v>64.45</v>
      </c>
      <c r="J631" s="417">
        <v>64.58</v>
      </c>
      <c r="K631" s="417">
        <v>66.430000000000007</v>
      </c>
      <c r="L631" s="417">
        <v>68.09</v>
      </c>
      <c r="M631" s="417">
        <v>69.69</v>
      </c>
      <c r="N631" s="417">
        <v>70.55</v>
      </c>
      <c r="O631" s="417">
        <v>72.209999999999994</v>
      </c>
      <c r="P631" s="417">
        <v>73.48</v>
      </c>
      <c r="Q631" s="417">
        <v>72.55</v>
      </c>
      <c r="R631" s="417">
        <v>71.52</v>
      </c>
      <c r="S631" s="417">
        <v>69.35499999999999</v>
      </c>
      <c r="T631" s="417">
        <v>2.4171521113823691E-2</v>
      </c>
      <c r="X631" s="434"/>
    </row>
    <row r="632" spans="1:24" ht="12.75" hidden="1" customHeight="1" outlineLevel="1" x14ac:dyDescent="0.25">
      <c r="A632" s="3181">
        <v>0.02</v>
      </c>
      <c r="B632" s="1931" t="s">
        <v>1108</v>
      </c>
      <c r="C632" s="2108">
        <v>25.932251978739416</v>
      </c>
      <c r="D632" s="3387">
        <v>10.986000000000001</v>
      </c>
      <c r="E632" s="3388">
        <v>-0.57635765651949988</v>
      </c>
      <c r="F632" s="3421">
        <v>-1.1527153130389997E-2</v>
      </c>
      <c r="G632" s="78"/>
      <c r="H632" t="s">
        <v>1109</v>
      </c>
      <c r="I632" s="417">
        <v>23.65</v>
      </c>
      <c r="J632" s="417">
        <v>23.8</v>
      </c>
      <c r="K632" s="417">
        <v>25.04</v>
      </c>
      <c r="L632" s="417">
        <v>25.215</v>
      </c>
      <c r="M632" s="417">
        <v>25.48</v>
      </c>
      <c r="N632" s="417">
        <v>25.03</v>
      </c>
      <c r="O632" s="417">
        <v>25.895</v>
      </c>
      <c r="P632" s="417">
        <v>25.74</v>
      </c>
      <c r="Q632" s="417">
        <v>25.484999999999999</v>
      </c>
      <c r="R632" s="417">
        <v>25.23</v>
      </c>
      <c r="S632" s="417">
        <v>25.056500000000003</v>
      </c>
      <c r="T632" s="417">
        <v>6.8833783621001191E-2</v>
      </c>
      <c r="X632" s="434"/>
    </row>
    <row r="633" spans="1:24" ht="12.75" hidden="1" customHeight="1" outlineLevel="1" x14ac:dyDescent="0.25">
      <c r="A633" s="3181">
        <v>0.08</v>
      </c>
      <c r="B633" s="1931" t="s">
        <v>238</v>
      </c>
      <c r="C633" s="2108">
        <v>82.254999999999995</v>
      </c>
      <c r="D633" s="3387">
        <v>147.19999999999999</v>
      </c>
      <c r="E633" s="3388">
        <v>0.78955686584402152</v>
      </c>
      <c r="F633" s="3421">
        <v>6.3164549267521727E-2</v>
      </c>
      <c r="G633" s="78"/>
      <c r="H633" t="s">
        <v>239</v>
      </c>
      <c r="I633" s="417">
        <v>77.88</v>
      </c>
      <c r="J633" s="417">
        <v>78.83</v>
      </c>
      <c r="K633" s="417">
        <v>80.400000000000006</v>
      </c>
      <c r="L633" s="417">
        <v>80.33</v>
      </c>
      <c r="M633" s="417">
        <v>78.349999999999994</v>
      </c>
      <c r="N633" s="417">
        <v>77.569999999999993</v>
      </c>
      <c r="O633" s="417">
        <v>76.05</v>
      </c>
      <c r="P633" s="417">
        <v>76.61</v>
      </c>
      <c r="Q633" s="417">
        <v>76.31</v>
      </c>
      <c r="R633" s="417">
        <v>75.86</v>
      </c>
      <c r="S633" s="417">
        <v>77.818999999999988</v>
      </c>
      <c r="T633" s="417">
        <v>9.7258525317609881E-2</v>
      </c>
      <c r="X633" s="434"/>
    </row>
    <row r="634" spans="1:24" ht="12.75" hidden="1" customHeight="1" outlineLevel="1" x14ac:dyDescent="0.25">
      <c r="A634" s="3181">
        <v>0.02</v>
      </c>
      <c r="B634" s="1931" t="s">
        <v>1441</v>
      </c>
      <c r="C634" s="2108">
        <v>12.289</v>
      </c>
      <c r="D634" s="3387">
        <v>9.49</v>
      </c>
      <c r="E634" s="3388">
        <v>-0.22776466758890057</v>
      </c>
      <c r="F634" s="3421">
        <v>-4.5552933517780114E-3</v>
      </c>
      <c r="G634" s="78"/>
      <c r="H634" t="s">
        <v>1978</v>
      </c>
      <c r="I634" s="417">
        <v>12.18</v>
      </c>
      <c r="J634" s="417">
        <v>12.675000000000001</v>
      </c>
      <c r="K634" s="417">
        <v>13.335000000000001</v>
      </c>
      <c r="L634" s="417">
        <v>13.425000000000001</v>
      </c>
      <c r="M634" s="417">
        <v>13.185</v>
      </c>
      <c r="N634" s="417">
        <v>13.74</v>
      </c>
      <c r="O634" s="417">
        <v>13.445</v>
      </c>
      <c r="P634" s="417">
        <v>13.54</v>
      </c>
      <c r="Q634" s="417">
        <v>13.574999999999999</v>
      </c>
      <c r="R634" s="417">
        <v>13.62</v>
      </c>
      <c r="S634" s="417">
        <v>13.271999999999997</v>
      </c>
      <c r="T634" s="417">
        <v>0.16274717226788185</v>
      </c>
      <c r="X634" s="434"/>
    </row>
    <row r="635" spans="1:24" ht="12.75" hidden="1" customHeight="1" outlineLevel="1" x14ac:dyDescent="0.25">
      <c r="A635" s="3181">
        <v>0.08</v>
      </c>
      <c r="B635" s="1931" t="s">
        <v>7413</v>
      </c>
      <c r="C635" s="2108">
        <v>30.853000000000002</v>
      </c>
      <c r="D635" s="3387">
        <v>19.920000000000002</v>
      </c>
      <c r="E635" s="3388">
        <v>-0.35435776099568916</v>
      </c>
      <c r="F635" s="3421">
        <v>-2.8348620879655135E-2</v>
      </c>
      <c r="G635" s="78"/>
      <c r="H635" t="s">
        <v>7414</v>
      </c>
      <c r="I635" s="417">
        <v>28.445</v>
      </c>
      <c r="J635" s="417">
        <v>28.704999999999998</v>
      </c>
      <c r="K635" s="417">
        <v>29.74</v>
      </c>
      <c r="L635" s="417">
        <v>30.045000000000002</v>
      </c>
      <c r="M635" s="417">
        <v>29.66</v>
      </c>
      <c r="N635" s="417">
        <v>29.31</v>
      </c>
      <c r="O635" s="417">
        <v>28.88</v>
      </c>
      <c r="P635" s="417">
        <v>28.864999999999998</v>
      </c>
      <c r="Q635" s="417">
        <v>28.51</v>
      </c>
      <c r="R635" s="417">
        <v>27.594999999999999</v>
      </c>
      <c r="S635" s="417">
        <v>28.9755</v>
      </c>
      <c r="T635" s="417">
        <v>0.25929407188928144</v>
      </c>
      <c r="X635" s="434"/>
    </row>
    <row r="636" spans="1:24" ht="12.75" hidden="1" customHeight="1" outlineLevel="1" x14ac:dyDescent="0.25">
      <c r="A636" s="3181">
        <v>0.05</v>
      </c>
      <c r="B636" s="1931" t="s">
        <v>2844</v>
      </c>
      <c r="C636" s="2519">
        <v>77.531000000000006</v>
      </c>
      <c r="D636" s="3387">
        <v>70.040000000000006</v>
      </c>
      <c r="E636" s="3388">
        <v>-9.6619416749429199E-2</v>
      </c>
      <c r="F636" s="3421">
        <v>-4.8309708374714606E-3</v>
      </c>
      <c r="G636" s="78"/>
      <c r="H636" t="s">
        <v>4094</v>
      </c>
      <c r="I636" s="417">
        <v>69.430000000000007</v>
      </c>
      <c r="J636" s="417">
        <v>69.66</v>
      </c>
      <c r="K636" s="417">
        <v>71.5</v>
      </c>
      <c r="L636" s="417">
        <v>71.62</v>
      </c>
      <c r="M636" s="417">
        <v>71.510000000000005</v>
      </c>
      <c r="N636" s="417">
        <v>72.97</v>
      </c>
      <c r="O636" s="417">
        <v>73.22</v>
      </c>
      <c r="P636" s="417">
        <v>73.150000000000006</v>
      </c>
      <c r="Q636" s="417">
        <v>72.180000000000007</v>
      </c>
      <c r="R636" s="417">
        <v>71.02</v>
      </c>
      <c r="S636" s="417">
        <v>71.626000000000005</v>
      </c>
      <c r="T636" s="417">
        <v>6.4490332899098418E-2</v>
      </c>
      <c r="X636" s="434"/>
    </row>
    <row r="637" spans="1:24" ht="12.75" hidden="1" customHeight="1" outlineLevel="1" x14ac:dyDescent="0.25">
      <c r="A637" s="3181">
        <v>0.02</v>
      </c>
      <c r="B637" s="1931" t="s">
        <v>7416</v>
      </c>
      <c r="C637" s="2108">
        <v>40.4375</v>
      </c>
      <c r="D637" s="3387">
        <v>34.159999999999997</v>
      </c>
      <c r="E637" s="3388">
        <v>-0.15523956723338495</v>
      </c>
      <c r="F637" s="3421">
        <v>-3.1047913446676989E-3</v>
      </c>
      <c r="G637" s="78"/>
      <c r="H637" t="s">
        <v>7417</v>
      </c>
      <c r="I637" s="417">
        <v>33.445</v>
      </c>
      <c r="J637" s="417">
        <v>33.700000000000003</v>
      </c>
      <c r="K637" s="417">
        <v>35.335000000000001</v>
      </c>
      <c r="L637" s="417">
        <v>35.244999999999997</v>
      </c>
      <c r="M637" s="417">
        <v>35.734999999999999</v>
      </c>
      <c r="N637" s="417">
        <v>36.965000000000003</v>
      </c>
      <c r="O637" s="417">
        <v>36.935000000000002</v>
      </c>
      <c r="P637" s="417">
        <v>36.774999999999999</v>
      </c>
      <c r="Q637" s="417">
        <v>36.479999999999997</v>
      </c>
      <c r="R637" s="417">
        <v>35.784999999999997</v>
      </c>
      <c r="S637" s="417">
        <v>35.640000000000008</v>
      </c>
      <c r="T637" s="417">
        <v>4.945904173106646E-2</v>
      </c>
      <c r="X637" s="434"/>
    </row>
    <row r="638" spans="1:24" ht="12.75" hidden="1" customHeight="1" outlineLevel="1" x14ac:dyDescent="0.25">
      <c r="A638" s="3181">
        <v>0.02</v>
      </c>
      <c r="B638" s="1931" t="s">
        <v>7421</v>
      </c>
      <c r="C638" s="2108">
        <v>71.828999999999994</v>
      </c>
      <c r="D638" s="3387">
        <v>72.34</v>
      </c>
      <c r="E638" s="3388">
        <v>7.1141182530733982E-3</v>
      </c>
      <c r="F638" s="3421">
        <v>1.4228236506146796E-4</v>
      </c>
      <c r="G638" s="78"/>
      <c r="H638" t="s">
        <v>7419</v>
      </c>
      <c r="I638" s="417">
        <v>61.48</v>
      </c>
      <c r="J638" s="417">
        <v>61.48</v>
      </c>
      <c r="K638" s="417">
        <v>63.94</v>
      </c>
      <c r="L638" s="417">
        <v>64.069999999999993</v>
      </c>
      <c r="M638" s="417">
        <v>64.52</v>
      </c>
      <c r="N638" s="417">
        <v>65.23</v>
      </c>
      <c r="O638" s="417">
        <v>66.3</v>
      </c>
      <c r="P638" s="417">
        <v>64.69</v>
      </c>
      <c r="Q638" s="417">
        <v>63.92</v>
      </c>
      <c r="R638" s="417">
        <v>63</v>
      </c>
      <c r="S638" s="417">
        <v>63.863</v>
      </c>
      <c r="T638" s="417">
        <v>2.7843907057038243E-2</v>
      </c>
      <c r="X638" s="434"/>
    </row>
    <row r="639" spans="1:24" ht="12.75" hidden="1" customHeight="1" outlineLevel="1" x14ac:dyDescent="0.25">
      <c r="A639" s="3181">
        <v>0.02</v>
      </c>
      <c r="B639" s="1931" t="s">
        <v>7422</v>
      </c>
      <c r="C639" s="2108">
        <v>106.76</v>
      </c>
      <c r="D639" s="3387">
        <v>89.04</v>
      </c>
      <c r="E639" s="3388">
        <v>-0.16597976770325962</v>
      </c>
      <c r="F639" s="3421">
        <v>-3.3195953540651924E-3</v>
      </c>
      <c r="G639" s="78"/>
      <c r="H639" t="s">
        <v>7423</v>
      </c>
      <c r="I639" s="417">
        <v>90.91</v>
      </c>
      <c r="J639" s="417">
        <v>90.26</v>
      </c>
      <c r="K639" s="417">
        <v>92.74</v>
      </c>
      <c r="L639" s="417">
        <v>93</v>
      </c>
      <c r="M639" s="417">
        <v>92.22</v>
      </c>
      <c r="N639" s="417">
        <v>93.52</v>
      </c>
      <c r="O639" s="417">
        <v>93.59</v>
      </c>
      <c r="P639" s="417">
        <v>93.94</v>
      </c>
      <c r="Q639" s="417">
        <v>93.42</v>
      </c>
      <c r="R639" s="417">
        <v>92.25</v>
      </c>
      <c r="S639" s="417">
        <v>92.585000000000008</v>
      </c>
      <c r="T639" s="417">
        <v>1.8733608092918696E-2</v>
      </c>
      <c r="X639" s="434"/>
    </row>
    <row r="640" spans="1:24" ht="12.75" hidden="1" customHeight="1" outlineLevel="1" x14ac:dyDescent="0.25">
      <c r="A640" s="3181">
        <v>0.08</v>
      </c>
      <c r="B640" s="1931" t="s">
        <v>7425</v>
      </c>
      <c r="C640" s="2108">
        <v>102.884</v>
      </c>
      <c r="D640" s="3387">
        <v>45.88</v>
      </c>
      <c r="E640" s="3388">
        <v>-0.55406088410248433</v>
      </c>
      <c r="F640" s="3421">
        <v>-4.4324870728198747E-2</v>
      </c>
      <c r="G640" s="78"/>
      <c r="H640" t="s">
        <v>7426</v>
      </c>
      <c r="I640" s="417">
        <v>99.71</v>
      </c>
      <c r="J640" s="417">
        <v>99.8</v>
      </c>
      <c r="K640" s="417">
        <v>102.85</v>
      </c>
      <c r="L640" s="417">
        <v>104.7</v>
      </c>
      <c r="M640" s="417">
        <v>105.95</v>
      </c>
      <c r="N640" s="417">
        <v>106.05</v>
      </c>
      <c r="O640" s="417">
        <v>105.95</v>
      </c>
      <c r="P640" s="417">
        <v>106.5</v>
      </c>
      <c r="Q640" s="417">
        <v>104.5</v>
      </c>
      <c r="R640" s="417">
        <v>103.9</v>
      </c>
      <c r="S640" s="417">
        <v>103.99100000000001</v>
      </c>
      <c r="T640" s="417">
        <v>7.7757474437230273E-2</v>
      </c>
      <c r="X640" s="434"/>
    </row>
    <row r="641" spans="1:24" ht="12.75" hidden="1" customHeight="1" outlineLevel="1" x14ac:dyDescent="0.25">
      <c r="A641" s="3181">
        <v>0.02</v>
      </c>
      <c r="B641" s="1931" t="s">
        <v>7695</v>
      </c>
      <c r="C641" s="2108">
        <v>11.1065</v>
      </c>
      <c r="D641" s="3387">
        <v>33.82</v>
      </c>
      <c r="E641" s="3388">
        <v>2.0450637014360957</v>
      </c>
      <c r="F641" s="3421">
        <v>4.0901274028721915E-2</v>
      </c>
      <c r="G641" s="78"/>
      <c r="H641" t="s">
        <v>7690</v>
      </c>
      <c r="I641" s="417">
        <v>9.8079999999999998</v>
      </c>
      <c r="J641" s="417">
        <v>9.7509999999999994</v>
      </c>
      <c r="K641" s="417">
        <v>10.055</v>
      </c>
      <c r="L641" s="417">
        <v>10.16</v>
      </c>
      <c r="M641" s="417">
        <v>10.48</v>
      </c>
      <c r="N641" s="417">
        <v>10.38</v>
      </c>
      <c r="O641" s="417">
        <v>10.615</v>
      </c>
      <c r="P641" s="417">
        <v>10.615</v>
      </c>
      <c r="Q641" s="417">
        <v>10.425000000000001</v>
      </c>
      <c r="R641" s="417">
        <v>10.57</v>
      </c>
      <c r="S641" s="417">
        <v>10.285900000000002</v>
      </c>
      <c r="T641" s="417">
        <v>0.18007473101337054</v>
      </c>
      <c r="X641" s="434"/>
    </row>
    <row r="642" spans="1:24" ht="12.75" hidden="1" customHeight="1" outlineLevel="1" x14ac:dyDescent="0.25">
      <c r="A642" s="3181">
        <v>0.02</v>
      </c>
      <c r="B642" s="1931" t="s">
        <v>7691</v>
      </c>
      <c r="C642" s="2108">
        <v>37.527500000000003</v>
      </c>
      <c r="D642" s="3387">
        <v>11.48</v>
      </c>
      <c r="E642" s="3388">
        <v>-0.69409099993338219</v>
      </c>
      <c r="F642" s="3421">
        <v>-1.3881819998667643E-2</v>
      </c>
      <c r="G642" s="78"/>
      <c r="H642" t="s">
        <v>7692</v>
      </c>
      <c r="I642" s="417">
        <v>30.94</v>
      </c>
      <c r="J642" s="417">
        <v>31</v>
      </c>
      <c r="K642" s="417">
        <v>23.355</v>
      </c>
      <c r="L642" s="417">
        <v>23.64</v>
      </c>
      <c r="M642" s="417">
        <v>23.68</v>
      </c>
      <c r="N642" s="417">
        <v>24.46</v>
      </c>
      <c r="O642" s="417">
        <v>25.145</v>
      </c>
      <c r="P642" s="417">
        <v>24.52</v>
      </c>
      <c r="Q642" s="417">
        <v>23.875</v>
      </c>
      <c r="R642" s="417">
        <v>23.4</v>
      </c>
      <c r="S642" s="417">
        <v>25.401500000000006</v>
      </c>
      <c r="T642" s="417">
        <v>5.3294250882686023E-2</v>
      </c>
      <c r="X642" s="434"/>
    </row>
    <row r="643" spans="1:24" ht="12.75" hidden="1" customHeight="1" outlineLevel="1" x14ac:dyDescent="0.25">
      <c r="A643" s="3181">
        <v>0.02</v>
      </c>
      <c r="B643" s="1931" t="s">
        <v>64</v>
      </c>
      <c r="C643" s="2108">
        <v>114.20779194081295</v>
      </c>
      <c r="D643" s="3387">
        <v>243.35</v>
      </c>
      <c r="E643" s="3388">
        <v>1.1307652995000002</v>
      </c>
      <c r="F643" s="3421">
        <v>2.2615305990000004E-2</v>
      </c>
      <c r="G643" s="78"/>
      <c r="H643" t="s">
        <v>2388</v>
      </c>
      <c r="I643" s="417">
        <v>144.19999999999999</v>
      </c>
      <c r="J643" s="417">
        <v>145.15</v>
      </c>
      <c r="K643" s="417">
        <v>148.35</v>
      </c>
      <c r="L643" s="417">
        <v>148.35</v>
      </c>
      <c r="M643" s="417">
        <v>150.80000000000001</v>
      </c>
      <c r="N643" s="417">
        <v>152.25</v>
      </c>
      <c r="O643" s="417">
        <v>152.65</v>
      </c>
      <c r="P643" s="417">
        <v>152</v>
      </c>
      <c r="Q643" s="417">
        <v>149.80000000000001</v>
      </c>
      <c r="R643" s="417">
        <v>146.05000000000001</v>
      </c>
      <c r="S643" s="417">
        <v>148.96</v>
      </c>
      <c r="T643" s="417">
        <v>1.1371389583807142E-2</v>
      </c>
      <c r="X643" s="434"/>
    </row>
    <row r="644" spans="1:24" ht="12.75" hidden="1" customHeight="1" outlineLevel="1" x14ac:dyDescent="0.25">
      <c r="A644" s="3181">
        <v>0.02</v>
      </c>
      <c r="B644" s="1931" t="s">
        <v>240</v>
      </c>
      <c r="C644" s="2108">
        <v>94.424000000000007</v>
      </c>
      <c r="D644" s="3387">
        <v>161.69999999999999</v>
      </c>
      <c r="E644" s="3388">
        <v>0.71248835041938463</v>
      </c>
      <c r="F644" s="3421">
        <v>1.4249767008387693E-2</v>
      </c>
      <c r="G644" s="78"/>
      <c r="H644" t="s">
        <v>241</v>
      </c>
      <c r="I644" s="417">
        <v>77.67</v>
      </c>
      <c r="J644" s="417">
        <v>77.37</v>
      </c>
      <c r="K644" s="417">
        <v>79.41</v>
      </c>
      <c r="L644" s="417">
        <v>79.08</v>
      </c>
      <c r="M644" s="417">
        <v>77.569999999999993</v>
      </c>
      <c r="N644" s="417">
        <v>77.8</v>
      </c>
      <c r="O644" s="417">
        <v>77.47</v>
      </c>
      <c r="P644" s="417">
        <v>77.37</v>
      </c>
      <c r="Q644" s="417">
        <v>76.739999999999995</v>
      </c>
      <c r="R644" s="417">
        <v>74.900000000000006</v>
      </c>
      <c r="S644" s="417">
        <v>77.537999999999997</v>
      </c>
      <c r="T644" s="417">
        <v>2.1181055663814282E-2</v>
      </c>
      <c r="X644" s="434"/>
    </row>
    <row r="645" spans="1:24" ht="12.75" hidden="1" customHeight="1" outlineLevel="1" x14ac:dyDescent="0.25">
      <c r="A645" s="3181">
        <v>0.08</v>
      </c>
      <c r="B645" s="1931" t="s">
        <v>1772</v>
      </c>
      <c r="C645" s="2108">
        <v>169.08500000000001</v>
      </c>
      <c r="D645" s="3387">
        <v>230.95</v>
      </c>
      <c r="E645" s="3388">
        <v>0.36588106573616797</v>
      </c>
      <c r="F645" s="3421">
        <v>2.9270485258893437E-2</v>
      </c>
      <c r="G645" s="78"/>
      <c r="H645" t="s">
        <v>4330</v>
      </c>
      <c r="I645" s="417">
        <v>164.7</v>
      </c>
      <c r="J645" s="417">
        <v>163.95</v>
      </c>
      <c r="K645" s="417">
        <v>166.65</v>
      </c>
      <c r="L645" s="417">
        <v>167.25</v>
      </c>
      <c r="M645" s="417">
        <v>167.55</v>
      </c>
      <c r="N645" s="417">
        <v>168.95</v>
      </c>
      <c r="O645" s="417">
        <v>168.85</v>
      </c>
      <c r="P645" s="417">
        <v>169.1</v>
      </c>
      <c r="Q645" s="417">
        <v>166.9</v>
      </c>
      <c r="R645" s="417">
        <v>166.1</v>
      </c>
      <c r="S645" s="417">
        <v>166.99999999999997</v>
      </c>
      <c r="T645" s="417">
        <v>4.731348138510217E-2</v>
      </c>
      <c r="X645" s="434"/>
    </row>
    <row r="646" spans="1:24" ht="12.75" hidden="1" customHeight="1" outlineLevel="1" x14ac:dyDescent="0.25">
      <c r="A646" s="3181">
        <v>0.02</v>
      </c>
      <c r="B646" s="1931" t="s">
        <v>7428</v>
      </c>
      <c r="C646" s="2108">
        <v>74.567999999999998</v>
      </c>
      <c r="D646" s="3387">
        <v>90.36</v>
      </c>
      <c r="E646" s="3388">
        <v>0.21177985194721605</v>
      </c>
      <c r="F646" s="3421">
        <v>4.2355970389443207E-3</v>
      </c>
      <c r="G646" s="78"/>
      <c r="H646" t="s">
        <v>7429</v>
      </c>
      <c r="I646" s="417">
        <v>37.53</v>
      </c>
      <c r="J646" s="417">
        <v>35.865000000000002</v>
      </c>
      <c r="K646" s="417">
        <v>37.17</v>
      </c>
      <c r="L646" s="417">
        <v>38.395000000000003</v>
      </c>
      <c r="M646" s="417">
        <v>40.450000000000003</v>
      </c>
      <c r="N646" s="417">
        <v>41.31</v>
      </c>
      <c r="O646" s="417">
        <v>42.22</v>
      </c>
      <c r="P646" s="417">
        <v>42.255000000000003</v>
      </c>
      <c r="Q646" s="417">
        <v>41.225000000000001</v>
      </c>
      <c r="R646" s="417">
        <v>40.21</v>
      </c>
      <c r="S646" s="417">
        <v>39.663000000000004</v>
      </c>
      <c r="T646" s="417">
        <v>2.6821156528269503E-2</v>
      </c>
      <c r="X646" s="434"/>
    </row>
    <row r="647" spans="1:24" ht="12.75" hidden="1" customHeight="1" outlineLevel="1" x14ac:dyDescent="0.25">
      <c r="A647" s="3181">
        <v>0.02</v>
      </c>
      <c r="B647" s="1931" t="s">
        <v>7433</v>
      </c>
      <c r="C647" s="2108">
        <v>46.273000000000003</v>
      </c>
      <c r="D647" s="3387">
        <v>16.774999999999999</v>
      </c>
      <c r="E647" s="3388">
        <v>-0.63747757871761079</v>
      </c>
      <c r="F647" s="3421">
        <v>-1.2749551574352216E-2</v>
      </c>
      <c r="G647" s="78"/>
      <c r="H647" t="s">
        <v>7431</v>
      </c>
      <c r="I647" s="417">
        <v>43.45</v>
      </c>
      <c r="J647" s="417">
        <v>43.65</v>
      </c>
      <c r="K647" s="417">
        <v>45.26</v>
      </c>
      <c r="L647" s="417">
        <v>45.93</v>
      </c>
      <c r="M647" s="417">
        <v>45.25</v>
      </c>
      <c r="N647" s="417">
        <v>46.3</v>
      </c>
      <c r="O647" s="417">
        <v>44.95</v>
      </c>
      <c r="P647" s="417">
        <v>44.524999999999999</v>
      </c>
      <c r="Q647" s="417">
        <v>44.12</v>
      </c>
      <c r="R647" s="417">
        <v>44.034999999999997</v>
      </c>
      <c r="S647" s="417">
        <v>44.746999999999993</v>
      </c>
      <c r="T647" s="417">
        <v>4.3221749184189487E-2</v>
      </c>
      <c r="X647" s="434"/>
    </row>
    <row r="648" spans="1:24" ht="12.75" hidden="1" customHeight="1" outlineLevel="1" x14ac:dyDescent="0.25">
      <c r="A648" s="3181">
        <v>0.05</v>
      </c>
      <c r="B648" s="1931" t="s">
        <v>3801</v>
      </c>
      <c r="C648" s="2108">
        <v>18.76893764693521</v>
      </c>
      <c r="D648" s="3387">
        <v>30.56</v>
      </c>
      <c r="E648" s="3388">
        <v>0.62822214953599986</v>
      </c>
      <c r="F648" s="3421">
        <v>3.1411107476799996E-2</v>
      </c>
      <c r="G648" s="78"/>
      <c r="H648" t="s">
        <v>2819</v>
      </c>
      <c r="I648" s="417">
        <v>9.7629999999999999</v>
      </c>
      <c r="J648" s="417">
        <v>10.43</v>
      </c>
      <c r="K648" s="417">
        <v>11.234999999999999</v>
      </c>
      <c r="L648" s="417">
        <v>11.025</v>
      </c>
      <c r="M648" s="417">
        <v>11.565</v>
      </c>
      <c r="N648" s="417">
        <v>11.53</v>
      </c>
      <c r="O648" s="417">
        <v>12.25</v>
      </c>
      <c r="P648" s="417">
        <v>13.395</v>
      </c>
      <c r="Q648" s="417">
        <v>12.625</v>
      </c>
      <c r="R648" s="417">
        <v>12.635</v>
      </c>
      <c r="S648" s="417">
        <v>11.645299999999999</v>
      </c>
      <c r="T648" s="417">
        <v>0.25362686415745156</v>
      </c>
      <c r="X648" s="434"/>
    </row>
    <row r="649" spans="1:24" ht="12.75" hidden="1" customHeight="1" outlineLevel="1" x14ac:dyDescent="0.25">
      <c r="A649" s="3181">
        <v>0.03</v>
      </c>
      <c r="B649" s="1931" t="s">
        <v>1206</v>
      </c>
      <c r="C649" s="2108">
        <v>65.816999999999993</v>
      </c>
      <c r="D649" s="3387">
        <v>118.84</v>
      </c>
      <c r="E649" s="3388">
        <v>0.80561253171672997</v>
      </c>
      <c r="F649" s="3421">
        <v>2.4168375951501897E-2</v>
      </c>
      <c r="G649" s="78"/>
      <c r="H649" t="s">
        <v>3484</v>
      </c>
      <c r="I649" s="417">
        <v>57.12</v>
      </c>
      <c r="J649" s="417">
        <v>57.69</v>
      </c>
      <c r="K649" s="417">
        <v>59.29</v>
      </c>
      <c r="L649" s="417">
        <v>59.89</v>
      </c>
      <c r="M649" s="417">
        <v>59.49</v>
      </c>
      <c r="N649" s="417">
        <v>59.47</v>
      </c>
      <c r="O649" s="417">
        <v>60.42</v>
      </c>
      <c r="P649" s="417">
        <v>60.51</v>
      </c>
      <c r="Q649" s="417">
        <v>63.75</v>
      </c>
      <c r="R649" s="417">
        <v>63.41</v>
      </c>
      <c r="S649" s="417">
        <v>60.104000000000006</v>
      </c>
      <c r="T649" s="417">
        <v>4.5580928939331786E-2</v>
      </c>
      <c r="X649" s="434"/>
    </row>
    <row r="650" spans="1:24" ht="12.75" hidden="1" customHeight="1" outlineLevel="1" x14ac:dyDescent="0.25">
      <c r="A650" s="3181">
        <v>0.05</v>
      </c>
      <c r="B650" s="1931" t="s">
        <v>1214</v>
      </c>
      <c r="C650" s="2108">
        <v>84.438394647378558</v>
      </c>
      <c r="D650" s="3387">
        <v>133.62</v>
      </c>
      <c r="E650" s="3388">
        <v>0.58245547606640002</v>
      </c>
      <c r="F650" s="3421">
        <v>2.9122773803320002E-2</v>
      </c>
      <c r="G650" s="78"/>
      <c r="H650" t="s">
        <v>3775</v>
      </c>
      <c r="I650" s="417">
        <v>79.03</v>
      </c>
      <c r="J650" s="417">
        <v>79.150000000000006</v>
      </c>
      <c r="K650" s="417">
        <v>81.459999999999994</v>
      </c>
      <c r="L650" s="417">
        <v>82.68</v>
      </c>
      <c r="M650" s="417">
        <v>84.61</v>
      </c>
      <c r="N650" s="417">
        <v>84.99</v>
      </c>
      <c r="O650" s="417">
        <v>85.99</v>
      </c>
      <c r="P650" s="417">
        <v>86.03</v>
      </c>
      <c r="Q650" s="417">
        <v>85.12</v>
      </c>
      <c r="R650" s="417">
        <v>83.71</v>
      </c>
      <c r="S650" s="417">
        <v>83.277000000000001</v>
      </c>
      <c r="T650" s="417">
        <v>5.4006178306798304E-2</v>
      </c>
      <c r="X650" s="434"/>
    </row>
    <row r="651" spans="1:24" ht="12.75" hidden="1" customHeight="1" outlineLevel="1" x14ac:dyDescent="0.25">
      <c r="A651" s="3181">
        <v>0.02</v>
      </c>
      <c r="B651" s="1931" t="s">
        <v>2631</v>
      </c>
      <c r="C651" s="2108">
        <v>23.592500000000001</v>
      </c>
      <c r="D651" s="3387">
        <v>8.7899999999999991</v>
      </c>
      <c r="E651" s="3388">
        <v>-0.62742396948182688</v>
      </c>
      <c r="F651" s="3421">
        <v>-1.2548479389636538E-2</v>
      </c>
      <c r="G651" s="78"/>
      <c r="H651" t="s">
        <v>1727</v>
      </c>
      <c r="I651" s="417">
        <v>15.565</v>
      </c>
      <c r="J651" s="417">
        <v>15.93</v>
      </c>
      <c r="K651" s="417">
        <v>16.715</v>
      </c>
      <c r="L651" s="417">
        <v>16.95</v>
      </c>
      <c r="M651" s="417">
        <v>17.745000000000001</v>
      </c>
      <c r="N651" s="417">
        <v>18.004999999999999</v>
      </c>
      <c r="O651" s="417">
        <v>18.22</v>
      </c>
      <c r="P651" s="417">
        <v>17.975000000000001</v>
      </c>
      <c r="Q651" s="417">
        <v>17.695</v>
      </c>
      <c r="R651" s="417">
        <v>17.59</v>
      </c>
      <c r="S651" s="417">
        <v>17.238999999999997</v>
      </c>
      <c r="T651" s="417">
        <v>8.4772703189572959E-2</v>
      </c>
      <c r="X651" s="434"/>
    </row>
    <row r="652" spans="1:24" ht="12.75" hidden="1" customHeight="1" outlineLevel="1" x14ac:dyDescent="0.25">
      <c r="A652" s="3181">
        <v>0.02</v>
      </c>
      <c r="B652" s="1931" t="s">
        <v>7440</v>
      </c>
      <c r="C652" s="2108">
        <v>42.7</v>
      </c>
      <c r="D652" s="3387">
        <v>34.479999999999997</v>
      </c>
      <c r="E652" s="3388">
        <v>-0.19250585480093685</v>
      </c>
      <c r="F652" s="3421">
        <v>-3.8501170960187369E-3</v>
      </c>
      <c r="G652" s="78"/>
      <c r="H652" t="s">
        <v>7441</v>
      </c>
      <c r="I652" s="417">
        <v>44.77</v>
      </c>
      <c r="J652" s="417">
        <v>45</v>
      </c>
      <c r="K652" s="417">
        <v>47.034999999999997</v>
      </c>
      <c r="L652" s="417">
        <v>47.704999999999998</v>
      </c>
      <c r="M652" s="417">
        <v>46.924999999999997</v>
      </c>
      <c r="N652" s="417">
        <v>47</v>
      </c>
      <c r="O652" s="417">
        <v>45.86</v>
      </c>
      <c r="P652" s="417">
        <v>45.134999999999998</v>
      </c>
      <c r="Q652" s="417">
        <v>44.905000000000001</v>
      </c>
      <c r="R652" s="417">
        <v>44.46</v>
      </c>
      <c r="S652" s="417">
        <v>45.8795</v>
      </c>
      <c r="T652" s="417">
        <v>4.6838407494145196E-2</v>
      </c>
      <c r="X652" s="434"/>
    </row>
    <row r="653" spans="1:24" ht="12.75" hidden="1" customHeight="1" outlineLevel="1" x14ac:dyDescent="0.25">
      <c r="A653" s="3181">
        <v>0.02</v>
      </c>
      <c r="B653" s="1931" t="s">
        <v>9664</v>
      </c>
      <c r="C653" s="2108">
        <v>201.73</v>
      </c>
      <c r="D653" s="3387">
        <v>211.2</v>
      </c>
      <c r="E653" s="3388">
        <v>4.6943934962573763E-2</v>
      </c>
      <c r="F653" s="3421">
        <v>9.3887869925147528E-4</v>
      </c>
      <c r="G653" s="78"/>
      <c r="H653" t="s">
        <v>9673</v>
      </c>
      <c r="I653" s="417">
        <v>96.5</v>
      </c>
      <c r="J653" s="417">
        <v>92.36</v>
      </c>
      <c r="K653" s="417">
        <v>93.52</v>
      </c>
      <c r="L653" s="417">
        <v>97.09</v>
      </c>
      <c r="M653" s="417">
        <v>104</v>
      </c>
      <c r="N653" s="417">
        <v>103.5</v>
      </c>
      <c r="O653" s="417">
        <v>106.6</v>
      </c>
      <c r="P653" s="417">
        <v>108.55</v>
      </c>
      <c r="Q653" s="417">
        <v>106.3</v>
      </c>
      <c r="R653" s="417">
        <v>106.6</v>
      </c>
      <c r="S653" s="417">
        <v>101.502</v>
      </c>
      <c r="T653" s="417">
        <v>9.9142418083577079E-3</v>
      </c>
      <c r="X653" s="434"/>
    </row>
    <row r="654" spans="1:24" ht="12.75" hidden="1" customHeight="1" outlineLevel="1" x14ac:dyDescent="0.25">
      <c r="A654" s="3422" t="s">
        <v>2734</v>
      </c>
      <c r="B654" s="2103"/>
      <c r="C654" s="3259"/>
      <c r="D654" s="3259"/>
      <c r="E654" s="3260"/>
      <c r="F654" s="3260">
        <v>0.19873987093146528</v>
      </c>
      <c r="G654" s="78"/>
      <c r="I654" s="412" t="s">
        <v>7697</v>
      </c>
      <c r="S654" s="1348">
        <v>89.735117195951901</v>
      </c>
    </row>
    <row r="655" spans="1:24" ht="12.75" hidden="1" customHeight="1" outlineLevel="1" x14ac:dyDescent="0.25">
      <c r="A655" s="1956" t="s">
        <v>7676</v>
      </c>
      <c r="B655" s="2185">
        <v>44013</v>
      </c>
      <c r="C655" s="3423">
        <v>100</v>
      </c>
      <c r="D655" s="3261">
        <v>100.76649999999999</v>
      </c>
      <c r="E655" s="3262">
        <v>7.6650000000000329E-3</v>
      </c>
      <c r="F655" s="3263"/>
      <c r="G655" s="78"/>
      <c r="I655" s="412">
        <v>89.735100000000003</v>
      </c>
    </row>
    <row r="656" spans="1:24" ht="12.75" hidden="1" customHeight="1" outlineLevel="1" x14ac:dyDescent="0.25">
      <c r="A656" s="1956" t="s">
        <v>7677</v>
      </c>
      <c r="B656" s="2185">
        <v>44044</v>
      </c>
      <c r="C656" s="3423">
        <v>100</v>
      </c>
      <c r="D656" s="3264">
        <v>106.1203</v>
      </c>
      <c r="E656" s="3262">
        <v>6.1202999999999896E-2</v>
      </c>
      <c r="F656" s="3263"/>
      <c r="G656" s="78"/>
    </row>
    <row r="657" spans="1:7" ht="12.75" hidden="1" customHeight="1" outlineLevel="1" x14ac:dyDescent="0.25">
      <c r="A657" s="1956" t="s">
        <v>7678</v>
      </c>
      <c r="B657" s="2185">
        <v>44075</v>
      </c>
      <c r="C657" s="3423">
        <v>100</v>
      </c>
      <c r="D657" s="3264">
        <v>102.6172</v>
      </c>
      <c r="E657" s="3262">
        <v>2.6171999999999862E-2</v>
      </c>
      <c r="F657" s="3263"/>
      <c r="G657" s="78"/>
    </row>
    <row r="658" spans="1:7" ht="12.75" hidden="1" customHeight="1" outlineLevel="1" x14ac:dyDescent="0.25">
      <c r="A658" s="1956" t="s">
        <v>7679</v>
      </c>
      <c r="B658" s="2185">
        <v>44105</v>
      </c>
      <c r="C658" s="3423">
        <v>100</v>
      </c>
      <c r="D658" s="3264">
        <v>93.631100000000004</v>
      </c>
      <c r="E658" s="3262">
        <v>-6.3688999999999996E-2</v>
      </c>
      <c r="F658" s="3263"/>
      <c r="G658" s="78"/>
    </row>
    <row r="659" spans="1:7" ht="12.75" hidden="1" customHeight="1" outlineLevel="1" x14ac:dyDescent="0.25">
      <c r="A659" s="1956" t="s">
        <v>7680</v>
      </c>
      <c r="B659" s="2185">
        <v>44136</v>
      </c>
      <c r="C659" s="3423">
        <v>100</v>
      </c>
      <c r="D659" s="3264">
        <v>107.4417</v>
      </c>
      <c r="E659" s="3262">
        <v>7.4416999999999955E-2</v>
      </c>
      <c r="F659" s="3263"/>
      <c r="G659" s="78"/>
    </row>
    <row r="660" spans="1:7" ht="12.75" hidden="1" customHeight="1" outlineLevel="1" x14ac:dyDescent="0.25">
      <c r="A660" s="1956" t="s">
        <v>7681</v>
      </c>
      <c r="B660" s="2185">
        <v>44166</v>
      </c>
      <c r="C660" s="3423">
        <v>100</v>
      </c>
      <c r="D660" s="3264">
        <v>110.70269999999999</v>
      </c>
      <c r="E660" s="3262">
        <v>0.10702699999999998</v>
      </c>
      <c r="F660" s="3263"/>
      <c r="G660" s="78"/>
    </row>
    <row r="661" spans="1:7" ht="12.75" hidden="1" customHeight="1" outlineLevel="1" x14ac:dyDescent="0.25">
      <c r="A661" s="1956" t="s">
        <v>7682</v>
      </c>
      <c r="B661" s="2185">
        <v>44197</v>
      </c>
      <c r="C661" s="3423">
        <v>100</v>
      </c>
      <c r="D661" s="3264">
        <v>108.18600000000001</v>
      </c>
      <c r="E661" s="3262">
        <v>8.1860000000000044E-2</v>
      </c>
      <c r="F661" s="3263"/>
      <c r="G661" s="78"/>
    </row>
    <row r="662" spans="1:7" ht="12.75" hidden="1" customHeight="1" outlineLevel="1" x14ac:dyDescent="0.25">
      <c r="A662" s="1956" t="s">
        <v>7683</v>
      </c>
      <c r="B662" s="2185">
        <v>44228</v>
      </c>
      <c r="C662" s="3423">
        <v>100</v>
      </c>
      <c r="D662" s="3264">
        <v>111.3515</v>
      </c>
      <c r="E662" s="3262">
        <v>0.11351500000000003</v>
      </c>
      <c r="F662" s="3263"/>
      <c r="G662" s="78"/>
    </row>
    <row r="663" spans="1:7" ht="12.75" hidden="1" customHeight="1" outlineLevel="1" x14ac:dyDescent="0.25">
      <c r="A663" s="1956" t="s">
        <v>7684</v>
      </c>
      <c r="B663" s="2185">
        <v>44256</v>
      </c>
      <c r="C663" s="3423">
        <v>100</v>
      </c>
      <c r="D663" s="3264">
        <v>119.48390000000001</v>
      </c>
      <c r="E663" s="3262">
        <v>0.19483899999999998</v>
      </c>
      <c r="F663" s="3263"/>
      <c r="G663" s="78"/>
    </row>
    <row r="664" spans="1:7" ht="12.75" hidden="1" customHeight="1" outlineLevel="1" x14ac:dyDescent="0.25">
      <c r="A664" s="1956" t="s">
        <v>7685</v>
      </c>
      <c r="B664" s="2185">
        <v>44287</v>
      </c>
      <c r="C664" s="3423">
        <v>100</v>
      </c>
      <c r="D664" s="3264">
        <v>118.1729</v>
      </c>
      <c r="E664" s="3262">
        <v>0.18172900000000003</v>
      </c>
      <c r="F664" s="3263"/>
      <c r="G664" s="78"/>
    </row>
    <row r="665" spans="1:7" ht="12.75" hidden="1" customHeight="1" outlineLevel="1" x14ac:dyDescent="0.25">
      <c r="A665" s="1956" t="s">
        <v>7686</v>
      </c>
      <c r="B665" s="2185">
        <v>44317</v>
      </c>
      <c r="C665" s="3423">
        <v>100</v>
      </c>
      <c r="D665" s="3264">
        <v>119.3617</v>
      </c>
      <c r="E665" s="3262">
        <v>0.19361699999999993</v>
      </c>
      <c r="F665" s="3263"/>
      <c r="G665" s="78"/>
    </row>
    <row r="666" spans="1:7" ht="12.75" hidden="1" customHeight="1" outlineLevel="1" x14ac:dyDescent="0.25">
      <c r="A666" s="1956" t="s">
        <v>7687</v>
      </c>
      <c r="B666" s="2185">
        <v>44348</v>
      </c>
      <c r="C666" s="3423">
        <v>100</v>
      </c>
      <c r="D666" s="3264">
        <v>119.874</v>
      </c>
      <c r="E666" s="3262">
        <v>0.19873999999999992</v>
      </c>
      <c r="F666" s="3263"/>
      <c r="G666" s="78"/>
    </row>
    <row r="667" spans="1:7" ht="12.75" hidden="1" customHeight="1" outlineLevel="1" x14ac:dyDescent="0.25">
      <c r="A667" s="2189" t="s">
        <v>2734</v>
      </c>
      <c r="B667" s="2190"/>
      <c r="C667" s="3264"/>
      <c r="D667" s="2191" t="s">
        <v>2465</v>
      </c>
      <c r="E667" s="1987">
        <v>9.8091249999999963E-2</v>
      </c>
      <c r="F667" s="2528">
        <v>0.20074024999999993</v>
      </c>
      <c r="G667" s="78"/>
    </row>
    <row r="668" spans="1:7" collapsed="1" x14ac:dyDescent="0.25">
      <c r="A668" s="3801" t="s">
        <v>7675</v>
      </c>
      <c r="B668" s="3802"/>
      <c r="C668" s="3802"/>
      <c r="D668" s="3802"/>
      <c r="E668" s="1906"/>
      <c r="F668" s="1907">
        <v>0.20074024999999993</v>
      </c>
      <c r="G668" s="78"/>
    </row>
    <row r="670" spans="1:7" ht="12.75" hidden="1" customHeight="1" outlineLevel="1" x14ac:dyDescent="0.25">
      <c r="A670" s="3237" t="s">
        <v>113</v>
      </c>
      <c r="B670" s="3237" t="s">
        <v>114</v>
      </c>
      <c r="C670" s="3237" t="s">
        <v>112</v>
      </c>
      <c r="D670" s="3237" t="s">
        <v>116</v>
      </c>
      <c r="E670" s="3237" t="s">
        <v>117</v>
      </c>
      <c r="F670" s="3237" t="s">
        <v>121</v>
      </c>
      <c r="G670" s="78"/>
    </row>
    <row r="671" spans="1:7" ht="12.75" hidden="1" customHeight="1" outlineLevel="1" x14ac:dyDescent="0.25">
      <c r="A671" s="3238">
        <v>1</v>
      </c>
      <c r="B671" s="3239" t="s">
        <v>252</v>
      </c>
      <c r="C671" s="3240">
        <v>100</v>
      </c>
      <c r="D671" s="3240"/>
      <c r="E671" s="3241"/>
      <c r="F671" s="3242"/>
      <c r="G671" s="78"/>
    </row>
    <row r="672" spans="1:7" ht="12.75" hidden="1" customHeight="1" outlineLevel="1" x14ac:dyDescent="0.25">
      <c r="A672" s="3243" t="s">
        <v>2734</v>
      </c>
      <c r="B672" s="3243"/>
      <c r="C672" s="3244"/>
      <c r="D672" s="1900" t="s">
        <v>3702</v>
      </c>
      <c r="E672" s="3245">
        <v>44347</v>
      </c>
      <c r="F672" s="3246"/>
      <c r="G672" s="78"/>
    </row>
    <row r="673" spans="1:12" ht="12.75" hidden="1" customHeight="1" outlineLevel="1" x14ac:dyDescent="0.25">
      <c r="A673" s="3237" t="s">
        <v>4156</v>
      </c>
      <c r="B673" s="3237" t="s">
        <v>4153</v>
      </c>
      <c r="C673" s="3247" t="s">
        <v>112</v>
      </c>
      <c r="D673" s="3248" t="s">
        <v>4155</v>
      </c>
      <c r="E673" s="3248" t="s">
        <v>4154</v>
      </c>
      <c r="F673" s="3248" t="s">
        <v>2519</v>
      </c>
      <c r="G673" s="78"/>
    </row>
    <row r="674" spans="1:12" ht="12.75" hidden="1" customHeight="1" outlineLevel="1" x14ac:dyDescent="0.25">
      <c r="A674" s="1991">
        <v>0.08</v>
      </c>
      <c r="B674" s="1921" t="s">
        <v>10436</v>
      </c>
      <c r="C674" s="2108">
        <v>13.151904729953696</v>
      </c>
      <c r="D674" s="3249">
        <v>18.3626</v>
      </c>
      <c r="E674" s="3250">
        <v>0.39619320372499756</v>
      </c>
      <c r="F674" s="3251">
        <v>3.1695456297999802E-2</v>
      </c>
      <c r="G674" s="78"/>
      <c r="H674" t="s">
        <v>10437</v>
      </c>
      <c r="I674" s="1544" t="s">
        <v>8086</v>
      </c>
      <c r="L674" s="434"/>
    </row>
    <row r="675" spans="1:12" ht="12.75" hidden="1" customHeight="1" outlineLevel="1" x14ac:dyDescent="0.25">
      <c r="A675" s="2380">
        <v>0.02</v>
      </c>
      <c r="B675" s="1921" t="s">
        <v>2917</v>
      </c>
      <c r="C675" s="2108">
        <v>89.055999999999983</v>
      </c>
      <c r="D675" s="3252">
        <v>298.35000000000002</v>
      </c>
      <c r="E675" s="3253">
        <v>2.3501392382321247</v>
      </c>
      <c r="F675" s="3254">
        <v>4.7002784764642494E-2</v>
      </c>
      <c r="G675" s="78"/>
      <c r="H675" t="s">
        <v>2929</v>
      </c>
      <c r="I675" s="1544">
        <v>96.517600000000002</v>
      </c>
      <c r="L675" s="434"/>
    </row>
    <row r="676" spans="1:12" ht="12.75" hidden="1" customHeight="1" outlineLevel="1" x14ac:dyDescent="0.25">
      <c r="A676" s="2380">
        <v>0.02</v>
      </c>
      <c r="B676" s="1921" t="s">
        <v>3320</v>
      </c>
      <c r="C676" s="2108">
        <v>114.77000000000001</v>
      </c>
      <c r="D676" s="3252">
        <v>61.56</v>
      </c>
      <c r="E676" s="3253">
        <v>-0.46362289796985279</v>
      </c>
      <c r="F676" s="3254">
        <v>-9.2724579593970562E-3</v>
      </c>
      <c r="G676" s="78"/>
      <c r="H676" t="s">
        <v>4093</v>
      </c>
      <c r="L676" s="434"/>
    </row>
    <row r="677" spans="1:12" ht="12.75" hidden="1" customHeight="1" outlineLevel="1" x14ac:dyDescent="0.25">
      <c r="A677" s="2380">
        <v>0.08</v>
      </c>
      <c r="B677" s="1921" t="s">
        <v>7407</v>
      </c>
      <c r="C677" s="2108">
        <v>42.054000000000002</v>
      </c>
      <c r="D677" s="3252">
        <v>26.6</v>
      </c>
      <c r="E677" s="3253">
        <v>-0.36747990678651254</v>
      </c>
      <c r="F677" s="3254">
        <v>-2.9398392542921006E-2</v>
      </c>
      <c r="G677" s="78"/>
      <c r="H677" t="s">
        <v>7408</v>
      </c>
      <c r="I677" s="412" t="s">
        <v>8087</v>
      </c>
      <c r="L677" s="434"/>
    </row>
    <row r="678" spans="1:12" ht="12.75" hidden="1" customHeight="1" outlineLevel="1" x14ac:dyDescent="0.25">
      <c r="A678" s="2380">
        <v>0.02</v>
      </c>
      <c r="B678" s="1921" t="s">
        <v>2467</v>
      </c>
      <c r="C678" s="2108">
        <v>35.238999999999997</v>
      </c>
      <c r="D678" s="3252">
        <v>33.380000000000003</v>
      </c>
      <c r="E678" s="3253">
        <v>-5.275405090950358E-2</v>
      </c>
      <c r="F678" s="3254">
        <v>-1.0550810181900717E-3</v>
      </c>
      <c r="G678" s="78"/>
      <c r="H678" t="s">
        <v>2468</v>
      </c>
      <c r="L678" s="434"/>
    </row>
    <row r="679" spans="1:12" ht="12.75" hidden="1" customHeight="1" outlineLevel="1" x14ac:dyDescent="0.25">
      <c r="A679" s="2380">
        <v>0.03</v>
      </c>
      <c r="B679" s="1921" t="s">
        <v>7553</v>
      </c>
      <c r="C679" s="2108">
        <v>46.186499999999995</v>
      </c>
      <c r="D679" s="3252">
        <v>26.4</v>
      </c>
      <c r="E679" s="3253">
        <v>-0.42840440388425183</v>
      </c>
      <c r="F679" s="3254">
        <v>-1.2852132116527554E-2</v>
      </c>
      <c r="G679" s="78"/>
      <c r="H679" t="s">
        <v>7551</v>
      </c>
      <c r="L679" s="434"/>
    </row>
    <row r="680" spans="1:12" ht="12.75" hidden="1" customHeight="1" outlineLevel="1" x14ac:dyDescent="0.25">
      <c r="A680" s="2380">
        <v>0.02</v>
      </c>
      <c r="B680" s="1921" t="s">
        <v>1528</v>
      </c>
      <c r="C680" s="2108">
        <v>141.62682857407941</v>
      </c>
      <c r="D680" s="3252">
        <v>652</v>
      </c>
      <c r="E680" s="3253">
        <v>3.6036475332000002</v>
      </c>
      <c r="F680" s="3254">
        <v>7.2072950664000004E-2</v>
      </c>
      <c r="G680" s="78"/>
      <c r="H680" t="s">
        <v>4149</v>
      </c>
      <c r="L680" s="434"/>
    </row>
    <row r="681" spans="1:12" ht="12.75" hidden="1" customHeight="1" outlineLevel="1" x14ac:dyDescent="0.25">
      <c r="A681" s="2380">
        <v>0.06</v>
      </c>
      <c r="B681" s="1921" t="s">
        <v>1441</v>
      </c>
      <c r="C681" s="2108">
        <v>13.7135</v>
      </c>
      <c r="D681" s="3252">
        <v>10.678000000000001</v>
      </c>
      <c r="E681" s="3253">
        <v>-0.22135122324716516</v>
      </c>
      <c r="F681" s="3254">
        <v>-1.3281073394829909E-2</v>
      </c>
      <c r="G681" s="78"/>
      <c r="H681" t="s">
        <v>1978</v>
      </c>
      <c r="L681" s="434"/>
    </row>
    <row r="682" spans="1:12" ht="12.75" hidden="1" customHeight="1" outlineLevel="1" x14ac:dyDescent="0.25">
      <c r="A682" s="2380">
        <v>0.03</v>
      </c>
      <c r="B682" s="1921" t="s">
        <v>7316</v>
      </c>
      <c r="C682" s="2108">
        <v>45.25</v>
      </c>
      <c r="D682" s="3252">
        <v>150.69999999999999</v>
      </c>
      <c r="E682" s="3253">
        <v>2.3303867403314915</v>
      </c>
      <c r="F682" s="3254">
        <v>6.9911602209944745E-2</v>
      </c>
      <c r="G682" s="78"/>
      <c r="H682" t="s">
        <v>3309</v>
      </c>
      <c r="L682" s="434"/>
    </row>
    <row r="683" spans="1:12" ht="12.75" hidden="1" customHeight="1" outlineLevel="1" x14ac:dyDescent="0.25">
      <c r="A683" s="2380">
        <v>0.03</v>
      </c>
      <c r="B683" s="1921" t="s">
        <v>4338</v>
      </c>
      <c r="C683" s="2108">
        <v>15.452986545087706</v>
      </c>
      <c r="D683" s="3252">
        <v>12.15</v>
      </c>
      <c r="E683" s="3253">
        <v>-0.21374421930999998</v>
      </c>
      <c r="F683" s="3254">
        <v>-6.4123265792999989E-3</v>
      </c>
      <c r="G683" s="78"/>
      <c r="H683" t="s">
        <v>7229</v>
      </c>
      <c r="L683" s="434"/>
    </row>
    <row r="684" spans="1:12" ht="12.75" hidden="1" customHeight="1" outlineLevel="1" x14ac:dyDescent="0.25">
      <c r="A684" s="2380">
        <v>0.02</v>
      </c>
      <c r="B684" s="1921" t="s">
        <v>7562</v>
      </c>
      <c r="C684" s="2108">
        <v>9.8778999999999986</v>
      </c>
      <c r="D684" s="3252">
        <v>10.18</v>
      </c>
      <c r="E684" s="3253">
        <v>3.0583423602182691E-2</v>
      </c>
      <c r="F684" s="3254">
        <v>6.1166847204365384E-4</v>
      </c>
      <c r="G684" s="78"/>
      <c r="H684" t="s">
        <v>7560</v>
      </c>
      <c r="L684" s="434"/>
    </row>
    <row r="685" spans="1:12" ht="12.75" hidden="1" customHeight="1" outlineLevel="1" x14ac:dyDescent="0.25">
      <c r="A685" s="2380">
        <v>0.05</v>
      </c>
      <c r="B685" s="1921" t="s">
        <v>9767</v>
      </c>
      <c r="C685" s="2108">
        <v>19.398499999999999</v>
      </c>
      <c r="D685" s="3252">
        <v>21.43</v>
      </c>
      <c r="E685" s="3253">
        <v>0.10472459210763718</v>
      </c>
      <c r="F685" s="3254">
        <v>5.2362296053818595E-3</v>
      </c>
      <c r="G685" s="78"/>
      <c r="H685" t="s">
        <v>9768</v>
      </c>
      <c r="L685" s="434"/>
    </row>
    <row r="686" spans="1:12" ht="12.75" hidden="1" customHeight="1" outlineLevel="1" x14ac:dyDescent="0.25">
      <c r="A686" s="2380">
        <v>0.02</v>
      </c>
      <c r="B686" s="1921" t="s">
        <v>7871</v>
      </c>
      <c r="C686" s="2519">
        <v>6.5255999999999998</v>
      </c>
      <c r="D686" s="3252">
        <v>10.994999999999999</v>
      </c>
      <c r="E686" s="3253">
        <v>0.68490253769768294</v>
      </c>
      <c r="F686" s="3254">
        <v>1.369805075395366E-2</v>
      </c>
      <c r="G686" s="78"/>
      <c r="H686" t="s">
        <v>7872</v>
      </c>
      <c r="L686" s="434"/>
    </row>
    <row r="687" spans="1:12" ht="12.75" hidden="1" customHeight="1" outlineLevel="1" x14ac:dyDescent="0.25">
      <c r="A687" s="2380">
        <v>0.03</v>
      </c>
      <c r="B687" s="1921" t="s">
        <v>6450</v>
      </c>
      <c r="C687" s="2108">
        <v>145.91590714518679</v>
      </c>
      <c r="D687" s="3252">
        <v>748.3</v>
      </c>
      <c r="E687" s="3253">
        <v>4.1282962539199994</v>
      </c>
      <c r="F687" s="3254">
        <v>0.12384888761759998</v>
      </c>
      <c r="G687" s="78"/>
      <c r="H687" t="s">
        <v>6448</v>
      </c>
      <c r="L687" s="434"/>
    </row>
    <row r="688" spans="1:12" ht="12.75" hidden="1" customHeight="1" outlineLevel="1" x14ac:dyDescent="0.25">
      <c r="A688" s="2380">
        <v>0.03</v>
      </c>
      <c r="B688" s="1921" t="s">
        <v>6742</v>
      </c>
      <c r="C688" s="2108">
        <v>38.882999999999996</v>
      </c>
      <c r="D688" s="3252">
        <v>66.14</v>
      </c>
      <c r="E688" s="3253">
        <v>0.70100043720906324</v>
      </c>
      <c r="F688" s="3254">
        <v>2.1030013116271895E-2</v>
      </c>
      <c r="G688" s="78"/>
      <c r="H688" t="s">
        <v>6743</v>
      </c>
      <c r="L688" s="434"/>
    </row>
    <row r="689" spans="1:12" ht="12.75" hidden="1" customHeight="1" outlineLevel="1" x14ac:dyDescent="0.25">
      <c r="A689" s="2380">
        <v>0.02</v>
      </c>
      <c r="B689" s="1921" t="s">
        <v>4034</v>
      </c>
      <c r="C689" s="2108">
        <v>19.485882868553684</v>
      </c>
      <c r="D689" s="3252">
        <v>23.625</v>
      </c>
      <c r="E689" s="3253">
        <v>0.21241619686250002</v>
      </c>
      <c r="F689" s="3254">
        <v>4.2483239372500007E-3</v>
      </c>
      <c r="G689" s="78"/>
      <c r="H689" t="s">
        <v>8151</v>
      </c>
      <c r="L689" s="434"/>
    </row>
    <row r="690" spans="1:12" ht="12.75" hidden="1" customHeight="1" outlineLevel="1" x14ac:dyDescent="0.25">
      <c r="A690" s="2380">
        <v>0.02</v>
      </c>
      <c r="B690" s="1921" t="s">
        <v>64</v>
      </c>
      <c r="C690" s="2108">
        <v>86.136363864429242</v>
      </c>
      <c r="D690" s="3252">
        <v>246.7</v>
      </c>
      <c r="E690" s="3253">
        <v>1.8640633169549998</v>
      </c>
      <c r="F690" s="3254">
        <v>3.7281266339099998E-2</v>
      </c>
      <c r="G690" s="78"/>
      <c r="H690" t="s">
        <v>2388</v>
      </c>
      <c r="L690" s="434"/>
    </row>
    <row r="691" spans="1:12" ht="12.75" hidden="1" customHeight="1" outlineLevel="1" x14ac:dyDescent="0.25">
      <c r="A691" s="2380">
        <v>0.02</v>
      </c>
      <c r="B691" s="1921" t="s">
        <v>240</v>
      </c>
      <c r="C691" s="2108">
        <v>88.625999999999976</v>
      </c>
      <c r="D691" s="3252">
        <v>147.55000000000001</v>
      </c>
      <c r="E691" s="3253">
        <v>0.66486132737571424</v>
      </c>
      <c r="F691" s="3254">
        <v>1.3297226547514284E-2</v>
      </c>
      <c r="G691" s="78"/>
      <c r="H691" t="s">
        <v>241</v>
      </c>
      <c r="L691" s="434"/>
    </row>
    <row r="692" spans="1:12" ht="12.75" hidden="1" customHeight="1" outlineLevel="1" x14ac:dyDescent="0.25">
      <c r="A692" s="2380">
        <v>0.08</v>
      </c>
      <c r="B692" s="1921" t="s">
        <v>1772</v>
      </c>
      <c r="C692" s="2108">
        <v>184.285</v>
      </c>
      <c r="D692" s="3252">
        <v>236.15</v>
      </c>
      <c r="E692" s="3253">
        <v>0.28143907534525336</v>
      </c>
      <c r="F692" s="3254">
        <v>2.2515126027620271E-2</v>
      </c>
      <c r="G692" s="78"/>
      <c r="H692" t="s">
        <v>4330</v>
      </c>
      <c r="L692" s="434"/>
    </row>
    <row r="693" spans="1:12" ht="12.75" hidden="1" customHeight="1" outlineLevel="1" x14ac:dyDescent="0.25">
      <c r="A693" s="2380">
        <v>0.02</v>
      </c>
      <c r="B693" s="1921" t="s">
        <v>818</v>
      </c>
      <c r="C693" s="2108">
        <v>59.245999999999995</v>
      </c>
      <c r="D693" s="3252">
        <v>55.5</v>
      </c>
      <c r="E693" s="3253">
        <v>-6.3227897242007836E-2</v>
      </c>
      <c r="F693" s="3254">
        <v>-1.2645579448401568E-3</v>
      </c>
      <c r="G693" s="78"/>
      <c r="H693" t="s">
        <v>2421</v>
      </c>
      <c r="L693" s="434"/>
    </row>
    <row r="694" spans="1:12" ht="12.75" hidden="1" customHeight="1" outlineLevel="1" x14ac:dyDescent="0.25">
      <c r="A694" s="2380">
        <v>0.02</v>
      </c>
      <c r="B694" s="1921" t="s">
        <v>54</v>
      </c>
      <c r="C694" s="2108">
        <v>10.713500000000002</v>
      </c>
      <c r="D694" s="3252">
        <v>10.923999999999999</v>
      </c>
      <c r="E694" s="3253">
        <v>1.964810752788515E-2</v>
      </c>
      <c r="F694" s="3254">
        <v>3.9296215055770303E-4</v>
      </c>
      <c r="G694" s="78"/>
      <c r="H694" t="s">
        <v>6741</v>
      </c>
      <c r="L694" s="434"/>
    </row>
    <row r="695" spans="1:12" ht="12.75" hidden="1" customHeight="1" outlineLevel="1" x14ac:dyDescent="0.25">
      <c r="A695" s="2380">
        <v>0.02</v>
      </c>
      <c r="B695" s="1921" t="s">
        <v>1187</v>
      </c>
      <c r="C695" s="2108">
        <v>77.960999999999999</v>
      </c>
      <c r="D695" s="3252">
        <v>86.97</v>
      </c>
      <c r="E695" s="3253">
        <v>0.11555777888944463</v>
      </c>
      <c r="F695" s="3254">
        <v>2.3111555777888928E-3</v>
      </c>
      <c r="G695" s="78"/>
      <c r="H695" t="s">
        <v>3483</v>
      </c>
      <c r="L695" s="434"/>
    </row>
    <row r="696" spans="1:12" ht="12.75" hidden="1" customHeight="1" outlineLevel="1" x14ac:dyDescent="0.25">
      <c r="A696" s="2380">
        <v>0.03</v>
      </c>
      <c r="B696" s="1921" t="s">
        <v>1214</v>
      </c>
      <c r="C696" s="2108">
        <v>81.4751798289616</v>
      </c>
      <c r="D696" s="3252">
        <v>132.63999999999999</v>
      </c>
      <c r="E696" s="3253">
        <v>0.62798045095999977</v>
      </c>
      <c r="F696" s="3254">
        <v>1.8839413528799993E-2</v>
      </c>
      <c r="G696" s="78"/>
      <c r="H696" t="s">
        <v>3775</v>
      </c>
      <c r="L696" s="434"/>
    </row>
    <row r="697" spans="1:12" ht="12.75" hidden="1" customHeight="1" outlineLevel="1" x14ac:dyDescent="0.25">
      <c r="A697" s="2380">
        <v>0.05</v>
      </c>
      <c r="B697" s="1921" t="s">
        <v>7563</v>
      </c>
      <c r="C697" s="2108">
        <v>90.950999999999993</v>
      </c>
      <c r="D697" s="3252">
        <v>79.2</v>
      </c>
      <c r="E697" s="3253">
        <v>-0.12920143813701879</v>
      </c>
      <c r="F697" s="3254">
        <v>-6.4600719068509393E-3</v>
      </c>
      <c r="G697" s="78"/>
      <c r="H697" t="s">
        <v>7564</v>
      </c>
      <c r="L697" s="434"/>
    </row>
    <row r="698" spans="1:12" ht="12.75" hidden="1" customHeight="1" outlineLevel="1" x14ac:dyDescent="0.25">
      <c r="A698" s="2380">
        <v>0.02</v>
      </c>
      <c r="B698" s="1921" t="s">
        <v>7374</v>
      </c>
      <c r="C698" s="2108">
        <v>93.565999999999988</v>
      </c>
      <c r="D698" s="3252">
        <v>110.4</v>
      </c>
      <c r="E698" s="3253">
        <v>0.17991578137357611</v>
      </c>
      <c r="F698" s="3254">
        <v>3.5983156274715222E-3</v>
      </c>
      <c r="G698" s="78"/>
      <c r="H698" t="s">
        <v>7372</v>
      </c>
      <c r="L698" s="434"/>
    </row>
    <row r="699" spans="1:12" ht="12.75" hidden="1" customHeight="1" outlineLevel="1" x14ac:dyDescent="0.25">
      <c r="A699" s="2380">
        <v>0.02</v>
      </c>
      <c r="B699" s="1921" t="s">
        <v>7566</v>
      </c>
      <c r="C699" s="2108">
        <v>17.41</v>
      </c>
      <c r="D699" s="3252">
        <v>19.96</v>
      </c>
      <c r="E699" s="3253">
        <v>0.14646754738655954</v>
      </c>
      <c r="F699" s="3254">
        <v>2.9293509477311907E-3</v>
      </c>
      <c r="G699" s="78"/>
      <c r="H699" t="s">
        <v>7567</v>
      </c>
      <c r="L699" s="434"/>
    </row>
    <row r="700" spans="1:12" ht="12.75" hidden="1" customHeight="1" outlineLevel="1" x14ac:dyDescent="0.25">
      <c r="A700" s="2380">
        <v>7.0000000000000007E-2</v>
      </c>
      <c r="B700" s="1921" t="s">
        <v>7755</v>
      </c>
      <c r="C700" s="2108">
        <v>10.687999999999999</v>
      </c>
      <c r="D700" s="3252">
        <v>4.0199999999999996</v>
      </c>
      <c r="E700" s="3253">
        <v>-0.62387724550898205</v>
      </c>
      <c r="F700" s="3254">
        <v>-4.3671407185628751E-2</v>
      </c>
      <c r="G700" s="78"/>
      <c r="H700" t="s">
        <v>6732</v>
      </c>
      <c r="L700" s="434"/>
    </row>
    <row r="701" spans="1:12" ht="12.75" hidden="1" customHeight="1" outlineLevel="1" x14ac:dyDescent="0.25">
      <c r="A701" s="2380">
        <v>0.03</v>
      </c>
      <c r="B701" s="1921" t="s">
        <v>1183</v>
      </c>
      <c r="C701" s="2108">
        <v>42.182499999999997</v>
      </c>
      <c r="D701" s="3252">
        <v>37.905000000000001</v>
      </c>
      <c r="E701" s="3253">
        <v>-0.10140461091684927</v>
      </c>
      <c r="F701" s="3254">
        <v>-3.0421383275054778E-3</v>
      </c>
      <c r="G701" s="78"/>
      <c r="H701" t="s">
        <v>2805</v>
      </c>
      <c r="L701" s="434"/>
    </row>
    <row r="702" spans="1:12" ht="12.75" hidden="1" customHeight="1" outlineLevel="1" x14ac:dyDescent="0.25">
      <c r="A702" s="2380">
        <v>0.02</v>
      </c>
      <c r="B702" s="1921" t="s">
        <v>507</v>
      </c>
      <c r="C702" s="2108">
        <v>39.540499999999994</v>
      </c>
      <c r="D702" s="3252">
        <v>48.77</v>
      </c>
      <c r="E702" s="3253">
        <v>0.23341889960926165</v>
      </c>
      <c r="F702" s="3254">
        <v>4.6683779921852329E-3</v>
      </c>
      <c r="G702" s="78"/>
      <c r="H702" t="s">
        <v>2810</v>
      </c>
      <c r="L702" s="434"/>
    </row>
    <row r="703" spans="1:12" ht="12.75" hidden="1" customHeight="1" outlineLevel="1" x14ac:dyDescent="0.25">
      <c r="A703" s="2380">
        <v>0.02</v>
      </c>
      <c r="B703" s="2109" t="s">
        <v>719</v>
      </c>
      <c r="C703" s="2108">
        <v>58.589999999999996</v>
      </c>
      <c r="D703" s="3255">
        <v>92.92</v>
      </c>
      <c r="E703" s="3256">
        <v>0.58593616658132808</v>
      </c>
      <c r="F703" s="3257">
        <v>1.1718723331626562E-2</v>
      </c>
      <c r="G703" s="78"/>
      <c r="H703" t="s">
        <v>1697</v>
      </c>
      <c r="L703" s="434"/>
    </row>
    <row r="704" spans="1:12" ht="12.75" hidden="1" customHeight="1" outlineLevel="1" x14ac:dyDescent="0.25">
      <c r="A704" s="2181" t="s">
        <v>2734</v>
      </c>
      <c r="B704" s="2103"/>
      <c r="C704" s="3200"/>
      <c r="D704" s="3201"/>
      <c r="E704" s="3025"/>
      <c r="F704" s="3025">
        <v>0.38019824653349288</v>
      </c>
      <c r="G704" s="78"/>
    </row>
    <row r="705" spans="1:7" ht="12.75" hidden="1" customHeight="1" outlineLevel="1" x14ac:dyDescent="0.25">
      <c r="A705" s="1956" t="s">
        <v>7874</v>
      </c>
      <c r="B705" s="2185">
        <v>43983</v>
      </c>
      <c r="C705" s="3261">
        <v>100</v>
      </c>
      <c r="D705" s="3261">
        <v>112.1395</v>
      </c>
      <c r="E705" s="3262">
        <v>0.12139499999999992</v>
      </c>
      <c r="F705" s="3263"/>
      <c r="G705" s="78"/>
    </row>
    <row r="706" spans="1:7" ht="12.75" hidden="1" customHeight="1" outlineLevel="1" x14ac:dyDescent="0.25">
      <c r="A706" s="1956" t="s">
        <v>7875</v>
      </c>
      <c r="B706" s="2185">
        <v>44013</v>
      </c>
      <c r="C706" s="3261">
        <v>100</v>
      </c>
      <c r="D706" s="3264">
        <v>109.8436</v>
      </c>
      <c r="E706" s="3262">
        <v>9.8435999999999968E-2</v>
      </c>
      <c r="F706" s="3263"/>
      <c r="G706" s="78"/>
    </row>
    <row r="707" spans="1:7" ht="12.75" hidden="1" customHeight="1" outlineLevel="1" x14ac:dyDescent="0.25">
      <c r="A707" s="1956" t="s">
        <v>7876</v>
      </c>
      <c r="B707" s="2185">
        <v>44044</v>
      </c>
      <c r="C707" s="3261">
        <v>100</v>
      </c>
      <c r="D707" s="3264">
        <v>115.13039999999999</v>
      </c>
      <c r="E707" s="3262">
        <v>0.15130399999999988</v>
      </c>
      <c r="F707" s="3263"/>
      <c r="G707" s="78"/>
    </row>
    <row r="708" spans="1:7" ht="12.75" hidden="1" customHeight="1" outlineLevel="1" x14ac:dyDescent="0.25">
      <c r="A708" s="1956" t="s">
        <v>7877</v>
      </c>
      <c r="B708" s="2185">
        <v>44075</v>
      </c>
      <c r="C708" s="3261">
        <v>100</v>
      </c>
      <c r="D708" s="3264">
        <v>114.7195</v>
      </c>
      <c r="E708" s="3262">
        <v>0.14719499999999996</v>
      </c>
      <c r="F708" s="3263"/>
      <c r="G708" s="78"/>
    </row>
    <row r="709" spans="1:7" ht="12.75" hidden="1" customHeight="1" outlineLevel="1" x14ac:dyDescent="0.25">
      <c r="A709" s="1956" t="s">
        <v>7878</v>
      </c>
      <c r="B709" s="2185">
        <v>44105</v>
      </c>
      <c r="C709" s="3261">
        <v>100</v>
      </c>
      <c r="D709" s="3264">
        <v>108.95529999999999</v>
      </c>
      <c r="E709" s="3262">
        <v>8.9552999999999994E-2</v>
      </c>
      <c r="F709" s="3263"/>
      <c r="G709" s="78"/>
    </row>
    <row r="710" spans="1:7" ht="12.75" hidden="1" customHeight="1" outlineLevel="1" x14ac:dyDescent="0.25">
      <c r="A710" s="1956" t="s">
        <v>7879</v>
      </c>
      <c r="B710" s="2185">
        <v>44136</v>
      </c>
      <c r="C710" s="3261">
        <v>100</v>
      </c>
      <c r="D710" s="3264">
        <v>124.58580000000001</v>
      </c>
      <c r="E710" s="3262">
        <v>0.24585800000000013</v>
      </c>
      <c r="F710" s="3263"/>
      <c r="G710" s="78"/>
    </row>
    <row r="711" spans="1:7" ht="12.75" hidden="1" customHeight="1" outlineLevel="1" x14ac:dyDescent="0.25">
      <c r="A711" s="1956" t="s">
        <v>7880</v>
      </c>
      <c r="B711" s="2185">
        <v>44166</v>
      </c>
      <c r="C711" s="3261">
        <v>100</v>
      </c>
      <c r="D711" s="3264">
        <v>126.58580000000001</v>
      </c>
      <c r="E711" s="3262">
        <v>0.26585800000000015</v>
      </c>
      <c r="F711" s="3263"/>
      <c r="G711" s="78"/>
    </row>
    <row r="712" spans="1:7" ht="12.75" hidden="1" customHeight="1" outlineLevel="1" x14ac:dyDescent="0.25">
      <c r="A712" s="1956" t="s">
        <v>7881</v>
      </c>
      <c r="B712" s="2185">
        <v>44197</v>
      </c>
      <c r="C712" s="3261">
        <v>100</v>
      </c>
      <c r="D712" s="3264">
        <v>124.6255</v>
      </c>
      <c r="E712" s="3262">
        <v>0.24625500000000011</v>
      </c>
      <c r="F712" s="3263"/>
      <c r="G712" s="78"/>
    </row>
    <row r="713" spans="1:7" ht="12.75" hidden="1" customHeight="1" outlineLevel="1" x14ac:dyDescent="0.25">
      <c r="A713" s="1956" t="s">
        <v>7882</v>
      </c>
      <c r="B713" s="2185">
        <v>44228</v>
      </c>
      <c r="C713" s="3261">
        <v>100</v>
      </c>
      <c r="D713" s="3264">
        <v>127.69329999999999</v>
      </c>
      <c r="E713" s="3262">
        <v>0.27693299999999987</v>
      </c>
      <c r="F713" s="3263"/>
      <c r="G713" s="78"/>
    </row>
    <row r="714" spans="1:7" ht="12.75" hidden="1" customHeight="1" outlineLevel="1" x14ac:dyDescent="0.25">
      <c r="A714" s="1956" t="s">
        <v>7883</v>
      </c>
      <c r="B714" s="2185">
        <v>44256</v>
      </c>
      <c r="C714" s="3261">
        <v>100</v>
      </c>
      <c r="D714" s="3264">
        <v>134.26150000000001</v>
      </c>
      <c r="E714" s="3262">
        <v>0.34261500000000011</v>
      </c>
      <c r="F714" s="3263"/>
      <c r="G714" s="78"/>
    </row>
    <row r="715" spans="1:7" ht="12.75" hidden="1" customHeight="1" outlineLevel="1" x14ac:dyDescent="0.25">
      <c r="A715" s="1956" t="s">
        <v>7884</v>
      </c>
      <c r="B715" s="2185">
        <v>44287</v>
      </c>
      <c r="C715" s="3261">
        <v>100</v>
      </c>
      <c r="D715" s="3264">
        <v>135.72300000000001</v>
      </c>
      <c r="E715" s="3262">
        <v>0.35723000000000016</v>
      </c>
      <c r="F715" s="3263"/>
      <c r="G715" s="78"/>
    </row>
    <row r="716" spans="1:7" ht="12.75" hidden="1" customHeight="1" outlineLevel="1" x14ac:dyDescent="0.25">
      <c r="A716" s="1956" t="s">
        <v>7885</v>
      </c>
      <c r="B716" s="2185">
        <v>44317</v>
      </c>
      <c r="C716" s="3261">
        <v>100</v>
      </c>
      <c r="D716" s="3264">
        <v>138.07570000000001</v>
      </c>
      <c r="E716" s="3262">
        <v>0.38075700000000001</v>
      </c>
      <c r="F716" s="3263"/>
      <c r="G716" s="78"/>
    </row>
    <row r="717" spans="1:7" ht="12.75" hidden="1" customHeight="1" outlineLevel="1" x14ac:dyDescent="0.25">
      <c r="A717" s="2189" t="s">
        <v>2734</v>
      </c>
      <c r="B717" s="2190"/>
      <c r="C717" s="3264"/>
      <c r="D717" s="2191" t="s">
        <v>2465</v>
      </c>
      <c r="E717" s="1987">
        <v>0.22694908333333333</v>
      </c>
      <c r="F717" s="2528">
        <v>0.26177308333333343</v>
      </c>
      <c r="G717" s="78"/>
    </row>
    <row r="718" spans="1:7" collapsed="1" x14ac:dyDescent="0.25">
      <c r="A718" s="3801" t="s">
        <v>7869</v>
      </c>
      <c r="B718" s="3802"/>
      <c r="C718" s="3802"/>
      <c r="D718" s="3802"/>
      <c r="E718" s="1906"/>
      <c r="F718" s="1907">
        <v>0.26177308333333343</v>
      </c>
      <c r="G718" s="78"/>
    </row>
    <row r="720" spans="1:7" ht="12.75" hidden="1" customHeight="1" outlineLevel="1" x14ac:dyDescent="0.25">
      <c r="A720" s="3237" t="s">
        <v>113</v>
      </c>
      <c r="B720" s="3237" t="s">
        <v>114</v>
      </c>
      <c r="C720" s="3237" t="s">
        <v>112</v>
      </c>
      <c r="D720" s="3237" t="s">
        <v>116</v>
      </c>
      <c r="E720" s="3237" t="s">
        <v>117</v>
      </c>
      <c r="F720" s="3237" t="s">
        <v>121</v>
      </c>
      <c r="G720" s="78"/>
    </row>
    <row r="721" spans="1:11" ht="12.75" hidden="1" customHeight="1" outlineLevel="1" x14ac:dyDescent="0.25">
      <c r="A721" s="3238">
        <v>1</v>
      </c>
      <c r="B721" s="3239" t="s">
        <v>252</v>
      </c>
      <c r="C721" s="3240">
        <v>100</v>
      </c>
      <c r="D721" s="3240"/>
      <c r="E721" s="3241"/>
      <c r="F721" s="3242"/>
      <c r="G721" s="78"/>
    </row>
    <row r="722" spans="1:11" ht="12.75" hidden="1" customHeight="1" outlineLevel="1" x14ac:dyDescent="0.25">
      <c r="A722" s="3243" t="s">
        <v>2734</v>
      </c>
      <c r="B722" s="3243"/>
      <c r="C722" s="3244"/>
      <c r="D722" s="1900" t="s">
        <v>3702</v>
      </c>
      <c r="E722" s="3245">
        <v>44439</v>
      </c>
      <c r="F722" s="3246"/>
      <c r="G722" s="78"/>
    </row>
    <row r="723" spans="1:11" ht="12.75" hidden="1" customHeight="1" outlineLevel="1" x14ac:dyDescent="0.25">
      <c r="A723" s="3237" t="s">
        <v>4156</v>
      </c>
      <c r="B723" s="3237" t="s">
        <v>4153</v>
      </c>
      <c r="C723" s="3247" t="s">
        <v>112</v>
      </c>
      <c r="D723" s="3248" t="s">
        <v>4155</v>
      </c>
      <c r="E723" s="3248" t="s">
        <v>4154</v>
      </c>
      <c r="F723" s="3248" t="s">
        <v>2519</v>
      </c>
      <c r="G723" s="78"/>
    </row>
    <row r="724" spans="1:11" ht="12.75" hidden="1" customHeight="1" outlineLevel="1" x14ac:dyDescent="0.25">
      <c r="A724" s="1991">
        <v>0.02</v>
      </c>
      <c r="B724" s="1921" t="s">
        <v>7902</v>
      </c>
      <c r="C724" s="2108">
        <v>70.546000000000006</v>
      </c>
      <c r="D724" s="2862">
        <v>166.99</v>
      </c>
      <c r="E724" s="2890">
        <v>1.3671079862784565</v>
      </c>
      <c r="F724" s="3004">
        <v>2.734215972556913E-2</v>
      </c>
      <c r="G724" s="78"/>
      <c r="H724" t="s">
        <v>7886</v>
      </c>
      <c r="K724" s="434"/>
    </row>
    <row r="725" spans="1:11" ht="12.75" hidden="1" customHeight="1" outlineLevel="1" x14ac:dyDescent="0.25">
      <c r="A725" s="2380">
        <v>0.04</v>
      </c>
      <c r="B725" s="1921" t="s">
        <v>7903</v>
      </c>
      <c r="C725" s="2108">
        <v>636.10467814916183</v>
      </c>
      <c r="D725" s="2865">
        <v>3470.79</v>
      </c>
      <c r="E725" s="2892">
        <v>4.4563189349570003</v>
      </c>
      <c r="F725" s="3007">
        <v>0.17825275739828</v>
      </c>
      <c r="G725" s="78"/>
      <c r="H725" t="s">
        <v>7887</v>
      </c>
      <c r="K725" s="434"/>
    </row>
    <row r="726" spans="1:11" ht="12.75" hidden="1" customHeight="1" outlineLevel="1" x14ac:dyDescent="0.25">
      <c r="A726" s="2380">
        <v>0.08</v>
      </c>
      <c r="B726" s="1921" t="s">
        <v>7904</v>
      </c>
      <c r="C726" s="2108">
        <v>21.340999999999998</v>
      </c>
      <c r="D726" s="2865">
        <v>8.1850000000000005</v>
      </c>
      <c r="E726" s="2892">
        <v>-0.61646595754650668</v>
      </c>
      <c r="F726" s="3007">
        <v>-4.9317276603720539E-2</v>
      </c>
      <c r="G726" s="78"/>
      <c r="H726" t="s">
        <v>7888</v>
      </c>
      <c r="K726" s="434"/>
    </row>
    <row r="727" spans="1:11" ht="12.75" hidden="1" customHeight="1" outlineLevel="1" x14ac:dyDescent="0.25">
      <c r="A727" s="2380">
        <v>0.03</v>
      </c>
      <c r="B727" s="1921" t="s">
        <v>3405</v>
      </c>
      <c r="C727" s="2108">
        <v>24.55</v>
      </c>
      <c r="D727" s="2865">
        <v>16.850000000000001</v>
      </c>
      <c r="E727" s="2892">
        <v>-0.31364562118126271</v>
      </c>
      <c r="F727" s="3007">
        <v>-9.4093686354378807E-3</v>
      </c>
      <c r="G727" s="78"/>
      <c r="H727" t="s">
        <v>2747</v>
      </c>
      <c r="K727" s="434"/>
    </row>
    <row r="728" spans="1:11" ht="12.75" hidden="1" customHeight="1" outlineLevel="1" x14ac:dyDescent="0.25">
      <c r="A728" s="2380">
        <v>0.08</v>
      </c>
      <c r="B728" s="1921" t="s">
        <v>7553</v>
      </c>
      <c r="C728" s="2108">
        <v>38.310999999999993</v>
      </c>
      <c r="D728" s="2865">
        <v>24.57</v>
      </c>
      <c r="E728" s="2892">
        <v>-0.35866983372921601</v>
      </c>
      <c r="F728" s="3007">
        <v>-2.869358669833728E-2</v>
      </c>
      <c r="G728" s="78"/>
      <c r="H728" t="s">
        <v>7551</v>
      </c>
      <c r="K728" s="434"/>
    </row>
    <row r="729" spans="1:11" ht="12.75" hidden="1" customHeight="1" outlineLevel="1" x14ac:dyDescent="0.25">
      <c r="A729" s="2380">
        <v>0.02</v>
      </c>
      <c r="B729" s="1921" t="s">
        <v>7215</v>
      </c>
      <c r="C729" s="2108">
        <v>94.698999999999998</v>
      </c>
      <c r="D729" s="2865">
        <v>86.39</v>
      </c>
      <c r="E729" s="2892">
        <v>-8.7741158829554688E-2</v>
      </c>
      <c r="F729" s="3007">
        <v>-1.7548231765910937E-3</v>
      </c>
      <c r="G729" s="78"/>
      <c r="H729" t="s">
        <v>7216</v>
      </c>
      <c r="K729" s="434"/>
    </row>
    <row r="730" spans="1:11" ht="12.75" hidden="1" customHeight="1" outlineLevel="1" x14ac:dyDescent="0.25">
      <c r="A730" s="2380">
        <v>0.02</v>
      </c>
      <c r="B730" s="1921" t="s">
        <v>7905</v>
      </c>
      <c r="C730" s="2108">
        <v>255.57</v>
      </c>
      <c r="D730" s="2865">
        <v>1605</v>
      </c>
      <c r="E730" s="2892">
        <v>5.2800798215753026</v>
      </c>
      <c r="F730" s="3007">
        <v>0.10560159643150606</v>
      </c>
      <c r="G730" s="78"/>
      <c r="H730" t="s">
        <v>7889</v>
      </c>
      <c r="K730" s="434"/>
    </row>
    <row r="731" spans="1:11" ht="12.75" hidden="1" customHeight="1" outlineLevel="1" x14ac:dyDescent="0.25">
      <c r="A731" s="2380">
        <v>0.02</v>
      </c>
      <c r="B731" s="1921" t="s">
        <v>6554</v>
      </c>
      <c r="C731" s="2108">
        <v>25.869999999999997</v>
      </c>
      <c r="D731" s="2865">
        <v>76.739999999999995</v>
      </c>
      <c r="E731" s="2892">
        <v>1.9663703131039814</v>
      </c>
      <c r="F731" s="3007">
        <v>3.9327406262079631E-2</v>
      </c>
      <c r="G731" s="78"/>
      <c r="H731" t="s">
        <v>6552</v>
      </c>
      <c r="K731" s="434"/>
    </row>
    <row r="732" spans="1:11" ht="12.75" hidden="1" customHeight="1" outlineLevel="1" x14ac:dyDescent="0.25">
      <c r="A732" s="2380">
        <v>0.02</v>
      </c>
      <c r="B732" s="1921" t="s">
        <v>7906</v>
      </c>
      <c r="C732" s="2108">
        <v>107.64299999999999</v>
      </c>
      <c r="D732" s="2865">
        <v>144.5</v>
      </c>
      <c r="E732" s="2892">
        <v>0.34240034187081392</v>
      </c>
      <c r="F732" s="3007">
        <v>6.8480068374162789E-3</v>
      </c>
      <c r="G732" s="78"/>
      <c r="H732" t="s">
        <v>7890</v>
      </c>
      <c r="K732" s="434"/>
    </row>
    <row r="733" spans="1:11" ht="12.75" hidden="1" customHeight="1" outlineLevel="1" x14ac:dyDescent="0.25">
      <c r="A733" s="2380">
        <v>0.02</v>
      </c>
      <c r="B733" s="1921" t="s">
        <v>7907</v>
      </c>
      <c r="C733" s="2108">
        <v>129.28099999999998</v>
      </c>
      <c r="D733" s="2865">
        <v>265.69</v>
      </c>
      <c r="E733" s="2892">
        <v>1.0551357121309399</v>
      </c>
      <c r="F733" s="3007">
        <v>2.1102714242618798E-2</v>
      </c>
      <c r="G733" s="78"/>
      <c r="H733" t="s">
        <v>7891</v>
      </c>
      <c r="K733" s="434"/>
    </row>
    <row r="734" spans="1:11" ht="12.75" hidden="1" customHeight="1" outlineLevel="1" x14ac:dyDescent="0.25">
      <c r="A734" s="2380">
        <v>0.02</v>
      </c>
      <c r="B734" s="1921" t="s">
        <v>7908</v>
      </c>
      <c r="C734" s="2108">
        <v>52.010000045924826</v>
      </c>
      <c r="D734" s="2865">
        <v>24.77</v>
      </c>
      <c r="E734" s="2892">
        <v>-0.52374543399099993</v>
      </c>
      <c r="F734" s="3007">
        <v>-1.0474908679819999E-2</v>
      </c>
      <c r="G734" s="78"/>
      <c r="H734" t="s">
        <v>7892</v>
      </c>
      <c r="K734" s="434"/>
    </row>
    <row r="735" spans="1:11" ht="12.75" hidden="1" customHeight="1" outlineLevel="1" x14ac:dyDescent="0.25">
      <c r="A735" s="2380">
        <v>0.03</v>
      </c>
      <c r="B735" s="1921" t="s">
        <v>7909</v>
      </c>
      <c r="C735" s="2108">
        <v>36.049999999999997</v>
      </c>
      <c r="D735" s="2865">
        <v>60.09</v>
      </c>
      <c r="E735" s="2892">
        <v>0.66685159500693514</v>
      </c>
      <c r="F735" s="3007">
        <v>2.0005547850208052E-2</v>
      </c>
      <c r="G735" s="78"/>
      <c r="H735" t="s">
        <v>7893</v>
      </c>
      <c r="K735" s="434"/>
    </row>
    <row r="736" spans="1:11" ht="12.75" hidden="1" customHeight="1" outlineLevel="1" x14ac:dyDescent="0.25">
      <c r="A736" s="2380">
        <v>0.05</v>
      </c>
      <c r="B736" s="1921" t="s">
        <v>4034</v>
      </c>
      <c r="C736" s="2519">
        <v>19.197440517368872</v>
      </c>
      <c r="D736" s="2865">
        <v>28.57</v>
      </c>
      <c r="E736" s="2892">
        <v>0.48821922246100002</v>
      </c>
      <c r="F736" s="3007">
        <v>2.4410961123050003E-2</v>
      </c>
      <c r="G736" s="78"/>
      <c r="H736" t="s">
        <v>8151</v>
      </c>
      <c r="K736" s="434"/>
    </row>
    <row r="737" spans="1:11" ht="12.75" hidden="1" customHeight="1" outlineLevel="1" x14ac:dyDescent="0.25">
      <c r="A737" s="2380">
        <v>0.02</v>
      </c>
      <c r="B737" s="1921" t="s">
        <v>1553</v>
      </c>
      <c r="C737" s="2108">
        <v>88.599000000000004</v>
      </c>
      <c r="D737" s="2865">
        <v>346.23</v>
      </c>
      <c r="E737" s="2892">
        <v>2.9078319168387905</v>
      </c>
      <c r="F737" s="3007">
        <v>5.8156638336775812E-2</v>
      </c>
      <c r="G737" s="78"/>
      <c r="H737" t="s">
        <v>1554</v>
      </c>
      <c r="K737" s="434"/>
    </row>
    <row r="738" spans="1:11" ht="12.75" hidden="1" customHeight="1" outlineLevel="1" x14ac:dyDescent="0.25">
      <c r="A738" s="2380">
        <v>0.08</v>
      </c>
      <c r="B738" s="1921" t="s">
        <v>10605</v>
      </c>
      <c r="C738" s="2108">
        <v>26.298000001268875</v>
      </c>
      <c r="D738" s="2865">
        <v>13.97</v>
      </c>
      <c r="E738" s="2892">
        <v>-0.46878089591124994</v>
      </c>
      <c r="F738" s="3007">
        <v>-3.7502471672899995E-2</v>
      </c>
      <c r="G738" s="78"/>
      <c r="H738" t="s">
        <v>10606</v>
      </c>
      <c r="K738" s="434"/>
    </row>
    <row r="739" spans="1:11" ht="12.75" hidden="1" customHeight="1" outlineLevel="1" x14ac:dyDescent="0.25">
      <c r="A739" s="2380">
        <v>0.02</v>
      </c>
      <c r="B739" s="1921" t="s">
        <v>7910</v>
      </c>
      <c r="C739" s="2108">
        <v>11.626142277053001</v>
      </c>
      <c r="D739" s="2865">
        <v>20.05</v>
      </c>
      <c r="E739" s="2892">
        <v>0.72456172668499996</v>
      </c>
      <c r="F739" s="3007">
        <v>1.44912345337E-2</v>
      </c>
      <c r="G739" s="78"/>
      <c r="H739" t="s">
        <v>7894</v>
      </c>
      <c r="K739" s="434"/>
    </row>
    <row r="740" spans="1:11" ht="12.75" hidden="1" customHeight="1" outlineLevel="1" x14ac:dyDescent="0.25">
      <c r="A740" s="2380">
        <v>0.08</v>
      </c>
      <c r="B740" s="1921" t="s">
        <v>7911</v>
      </c>
      <c r="C740" s="2108">
        <v>39.451000000000008</v>
      </c>
      <c r="D740" s="2865">
        <v>134.66</v>
      </c>
      <c r="E740" s="2892">
        <v>2.4133482041012893</v>
      </c>
      <c r="F740" s="3007">
        <v>0.19306785632810314</v>
      </c>
      <c r="G740" s="78"/>
      <c r="H740" t="s">
        <v>7895</v>
      </c>
      <c r="K740" s="434"/>
    </row>
    <row r="741" spans="1:11" ht="12.75" hidden="1" customHeight="1" outlineLevel="1" x14ac:dyDescent="0.25">
      <c r="A741" s="2380">
        <v>0.05</v>
      </c>
      <c r="B741" s="1921" t="s">
        <v>5519</v>
      </c>
      <c r="C741" s="2108">
        <v>2.4205000000000001</v>
      </c>
      <c r="D741" s="2865">
        <v>3.04</v>
      </c>
      <c r="E741" s="2892">
        <v>0.25593885560834528</v>
      </c>
      <c r="F741" s="3007">
        <v>1.2796942780417264E-2</v>
      </c>
      <c r="G741" s="78"/>
      <c r="H741" t="s">
        <v>5517</v>
      </c>
      <c r="K741" s="434"/>
    </row>
    <row r="742" spans="1:11" ht="12.75" hidden="1" customHeight="1" outlineLevel="1" x14ac:dyDescent="0.25">
      <c r="A742" s="2380">
        <v>0.02</v>
      </c>
      <c r="B742" s="1921" t="s">
        <v>7912</v>
      </c>
      <c r="C742" s="2108">
        <v>22.639500000000002</v>
      </c>
      <c r="D742" s="2865">
        <v>48.58</v>
      </c>
      <c r="E742" s="2892">
        <v>1.1458071070474167</v>
      </c>
      <c r="F742" s="3007">
        <v>2.2916142140948333E-2</v>
      </c>
      <c r="G742" s="78"/>
      <c r="H742" t="s">
        <v>7896</v>
      </c>
      <c r="K742" s="434"/>
    </row>
    <row r="743" spans="1:11" ht="12.75" hidden="1" customHeight="1" outlineLevel="1" x14ac:dyDescent="0.25">
      <c r="A743" s="2380">
        <v>0.02</v>
      </c>
      <c r="B743" s="1921" t="s">
        <v>7913</v>
      </c>
      <c r="C743" s="2108">
        <v>4.0937000000000001</v>
      </c>
      <c r="D743" s="2865">
        <v>6.69</v>
      </c>
      <c r="E743" s="2892">
        <v>0.63421843320223759</v>
      </c>
      <c r="F743" s="3007">
        <v>1.2684368664044751E-2</v>
      </c>
      <c r="G743" s="78"/>
      <c r="H743" t="s">
        <v>10207</v>
      </c>
      <c r="K743" s="434"/>
    </row>
    <row r="744" spans="1:11" ht="12.75" hidden="1" customHeight="1" outlineLevel="1" x14ac:dyDescent="0.25">
      <c r="A744" s="2380">
        <v>0.02</v>
      </c>
      <c r="B744" s="1921" t="s">
        <v>7914</v>
      </c>
      <c r="C744" s="2108">
        <v>137.23847142116222</v>
      </c>
      <c r="D744" s="2865">
        <v>481.2</v>
      </c>
      <c r="E744" s="2892">
        <v>2.50630544786</v>
      </c>
      <c r="F744" s="3007">
        <v>5.0126108957200002E-2</v>
      </c>
      <c r="G744" s="78"/>
      <c r="H744" t="s">
        <v>7897</v>
      </c>
      <c r="K744" s="434"/>
    </row>
    <row r="745" spans="1:11" ht="12.75" hidden="1" customHeight="1" outlineLevel="1" x14ac:dyDescent="0.25">
      <c r="A745" s="2380">
        <v>0.02</v>
      </c>
      <c r="B745" s="1921" t="s">
        <v>10607</v>
      </c>
      <c r="C745" s="2108">
        <v>1111.2259999999999</v>
      </c>
      <c r="D745" s="2865">
        <v>2299.67</v>
      </c>
      <c r="E745" s="2892">
        <v>1.0694890148358662</v>
      </c>
      <c r="F745" s="3007">
        <v>2.1389780296717325E-2</v>
      </c>
      <c r="G745" s="78"/>
      <c r="H745" t="s">
        <v>10608</v>
      </c>
      <c r="K745" s="434"/>
    </row>
    <row r="746" spans="1:11" ht="12.75" hidden="1" customHeight="1" outlineLevel="1" x14ac:dyDescent="0.25">
      <c r="A746" s="2380">
        <v>0.03</v>
      </c>
      <c r="B746" s="1921" t="s">
        <v>3641</v>
      </c>
      <c r="C746" s="2108">
        <v>90.587000000000003</v>
      </c>
      <c r="D746" s="2865">
        <v>195.63</v>
      </c>
      <c r="E746" s="2892">
        <v>1.1595813968891782</v>
      </c>
      <c r="F746" s="3007">
        <v>3.4787441906675341E-2</v>
      </c>
      <c r="G746" s="78"/>
      <c r="H746" t="s">
        <v>3642</v>
      </c>
      <c r="K746" s="434"/>
    </row>
    <row r="747" spans="1:11" ht="12.75" hidden="1" customHeight="1" outlineLevel="1" x14ac:dyDescent="0.25">
      <c r="A747" s="2380">
        <v>0.02</v>
      </c>
      <c r="B747" s="1921" t="s">
        <v>1144</v>
      </c>
      <c r="C747" s="2108">
        <v>72.662000000000006</v>
      </c>
      <c r="D747" s="2865">
        <v>229.1</v>
      </c>
      <c r="E747" s="2892">
        <v>2.1529547769122783</v>
      </c>
      <c r="F747" s="3007">
        <v>4.3059095538245565E-2</v>
      </c>
      <c r="G747" s="78"/>
      <c r="H747" t="s">
        <v>1145</v>
      </c>
      <c r="K747" s="434"/>
    </row>
    <row r="748" spans="1:11" ht="12.75" hidden="1" customHeight="1" outlineLevel="1" x14ac:dyDescent="0.25">
      <c r="A748" s="2380">
        <v>0.08</v>
      </c>
      <c r="B748" s="1921" t="s">
        <v>3169</v>
      </c>
      <c r="C748" s="2108">
        <v>18.783000000000001</v>
      </c>
      <c r="D748" s="2865">
        <v>32.32</v>
      </c>
      <c r="E748" s="2892">
        <v>0.72070489272214222</v>
      </c>
      <c r="F748" s="3007">
        <v>5.7656391417771381E-2</v>
      </c>
      <c r="G748" s="78"/>
      <c r="H748" t="s">
        <v>657</v>
      </c>
      <c r="K748" s="434"/>
    </row>
    <row r="749" spans="1:11" ht="12.75" hidden="1" customHeight="1" outlineLevel="1" x14ac:dyDescent="0.25">
      <c r="A749" s="2380">
        <v>0.02</v>
      </c>
      <c r="B749" s="1921" t="s">
        <v>7916</v>
      </c>
      <c r="C749" s="2108">
        <v>80.559000000000012</v>
      </c>
      <c r="D749" s="2865">
        <v>50.75</v>
      </c>
      <c r="E749" s="2892">
        <v>-0.37002693677925502</v>
      </c>
      <c r="F749" s="3007">
        <v>-7.4005387355851006E-3</v>
      </c>
      <c r="G749" s="78"/>
      <c r="H749" t="s">
        <v>7898</v>
      </c>
      <c r="K749" s="434"/>
    </row>
    <row r="750" spans="1:11" ht="12.75" hidden="1" customHeight="1" outlineLevel="1" x14ac:dyDescent="0.25">
      <c r="A750" s="2380">
        <v>0</v>
      </c>
      <c r="B750" s="1921" t="s">
        <v>7917</v>
      </c>
      <c r="C750" s="2108">
        <v>30.602500000000003</v>
      </c>
      <c r="D750" s="2865">
        <v>41.99</v>
      </c>
      <c r="E750" s="2892">
        <v>0.37211012172208147</v>
      </c>
      <c r="F750" s="3007">
        <v>0</v>
      </c>
      <c r="G750" s="78"/>
      <c r="H750" t="s">
        <v>7899</v>
      </c>
      <c r="K750" s="434"/>
    </row>
    <row r="751" spans="1:11" ht="12.75" hidden="1" customHeight="1" outlineLevel="1" x14ac:dyDescent="0.25">
      <c r="A751" s="2380">
        <v>0.03</v>
      </c>
      <c r="B751" s="1921" t="s">
        <v>7918</v>
      </c>
      <c r="C751" s="2108">
        <v>3.7496999999999998</v>
      </c>
      <c r="D751" s="2865">
        <v>2.718</v>
      </c>
      <c r="E751" s="2892">
        <v>-0.27514201136090888</v>
      </c>
      <c r="F751" s="3007">
        <v>-8.2542603408272668E-3</v>
      </c>
      <c r="G751" s="78"/>
      <c r="H751" t="s">
        <v>7900</v>
      </c>
      <c r="K751" s="434"/>
    </row>
    <row r="752" spans="1:11" ht="12.75" hidden="1" customHeight="1" outlineLevel="1" x14ac:dyDescent="0.25">
      <c r="A752" s="2380">
        <v>0.02</v>
      </c>
      <c r="B752" s="1921" t="s">
        <v>5174</v>
      </c>
      <c r="C752" s="2108">
        <v>1.4792825224234984</v>
      </c>
      <c r="D752" s="2865">
        <v>2.9</v>
      </c>
      <c r="E752" s="2892">
        <v>0.96040983114499978</v>
      </c>
      <c r="F752" s="3007">
        <v>1.9208196622899996E-2</v>
      </c>
      <c r="G752" s="78"/>
      <c r="H752" t="s">
        <v>5172</v>
      </c>
      <c r="K752" s="434"/>
    </row>
    <row r="753" spans="1:11" ht="12.75" hidden="1" customHeight="1" outlineLevel="1" x14ac:dyDescent="0.25">
      <c r="A753" s="2380">
        <v>0.02</v>
      </c>
      <c r="B753" s="2109" t="s">
        <v>10610</v>
      </c>
      <c r="C753" s="2108">
        <v>73.195081122199909</v>
      </c>
      <c r="D753" s="2868">
        <v>101</v>
      </c>
      <c r="E753" s="2897">
        <v>0.37987414524999985</v>
      </c>
      <c r="F753" s="2870">
        <v>7.5974829049999968E-3</v>
      </c>
      <c r="G753" s="78"/>
      <c r="H753" t="s">
        <v>8885</v>
      </c>
      <c r="K753" s="434"/>
    </row>
    <row r="754" spans="1:11" ht="12.75" hidden="1" customHeight="1" outlineLevel="1" x14ac:dyDescent="0.25">
      <c r="A754" s="2181" t="s">
        <v>2734</v>
      </c>
      <c r="B754" s="2103"/>
      <c r="C754" s="3200"/>
      <c r="D754" s="3201"/>
      <c r="E754" s="3025"/>
      <c r="F754" s="3025">
        <v>0.81802159575600786</v>
      </c>
      <c r="G754" s="78"/>
    </row>
    <row r="755" spans="1:11" ht="12.75" hidden="1" customHeight="1" outlineLevel="1" x14ac:dyDescent="0.25">
      <c r="A755" s="1956" t="s">
        <v>7935</v>
      </c>
      <c r="B755" s="2185">
        <v>44075</v>
      </c>
      <c r="C755" s="3203">
        <v>100</v>
      </c>
      <c r="D755" s="3203">
        <v>148.71860000000001</v>
      </c>
      <c r="E755" s="3204">
        <v>0.48718600000000012</v>
      </c>
      <c r="F755" s="3151"/>
      <c r="G755" s="78"/>
    </row>
    <row r="756" spans="1:11" ht="12.75" hidden="1" customHeight="1" outlineLevel="1" x14ac:dyDescent="0.25">
      <c r="A756" s="1956" t="s">
        <v>7936</v>
      </c>
      <c r="B756" s="2185">
        <v>44105</v>
      </c>
      <c r="C756" s="3203">
        <v>100</v>
      </c>
      <c r="D756" s="3206">
        <v>146.2782</v>
      </c>
      <c r="E756" s="3204">
        <v>0.46278200000000003</v>
      </c>
      <c r="F756" s="3151"/>
      <c r="G756" s="78"/>
    </row>
    <row r="757" spans="1:11" ht="12.75" hidden="1" customHeight="1" outlineLevel="1" x14ac:dyDescent="0.25">
      <c r="A757" s="1956" t="s">
        <v>7937</v>
      </c>
      <c r="B757" s="2185">
        <v>44136</v>
      </c>
      <c r="C757" s="3203">
        <v>100</v>
      </c>
      <c r="D757" s="3206">
        <v>154.68360000000001</v>
      </c>
      <c r="E757" s="3204">
        <v>0.5468360000000001</v>
      </c>
      <c r="F757" s="3151"/>
      <c r="G757" s="78"/>
    </row>
    <row r="758" spans="1:11" ht="12.75" hidden="1" customHeight="1" outlineLevel="1" x14ac:dyDescent="0.25">
      <c r="A758" s="1956" t="s">
        <v>7938</v>
      </c>
      <c r="B758" s="2185">
        <v>44166</v>
      </c>
      <c r="C758" s="3203">
        <v>100</v>
      </c>
      <c r="D758" s="3206">
        <v>157.4067</v>
      </c>
      <c r="E758" s="3204">
        <v>0.5740670000000001</v>
      </c>
      <c r="F758" s="3151"/>
      <c r="G758" s="78"/>
    </row>
    <row r="759" spans="1:11" ht="12.75" hidden="1" customHeight="1" outlineLevel="1" x14ac:dyDescent="0.25">
      <c r="A759" s="1956" t="s">
        <v>7939</v>
      </c>
      <c r="B759" s="2185">
        <v>44197</v>
      </c>
      <c r="C759" s="3203">
        <v>100</v>
      </c>
      <c r="D759" s="3206">
        <v>158.55529999999999</v>
      </c>
      <c r="E759" s="3204">
        <v>0.58555299999999999</v>
      </c>
      <c r="F759" s="3151"/>
      <c r="G759" s="78"/>
    </row>
    <row r="760" spans="1:11" ht="12.75" hidden="1" customHeight="1" outlineLevel="1" x14ac:dyDescent="0.25">
      <c r="A760" s="1956" t="s">
        <v>7940</v>
      </c>
      <c r="B760" s="2185">
        <v>44228</v>
      </c>
      <c r="C760" s="3203">
        <v>100</v>
      </c>
      <c r="D760" s="3206">
        <v>160.90979999999999</v>
      </c>
      <c r="E760" s="3204">
        <v>0.60909799999999992</v>
      </c>
      <c r="F760" s="3151"/>
      <c r="G760" s="78"/>
    </row>
    <row r="761" spans="1:11" ht="12.75" hidden="1" customHeight="1" outlineLevel="1" x14ac:dyDescent="0.25">
      <c r="A761" s="1956" t="s">
        <v>7941</v>
      </c>
      <c r="B761" s="2185">
        <v>44256</v>
      </c>
      <c r="C761" s="3203">
        <v>100</v>
      </c>
      <c r="D761" s="3206">
        <v>165.7653</v>
      </c>
      <c r="E761" s="3204">
        <v>0.65765300000000004</v>
      </c>
      <c r="F761" s="3151"/>
      <c r="G761" s="78"/>
    </row>
    <row r="762" spans="1:11" ht="12.75" hidden="1" customHeight="1" outlineLevel="1" x14ac:dyDescent="0.25">
      <c r="A762" s="1956" t="s">
        <v>7942</v>
      </c>
      <c r="B762" s="2185">
        <v>44287</v>
      </c>
      <c r="C762" s="3203">
        <v>100</v>
      </c>
      <c r="D762" s="3206">
        <v>175.40450000000001</v>
      </c>
      <c r="E762" s="3204">
        <v>0.75404500000000008</v>
      </c>
      <c r="F762" s="3151"/>
      <c r="G762" s="78"/>
    </row>
    <row r="763" spans="1:11" ht="12.75" hidden="1" customHeight="1" outlineLevel="1" x14ac:dyDescent="0.25">
      <c r="A763" s="1956" t="s">
        <v>7943</v>
      </c>
      <c r="B763" s="2185">
        <v>44317</v>
      </c>
      <c r="C763" s="3203">
        <v>100</v>
      </c>
      <c r="D763" s="3206">
        <v>177.9616</v>
      </c>
      <c r="E763" s="3204">
        <v>0.77961600000000009</v>
      </c>
      <c r="F763" s="3151"/>
      <c r="G763" s="78"/>
    </row>
    <row r="764" spans="1:11" ht="12.75" hidden="1" customHeight="1" outlineLevel="1" x14ac:dyDescent="0.25">
      <c r="A764" s="1956" t="s">
        <v>7944</v>
      </c>
      <c r="B764" s="2185">
        <v>44348</v>
      </c>
      <c r="C764" s="3203">
        <v>100</v>
      </c>
      <c r="D764" s="3206">
        <v>179.75409999999999</v>
      </c>
      <c r="E764" s="3204">
        <v>0.79754099999999983</v>
      </c>
      <c r="F764" s="3151"/>
      <c r="G764" s="78"/>
    </row>
    <row r="765" spans="1:11" ht="12.75" hidden="1" customHeight="1" outlineLevel="1" x14ac:dyDescent="0.25">
      <c r="A765" s="1956" t="s">
        <v>7945</v>
      </c>
      <c r="B765" s="2185">
        <v>44378</v>
      </c>
      <c r="C765" s="3203">
        <v>100</v>
      </c>
      <c r="D765" s="3206">
        <v>178.01830000000001</v>
      </c>
      <c r="E765" s="3204">
        <v>0.78018300000000007</v>
      </c>
      <c r="F765" s="3151"/>
      <c r="G765" s="78"/>
    </row>
    <row r="766" spans="1:11" ht="12.75" hidden="1" customHeight="1" outlineLevel="1" x14ac:dyDescent="0.25">
      <c r="A766" s="1956" t="s">
        <v>7946</v>
      </c>
      <c r="B766" s="2185">
        <v>44409</v>
      </c>
      <c r="C766" s="3203">
        <v>100</v>
      </c>
      <c r="D766" s="3206">
        <v>182.36510000000001</v>
      </c>
      <c r="E766" s="3204">
        <v>0.82365100000000013</v>
      </c>
      <c r="F766" s="3151"/>
      <c r="G766" s="78"/>
    </row>
    <row r="767" spans="1:11" ht="12.75" hidden="1" customHeight="1" outlineLevel="1" x14ac:dyDescent="0.25">
      <c r="A767" s="2189" t="s">
        <v>2734</v>
      </c>
      <c r="B767" s="2190"/>
      <c r="C767" s="3206"/>
      <c r="D767" s="2191" t="s">
        <v>2465</v>
      </c>
      <c r="E767" s="1987">
        <v>0.65485091666666662</v>
      </c>
      <c r="F767" s="2528">
        <v>0.65485091666666662</v>
      </c>
      <c r="G767" s="78"/>
    </row>
    <row r="768" spans="1:11" collapsed="1" x14ac:dyDescent="0.25">
      <c r="A768" s="3801" t="s">
        <v>7614</v>
      </c>
      <c r="B768" s="3802"/>
      <c r="C768" s="3802"/>
      <c r="D768" s="3802"/>
      <c r="E768" s="1906"/>
      <c r="F768" s="1907">
        <v>0.6</v>
      </c>
      <c r="G768" s="78"/>
    </row>
    <row r="770" spans="1:15" ht="12.75" hidden="1" customHeight="1" outlineLevel="1" x14ac:dyDescent="0.25">
      <c r="A770" s="689" t="s">
        <v>113</v>
      </c>
      <c r="B770" s="689" t="s">
        <v>114</v>
      </c>
      <c r="C770" s="689" t="s">
        <v>112</v>
      </c>
      <c r="D770" s="689" t="s">
        <v>116</v>
      </c>
      <c r="E770" s="689" t="s">
        <v>117</v>
      </c>
      <c r="F770" s="689" t="s">
        <v>121</v>
      </c>
      <c r="G770" s="78"/>
    </row>
    <row r="771" spans="1:15" ht="12.75" hidden="1" customHeight="1" outlineLevel="1" x14ac:dyDescent="0.25">
      <c r="A771" s="2634">
        <v>1</v>
      </c>
      <c r="B771" s="2635" t="s">
        <v>252</v>
      </c>
      <c r="C771" s="2582">
        <v>100</v>
      </c>
      <c r="D771" s="2582"/>
      <c r="E771" s="2644"/>
      <c r="F771" s="2645"/>
      <c r="G771" s="78"/>
    </row>
    <row r="772" spans="1:15" ht="12.75" hidden="1" customHeight="1" outlineLevel="1" x14ac:dyDescent="0.25">
      <c r="A772" s="1813" t="s">
        <v>2734</v>
      </c>
      <c r="B772" s="1813"/>
      <c r="C772" s="1813"/>
      <c r="D772" s="1900" t="s">
        <v>3702</v>
      </c>
      <c r="E772" s="1813">
        <v>43465</v>
      </c>
      <c r="F772" s="1813"/>
      <c r="G772" s="78"/>
    </row>
    <row r="773" spans="1:15" ht="12.75" hidden="1" customHeight="1" outlineLevel="1" x14ac:dyDescent="0.25">
      <c r="A773" s="2618" t="s">
        <v>4156</v>
      </c>
      <c r="B773" s="2618" t="s">
        <v>4153</v>
      </c>
      <c r="C773" s="1813" t="s">
        <v>112</v>
      </c>
      <c r="D773" s="1813" t="s">
        <v>4155</v>
      </c>
      <c r="E773" s="2618" t="s">
        <v>4154</v>
      </c>
      <c r="F773" s="1813" t="s">
        <v>2519</v>
      </c>
      <c r="G773" s="78"/>
      <c r="I773" s="412" t="s">
        <v>6964</v>
      </c>
      <c r="J773" s="1462">
        <v>42401</v>
      </c>
      <c r="K773" s="1462">
        <v>42430</v>
      </c>
      <c r="L773" s="1462">
        <v>42461</v>
      </c>
      <c r="M773" s="1462">
        <v>42491</v>
      </c>
      <c r="N773" s="1462">
        <v>42522</v>
      </c>
      <c r="O773" s="1462">
        <v>42552</v>
      </c>
    </row>
    <row r="774" spans="1:15" ht="12.75" hidden="1" customHeight="1" outlineLevel="1" x14ac:dyDescent="0.25">
      <c r="A774" s="1991">
        <v>0.02</v>
      </c>
      <c r="B774" s="1813" t="s">
        <v>359</v>
      </c>
      <c r="C774" s="2108">
        <v>150.16499999999999</v>
      </c>
      <c r="D774" s="1813">
        <v>175.14</v>
      </c>
      <c r="E774" s="1813">
        <v>0.16631705124363205</v>
      </c>
      <c r="F774" s="1813">
        <v>3.3263410248726413E-3</v>
      </c>
      <c r="H774" t="s">
        <v>360</v>
      </c>
      <c r="I774" s="412">
        <v>100</v>
      </c>
      <c r="J774">
        <v>103.6709</v>
      </c>
      <c r="K774">
        <v>103.163</v>
      </c>
      <c r="L774">
        <v>105.501</v>
      </c>
      <c r="M774">
        <v>105.4015</v>
      </c>
      <c r="N774">
        <v>105.34439999999999</v>
      </c>
      <c r="O774">
        <v>107.2381</v>
      </c>
    </row>
    <row r="775" spans="1:15" ht="12.75" hidden="1" customHeight="1" outlineLevel="1" x14ac:dyDescent="0.25">
      <c r="A775" s="2380">
        <v>0.02</v>
      </c>
      <c r="B775" s="1813" t="s">
        <v>1317</v>
      </c>
      <c r="C775" s="2108">
        <v>58.463999999999999</v>
      </c>
      <c r="D775" s="1813">
        <v>74.739999999999995</v>
      </c>
      <c r="E775" s="1813">
        <v>0.27839354132457572</v>
      </c>
      <c r="F775" s="1813">
        <v>5.5678708264915149E-3</v>
      </c>
      <c r="H775" t="s">
        <v>1318</v>
      </c>
      <c r="I775" s="422">
        <v>0.15081883333333337</v>
      </c>
    </row>
    <row r="776" spans="1:15" ht="12.75" hidden="1" customHeight="1" outlineLevel="1" x14ac:dyDescent="0.25">
      <c r="A776" s="2380">
        <v>0.02</v>
      </c>
      <c r="B776" s="1813" t="s">
        <v>3998</v>
      </c>
      <c r="C776" s="2108">
        <v>34.150999999999996</v>
      </c>
      <c r="D776" s="1813">
        <v>28.54</v>
      </c>
      <c r="E776" s="1813">
        <v>-0.16429972768000933</v>
      </c>
      <c r="F776" s="1813">
        <v>-3.2859945536001869E-3</v>
      </c>
      <c r="H776" t="s">
        <v>4000</v>
      </c>
    </row>
    <row r="777" spans="1:15" ht="12.75" hidden="1" customHeight="1" outlineLevel="1" x14ac:dyDescent="0.25">
      <c r="A777" s="2380">
        <v>0.02</v>
      </c>
      <c r="B777" s="1813" t="s">
        <v>7753</v>
      </c>
      <c r="C777" s="2108">
        <v>122.62</v>
      </c>
      <c r="D777" s="1813">
        <v>135.4</v>
      </c>
      <c r="E777" s="1813">
        <v>0.10422443320828578</v>
      </c>
      <c r="F777" s="1813">
        <v>2.0844886641657157E-3</v>
      </c>
      <c r="H777" t="s">
        <v>8901</v>
      </c>
      <c r="K777" s="37"/>
    </row>
    <row r="778" spans="1:15" ht="12.75" hidden="1" customHeight="1" outlineLevel="1" x14ac:dyDescent="0.25">
      <c r="A778" s="2380">
        <v>0.02</v>
      </c>
      <c r="B778" s="1813" t="s">
        <v>3954</v>
      </c>
      <c r="C778" s="2108">
        <v>86.314000000000007</v>
      </c>
      <c r="D778" s="1813">
        <v>101.68</v>
      </c>
      <c r="E778" s="1813">
        <v>0.17802442245753869</v>
      </c>
      <c r="F778" s="1813">
        <v>3.560488449150774E-3</v>
      </c>
      <c r="H778" t="s">
        <v>3955</v>
      </c>
    </row>
    <row r="779" spans="1:15" ht="12.75" hidden="1" customHeight="1" outlineLevel="1" x14ac:dyDescent="0.25">
      <c r="A779" s="2380">
        <v>0.05</v>
      </c>
      <c r="B779" s="1813" t="s">
        <v>4055</v>
      </c>
      <c r="C779" s="2108">
        <v>63.040000000000006</v>
      </c>
      <c r="D779" s="1813">
        <v>88.5</v>
      </c>
      <c r="E779" s="1813">
        <v>0.40387055837563435</v>
      </c>
      <c r="F779" s="1813">
        <v>2.019352791878172E-2</v>
      </c>
      <c r="H779" t="s">
        <v>4056</v>
      </c>
    </row>
    <row r="780" spans="1:15" ht="12.75" hidden="1" customHeight="1" outlineLevel="1" x14ac:dyDescent="0.25">
      <c r="A780" s="2380">
        <v>0.02</v>
      </c>
      <c r="B780" s="1813" t="s">
        <v>496</v>
      </c>
      <c r="C780" s="2108">
        <v>11.859500000000002</v>
      </c>
      <c r="D780" s="1813">
        <v>13.8</v>
      </c>
      <c r="E780" s="1813">
        <v>0.16362409882372764</v>
      </c>
      <c r="F780" s="1813">
        <v>3.272481976474553E-3</v>
      </c>
      <c r="H780" t="s">
        <v>497</v>
      </c>
    </row>
    <row r="781" spans="1:15" ht="12.75" hidden="1" customHeight="1" outlineLevel="1" x14ac:dyDescent="0.25">
      <c r="A781" s="2380">
        <v>0.02</v>
      </c>
      <c r="B781" s="1813" t="s">
        <v>6267</v>
      </c>
      <c r="C781" s="2108">
        <v>25.594999999999999</v>
      </c>
      <c r="D781" s="1813">
        <v>23.61</v>
      </c>
      <c r="E781" s="1813">
        <v>-7.7554209806602881E-2</v>
      </c>
      <c r="F781" s="1813">
        <v>-1.5510841961320577E-3</v>
      </c>
      <c r="H781" t="s">
        <v>6268</v>
      </c>
    </row>
    <row r="782" spans="1:15" ht="12.75" hidden="1" customHeight="1" outlineLevel="1" x14ac:dyDescent="0.25">
      <c r="A782" s="2380">
        <v>0.02</v>
      </c>
      <c r="B782" s="1813" t="s">
        <v>4268</v>
      </c>
      <c r="C782" s="2108">
        <v>13.163999999999998</v>
      </c>
      <c r="D782" s="1813">
        <v>19.100000000000001</v>
      </c>
      <c r="E782" s="1813">
        <v>0.45092676997873027</v>
      </c>
      <c r="F782" s="1813">
        <v>9.0185353995746054E-3</v>
      </c>
      <c r="H782" t="s">
        <v>8442</v>
      </c>
    </row>
    <row r="783" spans="1:15" ht="12.75" hidden="1" customHeight="1" outlineLevel="1" x14ac:dyDescent="0.25">
      <c r="A783" s="2380">
        <v>0.03</v>
      </c>
      <c r="B783" s="1813" t="s">
        <v>6530</v>
      </c>
      <c r="C783" s="2108">
        <v>36.271999999999998</v>
      </c>
      <c r="D783" s="1813">
        <v>27.93</v>
      </c>
      <c r="E783" s="1813">
        <v>-0.22998456109395671</v>
      </c>
      <c r="F783" s="1813">
        <v>-6.8995368328187007E-3</v>
      </c>
      <c r="H783" t="s">
        <v>6162</v>
      </c>
    </row>
    <row r="784" spans="1:15" ht="12.75" hidden="1" customHeight="1" outlineLevel="1" x14ac:dyDescent="0.25">
      <c r="A784" s="2380">
        <v>0.02</v>
      </c>
      <c r="B784" s="1813" t="s">
        <v>6902</v>
      </c>
      <c r="C784" s="2108">
        <v>2.4214999999999995</v>
      </c>
      <c r="D784" s="1813">
        <v>2.31</v>
      </c>
      <c r="E784" s="1813">
        <v>-4.6045839355771001E-2</v>
      </c>
      <c r="F784" s="1813">
        <v>-9.2091678711542007E-4</v>
      </c>
      <c r="H784" t="s">
        <v>6899</v>
      </c>
    </row>
    <row r="785" spans="1:8" ht="12.75" hidden="1" customHeight="1" outlineLevel="1" x14ac:dyDescent="0.25">
      <c r="A785" s="2380">
        <v>0.02</v>
      </c>
      <c r="B785" s="1813" t="s">
        <v>1772</v>
      </c>
      <c r="C785" s="2108">
        <v>173.52</v>
      </c>
      <c r="D785" s="1813">
        <v>190.55</v>
      </c>
      <c r="E785" s="1813">
        <v>9.8144306131858094E-2</v>
      </c>
      <c r="F785" s="1813">
        <v>1.9628861226371618E-3</v>
      </c>
      <c r="H785" t="s">
        <v>4330</v>
      </c>
    </row>
    <row r="786" spans="1:8" ht="12.75" hidden="1" customHeight="1" outlineLevel="1" x14ac:dyDescent="0.25">
      <c r="A786" s="2380">
        <v>0.02</v>
      </c>
      <c r="B786" s="1813" t="s">
        <v>7754</v>
      </c>
      <c r="C786" s="2519">
        <v>37.097999999999999</v>
      </c>
      <c r="D786" s="1813">
        <v>56.05</v>
      </c>
      <c r="E786" s="1813">
        <v>0.510863119305623</v>
      </c>
      <c r="F786" s="1813">
        <v>1.0217262386112461E-2</v>
      </c>
      <c r="H786" t="s">
        <v>7751</v>
      </c>
    </row>
    <row r="787" spans="1:8" ht="12.75" hidden="1" customHeight="1" outlineLevel="1" x14ac:dyDescent="0.25">
      <c r="A787" s="2380">
        <v>0.02</v>
      </c>
      <c r="B787" s="1813" t="s">
        <v>1203</v>
      </c>
      <c r="C787" s="2108">
        <v>87.775000000000006</v>
      </c>
      <c r="D787" s="1813">
        <v>74.58</v>
      </c>
      <c r="E787" s="1813">
        <v>-0.15032754201082321</v>
      </c>
      <c r="F787" s="1813">
        <v>-3.0065508402164643E-3</v>
      </c>
      <c r="H787" t="s">
        <v>79</v>
      </c>
    </row>
    <row r="788" spans="1:8" ht="12.75" hidden="1" customHeight="1" outlineLevel="1" x14ac:dyDescent="0.25">
      <c r="A788" s="2380">
        <v>0.05</v>
      </c>
      <c r="B788" s="1813" t="s">
        <v>3793</v>
      </c>
      <c r="C788" s="2108">
        <v>87.344999999999999</v>
      </c>
      <c r="D788" s="1813">
        <v>66.760000000000005</v>
      </c>
      <c r="E788" s="1813">
        <v>-0.23567462361898217</v>
      </c>
      <c r="F788" s="1813">
        <v>-1.1783731180949109E-2</v>
      </c>
      <c r="H788" t="s">
        <v>3533</v>
      </c>
    </row>
    <row r="789" spans="1:8" ht="12.75" hidden="1" customHeight="1" outlineLevel="1" x14ac:dyDescent="0.25">
      <c r="A789" s="2380">
        <v>0.02</v>
      </c>
      <c r="B789" s="1813" t="s">
        <v>2769</v>
      </c>
      <c r="C789" s="2108">
        <v>33.545000000000002</v>
      </c>
      <c r="D789" s="1813">
        <v>28.33</v>
      </c>
      <c r="E789" s="1813">
        <v>-0.15546281114920268</v>
      </c>
      <c r="F789" s="1813">
        <v>-3.1092562229840539E-3</v>
      </c>
      <c r="H789" t="s">
        <v>2770</v>
      </c>
    </row>
    <row r="790" spans="1:8" ht="12.75" hidden="1" customHeight="1" outlineLevel="1" x14ac:dyDescent="0.25">
      <c r="A790" s="2380">
        <v>0.08</v>
      </c>
      <c r="B790" s="1813" t="s">
        <v>2297</v>
      </c>
      <c r="C790" s="2108">
        <v>48.603999999999999</v>
      </c>
      <c r="D790" s="1813">
        <v>69.959999999999994</v>
      </c>
      <c r="E790" s="1813">
        <v>0.43938770471566113</v>
      </c>
      <c r="F790" s="1813">
        <v>3.5151016377252889E-2</v>
      </c>
      <c r="H790" t="s">
        <v>2298</v>
      </c>
    </row>
    <row r="791" spans="1:8" ht="12.75" hidden="1" customHeight="1" outlineLevel="1" x14ac:dyDescent="0.25">
      <c r="A791" s="2380">
        <v>0.02</v>
      </c>
      <c r="B791" s="1813" t="s">
        <v>5205</v>
      </c>
      <c r="C791" s="2108">
        <v>13.454500000000001</v>
      </c>
      <c r="D791" s="1813">
        <v>23.074999999999999</v>
      </c>
      <c r="E791" s="1813">
        <v>0.71503957783641137</v>
      </c>
      <c r="F791" s="1813">
        <v>1.4300791556728228E-2</v>
      </c>
      <c r="H791" t="s">
        <v>5199</v>
      </c>
    </row>
    <row r="792" spans="1:8" ht="12.75" hidden="1" customHeight="1" outlineLevel="1" x14ac:dyDescent="0.25">
      <c r="A792" s="2380">
        <v>0.02</v>
      </c>
      <c r="B792" s="1813" t="s">
        <v>6270</v>
      </c>
      <c r="C792" s="2108">
        <v>44.179000000000009</v>
      </c>
      <c r="D792" s="1813">
        <v>38.409999999999997</v>
      </c>
      <c r="E792" s="1813">
        <v>-0.13058240340433258</v>
      </c>
      <c r="F792" s="1813">
        <v>-2.6116480680866516E-3</v>
      </c>
      <c r="H792" t="s">
        <v>8166</v>
      </c>
    </row>
    <row r="793" spans="1:8" ht="12.75" hidden="1" customHeight="1" outlineLevel="1" x14ac:dyDescent="0.25">
      <c r="A793" s="2380">
        <v>0.08</v>
      </c>
      <c r="B793" s="1813" t="s">
        <v>7348</v>
      </c>
      <c r="C793" s="2108">
        <v>1815.2</v>
      </c>
      <c r="D793" s="1813">
        <v>2210</v>
      </c>
      <c r="E793" s="1813">
        <v>0.2174966945791097</v>
      </c>
      <c r="F793" s="1813">
        <v>1.7399735566328775E-2</v>
      </c>
      <c r="H793" t="s">
        <v>8899</v>
      </c>
    </row>
    <row r="794" spans="1:8" ht="12.75" hidden="1" customHeight="1" outlineLevel="1" x14ac:dyDescent="0.25">
      <c r="A794" s="2380">
        <v>0.02</v>
      </c>
      <c r="B794" s="1813" t="s">
        <v>6524</v>
      </c>
      <c r="C794" s="2108">
        <v>80.084999999999994</v>
      </c>
      <c r="D794" s="1813">
        <v>86.1</v>
      </c>
      <c r="E794" s="1813">
        <v>7.5107698070799866E-2</v>
      </c>
      <c r="F794" s="1813">
        <v>1.5021539614159974E-3</v>
      </c>
      <c r="H794" t="s">
        <v>6525</v>
      </c>
    </row>
    <row r="795" spans="1:8" ht="12.75" hidden="1" customHeight="1" outlineLevel="1" x14ac:dyDescent="0.25">
      <c r="A795" s="2380">
        <v>0.08</v>
      </c>
      <c r="B795" s="1813" t="s">
        <v>3427</v>
      </c>
      <c r="C795" s="2108">
        <v>47.028000000000006</v>
      </c>
      <c r="D795" s="1813">
        <v>43.92</v>
      </c>
      <c r="E795" s="1813">
        <v>-6.6088287828527714E-2</v>
      </c>
      <c r="F795" s="1813">
        <v>-5.2870630262822176E-3</v>
      </c>
      <c r="H795" t="s">
        <v>2800</v>
      </c>
    </row>
    <row r="796" spans="1:8" ht="12.75" hidden="1" customHeight="1" outlineLevel="1" x14ac:dyDescent="0.25">
      <c r="A796" s="2380">
        <v>0.02</v>
      </c>
      <c r="B796" s="1813" t="s">
        <v>7627</v>
      </c>
      <c r="C796" s="2108">
        <v>11.456</v>
      </c>
      <c r="D796" s="1813">
        <v>12.63</v>
      </c>
      <c r="E796" s="1813">
        <v>0.1024790502793298</v>
      </c>
      <c r="F796" s="1813">
        <v>2.0495810055865958E-3</v>
      </c>
      <c r="H796" t="s">
        <v>7628</v>
      </c>
    </row>
    <row r="797" spans="1:8" ht="12.75" hidden="1" customHeight="1" outlineLevel="1" x14ac:dyDescent="0.25">
      <c r="A797" s="2380">
        <v>0.08</v>
      </c>
      <c r="B797" s="1813" t="s">
        <v>6118</v>
      </c>
      <c r="C797" s="2108">
        <v>93.41</v>
      </c>
      <c r="D797" s="1813">
        <v>90.12</v>
      </c>
      <c r="E797" s="1813">
        <v>-3.5221068408093248E-2</v>
      </c>
      <c r="F797" s="1813">
        <v>-2.8176854726474597E-3</v>
      </c>
      <c r="H797" t="s">
        <v>8893</v>
      </c>
    </row>
    <row r="798" spans="1:8" ht="12.75" hidden="1" customHeight="1" outlineLevel="1" x14ac:dyDescent="0.25">
      <c r="A798" s="2380">
        <v>0.08</v>
      </c>
      <c r="B798" s="1813" t="s">
        <v>1239</v>
      </c>
      <c r="C798" s="2108">
        <v>482.40999999999997</v>
      </c>
      <c r="D798" s="1813">
        <v>469.7</v>
      </c>
      <c r="E798" s="1813">
        <v>-2.6346883356480943E-2</v>
      </c>
      <c r="F798" s="1813">
        <v>-2.1077506685184756E-3</v>
      </c>
      <c r="H798" t="s">
        <v>8891</v>
      </c>
    </row>
    <row r="799" spans="1:8" ht="12.75" hidden="1" customHeight="1" outlineLevel="1" x14ac:dyDescent="0.25">
      <c r="A799" s="2380">
        <v>0.05</v>
      </c>
      <c r="B799" s="1813" t="s">
        <v>7755</v>
      </c>
      <c r="C799" s="2108">
        <v>9.2626000000000008</v>
      </c>
      <c r="D799" s="1813">
        <v>7.3390000000000004</v>
      </c>
      <c r="E799" s="1813">
        <v>-0.20767387126724679</v>
      </c>
      <c r="F799" s="1813">
        <v>-1.0383693563362341E-2</v>
      </c>
      <c r="H799" t="s">
        <v>6732</v>
      </c>
    </row>
    <row r="800" spans="1:8" ht="12.75" hidden="1" customHeight="1" outlineLevel="1" x14ac:dyDescent="0.25">
      <c r="A800" s="2380">
        <v>0.02</v>
      </c>
      <c r="B800" s="1813" t="s">
        <v>3665</v>
      </c>
      <c r="C800" s="2108">
        <v>36.960999999999999</v>
      </c>
      <c r="D800" s="1813">
        <v>45.25</v>
      </c>
      <c r="E800" s="1813">
        <v>0.22426341278645068</v>
      </c>
      <c r="F800" s="1813">
        <v>4.4852682557290141E-3</v>
      </c>
      <c r="H800" t="s">
        <v>7021</v>
      </c>
    </row>
    <row r="801" spans="1:8" ht="12.75" hidden="1" customHeight="1" outlineLevel="1" x14ac:dyDescent="0.25">
      <c r="A801" s="2380">
        <v>0.02</v>
      </c>
      <c r="B801" s="1813" t="s">
        <v>6337</v>
      </c>
      <c r="C801" s="2108">
        <v>50.634</v>
      </c>
      <c r="D801" s="1813">
        <v>67.86</v>
      </c>
      <c r="E801" s="1813">
        <v>0.34020618556701021</v>
      </c>
      <c r="F801" s="1813">
        <v>6.8041237113402042E-3</v>
      </c>
      <c r="H801" t="s">
        <v>7752</v>
      </c>
    </row>
    <row r="802" spans="1:8" ht="12.75" hidden="1" customHeight="1" outlineLevel="1" x14ac:dyDescent="0.25">
      <c r="A802" s="2380">
        <v>0.02</v>
      </c>
      <c r="B802" s="1813" t="s">
        <v>1183</v>
      </c>
      <c r="C802" s="2108">
        <v>37.711500000000001</v>
      </c>
      <c r="D802" s="1813">
        <v>46.18</v>
      </c>
      <c r="E802" s="1813">
        <v>0.22456014743513242</v>
      </c>
      <c r="F802" s="1813">
        <v>4.4912029487026483E-3</v>
      </c>
      <c r="H802" t="s">
        <v>2805</v>
      </c>
    </row>
    <row r="803" spans="1:8" ht="12.75" hidden="1" customHeight="1" outlineLevel="1" x14ac:dyDescent="0.25">
      <c r="A803" s="2380">
        <v>0.02</v>
      </c>
      <c r="B803" s="1813" t="s">
        <v>255</v>
      </c>
      <c r="C803" s="2108">
        <v>45.050000000000004</v>
      </c>
      <c r="D803" s="2598">
        <v>56.22</v>
      </c>
      <c r="E803" s="1813">
        <v>0.24794672586015531</v>
      </c>
      <c r="F803" s="1813">
        <v>4.9589345172031066E-3</v>
      </c>
      <c r="H803" t="s">
        <v>3351</v>
      </c>
    </row>
    <row r="804" spans="1:8" ht="12.75" hidden="1" customHeight="1" outlineLevel="1" x14ac:dyDescent="0.25">
      <c r="A804" s="2181" t="s">
        <v>2734</v>
      </c>
      <c r="B804" s="1813"/>
      <c r="C804" s="2599">
        <v>100</v>
      </c>
      <c r="D804" s="2600"/>
      <c r="E804" s="2601"/>
      <c r="F804" s="2601">
        <v>9.6581779255835443E-2</v>
      </c>
      <c r="G804" s="78"/>
    </row>
    <row r="805" spans="1:8" ht="12.75" hidden="1" customHeight="1" outlineLevel="1" x14ac:dyDescent="0.25">
      <c r="A805" s="1956" t="s">
        <v>7947</v>
      </c>
      <c r="B805" s="2185">
        <v>43282</v>
      </c>
      <c r="C805" s="2602">
        <v>100</v>
      </c>
      <c r="D805" s="2602">
        <v>117.5214</v>
      </c>
      <c r="E805" s="2603">
        <v>0.17521399999999998</v>
      </c>
      <c r="F805" s="2527"/>
      <c r="G805" s="78"/>
    </row>
    <row r="806" spans="1:8" ht="12.75" hidden="1" customHeight="1" outlineLevel="1" x14ac:dyDescent="0.25">
      <c r="A806" s="1956" t="s">
        <v>7948</v>
      </c>
      <c r="B806" s="2185">
        <v>43313</v>
      </c>
      <c r="C806" s="2602">
        <v>100</v>
      </c>
      <c r="D806" s="2605">
        <v>115.9122</v>
      </c>
      <c r="E806" s="2603">
        <v>0.15912199999999999</v>
      </c>
      <c r="F806" s="2527"/>
      <c r="G806" s="78"/>
    </row>
    <row r="807" spans="1:8" ht="12.75" hidden="1" customHeight="1" outlineLevel="1" x14ac:dyDescent="0.25">
      <c r="A807" s="1956" t="s">
        <v>7949</v>
      </c>
      <c r="B807" s="2185">
        <v>43344</v>
      </c>
      <c r="C807" s="2602">
        <v>100</v>
      </c>
      <c r="D807" s="2605">
        <v>116.6918</v>
      </c>
      <c r="E807" s="2603">
        <v>0.1669179999999999</v>
      </c>
      <c r="F807" s="2527"/>
      <c r="G807" s="78"/>
    </row>
    <row r="808" spans="1:8" ht="12.75" hidden="1" customHeight="1" outlineLevel="1" x14ac:dyDescent="0.25">
      <c r="A808" s="1956" t="s">
        <v>7950</v>
      </c>
      <c r="B808" s="2185">
        <v>43374</v>
      </c>
      <c r="C808" s="2602">
        <v>100</v>
      </c>
      <c r="D808" s="2605">
        <v>114.4123</v>
      </c>
      <c r="E808" s="2603">
        <v>0.144123</v>
      </c>
      <c r="F808" s="2527"/>
      <c r="G808" s="78"/>
    </row>
    <row r="809" spans="1:8" ht="12.75" hidden="1" customHeight="1" outlineLevel="1" x14ac:dyDescent="0.25">
      <c r="A809" s="1956" t="s">
        <v>7951</v>
      </c>
      <c r="B809" s="2185">
        <v>43405</v>
      </c>
      <c r="C809" s="2602">
        <v>100</v>
      </c>
      <c r="D809" s="2605">
        <v>115.8736</v>
      </c>
      <c r="E809" s="2603">
        <v>0.15873599999999999</v>
      </c>
      <c r="F809" s="2527"/>
      <c r="G809" s="78"/>
    </row>
    <row r="810" spans="1:8" ht="12.75" hidden="1" customHeight="1" outlineLevel="1" x14ac:dyDescent="0.25">
      <c r="A810" s="1956" t="s">
        <v>7952</v>
      </c>
      <c r="B810" s="2185">
        <v>43435</v>
      </c>
      <c r="C810" s="2602">
        <v>100</v>
      </c>
      <c r="D810" s="2605">
        <v>110.08</v>
      </c>
      <c r="E810" s="2603">
        <v>0.1008</v>
      </c>
      <c r="F810" s="2527"/>
      <c r="G810" s="78"/>
    </row>
    <row r="811" spans="1:8" ht="12.75" hidden="1" customHeight="1" outlineLevel="1" x14ac:dyDescent="0.25">
      <c r="A811" s="2646" t="s">
        <v>2734</v>
      </c>
      <c r="B811" s="1813"/>
      <c r="C811" s="2621"/>
      <c r="D811" s="2647" t="s">
        <v>2465</v>
      </c>
      <c r="E811" s="2648">
        <v>0.15081883333333332</v>
      </c>
      <c r="F811" s="1813">
        <v>0.15081883333333337</v>
      </c>
      <c r="G811" s="78"/>
    </row>
    <row r="812" spans="1:8" collapsed="1" x14ac:dyDescent="0.25">
      <c r="A812" s="3803" t="s">
        <v>7862</v>
      </c>
      <c r="B812" s="3804"/>
      <c r="C812" s="3804"/>
      <c r="D812" s="3804"/>
      <c r="E812" s="1987"/>
      <c r="F812" s="1948">
        <f>F811</f>
        <v>0.15081883333333337</v>
      </c>
      <c r="G812" s="78"/>
    </row>
    <row r="814" spans="1:8" ht="12.75" hidden="1" customHeight="1" outlineLevel="1" x14ac:dyDescent="0.25">
      <c r="A814" s="3237" t="s">
        <v>113</v>
      </c>
      <c r="B814" s="3237" t="s">
        <v>114</v>
      </c>
      <c r="C814" s="3237" t="s">
        <v>112</v>
      </c>
      <c r="D814" s="3237" t="s">
        <v>116</v>
      </c>
      <c r="E814" s="3237" t="s">
        <v>117</v>
      </c>
      <c r="F814" s="3237" t="s">
        <v>121</v>
      </c>
      <c r="G814" s="78"/>
    </row>
    <row r="815" spans="1:8" ht="12.75" hidden="1" customHeight="1" outlineLevel="1" x14ac:dyDescent="0.25">
      <c r="A815" s="3238">
        <v>1</v>
      </c>
      <c r="B815" s="3239" t="s">
        <v>252</v>
      </c>
      <c r="C815" s="3240">
        <v>100</v>
      </c>
      <c r="D815" s="3240"/>
      <c r="E815" s="3241"/>
      <c r="F815" s="3242"/>
      <c r="G815" s="78"/>
    </row>
    <row r="816" spans="1:8" ht="12.75" hidden="1" customHeight="1" outlineLevel="1" x14ac:dyDescent="0.25">
      <c r="A816" s="3243" t="s">
        <v>2734</v>
      </c>
      <c r="B816" s="3243"/>
      <c r="C816" s="3244"/>
      <c r="D816" s="1900" t="s">
        <v>3702</v>
      </c>
      <c r="E816" s="3245">
        <v>44243</v>
      </c>
      <c r="F816" s="3246"/>
      <c r="G816" s="78"/>
    </row>
    <row r="817" spans="1:19" ht="12.75" hidden="1" customHeight="1" outlineLevel="1" x14ac:dyDescent="0.25">
      <c r="A817" s="3237" t="s">
        <v>4156</v>
      </c>
      <c r="B817" s="3237" t="s">
        <v>4153</v>
      </c>
      <c r="C817" s="3247" t="s">
        <v>112</v>
      </c>
      <c r="D817" s="3248" t="s">
        <v>4155</v>
      </c>
      <c r="E817" s="3237" t="s">
        <v>4154</v>
      </c>
      <c r="F817" s="3248" t="s">
        <v>2519</v>
      </c>
      <c r="G817" s="78"/>
      <c r="I817" s="412" t="s">
        <v>6964</v>
      </c>
      <c r="J817" s="1462">
        <v>42461</v>
      </c>
      <c r="K817" s="1462">
        <v>42491</v>
      </c>
      <c r="L817" s="1462">
        <v>42522</v>
      </c>
      <c r="M817" s="1462">
        <v>42552</v>
      </c>
      <c r="N817" s="1462">
        <v>42583</v>
      </c>
      <c r="O817" s="1462">
        <v>42614</v>
      </c>
    </row>
    <row r="818" spans="1:19" ht="12.75" hidden="1" customHeight="1" outlineLevel="1" x14ac:dyDescent="0.25">
      <c r="A818" s="1991">
        <v>0.02</v>
      </c>
      <c r="B818" s="1921" t="s">
        <v>359</v>
      </c>
      <c r="C818" s="2108">
        <v>143.655</v>
      </c>
      <c r="D818" s="3278">
        <v>199.8</v>
      </c>
      <c r="E818" s="3279">
        <v>0.39083220215098691</v>
      </c>
      <c r="F818" s="3251">
        <v>7.8166440430197381E-3</v>
      </c>
      <c r="G818" s="78"/>
      <c r="H818" t="s">
        <v>360</v>
      </c>
      <c r="I818" s="412">
        <f>IF(J818="",C815,MIN(100,J818:Y818))</f>
        <v>99.863100000000003</v>
      </c>
      <c r="J818">
        <v>99.919499999999999</v>
      </c>
      <c r="K818">
        <v>99.896900000000002</v>
      </c>
      <c r="L818">
        <v>99.863100000000003</v>
      </c>
      <c r="M818">
        <v>101.3999</v>
      </c>
      <c r="N818">
        <v>101.80200000000001</v>
      </c>
      <c r="O818">
        <v>101.9038</v>
      </c>
      <c r="S818" s="434"/>
    </row>
    <row r="819" spans="1:19" ht="12.75" hidden="1" customHeight="1" outlineLevel="1" x14ac:dyDescent="0.25">
      <c r="A819" s="2380">
        <v>0.02</v>
      </c>
      <c r="B819" s="1921" t="s">
        <v>6325</v>
      </c>
      <c r="C819" s="2108">
        <v>64.349000000000004</v>
      </c>
      <c r="D819" s="3278">
        <v>74.849999999999994</v>
      </c>
      <c r="E819" s="3281">
        <v>0.16318823913347513</v>
      </c>
      <c r="F819" s="3254">
        <v>3.2637647826695027E-3</v>
      </c>
      <c r="G819" s="78"/>
      <c r="H819" t="s">
        <v>10509</v>
      </c>
      <c r="I819" s="422">
        <f>+(((E855*100)+100)-I818)/100</f>
        <v>7.4089999999999634E-3</v>
      </c>
      <c r="S819" s="434"/>
    </row>
    <row r="820" spans="1:19" ht="12.75" hidden="1" customHeight="1" outlineLevel="1" x14ac:dyDescent="0.25">
      <c r="A820" s="2380">
        <v>0.02</v>
      </c>
      <c r="B820" s="1921" t="s">
        <v>3998</v>
      </c>
      <c r="C820" s="2108">
        <v>38.415999999999997</v>
      </c>
      <c r="D820" s="3278">
        <v>27.89</v>
      </c>
      <c r="E820" s="3281">
        <v>-0.27400041649312779</v>
      </c>
      <c r="F820" s="3254">
        <v>-5.4800083298625554E-3</v>
      </c>
      <c r="G820" s="78"/>
      <c r="H820" t="s">
        <v>4000</v>
      </c>
      <c r="S820" s="434"/>
    </row>
    <row r="821" spans="1:19" ht="12.75" hidden="1" customHeight="1" outlineLevel="1" x14ac:dyDescent="0.25">
      <c r="A821" s="2380">
        <v>0.02</v>
      </c>
      <c r="B821" s="1921" t="s">
        <v>7753</v>
      </c>
      <c r="C821" s="2108">
        <v>128.68</v>
      </c>
      <c r="D821" s="3278">
        <v>158.9</v>
      </c>
      <c r="E821" s="3281">
        <v>0.23484612993472176</v>
      </c>
      <c r="F821" s="3254">
        <v>4.6969225986944352E-3</v>
      </c>
      <c r="G821" s="78"/>
      <c r="H821" t="s">
        <v>8901</v>
      </c>
      <c r="S821" s="434"/>
    </row>
    <row r="822" spans="1:19" ht="12.75" hidden="1" customHeight="1" outlineLevel="1" x14ac:dyDescent="0.25">
      <c r="A822" s="2380">
        <v>0.02</v>
      </c>
      <c r="B822" s="1921" t="s">
        <v>3954</v>
      </c>
      <c r="C822" s="2108">
        <v>96.693000000000012</v>
      </c>
      <c r="D822" s="3278">
        <v>117.33</v>
      </c>
      <c r="E822" s="3281">
        <v>0.21342806614749765</v>
      </c>
      <c r="F822" s="3254">
        <v>4.2685613229499529E-3</v>
      </c>
      <c r="G822" s="78"/>
      <c r="H822" t="s">
        <v>3955</v>
      </c>
      <c r="S822" s="434"/>
    </row>
    <row r="823" spans="1:19" ht="12.75" hidden="1" customHeight="1" outlineLevel="1" x14ac:dyDescent="0.25">
      <c r="A823" s="2380">
        <v>0.05</v>
      </c>
      <c r="B823" s="1921" t="s">
        <v>4055</v>
      </c>
      <c r="C823" s="2108">
        <v>69.059999999999988</v>
      </c>
      <c r="D823" s="3278">
        <v>75.650000000000006</v>
      </c>
      <c r="E823" s="3281">
        <v>9.5424268751810315E-2</v>
      </c>
      <c r="F823" s="3254">
        <v>4.7712134375905157E-3</v>
      </c>
      <c r="G823" s="78"/>
      <c r="H823" t="s">
        <v>4056</v>
      </c>
      <c r="S823" s="434"/>
    </row>
    <row r="824" spans="1:19" ht="12.75" hidden="1" customHeight="1" outlineLevel="1" x14ac:dyDescent="0.25">
      <c r="A824" s="2380">
        <v>0.02</v>
      </c>
      <c r="B824" s="1921" t="s">
        <v>496</v>
      </c>
      <c r="C824" s="2108">
        <v>9.3173787775513404</v>
      </c>
      <c r="D824" s="3278">
        <v>9.9079999999999995</v>
      </c>
      <c r="E824" s="3281">
        <v>6.3389203825400031E-2</v>
      </c>
      <c r="F824" s="3254">
        <v>1.2677840765080006E-3</v>
      </c>
      <c r="G824" s="78"/>
      <c r="H824" t="s">
        <v>497</v>
      </c>
      <c r="S824" s="434"/>
    </row>
    <row r="825" spans="1:19" ht="12.75" hidden="1" customHeight="1" outlineLevel="1" x14ac:dyDescent="0.25">
      <c r="A825" s="2380">
        <v>0.02</v>
      </c>
      <c r="B825" s="1921" t="s">
        <v>6267</v>
      </c>
      <c r="C825" s="2108">
        <v>25.917000000000002</v>
      </c>
      <c r="D825" s="3278">
        <v>17.364999999999998</v>
      </c>
      <c r="E825" s="3281">
        <v>-0.32997646332523067</v>
      </c>
      <c r="F825" s="3254">
        <v>-6.5995292665046133E-3</v>
      </c>
      <c r="G825" s="78"/>
      <c r="H825" t="s">
        <v>6268</v>
      </c>
      <c r="S825" s="434"/>
    </row>
    <row r="826" spans="1:19" ht="12.75" hidden="1" customHeight="1" outlineLevel="1" x14ac:dyDescent="0.25">
      <c r="A826" s="2380">
        <v>0.02</v>
      </c>
      <c r="B826" s="1921" t="s">
        <v>4268</v>
      </c>
      <c r="C826" s="2108">
        <v>13.271000000000001</v>
      </c>
      <c r="D826" s="3278">
        <v>20.69</v>
      </c>
      <c r="E826" s="3281">
        <v>0.55903850501092611</v>
      </c>
      <c r="F826" s="3254">
        <v>1.1180770100218522E-2</v>
      </c>
      <c r="G826" s="78"/>
      <c r="H826" t="s">
        <v>8442</v>
      </c>
      <c r="S826" s="434"/>
    </row>
    <row r="827" spans="1:19" ht="12.75" hidden="1" customHeight="1" outlineLevel="1" x14ac:dyDescent="0.25">
      <c r="A827" s="2380">
        <v>0.03</v>
      </c>
      <c r="B827" s="1921" t="s">
        <v>10371</v>
      </c>
      <c r="C827" s="2108">
        <v>29.528436973913063</v>
      </c>
      <c r="D827" s="3278">
        <v>29.09</v>
      </c>
      <c r="E827" s="3281">
        <v>-1.4847957387666755E-2</v>
      </c>
      <c r="F827" s="3254">
        <v>-4.4543872163000265E-4</v>
      </c>
      <c r="G827" s="78"/>
      <c r="H827" t="s">
        <v>10370</v>
      </c>
      <c r="S827" s="434"/>
    </row>
    <row r="828" spans="1:19" ht="12.75" hidden="1" customHeight="1" outlineLevel="1" x14ac:dyDescent="0.25">
      <c r="A828" s="2380">
        <v>0.02</v>
      </c>
      <c r="B828" s="1921" t="s">
        <v>6902</v>
      </c>
      <c r="C828" s="2108">
        <v>2.3687999999999994</v>
      </c>
      <c r="D828" s="3278">
        <v>2.593</v>
      </c>
      <c r="E828" s="3281">
        <v>9.4647078689632069E-2</v>
      </c>
      <c r="F828" s="3254">
        <v>1.8929415737926414E-3</v>
      </c>
      <c r="G828" s="78"/>
      <c r="H828" t="s">
        <v>6899</v>
      </c>
      <c r="S828" s="434"/>
    </row>
    <row r="829" spans="1:19" ht="12.75" hidden="1" customHeight="1" outlineLevel="1" x14ac:dyDescent="0.25">
      <c r="A829" s="2380">
        <v>0.02</v>
      </c>
      <c r="B829" s="1921" t="s">
        <v>1772</v>
      </c>
      <c r="C829" s="2108">
        <v>182.215</v>
      </c>
      <c r="D829" s="3278">
        <v>243</v>
      </c>
      <c r="E829" s="3281">
        <v>0.33358944104491939</v>
      </c>
      <c r="F829" s="3254">
        <v>6.671788820898388E-3</v>
      </c>
      <c r="G829" s="78"/>
      <c r="H829" t="s">
        <v>4330</v>
      </c>
      <c r="S829" s="434"/>
    </row>
    <row r="830" spans="1:19" ht="12.75" hidden="1" customHeight="1" outlineLevel="1" x14ac:dyDescent="0.25">
      <c r="A830" s="2380">
        <v>0.02</v>
      </c>
      <c r="B830" s="1921" t="s">
        <v>7754</v>
      </c>
      <c r="C830" s="2519">
        <v>41.768000000000008</v>
      </c>
      <c r="D830" s="3278">
        <v>80.16</v>
      </c>
      <c r="E830" s="3281">
        <v>0.91917257230415594</v>
      </c>
      <c r="F830" s="3254">
        <v>1.838345144608312E-2</v>
      </c>
      <c r="G830" s="78"/>
      <c r="H830" t="s">
        <v>7751</v>
      </c>
      <c r="S830" s="434"/>
    </row>
    <row r="831" spans="1:19" ht="12.75" hidden="1" customHeight="1" outlineLevel="1" x14ac:dyDescent="0.25">
      <c r="A831" s="2380">
        <v>0.02</v>
      </c>
      <c r="B831" s="1921" t="s">
        <v>1203</v>
      </c>
      <c r="C831" s="2108">
        <v>87.9</v>
      </c>
      <c r="D831" s="3278">
        <v>76.319999999999993</v>
      </c>
      <c r="E831" s="3281">
        <v>-0.13174061433447115</v>
      </c>
      <c r="F831" s="3254">
        <v>-2.6348122866894229E-3</v>
      </c>
      <c r="G831" s="78"/>
      <c r="H831" t="s">
        <v>79</v>
      </c>
      <c r="S831" s="434"/>
    </row>
    <row r="832" spans="1:19" ht="12.75" hidden="1" customHeight="1" outlineLevel="1" x14ac:dyDescent="0.25">
      <c r="A832" s="2380">
        <v>0.05</v>
      </c>
      <c r="B832" s="1921" t="s">
        <v>3793</v>
      </c>
      <c r="C832" s="2108">
        <v>96.482000000000014</v>
      </c>
      <c r="D832" s="3278">
        <v>84.02</v>
      </c>
      <c r="E832" s="3281">
        <v>-0.12916398913787042</v>
      </c>
      <c r="F832" s="3254">
        <v>-6.4581994568935208E-3</v>
      </c>
      <c r="G832" s="78"/>
      <c r="H832" t="s">
        <v>3533</v>
      </c>
      <c r="S832" s="434"/>
    </row>
    <row r="833" spans="1:19" ht="12.75" hidden="1" customHeight="1" outlineLevel="1" x14ac:dyDescent="0.25">
      <c r="A833" s="2380">
        <v>0.02</v>
      </c>
      <c r="B833" s="1921" t="s">
        <v>2769</v>
      </c>
      <c r="C833" s="2108">
        <v>36.602000000000004</v>
      </c>
      <c r="D833" s="3278">
        <v>26.19</v>
      </c>
      <c r="E833" s="3281">
        <v>-0.284465329763401</v>
      </c>
      <c r="F833" s="3254">
        <v>-5.6893065952680196E-3</v>
      </c>
      <c r="G833" s="78"/>
      <c r="H833" t="s">
        <v>2770</v>
      </c>
      <c r="S833" s="434"/>
    </row>
    <row r="834" spans="1:19" ht="12.75" hidden="1" customHeight="1" outlineLevel="1" x14ac:dyDescent="0.25">
      <c r="A834" s="2380">
        <v>0.08</v>
      </c>
      <c r="B834" s="1921" t="s">
        <v>2297</v>
      </c>
      <c r="C834" s="2108">
        <v>50.873999999999995</v>
      </c>
      <c r="D834" s="3278">
        <v>55.13</v>
      </c>
      <c r="E834" s="3281">
        <v>8.3657664032708468E-2</v>
      </c>
      <c r="F834" s="3254">
        <v>6.6926131226166773E-3</v>
      </c>
      <c r="G834" s="78"/>
      <c r="H834" t="s">
        <v>2298</v>
      </c>
      <c r="S834" s="434"/>
    </row>
    <row r="835" spans="1:19" ht="12.75" hidden="1" customHeight="1" outlineLevel="1" x14ac:dyDescent="0.25">
      <c r="A835" s="2380">
        <v>0.02</v>
      </c>
      <c r="B835" s="1921" t="s">
        <v>5205</v>
      </c>
      <c r="C835" s="2108">
        <v>16.785000000000004</v>
      </c>
      <c r="D835" s="3278">
        <v>14.448</v>
      </c>
      <c r="E835" s="3281">
        <v>-0.13923145665773029</v>
      </c>
      <c r="F835" s="3254">
        <v>-2.7846291331546057E-3</v>
      </c>
      <c r="G835" s="78"/>
      <c r="H835" t="s">
        <v>5199</v>
      </c>
      <c r="S835" s="434"/>
    </row>
    <row r="836" spans="1:19" ht="12.75" hidden="1" customHeight="1" outlineLevel="1" x14ac:dyDescent="0.25">
      <c r="A836" s="2380">
        <v>0.02</v>
      </c>
      <c r="B836" s="1921" t="s">
        <v>6270</v>
      </c>
      <c r="C836" s="2108">
        <v>41.571319467797565</v>
      </c>
      <c r="D836" s="3278">
        <v>36.869999999999997</v>
      </c>
      <c r="E836" s="3281">
        <v>-0.11309045582350008</v>
      </c>
      <c r="F836" s="3254">
        <v>-2.2618091164700017E-3</v>
      </c>
      <c r="G836" s="78"/>
      <c r="H836" t="s">
        <v>8166</v>
      </c>
      <c r="S836" s="434"/>
    </row>
    <row r="837" spans="1:19" ht="12.75" hidden="1" customHeight="1" outlineLevel="1" x14ac:dyDescent="0.25">
      <c r="A837" s="2380">
        <v>0.08</v>
      </c>
      <c r="B837" s="1921" t="s">
        <v>7348</v>
      </c>
      <c r="C837" s="2108">
        <v>2015.8</v>
      </c>
      <c r="D837" s="3278">
        <v>2595</v>
      </c>
      <c r="E837" s="3281">
        <v>0.28733009227105866</v>
      </c>
      <c r="F837" s="3254">
        <v>2.2986407381684695E-2</v>
      </c>
      <c r="G837" s="78"/>
      <c r="H837" t="s">
        <v>8899</v>
      </c>
      <c r="S837" s="434"/>
    </row>
    <row r="838" spans="1:19" ht="12.75" hidden="1" customHeight="1" outlineLevel="1" x14ac:dyDescent="0.25">
      <c r="A838" s="2380">
        <v>0.02</v>
      </c>
      <c r="B838" s="1921" t="s">
        <v>6524</v>
      </c>
      <c r="C838" s="2108">
        <v>86.893957334250146</v>
      </c>
      <c r="D838" s="3278">
        <v>97.18</v>
      </c>
      <c r="E838" s="3281">
        <v>0.11837466011800002</v>
      </c>
      <c r="F838" s="3254">
        <v>2.3674932023600003E-3</v>
      </c>
      <c r="G838" s="78"/>
      <c r="H838" t="s">
        <v>6525</v>
      </c>
      <c r="S838" s="434"/>
    </row>
    <row r="839" spans="1:19" ht="12.75" hidden="1" customHeight="1" outlineLevel="1" x14ac:dyDescent="0.25">
      <c r="A839" s="2380">
        <v>0.08</v>
      </c>
      <c r="B839" s="1921" t="s">
        <v>3427</v>
      </c>
      <c r="C839" s="2108">
        <v>49.94</v>
      </c>
      <c r="D839" s="3278">
        <v>56.72</v>
      </c>
      <c r="E839" s="3281">
        <v>0.13576291549859842</v>
      </c>
      <c r="F839" s="3254">
        <v>1.0861033239887874E-2</v>
      </c>
      <c r="G839" s="78"/>
      <c r="H839" t="s">
        <v>2800</v>
      </c>
      <c r="S839" s="434"/>
    </row>
    <row r="840" spans="1:19" ht="12.75" hidden="1" customHeight="1" outlineLevel="1" x14ac:dyDescent="0.25">
      <c r="A840" s="2380">
        <v>0.02</v>
      </c>
      <c r="B840" s="1921" t="s">
        <v>10538</v>
      </c>
      <c r="C840" s="2108">
        <v>11.692674023784857</v>
      </c>
      <c r="D840" s="3278">
        <v>9.94</v>
      </c>
      <c r="E840" s="3281">
        <v>-0.14989505567500006</v>
      </c>
      <c r="F840" s="3254">
        <v>-2.9979011135000014E-3</v>
      </c>
      <c r="G840" s="78"/>
      <c r="H840" t="s">
        <v>7628</v>
      </c>
      <c r="S840" s="434"/>
    </row>
    <row r="841" spans="1:19" ht="12.75" hidden="1" customHeight="1" outlineLevel="1" x14ac:dyDescent="0.25">
      <c r="A841" s="2380">
        <v>0.08</v>
      </c>
      <c r="B841" s="1921" t="s">
        <v>6118</v>
      </c>
      <c r="C841" s="2108">
        <v>89.47</v>
      </c>
      <c r="D841" s="3278">
        <v>85.44</v>
      </c>
      <c r="E841" s="3281">
        <v>-4.504303118363695E-2</v>
      </c>
      <c r="F841" s="3254">
        <v>-3.6034424946909563E-3</v>
      </c>
      <c r="G841" s="78"/>
      <c r="H841" t="s">
        <v>8893</v>
      </c>
      <c r="S841" s="434"/>
    </row>
    <row r="842" spans="1:19" ht="12.75" hidden="1" customHeight="1" outlineLevel="1" x14ac:dyDescent="0.25">
      <c r="A842" s="2380">
        <v>0.08</v>
      </c>
      <c r="B842" s="1921" t="s">
        <v>1239</v>
      </c>
      <c r="C842" s="2108">
        <v>513.45000000000005</v>
      </c>
      <c r="D842" s="3278">
        <v>456.5</v>
      </c>
      <c r="E842" s="3281">
        <v>-0.11091635018015389</v>
      </c>
      <c r="F842" s="3254">
        <v>-8.8733080144123115E-3</v>
      </c>
      <c r="G842" s="78"/>
      <c r="H842" t="s">
        <v>8891</v>
      </c>
      <c r="S842" s="434"/>
    </row>
    <row r="843" spans="1:19" ht="12.75" hidden="1" customHeight="1" outlineLevel="1" x14ac:dyDescent="0.25">
      <c r="A843" s="2380">
        <v>0.05</v>
      </c>
      <c r="B843" s="1921" t="s">
        <v>7755</v>
      </c>
      <c r="C843" s="2108">
        <v>9.9385000000000012</v>
      </c>
      <c r="D843" s="3278">
        <v>3.5259999999999998</v>
      </c>
      <c r="E843" s="3281">
        <v>-0.64521809126125684</v>
      </c>
      <c r="F843" s="3254">
        <v>-3.2260904563062846E-2</v>
      </c>
      <c r="G843" s="78"/>
      <c r="H843" t="s">
        <v>6732</v>
      </c>
      <c r="S843" s="434"/>
    </row>
    <row r="844" spans="1:19" ht="12.75" hidden="1" customHeight="1" outlineLevel="1" x14ac:dyDescent="0.25">
      <c r="A844" s="2380">
        <v>0.02</v>
      </c>
      <c r="B844" s="1921" t="s">
        <v>3665</v>
      </c>
      <c r="C844" s="2108">
        <v>20.334499999999998</v>
      </c>
      <c r="D844" s="3278">
        <v>25.5</v>
      </c>
      <c r="E844" s="3281">
        <v>0.25402640832083412</v>
      </c>
      <c r="F844" s="3254">
        <v>5.0805281664166825E-3</v>
      </c>
      <c r="G844" s="78"/>
      <c r="H844" t="s">
        <v>7021</v>
      </c>
      <c r="S844" s="434"/>
    </row>
    <row r="845" spans="1:19" ht="12.75" hidden="1" customHeight="1" outlineLevel="1" x14ac:dyDescent="0.25">
      <c r="A845" s="2380">
        <v>0.02</v>
      </c>
      <c r="B845" s="1921" t="s">
        <v>6337</v>
      </c>
      <c r="C845" s="2108">
        <v>55.076000000000001</v>
      </c>
      <c r="D845" s="3278">
        <v>77.14</v>
      </c>
      <c r="E845" s="3281">
        <v>0.40061006609049321</v>
      </c>
      <c r="F845" s="3254">
        <v>8.0122013218098635E-3</v>
      </c>
      <c r="G845" s="78"/>
      <c r="H845" t="s">
        <v>7752</v>
      </c>
      <c r="S845" s="434"/>
    </row>
    <row r="846" spans="1:19" ht="12.75" hidden="1" customHeight="1" outlineLevel="1" x14ac:dyDescent="0.25">
      <c r="A846" s="2380">
        <v>0.02</v>
      </c>
      <c r="B846" s="1921" t="s">
        <v>1183</v>
      </c>
      <c r="C846" s="2108">
        <v>42.130499999999998</v>
      </c>
      <c r="D846" s="3278">
        <v>38.375</v>
      </c>
      <c r="E846" s="3281">
        <v>-8.9139696894174003E-2</v>
      </c>
      <c r="F846" s="3254">
        <v>-1.78279393788348E-3</v>
      </c>
      <c r="G846" s="78"/>
      <c r="H846" t="s">
        <v>2805</v>
      </c>
      <c r="S846" s="434"/>
    </row>
    <row r="847" spans="1:19" ht="12.75" hidden="1" customHeight="1" outlineLevel="1" x14ac:dyDescent="0.25">
      <c r="A847" s="2380">
        <v>0.02</v>
      </c>
      <c r="B847" s="2109" t="s">
        <v>255</v>
      </c>
      <c r="C847" s="2108">
        <v>52.714999999999996</v>
      </c>
      <c r="D847" s="3278">
        <v>55.3</v>
      </c>
      <c r="E847" s="3281">
        <v>4.9037275917670486E-2</v>
      </c>
      <c r="F847" s="3254">
        <v>9.8074551835340977E-4</v>
      </c>
      <c r="G847" s="78"/>
      <c r="H847" t="s">
        <v>3351</v>
      </c>
      <c r="S847" s="434"/>
    </row>
    <row r="848" spans="1:19" ht="12.75" hidden="1" customHeight="1" outlineLevel="1" x14ac:dyDescent="0.25">
      <c r="A848" s="2181" t="s">
        <v>2734</v>
      </c>
      <c r="B848" s="2103"/>
      <c r="C848" s="3258"/>
      <c r="D848" s="3278"/>
      <c r="E848" s="3284"/>
      <c r="F848" s="3284">
        <v>3.932278112553169E-2</v>
      </c>
      <c r="G848" s="78"/>
    </row>
    <row r="849" spans="1:19" ht="12.75" hidden="1" customHeight="1" outlineLevel="1" x14ac:dyDescent="0.25">
      <c r="A849" s="1956" t="s">
        <v>7953</v>
      </c>
      <c r="B849" s="2185">
        <v>44075</v>
      </c>
      <c r="C849" s="3261">
        <v>100</v>
      </c>
      <c r="D849" s="3261">
        <v>94.785899999999998</v>
      </c>
      <c r="E849" s="3262">
        <v>-5.2140999999999993E-2</v>
      </c>
      <c r="F849" s="3263"/>
      <c r="G849" s="78"/>
    </row>
    <row r="850" spans="1:19" ht="12.75" hidden="1" customHeight="1" outlineLevel="1" x14ac:dyDescent="0.25">
      <c r="A850" s="1956" t="s">
        <v>7954</v>
      </c>
      <c r="B850" s="2185">
        <v>44105</v>
      </c>
      <c r="C850" s="3261">
        <v>100</v>
      </c>
      <c r="D850" s="3264">
        <v>92.7333</v>
      </c>
      <c r="E850" s="3262">
        <v>-7.2667000000000037E-2</v>
      </c>
      <c r="F850" s="3263"/>
      <c r="G850" s="78"/>
    </row>
    <row r="851" spans="1:19" ht="12.75" hidden="1" customHeight="1" outlineLevel="1" x14ac:dyDescent="0.25">
      <c r="A851" s="1956" t="s">
        <v>7955</v>
      </c>
      <c r="B851" s="2185">
        <v>44136</v>
      </c>
      <c r="C851" s="3261">
        <v>100</v>
      </c>
      <c r="D851" s="3264">
        <v>104.55719999999999</v>
      </c>
      <c r="E851" s="3262">
        <v>4.5571999999999946E-2</v>
      </c>
      <c r="F851" s="3263"/>
      <c r="G851" s="78"/>
    </row>
    <row r="852" spans="1:19" ht="12.75" hidden="1" customHeight="1" outlineLevel="1" x14ac:dyDescent="0.25">
      <c r="A852" s="1956" t="s">
        <v>7956</v>
      </c>
      <c r="B852" s="2185">
        <v>44166</v>
      </c>
      <c r="C852" s="3261">
        <v>100</v>
      </c>
      <c r="D852" s="3264">
        <v>104.7556</v>
      </c>
      <c r="E852" s="3262">
        <v>4.7555999999999932E-2</v>
      </c>
      <c r="F852" s="3263"/>
      <c r="G852" s="78"/>
    </row>
    <row r="853" spans="1:19" ht="12.75" hidden="1" customHeight="1" outlineLevel="1" x14ac:dyDescent="0.25">
      <c r="A853" s="1956" t="s">
        <v>7957</v>
      </c>
      <c r="B853" s="2185">
        <v>44197</v>
      </c>
      <c r="C853" s="3261">
        <v>100</v>
      </c>
      <c r="D853" s="3264">
        <v>102.8597</v>
      </c>
      <c r="E853" s="3262">
        <v>2.8596999999999984E-2</v>
      </c>
      <c r="F853" s="3263"/>
      <c r="G853" s="78"/>
    </row>
    <row r="854" spans="1:19" ht="12.75" hidden="1" customHeight="1" outlineLevel="1" x14ac:dyDescent="0.25">
      <c r="A854" s="1956" t="s">
        <v>7958</v>
      </c>
      <c r="B854" s="2185">
        <v>44228</v>
      </c>
      <c r="C854" s="3261">
        <v>100</v>
      </c>
      <c r="D854" s="3264">
        <v>103.9323</v>
      </c>
      <c r="E854" s="3262">
        <v>3.9322999999999997E-2</v>
      </c>
      <c r="F854" s="3263"/>
      <c r="G854" s="78"/>
    </row>
    <row r="855" spans="1:19" ht="12.75" hidden="1" customHeight="1" outlineLevel="1" x14ac:dyDescent="0.25">
      <c r="A855" s="2189" t="s">
        <v>2734</v>
      </c>
      <c r="B855" s="2190"/>
      <c r="C855" s="3264"/>
      <c r="D855" s="2191" t="s">
        <v>2465</v>
      </c>
      <c r="E855" s="1987">
        <v>6.0399999999999716E-3</v>
      </c>
      <c r="F855" s="2528">
        <v>7.4089999999999634E-3</v>
      </c>
      <c r="G855" s="78"/>
    </row>
    <row r="856" spans="1:19" collapsed="1" x14ac:dyDescent="0.25">
      <c r="A856" s="3801" t="s">
        <v>7861</v>
      </c>
      <c r="B856" s="3802"/>
      <c r="C856" s="3802"/>
      <c r="D856" s="3802"/>
      <c r="E856" s="1906"/>
      <c r="F856" s="1907">
        <v>7.4089999999999634E-3</v>
      </c>
      <c r="G856" s="78"/>
    </row>
    <row r="858" spans="1:19" ht="12.75" hidden="1" customHeight="1" outlineLevel="1" x14ac:dyDescent="0.25">
      <c r="A858" s="3237" t="s">
        <v>113</v>
      </c>
      <c r="B858" s="3237" t="s">
        <v>114</v>
      </c>
      <c r="C858" s="3237" t="s">
        <v>112</v>
      </c>
      <c r="D858" s="3237" t="s">
        <v>116</v>
      </c>
      <c r="E858" s="3237" t="s">
        <v>117</v>
      </c>
      <c r="F858" s="3237" t="s">
        <v>121</v>
      </c>
      <c r="G858" s="1906"/>
      <c r="H858" s="1906"/>
      <c r="I858" s="3237" t="s">
        <v>113</v>
      </c>
      <c r="J858" s="3237" t="s">
        <v>114</v>
      </c>
      <c r="K858" s="3237" t="s">
        <v>112</v>
      </c>
      <c r="L858" s="3237" t="s">
        <v>116</v>
      </c>
      <c r="M858" s="3237" t="s">
        <v>117</v>
      </c>
      <c r="N858" s="3237" t="s">
        <v>121</v>
      </c>
      <c r="O858" s="1813"/>
      <c r="P858" s="1813"/>
    </row>
    <row r="859" spans="1:19" ht="12.75" hidden="1" customHeight="1" outlineLevel="1" x14ac:dyDescent="0.25">
      <c r="A859" s="3238">
        <v>1</v>
      </c>
      <c r="B859" s="3239" t="s">
        <v>7092</v>
      </c>
      <c r="C859" s="3240">
        <v>100</v>
      </c>
      <c r="D859" s="1900" t="s">
        <v>3702</v>
      </c>
      <c r="E859" s="3245">
        <v>44469</v>
      </c>
      <c r="F859" s="3246"/>
      <c r="G859" s="1813"/>
      <c r="H859" s="1813"/>
      <c r="I859" s="3238">
        <v>1</v>
      </c>
      <c r="J859" s="3239" t="s">
        <v>7093</v>
      </c>
      <c r="K859" s="3240">
        <v>100</v>
      </c>
      <c r="L859" s="1900" t="s">
        <v>3702</v>
      </c>
      <c r="M859" s="3245">
        <v>44469</v>
      </c>
      <c r="N859" s="3246"/>
      <c r="O859" s="1813"/>
      <c r="P859" s="1813"/>
    </row>
    <row r="860" spans="1:19" ht="40.5" hidden="1" customHeight="1" outlineLevel="1" x14ac:dyDescent="0.25">
      <c r="A860" s="3247" t="s">
        <v>4156</v>
      </c>
      <c r="B860" s="3247" t="s">
        <v>4153</v>
      </c>
      <c r="C860" s="3247" t="s">
        <v>112</v>
      </c>
      <c r="D860" s="3247" t="s">
        <v>4155</v>
      </c>
      <c r="E860" s="3247" t="s">
        <v>4154</v>
      </c>
      <c r="F860" s="3247" t="s">
        <v>2519</v>
      </c>
      <c r="G860" s="1813"/>
      <c r="H860" s="1813"/>
      <c r="I860" s="3247" t="s">
        <v>4156</v>
      </c>
      <c r="J860" s="3247" t="s">
        <v>4153</v>
      </c>
      <c r="K860" s="3247" t="s">
        <v>112</v>
      </c>
      <c r="L860" s="3247" t="s">
        <v>4155</v>
      </c>
      <c r="M860" s="3247" t="s">
        <v>4154</v>
      </c>
      <c r="N860" s="3247" t="s">
        <v>2519</v>
      </c>
      <c r="O860" s="1813"/>
      <c r="P860" s="1813"/>
    </row>
    <row r="861" spans="1:19" ht="12.75" hidden="1" customHeight="1" outlineLevel="1" x14ac:dyDescent="0.25">
      <c r="A861" s="1991">
        <v>0.02</v>
      </c>
      <c r="B861" s="1921" t="s">
        <v>4266</v>
      </c>
      <c r="C861" s="2108">
        <v>20.561</v>
      </c>
      <c r="D861" s="3194">
        <v>31.39</v>
      </c>
      <c r="E861" s="3195">
        <v>0.52667671805846017</v>
      </c>
      <c r="F861" s="3004">
        <v>1.0533534361169203E-2</v>
      </c>
      <c r="G861" s="1813"/>
      <c r="H861" s="1813" t="s">
        <v>8883</v>
      </c>
      <c r="I861" s="3005">
        <v>0.02</v>
      </c>
      <c r="J861" s="1921" t="s">
        <v>7111</v>
      </c>
      <c r="K861" s="2108">
        <v>67.350999999999985</v>
      </c>
      <c r="L861" s="3278">
        <v>107.87</v>
      </c>
      <c r="M861" s="3279">
        <v>0.60160947870113324</v>
      </c>
      <c r="N861" s="3251">
        <v>1.2032189574022665E-2</v>
      </c>
      <c r="O861" s="1813"/>
      <c r="P861" s="1813" t="s">
        <v>7109</v>
      </c>
      <c r="S861" s="434"/>
    </row>
    <row r="862" spans="1:19" ht="12.75" hidden="1" customHeight="1" outlineLevel="1" x14ac:dyDescent="0.25">
      <c r="A862" s="2380">
        <v>0.02</v>
      </c>
      <c r="B862" s="1921" t="s">
        <v>7098</v>
      </c>
      <c r="C862" s="2108">
        <v>99.231000000000009</v>
      </c>
      <c r="D862" s="3196">
        <v>138.58000000000001</v>
      </c>
      <c r="E862" s="3197">
        <v>0.39653938789289644</v>
      </c>
      <c r="F862" s="3007">
        <v>7.9307877578579291E-3</v>
      </c>
      <c r="G862" s="1813"/>
      <c r="H862" s="1813" t="s">
        <v>7099</v>
      </c>
      <c r="I862" s="3198">
        <v>0.08</v>
      </c>
      <c r="J862" s="1921" t="s">
        <v>1993</v>
      </c>
      <c r="K862" s="2108">
        <v>50.26</v>
      </c>
      <c r="L862" s="3280">
        <v>45.52</v>
      </c>
      <c r="M862" s="3281">
        <v>-9.4309590131317012E-2</v>
      </c>
      <c r="N862" s="3254">
        <v>-7.5447672105053614E-3</v>
      </c>
      <c r="O862" s="1813"/>
      <c r="P862" s="1813" t="s">
        <v>2812</v>
      </c>
      <c r="S862" s="434"/>
    </row>
    <row r="863" spans="1:19" ht="12.75" hidden="1" customHeight="1" outlineLevel="1" x14ac:dyDescent="0.25">
      <c r="A863" s="2380">
        <v>0.02</v>
      </c>
      <c r="B863" s="1921" t="s">
        <v>2697</v>
      </c>
      <c r="C863" s="2108">
        <v>16.859000000000002</v>
      </c>
      <c r="D863" s="3196">
        <v>18.39</v>
      </c>
      <c r="E863" s="3197">
        <v>9.0812029183225507E-2</v>
      </c>
      <c r="F863" s="3007">
        <v>1.8162405836645102E-3</v>
      </c>
      <c r="G863" s="1813"/>
      <c r="H863" s="1813" t="s">
        <v>329</v>
      </c>
      <c r="I863" s="3198">
        <v>0.02</v>
      </c>
      <c r="J863" s="1921" t="s">
        <v>1317</v>
      </c>
      <c r="K863" s="2108">
        <v>58.588000000000001</v>
      </c>
      <c r="L863" s="3280">
        <v>81.33</v>
      </c>
      <c r="M863" s="3281">
        <v>0.38816822557520303</v>
      </c>
      <c r="N863" s="3254">
        <v>7.7633645115040605E-3</v>
      </c>
      <c r="O863" s="1813"/>
      <c r="P863" s="1813" t="s">
        <v>1318</v>
      </c>
      <c r="S863" s="434"/>
    </row>
    <row r="864" spans="1:19" ht="12.75" hidden="1" customHeight="1" outlineLevel="1" x14ac:dyDescent="0.25">
      <c r="A864" s="2380">
        <v>0.02</v>
      </c>
      <c r="B864" s="1921" t="s">
        <v>1184</v>
      </c>
      <c r="C864" s="2108">
        <v>70.972999999999999</v>
      </c>
      <c r="D864" s="3196">
        <v>65.849999999999994</v>
      </c>
      <c r="E864" s="3197">
        <v>-7.2182379214630998E-2</v>
      </c>
      <c r="F864" s="3007">
        <v>-1.4436475842926201E-3</v>
      </c>
      <c r="G864" s="1813"/>
      <c r="H864" s="1813" t="s">
        <v>3497</v>
      </c>
      <c r="I864" s="3198">
        <v>0.08</v>
      </c>
      <c r="J864" s="1921" t="s">
        <v>3998</v>
      </c>
      <c r="K864" s="2108">
        <v>32.863999999999997</v>
      </c>
      <c r="L864" s="3280">
        <v>27.01</v>
      </c>
      <c r="M864" s="3281">
        <v>-0.17812804284323258</v>
      </c>
      <c r="N864" s="3254">
        <v>-1.4250243427458606E-2</v>
      </c>
      <c r="O864" s="1813"/>
      <c r="P864" s="1813" t="s">
        <v>4000</v>
      </c>
      <c r="S864" s="434"/>
    </row>
    <row r="865" spans="1:19" ht="12.75" hidden="1" customHeight="1" outlineLevel="1" x14ac:dyDescent="0.25">
      <c r="A865" s="2380">
        <v>0.02</v>
      </c>
      <c r="B865" s="1921" t="s">
        <v>1141</v>
      </c>
      <c r="C865" s="2108">
        <v>89.183000000000007</v>
      </c>
      <c r="D865" s="3196">
        <v>82.76</v>
      </c>
      <c r="E865" s="3197">
        <v>-7.202045232835852E-2</v>
      </c>
      <c r="F865" s="3007">
        <v>-1.4404090465671704E-3</v>
      </c>
      <c r="G865" s="1813"/>
      <c r="H865" s="1813" t="s">
        <v>666</v>
      </c>
      <c r="I865" s="3198">
        <v>0.02</v>
      </c>
      <c r="J865" s="1921" t="s">
        <v>581</v>
      </c>
      <c r="K865" s="2108">
        <v>105.444</v>
      </c>
      <c r="L865" s="3280">
        <v>101.45</v>
      </c>
      <c r="M865" s="3281">
        <v>-3.787792572360682E-2</v>
      </c>
      <c r="N865" s="3254">
        <v>-7.5755851447213641E-4</v>
      </c>
      <c r="O865" s="1813"/>
      <c r="P865" s="1813" t="s">
        <v>589</v>
      </c>
      <c r="S865" s="434"/>
    </row>
    <row r="866" spans="1:19" ht="12.75" hidden="1" customHeight="1" outlineLevel="1" x14ac:dyDescent="0.25">
      <c r="A866" s="2380">
        <v>0.08</v>
      </c>
      <c r="B866" s="1921" t="s">
        <v>4332</v>
      </c>
      <c r="C866" s="2108">
        <v>2.7376999999999994</v>
      </c>
      <c r="D866" s="3196">
        <v>0.56679999999999997</v>
      </c>
      <c r="E866" s="3197">
        <v>-0.79296489754173205</v>
      </c>
      <c r="F866" s="3007">
        <v>-6.3437191803338566E-2</v>
      </c>
      <c r="G866" s="1813"/>
      <c r="H866" s="1813" t="s">
        <v>4334</v>
      </c>
      <c r="I866" s="3198">
        <v>0.02</v>
      </c>
      <c r="J866" s="1921" t="s">
        <v>7114</v>
      </c>
      <c r="K866" s="2108">
        <v>88.85</v>
      </c>
      <c r="L866" s="3280">
        <v>193.38</v>
      </c>
      <c r="M866" s="3281">
        <v>1.1764772087788407</v>
      </c>
      <c r="N866" s="3254">
        <v>2.3529544175576813E-2</v>
      </c>
      <c r="O866" s="1813"/>
      <c r="P866" s="1813" t="s">
        <v>7115</v>
      </c>
      <c r="S866" s="434"/>
    </row>
    <row r="867" spans="1:19" ht="12.75" hidden="1" customHeight="1" outlineLevel="1" x14ac:dyDescent="0.25">
      <c r="A867" s="2380">
        <v>0.02</v>
      </c>
      <c r="B867" s="1921" t="s">
        <v>53</v>
      </c>
      <c r="C867" s="2108">
        <v>54.75500000000001</v>
      </c>
      <c r="D867" s="3196">
        <v>59.05</v>
      </c>
      <c r="E867" s="3197">
        <v>7.8440325084466966E-2</v>
      </c>
      <c r="F867" s="3007">
        <v>1.5688065016893394E-3</v>
      </c>
      <c r="G867" s="1813"/>
      <c r="H867" s="1813" t="s">
        <v>2751</v>
      </c>
      <c r="I867" s="3198">
        <v>0.02</v>
      </c>
      <c r="J867" s="1921" t="s">
        <v>939</v>
      </c>
      <c r="K867" s="2108">
        <v>64.903999999999996</v>
      </c>
      <c r="L867" s="3280">
        <v>67.77</v>
      </c>
      <c r="M867" s="3281">
        <v>4.4157524959940853E-2</v>
      </c>
      <c r="N867" s="3254">
        <v>8.8315049919881702E-4</v>
      </c>
      <c r="O867" s="1813"/>
      <c r="P867" s="1813" t="s">
        <v>2791</v>
      </c>
      <c r="S867" s="434"/>
    </row>
    <row r="868" spans="1:19" ht="12.75" hidden="1" customHeight="1" outlineLevel="1" x14ac:dyDescent="0.25">
      <c r="A868" s="2380">
        <v>0.02</v>
      </c>
      <c r="B868" s="1921" t="s">
        <v>3798</v>
      </c>
      <c r="C868" s="2108">
        <v>3.7290000000000005</v>
      </c>
      <c r="D868" s="3196">
        <v>6.6509999999999998</v>
      </c>
      <c r="E868" s="3197">
        <v>0.78358809332260626</v>
      </c>
      <c r="F868" s="3007">
        <v>1.5671761866452125E-2</v>
      </c>
      <c r="G868" s="1813"/>
      <c r="H868" s="1813" t="s">
        <v>4122</v>
      </c>
      <c r="I868" s="3198">
        <v>0.05</v>
      </c>
      <c r="J868" s="1921" t="s">
        <v>1319</v>
      </c>
      <c r="K868" s="2108">
        <v>64.171000000000006</v>
      </c>
      <c r="L868" s="3280">
        <v>72.59</v>
      </c>
      <c r="M868" s="3281">
        <v>0.13119633479297499</v>
      </c>
      <c r="N868" s="3254">
        <v>6.5598167396487498E-3</v>
      </c>
      <c r="O868" s="1813"/>
      <c r="P868" s="1813" t="s">
        <v>1320</v>
      </c>
      <c r="S868" s="434"/>
    </row>
    <row r="869" spans="1:19" ht="12.75" hidden="1" customHeight="1" outlineLevel="1" x14ac:dyDescent="0.25">
      <c r="A869" s="2380">
        <v>0.02</v>
      </c>
      <c r="B869" s="1921" t="s">
        <v>160</v>
      </c>
      <c r="C869" s="2108">
        <v>92.17</v>
      </c>
      <c r="D869" s="3196">
        <v>99.1</v>
      </c>
      <c r="E869" s="3197">
        <v>7.5187154171639348E-2</v>
      </c>
      <c r="F869" s="3007">
        <v>1.503743083432787E-3</v>
      </c>
      <c r="G869" s="1813"/>
      <c r="H869" s="1813" t="s">
        <v>1056</v>
      </c>
      <c r="I869" s="3198">
        <v>0.02</v>
      </c>
      <c r="J869" s="1921" t="s">
        <v>9591</v>
      </c>
      <c r="K869" s="2108">
        <v>72.805000000000007</v>
      </c>
      <c r="L869" s="3280">
        <v>73.02</v>
      </c>
      <c r="M869" s="3281">
        <v>2.9530938809145812E-3</v>
      </c>
      <c r="N869" s="3254">
        <v>5.9061877618291627E-5</v>
      </c>
      <c r="O869" s="1813"/>
      <c r="P869" s="1813" t="s">
        <v>2622</v>
      </c>
      <c r="S869" s="434"/>
    </row>
    <row r="870" spans="1:19" ht="12.75" hidden="1" customHeight="1" outlineLevel="1" x14ac:dyDescent="0.25">
      <c r="A870" s="2380">
        <v>0.02</v>
      </c>
      <c r="B870" s="1921" t="s">
        <v>6404</v>
      </c>
      <c r="C870" s="2108">
        <v>2.7403999999999997</v>
      </c>
      <c r="D870" s="3196">
        <v>2.448</v>
      </c>
      <c r="E870" s="3197">
        <v>-0.10669975186104208</v>
      </c>
      <c r="F870" s="3007">
        <v>-2.1339950372208415E-3</v>
      </c>
      <c r="G870" s="1813"/>
      <c r="H870" s="1813" t="s">
        <v>6402</v>
      </c>
      <c r="I870" s="3198">
        <v>0.08</v>
      </c>
      <c r="J870" s="1921" t="s">
        <v>1231</v>
      </c>
      <c r="K870" s="2108">
        <v>81.850999999999999</v>
      </c>
      <c r="L870" s="3280">
        <v>97.59</v>
      </c>
      <c r="M870" s="3281">
        <v>0.19228842653113598</v>
      </c>
      <c r="N870" s="3254">
        <v>1.5383074122490879E-2</v>
      </c>
      <c r="O870" s="1813"/>
      <c r="P870" s="1813" t="s">
        <v>2041</v>
      </c>
      <c r="S870" s="434"/>
    </row>
    <row r="871" spans="1:19" ht="12.75" hidden="1" customHeight="1" outlineLevel="1" x14ac:dyDescent="0.25">
      <c r="A871" s="2380">
        <v>0.05</v>
      </c>
      <c r="B871" s="1921" t="s">
        <v>4338</v>
      </c>
      <c r="C871" s="2108">
        <v>19.371500000000005</v>
      </c>
      <c r="D871" s="3196">
        <v>11.342000000000001</v>
      </c>
      <c r="E871" s="3197">
        <v>-0.41450068399452811</v>
      </c>
      <c r="F871" s="3007">
        <v>-2.0725034199726405E-2</v>
      </c>
      <c r="G871" s="1813"/>
      <c r="H871" s="1813" t="s">
        <v>7229</v>
      </c>
      <c r="I871" s="3198">
        <v>0.02</v>
      </c>
      <c r="J871" s="1921" t="s">
        <v>3407</v>
      </c>
      <c r="K871" s="2108">
        <v>193.58057134983841</v>
      </c>
      <c r="L871" s="3280">
        <v>103.03</v>
      </c>
      <c r="M871" s="3281">
        <v>-0.46776683588868839</v>
      </c>
      <c r="N871" s="3254">
        <v>-9.3553367177737681E-3</v>
      </c>
      <c r="O871" s="1813"/>
      <c r="P871" s="1813" t="s">
        <v>4127</v>
      </c>
      <c r="S871" s="434"/>
    </row>
    <row r="872" spans="1:19" ht="12.75" hidden="1" customHeight="1" outlineLevel="1" x14ac:dyDescent="0.25">
      <c r="A872" s="2380">
        <v>0.05</v>
      </c>
      <c r="B872" s="1921" t="s">
        <v>7871</v>
      </c>
      <c r="C872" s="2108">
        <v>5.6252000000000004</v>
      </c>
      <c r="D872" s="3196">
        <v>8.6839999999999993</v>
      </c>
      <c r="E872" s="3197">
        <v>0.54376733271705868</v>
      </c>
      <c r="F872" s="3007">
        <v>2.7188366635852935E-2</v>
      </c>
      <c r="G872" s="1813"/>
      <c r="H872" s="1813" t="s">
        <v>7872</v>
      </c>
      <c r="I872" s="3198">
        <v>0.02</v>
      </c>
      <c r="J872" s="1921" t="s">
        <v>307</v>
      </c>
      <c r="K872" s="2108">
        <v>99.542000000000002</v>
      </c>
      <c r="L872" s="3280">
        <v>328.26</v>
      </c>
      <c r="M872" s="3281">
        <v>2.2977034819473188</v>
      </c>
      <c r="N872" s="3254">
        <v>4.5954069638946375E-2</v>
      </c>
      <c r="O872" s="1813"/>
      <c r="P872" s="1813" t="s">
        <v>1700</v>
      </c>
      <c r="S872" s="434"/>
    </row>
    <row r="873" spans="1:19" ht="12.75" hidden="1" customHeight="1" outlineLevel="1" x14ac:dyDescent="0.25">
      <c r="A873" s="2380">
        <v>0.02</v>
      </c>
      <c r="B873" s="1921" t="s">
        <v>1205</v>
      </c>
      <c r="C873" s="2519">
        <v>23.4575</v>
      </c>
      <c r="D873" s="3196">
        <v>38.340000000000003</v>
      </c>
      <c r="E873" s="3197">
        <v>0.63444527336672718</v>
      </c>
      <c r="F873" s="3007">
        <v>1.2688905467334545E-2</v>
      </c>
      <c r="G873" s="1813"/>
      <c r="H873" s="1813" t="s">
        <v>1092</v>
      </c>
      <c r="I873" s="3198">
        <v>0.02</v>
      </c>
      <c r="J873" s="1921" t="s">
        <v>2920</v>
      </c>
      <c r="K873" s="2519">
        <v>36.584499999999998</v>
      </c>
      <c r="L873" s="3280">
        <v>53.28</v>
      </c>
      <c r="M873" s="3281">
        <v>0.45635446705572047</v>
      </c>
      <c r="N873" s="3254">
        <v>9.127089341114409E-3</v>
      </c>
      <c r="O873" s="1813"/>
      <c r="P873" s="1813" t="s">
        <v>6731</v>
      </c>
      <c r="S873" s="434"/>
    </row>
    <row r="874" spans="1:19" ht="12.75" hidden="1" customHeight="1" outlineLevel="1" x14ac:dyDescent="0.25">
      <c r="A874" s="2380">
        <v>0.05</v>
      </c>
      <c r="B874" s="1921" t="s">
        <v>1772</v>
      </c>
      <c r="C874" s="2108">
        <v>162.245</v>
      </c>
      <c r="D874" s="3196">
        <v>236.9</v>
      </c>
      <c r="E874" s="3197">
        <v>0.46013744645443611</v>
      </c>
      <c r="F874" s="3007">
        <v>2.3006872322721805E-2</v>
      </c>
      <c r="G874" s="1813"/>
      <c r="H874" s="1813" t="s">
        <v>4330</v>
      </c>
      <c r="I874" s="3198">
        <v>0.02</v>
      </c>
      <c r="J874" s="1921" t="s">
        <v>3426</v>
      </c>
      <c r="K874" s="2108">
        <v>106.00699999999999</v>
      </c>
      <c r="L874" s="3280">
        <v>161.5</v>
      </c>
      <c r="M874" s="3281">
        <v>0.52348429820672226</v>
      </c>
      <c r="N874" s="3254">
        <v>1.0469685964134445E-2</v>
      </c>
      <c r="O874" s="1813"/>
      <c r="P874" s="1813" t="s">
        <v>4145</v>
      </c>
      <c r="S874" s="434"/>
    </row>
    <row r="875" spans="1:19" ht="12.75" hidden="1" customHeight="1" outlineLevel="1" x14ac:dyDescent="0.25">
      <c r="A875" s="2380">
        <v>0.03</v>
      </c>
      <c r="B875" s="1921" t="s">
        <v>3797</v>
      </c>
      <c r="C875" s="2108">
        <v>71.085000000000008</v>
      </c>
      <c r="D875" s="3196">
        <v>112.7</v>
      </c>
      <c r="E875" s="3197">
        <v>0.5854258985721319</v>
      </c>
      <c r="F875" s="3007">
        <v>1.7562776957163958E-2</v>
      </c>
      <c r="G875" s="1813"/>
      <c r="H875" s="1813" t="s">
        <v>8872</v>
      </c>
      <c r="I875" s="3198">
        <v>0.02</v>
      </c>
      <c r="J875" s="1921" t="s">
        <v>6707</v>
      </c>
      <c r="K875" s="2108">
        <v>39.69</v>
      </c>
      <c r="L875" s="3280">
        <v>16.73</v>
      </c>
      <c r="M875" s="3281">
        <v>-0.57848324514991178</v>
      </c>
      <c r="N875" s="3254">
        <v>-1.1569664902998236E-2</v>
      </c>
      <c r="O875" s="1813"/>
      <c r="P875" s="1813" t="s">
        <v>6705</v>
      </c>
      <c r="S875" s="434"/>
    </row>
    <row r="876" spans="1:19" ht="12.75" hidden="1" customHeight="1" outlineLevel="1" x14ac:dyDescent="0.25">
      <c r="A876" s="2380">
        <v>0.02</v>
      </c>
      <c r="B876" s="1921" t="s">
        <v>1203</v>
      </c>
      <c r="C876" s="2108">
        <v>91.039999999999992</v>
      </c>
      <c r="D876" s="3196">
        <v>113.1</v>
      </c>
      <c r="E876" s="3197">
        <v>0.24231107205623914</v>
      </c>
      <c r="F876" s="3007">
        <v>4.8462214411247829E-3</v>
      </c>
      <c r="G876" s="1813"/>
      <c r="H876" s="1813" t="s">
        <v>79</v>
      </c>
      <c r="I876" s="3198">
        <v>0.05</v>
      </c>
      <c r="J876" s="1921" t="s">
        <v>816</v>
      </c>
      <c r="K876" s="2108">
        <v>91.436999999999998</v>
      </c>
      <c r="L876" s="3280">
        <v>241.11</v>
      </c>
      <c r="M876" s="3281">
        <v>1.6368975360083993</v>
      </c>
      <c r="N876" s="3254">
        <v>8.1844876800419963E-2</v>
      </c>
      <c r="O876" s="1813"/>
      <c r="P876" s="1813" t="s">
        <v>817</v>
      </c>
      <c r="S876" s="434"/>
    </row>
    <row r="877" spans="1:19" ht="12.75" hidden="1" customHeight="1" outlineLevel="1" x14ac:dyDescent="0.25">
      <c r="A877" s="2380">
        <v>0.02</v>
      </c>
      <c r="B877" s="1921" t="s">
        <v>2787</v>
      </c>
      <c r="C877" s="2108">
        <v>91.25</v>
      </c>
      <c r="D877" s="3196">
        <v>76.83</v>
      </c>
      <c r="E877" s="3197">
        <v>-0.15802739726027404</v>
      </c>
      <c r="F877" s="3007">
        <v>-3.1605479452054808E-3</v>
      </c>
      <c r="G877" s="1813"/>
      <c r="H877" s="1813" t="s">
        <v>8874</v>
      </c>
      <c r="I877" s="3198">
        <v>0.02</v>
      </c>
      <c r="J877" s="1921" t="s">
        <v>1905</v>
      </c>
      <c r="K877" s="2108">
        <v>59.077999999999996</v>
      </c>
      <c r="L877" s="3280">
        <v>75.11</v>
      </c>
      <c r="M877" s="3281">
        <v>0.2713700531500729</v>
      </c>
      <c r="N877" s="3254">
        <v>5.4274010630014583E-3</v>
      </c>
      <c r="O877" s="1813"/>
      <c r="P877" s="1813" t="s">
        <v>504</v>
      </c>
      <c r="S877" s="434"/>
    </row>
    <row r="878" spans="1:19" ht="12.75" hidden="1" customHeight="1" outlineLevel="1" x14ac:dyDescent="0.25">
      <c r="A878" s="2380">
        <v>0.08</v>
      </c>
      <c r="B878" s="1921" t="s">
        <v>54</v>
      </c>
      <c r="C878" s="2108">
        <v>16.781500000000001</v>
      </c>
      <c r="D878" s="3196">
        <v>11.298</v>
      </c>
      <c r="E878" s="3197">
        <v>-0.32675863301850261</v>
      </c>
      <c r="F878" s="3007">
        <v>-2.614069064148021E-2</v>
      </c>
      <c r="G878" s="1813"/>
      <c r="H878" s="1813" t="s">
        <v>6741</v>
      </c>
      <c r="I878" s="3198">
        <v>0.02</v>
      </c>
      <c r="J878" s="1921" t="s">
        <v>1204</v>
      </c>
      <c r="K878" s="2108">
        <v>95.569000000000003</v>
      </c>
      <c r="L878" s="3280">
        <v>150.41</v>
      </c>
      <c r="M878" s="3281">
        <v>0.57383670437066403</v>
      </c>
      <c r="N878" s="3254">
        <v>1.147673408741328E-2</v>
      </c>
      <c r="O878" s="1813"/>
      <c r="P878" s="1813" t="s">
        <v>9047</v>
      </c>
      <c r="S878" s="434"/>
    </row>
    <row r="879" spans="1:19" ht="12.75" hidden="1" customHeight="1" outlineLevel="1" x14ac:dyDescent="0.25">
      <c r="A879" s="2380">
        <v>0.02</v>
      </c>
      <c r="B879" s="1921" t="s">
        <v>5519</v>
      </c>
      <c r="C879" s="2108">
        <v>2.3092000000000001</v>
      </c>
      <c r="D879" s="3196">
        <v>2.8539999999999996</v>
      </c>
      <c r="E879" s="3197">
        <v>0.23592586177030994</v>
      </c>
      <c r="F879" s="3007">
        <v>4.7185172354061991E-3</v>
      </c>
      <c r="G879" s="1813"/>
      <c r="H879" s="1813" t="s">
        <v>5517</v>
      </c>
      <c r="I879" s="3198">
        <v>0.02</v>
      </c>
      <c r="J879" s="1921" t="s">
        <v>1414</v>
      </c>
      <c r="K879" s="2108">
        <v>31.499000000000002</v>
      </c>
      <c r="L879" s="3280">
        <v>43.01</v>
      </c>
      <c r="M879" s="3281">
        <v>0.36544017270389517</v>
      </c>
      <c r="N879" s="3254">
        <v>7.3088034540779038E-3</v>
      </c>
      <c r="O879" s="1813"/>
      <c r="P879" s="1813" t="s">
        <v>2428</v>
      </c>
      <c r="S879" s="434"/>
    </row>
    <row r="880" spans="1:19" ht="12.75" hidden="1" customHeight="1" outlineLevel="1" x14ac:dyDescent="0.25">
      <c r="A880" s="2380">
        <v>0.02</v>
      </c>
      <c r="B880" s="1921" t="s">
        <v>1187</v>
      </c>
      <c r="C880" s="2108">
        <v>74.269000000000005</v>
      </c>
      <c r="D880" s="3196">
        <v>83.08</v>
      </c>
      <c r="E880" s="3197">
        <v>0.11863630855403984</v>
      </c>
      <c r="F880" s="3007">
        <v>2.372726171080797E-3</v>
      </c>
      <c r="G880" s="1813"/>
      <c r="H880" s="1813" t="s">
        <v>3483</v>
      </c>
      <c r="I880" s="3198">
        <v>0.02</v>
      </c>
      <c r="J880" s="1921" t="s">
        <v>2469</v>
      </c>
      <c r="K880" s="2108">
        <v>52.201999999999998</v>
      </c>
      <c r="L880" s="3280">
        <v>9.6</v>
      </c>
      <c r="M880" s="3281">
        <v>-0.81609900003831271</v>
      </c>
      <c r="N880" s="3254">
        <v>-1.6321980000766255E-2</v>
      </c>
      <c r="O880" s="1813"/>
      <c r="P880" s="1813" t="s">
        <v>2696</v>
      </c>
      <c r="S880" s="434"/>
    </row>
    <row r="881" spans="1:19" ht="12.75" hidden="1" customHeight="1" outlineLevel="1" x14ac:dyDescent="0.25">
      <c r="A881" s="2380">
        <v>0.02</v>
      </c>
      <c r="B881" s="1921" t="s">
        <v>1206</v>
      </c>
      <c r="C881" s="2108">
        <v>55.92</v>
      </c>
      <c r="D881" s="3196">
        <v>116.88</v>
      </c>
      <c r="E881" s="3197">
        <v>1.0901287553648067</v>
      </c>
      <c r="F881" s="3007">
        <v>2.1802575107296135E-2</v>
      </c>
      <c r="G881" s="1813"/>
      <c r="H881" s="1813" t="s">
        <v>3484</v>
      </c>
      <c r="I881" s="3198">
        <v>0.05</v>
      </c>
      <c r="J881" s="1921" t="s">
        <v>3793</v>
      </c>
      <c r="K881" s="2108">
        <v>84.619</v>
      </c>
      <c r="L881" s="3280">
        <v>94.79</v>
      </c>
      <c r="M881" s="3281">
        <v>0.1201975915574518</v>
      </c>
      <c r="N881" s="3254">
        <v>6.0098795778725901E-3</v>
      </c>
      <c r="O881" s="1813"/>
      <c r="P881" s="1813" t="s">
        <v>3533</v>
      </c>
      <c r="S881" s="434"/>
    </row>
    <row r="882" spans="1:19" ht="12.75" hidden="1" customHeight="1" outlineLevel="1" x14ac:dyDescent="0.25">
      <c r="A882" s="2380">
        <v>0.02</v>
      </c>
      <c r="B882" s="1921" t="s">
        <v>1214</v>
      </c>
      <c r="C882" s="2108">
        <v>92.482000000000014</v>
      </c>
      <c r="D882" s="3196">
        <v>141.91999999999999</v>
      </c>
      <c r="E882" s="3197">
        <v>0.53456888908111821</v>
      </c>
      <c r="F882" s="3007">
        <v>1.0691377781622364E-2</v>
      </c>
      <c r="G882" s="1813"/>
      <c r="H882" s="1813" t="s">
        <v>3775</v>
      </c>
      <c r="I882" s="3198">
        <v>0.08</v>
      </c>
      <c r="J882" s="1921" t="s">
        <v>2769</v>
      </c>
      <c r="K882" s="2108">
        <v>32.528971760971395</v>
      </c>
      <c r="L882" s="3280">
        <v>27.88</v>
      </c>
      <c r="M882" s="3281">
        <v>-0.14291788240749992</v>
      </c>
      <c r="N882" s="3254">
        <v>-1.1433430592599993E-2</v>
      </c>
      <c r="O882" s="1813"/>
      <c r="P882" s="1813" t="s">
        <v>2770</v>
      </c>
      <c r="S882" s="434"/>
    </row>
    <row r="883" spans="1:19" ht="12.75" hidden="1" customHeight="1" outlineLevel="1" x14ac:dyDescent="0.25">
      <c r="A883" s="2380">
        <v>0.02</v>
      </c>
      <c r="B883" s="1921" t="s">
        <v>3381</v>
      </c>
      <c r="C883" s="2108">
        <v>124.58000000000001</v>
      </c>
      <c r="D883" s="3196">
        <v>222.65</v>
      </c>
      <c r="E883" s="3197">
        <v>0.7872050088296676</v>
      </c>
      <c r="F883" s="3007">
        <v>1.5744100176593352E-2</v>
      </c>
      <c r="G883" s="1813"/>
      <c r="H883" s="1813" t="s">
        <v>9199</v>
      </c>
      <c r="I883" s="3198">
        <v>0.02</v>
      </c>
      <c r="J883" s="1921" t="s">
        <v>3023</v>
      </c>
      <c r="K883" s="2108">
        <v>90.307000000000002</v>
      </c>
      <c r="L883" s="3280">
        <v>139.80000000000001</v>
      </c>
      <c r="M883" s="3281">
        <v>0.54805275338567339</v>
      </c>
      <c r="N883" s="3254">
        <v>1.0961055067713468E-2</v>
      </c>
      <c r="O883" s="1813"/>
      <c r="P883" s="1813" t="s">
        <v>2815</v>
      </c>
      <c r="S883" s="434"/>
    </row>
    <row r="884" spans="1:19" ht="12.75" hidden="1" customHeight="1" outlineLevel="1" x14ac:dyDescent="0.25">
      <c r="A884" s="2380">
        <v>0.08</v>
      </c>
      <c r="B884" s="1921" t="s">
        <v>6118</v>
      </c>
      <c r="C884" s="2108">
        <v>82.655000000000001</v>
      </c>
      <c r="D884" s="3196">
        <v>80.14</v>
      </c>
      <c r="E884" s="3197">
        <v>-3.0427681325993605E-2</v>
      </c>
      <c r="F884" s="3007">
        <v>-2.4342145060794883E-3</v>
      </c>
      <c r="G884" s="1813"/>
      <c r="H884" s="1813" t="s">
        <v>8893</v>
      </c>
      <c r="I884" s="3198">
        <v>0.08</v>
      </c>
      <c r="J884" s="1921" t="s">
        <v>3427</v>
      </c>
      <c r="K884" s="2108">
        <v>48.088000000000008</v>
      </c>
      <c r="L884" s="3280">
        <v>61.97</v>
      </c>
      <c r="M884" s="3281">
        <v>0.28867908833804656</v>
      </c>
      <c r="N884" s="3254">
        <v>2.3094327067043726E-2</v>
      </c>
      <c r="O884" s="1813"/>
      <c r="P884" s="1813" t="s">
        <v>2800</v>
      </c>
      <c r="S884" s="434"/>
    </row>
    <row r="885" spans="1:19" ht="12.75" hidden="1" customHeight="1" outlineLevel="1" x14ac:dyDescent="0.25">
      <c r="A885" s="2380">
        <v>0.02</v>
      </c>
      <c r="B885" s="1921" t="s">
        <v>7755</v>
      </c>
      <c r="C885" s="2108">
        <v>12.612500000000001</v>
      </c>
      <c r="D885" s="3196">
        <v>4.0469999999999997</v>
      </c>
      <c r="E885" s="3197">
        <v>-0.67912784935579784</v>
      </c>
      <c r="F885" s="3007">
        <v>-1.3582556987115958E-2</v>
      </c>
      <c r="G885" s="1813"/>
      <c r="H885" s="1813" t="s">
        <v>6732</v>
      </c>
      <c r="I885" s="3198">
        <v>0.02</v>
      </c>
      <c r="J885" s="1921" t="s">
        <v>7119</v>
      </c>
      <c r="K885" s="2108">
        <v>73.356999999999999</v>
      </c>
      <c r="L885" s="3280">
        <v>228.77</v>
      </c>
      <c r="M885" s="3281">
        <v>2.1185844568343852</v>
      </c>
      <c r="N885" s="3254">
        <v>4.2371689136687707E-2</v>
      </c>
      <c r="O885" s="1813"/>
      <c r="P885" s="1813" t="s">
        <v>7118</v>
      </c>
      <c r="S885" s="434"/>
    </row>
    <row r="886" spans="1:19" ht="12.75" hidden="1" customHeight="1" outlineLevel="1" x14ac:dyDescent="0.25">
      <c r="A886" s="2380">
        <v>0.08</v>
      </c>
      <c r="B886" s="1921" t="s">
        <v>434</v>
      </c>
      <c r="C886" s="2108">
        <v>51.259</v>
      </c>
      <c r="D886" s="3196">
        <v>36.125</v>
      </c>
      <c r="E886" s="3197">
        <v>-0.29524571294797008</v>
      </c>
      <c r="F886" s="3007">
        <v>-2.3619657035837606E-2</v>
      </c>
      <c r="G886" s="1813"/>
      <c r="H886" s="1813" t="s">
        <v>7745</v>
      </c>
      <c r="I886" s="3198">
        <v>0.02</v>
      </c>
      <c r="J886" s="1921" t="s">
        <v>1003</v>
      </c>
      <c r="K886" s="2108">
        <v>54.086500000000001</v>
      </c>
      <c r="L886" s="3280">
        <v>192.21</v>
      </c>
      <c r="M886" s="3281">
        <v>2.5537518604457676</v>
      </c>
      <c r="N886" s="3254">
        <v>5.1075037208915354E-2</v>
      </c>
      <c r="O886" s="1813"/>
      <c r="P886" s="1813" t="s">
        <v>7121</v>
      </c>
      <c r="S886" s="434"/>
    </row>
    <row r="887" spans="1:19" ht="12.75" hidden="1" customHeight="1" outlineLevel="1" x14ac:dyDescent="0.25">
      <c r="A887" s="2380">
        <v>0.02</v>
      </c>
      <c r="B887" s="1921" t="s">
        <v>4601</v>
      </c>
      <c r="C887" s="2108">
        <v>203.36500000000001</v>
      </c>
      <c r="D887" s="3196">
        <v>190</v>
      </c>
      <c r="E887" s="3197">
        <v>-6.5719273227939912E-2</v>
      </c>
      <c r="F887" s="3007">
        <v>-1.3143854645587983E-3</v>
      </c>
      <c r="G887" s="1813"/>
      <c r="H887" s="1813" t="s">
        <v>6271</v>
      </c>
      <c r="I887" s="3198">
        <v>0.02</v>
      </c>
      <c r="J887" s="1921" t="s">
        <v>1142</v>
      </c>
      <c r="K887" s="2108">
        <v>41.765000000000001</v>
      </c>
      <c r="L887" s="3280">
        <v>52.47</v>
      </c>
      <c r="M887" s="3281">
        <v>0.25631509637256067</v>
      </c>
      <c r="N887" s="3254">
        <v>5.1263019274512137E-3</v>
      </c>
      <c r="O887" s="1813"/>
      <c r="P887" s="1813" t="s">
        <v>1143</v>
      </c>
      <c r="S887" s="434"/>
    </row>
    <row r="888" spans="1:19" ht="12.75" hidden="1" customHeight="1" outlineLevel="1" x14ac:dyDescent="0.25">
      <c r="A888" s="2380">
        <v>0.02</v>
      </c>
      <c r="B888" s="1921" t="s">
        <v>106</v>
      </c>
      <c r="C888" s="2108">
        <v>26.312000000000001</v>
      </c>
      <c r="D888" s="3196">
        <v>40.049999999999997</v>
      </c>
      <c r="E888" s="3197">
        <v>0.5221191851626632</v>
      </c>
      <c r="F888" s="3007">
        <v>1.0442383703253264E-2</v>
      </c>
      <c r="G888" s="1813"/>
      <c r="H888" s="1813" t="s">
        <v>107</v>
      </c>
      <c r="I888" s="3198">
        <v>0.02</v>
      </c>
      <c r="J888" s="1921" t="s">
        <v>3641</v>
      </c>
      <c r="K888" s="2108">
        <v>110.197</v>
      </c>
      <c r="L888" s="3280">
        <v>182.1</v>
      </c>
      <c r="M888" s="3281">
        <v>0.65249507699846632</v>
      </c>
      <c r="N888" s="3254">
        <v>1.3049901539969327E-2</v>
      </c>
      <c r="O888" s="1813"/>
      <c r="P888" s="1813" t="s">
        <v>3642</v>
      </c>
      <c r="S888" s="434"/>
    </row>
    <row r="889" spans="1:19" ht="12.75" hidden="1" customHeight="1" outlineLevel="1" x14ac:dyDescent="0.25">
      <c r="A889" s="2380">
        <v>0.02</v>
      </c>
      <c r="B889" s="1921" t="s">
        <v>719</v>
      </c>
      <c r="C889" s="2108">
        <v>43.652500000000003</v>
      </c>
      <c r="D889" s="3196">
        <v>90.15</v>
      </c>
      <c r="E889" s="3197">
        <v>1.06517381593265</v>
      </c>
      <c r="F889" s="3007">
        <v>2.1303476318653002E-2</v>
      </c>
      <c r="G889" s="1813"/>
      <c r="H889" s="1813" t="s">
        <v>1697</v>
      </c>
      <c r="I889" s="3198">
        <v>0.03</v>
      </c>
      <c r="J889" s="1921" t="s">
        <v>255</v>
      </c>
      <c r="K889" s="2108">
        <v>46.698999999999998</v>
      </c>
      <c r="L889" s="3280">
        <v>54.01</v>
      </c>
      <c r="M889" s="3281">
        <v>0.15655581489967663</v>
      </c>
      <c r="N889" s="3254">
        <v>4.6966744469902986E-3</v>
      </c>
      <c r="O889" s="1813"/>
      <c r="P889" s="1813" t="s">
        <v>3351</v>
      </c>
      <c r="S889" s="434"/>
    </row>
    <row r="890" spans="1:19" ht="12.75" hidden="1" customHeight="1" outlineLevel="1" x14ac:dyDescent="0.25">
      <c r="A890" s="2380">
        <v>0.08</v>
      </c>
      <c r="B890" s="2109" t="s">
        <v>4550</v>
      </c>
      <c r="C890" s="2108">
        <v>302.14999999999998</v>
      </c>
      <c r="D890" s="3199">
        <v>383.6</v>
      </c>
      <c r="E890" s="3197">
        <v>0.26956809531689574</v>
      </c>
      <c r="F890" s="3007">
        <v>2.1565447625351661E-2</v>
      </c>
      <c r="G890" s="1813"/>
      <c r="H890" s="1813" t="s">
        <v>8889</v>
      </c>
      <c r="I890" s="2989">
        <v>0.02</v>
      </c>
      <c r="J890" s="2109" t="s">
        <v>3817</v>
      </c>
      <c r="K890" s="2108">
        <v>54.198</v>
      </c>
      <c r="L890" s="3283">
        <v>46.41</v>
      </c>
      <c r="M890" s="3281">
        <v>-0.14369533931141376</v>
      </c>
      <c r="N890" s="3254">
        <v>-2.8739067862282755E-3</v>
      </c>
      <c r="O890" s="1813"/>
      <c r="P890" s="1813" t="s">
        <v>1914</v>
      </c>
      <c r="S890" s="434"/>
    </row>
    <row r="891" spans="1:19" ht="12.75" hidden="1" customHeight="1" outlineLevel="1" x14ac:dyDescent="0.25">
      <c r="A891" s="3453" t="s">
        <v>2734</v>
      </c>
      <c r="B891" s="3454"/>
      <c r="C891" s="3455"/>
      <c r="D891" s="3456"/>
      <c r="E891" s="3457"/>
      <c r="F891" s="3457">
        <v>7.3526290846297554E-2</v>
      </c>
      <c r="G891" s="1813"/>
      <c r="H891" s="3458">
        <v>0.32009683966900915</v>
      </c>
      <c r="I891" s="2181" t="s">
        <v>2734</v>
      </c>
      <c r="J891" s="2103"/>
      <c r="K891" s="3258"/>
      <c r="L891" s="3259"/>
      <c r="M891" s="3284"/>
      <c r="N891" s="3284">
        <v>0.32009683966900915</v>
      </c>
      <c r="O891" s="1813"/>
      <c r="P891" s="1813"/>
    </row>
    <row r="892" spans="1:19" ht="12.75" hidden="1" customHeight="1" outlineLevel="1" x14ac:dyDescent="0.25">
      <c r="A892" s="1956" t="s">
        <v>7962</v>
      </c>
      <c r="B892" s="2185">
        <v>43922</v>
      </c>
      <c r="C892" s="3261">
        <v>100</v>
      </c>
      <c r="D892" s="3261">
        <v>90.5197</v>
      </c>
      <c r="E892" s="3262">
        <v>-9.4802999999999971E-2</v>
      </c>
      <c r="F892" s="3263"/>
      <c r="G892" s="1813"/>
      <c r="H892" s="1813"/>
      <c r="I892" s="1956" t="s">
        <v>7962</v>
      </c>
      <c r="J892" s="2185">
        <v>43922</v>
      </c>
      <c r="K892" s="3261">
        <v>100</v>
      </c>
      <c r="L892" s="3261">
        <v>111.6097</v>
      </c>
      <c r="M892" s="3262">
        <v>0.11609700000000012</v>
      </c>
      <c r="N892" s="3263"/>
      <c r="O892" s="1813"/>
      <c r="P892" s="1813"/>
    </row>
    <row r="893" spans="1:19" ht="12.75" hidden="1" customHeight="1" outlineLevel="1" x14ac:dyDescent="0.25">
      <c r="A893" s="1956" t="s">
        <v>7963</v>
      </c>
      <c r="B893" s="2185">
        <v>43952</v>
      </c>
      <c r="C893" s="3261">
        <v>100</v>
      </c>
      <c r="D893" s="3264">
        <v>92.007000000000005</v>
      </c>
      <c r="E893" s="3262">
        <v>-7.9929999999999946E-2</v>
      </c>
      <c r="F893" s="3263"/>
      <c r="G893" s="1813"/>
      <c r="H893" s="1813"/>
      <c r="I893" s="1956" t="s">
        <v>7963</v>
      </c>
      <c r="J893" s="2185">
        <v>43952</v>
      </c>
      <c r="K893" s="3261">
        <v>100</v>
      </c>
      <c r="L893" s="3264">
        <v>113.9255</v>
      </c>
      <c r="M893" s="3262">
        <v>0.13925499999999991</v>
      </c>
      <c r="N893" s="3263"/>
      <c r="O893" s="1813"/>
      <c r="P893" s="1813"/>
    </row>
    <row r="894" spans="1:19" ht="12.75" hidden="1" customHeight="1" outlineLevel="1" x14ac:dyDescent="0.25">
      <c r="A894" s="1956" t="s">
        <v>7964</v>
      </c>
      <c r="B894" s="2185">
        <v>43983</v>
      </c>
      <c r="C894" s="3261">
        <v>100</v>
      </c>
      <c r="D894" s="3264">
        <v>97.112200000000001</v>
      </c>
      <c r="E894" s="3262">
        <v>-2.8877999999999959E-2</v>
      </c>
      <c r="F894" s="3263"/>
      <c r="G894" s="1813"/>
      <c r="H894" s="1813"/>
      <c r="I894" s="1956" t="s">
        <v>7964</v>
      </c>
      <c r="J894" s="2185">
        <v>43983</v>
      </c>
      <c r="K894" s="3261">
        <v>100</v>
      </c>
      <c r="L894" s="3264">
        <v>110.0819</v>
      </c>
      <c r="M894" s="3262">
        <v>0.10081899999999999</v>
      </c>
      <c r="N894" s="3263"/>
      <c r="O894" s="1813"/>
      <c r="P894" s="1813"/>
    </row>
    <row r="895" spans="1:19" ht="12.75" hidden="1" customHeight="1" outlineLevel="1" x14ac:dyDescent="0.25">
      <c r="A895" s="1956" t="s">
        <v>7965</v>
      </c>
      <c r="B895" s="2185">
        <v>44013</v>
      </c>
      <c r="C895" s="3261">
        <v>100</v>
      </c>
      <c r="D895" s="3264">
        <v>97.567899999999995</v>
      </c>
      <c r="E895" s="3262">
        <v>-2.4321000000000037E-2</v>
      </c>
      <c r="F895" s="3263"/>
      <c r="G895" s="1813"/>
      <c r="H895" s="1813"/>
      <c r="I895" s="1956" t="s">
        <v>7965</v>
      </c>
      <c r="J895" s="2185">
        <v>44013</v>
      </c>
      <c r="K895" s="3261">
        <v>100</v>
      </c>
      <c r="L895" s="3264">
        <v>114.1063</v>
      </c>
      <c r="M895" s="3262">
        <v>0.14106299999999994</v>
      </c>
      <c r="N895" s="3263"/>
      <c r="O895" s="1813"/>
      <c r="P895" s="1813"/>
    </row>
    <row r="896" spans="1:19" ht="12.75" hidden="1" customHeight="1" outlineLevel="1" x14ac:dyDescent="0.25">
      <c r="A896" s="1956" t="s">
        <v>7966</v>
      </c>
      <c r="B896" s="2185">
        <v>44044</v>
      </c>
      <c r="C896" s="3261">
        <v>100</v>
      </c>
      <c r="D896" s="3264">
        <v>98.018199999999993</v>
      </c>
      <c r="E896" s="3262">
        <v>-1.9818000000000113E-2</v>
      </c>
      <c r="F896" s="3263"/>
      <c r="G896" s="1813"/>
      <c r="H896" s="1813"/>
      <c r="I896" s="1956" t="s">
        <v>7966</v>
      </c>
      <c r="J896" s="2185">
        <v>44044</v>
      </c>
      <c r="K896" s="3261">
        <v>100</v>
      </c>
      <c r="L896" s="3264">
        <v>117.5859</v>
      </c>
      <c r="M896" s="3262">
        <v>0.17585899999999999</v>
      </c>
      <c r="N896" s="3263"/>
      <c r="O896" s="1813"/>
      <c r="P896" s="1813"/>
    </row>
    <row r="897" spans="1:16" ht="12.75" hidden="1" customHeight="1" outlineLevel="1" x14ac:dyDescent="0.25">
      <c r="A897" s="1956" t="s">
        <v>7967</v>
      </c>
      <c r="B897" s="2185">
        <v>44075</v>
      </c>
      <c r="C897" s="3261">
        <v>100</v>
      </c>
      <c r="D897" s="3264">
        <v>96.181299999999993</v>
      </c>
      <c r="E897" s="3262">
        <v>-3.8187000000000082E-2</v>
      </c>
      <c r="F897" s="3263"/>
      <c r="G897" s="1813"/>
      <c r="H897" s="1813"/>
      <c r="I897" s="1956" t="s">
        <v>7967</v>
      </c>
      <c r="J897" s="2185">
        <v>44075</v>
      </c>
      <c r="K897" s="3261">
        <v>100</v>
      </c>
      <c r="L897" s="3264">
        <v>117.13849999999999</v>
      </c>
      <c r="M897" s="3262">
        <v>0.1713849999999999</v>
      </c>
      <c r="N897" s="3263"/>
      <c r="O897" s="1813"/>
      <c r="P897" s="1813"/>
    </row>
    <row r="898" spans="1:16" ht="12.75" hidden="1" customHeight="1" outlineLevel="1" x14ac:dyDescent="0.25">
      <c r="A898" s="1956" t="s">
        <v>7968</v>
      </c>
      <c r="B898" s="2185">
        <v>44105</v>
      </c>
      <c r="C898" s="3261">
        <v>100</v>
      </c>
      <c r="D898" s="3264">
        <v>89.5672</v>
      </c>
      <c r="E898" s="3262">
        <v>-0.10432799999999998</v>
      </c>
      <c r="F898" s="3263"/>
      <c r="G898" s="1813"/>
      <c r="H898" s="1813"/>
      <c r="I898" s="1956" t="s">
        <v>7968</v>
      </c>
      <c r="J898" s="2185">
        <v>44105</v>
      </c>
      <c r="K898" s="3261">
        <v>100</v>
      </c>
      <c r="L898" s="3264">
        <v>114.6724</v>
      </c>
      <c r="M898" s="3262">
        <v>0.14672399999999985</v>
      </c>
      <c r="N898" s="3263"/>
      <c r="O898" s="1813"/>
      <c r="P898" s="1813"/>
    </row>
    <row r="899" spans="1:16" ht="12.75" hidden="1" customHeight="1" outlineLevel="1" x14ac:dyDescent="0.25">
      <c r="A899" s="1956" t="s">
        <v>7969</v>
      </c>
      <c r="B899" s="2185">
        <v>44136</v>
      </c>
      <c r="C899" s="3261">
        <v>100</v>
      </c>
      <c r="D899" s="3264">
        <v>103.5791</v>
      </c>
      <c r="E899" s="3262">
        <v>3.5790999999999906E-2</v>
      </c>
      <c r="F899" s="3263"/>
      <c r="G899" s="1813"/>
      <c r="H899" s="1813"/>
      <c r="I899" s="1956" t="s">
        <v>7969</v>
      </c>
      <c r="J899" s="2185">
        <v>44136</v>
      </c>
      <c r="K899" s="3261">
        <v>100</v>
      </c>
      <c r="L899" s="3264">
        <v>122.3283</v>
      </c>
      <c r="M899" s="3262">
        <v>0.2232829999999999</v>
      </c>
      <c r="N899" s="3263"/>
      <c r="O899" s="1813"/>
      <c r="P899" s="1813"/>
    </row>
    <row r="900" spans="1:16" ht="12.75" hidden="1" customHeight="1" outlineLevel="1" x14ac:dyDescent="0.25">
      <c r="A900" s="1956" t="s">
        <v>7970</v>
      </c>
      <c r="B900" s="2185">
        <v>44166</v>
      </c>
      <c r="C900" s="3261">
        <v>100</v>
      </c>
      <c r="D900" s="3264">
        <v>104.24120000000001</v>
      </c>
      <c r="E900" s="3262">
        <v>4.2412000000000116E-2</v>
      </c>
      <c r="F900" s="3263"/>
      <c r="G900" s="1813"/>
      <c r="H900" s="1813"/>
      <c r="I900" s="1956" t="s">
        <v>7970</v>
      </c>
      <c r="J900" s="2185">
        <v>44166</v>
      </c>
      <c r="K900" s="3261">
        <v>100</v>
      </c>
      <c r="L900" s="3264">
        <v>122.8746</v>
      </c>
      <c r="M900" s="3262">
        <v>0.22874600000000012</v>
      </c>
      <c r="N900" s="3263"/>
      <c r="O900" s="1813"/>
      <c r="P900" s="1813"/>
    </row>
    <row r="901" spans="1:16" ht="12.75" hidden="1" customHeight="1" outlineLevel="1" x14ac:dyDescent="0.25">
      <c r="A901" s="1956" t="s">
        <v>7971</v>
      </c>
      <c r="B901" s="2185">
        <v>44197</v>
      </c>
      <c r="C901" s="3261">
        <v>100</v>
      </c>
      <c r="D901" s="3264">
        <v>103.0788</v>
      </c>
      <c r="E901" s="3262">
        <v>3.0788000000000038E-2</v>
      </c>
      <c r="F901" s="3263"/>
      <c r="G901" s="1813"/>
      <c r="H901" s="1813"/>
      <c r="I901" s="1956" t="s">
        <v>7971</v>
      </c>
      <c r="J901" s="2185">
        <v>44197</v>
      </c>
      <c r="K901" s="3261">
        <v>100</v>
      </c>
      <c r="L901" s="3264">
        <v>120.7393</v>
      </c>
      <c r="M901" s="3262">
        <v>0.20739299999999994</v>
      </c>
      <c r="N901" s="3263"/>
      <c r="O901" s="1813"/>
      <c r="P901" s="1813"/>
    </row>
    <row r="902" spans="1:16" ht="12.75" hidden="1" customHeight="1" outlineLevel="1" x14ac:dyDescent="0.25">
      <c r="A902" s="1956" t="s">
        <v>7972</v>
      </c>
      <c r="B902" s="2185">
        <v>44228</v>
      </c>
      <c r="C902" s="3261">
        <v>100</v>
      </c>
      <c r="D902" s="3264">
        <v>104.24590000000001</v>
      </c>
      <c r="E902" s="3262">
        <v>4.2459000000000024E-2</v>
      </c>
      <c r="F902" s="3263"/>
      <c r="G902" s="1813"/>
      <c r="H902" s="1813"/>
      <c r="I902" s="1956" t="s">
        <v>7972</v>
      </c>
      <c r="J902" s="2185">
        <v>44228</v>
      </c>
      <c r="K902" s="3261">
        <v>100</v>
      </c>
      <c r="L902" s="3264">
        <v>120.24630000000001</v>
      </c>
      <c r="M902" s="3262">
        <v>0.20246300000000006</v>
      </c>
      <c r="N902" s="3263"/>
      <c r="O902" s="1813"/>
      <c r="P902" s="1813"/>
    </row>
    <row r="903" spans="1:16" ht="12.75" hidden="1" customHeight="1" outlineLevel="1" x14ac:dyDescent="0.25">
      <c r="A903" s="1956" t="s">
        <v>7973</v>
      </c>
      <c r="B903" s="2185">
        <v>44256</v>
      </c>
      <c r="C903" s="3261">
        <v>100</v>
      </c>
      <c r="D903" s="3264">
        <v>111.8096</v>
      </c>
      <c r="E903" s="3262">
        <v>0.11809599999999998</v>
      </c>
      <c r="F903" s="3263"/>
      <c r="G903" s="1813"/>
      <c r="H903" s="1813"/>
      <c r="I903" s="1956" t="s">
        <v>7973</v>
      </c>
      <c r="J903" s="2185">
        <v>44256</v>
      </c>
      <c r="K903" s="3261">
        <v>100</v>
      </c>
      <c r="L903" s="3264">
        <v>131.4006</v>
      </c>
      <c r="M903" s="3262">
        <v>0.31400600000000001</v>
      </c>
      <c r="N903" s="3263"/>
      <c r="O903" s="1813"/>
      <c r="P903" s="1813"/>
    </row>
    <row r="904" spans="1:16" ht="12.75" hidden="1" customHeight="1" outlineLevel="1" x14ac:dyDescent="0.25">
      <c r="A904" s="1956" t="s">
        <v>7974</v>
      </c>
      <c r="B904" s="2185">
        <v>44287</v>
      </c>
      <c r="C904" s="3261">
        <v>100</v>
      </c>
      <c r="D904" s="3264">
        <v>109.7402</v>
      </c>
      <c r="E904" s="3262">
        <v>9.7401999999999989E-2</v>
      </c>
      <c r="F904" s="3263"/>
      <c r="G904" s="1813"/>
      <c r="H904" s="1813"/>
      <c r="I904" s="1956" t="s">
        <v>7974</v>
      </c>
      <c r="J904" s="2185">
        <v>44287</v>
      </c>
      <c r="K904" s="3261">
        <v>100</v>
      </c>
      <c r="L904" s="3264">
        <v>134.59440000000001</v>
      </c>
      <c r="M904" s="3262">
        <v>0.34594400000000003</v>
      </c>
      <c r="N904" s="3263"/>
      <c r="O904" s="1813"/>
      <c r="P904" s="1813"/>
    </row>
    <row r="905" spans="1:16" ht="12.75" hidden="1" customHeight="1" outlineLevel="1" x14ac:dyDescent="0.25">
      <c r="A905" s="1956" t="s">
        <v>7975</v>
      </c>
      <c r="B905" s="2185">
        <v>44317</v>
      </c>
      <c r="C905" s="3261">
        <v>100</v>
      </c>
      <c r="D905" s="3264">
        <v>110.2929</v>
      </c>
      <c r="E905" s="3262">
        <v>0.10292900000000005</v>
      </c>
      <c r="F905" s="3263"/>
      <c r="G905" s="1813"/>
      <c r="H905" s="1813"/>
      <c r="I905" s="1956" t="s">
        <v>7975</v>
      </c>
      <c r="J905" s="2185">
        <v>44317</v>
      </c>
      <c r="K905" s="3261">
        <v>100</v>
      </c>
      <c r="L905" s="3264">
        <v>135.64269999999999</v>
      </c>
      <c r="M905" s="3262">
        <v>0.35642699999999983</v>
      </c>
      <c r="N905" s="3263"/>
      <c r="O905" s="1813"/>
      <c r="P905" s="1813"/>
    </row>
    <row r="906" spans="1:16" ht="12.75" hidden="1" customHeight="1" outlineLevel="1" x14ac:dyDescent="0.25">
      <c r="A906" s="1956" t="s">
        <v>7976</v>
      </c>
      <c r="B906" s="2185">
        <v>44348</v>
      </c>
      <c r="C906" s="3261">
        <v>100</v>
      </c>
      <c r="D906" s="3264">
        <v>109.4743</v>
      </c>
      <c r="E906" s="3262">
        <v>9.4743000000000022E-2</v>
      </c>
      <c r="F906" s="3263"/>
      <c r="G906" s="1813"/>
      <c r="H906" s="1813"/>
      <c r="I906" s="1956" t="s">
        <v>7976</v>
      </c>
      <c r="J906" s="2185">
        <v>44348</v>
      </c>
      <c r="K906" s="3261">
        <v>100</v>
      </c>
      <c r="L906" s="3264">
        <v>133.99250000000001</v>
      </c>
      <c r="M906" s="3262">
        <v>0.33992500000000003</v>
      </c>
      <c r="N906" s="3263"/>
      <c r="O906" s="1813"/>
      <c r="P906" s="1813"/>
    </row>
    <row r="907" spans="1:16" ht="12.75" hidden="1" customHeight="1" outlineLevel="1" x14ac:dyDescent="0.25">
      <c r="A907" s="1956" t="s">
        <v>7977</v>
      </c>
      <c r="B907" s="2185">
        <v>44378</v>
      </c>
      <c r="C907" s="3261">
        <v>100</v>
      </c>
      <c r="D907" s="3264">
        <v>107.5925</v>
      </c>
      <c r="E907" s="3262">
        <v>7.592500000000002E-2</v>
      </c>
      <c r="F907" s="3263"/>
      <c r="G907" s="1813"/>
      <c r="H907" s="1813"/>
      <c r="I907" s="1956" t="s">
        <v>7977</v>
      </c>
      <c r="J907" s="2185">
        <v>44378</v>
      </c>
      <c r="K907" s="3261">
        <v>100</v>
      </c>
      <c r="L907" s="3264">
        <v>136.983</v>
      </c>
      <c r="M907" s="3262">
        <v>0.3698300000000001</v>
      </c>
      <c r="N907" s="3263"/>
      <c r="O907" s="1813"/>
      <c r="P907" s="1813"/>
    </row>
    <row r="908" spans="1:16" ht="12.75" hidden="1" customHeight="1" outlineLevel="1" x14ac:dyDescent="0.25">
      <c r="A908" s="1956" t="s">
        <v>7978</v>
      </c>
      <c r="B908" s="2185">
        <v>44409</v>
      </c>
      <c r="C908" s="3261">
        <v>100</v>
      </c>
      <c r="D908" s="3264">
        <v>111.43259999999999</v>
      </c>
      <c r="E908" s="3262">
        <v>0.11432599999999993</v>
      </c>
      <c r="F908" s="3263"/>
      <c r="G908" s="1813"/>
      <c r="H908" s="1813"/>
      <c r="I908" s="1956" t="s">
        <v>7978</v>
      </c>
      <c r="J908" s="2185">
        <v>44409</v>
      </c>
      <c r="K908" s="3261">
        <v>100</v>
      </c>
      <c r="L908" s="3264">
        <v>137.39359999999999</v>
      </c>
      <c r="M908" s="3262">
        <v>0.37393599999999982</v>
      </c>
      <c r="N908" s="3263"/>
      <c r="O908" s="1813"/>
      <c r="P908" s="1813"/>
    </row>
    <row r="909" spans="1:16" ht="12.75" hidden="1" customHeight="1" outlineLevel="1" x14ac:dyDescent="0.25">
      <c r="A909" s="1956" t="s">
        <v>7979</v>
      </c>
      <c r="B909" s="2185">
        <v>44440</v>
      </c>
      <c r="C909" s="3261">
        <v>100</v>
      </c>
      <c r="D909" s="3264">
        <v>107.6691</v>
      </c>
      <c r="E909" s="3262">
        <v>7.6691000000000065E-2</v>
      </c>
      <c r="F909" s="3263"/>
      <c r="G909" s="1813"/>
      <c r="H909" s="1813"/>
      <c r="I909" s="1956" t="s">
        <v>7979</v>
      </c>
      <c r="J909" s="2185">
        <v>44440</v>
      </c>
      <c r="K909" s="3261">
        <v>100</v>
      </c>
      <c r="L909" s="3264">
        <v>132.45089999999999</v>
      </c>
      <c r="M909" s="3262">
        <v>0.32450899999999994</v>
      </c>
      <c r="N909" s="3263"/>
      <c r="O909" s="1813"/>
      <c r="P909" s="1813"/>
    </row>
    <row r="910" spans="1:16" ht="12.75" hidden="1" customHeight="1" outlineLevel="1" x14ac:dyDescent="0.25">
      <c r="A910" s="2189" t="s">
        <v>2734</v>
      </c>
      <c r="B910" s="2190"/>
      <c r="C910" s="3264"/>
      <c r="D910" s="2191" t="s">
        <v>2465</v>
      </c>
      <c r="E910" s="1987">
        <v>2.4516500000000004E-2</v>
      </c>
      <c r="F910" s="2528">
        <v>2.4516500000000004E-2</v>
      </c>
      <c r="G910" s="3459" t="s">
        <v>7980</v>
      </c>
      <c r="H910" s="1986">
        <v>0.23764799999999997</v>
      </c>
      <c r="I910" s="2189" t="s">
        <v>2734</v>
      </c>
      <c r="J910" s="2190"/>
      <c r="K910" s="3264"/>
      <c r="L910" s="2191" t="s">
        <v>2465</v>
      </c>
      <c r="M910" s="1987">
        <v>0.23764799999999997</v>
      </c>
      <c r="N910" s="2528">
        <v>0.23764799999999997</v>
      </c>
      <c r="O910" s="1813"/>
      <c r="P910" s="1813"/>
    </row>
    <row r="911" spans="1:16" collapsed="1" x14ac:dyDescent="0.25">
      <c r="A911" s="3801" t="s">
        <v>7046</v>
      </c>
      <c r="B911" s="3802"/>
      <c r="C911" s="3802"/>
      <c r="D911" s="3802"/>
      <c r="E911" s="1906"/>
      <c r="F911" s="1907">
        <v>0.23764799999999997</v>
      </c>
      <c r="G911" s="1906"/>
      <c r="H911" s="1906"/>
      <c r="I911" s="3801" t="s">
        <v>7046</v>
      </c>
      <c r="J911" s="3802"/>
      <c r="K911" s="3802"/>
      <c r="L911" s="3802"/>
      <c r="M911" s="1906"/>
      <c r="N911" s="1907"/>
      <c r="O911" s="1813"/>
      <c r="P911" s="1813"/>
    </row>
    <row r="913" spans="1:8" ht="12.75" hidden="1" customHeight="1" outlineLevel="1" x14ac:dyDescent="0.25">
      <c r="A913" s="3237" t="s">
        <v>113</v>
      </c>
      <c r="B913" s="3237" t="s">
        <v>114</v>
      </c>
      <c r="C913" s="3237" t="s">
        <v>112</v>
      </c>
      <c r="D913" s="3237" t="s">
        <v>116</v>
      </c>
      <c r="E913" s="3237" t="s">
        <v>117</v>
      </c>
      <c r="F913" s="3237" t="s">
        <v>121</v>
      </c>
      <c r="G913" s="78"/>
    </row>
    <row r="914" spans="1:8" ht="12.75" hidden="1" customHeight="1" outlineLevel="1" x14ac:dyDescent="0.25">
      <c r="A914" s="3238">
        <v>1</v>
      </c>
      <c r="B914" s="3239" t="s">
        <v>252</v>
      </c>
      <c r="C914" s="3240">
        <v>100</v>
      </c>
      <c r="D914" s="3240"/>
      <c r="E914" s="3241"/>
      <c r="F914" s="3242"/>
      <c r="G914" s="78"/>
    </row>
    <row r="915" spans="1:8" ht="12.75" hidden="1" customHeight="1" outlineLevel="1" x14ac:dyDescent="0.25">
      <c r="A915" s="3243" t="s">
        <v>2734</v>
      </c>
      <c r="B915" s="3243"/>
      <c r="C915" s="3244"/>
      <c r="D915" s="1900" t="s">
        <v>3702</v>
      </c>
      <c r="E915" s="3245">
        <v>44347</v>
      </c>
      <c r="F915" s="3246"/>
      <c r="G915" s="78"/>
    </row>
    <row r="916" spans="1:8" ht="12.75" hidden="1" customHeight="1" outlineLevel="1" x14ac:dyDescent="0.25">
      <c r="A916" s="3237" t="s">
        <v>4156</v>
      </c>
      <c r="B916" s="3237" t="s">
        <v>4153</v>
      </c>
      <c r="C916" s="3247" t="s">
        <v>112</v>
      </c>
      <c r="D916" s="3248" t="s">
        <v>4155</v>
      </c>
      <c r="E916" s="3248" t="s">
        <v>4154</v>
      </c>
      <c r="F916" s="3248" t="s">
        <v>2519</v>
      </c>
      <c r="G916" s="78"/>
    </row>
    <row r="917" spans="1:8" ht="12.75" hidden="1" customHeight="1" outlineLevel="1" x14ac:dyDescent="0.25">
      <c r="A917" s="1991">
        <v>0.05</v>
      </c>
      <c r="B917" s="2461" t="s">
        <v>7491</v>
      </c>
      <c r="C917" s="2108">
        <v>4723</v>
      </c>
      <c r="D917" s="3249">
        <v>4806</v>
      </c>
      <c r="E917" s="3250">
        <v>1.7573576116874934E-2</v>
      </c>
      <c r="F917" s="3251">
        <v>8.7867880584374669E-4</v>
      </c>
      <c r="G917" s="78"/>
      <c r="H917" t="s">
        <v>7489</v>
      </c>
    </row>
    <row r="918" spans="1:8" ht="12.75" hidden="1" customHeight="1" outlineLevel="1" x14ac:dyDescent="0.25">
      <c r="A918" s="2380">
        <v>0.08</v>
      </c>
      <c r="B918" s="2461" t="s">
        <v>951</v>
      </c>
      <c r="C918" s="2108">
        <v>4169.3500000000004</v>
      </c>
      <c r="D918" s="3252">
        <v>2560</v>
      </c>
      <c r="E918" s="3253">
        <v>-0.38599541895019618</v>
      </c>
      <c r="F918" s="3254">
        <v>-3.0879633516015696E-2</v>
      </c>
      <c r="G918" s="78"/>
      <c r="H918" t="s">
        <v>952</v>
      </c>
    </row>
    <row r="919" spans="1:8" ht="12.75" hidden="1" customHeight="1" outlineLevel="1" x14ac:dyDescent="0.25">
      <c r="A919" s="2380">
        <v>0.08</v>
      </c>
      <c r="B919" s="2461" t="s">
        <v>5516</v>
      </c>
      <c r="C919" s="2108">
        <v>774.75</v>
      </c>
      <c r="D919" s="3252">
        <v>2530</v>
      </c>
      <c r="E919" s="3253">
        <v>2.2655695385608259</v>
      </c>
      <c r="F919" s="3254">
        <v>0.18124556308486608</v>
      </c>
      <c r="G919" s="78"/>
      <c r="H919" t="s">
        <v>5514</v>
      </c>
    </row>
    <row r="920" spans="1:8" ht="12.75" hidden="1" customHeight="1" outlineLevel="1" x14ac:dyDescent="0.25">
      <c r="A920" s="2380">
        <v>0.02</v>
      </c>
      <c r="B920" s="2461" t="s">
        <v>7494</v>
      </c>
      <c r="C920" s="2108">
        <v>6215.9</v>
      </c>
      <c r="D920" s="3252">
        <v>7503</v>
      </c>
      <c r="E920" s="3253">
        <v>0.20706575073601585</v>
      </c>
      <c r="F920" s="3254">
        <v>4.1413150147203174E-3</v>
      </c>
      <c r="G920" s="78"/>
      <c r="H920" t="s">
        <v>7492</v>
      </c>
    </row>
    <row r="921" spans="1:8" ht="12.75" hidden="1" customHeight="1" outlineLevel="1" x14ac:dyDescent="0.25">
      <c r="A921" s="2380">
        <v>0.02</v>
      </c>
      <c r="B921" s="2461" t="s">
        <v>5090</v>
      </c>
      <c r="C921" s="2108">
        <v>7877</v>
      </c>
      <c r="D921" s="3252">
        <v>7358</v>
      </c>
      <c r="E921" s="3253">
        <v>-6.5888028437222301E-2</v>
      </c>
      <c r="F921" s="3254">
        <v>-1.3177605687444461E-3</v>
      </c>
      <c r="G921" s="78"/>
      <c r="H921" t="s">
        <v>5091</v>
      </c>
    </row>
    <row r="922" spans="1:8" ht="12.75" hidden="1" customHeight="1" outlineLevel="1" x14ac:dyDescent="0.25">
      <c r="A922" s="2380">
        <v>0.02</v>
      </c>
      <c r="B922" s="2461" t="s">
        <v>7497</v>
      </c>
      <c r="C922" s="2108">
        <v>4108.8999999999996</v>
      </c>
      <c r="D922" s="3252">
        <v>3353</v>
      </c>
      <c r="E922" s="3253">
        <v>-0.18396651171846468</v>
      </c>
      <c r="F922" s="3254">
        <v>-3.6793302343692937E-3</v>
      </c>
      <c r="G922" s="78"/>
      <c r="H922" t="s">
        <v>7495</v>
      </c>
    </row>
    <row r="923" spans="1:8" ht="12.75" hidden="1" customHeight="1" outlineLevel="1" x14ac:dyDescent="0.25">
      <c r="A923" s="2380">
        <v>0.02</v>
      </c>
      <c r="B923" s="2461" t="s">
        <v>7500</v>
      </c>
      <c r="C923" s="2108">
        <v>2908.3</v>
      </c>
      <c r="D923" s="3252">
        <v>1458</v>
      </c>
      <c r="E923" s="3253">
        <v>-0.49867620259257994</v>
      </c>
      <c r="F923" s="3254">
        <v>-9.9735240518515986E-3</v>
      </c>
      <c r="G923" s="78"/>
      <c r="H923" t="s">
        <v>7498</v>
      </c>
    </row>
    <row r="924" spans="1:8" ht="12.75" hidden="1" customHeight="1" outlineLevel="1" x14ac:dyDescent="0.25">
      <c r="A924" s="2380">
        <v>0.05</v>
      </c>
      <c r="B924" s="2461" t="s">
        <v>7488</v>
      </c>
      <c r="C924" s="2108">
        <v>5853</v>
      </c>
      <c r="D924" s="3252">
        <v>6695</v>
      </c>
      <c r="E924" s="3253">
        <v>0.14385785067486756</v>
      </c>
      <c r="F924" s="3254">
        <v>7.1928925337433787E-3</v>
      </c>
      <c r="G924" s="78"/>
      <c r="H924" t="s">
        <v>7501</v>
      </c>
    </row>
    <row r="925" spans="1:8" ht="12.75" hidden="1" customHeight="1" outlineLevel="1" x14ac:dyDescent="0.25">
      <c r="A925" s="2380">
        <v>0.02</v>
      </c>
      <c r="B925" s="2461" t="s">
        <v>7505</v>
      </c>
      <c r="C925" s="2108">
        <v>2817.2</v>
      </c>
      <c r="D925" s="3252">
        <v>3717</v>
      </c>
      <c r="E925" s="3253">
        <v>0.31939514411472403</v>
      </c>
      <c r="F925" s="3254">
        <v>6.3879028822944805E-3</v>
      </c>
      <c r="G925" s="78"/>
      <c r="H925" t="s">
        <v>7503</v>
      </c>
    </row>
    <row r="926" spans="1:8" ht="12.75" hidden="1" customHeight="1" outlineLevel="1" x14ac:dyDescent="0.25">
      <c r="A926" s="2380">
        <v>0.02</v>
      </c>
      <c r="B926" s="2461" t="s">
        <v>7368</v>
      </c>
      <c r="C926" s="2108">
        <v>2543.35</v>
      </c>
      <c r="D926" s="3252">
        <v>3203</v>
      </c>
      <c r="E926" s="3253">
        <v>0.25936265162089378</v>
      </c>
      <c r="F926" s="3254">
        <v>5.1872530324178759E-3</v>
      </c>
      <c r="G926" s="78"/>
      <c r="H926" t="s">
        <v>7366</v>
      </c>
    </row>
    <row r="927" spans="1:8" ht="12.75" hidden="1" customHeight="1" outlineLevel="1" x14ac:dyDescent="0.25">
      <c r="A927" s="2380">
        <v>0.02</v>
      </c>
      <c r="B927" s="2461" t="s">
        <v>7508</v>
      </c>
      <c r="C927" s="2108">
        <v>1565.3</v>
      </c>
      <c r="D927" s="3252">
        <v>1136</v>
      </c>
      <c r="E927" s="3253">
        <v>-0.27426052513895094</v>
      </c>
      <c r="F927" s="3254">
        <v>-5.4852105027790189E-3</v>
      </c>
      <c r="G927" s="78"/>
      <c r="H927" t="s">
        <v>7506</v>
      </c>
    </row>
    <row r="928" spans="1:8" ht="12.75" hidden="1" customHeight="1" outlineLevel="1" x14ac:dyDescent="0.25">
      <c r="A928" s="2380">
        <v>0.02</v>
      </c>
      <c r="B928" s="2461" t="s">
        <v>4292</v>
      </c>
      <c r="C928" s="2108">
        <v>6540.5</v>
      </c>
      <c r="D928" s="3252">
        <v>6722</v>
      </c>
      <c r="E928" s="3253">
        <v>2.775017200519847E-2</v>
      </c>
      <c r="F928" s="3254">
        <v>5.5500344010396942E-4</v>
      </c>
      <c r="G928" s="78"/>
      <c r="H928" t="s">
        <v>1892</v>
      </c>
    </row>
    <row r="929" spans="1:8" ht="12.75" hidden="1" customHeight="1" outlineLevel="1" x14ac:dyDescent="0.25">
      <c r="A929" s="2380">
        <v>0.02</v>
      </c>
      <c r="B929" s="2461" t="s">
        <v>247</v>
      </c>
      <c r="C929" s="2519">
        <v>2781.85</v>
      </c>
      <c r="D929" s="3252">
        <v>2984</v>
      </c>
      <c r="E929" s="3253">
        <v>7.266746948972802E-2</v>
      </c>
      <c r="F929" s="3254">
        <v>1.4533493897945604E-3</v>
      </c>
      <c r="G929" s="78"/>
      <c r="H929" t="s">
        <v>3640</v>
      </c>
    </row>
    <row r="930" spans="1:8" ht="12.75" hidden="1" customHeight="1" outlineLevel="1" x14ac:dyDescent="0.25">
      <c r="A930" s="2380">
        <v>0.08</v>
      </c>
      <c r="B930" s="2461" t="s">
        <v>5164</v>
      </c>
      <c r="C930" s="2108">
        <v>1681.2</v>
      </c>
      <c r="D930" s="3252">
        <v>2414</v>
      </c>
      <c r="E930" s="3253">
        <v>0.435879133951939</v>
      </c>
      <c r="F930" s="3254">
        <v>3.4870330716155119E-2</v>
      </c>
      <c r="G930" s="78"/>
      <c r="H930" t="s">
        <v>5162</v>
      </c>
    </row>
    <row r="931" spans="1:8" ht="12.75" hidden="1" customHeight="1" outlineLevel="1" x14ac:dyDescent="0.25">
      <c r="A931" s="2380">
        <v>0.08</v>
      </c>
      <c r="B931" s="2461" t="s">
        <v>3528</v>
      </c>
      <c r="C931" s="2108">
        <v>2600.7999999999997</v>
      </c>
      <c r="D931" s="3252">
        <v>1673</v>
      </c>
      <c r="E931" s="3253">
        <v>-0.35673638880344505</v>
      </c>
      <c r="F931" s="3254">
        <v>-2.8538911104275606E-2</v>
      </c>
      <c r="G931" s="78"/>
      <c r="H931" t="s">
        <v>3529</v>
      </c>
    </row>
    <row r="932" spans="1:8" ht="12.75" hidden="1" customHeight="1" outlineLevel="1" x14ac:dyDescent="0.25">
      <c r="A932" s="2380">
        <v>0.02</v>
      </c>
      <c r="B932" s="2461" t="s">
        <v>7983</v>
      </c>
      <c r="C932" s="2108">
        <v>3185</v>
      </c>
      <c r="D932" s="3252">
        <v>1918</v>
      </c>
      <c r="E932" s="3253">
        <v>-0.39780219780219783</v>
      </c>
      <c r="F932" s="3254">
        <v>-7.956043956043957E-3</v>
      </c>
      <c r="G932" s="78"/>
      <c r="H932" t="s">
        <v>7981</v>
      </c>
    </row>
    <row r="933" spans="1:8" ht="12.75" hidden="1" customHeight="1" outlineLevel="1" x14ac:dyDescent="0.25">
      <c r="A933" s="2380">
        <v>0.02</v>
      </c>
      <c r="B933" s="2461" t="s">
        <v>7511</v>
      </c>
      <c r="C933" s="2108">
        <v>1476.8</v>
      </c>
      <c r="D933" s="3252">
        <v>1122</v>
      </c>
      <c r="E933" s="3253">
        <v>-0.24024918743228596</v>
      </c>
      <c r="F933" s="3254">
        <v>-4.8049837486457197E-3</v>
      </c>
      <c r="G933" s="78"/>
      <c r="H933" t="s">
        <v>7509</v>
      </c>
    </row>
    <row r="934" spans="1:8" ht="12.75" hidden="1" customHeight="1" outlineLevel="1" x14ac:dyDescent="0.25">
      <c r="A934" s="2380">
        <v>0.02</v>
      </c>
      <c r="B934" s="2461" t="s">
        <v>459</v>
      </c>
      <c r="C934" s="2108">
        <v>1265.8</v>
      </c>
      <c r="D934" s="3252">
        <v>539.1</v>
      </c>
      <c r="E934" s="3253">
        <v>-0.57410333386000945</v>
      </c>
      <c r="F934" s="3254">
        <v>-1.1482066677200189E-2</v>
      </c>
      <c r="G934" s="78"/>
      <c r="H934" t="s">
        <v>639</v>
      </c>
    </row>
    <row r="935" spans="1:8" ht="12.75" hidden="1" customHeight="1" outlineLevel="1" x14ac:dyDescent="0.25">
      <c r="A935" s="2380">
        <v>0.02</v>
      </c>
      <c r="B935" s="2461" t="s">
        <v>7517</v>
      </c>
      <c r="C935" s="2108">
        <v>1624.5</v>
      </c>
      <c r="D935" s="3252">
        <v>1644</v>
      </c>
      <c r="E935" s="3253">
        <v>1.2003693444136765E-2</v>
      </c>
      <c r="F935" s="3254">
        <v>2.4007386888273531E-4</v>
      </c>
      <c r="G935" s="78"/>
      <c r="H935" t="s">
        <v>7515</v>
      </c>
    </row>
    <row r="936" spans="1:8" ht="12.75" hidden="1" customHeight="1" outlineLevel="1" x14ac:dyDescent="0.25">
      <c r="A936" s="2380">
        <v>0.02</v>
      </c>
      <c r="B936" s="2461" t="s">
        <v>7520</v>
      </c>
      <c r="C936" s="2108">
        <v>9517.7000000000007</v>
      </c>
      <c r="D936" s="3252">
        <v>8490</v>
      </c>
      <c r="E936" s="3253">
        <v>-0.10797776773800405</v>
      </c>
      <c r="F936" s="3254">
        <v>-2.1595553547600812E-3</v>
      </c>
      <c r="G936" s="78"/>
      <c r="H936" t="s">
        <v>7518</v>
      </c>
    </row>
    <row r="937" spans="1:8" ht="12.75" hidden="1" customHeight="1" outlineLevel="1" x14ac:dyDescent="0.25">
      <c r="A937" s="2380">
        <v>0.02</v>
      </c>
      <c r="B937" s="2461" t="s">
        <v>7521</v>
      </c>
      <c r="C937" s="2108">
        <v>819.67</v>
      </c>
      <c r="D937" s="3252">
        <v>601</v>
      </c>
      <c r="E937" s="3253">
        <v>-0.26677809362304339</v>
      </c>
      <c r="F937" s="3254">
        <v>-5.3355618724608683E-3</v>
      </c>
      <c r="G937" s="78"/>
      <c r="H937" t="s">
        <v>7522</v>
      </c>
    </row>
    <row r="938" spans="1:8" ht="12.75" hidden="1" customHeight="1" outlineLevel="1" x14ac:dyDescent="0.25">
      <c r="A938" s="2380">
        <v>0.05</v>
      </c>
      <c r="B938" s="2461" t="s">
        <v>4273</v>
      </c>
      <c r="C938" s="2108">
        <v>2299.1</v>
      </c>
      <c r="D938" s="3252">
        <v>3880</v>
      </c>
      <c r="E938" s="3253">
        <v>0.68761689356704814</v>
      </c>
      <c r="F938" s="3254">
        <v>3.438084467835241E-2</v>
      </c>
      <c r="G938" s="78"/>
      <c r="H938" t="s">
        <v>82</v>
      </c>
    </row>
    <row r="939" spans="1:8" ht="12.75" hidden="1" customHeight="1" outlineLevel="1" x14ac:dyDescent="0.25">
      <c r="A939" s="2380">
        <v>0.02</v>
      </c>
      <c r="B939" s="2461" t="s">
        <v>7524</v>
      </c>
      <c r="C939" s="2108">
        <v>1736.7</v>
      </c>
      <c r="D939" s="3252">
        <v>1247</v>
      </c>
      <c r="E939" s="3253">
        <v>-0.28197155524845974</v>
      </c>
      <c r="F939" s="3254">
        <v>-5.6394311049691951E-3</v>
      </c>
      <c r="G939" s="78"/>
      <c r="H939" t="s">
        <v>1556</v>
      </c>
    </row>
    <row r="940" spans="1:8" ht="12.75" hidden="1" customHeight="1" outlineLevel="1" x14ac:dyDescent="0.25">
      <c r="A940" s="2380">
        <v>0.02</v>
      </c>
      <c r="B940" s="2461" t="s">
        <v>7525</v>
      </c>
      <c r="C940" s="2108">
        <v>1257.3</v>
      </c>
      <c r="D940" s="3252">
        <v>1298</v>
      </c>
      <c r="E940" s="3253">
        <v>3.2370953630796118E-2</v>
      </c>
      <c r="F940" s="3254">
        <v>6.4741907261592238E-4</v>
      </c>
      <c r="G940" s="78"/>
      <c r="H940" t="s">
        <v>7526</v>
      </c>
    </row>
    <row r="941" spans="1:8" ht="12.75" hidden="1" customHeight="1" outlineLevel="1" x14ac:dyDescent="0.25">
      <c r="A941" s="2380">
        <v>0.02</v>
      </c>
      <c r="B941" s="2461" t="s">
        <v>2773</v>
      </c>
      <c r="C941" s="2108">
        <v>5112.8999999999996</v>
      </c>
      <c r="D941" s="3252">
        <v>4736</v>
      </c>
      <c r="E941" s="3253">
        <v>-7.371550392145354E-2</v>
      </c>
      <c r="F941" s="3254">
        <v>-1.4743100784290709E-3</v>
      </c>
      <c r="G941" s="78"/>
      <c r="H941" t="s">
        <v>2707</v>
      </c>
    </row>
    <row r="942" spans="1:8" ht="12.75" hidden="1" customHeight="1" outlineLevel="1" x14ac:dyDescent="0.25">
      <c r="A942" s="2380">
        <v>0.08</v>
      </c>
      <c r="B942" s="2461" t="s">
        <v>5168</v>
      </c>
      <c r="C942" s="2108">
        <v>1464.8</v>
      </c>
      <c r="D942" s="3252">
        <v>1528</v>
      </c>
      <c r="E942" s="3253">
        <v>4.3145821955215657E-2</v>
      </c>
      <c r="F942" s="3254">
        <v>3.4516657564172526E-3</v>
      </c>
      <c r="G942" s="78"/>
      <c r="H942" t="s">
        <v>5170</v>
      </c>
    </row>
    <row r="943" spans="1:8" ht="12.75" hidden="1" customHeight="1" outlineLevel="1" x14ac:dyDescent="0.25">
      <c r="A943" s="2380">
        <v>0.03</v>
      </c>
      <c r="B943" s="2461" t="s">
        <v>7986</v>
      </c>
      <c r="C943" s="2108">
        <v>3951</v>
      </c>
      <c r="D943" s="3252">
        <v>4908</v>
      </c>
      <c r="E943" s="3253">
        <v>0.24221716021260442</v>
      </c>
      <c r="F943" s="3254">
        <v>7.2665148063781326E-3</v>
      </c>
      <c r="G943" s="78"/>
      <c r="H943" t="s">
        <v>7984</v>
      </c>
    </row>
    <row r="944" spans="1:8" ht="12.75" hidden="1" customHeight="1" outlineLevel="1" x14ac:dyDescent="0.25">
      <c r="A944" s="2380">
        <v>0.02</v>
      </c>
      <c r="B944" s="2461" t="s">
        <v>702</v>
      </c>
      <c r="C944" s="2108">
        <v>5454.2</v>
      </c>
      <c r="D944" s="3252">
        <v>3951</v>
      </c>
      <c r="E944" s="3253">
        <v>-0.27560412159436765</v>
      </c>
      <c r="F944" s="3254">
        <v>-5.5120824318873529E-3</v>
      </c>
      <c r="G944" s="78"/>
      <c r="H944" t="s">
        <v>703</v>
      </c>
    </row>
    <row r="945" spans="1:8" ht="12.75" hidden="1" customHeight="1" outlineLevel="1" x14ac:dyDescent="0.25">
      <c r="A945" s="2380">
        <v>0.02</v>
      </c>
      <c r="B945" s="2461" t="s">
        <v>7532</v>
      </c>
      <c r="C945" s="2108">
        <v>4416.3999999999996</v>
      </c>
      <c r="D945" s="3252">
        <v>4595</v>
      </c>
      <c r="E945" s="3253">
        <v>4.0440177520152165E-2</v>
      </c>
      <c r="F945" s="3254">
        <v>8.0880355040304332E-4</v>
      </c>
      <c r="G945" s="78"/>
      <c r="H945" t="s">
        <v>7531</v>
      </c>
    </row>
    <row r="946" spans="1:8" ht="12.75" hidden="1" customHeight="1" outlineLevel="1" x14ac:dyDescent="0.25">
      <c r="A946" s="2380">
        <v>0.02</v>
      </c>
      <c r="B946" s="2461" t="s">
        <v>3551</v>
      </c>
      <c r="C946" s="2108">
        <v>8324</v>
      </c>
      <c r="D946" s="3255">
        <v>9115</v>
      </c>
      <c r="E946" s="3256">
        <v>9.5026429601153373E-2</v>
      </c>
      <c r="F946" s="3257">
        <v>1.9005285920230676E-3</v>
      </c>
      <c r="G946" s="78"/>
      <c r="H946" t="s">
        <v>2806</v>
      </c>
    </row>
    <row r="947" spans="1:8" ht="12.75" hidden="1" customHeight="1" outlineLevel="1" x14ac:dyDescent="0.25">
      <c r="A947" s="2181" t="s">
        <v>2734</v>
      </c>
      <c r="B947" s="2103"/>
      <c r="C947" s="3258"/>
      <c r="D947" s="3259"/>
      <c r="E947" s="3260"/>
      <c r="F947" s="3260">
        <v>0.16636973402257998</v>
      </c>
      <c r="G947" s="78"/>
    </row>
    <row r="948" spans="1:8" ht="12.75" hidden="1" customHeight="1" outlineLevel="1" x14ac:dyDescent="0.25">
      <c r="A948" s="1956" t="s">
        <v>7987</v>
      </c>
      <c r="B948" s="2185">
        <v>43983</v>
      </c>
      <c r="C948" s="3261">
        <v>100</v>
      </c>
      <c r="D948" s="3261">
        <v>101.8092</v>
      </c>
      <c r="E948" s="3262">
        <v>1.8091999999999997E-2</v>
      </c>
      <c r="F948" s="3263"/>
      <c r="G948" s="78"/>
    </row>
    <row r="949" spans="1:8" ht="12.75" hidden="1" customHeight="1" outlineLevel="1" x14ac:dyDescent="0.25">
      <c r="A949" s="1956" t="s">
        <v>7988</v>
      </c>
      <c r="B949" s="2185">
        <v>44013</v>
      </c>
      <c r="C949" s="3261">
        <v>100</v>
      </c>
      <c r="D949" s="3264">
        <v>99.206400000000002</v>
      </c>
      <c r="E949" s="3262">
        <v>-7.9359999999999431E-3</v>
      </c>
      <c r="F949" s="3263"/>
      <c r="G949" s="78"/>
    </row>
    <row r="950" spans="1:8" ht="12.75" hidden="1" customHeight="1" outlineLevel="1" x14ac:dyDescent="0.25">
      <c r="A950" s="1956" t="s">
        <v>7989</v>
      </c>
      <c r="B950" s="2185">
        <v>44044</v>
      </c>
      <c r="C950" s="3261">
        <v>100</v>
      </c>
      <c r="D950" s="3264">
        <v>106.6645</v>
      </c>
      <c r="E950" s="3262">
        <v>6.6645000000000065E-2</v>
      </c>
      <c r="F950" s="3263"/>
      <c r="G950" s="78"/>
    </row>
    <row r="951" spans="1:8" ht="12.75" hidden="1" customHeight="1" outlineLevel="1" x14ac:dyDescent="0.25">
      <c r="A951" s="1956" t="s">
        <v>7990</v>
      </c>
      <c r="B951" s="2185">
        <v>44075</v>
      </c>
      <c r="C951" s="3261">
        <v>100</v>
      </c>
      <c r="D951" s="3264">
        <v>106.10760000000001</v>
      </c>
      <c r="E951" s="3262">
        <v>6.107600000000013E-2</v>
      </c>
      <c r="F951" s="3263"/>
      <c r="G951" s="78"/>
    </row>
    <row r="952" spans="1:8" ht="12.75" hidden="1" customHeight="1" outlineLevel="1" x14ac:dyDescent="0.25">
      <c r="A952" s="1956" t="s">
        <v>7991</v>
      </c>
      <c r="B952" s="2185">
        <v>44105</v>
      </c>
      <c r="C952" s="3261">
        <v>100</v>
      </c>
      <c r="D952" s="3264">
        <v>98.661699999999996</v>
      </c>
      <c r="E952" s="3262">
        <v>-1.3383000000000034E-2</v>
      </c>
      <c r="F952" s="3263"/>
      <c r="G952" s="78"/>
    </row>
    <row r="953" spans="1:8" ht="12.75" hidden="1" customHeight="1" outlineLevel="1" x14ac:dyDescent="0.25">
      <c r="A953" s="1956" t="s">
        <v>7992</v>
      </c>
      <c r="B953" s="2185">
        <v>44136</v>
      </c>
      <c r="C953" s="3261">
        <v>100</v>
      </c>
      <c r="D953" s="3264">
        <v>113.5215</v>
      </c>
      <c r="E953" s="3262">
        <v>0.13521500000000009</v>
      </c>
      <c r="F953" s="3263"/>
      <c r="G953" s="78"/>
    </row>
    <row r="954" spans="1:8" ht="12.75" hidden="1" customHeight="1" outlineLevel="1" x14ac:dyDescent="0.25">
      <c r="A954" s="1956" t="s">
        <v>7993</v>
      </c>
      <c r="B954" s="2185">
        <v>44166</v>
      </c>
      <c r="C954" s="3261">
        <v>100</v>
      </c>
      <c r="D954" s="3264">
        <v>114.93810000000001</v>
      </c>
      <c r="E954" s="3262">
        <v>0.14938099999999999</v>
      </c>
      <c r="F954" s="3263"/>
      <c r="G954" s="78"/>
    </row>
    <row r="955" spans="1:8" ht="12.75" hidden="1" customHeight="1" outlineLevel="1" x14ac:dyDescent="0.25">
      <c r="A955" s="1956" t="s">
        <v>7994</v>
      </c>
      <c r="B955" s="2185">
        <v>44197</v>
      </c>
      <c r="C955" s="3261">
        <v>100</v>
      </c>
      <c r="D955" s="3264">
        <v>115.6985</v>
      </c>
      <c r="E955" s="3262">
        <v>0.15698499999999993</v>
      </c>
      <c r="F955" s="3263"/>
      <c r="G955" s="78"/>
    </row>
    <row r="956" spans="1:8" ht="12.75" hidden="1" customHeight="1" outlineLevel="1" x14ac:dyDescent="0.25">
      <c r="A956" s="1956" t="s">
        <v>7995</v>
      </c>
      <c r="B956" s="2185">
        <v>44228</v>
      </c>
      <c r="C956" s="3261">
        <v>100</v>
      </c>
      <c r="D956" s="3264">
        <v>117.75409999999999</v>
      </c>
      <c r="E956" s="3262">
        <v>0.17754099999999995</v>
      </c>
      <c r="F956" s="3263"/>
      <c r="G956" s="78"/>
    </row>
    <row r="957" spans="1:8" ht="12.75" hidden="1" customHeight="1" outlineLevel="1" x14ac:dyDescent="0.25">
      <c r="A957" s="1956" t="s">
        <v>7996</v>
      </c>
      <c r="B957" s="2185">
        <v>44256</v>
      </c>
      <c r="C957" s="3261">
        <v>100</v>
      </c>
      <c r="D957" s="3264">
        <v>123.9796</v>
      </c>
      <c r="E957" s="3262">
        <v>0.23979600000000012</v>
      </c>
      <c r="F957" s="3263"/>
      <c r="G957" s="78"/>
    </row>
    <row r="958" spans="1:8" ht="12.75" hidden="1" customHeight="1" outlineLevel="1" x14ac:dyDescent="0.25">
      <c r="A958" s="1956" t="s">
        <v>7997</v>
      </c>
      <c r="B958" s="2185">
        <v>44287</v>
      </c>
      <c r="C958" s="3261">
        <v>100</v>
      </c>
      <c r="D958" s="3264">
        <v>117.3788</v>
      </c>
      <c r="E958" s="3262">
        <v>0.17378800000000005</v>
      </c>
      <c r="F958" s="3263"/>
      <c r="G958" s="78"/>
    </row>
    <row r="959" spans="1:8" ht="12.75" hidden="1" customHeight="1" outlineLevel="1" x14ac:dyDescent="0.25">
      <c r="A959" s="1956" t="s">
        <v>7998</v>
      </c>
      <c r="B959" s="2185">
        <v>44317</v>
      </c>
      <c r="C959" s="3261">
        <v>100</v>
      </c>
      <c r="D959" s="3264">
        <v>117.617</v>
      </c>
      <c r="E959" s="3262">
        <v>0.17616999999999994</v>
      </c>
      <c r="F959" s="3263"/>
      <c r="G959" s="78"/>
    </row>
    <row r="960" spans="1:8" ht="12.75" hidden="1" customHeight="1" outlineLevel="1" x14ac:dyDescent="0.25">
      <c r="A960" s="2189" t="s">
        <v>2734</v>
      </c>
      <c r="B960" s="2190"/>
      <c r="C960" s="3264"/>
      <c r="D960" s="2191" t="s">
        <v>2465</v>
      </c>
      <c r="E960" s="1987">
        <v>0.11111416666666669</v>
      </c>
      <c r="F960" s="2528">
        <v>0.11111416666666669</v>
      </c>
      <c r="G960" s="78"/>
    </row>
    <row r="961" spans="1:18" collapsed="1" x14ac:dyDescent="0.25">
      <c r="A961" s="3801" t="s">
        <v>7052</v>
      </c>
      <c r="B961" s="3802"/>
      <c r="C961" s="3802"/>
      <c r="D961" s="3802"/>
      <c r="E961" s="1906"/>
      <c r="F961" s="1907">
        <v>0.11111416666666669</v>
      </c>
      <c r="G961" s="78"/>
    </row>
    <row r="963" spans="1:18" ht="12.75" hidden="1" customHeight="1" outlineLevel="1" x14ac:dyDescent="0.25">
      <c r="A963" s="3180" t="s">
        <v>4156</v>
      </c>
      <c r="B963" s="3180" t="s">
        <v>4153</v>
      </c>
      <c r="C963" s="3496" t="s">
        <v>112</v>
      </c>
      <c r="D963" s="3192" t="s">
        <v>4155</v>
      </c>
      <c r="E963" s="3180" t="s">
        <v>4154</v>
      </c>
      <c r="F963" s="3192" t="s">
        <v>2519</v>
      </c>
      <c r="G963" s="78"/>
      <c r="I963" s="412" t="s">
        <v>6964</v>
      </c>
      <c r="J963" s="1462">
        <v>42491</v>
      </c>
      <c r="K963" s="1462">
        <v>42522</v>
      </c>
      <c r="L963" s="1462">
        <v>42552</v>
      </c>
      <c r="M963" s="1462">
        <v>42583</v>
      </c>
      <c r="N963" s="1462">
        <v>42614</v>
      </c>
      <c r="O963" s="1462">
        <v>42644</v>
      </c>
    </row>
    <row r="964" spans="1:18" ht="12.75" hidden="1" customHeight="1" outlineLevel="1" x14ac:dyDescent="0.25">
      <c r="A964" s="1991">
        <v>0.02</v>
      </c>
      <c r="B964" s="1921" t="s">
        <v>359</v>
      </c>
      <c r="C964" s="2108">
        <v>145.32499999999999</v>
      </c>
      <c r="D964" s="3194">
        <v>216.55</v>
      </c>
      <c r="E964" s="3269">
        <v>0.49010837777395522</v>
      </c>
      <c r="F964" s="3004">
        <v>9.8021675554791042E-3</v>
      </c>
      <c r="H964" t="s">
        <v>360</v>
      </c>
      <c r="I964" s="412">
        <v>90</v>
      </c>
      <c r="J964">
        <v>99.346999999999994</v>
      </c>
      <c r="K964">
        <v>99.343100000000007</v>
      </c>
      <c r="L964">
        <v>100.77630000000001</v>
      </c>
      <c r="M964">
        <v>101.20820000000001</v>
      </c>
      <c r="N964">
        <v>101.3655</v>
      </c>
      <c r="O964">
        <v>101.20569999999999</v>
      </c>
      <c r="R964" s="434"/>
    </row>
    <row r="965" spans="1:18" ht="12.75" hidden="1" customHeight="1" outlineLevel="1" x14ac:dyDescent="0.25">
      <c r="A965" s="2380">
        <v>0.02</v>
      </c>
      <c r="B965" s="1921" t="s">
        <v>1317</v>
      </c>
      <c r="C965" s="2108">
        <v>65.671000000000006</v>
      </c>
      <c r="D965" s="3196">
        <v>99.85</v>
      </c>
      <c r="E965" s="3270">
        <v>0.5204580408399444</v>
      </c>
      <c r="F965" s="3007">
        <v>1.0409160816798888E-2</v>
      </c>
      <c r="H965" t="s">
        <v>1318</v>
      </c>
      <c r="I965" s="422">
        <v>0.24873800000000001</v>
      </c>
      <c r="R965" s="434"/>
    </row>
    <row r="966" spans="1:18" ht="12.75" hidden="1" customHeight="1" outlineLevel="1" x14ac:dyDescent="0.25">
      <c r="A966" s="2380">
        <v>0.02</v>
      </c>
      <c r="B966" s="1921" t="s">
        <v>3998</v>
      </c>
      <c r="C966" s="2108">
        <v>38.559000000000005</v>
      </c>
      <c r="D966" s="3196">
        <v>23.63</v>
      </c>
      <c r="E966" s="3270">
        <v>-0.38717290386161474</v>
      </c>
      <c r="F966" s="3007">
        <v>-7.7434580772322952E-3</v>
      </c>
      <c r="H966" t="s">
        <v>4000</v>
      </c>
      <c r="R966" s="434"/>
    </row>
    <row r="967" spans="1:18" ht="12.75" hidden="1" customHeight="1" outlineLevel="1" x14ac:dyDescent="0.25">
      <c r="A967" s="2380">
        <v>0.02</v>
      </c>
      <c r="B967" s="1921" t="s">
        <v>7753</v>
      </c>
      <c r="C967" s="2108">
        <v>121.97999999999999</v>
      </c>
      <c r="D967" s="3196">
        <v>165.1</v>
      </c>
      <c r="E967" s="3270">
        <v>0.35350057386456801</v>
      </c>
      <c r="F967" s="3007">
        <v>7.0700114772913603E-3</v>
      </c>
      <c r="H967" t="s">
        <v>8901</v>
      </c>
      <c r="K967" s="37"/>
      <c r="R967" s="434"/>
    </row>
    <row r="968" spans="1:18" ht="12.75" hidden="1" customHeight="1" outlineLevel="1" x14ac:dyDescent="0.25">
      <c r="A968" s="2380">
        <v>0.02</v>
      </c>
      <c r="B968" s="1921" t="s">
        <v>3954</v>
      </c>
      <c r="C968" s="2108">
        <v>97.914999999999992</v>
      </c>
      <c r="D968" s="3196">
        <v>151.75</v>
      </c>
      <c r="E968" s="3270">
        <v>0.54981361384874639</v>
      </c>
      <c r="F968" s="3007">
        <v>1.0996272276974929E-2</v>
      </c>
      <c r="H968" t="s">
        <v>3955</v>
      </c>
      <c r="R968" s="434"/>
    </row>
    <row r="969" spans="1:18" ht="12.75" hidden="1" customHeight="1" outlineLevel="1" x14ac:dyDescent="0.25">
      <c r="A969" s="2380">
        <v>0.05</v>
      </c>
      <c r="B969" s="1921" t="s">
        <v>4055</v>
      </c>
      <c r="C969" s="2108">
        <v>71.454999999999998</v>
      </c>
      <c r="D969" s="3196">
        <v>76.349999999999994</v>
      </c>
      <c r="E969" s="3270">
        <v>6.850465327828692E-2</v>
      </c>
      <c r="F969" s="3007">
        <v>3.4252326639143461E-3</v>
      </c>
      <c r="H969" t="s">
        <v>4056</v>
      </c>
      <c r="R969" s="434"/>
    </row>
    <row r="970" spans="1:18" ht="12.75" hidden="1" customHeight="1" outlineLevel="1" x14ac:dyDescent="0.25">
      <c r="A970" s="2380">
        <v>0.02</v>
      </c>
      <c r="B970" s="1921" t="s">
        <v>496</v>
      </c>
      <c r="C970" s="2108">
        <v>10.15597532172948</v>
      </c>
      <c r="D970" s="3196">
        <v>8.5340000000000007</v>
      </c>
      <c r="E970" s="3270">
        <v>-0.15970650482570004</v>
      </c>
      <c r="F970" s="3007">
        <v>-3.1941300965140007E-3</v>
      </c>
      <c r="H970" t="s">
        <v>497</v>
      </c>
      <c r="R970" s="434"/>
    </row>
    <row r="971" spans="1:18" ht="12.75" hidden="1" customHeight="1" outlineLevel="1" x14ac:dyDescent="0.25">
      <c r="A971" s="2380">
        <v>0.02</v>
      </c>
      <c r="B971" s="1921" t="s">
        <v>6267</v>
      </c>
      <c r="C971" s="2108">
        <v>27.035500000000003</v>
      </c>
      <c r="D971" s="3196">
        <v>20.149999999999999</v>
      </c>
      <c r="E971" s="3270">
        <v>-0.25468365667363291</v>
      </c>
      <c r="F971" s="3007">
        <v>-5.0936731334726582E-3</v>
      </c>
      <c r="H971" t="s">
        <v>6268</v>
      </c>
      <c r="R971" s="434"/>
    </row>
    <row r="972" spans="1:18" ht="12.75" hidden="1" customHeight="1" outlineLevel="1" x14ac:dyDescent="0.25">
      <c r="A972" s="2380">
        <v>0.02</v>
      </c>
      <c r="B972" s="1921" t="s">
        <v>4268</v>
      </c>
      <c r="C972" s="2108">
        <v>12.007999999999999</v>
      </c>
      <c r="D972" s="3196">
        <v>16.53</v>
      </c>
      <c r="E972" s="3270">
        <v>0.37658227848101289</v>
      </c>
      <c r="F972" s="3007">
        <v>7.5316455696202581E-3</v>
      </c>
      <c r="H972" t="s">
        <v>8442</v>
      </c>
      <c r="R972" s="434"/>
    </row>
    <row r="973" spans="1:18" ht="12.75" hidden="1" customHeight="1" outlineLevel="1" x14ac:dyDescent="0.25">
      <c r="A973" s="2380">
        <v>0.03</v>
      </c>
      <c r="B973" s="1921" t="s">
        <v>10371</v>
      </c>
      <c r="C973" s="2108">
        <v>31.681438355549851</v>
      </c>
      <c r="D973" s="3196">
        <v>34.33</v>
      </c>
      <c r="E973" s="3270">
        <v>8.3599791610666552E-2</v>
      </c>
      <c r="F973" s="3007">
        <v>2.5079937483199963E-3</v>
      </c>
      <c r="H973" t="s">
        <v>10370</v>
      </c>
      <c r="R973" s="434"/>
    </row>
    <row r="974" spans="1:18" ht="12.75" hidden="1" customHeight="1" outlineLevel="1" x14ac:dyDescent="0.25">
      <c r="A974" s="2380">
        <v>0.02</v>
      </c>
      <c r="B974" s="1921" t="s">
        <v>6902</v>
      </c>
      <c r="C974" s="2108">
        <v>2.3883000000000005</v>
      </c>
      <c r="D974" s="3196">
        <v>2.72</v>
      </c>
      <c r="E974" s="3270">
        <v>0.13888539965665947</v>
      </c>
      <c r="F974" s="3007">
        <v>2.7777079931331893E-3</v>
      </c>
      <c r="H974" t="s">
        <v>6899</v>
      </c>
      <c r="R974" s="434"/>
    </row>
    <row r="975" spans="1:18" ht="12.75" hidden="1" customHeight="1" outlineLevel="1" x14ac:dyDescent="0.25">
      <c r="A975" s="2380">
        <v>0.02</v>
      </c>
      <c r="B975" s="1921" t="s">
        <v>1772</v>
      </c>
      <c r="C975" s="2108">
        <v>179.48499999999999</v>
      </c>
      <c r="D975" s="3196">
        <v>243</v>
      </c>
      <c r="E975" s="3270">
        <v>0.35387358275064784</v>
      </c>
      <c r="F975" s="3007">
        <v>7.0774716550129572E-3</v>
      </c>
      <c r="H975" t="s">
        <v>4330</v>
      </c>
      <c r="R975" s="434"/>
    </row>
    <row r="976" spans="1:18" ht="12.75" hidden="1" customHeight="1" outlineLevel="1" x14ac:dyDescent="0.25">
      <c r="A976" s="2380">
        <v>0.02</v>
      </c>
      <c r="B976" s="1921" t="s">
        <v>7754</v>
      </c>
      <c r="C976" s="2519">
        <v>43.81</v>
      </c>
      <c r="D976" s="3196">
        <v>95.83</v>
      </c>
      <c r="E976" s="3270">
        <v>1.1874001369550329</v>
      </c>
      <c r="F976" s="3007">
        <v>2.374800273910066E-2</v>
      </c>
      <c r="H976" t="s">
        <v>7751</v>
      </c>
      <c r="R976" s="434"/>
    </row>
    <row r="977" spans="1:18" ht="12.75" hidden="1" customHeight="1" outlineLevel="1" x14ac:dyDescent="0.25">
      <c r="A977" s="2380">
        <v>0.02</v>
      </c>
      <c r="B977" s="1921" t="s">
        <v>1203</v>
      </c>
      <c r="C977" s="2108">
        <v>77.52000000000001</v>
      </c>
      <c r="D977" s="3196">
        <v>97.3</v>
      </c>
      <c r="E977" s="3270">
        <v>0.25515995872032993</v>
      </c>
      <c r="F977" s="3007">
        <v>5.1031991744065986E-3</v>
      </c>
      <c r="H977" t="s">
        <v>79</v>
      </c>
      <c r="R977" s="434"/>
    </row>
    <row r="978" spans="1:18" ht="12.75" hidden="1" customHeight="1" outlineLevel="1" x14ac:dyDescent="0.25">
      <c r="A978" s="2380">
        <v>0.05</v>
      </c>
      <c r="B978" s="1921" t="s">
        <v>3793</v>
      </c>
      <c r="C978" s="2108">
        <v>100.163</v>
      </c>
      <c r="D978" s="3196">
        <v>93.94</v>
      </c>
      <c r="E978" s="3270">
        <v>-6.2128730169823232E-2</v>
      </c>
      <c r="F978" s="3007">
        <v>-3.1064365084911617E-3</v>
      </c>
      <c r="H978" t="s">
        <v>3533</v>
      </c>
      <c r="R978" s="434"/>
    </row>
    <row r="979" spans="1:18" ht="12.75" hidden="1" customHeight="1" outlineLevel="1" x14ac:dyDescent="0.25">
      <c r="A979" s="2380">
        <v>0.02</v>
      </c>
      <c r="B979" s="1921" t="s">
        <v>2769</v>
      </c>
      <c r="C979" s="2108">
        <v>37.369000000000007</v>
      </c>
      <c r="D979" s="3196">
        <v>28.56</v>
      </c>
      <c r="E979" s="3270">
        <v>-0.23573015065963787</v>
      </c>
      <c r="F979" s="3007">
        <v>-4.7146030131927572E-3</v>
      </c>
      <c r="H979" t="s">
        <v>2770</v>
      </c>
      <c r="R979" s="434"/>
    </row>
    <row r="980" spans="1:18" ht="12.75" hidden="1" customHeight="1" outlineLevel="1" x14ac:dyDescent="0.25">
      <c r="A980" s="2380">
        <v>0.08</v>
      </c>
      <c r="B980" s="1921" t="s">
        <v>2297</v>
      </c>
      <c r="C980" s="2108">
        <v>49.867999999999995</v>
      </c>
      <c r="D980" s="3196">
        <v>70.760000000000005</v>
      </c>
      <c r="E980" s="3270">
        <v>0.41894601748616367</v>
      </c>
      <c r="F980" s="3007">
        <v>3.3515681398893098E-2</v>
      </c>
      <c r="H980" t="s">
        <v>2298</v>
      </c>
      <c r="R980" s="434"/>
    </row>
    <row r="981" spans="1:18" ht="12.75" hidden="1" customHeight="1" outlineLevel="1" x14ac:dyDescent="0.25">
      <c r="A981" s="2380">
        <v>0.02</v>
      </c>
      <c r="B981" s="1921" t="s">
        <v>5205</v>
      </c>
      <c r="C981" s="2108">
        <v>17.740500000000001</v>
      </c>
      <c r="D981" s="3196">
        <v>18.952000000000002</v>
      </c>
      <c r="E981" s="3270">
        <v>6.8290070742087261E-2</v>
      </c>
      <c r="F981" s="3007">
        <v>1.3658014148417452E-3</v>
      </c>
      <c r="H981" t="s">
        <v>5199</v>
      </c>
      <c r="R981" s="434"/>
    </row>
    <row r="982" spans="1:18" ht="12.75" hidden="1" customHeight="1" outlineLevel="1" x14ac:dyDescent="0.25">
      <c r="A982" s="2380">
        <v>0.02</v>
      </c>
      <c r="B982" s="1921" t="s">
        <v>6270</v>
      </c>
      <c r="C982" s="2108">
        <v>41.350651206595465</v>
      </c>
      <c r="D982" s="3196">
        <v>44.38</v>
      </c>
      <c r="E982" s="3270">
        <v>7.3260002080000053E-2</v>
      </c>
      <c r="F982" s="3007">
        <v>1.4652000416000011E-3</v>
      </c>
      <c r="H982" t="s">
        <v>8166</v>
      </c>
      <c r="R982" s="434"/>
    </row>
    <row r="983" spans="1:18" ht="12.75" hidden="1" customHeight="1" outlineLevel="1" x14ac:dyDescent="0.25">
      <c r="A983" s="2380">
        <v>0.08</v>
      </c>
      <c r="B983" s="1921" t="s">
        <v>7348</v>
      </c>
      <c r="C983" s="2108">
        <v>2108.9</v>
      </c>
      <c r="D983" s="3196">
        <v>2576</v>
      </c>
      <c r="E983" s="3270">
        <v>0.22148987623879735</v>
      </c>
      <c r="F983" s="3007">
        <v>1.7719190099103787E-2</v>
      </c>
      <c r="H983" t="s">
        <v>8899</v>
      </c>
      <c r="R983" s="434"/>
    </row>
    <row r="984" spans="1:18" ht="12.75" hidden="1" customHeight="1" outlineLevel="1" x14ac:dyDescent="0.25">
      <c r="A984" s="2380">
        <v>0.02</v>
      </c>
      <c r="B984" s="1921" t="s">
        <v>6524</v>
      </c>
      <c r="C984" s="2108">
        <v>79.157675575068836</v>
      </c>
      <c r="D984" s="3196">
        <v>102.45</v>
      </c>
      <c r="E984" s="3270">
        <v>0.29425225356500007</v>
      </c>
      <c r="F984" s="3007">
        <v>5.8850450713000017E-3</v>
      </c>
      <c r="H984" t="s">
        <v>6525</v>
      </c>
      <c r="R984" s="434"/>
    </row>
    <row r="985" spans="1:18" ht="12.75" hidden="1" customHeight="1" outlineLevel="1" x14ac:dyDescent="0.25">
      <c r="A985" s="2380">
        <v>0.08</v>
      </c>
      <c r="B985" s="1921" t="s">
        <v>3427</v>
      </c>
      <c r="C985" s="2108">
        <v>50.580999999999996</v>
      </c>
      <c r="D985" s="3196">
        <v>72.510000000000005</v>
      </c>
      <c r="E985" s="3270">
        <v>0.43354223918072021</v>
      </c>
      <c r="F985" s="3007">
        <v>3.4683379134457619E-2</v>
      </c>
      <c r="H985" t="s">
        <v>2800</v>
      </c>
      <c r="R985" s="434"/>
    </row>
    <row r="986" spans="1:18" ht="12.75" hidden="1" customHeight="1" outlineLevel="1" x14ac:dyDescent="0.25">
      <c r="A986" s="2380">
        <v>0.02</v>
      </c>
      <c r="B986" s="1921" t="s">
        <v>10538</v>
      </c>
      <c r="C986" s="2108">
        <v>11.947916420508474</v>
      </c>
      <c r="D986" s="3196">
        <v>11.12</v>
      </c>
      <c r="E986" s="3270">
        <v>-6.9293790763999996E-2</v>
      </c>
      <c r="F986" s="3007">
        <v>-1.3858758152799999E-3</v>
      </c>
      <c r="H986" t="s">
        <v>7628</v>
      </c>
      <c r="R986" s="434"/>
    </row>
    <row r="987" spans="1:18" ht="12.75" hidden="1" customHeight="1" outlineLevel="1" x14ac:dyDescent="0.25">
      <c r="A987" s="2380">
        <v>0.08</v>
      </c>
      <c r="B987" s="1921" t="s">
        <v>6118</v>
      </c>
      <c r="C987" s="2108">
        <v>91.210000000000008</v>
      </c>
      <c r="D987" s="3196">
        <v>88.12</v>
      </c>
      <c r="E987" s="3270">
        <v>-3.3877864269268754E-2</v>
      </c>
      <c r="F987" s="3007">
        <v>-2.7102291415415005E-3</v>
      </c>
      <c r="H987" t="s">
        <v>8893</v>
      </c>
      <c r="R987" s="434"/>
    </row>
    <row r="988" spans="1:18" ht="12.75" hidden="1" customHeight="1" outlineLevel="1" x14ac:dyDescent="0.25">
      <c r="A988" s="2380">
        <v>0.08</v>
      </c>
      <c r="B988" s="1921" t="s">
        <v>1239</v>
      </c>
      <c r="C988" s="2108">
        <v>502.02999999999992</v>
      </c>
      <c r="D988" s="3196">
        <v>555</v>
      </c>
      <c r="E988" s="3270">
        <v>0.10551162281138593</v>
      </c>
      <c r="F988" s="3007">
        <v>8.4409298249108738E-3</v>
      </c>
      <c r="H988" t="s">
        <v>8891</v>
      </c>
      <c r="R988" s="434"/>
    </row>
    <row r="989" spans="1:18" ht="12.75" hidden="1" customHeight="1" outlineLevel="1" x14ac:dyDescent="0.25">
      <c r="A989" s="2380">
        <v>0.05</v>
      </c>
      <c r="B989" s="1921" t="s">
        <v>7755</v>
      </c>
      <c r="C989" s="2108">
        <v>9.5000000000000018</v>
      </c>
      <c r="D989" s="3196">
        <v>4.3884999999999996</v>
      </c>
      <c r="E989" s="3270">
        <v>-0.53805263157894756</v>
      </c>
      <c r="F989" s="3007">
        <v>-2.6902631578947379E-2</v>
      </c>
      <c r="H989" t="s">
        <v>6732</v>
      </c>
      <c r="R989" s="434"/>
    </row>
    <row r="990" spans="1:18" ht="12.75" hidden="1" customHeight="1" outlineLevel="1" x14ac:dyDescent="0.25">
      <c r="A990" s="2380">
        <v>0.02</v>
      </c>
      <c r="B990" s="1921" t="s">
        <v>3665</v>
      </c>
      <c r="C990" s="2108">
        <v>20.399000000000001</v>
      </c>
      <c r="D990" s="3196">
        <v>32.659999999999997</v>
      </c>
      <c r="E990" s="3270">
        <v>0.60105887543507008</v>
      </c>
      <c r="F990" s="3007">
        <v>1.2021177508701401E-2</v>
      </c>
      <c r="H990" t="s">
        <v>7021</v>
      </c>
      <c r="R990" s="434"/>
    </row>
    <row r="991" spans="1:18" ht="12.75" hidden="1" customHeight="1" outlineLevel="1" x14ac:dyDescent="0.25">
      <c r="A991" s="2380">
        <v>0.02</v>
      </c>
      <c r="B991" s="1921" t="s">
        <v>6337</v>
      </c>
      <c r="C991" s="2108">
        <v>55.213999999999999</v>
      </c>
      <c r="D991" s="3196">
        <v>99.19</v>
      </c>
      <c r="E991" s="3270">
        <v>0.79646466475893796</v>
      </c>
      <c r="F991" s="3007">
        <v>1.5929293295178761E-2</v>
      </c>
      <c r="H991" t="s">
        <v>7752</v>
      </c>
      <c r="R991" s="434"/>
    </row>
    <row r="992" spans="1:18" ht="12.75" hidden="1" customHeight="1" outlineLevel="1" x14ac:dyDescent="0.25">
      <c r="A992" s="2380">
        <v>0.02</v>
      </c>
      <c r="B992" s="1921" t="s">
        <v>10633</v>
      </c>
      <c r="C992" s="2108">
        <v>41.611000000000004</v>
      </c>
      <c r="D992" s="3196">
        <v>46.03</v>
      </c>
      <c r="E992" s="3270">
        <v>0.10619788036817179</v>
      </c>
      <c r="F992" s="3007">
        <v>2.1239576073634361E-3</v>
      </c>
      <c r="H992" t="s">
        <v>10634</v>
      </c>
      <c r="R992" s="434"/>
    </row>
    <row r="993" spans="1:18" ht="12.75" hidden="1" customHeight="1" outlineLevel="1" x14ac:dyDescent="0.25">
      <c r="A993" s="2380">
        <v>0.02</v>
      </c>
      <c r="B993" s="2109" t="s">
        <v>255</v>
      </c>
      <c r="C993" s="2108">
        <v>51.730000000000004</v>
      </c>
      <c r="D993" s="3199">
        <v>50.94</v>
      </c>
      <c r="E993" s="3270">
        <v>-1.5271602551710894E-2</v>
      </c>
      <c r="F993" s="3007">
        <v>-3.0543205103421788E-4</v>
      </c>
      <c r="H993" t="s">
        <v>3351</v>
      </c>
      <c r="R993" s="434"/>
    </row>
    <row r="994" spans="1:18" ht="12.75" hidden="1" customHeight="1" outlineLevel="1" x14ac:dyDescent="0.25">
      <c r="A994" s="2181" t="s">
        <v>2734</v>
      </c>
      <c r="B994" s="2103"/>
      <c r="C994" s="3200">
        <v>100</v>
      </c>
      <c r="D994" s="3201"/>
      <c r="E994" s="3202"/>
      <c r="F994" s="3202">
        <v>0.17169999999999999</v>
      </c>
      <c r="G994" s="78"/>
    </row>
    <row r="995" spans="1:18" ht="12.75" hidden="1" customHeight="1" outlineLevel="1" x14ac:dyDescent="0.25">
      <c r="A995" s="1956" t="s">
        <v>7999</v>
      </c>
      <c r="B995" s="2185">
        <v>44287</v>
      </c>
      <c r="C995" s="3203">
        <v>100</v>
      </c>
      <c r="D995" s="3203">
        <v>111.3505</v>
      </c>
      <c r="E995" s="3204">
        <v>0.11350499999999997</v>
      </c>
      <c r="F995" s="3151"/>
      <c r="G995" s="78"/>
    </row>
    <row r="996" spans="1:18" ht="12.75" hidden="1" customHeight="1" outlineLevel="1" x14ac:dyDescent="0.25">
      <c r="A996" s="1956" t="s">
        <v>8000</v>
      </c>
      <c r="B996" s="2185">
        <v>44317</v>
      </c>
      <c r="C996" s="3203">
        <v>100</v>
      </c>
      <c r="D996" s="3206">
        <v>112.7903</v>
      </c>
      <c r="E996" s="3204">
        <v>0.1279030000000001</v>
      </c>
      <c r="F996" s="3151"/>
      <c r="G996" s="78"/>
    </row>
    <row r="997" spans="1:18" ht="12.75" hidden="1" customHeight="1" outlineLevel="1" x14ac:dyDescent="0.25">
      <c r="A997" s="1956" t="s">
        <v>8001</v>
      </c>
      <c r="B997" s="2185">
        <v>44348</v>
      </c>
      <c r="C997" s="3203">
        <v>100</v>
      </c>
      <c r="D997" s="3206">
        <v>113.0056</v>
      </c>
      <c r="E997" s="3204">
        <v>0.13005599999999995</v>
      </c>
      <c r="F997" s="3151"/>
      <c r="G997" s="78"/>
    </row>
    <row r="998" spans="1:18" ht="12.75" hidden="1" customHeight="1" outlineLevel="1" x14ac:dyDescent="0.25">
      <c r="A998" s="1956" t="s">
        <v>8002</v>
      </c>
      <c r="B998" s="2185">
        <v>44378</v>
      </c>
      <c r="C998" s="3203">
        <v>100</v>
      </c>
      <c r="D998" s="3206">
        <v>114.4477</v>
      </c>
      <c r="E998" s="3204">
        <v>0.14447699999999997</v>
      </c>
      <c r="F998" s="3151"/>
      <c r="G998" s="78"/>
    </row>
    <row r="999" spans="1:18" ht="12.75" hidden="1" customHeight="1" outlineLevel="1" x14ac:dyDescent="0.25">
      <c r="A999" s="1956" t="s">
        <v>8003</v>
      </c>
      <c r="B999" s="2185">
        <v>44409</v>
      </c>
      <c r="C999" s="3203">
        <v>100</v>
      </c>
      <c r="D999" s="3206">
        <v>116.26779999999999</v>
      </c>
      <c r="E999" s="3204">
        <v>0.16267799999999988</v>
      </c>
      <c r="F999" s="3151"/>
      <c r="G999" s="78"/>
    </row>
    <row r="1000" spans="1:18" ht="12.75" hidden="1" customHeight="1" outlineLevel="1" x14ac:dyDescent="0.25">
      <c r="A1000" s="1956" t="s">
        <v>8004</v>
      </c>
      <c r="B1000" s="2185">
        <v>44440</v>
      </c>
      <c r="C1000" s="3203">
        <v>100</v>
      </c>
      <c r="D1000" s="3206">
        <v>113.095</v>
      </c>
      <c r="E1000" s="3204">
        <v>0.1309499999999999</v>
      </c>
      <c r="F1000" s="3151"/>
      <c r="G1000" s="78"/>
    </row>
    <row r="1001" spans="1:18" ht="12.75" hidden="1" customHeight="1" outlineLevel="1" x14ac:dyDescent="0.25">
      <c r="A1001" s="1956" t="s">
        <v>8005</v>
      </c>
      <c r="B1001" s="2185">
        <v>44470</v>
      </c>
      <c r="C1001" s="3203">
        <v>100</v>
      </c>
      <c r="D1001" s="3206">
        <v>114.6754</v>
      </c>
      <c r="E1001" s="3204">
        <v>0.14675400000000005</v>
      </c>
      <c r="F1001" s="3151"/>
      <c r="G1001" s="78"/>
    </row>
    <row r="1002" spans="1:18" ht="12.75" hidden="1" customHeight="1" outlineLevel="1" x14ac:dyDescent="0.25">
      <c r="A1002" s="1956" t="s">
        <v>8006</v>
      </c>
      <c r="B1002" s="2185">
        <v>44501</v>
      </c>
      <c r="C1002" s="3203">
        <v>100</v>
      </c>
      <c r="D1002" s="3206">
        <v>112.4117</v>
      </c>
      <c r="E1002" s="3204">
        <v>0.12411700000000003</v>
      </c>
      <c r="F1002" s="3151"/>
      <c r="G1002" s="78"/>
    </row>
    <row r="1003" spans="1:18" ht="12.75" hidden="1" customHeight="1" outlineLevel="1" x14ac:dyDescent="0.25">
      <c r="A1003" s="1956" t="s">
        <v>8007</v>
      </c>
      <c r="B1003" s="2185">
        <v>44531</v>
      </c>
      <c r="C1003" s="3203">
        <v>100</v>
      </c>
      <c r="D1003" s="3206">
        <v>118.06950000000001</v>
      </c>
      <c r="E1003" s="3204">
        <v>0.18069500000000005</v>
      </c>
      <c r="F1003" s="3151"/>
      <c r="G1003" s="78"/>
    </row>
    <row r="1004" spans="1:18" ht="12.75" hidden="1" customHeight="1" outlineLevel="1" x14ac:dyDescent="0.25">
      <c r="A1004" s="1956" t="s">
        <v>8008</v>
      </c>
      <c r="B1004" s="2185">
        <v>44562</v>
      </c>
      <c r="C1004" s="3203">
        <v>100</v>
      </c>
      <c r="D1004" s="3206">
        <v>119.63039999999999</v>
      </c>
      <c r="E1004" s="3204">
        <v>0.19630400000000003</v>
      </c>
      <c r="F1004" s="3151"/>
      <c r="G1004" s="78"/>
    </row>
    <row r="1005" spans="1:18" ht="12.75" hidden="1" customHeight="1" outlineLevel="1" x14ac:dyDescent="0.25">
      <c r="A1005" s="1956" t="s">
        <v>8009</v>
      </c>
      <c r="B1005" s="2185">
        <v>44593</v>
      </c>
      <c r="C1005" s="3203">
        <v>100</v>
      </c>
      <c r="D1005" s="3206">
        <v>115.56780000000001</v>
      </c>
      <c r="E1005" s="3204">
        <v>0.15567799999999998</v>
      </c>
      <c r="F1005" s="3151"/>
      <c r="G1005" s="78"/>
    </row>
    <row r="1006" spans="1:18" ht="12.75" hidden="1" customHeight="1" outlineLevel="1" x14ac:dyDescent="0.25">
      <c r="A1006" s="1956" t="s">
        <v>8010</v>
      </c>
      <c r="B1006" s="2185">
        <v>44621</v>
      </c>
      <c r="C1006" s="3203">
        <v>100</v>
      </c>
      <c r="D1006" s="3206">
        <v>117.1739</v>
      </c>
      <c r="E1006" s="3204">
        <v>0.17173900000000009</v>
      </c>
      <c r="F1006" s="3151"/>
      <c r="G1006" s="78"/>
    </row>
    <row r="1007" spans="1:18" ht="12.75" hidden="1" customHeight="1" outlineLevel="1" x14ac:dyDescent="0.25">
      <c r="A1007" s="2189" t="s">
        <v>2734</v>
      </c>
      <c r="B1007" s="2190"/>
      <c r="C1007" s="3264"/>
      <c r="D1007" s="2191" t="s">
        <v>2465</v>
      </c>
      <c r="E1007" s="1987">
        <v>0.14873800000000001</v>
      </c>
      <c r="F1007" s="2528">
        <v>0.24873800000000001</v>
      </c>
      <c r="G1007" s="78"/>
    </row>
    <row r="1008" spans="1:18" collapsed="1" x14ac:dyDescent="0.25">
      <c r="A1008" s="3801" t="s">
        <v>7960</v>
      </c>
      <c r="B1008" s="3802"/>
      <c r="C1008" s="3802"/>
      <c r="D1008" s="3802"/>
      <c r="E1008" s="1906"/>
      <c r="F1008" s="1907">
        <v>0.24873800000000001</v>
      </c>
      <c r="G1008" s="78"/>
    </row>
    <row r="1010" spans="1:12" ht="12.75" hidden="1" customHeight="1" outlineLevel="1" x14ac:dyDescent="0.25">
      <c r="A1010" s="3237" t="s">
        <v>113</v>
      </c>
      <c r="B1010" s="3237" t="s">
        <v>114</v>
      </c>
      <c r="C1010" s="3237" t="s">
        <v>112</v>
      </c>
      <c r="D1010" s="3237" t="s">
        <v>116</v>
      </c>
      <c r="E1010" s="3237" t="s">
        <v>117</v>
      </c>
      <c r="F1010" s="3237" t="s">
        <v>121</v>
      </c>
      <c r="G1010" s="78"/>
    </row>
    <row r="1011" spans="1:12" ht="12.75" hidden="1" customHeight="1" outlineLevel="1" x14ac:dyDescent="0.25">
      <c r="A1011" s="3238">
        <v>1</v>
      </c>
      <c r="B1011" s="3239" t="s">
        <v>252</v>
      </c>
      <c r="C1011" s="3240">
        <v>100</v>
      </c>
      <c r="D1011" s="3240"/>
      <c r="E1011" s="3241"/>
      <c r="F1011" s="3242"/>
      <c r="G1011" s="78"/>
    </row>
    <row r="1012" spans="1:12" ht="12.75" hidden="1" customHeight="1" outlineLevel="1" x14ac:dyDescent="0.25">
      <c r="A1012" s="3243" t="s">
        <v>2734</v>
      </c>
      <c r="B1012" s="3243"/>
      <c r="C1012" s="3244"/>
      <c r="D1012" s="1900" t="s">
        <v>3702</v>
      </c>
      <c r="E1012" s="3245">
        <v>44286</v>
      </c>
      <c r="F1012" s="3246"/>
      <c r="G1012" s="78"/>
    </row>
    <row r="1013" spans="1:12" ht="12.75" hidden="1" customHeight="1" outlineLevel="1" x14ac:dyDescent="0.25">
      <c r="A1013" s="3237" t="s">
        <v>4156</v>
      </c>
      <c r="B1013" s="3237" t="s">
        <v>4153</v>
      </c>
      <c r="C1013" s="3247" t="s">
        <v>112</v>
      </c>
      <c r="D1013" s="3248" t="s">
        <v>4155</v>
      </c>
      <c r="E1013" s="3248" t="s">
        <v>4154</v>
      </c>
      <c r="F1013" s="3248" t="s">
        <v>2519</v>
      </c>
      <c r="G1013" s="78"/>
    </row>
    <row r="1014" spans="1:12" ht="12.75" hidden="1" customHeight="1" outlineLevel="1" x14ac:dyDescent="0.25">
      <c r="A1014" s="1991">
        <v>0.08</v>
      </c>
      <c r="B1014" s="1921" t="s">
        <v>10436</v>
      </c>
      <c r="C1014" s="2108">
        <v>14.298887958432047</v>
      </c>
      <c r="D1014" s="2862">
        <v>18.3626</v>
      </c>
      <c r="E1014" s="2890">
        <v>0.28419776792303519</v>
      </c>
      <c r="F1014" s="3004">
        <v>2.2735821433842816E-2</v>
      </c>
      <c r="G1014" s="78"/>
      <c r="H1014" t="s">
        <v>10437</v>
      </c>
      <c r="I1014" s="1545" t="s">
        <v>8075</v>
      </c>
      <c r="L1014" s="434"/>
    </row>
    <row r="1015" spans="1:12" ht="12.75" hidden="1" customHeight="1" outlineLevel="1" x14ac:dyDescent="0.25">
      <c r="A1015" s="2380">
        <v>0.02</v>
      </c>
      <c r="B1015" s="1921" t="s">
        <v>2917</v>
      </c>
      <c r="C1015" s="2108">
        <v>76.097999999999999</v>
      </c>
      <c r="D1015" s="2865">
        <v>266.2</v>
      </c>
      <c r="E1015" s="2892">
        <v>2.498120844174617</v>
      </c>
      <c r="F1015" s="3007">
        <v>4.9962416883492344E-2</v>
      </c>
      <c r="G1015" s="78"/>
      <c r="H1015" t="s">
        <v>2929</v>
      </c>
      <c r="I1015" s="1545">
        <v>98.689400000000006</v>
      </c>
      <c r="L1015" s="434"/>
    </row>
    <row r="1016" spans="1:12" ht="12.75" hidden="1" customHeight="1" outlineLevel="1" x14ac:dyDescent="0.25">
      <c r="A1016" s="2380">
        <v>0.02</v>
      </c>
      <c r="B1016" s="1921" t="s">
        <v>3320</v>
      </c>
      <c r="C1016" s="2108">
        <v>100.08499999999999</v>
      </c>
      <c r="D1016" s="2865">
        <v>53.75</v>
      </c>
      <c r="E1016" s="2892">
        <v>-0.46295648698606184</v>
      </c>
      <c r="F1016" s="3007">
        <v>-9.259129739721237E-3</v>
      </c>
      <c r="G1016" s="78"/>
      <c r="H1016" t="s">
        <v>4093</v>
      </c>
      <c r="L1016" s="434"/>
    </row>
    <row r="1017" spans="1:12" ht="12.75" hidden="1" customHeight="1" outlineLevel="1" x14ac:dyDescent="0.25">
      <c r="A1017" s="2380">
        <v>0.04</v>
      </c>
      <c r="B1017" s="1921" t="s">
        <v>7407</v>
      </c>
      <c r="C1017" s="2108">
        <v>37.287500000000001</v>
      </c>
      <c r="D1017" s="2865">
        <v>31.18</v>
      </c>
      <c r="E1017" s="2892">
        <v>-0.1637948374120014</v>
      </c>
      <c r="F1017" s="3007">
        <v>-6.5517934964800561E-3</v>
      </c>
      <c r="G1017" s="78"/>
      <c r="H1017" t="s">
        <v>7408</v>
      </c>
      <c r="L1017" s="434"/>
    </row>
    <row r="1018" spans="1:12" ht="12.75" hidden="1" customHeight="1" outlineLevel="1" x14ac:dyDescent="0.25">
      <c r="A1018" s="2380">
        <v>0.02</v>
      </c>
      <c r="B1018" s="1921" t="s">
        <v>2467</v>
      </c>
      <c r="C1018" s="2108">
        <v>33.691499999999998</v>
      </c>
      <c r="D1018" s="2865">
        <v>34.19</v>
      </c>
      <c r="E1018" s="2892">
        <v>1.4796016799489387E-2</v>
      </c>
      <c r="F1018" s="3007">
        <v>2.9592033598978772E-4</v>
      </c>
      <c r="G1018" s="78"/>
      <c r="H1018" t="s">
        <v>2468</v>
      </c>
      <c r="L1018" s="434"/>
    </row>
    <row r="1019" spans="1:12" ht="12.75" hidden="1" customHeight="1" outlineLevel="1" x14ac:dyDescent="0.25">
      <c r="A1019" s="2380">
        <v>0.03</v>
      </c>
      <c r="B1019" s="1921" t="s">
        <v>7553</v>
      </c>
      <c r="C1019" s="2108">
        <v>54.660999999999987</v>
      </c>
      <c r="D1019" s="2865">
        <v>28.44</v>
      </c>
      <c r="E1019" s="2892">
        <v>-0.47970216424873291</v>
      </c>
      <c r="F1019" s="3007">
        <v>-1.4391064927461986E-2</v>
      </c>
      <c r="G1019" s="78"/>
      <c r="H1019" t="s">
        <v>7551</v>
      </c>
      <c r="L1019" s="434"/>
    </row>
    <row r="1020" spans="1:12" ht="12.75" hidden="1" customHeight="1" outlineLevel="1" x14ac:dyDescent="0.25">
      <c r="A1020" s="2380">
        <v>0.02</v>
      </c>
      <c r="B1020" s="1921" t="s">
        <v>1528</v>
      </c>
      <c r="C1020" s="2108">
        <v>151.07908120440939</v>
      </c>
      <c r="D1020" s="2865">
        <v>568.1</v>
      </c>
      <c r="E1020" s="2892">
        <v>2.7602823334050002</v>
      </c>
      <c r="F1020" s="3007">
        <v>5.5205646668100003E-2</v>
      </c>
      <c r="G1020" s="78"/>
      <c r="H1020" t="s">
        <v>4149</v>
      </c>
      <c r="L1020" s="434"/>
    </row>
    <row r="1021" spans="1:12" ht="12.75" hidden="1" customHeight="1" outlineLevel="1" x14ac:dyDescent="0.25">
      <c r="A1021" s="2380">
        <v>0.06</v>
      </c>
      <c r="B1021" s="1921" t="s">
        <v>1441</v>
      </c>
      <c r="C1021" s="2108">
        <v>13.577000000000002</v>
      </c>
      <c r="D1021" s="2865">
        <v>11.305</v>
      </c>
      <c r="E1021" s="2892">
        <v>-0.16734182809162568</v>
      </c>
      <c r="F1021" s="3007">
        <v>-1.004050968549754E-2</v>
      </c>
      <c r="G1021" s="78"/>
      <c r="H1021" t="s">
        <v>1978</v>
      </c>
      <c r="L1021" s="434"/>
    </row>
    <row r="1022" spans="1:12" ht="12.75" hidden="1" customHeight="1" outlineLevel="1" x14ac:dyDescent="0.25">
      <c r="A1022" s="2380">
        <v>0.03</v>
      </c>
      <c r="B1022" s="1921" t="s">
        <v>7316</v>
      </c>
      <c r="C1022" s="2108">
        <v>45.67949999999999</v>
      </c>
      <c r="D1022" s="2865">
        <v>144.30000000000001</v>
      </c>
      <c r="E1022" s="2892">
        <v>2.158966275900569</v>
      </c>
      <c r="F1022" s="3007">
        <v>6.4768988277017062E-2</v>
      </c>
      <c r="G1022" s="78"/>
      <c r="H1022" t="s">
        <v>3309</v>
      </c>
      <c r="L1022" s="434"/>
    </row>
    <row r="1023" spans="1:12" ht="12.75" hidden="1" customHeight="1" outlineLevel="1" x14ac:dyDescent="0.25">
      <c r="A1023" s="2380">
        <v>0.03</v>
      </c>
      <c r="B1023" s="1921" t="s">
        <v>4338</v>
      </c>
      <c r="C1023" s="2108">
        <v>14.636090728267774</v>
      </c>
      <c r="D1023" s="2865">
        <v>12.105</v>
      </c>
      <c r="E1023" s="2892">
        <v>-0.17293488919</v>
      </c>
      <c r="F1023" s="3007">
        <v>-5.1880466756999994E-3</v>
      </c>
      <c r="G1023" s="78"/>
      <c r="H1023" t="s">
        <v>7229</v>
      </c>
      <c r="L1023" s="434"/>
    </row>
    <row r="1024" spans="1:12" ht="12.75" hidden="1" customHeight="1" outlineLevel="1" x14ac:dyDescent="0.25">
      <c r="A1024" s="2380">
        <v>0.08</v>
      </c>
      <c r="B1024" s="1921" t="s">
        <v>7557</v>
      </c>
      <c r="C1024" s="2108">
        <v>29.8325</v>
      </c>
      <c r="D1024" s="2865">
        <v>10.38</v>
      </c>
      <c r="E1024" s="2892">
        <v>-0.65205732003687245</v>
      </c>
      <c r="F1024" s="3007">
        <v>-5.2164585602949794E-2</v>
      </c>
      <c r="G1024" s="78"/>
      <c r="H1024" t="s">
        <v>7558</v>
      </c>
      <c r="L1024" s="434"/>
    </row>
    <row r="1025" spans="1:12" ht="12.75" hidden="1" customHeight="1" outlineLevel="1" x14ac:dyDescent="0.25">
      <c r="A1025" s="2380">
        <v>0.02</v>
      </c>
      <c r="B1025" s="1921" t="s">
        <v>7562</v>
      </c>
      <c r="C1025" s="2108">
        <v>9.8408999999999995</v>
      </c>
      <c r="D1025" s="2865">
        <v>9.92</v>
      </c>
      <c r="E1025" s="2892">
        <v>8.0378827139795384E-3</v>
      </c>
      <c r="F1025" s="3007">
        <v>1.6075765427959077E-4</v>
      </c>
      <c r="G1025" s="78"/>
      <c r="H1025" t="s">
        <v>7560</v>
      </c>
      <c r="L1025" s="434"/>
    </row>
    <row r="1026" spans="1:12" ht="12.75" hidden="1" customHeight="1" outlineLevel="1" x14ac:dyDescent="0.25">
      <c r="A1026" s="2380">
        <v>0.05</v>
      </c>
      <c r="B1026" s="1921" t="s">
        <v>9767</v>
      </c>
      <c r="C1026" s="2519">
        <v>19.227499999999999</v>
      </c>
      <c r="D1026" s="2865">
        <v>20.9</v>
      </c>
      <c r="E1026" s="2892">
        <v>8.6984787413860287E-2</v>
      </c>
      <c r="F1026" s="3007">
        <v>4.3492393706930149E-3</v>
      </c>
      <c r="G1026" s="78"/>
      <c r="H1026" t="s">
        <v>9768</v>
      </c>
      <c r="L1026" s="434"/>
    </row>
    <row r="1027" spans="1:12" ht="12.75" hidden="1" customHeight="1" outlineLevel="1" x14ac:dyDescent="0.25">
      <c r="A1027" s="2380">
        <v>0.02</v>
      </c>
      <c r="B1027" s="1921" t="s">
        <v>7871</v>
      </c>
      <c r="C1027" s="2108">
        <v>6.1882000000000001</v>
      </c>
      <c r="D1027" s="2865">
        <v>10.984999999999999</v>
      </c>
      <c r="E1027" s="2892">
        <v>0.77515270999644481</v>
      </c>
      <c r="F1027" s="3007">
        <v>1.5503054199928897E-2</v>
      </c>
      <c r="G1027" s="78"/>
      <c r="H1027" t="s">
        <v>7872</v>
      </c>
      <c r="L1027" s="434"/>
    </row>
    <row r="1028" spans="1:12" ht="12.75" hidden="1" customHeight="1" outlineLevel="1" x14ac:dyDescent="0.25">
      <c r="A1028" s="2380">
        <v>0.03</v>
      </c>
      <c r="B1028" s="1921" t="s">
        <v>6450</v>
      </c>
      <c r="C1028" s="2108">
        <v>145.02818789614179</v>
      </c>
      <c r="D1028" s="2865">
        <v>588.6</v>
      </c>
      <c r="E1028" s="2892">
        <v>3.0585213711799994</v>
      </c>
      <c r="F1028" s="3007">
        <v>9.1755641135399982E-2</v>
      </c>
      <c r="G1028" s="78"/>
      <c r="H1028" t="s">
        <v>6448</v>
      </c>
      <c r="L1028" s="434"/>
    </row>
    <row r="1029" spans="1:12" ht="12.75" hidden="1" customHeight="1" outlineLevel="1" x14ac:dyDescent="0.25">
      <c r="A1029" s="2380">
        <v>0.03</v>
      </c>
      <c r="B1029" s="1921" t="s">
        <v>6742</v>
      </c>
      <c r="C1029" s="2108">
        <v>36.965999999999994</v>
      </c>
      <c r="D1029" s="2865">
        <v>69.66</v>
      </c>
      <c r="E1029" s="2892">
        <v>0.88443434507385188</v>
      </c>
      <c r="F1029" s="3007">
        <v>2.6533030352215554E-2</v>
      </c>
      <c r="G1029" s="78"/>
      <c r="H1029" t="s">
        <v>6743</v>
      </c>
      <c r="L1029" s="434"/>
    </row>
    <row r="1030" spans="1:12" ht="12.75" hidden="1" customHeight="1" outlineLevel="1" x14ac:dyDescent="0.25">
      <c r="A1030" s="2380">
        <v>0.02</v>
      </c>
      <c r="B1030" s="1921" t="s">
        <v>4034</v>
      </c>
      <c r="C1030" s="2108">
        <v>17.854881616095472</v>
      </c>
      <c r="D1030" s="2865">
        <v>23.75</v>
      </c>
      <c r="E1030" s="2892">
        <v>0.33016843856249989</v>
      </c>
      <c r="F1030" s="3007">
        <v>6.603368771249998E-3</v>
      </c>
      <c r="G1030" s="78"/>
      <c r="H1030" t="s">
        <v>8151</v>
      </c>
      <c r="L1030" s="434"/>
    </row>
    <row r="1031" spans="1:12" ht="12.75" hidden="1" customHeight="1" outlineLevel="1" x14ac:dyDescent="0.25">
      <c r="A1031" s="2380">
        <v>0.02</v>
      </c>
      <c r="B1031" s="1921" t="s">
        <v>64</v>
      </c>
      <c r="C1031" s="2108">
        <v>97.051947613008565</v>
      </c>
      <c r="D1031" s="2865">
        <v>238.9</v>
      </c>
      <c r="E1031" s="2892">
        <v>1.4615683237249999</v>
      </c>
      <c r="F1031" s="3007">
        <v>2.92313664745E-2</v>
      </c>
      <c r="G1031" s="78"/>
      <c r="H1031" t="s">
        <v>2388</v>
      </c>
      <c r="L1031" s="434"/>
    </row>
    <row r="1032" spans="1:12" ht="12.75" hidden="1" customHeight="1" outlineLevel="1" x14ac:dyDescent="0.25">
      <c r="A1032" s="2380">
        <v>0.08</v>
      </c>
      <c r="B1032" s="1921" t="s">
        <v>1772</v>
      </c>
      <c r="C1032" s="2108">
        <v>168.76500000000001</v>
      </c>
      <c r="D1032" s="2865">
        <v>262.60000000000002</v>
      </c>
      <c r="E1032" s="2892">
        <v>0.55600983616271149</v>
      </c>
      <c r="F1032" s="3007">
        <v>4.4480786893016919E-2</v>
      </c>
      <c r="G1032" s="78"/>
      <c r="H1032" t="s">
        <v>4330</v>
      </c>
      <c r="L1032" s="434"/>
    </row>
    <row r="1033" spans="1:12" ht="12.75" hidden="1" customHeight="1" outlineLevel="1" x14ac:dyDescent="0.25">
      <c r="A1033" s="2380">
        <v>0.02</v>
      </c>
      <c r="B1033" s="1921" t="s">
        <v>818</v>
      </c>
      <c r="C1033" s="2108">
        <v>63.560999999999993</v>
      </c>
      <c r="D1033" s="2865">
        <v>52.04</v>
      </c>
      <c r="E1033" s="2892">
        <v>-0.18125894809710352</v>
      </c>
      <c r="F1033" s="3007">
        <v>-3.6251789619420704E-3</v>
      </c>
      <c r="G1033" s="78"/>
      <c r="H1033" t="s">
        <v>2421</v>
      </c>
      <c r="L1033" s="434"/>
    </row>
    <row r="1034" spans="1:12" ht="12.75" hidden="1" customHeight="1" outlineLevel="1" x14ac:dyDescent="0.25">
      <c r="A1034" s="2380">
        <v>0.02</v>
      </c>
      <c r="B1034" s="1921" t="s">
        <v>54</v>
      </c>
      <c r="C1034" s="2108">
        <v>12.004999999999999</v>
      </c>
      <c r="D1034" s="2865">
        <v>10.56</v>
      </c>
      <c r="E1034" s="2892">
        <v>-0.12036651395251963</v>
      </c>
      <c r="F1034" s="3007">
        <v>-2.4073302790503927E-3</v>
      </c>
      <c r="G1034" s="78"/>
      <c r="H1034" t="s">
        <v>6741</v>
      </c>
      <c r="L1034" s="434"/>
    </row>
    <row r="1035" spans="1:12" ht="12.75" hidden="1" customHeight="1" outlineLevel="1" x14ac:dyDescent="0.25">
      <c r="A1035" s="2380">
        <v>0.02</v>
      </c>
      <c r="B1035" s="1921" t="s">
        <v>1187</v>
      </c>
      <c r="C1035" s="2108">
        <v>86.887</v>
      </c>
      <c r="D1035" s="2865">
        <v>84.25</v>
      </c>
      <c r="E1035" s="2892">
        <v>-3.0349764636827148E-2</v>
      </c>
      <c r="F1035" s="3007">
        <v>-6.0699529273654294E-4</v>
      </c>
      <c r="G1035" s="78"/>
      <c r="H1035" t="s">
        <v>3483</v>
      </c>
      <c r="L1035" s="434"/>
    </row>
    <row r="1036" spans="1:12" ht="12.75" hidden="1" customHeight="1" outlineLevel="1" x14ac:dyDescent="0.25">
      <c r="A1036" s="2380">
        <v>0.02</v>
      </c>
      <c r="B1036" s="1921" t="s">
        <v>1214</v>
      </c>
      <c r="C1036" s="2108">
        <v>84.715999999999994</v>
      </c>
      <c r="D1036" s="2865">
        <v>140</v>
      </c>
      <c r="E1036" s="2892">
        <v>0.6525803862316446</v>
      </c>
      <c r="F1036" s="3007">
        <v>1.3051607724632892E-2</v>
      </c>
      <c r="G1036" s="78"/>
      <c r="H1036" t="s">
        <v>3775</v>
      </c>
      <c r="L1036" s="434"/>
    </row>
    <row r="1037" spans="1:12" ht="12.75" hidden="1" customHeight="1" outlineLevel="1" x14ac:dyDescent="0.25">
      <c r="A1037" s="2380">
        <v>0.04</v>
      </c>
      <c r="B1037" s="1921" t="s">
        <v>7563</v>
      </c>
      <c r="C1037" s="2108">
        <v>76.225999999999999</v>
      </c>
      <c r="D1037" s="2865">
        <v>81.78</v>
      </c>
      <c r="E1037" s="2892">
        <v>7.2862277962899791E-2</v>
      </c>
      <c r="F1037" s="3007">
        <v>2.9144911185159917E-3</v>
      </c>
      <c r="G1037" s="78"/>
      <c r="H1037" t="s">
        <v>7564</v>
      </c>
      <c r="L1037" s="434"/>
    </row>
    <row r="1038" spans="1:12" ht="12.75" hidden="1" customHeight="1" outlineLevel="1" x14ac:dyDescent="0.25">
      <c r="A1038" s="2380">
        <v>0.02</v>
      </c>
      <c r="B1038" s="1921" t="s">
        <v>7374</v>
      </c>
      <c r="C1038" s="2108">
        <v>91.25376509042411</v>
      </c>
      <c r="D1038" s="2865">
        <v>106.2</v>
      </c>
      <c r="E1038" s="2892">
        <v>0.16378759709000001</v>
      </c>
      <c r="F1038" s="3007">
        <v>3.2757519418000003E-3</v>
      </c>
      <c r="G1038" s="78"/>
      <c r="H1038" t="s">
        <v>7372</v>
      </c>
      <c r="L1038" s="434"/>
    </row>
    <row r="1039" spans="1:12" ht="12.75" hidden="1" customHeight="1" outlineLevel="1" x14ac:dyDescent="0.25">
      <c r="A1039" s="2380">
        <v>0.02</v>
      </c>
      <c r="B1039" s="1921" t="s">
        <v>7566</v>
      </c>
      <c r="C1039" s="2108">
        <v>16.733999999999998</v>
      </c>
      <c r="D1039" s="2865">
        <v>18.059999999999999</v>
      </c>
      <c r="E1039" s="2892">
        <v>7.9239870921477218E-2</v>
      </c>
      <c r="F1039" s="3007">
        <v>1.5847974184295445E-3</v>
      </c>
      <c r="G1039" s="78"/>
      <c r="H1039" t="s">
        <v>7567</v>
      </c>
      <c r="L1039" s="434"/>
    </row>
    <row r="1040" spans="1:12" ht="12.75" hidden="1" customHeight="1" outlineLevel="1" x14ac:dyDescent="0.25">
      <c r="A1040" s="2380">
        <v>7.0000000000000007E-2</v>
      </c>
      <c r="B1040" s="1921" t="s">
        <v>7755</v>
      </c>
      <c r="C1040" s="2108">
        <v>11.342499999999999</v>
      </c>
      <c r="D1040" s="2865">
        <v>3.8170000000000002</v>
      </c>
      <c r="E1040" s="2892">
        <v>-0.66347806920872821</v>
      </c>
      <c r="F1040" s="3007">
        <v>-4.6443464844610982E-2</v>
      </c>
      <c r="G1040" s="78"/>
      <c r="H1040" t="s">
        <v>6732</v>
      </c>
      <c r="L1040" s="434"/>
    </row>
    <row r="1041" spans="1:12" ht="12.75" hidden="1" customHeight="1" outlineLevel="1" x14ac:dyDescent="0.25">
      <c r="A1041" s="2380">
        <v>0.03</v>
      </c>
      <c r="B1041" s="1921" t="s">
        <v>1183</v>
      </c>
      <c r="C1041" s="2108">
        <v>45.091500000000003</v>
      </c>
      <c r="D1041" s="2865">
        <v>39.774999999999999</v>
      </c>
      <c r="E1041" s="2892">
        <v>-0.11790470487785953</v>
      </c>
      <c r="F1041" s="3007">
        <v>-3.5371411463357861E-3</v>
      </c>
      <c r="G1041" s="78"/>
      <c r="H1041" t="s">
        <v>2805</v>
      </c>
      <c r="L1041" s="434"/>
    </row>
    <row r="1042" spans="1:12" ht="12.75" hidden="1" customHeight="1" outlineLevel="1" x14ac:dyDescent="0.25">
      <c r="A1042" s="2380">
        <v>0.02</v>
      </c>
      <c r="B1042" s="1921" t="s">
        <v>507</v>
      </c>
      <c r="C1042" s="2108">
        <v>38.389499999999998</v>
      </c>
      <c r="D1042" s="2865">
        <v>47.58</v>
      </c>
      <c r="E1042" s="2892">
        <v>0.2394013988199899</v>
      </c>
      <c r="F1042" s="3007">
        <v>4.7880279763997981E-3</v>
      </c>
      <c r="G1042" s="78"/>
      <c r="H1042" t="s">
        <v>2810</v>
      </c>
      <c r="L1042" s="434"/>
    </row>
    <row r="1043" spans="1:12" ht="12.75" hidden="1" customHeight="1" outlineLevel="1" x14ac:dyDescent="0.25">
      <c r="A1043" s="2380">
        <v>0.02</v>
      </c>
      <c r="B1043" s="2109" t="s">
        <v>719</v>
      </c>
      <c r="C1043" s="2108">
        <v>57.556000000000004</v>
      </c>
      <c r="D1043" s="2868">
        <v>87.36</v>
      </c>
      <c r="E1043" s="2897">
        <v>0.51782611717284022</v>
      </c>
      <c r="F1043" s="2870">
        <v>1.0356522343456805E-2</v>
      </c>
      <c r="G1043" s="78"/>
      <c r="H1043" t="s">
        <v>1697</v>
      </c>
      <c r="L1043" s="434"/>
    </row>
    <row r="1044" spans="1:12" ht="12.75" hidden="1" customHeight="1" outlineLevel="1" x14ac:dyDescent="0.25">
      <c r="A1044" s="2181" t="s">
        <v>2734</v>
      </c>
      <c r="B1044" s="2103"/>
      <c r="C1044" s="3200"/>
      <c r="D1044" s="3201"/>
      <c r="E1044" s="3025"/>
      <c r="F1044" s="3025">
        <v>0.29334199632047459</v>
      </c>
      <c r="G1044" s="78"/>
    </row>
    <row r="1045" spans="1:12" ht="12.75" hidden="1" customHeight="1" outlineLevel="1" x14ac:dyDescent="0.25">
      <c r="A1045" s="1956" t="s">
        <v>8063</v>
      </c>
      <c r="B1045" s="2185">
        <v>43922</v>
      </c>
      <c r="C1045" s="3203">
        <v>100</v>
      </c>
      <c r="D1045" s="3203">
        <v>103.77500000000001</v>
      </c>
      <c r="E1045" s="3204">
        <v>3.774999999999995E-2</v>
      </c>
      <c r="F1045" s="3151"/>
      <c r="G1045" s="78"/>
    </row>
    <row r="1046" spans="1:12" ht="12.75" hidden="1" customHeight="1" outlineLevel="1" x14ac:dyDescent="0.25">
      <c r="A1046" s="1956" t="s">
        <v>8064</v>
      </c>
      <c r="B1046" s="2185">
        <v>43952</v>
      </c>
      <c r="C1046" s="3203">
        <v>100</v>
      </c>
      <c r="D1046" s="3206">
        <v>106.6576</v>
      </c>
      <c r="E1046" s="3204">
        <v>6.6575999999999969E-2</v>
      </c>
      <c r="F1046" s="3151"/>
      <c r="G1046" s="78"/>
    </row>
    <row r="1047" spans="1:12" ht="12.75" hidden="1" customHeight="1" outlineLevel="1" x14ac:dyDescent="0.25">
      <c r="A1047" s="1956" t="s">
        <v>8065</v>
      </c>
      <c r="B1047" s="2185">
        <v>43983</v>
      </c>
      <c r="C1047" s="3203">
        <v>100</v>
      </c>
      <c r="D1047" s="3206">
        <v>109.60590000000001</v>
      </c>
      <c r="E1047" s="3204">
        <v>9.6059000000000117E-2</v>
      </c>
      <c r="F1047" s="3151"/>
      <c r="G1047" s="78"/>
    </row>
    <row r="1048" spans="1:12" ht="12.75" hidden="1" customHeight="1" outlineLevel="1" x14ac:dyDescent="0.25">
      <c r="A1048" s="1956" t="s">
        <v>8066</v>
      </c>
      <c r="B1048" s="2185">
        <v>44013</v>
      </c>
      <c r="C1048" s="3203">
        <v>100</v>
      </c>
      <c r="D1048" s="3206">
        <v>107.5993</v>
      </c>
      <c r="E1048" s="3204">
        <v>7.5992999999999977E-2</v>
      </c>
      <c r="F1048" s="3151"/>
      <c r="G1048" s="78"/>
    </row>
    <row r="1049" spans="1:12" ht="12.75" hidden="1" customHeight="1" outlineLevel="1" x14ac:dyDescent="0.25">
      <c r="A1049" s="1956" t="s">
        <v>8067</v>
      </c>
      <c r="B1049" s="2185">
        <v>44044</v>
      </c>
      <c r="C1049" s="3203">
        <v>100</v>
      </c>
      <c r="D1049" s="3206">
        <v>112.6695</v>
      </c>
      <c r="E1049" s="3204">
        <v>0.126695</v>
      </c>
      <c r="F1049" s="3151"/>
      <c r="G1049" s="78"/>
    </row>
    <row r="1050" spans="1:12" ht="12.75" hidden="1" customHeight="1" outlineLevel="1" x14ac:dyDescent="0.25">
      <c r="A1050" s="1956" t="s">
        <v>8068</v>
      </c>
      <c r="B1050" s="2185">
        <v>44075</v>
      </c>
      <c r="C1050" s="3203">
        <v>100</v>
      </c>
      <c r="D1050" s="3206">
        <v>112.1215</v>
      </c>
      <c r="E1050" s="3204">
        <v>0.12121500000000007</v>
      </c>
      <c r="F1050" s="3151"/>
      <c r="G1050" s="78"/>
    </row>
    <row r="1051" spans="1:12" ht="12.75" hidden="1" customHeight="1" outlineLevel="1" x14ac:dyDescent="0.25">
      <c r="A1051" s="1956" t="s">
        <v>8069</v>
      </c>
      <c r="B1051" s="2185">
        <v>44105</v>
      </c>
      <c r="C1051" s="3203">
        <v>100</v>
      </c>
      <c r="D1051" s="3206">
        <v>106.3313</v>
      </c>
      <c r="E1051" s="3204">
        <v>6.3312999999999953E-2</v>
      </c>
      <c r="F1051" s="3151"/>
      <c r="G1051" s="78"/>
    </row>
    <row r="1052" spans="1:12" ht="12.75" hidden="1" customHeight="1" outlineLevel="1" x14ac:dyDescent="0.25">
      <c r="A1052" s="1956" t="s">
        <v>8070</v>
      </c>
      <c r="B1052" s="2185">
        <v>44136</v>
      </c>
      <c r="C1052" s="3203">
        <v>100</v>
      </c>
      <c r="D1052" s="3206">
        <v>121.1768</v>
      </c>
      <c r="E1052" s="3204">
        <v>0.21176799999999996</v>
      </c>
      <c r="F1052" s="3151"/>
      <c r="G1052" s="78"/>
    </row>
    <row r="1053" spans="1:12" ht="12.75" hidden="1" customHeight="1" outlineLevel="1" x14ac:dyDescent="0.25">
      <c r="A1053" s="1956" t="s">
        <v>8071</v>
      </c>
      <c r="B1053" s="2185">
        <v>44166</v>
      </c>
      <c r="C1053" s="3203">
        <v>100</v>
      </c>
      <c r="D1053" s="3206">
        <v>122.87350000000001</v>
      </c>
      <c r="E1053" s="3204">
        <v>0.22873500000000013</v>
      </c>
      <c r="F1053" s="3151"/>
      <c r="G1053" s="78"/>
    </row>
    <row r="1054" spans="1:12" ht="12.75" hidden="1" customHeight="1" outlineLevel="1" x14ac:dyDescent="0.25">
      <c r="A1054" s="1956" t="s">
        <v>8072</v>
      </c>
      <c r="B1054" s="2185">
        <v>44197</v>
      </c>
      <c r="C1054" s="3203">
        <v>100</v>
      </c>
      <c r="D1054" s="3206">
        <v>120.5736</v>
      </c>
      <c r="E1054" s="3204">
        <v>0.20573599999999992</v>
      </c>
      <c r="F1054" s="3151"/>
      <c r="G1054" s="78"/>
    </row>
    <row r="1055" spans="1:12" ht="12.75" hidden="1" customHeight="1" outlineLevel="1" x14ac:dyDescent="0.25">
      <c r="A1055" s="1956" t="s">
        <v>8073</v>
      </c>
      <c r="B1055" s="2185">
        <v>44228</v>
      </c>
      <c r="C1055" s="3203">
        <v>100</v>
      </c>
      <c r="D1055" s="3206">
        <v>123.6906</v>
      </c>
      <c r="E1055" s="3204">
        <v>0.23690600000000006</v>
      </c>
      <c r="F1055" s="3151"/>
      <c r="G1055" s="78"/>
    </row>
    <row r="1056" spans="1:12" ht="12.75" hidden="1" customHeight="1" outlineLevel="1" x14ac:dyDescent="0.25">
      <c r="A1056" s="1956" t="s">
        <v>8074</v>
      </c>
      <c r="B1056" s="2185">
        <v>44256</v>
      </c>
      <c r="C1056" s="3203">
        <v>100</v>
      </c>
      <c r="D1056" s="3206">
        <v>129.70140000000001</v>
      </c>
      <c r="E1056" s="3204">
        <v>0.29701400000000011</v>
      </c>
      <c r="F1056" s="3151"/>
      <c r="G1056" s="78"/>
    </row>
    <row r="1057" spans="1:11" ht="12.75" hidden="1" customHeight="1" outlineLevel="1" x14ac:dyDescent="0.25">
      <c r="A1057" s="2189" t="s">
        <v>2734</v>
      </c>
      <c r="B1057" s="2190"/>
      <c r="C1057" s="3264"/>
      <c r="D1057" s="2191" t="s">
        <v>2465</v>
      </c>
      <c r="E1057" s="1987">
        <v>0.14731333333333335</v>
      </c>
      <c r="F1057" s="2528">
        <v>0.16041933333333333</v>
      </c>
      <c r="G1057" s="78"/>
    </row>
    <row r="1058" spans="1:11" collapsed="1" x14ac:dyDescent="0.25">
      <c r="A1058" s="3801" t="s">
        <v>7125</v>
      </c>
      <c r="B1058" s="3802"/>
      <c r="C1058" s="3802"/>
      <c r="D1058" s="3802"/>
      <c r="E1058" s="1906"/>
      <c r="F1058" s="1907">
        <v>0.16041933333333333</v>
      </c>
      <c r="G1058" s="78"/>
    </row>
    <row r="1060" spans="1:11" ht="12.75" hidden="1" customHeight="1" outlineLevel="1" x14ac:dyDescent="0.25">
      <c r="A1060" s="3237" t="s">
        <v>113</v>
      </c>
      <c r="B1060" s="3237" t="s">
        <v>114</v>
      </c>
      <c r="C1060" s="3237" t="s">
        <v>112</v>
      </c>
      <c r="D1060" s="3237" t="s">
        <v>116</v>
      </c>
      <c r="E1060" s="3237" t="s">
        <v>117</v>
      </c>
      <c r="F1060" s="3237" t="s">
        <v>121</v>
      </c>
      <c r="G1060" s="78"/>
    </row>
    <row r="1061" spans="1:11" ht="12.75" hidden="1" customHeight="1" outlineLevel="1" x14ac:dyDescent="0.25">
      <c r="A1061" s="3238">
        <v>1</v>
      </c>
      <c r="B1061" s="3239" t="s">
        <v>252</v>
      </c>
      <c r="C1061" s="3240">
        <v>100</v>
      </c>
      <c r="D1061" s="3240"/>
      <c r="E1061" s="3241"/>
      <c r="F1061" s="3242"/>
      <c r="G1061" s="78"/>
    </row>
    <row r="1062" spans="1:11" ht="12.75" hidden="1" customHeight="1" outlineLevel="1" x14ac:dyDescent="0.25">
      <c r="A1062" s="3243" t="s">
        <v>2734</v>
      </c>
      <c r="B1062" s="3243"/>
      <c r="C1062" s="3244"/>
      <c r="D1062" s="1900" t="s">
        <v>3702</v>
      </c>
      <c r="E1062" s="3245">
        <v>44377</v>
      </c>
      <c r="F1062" s="3246"/>
      <c r="G1062" s="78"/>
    </row>
    <row r="1063" spans="1:11" ht="12.75" hidden="1" customHeight="1" outlineLevel="1" x14ac:dyDescent="0.25">
      <c r="A1063" s="3180" t="s">
        <v>4156</v>
      </c>
      <c r="B1063" s="3180" t="s">
        <v>4153</v>
      </c>
      <c r="C1063" s="3418" t="s">
        <v>112</v>
      </c>
      <c r="D1063" s="3192" t="s">
        <v>4155</v>
      </c>
      <c r="E1063" s="3192" t="s">
        <v>4154</v>
      </c>
      <c r="F1063" s="3192" t="s">
        <v>2519</v>
      </c>
      <c r="G1063" s="78"/>
    </row>
    <row r="1064" spans="1:11" ht="12.75" hidden="1" customHeight="1" outlineLevel="1" x14ac:dyDescent="0.25">
      <c r="A1064" s="1991">
        <v>0.02</v>
      </c>
      <c r="B1064" s="1921" t="s">
        <v>7902</v>
      </c>
      <c r="C1064" s="2108">
        <v>79.287000000000006</v>
      </c>
      <c r="D1064" s="2862">
        <v>226.78</v>
      </c>
      <c r="E1064" s="2890">
        <v>1.86024190598711</v>
      </c>
      <c r="F1064" s="3004">
        <v>3.7204838119742199E-2</v>
      </c>
      <c r="G1064" s="78"/>
      <c r="H1064" t="s">
        <v>7886</v>
      </c>
      <c r="K1064" s="434"/>
    </row>
    <row r="1065" spans="1:11" ht="12.75" hidden="1" customHeight="1" outlineLevel="1" x14ac:dyDescent="0.25">
      <c r="A1065" s="2380">
        <v>0.04</v>
      </c>
      <c r="B1065" s="1921" t="s">
        <v>7903</v>
      </c>
      <c r="C1065" s="2108">
        <v>667.87475191166209</v>
      </c>
      <c r="D1065" s="2865">
        <v>3440.16</v>
      </c>
      <c r="E1065" s="2892">
        <v>4.1509058998759993</v>
      </c>
      <c r="F1065" s="3007">
        <v>0.16603623599503997</v>
      </c>
      <c r="G1065" s="78"/>
      <c r="H1065" t="s">
        <v>7887</v>
      </c>
      <c r="K1065" s="434"/>
    </row>
    <row r="1066" spans="1:11" ht="12.75" hidden="1" customHeight="1" outlineLevel="1" x14ac:dyDescent="0.25">
      <c r="A1066" s="2380">
        <v>0.08</v>
      </c>
      <c r="B1066" s="1921" t="s">
        <v>7904</v>
      </c>
      <c r="C1066" s="2108">
        <v>23.351500000000001</v>
      </c>
      <c r="D1066" s="2865">
        <v>10.09</v>
      </c>
      <c r="E1066" s="2892">
        <v>-0.56790784317923904</v>
      </c>
      <c r="F1066" s="3007">
        <v>-4.5432627454339125E-2</v>
      </c>
      <c r="G1066" s="78"/>
      <c r="H1066" t="s">
        <v>7888</v>
      </c>
      <c r="K1066" s="434"/>
    </row>
    <row r="1067" spans="1:11" ht="12.75" hidden="1" customHeight="1" outlineLevel="1" x14ac:dyDescent="0.25">
      <c r="A1067" s="2380">
        <v>0.03</v>
      </c>
      <c r="B1067" s="1921" t="s">
        <v>3405</v>
      </c>
      <c r="C1067" s="2108">
        <v>29.695000000000004</v>
      </c>
      <c r="D1067" s="2865">
        <v>16.585000000000001</v>
      </c>
      <c r="E1067" s="2892">
        <v>-0.44148846607172931</v>
      </c>
      <c r="F1067" s="3007">
        <v>-1.3244653982151879E-2</v>
      </c>
      <c r="G1067" s="78"/>
      <c r="H1067" t="s">
        <v>2747</v>
      </c>
      <c r="K1067" s="434"/>
    </row>
    <row r="1068" spans="1:11" ht="12.75" hidden="1" customHeight="1" outlineLevel="1" x14ac:dyDescent="0.25">
      <c r="A1068" s="2380">
        <v>0.08</v>
      </c>
      <c r="B1068" s="1921" t="s">
        <v>7553</v>
      </c>
      <c r="C1068" s="2108">
        <v>52.908999999999992</v>
      </c>
      <c r="D1068" s="2865">
        <v>26.75</v>
      </c>
      <c r="E1068" s="2892">
        <v>-0.49441493885728316</v>
      </c>
      <c r="F1068" s="3007">
        <v>-3.9553195108582656E-2</v>
      </c>
      <c r="G1068" s="78"/>
      <c r="H1068" t="s">
        <v>7551</v>
      </c>
      <c r="K1068" s="434"/>
    </row>
    <row r="1069" spans="1:11" ht="12.75" hidden="1" customHeight="1" outlineLevel="1" x14ac:dyDescent="0.25">
      <c r="A1069" s="2380">
        <v>0.02</v>
      </c>
      <c r="B1069" s="1921" t="s">
        <v>7215</v>
      </c>
      <c r="C1069" s="2108">
        <v>94.939999999999984</v>
      </c>
      <c r="D1069" s="2865">
        <v>83.44</v>
      </c>
      <c r="E1069" s="2892">
        <v>-0.12112913419001459</v>
      </c>
      <c r="F1069" s="3007">
        <v>-2.4225826838002919E-3</v>
      </c>
      <c r="G1069" s="78"/>
      <c r="H1069" t="s">
        <v>7216</v>
      </c>
      <c r="K1069" s="434"/>
    </row>
    <row r="1070" spans="1:11" ht="12.75" hidden="1" customHeight="1" outlineLevel="1" x14ac:dyDescent="0.25">
      <c r="A1070" s="2380">
        <v>0.02</v>
      </c>
      <c r="B1070" s="1921" t="s">
        <v>7905</v>
      </c>
      <c r="C1070" s="2108">
        <v>281.69</v>
      </c>
      <c r="D1070" s="2865">
        <v>1462.5</v>
      </c>
      <c r="E1070" s="2892">
        <v>4.1918775959387977</v>
      </c>
      <c r="F1070" s="3007">
        <v>8.3837551918775954E-2</v>
      </c>
      <c r="G1070" s="78"/>
      <c r="H1070" t="s">
        <v>7889</v>
      </c>
      <c r="K1070" s="434"/>
    </row>
    <row r="1071" spans="1:11" ht="12.75" hidden="1" customHeight="1" outlineLevel="1" x14ac:dyDescent="0.25">
      <c r="A1071" s="2380">
        <v>0.02</v>
      </c>
      <c r="B1071" s="1921" t="s">
        <v>6554</v>
      </c>
      <c r="C1071" s="2108">
        <v>28.786999999999995</v>
      </c>
      <c r="D1071" s="2865">
        <v>70.209999999999994</v>
      </c>
      <c r="E1071" s="2892">
        <v>1.4389481363115295</v>
      </c>
      <c r="F1071" s="3007">
        <v>2.8778962726230591E-2</v>
      </c>
      <c r="G1071" s="78"/>
      <c r="H1071" t="s">
        <v>6552</v>
      </c>
      <c r="K1071" s="434"/>
    </row>
    <row r="1072" spans="1:11" ht="12.75" hidden="1" customHeight="1" outlineLevel="1" x14ac:dyDescent="0.25">
      <c r="A1072" s="2380">
        <v>0.02</v>
      </c>
      <c r="B1072" s="1921" t="s">
        <v>7906</v>
      </c>
      <c r="C1072" s="2108">
        <v>127.05</v>
      </c>
      <c r="D1072" s="2865">
        <v>163.71</v>
      </c>
      <c r="E1072" s="2892">
        <v>0.28854781582054323</v>
      </c>
      <c r="F1072" s="3007">
        <v>5.7709563164108644E-3</v>
      </c>
      <c r="G1072" s="78"/>
      <c r="H1072" t="s">
        <v>7890</v>
      </c>
      <c r="K1072" s="434"/>
    </row>
    <row r="1073" spans="1:11" ht="12.75" hidden="1" customHeight="1" outlineLevel="1" x14ac:dyDescent="0.25">
      <c r="A1073" s="2380">
        <v>0.02</v>
      </c>
      <c r="B1073" s="1921" t="s">
        <v>7907</v>
      </c>
      <c r="C1073" s="2108">
        <v>161.12</v>
      </c>
      <c r="D1073" s="2865">
        <v>298.33</v>
      </c>
      <c r="E1073" s="2892">
        <v>0.8516012909632571</v>
      </c>
      <c r="F1073" s="3007">
        <v>1.7032025819265141E-2</v>
      </c>
      <c r="G1073" s="78"/>
      <c r="H1073" t="s">
        <v>7891</v>
      </c>
      <c r="K1073" s="434"/>
    </row>
    <row r="1074" spans="1:11" ht="12.75" hidden="1" customHeight="1" outlineLevel="1" x14ac:dyDescent="0.25">
      <c r="A1074" s="2380">
        <v>0.02</v>
      </c>
      <c r="B1074" s="1921" t="s">
        <v>7908</v>
      </c>
      <c r="C1074" s="2108">
        <v>53.859999967791722</v>
      </c>
      <c r="D1074" s="2865">
        <v>43.16</v>
      </c>
      <c r="E1074" s="2892">
        <v>-0.19866320041200014</v>
      </c>
      <c r="F1074" s="3007">
        <v>-3.9732640082400031E-3</v>
      </c>
      <c r="G1074" s="78"/>
      <c r="H1074" t="s">
        <v>7892</v>
      </c>
      <c r="K1074" s="434"/>
    </row>
    <row r="1075" spans="1:11" ht="12.75" hidden="1" customHeight="1" outlineLevel="1" x14ac:dyDescent="0.25">
      <c r="A1075" s="2380">
        <v>0.03</v>
      </c>
      <c r="B1075" s="1921" t="s">
        <v>7909</v>
      </c>
      <c r="C1075" s="2108">
        <v>41.154000000000003</v>
      </c>
      <c r="D1075" s="2865">
        <v>61.31</v>
      </c>
      <c r="E1075" s="2892">
        <v>0.48977013170044215</v>
      </c>
      <c r="F1075" s="3007">
        <v>1.4693103951013264E-2</v>
      </c>
      <c r="G1075" s="78"/>
      <c r="H1075" t="s">
        <v>7893</v>
      </c>
      <c r="K1075" s="434"/>
    </row>
    <row r="1076" spans="1:11" ht="12.75" hidden="1" customHeight="1" outlineLevel="1" x14ac:dyDescent="0.25">
      <c r="A1076" s="2380">
        <v>0.05</v>
      </c>
      <c r="B1076" s="1921" t="s">
        <v>4034</v>
      </c>
      <c r="C1076" s="2519">
        <v>19.520435846294898</v>
      </c>
      <c r="D1076" s="2865">
        <v>25.07</v>
      </c>
      <c r="E1076" s="2892">
        <v>0.28429509450520007</v>
      </c>
      <c r="F1076" s="3007">
        <v>1.4214754725260004E-2</v>
      </c>
      <c r="G1076" s="78"/>
      <c r="H1076" t="s">
        <v>8151</v>
      </c>
      <c r="K1076" s="434"/>
    </row>
    <row r="1077" spans="1:11" ht="12.75" hidden="1" customHeight="1" outlineLevel="1" x14ac:dyDescent="0.25">
      <c r="A1077" s="2380">
        <v>0.02</v>
      </c>
      <c r="B1077" s="1921" t="s">
        <v>1553</v>
      </c>
      <c r="C1077" s="2108">
        <v>99.309999999999988</v>
      </c>
      <c r="D1077" s="2865">
        <v>365.09</v>
      </c>
      <c r="E1077" s="2892">
        <v>2.6762662370355454</v>
      </c>
      <c r="F1077" s="3007">
        <v>5.3525324740710908E-2</v>
      </c>
      <c r="G1077" s="78"/>
      <c r="H1077" t="s">
        <v>1554</v>
      </c>
      <c r="K1077" s="434"/>
    </row>
    <row r="1078" spans="1:11" ht="12.75" hidden="1" customHeight="1" outlineLevel="1" x14ac:dyDescent="0.25">
      <c r="A1078" s="2380">
        <v>0.08</v>
      </c>
      <c r="B1078" s="1921" t="s">
        <v>10605</v>
      </c>
      <c r="C1078" s="2108">
        <v>28.310499994996121</v>
      </c>
      <c r="D1078" s="2865">
        <v>13.97</v>
      </c>
      <c r="E1078" s="2892">
        <v>-0.50654350850500007</v>
      </c>
      <c r="F1078" s="3007">
        <v>-4.0523480680400008E-2</v>
      </c>
      <c r="G1078" s="78"/>
      <c r="H1078" t="s">
        <v>10606</v>
      </c>
      <c r="K1078" s="434"/>
    </row>
    <row r="1079" spans="1:11" ht="12.75" hidden="1" customHeight="1" outlineLevel="1" x14ac:dyDescent="0.25">
      <c r="A1079" s="2380">
        <v>0.02</v>
      </c>
      <c r="B1079" s="1921" t="s">
        <v>7910</v>
      </c>
      <c r="C1079" s="2108">
        <v>14.055185826240127</v>
      </c>
      <c r="D1079" s="2865">
        <v>19.010000000000002</v>
      </c>
      <c r="E1079" s="2892">
        <v>0.35252569656600019</v>
      </c>
      <c r="F1079" s="3007">
        <v>7.0505139313200042E-3</v>
      </c>
      <c r="G1079" s="78"/>
      <c r="H1079" t="s">
        <v>7894</v>
      </c>
      <c r="K1079" s="434"/>
    </row>
    <row r="1080" spans="1:11" ht="12.75" hidden="1" customHeight="1" outlineLevel="1" x14ac:dyDescent="0.25">
      <c r="A1080" s="2380">
        <v>0.08</v>
      </c>
      <c r="B1080" s="1921" t="s">
        <v>7911</v>
      </c>
      <c r="C1080" s="2108">
        <v>41.519999999999996</v>
      </c>
      <c r="D1080" s="2865">
        <v>119.53</v>
      </c>
      <c r="E1080" s="2892">
        <v>1.8788535645472066</v>
      </c>
      <c r="F1080" s="3007">
        <v>0.15030828516377653</v>
      </c>
      <c r="G1080" s="78"/>
      <c r="H1080" t="s">
        <v>7895</v>
      </c>
      <c r="K1080" s="434"/>
    </row>
    <row r="1081" spans="1:11" ht="12.75" hidden="1" customHeight="1" outlineLevel="1" x14ac:dyDescent="0.25">
      <c r="A1081" s="2380">
        <v>0.05</v>
      </c>
      <c r="B1081" s="1921" t="s">
        <v>5519</v>
      </c>
      <c r="C1081" s="2108">
        <v>2.5562999999999998</v>
      </c>
      <c r="D1081" s="2865">
        <v>2.718</v>
      </c>
      <c r="E1081" s="2892">
        <v>6.3255486445253029E-2</v>
      </c>
      <c r="F1081" s="3007">
        <v>3.1627743222626516E-3</v>
      </c>
      <c r="G1081" s="78"/>
      <c r="H1081" t="s">
        <v>5517</v>
      </c>
      <c r="K1081" s="434"/>
    </row>
    <row r="1082" spans="1:11" ht="12.75" hidden="1" customHeight="1" outlineLevel="1" x14ac:dyDescent="0.25">
      <c r="A1082" s="2380">
        <v>0.02</v>
      </c>
      <c r="B1082" s="1921" t="s">
        <v>7912</v>
      </c>
      <c r="C1082" s="2108">
        <v>25.705000000000002</v>
      </c>
      <c r="D1082" s="2865">
        <v>45.75</v>
      </c>
      <c r="E1082" s="2892">
        <v>0.77980937560785835</v>
      </c>
      <c r="F1082" s="3007">
        <v>1.5596187512157167E-2</v>
      </c>
      <c r="G1082" s="78"/>
      <c r="H1082" t="s">
        <v>7896</v>
      </c>
      <c r="K1082" s="434"/>
    </row>
    <row r="1083" spans="1:11" ht="12.75" hidden="1" customHeight="1" outlineLevel="1" x14ac:dyDescent="0.25">
      <c r="A1083" s="2380">
        <v>0.02</v>
      </c>
      <c r="B1083" s="1921" t="s">
        <v>7913</v>
      </c>
      <c r="C1083" s="2108">
        <v>6.9329999999999998</v>
      </c>
      <c r="D1083" s="2865">
        <v>6.0250000000000004</v>
      </c>
      <c r="E1083" s="2892">
        <v>-0.13096783499206688</v>
      </c>
      <c r="F1083" s="3007">
        <v>-2.6193566998413374E-3</v>
      </c>
      <c r="G1083" s="78"/>
      <c r="H1083" t="s">
        <v>10207</v>
      </c>
      <c r="K1083" s="434"/>
    </row>
    <row r="1084" spans="1:11" ht="12.75" hidden="1" customHeight="1" outlineLevel="1" x14ac:dyDescent="0.25">
      <c r="A1084" s="2380">
        <v>0.02</v>
      </c>
      <c r="B1084" s="1921" t="s">
        <v>7914</v>
      </c>
      <c r="C1084" s="2108">
        <v>152.02722874558816</v>
      </c>
      <c r="D1084" s="2865">
        <v>584</v>
      </c>
      <c r="E1084" s="2892">
        <v>2.8414171251999996</v>
      </c>
      <c r="F1084" s="3007">
        <v>5.6828342503999991E-2</v>
      </c>
      <c r="G1084" s="78"/>
      <c r="H1084" t="s">
        <v>7897</v>
      </c>
      <c r="K1084" s="434"/>
    </row>
    <row r="1085" spans="1:11" ht="12.75" hidden="1" customHeight="1" outlineLevel="1" x14ac:dyDescent="0.25">
      <c r="A1085" s="2380">
        <v>0.02</v>
      </c>
      <c r="B1085" s="1921" t="s">
        <v>10607</v>
      </c>
      <c r="C1085" s="2108">
        <v>1311.4739999999999</v>
      </c>
      <c r="D1085" s="2865">
        <v>2188.09</v>
      </c>
      <c r="E1085" s="2892">
        <v>0.66842041855195022</v>
      </c>
      <c r="F1085" s="3007">
        <v>1.3368408371039005E-2</v>
      </c>
      <c r="G1085" s="78"/>
      <c r="H1085" t="s">
        <v>10608</v>
      </c>
      <c r="K1085" s="434"/>
    </row>
    <row r="1086" spans="1:11" ht="12.75" hidden="1" customHeight="1" outlineLevel="1" x14ac:dyDescent="0.25">
      <c r="A1086" s="2380">
        <v>0.03</v>
      </c>
      <c r="B1086" s="1921" t="s">
        <v>3641</v>
      </c>
      <c r="C1086" s="2108">
        <v>103.65799999999999</v>
      </c>
      <c r="D1086" s="2865">
        <v>207.97</v>
      </c>
      <c r="E1086" s="2892">
        <v>1.0063092091300239</v>
      </c>
      <c r="F1086" s="3007">
        <v>3.0189276273900716E-2</v>
      </c>
      <c r="G1086" s="78"/>
      <c r="H1086" t="s">
        <v>3642</v>
      </c>
      <c r="K1086" s="434"/>
    </row>
    <row r="1087" spans="1:11" ht="12.75" hidden="1" customHeight="1" outlineLevel="1" x14ac:dyDescent="0.25">
      <c r="A1087" s="2380">
        <v>0.02</v>
      </c>
      <c r="B1087" s="1921" t="s">
        <v>1144</v>
      </c>
      <c r="C1087" s="2108">
        <v>79.021000000000015</v>
      </c>
      <c r="D1087" s="2865">
        <v>233.82</v>
      </c>
      <c r="E1087" s="2892">
        <v>1.9589602763822267</v>
      </c>
      <c r="F1087" s="3007">
        <v>3.9179205527644534E-2</v>
      </c>
      <c r="G1087" s="78"/>
      <c r="H1087" t="s">
        <v>1145</v>
      </c>
      <c r="K1087" s="434"/>
    </row>
    <row r="1088" spans="1:11" ht="12.75" hidden="1" customHeight="1" outlineLevel="1" x14ac:dyDescent="0.25">
      <c r="A1088" s="2380">
        <v>0.08</v>
      </c>
      <c r="B1088" s="1921" t="s">
        <v>3169</v>
      </c>
      <c r="C1088" s="2108">
        <v>20.593</v>
      </c>
      <c r="D1088" s="2865">
        <v>28.33</v>
      </c>
      <c r="E1088" s="2892">
        <v>0.37571019278395568</v>
      </c>
      <c r="F1088" s="3007">
        <v>3.0056815422716456E-2</v>
      </c>
      <c r="G1088" s="78"/>
      <c r="H1088" t="s">
        <v>657</v>
      </c>
      <c r="K1088" s="434"/>
    </row>
    <row r="1089" spans="1:11" ht="12.75" hidden="1" customHeight="1" outlineLevel="1" x14ac:dyDescent="0.25">
      <c r="A1089" s="2380">
        <v>0.02</v>
      </c>
      <c r="B1089" s="1921" t="s">
        <v>7916</v>
      </c>
      <c r="C1089" s="2108">
        <v>82.529000000000011</v>
      </c>
      <c r="D1089" s="2865">
        <v>52.61</v>
      </c>
      <c r="E1089" s="2892">
        <v>-0.36252711168195428</v>
      </c>
      <c r="F1089" s="3007">
        <v>-7.250542233639086E-3</v>
      </c>
      <c r="G1089" s="78"/>
      <c r="H1089" t="s">
        <v>7898</v>
      </c>
      <c r="K1089" s="434"/>
    </row>
    <row r="1090" spans="1:11" ht="12.75" hidden="1" customHeight="1" outlineLevel="1" x14ac:dyDescent="0.25">
      <c r="A1090" s="2380">
        <v>0</v>
      </c>
      <c r="B1090" s="1921" t="s">
        <v>7917</v>
      </c>
      <c r="C1090" s="2108">
        <v>30.142500000000002</v>
      </c>
      <c r="D1090" s="2865">
        <v>41.99</v>
      </c>
      <c r="E1090" s="2892">
        <v>0.3930496806834205</v>
      </c>
      <c r="F1090" s="3007">
        <v>0</v>
      </c>
      <c r="G1090" s="78"/>
      <c r="H1090" t="s">
        <v>7899</v>
      </c>
      <c r="K1090" s="434"/>
    </row>
    <row r="1091" spans="1:11" ht="12.75" hidden="1" customHeight="1" outlineLevel="1" x14ac:dyDescent="0.25">
      <c r="A1091" s="2380">
        <v>0.03</v>
      </c>
      <c r="B1091" s="1921" t="s">
        <v>7918</v>
      </c>
      <c r="C1091" s="2108">
        <v>3.3730999999999995</v>
      </c>
      <c r="D1091" s="2865">
        <v>2.718</v>
      </c>
      <c r="E1091" s="2892">
        <v>-0.19421303845127613</v>
      </c>
      <c r="F1091" s="3007">
        <v>-5.8263911535382839E-3</v>
      </c>
      <c r="G1091" s="78"/>
      <c r="H1091" t="s">
        <v>7900</v>
      </c>
      <c r="K1091" s="434"/>
    </row>
    <row r="1092" spans="1:11" ht="12.75" hidden="1" customHeight="1" outlineLevel="1" x14ac:dyDescent="0.25">
      <c r="A1092" s="2380">
        <v>0.02</v>
      </c>
      <c r="B1092" s="1921" t="s">
        <v>5174</v>
      </c>
      <c r="C1092" s="2108">
        <v>1.4595365062812151</v>
      </c>
      <c r="D1092" s="2865">
        <v>2.4670000000000001</v>
      </c>
      <c r="E1092" s="2892">
        <v>0.69026262062175014</v>
      </c>
      <c r="F1092" s="3007">
        <v>1.3805252412435003E-2</v>
      </c>
      <c r="G1092" s="78"/>
      <c r="H1092" t="s">
        <v>5172</v>
      </c>
      <c r="K1092" s="434"/>
    </row>
    <row r="1093" spans="1:11" ht="12.75" hidden="1" customHeight="1" outlineLevel="1" x14ac:dyDescent="0.25">
      <c r="A1093" s="2380">
        <v>0.02</v>
      </c>
      <c r="B1093" s="2109" t="s">
        <v>10610</v>
      </c>
      <c r="C1093" s="2108">
        <v>74.858715123291873</v>
      </c>
      <c r="D1093" s="2868">
        <v>111.95</v>
      </c>
      <c r="E1093" s="2897">
        <v>0.49548385669749995</v>
      </c>
      <c r="F1093" s="2870">
        <v>9.9096771339499991E-3</v>
      </c>
      <c r="G1093" s="78"/>
      <c r="H1093" t="s">
        <v>8885</v>
      </c>
      <c r="K1093" s="434"/>
    </row>
    <row r="1094" spans="1:11" ht="12.75" hidden="1" customHeight="1" outlineLevel="1" x14ac:dyDescent="0.25">
      <c r="A1094" s="2181" t="s">
        <v>2734</v>
      </c>
      <c r="B1094" s="2103"/>
      <c r="C1094" s="3200"/>
      <c r="D1094" s="3201"/>
      <c r="E1094" s="3025"/>
      <c r="F1094" s="3025">
        <v>0.6297023988831183</v>
      </c>
      <c r="G1094" s="78"/>
    </row>
    <row r="1095" spans="1:11" ht="12.75" hidden="1" customHeight="1" outlineLevel="1" x14ac:dyDescent="0.25">
      <c r="A1095" s="1956" t="s">
        <v>8051</v>
      </c>
      <c r="B1095" s="2185">
        <v>44013</v>
      </c>
      <c r="C1095" s="3203">
        <v>100</v>
      </c>
      <c r="D1095" s="3203">
        <v>127.4152</v>
      </c>
      <c r="E1095" s="3204">
        <v>0.27415199999999995</v>
      </c>
      <c r="F1095" s="3151"/>
      <c r="G1095" s="78"/>
    </row>
    <row r="1096" spans="1:11" ht="12.75" hidden="1" customHeight="1" outlineLevel="1" x14ac:dyDescent="0.25">
      <c r="A1096" s="1956" t="s">
        <v>8052</v>
      </c>
      <c r="B1096" s="2185">
        <v>44044</v>
      </c>
      <c r="C1096" s="3203">
        <v>100</v>
      </c>
      <c r="D1096" s="3206">
        <v>137.16370000000001</v>
      </c>
      <c r="E1096" s="3204">
        <v>0.371637</v>
      </c>
      <c r="F1096" s="3151"/>
      <c r="G1096" s="78"/>
    </row>
    <row r="1097" spans="1:11" ht="12.75" hidden="1" customHeight="1" outlineLevel="1" x14ac:dyDescent="0.25">
      <c r="A1097" s="1956" t="s">
        <v>8053</v>
      </c>
      <c r="B1097" s="2185">
        <v>44075</v>
      </c>
      <c r="C1097" s="3203">
        <v>100</v>
      </c>
      <c r="D1097" s="3206">
        <v>135.52340000000001</v>
      </c>
      <c r="E1097" s="3204">
        <v>0.35523400000000005</v>
      </c>
      <c r="F1097" s="3151"/>
      <c r="G1097" s="78"/>
    </row>
    <row r="1098" spans="1:11" ht="12.75" hidden="1" customHeight="1" outlineLevel="1" x14ac:dyDescent="0.25">
      <c r="A1098" s="1956" t="s">
        <v>8054</v>
      </c>
      <c r="B1098" s="2185">
        <v>44105</v>
      </c>
      <c r="C1098" s="3203">
        <v>100</v>
      </c>
      <c r="D1098" s="3206">
        <v>133.24270000000001</v>
      </c>
      <c r="E1098" s="3204">
        <v>0.33242700000000003</v>
      </c>
      <c r="F1098" s="3151"/>
      <c r="G1098" s="78"/>
    </row>
    <row r="1099" spans="1:11" ht="12.75" hidden="1" customHeight="1" outlineLevel="1" x14ac:dyDescent="0.25">
      <c r="A1099" s="1956" t="s">
        <v>8055</v>
      </c>
      <c r="B1099" s="2185">
        <v>44136</v>
      </c>
      <c r="C1099" s="3203">
        <v>100</v>
      </c>
      <c r="D1099" s="3206">
        <v>140.60130000000001</v>
      </c>
      <c r="E1099" s="3204">
        <v>0.40601300000000018</v>
      </c>
      <c r="F1099" s="3151"/>
      <c r="G1099" s="78"/>
    </row>
    <row r="1100" spans="1:11" ht="12.75" hidden="1" customHeight="1" outlineLevel="1" x14ac:dyDescent="0.25">
      <c r="A1100" s="1956" t="s">
        <v>8056</v>
      </c>
      <c r="B1100" s="2185">
        <v>44166</v>
      </c>
      <c r="C1100" s="3203">
        <v>100</v>
      </c>
      <c r="D1100" s="3206">
        <v>143.06729999999999</v>
      </c>
      <c r="E1100" s="3204">
        <v>0.43067299999999986</v>
      </c>
      <c r="F1100" s="3151"/>
      <c r="G1100" s="78"/>
    </row>
    <row r="1101" spans="1:11" ht="12.75" hidden="1" customHeight="1" outlineLevel="1" x14ac:dyDescent="0.25">
      <c r="A1101" s="1956" t="s">
        <v>8057</v>
      </c>
      <c r="B1101" s="2185">
        <v>44197</v>
      </c>
      <c r="C1101" s="3203">
        <v>100</v>
      </c>
      <c r="D1101" s="3206">
        <v>144.17689999999999</v>
      </c>
      <c r="E1101" s="3204">
        <v>0.44176899999999986</v>
      </c>
      <c r="F1101" s="3151"/>
      <c r="G1101" s="78"/>
    </row>
    <row r="1102" spans="1:11" ht="12.75" hidden="1" customHeight="1" outlineLevel="1" x14ac:dyDescent="0.25">
      <c r="A1102" s="1956" t="s">
        <v>8058</v>
      </c>
      <c r="B1102" s="2185">
        <v>44228</v>
      </c>
      <c r="C1102" s="3203">
        <v>100</v>
      </c>
      <c r="D1102" s="3206">
        <v>146.0778</v>
      </c>
      <c r="E1102" s="3204">
        <v>0.46077799999999991</v>
      </c>
      <c r="F1102" s="3151"/>
      <c r="G1102" s="78"/>
    </row>
    <row r="1103" spans="1:11" ht="12.75" hidden="1" customHeight="1" outlineLevel="1" x14ac:dyDescent="0.25">
      <c r="A1103" s="1956" t="s">
        <v>8059</v>
      </c>
      <c r="B1103" s="2185">
        <v>44256</v>
      </c>
      <c r="C1103" s="3203">
        <v>100</v>
      </c>
      <c r="D1103" s="3206">
        <v>150.48759999999999</v>
      </c>
      <c r="E1103" s="3204">
        <v>0.50487599999999988</v>
      </c>
      <c r="F1103" s="3151"/>
      <c r="G1103" s="78"/>
    </row>
    <row r="1104" spans="1:11" ht="12.75" hidden="1" customHeight="1" outlineLevel="1" x14ac:dyDescent="0.25">
      <c r="A1104" s="1956" t="s">
        <v>8060</v>
      </c>
      <c r="B1104" s="2185">
        <v>44287</v>
      </c>
      <c r="C1104" s="3203">
        <v>100</v>
      </c>
      <c r="D1104" s="3206">
        <v>159.1995</v>
      </c>
      <c r="E1104" s="3204">
        <v>0.59199500000000005</v>
      </c>
      <c r="F1104" s="3151"/>
      <c r="G1104" s="78"/>
    </row>
    <row r="1105" spans="1:18" ht="12.75" hidden="1" customHeight="1" outlineLevel="1" x14ac:dyDescent="0.25">
      <c r="A1105" s="1956" t="s">
        <v>8061</v>
      </c>
      <c r="B1105" s="2185">
        <v>44317</v>
      </c>
      <c r="C1105" s="3203">
        <v>100</v>
      </c>
      <c r="D1105" s="3206">
        <v>161.57390000000001</v>
      </c>
      <c r="E1105" s="3204">
        <v>0.61573900000000004</v>
      </c>
      <c r="F1105" s="3151"/>
      <c r="G1105" s="78"/>
    </row>
    <row r="1106" spans="1:18" ht="12.75" hidden="1" customHeight="1" outlineLevel="1" x14ac:dyDescent="0.25">
      <c r="A1106" s="1956" t="s">
        <v>8062</v>
      </c>
      <c r="B1106" s="2185">
        <v>44348</v>
      </c>
      <c r="C1106" s="3203">
        <v>100</v>
      </c>
      <c r="D1106" s="3206">
        <v>163.38319999999999</v>
      </c>
      <c r="E1106" s="3204">
        <v>0.63383199999999995</v>
      </c>
      <c r="F1106" s="3151"/>
      <c r="G1106" s="78"/>
    </row>
    <row r="1107" spans="1:18" ht="12.75" hidden="1" customHeight="1" outlineLevel="1" x14ac:dyDescent="0.25">
      <c r="A1107" s="2189" t="s">
        <v>2734</v>
      </c>
      <c r="B1107" s="2190"/>
      <c r="C1107" s="3206"/>
      <c r="D1107" s="2191" t="s">
        <v>2465</v>
      </c>
      <c r="E1107" s="1987">
        <v>0.45159374999999996</v>
      </c>
      <c r="F1107" s="2528">
        <v>0.45159374999999996</v>
      </c>
      <c r="G1107" s="78"/>
    </row>
    <row r="1108" spans="1:18" collapsed="1" x14ac:dyDescent="0.25">
      <c r="A1108" s="3801" t="s">
        <v>7197</v>
      </c>
      <c r="B1108" s="3802"/>
      <c r="C1108" s="3802"/>
      <c r="D1108" s="3802"/>
      <c r="E1108" s="1906"/>
      <c r="F1108" s="1907">
        <v>0.45159374999999996</v>
      </c>
      <c r="G1108" s="78"/>
    </row>
    <row r="1110" spans="1:18" ht="12.75" hidden="1" customHeight="1" outlineLevel="1" x14ac:dyDescent="0.25">
      <c r="A1110" s="3180" t="s">
        <v>4156</v>
      </c>
      <c r="B1110" s="3180" t="s">
        <v>4153</v>
      </c>
      <c r="C1110" s="3528" t="s">
        <v>112</v>
      </c>
      <c r="D1110" s="3192" t="s">
        <v>4155</v>
      </c>
      <c r="E1110" s="3180" t="s">
        <v>4154</v>
      </c>
      <c r="F1110" s="3192" t="s">
        <v>2519</v>
      </c>
      <c r="G1110" s="78"/>
      <c r="I1110" s="412" t="s">
        <v>6964</v>
      </c>
      <c r="J1110" s="1462">
        <v>42552</v>
      </c>
      <c r="K1110" s="1462">
        <v>42583</v>
      </c>
      <c r="L1110" s="1462">
        <v>42614</v>
      </c>
      <c r="M1110" s="1462">
        <v>42644</v>
      </c>
      <c r="N1110" s="1462">
        <v>42675</v>
      </c>
      <c r="O1110" s="1462">
        <v>42705</v>
      </c>
    </row>
    <row r="1111" spans="1:18" ht="12.75" hidden="1" customHeight="1" outlineLevel="1" x14ac:dyDescent="0.25">
      <c r="A1111" s="1991">
        <v>0.02</v>
      </c>
      <c r="B1111" s="1921" t="s">
        <v>359</v>
      </c>
      <c r="C1111" s="2108">
        <v>134.52500000000001</v>
      </c>
      <c r="D1111" s="3194">
        <v>195.02</v>
      </c>
      <c r="E1111" s="3269">
        <v>0.4496933655454376</v>
      </c>
      <c r="F1111" s="3004">
        <v>8.9938673109087527E-3</v>
      </c>
      <c r="H1111" t="s">
        <v>360</v>
      </c>
      <c r="I1111" s="412">
        <v>90</v>
      </c>
      <c r="J1111">
        <v>102.4465</v>
      </c>
      <c r="K1111">
        <v>103.22920000000001</v>
      </c>
      <c r="L1111">
        <v>103.42319999999999</v>
      </c>
      <c r="M1111">
        <v>103.798</v>
      </c>
      <c r="N1111">
        <v>103.7996</v>
      </c>
      <c r="O1111">
        <v>100.8613</v>
      </c>
      <c r="R1111" s="434"/>
    </row>
    <row r="1112" spans="1:18" ht="12.75" hidden="1" customHeight="1" outlineLevel="1" x14ac:dyDescent="0.25">
      <c r="A1112" s="2380">
        <v>0.02</v>
      </c>
      <c r="B1112" s="1921" t="s">
        <v>10705</v>
      </c>
      <c r="C1112" s="2108">
        <v>40.292999999999999</v>
      </c>
      <c r="D1112" s="3196">
        <v>25.7546</v>
      </c>
      <c r="E1112" s="3270">
        <v>-0.36081701536246991</v>
      </c>
      <c r="F1112" s="3007">
        <v>-7.2163403072493986E-3</v>
      </c>
      <c r="H1112" t="s">
        <v>10706</v>
      </c>
      <c r="I1112" s="422">
        <v>0.27774208333333333</v>
      </c>
      <c r="R1112" s="434"/>
    </row>
    <row r="1113" spans="1:18" ht="12.75" hidden="1" customHeight="1" outlineLevel="1" x14ac:dyDescent="0.25">
      <c r="A1113" s="2380">
        <v>0.02</v>
      </c>
      <c r="B1113" s="1921" t="s">
        <v>7753</v>
      </c>
      <c r="C1113" s="2108">
        <v>111.9</v>
      </c>
      <c r="D1113" s="3196">
        <v>163</v>
      </c>
      <c r="E1113" s="3270">
        <v>0.45665773011617516</v>
      </c>
      <c r="F1113" s="3007">
        <v>9.1331546023235028E-3</v>
      </c>
      <c r="H1113" t="s">
        <v>8901</v>
      </c>
      <c r="R1113" s="434"/>
    </row>
    <row r="1114" spans="1:18" ht="12.75" hidden="1" customHeight="1" outlineLevel="1" x14ac:dyDescent="0.25">
      <c r="A1114" s="2380">
        <v>0.02</v>
      </c>
      <c r="B1114" s="1921" t="s">
        <v>3954</v>
      </c>
      <c r="C1114" s="2108">
        <v>51.209000000000003</v>
      </c>
      <c r="D1114" s="3196">
        <v>69.58</v>
      </c>
      <c r="E1114" s="3270">
        <v>0.35874553301177525</v>
      </c>
      <c r="F1114" s="3007">
        <v>7.1749106602355048E-3</v>
      </c>
      <c r="H1114" t="s">
        <v>3955</v>
      </c>
      <c r="K1114" s="37"/>
      <c r="R1114" s="434"/>
    </row>
    <row r="1115" spans="1:18" ht="12.75" hidden="1" customHeight="1" outlineLevel="1" x14ac:dyDescent="0.25">
      <c r="A1115" s="2380">
        <v>0.05</v>
      </c>
      <c r="B1115" s="1921" t="s">
        <v>4055</v>
      </c>
      <c r="C1115" s="2108">
        <v>75.765000000000001</v>
      </c>
      <c r="D1115" s="3196">
        <v>78.25</v>
      </c>
      <c r="E1115" s="3270">
        <v>3.2798785718999524E-2</v>
      </c>
      <c r="F1115" s="3007">
        <v>1.6399392859499764E-3</v>
      </c>
      <c r="H1115" t="s">
        <v>4056</v>
      </c>
      <c r="R1115" s="434"/>
    </row>
    <row r="1116" spans="1:18" ht="12.75" hidden="1" customHeight="1" outlineLevel="1" x14ac:dyDescent="0.25">
      <c r="A1116" s="2380">
        <v>0.02</v>
      </c>
      <c r="B1116" s="1921" t="s">
        <v>7114</v>
      </c>
      <c r="C1116" s="2108">
        <v>94.923000000000002</v>
      </c>
      <c r="D1116" s="3196">
        <v>198.83</v>
      </c>
      <c r="E1116" s="3270">
        <v>1.0946451334239331</v>
      </c>
      <c r="F1116" s="3007">
        <v>2.1892902668478664E-2</v>
      </c>
      <c r="H1116" t="s">
        <v>7115</v>
      </c>
      <c r="R1116" s="434"/>
    </row>
    <row r="1117" spans="1:18" ht="12.75" hidden="1" customHeight="1" outlineLevel="1" x14ac:dyDescent="0.25">
      <c r="A1117" s="2380">
        <v>0.02</v>
      </c>
      <c r="B1117" s="1921" t="s">
        <v>6267</v>
      </c>
      <c r="C1117" s="2108">
        <v>26.684000000000001</v>
      </c>
      <c r="D1117" s="3196">
        <v>21.31</v>
      </c>
      <c r="E1117" s="3270">
        <v>-0.20139409383900475</v>
      </c>
      <c r="F1117" s="3007">
        <v>-4.0278818767800952E-3</v>
      </c>
      <c r="H1117" t="s">
        <v>6268</v>
      </c>
      <c r="R1117" s="434"/>
    </row>
    <row r="1118" spans="1:18" ht="12.75" hidden="1" customHeight="1" outlineLevel="1" x14ac:dyDescent="0.25">
      <c r="A1118" s="2380">
        <v>0.02</v>
      </c>
      <c r="B1118" s="1921" t="s">
        <v>4268</v>
      </c>
      <c r="C1118" s="2108">
        <v>14.031000000000001</v>
      </c>
      <c r="D1118" s="3196">
        <v>17.2</v>
      </c>
      <c r="E1118" s="3270">
        <v>0.2258570308602379</v>
      </c>
      <c r="F1118" s="3007">
        <v>4.517140617204758E-3</v>
      </c>
      <c r="H1118" t="s">
        <v>8442</v>
      </c>
      <c r="R1118" s="434"/>
    </row>
    <row r="1119" spans="1:18" ht="12.75" hidden="1" customHeight="1" outlineLevel="1" x14ac:dyDescent="0.25">
      <c r="A1119" s="2380">
        <v>0.02</v>
      </c>
      <c r="B1119" s="1921" t="s">
        <v>3799</v>
      </c>
      <c r="C1119" s="2108">
        <v>14.1775</v>
      </c>
      <c r="D1119" s="3196">
        <v>17.326000000000001</v>
      </c>
      <c r="E1119" s="3270">
        <v>0.22207723505554577</v>
      </c>
      <c r="F1119" s="3007">
        <v>4.4415447011109154E-3</v>
      </c>
      <c r="H1119" t="s">
        <v>4128</v>
      </c>
      <c r="R1119" s="434"/>
    </row>
    <row r="1120" spans="1:18" ht="12.75" hidden="1" customHeight="1" outlineLevel="1" x14ac:dyDescent="0.25">
      <c r="A1120" s="2380">
        <v>0.03</v>
      </c>
      <c r="B1120" s="1921" t="s">
        <v>10371</v>
      </c>
      <c r="C1120" s="2108">
        <v>31.518483901417444</v>
      </c>
      <c r="D1120" s="3196">
        <v>29.69</v>
      </c>
      <c r="E1120" s="3270">
        <v>-5.8013066463999952E-2</v>
      </c>
      <c r="F1120" s="3007">
        <v>-1.7403919939199986E-3</v>
      </c>
      <c r="H1120" t="s">
        <v>10370</v>
      </c>
      <c r="R1120" s="434"/>
    </row>
    <row r="1121" spans="1:18" ht="12.75" hidden="1" customHeight="1" outlineLevel="1" x14ac:dyDescent="0.25">
      <c r="A1121" s="2380">
        <v>0.02</v>
      </c>
      <c r="B1121" s="1921" t="s">
        <v>6902</v>
      </c>
      <c r="C1121" s="2108">
        <v>2.2181000000000002</v>
      </c>
      <c r="D1121" s="3196">
        <v>2.597</v>
      </c>
      <c r="E1121" s="3270">
        <v>0.17082187457734088</v>
      </c>
      <c r="F1121" s="3007">
        <v>3.4164374915468176E-3</v>
      </c>
      <c r="H1121" t="s">
        <v>6899</v>
      </c>
      <c r="R1121" s="434"/>
    </row>
    <row r="1122" spans="1:18" ht="12.75" hidden="1" customHeight="1" outlineLevel="1" x14ac:dyDescent="0.25">
      <c r="A1122" s="2380">
        <v>0.02</v>
      </c>
      <c r="B1122" s="1921" t="s">
        <v>1772</v>
      </c>
      <c r="C1122" s="2108">
        <v>154.36500000000001</v>
      </c>
      <c r="D1122" s="3196">
        <v>227.7</v>
      </c>
      <c r="E1122" s="3270">
        <v>0.47507530852200941</v>
      </c>
      <c r="F1122" s="3007">
        <v>9.5015061704401878E-3</v>
      </c>
      <c r="H1122" t="s">
        <v>4330</v>
      </c>
      <c r="R1122" s="434"/>
    </row>
    <row r="1123" spans="1:18" ht="12.75" hidden="1" customHeight="1" outlineLevel="1" x14ac:dyDescent="0.25">
      <c r="A1123" s="2380">
        <v>0.02</v>
      </c>
      <c r="B1123" s="1921" t="s">
        <v>7754</v>
      </c>
      <c r="C1123" s="2519">
        <v>44.932000000000002</v>
      </c>
      <c r="D1123" s="3196">
        <v>97.08</v>
      </c>
      <c r="E1123" s="3270">
        <v>1.1605982373364192</v>
      </c>
      <c r="F1123" s="3007">
        <v>2.3211964746728386E-2</v>
      </c>
      <c r="H1123" t="s">
        <v>7751</v>
      </c>
      <c r="R1123" s="434"/>
    </row>
    <row r="1124" spans="1:18" ht="12.75" hidden="1" customHeight="1" outlineLevel="1" x14ac:dyDescent="0.25">
      <c r="A1124" s="2380">
        <v>0.02</v>
      </c>
      <c r="B1124" s="1921" t="s">
        <v>1203</v>
      </c>
      <c r="C1124" s="2108">
        <v>76.94</v>
      </c>
      <c r="D1124" s="3196">
        <v>99.22</v>
      </c>
      <c r="E1124" s="3270">
        <v>0.28957629321549261</v>
      </c>
      <c r="F1124" s="3007">
        <v>5.7915258643098525E-3</v>
      </c>
      <c r="H1124" t="s">
        <v>79</v>
      </c>
      <c r="R1124" s="434"/>
    </row>
    <row r="1125" spans="1:18" ht="12.75" hidden="1" customHeight="1" outlineLevel="1" x14ac:dyDescent="0.25">
      <c r="A1125" s="2380">
        <v>0.05</v>
      </c>
      <c r="B1125" s="1921" t="s">
        <v>3793</v>
      </c>
      <c r="C1125" s="2108">
        <v>100.78</v>
      </c>
      <c r="D1125" s="3196">
        <v>106.25</v>
      </c>
      <c r="E1125" s="3270">
        <v>5.4276642190910884E-2</v>
      </c>
      <c r="F1125" s="3007">
        <v>2.7138321095455443E-3</v>
      </c>
      <c r="H1125" t="s">
        <v>3533</v>
      </c>
      <c r="R1125" s="434"/>
    </row>
    <row r="1126" spans="1:18" ht="12.75" hidden="1" customHeight="1" outlineLevel="1" x14ac:dyDescent="0.25">
      <c r="A1126" s="2380">
        <v>0.02</v>
      </c>
      <c r="B1126" s="1921" t="s">
        <v>2769</v>
      </c>
      <c r="C1126" s="2108">
        <v>39.100999999999999</v>
      </c>
      <c r="D1126" s="3196">
        <v>30.18</v>
      </c>
      <c r="E1126" s="3270">
        <v>-0.22815273266668368</v>
      </c>
      <c r="F1126" s="3007">
        <v>-4.563054653333674E-3</v>
      </c>
      <c r="H1126" t="s">
        <v>2770</v>
      </c>
      <c r="R1126" s="434"/>
    </row>
    <row r="1127" spans="1:18" ht="12.75" hidden="1" customHeight="1" outlineLevel="1" x14ac:dyDescent="0.25">
      <c r="A1127" s="2380">
        <v>0.08</v>
      </c>
      <c r="B1127" s="1921" t="s">
        <v>2297</v>
      </c>
      <c r="C1127" s="2108">
        <v>49.91</v>
      </c>
      <c r="D1127" s="3196">
        <v>64.87</v>
      </c>
      <c r="E1127" s="3270">
        <v>0.2997395311560811</v>
      </c>
      <c r="F1127" s="3007">
        <v>2.3979162492486487E-2</v>
      </c>
      <c r="H1127" t="s">
        <v>2298</v>
      </c>
      <c r="R1127" s="434"/>
    </row>
    <row r="1128" spans="1:18" ht="12.75" hidden="1" customHeight="1" outlineLevel="1" x14ac:dyDescent="0.25">
      <c r="A1128" s="2380">
        <v>0.02</v>
      </c>
      <c r="B1128" s="1921" t="s">
        <v>10667</v>
      </c>
      <c r="C1128" s="2108">
        <v>17.617000000000001</v>
      </c>
      <c r="D1128" s="3196">
        <v>23.765000000000001</v>
      </c>
      <c r="E1128" s="3270">
        <v>0.34898109780325814</v>
      </c>
      <c r="F1128" s="3007">
        <v>6.9796219560651629E-3</v>
      </c>
      <c r="H1128" t="s">
        <v>10668</v>
      </c>
      <c r="R1128" s="434"/>
    </row>
    <row r="1129" spans="1:18" ht="12.75" hidden="1" customHeight="1" outlineLevel="1" x14ac:dyDescent="0.3">
      <c r="A1129" s="2380">
        <v>0.02</v>
      </c>
      <c r="B1129" s="1921" t="s">
        <v>6270</v>
      </c>
      <c r="C1129" s="2108">
        <v>35.736192446958107</v>
      </c>
      <c r="D1129" s="3196">
        <v>42.08</v>
      </c>
      <c r="E1129" s="3270">
        <v>0.17751772415199985</v>
      </c>
      <c r="F1129" s="3007">
        <v>3.5503544830399968E-3</v>
      </c>
      <c r="H1129" t="s">
        <v>8166</v>
      </c>
      <c r="I1129" s="3491"/>
      <c r="R1129" s="434"/>
    </row>
    <row r="1130" spans="1:18" ht="12.75" hidden="1" customHeight="1" outlineLevel="1" x14ac:dyDescent="0.25">
      <c r="A1130" s="2380">
        <v>0.02</v>
      </c>
      <c r="B1130" s="1921" t="s">
        <v>6524</v>
      </c>
      <c r="C1130" s="2108">
        <v>74.896754169031396</v>
      </c>
      <c r="D1130" s="3196">
        <v>107.8</v>
      </c>
      <c r="E1130" s="3270">
        <v>0.43931470990999988</v>
      </c>
      <c r="F1130" s="3007">
        <v>8.7862941981999981E-3</v>
      </c>
      <c r="H1130" t="s">
        <v>6525</v>
      </c>
      <c r="R1130" s="434"/>
    </row>
    <row r="1131" spans="1:18" ht="12.75" hidden="1" customHeight="1" outlineLevel="1" x14ac:dyDescent="0.25">
      <c r="A1131" s="2380">
        <v>0.08</v>
      </c>
      <c r="B1131" s="1921" t="s">
        <v>3427</v>
      </c>
      <c r="C1131" s="2108">
        <v>50.878</v>
      </c>
      <c r="D1131" s="3196">
        <v>75.66</v>
      </c>
      <c r="E1131" s="3270">
        <v>0.48708675655489597</v>
      </c>
      <c r="F1131" s="3007">
        <v>3.8966940524391681E-2</v>
      </c>
      <c r="H1131" t="s">
        <v>2800</v>
      </c>
      <c r="R1131" s="434"/>
    </row>
    <row r="1132" spans="1:18" ht="12.75" hidden="1" customHeight="1" outlineLevel="1" x14ac:dyDescent="0.25">
      <c r="A1132" s="2380">
        <v>0.08</v>
      </c>
      <c r="B1132" s="1921" t="s">
        <v>1857</v>
      </c>
      <c r="C1132" s="2108">
        <v>15.052</v>
      </c>
      <c r="D1132" s="3196">
        <v>17.72</v>
      </c>
      <c r="E1132" s="3270">
        <v>0.17725219239968104</v>
      </c>
      <c r="F1132" s="3007">
        <v>1.4180175391974484E-2</v>
      </c>
      <c r="H1132" t="s">
        <v>3559</v>
      </c>
      <c r="R1132" s="434"/>
    </row>
    <row r="1133" spans="1:18" ht="12.75" hidden="1" customHeight="1" outlineLevel="1" x14ac:dyDescent="0.25">
      <c r="A1133" s="2380">
        <v>0.02</v>
      </c>
      <c r="B1133" s="1921" t="s">
        <v>10538</v>
      </c>
      <c r="C1133" s="2108">
        <v>12.050692258885707</v>
      </c>
      <c r="D1133" s="3196">
        <v>11.35</v>
      </c>
      <c r="E1133" s="3270">
        <v>-5.8145394790000138E-2</v>
      </c>
      <c r="F1133" s="3007">
        <v>-1.1629078958000029E-3</v>
      </c>
      <c r="H1133" t="s">
        <v>7628</v>
      </c>
      <c r="R1133" s="434"/>
    </row>
    <row r="1134" spans="1:18" ht="12.75" hidden="1" customHeight="1" outlineLevel="1" x14ac:dyDescent="0.25">
      <c r="A1134" s="2380">
        <v>0.08</v>
      </c>
      <c r="B1134" s="1921" t="s">
        <v>6118</v>
      </c>
      <c r="C1134" s="2108">
        <v>83.064999999999998</v>
      </c>
      <c r="D1134" s="3196">
        <v>78.92</v>
      </c>
      <c r="E1134" s="3270">
        <v>-4.9900680190212432E-2</v>
      </c>
      <c r="F1134" s="3007">
        <v>-3.9920544152169946E-3</v>
      </c>
      <c r="H1134" t="s">
        <v>8893</v>
      </c>
      <c r="R1134" s="434"/>
    </row>
    <row r="1135" spans="1:18" ht="12.75" hidden="1" customHeight="1" outlineLevel="1" x14ac:dyDescent="0.25">
      <c r="A1135" s="2380">
        <v>0.08</v>
      </c>
      <c r="B1135" s="1921" t="s">
        <v>1239</v>
      </c>
      <c r="C1135" s="2108">
        <v>458.64</v>
      </c>
      <c r="D1135" s="3196">
        <v>566.79999999999995</v>
      </c>
      <c r="E1135" s="3270">
        <v>0.23582766439909286</v>
      </c>
      <c r="F1135" s="3007">
        <v>1.8866213151927429E-2</v>
      </c>
      <c r="H1135" t="s">
        <v>8891</v>
      </c>
      <c r="R1135" s="434"/>
    </row>
    <row r="1136" spans="1:18" ht="12.75" hidden="1" customHeight="1" outlineLevel="1" x14ac:dyDescent="0.25">
      <c r="A1136" s="2380">
        <v>0.05</v>
      </c>
      <c r="B1136" s="1921" t="s">
        <v>7755</v>
      </c>
      <c r="C1136" s="2108">
        <v>8.7414000000000005</v>
      </c>
      <c r="D1136" s="3196">
        <v>5.0599999999999996</v>
      </c>
      <c r="E1136" s="3270">
        <v>-0.42114535429107469</v>
      </c>
      <c r="F1136" s="3007">
        <v>-2.1057267714553737E-2</v>
      </c>
      <c r="H1136" t="s">
        <v>6732</v>
      </c>
      <c r="R1136" s="434"/>
    </row>
    <row r="1137" spans="1:18" ht="12.75" hidden="1" customHeight="1" outlineLevel="1" x14ac:dyDescent="0.25">
      <c r="A1137" s="2380">
        <v>0.02</v>
      </c>
      <c r="B1137" s="1921" t="s">
        <v>3665</v>
      </c>
      <c r="C1137" s="2108">
        <v>20.534500000000001</v>
      </c>
      <c r="D1137" s="3196">
        <v>31.65</v>
      </c>
      <c r="E1137" s="3270">
        <v>0.54130852954783393</v>
      </c>
      <c r="F1137" s="3007">
        <v>1.0826170590956679E-2</v>
      </c>
      <c r="H1137" t="s">
        <v>7021</v>
      </c>
      <c r="R1137" s="434"/>
    </row>
    <row r="1138" spans="1:18" ht="12.75" hidden="1" customHeight="1" outlineLevel="1" x14ac:dyDescent="0.25">
      <c r="A1138" s="2380">
        <v>0.02</v>
      </c>
      <c r="B1138" s="1921" t="s">
        <v>6337</v>
      </c>
      <c r="C1138" s="2108">
        <v>56.472000000000001</v>
      </c>
      <c r="D1138" s="3196">
        <v>96.66</v>
      </c>
      <c r="E1138" s="3270">
        <v>0.71164470888227793</v>
      </c>
      <c r="F1138" s="3007">
        <v>1.4232894177645559E-2</v>
      </c>
      <c r="H1138" t="s">
        <v>7752</v>
      </c>
      <c r="R1138" s="434"/>
    </row>
    <row r="1139" spans="1:18" ht="12.75" hidden="1" customHeight="1" outlineLevel="1" x14ac:dyDescent="0.25">
      <c r="A1139" s="2380">
        <v>0.02</v>
      </c>
      <c r="B1139" s="1921" t="s">
        <v>10633</v>
      </c>
      <c r="C1139" s="2108">
        <v>41.844000000000001</v>
      </c>
      <c r="D1139" s="3196">
        <v>55.59</v>
      </c>
      <c r="E1139" s="3270">
        <v>0.32850587897906514</v>
      </c>
      <c r="F1139" s="3007">
        <v>6.5701175795813025E-3</v>
      </c>
      <c r="H1139" t="s">
        <v>10634</v>
      </c>
      <c r="R1139" s="434"/>
    </row>
    <row r="1140" spans="1:18" ht="12.75" hidden="1" customHeight="1" outlineLevel="1" x14ac:dyDescent="0.25">
      <c r="A1140" s="2380">
        <v>0.02</v>
      </c>
      <c r="B1140" s="2109" t="s">
        <v>255</v>
      </c>
      <c r="C1140" s="2108">
        <v>52.728999999999999</v>
      </c>
      <c r="D1140" s="3199">
        <v>51.29</v>
      </c>
      <c r="E1140" s="3270">
        <v>-2.7290485311688095E-2</v>
      </c>
      <c r="F1140" s="3007">
        <v>-5.4580970623376187E-4</v>
      </c>
      <c r="H1140" t="s">
        <v>3351</v>
      </c>
      <c r="R1140" s="434"/>
    </row>
    <row r="1141" spans="1:18" ht="12.75" hidden="1" customHeight="1" outlineLevel="1" x14ac:dyDescent="0.25">
      <c r="A1141" s="2181" t="s">
        <v>2734</v>
      </c>
      <c r="B1141" s="2103"/>
      <c r="C1141" s="3200">
        <v>100</v>
      </c>
      <c r="D1141" s="3201"/>
      <c r="E1141" s="3202"/>
      <c r="F1141" s="3202">
        <v>0.20506096221196399</v>
      </c>
      <c r="G1141" s="78"/>
    </row>
    <row r="1142" spans="1:18" ht="12.75" hidden="1" customHeight="1" outlineLevel="1" x14ac:dyDescent="0.25">
      <c r="A1142" s="1956" t="s">
        <v>8105</v>
      </c>
      <c r="B1142" s="2185">
        <v>44348</v>
      </c>
      <c r="C1142" s="3203">
        <v>100</v>
      </c>
      <c r="D1142" s="3203">
        <v>113.4452</v>
      </c>
      <c r="E1142" s="3204">
        <v>0.13445200000000002</v>
      </c>
      <c r="F1142" s="3151"/>
      <c r="G1142" s="78"/>
    </row>
    <row r="1143" spans="1:18" ht="12.75" hidden="1" customHeight="1" outlineLevel="1" x14ac:dyDescent="0.25">
      <c r="A1143" s="1956" t="s">
        <v>8106</v>
      </c>
      <c r="B1143" s="2185">
        <v>44378</v>
      </c>
      <c r="C1143" s="3203">
        <v>100</v>
      </c>
      <c r="D1143" s="3206">
        <v>114.4299</v>
      </c>
      <c r="E1143" s="3204">
        <v>0.14429899999999996</v>
      </c>
      <c r="F1143" s="3151"/>
      <c r="G1143" s="78"/>
    </row>
    <row r="1144" spans="1:18" ht="12.75" hidden="1" customHeight="1" outlineLevel="1" x14ac:dyDescent="0.25">
      <c r="A1144" s="1956" t="s">
        <v>8107</v>
      </c>
      <c r="B1144" s="2185">
        <v>44409</v>
      </c>
      <c r="C1144" s="3203">
        <v>100</v>
      </c>
      <c r="D1144" s="3206">
        <v>117.0211</v>
      </c>
      <c r="E1144" s="3204">
        <v>0.17021100000000011</v>
      </c>
      <c r="F1144" s="3151"/>
      <c r="G1144" s="78"/>
    </row>
    <row r="1145" spans="1:18" ht="12.75" hidden="1" customHeight="1" outlineLevel="1" x14ac:dyDescent="0.25">
      <c r="A1145" s="1956" t="s">
        <v>8108</v>
      </c>
      <c r="B1145" s="2185">
        <v>44440</v>
      </c>
      <c r="C1145" s="3203">
        <v>100</v>
      </c>
      <c r="D1145" s="3206">
        <v>114.1666</v>
      </c>
      <c r="E1145" s="3204">
        <v>0.14166600000000007</v>
      </c>
      <c r="F1145" s="3151"/>
      <c r="G1145" s="78"/>
    </row>
    <row r="1146" spans="1:18" ht="12.75" hidden="1" customHeight="1" outlineLevel="1" x14ac:dyDescent="0.25">
      <c r="A1146" s="1956" t="s">
        <v>8109</v>
      </c>
      <c r="B1146" s="2185">
        <v>44470</v>
      </c>
      <c r="C1146" s="3203">
        <v>100</v>
      </c>
      <c r="D1146" s="3206">
        <v>116.5341</v>
      </c>
      <c r="E1146" s="3204">
        <v>0.16534099999999996</v>
      </c>
      <c r="F1146" s="3151"/>
      <c r="G1146" s="78"/>
    </row>
    <row r="1147" spans="1:18" ht="12.75" hidden="1" customHeight="1" outlineLevel="1" x14ac:dyDescent="0.25">
      <c r="A1147" s="1956" t="s">
        <v>8110</v>
      </c>
      <c r="B1147" s="2185">
        <v>44501</v>
      </c>
      <c r="C1147" s="3203">
        <v>100</v>
      </c>
      <c r="D1147" s="3206">
        <v>113.6884</v>
      </c>
      <c r="E1147" s="3204">
        <v>0.13688400000000001</v>
      </c>
      <c r="F1147" s="3151"/>
      <c r="G1147" s="78"/>
    </row>
    <row r="1148" spans="1:18" ht="12.75" hidden="1" customHeight="1" outlineLevel="1" x14ac:dyDescent="0.25">
      <c r="A1148" s="1956" t="s">
        <v>8111</v>
      </c>
      <c r="B1148" s="2185">
        <v>44531</v>
      </c>
      <c r="C1148" s="3203">
        <v>100</v>
      </c>
      <c r="D1148" s="3206">
        <v>119.3219</v>
      </c>
      <c r="E1148" s="3204">
        <v>0.19321900000000003</v>
      </c>
      <c r="F1148" s="3151"/>
      <c r="G1148" s="78"/>
    </row>
    <row r="1149" spans="1:18" ht="12.75" hidden="1" customHeight="1" outlineLevel="1" x14ac:dyDescent="0.25">
      <c r="A1149" s="1956" t="s">
        <v>8112</v>
      </c>
      <c r="B1149" s="2185">
        <v>44562</v>
      </c>
      <c r="C1149" s="3203">
        <v>100</v>
      </c>
      <c r="D1149" s="3206">
        <v>122.7427</v>
      </c>
      <c r="E1149" s="3204">
        <v>0.22742700000000005</v>
      </c>
      <c r="F1149" s="3151"/>
      <c r="G1149" s="78"/>
    </row>
    <row r="1150" spans="1:18" ht="12.75" hidden="1" customHeight="1" outlineLevel="1" x14ac:dyDescent="0.25">
      <c r="A1150" s="1956" t="s">
        <v>8113</v>
      </c>
      <c r="B1150" s="2185">
        <v>44593</v>
      </c>
      <c r="C1150" s="3203">
        <v>100</v>
      </c>
      <c r="D1150" s="3206">
        <v>119.30710000000001</v>
      </c>
      <c r="E1150" s="3204">
        <v>0.19307099999999999</v>
      </c>
      <c r="F1150" s="3151"/>
      <c r="G1150" s="78"/>
    </row>
    <row r="1151" spans="1:18" ht="12.75" hidden="1" customHeight="1" outlineLevel="1" x14ac:dyDescent="0.25">
      <c r="A1151" s="1956" t="s">
        <v>8114</v>
      </c>
      <c r="B1151" s="2185">
        <v>44621</v>
      </c>
      <c r="C1151" s="3203">
        <v>100</v>
      </c>
      <c r="D1151" s="3206">
        <v>121.2186</v>
      </c>
      <c r="E1151" s="3204">
        <v>0.21218599999999999</v>
      </c>
      <c r="F1151" s="3151"/>
      <c r="G1151" s="78"/>
    </row>
    <row r="1152" spans="1:18" ht="12.75" hidden="1" customHeight="1" outlineLevel="1" x14ac:dyDescent="0.25">
      <c r="A1152" s="1956" t="s">
        <v>8115</v>
      </c>
      <c r="B1152" s="2185">
        <v>44652</v>
      </c>
      <c r="C1152" s="3203">
        <v>100</v>
      </c>
      <c r="D1152" s="3206">
        <v>120.9088</v>
      </c>
      <c r="E1152" s="3204">
        <v>0.20908799999999994</v>
      </c>
      <c r="F1152" s="3151"/>
      <c r="G1152" s="78"/>
    </row>
    <row r="1153" spans="1:15" ht="12.75" hidden="1" customHeight="1" outlineLevel="1" x14ac:dyDescent="0.25">
      <c r="A1153" s="1956" t="s">
        <v>8116</v>
      </c>
      <c r="B1153" s="2185">
        <v>44682</v>
      </c>
      <c r="C1153" s="3203">
        <v>100</v>
      </c>
      <c r="D1153" s="3206">
        <v>120.5061</v>
      </c>
      <c r="E1153" s="3204">
        <v>0.20506099999999994</v>
      </c>
      <c r="F1153" s="3151"/>
      <c r="G1153" s="78"/>
    </row>
    <row r="1154" spans="1:15" ht="12.75" hidden="1" customHeight="1" outlineLevel="1" x14ac:dyDescent="0.25">
      <c r="A1154" s="2189" t="s">
        <v>2734</v>
      </c>
      <c r="B1154" s="2190"/>
      <c r="C1154" s="3264"/>
      <c r="D1154" s="2191" t="s">
        <v>2465</v>
      </c>
      <c r="E1154" s="1987">
        <v>0.17774208333333333</v>
      </c>
      <c r="F1154" s="2528">
        <v>0.27774208333333333</v>
      </c>
      <c r="G1154" s="78"/>
    </row>
    <row r="1155" spans="1:15" collapsed="1" x14ac:dyDescent="0.25">
      <c r="A1155" s="3801" t="s">
        <v>7961</v>
      </c>
      <c r="B1155" s="3802"/>
      <c r="C1155" s="3802"/>
      <c r="D1155" s="3802"/>
      <c r="E1155" s="1906"/>
      <c r="F1155" s="1907">
        <v>0.27774208333333333</v>
      </c>
      <c r="G1155" s="78"/>
    </row>
    <row r="1157" spans="1:15" ht="12.75" hidden="1" customHeight="1" outlineLevel="1" x14ac:dyDescent="0.25">
      <c r="A1157" s="3180" t="s">
        <v>4156</v>
      </c>
      <c r="B1157" s="3180" t="s">
        <v>4153</v>
      </c>
      <c r="C1157" s="3266" t="s">
        <v>112</v>
      </c>
      <c r="D1157" s="3192" t="s">
        <v>4155</v>
      </c>
      <c r="E1157" s="3180" t="s">
        <v>4154</v>
      </c>
      <c r="F1157" s="3192" t="s">
        <v>2519</v>
      </c>
      <c r="G1157" s="78"/>
      <c r="I1157" s="412"/>
      <c r="J1157" s="1462"/>
      <c r="K1157" s="1462"/>
      <c r="L1157" s="1462"/>
      <c r="M1157" s="1462"/>
      <c r="N1157" s="1462"/>
      <c r="O1157" s="1462"/>
    </row>
    <row r="1158" spans="1:15" ht="12.75" hidden="1" customHeight="1" outlineLevel="1" x14ac:dyDescent="0.25">
      <c r="A1158" s="1991">
        <v>0.02</v>
      </c>
      <c r="B1158" s="1921" t="s">
        <v>359</v>
      </c>
      <c r="C1158" s="2108">
        <v>125.77500000000001</v>
      </c>
      <c r="D1158" s="3194">
        <v>198.6</v>
      </c>
      <c r="E1158" s="3269">
        <v>0.57901013714967187</v>
      </c>
      <c r="F1158" s="3004">
        <v>1.1580202742993437E-2</v>
      </c>
      <c r="H1158" t="s">
        <v>360</v>
      </c>
      <c r="I1158" s="412"/>
    </row>
    <row r="1159" spans="1:15" ht="12.75" hidden="1" customHeight="1" outlineLevel="1" x14ac:dyDescent="0.25">
      <c r="A1159" s="2380">
        <v>0.02</v>
      </c>
      <c r="B1159" s="1921" t="s">
        <v>3998</v>
      </c>
      <c r="C1159" s="2108">
        <v>42.640999999999998</v>
      </c>
      <c r="D1159" s="3196">
        <v>30.29</v>
      </c>
      <c r="E1159" s="3270">
        <v>-0.28965080556272127</v>
      </c>
      <c r="F1159" s="3007">
        <v>-5.7930161112544256E-3</v>
      </c>
      <c r="H1159" t="s">
        <v>4000</v>
      </c>
      <c r="I1159" s="422"/>
    </row>
    <row r="1160" spans="1:15" ht="12.75" hidden="1" customHeight="1" outlineLevel="1" x14ac:dyDescent="0.25">
      <c r="A1160" s="2380">
        <v>0.02</v>
      </c>
      <c r="B1160" s="1921" t="s">
        <v>7753</v>
      </c>
      <c r="C1160" s="2108">
        <v>107.78</v>
      </c>
      <c r="D1160" s="3196">
        <v>157.4</v>
      </c>
      <c r="E1160" s="3270">
        <v>0.46038226015958439</v>
      </c>
      <c r="F1160" s="3007">
        <v>9.2076452031916878E-3</v>
      </c>
      <c r="H1160" t="s">
        <v>8901</v>
      </c>
    </row>
    <row r="1161" spans="1:15" ht="12.75" hidden="1" customHeight="1" outlineLevel="1" x14ac:dyDescent="0.25">
      <c r="A1161" s="2380">
        <v>0.02</v>
      </c>
      <c r="B1161" s="1921" t="s">
        <v>3954</v>
      </c>
      <c r="C1161" s="2108">
        <v>98.200999999999993</v>
      </c>
      <c r="D1161" s="3196">
        <v>111.4</v>
      </c>
      <c r="E1161" s="3270">
        <v>0.13440799991853458</v>
      </c>
      <c r="F1161" s="3007">
        <v>2.6881599983706915E-3</v>
      </c>
      <c r="H1161" t="s">
        <v>3955</v>
      </c>
      <c r="K1161" s="37"/>
    </row>
    <row r="1162" spans="1:15" ht="12.75" hidden="1" customHeight="1" outlineLevel="1" x14ac:dyDescent="0.25">
      <c r="A1162" s="2380">
        <v>0.05</v>
      </c>
      <c r="B1162" s="1921" t="s">
        <v>4055</v>
      </c>
      <c r="C1162" s="2108">
        <v>79.989999999999995</v>
      </c>
      <c r="D1162" s="3196">
        <v>70.900000000000006</v>
      </c>
      <c r="E1162" s="3270">
        <v>-0.11363920490061241</v>
      </c>
      <c r="F1162" s="3007">
        <v>-5.6819602450306206E-3</v>
      </c>
      <c r="H1162" t="s">
        <v>4056</v>
      </c>
    </row>
    <row r="1163" spans="1:15" ht="12.75" hidden="1" customHeight="1" outlineLevel="1" x14ac:dyDescent="0.25">
      <c r="A1163" s="2380">
        <v>0.02</v>
      </c>
      <c r="B1163" s="1921" t="s">
        <v>7114</v>
      </c>
      <c r="C1163" s="2108">
        <v>100.425</v>
      </c>
      <c r="D1163" s="3196">
        <v>181.72</v>
      </c>
      <c r="E1163" s="3270">
        <v>0.80950958426686581</v>
      </c>
      <c r="F1163" s="3007">
        <v>1.6190191685337318E-2</v>
      </c>
      <c r="H1163" t="s">
        <v>7115</v>
      </c>
    </row>
    <row r="1164" spans="1:15" ht="12.75" hidden="1" customHeight="1" outlineLevel="1" x14ac:dyDescent="0.25">
      <c r="A1164" s="2380">
        <v>0.02</v>
      </c>
      <c r="B1164" s="1921" t="s">
        <v>6267</v>
      </c>
      <c r="C1164" s="2108">
        <v>27.031500000000001</v>
      </c>
      <c r="D1164" s="3196">
        <v>20.100000000000001</v>
      </c>
      <c r="E1164" s="3270">
        <v>-0.25642306198324172</v>
      </c>
      <c r="F1164" s="3007">
        <v>-5.1284612396648348E-3</v>
      </c>
      <c r="H1164" t="s">
        <v>6268</v>
      </c>
    </row>
    <row r="1165" spans="1:15" ht="12.75" hidden="1" customHeight="1" outlineLevel="1" x14ac:dyDescent="0.25">
      <c r="A1165" s="2380">
        <v>0.02</v>
      </c>
      <c r="B1165" s="1921" t="s">
        <v>4268</v>
      </c>
      <c r="C1165" s="2108">
        <v>14.753</v>
      </c>
      <c r="D1165" s="3196">
        <v>19.079999999999998</v>
      </c>
      <c r="E1165" s="3270">
        <v>0.29329627872297137</v>
      </c>
      <c r="F1165" s="3007">
        <v>5.8659255744594272E-3</v>
      </c>
      <c r="H1165" t="s">
        <v>8442</v>
      </c>
    </row>
    <row r="1166" spans="1:15" ht="12.75" hidden="1" customHeight="1" outlineLevel="1" x14ac:dyDescent="0.25">
      <c r="A1166" s="2380">
        <v>0.02</v>
      </c>
      <c r="B1166" s="1921" t="s">
        <v>3799</v>
      </c>
      <c r="C1166" s="2108">
        <v>16.510000000000002</v>
      </c>
      <c r="D1166" s="3196">
        <v>13.642000000000001</v>
      </c>
      <c r="E1166" s="3270">
        <v>-0.17371290127195638</v>
      </c>
      <c r="F1166" s="3007">
        <v>-3.4742580254391274E-3</v>
      </c>
      <c r="H1166" t="s">
        <v>4128</v>
      </c>
    </row>
    <row r="1167" spans="1:15" ht="12.75" hidden="1" customHeight="1" outlineLevel="1" x14ac:dyDescent="0.25">
      <c r="A1167" s="2380">
        <v>0.03</v>
      </c>
      <c r="B1167" s="1921" t="s">
        <v>6530</v>
      </c>
      <c r="C1167" s="2108">
        <v>37.003999999999998</v>
      </c>
      <c r="D1167" s="3196">
        <v>30.38</v>
      </c>
      <c r="E1167" s="3270">
        <v>-0.17900767484596258</v>
      </c>
      <c r="F1167" s="3007">
        <v>-5.3702302453788771E-3</v>
      </c>
      <c r="H1167" t="s">
        <v>10140</v>
      </c>
    </row>
    <row r="1168" spans="1:15" ht="12.75" hidden="1" customHeight="1" outlineLevel="1" x14ac:dyDescent="0.25">
      <c r="A1168" s="2380">
        <v>0.02</v>
      </c>
      <c r="B1168" s="1921" t="s">
        <v>6902</v>
      </c>
      <c r="C1168" s="2108">
        <v>1.8652</v>
      </c>
      <c r="D1168" s="3196">
        <v>2.6039999999999996</v>
      </c>
      <c r="E1168" s="3270">
        <v>0.39609693330473927</v>
      </c>
      <c r="F1168" s="3007">
        <v>7.9219386660947851E-3</v>
      </c>
      <c r="H1168" t="s">
        <v>6899</v>
      </c>
    </row>
    <row r="1169" spans="1:8" ht="12.75" hidden="1" customHeight="1" outlineLevel="1" x14ac:dyDescent="0.25">
      <c r="A1169" s="2380">
        <v>0.02</v>
      </c>
      <c r="B1169" s="1921" t="s">
        <v>1772</v>
      </c>
      <c r="C1169" s="2108">
        <v>147.22</v>
      </c>
      <c r="D1169" s="3196">
        <v>249</v>
      </c>
      <c r="E1169" s="3270">
        <v>0.69134628447221846</v>
      </c>
      <c r="F1169" s="3007">
        <v>1.382692568944437E-2</v>
      </c>
      <c r="H1169" t="s">
        <v>4330</v>
      </c>
    </row>
    <row r="1170" spans="1:8" ht="12.75" hidden="1" customHeight="1" outlineLevel="1" x14ac:dyDescent="0.25">
      <c r="A1170" s="2380">
        <v>0.02</v>
      </c>
      <c r="B1170" s="1921" t="s">
        <v>7754</v>
      </c>
      <c r="C1170" s="2519">
        <v>44.875999999999998</v>
      </c>
      <c r="D1170" s="3196">
        <v>72.73</v>
      </c>
      <c r="E1170" s="3270">
        <v>0.62068811837062143</v>
      </c>
      <c r="F1170" s="3007">
        <v>1.2413762367412429E-2</v>
      </c>
      <c r="H1170" t="s">
        <v>7751</v>
      </c>
    </row>
    <row r="1171" spans="1:8" ht="12.75" hidden="1" customHeight="1" outlineLevel="1" x14ac:dyDescent="0.25">
      <c r="A1171" s="2380">
        <v>0.02</v>
      </c>
      <c r="B1171" s="1921" t="s">
        <v>1203</v>
      </c>
      <c r="C1171" s="2108">
        <v>72.064999999999998</v>
      </c>
      <c r="D1171" s="3196">
        <v>70.81</v>
      </c>
      <c r="E1171" s="3270">
        <v>-1.7414833830569521E-2</v>
      </c>
      <c r="F1171" s="3007">
        <v>-3.482966766113904E-4</v>
      </c>
      <c r="H1171" t="s">
        <v>79</v>
      </c>
    </row>
    <row r="1172" spans="1:8" ht="12.75" hidden="1" customHeight="1" outlineLevel="1" x14ac:dyDescent="0.25">
      <c r="A1172" s="2380">
        <v>0.05</v>
      </c>
      <c r="B1172" s="1921" t="s">
        <v>3793</v>
      </c>
      <c r="C1172" s="2108">
        <v>102.375</v>
      </c>
      <c r="D1172" s="3196">
        <v>85.63</v>
      </c>
      <c r="E1172" s="3270">
        <v>-0.16356532356532361</v>
      </c>
      <c r="F1172" s="3007">
        <v>-8.1782661782661813E-3</v>
      </c>
      <c r="H1172" t="s">
        <v>3533</v>
      </c>
    </row>
    <row r="1173" spans="1:8" ht="12.75" hidden="1" customHeight="1" outlineLevel="1" x14ac:dyDescent="0.25">
      <c r="A1173" s="2380">
        <v>0.02</v>
      </c>
      <c r="B1173" s="1921" t="s">
        <v>2769</v>
      </c>
      <c r="C1173" s="2108">
        <v>37.256999999999998</v>
      </c>
      <c r="D1173" s="3196">
        <v>27.32</v>
      </c>
      <c r="E1173" s="3270">
        <v>-0.26671497973535174</v>
      </c>
      <c r="F1173" s="3007">
        <v>-5.3342995947070352E-3</v>
      </c>
      <c r="H1173" t="s">
        <v>2770</v>
      </c>
    </row>
    <row r="1174" spans="1:8" ht="12.75" hidden="1" customHeight="1" outlineLevel="1" x14ac:dyDescent="0.25">
      <c r="A1174" s="2380">
        <v>0.08</v>
      </c>
      <c r="B1174" s="1921" t="s">
        <v>2297</v>
      </c>
      <c r="C1174" s="2108">
        <v>53.529000000000003</v>
      </c>
      <c r="D1174" s="3196">
        <v>59.72</v>
      </c>
      <c r="E1174" s="3270">
        <v>0.11565693362476415</v>
      </c>
      <c r="F1174" s="3007">
        <v>9.2525546899811326E-3</v>
      </c>
      <c r="H1174" t="s">
        <v>2298</v>
      </c>
    </row>
    <row r="1175" spans="1:8" ht="12.75" hidden="1" customHeight="1" outlineLevel="1" x14ac:dyDescent="0.25">
      <c r="A1175" s="2380">
        <v>0.02</v>
      </c>
      <c r="B1175" s="1921" t="s">
        <v>5205</v>
      </c>
      <c r="C1175" s="2108">
        <v>20.916</v>
      </c>
      <c r="D1175" s="3196">
        <v>13.924000000000001</v>
      </c>
      <c r="E1175" s="3270">
        <v>-0.3342895391088162</v>
      </c>
      <c r="F1175" s="3007">
        <v>-6.6857907821763242E-3</v>
      </c>
      <c r="H1175" t="s">
        <v>5199</v>
      </c>
    </row>
    <row r="1176" spans="1:8" ht="12.75" hidden="1" customHeight="1" outlineLevel="1" x14ac:dyDescent="0.25">
      <c r="A1176" s="2380">
        <v>0.02</v>
      </c>
      <c r="B1176" s="1921" t="s">
        <v>6270</v>
      </c>
      <c r="C1176" s="2108">
        <v>37.301000000000002</v>
      </c>
      <c r="D1176" s="3196">
        <v>35.06</v>
      </c>
      <c r="E1176" s="3270">
        <v>-6.0078818262244926E-2</v>
      </c>
      <c r="F1176" s="3007">
        <v>-1.2015763652448986E-3</v>
      </c>
      <c r="H1176" t="s">
        <v>8166</v>
      </c>
    </row>
    <row r="1177" spans="1:8" ht="12.75" hidden="1" customHeight="1" outlineLevel="1" x14ac:dyDescent="0.25">
      <c r="A1177" s="2380">
        <v>0.02</v>
      </c>
      <c r="B1177" s="1921" t="s">
        <v>6524</v>
      </c>
      <c r="C1177" s="2108">
        <v>72.680000000000007</v>
      </c>
      <c r="D1177" s="3196">
        <v>85.06</v>
      </c>
      <c r="E1177" s="3270">
        <v>0.17033571821684079</v>
      </c>
      <c r="F1177" s="3007">
        <v>3.4067143643368158E-3</v>
      </c>
      <c r="H1177" t="s">
        <v>6525</v>
      </c>
    </row>
    <row r="1178" spans="1:8" ht="12.75" hidden="1" customHeight="1" outlineLevel="1" x14ac:dyDescent="0.25">
      <c r="A1178" s="2380">
        <v>0.08</v>
      </c>
      <c r="B1178" s="1921" t="s">
        <v>3427</v>
      </c>
      <c r="C1178" s="2108">
        <v>53.536999999999999</v>
      </c>
      <c r="D1178" s="3196">
        <v>60.43</v>
      </c>
      <c r="E1178" s="3270">
        <v>0.1287520780021294</v>
      </c>
      <c r="F1178" s="3007">
        <v>1.0300166240170352E-2</v>
      </c>
      <c r="H1178" t="s">
        <v>2800</v>
      </c>
    </row>
    <row r="1179" spans="1:8" ht="12.75" hidden="1" customHeight="1" outlineLevel="1" x14ac:dyDescent="0.25">
      <c r="A1179" s="2380">
        <v>0.08</v>
      </c>
      <c r="B1179" s="1921" t="s">
        <v>1857</v>
      </c>
      <c r="C1179" s="2108">
        <v>15.872999999999999</v>
      </c>
      <c r="D1179" s="3196">
        <v>14.875</v>
      </c>
      <c r="E1179" s="3270">
        <v>-6.287406287406283E-2</v>
      </c>
      <c r="F1179" s="3007">
        <v>-5.0299250299250262E-3</v>
      </c>
      <c r="H1179" t="s">
        <v>3559</v>
      </c>
    </row>
    <row r="1180" spans="1:8" ht="12.75" hidden="1" customHeight="1" outlineLevel="1" x14ac:dyDescent="0.25">
      <c r="A1180" s="2380">
        <v>0.02</v>
      </c>
      <c r="B1180" s="1921" t="s">
        <v>7627</v>
      </c>
      <c r="C1180" s="2108">
        <v>12.625</v>
      </c>
      <c r="D1180" s="3196">
        <v>10.07</v>
      </c>
      <c r="E1180" s="3270">
        <v>-0.20237623762376233</v>
      </c>
      <c r="F1180" s="3007">
        <v>-4.0475247524752464E-3</v>
      </c>
      <c r="H1180" t="s">
        <v>10103</v>
      </c>
    </row>
    <row r="1181" spans="1:8" ht="12.75" hidden="1" customHeight="1" outlineLevel="1" x14ac:dyDescent="0.25">
      <c r="A1181" s="2380">
        <v>0.08</v>
      </c>
      <c r="B1181" s="1921" t="s">
        <v>6118</v>
      </c>
      <c r="C1181" s="2108">
        <v>83.165000000000006</v>
      </c>
      <c r="D1181" s="3196">
        <v>83.62</v>
      </c>
      <c r="E1181" s="3270">
        <v>5.4710515240785629E-3</v>
      </c>
      <c r="F1181" s="3007">
        <v>4.3768412192628502E-4</v>
      </c>
      <c r="H1181" t="s">
        <v>8893</v>
      </c>
    </row>
    <row r="1182" spans="1:8" ht="12.75" hidden="1" customHeight="1" outlineLevel="1" x14ac:dyDescent="0.25">
      <c r="A1182" s="2380">
        <v>0.08</v>
      </c>
      <c r="B1182" s="1921" t="s">
        <v>1239</v>
      </c>
      <c r="C1182" s="2108">
        <v>480.02</v>
      </c>
      <c r="D1182" s="3196">
        <v>473.8</v>
      </c>
      <c r="E1182" s="3270">
        <v>-1.2957793425273922E-2</v>
      </c>
      <c r="F1182" s="3007">
        <v>-1.0366234740219137E-3</v>
      </c>
      <c r="H1182" t="s">
        <v>8891</v>
      </c>
    </row>
    <row r="1183" spans="1:8" ht="12.75" hidden="1" customHeight="1" outlineLevel="1" x14ac:dyDescent="0.25">
      <c r="A1183" s="2380">
        <v>0.05</v>
      </c>
      <c r="B1183" s="1921" t="s">
        <v>7755</v>
      </c>
      <c r="C1183" s="2108">
        <v>8.7029999999999994</v>
      </c>
      <c r="D1183" s="3196">
        <v>3.427</v>
      </c>
      <c r="E1183" s="3270">
        <v>-0.60622773756176029</v>
      </c>
      <c r="F1183" s="3007">
        <v>-3.0311386878088015E-2</v>
      </c>
      <c r="H1183" t="s">
        <v>6732</v>
      </c>
    </row>
    <row r="1184" spans="1:8" ht="12.75" hidden="1" customHeight="1" outlineLevel="1" x14ac:dyDescent="0.25">
      <c r="A1184" s="2380">
        <v>0.02</v>
      </c>
      <c r="B1184" s="1921" t="s">
        <v>3665</v>
      </c>
      <c r="C1184" s="2108">
        <v>21.560500000000001</v>
      </c>
      <c r="D1184" s="3196">
        <v>25.6</v>
      </c>
      <c r="E1184" s="3270">
        <v>0.18735650842976748</v>
      </c>
      <c r="F1184" s="3007">
        <v>3.7471301685953495E-3</v>
      </c>
      <c r="H1184" t="s">
        <v>7021</v>
      </c>
    </row>
    <row r="1185" spans="1:8" ht="12.75" hidden="1" customHeight="1" outlineLevel="1" x14ac:dyDescent="0.25">
      <c r="A1185" s="2380">
        <v>0.02</v>
      </c>
      <c r="B1185" s="1921" t="s">
        <v>6337</v>
      </c>
      <c r="C1185" s="2108">
        <v>56.164999999999999</v>
      </c>
      <c r="D1185" s="3196">
        <v>72.02</v>
      </c>
      <c r="E1185" s="3270">
        <v>0.28229324312294124</v>
      </c>
      <c r="F1185" s="3007">
        <v>5.6458648624588253E-3</v>
      </c>
      <c r="H1185" t="s">
        <v>7752</v>
      </c>
    </row>
    <row r="1186" spans="1:8" ht="12.75" hidden="1" customHeight="1" outlineLevel="1" x14ac:dyDescent="0.25">
      <c r="A1186" s="2380">
        <v>0.02</v>
      </c>
      <c r="B1186" s="1921" t="s">
        <v>1183</v>
      </c>
      <c r="C1186" s="2108">
        <v>43.421500000000002</v>
      </c>
      <c r="D1186" s="3196">
        <v>36.484999999999999</v>
      </c>
      <c r="E1186" s="3270">
        <v>-0.1597480510806859</v>
      </c>
      <c r="F1186" s="3007">
        <v>-3.1949610216137183E-3</v>
      </c>
      <c r="H1186" t="s">
        <v>2805</v>
      </c>
    </row>
    <row r="1187" spans="1:8" ht="12.75" hidden="1" customHeight="1" outlineLevel="1" x14ac:dyDescent="0.25">
      <c r="A1187" s="2380">
        <v>0.02</v>
      </c>
      <c r="B1187" s="2109" t="s">
        <v>255</v>
      </c>
      <c r="C1187" s="2108">
        <v>55.761000000000003</v>
      </c>
      <c r="D1187" s="3199">
        <v>59.91</v>
      </c>
      <c r="E1187" s="3270">
        <v>7.4406843492763608E-2</v>
      </c>
      <c r="F1187" s="3007">
        <v>1.4881368698552722E-3</v>
      </c>
      <c r="H1187" t="s">
        <v>3351</v>
      </c>
    </row>
    <row r="1188" spans="1:8" ht="12.75" hidden="1" customHeight="1" outlineLevel="1" x14ac:dyDescent="0.25">
      <c r="A1188" s="2181" t="s">
        <v>2734</v>
      </c>
      <c r="B1188" s="2103"/>
      <c r="C1188" s="3200">
        <v>100</v>
      </c>
      <c r="D1188" s="3201"/>
      <c r="E1188" s="3202"/>
      <c r="F1188" s="3202">
        <v>2.3156426624730549E-2</v>
      </c>
      <c r="G1188" s="78"/>
    </row>
    <row r="1189" spans="1:8" ht="12.75" hidden="1" customHeight="1" outlineLevel="1" x14ac:dyDescent="0.25">
      <c r="A1189" s="1956" t="s">
        <v>8138</v>
      </c>
      <c r="B1189" s="2185">
        <v>43831</v>
      </c>
      <c r="C1189" s="3203">
        <v>100</v>
      </c>
      <c r="D1189" s="3203">
        <v>117.3181</v>
      </c>
      <c r="E1189" s="3204">
        <v>0.17318100000000003</v>
      </c>
      <c r="F1189" s="3151"/>
      <c r="G1189" s="78"/>
    </row>
    <row r="1190" spans="1:8" ht="12.75" hidden="1" customHeight="1" outlineLevel="1" x14ac:dyDescent="0.25">
      <c r="A1190" s="1956" t="s">
        <v>8139</v>
      </c>
      <c r="B1190" s="2185">
        <v>43862</v>
      </c>
      <c r="C1190" s="3203">
        <v>100</v>
      </c>
      <c r="D1190" s="3206">
        <v>107.30419999999999</v>
      </c>
      <c r="E1190" s="3204">
        <v>7.3042000000000051E-2</v>
      </c>
      <c r="F1190" s="3151"/>
      <c r="G1190" s="78"/>
    </row>
    <row r="1191" spans="1:8" ht="12.75" hidden="1" customHeight="1" outlineLevel="1" x14ac:dyDescent="0.25">
      <c r="A1191" s="1956" t="s">
        <v>8140</v>
      </c>
      <c r="B1191" s="2185">
        <v>43891</v>
      </c>
      <c r="C1191" s="3203">
        <v>100</v>
      </c>
      <c r="D1191" s="3206">
        <v>91.922700000000006</v>
      </c>
      <c r="E1191" s="3204">
        <v>-8.0772999999999984E-2</v>
      </c>
      <c r="F1191" s="3151"/>
      <c r="G1191" s="78"/>
    </row>
    <row r="1192" spans="1:8" ht="12.75" hidden="1" customHeight="1" outlineLevel="1" x14ac:dyDescent="0.25">
      <c r="A1192" s="1956" t="s">
        <v>8141</v>
      </c>
      <c r="B1192" s="2185">
        <v>43922</v>
      </c>
      <c r="C1192" s="3203">
        <v>100</v>
      </c>
      <c r="D1192" s="3206">
        <v>94.674700000000001</v>
      </c>
      <c r="E1192" s="3204">
        <v>-5.3252999999999995E-2</v>
      </c>
      <c r="F1192" s="3151"/>
      <c r="G1192" s="78"/>
    </row>
    <row r="1193" spans="1:8" ht="12.75" hidden="1" customHeight="1" outlineLevel="1" x14ac:dyDescent="0.25">
      <c r="A1193" s="1956" t="s">
        <v>8142</v>
      </c>
      <c r="B1193" s="2185">
        <v>43952</v>
      </c>
      <c r="C1193" s="3203">
        <v>100</v>
      </c>
      <c r="D1193" s="3206">
        <v>94.282799999999995</v>
      </c>
      <c r="E1193" s="3204">
        <v>-5.7172000000000001E-2</v>
      </c>
      <c r="F1193" s="3151"/>
      <c r="G1193" s="78"/>
    </row>
    <row r="1194" spans="1:8" ht="12.75" hidden="1" customHeight="1" outlineLevel="1" x14ac:dyDescent="0.25">
      <c r="A1194" s="1956" t="s">
        <v>8143</v>
      </c>
      <c r="B1194" s="2185">
        <v>43983</v>
      </c>
      <c r="C1194" s="3203">
        <v>100</v>
      </c>
      <c r="D1194" s="3206">
        <v>94.896799999999999</v>
      </c>
      <c r="E1194" s="3204">
        <v>-5.1031999999999966E-2</v>
      </c>
      <c r="F1194" s="3151"/>
      <c r="G1194" s="78"/>
    </row>
    <row r="1195" spans="1:8" ht="12.75" hidden="1" customHeight="1" outlineLevel="1" x14ac:dyDescent="0.25">
      <c r="A1195" s="1956" t="s">
        <v>8144</v>
      </c>
      <c r="B1195" s="2185">
        <v>44013</v>
      </c>
      <c r="C1195" s="3203">
        <v>100</v>
      </c>
      <c r="D1195" s="3206">
        <v>94.128900000000002</v>
      </c>
      <c r="E1195" s="3204">
        <v>-5.8710999999999958E-2</v>
      </c>
      <c r="F1195" s="3151"/>
      <c r="G1195" s="78"/>
    </row>
    <row r="1196" spans="1:8" ht="12.75" hidden="1" customHeight="1" outlineLevel="1" x14ac:dyDescent="0.25">
      <c r="A1196" s="1956" t="s">
        <v>8145</v>
      </c>
      <c r="B1196" s="2185">
        <v>44044</v>
      </c>
      <c r="C1196" s="3203">
        <v>100</v>
      </c>
      <c r="D1196" s="3206">
        <v>95.973600000000005</v>
      </c>
      <c r="E1196" s="3204">
        <v>-4.0263999999999966E-2</v>
      </c>
      <c r="F1196" s="3151"/>
      <c r="G1196" s="78"/>
    </row>
    <row r="1197" spans="1:8" ht="12.75" hidden="1" customHeight="1" outlineLevel="1" x14ac:dyDescent="0.25">
      <c r="A1197" s="1956" t="s">
        <v>8146</v>
      </c>
      <c r="B1197" s="2185">
        <v>44075</v>
      </c>
      <c r="C1197" s="3203">
        <v>100</v>
      </c>
      <c r="D1197" s="3206">
        <v>91.865899999999996</v>
      </c>
      <c r="E1197" s="3204">
        <v>-8.1340999999999997E-2</v>
      </c>
      <c r="F1197" s="3151"/>
      <c r="G1197" s="78"/>
    </row>
    <row r="1198" spans="1:8" ht="12.75" hidden="1" customHeight="1" outlineLevel="1" x14ac:dyDescent="0.25">
      <c r="A1198" s="1956" t="s">
        <v>8147</v>
      </c>
      <c r="B1198" s="2185">
        <v>44105</v>
      </c>
      <c r="C1198" s="3203">
        <v>100</v>
      </c>
      <c r="D1198" s="3206">
        <v>89.616299999999995</v>
      </c>
      <c r="E1198" s="3204">
        <v>-0.10383700000000007</v>
      </c>
      <c r="F1198" s="3151"/>
      <c r="G1198" s="78"/>
    </row>
    <row r="1199" spans="1:8" ht="12.75" hidden="1" customHeight="1" outlineLevel="1" x14ac:dyDescent="0.25">
      <c r="A1199" s="1956" t="s">
        <v>8148</v>
      </c>
      <c r="B1199" s="2185">
        <v>44136</v>
      </c>
      <c r="C1199" s="3203">
        <v>100</v>
      </c>
      <c r="D1199" s="3206">
        <v>101.22110000000001</v>
      </c>
      <c r="E1199" s="3204">
        <v>1.2210999999999972E-2</v>
      </c>
      <c r="F1199" s="3151"/>
      <c r="G1199" s="78"/>
    </row>
    <row r="1200" spans="1:8" ht="12.75" hidden="1" customHeight="1" outlineLevel="1" x14ac:dyDescent="0.25">
      <c r="A1200" s="1956" t="s">
        <v>8149</v>
      </c>
      <c r="B1200" s="2185">
        <v>44166</v>
      </c>
      <c r="C1200" s="3203">
        <v>100</v>
      </c>
      <c r="D1200" s="3206">
        <v>101.9524</v>
      </c>
      <c r="E1200" s="3204">
        <v>1.9523999999999875E-2</v>
      </c>
      <c r="F1200" s="3151"/>
      <c r="G1200" s="78"/>
    </row>
    <row r="1201" spans="1:19" ht="12.75" hidden="1" customHeight="1" outlineLevel="1" x14ac:dyDescent="0.25">
      <c r="A1201" s="2189" t="s">
        <v>2734</v>
      </c>
      <c r="B1201" s="2190"/>
      <c r="C1201" s="3264"/>
      <c r="D1201" s="2191" t="s">
        <v>2465</v>
      </c>
      <c r="E1201" s="1987">
        <v>-2.0702083333333333E-2</v>
      </c>
      <c r="F1201" s="2528"/>
      <c r="G1201" s="78"/>
    </row>
    <row r="1202" spans="1:19" collapsed="1" x14ac:dyDescent="0.25">
      <c r="A1202" s="3801" t="s">
        <v>8136</v>
      </c>
      <c r="B1202" s="3802"/>
      <c r="C1202" s="3802"/>
      <c r="D1202" s="3802"/>
      <c r="E1202" s="1906"/>
      <c r="F1202" s="1907">
        <v>0</v>
      </c>
      <c r="G1202" s="78"/>
    </row>
    <row r="1204" spans="1:19" ht="12.75" hidden="1" customHeight="1" outlineLevel="1" x14ac:dyDescent="0.25">
      <c r="A1204" s="3237" t="s">
        <v>113</v>
      </c>
      <c r="B1204" s="3237" t="s">
        <v>114</v>
      </c>
      <c r="C1204" s="3237" t="s">
        <v>112</v>
      </c>
      <c r="D1204" s="3237" t="s">
        <v>116</v>
      </c>
      <c r="E1204" s="3237" t="s">
        <v>117</v>
      </c>
      <c r="F1204" s="3237" t="s">
        <v>121</v>
      </c>
      <c r="G1204" s="78"/>
    </row>
    <row r="1205" spans="1:19" ht="12.75" hidden="1" customHeight="1" outlineLevel="1" x14ac:dyDescent="0.25">
      <c r="A1205" s="3238">
        <v>1</v>
      </c>
      <c r="B1205" s="3239" t="s">
        <v>252</v>
      </c>
      <c r="C1205" s="3240">
        <v>100</v>
      </c>
      <c r="D1205" s="3240"/>
      <c r="E1205" s="3241"/>
      <c r="F1205" s="3242"/>
      <c r="G1205" s="78"/>
    </row>
    <row r="1206" spans="1:19" ht="12.75" hidden="1" customHeight="1" outlineLevel="1" x14ac:dyDescent="0.25">
      <c r="A1206" s="3243" t="s">
        <v>2734</v>
      </c>
      <c r="B1206" s="3243"/>
      <c r="C1206" s="3244"/>
      <c r="D1206" s="1900" t="s">
        <v>3702</v>
      </c>
      <c r="E1206" s="3245">
        <v>44286</v>
      </c>
      <c r="F1206" s="3246"/>
      <c r="G1206" s="78"/>
    </row>
    <row r="1207" spans="1:19" ht="12.75" hidden="1" customHeight="1" outlineLevel="1" x14ac:dyDescent="0.25">
      <c r="A1207" s="3180" t="s">
        <v>4156</v>
      </c>
      <c r="B1207" s="3180" t="s">
        <v>4153</v>
      </c>
      <c r="C1207" s="3375" t="s">
        <v>112</v>
      </c>
      <c r="D1207" s="3192" t="s">
        <v>4155</v>
      </c>
      <c r="E1207" s="3192" t="s">
        <v>4154</v>
      </c>
      <c r="F1207" s="3192" t="s">
        <v>2519</v>
      </c>
      <c r="G1207" s="78"/>
      <c r="I1207" s="412" t="s">
        <v>6964</v>
      </c>
      <c r="J1207" s="1462">
        <v>42614</v>
      </c>
      <c r="K1207" s="1462">
        <v>42644</v>
      </c>
      <c r="L1207" s="1462">
        <v>42675</v>
      </c>
      <c r="M1207" s="1462">
        <v>42705</v>
      </c>
      <c r="N1207" s="1462">
        <v>42736</v>
      </c>
      <c r="O1207" s="1462">
        <v>42767</v>
      </c>
    </row>
    <row r="1208" spans="1:19" ht="12.75" hidden="1" customHeight="1" outlineLevel="1" x14ac:dyDescent="0.25">
      <c r="A1208" s="1991">
        <v>0.08</v>
      </c>
      <c r="B1208" s="1921" t="s">
        <v>359</v>
      </c>
      <c r="C1208" s="2108">
        <v>132.75</v>
      </c>
      <c r="D1208" s="2862">
        <v>217.05</v>
      </c>
      <c r="E1208" s="2890">
        <v>0.63502824858757068</v>
      </c>
      <c r="F1208" s="3004">
        <v>5.0802259887005652E-2</v>
      </c>
      <c r="G1208" s="78"/>
      <c r="H1208" t="s">
        <v>360</v>
      </c>
      <c r="I1208" s="412">
        <v>95.651899999999998</v>
      </c>
      <c r="J1208">
        <v>98.485699999999994</v>
      </c>
      <c r="K1208">
        <v>97.682500000000005</v>
      </c>
      <c r="L1208">
        <v>97.371099999999998</v>
      </c>
      <c r="M1208">
        <v>95.651899999999998</v>
      </c>
      <c r="N1208">
        <v>101.0872</v>
      </c>
      <c r="O1208">
        <v>98.005700000000004</v>
      </c>
      <c r="S1208" s="434"/>
    </row>
    <row r="1209" spans="1:19" ht="12.75" hidden="1" customHeight="1" outlineLevel="1" x14ac:dyDescent="0.25">
      <c r="A1209" s="2380">
        <v>0.02</v>
      </c>
      <c r="B1209" s="1921" t="s">
        <v>1317</v>
      </c>
      <c r="C1209" s="2108">
        <v>67.132000000000005</v>
      </c>
      <c r="D1209" s="2865">
        <v>84.78</v>
      </c>
      <c r="E1209" s="2892">
        <v>0.26288506226538755</v>
      </c>
      <c r="F1209" s="3007">
        <v>5.2577012453077507E-3</v>
      </c>
      <c r="G1209" s="78"/>
      <c r="H1209" t="s">
        <v>1318</v>
      </c>
      <c r="I1209" s="422"/>
      <c r="S1209" s="434"/>
    </row>
    <row r="1210" spans="1:19" ht="12.75" hidden="1" customHeight="1" outlineLevel="1" x14ac:dyDescent="0.25">
      <c r="A1210" s="2380">
        <v>0.02</v>
      </c>
      <c r="B1210" s="1921" t="s">
        <v>1903</v>
      </c>
      <c r="C1210" s="2108">
        <v>51.369</v>
      </c>
      <c r="D1210" s="2865">
        <v>72.47</v>
      </c>
      <c r="E1210" s="2892">
        <v>0.41077303432030998</v>
      </c>
      <c r="F1210" s="3007">
        <v>8.2154606864062001E-3</v>
      </c>
      <c r="G1210" s="78"/>
      <c r="H1210" t="s">
        <v>3883</v>
      </c>
      <c r="I1210" s="37"/>
      <c r="S1210" s="434"/>
    </row>
    <row r="1211" spans="1:19" ht="12.75" hidden="1" customHeight="1" outlineLevel="1" x14ac:dyDescent="0.25">
      <c r="A1211" s="2380">
        <v>0.02</v>
      </c>
      <c r="B1211" s="1921" t="s">
        <v>1184</v>
      </c>
      <c r="C1211" s="2108">
        <v>72.099999999999994</v>
      </c>
      <c r="D1211" s="2865">
        <v>70.84</v>
      </c>
      <c r="E1211" s="2892">
        <v>-1.7475728155339709E-2</v>
      </c>
      <c r="F1211" s="3007">
        <v>-3.495145631067942E-4</v>
      </c>
      <c r="G1211" s="78"/>
      <c r="H1211" t="s">
        <v>3497</v>
      </c>
      <c r="S1211" s="434"/>
    </row>
    <row r="1212" spans="1:19" ht="12.75" hidden="1" customHeight="1" outlineLevel="1" x14ac:dyDescent="0.25">
      <c r="A1212" s="2380">
        <v>0.02</v>
      </c>
      <c r="B1212" s="1921" t="s">
        <v>7114</v>
      </c>
      <c r="C1212" s="2108">
        <v>104.44</v>
      </c>
      <c r="D1212" s="2865">
        <v>204.23</v>
      </c>
      <c r="E1212" s="2892">
        <v>0.95547682880122542</v>
      </c>
      <c r="F1212" s="3007">
        <v>1.9109536576024509E-2</v>
      </c>
      <c r="G1212" s="78"/>
      <c r="H1212" t="s">
        <v>7115</v>
      </c>
      <c r="S1212" s="434"/>
    </row>
    <row r="1213" spans="1:19" ht="12.75" hidden="1" customHeight="1" outlineLevel="1" x14ac:dyDescent="0.25">
      <c r="A1213" s="2380">
        <v>0.08</v>
      </c>
      <c r="B1213" s="1921" t="s">
        <v>1319</v>
      </c>
      <c r="C1213" s="2108">
        <v>77.399000000000001</v>
      </c>
      <c r="D1213" s="2865">
        <v>74.8</v>
      </c>
      <c r="E1213" s="2892">
        <v>-3.3579245209886532E-2</v>
      </c>
      <c r="F1213" s="3007">
        <v>-2.6863396167909229E-3</v>
      </c>
      <c r="G1213" s="78"/>
      <c r="H1213" t="s">
        <v>1320</v>
      </c>
      <c r="S1213" s="434"/>
    </row>
    <row r="1214" spans="1:19" ht="12.75" hidden="1" customHeight="1" outlineLevel="1" x14ac:dyDescent="0.25">
      <c r="A1214" s="2380">
        <v>0.04</v>
      </c>
      <c r="B1214" s="1921" t="s">
        <v>9591</v>
      </c>
      <c r="C1214" s="2108">
        <v>75.465000000000003</v>
      </c>
      <c r="D1214" s="2865">
        <v>75.959999999999994</v>
      </c>
      <c r="E1214" s="2892">
        <v>6.5593321407273475E-3</v>
      </c>
      <c r="F1214" s="3007">
        <v>2.6237328562909388E-4</v>
      </c>
      <c r="G1214" s="78"/>
      <c r="H1214" t="s">
        <v>2622</v>
      </c>
      <c r="S1214" s="434"/>
    </row>
    <row r="1215" spans="1:19" ht="12.75" hidden="1" customHeight="1" outlineLevel="1" x14ac:dyDescent="0.25">
      <c r="A1215" s="2380">
        <v>0.02</v>
      </c>
      <c r="B1215" s="1921" t="s">
        <v>1442</v>
      </c>
      <c r="C1215" s="2108">
        <v>54.271999999999998</v>
      </c>
      <c r="D1215" s="2865">
        <v>90.22</v>
      </c>
      <c r="E1215" s="2892">
        <v>0.66236733490566047</v>
      </c>
      <c r="F1215" s="3007">
        <v>1.324734669811321E-2</v>
      </c>
      <c r="G1215" s="78"/>
      <c r="H1215" t="s">
        <v>2384</v>
      </c>
      <c r="S1215" s="434"/>
    </row>
    <row r="1216" spans="1:19" ht="12.75" hidden="1" customHeight="1" outlineLevel="1" x14ac:dyDescent="0.25">
      <c r="A1216" s="2380">
        <v>0.02</v>
      </c>
      <c r="B1216" s="1921" t="s">
        <v>4333</v>
      </c>
      <c r="C1216" s="2108">
        <v>35.152999999999999</v>
      </c>
      <c r="D1216" s="2865">
        <v>43.77</v>
      </c>
      <c r="E1216" s="2892">
        <v>0.24512843854009625</v>
      </c>
      <c r="F1216" s="3007">
        <v>4.9025687708019253E-3</v>
      </c>
      <c r="G1216" s="78"/>
      <c r="H1216" t="s">
        <v>4335</v>
      </c>
      <c r="S1216" s="434"/>
    </row>
    <row r="1217" spans="1:19" ht="12.75" hidden="1" customHeight="1" outlineLevel="1" x14ac:dyDescent="0.25">
      <c r="A1217" s="2380">
        <v>0.02</v>
      </c>
      <c r="B1217" s="1921" t="s">
        <v>3425</v>
      </c>
      <c r="C1217" s="2108">
        <v>87.858000000000004</v>
      </c>
      <c r="D1217" s="2865">
        <v>55.83</v>
      </c>
      <c r="E1217" s="2892">
        <v>-0.36454278494843961</v>
      </c>
      <c r="F1217" s="3007">
        <v>-7.2908556989687923E-3</v>
      </c>
      <c r="G1217" s="78"/>
      <c r="H1217" t="s">
        <v>4126</v>
      </c>
      <c r="S1217" s="434"/>
    </row>
    <row r="1218" spans="1:19" ht="12.75" hidden="1" customHeight="1" outlineLevel="1" x14ac:dyDescent="0.25">
      <c r="A1218" s="2380">
        <v>0.02</v>
      </c>
      <c r="B1218" s="1921" t="s">
        <v>5943</v>
      </c>
      <c r="C1218" s="2108">
        <v>12.118225404623866</v>
      </c>
      <c r="D1218" s="2865">
        <v>12.25</v>
      </c>
      <c r="E1218" s="2892">
        <v>1.0874083537499857E-2</v>
      </c>
      <c r="F1218" s="3007">
        <v>2.1748167074999713E-4</v>
      </c>
      <c r="G1218" s="78"/>
      <c r="H1218" t="s">
        <v>5984</v>
      </c>
      <c r="S1218" s="434"/>
    </row>
    <row r="1219" spans="1:19" ht="12.75" hidden="1" customHeight="1" outlineLevel="1" x14ac:dyDescent="0.25">
      <c r="A1219" s="2380">
        <v>0.02</v>
      </c>
      <c r="B1219" s="1921" t="s">
        <v>3407</v>
      </c>
      <c r="C1219" s="2108">
        <v>30.067931289479031</v>
      </c>
      <c r="D1219" s="2865">
        <v>13.13</v>
      </c>
      <c r="E1219" s="2892">
        <v>-0.56332213634549988</v>
      </c>
      <c r="F1219" s="3007">
        <v>-1.1266442726909997E-2</v>
      </c>
      <c r="G1219" s="78"/>
      <c r="H1219" t="s">
        <v>4127</v>
      </c>
      <c r="S1219" s="434"/>
    </row>
    <row r="1220" spans="1:19" ht="12.75" hidden="1" customHeight="1" outlineLevel="1" x14ac:dyDescent="0.25">
      <c r="A1220" s="2380">
        <v>0.02</v>
      </c>
      <c r="B1220" s="1921" t="s">
        <v>3799</v>
      </c>
      <c r="C1220" s="2519">
        <v>16.894500000000001</v>
      </c>
      <c r="D1220" s="2865">
        <v>12.88</v>
      </c>
      <c r="E1220" s="2892">
        <v>-0.23762171120778952</v>
      </c>
      <c r="F1220" s="3007">
        <v>-4.7524342241557901E-3</v>
      </c>
      <c r="G1220" s="78"/>
      <c r="H1220" t="s">
        <v>4128</v>
      </c>
      <c r="S1220" s="434"/>
    </row>
    <row r="1221" spans="1:19" ht="12.75" hidden="1" customHeight="1" outlineLevel="1" x14ac:dyDescent="0.25">
      <c r="A1221" s="2380">
        <v>0.08</v>
      </c>
      <c r="B1221" s="1921" t="s">
        <v>1031</v>
      </c>
      <c r="C1221" s="2108">
        <v>6.0124000000000004</v>
      </c>
      <c r="D1221" s="2865">
        <v>10.984999999999999</v>
      </c>
      <c r="E1221" s="2892">
        <v>0.82705741467633542</v>
      </c>
      <c r="F1221" s="3007">
        <v>6.6164593174106834E-2</v>
      </c>
      <c r="G1221" s="78"/>
      <c r="H1221" t="s">
        <v>7872</v>
      </c>
      <c r="S1221" s="434"/>
    </row>
    <row r="1222" spans="1:19" ht="12.75" hidden="1" customHeight="1" outlineLevel="1" x14ac:dyDescent="0.25">
      <c r="A1222" s="2380">
        <v>0.02</v>
      </c>
      <c r="B1222" s="1921" t="s">
        <v>3426</v>
      </c>
      <c r="C1222" s="2108">
        <v>122.634</v>
      </c>
      <c r="D1222" s="2865">
        <v>164.35</v>
      </c>
      <c r="E1222" s="2892">
        <v>0.34016667482101215</v>
      </c>
      <c r="F1222" s="3007">
        <v>6.8033334964202434E-3</v>
      </c>
      <c r="G1222" s="78"/>
      <c r="H1222" t="s">
        <v>4145</v>
      </c>
      <c r="S1222" s="434"/>
    </row>
    <row r="1223" spans="1:19" ht="12.75" hidden="1" customHeight="1" outlineLevel="1" x14ac:dyDescent="0.25">
      <c r="A1223" s="2380">
        <v>0.02</v>
      </c>
      <c r="B1223" s="1921" t="s">
        <v>1905</v>
      </c>
      <c r="C1223" s="2108">
        <v>63.210999999999999</v>
      </c>
      <c r="D1223" s="2865">
        <v>77.09</v>
      </c>
      <c r="E1223" s="2892">
        <v>0.21956621474110527</v>
      </c>
      <c r="F1223" s="3007">
        <v>4.3913242948221054E-3</v>
      </c>
      <c r="G1223" s="78"/>
      <c r="H1223" t="s">
        <v>504</v>
      </c>
      <c r="S1223" s="434"/>
    </row>
    <row r="1224" spans="1:19" ht="12.75" hidden="1" customHeight="1" outlineLevel="1" x14ac:dyDescent="0.25">
      <c r="A1224" s="2380">
        <v>0.05</v>
      </c>
      <c r="B1224" s="1921" t="s">
        <v>3958</v>
      </c>
      <c r="C1224" s="2108">
        <v>8.8680000000000003</v>
      </c>
      <c r="D1224" s="2865">
        <v>7.7160000000000002</v>
      </c>
      <c r="E1224" s="2892">
        <v>-0.1299052774018945</v>
      </c>
      <c r="F1224" s="3007">
        <v>-6.4952638700947257E-3</v>
      </c>
      <c r="G1224" s="78"/>
      <c r="H1224" t="s">
        <v>3959</v>
      </c>
      <c r="S1224" s="434"/>
    </row>
    <row r="1225" spans="1:19" ht="12.75" hidden="1" customHeight="1" outlineLevel="1" x14ac:dyDescent="0.25">
      <c r="A1225" s="2380">
        <v>0.02</v>
      </c>
      <c r="B1225" s="1921" t="s">
        <v>1204</v>
      </c>
      <c r="C1225" s="2108">
        <v>108.444</v>
      </c>
      <c r="D1225" s="2865">
        <v>141.44999999999999</v>
      </c>
      <c r="E1225" s="2892">
        <v>0.30435985393382747</v>
      </c>
      <c r="F1225" s="3007">
        <v>6.0871970786765496E-3</v>
      </c>
      <c r="G1225" s="78"/>
      <c r="H1225" t="s">
        <v>9047</v>
      </c>
      <c r="S1225" s="434"/>
    </row>
    <row r="1226" spans="1:19" ht="12.75" hidden="1" customHeight="1" outlineLevel="1" x14ac:dyDescent="0.25">
      <c r="A1226" s="2380">
        <v>0.02</v>
      </c>
      <c r="B1226" s="1921" t="s">
        <v>1414</v>
      </c>
      <c r="C1226" s="2108">
        <v>35.094000000000001</v>
      </c>
      <c r="D1226" s="2865">
        <v>36.229999999999997</v>
      </c>
      <c r="E1226" s="2892">
        <v>3.2370205733173618E-2</v>
      </c>
      <c r="F1226" s="3007">
        <v>6.4740411466347237E-4</v>
      </c>
      <c r="G1226" s="78"/>
      <c r="H1226" t="s">
        <v>2428</v>
      </c>
      <c r="S1226" s="434"/>
    </row>
    <row r="1227" spans="1:19" ht="12.75" hidden="1" customHeight="1" outlineLevel="1" x14ac:dyDescent="0.25">
      <c r="A1227" s="2380">
        <v>0.02</v>
      </c>
      <c r="B1227" s="1921" t="s">
        <v>2469</v>
      </c>
      <c r="C1227" s="2108">
        <v>63.762</v>
      </c>
      <c r="D1227" s="2865">
        <v>11.71</v>
      </c>
      <c r="E1227" s="2892">
        <v>-0.81634829522286001</v>
      </c>
      <c r="F1227" s="3007">
        <v>-1.6326965904457199E-2</v>
      </c>
      <c r="G1227" s="78"/>
      <c r="H1227" t="s">
        <v>2696</v>
      </c>
      <c r="S1227" s="434"/>
    </row>
    <row r="1228" spans="1:19" ht="12.75" hidden="1" customHeight="1" outlineLevel="1" x14ac:dyDescent="0.25">
      <c r="A1228" s="2380">
        <v>0.05</v>
      </c>
      <c r="B1228" s="1921" t="s">
        <v>3023</v>
      </c>
      <c r="C1228" s="2108">
        <v>86.561000000000007</v>
      </c>
      <c r="D1228" s="2865">
        <v>135.43</v>
      </c>
      <c r="E1228" s="2892">
        <v>0.56456140756229711</v>
      </c>
      <c r="F1228" s="3007">
        <v>2.8228070378114856E-2</v>
      </c>
      <c r="G1228" s="78"/>
      <c r="H1228" t="s">
        <v>2815</v>
      </c>
      <c r="S1228" s="434"/>
    </row>
    <row r="1229" spans="1:19" ht="12.75" hidden="1" customHeight="1" outlineLevel="1" x14ac:dyDescent="0.25">
      <c r="A1229" s="2380">
        <v>0.02</v>
      </c>
      <c r="B1229" s="1921" t="s">
        <v>901</v>
      </c>
      <c r="C1229" s="2108">
        <v>41.469878270978121</v>
      </c>
      <c r="D1229" s="2865">
        <v>27.74</v>
      </c>
      <c r="E1229" s="2892">
        <v>-0.33108074688000011</v>
      </c>
      <c r="F1229" s="3007">
        <v>-6.6216149376000025E-3</v>
      </c>
      <c r="G1229" s="78"/>
      <c r="H1229" t="s">
        <v>531</v>
      </c>
      <c r="S1229" s="434"/>
    </row>
    <row r="1230" spans="1:19" ht="12.75" hidden="1" customHeight="1" outlineLevel="1" x14ac:dyDescent="0.25">
      <c r="A1230" s="2380">
        <v>0.02</v>
      </c>
      <c r="B1230" s="1921" t="s">
        <v>1187</v>
      </c>
      <c r="C1230" s="2108">
        <v>71.56</v>
      </c>
      <c r="D1230" s="2865">
        <v>84.25</v>
      </c>
      <c r="E1230" s="2892">
        <v>0.17733370598099496</v>
      </c>
      <c r="F1230" s="3007">
        <v>3.5466741196198991E-3</v>
      </c>
      <c r="G1230" s="78"/>
      <c r="H1230" t="s">
        <v>3483</v>
      </c>
      <c r="S1230" s="434"/>
    </row>
    <row r="1231" spans="1:19" ht="12.75" hidden="1" customHeight="1" outlineLevel="1" x14ac:dyDescent="0.25">
      <c r="A1231" s="2380">
        <v>0.08</v>
      </c>
      <c r="B1231" s="1921" t="s">
        <v>6116</v>
      </c>
      <c r="C1231" s="2108">
        <v>4.2176469251408681</v>
      </c>
      <c r="D1231" s="2865">
        <v>4.7279999999999998</v>
      </c>
      <c r="E1231" s="2892">
        <v>0.12100421963179997</v>
      </c>
      <c r="F1231" s="3007">
        <v>9.6803375705439981E-3</v>
      </c>
      <c r="G1231" s="78"/>
      <c r="H1231" t="s">
        <v>6114</v>
      </c>
      <c r="S1231" s="434"/>
    </row>
    <row r="1232" spans="1:19" ht="12.75" hidden="1" customHeight="1" outlineLevel="1" x14ac:dyDescent="0.25">
      <c r="A1232" s="2380">
        <v>0.02</v>
      </c>
      <c r="B1232" s="1921" t="s">
        <v>7374</v>
      </c>
      <c r="C1232" s="2108">
        <v>96.082999999999998</v>
      </c>
      <c r="D1232" s="2865">
        <v>106.2</v>
      </c>
      <c r="E1232" s="2892">
        <v>0.105294380899847</v>
      </c>
      <c r="F1232" s="3007">
        <v>2.1058876179969399E-3</v>
      </c>
      <c r="G1232" s="78"/>
      <c r="H1232" t="s">
        <v>7372</v>
      </c>
      <c r="S1232" s="434"/>
    </row>
    <row r="1233" spans="1:19" ht="12.75" hidden="1" customHeight="1" outlineLevel="1" x14ac:dyDescent="0.25">
      <c r="A1233" s="2380">
        <v>0.04</v>
      </c>
      <c r="B1233" s="1921" t="s">
        <v>3022</v>
      </c>
      <c r="C1233" s="2108">
        <v>4678.8999999999996</v>
      </c>
      <c r="D1233" s="2865">
        <v>3985</v>
      </c>
      <c r="E1233" s="2892">
        <v>-0.14830408856782573</v>
      </c>
      <c r="F1233" s="3007">
        <v>-5.9321635427130297E-3</v>
      </c>
      <c r="G1233" s="78"/>
      <c r="H1233" t="s">
        <v>2802</v>
      </c>
      <c r="S1233" s="434"/>
    </row>
    <row r="1234" spans="1:19" ht="12.75" hidden="1" customHeight="1" outlineLevel="1" x14ac:dyDescent="0.25">
      <c r="A1234" s="2380">
        <v>0.02</v>
      </c>
      <c r="B1234" s="1921" t="s">
        <v>1142</v>
      </c>
      <c r="C1234" s="2108">
        <v>43.801000000000002</v>
      </c>
      <c r="D1234" s="2865">
        <v>52.71</v>
      </c>
      <c r="E1234" s="2892">
        <v>0.20339718271272345</v>
      </c>
      <c r="F1234" s="3007">
        <v>4.0679436542544693E-3</v>
      </c>
      <c r="G1234" s="78"/>
      <c r="H1234" t="s">
        <v>1143</v>
      </c>
      <c r="S1234" s="434"/>
    </row>
    <row r="1235" spans="1:19" ht="12.75" hidden="1" customHeight="1" outlineLevel="1" x14ac:dyDescent="0.25">
      <c r="A1235" s="2380">
        <v>0.02</v>
      </c>
      <c r="B1235" s="1921" t="s">
        <v>1183</v>
      </c>
      <c r="C1235" s="2108">
        <v>43.317500000000003</v>
      </c>
      <c r="D1235" s="2865">
        <v>39.774999999999999</v>
      </c>
      <c r="E1235" s="2892">
        <v>-8.1779881110405794E-2</v>
      </c>
      <c r="F1235" s="3007">
        <v>-1.6355976222081159E-3</v>
      </c>
      <c r="G1235" s="78"/>
      <c r="H1235" t="s">
        <v>2805</v>
      </c>
      <c r="S1235" s="434"/>
    </row>
    <row r="1236" spans="1:19" ht="12.75" hidden="1" customHeight="1" outlineLevel="1" x14ac:dyDescent="0.25">
      <c r="A1236" s="2380">
        <v>0.02</v>
      </c>
      <c r="B1236" s="1921" t="s">
        <v>3641</v>
      </c>
      <c r="C1236" s="2108">
        <v>109.848</v>
      </c>
      <c r="D1236" s="2865">
        <v>169.99</v>
      </c>
      <c r="E1236" s="2892">
        <v>0.54750200276746064</v>
      </c>
      <c r="F1236" s="3007">
        <v>1.0950040055349212E-2</v>
      </c>
      <c r="G1236" s="78"/>
      <c r="H1236" t="s">
        <v>3642</v>
      </c>
      <c r="S1236" s="434"/>
    </row>
    <row r="1237" spans="1:19" ht="12.75" hidden="1" customHeight="1" outlineLevel="1" x14ac:dyDescent="0.25">
      <c r="A1237" s="2380">
        <v>0.08</v>
      </c>
      <c r="B1237" s="2109" t="s">
        <v>2874</v>
      </c>
      <c r="C1237" s="2108">
        <v>42.514000000000003</v>
      </c>
      <c r="D1237" s="2868">
        <v>66.510000000000005</v>
      </c>
      <c r="E1237" s="2897">
        <v>0.56442583619513575</v>
      </c>
      <c r="F1237" s="2870">
        <v>4.5154066895610863E-2</v>
      </c>
      <c r="G1237" s="78"/>
      <c r="H1237" t="s">
        <v>9060</v>
      </c>
      <c r="S1237" s="434"/>
    </row>
    <row r="1238" spans="1:19" ht="12.75" hidden="1" customHeight="1" outlineLevel="1" x14ac:dyDescent="0.25">
      <c r="A1238" s="2181" t="s">
        <v>2734</v>
      </c>
      <c r="B1238" s="2103"/>
      <c r="C1238" s="3200"/>
      <c r="D1238" s="3201"/>
      <c r="E1238" s="3025"/>
      <c r="F1238" s="3025">
        <v>0.22648440856321245</v>
      </c>
      <c r="G1238" s="78"/>
    </row>
    <row r="1239" spans="1:19" ht="12.75" hidden="1" customHeight="1" outlineLevel="1" x14ac:dyDescent="0.25">
      <c r="A1239" s="1956" t="s">
        <v>8164</v>
      </c>
      <c r="B1239" s="2185">
        <v>43922</v>
      </c>
      <c r="C1239" s="3203">
        <v>100</v>
      </c>
      <c r="D1239" s="3203">
        <v>106.6722</v>
      </c>
      <c r="E1239" s="3204">
        <v>6.6721999999999948E-2</v>
      </c>
      <c r="F1239" s="3151"/>
      <c r="G1239" s="78"/>
    </row>
    <row r="1240" spans="1:19" ht="12.75" hidden="1" customHeight="1" outlineLevel="1" x14ac:dyDescent="0.25">
      <c r="A1240" s="1956" t="s">
        <v>8153</v>
      </c>
      <c r="B1240" s="2185">
        <v>43952</v>
      </c>
      <c r="C1240" s="3203">
        <v>100</v>
      </c>
      <c r="D1240" s="3206">
        <v>108.44370000000001</v>
      </c>
      <c r="E1240" s="3204">
        <v>8.4437000000000095E-2</v>
      </c>
      <c r="F1240" s="3151"/>
      <c r="G1240" s="78"/>
    </row>
    <row r="1241" spans="1:19" ht="12.75" hidden="1" customHeight="1" outlineLevel="1" x14ac:dyDescent="0.25">
      <c r="A1241" s="1956" t="s">
        <v>8154</v>
      </c>
      <c r="B1241" s="2185">
        <v>43983</v>
      </c>
      <c r="C1241" s="3203">
        <v>100</v>
      </c>
      <c r="D1241" s="3206">
        <v>109.2268</v>
      </c>
      <c r="E1241" s="3204">
        <v>9.2268000000000017E-2</v>
      </c>
      <c r="F1241" s="3151"/>
      <c r="G1241" s="78"/>
    </row>
    <row r="1242" spans="1:19" ht="12.75" hidden="1" customHeight="1" outlineLevel="1" x14ac:dyDescent="0.25">
      <c r="A1242" s="1956" t="s">
        <v>8155</v>
      </c>
      <c r="B1242" s="2185">
        <v>44013</v>
      </c>
      <c r="C1242" s="3203">
        <v>100</v>
      </c>
      <c r="D1242" s="3206">
        <v>113.0371</v>
      </c>
      <c r="E1242" s="3204">
        <v>0.13037100000000001</v>
      </c>
      <c r="F1242" s="3151"/>
      <c r="G1242" s="78"/>
    </row>
    <row r="1243" spans="1:19" ht="12.75" hidden="1" customHeight="1" outlineLevel="1" x14ac:dyDescent="0.25">
      <c r="A1243" s="1956" t="s">
        <v>8156</v>
      </c>
      <c r="B1243" s="2185">
        <v>44044</v>
      </c>
      <c r="C1243" s="3203">
        <v>100</v>
      </c>
      <c r="D1243" s="3206">
        <v>113.5879</v>
      </c>
      <c r="E1243" s="3204">
        <v>0.13587900000000008</v>
      </c>
      <c r="F1243" s="3151"/>
      <c r="G1243" s="78"/>
    </row>
    <row r="1244" spans="1:19" ht="12.75" hidden="1" customHeight="1" outlineLevel="1" x14ac:dyDescent="0.25">
      <c r="A1244" s="1956" t="s">
        <v>8157</v>
      </c>
      <c r="B1244" s="2185">
        <v>44075</v>
      </c>
      <c r="C1244" s="3203">
        <v>100</v>
      </c>
      <c r="D1244" s="3206">
        <v>112.4293</v>
      </c>
      <c r="E1244" s="3204">
        <v>0.12429299999999999</v>
      </c>
      <c r="F1244" s="3151"/>
      <c r="G1244" s="78"/>
    </row>
    <row r="1245" spans="1:19" ht="12.75" hidden="1" customHeight="1" outlineLevel="1" x14ac:dyDescent="0.25">
      <c r="A1245" s="1956" t="s">
        <v>8158</v>
      </c>
      <c r="B1245" s="2185">
        <v>44105</v>
      </c>
      <c r="C1245" s="3203">
        <v>100</v>
      </c>
      <c r="D1245" s="3206">
        <v>108.6656</v>
      </c>
      <c r="E1245" s="3204">
        <v>8.6656000000000066E-2</v>
      </c>
      <c r="F1245" s="3151"/>
      <c r="G1245" s="78"/>
    </row>
    <row r="1246" spans="1:19" ht="12.75" hidden="1" customHeight="1" outlineLevel="1" x14ac:dyDescent="0.25">
      <c r="A1246" s="1956" t="s">
        <v>8159</v>
      </c>
      <c r="B1246" s="2185">
        <v>44136</v>
      </c>
      <c r="C1246" s="3203">
        <v>100</v>
      </c>
      <c r="D1246" s="3206">
        <v>119.1315</v>
      </c>
      <c r="E1246" s="3204">
        <v>0.19131500000000012</v>
      </c>
      <c r="F1246" s="3151"/>
      <c r="G1246" s="78"/>
    </row>
    <row r="1247" spans="1:19" ht="12.75" hidden="1" customHeight="1" outlineLevel="1" x14ac:dyDescent="0.25">
      <c r="A1247" s="1956" t="s">
        <v>8160</v>
      </c>
      <c r="B1247" s="2185">
        <v>44166</v>
      </c>
      <c r="C1247" s="3203">
        <v>100</v>
      </c>
      <c r="D1247" s="3206">
        <v>119.36790000000001</v>
      </c>
      <c r="E1247" s="3204">
        <v>0.19367900000000016</v>
      </c>
      <c r="F1247" s="3151"/>
      <c r="G1247" s="78"/>
    </row>
    <row r="1248" spans="1:19" ht="12.75" hidden="1" customHeight="1" outlineLevel="1" x14ac:dyDescent="0.25">
      <c r="A1248" s="1956" t="s">
        <v>8161</v>
      </c>
      <c r="B1248" s="2185">
        <v>44197</v>
      </c>
      <c r="C1248" s="3203">
        <v>100</v>
      </c>
      <c r="D1248" s="3206">
        <v>115.80880000000001</v>
      </c>
      <c r="E1248" s="3204">
        <v>0.15808800000000001</v>
      </c>
      <c r="F1248" s="3151"/>
      <c r="G1248" s="78"/>
    </row>
    <row r="1249" spans="1:15" ht="12.75" hidden="1" customHeight="1" outlineLevel="1" x14ac:dyDescent="0.25">
      <c r="A1249" s="1956" t="s">
        <v>8162</v>
      </c>
      <c r="B1249" s="2185">
        <v>44228</v>
      </c>
      <c r="C1249" s="3203">
        <v>100</v>
      </c>
      <c r="D1249" s="3206">
        <v>113.2505</v>
      </c>
      <c r="E1249" s="3204">
        <v>0.13250500000000009</v>
      </c>
      <c r="F1249" s="3151"/>
      <c r="G1249" s="78"/>
    </row>
    <row r="1250" spans="1:15" ht="12.75" hidden="1" customHeight="1" outlineLevel="1" x14ac:dyDescent="0.25">
      <c r="A1250" s="1956" t="s">
        <v>8163</v>
      </c>
      <c r="B1250" s="2185">
        <v>44256</v>
      </c>
      <c r="C1250" s="3203">
        <v>100</v>
      </c>
      <c r="D1250" s="3206">
        <v>122.76130000000001</v>
      </c>
      <c r="E1250" s="3204">
        <v>0.22761300000000007</v>
      </c>
      <c r="F1250" s="3151"/>
      <c r="G1250" s="78"/>
    </row>
    <row r="1251" spans="1:15" ht="12.75" hidden="1" customHeight="1" outlineLevel="1" x14ac:dyDescent="0.25">
      <c r="A1251" s="2189" t="s">
        <v>2734</v>
      </c>
      <c r="B1251" s="2190"/>
      <c r="C1251" s="3206"/>
      <c r="D1251" s="2191" t="s">
        <v>2465</v>
      </c>
      <c r="E1251" s="1987">
        <v>0.13531883333333339</v>
      </c>
      <c r="F1251" s="2528">
        <v>0.17879983333333344</v>
      </c>
      <c r="G1251" s="78"/>
    </row>
    <row r="1252" spans="1:15" collapsed="1" x14ac:dyDescent="0.25">
      <c r="A1252" s="3801" t="s">
        <v>8152</v>
      </c>
      <c r="B1252" s="3802"/>
      <c r="C1252" s="3802"/>
      <c r="D1252" s="3802"/>
      <c r="E1252" s="1906"/>
      <c r="F1252" s="1907">
        <v>0.17879983333333344</v>
      </c>
      <c r="G1252" s="78"/>
    </row>
    <row r="1254" spans="1:15" ht="12.75" hidden="1" customHeight="1" outlineLevel="1" x14ac:dyDescent="0.25">
      <c r="A1254" s="3180" t="s">
        <v>4156</v>
      </c>
      <c r="B1254" s="3180" t="s">
        <v>4153</v>
      </c>
      <c r="C1254" s="3558" t="s">
        <v>112</v>
      </c>
      <c r="D1254" s="3192" t="s">
        <v>4155</v>
      </c>
      <c r="E1254" s="3180" t="s">
        <v>4154</v>
      </c>
      <c r="F1254" s="3192" t="s">
        <v>2519</v>
      </c>
      <c r="G1254" s="78"/>
      <c r="I1254" s="412"/>
      <c r="J1254" s="1462"/>
      <c r="K1254" s="1462"/>
      <c r="L1254" s="1462"/>
      <c r="M1254" s="1462"/>
      <c r="N1254" s="1462"/>
      <c r="O1254" s="1462"/>
    </row>
    <row r="1255" spans="1:15" ht="12.75" hidden="1" customHeight="1" outlineLevel="1" x14ac:dyDescent="0.25">
      <c r="A1255" s="1991">
        <v>0.02</v>
      </c>
      <c r="B1255" s="1921" t="s">
        <v>359</v>
      </c>
      <c r="C1255" s="2108">
        <v>133.19</v>
      </c>
      <c r="D1255" s="3194">
        <v>168.58</v>
      </c>
      <c r="E1255" s="3269">
        <v>0.26571063893685731</v>
      </c>
      <c r="F1255" s="3004">
        <v>5.3142127787371464E-3</v>
      </c>
      <c r="H1255" t="s">
        <v>360</v>
      </c>
      <c r="I1255" s="412"/>
      <c r="K1255" s="434"/>
    </row>
    <row r="1256" spans="1:15" ht="12.75" hidden="1" customHeight="1" outlineLevel="1" x14ac:dyDescent="0.25">
      <c r="A1256" s="2380">
        <v>0.02</v>
      </c>
      <c r="B1256" s="1921" t="s">
        <v>10705</v>
      </c>
      <c r="C1256" s="2108">
        <v>40.341000000000001</v>
      </c>
      <c r="D1256" s="3196">
        <v>25.7546</v>
      </c>
      <c r="E1256" s="3270">
        <v>-0.36157755137453218</v>
      </c>
      <c r="F1256" s="3007">
        <v>-7.2315510274906436E-3</v>
      </c>
      <c r="H1256" t="s">
        <v>10706</v>
      </c>
      <c r="I1256" s="412"/>
      <c r="K1256" s="434"/>
    </row>
    <row r="1257" spans="1:15" ht="12.75" hidden="1" customHeight="1" outlineLevel="1" x14ac:dyDescent="0.25">
      <c r="A1257" s="2380">
        <v>0.02</v>
      </c>
      <c r="B1257" s="1921" t="s">
        <v>7753</v>
      </c>
      <c r="C1257" s="2108">
        <v>116.64</v>
      </c>
      <c r="D1257" s="3196">
        <v>141.4</v>
      </c>
      <c r="E1257" s="3270">
        <v>0.21227709190672162</v>
      </c>
      <c r="F1257" s="3007">
        <v>4.2455418381344328E-3</v>
      </c>
      <c r="H1257" t="s">
        <v>8901</v>
      </c>
      <c r="I1257" s="412"/>
      <c r="K1257" s="434"/>
    </row>
    <row r="1258" spans="1:15" ht="12.75" hidden="1" customHeight="1" outlineLevel="1" x14ac:dyDescent="0.25">
      <c r="A1258" s="2380">
        <v>0.02</v>
      </c>
      <c r="B1258" s="1921" t="s">
        <v>3954</v>
      </c>
      <c r="C1258" s="2108">
        <v>50.99</v>
      </c>
      <c r="D1258" s="3196">
        <v>62.11</v>
      </c>
      <c r="E1258" s="3270">
        <v>0.2180819768582074</v>
      </c>
      <c r="F1258" s="3007">
        <v>4.3616395371641479E-3</v>
      </c>
      <c r="H1258" t="s">
        <v>3955</v>
      </c>
      <c r="I1258" s="412"/>
      <c r="K1258" s="434"/>
    </row>
    <row r="1259" spans="1:15" ht="12.75" hidden="1" customHeight="1" outlineLevel="1" x14ac:dyDescent="0.25">
      <c r="A1259" s="2380">
        <v>0.05</v>
      </c>
      <c r="B1259" s="1921" t="s">
        <v>4055</v>
      </c>
      <c r="C1259" s="2108">
        <v>79.64</v>
      </c>
      <c r="D1259" s="3196">
        <v>67.7</v>
      </c>
      <c r="E1259" s="3270">
        <v>-0.14992466097438473</v>
      </c>
      <c r="F1259" s="3007">
        <v>-7.4962330487192367E-3</v>
      </c>
      <c r="H1259" t="s">
        <v>4056</v>
      </c>
      <c r="I1259" s="412"/>
      <c r="K1259" s="434"/>
    </row>
    <row r="1260" spans="1:15" ht="12.75" hidden="1" customHeight="1" outlineLevel="1" x14ac:dyDescent="0.25">
      <c r="A1260" s="2380">
        <v>0.02</v>
      </c>
      <c r="B1260" s="1921" t="s">
        <v>7114</v>
      </c>
      <c r="C1260" s="2108">
        <v>108.048</v>
      </c>
      <c r="D1260" s="3196">
        <v>195.61</v>
      </c>
      <c r="E1260" s="3270">
        <v>0.81039908188953058</v>
      </c>
      <c r="F1260" s="3007">
        <v>1.6207981637790612E-2</v>
      </c>
      <c r="H1260" t="s">
        <v>7115</v>
      </c>
      <c r="I1260" s="412"/>
      <c r="K1260" s="434"/>
    </row>
    <row r="1261" spans="1:15" ht="12.75" hidden="1" customHeight="1" outlineLevel="1" x14ac:dyDescent="0.25">
      <c r="A1261" s="2380">
        <v>0.02</v>
      </c>
      <c r="B1261" s="1921" t="s">
        <v>6267</v>
      </c>
      <c r="C1261" s="2108">
        <v>26.434999999999999</v>
      </c>
      <c r="D1261" s="3196">
        <v>18.190000000000001</v>
      </c>
      <c r="E1261" s="3270">
        <v>-0.31189710610932464</v>
      </c>
      <c r="F1261" s="3007">
        <v>-6.2379421221864934E-3</v>
      </c>
      <c r="H1261" t="s">
        <v>6268</v>
      </c>
      <c r="I1261" s="412"/>
      <c r="K1261" s="434"/>
    </row>
    <row r="1262" spans="1:15" ht="12.75" hidden="1" customHeight="1" outlineLevel="1" x14ac:dyDescent="0.25">
      <c r="A1262" s="2380">
        <v>0.02</v>
      </c>
      <c r="B1262" s="1921" t="s">
        <v>4268</v>
      </c>
      <c r="C1262" s="2108">
        <v>13.602</v>
      </c>
      <c r="D1262" s="3196">
        <v>10.244999999999999</v>
      </c>
      <c r="E1262" s="3270">
        <v>-0.24680194089104546</v>
      </c>
      <c r="F1262" s="3007">
        <v>-4.9360388178209093E-3</v>
      </c>
      <c r="H1262" t="s">
        <v>8442</v>
      </c>
      <c r="I1262" s="412"/>
      <c r="K1262" s="434"/>
    </row>
    <row r="1263" spans="1:15" ht="12.75" hidden="1" customHeight="1" outlineLevel="1" x14ac:dyDescent="0.25">
      <c r="A1263" s="2380">
        <v>0.02</v>
      </c>
      <c r="B1263" s="1921" t="s">
        <v>3799</v>
      </c>
      <c r="C1263" s="2108">
        <v>16.561777548091687</v>
      </c>
      <c r="D1263" s="3196">
        <v>13.794</v>
      </c>
      <c r="E1263" s="3270">
        <v>-0.1671183869035</v>
      </c>
      <c r="F1263" s="3007">
        <v>-3.3423677380700002E-3</v>
      </c>
      <c r="H1263" t="s">
        <v>4128</v>
      </c>
      <c r="I1263" s="412"/>
      <c r="K1263" s="434"/>
    </row>
    <row r="1264" spans="1:15" ht="12.75" hidden="1" customHeight="1" outlineLevel="1" x14ac:dyDescent="0.25">
      <c r="A1264" s="2380">
        <v>0.03</v>
      </c>
      <c r="B1264" s="1921" t="s">
        <v>10371</v>
      </c>
      <c r="C1264" s="2108">
        <v>34.53177552344448</v>
      </c>
      <c r="D1264" s="3196">
        <v>26.25</v>
      </c>
      <c r="E1264" s="3270">
        <v>-0.23983057337500002</v>
      </c>
      <c r="F1264" s="3007">
        <v>-7.1949172012500005E-3</v>
      </c>
      <c r="H1264" t="s">
        <v>10370</v>
      </c>
      <c r="I1264" s="412"/>
      <c r="K1264" s="434"/>
    </row>
    <row r="1265" spans="1:11" ht="12.75" hidden="1" customHeight="1" outlineLevel="1" x14ac:dyDescent="0.25">
      <c r="A1265" s="2380">
        <v>0.02</v>
      </c>
      <c r="B1265" s="1921" t="s">
        <v>6902</v>
      </c>
      <c r="C1265" s="2108">
        <v>2.1202999999999999</v>
      </c>
      <c r="D1265" s="3196">
        <v>2.5249999999999999</v>
      </c>
      <c r="E1265" s="3270">
        <v>0.19086921662028966</v>
      </c>
      <c r="F1265" s="3007">
        <v>3.8173843324057935E-3</v>
      </c>
      <c r="H1265" t="s">
        <v>6899</v>
      </c>
      <c r="I1265" s="412"/>
      <c r="K1265" s="434"/>
    </row>
    <row r="1266" spans="1:11" ht="12.75" hidden="1" customHeight="1" outlineLevel="1" x14ac:dyDescent="0.25">
      <c r="A1266" s="2380">
        <v>0.02</v>
      </c>
      <c r="B1266" s="1921" t="s">
        <v>1772</v>
      </c>
      <c r="C1266" s="2108">
        <v>163.85499999999999</v>
      </c>
      <c r="D1266" s="3196">
        <v>238.2</v>
      </c>
      <c r="E1266" s="3270">
        <v>0.45372432943761254</v>
      </c>
      <c r="F1266" s="3007">
        <v>9.0744865887522515E-3</v>
      </c>
      <c r="H1266" t="s">
        <v>4330</v>
      </c>
      <c r="I1266" s="412"/>
      <c r="K1266" s="434"/>
    </row>
    <row r="1267" spans="1:11" ht="12.75" hidden="1" customHeight="1" outlineLevel="1" x14ac:dyDescent="0.25">
      <c r="A1267" s="2380">
        <v>0.02</v>
      </c>
      <c r="B1267" s="1921" t="s">
        <v>7754</v>
      </c>
      <c r="C1267" s="2519">
        <v>47.374000000000002</v>
      </c>
      <c r="D1267" s="3196">
        <v>86.89</v>
      </c>
      <c r="E1267" s="3270">
        <v>0.83412842487440364</v>
      </c>
      <c r="F1267" s="3007">
        <v>1.6682568497488073E-2</v>
      </c>
      <c r="H1267" t="s">
        <v>7751</v>
      </c>
      <c r="I1267" s="412"/>
      <c r="K1267" s="434"/>
    </row>
    <row r="1268" spans="1:11" ht="12.75" hidden="1" customHeight="1" outlineLevel="1" x14ac:dyDescent="0.25">
      <c r="A1268" s="2380">
        <v>0.02</v>
      </c>
      <c r="B1268" s="1921" t="s">
        <v>1203</v>
      </c>
      <c r="C1268" s="2108">
        <v>84.5</v>
      </c>
      <c r="D1268" s="3196">
        <v>99.15</v>
      </c>
      <c r="E1268" s="3270">
        <v>0.17337278106508891</v>
      </c>
      <c r="F1268" s="3007">
        <v>3.4674556213017782E-3</v>
      </c>
      <c r="H1268" t="s">
        <v>79</v>
      </c>
      <c r="I1268" s="412"/>
      <c r="K1268" s="434"/>
    </row>
    <row r="1269" spans="1:11" ht="12.75" hidden="1" customHeight="1" outlineLevel="1" x14ac:dyDescent="0.25">
      <c r="A1269" s="2380">
        <v>0.05</v>
      </c>
      <c r="B1269" s="1921" t="s">
        <v>3793</v>
      </c>
      <c r="C1269" s="2108">
        <v>99.575999999999993</v>
      </c>
      <c r="D1269" s="3196">
        <v>95.49</v>
      </c>
      <c r="E1269" s="3270">
        <v>-4.1033984092552434E-2</v>
      </c>
      <c r="F1269" s="3007">
        <v>-2.0516992046276218E-3</v>
      </c>
      <c r="H1269" t="s">
        <v>3533</v>
      </c>
      <c r="I1269" s="412"/>
      <c r="K1269" s="434"/>
    </row>
    <row r="1270" spans="1:11" ht="12.75" hidden="1" customHeight="1" outlineLevel="1" x14ac:dyDescent="0.25">
      <c r="A1270" s="2380">
        <v>0.02</v>
      </c>
      <c r="B1270" s="1921" t="s">
        <v>2769</v>
      </c>
      <c r="C1270" s="2108">
        <v>34.502000000000002</v>
      </c>
      <c r="D1270" s="3196">
        <v>29.08</v>
      </c>
      <c r="E1270" s="3270">
        <v>-0.15715031012694924</v>
      </c>
      <c r="F1270" s="3007">
        <v>-3.143006202538985E-3</v>
      </c>
      <c r="H1270" t="s">
        <v>2770</v>
      </c>
      <c r="I1270" s="412"/>
      <c r="K1270" s="434"/>
    </row>
    <row r="1271" spans="1:11" ht="12.75" hidden="1" customHeight="1" outlineLevel="1" x14ac:dyDescent="0.25">
      <c r="A1271" s="2380">
        <v>0.08</v>
      </c>
      <c r="B1271" s="1921" t="s">
        <v>2297</v>
      </c>
      <c r="C1271" s="2108">
        <v>55.176000000000002</v>
      </c>
      <c r="D1271" s="3196">
        <v>56.55</v>
      </c>
      <c r="E1271" s="3270">
        <v>2.4902131361461466E-2</v>
      </c>
      <c r="F1271" s="3007">
        <v>1.9921705089169174E-3</v>
      </c>
      <c r="H1271" t="s">
        <v>2298</v>
      </c>
      <c r="I1271" s="412"/>
      <c r="K1271" s="434"/>
    </row>
    <row r="1272" spans="1:11" ht="12.75" hidden="1" customHeight="1" outlineLevel="1" x14ac:dyDescent="0.25">
      <c r="A1272" s="2380">
        <v>0.02</v>
      </c>
      <c r="B1272" s="1921" t="s">
        <v>10667</v>
      </c>
      <c r="C1272" s="2108">
        <v>18.4665</v>
      </c>
      <c r="D1272" s="3196">
        <v>22.9</v>
      </c>
      <c r="E1272" s="3270">
        <v>0.24008339425446068</v>
      </c>
      <c r="F1272" s="3007">
        <v>4.8016678850892136E-3</v>
      </c>
      <c r="H1272" t="s">
        <v>10668</v>
      </c>
      <c r="I1272" s="412"/>
      <c r="K1272" s="434"/>
    </row>
    <row r="1273" spans="1:11" ht="12.75" hidden="1" customHeight="1" outlineLevel="1" x14ac:dyDescent="0.25">
      <c r="A1273" s="2380">
        <v>0.02</v>
      </c>
      <c r="B1273" s="1921" t="s">
        <v>6270</v>
      </c>
      <c r="C1273" s="2108">
        <v>37.686893000415431</v>
      </c>
      <c r="D1273" s="3196">
        <v>45.1</v>
      </c>
      <c r="E1273" s="3270">
        <v>0.19670252465500027</v>
      </c>
      <c r="F1273" s="3007">
        <v>3.934050493100005E-3</v>
      </c>
      <c r="H1273" t="s">
        <v>8166</v>
      </c>
      <c r="I1273" s="412"/>
      <c r="K1273" s="434"/>
    </row>
    <row r="1274" spans="1:11" ht="12.75" hidden="1" customHeight="1" outlineLevel="1" x14ac:dyDescent="0.25">
      <c r="A1274" s="2380">
        <v>0.02</v>
      </c>
      <c r="B1274" s="1921" t="s">
        <v>6524</v>
      </c>
      <c r="C1274" s="2108">
        <v>84.582022310225398</v>
      </c>
      <c r="D1274" s="3196">
        <v>106.65</v>
      </c>
      <c r="E1274" s="3270">
        <v>0.26090624327750001</v>
      </c>
      <c r="F1274" s="3007">
        <v>5.2181248655499999E-3</v>
      </c>
      <c r="H1274" t="s">
        <v>6525</v>
      </c>
      <c r="I1274" s="412"/>
      <c r="K1274" s="434"/>
    </row>
    <row r="1275" spans="1:11" ht="12.75" hidden="1" customHeight="1" outlineLevel="1" x14ac:dyDescent="0.25">
      <c r="A1275" s="2380">
        <v>0.05</v>
      </c>
      <c r="B1275" s="1921" t="s">
        <v>6116</v>
      </c>
      <c r="C1275" s="2108">
        <v>4.082485140278485</v>
      </c>
      <c r="D1275" s="3196">
        <v>4.7359999999999998</v>
      </c>
      <c r="E1275" s="3270">
        <v>0.16007770690303991</v>
      </c>
      <c r="F1275" s="3007">
        <v>8.003885345151996E-3</v>
      </c>
      <c r="H1275" t="s">
        <v>6114</v>
      </c>
      <c r="I1275" s="412"/>
      <c r="K1275" s="434"/>
    </row>
    <row r="1276" spans="1:11" ht="12.75" hidden="1" customHeight="1" outlineLevel="1" x14ac:dyDescent="0.25">
      <c r="A1276" s="2380">
        <v>0.08</v>
      </c>
      <c r="B1276" s="1921" t="s">
        <v>3427</v>
      </c>
      <c r="C1276" s="2108">
        <v>51.813000000000002</v>
      </c>
      <c r="D1276" s="3196">
        <v>77.069999999999993</v>
      </c>
      <c r="E1276" s="3270">
        <v>0.48746453592727668</v>
      </c>
      <c r="F1276" s="3007">
        <v>3.8997162874182138E-2</v>
      </c>
      <c r="H1276" t="s">
        <v>2800</v>
      </c>
      <c r="I1276" s="412"/>
      <c r="K1276" s="434"/>
    </row>
    <row r="1277" spans="1:11" ht="12.75" hidden="1" customHeight="1" outlineLevel="1" x14ac:dyDescent="0.25">
      <c r="A1277" s="2380">
        <v>0.08</v>
      </c>
      <c r="B1277" s="1921" t="s">
        <v>1857</v>
      </c>
      <c r="C1277" s="2108">
        <v>15.381</v>
      </c>
      <c r="D1277" s="3196">
        <v>16.524999999999999</v>
      </c>
      <c r="E1277" s="3270">
        <v>7.4377478707496225E-2</v>
      </c>
      <c r="F1277" s="3007">
        <v>5.9501982965996982E-3</v>
      </c>
      <c r="H1277" t="s">
        <v>3559</v>
      </c>
      <c r="I1277" s="412"/>
      <c r="K1277" s="434"/>
    </row>
    <row r="1278" spans="1:11" ht="12.75" hidden="1" customHeight="1" outlineLevel="1" x14ac:dyDescent="0.25">
      <c r="A1278" s="2380">
        <v>0.02</v>
      </c>
      <c r="B1278" s="1921" t="s">
        <v>10538</v>
      </c>
      <c r="C1278" s="2108">
        <v>12.278731457436384</v>
      </c>
      <c r="D1278" s="3196">
        <v>10.9</v>
      </c>
      <c r="E1278" s="3270">
        <v>-0.11228614798000014</v>
      </c>
      <c r="F1278" s="3007">
        <v>-2.2457229596000027E-3</v>
      </c>
      <c r="H1278" t="s">
        <v>7628</v>
      </c>
      <c r="I1278" s="412"/>
      <c r="K1278" s="434"/>
    </row>
    <row r="1279" spans="1:11" ht="12.75" hidden="1" customHeight="1" outlineLevel="1" x14ac:dyDescent="0.25">
      <c r="A1279" s="2380">
        <v>0.08</v>
      </c>
      <c r="B1279" s="1921" t="s">
        <v>6118</v>
      </c>
      <c r="C1279" s="2108">
        <v>85.35</v>
      </c>
      <c r="D1279" s="3196">
        <v>76.180000000000007</v>
      </c>
      <c r="E1279" s="3270">
        <v>-0.10743995313415333</v>
      </c>
      <c r="F1279" s="3007">
        <v>-8.5951962507322659E-3</v>
      </c>
      <c r="H1279" t="s">
        <v>8893</v>
      </c>
      <c r="I1279" s="412"/>
      <c r="K1279" s="434"/>
    </row>
    <row r="1280" spans="1:11" ht="12.75" hidden="1" customHeight="1" outlineLevel="1" x14ac:dyDescent="0.25">
      <c r="A1280" s="2380">
        <v>0.08</v>
      </c>
      <c r="B1280" s="1921" t="s">
        <v>1239</v>
      </c>
      <c r="C1280" s="2108">
        <v>469.91</v>
      </c>
      <c r="D1280" s="3196">
        <v>506.2</v>
      </c>
      <c r="E1280" s="3270">
        <v>7.7227554212508709E-2</v>
      </c>
      <c r="F1280" s="3007">
        <v>6.178204337000697E-3</v>
      </c>
      <c r="H1280" t="s">
        <v>8891</v>
      </c>
      <c r="I1280" s="412"/>
      <c r="K1280" s="434"/>
    </row>
    <row r="1281" spans="1:11" ht="12.75" hidden="1" customHeight="1" outlineLevel="1" x14ac:dyDescent="0.25">
      <c r="A1281" s="2380">
        <v>0.02</v>
      </c>
      <c r="B1281" s="1921" t="s">
        <v>3665</v>
      </c>
      <c r="C1281" s="2108">
        <v>21.083500000000001</v>
      </c>
      <c r="D1281" s="3196">
        <v>29.58</v>
      </c>
      <c r="E1281" s="3270">
        <v>0.40299286171650794</v>
      </c>
      <c r="F1281" s="3007">
        <v>8.0598572343301596E-3</v>
      </c>
      <c r="H1281" t="s">
        <v>7021</v>
      </c>
      <c r="I1281" s="412"/>
      <c r="K1281" s="434"/>
    </row>
    <row r="1282" spans="1:11" ht="12.75" hidden="1" customHeight="1" outlineLevel="1" x14ac:dyDescent="0.25">
      <c r="A1282" s="2380">
        <v>0.02</v>
      </c>
      <c r="B1282" s="1921" t="s">
        <v>6337</v>
      </c>
      <c r="C1282" s="2108">
        <v>57.662999999999997</v>
      </c>
      <c r="D1282" s="3196">
        <v>84.49</v>
      </c>
      <c r="E1282" s="3270">
        <v>0.46523767407176186</v>
      </c>
      <c r="F1282" s="3007">
        <v>9.3047534814352378E-3</v>
      </c>
      <c r="H1282" t="s">
        <v>7752</v>
      </c>
      <c r="I1282" s="412"/>
      <c r="K1282" s="434"/>
    </row>
    <row r="1283" spans="1:11" ht="12.75" hidden="1" customHeight="1" outlineLevel="1" x14ac:dyDescent="0.25">
      <c r="A1283" s="2380">
        <v>0.02</v>
      </c>
      <c r="B1283" s="1921" t="s">
        <v>10633</v>
      </c>
      <c r="C1283" s="2108">
        <v>42.509</v>
      </c>
      <c r="D1283" s="3196">
        <v>50.69</v>
      </c>
      <c r="E1283" s="3270">
        <v>0.19245336281728576</v>
      </c>
      <c r="F1283" s="3007">
        <v>3.8490672563457153E-3</v>
      </c>
      <c r="H1283" t="s">
        <v>10634</v>
      </c>
      <c r="I1283" s="412"/>
      <c r="K1283" s="434"/>
    </row>
    <row r="1284" spans="1:11" ht="12.75" hidden="1" customHeight="1" outlineLevel="1" x14ac:dyDescent="0.25">
      <c r="A1284" s="2380">
        <v>0.02</v>
      </c>
      <c r="B1284" s="2109" t="s">
        <v>255</v>
      </c>
      <c r="C1284" s="2108">
        <v>52.097000000000001</v>
      </c>
      <c r="D1284" s="3199">
        <v>41.81</v>
      </c>
      <c r="E1284" s="3270">
        <v>-0.19745858686680617</v>
      </c>
      <c r="F1284" s="3007">
        <v>-3.9491717373361232E-3</v>
      </c>
      <c r="H1284" t="s">
        <v>3351</v>
      </c>
      <c r="I1284" s="412"/>
      <c r="K1284" s="434"/>
    </row>
    <row r="1285" spans="1:11" ht="12.75" hidden="1" customHeight="1" outlineLevel="1" x14ac:dyDescent="0.25">
      <c r="A1285" s="2181"/>
      <c r="B1285" s="2103"/>
      <c r="C1285" s="3200">
        <v>100</v>
      </c>
      <c r="D1285" s="3201"/>
      <c r="E1285" s="3202"/>
      <c r="F1285" s="3202">
        <v>0.10059999999999999</v>
      </c>
      <c r="G1285" s="78"/>
      <c r="H1285" s="367"/>
    </row>
    <row r="1286" spans="1:11" ht="12.75" hidden="1" customHeight="1" outlineLevel="1" x14ac:dyDescent="0.25">
      <c r="A1286" s="1956" t="s">
        <v>8236</v>
      </c>
      <c r="B1286" s="2185">
        <v>44440</v>
      </c>
      <c r="C1286" s="3203">
        <v>100</v>
      </c>
      <c r="D1286" s="3203">
        <v>113.7818</v>
      </c>
      <c r="E1286" s="3204">
        <v>0.137818</v>
      </c>
      <c r="F1286" s="3151"/>
      <c r="G1286" s="78"/>
    </row>
    <row r="1287" spans="1:11" ht="12.75" hidden="1" customHeight="1" outlineLevel="1" x14ac:dyDescent="0.25">
      <c r="A1287" s="1956" t="s">
        <v>8237</v>
      </c>
      <c r="B1287" s="2185">
        <v>44470</v>
      </c>
      <c r="C1287" s="3203">
        <v>100</v>
      </c>
      <c r="D1287" s="3206">
        <v>116.2872</v>
      </c>
      <c r="E1287" s="3204">
        <v>0.16287199999999991</v>
      </c>
      <c r="F1287" s="3151"/>
      <c r="G1287" s="78"/>
    </row>
    <row r="1288" spans="1:11" ht="12.75" hidden="1" customHeight="1" outlineLevel="1" x14ac:dyDescent="0.25">
      <c r="A1288" s="1956" t="s">
        <v>8238</v>
      </c>
      <c r="B1288" s="2185">
        <v>44501</v>
      </c>
      <c r="C1288" s="3203">
        <v>100</v>
      </c>
      <c r="D1288" s="3206">
        <v>113.4686</v>
      </c>
      <c r="E1288" s="3204">
        <v>0.13468599999999986</v>
      </c>
      <c r="F1288" s="3151"/>
      <c r="G1288" s="78"/>
    </row>
    <row r="1289" spans="1:11" ht="12.75" hidden="1" customHeight="1" outlineLevel="1" x14ac:dyDescent="0.25">
      <c r="A1289" s="1956" t="s">
        <v>8239</v>
      </c>
      <c r="B1289" s="2185">
        <v>44531</v>
      </c>
      <c r="C1289" s="3203">
        <v>100</v>
      </c>
      <c r="D1289" s="3206">
        <v>119.43899999999999</v>
      </c>
      <c r="E1289" s="3204">
        <v>0.19438999999999984</v>
      </c>
      <c r="F1289" s="3151"/>
      <c r="G1289" s="78"/>
    </row>
    <row r="1290" spans="1:11" ht="12.75" hidden="1" customHeight="1" outlineLevel="1" x14ac:dyDescent="0.25">
      <c r="A1290" s="1956" t="s">
        <v>8240</v>
      </c>
      <c r="B1290" s="2185">
        <v>44562</v>
      </c>
      <c r="C1290" s="3203">
        <v>100</v>
      </c>
      <c r="D1290" s="3206">
        <v>122.1465</v>
      </c>
      <c r="E1290" s="3204">
        <v>0.22146500000000002</v>
      </c>
      <c r="F1290" s="3151"/>
      <c r="G1290" s="78"/>
    </row>
    <row r="1291" spans="1:11" ht="12.75" hidden="1" customHeight="1" outlineLevel="1" x14ac:dyDescent="0.25">
      <c r="A1291" s="1956" t="s">
        <v>8241</v>
      </c>
      <c r="B1291" s="2185">
        <v>44593</v>
      </c>
      <c r="C1291" s="3203">
        <v>100</v>
      </c>
      <c r="D1291" s="3206">
        <v>118.68040000000001</v>
      </c>
      <c r="E1291" s="3204">
        <v>0.18680399999999997</v>
      </c>
      <c r="F1291" s="3151"/>
      <c r="G1291" s="78"/>
    </row>
    <row r="1292" spans="1:11" ht="12.75" hidden="1" customHeight="1" outlineLevel="1" x14ac:dyDescent="0.25">
      <c r="A1292" s="1956" t="s">
        <v>8242</v>
      </c>
      <c r="B1292" s="2185">
        <v>44621</v>
      </c>
      <c r="C1292" s="3203">
        <v>100</v>
      </c>
      <c r="D1292" s="3206">
        <v>120.7432</v>
      </c>
      <c r="E1292" s="3204">
        <v>0.20743200000000006</v>
      </c>
      <c r="F1292" s="3151"/>
      <c r="G1292" s="78"/>
    </row>
    <row r="1293" spans="1:11" ht="12.75" hidden="1" customHeight="1" outlineLevel="1" x14ac:dyDescent="0.25">
      <c r="A1293" s="1956" t="s">
        <v>8243</v>
      </c>
      <c r="B1293" s="2185">
        <v>44652</v>
      </c>
      <c r="C1293" s="3203">
        <v>100</v>
      </c>
      <c r="D1293" s="3206">
        <v>120.2972</v>
      </c>
      <c r="E1293" s="3204">
        <v>0.20297199999999993</v>
      </c>
      <c r="F1293" s="3151"/>
      <c r="G1293" s="78"/>
    </row>
    <row r="1294" spans="1:11" ht="12.75" hidden="1" customHeight="1" outlineLevel="1" x14ac:dyDescent="0.25">
      <c r="A1294" s="1956" t="s">
        <v>8244</v>
      </c>
      <c r="B1294" s="2185">
        <v>44682</v>
      </c>
      <c r="C1294" s="3203">
        <v>100</v>
      </c>
      <c r="D1294" s="3206">
        <v>120.06489999999999</v>
      </c>
      <c r="E1294" s="3204">
        <v>0.20064899999999986</v>
      </c>
      <c r="F1294" s="3151"/>
      <c r="G1294" s="78"/>
    </row>
    <row r="1295" spans="1:11" ht="12.75" hidden="1" customHeight="1" outlineLevel="1" x14ac:dyDescent="0.25">
      <c r="A1295" s="1956" t="s">
        <v>8245</v>
      </c>
      <c r="B1295" s="2185">
        <v>44713</v>
      </c>
      <c r="C1295" s="3203">
        <v>100</v>
      </c>
      <c r="D1295" s="3206">
        <v>111.3265</v>
      </c>
      <c r="E1295" s="3204">
        <v>0.11326499999999995</v>
      </c>
      <c r="F1295" s="3151"/>
      <c r="G1295" s="78"/>
    </row>
    <row r="1296" spans="1:11" ht="12.75" hidden="1" customHeight="1" outlineLevel="1" x14ac:dyDescent="0.25">
      <c r="A1296" s="1956" t="s">
        <v>8246</v>
      </c>
      <c r="B1296" s="2185">
        <v>44743</v>
      </c>
      <c r="C1296" s="3203">
        <v>100</v>
      </c>
      <c r="D1296" s="3206">
        <v>112.04900000000001</v>
      </c>
      <c r="E1296" s="3204">
        <v>0.12048999999999999</v>
      </c>
      <c r="F1296" s="3151"/>
      <c r="G1296" s="78"/>
    </row>
    <row r="1297" spans="1:15" ht="12.75" hidden="1" customHeight="1" outlineLevel="1" x14ac:dyDescent="0.25">
      <c r="A1297" s="1956" t="s">
        <v>8247</v>
      </c>
      <c r="B1297" s="2185">
        <v>44774</v>
      </c>
      <c r="C1297" s="3203">
        <v>100</v>
      </c>
      <c r="D1297" s="3206">
        <v>110.0551</v>
      </c>
      <c r="E1297" s="3204">
        <v>0.10055100000000006</v>
      </c>
      <c r="F1297" s="3151"/>
      <c r="G1297" s="78"/>
    </row>
    <row r="1298" spans="1:15" ht="12.75" hidden="1" customHeight="1" outlineLevel="1" x14ac:dyDescent="0.25">
      <c r="A1298" s="2189" t="s">
        <v>2734</v>
      </c>
      <c r="B1298" s="2190"/>
      <c r="C1298" s="3264"/>
      <c r="D1298" s="2191" t="s">
        <v>2465</v>
      </c>
      <c r="E1298" s="1987">
        <v>0.1652828333333333</v>
      </c>
      <c r="F1298" s="2528"/>
      <c r="G1298" s="78"/>
    </row>
    <row r="1299" spans="1:15" collapsed="1" x14ac:dyDescent="0.25">
      <c r="A1299" s="3801" t="s">
        <v>8235</v>
      </c>
      <c r="B1299" s="3802"/>
      <c r="C1299" s="3802"/>
      <c r="D1299" s="3802"/>
      <c r="E1299" s="1906"/>
      <c r="F1299" s="1907">
        <v>0.1652828333333333</v>
      </c>
      <c r="G1299" s="78"/>
    </row>
    <row r="1301" spans="1:15" ht="12.75" hidden="1" customHeight="1" outlineLevel="1" x14ac:dyDescent="0.25">
      <c r="A1301" s="3180" t="s">
        <v>4156</v>
      </c>
      <c r="B1301" s="3180" t="s">
        <v>4153</v>
      </c>
      <c r="C1301" s="3559" t="s">
        <v>112</v>
      </c>
      <c r="D1301" s="3192" t="s">
        <v>4155</v>
      </c>
      <c r="E1301" s="3180" t="s">
        <v>4154</v>
      </c>
      <c r="F1301" s="3192" t="s">
        <v>2519</v>
      </c>
      <c r="G1301" s="3243"/>
      <c r="H1301" s="1813"/>
      <c r="I1301" s="412"/>
      <c r="J1301" s="1462"/>
      <c r="K1301" s="1462"/>
      <c r="L1301" s="1462"/>
      <c r="M1301" s="1462"/>
      <c r="N1301" s="1462"/>
      <c r="O1301" s="1462"/>
    </row>
    <row r="1302" spans="1:15" ht="12.75" hidden="1" customHeight="1" outlineLevel="1" x14ac:dyDescent="0.25">
      <c r="A1302" s="1991">
        <v>0.02</v>
      </c>
      <c r="B1302" s="1921" t="s">
        <v>359</v>
      </c>
      <c r="C1302" s="2108">
        <v>137.87</v>
      </c>
      <c r="D1302" s="3194">
        <v>161.80000000000001</v>
      </c>
      <c r="E1302" s="3269">
        <v>0.17356930441720464</v>
      </c>
      <c r="F1302" s="3004">
        <v>3.4713860883440928E-3</v>
      </c>
      <c r="G1302" s="2432"/>
      <c r="H1302" s="2432" t="s">
        <v>360</v>
      </c>
      <c r="I1302" s="412"/>
      <c r="K1302" s="434"/>
    </row>
    <row r="1303" spans="1:15" ht="12.75" hidden="1" customHeight="1" outlineLevel="1" x14ac:dyDescent="0.25">
      <c r="A1303" s="2380">
        <v>0.02</v>
      </c>
      <c r="B1303" s="1921" t="s">
        <v>10705</v>
      </c>
      <c r="C1303" s="2108">
        <v>39.155999999999999</v>
      </c>
      <c r="D1303" s="3196">
        <v>25.7546</v>
      </c>
      <c r="E1303" s="3270">
        <v>-0.34225661456737155</v>
      </c>
      <c r="F1303" s="3007">
        <v>-6.8451322913474309E-3</v>
      </c>
      <c r="G1303" s="2432"/>
      <c r="H1303" s="2432" t="s">
        <v>10706</v>
      </c>
      <c r="I1303" s="412"/>
      <c r="K1303" s="434"/>
    </row>
    <row r="1304" spans="1:15" ht="12.75" hidden="1" customHeight="1" outlineLevel="1" x14ac:dyDescent="0.25">
      <c r="A1304" s="2380">
        <v>0.02</v>
      </c>
      <c r="B1304" s="1921" t="s">
        <v>7753</v>
      </c>
      <c r="C1304" s="2108">
        <v>119</v>
      </c>
      <c r="D1304" s="3196">
        <v>126.7</v>
      </c>
      <c r="E1304" s="3270">
        <v>6.4705882352941169E-2</v>
      </c>
      <c r="F1304" s="3007">
        <v>1.2941176470588234E-3</v>
      </c>
      <c r="G1304" s="2432"/>
      <c r="H1304" s="2432" t="s">
        <v>8901</v>
      </c>
      <c r="I1304" s="412"/>
      <c r="K1304" s="434"/>
    </row>
    <row r="1305" spans="1:15" ht="12.75" hidden="1" customHeight="1" outlineLevel="1" x14ac:dyDescent="0.25">
      <c r="A1305" s="2380">
        <v>0.05</v>
      </c>
      <c r="B1305" s="1921" t="s">
        <v>807</v>
      </c>
      <c r="C1305" s="2108">
        <v>60.302999999999997</v>
      </c>
      <c r="D1305" s="3196">
        <v>57.92</v>
      </c>
      <c r="E1305" s="3270">
        <v>-3.9517105284977427E-2</v>
      </c>
      <c r="F1305" s="3007">
        <v>-1.9758552642488714E-3</v>
      </c>
      <c r="G1305" s="2432"/>
      <c r="H1305" s="2432" t="s">
        <v>808</v>
      </c>
      <c r="I1305" s="412"/>
      <c r="K1305" s="434"/>
    </row>
    <row r="1306" spans="1:15" ht="12.75" hidden="1" customHeight="1" outlineLevel="1" x14ac:dyDescent="0.25">
      <c r="A1306" s="2380">
        <v>0.02</v>
      </c>
      <c r="B1306" s="1921" t="s">
        <v>3954</v>
      </c>
      <c r="C1306" s="2108">
        <v>50.177999999999997</v>
      </c>
      <c r="D1306" s="3196">
        <v>60.46</v>
      </c>
      <c r="E1306" s="3270">
        <v>0.20491051855394793</v>
      </c>
      <c r="F1306" s="3007">
        <v>4.0982103710789589E-3</v>
      </c>
      <c r="G1306" s="2432"/>
      <c r="H1306" s="2432" t="s">
        <v>3955</v>
      </c>
      <c r="I1306" s="412"/>
      <c r="K1306" s="434"/>
    </row>
    <row r="1307" spans="1:15" ht="12.75" hidden="1" customHeight="1" outlineLevel="1" x14ac:dyDescent="0.25">
      <c r="A1307" s="2380">
        <v>0.02</v>
      </c>
      <c r="B1307" s="1921" t="s">
        <v>7114</v>
      </c>
      <c r="C1307" s="2108">
        <v>104.089</v>
      </c>
      <c r="D1307" s="3196">
        <v>177.13</v>
      </c>
      <c r="E1307" s="3270">
        <v>0.70171680004611425</v>
      </c>
      <c r="F1307" s="3007">
        <v>1.4034336000922285E-2</v>
      </c>
      <c r="G1307" s="2432"/>
      <c r="H1307" s="2432" t="s">
        <v>7115</v>
      </c>
      <c r="I1307" s="412"/>
      <c r="K1307" s="434"/>
    </row>
    <row r="1308" spans="1:15" ht="12.75" hidden="1" customHeight="1" outlineLevel="1" x14ac:dyDescent="0.25">
      <c r="A1308" s="2380">
        <v>0.02</v>
      </c>
      <c r="B1308" s="1921" t="s">
        <v>6267</v>
      </c>
      <c r="C1308" s="2108">
        <v>25.746500000000001</v>
      </c>
      <c r="D1308" s="3196">
        <v>15.84</v>
      </c>
      <c r="E1308" s="3270">
        <v>-0.38477074553822854</v>
      </c>
      <c r="F1308" s="3007">
        <v>-7.6954149107645708E-3</v>
      </c>
      <c r="G1308" s="2432"/>
      <c r="H1308" s="2432" t="s">
        <v>6268</v>
      </c>
      <c r="I1308" s="412"/>
      <c r="K1308" s="434"/>
    </row>
    <row r="1309" spans="1:15" ht="12.75" hidden="1" customHeight="1" outlineLevel="1" x14ac:dyDescent="0.25">
      <c r="A1309" s="2380">
        <v>0.02</v>
      </c>
      <c r="B1309" s="1921" t="s">
        <v>4268</v>
      </c>
      <c r="C1309" s="2108">
        <v>14.798</v>
      </c>
      <c r="D1309" s="3196">
        <v>13.77</v>
      </c>
      <c r="E1309" s="3270">
        <v>-6.9468847141505585E-2</v>
      </c>
      <c r="F1309" s="3007">
        <v>-1.3893769428301118E-3</v>
      </c>
      <c r="G1309" s="2432"/>
      <c r="H1309" s="2432" t="s">
        <v>8442</v>
      </c>
      <c r="I1309" s="412"/>
      <c r="K1309" s="434"/>
    </row>
    <row r="1310" spans="1:15" ht="12.75" hidden="1" customHeight="1" outlineLevel="1" x14ac:dyDescent="0.25">
      <c r="A1310" s="2380">
        <v>0.02</v>
      </c>
      <c r="B1310" s="1921" t="s">
        <v>3799</v>
      </c>
      <c r="C1310" s="2108">
        <v>17.292707479964339</v>
      </c>
      <c r="D1310" s="3196">
        <v>13.058</v>
      </c>
      <c r="E1310" s="3270">
        <v>-0.24488400586610004</v>
      </c>
      <c r="F1310" s="3007">
        <v>-4.8976801173220008E-3</v>
      </c>
      <c r="G1310" s="2432"/>
      <c r="H1310" s="2432" t="s">
        <v>4128</v>
      </c>
      <c r="I1310" s="412"/>
      <c r="K1310" s="434"/>
    </row>
    <row r="1311" spans="1:15" ht="12.75" hidden="1" customHeight="1" outlineLevel="1" x14ac:dyDescent="0.25">
      <c r="A1311" s="2380">
        <v>0.02</v>
      </c>
      <c r="B1311" s="1921" t="s">
        <v>1031</v>
      </c>
      <c r="C1311" s="2108">
        <v>5.9706000000000001</v>
      </c>
      <c r="D1311" s="3196">
        <v>9.5820000000000007</v>
      </c>
      <c r="E1311" s="3270">
        <v>0.60486383278062505</v>
      </c>
      <c r="F1311" s="3007">
        <v>1.2097276655612501E-2</v>
      </c>
      <c r="G1311" s="2432"/>
      <c r="H1311" s="2432" t="s">
        <v>7872</v>
      </c>
      <c r="I1311" s="412"/>
      <c r="K1311" s="434"/>
    </row>
    <row r="1312" spans="1:15" ht="12.75" hidden="1" customHeight="1" outlineLevel="1" x14ac:dyDescent="0.25">
      <c r="A1312" s="2380">
        <v>0.02</v>
      </c>
      <c r="B1312" s="1921" t="s">
        <v>1772</v>
      </c>
      <c r="C1312" s="2108">
        <v>170.345</v>
      </c>
      <c r="D1312" s="3196">
        <v>247.5</v>
      </c>
      <c r="E1312" s="3270">
        <v>0.45293375209134412</v>
      </c>
      <c r="F1312" s="3007">
        <v>9.0586750418268826E-3</v>
      </c>
      <c r="G1312" s="2432"/>
      <c r="H1312" s="2432" t="s">
        <v>4330</v>
      </c>
      <c r="I1312" s="412"/>
      <c r="K1312" s="434"/>
    </row>
    <row r="1313" spans="1:11" ht="12.75" hidden="1" customHeight="1" outlineLevel="1" x14ac:dyDescent="0.25">
      <c r="A1313" s="2380">
        <v>0.08</v>
      </c>
      <c r="B1313" s="1921" t="s">
        <v>8336</v>
      </c>
      <c r="C1313" s="2108">
        <v>27.940999999999999</v>
      </c>
      <c r="D1313" s="3196">
        <v>28.81</v>
      </c>
      <c r="E1313" s="3270">
        <v>3.1101249060520475E-2</v>
      </c>
      <c r="F1313" s="3007">
        <v>2.4880999248416379E-3</v>
      </c>
      <c r="G1313" s="2432"/>
      <c r="H1313" s="2432" t="s">
        <v>8337</v>
      </c>
      <c r="I1313" s="412"/>
      <c r="K1313" s="434"/>
    </row>
    <row r="1314" spans="1:11" ht="12.75" hidden="1" customHeight="1" outlineLevel="1" x14ac:dyDescent="0.25">
      <c r="A1314" s="2380">
        <v>0.02</v>
      </c>
      <c r="B1314" s="1921" t="s">
        <v>7754</v>
      </c>
      <c r="C1314" s="2519">
        <v>45.859000000000002</v>
      </c>
      <c r="D1314" s="3196">
        <v>86.58</v>
      </c>
      <c r="E1314" s="3270">
        <v>0.88796092370090918</v>
      </c>
      <c r="F1314" s="3007">
        <v>1.7759218474018183E-2</v>
      </c>
      <c r="G1314" s="2432"/>
      <c r="H1314" s="2432" t="s">
        <v>7751</v>
      </c>
      <c r="I1314" s="412"/>
      <c r="K1314" s="434"/>
    </row>
    <row r="1315" spans="1:11" ht="12.75" hidden="1" customHeight="1" outlineLevel="1" x14ac:dyDescent="0.25">
      <c r="A1315" s="2380">
        <v>0.03</v>
      </c>
      <c r="B1315" s="1921" t="s">
        <v>2786</v>
      </c>
      <c r="C1315" s="2108">
        <v>10.601819121827511</v>
      </c>
      <c r="D1315" s="3196">
        <v>9.31</v>
      </c>
      <c r="E1315" s="3270">
        <v>-0.12184881735699993</v>
      </c>
      <c r="F1315" s="3007">
        <v>-3.6554645207099979E-3</v>
      </c>
      <c r="G1315" s="2432"/>
      <c r="H1315" s="2432" t="s">
        <v>4195</v>
      </c>
      <c r="I1315" s="412"/>
      <c r="K1315" s="434"/>
    </row>
    <row r="1316" spans="1:11" ht="12.75" hidden="1" customHeight="1" outlineLevel="1" x14ac:dyDescent="0.25">
      <c r="A1316" s="2380">
        <v>0.02</v>
      </c>
      <c r="B1316" s="1921" t="s">
        <v>1203</v>
      </c>
      <c r="C1316" s="2108">
        <v>89.99</v>
      </c>
      <c r="D1316" s="3196">
        <v>95.67</v>
      </c>
      <c r="E1316" s="3270">
        <v>6.3118124236026363E-2</v>
      </c>
      <c r="F1316" s="3007">
        <v>1.2623624847205273E-3</v>
      </c>
      <c r="G1316" s="2432"/>
      <c r="H1316" s="2432" t="s">
        <v>79</v>
      </c>
      <c r="I1316" s="412"/>
      <c r="K1316" s="434"/>
    </row>
    <row r="1317" spans="1:11" ht="12.75" hidden="1" customHeight="1" outlineLevel="1" x14ac:dyDescent="0.25">
      <c r="A1317" s="2380">
        <v>0.05</v>
      </c>
      <c r="B1317" s="1921" t="s">
        <v>3793</v>
      </c>
      <c r="C1317" s="2108">
        <v>95.953000000000003</v>
      </c>
      <c r="D1317" s="3196">
        <v>83.01</v>
      </c>
      <c r="E1317" s="3270">
        <v>-0.13488895605140017</v>
      </c>
      <c r="F1317" s="3007">
        <v>-6.7444478025700085E-3</v>
      </c>
      <c r="G1317" s="2432"/>
      <c r="H1317" s="2432" t="s">
        <v>3533</v>
      </c>
      <c r="I1317" s="412"/>
      <c r="K1317" s="434"/>
    </row>
    <row r="1318" spans="1:11" ht="12.75" hidden="1" customHeight="1" outlineLevel="1" x14ac:dyDescent="0.25">
      <c r="A1318" s="2380">
        <v>0.02</v>
      </c>
      <c r="B1318" s="1921" t="s">
        <v>2769</v>
      </c>
      <c r="C1318" s="2108">
        <v>32.880000000000003</v>
      </c>
      <c r="D1318" s="3196">
        <v>25.35</v>
      </c>
      <c r="E1318" s="3270">
        <v>-0.22901459854014605</v>
      </c>
      <c r="F1318" s="3007">
        <v>-4.5802919708029209E-3</v>
      </c>
      <c r="G1318" s="2432"/>
      <c r="H1318" s="2432" t="s">
        <v>2770</v>
      </c>
      <c r="I1318" s="412"/>
      <c r="K1318" s="434"/>
    </row>
    <row r="1319" spans="1:11" ht="12.75" hidden="1" customHeight="1" outlineLevel="1" x14ac:dyDescent="0.25">
      <c r="A1319" s="2380">
        <v>0.02</v>
      </c>
      <c r="B1319" s="1921" t="s">
        <v>10667</v>
      </c>
      <c r="C1319" s="2108">
        <v>20.784500000000001</v>
      </c>
      <c r="D1319" s="3196">
        <v>22.465</v>
      </c>
      <c r="E1319" s="3270">
        <v>8.085352065240925E-2</v>
      </c>
      <c r="F1319" s="3007">
        <v>1.617070413048185E-3</v>
      </c>
      <c r="G1319" s="2432"/>
      <c r="H1319" s="2432" t="s">
        <v>10668</v>
      </c>
      <c r="I1319" s="412"/>
      <c r="K1319" s="434"/>
    </row>
    <row r="1320" spans="1:11" ht="12.75" hidden="1" customHeight="1" outlineLevel="1" x14ac:dyDescent="0.25">
      <c r="A1320" s="2380">
        <v>0.02</v>
      </c>
      <c r="B1320" s="1921" t="s">
        <v>6270</v>
      </c>
      <c r="C1320" s="2108">
        <v>38.764763148169372</v>
      </c>
      <c r="D1320" s="3196">
        <v>43.76</v>
      </c>
      <c r="E1320" s="3270">
        <v>0.12886024435999999</v>
      </c>
      <c r="F1320" s="3007">
        <v>2.5772048871999997E-3</v>
      </c>
      <c r="G1320" s="2432"/>
      <c r="H1320" s="2432" t="s">
        <v>8166</v>
      </c>
      <c r="I1320" s="412"/>
      <c r="K1320" s="434"/>
    </row>
    <row r="1321" spans="1:11" ht="12.75" hidden="1" customHeight="1" outlineLevel="1" x14ac:dyDescent="0.25">
      <c r="A1321" s="2380">
        <v>0.02</v>
      </c>
      <c r="B1321" s="1921" t="s">
        <v>6524</v>
      </c>
      <c r="C1321" s="2108">
        <v>89.116398300876455</v>
      </c>
      <c r="D1321" s="3196">
        <v>106.8</v>
      </c>
      <c r="E1321" s="3270">
        <v>0.19843263457999982</v>
      </c>
      <c r="F1321" s="3007">
        <v>3.9686526915999965E-3</v>
      </c>
      <c r="G1321" s="2432"/>
      <c r="H1321" s="2432" t="s">
        <v>6525</v>
      </c>
      <c r="I1321" s="412"/>
      <c r="K1321" s="434"/>
    </row>
    <row r="1322" spans="1:11" ht="12.75" hidden="1" customHeight="1" outlineLevel="1" x14ac:dyDescent="0.25">
      <c r="A1322" s="2380">
        <v>0.05</v>
      </c>
      <c r="B1322" s="1921" t="s">
        <v>6116</v>
      </c>
      <c r="C1322" s="2108">
        <v>3.9459917124152799</v>
      </c>
      <c r="D1322" s="3196">
        <v>4.1459999999999999</v>
      </c>
      <c r="E1322" s="3270">
        <v>5.0686443905959999E-2</v>
      </c>
      <c r="F1322" s="3007">
        <v>2.5343221952980003E-3</v>
      </c>
      <c r="G1322" s="2432"/>
      <c r="H1322" s="2432" t="s">
        <v>6114</v>
      </c>
      <c r="I1322" s="412"/>
      <c r="K1322" s="434"/>
    </row>
    <row r="1323" spans="1:11" ht="12.75" hidden="1" customHeight="1" outlineLevel="1" x14ac:dyDescent="0.25">
      <c r="A1323" s="2380">
        <v>0.02</v>
      </c>
      <c r="B1323" s="1921" t="s">
        <v>10538</v>
      </c>
      <c r="C1323" s="2108">
        <v>12.208943614396114</v>
      </c>
      <c r="D1323" s="3196">
        <v>10.029999999999999</v>
      </c>
      <c r="E1323" s="3270">
        <v>-0.17847110144950007</v>
      </c>
      <c r="F1323" s="3007">
        <v>-3.5694220289900014E-3</v>
      </c>
      <c r="G1323" s="2432"/>
      <c r="H1323" s="2432" t="s">
        <v>7628</v>
      </c>
      <c r="I1323" s="412"/>
      <c r="K1323" s="434"/>
    </row>
    <row r="1324" spans="1:11" ht="12.75" hidden="1" customHeight="1" outlineLevel="1" x14ac:dyDescent="0.25">
      <c r="A1324" s="2380">
        <v>0.08</v>
      </c>
      <c r="B1324" s="1921" t="s">
        <v>1724</v>
      </c>
      <c r="C1324" s="2108">
        <v>199.89717389323519</v>
      </c>
      <c r="D1324" s="3196">
        <v>146.85</v>
      </c>
      <c r="E1324" s="3270">
        <v>-0.26537230547125001</v>
      </c>
      <c r="F1324" s="3007">
        <v>-2.1229784437700003E-2</v>
      </c>
      <c r="G1324" s="2432"/>
      <c r="H1324" s="2432" t="s">
        <v>1725</v>
      </c>
      <c r="I1324" s="412"/>
      <c r="K1324" s="434"/>
    </row>
    <row r="1325" spans="1:11" ht="12.75" hidden="1" customHeight="1" outlineLevel="1" x14ac:dyDescent="0.25">
      <c r="A1325" s="2380">
        <v>0.02</v>
      </c>
      <c r="B1325" s="1921" t="s">
        <v>8338</v>
      </c>
      <c r="C1325" s="2108">
        <v>82.9</v>
      </c>
      <c r="D1325" s="3196">
        <v>58.75</v>
      </c>
      <c r="E1325" s="3270">
        <v>-0.29131483715319673</v>
      </c>
      <c r="F1325" s="3007">
        <v>-5.8262967430639349E-3</v>
      </c>
      <c r="G1325" s="2432"/>
      <c r="H1325" s="2432" t="s">
        <v>8339</v>
      </c>
      <c r="I1325" s="412"/>
      <c r="K1325" s="434"/>
    </row>
    <row r="1326" spans="1:11" ht="12.75" hidden="1" customHeight="1" outlineLevel="1" x14ac:dyDescent="0.25">
      <c r="A1326" s="2380">
        <v>0.08</v>
      </c>
      <c r="B1326" s="1921" t="s">
        <v>6118</v>
      </c>
      <c r="C1326" s="2108">
        <v>88.295000000000002</v>
      </c>
      <c r="D1326" s="3196">
        <v>73.16</v>
      </c>
      <c r="E1326" s="3270">
        <v>-0.17141400985333266</v>
      </c>
      <c r="F1326" s="3007">
        <v>-1.3713120788266614E-2</v>
      </c>
      <c r="G1326" s="2432"/>
      <c r="H1326" s="2432" t="s">
        <v>8893</v>
      </c>
      <c r="I1326" s="412"/>
      <c r="K1326" s="434"/>
    </row>
    <row r="1327" spans="1:11" ht="12.75" hidden="1" customHeight="1" outlineLevel="1" x14ac:dyDescent="0.25">
      <c r="A1327" s="2380">
        <v>0.08</v>
      </c>
      <c r="B1327" s="1921" t="s">
        <v>1239</v>
      </c>
      <c r="C1327" s="2108">
        <v>451.89</v>
      </c>
      <c r="D1327" s="3196">
        <v>463.5</v>
      </c>
      <c r="E1327" s="3270">
        <v>2.569209320852428E-2</v>
      </c>
      <c r="F1327" s="3007">
        <v>2.0553674566819425E-3</v>
      </c>
      <c r="G1327" s="2432"/>
      <c r="H1327" s="2432" t="s">
        <v>8891</v>
      </c>
      <c r="I1327" s="412"/>
      <c r="K1327" s="434"/>
    </row>
    <row r="1328" spans="1:11" ht="12.75" hidden="1" customHeight="1" outlineLevel="1" x14ac:dyDescent="0.25">
      <c r="A1328" s="2380">
        <v>0.08</v>
      </c>
      <c r="B1328" s="1921" t="s">
        <v>6945</v>
      </c>
      <c r="C1328" s="2108">
        <v>60.420984402136334</v>
      </c>
      <c r="D1328" s="3196">
        <v>96</v>
      </c>
      <c r="E1328" s="3270">
        <v>0.58885196839999976</v>
      </c>
      <c r="F1328" s="3007">
        <v>4.7108157471999978E-2</v>
      </c>
      <c r="G1328" s="2432"/>
      <c r="H1328" s="2432" t="s">
        <v>6943</v>
      </c>
      <c r="I1328" s="412"/>
      <c r="K1328" s="434"/>
    </row>
    <row r="1329" spans="1:11" ht="12.75" hidden="1" customHeight="1" outlineLevel="1" x14ac:dyDescent="0.25">
      <c r="A1329" s="2380">
        <v>0.02</v>
      </c>
      <c r="B1329" s="1921" t="s">
        <v>6337</v>
      </c>
      <c r="C1329" s="2108">
        <v>58.65</v>
      </c>
      <c r="D1329" s="3196">
        <v>84.72</v>
      </c>
      <c r="E1329" s="3270">
        <v>0.44450127877237855</v>
      </c>
      <c r="F1329" s="3007">
        <v>8.8900255754475709E-3</v>
      </c>
      <c r="G1329" s="2432"/>
      <c r="H1329" s="2432" t="s">
        <v>7752</v>
      </c>
      <c r="I1329" s="412"/>
      <c r="K1329" s="434"/>
    </row>
    <row r="1330" spans="1:11" ht="12.75" hidden="1" customHeight="1" outlineLevel="1" x14ac:dyDescent="0.25">
      <c r="A1330" s="2380">
        <v>0.02</v>
      </c>
      <c r="B1330" s="1921" t="s">
        <v>10633</v>
      </c>
      <c r="C1330" s="2108">
        <v>43.752000000000002</v>
      </c>
      <c r="D1330" s="3196">
        <v>48.274999999999999</v>
      </c>
      <c r="E1330" s="3270">
        <v>0.10337813128542694</v>
      </c>
      <c r="F1330" s="3007">
        <v>2.067562625708539E-3</v>
      </c>
      <c r="G1330" s="2432"/>
      <c r="H1330" s="2432" t="s">
        <v>10634</v>
      </c>
      <c r="I1330" s="412"/>
      <c r="K1330" s="434"/>
    </row>
    <row r="1331" spans="1:11" ht="12.75" hidden="1" customHeight="1" outlineLevel="1" x14ac:dyDescent="0.25">
      <c r="A1331" s="2380">
        <v>0.02</v>
      </c>
      <c r="B1331" s="2109" t="s">
        <v>255</v>
      </c>
      <c r="C1331" s="2108">
        <v>50.11</v>
      </c>
      <c r="D1331" s="3199">
        <v>37.97</v>
      </c>
      <c r="E1331" s="3270">
        <v>-0.24226701257234085</v>
      </c>
      <c r="F1331" s="3007">
        <v>-4.8453402514468174E-3</v>
      </c>
      <c r="G1331" s="2432"/>
      <c r="H1331" s="2432" t="s">
        <v>3351</v>
      </c>
      <c r="I1331" s="412"/>
      <c r="K1331" s="434"/>
    </row>
    <row r="1332" spans="1:11" ht="12.75" hidden="1" customHeight="1" outlineLevel="1" x14ac:dyDescent="0.25">
      <c r="A1332" s="2181"/>
      <c r="B1332" s="2103"/>
      <c r="C1332" s="3200">
        <v>100</v>
      </c>
      <c r="D1332" s="3201"/>
      <c r="E1332" s="3202"/>
      <c r="F1332" s="3202">
        <v>4.5499999999999999E-2</v>
      </c>
      <c r="G1332" s="3560"/>
      <c r="H1332" s="2432"/>
    </row>
    <row r="1333" spans="1:11" ht="12.75" hidden="1" customHeight="1" outlineLevel="1" x14ac:dyDescent="0.25">
      <c r="A1333" s="1956" t="s">
        <v>8352</v>
      </c>
      <c r="B1333" s="2185">
        <v>44470</v>
      </c>
      <c r="C1333" s="3203">
        <v>100</v>
      </c>
      <c r="D1333" s="3203">
        <v>118.9218</v>
      </c>
      <c r="E1333" s="3204">
        <v>0.18921800000000011</v>
      </c>
      <c r="F1333" s="3151"/>
      <c r="G1333" s="3560"/>
      <c r="H1333" s="2432"/>
    </row>
    <row r="1334" spans="1:11" ht="12.75" hidden="1" customHeight="1" outlineLevel="1" x14ac:dyDescent="0.25">
      <c r="A1334" s="1956" t="s">
        <v>8341</v>
      </c>
      <c r="B1334" s="2185">
        <v>44501</v>
      </c>
      <c r="C1334" s="3203">
        <v>100</v>
      </c>
      <c r="D1334" s="3206">
        <v>117.4602</v>
      </c>
      <c r="E1334" s="3204">
        <v>0.17460199999999992</v>
      </c>
      <c r="F1334" s="3151"/>
      <c r="G1334" s="3560"/>
      <c r="H1334" s="2432"/>
    </row>
    <row r="1335" spans="1:11" ht="12.75" hidden="1" customHeight="1" outlineLevel="1" x14ac:dyDescent="0.25">
      <c r="A1335" s="1956" t="s">
        <v>8342</v>
      </c>
      <c r="B1335" s="2185">
        <v>44531</v>
      </c>
      <c r="C1335" s="3203">
        <v>100</v>
      </c>
      <c r="D1335" s="3206">
        <v>121.58029999999999</v>
      </c>
      <c r="E1335" s="3204">
        <v>0.21580299999999997</v>
      </c>
      <c r="F1335" s="3151"/>
      <c r="G1335" s="3560"/>
      <c r="H1335" s="2432"/>
    </row>
    <row r="1336" spans="1:11" ht="12.75" hidden="1" customHeight="1" outlineLevel="1" x14ac:dyDescent="0.25">
      <c r="A1336" s="1956" t="s">
        <v>8343</v>
      </c>
      <c r="B1336" s="2185">
        <v>44562</v>
      </c>
      <c r="C1336" s="3203">
        <v>100</v>
      </c>
      <c r="D1336" s="3206">
        <v>124.3248</v>
      </c>
      <c r="E1336" s="3204">
        <v>0.24324799999999991</v>
      </c>
      <c r="F1336" s="3151"/>
      <c r="G1336" s="3560"/>
      <c r="H1336" s="2432"/>
    </row>
    <row r="1337" spans="1:11" ht="12.75" hidden="1" customHeight="1" outlineLevel="1" x14ac:dyDescent="0.25">
      <c r="A1337" s="1956" t="s">
        <v>8344</v>
      </c>
      <c r="B1337" s="2185">
        <v>44593</v>
      </c>
      <c r="C1337" s="3203">
        <v>100</v>
      </c>
      <c r="D1337" s="3206">
        <v>119.50320000000001</v>
      </c>
      <c r="E1337" s="3204">
        <v>0.19503200000000009</v>
      </c>
      <c r="F1337" s="3151"/>
      <c r="G1337" s="3560"/>
      <c r="H1337" s="2432"/>
    </row>
    <row r="1338" spans="1:11" ht="12.75" hidden="1" customHeight="1" outlineLevel="1" x14ac:dyDescent="0.25">
      <c r="A1338" s="1956" t="s">
        <v>8345</v>
      </c>
      <c r="B1338" s="2185">
        <v>44621</v>
      </c>
      <c r="C1338" s="3203">
        <v>100</v>
      </c>
      <c r="D1338" s="3206">
        <v>122.2204</v>
      </c>
      <c r="E1338" s="3204">
        <v>0.22220400000000007</v>
      </c>
      <c r="F1338" s="3151"/>
      <c r="G1338" s="3560"/>
      <c r="H1338" s="2432"/>
    </row>
    <row r="1339" spans="1:11" ht="12.75" hidden="1" customHeight="1" outlineLevel="1" x14ac:dyDescent="0.25">
      <c r="A1339" s="1956" t="s">
        <v>8346</v>
      </c>
      <c r="B1339" s="2185">
        <v>44652</v>
      </c>
      <c r="C1339" s="3203">
        <v>100</v>
      </c>
      <c r="D1339" s="3206">
        <v>122.5454</v>
      </c>
      <c r="E1339" s="3204">
        <v>0.22545400000000004</v>
      </c>
      <c r="F1339" s="3151"/>
      <c r="G1339" s="3560"/>
      <c r="H1339" s="2432"/>
    </row>
    <row r="1340" spans="1:11" ht="12.75" hidden="1" customHeight="1" outlineLevel="1" x14ac:dyDescent="0.25">
      <c r="A1340" s="1956" t="s">
        <v>8347</v>
      </c>
      <c r="B1340" s="2185">
        <v>44682</v>
      </c>
      <c r="C1340" s="3203">
        <v>100</v>
      </c>
      <c r="D1340" s="3206">
        <v>121.1986</v>
      </c>
      <c r="E1340" s="3204">
        <v>0.21198600000000001</v>
      </c>
      <c r="F1340" s="3151"/>
      <c r="G1340" s="3560"/>
      <c r="H1340" s="2432"/>
    </row>
    <row r="1341" spans="1:11" ht="12.75" hidden="1" customHeight="1" outlineLevel="1" x14ac:dyDescent="0.25">
      <c r="A1341" s="1956" t="s">
        <v>8348</v>
      </c>
      <c r="B1341" s="2185">
        <v>44713</v>
      </c>
      <c r="C1341" s="3203">
        <v>100</v>
      </c>
      <c r="D1341" s="3206">
        <v>112.63120000000001</v>
      </c>
      <c r="E1341" s="3204">
        <v>0.12631199999999998</v>
      </c>
      <c r="F1341" s="3151"/>
      <c r="G1341" s="3560"/>
      <c r="H1341" s="2432"/>
    </row>
    <row r="1342" spans="1:11" ht="12.75" hidden="1" customHeight="1" outlineLevel="1" x14ac:dyDescent="0.25">
      <c r="A1342" s="1956" t="s">
        <v>8349</v>
      </c>
      <c r="B1342" s="2185">
        <v>44743</v>
      </c>
      <c r="C1342" s="3203">
        <v>100</v>
      </c>
      <c r="D1342" s="3206">
        <v>113.35550000000001</v>
      </c>
      <c r="E1342" s="3204">
        <v>0.13355500000000009</v>
      </c>
      <c r="F1342" s="3151"/>
      <c r="G1342" s="3560"/>
      <c r="H1342" s="2432"/>
    </row>
    <row r="1343" spans="1:11" ht="12.75" hidden="1" customHeight="1" outlineLevel="1" x14ac:dyDescent="0.25">
      <c r="A1343" s="1956" t="s">
        <v>8350</v>
      </c>
      <c r="B1343" s="2185">
        <v>44774</v>
      </c>
      <c r="C1343" s="3203">
        <v>100</v>
      </c>
      <c r="D1343" s="3206">
        <v>111.91419999999999</v>
      </c>
      <c r="E1343" s="3204">
        <v>0.11914199999999986</v>
      </c>
      <c r="F1343" s="3151"/>
      <c r="G1343" s="3560"/>
      <c r="H1343" s="2432"/>
    </row>
    <row r="1344" spans="1:11" ht="12.75" hidden="1" customHeight="1" outlineLevel="1" x14ac:dyDescent="0.25">
      <c r="A1344" s="1956" t="s">
        <v>8351</v>
      </c>
      <c r="B1344" s="2185">
        <v>44805</v>
      </c>
      <c r="C1344" s="3203">
        <v>100</v>
      </c>
      <c r="D1344" s="3206">
        <v>104.5518</v>
      </c>
      <c r="E1344" s="3204">
        <v>4.5517999999999947E-2</v>
      </c>
      <c r="F1344" s="3151"/>
      <c r="G1344" s="3560"/>
      <c r="H1344" s="2432"/>
    </row>
    <row r="1345" spans="1:18" ht="12.75" hidden="1" customHeight="1" outlineLevel="1" x14ac:dyDescent="0.25">
      <c r="A1345" s="2189" t="s">
        <v>2734</v>
      </c>
      <c r="B1345" s="2190"/>
      <c r="C1345" s="3206"/>
      <c r="D1345" s="2191" t="s">
        <v>2465</v>
      </c>
      <c r="E1345" s="1987">
        <v>0.17517283333333333</v>
      </c>
      <c r="F1345" s="2528"/>
      <c r="G1345" s="3560"/>
      <c r="H1345" s="2432"/>
    </row>
    <row r="1346" spans="1:18" collapsed="1" x14ac:dyDescent="0.25">
      <c r="A1346" s="3801" t="s">
        <v>8335</v>
      </c>
      <c r="B1346" s="3802"/>
      <c r="C1346" s="3802"/>
      <c r="D1346" s="3802"/>
      <c r="E1346" s="1906"/>
      <c r="F1346" s="1907">
        <v>0.17517283333333333</v>
      </c>
      <c r="G1346" s="3560"/>
      <c r="H1346" s="2432"/>
    </row>
    <row r="1348" spans="1:18" ht="12.75" hidden="1" customHeight="1" outlineLevel="1" x14ac:dyDescent="0.25">
      <c r="A1348" s="3180" t="s">
        <v>4156</v>
      </c>
      <c r="B1348" s="3180" t="s">
        <v>4153</v>
      </c>
      <c r="C1348" s="3571" t="s">
        <v>112</v>
      </c>
      <c r="D1348" s="3192" t="s">
        <v>4155</v>
      </c>
      <c r="E1348" s="3180" t="s">
        <v>4154</v>
      </c>
      <c r="F1348" s="3192" t="s">
        <v>2519</v>
      </c>
      <c r="G1348" s="78"/>
      <c r="I1348" s="412" t="s">
        <v>6964</v>
      </c>
      <c r="J1348" s="1462">
        <v>42705</v>
      </c>
      <c r="K1348" s="1462">
        <v>42736</v>
      </c>
      <c r="L1348" s="1462">
        <v>42767</v>
      </c>
      <c r="M1348" s="1462">
        <v>42795</v>
      </c>
      <c r="N1348" s="1462">
        <v>42826</v>
      </c>
      <c r="O1348" s="1462">
        <v>42856</v>
      </c>
    </row>
    <row r="1349" spans="1:18" ht="12.75" hidden="1" customHeight="1" outlineLevel="1" x14ac:dyDescent="0.25">
      <c r="A1349" s="1991">
        <v>0.02</v>
      </c>
      <c r="B1349" s="1921" t="s">
        <v>359</v>
      </c>
      <c r="C1349" s="2108">
        <v>149.65</v>
      </c>
      <c r="D1349" s="3194">
        <v>182.2</v>
      </c>
      <c r="E1349" s="3269">
        <v>0.21750751754092867</v>
      </c>
      <c r="F1349" s="3004">
        <v>4.3501503508185735E-3</v>
      </c>
      <c r="H1349" t="s">
        <v>360</v>
      </c>
      <c r="I1349" s="412">
        <v>90</v>
      </c>
      <c r="J1349">
        <v>99.935900000000004</v>
      </c>
      <c r="K1349">
        <v>105.7008</v>
      </c>
      <c r="L1349">
        <v>103.96810000000001</v>
      </c>
      <c r="M1349">
        <v>107.8779</v>
      </c>
      <c r="N1349">
        <v>108.6118</v>
      </c>
      <c r="O1349">
        <v>108.7773</v>
      </c>
      <c r="R1349" s="434"/>
    </row>
    <row r="1350" spans="1:18" ht="12.75" hidden="1" customHeight="1" outlineLevel="1" x14ac:dyDescent="0.25">
      <c r="A1350" s="2380">
        <v>0.02</v>
      </c>
      <c r="B1350" s="1921" t="s">
        <v>7753</v>
      </c>
      <c r="C1350" s="2108">
        <v>122.8</v>
      </c>
      <c r="D1350" s="3196">
        <v>136.80000000000001</v>
      </c>
      <c r="E1350" s="3270">
        <v>0.11400651465798051</v>
      </c>
      <c r="F1350" s="3007">
        <v>2.2801302931596103E-3</v>
      </c>
      <c r="H1350" t="s">
        <v>8901</v>
      </c>
      <c r="I1350" s="422">
        <v>0.29166274999999997</v>
      </c>
      <c r="R1350" s="434"/>
    </row>
    <row r="1351" spans="1:18" ht="12.75" hidden="1" customHeight="1" outlineLevel="1" x14ac:dyDescent="0.25">
      <c r="A1351" s="2380">
        <v>0.05</v>
      </c>
      <c r="B1351" s="1921" t="s">
        <v>807</v>
      </c>
      <c r="C1351" s="2108">
        <v>58.162999999999997</v>
      </c>
      <c r="D1351" s="3196">
        <v>61.45</v>
      </c>
      <c r="E1351" s="3270">
        <v>5.6513591114626172E-2</v>
      </c>
      <c r="F1351" s="3007">
        <v>2.8256795557313088E-3</v>
      </c>
      <c r="H1351" t="s">
        <v>808</v>
      </c>
      <c r="R1351" s="434"/>
    </row>
    <row r="1352" spans="1:18" ht="12.75" hidden="1" customHeight="1" outlineLevel="1" x14ac:dyDescent="0.25">
      <c r="A1352" s="2380">
        <v>0.02</v>
      </c>
      <c r="B1352" s="1921" t="s">
        <v>3954</v>
      </c>
      <c r="C1352" s="2108">
        <v>51.322499999999998</v>
      </c>
      <c r="D1352" s="3196">
        <v>61.87</v>
      </c>
      <c r="E1352" s="3270">
        <v>0.20551415071362467</v>
      </c>
      <c r="F1352" s="3007">
        <v>4.1102830142724931E-3</v>
      </c>
      <c r="H1352" t="s">
        <v>3955</v>
      </c>
      <c r="K1352" s="37"/>
      <c r="R1352" s="434"/>
    </row>
    <row r="1353" spans="1:18" ht="12.75" hidden="1" customHeight="1" outlineLevel="1" x14ac:dyDescent="0.25">
      <c r="A1353" s="2380">
        <v>0.02</v>
      </c>
      <c r="B1353" s="1921" t="s">
        <v>7114</v>
      </c>
      <c r="C1353" s="2108">
        <v>113.97</v>
      </c>
      <c r="D1353" s="3196">
        <v>173.3</v>
      </c>
      <c r="E1353" s="3270">
        <v>0.52057559006756171</v>
      </c>
      <c r="F1353" s="3007">
        <v>1.0411511801351234E-2</v>
      </c>
      <c r="H1353" t="s">
        <v>7115</v>
      </c>
      <c r="R1353" s="434"/>
    </row>
    <row r="1354" spans="1:18" ht="12.75" hidden="1" customHeight="1" outlineLevel="1" x14ac:dyDescent="0.25">
      <c r="A1354" s="2380">
        <v>0.02</v>
      </c>
      <c r="B1354" s="1921" t="s">
        <v>6267</v>
      </c>
      <c r="C1354" s="2108">
        <v>23.596</v>
      </c>
      <c r="D1354" s="3196">
        <v>16.425000000000001</v>
      </c>
      <c r="E1354" s="3270">
        <v>-0.30390744193931174</v>
      </c>
      <c r="F1354" s="3007">
        <v>-6.0781488387862351E-3</v>
      </c>
      <c r="H1354" t="s">
        <v>6268</v>
      </c>
      <c r="R1354" s="434"/>
    </row>
    <row r="1355" spans="1:18" ht="12.75" hidden="1" customHeight="1" outlineLevel="1" x14ac:dyDescent="0.25">
      <c r="A1355" s="2380">
        <v>0.02</v>
      </c>
      <c r="B1355" s="1921" t="s">
        <v>4268</v>
      </c>
      <c r="C1355" s="2108">
        <v>14.212999999999999</v>
      </c>
      <c r="D1355" s="3196">
        <v>14.244999999999999</v>
      </c>
      <c r="E1355" s="3270">
        <v>2.2514599310490269E-3</v>
      </c>
      <c r="F1355" s="3007">
        <v>4.5029198620980535E-5</v>
      </c>
      <c r="H1355" t="s">
        <v>8442</v>
      </c>
      <c r="R1355" s="434"/>
    </row>
    <row r="1356" spans="1:18" ht="12.75" hidden="1" customHeight="1" outlineLevel="1" x14ac:dyDescent="0.25">
      <c r="A1356" s="2380">
        <v>0.02</v>
      </c>
      <c r="B1356" s="1921" t="s">
        <v>3799</v>
      </c>
      <c r="C1356" s="2108">
        <v>15.423999999999999</v>
      </c>
      <c r="D1356" s="3196">
        <v>14.288</v>
      </c>
      <c r="E1356" s="3270">
        <v>-7.3651452282157637E-2</v>
      </c>
      <c r="F1356" s="3007">
        <v>-1.4730290456431527E-3</v>
      </c>
      <c r="H1356" t="s">
        <v>4128</v>
      </c>
      <c r="R1356" s="434"/>
    </row>
    <row r="1357" spans="1:18" ht="12.75" hidden="1" customHeight="1" outlineLevel="1" x14ac:dyDescent="0.25">
      <c r="A1357" s="2380">
        <v>0.02</v>
      </c>
      <c r="B1357" s="1921" t="s">
        <v>1031</v>
      </c>
      <c r="C1357" s="2108">
        <v>5.7286999999999999</v>
      </c>
      <c r="D1357" s="3196">
        <v>10.275</v>
      </c>
      <c r="E1357" s="3270">
        <v>0.7936006423795976</v>
      </c>
      <c r="F1357" s="3007">
        <v>1.5872012847591953E-2</v>
      </c>
      <c r="H1357" t="s">
        <v>7872</v>
      </c>
      <c r="R1357" s="434"/>
    </row>
    <row r="1358" spans="1:18" ht="12.75" hidden="1" customHeight="1" outlineLevel="1" x14ac:dyDescent="0.25">
      <c r="A1358" s="2380">
        <v>0.02</v>
      </c>
      <c r="B1358" s="1921" t="s">
        <v>4143</v>
      </c>
      <c r="C1358" s="2108">
        <v>2.6438418435080235</v>
      </c>
      <c r="D1358" s="3196">
        <v>2.831</v>
      </c>
      <c r="E1358" s="3270">
        <v>7.0790224064100071E-2</v>
      </c>
      <c r="F1358" s="3007">
        <v>1.4158044812820016E-3</v>
      </c>
      <c r="H1358" t="s">
        <v>4144</v>
      </c>
      <c r="R1358" s="434"/>
    </row>
    <row r="1359" spans="1:18" ht="12.75" hidden="1" customHeight="1" outlineLevel="1" x14ac:dyDescent="0.25">
      <c r="A1359" s="2380">
        <v>0.02</v>
      </c>
      <c r="B1359" s="1921" t="s">
        <v>1772</v>
      </c>
      <c r="C1359" s="2108">
        <v>175.35499999999999</v>
      </c>
      <c r="D1359" s="3196">
        <v>267.39999999999998</v>
      </c>
      <c r="E1359" s="3270">
        <v>0.52490661800347871</v>
      </c>
      <c r="F1359" s="3007">
        <v>1.0498132360069575E-2</v>
      </c>
      <c r="H1359" t="s">
        <v>4330</v>
      </c>
      <c r="R1359" s="434"/>
    </row>
    <row r="1360" spans="1:18" ht="12.75" hidden="1" customHeight="1" outlineLevel="1" x14ac:dyDescent="0.25">
      <c r="A1360" s="2380">
        <v>0.08</v>
      </c>
      <c r="B1360" s="1921" t="s">
        <v>8336</v>
      </c>
      <c r="C1360" s="2108">
        <v>27.645</v>
      </c>
      <c r="D1360" s="3196">
        <v>32.42</v>
      </c>
      <c r="E1360" s="3270">
        <v>0.17272562850425044</v>
      </c>
      <c r="F1360" s="3007">
        <v>1.3818050280340036E-2</v>
      </c>
      <c r="H1360" t="s">
        <v>8337</v>
      </c>
      <c r="R1360" s="434"/>
    </row>
    <row r="1361" spans="1:18" ht="12.75" hidden="1" customHeight="1" outlineLevel="1" x14ac:dyDescent="0.25">
      <c r="A1361" s="2380">
        <v>0.02</v>
      </c>
      <c r="B1361" s="1921" t="s">
        <v>7754</v>
      </c>
      <c r="C1361" s="2519">
        <v>48.326999999999998</v>
      </c>
      <c r="D1361" s="3196">
        <v>92.76</v>
      </c>
      <c r="E1361" s="3270">
        <v>0.91942392451424682</v>
      </c>
      <c r="F1361" s="3007">
        <v>1.8388478490284937E-2</v>
      </c>
      <c r="H1361" t="s">
        <v>7751</v>
      </c>
      <c r="R1361" s="434"/>
    </row>
    <row r="1362" spans="1:18" ht="12.75" hidden="1" customHeight="1" outlineLevel="1" x14ac:dyDescent="0.25">
      <c r="A1362" s="2380">
        <v>0.03</v>
      </c>
      <c r="B1362" s="1921" t="s">
        <v>2786</v>
      </c>
      <c r="C1362" s="2108">
        <v>9.5385261099787364</v>
      </c>
      <c r="D1362" s="3196">
        <v>9.484</v>
      </c>
      <c r="E1362" s="3270">
        <v>-5.7164083161331813E-3</v>
      </c>
      <c r="F1362" s="3007">
        <v>-1.7149224948399542E-4</v>
      </c>
      <c r="H1362" t="s">
        <v>4195</v>
      </c>
      <c r="R1362" s="434"/>
    </row>
    <row r="1363" spans="1:18" ht="12.75" hidden="1" customHeight="1" outlineLevel="1" x14ac:dyDescent="0.25">
      <c r="A1363" s="2380">
        <v>0.02</v>
      </c>
      <c r="B1363" s="1921" t="s">
        <v>1203</v>
      </c>
      <c r="C1363" s="2108">
        <v>96.21</v>
      </c>
      <c r="D1363" s="3196">
        <v>105.52</v>
      </c>
      <c r="E1363" s="3270">
        <v>9.6767487787132289E-2</v>
      </c>
      <c r="F1363" s="3007">
        <v>1.9353497557426458E-3</v>
      </c>
      <c r="H1363" t="s">
        <v>79</v>
      </c>
      <c r="R1363" s="434"/>
    </row>
    <row r="1364" spans="1:18" ht="12.75" hidden="1" customHeight="1" outlineLevel="1" x14ac:dyDescent="0.25">
      <c r="A1364" s="2380">
        <v>0.05</v>
      </c>
      <c r="B1364" s="1921" t="s">
        <v>3793</v>
      </c>
      <c r="C1364" s="2108">
        <v>90.239000000000004</v>
      </c>
      <c r="D1364" s="3196">
        <v>91.85</v>
      </c>
      <c r="E1364" s="3270">
        <v>1.7852591451589461E-2</v>
      </c>
      <c r="F1364" s="3007">
        <v>8.9262957257947313E-4</v>
      </c>
      <c r="H1364" t="s">
        <v>3533</v>
      </c>
      <c r="R1364" s="434"/>
    </row>
    <row r="1365" spans="1:18" ht="12.75" hidden="1" customHeight="1" outlineLevel="1" x14ac:dyDescent="0.25">
      <c r="A1365" s="2380">
        <v>0.02</v>
      </c>
      <c r="B1365" s="1921" t="s">
        <v>2769</v>
      </c>
      <c r="C1365" s="2108">
        <v>33.256</v>
      </c>
      <c r="D1365" s="3196">
        <v>26.49</v>
      </c>
      <c r="E1365" s="3270">
        <v>-0.2034520086600915</v>
      </c>
      <c r="F1365" s="3007">
        <v>-4.0690401732018299E-3</v>
      </c>
      <c r="H1365" t="s">
        <v>2770</v>
      </c>
      <c r="R1365" s="434"/>
    </row>
    <row r="1366" spans="1:18" ht="12.75" hidden="1" customHeight="1" outlineLevel="1" x14ac:dyDescent="0.25">
      <c r="A1366" s="2380">
        <v>0.02</v>
      </c>
      <c r="B1366" s="1921" t="s">
        <v>10667</v>
      </c>
      <c r="C1366" s="2108">
        <v>20.028500000000001</v>
      </c>
      <c r="D1366" s="3196">
        <v>24.04</v>
      </c>
      <c r="E1366" s="3270">
        <v>0.20028958733804325</v>
      </c>
      <c r="F1366" s="3007">
        <v>4.0057917467608648E-3</v>
      </c>
      <c r="H1366" t="s">
        <v>10668</v>
      </c>
      <c r="R1366" s="434"/>
    </row>
    <row r="1367" spans="1:18" ht="12.75" hidden="1" customHeight="1" outlineLevel="1" x14ac:dyDescent="0.25">
      <c r="A1367" s="2380">
        <v>0.02</v>
      </c>
      <c r="B1367" s="1921" t="s">
        <v>6270</v>
      </c>
      <c r="C1367" s="2108">
        <v>39.643236716937899</v>
      </c>
      <c r="D1367" s="3196">
        <v>46.28</v>
      </c>
      <c r="E1367" s="3270">
        <v>0.1674122456360001</v>
      </c>
      <c r="F1367" s="3007">
        <v>3.3482449127200022E-3</v>
      </c>
      <c r="H1367" t="s">
        <v>8166</v>
      </c>
      <c r="R1367" s="434"/>
    </row>
    <row r="1368" spans="1:18" ht="12.75" hidden="1" customHeight="1" outlineLevel="1" x14ac:dyDescent="0.25">
      <c r="A1368" s="2380">
        <v>0.02</v>
      </c>
      <c r="B1368" s="1921" t="s">
        <v>6524</v>
      </c>
      <c r="C1368" s="2108">
        <v>92.044849460395582</v>
      </c>
      <c r="D1368" s="3196">
        <v>116.5</v>
      </c>
      <c r="E1368" s="3270">
        <v>0.265687332675</v>
      </c>
      <c r="F1368" s="3007">
        <v>5.3137466535E-3</v>
      </c>
      <c r="H1368" t="s">
        <v>6525</v>
      </c>
      <c r="R1368" s="434"/>
    </row>
    <row r="1369" spans="1:18" ht="12.75" hidden="1" customHeight="1" outlineLevel="1" x14ac:dyDescent="0.25">
      <c r="A1369" s="2380">
        <v>0.05</v>
      </c>
      <c r="B1369" s="1921" t="s">
        <v>6116</v>
      </c>
      <c r="C1369" s="2108">
        <v>3.6040000000000001</v>
      </c>
      <c r="D1369" s="3196">
        <v>4.5019999999999998</v>
      </c>
      <c r="E1369" s="3270">
        <v>0.24916759156492785</v>
      </c>
      <c r="F1369" s="3007">
        <v>1.2458379578246394E-2</v>
      </c>
      <c r="H1369" t="s">
        <v>6114</v>
      </c>
      <c r="R1369" s="434"/>
    </row>
    <row r="1370" spans="1:18" ht="12.75" hidden="1" customHeight="1" outlineLevel="1" x14ac:dyDescent="0.25">
      <c r="A1370" s="2380">
        <v>0.02</v>
      </c>
      <c r="B1370" s="1921" t="s">
        <v>10538</v>
      </c>
      <c r="C1370" s="2108">
        <v>11.749916414619602</v>
      </c>
      <c r="D1370" s="3196">
        <v>11.41</v>
      </c>
      <c r="E1370" s="3270">
        <v>-2.8929262356000018E-2</v>
      </c>
      <c r="F1370" s="3007">
        <v>-5.7858524712000041E-4</v>
      </c>
      <c r="H1370" t="s">
        <v>7628</v>
      </c>
      <c r="R1370" s="434"/>
    </row>
    <row r="1371" spans="1:18" ht="12.75" hidden="1" customHeight="1" outlineLevel="1" x14ac:dyDescent="0.25">
      <c r="A1371" s="2380">
        <v>0.08</v>
      </c>
      <c r="B1371" s="1921" t="s">
        <v>1724</v>
      </c>
      <c r="C1371" s="2108">
        <v>209.65475284402635</v>
      </c>
      <c r="D1371" s="3196">
        <v>164.65</v>
      </c>
      <c r="E1371" s="3270">
        <v>-0.21466125729812502</v>
      </c>
      <c r="F1371" s="3007">
        <v>-1.7172900583850001E-2</v>
      </c>
      <c r="H1371" t="s">
        <v>1725</v>
      </c>
      <c r="R1371" s="434"/>
    </row>
    <row r="1372" spans="1:18" ht="12.75" hidden="1" customHeight="1" outlineLevel="1" x14ac:dyDescent="0.25">
      <c r="A1372" s="2380">
        <v>0.02</v>
      </c>
      <c r="B1372" s="1921" t="s">
        <v>8338</v>
      </c>
      <c r="C1372" s="2108">
        <v>78.37</v>
      </c>
      <c r="D1372" s="3196">
        <v>51.95</v>
      </c>
      <c r="E1372" s="3270">
        <v>-0.3371187954574455</v>
      </c>
      <c r="F1372" s="3007">
        <v>-6.7423759091489099E-3</v>
      </c>
      <c r="H1372" t="s">
        <v>8339</v>
      </c>
      <c r="R1372" s="434"/>
    </row>
    <row r="1373" spans="1:18" ht="12.75" hidden="1" customHeight="1" outlineLevel="1" x14ac:dyDescent="0.25">
      <c r="A1373" s="2380">
        <v>0.08</v>
      </c>
      <c r="B1373" s="1921" t="s">
        <v>6118</v>
      </c>
      <c r="C1373" s="2108">
        <v>92.32</v>
      </c>
      <c r="D1373" s="3196">
        <v>74.400000000000006</v>
      </c>
      <c r="E1373" s="3270">
        <v>-0.19410745233968796</v>
      </c>
      <c r="F1373" s="3007">
        <v>-1.5528596187175036E-2</v>
      </c>
      <c r="H1373" t="s">
        <v>8893</v>
      </c>
      <c r="R1373" s="434"/>
    </row>
    <row r="1374" spans="1:18" ht="12.75" hidden="1" customHeight="1" outlineLevel="1" x14ac:dyDescent="0.25">
      <c r="A1374" s="2380">
        <v>0.08</v>
      </c>
      <c r="B1374" s="1921" t="s">
        <v>1239</v>
      </c>
      <c r="C1374" s="2108">
        <v>437.37</v>
      </c>
      <c r="D1374" s="3196">
        <v>494.3</v>
      </c>
      <c r="E1374" s="3270">
        <v>0.13016439170496374</v>
      </c>
      <c r="F1374" s="3007">
        <v>1.04131513363971E-2</v>
      </c>
      <c r="H1374" t="s">
        <v>8891</v>
      </c>
      <c r="R1374" s="434"/>
    </row>
    <row r="1375" spans="1:18" ht="12.75" hidden="1" customHeight="1" outlineLevel="1" x14ac:dyDescent="0.25">
      <c r="A1375" s="2380">
        <v>0.08</v>
      </c>
      <c r="B1375" s="1921" t="s">
        <v>6945</v>
      </c>
      <c r="C1375" s="2108">
        <v>58.241905911390589</v>
      </c>
      <c r="D1375" s="3196">
        <v>90.52</v>
      </c>
      <c r="E1375" s="3270">
        <v>0.55420738012449999</v>
      </c>
      <c r="F1375" s="3007">
        <v>4.4336590409959999E-2</v>
      </c>
      <c r="H1375" t="s">
        <v>6943</v>
      </c>
      <c r="R1375" s="434"/>
    </row>
    <row r="1376" spans="1:18" ht="12.75" hidden="1" customHeight="1" outlineLevel="1" x14ac:dyDescent="0.25">
      <c r="A1376" s="2380">
        <v>0.02</v>
      </c>
      <c r="B1376" s="1921" t="s">
        <v>6337</v>
      </c>
      <c r="C1376" s="2108">
        <v>62.17</v>
      </c>
      <c r="D1376" s="3196">
        <v>87.19</v>
      </c>
      <c r="E1376" s="3270">
        <v>0.40244490912015429</v>
      </c>
      <c r="F1376" s="3007">
        <v>8.0488981824030862E-3</v>
      </c>
      <c r="H1376" t="s">
        <v>7752</v>
      </c>
      <c r="R1376" s="434"/>
    </row>
    <row r="1377" spans="1:18" ht="12.75" hidden="1" customHeight="1" outlineLevel="1" x14ac:dyDescent="0.25">
      <c r="A1377" s="2380">
        <v>0.02</v>
      </c>
      <c r="B1377" s="1921" t="s">
        <v>10633</v>
      </c>
      <c r="C1377" s="2108">
        <v>43.258499999999998</v>
      </c>
      <c r="D1377" s="3196">
        <v>55.1</v>
      </c>
      <c r="E1377" s="3270">
        <v>0.27373810927332221</v>
      </c>
      <c r="F1377" s="3007">
        <v>5.4747621854664445E-3</v>
      </c>
      <c r="H1377" t="s">
        <v>10634</v>
      </c>
      <c r="R1377" s="434"/>
    </row>
    <row r="1378" spans="1:18" ht="12.75" hidden="1" customHeight="1" outlineLevel="1" x14ac:dyDescent="0.25">
      <c r="A1378" s="2380">
        <v>0.02</v>
      </c>
      <c r="B1378" s="2109" t="s">
        <v>255</v>
      </c>
      <c r="C1378" s="2108">
        <v>47.459000000000003</v>
      </c>
      <c r="D1378" s="3199">
        <v>37.369999999999997</v>
      </c>
      <c r="E1378" s="3270">
        <v>-0.21258349312037772</v>
      </c>
      <c r="F1378" s="3007">
        <v>-4.2516698624075547E-3</v>
      </c>
      <c r="H1378" t="s">
        <v>3351</v>
      </c>
      <c r="R1378" s="434"/>
    </row>
    <row r="1379" spans="1:18" ht="12.75" hidden="1" customHeight="1" outlineLevel="1" x14ac:dyDescent="0.25">
      <c r="A1379" s="2181" t="s">
        <v>2734</v>
      </c>
      <c r="B1379" s="2103"/>
      <c r="C1379" s="3200">
        <v>100</v>
      </c>
      <c r="D1379" s="3201"/>
      <c r="E1379" s="3202"/>
      <c r="F1379" s="3202">
        <v>0.12379999999999999</v>
      </c>
      <c r="G1379" s="78"/>
    </row>
    <row r="1380" spans="1:18" ht="12.75" hidden="1" customHeight="1" outlineLevel="1" x14ac:dyDescent="0.25">
      <c r="A1380" s="1956" t="s">
        <v>8357</v>
      </c>
      <c r="B1380" s="2185">
        <v>44501</v>
      </c>
      <c r="C1380" s="3203">
        <v>100</v>
      </c>
      <c r="D1380" s="3203">
        <v>119.3526</v>
      </c>
      <c r="E1380" s="3204">
        <v>0.19352599999999986</v>
      </c>
      <c r="F1380" s="3151"/>
      <c r="G1380" s="78"/>
    </row>
    <row r="1381" spans="1:18" ht="12.75" hidden="1" customHeight="1" outlineLevel="1" x14ac:dyDescent="0.25">
      <c r="A1381" s="1956" t="s">
        <v>8358</v>
      </c>
      <c r="B1381" s="2185">
        <v>44531</v>
      </c>
      <c r="C1381" s="3203">
        <v>100</v>
      </c>
      <c r="D1381" s="3206">
        <v>123.54510000000001</v>
      </c>
      <c r="E1381" s="3204">
        <v>0.23545100000000008</v>
      </c>
      <c r="F1381" s="3151"/>
      <c r="G1381" s="78"/>
    </row>
    <row r="1382" spans="1:18" ht="12.75" hidden="1" customHeight="1" outlineLevel="1" x14ac:dyDescent="0.25">
      <c r="A1382" s="1956" t="s">
        <v>8359</v>
      </c>
      <c r="B1382" s="2185">
        <v>44562</v>
      </c>
      <c r="C1382" s="3203">
        <v>100</v>
      </c>
      <c r="D1382" s="3206">
        <v>126.3133</v>
      </c>
      <c r="E1382" s="3204">
        <v>0.26313300000000006</v>
      </c>
      <c r="F1382" s="3151"/>
      <c r="G1382" s="78"/>
    </row>
    <row r="1383" spans="1:18" ht="12.75" hidden="1" customHeight="1" outlineLevel="1" x14ac:dyDescent="0.25">
      <c r="A1383" s="1956" t="s">
        <v>8360</v>
      </c>
      <c r="B1383" s="2185">
        <v>44593</v>
      </c>
      <c r="C1383" s="3203">
        <v>100</v>
      </c>
      <c r="D1383" s="3206">
        <v>121.7658</v>
      </c>
      <c r="E1383" s="3204">
        <v>0.21765799999999991</v>
      </c>
      <c r="F1383" s="3151"/>
      <c r="G1383" s="78"/>
    </row>
    <row r="1384" spans="1:18" ht="12.75" hidden="1" customHeight="1" outlineLevel="1" x14ac:dyDescent="0.25">
      <c r="A1384" s="1956" t="s">
        <v>8361</v>
      </c>
      <c r="B1384" s="2185">
        <v>44621</v>
      </c>
      <c r="C1384" s="3203">
        <v>100</v>
      </c>
      <c r="D1384" s="3206">
        <v>124.7186</v>
      </c>
      <c r="E1384" s="3204">
        <v>0.24718599999999991</v>
      </c>
      <c r="F1384" s="3151"/>
      <c r="G1384" s="78"/>
    </row>
    <row r="1385" spans="1:18" ht="12.75" hidden="1" customHeight="1" outlineLevel="1" x14ac:dyDescent="0.25">
      <c r="A1385" s="1956" t="s">
        <v>8362</v>
      </c>
      <c r="B1385" s="2185">
        <v>44652</v>
      </c>
      <c r="C1385" s="3203">
        <v>100</v>
      </c>
      <c r="D1385" s="3206">
        <v>125.28570000000001</v>
      </c>
      <c r="E1385" s="3204">
        <v>0.25285700000000011</v>
      </c>
      <c r="F1385" s="3151"/>
      <c r="G1385" s="78"/>
    </row>
    <row r="1386" spans="1:18" ht="12.75" hidden="1" customHeight="1" outlineLevel="1" x14ac:dyDescent="0.25">
      <c r="A1386" s="1956" t="s">
        <v>8363</v>
      </c>
      <c r="B1386" s="2185">
        <v>44682</v>
      </c>
      <c r="C1386" s="3203">
        <v>100</v>
      </c>
      <c r="D1386" s="3206">
        <v>123.9646</v>
      </c>
      <c r="E1386" s="3204">
        <v>0.23964600000000003</v>
      </c>
      <c r="F1386" s="3151"/>
      <c r="G1386" s="78"/>
    </row>
    <row r="1387" spans="1:18" ht="12.75" hidden="1" customHeight="1" outlineLevel="1" x14ac:dyDescent="0.25">
      <c r="A1387" s="1956" t="s">
        <v>8364</v>
      </c>
      <c r="B1387" s="2185">
        <v>44713</v>
      </c>
      <c r="C1387" s="3203">
        <v>100</v>
      </c>
      <c r="D1387" s="3206">
        <v>115.3998</v>
      </c>
      <c r="E1387" s="3204">
        <v>0.15399800000000008</v>
      </c>
      <c r="F1387" s="3151"/>
      <c r="G1387" s="78"/>
    </row>
    <row r="1388" spans="1:18" ht="12.75" hidden="1" customHeight="1" outlineLevel="1" x14ac:dyDescent="0.25">
      <c r="A1388" s="1956" t="s">
        <v>8365</v>
      </c>
      <c r="B1388" s="2185">
        <v>44743</v>
      </c>
      <c r="C1388" s="3203">
        <v>100</v>
      </c>
      <c r="D1388" s="3206">
        <v>116.0211</v>
      </c>
      <c r="E1388" s="3204">
        <v>0.1602110000000001</v>
      </c>
      <c r="F1388" s="3151"/>
      <c r="G1388" s="78"/>
    </row>
    <row r="1389" spans="1:18" ht="12.75" hidden="1" customHeight="1" outlineLevel="1" x14ac:dyDescent="0.25">
      <c r="A1389" s="1956" t="s">
        <v>8366</v>
      </c>
      <c r="B1389" s="2185">
        <v>44774</v>
      </c>
      <c r="C1389" s="3203">
        <v>100</v>
      </c>
      <c r="D1389" s="3206">
        <v>114.5265</v>
      </c>
      <c r="E1389" s="3204">
        <v>0.14526499999999998</v>
      </c>
      <c r="F1389" s="3151"/>
      <c r="G1389" s="78"/>
    </row>
    <row r="1390" spans="1:18" ht="12.75" hidden="1" customHeight="1" outlineLevel="1" x14ac:dyDescent="0.25">
      <c r="A1390" s="1956" t="s">
        <v>8367</v>
      </c>
      <c r="B1390" s="2185">
        <v>44805</v>
      </c>
      <c r="C1390" s="3203">
        <v>100</v>
      </c>
      <c r="D1390" s="3206">
        <v>106.7261</v>
      </c>
      <c r="E1390" s="3204">
        <v>6.7261000000000015E-2</v>
      </c>
      <c r="F1390" s="3151"/>
      <c r="G1390" s="78"/>
    </row>
    <row r="1391" spans="1:18" ht="12.75" hidden="1" customHeight="1" outlineLevel="1" x14ac:dyDescent="0.25">
      <c r="A1391" s="1956" t="s">
        <v>8368</v>
      </c>
      <c r="B1391" s="2185">
        <v>44835</v>
      </c>
      <c r="C1391" s="3203">
        <v>100</v>
      </c>
      <c r="D1391" s="3206">
        <v>112.37609999999999</v>
      </c>
      <c r="E1391" s="3204">
        <v>0.12376100000000001</v>
      </c>
      <c r="F1391" s="3151"/>
      <c r="G1391" s="78"/>
    </row>
    <row r="1392" spans="1:18" ht="12.75" hidden="1" customHeight="1" outlineLevel="1" x14ac:dyDescent="0.25">
      <c r="A1392" s="2189" t="s">
        <v>2734</v>
      </c>
      <c r="B1392" s="2190"/>
      <c r="C1392" s="3264"/>
      <c r="D1392" s="2191" t="s">
        <v>2465</v>
      </c>
      <c r="E1392" s="1987">
        <v>0.19166275000000002</v>
      </c>
      <c r="F1392" s="2528">
        <v>0.29166274999999997</v>
      </c>
      <c r="G1392" s="78"/>
    </row>
    <row r="1393" spans="1:11" collapsed="1" x14ac:dyDescent="0.25">
      <c r="A1393" s="3801" t="s">
        <v>8353</v>
      </c>
      <c r="B1393" s="3802"/>
      <c r="C1393" s="3802"/>
      <c r="D1393" s="3802"/>
      <c r="E1393" s="1906"/>
      <c r="F1393" s="1907">
        <v>0.29166274999999997</v>
      </c>
      <c r="G1393" s="78"/>
    </row>
    <row r="1395" spans="1:11" ht="12.75" hidden="1" customHeight="1" outlineLevel="1" x14ac:dyDescent="0.25">
      <c r="A1395" s="3237" t="s">
        <v>113</v>
      </c>
      <c r="B1395" s="3237" t="s">
        <v>114</v>
      </c>
      <c r="C1395" s="3237" t="s">
        <v>112</v>
      </c>
      <c r="D1395" s="3237" t="s">
        <v>116</v>
      </c>
      <c r="E1395" s="3237" t="s">
        <v>117</v>
      </c>
      <c r="F1395" s="3237" t="s">
        <v>121</v>
      </c>
      <c r="G1395" s="78"/>
    </row>
    <row r="1396" spans="1:11" ht="12.75" hidden="1" customHeight="1" outlineLevel="1" x14ac:dyDescent="0.25">
      <c r="A1396" s="3238">
        <v>1</v>
      </c>
      <c r="B1396" s="3239" t="s">
        <v>252</v>
      </c>
      <c r="C1396" s="3240">
        <v>100</v>
      </c>
      <c r="D1396" s="3240"/>
      <c r="E1396" s="3241"/>
      <c r="F1396" s="3242"/>
      <c r="G1396" s="78"/>
    </row>
    <row r="1397" spans="1:11" ht="12.75" hidden="1" customHeight="1" outlineLevel="1" x14ac:dyDescent="0.25">
      <c r="A1397" s="3243" t="s">
        <v>2734</v>
      </c>
      <c r="B1397" s="3243"/>
      <c r="C1397" s="3244"/>
      <c r="D1397" s="1900" t="s">
        <v>3702</v>
      </c>
      <c r="E1397" s="3245">
        <v>44439</v>
      </c>
      <c r="F1397" s="3246"/>
      <c r="G1397" s="78"/>
    </row>
    <row r="1398" spans="1:11" ht="12.75" hidden="1" customHeight="1" outlineLevel="1" x14ac:dyDescent="0.25">
      <c r="A1398" s="3237" t="s">
        <v>4156</v>
      </c>
      <c r="B1398" s="3237" t="s">
        <v>4153</v>
      </c>
      <c r="C1398" s="3247" t="s">
        <v>112</v>
      </c>
      <c r="D1398" s="3248" t="s">
        <v>4155</v>
      </c>
      <c r="E1398" s="3248" t="s">
        <v>4154</v>
      </c>
      <c r="F1398" s="3248" t="s">
        <v>2519</v>
      </c>
      <c r="G1398" s="78"/>
    </row>
    <row r="1399" spans="1:11" ht="12.75" hidden="1" customHeight="1" outlineLevel="1" x14ac:dyDescent="0.25">
      <c r="A1399" s="1991">
        <v>0.04</v>
      </c>
      <c r="B1399" s="1921" t="s">
        <v>1995</v>
      </c>
      <c r="C1399" s="2108">
        <v>38.764639889030946</v>
      </c>
      <c r="D1399" s="2862">
        <v>102.65</v>
      </c>
      <c r="E1399" s="2890">
        <v>1.6480318221412502</v>
      </c>
      <c r="F1399" s="3004">
        <v>6.5921272885650015E-2</v>
      </c>
      <c r="G1399" s="78"/>
      <c r="H1399" t="s">
        <v>2739</v>
      </c>
      <c r="K1399" s="434"/>
    </row>
    <row r="1400" spans="1:11" ht="12.75" hidden="1" customHeight="1" outlineLevel="1" x14ac:dyDescent="0.25">
      <c r="A1400" s="2380">
        <v>0.05</v>
      </c>
      <c r="B1400" s="1921" t="s">
        <v>7111</v>
      </c>
      <c r="C1400" s="2108">
        <v>61.674999999999997</v>
      </c>
      <c r="D1400" s="2865">
        <v>134.46</v>
      </c>
      <c r="E1400" s="2892">
        <v>1.1801378192136198</v>
      </c>
      <c r="F1400" s="3007">
        <v>5.9006890960680992E-2</v>
      </c>
      <c r="G1400" s="78"/>
      <c r="H1400" t="s">
        <v>7109</v>
      </c>
      <c r="K1400" s="434"/>
    </row>
    <row r="1401" spans="1:11" ht="12.75" hidden="1" customHeight="1" outlineLevel="1" x14ac:dyDescent="0.25">
      <c r="A1401" s="2380">
        <v>0.02</v>
      </c>
      <c r="B1401" s="1921" t="s">
        <v>8369</v>
      </c>
      <c r="C1401" s="2108">
        <v>145.642</v>
      </c>
      <c r="D1401" s="2865">
        <v>482.58</v>
      </c>
      <c r="E1401" s="2892">
        <v>2.3134672690570026</v>
      </c>
      <c r="F1401" s="3007">
        <v>4.6269345381140053E-2</v>
      </c>
      <c r="G1401" s="78"/>
      <c r="H1401" t="s">
        <v>8370</v>
      </c>
      <c r="K1401" s="434"/>
    </row>
    <row r="1402" spans="1:11" ht="12.75" hidden="1" customHeight="1" outlineLevel="1" x14ac:dyDescent="0.25">
      <c r="A1402" s="2380">
        <v>0.03</v>
      </c>
      <c r="B1402" s="1921" t="s">
        <v>2942</v>
      </c>
      <c r="C1402" s="2108">
        <v>1580.95</v>
      </c>
      <c r="D1402" s="2865">
        <v>1984.5</v>
      </c>
      <c r="E1402" s="2892">
        <v>0.25525791454505198</v>
      </c>
      <c r="F1402" s="3007">
        <v>7.6577374363515594E-3</v>
      </c>
      <c r="G1402" s="78"/>
      <c r="H1402" t="s">
        <v>2336</v>
      </c>
      <c r="K1402" s="434"/>
    </row>
    <row r="1403" spans="1:11" ht="12.75" hidden="1" customHeight="1" outlineLevel="1" x14ac:dyDescent="0.25">
      <c r="A1403" s="2380">
        <v>0.03</v>
      </c>
      <c r="B1403" s="1921" t="s">
        <v>1903</v>
      </c>
      <c r="C1403" s="2108">
        <v>42.665999999999997</v>
      </c>
      <c r="D1403" s="2865">
        <v>106.44</v>
      </c>
      <c r="E1403" s="2892">
        <v>1.4947264801012516</v>
      </c>
      <c r="F1403" s="3007">
        <v>4.4841794403037545E-2</v>
      </c>
      <c r="G1403" s="78"/>
      <c r="H1403" t="s">
        <v>3883</v>
      </c>
      <c r="K1403" s="434"/>
    </row>
    <row r="1404" spans="1:11" ht="12.75" hidden="1" customHeight="1" outlineLevel="1" x14ac:dyDescent="0.25">
      <c r="A1404" s="2380">
        <v>0.04</v>
      </c>
      <c r="B1404" s="1921" t="s">
        <v>7835</v>
      </c>
      <c r="C1404" s="2108">
        <v>94.203474181736269</v>
      </c>
      <c r="D1404" s="2865">
        <v>52.6</v>
      </c>
      <c r="E1404" s="2892">
        <v>-0.44163418115000008</v>
      </c>
      <c r="F1404" s="3007">
        <v>-1.7665367246000003E-2</v>
      </c>
      <c r="G1404" s="78"/>
      <c r="H1404" t="s">
        <v>5541</v>
      </c>
      <c r="K1404" s="434"/>
    </row>
    <row r="1405" spans="1:11" ht="12.75" hidden="1" customHeight="1" outlineLevel="1" x14ac:dyDescent="0.25">
      <c r="A1405" s="2380">
        <v>0.02</v>
      </c>
      <c r="B1405" s="1921" t="s">
        <v>8371</v>
      </c>
      <c r="C1405" s="2108">
        <v>166.92400000000001</v>
      </c>
      <c r="D1405" s="2865">
        <v>252.42</v>
      </c>
      <c r="E1405" s="2892">
        <v>0.51218518607270358</v>
      </c>
      <c r="F1405" s="3007">
        <v>1.0243703721454072E-2</v>
      </c>
      <c r="G1405" s="78"/>
      <c r="H1405" t="s">
        <v>8372</v>
      </c>
      <c r="K1405" s="434"/>
    </row>
    <row r="1406" spans="1:11" ht="12.75" hidden="1" customHeight="1" outlineLevel="1" x14ac:dyDescent="0.25">
      <c r="A1406" s="2380">
        <v>0.02</v>
      </c>
      <c r="B1406" s="1921" t="s">
        <v>4377</v>
      </c>
      <c r="C1406" s="2108">
        <v>57.554000000000002</v>
      </c>
      <c r="D1406" s="2865">
        <v>67.41</v>
      </c>
      <c r="E1406" s="2892">
        <v>0.17124787156409615</v>
      </c>
      <c r="F1406" s="3007">
        <v>3.4249574312819231E-3</v>
      </c>
      <c r="G1406" s="78"/>
      <c r="H1406" t="s">
        <v>4327</v>
      </c>
      <c r="K1406" s="434"/>
    </row>
    <row r="1407" spans="1:11" ht="12.75" hidden="1" customHeight="1" outlineLevel="1" x14ac:dyDescent="0.25">
      <c r="A1407" s="2380">
        <v>0.02</v>
      </c>
      <c r="B1407" s="1921" t="s">
        <v>8373</v>
      </c>
      <c r="C1407" s="2108">
        <v>95.983999999999995</v>
      </c>
      <c r="D1407" s="2865">
        <v>293.54000000000002</v>
      </c>
      <c r="E1407" s="2892">
        <v>2.0582180363393903</v>
      </c>
      <c r="F1407" s="3007">
        <v>4.1164360726787808E-2</v>
      </c>
      <c r="G1407" s="78"/>
      <c r="H1407" t="s">
        <v>8374</v>
      </c>
      <c r="K1407" s="434"/>
    </row>
    <row r="1408" spans="1:11" ht="12.75" hidden="1" customHeight="1" outlineLevel="1" x14ac:dyDescent="0.25">
      <c r="A1408" s="2380">
        <v>0.02</v>
      </c>
      <c r="B1408" s="1921" t="s">
        <v>5516</v>
      </c>
      <c r="C1408" s="2108">
        <v>801.4666666666667</v>
      </c>
      <c r="D1408" s="2865">
        <v>4197</v>
      </c>
      <c r="E1408" s="2892">
        <v>4.2366494759607383</v>
      </c>
      <c r="F1408" s="3007">
        <v>8.4732989519214763E-2</v>
      </c>
      <c r="G1408" s="78"/>
      <c r="H1408" t="s">
        <v>5514</v>
      </c>
      <c r="K1408" s="434"/>
    </row>
    <row r="1409" spans="1:11" ht="12.75" hidden="1" customHeight="1" outlineLevel="1" x14ac:dyDescent="0.25">
      <c r="A1409" s="2380">
        <v>0.02</v>
      </c>
      <c r="B1409" s="1921" t="s">
        <v>7317</v>
      </c>
      <c r="C1409" s="2108">
        <v>103.52500000000001</v>
      </c>
      <c r="D1409" s="2865">
        <v>149.25</v>
      </c>
      <c r="E1409" s="2892">
        <v>0.44168075344119773</v>
      </c>
      <c r="F1409" s="3007">
        <v>8.8336150688239547E-3</v>
      </c>
      <c r="G1409" s="78"/>
      <c r="H1409" t="s">
        <v>9482</v>
      </c>
      <c r="K1409" s="434"/>
    </row>
    <row r="1410" spans="1:11" ht="12.75" hidden="1" customHeight="1" outlineLevel="1" x14ac:dyDescent="0.25">
      <c r="A1410" s="2380">
        <v>0.08</v>
      </c>
      <c r="B1410" s="1921" t="s">
        <v>3799</v>
      </c>
      <c r="C1410" s="2108">
        <v>14.9735</v>
      </c>
      <c r="D1410" s="2865">
        <v>13.794</v>
      </c>
      <c r="E1410" s="2892">
        <v>-7.8772498079941133E-2</v>
      </c>
      <c r="F1410" s="3007">
        <v>-6.3017998463952909E-3</v>
      </c>
      <c r="G1410" s="78"/>
      <c r="H1410" t="s">
        <v>4128</v>
      </c>
      <c r="K1410" s="434"/>
    </row>
    <row r="1411" spans="1:11" ht="12.75" hidden="1" customHeight="1" outlineLevel="1" x14ac:dyDescent="0.25">
      <c r="A1411" s="2380">
        <v>0.03</v>
      </c>
      <c r="B1411" s="1921" t="s">
        <v>8375</v>
      </c>
      <c r="C1411" s="2519">
        <v>17.611499999999999</v>
      </c>
      <c r="D1411" s="2865">
        <v>12.045</v>
      </c>
      <c r="E1411" s="2892">
        <v>-0.31607188484796866</v>
      </c>
      <c r="F1411" s="3007">
        <v>-9.4821565454390588E-3</v>
      </c>
      <c r="G1411" s="78"/>
      <c r="H1411" t="s">
        <v>8376</v>
      </c>
      <c r="K1411" s="434"/>
    </row>
    <row r="1412" spans="1:11" ht="12.75" hidden="1" customHeight="1" outlineLevel="1" x14ac:dyDescent="0.25">
      <c r="A1412" s="2380">
        <v>0.03</v>
      </c>
      <c r="B1412" s="1921" t="s">
        <v>3426</v>
      </c>
      <c r="C1412" s="2108">
        <v>114.404</v>
      </c>
      <c r="D1412" s="2865">
        <v>161.34</v>
      </c>
      <c r="E1412" s="2892">
        <v>0.41026537533652685</v>
      </c>
      <c r="F1412" s="3007">
        <v>1.2307961260095805E-2</v>
      </c>
      <c r="G1412" s="78"/>
      <c r="H1412" t="s">
        <v>4145</v>
      </c>
      <c r="K1412" s="434"/>
    </row>
    <row r="1413" spans="1:11" ht="12.75" hidden="1" customHeight="1" outlineLevel="1" x14ac:dyDescent="0.25">
      <c r="A1413" s="2380">
        <v>0.02</v>
      </c>
      <c r="B1413" s="1921" t="s">
        <v>8377</v>
      </c>
      <c r="C1413" s="2108">
        <v>1587.4</v>
      </c>
      <c r="D1413" s="2865">
        <v>3135</v>
      </c>
      <c r="E1413" s="2892">
        <v>0.97492755449162138</v>
      </c>
      <c r="F1413" s="3007">
        <v>1.9498551089832429E-2</v>
      </c>
      <c r="G1413" s="78"/>
      <c r="H1413" t="s">
        <v>8378</v>
      </c>
      <c r="K1413" s="434"/>
    </row>
    <row r="1414" spans="1:11" ht="12.75" hidden="1" customHeight="1" outlineLevel="1" x14ac:dyDescent="0.25">
      <c r="A1414" s="2380">
        <v>0.02</v>
      </c>
      <c r="B1414" s="1921" t="s">
        <v>8379</v>
      </c>
      <c r="C1414" s="2108">
        <v>159.08103214732563</v>
      </c>
      <c r="D1414" s="2865">
        <v>523.4</v>
      </c>
      <c r="E1414" s="2892">
        <v>2.29014712147</v>
      </c>
      <c r="F1414" s="3007">
        <v>4.5802942429400001E-2</v>
      </c>
      <c r="G1414" s="78"/>
      <c r="H1414" t="s">
        <v>8905</v>
      </c>
      <c r="K1414" s="434"/>
    </row>
    <row r="1415" spans="1:11" ht="12.75" hidden="1" customHeight="1" outlineLevel="1" x14ac:dyDescent="0.25">
      <c r="A1415" s="2380">
        <v>0.02</v>
      </c>
      <c r="B1415" s="1921" t="s">
        <v>4040</v>
      </c>
      <c r="C1415" s="2108">
        <v>73.046000000000006</v>
      </c>
      <c r="D1415" s="2865">
        <v>87.92</v>
      </c>
      <c r="E1415" s="2892">
        <v>0.20362511294252927</v>
      </c>
      <c r="F1415" s="3007">
        <v>4.0725022588505855E-3</v>
      </c>
      <c r="G1415" s="78"/>
      <c r="H1415" t="s">
        <v>4041</v>
      </c>
      <c r="K1415" s="434"/>
    </row>
    <row r="1416" spans="1:11" ht="12.75" hidden="1" customHeight="1" outlineLevel="1" x14ac:dyDescent="0.25">
      <c r="A1416" s="2380">
        <v>0.02</v>
      </c>
      <c r="B1416" s="1921" t="s">
        <v>1905</v>
      </c>
      <c r="C1416" s="2108">
        <v>58.46735368750106</v>
      </c>
      <c r="D1416" s="2865">
        <v>85.36</v>
      </c>
      <c r="E1416" s="2892">
        <v>0.45996003951600017</v>
      </c>
      <c r="F1416" s="3007">
        <v>9.1992007903200033E-3</v>
      </c>
      <c r="G1416" s="78"/>
      <c r="H1416" t="s">
        <v>504</v>
      </c>
      <c r="K1416" s="434"/>
    </row>
    <row r="1417" spans="1:11" ht="12.75" hidden="1" customHeight="1" outlineLevel="1" x14ac:dyDescent="0.25">
      <c r="A1417" s="2380">
        <v>0.02</v>
      </c>
      <c r="B1417" s="1921" t="s">
        <v>240</v>
      </c>
      <c r="C1417" s="2108">
        <v>95.596000000000004</v>
      </c>
      <c r="D1417" s="2865">
        <v>171.4</v>
      </c>
      <c r="E1417" s="2892">
        <v>0.79296204862128117</v>
      </c>
      <c r="F1417" s="3007">
        <v>1.5859240972425623E-2</v>
      </c>
      <c r="G1417" s="78"/>
      <c r="H1417" t="s">
        <v>241</v>
      </c>
      <c r="K1417" s="434"/>
    </row>
    <row r="1418" spans="1:11" ht="12.75" hidden="1" customHeight="1" outlineLevel="1" x14ac:dyDescent="0.25">
      <c r="A1418" s="2380">
        <v>0.02</v>
      </c>
      <c r="B1418" s="1921" t="s">
        <v>10658</v>
      </c>
      <c r="C1418" s="2108">
        <v>842.2142368147255</v>
      </c>
      <c r="D1418" s="2865">
        <v>733</v>
      </c>
      <c r="E1418" s="2892">
        <v>-0.12967512544999993</v>
      </c>
      <c r="F1418" s="3007">
        <v>-2.5935025089999985E-3</v>
      </c>
      <c r="G1418" s="78"/>
      <c r="H1418" t="s">
        <v>10659</v>
      </c>
      <c r="K1418" s="434"/>
    </row>
    <row r="1419" spans="1:11" ht="12.75" hidden="1" customHeight="1" outlineLevel="1" x14ac:dyDescent="0.25">
      <c r="A1419" s="2380">
        <v>0.08</v>
      </c>
      <c r="B1419" s="1921" t="s">
        <v>2787</v>
      </c>
      <c r="C1419" s="2108">
        <v>63.084123100818573</v>
      </c>
      <c r="D1419" s="2865">
        <v>79.13</v>
      </c>
      <c r="E1419" s="2892">
        <v>0.25435681928299969</v>
      </c>
      <c r="F1419" s="3007">
        <v>2.0348545542639977E-2</v>
      </c>
      <c r="G1419" s="78"/>
      <c r="H1419" t="s">
        <v>8874</v>
      </c>
      <c r="K1419" s="434"/>
    </row>
    <row r="1420" spans="1:11" ht="12.75" hidden="1" customHeight="1" outlineLevel="1" x14ac:dyDescent="0.25">
      <c r="A1420" s="2380">
        <v>0.02</v>
      </c>
      <c r="B1420" s="1921" t="s">
        <v>5847</v>
      </c>
      <c r="C1420" s="2108">
        <v>4761.8999999999996</v>
      </c>
      <c r="D1420" s="2865">
        <v>4561</v>
      </c>
      <c r="E1420" s="2892">
        <v>-4.218904218904207E-2</v>
      </c>
      <c r="F1420" s="3007">
        <v>-8.4378084378084145E-4</v>
      </c>
      <c r="G1420" s="78"/>
      <c r="H1420" t="s">
        <v>5845</v>
      </c>
      <c r="K1420" s="434"/>
    </row>
    <row r="1421" spans="1:11" ht="12.75" hidden="1" customHeight="1" outlineLevel="1" x14ac:dyDescent="0.25">
      <c r="A1421" s="2380">
        <v>0.04</v>
      </c>
      <c r="B1421" s="1921" t="s">
        <v>1414</v>
      </c>
      <c r="C1421" s="2108">
        <v>30.582754423773448</v>
      </c>
      <c r="D1421" s="2865">
        <v>45.23</v>
      </c>
      <c r="E1421" s="2892">
        <v>0.47893807644874986</v>
      </c>
      <c r="F1421" s="3007">
        <v>1.9157523057949995E-2</v>
      </c>
      <c r="G1421" s="78"/>
      <c r="H1421" t="s">
        <v>2428</v>
      </c>
      <c r="K1421" s="434"/>
    </row>
    <row r="1422" spans="1:11" ht="12.75" hidden="1" customHeight="1" outlineLevel="1" x14ac:dyDescent="0.25">
      <c r="A1422" s="2380">
        <v>0.08</v>
      </c>
      <c r="B1422" s="1921" t="s">
        <v>3800</v>
      </c>
      <c r="C1422" s="2108">
        <v>229.01</v>
      </c>
      <c r="D1422" s="2865">
        <v>315.39999999999998</v>
      </c>
      <c r="E1422" s="2892">
        <v>0.37723243526483552</v>
      </c>
      <c r="F1422" s="3007">
        <v>3.0178594821186844E-2</v>
      </c>
      <c r="G1422" s="78"/>
      <c r="H1422" t="s">
        <v>8876</v>
      </c>
      <c r="K1422" s="434"/>
    </row>
    <row r="1423" spans="1:11" ht="12.75" hidden="1" customHeight="1" outlineLevel="1" x14ac:dyDescent="0.25">
      <c r="A1423" s="2380">
        <v>7.0000000000000007E-2</v>
      </c>
      <c r="B1423" s="1921" t="s">
        <v>1187</v>
      </c>
      <c r="C1423" s="2108">
        <v>75.674999999999997</v>
      </c>
      <c r="D1423" s="2865">
        <v>82.18</v>
      </c>
      <c r="E1423" s="2892">
        <v>8.5959696068715008E-2</v>
      </c>
      <c r="F1423" s="3007">
        <v>6.0171787248100512E-3</v>
      </c>
      <c r="G1423" s="78"/>
      <c r="H1423" t="s">
        <v>3483</v>
      </c>
      <c r="K1423" s="434"/>
    </row>
    <row r="1424" spans="1:11" ht="12.75" hidden="1" customHeight="1" outlineLevel="1" x14ac:dyDescent="0.25">
      <c r="A1424" s="2380">
        <v>0.02</v>
      </c>
      <c r="B1424" s="1921" t="s">
        <v>8382</v>
      </c>
      <c r="C1424" s="2108">
        <v>1344.9</v>
      </c>
      <c r="D1424" s="2865">
        <v>1006</v>
      </c>
      <c r="E1424" s="2892">
        <v>-0.25198899546434683</v>
      </c>
      <c r="F1424" s="3007">
        <v>-5.0397799092869369E-3</v>
      </c>
      <c r="G1424" s="78"/>
      <c r="H1424" t="s">
        <v>8383</v>
      </c>
      <c r="K1424" s="434"/>
    </row>
    <row r="1425" spans="1:11" ht="12.75" hidden="1" customHeight="1" outlineLevel="1" x14ac:dyDescent="0.25">
      <c r="A1425" s="2380">
        <v>0.02</v>
      </c>
      <c r="B1425" s="1921" t="s">
        <v>5853</v>
      </c>
      <c r="C1425" s="2108">
        <v>11.641999999999999</v>
      </c>
      <c r="D1425" s="2865">
        <v>10.154999999999999</v>
      </c>
      <c r="E1425" s="2892">
        <v>-0.12772719464009619</v>
      </c>
      <c r="F1425" s="3007">
        <v>-2.5545438928019238E-3</v>
      </c>
      <c r="G1425" s="78"/>
      <c r="H1425" t="s">
        <v>5851</v>
      </c>
      <c r="K1425" s="434"/>
    </row>
    <row r="1426" spans="1:11" ht="12.75" hidden="1" customHeight="1" outlineLevel="1" x14ac:dyDescent="0.25">
      <c r="A1426" s="2380">
        <v>0.02</v>
      </c>
      <c r="B1426" s="1921" t="s">
        <v>8384</v>
      </c>
      <c r="C1426" s="2108">
        <v>119.43</v>
      </c>
      <c r="D1426" s="2865">
        <v>258.7</v>
      </c>
      <c r="E1426" s="2892">
        <v>1.1661224148036506</v>
      </c>
      <c r="F1426" s="3007">
        <v>2.3322448296073012E-2</v>
      </c>
      <c r="G1426" s="78"/>
      <c r="H1426" t="s">
        <v>8907</v>
      </c>
      <c r="K1426" s="434"/>
    </row>
    <row r="1427" spans="1:11" ht="12.75" hidden="1" customHeight="1" outlineLevel="1" x14ac:dyDescent="0.25">
      <c r="A1427" s="2380"/>
      <c r="B1427" s="1921" t="s">
        <v>10661</v>
      </c>
      <c r="C1427" s="2108">
        <v>79.853999999999999</v>
      </c>
      <c r="D1427" s="2865"/>
      <c r="E1427" s="2892">
        <v>-1</v>
      </c>
      <c r="F1427" s="3007">
        <v>0</v>
      </c>
      <c r="G1427" s="78"/>
      <c r="K1427" s="434"/>
    </row>
    <row r="1428" spans="1:11" ht="12.75" hidden="1" customHeight="1" outlineLevel="1" x14ac:dyDescent="0.25">
      <c r="A1428" s="2380">
        <v>0.08</v>
      </c>
      <c r="B1428" s="2109" t="s">
        <v>3022</v>
      </c>
      <c r="C1428" s="2108">
        <v>4749.8</v>
      </c>
      <c r="D1428" s="2868">
        <v>3850</v>
      </c>
      <c r="E1428" s="2897">
        <v>-0.18943955534969892</v>
      </c>
      <c r="F1428" s="2870">
        <v>-1.5155164427975914E-2</v>
      </c>
      <c r="G1428" s="78"/>
      <c r="H1428" t="s">
        <v>2802</v>
      </c>
      <c r="K1428" s="434"/>
    </row>
    <row r="1429" spans="1:11" ht="12.75" hidden="1" customHeight="1" outlineLevel="1" x14ac:dyDescent="0.25">
      <c r="A1429" s="2181" t="s">
        <v>2734</v>
      </c>
      <c r="B1429" s="2103"/>
      <c r="C1429" s="3200"/>
      <c r="D1429" s="3201"/>
      <c r="E1429" s="3025"/>
      <c r="F1429" s="3025">
        <v>0.51822526155732695</v>
      </c>
      <c r="G1429" s="78"/>
    </row>
    <row r="1430" spans="1:11" ht="12.75" hidden="1" customHeight="1" outlineLevel="1" x14ac:dyDescent="0.25">
      <c r="A1430" s="1956" t="s">
        <v>8394</v>
      </c>
      <c r="B1430" s="2185">
        <v>44440</v>
      </c>
      <c r="C1430" s="3203">
        <v>100</v>
      </c>
      <c r="D1430" s="3203">
        <v>154.9092</v>
      </c>
      <c r="E1430" s="3204">
        <v>0.54909199999999991</v>
      </c>
      <c r="F1430" s="3151"/>
      <c r="G1430" s="78"/>
    </row>
    <row r="1431" spans="1:11" ht="12.75" hidden="1" customHeight="1" outlineLevel="1" x14ac:dyDescent="0.25">
      <c r="A1431" s="1956" t="s">
        <v>8395</v>
      </c>
      <c r="B1431" s="2185">
        <v>44470</v>
      </c>
      <c r="C1431" s="3203">
        <v>100</v>
      </c>
      <c r="D1431" s="3206">
        <v>158.92850000000001</v>
      </c>
      <c r="E1431" s="3204">
        <v>0.58928500000000006</v>
      </c>
      <c r="F1431" s="3151"/>
      <c r="G1431" s="78"/>
    </row>
    <row r="1432" spans="1:11" ht="12.75" hidden="1" customHeight="1" outlineLevel="1" x14ac:dyDescent="0.25">
      <c r="A1432" s="1956" t="s">
        <v>8396</v>
      </c>
      <c r="B1432" s="2185">
        <v>44501</v>
      </c>
      <c r="C1432" s="3203">
        <v>100</v>
      </c>
      <c r="D1432" s="3206">
        <v>154.64320000000001</v>
      </c>
      <c r="E1432" s="3204">
        <v>0.54643200000000003</v>
      </c>
      <c r="F1432" s="3151"/>
      <c r="G1432" s="78"/>
    </row>
    <row r="1433" spans="1:11" ht="12.75" hidden="1" customHeight="1" outlineLevel="1" x14ac:dyDescent="0.25">
      <c r="A1433" s="1956" t="s">
        <v>8397</v>
      </c>
      <c r="B1433" s="2185">
        <v>44531</v>
      </c>
      <c r="C1433" s="3203">
        <v>100</v>
      </c>
      <c r="D1433" s="3206">
        <v>164.0429</v>
      </c>
      <c r="E1433" s="3204">
        <v>0.64042900000000014</v>
      </c>
      <c r="F1433" s="3151"/>
      <c r="G1433" s="78"/>
    </row>
    <row r="1434" spans="1:11" ht="12.75" hidden="1" customHeight="1" outlineLevel="1" x14ac:dyDescent="0.25">
      <c r="A1434" s="1956" t="s">
        <v>8398</v>
      </c>
      <c r="B1434" s="2185">
        <v>44562</v>
      </c>
      <c r="C1434" s="3203">
        <v>100</v>
      </c>
      <c r="D1434" s="3206">
        <v>156.738</v>
      </c>
      <c r="E1434" s="3204">
        <v>0.56738</v>
      </c>
      <c r="F1434" s="3151"/>
      <c r="G1434" s="78"/>
    </row>
    <row r="1435" spans="1:11" ht="12.75" hidden="1" customHeight="1" outlineLevel="1" x14ac:dyDescent="0.25">
      <c r="A1435" s="1956" t="s">
        <v>8399</v>
      </c>
      <c r="B1435" s="2185">
        <v>44593</v>
      </c>
      <c r="C1435" s="3203">
        <v>100</v>
      </c>
      <c r="D1435" s="3206">
        <v>157.2073</v>
      </c>
      <c r="E1435" s="3204">
        <v>0.57207300000000005</v>
      </c>
      <c r="F1435" s="3151"/>
      <c r="G1435" s="78"/>
    </row>
    <row r="1436" spans="1:11" ht="12.75" hidden="1" customHeight="1" outlineLevel="1" x14ac:dyDescent="0.25">
      <c r="A1436" s="1956" t="s">
        <v>8400</v>
      </c>
      <c r="B1436" s="2185">
        <v>44621</v>
      </c>
      <c r="C1436" s="3203">
        <v>100</v>
      </c>
      <c r="D1436" s="3206">
        <v>163.2663</v>
      </c>
      <c r="E1436" s="3204">
        <v>0.63266299999999998</v>
      </c>
      <c r="F1436" s="3151"/>
      <c r="G1436" s="78"/>
    </row>
    <row r="1437" spans="1:11" ht="12.75" hidden="1" customHeight="1" outlineLevel="1" x14ac:dyDescent="0.25">
      <c r="A1437" s="1956" t="s">
        <v>8401</v>
      </c>
      <c r="B1437" s="2185">
        <v>44652</v>
      </c>
      <c r="C1437" s="3203">
        <v>100</v>
      </c>
      <c r="D1437" s="3206">
        <v>163.7114</v>
      </c>
      <c r="E1437" s="3204">
        <v>0.63711399999999996</v>
      </c>
      <c r="F1437" s="3151"/>
      <c r="G1437" s="78"/>
    </row>
    <row r="1438" spans="1:11" ht="12.75" hidden="1" customHeight="1" outlineLevel="1" x14ac:dyDescent="0.25">
      <c r="A1438" s="1956" t="s">
        <v>8402</v>
      </c>
      <c r="B1438" s="2185">
        <v>44682</v>
      </c>
      <c r="C1438" s="3203">
        <v>100</v>
      </c>
      <c r="D1438" s="3206">
        <v>163.5361</v>
      </c>
      <c r="E1438" s="3204">
        <v>0.63536100000000006</v>
      </c>
      <c r="F1438" s="3151"/>
      <c r="G1438" s="78"/>
    </row>
    <row r="1439" spans="1:11" ht="12.75" hidden="1" customHeight="1" outlineLevel="1" x14ac:dyDescent="0.25">
      <c r="A1439" s="1956" t="s">
        <v>8403</v>
      </c>
      <c r="B1439" s="2185">
        <v>44713</v>
      </c>
      <c r="C1439" s="3203">
        <v>100</v>
      </c>
      <c r="D1439" s="3206">
        <v>159.32050000000001</v>
      </c>
      <c r="E1439" s="3204">
        <v>0.5932050000000002</v>
      </c>
      <c r="F1439" s="3151"/>
      <c r="G1439" s="78"/>
    </row>
    <row r="1440" spans="1:11" ht="12.75" hidden="1" customHeight="1" outlineLevel="1" x14ac:dyDescent="0.25">
      <c r="A1440" s="1956" t="s">
        <v>8404</v>
      </c>
      <c r="B1440" s="2185">
        <v>44743</v>
      </c>
      <c r="C1440" s="3203">
        <v>100</v>
      </c>
      <c r="D1440" s="3206">
        <v>159.97049999999999</v>
      </c>
      <c r="E1440" s="3204">
        <v>0.59970499999999993</v>
      </c>
      <c r="F1440" s="3151"/>
      <c r="G1440" s="78"/>
    </row>
    <row r="1441" spans="1:15" ht="12.75" hidden="1" customHeight="1" outlineLevel="1" x14ac:dyDescent="0.25">
      <c r="A1441" s="1956" t="s">
        <v>8405</v>
      </c>
      <c r="B1441" s="2185">
        <v>44774</v>
      </c>
      <c r="C1441" s="3203">
        <v>100</v>
      </c>
      <c r="D1441" s="3206">
        <v>151.8169</v>
      </c>
      <c r="E1441" s="3204">
        <v>0.5181690000000001</v>
      </c>
      <c r="F1441" s="3151"/>
      <c r="G1441" s="78"/>
    </row>
    <row r="1442" spans="1:15" ht="12.75" hidden="1" customHeight="1" outlineLevel="1" x14ac:dyDescent="0.25">
      <c r="A1442" s="2189" t="s">
        <v>2734</v>
      </c>
      <c r="B1442" s="2190"/>
      <c r="C1442" s="3206"/>
      <c r="D1442" s="2191" t="s">
        <v>2465</v>
      </c>
      <c r="E1442" s="1987">
        <v>0.59007566666666666</v>
      </c>
      <c r="F1442" s="2528">
        <v>0.59007566666666666</v>
      </c>
      <c r="G1442" s="78"/>
    </row>
    <row r="1443" spans="1:15" collapsed="1" x14ac:dyDescent="0.25">
      <c r="A1443" s="3801" t="s">
        <v>8355</v>
      </c>
      <c r="B1443" s="3802"/>
      <c r="C1443" s="3802"/>
      <c r="D1443" s="3802"/>
      <c r="E1443" s="1906"/>
      <c r="F1443" s="1907">
        <v>0.59007566666666666</v>
      </c>
      <c r="G1443" s="78"/>
    </row>
    <row r="1445" spans="1:15" ht="12.75" hidden="1" customHeight="1" outlineLevel="1" x14ac:dyDescent="0.25">
      <c r="A1445" s="3180" t="s">
        <v>4156</v>
      </c>
      <c r="B1445" s="3180" t="s">
        <v>4153</v>
      </c>
      <c r="C1445" s="3582" t="s">
        <v>112</v>
      </c>
      <c r="D1445" s="3192" t="s">
        <v>4155</v>
      </c>
      <c r="E1445" s="3180" t="s">
        <v>4154</v>
      </c>
      <c r="F1445" s="3192" t="s">
        <v>2519</v>
      </c>
      <c r="G1445" s="3243"/>
      <c r="H1445" s="1813"/>
      <c r="I1445" s="412"/>
      <c r="J1445" s="1462"/>
      <c r="K1445" s="1462"/>
      <c r="L1445" s="1462"/>
      <c r="M1445" s="1462"/>
      <c r="N1445" s="1462"/>
      <c r="O1445" s="1462"/>
    </row>
    <row r="1446" spans="1:15" ht="12.75" hidden="1" customHeight="1" outlineLevel="1" x14ac:dyDescent="0.25">
      <c r="A1446" s="1991">
        <v>0.02</v>
      </c>
      <c r="B1446" s="1921" t="s">
        <v>359</v>
      </c>
      <c r="C1446" s="2108">
        <v>160.01</v>
      </c>
      <c r="D1446" s="3194">
        <v>200.9</v>
      </c>
      <c r="E1446" s="3269">
        <v>0.25554652834197866</v>
      </c>
      <c r="F1446" s="3004">
        <v>5.1109305668395732E-3</v>
      </c>
      <c r="G1446" s="1813"/>
      <c r="H1446" s="1813" t="s">
        <v>360</v>
      </c>
      <c r="I1446" s="412"/>
      <c r="K1446" s="434"/>
    </row>
    <row r="1447" spans="1:15" ht="12.75" hidden="1" customHeight="1" outlineLevel="1" x14ac:dyDescent="0.25">
      <c r="A1447" s="2380">
        <v>0.02</v>
      </c>
      <c r="B1447" s="1921" t="s">
        <v>7753</v>
      </c>
      <c r="C1447" s="2108">
        <v>128.72</v>
      </c>
      <c r="D1447" s="3196">
        <v>142.69999999999999</v>
      </c>
      <c r="E1447" s="3270">
        <v>0.1086078309509011</v>
      </c>
      <c r="F1447" s="3007">
        <v>2.1721566190180219E-3</v>
      </c>
      <c r="G1447" s="1813"/>
      <c r="H1447" s="1813" t="s">
        <v>8901</v>
      </c>
      <c r="I1447" s="412"/>
      <c r="K1447" s="434"/>
    </row>
    <row r="1448" spans="1:15" ht="12.75" hidden="1" customHeight="1" outlineLevel="1" x14ac:dyDescent="0.25">
      <c r="A1448" s="2380">
        <v>0.05</v>
      </c>
      <c r="B1448" s="1921" t="s">
        <v>807</v>
      </c>
      <c r="C1448" s="2108">
        <v>58.201999999999998</v>
      </c>
      <c r="D1448" s="3196">
        <v>59.49</v>
      </c>
      <c r="E1448" s="3270">
        <v>2.2129823717398134E-2</v>
      </c>
      <c r="F1448" s="3007">
        <v>1.1064911858699067E-3</v>
      </c>
      <c r="G1448" s="1813"/>
      <c r="H1448" s="1813" t="s">
        <v>808</v>
      </c>
      <c r="I1448" s="412"/>
      <c r="K1448" s="434"/>
    </row>
    <row r="1449" spans="1:15" ht="12.75" hidden="1" customHeight="1" outlineLevel="1" x14ac:dyDescent="0.25">
      <c r="A1449" s="2380">
        <v>0.02</v>
      </c>
      <c r="B1449" s="1921" t="s">
        <v>3954</v>
      </c>
      <c r="C1449" s="2108">
        <v>55.491999999999997</v>
      </c>
      <c r="D1449" s="3196">
        <v>54.77</v>
      </c>
      <c r="E1449" s="3270">
        <v>-1.3010884451812754E-2</v>
      </c>
      <c r="F1449" s="3007">
        <v>-2.6021768903625511E-4</v>
      </c>
      <c r="G1449" s="1813"/>
      <c r="H1449" s="1813" t="s">
        <v>3955</v>
      </c>
      <c r="I1449" s="412"/>
      <c r="K1449" s="434"/>
    </row>
    <row r="1450" spans="1:15" ht="12.75" hidden="1" customHeight="1" outlineLevel="1" x14ac:dyDescent="0.25">
      <c r="A1450" s="2380">
        <v>0.02</v>
      </c>
      <c r="B1450" s="1921" t="s">
        <v>7114</v>
      </c>
      <c r="C1450" s="2108">
        <v>116.498</v>
      </c>
      <c r="D1450" s="3196">
        <v>168.16</v>
      </c>
      <c r="E1450" s="3270">
        <v>0.44345825679410789</v>
      </c>
      <c r="F1450" s="3007">
        <v>8.869165135882158E-3</v>
      </c>
      <c r="G1450" s="1813"/>
      <c r="H1450" s="1813" t="s">
        <v>7115</v>
      </c>
      <c r="I1450" s="412"/>
      <c r="K1450" s="434"/>
    </row>
    <row r="1451" spans="1:15" ht="12.75" hidden="1" customHeight="1" outlineLevel="1" x14ac:dyDescent="0.25">
      <c r="A1451" s="2380">
        <v>0.02</v>
      </c>
      <c r="B1451" s="1921" t="s">
        <v>6267</v>
      </c>
      <c r="C1451" s="2108">
        <v>24.036999999999999</v>
      </c>
      <c r="D1451" s="3196">
        <v>15.525</v>
      </c>
      <c r="E1451" s="3270">
        <v>-0.35412073054041682</v>
      </c>
      <c r="F1451" s="3007">
        <v>-7.0824146108083366E-3</v>
      </c>
      <c r="G1451" s="1813"/>
      <c r="H1451" s="1813" t="s">
        <v>6268</v>
      </c>
      <c r="I1451" s="412"/>
      <c r="K1451" s="434"/>
    </row>
    <row r="1452" spans="1:15" ht="12.75" hidden="1" customHeight="1" outlineLevel="1" x14ac:dyDescent="0.25">
      <c r="A1452" s="2380">
        <v>0.02</v>
      </c>
      <c r="B1452" s="1921" t="s">
        <v>4268</v>
      </c>
      <c r="C1452" s="2108">
        <v>14.954000000000001</v>
      </c>
      <c r="D1452" s="3196">
        <v>15.54</v>
      </c>
      <c r="E1452" s="3270">
        <v>3.9186839641567328E-2</v>
      </c>
      <c r="F1452" s="3007">
        <v>7.8373679283134663E-4</v>
      </c>
      <c r="G1452" s="1813"/>
      <c r="H1452" s="1813" t="s">
        <v>8442</v>
      </c>
      <c r="I1452" s="412"/>
      <c r="K1452" s="434"/>
    </row>
    <row r="1453" spans="1:15" ht="12.75" hidden="1" customHeight="1" outlineLevel="1" x14ac:dyDescent="0.25">
      <c r="A1453" s="2380">
        <v>0.02</v>
      </c>
      <c r="B1453" s="1921" t="s">
        <v>3799</v>
      </c>
      <c r="C1453" s="2108">
        <v>15.752000000000001</v>
      </c>
      <c r="D1453" s="3196">
        <v>14.375999999999999</v>
      </c>
      <c r="E1453" s="3270">
        <v>-8.7353986795327687E-2</v>
      </c>
      <c r="F1453" s="3007">
        <v>-1.7470797359065537E-3</v>
      </c>
      <c r="G1453" s="1813"/>
      <c r="H1453" s="1813" t="s">
        <v>4128</v>
      </c>
      <c r="I1453" s="412"/>
      <c r="K1453" s="434"/>
    </row>
    <row r="1454" spans="1:15" ht="12.75" hidden="1" customHeight="1" outlineLevel="1" x14ac:dyDescent="0.25">
      <c r="A1454" s="2380">
        <v>0.02</v>
      </c>
      <c r="B1454" s="1921" t="s">
        <v>1031</v>
      </c>
      <c r="C1454" s="2108">
        <v>6.0115999999999996</v>
      </c>
      <c r="D1454" s="3196">
        <v>10.93</v>
      </c>
      <c r="E1454" s="3270">
        <v>0.81815157362432633</v>
      </c>
      <c r="F1454" s="3007">
        <v>1.6363031472486526E-2</v>
      </c>
      <c r="G1454" s="1813"/>
      <c r="H1454" s="1813" t="s">
        <v>7872</v>
      </c>
      <c r="I1454" s="412"/>
      <c r="K1454" s="434"/>
    </row>
    <row r="1455" spans="1:15" ht="12.75" hidden="1" customHeight="1" outlineLevel="1" x14ac:dyDescent="0.25">
      <c r="A1455" s="2380">
        <v>0.02</v>
      </c>
      <c r="B1455" s="1921" t="s">
        <v>4143</v>
      </c>
      <c r="C1455" s="2108">
        <v>2.7897880836073399</v>
      </c>
      <c r="D1455" s="3196">
        <v>2.89</v>
      </c>
      <c r="E1455" s="3270">
        <v>3.5920978006000137E-2</v>
      </c>
      <c r="F1455" s="3007">
        <v>7.1841956012000277E-4</v>
      </c>
      <c r="G1455" s="1813"/>
      <c r="H1455" s="1813" t="s">
        <v>4144</v>
      </c>
      <c r="I1455" s="412"/>
      <c r="K1455" s="434"/>
    </row>
    <row r="1456" spans="1:15" ht="12.75" hidden="1" customHeight="1" outlineLevel="1" x14ac:dyDescent="0.25">
      <c r="A1456" s="2380">
        <v>0.02</v>
      </c>
      <c r="B1456" s="1921" t="s">
        <v>1772</v>
      </c>
      <c r="C1456" s="2108">
        <v>177.88</v>
      </c>
      <c r="D1456" s="3196">
        <v>304</v>
      </c>
      <c r="E1456" s="3270">
        <v>0.70901731504384991</v>
      </c>
      <c r="F1456" s="3007">
        <v>1.4180346300876999E-2</v>
      </c>
      <c r="G1456" s="1813"/>
      <c r="H1456" s="1813" t="s">
        <v>4330</v>
      </c>
      <c r="I1456" s="412"/>
      <c r="K1456" s="434"/>
    </row>
    <row r="1457" spans="1:11" ht="12.75" hidden="1" customHeight="1" outlineLevel="1" x14ac:dyDescent="0.25">
      <c r="A1457" s="2380">
        <v>0.08</v>
      </c>
      <c r="B1457" s="1921" t="s">
        <v>8336</v>
      </c>
      <c r="C1457" s="2108">
        <v>31.221</v>
      </c>
      <c r="D1457" s="3196">
        <v>30.06</v>
      </c>
      <c r="E1457" s="3270">
        <v>-3.7186509080426644E-2</v>
      </c>
      <c r="F1457" s="3007">
        <v>-2.9749207264341314E-3</v>
      </c>
      <c r="G1457" s="1813"/>
      <c r="H1457" s="1813" t="s">
        <v>8337</v>
      </c>
      <c r="I1457" s="412"/>
      <c r="K1457" s="434"/>
    </row>
    <row r="1458" spans="1:11" ht="12.75" hidden="1" customHeight="1" outlineLevel="1" x14ac:dyDescent="0.25">
      <c r="A1458" s="2380">
        <v>0.02</v>
      </c>
      <c r="B1458" s="1921" t="s">
        <v>7754</v>
      </c>
      <c r="C1458" s="2519">
        <v>55.142000000000003</v>
      </c>
      <c r="D1458" s="3196">
        <v>91.23</v>
      </c>
      <c r="E1458" s="3270">
        <v>0.65445576874251921</v>
      </c>
      <c r="F1458" s="3007">
        <v>1.3089115374850385E-2</v>
      </c>
      <c r="G1458" s="1813"/>
      <c r="H1458" s="1813" t="s">
        <v>7751</v>
      </c>
      <c r="I1458" s="412"/>
      <c r="K1458" s="434"/>
    </row>
    <row r="1459" spans="1:11" ht="12.75" hidden="1" customHeight="1" outlineLevel="1" x14ac:dyDescent="0.25">
      <c r="A1459" s="2380">
        <v>0.03</v>
      </c>
      <c r="B1459" s="1921" t="s">
        <v>2786</v>
      </c>
      <c r="C1459" s="2108">
        <v>9.5092215749126741</v>
      </c>
      <c r="D1459" s="3196">
        <v>9.9740000000000002</v>
      </c>
      <c r="E1459" s="3270">
        <v>4.8876600616133414E-2</v>
      </c>
      <c r="F1459" s="3007">
        <v>1.4662980184840023E-3</v>
      </c>
      <c r="G1459" s="1813"/>
      <c r="H1459" s="1813" t="s">
        <v>4195</v>
      </c>
      <c r="I1459" s="412"/>
      <c r="K1459" s="434"/>
    </row>
    <row r="1460" spans="1:11" ht="12.75" hidden="1" customHeight="1" outlineLevel="1" x14ac:dyDescent="0.25">
      <c r="A1460" s="2380">
        <v>0.02</v>
      </c>
      <c r="B1460" s="1921" t="s">
        <v>1203</v>
      </c>
      <c r="C1460" s="2108">
        <v>100.62</v>
      </c>
      <c r="D1460" s="3196">
        <v>111.68</v>
      </c>
      <c r="E1460" s="3270">
        <v>0.10991850526734259</v>
      </c>
      <c r="F1460" s="3007">
        <v>2.1983701053468517E-3</v>
      </c>
      <c r="G1460" s="1813"/>
      <c r="H1460" s="1813" t="s">
        <v>79</v>
      </c>
      <c r="I1460" s="412"/>
      <c r="K1460" s="434"/>
    </row>
    <row r="1461" spans="1:11" ht="12.75" hidden="1" customHeight="1" outlineLevel="1" x14ac:dyDescent="0.25">
      <c r="A1461" s="2380">
        <v>0.05</v>
      </c>
      <c r="B1461" s="1921" t="s">
        <v>3793</v>
      </c>
      <c r="C1461" s="2108">
        <v>91.929000000000002</v>
      </c>
      <c r="D1461" s="3196">
        <v>101.21</v>
      </c>
      <c r="E1461" s="3270">
        <v>0.10095834829052852</v>
      </c>
      <c r="F1461" s="3007">
        <v>5.0479174145264261E-3</v>
      </c>
      <c r="G1461" s="1813"/>
      <c r="H1461" s="1813" t="s">
        <v>3533</v>
      </c>
      <c r="I1461" s="412"/>
      <c r="K1461" s="434"/>
    </row>
    <row r="1462" spans="1:11" ht="12.75" hidden="1" customHeight="1" outlineLevel="1" x14ac:dyDescent="0.25">
      <c r="A1462" s="2380">
        <v>0.02</v>
      </c>
      <c r="B1462" s="1921" t="s">
        <v>2769</v>
      </c>
      <c r="C1462" s="2108">
        <v>34.368000000000002</v>
      </c>
      <c r="D1462" s="3196">
        <v>29.22</v>
      </c>
      <c r="E1462" s="3270">
        <v>-0.1497905027932962</v>
      </c>
      <c r="F1462" s="3007">
        <v>-2.9958100558659241E-3</v>
      </c>
      <c r="G1462" s="1813"/>
      <c r="H1462" s="1813" t="s">
        <v>2770</v>
      </c>
      <c r="I1462" s="412"/>
      <c r="K1462" s="434"/>
    </row>
    <row r="1463" spans="1:11" ht="12.75" hidden="1" customHeight="1" outlineLevel="1" x14ac:dyDescent="0.25">
      <c r="A1463" s="2380">
        <v>0.02</v>
      </c>
      <c r="B1463" s="1921" t="s">
        <v>10667</v>
      </c>
      <c r="C1463" s="2108">
        <v>22.582999999999998</v>
      </c>
      <c r="D1463" s="3196">
        <v>23.26</v>
      </c>
      <c r="E1463" s="3270">
        <v>2.9978302262764212E-2</v>
      </c>
      <c r="F1463" s="3007">
        <v>5.9956604525528427E-4</v>
      </c>
      <c r="G1463" s="1813"/>
      <c r="H1463" s="1813" t="s">
        <v>10668</v>
      </c>
      <c r="I1463" s="412"/>
      <c r="K1463" s="434"/>
    </row>
    <row r="1464" spans="1:11" ht="12.75" hidden="1" customHeight="1" outlineLevel="1" x14ac:dyDescent="0.25">
      <c r="A1464" s="2380">
        <v>0.02</v>
      </c>
      <c r="B1464" s="1921" t="s">
        <v>6270</v>
      </c>
      <c r="C1464" s="2108">
        <v>39.887779640982501</v>
      </c>
      <c r="D1464" s="3196">
        <v>48.82</v>
      </c>
      <c r="E1464" s="3270">
        <v>0.22393375714100006</v>
      </c>
      <c r="F1464" s="3007">
        <v>4.4786751428200012E-3</v>
      </c>
      <c r="G1464" s="1813"/>
      <c r="H1464" s="1813" t="s">
        <v>8166</v>
      </c>
      <c r="I1464" s="412"/>
      <c r="K1464" s="434"/>
    </row>
    <row r="1465" spans="1:11" ht="12.75" hidden="1" customHeight="1" outlineLevel="1" x14ac:dyDescent="0.25">
      <c r="A1465" s="2380">
        <v>0.02</v>
      </c>
      <c r="B1465" s="1921" t="s">
        <v>6524</v>
      </c>
      <c r="C1465" s="2108">
        <v>95.331277476202047</v>
      </c>
      <c r="D1465" s="3196">
        <v>119.95</v>
      </c>
      <c r="E1465" s="3270">
        <v>0.25824391716499995</v>
      </c>
      <c r="F1465" s="3007">
        <v>5.164878343299999E-3</v>
      </c>
      <c r="G1465" s="1813"/>
      <c r="H1465" s="1813" t="s">
        <v>6525</v>
      </c>
      <c r="I1465" s="412"/>
      <c r="K1465" s="434"/>
    </row>
    <row r="1466" spans="1:11" ht="12.75" hidden="1" customHeight="1" outlineLevel="1" x14ac:dyDescent="0.25">
      <c r="A1466" s="2380">
        <v>0.05</v>
      </c>
      <c r="B1466" s="1921" t="s">
        <v>6116</v>
      </c>
      <c r="C1466" s="2108">
        <v>3.8086000000000002</v>
      </c>
      <c r="D1466" s="3196">
        <v>4.5270000000000001</v>
      </c>
      <c r="E1466" s="3270">
        <v>0.18862574174237245</v>
      </c>
      <c r="F1466" s="3007">
        <v>9.4312870871186231E-3</v>
      </c>
      <c r="G1466" s="1813"/>
      <c r="H1466" s="1813" t="s">
        <v>6114</v>
      </c>
      <c r="I1466" s="412"/>
      <c r="K1466" s="434"/>
    </row>
    <row r="1467" spans="1:11" ht="12.75" hidden="1" customHeight="1" outlineLevel="1" x14ac:dyDescent="0.25">
      <c r="A1467" s="2380">
        <v>0.02</v>
      </c>
      <c r="B1467" s="1921" t="s">
        <v>10538</v>
      </c>
      <c r="C1467" s="2108">
        <v>13.394354278867795</v>
      </c>
      <c r="D1467" s="3196">
        <v>12.04</v>
      </c>
      <c r="E1467" s="3270">
        <v>-0.10111381636399996</v>
      </c>
      <c r="F1467" s="3007">
        <v>-2.0222763272799995E-3</v>
      </c>
      <c r="G1467" s="1813"/>
      <c r="H1467" s="1813" t="s">
        <v>7628</v>
      </c>
      <c r="I1467" s="412"/>
      <c r="K1467" s="434"/>
    </row>
    <row r="1468" spans="1:11" ht="12.75" hidden="1" customHeight="1" outlineLevel="1" x14ac:dyDescent="0.25">
      <c r="A1468" s="2380">
        <v>0.08</v>
      </c>
      <c r="B1468" s="1921" t="s">
        <v>1724</v>
      </c>
      <c r="C1468" s="2108">
        <v>212.14101146681037</v>
      </c>
      <c r="D1468" s="3196">
        <v>177.3</v>
      </c>
      <c r="E1468" s="3270">
        <v>-0.16423515295750002</v>
      </c>
      <c r="F1468" s="3007">
        <v>-1.3138812236600001E-2</v>
      </c>
      <c r="G1468" s="1813"/>
      <c r="H1468" s="1813" t="s">
        <v>1725</v>
      </c>
      <c r="I1468" s="412"/>
      <c r="K1468" s="434"/>
    </row>
    <row r="1469" spans="1:11" ht="12.75" hidden="1" customHeight="1" outlineLevel="1" x14ac:dyDescent="0.25">
      <c r="A1469" s="2380">
        <v>0.02</v>
      </c>
      <c r="B1469" s="1921" t="s">
        <v>8338</v>
      </c>
      <c r="C1469" s="2108">
        <v>77.924999999999997</v>
      </c>
      <c r="D1469" s="3196">
        <v>68.7</v>
      </c>
      <c r="E1469" s="3270">
        <v>-0.11838306063522608</v>
      </c>
      <c r="F1469" s="3007">
        <v>-2.3676612127045216E-3</v>
      </c>
      <c r="G1469" s="1813"/>
      <c r="H1469" s="1813" t="s">
        <v>8339</v>
      </c>
      <c r="I1469" s="412"/>
      <c r="K1469" s="434"/>
    </row>
    <row r="1470" spans="1:11" ht="12.75" hidden="1" customHeight="1" outlineLevel="1" x14ac:dyDescent="0.25">
      <c r="A1470" s="2380">
        <v>0.08</v>
      </c>
      <c r="B1470" s="1921" t="s">
        <v>6118</v>
      </c>
      <c r="C1470" s="2108">
        <v>94.93</v>
      </c>
      <c r="D1470" s="3196">
        <v>86.48</v>
      </c>
      <c r="E1470" s="3270">
        <v>-8.9012956915622055E-2</v>
      </c>
      <c r="F1470" s="3007">
        <v>-7.1210365532497644E-3</v>
      </c>
      <c r="G1470" s="1813"/>
      <c r="H1470" s="1813" t="s">
        <v>8893</v>
      </c>
      <c r="I1470" s="412"/>
      <c r="K1470" s="434"/>
    </row>
    <row r="1471" spans="1:11" ht="12.75" hidden="1" customHeight="1" outlineLevel="1" x14ac:dyDescent="0.25">
      <c r="A1471" s="2380">
        <v>0.08</v>
      </c>
      <c r="B1471" s="1921" t="s">
        <v>1239</v>
      </c>
      <c r="C1471" s="2108">
        <v>457.97</v>
      </c>
      <c r="D1471" s="3196">
        <v>506.6</v>
      </c>
      <c r="E1471" s="3270">
        <v>0.10618599471581103</v>
      </c>
      <c r="F1471" s="3007">
        <v>8.494879577264882E-3</v>
      </c>
      <c r="G1471" s="1813"/>
      <c r="H1471" s="1813" t="s">
        <v>8891</v>
      </c>
      <c r="I1471" s="412"/>
      <c r="K1471" s="434"/>
    </row>
    <row r="1472" spans="1:11" ht="12.75" hidden="1" customHeight="1" outlineLevel="1" x14ac:dyDescent="0.25">
      <c r="A1472" s="2380">
        <v>0.08</v>
      </c>
      <c r="B1472" s="1921" t="s">
        <v>6945</v>
      </c>
      <c r="C1472" s="2108">
        <v>61.468604360946991</v>
      </c>
      <c r="D1472" s="3196">
        <v>85.1</v>
      </c>
      <c r="E1472" s="3270">
        <v>0.38444659488749999</v>
      </c>
      <c r="F1472" s="3007">
        <v>3.0755727590999999E-2</v>
      </c>
      <c r="G1472" s="1813"/>
      <c r="H1472" s="1813" t="s">
        <v>6943</v>
      </c>
      <c r="I1472" s="412"/>
      <c r="K1472" s="434"/>
    </row>
    <row r="1473" spans="1:11" ht="12.75" hidden="1" customHeight="1" outlineLevel="1" x14ac:dyDescent="0.25">
      <c r="A1473" s="2380">
        <v>0.02</v>
      </c>
      <c r="B1473" s="1921" t="s">
        <v>6337</v>
      </c>
      <c r="C1473" s="2108">
        <v>66.97</v>
      </c>
      <c r="D1473" s="3196">
        <v>87.67</v>
      </c>
      <c r="E1473" s="3270">
        <v>0.30909362401075113</v>
      </c>
      <c r="F1473" s="3007">
        <v>6.1818724802150228E-3</v>
      </c>
      <c r="G1473" s="1813"/>
      <c r="H1473" s="1813" t="s">
        <v>7752</v>
      </c>
      <c r="I1473" s="412"/>
      <c r="K1473" s="434"/>
    </row>
    <row r="1474" spans="1:11" ht="12.75" hidden="1" customHeight="1" outlineLevel="1" x14ac:dyDescent="0.25">
      <c r="A1474" s="2380">
        <v>0.02</v>
      </c>
      <c r="B1474" s="1921" t="s">
        <v>10633</v>
      </c>
      <c r="C1474" s="2108">
        <v>48.365000000000002</v>
      </c>
      <c r="D1474" s="3196">
        <v>58.65</v>
      </c>
      <c r="E1474" s="3270">
        <v>0.21265377855887513</v>
      </c>
      <c r="F1474" s="3007">
        <v>4.2530755711775023E-3</v>
      </c>
      <c r="G1474" s="1813"/>
      <c r="H1474" s="1813" t="s">
        <v>10634</v>
      </c>
      <c r="I1474" s="412"/>
      <c r="K1474" s="434"/>
    </row>
    <row r="1475" spans="1:11" ht="12.75" hidden="1" customHeight="1" outlineLevel="1" x14ac:dyDescent="0.25">
      <c r="A1475" s="2380">
        <v>0.02</v>
      </c>
      <c r="B1475" s="2109" t="s">
        <v>255</v>
      </c>
      <c r="C1475" s="2108">
        <v>52.646000000000001</v>
      </c>
      <c r="D1475" s="3199">
        <v>39.4</v>
      </c>
      <c r="E1475" s="3270">
        <v>-0.25160506021350149</v>
      </c>
      <c r="F1475" s="3007">
        <v>-5.0321012042700295E-3</v>
      </c>
      <c r="G1475" s="1813"/>
      <c r="H1475" s="1813" t="s">
        <v>3351</v>
      </c>
      <c r="I1475" s="412"/>
      <c r="K1475" s="434"/>
    </row>
    <row r="1476" spans="1:11" ht="12.75" hidden="1" customHeight="1" outlineLevel="1" x14ac:dyDescent="0.25">
      <c r="A1476" s="2181"/>
      <c r="B1476" s="2103"/>
      <c r="C1476" s="3200">
        <v>100</v>
      </c>
      <c r="D1476" s="3201"/>
      <c r="E1476" s="3202"/>
      <c r="F1476" s="3202">
        <v>9.5723610033128001E-2</v>
      </c>
      <c r="G1476" s="3243"/>
      <c r="H1476" s="1813"/>
    </row>
    <row r="1477" spans="1:11" ht="12.75" hidden="1" customHeight="1" outlineLevel="1" x14ac:dyDescent="0.25">
      <c r="A1477" s="1956" t="s">
        <v>8502</v>
      </c>
      <c r="B1477" s="2185">
        <v>44562</v>
      </c>
      <c r="C1477" s="3203">
        <v>100</v>
      </c>
      <c r="D1477" s="3203">
        <v>120.178</v>
      </c>
      <c r="E1477" s="3204">
        <v>0.20178000000000007</v>
      </c>
      <c r="F1477" s="3151"/>
      <c r="G1477" s="3243"/>
      <c r="H1477" s="1813"/>
    </row>
    <row r="1478" spans="1:11" ht="12.75" hidden="1" customHeight="1" outlineLevel="1" x14ac:dyDescent="0.25">
      <c r="A1478" s="1956" t="s">
        <v>8503</v>
      </c>
      <c r="B1478" s="2185">
        <v>44593</v>
      </c>
      <c r="C1478" s="3203">
        <v>100</v>
      </c>
      <c r="D1478" s="3206">
        <v>115.7525</v>
      </c>
      <c r="E1478" s="3204">
        <v>0.15752499999999992</v>
      </c>
      <c r="F1478" s="3151"/>
      <c r="G1478" s="3243"/>
      <c r="H1478" s="1813"/>
    </row>
    <row r="1479" spans="1:11" ht="12.75" hidden="1" customHeight="1" outlineLevel="1" x14ac:dyDescent="0.25">
      <c r="A1479" s="1956" t="s">
        <v>8504</v>
      </c>
      <c r="B1479" s="2185">
        <v>44621</v>
      </c>
      <c r="C1479" s="3203">
        <v>100</v>
      </c>
      <c r="D1479" s="3206">
        <v>118.50839999999999</v>
      </c>
      <c r="E1479" s="3204">
        <v>0.18508400000000003</v>
      </c>
      <c r="F1479" s="3151"/>
      <c r="G1479" s="3243"/>
      <c r="H1479" s="1813"/>
    </row>
    <row r="1480" spans="1:11" ht="12.75" hidden="1" customHeight="1" outlineLevel="1" x14ac:dyDescent="0.25">
      <c r="A1480" s="1956" t="s">
        <v>8505</v>
      </c>
      <c r="B1480" s="2185">
        <v>44652</v>
      </c>
      <c r="C1480" s="3203">
        <v>100</v>
      </c>
      <c r="D1480" s="3206">
        <v>119.08320000000001</v>
      </c>
      <c r="E1480" s="3204">
        <v>0.19083200000000011</v>
      </c>
      <c r="F1480" s="3151"/>
      <c r="G1480" s="3243"/>
      <c r="H1480" s="1813"/>
    </row>
    <row r="1481" spans="1:11" ht="12.75" hidden="1" customHeight="1" outlineLevel="1" x14ac:dyDescent="0.25">
      <c r="A1481" s="1956" t="s">
        <v>8506</v>
      </c>
      <c r="B1481" s="2185">
        <v>44682</v>
      </c>
      <c r="C1481" s="3203">
        <v>100</v>
      </c>
      <c r="D1481" s="3206">
        <v>117.77500000000001</v>
      </c>
      <c r="E1481" s="3204">
        <v>0.17775000000000007</v>
      </c>
      <c r="F1481" s="3151"/>
      <c r="G1481" s="3243"/>
      <c r="H1481" s="1813"/>
    </row>
    <row r="1482" spans="1:11" ht="12.75" hidden="1" customHeight="1" outlineLevel="1" x14ac:dyDescent="0.25">
      <c r="A1482" s="1956" t="s">
        <v>8507</v>
      </c>
      <c r="B1482" s="2185">
        <v>44713</v>
      </c>
      <c r="C1482" s="3203">
        <v>100</v>
      </c>
      <c r="D1482" s="3206">
        <v>109.6985</v>
      </c>
      <c r="E1482" s="3204">
        <v>9.6984999999999877E-2</v>
      </c>
      <c r="F1482" s="3151"/>
      <c r="G1482" s="3243"/>
      <c r="H1482" s="1813"/>
    </row>
    <row r="1483" spans="1:11" ht="12.75" hidden="1" customHeight="1" outlineLevel="1" x14ac:dyDescent="0.25">
      <c r="A1483" s="1956" t="s">
        <v>8508</v>
      </c>
      <c r="B1483" s="2185">
        <v>44743</v>
      </c>
      <c r="C1483" s="3203">
        <v>100</v>
      </c>
      <c r="D1483" s="3206">
        <v>110.23779999999999</v>
      </c>
      <c r="E1483" s="3204">
        <v>0.10237799999999986</v>
      </c>
      <c r="F1483" s="3151"/>
      <c r="G1483" s="3243"/>
      <c r="H1483" s="1813"/>
    </row>
    <row r="1484" spans="1:11" ht="12.75" hidden="1" customHeight="1" outlineLevel="1" x14ac:dyDescent="0.25">
      <c r="A1484" s="1956" t="s">
        <v>8509</v>
      </c>
      <c r="B1484" s="2185">
        <v>44774</v>
      </c>
      <c r="C1484" s="3203">
        <v>100</v>
      </c>
      <c r="D1484" s="3206">
        <v>108.8318</v>
      </c>
      <c r="E1484" s="3204">
        <v>8.8318000000000119E-2</v>
      </c>
      <c r="F1484" s="3151"/>
      <c r="G1484" s="3243"/>
      <c r="H1484" s="1813"/>
    </row>
    <row r="1485" spans="1:11" ht="12.75" hidden="1" customHeight="1" outlineLevel="1" x14ac:dyDescent="0.25">
      <c r="A1485" s="1956" t="s">
        <v>8510</v>
      </c>
      <c r="B1485" s="2185">
        <v>44805</v>
      </c>
      <c r="C1485" s="3203">
        <v>100</v>
      </c>
      <c r="D1485" s="3206">
        <v>101.4118</v>
      </c>
      <c r="E1485" s="3204">
        <v>1.4118000000000075E-2</v>
      </c>
      <c r="F1485" s="3151"/>
      <c r="G1485" s="3243"/>
      <c r="H1485" s="1813"/>
    </row>
    <row r="1486" spans="1:11" ht="12.75" hidden="1" customHeight="1" outlineLevel="1" x14ac:dyDescent="0.25">
      <c r="A1486" s="1956" t="s">
        <v>8511</v>
      </c>
      <c r="B1486" s="2185">
        <v>44835</v>
      </c>
      <c r="C1486" s="3203">
        <v>100</v>
      </c>
      <c r="D1486" s="3206">
        <v>106.7225</v>
      </c>
      <c r="E1486" s="3204">
        <v>6.7224999999999868E-2</v>
      </c>
      <c r="F1486" s="3151"/>
      <c r="G1486" s="3243"/>
      <c r="H1486" s="1813"/>
    </row>
    <row r="1487" spans="1:11" ht="12.75" hidden="1" customHeight="1" outlineLevel="1" x14ac:dyDescent="0.25">
      <c r="A1487" s="1956" t="s">
        <v>8512</v>
      </c>
      <c r="B1487" s="2185">
        <v>44866</v>
      </c>
      <c r="C1487" s="3203">
        <v>100</v>
      </c>
      <c r="D1487" s="3206">
        <v>111.93989999999999</v>
      </c>
      <c r="E1487" s="3204">
        <v>0.11939900000000003</v>
      </c>
      <c r="F1487" s="3151"/>
      <c r="G1487" s="3243"/>
      <c r="H1487" s="1813"/>
    </row>
    <row r="1488" spans="1:11" ht="12.75" hidden="1" customHeight="1" outlineLevel="1" x14ac:dyDescent="0.25">
      <c r="A1488" s="1956" t="s">
        <v>8513</v>
      </c>
      <c r="B1488" s="2185">
        <v>44896</v>
      </c>
      <c r="C1488" s="3203">
        <v>100</v>
      </c>
      <c r="D1488" s="3206">
        <v>109.5733</v>
      </c>
      <c r="E1488" s="3204">
        <v>9.5733000000000068E-2</v>
      </c>
      <c r="F1488" s="3151"/>
      <c r="G1488" s="3243"/>
      <c r="H1488" s="1813"/>
    </row>
    <row r="1489" spans="1:18" ht="12.75" hidden="1" customHeight="1" outlineLevel="1" x14ac:dyDescent="0.25">
      <c r="A1489" s="2189" t="s">
        <v>2734</v>
      </c>
      <c r="B1489" s="2190"/>
      <c r="C1489" s="3206"/>
      <c r="D1489" s="2191" t="s">
        <v>2465</v>
      </c>
      <c r="E1489" s="1987">
        <v>0.12476058333333334</v>
      </c>
      <c r="F1489" s="2528"/>
      <c r="G1489" s="3243"/>
      <c r="H1489" s="1813"/>
    </row>
    <row r="1490" spans="1:18" collapsed="1" x14ac:dyDescent="0.25">
      <c r="A1490" s="3801" t="s">
        <v>8488</v>
      </c>
      <c r="B1490" s="3802"/>
      <c r="C1490" s="3802"/>
      <c r="D1490" s="3802"/>
      <c r="E1490" s="1906"/>
      <c r="F1490" s="1907">
        <v>0.12476058333333334</v>
      </c>
      <c r="G1490" s="3560"/>
      <c r="H1490" s="2432"/>
    </row>
    <row r="1492" spans="1:18" ht="12.75" hidden="1" customHeight="1" outlineLevel="1" x14ac:dyDescent="0.25">
      <c r="A1492" s="3180" t="s">
        <v>4156</v>
      </c>
      <c r="B1492" s="3180" t="s">
        <v>4153</v>
      </c>
      <c r="C1492" s="3590" t="s">
        <v>112</v>
      </c>
      <c r="D1492" s="3192" t="s">
        <v>4155</v>
      </c>
      <c r="E1492" s="3180" t="s">
        <v>4154</v>
      </c>
      <c r="F1492" s="3192" t="s">
        <v>2519</v>
      </c>
      <c r="G1492" s="12"/>
      <c r="H1492" s="415"/>
      <c r="I1492" s="412" t="s">
        <v>6964</v>
      </c>
      <c r="J1492" s="1462">
        <v>42795</v>
      </c>
      <c r="K1492" s="1462">
        <v>42826</v>
      </c>
      <c r="L1492" s="1462">
        <v>42856</v>
      </c>
      <c r="M1492" s="1462">
        <v>42887</v>
      </c>
      <c r="N1492" s="1462">
        <v>42917</v>
      </c>
      <c r="O1492" s="1462">
        <v>42948</v>
      </c>
    </row>
    <row r="1493" spans="1:18" ht="12.75" hidden="1" customHeight="1" outlineLevel="1" x14ac:dyDescent="0.25">
      <c r="A1493" s="1991">
        <v>0.02</v>
      </c>
      <c r="B1493" s="1921" t="s">
        <v>6072</v>
      </c>
      <c r="C1493" s="2108">
        <v>23.99347101183692</v>
      </c>
      <c r="D1493" s="3194">
        <v>7.65</v>
      </c>
      <c r="E1493" s="3269">
        <v>-0.68116326327999999</v>
      </c>
      <c r="F1493" s="3004">
        <v>-1.3623265265599999E-2</v>
      </c>
      <c r="G1493" s="415"/>
      <c r="H1493" s="415" t="s">
        <v>8514</v>
      </c>
      <c r="I1493" s="412">
        <v>90</v>
      </c>
      <c r="J1493">
        <v>101.1948</v>
      </c>
      <c r="K1493">
        <v>101.24169999999999</v>
      </c>
      <c r="L1493">
        <v>102.2747</v>
      </c>
      <c r="M1493">
        <v>105.0718</v>
      </c>
      <c r="N1493">
        <v>102.8163</v>
      </c>
      <c r="O1493">
        <v>103.1814</v>
      </c>
      <c r="R1493" s="434"/>
    </row>
    <row r="1494" spans="1:18" ht="12.75" hidden="1" customHeight="1" outlineLevel="1" x14ac:dyDescent="0.25">
      <c r="A1494" s="2380">
        <v>0.02</v>
      </c>
      <c r="B1494" s="1921" t="s">
        <v>805</v>
      </c>
      <c r="C1494" s="2108">
        <v>100.461</v>
      </c>
      <c r="D1494" s="3196">
        <v>133.9</v>
      </c>
      <c r="E1494" s="3270">
        <v>0.33285553597913631</v>
      </c>
      <c r="F1494" s="3007">
        <v>6.6571107195827267E-3</v>
      </c>
      <c r="G1494" s="415"/>
      <c r="H1494" s="415" t="s">
        <v>806</v>
      </c>
      <c r="I1494" s="422">
        <v>0.226545</v>
      </c>
      <c r="R1494" s="434"/>
    </row>
    <row r="1495" spans="1:18" ht="12.75" hidden="1" customHeight="1" outlineLevel="1" x14ac:dyDescent="0.25">
      <c r="A1495" s="2380">
        <v>0.04</v>
      </c>
      <c r="B1495" s="1921" t="s">
        <v>5748</v>
      </c>
      <c r="C1495" s="2108">
        <v>80.709000000000003</v>
      </c>
      <c r="D1495" s="3196">
        <v>72.03</v>
      </c>
      <c r="E1495" s="3270">
        <v>-0.10753447570902874</v>
      </c>
      <c r="F1495" s="3007">
        <v>-4.3013790283611495E-3</v>
      </c>
      <c r="G1495" s="415"/>
      <c r="H1495" s="415" t="s">
        <v>5746</v>
      </c>
      <c r="R1495" s="434"/>
    </row>
    <row r="1496" spans="1:18" ht="12.75" hidden="1" customHeight="1" outlineLevel="1" x14ac:dyDescent="0.25">
      <c r="A1496" s="2380">
        <v>0.08</v>
      </c>
      <c r="B1496" s="1921" t="s">
        <v>807</v>
      </c>
      <c r="C1496" s="2108">
        <v>58.332999999999998</v>
      </c>
      <c r="D1496" s="3196">
        <v>62.9</v>
      </c>
      <c r="E1496" s="3270">
        <v>7.8291875953576895E-2</v>
      </c>
      <c r="F1496" s="3007">
        <v>6.2633500762861519E-3</v>
      </c>
      <c r="G1496" s="415"/>
      <c r="H1496" s="415" t="s">
        <v>808</v>
      </c>
      <c r="K1496" s="37"/>
      <c r="R1496" s="434"/>
    </row>
    <row r="1497" spans="1:18" ht="12.75" hidden="1" customHeight="1" outlineLevel="1" x14ac:dyDescent="0.25">
      <c r="A1497" s="2380">
        <v>7.0000000000000007E-2</v>
      </c>
      <c r="B1497" s="1921" t="s">
        <v>951</v>
      </c>
      <c r="C1497" s="2108">
        <v>3282.2</v>
      </c>
      <c r="D1497" s="3196">
        <v>2893</v>
      </c>
      <c r="E1497" s="3270">
        <v>-0.11857900188897685</v>
      </c>
      <c r="F1497" s="3007">
        <v>-8.3005301322283797E-3</v>
      </c>
      <c r="G1497" s="415"/>
      <c r="H1497" s="415" t="s">
        <v>952</v>
      </c>
      <c r="R1497" s="434"/>
    </row>
    <row r="1498" spans="1:18" ht="12.75" hidden="1" customHeight="1" outlineLevel="1" x14ac:dyDescent="0.25">
      <c r="A1498" s="2380">
        <v>0.02</v>
      </c>
      <c r="B1498" s="1921" t="s">
        <v>581</v>
      </c>
      <c r="C1498" s="2108">
        <v>112.001</v>
      </c>
      <c r="D1498" s="3196">
        <v>174.02</v>
      </c>
      <c r="E1498" s="3270">
        <v>0.55373612735600575</v>
      </c>
      <c r="F1498" s="3007">
        <v>1.1074722547120115E-2</v>
      </c>
      <c r="G1498" s="415"/>
      <c r="H1498" s="415" t="s">
        <v>589</v>
      </c>
      <c r="R1498" s="434"/>
    </row>
    <row r="1499" spans="1:18" ht="12.75" hidden="1" customHeight="1" outlineLevel="1" x14ac:dyDescent="0.25">
      <c r="A1499" s="2380">
        <v>0.03</v>
      </c>
      <c r="B1499" s="1921" t="s">
        <v>7114</v>
      </c>
      <c r="C1499" s="2108">
        <v>120.286</v>
      </c>
      <c r="D1499" s="3196">
        <v>176.66</v>
      </c>
      <c r="E1499" s="3270">
        <v>0.46866634521058148</v>
      </c>
      <c r="F1499" s="3007">
        <v>1.4059990356317444E-2</v>
      </c>
      <c r="G1499" s="415"/>
      <c r="H1499" s="415" t="s">
        <v>7115</v>
      </c>
      <c r="R1499" s="434"/>
    </row>
    <row r="1500" spans="1:18" ht="12.75" hidden="1" customHeight="1" outlineLevel="1" x14ac:dyDescent="0.25">
      <c r="A1500" s="2380">
        <v>0.02</v>
      </c>
      <c r="B1500" s="1921" t="s">
        <v>8526</v>
      </c>
      <c r="C1500" s="2108">
        <v>238.53</v>
      </c>
      <c r="D1500" s="3196">
        <v>142.1</v>
      </c>
      <c r="E1500" s="3270">
        <v>-0.40426780698444642</v>
      </c>
      <c r="F1500" s="3007">
        <v>-8.085356139688929E-3</v>
      </c>
      <c r="G1500" s="415"/>
      <c r="H1500" s="415" t="s">
        <v>8515</v>
      </c>
      <c r="R1500" s="434"/>
    </row>
    <row r="1501" spans="1:18" ht="12.75" hidden="1" customHeight="1" outlineLevel="1" x14ac:dyDescent="0.25">
      <c r="A1501" s="2380">
        <v>0.02</v>
      </c>
      <c r="B1501" s="1921" t="s">
        <v>6821</v>
      </c>
      <c r="C1501" s="2108">
        <v>3.3754662216940767</v>
      </c>
      <c r="D1501" s="3196">
        <v>1.7745</v>
      </c>
      <c r="E1501" s="3270">
        <v>-0.47429484300707503</v>
      </c>
      <c r="F1501" s="3007">
        <v>-9.4858968601415003E-3</v>
      </c>
      <c r="G1501" s="415"/>
      <c r="H1501" s="415" t="s">
        <v>6822</v>
      </c>
      <c r="R1501" s="434"/>
    </row>
    <row r="1502" spans="1:18" ht="12.75" hidden="1" customHeight="1" outlineLevel="1" x14ac:dyDescent="0.25">
      <c r="A1502" s="2380">
        <v>0.05</v>
      </c>
      <c r="B1502" s="1921" t="s">
        <v>1231</v>
      </c>
      <c r="C1502" s="2108">
        <v>78.209999999999994</v>
      </c>
      <c r="D1502" s="3196">
        <v>102.45</v>
      </c>
      <c r="E1502" s="3270">
        <v>0.30993479094744925</v>
      </c>
      <c r="F1502" s="3007">
        <v>1.5496739547372462E-2</v>
      </c>
      <c r="G1502" s="415"/>
      <c r="H1502" s="415" t="s">
        <v>2041</v>
      </c>
      <c r="R1502" s="434"/>
    </row>
    <row r="1503" spans="1:18" ht="12.75" hidden="1" customHeight="1" outlineLevel="1" x14ac:dyDescent="0.25">
      <c r="A1503" s="2380">
        <v>0.02</v>
      </c>
      <c r="B1503" s="1921" t="s">
        <v>5943</v>
      </c>
      <c r="C1503" s="2108">
        <v>12.384406097535905</v>
      </c>
      <c r="D1503" s="3196">
        <v>13.51</v>
      </c>
      <c r="E1503" s="3270">
        <v>9.0888000086499998E-2</v>
      </c>
      <c r="F1503" s="3007">
        <v>1.8177600017299999E-3</v>
      </c>
      <c r="G1503" s="415"/>
      <c r="H1503" s="415" t="s">
        <v>5984</v>
      </c>
      <c r="R1503" s="434"/>
    </row>
    <row r="1504" spans="1:18" ht="12.75" hidden="1" customHeight="1" outlineLevel="1" x14ac:dyDescent="0.25">
      <c r="A1504" s="2380">
        <v>0.05</v>
      </c>
      <c r="B1504" s="1921" t="s">
        <v>3799</v>
      </c>
      <c r="C1504" s="2108">
        <v>16.30398281358303</v>
      </c>
      <c r="D1504" s="3196">
        <v>14.234000000000002</v>
      </c>
      <c r="E1504" s="3270">
        <v>-0.12696178824835991</v>
      </c>
      <c r="F1504" s="3007">
        <v>-6.3480894124179959E-3</v>
      </c>
      <c r="G1504" s="415"/>
      <c r="H1504" s="415" t="s">
        <v>4128</v>
      </c>
      <c r="R1504" s="434"/>
    </row>
    <row r="1505" spans="1:18" ht="12.75" hidden="1" customHeight="1" outlineLevel="1" x14ac:dyDescent="0.25">
      <c r="A1505" s="2380">
        <v>7.0000000000000007E-2</v>
      </c>
      <c r="B1505" s="1921" t="s">
        <v>1031</v>
      </c>
      <c r="C1505" s="2519">
        <v>6.0247000000000002</v>
      </c>
      <c r="D1505" s="3196">
        <v>10.744999999999999</v>
      </c>
      <c r="E1505" s="3270">
        <v>0.78349129417232377</v>
      </c>
      <c r="F1505" s="3007">
        <v>5.484439059206267E-2</v>
      </c>
      <c r="G1505" s="415"/>
      <c r="H1505" s="415" t="s">
        <v>7872</v>
      </c>
      <c r="R1505" s="434"/>
    </row>
    <row r="1506" spans="1:18" ht="12.75" hidden="1" customHeight="1" outlineLevel="1" x14ac:dyDescent="0.25">
      <c r="A1506" s="2380">
        <v>0.02</v>
      </c>
      <c r="B1506" s="1921" t="s">
        <v>8527</v>
      </c>
      <c r="C1506" s="2108">
        <v>31.1645</v>
      </c>
      <c r="D1506" s="3196">
        <v>39.82</v>
      </c>
      <c r="E1506" s="3270">
        <v>0.27773588538240634</v>
      </c>
      <c r="F1506" s="3007">
        <v>5.5547177076481274E-3</v>
      </c>
      <c r="G1506" s="415"/>
      <c r="H1506" s="415" t="s">
        <v>8516</v>
      </c>
      <c r="R1506" s="434"/>
    </row>
    <row r="1507" spans="1:18" ht="12.75" hidden="1" customHeight="1" outlineLevel="1" x14ac:dyDescent="0.25">
      <c r="A1507" s="2380">
        <v>0.04</v>
      </c>
      <c r="B1507" s="1921" t="s">
        <v>2787</v>
      </c>
      <c r="C1507" s="2108">
        <v>66.386979759325186</v>
      </c>
      <c r="D1507" s="3196">
        <v>82.46</v>
      </c>
      <c r="E1507" s="3270">
        <v>0.24211103290050007</v>
      </c>
      <c r="F1507" s="3007">
        <v>9.6844413160200021E-3</v>
      </c>
      <c r="G1507" s="415"/>
      <c r="H1507" s="415" t="s">
        <v>8874</v>
      </c>
      <c r="R1507" s="434"/>
    </row>
    <row r="1508" spans="1:18" ht="12.75" hidden="1" customHeight="1" outlineLevel="1" x14ac:dyDescent="0.25">
      <c r="A1508" s="2380">
        <v>0.02</v>
      </c>
      <c r="B1508" s="1921" t="s">
        <v>3255</v>
      </c>
      <c r="C1508" s="2108">
        <v>8.6387406612492246</v>
      </c>
      <c r="D1508" s="3196">
        <v>9.1750000000000007</v>
      </c>
      <c r="E1508" s="3270">
        <v>6.207610111000017E-2</v>
      </c>
      <c r="F1508" s="3007">
        <v>1.2415220222000034E-3</v>
      </c>
      <c r="G1508" s="415"/>
      <c r="H1508" s="415" t="s">
        <v>3631</v>
      </c>
      <c r="R1508" s="434"/>
    </row>
    <row r="1509" spans="1:18" ht="12.75" hidden="1" customHeight="1" outlineLevel="1" x14ac:dyDescent="0.25">
      <c r="A1509" s="2380">
        <v>0.02</v>
      </c>
      <c r="B1509" s="1921" t="s">
        <v>8528</v>
      </c>
      <c r="C1509" s="2108">
        <v>8.8659999999999997</v>
      </c>
      <c r="D1509" s="3196">
        <v>5.65</v>
      </c>
      <c r="E1509" s="3270">
        <v>-0.36273404015339494</v>
      </c>
      <c r="F1509" s="3007">
        <v>-7.254680803067899E-3</v>
      </c>
      <c r="G1509" s="415"/>
      <c r="H1509" s="415" t="s">
        <v>8517</v>
      </c>
      <c r="R1509" s="434"/>
    </row>
    <row r="1510" spans="1:18" ht="12.75" hidden="1" customHeight="1" outlineLevel="1" x14ac:dyDescent="0.25">
      <c r="A1510" s="2380">
        <v>0.02</v>
      </c>
      <c r="B1510" s="1921" t="s">
        <v>1323</v>
      </c>
      <c r="C1510" s="2108">
        <v>43.543999999999997</v>
      </c>
      <c r="D1510" s="3196">
        <v>61.93</v>
      </c>
      <c r="E1510" s="3270">
        <v>0.42223957376446819</v>
      </c>
      <c r="F1510" s="3007">
        <v>8.4447914752893635E-3</v>
      </c>
      <c r="G1510" s="415"/>
      <c r="H1510" s="415" t="s">
        <v>3920</v>
      </c>
      <c r="R1510" s="434"/>
    </row>
    <row r="1511" spans="1:18" ht="12.75" hidden="1" customHeight="1" outlineLevel="1" x14ac:dyDescent="0.25">
      <c r="A1511" s="2380">
        <v>0.02</v>
      </c>
      <c r="B1511" s="1921" t="s">
        <v>8529</v>
      </c>
      <c r="C1511" s="2108">
        <v>58.890153747969471</v>
      </c>
      <c r="D1511" s="3196">
        <v>67.83</v>
      </c>
      <c r="E1511" s="3270">
        <v>0.15180544935049989</v>
      </c>
      <c r="F1511" s="3007">
        <v>3.0361089870099976E-3</v>
      </c>
      <c r="G1511" s="415"/>
      <c r="H1511" s="415" t="s">
        <v>8518</v>
      </c>
      <c r="R1511" s="434"/>
    </row>
    <row r="1512" spans="1:18" ht="12.75" hidden="1" customHeight="1" outlineLevel="1" x14ac:dyDescent="0.25">
      <c r="A1512" s="2380">
        <v>0.02</v>
      </c>
      <c r="B1512" s="1921" t="s">
        <v>10734</v>
      </c>
      <c r="C1512" s="2108">
        <v>17.186</v>
      </c>
      <c r="D1512" s="3196">
        <v>16.239999999999998</v>
      </c>
      <c r="E1512" s="3270">
        <v>-5.5044803910159534E-2</v>
      </c>
      <c r="F1512" s="3007">
        <v>-1.1008960782031907E-3</v>
      </c>
      <c r="G1512" s="415"/>
      <c r="H1512" s="415" t="s">
        <v>10735</v>
      </c>
      <c r="R1512" s="434"/>
    </row>
    <row r="1513" spans="1:18" ht="12.75" hidden="1" customHeight="1" outlineLevel="1" x14ac:dyDescent="0.25">
      <c r="A1513" s="2380">
        <v>0.02</v>
      </c>
      <c r="B1513" s="1921" t="s">
        <v>6270</v>
      </c>
      <c r="C1513" s="2108">
        <v>40.837735004778814</v>
      </c>
      <c r="D1513" s="3196">
        <v>48.17</v>
      </c>
      <c r="E1513" s="3270">
        <v>0.17954631897100004</v>
      </c>
      <c r="F1513" s="3007">
        <v>3.590926379420001E-3</v>
      </c>
      <c r="G1513" s="415"/>
      <c r="H1513" s="415" t="s">
        <v>8166</v>
      </c>
      <c r="R1513" s="434"/>
    </row>
    <row r="1514" spans="1:18" ht="12.75" hidden="1" customHeight="1" outlineLevel="1" x14ac:dyDescent="0.25">
      <c r="A1514" s="2380">
        <v>0.02</v>
      </c>
      <c r="B1514" s="1921" t="s">
        <v>1187</v>
      </c>
      <c r="C1514" s="2108">
        <v>79.383378493875824</v>
      </c>
      <c r="D1514" s="3196">
        <v>89.67</v>
      </c>
      <c r="E1514" s="3270">
        <v>0.129581553485</v>
      </c>
      <c r="F1514" s="3007">
        <v>2.5916310697000002E-3</v>
      </c>
      <c r="G1514" s="415"/>
      <c r="H1514" s="415" t="s">
        <v>3483</v>
      </c>
      <c r="R1514" s="434"/>
    </row>
    <row r="1515" spans="1:18" ht="12.75" hidden="1" customHeight="1" outlineLevel="1" x14ac:dyDescent="0.25">
      <c r="A1515" s="2380">
        <v>0.02</v>
      </c>
      <c r="B1515" s="1921" t="s">
        <v>7855</v>
      </c>
      <c r="C1515" s="2108">
        <v>55.535012691569172</v>
      </c>
      <c r="D1515" s="3196">
        <v>54.48</v>
      </c>
      <c r="E1515" s="3270">
        <v>-1.8997253092000066E-2</v>
      </c>
      <c r="F1515" s="3007">
        <v>-3.7994506184000135E-4</v>
      </c>
      <c r="G1515" s="415"/>
      <c r="H1515" s="415" t="s">
        <v>7851</v>
      </c>
      <c r="R1515" s="434"/>
    </row>
    <row r="1516" spans="1:18" ht="12.75" hidden="1" customHeight="1" outlineLevel="1" x14ac:dyDescent="0.25">
      <c r="A1516" s="2380">
        <v>0.02</v>
      </c>
      <c r="B1516" s="1921" t="s">
        <v>6527</v>
      </c>
      <c r="C1516" s="2108">
        <v>123.61411655657871</v>
      </c>
      <c r="D1516" s="3196">
        <v>108.85</v>
      </c>
      <c r="E1516" s="3270">
        <v>-0.11943714009249995</v>
      </c>
      <c r="F1516" s="3007">
        <v>-2.3887428018499988E-3</v>
      </c>
      <c r="G1516" s="415"/>
      <c r="H1516" s="415" t="s">
        <v>6528</v>
      </c>
      <c r="R1516" s="434"/>
    </row>
    <row r="1517" spans="1:18" ht="12.75" hidden="1" customHeight="1" outlineLevel="1" x14ac:dyDescent="0.25">
      <c r="A1517" s="2380">
        <v>0.04</v>
      </c>
      <c r="B1517" s="1921" t="s">
        <v>1724</v>
      </c>
      <c r="C1517" s="2108">
        <v>225.67730795542357</v>
      </c>
      <c r="D1517" s="3196">
        <v>200.4</v>
      </c>
      <c r="E1517" s="3270">
        <v>-0.11200642273000005</v>
      </c>
      <c r="F1517" s="3007">
        <v>-4.4802569092000019E-3</v>
      </c>
      <c r="G1517" s="415"/>
      <c r="H1517" s="415" t="s">
        <v>1725</v>
      </c>
      <c r="R1517" s="434"/>
    </row>
    <row r="1518" spans="1:18" ht="12.75" hidden="1" customHeight="1" outlineLevel="1" x14ac:dyDescent="0.25">
      <c r="A1518" s="2380">
        <v>0.02</v>
      </c>
      <c r="B1518" s="1921" t="s">
        <v>10737</v>
      </c>
      <c r="C1518" s="2108">
        <v>5.956932715584796</v>
      </c>
      <c r="D1518" s="3196">
        <v>8.7479999999999993</v>
      </c>
      <c r="E1518" s="3270">
        <v>0.46854101224160005</v>
      </c>
      <c r="F1518" s="3007">
        <v>9.3708202448320021E-3</v>
      </c>
      <c r="G1518" s="415"/>
      <c r="H1518" s="415" t="s">
        <v>10738</v>
      </c>
      <c r="R1518" s="434"/>
    </row>
    <row r="1519" spans="1:18" ht="12.75" hidden="1" customHeight="1" outlineLevel="1" x14ac:dyDescent="0.25">
      <c r="A1519" s="2380">
        <v>0.03</v>
      </c>
      <c r="B1519" s="1921" t="s">
        <v>5503</v>
      </c>
      <c r="C1519" s="2108">
        <v>7.2472960400680462</v>
      </c>
      <c r="D1519" s="3196">
        <v>7.53</v>
      </c>
      <c r="E1519" s="3270">
        <v>3.9008198143000161E-2</v>
      </c>
      <c r="F1519" s="3007">
        <v>1.1702459442900048E-3</v>
      </c>
      <c r="G1519" s="415"/>
      <c r="H1519" s="415" t="s">
        <v>5501</v>
      </c>
      <c r="R1519" s="434"/>
    </row>
    <row r="1520" spans="1:18" ht="12.75" hidden="1" customHeight="1" outlineLevel="1" x14ac:dyDescent="0.25">
      <c r="A1520" s="2380">
        <v>0.06</v>
      </c>
      <c r="B1520" s="1921" t="s">
        <v>434</v>
      </c>
      <c r="C1520" s="2108">
        <v>35.011000000000003</v>
      </c>
      <c r="D1520" s="3196">
        <v>26.98</v>
      </c>
      <c r="E1520" s="3270">
        <v>-0.2293850504127275</v>
      </c>
      <c r="F1520" s="3007">
        <v>-1.376310302476365E-2</v>
      </c>
      <c r="G1520" s="415"/>
      <c r="H1520" s="415" t="s">
        <v>7745</v>
      </c>
      <c r="R1520" s="434"/>
    </row>
    <row r="1521" spans="1:18" ht="12.75" hidden="1" customHeight="1" outlineLevel="1" x14ac:dyDescent="0.25">
      <c r="A1521" s="2380">
        <v>0.03</v>
      </c>
      <c r="B1521" s="1921" t="s">
        <v>5249</v>
      </c>
      <c r="C1521" s="2108">
        <v>4.6526594783962762</v>
      </c>
      <c r="D1521" s="3196">
        <v>4.08</v>
      </c>
      <c r="E1521" s="3270">
        <v>-0.12308218150399997</v>
      </c>
      <c r="F1521" s="3007">
        <v>-3.6924654451199988E-3</v>
      </c>
      <c r="G1521" s="415"/>
      <c r="H1521" s="415" t="s">
        <v>5247</v>
      </c>
      <c r="R1521" s="434"/>
    </row>
    <row r="1522" spans="1:18" ht="12.75" hidden="1" customHeight="1" outlineLevel="1" x14ac:dyDescent="0.25">
      <c r="A1522" s="2380">
        <v>7.0000000000000007E-2</v>
      </c>
      <c r="B1522" s="2109" t="s">
        <v>4550</v>
      </c>
      <c r="C1522" s="2108">
        <v>281.43</v>
      </c>
      <c r="D1522" s="3199">
        <v>452.2</v>
      </c>
      <c r="E1522" s="3270">
        <v>0.60679387414277075</v>
      </c>
      <c r="F1522" s="3007">
        <v>4.2475571189993955E-2</v>
      </c>
      <c r="G1522" s="415"/>
      <c r="H1522" s="415" t="s">
        <v>8889</v>
      </c>
      <c r="R1522" s="434"/>
    </row>
    <row r="1523" spans="1:18" ht="12.75" hidden="1" customHeight="1" outlineLevel="1" x14ac:dyDescent="0.25">
      <c r="A1523" s="2181" t="s">
        <v>2734</v>
      </c>
      <c r="B1523" s="2103"/>
      <c r="C1523" s="3200">
        <v>100</v>
      </c>
      <c r="D1523" s="3201"/>
      <c r="E1523" s="3202"/>
      <c r="F1523" s="3202">
        <v>0.1143</v>
      </c>
      <c r="G1523" s="12"/>
      <c r="H1523" s="415"/>
    </row>
    <row r="1524" spans="1:18" ht="12.75" hidden="1" customHeight="1" outlineLevel="1" x14ac:dyDescent="0.25">
      <c r="A1524" s="1956" t="s">
        <v>8531</v>
      </c>
      <c r="B1524" s="2185">
        <v>44593</v>
      </c>
      <c r="C1524" s="3203">
        <v>100</v>
      </c>
      <c r="D1524" s="3203">
        <v>114.4256</v>
      </c>
      <c r="E1524" s="3204">
        <v>0.14425599999999994</v>
      </c>
      <c r="F1524" s="3151"/>
      <c r="G1524" s="12"/>
      <c r="H1524" s="415"/>
    </row>
    <row r="1525" spans="1:18" ht="12.75" hidden="1" customHeight="1" outlineLevel="1" x14ac:dyDescent="0.25">
      <c r="A1525" s="1956" t="s">
        <v>8532</v>
      </c>
      <c r="B1525" s="2185">
        <v>44621</v>
      </c>
      <c r="C1525" s="3203">
        <v>100</v>
      </c>
      <c r="D1525" s="3206">
        <v>117.9986</v>
      </c>
      <c r="E1525" s="3204">
        <v>0.17998599999999998</v>
      </c>
      <c r="F1525" s="3151"/>
      <c r="G1525" s="12"/>
      <c r="H1525" s="415"/>
    </row>
    <row r="1526" spans="1:18" ht="12.75" hidden="1" customHeight="1" outlineLevel="1" x14ac:dyDescent="0.25">
      <c r="A1526" s="1956" t="s">
        <v>8533</v>
      </c>
      <c r="B1526" s="2185">
        <v>44652</v>
      </c>
      <c r="C1526" s="3203">
        <v>100</v>
      </c>
      <c r="D1526" s="3206">
        <v>119.4135</v>
      </c>
      <c r="E1526" s="3204">
        <v>0.19413499999999995</v>
      </c>
      <c r="F1526" s="3151"/>
      <c r="G1526" s="12"/>
      <c r="H1526" s="415"/>
    </row>
    <row r="1527" spans="1:18" ht="12.75" hidden="1" customHeight="1" outlineLevel="1" x14ac:dyDescent="0.25">
      <c r="A1527" s="1956" t="s">
        <v>8534</v>
      </c>
      <c r="B1527" s="2185">
        <v>44682</v>
      </c>
      <c r="C1527" s="3203">
        <v>100</v>
      </c>
      <c r="D1527" s="3206">
        <v>118.8954</v>
      </c>
      <c r="E1527" s="3204">
        <v>0.18895399999999984</v>
      </c>
      <c r="F1527" s="3151"/>
      <c r="G1527" s="12"/>
      <c r="H1527" s="415"/>
    </row>
    <row r="1528" spans="1:18" ht="12.75" hidden="1" customHeight="1" outlineLevel="1" x14ac:dyDescent="0.25">
      <c r="A1528" s="1956" t="s">
        <v>8535</v>
      </c>
      <c r="B1528" s="2185">
        <v>44713</v>
      </c>
      <c r="C1528" s="3203">
        <v>100</v>
      </c>
      <c r="D1528" s="3206">
        <v>111.9757</v>
      </c>
      <c r="E1528" s="3204">
        <v>0.11975700000000011</v>
      </c>
      <c r="F1528" s="3151"/>
      <c r="G1528" s="12"/>
      <c r="H1528" s="415"/>
    </row>
    <row r="1529" spans="1:18" ht="12.75" hidden="1" customHeight="1" outlineLevel="1" x14ac:dyDescent="0.25">
      <c r="A1529" s="1956" t="s">
        <v>8536</v>
      </c>
      <c r="B1529" s="2185">
        <v>44743</v>
      </c>
      <c r="C1529" s="3203">
        <v>100</v>
      </c>
      <c r="D1529" s="3206">
        <v>114.566</v>
      </c>
      <c r="E1529" s="3204">
        <v>0.14566000000000012</v>
      </c>
      <c r="F1529" s="3151"/>
      <c r="G1529" s="12"/>
      <c r="H1529" s="415"/>
    </row>
    <row r="1530" spans="1:18" ht="12.75" hidden="1" customHeight="1" outlineLevel="1" x14ac:dyDescent="0.25">
      <c r="A1530" s="1956" t="s">
        <v>8537</v>
      </c>
      <c r="B1530" s="2185">
        <v>44774</v>
      </c>
      <c r="C1530" s="3203">
        <v>100</v>
      </c>
      <c r="D1530" s="3206">
        <v>111.7659</v>
      </c>
      <c r="E1530" s="3204">
        <v>0.11765899999999996</v>
      </c>
      <c r="F1530" s="3151"/>
      <c r="G1530" s="12"/>
      <c r="H1530" s="415"/>
    </row>
    <row r="1531" spans="1:18" ht="12.75" hidden="1" customHeight="1" outlineLevel="1" x14ac:dyDescent="0.25">
      <c r="A1531" s="1956" t="s">
        <v>8538</v>
      </c>
      <c r="B1531" s="2185">
        <v>44805</v>
      </c>
      <c r="C1531" s="3203">
        <v>100</v>
      </c>
      <c r="D1531" s="3206">
        <v>102.6354</v>
      </c>
      <c r="E1531" s="3204">
        <v>2.6353999999999989E-2</v>
      </c>
      <c r="F1531" s="3151"/>
      <c r="G1531" s="12"/>
      <c r="H1531" s="415"/>
    </row>
    <row r="1532" spans="1:18" ht="12.75" hidden="1" customHeight="1" outlineLevel="1" x14ac:dyDescent="0.25">
      <c r="A1532" s="1956" t="s">
        <v>8539</v>
      </c>
      <c r="B1532" s="2185">
        <v>44835</v>
      </c>
      <c r="C1532" s="3203">
        <v>100</v>
      </c>
      <c r="D1532" s="3206">
        <v>107.98269999999999</v>
      </c>
      <c r="E1532" s="3204">
        <v>7.982699999999987E-2</v>
      </c>
      <c r="F1532" s="3151"/>
      <c r="G1532" s="12"/>
      <c r="H1532" s="415"/>
    </row>
    <row r="1533" spans="1:18" ht="12.75" hidden="1" customHeight="1" outlineLevel="1" x14ac:dyDescent="0.25">
      <c r="A1533" s="1956" t="s">
        <v>8540</v>
      </c>
      <c r="B1533" s="2185">
        <v>44866</v>
      </c>
      <c r="C1533" s="3203">
        <v>100</v>
      </c>
      <c r="D1533" s="3206">
        <v>111.7017</v>
      </c>
      <c r="E1533" s="3204">
        <v>0.11701699999999993</v>
      </c>
      <c r="F1533" s="3151"/>
      <c r="G1533" s="12"/>
      <c r="H1533" s="415"/>
    </row>
    <row r="1534" spans="1:18" ht="12.75" hidden="1" customHeight="1" outlineLevel="1" x14ac:dyDescent="0.25">
      <c r="A1534" s="1956" t="s">
        <v>8541</v>
      </c>
      <c r="B1534" s="2185">
        <v>44896</v>
      </c>
      <c r="C1534" s="3203">
        <v>100</v>
      </c>
      <c r="D1534" s="3206">
        <v>109.0682</v>
      </c>
      <c r="E1534" s="3204">
        <v>9.0682000000000151E-2</v>
      </c>
      <c r="F1534" s="3151"/>
      <c r="G1534" s="12"/>
      <c r="H1534" s="415"/>
    </row>
    <row r="1535" spans="1:18" ht="12.75" hidden="1" customHeight="1" outlineLevel="1" x14ac:dyDescent="0.25">
      <c r="A1535" s="1956" t="s">
        <v>8542</v>
      </c>
      <c r="B1535" s="2185">
        <v>44927</v>
      </c>
      <c r="C1535" s="3203">
        <v>100</v>
      </c>
      <c r="D1535" s="3206">
        <v>111.42529999999999</v>
      </c>
      <c r="E1535" s="3204">
        <v>0.11425299999999994</v>
      </c>
      <c r="F1535" s="3151"/>
      <c r="G1535" s="12"/>
      <c r="H1535" s="415"/>
    </row>
    <row r="1536" spans="1:18" ht="12.75" hidden="1" customHeight="1" outlineLevel="1" x14ac:dyDescent="0.25">
      <c r="A1536" s="2189" t="s">
        <v>2734</v>
      </c>
      <c r="B1536" s="2190"/>
      <c r="C1536" s="3264"/>
      <c r="D1536" s="2191" t="s">
        <v>2465</v>
      </c>
      <c r="E1536" s="1987">
        <v>0.12654499999999999</v>
      </c>
      <c r="F1536" s="2528">
        <v>0.226545</v>
      </c>
      <c r="G1536" s="12"/>
      <c r="H1536" s="415"/>
    </row>
    <row r="1537" spans="1:15" collapsed="1" x14ac:dyDescent="0.25">
      <c r="A1537" s="3801" t="s">
        <v>8446</v>
      </c>
      <c r="B1537" s="3802"/>
      <c r="C1537" s="3802"/>
      <c r="D1537" s="3802"/>
      <c r="E1537" s="1906"/>
      <c r="F1537" s="1907">
        <v>0.226545</v>
      </c>
      <c r="G1537" s="78"/>
    </row>
    <row r="1539" spans="1:15" ht="12.75" hidden="1" customHeight="1" outlineLevel="1" x14ac:dyDescent="0.25">
      <c r="A1539" s="3180" t="s">
        <v>4156</v>
      </c>
      <c r="B1539" s="3180" t="s">
        <v>4153</v>
      </c>
      <c r="C1539" s="3594" t="s">
        <v>112</v>
      </c>
      <c r="D1539" s="3192" t="s">
        <v>4155</v>
      </c>
      <c r="E1539" s="3180" t="s">
        <v>4154</v>
      </c>
      <c r="F1539" s="3192" t="s">
        <v>2519</v>
      </c>
      <c r="G1539" s="78"/>
      <c r="I1539" s="412"/>
      <c r="J1539" s="1462"/>
      <c r="K1539" s="1462"/>
      <c r="L1539" s="1462"/>
      <c r="M1539" s="1462"/>
      <c r="N1539" s="1462"/>
      <c r="O1539" s="1462"/>
    </row>
    <row r="1540" spans="1:15" ht="12.75" hidden="1" customHeight="1" outlineLevel="1" x14ac:dyDescent="0.25">
      <c r="A1540" s="1991">
        <v>0.02</v>
      </c>
      <c r="B1540" s="1921" t="s">
        <v>6072</v>
      </c>
      <c r="C1540" s="2108">
        <v>25.067347596765245</v>
      </c>
      <c r="D1540" s="3194">
        <v>6.9</v>
      </c>
      <c r="E1540" s="3269">
        <v>-0.72474151988500002</v>
      </c>
      <c r="F1540" s="3004">
        <v>-1.44948303977E-2</v>
      </c>
      <c r="G1540" s="415"/>
      <c r="H1540" s="415" t="s">
        <v>8514</v>
      </c>
      <c r="I1540" s="412"/>
      <c r="K1540" s="434"/>
    </row>
    <row r="1541" spans="1:15" ht="12.75" hidden="1" customHeight="1" outlineLevel="1" x14ac:dyDescent="0.25">
      <c r="A1541" s="2380">
        <v>0.02</v>
      </c>
      <c r="B1541" s="1921" t="s">
        <v>805</v>
      </c>
      <c r="C1541" s="2108">
        <v>102.155</v>
      </c>
      <c r="D1541" s="3196">
        <v>129.32</v>
      </c>
      <c r="E1541" s="3270">
        <v>0.26591943615094693</v>
      </c>
      <c r="F1541" s="3007">
        <v>5.3183887230189384E-3</v>
      </c>
      <c r="G1541" s="415"/>
      <c r="H1541" s="415" t="s">
        <v>806</v>
      </c>
      <c r="I1541" s="412"/>
      <c r="K1541" s="434"/>
    </row>
    <row r="1542" spans="1:15" ht="12.75" hidden="1" customHeight="1" outlineLevel="1" x14ac:dyDescent="0.25">
      <c r="A1542" s="2380">
        <v>0.04</v>
      </c>
      <c r="B1542" s="1921" t="s">
        <v>5748</v>
      </c>
      <c r="C1542" s="2108">
        <v>78.799000000000007</v>
      </c>
      <c r="D1542" s="3196">
        <v>67.44</v>
      </c>
      <c r="E1542" s="3270">
        <v>-0.14415157552760827</v>
      </c>
      <c r="F1542" s="3007">
        <v>-5.766063021104331E-3</v>
      </c>
      <c r="G1542" s="415"/>
      <c r="H1542" s="415" t="s">
        <v>5746</v>
      </c>
      <c r="I1542" s="412"/>
      <c r="K1542" s="434"/>
    </row>
    <row r="1543" spans="1:15" ht="12.75" hidden="1" customHeight="1" outlineLevel="1" x14ac:dyDescent="0.25">
      <c r="A1543" s="2380">
        <v>0.08</v>
      </c>
      <c r="B1543" s="1921" t="s">
        <v>807</v>
      </c>
      <c r="C1543" s="2108">
        <v>57.887</v>
      </c>
      <c r="D1543" s="3196">
        <v>60.37</v>
      </c>
      <c r="E1543" s="3270">
        <v>4.2893914004871414E-2</v>
      </c>
      <c r="F1543" s="3007">
        <v>3.4315131203897131E-3</v>
      </c>
      <c r="G1543" s="415"/>
      <c r="H1543" s="415" t="s">
        <v>808</v>
      </c>
      <c r="I1543" s="412"/>
      <c r="K1543" s="434"/>
    </row>
    <row r="1544" spans="1:15" ht="12.75" hidden="1" customHeight="1" outlineLevel="1" x14ac:dyDescent="0.25">
      <c r="A1544" s="2380">
        <v>7.0000000000000007E-2</v>
      </c>
      <c r="B1544" s="1921" t="s">
        <v>951</v>
      </c>
      <c r="C1544" s="2108">
        <v>3473.4</v>
      </c>
      <c r="D1544" s="3196">
        <v>2940.5</v>
      </c>
      <c r="E1544" s="3270">
        <v>-0.15342315886451319</v>
      </c>
      <c r="F1544" s="3007">
        <v>-1.0739621120515925E-2</v>
      </c>
      <c r="G1544" s="415"/>
      <c r="H1544" s="415" t="s">
        <v>952</v>
      </c>
      <c r="I1544" s="412"/>
      <c r="K1544" s="434"/>
    </row>
    <row r="1545" spans="1:15" ht="12.75" hidden="1" customHeight="1" outlineLevel="1" x14ac:dyDescent="0.25">
      <c r="A1545" s="2380">
        <v>0.02</v>
      </c>
      <c r="B1545" s="1921" t="s">
        <v>581</v>
      </c>
      <c r="C1545" s="2108">
        <v>109.086</v>
      </c>
      <c r="D1545" s="3196">
        <v>160.77000000000001</v>
      </c>
      <c r="E1545" s="3270">
        <v>0.47379132060942752</v>
      </c>
      <c r="F1545" s="3007">
        <v>9.4758264121885503E-3</v>
      </c>
      <c r="G1545" s="415"/>
      <c r="H1545" s="415" t="s">
        <v>589</v>
      </c>
      <c r="I1545" s="412"/>
      <c r="K1545" s="434"/>
    </row>
    <row r="1546" spans="1:15" ht="12.75" hidden="1" customHeight="1" outlineLevel="1" x14ac:dyDescent="0.25">
      <c r="A1546" s="2380">
        <v>0.03</v>
      </c>
      <c r="B1546" s="1921" t="s">
        <v>7114</v>
      </c>
      <c r="C1546" s="2108">
        <v>124.158</v>
      </c>
      <c r="D1546" s="3196">
        <v>185.36</v>
      </c>
      <c r="E1546" s="3270">
        <v>0.49293641972325597</v>
      </c>
      <c r="F1546" s="3007">
        <v>1.4788092591697678E-2</v>
      </c>
      <c r="G1546" s="415"/>
      <c r="H1546" s="415" t="s">
        <v>7115</v>
      </c>
      <c r="I1546" s="412"/>
      <c r="K1546" s="434"/>
    </row>
    <row r="1547" spans="1:15" ht="12.75" hidden="1" customHeight="1" outlineLevel="1" x14ac:dyDescent="0.25">
      <c r="A1547" s="2380">
        <v>0.02</v>
      </c>
      <c r="B1547" s="1921" t="s">
        <v>8526</v>
      </c>
      <c r="C1547" s="2108">
        <v>242.72</v>
      </c>
      <c r="D1547" s="3196">
        <v>163.44999999999999</v>
      </c>
      <c r="E1547" s="3270">
        <v>-0.3265903098220172</v>
      </c>
      <c r="F1547" s="3007">
        <v>-6.5318061964403443E-3</v>
      </c>
      <c r="G1547" s="415"/>
      <c r="H1547" s="415" t="s">
        <v>8515</v>
      </c>
      <c r="I1547" s="412"/>
      <c r="K1547" s="434"/>
    </row>
    <row r="1548" spans="1:15" ht="12.75" hidden="1" customHeight="1" outlineLevel="1" x14ac:dyDescent="0.25">
      <c r="A1548" s="2380">
        <v>0.02</v>
      </c>
      <c r="B1548" s="1921" t="s">
        <v>6821</v>
      </c>
      <c r="C1548" s="2108">
        <v>3.192058736010484</v>
      </c>
      <c r="D1548" s="3196">
        <v>1.8034999999999999</v>
      </c>
      <c r="E1548" s="3270">
        <v>-0.43500413082809997</v>
      </c>
      <c r="F1548" s="3007">
        <v>-8.700082616561999E-3</v>
      </c>
      <c r="G1548" s="415"/>
      <c r="H1548" s="415" t="s">
        <v>6822</v>
      </c>
      <c r="I1548" s="412"/>
      <c r="K1548" s="434"/>
    </row>
    <row r="1549" spans="1:15" ht="12.75" hidden="1" customHeight="1" outlineLevel="1" x14ac:dyDescent="0.25">
      <c r="A1549" s="2380">
        <v>0.05</v>
      </c>
      <c r="B1549" s="1921" t="s">
        <v>1231</v>
      </c>
      <c r="C1549" s="2108">
        <v>81.108000000000004</v>
      </c>
      <c r="D1549" s="3196">
        <v>94.26</v>
      </c>
      <c r="E1549" s="3270">
        <v>0.16215416481728062</v>
      </c>
      <c r="F1549" s="3007">
        <v>8.1077082408640318E-3</v>
      </c>
      <c r="G1549" s="415"/>
      <c r="H1549" s="415" t="s">
        <v>2041</v>
      </c>
      <c r="I1549" s="412"/>
      <c r="K1549" s="434"/>
    </row>
    <row r="1550" spans="1:15" ht="12.75" hidden="1" customHeight="1" outlineLevel="1" x14ac:dyDescent="0.25">
      <c r="A1550" s="2380">
        <v>0.02</v>
      </c>
      <c r="B1550" s="1921" t="s">
        <v>7855</v>
      </c>
      <c r="C1550" s="2108">
        <v>55.271999999999998</v>
      </c>
      <c r="D1550" s="3196">
        <v>51.19</v>
      </c>
      <c r="E1550" s="3270">
        <v>-7.3852945433492523E-2</v>
      </c>
      <c r="F1550" s="3007">
        <v>-1.4770589086698506E-3</v>
      </c>
      <c r="G1550" s="415"/>
      <c r="H1550" s="415" t="s">
        <v>7851</v>
      </c>
      <c r="I1550" s="412"/>
      <c r="K1550" s="434"/>
    </row>
    <row r="1551" spans="1:15" ht="12.75" hidden="1" customHeight="1" outlineLevel="1" x14ac:dyDescent="0.25">
      <c r="A1551" s="2380">
        <v>0.02</v>
      </c>
      <c r="B1551" s="1921" t="s">
        <v>5943</v>
      </c>
      <c r="C1551" s="2108">
        <v>12.378473922231542</v>
      </c>
      <c r="D1551" s="3196">
        <v>12.07</v>
      </c>
      <c r="E1551" s="3270">
        <v>-2.4920190014499966E-2</v>
      </c>
      <c r="F1551" s="3007">
        <v>-4.9840380028999933E-4</v>
      </c>
      <c r="G1551" s="415"/>
      <c r="H1551" s="415" t="s">
        <v>5984</v>
      </c>
      <c r="I1551" s="412"/>
      <c r="K1551" s="434"/>
    </row>
    <row r="1552" spans="1:15" ht="12.75" hidden="1" customHeight="1" outlineLevel="1" x14ac:dyDescent="0.25">
      <c r="A1552" s="2380">
        <v>0.05</v>
      </c>
      <c r="B1552" s="1921" t="s">
        <v>3799</v>
      </c>
      <c r="C1552" s="2519">
        <v>17.191942474761969</v>
      </c>
      <c r="D1552" s="3196">
        <v>14.254000000000001</v>
      </c>
      <c r="E1552" s="3270">
        <v>-0.17089066457003987</v>
      </c>
      <c r="F1552" s="3007">
        <v>-8.5445332285019934E-3</v>
      </c>
      <c r="G1552" s="415"/>
      <c r="H1552" s="415" t="s">
        <v>4128</v>
      </c>
      <c r="I1552" s="412"/>
      <c r="K1552" s="434"/>
    </row>
    <row r="1553" spans="1:11" ht="12.75" hidden="1" customHeight="1" outlineLevel="1" x14ac:dyDescent="0.25">
      <c r="A1553" s="2380">
        <v>7.0000000000000007E-2</v>
      </c>
      <c r="B1553" s="1921" t="s">
        <v>1031</v>
      </c>
      <c r="C1553" s="2108">
        <v>6.3606999999999996</v>
      </c>
      <c r="D1553" s="3196">
        <v>10.865</v>
      </c>
      <c r="E1553" s="3270">
        <v>0.7081453299165188</v>
      </c>
      <c r="F1553" s="3007">
        <v>4.9570173094156324E-2</v>
      </c>
      <c r="G1553" s="415"/>
      <c r="H1553" s="415" t="s">
        <v>7872</v>
      </c>
      <c r="I1553" s="412"/>
      <c r="K1553" s="434"/>
    </row>
    <row r="1554" spans="1:11" ht="12.75" hidden="1" customHeight="1" outlineLevel="1" x14ac:dyDescent="0.25">
      <c r="A1554" s="2380">
        <v>0.02</v>
      </c>
      <c r="B1554" s="1921" t="s">
        <v>8527</v>
      </c>
      <c r="C1554" s="2108">
        <v>30.654499999999999</v>
      </c>
      <c r="D1554" s="3196">
        <v>38.299999999999997</v>
      </c>
      <c r="E1554" s="3270">
        <v>0.24940873281247455</v>
      </c>
      <c r="F1554" s="3007">
        <v>4.9881746562494911E-3</v>
      </c>
      <c r="G1554" s="415"/>
      <c r="H1554" s="415" t="s">
        <v>8516</v>
      </c>
      <c r="I1554" s="412"/>
      <c r="K1554" s="434"/>
    </row>
    <row r="1555" spans="1:11" ht="12.75" hidden="1" customHeight="1" outlineLevel="1" x14ac:dyDescent="0.25">
      <c r="A1555" s="2380">
        <v>0.04</v>
      </c>
      <c r="B1555" s="1921" t="s">
        <v>2787</v>
      </c>
      <c r="C1555" s="2108">
        <v>66.448550959356353</v>
      </c>
      <c r="D1555" s="3196">
        <v>79.28</v>
      </c>
      <c r="E1555" s="3270">
        <v>0.19310351926999991</v>
      </c>
      <c r="F1555" s="3007">
        <v>7.7241407707999967E-3</v>
      </c>
      <c r="G1555" s="415"/>
      <c r="H1555" s="415" t="s">
        <v>8874</v>
      </c>
      <c r="I1555" s="412"/>
      <c r="K1555" s="434"/>
    </row>
    <row r="1556" spans="1:11" ht="12.75" hidden="1" customHeight="1" outlineLevel="1" x14ac:dyDescent="0.25">
      <c r="A1556" s="2380">
        <v>0.02</v>
      </c>
      <c r="B1556" s="1921" t="s">
        <v>3255</v>
      </c>
      <c r="C1556" s="2108">
        <v>8.9417458815971571</v>
      </c>
      <c r="D1556" s="3196">
        <v>8.25</v>
      </c>
      <c r="E1556" s="3270">
        <v>-7.7361389012500004E-2</v>
      </c>
      <c r="F1556" s="3007">
        <v>-1.54722778025E-3</v>
      </c>
      <c r="G1556" s="415"/>
      <c r="H1556" s="415" t="s">
        <v>3631</v>
      </c>
      <c r="I1556" s="412"/>
      <c r="K1556" s="434"/>
    </row>
    <row r="1557" spans="1:11" ht="12.75" hidden="1" customHeight="1" outlineLevel="1" x14ac:dyDescent="0.25">
      <c r="A1557" s="2380">
        <v>0.02</v>
      </c>
      <c r="B1557" s="1921" t="s">
        <v>8528</v>
      </c>
      <c r="C1557" s="2108">
        <v>9.0530000000000008</v>
      </c>
      <c r="D1557" s="3196">
        <v>5.63</v>
      </c>
      <c r="E1557" s="3270">
        <v>-0.37810670495968191</v>
      </c>
      <c r="F1557" s="3007">
        <v>-7.5621340991936384E-3</v>
      </c>
      <c r="G1557" s="415"/>
      <c r="H1557" s="415" t="s">
        <v>8517</v>
      </c>
      <c r="I1557" s="412"/>
      <c r="K1557" s="434"/>
    </row>
    <row r="1558" spans="1:11" ht="12.75" hidden="1" customHeight="1" outlineLevel="1" x14ac:dyDescent="0.25">
      <c r="A1558" s="2380">
        <v>0.02</v>
      </c>
      <c r="B1558" s="1921" t="s">
        <v>1323</v>
      </c>
      <c r="C1558" s="2108">
        <v>44.463000000000001</v>
      </c>
      <c r="D1558" s="3196">
        <v>60.43</v>
      </c>
      <c r="E1558" s="3270">
        <v>0.35910757258844428</v>
      </c>
      <c r="F1558" s="3007">
        <v>7.1821514517688857E-3</v>
      </c>
      <c r="G1558" s="415"/>
      <c r="H1558" s="415" t="s">
        <v>3920</v>
      </c>
      <c r="I1558" s="412"/>
      <c r="K1558" s="434"/>
    </row>
    <row r="1559" spans="1:11" ht="12.75" hidden="1" customHeight="1" outlineLevel="1" x14ac:dyDescent="0.25">
      <c r="A1559" s="2380">
        <v>0.02</v>
      </c>
      <c r="B1559" s="1921" t="s">
        <v>8529</v>
      </c>
      <c r="C1559" s="2108">
        <v>56.674497958240281</v>
      </c>
      <c r="D1559" s="3196">
        <v>63.95</v>
      </c>
      <c r="E1559" s="3270">
        <v>0.12837347138250021</v>
      </c>
      <c r="F1559" s="3007">
        <v>2.5674694276500046E-3</v>
      </c>
      <c r="G1559" s="415"/>
      <c r="H1559" s="415" t="s">
        <v>8518</v>
      </c>
      <c r="I1559" s="412"/>
      <c r="K1559" s="434"/>
    </row>
    <row r="1560" spans="1:11" ht="12.75" hidden="1" customHeight="1" outlineLevel="1" x14ac:dyDescent="0.25">
      <c r="A1560" s="2380">
        <v>0.02</v>
      </c>
      <c r="B1560" s="1921" t="s">
        <v>10734</v>
      </c>
      <c r="C1560" s="2108">
        <v>17.234000000000002</v>
      </c>
      <c r="D1560" s="3196">
        <v>15.71</v>
      </c>
      <c r="E1560" s="3270">
        <v>-8.8429847974933362E-2</v>
      </c>
      <c r="F1560" s="3007">
        <v>-1.7685969594986673E-3</v>
      </c>
      <c r="G1560" s="415"/>
      <c r="H1560" s="415" t="s">
        <v>10735</v>
      </c>
      <c r="I1560" s="412"/>
      <c r="K1560" s="434"/>
    </row>
    <row r="1561" spans="1:11" ht="12.75" hidden="1" customHeight="1" outlineLevel="1" x14ac:dyDescent="0.25">
      <c r="A1561" s="2380">
        <v>0.02</v>
      </c>
      <c r="B1561" s="1921" t="s">
        <v>6270</v>
      </c>
      <c r="C1561" s="2108">
        <v>43.150475970893694</v>
      </c>
      <c r="D1561" s="3196">
        <v>46.04</v>
      </c>
      <c r="E1561" s="3270">
        <v>6.6963897016000029E-2</v>
      </c>
      <c r="F1561" s="3007">
        <v>1.3392779403200005E-3</v>
      </c>
      <c r="G1561" s="415"/>
      <c r="H1561" s="415" t="s">
        <v>8166</v>
      </c>
      <c r="I1561" s="412"/>
      <c r="K1561" s="434"/>
    </row>
    <row r="1562" spans="1:11" ht="12.75" hidden="1" customHeight="1" outlineLevel="1" x14ac:dyDescent="0.25">
      <c r="A1562" s="2380">
        <v>0.02</v>
      </c>
      <c r="B1562" s="1921" t="s">
        <v>1187</v>
      </c>
      <c r="C1562" s="2108">
        <v>82.344999999999999</v>
      </c>
      <c r="D1562" s="3196">
        <v>88.89</v>
      </c>
      <c r="E1562" s="3270">
        <v>7.9482664399781466E-2</v>
      </c>
      <c r="F1562" s="3007">
        <v>1.5896532879956294E-3</v>
      </c>
      <c r="G1562" s="415"/>
      <c r="H1562" s="415" t="s">
        <v>3483</v>
      </c>
      <c r="I1562" s="412"/>
      <c r="K1562" s="434"/>
    </row>
    <row r="1563" spans="1:11" ht="12.75" hidden="1" customHeight="1" outlineLevel="1" x14ac:dyDescent="0.25">
      <c r="A1563" s="2380">
        <v>0.02</v>
      </c>
      <c r="B1563" s="1921" t="s">
        <v>6527</v>
      </c>
      <c r="C1563" s="2108">
        <v>118.55905482540007</v>
      </c>
      <c r="D1563" s="3196">
        <v>111.1</v>
      </c>
      <c r="E1563" s="3270">
        <v>-6.2914256835000071E-2</v>
      </c>
      <c r="F1563" s="3007">
        <v>-1.2582851367000014E-3</v>
      </c>
      <c r="G1563" s="415"/>
      <c r="H1563" s="415" t="s">
        <v>6528</v>
      </c>
      <c r="I1563" s="412"/>
      <c r="K1563" s="434"/>
    </row>
    <row r="1564" spans="1:11" ht="12.75" hidden="1" customHeight="1" outlineLevel="1" x14ac:dyDescent="0.25">
      <c r="A1564" s="2380">
        <v>0.04</v>
      </c>
      <c r="B1564" s="1921" t="s">
        <v>1724</v>
      </c>
      <c r="C1564" s="2108">
        <v>218.4059888975172</v>
      </c>
      <c r="D1564" s="3196">
        <v>213.8</v>
      </c>
      <c r="E1564" s="3270">
        <v>-2.1089114454999947E-2</v>
      </c>
      <c r="F1564" s="3007">
        <v>-8.4356457819999785E-4</v>
      </c>
      <c r="G1564" s="415"/>
      <c r="H1564" s="415" t="s">
        <v>1725</v>
      </c>
      <c r="I1564" s="412"/>
      <c r="K1564" s="434"/>
    </row>
    <row r="1565" spans="1:11" ht="12.75" hidden="1" customHeight="1" outlineLevel="1" x14ac:dyDescent="0.25">
      <c r="A1565" s="2380">
        <v>0.02</v>
      </c>
      <c r="B1565" s="1921" t="s">
        <v>10737</v>
      </c>
      <c r="C1565" s="2108">
        <v>6.0065657115076831</v>
      </c>
      <c r="D1565" s="3196">
        <v>8.7479999999999993</v>
      </c>
      <c r="E1565" s="3270">
        <v>0.45640627609219986</v>
      </c>
      <c r="F1565" s="3007">
        <v>9.1281255218439977E-3</v>
      </c>
      <c r="G1565" s="415"/>
      <c r="H1565" s="415" t="s">
        <v>10738</v>
      </c>
      <c r="I1565" s="412"/>
      <c r="K1565" s="434"/>
    </row>
    <row r="1566" spans="1:11" ht="12.75" hidden="1" customHeight="1" outlineLevel="1" x14ac:dyDescent="0.25">
      <c r="A1566" s="2380">
        <v>0.03</v>
      </c>
      <c r="B1566" s="1921" t="s">
        <v>5503</v>
      </c>
      <c r="C1566" s="2108">
        <v>7.6813893536628743</v>
      </c>
      <c r="D1566" s="3196">
        <v>8.0239999999999991</v>
      </c>
      <c r="E1566" s="3270">
        <v>4.460269237279979E-2</v>
      </c>
      <c r="F1566" s="3007">
        <v>1.3380807711839936E-3</v>
      </c>
      <c r="G1566" s="415"/>
      <c r="H1566" s="415" t="s">
        <v>5501</v>
      </c>
      <c r="I1566" s="412"/>
      <c r="K1566" s="434"/>
    </row>
    <row r="1567" spans="1:11" ht="12.75" hidden="1" customHeight="1" outlineLevel="1" x14ac:dyDescent="0.25">
      <c r="A1567" s="2380">
        <v>0.06</v>
      </c>
      <c r="B1567" s="1921" t="s">
        <v>434</v>
      </c>
      <c r="C1567" s="2108">
        <v>36.375999999999998</v>
      </c>
      <c r="D1567" s="3196">
        <v>27.05</v>
      </c>
      <c r="E1567" s="3270">
        <v>-0.25637783153727722</v>
      </c>
      <c r="F1567" s="3007">
        <v>-1.5382669892236633E-2</v>
      </c>
      <c r="G1567" s="415"/>
      <c r="H1567" s="415" t="s">
        <v>7745</v>
      </c>
      <c r="I1567" s="412"/>
      <c r="K1567" s="434"/>
    </row>
    <row r="1568" spans="1:11" ht="12.75" hidden="1" customHeight="1" outlineLevel="1" x14ac:dyDescent="0.25">
      <c r="A1568" s="2380">
        <v>0.03</v>
      </c>
      <c r="B1568" s="1921" t="s">
        <v>5249</v>
      </c>
      <c r="C1568" s="2108">
        <v>4.3143780457972003</v>
      </c>
      <c r="D1568" s="3196">
        <v>4.16</v>
      </c>
      <c r="E1568" s="3270">
        <v>-3.5782224959999942E-2</v>
      </c>
      <c r="F1568" s="3007">
        <v>-1.0734667487999983E-3</v>
      </c>
      <c r="G1568" s="415"/>
      <c r="H1568" s="415" t="s">
        <v>5247</v>
      </c>
      <c r="I1568" s="412"/>
      <c r="K1568" s="434"/>
    </row>
    <row r="1569" spans="1:11" ht="12.75" hidden="1" customHeight="1" outlineLevel="1" x14ac:dyDescent="0.25">
      <c r="A1569" s="2380">
        <v>7.0000000000000007E-2</v>
      </c>
      <c r="B1569" s="2109" t="s">
        <v>4550</v>
      </c>
      <c r="C1569" s="2108">
        <v>283.63</v>
      </c>
      <c r="D1569" s="3199">
        <v>446.4</v>
      </c>
      <c r="E1569" s="3270">
        <v>0.57388146528928519</v>
      </c>
      <c r="F1569" s="3007">
        <v>4.0171702570249969E-2</v>
      </c>
      <c r="G1569" s="415"/>
      <c r="H1569" s="415" t="s">
        <v>8889</v>
      </c>
      <c r="I1569" s="412"/>
      <c r="K1569" s="434"/>
    </row>
    <row r="1570" spans="1:11" ht="12.75" hidden="1" customHeight="1" outlineLevel="1" x14ac:dyDescent="0.25">
      <c r="A1570" s="2181"/>
      <c r="B1570" s="2103"/>
      <c r="C1570" s="3200">
        <v>100</v>
      </c>
      <c r="D1570" s="3201"/>
      <c r="E1570" s="3202"/>
      <c r="F1570" s="3202">
        <v>8.2900000000000001E-2</v>
      </c>
      <c r="G1570" s="12"/>
      <c r="H1570" s="415"/>
    </row>
    <row r="1571" spans="1:11" ht="12.75" hidden="1" customHeight="1" outlineLevel="1" x14ac:dyDescent="0.25">
      <c r="A1571" s="1956" t="s">
        <v>8582</v>
      </c>
      <c r="B1571" s="2185">
        <v>44621</v>
      </c>
      <c r="C1571" s="3203">
        <v>100</v>
      </c>
      <c r="D1571" s="3203">
        <v>116.28879999999999</v>
      </c>
      <c r="E1571" s="3204">
        <v>0.16288799999999992</v>
      </c>
      <c r="F1571" s="3151"/>
      <c r="G1571" s="12"/>
      <c r="H1571" s="415"/>
    </row>
    <row r="1572" spans="1:11" ht="12.75" hidden="1" customHeight="1" outlineLevel="1" x14ac:dyDescent="0.25">
      <c r="A1572" s="1956" t="s">
        <v>8583</v>
      </c>
      <c r="B1572" s="2185">
        <v>44652</v>
      </c>
      <c r="C1572" s="3203">
        <v>100</v>
      </c>
      <c r="D1572" s="3206">
        <v>117.5972</v>
      </c>
      <c r="E1572" s="3204">
        <v>0.17597200000000002</v>
      </c>
      <c r="F1572" s="3151"/>
      <c r="G1572" s="12"/>
      <c r="H1572" s="415"/>
    </row>
    <row r="1573" spans="1:11" ht="12.75" hidden="1" customHeight="1" outlineLevel="1" x14ac:dyDescent="0.25">
      <c r="A1573" s="1956" t="s">
        <v>8584</v>
      </c>
      <c r="B1573" s="2185">
        <v>44682</v>
      </c>
      <c r="C1573" s="3203">
        <v>100</v>
      </c>
      <c r="D1573" s="3206">
        <v>117.0912</v>
      </c>
      <c r="E1573" s="3204">
        <v>0.17091199999999995</v>
      </c>
      <c r="F1573" s="3151"/>
      <c r="G1573" s="12"/>
      <c r="H1573" s="415"/>
    </row>
    <row r="1574" spans="1:11" ht="12.75" hidden="1" customHeight="1" outlineLevel="1" x14ac:dyDescent="0.25">
      <c r="A1574" s="1956" t="s">
        <v>8585</v>
      </c>
      <c r="B1574" s="2185">
        <v>44713</v>
      </c>
      <c r="C1574" s="3203">
        <v>100</v>
      </c>
      <c r="D1574" s="3206">
        <v>110.23609999999999</v>
      </c>
      <c r="E1574" s="3204">
        <v>0.10236099999999992</v>
      </c>
      <c r="F1574" s="3151"/>
      <c r="G1574" s="12"/>
      <c r="H1574" s="415"/>
    </row>
    <row r="1575" spans="1:11" ht="12.75" hidden="1" customHeight="1" outlineLevel="1" x14ac:dyDescent="0.25">
      <c r="A1575" s="1956" t="s">
        <v>8586</v>
      </c>
      <c r="B1575" s="2185">
        <v>44743</v>
      </c>
      <c r="C1575" s="3203">
        <v>100</v>
      </c>
      <c r="D1575" s="3206">
        <v>112.8078</v>
      </c>
      <c r="E1575" s="3204">
        <v>0.12807799999999991</v>
      </c>
      <c r="F1575" s="3151"/>
      <c r="G1575" s="12"/>
      <c r="H1575" s="415"/>
    </row>
    <row r="1576" spans="1:11" ht="12.75" hidden="1" customHeight="1" outlineLevel="1" x14ac:dyDescent="0.25">
      <c r="A1576" s="1956" t="s">
        <v>8587</v>
      </c>
      <c r="B1576" s="2185">
        <v>44774</v>
      </c>
      <c r="C1576" s="3203">
        <v>100</v>
      </c>
      <c r="D1576" s="3206">
        <v>110.0592</v>
      </c>
      <c r="E1576" s="3204">
        <v>0.10059200000000001</v>
      </c>
      <c r="F1576" s="3151"/>
      <c r="G1576" s="12"/>
      <c r="H1576" s="415"/>
    </row>
    <row r="1577" spans="1:11" ht="12.75" hidden="1" customHeight="1" outlineLevel="1" x14ac:dyDescent="0.25">
      <c r="A1577" s="1956" t="s">
        <v>8588</v>
      </c>
      <c r="B1577" s="2185">
        <v>44805</v>
      </c>
      <c r="C1577" s="3203">
        <v>100</v>
      </c>
      <c r="D1577" s="3206">
        <v>101.104</v>
      </c>
      <c r="E1577" s="3204">
        <v>1.1039999999999939E-2</v>
      </c>
      <c r="F1577" s="3151"/>
      <c r="G1577" s="12"/>
      <c r="H1577" s="415"/>
    </row>
    <row r="1578" spans="1:11" ht="12.75" hidden="1" customHeight="1" outlineLevel="1" x14ac:dyDescent="0.25">
      <c r="A1578" s="1956" t="s">
        <v>8589</v>
      </c>
      <c r="B1578" s="2185">
        <v>44835</v>
      </c>
      <c r="C1578" s="3203">
        <v>100</v>
      </c>
      <c r="D1578" s="3206">
        <v>106.43770000000001</v>
      </c>
      <c r="E1578" s="3204">
        <v>6.4377000000000129E-2</v>
      </c>
      <c r="F1578" s="3151"/>
      <c r="G1578" s="12"/>
      <c r="H1578" s="415"/>
    </row>
    <row r="1579" spans="1:11" ht="12.75" hidden="1" customHeight="1" outlineLevel="1" x14ac:dyDescent="0.25">
      <c r="A1579" s="1956" t="s">
        <v>8590</v>
      </c>
      <c r="B1579" s="2185">
        <v>44866</v>
      </c>
      <c r="C1579" s="3203">
        <v>100</v>
      </c>
      <c r="D1579" s="3206">
        <v>110.09569999999999</v>
      </c>
      <c r="E1579" s="3204">
        <v>0.10095699999999996</v>
      </c>
      <c r="F1579" s="3151"/>
      <c r="G1579" s="12"/>
      <c r="H1579" s="415"/>
    </row>
    <row r="1580" spans="1:11" ht="12.75" hidden="1" customHeight="1" outlineLevel="1" x14ac:dyDescent="0.25">
      <c r="A1580" s="1956" t="s">
        <v>8591</v>
      </c>
      <c r="B1580" s="2185">
        <v>44896</v>
      </c>
      <c r="C1580" s="3203">
        <v>100</v>
      </c>
      <c r="D1580" s="3206">
        <v>107.506</v>
      </c>
      <c r="E1580" s="3204">
        <v>7.5059999999999905E-2</v>
      </c>
      <c r="F1580" s="3151"/>
      <c r="G1580" s="12"/>
      <c r="H1580" s="415"/>
    </row>
    <row r="1581" spans="1:11" ht="12.75" hidden="1" customHeight="1" outlineLevel="1" x14ac:dyDescent="0.25">
      <c r="A1581" s="1956" t="s">
        <v>8592</v>
      </c>
      <c r="B1581" s="2185">
        <v>44927</v>
      </c>
      <c r="C1581" s="3203">
        <v>100</v>
      </c>
      <c r="D1581" s="3206">
        <v>109.86709999999999</v>
      </c>
      <c r="E1581" s="3204">
        <v>9.8670999999999953E-2</v>
      </c>
      <c r="F1581" s="3151"/>
      <c r="G1581" s="12"/>
      <c r="H1581" s="415"/>
    </row>
    <row r="1582" spans="1:11" ht="12.75" hidden="1" customHeight="1" outlineLevel="1" x14ac:dyDescent="0.25">
      <c r="A1582" s="1956" t="s">
        <v>8593</v>
      </c>
      <c r="B1582" s="2185">
        <v>44958</v>
      </c>
      <c r="C1582" s="3203">
        <v>100</v>
      </c>
      <c r="D1582" s="3206">
        <v>108.285</v>
      </c>
      <c r="E1582" s="3204">
        <v>8.2849999999999868E-2</v>
      </c>
      <c r="F1582" s="3151"/>
      <c r="G1582" s="12"/>
      <c r="H1582" s="415"/>
    </row>
    <row r="1583" spans="1:11" ht="12.75" hidden="1" customHeight="1" outlineLevel="1" x14ac:dyDescent="0.25">
      <c r="A1583" s="2189" t="s">
        <v>2734</v>
      </c>
      <c r="B1583" s="2190"/>
      <c r="C1583" s="3206"/>
      <c r="D1583" s="2191" t="s">
        <v>2465</v>
      </c>
      <c r="E1583" s="1987">
        <v>0.10614649999999996</v>
      </c>
      <c r="F1583" s="2528"/>
      <c r="G1583" s="12"/>
      <c r="H1583" s="415"/>
    </row>
    <row r="1584" spans="1:11" collapsed="1" x14ac:dyDescent="0.25">
      <c r="A1584" s="3801" t="s">
        <v>8581</v>
      </c>
      <c r="B1584" s="3802"/>
      <c r="C1584" s="3802"/>
      <c r="D1584" s="3802"/>
      <c r="E1584" s="1906"/>
      <c r="F1584" s="1907">
        <v>0.10614649999999996</v>
      </c>
      <c r="G1584" s="78"/>
    </row>
    <row r="1586" spans="1:8" ht="12.75" hidden="1" customHeight="1" outlineLevel="1" x14ac:dyDescent="0.25">
      <c r="A1586" s="3237" t="s">
        <v>113</v>
      </c>
      <c r="B1586" s="3237" t="s">
        <v>114</v>
      </c>
      <c r="C1586" s="3237" t="s">
        <v>112</v>
      </c>
      <c r="D1586" s="3237" t="s">
        <v>116</v>
      </c>
      <c r="E1586" s="3237" t="s">
        <v>117</v>
      </c>
      <c r="F1586" s="3237" t="s">
        <v>121</v>
      </c>
      <c r="G1586" s="78"/>
    </row>
    <row r="1587" spans="1:8" ht="12.75" hidden="1" customHeight="1" outlineLevel="1" x14ac:dyDescent="0.25">
      <c r="A1587" s="3238">
        <v>1</v>
      </c>
      <c r="B1587" s="3239" t="s">
        <v>252</v>
      </c>
      <c r="C1587" s="3240">
        <v>100</v>
      </c>
      <c r="D1587" s="3240"/>
      <c r="E1587" s="3241"/>
      <c r="F1587" s="3242"/>
      <c r="G1587" s="78"/>
    </row>
    <row r="1588" spans="1:8" ht="12.75" hidden="1" customHeight="1" outlineLevel="1" x14ac:dyDescent="0.25">
      <c r="A1588" s="3243" t="s">
        <v>2734</v>
      </c>
      <c r="B1588" s="3243"/>
      <c r="C1588" s="3244"/>
      <c r="D1588" s="1900" t="s">
        <v>3702</v>
      </c>
      <c r="E1588" s="3245">
        <v>44286</v>
      </c>
      <c r="F1588" s="3246"/>
      <c r="G1588" s="78"/>
    </row>
    <row r="1589" spans="1:8" ht="12.75" hidden="1" customHeight="1" outlineLevel="1" x14ac:dyDescent="0.25">
      <c r="A1589" s="3237" t="s">
        <v>4156</v>
      </c>
      <c r="B1589" s="3237" t="s">
        <v>4153</v>
      </c>
      <c r="C1589" s="3247" t="s">
        <v>112</v>
      </c>
      <c r="D1589" s="3248" t="s">
        <v>4155</v>
      </c>
      <c r="E1589" s="3248" t="s">
        <v>4154</v>
      </c>
      <c r="F1589" s="3248" t="s">
        <v>2519</v>
      </c>
      <c r="G1589" s="78"/>
    </row>
    <row r="1590" spans="1:8" ht="12.75" hidden="1" customHeight="1" outlineLevel="1" x14ac:dyDescent="0.25">
      <c r="A1590" s="1991">
        <v>7.0000000000000007E-2</v>
      </c>
      <c r="B1590" s="1921" t="s">
        <v>8686</v>
      </c>
      <c r="C1590" s="2108">
        <v>32.973999999999997</v>
      </c>
      <c r="D1590" s="2862">
        <v>28.26</v>
      </c>
      <c r="E1590" s="2890">
        <v>-0.14296112088311985</v>
      </c>
      <c r="F1590" s="3004">
        <v>-1.000727846181839E-2</v>
      </c>
      <c r="G1590" s="78"/>
      <c r="H1590" t="s">
        <v>8687</v>
      </c>
    </row>
    <row r="1591" spans="1:8" ht="12.75" hidden="1" customHeight="1" outlineLevel="1" x14ac:dyDescent="0.25">
      <c r="A1591" s="2380">
        <v>0.05</v>
      </c>
      <c r="B1591" s="1921" t="s">
        <v>1317</v>
      </c>
      <c r="C1591" s="2108">
        <v>67.63</v>
      </c>
      <c r="D1591" s="2865">
        <v>84.78</v>
      </c>
      <c r="E1591" s="2892">
        <v>0.25358568682537341</v>
      </c>
      <c r="F1591" s="3007">
        <v>1.2679284341268672E-2</v>
      </c>
      <c r="G1591" s="78"/>
      <c r="H1591" t="s">
        <v>1318</v>
      </c>
    </row>
    <row r="1592" spans="1:8" ht="12.75" hidden="1" customHeight="1" outlineLevel="1" x14ac:dyDescent="0.25">
      <c r="A1592" s="2380">
        <v>0.02</v>
      </c>
      <c r="B1592" s="1921" t="s">
        <v>8259</v>
      </c>
      <c r="C1592" s="2108">
        <v>162.101</v>
      </c>
      <c r="D1592" s="2865">
        <v>248.81</v>
      </c>
      <c r="E1592" s="2892">
        <v>0.53490724918415067</v>
      </c>
      <c r="F1592" s="3007">
        <v>1.0698144983683013E-2</v>
      </c>
      <c r="G1592" s="78"/>
      <c r="H1592" t="s">
        <v>8267</v>
      </c>
    </row>
    <row r="1593" spans="1:8" ht="12.75" hidden="1" customHeight="1" outlineLevel="1" x14ac:dyDescent="0.25">
      <c r="A1593" s="2380">
        <v>0.02</v>
      </c>
      <c r="B1593" s="1921" t="s">
        <v>8688</v>
      </c>
      <c r="C1593" s="2108">
        <v>187.11</v>
      </c>
      <c r="D1593" s="2865">
        <v>251</v>
      </c>
      <c r="E1593" s="2892">
        <v>0.34145689701245252</v>
      </c>
      <c r="F1593" s="3007">
        <v>6.8291379402490504E-3</v>
      </c>
      <c r="G1593" s="78"/>
      <c r="H1593" t="s">
        <v>8689</v>
      </c>
    </row>
    <row r="1594" spans="1:8" ht="12.75" hidden="1" customHeight="1" outlineLevel="1" x14ac:dyDescent="0.25">
      <c r="A1594" s="2380">
        <v>0.02</v>
      </c>
      <c r="B1594" s="1921" t="s">
        <v>4377</v>
      </c>
      <c r="C1594" s="2108">
        <v>53.156999999999996</v>
      </c>
      <c r="D1594" s="2865">
        <v>63.13</v>
      </c>
      <c r="E1594" s="2892">
        <v>0.18761404894933897</v>
      </c>
      <c r="F1594" s="3007">
        <v>3.7522809789867794E-3</v>
      </c>
      <c r="G1594" s="78"/>
      <c r="H1594" t="s">
        <v>4327</v>
      </c>
    </row>
    <row r="1595" spans="1:8" ht="12.75" hidden="1" customHeight="1" outlineLevel="1" x14ac:dyDescent="0.25">
      <c r="A1595" s="2380">
        <v>0.03</v>
      </c>
      <c r="B1595" s="1921" t="s">
        <v>581</v>
      </c>
      <c r="C1595" s="2108">
        <v>106.818</v>
      </c>
      <c r="D1595" s="2865">
        <v>104.79</v>
      </c>
      <c r="E1595" s="2892">
        <v>-1.8985564230747598E-2</v>
      </c>
      <c r="F1595" s="3007">
        <v>-5.6956692692242789E-4</v>
      </c>
      <c r="G1595" s="78"/>
      <c r="H1595" t="s">
        <v>589</v>
      </c>
    </row>
    <row r="1596" spans="1:8" ht="12.75" hidden="1" customHeight="1" outlineLevel="1" x14ac:dyDescent="0.25">
      <c r="A1596" s="2380">
        <v>0.03</v>
      </c>
      <c r="B1596" s="1921" t="s">
        <v>939</v>
      </c>
      <c r="C1596" s="2108">
        <v>48.923000000000002</v>
      </c>
      <c r="D1596" s="2865">
        <v>52.97</v>
      </c>
      <c r="E1596" s="2892">
        <v>8.2721828178974999E-2</v>
      </c>
      <c r="F1596" s="3007">
        <v>2.4816548453692497E-3</v>
      </c>
      <c r="G1596" s="78"/>
      <c r="H1596" t="s">
        <v>2791</v>
      </c>
    </row>
    <row r="1597" spans="1:8" ht="12.75" hidden="1" customHeight="1" outlineLevel="1" x14ac:dyDescent="0.25">
      <c r="A1597" s="2380">
        <v>0.02</v>
      </c>
      <c r="B1597" s="1921" t="s">
        <v>8690</v>
      </c>
      <c r="C1597" s="2108">
        <v>32.263500000000001</v>
      </c>
      <c r="D1597" s="2865">
        <v>39.97</v>
      </c>
      <c r="E1597" s="2892">
        <v>0.23886125187905827</v>
      </c>
      <c r="F1597" s="3007">
        <v>4.7772250375811651E-3</v>
      </c>
      <c r="G1597" s="78"/>
      <c r="H1597" t="s">
        <v>8691</v>
      </c>
    </row>
    <row r="1598" spans="1:8" ht="12.75" hidden="1" customHeight="1" outlineLevel="1" x14ac:dyDescent="0.25">
      <c r="A1598" s="2380">
        <v>0.02</v>
      </c>
      <c r="B1598" s="1921" t="s">
        <v>4064</v>
      </c>
      <c r="C1598" s="2108">
        <v>83.715000000000003</v>
      </c>
      <c r="D1598" s="2865">
        <v>186.82</v>
      </c>
      <c r="E1598" s="2892">
        <v>1.2316191841366542</v>
      </c>
      <c r="F1598" s="3007">
        <v>2.4632383682733083E-2</v>
      </c>
      <c r="G1598" s="78"/>
      <c r="H1598" t="s">
        <v>170</v>
      </c>
    </row>
    <row r="1599" spans="1:8" ht="12.75" hidden="1" customHeight="1" outlineLevel="1" x14ac:dyDescent="0.25">
      <c r="A1599" s="2380">
        <v>7.0000000000000007E-2</v>
      </c>
      <c r="B1599" s="1921" t="s">
        <v>7855</v>
      </c>
      <c r="C1599" s="2108">
        <v>56.512</v>
      </c>
      <c r="D1599" s="2865">
        <v>45.78</v>
      </c>
      <c r="E1599" s="2892">
        <v>-0.18990656851642129</v>
      </c>
      <c r="F1599" s="3007">
        <v>-1.3293459796149492E-2</v>
      </c>
      <c r="G1599" s="78"/>
      <c r="H1599" t="s">
        <v>7851</v>
      </c>
    </row>
    <row r="1600" spans="1:8" ht="12.75" hidden="1" customHeight="1" outlineLevel="1" x14ac:dyDescent="0.25">
      <c r="A1600" s="2380">
        <v>0.05</v>
      </c>
      <c r="B1600" s="1921" t="s">
        <v>3425</v>
      </c>
      <c r="C1600" s="2108">
        <v>81.820999999999998</v>
      </c>
      <c r="D1600" s="2865">
        <v>55.83</v>
      </c>
      <c r="E1600" s="2892">
        <v>-0.31765683626452867</v>
      </c>
      <c r="F1600" s="3007">
        <v>-1.5882841813226436E-2</v>
      </c>
      <c r="G1600" s="78"/>
      <c r="H1600" t="s">
        <v>4126</v>
      </c>
    </row>
    <row r="1601" spans="1:8" ht="12.75" hidden="1" customHeight="1" outlineLevel="1" x14ac:dyDescent="0.25">
      <c r="A1601" s="2380">
        <v>0.02</v>
      </c>
      <c r="B1601" s="1921" t="s">
        <v>8692</v>
      </c>
      <c r="C1601" s="2108">
        <v>20.3</v>
      </c>
      <c r="D1601" s="2865">
        <v>14.2</v>
      </c>
      <c r="E1601" s="2892">
        <v>-0.3004926108374385</v>
      </c>
      <c r="F1601" s="3007">
        <v>-6.0098522167487704E-3</v>
      </c>
      <c r="G1601" s="78"/>
      <c r="H1601" t="s">
        <v>8693</v>
      </c>
    </row>
    <row r="1602" spans="1:8" ht="12.75" hidden="1" customHeight="1" outlineLevel="1" x14ac:dyDescent="0.25">
      <c r="A1602" s="2380">
        <v>0.02</v>
      </c>
      <c r="B1602" s="1921" t="s">
        <v>8694</v>
      </c>
      <c r="C1602" s="2519">
        <v>47.789000000000001</v>
      </c>
      <c r="D1602" s="2865">
        <v>66.790000000000006</v>
      </c>
      <c r="E1602" s="2892">
        <v>0.39760195860972192</v>
      </c>
      <c r="F1602" s="3007">
        <v>7.9520391721944386E-3</v>
      </c>
      <c r="G1602" s="78"/>
      <c r="H1602" t="s">
        <v>8695</v>
      </c>
    </row>
    <row r="1603" spans="1:8" ht="12.75" hidden="1" customHeight="1" outlineLevel="1" x14ac:dyDescent="0.25">
      <c r="A1603" s="2380">
        <v>0.03</v>
      </c>
      <c r="B1603" s="1921" t="s">
        <v>7421</v>
      </c>
      <c r="C1603" s="2108">
        <v>86.335999999999999</v>
      </c>
      <c r="D1603" s="2865">
        <v>77.459999999999994</v>
      </c>
      <c r="E1603" s="2892">
        <v>-0.1028076352853966</v>
      </c>
      <c r="F1603" s="3007">
        <v>-3.0842290585618979E-3</v>
      </c>
      <c r="G1603" s="78"/>
      <c r="H1603" t="s">
        <v>7419</v>
      </c>
    </row>
    <row r="1604" spans="1:8" ht="12.75" hidden="1" customHeight="1" outlineLevel="1" x14ac:dyDescent="0.25">
      <c r="A1604" s="2380">
        <v>0.02</v>
      </c>
      <c r="B1604" s="1921" t="s">
        <v>7837</v>
      </c>
      <c r="C1604" s="2108">
        <v>123.902</v>
      </c>
      <c r="D1604" s="2865">
        <v>217.07</v>
      </c>
      <c r="E1604" s="2892">
        <v>0.7519491210795628</v>
      </c>
      <c r="F1604" s="3007">
        <v>1.5038982421591256E-2</v>
      </c>
      <c r="G1604" s="78"/>
      <c r="H1604" t="s">
        <v>7828</v>
      </c>
    </row>
    <row r="1605" spans="1:8" ht="12.75" hidden="1" customHeight="1" outlineLevel="1" x14ac:dyDescent="0.25">
      <c r="A1605" s="2380">
        <v>0.04</v>
      </c>
      <c r="B1605" s="1921" t="s">
        <v>1905</v>
      </c>
      <c r="C1605" s="2108">
        <v>62.606999999999999</v>
      </c>
      <c r="D1605" s="2865">
        <v>77.09</v>
      </c>
      <c r="E1605" s="2892">
        <v>0.23133195968501941</v>
      </c>
      <c r="F1605" s="3007">
        <v>9.2532783874007766E-3</v>
      </c>
      <c r="G1605" s="78"/>
      <c r="H1605" t="s">
        <v>504</v>
      </c>
    </row>
    <row r="1606" spans="1:8" ht="12.75" hidden="1" customHeight="1" outlineLevel="1" x14ac:dyDescent="0.25">
      <c r="A1606" s="2380">
        <v>0.02</v>
      </c>
      <c r="B1606" s="1921" t="s">
        <v>7838</v>
      </c>
      <c r="C1606" s="2108">
        <v>51.856000000000002</v>
      </c>
      <c r="D1606" s="2865">
        <v>60.79</v>
      </c>
      <c r="E1606" s="2892">
        <v>0.17228478864547969</v>
      </c>
      <c r="F1606" s="3007">
        <v>3.4456957729095939E-3</v>
      </c>
      <c r="G1606" s="78"/>
      <c r="H1606" t="s">
        <v>7829</v>
      </c>
    </row>
    <row r="1607" spans="1:8" ht="12.75" hidden="1" customHeight="1" outlineLevel="1" x14ac:dyDescent="0.25">
      <c r="A1607" s="2380">
        <v>0.02</v>
      </c>
      <c r="B1607" s="1921" t="s">
        <v>6057</v>
      </c>
      <c r="C1607" s="2108">
        <v>65.468000000000004</v>
      </c>
      <c r="D1607" s="2865">
        <v>235.77</v>
      </c>
      <c r="E1607" s="2892">
        <v>2.6013013991568399</v>
      </c>
      <c r="F1607" s="3007">
        <v>5.2026027983136797E-2</v>
      </c>
      <c r="G1607" s="78"/>
      <c r="H1607" t="s">
        <v>8270</v>
      </c>
    </row>
    <row r="1608" spans="1:8" ht="12.75" hidden="1" customHeight="1" outlineLevel="1" x14ac:dyDescent="0.25">
      <c r="A1608" s="2380">
        <v>0.02</v>
      </c>
      <c r="B1608" s="1921" t="s">
        <v>8696</v>
      </c>
      <c r="C1608" s="2108">
        <v>58.87</v>
      </c>
      <c r="D1608" s="2865">
        <v>80.27</v>
      </c>
      <c r="E1608" s="2892">
        <v>0.3635128248683539</v>
      </c>
      <c r="F1608" s="3007">
        <v>7.2702564973670782E-3</v>
      </c>
      <c r="G1608" s="78"/>
      <c r="H1608" t="s">
        <v>8697</v>
      </c>
    </row>
    <row r="1609" spans="1:8" ht="12.75" hidden="1" customHeight="1" outlineLevel="1" x14ac:dyDescent="0.25">
      <c r="A1609" s="2380">
        <v>0.02</v>
      </c>
      <c r="B1609" s="1921" t="s">
        <v>6559</v>
      </c>
      <c r="C1609" s="2108">
        <v>53.77</v>
      </c>
      <c r="D1609" s="2865">
        <v>132.59</v>
      </c>
      <c r="E1609" s="2892">
        <v>1.4658731634740563</v>
      </c>
      <c r="F1609" s="3007">
        <v>2.9317463269481127E-2</v>
      </c>
      <c r="G1609" s="78"/>
      <c r="H1609" t="s">
        <v>6558</v>
      </c>
    </row>
    <row r="1610" spans="1:8" ht="12.75" hidden="1" customHeight="1" outlineLevel="1" x14ac:dyDescent="0.25">
      <c r="A1610" s="2380">
        <v>0.02</v>
      </c>
      <c r="B1610" s="1921" t="s">
        <v>8698</v>
      </c>
      <c r="C1610" s="2108">
        <v>72.819999999999993</v>
      </c>
      <c r="D1610" s="2865">
        <v>65.459999999999994</v>
      </c>
      <c r="E1610" s="2892">
        <v>-0.10107113430376269</v>
      </c>
      <c r="F1610" s="3007">
        <v>-2.0214226860752536E-3</v>
      </c>
      <c r="G1610" s="78"/>
      <c r="H1610" t="s">
        <v>8699</v>
      </c>
    </row>
    <row r="1611" spans="1:8" ht="12.75" hidden="1" customHeight="1" outlineLevel="1" x14ac:dyDescent="0.25">
      <c r="A1611" s="2380">
        <v>0.02</v>
      </c>
      <c r="B1611" s="1921" t="s">
        <v>8700</v>
      </c>
      <c r="C1611" s="2108">
        <v>62.814</v>
      </c>
      <c r="D1611" s="2865">
        <v>99.35</v>
      </c>
      <c r="E1611" s="2892">
        <v>0.58165377145222386</v>
      </c>
      <c r="F1611" s="3007">
        <v>1.1633075429044477E-2</v>
      </c>
      <c r="G1611" s="78"/>
      <c r="H1611" t="s">
        <v>8701</v>
      </c>
    </row>
    <row r="1612" spans="1:8" ht="12.75" hidden="1" customHeight="1" outlineLevel="1" x14ac:dyDescent="0.25">
      <c r="A1612" s="2380">
        <v>0.02</v>
      </c>
      <c r="B1612" s="1921" t="s">
        <v>162</v>
      </c>
      <c r="C1612" s="2108">
        <v>77.840999999999994</v>
      </c>
      <c r="D1612" s="2865">
        <v>27.19</v>
      </c>
      <c r="E1612" s="2892">
        <v>-0.65069821816266482</v>
      </c>
      <c r="F1612" s="3007">
        <v>-1.3013964363253297E-2</v>
      </c>
      <c r="G1612" s="78"/>
      <c r="H1612" t="s">
        <v>563</v>
      </c>
    </row>
    <row r="1613" spans="1:8" ht="12.75" hidden="1" customHeight="1" outlineLevel="1" x14ac:dyDescent="0.25">
      <c r="A1613" s="2380">
        <v>0.08</v>
      </c>
      <c r="B1613" s="1921" t="s">
        <v>3427</v>
      </c>
      <c r="C1613" s="2108">
        <v>49.698999999999998</v>
      </c>
      <c r="D1613" s="2865">
        <v>62.16</v>
      </c>
      <c r="E1613" s="2892">
        <v>0.25072939093341917</v>
      </c>
      <c r="F1613" s="3007">
        <v>2.0058351274673532E-2</v>
      </c>
      <c r="G1613" s="78"/>
      <c r="H1613" t="s">
        <v>2800</v>
      </c>
    </row>
    <row r="1614" spans="1:8" ht="12.75" hidden="1" customHeight="1" outlineLevel="1" x14ac:dyDescent="0.25">
      <c r="A1614" s="2380">
        <v>0.02</v>
      </c>
      <c r="B1614" s="1921" t="s">
        <v>8702</v>
      </c>
      <c r="C1614" s="2108">
        <v>41.131999999999998</v>
      </c>
      <c r="D1614" s="2865">
        <v>26.27</v>
      </c>
      <c r="E1614" s="2892">
        <v>-0.36132451619177286</v>
      </c>
      <c r="F1614" s="3007">
        <v>-7.2264903238354571E-3</v>
      </c>
      <c r="G1614" s="78"/>
      <c r="H1614" t="s">
        <v>8703</v>
      </c>
    </row>
    <row r="1615" spans="1:8" ht="12.75" hidden="1" customHeight="1" outlineLevel="1" x14ac:dyDescent="0.25">
      <c r="A1615" s="2380">
        <v>0.03</v>
      </c>
      <c r="B1615" s="1921" t="s">
        <v>8704</v>
      </c>
      <c r="C1615" s="2108">
        <v>92.248000000000005</v>
      </c>
      <c r="D1615" s="2865">
        <v>84.72</v>
      </c>
      <c r="E1615" s="2892">
        <v>-8.160610528141532E-2</v>
      </c>
      <c r="F1615" s="3007">
        <v>-2.4481831584424597E-3</v>
      </c>
      <c r="G1615" s="78"/>
      <c r="H1615" t="s">
        <v>8705</v>
      </c>
    </row>
    <row r="1616" spans="1:8" ht="12.75" hidden="1" customHeight="1" outlineLevel="1" x14ac:dyDescent="0.25">
      <c r="A1616" s="2380">
        <v>0.08</v>
      </c>
      <c r="B1616" s="1921" t="s">
        <v>366</v>
      </c>
      <c r="C1616" s="2108">
        <v>63.441000000000003</v>
      </c>
      <c r="D1616" s="2865">
        <v>57.61</v>
      </c>
      <c r="E1616" s="2892">
        <v>-9.1912170363014467E-2</v>
      </c>
      <c r="F1616" s="3007">
        <v>-7.3529736290411573E-3</v>
      </c>
      <c r="G1616" s="78"/>
      <c r="H1616" t="s">
        <v>367</v>
      </c>
    </row>
    <row r="1617" spans="1:18" ht="12.75" hidden="1" customHeight="1" outlineLevel="1" x14ac:dyDescent="0.25">
      <c r="A1617" s="2380">
        <v>0.02</v>
      </c>
      <c r="B1617" s="1921" t="s">
        <v>8706</v>
      </c>
      <c r="C1617" s="2108">
        <v>64.852000000000004</v>
      </c>
      <c r="D1617" s="2865">
        <v>71.599999999999994</v>
      </c>
      <c r="E1617" s="2892">
        <v>0.10405230370690166</v>
      </c>
      <c r="F1617" s="3007">
        <v>2.0810460741380334E-3</v>
      </c>
      <c r="G1617" s="78"/>
      <c r="H1617" t="s">
        <v>8707</v>
      </c>
    </row>
    <row r="1618" spans="1:18" ht="12.75" hidden="1" customHeight="1" outlineLevel="1" x14ac:dyDescent="0.25">
      <c r="A1618" s="2380">
        <v>0.08</v>
      </c>
      <c r="B1618" s="1921" t="s">
        <v>255</v>
      </c>
      <c r="C1618" s="2108">
        <v>48.606999999999999</v>
      </c>
      <c r="D1618" s="2865">
        <v>58.15</v>
      </c>
      <c r="E1618" s="2892">
        <v>0.19632974674429615</v>
      </c>
      <c r="F1618" s="3007">
        <v>1.5706379739543693E-2</v>
      </c>
      <c r="G1618" s="78"/>
      <c r="H1618" t="s">
        <v>3351</v>
      </c>
    </row>
    <row r="1619" spans="1:18" ht="12.75" hidden="1" customHeight="1" outlineLevel="1" x14ac:dyDescent="0.25">
      <c r="A1619" s="2380">
        <v>0.02</v>
      </c>
      <c r="B1619" s="2109" t="s">
        <v>1211</v>
      </c>
      <c r="C1619" s="2108">
        <v>72.716999999999999</v>
      </c>
      <c r="D1619" s="2868">
        <v>129.02000000000001</v>
      </c>
      <c r="E1619" s="2897">
        <v>0.7742756164308211</v>
      </c>
      <c r="F1619" s="2870">
        <v>1.5485512328616422E-2</v>
      </c>
      <c r="G1619" s="78"/>
      <c r="H1619" t="s">
        <v>685</v>
      </c>
    </row>
    <row r="1620" spans="1:18" ht="12.75" hidden="1" customHeight="1" outlineLevel="1" x14ac:dyDescent="0.25">
      <c r="A1620" s="2181" t="s">
        <v>2734</v>
      </c>
      <c r="B1620" s="2103"/>
      <c r="C1620" s="3200"/>
      <c r="D1620" s="3201"/>
      <c r="E1620" s="3025"/>
      <c r="F1620" s="3025">
        <v>0.17420795772589323</v>
      </c>
      <c r="G1620" s="78"/>
    </row>
    <row r="1621" spans="1:18" ht="12.75" hidden="1" customHeight="1" outlineLevel="1" x14ac:dyDescent="0.25">
      <c r="A1621" s="1956" t="s">
        <v>8730</v>
      </c>
      <c r="B1621" s="2185">
        <v>44105</v>
      </c>
      <c r="C1621" s="3203">
        <v>100</v>
      </c>
      <c r="D1621" s="3203">
        <v>97.751400000000004</v>
      </c>
      <c r="E1621" s="3204">
        <v>-2.2486000000000006E-2</v>
      </c>
      <c r="F1621" s="3151"/>
      <c r="G1621" s="78"/>
    </row>
    <row r="1622" spans="1:18" ht="12.75" hidden="1" customHeight="1" outlineLevel="1" x14ac:dyDescent="0.25">
      <c r="A1622" s="1956" t="s">
        <v>8731</v>
      </c>
      <c r="B1622" s="2185">
        <v>44136</v>
      </c>
      <c r="C1622" s="3203">
        <v>100</v>
      </c>
      <c r="D1622" s="3206">
        <v>108.4509</v>
      </c>
      <c r="E1622" s="3204">
        <v>8.4508999999999945E-2</v>
      </c>
      <c r="F1622" s="3151"/>
      <c r="G1622" s="78"/>
    </row>
    <row r="1623" spans="1:18" ht="12.75" hidden="1" customHeight="1" outlineLevel="1" x14ac:dyDescent="0.25">
      <c r="A1623" s="1956" t="s">
        <v>8732</v>
      </c>
      <c r="B1623" s="2185">
        <v>44166</v>
      </c>
      <c r="C1623" s="3203">
        <v>100</v>
      </c>
      <c r="D1623" s="3206">
        <v>109.6584</v>
      </c>
      <c r="E1623" s="3204">
        <v>9.6584000000000003E-2</v>
      </c>
      <c r="F1623" s="3151"/>
      <c r="G1623" s="78"/>
    </row>
    <row r="1624" spans="1:18" ht="12.75" hidden="1" customHeight="1" outlineLevel="1" x14ac:dyDescent="0.25">
      <c r="A1624" s="1956" t="s">
        <v>8733</v>
      </c>
      <c r="B1624" s="2185">
        <v>44197</v>
      </c>
      <c r="C1624" s="3203">
        <v>100</v>
      </c>
      <c r="D1624" s="3206">
        <v>109.4573</v>
      </c>
      <c r="E1624" s="3204">
        <v>9.4573000000000018E-2</v>
      </c>
      <c r="F1624" s="3151"/>
      <c r="G1624" s="78"/>
    </row>
    <row r="1625" spans="1:18" ht="12.75" hidden="1" customHeight="1" outlineLevel="1" x14ac:dyDescent="0.25">
      <c r="A1625" s="1956" t="s">
        <v>8734</v>
      </c>
      <c r="B1625" s="2185">
        <v>44228</v>
      </c>
      <c r="C1625" s="3203">
        <v>100</v>
      </c>
      <c r="D1625" s="3206">
        <v>111.0445</v>
      </c>
      <c r="E1625" s="3204">
        <v>0.1104449999999999</v>
      </c>
      <c r="F1625" s="3151"/>
      <c r="G1625" s="78"/>
    </row>
    <row r="1626" spans="1:18" ht="12.75" hidden="1" customHeight="1" outlineLevel="1" x14ac:dyDescent="0.25">
      <c r="A1626" s="1956" t="s">
        <v>8735</v>
      </c>
      <c r="B1626" s="2185">
        <v>44256</v>
      </c>
      <c r="C1626" s="3203">
        <v>100</v>
      </c>
      <c r="D1626" s="3206">
        <v>119.09480000000001</v>
      </c>
      <c r="E1626" s="3204">
        <v>0.19094800000000012</v>
      </c>
      <c r="F1626" s="3151"/>
      <c r="G1626" s="78"/>
    </row>
    <row r="1627" spans="1:18" ht="12.75" hidden="1" customHeight="1" outlineLevel="1" x14ac:dyDescent="0.25">
      <c r="A1627" s="2189" t="s">
        <v>2734</v>
      </c>
      <c r="B1627" s="2190"/>
      <c r="C1627" s="3206"/>
      <c r="D1627" s="2191" t="s">
        <v>2465</v>
      </c>
      <c r="E1627" s="1987">
        <v>9.2428833333333335E-2</v>
      </c>
      <c r="F1627" s="2528">
        <v>9.2428833333333335E-2</v>
      </c>
      <c r="G1627" s="78"/>
    </row>
    <row r="1628" spans="1:18" collapsed="1" x14ac:dyDescent="0.25">
      <c r="A1628" s="3801" t="s">
        <v>8607</v>
      </c>
      <c r="B1628" s="3802"/>
      <c r="C1628" s="3802"/>
      <c r="D1628" s="3802"/>
      <c r="E1628" s="1906"/>
      <c r="F1628" s="1907">
        <v>9.2428833333333335E-2</v>
      </c>
      <c r="G1628" s="78"/>
    </row>
    <row r="1630" spans="1:18" ht="12.75" hidden="1" customHeight="1" outlineLevel="1" x14ac:dyDescent="0.25">
      <c r="A1630" s="3180" t="s">
        <v>4156</v>
      </c>
      <c r="B1630" s="3180" t="s">
        <v>4153</v>
      </c>
      <c r="C1630" s="3383" t="s">
        <v>112</v>
      </c>
      <c r="D1630" s="3192" t="s">
        <v>4155</v>
      </c>
      <c r="E1630" s="3180" t="s">
        <v>4154</v>
      </c>
      <c r="F1630" s="3192" t="s">
        <v>2519</v>
      </c>
      <c r="G1630" s="12"/>
      <c r="H1630" s="415"/>
      <c r="I1630" s="412" t="s">
        <v>6964</v>
      </c>
      <c r="J1630" s="1462">
        <v>42887</v>
      </c>
      <c r="K1630" s="1462">
        <v>42917</v>
      </c>
      <c r="L1630" s="1462">
        <v>42948</v>
      </c>
      <c r="M1630" s="1462">
        <v>42979</v>
      </c>
      <c r="N1630" s="1462">
        <v>43009</v>
      </c>
      <c r="O1630" s="1462">
        <v>43040</v>
      </c>
    </row>
    <row r="1631" spans="1:18" ht="12.75" hidden="1" customHeight="1" outlineLevel="1" x14ac:dyDescent="0.25">
      <c r="A1631" s="1991">
        <v>0.02</v>
      </c>
      <c r="B1631" s="1921" t="s">
        <v>1384</v>
      </c>
      <c r="C1631" s="2108">
        <v>4.6124999999999998</v>
      </c>
      <c r="D1631" s="3194">
        <v>3.8660000000000001</v>
      </c>
      <c r="E1631" s="3269">
        <v>-0.16184281842818427</v>
      </c>
      <c r="F1631" s="3004">
        <v>-3.2368563685636854E-3</v>
      </c>
      <c r="G1631" s="415"/>
      <c r="H1631" s="415" t="s">
        <v>3556</v>
      </c>
      <c r="I1631" s="412">
        <v>99.157799999999995</v>
      </c>
      <c r="J1631">
        <v>100.1484</v>
      </c>
      <c r="K1631">
        <v>99.960700000000003</v>
      </c>
      <c r="L1631">
        <v>101.232</v>
      </c>
      <c r="M1631">
        <v>99.157799999999995</v>
      </c>
      <c r="N1631">
        <v>100.96339999999999</v>
      </c>
      <c r="O1631">
        <v>101.283</v>
      </c>
      <c r="R1631" s="434"/>
    </row>
    <row r="1632" spans="1:18" ht="12.75" hidden="1" customHeight="1" outlineLevel="1" x14ac:dyDescent="0.25">
      <c r="A1632" s="2380">
        <v>0.02</v>
      </c>
      <c r="B1632" s="1921" t="s">
        <v>5191</v>
      </c>
      <c r="C1632" s="2108">
        <v>84.334000000000003</v>
      </c>
      <c r="D1632" s="3196">
        <v>126.8</v>
      </c>
      <c r="E1632" s="3270">
        <v>0.50354542651836742</v>
      </c>
      <c r="F1632" s="3007">
        <v>1.0070908530367349E-2</v>
      </c>
      <c r="G1632" s="415"/>
      <c r="H1632" s="415" t="s">
        <v>5189</v>
      </c>
      <c r="I1632" s="422">
        <v>-3.690033333333332E-2</v>
      </c>
      <c r="R1632" s="434"/>
    </row>
    <row r="1633" spans="1:18" ht="12.75" hidden="1" customHeight="1" outlineLevel="1" x14ac:dyDescent="0.25">
      <c r="A1633" s="2380">
        <v>0.04</v>
      </c>
      <c r="B1633" s="1921" t="s">
        <v>2942</v>
      </c>
      <c r="C1633" s="2108">
        <v>1433.15</v>
      </c>
      <c r="D1633" s="3196">
        <v>1640.5</v>
      </c>
      <c r="E1633" s="3270">
        <v>0.14468129644489403</v>
      </c>
      <c r="F1633" s="3007">
        <v>5.7872518577957608E-3</v>
      </c>
      <c r="G1633" s="415"/>
      <c r="H1633" s="415" t="s">
        <v>2336</v>
      </c>
      <c r="J1633" s="434"/>
      <c r="R1633" s="434"/>
    </row>
    <row r="1634" spans="1:18" ht="12.75" hidden="1" customHeight="1" outlineLevel="1" x14ac:dyDescent="0.25">
      <c r="A1634" s="2380">
        <v>0.03</v>
      </c>
      <c r="B1634" s="1921" t="s">
        <v>5745</v>
      </c>
      <c r="C1634" s="2108">
        <v>29.268000000000001</v>
      </c>
      <c r="D1634" s="3196">
        <v>28.74</v>
      </c>
      <c r="E1634" s="3270">
        <v>-1.8040180401804107E-2</v>
      </c>
      <c r="F1634" s="3007">
        <v>-5.4120541205412314E-4</v>
      </c>
      <c r="G1634" s="415"/>
      <c r="H1634" s="415" t="s">
        <v>5743</v>
      </c>
      <c r="J1634" s="434"/>
      <c r="K1634" s="37"/>
      <c r="R1634" s="434"/>
    </row>
    <row r="1635" spans="1:18" ht="12.75" hidden="1" customHeight="1" outlineLevel="1" x14ac:dyDescent="0.25">
      <c r="A1635" s="2380">
        <v>0.02</v>
      </c>
      <c r="B1635" s="1921" t="s">
        <v>1093</v>
      </c>
      <c r="C1635" s="2108">
        <v>5.343</v>
      </c>
      <c r="D1635" s="3196">
        <v>4.0030000000000001</v>
      </c>
      <c r="E1635" s="3270">
        <v>-0.25079543327718512</v>
      </c>
      <c r="F1635" s="3007">
        <v>-5.0159086655437021E-3</v>
      </c>
      <c r="G1635" s="415"/>
      <c r="H1635" s="415" t="s">
        <v>2039</v>
      </c>
      <c r="J1635" s="434"/>
      <c r="R1635" s="434"/>
    </row>
    <row r="1636" spans="1:18" ht="12.75" hidden="1" customHeight="1" outlineLevel="1" x14ac:dyDescent="0.25">
      <c r="A1636" s="2380">
        <v>0.02</v>
      </c>
      <c r="B1636" s="1921" t="s">
        <v>8301</v>
      </c>
      <c r="C1636" s="2108">
        <v>5.9457940619222116</v>
      </c>
      <c r="D1636" s="3196">
        <v>3.2149999999999999</v>
      </c>
      <c r="E1636" s="3270">
        <v>-0.45928164236475011</v>
      </c>
      <c r="F1636" s="3007">
        <v>-9.1856328472950024E-3</v>
      </c>
      <c r="G1636" s="415"/>
      <c r="H1636" s="415" t="s">
        <v>8302</v>
      </c>
      <c r="J1636" s="434"/>
      <c r="R1636" s="434"/>
    </row>
    <row r="1637" spans="1:18" ht="12.75" hidden="1" customHeight="1" outlineLevel="1" x14ac:dyDescent="0.25">
      <c r="A1637" s="2380">
        <v>0.02</v>
      </c>
      <c r="B1637" s="1921" t="s">
        <v>8371</v>
      </c>
      <c r="C1637" s="2108">
        <v>182.86199999999999</v>
      </c>
      <c r="D1637" s="3196">
        <v>248.81</v>
      </c>
      <c r="E1637" s="3270">
        <v>0.36064354540582522</v>
      </c>
      <c r="F1637" s="3007">
        <v>7.2128709081165044E-3</v>
      </c>
      <c r="G1637" s="415"/>
      <c r="H1637" s="415" t="s">
        <v>8372</v>
      </c>
      <c r="J1637" s="434"/>
      <c r="R1637" s="434"/>
    </row>
    <row r="1638" spans="1:18" ht="12.75" hidden="1" customHeight="1" outlineLevel="1" x14ac:dyDescent="0.25">
      <c r="A1638" s="2380">
        <v>0.02</v>
      </c>
      <c r="B1638" s="1921" t="s">
        <v>3850</v>
      </c>
      <c r="C1638" s="2108">
        <v>57.210999999999999</v>
      </c>
      <c r="D1638" s="3196">
        <v>47.75</v>
      </c>
      <c r="E1638" s="3270">
        <v>-0.16537029592211283</v>
      </c>
      <c r="F1638" s="3007">
        <v>-3.3074059184422565E-3</v>
      </c>
      <c r="G1638" s="415"/>
      <c r="H1638" s="415" t="s">
        <v>8253</v>
      </c>
      <c r="J1638" s="434"/>
      <c r="R1638" s="434"/>
    </row>
    <row r="1639" spans="1:18" ht="12.75" hidden="1" customHeight="1" outlineLevel="1" x14ac:dyDescent="0.25">
      <c r="A1639" s="2380">
        <v>0.05</v>
      </c>
      <c r="B1639" s="1921" t="s">
        <v>4332</v>
      </c>
      <c r="C1639" s="2108">
        <v>1.9708000000000001</v>
      </c>
      <c r="D1639" s="3196">
        <v>0.56659999999999999</v>
      </c>
      <c r="E1639" s="3270">
        <v>-0.71250253704079558</v>
      </c>
      <c r="F1639" s="3007">
        <v>-3.5625126852039779E-2</v>
      </c>
      <c r="G1639" s="415"/>
      <c r="H1639" s="415" t="s">
        <v>4334</v>
      </c>
      <c r="J1639" s="434"/>
      <c r="R1639" s="434"/>
    </row>
    <row r="1640" spans="1:18" ht="12.75" hidden="1" customHeight="1" outlineLevel="1" x14ac:dyDescent="0.25">
      <c r="A1640" s="2380">
        <v>7.0000000000000007E-2</v>
      </c>
      <c r="B1640" s="1921" t="s">
        <v>8678</v>
      </c>
      <c r="C1640" s="2108">
        <v>81.965000000000003</v>
      </c>
      <c r="D1640" s="3196">
        <v>89.04</v>
      </c>
      <c r="E1640" s="3270">
        <v>8.6317330567925454E-2</v>
      </c>
      <c r="F1640" s="3007">
        <v>6.0422131397547827E-3</v>
      </c>
      <c r="G1640" s="415"/>
      <c r="H1640" s="415" t="s">
        <v>8682</v>
      </c>
      <c r="J1640" s="434"/>
      <c r="R1640" s="434"/>
    </row>
    <row r="1641" spans="1:18" ht="12.75" hidden="1" customHeight="1" outlineLevel="1" x14ac:dyDescent="0.25">
      <c r="A1641" s="2380">
        <v>0.05</v>
      </c>
      <c r="B1641" s="1921" t="s">
        <v>8526</v>
      </c>
      <c r="C1641" s="2108">
        <v>254.07</v>
      </c>
      <c r="D1641" s="3196">
        <v>118.05</v>
      </c>
      <c r="E1641" s="3270">
        <v>-0.53536426968945561</v>
      </c>
      <c r="F1641" s="3007">
        <v>-2.676821348447278E-2</v>
      </c>
      <c r="G1641" s="415"/>
      <c r="H1641" s="415" t="s">
        <v>8515</v>
      </c>
      <c r="J1641" s="434"/>
      <c r="R1641" s="434"/>
    </row>
    <row r="1642" spans="1:18" ht="12.75" hidden="1" customHeight="1" outlineLevel="1" x14ac:dyDescent="0.25">
      <c r="A1642" s="2380">
        <v>0.04</v>
      </c>
      <c r="B1642" s="1921" t="s">
        <v>5943</v>
      </c>
      <c r="C1642" s="2108">
        <v>10.832153376259573</v>
      </c>
      <c r="D1642" s="3196">
        <v>11.54</v>
      </c>
      <c r="E1642" s="3270">
        <v>6.5346805861500101E-2</v>
      </c>
      <c r="F1642" s="3007">
        <v>2.6138722344600041E-3</v>
      </c>
      <c r="G1642" s="415"/>
      <c r="H1642" s="415" t="s">
        <v>5984</v>
      </c>
      <c r="J1642" s="434"/>
      <c r="R1642" s="434"/>
    </row>
    <row r="1643" spans="1:18" ht="12.75" hidden="1" customHeight="1" outlineLevel="1" x14ac:dyDescent="0.25">
      <c r="A1643" s="2380">
        <v>0.03</v>
      </c>
      <c r="B1643" s="1921" t="s">
        <v>8679</v>
      </c>
      <c r="C1643" s="2519">
        <v>2.6834088149999999</v>
      </c>
      <c r="D1643" s="3196">
        <v>0.39840000000000003</v>
      </c>
      <c r="E1643" s="3270">
        <v>-0.85153212668417055</v>
      </c>
      <c r="F1643" s="3007">
        <v>-2.5545963800525116E-2</v>
      </c>
      <c r="G1643" s="415"/>
      <c r="H1643" s="415" t="s">
        <v>8683</v>
      </c>
      <c r="J1643" s="434"/>
      <c r="R1643" s="434"/>
    </row>
    <row r="1644" spans="1:18" ht="12.75" hidden="1" customHeight="1" outlineLevel="1" x14ac:dyDescent="0.25">
      <c r="A1644" s="2380">
        <v>0.02</v>
      </c>
      <c r="B1644" s="1921" t="s">
        <v>307</v>
      </c>
      <c r="C1644" s="2108">
        <v>156.94999999999999</v>
      </c>
      <c r="D1644" s="3196">
        <v>323.67</v>
      </c>
      <c r="E1644" s="3270">
        <v>1.0622491239248171</v>
      </c>
      <c r="F1644" s="3007">
        <v>2.1244982478496342E-2</v>
      </c>
      <c r="G1644" s="415"/>
      <c r="H1644" s="415" t="s">
        <v>1700</v>
      </c>
      <c r="J1644" s="434"/>
      <c r="R1644" s="434"/>
    </row>
    <row r="1645" spans="1:18" ht="12.75" hidden="1" customHeight="1" outlineLevel="1" x14ac:dyDescent="0.25">
      <c r="A1645" s="2380">
        <v>0.02</v>
      </c>
      <c r="B1645" s="1921" t="s">
        <v>6080</v>
      </c>
      <c r="C1645" s="2108">
        <v>35.725000000000001</v>
      </c>
      <c r="D1645" s="3196">
        <v>57.53</v>
      </c>
      <c r="E1645" s="3270">
        <v>0.61035689293212037</v>
      </c>
      <c r="F1645" s="3007">
        <v>1.2207137858642407E-2</v>
      </c>
      <c r="G1645" s="415"/>
      <c r="H1645" s="415" t="s">
        <v>6731</v>
      </c>
      <c r="J1645" s="434"/>
      <c r="R1645" s="434"/>
    </row>
    <row r="1646" spans="1:18" ht="12.75" hidden="1" customHeight="1" outlineLevel="1" x14ac:dyDescent="0.25">
      <c r="A1646" s="2380">
        <v>0.02</v>
      </c>
      <c r="B1646" s="1921" t="s">
        <v>44</v>
      </c>
      <c r="C1646" s="2108">
        <v>2.8275999999999999</v>
      </c>
      <c r="D1646" s="3196">
        <v>2.3210000000000002</v>
      </c>
      <c r="E1646" s="3270">
        <v>-0.17916254067053328</v>
      </c>
      <c r="F1646" s="3007">
        <v>-3.5832508134106657E-3</v>
      </c>
      <c r="G1646" s="415"/>
      <c r="H1646" s="415" t="s">
        <v>204</v>
      </c>
      <c r="J1646" s="434"/>
      <c r="R1646" s="434"/>
    </row>
    <row r="1647" spans="1:18" ht="12.75" hidden="1" customHeight="1" outlineLevel="1" x14ac:dyDescent="0.25">
      <c r="A1647" s="2380">
        <v>0.02</v>
      </c>
      <c r="B1647" s="1921" t="s">
        <v>3956</v>
      </c>
      <c r="C1647" s="2108">
        <v>11.198274147072587</v>
      </c>
      <c r="D1647" s="3196">
        <v>7.2079999999999993</v>
      </c>
      <c r="E1647" s="3270">
        <v>-0.35632938564159999</v>
      </c>
      <c r="F1647" s="3007">
        <v>-7.1265877128320002E-3</v>
      </c>
      <c r="G1647" s="415"/>
      <c r="H1647" s="415" t="s">
        <v>3957</v>
      </c>
      <c r="J1647" s="434"/>
      <c r="R1647" s="434"/>
    </row>
    <row r="1648" spans="1:18" ht="12.75" hidden="1" customHeight="1" outlineLevel="1" x14ac:dyDescent="0.25">
      <c r="A1648" s="2380">
        <v>0.02</v>
      </c>
      <c r="B1648" s="1921" t="s">
        <v>8680</v>
      </c>
      <c r="C1648" s="2108">
        <v>0.70079999999999998</v>
      </c>
      <c r="D1648" s="3196">
        <v>0.45435000000000003</v>
      </c>
      <c r="E1648" s="3270">
        <v>-0.35166952054794509</v>
      </c>
      <c r="F1648" s="3007">
        <v>-7.0333904109589019E-3</v>
      </c>
      <c r="G1648" s="415"/>
      <c r="H1648" s="415" t="s">
        <v>8684</v>
      </c>
      <c r="J1648" s="434"/>
      <c r="R1648" s="434"/>
    </row>
    <row r="1649" spans="1:18" ht="12.75" hidden="1" customHeight="1" outlineLevel="1" x14ac:dyDescent="0.25">
      <c r="A1649" s="2380">
        <v>0.04</v>
      </c>
      <c r="B1649" s="1921" t="s">
        <v>1414</v>
      </c>
      <c r="C1649" s="2108">
        <v>31.092861318534027</v>
      </c>
      <c r="D1649" s="3196">
        <v>38.65</v>
      </c>
      <c r="E1649" s="3270">
        <v>0.24305060264625</v>
      </c>
      <c r="F1649" s="3007">
        <v>9.7220241058499999E-3</v>
      </c>
      <c r="G1649" s="415"/>
      <c r="H1649" s="415" t="s">
        <v>2428</v>
      </c>
      <c r="J1649" s="434"/>
      <c r="R1649" s="434"/>
    </row>
    <row r="1650" spans="1:18" ht="12.75" hidden="1" customHeight="1" outlineLevel="1" x14ac:dyDescent="0.25">
      <c r="A1650" s="2380">
        <v>0.02</v>
      </c>
      <c r="B1650" s="1921" t="s">
        <v>7911</v>
      </c>
      <c r="C1650" s="2108">
        <v>54.777000000000001</v>
      </c>
      <c r="D1650" s="3196">
        <v>116.53</v>
      </c>
      <c r="E1650" s="3270">
        <v>1.1273527210325502</v>
      </c>
      <c r="F1650" s="3007">
        <v>2.2547054420651004E-2</v>
      </c>
      <c r="G1650" s="415"/>
      <c r="H1650" s="415" t="s">
        <v>7895</v>
      </c>
      <c r="J1650" s="434"/>
      <c r="R1650" s="434"/>
    </row>
    <row r="1651" spans="1:18" ht="12.75" hidden="1" customHeight="1" outlineLevel="1" x14ac:dyDescent="0.25">
      <c r="A1651" s="2380">
        <v>0.02</v>
      </c>
      <c r="B1651" s="1921" t="s">
        <v>5519</v>
      </c>
      <c r="C1651" s="2108">
        <v>2.6939000000000002</v>
      </c>
      <c r="D1651" s="3196">
        <v>2.3769999999999998</v>
      </c>
      <c r="E1651" s="3270">
        <v>-0.1176361409109471</v>
      </c>
      <c r="F1651" s="3007">
        <v>-2.3527228182189421E-3</v>
      </c>
      <c r="G1651" s="415"/>
      <c r="H1651" s="415" t="s">
        <v>5517</v>
      </c>
      <c r="J1651" s="434"/>
      <c r="R1651" s="434"/>
    </row>
    <row r="1652" spans="1:18" ht="12.75" hidden="1" customHeight="1" outlineLevel="1" x14ac:dyDescent="0.25">
      <c r="A1652" s="2380">
        <v>0.02</v>
      </c>
      <c r="B1652" s="1921" t="s">
        <v>3656</v>
      </c>
      <c r="C1652" s="2108">
        <v>183.47</v>
      </c>
      <c r="D1652" s="3196">
        <v>218.6</v>
      </c>
      <c r="E1652" s="3270">
        <v>0.19147544557693363</v>
      </c>
      <c r="F1652" s="3007">
        <v>3.8295089115386728E-3</v>
      </c>
      <c r="G1652" s="415"/>
      <c r="H1652" s="415" t="s">
        <v>1467</v>
      </c>
      <c r="J1652" s="434"/>
      <c r="R1652" s="434"/>
    </row>
    <row r="1653" spans="1:18" ht="12.75" hidden="1" customHeight="1" outlineLevel="1" x14ac:dyDescent="0.25">
      <c r="A1653" s="2380">
        <v>7.0000000000000007E-2</v>
      </c>
      <c r="B1653" s="1921" t="s">
        <v>1724</v>
      </c>
      <c r="C1653" s="2108">
        <v>213.52</v>
      </c>
      <c r="D1653" s="3196">
        <v>148.74</v>
      </c>
      <c r="E1653" s="3270">
        <v>-0.30339078306481826</v>
      </c>
      <c r="F1653" s="3007">
        <v>-2.1237354814537281E-2</v>
      </c>
      <c r="G1653" s="415"/>
      <c r="H1653" s="415" t="s">
        <v>1725</v>
      </c>
      <c r="J1653" s="434"/>
      <c r="R1653" s="434"/>
    </row>
    <row r="1654" spans="1:18" ht="12.75" hidden="1" customHeight="1" outlineLevel="1" x14ac:dyDescent="0.25">
      <c r="A1654" s="2380">
        <v>7.0000000000000007E-2</v>
      </c>
      <c r="B1654" s="1921" t="s">
        <v>6118</v>
      </c>
      <c r="C1654" s="2108">
        <v>89.194999999999993</v>
      </c>
      <c r="D1654" s="3196">
        <v>84.88</v>
      </c>
      <c r="E1654" s="3270">
        <v>-4.8377151185604594E-2</v>
      </c>
      <c r="F1654" s="3007">
        <v>-3.3864005829923219E-3</v>
      </c>
      <c r="G1654" s="415"/>
      <c r="H1654" s="415" t="s">
        <v>8893</v>
      </c>
      <c r="J1654" s="434"/>
      <c r="R1654" s="434"/>
    </row>
    <row r="1655" spans="1:18" ht="12.75" hidden="1" customHeight="1" outlineLevel="1" x14ac:dyDescent="0.25">
      <c r="A1655" s="2380">
        <v>0.08</v>
      </c>
      <c r="B1655" s="1921" t="s">
        <v>1239</v>
      </c>
      <c r="C1655" s="2108">
        <v>454.97</v>
      </c>
      <c r="D1655" s="3196">
        <v>495.3</v>
      </c>
      <c r="E1655" s="3270">
        <v>8.8643207244433642E-2</v>
      </c>
      <c r="F1655" s="3007">
        <v>7.0914565795546919E-3</v>
      </c>
      <c r="G1655" s="415"/>
      <c r="H1655" s="415" t="s">
        <v>8891</v>
      </c>
      <c r="J1655" s="434"/>
      <c r="R1655" s="434"/>
    </row>
    <row r="1656" spans="1:18" ht="12.75" hidden="1" customHeight="1" outlineLevel="1" x14ac:dyDescent="0.25">
      <c r="A1656" s="2380">
        <v>0.05</v>
      </c>
      <c r="B1656" s="1921" t="s">
        <v>1142</v>
      </c>
      <c r="C1656" s="2108">
        <v>43.744</v>
      </c>
      <c r="D1656" s="3196">
        <v>53.98</v>
      </c>
      <c r="E1656" s="3270">
        <v>0.23399780541331383</v>
      </c>
      <c r="F1656" s="3007">
        <v>1.1699890270665692E-2</v>
      </c>
      <c r="G1656" s="415"/>
      <c r="H1656" s="415" t="s">
        <v>1143</v>
      </c>
      <c r="J1656" s="434"/>
      <c r="R1656" s="434"/>
    </row>
    <row r="1657" spans="1:18" ht="12.75" hidden="1" customHeight="1" outlineLevel="1" x14ac:dyDescent="0.25">
      <c r="A1657" s="2380">
        <v>0.02</v>
      </c>
      <c r="B1657" s="1921" t="s">
        <v>9002</v>
      </c>
      <c r="C1657" s="2108">
        <v>122.19000000000001</v>
      </c>
      <c r="D1657" s="3196">
        <v>258.2</v>
      </c>
      <c r="E1657" s="3270">
        <v>1.1131025452164658</v>
      </c>
      <c r="F1657" s="3007">
        <v>2.2262050904329315E-2</v>
      </c>
      <c r="G1657" s="415"/>
      <c r="H1657" s="415" t="s">
        <v>3205</v>
      </c>
      <c r="J1657" s="434"/>
      <c r="R1657" s="434"/>
    </row>
    <row r="1658" spans="1:18" ht="12.75" hidden="1" customHeight="1" outlineLevel="1" x14ac:dyDescent="0.25">
      <c r="A1658" s="2380">
        <v>0.02</v>
      </c>
      <c r="B1658" s="1921" t="s">
        <v>8681</v>
      </c>
      <c r="C1658" s="2108">
        <v>35.303818181015181</v>
      </c>
      <c r="D1658" s="3196">
        <v>32.44</v>
      </c>
      <c r="E1658" s="3270">
        <v>-8.1119219636000106E-2</v>
      </c>
      <c r="F1658" s="3007">
        <v>-1.6223843927200021E-3</v>
      </c>
      <c r="G1658" s="415"/>
      <c r="H1658" s="415" t="s">
        <v>8685</v>
      </c>
      <c r="J1658" s="434"/>
      <c r="R1658" s="434"/>
    </row>
    <row r="1659" spans="1:18" ht="12.75" hidden="1" customHeight="1" outlineLevel="1" x14ac:dyDescent="0.25">
      <c r="A1659" s="2380">
        <v>0.02</v>
      </c>
      <c r="B1659" s="1921" t="s">
        <v>5174</v>
      </c>
      <c r="C1659" s="2108">
        <v>2.243165958170307</v>
      </c>
      <c r="D1659" s="3196">
        <v>1.7384999999999999</v>
      </c>
      <c r="E1659" s="3270">
        <v>-0.22497932278802502</v>
      </c>
      <c r="F1659" s="3007">
        <v>-4.4995864557605004E-3</v>
      </c>
      <c r="G1659" s="415"/>
      <c r="H1659" s="415" t="s">
        <v>5172</v>
      </c>
      <c r="J1659" s="434"/>
      <c r="R1659" s="434"/>
    </row>
    <row r="1660" spans="1:18" ht="12.75" hidden="1" customHeight="1" outlineLevel="1" x14ac:dyDescent="0.25">
      <c r="A1660" s="2380">
        <v>0.04</v>
      </c>
      <c r="B1660" s="2109" t="s">
        <v>2874</v>
      </c>
      <c r="C1660" s="2108">
        <v>45.4</v>
      </c>
      <c r="D1660" s="3199">
        <v>71.3</v>
      </c>
      <c r="E1660" s="3270">
        <v>0.57048458149779724</v>
      </c>
      <c r="F1660" s="3007">
        <v>2.2819383259911889E-2</v>
      </c>
      <c r="G1660" s="415"/>
      <c r="H1660" s="415" t="s">
        <v>9060</v>
      </c>
      <c r="J1660" s="434"/>
      <c r="R1660" s="434"/>
    </row>
    <row r="1661" spans="1:18" ht="12.75" hidden="1" customHeight="1" outlineLevel="1" x14ac:dyDescent="0.25">
      <c r="A1661" s="2181" t="s">
        <v>2734</v>
      </c>
      <c r="B1661" s="2103"/>
      <c r="C1661" s="3200">
        <v>100</v>
      </c>
      <c r="D1661" s="3201"/>
      <c r="E1661" s="3202"/>
      <c r="F1661" s="3202">
        <v>5.0826141097673541E-3</v>
      </c>
      <c r="G1661" s="415"/>
      <c r="H1661" s="415"/>
    </row>
    <row r="1662" spans="1:18" ht="12.75" hidden="1" customHeight="1" outlineLevel="1" x14ac:dyDescent="0.25">
      <c r="A1662" s="1956" t="s">
        <v>8736</v>
      </c>
      <c r="B1662" s="2185">
        <v>44136</v>
      </c>
      <c r="C1662" s="3203">
        <v>100</v>
      </c>
      <c r="D1662" s="3203">
        <v>91.6554</v>
      </c>
      <c r="E1662" s="3204">
        <v>-8.344600000000002E-2</v>
      </c>
      <c r="F1662" s="3151"/>
      <c r="G1662" s="415"/>
      <c r="H1662" s="415"/>
    </row>
    <row r="1663" spans="1:18" ht="12.75" hidden="1" customHeight="1" outlineLevel="1" x14ac:dyDescent="0.25">
      <c r="A1663" s="1956" t="s">
        <v>8737</v>
      </c>
      <c r="B1663" s="2185">
        <v>44166</v>
      </c>
      <c r="C1663" s="3203">
        <v>100</v>
      </c>
      <c r="D1663" s="3206">
        <v>92.973699999999994</v>
      </c>
      <c r="E1663" s="3204">
        <v>-7.0263000000000075E-2</v>
      </c>
      <c r="F1663" s="3151"/>
      <c r="G1663" s="415"/>
      <c r="H1663" s="415"/>
    </row>
    <row r="1664" spans="1:18" ht="12.75" hidden="1" customHeight="1" outlineLevel="1" x14ac:dyDescent="0.25">
      <c r="A1664" s="1956" t="s">
        <v>8738</v>
      </c>
      <c r="B1664" s="2185">
        <v>44197</v>
      </c>
      <c r="C1664" s="3203">
        <v>100</v>
      </c>
      <c r="D1664" s="3206">
        <v>93.592399999999998</v>
      </c>
      <c r="E1664" s="3204">
        <v>-6.4076000000000022E-2</v>
      </c>
      <c r="F1664" s="3151"/>
      <c r="G1664" s="415"/>
      <c r="H1664" s="415"/>
    </row>
    <row r="1665" spans="1:15" ht="12.75" hidden="1" customHeight="1" outlineLevel="1" x14ac:dyDescent="0.25">
      <c r="A1665" s="1956" t="s">
        <v>8739</v>
      </c>
      <c r="B1665" s="2185">
        <v>44228</v>
      </c>
      <c r="C1665" s="3203">
        <v>100</v>
      </c>
      <c r="D1665" s="3206">
        <v>93.499399999999994</v>
      </c>
      <c r="E1665" s="3204">
        <v>-6.5006000000000008E-2</v>
      </c>
      <c r="F1665" s="3151"/>
      <c r="G1665" s="415"/>
      <c r="H1665" s="415"/>
    </row>
    <row r="1666" spans="1:15" ht="12.75" hidden="1" customHeight="1" outlineLevel="1" x14ac:dyDescent="0.25">
      <c r="A1666" s="1956" t="s">
        <v>8740</v>
      </c>
      <c r="B1666" s="2185">
        <v>44256</v>
      </c>
      <c r="C1666" s="3203">
        <v>100</v>
      </c>
      <c r="D1666" s="3206">
        <v>100.57729999999999</v>
      </c>
      <c r="E1666" s="3204">
        <v>5.7730000000000281E-3</v>
      </c>
      <c r="F1666" s="3151"/>
      <c r="G1666" s="415"/>
      <c r="H1666" s="415"/>
    </row>
    <row r="1667" spans="1:15" ht="12.75" hidden="1" customHeight="1" outlineLevel="1" x14ac:dyDescent="0.25">
      <c r="A1667" s="1956" t="s">
        <v>8741</v>
      </c>
      <c r="B1667" s="2185">
        <v>44287</v>
      </c>
      <c r="C1667" s="3203">
        <v>100</v>
      </c>
      <c r="D1667" s="3206">
        <v>100.50839999999999</v>
      </c>
      <c r="E1667" s="3204">
        <v>5.0839999999998664E-3</v>
      </c>
      <c r="F1667" s="3151"/>
      <c r="G1667" s="415"/>
      <c r="H1667" s="415"/>
    </row>
    <row r="1668" spans="1:15" ht="12.75" hidden="1" customHeight="1" outlineLevel="1" x14ac:dyDescent="0.25">
      <c r="A1668" s="2189" t="s">
        <v>2734</v>
      </c>
      <c r="B1668" s="2190"/>
      <c r="C1668" s="3206"/>
      <c r="D1668" s="2191" t="s">
        <v>2465</v>
      </c>
      <c r="E1668" s="1987">
        <v>-4.5322333333333374E-2</v>
      </c>
      <c r="F1668" s="2528">
        <v>-3.690033333333332E-2</v>
      </c>
      <c r="G1668" s="415"/>
      <c r="H1668" s="415"/>
    </row>
    <row r="1669" spans="1:15" collapsed="1" x14ac:dyDescent="0.25">
      <c r="A1669" s="3801" t="s">
        <v>8742</v>
      </c>
      <c r="B1669" s="3802"/>
      <c r="C1669" s="3802"/>
      <c r="D1669" s="3802"/>
      <c r="E1669" s="1906"/>
      <c r="F1669" s="1907">
        <v>-3.690033333333332E-2</v>
      </c>
      <c r="G1669" s="415"/>
    </row>
    <row r="1671" spans="1:15" ht="12.75" hidden="1" customHeight="1" outlineLevel="1" x14ac:dyDescent="0.25">
      <c r="A1671" s="3180" t="s">
        <v>4156</v>
      </c>
      <c r="B1671" s="3180" t="s">
        <v>4153</v>
      </c>
      <c r="C1671" s="3632" t="s">
        <v>112</v>
      </c>
      <c r="D1671" s="3192" t="s">
        <v>4155</v>
      </c>
      <c r="E1671" s="3180" t="s">
        <v>4154</v>
      </c>
      <c r="F1671" s="3192" t="s">
        <v>2519</v>
      </c>
      <c r="G1671" s="12"/>
      <c r="H1671" s="415"/>
      <c r="I1671" s="412"/>
      <c r="J1671" s="1462"/>
      <c r="K1671" s="1462"/>
      <c r="L1671" s="1462"/>
      <c r="M1671" s="1462"/>
      <c r="N1671" s="1462"/>
      <c r="O1671" s="1462"/>
    </row>
    <row r="1672" spans="1:15" ht="12.75" hidden="1" customHeight="1" outlineLevel="1" x14ac:dyDescent="0.25">
      <c r="A1672" s="1991">
        <v>0.02</v>
      </c>
      <c r="B1672" s="1921" t="s">
        <v>359</v>
      </c>
      <c r="C1672" s="2108">
        <v>174.41</v>
      </c>
      <c r="D1672" s="3194">
        <v>199.98</v>
      </c>
      <c r="E1672" s="3269">
        <v>0.14660856602259043</v>
      </c>
      <c r="F1672" s="3004">
        <v>2.9321713204518087E-3</v>
      </c>
      <c r="G1672" s="415"/>
      <c r="H1672" s="415" t="s">
        <v>360</v>
      </c>
      <c r="I1672" s="412"/>
      <c r="K1672" s="434"/>
    </row>
    <row r="1673" spans="1:15" ht="12.75" hidden="1" customHeight="1" outlineLevel="1" x14ac:dyDescent="0.25">
      <c r="A1673" s="2380">
        <v>0.02</v>
      </c>
      <c r="B1673" s="1921" t="s">
        <v>7753</v>
      </c>
      <c r="C1673" s="2108">
        <v>150.13</v>
      </c>
      <c r="D1673" s="3196">
        <v>139.9</v>
      </c>
      <c r="E1673" s="3270">
        <v>-6.8140944514753832E-2</v>
      </c>
      <c r="F1673" s="3007">
        <v>-1.3628188902950766E-3</v>
      </c>
      <c r="G1673" s="415"/>
      <c r="H1673" s="415" t="s">
        <v>8901</v>
      </c>
      <c r="I1673" s="412"/>
      <c r="K1673" s="434"/>
    </row>
    <row r="1674" spans="1:15" ht="12.75" hidden="1" customHeight="1" outlineLevel="1" x14ac:dyDescent="0.25">
      <c r="A1674" s="2380">
        <v>0.05</v>
      </c>
      <c r="B1674" s="1921" t="s">
        <v>807</v>
      </c>
      <c r="C1674" s="2108">
        <v>59.573</v>
      </c>
      <c r="D1674" s="3196">
        <v>61.24</v>
      </c>
      <c r="E1674" s="3270">
        <v>2.79824752824267E-2</v>
      </c>
      <c r="F1674" s="3007">
        <v>1.3991237641213352E-3</v>
      </c>
      <c r="G1674" s="415"/>
      <c r="H1674" s="415" t="s">
        <v>808</v>
      </c>
      <c r="I1674" s="412"/>
      <c r="K1674" s="434"/>
    </row>
    <row r="1675" spans="1:15" ht="12.75" hidden="1" customHeight="1" outlineLevel="1" x14ac:dyDescent="0.25">
      <c r="A1675" s="2380">
        <v>0.02</v>
      </c>
      <c r="B1675" s="1921" t="s">
        <v>1188</v>
      </c>
      <c r="C1675" s="2108">
        <v>4.6444000000000001</v>
      </c>
      <c r="D1675" s="3196">
        <v>4.5330000000000004</v>
      </c>
      <c r="E1675" s="3270">
        <v>-2.3985875462923079E-2</v>
      </c>
      <c r="F1675" s="3007">
        <v>-4.7971750925846157E-4</v>
      </c>
      <c r="G1675" s="415"/>
      <c r="H1675" s="415" t="s">
        <v>2746</v>
      </c>
      <c r="I1675" s="412"/>
      <c r="K1675" s="434"/>
    </row>
    <row r="1676" spans="1:15" ht="12.75" hidden="1" customHeight="1" outlineLevel="1" x14ac:dyDescent="0.25">
      <c r="A1676" s="2380">
        <v>0.02</v>
      </c>
      <c r="B1676" s="1921" t="s">
        <v>3954</v>
      </c>
      <c r="C1676" s="2108">
        <v>53.1875</v>
      </c>
      <c r="D1676" s="3196">
        <v>55.97</v>
      </c>
      <c r="E1676" s="3270">
        <v>5.2314923619271481E-2</v>
      </c>
      <c r="F1676" s="3007">
        <v>1.0462984723854296E-3</v>
      </c>
      <c r="G1676" s="415"/>
      <c r="H1676" s="415" t="s">
        <v>3955</v>
      </c>
      <c r="I1676" s="412"/>
      <c r="K1676" s="434"/>
    </row>
    <row r="1677" spans="1:15" ht="12.75" hidden="1" customHeight="1" outlineLevel="1" x14ac:dyDescent="0.25">
      <c r="A1677" s="2380">
        <v>0.02</v>
      </c>
      <c r="B1677" s="1921" t="s">
        <v>7114</v>
      </c>
      <c r="C1677" s="2108">
        <v>125.88</v>
      </c>
      <c r="D1677" s="3196">
        <v>178.75</v>
      </c>
      <c r="E1677" s="3270">
        <v>0.42000317762948836</v>
      </c>
      <c r="F1677" s="3007">
        <v>8.4000635525897666E-3</v>
      </c>
      <c r="G1677" s="415"/>
      <c r="H1677" s="415" t="s">
        <v>7115</v>
      </c>
      <c r="I1677" s="412"/>
      <c r="K1677" s="434"/>
    </row>
    <row r="1678" spans="1:15" ht="12.75" hidden="1" customHeight="1" outlineLevel="1" x14ac:dyDescent="0.25">
      <c r="A1678" s="2380">
        <v>0.02</v>
      </c>
      <c r="B1678" s="1921" t="s">
        <v>6267</v>
      </c>
      <c r="C1678" s="2108">
        <v>26.344000000000001</v>
      </c>
      <c r="D1678" s="3196">
        <v>17.855</v>
      </c>
      <c r="E1678" s="3270">
        <v>-0.32223656240510179</v>
      </c>
      <c r="F1678" s="3007">
        <v>-6.4447312481020359E-3</v>
      </c>
      <c r="G1678" s="415"/>
      <c r="H1678" s="415" t="s">
        <v>6268</v>
      </c>
      <c r="I1678" s="412"/>
      <c r="K1678" s="434"/>
    </row>
    <row r="1679" spans="1:15" ht="12.75" hidden="1" customHeight="1" outlineLevel="1" x14ac:dyDescent="0.25">
      <c r="A1679" s="2380">
        <v>0.02</v>
      </c>
      <c r="B1679" s="1921" t="s">
        <v>3799</v>
      </c>
      <c r="C1679" s="2108">
        <v>17.313678875084715</v>
      </c>
      <c r="D1679" s="3196">
        <v>13.464</v>
      </c>
      <c r="E1679" s="3270">
        <v>-0.22234898214640009</v>
      </c>
      <c r="F1679" s="3007">
        <v>-4.4469796429280018E-3</v>
      </c>
      <c r="G1679" s="415"/>
      <c r="H1679" s="415" t="s">
        <v>4128</v>
      </c>
      <c r="I1679" s="412"/>
      <c r="K1679" s="434"/>
    </row>
    <row r="1680" spans="1:15" ht="12.75" hidden="1" customHeight="1" outlineLevel="1" x14ac:dyDescent="0.25">
      <c r="A1680" s="2380">
        <v>0.02</v>
      </c>
      <c r="B1680" s="1921" t="s">
        <v>1771</v>
      </c>
      <c r="C1680" s="2108">
        <v>6.8811999999999998</v>
      </c>
      <c r="D1680" s="3196">
        <v>5.9050000000000002</v>
      </c>
      <c r="E1680" s="3270">
        <v>-0.14186479102482119</v>
      </c>
      <c r="F1680" s="3007">
        <v>-2.8372958204964239E-3</v>
      </c>
      <c r="G1680" s="415"/>
      <c r="H1680" s="415" t="s">
        <v>4329</v>
      </c>
      <c r="I1680" s="412"/>
      <c r="K1680" s="434"/>
    </row>
    <row r="1681" spans="1:11" ht="12.75" hidden="1" customHeight="1" outlineLevel="1" x14ac:dyDescent="0.25">
      <c r="A1681" s="2380">
        <v>0.02</v>
      </c>
      <c r="B1681" s="1921" t="s">
        <v>4143</v>
      </c>
      <c r="C1681" s="2108">
        <v>2.9788770096680408</v>
      </c>
      <c r="D1681" s="3196">
        <v>3.218</v>
      </c>
      <c r="E1681" s="3270">
        <v>8.0272864423699852E-2</v>
      </c>
      <c r="F1681" s="3007">
        <v>1.6054572884739971E-3</v>
      </c>
      <c r="G1681" s="415"/>
      <c r="H1681" s="415" t="s">
        <v>4144</v>
      </c>
      <c r="I1681" s="412"/>
      <c r="K1681" s="434"/>
    </row>
    <row r="1682" spans="1:11" ht="12.75" hidden="1" customHeight="1" outlineLevel="1" x14ac:dyDescent="0.25">
      <c r="A1682" s="2380">
        <v>0.02</v>
      </c>
      <c r="B1682" s="1921" t="s">
        <v>1772</v>
      </c>
      <c r="C1682" s="2108">
        <v>177.68</v>
      </c>
      <c r="D1682" s="3196">
        <v>334</v>
      </c>
      <c r="E1682" s="3270">
        <v>0.87978388113462391</v>
      </c>
      <c r="F1682" s="3007">
        <v>1.7595677622692478E-2</v>
      </c>
      <c r="G1682" s="415"/>
      <c r="H1682" s="415" t="s">
        <v>4330</v>
      </c>
      <c r="I1682" s="412"/>
      <c r="K1682" s="434"/>
    </row>
    <row r="1683" spans="1:11" ht="12.75" hidden="1" customHeight="1" outlineLevel="1" x14ac:dyDescent="0.25">
      <c r="A1683" s="2380">
        <v>0.08</v>
      </c>
      <c r="B1683" s="1921" t="s">
        <v>8336</v>
      </c>
      <c r="C1683" s="2108">
        <v>29.738</v>
      </c>
      <c r="D1683" s="3196">
        <v>25.97</v>
      </c>
      <c r="E1683" s="3270">
        <v>-0.12670657071760039</v>
      </c>
      <c r="F1683" s="3007">
        <v>-1.0136525657408031E-2</v>
      </c>
      <c r="G1683" s="415"/>
      <c r="H1683" s="415" t="s">
        <v>8337</v>
      </c>
      <c r="I1683" s="412"/>
      <c r="K1683" s="434"/>
    </row>
    <row r="1684" spans="1:11" ht="12.75" hidden="1" customHeight="1" outlineLevel="1" x14ac:dyDescent="0.25">
      <c r="A1684" s="2380">
        <v>0.02</v>
      </c>
      <c r="B1684" s="1921" t="s">
        <v>7754</v>
      </c>
      <c r="C1684" s="2519">
        <v>54.155999999999999</v>
      </c>
      <c r="D1684" s="3196">
        <v>97.32</v>
      </c>
      <c r="E1684" s="3270">
        <v>0.79703079991136705</v>
      </c>
      <c r="F1684" s="3007">
        <v>1.5940615998227343E-2</v>
      </c>
      <c r="G1684" s="415"/>
      <c r="H1684" s="415" t="s">
        <v>7751</v>
      </c>
      <c r="I1684" s="412"/>
      <c r="K1684" s="434"/>
    </row>
    <row r="1685" spans="1:11" ht="12.75" hidden="1" customHeight="1" outlineLevel="1" x14ac:dyDescent="0.25">
      <c r="A1685" s="2380">
        <v>0.03</v>
      </c>
      <c r="B1685" s="1921" t="s">
        <v>2786</v>
      </c>
      <c r="C1685" s="2108">
        <v>10.140499999999999</v>
      </c>
      <c r="D1685" s="3196">
        <v>11.06</v>
      </c>
      <c r="E1685" s="3270">
        <v>9.0676002169518322E-2</v>
      </c>
      <c r="F1685" s="3007">
        <v>2.7202800650855496E-3</v>
      </c>
      <c r="G1685" s="415"/>
      <c r="H1685" s="415" t="s">
        <v>4195</v>
      </c>
      <c r="I1685" s="412"/>
      <c r="K1685" s="434"/>
    </row>
    <row r="1686" spans="1:11" ht="12.75" hidden="1" customHeight="1" outlineLevel="1" x14ac:dyDescent="0.25">
      <c r="A1686" s="2380">
        <v>0.02</v>
      </c>
      <c r="B1686" s="1921" t="s">
        <v>1203</v>
      </c>
      <c r="C1686" s="2108">
        <v>110.84</v>
      </c>
      <c r="D1686" s="3196">
        <v>106.68</v>
      </c>
      <c r="E1686" s="3270">
        <v>-3.7531577047997033E-2</v>
      </c>
      <c r="F1686" s="3007">
        <v>-7.5063154095994066E-4</v>
      </c>
      <c r="G1686" s="415"/>
      <c r="H1686" s="415" t="s">
        <v>79</v>
      </c>
      <c r="I1686" s="412"/>
      <c r="K1686" s="434"/>
    </row>
    <row r="1687" spans="1:11" ht="12.75" hidden="1" customHeight="1" outlineLevel="1" x14ac:dyDescent="0.25">
      <c r="A1687" s="2380">
        <v>0.05</v>
      </c>
      <c r="B1687" s="1921" t="s">
        <v>3793</v>
      </c>
      <c r="C1687" s="2108">
        <v>120.499</v>
      </c>
      <c r="D1687" s="3196">
        <v>90.01</v>
      </c>
      <c r="E1687" s="3270">
        <v>-0.25302284666262786</v>
      </c>
      <c r="F1687" s="3007">
        <v>-1.2651142333131395E-2</v>
      </c>
      <c r="G1687" s="415"/>
      <c r="H1687" s="415" t="s">
        <v>3533</v>
      </c>
      <c r="I1687" s="412"/>
      <c r="K1687" s="434"/>
    </row>
    <row r="1688" spans="1:11" ht="12.75" hidden="1" customHeight="1" outlineLevel="1" x14ac:dyDescent="0.25">
      <c r="A1688" s="2380">
        <v>0.02</v>
      </c>
      <c r="B1688" s="1921" t="s">
        <v>2769</v>
      </c>
      <c r="C1688" s="2108">
        <v>39.261000000000003</v>
      </c>
      <c r="D1688" s="3196">
        <v>26.2</v>
      </c>
      <c r="E1688" s="3270">
        <v>-0.33267109854563059</v>
      </c>
      <c r="F1688" s="3007">
        <v>-6.6534219709126121E-3</v>
      </c>
      <c r="G1688" s="415"/>
      <c r="H1688" s="415" t="s">
        <v>2770</v>
      </c>
      <c r="I1688" s="412"/>
      <c r="K1688" s="434"/>
    </row>
    <row r="1689" spans="1:11" ht="12.75" hidden="1" customHeight="1" outlineLevel="1" x14ac:dyDescent="0.25">
      <c r="A1689" s="2380">
        <v>0.02</v>
      </c>
      <c r="B1689" s="1921" t="s">
        <v>10667</v>
      </c>
      <c r="C1689" s="2108">
        <v>21.018000000000001</v>
      </c>
      <c r="D1689" s="3196">
        <v>22.204999999999998</v>
      </c>
      <c r="E1689" s="3270">
        <v>5.6475402036349598E-2</v>
      </c>
      <c r="F1689" s="3007">
        <v>1.1295080407269921E-3</v>
      </c>
      <c r="G1689" s="415"/>
      <c r="H1689" s="415" t="s">
        <v>10668</v>
      </c>
      <c r="I1689" s="412"/>
      <c r="K1689" s="434"/>
    </row>
    <row r="1690" spans="1:11" ht="12.75" hidden="1" customHeight="1" outlineLevel="1" x14ac:dyDescent="0.25">
      <c r="A1690" s="2380">
        <v>0.02</v>
      </c>
      <c r="B1690" s="1921" t="s">
        <v>6270</v>
      </c>
      <c r="C1690" s="2108">
        <v>43.12327131877025</v>
      </c>
      <c r="D1690" s="3196">
        <v>43.02</v>
      </c>
      <c r="E1690" s="3270">
        <v>-2.3947932429999597E-3</v>
      </c>
      <c r="F1690" s="3007">
        <v>-4.7895864859999197E-5</v>
      </c>
      <c r="G1690" s="415"/>
      <c r="H1690" s="415" t="s">
        <v>8166</v>
      </c>
      <c r="I1690" s="412"/>
      <c r="K1690" s="434"/>
    </row>
    <row r="1691" spans="1:11" ht="12.75" hidden="1" customHeight="1" outlineLevel="1" x14ac:dyDescent="0.25">
      <c r="A1691" s="2380">
        <v>0.02</v>
      </c>
      <c r="B1691" s="1921" t="s">
        <v>6524</v>
      </c>
      <c r="C1691" s="2108">
        <v>104.33042304661549</v>
      </c>
      <c r="D1691" s="3196">
        <v>113.45</v>
      </c>
      <c r="E1691" s="3270">
        <v>8.741052405500005E-2</v>
      </c>
      <c r="F1691" s="3007">
        <v>1.748210481100001E-3</v>
      </c>
      <c r="G1691" s="415"/>
      <c r="H1691" s="415" t="s">
        <v>6525</v>
      </c>
      <c r="I1691" s="412"/>
      <c r="K1691" s="434"/>
    </row>
    <row r="1692" spans="1:11" ht="12.75" hidden="1" customHeight="1" outlineLevel="1" x14ac:dyDescent="0.25">
      <c r="A1692" s="2380">
        <v>0.05</v>
      </c>
      <c r="B1692" s="1921" t="s">
        <v>6116</v>
      </c>
      <c r="C1692" s="2108">
        <v>4.1432000000000002</v>
      </c>
      <c r="D1692" s="3196">
        <v>4.8899999999999997</v>
      </c>
      <c r="E1692" s="3270">
        <v>0.18024715195983765</v>
      </c>
      <c r="F1692" s="3007">
        <v>9.0123575979918821E-3</v>
      </c>
      <c r="G1692" s="415"/>
      <c r="H1692" s="415" t="s">
        <v>6114</v>
      </c>
      <c r="I1692" s="412"/>
      <c r="K1692" s="434"/>
    </row>
    <row r="1693" spans="1:11" ht="12.75" hidden="1" customHeight="1" outlineLevel="1" x14ac:dyDescent="0.25">
      <c r="A1693" s="2380">
        <v>0.08</v>
      </c>
      <c r="B1693" s="1921" t="s">
        <v>1724</v>
      </c>
      <c r="C1693" s="2108">
        <v>206.45813378348225</v>
      </c>
      <c r="D1693" s="3196">
        <v>166.05</v>
      </c>
      <c r="E1693" s="3270">
        <v>-0.19572071607437491</v>
      </c>
      <c r="F1693" s="3007">
        <v>-1.5657657285949995E-2</v>
      </c>
      <c r="G1693" s="415"/>
      <c r="H1693" s="415" t="s">
        <v>1725</v>
      </c>
      <c r="I1693" s="412"/>
      <c r="K1693" s="434"/>
    </row>
    <row r="1694" spans="1:11" ht="12.75" hidden="1" customHeight="1" outlineLevel="1" x14ac:dyDescent="0.25">
      <c r="A1694" s="2380">
        <v>0.08</v>
      </c>
      <c r="B1694" s="1921" t="s">
        <v>6118</v>
      </c>
      <c r="C1694" s="2108">
        <v>88.614999999999995</v>
      </c>
      <c r="D1694" s="3196">
        <v>91.22</v>
      </c>
      <c r="E1694" s="3270">
        <v>2.9396828979292522E-2</v>
      </c>
      <c r="F1694" s="3007">
        <v>2.3517463183434016E-3</v>
      </c>
      <c r="G1694" s="415"/>
      <c r="H1694" s="415" t="s">
        <v>8893</v>
      </c>
      <c r="I1694" s="412"/>
      <c r="K1694" s="434"/>
    </row>
    <row r="1695" spans="1:11" ht="12.75" hidden="1" customHeight="1" outlineLevel="1" x14ac:dyDescent="0.25">
      <c r="A1695" s="2380">
        <v>0.08</v>
      </c>
      <c r="B1695" s="1921" t="s">
        <v>1239</v>
      </c>
      <c r="C1695" s="2108">
        <v>462.72</v>
      </c>
      <c r="D1695" s="3196">
        <v>576.79999999999995</v>
      </c>
      <c r="E1695" s="3270">
        <v>0.24654218533886563</v>
      </c>
      <c r="F1695" s="3007">
        <v>1.9723374827109251E-2</v>
      </c>
      <c r="G1695" s="415"/>
      <c r="H1695" s="415" t="s">
        <v>8891</v>
      </c>
      <c r="I1695" s="412"/>
      <c r="K1695" s="434"/>
    </row>
    <row r="1696" spans="1:11" ht="12.75" hidden="1" customHeight="1" outlineLevel="1" x14ac:dyDescent="0.25">
      <c r="A1696" s="2380">
        <v>0.08</v>
      </c>
      <c r="B1696" s="1921" t="s">
        <v>6945</v>
      </c>
      <c r="C1696" s="2108">
        <v>74.280251567453504</v>
      </c>
      <c r="D1696" s="3196">
        <v>98.6</v>
      </c>
      <c r="E1696" s="3270">
        <v>0.3274053051700001</v>
      </c>
      <c r="F1696" s="3007">
        <v>2.6192424413600007E-2</v>
      </c>
      <c r="G1696" s="415"/>
      <c r="H1696" s="415" t="s">
        <v>6943</v>
      </c>
      <c r="I1696" s="412"/>
      <c r="K1696" s="434"/>
    </row>
    <row r="1697" spans="1:11" ht="12.75" hidden="1" customHeight="1" outlineLevel="1" x14ac:dyDescent="0.25">
      <c r="A1697" s="2380">
        <v>0.02</v>
      </c>
      <c r="B1697" s="1921" t="s">
        <v>10633</v>
      </c>
      <c r="C1697" s="2108">
        <v>44.915999999999997</v>
      </c>
      <c r="D1697" s="3196">
        <v>53.08</v>
      </c>
      <c r="E1697" s="3270">
        <v>0.18176151037492216</v>
      </c>
      <c r="F1697" s="3007">
        <v>3.6352302074984435E-3</v>
      </c>
      <c r="G1697" s="415"/>
      <c r="H1697" s="415" t="s">
        <v>10634</v>
      </c>
      <c r="I1697" s="412"/>
      <c r="K1697" s="434"/>
    </row>
    <row r="1698" spans="1:11" ht="12.75" hidden="1" customHeight="1" outlineLevel="1" x14ac:dyDescent="0.25">
      <c r="A1698" s="2380">
        <v>0.02</v>
      </c>
      <c r="B1698" s="1921" t="s">
        <v>366</v>
      </c>
      <c r="C1698" s="2108">
        <v>63.116999999999997</v>
      </c>
      <c r="D1698" s="3196">
        <v>52.84</v>
      </c>
      <c r="E1698" s="3270">
        <v>-0.16282459559231255</v>
      </c>
      <c r="F1698" s="3007">
        <v>-3.2564919118462511E-3</v>
      </c>
      <c r="G1698" s="415"/>
      <c r="H1698" s="415" t="s">
        <v>367</v>
      </c>
      <c r="I1698" s="412"/>
      <c r="K1698" s="434"/>
    </row>
    <row r="1699" spans="1:11" ht="12.75" hidden="1" customHeight="1" outlineLevel="1" x14ac:dyDescent="0.25">
      <c r="A1699" s="2380">
        <v>0.02</v>
      </c>
      <c r="B1699" s="1921" t="s">
        <v>255</v>
      </c>
      <c r="C1699" s="2108">
        <v>46.366999999999997</v>
      </c>
      <c r="D1699" s="3196">
        <v>35.630000000000003</v>
      </c>
      <c r="E1699" s="3270">
        <v>-0.23156555308732496</v>
      </c>
      <c r="F1699" s="3007">
        <v>-4.6313110617464993E-3</v>
      </c>
      <c r="G1699" s="415"/>
      <c r="H1699" s="415" t="s">
        <v>3351</v>
      </c>
      <c r="I1699" s="412"/>
      <c r="K1699" s="434"/>
    </row>
    <row r="1700" spans="1:11" ht="12.75" hidden="1" customHeight="1" outlineLevel="1" x14ac:dyDescent="0.25">
      <c r="A1700" s="2380">
        <v>0.02</v>
      </c>
      <c r="B1700" s="1921" t="s">
        <v>579</v>
      </c>
      <c r="C1700" s="2108">
        <v>2.2279</v>
      </c>
      <c r="D1700" s="3196">
        <v>0.76370000000000005</v>
      </c>
      <c r="E1700" s="3270">
        <v>-0.65721082633870465</v>
      </c>
      <c r="F1700" s="3007">
        <v>-1.3144216526774093E-2</v>
      </c>
      <c r="G1700" s="415"/>
      <c r="H1700" s="415" t="s">
        <v>3611</v>
      </c>
      <c r="I1700" s="412"/>
      <c r="K1700" s="434"/>
    </row>
    <row r="1701" spans="1:11" ht="12.75" hidden="1" customHeight="1" outlineLevel="1" x14ac:dyDescent="0.25">
      <c r="A1701" s="2380">
        <v>0.02</v>
      </c>
      <c r="B1701" s="2109" t="s">
        <v>4550</v>
      </c>
      <c r="C1701" s="2108">
        <v>287.83999999999997</v>
      </c>
      <c r="D1701" s="3199">
        <v>426</v>
      </c>
      <c r="E1701" s="3270">
        <v>0.47998888271261819</v>
      </c>
      <c r="F1701" s="3007">
        <v>9.5997776542523644E-3</v>
      </c>
      <c r="G1701" s="415"/>
      <c r="H1701" s="415" t="s">
        <v>8889</v>
      </c>
      <c r="I1701" s="412"/>
      <c r="K1701" s="434"/>
    </row>
    <row r="1702" spans="1:11" ht="12.75" hidden="1" customHeight="1" outlineLevel="1" x14ac:dyDescent="0.25">
      <c r="A1702" s="2181" t="s">
        <v>2734</v>
      </c>
      <c r="B1702" s="2103"/>
      <c r="C1702" s="3200">
        <v>100</v>
      </c>
      <c r="D1702" s="3201"/>
      <c r="E1702" s="3202"/>
      <c r="F1702" s="3202">
        <v>4.3299999999999998E-2</v>
      </c>
      <c r="G1702" s="12"/>
      <c r="H1702" s="415"/>
    </row>
    <row r="1703" spans="1:11" ht="12.75" hidden="1" customHeight="1" outlineLevel="1" x14ac:dyDescent="0.25">
      <c r="A1703" s="1956" t="s">
        <v>8778</v>
      </c>
      <c r="B1703" s="2185">
        <v>44713</v>
      </c>
      <c r="C1703" s="3203">
        <v>100</v>
      </c>
      <c r="D1703" s="3203">
        <v>103.33839999999999</v>
      </c>
      <c r="E1703" s="3204">
        <v>3.3383999999999858E-2</v>
      </c>
      <c r="F1703" s="3151"/>
      <c r="G1703" s="12"/>
      <c r="H1703" s="415"/>
    </row>
    <row r="1704" spans="1:11" ht="12.75" hidden="1" customHeight="1" outlineLevel="1" x14ac:dyDescent="0.25">
      <c r="A1704" s="1956" t="s">
        <v>8779</v>
      </c>
      <c r="B1704" s="2185">
        <v>44743</v>
      </c>
      <c r="C1704" s="3203">
        <v>100</v>
      </c>
      <c r="D1704" s="3206">
        <v>104.2433</v>
      </c>
      <c r="E1704" s="3204">
        <v>4.2432999999999943E-2</v>
      </c>
      <c r="F1704" s="3151"/>
      <c r="G1704" s="12"/>
      <c r="H1704" s="415"/>
    </row>
    <row r="1705" spans="1:11" ht="12.75" hidden="1" customHeight="1" outlineLevel="1" x14ac:dyDescent="0.25">
      <c r="A1705" s="1956" t="s">
        <v>8780</v>
      </c>
      <c r="B1705" s="2185">
        <v>44774</v>
      </c>
      <c r="C1705" s="3203">
        <v>100</v>
      </c>
      <c r="D1705" s="3206">
        <v>103.036</v>
      </c>
      <c r="E1705" s="3204">
        <v>3.0359999999999943E-2</v>
      </c>
      <c r="F1705" s="3151"/>
      <c r="G1705" s="12"/>
      <c r="H1705" s="415"/>
    </row>
    <row r="1706" spans="1:11" ht="12.75" hidden="1" customHeight="1" outlineLevel="1" x14ac:dyDescent="0.25">
      <c r="A1706" s="1956" t="s">
        <v>8781</v>
      </c>
      <c r="B1706" s="2185">
        <v>44805</v>
      </c>
      <c r="C1706" s="3203">
        <v>100</v>
      </c>
      <c r="D1706" s="3206">
        <v>95.306100000000001</v>
      </c>
      <c r="E1706" s="3204">
        <v>-4.6938999999999953E-2</v>
      </c>
      <c r="F1706" s="3151"/>
      <c r="G1706" s="12"/>
      <c r="H1706" s="415"/>
    </row>
    <row r="1707" spans="1:11" ht="12.75" hidden="1" customHeight="1" outlineLevel="1" x14ac:dyDescent="0.25">
      <c r="A1707" s="1956" t="s">
        <v>8782</v>
      </c>
      <c r="B1707" s="2185">
        <v>44835</v>
      </c>
      <c r="C1707" s="3203">
        <v>100</v>
      </c>
      <c r="D1707" s="3206">
        <v>100.676</v>
      </c>
      <c r="E1707" s="3204">
        <v>6.7600000000000993E-3</v>
      </c>
      <c r="F1707" s="3151"/>
      <c r="G1707" s="12"/>
      <c r="H1707" s="415"/>
    </row>
    <row r="1708" spans="1:11" ht="12.75" hidden="1" customHeight="1" outlineLevel="1" x14ac:dyDescent="0.25">
      <c r="A1708" s="1956" t="s">
        <v>8783</v>
      </c>
      <c r="B1708" s="2185">
        <v>44866</v>
      </c>
      <c r="C1708" s="3203">
        <v>100</v>
      </c>
      <c r="D1708" s="3206">
        <v>105.33929999999999</v>
      </c>
      <c r="E1708" s="3204">
        <v>5.3393000000000024E-2</v>
      </c>
      <c r="F1708" s="3151"/>
      <c r="G1708" s="12"/>
      <c r="H1708" s="415"/>
    </row>
    <row r="1709" spans="1:11" ht="12.75" hidden="1" customHeight="1" outlineLevel="1" x14ac:dyDescent="0.25">
      <c r="A1709" s="1956" t="s">
        <v>8784</v>
      </c>
      <c r="B1709" s="2185">
        <v>44896</v>
      </c>
      <c r="C1709" s="3203">
        <v>100</v>
      </c>
      <c r="D1709" s="3206">
        <v>102.52200000000001</v>
      </c>
      <c r="E1709" s="3204">
        <v>2.522000000000002E-2</v>
      </c>
      <c r="F1709" s="3151"/>
      <c r="G1709" s="12"/>
      <c r="H1709" s="415"/>
    </row>
    <row r="1710" spans="1:11" ht="12.75" hidden="1" customHeight="1" outlineLevel="1" x14ac:dyDescent="0.25">
      <c r="A1710" s="1956" t="s">
        <v>8785</v>
      </c>
      <c r="B1710" s="2185">
        <v>44927</v>
      </c>
      <c r="C1710" s="3203">
        <v>100</v>
      </c>
      <c r="D1710" s="3206">
        <v>108.9205</v>
      </c>
      <c r="E1710" s="3204">
        <v>8.9204999999999979E-2</v>
      </c>
      <c r="F1710" s="3151"/>
      <c r="G1710" s="12"/>
      <c r="H1710" s="415"/>
    </row>
    <row r="1711" spans="1:11" ht="12.75" hidden="1" customHeight="1" outlineLevel="1" x14ac:dyDescent="0.25">
      <c r="A1711" s="1956" t="s">
        <v>8786</v>
      </c>
      <c r="B1711" s="2185">
        <v>44958</v>
      </c>
      <c r="C1711" s="3203">
        <v>100</v>
      </c>
      <c r="D1711" s="3206">
        <v>110.9353</v>
      </c>
      <c r="E1711" s="3204">
        <v>0.10935300000000003</v>
      </c>
      <c r="F1711" s="3151"/>
      <c r="G1711" s="12"/>
      <c r="H1711" s="415"/>
    </row>
    <row r="1712" spans="1:11" ht="12.75" hidden="1" customHeight="1" outlineLevel="1" x14ac:dyDescent="0.25">
      <c r="A1712" s="1956" t="s">
        <v>8787</v>
      </c>
      <c r="B1712" s="2185">
        <v>44986</v>
      </c>
      <c r="C1712" s="3203">
        <v>100</v>
      </c>
      <c r="D1712" s="3206">
        <v>107.16459999999999</v>
      </c>
      <c r="E1712" s="3204">
        <v>7.1645999999999876E-2</v>
      </c>
      <c r="F1712" s="3151"/>
      <c r="G1712" s="12"/>
      <c r="H1712" s="415"/>
    </row>
    <row r="1713" spans="1:15" ht="12.75" hidden="1" customHeight="1" outlineLevel="1" x14ac:dyDescent="0.25">
      <c r="A1713" s="1956" t="s">
        <v>8788</v>
      </c>
      <c r="B1713" s="2185">
        <v>45017</v>
      </c>
      <c r="C1713" s="3203">
        <v>100</v>
      </c>
      <c r="D1713" s="3206">
        <v>110.8086</v>
      </c>
      <c r="E1713" s="3204">
        <v>0.1080859999999999</v>
      </c>
      <c r="F1713" s="3151"/>
      <c r="G1713" s="12"/>
      <c r="H1713" s="415"/>
    </row>
    <row r="1714" spans="1:15" ht="12.75" hidden="1" customHeight="1" outlineLevel="1" x14ac:dyDescent="0.25">
      <c r="A1714" s="1956" t="s">
        <v>8789</v>
      </c>
      <c r="B1714" s="2185">
        <v>45047</v>
      </c>
      <c r="C1714" s="3203">
        <v>100</v>
      </c>
      <c r="D1714" s="3206">
        <v>104.33110000000001</v>
      </c>
      <c r="E1714" s="3204">
        <v>4.3311000000000099E-2</v>
      </c>
      <c r="F1714" s="3151"/>
      <c r="G1714" s="12"/>
      <c r="H1714" s="415"/>
    </row>
    <row r="1715" spans="1:15" ht="12.75" hidden="1" customHeight="1" outlineLevel="1" x14ac:dyDescent="0.25">
      <c r="A1715" s="2189" t="s">
        <v>2734</v>
      </c>
      <c r="B1715" s="2190"/>
      <c r="C1715" s="3206"/>
      <c r="D1715" s="2191" t="s">
        <v>2465</v>
      </c>
      <c r="E1715" s="1987">
        <v>4.7184333333333321E-2</v>
      </c>
      <c r="F1715" s="2528">
        <v>4.7184333333333321E-2</v>
      </c>
      <c r="G1715" s="12"/>
      <c r="H1715" s="415"/>
    </row>
    <row r="1716" spans="1:15" collapsed="1" x14ac:dyDescent="0.25">
      <c r="A1716" s="3801" t="s">
        <v>8744</v>
      </c>
      <c r="B1716" s="3802"/>
      <c r="C1716" s="3802"/>
      <c r="D1716" s="3802"/>
      <c r="E1716" s="1906"/>
      <c r="F1716" s="1907">
        <v>0.14718433333333333</v>
      </c>
      <c r="G1716" s="78"/>
    </row>
    <row r="1718" spans="1:15" ht="12.75" hidden="1" customHeight="1" outlineLevel="1" x14ac:dyDescent="0.25">
      <c r="A1718" s="3180" t="s">
        <v>4156</v>
      </c>
      <c r="B1718" s="3180" t="s">
        <v>4153</v>
      </c>
      <c r="C1718" s="3648" t="s">
        <v>112</v>
      </c>
      <c r="D1718" s="3192" t="s">
        <v>4155</v>
      </c>
      <c r="E1718" s="3180" t="s">
        <v>4154</v>
      </c>
      <c r="F1718" s="3192" t="s">
        <v>2519</v>
      </c>
      <c r="G1718" s="12"/>
      <c r="H1718" s="415"/>
      <c r="I1718" s="412"/>
      <c r="J1718" s="1462"/>
      <c r="K1718" s="1462"/>
      <c r="L1718" s="1462"/>
      <c r="M1718" s="1462"/>
      <c r="N1718" s="1462"/>
      <c r="O1718" s="1462"/>
    </row>
    <row r="1719" spans="1:15" ht="12.75" hidden="1" customHeight="1" outlineLevel="1" x14ac:dyDescent="0.25">
      <c r="A1719" s="1991">
        <v>0.02</v>
      </c>
      <c r="B1719" s="1921" t="s">
        <v>359</v>
      </c>
      <c r="C1719" s="2108">
        <v>180.81</v>
      </c>
      <c r="D1719" s="3194">
        <v>213.2</v>
      </c>
      <c r="E1719" s="3269">
        <v>0.17913832199546476</v>
      </c>
      <c r="F1719" s="3004">
        <v>3.582766439909295E-3</v>
      </c>
      <c r="G1719" s="415"/>
      <c r="H1719" s="415" t="s">
        <v>360</v>
      </c>
      <c r="I1719" s="412"/>
      <c r="K1719" s="434"/>
    </row>
    <row r="1720" spans="1:15" ht="12.75" hidden="1" customHeight="1" outlineLevel="1" x14ac:dyDescent="0.25">
      <c r="A1720" s="2380">
        <v>0.02</v>
      </c>
      <c r="B1720" s="1921" t="s">
        <v>7753</v>
      </c>
      <c r="C1720" s="2108">
        <v>151.1</v>
      </c>
      <c r="D1720" s="3196">
        <v>131.4</v>
      </c>
      <c r="E1720" s="3270">
        <v>-0.1303772336201191</v>
      </c>
      <c r="F1720" s="3007">
        <v>-2.6075446724023823E-3</v>
      </c>
      <c r="G1720" s="415"/>
      <c r="H1720" s="415" t="s">
        <v>8901</v>
      </c>
      <c r="I1720" s="412"/>
      <c r="K1720" s="434"/>
    </row>
    <row r="1721" spans="1:15" ht="12.75" hidden="1" customHeight="1" outlineLevel="1" x14ac:dyDescent="0.25">
      <c r="A1721" s="2380">
        <v>0.05</v>
      </c>
      <c r="B1721" s="1921" t="s">
        <v>807</v>
      </c>
      <c r="C1721" s="2108">
        <v>58.125999999999998</v>
      </c>
      <c r="D1721" s="3196">
        <v>60.4</v>
      </c>
      <c r="E1721" s="3270">
        <v>3.9121907580084603E-2</v>
      </c>
      <c r="F1721" s="3007">
        <v>1.9560953790042301E-3</v>
      </c>
      <c r="G1721" s="415"/>
      <c r="H1721" s="415" t="s">
        <v>808</v>
      </c>
      <c r="I1721" s="412"/>
      <c r="K1721" s="434"/>
    </row>
    <row r="1722" spans="1:15" ht="12.75" hidden="1" customHeight="1" outlineLevel="1" x14ac:dyDescent="0.25">
      <c r="A1722" s="2380">
        <v>0.02</v>
      </c>
      <c r="B1722" s="1921" t="s">
        <v>1188</v>
      </c>
      <c r="C1722" s="2108">
        <v>4.4619999999999997</v>
      </c>
      <c r="D1722" s="3196">
        <v>4.5834999999999999</v>
      </c>
      <c r="E1722" s="3270">
        <v>2.7229941730165796E-2</v>
      </c>
      <c r="F1722" s="3007">
        <v>5.4459883460331591E-4</v>
      </c>
      <c r="G1722" s="415"/>
      <c r="H1722" s="415" t="s">
        <v>2746</v>
      </c>
      <c r="I1722" s="412"/>
      <c r="K1722" s="434"/>
    </row>
    <row r="1723" spans="1:15" ht="12.75" hidden="1" customHeight="1" outlineLevel="1" x14ac:dyDescent="0.25">
      <c r="A1723" s="2380">
        <v>0.02</v>
      </c>
      <c r="B1723" s="1921" t="s">
        <v>3954</v>
      </c>
      <c r="C1723" s="2108">
        <v>53.791499999999999</v>
      </c>
      <c r="D1723" s="3196">
        <v>56.56</v>
      </c>
      <c r="E1723" s="3270">
        <v>5.1467239247836583E-2</v>
      </c>
      <c r="F1723" s="3007">
        <v>1.0293447849567317E-3</v>
      </c>
      <c r="G1723" s="415"/>
      <c r="H1723" s="415" t="s">
        <v>3955</v>
      </c>
      <c r="I1723" s="412"/>
      <c r="K1723" s="434"/>
    </row>
    <row r="1724" spans="1:15" ht="12.75" hidden="1" customHeight="1" outlineLevel="1" x14ac:dyDescent="0.25">
      <c r="A1724" s="2380">
        <v>0.02</v>
      </c>
      <c r="B1724" s="1921" t="s">
        <v>7114</v>
      </c>
      <c r="C1724" s="2108">
        <v>122.13800000000001</v>
      </c>
      <c r="D1724" s="3196">
        <v>185.29</v>
      </c>
      <c r="E1724" s="3270">
        <v>0.51705447935941296</v>
      </c>
      <c r="F1724" s="3007">
        <v>1.0341089587188259E-2</v>
      </c>
      <c r="G1724" s="415"/>
      <c r="H1724" s="415" t="s">
        <v>7115</v>
      </c>
      <c r="I1724" s="412"/>
      <c r="K1724" s="434"/>
    </row>
    <row r="1725" spans="1:15" ht="12.75" hidden="1" customHeight="1" outlineLevel="1" x14ac:dyDescent="0.25">
      <c r="A1725" s="2380">
        <v>0.02</v>
      </c>
      <c r="B1725" s="1921" t="s">
        <v>6267</v>
      </c>
      <c r="C1725" s="2108">
        <v>23.753499999999999</v>
      </c>
      <c r="D1725" s="3196">
        <v>18</v>
      </c>
      <c r="E1725" s="3270">
        <v>-0.24221693645147024</v>
      </c>
      <c r="F1725" s="3007">
        <v>-4.8443387290294047E-3</v>
      </c>
      <c r="G1725" s="415"/>
      <c r="H1725" s="415" t="s">
        <v>6268</v>
      </c>
      <c r="I1725" s="412"/>
      <c r="K1725" s="434"/>
    </row>
    <row r="1726" spans="1:15" ht="12.75" hidden="1" customHeight="1" outlineLevel="1" x14ac:dyDescent="0.25">
      <c r="A1726" s="2380">
        <v>0.02</v>
      </c>
      <c r="B1726" s="1921" t="s">
        <v>3799</v>
      </c>
      <c r="C1726" s="2108">
        <v>16.495282876946245</v>
      </c>
      <c r="D1726" s="3196">
        <v>13.888</v>
      </c>
      <c r="E1726" s="3270">
        <v>-0.15806233190399999</v>
      </c>
      <c r="F1726" s="3007">
        <v>-3.1612466380799998E-3</v>
      </c>
      <c r="G1726" s="415"/>
      <c r="H1726" s="415" t="s">
        <v>4128</v>
      </c>
      <c r="I1726" s="412"/>
      <c r="K1726" s="434"/>
    </row>
    <row r="1727" spans="1:15" ht="12.75" hidden="1" customHeight="1" outlineLevel="1" x14ac:dyDescent="0.25">
      <c r="A1727" s="2380">
        <v>0.02</v>
      </c>
      <c r="B1727" s="1921" t="s">
        <v>1771</v>
      </c>
      <c r="C1727" s="2108">
        <v>7.3826000000000001</v>
      </c>
      <c r="D1727" s="3196">
        <v>6.2170000000000005</v>
      </c>
      <c r="E1727" s="3270">
        <v>-0.15788475604800467</v>
      </c>
      <c r="F1727" s="3007">
        <v>-3.1576951209600934E-3</v>
      </c>
      <c r="G1727" s="415"/>
      <c r="H1727" s="415" t="s">
        <v>4329</v>
      </c>
      <c r="I1727" s="412"/>
      <c r="K1727" s="434"/>
    </row>
    <row r="1728" spans="1:15" ht="12.75" hidden="1" customHeight="1" outlineLevel="1" x14ac:dyDescent="0.25">
      <c r="A1728" s="2380">
        <v>0.02</v>
      </c>
      <c r="B1728" s="1921" t="s">
        <v>4143</v>
      </c>
      <c r="C1728" s="2108">
        <v>2.8818121427254031</v>
      </c>
      <c r="D1728" s="3196">
        <v>3.2690000000000001</v>
      </c>
      <c r="E1728" s="3270">
        <v>0.13435568944075027</v>
      </c>
      <c r="F1728" s="3007">
        <v>2.6871137888150056E-3</v>
      </c>
      <c r="G1728" s="415"/>
      <c r="H1728" s="415" t="s">
        <v>4144</v>
      </c>
      <c r="I1728" s="412"/>
      <c r="K1728" s="434"/>
    </row>
    <row r="1729" spans="1:11" ht="12.75" hidden="1" customHeight="1" outlineLevel="1" x14ac:dyDescent="0.25">
      <c r="A1729" s="2380">
        <v>0.02</v>
      </c>
      <c r="B1729" s="1921" t="s">
        <v>1772</v>
      </c>
      <c r="C1729" s="2108">
        <v>180.71</v>
      </c>
      <c r="D1729" s="3196">
        <v>343.6</v>
      </c>
      <c r="E1729" s="3270">
        <v>0.90138896574622329</v>
      </c>
      <c r="F1729" s="3007">
        <v>1.8027779314924466E-2</v>
      </c>
      <c r="G1729" s="415"/>
      <c r="H1729" s="415" t="s">
        <v>4330</v>
      </c>
      <c r="I1729" s="412"/>
      <c r="K1729" s="434"/>
    </row>
    <row r="1730" spans="1:11" ht="12.75" hidden="1" customHeight="1" outlineLevel="1" x14ac:dyDescent="0.25">
      <c r="A1730" s="2380">
        <v>0.08</v>
      </c>
      <c r="B1730" s="1921" t="s">
        <v>8336</v>
      </c>
      <c r="C1730" s="2108">
        <v>30.012</v>
      </c>
      <c r="D1730" s="3196">
        <v>26.37</v>
      </c>
      <c r="E1730" s="3270">
        <v>-0.12135145941623349</v>
      </c>
      <c r="F1730" s="3007">
        <v>-9.7081167532986797E-3</v>
      </c>
      <c r="G1730" s="415"/>
      <c r="H1730" s="415" t="s">
        <v>8337</v>
      </c>
      <c r="I1730" s="412"/>
      <c r="K1730" s="434"/>
    </row>
    <row r="1731" spans="1:11" ht="12.75" hidden="1" customHeight="1" outlineLevel="1" x14ac:dyDescent="0.25">
      <c r="A1731" s="2380">
        <v>0.02</v>
      </c>
      <c r="B1731" s="1921" t="s">
        <v>7754</v>
      </c>
      <c r="C1731" s="2519">
        <v>55.546999999999997</v>
      </c>
      <c r="D1731" s="3196">
        <v>98.7</v>
      </c>
      <c r="E1731" s="3270">
        <v>0.77687363854033542</v>
      </c>
      <c r="F1731" s="3007">
        <v>1.5537472770806708E-2</v>
      </c>
      <c r="G1731" s="415"/>
      <c r="H1731" s="415" t="s">
        <v>7751</v>
      </c>
      <c r="I1731" s="412"/>
      <c r="K1731" s="434"/>
    </row>
    <row r="1732" spans="1:11" ht="12.75" hidden="1" customHeight="1" outlineLevel="1" x14ac:dyDescent="0.25">
      <c r="A1732" s="2380">
        <v>0.03</v>
      </c>
      <c r="B1732" s="1921" t="s">
        <v>2786</v>
      </c>
      <c r="C1732" s="2108">
        <v>9.3592999999999993</v>
      </c>
      <c r="D1732" s="3196">
        <v>10.404999999999999</v>
      </c>
      <c r="E1732" s="3270">
        <v>0.11172844122957915</v>
      </c>
      <c r="F1732" s="3007">
        <v>3.3518532368873744E-3</v>
      </c>
      <c r="G1732" s="415"/>
      <c r="H1732" s="415" t="s">
        <v>4195</v>
      </c>
      <c r="I1732" s="412"/>
      <c r="K1732" s="434"/>
    </row>
    <row r="1733" spans="1:11" ht="12.75" hidden="1" customHeight="1" outlineLevel="1" x14ac:dyDescent="0.25">
      <c r="A1733" s="2380">
        <v>0.02</v>
      </c>
      <c r="B1733" s="1921" t="s">
        <v>1203</v>
      </c>
      <c r="C1733" s="2108">
        <v>110.71</v>
      </c>
      <c r="D1733" s="3196">
        <v>117.3</v>
      </c>
      <c r="E1733" s="3270">
        <v>5.9524884834251779E-2</v>
      </c>
      <c r="F1733" s="3007">
        <v>1.1904976966850356E-3</v>
      </c>
      <c r="G1733" s="415"/>
      <c r="H1733" s="415" t="s">
        <v>79</v>
      </c>
      <c r="I1733" s="412"/>
      <c r="K1733" s="434"/>
    </row>
    <row r="1734" spans="1:11" ht="12.75" hidden="1" customHeight="1" outlineLevel="1" x14ac:dyDescent="0.25">
      <c r="A1734" s="2380">
        <v>0.05</v>
      </c>
      <c r="B1734" s="1921" t="s">
        <v>3793</v>
      </c>
      <c r="C1734" s="2108">
        <v>118.82599999999999</v>
      </c>
      <c r="D1734" s="3196">
        <v>97.62</v>
      </c>
      <c r="E1734" s="3270">
        <v>-0.17846262602460727</v>
      </c>
      <c r="F1734" s="3007">
        <v>-8.9231313012303644E-3</v>
      </c>
      <c r="G1734" s="415"/>
      <c r="H1734" s="415" t="s">
        <v>3533</v>
      </c>
      <c r="I1734" s="412"/>
      <c r="K1734" s="434"/>
    </row>
    <row r="1735" spans="1:11" ht="12.75" hidden="1" customHeight="1" outlineLevel="1" x14ac:dyDescent="0.25">
      <c r="A1735" s="2380">
        <v>0.02</v>
      </c>
      <c r="B1735" s="1921" t="s">
        <v>2769</v>
      </c>
      <c r="C1735" s="2108">
        <v>37.808999999999997</v>
      </c>
      <c r="D1735" s="3196">
        <v>26.46</v>
      </c>
      <c r="E1735" s="3270">
        <v>-0.30016662699357288</v>
      </c>
      <c r="F1735" s="3007">
        <v>-6.0033325398714575E-3</v>
      </c>
      <c r="G1735" s="415"/>
      <c r="H1735" s="415" t="s">
        <v>2770</v>
      </c>
      <c r="I1735" s="412"/>
      <c r="K1735" s="434"/>
    </row>
    <row r="1736" spans="1:11" ht="12.75" hidden="1" customHeight="1" outlineLevel="1" x14ac:dyDescent="0.25">
      <c r="A1736" s="2380">
        <v>0.02</v>
      </c>
      <c r="B1736" s="1921" t="s">
        <v>10667</v>
      </c>
      <c r="C1736" s="2108">
        <v>20.591999999999999</v>
      </c>
      <c r="D1736" s="3196">
        <v>23.425000000000001</v>
      </c>
      <c r="E1736" s="3270">
        <v>0.13757770007770009</v>
      </c>
      <c r="F1736" s="3007">
        <v>2.751554001554002E-3</v>
      </c>
      <c r="G1736" s="415"/>
      <c r="H1736" s="415" t="s">
        <v>10668</v>
      </c>
      <c r="I1736" s="412"/>
      <c r="K1736" s="434"/>
    </row>
    <row r="1737" spans="1:11" ht="12.75" hidden="1" customHeight="1" outlineLevel="1" x14ac:dyDescent="0.25">
      <c r="A1737" s="2380">
        <v>0.02</v>
      </c>
      <c r="B1737" s="1921" t="s">
        <v>6270</v>
      </c>
      <c r="C1737" s="2108">
        <v>43.961301147951787</v>
      </c>
      <c r="D1737" s="3196">
        <v>41.12</v>
      </c>
      <c r="E1737" s="3270">
        <v>-6.463187107200008E-2</v>
      </c>
      <c r="F1737" s="3007">
        <v>-1.2926374214400017E-3</v>
      </c>
      <c r="G1737" s="415"/>
      <c r="H1737" s="415" t="s">
        <v>8166</v>
      </c>
      <c r="I1737" s="412"/>
      <c r="K1737" s="434"/>
    </row>
    <row r="1738" spans="1:11" ht="12.75" hidden="1" customHeight="1" outlineLevel="1" x14ac:dyDescent="0.25">
      <c r="A1738" s="2380">
        <v>0.02</v>
      </c>
      <c r="B1738" s="1921" t="s">
        <v>6524</v>
      </c>
      <c r="C1738" s="2108">
        <v>104.5292989483856</v>
      </c>
      <c r="D1738" s="3196">
        <v>119.15</v>
      </c>
      <c r="E1738" s="3270">
        <v>0.13987179861249999</v>
      </c>
      <c r="F1738" s="3007">
        <v>2.7974359722499997E-3</v>
      </c>
      <c r="G1738" s="415"/>
      <c r="H1738" s="415" t="s">
        <v>6525</v>
      </c>
      <c r="I1738" s="412"/>
      <c r="K1738" s="434"/>
    </row>
    <row r="1739" spans="1:11" ht="12.75" hidden="1" customHeight="1" outlineLevel="1" x14ac:dyDescent="0.25">
      <c r="A1739" s="2380">
        <v>0.05</v>
      </c>
      <c r="B1739" s="1921" t="s">
        <v>6116</v>
      </c>
      <c r="C1739" s="2108">
        <v>3.8856000000000002</v>
      </c>
      <c r="D1739" s="3196">
        <v>4.7869999999999999</v>
      </c>
      <c r="E1739" s="3270">
        <v>0.23198476425777215</v>
      </c>
      <c r="F1739" s="3007">
        <v>1.1599238212888607E-2</v>
      </c>
      <c r="G1739" s="415"/>
      <c r="H1739" s="415" t="s">
        <v>6114</v>
      </c>
      <c r="I1739" s="412"/>
      <c r="K1739" s="434"/>
    </row>
    <row r="1740" spans="1:11" ht="12.75" hidden="1" customHeight="1" outlineLevel="1" x14ac:dyDescent="0.25">
      <c r="A1740" s="2380">
        <v>0.08</v>
      </c>
      <c r="B1740" s="1921" t="s">
        <v>1724</v>
      </c>
      <c r="C1740" s="2108">
        <v>210.13819220745225</v>
      </c>
      <c r="D1740" s="3196">
        <v>181.85</v>
      </c>
      <c r="E1740" s="3270">
        <v>-0.13461709130687505</v>
      </c>
      <c r="F1740" s="3007">
        <v>-1.0769367304550003E-2</v>
      </c>
      <c r="G1740" s="415"/>
      <c r="H1740" s="415" t="s">
        <v>1725</v>
      </c>
      <c r="I1740" s="412"/>
      <c r="K1740" s="434"/>
    </row>
    <row r="1741" spans="1:11" ht="12.75" hidden="1" customHeight="1" outlineLevel="1" x14ac:dyDescent="0.25">
      <c r="A1741" s="2380">
        <v>0.08</v>
      </c>
      <c r="B1741" s="1921" t="s">
        <v>6118</v>
      </c>
      <c r="C1741" s="2108">
        <v>90.39</v>
      </c>
      <c r="D1741" s="3196">
        <v>90.04</v>
      </c>
      <c r="E1741" s="3270">
        <v>-3.8721097466533072E-3</v>
      </c>
      <c r="F1741" s="3007">
        <v>-3.0976877973226457E-4</v>
      </c>
      <c r="G1741" s="415"/>
      <c r="H1741" s="415" t="s">
        <v>8893</v>
      </c>
      <c r="I1741" s="412"/>
      <c r="K1741" s="434"/>
    </row>
    <row r="1742" spans="1:11" ht="12.75" hidden="1" customHeight="1" outlineLevel="1" x14ac:dyDescent="0.25">
      <c r="A1742" s="2380">
        <v>0.08</v>
      </c>
      <c r="B1742" s="1921" t="s">
        <v>1239</v>
      </c>
      <c r="C1742" s="2108">
        <v>466.8</v>
      </c>
      <c r="D1742" s="3196">
        <v>557.79999999999995</v>
      </c>
      <c r="E1742" s="3270">
        <v>0.19494430162810605</v>
      </c>
      <c r="F1742" s="3007">
        <v>1.5595544130248485E-2</v>
      </c>
      <c r="G1742" s="415"/>
      <c r="H1742" s="415" t="s">
        <v>8891</v>
      </c>
      <c r="I1742" s="412"/>
      <c r="K1742" s="434"/>
    </row>
    <row r="1743" spans="1:11" ht="12.75" hidden="1" customHeight="1" outlineLevel="1" x14ac:dyDescent="0.25">
      <c r="A1743" s="2380">
        <v>0.08</v>
      </c>
      <c r="B1743" s="1921" t="s">
        <v>6945</v>
      </c>
      <c r="C1743" s="2108">
        <v>76.931935783428415</v>
      </c>
      <c r="D1743" s="3196">
        <v>89.12</v>
      </c>
      <c r="E1743" s="3270">
        <v>0.15842658958800016</v>
      </c>
      <c r="F1743" s="3007">
        <v>1.2674127167040012E-2</v>
      </c>
      <c r="G1743" s="415"/>
      <c r="H1743" s="415" t="s">
        <v>6943</v>
      </c>
      <c r="I1743" s="412"/>
      <c r="K1743" s="434"/>
    </row>
    <row r="1744" spans="1:11" ht="12.75" hidden="1" customHeight="1" outlineLevel="1" x14ac:dyDescent="0.25">
      <c r="A1744" s="2380">
        <v>0.02</v>
      </c>
      <c r="B1744" s="1921" t="s">
        <v>10633</v>
      </c>
      <c r="C1744" s="2108">
        <v>43.033000000000001</v>
      </c>
      <c r="D1744" s="3196">
        <v>52.55</v>
      </c>
      <c r="E1744" s="3270">
        <v>0.22115585713289798</v>
      </c>
      <c r="F1744" s="3007">
        <v>4.4231171426579599E-3</v>
      </c>
      <c r="G1744" s="415"/>
      <c r="H1744" s="415" t="s">
        <v>10634</v>
      </c>
      <c r="I1744" s="412"/>
      <c r="K1744" s="434"/>
    </row>
    <row r="1745" spans="1:11" ht="12.75" hidden="1" customHeight="1" outlineLevel="1" x14ac:dyDescent="0.25">
      <c r="A1745" s="2380">
        <v>0.02</v>
      </c>
      <c r="B1745" s="1921" t="s">
        <v>366</v>
      </c>
      <c r="C1745" s="2108">
        <v>63.121000000000002</v>
      </c>
      <c r="D1745" s="3196">
        <v>53.54</v>
      </c>
      <c r="E1745" s="3270">
        <v>-0.15178783606089896</v>
      </c>
      <c r="F1745" s="3007">
        <v>-3.0357567212179791E-3</v>
      </c>
      <c r="G1745" s="415"/>
      <c r="H1745" s="415" t="s">
        <v>367</v>
      </c>
      <c r="I1745" s="412"/>
      <c r="K1745" s="434"/>
    </row>
    <row r="1746" spans="1:11" ht="12.75" hidden="1" customHeight="1" outlineLevel="1" x14ac:dyDescent="0.25">
      <c r="A1746" s="2380">
        <v>0.02</v>
      </c>
      <c r="B1746" s="1921" t="s">
        <v>255</v>
      </c>
      <c r="C1746" s="2108">
        <v>43.453000000000003</v>
      </c>
      <c r="D1746" s="3196">
        <v>37.19</v>
      </c>
      <c r="E1746" s="3270">
        <v>-0.14413274112259233</v>
      </c>
      <c r="F1746" s="3007">
        <v>-2.8826548224518468E-3</v>
      </c>
      <c r="G1746" s="415"/>
      <c r="H1746" s="415" t="s">
        <v>3351</v>
      </c>
      <c r="I1746" s="412"/>
      <c r="K1746" s="434"/>
    </row>
    <row r="1747" spans="1:11" ht="12.75" hidden="1" customHeight="1" outlineLevel="1" x14ac:dyDescent="0.25">
      <c r="A1747" s="2380">
        <v>0.02</v>
      </c>
      <c r="B1747" s="1921" t="s">
        <v>579</v>
      </c>
      <c r="C1747" s="2108">
        <v>2.2035999999999998</v>
      </c>
      <c r="D1747" s="3196">
        <v>0.73970000000000002</v>
      </c>
      <c r="E1747" s="3270">
        <v>-0.66432201851515704</v>
      </c>
      <c r="F1747" s="3007">
        <v>-1.3286440370303141E-2</v>
      </c>
      <c r="G1747" s="415"/>
      <c r="H1747" s="415" t="s">
        <v>3611</v>
      </c>
      <c r="I1747" s="412"/>
      <c r="K1747" s="434"/>
    </row>
    <row r="1748" spans="1:11" ht="12.75" hidden="1" customHeight="1" outlineLevel="1" x14ac:dyDescent="0.25">
      <c r="A1748" s="2380">
        <v>0.02</v>
      </c>
      <c r="B1748" s="2109" t="s">
        <v>4550</v>
      </c>
      <c r="C1748" s="2108">
        <v>288.57</v>
      </c>
      <c r="D1748" s="3199">
        <v>424.9</v>
      </c>
      <c r="E1748" s="3270">
        <v>0.47243303184669228</v>
      </c>
      <c r="F1748" s="3007">
        <v>9.4486606369338453E-3</v>
      </c>
      <c r="G1748" s="415"/>
      <c r="H1748" s="415" t="s">
        <v>8889</v>
      </c>
      <c r="I1748" s="412"/>
      <c r="K1748" s="434"/>
    </row>
    <row r="1749" spans="1:11" ht="12.75" hidden="1" customHeight="1" outlineLevel="1" x14ac:dyDescent="0.25">
      <c r="A1749" s="2181" t="s">
        <v>2734</v>
      </c>
      <c r="B1749" s="2103"/>
      <c r="C1749" s="3200">
        <v>100</v>
      </c>
      <c r="D1749" s="3201"/>
      <c r="E1749" s="3202"/>
      <c r="F1749" s="3202">
        <v>4.8300000000000003E-2</v>
      </c>
      <c r="G1749" s="12"/>
      <c r="H1749" s="415"/>
    </row>
    <row r="1750" spans="1:11" ht="12.75" hidden="1" customHeight="1" outlineLevel="1" x14ac:dyDescent="0.25">
      <c r="A1750" s="1956" t="s">
        <v>8812</v>
      </c>
      <c r="B1750" s="2185">
        <v>44743</v>
      </c>
      <c r="C1750" s="3203">
        <v>100</v>
      </c>
      <c r="D1750" s="3203">
        <v>104.758</v>
      </c>
      <c r="E1750" s="3204">
        <v>4.7579999999999956E-2</v>
      </c>
      <c r="F1750" s="3151"/>
      <c r="G1750" s="12"/>
      <c r="H1750" s="415"/>
    </row>
    <row r="1751" spans="1:11" ht="12.75" hidden="1" customHeight="1" outlineLevel="1" x14ac:dyDescent="0.25">
      <c r="A1751" s="1956" t="s">
        <v>8813</v>
      </c>
      <c r="B1751" s="2185">
        <v>44774</v>
      </c>
      <c r="C1751" s="3203">
        <v>100</v>
      </c>
      <c r="D1751" s="3206">
        <v>103.48860000000001</v>
      </c>
      <c r="E1751" s="3204">
        <v>3.4885999999999973E-2</v>
      </c>
      <c r="F1751" s="3151"/>
      <c r="G1751" s="12"/>
      <c r="H1751" s="415"/>
    </row>
    <row r="1752" spans="1:11" ht="12.75" hidden="1" customHeight="1" outlineLevel="1" x14ac:dyDescent="0.25">
      <c r="A1752" s="1956" t="s">
        <v>8814</v>
      </c>
      <c r="B1752" s="2185">
        <v>44805</v>
      </c>
      <c r="C1752" s="3203">
        <v>100</v>
      </c>
      <c r="D1752" s="3206">
        <v>95.680800000000005</v>
      </c>
      <c r="E1752" s="3204">
        <v>-4.3191999999999897E-2</v>
      </c>
      <c r="F1752" s="3151"/>
      <c r="G1752" s="12"/>
      <c r="H1752" s="415"/>
    </row>
    <row r="1753" spans="1:11" ht="12.75" hidden="1" customHeight="1" outlineLevel="1" x14ac:dyDescent="0.25">
      <c r="A1753" s="1956" t="s">
        <v>8815</v>
      </c>
      <c r="B1753" s="2185">
        <v>44835</v>
      </c>
      <c r="C1753" s="3203">
        <v>100</v>
      </c>
      <c r="D1753" s="3206">
        <v>101.107</v>
      </c>
      <c r="E1753" s="3204">
        <v>1.1069999999999913E-2</v>
      </c>
      <c r="F1753" s="3151"/>
      <c r="G1753" s="12"/>
      <c r="H1753" s="415"/>
    </row>
    <row r="1754" spans="1:11" ht="12.75" hidden="1" customHeight="1" outlineLevel="1" x14ac:dyDescent="0.25">
      <c r="A1754" s="1956" t="s">
        <v>8816</v>
      </c>
      <c r="B1754" s="2185">
        <v>44866</v>
      </c>
      <c r="C1754" s="3203">
        <v>100</v>
      </c>
      <c r="D1754" s="3206">
        <v>105.79519999999999</v>
      </c>
      <c r="E1754" s="3204">
        <v>5.7952000000000004E-2</v>
      </c>
      <c r="F1754" s="3151"/>
      <c r="G1754" s="12"/>
      <c r="H1754" s="415"/>
    </row>
    <row r="1755" spans="1:11" ht="12.75" hidden="1" customHeight="1" outlineLevel="1" x14ac:dyDescent="0.25">
      <c r="A1755" s="1956" t="s">
        <v>8817</v>
      </c>
      <c r="B1755" s="2185">
        <v>44896</v>
      </c>
      <c r="C1755" s="3203">
        <v>100</v>
      </c>
      <c r="D1755" s="3206">
        <v>102.94370000000001</v>
      </c>
      <c r="E1755" s="3204">
        <v>2.9437000000000157E-2</v>
      </c>
      <c r="F1755" s="3151"/>
      <c r="G1755" s="12"/>
      <c r="H1755" s="415"/>
    </row>
    <row r="1756" spans="1:11" ht="12.75" hidden="1" customHeight="1" outlineLevel="1" x14ac:dyDescent="0.25">
      <c r="A1756" s="1956" t="s">
        <v>8818</v>
      </c>
      <c r="B1756" s="2185">
        <v>44927</v>
      </c>
      <c r="C1756" s="3203">
        <v>100</v>
      </c>
      <c r="D1756" s="3206">
        <v>109.29519999999999</v>
      </c>
      <c r="E1756" s="3204">
        <v>9.2951999999999924E-2</v>
      </c>
      <c r="F1756" s="3151"/>
      <c r="G1756" s="12"/>
      <c r="H1756" s="415"/>
    </row>
    <row r="1757" spans="1:11" ht="12.75" hidden="1" customHeight="1" outlineLevel="1" x14ac:dyDescent="0.25">
      <c r="A1757" s="1956" t="s">
        <v>8819</v>
      </c>
      <c r="B1757" s="2185">
        <v>44958</v>
      </c>
      <c r="C1757" s="3203">
        <v>100</v>
      </c>
      <c r="D1757" s="3206">
        <v>111.27379999999999</v>
      </c>
      <c r="E1757" s="3204">
        <v>0.112738</v>
      </c>
      <c r="F1757" s="3151"/>
      <c r="G1757" s="12"/>
      <c r="H1757" s="415"/>
    </row>
    <row r="1758" spans="1:11" ht="12.75" hidden="1" customHeight="1" outlineLevel="1" x14ac:dyDescent="0.25">
      <c r="A1758" s="1956" t="s">
        <v>8820</v>
      </c>
      <c r="B1758" s="2185">
        <v>44986</v>
      </c>
      <c r="C1758" s="3203">
        <v>100</v>
      </c>
      <c r="D1758" s="3206">
        <v>107.57299999999999</v>
      </c>
      <c r="E1758" s="3204">
        <v>7.5729999999999853E-2</v>
      </c>
      <c r="F1758" s="3151"/>
      <c r="G1758" s="12"/>
      <c r="H1758" s="415"/>
    </row>
    <row r="1759" spans="1:11" ht="12.75" hidden="1" customHeight="1" outlineLevel="1" x14ac:dyDescent="0.25">
      <c r="A1759" s="1956" t="s">
        <v>8821</v>
      </c>
      <c r="B1759" s="2185">
        <v>45017</v>
      </c>
      <c r="C1759" s="3203">
        <v>100</v>
      </c>
      <c r="D1759" s="3206">
        <v>111.2243</v>
      </c>
      <c r="E1759" s="3204">
        <v>0.11224300000000009</v>
      </c>
      <c r="F1759" s="3151"/>
      <c r="G1759" s="12"/>
      <c r="H1759" s="415"/>
    </row>
    <row r="1760" spans="1:11" ht="12.75" hidden="1" customHeight="1" outlineLevel="1" x14ac:dyDescent="0.25">
      <c r="A1760" s="1956" t="s">
        <v>8822</v>
      </c>
      <c r="B1760" s="2185">
        <v>45047</v>
      </c>
      <c r="C1760" s="3203">
        <v>100</v>
      </c>
      <c r="D1760" s="3206">
        <v>104.72539999999999</v>
      </c>
      <c r="E1760" s="3204">
        <v>4.7253999999999907E-2</v>
      </c>
      <c r="F1760" s="3151"/>
      <c r="G1760" s="12"/>
      <c r="H1760" s="415"/>
    </row>
    <row r="1761" spans="1:15" ht="12.75" hidden="1" customHeight="1" outlineLevel="1" x14ac:dyDescent="0.25">
      <c r="A1761" s="1956" t="s">
        <v>8823</v>
      </c>
      <c r="B1761" s="2185">
        <v>45078</v>
      </c>
      <c r="C1761" s="3203">
        <v>100</v>
      </c>
      <c r="D1761" s="3206">
        <v>104.8327</v>
      </c>
      <c r="E1761" s="3204">
        <v>4.8327000000000009E-2</v>
      </c>
      <c r="F1761" s="3151"/>
      <c r="G1761" s="12"/>
      <c r="H1761" s="415"/>
    </row>
    <row r="1762" spans="1:15" ht="12.75" hidden="1" customHeight="1" outlineLevel="1" x14ac:dyDescent="0.25">
      <c r="A1762" s="2189" t="s">
        <v>2734</v>
      </c>
      <c r="B1762" s="2190"/>
      <c r="C1762" s="3206"/>
      <c r="D1762" s="2191" t="s">
        <v>2465</v>
      </c>
      <c r="E1762" s="1987">
        <v>5.2248083333333327E-2</v>
      </c>
      <c r="F1762" s="2528">
        <v>5.2248083333333327E-2</v>
      </c>
      <c r="G1762" s="12"/>
      <c r="H1762" s="415"/>
    </row>
    <row r="1763" spans="1:15" collapsed="1" x14ac:dyDescent="0.25">
      <c r="A1763" s="3801" t="s">
        <v>8790</v>
      </c>
      <c r="B1763" s="3802"/>
      <c r="C1763" s="3802"/>
      <c r="D1763" s="3802"/>
      <c r="E1763" s="1906"/>
      <c r="F1763" s="1907">
        <v>0.15224808333333334</v>
      </c>
      <c r="G1763" s="78"/>
    </row>
    <row r="1765" spans="1:15" ht="12.75" hidden="1" customHeight="1" outlineLevel="1" x14ac:dyDescent="0.25">
      <c r="A1765" s="1517" t="s">
        <v>4156</v>
      </c>
      <c r="B1765" s="1517" t="s">
        <v>4153</v>
      </c>
      <c r="C1765" s="1518" t="s">
        <v>112</v>
      </c>
      <c r="D1765" s="1519" t="s">
        <v>4155</v>
      </c>
      <c r="E1765" s="1517" t="s">
        <v>4154</v>
      </c>
      <c r="F1765" s="1519" t="s">
        <v>2519</v>
      </c>
      <c r="G1765" s="12"/>
      <c r="H1765" s="415"/>
      <c r="I1765" s="412"/>
      <c r="J1765" s="1462"/>
      <c r="K1765" s="1462"/>
      <c r="L1765" s="1462"/>
      <c r="M1765" s="1462"/>
      <c r="N1765" s="1462"/>
      <c r="O1765" s="1462"/>
    </row>
    <row r="1766" spans="1:15" ht="12.75" hidden="1" customHeight="1" outlineLevel="1" x14ac:dyDescent="0.25">
      <c r="A1766" s="1508">
        <v>0.02</v>
      </c>
      <c r="B1766" s="1505" t="s">
        <v>2697</v>
      </c>
      <c r="C1766" s="455">
        <v>15.464</v>
      </c>
      <c r="D1766" s="1596">
        <f>VLOOKUP(H1766,indexy!$C$44:$D$823,2,FALSE)</f>
        <v>23.46</v>
      </c>
      <c r="E1766" s="1466">
        <f>D1766/C1766-1</f>
        <v>0.51707190894981903</v>
      </c>
      <c r="F1766" s="1492">
        <f>E1766*A1766</f>
        <v>1.034143817899638E-2</v>
      </c>
      <c r="G1766" s="415"/>
      <c r="H1766" s="415" t="str">
        <f>VLOOKUP(B1766,indexy!$A$44:$D$823,3,FALSE)</f>
        <v>G IM Equity</v>
      </c>
      <c r="I1766" s="412"/>
    </row>
    <row r="1767" spans="1:15" ht="12.75" hidden="1" customHeight="1" outlineLevel="1" x14ac:dyDescent="0.25">
      <c r="A1767" s="1509">
        <v>0.02</v>
      </c>
      <c r="B1767" s="1505" t="s">
        <v>218</v>
      </c>
      <c r="C1767" s="455">
        <v>25.59</v>
      </c>
      <c r="D1767" s="1597">
        <f>VLOOKUP(H1767,indexy!$C$44:$D$823,2,FALSE)</f>
        <v>34.814999999999998</v>
      </c>
      <c r="E1767" s="1463">
        <f>D1767/C1767-1</f>
        <v>0.36049237983587323</v>
      </c>
      <c r="F1767" s="1494">
        <f t="shared" ref="F1767:F1790" si="0">E1767*A1767</f>
        <v>7.2098475967174646E-3</v>
      </c>
      <c r="G1767" s="415"/>
      <c r="H1767" s="415" t="str">
        <f>VLOOKUP(B1767,indexy!$A$44:$D$823,3,FALSE)</f>
        <v>CS FP Equity</v>
      </c>
      <c r="I1767" s="412"/>
    </row>
    <row r="1768" spans="1:15" ht="12.75" hidden="1" customHeight="1" outlineLevel="1" x14ac:dyDescent="0.25">
      <c r="A1768" s="1509">
        <v>0.02</v>
      </c>
      <c r="B1768" s="1505" t="s">
        <v>1188</v>
      </c>
      <c r="C1768" s="455">
        <v>4.8975999999999997</v>
      </c>
      <c r="D1768" s="1597">
        <f>VLOOKUP(H1768,indexy!$C$44:$D$823,2,FALSE)/100</f>
        <v>4.9569999999999999</v>
      </c>
      <c r="E1768" s="1463">
        <f t="shared" ref="E1768:E1795" si="1">D1768/C1768-1</f>
        <v>1.2128389415223761E-2</v>
      </c>
      <c r="F1768" s="1494">
        <f t="shared" si="0"/>
        <v>2.4256778830447523E-4</v>
      </c>
      <c r="G1768" s="415"/>
      <c r="H1768" s="415" t="str">
        <f>VLOOKUP(B1768,indexy!$A$44:$D$823,3,FALSE)</f>
        <v>BP/ LN Equity</v>
      </c>
      <c r="I1768" s="412"/>
    </row>
    <row r="1769" spans="1:15" ht="12.75" hidden="1" customHeight="1" outlineLevel="1" x14ac:dyDescent="0.25">
      <c r="A1769" s="1509">
        <v>0.02</v>
      </c>
      <c r="B1769" s="1505" t="s">
        <v>8918</v>
      </c>
      <c r="C1769" s="455">
        <v>2.7570999999999999</v>
      </c>
      <c r="D1769" s="1597">
        <f>VLOOKUP(H1769,indexy!$C$44:$D$823,2,FALSE)/100</f>
        <v>1.0965</v>
      </c>
      <c r="E1769" s="1463">
        <f t="shared" si="1"/>
        <v>-0.60229951760908196</v>
      </c>
      <c r="F1769" s="1494">
        <f t="shared" si="0"/>
        <v>-1.2045990352181639E-2</v>
      </c>
      <c r="G1769" s="415"/>
      <c r="H1769" s="415" t="str">
        <f>VLOOKUP(B1769,indexy!$A$44:$D$823,3,FALSE)</f>
        <v>BT/A LN Equity</v>
      </c>
      <c r="I1769" s="412"/>
      <c r="K1769" s="37"/>
    </row>
    <row r="1770" spans="1:15" ht="12.75" hidden="1" customHeight="1" outlineLevel="1" x14ac:dyDescent="0.25">
      <c r="A1770" s="1509">
        <v>0.02</v>
      </c>
      <c r="B1770" s="1505" t="s">
        <v>5246</v>
      </c>
      <c r="C1770" s="455">
        <v>19.721</v>
      </c>
      <c r="D1770" s="1597">
        <f>VLOOKUP(H1770,indexy!$C$44:$D$823,2,FALSE)</f>
        <v>1.56</v>
      </c>
      <c r="E1770" s="1463">
        <f t="shared" si="1"/>
        <v>-0.92089650626235997</v>
      </c>
      <c r="F1770" s="1494">
        <f t="shared" si="0"/>
        <v>-1.8417930125247201E-2</v>
      </c>
      <c r="G1770" s="415"/>
      <c r="H1770" s="415" t="str">
        <f>VLOOKUP(B1770,indexy!$A$44:$D$823,3,FALSE)</f>
        <v>LUMN US Equity</v>
      </c>
      <c r="I1770" s="412"/>
    </row>
    <row r="1771" spans="1:15" ht="12.75" hidden="1" customHeight="1" outlineLevel="1" x14ac:dyDescent="0.25">
      <c r="A1771" s="1509">
        <v>0.02</v>
      </c>
      <c r="B1771" s="1505" t="s">
        <v>8678</v>
      </c>
      <c r="C1771" s="455">
        <v>77.134</v>
      </c>
      <c r="D1771" s="1597">
        <f>VLOOKUP(H1771,indexy!$C$44:$D$823,2,FALSE)</f>
        <v>120.34</v>
      </c>
      <c r="E1771" s="1463">
        <f t="shared" si="1"/>
        <v>0.56014209038815577</v>
      </c>
      <c r="F1771" s="1494">
        <f t="shared" si="0"/>
        <v>1.1202841807763115E-2</v>
      </c>
      <c r="G1771" s="415"/>
      <c r="H1771" s="415" t="str">
        <f>VLOOKUP(B1771,indexy!$A$44:$D$823,3,FALSE)</f>
        <v>CBA AT Equity</v>
      </c>
      <c r="I1771" s="412"/>
    </row>
    <row r="1772" spans="1:15" ht="12.75" hidden="1" customHeight="1" outlineLevel="1" x14ac:dyDescent="0.25">
      <c r="A1772" s="1509">
        <v>0.02</v>
      </c>
      <c r="B1772" s="1505" t="s">
        <v>4025</v>
      </c>
      <c r="C1772" s="455">
        <v>68.466999999999999</v>
      </c>
      <c r="D1772" s="1597">
        <f>VLOOKUP(H1772,indexy!$C$44:$D$823,2,FALSE)</f>
        <v>73.94</v>
      </c>
      <c r="E1772" s="1463">
        <f t="shared" si="1"/>
        <v>7.9936319686856327E-2</v>
      </c>
      <c r="F1772" s="1494">
        <f t="shared" si="0"/>
        <v>1.5987263937371266E-3</v>
      </c>
      <c r="G1772" s="415"/>
      <c r="H1772" s="415" t="str">
        <f>VLOOKUP(B1772,indexy!$A$44:$D$823,3,FALSE)</f>
        <v>MBG GR Equity</v>
      </c>
      <c r="I1772" s="412"/>
    </row>
    <row r="1773" spans="1:15" ht="12.75" hidden="1" customHeight="1" outlineLevel="1" x14ac:dyDescent="0.25">
      <c r="A1773" s="1509">
        <v>7.0000000000000007E-2</v>
      </c>
      <c r="B1773" s="1505" t="s">
        <v>6821</v>
      </c>
      <c r="C1773" s="455">
        <v>3.7292000000000001</v>
      </c>
      <c r="D1773" s="1597">
        <f>VLOOKUP(H1773,indexy!$C$44:$D$823,2,FALSE)/100</f>
        <v>1.9505000000000001</v>
      </c>
      <c r="E1773" s="1463">
        <f t="shared" si="1"/>
        <v>-0.4769655690228467</v>
      </c>
      <c r="F1773" s="1494">
        <f t="shared" si="0"/>
        <v>-3.3387589831599271E-2</v>
      </c>
      <c r="G1773" s="415"/>
      <c r="H1773" s="415" t="str">
        <f>VLOOKUP(B1773,indexy!$A$44:$D$823,3,FALSE)</f>
        <v>DLG LN Equity</v>
      </c>
      <c r="I1773" s="412"/>
    </row>
    <row r="1774" spans="1:15" ht="12.75" hidden="1" customHeight="1" outlineLevel="1" x14ac:dyDescent="0.25">
      <c r="A1774" s="1509">
        <v>0.08</v>
      </c>
      <c r="B1774" s="1505" t="s">
        <v>6267</v>
      </c>
      <c r="C1774" s="455">
        <v>23.999500000000001</v>
      </c>
      <c r="D1774" s="1597">
        <f>VLOOKUP(H1774,indexy!$C$44:$D$823,2,FALSE)</f>
        <v>13.765000000000001</v>
      </c>
      <c r="E1774" s="1463">
        <f t="shared" si="1"/>
        <v>-0.42644638429967296</v>
      </c>
      <c r="F1774" s="1494">
        <f t="shared" si="0"/>
        <v>-3.4115710743973841E-2</v>
      </c>
      <c r="G1774" s="415"/>
      <c r="H1774" s="415" t="str">
        <f>VLOOKUP(B1774,indexy!$A$44:$D$823,3,FALSE)</f>
        <v>ENG SQ Equity</v>
      </c>
      <c r="I1774" s="412"/>
    </row>
    <row r="1775" spans="1:15" ht="12.75" hidden="1" customHeight="1" outlineLevel="1" x14ac:dyDescent="0.25">
      <c r="A1775" s="1509">
        <v>0.03</v>
      </c>
      <c r="B1775" s="1505" t="s">
        <v>4268</v>
      </c>
      <c r="C1775" s="455">
        <v>17.687000000000001</v>
      </c>
      <c r="D1775" s="1597">
        <f>VLOOKUP(H1775,indexy!$C$44:$D$823,2,FALSE)</f>
        <v>11.445</v>
      </c>
      <c r="E1775" s="1463">
        <f t="shared" si="1"/>
        <v>-0.35291457002318094</v>
      </c>
      <c r="F1775" s="1494">
        <f t="shared" si="0"/>
        <v>-1.0587437100695428E-2</v>
      </c>
      <c r="G1775" s="415"/>
      <c r="H1775" s="415" t="str">
        <f>VLOOKUP(B1775,indexy!$A$44:$D$823,3,FALSE)</f>
        <v>FORTUM FH Equity</v>
      </c>
      <c r="I1775" s="412"/>
    </row>
    <row r="1776" spans="1:15" ht="12.75" hidden="1" customHeight="1" outlineLevel="1" x14ac:dyDescent="0.25">
      <c r="A1776" s="1509">
        <v>0.02</v>
      </c>
      <c r="B1776" s="1505" t="s">
        <v>6902</v>
      </c>
      <c r="C1776" s="455">
        <v>2.6448999999999998</v>
      </c>
      <c r="D1776" s="1597">
        <f>VLOOKUP(H1776,indexy!$C$44:$D$823,2,FALSE)/100</f>
        <v>2.544</v>
      </c>
      <c r="E1776" s="1463">
        <f t="shared" si="1"/>
        <v>-3.8148890317214135E-2</v>
      </c>
      <c r="F1776" s="1494">
        <f t="shared" si="0"/>
        <v>-7.6297780634428276E-4</v>
      </c>
      <c r="G1776" s="415"/>
      <c r="H1776" s="415" t="str">
        <f>VLOOKUP(B1776,indexy!$A$44:$D$823,3,FALSE)</f>
        <v>LGEN LN Equity</v>
      </c>
      <c r="I1776" s="412"/>
    </row>
    <row r="1777" spans="1:9" ht="12.75" hidden="1" customHeight="1" outlineLevel="1" x14ac:dyDescent="0.25">
      <c r="A1777" s="1509">
        <v>0.02</v>
      </c>
      <c r="B1777" s="1505" t="s">
        <v>8261</v>
      </c>
      <c r="C1777" s="455">
        <v>161.97999999999999</v>
      </c>
      <c r="D1777" s="1597">
        <f>VLOOKUP(H1777,indexy!$C$44:$D$823,2,FALSE)</f>
        <v>198.95</v>
      </c>
      <c r="E1777" s="1463">
        <f t="shared" si="1"/>
        <v>0.22823805408075071</v>
      </c>
      <c r="F1777" s="1494">
        <f t="shared" si="0"/>
        <v>4.5647610816150139E-3</v>
      </c>
      <c r="G1777" s="415"/>
      <c r="H1777" s="415" t="str">
        <f>VLOOKUP(B1777,indexy!$A$44:$D$823,3,FALSE)</f>
        <v>MOWI NO Equity</v>
      </c>
      <c r="I1777" s="412"/>
    </row>
    <row r="1778" spans="1:9" ht="12.75" hidden="1" customHeight="1" outlineLevel="1" x14ac:dyDescent="0.25">
      <c r="A1778" s="1509">
        <v>0.02</v>
      </c>
      <c r="B1778" s="1505" t="s">
        <v>5196</v>
      </c>
      <c r="C1778" s="1507">
        <v>50.063000000000002</v>
      </c>
      <c r="D1778" s="1597">
        <f>VLOOKUP(H1778,indexy!$C$44:$D$823,2,FALSE)/100</f>
        <v>92.32</v>
      </c>
      <c r="E1778" s="1463">
        <f t="shared" si="1"/>
        <v>0.84407646365579359</v>
      </c>
      <c r="F1778" s="1494">
        <f t="shared" si="0"/>
        <v>1.6881529273115873E-2</v>
      </c>
      <c r="G1778" s="415"/>
      <c r="H1778" s="415" t="str">
        <f>VLOOKUP(B1778,indexy!$A$44:$D$823,3,FALSE)</f>
        <v>NXT LN Equity</v>
      </c>
      <c r="I1778" s="412"/>
    </row>
    <row r="1779" spans="1:9" ht="12.75" hidden="1" customHeight="1" outlineLevel="1" x14ac:dyDescent="0.25">
      <c r="A1779" s="1509">
        <v>0.02</v>
      </c>
      <c r="B1779" s="1505" t="s">
        <v>8527</v>
      </c>
      <c r="C1779" s="455">
        <v>35.884999999999998</v>
      </c>
      <c r="D1779" s="1597">
        <f>VLOOKUP(H1779,indexy!$C$44:$D$823,2,FALSE)</f>
        <v>42.82</v>
      </c>
      <c r="E1779" s="1463">
        <f t="shared" si="1"/>
        <v>0.19325623519576429</v>
      </c>
      <c r="F1779" s="1494">
        <f t="shared" si="0"/>
        <v>3.865124703915286E-3</v>
      </c>
      <c r="G1779" s="415"/>
      <c r="H1779" s="415" t="str">
        <f>VLOOKUP(B1779,indexy!$A$44:$D$823,3,FALSE)</f>
        <v>NN NA Equity</v>
      </c>
      <c r="I1779" s="412"/>
    </row>
    <row r="1780" spans="1:9" ht="12.75" hidden="1" customHeight="1" outlineLevel="1" x14ac:dyDescent="0.25">
      <c r="A1780" s="1509">
        <v>0.02</v>
      </c>
      <c r="B1780" s="1505" t="s">
        <v>1203</v>
      </c>
      <c r="C1780" s="455">
        <v>109.41</v>
      </c>
      <c r="D1780" s="1597">
        <f>VLOOKUP(H1780,indexy!$C$44:$D$823,2,FALSE)</f>
        <v>119.2</v>
      </c>
      <c r="E1780" s="1463">
        <f t="shared" si="1"/>
        <v>8.9479937848460089E-2</v>
      </c>
      <c r="F1780" s="1494">
        <f t="shared" si="0"/>
        <v>1.7895987569692018E-3</v>
      </c>
      <c r="G1780" s="415"/>
      <c r="H1780" s="415" t="str">
        <f>VLOOKUP(B1780,indexy!$A$44:$D$823,3,FALSE)</f>
        <v>NDA SS Equity</v>
      </c>
      <c r="I1780" s="412"/>
    </row>
    <row r="1781" spans="1:9" ht="12.75" hidden="1" customHeight="1" outlineLevel="1" x14ac:dyDescent="0.25">
      <c r="A1781" s="1509">
        <v>0.04</v>
      </c>
      <c r="B1781" s="1505" t="s">
        <v>7433</v>
      </c>
      <c r="C1781" s="455">
        <v>29.961500000000001</v>
      </c>
      <c r="D1781" s="1597">
        <f>VLOOKUP(H1781,indexy!$C$44:$D$823,2,FALSE)</f>
        <v>6.5119999999999996</v>
      </c>
      <c r="E1781" s="1463">
        <f t="shared" si="1"/>
        <v>-0.78265440648832674</v>
      </c>
      <c r="F1781" s="1494">
        <f t="shared" si="0"/>
        <v>-3.1306176259533067E-2</v>
      </c>
      <c r="G1781" s="415"/>
      <c r="H1781" s="415" t="str">
        <f>VLOOKUP(B1781,indexy!$A$44:$D$823,3,FALSE)</f>
        <v>PSM GY Equity</v>
      </c>
      <c r="I1781" s="412"/>
    </row>
    <row r="1782" spans="1:9" ht="12.75" hidden="1" customHeight="1" outlineLevel="1" x14ac:dyDescent="0.25">
      <c r="A1782" s="1509">
        <v>0.03</v>
      </c>
      <c r="B1782" s="1505" t="s">
        <v>8919</v>
      </c>
      <c r="C1782" s="455">
        <v>3.8633999999999999</v>
      </c>
      <c r="D1782" s="1597">
        <f>VLOOKUP(H1782,indexy!$C$44:$D$823,2,FALSE)/100</f>
        <v>2.2930000000000001</v>
      </c>
      <c r="E1782" s="1463">
        <f t="shared" si="1"/>
        <v>-0.40648133768183459</v>
      </c>
      <c r="F1782" s="1494">
        <f t="shared" si="0"/>
        <v>-1.2194440130455036E-2</v>
      </c>
      <c r="G1782" s="415"/>
      <c r="H1782" s="415" t="str">
        <f>VLOOKUP(B1782,indexy!$A$44:$D$823,3,FALSE)</f>
        <v>IDS LN Equity</v>
      </c>
      <c r="I1782" s="412"/>
    </row>
    <row r="1783" spans="1:9" ht="12.75" hidden="1" customHeight="1" outlineLevel="1" x14ac:dyDescent="0.25">
      <c r="A1783" s="1509">
        <v>0.03</v>
      </c>
      <c r="B1783" s="1505" t="s">
        <v>6270</v>
      </c>
      <c r="C1783" s="455">
        <v>45.646000000000001</v>
      </c>
      <c r="D1783" s="1597">
        <f>VLOOKUP(H1783,indexy!$C$44:$D$823,2,FALSE)</f>
        <v>39.515000000000001</v>
      </c>
      <c r="E1783" s="1463">
        <f t="shared" si="1"/>
        <v>-0.13431625991324536</v>
      </c>
      <c r="F1783" s="1494">
        <f t="shared" si="0"/>
        <v>-4.0294877973973608E-3</v>
      </c>
      <c r="G1783" s="415"/>
      <c r="H1783" s="415" t="str">
        <f>VLOOKUP(B1783,indexy!$A$44:$D$823,3,FALSE)</f>
        <v>SAMPO FH Equity</v>
      </c>
      <c r="I1783" s="412"/>
    </row>
    <row r="1784" spans="1:9" ht="12.75" hidden="1" customHeight="1" outlineLevel="1" x14ac:dyDescent="0.25">
      <c r="A1784" s="1509">
        <v>0.05</v>
      </c>
      <c r="B1784" s="1505" t="s">
        <v>6524</v>
      </c>
      <c r="C1784" s="455">
        <v>104.99</v>
      </c>
      <c r="D1784" s="1597">
        <f>VLOOKUP(H1784,indexy!$C$44:$D$823,2,FALSE)</f>
        <v>144.94999999999999</v>
      </c>
      <c r="E1784" s="1463">
        <f t="shared" si="1"/>
        <v>0.38060767692161157</v>
      </c>
      <c r="F1784" s="1494">
        <f t="shared" si="0"/>
        <v>1.9030383846080579E-2</v>
      </c>
      <c r="G1784" s="415"/>
      <c r="H1784" s="415" t="str">
        <f>VLOOKUP(B1784,indexy!$A$44:$D$823,3,FALSE)</f>
        <v>SEBA SS Equity</v>
      </c>
      <c r="I1784" s="412"/>
    </row>
    <row r="1785" spans="1:9" ht="12.75" hidden="1" customHeight="1" outlineLevel="1" x14ac:dyDescent="0.25">
      <c r="A1785" s="1509">
        <v>0.06</v>
      </c>
      <c r="B1785" s="1505" t="s">
        <v>6116</v>
      </c>
      <c r="C1785" s="455">
        <v>4.1852</v>
      </c>
      <c r="D1785" s="1597">
        <f>VLOOKUP(H1785,indexy!$C$44:$D$823,2,FALSE)</f>
        <v>4.3760000000000003</v>
      </c>
      <c r="E1785" s="1463">
        <f t="shared" si="1"/>
        <v>4.5589219153206573E-2</v>
      </c>
      <c r="F1785" s="1494">
        <f t="shared" si="0"/>
        <v>2.7353531491923944E-3</v>
      </c>
      <c r="G1785" s="415"/>
      <c r="H1785" s="415" t="str">
        <f>VLOOKUP(B1785,indexy!$A$44:$D$823,3,FALSE)</f>
        <v>SRG IM Equity</v>
      </c>
      <c r="I1785" s="412"/>
    </row>
    <row r="1786" spans="1:9" ht="12.75" hidden="1" customHeight="1" outlineLevel="1" x14ac:dyDescent="0.25">
      <c r="A1786" s="1509">
        <v>0.04</v>
      </c>
      <c r="B1786" s="1505" t="s">
        <v>1857</v>
      </c>
      <c r="C1786" s="455">
        <v>13.824</v>
      </c>
      <c r="D1786" s="1597">
        <f>VLOOKUP(H1786,indexy!$C$44:$D$823,2,FALSE)/100</f>
        <v>16.5</v>
      </c>
      <c r="E1786" s="1463">
        <f t="shared" si="1"/>
        <v>0.19357638888888884</v>
      </c>
      <c r="F1786" s="1494">
        <f t="shared" si="0"/>
        <v>7.7430555555555534E-3</v>
      </c>
      <c r="G1786" s="415"/>
      <c r="H1786" s="415" t="str">
        <f>VLOOKUP(B1786,indexy!$A$44:$D$823,3,FALSE)</f>
        <v>SSE LN Equity</v>
      </c>
      <c r="I1786" s="412"/>
    </row>
    <row r="1787" spans="1:9" ht="12.75" hidden="1" customHeight="1" outlineLevel="1" x14ac:dyDescent="0.25">
      <c r="A1787" s="1509">
        <v>0.08</v>
      </c>
      <c r="B1787" s="1505" t="s">
        <v>8920</v>
      </c>
      <c r="C1787" s="455">
        <v>90.4</v>
      </c>
      <c r="D1787" s="1597">
        <f>VLOOKUP(H1787,indexy!$C$44:$D$823,2,FALSE)</f>
        <v>115.95</v>
      </c>
      <c r="E1787" s="1463">
        <f t="shared" si="1"/>
        <v>0.28263274336283173</v>
      </c>
      <c r="F1787" s="1494">
        <f t="shared" si="0"/>
        <v>2.2610619469026538E-2</v>
      </c>
      <c r="G1787" s="415"/>
      <c r="H1787" s="415" t="str">
        <f>VLOOKUP(B1787,indexy!$A$44:$D$823,3,FALSE)</f>
        <v>SREN SW Equity</v>
      </c>
      <c r="I1787" s="412"/>
    </row>
    <row r="1788" spans="1:9" ht="12.75" hidden="1" customHeight="1" outlineLevel="1" x14ac:dyDescent="0.25">
      <c r="A1788" s="1509">
        <v>0.02</v>
      </c>
      <c r="B1788" s="1505" t="s">
        <v>3383</v>
      </c>
      <c r="C1788" s="455">
        <v>164.83</v>
      </c>
      <c r="D1788" s="1597">
        <f>VLOOKUP(H1788,indexy!$C$44:$D$823,2,FALSE)</f>
        <v>120.75</v>
      </c>
      <c r="E1788" s="1463">
        <f t="shared" si="1"/>
        <v>-0.26742704604744283</v>
      </c>
      <c r="F1788" s="1494">
        <f t="shared" si="0"/>
        <v>-5.3485409209488568E-3</v>
      </c>
      <c r="G1788" s="415"/>
      <c r="H1788" s="415" t="str">
        <f>VLOOKUP(B1788,indexy!$A$44:$D$823,3,FALSE)</f>
        <v>TEL NO Equity</v>
      </c>
      <c r="I1788" s="412"/>
    </row>
    <row r="1789" spans="1:9" ht="12.75" hidden="1" customHeight="1" outlineLevel="1" x14ac:dyDescent="0.25">
      <c r="A1789" s="1509">
        <v>0.08</v>
      </c>
      <c r="B1789" s="1505" t="s">
        <v>434</v>
      </c>
      <c r="C1789" s="455">
        <v>39.185000000000002</v>
      </c>
      <c r="D1789" s="1597">
        <f>VLOOKUP(H1789,indexy!$C$44:$D$823,2,FALSE)</f>
        <v>27.43</v>
      </c>
      <c r="E1789" s="1463">
        <f t="shared" si="1"/>
        <v>-0.29998724001531207</v>
      </c>
      <c r="F1789" s="1494">
        <f t="shared" si="0"/>
        <v>-2.3998979201224967E-2</v>
      </c>
      <c r="G1789" s="415"/>
      <c r="H1789" s="415" t="str">
        <f>VLOOKUP(B1789,indexy!$A$44:$D$823,3,FALSE)</f>
        <v>TELIA SS Equity</v>
      </c>
      <c r="I1789" s="412"/>
    </row>
    <row r="1790" spans="1:9" ht="12.75" hidden="1" customHeight="1" outlineLevel="1" x14ac:dyDescent="0.25">
      <c r="A1790" s="1509">
        <v>0.02</v>
      </c>
      <c r="B1790" s="1505" t="s">
        <v>5249</v>
      </c>
      <c r="C1790" s="455">
        <v>3.4980000000000002</v>
      </c>
      <c r="D1790" s="1597">
        <f>VLOOKUP(H1790,indexy!$C$44:$D$823,2,FALSE)</f>
        <v>3.86</v>
      </c>
      <c r="E1790" s="1463">
        <f t="shared" si="1"/>
        <v>0.10348770726129208</v>
      </c>
      <c r="F1790" s="1494">
        <f t="shared" si="0"/>
        <v>2.0697541452258418E-3</v>
      </c>
      <c r="G1790" s="415"/>
      <c r="H1790" s="415" t="str">
        <f>VLOOKUP(B1790,indexy!$A$44:$D$823,3,FALSE)</f>
        <v>TLS AT Equity</v>
      </c>
      <c r="I1790" s="412"/>
    </row>
    <row r="1791" spans="1:9" ht="12.75" hidden="1" customHeight="1" outlineLevel="1" x14ac:dyDescent="0.25">
      <c r="A1791" s="1509">
        <v>0.02</v>
      </c>
      <c r="B1791" s="1505" t="s">
        <v>10633</v>
      </c>
      <c r="C1791" s="455">
        <v>45.759</v>
      </c>
      <c r="D1791" s="1597">
        <f>VLOOKUP(H1791,indexy!$C$44:$D$823,2,FALSE)</f>
        <v>63.47</v>
      </c>
      <c r="E1791" s="1463">
        <f t="shared" si="1"/>
        <v>0.38704954216656828</v>
      </c>
      <c r="F1791" s="1494">
        <f>E1791*A1791</f>
        <v>7.7409908433313662E-3</v>
      </c>
      <c r="G1791" s="415"/>
      <c r="H1791" s="415" t="str">
        <f>VLOOKUP(B1791,indexy!$A$44:$D$823,3,FALSE)</f>
        <v>TTE FP Equity</v>
      </c>
      <c r="I1791" s="412"/>
    </row>
    <row r="1792" spans="1:9" ht="12.75" hidden="1" customHeight="1" outlineLevel="1" x14ac:dyDescent="0.25">
      <c r="A1792" s="1509">
        <v>0.02</v>
      </c>
      <c r="B1792" s="1505" t="s">
        <v>255</v>
      </c>
      <c r="C1792" s="455">
        <v>48.642000000000003</v>
      </c>
      <c r="D1792" s="1597">
        <f>VLOOKUP(H1792,indexy!$C$44:$D$823,2,FALSE)</f>
        <v>41.96</v>
      </c>
      <c r="E1792" s="1463">
        <f t="shared" si="1"/>
        <v>-0.13737099625837756</v>
      </c>
      <c r="F1792" s="1494">
        <f>E1792*A1792</f>
        <v>-2.7474199251675512E-3</v>
      </c>
      <c r="G1792" s="415"/>
      <c r="H1792" s="415" t="str">
        <f>VLOOKUP(B1792,indexy!$A$44:$D$823,3,FALSE)</f>
        <v>VZ UN Equity</v>
      </c>
      <c r="I1792" s="412"/>
    </row>
    <row r="1793" spans="1:9" ht="12.75" hidden="1" customHeight="1" outlineLevel="1" x14ac:dyDescent="0.25">
      <c r="A1793" s="1509">
        <v>0.02</v>
      </c>
      <c r="B1793" s="1505" t="s">
        <v>579</v>
      </c>
      <c r="C1793" s="455">
        <v>2.1490999999999998</v>
      </c>
      <c r="D1793" s="1597">
        <f>VLOOKUP(H1793,indexy!$C$44:$D$823,2,FALSE)/100</f>
        <v>0.70459999999999989</v>
      </c>
      <c r="E1793" s="1463">
        <f t="shared" si="1"/>
        <v>-0.67214182681122336</v>
      </c>
      <c r="F1793" s="1494">
        <f>E1793*A1793</f>
        <v>-1.3442836536224467E-2</v>
      </c>
      <c r="G1793" s="415"/>
      <c r="H1793" s="415" t="str">
        <f>VLOOKUP(B1793,indexy!$A$44:$D$823,3,FALSE)</f>
        <v>VOD LN Equity</v>
      </c>
      <c r="I1793" s="412"/>
    </row>
    <row r="1794" spans="1:9" ht="12.75" hidden="1" customHeight="1" outlineLevel="1" x14ac:dyDescent="0.25">
      <c r="A1794" s="1509">
        <v>0.02</v>
      </c>
      <c r="B1794" s="1505" t="s">
        <v>5626</v>
      </c>
      <c r="C1794" s="455">
        <v>32.866</v>
      </c>
      <c r="D1794" s="1597">
        <f>VLOOKUP(H1794,indexy!$C$44:$D$823,2,FALSE)</f>
        <v>26.1</v>
      </c>
      <c r="E1794" s="1463">
        <f t="shared" si="1"/>
        <v>-0.2058662447514148</v>
      </c>
      <c r="F1794" s="1494">
        <f>E1794*A1794</f>
        <v>-4.1173248950282957E-3</v>
      </c>
      <c r="G1794" s="415"/>
      <c r="H1794" s="415" t="str">
        <f>VLOOKUP(B1794,indexy!$A$44:$D$823,3,FALSE)</f>
        <v>WBC AT Equity</v>
      </c>
      <c r="I1794" s="412"/>
    </row>
    <row r="1795" spans="1:9" ht="12.75" hidden="1" customHeight="1" outlineLevel="1" x14ac:dyDescent="0.25">
      <c r="A1795" s="135">
        <v>0.05</v>
      </c>
      <c r="B1795" s="1465" t="s">
        <v>6338</v>
      </c>
      <c r="C1795" s="472">
        <v>294.27999999999997</v>
      </c>
      <c r="D1795" s="1598">
        <f>VLOOKUP(H1795,indexy!$C$44:$D$823,2,FALSE)</f>
        <v>486.3</v>
      </c>
      <c r="E1795" s="1463">
        <f t="shared" si="1"/>
        <v>0.65250781568574157</v>
      </c>
      <c r="F1795" s="1494">
        <f>E1795*A1795</f>
        <v>3.2625390784287077E-2</v>
      </c>
      <c r="G1795" s="415"/>
      <c r="H1795" s="415" t="str">
        <f>VLOOKUP(B1795,indexy!$A$44:$D$823,3,FALSE)</f>
        <v>ZURN SW Equity</v>
      </c>
      <c r="I1795" s="412"/>
    </row>
    <row r="1796" spans="1:9" ht="12.75" hidden="1" customHeight="1" outlineLevel="1" x14ac:dyDescent="0.25">
      <c r="A1796" s="1475" t="s">
        <v>2734</v>
      </c>
      <c r="B1796" s="150"/>
      <c r="C1796" s="1476">
        <v>100</v>
      </c>
      <c r="D1796" s="1477"/>
      <c r="E1796" s="1599"/>
      <c r="F1796" s="1599">
        <f>SUM(F1766:F1795)</f>
        <v>-5.4250858252187985E-2</v>
      </c>
      <c r="G1796" s="12"/>
      <c r="H1796" s="415"/>
    </row>
    <row r="1797" spans="1:9" ht="12.75" hidden="1" customHeight="1" outlineLevel="1" x14ac:dyDescent="0.25">
      <c r="A1797" s="221" t="s">
        <v>8929</v>
      </c>
      <c r="B1797" s="1478">
        <v>45292</v>
      </c>
      <c r="C1797" s="1497">
        <v>100</v>
      </c>
      <c r="D1797" s="1497"/>
      <c r="E1797" s="1498">
        <f>IF(D1797="",F1796,D1797/C1797-1)</f>
        <v>-5.4250858252187985E-2</v>
      </c>
      <c r="F1797" s="1499"/>
      <c r="G1797" s="12"/>
      <c r="H1797" s="415"/>
    </row>
    <row r="1798" spans="1:9" ht="12.75" hidden="1" customHeight="1" outlineLevel="1" x14ac:dyDescent="0.25">
      <c r="A1798" s="221" t="s">
        <v>8930</v>
      </c>
      <c r="B1798" s="1478">
        <v>45323</v>
      </c>
      <c r="C1798" s="1497">
        <v>100</v>
      </c>
      <c r="D1798" s="1500"/>
      <c r="E1798" s="1498">
        <f>IF(D1798="",E1797,D1798/C1798-1)</f>
        <v>-5.4250858252187985E-2</v>
      </c>
      <c r="F1798" s="1499"/>
      <c r="G1798" s="12"/>
      <c r="H1798" s="415"/>
    </row>
    <row r="1799" spans="1:9" ht="12.75" hidden="1" customHeight="1" outlineLevel="1" x14ac:dyDescent="0.25">
      <c r="A1799" s="221" t="s">
        <v>8931</v>
      </c>
      <c r="B1799" s="1478">
        <v>45352</v>
      </c>
      <c r="C1799" s="1497">
        <v>100</v>
      </c>
      <c r="D1799" s="1500"/>
      <c r="E1799" s="1498">
        <f t="shared" ref="E1799:E1806" si="2">IF(D1799="",E1798,D1799/C1799-1)</f>
        <v>-5.4250858252187985E-2</v>
      </c>
      <c r="F1799" s="1499"/>
      <c r="G1799" s="12"/>
      <c r="H1799" s="415"/>
    </row>
    <row r="1800" spans="1:9" ht="12.75" hidden="1" customHeight="1" outlineLevel="1" x14ac:dyDescent="0.25">
      <c r="A1800" s="221" t="s">
        <v>8932</v>
      </c>
      <c r="B1800" s="1478">
        <v>45383</v>
      </c>
      <c r="C1800" s="1497">
        <v>100</v>
      </c>
      <c r="D1800" s="1500"/>
      <c r="E1800" s="1498">
        <f t="shared" si="2"/>
        <v>-5.4250858252187985E-2</v>
      </c>
      <c r="F1800" s="1499"/>
      <c r="G1800" s="12"/>
      <c r="H1800" s="415"/>
    </row>
    <row r="1801" spans="1:9" ht="12.75" hidden="1" customHeight="1" outlineLevel="1" x14ac:dyDescent="0.25">
      <c r="A1801" s="221" t="s">
        <v>8933</v>
      </c>
      <c r="B1801" s="1478">
        <v>45413</v>
      </c>
      <c r="C1801" s="1497">
        <v>100</v>
      </c>
      <c r="D1801" s="1500"/>
      <c r="E1801" s="1498">
        <f t="shared" si="2"/>
        <v>-5.4250858252187985E-2</v>
      </c>
      <c r="F1801" s="1499"/>
      <c r="G1801" s="12"/>
      <c r="H1801" s="415"/>
    </row>
    <row r="1802" spans="1:9" ht="12.75" hidden="1" customHeight="1" outlineLevel="1" x14ac:dyDescent="0.25">
      <c r="A1802" s="221" t="s">
        <v>8934</v>
      </c>
      <c r="B1802" s="1478">
        <v>45444</v>
      </c>
      <c r="C1802" s="1497">
        <v>100</v>
      </c>
      <c r="D1802" s="1500"/>
      <c r="E1802" s="1498">
        <f t="shared" si="2"/>
        <v>-5.4250858252187985E-2</v>
      </c>
      <c r="F1802" s="1499"/>
      <c r="G1802" s="12"/>
      <c r="H1802" s="415"/>
    </row>
    <row r="1803" spans="1:9" ht="12.75" hidden="1" customHeight="1" outlineLevel="1" x14ac:dyDescent="0.25">
      <c r="A1803" s="221" t="s">
        <v>8935</v>
      </c>
      <c r="B1803" s="1478">
        <v>45474</v>
      </c>
      <c r="C1803" s="1497">
        <v>100</v>
      </c>
      <c r="D1803" s="1500"/>
      <c r="E1803" s="1498">
        <f t="shared" si="2"/>
        <v>-5.4250858252187985E-2</v>
      </c>
      <c r="F1803" s="1499"/>
      <c r="G1803" s="12"/>
      <c r="H1803" s="415"/>
    </row>
    <row r="1804" spans="1:9" ht="12.75" hidden="1" customHeight="1" outlineLevel="1" x14ac:dyDescent="0.25">
      <c r="A1804" s="221" t="s">
        <v>8936</v>
      </c>
      <c r="B1804" s="1478">
        <v>45505</v>
      </c>
      <c r="C1804" s="1497">
        <v>100</v>
      </c>
      <c r="D1804" s="1500"/>
      <c r="E1804" s="1498">
        <f t="shared" si="2"/>
        <v>-5.4250858252187985E-2</v>
      </c>
      <c r="F1804" s="1499"/>
      <c r="G1804" s="12"/>
      <c r="H1804" s="415"/>
    </row>
    <row r="1805" spans="1:9" ht="12.75" hidden="1" customHeight="1" outlineLevel="1" x14ac:dyDescent="0.25">
      <c r="A1805" s="221" t="s">
        <v>8937</v>
      </c>
      <c r="B1805" s="1478">
        <v>45536</v>
      </c>
      <c r="C1805" s="1497">
        <v>100</v>
      </c>
      <c r="D1805" s="1500"/>
      <c r="E1805" s="1498">
        <f t="shared" si="2"/>
        <v>-5.4250858252187985E-2</v>
      </c>
      <c r="F1805" s="1499"/>
      <c r="G1805" s="12"/>
      <c r="H1805" s="415"/>
    </row>
    <row r="1806" spans="1:9" ht="12.75" hidden="1" customHeight="1" outlineLevel="1" x14ac:dyDescent="0.25">
      <c r="A1806" s="221" t="s">
        <v>8938</v>
      </c>
      <c r="B1806" s="1478">
        <v>45566</v>
      </c>
      <c r="C1806" s="1497">
        <v>100</v>
      </c>
      <c r="D1806" s="1500"/>
      <c r="E1806" s="1498">
        <f t="shared" si="2"/>
        <v>-5.4250858252187985E-2</v>
      </c>
      <c r="F1806" s="1499"/>
      <c r="G1806" s="12"/>
      <c r="H1806" s="415"/>
    </row>
    <row r="1807" spans="1:9" ht="12.75" hidden="1" customHeight="1" outlineLevel="1" x14ac:dyDescent="0.25">
      <c r="A1807" s="221" t="s">
        <v>8939</v>
      </c>
      <c r="B1807" s="1478">
        <v>45597</v>
      </c>
      <c r="C1807" s="1497">
        <v>100</v>
      </c>
      <c r="D1807" s="1500"/>
      <c r="E1807" s="1498">
        <f>IF(D1807="",E1806,D1807/C1807-1)</f>
        <v>-5.4250858252187985E-2</v>
      </c>
      <c r="F1807" s="1499"/>
      <c r="G1807" s="12"/>
      <c r="H1807" s="415"/>
    </row>
    <row r="1808" spans="1:9" ht="12.75" hidden="1" customHeight="1" outlineLevel="1" x14ac:dyDescent="0.25">
      <c r="A1808" s="221" t="s">
        <v>8940</v>
      </c>
      <c r="B1808" s="1478">
        <v>45627</v>
      </c>
      <c r="C1808" s="1497">
        <v>100</v>
      </c>
      <c r="D1808" s="1500"/>
      <c r="E1808" s="1498">
        <f>IF(D1808="",E1807,D1808/C1808-1)</f>
        <v>-5.4250858252187985E-2</v>
      </c>
      <c r="F1808" s="1499"/>
      <c r="G1808" s="12"/>
      <c r="H1808" s="415"/>
    </row>
    <row r="1809" spans="1:15" ht="12.75" hidden="1" customHeight="1" outlineLevel="1" x14ac:dyDescent="0.25">
      <c r="A1809" s="1483" t="s">
        <v>2734</v>
      </c>
      <c r="B1809" s="1484"/>
      <c r="C1809" s="1500"/>
      <c r="D1809" s="1485" t="s">
        <v>2465</v>
      </c>
      <c r="E1809" s="1486">
        <f>AVERAGE(E1797:E1808)</f>
        <v>-5.4250858252187999E-2</v>
      </c>
      <c r="F1809" s="1487">
        <f>+E1809</f>
        <v>-5.4250858252187999E-2</v>
      </c>
      <c r="G1809" s="12"/>
      <c r="H1809" s="415"/>
    </row>
    <row r="1810" spans="1:15" collapsed="1" x14ac:dyDescent="0.25">
      <c r="A1810" s="3799" t="s">
        <v>8858</v>
      </c>
      <c r="B1810" s="3800"/>
      <c r="C1810" s="3800"/>
      <c r="D1810" s="3800"/>
      <c r="E1810" s="18"/>
      <c r="F1810" s="186">
        <f>IF(F1809&lt;0,-F1809*0.2,MIN(+F1809,70%))</f>
        <v>1.08501716504376E-2</v>
      </c>
      <c r="G1810" s="78"/>
    </row>
    <row r="1812" spans="1:15" ht="12.75" hidden="1" customHeight="1" outlineLevel="1" x14ac:dyDescent="0.25">
      <c r="A1812" s="1517" t="s">
        <v>4156</v>
      </c>
      <c r="B1812" s="1517" t="s">
        <v>4153</v>
      </c>
      <c r="C1812" s="1518" t="s">
        <v>112</v>
      </c>
      <c r="D1812" s="1519" t="s">
        <v>4155</v>
      </c>
      <c r="E1812" s="1517" t="s">
        <v>4154</v>
      </c>
      <c r="F1812" s="1519" t="s">
        <v>2519</v>
      </c>
      <c r="G1812" s="12"/>
      <c r="H1812" s="415"/>
      <c r="I1812" s="412"/>
      <c r="J1812" s="1462"/>
      <c r="K1812" s="1462"/>
      <c r="L1812" s="1462"/>
      <c r="M1812" s="1462"/>
      <c r="N1812" s="1462"/>
      <c r="O1812" s="1462"/>
    </row>
    <row r="1813" spans="1:15" ht="12.75" hidden="1" customHeight="1" outlineLevel="1" x14ac:dyDescent="0.25">
      <c r="A1813" s="134">
        <v>0.02</v>
      </c>
      <c r="B1813" s="211" t="s">
        <v>2697</v>
      </c>
      <c r="C1813" s="472">
        <v>15.412000000000001</v>
      </c>
      <c r="D1813" s="1596">
        <f>VLOOKUP(H1813,indexy!$C$44:$D$823,2,FALSE)</f>
        <v>23.46</v>
      </c>
      <c r="E1813" s="1466">
        <f>D1813/C1813-1</f>
        <v>0.52219050090838315</v>
      </c>
      <c r="F1813" s="1492">
        <f>E1813*A1813</f>
        <v>1.0443810018167663E-2</v>
      </c>
      <c r="G1813" s="415"/>
      <c r="H1813" s="415" t="str">
        <f>VLOOKUP(B1813,indexy!$A$44:$D$823,3,FALSE)</f>
        <v>G IM Equity</v>
      </c>
      <c r="I1813" s="412"/>
    </row>
    <row r="1814" spans="1:15" ht="12.75" hidden="1" customHeight="1" outlineLevel="1" x14ac:dyDescent="0.25">
      <c r="A1814" s="135">
        <v>0.02</v>
      </c>
      <c r="B1814" s="211" t="s">
        <v>218</v>
      </c>
      <c r="C1814" s="472">
        <v>25.125499999999999</v>
      </c>
      <c r="D1814" s="1597">
        <f>VLOOKUP(H1814,indexy!$C$44:$D$823,2,FALSE)</f>
        <v>34.814999999999998</v>
      </c>
      <c r="E1814" s="1463">
        <f>D1814/C1814-1</f>
        <v>0.3856440667847405</v>
      </c>
      <c r="F1814" s="1494">
        <f t="shared" ref="F1814:F1837" si="3">E1814*A1814</f>
        <v>7.71288133569481E-3</v>
      </c>
      <c r="G1814" s="415"/>
      <c r="H1814" s="415" t="str">
        <f>VLOOKUP(B1814,indexy!$A$44:$D$823,3,FALSE)</f>
        <v>CS FP Equity</v>
      </c>
      <c r="I1814" s="412"/>
    </row>
    <row r="1815" spans="1:15" ht="12.75" hidden="1" customHeight="1" outlineLevel="1" x14ac:dyDescent="0.25">
      <c r="A1815" s="135">
        <v>0.02</v>
      </c>
      <c r="B1815" s="211" t="s">
        <v>1188</v>
      </c>
      <c r="C1815" s="472">
        <v>5.0209999999999999</v>
      </c>
      <c r="D1815" s="1597">
        <f>VLOOKUP(H1815,indexy!$C$44:$D$823,2,FALSE)/100</f>
        <v>4.9569999999999999</v>
      </c>
      <c r="E1815" s="1463">
        <f t="shared" ref="E1815:E1842" si="4">D1815/C1815-1</f>
        <v>-1.2746464847639971E-2</v>
      </c>
      <c r="F1815" s="1494">
        <f t="shared" si="3"/>
        <v>-2.5492929695279941E-4</v>
      </c>
      <c r="G1815" s="415"/>
      <c r="H1815" s="415" t="str">
        <f>VLOOKUP(B1815,indexy!$A$44:$D$823,3,FALSE)</f>
        <v>BP/ LN Equity</v>
      </c>
      <c r="I1815" s="412"/>
    </row>
    <row r="1816" spans="1:15" ht="12.75" hidden="1" customHeight="1" outlineLevel="1" x14ac:dyDescent="0.25">
      <c r="A1816" s="135">
        <v>0.02</v>
      </c>
      <c r="B1816" s="211" t="s">
        <v>8918</v>
      </c>
      <c r="C1816" s="472">
        <v>2.4647999999999999</v>
      </c>
      <c r="D1816" s="1597">
        <f>VLOOKUP(H1816,indexy!$C$44:$D$823,2,FALSE)/100</f>
        <v>1.0965</v>
      </c>
      <c r="E1816" s="1463">
        <f t="shared" si="4"/>
        <v>-0.55513631937682573</v>
      </c>
      <c r="F1816" s="1494">
        <f t="shared" si="3"/>
        <v>-1.1102726387536515E-2</v>
      </c>
      <c r="G1816" s="415"/>
      <c r="H1816" s="415" t="str">
        <f>VLOOKUP(B1816,indexy!$A$44:$D$823,3,FALSE)</f>
        <v>BT/A LN Equity</v>
      </c>
      <c r="I1816" s="412"/>
      <c r="K1816" s="37"/>
    </row>
    <row r="1817" spans="1:15" ht="12.75" hidden="1" customHeight="1" outlineLevel="1" x14ac:dyDescent="0.25">
      <c r="A1817" s="135">
        <v>0.02</v>
      </c>
      <c r="B1817" s="211" t="s">
        <v>5246</v>
      </c>
      <c r="C1817" s="472">
        <v>15.061</v>
      </c>
      <c r="D1817" s="1597">
        <f>VLOOKUP(H1817,indexy!$C$44:$D$823,2,FALSE)</f>
        <v>1.56</v>
      </c>
      <c r="E1817" s="1463">
        <f t="shared" si="4"/>
        <v>-0.89642122037049332</v>
      </c>
      <c r="F1817" s="1494">
        <f t="shared" si="3"/>
        <v>-1.7928424407409868E-2</v>
      </c>
      <c r="G1817" s="415"/>
      <c r="H1817" s="415" t="str">
        <f>VLOOKUP(B1817,indexy!$A$44:$D$823,3,FALSE)</f>
        <v>LUMN US Equity</v>
      </c>
      <c r="I1817" s="412"/>
    </row>
    <row r="1818" spans="1:15" ht="12.75" hidden="1" customHeight="1" outlineLevel="1" x14ac:dyDescent="0.25">
      <c r="A1818" s="135">
        <v>0.02</v>
      </c>
      <c r="B1818" s="211" t="s">
        <v>8678</v>
      </c>
      <c r="C1818" s="472">
        <v>80.790999999999997</v>
      </c>
      <c r="D1818" s="1597">
        <f>VLOOKUP(H1818,indexy!$C$44:$D$823,2,FALSE)</f>
        <v>120.34</v>
      </c>
      <c r="E1818" s="1463">
        <f t="shared" si="4"/>
        <v>0.48952234778626336</v>
      </c>
      <c r="F1818" s="1494">
        <f t="shared" si="3"/>
        <v>9.7904469557252675E-3</v>
      </c>
      <c r="G1818" s="415"/>
      <c r="H1818" s="415" t="str">
        <f>VLOOKUP(B1818,indexy!$A$44:$D$823,3,FALSE)</f>
        <v>CBA AT Equity</v>
      </c>
      <c r="I1818" s="412"/>
    </row>
    <row r="1819" spans="1:15" ht="12.75" hidden="1" customHeight="1" outlineLevel="1" x14ac:dyDescent="0.25">
      <c r="A1819" s="135">
        <v>0.02</v>
      </c>
      <c r="B1819" s="211" t="s">
        <v>4025</v>
      </c>
      <c r="C1819" s="472">
        <v>70.078999999999994</v>
      </c>
      <c r="D1819" s="1597">
        <f>VLOOKUP(H1819,indexy!$C$44:$D$823,2,FALSE)</f>
        <v>73.94</v>
      </c>
      <c r="E1819" s="1463">
        <f t="shared" si="4"/>
        <v>5.509496425462701E-2</v>
      </c>
      <c r="F1819" s="1494">
        <f t="shared" si="3"/>
        <v>1.1018992850925402E-3</v>
      </c>
      <c r="G1819" s="415"/>
      <c r="H1819" s="415" t="str">
        <f>VLOOKUP(B1819,indexy!$A$44:$D$823,3,FALSE)</f>
        <v>MBG GR Equity</v>
      </c>
      <c r="I1819" s="412"/>
    </row>
    <row r="1820" spans="1:15" ht="12.75" hidden="1" customHeight="1" outlineLevel="1" x14ac:dyDescent="0.25">
      <c r="A1820" s="135">
        <v>0.02</v>
      </c>
      <c r="B1820" s="211" t="s">
        <v>6821</v>
      </c>
      <c r="C1820" s="472">
        <v>3.5634000000000001</v>
      </c>
      <c r="D1820" s="1597">
        <f>VLOOKUP(H1820,indexy!$C$44:$D$823,2,FALSE)/100</f>
        <v>1.9505000000000001</v>
      </c>
      <c r="E1820" s="1463">
        <f t="shared" si="4"/>
        <v>-0.4526295111410451</v>
      </c>
      <c r="F1820" s="1494">
        <f t="shared" si="3"/>
        <v>-9.0525902228209016E-3</v>
      </c>
      <c r="G1820" s="415"/>
      <c r="H1820" s="415" t="str">
        <f>VLOOKUP(B1820,indexy!$A$44:$D$823,3,FALSE)</f>
        <v>DLG LN Equity</v>
      </c>
      <c r="I1820" s="412"/>
    </row>
    <row r="1821" spans="1:15" ht="12.75" hidden="1" customHeight="1" outlineLevel="1" x14ac:dyDescent="0.25">
      <c r="A1821" s="135">
        <v>0.08</v>
      </c>
      <c r="B1821" s="211" t="s">
        <v>6267</v>
      </c>
      <c r="C1821" s="472">
        <v>23.974499999999999</v>
      </c>
      <c r="D1821" s="1597">
        <f>VLOOKUP(H1821,indexy!$C$44:$D$823,2,FALSE)</f>
        <v>13.765000000000001</v>
      </c>
      <c r="E1821" s="1463">
        <f t="shared" si="4"/>
        <v>-0.42584829714905414</v>
      </c>
      <c r="F1821" s="1494">
        <f t="shared" si="3"/>
        <v>-3.4067863771924334E-2</v>
      </c>
      <c r="G1821" s="415"/>
      <c r="H1821" s="415" t="str">
        <f>VLOOKUP(B1821,indexy!$A$44:$D$823,3,FALSE)</f>
        <v>ENG SQ Equity</v>
      </c>
      <c r="I1821" s="412"/>
    </row>
    <row r="1822" spans="1:15" ht="12.75" hidden="1" customHeight="1" outlineLevel="1" x14ac:dyDescent="0.25">
      <c r="A1822" s="135">
        <v>7.0000000000000007E-2</v>
      </c>
      <c r="B1822" s="211" t="s">
        <v>4268</v>
      </c>
      <c r="C1822" s="472">
        <v>17.972000000000001</v>
      </c>
      <c r="D1822" s="1597">
        <f>VLOOKUP(H1822,indexy!$C$44:$D$823,2,FALSE)</f>
        <v>11.445</v>
      </c>
      <c r="E1822" s="1463">
        <f t="shared" si="4"/>
        <v>-0.36317605163587807</v>
      </c>
      <c r="F1822" s="1494">
        <f t="shared" si="3"/>
        <v>-2.5422323614511466E-2</v>
      </c>
      <c r="G1822" s="415"/>
      <c r="H1822" s="415" t="str">
        <f>VLOOKUP(B1822,indexy!$A$44:$D$823,3,FALSE)</f>
        <v>FORTUM FH Equity</v>
      </c>
      <c r="I1822" s="412"/>
    </row>
    <row r="1823" spans="1:15" ht="12.75" hidden="1" customHeight="1" outlineLevel="1" x14ac:dyDescent="0.25">
      <c r="A1823" s="135">
        <v>0.05</v>
      </c>
      <c r="B1823" s="211" t="s">
        <v>6902</v>
      </c>
      <c r="C1823" s="472">
        <v>2.6656</v>
      </c>
      <c r="D1823" s="1597">
        <f>VLOOKUP(H1823,indexy!$C$44:$D$823,2,FALSE)/100</f>
        <v>2.544</v>
      </c>
      <c r="E1823" s="1463">
        <f t="shared" si="4"/>
        <v>-4.5618247298919501E-2</v>
      </c>
      <c r="F1823" s="1494">
        <f t="shared" si="3"/>
        <v>-2.2809123649459753E-3</v>
      </c>
      <c r="G1823" s="415"/>
      <c r="H1823" s="415" t="str">
        <f>VLOOKUP(B1823,indexy!$A$44:$D$823,3,FALSE)</f>
        <v>LGEN LN Equity</v>
      </c>
      <c r="I1823" s="412"/>
    </row>
    <row r="1824" spans="1:15" ht="12.75" hidden="1" customHeight="1" outlineLevel="1" x14ac:dyDescent="0.25">
      <c r="A1824" s="135">
        <v>0.02</v>
      </c>
      <c r="B1824" s="211" t="s">
        <v>8261</v>
      </c>
      <c r="C1824" s="472">
        <v>153.97</v>
      </c>
      <c r="D1824" s="1597">
        <f>VLOOKUP(H1824,indexy!$C$44:$D$823,2,FALSE)</f>
        <v>198.95</v>
      </c>
      <c r="E1824" s="1463">
        <f t="shared" si="4"/>
        <v>0.29213483146067398</v>
      </c>
      <c r="F1824" s="1494">
        <f t="shared" si="3"/>
        <v>5.8426966292134796E-3</v>
      </c>
      <c r="G1824" s="415"/>
      <c r="H1824" s="415" t="str">
        <f>VLOOKUP(B1824,indexy!$A$44:$D$823,3,FALSE)</f>
        <v>MOWI NO Equity</v>
      </c>
      <c r="I1824" s="412"/>
    </row>
    <row r="1825" spans="1:9" ht="12.75" hidden="1" customHeight="1" outlineLevel="1" x14ac:dyDescent="0.25">
      <c r="A1825" s="135">
        <v>0.02</v>
      </c>
      <c r="B1825" s="211" t="s">
        <v>5196</v>
      </c>
      <c r="C1825" s="490">
        <v>43.415999999999997</v>
      </c>
      <c r="D1825" s="1597">
        <f>VLOOKUP(H1825,indexy!$C$44:$D$823,2,FALSE)/100</f>
        <v>92.32</v>
      </c>
      <c r="E1825" s="1463">
        <f t="shared" si="4"/>
        <v>1.1264050119771514</v>
      </c>
      <c r="F1825" s="1494">
        <f t="shared" si="3"/>
        <v>2.2528100239543027E-2</v>
      </c>
      <c r="G1825" s="415"/>
      <c r="H1825" s="415" t="str">
        <f>VLOOKUP(B1825,indexy!$A$44:$D$823,3,FALSE)</f>
        <v>NXT LN Equity</v>
      </c>
      <c r="I1825" s="412"/>
    </row>
    <row r="1826" spans="1:9" ht="12.75" hidden="1" customHeight="1" outlineLevel="1" x14ac:dyDescent="0.25">
      <c r="A1826" s="135">
        <v>0.03</v>
      </c>
      <c r="B1826" s="211" t="s">
        <v>8527</v>
      </c>
      <c r="C1826" s="472">
        <v>35.389000000000003</v>
      </c>
      <c r="D1826" s="1597">
        <f>VLOOKUP(H1826,indexy!$C$44:$D$823,2,FALSE)</f>
        <v>42.82</v>
      </c>
      <c r="E1826" s="1463">
        <f t="shared" si="4"/>
        <v>0.20998050241600485</v>
      </c>
      <c r="F1826" s="1494">
        <f t="shared" si="3"/>
        <v>6.2994150724801452E-3</v>
      </c>
      <c r="G1826" s="415"/>
      <c r="H1826" s="415" t="str">
        <f>VLOOKUP(B1826,indexy!$A$44:$D$823,3,FALSE)</f>
        <v>NN NA Equity</v>
      </c>
      <c r="I1826" s="412"/>
    </row>
    <row r="1827" spans="1:9" ht="12.75" hidden="1" customHeight="1" outlineLevel="1" x14ac:dyDescent="0.25">
      <c r="A1827" s="135">
        <v>7.0000000000000007E-2</v>
      </c>
      <c r="B1827" s="211" t="s">
        <v>1203</v>
      </c>
      <c r="C1827" s="472">
        <v>98.71</v>
      </c>
      <c r="D1827" s="1597">
        <f>VLOOKUP(H1827,indexy!$C$44:$D$823,2,FALSE)</f>
        <v>119.2</v>
      </c>
      <c r="E1827" s="1463">
        <f t="shared" si="4"/>
        <v>0.20757775301387915</v>
      </c>
      <c r="F1827" s="1494">
        <f t="shared" si="3"/>
        <v>1.4530442710971541E-2</v>
      </c>
      <c r="G1827" s="415"/>
      <c r="H1827" s="415" t="str">
        <f>VLOOKUP(B1827,indexy!$A$44:$D$823,3,FALSE)</f>
        <v>NDA SS Equity</v>
      </c>
      <c r="I1827" s="412"/>
    </row>
    <row r="1828" spans="1:9" ht="12.75" hidden="1" customHeight="1" outlineLevel="1" x14ac:dyDescent="0.25">
      <c r="A1828" s="135">
        <v>0.02</v>
      </c>
      <c r="B1828" s="211" t="s">
        <v>7433</v>
      </c>
      <c r="C1828" s="472">
        <v>25.688500000000001</v>
      </c>
      <c r="D1828" s="1597">
        <f>VLOOKUP(H1828,indexy!$C$44:$D$823,2,FALSE)</f>
        <v>6.5119999999999996</v>
      </c>
      <c r="E1828" s="1463">
        <f t="shared" si="4"/>
        <v>-0.74650135274539187</v>
      </c>
      <c r="F1828" s="1494">
        <f t="shared" si="3"/>
        <v>-1.4930027054907837E-2</v>
      </c>
      <c r="G1828" s="415"/>
      <c r="H1828" s="415" t="str">
        <f>VLOOKUP(B1828,indexy!$A$44:$D$823,3,FALSE)</f>
        <v>PSM GY Equity</v>
      </c>
      <c r="I1828" s="412"/>
    </row>
    <row r="1829" spans="1:9" ht="12.75" hidden="1" customHeight="1" outlineLevel="1" x14ac:dyDescent="0.25">
      <c r="A1829" s="135">
        <v>0.05</v>
      </c>
      <c r="B1829" s="211" t="s">
        <v>8919</v>
      </c>
      <c r="C1829" s="472">
        <v>3.8746999999999998</v>
      </c>
      <c r="D1829" s="1597">
        <f>VLOOKUP(H1829,indexy!$C$44:$D$823,2,FALSE)/100</f>
        <v>2.2930000000000001</v>
      </c>
      <c r="E1829" s="1463">
        <f t="shared" si="4"/>
        <v>-0.4082122486902211</v>
      </c>
      <c r="F1829" s="1494">
        <f t="shared" si="3"/>
        <v>-2.0410612434511057E-2</v>
      </c>
      <c r="G1829" s="415"/>
      <c r="H1829" s="415" t="str">
        <f>VLOOKUP(B1829,indexy!$A$44:$D$823,3,FALSE)</f>
        <v>IDS LN Equity</v>
      </c>
      <c r="I1829" s="412"/>
    </row>
    <row r="1830" spans="1:9" ht="12.75" hidden="1" customHeight="1" outlineLevel="1" x14ac:dyDescent="0.25">
      <c r="A1830" s="135">
        <v>0.04</v>
      </c>
      <c r="B1830" s="211" t="s">
        <v>6270</v>
      </c>
      <c r="C1830" s="472">
        <v>45.243000000000002</v>
      </c>
      <c r="D1830" s="1597">
        <f>VLOOKUP(H1830,indexy!$C$44:$D$823,2,FALSE)</f>
        <v>39.515000000000001</v>
      </c>
      <c r="E1830" s="1463">
        <f t="shared" si="4"/>
        <v>-0.12660522069712443</v>
      </c>
      <c r="F1830" s="1494">
        <f t="shared" si="3"/>
        <v>-5.0642088278849773E-3</v>
      </c>
      <c r="G1830" s="415"/>
      <c r="H1830" s="415" t="str">
        <f>VLOOKUP(B1830,indexy!$A$44:$D$823,3,FALSE)</f>
        <v>SAMPO FH Equity</v>
      </c>
      <c r="I1830" s="412"/>
    </row>
    <row r="1831" spans="1:9" ht="12.75" hidden="1" customHeight="1" outlineLevel="1" x14ac:dyDescent="0.25">
      <c r="A1831" s="135">
        <v>0.02</v>
      </c>
      <c r="B1831" s="211" t="s">
        <v>6524</v>
      </c>
      <c r="C1831" s="472">
        <v>101.37</v>
      </c>
      <c r="D1831" s="1597">
        <f>VLOOKUP(H1831,indexy!$C$44:$D$823,2,FALSE)</f>
        <v>144.94999999999999</v>
      </c>
      <c r="E1831" s="1463">
        <f t="shared" si="4"/>
        <v>0.42991022985104066</v>
      </c>
      <c r="F1831" s="1494">
        <f t="shared" si="3"/>
        <v>8.5982045970208129E-3</v>
      </c>
      <c r="G1831" s="415"/>
      <c r="H1831" s="415" t="str">
        <f>VLOOKUP(B1831,indexy!$A$44:$D$823,3,FALSE)</f>
        <v>SEBA SS Equity</v>
      </c>
      <c r="I1831" s="412"/>
    </row>
    <row r="1832" spans="1:9" ht="12.75" hidden="1" customHeight="1" outlineLevel="1" x14ac:dyDescent="0.25">
      <c r="A1832" s="135">
        <v>0.04</v>
      </c>
      <c r="B1832" s="211" t="s">
        <v>6116</v>
      </c>
      <c r="C1832" s="472">
        <v>4.3259999999999996</v>
      </c>
      <c r="D1832" s="1597">
        <f>VLOOKUP(H1832,indexy!$C$44:$D$823,2,FALSE)</f>
        <v>4.3760000000000003</v>
      </c>
      <c r="E1832" s="1463">
        <f t="shared" si="4"/>
        <v>1.15580212667592E-2</v>
      </c>
      <c r="F1832" s="1494">
        <f t="shared" si="3"/>
        <v>4.6232085067036797E-4</v>
      </c>
      <c r="G1832" s="415"/>
      <c r="H1832" s="415" t="str">
        <f>VLOOKUP(B1832,indexy!$A$44:$D$823,3,FALSE)</f>
        <v>SRG IM Equity</v>
      </c>
      <c r="I1832" s="412"/>
    </row>
    <row r="1833" spans="1:9" ht="12.75" hidden="1" customHeight="1" outlineLevel="1" x14ac:dyDescent="0.25">
      <c r="A1833" s="135">
        <v>0.05</v>
      </c>
      <c r="B1833" s="211" t="s">
        <v>1857</v>
      </c>
      <c r="C1833" s="472">
        <v>13.587</v>
      </c>
      <c r="D1833" s="1597">
        <f>VLOOKUP(H1833,indexy!$C$44:$D$823,2,FALSE)/100</f>
        <v>16.5</v>
      </c>
      <c r="E1833" s="1463">
        <f t="shared" si="4"/>
        <v>0.21439611393243552</v>
      </c>
      <c r="F1833" s="1494">
        <f t="shared" si="3"/>
        <v>1.0719805696621777E-2</v>
      </c>
      <c r="G1833" s="415"/>
      <c r="H1833" s="415" t="str">
        <f>VLOOKUP(B1833,indexy!$A$44:$D$823,3,FALSE)</f>
        <v>SSE LN Equity</v>
      </c>
      <c r="I1833" s="412"/>
    </row>
    <row r="1834" spans="1:9" ht="12.75" hidden="1" customHeight="1" outlineLevel="1" x14ac:dyDescent="0.25">
      <c r="A1834" s="135">
        <v>7.0000000000000007E-2</v>
      </c>
      <c r="B1834" s="211" t="s">
        <v>6118</v>
      </c>
      <c r="C1834" s="472">
        <v>92.745000000000005</v>
      </c>
      <c r="D1834" s="1597">
        <f>VLOOKUP(H1834,indexy!$C$44:$D$823,2,FALSE)</f>
        <v>115.95</v>
      </c>
      <c r="E1834" s="1463">
        <f t="shared" si="4"/>
        <v>0.25020216723273481</v>
      </c>
      <c r="F1834" s="1494">
        <f t="shared" si="3"/>
        <v>1.7514151706291437E-2</v>
      </c>
      <c r="G1834" s="415"/>
      <c r="H1834" s="415" t="str">
        <f>VLOOKUP(B1834,indexy!$A$44:$D$823,3,FALSE)</f>
        <v>SREN SE Equity</v>
      </c>
      <c r="I1834" s="412"/>
    </row>
    <row r="1835" spans="1:9" ht="12.75" hidden="1" customHeight="1" outlineLevel="1" x14ac:dyDescent="0.25">
      <c r="A1835" s="135">
        <v>0.02</v>
      </c>
      <c r="B1835" s="211" t="s">
        <v>3383</v>
      </c>
      <c r="C1835" s="472">
        <v>177.25</v>
      </c>
      <c r="D1835" s="1597">
        <f>VLOOKUP(H1835,indexy!$C$44:$D$823,2,FALSE)</f>
        <v>120.75</v>
      </c>
      <c r="E1835" s="1463">
        <f t="shared" si="4"/>
        <v>-0.31875881523272209</v>
      </c>
      <c r="F1835" s="1494">
        <f t="shared" si="3"/>
        <v>-6.3751763046544421E-3</v>
      </c>
      <c r="G1835" s="415"/>
      <c r="H1835" s="415" t="str">
        <f>VLOOKUP(B1835,indexy!$A$44:$D$823,3,FALSE)</f>
        <v>TEL NO Equity</v>
      </c>
      <c r="I1835" s="412"/>
    </row>
    <row r="1836" spans="1:9" ht="12.75" hidden="1" customHeight="1" outlineLevel="1" x14ac:dyDescent="0.25">
      <c r="A1836" s="135">
        <v>0.03</v>
      </c>
      <c r="B1836" s="211" t="s">
        <v>434</v>
      </c>
      <c r="C1836" s="472">
        <v>37.658999999999999</v>
      </c>
      <c r="D1836" s="1597">
        <f>VLOOKUP(H1836,indexy!$C$44:$D$823,2,FALSE)</f>
        <v>27.43</v>
      </c>
      <c r="E1836" s="1463">
        <f t="shared" si="4"/>
        <v>-0.27162165750550993</v>
      </c>
      <c r="F1836" s="1494">
        <f t="shared" si="3"/>
        <v>-8.1486497251652967E-3</v>
      </c>
      <c r="G1836" s="415"/>
      <c r="H1836" s="415" t="str">
        <f>VLOOKUP(B1836,indexy!$A$44:$D$823,3,FALSE)</f>
        <v>TELIA SS Equity</v>
      </c>
      <c r="I1836" s="412"/>
    </row>
    <row r="1837" spans="1:9" ht="12.75" hidden="1" customHeight="1" outlineLevel="1" x14ac:dyDescent="0.25">
      <c r="A1837" s="135">
        <v>0.02</v>
      </c>
      <c r="B1837" s="211" t="s">
        <v>5249</v>
      </c>
      <c r="C1837" s="472">
        <v>3.452</v>
      </c>
      <c r="D1837" s="1597">
        <f>VLOOKUP(H1837,indexy!$C$44:$D$823,2,FALSE)</f>
        <v>3.86</v>
      </c>
      <c r="E1837" s="1463">
        <f t="shared" si="4"/>
        <v>0.1181923522595596</v>
      </c>
      <c r="F1837" s="1494">
        <f t="shared" si="3"/>
        <v>2.363847045191192E-3</v>
      </c>
      <c r="G1837" s="415"/>
      <c r="H1837" s="415" t="str">
        <f>VLOOKUP(B1837,indexy!$A$44:$D$823,3,FALSE)</f>
        <v>TLS AT Equity</v>
      </c>
      <c r="I1837" s="412"/>
    </row>
    <row r="1838" spans="1:9" ht="12.75" hidden="1" customHeight="1" outlineLevel="1" x14ac:dyDescent="0.25">
      <c r="A1838" s="135">
        <v>0.02</v>
      </c>
      <c r="B1838" s="211" t="s">
        <v>10633</v>
      </c>
      <c r="C1838" s="472">
        <v>47.234999999999999</v>
      </c>
      <c r="D1838" s="1597">
        <f>VLOOKUP(H1838,indexy!$C$44:$D$823,2,FALSE)</f>
        <v>63.47</v>
      </c>
      <c r="E1838" s="1463">
        <f t="shared" si="4"/>
        <v>0.34370699693024243</v>
      </c>
      <c r="F1838" s="1494">
        <f>E1838*A1838</f>
        <v>6.8741399386048488E-3</v>
      </c>
      <c r="G1838" s="415"/>
      <c r="H1838" s="415" t="str">
        <f>VLOOKUP(B1838,indexy!$A$44:$D$823,3,FALSE)</f>
        <v>TTE FP Equity</v>
      </c>
      <c r="I1838" s="412"/>
    </row>
    <row r="1839" spans="1:9" ht="12.75" hidden="1" customHeight="1" outlineLevel="1" x14ac:dyDescent="0.25">
      <c r="A1839" s="135">
        <v>0.02</v>
      </c>
      <c r="B1839" s="211" t="s">
        <v>255</v>
      </c>
      <c r="C1839" s="472">
        <v>45.106000000000002</v>
      </c>
      <c r="D1839" s="1597">
        <f>VLOOKUP(H1839,indexy!$C$44:$D$823,2,FALSE)</f>
        <v>41.96</v>
      </c>
      <c r="E1839" s="1463">
        <f t="shared" si="4"/>
        <v>-6.9746818605063599E-2</v>
      </c>
      <c r="F1839" s="1494">
        <f>E1839*A1839</f>
        <v>-1.3949363721012719E-3</v>
      </c>
      <c r="G1839" s="415"/>
      <c r="H1839" s="415" t="str">
        <f>VLOOKUP(B1839,indexy!$A$44:$D$823,3,FALSE)</f>
        <v>VZ UN Equity</v>
      </c>
      <c r="I1839" s="412"/>
    </row>
    <row r="1840" spans="1:9" ht="12.75" hidden="1" customHeight="1" outlineLevel="1" x14ac:dyDescent="0.25">
      <c r="A1840" s="135">
        <v>0.02</v>
      </c>
      <c r="B1840" s="211" t="s">
        <v>579</v>
      </c>
      <c r="C1840" s="472">
        <v>2.2431999999999999</v>
      </c>
      <c r="D1840" s="1597">
        <f>VLOOKUP(H1840,indexy!$C$44:$D$823,2,FALSE)/100</f>
        <v>0.70459999999999989</v>
      </c>
      <c r="E1840" s="1463">
        <f t="shared" si="4"/>
        <v>-0.68589514978601995</v>
      </c>
      <c r="F1840" s="1494">
        <f>E1840*A1840</f>
        <v>-1.3717902995720399E-2</v>
      </c>
      <c r="G1840" s="415"/>
      <c r="H1840" s="415" t="str">
        <f>VLOOKUP(B1840,indexy!$A$44:$D$823,3,FALSE)</f>
        <v>VOD LN Equity</v>
      </c>
      <c r="I1840" s="412"/>
    </row>
    <row r="1841" spans="1:9" ht="12.75" hidden="1" customHeight="1" outlineLevel="1" x14ac:dyDescent="0.25">
      <c r="A1841" s="135">
        <v>0.02</v>
      </c>
      <c r="B1841" s="211" t="s">
        <v>5626</v>
      </c>
      <c r="C1841" s="472">
        <v>32.287999999999997</v>
      </c>
      <c r="D1841" s="1597">
        <f>VLOOKUP(H1841,indexy!$C$44:$D$823,2,FALSE)</f>
        <v>26.1</v>
      </c>
      <c r="E1841" s="1463">
        <f t="shared" si="4"/>
        <v>-0.19165014866204155</v>
      </c>
      <c r="F1841" s="1494">
        <f>E1841*A1841</f>
        <v>-3.8330029732408311E-3</v>
      </c>
      <c r="G1841" s="415"/>
      <c r="H1841" s="415" t="str">
        <f>VLOOKUP(B1841,indexy!$A$44:$D$823,3,FALSE)</f>
        <v>WBC AT Equity</v>
      </c>
      <c r="I1841" s="412"/>
    </row>
    <row r="1842" spans="1:9" ht="12.75" hidden="1" customHeight="1" outlineLevel="1" x14ac:dyDescent="0.25">
      <c r="A1842" s="135">
        <v>0.06</v>
      </c>
      <c r="B1842" s="1465" t="s">
        <v>4550</v>
      </c>
      <c r="C1842" s="472">
        <v>300.02</v>
      </c>
      <c r="D1842" s="1598">
        <f>VLOOKUP(H1842,indexy!$C$44:$D$823,2,FALSE)</f>
        <v>486.3</v>
      </c>
      <c r="E1842" s="1463">
        <f t="shared" si="4"/>
        <v>0.62089194053729768</v>
      </c>
      <c r="F1842" s="1494">
        <f>E1842*A1842</f>
        <v>3.7253516432237857E-2</v>
      </c>
      <c r="G1842" s="415"/>
      <c r="H1842" s="415" t="str">
        <f>VLOOKUP(B1842,indexy!$A$44:$D$823,3,FALSE)</f>
        <v>ZURN SE Equity</v>
      </c>
      <c r="I1842" s="412"/>
    </row>
    <row r="1843" spans="1:9" ht="12.75" hidden="1" customHeight="1" outlineLevel="1" x14ac:dyDescent="0.25">
      <c r="A1843" s="1475" t="s">
        <v>2734</v>
      </c>
      <c r="B1843" s="150"/>
      <c r="C1843" s="1476">
        <v>100</v>
      </c>
      <c r="D1843" s="1477"/>
      <c r="E1843" s="1599"/>
      <c r="F1843" s="1599">
        <f>SUM(F1813:F1842)</f>
        <v>-1.1948608240761195E-2</v>
      </c>
      <c r="G1843" s="12"/>
      <c r="H1843" s="415"/>
    </row>
    <row r="1844" spans="1:9" ht="12.75" hidden="1" customHeight="1" outlineLevel="1" x14ac:dyDescent="0.25">
      <c r="A1844" s="221" t="s">
        <v>8956</v>
      </c>
      <c r="B1844" s="1478">
        <v>45323</v>
      </c>
      <c r="C1844" s="1497">
        <v>100</v>
      </c>
      <c r="D1844" s="1497"/>
      <c r="E1844" s="1498">
        <f>IF(D1844="",F1843,D1844/C1844-1)</f>
        <v>-1.1948608240761195E-2</v>
      </c>
      <c r="F1844" s="1499"/>
      <c r="G1844" s="12"/>
      <c r="H1844" s="415"/>
    </row>
    <row r="1845" spans="1:9" ht="12.75" hidden="1" customHeight="1" outlineLevel="1" x14ac:dyDescent="0.25">
      <c r="A1845" s="221" t="s">
        <v>8957</v>
      </c>
      <c r="B1845" s="1478">
        <v>45352</v>
      </c>
      <c r="C1845" s="1497">
        <v>100</v>
      </c>
      <c r="D1845" s="1500"/>
      <c r="E1845" s="1498">
        <f>IF(D1845="",E1844,D1845/C1845-1)</f>
        <v>-1.1948608240761195E-2</v>
      </c>
      <c r="F1845" s="1499"/>
      <c r="G1845" s="12"/>
      <c r="H1845" s="415"/>
    </row>
    <row r="1846" spans="1:9" ht="12.75" hidden="1" customHeight="1" outlineLevel="1" x14ac:dyDescent="0.25">
      <c r="A1846" s="221" t="s">
        <v>8958</v>
      </c>
      <c r="B1846" s="1478">
        <v>45383</v>
      </c>
      <c r="C1846" s="1497">
        <v>100</v>
      </c>
      <c r="D1846" s="1500"/>
      <c r="E1846" s="1498">
        <f t="shared" ref="E1846:E1853" si="5">IF(D1846="",E1845,D1846/C1846-1)</f>
        <v>-1.1948608240761195E-2</v>
      </c>
      <c r="F1846" s="1499"/>
      <c r="G1846" s="12"/>
      <c r="H1846" s="415"/>
    </row>
    <row r="1847" spans="1:9" ht="12.75" hidden="1" customHeight="1" outlineLevel="1" x14ac:dyDescent="0.25">
      <c r="A1847" s="221" t="s">
        <v>8959</v>
      </c>
      <c r="B1847" s="1478">
        <v>45413</v>
      </c>
      <c r="C1847" s="1497">
        <v>100</v>
      </c>
      <c r="D1847" s="1500"/>
      <c r="E1847" s="1498">
        <f t="shared" si="5"/>
        <v>-1.1948608240761195E-2</v>
      </c>
      <c r="F1847" s="1499"/>
      <c r="G1847" s="12"/>
      <c r="H1847" s="415"/>
    </row>
    <row r="1848" spans="1:9" ht="12.75" hidden="1" customHeight="1" outlineLevel="1" x14ac:dyDescent="0.25">
      <c r="A1848" s="221" t="s">
        <v>8960</v>
      </c>
      <c r="B1848" s="1478">
        <v>45444</v>
      </c>
      <c r="C1848" s="1497">
        <v>100</v>
      </c>
      <c r="D1848" s="1500"/>
      <c r="E1848" s="1498">
        <f t="shared" si="5"/>
        <v>-1.1948608240761195E-2</v>
      </c>
      <c r="F1848" s="1499"/>
      <c r="G1848" s="12"/>
      <c r="H1848" s="415"/>
    </row>
    <row r="1849" spans="1:9" ht="12.75" hidden="1" customHeight="1" outlineLevel="1" x14ac:dyDescent="0.25">
      <c r="A1849" s="221" t="s">
        <v>8961</v>
      </c>
      <c r="B1849" s="1478">
        <v>45474</v>
      </c>
      <c r="C1849" s="1497">
        <v>100</v>
      </c>
      <c r="D1849" s="1500"/>
      <c r="E1849" s="1498">
        <f t="shared" si="5"/>
        <v>-1.1948608240761195E-2</v>
      </c>
      <c r="F1849" s="1499"/>
      <c r="G1849" s="12"/>
      <c r="H1849" s="415"/>
    </row>
    <row r="1850" spans="1:9" ht="12.75" hidden="1" customHeight="1" outlineLevel="1" x14ac:dyDescent="0.25">
      <c r="A1850" s="221" t="s">
        <v>8962</v>
      </c>
      <c r="B1850" s="1478">
        <v>45505</v>
      </c>
      <c r="C1850" s="1497">
        <v>100</v>
      </c>
      <c r="D1850" s="1500"/>
      <c r="E1850" s="1498">
        <f t="shared" si="5"/>
        <v>-1.1948608240761195E-2</v>
      </c>
      <c r="F1850" s="1499"/>
      <c r="G1850" s="12"/>
      <c r="H1850" s="415"/>
    </row>
    <row r="1851" spans="1:9" ht="12.75" hidden="1" customHeight="1" outlineLevel="1" x14ac:dyDescent="0.25">
      <c r="A1851" s="221" t="s">
        <v>8963</v>
      </c>
      <c r="B1851" s="1478">
        <v>45536</v>
      </c>
      <c r="C1851" s="1497">
        <v>100</v>
      </c>
      <c r="D1851" s="1500"/>
      <c r="E1851" s="1498">
        <f t="shared" si="5"/>
        <v>-1.1948608240761195E-2</v>
      </c>
      <c r="F1851" s="1499"/>
      <c r="G1851" s="12"/>
      <c r="H1851" s="415"/>
    </row>
    <row r="1852" spans="1:9" ht="12.75" hidden="1" customHeight="1" outlineLevel="1" x14ac:dyDescent="0.25">
      <c r="A1852" s="221" t="s">
        <v>8964</v>
      </c>
      <c r="B1852" s="1478">
        <v>45566</v>
      </c>
      <c r="C1852" s="1497">
        <v>100</v>
      </c>
      <c r="D1852" s="1500"/>
      <c r="E1852" s="1498">
        <f t="shared" si="5"/>
        <v>-1.1948608240761195E-2</v>
      </c>
      <c r="F1852" s="1499"/>
      <c r="G1852" s="12"/>
      <c r="H1852" s="415"/>
    </row>
    <row r="1853" spans="1:9" ht="12.75" hidden="1" customHeight="1" outlineLevel="1" x14ac:dyDescent="0.25">
      <c r="A1853" s="221" t="s">
        <v>8965</v>
      </c>
      <c r="B1853" s="1478">
        <v>45597</v>
      </c>
      <c r="C1853" s="1497">
        <v>100</v>
      </c>
      <c r="D1853" s="1500"/>
      <c r="E1853" s="1498">
        <f t="shared" si="5"/>
        <v>-1.1948608240761195E-2</v>
      </c>
      <c r="F1853" s="1499"/>
      <c r="G1853" s="12"/>
      <c r="H1853" s="415"/>
    </row>
    <row r="1854" spans="1:9" ht="12.75" hidden="1" customHeight="1" outlineLevel="1" x14ac:dyDescent="0.25">
      <c r="A1854" s="221" t="s">
        <v>8966</v>
      </c>
      <c r="B1854" s="1478">
        <v>45627</v>
      </c>
      <c r="C1854" s="1497">
        <v>100</v>
      </c>
      <c r="D1854" s="1500"/>
      <c r="E1854" s="1498">
        <f>IF(D1854="",E1853,D1854/C1854-1)</f>
        <v>-1.1948608240761195E-2</v>
      </c>
      <c r="F1854" s="1499"/>
      <c r="G1854" s="12"/>
      <c r="H1854" s="415"/>
    </row>
    <row r="1855" spans="1:9" ht="12.75" hidden="1" customHeight="1" outlineLevel="1" x14ac:dyDescent="0.25">
      <c r="A1855" s="221" t="s">
        <v>8967</v>
      </c>
      <c r="B1855" s="1478">
        <v>45658</v>
      </c>
      <c r="C1855" s="1497">
        <v>100</v>
      </c>
      <c r="D1855" s="1500"/>
      <c r="E1855" s="1498">
        <f>IF(D1855="",E1854,D1855/C1855-1)</f>
        <v>-1.1948608240761195E-2</v>
      </c>
      <c r="F1855" s="1499"/>
      <c r="G1855" s="12"/>
      <c r="H1855" s="415"/>
    </row>
    <row r="1856" spans="1:9" ht="12.75" hidden="1" customHeight="1" outlineLevel="1" x14ac:dyDescent="0.25">
      <c r="A1856" s="1483" t="s">
        <v>2734</v>
      </c>
      <c r="B1856" s="1484"/>
      <c r="C1856" s="1500"/>
      <c r="D1856" s="1485" t="s">
        <v>2465</v>
      </c>
      <c r="E1856" s="1486">
        <f>AVERAGE(E1844:E1855)</f>
        <v>-1.1948608240761193E-2</v>
      </c>
      <c r="F1856" s="1487">
        <f>+E1856</f>
        <v>-1.1948608240761193E-2</v>
      </c>
      <c r="G1856" s="12"/>
      <c r="H1856" s="415"/>
    </row>
    <row r="1857" spans="1:15" collapsed="1" x14ac:dyDescent="0.25">
      <c r="A1857" s="3799" t="s">
        <v>8912</v>
      </c>
      <c r="B1857" s="3800"/>
      <c r="C1857" s="3800"/>
      <c r="D1857" s="3800"/>
      <c r="E1857" s="18"/>
      <c r="F1857" s="186">
        <f>IF(F1856&lt;0,-F1856*0.2,MIN(+F1856,100%))</f>
        <v>2.3897216481522389E-3</v>
      </c>
      <c r="G1857" s="78"/>
    </row>
    <row r="1859" spans="1:15" ht="12.75" hidden="1" customHeight="1" outlineLevel="1" x14ac:dyDescent="0.25">
      <c r="A1859" s="1677" t="s">
        <v>4156</v>
      </c>
      <c r="B1859" s="1677" t="s">
        <v>4153</v>
      </c>
      <c r="C1859" s="1623" t="s">
        <v>112</v>
      </c>
      <c r="D1859" s="1678" t="s">
        <v>4155</v>
      </c>
      <c r="E1859" s="1677" t="s">
        <v>4154</v>
      </c>
      <c r="F1859" s="1678" t="s">
        <v>2519</v>
      </c>
      <c r="G1859" s="12"/>
      <c r="H1859" s="415"/>
      <c r="I1859" s="412"/>
      <c r="J1859" s="1462"/>
      <c r="K1859" s="1462"/>
      <c r="L1859" s="1462"/>
      <c r="M1859" s="1462"/>
      <c r="N1859" s="1462"/>
      <c r="O1859" s="1462"/>
    </row>
    <row r="1860" spans="1:15" ht="12.75" hidden="1" customHeight="1" outlineLevel="1" x14ac:dyDescent="0.25">
      <c r="A1860" s="134">
        <v>0.04</v>
      </c>
      <c r="B1860" s="211" t="s">
        <v>2697</v>
      </c>
      <c r="C1860" s="472">
        <v>15.356</v>
      </c>
      <c r="D1860" s="1596">
        <f>VLOOKUP(H1860,indexy!$C$44:$D$823,2,FALSE)</f>
        <v>23.46</v>
      </c>
      <c r="E1860" s="1466">
        <f>D1860/C1860-1</f>
        <v>0.52774159937483733</v>
      </c>
      <c r="F1860" s="1492">
        <f>E1860*A1860</f>
        <v>2.1109663974993493E-2</v>
      </c>
      <c r="G1860" s="415"/>
      <c r="H1860" s="415" t="str">
        <f>VLOOKUP(B1860,indexy!$A$44:$D$823,3,FALSE)</f>
        <v>G IM Equity</v>
      </c>
      <c r="I1860" s="412"/>
    </row>
    <row r="1861" spans="1:15" ht="12.75" hidden="1" customHeight="1" outlineLevel="1" x14ac:dyDescent="0.25">
      <c r="A1861" s="135">
        <v>0.02</v>
      </c>
      <c r="B1861" s="211" t="s">
        <v>218</v>
      </c>
      <c r="C1861" s="472">
        <v>25.400500000000001</v>
      </c>
      <c r="D1861" s="1597">
        <f>VLOOKUP(H1861,indexy!$C$44:$D$823,2,FALSE)</f>
        <v>34.814999999999998</v>
      </c>
      <c r="E1861" s="1463">
        <f>D1861/C1861-1</f>
        <v>0.37064231019074412</v>
      </c>
      <c r="F1861" s="1494">
        <f t="shared" ref="F1861:F1884" si="6">E1861*A1861</f>
        <v>7.4128462038148824E-3</v>
      </c>
      <c r="G1861" s="415"/>
      <c r="H1861" s="415" t="str">
        <f>VLOOKUP(B1861,indexy!$A$44:$D$823,3,FALSE)</f>
        <v>CS FP Equity</v>
      </c>
      <c r="I1861" s="412"/>
    </row>
    <row r="1862" spans="1:15" ht="12.75" hidden="1" customHeight="1" outlineLevel="1" x14ac:dyDescent="0.25">
      <c r="A1862" s="135">
        <v>0.02</v>
      </c>
      <c r="B1862" s="211" t="s">
        <v>807</v>
      </c>
      <c r="C1862" s="472">
        <v>61.82</v>
      </c>
      <c r="D1862" s="1597">
        <f>VLOOKUP(H1862,indexy!$C$44:$D$823,2,FALSE)</f>
        <v>46.03</v>
      </c>
      <c r="E1862" s="1463">
        <f t="shared" ref="E1862:E1889" si="7">D1862/C1862-1</f>
        <v>-0.2554189582659333</v>
      </c>
      <c r="F1862" s="1494">
        <f t="shared" si="6"/>
        <v>-5.1083791653186664E-3</v>
      </c>
      <c r="G1862" s="415"/>
      <c r="H1862" s="415" t="str">
        <f>VLOOKUP(B1862,indexy!$A$44:$D$823,3,FALSE)</f>
        <v>BCE CT Equity</v>
      </c>
      <c r="I1862" s="412"/>
    </row>
    <row r="1863" spans="1:15" ht="12.75" hidden="1" customHeight="1" outlineLevel="1" x14ac:dyDescent="0.25">
      <c r="A1863" s="135">
        <v>0.02</v>
      </c>
      <c r="B1863" s="211" t="s">
        <v>1188</v>
      </c>
      <c r="C1863" s="472">
        <v>5.0315000000000003</v>
      </c>
      <c r="D1863" s="1597">
        <f>VLOOKUP(H1863,indexy!$C$44:$D$823,2,FALSE)/100</f>
        <v>4.9569999999999999</v>
      </c>
      <c r="E1863" s="1463">
        <f t="shared" si="7"/>
        <v>-1.4806717678624737E-2</v>
      </c>
      <c r="F1863" s="1494">
        <f t="shared" si="6"/>
        <v>-2.9613435357249472E-4</v>
      </c>
      <c r="G1863" s="415"/>
      <c r="H1863" s="415" t="str">
        <f>VLOOKUP(B1863,indexy!$A$44:$D$823,3,FALSE)</f>
        <v>BP/ LN Equity</v>
      </c>
      <c r="I1863" s="412"/>
      <c r="K1863" s="37"/>
    </row>
    <row r="1864" spans="1:15" ht="12.75" hidden="1" customHeight="1" outlineLevel="1" x14ac:dyDescent="0.25">
      <c r="A1864" s="135">
        <v>0.02</v>
      </c>
      <c r="B1864" s="211" t="s">
        <v>8918</v>
      </c>
      <c r="C1864" s="472">
        <v>2.7079</v>
      </c>
      <c r="D1864" s="1597">
        <f>VLOOKUP(H1864,indexy!$C$44:$D$823,2,FALSE)/100</f>
        <v>1.0965</v>
      </c>
      <c r="E1864" s="1463">
        <f t="shared" si="7"/>
        <v>-0.59507367332619365</v>
      </c>
      <c r="F1864" s="1494">
        <f t="shared" si="6"/>
        <v>-1.1901473466523873E-2</v>
      </c>
      <c r="G1864" s="415"/>
      <c r="H1864" s="415" t="str">
        <f>VLOOKUP(B1864,indexy!$A$44:$D$823,3,FALSE)</f>
        <v>BT/A LN Equity</v>
      </c>
      <c r="I1864" s="412"/>
    </row>
    <row r="1865" spans="1:15" ht="12.75" hidden="1" customHeight="1" outlineLevel="1" x14ac:dyDescent="0.25">
      <c r="A1865" s="135">
        <v>0.02</v>
      </c>
      <c r="B1865" s="211" t="s">
        <v>8678</v>
      </c>
      <c r="C1865" s="472">
        <v>80.052000000000007</v>
      </c>
      <c r="D1865" s="1597">
        <f>VLOOKUP(H1865,indexy!$C$44:$D$823,2,FALSE)</f>
        <v>120.34</v>
      </c>
      <c r="E1865" s="1463">
        <f t="shared" si="7"/>
        <v>0.50327287263278864</v>
      </c>
      <c r="F1865" s="1494">
        <f t="shared" si="6"/>
        <v>1.0065457452655772E-2</v>
      </c>
      <c r="G1865" s="415"/>
      <c r="H1865" s="415" t="str">
        <f>VLOOKUP(B1865,indexy!$A$44:$D$823,3,FALSE)</f>
        <v>CBA AT Equity</v>
      </c>
      <c r="I1865" s="412"/>
    </row>
    <row r="1866" spans="1:15" ht="12.75" hidden="1" customHeight="1" outlineLevel="1" x14ac:dyDescent="0.25">
      <c r="A1866" s="135">
        <v>0.02</v>
      </c>
      <c r="B1866" s="211" t="s">
        <v>4025</v>
      </c>
      <c r="C1866" s="472">
        <v>70.747</v>
      </c>
      <c r="D1866" s="1597">
        <f>VLOOKUP(H1866,indexy!$C$44:$D$823,2,FALSE)</f>
        <v>73.94</v>
      </c>
      <c r="E1866" s="1463">
        <f t="shared" si="7"/>
        <v>4.5132655801659372E-2</v>
      </c>
      <c r="F1866" s="1494">
        <f t="shared" si="6"/>
        <v>9.026531160331874E-4</v>
      </c>
      <c r="G1866" s="415"/>
      <c r="H1866" s="415" t="str">
        <f>VLOOKUP(B1866,indexy!$A$44:$D$823,3,FALSE)</f>
        <v>MBG GR Equity</v>
      </c>
      <c r="I1866" s="412"/>
    </row>
    <row r="1867" spans="1:15" ht="12.75" hidden="1" customHeight="1" outlineLevel="1" x14ac:dyDescent="0.25">
      <c r="A1867" s="135">
        <v>0.02</v>
      </c>
      <c r="B1867" s="211" t="s">
        <v>2629</v>
      </c>
      <c r="C1867" s="472">
        <v>15.254</v>
      </c>
      <c r="D1867" s="1597">
        <f>VLOOKUP(H1867,indexy!$C$44:$D$823,2,FALSE)</f>
        <v>22.5</v>
      </c>
      <c r="E1867" s="1463">
        <f t="shared" si="7"/>
        <v>0.47502294480136364</v>
      </c>
      <c r="F1867" s="1494">
        <f t="shared" si="6"/>
        <v>9.500458896027273E-3</v>
      </c>
      <c r="G1867" s="415"/>
      <c r="H1867" s="415" t="str">
        <f>VLOOKUP(B1867,indexy!$A$44:$D$823,3,FALSE)</f>
        <v>DTE GY Equity</v>
      </c>
      <c r="I1867" s="412"/>
    </row>
    <row r="1868" spans="1:15" ht="12.75" hidden="1" customHeight="1" outlineLevel="1" x14ac:dyDescent="0.25">
      <c r="A1868" s="135">
        <v>0.02</v>
      </c>
      <c r="B1868" s="211" t="s">
        <v>6821</v>
      </c>
      <c r="C1868" s="472">
        <v>3.6269999999999998</v>
      </c>
      <c r="D1868" s="1597">
        <f>VLOOKUP(H1868,indexy!$C$44:$D$823,2,FALSE)/100</f>
        <v>1.9505000000000001</v>
      </c>
      <c r="E1868" s="1463">
        <f t="shared" si="7"/>
        <v>-0.46222773642128478</v>
      </c>
      <c r="F1868" s="1494">
        <f t="shared" si="6"/>
        <v>-9.2445547284256951E-3</v>
      </c>
      <c r="G1868" s="415"/>
      <c r="H1868" s="415" t="str">
        <f>VLOOKUP(B1868,indexy!$A$44:$D$823,3,FALSE)</f>
        <v>DLG LN Equity</v>
      </c>
      <c r="I1868" s="412"/>
    </row>
    <row r="1869" spans="1:15" ht="12.75" hidden="1" customHeight="1" outlineLevel="1" x14ac:dyDescent="0.25">
      <c r="A1869" s="135">
        <v>0.08</v>
      </c>
      <c r="B1869" s="211" t="s">
        <v>6267</v>
      </c>
      <c r="C1869" s="472">
        <v>24.861000000000001</v>
      </c>
      <c r="D1869" s="1597">
        <f>VLOOKUP(H1869,indexy!$C$44:$D$823,2,FALSE)</f>
        <v>13.765000000000001</v>
      </c>
      <c r="E1869" s="1463">
        <f t="shared" si="7"/>
        <v>-0.44632154780580025</v>
      </c>
      <c r="F1869" s="1494">
        <f t="shared" si="6"/>
        <v>-3.570572382446402E-2</v>
      </c>
      <c r="G1869" s="415"/>
      <c r="H1869" s="415" t="str">
        <f>VLOOKUP(B1869,indexy!$A$44:$D$823,3,FALSE)</f>
        <v>ENG SQ Equity</v>
      </c>
      <c r="I1869" s="412"/>
    </row>
    <row r="1870" spans="1:15" ht="12.75" hidden="1" customHeight="1" outlineLevel="1" x14ac:dyDescent="0.25">
      <c r="A1870" s="135">
        <v>0.05</v>
      </c>
      <c r="B1870" s="211" t="s">
        <v>4268</v>
      </c>
      <c r="C1870" s="472">
        <v>17.141999999999999</v>
      </c>
      <c r="D1870" s="1597">
        <f>VLOOKUP(H1870,indexy!$C$44:$D$823,2,FALSE)</f>
        <v>11.445</v>
      </c>
      <c r="E1870" s="1463">
        <f t="shared" si="7"/>
        <v>-0.33234161708085397</v>
      </c>
      <c r="F1870" s="1494">
        <f t="shared" si="6"/>
        <v>-1.66170808540427E-2</v>
      </c>
      <c r="G1870" s="415"/>
      <c r="H1870" s="415" t="str">
        <f>VLOOKUP(B1870,indexy!$A$44:$D$823,3,FALSE)</f>
        <v>FORTUM FH Equity</v>
      </c>
      <c r="I1870" s="412"/>
    </row>
    <row r="1871" spans="1:15" ht="12.75" hidden="1" customHeight="1" outlineLevel="1" x14ac:dyDescent="0.25">
      <c r="A1871" s="135">
        <v>0.02</v>
      </c>
      <c r="B1871" s="211" t="s">
        <v>8208</v>
      </c>
      <c r="C1871" s="472">
        <v>6.3535000000000004</v>
      </c>
      <c r="D1871" s="1597">
        <f>VLOOKUP(H1871,indexy!$C$44:$D$823,2,FALSE)/100</f>
        <v>1.7675000000000001</v>
      </c>
      <c r="E1871" s="1463">
        <f t="shared" si="7"/>
        <v>-0.72180687809868571</v>
      </c>
      <c r="F1871" s="1494">
        <f t="shared" si="6"/>
        <v>-1.4436137561973714E-2</v>
      </c>
      <c r="G1871" s="415"/>
      <c r="H1871" s="415" t="str">
        <f>VLOOKUP(B1871,indexy!$A$44:$D$823,3,FALSE)</f>
        <v>IAG LN Equity</v>
      </c>
      <c r="I1871" s="412"/>
    </row>
    <row r="1872" spans="1:15" ht="12.75" hidden="1" customHeight="1" outlineLevel="1" x14ac:dyDescent="0.25">
      <c r="A1872" s="135">
        <v>0.04</v>
      </c>
      <c r="B1872" s="211" t="s">
        <v>6902</v>
      </c>
      <c r="C1872" s="490">
        <v>2.6640999999999999</v>
      </c>
      <c r="D1872" s="1597">
        <f>VLOOKUP(H1872,indexy!$C$44:$D$823,2,FALSE)/100</f>
        <v>2.544</v>
      </c>
      <c r="E1872" s="1463">
        <f t="shared" si="7"/>
        <v>-4.5080890356968495E-2</v>
      </c>
      <c r="F1872" s="1494">
        <f t="shared" si="6"/>
        <v>-1.8032356142787399E-3</v>
      </c>
      <c r="G1872" s="415"/>
      <c r="H1872" s="415" t="str">
        <f>VLOOKUP(B1872,indexy!$A$44:$D$823,3,FALSE)</f>
        <v>LGEN LN Equity</v>
      </c>
      <c r="I1872" s="412"/>
    </row>
    <row r="1873" spans="1:9" ht="12.75" hidden="1" customHeight="1" outlineLevel="1" x14ac:dyDescent="0.25">
      <c r="A1873" s="135">
        <v>0.02</v>
      </c>
      <c r="B1873" s="211" t="s">
        <v>8261</v>
      </c>
      <c r="C1873" s="472">
        <v>137.69</v>
      </c>
      <c r="D1873" s="1597">
        <f>VLOOKUP(H1873,indexy!$C$44:$D$823,2,FALSE)</f>
        <v>198.95</v>
      </c>
      <c r="E1873" s="1463">
        <f t="shared" si="7"/>
        <v>0.44491248456678045</v>
      </c>
      <c r="F1873" s="1494">
        <f t="shared" si="6"/>
        <v>8.898249691335609E-3</v>
      </c>
      <c r="G1873" s="415"/>
      <c r="H1873" s="415" t="str">
        <f>VLOOKUP(B1873,indexy!$A$44:$D$823,3,FALSE)</f>
        <v>MOWI NO Equity</v>
      </c>
      <c r="I1873" s="412"/>
    </row>
    <row r="1874" spans="1:9" ht="12.75" hidden="1" customHeight="1" outlineLevel="1" x14ac:dyDescent="0.25">
      <c r="A1874" s="135">
        <v>0.02</v>
      </c>
      <c r="B1874" s="211" t="s">
        <v>5196</v>
      </c>
      <c r="C1874" s="472">
        <v>43.494999999999997</v>
      </c>
      <c r="D1874" s="1597">
        <f>VLOOKUP(H1874,indexy!$C$44:$D$823,2,FALSE)/100</f>
        <v>92.32</v>
      </c>
      <c r="E1874" s="1463">
        <f t="shared" si="7"/>
        <v>1.1225428210139095</v>
      </c>
      <c r="F1874" s="1494">
        <f t="shared" si="6"/>
        <v>2.2450856420278189E-2</v>
      </c>
      <c r="G1874" s="415"/>
      <c r="H1874" s="415" t="str">
        <f>VLOOKUP(B1874,indexy!$A$44:$D$823,3,FALSE)</f>
        <v>NXT LN Equity</v>
      </c>
      <c r="I1874" s="412"/>
    </row>
    <row r="1875" spans="1:9" ht="12.75" hidden="1" customHeight="1" outlineLevel="1" x14ac:dyDescent="0.25">
      <c r="A1875" s="135">
        <v>0.03</v>
      </c>
      <c r="B1875" s="211" t="s">
        <v>8527</v>
      </c>
      <c r="C1875" s="472">
        <v>37.273000000000003</v>
      </c>
      <c r="D1875" s="1597">
        <f>VLOOKUP(H1875,indexy!$C$44:$D$823,2,FALSE)</f>
        <v>42.82</v>
      </c>
      <c r="E1875" s="1463">
        <f t="shared" si="7"/>
        <v>0.14882086228637337</v>
      </c>
      <c r="F1875" s="1494">
        <f t="shared" si="6"/>
        <v>4.4646258685912005E-3</v>
      </c>
      <c r="G1875" s="415"/>
      <c r="H1875" s="415" t="str">
        <f>VLOOKUP(B1875,indexy!$A$44:$D$823,3,FALSE)</f>
        <v>NN NA Equity</v>
      </c>
      <c r="I1875" s="412"/>
    </row>
    <row r="1876" spans="1:9" ht="12.75" hidden="1" customHeight="1" outlineLevel="1" x14ac:dyDescent="0.25">
      <c r="A1876" s="135">
        <v>0.02</v>
      </c>
      <c r="B1876" s="211" t="s">
        <v>1203</v>
      </c>
      <c r="C1876" s="472">
        <v>100.285</v>
      </c>
      <c r="D1876" s="1597">
        <f>VLOOKUP(H1876,indexy!$C$44:$D$823,2,FALSE)</f>
        <v>119.2</v>
      </c>
      <c r="E1876" s="1463">
        <f t="shared" si="7"/>
        <v>0.18861245450466169</v>
      </c>
      <c r="F1876" s="1494">
        <f t="shared" si="6"/>
        <v>3.7722490900932337E-3</v>
      </c>
      <c r="G1876" s="415"/>
      <c r="H1876" s="415" t="str">
        <f>VLOOKUP(B1876,indexy!$A$44:$D$823,3,FALSE)</f>
        <v>NDA SS Equity</v>
      </c>
      <c r="I1876" s="412"/>
    </row>
    <row r="1877" spans="1:9" ht="12.75" hidden="1" customHeight="1" outlineLevel="1" x14ac:dyDescent="0.25">
      <c r="A1877" s="135">
        <v>0.06</v>
      </c>
      <c r="B1877" s="211" t="s">
        <v>7433</v>
      </c>
      <c r="C1877" s="472">
        <v>28.896999999999998</v>
      </c>
      <c r="D1877" s="1597">
        <f>VLOOKUP(H1877,indexy!$C$44:$D$823,2,FALSE)</f>
        <v>6.5119999999999996</v>
      </c>
      <c r="E1877" s="1463">
        <f t="shared" si="7"/>
        <v>-0.77464788732394363</v>
      </c>
      <c r="F1877" s="1494">
        <f t="shared" si="6"/>
        <v>-4.6478873239436613E-2</v>
      </c>
      <c r="G1877" s="415"/>
      <c r="H1877" s="415" t="str">
        <f>VLOOKUP(B1877,indexy!$A$44:$D$823,3,FALSE)</f>
        <v>PSM GY Equity</v>
      </c>
      <c r="I1877" s="412"/>
    </row>
    <row r="1878" spans="1:9" ht="12.75" hidden="1" customHeight="1" outlineLevel="1" x14ac:dyDescent="0.25">
      <c r="A1878" s="135">
        <v>0.04</v>
      </c>
      <c r="B1878" s="211" t="s">
        <v>6270</v>
      </c>
      <c r="C1878" s="472">
        <v>45.52</v>
      </c>
      <c r="D1878" s="1597">
        <f>VLOOKUP(H1878,indexy!$C$44:$D$823,2,FALSE)</f>
        <v>39.515000000000001</v>
      </c>
      <c r="E1878" s="1463">
        <f t="shared" si="7"/>
        <v>-0.13192003514938488</v>
      </c>
      <c r="F1878" s="1494">
        <f t="shared" si="6"/>
        <v>-5.2768014059753959E-3</v>
      </c>
      <c r="G1878" s="415"/>
      <c r="H1878" s="415" t="str">
        <f>VLOOKUP(B1878,indexy!$A$44:$D$823,3,FALSE)</f>
        <v>SAMPO FH Equity</v>
      </c>
      <c r="I1878" s="412"/>
    </row>
    <row r="1879" spans="1:9" ht="12.75" hidden="1" customHeight="1" outlineLevel="1" x14ac:dyDescent="0.25">
      <c r="A1879" s="135">
        <v>0.02</v>
      </c>
      <c r="B1879" s="211" t="s">
        <v>6524</v>
      </c>
      <c r="C1879" s="472">
        <v>98.905000000000001</v>
      </c>
      <c r="D1879" s="1597">
        <f>VLOOKUP(H1879,indexy!$C$44:$D$823,2,FALSE)</f>
        <v>144.94999999999999</v>
      </c>
      <c r="E1879" s="1463">
        <f t="shared" si="7"/>
        <v>0.46554774783883501</v>
      </c>
      <c r="F1879" s="1494">
        <f t="shared" si="6"/>
        <v>9.310954956776701E-3</v>
      </c>
      <c r="G1879" s="415"/>
      <c r="H1879" s="415" t="str">
        <f>VLOOKUP(B1879,indexy!$A$44:$D$823,3,FALSE)</f>
        <v>SEBA SS Equity</v>
      </c>
      <c r="I1879" s="412"/>
    </row>
    <row r="1880" spans="1:9" ht="12.75" hidden="1" customHeight="1" outlineLevel="1" x14ac:dyDescent="0.25">
      <c r="A1880" s="135">
        <v>0.05</v>
      </c>
      <c r="B1880" s="211" t="s">
        <v>6116</v>
      </c>
      <c r="C1880" s="472">
        <v>4.1698000000000004</v>
      </c>
      <c r="D1880" s="1597">
        <f>VLOOKUP(H1880,indexy!$C$44:$D$823,2,FALSE)</f>
        <v>4.3760000000000003</v>
      </c>
      <c r="E1880" s="1463">
        <f t="shared" si="7"/>
        <v>4.9450812988632631E-2</v>
      </c>
      <c r="F1880" s="1494">
        <f t="shared" si="6"/>
        <v>2.4725406494316318E-3</v>
      </c>
      <c r="G1880" s="415"/>
      <c r="H1880" s="415" t="str">
        <f>VLOOKUP(B1880,indexy!$A$44:$D$823,3,FALSE)</f>
        <v>SRG IM Equity</v>
      </c>
      <c r="I1880" s="412"/>
    </row>
    <row r="1881" spans="1:9" ht="12.75" hidden="1" customHeight="1" outlineLevel="1" x14ac:dyDescent="0.25">
      <c r="A1881" s="135">
        <v>0.03</v>
      </c>
      <c r="B1881" s="211" t="s">
        <v>1857</v>
      </c>
      <c r="C1881" s="472">
        <v>13.147</v>
      </c>
      <c r="D1881" s="1597">
        <f>VLOOKUP(H1881,indexy!$C$44:$D$823,2,FALSE)/100</f>
        <v>16.5</v>
      </c>
      <c r="E1881" s="1463">
        <f t="shared" si="7"/>
        <v>0.25503917243477603</v>
      </c>
      <c r="F1881" s="1494">
        <f t="shared" si="6"/>
        <v>7.6511751730432807E-3</v>
      </c>
      <c r="G1881" s="415"/>
      <c r="H1881" s="415" t="str">
        <f>VLOOKUP(B1881,indexy!$A$44:$D$823,3,FALSE)</f>
        <v>SSE LN Equity</v>
      </c>
      <c r="I1881" s="412"/>
    </row>
    <row r="1882" spans="1:9" ht="12.75" hidden="1" customHeight="1" outlineLevel="1" x14ac:dyDescent="0.25">
      <c r="A1882" s="135">
        <v>0.06</v>
      </c>
      <c r="B1882" s="211" t="s">
        <v>6118</v>
      </c>
      <c r="C1882" s="472">
        <v>91.465000000000003</v>
      </c>
      <c r="D1882" s="1597">
        <f>VLOOKUP(H1882,indexy!$C$44:$D$823,2,FALSE)</f>
        <v>115.95</v>
      </c>
      <c r="E1882" s="1463">
        <f t="shared" si="7"/>
        <v>0.26769802656753949</v>
      </c>
      <c r="F1882" s="1494">
        <f t="shared" si="6"/>
        <v>1.606188159405237E-2</v>
      </c>
      <c r="G1882" s="415"/>
      <c r="H1882" s="415" t="str">
        <f>VLOOKUP(B1882,indexy!$A$44:$D$823,3,FALSE)</f>
        <v>SREN SE Equity</v>
      </c>
      <c r="I1882" s="412"/>
    </row>
    <row r="1883" spans="1:9" ht="12.75" hidden="1" customHeight="1" outlineLevel="1" x14ac:dyDescent="0.25">
      <c r="A1883" s="135">
        <v>0.02</v>
      </c>
      <c r="B1883" s="211" t="s">
        <v>3383</v>
      </c>
      <c r="C1883" s="472">
        <v>178.53</v>
      </c>
      <c r="D1883" s="1597">
        <f>VLOOKUP(H1883,indexy!$C$44:$D$823,2,FALSE)</f>
        <v>120.75</v>
      </c>
      <c r="E1883" s="1463">
        <f t="shared" si="7"/>
        <v>-0.32364308519576546</v>
      </c>
      <c r="F1883" s="1494">
        <f t="shared" si="6"/>
        <v>-6.4728617039153096E-3</v>
      </c>
      <c r="G1883" s="415"/>
      <c r="H1883" s="415" t="str">
        <f>VLOOKUP(B1883,indexy!$A$44:$D$823,3,FALSE)</f>
        <v>TEL NO Equity</v>
      </c>
      <c r="I1883" s="412"/>
    </row>
    <row r="1884" spans="1:9" ht="12.75" hidden="1" customHeight="1" outlineLevel="1" x14ac:dyDescent="0.25">
      <c r="A1884" s="135">
        <v>7.0000000000000007E-2</v>
      </c>
      <c r="B1884" s="211" t="s">
        <v>434</v>
      </c>
      <c r="C1884" s="472">
        <v>37.415999999999997</v>
      </c>
      <c r="D1884" s="1597">
        <f>VLOOKUP(H1884,indexy!$C$44:$D$823,2,FALSE)</f>
        <v>27.43</v>
      </c>
      <c r="E1884" s="1463">
        <f t="shared" si="7"/>
        <v>-0.2668911695531323</v>
      </c>
      <c r="F1884" s="1494">
        <f t="shared" si="6"/>
        <v>-1.8682381868719265E-2</v>
      </c>
      <c r="G1884" s="415"/>
      <c r="H1884" s="415" t="str">
        <f>VLOOKUP(B1884,indexy!$A$44:$D$823,3,FALSE)</f>
        <v>TELIA SS Equity</v>
      </c>
      <c r="I1884" s="412"/>
    </row>
    <row r="1885" spans="1:9" ht="12.75" hidden="1" customHeight="1" outlineLevel="1" x14ac:dyDescent="0.25">
      <c r="A1885" s="135">
        <v>0.02</v>
      </c>
      <c r="B1885" s="211" t="s">
        <v>5249</v>
      </c>
      <c r="C1885" s="472">
        <v>3.69</v>
      </c>
      <c r="D1885" s="1597">
        <f>VLOOKUP(H1885,indexy!$C$44:$D$823,2,FALSE)</f>
        <v>3.86</v>
      </c>
      <c r="E1885" s="1463">
        <f t="shared" si="7"/>
        <v>4.6070460704606964E-2</v>
      </c>
      <c r="F1885" s="1494">
        <f>E1885*A1885</f>
        <v>9.2140921409213929E-4</v>
      </c>
      <c r="G1885" s="415"/>
      <c r="H1885" s="415" t="str">
        <f>VLOOKUP(B1885,indexy!$A$44:$D$823,3,FALSE)</f>
        <v>TLS AT Equity</v>
      </c>
      <c r="I1885" s="412"/>
    </row>
    <row r="1886" spans="1:9" ht="12.75" hidden="1" customHeight="1" outlineLevel="1" x14ac:dyDescent="0.25">
      <c r="A1886" s="135">
        <v>0.04</v>
      </c>
      <c r="B1886" s="211" t="s">
        <v>10633</v>
      </c>
      <c r="C1886" s="472">
        <v>47.015999999999998</v>
      </c>
      <c r="D1886" s="1597">
        <f>VLOOKUP(H1886,indexy!$C$44:$D$823,2,FALSE)</f>
        <v>63.47</v>
      </c>
      <c r="E1886" s="1463">
        <f t="shared" si="7"/>
        <v>0.34996596903181909</v>
      </c>
      <c r="F1886" s="1494">
        <f>E1886*A1886</f>
        <v>1.3998638761272764E-2</v>
      </c>
      <c r="G1886" s="415"/>
      <c r="H1886" s="415" t="str">
        <f>VLOOKUP(B1886,indexy!$A$44:$D$823,3,FALSE)</f>
        <v>TTE FP Equity</v>
      </c>
      <c r="I1886" s="412"/>
    </row>
    <row r="1887" spans="1:9" ht="12.75" hidden="1" customHeight="1" outlineLevel="1" x14ac:dyDescent="0.25">
      <c r="A1887" s="135">
        <v>0.02</v>
      </c>
      <c r="B1887" s="211" t="s">
        <v>255</v>
      </c>
      <c r="C1887" s="472">
        <v>52.329000000000001</v>
      </c>
      <c r="D1887" s="1597">
        <f>VLOOKUP(H1887,indexy!$C$44:$D$823,2,FALSE)</f>
        <v>41.96</v>
      </c>
      <c r="E1887" s="1463">
        <f t="shared" si="7"/>
        <v>-0.19815016530031149</v>
      </c>
      <c r="F1887" s="1494">
        <f>E1887*A1887</f>
        <v>-3.9630033060062296E-3</v>
      </c>
      <c r="G1887" s="415"/>
      <c r="H1887" s="415" t="str">
        <f>VLOOKUP(B1887,indexy!$A$44:$D$823,3,FALSE)</f>
        <v>VZ UN Equity</v>
      </c>
      <c r="I1887" s="412"/>
    </row>
    <row r="1888" spans="1:9" ht="12.75" hidden="1" customHeight="1" outlineLevel="1" x14ac:dyDescent="0.25">
      <c r="A1888" s="135">
        <v>0.02</v>
      </c>
      <c r="B1888" s="211" t="s">
        <v>5626</v>
      </c>
      <c r="C1888" s="472">
        <v>31.466000000000001</v>
      </c>
      <c r="D1888" s="1597">
        <f>VLOOKUP(H1888,indexy!$C$44:$D$823,2,FALSE)</f>
        <v>26.1</v>
      </c>
      <c r="E1888" s="1463">
        <f t="shared" si="7"/>
        <v>-0.17053327401004259</v>
      </c>
      <c r="F1888" s="1494">
        <f>E1888*A1888</f>
        <v>-3.410665480200852E-3</v>
      </c>
      <c r="G1888" s="415"/>
      <c r="H1888" s="415" t="str">
        <f>VLOOKUP(B1888,indexy!$A$44:$D$823,3,FALSE)</f>
        <v>WBC AT Equity</v>
      </c>
      <c r="I1888" s="412"/>
    </row>
    <row r="1889" spans="1:9" ht="12.75" hidden="1" customHeight="1" outlineLevel="1" x14ac:dyDescent="0.25">
      <c r="A1889" s="135">
        <v>7.0000000000000007E-2</v>
      </c>
      <c r="B1889" s="1465" t="s">
        <v>4550</v>
      </c>
      <c r="C1889" s="472">
        <v>299.41000000000003</v>
      </c>
      <c r="D1889" s="1598">
        <f>VLOOKUP(H1889,indexy!$C$44:$D$823,2,FALSE)</f>
        <v>486.3</v>
      </c>
      <c r="E1889" s="1463">
        <f t="shared" si="7"/>
        <v>0.62419424868908835</v>
      </c>
      <c r="F1889" s="1494">
        <f>E1889*A1889</f>
        <v>4.3693597408236189E-2</v>
      </c>
      <c r="G1889" s="415"/>
      <c r="H1889" s="415" t="str">
        <f>VLOOKUP(B1889,indexy!$A$44:$D$823,3,FALSE)</f>
        <v>ZURN SE Equity</v>
      </c>
      <c r="I1889" s="412"/>
    </row>
    <row r="1890" spans="1:9" ht="12.75" hidden="1" customHeight="1" outlineLevel="1" x14ac:dyDescent="0.25">
      <c r="A1890" s="1475" t="s">
        <v>2734</v>
      </c>
      <c r="B1890" s="150"/>
      <c r="C1890" s="1476">
        <v>100</v>
      </c>
      <c r="D1890" s="1477"/>
      <c r="E1890" s="1599"/>
      <c r="F1890" s="1599">
        <f>SUM(F1860:F1889)</f>
        <v>3.2899518978743436E-3</v>
      </c>
      <c r="G1890" s="12"/>
      <c r="H1890" s="415"/>
    </row>
    <row r="1891" spans="1:9" ht="12.75" hidden="1" customHeight="1" outlineLevel="1" x14ac:dyDescent="0.25">
      <c r="A1891" s="221" t="s">
        <v>9030</v>
      </c>
      <c r="B1891" s="1478">
        <v>45352</v>
      </c>
      <c r="C1891" s="1497">
        <v>100</v>
      </c>
      <c r="D1891" s="1497"/>
      <c r="E1891" s="1498">
        <f>IF(D1891="",F1890,D1891/C1891-1)</f>
        <v>3.2899518978743436E-3</v>
      </c>
      <c r="F1891" s="1499"/>
      <c r="G1891" s="12"/>
      <c r="H1891" s="415"/>
    </row>
    <row r="1892" spans="1:9" ht="12.75" hidden="1" customHeight="1" outlineLevel="1" x14ac:dyDescent="0.25">
      <c r="A1892" s="221" t="s">
        <v>9031</v>
      </c>
      <c r="B1892" s="1478">
        <v>45383</v>
      </c>
      <c r="C1892" s="1497">
        <v>100</v>
      </c>
      <c r="D1892" s="1500"/>
      <c r="E1892" s="1498">
        <f>IF(D1892="",E1891,D1892/C1892-1)</f>
        <v>3.2899518978743436E-3</v>
      </c>
      <c r="F1892" s="1499"/>
      <c r="G1892" s="12"/>
      <c r="H1892" s="415"/>
    </row>
    <row r="1893" spans="1:9" ht="12.75" hidden="1" customHeight="1" outlineLevel="1" x14ac:dyDescent="0.25">
      <c r="A1893" s="221" t="s">
        <v>9032</v>
      </c>
      <c r="B1893" s="1478">
        <v>45413</v>
      </c>
      <c r="C1893" s="1497">
        <v>100</v>
      </c>
      <c r="D1893" s="1500"/>
      <c r="E1893" s="1498">
        <f t="shared" ref="E1893:E1900" si="8">IF(D1893="",E1892,D1893/C1893-1)</f>
        <v>3.2899518978743436E-3</v>
      </c>
      <c r="F1893" s="1499"/>
      <c r="G1893" s="12"/>
      <c r="H1893" s="415"/>
    </row>
    <row r="1894" spans="1:9" ht="12.75" hidden="1" customHeight="1" outlineLevel="1" x14ac:dyDescent="0.25">
      <c r="A1894" s="221" t="s">
        <v>9033</v>
      </c>
      <c r="B1894" s="1478">
        <v>45444</v>
      </c>
      <c r="C1894" s="1497">
        <v>100</v>
      </c>
      <c r="D1894" s="1500"/>
      <c r="E1894" s="1498">
        <f t="shared" si="8"/>
        <v>3.2899518978743436E-3</v>
      </c>
      <c r="F1894" s="1499"/>
      <c r="G1894" s="12"/>
      <c r="H1894" s="415"/>
    </row>
    <row r="1895" spans="1:9" ht="12.75" hidden="1" customHeight="1" outlineLevel="1" x14ac:dyDescent="0.25">
      <c r="A1895" s="221" t="s">
        <v>9034</v>
      </c>
      <c r="B1895" s="1478">
        <v>45474</v>
      </c>
      <c r="C1895" s="1497">
        <v>100</v>
      </c>
      <c r="D1895" s="1500"/>
      <c r="E1895" s="1498">
        <f t="shared" si="8"/>
        <v>3.2899518978743436E-3</v>
      </c>
      <c r="F1895" s="1499"/>
      <c r="G1895" s="12"/>
      <c r="H1895" s="415"/>
    </row>
    <row r="1896" spans="1:9" ht="12.75" hidden="1" customHeight="1" outlineLevel="1" x14ac:dyDescent="0.25">
      <c r="A1896" s="221" t="s">
        <v>9035</v>
      </c>
      <c r="B1896" s="1478">
        <v>45505</v>
      </c>
      <c r="C1896" s="1497">
        <v>100</v>
      </c>
      <c r="D1896" s="1500"/>
      <c r="E1896" s="1498">
        <f t="shared" si="8"/>
        <v>3.2899518978743436E-3</v>
      </c>
      <c r="F1896" s="1499"/>
      <c r="G1896" s="12"/>
      <c r="H1896" s="415"/>
    </row>
    <row r="1897" spans="1:9" ht="12.75" hidden="1" customHeight="1" outlineLevel="1" x14ac:dyDescent="0.25">
      <c r="A1897" s="221" t="s">
        <v>9036</v>
      </c>
      <c r="B1897" s="1478">
        <v>45536</v>
      </c>
      <c r="C1897" s="1497">
        <v>100</v>
      </c>
      <c r="D1897" s="1500"/>
      <c r="E1897" s="1498">
        <f t="shared" si="8"/>
        <v>3.2899518978743436E-3</v>
      </c>
      <c r="F1897" s="1499"/>
      <c r="G1897" s="12"/>
      <c r="H1897" s="415"/>
    </row>
    <row r="1898" spans="1:9" ht="12.75" hidden="1" customHeight="1" outlineLevel="1" x14ac:dyDescent="0.25">
      <c r="A1898" s="221" t="s">
        <v>9037</v>
      </c>
      <c r="B1898" s="1478">
        <v>45566</v>
      </c>
      <c r="C1898" s="1497">
        <v>100</v>
      </c>
      <c r="D1898" s="1500"/>
      <c r="E1898" s="1498">
        <f t="shared" si="8"/>
        <v>3.2899518978743436E-3</v>
      </c>
      <c r="F1898" s="1499"/>
      <c r="G1898" s="12"/>
      <c r="H1898" s="415"/>
    </row>
    <row r="1899" spans="1:9" ht="12.75" hidden="1" customHeight="1" outlineLevel="1" x14ac:dyDescent="0.25">
      <c r="A1899" s="221" t="s">
        <v>9038</v>
      </c>
      <c r="B1899" s="1478">
        <v>45597</v>
      </c>
      <c r="C1899" s="1497">
        <v>100</v>
      </c>
      <c r="D1899" s="1500"/>
      <c r="E1899" s="1498">
        <f t="shared" si="8"/>
        <v>3.2899518978743436E-3</v>
      </c>
      <c r="F1899" s="1499"/>
      <c r="G1899" s="12"/>
      <c r="H1899" s="415"/>
    </row>
    <row r="1900" spans="1:9" ht="12.75" hidden="1" customHeight="1" outlineLevel="1" x14ac:dyDescent="0.25">
      <c r="A1900" s="221" t="s">
        <v>9039</v>
      </c>
      <c r="B1900" s="1478">
        <v>45627</v>
      </c>
      <c r="C1900" s="1497">
        <v>100</v>
      </c>
      <c r="D1900" s="1500"/>
      <c r="E1900" s="1498">
        <f t="shared" si="8"/>
        <v>3.2899518978743436E-3</v>
      </c>
      <c r="F1900" s="1499"/>
      <c r="G1900" s="12"/>
      <c r="H1900" s="415"/>
    </row>
    <row r="1901" spans="1:9" ht="12.75" hidden="1" customHeight="1" outlineLevel="1" x14ac:dyDescent="0.25">
      <c r="A1901" s="221" t="s">
        <v>9040</v>
      </c>
      <c r="B1901" s="1478">
        <v>45658</v>
      </c>
      <c r="C1901" s="1497">
        <v>100</v>
      </c>
      <c r="D1901" s="1500"/>
      <c r="E1901" s="1498">
        <f>IF(D1901="",E1900,D1901/C1901-1)</f>
        <v>3.2899518978743436E-3</v>
      </c>
      <c r="F1901" s="1499"/>
      <c r="G1901" s="12"/>
      <c r="H1901" s="415"/>
    </row>
    <row r="1902" spans="1:9" ht="12.75" hidden="1" customHeight="1" outlineLevel="1" x14ac:dyDescent="0.25">
      <c r="A1902" s="221" t="s">
        <v>9041</v>
      </c>
      <c r="B1902" s="1478">
        <v>45689</v>
      </c>
      <c r="C1902" s="1497">
        <v>100</v>
      </c>
      <c r="D1902" s="1500"/>
      <c r="E1902" s="1498">
        <f>IF(D1902="",E1901,D1902/C1902-1)</f>
        <v>3.2899518978743436E-3</v>
      </c>
      <c r="F1902" s="1499"/>
      <c r="G1902" s="12"/>
      <c r="H1902" s="415"/>
    </row>
    <row r="1903" spans="1:9" ht="12.75" hidden="1" customHeight="1" outlineLevel="1" x14ac:dyDescent="0.25">
      <c r="A1903" s="1483" t="s">
        <v>2734</v>
      </c>
      <c r="B1903" s="1484"/>
      <c r="C1903" s="1500"/>
      <c r="D1903" s="1485" t="s">
        <v>2465</v>
      </c>
      <c r="E1903" s="1486">
        <f>AVERAGE(E1891:E1902)</f>
        <v>3.2899518978743436E-3</v>
      </c>
      <c r="F1903" s="1487">
        <f>+E1903</f>
        <v>3.2899518978743436E-3</v>
      </c>
      <c r="G1903" s="12"/>
      <c r="H1903" s="415"/>
    </row>
    <row r="1904" spans="1:9" collapsed="1" x14ac:dyDescent="0.25">
      <c r="A1904" s="3799" t="s">
        <v>8913</v>
      </c>
      <c r="B1904" s="3800"/>
      <c r="C1904" s="3800"/>
      <c r="D1904" s="3800"/>
      <c r="E1904" s="18"/>
      <c r="F1904" s="186">
        <f>IF(F1903&lt;0,-F1903*0.2,MIN(+F1903,100%))</f>
        <v>3.2899518978743436E-3</v>
      </c>
      <c r="G1904" s="78"/>
    </row>
    <row r="1906" spans="1:15" ht="12.75" hidden="1" customHeight="1" outlineLevel="1" x14ac:dyDescent="0.25">
      <c r="A1906" s="1677" t="s">
        <v>4156</v>
      </c>
      <c r="B1906" s="1677" t="s">
        <v>4153</v>
      </c>
      <c r="C1906" s="1623" t="s">
        <v>112</v>
      </c>
      <c r="D1906" s="1678" t="s">
        <v>4155</v>
      </c>
      <c r="E1906" s="1677" t="s">
        <v>4154</v>
      </c>
      <c r="F1906" s="1678" t="s">
        <v>2519</v>
      </c>
      <c r="G1906" s="12"/>
      <c r="H1906" s="415"/>
      <c r="I1906" s="412"/>
      <c r="J1906" s="1462"/>
      <c r="K1906" s="1462"/>
      <c r="L1906" s="1462"/>
      <c r="M1906" s="1462"/>
      <c r="N1906" s="1462"/>
      <c r="O1906" s="1462"/>
    </row>
    <row r="1907" spans="1:15" ht="12.75" hidden="1" customHeight="1" outlineLevel="1" x14ac:dyDescent="0.25">
      <c r="A1907" s="1508">
        <v>0.04</v>
      </c>
      <c r="B1907" s="1505" t="s">
        <v>2697</v>
      </c>
      <c r="C1907" s="455">
        <v>15.694000000000001</v>
      </c>
      <c r="D1907" s="1510">
        <f>VLOOKUP(H1907,indexy!$C$44:$D$823,2,FALSE)</f>
        <v>23.46</v>
      </c>
      <c r="E1907" s="1520">
        <f>D1907/C1907-1</f>
        <v>0.49483879189499169</v>
      </c>
      <c r="F1907" s="1512">
        <f>E1907*A1907</f>
        <v>1.9793551675799669E-2</v>
      </c>
      <c r="G1907" s="415"/>
      <c r="H1907" s="415" t="str">
        <f>VLOOKUP(B1907,indexy!$A$44:$D$823,3,FALSE)</f>
        <v>G IM Equity</v>
      </c>
      <c r="I1907" s="412"/>
    </row>
    <row r="1908" spans="1:15" ht="12.75" hidden="1" customHeight="1" outlineLevel="1" x14ac:dyDescent="0.25">
      <c r="A1908" s="1509">
        <v>0.02</v>
      </c>
      <c r="B1908" s="1505" t="s">
        <v>218</v>
      </c>
      <c r="C1908" s="455">
        <v>26.650500000000001</v>
      </c>
      <c r="D1908" s="1513">
        <f>VLOOKUP(H1908,indexy!$C$44:$D$823,2,FALSE)</f>
        <v>34.814999999999998</v>
      </c>
      <c r="E1908" s="1521">
        <f>D1908/C1908-1</f>
        <v>0.30635447740192467</v>
      </c>
      <c r="F1908" s="1515">
        <f t="shared" ref="F1908:F1931" si="9">E1908*A1908</f>
        <v>6.1270895480384936E-3</v>
      </c>
      <c r="G1908" s="415"/>
      <c r="H1908" s="415" t="str">
        <f>VLOOKUP(B1908,indexy!$A$44:$D$823,3,FALSE)</f>
        <v>CS FP Equity</v>
      </c>
      <c r="I1908" s="412"/>
    </row>
    <row r="1909" spans="1:15" ht="12.75" hidden="1" customHeight="1" outlineLevel="1" x14ac:dyDescent="0.25">
      <c r="A1909" s="1509">
        <v>0.02</v>
      </c>
      <c r="B1909" s="1505" t="s">
        <v>807</v>
      </c>
      <c r="C1909" s="455">
        <v>58.155000000000001</v>
      </c>
      <c r="D1909" s="1513">
        <f>VLOOKUP(H1909,indexy!$C$44:$D$823,2,FALSE)</f>
        <v>46.03</v>
      </c>
      <c r="E1909" s="1521">
        <f t="shared" ref="E1909:E1936" si="10">D1909/C1909-1</f>
        <v>-0.2084945404522397</v>
      </c>
      <c r="F1909" s="1515">
        <f t="shared" si="9"/>
        <v>-4.1698908090447937E-3</v>
      </c>
      <c r="G1909" s="415"/>
      <c r="H1909" s="415" t="str">
        <f>VLOOKUP(B1909,indexy!$A$44:$D$823,3,FALSE)</f>
        <v>BCE CT Equity</v>
      </c>
      <c r="I1909" s="412"/>
    </row>
    <row r="1910" spans="1:15" ht="12.75" hidden="1" customHeight="1" outlineLevel="1" x14ac:dyDescent="0.25">
      <c r="A1910" s="1509">
        <v>0.02</v>
      </c>
      <c r="B1910" s="1505" t="s">
        <v>1188</v>
      </c>
      <c r="C1910" s="455">
        <v>5.2473999999999998</v>
      </c>
      <c r="D1910" s="1513">
        <f>VLOOKUP(H1910,indexy!$C$44:$D$823,2,FALSE)/100</f>
        <v>4.9569999999999999</v>
      </c>
      <c r="E1910" s="1521">
        <f t="shared" si="10"/>
        <v>-5.5341693028928662E-2</v>
      </c>
      <c r="F1910" s="1515">
        <f t="shared" si="9"/>
        <v>-1.1068338605785732E-3</v>
      </c>
      <c r="G1910" s="415"/>
      <c r="H1910" s="415" t="str">
        <f>VLOOKUP(B1910,indexy!$A$44:$D$823,3,FALSE)</f>
        <v>BP/ LN Equity</v>
      </c>
      <c r="I1910" s="412"/>
      <c r="K1910" s="37"/>
    </row>
    <row r="1911" spans="1:15" ht="12.75" hidden="1" customHeight="1" outlineLevel="1" x14ac:dyDescent="0.25">
      <c r="A1911" s="1509">
        <v>0.02</v>
      </c>
      <c r="B1911" s="1505" t="s">
        <v>8918</v>
      </c>
      <c r="C1911" s="455">
        <v>2.7099000000000002</v>
      </c>
      <c r="D1911" s="1513">
        <f>VLOOKUP(H1911,indexy!$C$44:$D$823,2,FALSE)/100</f>
        <v>1.0965</v>
      </c>
      <c r="E1911" s="1521">
        <f t="shared" si="10"/>
        <v>-0.59537252297132737</v>
      </c>
      <c r="F1911" s="1515">
        <f t="shared" si="9"/>
        <v>-1.1907450459426547E-2</v>
      </c>
      <c r="G1911" s="415"/>
      <c r="H1911" s="415" t="str">
        <f>VLOOKUP(B1911,indexy!$A$44:$D$823,3,FALSE)</f>
        <v>BT/A LN Equity</v>
      </c>
      <c r="I1911" s="412"/>
    </row>
    <row r="1912" spans="1:15" ht="12.75" hidden="1" customHeight="1" outlineLevel="1" x14ac:dyDescent="0.25">
      <c r="A1912" s="1509">
        <v>0.02</v>
      </c>
      <c r="B1912" s="1505" t="s">
        <v>8678</v>
      </c>
      <c r="C1912" s="455">
        <v>80.918999999999997</v>
      </c>
      <c r="D1912" s="1513">
        <f>VLOOKUP(H1912,indexy!$C$44:$D$823,2,FALSE)</f>
        <v>120.34</v>
      </c>
      <c r="E1912" s="1521">
        <f t="shared" si="10"/>
        <v>0.48716617852420341</v>
      </c>
      <c r="F1912" s="1515">
        <f t="shared" si="9"/>
        <v>9.7433235704840679E-3</v>
      </c>
      <c r="G1912" s="415"/>
      <c r="H1912" s="415" t="str">
        <f>VLOOKUP(B1912,indexy!$A$44:$D$823,3,FALSE)</f>
        <v>CBA AT Equity</v>
      </c>
      <c r="I1912" s="412"/>
    </row>
    <row r="1913" spans="1:15" ht="12.75" hidden="1" customHeight="1" outlineLevel="1" x14ac:dyDescent="0.25">
      <c r="A1913" s="1509">
        <v>0.02</v>
      </c>
      <c r="B1913" s="1505" t="s">
        <v>4025</v>
      </c>
      <c r="C1913" s="455">
        <v>74.167000000000002</v>
      </c>
      <c r="D1913" s="1513">
        <f>VLOOKUP(H1913,indexy!$C$44:$D$823,2,FALSE)</f>
        <v>73.94</v>
      </c>
      <c r="E1913" s="1521">
        <f t="shared" si="10"/>
        <v>-3.060660401526305E-3</v>
      </c>
      <c r="F1913" s="1515">
        <f t="shared" si="9"/>
        <v>-6.1213208030526099E-5</v>
      </c>
      <c r="G1913" s="415"/>
      <c r="H1913" s="415" t="str">
        <f>VLOOKUP(B1913,indexy!$A$44:$D$823,3,FALSE)</f>
        <v>MBG GR Equity</v>
      </c>
      <c r="I1913" s="412"/>
    </row>
    <row r="1914" spans="1:15" ht="12.75" hidden="1" customHeight="1" outlineLevel="1" x14ac:dyDescent="0.25">
      <c r="A1914" s="1509">
        <v>0.02</v>
      </c>
      <c r="B1914" s="1505" t="s">
        <v>2629</v>
      </c>
      <c r="C1914" s="455">
        <v>14.595000000000001</v>
      </c>
      <c r="D1914" s="1513">
        <f>VLOOKUP(H1914,indexy!$C$44:$D$823,2,FALSE)</f>
        <v>22.5</v>
      </c>
      <c r="E1914" s="1521">
        <f t="shared" si="10"/>
        <v>0.54162384378211703</v>
      </c>
      <c r="F1914" s="1515">
        <f t="shared" si="9"/>
        <v>1.083247687564234E-2</v>
      </c>
      <c r="G1914" s="415"/>
      <c r="H1914" s="415" t="str">
        <f>VLOOKUP(B1914,indexy!$A$44:$D$823,3,FALSE)</f>
        <v>DTE GY Equity</v>
      </c>
      <c r="I1914" s="412"/>
    </row>
    <row r="1915" spans="1:15" ht="12.75" hidden="1" customHeight="1" outlineLevel="1" x14ac:dyDescent="0.25">
      <c r="A1915" s="1509">
        <v>0.02</v>
      </c>
      <c r="B1915" s="1505" t="s">
        <v>6821</v>
      </c>
      <c r="C1915" s="455">
        <v>3.7193999999999998</v>
      </c>
      <c r="D1915" s="1513">
        <f>VLOOKUP(H1915,indexy!$C$44:$D$823,2,FALSE)/100</f>
        <v>1.9505000000000001</v>
      </c>
      <c r="E1915" s="1521">
        <f t="shared" si="10"/>
        <v>-0.47558746034306598</v>
      </c>
      <c r="F1915" s="1515">
        <f t="shared" si="9"/>
        <v>-9.5117492068613196E-3</v>
      </c>
      <c r="G1915" s="415"/>
      <c r="H1915" s="415" t="str">
        <f>VLOOKUP(B1915,indexy!$A$44:$D$823,3,FALSE)</f>
        <v>DLG LN Equity</v>
      </c>
      <c r="I1915" s="412"/>
    </row>
    <row r="1916" spans="1:15" ht="12.75" hidden="1" customHeight="1" outlineLevel="1" x14ac:dyDescent="0.25">
      <c r="A1916" s="1509">
        <v>0.08</v>
      </c>
      <c r="B1916" s="1505" t="s">
        <v>6267</v>
      </c>
      <c r="C1916" s="455">
        <v>23.87</v>
      </c>
      <c r="D1916" s="1513">
        <f>VLOOKUP(H1916,indexy!$C$44:$D$823,2,FALSE)</f>
        <v>13.765000000000001</v>
      </c>
      <c r="E1916" s="1521">
        <f t="shared" si="10"/>
        <v>-0.42333472978634268</v>
      </c>
      <c r="F1916" s="1515">
        <f t="shared" si="9"/>
        <v>-3.3866778382907414E-2</v>
      </c>
      <c r="G1916" s="415"/>
      <c r="H1916" s="415" t="str">
        <f>VLOOKUP(B1916,indexy!$A$44:$D$823,3,FALSE)</f>
        <v>ENG SQ Equity</v>
      </c>
      <c r="I1916" s="412"/>
    </row>
    <row r="1917" spans="1:15" ht="12.75" hidden="1" customHeight="1" outlineLevel="1" x14ac:dyDescent="0.25">
      <c r="A1917" s="1509">
        <v>0.05</v>
      </c>
      <c r="B1917" s="1505" t="s">
        <v>4268</v>
      </c>
      <c r="C1917" s="455">
        <v>17.4785</v>
      </c>
      <c r="D1917" s="1513">
        <f>VLOOKUP(H1917,indexy!$C$44:$D$823,2,FALSE)</f>
        <v>11.445</v>
      </c>
      <c r="E1917" s="1521">
        <f t="shared" si="10"/>
        <v>-0.34519552593185909</v>
      </c>
      <c r="F1917" s="1515">
        <f t="shared" si="9"/>
        <v>-1.7259776296592956E-2</v>
      </c>
      <c r="G1917" s="415"/>
      <c r="H1917" s="415" t="str">
        <f>VLOOKUP(B1917,indexy!$A$44:$D$823,3,FALSE)</f>
        <v>FORTUM FH Equity</v>
      </c>
      <c r="I1917" s="412"/>
    </row>
    <row r="1918" spans="1:15" ht="12.75" hidden="1" customHeight="1" outlineLevel="1" x14ac:dyDescent="0.25">
      <c r="A1918" s="1509">
        <v>0.02</v>
      </c>
      <c r="B1918" s="1505" t="s">
        <v>8208</v>
      </c>
      <c r="C1918" s="455">
        <v>6.5880000000000001</v>
      </c>
      <c r="D1918" s="1513">
        <f>VLOOKUP(H1918,indexy!$C$44:$D$823,2,FALSE)/100</f>
        <v>1.7675000000000001</v>
      </c>
      <c r="E1918" s="1521">
        <f t="shared" si="10"/>
        <v>-0.73170916818457798</v>
      </c>
      <c r="F1918" s="1515">
        <f t="shared" si="9"/>
        <v>-1.463418336369156E-2</v>
      </c>
      <c r="G1918" s="415"/>
      <c r="H1918" s="415" t="str">
        <f>VLOOKUP(B1918,indexy!$A$44:$D$823,3,FALSE)</f>
        <v>IAG LN Equity</v>
      </c>
      <c r="I1918" s="412"/>
    </row>
    <row r="1919" spans="1:15" ht="12.75" hidden="1" customHeight="1" outlineLevel="1" x14ac:dyDescent="0.25">
      <c r="A1919" s="1509">
        <v>0.04</v>
      </c>
      <c r="B1919" s="1505" t="s">
        <v>6902</v>
      </c>
      <c r="C1919" s="1507">
        <v>2.7414999999999998</v>
      </c>
      <c r="D1919" s="1513">
        <f>VLOOKUP(H1919,indexy!$C$44:$D$823,2,FALSE)/100</f>
        <v>2.544</v>
      </c>
      <c r="E1919" s="1521">
        <f t="shared" si="10"/>
        <v>-7.2040853547328032E-2</v>
      </c>
      <c r="F1919" s="1515">
        <f t="shared" si="9"/>
        <v>-2.8816341418931215E-3</v>
      </c>
      <c r="G1919" s="415"/>
      <c r="H1919" s="415" t="str">
        <f>VLOOKUP(B1919,indexy!$A$44:$D$823,3,FALSE)</f>
        <v>LGEN LN Equity</v>
      </c>
      <c r="I1919" s="412"/>
    </row>
    <row r="1920" spans="1:15" ht="12.75" hidden="1" customHeight="1" outlineLevel="1" x14ac:dyDescent="0.25">
      <c r="A1920" s="1509">
        <v>0.02</v>
      </c>
      <c r="B1920" s="1505" t="s">
        <v>8261</v>
      </c>
      <c r="C1920" s="455">
        <v>135.435</v>
      </c>
      <c r="D1920" s="1513">
        <f>VLOOKUP(H1920,indexy!$C$44:$D$823,2,FALSE)</f>
        <v>198.95</v>
      </c>
      <c r="E1920" s="1521">
        <f t="shared" si="10"/>
        <v>0.46897035478273708</v>
      </c>
      <c r="F1920" s="1515">
        <f t="shared" si="9"/>
        <v>9.3794070956547421E-3</v>
      </c>
      <c r="G1920" s="415"/>
      <c r="H1920" s="415" t="str">
        <f>VLOOKUP(B1920,indexy!$A$44:$D$823,3,FALSE)</f>
        <v>MOWI NO Equity</v>
      </c>
      <c r="I1920" s="412"/>
    </row>
    <row r="1921" spans="1:9" ht="12.75" hidden="1" customHeight="1" outlineLevel="1" x14ac:dyDescent="0.25">
      <c r="A1921" s="1509">
        <v>0.02</v>
      </c>
      <c r="B1921" s="1505" t="s">
        <v>5196</v>
      </c>
      <c r="C1921" s="455">
        <v>49.869</v>
      </c>
      <c r="D1921" s="1513">
        <f>VLOOKUP(H1921,indexy!$C$44:$D$823,2,FALSE)/100</f>
        <v>92.32</v>
      </c>
      <c r="E1921" s="1521">
        <f t="shared" si="10"/>
        <v>0.85125027572239254</v>
      </c>
      <c r="F1921" s="1515">
        <f t="shared" si="9"/>
        <v>1.7025005514447852E-2</v>
      </c>
      <c r="G1921" s="415"/>
      <c r="H1921" s="415" t="str">
        <f>VLOOKUP(B1921,indexy!$A$44:$D$823,3,FALSE)</f>
        <v>NXT LN Equity</v>
      </c>
      <c r="I1921" s="412"/>
    </row>
    <row r="1922" spans="1:9" ht="12.75" hidden="1" customHeight="1" outlineLevel="1" x14ac:dyDescent="0.25">
      <c r="A1922" s="1509">
        <v>0.03</v>
      </c>
      <c r="B1922" s="1505" t="s">
        <v>8527</v>
      </c>
      <c r="C1922" s="455">
        <v>37.741999999999997</v>
      </c>
      <c r="D1922" s="1513">
        <f>VLOOKUP(H1922,indexy!$C$44:$D$823,2,FALSE)</f>
        <v>42.82</v>
      </c>
      <c r="E1922" s="1521">
        <f t="shared" si="10"/>
        <v>0.13454506915372799</v>
      </c>
      <c r="F1922" s="1515">
        <f t="shared" si="9"/>
        <v>4.0363520746118393E-3</v>
      </c>
      <c r="G1922" s="415"/>
      <c r="H1922" s="415" t="str">
        <f>VLOOKUP(B1922,indexy!$A$44:$D$823,3,FALSE)</f>
        <v>NN NA Equity</v>
      </c>
      <c r="I1922" s="412"/>
    </row>
    <row r="1923" spans="1:9" ht="12.75" hidden="1" customHeight="1" outlineLevel="1" x14ac:dyDescent="0.25">
      <c r="A1923" s="1509">
        <v>0.02</v>
      </c>
      <c r="B1923" s="1505" t="s">
        <v>1203</v>
      </c>
      <c r="C1923" s="455">
        <v>101.47</v>
      </c>
      <c r="D1923" s="1513">
        <f>VLOOKUP(H1923,indexy!$C$44:$D$823,2,FALSE)</f>
        <v>119.2</v>
      </c>
      <c r="E1923" s="1521">
        <f t="shared" si="10"/>
        <v>0.17473144771853755</v>
      </c>
      <c r="F1923" s="1515">
        <f t="shared" si="9"/>
        <v>3.4946289543707509E-3</v>
      </c>
      <c r="G1923" s="415"/>
      <c r="H1923" s="415" t="str">
        <f>VLOOKUP(B1923,indexy!$A$44:$D$823,3,FALSE)</f>
        <v>NDA SS Equity</v>
      </c>
      <c r="I1923" s="412"/>
    </row>
    <row r="1924" spans="1:9" ht="12.75" hidden="1" customHeight="1" outlineLevel="1" x14ac:dyDescent="0.25">
      <c r="A1924" s="1509">
        <v>0.06</v>
      </c>
      <c r="B1924" s="1505" t="s">
        <v>7433</v>
      </c>
      <c r="C1924" s="455">
        <v>29.486999999999998</v>
      </c>
      <c r="D1924" s="1513">
        <f>VLOOKUP(H1924,indexy!$C$44:$D$823,2,FALSE)</f>
        <v>6.5119999999999996</v>
      </c>
      <c r="E1924" s="1521">
        <f t="shared" si="10"/>
        <v>-0.77915691660731845</v>
      </c>
      <c r="F1924" s="1515">
        <f t="shared" si="9"/>
        <v>-4.6749414996439108E-2</v>
      </c>
      <c r="G1924" s="415"/>
      <c r="H1924" s="415" t="str">
        <f>VLOOKUP(B1924,indexy!$A$44:$D$823,3,FALSE)</f>
        <v>PSM GY Equity</v>
      </c>
      <c r="I1924" s="412"/>
    </row>
    <row r="1925" spans="1:9" ht="12.75" hidden="1" customHeight="1" outlineLevel="1" x14ac:dyDescent="0.25">
      <c r="A1925" s="1509">
        <v>0.04</v>
      </c>
      <c r="B1925" s="1505" t="s">
        <v>6270</v>
      </c>
      <c r="C1925" s="455">
        <v>47.220999999999997</v>
      </c>
      <c r="D1925" s="1513">
        <f>VLOOKUP(H1925,indexy!$C$44:$D$823,2,FALSE)</f>
        <v>39.515000000000001</v>
      </c>
      <c r="E1925" s="1521">
        <f t="shared" si="10"/>
        <v>-0.16319010609686357</v>
      </c>
      <c r="F1925" s="1515">
        <f t="shared" si="9"/>
        <v>-6.5276042438745432E-3</v>
      </c>
      <c r="G1925" s="415"/>
      <c r="H1925" s="415" t="str">
        <f>VLOOKUP(B1925,indexy!$A$44:$D$823,3,FALSE)</f>
        <v>SAMPO FH Equity</v>
      </c>
      <c r="I1925" s="412"/>
    </row>
    <row r="1926" spans="1:9" ht="12.75" hidden="1" customHeight="1" outlineLevel="1" x14ac:dyDescent="0.25">
      <c r="A1926" s="1509">
        <v>0.02</v>
      </c>
      <c r="B1926" s="1505" t="s">
        <v>6524</v>
      </c>
      <c r="C1926" s="455">
        <v>100.94499999999999</v>
      </c>
      <c r="D1926" s="1513">
        <f>VLOOKUP(H1926,indexy!$C$44:$D$823,2,FALSE)</f>
        <v>144.94999999999999</v>
      </c>
      <c r="E1926" s="1521">
        <f t="shared" si="10"/>
        <v>0.43593045717965229</v>
      </c>
      <c r="F1926" s="1515">
        <f t="shared" si="9"/>
        <v>8.7186091435930459E-3</v>
      </c>
      <c r="G1926" s="415"/>
      <c r="H1926" s="415" t="str">
        <f>VLOOKUP(B1926,indexy!$A$44:$D$823,3,FALSE)</f>
        <v>SEBA SS Equity</v>
      </c>
      <c r="I1926" s="412"/>
    </row>
    <row r="1927" spans="1:9" ht="12.75" hidden="1" customHeight="1" outlineLevel="1" x14ac:dyDescent="0.25">
      <c r="A1927" s="1509">
        <v>0.05</v>
      </c>
      <c r="B1927" s="1505" t="s">
        <v>6116</v>
      </c>
      <c r="C1927" s="455">
        <v>4.0808</v>
      </c>
      <c r="D1927" s="1513">
        <f>VLOOKUP(H1927,indexy!$C$44:$D$823,2,FALSE)</f>
        <v>4.3760000000000003</v>
      </c>
      <c r="E1927" s="1521">
        <f t="shared" si="10"/>
        <v>7.2338757106449769E-2</v>
      </c>
      <c r="F1927" s="1515">
        <f t="shared" si="9"/>
        <v>3.6169378553224888E-3</v>
      </c>
      <c r="G1927" s="415"/>
      <c r="H1927" s="415" t="str">
        <f>VLOOKUP(B1927,indexy!$A$44:$D$823,3,FALSE)</f>
        <v>SRG IM Equity</v>
      </c>
      <c r="I1927" s="412"/>
    </row>
    <row r="1928" spans="1:9" ht="12.75" hidden="1" customHeight="1" outlineLevel="1" x14ac:dyDescent="0.25">
      <c r="A1928" s="1509">
        <v>0.03</v>
      </c>
      <c r="B1928" s="1505" t="s">
        <v>1857</v>
      </c>
      <c r="C1928" s="455">
        <v>13.179500000000001</v>
      </c>
      <c r="D1928" s="1513">
        <f>VLOOKUP(H1928,indexy!$C$44:$D$823,2,FALSE)/100</f>
        <v>16.5</v>
      </c>
      <c r="E1928" s="1521">
        <f t="shared" si="10"/>
        <v>0.25194430744717167</v>
      </c>
      <c r="F1928" s="1515">
        <f t="shared" si="9"/>
        <v>7.55832922341515E-3</v>
      </c>
      <c r="G1928" s="415"/>
      <c r="H1928" s="415" t="str">
        <f>VLOOKUP(B1928,indexy!$A$44:$D$823,3,FALSE)</f>
        <v>SSE LN Equity</v>
      </c>
      <c r="I1928" s="412"/>
    </row>
    <row r="1929" spans="1:9" ht="12.75" hidden="1" customHeight="1" outlineLevel="1" x14ac:dyDescent="0.25">
      <c r="A1929" s="1509">
        <v>0.06</v>
      </c>
      <c r="B1929" s="1505" t="s">
        <v>6118</v>
      </c>
      <c r="C1929" s="455">
        <v>92.841999999999999</v>
      </c>
      <c r="D1929" s="1513">
        <f>VLOOKUP(H1929,indexy!$C$44:$D$823,2,FALSE)</f>
        <v>115.95</v>
      </c>
      <c r="E1929" s="1521">
        <f t="shared" si="10"/>
        <v>0.24889597380495898</v>
      </c>
      <c r="F1929" s="1515">
        <f t="shared" si="9"/>
        <v>1.4933758428297538E-2</v>
      </c>
      <c r="G1929" s="415"/>
      <c r="H1929" s="415" t="str">
        <f>VLOOKUP(B1929,indexy!$A$44:$D$823,3,FALSE)</f>
        <v>SREN SE Equity</v>
      </c>
      <c r="I1929" s="412"/>
    </row>
    <row r="1930" spans="1:9" ht="12.75" hidden="1" customHeight="1" outlineLevel="1" x14ac:dyDescent="0.25">
      <c r="A1930" s="1509">
        <v>0.02</v>
      </c>
      <c r="B1930" s="1505" t="s">
        <v>3383</v>
      </c>
      <c r="C1930" s="455">
        <v>187.38499999999999</v>
      </c>
      <c r="D1930" s="1513">
        <f>VLOOKUP(H1930,indexy!$C$44:$D$823,2,FALSE)</f>
        <v>120.75</v>
      </c>
      <c r="E1930" s="1521">
        <f t="shared" si="10"/>
        <v>-0.35560477092616805</v>
      </c>
      <c r="F1930" s="1515">
        <f t="shared" si="9"/>
        <v>-7.1120954185233606E-3</v>
      </c>
      <c r="G1930" s="415"/>
      <c r="H1930" s="415" t="str">
        <f>VLOOKUP(B1930,indexy!$A$44:$D$823,3,FALSE)</f>
        <v>TEL NO Equity</v>
      </c>
      <c r="I1930" s="412"/>
    </row>
    <row r="1931" spans="1:9" ht="12.75" hidden="1" customHeight="1" outlineLevel="1" x14ac:dyDescent="0.25">
      <c r="A1931" s="1509">
        <v>7.0000000000000007E-2</v>
      </c>
      <c r="B1931" s="1505" t="s">
        <v>434</v>
      </c>
      <c r="C1931" s="455">
        <v>37.664000000000001</v>
      </c>
      <c r="D1931" s="1513">
        <f>VLOOKUP(H1931,indexy!$C$44:$D$823,2,FALSE)</f>
        <v>27.43</v>
      </c>
      <c r="E1931" s="1521">
        <f t="shared" si="10"/>
        <v>-0.27171835174171621</v>
      </c>
      <c r="F1931" s="1515">
        <f t="shared" si="9"/>
        <v>-1.9020284621920135E-2</v>
      </c>
      <c r="G1931" s="415"/>
      <c r="H1931" s="415" t="str">
        <f>VLOOKUP(B1931,indexy!$A$44:$D$823,3,FALSE)</f>
        <v>TELIA SS Equity</v>
      </c>
      <c r="I1931" s="412"/>
    </row>
    <row r="1932" spans="1:9" ht="12.75" hidden="1" customHeight="1" outlineLevel="1" x14ac:dyDescent="0.25">
      <c r="A1932" s="1509">
        <v>0.02</v>
      </c>
      <c r="B1932" s="1505" t="s">
        <v>5249</v>
      </c>
      <c r="C1932" s="455">
        <v>3.681</v>
      </c>
      <c r="D1932" s="1513">
        <f>VLOOKUP(H1932,indexy!$C$44:$D$823,2,FALSE)</f>
        <v>3.86</v>
      </c>
      <c r="E1932" s="1521">
        <f t="shared" si="10"/>
        <v>4.8628090192882389E-2</v>
      </c>
      <c r="F1932" s="1515">
        <f>E1932*A1932</f>
        <v>9.7256180385764781E-4</v>
      </c>
      <c r="G1932" s="415"/>
      <c r="H1932" s="415" t="str">
        <f>VLOOKUP(B1932,indexy!$A$44:$D$823,3,FALSE)</f>
        <v>TLS AT Equity</v>
      </c>
      <c r="I1932" s="412"/>
    </row>
    <row r="1933" spans="1:9" ht="12.75" hidden="1" customHeight="1" outlineLevel="1" x14ac:dyDescent="0.25">
      <c r="A1933" s="1509">
        <v>0.04</v>
      </c>
      <c r="B1933" s="1505" t="s">
        <v>10633</v>
      </c>
      <c r="C1933" s="455">
        <v>48.070999999999998</v>
      </c>
      <c r="D1933" s="1513">
        <f>VLOOKUP(H1933,indexy!$C$44:$D$823,2,FALSE)</f>
        <v>63.47</v>
      </c>
      <c r="E1933" s="1521">
        <f t="shared" si="10"/>
        <v>0.32033866572361713</v>
      </c>
      <c r="F1933" s="1515">
        <f>E1933*A1933</f>
        <v>1.2813546628944685E-2</v>
      </c>
      <c r="G1933" s="415"/>
      <c r="H1933" s="415" t="str">
        <f>VLOOKUP(B1933,indexy!$A$44:$D$823,3,FALSE)</f>
        <v>TTE FP Equity</v>
      </c>
      <c r="I1933" s="412"/>
    </row>
    <row r="1934" spans="1:9" ht="12.75" hidden="1" customHeight="1" outlineLevel="1" x14ac:dyDescent="0.25">
      <c r="A1934" s="1509">
        <v>0.02</v>
      </c>
      <c r="B1934" s="1505" t="s">
        <v>255</v>
      </c>
      <c r="C1934" s="455">
        <v>51.996000000000002</v>
      </c>
      <c r="D1934" s="1513">
        <f>VLOOKUP(H1934,indexy!$C$44:$D$823,2,FALSE)</f>
        <v>41.96</v>
      </c>
      <c r="E1934" s="1521">
        <f t="shared" si="10"/>
        <v>-0.19301484729594587</v>
      </c>
      <c r="F1934" s="1515">
        <f>E1934*A1934</f>
        <v>-3.8602969459189175E-3</v>
      </c>
      <c r="G1934" s="415"/>
      <c r="H1934" s="415" t="str">
        <f>VLOOKUP(B1934,indexy!$A$44:$D$823,3,FALSE)</f>
        <v>VZ UN Equity</v>
      </c>
      <c r="I1934" s="412"/>
    </row>
    <row r="1935" spans="1:9" ht="12.75" hidden="1" customHeight="1" outlineLevel="1" x14ac:dyDescent="0.25">
      <c r="A1935" s="1509">
        <v>0.02</v>
      </c>
      <c r="B1935" s="1505" t="s">
        <v>5626</v>
      </c>
      <c r="C1935" s="455">
        <v>31.181000000000001</v>
      </c>
      <c r="D1935" s="1513">
        <f>VLOOKUP(H1935,indexy!$C$44:$D$823,2,FALSE)</f>
        <v>26.1</v>
      </c>
      <c r="E1935" s="1521">
        <f t="shared" si="10"/>
        <v>-0.16295179756903244</v>
      </c>
      <c r="F1935" s="1515">
        <f>E1935*A1935</f>
        <v>-3.2590359513806487E-3</v>
      </c>
      <c r="G1935" s="415"/>
      <c r="H1935" s="415" t="str">
        <f>VLOOKUP(B1935,indexy!$A$44:$D$823,3,FALSE)</f>
        <v>WBC AT Equity</v>
      </c>
      <c r="I1935" s="412"/>
    </row>
    <row r="1936" spans="1:9" ht="12.75" hidden="1" customHeight="1" outlineLevel="1" x14ac:dyDescent="0.25">
      <c r="A1936" s="1509">
        <v>7.0000000000000007E-2</v>
      </c>
      <c r="B1936" s="1506" t="s">
        <v>4550</v>
      </c>
      <c r="C1936" s="455">
        <v>312.24</v>
      </c>
      <c r="D1936" s="1516">
        <f>VLOOKUP(H1936,indexy!$C$44:$D$823,2,FALSE)</f>
        <v>486.3</v>
      </c>
      <c r="E1936" s="1521">
        <f t="shared" si="10"/>
        <v>0.55745580322828592</v>
      </c>
      <c r="F1936" s="1515">
        <f>E1936*A1936</f>
        <v>3.9021906225980015E-2</v>
      </c>
      <c r="G1936" s="415"/>
      <c r="H1936" s="415" t="str">
        <f>VLOOKUP(B1936,indexy!$A$44:$D$823,3,FALSE)</f>
        <v>ZURN SE Equity</v>
      </c>
      <c r="I1936" s="412"/>
    </row>
    <row r="1937" spans="1:8" ht="12.75" hidden="1" customHeight="1" outlineLevel="1" x14ac:dyDescent="0.25">
      <c r="A1937" s="1522" t="s">
        <v>2734</v>
      </c>
      <c r="B1937" s="1523"/>
      <c r="C1937" s="1524">
        <v>100</v>
      </c>
      <c r="D1937" s="1525"/>
      <c r="E1937" s="1526"/>
      <c r="F1937" s="1526">
        <f>SUM(F1907:F1936)</f>
        <v>-1.3860757288623203E-2</v>
      </c>
      <c r="G1937" s="12"/>
      <c r="H1937" s="415"/>
    </row>
    <row r="1938" spans="1:8" ht="12.75" hidden="1" customHeight="1" outlineLevel="1" x14ac:dyDescent="0.25">
      <c r="A1938" s="1503" t="s">
        <v>9061</v>
      </c>
      <c r="B1938" s="1504">
        <v>45383</v>
      </c>
      <c r="C1938" s="1527">
        <v>100</v>
      </c>
      <c r="D1938" s="1527"/>
      <c r="E1938" s="1528">
        <f>IF(D1938="",F1937,D1938/C1938-1)</f>
        <v>-1.3860757288623203E-2</v>
      </c>
      <c r="F1938" s="1529"/>
      <c r="G1938" s="12"/>
      <c r="H1938" s="415"/>
    </row>
    <row r="1939" spans="1:8" ht="12.75" hidden="1" customHeight="1" outlineLevel="1" x14ac:dyDescent="0.25">
      <c r="A1939" s="1503" t="s">
        <v>9062</v>
      </c>
      <c r="B1939" s="1504">
        <v>45413</v>
      </c>
      <c r="C1939" s="1527">
        <v>100</v>
      </c>
      <c r="D1939" s="1530"/>
      <c r="E1939" s="1528">
        <f>IF(D1939="",E1938,D1939/C1939-1)</f>
        <v>-1.3860757288623203E-2</v>
      </c>
      <c r="F1939" s="1529"/>
      <c r="G1939" s="12"/>
      <c r="H1939" s="415"/>
    </row>
    <row r="1940" spans="1:8" ht="12.75" hidden="1" customHeight="1" outlineLevel="1" x14ac:dyDescent="0.25">
      <c r="A1940" s="1503" t="s">
        <v>9063</v>
      </c>
      <c r="B1940" s="1504">
        <v>45444</v>
      </c>
      <c r="C1940" s="1527">
        <v>100</v>
      </c>
      <c r="D1940" s="1530"/>
      <c r="E1940" s="1528">
        <f t="shared" ref="E1940:E1947" si="11">IF(D1940="",E1939,D1940/C1940-1)</f>
        <v>-1.3860757288623203E-2</v>
      </c>
      <c r="F1940" s="1529"/>
      <c r="G1940" s="12"/>
      <c r="H1940" s="415"/>
    </row>
    <row r="1941" spans="1:8" ht="12.75" hidden="1" customHeight="1" outlineLevel="1" x14ac:dyDescent="0.25">
      <c r="A1941" s="1503" t="s">
        <v>9064</v>
      </c>
      <c r="B1941" s="1504">
        <v>45474</v>
      </c>
      <c r="C1941" s="1527">
        <v>100</v>
      </c>
      <c r="D1941" s="1530"/>
      <c r="E1941" s="1528">
        <f t="shared" si="11"/>
        <v>-1.3860757288623203E-2</v>
      </c>
      <c r="F1941" s="1529"/>
      <c r="G1941" s="12"/>
      <c r="H1941" s="415"/>
    </row>
    <row r="1942" spans="1:8" ht="12.75" hidden="1" customHeight="1" outlineLevel="1" x14ac:dyDescent="0.25">
      <c r="A1942" s="1503" t="s">
        <v>9065</v>
      </c>
      <c r="B1942" s="1504">
        <v>45505</v>
      </c>
      <c r="C1942" s="1527">
        <v>100</v>
      </c>
      <c r="D1942" s="1530"/>
      <c r="E1942" s="1528">
        <f t="shared" si="11"/>
        <v>-1.3860757288623203E-2</v>
      </c>
      <c r="F1942" s="1529"/>
      <c r="G1942" s="12"/>
      <c r="H1942" s="415"/>
    </row>
    <row r="1943" spans="1:8" ht="12.75" hidden="1" customHeight="1" outlineLevel="1" x14ac:dyDescent="0.25">
      <c r="A1943" s="1503" t="s">
        <v>9066</v>
      </c>
      <c r="B1943" s="1504">
        <v>45536</v>
      </c>
      <c r="C1943" s="1527">
        <v>100</v>
      </c>
      <c r="D1943" s="1530"/>
      <c r="E1943" s="1528">
        <f t="shared" si="11"/>
        <v>-1.3860757288623203E-2</v>
      </c>
      <c r="F1943" s="1529"/>
      <c r="G1943" s="12"/>
      <c r="H1943" s="415"/>
    </row>
    <row r="1944" spans="1:8" ht="12.75" hidden="1" customHeight="1" outlineLevel="1" x14ac:dyDescent="0.25">
      <c r="A1944" s="1503" t="s">
        <v>9067</v>
      </c>
      <c r="B1944" s="1504">
        <v>45566</v>
      </c>
      <c r="C1944" s="1527">
        <v>100</v>
      </c>
      <c r="D1944" s="1530"/>
      <c r="E1944" s="1528">
        <f t="shared" si="11"/>
        <v>-1.3860757288623203E-2</v>
      </c>
      <c r="F1944" s="1529"/>
      <c r="G1944" s="12"/>
      <c r="H1944" s="415"/>
    </row>
    <row r="1945" spans="1:8" ht="12.75" hidden="1" customHeight="1" outlineLevel="1" x14ac:dyDescent="0.25">
      <c r="A1945" s="1503" t="s">
        <v>9068</v>
      </c>
      <c r="B1945" s="1504">
        <v>45597</v>
      </c>
      <c r="C1945" s="1527">
        <v>100</v>
      </c>
      <c r="D1945" s="1530"/>
      <c r="E1945" s="1528">
        <f t="shared" si="11"/>
        <v>-1.3860757288623203E-2</v>
      </c>
      <c r="F1945" s="1529"/>
      <c r="G1945" s="12"/>
      <c r="H1945" s="415"/>
    </row>
    <row r="1946" spans="1:8" ht="12.75" hidden="1" customHeight="1" outlineLevel="1" x14ac:dyDescent="0.25">
      <c r="A1946" s="1503" t="s">
        <v>9069</v>
      </c>
      <c r="B1946" s="1504">
        <v>45627</v>
      </c>
      <c r="C1946" s="1527">
        <v>100</v>
      </c>
      <c r="D1946" s="1530"/>
      <c r="E1946" s="1528">
        <f t="shared" si="11"/>
        <v>-1.3860757288623203E-2</v>
      </c>
      <c r="F1946" s="1529"/>
      <c r="G1946" s="12"/>
      <c r="H1946" s="415"/>
    </row>
    <row r="1947" spans="1:8" ht="12.75" hidden="1" customHeight="1" outlineLevel="1" x14ac:dyDescent="0.25">
      <c r="A1947" s="1503" t="s">
        <v>9070</v>
      </c>
      <c r="B1947" s="1504">
        <v>45658</v>
      </c>
      <c r="C1947" s="1527">
        <v>100</v>
      </c>
      <c r="D1947" s="1530"/>
      <c r="E1947" s="1528">
        <f t="shared" si="11"/>
        <v>-1.3860757288623203E-2</v>
      </c>
      <c r="F1947" s="1529"/>
      <c r="G1947" s="12"/>
      <c r="H1947" s="415"/>
    </row>
    <row r="1948" spans="1:8" ht="12.75" hidden="1" customHeight="1" outlineLevel="1" x14ac:dyDescent="0.25">
      <c r="A1948" s="1503" t="s">
        <v>9071</v>
      </c>
      <c r="B1948" s="1504">
        <v>45689</v>
      </c>
      <c r="C1948" s="1527">
        <v>100</v>
      </c>
      <c r="D1948" s="1530"/>
      <c r="E1948" s="1528">
        <f>IF(D1948="",E1947,D1948/C1948-1)</f>
        <v>-1.3860757288623203E-2</v>
      </c>
      <c r="F1948" s="1529"/>
      <c r="G1948" s="12"/>
      <c r="H1948" s="415"/>
    </row>
    <row r="1949" spans="1:8" ht="12.75" hidden="1" customHeight="1" outlineLevel="1" x14ac:dyDescent="0.25">
      <c r="A1949" s="1503" t="s">
        <v>9072</v>
      </c>
      <c r="B1949" s="1504">
        <v>45717</v>
      </c>
      <c r="C1949" s="1527">
        <v>100</v>
      </c>
      <c r="D1949" s="1530"/>
      <c r="E1949" s="1528">
        <f>IF(D1949="",E1948,D1949/C1949-1)</f>
        <v>-1.3860757288623203E-2</v>
      </c>
      <c r="F1949" s="1529"/>
      <c r="G1949" s="12"/>
      <c r="H1949" s="415"/>
    </row>
    <row r="1950" spans="1:8" ht="12.75" hidden="1" customHeight="1" outlineLevel="1" x14ac:dyDescent="0.25">
      <c r="A1950" s="1531" t="s">
        <v>2734</v>
      </c>
      <c r="B1950" s="1532"/>
      <c r="C1950" s="1530"/>
      <c r="D1950" s="1533" t="s">
        <v>2465</v>
      </c>
      <c r="E1950" s="1534">
        <f>AVERAGE(E1938:E1949)</f>
        <v>-1.3860757288623208E-2</v>
      </c>
      <c r="F1950" s="1535">
        <f>+E1950</f>
        <v>-1.3860757288623208E-2</v>
      </c>
      <c r="G1950" s="12"/>
      <c r="H1950" s="415"/>
    </row>
    <row r="1951" spans="1:8" collapsed="1" x14ac:dyDescent="0.25">
      <c r="A1951" s="3799" t="s">
        <v>9008</v>
      </c>
      <c r="B1951" s="3800"/>
      <c r="C1951" s="3800"/>
      <c r="D1951" s="3800"/>
      <c r="E1951" s="18"/>
      <c r="F1951" s="186">
        <f>IF(F1950&lt;0,-F1950*0.2,MIN(+F1950,100%))</f>
        <v>2.7721514577246417E-3</v>
      </c>
      <c r="G1951" s="78"/>
    </row>
    <row r="1953" spans="1:15" ht="12.75" hidden="1" customHeight="1" outlineLevel="1" x14ac:dyDescent="0.25">
      <c r="A1953" s="1677" t="s">
        <v>4156</v>
      </c>
      <c r="B1953" s="1677" t="s">
        <v>4153</v>
      </c>
      <c r="C1953" s="1623" t="s">
        <v>112</v>
      </c>
      <c r="D1953" s="1678" t="s">
        <v>4155</v>
      </c>
      <c r="E1953" s="1677" t="s">
        <v>4154</v>
      </c>
      <c r="F1953" s="1678" t="s">
        <v>2519</v>
      </c>
      <c r="G1953" s="12"/>
      <c r="H1953" s="415"/>
      <c r="I1953" s="412"/>
      <c r="J1953" s="1462"/>
      <c r="K1953" s="1462"/>
      <c r="L1953" s="1462"/>
      <c r="M1953" s="1462"/>
      <c r="N1953" s="1462"/>
      <c r="O1953" s="1462"/>
    </row>
    <row r="1954" spans="1:15" ht="12.75" hidden="1" customHeight="1" outlineLevel="1" x14ac:dyDescent="0.25">
      <c r="A1954" s="134">
        <v>0.04</v>
      </c>
      <c r="B1954" s="211" t="s">
        <v>2697</v>
      </c>
      <c r="C1954" s="472">
        <v>15.422000000000001</v>
      </c>
      <c r="D1954" s="1596">
        <f>VLOOKUP(H1954,indexy!$C$44:$D$823,2,FALSE)</f>
        <v>23.46</v>
      </c>
      <c r="E1954" s="1466">
        <f>D1954/C1954-1</f>
        <v>0.52120347555440283</v>
      </c>
      <c r="F1954" s="1492">
        <f>E1954*A1954</f>
        <v>2.0848139022176113E-2</v>
      </c>
      <c r="G1954" s="415"/>
      <c r="H1954" s="415" t="str">
        <f>VLOOKUP(B1954,indexy!$A$44:$D$823,3,FALSE)</f>
        <v>G IM Equity</v>
      </c>
      <c r="I1954" s="412"/>
    </row>
    <row r="1955" spans="1:15" ht="12.75" hidden="1" customHeight="1" outlineLevel="1" x14ac:dyDescent="0.25">
      <c r="A1955" s="135">
        <v>0.02</v>
      </c>
      <c r="B1955" s="211" t="s">
        <v>218</v>
      </c>
      <c r="C1955" s="472">
        <v>25.1935</v>
      </c>
      <c r="D1955" s="1597">
        <f>VLOOKUP(H1955,indexy!$C$44:$D$823,2,FALSE)</f>
        <v>34.814999999999998</v>
      </c>
      <c r="E1955" s="1463">
        <f>D1955/C1955-1</f>
        <v>0.38190406255581788</v>
      </c>
      <c r="F1955" s="1494">
        <f t="shared" ref="F1955:F1978" si="12">E1955*A1955</f>
        <v>7.6380812511163574E-3</v>
      </c>
      <c r="G1955" s="415"/>
      <c r="H1955" s="415" t="str">
        <f>VLOOKUP(B1955,indexy!$A$44:$D$823,3,FALSE)</f>
        <v>CS FP Equity</v>
      </c>
      <c r="I1955" s="412"/>
    </row>
    <row r="1956" spans="1:15" ht="12.75" hidden="1" customHeight="1" outlineLevel="1" x14ac:dyDescent="0.25">
      <c r="A1956" s="135">
        <v>0.02</v>
      </c>
      <c r="B1956" s="211" t="s">
        <v>807</v>
      </c>
      <c r="C1956" s="472">
        <v>56.040999999999997</v>
      </c>
      <c r="D1956" s="1597">
        <f>VLOOKUP(H1956,indexy!$C$44:$D$823,2,FALSE)</f>
        <v>46.03</v>
      </c>
      <c r="E1956" s="1463">
        <f t="shared" ref="E1956:E1983" si="13">D1956/C1956-1</f>
        <v>-0.17863706928855649</v>
      </c>
      <c r="F1956" s="1494">
        <f t="shared" si="12"/>
        <v>-3.5727413857711298E-3</v>
      </c>
      <c r="G1956" s="415"/>
      <c r="H1956" s="415" t="str">
        <f>VLOOKUP(B1956,indexy!$A$44:$D$823,3,FALSE)</f>
        <v>BCE CT Equity</v>
      </c>
      <c r="I1956" s="412"/>
    </row>
    <row r="1957" spans="1:15" ht="12.75" hidden="1" customHeight="1" outlineLevel="1" x14ac:dyDescent="0.25">
      <c r="A1957" s="135">
        <v>0.02</v>
      </c>
      <c r="B1957" s="211" t="s">
        <v>1188</v>
      </c>
      <c r="C1957" s="472">
        <v>4.758</v>
      </c>
      <c r="D1957" s="1597">
        <f>VLOOKUP(H1957,indexy!$C$44:$D$823,2,FALSE)/100</f>
        <v>4.9569999999999999</v>
      </c>
      <c r="E1957" s="1463">
        <f t="shared" si="13"/>
        <v>4.1824295922656463E-2</v>
      </c>
      <c r="F1957" s="1494">
        <f t="shared" si="12"/>
        <v>8.3648591845312929E-4</v>
      </c>
      <c r="G1957" s="415"/>
      <c r="H1957" s="415" t="str">
        <f>VLOOKUP(B1957,indexy!$A$44:$D$823,3,FALSE)</f>
        <v>BP/ LN Equity</v>
      </c>
      <c r="I1957" s="412"/>
      <c r="K1957" s="37"/>
    </row>
    <row r="1958" spans="1:15" ht="12.75" hidden="1" customHeight="1" outlineLevel="1" x14ac:dyDescent="0.25">
      <c r="A1958" s="135">
        <v>0.02</v>
      </c>
      <c r="B1958" s="211" t="s">
        <v>8918</v>
      </c>
      <c r="C1958" s="472">
        <v>2.3024</v>
      </c>
      <c r="D1958" s="1597">
        <f>VLOOKUP(H1958,indexy!$C$44:$D$823,2,FALSE)/100</f>
        <v>1.0965</v>
      </c>
      <c r="E1958" s="1463">
        <f t="shared" si="13"/>
        <v>-0.52375781792911735</v>
      </c>
      <c r="F1958" s="1494">
        <f t="shared" si="12"/>
        <v>-1.0475156358582347E-2</v>
      </c>
      <c r="G1958" s="415"/>
      <c r="H1958" s="415" t="str">
        <f>VLOOKUP(B1958,indexy!$A$44:$D$823,3,FALSE)</f>
        <v>BT/A LN Equity</v>
      </c>
      <c r="I1958" s="412"/>
    </row>
    <row r="1959" spans="1:15" ht="12.75" hidden="1" customHeight="1" outlineLevel="1" x14ac:dyDescent="0.25">
      <c r="A1959" s="135">
        <v>0.02</v>
      </c>
      <c r="B1959" s="211" t="s">
        <v>8678</v>
      </c>
      <c r="C1959" s="472">
        <v>75.224999999999994</v>
      </c>
      <c r="D1959" s="1597">
        <f>VLOOKUP(H1959,indexy!$C$44:$D$823,2,FALSE)</f>
        <v>120.34</v>
      </c>
      <c r="E1959" s="1463">
        <f t="shared" si="13"/>
        <v>0.59973413094051198</v>
      </c>
      <c r="F1959" s="1494">
        <f t="shared" si="12"/>
        <v>1.199468261881024E-2</v>
      </c>
      <c r="G1959" s="415"/>
      <c r="H1959" s="415" t="str">
        <f>VLOOKUP(B1959,indexy!$A$44:$D$823,3,FALSE)</f>
        <v>CBA AT Equity</v>
      </c>
      <c r="I1959" s="412"/>
    </row>
    <row r="1960" spans="1:15" ht="12.75" hidden="1" customHeight="1" outlineLevel="1" x14ac:dyDescent="0.25">
      <c r="A1960" s="135">
        <v>0.02</v>
      </c>
      <c r="B1960" s="211" t="s">
        <v>4025</v>
      </c>
      <c r="C1960" s="472">
        <v>71.037000000000006</v>
      </c>
      <c r="D1960" s="1597">
        <f>VLOOKUP(H1960,indexy!$C$44:$D$823,2,FALSE)</f>
        <v>73.94</v>
      </c>
      <c r="E1960" s="1463">
        <f t="shared" si="13"/>
        <v>4.086602756310076E-2</v>
      </c>
      <c r="F1960" s="1494">
        <f t="shared" si="12"/>
        <v>8.1732055126201516E-4</v>
      </c>
      <c r="G1960" s="415"/>
      <c r="H1960" s="415" t="str">
        <f>VLOOKUP(B1960,indexy!$A$44:$D$823,3,FALSE)</f>
        <v>MBG GR Equity</v>
      </c>
      <c r="I1960" s="412"/>
    </row>
    <row r="1961" spans="1:15" ht="12.75" hidden="1" customHeight="1" outlineLevel="1" x14ac:dyDescent="0.25">
      <c r="A1961" s="135">
        <v>0.02</v>
      </c>
      <c r="B1961" s="211" t="s">
        <v>2629</v>
      </c>
      <c r="C1961" s="472">
        <v>13.151999999999999</v>
      </c>
      <c r="D1961" s="1597">
        <f>VLOOKUP(H1961,indexy!$C$44:$D$823,2,FALSE)</f>
        <v>22.5</v>
      </c>
      <c r="E1961" s="1463">
        <f t="shared" si="13"/>
        <v>0.71076642335766427</v>
      </c>
      <c r="F1961" s="1494">
        <f t="shared" si="12"/>
        <v>1.4215328467153286E-2</v>
      </c>
      <c r="G1961" s="415"/>
      <c r="H1961" s="415" t="str">
        <f>VLOOKUP(B1961,indexy!$A$44:$D$823,3,FALSE)</f>
        <v>DTE GY Equity</v>
      </c>
      <c r="I1961" s="412"/>
    </row>
    <row r="1962" spans="1:15" ht="12.75" hidden="1" customHeight="1" outlineLevel="1" x14ac:dyDescent="0.25">
      <c r="A1962" s="135">
        <v>0.02</v>
      </c>
      <c r="B1962" s="211" t="s">
        <v>6821</v>
      </c>
      <c r="C1962" s="472">
        <v>3.8157000000000001</v>
      </c>
      <c r="D1962" s="1597">
        <f>VLOOKUP(H1962,indexy!$C$44:$D$823,2,FALSE)/100</f>
        <v>1.9505000000000001</v>
      </c>
      <c r="E1962" s="1463">
        <f t="shared" si="13"/>
        <v>-0.48882249652750476</v>
      </c>
      <c r="F1962" s="1494">
        <f t="shared" si="12"/>
        <v>-9.7764499305500949E-3</v>
      </c>
      <c r="G1962" s="415"/>
      <c r="H1962" s="415" t="str">
        <f>VLOOKUP(B1962,indexy!$A$44:$D$823,3,FALSE)</f>
        <v>DLG LN Equity</v>
      </c>
      <c r="I1962" s="412"/>
    </row>
    <row r="1963" spans="1:15" ht="12.75" hidden="1" customHeight="1" outlineLevel="1" x14ac:dyDescent="0.25">
      <c r="A1963" s="135">
        <v>0.08</v>
      </c>
      <c r="B1963" s="211" t="s">
        <v>6267</v>
      </c>
      <c r="C1963" s="472">
        <v>20.585000000000001</v>
      </c>
      <c r="D1963" s="1597">
        <f>VLOOKUP(H1963,indexy!$C$44:$D$823,2,FALSE)</f>
        <v>13.765000000000001</v>
      </c>
      <c r="E1963" s="1463">
        <f t="shared" si="13"/>
        <v>-0.33130920573232936</v>
      </c>
      <c r="F1963" s="1494">
        <f t="shared" si="12"/>
        <v>-2.650473645858635E-2</v>
      </c>
      <c r="G1963" s="415"/>
      <c r="H1963" s="415" t="str">
        <f>VLOOKUP(B1963,indexy!$A$44:$D$823,3,FALSE)</f>
        <v>ENG SQ Equity</v>
      </c>
      <c r="I1963" s="412"/>
    </row>
    <row r="1964" spans="1:15" ht="12.75" hidden="1" customHeight="1" outlineLevel="1" x14ac:dyDescent="0.25">
      <c r="A1964" s="135">
        <v>0.05</v>
      </c>
      <c r="B1964" s="211" t="s">
        <v>4268</v>
      </c>
      <c r="C1964" s="472">
        <v>17.393999999999998</v>
      </c>
      <c r="D1964" s="1597">
        <f>VLOOKUP(H1964,indexy!$C$44:$D$823,2,FALSE)</f>
        <v>11.445</v>
      </c>
      <c r="E1964" s="1463">
        <f t="shared" si="13"/>
        <v>-0.34201448775439802</v>
      </c>
      <c r="F1964" s="1494">
        <f t="shared" si="12"/>
        <v>-1.7100724387719902E-2</v>
      </c>
      <c r="G1964" s="415"/>
      <c r="H1964" s="415" t="str">
        <f>VLOOKUP(B1964,indexy!$A$44:$D$823,3,FALSE)</f>
        <v>FORTUM FH Equity</v>
      </c>
      <c r="I1964" s="412"/>
    </row>
    <row r="1965" spans="1:15" ht="12.75" hidden="1" customHeight="1" outlineLevel="1" x14ac:dyDescent="0.25">
      <c r="A1965" s="135">
        <v>0.02</v>
      </c>
      <c r="B1965" s="211" t="s">
        <v>8208</v>
      </c>
      <c r="C1965" s="472">
        <v>6.0579999999999998</v>
      </c>
      <c r="D1965" s="1597">
        <f>VLOOKUP(H1965,indexy!$C$44:$D$823,2,FALSE)/100</f>
        <v>1.7675000000000001</v>
      </c>
      <c r="E1965" s="1463">
        <f t="shared" si="13"/>
        <v>-0.70823704192802905</v>
      </c>
      <c r="F1965" s="1494">
        <f t="shared" si="12"/>
        <v>-1.4164740838560581E-2</v>
      </c>
      <c r="G1965" s="415"/>
      <c r="H1965" s="415" t="str">
        <f>VLOOKUP(B1965,indexy!$A$44:$D$823,3,FALSE)</f>
        <v>IAG LN Equity</v>
      </c>
      <c r="I1965" s="412"/>
    </row>
    <row r="1966" spans="1:15" ht="12.75" hidden="1" customHeight="1" outlineLevel="1" x14ac:dyDescent="0.25">
      <c r="A1966" s="135">
        <v>0.04</v>
      </c>
      <c r="B1966" s="211" t="s">
        <v>6902</v>
      </c>
      <c r="C1966" s="490">
        <v>2.5434999999999999</v>
      </c>
      <c r="D1966" s="1597">
        <f>VLOOKUP(H1966,indexy!$C$44:$D$823,2,FALSE)/100</f>
        <v>2.544</v>
      </c>
      <c r="E1966" s="1463">
        <f t="shared" si="13"/>
        <v>1.9657951641449678E-4</v>
      </c>
      <c r="F1966" s="1494">
        <f t="shared" si="12"/>
        <v>7.8631806565798708E-6</v>
      </c>
      <c r="G1966" s="415"/>
      <c r="H1966" s="415" t="str">
        <f>VLOOKUP(B1966,indexy!$A$44:$D$823,3,FALSE)</f>
        <v>LGEN LN Equity</v>
      </c>
      <c r="I1966" s="412"/>
    </row>
    <row r="1967" spans="1:15" ht="12.75" hidden="1" customHeight="1" outlineLevel="1" x14ac:dyDescent="0.25">
      <c r="A1967" s="135">
        <v>0.02</v>
      </c>
      <c r="B1967" s="211" t="s">
        <v>8261</v>
      </c>
      <c r="C1967" s="472">
        <v>147.79</v>
      </c>
      <c r="D1967" s="1597">
        <f>VLOOKUP(H1967,indexy!$C$44:$D$823,2,FALSE)</f>
        <v>198.95</v>
      </c>
      <c r="E1967" s="1463">
        <f t="shared" si="13"/>
        <v>0.34616685838013406</v>
      </c>
      <c r="F1967" s="1494">
        <f t="shared" si="12"/>
        <v>6.9233371676026816E-3</v>
      </c>
      <c r="G1967" s="415"/>
      <c r="H1967" s="415" t="str">
        <f>VLOOKUP(B1967,indexy!$A$44:$D$823,3,FALSE)</f>
        <v>MOWI NO Equity</v>
      </c>
      <c r="I1967" s="412"/>
    </row>
    <row r="1968" spans="1:15" ht="12.75" hidden="1" customHeight="1" outlineLevel="1" x14ac:dyDescent="0.25">
      <c r="A1968" s="135">
        <v>0.02</v>
      </c>
      <c r="B1968" s="211" t="s">
        <v>5196</v>
      </c>
      <c r="C1968" s="472">
        <v>48.5</v>
      </c>
      <c r="D1968" s="1597">
        <f>VLOOKUP(H1968,indexy!$C$44:$D$823,2,FALSE)/100</f>
        <v>92.32</v>
      </c>
      <c r="E1968" s="1463">
        <f t="shared" si="13"/>
        <v>0.90350515463917502</v>
      </c>
      <c r="F1968" s="1494">
        <f t="shared" si="12"/>
        <v>1.80701030927835E-2</v>
      </c>
      <c r="G1968" s="415"/>
      <c r="H1968" s="415" t="str">
        <f>VLOOKUP(B1968,indexy!$A$44:$D$823,3,FALSE)</f>
        <v>NXT LN Equity</v>
      </c>
      <c r="I1968" s="412"/>
    </row>
    <row r="1969" spans="1:9" ht="12.75" hidden="1" customHeight="1" outlineLevel="1" x14ac:dyDescent="0.25">
      <c r="A1969" s="135">
        <v>0.03</v>
      </c>
      <c r="B1969" s="211" t="s">
        <v>8527</v>
      </c>
      <c r="C1969" s="472">
        <v>36.155999999999999</v>
      </c>
      <c r="D1969" s="1597">
        <f>VLOOKUP(H1969,indexy!$C$44:$D$823,2,FALSE)</f>
        <v>42.82</v>
      </c>
      <c r="E1969" s="1463">
        <f t="shared" si="13"/>
        <v>0.18431242394070146</v>
      </c>
      <c r="F1969" s="1494">
        <f t="shared" si="12"/>
        <v>5.5293727182210437E-3</v>
      </c>
      <c r="G1969" s="415"/>
      <c r="H1969" s="415" t="str">
        <f>VLOOKUP(B1969,indexy!$A$44:$D$823,3,FALSE)</f>
        <v>NN NA Equity</v>
      </c>
      <c r="I1969" s="412"/>
    </row>
    <row r="1970" spans="1:9" ht="12.75" hidden="1" customHeight="1" outlineLevel="1" x14ac:dyDescent="0.25">
      <c r="A1970" s="135">
        <v>0.02</v>
      </c>
      <c r="B1970" s="211" t="s">
        <v>1203</v>
      </c>
      <c r="C1970" s="472">
        <v>93.817999999999998</v>
      </c>
      <c r="D1970" s="1597">
        <f>VLOOKUP(H1970,indexy!$C$44:$D$823,2,FALSE)</f>
        <v>119.2</v>
      </c>
      <c r="E1970" s="1463">
        <f t="shared" si="13"/>
        <v>0.27054509795561632</v>
      </c>
      <c r="F1970" s="1494">
        <f t="shared" si="12"/>
        <v>5.4109019591123261E-3</v>
      </c>
      <c r="G1970" s="415"/>
      <c r="H1970" s="415" t="str">
        <f>VLOOKUP(B1970,indexy!$A$44:$D$823,3,FALSE)</f>
        <v>NDA SS Equity</v>
      </c>
      <c r="I1970" s="412"/>
    </row>
    <row r="1971" spans="1:9" ht="12.75" hidden="1" customHeight="1" outlineLevel="1" x14ac:dyDescent="0.25">
      <c r="A1971" s="135">
        <v>0.06</v>
      </c>
      <c r="B1971" s="211" t="s">
        <v>7433</v>
      </c>
      <c r="C1971" s="472">
        <v>30.268000000000001</v>
      </c>
      <c r="D1971" s="1597">
        <f>VLOOKUP(H1971,indexy!$C$44:$D$823,2,FALSE)</f>
        <v>6.5119999999999996</v>
      </c>
      <c r="E1971" s="1463">
        <f t="shared" si="13"/>
        <v>-0.7848552927183825</v>
      </c>
      <c r="F1971" s="1494">
        <f t="shared" si="12"/>
        <v>-4.7091317563102947E-2</v>
      </c>
      <c r="G1971" s="415"/>
      <c r="H1971" s="415" t="str">
        <f>VLOOKUP(B1971,indexy!$A$44:$D$823,3,FALSE)</f>
        <v>PSM GY Equity</v>
      </c>
      <c r="I1971" s="412"/>
    </row>
    <row r="1972" spans="1:9" ht="12.75" hidden="1" customHeight="1" outlineLevel="1" x14ac:dyDescent="0.25">
      <c r="A1972" s="135">
        <v>0.04</v>
      </c>
      <c r="B1972" s="211" t="s">
        <v>6270</v>
      </c>
      <c r="C1972" s="472">
        <v>46.448</v>
      </c>
      <c r="D1972" s="1597">
        <f>VLOOKUP(H1972,indexy!$C$44:$D$823,2,FALSE)</f>
        <v>39.515000000000001</v>
      </c>
      <c r="E1972" s="1463">
        <f t="shared" si="13"/>
        <v>-0.14926369273165685</v>
      </c>
      <c r="F1972" s="1494">
        <f t="shared" si="12"/>
        <v>-5.9705477092662738E-3</v>
      </c>
      <c r="G1972" s="415"/>
      <c r="H1972" s="415" t="str">
        <f>VLOOKUP(B1972,indexy!$A$44:$D$823,3,FALSE)</f>
        <v>SAMPO FH Equity</v>
      </c>
      <c r="I1972" s="412"/>
    </row>
    <row r="1973" spans="1:9" ht="12.75" hidden="1" customHeight="1" outlineLevel="1" x14ac:dyDescent="0.25">
      <c r="A1973" s="135">
        <v>0.02</v>
      </c>
      <c r="B1973" s="211" t="s">
        <v>6524</v>
      </c>
      <c r="C1973" s="472">
        <v>95.867999999999995</v>
      </c>
      <c r="D1973" s="1597">
        <f>VLOOKUP(H1973,indexy!$C$44:$D$823,2,FALSE)</f>
        <v>144.94999999999999</v>
      </c>
      <c r="E1973" s="1463">
        <f t="shared" si="13"/>
        <v>0.5119747986815204</v>
      </c>
      <c r="F1973" s="1494">
        <f t="shared" si="12"/>
        <v>1.0239495973630408E-2</v>
      </c>
      <c r="G1973" s="415"/>
      <c r="H1973" s="415" t="str">
        <f>VLOOKUP(B1973,indexy!$A$44:$D$823,3,FALSE)</f>
        <v>SEBA SS Equity</v>
      </c>
      <c r="I1973" s="412"/>
    </row>
    <row r="1974" spans="1:9" ht="12.75" hidden="1" customHeight="1" outlineLevel="1" x14ac:dyDescent="0.25">
      <c r="A1974" s="135">
        <v>0.05</v>
      </c>
      <c r="B1974" s="211" t="s">
        <v>6116</v>
      </c>
      <c r="C1974" s="472">
        <v>3.65</v>
      </c>
      <c r="D1974" s="1597">
        <f>VLOOKUP(H1974,indexy!$C$44:$D$823,2,FALSE)</f>
        <v>4.3760000000000003</v>
      </c>
      <c r="E1974" s="1463">
        <f t="shared" si="13"/>
        <v>0.19890410958904114</v>
      </c>
      <c r="F1974" s="1494">
        <f t="shared" si="12"/>
        <v>9.9452054794520583E-3</v>
      </c>
      <c r="G1974" s="415"/>
      <c r="H1974" s="415" t="str">
        <f>VLOOKUP(B1974,indexy!$A$44:$D$823,3,FALSE)</f>
        <v>SRG IM Equity</v>
      </c>
      <c r="I1974" s="412"/>
    </row>
    <row r="1975" spans="1:9" ht="12.75" hidden="1" customHeight="1" outlineLevel="1" x14ac:dyDescent="0.25">
      <c r="A1975" s="135">
        <v>0.03</v>
      </c>
      <c r="B1975" s="211" t="s">
        <v>1857</v>
      </c>
      <c r="C1975" s="472">
        <v>11.975</v>
      </c>
      <c r="D1975" s="1597">
        <f>VLOOKUP(H1975,indexy!$C$44:$D$823,2,FALSE)/100</f>
        <v>16.5</v>
      </c>
      <c r="E1975" s="1463">
        <f t="shared" si="13"/>
        <v>0.37787056367432159</v>
      </c>
      <c r="F1975" s="1494">
        <f t="shared" si="12"/>
        <v>1.1336116910229647E-2</v>
      </c>
      <c r="G1975" s="415"/>
      <c r="H1975" s="415" t="str">
        <f>VLOOKUP(B1975,indexy!$A$44:$D$823,3,FALSE)</f>
        <v>SSE LN Equity</v>
      </c>
      <c r="I1975" s="412"/>
    </row>
    <row r="1976" spans="1:9" ht="12.75" hidden="1" customHeight="1" outlineLevel="1" x14ac:dyDescent="0.25">
      <c r="A1976" s="135">
        <v>0.06</v>
      </c>
      <c r="B1976" s="211" t="s">
        <v>6118</v>
      </c>
      <c r="C1976" s="472">
        <v>93.713999999999999</v>
      </c>
      <c r="D1976" s="1597">
        <f>VLOOKUP(H1976,indexy!$C$44:$D$823,2,FALSE)</f>
        <v>115.95</v>
      </c>
      <c r="E1976" s="1463">
        <f t="shared" si="13"/>
        <v>0.23727511364363929</v>
      </c>
      <c r="F1976" s="1494">
        <f t="shared" si="12"/>
        <v>1.4236506818618357E-2</v>
      </c>
      <c r="G1976" s="415"/>
      <c r="H1976" s="415" t="str">
        <f>VLOOKUP(B1976,indexy!$A$44:$D$823,3,FALSE)</f>
        <v>SREN SE Equity</v>
      </c>
      <c r="I1976" s="412"/>
    </row>
    <row r="1977" spans="1:9" ht="12.75" hidden="1" customHeight="1" outlineLevel="1" x14ac:dyDescent="0.25">
      <c r="A1977" s="135">
        <v>0.02</v>
      </c>
      <c r="B1977" s="211" t="s">
        <v>3383</v>
      </c>
      <c r="C1977" s="472">
        <v>174.36</v>
      </c>
      <c r="D1977" s="1597">
        <f>VLOOKUP(H1977,indexy!$C$44:$D$823,2,FALSE)</f>
        <v>120.75</v>
      </c>
      <c r="E1977" s="1463">
        <f t="shared" si="13"/>
        <v>-0.30746730901582942</v>
      </c>
      <c r="F1977" s="1494">
        <f t="shared" si="12"/>
        <v>-6.149346180316588E-3</v>
      </c>
      <c r="G1977" s="415"/>
      <c r="H1977" s="415" t="str">
        <f>VLOOKUP(B1977,indexy!$A$44:$D$823,3,FALSE)</f>
        <v>TEL NO Equity</v>
      </c>
      <c r="I1977" s="412"/>
    </row>
    <row r="1978" spans="1:9" ht="12.75" hidden="1" customHeight="1" outlineLevel="1" x14ac:dyDescent="0.25">
      <c r="A1978" s="135">
        <v>7.0000000000000007E-2</v>
      </c>
      <c r="B1978" s="211" t="s">
        <v>434</v>
      </c>
      <c r="C1978" s="472">
        <v>37.155999999999999</v>
      </c>
      <c r="D1978" s="1597">
        <f>VLOOKUP(H1978,indexy!$C$44:$D$823,2,FALSE)</f>
        <v>27.43</v>
      </c>
      <c r="E1978" s="1463">
        <f t="shared" si="13"/>
        <v>-0.26176122295187854</v>
      </c>
      <c r="F1978" s="1494">
        <f t="shared" si="12"/>
        <v>-1.83232856066315E-2</v>
      </c>
      <c r="G1978" s="415"/>
      <c r="H1978" s="415" t="str">
        <f>VLOOKUP(B1978,indexy!$A$44:$D$823,3,FALSE)</f>
        <v>TELIA SS Equity</v>
      </c>
      <c r="I1978" s="412"/>
    </row>
    <row r="1979" spans="1:9" ht="12.75" hidden="1" customHeight="1" outlineLevel="1" x14ac:dyDescent="0.25">
      <c r="A1979" s="135">
        <v>0.02</v>
      </c>
      <c r="B1979" s="211" t="s">
        <v>5249</v>
      </c>
      <c r="C1979" s="472">
        <v>3.4670000000000001</v>
      </c>
      <c r="D1979" s="1597">
        <f>VLOOKUP(H1979,indexy!$C$44:$D$823,2,FALSE)</f>
        <v>3.86</v>
      </c>
      <c r="E1979" s="1463">
        <f t="shared" si="13"/>
        <v>0.11335448514565893</v>
      </c>
      <c r="F1979" s="1494">
        <f>E1979*A1979</f>
        <v>2.2670897029131785E-3</v>
      </c>
      <c r="G1979" s="415"/>
      <c r="H1979" s="415" t="str">
        <f>VLOOKUP(B1979,indexy!$A$44:$D$823,3,FALSE)</f>
        <v>TLS AT Equity</v>
      </c>
      <c r="I1979" s="412"/>
    </row>
    <row r="1980" spans="1:9" ht="12.75" hidden="1" customHeight="1" outlineLevel="1" x14ac:dyDescent="0.25">
      <c r="A1980" s="135">
        <v>0.04</v>
      </c>
      <c r="B1980" s="211" t="s">
        <v>10633</v>
      </c>
      <c r="C1980" s="472">
        <v>45.401000000000003</v>
      </c>
      <c r="D1980" s="1597">
        <f>VLOOKUP(H1980,indexy!$C$44:$D$823,2,FALSE)</f>
        <v>63.47</v>
      </c>
      <c r="E1980" s="1463">
        <f t="shared" si="13"/>
        <v>0.39798682848395406</v>
      </c>
      <c r="F1980" s="1494">
        <f>E1980*A1980</f>
        <v>1.5919473139358164E-2</v>
      </c>
      <c r="G1980" s="415"/>
      <c r="H1980" s="415" t="str">
        <f>VLOOKUP(B1980,indexy!$A$44:$D$823,3,FALSE)</f>
        <v>TTE FP Equity</v>
      </c>
      <c r="I1980" s="412"/>
    </row>
    <row r="1981" spans="1:9" ht="12.75" hidden="1" customHeight="1" outlineLevel="1" x14ac:dyDescent="0.25">
      <c r="A1981" s="135">
        <v>0.02</v>
      </c>
      <c r="B1981" s="211" t="s">
        <v>255</v>
      </c>
      <c r="C1981" s="472">
        <v>49.64</v>
      </c>
      <c r="D1981" s="1597">
        <f>VLOOKUP(H1981,indexy!$C$44:$D$823,2,FALSE)</f>
        <v>41.96</v>
      </c>
      <c r="E1981" s="1463">
        <f t="shared" si="13"/>
        <v>-0.15471394037066877</v>
      </c>
      <c r="F1981" s="1494">
        <f>E1981*A1981</f>
        <v>-3.0942788074133755E-3</v>
      </c>
      <c r="G1981" s="415"/>
      <c r="H1981" s="415" t="str">
        <f>VLOOKUP(B1981,indexy!$A$44:$D$823,3,FALSE)</f>
        <v>VZ UN Equity</v>
      </c>
      <c r="I1981" s="412"/>
    </row>
    <row r="1982" spans="1:9" ht="12.75" hidden="1" customHeight="1" outlineLevel="1" x14ac:dyDescent="0.25">
      <c r="A1982" s="135">
        <v>0.02</v>
      </c>
      <c r="B1982" s="211" t="s">
        <v>5626</v>
      </c>
      <c r="C1982" s="472">
        <v>30.268999999999998</v>
      </c>
      <c r="D1982" s="1597">
        <f>VLOOKUP(H1982,indexy!$C$44:$D$823,2,FALSE)</f>
        <v>26.1</v>
      </c>
      <c r="E1982" s="1463">
        <f t="shared" si="13"/>
        <v>-0.13773167266840658</v>
      </c>
      <c r="F1982" s="1494">
        <f>E1982*A1982</f>
        <v>-2.7546334533681315E-3</v>
      </c>
      <c r="G1982" s="415"/>
      <c r="H1982" s="415" t="str">
        <f>VLOOKUP(B1982,indexy!$A$44:$D$823,3,FALSE)</f>
        <v>WBC AT Equity</v>
      </c>
      <c r="I1982" s="412"/>
    </row>
    <row r="1983" spans="1:9" ht="12.75" hidden="1" customHeight="1" outlineLevel="1" x14ac:dyDescent="0.25">
      <c r="A1983" s="135">
        <v>7.0000000000000007E-2</v>
      </c>
      <c r="B1983" s="1465" t="s">
        <v>4550</v>
      </c>
      <c r="C1983" s="472">
        <v>304.48</v>
      </c>
      <c r="D1983" s="1598">
        <f>VLOOKUP(H1983,indexy!$C$44:$D$823,2,FALSE)</f>
        <v>486.3</v>
      </c>
      <c r="E1983" s="1463">
        <f t="shared" si="13"/>
        <v>0.59714923804519171</v>
      </c>
      <c r="F1983" s="1494">
        <f>E1983*A1983</f>
        <v>4.1800446663163425E-2</v>
      </c>
      <c r="G1983" s="415"/>
      <c r="H1983" s="415" t="str">
        <f>VLOOKUP(B1983,indexy!$A$44:$D$823,3,FALSE)</f>
        <v>ZURN SE Equity</v>
      </c>
      <c r="I1983" s="412"/>
    </row>
    <row r="1984" spans="1:9" ht="12.75" hidden="1" customHeight="1" outlineLevel="1" x14ac:dyDescent="0.25">
      <c r="A1984" s="1475" t="s">
        <v>2734</v>
      </c>
      <c r="B1984" s="150"/>
      <c r="C1984" s="1476">
        <v>100</v>
      </c>
      <c r="D1984" s="1477"/>
      <c r="E1984" s="1599"/>
      <c r="F1984" s="1599">
        <f>SUM(F1954:F1983)</f>
        <v>3.3057991954843283E-2</v>
      </c>
      <c r="G1984" s="12"/>
      <c r="H1984" s="415"/>
    </row>
    <row r="1985" spans="1:15" ht="12.75" hidden="1" customHeight="1" outlineLevel="1" x14ac:dyDescent="0.25">
      <c r="A1985" s="221" t="s">
        <v>9097</v>
      </c>
      <c r="B1985" s="1478">
        <v>45413</v>
      </c>
      <c r="C1985" s="1497">
        <v>100</v>
      </c>
      <c r="D1985" s="1497"/>
      <c r="E1985" s="1498">
        <f>IF(D1985="",F1984,D1985/C1985-1)</f>
        <v>3.3057991954843283E-2</v>
      </c>
      <c r="F1985" s="1499"/>
      <c r="G1985" s="12"/>
      <c r="H1985" s="415"/>
    </row>
    <row r="1986" spans="1:15" ht="12.75" hidden="1" customHeight="1" outlineLevel="1" x14ac:dyDescent="0.25">
      <c r="A1986" s="221" t="s">
        <v>9098</v>
      </c>
      <c r="B1986" s="1478">
        <v>45444</v>
      </c>
      <c r="C1986" s="1497">
        <v>100</v>
      </c>
      <c r="D1986" s="1500"/>
      <c r="E1986" s="1498">
        <f>IF(D1986="",E1985,D1986/C1986-1)</f>
        <v>3.3057991954843283E-2</v>
      </c>
      <c r="F1986" s="1499"/>
      <c r="G1986" s="12"/>
      <c r="H1986" s="415"/>
    </row>
    <row r="1987" spans="1:15" ht="12.75" hidden="1" customHeight="1" outlineLevel="1" x14ac:dyDescent="0.25">
      <c r="A1987" s="221" t="s">
        <v>9099</v>
      </c>
      <c r="B1987" s="1478">
        <v>45474</v>
      </c>
      <c r="C1987" s="1497">
        <v>100</v>
      </c>
      <c r="D1987" s="1500"/>
      <c r="E1987" s="1498">
        <f t="shared" ref="E1987:E1994" si="14">IF(D1987="",E1986,D1987/C1987-1)</f>
        <v>3.3057991954843283E-2</v>
      </c>
      <c r="F1987" s="1499"/>
      <c r="G1987" s="12"/>
      <c r="H1987" s="415"/>
    </row>
    <row r="1988" spans="1:15" ht="12.75" hidden="1" customHeight="1" outlineLevel="1" x14ac:dyDescent="0.25">
      <c r="A1988" s="221" t="s">
        <v>9100</v>
      </c>
      <c r="B1988" s="1478">
        <v>45505</v>
      </c>
      <c r="C1988" s="1497">
        <v>100</v>
      </c>
      <c r="D1988" s="1500"/>
      <c r="E1988" s="1498">
        <f t="shared" si="14"/>
        <v>3.3057991954843283E-2</v>
      </c>
      <c r="F1988" s="1499"/>
      <c r="G1988" s="12"/>
      <c r="H1988" s="415"/>
    </row>
    <row r="1989" spans="1:15" ht="12.75" hidden="1" customHeight="1" outlineLevel="1" x14ac:dyDescent="0.25">
      <c r="A1989" s="221" t="s">
        <v>9101</v>
      </c>
      <c r="B1989" s="1478">
        <v>45536</v>
      </c>
      <c r="C1989" s="1497">
        <v>100</v>
      </c>
      <c r="D1989" s="1500"/>
      <c r="E1989" s="1498">
        <f t="shared" si="14"/>
        <v>3.3057991954843283E-2</v>
      </c>
      <c r="F1989" s="1499"/>
      <c r="G1989" s="12"/>
      <c r="H1989" s="415"/>
    </row>
    <row r="1990" spans="1:15" ht="12.75" hidden="1" customHeight="1" outlineLevel="1" x14ac:dyDescent="0.25">
      <c r="A1990" s="221" t="s">
        <v>9102</v>
      </c>
      <c r="B1990" s="1478">
        <v>45566</v>
      </c>
      <c r="C1990" s="1497">
        <v>100</v>
      </c>
      <c r="D1990" s="1500"/>
      <c r="E1990" s="1498">
        <f t="shared" si="14"/>
        <v>3.3057991954843283E-2</v>
      </c>
      <c r="F1990" s="1499"/>
      <c r="G1990" s="12"/>
      <c r="H1990" s="415"/>
    </row>
    <row r="1991" spans="1:15" ht="12.75" hidden="1" customHeight="1" outlineLevel="1" x14ac:dyDescent="0.25">
      <c r="A1991" s="221" t="s">
        <v>9103</v>
      </c>
      <c r="B1991" s="1478">
        <v>45597</v>
      </c>
      <c r="C1991" s="1497">
        <v>100</v>
      </c>
      <c r="D1991" s="1500"/>
      <c r="E1991" s="1498">
        <f t="shared" si="14"/>
        <v>3.3057991954843283E-2</v>
      </c>
      <c r="F1991" s="1499"/>
      <c r="G1991" s="12"/>
      <c r="H1991" s="415"/>
    </row>
    <row r="1992" spans="1:15" ht="12.75" hidden="1" customHeight="1" outlineLevel="1" x14ac:dyDescent="0.25">
      <c r="A1992" s="221" t="s">
        <v>9104</v>
      </c>
      <c r="B1992" s="1478">
        <v>45627</v>
      </c>
      <c r="C1992" s="1497">
        <v>100</v>
      </c>
      <c r="D1992" s="1500"/>
      <c r="E1992" s="1498">
        <f t="shared" si="14"/>
        <v>3.3057991954843283E-2</v>
      </c>
      <c r="F1992" s="1499"/>
      <c r="G1992" s="12"/>
      <c r="H1992" s="415"/>
    </row>
    <row r="1993" spans="1:15" ht="12.75" hidden="1" customHeight="1" outlineLevel="1" x14ac:dyDescent="0.25">
      <c r="A1993" s="221" t="s">
        <v>9105</v>
      </c>
      <c r="B1993" s="1478">
        <v>45658</v>
      </c>
      <c r="C1993" s="1497">
        <v>100</v>
      </c>
      <c r="D1993" s="1500"/>
      <c r="E1993" s="1498">
        <f t="shared" si="14"/>
        <v>3.3057991954843283E-2</v>
      </c>
      <c r="F1993" s="1499"/>
      <c r="G1993" s="12"/>
      <c r="H1993" s="415"/>
    </row>
    <row r="1994" spans="1:15" ht="12.75" hidden="1" customHeight="1" outlineLevel="1" x14ac:dyDescent="0.25">
      <c r="A1994" s="221" t="s">
        <v>9106</v>
      </c>
      <c r="B1994" s="1478">
        <v>45689</v>
      </c>
      <c r="C1994" s="1497">
        <v>100</v>
      </c>
      <c r="D1994" s="1500"/>
      <c r="E1994" s="1498">
        <f t="shared" si="14"/>
        <v>3.3057991954843283E-2</v>
      </c>
      <c r="F1994" s="1499"/>
      <c r="G1994" s="12"/>
      <c r="H1994" s="415"/>
    </row>
    <row r="1995" spans="1:15" ht="12.75" hidden="1" customHeight="1" outlineLevel="1" x14ac:dyDescent="0.25">
      <c r="A1995" s="221" t="s">
        <v>9107</v>
      </c>
      <c r="B1995" s="1478">
        <v>45717</v>
      </c>
      <c r="C1995" s="1497">
        <v>100</v>
      </c>
      <c r="D1995" s="1500"/>
      <c r="E1995" s="1498">
        <f>IF(D1995="",E1994,D1995/C1995-1)</f>
        <v>3.3057991954843283E-2</v>
      </c>
      <c r="F1995" s="1499"/>
      <c r="G1995" s="12"/>
      <c r="H1995" s="415"/>
    </row>
    <row r="1996" spans="1:15" ht="12.75" hidden="1" customHeight="1" outlineLevel="1" x14ac:dyDescent="0.25">
      <c r="A1996" s="221" t="s">
        <v>9108</v>
      </c>
      <c r="B1996" s="1478">
        <v>45748</v>
      </c>
      <c r="C1996" s="1497">
        <v>100</v>
      </c>
      <c r="D1996" s="1500"/>
      <c r="E1996" s="1498">
        <f>IF(D1996="",E1995,D1996/C1996-1)</f>
        <v>3.3057991954843283E-2</v>
      </c>
      <c r="F1996" s="1499"/>
      <c r="G1996" s="12"/>
      <c r="H1996" s="415"/>
    </row>
    <row r="1997" spans="1:15" ht="12.75" hidden="1" customHeight="1" outlineLevel="1" x14ac:dyDescent="0.25">
      <c r="A1997" s="1483" t="s">
        <v>2734</v>
      </c>
      <c r="B1997" s="1484"/>
      <c r="C1997" s="1500"/>
      <c r="D1997" s="1485" t="s">
        <v>2465</v>
      </c>
      <c r="E1997" s="1486">
        <f>AVERAGE(E1985:E1996)</f>
        <v>3.3057991954843276E-2</v>
      </c>
      <c r="F1997" s="1487">
        <f>+E1997</f>
        <v>3.3057991954843276E-2</v>
      </c>
      <c r="G1997" s="12"/>
      <c r="H1997" s="415"/>
    </row>
    <row r="1998" spans="1:15" collapsed="1" x14ac:dyDescent="0.25">
      <c r="A1998" s="3799" t="s">
        <v>9009</v>
      </c>
      <c r="B1998" s="3800"/>
      <c r="C1998" s="3800"/>
      <c r="D1998" s="3800"/>
      <c r="E1998" s="18"/>
      <c r="F1998" s="186">
        <f>IF(F1997&lt;0,-F1997*0.2,MIN(+F1997,100%))</f>
        <v>3.3057991954843276E-2</v>
      </c>
      <c r="G1998" s="78"/>
    </row>
    <row r="2000" spans="1:15" ht="12.75" hidden="1" customHeight="1" outlineLevel="1" x14ac:dyDescent="0.25">
      <c r="A2000" s="1677" t="s">
        <v>4156</v>
      </c>
      <c r="B2000" s="1677" t="s">
        <v>4153</v>
      </c>
      <c r="C2000" s="1623" t="s">
        <v>112</v>
      </c>
      <c r="D2000" s="1678" t="s">
        <v>4155</v>
      </c>
      <c r="E2000" s="1677" t="s">
        <v>4154</v>
      </c>
      <c r="F2000" s="1678" t="s">
        <v>2519</v>
      </c>
      <c r="G2000" s="12"/>
      <c r="H2000" s="415"/>
      <c r="I2000" s="412"/>
      <c r="J2000" s="1462"/>
      <c r="K2000" s="1462"/>
      <c r="L2000" s="1462"/>
      <c r="M2000" s="1462"/>
      <c r="N2000" s="1462"/>
      <c r="O2000" s="1462"/>
    </row>
    <row r="2001" spans="1:11" ht="12.75" hidden="1" customHeight="1" outlineLevel="1" x14ac:dyDescent="0.25">
      <c r="A2001" s="134">
        <v>0.04</v>
      </c>
      <c r="B2001" s="211" t="s">
        <v>2697</v>
      </c>
      <c r="C2001" s="472">
        <v>15.5565</v>
      </c>
      <c r="D2001" s="1596">
        <f>VLOOKUP(H2001,indexy!$C$44:$D$823,2,FALSE)</f>
        <v>23.46</v>
      </c>
      <c r="E2001" s="1466">
        <f>D2001/C2001-1</f>
        <v>0.5080512968855464</v>
      </c>
      <c r="F2001" s="1492">
        <f>E2001*A2001</f>
        <v>2.0322051875421857E-2</v>
      </c>
      <c r="G2001" s="415"/>
      <c r="H2001" s="415" t="str">
        <f>VLOOKUP(B2001,indexy!$A$44:$D$823,3,FALSE)</f>
        <v>G IM Equity</v>
      </c>
      <c r="I2001" s="412"/>
    </row>
    <row r="2002" spans="1:11" ht="12.75" hidden="1" customHeight="1" outlineLevel="1" x14ac:dyDescent="0.25">
      <c r="A2002" s="135">
        <v>0.02</v>
      </c>
      <c r="B2002" s="211" t="s">
        <v>218</v>
      </c>
      <c r="C2002" s="472">
        <v>22.5275</v>
      </c>
      <c r="D2002" s="1597">
        <f>VLOOKUP(H2002,indexy!$C$44:$D$823,2,FALSE)</f>
        <v>34.814999999999998</v>
      </c>
      <c r="E2002" s="1463">
        <f>D2002/C2002-1</f>
        <v>0.54544445677505271</v>
      </c>
      <c r="F2002" s="1494">
        <f t="shared" ref="F2002:F2025" si="15">E2002*A2002</f>
        <v>1.0908889135501055E-2</v>
      </c>
      <c r="G2002" s="415"/>
      <c r="H2002" s="415" t="str">
        <f>VLOOKUP(B2002,indexy!$A$44:$D$823,3,FALSE)</f>
        <v>CS FP Equity</v>
      </c>
      <c r="I2002" s="412"/>
    </row>
    <row r="2003" spans="1:11" ht="12.75" hidden="1" customHeight="1" outlineLevel="1" x14ac:dyDescent="0.25">
      <c r="A2003" s="135">
        <v>0.02</v>
      </c>
      <c r="B2003" s="211" t="s">
        <v>807</v>
      </c>
      <c r="C2003" s="472">
        <v>56.643000000000001</v>
      </c>
      <c r="D2003" s="1597">
        <f>VLOOKUP(H2003,indexy!$C$44:$D$823,2,FALSE)</f>
        <v>46.03</v>
      </c>
      <c r="E2003" s="1463">
        <f t="shared" ref="E2003:E2030" si="16">D2003/C2003-1</f>
        <v>-0.18736648835690195</v>
      </c>
      <c r="F2003" s="1494">
        <f t="shared" si="15"/>
        <v>-3.7473297671380391E-3</v>
      </c>
      <c r="G2003" s="415"/>
      <c r="H2003" s="415" t="str">
        <f>VLOOKUP(B2003,indexy!$A$44:$D$823,3,FALSE)</f>
        <v>BCE CT Equity</v>
      </c>
      <c r="I2003" s="412"/>
    </row>
    <row r="2004" spans="1:11" ht="12.75" hidden="1" customHeight="1" outlineLevel="1" x14ac:dyDescent="0.25">
      <c r="A2004" s="135">
        <v>0.02</v>
      </c>
      <c r="B2004" s="211" t="s">
        <v>1188</v>
      </c>
      <c r="C2004" s="472">
        <v>4.7035</v>
      </c>
      <c r="D2004" s="1597">
        <f>VLOOKUP(H2004,indexy!$C$44:$D$823,2,FALSE)/100</f>
        <v>4.9569999999999999</v>
      </c>
      <c r="E2004" s="1463">
        <f t="shared" si="16"/>
        <v>5.3896034867651821E-2</v>
      </c>
      <c r="F2004" s="1494">
        <f t="shared" si="15"/>
        <v>1.0779206973530364E-3</v>
      </c>
      <c r="G2004" s="415"/>
      <c r="H2004" s="415" t="str">
        <f>VLOOKUP(B2004,indexy!$A$44:$D$823,3,FALSE)</f>
        <v>BP/ LN Equity</v>
      </c>
      <c r="I2004" s="412"/>
      <c r="K2004" s="37"/>
    </row>
    <row r="2005" spans="1:11" ht="12.75" hidden="1" customHeight="1" outlineLevel="1" x14ac:dyDescent="0.25">
      <c r="A2005" s="135">
        <v>0.02</v>
      </c>
      <c r="B2005" s="211" t="s">
        <v>8918</v>
      </c>
      <c r="C2005" s="472">
        <v>2.3079999999999998</v>
      </c>
      <c r="D2005" s="1597">
        <f>VLOOKUP(H2005,indexy!$C$44:$D$823,2,FALSE)/100</f>
        <v>1.0965</v>
      </c>
      <c r="E2005" s="1463">
        <f t="shared" si="16"/>
        <v>-0.52491334488734831</v>
      </c>
      <c r="F2005" s="1494">
        <f t="shared" si="15"/>
        <v>-1.0498266897746966E-2</v>
      </c>
      <c r="G2005" s="415"/>
      <c r="H2005" s="415" t="str">
        <f>VLOOKUP(B2005,indexy!$A$44:$D$823,3,FALSE)</f>
        <v>BT/A LN Equity</v>
      </c>
      <c r="I2005" s="412"/>
    </row>
    <row r="2006" spans="1:11" ht="12.75" hidden="1" customHeight="1" outlineLevel="1" x14ac:dyDescent="0.25">
      <c r="A2006" s="135">
        <v>0.02</v>
      </c>
      <c r="B2006" s="211" t="s">
        <v>8678</v>
      </c>
      <c r="C2006" s="472">
        <v>76.034000000000006</v>
      </c>
      <c r="D2006" s="1597">
        <f>VLOOKUP(H2006,indexy!$C$44:$D$823,2,FALSE)</f>
        <v>120.34</v>
      </c>
      <c r="E2006" s="1463">
        <f t="shared" si="16"/>
        <v>0.58271299681721334</v>
      </c>
      <c r="F2006" s="1494">
        <f t="shared" si="15"/>
        <v>1.1654259936344266E-2</v>
      </c>
      <c r="G2006" s="415"/>
      <c r="H2006" s="415" t="str">
        <f>VLOOKUP(B2006,indexy!$A$44:$D$823,3,FALSE)</f>
        <v>CBA AT Equity</v>
      </c>
      <c r="I2006" s="412"/>
    </row>
    <row r="2007" spans="1:11" ht="12.75" hidden="1" customHeight="1" outlineLevel="1" x14ac:dyDescent="0.25">
      <c r="A2007" s="135">
        <v>0.02</v>
      </c>
      <c r="B2007" s="211" t="s">
        <v>4025</v>
      </c>
      <c r="C2007" s="472">
        <v>68.180000000000007</v>
      </c>
      <c r="D2007" s="1597">
        <f>VLOOKUP(H2007,indexy!$C$44:$D$823,2,FALSE)</f>
        <v>73.94</v>
      </c>
      <c r="E2007" s="1463">
        <f t="shared" si="16"/>
        <v>8.4482252860076157E-2</v>
      </c>
      <c r="F2007" s="1494">
        <f t="shared" si="15"/>
        <v>1.6896450572015231E-3</v>
      </c>
      <c r="G2007" s="415"/>
      <c r="H2007" s="415" t="str">
        <f>VLOOKUP(B2007,indexy!$A$44:$D$823,3,FALSE)</f>
        <v>MBG GR Equity</v>
      </c>
      <c r="I2007" s="412"/>
    </row>
    <row r="2008" spans="1:11" ht="12.75" hidden="1" customHeight="1" outlineLevel="1" x14ac:dyDescent="0.25">
      <c r="A2008" s="135">
        <v>0.02</v>
      </c>
      <c r="B2008" s="211" t="s">
        <v>2629</v>
      </c>
      <c r="C2008" s="472">
        <v>13.2135</v>
      </c>
      <c r="D2008" s="1597">
        <f>VLOOKUP(H2008,indexy!$C$44:$D$823,2,FALSE)</f>
        <v>22.5</v>
      </c>
      <c r="E2008" s="1463">
        <f t="shared" si="16"/>
        <v>0.70280395050516509</v>
      </c>
      <c r="F2008" s="1494">
        <f t="shared" si="15"/>
        <v>1.4056079010103303E-2</v>
      </c>
      <c r="G2008" s="415"/>
      <c r="H2008" s="415" t="str">
        <f>VLOOKUP(B2008,indexy!$A$44:$D$823,3,FALSE)</f>
        <v>DTE GY Equity</v>
      </c>
      <c r="I2008" s="412"/>
    </row>
    <row r="2009" spans="1:11" ht="12.75" hidden="1" customHeight="1" outlineLevel="1" x14ac:dyDescent="0.25">
      <c r="A2009" s="135">
        <v>0.02</v>
      </c>
      <c r="B2009" s="211" t="s">
        <v>6821</v>
      </c>
      <c r="C2009" s="472">
        <v>3.8654000000000002</v>
      </c>
      <c r="D2009" s="1597">
        <f>VLOOKUP(H2009,indexy!$C$44:$D$823,2,FALSE)/100</f>
        <v>1.9505000000000001</v>
      </c>
      <c r="E2009" s="1463">
        <f t="shared" si="16"/>
        <v>-0.49539504320380812</v>
      </c>
      <c r="F2009" s="1494">
        <f t="shared" si="15"/>
        <v>-9.9079008640761621E-3</v>
      </c>
      <c r="G2009" s="415"/>
      <c r="H2009" s="415" t="str">
        <f>VLOOKUP(B2009,indexy!$A$44:$D$823,3,FALSE)</f>
        <v>DLG LN Equity</v>
      </c>
      <c r="I2009" s="412"/>
    </row>
    <row r="2010" spans="1:11" ht="12.75" hidden="1" customHeight="1" outlineLevel="1" x14ac:dyDescent="0.25">
      <c r="A2010" s="135">
        <v>0.08</v>
      </c>
      <c r="B2010" s="211" t="s">
        <v>6267</v>
      </c>
      <c r="C2010" s="472">
        <v>21.456</v>
      </c>
      <c r="D2010" s="1597">
        <f>VLOOKUP(H2010,indexy!$C$44:$D$823,2,FALSE)</f>
        <v>13.765000000000001</v>
      </c>
      <c r="E2010" s="1463">
        <f t="shared" si="16"/>
        <v>-0.35845451155853836</v>
      </c>
      <c r="F2010" s="1494">
        <f t="shared" si="15"/>
        <v>-2.8676360924683068E-2</v>
      </c>
      <c r="G2010" s="415"/>
      <c r="H2010" s="415" t="str">
        <f>VLOOKUP(B2010,indexy!$A$44:$D$823,3,FALSE)</f>
        <v>ENG SQ Equity</v>
      </c>
      <c r="I2010" s="412"/>
    </row>
    <row r="2011" spans="1:11" ht="12.75" hidden="1" customHeight="1" outlineLevel="1" x14ac:dyDescent="0.25">
      <c r="A2011" s="135">
        <v>0.05</v>
      </c>
      <c r="B2011" s="211" t="s">
        <v>4268</v>
      </c>
      <c r="C2011" s="472">
        <v>18.079000000000001</v>
      </c>
      <c r="D2011" s="1597">
        <f>VLOOKUP(H2011,indexy!$C$44:$D$823,2,FALSE)</f>
        <v>11.445</v>
      </c>
      <c r="E2011" s="1463">
        <f t="shared" si="16"/>
        <v>-0.36694507439570778</v>
      </c>
      <c r="F2011" s="1494">
        <f t="shared" si="15"/>
        <v>-1.8347253719785388E-2</v>
      </c>
      <c r="G2011" s="415"/>
      <c r="H2011" s="415" t="str">
        <f>VLOOKUP(B2011,indexy!$A$44:$D$823,3,FALSE)</f>
        <v>FORTUM FH Equity</v>
      </c>
      <c r="I2011" s="412"/>
    </row>
    <row r="2012" spans="1:11" ht="12.75" hidden="1" customHeight="1" outlineLevel="1" x14ac:dyDescent="0.25">
      <c r="A2012" s="135">
        <v>0.02</v>
      </c>
      <c r="B2012" s="211" t="s">
        <v>8208</v>
      </c>
      <c r="C2012" s="472">
        <v>6.28</v>
      </c>
      <c r="D2012" s="1597">
        <f>VLOOKUP(H2012,indexy!$C$44:$D$823,2,FALSE)/100</f>
        <v>1.7675000000000001</v>
      </c>
      <c r="E2012" s="1463">
        <f t="shared" si="16"/>
        <v>-0.71855095541401282</v>
      </c>
      <c r="F2012" s="1494">
        <f t="shared" si="15"/>
        <v>-1.4371019108280257E-2</v>
      </c>
      <c r="G2012" s="415"/>
      <c r="H2012" s="415" t="str">
        <f>VLOOKUP(B2012,indexy!$A$44:$D$823,3,FALSE)</f>
        <v>IAG LN Equity</v>
      </c>
      <c r="I2012" s="412"/>
    </row>
    <row r="2013" spans="1:11" ht="12.75" hidden="1" customHeight="1" outlineLevel="1" x14ac:dyDescent="0.25">
      <c r="A2013" s="135">
        <v>0.04</v>
      </c>
      <c r="B2013" s="211" t="s">
        <v>6902</v>
      </c>
      <c r="C2013" s="490">
        <v>2.6152000000000002</v>
      </c>
      <c r="D2013" s="1597">
        <f>VLOOKUP(H2013,indexy!$C$44:$D$823,2,FALSE)/100</f>
        <v>2.544</v>
      </c>
      <c r="E2013" s="1463">
        <f t="shared" si="16"/>
        <v>-2.722545120832065E-2</v>
      </c>
      <c r="F2013" s="1494">
        <f t="shared" si="15"/>
        <v>-1.089018048332826E-3</v>
      </c>
      <c r="G2013" s="415"/>
      <c r="H2013" s="415" t="str">
        <f>VLOOKUP(B2013,indexy!$A$44:$D$823,3,FALSE)</f>
        <v>LGEN LN Equity</v>
      </c>
      <c r="I2013" s="412"/>
    </row>
    <row r="2014" spans="1:11" ht="12.75" hidden="1" customHeight="1" outlineLevel="1" x14ac:dyDescent="0.25">
      <c r="A2014" s="135">
        <v>0.02</v>
      </c>
      <c r="B2014" s="211" t="s">
        <v>8261</v>
      </c>
      <c r="C2014" s="472">
        <v>154.83500000000001</v>
      </c>
      <c r="D2014" s="1597">
        <f>VLOOKUP(H2014,indexy!$C$44:$D$823,2,FALSE)</f>
        <v>198.95</v>
      </c>
      <c r="E2014" s="1463">
        <f t="shared" si="16"/>
        <v>0.2849162011173183</v>
      </c>
      <c r="F2014" s="1494">
        <f t="shared" si="15"/>
        <v>5.6983240223463663E-3</v>
      </c>
      <c r="G2014" s="415"/>
      <c r="H2014" s="415" t="str">
        <f>VLOOKUP(B2014,indexy!$A$44:$D$823,3,FALSE)</f>
        <v>MOWI NO Equity</v>
      </c>
      <c r="I2014" s="412"/>
    </row>
    <row r="2015" spans="1:11" ht="12.75" hidden="1" customHeight="1" outlineLevel="1" x14ac:dyDescent="0.25">
      <c r="A2015" s="135">
        <v>0.02</v>
      </c>
      <c r="B2015" s="211" t="s">
        <v>5196</v>
      </c>
      <c r="C2015" s="472">
        <v>47.845999999999997</v>
      </c>
      <c r="D2015" s="1597">
        <f>VLOOKUP(H2015,indexy!$C$44:$D$823,2,FALSE)/100</f>
        <v>92.32</v>
      </c>
      <c r="E2015" s="1463">
        <f t="shared" si="16"/>
        <v>0.92952388914433803</v>
      </c>
      <c r="F2015" s="1494">
        <f t="shared" si="15"/>
        <v>1.859047778288676E-2</v>
      </c>
      <c r="G2015" s="415"/>
      <c r="H2015" s="415" t="str">
        <f>VLOOKUP(B2015,indexy!$A$44:$D$823,3,FALSE)</f>
        <v>NXT LN Equity</v>
      </c>
      <c r="I2015" s="412"/>
    </row>
    <row r="2016" spans="1:11" ht="12.75" hidden="1" customHeight="1" outlineLevel="1" x14ac:dyDescent="0.25">
      <c r="A2016" s="135">
        <v>0.03</v>
      </c>
      <c r="B2016" s="211" t="s">
        <v>8527</v>
      </c>
      <c r="C2016" s="472">
        <v>35.911000000000001</v>
      </c>
      <c r="D2016" s="1597">
        <f>VLOOKUP(H2016,indexy!$C$44:$D$823,2,FALSE)</f>
        <v>42.82</v>
      </c>
      <c r="E2016" s="1463">
        <f t="shared" si="16"/>
        <v>0.19239230319400735</v>
      </c>
      <c r="F2016" s="1494">
        <f t="shared" si="15"/>
        <v>5.7717690958202202E-3</v>
      </c>
      <c r="G2016" s="415"/>
      <c r="H2016" s="415" t="str">
        <f>VLOOKUP(B2016,indexy!$A$44:$D$823,3,FALSE)</f>
        <v>NN NA Equity</v>
      </c>
      <c r="I2016" s="412"/>
    </row>
    <row r="2017" spans="1:9" ht="12.75" hidden="1" customHeight="1" outlineLevel="1" x14ac:dyDescent="0.25">
      <c r="A2017" s="135">
        <v>0.02</v>
      </c>
      <c r="B2017" s="211" t="s">
        <v>1203</v>
      </c>
      <c r="C2017" s="472">
        <v>94.231999999999999</v>
      </c>
      <c r="D2017" s="1597">
        <f>VLOOKUP(H2017,indexy!$C$44:$D$823,2,FALSE)</f>
        <v>119.2</v>
      </c>
      <c r="E2017" s="1463">
        <f t="shared" si="16"/>
        <v>0.26496306987010776</v>
      </c>
      <c r="F2017" s="1494">
        <f t="shared" si="15"/>
        <v>5.299261397402155E-3</v>
      </c>
      <c r="G2017" s="415"/>
      <c r="H2017" s="415" t="str">
        <f>VLOOKUP(B2017,indexy!$A$44:$D$823,3,FALSE)</f>
        <v>NDA SS Equity</v>
      </c>
      <c r="I2017" s="412"/>
    </row>
    <row r="2018" spans="1:9" ht="12.75" hidden="1" customHeight="1" outlineLevel="1" x14ac:dyDescent="0.25">
      <c r="A2018" s="135">
        <v>0.06</v>
      </c>
      <c r="B2018" s="211" t="s">
        <v>7433</v>
      </c>
      <c r="C2018" s="472">
        <v>27.731000000000002</v>
      </c>
      <c r="D2018" s="1597">
        <f>VLOOKUP(H2018,indexy!$C$44:$D$823,2,FALSE)</f>
        <v>6.5119999999999996</v>
      </c>
      <c r="E2018" s="1463">
        <f t="shared" si="16"/>
        <v>-0.76517255057516864</v>
      </c>
      <c r="F2018" s="1494">
        <f t="shared" si="15"/>
        <v>-4.5910353034510118E-2</v>
      </c>
      <c r="G2018" s="415"/>
      <c r="H2018" s="415" t="str">
        <f>VLOOKUP(B2018,indexy!$A$44:$D$823,3,FALSE)</f>
        <v>PSM GY Equity</v>
      </c>
      <c r="I2018" s="412"/>
    </row>
    <row r="2019" spans="1:9" ht="12.75" hidden="1" customHeight="1" outlineLevel="1" x14ac:dyDescent="0.25">
      <c r="A2019" s="135">
        <v>0.04</v>
      </c>
      <c r="B2019" s="211" t="s">
        <v>6270</v>
      </c>
      <c r="C2019" s="472">
        <v>45.064999999999998</v>
      </c>
      <c r="D2019" s="1597">
        <f>VLOOKUP(H2019,indexy!$C$44:$D$823,2,FALSE)</f>
        <v>39.515000000000001</v>
      </c>
      <c r="E2019" s="1463">
        <f t="shared" si="16"/>
        <v>-0.12315544213913232</v>
      </c>
      <c r="F2019" s="1494">
        <f t="shared" si="15"/>
        <v>-4.926217685565293E-3</v>
      </c>
      <c r="G2019" s="415"/>
      <c r="H2019" s="415" t="str">
        <f>VLOOKUP(B2019,indexy!$A$44:$D$823,3,FALSE)</f>
        <v>SAMPO FH Equity</v>
      </c>
      <c r="I2019" s="412"/>
    </row>
    <row r="2020" spans="1:9" ht="12.75" hidden="1" customHeight="1" outlineLevel="1" x14ac:dyDescent="0.25">
      <c r="A2020" s="135">
        <v>0.02</v>
      </c>
      <c r="B2020" s="211" t="s">
        <v>6524</v>
      </c>
      <c r="C2020" s="472">
        <v>97.501999999999995</v>
      </c>
      <c r="D2020" s="1597">
        <f>VLOOKUP(H2020,indexy!$C$44:$D$823,2,FALSE)</f>
        <v>144.94999999999999</v>
      </c>
      <c r="E2020" s="1463">
        <f t="shared" si="16"/>
        <v>0.48663617156571148</v>
      </c>
      <c r="F2020" s="1494">
        <f t="shared" si="15"/>
        <v>9.7327234313142295E-3</v>
      </c>
      <c r="G2020" s="415"/>
      <c r="H2020" s="415" t="str">
        <f>VLOOKUP(B2020,indexy!$A$44:$D$823,3,FALSE)</f>
        <v>SEBA SS Equity</v>
      </c>
      <c r="I2020" s="412"/>
    </row>
    <row r="2021" spans="1:9" ht="12.75" hidden="1" customHeight="1" outlineLevel="1" x14ac:dyDescent="0.25">
      <c r="A2021" s="135">
        <v>0.05</v>
      </c>
      <c r="B2021" s="211" t="s">
        <v>6116</v>
      </c>
      <c r="C2021" s="472">
        <v>3.6913999999999998</v>
      </c>
      <c r="D2021" s="1597">
        <f>VLOOKUP(H2021,indexy!$C$44:$D$823,2,FALSE)</f>
        <v>4.3760000000000003</v>
      </c>
      <c r="E2021" s="1463">
        <f t="shared" si="16"/>
        <v>0.18545809178089634</v>
      </c>
      <c r="F2021" s="1494">
        <f t="shared" si="15"/>
        <v>9.2729045890448166E-3</v>
      </c>
      <c r="G2021" s="415"/>
      <c r="H2021" s="415" t="str">
        <f>VLOOKUP(B2021,indexy!$A$44:$D$823,3,FALSE)</f>
        <v>SRG IM Equity</v>
      </c>
      <c r="I2021" s="412"/>
    </row>
    <row r="2022" spans="1:9" ht="12.75" hidden="1" customHeight="1" outlineLevel="1" x14ac:dyDescent="0.25">
      <c r="A2022" s="135">
        <v>0.03</v>
      </c>
      <c r="B2022" s="211" t="s">
        <v>1857</v>
      </c>
      <c r="C2022" s="472">
        <v>12.318</v>
      </c>
      <c r="D2022" s="1597">
        <f>VLOOKUP(H2022,indexy!$C$44:$D$823,2,FALSE)/100</f>
        <v>16.5</v>
      </c>
      <c r="E2022" s="1463">
        <f t="shared" si="16"/>
        <v>0.33950316609839271</v>
      </c>
      <c r="F2022" s="1494">
        <f t="shared" si="15"/>
        <v>1.0185094982951781E-2</v>
      </c>
      <c r="G2022" s="415"/>
      <c r="H2022" s="415" t="str">
        <f>VLOOKUP(B2022,indexy!$A$44:$D$823,3,FALSE)</f>
        <v>SSE LN Equity</v>
      </c>
      <c r="I2022" s="412"/>
    </row>
    <row r="2023" spans="1:9" ht="12.75" hidden="1" customHeight="1" outlineLevel="1" x14ac:dyDescent="0.25">
      <c r="A2023" s="135">
        <v>0.06</v>
      </c>
      <c r="B2023" s="211" t="s">
        <v>6118</v>
      </c>
      <c r="C2023" s="472">
        <v>96.367999999999995</v>
      </c>
      <c r="D2023" s="1597">
        <f>VLOOKUP(H2023,indexy!$C$44:$D$823,2,FALSE)</f>
        <v>115.95</v>
      </c>
      <c r="E2023" s="1463">
        <f t="shared" si="16"/>
        <v>0.20320023244230456</v>
      </c>
      <c r="F2023" s="1494">
        <f t="shared" si="15"/>
        <v>1.2192013946538273E-2</v>
      </c>
      <c r="G2023" s="415"/>
      <c r="H2023" s="415" t="str">
        <f>VLOOKUP(B2023,indexy!$A$44:$D$823,3,FALSE)</f>
        <v>SREN SE Equity</v>
      </c>
      <c r="I2023" s="412"/>
    </row>
    <row r="2024" spans="1:9" ht="12.75" hidden="1" customHeight="1" outlineLevel="1" x14ac:dyDescent="0.25">
      <c r="A2024" s="135">
        <v>0.02</v>
      </c>
      <c r="B2024" s="211" t="s">
        <v>3383</v>
      </c>
      <c r="C2024" s="472">
        <v>178.08</v>
      </c>
      <c r="D2024" s="1597">
        <f>VLOOKUP(H2024,indexy!$C$44:$D$823,2,FALSE)</f>
        <v>120.75</v>
      </c>
      <c r="E2024" s="1463">
        <f t="shared" si="16"/>
        <v>-0.32193396226415094</v>
      </c>
      <c r="F2024" s="1494">
        <f t="shared" si="15"/>
        <v>-6.4386792452830188E-3</v>
      </c>
      <c r="G2024" s="415"/>
      <c r="H2024" s="415" t="str">
        <f>VLOOKUP(B2024,indexy!$A$44:$D$823,3,FALSE)</f>
        <v>TEL NO Equity</v>
      </c>
      <c r="I2024" s="412"/>
    </row>
    <row r="2025" spans="1:9" ht="12.75" hidden="1" customHeight="1" outlineLevel="1" x14ac:dyDescent="0.25">
      <c r="A2025" s="135">
        <v>7.0000000000000007E-2</v>
      </c>
      <c r="B2025" s="211" t="s">
        <v>434</v>
      </c>
      <c r="C2025" s="472">
        <v>39.625</v>
      </c>
      <c r="D2025" s="1597">
        <f>VLOOKUP(H2025,indexy!$C$44:$D$823,2,FALSE)</f>
        <v>27.43</v>
      </c>
      <c r="E2025" s="1463">
        <f t="shared" si="16"/>
        <v>-0.30776025236593063</v>
      </c>
      <c r="F2025" s="1494">
        <f t="shared" si="15"/>
        <v>-2.1543217665615146E-2</v>
      </c>
      <c r="G2025" s="415"/>
      <c r="H2025" s="415" t="str">
        <f>VLOOKUP(B2025,indexy!$A$44:$D$823,3,FALSE)</f>
        <v>TELIA SS Equity</v>
      </c>
      <c r="I2025" s="412"/>
    </row>
    <row r="2026" spans="1:9" ht="12.75" hidden="1" customHeight="1" outlineLevel="1" x14ac:dyDescent="0.25">
      <c r="A2026" s="135">
        <v>0.02</v>
      </c>
      <c r="B2026" s="211" t="s">
        <v>5249</v>
      </c>
      <c r="C2026" s="472">
        <v>3.3719999999999999</v>
      </c>
      <c r="D2026" s="1597">
        <f>VLOOKUP(H2026,indexy!$C$44:$D$823,2,FALSE)</f>
        <v>3.86</v>
      </c>
      <c r="E2026" s="1463">
        <f t="shared" si="16"/>
        <v>0.1447212336892052</v>
      </c>
      <c r="F2026" s="1494">
        <f>E2026*A2026</f>
        <v>2.8944246737841041E-3</v>
      </c>
      <c r="G2026" s="415"/>
      <c r="H2026" s="415" t="str">
        <f>VLOOKUP(B2026,indexy!$A$44:$D$823,3,FALSE)</f>
        <v>TLS AT Equity</v>
      </c>
      <c r="I2026" s="412"/>
    </row>
    <row r="2027" spans="1:9" ht="12.75" hidden="1" customHeight="1" outlineLevel="1" x14ac:dyDescent="0.25">
      <c r="A2027" s="135">
        <v>0.04</v>
      </c>
      <c r="B2027" s="211" t="s">
        <v>10633</v>
      </c>
      <c r="C2027" s="472">
        <v>46.660499999999999</v>
      </c>
      <c r="D2027" s="1597">
        <f>VLOOKUP(H2027,indexy!$C$44:$D$823,2,FALSE)</f>
        <v>63.47</v>
      </c>
      <c r="E2027" s="1463">
        <f t="shared" si="16"/>
        <v>0.36025117604826362</v>
      </c>
      <c r="F2027" s="1494">
        <f>E2027*A2027</f>
        <v>1.4410047041930545E-2</v>
      </c>
      <c r="G2027" s="415"/>
      <c r="H2027" s="415" t="str">
        <f>VLOOKUP(B2027,indexy!$A$44:$D$823,3,FALSE)</f>
        <v>TTE FP Equity</v>
      </c>
      <c r="I2027" s="412"/>
    </row>
    <row r="2028" spans="1:9" ht="12.75" hidden="1" customHeight="1" outlineLevel="1" x14ac:dyDescent="0.25">
      <c r="A2028" s="135">
        <v>0.02</v>
      </c>
      <c r="B2028" s="211" t="s">
        <v>255</v>
      </c>
      <c r="C2028" s="472">
        <v>48.561</v>
      </c>
      <c r="D2028" s="1597">
        <f>VLOOKUP(H2028,indexy!$C$44:$D$823,2,FALSE)</f>
        <v>41.96</v>
      </c>
      <c r="E2028" s="1463">
        <f t="shared" si="16"/>
        <v>-0.13593212660365317</v>
      </c>
      <c r="F2028" s="1494">
        <f>E2028*A2028</f>
        <v>-2.7186425320730634E-3</v>
      </c>
      <c r="G2028" s="415"/>
      <c r="H2028" s="415" t="str">
        <f>VLOOKUP(B2028,indexy!$A$44:$D$823,3,FALSE)</f>
        <v>VZ UN Equity</v>
      </c>
      <c r="I2028" s="412"/>
    </row>
    <row r="2029" spans="1:9" ht="12.75" hidden="1" customHeight="1" outlineLevel="1" x14ac:dyDescent="0.25">
      <c r="A2029" s="135">
        <v>0.02</v>
      </c>
      <c r="B2029" s="211" t="s">
        <v>5626</v>
      </c>
      <c r="C2029" s="472">
        <v>29.872</v>
      </c>
      <c r="D2029" s="1597">
        <f>VLOOKUP(H2029,indexy!$C$44:$D$823,2,FALSE)</f>
        <v>26.1</v>
      </c>
      <c r="E2029" s="1463">
        <f t="shared" si="16"/>
        <v>-0.12627209426888053</v>
      </c>
      <c r="F2029" s="1494">
        <f>E2029*A2029</f>
        <v>-2.5254418853776109E-3</v>
      </c>
      <c r="G2029" s="415"/>
      <c r="H2029" s="415" t="str">
        <f>VLOOKUP(B2029,indexy!$A$44:$D$823,3,FALSE)</f>
        <v>WBC AT Equity</v>
      </c>
      <c r="I2029" s="412"/>
    </row>
    <row r="2030" spans="1:9" ht="12.75" hidden="1" customHeight="1" outlineLevel="1" x14ac:dyDescent="0.25">
      <c r="A2030" s="135">
        <v>7.0000000000000007E-2</v>
      </c>
      <c r="B2030" s="1465" t="s">
        <v>4550</v>
      </c>
      <c r="C2030" s="472">
        <v>310.39999999999998</v>
      </c>
      <c r="D2030" s="1598">
        <f>VLOOKUP(H2030,indexy!$C$44:$D$823,2,FALSE)</f>
        <v>486.3</v>
      </c>
      <c r="E2030" s="1463">
        <f t="shared" si="16"/>
        <v>0.566688144329897</v>
      </c>
      <c r="F2030" s="1494">
        <f>E2030*A2030</f>
        <v>3.9668170103092794E-2</v>
      </c>
      <c r="G2030" s="415"/>
      <c r="H2030" s="415" t="str">
        <f>VLOOKUP(B2030,indexy!$A$44:$D$823,3,FALSE)</f>
        <v>ZURN SE Equity</v>
      </c>
      <c r="I2030" s="412"/>
    </row>
    <row r="2031" spans="1:9" ht="12.75" hidden="1" customHeight="1" outlineLevel="1" x14ac:dyDescent="0.25">
      <c r="A2031" s="1475" t="s">
        <v>2734</v>
      </c>
      <c r="B2031" s="150"/>
      <c r="C2031" s="1476">
        <v>100</v>
      </c>
      <c r="D2031" s="1477"/>
      <c r="E2031" s="1599"/>
      <c r="F2031" s="1599">
        <f>SUM(F2001:F2030)</f>
        <v>2.2724355400570131E-2</v>
      </c>
      <c r="G2031" s="12"/>
      <c r="H2031" s="415"/>
    </row>
    <row r="2032" spans="1:9" ht="12.75" hidden="1" customHeight="1" outlineLevel="1" x14ac:dyDescent="0.25">
      <c r="A2032" s="221" t="s">
        <v>9112</v>
      </c>
      <c r="B2032" s="1478">
        <v>44652</v>
      </c>
      <c r="C2032" s="1497">
        <v>100</v>
      </c>
      <c r="D2032" s="1497"/>
      <c r="E2032" s="1498">
        <f>IF(D2032="",F2031,D2032/C2032-1)</f>
        <v>2.2724355400570131E-2</v>
      </c>
      <c r="F2032" s="1499"/>
      <c r="G2032" s="12"/>
      <c r="H2032" s="415"/>
    </row>
    <row r="2033" spans="1:8" ht="12.75" hidden="1" customHeight="1" outlineLevel="1" x14ac:dyDescent="0.25">
      <c r="A2033" s="221" t="s">
        <v>9113</v>
      </c>
      <c r="B2033" s="1478">
        <v>44682</v>
      </c>
      <c r="C2033" s="1497">
        <v>100</v>
      </c>
      <c r="D2033" s="1500"/>
      <c r="E2033" s="1498">
        <f>IF(D2033="",E2032,D2033/C2033-1)</f>
        <v>2.2724355400570131E-2</v>
      </c>
      <c r="F2033" s="1499"/>
      <c r="G2033" s="12"/>
      <c r="H2033" s="415"/>
    </row>
    <row r="2034" spans="1:8" ht="12.75" hidden="1" customHeight="1" outlineLevel="1" x14ac:dyDescent="0.25">
      <c r="A2034" s="221" t="s">
        <v>9114</v>
      </c>
      <c r="B2034" s="1478">
        <v>44713</v>
      </c>
      <c r="C2034" s="1497">
        <v>100</v>
      </c>
      <c r="D2034" s="1500"/>
      <c r="E2034" s="1498">
        <f t="shared" ref="E2034:E2041" si="17">IF(D2034="",E2033,D2034/C2034-1)</f>
        <v>2.2724355400570131E-2</v>
      </c>
      <c r="F2034" s="1499"/>
      <c r="G2034" s="12"/>
      <c r="H2034" s="415"/>
    </row>
    <row r="2035" spans="1:8" ht="12.75" hidden="1" customHeight="1" outlineLevel="1" x14ac:dyDescent="0.25">
      <c r="A2035" s="221" t="s">
        <v>9115</v>
      </c>
      <c r="B2035" s="1478">
        <v>44743</v>
      </c>
      <c r="C2035" s="1497">
        <v>100</v>
      </c>
      <c r="D2035" s="1500"/>
      <c r="E2035" s="1498">
        <f t="shared" si="17"/>
        <v>2.2724355400570131E-2</v>
      </c>
      <c r="F2035" s="1499"/>
      <c r="G2035" s="12"/>
      <c r="H2035" s="415"/>
    </row>
    <row r="2036" spans="1:8" ht="12.75" hidden="1" customHeight="1" outlineLevel="1" x14ac:dyDescent="0.25">
      <c r="A2036" s="221" t="s">
        <v>9116</v>
      </c>
      <c r="B2036" s="1478">
        <v>44774</v>
      </c>
      <c r="C2036" s="1497">
        <v>100</v>
      </c>
      <c r="D2036" s="1500"/>
      <c r="E2036" s="1498">
        <f t="shared" si="17"/>
        <v>2.2724355400570131E-2</v>
      </c>
      <c r="F2036" s="1499"/>
      <c r="G2036" s="12"/>
      <c r="H2036" s="415"/>
    </row>
    <row r="2037" spans="1:8" ht="12.75" hidden="1" customHeight="1" outlineLevel="1" x14ac:dyDescent="0.25">
      <c r="A2037" s="221" t="s">
        <v>9117</v>
      </c>
      <c r="B2037" s="1478">
        <v>44805</v>
      </c>
      <c r="C2037" s="1497">
        <v>100</v>
      </c>
      <c r="D2037" s="1500"/>
      <c r="E2037" s="1498">
        <f t="shared" si="17"/>
        <v>2.2724355400570131E-2</v>
      </c>
      <c r="F2037" s="1499"/>
      <c r="G2037" s="12"/>
      <c r="H2037" s="415"/>
    </row>
    <row r="2038" spans="1:8" ht="12.75" hidden="1" customHeight="1" outlineLevel="1" x14ac:dyDescent="0.25">
      <c r="A2038" s="221" t="s">
        <v>9118</v>
      </c>
      <c r="B2038" s="1478">
        <v>44835</v>
      </c>
      <c r="C2038" s="1497">
        <v>100</v>
      </c>
      <c r="D2038" s="1500"/>
      <c r="E2038" s="1498">
        <f t="shared" si="17"/>
        <v>2.2724355400570131E-2</v>
      </c>
      <c r="F2038" s="1499"/>
      <c r="G2038" s="12"/>
      <c r="H2038" s="415"/>
    </row>
    <row r="2039" spans="1:8" ht="12.75" hidden="1" customHeight="1" outlineLevel="1" x14ac:dyDescent="0.25">
      <c r="A2039" s="221" t="s">
        <v>9119</v>
      </c>
      <c r="B2039" s="1478">
        <v>44866</v>
      </c>
      <c r="C2039" s="1497">
        <v>100</v>
      </c>
      <c r="D2039" s="1500"/>
      <c r="E2039" s="1498">
        <f t="shared" si="17"/>
        <v>2.2724355400570131E-2</v>
      </c>
      <c r="F2039" s="1499"/>
      <c r="G2039" s="12"/>
      <c r="H2039" s="415"/>
    </row>
    <row r="2040" spans="1:8" ht="12.75" hidden="1" customHeight="1" outlineLevel="1" x14ac:dyDescent="0.25">
      <c r="A2040" s="221" t="s">
        <v>9120</v>
      </c>
      <c r="B2040" s="1478">
        <v>44896</v>
      </c>
      <c r="C2040" s="1497">
        <v>100</v>
      </c>
      <c r="D2040" s="1500"/>
      <c r="E2040" s="1498">
        <f t="shared" si="17"/>
        <v>2.2724355400570131E-2</v>
      </c>
      <c r="F2040" s="1499"/>
      <c r="G2040" s="12"/>
      <c r="H2040" s="415"/>
    </row>
    <row r="2041" spans="1:8" ht="12.75" hidden="1" customHeight="1" outlineLevel="1" x14ac:dyDescent="0.25">
      <c r="A2041" s="221" t="s">
        <v>9121</v>
      </c>
      <c r="B2041" s="1478">
        <v>44927</v>
      </c>
      <c r="C2041" s="1497">
        <v>100</v>
      </c>
      <c r="D2041" s="1500"/>
      <c r="E2041" s="1498">
        <f t="shared" si="17"/>
        <v>2.2724355400570131E-2</v>
      </c>
      <c r="F2041" s="1499"/>
      <c r="G2041" s="12"/>
      <c r="H2041" s="415"/>
    </row>
    <row r="2042" spans="1:8" ht="12.75" hidden="1" customHeight="1" outlineLevel="1" x14ac:dyDescent="0.25">
      <c r="A2042" s="221" t="s">
        <v>9122</v>
      </c>
      <c r="B2042" s="1478">
        <v>44958</v>
      </c>
      <c r="C2042" s="1497">
        <v>100</v>
      </c>
      <c r="D2042" s="1500"/>
      <c r="E2042" s="1498">
        <f>IF(D2042="",E2041,D2042/C2042-1)</f>
        <v>2.2724355400570131E-2</v>
      </c>
      <c r="F2042" s="1499"/>
      <c r="G2042" s="12"/>
      <c r="H2042" s="415"/>
    </row>
    <row r="2043" spans="1:8" ht="12.75" hidden="1" customHeight="1" outlineLevel="1" x14ac:dyDescent="0.25">
      <c r="A2043" s="221" t="s">
        <v>9123</v>
      </c>
      <c r="B2043" s="1478">
        <v>44986</v>
      </c>
      <c r="C2043" s="1497">
        <v>100</v>
      </c>
      <c r="D2043" s="1500"/>
      <c r="E2043" s="1498">
        <f>IF(D2043="",E2042,D2043/C2043-1)</f>
        <v>2.2724355400570131E-2</v>
      </c>
      <c r="F2043" s="1499"/>
      <c r="G2043" s="12"/>
      <c r="H2043" s="415"/>
    </row>
    <row r="2044" spans="1:8" ht="12.75" hidden="1" customHeight="1" outlineLevel="1" x14ac:dyDescent="0.25">
      <c r="A2044" s="1483" t="s">
        <v>2734</v>
      </c>
      <c r="B2044" s="1484"/>
      <c r="C2044" s="1500"/>
      <c r="D2044" s="1485" t="s">
        <v>2465</v>
      </c>
      <c r="E2044" s="1486">
        <f>AVERAGE(E2032:E2043)</f>
        <v>2.2724355400570131E-2</v>
      </c>
      <c r="F2044" s="1487">
        <f>+E2044</f>
        <v>2.2724355400570131E-2</v>
      </c>
      <c r="G2044" s="12"/>
      <c r="H2044" s="415"/>
    </row>
    <row r="2045" spans="1:8" collapsed="1" x14ac:dyDescent="0.25">
      <c r="A2045" s="3799" t="s">
        <v>9109</v>
      </c>
      <c r="B2045" s="3800"/>
      <c r="C2045" s="3800"/>
      <c r="D2045" s="3800"/>
      <c r="E2045" s="18"/>
      <c r="F2045" s="186">
        <f>IF(F2044&lt;0,-F2044*0.2,MIN(+F2044,100%))</f>
        <v>2.2724355400570131E-2</v>
      </c>
      <c r="G2045" s="78"/>
    </row>
    <row r="2047" spans="1:8" ht="12.75" hidden="1" customHeight="1" outlineLevel="1" x14ac:dyDescent="0.25">
      <c r="A2047" s="15" t="s">
        <v>113</v>
      </c>
      <c r="B2047" s="15" t="s">
        <v>114</v>
      </c>
      <c r="C2047" s="15" t="s">
        <v>112</v>
      </c>
      <c r="D2047" s="15" t="s">
        <v>116</v>
      </c>
      <c r="E2047" s="15" t="s">
        <v>117</v>
      </c>
      <c r="F2047" s="15" t="s">
        <v>121</v>
      </c>
      <c r="G2047" s="78"/>
    </row>
    <row r="2048" spans="1:8" ht="12.75" hidden="1" customHeight="1" outlineLevel="1" x14ac:dyDescent="0.25">
      <c r="A2048" s="1744">
        <v>1</v>
      </c>
      <c r="B2048" s="331" t="s">
        <v>252</v>
      </c>
      <c r="C2048" s="1745">
        <v>100</v>
      </c>
      <c r="D2048" s="1745"/>
      <c r="E2048" s="1743"/>
      <c r="F2048" s="1742"/>
      <c r="G2048" s="78"/>
    </row>
    <row r="2049" spans="1:15" ht="12.75" hidden="1" customHeight="1" outlineLevel="1" x14ac:dyDescent="0.25">
      <c r="A2049" s="12" t="s">
        <v>2734</v>
      </c>
      <c r="B2049" s="12"/>
      <c r="C2049" s="1746"/>
      <c r="D2049" s="1747" t="s">
        <v>3702</v>
      </c>
      <c r="E2049" s="1748">
        <v>45016</v>
      </c>
      <c r="F2049" s="1749"/>
      <c r="G2049" s="78"/>
    </row>
    <row r="2050" spans="1:15" ht="12.75" hidden="1" customHeight="1" outlineLevel="1" x14ac:dyDescent="0.25">
      <c r="A2050" s="1704" t="s">
        <v>4156</v>
      </c>
      <c r="B2050" s="1704" t="s">
        <v>4153</v>
      </c>
      <c r="C2050" s="1629" t="s">
        <v>112</v>
      </c>
      <c r="D2050" s="1705" t="s">
        <v>4155</v>
      </c>
      <c r="E2050" s="1704" t="s">
        <v>4154</v>
      </c>
      <c r="F2050" s="1705" t="s">
        <v>2519</v>
      </c>
      <c r="G2050" s="78"/>
      <c r="I2050" s="412"/>
      <c r="J2050" s="1462"/>
      <c r="K2050" s="1462"/>
      <c r="L2050" s="1462"/>
      <c r="M2050" s="1462"/>
      <c r="N2050" s="1462"/>
      <c r="O2050" s="1462"/>
    </row>
    <row r="2051" spans="1:15" ht="12.75" hidden="1" customHeight="1" outlineLevel="1" x14ac:dyDescent="0.25">
      <c r="A2051" s="134">
        <v>0.04</v>
      </c>
      <c r="B2051" s="211" t="s">
        <v>2697</v>
      </c>
      <c r="C2051" s="472">
        <v>15.5565</v>
      </c>
      <c r="D2051" s="426">
        <v>18.38</v>
      </c>
      <c r="E2051" s="1501">
        <v>0.18149969466139559</v>
      </c>
      <c r="F2051" s="1467">
        <v>7.2599877864558239E-3</v>
      </c>
      <c r="G2051" s="78"/>
      <c r="H2051" t="s">
        <v>329</v>
      </c>
    </row>
    <row r="2052" spans="1:15" ht="12.75" hidden="1" customHeight="1" outlineLevel="1" x14ac:dyDescent="0.25">
      <c r="A2052" s="135">
        <v>0.02</v>
      </c>
      <c r="B2052" s="211" t="s">
        <v>218</v>
      </c>
      <c r="C2052" s="472">
        <v>22.5275</v>
      </c>
      <c r="D2052" s="103">
        <v>28.164999999999999</v>
      </c>
      <c r="E2052" s="136">
        <v>0.2502496948174453</v>
      </c>
      <c r="F2052" s="185">
        <v>5.0049938963489058E-3</v>
      </c>
      <c r="G2052" s="78"/>
      <c r="H2052" t="s">
        <v>656</v>
      </c>
    </row>
    <row r="2053" spans="1:15" ht="12.75" hidden="1" customHeight="1" outlineLevel="1" x14ac:dyDescent="0.25">
      <c r="A2053" s="135">
        <v>0.02</v>
      </c>
      <c r="B2053" s="211" t="s">
        <v>807</v>
      </c>
      <c r="C2053" s="472">
        <v>56.643000000000001</v>
      </c>
      <c r="D2053" s="103">
        <v>60.54</v>
      </c>
      <c r="E2053" s="136">
        <v>6.8799322069805546E-2</v>
      </c>
      <c r="F2053" s="185">
        <v>1.3759864413961109E-3</v>
      </c>
      <c r="G2053" s="78"/>
      <c r="H2053" t="s">
        <v>808</v>
      </c>
    </row>
    <row r="2054" spans="1:15" ht="12.75" hidden="1" customHeight="1" outlineLevel="1" x14ac:dyDescent="0.25">
      <c r="A2054" s="135">
        <v>0.02</v>
      </c>
      <c r="B2054" s="211" t="s">
        <v>1188</v>
      </c>
      <c r="C2054" s="472">
        <v>4.7035</v>
      </c>
      <c r="D2054" s="103">
        <v>5.1080000000000005</v>
      </c>
      <c r="E2054" s="136">
        <v>8.5999787392367466E-2</v>
      </c>
      <c r="F2054" s="185">
        <v>1.7199957478473494E-3</v>
      </c>
      <c r="G2054" s="78"/>
      <c r="H2054" t="s">
        <v>2746</v>
      </c>
    </row>
    <row r="2055" spans="1:15" ht="12.75" hidden="1" customHeight="1" outlineLevel="1" x14ac:dyDescent="0.25">
      <c r="A2055" s="135">
        <v>0.02</v>
      </c>
      <c r="B2055" s="211" t="s">
        <v>8918</v>
      </c>
      <c r="C2055" s="472">
        <v>2.3079999999999998</v>
      </c>
      <c r="D2055" s="103">
        <v>1.4580000000000002</v>
      </c>
      <c r="E2055" s="136">
        <v>-0.36828422876949729</v>
      </c>
      <c r="F2055" s="185">
        <v>-7.3656845753899457E-3</v>
      </c>
      <c r="G2055" s="78"/>
      <c r="H2055" t="s">
        <v>8921</v>
      </c>
    </row>
    <row r="2056" spans="1:15" ht="12.75" hidden="1" customHeight="1" outlineLevel="1" x14ac:dyDescent="0.25">
      <c r="A2056" s="135">
        <v>0.02</v>
      </c>
      <c r="B2056" s="211" t="s">
        <v>8678</v>
      </c>
      <c r="C2056" s="472">
        <v>76.034000000000006</v>
      </c>
      <c r="D2056" s="103">
        <v>98.32</v>
      </c>
      <c r="E2056" s="136">
        <v>0.2931057158639554</v>
      </c>
      <c r="F2056" s="185">
        <v>5.8621143172791082E-3</v>
      </c>
      <c r="G2056" s="78"/>
      <c r="H2056" t="s">
        <v>8682</v>
      </c>
    </row>
    <row r="2057" spans="1:15" ht="12.75" hidden="1" customHeight="1" outlineLevel="1" x14ac:dyDescent="0.25">
      <c r="A2057" s="135">
        <v>0.02</v>
      </c>
      <c r="B2057" s="211" t="s">
        <v>10672</v>
      </c>
      <c r="C2057" s="472">
        <v>56.792780924227202</v>
      </c>
      <c r="D2057" s="103">
        <v>70.78</v>
      </c>
      <c r="E2057" s="136">
        <v>0.246285158926</v>
      </c>
      <c r="F2057" s="185">
        <v>4.92570317852E-3</v>
      </c>
      <c r="G2057" s="78"/>
      <c r="H2057" t="s">
        <v>10674</v>
      </c>
    </row>
    <row r="2058" spans="1:15" ht="12.75" hidden="1" customHeight="1" outlineLevel="1" x14ac:dyDescent="0.25">
      <c r="A2058" s="135">
        <v>0.02</v>
      </c>
      <c r="B2058" s="211" t="s">
        <v>2629</v>
      </c>
      <c r="C2058" s="472">
        <v>13.2135</v>
      </c>
      <c r="D2058" s="103">
        <v>22.35</v>
      </c>
      <c r="E2058" s="136">
        <v>0.69145192416846424</v>
      </c>
      <c r="F2058" s="185">
        <v>1.3829038483369286E-2</v>
      </c>
      <c r="G2058" s="78"/>
      <c r="H2058" t="s">
        <v>1652</v>
      </c>
    </row>
    <row r="2059" spans="1:15" ht="12.75" hidden="1" customHeight="1" outlineLevel="1" x14ac:dyDescent="0.25">
      <c r="A2059" s="135">
        <v>0.02</v>
      </c>
      <c r="B2059" s="211" t="s">
        <v>6821</v>
      </c>
      <c r="C2059" s="472">
        <v>3.6226024190112041</v>
      </c>
      <c r="D2059" s="103">
        <v>1.375</v>
      </c>
      <c r="E2059" s="136">
        <v>-0.62043861264375</v>
      </c>
      <c r="F2059" s="185">
        <v>-1.2408772252875001E-2</v>
      </c>
      <c r="G2059" s="78"/>
      <c r="H2059" t="s">
        <v>6822</v>
      </c>
    </row>
    <row r="2060" spans="1:15" ht="12.75" hidden="1" customHeight="1" outlineLevel="1" x14ac:dyDescent="0.25">
      <c r="A2060" s="135">
        <v>0.08</v>
      </c>
      <c r="B2060" s="211" t="s">
        <v>6267</v>
      </c>
      <c r="C2060" s="472">
        <v>21.456</v>
      </c>
      <c r="D2060" s="103">
        <v>17.7</v>
      </c>
      <c r="E2060" s="136">
        <v>-0.17505592841163309</v>
      </c>
      <c r="F2060" s="185">
        <v>-1.4004474272930648E-2</v>
      </c>
      <c r="G2060" s="78"/>
      <c r="H2060" t="s">
        <v>6268</v>
      </c>
    </row>
    <row r="2061" spans="1:15" ht="12.75" hidden="1" customHeight="1" outlineLevel="1" x14ac:dyDescent="0.25">
      <c r="A2061" s="135">
        <v>0.05</v>
      </c>
      <c r="B2061" s="211" t="s">
        <v>4268</v>
      </c>
      <c r="C2061" s="472">
        <v>18.079000000000001</v>
      </c>
      <c r="D2061" s="103">
        <v>14.115</v>
      </c>
      <c r="E2061" s="136">
        <v>-0.21925991481829754</v>
      </c>
      <c r="F2061" s="185">
        <v>-1.0962995740914878E-2</v>
      </c>
      <c r="G2061" s="78"/>
      <c r="H2061" t="s">
        <v>8442</v>
      </c>
    </row>
    <row r="2062" spans="1:15" ht="12.75" hidden="1" customHeight="1" outlineLevel="1" x14ac:dyDescent="0.25">
      <c r="A2062" s="135">
        <v>0.02</v>
      </c>
      <c r="B2062" s="211" t="s">
        <v>8208</v>
      </c>
      <c r="C2062" s="472">
        <v>3.8845982704648963</v>
      </c>
      <c r="D2062" s="103">
        <v>1.5097999999999998</v>
      </c>
      <c r="E2062" s="136">
        <v>-0.61133690155834008</v>
      </c>
      <c r="F2062" s="185">
        <v>-1.2226738031166803E-2</v>
      </c>
      <c r="G2062" s="78"/>
      <c r="H2062" t="s">
        <v>8209</v>
      </c>
    </row>
    <row r="2063" spans="1:15" ht="12.75" hidden="1" customHeight="1" outlineLevel="1" x14ac:dyDescent="0.25">
      <c r="A2063" s="135">
        <v>0.04</v>
      </c>
      <c r="B2063" s="211" t="s">
        <v>6902</v>
      </c>
      <c r="C2063" s="490">
        <v>2.6152000000000002</v>
      </c>
      <c r="D2063" s="103">
        <v>2.3890000000000002</v>
      </c>
      <c r="E2063" s="136">
        <v>-8.6494340776996026E-2</v>
      </c>
      <c r="F2063" s="185">
        <v>-3.4597736310798409E-3</v>
      </c>
      <c r="G2063" s="78"/>
      <c r="H2063" t="s">
        <v>6899</v>
      </c>
    </row>
    <row r="2064" spans="1:15" ht="12.75" hidden="1" customHeight="1" outlineLevel="1" x14ac:dyDescent="0.25">
      <c r="A2064" s="135">
        <v>0.02</v>
      </c>
      <c r="B2064" s="211" t="s">
        <v>8261</v>
      </c>
      <c r="C2064" s="472">
        <v>150.42579751884381</v>
      </c>
      <c r="D2064" s="103">
        <v>193.4</v>
      </c>
      <c r="E2064" s="136">
        <v>0.28568372705999989</v>
      </c>
      <c r="F2064" s="185">
        <v>5.7136745411999982E-3</v>
      </c>
      <c r="G2064" s="78"/>
      <c r="H2064" t="s">
        <v>9620</v>
      </c>
    </row>
    <row r="2065" spans="1:8" ht="12.75" hidden="1" customHeight="1" outlineLevel="1" x14ac:dyDescent="0.25">
      <c r="A2065" s="135">
        <v>0.02</v>
      </c>
      <c r="B2065" s="211" t="s">
        <v>5196</v>
      </c>
      <c r="C2065" s="472">
        <v>46.250919540547528</v>
      </c>
      <c r="D2065" s="103">
        <v>65.72</v>
      </c>
      <c r="E2065" s="136">
        <v>0.42094472180999998</v>
      </c>
      <c r="F2065" s="185">
        <v>8.4188944361999994E-3</v>
      </c>
      <c r="G2065" s="78"/>
      <c r="H2065" t="s">
        <v>5197</v>
      </c>
    </row>
    <row r="2066" spans="1:8" ht="12.75" hidden="1" customHeight="1" outlineLevel="1" x14ac:dyDescent="0.25">
      <c r="A2066" s="135">
        <v>0.03</v>
      </c>
      <c r="B2066" s="211" t="s">
        <v>8527</v>
      </c>
      <c r="C2066" s="472">
        <v>35.911000000000001</v>
      </c>
      <c r="D2066" s="103">
        <v>33.46</v>
      </c>
      <c r="E2066" s="136">
        <v>-6.8252067611595302E-2</v>
      </c>
      <c r="F2066" s="185">
        <v>-2.0475620283478589E-3</v>
      </c>
      <c r="G2066" s="78"/>
      <c r="H2066" t="s">
        <v>8516</v>
      </c>
    </row>
    <row r="2067" spans="1:8" ht="12.75" hidden="1" customHeight="1" outlineLevel="1" x14ac:dyDescent="0.25">
      <c r="A2067" s="135">
        <v>0.02</v>
      </c>
      <c r="B2067" s="211" t="s">
        <v>1203</v>
      </c>
      <c r="C2067" s="472">
        <v>94.231999999999999</v>
      </c>
      <c r="D2067" s="103">
        <v>110.64</v>
      </c>
      <c r="E2067" s="136">
        <v>0.17412344002037528</v>
      </c>
      <c r="F2067" s="185">
        <v>3.4824688004075057E-3</v>
      </c>
      <c r="G2067" s="78"/>
      <c r="H2067" t="s">
        <v>79</v>
      </c>
    </row>
    <row r="2068" spans="1:8" ht="12.75" hidden="1" customHeight="1" outlineLevel="1" x14ac:dyDescent="0.25">
      <c r="A2068" s="135">
        <v>0.06</v>
      </c>
      <c r="B2068" s="211" t="s">
        <v>7433</v>
      </c>
      <c r="C2068" s="472">
        <v>27.731000000000002</v>
      </c>
      <c r="D2068" s="103">
        <v>9.3620000000000001</v>
      </c>
      <c r="E2068" s="136">
        <v>-0.66239948072554178</v>
      </c>
      <c r="F2068" s="185">
        <v>-3.9743968843532505E-2</v>
      </c>
      <c r="G2068" s="78"/>
      <c r="H2068" t="s">
        <v>7431</v>
      </c>
    </row>
    <row r="2069" spans="1:8" ht="12.75" hidden="1" customHeight="1" outlineLevel="1" x14ac:dyDescent="0.25">
      <c r="A2069" s="135">
        <v>0.04</v>
      </c>
      <c r="B2069" s="211" t="s">
        <v>6270</v>
      </c>
      <c r="C2069" s="472">
        <v>42.385880126540542</v>
      </c>
      <c r="D2069" s="103">
        <v>43.48</v>
      </c>
      <c r="E2069" s="136">
        <v>2.5813310238999909E-2</v>
      </c>
      <c r="F2069" s="185">
        <v>1.0325324095599964E-3</v>
      </c>
      <c r="G2069" s="78"/>
      <c r="H2069" t="s">
        <v>8166</v>
      </c>
    </row>
    <row r="2070" spans="1:8" ht="12.75" hidden="1" customHeight="1" outlineLevel="1" x14ac:dyDescent="0.25">
      <c r="A2070" s="135">
        <v>0.02</v>
      </c>
      <c r="B2070" s="211" t="s">
        <v>6524</v>
      </c>
      <c r="C2070" s="472">
        <v>96.95410721933662</v>
      </c>
      <c r="D2070" s="103">
        <v>114.35</v>
      </c>
      <c r="E2070" s="136">
        <v>0.17942399016999988</v>
      </c>
      <c r="F2070" s="185">
        <v>3.5884798033999979E-3</v>
      </c>
      <c r="G2070" s="78"/>
      <c r="H2070" t="s">
        <v>6525</v>
      </c>
    </row>
    <row r="2071" spans="1:8" ht="12.75" hidden="1" customHeight="1" outlineLevel="1" x14ac:dyDescent="0.25">
      <c r="A2071" s="135">
        <v>0.05</v>
      </c>
      <c r="B2071" s="211" t="s">
        <v>6116</v>
      </c>
      <c r="C2071" s="472">
        <v>3.6913999999999998</v>
      </c>
      <c r="D2071" s="103">
        <v>4.8890000000000002</v>
      </c>
      <c r="E2071" s="136">
        <v>0.3244297556482636</v>
      </c>
      <c r="F2071" s="185">
        <v>1.6221487782413179E-2</v>
      </c>
      <c r="G2071" s="78"/>
      <c r="H2071" t="s">
        <v>6114</v>
      </c>
    </row>
    <row r="2072" spans="1:8" ht="12.75" hidden="1" customHeight="1" outlineLevel="1" x14ac:dyDescent="0.25">
      <c r="A2072" s="135">
        <v>0.03</v>
      </c>
      <c r="B2072" s="211" t="s">
        <v>1857</v>
      </c>
      <c r="C2072" s="472">
        <v>12.318</v>
      </c>
      <c r="D2072" s="103">
        <v>18.03</v>
      </c>
      <c r="E2072" s="136">
        <v>0.46371164150024358</v>
      </c>
      <c r="F2072" s="185">
        <v>1.3911349245007306E-2</v>
      </c>
      <c r="G2072" s="78"/>
      <c r="H2072" t="s">
        <v>3559</v>
      </c>
    </row>
    <row r="2073" spans="1:8" ht="12.75" hidden="1" customHeight="1" outlineLevel="1" x14ac:dyDescent="0.25">
      <c r="A2073" s="135">
        <v>0.06</v>
      </c>
      <c r="B2073" s="211" t="s">
        <v>6118</v>
      </c>
      <c r="C2073" s="472">
        <v>96.367999999999995</v>
      </c>
      <c r="D2073" s="103">
        <v>93.84</v>
      </c>
      <c r="E2073" s="136">
        <v>-2.6232774364934319E-2</v>
      </c>
      <c r="F2073" s="185">
        <v>-1.5739664618960592E-3</v>
      </c>
      <c r="G2073" s="78"/>
      <c r="H2073" t="s">
        <v>8893</v>
      </c>
    </row>
    <row r="2074" spans="1:8" ht="12.75" hidden="1" customHeight="1" outlineLevel="1" x14ac:dyDescent="0.25">
      <c r="A2074" s="135">
        <v>0.02</v>
      </c>
      <c r="B2074" s="211" t="s">
        <v>3383</v>
      </c>
      <c r="C2074" s="472">
        <v>173.31192538214501</v>
      </c>
      <c r="D2074" s="103">
        <v>122.7</v>
      </c>
      <c r="E2074" s="136">
        <v>-0.29202794482000005</v>
      </c>
      <c r="F2074" s="185">
        <v>-5.8405588964000011E-3</v>
      </c>
      <c r="G2074" s="78"/>
      <c r="H2074" t="s">
        <v>3789</v>
      </c>
    </row>
    <row r="2075" spans="1:8" ht="12.75" hidden="1" customHeight="1" outlineLevel="1" x14ac:dyDescent="0.25">
      <c r="A2075" s="135">
        <v>7.0000000000000007E-2</v>
      </c>
      <c r="B2075" s="211" t="s">
        <v>434</v>
      </c>
      <c r="C2075" s="472">
        <v>39.625</v>
      </c>
      <c r="D2075" s="103">
        <v>26.37</v>
      </c>
      <c r="E2075" s="136">
        <v>-0.33451104100946372</v>
      </c>
      <c r="F2075" s="185">
        <v>-2.3415772870662464E-2</v>
      </c>
      <c r="G2075" s="78"/>
      <c r="H2075" t="s">
        <v>7745</v>
      </c>
    </row>
    <row r="2076" spans="1:8" ht="12.75" hidden="1" customHeight="1" outlineLevel="1" x14ac:dyDescent="0.25">
      <c r="A2076" s="135">
        <v>0.02</v>
      </c>
      <c r="B2076" s="211" t="s">
        <v>5249</v>
      </c>
      <c r="C2076" s="472">
        <v>3.1362775099777496</v>
      </c>
      <c r="D2076" s="103">
        <v>4.22</v>
      </c>
      <c r="E2076" s="136">
        <v>0.34554419580999984</v>
      </c>
      <c r="F2076" s="185">
        <v>6.9108839161999974E-3</v>
      </c>
      <c r="G2076" s="78"/>
      <c r="H2076" t="s">
        <v>5247</v>
      </c>
    </row>
    <row r="2077" spans="1:8" ht="12.75" hidden="1" customHeight="1" outlineLevel="1" x14ac:dyDescent="0.25">
      <c r="A2077" s="135">
        <v>0.04</v>
      </c>
      <c r="B2077" s="211" t="s">
        <v>10633</v>
      </c>
      <c r="C2077" s="472">
        <v>46.660499999999999</v>
      </c>
      <c r="D2077" s="103">
        <v>54.36</v>
      </c>
      <c r="E2077" s="136">
        <v>0.16501109075127784</v>
      </c>
      <c r="F2077" s="185">
        <v>6.6004436300511138E-3</v>
      </c>
      <c r="G2077" s="78"/>
      <c r="H2077" t="s">
        <v>10634</v>
      </c>
    </row>
    <row r="2078" spans="1:8" ht="12.75" hidden="1" customHeight="1" outlineLevel="1" x14ac:dyDescent="0.25">
      <c r="A2078" s="135">
        <v>0.02</v>
      </c>
      <c r="B2078" s="211" t="s">
        <v>255</v>
      </c>
      <c r="C2078" s="472">
        <v>48.561</v>
      </c>
      <c r="D2078" s="103">
        <v>38.89</v>
      </c>
      <c r="E2078" s="136">
        <v>-0.19915158254566423</v>
      </c>
      <c r="F2078" s="185">
        <v>-3.9830316509132848E-3</v>
      </c>
      <c r="G2078" s="78"/>
      <c r="H2078" t="s">
        <v>3351</v>
      </c>
    </row>
    <row r="2079" spans="1:8" ht="12.75" hidden="1" customHeight="1" outlineLevel="1" x14ac:dyDescent="0.25">
      <c r="A2079" s="135">
        <v>0.02</v>
      </c>
      <c r="B2079" s="211" t="s">
        <v>5626</v>
      </c>
      <c r="C2079" s="472">
        <v>29.872</v>
      </c>
      <c r="D2079" s="103">
        <v>21.66</v>
      </c>
      <c r="E2079" s="136">
        <v>-0.27490626673808249</v>
      </c>
      <c r="F2079" s="185">
        <v>-5.4981253347616502E-3</v>
      </c>
      <c r="G2079" s="78"/>
      <c r="H2079" t="s">
        <v>5624</v>
      </c>
    </row>
    <row r="2080" spans="1:8" ht="12.75" hidden="1" customHeight="1" outlineLevel="1" x14ac:dyDescent="0.25">
      <c r="A2080" s="135">
        <v>7.0000000000000007E-2</v>
      </c>
      <c r="B2080" s="1465" t="s">
        <v>4550</v>
      </c>
      <c r="C2080" s="472">
        <v>310.39999999999998</v>
      </c>
      <c r="D2080" s="243">
        <v>437.7</v>
      </c>
      <c r="E2080" s="136">
        <v>0.41011597938144329</v>
      </c>
      <c r="F2080" s="185">
        <v>2.8708118556701034E-2</v>
      </c>
      <c r="G2080" s="78"/>
      <c r="H2080" t="s">
        <v>8889</v>
      </c>
    </row>
    <row r="2081" spans="1:7" ht="12.75" hidden="1" customHeight="1" outlineLevel="1" x14ac:dyDescent="0.25">
      <c r="A2081" s="1475" t="s">
        <v>2734</v>
      </c>
      <c r="B2081" s="150"/>
      <c r="C2081" s="64"/>
      <c r="D2081" s="65"/>
      <c r="E2081" s="1502"/>
      <c r="F2081" s="1502">
        <v>-7.6E-3</v>
      </c>
      <c r="G2081" s="78"/>
    </row>
    <row r="2082" spans="1:7" ht="12.75" hidden="1" customHeight="1" outlineLevel="1" x14ac:dyDescent="0.25">
      <c r="A2082" s="221" t="s">
        <v>9124</v>
      </c>
      <c r="B2082" s="1478">
        <v>44652</v>
      </c>
      <c r="C2082" s="1479">
        <v>100</v>
      </c>
      <c r="D2082" s="1479">
        <v>104.8766</v>
      </c>
      <c r="E2082" s="1480">
        <v>4.8765999999999865E-2</v>
      </c>
      <c r="F2082" s="1481"/>
      <c r="G2082" s="78"/>
    </row>
    <row r="2083" spans="1:7" ht="12.75" hidden="1" customHeight="1" outlineLevel="1" x14ac:dyDescent="0.25">
      <c r="A2083" s="221" t="s">
        <v>9125</v>
      </c>
      <c r="B2083" s="1478">
        <v>44682</v>
      </c>
      <c r="C2083" s="1479">
        <v>100</v>
      </c>
      <c r="D2083" s="1482">
        <v>105.3683</v>
      </c>
      <c r="E2083" s="1480">
        <v>5.3683000000000147E-2</v>
      </c>
      <c r="F2083" s="1481"/>
      <c r="G2083" s="78"/>
    </row>
    <row r="2084" spans="1:7" ht="12.75" hidden="1" customHeight="1" outlineLevel="1" x14ac:dyDescent="0.25">
      <c r="A2084" s="221" t="s">
        <v>9126</v>
      </c>
      <c r="B2084" s="1478">
        <v>44713</v>
      </c>
      <c r="C2084" s="1479">
        <v>100</v>
      </c>
      <c r="D2084" s="1482">
        <v>98.105900000000005</v>
      </c>
      <c r="E2084" s="1480">
        <v>-1.8940999999999986E-2</v>
      </c>
      <c r="F2084" s="1481"/>
      <c r="G2084" s="78"/>
    </row>
    <row r="2085" spans="1:7" ht="12.75" hidden="1" customHeight="1" outlineLevel="1" x14ac:dyDescent="0.25">
      <c r="A2085" s="221" t="s">
        <v>9127</v>
      </c>
      <c r="B2085" s="1478">
        <v>44743</v>
      </c>
      <c r="C2085" s="1479">
        <v>100</v>
      </c>
      <c r="D2085" s="1482">
        <v>97.154200000000003</v>
      </c>
      <c r="E2085" s="1480">
        <v>-2.8457999999999983E-2</v>
      </c>
      <c r="F2085" s="1481"/>
      <c r="G2085" s="78"/>
    </row>
    <row r="2086" spans="1:7" ht="12.75" hidden="1" customHeight="1" outlineLevel="1" x14ac:dyDescent="0.25">
      <c r="A2086" s="221" t="s">
        <v>9128</v>
      </c>
      <c r="B2086" s="1478">
        <v>44774</v>
      </c>
      <c r="C2086" s="1479">
        <v>100</v>
      </c>
      <c r="D2086" s="1482">
        <v>95.573099999999997</v>
      </c>
      <c r="E2086" s="1480">
        <v>-4.4269000000000003E-2</v>
      </c>
      <c r="F2086" s="1481"/>
      <c r="G2086" s="78"/>
    </row>
    <row r="2087" spans="1:7" ht="12.75" hidden="1" customHeight="1" outlineLevel="1" x14ac:dyDescent="0.25">
      <c r="A2087" s="221" t="s">
        <v>9129</v>
      </c>
      <c r="B2087" s="1478">
        <v>44805</v>
      </c>
      <c r="C2087" s="1479">
        <v>100</v>
      </c>
      <c r="D2087" s="1482">
        <v>88.265699999999995</v>
      </c>
      <c r="E2087" s="1480">
        <v>-0.11734300000000009</v>
      </c>
      <c r="F2087" s="1481"/>
      <c r="G2087" s="78"/>
    </row>
    <row r="2088" spans="1:7" ht="12.75" hidden="1" customHeight="1" outlineLevel="1" x14ac:dyDescent="0.25">
      <c r="A2088" s="221" t="s">
        <v>9130</v>
      </c>
      <c r="B2088" s="1478">
        <v>44835</v>
      </c>
      <c r="C2088" s="1479">
        <v>100</v>
      </c>
      <c r="D2088" s="1482">
        <v>93.567499999999995</v>
      </c>
      <c r="E2088" s="1480">
        <v>-6.4325000000000077E-2</v>
      </c>
      <c r="F2088" s="1750"/>
      <c r="G2088" s="78"/>
    </row>
    <row r="2089" spans="1:7" ht="12.75" hidden="1" customHeight="1" outlineLevel="1" x14ac:dyDescent="0.25">
      <c r="A2089" s="221" t="s">
        <v>9131</v>
      </c>
      <c r="B2089" s="1478">
        <v>44866</v>
      </c>
      <c r="C2089" s="1479">
        <v>100</v>
      </c>
      <c r="D2089" s="1482">
        <v>99.000200000000007</v>
      </c>
      <c r="E2089" s="1480">
        <v>-9.9979999999999514E-3</v>
      </c>
      <c r="F2089" s="1750"/>
      <c r="G2089" s="78"/>
    </row>
    <row r="2090" spans="1:7" ht="12.75" hidden="1" customHeight="1" outlineLevel="1" x14ac:dyDescent="0.25">
      <c r="A2090" s="221" t="s">
        <v>9132</v>
      </c>
      <c r="B2090" s="1478">
        <v>44896</v>
      </c>
      <c r="C2090" s="1479">
        <v>100</v>
      </c>
      <c r="D2090" s="1482">
        <v>96.531400000000005</v>
      </c>
      <c r="E2090" s="1480">
        <v>-3.4685999999999995E-2</v>
      </c>
      <c r="F2090" s="1750"/>
      <c r="G2090" s="78"/>
    </row>
    <row r="2091" spans="1:7" ht="12.75" hidden="1" customHeight="1" outlineLevel="1" x14ac:dyDescent="0.25">
      <c r="A2091" s="221" t="s">
        <v>9133</v>
      </c>
      <c r="B2091" s="1478">
        <v>44927</v>
      </c>
      <c r="C2091" s="1479">
        <v>100</v>
      </c>
      <c r="D2091" s="1482">
        <v>100.48520000000001</v>
      </c>
      <c r="E2091" s="1480">
        <v>4.8520000000000785E-3</v>
      </c>
      <c r="F2091" s="1750"/>
      <c r="G2091" s="78"/>
    </row>
    <row r="2092" spans="1:7" ht="12.75" hidden="1" customHeight="1" outlineLevel="1" x14ac:dyDescent="0.25">
      <c r="A2092" s="221" t="s">
        <v>9134</v>
      </c>
      <c r="B2092" s="1478">
        <v>44958</v>
      </c>
      <c r="C2092" s="1479">
        <v>100</v>
      </c>
      <c r="D2092" s="1482">
        <v>101.7165</v>
      </c>
      <c r="E2092" s="1480">
        <v>1.7164999999999875E-2</v>
      </c>
      <c r="F2092" s="1750"/>
      <c r="G2092" s="78"/>
    </row>
    <row r="2093" spans="1:7" ht="12.75" hidden="1" customHeight="1" outlineLevel="1" x14ac:dyDescent="0.25">
      <c r="A2093" s="221" t="s">
        <v>9135</v>
      </c>
      <c r="B2093" s="1478">
        <v>44986</v>
      </c>
      <c r="C2093" s="1479">
        <v>100</v>
      </c>
      <c r="D2093" s="1482">
        <v>99.236599999999996</v>
      </c>
      <c r="E2093" s="1480">
        <v>-7.6340000000000297E-3</v>
      </c>
      <c r="F2093" s="1750"/>
      <c r="G2093" s="78"/>
    </row>
    <row r="2094" spans="1:7" ht="12.75" hidden="1" customHeight="1" outlineLevel="1" x14ac:dyDescent="0.25">
      <c r="A2094" s="221"/>
      <c r="B2094" s="1478"/>
      <c r="C2094" s="1482"/>
      <c r="D2094" s="1485" t="s">
        <v>2465</v>
      </c>
      <c r="E2094" s="1486">
        <v>-1.6765666666666679E-2</v>
      </c>
      <c r="F2094" s="1487">
        <v>-1.6765666666666679E-2</v>
      </c>
      <c r="G2094" s="78"/>
    </row>
    <row r="2095" spans="1:7" collapsed="1" x14ac:dyDescent="0.25">
      <c r="A2095" s="3801" t="s">
        <v>9110</v>
      </c>
      <c r="B2095" s="3802"/>
      <c r="C2095" s="3802"/>
      <c r="D2095" s="3802"/>
      <c r="E2095" s="1906"/>
      <c r="F2095" s="1907">
        <v>0</v>
      </c>
      <c r="G2095" s="78"/>
    </row>
    <row r="2097" spans="1:15" ht="12.75" hidden="1" customHeight="1" outlineLevel="1" x14ac:dyDescent="0.25">
      <c r="A2097" s="1677" t="s">
        <v>4156</v>
      </c>
      <c r="B2097" s="1677" t="s">
        <v>4153</v>
      </c>
      <c r="C2097" s="1623" t="s">
        <v>112</v>
      </c>
      <c r="D2097" s="1678" t="s">
        <v>4155</v>
      </c>
      <c r="E2097" s="1677" t="s">
        <v>4154</v>
      </c>
      <c r="F2097" s="1678" t="s">
        <v>2519</v>
      </c>
      <c r="G2097" s="12"/>
      <c r="H2097" s="415"/>
      <c r="I2097" s="412"/>
      <c r="J2097" s="1462"/>
      <c r="K2097" s="1462"/>
      <c r="L2097" s="1462"/>
      <c r="M2097" s="1462"/>
      <c r="N2097" s="1462"/>
      <c r="O2097" s="1462"/>
    </row>
    <row r="2098" spans="1:15" ht="12.75" hidden="1" customHeight="1" outlineLevel="1" x14ac:dyDescent="0.25">
      <c r="A2098" s="134">
        <v>0.05</v>
      </c>
      <c r="B2098" s="211" t="s">
        <v>280</v>
      </c>
      <c r="C2098" s="472">
        <v>78.44</v>
      </c>
      <c r="D2098" s="1596">
        <f>VLOOKUP(H2098,indexy!$C$44:$D$823,2,FALSE)</f>
        <v>69.180000000000007</v>
      </c>
      <c r="E2098" s="1466">
        <f>D2098/C2098-1</f>
        <v>-0.11805201427842926</v>
      </c>
      <c r="F2098" s="1492">
        <f>E2098*A2098</f>
        <v>-5.9026007139214636E-3</v>
      </c>
      <c r="G2098" s="415"/>
      <c r="H2098" s="415" t="str">
        <f>VLOOKUP(B2098,indexy!$A$44:$D$823,3,FALSE)</f>
        <v>AKZA NA Equity</v>
      </c>
      <c r="I2098" s="412"/>
    </row>
    <row r="2099" spans="1:15" ht="12.75" hidden="1" customHeight="1" outlineLevel="1" x14ac:dyDescent="0.25">
      <c r="A2099" s="135">
        <v>0.02</v>
      </c>
      <c r="B2099" s="211" t="s">
        <v>359</v>
      </c>
      <c r="C2099" s="472">
        <v>190.03</v>
      </c>
      <c r="D2099" s="1597">
        <f>VLOOKUP(H2099,indexy!$C$44:$D$823,2,FALSE)</f>
        <v>277.8</v>
      </c>
      <c r="E2099" s="1463">
        <f>D2099/C2099-1</f>
        <v>0.4618744408777562</v>
      </c>
      <c r="F2099" s="1494">
        <f t="shared" ref="F2099:F2122" si="18">E2099*A2099</f>
        <v>9.2374888175551246E-3</v>
      </c>
      <c r="G2099" s="415"/>
      <c r="H2099" s="415" t="str">
        <f>VLOOKUP(B2099,indexy!$A$44:$D$823,3,FALSE)</f>
        <v>ALV GY Equity</v>
      </c>
      <c r="I2099" s="412"/>
    </row>
    <row r="2100" spans="1:15" ht="12.75" hidden="1" customHeight="1" outlineLevel="1" x14ac:dyDescent="0.25">
      <c r="A2100" s="135">
        <v>0.02</v>
      </c>
      <c r="B2100" s="211" t="s">
        <v>2697</v>
      </c>
      <c r="C2100" s="472">
        <v>16.2425</v>
      </c>
      <c r="D2100" s="1597">
        <f>VLOOKUP(H2100,indexy!$C$44:$D$823,2,FALSE)</f>
        <v>23.46</v>
      </c>
      <c r="E2100" s="1463">
        <f t="shared" ref="E2100:E2127" si="19">D2100/C2100-1</f>
        <v>0.44435893489302769</v>
      </c>
      <c r="F2100" s="1494">
        <f t="shared" si="18"/>
        <v>8.8871786978605549E-3</v>
      </c>
      <c r="G2100" s="415"/>
      <c r="H2100" s="415" t="str">
        <f>VLOOKUP(B2100,indexy!$A$44:$D$823,3,FALSE)</f>
        <v>G IM Equity</v>
      </c>
      <c r="I2100" s="412"/>
    </row>
    <row r="2101" spans="1:15" ht="12.75" hidden="1" customHeight="1" outlineLevel="1" x14ac:dyDescent="0.25">
      <c r="A2101" s="135">
        <v>0.02</v>
      </c>
      <c r="B2101" s="211" t="s">
        <v>2351</v>
      </c>
      <c r="C2101" s="472">
        <v>26.931000000000001</v>
      </c>
      <c r="D2101" s="1597">
        <f>VLOOKUP(H2101,indexy!$C$44:$D$823,2,FALSE)</f>
        <v>22.99</v>
      </c>
      <c r="E2101" s="1463">
        <f t="shared" si="19"/>
        <v>-0.14633693513051882</v>
      </c>
      <c r="F2101" s="1494">
        <f t="shared" si="18"/>
        <v>-2.9267387026103765E-3</v>
      </c>
      <c r="G2101" s="415"/>
      <c r="H2101" s="415" t="str">
        <f>VLOOKUP(B2101,indexy!$A$44:$D$823,3,FALSE)</f>
        <v>ATL IM Equity</v>
      </c>
      <c r="I2101" s="412"/>
      <c r="K2101" s="37"/>
    </row>
    <row r="2102" spans="1:15" ht="12.75" hidden="1" customHeight="1" outlineLevel="1" x14ac:dyDescent="0.25">
      <c r="A2102" s="135">
        <v>0.02</v>
      </c>
      <c r="B2102" s="211" t="s">
        <v>218</v>
      </c>
      <c r="C2102" s="472">
        <v>22.8005</v>
      </c>
      <c r="D2102" s="1597">
        <f>VLOOKUP(H2102,indexy!$C$44:$D$823,2,FALSE)</f>
        <v>34.814999999999998</v>
      </c>
      <c r="E2102" s="1463">
        <f t="shared" si="19"/>
        <v>0.52694019867985342</v>
      </c>
      <c r="F2102" s="1494">
        <f t="shared" si="18"/>
        <v>1.0538803973597069E-2</v>
      </c>
      <c r="G2102" s="415"/>
      <c r="H2102" s="415" t="str">
        <f>VLOOKUP(B2102,indexy!$A$44:$D$823,3,FALSE)</f>
        <v>CS FP Equity</v>
      </c>
      <c r="I2102" s="412"/>
    </row>
    <row r="2103" spans="1:15" ht="12.75" hidden="1" customHeight="1" outlineLevel="1" x14ac:dyDescent="0.25">
      <c r="A2103" s="135">
        <v>0.02</v>
      </c>
      <c r="B2103" s="211" t="s">
        <v>7553</v>
      </c>
      <c r="C2103" s="472">
        <v>41.744999999999997</v>
      </c>
      <c r="D2103" s="1597">
        <f>VLOOKUP(H2103,indexy!$C$44:$D$823,2,FALSE)</f>
        <v>3.9100000000000003E-2</v>
      </c>
      <c r="E2103" s="1463">
        <f t="shared" si="19"/>
        <v>-0.99906336088154268</v>
      </c>
      <c r="F2103" s="1494">
        <f t="shared" si="18"/>
        <v>-1.9981267217630855E-2</v>
      </c>
      <c r="G2103" s="415"/>
      <c r="H2103" s="415" t="str">
        <f>VLOOKUP(B2103,indexy!$A$44:$D$823,3,FALSE)</f>
        <v>CO FP Equity</v>
      </c>
      <c r="I2103" s="412"/>
    </row>
    <row r="2104" spans="1:15" ht="12.75" hidden="1" customHeight="1" outlineLevel="1" x14ac:dyDescent="0.25">
      <c r="A2104" s="135">
        <v>0.02</v>
      </c>
      <c r="B2104" s="211" t="s">
        <v>2629</v>
      </c>
      <c r="C2104" s="472">
        <v>13.865</v>
      </c>
      <c r="D2104" s="1597">
        <f>VLOOKUP(H2104,indexy!$C$44:$D$823,2,FALSE)</f>
        <v>22.5</v>
      </c>
      <c r="E2104" s="1463">
        <f t="shared" si="19"/>
        <v>0.62279120086548856</v>
      </c>
      <c r="F2104" s="1494">
        <f t="shared" si="18"/>
        <v>1.2455824017309771E-2</v>
      </c>
      <c r="G2104" s="415"/>
      <c r="H2104" s="415" t="str">
        <f>VLOOKUP(B2104,indexy!$A$44:$D$823,3,FALSE)</f>
        <v>DTE GY Equity</v>
      </c>
      <c r="I2104" s="412"/>
    </row>
    <row r="2105" spans="1:15" ht="12.75" hidden="1" customHeight="1" outlineLevel="1" x14ac:dyDescent="0.25">
      <c r="A2105" s="135">
        <v>0.05</v>
      </c>
      <c r="B2105" s="211" t="s">
        <v>6267</v>
      </c>
      <c r="C2105" s="472">
        <v>22.907</v>
      </c>
      <c r="D2105" s="1597">
        <f>VLOOKUP(H2105,indexy!$C$44:$D$823,2,FALSE)</f>
        <v>13.765000000000001</v>
      </c>
      <c r="E2105" s="1463">
        <f t="shared" si="19"/>
        <v>-0.39909198061727857</v>
      </c>
      <c r="F2105" s="1494">
        <f t="shared" si="18"/>
        <v>-1.9954599030863929E-2</v>
      </c>
      <c r="G2105" s="415"/>
      <c r="H2105" s="415" t="str">
        <f>VLOOKUP(B2105,indexy!$A$44:$D$823,3,FALSE)</f>
        <v>ENG SQ Equity</v>
      </c>
      <c r="I2105" s="412"/>
    </row>
    <row r="2106" spans="1:15" ht="12.75" hidden="1" customHeight="1" outlineLevel="1" x14ac:dyDescent="0.25">
      <c r="A2106" s="135">
        <v>0.08</v>
      </c>
      <c r="B2106" s="211" t="s">
        <v>9171</v>
      </c>
      <c r="C2106" s="472">
        <v>18.344000000000001</v>
      </c>
      <c r="D2106" s="1597">
        <f>VLOOKUP(H2106,indexy!$C$44:$D$823,2,FALSE)</f>
        <v>17.164999999999999</v>
      </c>
      <c r="E2106" s="1463">
        <f t="shared" si="19"/>
        <v>-6.4271696467509964E-2</v>
      </c>
      <c r="F2106" s="1494">
        <f t="shared" si="18"/>
        <v>-5.1417357174007973E-3</v>
      </c>
      <c r="G2106" s="415"/>
      <c r="H2106" s="415" t="str">
        <f>VLOOKUP(B2106,indexy!$A$44:$D$823,3,FALSE)</f>
        <v>ELE SQ Equity</v>
      </c>
      <c r="I2106" s="412"/>
    </row>
    <row r="2107" spans="1:15" ht="12.75" hidden="1" customHeight="1" outlineLevel="1" x14ac:dyDescent="0.25">
      <c r="A2107" s="135">
        <v>0.03</v>
      </c>
      <c r="B2107" s="211" t="s">
        <v>3021</v>
      </c>
      <c r="C2107" s="472">
        <v>15.498799999999999</v>
      </c>
      <c r="D2107" s="1597">
        <f>VLOOKUP(H2107,indexy!$C$44:$D$823,2,FALSE)</f>
        <v>14.648</v>
      </c>
      <c r="E2107" s="1463">
        <f t="shared" si="19"/>
        <v>-5.4894572483030868E-2</v>
      </c>
      <c r="F2107" s="1494">
        <f t="shared" si="18"/>
        <v>-1.646837174490926E-3</v>
      </c>
      <c r="G2107" s="415"/>
      <c r="H2107" s="415" t="str">
        <f>VLOOKUP(B2107,indexy!$A$44:$D$823,3,FALSE)</f>
        <v>ENI IM Equity</v>
      </c>
      <c r="I2107" s="412"/>
    </row>
    <row r="2108" spans="1:15" ht="12.75" hidden="1" customHeight="1" outlineLevel="1" x14ac:dyDescent="0.25">
      <c r="A2108" s="135">
        <v>0.03</v>
      </c>
      <c r="B2108" s="211" t="s">
        <v>7014</v>
      </c>
      <c r="C2108" s="472">
        <v>17.386500000000002</v>
      </c>
      <c r="D2108" s="1597">
        <f>VLOOKUP(H2108,indexy!$C$44:$D$823,2,FALSE)</f>
        <v>36.68</v>
      </c>
      <c r="E2108" s="1463">
        <f t="shared" si="19"/>
        <v>1.1096827998734646</v>
      </c>
      <c r="F2108" s="1494">
        <f t="shared" si="18"/>
        <v>3.3290483996203935E-2</v>
      </c>
      <c r="G2108" s="415"/>
      <c r="H2108" s="415" t="str">
        <f>VLOOKUP(B2108,indexy!$A$44:$D$823,3,FALSE)</f>
        <v>FER SQ Equity</v>
      </c>
      <c r="I2108" s="412"/>
    </row>
    <row r="2109" spans="1:15" ht="12.75" hidden="1" customHeight="1" outlineLevel="1" x14ac:dyDescent="0.25">
      <c r="A2109" s="135">
        <v>0.02</v>
      </c>
      <c r="B2109" s="211" t="s">
        <v>4268</v>
      </c>
      <c r="C2109" s="472">
        <v>17.761500000000002</v>
      </c>
      <c r="D2109" s="1597">
        <f>VLOOKUP(H2109,indexy!$C$44:$D$823,2,FALSE)</f>
        <v>11.445</v>
      </c>
      <c r="E2109" s="1463">
        <f t="shared" si="19"/>
        <v>-0.3556287475719957</v>
      </c>
      <c r="F2109" s="1494">
        <f t="shared" si="18"/>
        <v>-7.1125749514399138E-3</v>
      </c>
      <c r="G2109" s="415"/>
      <c r="H2109" s="415" t="str">
        <f>VLOOKUP(B2109,indexy!$A$44:$D$823,3,FALSE)</f>
        <v>FORTUM FH Equity</v>
      </c>
      <c r="I2109" s="412"/>
    </row>
    <row r="2110" spans="1:15" ht="12.75" hidden="1" customHeight="1" outlineLevel="1" x14ac:dyDescent="0.25">
      <c r="A2110" s="135">
        <v>0.02</v>
      </c>
      <c r="B2110" s="211" t="s">
        <v>7870</v>
      </c>
      <c r="C2110" s="490">
        <v>20.089500000000001</v>
      </c>
      <c r="D2110" s="1597">
        <f>VLOOKUP(H2110,indexy!$C$44:$D$823,2,FALSE)</f>
        <v>20.100000000000001</v>
      </c>
      <c r="E2110" s="1463">
        <f t="shared" si="19"/>
        <v>5.2266109161513974E-4</v>
      </c>
      <c r="F2110" s="1494">
        <f t="shared" si="18"/>
        <v>1.0453221832302795E-5</v>
      </c>
      <c r="G2110" s="415"/>
      <c r="H2110" s="415" t="str">
        <f>VLOOKUP(B2110,indexy!$A$44:$D$823,3,FALSE)</f>
        <v>NTGY SM Equity</v>
      </c>
      <c r="I2110" s="412"/>
    </row>
    <row r="2111" spans="1:15" ht="12.75" hidden="1" customHeight="1" outlineLevel="1" x14ac:dyDescent="0.25">
      <c r="A2111" s="135">
        <v>0.02</v>
      </c>
      <c r="B2111" s="211" t="s">
        <v>3643</v>
      </c>
      <c r="C2111" s="472">
        <v>132.874</v>
      </c>
      <c r="D2111" s="1597">
        <f>VLOOKUP(H2111,indexy!$C$44:$D$823,2,FALSE)</f>
        <v>174.58</v>
      </c>
      <c r="E2111" s="1463">
        <f t="shared" si="19"/>
        <v>0.3138763038668213</v>
      </c>
      <c r="F2111" s="1494">
        <f t="shared" si="18"/>
        <v>6.2775260773364266E-3</v>
      </c>
      <c r="G2111" s="415"/>
      <c r="H2111" s="415" t="str">
        <f>VLOOKUP(B2111,indexy!$A$44:$D$823,3,FALSE)</f>
        <v>HMB SS Equity</v>
      </c>
      <c r="I2111" s="412"/>
    </row>
    <row r="2112" spans="1:15" ht="12.75" hidden="1" customHeight="1" outlineLevel="1" x14ac:dyDescent="0.25">
      <c r="A2112" s="135">
        <v>0.08</v>
      </c>
      <c r="B2112" s="211" t="s">
        <v>9011</v>
      </c>
      <c r="C2112" s="472">
        <v>33.814</v>
      </c>
      <c r="D2112" s="1597">
        <f>VLOOKUP(H2112,indexy!$C$44:$D$823,2,FALSE)</f>
        <v>24</v>
      </c>
      <c r="E2112" s="1463">
        <f t="shared" si="19"/>
        <v>-0.29023481398237416</v>
      </c>
      <c r="F2112" s="1494">
        <f t="shared" si="18"/>
        <v>-2.3218785118589932E-2</v>
      </c>
      <c r="G2112" s="415"/>
      <c r="H2112" s="415" t="str">
        <f>VLOOKUP(B2112,indexy!$A$44:$D$823,3,FALSE)</f>
        <v>LI FP Equity</v>
      </c>
      <c r="I2112" s="412"/>
    </row>
    <row r="2113" spans="1:9" ht="12.75" hidden="1" customHeight="1" outlineLevel="1" x14ac:dyDescent="0.25">
      <c r="A2113" s="135">
        <v>0.03</v>
      </c>
      <c r="B2113" s="211" t="s">
        <v>8527</v>
      </c>
      <c r="C2113" s="472">
        <v>37.854999999999997</v>
      </c>
      <c r="D2113" s="1597">
        <f>VLOOKUP(H2113,indexy!$C$44:$D$823,2,FALSE)</f>
        <v>42.82</v>
      </c>
      <c r="E2113" s="1463">
        <f t="shared" si="19"/>
        <v>0.13115836745476162</v>
      </c>
      <c r="F2113" s="1494">
        <f t="shared" si="18"/>
        <v>3.9347510236428483E-3</v>
      </c>
      <c r="G2113" s="415"/>
      <c r="H2113" s="415" t="str">
        <f>VLOOKUP(B2113,indexy!$A$44:$D$823,3,FALSE)</f>
        <v>NN NA Equity</v>
      </c>
      <c r="I2113" s="412"/>
    </row>
    <row r="2114" spans="1:9" ht="12.75" hidden="1" customHeight="1" outlineLevel="1" x14ac:dyDescent="0.25">
      <c r="A2114" s="135">
        <v>0.02</v>
      </c>
      <c r="B2114" s="211" t="s">
        <v>5629</v>
      </c>
      <c r="C2114" s="472">
        <v>16.502500000000001</v>
      </c>
      <c r="D2114" s="1597">
        <f>VLOOKUP(H2114,indexy!$C$44:$D$823,2,FALSE)</f>
        <v>15.805</v>
      </c>
      <c r="E2114" s="1463">
        <f t="shared" si="19"/>
        <v>-4.2266323284350982E-2</v>
      </c>
      <c r="F2114" s="1494">
        <f t="shared" si="18"/>
        <v>-8.4532646568701963E-4</v>
      </c>
      <c r="G2114" s="415"/>
      <c r="H2114" s="415" t="str">
        <f>VLOOKUP(B2114,indexy!$A$44:$D$823,3,FALSE)</f>
        <v>REE SQ Equity</v>
      </c>
      <c r="I2114" s="412"/>
    </row>
    <row r="2115" spans="1:9" ht="12.75" hidden="1" customHeight="1" outlineLevel="1" x14ac:dyDescent="0.25">
      <c r="A2115" s="135">
        <v>0.02</v>
      </c>
      <c r="B2115" s="211" t="s">
        <v>54</v>
      </c>
      <c r="C2115" s="472">
        <v>15.480499999999999</v>
      </c>
      <c r="D2115" s="1597">
        <f>VLOOKUP(H2115,indexy!$C$44:$D$823,2,FALSE)</f>
        <v>15.44</v>
      </c>
      <c r="E2115" s="1463">
        <f t="shared" si="19"/>
        <v>-2.6161945673589537E-3</v>
      </c>
      <c r="F2115" s="1494">
        <f t="shared" si="18"/>
        <v>-5.2323891347179077E-5</v>
      </c>
      <c r="G2115" s="415"/>
      <c r="H2115" s="415" t="str">
        <f>VLOOKUP(B2115,indexy!$A$44:$D$823,3,FALSE)</f>
        <v>REP SQ Equity</v>
      </c>
      <c r="I2115" s="412"/>
    </row>
    <row r="2116" spans="1:9" ht="12.75" hidden="1" customHeight="1" outlineLevel="1" x14ac:dyDescent="0.25">
      <c r="A2116" s="135">
        <v>0.02</v>
      </c>
      <c r="B2116" s="211" t="s">
        <v>3800</v>
      </c>
      <c r="C2116" s="472">
        <v>217.07</v>
      </c>
      <c r="D2116" s="1597">
        <f>VLOOKUP(H2116,indexy!$C$44:$D$823,2,FALSE)</f>
        <v>229.7</v>
      </c>
      <c r="E2116" s="1463">
        <f t="shared" si="19"/>
        <v>5.8183995946008205E-2</v>
      </c>
      <c r="F2116" s="1494">
        <f t="shared" si="18"/>
        <v>1.1636799189201641E-3</v>
      </c>
      <c r="G2116" s="415"/>
      <c r="H2116" s="415" t="str">
        <f>VLOOKUP(B2116,indexy!$A$44:$D$823,3,FALSE)</f>
        <v>ROG SE Equity</v>
      </c>
      <c r="I2116" s="412"/>
    </row>
    <row r="2117" spans="1:9" ht="12.75" hidden="1" customHeight="1" outlineLevel="1" x14ac:dyDescent="0.25">
      <c r="A2117" s="135">
        <v>0.08</v>
      </c>
      <c r="B2117" s="211" t="s">
        <v>6270</v>
      </c>
      <c r="C2117" s="472">
        <v>45.517000000000003</v>
      </c>
      <c r="D2117" s="1597">
        <f>VLOOKUP(H2117,indexy!$C$44:$D$823,2,FALSE)</f>
        <v>39.515000000000001</v>
      </c>
      <c r="E2117" s="1463">
        <f t="shared" si="19"/>
        <v>-0.13186282048465414</v>
      </c>
      <c r="F2117" s="1494">
        <f t="shared" si="18"/>
        <v>-1.0549025638772332E-2</v>
      </c>
      <c r="G2117" s="415"/>
      <c r="H2117" s="415" t="str">
        <f>VLOOKUP(B2117,indexy!$A$44:$D$823,3,FALSE)</f>
        <v>SAMPO FH Equity</v>
      </c>
      <c r="I2117" s="412"/>
    </row>
    <row r="2118" spans="1:9" ht="12.75" hidden="1" customHeight="1" outlineLevel="1" x14ac:dyDescent="0.25">
      <c r="A2118" s="135">
        <v>0.02</v>
      </c>
      <c r="B2118" s="211" t="s">
        <v>1187</v>
      </c>
      <c r="C2118" s="472">
        <v>66.106999999999999</v>
      </c>
      <c r="D2118" s="1597">
        <f>VLOOKUP(H2118,indexy!$C$44:$D$823,2,FALSE)</f>
        <v>90.96</v>
      </c>
      <c r="E2118" s="1463">
        <f t="shared" si="19"/>
        <v>0.37595110956479649</v>
      </c>
      <c r="F2118" s="1494">
        <f t="shared" si="18"/>
        <v>7.5190221912959298E-3</v>
      </c>
      <c r="G2118" s="415"/>
      <c r="H2118" s="415" t="str">
        <f>VLOOKUP(B2118,indexy!$A$44:$D$823,3,FALSE)</f>
        <v>SAN FP Equity</v>
      </c>
      <c r="I2118" s="412"/>
    </row>
    <row r="2119" spans="1:9" ht="12.75" hidden="1" customHeight="1" outlineLevel="1" x14ac:dyDescent="0.25">
      <c r="A2119" s="135">
        <v>0.03</v>
      </c>
      <c r="B2119" s="211" t="s">
        <v>6116</v>
      </c>
      <c r="C2119" s="472">
        <v>3.8271999999999999</v>
      </c>
      <c r="D2119" s="1597">
        <f>VLOOKUP(H2119,indexy!$C$44:$D$823,2,FALSE)</f>
        <v>4.3760000000000003</v>
      </c>
      <c r="E2119" s="1463">
        <f t="shared" si="19"/>
        <v>0.14339464882943154</v>
      </c>
      <c r="F2119" s="1494">
        <f t="shared" si="18"/>
        <v>4.3018394648829455E-3</v>
      </c>
      <c r="G2119" s="415"/>
      <c r="H2119" s="415" t="str">
        <f>VLOOKUP(B2119,indexy!$A$44:$D$823,3,FALSE)</f>
        <v>SRG IM Equity</v>
      </c>
      <c r="I2119" s="412"/>
    </row>
    <row r="2120" spans="1:9" ht="12.75" hidden="1" customHeight="1" outlineLevel="1" x14ac:dyDescent="0.25">
      <c r="A2120" s="135">
        <v>0.02</v>
      </c>
      <c r="B2120" s="211" t="s">
        <v>7566</v>
      </c>
      <c r="C2120" s="472">
        <v>11.867000000000001</v>
      </c>
      <c r="D2120" s="1597">
        <f>VLOOKUP(H2120,indexy!$C$44:$D$823,2,FALSE)</f>
        <v>19.829999999999998</v>
      </c>
      <c r="E2120" s="1463">
        <f t="shared" si="19"/>
        <v>0.67102047695289424</v>
      </c>
      <c r="F2120" s="1494">
        <f t="shared" si="18"/>
        <v>1.3420409539057885E-2</v>
      </c>
      <c r="G2120" s="415"/>
      <c r="H2120" s="415" t="str">
        <f>VLOOKUP(B2120,indexy!$A$44:$D$823,3,FALSE)</f>
        <v>SEV FP Equity</v>
      </c>
      <c r="I2120" s="412"/>
    </row>
    <row r="2121" spans="1:9" ht="12.75" hidden="1" customHeight="1" outlineLevel="1" x14ac:dyDescent="0.25">
      <c r="A2121" s="135">
        <v>0.02</v>
      </c>
      <c r="B2121" s="211" t="s">
        <v>9173</v>
      </c>
      <c r="C2121" s="472">
        <v>347.32</v>
      </c>
      <c r="D2121" s="1597">
        <f>VLOOKUP(H2121,indexy!$C$44:$D$823,2,FALSE)</f>
        <v>632.20000000000005</v>
      </c>
      <c r="E2121" s="1463">
        <f t="shared" si="19"/>
        <v>0.82022342508349655</v>
      </c>
      <c r="F2121" s="1494">
        <f t="shared" si="18"/>
        <v>1.640446850166993E-2</v>
      </c>
      <c r="G2121" s="415"/>
      <c r="H2121" s="415" t="str">
        <f>VLOOKUP(B2121,indexy!$A$44:$D$823,3,FALSE)</f>
        <v>SLHN SE Equity</v>
      </c>
      <c r="I2121" s="412"/>
    </row>
    <row r="2122" spans="1:9" ht="12.75" hidden="1" customHeight="1" outlineLevel="1" x14ac:dyDescent="0.25">
      <c r="A2122" s="135">
        <v>7.0000000000000007E-2</v>
      </c>
      <c r="B2122" s="211" t="s">
        <v>1239</v>
      </c>
      <c r="C2122" s="472">
        <v>454.23</v>
      </c>
      <c r="D2122" s="1597">
        <f>VLOOKUP(H2122,indexy!$C$44:$D$823,2,FALSE)</f>
        <v>551.4</v>
      </c>
      <c r="E2122" s="1463">
        <f t="shared" si="19"/>
        <v>0.21392246218875899</v>
      </c>
      <c r="F2122" s="1494">
        <f t="shared" si="18"/>
        <v>1.4974572353213131E-2</v>
      </c>
      <c r="G2122" s="415"/>
      <c r="H2122" s="415" t="str">
        <f>VLOOKUP(B2122,indexy!$A$44:$D$823,3,FALSE)</f>
        <v>SCMN SE Equity</v>
      </c>
      <c r="I2122" s="412"/>
    </row>
    <row r="2123" spans="1:9" ht="12.75" hidden="1" customHeight="1" outlineLevel="1" x14ac:dyDescent="0.25">
      <c r="A2123" s="135">
        <v>0.02</v>
      </c>
      <c r="B2123" s="211" t="s">
        <v>3383</v>
      </c>
      <c r="C2123" s="472">
        <v>176.21</v>
      </c>
      <c r="D2123" s="1597">
        <f>VLOOKUP(H2123,indexy!$C$44:$D$823,2,FALSE)</f>
        <v>120.75</v>
      </c>
      <c r="E2123" s="1463">
        <f t="shared" si="19"/>
        <v>-0.31473809658929686</v>
      </c>
      <c r="F2123" s="1494">
        <f>E2123*A2123</f>
        <v>-6.2947619317859369E-3</v>
      </c>
      <c r="G2123" s="415"/>
      <c r="H2123" s="415" t="str">
        <f>VLOOKUP(B2123,indexy!$A$44:$D$823,3,FALSE)</f>
        <v>TEL NO Equity</v>
      </c>
      <c r="I2123" s="412"/>
    </row>
    <row r="2124" spans="1:9" ht="12.75" hidden="1" customHeight="1" outlineLevel="1" x14ac:dyDescent="0.25">
      <c r="A2124" s="135">
        <v>0.06</v>
      </c>
      <c r="B2124" s="211" t="s">
        <v>434</v>
      </c>
      <c r="C2124" s="472">
        <v>38.56</v>
      </c>
      <c r="D2124" s="1597">
        <f>VLOOKUP(H2124,indexy!$C$44:$D$823,2,FALSE)</f>
        <v>27.43</v>
      </c>
      <c r="E2124" s="1463">
        <f t="shared" si="19"/>
        <v>-0.28864107883817436</v>
      </c>
      <c r="F2124" s="1494">
        <f>E2124*A2124</f>
        <v>-1.7318464730290462E-2</v>
      </c>
      <c r="G2124" s="415"/>
      <c r="H2124" s="415" t="str">
        <f>VLOOKUP(B2124,indexy!$A$44:$D$823,3,FALSE)</f>
        <v>TELIA SS Equity</v>
      </c>
      <c r="I2124" s="412"/>
    </row>
    <row r="2125" spans="1:9" ht="12.75" hidden="1" customHeight="1" outlineLevel="1" x14ac:dyDescent="0.25">
      <c r="A2125" s="135">
        <v>0.02</v>
      </c>
      <c r="B2125" s="211" t="s">
        <v>3921</v>
      </c>
      <c r="C2125" s="472">
        <v>4.8061999999999996</v>
      </c>
      <c r="D2125" s="1597">
        <f>VLOOKUP(H2125,indexy!$C$44:$D$823,2,FALSE)</f>
        <v>7.66</v>
      </c>
      <c r="E2125" s="1463">
        <f t="shared" si="19"/>
        <v>0.59377470766926077</v>
      </c>
      <c r="F2125" s="1494">
        <f>E2125*A2125</f>
        <v>1.1875494153385216E-2</v>
      </c>
      <c r="G2125" s="415"/>
      <c r="H2125" s="415" t="str">
        <f>VLOOKUP(B2125,indexy!$A$44:$D$823,3,FALSE)</f>
        <v>TRN IM Equity</v>
      </c>
      <c r="I2125" s="412"/>
    </row>
    <row r="2126" spans="1:9" ht="12.75" hidden="1" customHeight="1" outlineLevel="1" x14ac:dyDescent="0.25">
      <c r="A2126" s="135">
        <v>0.04</v>
      </c>
      <c r="B2126" s="211" t="s">
        <v>10633</v>
      </c>
      <c r="C2126" s="472">
        <v>49.168500000000002</v>
      </c>
      <c r="D2126" s="1597">
        <f>VLOOKUP(H2126,indexy!$C$44:$D$823,2,FALSE)</f>
        <v>63.47</v>
      </c>
      <c r="E2126" s="1463">
        <f t="shared" si="19"/>
        <v>0.2908671202090769</v>
      </c>
      <c r="F2126" s="1494">
        <f>E2126*A2126</f>
        <v>1.1634684808363075E-2</v>
      </c>
      <c r="G2126" s="415"/>
      <c r="H2126" s="415" t="str">
        <f>VLOOKUP(B2126,indexy!$A$44:$D$823,3,FALSE)</f>
        <v>TTE FP Equity</v>
      </c>
      <c r="I2126" s="412"/>
    </row>
    <row r="2127" spans="1:9" ht="12.75" hidden="1" customHeight="1" outlineLevel="1" x14ac:dyDescent="0.25">
      <c r="A2127" s="135">
        <v>0.03</v>
      </c>
      <c r="B2127" s="1465" t="s">
        <v>4601</v>
      </c>
      <c r="C2127" s="472">
        <v>191.185</v>
      </c>
      <c r="D2127" s="1598">
        <f>VLOOKUP(H2127,indexy!$C$44:$D$823,2,FALSE)</f>
        <v>190</v>
      </c>
      <c r="E2127" s="1463">
        <f t="shared" si="19"/>
        <v>-6.198185004053669E-3</v>
      </c>
      <c r="F2127" s="1494">
        <f>E2127*A2127</f>
        <v>-1.8594555012161007E-4</v>
      </c>
      <c r="G2127" s="415"/>
      <c r="H2127" s="415" t="str">
        <f>VLOOKUP(B2127,indexy!$A$44:$D$823,3,FALSE)</f>
        <v>UL NA Equity</v>
      </c>
      <c r="I2127" s="412"/>
    </row>
    <row r="2128" spans="1:9" ht="12.75" hidden="1" customHeight="1" outlineLevel="1" x14ac:dyDescent="0.25">
      <c r="A2128" s="1475" t="s">
        <v>2734</v>
      </c>
      <c r="B2128" s="150"/>
      <c r="C2128" s="1476">
        <v>100</v>
      </c>
      <c r="D2128" s="1477"/>
      <c r="E2128" s="1599"/>
      <c r="F2128" s="1599">
        <f>SUM(F2098:F2127)</f>
        <v>4.4795693921173579E-2</v>
      </c>
      <c r="G2128" s="12"/>
      <c r="H2128" s="415"/>
    </row>
    <row r="2129" spans="1:18" ht="12.75" hidden="1" customHeight="1" outlineLevel="1" x14ac:dyDescent="0.25">
      <c r="A2129" s="221" t="s">
        <v>9177</v>
      </c>
      <c r="B2129" s="1478">
        <v>45474</v>
      </c>
      <c r="C2129" s="1497">
        <v>100</v>
      </c>
      <c r="D2129" s="1497"/>
      <c r="E2129" s="1498">
        <f>IF(D2129="",F2128,D2129/C2129-1)</f>
        <v>4.4795693921173579E-2</v>
      </c>
      <c r="F2129" s="1499"/>
      <c r="G2129" s="12"/>
      <c r="H2129" s="415"/>
    </row>
    <row r="2130" spans="1:18" ht="12.75" hidden="1" customHeight="1" outlineLevel="1" x14ac:dyDescent="0.25">
      <c r="A2130" s="221" t="s">
        <v>9178</v>
      </c>
      <c r="B2130" s="1478">
        <v>45505</v>
      </c>
      <c r="C2130" s="1497">
        <v>100</v>
      </c>
      <c r="D2130" s="1500"/>
      <c r="E2130" s="1498">
        <f>IF(D2130="",E2129,D2130/C2130-1)</f>
        <v>4.4795693921173579E-2</v>
      </c>
      <c r="F2130" s="1499"/>
      <c r="G2130" s="12"/>
      <c r="H2130" s="415"/>
    </row>
    <row r="2131" spans="1:18" ht="12.75" hidden="1" customHeight="1" outlineLevel="1" x14ac:dyDescent="0.25">
      <c r="A2131" s="221" t="s">
        <v>9179</v>
      </c>
      <c r="B2131" s="1478">
        <v>45536</v>
      </c>
      <c r="C2131" s="1497">
        <v>100</v>
      </c>
      <c r="D2131" s="1500"/>
      <c r="E2131" s="1498">
        <f t="shared" ref="E2131:E2138" si="20">IF(D2131="",E2130,D2131/C2131-1)</f>
        <v>4.4795693921173579E-2</v>
      </c>
      <c r="F2131" s="1499"/>
      <c r="G2131" s="12"/>
      <c r="H2131" s="415"/>
    </row>
    <row r="2132" spans="1:18" ht="12.75" hidden="1" customHeight="1" outlineLevel="1" x14ac:dyDescent="0.25">
      <c r="A2132" s="221" t="s">
        <v>9180</v>
      </c>
      <c r="B2132" s="1478">
        <v>45566</v>
      </c>
      <c r="C2132" s="1497">
        <v>100</v>
      </c>
      <c r="D2132" s="1500"/>
      <c r="E2132" s="1498">
        <f t="shared" si="20"/>
        <v>4.4795693921173579E-2</v>
      </c>
      <c r="F2132" s="1499"/>
      <c r="G2132" s="12"/>
      <c r="H2132" s="415"/>
    </row>
    <row r="2133" spans="1:18" ht="12.75" hidden="1" customHeight="1" outlineLevel="1" x14ac:dyDescent="0.25">
      <c r="A2133" s="221" t="s">
        <v>9181</v>
      </c>
      <c r="B2133" s="1478">
        <v>45597</v>
      </c>
      <c r="C2133" s="1497">
        <v>100</v>
      </c>
      <c r="D2133" s="1500"/>
      <c r="E2133" s="1498">
        <f t="shared" si="20"/>
        <v>4.4795693921173579E-2</v>
      </c>
      <c r="F2133" s="1499"/>
      <c r="G2133" s="12"/>
      <c r="H2133" s="415"/>
    </row>
    <row r="2134" spans="1:18" ht="12.75" hidden="1" customHeight="1" outlineLevel="1" x14ac:dyDescent="0.25">
      <c r="A2134" s="221" t="s">
        <v>9182</v>
      </c>
      <c r="B2134" s="1478">
        <v>45627</v>
      </c>
      <c r="C2134" s="1497">
        <v>100</v>
      </c>
      <c r="D2134" s="1500"/>
      <c r="E2134" s="1498">
        <f t="shared" si="20"/>
        <v>4.4795693921173579E-2</v>
      </c>
      <c r="F2134" s="1499"/>
      <c r="G2134" s="12"/>
      <c r="H2134" s="415"/>
    </row>
    <row r="2135" spans="1:18" ht="12.75" hidden="1" customHeight="1" outlineLevel="1" x14ac:dyDescent="0.25">
      <c r="A2135" s="221" t="s">
        <v>9183</v>
      </c>
      <c r="B2135" s="1478">
        <v>45658</v>
      </c>
      <c r="C2135" s="1497">
        <v>100</v>
      </c>
      <c r="D2135" s="1500"/>
      <c r="E2135" s="1498">
        <f t="shared" si="20"/>
        <v>4.4795693921173579E-2</v>
      </c>
      <c r="F2135" s="1499"/>
      <c r="G2135" s="12"/>
      <c r="H2135" s="415"/>
    </row>
    <row r="2136" spans="1:18" ht="12.75" hidden="1" customHeight="1" outlineLevel="1" x14ac:dyDescent="0.25">
      <c r="A2136" s="221" t="s">
        <v>9184</v>
      </c>
      <c r="B2136" s="1478">
        <v>45689</v>
      </c>
      <c r="C2136" s="1497">
        <v>100</v>
      </c>
      <c r="D2136" s="1500"/>
      <c r="E2136" s="1498">
        <f t="shared" si="20"/>
        <v>4.4795693921173579E-2</v>
      </c>
      <c r="F2136" s="1499"/>
      <c r="G2136" s="12"/>
      <c r="H2136" s="415"/>
    </row>
    <row r="2137" spans="1:18" ht="12.75" hidden="1" customHeight="1" outlineLevel="1" x14ac:dyDescent="0.25">
      <c r="A2137" s="221" t="s">
        <v>9185</v>
      </c>
      <c r="B2137" s="1478">
        <v>45717</v>
      </c>
      <c r="C2137" s="1497">
        <v>100</v>
      </c>
      <c r="D2137" s="1500"/>
      <c r="E2137" s="1498">
        <f t="shared" si="20"/>
        <v>4.4795693921173579E-2</v>
      </c>
      <c r="F2137" s="1499"/>
      <c r="G2137" s="12"/>
      <c r="H2137" s="415"/>
    </row>
    <row r="2138" spans="1:18" ht="12.75" hidden="1" customHeight="1" outlineLevel="1" x14ac:dyDescent="0.25">
      <c r="A2138" s="221" t="s">
        <v>9186</v>
      </c>
      <c r="B2138" s="1478">
        <v>45748</v>
      </c>
      <c r="C2138" s="1497">
        <v>100</v>
      </c>
      <c r="D2138" s="1500"/>
      <c r="E2138" s="1498">
        <f t="shared" si="20"/>
        <v>4.4795693921173579E-2</v>
      </c>
      <c r="F2138" s="1499"/>
      <c r="G2138" s="12"/>
      <c r="H2138" s="415"/>
    </row>
    <row r="2139" spans="1:18" ht="12.75" hidden="1" customHeight="1" outlineLevel="1" x14ac:dyDescent="0.25">
      <c r="A2139" s="221" t="s">
        <v>9187</v>
      </c>
      <c r="B2139" s="1478">
        <v>45778</v>
      </c>
      <c r="C2139" s="1497">
        <v>100</v>
      </c>
      <c r="D2139" s="1500"/>
      <c r="E2139" s="1498">
        <f>IF(D2139="",E2138,D2139/C2139-1)</f>
        <v>4.4795693921173579E-2</v>
      </c>
      <c r="F2139" s="1499"/>
      <c r="G2139" s="12"/>
      <c r="H2139" s="415"/>
    </row>
    <row r="2140" spans="1:18" ht="12.75" hidden="1" customHeight="1" outlineLevel="1" x14ac:dyDescent="0.25">
      <c r="A2140" s="221" t="s">
        <v>9188</v>
      </c>
      <c r="B2140" s="1478">
        <v>45809</v>
      </c>
      <c r="C2140" s="1497">
        <v>100</v>
      </c>
      <c r="D2140" s="1500"/>
      <c r="E2140" s="1498">
        <f>IF(D2140="",E2139,D2140/C2140-1)</f>
        <v>4.4795693921173579E-2</v>
      </c>
      <c r="F2140" s="1499"/>
      <c r="G2140" s="12"/>
      <c r="H2140" s="415"/>
    </row>
    <row r="2141" spans="1:18" ht="12.75" hidden="1" customHeight="1" outlineLevel="1" x14ac:dyDescent="0.25">
      <c r="A2141" s="1483" t="s">
        <v>2734</v>
      </c>
      <c r="B2141" s="1484"/>
      <c r="C2141" s="1500"/>
      <c r="D2141" s="1485" t="s">
        <v>2465</v>
      </c>
      <c r="E2141" s="1486">
        <f>AVERAGE(E2129:E2140)</f>
        <v>4.4795693921173572E-2</v>
      </c>
      <c r="F2141" s="1487">
        <f>+E2141</f>
        <v>4.4795693921173572E-2</v>
      </c>
      <c r="G2141" s="12"/>
      <c r="H2141" s="415"/>
    </row>
    <row r="2142" spans="1:18" collapsed="1" x14ac:dyDescent="0.25">
      <c r="A2142" s="3799" t="s">
        <v>9160</v>
      </c>
      <c r="B2142" s="3800"/>
      <c r="C2142" s="3800"/>
      <c r="D2142" s="3800"/>
      <c r="E2142" s="18"/>
      <c r="F2142" s="186">
        <v>1.4807462998312702E-2</v>
      </c>
      <c r="G2142" s="78"/>
    </row>
    <row r="2144" spans="1:18" ht="12.75" hidden="1" customHeight="1" outlineLevel="1" x14ac:dyDescent="0.25">
      <c r="A2144" s="3180" t="s">
        <v>4156</v>
      </c>
      <c r="B2144" s="3180" t="s">
        <v>4153</v>
      </c>
      <c r="C2144" s="3632" t="s">
        <v>112</v>
      </c>
      <c r="D2144" s="3192" t="s">
        <v>4155</v>
      </c>
      <c r="E2144" s="3180" t="s">
        <v>4154</v>
      </c>
      <c r="F2144" s="3192" t="s">
        <v>2519</v>
      </c>
      <c r="G2144" s="12"/>
      <c r="H2144" s="415"/>
      <c r="I2144" s="412" t="s">
        <v>6964</v>
      </c>
      <c r="J2144" s="1462">
        <v>43252</v>
      </c>
      <c r="K2144" s="1462">
        <v>43282</v>
      </c>
      <c r="L2144" s="1462">
        <v>43313</v>
      </c>
      <c r="M2144" s="1462">
        <v>43344</v>
      </c>
      <c r="N2144" s="1462">
        <v>43374</v>
      </c>
      <c r="O2144" s="1462">
        <v>43405</v>
      </c>
      <c r="P2144" s="1462">
        <v>43435</v>
      </c>
      <c r="Q2144" s="1462">
        <v>43466</v>
      </c>
      <c r="R2144" s="1462">
        <v>43497</v>
      </c>
    </row>
    <row r="2145" spans="1:21" ht="12.75" hidden="1" customHeight="1" outlineLevel="1" x14ac:dyDescent="0.25">
      <c r="A2145" s="1991">
        <v>0.05</v>
      </c>
      <c r="B2145" s="1921" t="s">
        <v>280</v>
      </c>
      <c r="C2145" s="2108">
        <v>72.061233023904805</v>
      </c>
      <c r="D2145" s="3194">
        <v>70.44</v>
      </c>
      <c r="E2145" s="3269">
        <v>-2.249799172000011E-2</v>
      </c>
      <c r="F2145" s="3004">
        <v>-1.1248995860000056E-3</v>
      </c>
      <c r="G2145" s="415"/>
      <c r="H2145" s="415" t="s">
        <v>1469</v>
      </c>
      <c r="I2145" s="412">
        <v>93.739699999999999</v>
      </c>
      <c r="J2145">
        <v>96.273799999999994</v>
      </c>
      <c r="K2145">
        <v>95.529399999999995</v>
      </c>
      <c r="L2145">
        <v>98.920299999999997</v>
      </c>
      <c r="M2145">
        <v>96.718400000000003</v>
      </c>
      <c r="N2145">
        <v>97.960099999999997</v>
      </c>
      <c r="O2145">
        <v>95.63</v>
      </c>
      <c r="P2145">
        <v>97.0227</v>
      </c>
      <c r="Q2145">
        <v>93.739699999999999</v>
      </c>
      <c r="R2145">
        <v>98.507300000000001</v>
      </c>
      <c r="U2145" s="434"/>
    </row>
    <row r="2146" spans="1:21" ht="12.75" hidden="1" customHeight="1" outlineLevel="1" x14ac:dyDescent="0.25">
      <c r="A2146" s="2380">
        <v>0.02</v>
      </c>
      <c r="B2146" s="1921" t="s">
        <v>359</v>
      </c>
      <c r="C2146" s="2108">
        <v>193.07</v>
      </c>
      <c r="D2146" s="3196">
        <v>199.98</v>
      </c>
      <c r="E2146" s="3270">
        <v>3.5790127932874061E-2</v>
      </c>
      <c r="F2146" s="3007">
        <v>7.1580255865748125E-4</v>
      </c>
      <c r="G2146" s="415"/>
      <c r="H2146" s="415" t="s">
        <v>360</v>
      </c>
      <c r="I2146" s="422">
        <v>1.925808333333336E-2</v>
      </c>
      <c r="U2146" s="434"/>
    </row>
    <row r="2147" spans="1:21" ht="12.75" hidden="1" customHeight="1" outlineLevel="1" x14ac:dyDescent="0.25">
      <c r="A2147" s="2380">
        <v>0.02</v>
      </c>
      <c r="B2147" s="1921" t="s">
        <v>2697</v>
      </c>
      <c r="C2147" s="2108">
        <v>16.292000000000002</v>
      </c>
      <c r="D2147" s="3196">
        <v>17.715</v>
      </c>
      <c r="E2147" s="3270">
        <v>8.7343481463294736E-2</v>
      </c>
      <c r="F2147" s="3007">
        <v>1.7468696292658947E-3</v>
      </c>
      <c r="G2147" s="415"/>
      <c r="H2147" s="415" t="s">
        <v>329</v>
      </c>
      <c r="J2147" s="434"/>
      <c r="U2147" s="434"/>
    </row>
    <row r="2148" spans="1:21" ht="12.75" hidden="1" customHeight="1" outlineLevel="1" x14ac:dyDescent="0.25">
      <c r="A2148" s="2380">
        <v>0.02</v>
      </c>
      <c r="B2148" s="1921" t="s">
        <v>2351</v>
      </c>
      <c r="C2148" s="2108">
        <v>27.817</v>
      </c>
      <c r="D2148" s="3196">
        <v>22.99</v>
      </c>
      <c r="E2148" s="3270">
        <v>-0.17352697990437504</v>
      </c>
      <c r="F2148" s="3007">
        <v>-3.4705395980875009E-3</v>
      </c>
      <c r="G2148" s="415"/>
      <c r="H2148" s="415" t="s">
        <v>2352</v>
      </c>
      <c r="J2148" s="434"/>
      <c r="K2148" s="37"/>
      <c r="U2148" s="434"/>
    </row>
    <row r="2149" spans="1:21" ht="12.75" hidden="1" customHeight="1" outlineLevel="1" x14ac:dyDescent="0.25">
      <c r="A2149" s="2380">
        <v>0.02</v>
      </c>
      <c r="B2149" s="1921" t="s">
        <v>218</v>
      </c>
      <c r="C2149" s="2108">
        <v>22.661000000000001</v>
      </c>
      <c r="D2149" s="3196">
        <v>26.414999999999999</v>
      </c>
      <c r="E2149" s="3270">
        <v>0.16565906182427947</v>
      </c>
      <c r="F2149" s="3007">
        <v>3.3131812364855895E-3</v>
      </c>
      <c r="G2149" s="415"/>
      <c r="H2149" s="415" t="s">
        <v>656</v>
      </c>
      <c r="J2149" s="434"/>
      <c r="U2149" s="434"/>
    </row>
    <row r="2150" spans="1:21" ht="12.75" hidden="1" customHeight="1" outlineLevel="1" x14ac:dyDescent="0.25">
      <c r="A2150" s="2380">
        <v>0.02</v>
      </c>
      <c r="B2150" s="1921" t="s">
        <v>7553</v>
      </c>
      <c r="C2150" s="2108">
        <v>40.741999999999997</v>
      </c>
      <c r="D2150" s="3196">
        <v>5.57</v>
      </c>
      <c r="E2150" s="3270">
        <v>-0.86328604388591623</v>
      </c>
      <c r="F2150" s="3007">
        <v>-1.7265720877718323E-2</v>
      </c>
      <c r="G2150" s="415"/>
      <c r="H2150" s="415" t="s">
        <v>7551</v>
      </c>
      <c r="J2150" s="434"/>
      <c r="U2150" s="434"/>
    </row>
    <row r="2151" spans="1:21" ht="12.75" hidden="1" customHeight="1" outlineLevel="1" x14ac:dyDescent="0.25">
      <c r="A2151" s="2380">
        <v>0.02</v>
      </c>
      <c r="B2151" s="1921" t="s">
        <v>2629</v>
      </c>
      <c r="C2151" s="2108">
        <v>14.103</v>
      </c>
      <c r="D2151" s="3196">
        <v>20.745000000000001</v>
      </c>
      <c r="E2151" s="3270">
        <v>0.4709636247606892</v>
      </c>
      <c r="F2151" s="3007">
        <v>9.4192724952137843E-3</v>
      </c>
      <c r="G2151" s="415"/>
      <c r="H2151" s="415" t="s">
        <v>1652</v>
      </c>
      <c r="J2151" s="434"/>
      <c r="U2151" s="434"/>
    </row>
    <row r="2152" spans="1:21" ht="12.75" hidden="1" customHeight="1" outlineLevel="1" x14ac:dyDescent="0.25">
      <c r="A2152" s="2380">
        <v>0.05</v>
      </c>
      <c r="B2152" s="1921" t="s">
        <v>6267</v>
      </c>
      <c r="C2152" s="2108">
        <v>24.303000000000001</v>
      </c>
      <c r="D2152" s="3196">
        <v>17.855</v>
      </c>
      <c r="E2152" s="3270">
        <v>-0.26531703904867709</v>
      </c>
      <c r="F2152" s="3007">
        <v>-1.3265851952433856E-2</v>
      </c>
      <c r="G2152" s="415"/>
      <c r="H2152" s="415" t="s">
        <v>6268</v>
      </c>
      <c r="J2152" s="434"/>
      <c r="U2152" s="434"/>
    </row>
    <row r="2153" spans="1:21" ht="12.75" hidden="1" customHeight="1" outlineLevel="1" x14ac:dyDescent="0.25">
      <c r="A2153" s="2380">
        <v>0.08</v>
      </c>
      <c r="B2153" s="1921" t="s">
        <v>9171</v>
      </c>
      <c r="C2153" s="2108">
        <v>19.686</v>
      </c>
      <c r="D2153" s="3196">
        <v>20.23</v>
      </c>
      <c r="E2153" s="3270">
        <v>2.7633851468048309E-2</v>
      </c>
      <c r="F2153" s="3007">
        <v>2.210708117443865E-3</v>
      </c>
      <c r="G2153" s="415"/>
      <c r="H2153" s="415" t="s">
        <v>9172</v>
      </c>
      <c r="J2153" s="434"/>
      <c r="U2153" s="434"/>
    </row>
    <row r="2154" spans="1:21" ht="12.75" hidden="1" customHeight="1" outlineLevel="1" x14ac:dyDescent="0.25">
      <c r="A2154" s="2380">
        <v>0.03</v>
      </c>
      <c r="B2154" s="1921" t="s">
        <v>3021</v>
      </c>
      <c r="C2154" s="2108">
        <v>16.492599999999999</v>
      </c>
      <c r="D2154" s="3196">
        <v>12.45</v>
      </c>
      <c r="E2154" s="3270">
        <v>-0.24511599141433127</v>
      </c>
      <c r="F2154" s="3007">
        <v>-7.3534797424299374E-3</v>
      </c>
      <c r="G2154" s="415"/>
      <c r="H2154" s="415" t="s">
        <v>4124</v>
      </c>
      <c r="J2154" s="434"/>
      <c r="U2154" s="434"/>
    </row>
    <row r="2155" spans="1:21" ht="12.75" hidden="1" customHeight="1" outlineLevel="1" x14ac:dyDescent="0.25">
      <c r="A2155" s="2380">
        <v>0.03</v>
      </c>
      <c r="B2155" s="1921" t="s">
        <v>7014</v>
      </c>
      <c r="C2155" s="2108">
        <v>17.734000000000002</v>
      </c>
      <c r="D2155" s="3196">
        <v>28.95</v>
      </c>
      <c r="E2155" s="3270">
        <v>0.63245742641254066</v>
      </c>
      <c r="F2155" s="3007">
        <v>1.8973722792376219E-2</v>
      </c>
      <c r="G2155" s="415"/>
      <c r="H2155" s="415" t="s">
        <v>7012</v>
      </c>
      <c r="J2155" s="434"/>
      <c r="U2155" s="434"/>
    </row>
    <row r="2156" spans="1:21" ht="12.75" hidden="1" customHeight="1" outlineLevel="1" x14ac:dyDescent="0.25">
      <c r="A2156" s="2380">
        <v>0.02</v>
      </c>
      <c r="B2156" s="1921" t="s">
        <v>4268</v>
      </c>
      <c r="C2156" s="2108">
        <v>20.318000000000001</v>
      </c>
      <c r="D2156" s="3196">
        <v>12.43</v>
      </c>
      <c r="E2156" s="3270">
        <v>-0.38822718771532638</v>
      </c>
      <c r="F2156" s="3007">
        <v>-7.7645437543065274E-3</v>
      </c>
      <c r="G2156" s="415"/>
      <c r="H2156" s="415" t="s">
        <v>8442</v>
      </c>
      <c r="J2156" s="434"/>
      <c r="U2156" s="434"/>
    </row>
    <row r="2157" spans="1:21" ht="12.75" hidden="1" customHeight="1" outlineLevel="1" x14ac:dyDescent="0.25">
      <c r="A2157" s="2380">
        <v>0.02</v>
      </c>
      <c r="B2157" s="1921" t="s">
        <v>9767</v>
      </c>
      <c r="C2157" s="2519">
        <v>21.876000000000001</v>
      </c>
      <c r="D2157" s="3196">
        <v>26.62</v>
      </c>
      <c r="E2157" s="3270">
        <v>0.21685865788992498</v>
      </c>
      <c r="F2157" s="3007">
        <v>4.3371731577984997E-3</v>
      </c>
      <c r="G2157" s="415"/>
      <c r="H2157" s="415" t="s">
        <v>9768</v>
      </c>
      <c r="J2157" s="434"/>
      <c r="U2157" s="434"/>
    </row>
    <row r="2158" spans="1:21" ht="12.75" hidden="1" customHeight="1" outlineLevel="1" x14ac:dyDescent="0.25">
      <c r="A2158" s="2380">
        <v>0.02</v>
      </c>
      <c r="B2158" s="1921" t="s">
        <v>3643</v>
      </c>
      <c r="C2158" s="2108">
        <v>143.28</v>
      </c>
      <c r="D2158" s="3196">
        <v>135.44</v>
      </c>
      <c r="E2158" s="3270">
        <v>-5.4718034617532108E-2</v>
      </c>
      <c r="F2158" s="3007">
        <v>-1.0943606923506423E-3</v>
      </c>
      <c r="G2158" s="415"/>
      <c r="H2158" s="415" t="s">
        <v>1729</v>
      </c>
      <c r="J2158" s="434"/>
      <c r="U2158" s="434"/>
    </row>
    <row r="2159" spans="1:21" ht="12.75" hidden="1" customHeight="1" outlineLevel="1" x14ac:dyDescent="0.25">
      <c r="A2159" s="2380">
        <v>0.08</v>
      </c>
      <c r="B2159" s="1921" t="s">
        <v>9011</v>
      </c>
      <c r="C2159" s="2108">
        <v>34.093000000000004</v>
      </c>
      <c r="D2159" s="3196">
        <v>21.18</v>
      </c>
      <c r="E2159" s="3270">
        <v>-0.37875810283635947</v>
      </c>
      <c r="F2159" s="3007">
        <v>-3.0300648226908759E-2</v>
      </c>
      <c r="G2159" s="415"/>
      <c r="H2159" s="415" t="s">
        <v>9012</v>
      </c>
      <c r="J2159" s="434"/>
      <c r="U2159" s="434"/>
    </row>
    <row r="2160" spans="1:21" ht="12.75" hidden="1" customHeight="1" outlineLevel="1" x14ac:dyDescent="0.25">
      <c r="A2160" s="2380">
        <v>0.03</v>
      </c>
      <c r="B2160" s="1921" t="s">
        <v>8527</v>
      </c>
      <c r="C2160" s="2108">
        <v>38.893999999999998</v>
      </c>
      <c r="D2160" s="3196">
        <v>33.72</v>
      </c>
      <c r="E2160" s="3270">
        <v>-0.13302823057541013</v>
      </c>
      <c r="F2160" s="3007">
        <v>-3.9908469172623036E-3</v>
      </c>
      <c r="G2160" s="415"/>
      <c r="H2160" s="415" t="s">
        <v>8516</v>
      </c>
      <c r="J2160" s="434"/>
      <c r="U2160" s="434"/>
    </row>
    <row r="2161" spans="1:21" ht="12.75" hidden="1" customHeight="1" outlineLevel="1" x14ac:dyDescent="0.25">
      <c r="A2161" s="2380">
        <v>0.02</v>
      </c>
      <c r="B2161" s="1921" t="s">
        <v>10734</v>
      </c>
      <c r="C2161" s="2108">
        <v>17.236499999999999</v>
      </c>
      <c r="D2161" s="3196">
        <v>15.845000000000001</v>
      </c>
      <c r="E2161" s="3270">
        <v>-8.072984654657267E-2</v>
      </c>
      <c r="F2161" s="3007">
        <v>-1.6145969309314535E-3</v>
      </c>
      <c r="G2161" s="415"/>
      <c r="H2161" s="415" t="s">
        <v>10735</v>
      </c>
      <c r="J2161" s="434"/>
      <c r="U2161" s="434"/>
    </row>
    <row r="2162" spans="1:21" ht="12.75" hidden="1" customHeight="1" outlineLevel="1" x14ac:dyDescent="0.25">
      <c r="A2162" s="2380">
        <v>0.02</v>
      </c>
      <c r="B2162" s="1921" t="s">
        <v>54</v>
      </c>
      <c r="C2162" s="2108">
        <v>16.723500000000001</v>
      </c>
      <c r="D2162" s="3196">
        <v>12.69</v>
      </c>
      <c r="E2162" s="3270">
        <v>-0.24118755045295548</v>
      </c>
      <c r="F2162" s="3007">
        <v>-4.8237510090591096E-3</v>
      </c>
      <c r="G2162" s="415"/>
      <c r="H2162" s="415" t="s">
        <v>6741</v>
      </c>
      <c r="J2162" s="434"/>
      <c r="U2162" s="434"/>
    </row>
    <row r="2163" spans="1:21" ht="12.75" hidden="1" customHeight="1" outlineLevel="1" x14ac:dyDescent="0.25">
      <c r="A2163" s="2380">
        <v>0.02</v>
      </c>
      <c r="B2163" s="1921" t="s">
        <v>3800</v>
      </c>
      <c r="C2163" s="2108">
        <v>224.22499999999999</v>
      </c>
      <c r="D2163" s="3196">
        <v>288.2</v>
      </c>
      <c r="E2163" s="3270">
        <v>0.28531608875013936</v>
      </c>
      <c r="F2163" s="3007">
        <v>5.7063217750027871E-3</v>
      </c>
      <c r="G2163" s="415"/>
      <c r="H2163" s="415" t="s">
        <v>8876</v>
      </c>
      <c r="J2163" s="434"/>
      <c r="U2163" s="434"/>
    </row>
    <row r="2164" spans="1:21" ht="12.75" hidden="1" customHeight="1" outlineLevel="1" x14ac:dyDescent="0.25">
      <c r="A2164" s="2380">
        <v>0.08</v>
      </c>
      <c r="B2164" s="1921" t="s">
        <v>6270</v>
      </c>
      <c r="C2164" s="2108">
        <v>41.179154633422783</v>
      </c>
      <c r="D2164" s="3196">
        <v>43.02</v>
      </c>
      <c r="E2164" s="3270">
        <v>4.4703330677000164E-2</v>
      </c>
      <c r="F2164" s="3007">
        <v>3.5762664541600132E-3</v>
      </c>
      <c r="G2164" s="415"/>
      <c r="H2164" s="415" t="s">
        <v>8166</v>
      </c>
      <c r="J2164" s="434"/>
      <c r="U2164" s="434"/>
    </row>
    <row r="2165" spans="1:21" ht="12.75" hidden="1" customHeight="1" outlineLevel="1" x14ac:dyDescent="0.25">
      <c r="A2165" s="2380">
        <v>0.02</v>
      </c>
      <c r="B2165" s="1921" t="s">
        <v>1187</v>
      </c>
      <c r="C2165" s="2108">
        <v>65.101844870402346</v>
      </c>
      <c r="D2165" s="3196">
        <v>94.88</v>
      </c>
      <c r="E2165" s="3270">
        <v>0.45740877526399992</v>
      </c>
      <c r="F2165" s="3007">
        <v>9.1481755052799981E-3</v>
      </c>
      <c r="G2165" s="415"/>
      <c r="H2165" s="415" t="s">
        <v>3483</v>
      </c>
      <c r="J2165" s="434"/>
      <c r="U2165" s="434"/>
    </row>
    <row r="2166" spans="1:21" ht="12.75" hidden="1" customHeight="1" outlineLevel="1" x14ac:dyDescent="0.25">
      <c r="A2166" s="2380">
        <v>0.03</v>
      </c>
      <c r="B2166" s="1921" t="s">
        <v>6116</v>
      </c>
      <c r="C2166" s="2108">
        <v>3.8439000000000001</v>
      </c>
      <c r="D2166" s="3196">
        <v>4.8899999999999997</v>
      </c>
      <c r="E2166" s="3270">
        <v>0.27214547724966809</v>
      </c>
      <c r="F2166" s="3007">
        <v>8.1643643174900415E-3</v>
      </c>
      <c r="G2166" s="415"/>
      <c r="H2166" s="415" t="s">
        <v>6114</v>
      </c>
      <c r="J2166" s="434"/>
      <c r="U2166" s="434"/>
    </row>
    <row r="2167" spans="1:21" ht="12.75" hidden="1" customHeight="1" outlineLevel="1" x14ac:dyDescent="0.25">
      <c r="A2167" s="2380">
        <v>0.02</v>
      </c>
      <c r="B2167" s="1921" t="s">
        <v>4228</v>
      </c>
      <c r="C2167" s="2108">
        <v>19.835750602699612</v>
      </c>
      <c r="D2167" s="3196">
        <v>27.54</v>
      </c>
      <c r="E2167" s="3270">
        <v>0.38840221132099995</v>
      </c>
      <c r="F2167" s="3007">
        <v>7.7680442264199991E-3</v>
      </c>
      <c r="G2167" s="415"/>
      <c r="H2167" s="415" t="s">
        <v>3994</v>
      </c>
      <c r="J2167" s="434"/>
      <c r="U2167" s="434"/>
    </row>
    <row r="2168" spans="1:21" ht="12.75" hidden="1" customHeight="1" outlineLevel="1" x14ac:dyDescent="0.25">
      <c r="A2168" s="2380">
        <v>0.02</v>
      </c>
      <c r="B2168" s="1921" t="s">
        <v>9173</v>
      </c>
      <c r="C2168" s="2108">
        <v>357.7</v>
      </c>
      <c r="D2168" s="3196">
        <v>526</v>
      </c>
      <c r="E2168" s="3270">
        <v>0.47050601062342756</v>
      </c>
      <c r="F2168" s="3007">
        <v>9.4101202124685507E-3</v>
      </c>
      <c r="G2168" s="415"/>
      <c r="H2168" s="415" t="s">
        <v>9174</v>
      </c>
      <c r="J2168" s="434"/>
      <c r="U2168" s="434"/>
    </row>
    <row r="2169" spans="1:21" ht="12.75" hidden="1" customHeight="1" outlineLevel="1" x14ac:dyDescent="0.25">
      <c r="A2169" s="2380">
        <v>7.0000000000000007E-2</v>
      </c>
      <c r="B2169" s="1921" t="s">
        <v>1239</v>
      </c>
      <c r="C2169" s="2108">
        <v>455.42</v>
      </c>
      <c r="D2169" s="3196">
        <v>576.79999999999995</v>
      </c>
      <c r="E2169" s="3270">
        <v>0.26652320934521967</v>
      </c>
      <c r="F2169" s="3007">
        <v>1.8656624654165378E-2</v>
      </c>
      <c r="G2169" s="415"/>
      <c r="H2169" s="415" t="s">
        <v>8891</v>
      </c>
      <c r="J2169" s="434"/>
      <c r="U2169" s="434"/>
    </row>
    <row r="2170" spans="1:21" ht="12.75" hidden="1" customHeight="1" outlineLevel="1" x14ac:dyDescent="0.25">
      <c r="A2170" s="2380">
        <v>0.02</v>
      </c>
      <c r="B2170" s="1921" t="s">
        <v>3383</v>
      </c>
      <c r="C2170" s="2108">
        <v>166.74265546332771</v>
      </c>
      <c r="D2170" s="3196">
        <v>114</v>
      </c>
      <c r="E2170" s="3270">
        <v>-0.31631171590000007</v>
      </c>
      <c r="F2170" s="3007">
        <v>-6.3262343180000014E-3</v>
      </c>
      <c r="G2170" s="415"/>
      <c r="H2170" s="415" t="s">
        <v>3789</v>
      </c>
      <c r="J2170" s="434"/>
      <c r="U2170" s="434"/>
    </row>
    <row r="2171" spans="1:21" ht="12.75" hidden="1" customHeight="1" outlineLevel="1" x14ac:dyDescent="0.25">
      <c r="A2171" s="2380">
        <v>0.06</v>
      </c>
      <c r="B2171" s="1921" t="s">
        <v>434</v>
      </c>
      <c r="C2171" s="2108">
        <v>43.457000000000001</v>
      </c>
      <c r="D2171" s="3196">
        <v>25.27</v>
      </c>
      <c r="E2171" s="3270">
        <v>-0.41850564926248934</v>
      </c>
      <c r="F2171" s="3007">
        <v>-2.5110338955749361E-2</v>
      </c>
      <c r="G2171" s="415"/>
      <c r="H2171" s="415" t="s">
        <v>7745</v>
      </c>
      <c r="J2171" s="434"/>
      <c r="U2171" s="434"/>
    </row>
    <row r="2172" spans="1:21" ht="12.75" hidden="1" customHeight="1" outlineLevel="1" x14ac:dyDescent="0.25">
      <c r="A2172" s="2380">
        <v>0.02</v>
      </c>
      <c r="B2172" s="1921" t="s">
        <v>3921</v>
      </c>
      <c r="C2172" s="2108">
        <v>4.8636999999999997</v>
      </c>
      <c r="D2172" s="3196">
        <v>7.8319999999999999</v>
      </c>
      <c r="E2172" s="3270">
        <v>0.61029668770688983</v>
      </c>
      <c r="F2172" s="3007">
        <v>1.2205933754137796E-2</v>
      </c>
      <c r="G2172" s="415"/>
      <c r="H2172" s="415" t="s">
        <v>3922</v>
      </c>
      <c r="J2172" s="434"/>
      <c r="U2172" s="434"/>
    </row>
    <row r="2173" spans="1:21" ht="12.75" hidden="1" customHeight="1" outlineLevel="1" x14ac:dyDescent="0.25">
      <c r="A2173" s="2380">
        <v>0.04</v>
      </c>
      <c r="B2173" s="1921" t="s">
        <v>10633</v>
      </c>
      <c r="C2173" s="2108">
        <v>53.524999999999999</v>
      </c>
      <c r="D2173" s="3196">
        <v>53.08</v>
      </c>
      <c r="E2173" s="3270">
        <v>-8.3138720224193996E-3</v>
      </c>
      <c r="F2173" s="3007">
        <v>-3.3255488089677598E-4</v>
      </c>
      <c r="G2173" s="415"/>
      <c r="H2173" s="415" t="s">
        <v>10634</v>
      </c>
      <c r="J2173" s="434"/>
      <c r="U2173" s="434"/>
    </row>
    <row r="2174" spans="1:21" ht="12.75" hidden="1" customHeight="1" outlineLevel="1" x14ac:dyDescent="0.25">
      <c r="A2174" s="2380">
        <v>0.03</v>
      </c>
      <c r="B2174" s="2109" t="s">
        <v>9301</v>
      </c>
      <c r="C2174" s="2108">
        <v>195.12</v>
      </c>
      <c r="D2174" s="3199">
        <v>49.68</v>
      </c>
      <c r="E2174" s="3270">
        <v>-0.74538745387453875</v>
      </c>
      <c r="F2174" s="3007">
        <v>-2.2361623616236163E-2</v>
      </c>
      <c r="G2174" s="415"/>
      <c r="H2174" s="415" t="s">
        <v>9302</v>
      </c>
      <c r="J2174" s="434"/>
      <c r="U2174" s="434"/>
    </row>
    <row r="2175" spans="1:21" ht="12.75" hidden="1" customHeight="1" outlineLevel="1" x14ac:dyDescent="0.25">
      <c r="A2175" s="2181" t="s">
        <v>2734</v>
      </c>
      <c r="B2175" s="2103"/>
      <c r="C2175" s="3200">
        <v>100</v>
      </c>
      <c r="D2175" s="3201"/>
      <c r="E2175" s="3202"/>
      <c r="F2175" s="3202">
        <v>-2.9499999999999998E-2</v>
      </c>
      <c r="G2175" s="415"/>
      <c r="H2175" s="415"/>
    </row>
    <row r="2176" spans="1:21" ht="12.75" hidden="1" customHeight="1" outlineLevel="1" x14ac:dyDescent="0.25">
      <c r="A2176" s="1956" t="s">
        <v>9283</v>
      </c>
      <c r="B2176" s="2185">
        <v>44713</v>
      </c>
      <c r="C2176" s="3203">
        <v>100</v>
      </c>
      <c r="D2176" s="3203">
        <v>95.160799999999995</v>
      </c>
      <c r="E2176" s="3204">
        <v>-4.8392000000000102E-2</v>
      </c>
      <c r="F2176" s="3151"/>
      <c r="G2176" s="415"/>
      <c r="H2176" s="415"/>
    </row>
    <row r="2177" spans="1:21" ht="12.75" hidden="1" customHeight="1" outlineLevel="1" x14ac:dyDescent="0.25">
      <c r="A2177" s="1956" t="s">
        <v>9284</v>
      </c>
      <c r="B2177" s="2185">
        <v>44743</v>
      </c>
      <c r="C2177" s="3203">
        <v>100</v>
      </c>
      <c r="D2177" s="3206">
        <v>95.7483</v>
      </c>
      <c r="E2177" s="3204">
        <v>-4.2517000000000027E-2</v>
      </c>
      <c r="F2177" s="3151"/>
      <c r="G2177" s="415"/>
      <c r="H2177" s="415"/>
    </row>
    <row r="2178" spans="1:21" ht="12.75" hidden="1" customHeight="1" outlineLevel="1" x14ac:dyDescent="0.25">
      <c r="A2178" s="1956" t="s">
        <v>9285</v>
      </c>
      <c r="B2178" s="2185">
        <v>44774</v>
      </c>
      <c r="C2178" s="3203">
        <v>100</v>
      </c>
      <c r="D2178" s="3206">
        <v>93.391099999999994</v>
      </c>
      <c r="E2178" s="3204">
        <v>-6.6089000000000064E-2</v>
      </c>
      <c r="F2178" s="3151"/>
      <c r="G2178" s="415"/>
      <c r="H2178" s="415"/>
    </row>
    <row r="2179" spans="1:21" ht="12.75" hidden="1" customHeight="1" outlineLevel="1" x14ac:dyDescent="0.25">
      <c r="A2179" s="1956" t="s">
        <v>9286</v>
      </c>
      <c r="B2179" s="2185">
        <v>44805</v>
      </c>
      <c r="C2179" s="3203">
        <v>100</v>
      </c>
      <c r="D2179" s="3206">
        <v>86.006500000000003</v>
      </c>
      <c r="E2179" s="3204">
        <v>-0.13993499999999992</v>
      </c>
      <c r="F2179" s="3151"/>
      <c r="G2179" s="415"/>
      <c r="H2179" s="415"/>
    </row>
    <row r="2180" spans="1:21" ht="12.75" hidden="1" customHeight="1" outlineLevel="1" x14ac:dyDescent="0.25">
      <c r="A2180" s="1956" t="s">
        <v>9287</v>
      </c>
      <c r="B2180" s="2185">
        <v>44835</v>
      </c>
      <c r="C2180" s="3203">
        <v>100</v>
      </c>
      <c r="D2180" s="3206">
        <v>92.415700000000001</v>
      </c>
      <c r="E2180" s="3204">
        <v>-7.5842999999999994E-2</v>
      </c>
      <c r="F2180" s="3151"/>
      <c r="G2180" s="415"/>
      <c r="H2180" s="415"/>
    </row>
    <row r="2181" spans="1:21" ht="12.75" hidden="1" customHeight="1" outlineLevel="1" x14ac:dyDescent="0.25">
      <c r="A2181" s="1956" t="s">
        <v>9288</v>
      </c>
      <c r="B2181" s="2185">
        <v>44866</v>
      </c>
      <c r="C2181" s="3203">
        <v>100</v>
      </c>
      <c r="D2181" s="3206">
        <v>96.607799999999997</v>
      </c>
      <c r="E2181" s="3204">
        <v>-3.3922000000000008E-2</v>
      </c>
      <c r="F2181" s="3151"/>
      <c r="G2181" s="415"/>
      <c r="H2181" s="415"/>
    </row>
    <row r="2182" spans="1:21" ht="12.75" hidden="1" customHeight="1" outlineLevel="1" x14ac:dyDescent="0.25">
      <c r="A2182" s="1956" t="s">
        <v>9289</v>
      </c>
      <c r="B2182" s="2185">
        <v>44896</v>
      </c>
      <c r="C2182" s="3203">
        <v>100</v>
      </c>
      <c r="D2182" s="3206">
        <v>93.497</v>
      </c>
      <c r="E2182" s="3204">
        <v>-6.5030000000000032E-2</v>
      </c>
      <c r="F2182" s="3151"/>
      <c r="G2182" s="415"/>
      <c r="H2182" s="415"/>
    </row>
    <row r="2183" spans="1:21" ht="12.75" hidden="1" customHeight="1" outlineLevel="1" x14ac:dyDescent="0.25">
      <c r="A2183" s="1956" t="s">
        <v>9290</v>
      </c>
      <c r="B2183" s="2185">
        <v>44927</v>
      </c>
      <c r="C2183" s="3203">
        <v>100</v>
      </c>
      <c r="D2183" s="3206">
        <v>98.100899999999996</v>
      </c>
      <c r="E2183" s="3204">
        <v>-1.8991000000000091E-2</v>
      </c>
      <c r="F2183" s="3151"/>
      <c r="G2183" s="415"/>
      <c r="H2183" s="415"/>
    </row>
    <row r="2184" spans="1:21" ht="12.75" hidden="1" customHeight="1" outlineLevel="1" x14ac:dyDescent="0.25">
      <c r="A2184" s="1956" t="s">
        <v>9291</v>
      </c>
      <c r="B2184" s="2185">
        <v>44958</v>
      </c>
      <c r="C2184" s="3203">
        <v>100</v>
      </c>
      <c r="D2184" s="3206">
        <v>98.971000000000004</v>
      </c>
      <c r="E2184" s="3204">
        <v>-1.028999999999991E-2</v>
      </c>
      <c r="F2184" s="3151"/>
      <c r="G2184" s="415"/>
      <c r="H2184" s="415"/>
    </row>
    <row r="2185" spans="1:21" ht="12.75" hidden="1" customHeight="1" outlineLevel="1" x14ac:dyDescent="0.25">
      <c r="A2185" s="1956" t="s">
        <v>9292</v>
      </c>
      <c r="B2185" s="2185">
        <v>44986</v>
      </c>
      <c r="C2185" s="3203">
        <v>100</v>
      </c>
      <c r="D2185" s="3206">
        <v>98.597099999999998</v>
      </c>
      <c r="E2185" s="3204">
        <v>-1.4029000000000069E-2</v>
      </c>
      <c r="F2185" s="3151"/>
      <c r="G2185" s="415"/>
      <c r="H2185" s="415"/>
    </row>
    <row r="2186" spans="1:21" ht="12.75" hidden="1" customHeight="1" outlineLevel="1" x14ac:dyDescent="0.25">
      <c r="A2186" s="1956" t="s">
        <v>9293</v>
      </c>
      <c r="B2186" s="2185">
        <v>45017</v>
      </c>
      <c r="C2186" s="3203">
        <v>100</v>
      </c>
      <c r="D2186" s="3206">
        <v>102.437</v>
      </c>
      <c r="E2186" s="3204">
        <v>2.4370000000000003E-2</v>
      </c>
      <c r="F2186" s="3151"/>
      <c r="G2186" s="415"/>
      <c r="H2186" s="415"/>
    </row>
    <row r="2187" spans="1:21" ht="12.75" hidden="1" customHeight="1" outlineLevel="1" x14ac:dyDescent="0.25">
      <c r="A2187" s="1956" t="s">
        <v>9294</v>
      </c>
      <c r="B2187" s="2185">
        <v>45047</v>
      </c>
      <c r="C2187" s="3203">
        <v>100</v>
      </c>
      <c r="D2187" s="3206">
        <v>97.052899999999994</v>
      </c>
      <c r="E2187" s="3204">
        <v>-2.9471000000000025E-2</v>
      </c>
      <c r="F2187" s="3151"/>
      <c r="G2187" s="415"/>
      <c r="H2187" s="415"/>
    </row>
    <row r="2188" spans="1:21" ht="12.75" hidden="1" customHeight="1" outlineLevel="1" x14ac:dyDescent="0.25">
      <c r="A2188" s="2189" t="s">
        <v>2734</v>
      </c>
      <c r="B2188" s="2190"/>
      <c r="C2188" s="3206"/>
      <c r="D2188" s="2191" t="s">
        <v>2465</v>
      </c>
      <c r="E2188" s="1987">
        <v>-4.3344916666666684E-2</v>
      </c>
      <c r="F2188" s="2528">
        <v>1.925808333333336E-2</v>
      </c>
      <c r="G2188" s="415"/>
      <c r="H2188" s="415"/>
    </row>
    <row r="2189" spans="1:21" collapsed="1" x14ac:dyDescent="0.25">
      <c r="A2189" s="3801" t="s">
        <v>9282</v>
      </c>
      <c r="B2189" s="3802"/>
      <c r="C2189" s="3802"/>
      <c r="D2189" s="3802"/>
      <c r="E2189" s="1906"/>
      <c r="F2189" s="1907">
        <v>1.925808333333336E-2</v>
      </c>
      <c r="G2189" s="415"/>
    </row>
    <row r="2191" spans="1:21" ht="12.75" hidden="1" customHeight="1" outlineLevel="1" x14ac:dyDescent="0.25">
      <c r="A2191" s="3180" t="s">
        <v>4156</v>
      </c>
      <c r="B2191" s="3180" t="s">
        <v>4153</v>
      </c>
      <c r="C2191" s="3647" t="s">
        <v>112</v>
      </c>
      <c r="D2191" s="3192" t="s">
        <v>4155</v>
      </c>
      <c r="E2191" s="3180" t="s">
        <v>4154</v>
      </c>
      <c r="F2191" s="3192" t="s">
        <v>2519</v>
      </c>
      <c r="G2191" s="12"/>
      <c r="H2191" s="415"/>
      <c r="I2191" s="412" t="s">
        <v>6964</v>
      </c>
      <c r="J2191" s="1462">
        <v>43282</v>
      </c>
      <c r="K2191" s="1462">
        <v>43313</v>
      </c>
      <c r="L2191" s="1462">
        <v>43344</v>
      </c>
      <c r="M2191" s="1462">
        <v>43374</v>
      </c>
      <c r="N2191" s="1462">
        <v>43405</v>
      </c>
      <c r="O2191" s="1462">
        <v>43435</v>
      </c>
      <c r="P2191" s="1462">
        <v>43466</v>
      </c>
      <c r="Q2191" s="1462">
        <v>43497</v>
      </c>
      <c r="R2191" s="1462">
        <v>43525</v>
      </c>
    </row>
    <row r="2192" spans="1:21" ht="12.75" hidden="1" customHeight="1" outlineLevel="1" x14ac:dyDescent="0.25">
      <c r="A2192" s="1991">
        <v>0.02</v>
      </c>
      <c r="B2192" s="1921" t="s">
        <v>9297</v>
      </c>
      <c r="C2192" s="2108">
        <v>22.751000000000001</v>
      </c>
      <c r="D2192" s="3194">
        <v>14.23</v>
      </c>
      <c r="E2192" s="3269">
        <v>-0.3745329875609863</v>
      </c>
      <c r="F2192" s="3004">
        <v>-7.4906597512197264E-3</v>
      </c>
      <c r="G2192" s="415"/>
      <c r="H2192" s="415" t="s">
        <v>9298</v>
      </c>
      <c r="I2192" s="412">
        <v>97.643600000000006</v>
      </c>
      <c r="J2192">
        <v>99.110299999999995</v>
      </c>
      <c r="K2192">
        <v>102.83710000000001</v>
      </c>
      <c r="L2192">
        <v>101.5852</v>
      </c>
      <c r="M2192">
        <v>103.54770000000001</v>
      </c>
      <c r="N2192">
        <v>100.3349</v>
      </c>
      <c r="O2192">
        <v>102.38339999999999</v>
      </c>
      <c r="P2192">
        <v>97.643600000000006</v>
      </c>
      <c r="Q2192">
        <v>103.04949999999999</v>
      </c>
      <c r="U2192" s="434"/>
    </row>
    <row r="2193" spans="1:21" ht="12.75" hidden="1" customHeight="1" outlineLevel="1" x14ac:dyDescent="0.25">
      <c r="A2193" s="2380">
        <v>0.03</v>
      </c>
      <c r="B2193" s="1921" t="s">
        <v>2697</v>
      </c>
      <c r="C2193" s="2108">
        <v>14.531000000000001</v>
      </c>
      <c r="D2193" s="3196">
        <v>18.62</v>
      </c>
      <c r="E2193" s="3270">
        <v>0.28139838964971453</v>
      </c>
      <c r="F2193" s="3007">
        <v>8.4419516894914358E-3</v>
      </c>
      <c r="G2193" s="415"/>
      <c r="H2193" s="415" t="s">
        <v>329</v>
      </c>
      <c r="I2193" s="422">
        <v>5.0826916666666618E-2</v>
      </c>
      <c r="U2193" s="434"/>
    </row>
    <row r="2194" spans="1:21" ht="12.75" hidden="1" customHeight="1" outlineLevel="1" x14ac:dyDescent="0.25">
      <c r="A2194" s="2380">
        <v>0.03</v>
      </c>
      <c r="B2194" s="1921" t="s">
        <v>218</v>
      </c>
      <c r="C2194" s="2108">
        <v>21.72</v>
      </c>
      <c r="D2194" s="3196">
        <v>27.024999999999999</v>
      </c>
      <c r="E2194" s="3270">
        <v>0.24424493554327809</v>
      </c>
      <c r="F2194" s="3007">
        <v>7.3273480662983427E-3</v>
      </c>
      <c r="G2194" s="415"/>
      <c r="H2194" s="415" t="s">
        <v>656</v>
      </c>
      <c r="J2194" s="434"/>
      <c r="U2194" s="434"/>
    </row>
    <row r="2195" spans="1:21" ht="12.75" hidden="1" customHeight="1" outlineLevel="1" x14ac:dyDescent="0.25">
      <c r="A2195" s="2380">
        <v>0.02</v>
      </c>
      <c r="B2195" s="1921" t="s">
        <v>9299</v>
      </c>
      <c r="C2195" s="2108">
        <v>284.23118767920334</v>
      </c>
      <c r="D2195" s="3196">
        <v>311.55</v>
      </c>
      <c r="E2195" s="3270">
        <v>9.6114759762500057E-2</v>
      </c>
      <c r="F2195" s="3007">
        <v>1.9222951952500011E-3</v>
      </c>
      <c r="G2195" s="415"/>
      <c r="H2195" s="415" t="s">
        <v>9300</v>
      </c>
      <c r="J2195" s="434"/>
      <c r="K2195" s="37"/>
      <c r="U2195" s="434"/>
    </row>
    <row r="2196" spans="1:21" ht="12.75" hidden="1" customHeight="1" outlineLevel="1" x14ac:dyDescent="0.25">
      <c r="A2196" s="2380">
        <v>0.02</v>
      </c>
      <c r="B2196" s="1921" t="s">
        <v>10672</v>
      </c>
      <c r="C2196" s="2108">
        <v>51.510002856229661</v>
      </c>
      <c r="D2196" s="3196">
        <v>73.67</v>
      </c>
      <c r="E2196" s="3270">
        <v>0.43020764735000006</v>
      </c>
      <c r="F2196" s="3007">
        <v>8.6041529470000013E-3</v>
      </c>
      <c r="G2196" s="415"/>
      <c r="H2196" s="415" t="s">
        <v>10674</v>
      </c>
      <c r="J2196" s="434"/>
      <c r="U2196" s="434"/>
    </row>
    <row r="2197" spans="1:21" ht="12.75" hidden="1" customHeight="1" outlineLevel="1" x14ac:dyDescent="0.25">
      <c r="A2197" s="2380">
        <v>0.08</v>
      </c>
      <c r="B2197" s="1921" t="s">
        <v>6267</v>
      </c>
      <c r="C2197" s="2108">
        <v>24.32</v>
      </c>
      <c r="D2197" s="3196">
        <v>18</v>
      </c>
      <c r="E2197" s="3270">
        <v>-0.25986842105263164</v>
      </c>
      <c r="F2197" s="3007">
        <v>-2.0789473684210531E-2</v>
      </c>
      <c r="G2197" s="415"/>
      <c r="H2197" s="415" t="s">
        <v>6268</v>
      </c>
      <c r="J2197" s="434"/>
      <c r="U2197" s="434"/>
    </row>
    <row r="2198" spans="1:21" ht="12.75" hidden="1" customHeight="1" outlineLevel="1" x14ac:dyDescent="0.25">
      <c r="A2198" s="2380">
        <v>0.04</v>
      </c>
      <c r="B2198" s="1921" t="s">
        <v>9171</v>
      </c>
      <c r="C2198" s="2108">
        <v>19.305</v>
      </c>
      <c r="D2198" s="3196">
        <v>19.649999999999999</v>
      </c>
      <c r="E2198" s="3270">
        <v>1.7871017871017747E-2</v>
      </c>
      <c r="F2198" s="3007">
        <v>7.1484071484070985E-4</v>
      </c>
      <c r="G2198" s="415"/>
      <c r="H2198" s="415" t="s">
        <v>9172</v>
      </c>
      <c r="J2198" s="434"/>
      <c r="U2198" s="434"/>
    </row>
    <row r="2199" spans="1:21" ht="12.75" hidden="1" customHeight="1" outlineLevel="1" x14ac:dyDescent="0.25">
      <c r="A2199" s="2380">
        <v>0.03</v>
      </c>
      <c r="B2199" s="1921" t="s">
        <v>3021</v>
      </c>
      <c r="C2199" s="2108">
        <v>15.5434</v>
      </c>
      <c r="D2199" s="3196">
        <v>13.182</v>
      </c>
      <c r="E2199" s="3270">
        <v>-0.1519230026892443</v>
      </c>
      <c r="F2199" s="3007">
        <v>-4.5576900806773291E-3</v>
      </c>
      <c r="G2199" s="415"/>
      <c r="H2199" s="415" t="s">
        <v>4124</v>
      </c>
      <c r="J2199" s="434"/>
      <c r="U2199" s="434"/>
    </row>
    <row r="2200" spans="1:21" ht="12.75" hidden="1" customHeight="1" outlineLevel="1" x14ac:dyDescent="0.25">
      <c r="A2200" s="2380">
        <v>0.02</v>
      </c>
      <c r="B2200" s="1921" t="s">
        <v>7014</v>
      </c>
      <c r="C2200" s="2108">
        <v>18.331499999999998</v>
      </c>
      <c r="D2200" s="3196">
        <v>28.97</v>
      </c>
      <c r="E2200" s="3270">
        <v>0.58033985216703488</v>
      </c>
      <c r="F2200" s="3007">
        <v>1.1606797043340698E-2</v>
      </c>
      <c r="G2200" s="415"/>
      <c r="H2200" s="415" t="s">
        <v>7012</v>
      </c>
      <c r="J2200" s="434"/>
      <c r="U2200" s="434"/>
    </row>
    <row r="2201" spans="1:21" ht="12.75" hidden="1" customHeight="1" outlineLevel="1" x14ac:dyDescent="0.25">
      <c r="A2201" s="2380">
        <v>0.03</v>
      </c>
      <c r="B2201" s="1921" t="s">
        <v>4268</v>
      </c>
      <c r="C2201" s="2108">
        <v>20.126999999999999</v>
      </c>
      <c r="D2201" s="3196">
        <v>12.265000000000001</v>
      </c>
      <c r="E2201" s="3270">
        <v>-0.39061956575744017</v>
      </c>
      <c r="F2201" s="3007">
        <v>-1.1718586972723205E-2</v>
      </c>
      <c r="G2201" s="415"/>
      <c r="H2201" s="415" t="s">
        <v>8442</v>
      </c>
      <c r="J2201" s="434"/>
      <c r="U2201" s="434"/>
    </row>
    <row r="2202" spans="1:21" ht="12.75" hidden="1" customHeight="1" outlineLevel="1" x14ac:dyDescent="0.25">
      <c r="A2202" s="2380">
        <v>0.05</v>
      </c>
      <c r="B2202" s="1921" t="s">
        <v>3643</v>
      </c>
      <c r="C2202" s="2108">
        <v>137.53800000000001</v>
      </c>
      <c r="D2202" s="3196">
        <v>185.18</v>
      </c>
      <c r="E2202" s="3270">
        <v>0.34639154270092631</v>
      </c>
      <c r="F2202" s="3007">
        <v>1.7319577135046317E-2</v>
      </c>
      <c r="G2202" s="415"/>
      <c r="H2202" s="415" t="s">
        <v>1729</v>
      </c>
      <c r="J2202" s="434"/>
      <c r="U2202" s="434"/>
    </row>
    <row r="2203" spans="1:21" ht="12.75" hidden="1" customHeight="1" outlineLevel="1" x14ac:dyDescent="0.25">
      <c r="A2203" s="2380">
        <v>0.02</v>
      </c>
      <c r="B2203" s="1921" t="s">
        <v>1031</v>
      </c>
      <c r="C2203" s="2108">
        <v>6.5392000000000001</v>
      </c>
      <c r="D2203" s="3196">
        <v>11.95</v>
      </c>
      <c r="E2203" s="3270">
        <v>0.82744066552483475</v>
      </c>
      <c r="F2203" s="3007">
        <v>1.6548813310496697E-2</v>
      </c>
      <c r="G2203" s="415"/>
      <c r="H2203" s="415" t="s">
        <v>7872</v>
      </c>
      <c r="J2203" s="434"/>
      <c r="U2203" s="434"/>
    </row>
    <row r="2204" spans="1:21" ht="12.75" hidden="1" customHeight="1" outlineLevel="1" x14ac:dyDescent="0.25">
      <c r="A2204" s="2380">
        <v>0.02</v>
      </c>
      <c r="B2204" s="1921" t="s">
        <v>44</v>
      </c>
      <c r="C2204" s="2519">
        <v>2.5522999999999998</v>
      </c>
      <c r="D2204" s="3196">
        <v>2.4</v>
      </c>
      <c r="E2204" s="3270">
        <v>-5.9671668690984614E-2</v>
      </c>
      <c r="F2204" s="3007">
        <v>-1.1934333738196923E-3</v>
      </c>
      <c r="G2204" s="415"/>
      <c r="H2204" s="415" t="s">
        <v>204</v>
      </c>
      <c r="J2204" s="434"/>
      <c r="U2204" s="434"/>
    </row>
    <row r="2205" spans="1:21" ht="12.75" hidden="1" customHeight="1" outlineLevel="1" x14ac:dyDescent="0.25">
      <c r="A2205" s="2380">
        <v>0.03</v>
      </c>
      <c r="B2205" s="1921" t="s">
        <v>9011</v>
      </c>
      <c r="C2205" s="2108">
        <v>33.35</v>
      </c>
      <c r="D2205" s="3196">
        <v>22.72</v>
      </c>
      <c r="E2205" s="3270">
        <v>-0.31874062968515748</v>
      </c>
      <c r="F2205" s="3007">
        <v>-9.5622188905547245E-3</v>
      </c>
      <c r="G2205" s="415"/>
      <c r="H2205" s="415" t="s">
        <v>9012</v>
      </c>
      <c r="J2205" s="434"/>
      <c r="U2205" s="434"/>
    </row>
    <row r="2206" spans="1:21" ht="12.75" hidden="1" customHeight="1" outlineLevel="1" x14ac:dyDescent="0.25">
      <c r="A2206" s="2380">
        <v>0.02</v>
      </c>
      <c r="B2206" s="1921" t="s">
        <v>8527</v>
      </c>
      <c r="C2206" s="2108">
        <v>36.481999999999999</v>
      </c>
      <c r="D2206" s="3196">
        <v>33.909999999999997</v>
      </c>
      <c r="E2206" s="3270">
        <v>-7.0500520804780531E-2</v>
      </c>
      <c r="F2206" s="3007">
        <v>-1.4100104160956106E-3</v>
      </c>
      <c r="G2206" s="415"/>
      <c r="H2206" s="415" t="s">
        <v>8516</v>
      </c>
      <c r="J2206" s="434"/>
      <c r="U2206" s="434"/>
    </row>
    <row r="2207" spans="1:21" ht="12.75" hidden="1" customHeight="1" outlineLevel="1" x14ac:dyDescent="0.25">
      <c r="A2207" s="2380">
        <v>0.02</v>
      </c>
      <c r="B2207" s="1921" t="s">
        <v>10734</v>
      </c>
      <c r="C2207" s="2108">
        <v>17.718499999999999</v>
      </c>
      <c r="D2207" s="3196">
        <v>15.385</v>
      </c>
      <c r="E2207" s="3270">
        <v>-0.13169850720997822</v>
      </c>
      <c r="F2207" s="3007">
        <v>-2.6339701441995644E-3</v>
      </c>
      <c r="G2207" s="415"/>
      <c r="H2207" s="415" t="s">
        <v>10735</v>
      </c>
      <c r="J2207" s="434"/>
      <c r="U2207" s="434"/>
    </row>
    <row r="2208" spans="1:21" ht="12.75" hidden="1" customHeight="1" outlineLevel="1" x14ac:dyDescent="0.25">
      <c r="A2208" s="2380">
        <v>0.02</v>
      </c>
      <c r="B2208" s="1921" t="s">
        <v>54</v>
      </c>
      <c r="C2208" s="2108">
        <v>16.968499999999999</v>
      </c>
      <c r="D2208" s="3196">
        <v>13.33</v>
      </c>
      <c r="E2208" s="3270">
        <v>-0.21442673188555261</v>
      </c>
      <c r="F2208" s="3007">
        <v>-4.2885346377110525E-3</v>
      </c>
      <c r="G2208" s="415"/>
      <c r="H2208" s="415" t="s">
        <v>6741</v>
      </c>
      <c r="J2208" s="434"/>
      <c r="U2208" s="434"/>
    </row>
    <row r="2209" spans="1:21" ht="12.75" hidden="1" customHeight="1" outlineLevel="1" x14ac:dyDescent="0.25">
      <c r="A2209" s="2380">
        <v>0.08</v>
      </c>
      <c r="B2209" s="1921" t="s">
        <v>3800</v>
      </c>
      <c r="C2209" s="2108">
        <v>210.72499999999999</v>
      </c>
      <c r="D2209" s="3196">
        <v>273.5</v>
      </c>
      <c r="E2209" s="3270">
        <v>0.29790010677423195</v>
      </c>
      <c r="F2209" s="3007">
        <v>2.3832008541938558E-2</v>
      </c>
      <c r="G2209" s="415"/>
      <c r="H2209" s="415" t="s">
        <v>8876</v>
      </c>
      <c r="J2209" s="434"/>
      <c r="U2209" s="434"/>
    </row>
    <row r="2210" spans="1:21" ht="12.75" hidden="1" customHeight="1" outlineLevel="1" x14ac:dyDescent="0.25">
      <c r="A2210" s="2380">
        <v>0.06</v>
      </c>
      <c r="B2210" s="1921" t="s">
        <v>6270</v>
      </c>
      <c r="C2210" s="2108">
        <v>39.420326386860154</v>
      </c>
      <c r="D2210" s="3196">
        <v>41.12</v>
      </c>
      <c r="E2210" s="3270">
        <v>4.3116680375999916E-2</v>
      </c>
      <c r="F2210" s="3007">
        <v>2.5870008225599948E-3</v>
      </c>
      <c r="G2210" s="415"/>
      <c r="H2210" s="415" t="s">
        <v>8166</v>
      </c>
      <c r="J2210" s="434"/>
      <c r="U2210" s="434"/>
    </row>
    <row r="2211" spans="1:21" ht="12.75" hidden="1" customHeight="1" outlineLevel="1" x14ac:dyDescent="0.25">
      <c r="A2211" s="2380">
        <v>0.02</v>
      </c>
      <c r="B2211" s="1921" t="s">
        <v>1187</v>
      </c>
      <c r="C2211" s="2108">
        <v>66.790620484964492</v>
      </c>
      <c r="D2211" s="3196">
        <v>98.2</v>
      </c>
      <c r="E2211" s="3270">
        <v>0.47026632312999994</v>
      </c>
      <c r="F2211" s="3007">
        <v>9.4053264625999985E-3</v>
      </c>
      <c r="G2211" s="415"/>
      <c r="H2211" s="415" t="s">
        <v>3483</v>
      </c>
      <c r="J2211" s="434"/>
      <c r="U2211" s="434"/>
    </row>
    <row r="2212" spans="1:21" ht="12.75" hidden="1" customHeight="1" outlineLevel="1" x14ac:dyDescent="0.25">
      <c r="A2212" s="2380">
        <v>0.02</v>
      </c>
      <c r="B2212" s="1921" t="s">
        <v>6524</v>
      </c>
      <c r="C2212" s="2108">
        <v>81.461655735931259</v>
      </c>
      <c r="D2212" s="3196">
        <v>119.15</v>
      </c>
      <c r="E2212" s="3270">
        <v>0.46265134097249994</v>
      </c>
      <c r="F2212" s="3007">
        <v>9.2530268194499984E-3</v>
      </c>
      <c r="G2212" s="415"/>
      <c r="H2212" s="415" t="s">
        <v>6525</v>
      </c>
      <c r="J2212" s="434"/>
      <c r="U2212" s="434"/>
    </row>
    <row r="2213" spans="1:21" ht="12.75" hidden="1" customHeight="1" outlineLevel="1" x14ac:dyDescent="0.25">
      <c r="A2213" s="2380">
        <v>0.05</v>
      </c>
      <c r="B2213" s="1921" t="s">
        <v>6116</v>
      </c>
      <c r="C2213" s="2108">
        <v>3.5404</v>
      </c>
      <c r="D2213" s="3196">
        <v>4.7869999999999999</v>
      </c>
      <c r="E2213" s="3270">
        <v>0.35210710654163369</v>
      </c>
      <c r="F2213" s="3007">
        <v>1.7605355327081684E-2</v>
      </c>
      <c r="G2213" s="415"/>
      <c r="H2213" s="415" t="s">
        <v>6114</v>
      </c>
      <c r="J2213" s="434"/>
      <c r="U2213" s="434"/>
    </row>
    <row r="2214" spans="1:21" ht="12.75" hidden="1" customHeight="1" outlineLevel="1" x14ac:dyDescent="0.25">
      <c r="A2214" s="2380">
        <v>0.02</v>
      </c>
      <c r="B2214" s="1921" t="s">
        <v>6527</v>
      </c>
      <c r="C2214" s="2108">
        <v>93.611237575992604</v>
      </c>
      <c r="D2214" s="3196">
        <v>90.34</v>
      </c>
      <c r="E2214" s="3270">
        <v>-3.4944923928999949E-2</v>
      </c>
      <c r="F2214" s="3007">
        <v>-6.9889847857999897E-4</v>
      </c>
      <c r="G2214" s="415"/>
      <c r="H2214" s="415" t="s">
        <v>6528</v>
      </c>
      <c r="J2214" s="434"/>
      <c r="U2214" s="434"/>
    </row>
    <row r="2215" spans="1:21" ht="12.75" hidden="1" customHeight="1" outlineLevel="1" x14ac:dyDescent="0.25">
      <c r="A2215" s="2380">
        <v>0.05</v>
      </c>
      <c r="B2215" s="1921" t="s">
        <v>1724</v>
      </c>
      <c r="C2215" s="2108">
        <v>185.69984680839698</v>
      </c>
      <c r="D2215" s="3196">
        <v>181.85</v>
      </c>
      <c r="E2215" s="3270">
        <v>-2.0731556189000133E-2</v>
      </c>
      <c r="F2215" s="3007">
        <v>-1.0365778094500067E-3</v>
      </c>
      <c r="G2215" s="415"/>
      <c r="H2215" s="415" t="s">
        <v>1725</v>
      </c>
      <c r="J2215" s="434"/>
      <c r="U2215" s="434"/>
    </row>
    <row r="2216" spans="1:21" ht="12.75" hidden="1" customHeight="1" outlineLevel="1" x14ac:dyDescent="0.25">
      <c r="A2216" s="2380">
        <v>0.02</v>
      </c>
      <c r="B2216" s="1921" t="s">
        <v>9173</v>
      </c>
      <c r="C2216" s="2108">
        <v>345.8</v>
      </c>
      <c r="D2216" s="3196">
        <v>523</v>
      </c>
      <c r="E2216" s="3270">
        <v>0.51243493348756508</v>
      </c>
      <c r="F2216" s="3007">
        <v>1.0248698669751302E-2</v>
      </c>
      <c r="G2216" s="415"/>
      <c r="H2216" s="415" t="s">
        <v>9174</v>
      </c>
      <c r="J2216" s="434"/>
      <c r="U2216" s="434"/>
    </row>
    <row r="2217" spans="1:21" ht="12.75" hidden="1" customHeight="1" outlineLevel="1" x14ac:dyDescent="0.25">
      <c r="A2217" s="2380">
        <v>0.05</v>
      </c>
      <c r="B2217" s="1921" t="s">
        <v>6118</v>
      </c>
      <c r="C2217" s="2108">
        <v>87.736000000000004</v>
      </c>
      <c r="D2217" s="3196">
        <v>90.04</v>
      </c>
      <c r="E2217" s="3270">
        <v>2.6260599981763555E-2</v>
      </c>
      <c r="F2217" s="3007">
        <v>1.3130299990881779E-3</v>
      </c>
      <c r="G2217" s="415"/>
      <c r="H2217" s="415" t="s">
        <v>8893</v>
      </c>
      <c r="J2217" s="434"/>
      <c r="U2217" s="434"/>
    </row>
    <row r="2218" spans="1:21" ht="12.75" hidden="1" customHeight="1" outlineLevel="1" x14ac:dyDescent="0.25">
      <c r="A2218" s="2380">
        <v>7.0000000000000007E-2</v>
      </c>
      <c r="B2218" s="1921" t="s">
        <v>434</v>
      </c>
      <c r="C2218" s="2108">
        <v>42.359000000000002</v>
      </c>
      <c r="D2218" s="3196">
        <v>23.65</v>
      </c>
      <c r="E2218" s="3270">
        <v>-0.44167709341580308</v>
      </c>
      <c r="F2218" s="3007">
        <v>-3.0917396539106218E-2</v>
      </c>
      <c r="G2218" s="415"/>
      <c r="H2218" s="415" t="s">
        <v>7745</v>
      </c>
      <c r="J2218" s="434"/>
      <c r="U2218" s="434"/>
    </row>
    <row r="2219" spans="1:21" ht="12.75" hidden="1" customHeight="1" outlineLevel="1" x14ac:dyDescent="0.25">
      <c r="A2219" s="2380">
        <v>0.02</v>
      </c>
      <c r="B2219" s="1921" t="s">
        <v>10633</v>
      </c>
      <c r="C2219" s="2108">
        <v>52.412999999999997</v>
      </c>
      <c r="D2219" s="3196">
        <v>52.55</v>
      </c>
      <c r="E2219" s="3270">
        <v>2.6138553412320409E-3</v>
      </c>
      <c r="F2219" s="3007">
        <v>5.2277106824640816E-5</v>
      </c>
      <c r="G2219" s="415"/>
      <c r="H2219" s="415" t="s">
        <v>10634</v>
      </c>
      <c r="J2219" s="434"/>
      <c r="U2219" s="434"/>
    </row>
    <row r="2220" spans="1:21" ht="12.75" hidden="1" customHeight="1" outlineLevel="1" x14ac:dyDescent="0.25">
      <c r="A2220" s="2380">
        <v>0.02</v>
      </c>
      <c r="B2220" s="1921" t="s">
        <v>9301</v>
      </c>
      <c r="C2220" s="2108">
        <v>190.995</v>
      </c>
      <c r="D2220" s="3196">
        <v>49.68</v>
      </c>
      <c r="E2220" s="3270">
        <v>-0.7398884787559884</v>
      </c>
      <c r="F2220" s="3007">
        <v>-1.4797769575119768E-2</v>
      </c>
      <c r="G2220" s="415"/>
      <c r="H2220" s="415" t="s">
        <v>9302</v>
      </c>
      <c r="J2220" s="434"/>
      <c r="U2220" s="434"/>
    </row>
    <row r="2221" spans="1:21" ht="12.75" hidden="1" customHeight="1" outlineLevel="1" x14ac:dyDescent="0.25">
      <c r="A2221" s="2380">
        <v>0.02</v>
      </c>
      <c r="B2221" s="2109" t="s">
        <v>4550</v>
      </c>
      <c r="C2221" s="2108">
        <v>297.56</v>
      </c>
      <c r="D2221" s="3199">
        <v>424.9</v>
      </c>
      <c r="E2221" s="3270">
        <v>0.42794730474526133</v>
      </c>
      <c r="F2221" s="3007">
        <v>8.5589460949052273E-3</v>
      </c>
      <c r="G2221" s="415"/>
      <c r="H2221" s="415" t="s">
        <v>8889</v>
      </c>
      <c r="J2221" s="434"/>
      <c r="U2221" s="434"/>
    </row>
    <row r="2222" spans="1:21" ht="12.75" hidden="1" customHeight="1" outlineLevel="1" x14ac:dyDescent="0.25">
      <c r="A2222" s="2181" t="s">
        <v>2734</v>
      </c>
      <c r="B2222" s="2103"/>
      <c r="C2222" s="3200">
        <v>100</v>
      </c>
      <c r="D2222" s="3201"/>
      <c r="E2222" s="3202"/>
      <c r="F2222" s="3202">
        <v>4.6800000000000001E-2</v>
      </c>
      <c r="G2222" s="415"/>
      <c r="H2222" s="415"/>
    </row>
    <row r="2223" spans="1:21" ht="12.75" hidden="1" customHeight="1" outlineLevel="1" x14ac:dyDescent="0.25">
      <c r="A2223" s="1956" t="s">
        <v>9306</v>
      </c>
      <c r="B2223" s="2185">
        <v>44743</v>
      </c>
      <c r="C2223" s="3203">
        <v>100</v>
      </c>
      <c r="D2223" s="3203">
        <v>100.72450000000001</v>
      </c>
      <c r="E2223" s="3204">
        <v>7.245000000000168E-3</v>
      </c>
      <c r="F2223" s="3151"/>
      <c r="G2223" s="415"/>
      <c r="H2223" s="415"/>
    </row>
    <row r="2224" spans="1:21" ht="12.75" hidden="1" customHeight="1" outlineLevel="1" x14ac:dyDescent="0.25">
      <c r="A2224" s="1956" t="s">
        <v>9307</v>
      </c>
      <c r="B2224" s="2185">
        <v>44774</v>
      </c>
      <c r="C2224" s="3203">
        <v>100</v>
      </c>
      <c r="D2224" s="3206">
        <v>99.117199999999997</v>
      </c>
      <c r="E2224" s="3204">
        <v>-8.828000000000058E-3</v>
      </c>
      <c r="F2224" s="3151"/>
      <c r="G2224" s="415"/>
      <c r="H2224" s="415"/>
    </row>
    <row r="2225" spans="1:22" ht="12.75" hidden="1" customHeight="1" outlineLevel="1" x14ac:dyDescent="0.25">
      <c r="A2225" s="1956" t="s">
        <v>9308</v>
      </c>
      <c r="B2225" s="2185">
        <v>44805</v>
      </c>
      <c r="C2225" s="3203">
        <v>100</v>
      </c>
      <c r="D2225" s="3206">
        <v>94.010099999999994</v>
      </c>
      <c r="E2225" s="3204">
        <v>-5.9899000000000036E-2</v>
      </c>
      <c r="F2225" s="3151"/>
      <c r="G2225" s="415"/>
      <c r="H2225" s="415"/>
    </row>
    <row r="2226" spans="1:22" ht="12.75" hidden="1" customHeight="1" outlineLevel="1" x14ac:dyDescent="0.25">
      <c r="A2226" s="1956" t="s">
        <v>9309</v>
      </c>
      <c r="B2226" s="2185">
        <v>44835</v>
      </c>
      <c r="C2226" s="3203">
        <v>100</v>
      </c>
      <c r="D2226" s="3206">
        <v>100.1062</v>
      </c>
      <c r="E2226" s="3204">
        <v>1.0620000000001184E-3</v>
      </c>
      <c r="F2226" s="3151"/>
      <c r="G2226" s="415"/>
      <c r="H2226" s="415"/>
    </row>
    <row r="2227" spans="1:22" ht="12.75" hidden="1" customHeight="1" outlineLevel="1" x14ac:dyDescent="0.25">
      <c r="A2227" s="1956" t="s">
        <v>9310</v>
      </c>
      <c r="B2227" s="2185">
        <v>44866</v>
      </c>
      <c r="C2227" s="3203">
        <v>100</v>
      </c>
      <c r="D2227" s="3206">
        <v>104.33759999999999</v>
      </c>
      <c r="E2227" s="3204">
        <v>4.3375999999999859E-2</v>
      </c>
      <c r="F2227" s="3151"/>
      <c r="G2227" s="415"/>
      <c r="H2227" s="415"/>
    </row>
    <row r="2228" spans="1:22" ht="12.75" hidden="1" customHeight="1" outlineLevel="1" x14ac:dyDescent="0.25">
      <c r="A2228" s="1956" t="s">
        <v>9311</v>
      </c>
      <c r="B2228" s="2185">
        <v>44896</v>
      </c>
      <c r="C2228" s="3203">
        <v>100</v>
      </c>
      <c r="D2228" s="3206">
        <v>101.6371</v>
      </c>
      <c r="E2228" s="3204">
        <v>1.6371000000000135E-2</v>
      </c>
      <c r="F2228" s="3151"/>
      <c r="G2228" s="415"/>
      <c r="H2228" s="415"/>
    </row>
    <row r="2229" spans="1:22" ht="12.75" hidden="1" customHeight="1" outlineLevel="1" x14ac:dyDescent="0.25">
      <c r="A2229" s="1956" t="s">
        <v>9312</v>
      </c>
      <c r="B2229" s="2185">
        <v>44927</v>
      </c>
      <c r="C2229" s="3203">
        <v>100</v>
      </c>
      <c r="D2229" s="3206">
        <v>106.7436</v>
      </c>
      <c r="E2229" s="3204">
        <v>6.7436000000000051E-2</v>
      </c>
      <c r="F2229" s="3151"/>
      <c r="G2229" s="415"/>
      <c r="H2229" s="415"/>
    </row>
    <row r="2230" spans="1:22" ht="12.75" hidden="1" customHeight="1" outlineLevel="1" x14ac:dyDescent="0.25">
      <c r="A2230" s="1956" t="s">
        <v>9313</v>
      </c>
      <c r="B2230" s="2185">
        <v>44958</v>
      </c>
      <c r="C2230" s="3203">
        <v>100</v>
      </c>
      <c r="D2230" s="3206">
        <v>107.36960000000001</v>
      </c>
      <c r="E2230" s="3204">
        <v>7.3695999999999984E-2</v>
      </c>
      <c r="F2230" s="3151"/>
      <c r="G2230" s="415"/>
      <c r="H2230" s="415"/>
    </row>
    <row r="2231" spans="1:22" ht="12.75" hidden="1" customHeight="1" outlineLevel="1" x14ac:dyDescent="0.25">
      <c r="A2231" s="1956" t="s">
        <v>9314</v>
      </c>
      <c r="B2231" s="2185">
        <v>44986</v>
      </c>
      <c r="C2231" s="3203">
        <v>100</v>
      </c>
      <c r="D2231" s="3206">
        <v>104.38120000000001</v>
      </c>
      <c r="E2231" s="3204">
        <v>4.3811999999999962E-2</v>
      </c>
      <c r="F2231" s="3151"/>
      <c r="G2231" s="415"/>
      <c r="H2231" s="415"/>
    </row>
    <row r="2232" spans="1:22" ht="12.75" hidden="1" customHeight="1" outlineLevel="1" x14ac:dyDescent="0.25">
      <c r="A2232" s="1956" t="s">
        <v>9315</v>
      </c>
      <c r="B2232" s="2185">
        <v>45017</v>
      </c>
      <c r="C2232" s="3203">
        <v>100</v>
      </c>
      <c r="D2232" s="3206">
        <v>107.09229999999999</v>
      </c>
      <c r="E2232" s="3204">
        <v>7.0922999999999847E-2</v>
      </c>
      <c r="F2232" s="3151"/>
      <c r="G2232" s="415"/>
      <c r="H2232" s="415"/>
    </row>
    <row r="2233" spans="1:22" ht="12.75" hidden="1" customHeight="1" outlineLevel="1" x14ac:dyDescent="0.25">
      <c r="A2233" s="1956" t="s">
        <v>9316</v>
      </c>
      <c r="B2233" s="2185">
        <v>45047</v>
      </c>
      <c r="C2233" s="3203">
        <v>100</v>
      </c>
      <c r="D2233" s="3206">
        <v>102.5128</v>
      </c>
      <c r="E2233" s="3204">
        <v>2.5128000000000039E-2</v>
      </c>
      <c r="F2233" s="3151"/>
      <c r="G2233" s="415"/>
      <c r="H2233" s="415"/>
    </row>
    <row r="2234" spans="1:22" ht="12.75" hidden="1" customHeight="1" outlineLevel="1" x14ac:dyDescent="0.25">
      <c r="A2234" s="1956" t="s">
        <v>9317</v>
      </c>
      <c r="B2234" s="2185">
        <v>45078</v>
      </c>
      <c r="C2234" s="3203">
        <v>100</v>
      </c>
      <c r="D2234" s="3206">
        <v>104.6833</v>
      </c>
      <c r="E2234" s="3204">
        <v>4.6833000000000125E-2</v>
      </c>
      <c r="F2234" s="3151"/>
      <c r="G2234" s="415"/>
      <c r="H2234" s="415"/>
    </row>
    <row r="2235" spans="1:22" ht="12.75" hidden="1" customHeight="1" outlineLevel="1" x14ac:dyDescent="0.25">
      <c r="A2235" s="2189" t="s">
        <v>2734</v>
      </c>
      <c r="B2235" s="2190"/>
      <c r="C2235" s="3206"/>
      <c r="D2235" s="2191" t="s">
        <v>2465</v>
      </c>
      <c r="E2235" s="1987">
        <v>2.7262916666666682E-2</v>
      </c>
      <c r="F2235" s="2528">
        <v>5.0826916666666618E-2</v>
      </c>
      <c r="G2235" s="415"/>
      <c r="H2235" s="415"/>
    </row>
    <row r="2236" spans="1:22" collapsed="1" x14ac:dyDescent="0.25">
      <c r="A2236" s="3801" t="s">
        <v>9191</v>
      </c>
      <c r="B2236" s="3802"/>
      <c r="C2236" s="3802"/>
      <c r="D2236" s="3802"/>
      <c r="E2236" s="1906"/>
      <c r="F2236" s="1907">
        <v>5.0826916666666618E-2</v>
      </c>
      <c r="G2236" s="415"/>
    </row>
    <row r="2238" spans="1:22" ht="12.75" hidden="1" customHeight="1" outlineLevel="1" x14ac:dyDescent="0.25">
      <c r="A2238" s="3180" t="s">
        <v>4156</v>
      </c>
      <c r="B2238" s="3180" t="s">
        <v>4153</v>
      </c>
      <c r="C2238" s="3664" t="s">
        <v>112</v>
      </c>
      <c r="D2238" s="3192" t="s">
        <v>4155</v>
      </c>
      <c r="E2238" s="3180" t="s">
        <v>4154</v>
      </c>
      <c r="F2238" s="3192" t="s">
        <v>2519</v>
      </c>
      <c r="G2238" s="12"/>
      <c r="H2238" s="415"/>
      <c r="I2238" s="412" t="s">
        <v>6964</v>
      </c>
      <c r="J2238" s="1462">
        <v>43313</v>
      </c>
      <c r="K2238" s="1462">
        <v>43344</v>
      </c>
      <c r="L2238" s="1462">
        <v>43374</v>
      </c>
      <c r="M2238" s="1462">
        <v>43405</v>
      </c>
      <c r="N2238" s="1462">
        <v>43435</v>
      </c>
      <c r="O2238" s="1462">
        <v>43466</v>
      </c>
      <c r="P2238" s="1462">
        <v>43497</v>
      </c>
      <c r="Q2238" s="1462">
        <v>43525</v>
      </c>
      <c r="R2238" s="1462">
        <v>43556</v>
      </c>
    </row>
    <row r="2239" spans="1:22" ht="12.75" hidden="1" customHeight="1" outlineLevel="1" x14ac:dyDescent="0.25">
      <c r="A2239" s="1991">
        <v>0.02</v>
      </c>
      <c r="B2239" s="1921" t="s">
        <v>9297</v>
      </c>
      <c r="C2239" s="2108">
        <v>21.931999999999999</v>
      </c>
      <c r="D2239" s="3194">
        <v>15.46</v>
      </c>
      <c r="E2239" s="3269">
        <v>-0.29509392668247303</v>
      </c>
      <c r="F2239" s="3004">
        <v>-5.9018785336494607E-3</v>
      </c>
      <c r="G2239" s="415"/>
      <c r="H2239" s="415" t="s">
        <v>9298</v>
      </c>
      <c r="I2239" s="412">
        <v>96.419499999999999</v>
      </c>
      <c r="J2239">
        <v>101.7089</v>
      </c>
      <c r="K2239">
        <v>100.43170000000001</v>
      </c>
      <c r="L2239">
        <v>102.37520000000001</v>
      </c>
      <c r="M2239">
        <v>99.184700000000007</v>
      </c>
      <c r="N2239">
        <v>101.15940000000001</v>
      </c>
      <c r="O2239">
        <v>96.419499999999999</v>
      </c>
      <c r="P2239">
        <v>101.7878</v>
      </c>
      <c r="Q2239">
        <v>103.2398</v>
      </c>
      <c r="R2239">
        <v>104.07850000000001</v>
      </c>
      <c r="V2239" s="434"/>
    </row>
    <row r="2240" spans="1:22" ht="12.75" hidden="1" customHeight="1" outlineLevel="1" x14ac:dyDescent="0.25">
      <c r="A2240" s="2380">
        <v>0.03</v>
      </c>
      <c r="B2240" s="1921" t="s">
        <v>2697</v>
      </c>
      <c r="C2240" s="2108">
        <v>14.521000000000001</v>
      </c>
      <c r="D2240" s="3196">
        <v>19.38</v>
      </c>
      <c r="E2240" s="3270">
        <v>0.33461882790441422</v>
      </c>
      <c r="F2240" s="3007">
        <v>1.0038564837132426E-2</v>
      </c>
      <c r="G2240" s="415"/>
      <c r="H2240" s="415" t="s">
        <v>329</v>
      </c>
      <c r="I2240" s="422">
        <v>5.4278249999999986E-2</v>
      </c>
      <c r="V2240" s="434"/>
    </row>
    <row r="2241" spans="1:22" ht="12.75" hidden="1" customHeight="1" outlineLevel="1" x14ac:dyDescent="0.25">
      <c r="A2241" s="2380">
        <v>0.03</v>
      </c>
      <c r="B2241" s="1921" t="s">
        <v>218</v>
      </c>
      <c r="C2241" s="2108">
        <v>20.923999999999999</v>
      </c>
      <c r="D2241" s="3196">
        <v>27.97</v>
      </c>
      <c r="E2241" s="3270">
        <v>0.33674249665455935</v>
      </c>
      <c r="F2241" s="3007">
        <v>1.010227489963678E-2</v>
      </c>
      <c r="G2241" s="415"/>
      <c r="H2241" s="415" t="s">
        <v>656</v>
      </c>
      <c r="J2241" s="434"/>
      <c r="V2241" s="434"/>
    </row>
    <row r="2242" spans="1:22" ht="12.75" hidden="1" customHeight="1" outlineLevel="1" x14ac:dyDescent="0.25">
      <c r="A2242" s="2380">
        <v>0.02</v>
      </c>
      <c r="B2242" s="1921" t="s">
        <v>9299</v>
      </c>
      <c r="C2242" s="2108">
        <v>257.67007477856123</v>
      </c>
      <c r="D2242" s="3196">
        <v>310.10000000000002</v>
      </c>
      <c r="E2242" s="3270">
        <v>0.20347696668500004</v>
      </c>
      <c r="F2242" s="3007">
        <v>4.0695393337000004E-3</v>
      </c>
      <c r="G2242" s="415"/>
      <c r="H2242" s="415" t="s">
        <v>9300</v>
      </c>
      <c r="J2242" s="434"/>
      <c r="K2242" s="37"/>
      <c r="V2242" s="434"/>
    </row>
    <row r="2243" spans="1:22" ht="12.75" hidden="1" customHeight="1" outlineLevel="1" x14ac:dyDescent="0.25">
      <c r="A2243" s="2380">
        <v>0.02</v>
      </c>
      <c r="B2243" s="1921" t="s">
        <v>10672</v>
      </c>
      <c r="C2243" s="2108">
        <v>48.108100248284707</v>
      </c>
      <c r="D2243" s="3196">
        <v>72.64</v>
      </c>
      <c r="E2243" s="3270">
        <v>0.50993283095999997</v>
      </c>
      <c r="F2243" s="3007">
        <v>1.0198656619199999E-2</v>
      </c>
      <c r="G2243" s="415"/>
      <c r="H2243" s="415" t="s">
        <v>10674</v>
      </c>
      <c r="J2243" s="434"/>
      <c r="V2243" s="434"/>
    </row>
    <row r="2244" spans="1:22" ht="12.75" hidden="1" customHeight="1" outlineLevel="1" x14ac:dyDescent="0.25">
      <c r="A2244" s="2380">
        <v>0.08</v>
      </c>
      <c r="B2244" s="1921" t="s">
        <v>6267</v>
      </c>
      <c r="C2244" s="2108">
        <v>24.364999999999998</v>
      </c>
      <c r="D2244" s="3196">
        <v>16.135000000000002</v>
      </c>
      <c r="E2244" s="3270">
        <v>-0.33777960188795397</v>
      </c>
      <c r="F2244" s="3007">
        <v>-2.7022368151036317E-2</v>
      </c>
      <c r="G2244" s="415"/>
      <c r="H2244" s="415" t="s">
        <v>6268</v>
      </c>
      <c r="J2244" s="434"/>
      <c r="V2244" s="434"/>
    </row>
    <row r="2245" spans="1:22" ht="12.75" hidden="1" customHeight="1" outlineLevel="1" x14ac:dyDescent="0.25">
      <c r="A2245" s="2380">
        <v>0.04</v>
      </c>
      <c r="B2245" s="1921" t="s">
        <v>9171</v>
      </c>
      <c r="C2245" s="2108">
        <v>19.895</v>
      </c>
      <c r="D2245" s="3196">
        <v>19.484999999999999</v>
      </c>
      <c r="E2245" s="3270">
        <v>-2.0608193013319953E-2</v>
      </c>
      <c r="F2245" s="3007">
        <v>-8.2432772053279816E-4</v>
      </c>
      <c r="G2245" s="415"/>
      <c r="H2245" s="415" t="s">
        <v>9172</v>
      </c>
      <c r="J2245" s="434"/>
      <c r="V2245" s="434"/>
    </row>
    <row r="2246" spans="1:22" ht="12.75" hidden="1" customHeight="1" outlineLevel="1" x14ac:dyDescent="0.25">
      <c r="A2246" s="2380">
        <v>0.03</v>
      </c>
      <c r="B2246" s="1921" t="s">
        <v>3021</v>
      </c>
      <c r="C2246" s="2108">
        <v>16.2226</v>
      </c>
      <c r="D2246" s="3196">
        <v>13.884</v>
      </c>
      <c r="E2246" s="3270">
        <v>-0.14415691689371612</v>
      </c>
      <c r="F2246" s="3007">
        <v>-4.324707506811484E-3</v>
      </c>
      <c r="G2246" s="415"/>
      <c r="H2246" s="415" t="s">
        <v>4124</v>
      </c>
      <c r="J2246" s="434"/>
      <c r="V2246" s="434"/>
    </row>
    <row r="2247" spans="1:22" ht="12.75" hidden="1" customHeight="1" outlineLevel="1" x14ac:dyDescent="0.25">
      <c r="A2247" s="2380">
        <v>0.02</v>
      </c>
      <c r="B2247" s="1921" t="s">
        <v>7014</v>
      </c>
      <c r="C2247" s="2108">
        <v>17.705500000000001</v>
      </c>
      <c r="D2247" s="3196">
        <v>30.14</v>
      </c>
      <c r="E2247" s="3270">
        <v>0.70229589675524551</v>
      </c>
      <c r="F2247" s="3007">
        <v>1.404591793510491E-2</v>
      </c>
      <c r="G2247" s="415"/>
      <c r="H2247" s="415" t="s">
        <v>7012</v>
      </c>
      <c r="J2247" s="434"/>
      <c r="V2247" s="434"/>
    </row>
    <row r="2248" spans="1:22" ht="12.75" hidden="1" customHeight="1" outlineLevel="1" x14ac:dyDescent="0.25">
      <c r="A2248" s="2380">
        <v>0.03</v>
      </c>
      <c r="B2248" s="1921" t="s">
        <v>4268</v>
      </c>
      <c r="C2248" s="2108">
        <v>21.978999999999999</v>
      </c>
      <c r="D2248" s="3196">
        <v>12.31</v>
      </c>
      <c r="E2248" s="3270">
        <v>-0.43991992356340137</v>
      </c>
      <c r="F2248" s="3007">
        <v>-1.3197597706902041E-2</v>
      </c>
      <c r="G2248" s="415"/>
      <c r="H2248" s="415" t="s">
        <v>8442</v>
      </c>
      <c r="J2248" s="434"/>
      <c r="V2248" s="434"/>
    </row>
    <row r="2249" spans="1:22" ht="12.75" hidden="1" customHeight="1" outlineLevel="1" x14ac:dyDescent="0.25">
      <c r="A2249" s="2380">
        <v>0.05</v>
      </c>
      <c r="B2249" s="1921" t="s">
        <v>3643</v>
      </c>
      <c r="C2249" s="2108">
        <v>139.012</v>
      </c>
      <c r="D2249" s="3196">
        <v>176.8</v>
      </c>
      <c r="E2249" s="3270">
        <v>0.27183264754121961</v>
      </c>
      <c r="F2249" s="3007">
        <v>1.3591632377060981E-2</v>
      </c>
      <c r="G2249" s="415"/>
      <c r="H2249" s="415" t="s">
        <v>1729</v>
      </c>
      <c r="J2249" s="434"/>
      <c r="V2249" s="434"/>
    </row>
    <row r="2250" spans="1:22" ht="12.75" hidden="1" customHeight="1" outlineLevel="1" x14ac:dyDescent="0.25">
      <c r="A2250" s="2380">
        <v>0.02</v>
      </c>
      <c r="B2250" s="1921" t="s">
        <v>1031</v>
      </c>
      <c r="C2250" s="2108">
        <v>6.7187999999999999</v>
      </c>
      <c r="D2250" s="3196">
        <v>11.355</v>
      </c>
      <c r="E2250" s="3270">
        <v>0.69003393463118434</v>
      </c>
      <c r="F2250" s="3007">
        <v>1.3800678692623688E-2</v>
      </c>
      <c r="G2250" s="415"/>
      <c r="H2250" s="415" t="s">
        <v>7872</v>
      </c>
      <c r="J2250" s="434"/>
      <c r="V2250" s="434"/>
    </row>
    <row r="2251" spans="1:22" ht="12.75" hidden="1" customHeight="1" outlineLevel="1" x14ac:dyDescent="0.25">
      <c r="A2251" s="2380">
        <v>0.02</v>
      </c>
      <c r="B2251" s="1921" t="s">
        <v>44</v>
      </c>
      <c r="C2251" s="2519">
        <v>2.4857999999999998</v>
      </c>
      <c r="D2251" s="3196">
        <v>2.629</v>
      </c>
      <c r="E2251" s="3270">
        <v>5.7607208946818034E-2</v>
      </c>
      <c r="F2251" s="3007">
        <v>1.1521441789363606E-3</v>
      </c>
      <c r="G2251" s="415"/>
      <c r="H2251" s="415" t="s">
        <v>204</v>
      </c>
      <c r="J2251" s="434"/>
      <c r="V2251" s="434"/>
    </row>
    <row r="2252" spans="1:22" ht="12.75" hidden="1" customHeight="1" outlineLevel="1" x14ac:dyDescent="0.25">
      <c r="A2252" s="2380">
        <v>0.03</v>
      </c>
      <c r="B2252" s="1921" t="s">
        <v>9011</v>
      </c>
      <c r="C2252" s="2108">
        <v>32.082000000000001</v>
      </c>
      <c r="D2252" s="3196">
        <v>24.15</v>
      </c>
      <c r="E2252" s="3270">
        <v>-0.24724144380026192</v>
      </c>
      <c r="F2252" s="3007">
        <v>-7.4172433140078575E-3</v>
      </c>
      <c r="G2252" s="415"/>
      <c r="H2252" s="415" t="s">
        <v>9012</v>
      </c>
      <c r="J2252" s="434"/>
      <c r="V2252" s="434"/>
    </row>
    <row r="2253" spans="1:22" ht="12.75" hidden="1" customHeight="1" outlineLevel="1" x14ac:dyDescent="0.25">
      <c r="A2253" s="2380">
        <v>0.02</v>
      </c>
      <c r="B2253" s="1921" t="s">
        <v>8527</v>
      </c>
      <c r="C2253" s="2108">
        <v>35.915999999999997</v>
      </c>
      <c r="D2253" s="3196">
        <v>34.880000000000003</v>
      </c>
      <c r="E2253" s="3270">
        <v>-2.8845082971377556E-2</v>
      </c>
      <c r="F2253" s="3007">
        <v>-5.7690165942755108E-4</v>
      </c>
      <c r="G2253" s="415"/>
      <c r="H2253" s="415" t="s">
        <v>8516</v>
      </c>
      <c r="J2253" s="434"/>
      <c r="V2253" s="434"/>
    </row>
    <row r="2254" spans="1:22" ht="12.75" hidden="1" customHeight="1" outlineLevel="1" x14ac:dyDescent="0.25">
      <c r="A2254" s="2380">
        <v>0.02</v>
      </c>
      <c r="B2254" s="1921" t="s">
        <v>10734</v>
      </c>
      <c r="C2254" s="2108">
        <v>18.154499999999999</v>
      </c>
      <c r="D2254" s="3196">
        <v>15.205</v>
      </c>
      <c r="E2254" s="3270">
        <v>-0.16246660607562857</v>
      </c>
      <c r="F2254" s="3007">
        <v>-3.2493321215125714E-3</v>
      </c>
      <c r="G2254" s="415"/>
      <c r="H2254" s="415" t="s">
        <v>10735</v>
      </c>
      <c r="J2254" s="434"/>
      <c r="V2254" s="434"/>
    </row>
    <row r="2255" spans="1:22" ht="12.75" hidden="1" customHeight="1" outlineLevel="1" x14ac:dyDescent="0.25">
      <c r="A2255" s="2380">
        <v>0.02</v>
      </c>
      <c r="B2255" s="1921" t="s">
        <v>54</v>
      </c>
      <c r="C2255" s="2108">
        <v>16.998999999999999</v>
      </c>
      <c r="D2255" s="3196">
        <v>13.9</v>
      </c>
      <c r="E2255" s="3270">
        <v>-0.18230484146126236</v>
      </c>
      <c r="F2255" s="3007">
        <v>-3.6460968292252472E-3</v>
      </c>
      <c r="G2255" s="415"/>
      <c r="H2255" s="415" t="s">
        <v>6741</v>
      </c>
      <c r="J2255" s="434"/>
      <c r="V2255" s="434"/>
    </row>
    <row r="2256" spans="1:22" ht="12.75" hidden="1" customHeight="1" outlineLevel="1" x14ac:dyDescent="0.25">
      <c r="A2256" s="2380">
        <v>0.08</v>
      </c>
      <c r="B2256" s="1921" t="s">
        <v>3800</v>
      </c>
      <c r="C2256" s="2108">
        <v>229.16</v>
      </c>
      <c r="D2256" s="3196">
        <v>270.60000000000002</v>
      </c>
      <c r="E2256" s="3270">
        <v>0.18083435154477234</v>
      </c>
      <c r="F2256" s="3007">
        <v>1.4466748123581787E-2</v>
      </c>
      <c r="G2256" s="415"/>
      <c r="H2256" s="415" t="s">
        <v>8876</v>
      </c>
      <c r="J2256" s="434"/>
      <c r="V2256" s="434"/>
    </row>
    <row r="2257" spans="1:22" ht="12.75" hidden="1" customHeight="1" outlineLevel="1" x14ac:dyDescent="0.25">
      <c r="A2257" s="2380">
        <v>0.06</v>
      </c>
      <c r="B2257" s="1921" t="s">
        <v>6270</v>
      </c>
      <c r="C2257" s="2108">
        <v>39.998764571491606</v>
      </c>
      <c r="D2257" s="3196">
        <v>40.090000000000003</v>
      </c>
      <c r="E2257" s="3270">
        <v>2.2809561616665697E-3</v>
      </c>
      <c r="F2257" s="3007">
        <v>1.3685736969999416E-4</v>
      </c>
      <c r="G2257" s="415"/>
      <c r="H2257" s="415" t="s">
        <v>8166</v>
      </c>
      <c r="J2257" s="434"/>
      <c r="V2257" s="434"/>
    </row>
    <row r="2258" spans="1:22" ht="12.75" hidden="1" customHeight="1" outlineLevel="1" x14ac:dyDescent="0.25">
      <c r="A2258" s="2380">
        <v>0.02</v>
      </c>
      <c r="B2258" s="1921" t="s">
        <v>1187</v>
      </c>
      <c r="C2258" s="2108">
        <v>71.477245390475332</v>
      </c>
      <c r="D2258" s="3196">
        <v>97.09</v>
      </c>
      <c r="E2258" s="3270">
        <v>0.35833438277599994</v>
      </c>
      <c r="F2258" s="3007">
        <v>7.1666876555199991E-3</v>
      </c>
      <c r="G2258" s="415"/>
      <c r="H2258" s="415" t="s">
        <v>3483</v>
      </c>
      <c r="J2258" s="434"/>
      <c r="V2258" s="434"/>
    </row>
    <row r="2259" spans="1:22" ht="12.75" hidden="1" customHeight="1" outlineLevel="1" x14ac:dyDescent="0.25">
      <c r="A2259" s="2380">
        <v>0.02</v>
      </c>
      <c r="B2259" s="1921" t="s">
        <v>6524</v>
      </c>
      <c r="C2259" s="2108">
        <v>85.886649668381764</v>
      </c>
      <c r="D2259" s="3196">
        <v>127.55</v>
      </c>
      <c r="E2259" s="3270">
        <v>0.48509693290500011</v>
      </c>
      <c r="F2259" s="3007">
        <v>9.7019386581000018E-3</v>
      </c>
      <c r="G2259" s="415"/>
      <c r="H2259" s="415" t="s">
        <v>6525</v>
      </c>
      <c r="J2259" s="434"/>
      <c r="V2259" s="434"/>
    </row>
    <row r="2260" spans="1:22" ht="12.75" hidden="1" customHeight="1" outlineLevel="1" x14ac:dyDescent="0.25">
      <c r="A2260" s="2380">
        <v>0.05</v>
      </c>
      <c r="B2260" s="1921" t="s">
        <v>6116</v>
      </c>
      <c r="C2260" s="2108">
        <v>3.6227999999999998</v>
      </c>
      <c r="D2260" s="3196">
        <v>4.782</v>
      </c>
      <c r="E2260" s="3270">
        <v>0.31997350115932433</v>
      </c>
      <c r="F2260" s="3007">
        <v>1.5998675057966216E-2</v>
      </c>
      <c r="G2260" s="415"/>
      <c r="H2260" s="415" t="s">
        <v>6114</v>
      </c>
      <c r="J2260" s="434"/>
      <c r="V2260" s="434"/>
    </row>
    <row r="2261" spans="1:22" ht="12.75" hidden="1" customHeight="1" outlineLevel="1" x14ac:dyDescent="0.25">
      <c r="A2261" s="2380">
        <v>0.02</v>
      </c>
      <c r="B2261" s="1921" t="s">
        <v>6527</v>
      </c>
      <c r="C2261" s="2108">
        <v>95.229914534960912</v>
      </c>
      <c r="D2261" s="3196">
        <v>92.4</v>
      </c>
      <c r="E2261" s="3270">
        <v>-2.9716655199999997E-2</v>
      </c>
      <c r="F2261" s="3007">
        <v>-5.9433310399999997E-4</v>
      </c>
      <c r="G2261" s="415"/>
      <c r="H2261" s="415" t="s">
        <v>6528</v>
      </c>
      <c r="J2261" s="434"/>
      <c r="V2261" s="434"/>
    </row>
    <row r="2262" spans="1:22" ht="12.75" hidden="1" customHeight="1" outlineLevel="1" x14ac:dyDescent="0.25">
      <c r="A2262" s="2380">
        <v>0.05</v>
      </c>
      <c r="B2262" s="1921" t="s">
        <v>1724</v>
      </c>
      <c r="C2262" s="2108">
        <v>190.95354888793713</v>
      </c>
      <c r="D2262" s="3196">
        <v>192.95</v>
      </c>
      <c r="E2262" s="3270">
        <v>1.0455166314999875E-2</v>
      </c>
      <c r="F2262" s="3007">
        <v>5.2275831574999376E-4</v>
      </c>
      <c r="G2262" s="415"/>
      <c r="H2262" s="415" t="s">
        <v>1725</v>
      </c>
      <c r="J2262" s="434"/>
      <c r="V2262" s="434"/>
    </row>
    <row r="2263" spans="1:22" ht="12.75" hidden="1" customHeight="1" outlineLevel="1" x14ac:dyDescent="0.25">
      <c r="A2263" s="2380">
        <v>0.02</v>
      </c>
      <c r="B2263" s="1921" t="s">
        <v>9173</v>
      </c>
      <c r="C2263" s="2108">
        <v>346.69</v>
      </c>
      <c r="D2263" s="3196">
        <v>552.79999999999995</v>
      </c>
      <c r="E2263" s="3270">
        <v>0.59450806195736816</v>
      </c>
      <c r="F2263" s="3007">
        <v>1.1890161239147363E-2</v>
      </c>
      <c r="G2263" s="415"/>
      <c r="H2263" s="415" t="s">
        <v>9174</v>
      </c>
      <c r="J2263" s="434"/>
      <c r="V2263" s="434"/>
    </row>
    <row r="2264" spans="1:22" ht="12.75" hidden="1" customHeight="1" outlineLevel="1" x14ac:dyDescent="0.25">
      <c r="A2264" s="2380">
        <v>0.05</v>
      </c>
      <c r="B2264" s="1921" t="s">
        <v>6118</v>
      </c>
      <c r="C2264" s="2108">
        <v>88.274000000000001</v>
      </c>
      <c r="D2264" s="3196">
        <v>90.9</v>
      </c>
      <c r="E2264" s="3270">
        <v>2.9748283752860427E-2</v>
      </c>
      <c r="F2264" s="3007">
        <v>1.4874141876430214E-3</v>
      </c>
      <c r="G2264" s="415"/>
      <c r="H2264" s="415" t="s">
        <v>8893</v>
      </c>
      <c r="J2264" s="434"/>
      <c r="V2264" s="434"/>
    </row>
    <row r="2265" spans="1:22" ht="12.75" hidden="1" customHeight="1" outlineLevel="1" x14ac:dyDescent="0.25">
      <c r="A2265" s="2380">
        <v>7.0000000000000007E-2</v>
      </c>
      <c r="B2265" s="1921" t="s">
        <v>434</v>
      </c>
      <c r="C2265" s="2108">
        <v>40.921999999999997</v>
      </c>
      <c r="D2265" s="3196">
        <v>22.63</v>
      </c>
      <c r="E2265" s="3270">
        <v>-0.44699672547773817</v>
      </c>
      <c r="F2265" s="3007">
        <v>-3.1289770783441674E-2</v>
      </c>
      <c r="G2265" s="415"/>
      <c r="H2265" s="415" t="s">
        <v>7745</v>
      </c>
      <c r="J2265" s="434"/>
      <c r="V2265" s="434"/>
    </row>
    <row r="2266" spans="1:22" ht="12.75" hidden="1" customHeight="1" outlineLevel="1" x14ac:dyDescent="0.25">
      <c r="A2266" s="2380">
        <v>0.02</v>
      </c>
      <c r="B2266" s="1921" t="s">
        <v>10633</v>
      </c>
      <c r="C2266" s="2108">
        <v>53.301000000000002</v>
      </c>
      <c r="D2266" s="3196">
        <v>55.26</v>
      </c>
      <c r="E2266" s="3270">
        <v>3.6753531828671138E-2</v>
      </c>
      <c r="F2266" s="3007">
        <v>7.3507063657342277E-4</v>
      </c>
      <c r="G2266" s="415"/>
      <c r="H2266" s="415" t="s">
        <v>10634</v>
      </c>
      <c r="J2266" s="434"/>
      <c r="V2266" s="434"/>
    </row>
    <row r="2267" spans="1:22" ht="12.75" hidden="1" customHeight="1" outlineLevel="1" x14ac:dyDescent="0.25">
      <c r="A2267" s="2380">
        <v>0.02</v>
      </c>
      <c r="B2267" s="1921" t="s">
        <v>9301</v>
      </c>
      <c r="C2267" s="2108">
        <v>187.29499999999999</v>
      </c>
      <c r="D2267" s="3196">
        <v>49.68</v>
      </c>
      <c r="E2267" s="3270">
        <v>-0.73474999332603641</v>
      </c>
      <c r="F2267" s="3007">
        <v>-1.4694999866520729E-2</v>
      </c>
      <c r="G2267" s="415"/>
      <c r="H2267" s="415" t="s">
        <v>9302</v>
      </c>
      <c r="J2267" s="434"/>
      <c r="V2267" s="434"/>
    </row>
    <row r="2268" spans="1:22" ht="12.75" hidden="1" customHeight="1" outlineLevel="1" x14ac:dyDescent="0.25">
      <c r="A2268" s="2380">
        <v>0.02</v>
      </c>
      <c r="B2268" s="2109" t="s">
        <v>4550</v>
      </c>
      <c r="C2268" s="2108">
        <v>298.08</v>
      </c>
      <c r="D2268" s="3199">
        <v>420.8</v>
      </c>
      <c r="E2268" s="3270">
        <v>0.41170155662909291</v>
      </c>
      <c r="F2268" s="3007">
        <v>8.234031132581858E-3</v>
      </c>
      <c r="G2268" s="415"/>
      <c r="H2268" s="415" t="s">
        <v>8889</v>
      </c>
      <c r="J2268" s="434"/>
      <c r="V2268" s="434"/>
    </row>
    <row r="2269" spans="1:22" ht="12.75" hidden="1" customHeight="1" outlineLevel="1" x14ac:dyDescent="0.25">
      <c r="A2269" s="2181" t="s">
        <v>2734</v>
      </c>
      <c r="B2269" s="2103"/>
      <c r="C2269" s="3200">
        <v>100</v>
      </c>
      <c r="D2269" s="3201"/>
      <c r="E2269" s="3202"/>
      <c r="F2269" s="3202">
        <v>3.7600000000000001E-2</v>
      </c>
      <c r="G2269" s="415"/>
      <c r="H2269" s="415"/>
    </row>
    <row r="2270" spans="1:22" ht="12.75" hidden="1" customHeight="1" outlineLevel="1" x14ac:dyDescent="0.25">
      <c r="A2270" s="1956" t="s">
        <v>9331</v>
      </c>
      <c r="B2270" s="2185">
        <v>44774</v>
      </c>
      <c r="C2270" s="3203">
        <v>100</v>
      </c>
      <c r="D2270" s="3203">
        <v>97.910399999999996</v>
      </c>
      <c r="E2270" s="3204">
        <v>-2.0896000000000026E-2</v>
      </c>
      <c r="F2270" s="3151"/>
      <c r="G2270" s="415"/>
      <c r="H2270" s="415"/>
    </row>
    <row r="2271" spans="1:22" ht="12.75" hidden="1" customHeight="1" outlineLevel="1" x14ac:dyDescent="0.25">
      <c r="A2271" s="1956" t="s">
        <v>9332</v>
      </c>
      <c r="B2271" s="2185">
        <v>44805</v>
      </c>
      <c r="C2271" s="3203">
        <v>100</v>
      </c>
      <c r="D2271" s="3206">
        <v>92.729900000000001</v>
      </c>
      <c r="E2271" s="3204">
        <v>-7.2701000000000016E-2</v>
      </c>
      <c r="F2271" s="3151"/>
      <c r="G2271" s="415"/>
      <c r="H2271" s="415"/>
    </row>
    <row r="2272" spans="1:22" ht="12.75" hidden="1" customHeight="1" outlineLevel="1" x14ac:dyDescent="0.25">
      <c r="A2272" s="1956" t="s">
        <v>9333</v>
      </c>
      <c r="B2272" s="2185">
        <v>44835</v>
      </c>
      <c r="C2272" s="3203">
        <v>100</v>
      </c>
      <c r="D2272" s="3206">
        <v>98.7042</v>
      </c>
      <c r="E2272" s="3204">
        <v>-1.2958000000000025E-2</v>
      </c>
      <c r="F2272" s="3151"/>
      <c r="G2272" s="415"/>
      <c r="H2272" s="415"/>
    </row>
    <row r="2273" spans="1:22" ht="12.75" hidden="1" customHeight="1" outlineLevel="1" x14ac:dyDescent="0.25">
      <c r="A2273" s="1956" t="s">
        <v>9334</v>
      </c>
      <c r="B2273" s="2185">
        <v>44866</v>
      </c>
      <c r="C2273" s="3203">
        <v>100</v>
      </c>
      <c r="D2273" s="3206">
        <v>103.03700000000001</v>
      </c>
      <c r="E2273" s="3204">
        <v>3.0370000000000008E-2</v>
      </c>
      <c r="F2273" s="3151"/>
      <c r="G2273" s="415"/>
      <c r="H2273" s="415"/>
    </row>
    <row r="2274" spans="1:22" ht="12.75" hidden="1" customHeight="1" outlineLevel="1" x14ac:dyDescent="0.25">
      <c r="A2274" s="1956" t="s">
        <v>9335</v>
      </c>
      <c r="B2274" s="2185">
        <v>44896</v>
      </c>
      <c r="C2274" s="3203">
        <v>100</v>
      </c>
      <c r="D2274" s="3206">
        <v>100.3653</v>
      </c>
      <c r="E2274" s="3204">
        <v>3.6530000000001284E-3</v>
      </c>
      <c r="F2274" s="3151"/>
      <c r="G2274" s="415"/>
      <c r="H2274" s="415"/>
    </row>
    <row r="2275" spans="1:22" ht="12.75" hidden="1" customHeight="1" outlineLevel="1" x14ac:dyDescent="0.25">
      <c r="A2275" s="1956" t="s">
        <v>9336</v>
      </c>
      <c r="B2275" s="2185">
        <v>44927</v>
      </c>
      <c r="C2275" s="3203">
        <v>100</v>
      </c>
      <c r="D2275" s="3206">
        <v>105.58459999999999</v>
      </c>
      <c r="E2275" s="3204">
        <v>5.584599999999984E-2</v>
      </c>
      <c r="F2275" s="3151"/>
      <c r="G2275" s="415"/>
      <c r="H2275" s="415"/>
    </row>
    <row r="2276" spans="1:22" ht="12.75" hidden="1" customHeight="1" outlineLevel="1" x14ac:dyDescent="0.25">
      <c r="A2276" s="1956" t="s">
        <v>9337</v>
      </c>
      <c r="B2276" s="2185">
        <v>44958</v>
      </c>
      <c r="C2276" s="3203">
        <v>100</v>
      </c>
      <c r="D2276" s="3206">
        <v>106.23220000000001</v>
      </c>
      <c r="E2276" s="3204">
        <v>6.2321999999999989E-2</v>
      </c>
      <c r="F2276" s="3151"/>
      <c r="G2276" s="415"/>
      <c r="H2276" s="415"/>
    </row>
    <row r="2277" spans="1:22" ht="12.75" hidden="1" customHeight="1" outlineLevel="1" x14ac:dyDescent="0.25">
      <c r="A2277" s="1956" t="s">
        <v>9338</v>
      </c>
      <c r="B2277" s="2185">
        <v>44986</v>
      </c>
      <c r="C2277" s="3203">
        <v>100</v>
      </c>
      <c r="D2277" s="3206">
        <v>103.2454</v>
      </c>
      <c r="E2277" s="3204">
        <v>3.2453999999999983E-2</v>
      </c>
      <c r="F2277" s="3151"/>
      <c r="G2277" s="415"/>
      <c r="H2277" s="415"/>
    </row>
    <row r="2278" spans="1:22" ht="12.75" hidden="1" customHeight="1" outlineLevel="1" x14ac:dyDescent="0.25">
      <c r="A2278" s="1956" t="s">
        <v>9339</v>
      </c>
      <c r="B2278" s="2185">
        <v>45017</v>
      </c>
      <c r="C2278" s="3203">
        <v>100</v>
      </c>
      <c r="D2278" s="3206">
        <v>105.8737</v>
      </c>
      <c r="E2278" s="3204">
        <v>5.8737000000000039E-2</v>
      </c>
      <c r="F2278" s="3151"/>
      <c r="G2278" s="415"/>
      <c r="H2278" s="415"/>
    </row>
    <row r="2279" spans="1:22" ht="12.75" hidden="1" customHeight="1" outlineLevel="1" x14ac:dyDescent="0.25">
      <c r="A2279" s="1956" t="s">
        <v>9340</v>
      </c>
      <c r="B2279" s="2185">
        <v>45047</v>
      </c>
      <c r="C2279" s="3203">
        <v>100</v>
      </c>
      <c r="D2279" s="3206">
        <v>101.27419999999999</v>
      </c>
      <c r="E2279" s="3204">
        <v>1.2742000000000031E-2</v>
      </c>
      <c r="F2279" s="3151"/>
      <c r="G2279" s="415"/>
      <c r="H2279" s="415"/>
    </row>
    <row r="2280" spans="1:22" ht="12.75" hidden="1" customHeight="1" outlineLevel="1" x14ac:dyDescent="0.25">
      <c r="A2280" s="1956" t="s">
        <v>9341</v>
      </c>
      <c r="B2280" s="2185">
        <v>45078</v>
      </c>
      <c r="C2280" s="3203">
        <v>100</v>
      </c>
      <c r="D2280" s="3206">
        <v>103.4524</v>
      </c>
      <c r="E2280" s="3204">
        <v>3.4523999999999999E-2</v>
      </c>
      <c r="F2280" s="3151"/>
      <c r="G2280" s="415"/>
      <c r="H2280" s="415"/>
    </row>
    <row r="2281" spans="1:22" ht="12.75" hidden="1" customHeight="1" outlineLevel="1" x14ac:dyDescent="0.25">
      <c r="A2281" s="1956" t="s">
        <v>9342</v>
      </c>
      <c r="B2281" s="2185">
        <v>45108</v>
      </c>
      <c r="C2281" s="3203">
        <v>100</v>
      </c>
      <c r="D2281" s="3206">
        <v>103.7586</v>
      </c>
      <c r="E2281" s="3204">
        <v>3.7586000000000119E-2</v>
      </c>
      <c r="F2281" s="3151"/>
      <c r="G2281" s="415"/>
      <c r="H2281" s="415"/>
    </row>
    <row r="2282" spans="1:22" ht="12.75" hidden="1" customHeight="1" outlineLevel="1" x14ac:dyDescent="0.25">
      <c r="A2282" s="2189" t="s">
        <v>2734</v>
      </c>
      <c r="B2282" s="2190"/>
      <c r="C2282" s="3206"/>
      <c r="D2282" s="2191" t="s">
        <v>2465</v>
      </c>
      <c r="E2282" s="1987">
        <v>1.8473250000000007E-2</v>
      </c>
      <c r="F2282" s="2528">
        <v>5.4278249999999986E-2</v>
      </c>
      <c r="G2282" s="415"/>
      <c r="H2282" s="415"/>
    </row>
    <row r="2283" spans="1:22" collapsed="1" x14ac:dyDescent="0.25">
      <c r="A2283" s="3801" t="s">
        <v>9295</v>
      </c>
      <c r="B2283" s="3802"/>
      <c r="C2283" s="3802"/>
      <c r="D2283" s="3802"/>
      <c r="E2283" s="1906"/>
      <c r="F2283" s="1907">
        <v>5.4278249999999986E-2</v>
      </c>
      <c r="G2283" s="415"/>
    </row>
    <row r="2285" spans="1:22" ht="12.75" hidden="1" customHeight="1" outlineLevel="1" x14ac:dyDescent="0.25">
      <c r="A2285" s="3180" t="s">
        <v>4156</v>
      </c>
      <c r="B2285" s="3180" t="s">
        <v>4153</v>
      </c>
      <c r="C2285" s="3594" t="s">
        <v>112</v>
      </c>
      <c r="D2285" s="3192" t="s">
        <v>4155</v>
      </c>
      <c r="E2285" s="3180" t="s">
        <v>4154</v>
      </c>
      <c r="F2285" s="3192" t="s">
        <v>2519</v>
      </c>
      <c r="G2285" s="12"/>
      <c r="H2285" s="415"/>
      <c r="I2285" s="412" t="s">
        <v>6964</v>
      </c>
      <c r="J2285" s="1462">
        <v>43344</v>
      </c>
      <c r="K2285" s="1462">
        <v>43374</v>
      </c>
      <c r="L2285" s="1462">
        <v>43405</v>
      </c>
      <c r="M2285" s="1462">
        <v>43435</v>
      </c>
      <c r="N2285" s="1462">
        <v>43466</v>
      </c>
      <c r="O2285" s="1462">
        <v>43497</v>
      </c>
      <c r="P2285" s="1462">
        <v>43525</v>
      </c>
      <c r="Q2285" s="1462">
        <v>43556</v>
      </c>
      <c r="R2285" s="1462">
        <v>43586</v>
      </c>
    </row>
    <row r="2286" spans="1:22" ht="12.75" hidden="1" customHeight="1" outlineLevel="1" x14ac:dyDescent="0.25">
      <c r="A2286" s="1991">
        <v>0.02</v>
      </c>
      <c r="B2286" s="1921" t="s">
        <v>9297</v>
      </c>
      <c r="C2286" s="2108">
        <v>23.242999999999999</v>
      </c>
      <c r="D2286" s="3194">
        <v>16.704999999999998</v>
      </c>
      <c r="E2286" s="3269">
        <v>-0.28128899023361875</v>
      </c>
      <c r="F2286" s="3004">
        <v>-5.6257798046723748E-3</v>
      </c>
      <c r="G2286" s="415"/>
      <c r="H2286" s="415" t="s">
        <v>9298</v>
      </c>
      <c r="I2286" s="412">
        <v>95.571299999999994</v>
      </c>
      <c r="J2286">
        <v>99.571299999999994</v>
      </c>
      <c r="K2286">
        <v>101.5928</v>
      </c>
      <c r="L2286">
        <v>98.392399999999995</v>
      </c>
      <c r="M2286">
        <v>100.34699999999999</v>
      </c>
      <c r="N2286">
        <v>95.571299999999994</v>
      </c>
      <c r="O2286">
        <v>100.9683</v>
      </c>
      <c r="P2286">
        <v>102.4238</v>
      </c>
      <c r="Q2286">
        <v>103.4062</v>
      </c>
      <c r="R2286">
        <v>103.922</v>
      </c>
      <c r="V2286" s="434"/>
    </row>
    <row r="2287" spans="1:22" ht="12.75" hidden="1" customHeight="1" outlineLevel="1" x14ac:dyDescent="0.25">
      <c r="A2287" s="2380">
        <v>0.03</v>
      </c>
      <c r="B2287" s="1921" t="s">
        <v>2697</v>
      </c>
      <c r="C2287" s="2108">
        <v>14.705</v>
      </c>
      <c r="D2287" s="3196">
        <v>18.71</v>
      </c>
      <c r="E2287" s="3270">
        <v>0.27235634138048281</v>
      </c>
      <c r="F2287" s="3007">
        <v>8.1706902414144834E-3</v>
      </c>
      <c r="G2287" s="415"/>
      <c r="H2287" s="415" t="s">
        <v>329</v>
      </c>
      <c r="I2287" s="422">
        <v>5.8266666666666682E-2</v>
      </c>
      <c r="V2287" s="434"/>
    </row>
    <row r="2288" spans="1:22" ht="12.75" hidden="1" customHeight="1" outlineLevel="1" x14ac:dyDescent="0.25">
      <c r="A2288" s="2380">
        <v>0.03</v>
      </c>
      <c r="B2288" s="1921" t="s">
        <v>218</v>
      </c>
      <c r="C2288" s="2108">
        <v>21.757999999999999</v>
      </c>
      <c r="D2288" s="3196">
        <v>29.85</v>
      </c>
      <c r="E2288" s="3270">
        <v>0.37190918282930419</v>
      </c>
      <c r="F2288" s="3007">
        <v>1.1157275484879126E-2</v>
      </c>
      <c r="G2288" s="415"/>
      <c r="H2288" s="415" t="s">
        <v>656</v>
      </c>
      <c r="J2288" s="434"/>
      <c r="V2288" s="434"/>
    </row>
    <row r="2289" spans="1:22" ht="12.75" hidden="1" customHeight="1" outlineLevel="1" x14ac:dyDescent="0.25">
      <c r="A2289" s="2380">
        <v>0.02</v>
      </c>
      <c r="B2289" s="1921" t="s">
        <v>9299</v>
      </c>
      <c r="C2289" s="2108">
        <v>236.48315774636231</v>
      </c>
      <c r="D2289" s="3196">
        <v>430.15</v>
      </c>
      <c r="E2289" s="3270">
        <v>0.81894560314249998</v>
      </c>
      <c r="F2289" s="3007">
        <v>1.6378912062849998E-2</v>
      </c>
      <c r="G2289" s="415"/>
      <c r="H2289" s="415" t="s">
        <v>9300</v>
      </c>
      <c r="J2289" s="434"/>
      <c r="K2289" s="37"/>
      <c r="V2289" s="434"/>
    </row>
    <row r="2290" spans="1:22" ht="12.75" hidden="1" customHeight="1" outlineLevel="1" x14ac:dyDescent="0.25">
      <c r="A2290" s="2380">
        <v>0.02</v>
      </c>
      <c r="B2290" s="1921" t="s">
        <v>10672</v>
      </c>
      <c r="C2290" s="2108">
        <v>47.348419721988975</v>
      </c>
      <c r="D2290" s="3196">
        <v>72.650000000000006</v>
      </c>
      <c r="E2290" s="3270">
        <v>0.53437011048250005</v>
      </c>
      <c r="F2290" s="3007">
        <v>1.0687402209650001E-2</v>
      </c>
      <c r="G2290" s="415"/>
      <c r="H2290" s="415" t="s">
        <v>10674</v>
      </c>
      <c r="J2290" s="434"/>
      <c r="V2290" s="434"/>
    </row>
    <row r="2291" spans="1:22" ht="12.75" hidden="1" customHeight="1" outlineLevel="1" x14ac:dyDescent="0.25">
      <c r="A2291" s="2380">
        <v>0.08</v>
      </c>
      <c r="B2291" s="1921" t="s">
        <v>6267</v>
      </c>
      <c r="C2291" s="2108">
        <v>23.939</v>
      </c>
      <c r="D2291" s="3196">
        <v>16.96</v>
      </c>
      <c r="E2291" s="3270">
        <v>-0.29153264547391278</v>
      </c>
      <c r="F2291" s="3007">
        <v>-2.3322611637913021E-2</v>
      </c>
      <c r="G2291" s="415"/>
      <c r="H2291" s="415" t="s">
        <v>6268</v>
      </c>
      <c r="J2291" s="434"/>
      <c r="V2291" s="434"/>
    </row>
    <row r="2292" spans="1:22" ht="12.75" hidden="1" customHeight="1" outlineLevel="1" x14ac:dyDescent="0.25">
      <c r="A2292" s="2380">
        <v>0.04</v>
      </c>
      <c r="B2292" s="1921" t="s">
        <v>9171</v>
      </c>
      <c r="C2292" s="2108">
        <v>19.665500000000002</v>
      </c>
      <c r="D2292" s="3196">
        <v>18.57</v>
      </c>
      <c r="E2292" s="3270">
        <v>-5.5706694464925932E-2</v>
      </c>
      <c r="F2292" s="3007">
        <v>-2.2282677785970375E-3</v>
      </c>
      <c r="G2292" s="415"/>
      <c r="H2292" s="415" t="s">
        <v>9172</v>
      </c>
      <c r="J2292" s="434"/>
      <c r="V2292" s="434"/>
    </row>
    <row r="2293" spans="1:22" ht="12.75" hidden="1" customHeight="1" outlineLevel="1" x14ac:dyDescent="0.25">
      <c r="A2293" s="2380">
        <v>0.03</v>
      </c>
      <c r="B2293" s="1921" t="s">
        <v>3021</v>
      </c>
      <c r="C2293" s="2108">
        <v>16.144600000000001</v>
      </c>
      <c r="D2293" s="3196">
        <v>13.366</v>
      </c>
      <c r="E2293" s="3270">
        <v>-0.17210708224421789</v>
      </c>
      <c r="F2293" s="3007">
        <v>-5.1632124673265363E-3</v>
      </c>
      <c r="G2293" s="415"/>
      <c r="H2293" s="415" t="s">
        <v>4124</v>
      </c>
      <c r="J2293" s="434"/>
      <c r="V2293" s="434"/>
    </row>
    <row r="2294" spans="1:22" ht="12.75" hidden="1" customHeight="1" outlineLevel="1" x14ac:dyDescent="0.25">
      <c r="A2294" s="2380">
        <v>0.02</v>
      </c>
      <c r="B2294" s="1921" t="s">
        <v>7014</v>
      </c>
      <c r="C2294" s="2108">
        <v>18.033000000000001</v>
      </c>
      <c r="D2294" s="3196">
        <v>26.26</v>
      </c>
      <c r="E2294" s="3270">
        <v>0.45621915377363731</v>
      </c>
      <c r="F2294" s="3007">
        <v>9.1243830754727459E-3</v>
      </c>
      <c r="G2294" s="415"/>
      <c r="H2294" s="415" t="s">
        <v>7012</v>
      </c>
      <c r="J2294" s="434"/>
      <c r="V2294" s="434"/>
    </row>
    <row r="2295" spans="1:22" ht="12.75" hidden="1" customHeight="1" outlineLevel="1" x14ac:dyDescent="0.25">
      <c r="A2295" s="2380">
        <v>0.03</v>
      </c>
      <c r="B2295" s="1921" t="s">
        <v>4268</v>
      </c>
      <c r="C2295" s="2108">
        <v>20.989000000000001</v>
      </c>
      <c r="D2295" s="3196">
        <v>14.46</v>
      </c>
      <c r="E2295" s="3270">
        <v>-0.31106770212968693</v>
      </c>
      <c r="F2295" s="3007">
        <v>-9.3320310638906074E-3</v>
      </c>
      <c r="G2295" s="415"/>
      <c r="H2295" s="415" t="s">
        <v>8442</v>
      </c>
      <c r="J2295" s="434"/>
      <c r="V2295" s="434"/>
    </row>
    <row r="2296" spans="1:22" ht="12.75" hidden="1" customHeight="1" outlineLevel="1" x14ac:dyDescent="0.25">
      <c r="A2296" s="2380">
        <v>0.05</v>
      </c>
      <c r="B2296" s="1921" t="s">
        <v>3643</v>
      </c>
      <c r="C2296" s="2108">
        <v>129.68600000000001</v>
      </c>
      <c r="D2296" s="3196">
        <v>132.04</v>
      </c>
      <c r="E2296" s="3270">
        <v>1.8151535246672568E-2</v>
      </c>
      <c r="F2296" s="3007">
        <v>9.0757676233362841E-4</v>
      </c>
      <c r="G2296" s="415"/>
      <c r="H2296" s="415" t="s">
        <v>1729</v>
      </c>
      <c r="J2296" s="434"/>
      <c r="V2296" s="434"/>
    </row>
    <row r="2297" spans="1:22" ht="12.75" hidden="1" customHeight="1" outlineLevel="1" x14ac:dyDescent="0.25">
      <c r="A2297" s="2380">
        <v>0.02</v>
      </c>
      <c r="B2297" s="1921" t="s">
        <v>1031</v>
      </c>
      <c r="C2297" s="2108">
        <v>6.5229999999999997</v>
      </c>
      <c r="D2297" s="3196">
        <v>10.865</v>
      </c>
      <c r="E2297" s="3270">
        <v>0.66564464203587326</v>
      </c>
      <c r="F2297" s="3007">
        <v>1.3312892840717466E-2</v>
      </c>
      <c r="G2297" s="415"/>
      <c r="H2297" s="415" t="s">
        <v>7872</v>
      </c>
      <c r="J2297" s="434"/>
      <c r="V2297" s="434"/>
    </row>
    <row r="2298" spans="1:22" ht="12.75" hidden="1" customHeight="1" outlineLevel="1" x14ac:dyDescent="0.25">
      <c r="A2298" s="2380">
        <v>0.02</v>
      </c>
      <c r="B2298" s="1921" t="s">
        <v>44</v>
      </c>
      <c r="C2298" s="2519">
        <v>2.2827000000000002</v>
      </c>
      <c r="D2298" s="3196">
        <v>2.5615000000000001</v>
      </c>
      <c r="E2298" s="3270">
        <v>0.12213606693827472</v>
      </c>
      <c r="F2298" s="3007">
        <v>2.4427213387654945E-3</v>
      </c>
      <c r="G2298" s="415"/>
      <c r="H2298" s="415" t="s">
        <v>204</v>
      </c>
      <c r="J2298" s="434"/>
      <c r="V2298" s="434"/>
    </row>
    <row r="2299" spans="1:22" ht="12.75" hidden="1" customHeight="1" outlineLevel="1" x14ac:dyDescent="0.25">
      <c r="A2299" s="2380">
        <v>0.03</v>
      </c>
      <c r="B2299" s="1921" t="s">
        <v>9011</v>
      </c>
      <c r="C2299" s="2108">
        <v>31.658000000000001</v>
      </c>
      <c r="D2299" s="3196">
        <v>23.67</v>
      </c>
      <c r="E2299" s="3270">
        <v>-0.25232168804093746</v>
      </c>
      <c r="F2299" s="3007">
        <v>-7.5696506412281234E-3</v>
      </c>
      <c r="G2299" s="415"/>
      <c r="H2299" s="415" t="s">
        <v>9012</v>
      </c>
      <c r="J2299" s="434"/>
      <c r="V2299" s="434"/>
    </row>
    <row r="2300" spans="1:22" ht="12.75" hidden="1" customHeight="1" outlineLevel="1" x14ac:dyDescent="0.25">
      <c r="A2300" s="2380">
        <v>0.02</v>
      </c>
      <c r="B2300" s="1921" t="s">
        <v>8527</v>
      </c>
      <c r="C2300" s="2108">
        <v>37.097000000000001</v>
      </c>
      <c r="D2300" s="3196">
        <v>38.299999999999997</v>
      </c>
      <c r="E2300" s="3270">
        <v>3.2428498261314775E-2</v>
      </c>
      <c r="F2300" s="3007">
        <v>6.4856996522629547E-4</v>
      </c>
      <c r="G2300" s="415"/>
      <c r="H2300" s="415" t="s">
        <v>8516</v>
      </c>
      <c r="J2300" s="434"/>
      <c r="V2300" s="434"/>
    </row>
    <row r="2301" spans="1:22" ht="12.75" hidden="1" customHeight="1" outlineLevel="1" x14ac:dyDescent="0.25">
      <c r="A2301" s="2380">
        <v>0.02</v>
      </c>
      <c r="B2301" s="1921" t="s">
        <v>10734</v>
      </c>
      <c r="C2301" s="2108">
        <v>18.236999999999998</v>
      </c>
      <c r="D2301" s="3196">
        <v>15.71</v>
      </c>
      <c r="E2301" s="3270">
        <v>-0.13856445687338914</v>
      </c>
      <c r="F2301" s="3007">
        <v>-2.7712891374677829E-3</v>
      </c>
      <c r="G2301" s="415"/>
      <c r="H2301" s="415" t="s">
        <v>10735</v>
      </c>
      <c r="J2301" s="434"/>
      <c r="V2301" s="434"/>
    </row>
    <row r="2302" spans="1:22" ht="12.75" hidden="1" customHeight="1" outlineLevel="1" x14ac:dyDescent="0.25">
      <c r="A2302" s="2380">
        <v>0.02</v>
      </c>
      <c r="B2302" s="1921" t="s">
        <v>54</v>
      </c>
      <c r="C2302" s="2108">
        <v>16.62</v>
      </c>
      <c r="D2302" s="3196">
        <v>15.005000000000001</v>
      </c>
      <c r="E2302" s="3270">
        <v>-9.7172081829121515E-2</v>
      </c>
      <c r="F2302" s="3007">
        <v>-1.9434416365824304E-3</v>
      </c>
      <c r="G2302" s="415"/>
      <c r="H2302" s="415" t="s">
        <v>6741</v>
      </c>
      <c r="J2302" s="434"/>
      <c r="V2302" s="434"/>
    </row>
    <row r="2303" spans="1:22" ht="12.75" hidden="1" customHeight="1" outlineLevel="1" x14ac:dyDescent="0.25">
      <c r="A2303" s="2380">
        <v>0.08</v>
      </c>
      <c r="B2303" s="1921" t="s">
        <v>3800</v>
      </c>
      <c r="C2303" s="2108">
        <v>240.255</v>
      </c>
      <c r="D2303" s="3196">
        <v>271.8</v>
      </c>
      <c r="E2303" s="3270">
        <v>0.13129799587937829</v>
      </c>
      <c r="F2303" s="3007">
        <v>1.0503839670350264E-2</v>
      </c>
      <c r="G2303" s="415"/>
      <c r="H2303" s="415" t="s">
        <v>8876</v>
      </c>
      <c r="J2303" s="434"/>
      <c r="V2303" s="434"/>
    </row>
    <row r="2304" spans="1:22" ht="12.75" hidden="1" customHeight="1" outlineLevel="1" x14ac:dyDescent="0.25">
      <c r="A2304" s="2380">
        <v>0.06</v>
      </c>
      <c r="B2304" s="1921" t="s">
        <v>6270</v>
      </c>
      <c r="C2304" s="2108">
        <v>40.505720947015114</v>
      </c>
      <c r="D2304" s="3196">
        <v>46.04</v>
      </c>
      <c r="E2304" s="3270">
        <v>0.13662956549333338</v>
      </c>
      <c r="F2304" s="3007">
        <v>8.1977739296000031E-3</v>
      </c>
      <c r="G2304" s="415"/>
      <c r="H2304" s="415" t="s">
        <v>8166</v>
      </c>
      <c r="J2304" s="434"/>
      <c r="V2304" s="434"/>
    </row>
    <row r="2305" spans="1:22" ht="12.75" hidden="1" customHeight="1" outlineLevel="1" x14ac:dyDescent="0.25">
      <c r="A2305" s="2380">
        <v>0.02</v>
      </c>
      <c r="B2305" s="1921" t="s">
        <v>1187</v>
      </c>
      <c r="C2305" s="2108">
        <v>72.82607917917143</v>
      </c>
      <c r="D2305" s="3196">
        <v>88.89</v>
      </c>
      <c r="E2305" s="3270">
        <v>0.22057923482750019</v>
      </c>
      <c r="F2305" s="3007">
        <v>4.411584696550004E-3</v>
      </c>
      <c r="G2305" s="415"/>
      <c r="H2305" s="415" t="s">
        <v>3483</v>
      </c>
      <c r="J2305" s="434"/>
      <c r="V2305" s="434"/>
    </row>
    <row r="2306" spans="1:22" ht="12.75" hidden="1" customHeight="1" outlineLevel="1" x14ac:dyDescent="0.25">
      <c r="A2306" s="2380">
        <v>0.02</v>
      </c>
      <c r="B2306" s="1921" t="s">
        <v>6524</v>
      </c>
      <c r="C2306" s="2108">
        <v>94.350818345218357</v>
      </c>
      <c r="D2306" s="3196">
        <v>131.05000000000001</v>
      </c>
      <c r="E2306" s="3270">
        <v>0.38896516531000014</v>
      </c>
      <c r="F2306" s="3007">
        <v>7.7793033062000033E-3</v>
      </c>
      <c r="G2306" s="415"/>
      <c r="H2306" s="415" t="s">
        <v>6525</v>
      </c>
      <c r="J2306" s="434"/>
      <c r="V2306" s="434"/>
    </row>
    <row r="2307" spans="1:22" ht="12.75" hidden="1" customHeight="1" outlineLevel="1" x14ac:dyDescent="0.25">
      <c r="A2307" s="2380">
        <v>0.05</v>
      </c>
      <c r="B2307" s="1921" t="s">
        <v>6116</v>
      </c>
      <c r="C2307" s="2108">
        <v>3.7353000000000001</v>
      </c>
      <c r="D2307" s="3196">
        <v>4.6459999999999999</v>
      </c>
      <c r="E2307" s="3270">
        <v>0.24380906486761433</v>
      </c>
      <c r="F2307" s="3007">
        <v>1.2190453243380717E-2</v>
      </c>
      <c r="G2307" s="415"/>
      <c r="H2307" s="415" t="s">
        <v>6114</v>
      </c>
      <c r="J2307" s="434"/>
      <c r="V2307" s="434"/>
    </row>
    <row r="2308" spans="1:22" ht="12.75" hidden="1" customHeight="1" outlineLevel="1" x14ac:dyDescent="0.25">
      <c r="A2308" s="2380">
        <v>0.02</v>
      </c>
      <c r="B2308" s="1921" t="s">
        <v>6527</v>
      </c>
      <c r="C2308" s="2108">
        <v>104.55789836114904</v>
      </c>
      <c r="D2308" s="3196">
        <v>111.1</v>
      </c>
      <c r="E2308" s="3270">
        <v>6.2569176900000079E-2</v>
      </c>
      <c r="F2308" s="3007">
        <v>1.2513835380000015E-3</v>
      </c>
      <c r="G2308" s="415"/>
      <c r="H2308" s="415" t="s">
        <v>6528</v>
      </c>
      <c r="J2308" s="434"/>
      <c r="V2308" s="434"/>
    </row>
    <row r="2309" spans="1:22" ht="12.75" hidden="1" customHeight="1" outlineLevel="1" x14ac:dyDescent="0.25">
      <c r="A2309" s="2380">
        <v>0.05</v>
      </c>
      <c r="B2309" s="1921" t="s">
        <v>1724</v>
      </c>
      <c r="C2309" s="2108">
        <v>203.12339100883898</v>
      </c>
      <c r="D2309" s="3196">
        <v>213.8</v>
      </c>
      <c r="E2309" s="3270">
        <v>5.2562183695999964E-2</v>
      </c>
      <c r="F2309" s="3007">
        <v>2.6281091847999982E-3</v>
      </c>
      <c r="G2309" s="415"/>
      <c r="H2309" s="415" t="s">
        <v>1725</v>
      </c>
      <c r="J2309" s="434"/>
      <c r="V2309" s="434"/>
    </row>
    <row r="2310" spans="1:22" ht="12.75" hidden="1" customHeight="1" outlineLevel="1" x14ac:dyDescent="0.25">
      <c r="A2310" s="2380">
        <v>0.02</v>
      </c>
      <c r="B2310" s="1921" t="s">
        <v>9173</v>
      </c>
      <c r="C2310" s="2108">
        <v>350.23</v>
      </c>
      <c r="D2310" s="3196">
        <v>566.20000000000005</v>
      </c>
      <c r="E2310" s="3270">
        <v>0.61665191445621459</v>
      </c>
      <c r="F2310" s="3007">
        <v>1.2333038289124292E-2</v>
      </c>
      <c r="G2310" s="415"/>
      <c r="H2310" s="415" t="s">
        <v>9174</v>
      </c>
      <c r="J2310" s="434"/>
      <c r="V2310" s="434"/>
    </row>
    <row r="2311" spans="1:22" ht="12.75" hidden="1" customHeight="1" outlineLevel="1" x14ac:dyDescent="0.25">
      <c r="A2311" s="2380">
        <v>0.05</v>
      </c>
      <c r="B2311" s="1921" t="s">
        <v>6118</v>
      </c>
      <c r="C2311" s="2108">
        <v>87.412000000000006</v>
      </c>
      <c r="D2311" s="3196">
        <v>98.2</v>
      </c>
      <c r="E2311" s="3270">
        <v>0.12341554935249155</v>
      </c>
      <c r="F2311" s="3007">
        <v>6.1707774676245776E-3</v>
      </c>
      <c r="G2311" s="415"/>
      <c r="H2311" s="415" t="s">
        <v>8893</v>
      </c>
      <c r="J2311" s="434"/>
      <c r="V2311" s="434"/>
    </row>
    <row r="2312" spans="1:22" ht="12.75" hidden="1" customHeight="1" outlineLevel="1" x14ac:dyDescent="0.25">
      <c r="A2312" s="2380">
        <v>7.0000000000000007E-2</v>
      </c>
      <c r="B2312" s="1921" t="s">
        <v>434</v>
      </c>
      <c r="C2312" s="2108">
        <v>42.377000000000002</v>
      </c>
      <c r="D2312" s="3196">
        <v>27.05</v>
      </c>
      <c r="E2312" s="3270">
        <v>-0.36168204450527408</v>
      </c>
      <c r="F2312" s="3007">
        <v>-2.5317743115369187E-2</v>
      </c>
      <c r="G2312" s="415"/>
      <c r="H2312" s="415" t="s">
        <v>7745</v>
      </c>
      <c r="J2312" s="434"/>
      <c r="V2312" s="434"/>
    </row>
    <row r="2313" spans="1:22" ht="12.75" hidden="1" customHeight="1" outlineLevel="1" x14ac:dyDescent="0.25">
      <c r="A2313" s="2380">
        <v>0.02</v>
      </c>
      <c r="B2313" s="1921" t="s">
        <v>10633</v>
      </c>
      <c r="C2313" s="2108">
        <v>53.804000000000002</v>
      </c>
      <c r="D2313" s="3196">
        <v>58.57</v>
      </c>
      <c r="E2313" s="3270">
        <v>8.858077466359382E-2</v>
      </c>
      <c r="F2313" s="3007">
        <v>1.7716154932718765E-3</v>
      </c>
      <c r="G2313" s="415"/>
      <c r="H2313" s="415" t="s">
        <v>10634</v>
      </c>
      <c r="J2313" s="434"/>
      <c r="V2313" s="434"/>
    </row>
    <row r="2314" spans="1:22" ht="12.75" hidden="1" customHeight="1" outlineLevel="1" x14ac:dyDescent="0.25">
      <c r="A2314" s="2380">
        <v>0.02</v>
      </c>
      <c r="B2314" s="1921" t="s">
        <v>9301</v>
      </c>
      <c r="C2314" s="2108">
        <v>186.58500000000001</v>
      </c>
      <c r="D2314" s="3196">
        <v>59.94</v>
      </c>
      <c r="E2314" s="3270">
        <v>-0.67875231127904168</v>
      </c>
      <c r="F2314" s="3007">
        <v>-1.3575046225580834E-2</v>
      </c>
      <c r="G2314" s="415"/>
      <c r="H2314" s="415" t="s">
        <v>9302</v>
      </c>
      <c r="J2314" s="434"/>
      <c r="V2314" s="434"/>
    </row>
    <row r="2315" spans="1:22" ht="12.75" hidden="1" customHeight="1" outlineLevel="1" x14ac:dyDescent="0.25">
      <c r="A2315" s="2380">
        <v>0.02</v>
      </c>
      <c r="B2315" s="2109" t="s">
        <v>4550</v>
      </c>
      <c r="C2315" s="2108">
        <v>297.76</v>
      </c>
      <c r="D2315" s="3199">
        <v>446.4</v>
      </c>
      <c r="E2315" s="3270">
        <v>0.49919398173025242</v>
      </c>
      <c r="F2315" s="3007">
        <v>9.9838796346050484E-3</v>
      </c>
      <c r="G2315" s="415"/>
      <c r="H2315" s="415" t="s">
        <v>8889</v>
      </c>
      <c r="J2315" s="434"/>
      <c r="V2315" s="434"/>
    </row>
    <row r="2316" spans="1:22" ht="12.75" hidden="1" customHeight="1" outlineLevel="1" x14ac:dyDescent="0.25">
      <c r="A2316" s="2181" t="s">
        <v>2734</v>
      </c>
      <c r="B2316" s="2103"/>
      <c r="C2316" s="3200">
        <v>100</v>
      </c>
      <c r="D2316" s="3201"/>
      <c r="E2316" s="3202"/>
      <c r="F2316" s="3202">
        <v>5.3600000000000002E-2</v>
      </c>
      <c r="G2316" s="415"/>
      <c r="H2316" s="415"/>
    </row>
    <row r="2317" spans="1:22" ht="12.75" hidden="1" customHeight="1" outlineLevel="1" x14ac:dyDescent="0.25">
      <c r="A2317" s="1956" t="s">
        <v>9406</v>
      </c>
      <c r="B2317" s="2185">
        <v>44621</v>
      </c>
      <c r="C2317" s="3203">
        <v>100</v>
      </c>
      <c r="D2317" s="3203">
        <v>107.2022</v>
      </c>
      <c r="E2317" s="3204">
        <v>7.202200000000003E-2</v>
      </c>
      <c r="F2317" s="3151"/>
      <c r="G2317" s="415"/>
      <c r="H2317" s="415"/>
    </row>
    <row r="2318" spans="1:22" ht="12.75" hidden="1" customHeight="1" outlineLevel="1" x14ac:dyDescent="0.25">
      <c r="A2318" s="1956" t="s">
        <v>9407</v>
      </c>
      <c r="B2318" s="2185">
        <v>44652</v>
      </c>
      <c r="C2318" s="3203">
        <v>100</v>
      </c>
      <c r="D2318" s="3206">
        <v>108.0574</v>
      </c>
      <c r="E2318" s="3204">
        <v>8.0573999999999923E-2</v>
      </c>
      <c r="F2318" s="3151"/>
      <c r="G2318" s="415"/>
      <c r="H2318" s="415"/>
    </row>
    <row r="2319" spans="1:22" ht="12.75" hidden="1" customHeight="1" outlineLevel="1" x14ac:dyDescent="0.25">
      <c r="A2319" s="1956" t="s">
        <v>9408</v>
      </c>
      <c r="B2319" s="2185">
        <v>44682</v>
      </c>
      <c r="C2319" s="3203">
        <v>100</v>
      </c>
      <c r="D2319" s="3206">
        <v>106.5202</v>
      </c>
      <c r="E2319" s="3204">
        <v>6.5201999999999982E-2</v>
      </c>
      <c r="F2319" s="3151"/>
      <c r="G2319" s="415"/>
      <c r="H2319" s="415"/>
    </row>
    <row r="2320" spans="1:22" ht="12.75" hidden="1" customHeight="1" outlineLevel="1" x14ac:dyDescent="0.25">
      <c r="A2320" s="1956" t="s">
        <v>9409</v>
      </c>
      <c r="B2320" s="2185">
        <v>44713</v>
      </c>
      <c r="C2320" s="3203">
        <v>100</v>
      </c>
      <c r="D2320" s="3206">
        <v>98.302000000000007</v>
      </c>
      <c r="E2320" s="3204">
        <v>-1.6979999999999884E-2</v>
      </c>
      <c r="F2320" s="3151"/>
      <c r="G2320" s="415"/>
      <c r="H2320" s="415"/>
    </row>
    <row r="2321" spans="1:18" ht="12.75" hidden="1" customHeight="1" outlineLevel="1" x14ac:dyDescent="0.25">
      <c r="A2321" s="1956" t="s">
        <v>9410</v>
      </c>
      <c r="B2321" s="2185">
        <v>44743</v>
      </c>
      <c r="C2321" s="3203">
        <v>100</v>
      </c>
      <c r="D2321" s="3206">
        <v>98.548400000000001</v>
      </c>
      <c r="E2321" s="3204">
        <v>-1.4515999999999973E-2</v>
      </c>
      <c r="F2321" s="3151"/>
      <c r="G2321" s="415"/>
      <c r="H2321" s="415">
        <v>104.7253</v>
      </c>
      <c r="I2321">
        <v>105.358</v>
      </c>
    </row>
    <row r="2322" spans="1:18" ht="12.75" hidden="1" customHeight="1" outlineLevel="1" x14ac:dyDescent="0.25">
      <c r="A2322" s="1956" t="s">
        <v>9411</v>
      </c>
      <c r="B2322" s="2185">
        <v>44774</v>
      </c>
      <c r="C2322" s="3203">
        <v>100</v>
      </c>
      <c r="D2322" s="3206">
        <v>96.967100000000002</v>
      </c>
      <c r="E2322" s="3204">
        <v>-3.0328999999999939E-2</v>
      </c>
      <c r="F2322" s="3151"/>
      <c r="G2322" s="415"/>
      <c r="H2322" s="415"/>
    </row>
    <row r="2323" spans="1:18" ht="12.75" hidden="1" customHeight="1" outlineLevel="1" x14ac:dyDescent="0.25">
      <c r="A2323" s="1956" t="s">
        <v>9412</v>
      </c>
      <c r="B2323" s="2185">
        <v>44805</v>
      </c>
      <c r="C2323" s="3203">
        <v>100</v>
      </c>
      <c r="D2323" s="3206">
        <v>91.801400000000001</v>
      </c>
      <c r="E2323" s="3204">
        <v>-8.1986000000000003E-2</v>
      </c>
      <c r="F2323" s="3151"/>
      <c r="G2323" s="415"/>
      <c r="H2323" s="415"/>
    </row>
    <row r="2324" spans="1:18" ht="12.75" hidden="1" customHeight="1" outlineLevel="1" x14ac:dyDescent="0.25">
      <c r="A2324" s="1956" t="s">
        <v>9413</v>
      </c>
      <c r="B2324" s="2185">
        <v>44835</v>
      </c>
      <c r="C2324" s="3203">
        <v>100</v>
      </c>
      <c r="D2324" s="3206">
        <v>97.701099999999997</v>
      </c>
      <c r="E2324" s="3204">
        <v>-2.2989000000000037E-2</v>
      </c>
      <c r="F2324" s="3151"/>
      <c r="G2324" s="415"/>
      <c r="H2324" s="415"/>
    </row>
    <row r="2325" spans="1:18" ht="12.75" hidden="1" customHeight="1" outlineLevel="1" x14ac:dyDescent="0.25">
      <c r="A2325" s="1956" t="s">
        <v>9414</v>
      </c>
      <c r="B2325" s="2185">
        <v>44866</v>
      </c>
      <c r="C2325" s="3203">
        <v>100</v>
      </c>
      <c r="D2325" s="3206">
        <v>102.11750000000001</v>
      </c>
      <c r="E2325" s="3204">
        <v>2.1175000000000166E-2</v>
      </c>
      <c r="F2325" s="3151"/>
      <c r="G2325" s="415"/>
      <c r="H2325" s="415"/>
    </row>
    <row r="2326" spans="1:18" ht="12.75" hidden="1" customHeight="1" outlineLevel="1" x14ac:dyDescent="0.25">
      <c r="A2326" s="1956" t="s">
        <v>9415</v>
      </c>
      <c r="B2326" s="2185">
        <v>44896</v>
      </c>
      <c r="C2326" s="3203">
        <v>100</v>
      </c>
      <c r="D2326" s="3206">
        <v>99.474999999999994</v>
      </c>
      <c r="E2326" s="3204">
        <v>-5.2500000000000879E-3</v>
      </c>
      <c r="F2326" s="3151"/>
      <c r="G2326" s="415"/>
      <c r="H2326" s="415"/>
    </row>
    <row r="2327" spans="1:18" ht="12.75" hidden="1" customHeight="1" outlineLevel="1" x14ac:dyDescent="0.25">
      <c r="A2327" s="1956" t="s">
        <v>9416</v>
      </c>
      <c r="B2327" s="2185">
        <v>44927</v>
      </c>
      <c r="C2327" s="3203">
        <v>100</v>
      </c>
      <c r="D2327" s="3206">
        <v>104.7253</v>
      </c>
      <c r="E2327" s="3204">
        <v>4.7252999999999989E-2</v>
      </c>
      <c r="F2327" s="3151"/>
      <c r="G2327" s="415"/>
      <c r="H2327" s="415"/>
    </row>
    <row r="2328" spans="1:18" ht="12.75" hidden="1" customHeight="1" outlineLevel="1" x14ac:dyDescent="0.25">
      <c r="A2328" s="1956" t="s">
        <v>9417</v>
      </c>
      <c r="B2328" s="2185">
        <v>44958</v>
      </c>
      <c r="C2328" s="3203">
        <v>100</v>
      </c>
      <c r="D2328" s="3206">
        <v>105.358</v>
      </c>
      <c r="E2328" s="3204">
        <v>5.3579999999999961E-2</v>
      </c>
      <c r="F2328" s="3151"/>
      <c r="G2328" s="415"/>
      <c r="H2328" s="415"/>
    </row>
    <row r="2329" spans="1:18" s="444" customFormat="1" ht="12.75" hidden="1" customHeight="1" outlineLevel="1" x14ac:dyDescent="0.25">
      <c r="A2329" s="2189" t="s">
        <v>2734</v>
      </c>
      <c r="B2329" s="2190"/>
      <c r="C2329" s="3206"/>
      <c r="D2329" s="2191" t="s">
        <v>2465</v>
      </c>
      <c r="E2329" s="1987">
        <v>1.3979666666666677E-2</v>
      </c>
      <c r="F2329" s="2528">
        <v>5.8266666666666682E-2</v>
      </c>
    </row>
    <row r="2330" spans="1:18" collapsed="1" x14ac:dyDescent="0.25">
      <c r="A2330" s="3801" t="s">
        <v>9296</v>
      </c>
      <c r="B2330" s="3802"/>
      <c r="C2330" s="3802"/>
      <c r="D2330" s="3802"/>
      <c r="E2330" s="1906"/>
      <c r="F2330" s="1907">
        <v>5.8266666666666682E-2</v>
      </c>
      <c r="G2330" s="415"/>
    </row>
    <row r="2332" spans="1:18" ht="12.75" hidden="1" customHeight="1" outlineLevel="1" x14ac:dyDescent="0.25">
      <c r="A2332" s="3180" t="s">
        <v>4156</v>
      </c>
      <c r="B2332" s="3180" t="s">
        <v>4153</v>
      </c>
      <c r="C2332" s="3754" t="s">
        <v>112</v>
      </c>
      <c r="D2332" s="3192" t="s">
        <v>4155</v>
      </c>
      <c r="E2332" s="3180" t="s">
        <v>4154</v>
      </c>
      <c r="F2332" s="3192" t="s">
        <v>2519</v>
      </c>
      <c r="G2332" s="12"/>
      <c r="H2332" s="415"/>
      <c r="I2332" s="412" t="s">
        <v>6964</v>
      </c>
      <c r="J2332" s="1462">
        <v>43405</v>
      </c>
      <c r="K2332" s="1462">
        <v>43435</v>
      </c>
      <c r="L2332" s="1462">
        <v>43466</v>
      </c>
      <c r="M2332" s="1462">
        <v>43497</v>
      </c>
      <c r="N2332" s="1462">
        <v>43525</v>
      </c>
      <c r="O2332" s="1462">
        <v>43556</v>
      </c>
      <c r="P2332" s="1462">
        <v>43586</v>
      </c>
      <c r="Q2332" s="1462">
        <v>43617</v>
      </c>
      <c r="R2332" s="1462">
        <v>43647</v>
      </c>
    </row>
    <row r="2333" spans="1:18" ht="12.75" hidden="1" customHeight="1" outlineLevel="1" x14ac:dyDescent="0.25">
      <c r="A2333" s="1991">
        <v>0.02</v>
      </c>
      <c r="B2333" s="1921" t="s">
        <v>1993</v>
      </c>
      <c r="C2333" s="2108">
        <v>61.619</v>
      </c>
      <c r="D2333" s="3194">
        <v>43.62</v>
      </c>
      <c r="E2333" s="3269">
        <v>-0.29210146221133093</v>
      </c>
      <c r="F2333" s="3004">
        <v>-5.8420292442266184E-3</v>
      </c>
      <c r="G2333" s="415"/>
      <c r="H2333" s="415" t="s">
        <v>2812</v>
      </c>
      <c r="I2333" s="412">
        <v>95.127600000000001</v>
      </c>
      <c r="J2333">
        <v>98.8874</v>
      </c>
      <c r="K2333">
        <v>102.88760000000001</v>
      </c>
      <c r="L2333">
        <v>95.127600000000001</v>
      </c>
      <c r="M2333">
        <v>102.876</v>
      </c>
      <c r="N2333">
        <v>106.0115</v>
      </c>
      <c r="O2333">
        <v>107.2783</v>
      </c>
      <c r="P2333">
        <v>108.2009</v>
      </c>
      <c r="Q2333">
        <v>105.7602</v>
      </c>
      <c r="R2333">
        <v>107.4023</v>
      </c>
    </row>
    <row r="2334" spans="1:18" ht="12.75" hidden="1" customHeight="1" outlineLevel="1" x14ac:dyDescent="0.25">
      <c r="A2334" s="2380">
        <v>0.02</v>
      </c>
      <c r="B2334" s="1921" t="s">
        <v>1317</v>
      </c>
      <c r="C2334" s="2108">
        <v>71.870999999999995</v>
      </c>
      <c r="D2334" s="3196">
        <v>86.09</v>
      </c>
      <c r="E2334" s="3270">
        <v>0.19784057547550482</v>
      </c>
      <c r="F2334" s="3007">
        <v>3.9568115095100966E-3</v>
      </c>
      <c r="G2334" s="415"/>
      <c r="H2334" s="415" t="s">
        <v>1318</v>
      </c>
      <c r="I2334" s="422">
        <v>0.15387641666666668</v>
      </c>
    </row>
    <row r="2335" spans="1:18" ht="12.75" hidden="1" customHeight="1" outlineLevel="1" x14ac:dyDescent="0.25">
      <c r="A2335" s="2380">
        <v>0.02</v>
      </c>
      <c r="B2335" s="1921" t="s">
        <v>805</v>
      </c>
      <c r="C2335" s="2108">
        <v>104.02</v>
      </c>
      <c r="D2335" s="3196">
        <v>132.25</v>
      </c>
      <c r="E2335" s="3270">
        <v>0.27139011728513762</v>
      </c>
      <c r="F2335" s="3007">
        <v>5.4278023457027527E-3</v>
      </c>
      <c r="G2335" s="415"/>
      <c r="H2335" s="415" t="s">
        <v>806</v>
      </c>
      <c r="J2335" s="434"/>
    </row>
    <row r="2336" spans="1:18" ht="12.75" hidden="1" customHeight="1" outlineLevel="1" x14ac:dyDescent="0.25">
      <c r="A2336" s="2380">
        <v>0.05</v>
      </c>
      <c r="B2336" s="1921" t="s">
        <v>5748</v>
      </c>
      <c r="C2336" s="2108">
        <v>72.504000000000005</v>
      </c>
      <c r="D2336" s="3196">
        <v>70.069999999999993</v>
      </c>
      <c r="E2336" s="3270">
        <v>-3.3570561624186368E-2</v>
      </c>
      <c r="F2336" s="3007">
        <v>-1.6785280812093184E-3</v>
      </c>
      <c r="G2336" s="415"/>
      <c r="H2336" s="415" t="s">
        <v>5746</v>
      </c>
      <c r="J2336" s="434"/>
      <c r="K2336" s="37"/>
    </row>
    <row r="2337" spans="1:10" ht="12.75" hidden="1" customHeight="1" outlineLevel="1" x14ac:dyDescent="0.25">
      <c r="A2337" s="2380">
        <v>0.08</v>
      </c>
      <c r="B2337" s="1921" t="s">
        <v>807</v>
      </c>
      <c r="C2337" s="2108">
        <v>51.728000000000002</v>
      </c>
      <c r="D2337" s="3196">
        <v>46.03</v>
      </c>
      <c r="E2337" s="3270">
        <v>-0.11015310856789362</v>
      </c>
      <c r="F2337" s="3007">
        <v>-8.8122486854314893E-3</v>
      </c>
      <c r="G2337" s="415"/>
      <c r="H2337" s="415" t="s">
        <v>808</v>
      </c>
      <c r="J2337" s="434"/>
    </row>
    <row r="2338" spans="1:10" ht="12.75" hidden="1" customHeight="1" outlineLevel="1" x14ac:dyDescent="0.25">
      <c r="A2338" s="2380">
        <v>0.04</v>
      </c>
      <c r="B2338" s="1921" t="s">
        <v>3954</v>
      </c>
      <c r="C2338" s="2108">
        <v>58.506999999999998</v>
      </c>
      <c r="D2338" s="3196">
        <v>68.67</v>
      </c>
      <c r="E2338" s="3270">
        <v>0.17370571042781213</v>
      </c>
      <c r="F2338" s="3007">
        <v>6.948228417112485E-3</v>
      </c>
      <c r="G2338" s="415"/>
      <c r="H2338" s="415" t="s">
        <v>3955</v>
      </c>
      <c r="J2338" s="434"/>
    </row>
    <row r="2339" spans="1:10" ht="12.75" hidden="1" customHeight="1" outlineLevel="1" x14ac:dyDescent="0.25">
      <c r="A2339" s="2380">
        <v>0.02</v>
      </c>
      <c r="B2339" s="1921" t="s">
        <v>9512</v>
      </c>
      <c r="C2339" s="2108">
        <v>107.48399999999999</v>
      </c>
      <c r="D2339" s="3196">
        <v>105.83</v>
      </c>
      <c r="E2339" s="3270">
        <v>-1.5388336868743191E-2</v>
      </c>
      <c r="F2339" s="3007">
        <v>-3.0776673737486381E-4</v>
      </c>
      <c r="G2339" s="415"/>
      <c r="H2339" s="415" t="s">
        <v>9513</v>
      </c>
      <c r="J2339" s="434"/>
    </row>
    <row r="2340" spans="1:10" ht="12.75" hidden="1" customHeight="1" outlineLevel="1" x14ac:dyDescent="0.25">
      <c r="A2340" s="2380">
        <v>0.04</v>
      </c>
      <c r="B2340" s="1921" t="s">
        <v>9591</v>
      </c>
      <c r="C2340" s="2108">
        <v>72.3</v>
      </c>
      <c r="D2340" s="3196">
        <v>49.19</v>
      </c>
      <c r="E2340" s="3270">
        <v>-0.31964038727524202</v>
      </c>
      <c r="F2340" s="3007">
        <v>-1.2785615491009681E-2</v>
      </c>
      <c r="G2340" s="415"/>
      <c r="H2340" s="415" t="s">
        <v>2622</v>
      </c>
      <c r="J2340" s="434"/>
    </row>
    <row r="2341" spans="1:10" ht="12.75" hidden="1" customHeight="1" outlineLevel="1" x14ac:dyDescent="0.25">
      <c r="A2341" s="2380">
        <v>7.0000000000000007E-2</v>
      </c>
      <c r="B2341" s="1921" t="s">
        <v>1231</v>
      </c>
      <c r="C2341" s="2108">
        <v>81.073999999999998</v>
      </c>
      <c r="D2341" s="3196">
        <v>96.71</v>
      </c>
      <c r="E2341" s="3270">
        <v>0.19286084318030428</v>
      </c>
      <c r="F2341" s="3007">
        <v>1.3500259022621301E-2</v>
      </c>
      <c r="G2341" s="415"/>
      <c r="H2341" s="415" t="s">
        <v>2041</v>
      </c>
      <c r="J2341" s="434"/>
    </row>
    <row r="2342" spans="1:10" ht="12.75" hidden="1" customHeight="1" outlineLevel="1" x14ac:dyDescent="0.25">
      <c r="A2342" s="2380">
        <v>0.06</v>
      </c>
      <c r="B2342" s="1921" t="s">
        <v>7855</v>
      </c>
      <c r="C2342" s="2108">
        <v>42.572000000000003</v>
      </c>
      <c r="D2342" s="3196">
        <v>48.95</v>
      </c>
      <c r="E2342" s="3270">
        <v>0.14981678098280549</v>
      </c>
      <c r="F2342" s="3007">
        <v>8.9890068589683295E-3</v>
      </c>
      <c r="G2342" s="415"/>
      <c r="H2342" s="415" t="s">
        <v>7851</v>
      </c>
      <c r="J2342" s="434"/>
    </row>
    <row r="2343" spans="1:10" ht="12.75" hidden="1" customHeight="1" outlineLevel="1" x14ac:dyDescent="0.25">
      <c r="A2343" s="2380">
        <v>0.02</v>
      </c>
      <c r="B2343" s="1921" t="s">
        <v>3425</v>
      </c>
      <c r="C2343" s="2108">
        <v>83.084999999999994</v>
      </c>
      <c r="D2343" s="3196">
        <v>116.24</v>
      </c>
      <c r="E2343" s="3270">
        <v>0.39904916651621836</v>
      </c>
      <c r="F2343" s="3007">
        <v>7.9809833303243673E-3</v>
      </c>
      <c r="G2343" s="415"/>
      <c r="H2343" s="415" t="s">
        <v>4126</v>
      </c>
      <c r="J2343" s="434"/>
    </row>
    <row r="2344" spans="1:10" ht="12.75" hidden="1" customHeight="1" outlineLevel="1" x14ac:dyDescent="0.25">
      <c r="A2344" s="2380">
        <v>0.02</v>
      </c>
      <c r="B2344" s="1921" t="s">
        <v>1321</v>
      </c>
      <c r="C2344" s="2108">
        <v>37.808</v>
      </c>
      <c r="D2344" s="3196">
        <v>38.619999999999997</v>
      </c>
      <c r="E2344" s="3270">
        <v>2.1476936098180133E-2</v>
      </c>
      <c r="F2344" s="3007">
        <v>4.2953872196360265E-4</v>
      </c>
      <c r="G2344" s="415"/>
      <c r="H2344" s="415" t="s">
        <v>1322</v>
      </c>
      <c r="J2344" s="434"/>
    </row>
    <row r="2345" spans="1:10" ht="12.75" hidden="1" customHeight="1" outlineLevel="1" x14ac:dyDescent="0.25">
      <c r="A2345" s="2380">
        <v>0.02</v>
      </c>
      <c r="B2345" s="1921" t="s">
        <v>52</v>
      </c>
      <c r="C2345" s="2519">
        <v>141.80699999999999</v>
      </c>
      <c r="D2345" s="3196">
        <v>190.96</v>
      </c>
      <c r="E2345" s="3270">
        <v>0.34661899624137038</v>
      </c>
      <c r="F2345" s="3007">
        <v>6.932379924827408E-3</v>
      </c>
      <c r="G2345" s="415"/>
      <c r="H2345" s="415" t="s">
        <v>4130</v>
      </c>
      <c r="J2345" s="434"/>
    </row>
    <row r="2346" spans="1:10" ht="12.75" hidden="1" customHeight="1" outlineLevel="1" x14ac:dyDescent="0.25">
      <c r="A2346" s="2380">
        <v>0.03</v>
      </c>
      <c r="B2346" s="1921" t="s">
        <v>123</v>
      </c>
      <c r="C2346" s="2108">
        <v>20.722999999999999</v>
      </c>
      <c r="D2346" s="3196">
        <v>33.83</v>
      </c>
      <c r="E2346" s="3270">
        <v>0.63248564397046758</v>
      </c>
      <c r="F2346" s="3007">
        <v>1.8974569319114027E-2</v>
      </c>
      <c r="G2346" s="415"/>
      <c r="H2346" s="415" t="s">
        <v>4325</v>
      </c>
      <c r="J2346" s="434"/>
    </row>
    <row r="2347" spans="1:10" ht="12.75" hidden="1" customHeight="1" outlineLevel="1" x14ac:dyDescent="0.25">
      <c r="A2347" s="2380">
        <v>0.02</v>
      </c>
      <c r="B2347" s="1921" t="s">
        <v>7754</v>
      </c>
      <c r="C2347" s="2108">
        <v>61.618000000000002</v>
      </c>
      <c r="D2347" s="3196">
        <v>114.06</v>
      </c>
      <c r="E2347" s="3270">
        <v>0.85108247589989938</v>
      </c>
      <c r="F2347" s="3007">
        <v>1.7021649517997988E-2</v>
      </c>
      <c r="G2347" s="415"/>
      <c r="H2347" s="415" t="s">
        <v>7751</v>
      </c>
      <c r="J2347" s="434"/>
    </row>
    <row r="2348" spans="1:10" ht="12.75" hidden="1" customHeight="1" outlineLevel="1" x14ac:dyDescent="0.25">
      <c r="A2348" s="2380">
        <v>0.02</v>
      </c>
      <c r="B2348" s="1921" t="s">
        <v>9514</v>
      </c>
      <c r="C2348" s="2108">
        <v>72.146000000000001</v>
      </c>
      <c r="D2348" s="3196">
        <v>73.59</v>
      </c>
      <c r="E2348" s="3270">
        <v>2.0014969644886804E-2</v>
      </c>
      <c r="F2348" s="3007">
        <v>4.0029939289773611E-4</v>
      </c>
      <c r="G2348" s="415"/>
      <c r="H2348" s="415" t="s">
        <v>9515</v>
      </c>
      <c r="J2348" s="434"/>
    </row>
    <row r="2349" spans="1:10" ht="12.75" hidden="1" customHeight="1" outlineLevel="1" x14ac:dyDescent="0.25">
      <c r="A2349" s="2380">
        <v>0.02</v>
      </c>
      <c r="B2349" s="1921" t="s">
        <v>4</v>
      </c>
      <c r="C2349" s="2108">
        <v>76.697000000000003</v>
      </c>
      <c r="D2349" s="3196">
        <v>64.989999999999995</v>
      </c>
      <c r="E2349" s="3270">
        <v>-0.15263960780734587</v>
      </c>
      <c r="F2349" s="3007">
        <v>-3.0527921561469174E-3</v>
      </c>
      <c r="G2349" s="415"/>
      <c r="H2349" s="415" t="s">
        <v>10</v>
      </c>
      <c r="J2349" s="434"/>
    </row>
    <row r="2350" spans="1:10" ht="12.75" hidden="1" customHeight="1" outlineLevel="1" x14ac:dyDescent="0.25">
      <c r="A2350" s="2380">
        <v>0.08</v>
      </c>
      <c r="B2350" s="1921" t="s">
        <v>9516</v>
      </c>
      <c r="C2350" s="2108">
        <v>44.427</v>
      </c>
      <c r="D2350" s="3196">
        <v>47.81</v>
      </c>
      <c r="E2350" s="3270">
        <v>7.6147387849731185E-2</v>
      </c>
      <c r="F2350" s="3007">
        <v>6.0917910279784946E-3</v>
      </c>
      <c r="G2350" s="415"/>
      <c r="H2350" s="415" t="s">
        <v>9517</v>
      </c>
      <c r="J2350" s="434"/>
    </row>
    <row r="2351" spans="1:10" ht="12.75" hidden="1" customHeight="1" outlineLevel="1" x14ac:dyDescent="0.25">
      <c r="A2351" s="2380">
        <v>0.02</v>
      </c>
      <c r="B2351" s="1921" t="s">
        <v>1204</v>
      </c>
      <c r="C2351" s="2108">
        <v>106.974</v>
      </c>
      <c r="D2351" s="3196">
        <v>175.01</v>
      </c>
      <c r="E2351" s="3270">
        <v>0.63600501056331438</v>
      </c>
      <c r="F2351" s="3007">
        <v>1.2720100211266287E-2</v>
      </c>
      <c r="G2351" s="415"/>
      <c r="H2351" s="415" t="s">
        <v>9047</v>
      </c>
      <c r="J2351" s="434"/>
    </row>
    <row r="2352" spans="1:10" ht="12.75" hidden="1" customHeight="1" outlineLevel="1" x14ac:dyDescent="0.25">
      <c r="A2352" s="2380">
        <v>0.02</v>
      </c>
      <c r="B2352" s="1921" t="s">
        <v>3793</v>
      </c>
      <c r="C2352" s="2108">
        <v>84.192999999999998</v>
      </c>
      <c r="D2352" s="3196">
        <v>91.62</v>
      </c>
      <c r="E2352" s="3270">
        <v>8.8213984535531642E-2</v>
      </c>
      <c r="F2352" s="3007">
        <v>1.7642796907106329E-3</v>
      </c>
      <c r="G2352" s="415"/>
      <c r="H2352" s="415" t="s">
        <v>3533</v>
      </c>
      <c r="J2352" s="434"/>
    </row>
    <row r="2353" spans="1:10" ht="12.75" hidden="1" customHeight="1" outlineLevel="1" x14ac:dyDescent="0.25">
      <c r="A2353" s="2380">
        <v>0.04</v>
      </c>
      <c r="B2353" s="1921" t="s">
        <v>2728</v>
      </c>
      <c r="C2353" s="2108">
        <v>99.938000000000002</v>
      </c>
      <c r="D2353" s="3196">
        <v>136.62</v>
      </c>
      <c r="E2353" s="3270">
        <v>0.3670475694930857</v>
      </c>
      <c r="F2353" s="3007">
        <v>1.4681902779723428E-2</v>
      </c>
      <c r="G2353" s="415"/>
      <c r="H2353" s="415" t="s">
        <v>9049</v>
      </c>
      <c r="J2353" s="434"/>
    </row>
    <row r="2354" spans="1:10" ht="12.75" hidden="1" customHeight="1" outlineLevel="1" x14ac:dyDescent="0.25">
      <c r="A2354" s="2380">
        <v>0.02</v>
      </c>
      <c r="B2354" s="1921" t="s">
        <v>2771</v>
      </c>
      <c r="C2354" s="2108">
        <v>57.808999999999997</v>
      </c>
      <c r="D2354" s="3196">
        <v>71.83</v>
      </c>
      <c r="E2354" s="3270">
        <v>0.24254008891349099</v>
      </c>
      <c r="F2354" s="3007">
        <v>4.8508017782698202E-3</v>
      </c>
      <c r="G2354" s="415"/>
      <c r="H2354" s="415" t="s">
        <v>2772</v>
      </c>
      <c r="J2354" s="434"/>
    </row>
    <row r="2355" spans="1:10" ht="12.75" hidden="1" customHeight="1" outlineLevel="1" x14ac:dyDescent="0.25">
      <c r="A2355" s="2380">
        <v>0.02</v>
      </c>
      <c r="B2355" s="1921" t="s">
        <v>8210</v>
      </c>
      <c r="C2355" s="2108">
        <v>172.64599999999999</v>
      </c>
      <c r="D2355" s="3196">
        <v>156.49</v>
      </c>
      <c r="E2355" s="3270">
        <v>-9.3578768115102462E-2</v>
      </c>
      <c r="F2355" s="3007">
        <v>-1.8715753623020494E-3</v>
      </c>
      <c r="G2355" s="415"/>
      <c r="H2355" s="415" t="s">
        <v>8211</v>
      </c>
      <c r="J2355" s="434"/>
    </row>
    <row r="2356" spans="1:10" ht="12.75" hidden="1" customHeight="1" outlineLevel="1" x14ac:dyDescent="0.25">
      <c r="A2356" s="2380">
        <v>0.06</v>
      </c>
      <c r="B2356" s="1921" t="s">
        <v>3427</v>
      </c>
      <c r="C2356" s="2108">
        <v>44.015000000000001</v>
      </c>
      <c r="D2356" s="3196">
        <v>71.739999999999995</v>
      </c>
      <c r="E2356" s="3270">
        <v>0.62989889810291921</v>
      </c>
      <c r="F2356" s="3007">
        <v>3.7793933886175149E-2</v>
      </c>
      <c r="G2356" s="415"/>
      <c r="H2356" s="415" t="s">
        <v>2800</v>
      </c>
      <c r="J2356" s="434"/>
    </row>
    <row r="2357" spans="1:10" ht="12.75" hidden="1" customHeight="1" outlineLevel="1" x14ac:dyDescent="0.25">
      <c r="A2357" s="2380">
        <v>0.02</v>
      </c>
      <c r="B2357" s="1921" t="s">
        <v>1142</v>
      </c>
      <c r="C2357" s="2108">
        <v>45.561999999999998</v>
      </c>
      <c r="D2357" s="3196">
        <v>61.18</v>
      </c>
      <c r="E2357" s="3270">
        <v>0.3427856547122603</v>
      </c>
      <c r="F2357" s="3007">
        <v>6.8557130942452065E-3</v>
      </c>
      <c r="G2357" s="415"/>
      <c r="H2357" s="415" t="s">
        <v>1143</v>
      </c>
      <c r="J2357" s="434"/>
    </row>
    <row r="2358" spans="1:10" ht="12.75" hidden="1" customHeight="1" outlineLevel="1" x14ac:dyDescent="0.25">
      <c r="A2358" s="2380">
        <v>0.05</v>
      </c>
      <c r="B2358" s="1921" t="s">
        <v>3626</v>
      </c>
      <c r="C2358" s="2108">
        <v>74.989000000000004</v>
      </c>
      <c r="D2358" s="3196">
        <v>81.75</v>
      </c>
      <c r="E2358" s="3270">
        <v>9.0159890117217145E-2</v>
      </c>
      <c r="F2358" s="3007">
        <v>4.5079945058608571E-3</v>
      </c>
      <c r="G2358" s="415"/>
      <c r="H2358" s="415" t="s">
        <v>7752</v>
      </c>
      <c r="J2358" s="434"/>
    </row>
    <row r="2359" spans="1:10" ht="12.75" hidden="1" customHeight="1" outlineLevel="1" x14ac:dyDescent="0.25">
      <c r="A2359" s="2380">
        <v>0.04</v>
      </c>
      <c r="B2359" s="1921" t="s">
        <v>366</v>
      </c>
      <c r="C2359" s="2108">
        <v>52.383000000000003</v>
      </c>
      <c r="D2359" s="3196">
        <v>54.44</v>
      </c>
      <c r="E2359" s="3270">
        <v>3.9268464960005911E-2</v>
      </c>
      <c r="F2359" s="3007">
        <v>1.5707385984002364E-3</v>
      </c>
      <c r="G2359" s="415"/>
      <c r="H2359" s="415" t="s">
        <v>367</v>
      </c>
      <c r="J2359" s="434"/>
    </row>
    <row r="2360" spans="1:10" ht="12.75" hidden="1" customHeight="1" outlineLevel="1" x14ac:dyDescent="0.25">
      <c r="A2360" s="2380">
        <v>0.02</v>
      </c>
      <c r="B2360" s="1921" t="s">
        <v>255</v>
      </c>
      <c r="C2360" s="2108">
        <v>54.225000000000001</v>
      </c>
      <c r="D2360" s="3196">
        <v>41.96</v>
      </c>
      <c r="E2360" s="3270">
        <v>-0.22618718303365604</v>
      </c>
      <c r="F2360" s="3007">
        <v>-4.5237436606731206E-3</v>
      </c>
      <c r="G2360" s="415"/>
      <c r="H2360" s="415" t="s">
        <v>3351</v>
      </c>
      <c r="J2360" s="434"/>
    </row>
    <row r="2361" spans="1:10" ht="12.75" hidden="1" customHeight="1" outlineLevel="1" x14ac:dyDescent="0.25">
      <c r="A2361" s="2380">
        <v>0.02</v>
      </c>
      <c r="B2361" s="1921" t="s">
        <v>9518</v>
      </c>
      <c r="C2361" s="2108">
        <v>27.065000000000001</v>
      </c>
      <c r="D2361" s="3196">
        <v>38.97</v>
      </c>
      <c r="E2361" s="3270">
        <v>0.43986698688342862</v>
      </c>
      <c r="F2361" s="3007">
        <v>8.7973397376685733E-3</v>
      </c>
      <c r="G2361" s="415"/>
      <c r="H2361" s="415" t="s">
        <v>9519</v>
      </c>
      <c r="J2361" s="434"/>
    </row>
    <row r="2362" spans="1:10" ht="12.75" hidden="1" customHeight="1" outlineLevel="1" x14ac:dyDescent="0.25">
      <c r="A2362" s="2380">
        <v>0.02</v>
      </c>
      <c r="B2362" s="2109" t="s">
        <v>2874</v>
      </c>
      <c r="C2362" s="2108">
        <v>48.276000000000003</v>
      </c>
      <c r="D2362" s="3199">
        <v>53.75</v>
      </c>
      <c r="E2362" s="3270">
        <v>0.11338967602949701</v>
      </c>
      <c r="F2362" s="3007">
        <v>2.2677935205899402E-3</v>
      </c>
      <c r="G2362" s="415"/>
      <c r="H2362" s="415" t="s">
        <v>9060</v>
      </c>
      <c r="J2362" s="434"/>
    </row>
    <row r="2363" spans="1:10" ht="12.75" hidden="1" customHeight="1" outlineLevel="1" x14ac:dyDescent="0.25">
      <c r="A2363" s="2181" t="s">
        <v>2734</v>
      </c>
      <c r="B2363" s="2103"/>
      <c r="C2363" s="3200">
        <v>100</v>
      </c>
      <c r="D2363" s="3201"/>
      <c r="E2363" s="3202"/>
      <c r="F2363" s="3202">
        <v>0.15579999999999999</v>
      </c>
      <c r="G2363" s="415"/>
      <c r="H2363" s="415"/>
    </row>
    <row r="2364" spans="1:10" ht="12.75" hidden="1" customHeight="1" outlineLevel="1" x14ac:dyDescent="0.25">
      <c r="A2364" s="1956" t="s">
        <v>9524</v>
      </c>
      <c r="B2364" s="2185">
        <v>45017</v>
      </c>
      <c r="C2364" s="3203">
        <v>100</v>
      </c>
      <c r="D2364" s="3203">
        <v>117.47280000000001</v>
      </c>
      <c r="E2364" s="3204">
        <v>0.17472799999999999</v>
      </c>
      <c r="F2364" s="3151"/>
      <c r="G2364" s="415"/>
      <c r="H2364" s="415"/>
    </row>
    <row r="2365" spans="1:10" ht="12.75" hidden="1" customHeight="1" outlineLevel="1" x14ac:dyDescent="0.25">
      <c r="A2365" s="1956" t="s">
        <v>9525</v>
      </c>
      <c r="B2365" s="2185">
        <v>45047</v>
      </c>
      <c r="C2365" s="3203">
        <v>100</v>
      </c>
      <c r="D2365" s="3206">
        <v>108.7212</v>
      </c>
      <c r="E2365" s="3204">
        <v>8.7212000000000067E-2</v>
      </c>
      <c r="F2365" s="3151"/>
      <c r="G2365" s="415"/>
      <c r="H2365" s="415"/>
    </row>
    <row r="2366" spans="1:10" ht="12.75" hidden="1" customHeight="1" outlineLevel="1" x14ac:dyDescent="0.25">
      <c r="A2366" s="1956" t="s">
        <v>9526</v>
      </c>
      <c r="B2366" s="2185">
        <v>45078</v>
      </c>
      <c r="C2366" s="3203">
        <v>100</v>
      </c>
      <c r="D2366" s="3206">
        <v>111.13849999999999</v>
      </c>
      <c r="E2366" s="3204">
        <v>0.11138499999999985</v>
      </c>
      <c r="F2366" s="3151"/>
      <c r="G2366" s="415"/>
      <c r="H2366" s="415"/>
    </row>
    <row r="2367" spans="1:10" ht="12.75" hidden="1" customHeight="1" outlineLevel="1" x14ac:dyDescent="0.25">
      <c r="A2367" s="1956" t="s">
        <v>9527</v>
      </c>
      <c r="B2367" s="2185">
        <v>45108</v>
      </c>
      <c r="C2367" s="3203">
        <v>100</v>
      </c>
      <c r="D2367" s="3206">
        <v>112.6909</v>
      </c>
      <c r="E2367" s="3204">
        <v>0.12690899999999994</v>
      </c>
      <c r="F2367" s="3151"/>
      <c r="G2367" s="415"/>
      <c r="H2367" s="415"/>
    </row>
    <row r="2368" spans="1:10" ht="12.75" hidden="1" customHeight="1" outlineLevel="1" x14ac:dyDescent="0.25">
      <c r="A2368" s="1956" t="s">
        <v>9528</v>
      </c>
      <c r="B2368" s="2185">
        <v>45139</v>
      </c>
      <c r="C2368" s="3203">
        <v>100</v>
      </c>
      <c r="D2368" s="3206">
        <v>108.3017</v>
      </c>
      <c r="E2368" s="3204">
        <v>8.3016999999999896E-2</v>
      </c>
      <c r="F2368" s="3151"/>
      <c r="G2368" s="415"/>
      <c r="H2368" s="415"/>
    </row>
    <row r="2369" spans="1:18" ht="12.75" hidden="1" customHeight="1" outlineLevel="1" x14ac:dyDescent="0.25">
      <c r="A2369" s="1956" t="s">
        <v>9529</v>
      </c>
      <c r="B2369" s="2185">
        <v>45170</v>
      </c>
      <c r="C2369" s="3203">
        <v>100</v>
      </c>
      <c r="D2369" s="3206">
        <v>104.3938</v>
      </c>
      <c r="E2369" s="3204">
        <v>4.3938000000000033E-2</v>
      </c>
      <c r="F2369" s="3151"/>
      <c r="G2369" s="415"/>
      <c r="H2369" s="415"/>
    </row>
    <row r="2370" spans="1:18" ht="12.75" hidden="1" customHeight="1" outlineLevel="1" x14ac:dyDescent="0.25">
      <c r="A2370" s="1956" t="s">
        <v>9530</v>
      </c>
      <c r="B2370" s="2185">
        <v>45200</v>
      </c>
      <c r="C2370" s="3203">
        <v>100</v>
      </c>
      <c r="D2370" s="3206">
        <v>102.8678</v>
      </c>
      <c r="E2370" s="3204">
        <v>2.8677999999999981E-2</v>
      </c>
      <c r="F2370" s="3151"/>
      <c r="G2370" s="415"/>
      <c r="H2370" s="415"/>
    </row>
    <row r="2371" spans="1:18" ht="12.75" hidden="1" customHeight="1" outlineLevel="1" x14ac:dyDescent="0.25">
      <c r="A2371" s="1956" t="s">
        <v>9531</v>
      </c>
      <c r="B2371" s="2185">
        <v>45231</v>
      </c>
      <c r="C2371" s="3203">
        <v>100</v>
      </c>
      <c r="D2371" s="3206">
        <v>109.2274</v>
      </c>
      <c r="E2371" s="3204">
        <v>9.2273999999999967E-2</v>
      </c>
      <c r="F2371" s="3151"/>
      <c r="G2371" s="415"/>
      <c r="H2371" s="415"/>
    </row>
    <row r="2372" spans="1:18" ht="12.75" hidden="1" customHeight="1" outlineLevel="1" x14ac:dyDescent="0.25">
      <c r="A2372" s="1956" t="s">
        <v>9532</v>
      </c>
      <c r="B2372" s="2185">
        <v>45261</v>
      </c>
      <c r="C2372" s="3203">
        <v>100</v>
      </c>
      <c r="D2372" s="3206">
        <v>112.366</v>
      </c>
      <c r="E2372" s="3204">
        <v>0.1236600000000001</v>
      </c>
      <c r="F2372" s="3151"/>
      <c r="G2372" s="415"/>
      <c r="H2372" s="415"/>
    </row>
    <row r="2373" spans="1:18" ht="12.75" hidden="1" customHeight="1" outlineLevel="1" x14ac:dyDescent="0.25">
      <c r="A2373" s="1956" t="s">
        <v>9533</v>
      </c>
      <c r="B2373" s="2185">
        <v>45292</v>
      </c>
      <c r="C2373" s="3203">
        <v>100</v>
      </c>
      <c r="D2373" s="3206">
        <v>111.7163</v>
      </c>
      <c r="E2373" s="3204">
        <v>0.11716300000000013</v>
      </c>
      <c r="F2373" s="3151"/>
      <c r="G2373" s="415"/>
      <c r="H2373" s="415"/>
    </row>
    <row r="2374" spans="1:18" ht="12.75" hidden="1" customHeight="1" outlineLevel="1" x14ac:dyDescent="0.25">
      <c r="A2374" s="1956" t="s">
        <v>9534</v>
      </c>
      <c r="B2374" s="2185">
        <v>45323</v>
      </c>
      <c r="C2374" s="3203">
        <v>100</v>
      </c>
      <c r="D2374" s="3206">
        <v>111.7071</v>
      </c>
      <c r="E2374" s="3204">
        <v>0.11707099999999993</v>
      </c>
      <c r="F2374" s="3151"/>
      <c r="G2374" s="415"/>
      <c r="H2374" s="415"/>
    </row>
    <row r="2375" spans="1:18" ht="12.75" hidden="1" customHeight="1" outlineLevel="1" x14ac:dyDescent="0.25">
      <c r="A2375" s="1956" t="s">
        <v>9535</v>
      </c>
      <c r="B2375" s="2185">
        <v>45352</v>
      </c>
      <c r="C2375" s="3203">
        <v>100</v>
      </c>
      <c r="D2375" s="3206">
        <v>115.57940000000001</v>
      </c>
      <c r="E2375" s="3204">
        <v>0.15579399999999999</v>
      </c>
      <c r="F2375" s="3151"/>
      <c r="G2375" s="415"/>
      <c r="H2375" s="415"/>
    </row>
    <row r="2376" spans="1:18" s="444" customFormat="1" ht="12.75" hidden="1" customHeight="1" outlineLevel="1" x14ac:dyDescent="0.25">
      <c r="A2376" s="2189" t="s">
        <v>2734</v>
      </c>
      <c r="B2376" s="2190"/>
      <c r="C2376" s="3206"/>
      <c r="D2376" s="2191" t="s">
        <v>2465</v>
      </c>
      <c r="E2376" s="1987">
        <v>0.10515241666666665</v>
      </c>
      <c r="F2376" s="2528">
        <v>0.15387641666666668</v>
      </c>
    </row>
    <row r="2377" spans="1:18" collapsed="1" x14ac:dyDescent="0.25">
      <c r="A2377" s="3801" t="s">
        <v>9418</v>
      </c>
      <c r="B2377" s="3802"/>
      <c r="C2377" s="3802"/>
      <c r="D2377" s="3802"/>
      <c r="E2377" s="1906"/>
      <c r="F2377" s="1907">
        <v>0.15387641666666668</v>
      </c>
      <c r="G2377" s="415"/>
    </row>
    <row r="2379" spans="1:18" ht="12.75" hidden="1" customHeight="1" outlineLevel="1" x14ac:dyDescent="0.25">
      <c r="A2379" s="1677" t="s">
        <v>4156</v>
      </c>
      <c r="B2379" s="1677" t="s">
        <v>4153</v>
      </c>
      <c r="C2379" s="1623" t="s">
        <v>112</v>
      </c>
      <c r="D2379" s="1678" t="s">
        <v>4155</v>
      </c>
      <c r="E2379" s="1677" t="s">
        <v>4154</v>
      </c>
      <c r="F2379" s="1678" t="s">
        <v>2519</v>
      </c>
      <c r="G2379" s="12"/>
      <c r="H2379" s="415"/>
      <c r="I2379" s="412" t="s">
        <v>6964</v>
      </c>
      <c r="J2379" s="1462">
        <v>43435</v>
      </c>
      <c r="K2379" s="1462">
        <v>43466</v>
      </c>
      <c r="L2379" s="1462">
        <v>43497</v>
      </c>
      <c r="M2379" s="1462">
        <v>43525</v>
      </c>
      <c r="N2379" s="1462">
        <v>43556</v>
      </c>
      <c r="O2379" s="1462">
        <v>43586</v>
      </c>
      <c r="P2379" s="1462">
        <v>43617</v>
      </c>
      <c r="Q2379" s="1462">
        <v>43647</v>
      </c>
      <c r="R2379" s="1462">
        <v>43678</v>
      </c>
    </row>
    <row r="2380" spans="1:18" ht="12.75" hidden="1" customHeight="1" outlineLevel="1" x14ac:dyDescent="0.25">
      <c r="A2380" s="134">
        <v>0.02</v>
      </c>
      <c r="B2380" s="211" t="s">
        <v>1993</v>
      </c>
      <c r="C2380" s="472">
        <v>58.884999999999998</v>
      </c>
      <c r="D2380" s="1596">
        <f>VLOOKUP(H2380,indexy!$C$44:$D$823,2,FALSE)</f>
        <v>43.62</v>
      </c>
      <c r="E2380" s="1466">
        <f>D2380/C2380-1</f>
        <v>-0.25923410036511851</v>
      </c>
      <c r="F2380" s="1492">
        <f>E2380*A2380</f>
        <v>-5.18468200730237E-3</v>
      </c>
      <c r="G2380" s="415"/>
      <c r="H2380" s="415" t="str">
        <f>VLOOKUP(B2380,indexy!$A$44:$D$823,3,FALSE)</f>
        <v>MO UN Equity</v>
      </c>
      <c r="I2380" s="412">
        <f>IF(J2380="",100,MIN(100,J2380:Y2380))</f>
        <v>93.8596</v>
      </c>
      <c r="J2380">
        <v>101.5505</v>
      </c>
      <c r="K2380">
        <v>93.8596</v>
      </c>
      <c r="L2380">
        <v>101.59350000000001</v>
      </c>
      <c r="M2380">
        <v>104.70050000000001</v>
      </c>
      <c r="N2380">
        <v>105.922</v>
      </c>
      <c r="O2380">
        <v>106.791</v>
      </c>
      <c r="P2380">
        <v>104.2651</v>
      </c>
      <c r="Q2380">
        <v>105.9327</v>
      </c>
      <c r="R2380">
        <v>105.5166</v>
      </c>
    </row>
    <row r="2381" spans="1:18" ht="12.75" hidden="1" customHeight="1" outlineLevel="1" x14ac:dyDescent="0.25">
      <c r="A2381" s="135">
        <v>0.02</v>
      </c>
      <c r="B2381" s="211" t="s">
        <v>1317</v>
      </c>
      <c r="C2381" s="472">
        <v>76.296000000000006</v>
      </c>
      <c r="D2381" s="1597">
        <f>VLOOKUP(H2381,indexy!$C$44:$D$823,2,FALSE)</f>
        <v>86.09</v>
      </c>
      <c r="E2381" s="1463">
        <f>D2381/C2381-1</f>
        <v>0.12836845968333854</v>
      </c>
      <c r="F2381" s="1494">
        <f t="shared" ref="F2381:F2404" si="21">E2381*A2381</f>
        <v>2.5673691936667709E-3</v>
      </c>
      <c r="G2381" s="415"/>
      <c r="H2381" s="415" t="str">
        <f>VLOOKUP(B2381,indexy!$A$44:$D$823,3,FALSE)</f>
        <v>AEP UN Equity</v>
      </c>
      <c r="I2381" s="422">
        <f>+(((E2423*100)+100)-I2380)/100</f>
        <v>0.15218291666666658</v>
      </c>
    </row>
    <row r="2382" spans="1:18" ht="12.75" hidden="1" customHeight="1" outlineLevel="1" x14ac:dyDescent="0.25">
      <c r="A2382" s="135">
        <v>0.02</v>
      </c>
      <c r="B2382" s="211" t="s">
        <v>805</v>
      </c>
      <c r="C2382" s="472">
        <v>98.596999999999994</v>
      </c>
      <c r="D2382" s="1597">
        <f>VLOOKUP(H2382,indexy!$C$44:$D$823,2,FALSE)</f>
        <v>132.25</v>
      </c>
      <c r="E2382" s="1463">
        <f t="shared" ref="E2382:E2409" si="22">D2382/C2382-1</f>
        <v>0.34131870138036668</v>
      </c>
      <c r="F2382" s="1494">
        <f t="shared" si="21"/>
        <v>6.8263740276073336E-3</v>
      </c>
      <c r="G2382" s="415"/>
      <c r="H2382" s="415" t="str">
        <f>VLOOKUP(B2382,indexy!$A$44:$D$823,3,FALSE)</f>
        <v>BMO CT Equity</v>
      </c>
      <c r="J2382" s="434"/>
    </row>
    <row r="2383" spans="1:18" ht="12.75" hidden="1" customHeight="1" outlineLevel="1" x14ac:dyDescent="0.25">
      <c r="A2383" s="135">
        <v>0.05</v>
      </c>
      <c r="B2383" s="211" t="s">
        <v>5748</v>
      </c>
      <c r="C2383" s="472">
        <v>70.748000000000005</v>
      </c>
      <c r="D2383" s="1597">
        <f>VLOOKUP(H2383,indexy!$C$44:$D$823,2,FALSE)</f>
        <v>70.069999999999993</v>
      </c>
      <c r="E2383" s="1463">
        <f t="shared" si="22"/>
        <v>-9.5833097755415597E-3</v>
      </c>
      <c r="F2383" s="1494">
        <f t="shared" si="21"/>
        <v>-4.7916548877707799E-4</v>
      </c>
      <c r="G2383" s="415"/>
      <c r="H2383" s="415" t="str">
        <f>VLOOKUP(B2383,indexy!$A$44:$D$823,3,FALSE)</f>
        <v>BNS CT Equity</v>
      </c>
      <c r="J2383" s="434"/>
      <c r="K2383" s="37"/>
    </row>
    <row r="2384" spans="1:18" ht="12.75" hidden="1" customHeight="1" outlineLevel="1" x14ac:dyDescent="0.25">
      <c r="A2384" s="135">
        <v>0.08</v>
      </c>
      <c r="B2384" s="211" t="s">
        <v>807</v>
      </c>
      <c r="C2384" s="472">
        <v>54.906999999999996</v>
      </c>
      <c r="D2384" s="1597">
        <f>VLOOKUP(H2384,indexy!$C$44:$D$823,2,FALSE)</f>
        <v>46.03</v>
      </c>
      <c r="E2384" s="1463">
        <f t="shared" si="22"/>
        <v>-0.16167337497951073</v>
      </c>
      <c r="F2384" s="1494">
        <f t="shared" si="21"/>
        <v>-1.2933869998360858E-2</v>
      </c>
      <c r="G2384" s="415"/>
      <c r="H2384" s="415" t="str">
        <f>VLOOKUP(B2384,indexy!$A$44:$D$823,3,FALSE)</f>
        <v>BCE CT Equity</v>
      </c>
      <c r="J2384" s="434"/>
    </row>
    <row r="2385" spans="1:10" ht="12.75" hidden="1" customHeight="1" outlineLevel="1" x14ac:dyDescent="0.25">
      <c r="A2385" s="135">
        <v>0.04</v>
      </c>
      <c r="B2385" s="211" t="s">
        <v>3954</v>
      </c>
      <c r="C2385" s="472">
        <f>114.2/2</f>
        <v>57.1</v>
      </c>
      <c r="D2385" s="1597">
        <f>VLOOKUP(H2385,indexy!$C$44:$D$823,2,FALSE)</f>
        <v>68.67</v>
      </c>
      <c r="E2385" s="1463">
        <f t="shared" si="22"/>
        <v>0.20262697022767084</v>
      </c>
      <c r="F2385" s="1494">
        <f t="shared" si="21"/>
        <v>8.1050788091068336E-3</v>
      </c>
      <c r="G2385" s="415"/>
      <c r="H2385" s="415" t="str">
        <f>VLOOKUP(B2385,indexy!$A$44:$D$823,3,FALSE)</f>
        <v>CM CT Equity</v>
      </c>
      <c r="J2385" s="434"/>
    </row>
    <row r="2386" spans="1:10" ht="12.75" hidden="1" customHeight="1" outlineLevel="1" x14ac:dyDescent="0.25">
      <c r="A2386" s="135">
        <v>0.02</v>
      </c>
      <c r="B2386" s="211" t="s">
        <v>9512</v>
      </c>
      <c r="C2386" s="472">
        <v>110.71299999999999</v>
      </c>
      <c r="D2386" s="1597">
        <f>VLOOKUP(H2386,indexy!$C$44:$D$823,2,FALSE)</f>
        <v>105.83</v>
      </c>
      <c r="E2386" s="1463">
        <f t="shared" si="22"/>
        <v>-4.4105028316457795E-2</v>
      </c>
      <c r="F2386" s="1494">
        <f t="shared" si="21"/>
        <v>-8.8210056632915591E-4</v>
      </c>
      <c r="G2386" s="415"/>
      <c r="H2386" s="415" t="str">
        <f>VLOOKUP(B2386,indexy!$A$44:$D$823,3,FALSE)</f>
        <v>CCI UN Equity</v>
      </c>
      <c r="J2386" s="434"/>
    </row>
    <row r="2387" spans="1:10" ht="12.75" hidden="1" customHeight="1" outlineLevel="1" x14ac:dyDescent="0.25">
      <c r="A2387" s="135">
        <v>0.04</v>
      </c>
      <c r="B2387" s="211" t="s">
        <v>9591</v>
      </c>
      <c r="C2387" s="472">
        <v>73.406000000000006</v>
      </c>
      <c r="D2387" s="1597">
        <f>VLOOKUP(H2387,indexy!$C$44:$D$823,2,FALSE)</f>
        <v>49.19</v>
      </c>
      <c r="E2387" s="1463">
        <f t="shared" si="22"/>
        <v>-0.32989128954036462</v>
      </c>
      <c r="F2387" s="1494">
        <f t="shared" si="21"/>
        <v>-1.3195651581614586E-2</v>
      </c>
      <c r="G2387" s="415"/>
      <c r="H2387" s="415" t="str">
        <f>VLOOKUP(B2387,indexy!$A$44:$D$823,3,FALSE)</f>
        <v>D UN Equity</v>
      </c>
      <c r="J2387" s="434"/>
    </row>
    <row r="2388" spans="1:10" ht="12.75" hidden="1" customHeight="1" outlineLevel="1" x14ac:dyDescent="0.25">
      <c r="A2388" s="135">
        <v>7.0000000000000007E-2</v>
      </c>
      <c r="B2388" s="211" t="s">
        <v>1231</v>
      </c>
      <c r="C2388" s="472">
        <v>86.403000000000006</v>
      </c>
      <c r="D2388" s="1597">
        <f>VLOOKUP(H2388,indexy!$C$44:$D$823,2,FALSE)</f>
        <v>96.71</v>
      </c>
      <c r="E2388" s="1463">
        <f t="shared" si="22"/>
        <v>0.11928983947316629</v>
      </c>
      <c r="F2388" s="1494">
        <f t="shared" si="21"/>
        <v>8.3502887631216414E-3</v>
      </c>
      <c r="G2388" s="415"/>
      <c r="H2388" s="415" t="str">
        <f>VLOOKUP(B2388,indexy!$A$44:$D$823,3,FALSE)</f>
        <v>DUK UN Equity</v>
      </c>
      <c r="J2388" s="434"/>
    </row>
    <row r="2389" spans="1:10" ht="12.75" hidden="1" customHeight="1" outlineLevel="1" x14ac:dyDescent="0.25">
      <c r="A2389" s="135">
        <v>0.06</v>
      </c>
      <c r="B2389" s="211" t="s">
        <v>7855</v>
      </c>
      <c r="C2389" s="472">
        <v>43.347000000000001</v>
      </c>
      <c r="D2389" s="1597">
        <f>VLOOKUP(H2389,indexy!$C$44:$D$823,2,FALSE)</f>
        <v>48.95</v>
      </c>
      <c r="E2389" s="1463">
        <f t="shared" si="22"/>
        <v>0.12925923362631786</v>
      </c>
      <c r="F2389" s="1494">
        <f t="shared" si="21"/>
        <v>7.7555540175790715E-3</v>
      </c>
      <c r="G2389" s="415"/>
      <c r="H2389" s="415" t="str">
        <f>VLOOKUP(B2389,indexy!$A$44:$D$823,3,FALSE)</f>
        <v>ENB CT Equity</v>
      </c>
      <c r="J2389" s="434"/>
    </row>
    <row r="2390" spans="1:10" ht="12.75" hidden="1" customHeight="1" outlineLevel="1" x14ac:dyDescent="0.25">
      <c r="A2390" s="135">
        <v>0.02</v>
      </c>
      <c r="B2390" s="211" t="s">
        <v>3425</v>
      </c>
      <c r="C2390" s="472">
        <v>78.87</v>
      </c>
      <c r="D2390" s="1597">
        <f>VLOOKUP(H2390,indexy!$C$44:$D$823,2,FALSE)</f>
        <v>116.24</v>
      </c>
      <c r="E2390" s="1463">
        <f t="shared" si="22"/>
        <v>0.47381767465449465</v>
      </c>
      <c r="F2390" s="1494">
        <f t="shared" si="21"/>
        <v>9.4763534930898934E-3</v>
      </c>
      <c r="G2390" s="415"/>
      <c r="H2390" s="415" t="str">
        <f>VLOOKUP(B2390,indexy!$A$44:$D$823,3,FALSE)</f>
        <v>XOM UN Equity</v>
      </c>
      <c r="J2390" s="434"/>
    </row>
    <row r="2391" spans="1:10" ht="12.75" hidden="1" customHeight="1" outlineLevel="1" x14ac:dyDescent="0.25">
      <c r="A2391" s="135">
        <v>0.02</v>
      </c>
      <c r="B2391" s="211" t="s">
        <v>1321</v>
      </c>
      <c r="C2391" s="472">
        <v>38.287999999999997</v>
      </c>
      <c r="D2391" s="1597">
        <f>VLOOKUP(H2391,indexy!$C$44:$D$823,2,FALSE)</f>
        <v>38.619999999999997</v>
      </c>
      <c r="E2391" s="1463">
        <f t="shared" si="22"/>
        <v>8.6711241119934446E-3</v>
      </c>
      <c r="F2391" s="1494">
        <f t="shared" si="21"/>
        <v>1.7342248223986889E-4</v>
      </c>
      <c r="G2391" s="415"/>
      <c r="H2391" s="415" t="str">
        <f>VLOOKUP(B2391,indexy!$A$44:$D$823,3,FALSE)</f>
        <v>FE UN Equity</v>
      </c>
      <c r="J2391" s="434"/>
    </row>
    <row r="2392" spans="1:10" ht="12.75" hidden="1" customHeight="1" outlineLevel="1" x14ac:dyDescent="0.25">
      <c r="A2392" s="135">
        <v>0.02</v>
      </c>
      <c r="B2392" s="211" t="s">
        <v>52</v>
      </c>
      <c r="C2392" s="490">
        <v>120.795</v>
      </c>
      <c r="D2392" s="1597">
        <f>VLOOKUP(H2392,indexy!$C$44:$D$823,2,FALSE)</f>
        <v>190.96</v>
      </c>
      <c r="E2392" s="1463">
        <f t="shared" si="22"/>
        <v>0.58086013493936006</v>
      </c>
      <c r="F2392" s="1494">
        <f t="shared" si="21"/>
        <v>1.1617202698787202E-2</v>
      </c>
      <c r="G2392" s="415"/>
      <c r="H2392" s="415" t="str">
        <f>VLOOKUP(B2392,indexy!$A$44:$D$823,3,FALSE)</f>
        <v>IBM UN Equity</v>
      </c>
      <c r="J2392" s="434"/>
    </row>
    <row r="2393" spans="1:10" ht="12.75" hidden="1" customHeight="1" outlineLevel="1" x14ac:dyDescent="0.25">
      <c r="A2393" s="135">
        <v>0.03</v>
      </c>
      <c r="B2393" s="211" t="s">
        <v>123</v>
      </c>
      <c r="C2393" s="472">
        <v>21.978999999999999</v>
      </c>
      <c r="D2393" s="1597">
        <f>VLOOKUP(H2393,indexy!$C$44:$D$823,2,FALSE)</f>
        <v>33.83</v>
      </c>
      <c r="E2393" s="1463">
        <f t="shared" si="22"/>
        <v>0.53919650575549394</v>
      </c>
      <c r="F2393" s="1494">
        <f t="shared" si="21"/>
        <v>1.6175895172664819E-2</v>
      </c>
      <c r="G2393" s="415"/>
      <c r="H2393" s="415" t="str">
        <f>VLOOKUP(B2393,indexy!$A$44:$D$823,3,FALSE)</f>
        <v>MFC CT Equity</v>
      </c>
      <c r="J2393" s="434"/>
    </row>
    <row r="2394" spans="1:10" ht="12.75" hidden="1" customHeight="1" outlineLevel="1" x14ac:dyDescent="0.25">
      <c r="A2394" s="135">
        <v>0.02</v>
      </c>
      <c r="B2394" s="211" t="s">
        <v>7754</v>
      </c>
      <c r="C2394" s="472">
        <v>60.411999999999999</v>
      </c>
      <c r="D2394" s="1597">
        <f>VLOOKUP(H2394,indexy!$C$44:$D$823,2,FALSE)</f>
        <v>114.06</v>
      </c>
      <c r="E2394" s="1463">
        <f t="shared" si="22"/>
        <v>0.88803548963782042</v>
      </c>
      <c r="F2394" s="1494">
        <f t="shared" si="21"/>
        <v>1.7760709792756409E-2</v>
      </c>
      <c r="G2394" s="415"/>
      <c r="H2394" s="415" t="str">
        <f>VLOOKUP(B2394,indexy!$A$44:$D$823,3,FALSE)</f>
        <v>NA CT Equity</v>
      </c>
      <c r="J2394" s="434"/>
    </row>
    <row r="2395" spans="1:10" ht="12.75" hidden="1" customHeight="1" outlineLevel="1" x14ac:dyDescent="0.25">
      <c r="A2395" s="135">
        <v>0.02</v>
      </c>
      <c r="B2395" s="211" t="s">
        <v>9514</v>
      </c>
      <c r="C2395" s="472">
        <v>70.903000000000006</v>
      </c>
      <c r="D2395" s="1597">
        <f>VLOOKUP(H2395,indexy!$C$44:$D$823,2,FALSE)</f>
        <v>73.59</v>
      </c>
      <c r="E2395" s="1463">
        <f t="shared" si="22"/>
        <v>3.7896844985402467E-2</v>
      </c>
      <c r="F2395" s="1494">
        <f t="shared" si="21"/>
        <v>7.5793689970804934E-4</v>
      </c>
      <c r="G2395" s="415"/>
      <c r="H2395" s="415" t="str">
        <f>VLOOKUP(B2395,indexy!$A$44:$D$823,3,FALSE)</f>
        <v>NTR CT Equity</v>
      </c>
      <c r="J2395" s="434"/>
    </row>
    <row r="2396" spans="1:10" ht="12.75" hidden="1" customHeight="1" outlineLevel="1" x14ac:dyDescent="0.25">
      <c r="A2396" s="135">
        <v>0.02</v>
      </c>
      <c r="B2396" s="211" t="s">
        <v>4</v>
      </c>
      <c r="C2396" s="472">
        <v>72.177999999999997</v>
      </c>
      <c r="D2396" s="1597">
        <f>VLOOKUP(H2396,indexy!$C$44:$D$823,2,FALSE)</f>
        <v>64.989999999999995</v>
      </c>
      <c r="E2396" s="1463">
        <f t="shared" si="22"/>
        <v>-9.9587131813017815E-2</v>
      </c>
      <c r="F2396" s="1494">
        <f t="shared" si="21"/>
        <v>-1.9917426362603564E-3</v>
      </c>
      <c r="G2396" s="415"/>
      <c r="H2396" s="415" t="str">
        <f>VLOOKUP(B2396,indexy!$A$44:$D$823,3,FALSE)</f>
        <v>OXY UN Equity</v>
      </c>
      <c r="J2396" s="434"/>
    </row>
    <row r="2397" spans="1:10" ht="12.75" hidden="1" customHeight="1" outlineLevel="1" x14ac:dyDescent="0.25">
      <c r="A2397" s="135">
        <v>0.08</v>
      </c>
      <c r="B2397" s="211" t="s">
        <v>9516</v>
      </c>
      <c r="C2397" s="472">
        <v>44.656999999999996</v>
      </c>
      <c r="D2397" s="1597">
        <f>VLOOKUP(H2397,indexy!$C$44:$D$823,2,FALSE)</f>
        <v>47.81</v>
      </c>
      <c r="E2397" s="1463">
        <f t="shared" si="22"/>
        <v>7.0604832389099315E-2</v>
      </c>
      <c r="F2397" s="1494">
        <f t="shared" si="21"/>
        <v>5.6483865911279452E-3</v>
      </c>
      <c r="G2397" s="415"/>
      <c r="H2397" s="415" t="str">
        <f>VLOOKUP(B2397,indexy!$A$44:$D$823,3,FALSE)</f>
        <v>PPL CT Equity</v>
      </c>
      <c r="J2397" s="434"/>
    </row>
    <row r="2398" spans="1:10" ht="12.75" hidden="1" customHeight="1" outlineLevel="1" x14ac:dyDescent="0.25">
      <c r="A2398" s="135">
        <v>0.02</v>
      </c>
      <c r="B2398" s="211" t="s">
        <v>1204</v>
      </c>
      <c r="C2398" s="472">
        <v>116.974</v>
      </c>
      <c r="D2398" s="1597">
        <f>VLOOKUP(H2398,indexy!$C$44:$D$823,2,FALSE)</f>
        <v>175.01</v>
      </c>
      <c r="E2398" s="1463">
        <f t="shared" si="22"/>
        <v>0.49614444235471122</v>
      </c>
      <c r="F2398" s="1494">
        <f t="shared" si="21"/>
        <v>9.9228888470942241E-3</v>
      </c>
      <c r="G2398" s="415"/>
      <c r="H2398" s="415" t="str">
        <f>VLOOKUP(B2398,indexy!$A$44:$D$823,3,FALSE)</f>
        <v>PEP UW Equity</v>
      </c>
      <c r="J2398" s="434"/>
    </row>
    <row r="2399" spans="1:10" ht="12.75" hidden="1" customHeight="1" outlineLevel="1" x14ac:dyDescent="0.25">
      <c r="A2399" s="135">
        <v>0.02</v>
      </c>
      <c r="B2399" s="211" t="s">
        <v>3793</v>
      </c>
      <c r="C2399" s="472">
        <v>86.881</v>
      </c>
      <c r="D2399" s="1597">
        <f>VLOOKUP(H2399,indexy!$C$44:$D$823,2,FALSE)</f>
        <v>91.62</v>
      </c>
      <c r="E2399" s="1463">
        <f t="shared" si="22"/>
        <v>5.4545873090779295E-2</v>
      </c>
      <c r="F2399" s="1494">
        <f t="shared" si="21"/>
        <v>1.0909174618155858E-3</v>
      </c>
      <c r="G2399" s="415"/>
      <c r="H2399" s="415" t="str">
        <f>VLOOKUP(B2399,indexy!$A$44:$D$823,3,FALSE)</f>
        <v>PM UN Equity</v>
      </c>
      <c r="J2399" s="434"/>
    </row>
    <row r="2400" spans="1:10" ht="12.75" hidden="1" customHeight="1" outlineLevel="1" x14ac:dyDescent="0.25">
      <c r="A2400" s="135">
        <v>0.04</v>
      </c>
      <c r="B2400" s="211" t="s">
        <v>2728</v>
      </c>
      <c r="C2400" s="472">
        <v>95.426000000000002</v>
      </c>
      <c r="D2400" s="1597">
        <f>VLOOKUP(H2400,indexy!$C$44:$D$823,2,FALSE)</f>
        <v>136.62</v>
      </c>
      <c r="E2400" s="1463">
        <f t="shared" si="22"/>
        <v>0.43168528493282765</v>
      </c>
      <c r="F2400" s="1494">
        <f t="shared" si="21"/>
        <v>1.7267411397313106E-2</v>
      </c>
      <c r="G2400" s="415"/>
      <c r="H2400" s="415" t="str">
        <f>VLOOKUP(B2400,indexy!$A$44:$D$823,3,FALSE)</f>
        <v>RY CT Equity</v>
      </c>
      <c r="J2400" s="434"/>
    </row>
    <row r="2401" spans="1:10" ht="12.75" hidden="1" customHeight="1" outlineLevel="1" x14ac:dyDescent="0.25">
      <c r="A2401" s="135">
        <v>0.02</v>
      </c>
      <c r="B2401" s="211" t="s">
        <v>2771</v>
      </c>
      <c r="C2401" s="472">
        <f>114.587/2</f>
        <v>57.293500000000002</v>
      </c>
      <c r="D2401" s="1597">
        <f>VLOOKUP(H2401,indexy!$C$44:$D$823,2,FALSE)</f>
        <v>71.83</v>
      </c>
      <c r="E2401" s="1463">
        <f t="shared" si="22"/>
        <v>0.25371988096380904</v>
      </c>
      <c r="F2401" s="1494">
        <f t="shared" si="21"/>
        <v>5.0743976192761811E-3</v>
      </c>
      <c r="G2401" s="415"/>
      <c r="H2401" s="415" t="str">
        <f>VLOOKUP(B2401,indexy!$A$44:$D$823,3,FALSE)</f>
        <v>SRE UN Equity</v>
      </c>
      <c r="J2401" s="434"/>
    </row>
    <row r="2402" spans="1:10" ht="12.75" hidden="1" customHeight="1" outlineLevel="1" x14ac:dyDescent="0.25">
      <c r="A2402" s="135">
        <v>0.02</v>
      </c>
      <c r="B2402" s="211" t="s">
        <v>8210</v>
      </c>
      <c r="C2402" s="472">
        <v>186.066</v>
      </c>
      <c r="D2402" s="1597">
        <f>VLOOKUP(H2402,indexy!$C$44:$D$823,2,FALSE)</f>
        <v>156.49</v>
      </c>
      <c r="E2402" s="1463">
        <f t="shared" si="22"/>
        <v>-0.15895434953188647</v>
      </c>
      <c r="F2402" s="1494">
        <f t="shared" si="21"/>
        <v>-3.1790869906377296E-3</v>
      </c>
      <c r="G2402" s="415"/>
      <c r="H2402" s="415" t="str">
        <f>VLOOKUP(B2402,indexy!$A$44:$D$823,3,FALSE)</f>
        <v>SPG UN Equity</v>
      </c>
      <c r="J2402" s="434"/>
    </row>
    <row r="2403" spans="1:10" ht="12.75" hidden="1" customHeight="1" outlineLevel="1" x14ac:dyDescent="0.25">
      <c r="A2403" s="135">
        <v>0.06</v>
      </c>
      <c r="B2403" s="211" t="s">
        <v>3427</v>
      </c>
      <c r="C2403" s="472">
        <v>46.835000000000001</v>
      </c>
      <c r="D2403" s="1597">
        <f>VLOOKUP(H2403,indexy!$C$44:$D$823,2,FALSE)</f>
        <v>71.739999999999995</v>
      </c>
      <c r="E2403" s="1463">
        <f t="shared" si="22"/>
        <v>0.53176043557168762</v>
      </c>
      <c r="F2403" s="1494">
        <f t="shared" si="21"/>
        <v>3.1905626134301257E-2</v>
      </c>
      <c r="G2403" s="415"/>
      <c r="H2403" s="415" t="str">
        <f>VLOOKUP(B2403,indexy!$A$44:$D$823,3,FALSE)</f>
        <v>SO UN Equity</v>
      </c>
      <c r="J2403" s="434"/>
    </row>
    <row r="2404" spans="1:10" ht="12.75" hidden="1" customHeight="1" outlineLevel="1" x14ac:dyDescent="0.25">
      <c r="A2404" s="135">
        <v>0.02</v>
      </c>
      <c r="B2404" s="211" t="s">
        <v>1142</v>
      </c>
      <c r="C2404" s="472">
        <v>49.703000000000003</v>
      </c>
      <c r="D2404" s="1597">
        <f>VLOOKUP(H2404,indexy!$C$44:$D$823,2,FALSE)</f>
        <v>61.18</v>
      </c>
      <c r="E2404" s="1463">
        <f t="shared" si="22"/>
        <v>0.23091161499305879</v>
      </c>
      <c r="F2404" s="1494">
        <f t="shared" si="21"/>
        <v>4.6182322998611757E-3</v>
      </c>
      <c r="G2404" s="415"/>
      <c r="H2404" s="415" t="str">
        <f>VLOOKUP(B2404,indexy!$A$44:$D$823,3,FALSE)</f>
        <v>KO UN Equity</v>
      </c>
      <c r="J2404" s="434"/>
    </row>
    <row r="2405" spans="1:10" ht="12.75" hidden="1" customHeight="1" outlineLevel="1" x14ac:dyDescent="0.25">
      <c r="A2405" s="135">
        <v>0.05</v>
      </c>
      <c r="B2405" s="211" t="s">
        <v>3626</v>
      </c>
      <c r="C2405" s="472">
        <v>72.421000000000006</v>
      </c>
      <c r="D2405" s="1597">
        <f>VLOOKUP(H2405,indexy!$C$44:$D$823,2,FALSE)</f>
        <v>81.75</v>
      </c>
      <c r="E2405" s="1463">
        <f t="shared" si="22"/>
        <v>0.12881622733737452</v>
      </c>
      <c r="F2405" s="1494">
        <f>E2405*A2405</f>
        <v>6.4408113668687266E-3</v>
      </c>
      <c r="G2405" s="415"/>
      <c r="H2405" s="415" t="str">
        <f>VLOOKUP(B2405,indexy!$A$44:$D$823,3,FALSE)</f>
        <v>TD CT Equity</v>
      </c>
      <c r="J2405" s="434"/>
    </row>
    <row r="2406" spans="1:10" ht="12.75" hidden="1" customHeight="1" outlineLevel="1" x14ac:dyDescent="0.25">
      <c r="A2406" s="135">
        <v>0.04</v>
      </c>
      <c r="B2406" s="211" t="s">
        <v>366</v>
      </c>
      <c r="C2406" s="472">
        <v>52.411000000000001</v>
      </c>
      <c r="D2406" s="1597">
        <f>VLOOKUP(H2406,indexy!$C$44:$D$946,2,FALSE)</f>
        <v>54.44</v>
      </c>
      <c r="E2406" s="1463">
        <f t="shared" si="22"/>
        <v>3.8713247219095193E-2</v>
      </c>
      <c r="F2406" s="1494">
        <f>E2406*A2406</f>
        <v>1.5485298887638077E-3</v>
      </c>
      <c r="G2406" s="415"/>
      <c r="H2406" s="415" t="str">
        <f>VLOOKUP(B2406,indexy!$A$44:$D$946,3,FALSE)</f>
        <v>TRP CT Equity</v>
      </c>
      <c r="J2406" s="434"/>
    </row>
    <row r="2407" spans="1:10" ht="12.75" hidden="1" customHeight="1" outlineLevel="1" x14ac:dyDescent="0.25">
      <c r="A2407" s="135">
        <v>0.02</v>
      </c>
      <c r="B2407" s="211" t="s">
        <v>255</v>
      </c>
      <c r="C2407" s="472">
        <v>59.158000000000001</v>
      </c>
      <c r="D2407" s="1597">
        <f>VLOOKUP(H2407,indexy!$C$44:$D$823,2,FALSE)</f>
        <v>41.96</v>
      </c>
      <c r="E2407" s="1463">
        <f t="shared" si="22"/>
        <v>-0.29071300584874404</v>
      </c>
      <c r="F2407" s="1494">
        <f>E2407*A2407</f>
        <v>-5.8142601169748811E-3</v>
      </c>
      <c r="G2407" s="415"/>
      <c r="H2407" s="415" t="str">
        <f>VLOOKUP(B2407,indexy!$A$44:$D$823,3,FALSE)</f>
        <v>VZ UN Equity</v>
      </c>
      <c r="J2407" s="434"/>
    </row>
    <row r="2408" spans="1:10" ht="12.75" hidden="1" customHeight="1" outlineLevel="1" x14ac:dyDescent="0.25">
      <c r="A2408" s="135">
        <v>0.02</v>
      </c>
      <c r="B2408" s="211" t="s">
        <v>9518</v>
      </c>
      <c r="C2408" s="472">
        <v>24.992000000000001</v>
      </c>
      <c r="D2408" s="1597">
        <f>VLOOKUP(H2408,indexy!$C$44:$D$823,2,FALSE)</f>
        <v>38.97</v>
      </c>
      <c r="E2408" s="1463">
        <f t="shared" si="22"/>
        <v>0.55929897567221509</v>
      </c>
      <c r="F2408" s="1494">
        <f>E2408*A2408</f>
        <v>1.1185979513444301E-2</v>
      </c>
      <c r="G2408" s="415"/>
      <c r="H2408" s="415" t="str">
        <f>VLOOKUP(B2408,indexy!$A$44:$D$823,3,FALSE)</f>
        <v>WMB UN Equity</v>
      </c>
      <c r="J2408" s="434"/>
    </row>
    <row r="2409" spans="1:10" ht="12.75" hidden="1" customHeight="1" outlineLevel="1" x14ac:dyDescent="0.25">
      <c r="A2409" s="135">
        <v>0.02</v>
      </c>
      <c r="B2409" s="1465" t="s">
        <v>2874</v>
      </c>
      <c r="C2409" s="472">
        <v>50.993000000000002</v>
      </c>
      <c r="D2409" s="1598">
        <f>VLOOKUP(H2409,indexy!$C$44:$D$823,2,FALSE)</f>
        <v>53.75</v>
      </c>
      <c r="E2409" s="1463">
        <f t="shared" si="22"/>
        <v>5.406624438648433E-2</v>
      </c>
      <c r="F2409" s="1494">
        <f>E2409*A2409</f>
        <v>1.0813248877296867E-3</v>
      </c>
      <c r="G2409" s="415"/>
      <c r="H2409" s="415" t="str">
        <f>VLOOKUP(B2409,indexy!$A$44:$D$823,3,FALSE)</f>
        <v>XEL US Equity</v>
      </c>
      <c r="J2409" s="434"/>
    </row>
    <row r="2410" spans="1:10" ht="12.75" hidden="1" customHeight="1" outlineLevel="1" x14ac:dyDescent="0.25">
      <c r="A2410" s="1475" t="s">
        <v>2734</v>
      </c>
      <c r="B2410" s="150"/>
      <c r="C2410" s="1476">
        <v>100</v>
      </c>
      <c r="D2410" s="1477"/>
      <c r="E2410" s="1599"/>
      <c r="F2410" s="1599">
        <f>SUM(F2380:F2409)</f>
        <v>0.14169013197166686</v>
      </c>
      <c r="G2410" s="415"/>
      <c r="H2410" s="415"/>
    </row>
    <row r="2411" spans="1:10" ht="12.75" hidden="1" customHeight="1" outlineLevel="1" x14ac:dyDescent="0.25">
      <c r="A2411" s="221" t="s">
        <v>9550</v>
      </c>
      <c r="B2411" s="1478">
        <v>45047</v>
      </c>
      <c r="C2411" s="1497">
        <v>100</v>
      </c>
      <c r="D2411" s="1497">
        <v>107.238</v>
      </c>
      <c r="E2411" s="1498">
        <f>IF(D2411="",F2410,D2411/C2411-1)</f>
        <v>7.2379999999999889E-2</v>
      </c>
      <c r="F2411" s="1499"/>
      <c r="G2411" s="415"/>
      <c r="H2411" s="415"/>
    </row>
    <row r="2412" spans="1:10" ht="12.75" hidden="1" customHeight="1" outlineLevel="1" x14ac:dyDescent="0.25">
      <c r="A2412" s="221" t="s">
        <v>9551</v>
      </c>
      <c r="B2412" s="1478">
        <v>45078</v>
      </c>
      <c r="C2412" s="1497">
        <v>100</v>
      </c>
      <c r="D2412" s="1500">
        <v>109.71299999999999</v>
      </c>
      <c r="E2412" s="1498">
        <f>IF(D2412="",E2411,D2412/C2412-1)</f>
        <v>9.7129999999999939E-2</v>
      </c>
      <c r="F2412" s="1499"/>
      <c r="G2412" s="415"/>
      <c r="H2412" s="415"/>
    </row>
    <row r="2413" spans="1:10" ht="12.75" hidden="1" customHeight="1" outlineLevel="1" x14ac:dyDescent="0.25">
      <c r="A2413" s="221" t="s">
        <v>9552</v>
      </c>
      <c r="B2413" s="1478">
        <v>45108</v>
      </c>
      <c r="C2413" s="1497">
        <v>100</v>
      </c>
      <c r="D2413" s="1500">
        <v>111.3198</v>
      </c>
      <c r="E2413" s="1498">
        <f>IF(D2413="",E2412,D2413/C2413-1)</f>
        <v>0.11319799999999991</v>
      </c>
      <c r="F2413" s="1499"/>
      <c r="G2413" s="415"/>
      <c r="H2413" s="415"/>
    </row>
    <row r="2414" spans="1:10" ht="12.75" hidden="1" customHeight="1" outlineLevel="1" x14ac:dyDescent="0.25">
      <c r="A2414" s="221" t="s">
        <v>9553</v>
      </c>
      <c r="B2414" s="1478">
        <v>45139</v>
      </c>
      <c r="C2414" s="1497">
        <v>100</v>
      </c>
      <c r="D2414" s="1500">
        <v>107.0249</v>
      </c>
      <c r="E2414" s="1498">
        <f>IF(D2414="",E2413,D2414/C2414-1)</f>
        <v>7.0249000000000006E-2</v>
      </c>
      <c r="F2414" s="1499"/>
      <c r="G2414" s="415"/>
      <c r="H2414" s="415"/>
    </row>
    <row r="2415" spans="1:10" ht="12.75" hidden="1" customHeight="1" outlineLevel="1" x14ac:dyDescent="0.25">
      <c r="A2415" s="221" t="s">
        <v>9554</v>
      </c>
      <c r="B2415" s="1478">
        <v>45170</v>
      </c>
      <c r="C2415" s="1497">
        <v>100</v>
      </c>
      <c r="D2415" s="1500">
        <v>103.22410000000001</v>
      </c>
      <c r="E2415" s="1498">
        <f t="shared" ref="E2415:E2420" si="23">IF(D2415="",E2414,D2415/C2415-1)</f>
        <v>3.2240999999999964E-2</v>
      </c>
      <c r="F2415" s="1499"/>
      <c r="G2415" s="415"/>
      <c r="H2415" s="415"/>
    </row>
    <row r="2416" spans="1:10" ht="12.75" hidden="1" customHeight="1" outlineLevel="1" x14ac:dyDescent="0.25">
      <c r="A2416" s="221" t="s">
        <v>9555</v>
      </c>
      <c r="B2416" s="1478">
        <v>45200</v>
      </c>
      <c r="C2416" s="1497">
        <v>100</v>
      </c>
      <c r="D2416" s="1500">
        <v>101.616</v>
      </c>
      <c r="E2416" s="1498">
        <f t="shared" si="23"/>
        <v>1.6159999999999952E-2</v>
      </c>
      <c r="F2416" s="1499"/>
      <c r="G2416" s="415"/>
      <c r="H2416" s="415"/>
    </row>
    <row r="2417" spans="1:18" ht="12.75" hidden="1" customHeight="1" outlineLevel="1" x14ac:dyDescent="0.25">
      <c r="A2417" s="221" t="s">
        <v>9556</v>
      </c>
      <c r="B2417" s="1478">
        <v>45231</v>
      </c>
      <c r="C2417" s="1497">
        <v>100</v>
      </c>
      <c r="D2417" s="1500">
        <v>107.9195</v>
      </c>
      <c r="E2417" s="1498">
        <f t="shared" si="23"/>
        <v>7.9194999999999904E-2</v>
      </c>
      <c r="F2417" s="1499"/>
      <c r="G2417" s="415"/>
      <c r="H2417" s="415"/>
    </row>
    <row r="2418" spans="1:18" ht="12.75" hidden="1" customHeight="1" outlineLevel="1" x14ac:dyDescent="0.25">
      <c r="A2418" s="221" t="s">
        <v>9557</v>
      </c>
      <c r="B2418" s="1478">
        <v>45261</v>
      </c>
      <c r="C2418" s="1497">
        <v>100</v>
      </c>
      <c r="D2418" s="1500">
        <v>111.07810000000001</v>
      </c>
      <c r="E2418" s="1498">
        <f t="shared" si="23"/>
        <v>0.11078100000000002</v>
      </c>
      <c r="F2418" s="1499"/>
      <c r="G2418" s="415"/>
      <c r="H2418" s="415"/>
    </row>
    <row r="2419" spans="1:18" ht="12.75" hidden="1" customHeight="1" outlineLevel="1" x14ac:dyDescent="0.25">
      <c r="A2419" s="221" t="s">
        <v>9558</v>
      </c>
      <c r="B2419" s="1478">
        <v>45292</v>
      </c>
      <c r="C2419" s="1497">
        <v>100</v>
      </c>
      <c r="D2419" s="1500">
        <v>110.44199999999999</v>
      </c>
      <c r="E2419" s="1498">
        <f t="shared" si="23"/>
        <v>0.10441999999999996</v>
      </c>
      <c r="F2419" s="1499"/>
      <c r="G2419" s="415"/>
      <c r="H2419" s="415"/>
    </row>
    <row r="2420" spans="1:18" ht="12.75" hidden="1" customHeight="1" outlineLevel="1" x14ac:dyDescent="0.25">
      <c r="A2420" s="221" t="s">
        <v>9559</v>
      </c>
      <c r="B2420" s="1478">
        <v>45323</v>
      </c>
      <c r="C2420" s="1497">
        <v>100</v>
      </c>
      <c r="D2420" s="1500">
        <v>110.5247</v>
      </c>
      <c r="E2420" s="1498">
        <f t="shared" si="23"/>
        <v>0.10524699999999987</v>
      </c>
      <c r="F2420" s="1499"/>
      <c r="G2420" s="415"/>
      <c r="H2420" s="415"/>
    </row>
    <row r="2421" spans="1:18" ht="12.75" hidden="1" customHeight="1" outlineLevel="1" x14ac:dyDescent="0.25">
      <c r="A2421" s="221" t="s">
        <v>9560</v>
      </c>
      <c r="B2421" s="1478">
        <v>45352</v>
      </c>
      <c r="C2421" s="1497">
        <v>100</v>
      </c>
      <c r="D2421" s="1500">
        <v>114.4173</v>
      </c>
      <c r="E2421" s="1498">
        <f>IF(D2421="",E2414,D2421/C2421-1)</f>
        <v>0.14417299999999988</v>
      </c>
      <c r="F2421" s="1499"/>
      <c r="G2421" s="415"/>
      <c r="H2421" s="415"/>
    </row>
    <row r="2422" spans="1:18" ht="12.75" hidden="1" customHeight="1" outlineLevel="1" x14ac:dyDescent="0.25">
      <c r="A2422" s="221" t="s">
        <v>9561</v>
      </c>
      <c r="B2422" s="1478">
        <v>45383</v>
      </c>
      <c r="C2422" s="1497">
        <v>100</v>
      </c>
      <c r="D2422" s="1500"/>
      <c r="E2422" s="1498">
        <f>IF(D2422="",E2421,D2422/C2422-1)</f>
        <v>0.14417299999999988</v>
      </c>
      <c r="F2422" s="1499"/>
      <c r="G2422" s="415"/>
      <c r="H2422" s="415"/>
    </row>
    <row r="2423" spans="1:18" s="444" customFormat="1" ht="12.75" hidden="1" customHeight="1" outlineLevel="1" x14ac:dyDescent="0.25">
      <c r="A2423" s="1531" t="s">
        <v>2734</v>
      </c>
      <c r="B2423" s="1532"/>
      <c r="C2423" s="1530"/>
      <c r="D2423" s="1533" t="s">
        <v>2465</v>
      </c>
      <c r="E2423" s="1534">
        <f>AVERAGE(E2411:E2422)</f>
        <v>9.0778916666666598E-2</v>
      </c>
      <c r="F2423" s="1535">
        <f>((((E2423*100)+100)-I2380)/100)</f>
        <v>0.15218291666666658</v>
      </c>
    </row>
    <row r="2424" spans="1:18" collapsed="1" x14ac:dyDescent="0.25">
      <c r="A2424" s="3799" t="s">
        <v>9419</v>
      </c>
      <c r="B2424" s="3800"/>
      <c r="C2424" s="3800"/>
      <c r="D2424" s="3800"/>
      <c r="E2424" s="18"/>
      <c r="F2424" s="186">
        <f>MAX(0%,MIN(F2423,100%))</f>
        <v>0.15218291666666658</v>
      </c>
      <c r="G2424" s="415"/>
    </row>
    <row r="2426" spans="1:18" ht="12.75" hidden="1" customHeight="1" outlineLevel="1" x14ac:dyDescent="0.25">
      <c r="A2426" s="1677" t="s">
        <v>4156</v>
      </c>
      <c r="B2426" s="1677" t="s">
        <v>4153</v>
      </c>
      <c r="C2426" s="1623" t="s">
        <v>112</v>
      </c>
      <c r="D2426" s="1678" t="s">
        <v>4155</v>
      </c>
      <c r="E2426" s="1677" t="s">
        <v>4154</v>
      </c>
      <c r="F2426" s="1678" t="s">
        <v>2519</v>
      </c>
      <c r="G2426" s="12"/>
      <c r="H2426" s="415"/>
      <c r="I2426" s="412" t="s">
        <v>6964</v>
      </c>
      <c r="J2426" s="1462">
        <v>43466</v>
      </c>
      <c r="K2426" s="1462">
        <v>43497</v>
      </c>
      <c r="L2426" s="1462">
        <v>43525</v>
      </c>
      <c r="M2426" s="1462">
        <v>43556</v>
      </c>
      <c r="N2426" s="1462">
        <v>43586</v>
      </c>
      <c r="O2426" s="1462">
        <v>43617</v>
      </c>
      <c r="P2426" s="1462">
        <v>43647</v>
      </c>
      <c r="Q2426" s="1462">
        <v>43678</v>
      </c>
      <c r="R2426" s="1462">
        <v>43709</v>
      </c>
    </row>
    <row r="2427" spans="1:18" ht="12.75" hidden="1" customHeight="1" outlineLevel="1" x14ac:dyDescent="0.25">
      <c r="A2427" s="134">
        <v>0.02</v>
      </c>
      <c r="B2427" s="211" t="s">
        <v>1993</v>
      </c>
      <c r="C2427" s="472">
        <v>52.655000000000001</v>
      </c>
      <c r="D2427" s="1596">
        <f>VLOOKUP(H2427,indexy!$C$44:$D$823,2,FALSE)</f>
        <v>43.62</v>
      </c>
      <c r="E2427" s="1466">
        <f>D2427/C2427-1</f>
        <v>-0.17158864305384114</v>
      </c>
      <c r="F2427" s="1492">
        <f>E2427*A2427</f>
        <v>-3.4317728610768227E-3</v>
      </c>
      <c r="G2427" s="415"/>
      <c r="H2427" s="415" t="str">
        <f>VLOOKUP(B2427,indexy!$A$44:$D$823,3,FALSE)</f>
        <v>MO UN Equity</v>
      </c>
      <c r="I2427" s="412">
        <f>IF(J2427="",100,MIN(100,J2427:Y2427))</f>
        <v>95.940899999999999</v>
      </c>
      <c r="J2427">
        <v>95.940899999999999</v>
      </c>
      <c r="K2427">
        <v>103.892</v>
      </c>
      <c r="L2427">
        <v>107.1036</v>
      </c>
      <c r="M2427">
        <v>108.3428</v>
      </c>
      <c r="N2427">
        <v>109.1883</v>
      </c>
      <c r="O2427">
        <v>106.4796</v>
      </c>
      <c r="P2427">
        <v>108.2063</v>
      </c>
      <c r="Q2427">
        <v>107.7514</v>
      </c>
      <c r="R2427">
        <v>108.35339999999999</v>
      </c>
    </row>
    <row r="2428" spans="1:18" ht="12.75" hidden="1" customHeight="1" outlineLevel="1" x14ac:dyDescent="0.25">
      <c r="A2428" s="135">
        <v>0.02</v>
      </c>
      <c r="B2428" s="211" t="s">
        <v>1317</v>
      </c>
      <c r="C2428" s="472">
        <v>78.739999999999995</v>
      </c>
      <c r="D2428" s="1597">
        <f>VLOOKUP(H2428,indexy!$C$44:$D$823,2,FALSE)</f>
        <v>86.09</v>
      </c>
      <c r="E2428" s="1463">
        <f>D2428/C2428-1</f>
        <v>9.3345186690373394E-2</v>
      </c>
      <c r="F2428" s="1494">
        <f t="shared" ref="F2428:F2451" si="24">E2428*A2428</f>
        <v>1.866903733807468E-3</v>
      </c>
      <c r="G2428" s="415"/>
      <c r="H2428" s="415" t="str">
        <f>VLOOKUP(B2428,indexy!$A$44:$D$823,3,FALSE)</f>
        <v>AEP UN Equity</v>
      </c>
      <c r="I2428" s="422">
        <f>+(((E2470*100)+100)-I2427)/100</f>
        <v>0.14558866666666659</v>
      </c>
    </row>
    <row r="2429" spans="1:18" ht="12.75" hidden="1" customHeight="1" outlineLevel="1" x14ac:dyDescent="0.25">
      <c r="A2429" s="135">
        <v>0.02</v>
      </c>
      <c r="B2429" s="211" t="s">
        <v>805</v>
      </c>
      <c r="C2429" s="472">
        <v>90.325000000000003</v>
      </c>
      <c r="D2429" s="1597">
        <f>VLOOKUP(H2429,indexy!$C$44:$D$823,2,FALSE)</f>
        <v>132.25</v>
      </c>
      <c r="E2429" s="1463">
        <f t="shared" ref="E2429:E2456" si="25">D2429/C2429-1</f>
        <v>0.46415721007472999</v>
      </c>
      <c r="F2429" s="1494">
        <f t="shared" si="24"/>
        <v>9.2831442014946006E-3</v>
      </c>
      <c r="G2429" s="415"/>
      <c r="H2429" s="415" t="str">
        <f>VLOOKUP(B2429,indexy!$A$44:$D$823,3,FALSE)</f>
        <v>BMO CT Equity</v>
      </c>
      <c r="J2429" s="434"/>
    </row>
    <row r="2430" spans="1:18" ht="12.75" hidden="1" customHeight="1" outlineLevel="1" x14ac:dyDescent="0.25">
      <c r="A2430" s="135">
        <v>0.05</v>
      </c>
      <c r="B2430" s="211" t="s">
        <v>5748</v>
      </c>
      <c r="C2430" s="472">
        <v>71.319000000000003</v>
      </c>
      <c r="D2430" s="1597">
        <f>VLOOKUP(H2430,indexy!$C$44:$D$823,2,FALSE)</f>
        <v>70.069999999999993</v>
      </c>
      <c r="E2430" s="1463">
        <f t="shared" si="25"/>
        <v>-1.7512864734502864E-2</v>
      </c>
      <c r="F2430" s="1494">
        <f t="shared" si="24"/>
        <v>-8.7564323672514324E-4</v>
      </c>
      <c r="G2430" s="415"/>
      <c r="H2430" s="415" t="str">
        <f>VLOOKUP(B2430,indexy!$A$44:$D$823,3,FALSE)</f>
        <v>BNS CT Equity</v>
      </c>
      <c r="J2430" s="434"/>
      <c r="K2430" s="37"/>
    </row>
    <row r="2431" spans="1:18" ht="12.75" hidden="1" customHeight="1" outlineLevel="1" x14ac:dyDescent="0.25">
      <c r="A2431" s="135">
        <v>0.08</v>
      </c>
      <c r="B2431" s="211" t="s">
        <v>807</v>
      </c>
      <c r="C2431" s="472">
        <v>56.124000000000002</v>
      </c>
      <c r="D2431" s="1597">
        <f>VLOOKUP(H2431,indexy!$C$44:$D$823,2,FALSE)</f>
        <v>46.03</v>
      </c>
      <c r="E2431" s="1463">
        <f t="shared" si="25"/>
        <v>-0.17985175682417509</v>
      </c>
      <c r="F2431" s="1494">
        <f t="shared" si="24"/>
        <v>-1.4388140545934007E-2</v>
      </c>
      <c r="G2431" s="415"/>
      <c r="H2431" s="415" t="str">
        <f>VLOOKUP(B2431,indexy!$A$44:$D$823,3,FALSE)</f>
        <v>BCE CT Equity</v>
      </c>
      <c r="J2431" s="434"/>
    </row>
    <row r="2432" spans="1:18" ht="12.75" hidden="1" customHeight="1" outlineLevel="1" x14ac:dyDescent="0.25">
      <c r="A2432" s="135">
        <v>0.04</v>
      </c>
      <c r="B2432" s="211" t="s">
        <v>3954</v>
      </c>
      <c r="C2432" s="472">
        <f>105.885/2</f>
        <v>52.942500000000003</v>
      </c>
      <c r="D2432" s="1597">
        <f>VLOOKUP(H2432,indexy!$C$44:$D$823,2,FALSE)</f>
        <v>68.67</v>
      </c>
      <c r="E2432" s="1463">
        <f t="shared" si="25"/>
        <v>0.29706757331066713</v>
      </c>
      <c r="F2432" s="1494">
        <f t="shared" si="24"/>
        <v>1.1882702932426686E-2</v>
      </c>
      <c r="G2432" s="415"/>
      <c r="H2432" s="415" t="str">
        <f>VLOOKUP(B2432,indexy!$A$44:$D$823,3,FALSE)</f>
        <v>CM CT Equity</v>
      </c>
      <c r="J2432" s="434"/>
    </row>
    <row r="2433" spans="1:10" ht="12.75" hidden="1" customHeight="1" outlineLevel="1" x14ac:dyDescent="0.25">
      <c r="A2433" s="135">
        <v>0.02</v>
      </c>
      <c r="B2433" s="211" t="s">
        <v>9512</v>
      </c>
      <c r="C2433" s="472">
        <v>113.48699999999999</v>
      </c>
      <c r="D2433" s="1597">
        <f>VLOOKUP(H2433,indexy!$C$44:$D$823,2,FALSE)</f>
        <v>105.83</v>
      </c>
      <c r="E2433" s="1463">
        <f t="shared" si="25"/>
        <v>-6.7470282939896209E-2</v>
      </c>
      <c r="F2433" s="1494">
        <f t="shared" si="24"/>
        <v>-1.3494056587979241E-3</v>
      </c>
      <c r="G2433" s="415"/>
      <c r="H2433" s="415" t="str">
        <f>VLOOKUP(B2433,indexy!$A$44:$D$823,3,FALSE)</f>
        <v>CCI UN Equity</v>
      </c>
      <c r="J2433" s="434"/>
    </row>
    <row r="2434" spans="1:10" ht="12.75" hidden="1" customHeight="1" outlineLevel="1" x14ac:dyDescent="0.25">
      <c r="A2434" s="135">
        <v>0.04</v>
      </c>
      <c r="B2434" s="211" t="s">
        <v>9591</v>
      </c>
      <c r="C2434" s="472">
        <v>75.287999999999997</v>
      </c>
      <c r="D2434" s="1597">
        <f>VLOOKUP(H2434,indexy!$C$44:$D$823,2,FALSE)</f>
        <v>49.19</v>
      </c>
      <c r="E2434" s="1463">
        <f t="shared" si="25"/>
        <v>-0.3466422271809585</v>
      </c>
      <c r="F2434" s="1494">
        <f t="shared" si="24"/>
        <v>-1.386568908723834E-2</v>
      </c>
      <c r="G2434" s="415"/>
      <c r="H2434" s="415" t="str">
        <f>VLOOKUP(B2434,indexy!$A$44:$D$823,3,FALSE)</f>
        <v>D UN Equity</v>
      </c>
      <c r="J2434" s="434"/>
    </row>
    <row r="2435" spans="1:10" ht="12.75" hidden="1" customHeight="1" outlineLevel="1" x14ac:dyDescent="0.25">
      <c r="A2435" s="135">
        <v>7.0000000000000007E-2</v>
      </c>
      <c r="B2435" s="211" t="s">
        <v>1231</v>
      </c>
      <c r="C2435" s="472">
        <v>89.366</v>
      </c>
      <c r="D2435" s="1597">
        <f>VLOOKUP(H2435,indexy!$C$44:$D$823,2,FALSE)</f>
        <v>96.71</v>
      </c>
      <c r="E2435" s="1463">
        <f t="shared" si="25"/>
        <v>8.2178904728867685E-2</v>
      </c>
      <c r="F2435" s="1494">
        <f t="shared" si="24"/>
        <v>5.7525233310207384E-3</v>
      </c>
      <c r="G2435" s="415"/>
      <c r="H2435" s="415" t="str">
        <f>VLOOKUP(B2435,indexy!$A$44:$D$823,3,FALSE)</f>
        <v>DUK UN Equity</v>
      </c>
      <c r="J2435" s="434"/>
    </row>
    <row r="2436" spans="1:10" ht="12.75" hidden="1" customHeight="1" outlineLevel="1" x14ac:dyDescent="0.25">
      <c r="A2436" s="135">
        <v>0.06</v>
      </c>
      <c r="B2436" s="211" t="s">
        <v>7855</v>
      </c>
      <c r="C2436" s="472">
        <v>42.264000000000003</v>
      </c>
      <c r="D2436" s="1597">
        <f>VLOOKUP(H2436,indexy!$C$44:$D$823,2,FALSE)</f>
        <v>48.95</v>
      </c>
      <c r="E2436" s="1463">
        <f t="shared" si="25"/>
        <v>0.15819610070035961</v>
      </c>
      <c r="F2436" s="1494">
        <f t="shared" si="24"/>
        <v>9.4917660420215759E-3</v>
      </c>
      <c r="G2436" s="415"/>
      <c r="H2436" s="415" t="str">
        <f>VLOOKUP(B2436,indexy!$A$44:$D$823,3,FALSE)</f>
        <v>ENB CT Equity</v>
      </c>
      <c r="J2436" s="434"/>
    </row>
    <row r="2437" spans="1:10" ht="12.75" hidden="1" customHeight="1" outlineLevel="1" x14ac:dyDescent="0.25">
      <c r="A2437" s="135">
        <v>0.02</v>
      </c>
      <c r="B2437" s="211" t="s">
        <v>3425</v>
      </c>
      <c r="C2437" s="472">
        <v>74.489000000000004</v>
      </c>
      <c r="D2437" s="1597">
        <f>VLOOKUP(H2437,indexy!$C$44:$D$823,2,FALSE)</f>
        <v>116.24</v>
      </c>
      <c r="E2437" s="1463">
        <f t="shared" si="25"/>
        <v>0.56049886560431728</v>
      </c>
      <c r="F2437" s="1494">
        <f t="shared" si="24"/>
        <v>1.1209977312086346E-2</v>
      </c>
      <c r="G2437" s="415"/>
      <c r="H2437" s="415" t="str">
        <f>VLOOKUP(B2437,indexy!$A$44:$D$823,3,FALSE)</f>
        <v>XOM UN Equity</v>
      </c>
      <c r="J2437" s="434"/>
    </row>
    <row r="2438" spans="1:10" ht="12.75" hidden="1" customHeight="1" outlineLevel="1" x14ac:dyDescent="0.25">
      <c r="A2438" s="135">
        <v>0.02</v>
      </c>
      <c r="B2438" s="211" t="s">
        <v>1321</v>
      </c>
      <c r="C2438" s="472">
        <v>38.628</v>
      </c>
      <c r="D2438" s="1597">
        <f>VLOOKUP(H2438,indexy!$C$44:$D$823,2,FALSE)</f>
        <v>38.619999999999997</v>
      </c>
      <c r="E2438" s="1463">
        <f t="shared" si="25"/>
        <v>-2.0710365537957021E-4</v>
      </c>
      <c r="F2438" s="1494">
        <f t="shared" si="24"/>
        <v>-4.142073107591404E-6</v>
      </c>
      <c r="G2438" s="415"/>
      <c r="H2438" s="415" t="str">
        <f>VLOOKUP(B2438,indexy!$A$44:$D$823,3,FALSE)</f>
        <v>FE UN Equity</v>
      </c>
      <c r="J2438" s="434"/>
    </row>
    <row r="2439" spans="1:10" ht="12.75" hidden="1" customHeight="1" outlineLevel="1" x14ac:dyDescent="0.25">
      <c r="A2439" s="135">
        <v>0.02</v>
      </c>
      <c r="B2439" s="211" t="s">
        <v>52</v>
      </c>
      <c r="C2439" s="490">
        <v>118.535</v>
      </c>
      <c r="D2439" s="1597">
        <f>VLOOKUP(H2439,indexy!$C$44:$D$823,2,FALSE)</f>
        <v>190.96</v>
      </c>
      <c r="E2439" s="1463">
        <f t="shared" si="25"/>
        <v>0.6110009701775847</v>
      </c>
      <c r="F2439" s="1494">
        <f t="shared" si="24"/>
        <v>1.2220019403551694E-2</v>
      </c>
      <c r="G2439" s="415"/>
      <c r="H2439" s="415" t="str">
        <f>VLOOKUP(B2439,indexy!$A$44:$D$823,3,FALSE)</f>
        <v>IBM UN Equity</v>
      </c>
      <c r="J2439" s="434"/>
    </row>
    <row r="2440" spans="1:10" ht="12.75" hidden="1" customHeight="1" outlineLevel="1" x14ac:dyDescent="0.25">
      <c r="A2440" s="135">
        <v>0.03</v>
      </c>
      <c r="B2440" s="211" t="s">
        <v>123</v>
      </c>
      <c r="C2440" s="472">
        <v>19.721</v>
      </c>
      <c r="D2440" s="1597">
        <f>VLOOKUP(H2440,indexy!$C$44:$D$823,2,FALSE)</f>
        <v>33.83</v>
      </c>
      <c r="E2440" s="1463">
        <f t="shared" si="25"/>
        <v>0.71543025201561772</v>
      </c>
      <c r="F2440" s="1494">
        <f t="shared" si="24"/>
        <v>2.1462907560468529E-2</v>
      </c>
      <c r="G2440" s="415"/>
      <c r="H2440" s="415" t="str">
        <f>VLOOKUP(B2440,indexy!$A$44:$D$823,3,FALSE)</f>
        <v>MFC CT Equity</v>
      </c>
      <c r="J2440" s="434"/>
    </row>
    <row r="2441" spans="1:10" ht="12.75" hidden="1" customHeight="1" outlineLevel="1" x14ac:dyDescent="0.25">
      <c r="A2441" s="135">
        <v>0.02</v>
      </c>
      <c r="B2441" s="211" t="s">
        <v>7754</v>
      </c>
      <c r="C2441" s="472">
        <v>58.13</v>
      </c>
      <c r="D2441" s="1597">
        <f>VLOOKUP(H2441,indexy!$C$44:$D$823,2,FALSE)</f>
        <v>114.06</v>
      </c>
      <c r="E2441" s="1463">
        <f t="shared" si="25"/>
        <v>0.96215379322208827</v>
      </c>
      <c r="F2441" s="1494">
        <f t="shared" si="24"/>
        <v>1.9243075864441767E-2</v>
      </c>
      <c r="G2441" s="415"/>
      <c r="H2441" s="415" t="str">
        <f>VLOOKUP(B2441,indexy!$A$44:$D$823,3,FALSE)</f>
        <v>NA CT Equity</v>
      </c>
      <c r="J2441" s="434"/>
    </row>
    <row r="2442" spans="1:10" ht="12.75" hidden="1" customHeight="1" outlineLevel="1" x14ac:dyDescent="0.25">
      <c r="A2442" s="135">
        <v>0.02</v>
      </c>
      <c r="B2442" s="211" t="s">
        <v>9514</v>
      </c>
      <c r="C2442" s="472">
        <v>62.970999999999997</v>
      </c>
      <c r="D2442" s="1597">
        <f>VLOOKUP(H2442,indexy!$C$44:$D$823,2,FALSE)</f>
        <v>73.59</v>
      </c>
      <c r="E2442" s="1463">
        <f t="shared" si="25"/>
        <v>0.1686331803528609</v>
      </c>
      <c r="F2442" s="1494">
        <f t="shared" si="24"/>
        <v>3.372663607057218E-3</v>
      </c>
      <c r="G2442" s="415"/>
      <c r="H2442" s="415" t="str">
        <f>VLOOKUP(B2442,indexy!$A$44:$D$823,3,FALSE)</f>
        <v>NTR CT Equity</v>
      </c>
      <c r="J2442" s="434"/>
    </row>
    <row r="2443" spans="1:10" ht="12.75" hidden="1" customHeight="1" outlineLevel="1" x14ac:dyDescent="0.25">
      <c r="A2443" s="135">
        <v>0.02</v>
      </c>
      <c r="B2443" s="211" t="s">
        <v>4</v>
      </c>
      <c r="C2443" s="472">
        <v>64.299000000000007</v>
      </c>
      <c r="D2443" s="1597">
        <f>VLOOKUP(H2443,indexy!$C$44:$D$823,2,FALSE)</f>
        <v>64.989999999999995</v>
      </c>
      <c r="E2443" s="1463">
        <f t="shared" si="25"/>
        <v>1.074666791085388E-2</v>
      </c>
      <c r="F2443" s="1494">
        <f t="shared" si="24"/>
        <v>2.1493335821707761E-4</v>
      </c>
      <c r="G2443" s="415"/>
      <c r="H2443" s="415" t="str">
        <f>VLOOKUP(B2443,indexy!$A$44:$D$823,3,FALSE)</f>
        <v>OXY UN Equity</v>
      </c>
      <c r="J2443" s="434"/>
    </row>
    <row r="2444" spans="1:10" ht="12.75" hidden="1" customHeight="1" outlineLevel="1" x14ac:dyDescent="0.25">
      <c r="A2444" s="135">
        <v>0.08</v>
      </c>
      <c r="B2444" s="211" t="s">
        <v>9516</v>
      </c>
      <c r="C2444" s="472">
        <v>43.076999999999998</v>
      </c>
      <c r="D2444" s="1597">
        <f>VLOOKUP(H2444,indexy!$C$44:$D$823,2,FALSE)</f>
        <v>47.81</v>
      </c>
      <c r="E2444" s="1463">
        <f t="shared" si="25"/>
        <v>0.10987301808389627</v>
      </c>
      <c r="F2444" s="1494">
        <f t="shared" si="24"/>
        <v>8.789841446711702E-3</v>
      </c>
      <c r="G2444" s="415"/>
      <c r="H2444" s="415" t="str">
        <f>VLOOKUP(B2444,indexy!$A$44:$D$823,3,FALSE)</f>
        <v>PPL CT Equity</v>
      </c>
      <c r="J2444" s="434"/>
    </row>
    <row r="2445" spans="1:10" ht="12.75" hidden="1" customHeight="1" outlineLevel="1" x14ac:dyDescent="0.25">
      <c r="A2445" s="135">
        <v>0.02</v>
      </c>
      <c r="B2445" s="211" t="s">
        <v>1204</v>
      </c>
      <c r="C2445" s="472">
        <v>114.35599999999999</v>
      </c>
      <c r="D2445" s="1597">
        <f>VLOOKUP(H2445,indexy!$C$44:$D$823,2,FALSE)</f>
        <v>175.01</v>
      </c>
      <c r="E2445" s="1463">
        <f t="shared" si="25"/>
        <v>0.53039630627164303</v>
      </c>
      <c r="F2445" s="1494">
        <f t="shared" si="24"/>
        <v>1.060792612543286E-2</v>
      </c>
      <c r="G2445" s="415"/>
      <c r="H2445" s="415" t="str">
        <f>VLOOKUP(B2445,indexy!$A$44:$D$823,3,FALSE)</f>
        <v>PEP UW Equity</v>
      </c>
      <c r="J2445" s="434"/>
    </row>
    <row r="2446" spans="1:10" ht="12.75" hidden="1" customHeight="1" outlineLevel="1" x14ac:dyDescent="0.25">
      <c r="A2446" s="135">
        <v>0.02</v>
      </c>
      <c r="B2446" s="211" t="s">
        <v>3793</v>
      </c>
      <c r="C2446" s="472">
        <v>80.146000000000001</v>
      </c>
      <c r="D2446" s="1597">
        <f>VLOOKUP(H2446,indexy!$C$44:$D$823,2,FALSE)</f>
        <v>91.62</v>
      </c>
      <c r="E2446" s="1463">
        <f t="shared" si="25"/>
        <v>0.14316372619968565</v>
      </c>
      <c r="F2446" s="1494">
        <f t="shared" si="24"/>
        <v>2.8632745239937129E-3</v>
      </c>
      <c r="G2446" s="415"/>
      <c r="H2446" s="415" t="str">
        <f>VLOOKUP(B2446,indexy!$A$44:$D$823,3,FALSE)</f>
        <v>PM UN Equity</v>
      </c>
      <c r="J2446" s="434"/>
    </row>
    <row r="2447" spans="1:10" ht="12.75" hidden="1" customHeight="1" outlineLevel="1" x14ac:dyDescent="0.25">
      <c r="A2447" s="135">
        <v>0.04</v>
      </c>
      <c r="B2447" s="211" t="s">
        <v>2728</v>
      </c>
      <c r="C2447" s="472">
        <v>93.715000000000003</v>
      </c>
      <c r="D2447" s="1597">
        <f>VLOOKUP(H2447,indexy!$C$44:$D$823,2,FALSE)</f>
        <v>136.62</v>
      </c>
      <c r="E2447" s="1463">
        <f t="shared" si="25"/>
        <v>0.45782425438830487</v>
      </c>
      <c r="F2447" s="1494">
        <f t="shared" si="24"/>
        <v>1.8312970175532194E-2</v>
      </c>
      <c r="G2447" s="415"/>
      <c r="H2447" s="415" t="str">
        <f>VLOOKUP(B2447,indexy!$A$44:$D$823,3,FALSE)</f>
        <v>RY CT Equity</v>
      </c>
      <c r="J2447" s="434"/>
    </row>
    <row r="2448" spans="1:10" ht="12.75" hidden="1" customHeight="1" outlineLevel="1" x14ac:dyDescent="0.25">
      <c r="A2448" s="135">
        <v>0.02</v>
      </c>
      <c r="B2448" s="211" t="s">
        <v>2771</v>
      </c>
      <c r="C2448" s="472">
        <f>115.772/2</f>
        <v>57.886000000000003</v>
      </c>
      <c r="D2448" s="1597">
        <f>VLOOKUP(H2448,indexy!$C$44:$D$823,2,FALSE)</f>
        <v>71.83</v>
      </c>
      <c r="E2448" s="1463">
        <f t="shared" si="25"/>
        <v>0.24088726116850356</v>
      </c>
      <c r="F2448" s="1494">
        <f t="shared" si="24"/>
        <v>4.8177452233700716E-3</v>
      </c>
      <c r="G2448" s="415"/>
      <c r="H2448" s="415" t="str">
        <f>VLOOKUP(B2448,indexy!$A$44:$D$823,3,FALSE)</f>
        <v>SRE UN Equity</v>
      </c>
      <c r="J2448" s="434"/>
    </row>
    <row r="2449" spans="1:10" ht="12.75" hidden="1" customHeight="1" outlineLevel="1" x14ac:dyDescent="0.25">
      <c r="A2449" s="135">
        <v>0.02</v>
      </c>
      <c r="B2449" s="211" t="s">
        <v>8210</v>
      </c>
      <c r="C2449" s="472">
        <v>180.119</v>
      </c>
      <c r="D2449" s="1597">
        <f>VLOOKUP(H2449,indexy!$C$44:$D$823,2,FALSE)</f>
        <v>156.49</v>
      </c>
      <c r="E2449" s="1463">
        <f t="shared" si="25"/>
        <v>-0.13118549403449942</v>
      </c>
      <c r="F2449" s="1494">
        <f t="shared" si="24"/>
        <v>-2.6237098806899885E-3</v>
      </c>
      <c r="G2449" s="415"/>
      <c r="H2449" s="415" t="str">
        <f>VLOOKUP(B2449,indexy!$A$44:$D$823,3,FALSE)</f>
        <v>SPG UN Equity</v>
      </c>
      <c r="J2449" s="434"/>
    </row>
    <row r="2450" spans="1:10" ht="12.75" hidden="1" customHeight="1" outlineLevel="1" x14ac:dyDescent="0.25">
      <c r="A2450" s="135">
        <v>0.06</v>
      </c>
      <c r="B2450" s="211" t="s">
        <v>3427</v>
      </c>
      <c r="C2450" s="472">
        <v>46.555</v>
      </c>
      <c r="D2450" s="1597">
        <f>VLOOKUP(H2450,indexy!$C$44:$D$823,2,FALSE)</f>
        <v>71.739999999999995</v>
      </c>
      <c r="E2450" s="1463">
        <f t="shared" si="25"/>
        <v>0.54097304263774015</v>
      </c>
      <c r="F2450" s="1494">
        <f t="shared" si="24"/>
        <v>3.2458382558264408E-2</v>
      </c>
      <c r="G2450" s="415"/>
      <c r="H2450" s="415" t="str">
        <f>VLOOKUP(B2450,indexy!$A$44:$D$823,3,FALSE)</f>
        <v>SO UN Equity</v>
      </c>
      <c r="J2450" s="434"/>
    </row>
    <row r="2451" spans="1:10" ht="12.75" hidden="1" customHeight="1" outlineLevel="1" x14ac:dyDescent="0.25">
      <c r="A2451" s="135">
        <v>0.02</v>
      </c>
      <c r="B2451" s="211" t="s">
        <v>1142</v>
      </c>
      <c r="C2451" s="472">
        <v>48.798999999999999</v>
      </c>
      <c r="D2451" s="1597">
        <f>VLOOKUP(H2451,indexy!$C$44:$D$823,2,FALSE)</f>
        <v>61.18</v>
      </c>
      <c r="E2451" s="1463">
        <f t="shared" si="25"/>
        <v>0.25371421545523476</v>
      </c>
      <c r="F2451" s="1494">
        <f t="shared" si="24"/>
        <v>5.0742843091046951E-3</v>
      </c>
      <c r="G2451" s="415"/>
      <c r="H2451" s="415" t="str">
        <f>VLOOKUP(B2451,indexy!$A$44:$D$823,3,FALSE)</f>
        <v>KO UN Equity</v>
      </c>
      <c r="J2451" s="434"/>
    </row>
    <row r="2452" spans="1:10" ht="12.75" hidden="1" customHeight="1" outlineLevel="1" x14ac:dyDescent="0.25">
      <c r="A2452" s="135">
        <v>0.05</v>
      </c>
      <c r="B2452" s="211" t="s">
        <v>3626</v>
      </c>
      <c r="C2452" s="472">
        <v>69.001999999999995</v>
      </c>
      <c r="D2452" s="1597">
        <f>VLOOKUP(H2452,indexy!$C$44:$D$823,2,FALSE)</f>
        <v>81.75</v>
      </c>
      <c r="E2452" s="1463">
        <f t="shared" si="25"/>
        <v>0.18474826816614009</v>
      </c>
      <c r="F2452" s="1494">
        <f>E2452*A2452</f>
        <v>9.2374134083070044E-3</v>
      </c>
      <c r="G2452" s="415"/>
      <c r="H2452" s="415" t="str">
        <f>VLOOKUP(B2452,indexy!$A$44:$D$823,3,FALSE)</f>
        <v>TD CT Equity</v>
      </c>
      <c r="J2452" s="434"/>
    </row>
    <row r="2453" spans="1:10" ht="12.75" hidden="1" customHeight="1" outlineLevel="1" x14ac:dyDescent="0.25">
      <c r="A2453" s="135">
        <v>0.04</v>
      </c>
      <c r="B2453" s="211" t="s">
        <v>366</v>
      </c>
      <c r="C2453" s="472">
        <v>52.601999999999997</v>
      </c>
      <c r="D2453" s="1597">
        <f>VLOOKUP(H2453,indexy!$C$44:$D$946,2,FALSE)</f>
        <v>54.44</v>
      </c>
      <c r="E2453" s="1463">
        <f t="shared" si="25"/>
        <v>3.4941637200106568E-2</v>
      </c>
      <c r="F2453" s="1494">
        <f>E2453*A2453</f>
        <v>1.3976654880042628E-3</v>
      </c>
      <c r="G2453" s="415"/>
      <c r="H2453" s="415" t="str">
        <f>VLOOKUP(B2453,indexy!$A$44:$D$946,3,FALSE)</f>
        <v>TRP CT Equity</v>
      </c>
      <c r="J2453" s="434"/>
    </row>
    <row r="2454" spans="1:10" ht="12.75" hidden="1" customHeight="1" outlineLevel="1" x14ac:dyDescent="0.25">
      <c r="A2454" s="135">
        <v>0.02</v>
      </c>
      <c r="B2454" s="211" t="s">
        <v>255</v>
      </c>
      <c r="C2454" s="472">
        <v>56.875</v>
      </c>
      <c r="D2454" s="1597">
        <f>VLOOKUP(H2454,indexy!$C$44:$D$823,2,FALSE)</f>
        <v>41.96</v>
      </c>
      <c r="E2454" s="1463">
        <f t="shared" si="25"/>
        <v>-0.26224175824175822</v>
      </c>
      <c r="F2454" s="1494">
        <f>E2454*A2454</f>
        <v>-5.2448351648351644E-3</v>
      </c>
      <c r="G2454" s="415"/>
      <c r="H2454" s="415" t="str">
        <f>VLOOKUP(B2454,indexy!$A$44:$D$823,3,FALSE)</f>
        <v>VZ UN Equity</v>
      </c>
      <c r="J2454" s="434"/>
    </row>
    <row r="2455" spans="1:10" ht="12.75" hidden="1" customHeight="1" outlineLevel="1" x14ac:dyDescent="0.25">
      <c r="A2455" s="135">
        <v>0.02</v>
      </c>
      <c r="B2455" s="211" t="s">
        <v>9518</v>
      </c>
      <c r="C2455" s="472">
        <v>23.355</v>
      </c>
      <c r="D2455" s="1597">
        <f>VLOOKUP(H2455,indexy!$C$44:$D$823,2,FALSE)</f>
        <v>38.97</v>
      </c>
      <c r="E2455" s="1463">
        <f t="shared" si="25"/>
        <v>0.66859344894026962</v>
      </c>
      <c r="F2455" s="1494">
        <f>E2455*A2455</f>
        <v>1.3371868978805393E-2</v>
      </c>
      <c r="G2455" s="415"/>
      <c r="H2455" s="415" t="str">
        <f>VLOOKUP(B2455,indexy!$A$44:$D$823,3,FALSE)</f>
        <v>WMB UN Equity</v>
      </c>
      <c r="J2455" s="434"/>
    </row>
    <row r="2456" spans="1:10" ht="12.75" hidden="1" customHeight="1" outlineLevel="1" x14ac:dyDescent="0.25">
      <c r="A2456" s="135">
        <v>0.02</v>
      </c>
      <c r="B2456" s="1465" t="s">
        <v>2874</v>
      </c>
      <c r="C2456" s="472">
        <v>52.543999999999997</v>
      </c>
      <c r="D2456" s="1598">
        <f>VLOOKUP(H2456,indexy!$C$44:$D$823,2,FALSE)</f>
        <v>53.75</v>
      </c>
      <c r="E2456" s="1463">
        <f t="shared" si="25"/>
        <v>2.2952192448233877E-2</v>
      </c>
      <c r="F2456" s="1494">
        <f>E2456*A2456</f>
        <v>4.5904384896467755E-4</v>
      </c>
      <c r="G2456" s="415"/>
      <c r="H2456" s="415" t="str">
        <f>VLOOKUP(B2456,indexy!$A$44:$D$823,3,FALSE)</f>
        <v>XEL US Equity</v>
      </c>
      <c r="J2456" s="434"/>
    </row>
    <row r="2457" spans="1:10" ht="12.75" hidden="1" customHeight="1" outlineLevel="1" x14ac:dyDescent="0.25">
      <c r="A2457" s="1475" t="s">
        <v>2734</v>
      </c>
      <c r="B2457" s="150"/>
      <c r="C2457" s="1476">
        <v>100</v>
      </c>
      <c r="D2457" s="1477"/>
      <c r="E2457" s="1599"/>
      <c r="F2457" s="1599">
        <f>SUM(F2427:F2456)</f>
        <v>0.1716076949246797</v>
      </c>
      <c r="G2457" s="415"/>
      <c r="H2457" s="415"/>
    </row>
    <row r="2458" spans="1:10" ht="12.75" hidden="1" customHeight="1" outlineLevel="1" x14ac:dyDescent="0.25">
      <c r="A2458" s="221" t="s">
        <v>9592</v>
      </c>
      <c r="B2458" s="1478">
        <v>45078</v>
      </c>
      <c r="C2458" s="1497">
        <v>100</v>
      </c>
      <c r="D2458" s="1497">
        <v>112.31229999999999</v>
      </c>
      <c r="E2458" s="1498">
        <f>IF(D2458="",F2457,D2458/C2458-1)</f>
        <v>0.12312299999999987</v>
      </c>
      <c r="F2458" s="1499"/>
      <c r="G2458" s="415"/>
      <c r="H2458" s="415"/>
    </row>
    <row r="2459" spans="1:10" ht="12.75" hidden="1" customHeight="1" outlineLevel="1" x14ac:dyDescent="0.25">
      <c r="A2459" s="221" t="s">
        <v>9593</v>
      </c>
      <c r="B2459" s="1478">
        <v>45108</v>
      </c>
      <c r="C2459" s="1497">
        <v>100</v>
      </c>
      <c r="D2459" s="1500">
        <v>114.05889999999999</v>
      </c>
      <c r="E2459" s="1498">
        <f>IF(D2459="",E2458,D2459/C2459-1)</f>
        <v>0.14058899999999985</v>
      </c>
      <c r="F2459" s="1499"/>
      <c r="G2459" s="415"/>
      <c r="H2459" s="415"/>
    </row>
    <row r="2460" spans="1:10" ht="12.75" hidden="1" customHeight="1" outlineLevel="1" x14ac:dyDescent="0.25">
      <c r="A2460" s="221" t="s">
        <v>9594</v>
      </c>
      <c r="B2460" s="1478">
        <v>45139</v>
      </c>
      <c r="C2460" s="1497">
        <v>100</v>
      </c>
      <c r="D2460" s="1500">
        <v>109.67140000000001</v>
      </c>
      <c r="E2460" s="1498">
        <f>IF(D2460="",E2459,D2460/C2460-1)</f>
        <v>9.6713999999999967E-2</v>
      </c>
      <c r="F2460" s="1499"/>
      <c r="G2460" s="415"/>
      <c r="H2460" s="415"/>
    </row>
    <row r="2461" spans="1:10" ht="12.75" hidden="1" customHeight="1" outlineLevel="1" x14ac:dyDescent="0.25">
      <c r="A2461" s="221" t="s">
        <v>9595</v>
      </c>
      <c r="B2461" s="1478">
        <v>45170</v>
      </c>
      <c r="C2461" s="1497">
        <v>100</v>
      </c>
      <c r="D2461" s="1500">
        <v>105.84180000000001</v>
      </c>
      <c r="E2461" s="1498">
        <f>IF(D2461="",E2460,D2461/C2461-1)</f>
        <v>5.8418000000000081E-2</v>
      </c>
      <c r="F2461" s="1499"/>
      <c r="G2461" s="415"/>
      <c r="H2461" s="415"/>
    </row>
    <row r="2462" spans="1:10" ht="12.75" hidden="1" customHeight="1" outlineLevel="1" x14ac:dyDescent="0.25">
      <c r="A2462" s="221" t="s">
        <v>9596</v>
      </c>
      <c r="B2462" s="1478">
        <v>45200</v>
      </c>
      <c r="C2462" s="1497">
        <v>100</v>
      </c>
      <c r="D2462" s="1500">
        <v>104.1062</v>
      </c>
      <c r="E2462" s="1498">
        <f t="shared" ref="E2462:E2467" si="26">IF(D2462="",E2461,D2462/C2462-1)</f>
        <v>4.1061999999999932E-2</v>
      </c>
      <c r="F2462" s="1499"/>
      <c r="G2462" s="415"/>
      <c r="H2462" s="415"/>
    </row>
    <row r="2463" spans="1:10" ht="12.75" hidden="1" customHeight="1" outlineLevel="1" x14ac:dyDescent="0.25">
      <c r="A2463" s="221" t="s">
        <v>9597</v>
      </c>
      <c r="B2463" s="1478">
        <v>45231</v>
      </c>
      <c r="C2463" s="1497">
        <v>100</v>
      </c>
      <c r="D2463" s="1500">
        <v>110.5454</v>
      </c>
      <c r="E2463" s="1498">
        <f t="shared" si="26"/>
        <v>0.10545399999999994</v>
      </c>
      <c r="F2463" s="1499"/>
      <c r="G2463" s="415"/>
      <c r="H2463" s="415"/>
    </row>
    <row r="2464" spans="1:10" ht="12.75" hidden="1" customHeight="1" outlineLevel="1" x14ac:dyDescent="0.25">
      <c r="A2464" s="221" t="s">
        <v>9598</v>
      </c>
      <c r="B2464" s="1478">
        <v>45261</v>
      </c>
      <c r="C2464" s="1497">
        <v>100</v>
      </c>
      <c r="D2464" s="1500">
        <v>113.8415</v>
      </c>
      <c r="E2464" s="1498">
        <f t="shared" si="26"/>
        <v>0.13841499999999995</v>
      </c>
      <c r="F2464" s="1499"/>
      <c r="G2464" s="415"/>
      <c r="H2464" s="415"/>
    </row>
    <row r="2465" spans="1:18" ht="12.75" hidden="1" customHeight="1" outlineLevel="1" x14ac:dyDescent="0.25">
      <c r="A2465" s="221" t="s">
        <v>9599</v>
      </c>
      <c r="B2465" s="1478">
        <v>45292</v>
      </c>
      <c r="C2465" s="1497">
        <v>100</v>
      </c>
      <c r="D2465" s="1500">
        <v>113.15900000000001</v>
      </c>
      <c r="E2465" s="1498">
        <f t="shared" si="26"/>
        <v>0.1315900000000001</v>
      </c>
      <c r="F2465" s="1499"/>
      <c r="G2465" s="415"/>
      <c r="H2465" s="415"/>
    </row>
    <row r="2466" spans="1:18" ht="12.75" hidden="1" customHeight="1" outlineLevel="1" x14ac:dyDescent="0.25">
      <c r="A2466" s="221" t="s">
        <v>9600</v>
      </c>
      <c r="B2466" s="1478">
        <v>45323</v>
      </c>
      <c r="C2466" s="1497">
        <v>100</v>
      </c>
      <c r="D2466" s="1500">
        <v>113.35290000000001</v>
      </c>
      <c r="E2466" s="1498">
        <f t="shared" si="26"/>
        <v>0.13352900000000001</v>
      </c>
      <c r="F2466" s="1499"/>
      <c r="G2466" s="415"/>
      <c r="H2466" s="415"/>
    </row>
    <row r="2467" spans="1:18" ht="12.75" hidden="1" customHeight="1" outlineLevel="1" x14ac:dyDescent="0.25">
      <c r="A2467" s="221" t="s">
        <v>9601</v>
      </c>
      <c r="B2467" s="1478">
        <v>45352</v>
      </c>
      <c r="C2467" s="1497">
        <v>100</v>
      </c>
      <c r="D2467" s="1500">
        <v>117.4242</v>
      </c>
      <c r="E2467" s="1498">
        <f t="shared" si="26"/>
        <v>0.17424200000000001</v>
      </c>
      <c r="F2467" s="1499"/>
      <c r="G2467" s="415"/>
      <c r="H2467" s="415"/>
    </row>
    <row r="2468" spans="1:18" ht="12.75" hidden="1" customHeight="1" outlineLevel="1" x14ac:dyDescent="0.25">
      <c r="A2468" s="221" t="s">
        <v>9602</v>
      </c>
      <c r="B2468" s="1478">
        <v>45383</v>
      </c>
      <c r="C2468" s="1497">
        <v>100</v>
      </c>
      <c r="D2468" s="1500"/>
      <c r="E2468" s="1498">
        <f>IF(D2468="",E2461,D2468/C2468-1)</f>
        <v>5.8418000000000081E-2</v>
      </c>
      <c r="F2468" s="1499"/>
      <c r="G2468" s="415"/>
      <c r="H2468" s="415"/>
    </row>
    <row r="2469" spans="1:18" ht="12.75" hidden="1" customHeight="1" outlineLevel="1" x14ac:dyDescent="0.25">
      <c r="A2469" s="221" t="s">
        <v>9603</v>
      </c>
      <c r="B2469" s="1478">
        <v>45413</v>
      </c>
      <c r="C2469" s="1497">
        <v>100</v>
      </c>
      <c r="D2469" s="1500"/>
      <c r="E2469" s="1498">
        <f>IF(D2469="",E2468,D2469/C2469-1)</f>
        <v>5.8418000000000081E-2</v>
      </c>
      <c r="F2469" s="1499"/>
      <c r="G2469" s="415"/>
      <c r="H2469" s="415"/>
    </row>
    <row r="2470" spans="1:18" s="444" customFormat="1" ht="12.75" hidden="1" customHeight="1" outlineLevel="1" x14ac:dyDescent="0.25">
      <c r="A2470" s="1483" t="s">
        <v>2734</v>
      </c>
      <c r="B2470" s="1484"/>
      <c r="C2470" s="1500"/>
      <c r="D2470" s="1485" t="s">
        <v>2465</v>
      </c>
      <c r="E2470" s="1486">
        <f>AVERAGE(E2458:E2469)</f>
        <v>0.10499766666666666</v>
      </c>
      <c r="F2470" s="1487">
        <f>((((E2470*100)+100)-I2427)/100)</f>
        <v>0.14558866666666659</v>
      </c>
    </row>
    <row r="2471" spans="1:18" collapsed="1" x14ac:dyDescent="0.25">
      <c r="A2471" s="3799" t="s">
        <v>9539</v>
      </c>
      <c r="B2471" s="3800"/>
      <c r="C2471" s="3800"/>
      <c r="D2471" s="3800"/>
      <c r="E2471" s="18"/>
      <c r="F2471" s="186">
        <f>MAX(0%,MIN(F2470,100%))</f>
        <v>0.14558866666666659</v>
      </c>
      <c r="G2471" s="415"/>
    </row>
    <row r="2473" spans="1:18" ht="12.75" hidden="1" customHeight="1" outlineLevel="1" x14ac:dyDescent="0.25">
      <c r="A2473" s="1677" t="s">
        <v>4156</v>
      </c>
      <c r="B2473" s="1677" t="s">
        <v>4153</v>
      </c>
      <c r="C2473" s="1623" t="s">
        <v>112</v>
      </c>
      <c r="D2473" s="1678" t="s">
        <v>4155</v>
      </c>
      <c r="E2473" s="1677" t="s">
        <v>4154</v>
      </c>
      <c r="F2473" s="1678" t="s">
        <v>2519</v>
      </c>
      <c r="G2473" s="12"/>
      <c r="H2473" s="415"/>
      <c r="I2473" s="412" t="s">
        <v>6964</v>
      </c>
      <c r="J2473" s="1462">
        <v>43497</v>
      </c>
      <c r="K2473" s="1462">
        <v>43525</v>
      </c>
      <c r="L2473" s="1462">
        <v>43556</v>
      </c>
      <c r="M2473" s="1462">
        <v>43586</v>
      </c>
      <c r="N2473" s="1462">
        <v>43617</v>
      </c>
      <c r="O2473" s="1462">
        <v>43647</v>
      </c>
      <c r="P2473" s="1462">
        <v>43678</v>
      </c>
      <c r="Q2473" s="1462">
        <v>43709</v>
      </c>
      <c r="R2473" s="1462">
        <v>43739</v>
      </c>
    </row>
    <row r="2474" spans="1:18" ht="12.75" hidden="1" customHeight="1" outlineLevel="1" x14ac:dyDescent="0.25">
      <c r="A2474" s="134">
        <v>0.02</v>
      </c>
      <c r="B2474" s="211" t="s">
        <v>1993</v>
      </c>
      <c r="C2474" s="472">
        <v>46.95</v>
      </c>
      <c r="D2474" s="1596">
        <f>VLOOKUP(H2474,indexy!$C$44:$D$823,2,FALSE)</f>
        <v>43.62</v>
      </c>
      <c r="E2474" s="1466">
        <f>D2474/C2474-1</f>
        <v>-7.0926517571885062E-2</v>
      </c>
      <c r="F2474" s="1492">
        <f>E2474*A2474</f>
        <v>-1.4185303514377013E-3</v>
      </c>
      <c r="G2474" s="415"/>
      <c r="H2474" s="415" t="str">
        <f>VLOOKUP(B2474,indexy!$A$44:$D$823,3,FALSE)</f>
        <v>MO UN Equity</v>
      </c>
      <c r="I2474" s="412">
        <f>IF(J2474="",100,MIN(100,J2474:Y2474))</f>
        <v>100</v>
      </c>
      <c r="J2474">
        <v>103.17619999999999</v>
      </c>
      <c r="K2474">
        <v>106.3952</v>
      </c>
      <c r="L2474">
        <v>107.6871</v>
      </c>
      <c r="M2474">
        <v>108.4786</v>
      </c>
      <c r="N2474">
        <v>105.8257</v>
      </c>
      <c r="O2474">
        <v>107.5103</v>
      </c>
      <c r="P2474">
        <v>107.1268</v>
      </c>
      <c r="Q2474">
        <v>107.8109</v>
      </c>
      <c r="R2474">
        <v>110.4757</v>
      </c>
    </row>
    <row r="2475" spans="1:18" ht="12.75" hidden="1" customHeight="1" outlineLevel="1" x14ac:dyDescent="0.25">
      <c r="A2475" s="135">
        <v>0.02</v>
      </c>
      <c r="B2475" s="211" t="s">
        <v>1317</v>
      </c>
      <c r="C2475" s="472">
        <v>75.727999999999994</v>
      </c>
      <c r="D2475" s="1597">
        <f>VLOOKUP(H2475,indexy!$C$44:$D$823,2,FALSE)</f>
        <v>86.09</v>
      </c>
      <c r="E2475" s="1463">
        <f>D2475/C2475-1</f>
        <v>0.13683181914219333</v>
      </c>
      <c r="F2475" s="1494">
        <f t="shared" ref="F2475:F2498" si="27">E2475*A2475</f>
        <v>2.7366363828438666E-3</v>
      </c>
      <c r="G2475" s="415"/>
      <c r="H2475" s="415" t="str">
        <f>VLOOKUP(B2475,indexy!$A$44:$D$823,3,FALSE)</f>
        <v>AEP UN Equity</v>
      </c>
      <c r="I2475" s="422">
        <f>+(((E2517*100)+100)-I2474)/100</f>
        <v>0.11773907248822341</v>
      </c>
    </row>
    <row r="2476" spans="1:18" ht="12.75" hidden="1" customHeight="1" outlineLevel="1" x14ac:dyDescent="0.25">
      <c r="A2476" s="135">
        <v>0.02</v>
      </c>
      <c r="B2476" s="211" t="s">
        <v>805</v>
      </c>
      <c r="C2476" s="472">
        <v>94.906000000000006</v>
      </c>
      <c r="D2476" s="1597">
        <f>VLOOKUP(H2476,indexy!$C$44:$D$823,2,FALSE)</f>
        <v>132.25</v>
      </c>
      <c r="E2476" s="1463">
        <f t="shared" ref="E2476:E2503" si="28">D2476/C2476-1</f>
        <v>0.39348407898341509</v>
      </c>
      <c r="F2476" s="1494">
        <f t="shared" si="27"/>
        <v>7.8696815796683011E-3</v>
      </c>
      <c r="G2476" s="415"/>
      <c r="H2476" s="415" t="str">
        <f>VLOOKUP(B2476,indexy!$A$44:$D$823,3,FALSE)</f>
        <v>BMO CT Equity</v>
      </c>
      <c r="J2476" s="434"/>
    </row>
    <row r="2477" spans="1:18" ht="12.75" hidden="1" customHeight="1" outlineLevel="1" x14ac:dyDescent="0.25">
      <c r="A2477" s="135">
        <v>0.05</v>
      </c>
      <c r="B2477" s="211" t="s">
        <v>5748</v>
      </c>
      <c r="C2477" s="472">
        <v>72.507000000000005</v>
      </c>
      <c r="D2477" s="1597">
        <f>VLOOKUP(H2477,indexy!$C$44:$D$823,2,FALSE)</f>
        <v>70.069999999999993</v>
      </c>
      <c r="E2477" s="1463">
        <f t="shared" si="28"/>
        <v>-3.3610547947094949E-2</v>
      </c>
      <c r="F2477" s="1494">
        <f t="shared" si="27"/>
        <v>-1.6805273973547474E-3</v>
      </c>
      <c r="G2477" s="415"/>
      <c r="H2477" s="415" t="str">
        <f>VLOOKUP(B2477,indexy!$A$44:$D$823,3,FALSE)</f>
        <v>BNS CT Equity</v>
      </c>
      <c r="J2477" s="434"/>
      <c r="K2477" s="37"/>
    </row>
    <row r="2478" spans="1:18" ht="12.75" hidden="1" customHeight="1" outlineLevel="1" x14ac:dyDescent="0.25">
      <c r="A2478" s="135">
        <v>0.08</v>
      </c>
      <c r="B2478" s="211" t="s">
        <v>807</v>
      </c>
      <c r="C2478" s="472">
        <v>55.566000000000003</v>
      </c>
      <c r="D2478" s="1597">
        <f>VLOOKUP(H2478,indexy!$C$44:$D$823,2,FALSE)</f>
        <v>46.03</v>
      </c>
      <c r="E2478" s="1463">
        <f t="shared" si="28"/>
        <v>-0.17161573624158655</v>
      </c>
      <c r="F2478" s="1494">
        <f t="shared" si="27"/>
        <v>-1.3729258899326925E-2</v>
      </c>
      <c r="G2478" s="415"/>
      <c r="H2478" s="415" t="str">
        <f>VLOOKUP(B2478,indexy!$A$44:$D$823,3,FALSE)</f>
        <v>BCE CT Equity</v>
      </c>
      <c r="J2478" s="434"/>
    </row>
    <row r="2479" spans="1:18" ht="12.75" hidden="1" customHeight="1" outlineLevel="1" x14ac:dyDescent="0.25">
      <c r="A2479" s="135">
        <v>0.04</v>
      </c>
      <c r="B2479" s="211" t="s">
        <v>3954</v>
      </c>
      <c r="C2479" s="472">
        <f>108.034/2</f>
        <v>54.017000000000003</v>
      </c>
      <c r="D2479" s="1597">
        <f>VLOOKUP(H2479,indexy!$C$44:$D$823,2,FALSE)</f>
        <v>68.67</v>
      </c>
      <c r="E2479" s="1463">
        <f t="shared" si="28"/>
        <v>0.27126645315363684</v>
      </c>
      <c r="F2479" s="1494">
        <f t="shared" si="27"/>
        <v>1.0850658126145473E-2</v>
      </c>
      <c r="G2479" s="415"/>
      <c r="H2479" s="415" t="str">
        <f>VLOOKUP(B2479,indexy!$A$44:$D$823,3,FALSE)</f>
        <v>CM CT Equity</v>
      </c>
      <c r="J2479" s="434"/>
    </row>
    <row r="2480" spans="1:18" ht="12.75" hidden="1" customHeight="1" outlineLevel="1" x14ac:dyDescent="0.25">
      <c r="A2480" s="135">
        <v>0.02</v>
      </c>
      <c r="B2480" s="211" t="s">
        <v>9512</v>
      </c>
      <c r="C2480" s="472">
        <v>108.19799999999999</v>
      </c>
      <c r="D2480" s="1597">
        <f>VLOOKUP(H2480,indexy!$C$44:$D$823,2,FALSE)</f>
        <v>105.83</v>
      </c>
      <c r="E2480" s="1463">
        <f t="shared" si="28"/>
        <v>-2.18858019556738E-2</v>
      </c>
      <c r="F2480" s="1494">
        <f t="shared" si="27"/>
        <v>-4.3771603911347602E-4</v>
      </c>
      <c r="G2480" s="415"/>
      <c r="H2480" s="415" t="str">
        <f>VLOOKUP(B2480,indexy!$A$44:$D$823,3,FALSE)</f>
        <v>CCI UN Equity</v>
      </c>
      <c r="J2480" s="434"/>
    </row>
    <row r="2481" spans="1:10" ht="12.75" hidden="1" customHeight="1" outlineLevel="1" x14ac:dyDescent="0.25">
      <c r="A2481" s="135">
        <v>0.04</v>
      </c>
      <c r="B2481" s="211" t="s">
        <v>9591</v>
      </c>
      <c r="C2481" s="472">
        <v>69.242999999999995</v>
      </c>
      <c r="D2481" s="1597">
        <f>VLOOKUP(H2481,indexy!$C$44:$D$823,2,FALSE)</f>
        <v>49.19</v>
      </c>
      <c r="E2481" s="1463">
        <f t="shared" si="28"/>
        <v>-0.28960328119809942</v>
      </c>
      <c r="F2481" s="1494">
        <f t="shared" si="27"/>
        <v>-1.1584131247923977E-2</v>
      </c>
      <c r="G2481" s="415"/>
      <c r="H2481" s="415" t="str">
        <f>VLOOKUP(B2481,indexy!$A$44:$D$823,3,FALSE)</f>
        <v>D UN Equity</v>
      </c>
      <c r="J2481" s="434"/>
    </row>
    <row r="2482" spans="1:10" ht="12.75" hidden="1" customHeight="1" outlineLevel="1" x14ac:dyDescent="0.25">
      <c r="A2482" s="135">
        <v>7.0000000000000007E-2</v>
      </c>
      <c r="B2482" s="211" t="s">
        <v>1231</v>
      </c>
      <c r="C2482" s="472">
        <v>85.363</v>
      </c>
      <c r="D2482" s="1597">
        <f>VLOOKUP(H2482,indexy!$C$44:$D$823,2,FALSE)</f>
        <v>96.71</v>
      </c>
      <c r="E2482" s="1463">
        <f t="shared" si="28"/>
        <v>0.1329264435411126</v>
      </c>
      <c r="F2482" s="1494">
        <f t="shared" si="27"/>
        <v>9.3048510478778833E-3</v>
      </c>
      <c r="G2482" s="415"/>
      <c r="H2482" s="415" t="str">
        <f>VLOOKUP(B2482,indexy!$A$44:$D$823,3,FALSE)</f>
        <v>DUK UN Equity</v>
      </c>
      <c r="J2482" s="434"/>
    </row>
    <row r="2483" spans="1:10" ht="12.75" hidden="1" customHeight="1" outlineLevel="1" x14ac:dyDescent="0.25">
      <c r="A2483" s="135">
        <v>0.06</v>
      </c>
      <c r="B2483" s="211" t="s">
        <v>7855</v>
      </c>
      <c r="C2483" s="472">
        <v>47.151000000000003</v>
      </c>
      <c r="D2483" s="1597">
        <f>VLOOKUP(H2483,indexy!$C$44:$D$823,2,FALSE)</f>
        <v>48.95</v>
      </c>
      <c r="E2483" s="1463">
        <f t="shared" si="28"/>
        <v>3.8154015821509679E-2</v>
      </c>
      <c r="F2483" s="1494">
        <f t="shared" si="27"/>
        <v>2.2892409492905807E-3</v>
      </c>
      <c r="G2483" s="415"/>
      <c r="H2483" s="415" t="str">
        <f>VLOOKUP(B2483,indexy!$A$44:$D$823,3,FALSE)</f>
        <v>ENB CT Equity</v>
      </c>
      <c r="J2483" s="434"/>
    </row>
    <row r="2484" spans="1:10" ht="12.75" hidden="1" customHeight="1" outlineLevel="1" x14ac:dyDescent="0.25">
      <c r="A2484" s="135">
        <v>0.02</v>
      </c>
      <c r="B2484" s="211" t="s">
        <v>3425</v>
      </c>
      <c r="C2484" s="472">
        <v>71.841999999999999</v>
      </c>
      <c r="D2484" s="1597">
        <f>VLOOKUP(H2484,indexy!$C$44:$D$823,2,FALSE)</f>
        <v>116.24</v>
      </c>
      <c r="E2484" s="1463">
        <f t="shared" si="28"/>
        <v>0.617995044681384</v>
      </c>
      <c r="F2484" s="1494">
        <f t="shared" si="27"/>
        <v>1.2359900893627681E-2</v>
      </c>
      <c r="G2484" s="415"/>
      <c r="H2484" s="415" t="str">
        <f>VLOOKUP(B2484,indexy!$A$44:$D$823,3,FALSE)</f>
        <v>XOM UN Equity</v>
      </c>
      <c r="J2484" s="434"/>
    </row>
    <row r="2485" spans="1:10" ht="12.75" hidden="1" customHeight="1" outlineLevel="1" x14ac:dyDescent="0.25">
      <c r="A2485" s="135">
        <v>0.02</v>
      </c>
      <c r="B2485" s="211" t="s">
        <v>1321</v>
      </c>
      <c r="C2485" s="472">
        <v>38.652999999999999</v>
      </c>
      <c r="D2485" s="1597">
        <f>VLOOKUP(H2485,indexy!$C$44:$D$823,2,FALSE)</f>
        <v>38.619999999999997</v>
      </c>
      <c r="E2485" s="1463">
        <f t="shared" si="28"/>
        <v>-8.5375003233900681E-4</v>
      </c>
      <c r="F2485" s="1494">
        <f t="shared" si="27"/>
        <v>-1.7075000646780137E-5</v>
      </c>
      <c r="G2485" s="415"/>
      <c r="H2485" s="415" t="str">
        <f>VLOOKUP(B2485,indexy!$A$44:$D$823,3,FALSE)</f>
        <v>FE UN Equity</v>
      </c>
      <c r="J2485" s="434"/>
    </row>
    <row r="2486" spans="1:10" ht="12.75" hidden="1" customHeight="1" outlineLevel="1" x14ac:dyDescent="0.25">
      <c r="A2486" s="135">
        <v>0.02</v>
      </c>
      <c r="B2486" s="211" t="s">
        <v>52</v>
      </c>
      <c r="C2486" s="490">
        <v>124.09399999999999</v>
      </c>
      <c r="D2486" s="1597">
        <f>VLOOKUP(H2486,indexy!$C$44:$D$823,2,FALSE)</f>
        <v>190.96</v>
      </c>
      <c r="E2486" s="1463">
        <f t="shared" si="28"/>
        <v>0.53883346495398654</v>
      </c>
      <c r="F2486" s="1494">
        <f t="shared" si="27"/>
        <v>1.0776669299079731E-2</v>
      </c>
      <c r="G2486" s="415"/>
      <c r="H2486" s="415" t="str">
        <f>VLOOKUP(B2486,indexy!$A$44:$D$823,3,FALSE)</f>
        <v>IBM UN Equity</v>
      </c>
      <c r="J2486" s="434"/>
    </row>
    <row r="2487" spans="1:10" ht="12.75" hidden="1" customHeight="1" outlineLevel="1" x14ac:dyDescent="0.25">
      <c r="A2487" s="135">
        <v>0.03</v>
      </c>
      <c r="B2487" s="211" t="s">
        <v>123</v>
      </c>
      <c r="C2487" s="472">
        <v>20.945</v>
      </c>
      <c r="D2487" s="1597">
        <f>VLOOKUP(H2487,indexy!$C$44:$D$823,2,FALSE)</f>
        <v>33.83</v>
      </c>
      <c r="E2487" s="1463">
        <f t="shared" si="28"/>
        <v>0.6151826211506326</v>
      </c>
      <c r="F2487" s="1494">
        <f t="shared" si="27"/>
        <v>1.8455478634518976E-2</v>
      </c>
      <c r="G2487" s="415"/>
      <c r="H2487" s="415" t="str">
        <f>VLOOKUP(B2487,indexy!$A$44:$D$823,3,FALSE)</f>
        <v>MFC CT Equity</v>
      </c>
      <c r="J2487" s="434"/>
    </row>
    <row r="2488" spans="1:10" ht="12.75" hidden="1" customHeight="1" outlineLevel="1" x14ac:dyDescent="0.25">
      <c r="A2488" s="135">
        <v>0.02</v>
      </c>
      <c r="B2488" s="211" t="s">
        <v>7754</v>
      </c>
      <c r="C2488" s="472">
        <v>59.985999999999997</v>
      </c>
      <c r="D2488" s="1597">
        <f>VLOOKUP(H2488,indexy!$C$44:$D$823,2,FALSE)</f>
        <v>114.06</v>
      </c>
      <c r="E2488" s="1463">
        <f t="shared" si="28"/>
        <v>0.90144367018971105</v>
      </c>
      <c r="F2488" s="1494">
        <f t="shared" si="27"/>
        <v>1.8028873403794221E-2</v>
      </c>
      <c r="G2488" s="415"/>
      <c r="H2488" s="415" t="str">
        <f>VLOOKUP(B2488,indexy!$A$44:$D$823,3,FALSE)</f>
        <v>NA CT Equity</v>
      </c>
      <c r="J2488" s="434"/>
    </row>
    <row r="2489" spans="1:10" ht="12.75" hidden="1" customHeight="1" outlineLevel="1" x14ac:dyDescent="0.25">
      <c r="A2489" s="135">
        <v>0.02</v>
      </c>
      <c r="B2489" s="211" t="s">
        <v>9514</v>
      </c>
      <c r="C2489" s="472">
        <v>67.063999999999993</v>
      </c>
      <c r="D2489" s="1597">
        <f>VLOOKUP(H2489,indexy!$C$44:$D$823,2,FALSE)</f>
        <v>73.59</v>
      </c>
      <c r="E2489" s="1463">
        <f t="shared" si="28"/>
        <v>9.7310032208040242E-2</v>
      </c>
      <c r="F2489" s="1494">
        <f t="shared" si="27"/>
        <v>1.9462006441608049E-3</v>
      </c>
      <c r="G2489" s="415"/>
      <c r="H2489" s="415" t="str">
        <f>VLOOKUP(B2489,indexy!$A$44:$D$823,3,FALSE)</f>
        <v>NTR CT Equity</v>
      </c>
      <c r="J2489" s="434"/>
    </row>
    <row r="2490" spans="1:10" ht="12.75" hidden="1" customHeight="1" outlineLevel="1" x14ac:dyDescent="0.25">
      <c r="A2490" s="135">
        <v>0.02</v>
      </c>
      <c r="B2490" s="211" t="s">
        <v>4</v>
      </c>
      <c r="C2490" s="472">
        <v>65.617999999999995</v>
      </c>
      <c r="D2490" s="1597">
        <f>VLOOKUP(H2490,indexy!$C$44:$D$823,2,FALSE)</f>
        <v>64.989999999999995</v>
      </c>
      <c r="E2490" s="1463">
        <f t="shared" si="28"/>
        <v>-9.5705446676216388E-3</v>
      </c>
      <c r="F2490" s="1494">
        <f t="shared" si="27"/>
        <v>-1.9141089335243279E-4</v>
      </c>
      <c r="G2490" s="415"/>
      <c r="H2490" s="415" t="str">
        <f>VLOOKUP(B2490,indexy!$A$44:$D$823,3,FALSE)</f>
        <v>OXY UN Equity</v>
      </c>
      <c r="J2490" s="434"/>
    </row>
    <row r="2491" spans="1:10" ht="12.75" hidden="1" customHeight="1" outlineLevel="1" x14ac:dyDescent="0.25">
      <c r="A2491" s="135">
        <v>0.08</v>
      </c>
      <c r="B2491" s="211" t="s">
        <v>9516</v>
      </c>
      <c r="C2491" s="472">
        <v>44.374000000000002</v>
      </c>
      <c r="D2491" s="1597">
        <f>VLOOKUP(H2491,indexy!$C$44:$D$823,2,FALSE)</f>
        <v>47.81</v>
      </c>
      <c r="E2491" s="1463">
        <f t="shared" si="28"/>
        <v>7.743273087844238E-2</v>
      </c>
      <c r="F2491" s="1494">
        <f t="shared" si="27"/>
        <v>6.1946184702753905E-3</v>
      </c>
      <c r="G2491" s="415"/>
      <c r="H2491" s="415" t="str">
        <f>VLOOKUP(B2491,indexy!$A$44:$D$823,3,FALSE)</f>
        <v>PPL CT Equity</v>
      </c>
      <c r="J2491" s="434"/>
    </row>
    <row r="2492" spans="1:10" ht="12.75" hidden="1" customHeight="1" outlineLevel="1" x14ac:dyDescent="0.25">
      <c r="A2492" s="135">
        <v>0.02</v>
      </c>
      <c r="B2492" s="211" t="s">
        <v>1204</v>
      </c>
      <c r="C2492" s="472">
        <v>109.039</v>
      </c>
      <c r="D2492" s="1597">
        <f>VLOOKUP(H2492,indexy!$C$44:$D$823,2,FALSE)</f>
        <v>175.01</v>
      </c>
      <c r="E2492" s="1463">
        <f t="shared" si="28"/>
        <v>0.60502205632846962</v>
      </c>
      <c r="F2492" s="1494">
        <f t="shared" si="27"/>
        <v>1.2100441126569392E-2</v>
      </c>
      <c r="G2492" s="415"/>
      <c r="H2492" s="415" t="str">
        <f>VLOOKUP(B2492,indexy!$A$44:$D$823,3,FALSE)</f>
        <v>PEP UW Equity</v>
      </c>
      <c r="J2492" s="434"/>
    </row>
    <row r="2493" spans="1:10" ht="12.75" hidden="1" customHeight="1" outlineLevel="1" x14ac:dyDescent="0.25">
      <c r="A2493" s="135">
        <v>0.02</v>
      </c>
      <c r="B2493" s="211" t="s">
        <v>3793</v>
      </c>
      <c r="C2493" s="472">
        <v>71.319000000000003</v>
      </c>
      <c r="D2493" s="1597">
        <f>VLOOKUP(H2493,indexy!$C$44:$D$823,2,FALSE)</f>
        <v>91.62</v>
      </c>
      <c r="E2493" s="1463">
        <f t="shared" si="28"/>
        <v>0.28465065410339463</v>
      </c>
      <c r="F2493" s="1494">
        <f t="shared" si="27"/>
        <v>5.6930130820678927E-3</v>
      </c>
      <c r="G2493" s="415"/>
      <c r="H2493" s="415" t="str">
        <f>VLOOKUP(B2493,indexy!$A$44:$D$823,3,FALSE)</f>
        <v>PM UN Equity</v>
      </c>
      <c r="J2493" s="434"/>
    </row>
    <row r="2494" spans="1:10" ht="12.75" hidden="1" customHeight="1" outlineLevel="1" x14ac:dyDescent="0.25">
      <c r="A2494" s="135">
        <v>0.04</v>
      </c>
      <c r="B2494" s="211" t="s">
        <v>2728</v>
      </c>
      <c r="C2494" s="472">
        <v>98.066999999999993</v>
      </c>
      <c r="D2494" s="1597">
        <f>VLOOKUP(H2494,indexy!$C$44:$D$823,2,FALSE)</f>
        <v>136.62</v>
      </c>
      <c r="E2494" s="1463">
        <f t="shared" si="28"/>
        <v>0.39312918718835088</v>
      </c>
      <c r="F2494" s="1494">
        <f t="shared" si="27"/>
        <v>1.5725167487534036E-2</v>
      </c>
      <c r="G2494" s="415"/>
      <c r="H2494" s="415" t="str">
        <f>VLOOKUP(B2494,indexy!$A$44:$D$823,3,FALSE)</f>
        <v>RY CT Equity</v>
      </c>
      <c r="J2494" s="434"/>
    </row>
    <row r="2495" spans="1:10" ht="12.75" hidden="1" customHeight="1" outlineLevel="1" x14ac:dyDescent="0.25">
      <c r="A2495" s="135">
        <v>0.02</v>
      </c>
      <c r="B2495" s="211" t="s">
        <v>2771</v>
      </c>
      <c r="C2495" s="472">
        <f>112.912/2</f>
        <v>56.456000000000003</v>
      </c>
      <c r="D2495" s="1597">
        <f>VLOOKUP(H2495,indexy!$C$44:$D$823,2,FALSE)</f>
        <v>71.83</v>
      </c>
      <c r="E2495" s="1463">
        <f t="shared" si="28"/>
        <v>0.27231826555193406</v>
      </c>
      <c r="F2495" s="1494">
        <f t="shared" si="27"/>
        <v>5.4463653110386817E-3</v>
      </c>
      <c r="G2495" s="415"/>
      <c r="H2495" s="415" t="str">
        <f>VLOOKUP(B2495,indexy!$A$44:$D$823,3,FALSE)</f>
        <v>SRE UN Equity</v>
      </c>
      <c r="J2495" s="434"/>
    </row>
    <row r="2496" spans="1:10" ht="12.75" hidden="1" customHeight="1" outlineLevel="1" x14ac:dyDescent="0.25">
      <c r="A2496" s="135">
        <v>0.02</v>
      </c>
      <c r="B2496" s="211" t="s">
        <v>8210</v>
      </c>
      <c r="C2496" s="472">
        <v>173.04900000000001</v>
      </c>
      <c r="D2496" s="1597">
        <f>VLOOKUP(H2496,indexy!$C$44:$D$823,2,FALSE)</f>
        <v>156.49</v>
      </c>
      <c r="E2496" s="1463">
        <f t="shared" si="28"/>
        <v>-9.5689660154060441E-2</v>
      </c>
      <c r="F2496" s="1494">
        <f t="shared" si="27"/>
        <v>-1.9137932030812088E-3</v>
      </c>
      <c r="G2496" s="415"/>
      <c r="H2496" s="415" t="str">
        <f>VLOOKUP(B2496,indexy!$A$44:$D$823,3,FALSE)</f>
        <v>SPG UN Equity</v>
      </c>
      <c r="J2496" s="434"/>
    </row>
    <row r="2497" spans="1:10" ht="12.75" hidden="1" customHeight="1" outlineLevel="1" x14ac:dyDescent="0.25">
      <c r="A2497" s="135">
        <v>0.06</v>
      </c>
      <c r="B2497" s="211" t="s">
        <v>3427</v>
      </c>
      <c r="C2497" s="472">
        <v>46.966999999999999</v>
      </c>
      <c r="D2497" s="1597">
        <f>VLOOKUP(H2497,indexy!$C$44:$D$823,2,FALSE)</f>
        <v>71.739999999999995</v>
      </c>
      <c r="E2497" s="1463">
        <f t="shared" si="28"/>
        <v>0.52745544744182071</v>
      </c>
      <c r="F2497" s="1494">
        <f t="shared" si="27"/>
        <v>3.1647326846509241E-2</v>
      </c>
      <c r="G2497" s="415"/>
      <c r="H2497" s="415" t="str">
        <f>VLOOKUP(B2497,indexy!$A$44:$D$823,3,FALSE)</f>
        <v>SO UN Equity</v>
      </c>
      <c r="J2497" s="434"/>
    </row>
    <row r="2498" spans="1:10" ht="12.75" hidden="1" customHeight="1" outlineLevel="1" x14ac:dyDescent="0.25">
      <c r="A2498" s="135">
        <v>0.02</v>
      </c>
      <c r="B2498" s="211" t="s">
        <v>1142</v>
      </c>
      <c r="C2498" s="472">
        <v>47.44</v>
      </c>
      <c r="D2498" s="1597">
        <f>VLOOKUP(H2498,indexy!$C$44:$D$823,2,FALSE)</f>
        <v>61.18</v>
      </c>
      <c r="E2498" s="1463">
        <f t="shared" si="28"/>
        <v>0.289629005059022</v>
      </c>
      <c r="F2498" s="1494">
        <f t="shared" si="27"/>
        <v>5.7925801011804402E-3</v>
      </c>
      <c r="G2498" s="415"/>
      <c r="H2498" s="415" t="str">
        <f>VLOOKUP(B2498,indexy!$A$44:$D$823,3,FALSE)</f>
        <v>KO UN Equity</v>
      </c>
      <c r="J2498" s="434"/>
    </row>
    <row r="2499" spans="1:10" ht="12.75" hidden="1" customHeight="1" outlineLevel="1" x14ac:dyDescent="0.25">
      <c r="A2499" s="135">
        <v>0.05</v>
      </c>
      <c r="B2499" s="211" t="s">
        <v>3626</v>
      </c>
      <c r="C2499" s="472">
        <v>70.745999999999995</v>
      </c>
      <c r="D2499" s="1597">
        <f>VLOOKUP(H2499,indexy!$C$44:$D$823,2,FALSE)</f>
        <v>81.75</v>
      </c>
      <c r="E2499" s="1463">
        <f t="shared" si="28"/>
        <v>0.1555423628190995</v>
      </c>
      <c r="F2499" s="1494">
        <f>E2499*A2499</f>
        <v>7.7771181409549755E-3</v>
      </c>
      <c r="G2499" s="415"/>
      <c r="H2499" s="415" t="str">
        <f>VLOOKUP(B2499,indexy!$A$44:$D$823,3,FALSE)</f>
        <v>TD CT Equity</v>
      </c>
      <c r="J2499" s="434"/>
    </row>
    <row r="2500" spans="1:10" ht="12.75" hidden="1" customHeight="1" outlineLevel="1" x14ac:dyDescent="0.25">
      <c r="A2500" s="135">
        <v>0.04</v>
      </c>
      <c r="B2500" s="211" t="s">
        <v>366</v>
      </c>
      <c r="C2500" s="472">
        <v>54.664000000000001</v>
      </c>
      <c r="D2500" s="1597">
        <f>VLOOKUP(H2500,indexy!$C$44:$D$946,2,FALSE)</f>
        <v>54.44</v>
      </c>
      <c r="E2500" s="1463">
        <f t="shared" si="28"/>
        <v>-4.0977608663838039E-3</v>
      </c>
      <c r="F2500" s="1494">
        <f>E2500*A2500</f>
        <v>-1.6391043465535215E-4</v>
      </c>
      <c r="G2500" s="415"/>
      <c r="H2500" s="415" t="str">
        <f>VLOOKUP(B2500,indexy!$A$44:$D$946,3,FALSE)</f>
        <v>TRP CT Equity</v>
      </c>
      <c r="J2500" s="434"/>
    </row>
    <row r="2501" spans="1:10" ht="12.75" hidden="1" customHeight="1" outlineLevel="1" x14ac:dyDescent="0.25">
      <c r="A2501" s="135">
        <v>0.02</v>
      </c>
      <c r="B2501" s="211" t="s">
        <v>255</v>
      </c>
      <c r="C2501" s="472">
        <v>57.457000000000001</v>
      </c>
      <c r="D2501" s="1597">
        <f>VLOOKUP(H2501,indexy!$C$44:$D$823,2,FALSE)</f>
        <v>41.96</v>
      </c>
      <c r="E2501" s="1463">
        <f t="shared" si="28"/>
        <v>-0.26971474319926203</v>
      </c>
      <c r="F2501" s="1494">
        <f>E2501*A2501</f>
        <v>-5.394294863985241E-3</v>
      </c>
      <c r="G2501" s="415"/>
      <c r="H2501" s="415" t="str">
        <f>VLOOKUP(B2501,indexy!$A$44:$D$823,3,FALSE)</f>
        <v>VZ UN Equity</v>
      </c>
      <c r="J2501" s="434"/>
    </row>
    <row r="2502" spans="1:10" ht="12.75" hidden="1" customHeight="1" outlineLevel="1" x14ac:dyDescent="0.25">
      <c r="A2502" s="135">
        <v>0.02</v>
      </c>
      <c r="B2502" s="211" t="s">
        <v>9518</v>
      </c>
      <c r="C2502" s="472">
        <v>25.785</v>
      </c>
      <c r="D2502" s="1597">
        <f>VLOOKUP(H2502,indexy!$C$44:$D$823,2,FALSE)</f>
        <v>38.97</v>
      </c>
      <c r="E2502" s="1463">
        <f t="shared" si="28"/>
        <v>0.51134380453752182</v>
      </c>
      <c r="F2502" s="1494">
        <f>E2502*A2502</f>
        <v>1.0226876090750436E-2</v>
      </c>
      <c r="G2502" s="415"/>
      <c r="H2502" s="415" t="str">
        <f>VLOOKUP(B2502,indexy!$A$44:$D$823,3,FALSE)</f>
        <v>WMB UN Equity</v>
      </c>
      <c r="J2502" s="434"/>
    </row>
    <row r="2503" spans="1:10" ht="12.75" hidden="1" customHeight="1" outlineLevel="1" x14ac:dyDescent="0.25">
      <c r="A2503" s="135">
        <v>0.02</v>
      </c>
      <c r="B2503" s="1465" t="s">
        <v>2874</v>
      </c>
      <c r="C2503" s="472">
        <v>50.219000000000001</v>
      </c>
      <c r="D2503" s="1598">
        <f>VLOOKUP(H2503,indexy!$C$44:$D$823,2,FALSE)</f>
        <v>53.75</v>
      </c>
      <c r="E2503" s="1463">
        <f t="shared" si="28"/>
        <v>7.0312033294171572E-2</v>
      </c>
      <c r="F2503" s="1494">
        <f>E2503*A2503</f>
        <v>1.4062406658834315E-3</v>
      </c>
      <c r="G2503" s="415"/>
      <c r="H2503" s="415" t="str">
        <f>VLOOKUP(B2503,indexy!$A$44:$D$823,3,FALSE)</f>
        <v>XEL US Equity</v>
      </c>
      <c r="J2503" s="434"/>
    </row>
    <row r="2504" spans="1:10" ht="12.75" hidden="1" customHeight="1" outlineLevel="1" x14ac:dyDescent="0.25">
      <c r="A2504" s="1475" t="s">
        <v>2734</v>
      </c>
      <c r="B2504" s="150"/>
      <c r="C2504" s="1476">
        <v>100</v>
      </c>
      <c r="D2504" s="1477"/>
      <c r="E2504" s="1599"/>
      <c r="F2504" s="1599">
        <f>SUM(F2474:F2503)</f>
        <v>0.16009728995289357</v>
      </c>
      <c r="G2504" s="415"/>
      <c r="H2504" s="415"/>
    </row>
    <row r="2505" spans="1:10" ht="12.75" hidden="1" customHeight="1" outlineLevel="1" x14ac:dyDescent="0.25">
      <c r="A2505" s="221" t="s">
        <v>9723</v>
      </c>
      <c r="B2505" s="1478">
        <v>45108</v>
      </c>
      <c r="C2505" s="1497">
        <v>100</v>
      </c>
      <c r="D2505" s="1497">
        <v>113.1777</v>
      </c>
      <c r="E2505" s="1498">
        <f>IF(D2505="",F2504,D2505/C2505-1)</f>
        <v>0.13177700000000003</v>
      </c>
      <c r="F2505" s="1499"/>
      <c r="G2505" s="415"/>
      <c r="H2505" s="415"/>
    </row>
    <row r="2506" spans="1:10" ht="12.75" hidden="1" customHeight="1" outlineLevel="1" x14ac:dyDescent="0.25">
      <c r="A2506" s="221" t="s">
        <v>9724</v>
      </c>
      <c r="B2506" s="1478">
        <v>45139</v>
      </c>
      <c r="C2506" s="1497">
        <v>100</v>
      </c>
      <c r="D2506" s="1500">
        <v>108.77970000000001</v>
      </c>
      <c r="E2506" s="1498">
        <f>IF(D2506="",E2505,D2506/C2506-1)</f>
        <v>8.7797000000000125E-2</v>
      </c>
      <c r="F2506" s="1499"/>
      <c r="G2506" s="415"/>
      <c r="H2506" s="415"/>
    </row>
    <row r="2507" spans="1:10" ht="12.75" hidden="1" customHeight="1" outlineLevel="1" x14ac:dyDescent="0.25">
      <c r="A2507" s="221" t="s">
        <v>9725</v>
      </c>
      <c r="B2507" s="1478">
        <v>45170</v>
      </c>
      <c r="C2507" s="1497">
        <v>100</v>
      </c>
      <c r="D2507" s="1500">
        <v>104.967</v>
      </c>
      <c r="E2507" s="1498">
        <f>IF(D2507="",E2506,D2507/C2507-1)</f>
        <v>4.9669999999999881E-2</v>
      </c>
      <c r="F2507" s="1499"/>
      <c r="G2507" s="415"/>
      <c r="H2507" s="415"/>
    </row>
    <row r="2508" spans="1:10" ht="12.75" hidden="1" customHeight="1" outlineLevel="1" x14ac:dyDescent="0.25">
      <c r="A2508" s="221" t="s">
        <v>9726</v>
      </c>
      <c r="B2508" s="1478">
        <v>45200</v>
      </c>
      <c r="C2508" s="1497">
        <v>100</v>
      </c>
      <c r="D2508" s="1500">
        <v>103.2424</v>
      </c>
      <c r="E2508" s="1498">
        <f>IF(D2508="",E2507,D2508/C2508-1)</f>
        <v>3.2424000000000008E-2</v>
      </c>
      <c r="F2508" s="1499"/>
      <c r="G2508" s="415"/>
      <c r="H2508" s="415"/>
    </row>
    <row r="2509" spans="1:10" ht="12.75" hidden="1" customHeight="1" outlineLevel="1" x14ac:dyDescent="0.25">
      <c r="A2509" s="221" t="s">
        <v>9727</v>
      </c>
      <c r="B2509" s="1478">
        <v>45231</v>
      </c>
      <c r="C2509" s="1497">
        <v>100</v>
      </c>
      <c r="D2509" s="1500">
        <v>109.6045</v>
      </c>
      <c r="E2509" s="1498">
        <f t="shared" ref="E2509:E2513" si="29">IF(D2509="",E2508,D2509/C2509-1)</f>
        <v>9.6044999999999936E-2</v>
      </c>
      <c r="F2509" s="1499"/>
      <c r="G2509" s="415"/>
      <c r="H2509" s="415"/>
    </row>
    <row r="2510" spans="1:10" ht="12.75" hidden="1" customHeight="1" outlineLevel="1" x14ac:dyDescent="0.25">
      <c r="A2510" s="221" t="s">
        <v>9728</v>
      </c>
      <c r="B2510" s="1478">
        <v>45261</v>
      </c>
      <c r="C2510" s="1497">
        <v>100</v>
      </c>
      <c r="D2510" s="1500">
        <v>112.8296</v>
      </c>
      <c r="E2510" s="1498">
        <f t="shared" si="29"/>
        <v>0.12829599999999997</v>
      </c>
      <c r="F2510" s="1499"/>
      <c r="G2510" s="415"/>
      <c r="H2510" s="415"/>
    </row>
    <row r="2511" spans="1:10" ht="12.75" hidden="1" customHeight="1" outlineLevel="1" x14ac:dyDescent="0.25">
      <c r="A2511" s="221" t="s">
        <v>9729</v>
      </c>
      <c r="B2511" s="1478">
        <v>45292</v>
      </c>
      <c r="C2511" s="1497">
        <v>100</v>
      </c>
      <c r="D2511" s="1500">
        <v>112.1242</v>
      </c>
      <c r="E2511" s="1498">
        <f t="shared" si="29"/>
        <v>0.12124200000000007</v>
      </c>
      <c r="F2511" s="1499"/>
      <c r="G2511" s="415"/>
      <c r="H2511" s="415"/>
    </row>
    <row r="2512" spans="1:10" ht="12.75" hidden="1" customHeight="1" outlineLevel="1" x14ac:dyDescent="0.25">
      <c r="A2512" s="221" t="s">
        <v>9730</v>
      </c>
      <c r="B2512" s="1478">
        <v>45323</v>
      </c>
      <c r="C2512" s="1497">
        <v>100</v>
      </c>
      <c r="D2512" s="1500">
        <v>112.2685</v>
      </c>
      <c r="E2512" s="1498">
        <f t="shared" si="29"/>
        <v>0.12268499999999993</v>
      </c>
      <c r="F2512" s="1499"/>
      <c r="G2512" s="415"/>
      <c r="H2512" s="415"/>
    </row>
    <row r="2513" spans="1:18" ht="12.75" hidden="1" customHeight="1" outlineLevel="1" x14ac:dyDescent="0.25">
      <c r="A2513" s="221" t="s">
        <v>9731</v>
      </c>
      <c r="B2513" s="1478">
        <v>45352</v>
      </c>
      <c r="C2513" s="1497">
        <v>100</v>
      </c>
      <c r="D2513" s="1500">
        <v>116.2641</v>
      </c>
      <c r="E2513" s="1498">
        <f t="shared" si="29"/>
        <v>0.16264100000000004</v>
      </c>
      <c r="F2513" s="1499"/>
      <c r="G2513" s="415"/>
      <c r="H2513" s="415"/>
    </row>
    <row r="2514" spans="1:18" ht="12.75" hidden="1" customHeight="1" outlineLevel="1" x14ac:dyDescent="0.25">
      <c r="A2514" s="221" t="s">
        <v>9732</v>
      </c>
      <c r="B2514" s="1478">
        <v>45383</v>
      </c>
      <c r="C2514" s="1497">
        <v>100</v>
      </c>
      <c r="D2514" s="1500"/>
      <c r="E2514" s="1498">
        <f>IF(D2514="",$F$2504,D2514/C2514-1)</f>
        <v>0.16009728995289357</v>
      </c>
      <c r="F2514" s="1499"/>
      <c r="G2514" s="415"/>
      <c r="H2514" s="415"/>
    </row>
    <row r="2515" spans="1:18" ht="12.75" hidden="1" customHeight="1" outlineLevel="1" x14ac:dyDescent="0.25">
      <c r="A2515" s="221" t="s">
        <v>9733</v>
      </c>
      <c r="B2515" s="1478">
        <v>45413</v>
      </c>
      <c r="C2515" s="1497">
        <v>100</v>
      </c>
      <c r="D2515" s="1500"/>
      <c r="E2515" s="1498">
        <f t="shared" ref="E2515:E2516" si="30">IF(D2515="",$F$2504,D2515/C2515-1)</f>
        <v>0.16009728995289357</v>
      </c>
      <c r="F2515" s="1499"/>
      <c r="G2515" s="415"/>
      <c r="H2515" s="415"/>
    </row>
    <row r="2516" spans="1:18" ht="12.75" hidden="1" customHeight="1" outlineLevel="1" x14ac:dyDescent="0.25">
      <c r="A2516" s="221" t="s">
        <v>9734</v>
      </c>
      <c r="B2516" s="1478">
        <v>45444</v>
      </c>
      <c r="C2516" s="1497">
        <v>100</v>
      </c>
      <c r="D2516" s="1500"/>
      <c r="E2516" s="1498">
        <f t="shared" si="30"/>
        <v>0.16009728995289357</v>
      </c>
      <c r="F2516" s="1499"/>
      <c r="G2516" s="415"/>
      <c r="H2516" s="415"/>
    </row>
    <row r="2517" spans="1:18" s="444" customFormat="1" ht="12.75" hidden="1" customHeight="1" outlineLevel="1" x14ac:dyDescent="0.25">
      <c r="A2517" s="1483" t="s">
        <v>2734</v>
      </c>
      <c r="B2517" s="1484"/>
      <c r="C2517" s="1500"/>
      <c r="D2517" s="1485" t="s">
        <v>2465</v>
      </c>
      <c r="E2517" s="1486">
        <f>AVERAGE(E2505:E2516)</f>
        <v>0.11773907248822341</v>
      </c>
      <c r="F2517" s="1487">
        <f>((((E2517*100)+100)-I2474)/100)</f>
        <v>0.11773907248822341</v>
      </c>
    </row>
    <row r="2518" spans="1:18" collapsed="1" x14ac:dyDescent="0.25">
      <c r="A2518" s="3799" t="s">
        <v>9590</v>
      </c>
      <c r="B2518" s="3800"/>
      <c r="C2518" s="3800"/>
      <c r="D2518" s="3800"/>
      <c r="E2518" s="18"/>
      <c r="F2518" s="186">
        <f>MAX(0%,MIN(F2517,100%))</f>
        <v>0.11773907248822341</v>
      </c>
      <c r="G2518" s="415"/>
    </row>
    <row r="2520" spans="1:18" ht="12.75" hidden="1" customHeight="1" outlineLevel="1" x14ac:dyDescent="0.25">
      <c r="A2520" s="1677" t="s">
        <v>4156</v>
      </c>
      <c r="B2520" s="1677" t="s">
        <v>4153</v>
      </c>
      <c r="C2520" s="1623" t="s">
        <v>112</v>
      </c>
      <c r="D2520" s="1678" t="s">
        <v>4155</v>
      </c>
      <c r="E2520" s="1677" t="s">
        <v>4154</v>
      </c>
      <c r="F2520" s="1678" t="s">
        <v>2519</v>
      </c>
      <c r="G2520" s="12"/>
      <c r="H2520" s="415"/>
      <c r="I2520" s="412" t="s">
        <v>6964</v>
      </c>
      <c r="J2520" s="1462">
        <v>43525</v>
      </c>
      <c r="K2520" s="1462">
        <v>43556</v>
      </c>
      <c r="L2520" s="1462">
        <v>43586</v>
      </c>
      <c r="M2520" s="1462">
        <v>43617</v>
      </c>
      <c r="N2520" s="1462">
        <v>43647</v>
      </c>
      <c r="O2520" s="1462">
        <v>43678</v>
      </c>
      <c r="P2520" s="1462">
        <v>43709</v>
      </c>
      <c r="Q2520" s="1462">
        <v>43739</v>
      </c>
      <c r="R2520" s="1462">
        <v>43770</v>
      </c>
    </row>
    <row r="2521" spans="1:18" ht="12.75" hidden="1" customHeight="1" outlineLevel="1" x14ac:dyDescent="0.25">
      <c r="A2521" s="1508">
        <v>0.05</v>
      </c>
      <c r="B2521" s="1505" t="s">
        <v>1993</v>
      </c>
      <c r="C2521" s="455">
        <v>49.286000000000001</v>
      </c>
      <c r="D2521" s="1510">
        <f>VLOOKUP(H2521,indexy!$C$44:$D$823,2,FALSE)</f>
        <v>43.62</v>
      </c>
      <c r="E2521" s="1520">
        <f>D2521/C2521-1</f>
        <v>-0.11496165239621803</v>
      </c>
      <c r="F2521" s="1512">
        <f>E2521*A2521</f>
        <v>-5.7480826198109021E-3</v>
      </c>
      <c r="G2521" s="415"/>
      <c r="H2521" s="415" t="str">
        <f>VLOOKUP(B2521,indexy!$A$44:$D$823,3,FALSE)</f>
        <v>MO UN Equity</v>
      </c>
      <c r="I2521" s="412">
        <f>IF(J2521="",100,MIN(100,J2521:Y2521))</f>
        <v>100</v>
      </c>
      <c r="J2521">
        <v>102.0745</v>
      </c>
      <c r="K2521">
        <v>103.7075</v>
      </c>
      <c r="L2521">
        <v>104.33499999999999</v>
      </c>
      <c r="M2521">
        <v>101.6961</v>
      </c>
      <c r="N2521">
        <v>102.8417</v>
      </c>
      <c r="O2521">
        <v>102.748</v>
      </c>
      <c r="P2521">
        <v>103.51690000000001</v>
      </c>
      <c r="Q2521">
        <v>105.64579999999999</v>
      </c>
      <c r="R2521">
        <v>106.0009</v>
      </c>
    </row>
    <row r="2522" spans="1:18" ht="12.75" hidden="1" customHeight="1" outlineLevel="1" x14ac:dyDescent="0.25">
      <c r="A2522" s="1509">
        <v>0.03</v>
      </c>
      <c r="B2522" s="1505" t="s">
        <v>1317</v>
      </c>
      <c r="C2522" s="455">
        <v>79.977999999999994</v>
      </c>
      <c r="D2522" s="1513">
        <f>VLOOKUP(H2522,indexy!$C$44:$D$823,2,FALSE)</f>
        <v>86.09</v>
      </c>
      <c r="E2522" s="1521">
        <f>D2522/C2522-1</f>
        <v>7.6421015779339463E-2</v>
      </c>
      <c r="F2522" s="1515">
        <f t="shared" ref="F2522:F2545" si="31">E2522*A2522</f>
        <v>2.2926304733801839E-3</v>
      </c>
      <c r="G2522" s="415"/>
      <c r="H2522" s="415" t="str">
        <f>VLOOKUP(B2522,indexy!$A$44:$D$823,3,FALSE)</f>
        <v>AEP UN Equity</v>
      </c>
      <c r="I2522" s="422">
        <f>+(((E2564*100)+100)-I2521)/100</f>
        <v>0.10625334553368859</v>
      </c>
    </row>
    <row r="2523" spans="1:18" ht="12.75" hidden="1" customHeight="1" outlineLevel="1" x14ac:dyDescent="0.25">
      <c r="A2523" s="1509">
        <v>0.03</v>
      </c>
      <c r="B2523" s="1505" t="s">
        <v>805</v>
      </c>
      <c r="C2523" s="455">
        <v>97.792000000000002</v>
      </c>
      <c r="D2523" s="1513">
        <f>VLOOKUP(H2523,indexy!$C$44:$D$823,2,FALSE)</f>
        <v>132.25</v>
      </c>
      <c r="E2523" s="1521">
        <f t="shared" ref="E2523:E2550" si="32">D2523/C2523-1</f>
        <v>0.35236011125654443</v>
      </c>
      <c r="F2523" s="1515">
        <f t="shared" si="31"/>
        <v>1.0570803337696333E-2</v>
      </c>
      <c r="G2523" s="415"/>
      <c r="H2523" s="415" t="str">
        <f>VLOOKUP(B2523,indexy!$A$44:$D$823,3,FALSE)</f>
        <v>BMO CT Equity</v>
      </c>
      <c r="J2523" s="434"/>
    </row>
    <row r="2524" spans="1:18" ht="12.75" hidden="1" customHeight="1" outlineLevel="1" x14ac:dyDescent="0.25">
      <c r="A2524" s="1509">
        <v>0.04</v>
      </c>
      <c r="B2524" s="1505" t="s">
        <v>5748</v>
      </c>
      <c r="C2524" s="455">
        <v>74.805999999999997</v>
      </c>
      <c r="D2524" s="1513">
        <f>VLOOKUP(H2524,indexy!$C$44:$D$823,2,FALSE)</f>
        <v>70.069999999999993</v>
      </c>
      <c r="E2524" s="1521">
        <f t="shared" si="32"/>
        <v>-6.3310429644680921E-2</v>
      </c>
      <c r="F2524" s="1515">
        <f t="shared" si="31"/>
        <v>-2.5324171857872371E-3</v>
      </c>
      <c r="G2524" s="415"/>
      <c r="H2524" s="415" t="str">
        <f>VLOOKUP(B2524,indexy!$A$44:$D$823,3,FALSE)</f>
        <v>BNS CT Equity</v>
      </c>
      <c r="J2524" s="434"/>
      <c r="K2524" s="37"/>
    </row>
    <row r="2525" spans="1:18" ht="12.75" hidden="1" customHeight="1" outlineLevel="1" x14ac:dyDescent="0.25">
      <c r="A2525" s="1509">
        <v>0.08</v>
      </c>
      <c r="B2525" s="1505" t="s">
        <v>807</v>
      </c>
      <c r="C2525" s="455">
        <v>57.378</v>
      </c>
      <c r="D2525" s="1513">
        <f>VLOOKUP(H2525,indexy!$C$44:$D$823,2,FALSE)</f>
        <v>46.03</v>
      </c>
      <c r="E2525" s="1521">
        <f t="shared" si="32"/>
        <v>-0.19777615113806679</v>
      </c>
      <c r="F2525" s="1515">
        <f t="shared" si="31"/>
        <v>-1.5822092091045344E-2</v>
      </c>
      <c r="G2525" s="415"/>
      <c r="H2525" s="415" t="str">
        <f>VLOOKUP(B2525,indexy!$A$44:$D$823,3,FALSE)</f>
        <v>BCE CT Equity</v>
      </c>
      <c r="J2525" s="434"/>
    </row>
    <row r="2526" spans="1:18" ht="12.75" hidden="1" customHeight="1" outlineLevel="1" x14ac:dyDescent="0.25">
      <c r="A2526" s="1509">
        <v>0.05</v>
      </c>
      <c r="B2526" s="1505" t="s">
        <v>3954</v>
      </c>
      <c r="C2526" s="455">
        <f>112.318/2</f>
        <v>56.158999999999999</v>
      </c>
      <c r="D2526" s="1513">
        <f>VLOOKUP(H2526,indexy!$C$44:$D$823,2,FALSE)</f>
        <v>68.67</v>
      </c>
      <c r="E2526" s="1521">
        <f t="shared" si="32"/>
        <v>0.22277818337221111</v>
      </c>
      <c r="F2526" s="1515">
        <f t="shared" si="31"/>
        <v>1.1138909168610557E-2</v>
      </c>
      <c r="G2526" s="415"/>
      <c r="H2526" s="415" t="str">
        <f>VLOOKUP(B2526,indexy!$A$44:$D$823,3,FALSE)</f>
        <v>CM CT Equity</v>
      </c>
      <c r="J2526" s="434"/>
    </row>
    <row r="2527" spans="1:18" ht="12.75" hidden="1" customHeight="1" outlineLevel="1" x14ac:dyDescent="0.25">
      <c r="A2527" s="1509">
        <v>0.02</v>
      </c>
      <c r="B2527" s="1505" t="s">
        <v>9512</v>
      </c>
      <c r="C2527" s="455">
        <v>118.88800000000001</v>
      </c>
      <c r="D2527" s="1513">
        <f>VLOOKUP(H2527,indexy!$C$44:$D$823,2,FALSE)</f>
        <v>105.83</v>
      </c>
      <c r="E2527" s="1521">
        <f t="shared" si="32"/>
        <v>-0.10983446605208269</v>
      </c>
      <c r="F2527" s="1515">
        <f t="shared" si="31"/>
        <v>-2.1966893210416537E-3</v>
      </c>
      <c r="G2527" s="415"/>
      <c r="H2527" s="415" t="str">
        <f>VLOOKUP(B2527,indexy!$A$44:$D$823,3,FALSE)</f>
        <v>CCI UN Equity</v>
      </c>
      <c r="J2527" s="434"/>
    </row>
    <row r="2528" spans="1:18" ht="12.75" hidden="1" customHeight="1" outlineLevel="1" x14ac:dyDescent="0.25">
      <c r="A2528" s="1509">
        <v>0.03</v>
      </c>
      <c r="B2528" s="1505" t="s">
        <v>9591</v>
      </c>
      <c r="C2528" s="455">
        <v>73.256</v>
      </c>
      <c r="D2528" s="1513">
        <f>VLOOKUP(H2528,indexy!$C$44:$D$823,2,FALSE)</f>
        <v>49.19</v>
      </c>
      <c r="E2528" s="1521">
        <f t="shared" si="32"/>
        <v>-0.32851916566561101</v>
      </c>
      <c r="F2528" s="1515">
        <f t="shared" si="31"/>
        <v>-9.8555749699683302E-3</v>
      </c>
      <c r="G2528" s="415"/>
      <c r="H2528" s="415" t="str">
        <f>VLOOKUP(B2528,indexy!$A$44:$D$823,3,FALSE)</f>
        <v>D UN Equity</v>
      </c>
      <c r="J2528" s="434"/>
    </row>
    <row r="2529" spans="1:10" ht="12.75" hidden="1" customHeight="1" outlineLevel="1" x14ac:dyDescent="0.25">
      <c r="A2529" s="1509">
        <v>7.0000000000000007E-2</v>
      </c>
      <c r="B2529" s="1505" t="s">
        <v>1231</v>
      </c>
      <c r="C2529" s="455">
        <v>89.147999999999996</v>
      </c>
      <c r="D2529" s="1513">
        <f>VLOOKUP(H2529,indexy!$C$44:$D$823,2,FALSE)</f>
        <v>96.71</v>
      </c>
      <c r="E2529" s="1521">
        <f t="shared" si="32"/>
        <v>8.4825234441602726E-2</v>
      </c>
      <c r="F2529" s="1515">
        <f t="shared" si="31"/>
        <v>5.9377664109121911E-3</v>
      </c>
      <c r="G2529" s="415"/>
      <c r="H2529" s="415" t="str">
        <f>VLOOKUP(B2529,indexy!$A$44:$D$823,3,FALSE)</f>
        <v>DUK UN Equity</v>
      </c>
      <c r="J2529" s="434"/>
    </row>
    <row r="2530" spans="1:10" ht="12.75" hidden="1" customHeight="1" outlineLevel="1" x14ac:dyDescent="0.25">
      <c r="A2530" s="1509">
        <v>0.05</v>
      </c>
      <c r="B2530" s="1505" t="s">
        <v>7855</v>
      </c>
      <c r="C2530" s="455">
        <v>48.009</v>
      </c>
      <c r="D2530" s="1513">
        <f>VLOOKUP(H2530,indexy!$C$44:$D$823,2,FALSE)</f>
        <v>48.95</v>
      </c>
      <c r="E2530" s="1521">
        <f t="shared" si="32"/>
        <v>1.9600491574496504E-2</v>
      </c>
      <c r="F2530" s="1515">
        <f t="shared" si="31"/>
        <v>9.8002457872482514E-4</v>
      </c>
      <c r="G2530" s="415"/>
      <c r="H2530" s="415" t="str">
        <f>VLOOKUP(B2530,indexy!$A$44:$D$823,3,FALSE)</f>
        <v>ENB CT Equity</v>
      </c>
      <c r="J2530" s="434"/>
    </row>
    <row r="2531" spans="1:10" ht="12.75" hidden="1" customHeight="1" outlineLevel="1" x14ac:dyDescent="0.25">
      <c r="A2531" s="1509">
        <v>0.02</v>
      </c>
      <c r="B2531" s="1505" t="s">
        <v>3425</v>
      </c>
      <c r="C2531" s="455">
        <v>76.296999999999997</v>
      </c>
      <c r="D2531" s="1513">
        <f>VLOOKUP(H2531,indexy!$C$44:$D$823,2,FALSE)</f>
        <v>116.24</v>
      </c>
      <c r="E2531" s="1521">
        <f t="shared" si="32"/>
        <v>0.52351992869968678</v>
      </c>
      <c r="F2531" s="1515">
        <f t="shared" si="31"/>
        <v>1.0470398573993735E-2</v>
      </c>
      <c r="G2531" s="415"/>
      <c r="H2531" s="415" t="str">
        <f>VLOOKUP(B2531,indexy!$A$44:$D$823,3,FALSE)</f>
        <v>XOM UN Equity</v>
      </c>
      <c r="J2531" s="434"/>
    </row>
    <row r="2532" spans="1:10" ht="12.75" hidden="1" customHeight="1" outlineLevel="1" x14ac:dyDescent="0.25">
      <c r="A2532" s="1509">
        <v>0.02</v>
      </c>
      <c r="B2532" s="1505" t="s">
        <v>1321</v>
      </c>
      <c r="C2532" s="455">
        <v>39.545999999999999</v>
      </c>
      <c r="D2532" s="1513">
        <f>VLOOKUP(H2532,indexy!$C$44:$D$823,2,FALSE)</f>
        <v>38.619999999999997</v>
      </c>
      <c r="E2532" s="1521">
        <f t="shared" si="32"/>
        <v>-2.341576897789921E-2</v>
      </c>
      <c r="F2532" s="1515">
        <f t="shared" si="31"/>
        <v>-4.6831537955798418E-4</v>
      </c>
      <c r="G2532" s="415"/>
      <c r="H2532" s="415" t="str">
        <f>VLOOKUP(B2532,indexy!$A$44:$D$823,3,FALSE)</f>
        <v>FE UN Equity</v>
      </c>
      <c r="J2532" s="434"/>
    </row>
    <row r="2533" spans="1:10" ht="12.75" hidden="1" customHeight="1" outlineLevel="1" x14ac:dyDescent="0.25">
      <c r="A2533" s="1509">
        <v>0.02</v>
      </c>
      <c r="B2533" s="1505" t="s">
        <v>52</v>
      </c>
      <c r="C2533" s="1507">
        <v>136.351</v>
      </c>
      <c r="D2533" s="1513">
        <f>VLOOKUP(H2533,indexy!$C$44:$D$823,2,FALSE)</f>
        <v>190.96</v>
      </c>
      <c r="E2533" s="1521">
        <f t="shared" si="32"/>
        <v>0.40050311328849819</v>
      </c>
      <c r="F2533" s="1515">
        <f t="shared" si="31"/>
        <v>8.0100622657699634E-3</v>
      </c>
      <c r="G2533" s="415"/>
      <c r="H2533" s="415" t="str">
        <f>VLOOKUP(B2533,indexy!$A$44:$D$823,3,FALSE)</f>
        <v>IBM UN Equity</v>
      </c>
      <c r="J2533" s="434"/>
    </row>
    <row r="2534" spans="1:10" ht="12.75" hidden="1" customHeight="1" outlineLevel="1" x14ac:dyDescent="0.25">
      <c r="A2534" s="1509">
        <v>0.02</v>
      </c>
      <c r="B2534" s="1505" t="s">
        <v>123</v>
      </c>
      <c r="C2534" s="455">
        <v>21.395</v>
      </c>
      <c r="D2534" s="1513">
        <f>VLOOKUP(H2534,indexy!$C$44:$D$823,2,FALSE)</f>
        <v>33.83</v>
      </c>
      <c r="E2534" s="1521">
        <f t="shared" si="32"/>
        <v>0.58121056321570452</v>
      </c>
      <c r="F2534" s="1515">
        <f t="shared" si="31"/>
        <v>1.162421126431409E-2</v>
      </c>
      <c r="G2534" s="415"/>
      <c r="H2534" s="415" t="str">
        <f>VLOOKUP(B2534,indexy!$A$44:$D$823,3,FALSE)</f>
        <v>MFC CT Equity</v>
      </c>
      <c r="J2534" s="434"/>
    </row>
    <row r="2535" spans="1:10" ht="12.75" hidden="1" customHeight="1" outlineLevel="1" x14ac:dyDescent="0.25">
      <c r="A2535" s="1509">
        <v>0.02</v>
      </c>
      <c r="B2535" s="1505" t="s">
        <v>7754</v>
      </c>
      <c r="C2535" s="455">
        <v>62.052999999999997</v>
      </c>
      <c r="D2535" s="1513">
        <f>VLOOKUP(H2535,indexy!$C$44:$D$823,2,FALSE)</f>
        <v>114.06</v>
      </c>
      <c r="E2535" s="1521">
        <f t="shared" si="32"/>
        <v>0.83810613507807852</v>
      </c>
      <c r="F2535" s="1515">
        <f t="shared" si="31"/>
        <v>1.676212270156157E-2</v>
      </c>
      <c r="G2535" s="415"/>
      <c r="H2535" s="415" t="str">
        <f>VLOOKUP(B2535,indexy!$A$44:$D$823,3,FALSE)</f>
        <v>NA CT Equity</v>
      </c>
      <c r="J2535" s="434"/>
    </row>
    <row r="2536" spans="1:10" ht="12.75" hidden="1" customHeight="1" outlineLevel="1" x14ac:dyDescent="0.25">
      <c r="A2536" s="1509">
        <v>0.02</v>
      </c>
      <c r="B2536" s="1505" t="s">
        <v>9514</v>
      </c>
      <c r="C2536" s="455">
        <v>70.775999999999996</v>
      </c>
      <c r="D2536" s="1513">
        <f>VLOOKUP(H2536,indexy!$C$44:$D$823,2,FALSE)</f>
        <v>73.59</v>
      </c>
      <c r="E2536" s="1521">
        <f t="shared" si="32"/>
        <v>3.9759240420481623E-2</v>
      </c>
      <c r="F2536" s="1515">
        <f t="shared" si="31"/>
        <v>7.9518480840963252E-4</v>
      </c>
      <c r="G2536" s="415"/>
      <c r="H2536" s="415" t="str">
        <f>VLOOKUP(B2536,indexy!$A$44:$D$823,3,FALSE)</f>
        <v>NTR CT Equity</v>
      </c>
      <c r="J2536" s="434"/>
    </row>
    <row r="2537" spans="1:10" ht="12.75" hidden="1" customHeight="1" outlineLevel="1" x14ac:dyDescent="0.25">
      <c r="A2537" s="1509">
        <v>0.03</v>
      </c>
      <c r="B2537" s="1505" t="s">
        <v>4</v>
      </c>
      <c r="C2537" s="455">
        <v>66.256</v>
      </c>
      <c r="D2537" s="1513">
        <f>VLOOKUP(H2537,indexy!$C$44:$D$823,2,FALSE)</f>
        <v>64.989999999999995</v>
      </c>
      <c r="E2537" s="1521">
        <f t="shared" si="32"/>
        <v>-1.9107703453272284E-2</v>
      </c>
      <c r="F2537" s="1515">
        <f t="shared" si="31"/>
        <v>-5.7323110359816856E-4</v>
      </c>
      <c r="G2537" s="415"/>
      <c r="H2537" s="415" t="str">
        <f>VLOOKUP(B2537,indexy!$A$44:$D$823,3,FALSE)</f>
        <v>OXY UN Equity</v>
      </c>
      <c r="J2537" s="434"/>
    </row>
    <row r="2538" spans="1:10" ht="12.75" hidden="1" customHeight="1" outlineLevel="1" x14ac:dyDescent="0.25">
      <c r="A2538" s="1509">
        <v>0.03</v>
      </c>
      <c r="B2538" s="1505" t="s">
        <v>9516</v>
      </c>
      <c r="C2538" s="455">
        <v>47.802999999999997</v>
      </c>
      <c r="D2538" s="1513">
        <f>VLOOKUP(H2538,indexy!$C$44:$D$823,2,FALSE)</f>
        <v>47.81</v>
      </c>
      <c r="E2538" s="1521">
        <f t="shared" si="32"/>
        <v>1.4643432420569091E-4</v>
      </c>
      <c r="F2538" s="1515">
        <f t="shared" si="31"/>
        <v>4.3930297261707269E-6</v>
      </c>
      <c r="G2538" s="415"/>
      <c r="H2538" s="415" t="str">
        <f>VLOOKUP(B2538,indexy!$A$44:$D$823,3,FALSE)</f>
        <v>PPL CT Equity</v>
      </c>
      <c r="J2538" s="434"/>
    </row>
    <row r="2539" spans="1:10" ht="12.75" hidden="1" customHeight="1" outlineLevel="1" x14ac:dyDescent="0.25">
      <c r="A2539" s="1509">
        <v>0.02</v>
      </c>
      <c r="B2539" s="1505" t="s">
        <v>1204</v>
      </c>
      <c r="C2539" s="455">
        <v>114.33450000000001</v>
      </c>
      <c r="D2539" s="1513">
        <f>VLOOKUP(H2539,indexy!$C$44:$D$823,2,FALSE)</f>
        <v>175.01</v>
      </c>
      <c r="E2539" s="1521">
        <f t="shared" si="32"/>
        <v>0.53068408922941002</v>
      </c>
      <c r="F2539" s="1515">
        <f t="shared" si="31"/>
        <v>1.06136817845882E-2</v>
      </c>
      <c r="G2539" s="415"/>
      <c r="H2539" s="415" t="str">
        <f>VLOOKUP(B2539,indexy!$A$44:$D$823,3,FALSE)</f>
        <v>PEP UW Equity</v>
      </c>
      <c r="J2539" s="434"/>
    </row>
    <row r="2540" spans="1:10" ht="12.75" hidden="1" customHeight="1" outlineLevel="1" x14ac:dyDescent="0.25">
      <c r="A2540" s="1509">
        <v>0.02</v>
      </c>
      <c r="B2540" s="1505" t="s">
        <v>3793</v>
      </c>
      <c r="C2540" s="455">
        <v>81.697999999999993</v>
      </c>
      <c r="D2540" s="1513">
        <f>VLOOKUP(H2540,indexy!$C$44:$D$823,2,FALSE)</f>
        <v>91.62</v>
      </c>
      <c r="E2540" s="1521">
        <f t="shared" si="32"/>
        <v>0.12144728145119843</v>
      </c>
      <c r="F2540" s="1515">
        <f t="shared" si="31"/>
        <v>2.4289456290239688E-3</v>
      </c>
      <c r="G2540" s="415"/>
      <c r="H2540" s="415" t="str">
        <f>VLOOKUP(B2540,indexy!$A$44:$D$823,3,FALSE)</f>
        <v>PM UN Equity</v>
      </c>
      <c r="J2540" s="434"/>
    </row>
    <row r="2541" spans="1:10" ht="12.75" hidden="1" customHeight="1" outlineLevel="1" x14ac:dyDescent="0.25">
      <c r="A2541" s="1509">
        <v>0.03</v>
      </c>
      <c r="B2541" s="1505" t="s">
        <v>2728</v>
      </c>
      <c r="C2541" s="455">
        <v>101.327</v>
      </c>
      <c r="D2541" s="1513">
        <f>VLOOKUP(H2541,indexy!$C$44:$D$823,2,FALSE)</f>
        <v>136.62</v>
      </c>
      <c r="E2541" s="1521">
        <f t="shared" si="32"/>
        <v>0.34830795345761745</v>
      </c>
      <c r="F2541" s="1515">
        <f t="shared" si="31"/>
        <v>1.0449238603728523E-2</v>
      </c>
      <c r="G2541" s="415"/>
      <c r="H2541" s="415" t="str">
        <f>VLOOKUP(B2541,indexy!$A$44:$D$823,3,FALSE)</f>
        <v>RY CT Equity</v>
      </c>
      <c r="J2541" s="434"/>
    </row>
    <row r="2542" spans="1:10" ht="12.75" hidden="1" customHeight="1" outlineLevel="1" x14ac:dyDescent="0.25">
      <c r="A2542" s="1509">
        <v>0.02</v>
      </c>
      <c r="B2542" s="1505" t="s">
        <v>2771</v>
      </c>
      <c r="C2542" s="455">
        <f>115.963/2</f>
        <v>57.981499999999997</v>
      </c>
      <c r="D2542" s="1513">
        <f>VLOOKUP(H2542,indexy!$C$44:$D$823,2,FALSE)</f>
        <v>71.83</v>
      </c>
      <c r="E2542" s="1521">
        <f t="shared" si="32"/>
        <v>0.23884342419564875</v>
      </c>
      <c r="F2542" s="1515">
        <f t="shared" si="31"/>
        <v>4.7768684839129749E-3</v>
      </c>
      <c r="G2542" s="415"/>
      <c r="H2542" s="415" t="str">
        <f>VLOOKUP(B2542,indexy!$A$44:$D$823,3,FALSE)</f>
        <v>SRE UN Equity</v>
      </c>
      <c r="J2542" s="434"/>
    </row>
    <row r="2543" spans="1:10" ht="12.75" hidden="1" customHeight="1" outlineLevel="1" x14ac:dyDescent="0.25">
      <c r="A2543" s="1509">
        <v>0.03</v>
      </c>
      <c r="B2543" s="1505" t="s">
        <v>8210</v>
      </c>
      <c r="C2543" s="455">
        <v>183.45699999999999</v>
      </c>
      <c r="D2543" s="1513">
        <f>VLOOKUP(H2543,indexy!$C$44:$D$823,2,FALSE)</f>
        <v>156.49</v>
      </c>
      <c r="E2543" s="1521">
        <f t="shared" si="32"/>
        <v>-0.14699357342592534</v>
      </c>
      <c r="F2543" s="1515">
        <f t="shared" si="31"/>
        <v>-4.4098072027777598E-3</v>
      </c>
      <c r="G2543" s="415"/>
      <c r="H2543" s="415" t="str">
        <f>VLOOKUP(B2543,indexy!$A$44:$D$823,3,FALSE)</f>
        <v>SPG UN Equity</v>
      </c>
      <c r="J2543" s="434"/>
    </row>
    <row r="2544" spans="1:10" ht="12.75" hidden="1" customHeight="1" outlineLevel="1" x14ac:dyDescent="0.25">
      <c r="A2544" s="1509">
        <v>7.0000000000000007E-2</v>
      </c>
      <c r="B2544" s="1505" t="s">
        <v>3427</v>
      </c>
      <c r="C2544" s="455">
        <v>49.274999999999999</v>
      </c>
      <c r="D2544" s="1513">
        <f>VLOOKUP(H2544,indexy!$C$44:$D$823,2,FALSE)</f>
        <v>71.739999999999995</v>
      </c>
      <c r="E2544" s="1521">
        <f t="shared" si="32"/>
        <v>0.45591070522577359</v>
      </c>
      <c r="F2544" s="1515">
        <f t="shared" si="31"/>
        <v>3.1913749365804156E-2</v>
      </c>
      <c r="G2544" s="415"/>
      <c r="H2544" s="415" t="str">
        <f>VLOOKUP(B2544,indexy!$A$44:$D$823,3,FALSE)</f>
        <v>SO UN Equity</v>
      </c>
      <c r="J2544" s="434"/>
    </row>
    <row r="2545" spans="1:10" ht="12.75" hidden="1" customHeight="1" outlineLevel="1" x14ac:dyDescent="0.25">
      <c r="A2545" s="1509">
        <v>0.02</v>
      </c>
      <c r="B2545" s="1505" t="s">
        <v>1142</v>
      </c>
      <c r="C2545" s="455">
        <v>47.46</v>
      </c>
      <c r="D2545" s="1513">
        <f>VLOOKUP(H2545,indexy!$C$44:$D$823,2,FALSE)</f>
        <v>61.18</v>
      </c>
      <c r="E2545" s="1521">
        <f t="shared" si="32"/>
        <v>0.28908554572271394</v>
      </c>
      <c r="F2545" s="1515">
        <f t="shared" si="31"/>
        <v>5.7817109144542786E-3</v>
      </c>
      <c r="G2545" s="415"/>
      <c r="H2545" s="415" t="str">
        <f>VLOOKUP(B2545,indexy!$A$44:$D$823,3,FALSE)</f>
        <v>KO UN Equity</v>
      </c>
      <c r="J2545" s="434"/>
    </row>
    <row r="2546" spans="1:10" ht="12.75" hidden="1" customHeight="1" outlineLevel="1" x14ac:dyDescent="0.25">
      <c r="A2546" s="1509">
        <v>0.02</v>
      </c>
      <c r="B2546" s="1505" t="s">
        <v>3626</v>
      </c>
      <c r="C2546" s="455">
        <v>75.093999999999994</v>
      </c>
      <c r="D2546" s="1513">
        <f>VLOOKUP(H2546,indexy!$C$44:$D$823,2,FALSE)</f>
        <v>81.75</v>
      </c>
      <c r="E2546" s="1521">
        <f t="shared" si="32"/>
        <v>8.8635576743814504E-2</v>
      </c>
      <c r="F2546" s="1515">
        <f>E2546*A2546</f>
        <v>1.7727115348762901E-3</v>
      </c>
      <c r="G2546" s="415"/>
      <c r="H2546" s="415" t="str">
        <f>VLOOKUP(B2546,indexy!$A$44:$D$823,3,FALSE)</f>
        <v>TD CT Equity</v>
      </c>
      <c r="J2546" s="434"/>
    </row>
    <row r="2547" spans="1:10" ht="12.75" hidden="1" customHeight="1" outlineLevel="1" x14ac:dyDescent="0.25">
      <c r="A2547" s="1509">
        <v>0.08</v>
      </c>
      <c r="B2547" s="1505" t="s">
        <v>366</v>
      </c>
      <c r="C2547" s="455">
        <v>56.353000000000002</v>
      </c>
      <c r="D2547" s="1513">
        <f>VLOOKUP(H2547,indexy!$C$44:$D$946,2,FALSE)</f>
        <v>54.44</v>
      </c>
      <c r="E2547" s="1521">
        <f t="shared" si="32"/>
        <v>-3.3946728656859548E-2</v>
      </c>
      <c r="F2547" s="1515">
        <f>E2547*A2547</f>
        <v>-2.715738292548764E-3</v>
      </c>
      <c r="G2547" s="415"/>
      <c r="H2547" s="415" t="str">
        <f>VLOOKUP(B2547,indexy!$A$44:$D$946,3,FALSE)</f>
        <v>TRP CT Equity</v>
      </c>
      <c r="J2547" s="434"/>
    </row>
    <row r="2548" spans="1:10" ht="12.75" hidden="1" customHeight="1" outlineLevel="1" x14ac:dyDescent="0.25">
      <c r="A2548" s="1509">
        <v>0.02</v>
      </c>
      <c r="B2548" s="1505" t="s">
        <v>255</v>
      </c>
      <c r="C2548" s="455">
        <v>54.701000000000001</v>
      </c>
      <c r="D2548" s="1513">
        <f>VLOOKUP(H2548,indexy!$C$44:$D$823,2,FALSE)</f>
        <v>41.96</v>
      </c>
      <c r="E2548" s="1521">
        <f t="shared" si="32"/>
        <v>-0.23292078755415802</v>
      </c>
      <c r="F2548" s="1515">
        <f>E2548*A2548</f>
        <v>-4.65841575108316E-3</v>
      </c>
      <c r="G2548" s="415"/>
      <c r="H2548" s="415" t="str">
        <f>VLOOKUP(B2548,indexy!$A$44:$D$823,3,FALSE)</f>
        <v>VZ UN Equity</v>
      </c>
      <c r="J2548" s="434"/>
    </row>
    <row r="2549" spans="1:10" ht="12.75" hidden="1" customHeight="1" outlineLevel="1" x14ac:dyDescent="0.25">
      <c r="A2549" s="1509">
        <v>0.02</v>
      </c>
      <c r="B2549" s="1505" t="s">
        <v>9518</v>
      </c>
      <c r="C2549" s="455">
        <v>27</v>
      </c>
      <c r="D2549" s="1513">
        <f>VLOOKUP(H2549,indexy!$C$44:$D$823,2,FALSE)</f>
        <v>38.97</v>
      </c>
      <c r="E2549" s="1521">
        <f t="shared" si="32"/>
        <v>0.44333333333333336</v>
      </c>
      <c r="F2549" s="1515">
        <f>E2549*A2549</f>
        <v>8.8666666666666668E-3</v>
      </c>
      <c r="G2549" s="415"/>
      <c r="H2549" s="415" t="str">
        <f>VLOOKUP(B2549,indexy!$A$44:$D$823,3,FALSE)</f>
        <v>WMB UN Equity</v>
      </c>
      <c r="J2549" s="434"/>
    </row>
    <row r="2550" spans="1:10" ht="12.75" hidden="1" customHeight="1" outlineLevel="1" x14ac:dyDescent="0.25">
      <c r="A2550" s="1509">
        <v>0.02</v>
      </c>
      <c r="B2550" s="1506" t="s">
        <v>2874</v>
      </c>
      <c r="C2550" s="455">
        <v>53.633000000000003</v>
      </c>
      <c r="D2550" s="1516">
        <f>VLOOKUP(H2550,indexy!$C$44:$D$823,2,FALSE)</f>
        <v>53.75</v>
      </c>
      <c r="E2550" s="1521">
        <f t="shared" si="32"/>
        <v>2.1814927376802018E-3</v>
      </c>
      <c r="F2550" s="1515">
        <f>E2550*A2550</f>
        <v>4.3629854753604035E-5</v>
      </c>
      <c r="G2550" s="415"/>
      <c r="H2550" s="415" t="str">
        <f>VLOOKUP(B2550,indexy!$A$44:$D$823,3,FALSE)</f>
        <v>XEL US Equity</v>
      </c>
      <c r="J2550" s="434"/>
    </row>
    <row r="2551" spans="1:10" ht="12.75" hidden="1" customHeight="1" outlineLevel="1" x14ac:dyDescent="0.25">
      <c r="A2551" s="1522" t="s">
        <v>2734</v>
      </c>
      <c r="B2551" s="1523"/>
      <c r="C2551" s="1524">
        <v>100</v>
      </c>
      <c r="D2551" s="1525"/>
      <c r="E2551" s="1526"/>
      <c r="F2551" s="1526">
        <f>SUM(F2521:F2550)</f>
        <v>0.10625334553368861</v>
      </c>
      <c r="G2551" s="415"/>
      <c r="H2551" s="415"/>
    </row>
    <row r="2552" spans="1:10" ht="12.75" hidden="1" customHeight="1" outlineLevel="1" x14ac:dyDescent="0.25">
      <c r="A2552" s="1503" t="s">
        <v>9744</v>
      </c>
      <c r="B2552" s="1504">
        <v>45139</v>
      </c>
      <c r="C2552" s="1527">
        <v>100</v>
      </c>
      <c r="D2552" s="1527"/>
      <c r="E2552" s="1528">
        <f>IF(D2552="",F2551,D2552/C2552-1)</f>
        <v>0.10625334553368861</v>
      </c>
      <c r="F2552" s="1529"/>
      <c r="G2552" s="415"/>
      <c r="H2552" s="415"/>
    </row>
    <row r="2553" spans="1:10" ht="12.75" hidden="1" customHeight="1" outlineLevel="1" x14ac:dyDescent="0.25">
      <c r="A2553" s="1503" t="s">
        <v>9745</v>
      </c>
      <c r="B2553" s="1504">
        <v>45170</v>
      </c>
      <c r="C2553" s="1527">
        <v>100</v>
      </c>
      <c r="D2553" s="1530"/>
      <c r="E2553" s="1528">
        <f>IF(D2553="",E2552,D2553/C2553-1)</f>
        <v>0.10625334553368861</v>
      </c>
      <c r="F2553" s="1529"/>
      <c r="G2553" s="415"/>
      <c r="H2553" s="415"/>
    </row>
    <row r="2554" spans="1:10" ht="12.75" hidden="1" customHeight="1" outlineLevel="1" x14ac:dyDescent="0.25">
      <c r="A2554" s="1503" t="s">
        <v>9746</v>
      </c>
      <c r="B2554" s="1504">
        <v>45200</v>
      </c>
      <c r="C2554" s="1527">
        <v>100</v>
      </c>
      <c r="D2554" s="1530"/>
      <c r="E2554" s="1528">
        <f>IF(D2554="",E2553,D2554/C2554-1)</f>
        <v>0.10625334553368861</v>
      </c>
      <c r="F2554" s="1529"/>
      <c r="G2554" s="415"/>
      <c r="H2554" s="415"/>
    </row>
    <row r="2555" spans="1:10" ht="12.75" hidden="1" customHeight="1" outlineLevel="1" x14ac:dyDescent="0.25">
      <c r="A2555" s="1503" t="s">
        <v>9747</v>
      </c>
      <c r="B2555" s="1504">
        <v>45231</v>
      </c>
      <c r="C2555" s="1527">
        <v>100</v>
      </c>
      <c r="D2555" s="1530"/>
      <c r="E2555" s="1528">
        <f>IF(D2555="",E2554,D2555/C2555-1)</f>
        <v>0.10625334553368861</v>
      </c>
      <c r="F2555" s="1529"/>
      <c r="G2555" s="415"/>
      <c r="H2555" s="415"/>
    </row>
    <row r="2556" spans="1:10" ht="12.75" hidden="1" customHeight="1" outlineLevel="1" x14ac:dyDescent="0.25">
      <c r="A2556" s="1503" t="s">
        <v>9748</v>
      </c>
      <c r="B2556" s="1504">
        <v>45261</v>
      </c>
      <c r="C2556" s="1527">
        <v>100</v>
      </c>
      <c r="D2556" s="1530"/>
      <c r="E2556" s="1528">
        <f t="shared" ref="E2556:E2561" si="33">IF(D2556="",E2555,D2556/C2556-1)</f>
        <v>0.10625334553368861</v>
      </c>
      <c r="F2556" s="1529"/>
      <c r="G2556" s="415"/>
      <c r="H2556" s="415"/>
    </row>
    <row r="2557" spans="1:10" ht="12.75" hidden="1" customHeight="1" outlineLevel="1" x14ac:dyDescent="0.25">
      <c r="A2557" s="1503" t="s">
        <v>9749</v>
      </c>
      <c r="B2557" s="1504">
        <v>45292</v>
      </c>
      <c r="C2557" s="1527">
        <v>100</v>
      </c>
      <c r="D2557" s="1530"/>
      <c r="E2557" s="1528">
        <f t="shared" si="33"/>
        <v>0.10625334553368861</v>
      </c>
      <c r="F2557" s="1529"/>
      <c r="G2557" s="415"/>
      <c r="H2557" s="415"/>
    </row>
    <row r="2558" spans="1:10" ht="12.75" hidden="1" customHeight="1" outlineLevel="1" x14ac:dyDescent="0.25">
      <c r="A2558" s="1503" t="s">
        <v>9750</v>
      </c>
      <c r="B2558" s="1504">
        <v>45323</v>
      </c>
      <c r="C2558" s="1527">
        <v>100</v>
      </c>
      <c r="D2558" s="1530"/>
      <c r="E2558" s="1528">
        <f t="shared" si="33"/>
        <v>0.10625334553368861</v>
      </c>
      <c r="F2558" s="1529"/>
      <c r="G2558" s="415"/>
      <c r="H2558" s="415"/>
    </row>
    <row r="2559" spans="1:10" ht="12.75" hidden="1" customHeight="1" outlineLevel="1" x14ac:dyDescent="0.25">
      <c r="A2559" s="1503" t="s">
        <v>9751</v>
      </c>
      <c r="B2559" s="1504">
        <v>45352</v>
      </c>
      <c r="C2559" s="1527">
        <v>100</v>
      </c>
      <c r="D2559" s="1530"/>
      <c r="E2559" s="1528">
        <f t="shared" si="33"/>
        <v>0.10625334553368861</v>
      </c>
      <c r="F2559" s="1529"/>
      <c r="G2559" s="415"/>
      <c r="H2559" s="415"/>
    </row>
    <row r="2560" spans="1:10" ht="12.75" hidden="1" customHeight="1" outlineLevel="1" x14ac:dyDescent="0.25">
      <c r="A2560" s="1503" t="s">
        <v>9752</v>
      </c>
      <c r="B2560" s="1504">
        <v>45383</v>
      </c>
      <c r="C2560" s="1527">
        <v>100</v>
      </c>
      <c r="D2560" s="1530"/>
      <c r="E2560" s="1528">
        <f t="shared" si="33"/>
        <v>0.10625334553368861</v>
      </c>
      <c r="F2560" s="1529"/>
      <c r="G2560" s="415"/>
      <c r="H2560" s="415"/>
    </row>
    <row r="2561" spans="1:18" ht="12.75" hidden="1" customHeight="1" outlineLevel="1" x14ac:dyDescent="0.25">
      <c r="A2561" s="1503" t="s">
        <v>9753</v>
      </c>
      <c r="B2561" s="1504">
        <v>45413</v>
      </c>
      <c r="C2561" s="1527">
        <v>100</v>
      </c>
      <c r="D2561" s="1530"/>
      <c r="E2561" s="1528">
        <f t="shared" si="33"/>
        <v>0.10625334553368861</v>
      </c>
      <c r="F2561" s="1529"/>
      <c r="G2561" s="415"/>
      <c r="H2561" s="415"/>
    </row>
    <row r="2562" spans="1:18" ht="12.75" hidden="1" customHeight="1" outlineLevel="1" x14ac:dyDescent="0.25">
      <c r="A2562" s="1503" t="s">
        <v>9754</v>
      </c>
      <c r="B2562" s="1504">
        <v>45444</v>
      </c>
      <c r="C2562" s="1527">
        <v>100</v>
      </c>
      <c r="D2562" s="1530"/>
      <c r="E2562" s="1528">
        <f>IF(D2562="",E2555,D2562/C2562-1)</f>
        <v>0.10625334553368861</v>
      </c>
      <c r="F2562" s="1529"/>
      <c r="G2562" s="415"/>
      <c r="H2562" s="415"/>
    </row>
    <row r="2563" spans="1:18" ht="12.75" hidden="1" customHeight="1" outlineLevel="1" x14ac:dyDescent="0.25">
      <c r="A2563" s="1503" t="s">
        <v>9755</v>
      </c>
      <c r="B2563" s="1504">
        <v>45474</v>
      </c>
      <c r="C2563" s="1527">
        <v>100</v>
      </c>
      <c r="D2563" s="1530"/>
      <c r="E2563" s="1528">
        <f>IF(D2563="",E2562,D2563/C2563-1)</f>
        <v>0.10625334553368861</v>
      </c>
      <c r="F2563" s="1529"/>
      <c r="G2563" s="415"/>
      <c r="H2563" s="415"/>
    </row>
    <row r="2564" spans="1:18" s="444" customFormat="1" ht="12.75" hidden="1" customHeight="1" outlineLevel="1" x14ac:dyDescent="0.25">
      <c r="A2564" s="1531" t="s">
        <v>2734</v>
      </c>
      <c r="B2564" s="1532"/>
      <c r="C2564" s="1530"/>
      <c r="D2564" s="1533" t="s">
        <v>2465</v>
      </c>
      <c r="E2564" s="1534">
        <f>AVERAGE(E2552:E2563)</f>
        <v>0.10625334553368863</v>
      </c>
      <c r="F2564" s="1535">
        <f>((((E2564*100)+100)-I2521)/100)</f>
        <v>0.10625334553368859</v>
      </c>
    </row>
    <row r="2565" spans="1:18" collapsed="1" x14ac:dyDescent="0.25">
      <c r="A2565" s="3799" t="s">
        <v>9605</v>
      </c>
      <c r="B2565" s="3800"/>
      <c r="C2565" s="3800"/>
      <c r="D2565" s="3800"/>
      <c r="E2565" s="18"/>
      <c r="F2565" s="186">
        <f>MAX(0%,MIN(F2564,100%))</f>
        <v>0.10625334553368859</v>
      </c>
      <c r="G2565" s="415"/>
    </row>
    <row r="2566" spans="1:18" x14ac:dyDescent="0.25">
      <c r="G2566" t="s">
        <v>10745</v>
      </c>
    </row>
    <row r="2567" spans="1:18" ht="12.75" hidden="1" customHeight="1" outlineLevel="1" x14ac:dyDescent="0.25">
      <c r="A2567" s="1677" t="s">
        <v>4156</v>
      </c>
      <c r="B2567" s="1677" t="s">
        <v>4153</v>
      </c>
      <c r="C2567" s="1623" t="s">
        <v>112</v>
      </c>
      <c r="D2567" s="1678" t="s">
        <v>4155</v>
      </c>
      <c r="E2567" s="1677" t="s">
        <v>4154</v>
      </c>
      <c r="F2567" s="1678" t="s">
        <v>2519</v>
      </c>
      <c r="G2567" s="12"/>
      <c r="H2567" s="415"/>
      <c r="I2567" s="412" t="s">
        <v>6964</v>
      </c>
      <c r="J2567" s="1462">
        <v>43556</v>
      </c>
      <c r="K2567" s="1462">
        <v>43586</v>
      </c>
      <c r="L2567" s="1462">
        <v>43617</v>
      </c>
      <c r="M2567" s="1462">
        <v>43647</v>
      </c>
      <c r="N2567" s="1462">
        <v>43678</v>
      </c>
      <c r="O2567" s="1462">
        <v>43709</v>
      </c>
      <c r="P2567" s="1462">
        <v>43739</v>
      </c>
      <c r="Q2567" s="1462">
        <v>43770</v>
      </c>
      <c r="R2567" s="1462">
        <v>43800</v>
      </c>
    </row>
    <row r="2568" spans="1:18" ht="12.75" hidden="1" customHeight="1" outlineLevel="1" x14ac:dyDescent="0.25">
      <c r="A2568" s="2034">
        <v>0.02</v>
      </c>
      <c r="B2568" s="2035" t="s">
        <v>7111</v>
      </c>
      <c r="C2568" s="2037">
        <v>79.475999999999999</v>
      </c>
      <c r="D2568" s="2060">
        <f>VLOOKUP(H2568,indexy!$C$44:$D$823,2,FALSE)</f>
        <v>182.1</v>
      </c>
      <c r="E2568" s="2061">
        <f>D2568/C2568-1</f>
        <v>1.2912577381851125</v>
      </c>
      <c r="F2568" s="2062">
        <f>E2568*A2568</f>
        <v>2.582515476370225E-2</v>
      </c>
      <c r="G2568" s="415"/>
      <c r="H2568" s="415" t="str">
        <f>VLOOKUP(B2568,indexy!$A$44:$D$823,3,FALSE)</f>
        <v>ABBV UN Equity</v>
      </c>
      <c r="I2568" s="412">
        <f>IF(J2568="",100,MIN(100,J2568:Y2568))</f>
        <v>98.139899999999997</v>
      </c>
      <c r="J2568">
        <v>100.1461</v>
      </c>
      <c r="K2568">
        <v>101.0626</v>
      </c>
      <c r="L2568">
        <v>98.139899999999997</v>
      </c>
      <c r="M2568">
        <v>99.295199999999994</v>
      </c>
      <c r="N2568">
        <v>98.808800000000005</v>
      </c>
      <c r="O2568">
        <v>98.685000000000002</v>
      </c>
      <c r="P2568">
        <v>101.30119999999999</v>
      </c>
      <c r="Q2568">
        <v>102.4439</v>
      </c>
      <c r="R2568">
        <v>102.7681</v>
      </c>
    </row>
    <row r="2569" spans="1:18" ht="12.75" hidden="1" customHeight="1" outlineLevel="1" x14ac:dyDescent="0.25">
      <c r="A2569" s="1911">
        <v>0.04</v>
      </c>
      <c r="B2569" s="2035" t="s">
        <v>1993</v>
      </c>
      <c r="C2569" s="2037">
        <v>56.018000000000001</v>
      </c>
      <c r="D2569" s="2063">
        <f>VLOOKUP(H2569,indexy!$C$44:$D$823,2,FALSE)</f>
        <v>43.62</v>
      </c>
      <c r="E2569" s="2064">
        <f>D2569/C2569-1</f>
        <v>-0.22132171801920819</v>
      </c>
      <c r="F2569" s="2065">
        <f t="shared" ref="F2569:F2592" si="34">E2569*A2569</f>
        <v>-8.8528687207683286E-3</v>
      </c>
      <c r="G2569" s="415"/>
      <c r="H2569" s="415" t="str">
        <f>VLOOKUP(B2569,indexy!$A$44:$D$823,3,FALSE)</f>
        <v>MO UN Equity</v>
      </c>
      <c r="I2569" s="422">
        <f>+(((E2611*100)+100)-I2568)/100</f>
        <v>8.3002035630298537E-2</v>
      </c>
    </row>
    <row r="2570" spans="1:18" ht="12.75" hidden="1" customHeight="1" outlineLevel="1" x14ac:dyDescent="0.25">
      <c r="A2570" s="1911">
        <v>0.03</v>
      </c>
      <c r="B2570" s="2035" t="s">
        <v>805</v>
      </c>
      <c r="C2570" s="2037">
        <v>103.004</v>
      </c>
      <c r="D2570" s="2063">
        <f>VLOOKUP(H2570,indexy!$C$44:$D$823,2,FALSE)</f>
        <v>132.25</v>
      </c>
      <c r="E2570" s="2064">
        <f t="shared" ref="E2570:E2597" si="35">D2570/C2570-1</f>
        <v>0.28393072113704321</v>
      </c>
      <c r="F2570" s="2065">
        <f t="shared" si="34"/>
        <v>8.5179216341112959E-3</v>
      </c>
      <c r="G2570" s="415"/>
      <c r="H2570" s="415" t="str">
        <f>VLOOKUP(B2570,indexy!$A$44:$D$823,3,FALSE)</f>
        <v>BMO CT Equity</v>
      </c>
      <c r="J2570" s="434"/>
    </row>
    <row r="2571" spans="1:18" ht="12.75" hidden="1" customHeight="1" outlineLevel="1" x14ac:dyDescent="0.25">
      <c r="A2571" s="1911">
        <v>0.04</v>
      </c>
      <c r="B2571" s="2035" t="s">
        <v>5748</v>
      </c>
      <c r="C2571" s="2037">
        <v>72.864999999999995</v>
      </c>
      <c r="D2571" s="2063">
        <f>VLOOKUP(H2571,indexy!$C$44:$D$823,2,FALSE)</f>
        <v>70.069999999999993</v>
      </c>
      <c r="E2571" s="2064">
        <f t="shared" si="35"/>
        <v>-3.8358608385370196E-2</v>
      </c>
      <c r="F2571" s="2065">
        <f t="shared" si="34"/>
        <v>-1.5343443354148079E-3</v>
      </c>
      <c r="G2571" s="415"/>
      <c r="H2571" s="415" t="str">
        <f>VLOOKUP(B2571,indexy!$A$44:$D$823,3,FALSE)</f>
        <v>BNS CT Equity</v>
      </c>
      <c r="J2571" s="434"/>
      <c r="K2571" s="37"/>
    </row>
    <row r="2572" spans="1:18" ht="12.75" hidden="1" customHeight="1" outlineLevel="1" x14ac:dyDescent="0.25">
      <c r="A2572" s="1911">
        <v>0.08</v>
      </c>
      <c r="B2572" s="2035" t="s">
        <v>807</v>
      </c>
      <c r="C2572" s="2037">
        <v>59.085000000000001</v>
      </c>
      <c r="D2572" s="2063">
        <f>VLOOKUP(H2572,indexy!$C$44:$D$823,2,FALSE)</f>
        <v>46.03</v>
      </c>
      <c r="E2572" s="2064">
        <f t="shared" si="35"/>
        <v>-0.22095286451722096</v>
      </c>
      <c r="F2572" s="2065">
        <f t="shared" si="34"/>
        <v>-1.7676229161377677E-2</v>
      </c>
      <c r="G2572" s="415"/>
      <c r="H2572" s="415" t="str">
        <f>VLOOKUP(B2572,indexy!$A$44:$D$823,3,FALSE)</f>
        <v>BCE CT Equity</v>
      </c>
      <c r="J2572" s="434"/>
    </row>
    <row r="2573" spans="1:18" ht="12.75" hidden="1" customHeight="1" outlineLevel="1" x14ac:dyDescent="0.25">
      <c r="A2573" s="1911">
        <v>0.02</v>
      </c>
      <c r="B2573" s="2035" t="s">
        <v>4377</v>
      </c>
      <c r="C2573" s="2037">
        <v>50.365000000000002</v>
      </c>
      <c r="D2573" s="2063">
        <f>VLOOKUP(H2573,indexy!$C$44:$D$823,2,FALSE)</f>
        <v>54.23</v>
      </c>
      <c r="E2573" s="2064">
        <f t="shared" si="35"/>
        <v>7.6739799463913405E-2</v>
      </c>
      <c r="F2573" s="2065">
        <f t="shared" si="34"/>
        <v>1.5347959892782681E-3</v>
      </c>
      <c r="G2573" s="415"/>
      <c r="H2573" s="415" t="str">
        <f>VLOOKUP(B2573,indexy!$A$44:$D$823,3,FALSE)</f>
        <v>BMY UN Equity</v>
      </c>
      <c r="J2573" s="434"/>
    </row>
    <row r="2574" spans="1:18" ht="12.75" hidden="1" customHeight="1" outlineLevel="1" x14ac:dyDescent="0.25">
      <c r="A2574" s="1911">
        <v>7.0000000000000007E-2</v>
      </c>
      <c r="B2574" s="2035" t="s">
        <v>3954</v>
      </c>
      <c r="C2574" s="2037">
        <f>112.498/2</f>
        <v>56.249000000000002</v>
      </c>
      <c r="D2574" s="2063">
        <f>VLOOKUP(H2574,indexy!$C$44:$D$823,2,FALSE)</f>
        <v>68.67</v>
      </c>
      <c r="E2574" s="2064">
        <f t="shared" si="35"/>
        <v>0.22082170349695107</v>
      </c>
      <c r="F2574" s="2065">
        <f t="shared" si="34"/>
        <v>1.5457519244786576E-2</v>
      </c>
      <c r="G2574" s="415"/>
      <c r="H2574" s="415" t="str">
        <f>VLOOKUP(B2574,indexy!$A$44:$D$823,3,FALSE)</f>
        <v>CM CT Equity</v>
      </c>
      <c r="J2574" s="434"/>
    </row>
    <row r="2575" spans="1:18" ht="12.75" hidden="1" customHeight="1" outlineLevel="1" x14ac:dyDescent="0.25">
      <c r="A2575" s="1911">
        <v>0.02</v>
      </c>
      <c r="B2575" s="2035" t="s">
        <v>581</v>
      </c>
      <c r="C2575" s="2037">
        <v>124.151</v>
      </c>
      <c r="D2575" s="2063">
        <f>VLOOKUP(H2575,indexy!$C$44:$D$823,2,FALSE)</f>
        <v>157.74</v>
      </c>
      <c r="E2575" s="2064">
        <f t="shared" si="35"/>
        <v>0.27054957269776336</v>
      </c>
      <c r="F2575" s="2065">
        <f t="shared" si="34"/>
        <v>5.410991453955267E-3</v>
      </c>
      <c r="G2575" s="415"/>
      <c r="H2575" s="415" t="str">
        <f>VLOOKUP(B2575,indexy!$A$44:$D$823,3,FALSE)</f>
        <v>CVX UN Equity</v>
      </c>
      <c r="J2575" s="434"/>
    </row>
    <row r="2576" spans="1:18" ht="12.75" hidden="1" customHeight="1" outlineLevel="1" x14ac:dyDescent="0.25">
      <c r="A2576" s="1911">
        <v>0.02</v>
      </c>
      <c r="B2576" s="2035" t="s">
        <v>9512</v>
      </c>
      <c r="C2576" s="2037">
        <v>123.813</v>
      </c>
      <c r="D2576" s="2063">
        <f>VLOOKUP(H2576,indexy!$C$44:$D$823,2,FALSE)</f>
        <v>105.83</v>
      </c>
      <c r="E2576" s="2064">
        <f t="shared" si="35"/>
        <v>-0.14524322970931969</v>
      </c>
      <c r="F2576" s="2065">
        <f t="shared" si="34"/>
        <v>-2.9048645941863937E-3</v>
      </c>
      <c r="G2576" s="415"/>
      <c r="H2576" s="415" t="str">
        <f>VLOOKUP(B2576,indexy!$A$44:$D$823,3,FALSE)</f>
        <v>CCI UN Equity</v>
      </c>
      <c r="J2576" s="434"/>
    </row>
    <row r="2577" spans="1:10" ht="12.75" hidden="1" customHeight="1" outlineLevel="1" x14ac:dyDescent="0.25">
      <c r="A2577" s="1911">
        <v>0.03</v>
      </c>
      <c r="B2577" s="2035" t="s">
        <v>9591</v>
      </c>
      <c r="C2577" s="2037">
        <v>76.122</v>
      </c>
      <c r="D2577" s="2063">
        <f>VLOOKUP(H2577,indexy!$C$44:$D$823,2,FALSE)</f>
        <v>49.19</v>
      </c>
      <c r="E2577" s="2064">
        <f t="shared" si="35"/>
        <v>-0.35380047817976412</v>
      </c>
      <c r="F2577" s="2065">
        <f t="shared" si="34"/>
        <v>-1.0614014345392924E-2</v>
      </c>
      <c r="G2577" s="415"/>
      <c r="H2577" s="415" t="str">
        <f>VLOOKUP(B2577,indexy!$A$44:$D$823,3,FALSE)</f>
        <v>D UN Equity</v>
      </c>
      <c r="J2577" s="434"/>
    </row>
    <row r="2578" spans="1:10" ht="12.75" hidden="1" customHeight="1" outlineLevel="1" x14ac:dyDescent="0.25">
      <c r="A2578" s="1911">
        <v>0.04</v>
      </c>
      <c r="B2578" s="2035" t="s">
        <v>1231</v>
      </c>
      <c r="C2578" s="2037">
        <v>90.078000000000003</v>
      </c>
      <c r="D2578" s="2063">
        <f>VLOOKUP(H2578,indexy!$C$44:$D$823,2,FALSE)</f>
        <v>96.71</v>
      </c>
      <c r="E2578" s="2064">
        <f t="shared" si="35"/>
        <v>7.3625080485801186E-2</v>
      </c>
      <c r="F2578" s="2065">
        <f t="shared" si="34"/>
        <v>2.9450032194320475E-3</v>
      </c>
      <c r="G2578" s="415"/>
      <c r="H2578" s="415" t="str">
        <f>VLOOKUP(B2578,indexy!$A$44:$D$823,3,FALSE)</f>
        <v>DUK UN Equity</v>
      </c>
      <c r="J2578" s="434"/>
    </row>
    <row r="2579" spans="1:10" ht="12.75" hidden="1" customHeight="1" outlineLevel="1" x14ac:dyDescent="0.25">
      <c r="A2579" s="1911">
        <v>7.0000000000000007E-2</v>
      </c>
      <c r="B2579" s="2035" t="s">
        <v>7855</v>
      </c>
      <c r="C2579" s="2037">
        <v>48.994</v>
      </c>
      <c r="D2579" s="2063">
        <f>VLOOKUP(H2579,indexy!$C$44:$D$823,2,FALSE)</f>
        <v>48.95</v>
      </c>
      <c r="E2579" s="2064">
        <f t="shared" si="35"/>
        <v>-8.9806915132462084E-4</v>
      </c>
      <c r="F2579" s="2065">
        <f t="shared" si="34"/>
        <v>-6.2864840592723466E-5</v>
      </c>
      <c r="G2579" s="415"/>
      <c r="H2579" s="415" t="str">
        <f>VLOOKUP(B2579,indexy!$A$44:$D$823,3,FALSE)</f>
        <v>ENB CT Equity</v>
      </c>
      <c r="J2579" s="434"/>
    </row>
    <row r="2580" spans="1:10" ht="12.75" hidden="1" customHeight="1" outlineLevel="1" x14ac:dyDescent="0.25">
      <c r="A2580" s="1911">
        <v>0.02</v>
      </c>
      <c r="B2580" s="2035" t="s">
        <v>52</v>
      </c>
      <c r="C2580" s="2038">
        <v>138.352</v>
      </c>
      <c r="D2580" s="2063">
        <f>VLOOKUP(H2580,indexy!$C$44:$D$823,2,FALSE)</f>
        <v>190.96</v>
      </c>
      <c r="E2580" s="2064">
        <f t="shared" si="35"/>
        <v>0.3802474846767665</v>
      </c>
      <c r="F2580" s="2065">
        <f t="shared" si="34"/>
        <v>7.6049496935353305E-3</v>
      </c>
      <c r="G2580" s="415"/>
      <c r="H2580" s="415" t="str">
        <f>VLOOKUP(B2580,indexy!$A$44:$D$823,3,FALSE)</f>
        <v>IBM UN Equity</v>
      </c>
      <c r="J2580" s="434"/>
    </row>
    <row r="2581" spans="1:10" ht="12.75" hidden="1" customHeight="1" outlineLevel="1" x14ac:dyDescent="0.25">
      <c r="A2581" s="1911">
        <v>0.02</v>
      </c>
      <c r="B2581" s="2035" t="s">
        <v>1381</v>
      </c>
      <c r="C2581" s="2037">
        <v>118.262</v>
      </c>
      <c r="D2581" s="2063">
        <f>VLOOKUP(H2581,indexy!$C$44:$D$823,2,FALSE)</f>
        <v>129.35</v>
      </c>
      <c r="E2581" s="2064">
        <f t="shared" si="35"/>
        <v>9.3757927313929956E-2</v>
      </c>
      <c r="F2581" s="2065">
        <f t="shared" si="34"/>
        <v>1.8751585462785992E-3</v>
      </c>
      <c r="G2581" s="415"/>
      <c r="H2581" s="415" t="str">
        <f>VLOOKUP(B2581,indexy!$A$44:$D$823,3,FALSE)</f>
        <v>KMB UN Equity</v>
      </c>
      <c r="J2581" s="434"/>
    </row>
    <row r="2582" spans="1:10" ht="12.75" hidden="1" customHeight="1" outlineLevel="1" x14ac:dyDescent="0.25">
      <c r="A2582" s="1911">
        <v>0.02</v>
      </c>
      <c r="B2582" s="2035" t="s">
        <v>6707</v>
      </c>
      <c r="C2582" s="2037">
        <v>19.928999999999998</v>
      </c>
      <c r="D2582" s="2063">
        <f>VLOOKUP(H2582,indexy!$C$44:$D$823,2,FALSE)</f>
        <v>18.34</v>
      </c>
      <c r="E2582" s="2064">
        <f t="shared" si="35"/>
        <v>-7.9733052335791976E-2</v>
      </c>
      <c r="F2582" s="2065">
        <f t="shared" si="34"/>
        <v>-1.5946610467158396E-3</v>
      </c>
      <c r="G2582" s="415"/>
      <c r="H2582" s="415" t="str">
        <f>VLOOKUP(B2582,indexy!$A$44:$D$823,3,FALSE)</f>
        <v>KMI UN Equity</v>
      </c>
      <c r="J2582" s="434"/>
    </row>
    <row r="2583" spans="1:10" ht="12.75" hidden="1" customHeight="1" outlineLevel="1" x14ac:dyDescent="0.25">
      <c r="A2583" s="1911">
        <v>0.02</v>
      </c>
      <c r="B2583" s="2035" t="s">
        <v>7573</v>
      </c>
      <c r="C2583" s="2037">
        <v>32.058999999999997</v>
      </c>
      <c r="D2583" s="2063">
        <f>VLOOKUP(H2583,indexy!$C$44:$D$823,2,FALSE)</f>
        <v>36.9</v>
      </c>
      <c r="E2583" s="2064">
        <f t="shared" si="35"/>
        <v>0.15100283851648522</v>
      </c>
      <c r="F2583" s="2065">
        <f t="shared" si="34"/>
        <v>3.0200567703297042E-3</v>
      </c>
      <c r="G2583" s="415"/>
      <c r="H2583" s="415" t="str">
        <f>VLOOKUP(B2583,indexy!$A$44:$D$823,3,FALSE)</f>
        <v>KHC UW Equity</v>
      </c>
      <c r="J2583" s="434"/>
    </row>
    <row r="2584" spans="1:10" ht="12.75" hidden="1" customHeight="1" outlineLevel="1" x14ac:dyDescent="0.25">
      <c r="A2584" s="1911">
        <v>0.04</v>
      </c>
      <c r="B2584" s="2035" t="s">
        <v>123</v>
      </c>
      <c r="C2584" s="2037">
        <v>22.718</v>
      </c>
      <c r="D2584" s="2063">
        <f>VLOOKUP(H2584,indexy!$C$44:$D$823,2,FALSE)</f>
        <v>33.83</v>
      </c>
      <c r="E2584" s="2064">
        <f t="shared" si="35"/>
        <v>0.48912756404613078</v>
      </c>
      <c r="F2584" s="2065">
        <f t="shared" si="34"/>
        <v>1.9565102561845231E-2</v>
      </c>
      <c r="G2584" s="415"/>
      <c r="H2584" s="415" t="str">
        <f>VLOOKUP(B2584,indexy!$A$44:$D$823,3,FALSE)</f>
        <v>MFC CT Equity</v>
      </c>
      <c r="J2584" s="434"/>
    </row>
    <row r="2585" spans="1:10" ht="12.75" hidden="1" customHeight="1" outlineLevel="1" x14ac:dyDescent="0.25">
      <c r="A2585" s="1911">
        <v>0.02</v>
      </c>
      <c r="B2585" s="2035" t="s">
        <v>9514</v>
      </c>
      <c r="C2585" s="2037">
        <v>71.372</v>
      </c>
      <c r="D2585" s="2063">
        <f>VLOOKUP(H2585,indexy!$C$44:$D$823,2,FALSE)</f>
        <v>73.59</v>
      </c>
      <c r="E2585" s="2064">
        <f t="shared" si="35"/>
        <v>3.1076612677240378E-2</v>
      </c>
      <c r="F2585" s="2065">
        <f t="shared" si="34"/>
        <v>6.215322535448076E-4</v>
      </c>
      <c r="G2585" s="415"/>
      <c r="H2585" s="415" t="str">
        <f>VLOOKUP(B2585,indexy!$A$44:$D$823,3,FALSE)</f>
        <v>NTR CT Equity</v>
      </c>
      <c r="J2585" s="434"/>
    </row>
    <row r="2586" spans="1:10" ht="12.75" hidden="1" customHeight="1" outlineLevel="1" x14ac:dyDescent="0.25">
      <c r="A2586" s="1911">
        <v>0.02</v>
      </c>
      <c r="B2586" s="2035" t="s">
        <v>4</v>
      </c>
      <c r="C2586" s="2037">
        <v>65.271000000000001</v>
      </c>
      <c r="D2586" s="2063">
        <f>VLOOKUP(H2586,indexy!$C$44:$D$823,2,FALSE)</f>
        <v>64.989999999999995</v>
      </c>
      <c r="E2586" s="2064">
        <f t="shared" si="35"/>
        <v>-4.3051278515727764E-3</v>
      </c>
      <c r="F2586" s="2065">
        <f t="shared" si="34"/>
        <v>-8.6102557031455531E-5</v>
      </c>
      <c r="G2586" s="415"/>
      <c r="H2586" s="415" t="str">
        <f>VLOOKUP(B2586,indexy!$A$44:$D$823,3,FALSE)</f>
        <v>OXY UN Equity</v>
      </c>
      <c r="J2586" s="434"/>
    </row>
    <row r="2587" spans="1:10" ht="12.75" hidden="1" customHeight="1" outlineLevel="1" x14ac:dyDescent="0.25">
      <c r="A2587" s="1911">
        <v>0.03</v>
      </c>
      <c r="B2587" s="2035" t="s">
        <v>3793</v>
      </c>
      <c r="C2587" s="2037">
        <v>89.456999999999994</v>
      </c>
      <c r="D2587" s="2063">
        <f>VLOOKUP(H2587,indexy!$C$44:$D$823,2,FALSE)</f>
        <v>91.62</v>
      </c>
      <c r="E2587" s="2064">
        <f t="shared" si="35"/>
        <v>2.4179214594721721E-2</v>
      </c>
      <c r="F2587" s="2065">
        <f t="shared" si="34"/>
        <v>7.2537643784165162E-4</v>
      </c>
      <c r="G2587" s="415"/>
      <c r="H2587" s="415" t="str">
        <f>VLOOKUP(B2587,indexy!$A$44:$D$823,3,FALSE)</f>
        <v>PM UN Equity</v>
      </c>
      <c r="J2587" s="434"/>
    </row>
    <row r="2588" spans="1:10" ht="12.75" hidden="1" customHeight="1" outlineLevel="1" x14ac:dyDescent="0.25">
      <c r="A2588" s="1911">
        <v>0.02</v>
      </c>
      <c r="B2588" s="2035" t="s">
        <v>9833</v>
      </c>
      <c r="C2588" s="2037">
        <v>217.50200000000001</v>
      </c>
      <c r="D2588" s="2063">
        <f>VLOOKUP(H2588,indexy!$C$44:$D$823,2,FALSE)</f>
        <v>290.06</v>
      </c>
      <c r="E2588" s="2064">
        <f t="shared" si="35"/>
        <v>0.3335969324420005</v>
      </c>
      <c r="F2588" s="2065">
        <f t="shared" si="34"/>
        <v>6.67193864884001E-3</v>
      </c>
      <c r="G2588" s="415"/>
      <c r="H2588" s="415" t="str">
        <f>VLOOKUP(B2588,indexy!$A$44:$D$823,3,FALSE)</f>
        <v>PSA UN Equity</v>
      </c>
      <c r="J2588" s="434"/>
    </row>
    <row r="2589" spans="1:10" ht="12.75" hidden="1" customHeight="1" outlineLevel="1" x14ac:dyDescent="0.25">
      <c r="A2589" s="1911">
        <v>0.03</v>
      </c>
      <c r="B2589" s="2035" t="s">
        <v>2728</v>
      </c>
      <c r="C2589" s="2037">
        <v>103.13500000000001</v>
      </c>
      <c r="D2589" s="2063">
        <f>VLOOKUP(H2589,indexy!$C$44:$D$823,2,FALSE)</f>
        <v>136.62</v>
      </c>
      <c r="E2589" s="2064">
        <f t="shared" si="35"/>
        <v>0.32467154700150291</v>
      </c>
      <c r="F2589" s="2065">
        <f t="shared" si="34"/>
        <v>9.7401464100450863E-3</v>
      </c>
      <c r="G2589" s="415"/>
      <c r="H2589" s="415" t="str">
        <f>VLOOKUP(B2589,indexy!$A$44:$D$823,3,FALSE)</f>
        <v>RY CT Equity</v>
      </c>
      <c r="J2589" s="434"/>
    </row>
    <row r="2590" spans="1:10" ht="12.75" hidden="1" customHeight="1" outlineLevel="1" x14ac:dyDescent="0.25">
      <c r="A2590" s="1911">
        <v>0.02</v>
      </c>
      <c r="B2590" s="2035" t="s">
        <v>8210</v>
      </c>
      <c r="C2590" s="2037">
        <v>175.91</v>
      </c>
      <c r="D2590" s="2063">
        <f>VLOOKUP(H2590,indexy!$C$44:$D$823,2,FALSE)</f>
        <v>156.49</v>
      </c>
      <c r="E2590" s="2064">
        <f t="shared" si="35"/>
        <v>-0.11039736228753327</v>
      </c>
      <c r="F2590" s="2065">
        <f t="shared" si="34"/>
        <v>-2.2079472457506655E-3</v>
      </c>
      <c r="G2590" s="415"/>
      <c r="H2590" s="415" t="str">
        <f>VLOOKUP(B2590,indexy!$A$44:$D$823,3,FALSE)</f>
        <v>SPG UN Equity</v>
      </c>
      <c r="J2590" s="434"/>
    </row>
    <row r="2591" spans="1:10" ht="12.75" hidden="1" customHeight="1" outlineLevel="1" x14ac:dyDescent="0.25">
      <c r="A2591" s="1911">
        <v>0.08</v>
      </c>
      <c r="B2591" s="2035" t="s">
        <v>3427</v>
      </c>
      <c r="C2591" s="2037">
        <v>51.353999999999999</v>
      </c>
      <c r="D2591" s="2063">
        <f>VLOOKUP(H2591,indexy!$C$44:$D$823,2,FALSE)</f>
        <v>71.739999999999995</v>
      </c>
      <c r="E2591" s="2064">
        <f t="shared" si="35"/>
        <v>0.39697005101842109</v>
      </c>
      <c r="F2591" s="2065">
        <f t="shared" si="34"/>
        <v>3.1757604081473691E-2</v>
      </c>
      <c r="G2591" s="415"/>
      <c r="H2591" s="415" t="str">
        <f>VLOOKUP(B2591,indexy!$A$44:$D$823,3,FALSE)</f>
        <v>SO UN Equity</v>
      </c>
      <c r="J2591" s="434"/>
    </row>
    <row r="2592" spans="1:10" ht="12.75" hidden="1" customHeight="1" outlineLevel="1" x14ac:dyDescent="0.25">
      <c r="A2592" s="1911">
        <v>0.02</v>
      </c>
      <c r="B2592" s="2035" t="s">
        <v>8702</v>
      </c>
      <c r="C2592" s="2037">
        <v>44.911999999999999</v>
      </c>
      <c r="D2592" s="2063">
        <f>VLOOKUP(H2592,indexy!$C$44:$D$823,2,FALSE)</f>
        <v>49.99</v>
      </c>
      <c r="E2592" s="2064">
        <f t="shared" si="35"/>
        <v>0.11306555040969002</v>
      </c>
      <c r="F2592" s="2065">
        <f t="shared" si="34"/>
        <v>2.2613110081938005E-3</v>
      </c>
      <c r="G2592" s="415"/>
      <c r="H2592" s="415" t="str">
        <f>VLOOKUP(B2592,indexy!$A$44:$D$823,3,FALSE)</f>
        <v>SU CT Equity</v>
      </c>
      <c r="J2592" s="434"/>
    </row>
    <row r="2593" spans="1:10" ht="12.75" hidden="1" customHeight="1" outlineLevel="1" x14ac:dyDescent="0.25">
      <c r="A2593" s="1911">
        <v>0.02</v>
      </c>
      <c r="B2593" s="2035" t="s">
        <v>1142</v>
      </c>
      <c r="C2593" s="2037">
        <v>45.606999999999999</v>
      </c>
      <c r="D2593" s="2063">
        <f>VLOOKUP(H2593,indexy!$C$44:$D$823,2,FALSE)</f>
        <v>61.18</v>
      </c>
      <c r="E2593" s="2064">
        <f t="shared" si="35"/>
        <v>0.34146074067577348</v>
      </c>
      <c r="F2593" s="2065">
        <f>E2593*A2593</f>
        <v>6.8292148135154695E-3</v>
      </c>
      <c r="G2593" s="415"/>
      <c r="H2593" s="415" t="str">
        <f>VLOOKUP(B2593,indexy!$A$44:$D$823,3,FALSE)</f>
        <v>KO UN Equity</v>
      </c>
      <c r="J2593" s="434"/>
    </row>
    <row r="2594" spans="1:10" ht="12.75" hidden="1" customHeight="1" outlineLevel="1" x14ac:dyDescent="0.25">
      <c r="A2594" s="1911">
        <v>0.02</v>
      </c>
      <c r="B2594" s="2035" t="s">
        <v>3626</v>
      </c>
      <c r="C2594" s="2037">
        <v>75.311000000000007</v>
      </c>
      <c r="D2594" s="2063">
        <f>VLOOKUP(H2594,indexy!$C$44:$D$946,2,FALSE)</f>
        <v>81.75</v>
      </c>
      <c r="E2594" s="2064">
        <f t="shared" si="35"/>
        <v>8.5498798316314906E-2</v>
      </c>
      <c r="F2594" s="2065">
        <f>E2594*A2594</f>
        <v>1.7099759663262981E-3</v>
      </c>
      <c r="G2594" s="415"/>
      <c r="H2594" s="415" t="str">
        <f>VLOOKUP(B2594,indexy!$A$44:$D$946,3,FALSE)</f>
        <v>TD CT Equity</v>
      </c>
      <c r="J2594" s="434"/>
    </row>
    <row r="2595" spans="1:10" ht="12.75" hidden="1" customHeight="1" outlineLevel="1" x14ac:dyDescent="0.25">
      <c r="A2595" s="1911">
        <v>0.08</v>
      </c>
      <c r="B2595" s="2035" t="s">
        <v>366</v>
      </c>
      <c r="C2595" s="2037">
        <v>60.37</v>
      </c>
      <c r="D2595" s="2063">
        <f>VLOOKUP(H2595,indexy!$C$44:$D$823,2,FALSE)</f>
        <v>54.44</v>
      </c>
      <c r="E2595" s="2064">
        <f t="shared" si="35"/>
        <v>-9.8227596488322022E-2</v>
      </c>
      <c r="F2595" s="2065">
        <f>E2595*A2595</f>
        <v>-7.8582077190657625E-3</v>
      </c>
      <c r="G2595" s="415"/>
      <c r="H2595" s="415" t="str">
        <f>VLOOKUP(B2595,indexy!$A$44:$D$823,3,FALSE)</f>
        <v>TRP CT Equity</v>
      </c>
      <c r="J2595" s="434"/>
    </row>
    <row r="2596" spans="1:10" ht="12.75" hidden="1" customHeight="1" outlineLevel="1" x14ac:dyDescent="0.25">
      <c r="A2596" s="1911">
        <v>0.02</v>
      </c>
      <c r="B2596" s="2035" t="s">
        <v>255</v>
      </c>
      <c r="C2596" s="2037">
        <v>57.508000000000003</v>
      </c>
      <c r="D2596" s="2063">
        <f>VLOOKUP(H2596,indexy!$C$44:$D$823,2,FALSE)</f>
        <v>41.96</v>
      </c>
      <c r="E2596" s="2064">
        <f t="shared" si="35"/>
        <v>-0.27036238436391458</v>
      </c>
      <c r="F2596" s="2065">
        <f>E2596*A2596</f>
        <v>-5.407247687278292E-3</v>
      </c>
      <c r="G2596" s="415"/>
      <c r="H2596" s="415" t="str">
        <f>VLOOKUP(B2596,indexy!$A$44:$D$823,3,FALSE)</f>
        <v>VZ UN Equity</v>
      </c>
      <c r="J2596" s="434"/>
    </row>
    <row r="2597" spans="1:10" ht="12.75" hidden="1" customHeight="1" outlineLevel="1" x14ac:dyDescent="0.25">
      <c r="A2597" s="1911">
        <v>0.02</v>
      </c>
      <c r="B2597" s="2036" t="s">
        <v>9518</v>
      </c>
      <c r="C2597" s="2037">
        <v>27.602</v>
      </c>
      <c r="D2597" s="2066">
        <f>VLOOKUP(H2597,indexy!$C$44:$D$823,2,FALSE)</f>
        <v>38.97</v>
      </c>
      <c r="E2597" s="2064">
        <f t="shared" si="35"/>
        <v>0.4118542134627925</v>
      </c>
      <c r="F2597" s="2065">
        <f>E2597*A2597</f>
        <v>8.2370842692558507E-3</v>
      </c>
      <c r="G2597" s="415"/>
      <c r="H2597" s="415" t="str">
        <f>VLOOKUP(B2597,indexy!$A$44:$D$823,3,FALSE)</f>
        <v>WMB UN Equity</v>
      </c>
      <c r="J2597" s="434"/>
    </row>
    <row r="2598" spans="1:10" ht="12.75" hidden="1" customHeight="1" outlineLevel="1" x14ac:dyDescent="0.25">
      <c r="A2598" s="2048" t="s">
        <v>2734</v>
      </c>
      <c r="B2598" s="2049"/>
      <c r="C2598" s="2050">
        <v>100</v>
      </c>
      <c r="D2598" s="2051"/>
      <c r="E2598" s="2059"/>
      <c r="F2598" s="2059">
        <f>SUM(F2568:F2597)</f>
        <v>0.10151148551271634</v>
      </c>
      <c r="G2598" s="415"/>
      <c r="H2598" s="415"/>
    </row>
    <row r="2599" spans="1:10" ht="12.75" hidden="1" customHeight="1" outlineLevel="1" x14ac:dyDescent="0.25">
      <c r="A2599" s="2053" t="s">
        <v>9835</v>
      </c>
      <c r="B2599" s="2054">
        <v>45170</v>
      </c>
      <c r="C2599" s="2055">
        <v>100</v>
      </c>
      <c r="D2599" s="2055">
        <v>99.206199999999995</v>
      </c>
      <c r="E2599" s="2056">
        <f>IF(D2599="",F2598,D2599/C2599-1)</f>
        <v>-7.9380000000000006E-3</v>
      </c>
      <c r="F2599" s="2072"/>
      <c r="G2599" s="415"/>
      <c r="H2599" s="415"/>
    </row>
    <row r="2600" spans="1:10" ht="12.75" hidden="1" customHeight="1" outlineLevel="1" x14ac:dyDescent="0.25">
      <c r="A2600" s="2053" t="s">
        <v>9836</v>
      </c>
      <c r="B2600" s="2054">
        <v>45200</v>
      </c>
      <c r="C2600" s="2055">
        <v>100</v>
      </c>
      <c r="D2600" s="2058">
        <v>96.338200000000001</v>
      </c>
      <c r="E2600" s="2056">
        <f>IF(D2600="",E2599,D2600/C2600-1)</f>
        <v>-3.6618000000000039E-2</v>
      </c>
      <c r="F2600" s="2072"/>
      <c r="G2600" s="415"/>
      <c r="H2600" s="415"/>
    </row>
    <row r="2601" spans="1:10" ht="12.75" hidden="1" customHeight="1" outlineLevel="1" x14ac:dyDescent="0.25">
      <c r="A2601" s="2053" t="s">
        <v>9837</v>
      </c>
      <c r="B2601" s="2054">
        <v>45231</v>
      </c>
      <c r="C2601" s="2055">
        <v>100</v>
      </c>
      <c r="D2601" s="2058">
        <v>102.4182</v>
      </c>
      <c r="E2601" s="2056">
        <f>IF(D2601="",E2600,D2601/C2601-1)</f>
        <v>2.4181999999999926E-2</v>
      </c>
      <c r="F2601" s="2072"/>
      <c r="G2601" s="415"/>
      <c r="H2601" s="415"/>
    </row>
    <row r="2602" spans="1:10" ht="12.75" hidden="1" customHeight="1" outlineLevel="1" x14ac:dyDescent="0.25">
      <c r="A2602" s="2053" t="s">
        <v>9838</v>
      </c>
      <c r="B2602" s="2054">
        <v>45261</v>
      </c>
      <c r="C2602" s="2055">
        <v>100</v>
      </c>
      <c r="D2602" s="2058">
        <v>106.1653</v>
      </c>
      <c r="E2602" s="2056">
        <f>IF(D2602="",E2601,D2602/C2602-1)</f>
        <v>6.1652999999999958E-2</v>
      </c>
      <c r="F2602" s="2072"/>
      <c r="G2602" s="415"/>
      <c r="H2602" s="415"/>
    </row>
    <row r="2603" spans="1:10" ht="12.75" hidden="1" customHeight="1" outlineLevel="1" x14ac:dyDescent="0.25">
      <c r="A2603" s="2053" t="s">
        <v>9839</v>
      </c>
      <c r="B2603" s="2054">
        <v>45292</v>
      </c>
      <c r="C2603" s="2055">
        <v>100</v>
      </c>
      <c r="D2603" s="2058">
        <v>105.55589999999999</v>
      </c>
      <c r="E2603" s="2056">
        <f t="shared" ref="E2603:E2605" si="36">IF(D2603="",E2602,D2603/C2603-1)</f>
        <v>5.5558999999999914E-2</v>
      </c>
      <c r="F2603" s="2072"/>
      <c r="G2603" s="415"/>
      <c r="H2603" s="415"/>
    </row>
    <row r="2604" spans="1:10" ht="12.75" hidden="1" customHeight="1" outlineLevel="1" x14ac:dyDescent="0.25">
      <c r="A2604" s="2053" t="s">
        <v>9840</v>
      </c>
      <c r="B2604" s="2054">
        <v>45323</v>
      </c>
      <c r="C2604" s="2055">
        <v>100</v>
      </c>
      <c r="D2604" s="2058">
        <v>106.34220000000001</v>
      </c>
      <c r="E2604" s="2056">
        <f t="shared" si="36"/>
        <v>6.3422000000000089E-2</v>
      </c>
      <c r="F2604" s="2072"/>
      <c r="G2604" s="415"/>
      <c r="H2604" s="415"/>
    </row>
    <row r="2605" spans="1:10" ht="12.75" hidden="1" customHeight="1" outlineLevel="1" x14ac:dyDescent="0.25">
      <c r="A2605" s="2053" t="s">
        <v>9841</v>
      </c>
      <c r="B2605" s="2054">
        <v>45352</v>
      </c>
      <c r="C2605" s="2055">
        <v>100</v>
      </c>
      <c r="D2605" s="2058">
        <v>110.4995</v>
      </c>
      <c r="E2605" s="2056">
        <f t="shared" si="36"/>
        <v>0.10499499999999995</v>
      </c>
      <c r="F2605" s="2072"/>
      <c r="G2605" s="415"/>
      <c r="H2605" s="415"/>
    </row>
    <row r="2606" spans="1:10" ht="12.75" hidden="1" customHeight="1" outlineLevel="1" x14ac:dyDescent="0.25">
      <c r="A2606" s="2053" t="s">
        <v>9842</v>
      </c>
      <c r="B2606" s="2054">
        <v>45383</v>
      </c>
      <c r="C2606" s="2055">
        <v>100</v>
      </c>
      <c r="D2606" s="2058"/>
      <c r="E2606" s="2056">
        <f>IF(D2606="",$F$2598,D2606/C2606-1)</f>
        <v>0.10151148551271634</v>
      </c>
      <c r="F2606" s="2072"/>
      <c r="G2606" s="415"/>
      <c r="H2606" s="415"/>
    </row>
    <row r="2607" spans="1:10" ht="12.75" hidden="1" customHeight="1" outlineLevel="1" x14ac:dyDescent="0.25">
      <c r="A2607" s="2053" t="s">
        <v>9843</v>
      </c>
      <c r="B2607" s="2054">
        <v>45413</v>
      </c>
      <c r="C2607" s="2055">
        <v>100</v>
      </c>
      <c r="D2607" s="2058"/>
      <c r="E2607" s="2056">
        <f>IF(D2607="",$F$2598,D2607/C2607-1)</f>
        <v>0.10151148551271634</v>
      </c>
      <c r="F2607" s="2072"/>
      <c r="G2607" s="415"/>
      <c r="H2607" s="415"/>
    </row>
    <row r="2608" spans="1:10" ht="12.75" hidden="1" customHeight="1" outlineLevel="1" x14ac:dyDescent="0.25">
      <c r="A2608" s="2053" t="s">
        <v>9844</v>
      </c>
      <c r="B2608" s="2054">
        <v>45444</v>
      </c>
      <c r="C2608" s="2055">
        <v>100</v>
      </c>
      <c r="D2608" s="2058"/>
      <c r="E2608" s="2056">
        <f>IF(D2608="",$F$2598,D2608/C2608-1)</f>
        <v>0.10151148551271634</v>
      </c>
      <c r="F2608" s="2072"/>
      <c r="G2608" s="415"/>
      <c r="H2608" s="415"/>
    </row>
    <row r="2609" spans="1:18" ht="12.75" hidden="1" customHeight="1" outlineLevel="1" x14ac:dyDescent="0.25">
      <c r="A2609" s="2053" t="s">
        <v>9845</v>
      </c>
      <c r="B2609" s="2054">
        <v>45474</v>
      </c>
      <c r="C2609" s="2055">
        <v>100</v>
      </c>
      <c r="D2609" s="2058"/>
      <c r="E2609" s="2056">
        <f>IF(D2609="",$F$2598,D2609/C2609-1)</f>
        <v>0.10151148551271634</v>
      </c>
      <c r="F2609" s="2072"/>
      <c r="G2609" s="415"/>
      <c r="H2609" s="415"/>
    </row>
    <row r="2610" spans="1:18" ht="12.75" hidden="1" customHeight="1" outlineLevel="1" x14ac:dyDescent="0.25">
      <c r="A2610" s="2053" t="s">
        <v>9846</v>
      </c>
      <c r="B2610" s="2054">
        <v>45505</v>
      </c>
      <c r="C2610" s="2055">
        <v>100</v>
      </c>
      <c r="D2610" s="2058"/>
      <c r="E2610" s="2056">
        <f>IF(D2610="",$F$2598,D2610/C2610-1)</f>
        <v>0.10151148551271634</v>
      </c>
      <c r="F2610" s="2072"/>
      <c r="G2610" s="415"/>
      <c r="H2610" s="415"/>
    </row>
    <row r="2611" spans="1:18" s="444" customFormat="1" ht="12.75" hidden="1" customHeight="1" outlineLevel="1" x14ac:dyDescent="0.25">
      <c r="A2611" s="2067" t="s">
        <v>2734</v>
      </c>
      <c r="B2611" s="2068"/>
      <c r="C2611" s="2058"/>
      <c r="D2611" s="2069" t="s">
        <v>2465</v>
      </c>
      <c r="E2611" s="2070">
        <f>AVERAGE(E2599:E2610)</f>
        <v>6.4401035630298462E-2</v>
      </c>
      <c r="F2611" s="2071">
        <f>((((E2611*100)+100)-I2568)/100)</f>
        <v>8.3002035630298537E-2</v>
      </c>
    </row>
    <row r="2612" spans="1:18" collapsed="1" x14ac:dyDescent="0.25">
      <c r="A2612" s="3799" t="s">
        <v>9741</v>
      </c>
      <c r="B2612" s="3800"/>
      <c r="C2612" s="3800"/>
      <c r="D2612" s="3800"/>
      <c r="E2612" s="18"/>
      <c r="F2612" s="186">
        <f>MAX(0%,MIN(F2611,100%))</f>
        <v>8.3002035630298537E-2</v>
      </c>
      <c r="G2612" s="415"/>
    </row>
    <row r="2614" spans="1:18" ht="12.75" hidden="1" customHeight="1" outlineLevel="1" x14ac:dyDescent="0.25">
      <c r="A2614" s="1677" t="s">
        <v>4156</v>
      </c>
      <c r="B2614" s="1677" t="s">
        <v>4153</v>
      </c>
      <c r="C2614" s="1623" t="s">
        <v>112</v>
      </c>
      <c r="D2614" s="1678" t="s">
        <v>4155</v>
      </c>
      <c r="E2614" s="1677" t="s">
        <v>4154</v>
      </c>
      <c r="F2614" s="1678" t="s">
        <v>2519</v>
      </c>
      <c r="G2614" s="12"/>
      <c r="H2614" s="415"/>
      <c r="I2614" s="412" t="s">
        <v>6964</v>
      </c>
      <c r="J2614" s="1462">
        <v>43586</v>
      </c>
      <c r="K2614" s="1462">
        <v>43617</v>
      </c>
      <c r="L2614" s="1462">
        <v>43647</v>
      </c>
      <c r="M2614" s="1462">
        <v>43678</v>
      </c>
      <c r="N2614" s="1462">
        <v>43709</v>
      </c>
      <c r="O2614" s="1462">
        <v>43739</v>
      </c>
      <c r="P2614" s="1462">
        <v>43770</v>
      </c>
      <c r="Q2614" s="1462">
        <v>43800</v>
      </c>
      <c r="R2614" s="1462">
        <v>43831</v>
      </c>
    </row>
    <row r="2615" spans="1:18" ht="12.75" hidden="1" customHeight="1" outlineLevel="1" x14ac:dyDescent="0.25">
      <c r="A2615" s="2034">
        <v>0.03</v>
      </c>
      <c r="B2615" s="2035" t="s">
        <v>7111</v>
      </c>
      <c r="C2615" s="2037">
        <v>81.241</v>
      </c>
      <c r="D2615" s="2060">
        <f>VLOOKUP(H2615,indexy!$C$44:$D$823,2,FALSE)</f>
        <v>182.1</v>
      </c>
      <c r="E2615" s="2061">
        <f>D2615/C2615-1</f>
        <v>1.2414790561416034</v>
      </c>
      <c r="F2615" s="2062">
        <f>E2615*A2615</f>
        <v>3.7244371684248101E-2</v>
      </c>
      <c r="G2615" s="415"/>
      <c r="H2615" s="415" t="str">
        <f>VLOOKUP(B2615,indexy!$A$44:$D$823,3,FALSE)</f>
        <v>ABBV UN Equity</v>
      </c>
      <c r="I2615" s="412">
        <f>IF(J2615="",100,MIN(100,J2615:Y2615))</f>
        <v>95.694599999999994</v>
      </c>
      <c r="J2615">
        <v>101.0361</v>
      </c>
      <c r="K2615">
        <v>95.694599999999994</v>
      </c>
      <c r="L2615">
        <v>98.591800000000006</v>
      </c>
      <c r="M2615">
        <v>96.949799999999996</v>
      </c>
      <c r="N2615">
        <v>96.805999999999997</v>
      </c>
      <c r="O2615">
        <v>99.430099999999996</v>
      </c>
      <c r="P2615">
        <v>100.8019</v>
      </c>
      <c r="Q2615">
        <v>100.7482</v>
      </c>
      <c r="R2615">
        <v>101.5378</v>
      </c>
    </row>
    <row r="2616" spans="1:18" ht="12.75" hidden="1" customHeight="1" outlineLevel="1" x14ac:dyDescent="0.25">
      <c r="A2616" s="1911">
        <v>0.06</v>
      </c>
      <c r="B2616" s="2035" t="s">
        <v>805</v>
      </c>
      <c r="C2616" s="2037">
        <v>103.248</v>
      </c>
      <c r="D2616" s="2063">
        <f>VLOOKUP(H2616,indexy!$C$44:$D$823,2,FALSE)</f>
        <v>132.25</v>
      </c>
      <c r="E2616" s="2064">
        <f>D2616/C2616-1</f>
        <v>0.28089648225631492</v>
      </c>
      <c r="F2616" s="2065">
        <f t="shared" ref="F2616:F2639" si="37">E2616*A2616</f>
        <v>1.6853788935378894E-2</v>
      </c>
      <c r="G2616" s="415"/>
      <c r="H2616" s="415" t="str">
        <f>VLOOKUP(B2616,indexy!$A$44:$D$823,3,FALSE)</f>
        <v>BMO CT Equity</v>
      </c>
      <c r="I2616" s="422">
        <f>+(((E2658*100)+100)-I2615)/100</f>
        <v>0.18274325000000005</v>
      </c>
    </row>
    <row r="2617" spans="1:18" ht="12.75" hidden="1" customHeight="1" outlineLevel="1" x14ac:dyDescent="0.25">
      <c r="A2617" s="1911">
        <v>0.08</v>
      </c>
      <c r="B2617" s="2035" t="s">
        <v>5748</v>
      </c>
      <c r="C2617" s="2037">
        <v>71.864000000000004</v>
      </c>
      <c r="D2617" s="2063">
        <f>VLOOKUP(H2617,indexy!$C$44:$D$823,2,FALSE)</f>
        <v>70.069999999999993</v>
      </c>
      <c r="E2617" s="2064">
        <f t="shared" ref="E2617:E2644" si="38">D2617/C2617-1</f>
        <v>-2.496382054992774E-2</v>
      </c>
      <c r="F2617" s="2065">
        <f t="shared" si="37"/>
        <v>-1.9971056439942194E-3</v>
      </c>
      <c r="G2617" s="415"/>
      <c r="H2617" s="415" t="str">
        <f>VLOOKUP(B2617,indexy!$A$44:$D$823,3,FALSE)</f>
        <v>BNS CT Equity</v>
      </c>
      <c r="J2617" s="434"/>
    </row>
    <row r="2618" spans="1:18" ht="12.75" hidden="1" customHeight="1" outlineLevel="1" x14ac:dyDescent="0.25">
      <c r="A2618" s="1911">
        <v>0.08</v>
      </c>
      <c r="B2618" s="2035" t="s">
        <v>807</v>
      </c>
      <c r="C2618" s="2037">
        <v>60.210999999999999</v>
      </c>
      <c r="D2618" s="2063">
        <f>VLOOKUP(H2618,indexy!$C$44:$D$823,2,FALSE)</f>
        <v>46.03</v>
      </c>
      <c r="E2618" s="2064">
        <f t="shared" si="38"/>
        <v>-0.23552174851771268</v>
      </c>
      <c r="F2618" s="2065">
        <f t="shared" si="37"/>
        <v>-1.8841739881417015E-2</v>
      </c>
      <c r="G2618" s="415"/>
      <c r="H2618" s="415" t="str">
        <f>VLOOKUP(B2618,indexy!$A$44:$D$823,3,FALSE)</f>
        <v>BCE CT Equity</v>
      </c>
      <c r="J2618" s="434"/>
      <c r="K2618" s="37"/>
    </row>
    <row r="2619" spans="1:18" ht="12.75" hidden="1" customHeight="1" outlineLevel="1" x14ac:dyDescent="0.25">
      <c r="A2619" s="1911">
        <v>0.02</v>
      </c>
      <c r="B2619" s="2035" t="s">
        <v>9244</v>
      </c>
      <c r="C2619" s="2037">
        <v>312.02100000000002</v>
      </c>
      <c r="D2619" s="2063">
        <f>VLOOKUP(H2619,indexy!$C$44:$D$823,2,FALSE)</f>
        <v>1325.41</v>
      </c>
      <c r="E2619" s="2064">
        <f t="shared" si="38"/>
        <v>3.2478230631912597</v>
      </c>
      <c r="F2619" s="2065">
        <f t="shared" si="37"/>
        <v>6.4956461263825191E-2</v>
      </c>
      <c r="G2619" s="415"/>
      <c r="H2619" s="415" t="str">
        <f>VLOOKUP(B2619,indexy!$A$44:$D$823,3,FALSE)</f>
        <v>AVGO UW Equity</v>
      </c>
      <c r="J2619" s="434"/>
    </row>
    <row r="2620" spans="1:18" ht="12.75" hidden="1" customHeight="1" outlineLevel="1" x14ac:dyDescent="0.25">
      <c r="A2620" s="1911">
        <v>0.05</v>
      </c>
      <c r="B2620" s="2035" t="s">
        <v>3954</v>
      </c>
      <c r="C2620" s="2037">
        <f>109.942/2</f>
        <v>54.970999999999997</v>
      </c>
      <c r="D2620" s="2063">
        <f>VLOOKUP(H2620,indexy!$C$44:$D$823,2,FALSE)</f>
        <v>68.67</v>
      </c>
      <c r="E2620" s="2064">
        <f t="shared" si="38"/>
        <v>0.24920412581179185</v>
      </c>
      <c r="F2620" s="2065">
        <f t="shared" si="37"/>
        <v>1.2460206290589594E-2</v>
      </c>
      <c r="G2620" s="415"/>
      <c r="H2620" s="415" t="str">
        <f>VLOOKUP(B2620,indexy!$A$44:$D$823,3,FALSE)</f>
        <v>CM CT Equity</v>
      </c>
      <c r="J2620" s="434"/>
    </row>
    <row r="2621" spans="1:18" ht="12.75" hidden="1" customHeight="1" outlineLevel="1" x14ac:dyDescent="0.25">
      <c r="A2621" s="1911">
        <v>0.02</v>
      </c>
      <c r="B2621" s="2035" t="s">
        <v>581</v>
      </c>
      <c r="C2621" s="2037">
        <v>123.13200000000001</v>
      </c>
      <c r="D2621" s="2063">
        <f>VLOOKUP(H2621,indexy!$C$44:$D$823,2,FALSE)</f>
        <v>157.74</v>
      </c>
      <c r="E2621" s="2064">
        <f t="shared" si="38"/>
        <v>0.2810642237598675</v>
      </c>
      <c r="F2621" s="2065">
        <f t="shared" si="37"/>
        <v>5.62128447519735E-3</v>
      </c>
      <c r="G2621" s="415"/>
      <c r="H2621" s="415" t="str">
        <f>VLOOKUP(B2621,indexy!$A$44:$D$823,3,FALSE)</f>
        <v>CVX UN Equity</v>
      </c>
      <c r="J2621" s="434"/>
    </row>
    <row r="2622" spans="1:18" ht="12.75" hidden="1" customHeight="1" outlineLevel="1" x14ac:dyDescent="0.25">
      <c r="A2622" s="1911">
        <v>0.02</v>
      </c>
      <c r="B2622" s="2035" t="s">
        <v>9512</v>
      </c>
      <c r="C2622" s="2037">
        <v>127.40900000000001</v>
      </c>
      <c r="D2622" s="2063">
        <f>VLOOKUP(H2622,indexy!$C$44:$D$823,2,FALSE)</f>
        <v>105.83</v>
      </c>
      <c r="E2622" s="2064">
        <f t="shared" si="38"/>
        <v>-0.16936794104027197</v>
      </c>
      <c r="F2622" s="2065">
        <f t="shared" si="37"/>
        <v>-3.3873588208054397E-3</v>
      </c>
      <c r="G2622" s="415"/>
      <c r="H2622" s="415" t="str">
        <f>VLOOKUP(B2622,indexy!$A$44:$D$823,3,FALSE)</f>
        <v>CCI UN Equity</v>
      </c>
      <c r="J2622" s="434"/>
    </row>
    <row r="2623" spans="1:18" ht="12.75" hidden="1" customHeight="1" outlineLevel="1" x14ac:dyDescent="0.25">
      <c r="A2623" s="1911">
        <v>0.08</v>
      </c>
      <c r="B2623" s="2035" t="s">
        <v>9591</v>
      </c>
      <c r="C2623" s="2037">
        <v>76.108000000000004</v>
      </c>
      <c r="D2623" s="2063">
        <f>VLOOKUP(H2623,indexy!$C$44:$D$823,2,FALSE)</f>
        <v>49.19</v>
      </c>
      <c r="E2623" s="2064">
        <f t="shared" si="38"/>
        <v>-0.35368161034319656</v>
      </c>
      <c r="F2623" s="2065">
        <f t="shared" si="37"/>
        <v>-2.8294528827455725E-2</v>
      </c>
      <c r="G2623" s="415"/>
      <c r="H2623" s="415" t="str">
        <f>VLOOKUP(B2623,indexy!$A$44:$D$823,3,FALSE)</f>
        <v>D UN Equity</v>
      </c>
      <c r="J2623" s="434"/>
    </row>
    <row r="2624" spans="1:18" ht="12.75" hidden="1" customHeight="1" outlineLevel="1" x14ac:dyDescent="0.25">
      <c r="A2624" s="1911">
        <v>0.06</v>
      </c>
      <c r="B2624" s="2035" t="s">
        <v>1231</v>
      </c>
      <c r="C2624" s="2037">
        <v>89.927000000000007</v>
      </c>
      <c r="D2624" s="2063">
        <f>VLOOKUP(H2624,indexy!$C$44:$D$823,2,FALSE)</f>
        <v>96.71</v>
      </c>
      <c r="E2624" s="2064">
        <f t="shared" si="38"/>
        <v>7.5427847031480866E-2</v>
      </c>
      <c r="F2624" s="2065">
        <f t="shared" si="37"/>
        <v>4.525670821888852E-3</v>
      </c>
      <c r="G2624" s="415"/>
      <c r="H2624" s="415" t="str">
        <f>VLOOKUP(B2624,indexy!$A$44:$D$823,3,FALSE)</f>
        <v>DUK UN Equity</v>
      </c>
      <c r="J2624" s="434"/>
    </row>
    <row r="2625" spans="1:10" ht="12.75" hidden="1" customHeight="1" outlineLevel="1" x14ac:dyDescent="0.25">
      <c r="A2625" s="1911">
        <v>0.03</v>
      </c>
      <c r="B2625" s="2035" t="s">
        <v>7855</v>
      </c>
      <c r="C2625" s="2037">
        <v>49.545999999999999</v>
      </c>
      <c r="D2625" s="2063">
        <f>VLOOKUP(H2625,indexy!$C$44:$D$823,2,FALSE)</f>
        <v>48.95</v>
      </c>
      <c r="E2625" s="2064">
        <f t="shared" si="38"/>
        <v>-1.2029225366326224E-2</v>
      </c>
      <c r="F2625" s="2065">
        <f t="shared" si="37"/>
        <v>-3.6087676098978669E-4</v>
      </c>
      <c r="G2625" s="415"/>
      <c r="H2625" s="415" t="str">
        <f>VLOOKUP(B2625,indexy!$A$44:$D$823,3,FALSE)</f>
        <v>ENB CT Equity</v>
      </c>
      <c r="J2625" s="434"/>
    </row>
    <row r="2626" spans="1:10" ht="12.75" hidden="1" customHeight="1" outlineLevel="1" x14ac:dyDescent="0.25">
      <c r="A2626" s="1911">
        <v>0.02</v>
      </c>
      <c r="B2626" s="2035" t="s">
        <v>3425</v>
      </c>
      <c r="C2626" s="2037">
        <v>81.626000000000005</v>
      </c>
      <c r="D2626" s="2063">
        <f>VLOOKUP(H2626,indexy!$C$44:$D$823,2,FALSE)</f>
        <v>116.24</v>
      </c>
      <c r="E2626" s="2064">
        <f t="shared" si="38"/>
        <v>0.4240560605689363</v>
      </c>
      <c r="F2626" s="2065">
        <f t="shared" si="37"/>
        <v>8.4811212113787265E-3</v>
      </c>
      <c r="G2626" s="415"/>
      <c r="H2626" s="415" t="str">
        <f>VLOOKUP(B2626,indexy!$A$44:$D$823,3,FALSE)</f>
        <v>XOM UN Equity</v>
      </c>
      <c r="J2626" s="434"/>
    </row>
    <row r="2627" spans="1:10" ht="12.75" hidden="1" customHeight="1" outlineLevel="1" x14ac:dyDescent="0.25">
      <c r="A2627" s="1911">
        <v>0.02</v>
      </c>
      <c r="B2627" s="2035" t="s">
        <v>5943</v>
      </c>
      <c r="C2627" s="2038">
        <v>9.3670000000000009</v>
      </c>
      <c r="D2627" s="2063">
        <f>VLOOKUP(H2627,indexy!$C$44:$D$823,2,FALSE)</f>
        <v>13.28</v>
      </c>
      <c r="E2627" s="2064">
        <f t="shared" si="38"/>
        <v>0.41774314081349395</v>
      </c>
      <c r="F2627" s="2065">
        <f t="shared" si="37"/>
        <v>8.3548628162698792E-3</v>
      </c>
      <c r="G2627" s="415"/>
      <c r="H2627" s="415" t="str">
        <f>VLOOKUP(B2627,indexy!$A$44:$D$823,3,FALSE)</f>
        <v>F UN Equity</v>
      </c>
      <c r="J2627" s="434"/>
    </row>
    <row r="2628" spans="1:10" ht="12.75" hidden="1" customHeight="1" outlineLevel="1" x14ac:dyDescent="0.25">
      <c r="A2628" s="1911">
        <v>0.04</v>
      </c>
      <c r="B2628" s="2035" t="s">
        <v>52</v>
      </c>
      <c r="C2628" s="2037">
        <v>142.84100000000001</v>
      </c>
      <c r="D2628" s="2063">
        <f>VLOOKUP(H2628,indexy!$C$44:$D$823,2,FALSE)</f>
        <v>190.96</v>
      </c>
      <c r="E2628" s="2064">
        <f t="shared" si="38"/>
        <v>0.33687106643050657</v>
      </c>
      <c r="F2628" s="2065">
        <f t="shared" si="37"/>
        <v>1.3474842657220263E-2</v>
      </c>
      <c r="G2628" s="415"/>
      <c r="H2628" s="415" t="str">
        <f>VLOOKUP(B2628,indexy!$A$44:$D$823,3,FALSE)</f>
        <v>IBM UN Equity</v>
      </c>
      <c r="J2628" s="434"/>
    </row>
    <row r="2629" spans="1:10" ht="12.75" hidden="1" customHeight="1" outlineLevel="1" x14ac:dyDescent="0.25">
      <c r="A2629" s="1911">
        <v>0.02</v>
      </c>
      <c r="B2629" s="2035" t="s">
        <v>1381</v>
      </c>
      <c r="C2629" s="2037">
        <v>122.563</v>
      </c>
      <c r="D2629" s="2063">
        <f>VLOOKUP(H2629,indexy!$C$44:$D$823,2,FALSE)</f>
        <v>129.35</v>
      </c>
      <c r="E2629" s="2064">
        <f t="shared" si="38"/>
        <v>5.5375602751237984E-2</v>
      </c>
      <c r="F2629" s="2065">
        <f t="shared" si="37"/>
        <v>1.1075120550247597E-3</v>
      </c>
      <c r="G2629" s="415"/>
      <c r="H2629" s="415" t="str">
        <f>VLOOKUP(B2629,indexy!$A$44:$D$823,3,FALSE)</f>
        <v>KMB UN Equity</v>
      </c>
      <c r="J2629" s="434"/>
    </row>
    <row r="2630" spans="1:10" ht="12.75" hidden="1" customHeight="1" outlineLevel="1" x14ac:dyDescent="0.25">
      <c r="A2630" s="1911">
        <v>0.02</v>
      </c>
      <c r="B2630" s="2035" t="s">
        <v>7573</v>
      </c>
      <c r="C2630" s="2037">
        <v>33.037999999999997</v>
      </c>
      <c r="D2630" s="2063">
        <f>VLOOKUP(H2630,indexy!$C$44:$D$823,2,FALSE)</f>
        <v>36.9</v>
      </c>
      <c r="E2630" s="2064">
        <f t="shared" si="38"/>
        <v>0.1168956958653673</v>
      </c>
      <c r="F2630" s="2065">
        <f t="shared" si="37"/>
        <v>2.337913917307346E-3</v>
      </c>
      <c r="G2630" s="415"/>
      <c r="H2630" s="415" t="str">
        <f>VLOOKUP(B2630,indexy!$A$44:$D$823,3,FALSE)</f>
        <v>KHC UW Equity</v>
      </c>
      <c r="J2630" s="434"/>
    </row>
    <row r="2631" spans="1:10" ht="12.75" hidden="1" customHeight="1" outlineLevel="1" x14ac:dyDescent="0.25">
      <c r="A2631" s="1911">
        <v>0.02</v>
      </c>
      <c r="B2631" s="2035" t="s">
        <v>6897</v>
      </c>
      <c r="C2631" s="2037">
        <v>66.710999999999999</v>
      </c>
      <c r="D2631" s="2063">
        <f>VLOOKUP(H2631,indexy!$C$44:$D$823,2,FALSE)</f>
        <v>51.7</v>
      </c>
      <c r="E2631" s="2064">
        <f t="shared" si="38"/>
        <v>-0.22501536478241968</v>
      </c>
      <c r="F2631" s="2065">
        <f t="shared" si="37"/>
        <v>-4.5003072956483941E-3</v>
      </c>
      <c r="G2631" s="415"/>
      <c r="H2631" s="415" t="str">
        <f>VLOOKUP(B2631,indexy!$A$44:$D$823,3,FALSE)</f>
        <v>LVS UN Equity</v>
      </c>
      <c r="J2631" s="434"/>
    </row>
    <row r="2632" spans="1:10" ht="12.75" hidden="1" customHeight="1" outlineLevel="1" x14ac:dyDescent="0.25">
      <c r="A2632" s="1911">
        <v>0.02</v>
      </c>
      <c r="B2632" s="2035" t="s">
        <v>123</v>
      </c>
      <c r="C2632" s="2037">
        <v>24.084</v>
      </c>
      <c r="D2632" s="2063">
        <f>VLOOKUP(H2632,indexy!$C$44:$D$823,2,FALSE)</f>
        <v>33.83</v>
      </c>
      <c r="E2632" s="2064">
        <f t="shared" si="38"/>
        <v>0.40466699883740231</v>
      </c>
      <c r="F2632" s="2065">
        <f t="shared" si="37"/>
        <v>8.0933399767480468E-3</v>
      </c>
      <c r="G2632" s="415"/>
      <c r="H2632" s="415" t="str">
        <f>VLOOKUP(B2632,indexy!$A$44:$D$823,3,FALSE)</f>
        <v>MFC CT Equity</v>
      </c>
      <c r="J2632" s="434"/>
    </row>
    <row r="2633" spans="1:10" ht="12.75" hidden="1" customHeight="1" outlineLevel="1" x14ac:dyDescent="0.25">
      <c r="A2633" s="1911">
        <v>0.02</v>
      </c>
      <c r="B2633" s="2035" t="s">
        <v>7838</v>
      </c>
      <c r="C2633" s="2037">
        <v>45.290999999999997</v>
      </c>
      <c r="D2633" s="2063">
        <f>VLOOKUP(H2633,indexy!$C$44:$D$823,2,FALSE)</f>
        <v>74.11</v>
      </c>
      <c r="E2633" s="2064">
        <f t="shared" si="38"/>
        <v>0.63630743414806479</v>
      </c>
      <c r="F2633" s="2065">
        <f t="shared" si="37"/>
        <v>1.2726148682961297E-2</v>
      </c>
      <c r="G2633" s="415"/>
      <c r="H2633" s="415" t="str">
        <f>VLOOKUP(B2633,indexy!$A$44:$D$823,3,FALSE)</f>
        <v>MET UN Equity</v>
      </c>
      <c r="J2633" s="434"/>
    </row>
    <row r="2634" spans="1:10" ht="12.75" hidden="1" customHeight="1" outlineLevel="1" x14ac:dyDescent="0.25">
      <c r="A2634" s="1911">
        <v>0.02</v>
      </c>
      <c r="B2634" s="2035" t="s">
        <v>4</v>
      </c>
      <c r="C2634" s="2037">
        <v>65.488</v>
      </c>
      <c r="D2634" s="2063">
        <f>VLOOKUP(H2634,indexy!$C$44:$D$823,2,FALSE)</f>
        <v>64.989999999999995</v>
      </c>
      <c r="E2634" s="2064">
        <f t="shared" si="38"/>
        <v>-7.6044466161739876E-3</v>
      </c>
      <c r="F2634" s="2065">
        <f t="shared" si="37"/>
        <v>-1.5208893232347977E-4</v>
      </c>
      <c r="G2634" s="415"/>
      <c r="H2634" s="415" t="str">
        <f>VLOOKUP(B2634,indexy!$A$44:$D$823,3,FALSE)</f>
        <v>OXY UN Equity</v>
      </c>
      <c r="J2634" s="434"/>
    </row>
    <row r="2635" spans="1:10" ht="12.75" hidden="1" customHeight="1" outlineLevel="1" x14ac:dyDescent="0.25">
      <c r="A2635" s="1911">
        <v>0.02</v>
      </c>
      <c r="B2635" s="2035" t="s">
        <v>1204</v>
      </c>
      <c r="C2635" s="2037">
        <v>123.19</v>
      </c>
      <c r="D2635" s="2063">
        <f>VLOOKUP(H2635,indexy!$C$44:$D$823,2,FALSE)</f>
        <v>175.01</v>
      </c>
      <c r="E2635" s="2064">
        <f t="shared" si="38"/>
        <v>0.42065102686906397</v>
      </c>
      <c r="F2635" s="2065">
        <f t="shared" si="37"/>
        <v>8.4130205373812803E-3</v>
      </c>
      <c r="G2635" s="415"/>
      <c r="H2635" s="415" t="str">
        <f>VLOOKUP(B2635,indexy!$A$44:$D$823,3,FALSE)</f>
        <v>PEP UW Equity</v>
      </c>
      <c r="J2635" s="434"/>
    </row>
    <row r="2636" spans="1:10" ht="12.75" hidden="1" customHeight="1" outlineLevel="1" x14ac:dyDescent="0.25">
      <c r="A2636" s="1911">
        <v>0.02</v>
      </c>
      <c r="B2636" s="2035" t="s">
        <v>6559</v>
      </c>
      <c r="C2636" s="2037">
        <v>62.896999999999998</v>
      </c>
      <c r="D2636" s="2063">
        <f>VLOOKUP(H2636,indexy!$C$44:$D$823,2,FALSE)</f>
        <v>169.3</v>
      </c>
      <c r="E2636" s="2064">
        <f t="shared" si="38"/>
        <v>1.6917023069462775</v>
      </c>
      <c r="F2636" s="2065">
        <f t="shared" si="37"/>
        <v>3.3834046138925551E-2</v>
      </c>
      <c r="G2636" s="415"/>
      <c r="H2636" s="415" t="str">
        <f>VLOOKUP(B2636,indexy!$A$44:$D$823,3,FALSE)</f>
        <v>QCOM UW Equity</v>
      </c>
      <c r="J2636" s="434"/>
    </row>
    <row r="2637" spans="1:10" ht="12.75" hidden="1" customHeight="1" outlineLevel="1" x14ac:dyDescent="0.25">
      <c r="A2637" s="1911">
        <v>0.04</v>
      </c>
      <c r="B2637" s="2035" t="s">
        <v>2728</v>
      </c>
      <c r="C2637" s="2037">
        <v>104.64</v>
      </c>
      <c r="D2637" s="2063">
        <f>VLOOKUP(H2637,indexy!$C$44:$D$823,2,FALSE)</f>
        <v>136.62</v>
      </c>
      <c r="E2637" s="2064">
        <f t="shared" si="38"/>
        <v>0.30561926605504586</v>
      </c>
      <c r="F2637" s="2065">
        <f t="shared" si="37"/>
        <v>1.2224770642201835E-2</v>
      </c>
      <c r="G2637" s="415"/>
      <c r="H2637" s="415" t="str">
        <f>VLOOKUP(B2637,indexy!$A$44:$D$823,3,FALSE)</f>
        <v>RY CT Equity</v>
      </c>
      <c r="J2637" s="434"/>
    </row>
    <row r="2638" spans="1:10" ht="12.75" hidden="1" customHeight="1" outlineLevel="1" x14ac:dyDescent="0.25">
      <c r="A2638" s="1911">
        <v>0.02</v>
      </c>
      <c r="B2638" s="2035" t="s">
        <v>162</v>
      </c>
      <c r="C2638" s="2037">
        <v>45.997</v>
      </c>
      <c r="D2638" s="2063">
        <f>VLOOKUP(H2638,indexy!$C$44:$D$823,2,FALSE)</f>
        <v>54.81</v>
      </c>
      <c r="E2638" s="2064">
        <f t="shared" si="38"/>
        <v>0.19159945213818297</v>
      </c>
      <c r="F2638" s="2065">
        <f t="shared" si="37"/>
        <v>3.8319890427636594E-3</v>
      </c>
      <c r="G2638" s="415"/>
      <c r="H2638" s="415" t="str">
        <f>VLOOKUP(B2638,indexy!$A$44:$D$823,3,FALSE)</f>
        <v>SLB UN Equity</v>
      </c>
      <c r="J2638" s="434"/>
    </row>
    <row r="2639" spans="1:10" ht="12.75" hidden="1" customHeight="1" outlineLevel="1" x14ac:dyDescent="0.25">
      <c r="A2639" s="1911">
        <v>0.04</v>
      </c>
      <c r="B2639" s="2035" t="s">
        <v>8210</v>
      </c>
      <c r="C2639" s="2037">
        <v>182.25800000000001</v>
      </c>
      <c r="D2639" s="2063">
        <f>VLOOKUP(H2639,indexy!$C$44:$D$823,2,FALSE)</f>
        <v>156.49</v>
      </c>
      <c r="E2639" s="2064">
        <f t="shared" si="38"/>
        <v>-0.14138199694937947</v>
      </c>
      <c r="F2639" s="2065">
        <f t="shared" si="37"/>
        <v>-5.6552798779751787E-3</v>
      </c>
      <c r="G2639" s="415"/>
      <c r="H2639" s="415" t="str">
        <f>VLOOKUP(B2639,indexy!$A$44:$D$823,3,FALSE)</f>
        <v>SPG UN Equity</v>
      </c>
      <c r="J2639" s="434"/>
    </row>
    <row r="2640" spans="1:10" ht="12.75" hidden="1" customHeight="1" outlineLevel="1" x14ac:dyDescent="0.25">
      <c r="A2640" s="1911">
        <v>0.02</v>
      </c>
      <c r="B2640" s="2035" t="s">
        <v>8702</v>
      </c>
      <c r="C2640" s="2037">
        <v>44.238999999999997</v>
      </c>
      <c r="D2640" s="2063">
        <f>VLOOKUP(H2640,indexy!$C$44:$D$823,2,FALSE)</f>
        <v>49.99</v>
      </c>
      <c r="E2640" s="2064">
        <f t="shared" si="38"/>
        <v>0.12999841768575249</v>
      </c>
      <c r="F2640" s="2065">
        <f>E2640*A2640</f>
        <v>2.5999683537150497E-3</v>
      </c>
      <c r="G2640" s="415"/>
      <c r="H2640" s="415" t="str">
        <f>VLOOKUP(B2640,indexy!$A$44:$D$823,3,FALSE)</f>
        <v>SU CT Equity</v>
      </c>
      <c r="J2640" s="434"/>
    </row>
    <row r="2641" spans="1:10" ht="12.75" hidden="1" customHeight="1" outlineLevel="1" x14ac:dyDescent="0.25">
      <c r="A2641" s="1911">
        <v>0.03</v>
      </c>
      <c r="B2641" s="2035" t="s">
        <v>1142</v>
      </c>
      <c r="C2641" s="2037">
        <v>46.848999999999997</v>
      </c>
      <c r="D2641" s="2063">
        <f>VLOOKUP(H2641,indexy!$C$44:$D$946,2,FALSE)</f>
        <v>61.18</v>
      </c>
      <c r="E2641" s="2064">
        <f t="shared" si="38"/>
        <v>0.30589767124164879</v>
      </c>
      <c r="F2641" s="2065">
        <f>E2641*A2641</f>
        <v>9.1769301372494633E-3</v>
      </c>
      <c r="G2641" s="415"/>
      <c r="H2641" s="415" t="str">
        <f>VLOOKUP(B2641,indexy!$A$44:$D$946,3,FALSE)</f>
        <v>KO UN Equity</v>
      </c>
      <c r="J2641" s="434"/>
    </row>
    <row r="2642" spans="1:10" ht="12.75" hidden="1" customHeight="1" outlineLevel="1" x14ac:dyDescent="0.25">
      <c r="A2642" s="1911">
        <v>0.02</v>
      </c>
      <c r="B2642" s="2035" t="s">
        <v>3626</v>
      </c>
      <c r="C2642" s="2037">
        <v>74.730999999999995</v>
      </c>
      <c r="D2642" s="2063">
        <f>VLOOKUP(H2642,indexy!$C$44:$D$823,2,FALSE)</f>
        <v>81.75</v>
      </c>
      <c r="E2642" s="2064">
        <f t="shared" si="38"/>
        <v>9.3923539093548891E-2</v>
      </c>
      <c r="F2642" s="2065">
        <f>E2642*A2642</f>
        <v>1.8784707818709778E-3</v>
      </c>
      <c r="G2642" s="415"/>
      <c r="H2642" s="415" t="str">
        <f>VLOOKUP(B2642,indexy!$A$44:$D$823,3,FALSE)</f>
        <v>TD CT Equity</v>
      </c>
      <c r="J2642" s="434"/>
    </row>
    <row r="2643" spans="1:10" ht="12.75" hidden="1" customHeight="1" outlineLevel="1" x14ac:dyDescent="0.25">
      <c r="A2643" s="1911">
        <v>0.02</v>
      </c>
      <c r="B2643" s="2035" t="s">
        <v>366</v>
      </c>
      <c r="C2643" s="2037">
        <v>61.933999999999997</v>
      </c>
      <c r="D2643" s="2063">
        <f>VLOOKUP(H2643,indexy!$C$44:$D$823,2,FALSE)</f>
        <v>54.44</v>
      </c>
      <c r="E2643" s="2064">
        <f t="shared" si="38"/>
        <v>-0.12099977395291761</v>
      </c>
      <c r="F2643" s="2065">
        <f>E2643*A2643</f>
        <v>-2.4199954790583523E-3</v>
      </c>
      <c r="G2643" s="415"/>
      <c r="H2643" s="415" t="str">
        <f>VLOOKUP(B2643,indexy!$A$44:$D$823,3,FALSE)</f>
        <v>TRP CT Equity</v>
      </c>
      <c r="J2643" s="434"/>
    </row>
    <row r="2644" spans="1:10" ht="12.75" hidden="1" customHeight="1" outlineLevel="1" x14ac:dyDescent="0.25">
      <c r="A2644" s="1911">
        <v>0.04</v>
      </c>
      <c r="B2644" s="2036" t="s">
        <v>255</v>
      </c>
      <c r="C2644" s="2037">
        <v>58.585000000000001</v>
      </c>
      <c r="D2644" s="2066">
        <f>VLOOKUP(H2644,indexy!$C$44:$D$823,2,FALSE)</f>
        <v>41.96</v>
      </c>
      <c r="E2644" s="2064">
        <f t="shared" si="38"/>
        <v>-0.28377571050610229</v>
      </c>
      <c r="F2644" s="2065">
        <f>E2644*A2644</f>
        <v>-1.1351028420244092E-2</v>
      </c>
      <c r="G2644" s="415"/>
      <c r="H2644" s="415" t="str">
        <f>VLOOKUP(B2644,indexy!$A$44:$D$823,3,FALSE)</f>
        <v>VZ UN Equity</v>
      </c>
      <c r="J2644" s="434"/>
    </row>
    <row r="2645" spans="1:10" ht="12.75" hidden="1" customHeight="1" outlineLevel="1" x14ac:dyDescent="0.25">
      <c r="A2645" s="2048" t="s">
        <v>2734</v>
      </c>
      <c r="B2645" s="2049"/>
      <c r="C2645" s="2050">
        <v>100</v>
      </c>
      <c r="D2645" s="2051"/>
      <c r="E2645" s="2059"/>
      <c r="F2645" s="2059">
        <f>SUM(F2615:F2644)</f>
        <v>0.19123641048223439</v>
      </c>
      <c r="G2645" s="415"/>
      <c r="H2645" s="415"/>
    </row>
    <row r="2646" spans="1:10" ht="12.75" hidden="1" customHeight="1" outlineLevel="1" x14ac:dyDescent="0.25">
      <c r="A2646" s="2053" t="s">
        <v>9937</v>
      </c>
      <c r="B2646" s="2054">
        <v>45200</v>
      </c>
      <c r="C2646" s="2055">
        <v>100</v>
      </c>
      <c r="D2646" s="2055">
        <v>98.7149</v>
      </c>
      <c r="E2646" s="2056">
        <f>IF(D2646="",F2645,D2646/C2646-1)</f>
        <v>-1.2850999999999946E-2</v>
      </c>
      <c r="F2646" s="2072"/>
      <c r="G2646" s="415"/>
      <c r="H2646" s="415"/>
    </row>
    <row r="2647" spans="1:10" ht="12.75" hidden="1" customHeight="1" outlineLevel="1" x14ac:dyDescent="0.25">
      <c r="A2647" s="2053" t="s">
        <v>9938</v>
      </c>
      <c r="B2647" s="2054">
        <v>45231</v>
      </c>
      <c r="C2647" s="2055">
        <v>100</v>
      </c>
      <c r="D2647" s="2058">
        <v>105.27460000000001</v>
      </c>
      <c r="E2647" s="2056">
        <f>IF(D2647="",E2646,D2647/C2647-1)</f>
        <v>5.274599999999996E-2</v>
      </c>
      <c r="F2647" s="2072"/>
      <c r="G2647" s="415"/>
      <c r="H2647" s="415"/>
    </row>
    <row r="2648" spans="1:10" ht="12.75" hidden="1" customHeight="1" outlineLevel="1" x14ac:dyDescent="0.25">
      <c r="A2648" s="2053" t="s">
        <v>9927</v>
      </c>
      <c r="B2648" s="2054">
        <v>45261</v>
      </c>
      <c r="C2648" s="2055">
        <v>100</v>
      </c>
      <c r="D2648" s="2058">
        <v>112.0012</v>
      </c>
      <c r="E2648" s="2056">
        <f>IF(D2648="",E2647,D2648/C2648-1)</f>
        <v>0.12001200000000001</v>
      </c>
      <c r="F2648" s="2072"/>
      <c r="G2648" s="415"/>
      <c r="H2648" s="415"/>
    </row>
    <row r="2649" spans="1:10" ht="12.75" hidden="1" customHeight="1" outlineLevel="1" x14ac:dyDescent="0.25">
      <c r="A2649" s="2053" t="s">
        <v>9928</v>
      </c>
      <c r="B2649" s="2054">
        <v>45292</v>
      </c>
      <c r="C2649" s="2055">
        <v>100</v>
      </c>
      <c r="D2649" s="2058">
        <v>112.7645</v>
      </c>
      <c r="E2649" s="2056">
        <f>IF(D2649="",E2648,D2649/C2649-1)</f>
        <v>0.12764500000000001</v>
      </c>
      <c r="F2649" s="2072"/>
      <c r="G2649" s="415"/>
      <c r="H2649" s="415"/>
    </row>
    <row r="2650" spans="1:10" ht="12.75" hidden="1" customHeight="1" outlineLevel="1" x14ac:dyDescent="0.25">
      <c r="A2650" s="2053" t="s">
        <v>9929</v>
      </c>
      <c r="B2650" s="2054">
        <v>45323</v>
      </c>
      <c r="C2650" s="2055">
        <v>100</v>
      </c>
      <c r="D2650" s="2058">
        <v>114.9734</v>
      </c>
      <c r="E2650" s="2056">
        <f t="shared" ref="E2650:E2655" si="39">IF(D2650="",E2649,D2650/C2650-1)</f>
        <v>0.14973400000000003</v>
      </c>
      <c r="F2650" s="2072"/>
      <c r="G2650" s="415"/>
      <c r="H2650" s="415"/>
    </row>
    <row r="2651" spans="1:10" ht="12.75" hidden="1" customHeight="1" outlineLevel="1" x14ac:dyDescent="0.25">
      <c r="A2651" s="2053" t="s">
        <v>9930</v>
      </c>
      <c r="B2651" s="2054">
        <v>45352</v>
      </c>
      <c r="C2651" s="2055">
        <v>100</v>
      </c>
      <c r="D2651" s="2058">
        <v>119.6739</v>
      </c>
      <c r="E2651" s="2056">
        <f t="shared" si="39"/>
        <v>0.196739</v>
      </c>
      <c r="F2651" s="2072"/>
      <c r="G2651" s="415"/>
      <c r="H2651" s="415"/>
    </row>
    <row r="2652" spans="1:10" ht="12.75" hidden="1" customHeight="1" outlineLevel="1" x14ac:dyDescent="0.25">
      <c r="A2652" s="2053" t="s">
        <v>9931</v>
      </c>
      <c r="B2652" s="2054">
        <v>45383</v>
      </c>
      <c r="C2652" s="2055">
        <v>100</v>
      </c>
      <c r="D2652" s="2058"/>
      <c r="E2652" s="2056">
        <f t="shared" si="39"/>
        <v>0.196739</v>
      </c>
      <c r="F2652" s="2072"/>
      <c r="G2652" s="415"/>
      <c r="H2652" s="415"/>
    </row>
    <row r="2653" spans="1:10" ht="12.75" hidden="1" customHeight="1" outlineLevel="1" x14ac:dyDescent="0.25">
      <c r="A2653" s="2053" t="s">
        <v>9932</v>
      </c>
      <c r="B2653" s="2054">
        <v>45413</v>
      </c>
      <c r="C2653" s="2055">
        <v>100</v>
      </c>
      <c r="D2653" s="2058"/>
      <c r="E2653" s="2056">
        <f t="shared" si="39"/>
        <v>0.196739</v>
      </c>
      <c r="F2653" s="2072"/>
      <c r="G2653" s="415"/>
      <c r="H2653" s="415"/>
    </row>
    <row r="2654" spans="1:10" ht="12.75" hidden="1" customHeight="1" outlineLevel="1" x14ac:dyDescent="0.25">
      <c r="A2654" s="2053" t="s">
        <v>9933</v>
      </c>
      <c r="B2654" s="2054">
        <v>45444</v>
      </c>
      <c r="C2654" s="2055">
        <v>100</v>
      </c>
      <c r="D2654" s="2058"/>
      <c r="E2654" s="2056">
        <f t="shared" si="39"/>
        <v>0.196739</v>
      </c>
      <c r="F2654" s="2072"/>
      <c r="G2654" s="415"/>
      <c r="H2654" s="415"/>
    </row>
    <row r="2655" spans="1:10" ht="12.75" hidden="1" customHeight="1" outlineLevel="1" x14ac:dyDescent="0.25">
      <c r="A2655" s="2053" t="s">
        <v>9934</v>
      </c>
      <c r="B2655" s="2054">
        <v>45474</v>
      </c>
      <c r="C2655" s="2055">
        <v>100</v>
      </c>
      <c r="D2655" s="2058"/>
      <c r="E2655" s="2056">
        <f t="shared" si="39"/>
        <v>0.196739</v>
      </c>
      <c r="F2655" s="2072"/>
      <c r="G2655" s="415"/>
      <c r="H2655" s="415"/>
    </row>
    <row r="2656" spans="1:10" ht="12.75" hidden="1" customHeight="1" outlineLevel="1" x14ac:dyDescent="0.25">
      <c r="A2656" s="2053" t="s">
        <v>9935</v>
      </c>
      <c r="B2656" s="2054">
        <v>45505</v>
      </c>
      <c r="C2656" s="2055">
        <v>100</v>
      </c>
      <c r="D2656" s="2058"/>
      <c r="E2656" s="2056">
        <f>IF(D2656="",E2649,D2656/C2656-1)</f>
        <v>0.12764500000000001</v>
      </c>
      <c r="F2656" s="2072"/>
      <c r="G2656" s="415"/>
      <c r="H2656" s="415"/>
    </row>
    <row r="2657" spans="1:18" ht="12.75" hidden="1" customHeight="1" outlineLevel="1" x14ac:dyDescent="0.25">
      <c r="A2657" s="2053" t="s">
        <v>9936</v>
      </c>
      <c r="B2657" s="2054">
        <v>45536</v>
      </c>
      <c r="C2657" s="2055">
        <v>100</v>
      </c>
      <c r="D2657" s="2058"/>
      <c r="E2657" s="2056">
        <f>IF(D2657="",E2656,D2657/C2657-1)</f>
        <v>0.12764500000000001</v>
      </c>
      <c r="F2657" s="2072"/>
      <c r="G2657" s="415"/>
      <c r="H2657" s="415"/>
    </row>
    <row r="2658" spans="1:18" s="444" customFormat="1" ht="12.75" hidden="1" customHeight="1" outlineLevel="1" x14ac:dyDescent="0.25">
      <c r="A2658" s="2067" t="s">
        <v>2734</v>
      </c>
      <c r="B2658" s="2068"/>
      <c r="C2658" s="2058"/>
      <c r="D2658" s="2069" t="s">
        <v>2465</v>
      </c>
      <c r="E2658" s="2070">
        <f>AVERAGE(E2646:E2657)</f>
        <v>0.13968925000000001</v>
      </c>
      <c r="F2658" s="2071">
        <f>((((E2658*100)+100)-I2615)/100)</f>
        <v>0.18274325000000005</v>
      </c>
    </row>
    <row r="2659" spans="1:18" collapsed="1" x14ac:dyDescent="0.25">
      <c r="A2659" s="3799" t="s">
        <v>9900</v>
      </c>
      <c r="B2659" s="3800"/>
      <c r="C2659" s="3800"/>
      <c r="D2659" s="3800"/>
      <c r="E2659" s="18"/>
      <c r="F2659" s="186">
        <f>MAX(0%,MIN(F2658,100%))</f>
        <v>0.18274325000000005</v>
      </c>
      <c r="G2659" s="415"/>
    </row>
    <row r="2661" spans="1:18" ht="12.75" hidden="1" customHeight="1" outlineLevel="1" x14ac:dyDescent="0.25">
      <c r="A2661" s="1677" t="s">
        <v>4156</v>
      </c>
      <c r="B2661" s="1677" t="s">
        <v>4153</v>
      </c>
      <c r="C2661" s="1623" t="s">
        <v>112</v>
      </c>
      <c r="D2661" s="1678" t="s">
        <v>4155</v>
      </c>
      <c r="E2661" s="1677" t="s">
        <v>4154</v>
      </c>
      <c r="F2661" s="1678" t="s">
        <v>2519</v>
      </c>
      <c r="G2661" s="12"/>
      <c r="H2661" s="415"/>
      <c r="I2661" s="412" t="s">
        <v>6964</v>
      </c>
      <c r="J2661" s="1462">
        <v>43617</v>
      </c>
      <c r="K2661" s="1462">
        <v>43647</v>
      </c>
      <c r="L2661" s="1462">
        <v>43678</v>
      </c>
      <c r="M2661" s="1462">
        <v>43709</v>
      </c>
      <c r="N2661" s="1462">
        <v>43739</v>
      </c>
      <c r="O2661" s="1462">
        <v>43770</v>
      </c>
      <c r="P2661" s="1462">
        <v>43800</v>
      </c>
      <c r="Q2661" s="1462">
        <v>43831</v>
      </c>
      <c r="R2661" s="1462">
        <v>43862</v>
      </c>
    </row>
    <row r="2662" spans="1:18" ht="12.75" hidden="1" customHeight="1" outlineLevel="1" x14ac:dyDescent="0.25">
      <c r="A2662" s="2034">
        <v>0.03</v>
      </c>
      <c r="B2662" s="2035" t="s">
        <v>7111</v>
      </c>
      <c r="C2662" s="2037">
        <v>79.069999999999993</v>
      </c>
      <c r="D2662" s="2060">
        <f>VLOOKUP(H2662,indexy!$C$44:$D$823,2,FALSE)</f>
        <v>182.1</v>
      </c>
      <c r="E2662" s="2061">
        <f>D2662/C2662-1</f>
        <v>1.3030226381687116</v>
      </c>
      <c r="F2662" s="2062">
        <f>E2662*A2662</f>
        <v>3.9090679145061348E-2</v>
      </c>
      <c r="G2662" s="415"/>
      <c r="H2662" s="415" t="str">
        <f>VLOOKUP(B2662,indexy!$A$44:$D$823,3,FALSE)</f>
        <v>ABBV UN Equity</v>
      </c>
      <c r="I2662" s="412">
        <f>IF(J2662="",100,MIN(100,J2662:Y2662))</f>
        <v>96.459000000000003</v>
      </c>
      <c r="J2662">
        <v>96.459000000000003</v>
      </c>
      <c r="K2662">
        <v>99.3643</v>
      </c>
      <c r="L2662">
        <v>97.785899999999998</v>
      </c>
      <c r="M2662">
        <v>96.805999999999997</v>
      </c>
      <c r="N2662">
        <v>100.12350000000001</v>
      </c>
      <c r="O2662">
        <v>101.4807</v>
      </c>
      <c r="P2662">
        <v>101.3977</v>
      </c>
      <c r="Q2662">
        <v>102.2253</v>
      </c>
    </row>
    <row r="2663" spans="1:18" ht="12.75" hidden="1" customHeight="1" outlineLevel="1" x14ac:dyDescent="0.25">
      <c r="A2663" s="1911">
        <v>0.06</v>
      </c>
      <c r="B2663" s="2035" t="s">
        <v>805</v>
      </c>
      <c r="C2663" s="2037">
        <v>103.645</v>
      </c>
      <c r="D2663" s="2063">
        <f>VLOOKUP(H2663,indexy!$C$44:$D$823,2,FALSE)</f>
        <v>132.25</v>
      </c>
      <c r="E2663" s="2064">
        <f>D2663/C2663-1</f>
        <v>0.27599015871484389</v>
      </c>
      <c r="F2663" s="2065">
        <f t="shared" ref="F2663:F2686" si="40">E2663*A2663</f>
        <v>1.6559409522890634E-2</v>
      </c>
      <c r="G2663" s="415"/>
      <c r="H2663" s="415" t="str">
        <f>VLOOKUP(B2663,indexy!$A$44:$D$823,3,FALSE)</f>
        <v>BMO CT Equity</v>
      </c>
      <c r="I2663" s="422">
        <f>+(((E2705*100)+100)-I2662)/100</f>
        <v>0.23571739966752531</v>
      </c>
    </row>
    <row r="2664" spans="1:18" ht="12.75" hidden="1" customHeight="1" outlineLevel="1" x14ac:dyDescent="0.25">
      <c r="A2664" s="1911">
        <v>0.08</v>
      </c>
      <c r="B2664" s="2035" t="s">
        <v>5748</v>
      </c>
      <c r="C2664" s="2037">
        <v>71.454999999999998</v>
      </c>
      <c r="D2664" s="2063">
        <f>VLOOKUP(H2664,indexy!$C$44:$D$823,2,FALSE)</f>
        <v>70.069999999999993</v>
      </c>
      <c r="E2664" s="2064">
        <f t="shared" ref="E2664:E2691" si="41">D2664/C2664-1</f>
        <v>-1.938282835350924E-2</v>
      </c>
      <c r="F2664" s="2065">
        <f t="shared" si="40"/>
        <v>-1.5506262682807392E-3</v>
      </c>
      <c r="G2664" s="415"/>
      <c r="H2664" s="415" t="str">
        <f>VLOOKUP(B2664,indexy!$A$44:$D$823,3,FALSE)</f>
        <v>BNS CT Equity</v>
      </c>
      <c r="J2664" s="434"/>
    </row>
    <row r="2665" spans="1:18" ht="12.75" hidden="1" customHeight="1" outlineLevel="1" x14ac:dyDescent="0.25">
      <c r="A2665" s="1911">
        <v>0.08</v>
      </c>
      <c r="B2665" s="2035" t="s">
        <v>807</v>
      </c>
      <c r="C2665" s="2037">
        <v>60.432000000000002</v>
      </c>
      <c r="D2665" s="2063">
        <f>VLOOKUP(H2665,indexy!$C$44:$D$823,2,FALSE)</f>
        <v>46.03</v>
      </c>
      <c r="E2665" s="2064">
        <f t="shared" si="41"/>
        <v>-0.23831744770982266</v>
      </c>
      <c r="F2665" s="2065">
        <f t="shared" si="40"/>
        <v>-1.9065395816785815E-2</v>
      </c>
      <c r="G2665" s="415"/>
      <c r="H2665" s="415" t="str">
        <f>VLOOKUP(B2665,indexy!$A$44:$D$823,3,FALSE)</f>
        <v>BCE CT Equity</v>
      </c>
      <c r="J2665" s="434"/>
      <c r="K2665" s="37"/>
    </row>
    <row r="2666" spans="1:18" ht="12.75" hidden="1" customHeight="1" outlineLevel="1" x14ac:dyDescent="0.25">
      <c r="A2666" s="1911">
        <v>0.02</v>
      </c>
      <c r="B2666" s="2035" t="s">
        <v>9244</v>
      </c>
      <c r="C2666" s="2037">
        <v>291.209</v>
      </c>
      <c r="D2666" s="2063">
        <f>VLOOKUP(H2666,indexy!$C$44:$D$823,2,FALSE)</f>
        <v>1325.41</v>
      </c>
      <c r="E2666" s="2064">
        <f t="shared" si="41"/>
        <v>3.5514046612570356</v>
      </c>
      <c r="F2666" s="2065">
        <f t="shared" si="40"/>
        <v>7.1028093225140712E-2</v>
      </c>
      <c r="G2666" s="415"/>
      <c r="H2666" s="415" t="str">
        <f>VLOOKUP(B2666,indexy!$A$44:$D$823,3,FALSE)</f>
        <v>AVGO UW Equity</v>
      </c>
      <c r="J2666" s="434"/>
    </row>
    <row r="2667" spans="1:18" ht="12.75" hidden="1" customHeight="1" outlineLevel="1" x14ac:dyDescent="0.25">
      <c r="A2667" s="1911">
        <v>0.05</v>
      </c>
      <c r="B2667" s="2035" t="s">
        <v>3954</v>
      </c>
      <c r="C2667" s="2037">
        <f>109.556/2</f>
        <v>54.777999999999999</v>
      </c>
      <c r="D2667" s="2063">
        <f>VLOOKUP(H2667,indexy!$C$44:$D$823,2,FALSE)</f>
        <v>68.67</v>
      </c>
      <c r="E2667" s="2064">
        <f t="shared" si="41"/>
        <v>0.25360546204680712</v>
      </c>
      <c r="F2667" s="2065">
        <f t="shared" si="40"/>
        <v>1.2680273102340357E-2</v>
      </c>
      <c r="G2667" s="415"/>
      <c r="H2667" s="415" t="str">
        <f>VLOOKUP(B2667,indexy!$A$44:$D$823,3,FALSE)</f>
        <v>CM CT Equity</v>
      </c>
      <c r="J2667" s="434"/>
    </row>
    <row r="2668" spans="1:18" ht="12.75" hidden="1" customHeight="1" outlineLevel="1" x14ac:dyDescent="0.25">
      <c r="A2668" s="1911">
        <v>0.02</v>
      </c>
      <c r="B2668" s="2035" t="s">
        <v>581</v>
      </c>
      <c r="C2668" s="2037">
        <v>121.14700000000001</v>
      </c>
      <c r="D2668" s="2063">
        <f>VLOOKUP(H2668,indexy!$C$44:$D$823,2,FALSE)</f>
        <v>157.74</v>
      </c>
      <c r="E2668" s="2064">
        <f t="shared" si="41"/>
        <v>0.30205452879559536</v>
      </c>
      <c r="F2668" s="2065">
        <f t="shared" si="40"/>
        <v>6.0410905759119074E-3</v>
      </c>
      <c r="G2668" s="415"/>
      <c r="H2668" s="415" t="str">
        <f>VLOOKUP(B2668,indexy!$A$44:$D$823,3,FALSE)</f>
        <v>CVX UN Equity</v>
      </c>
      <c r="J2668" s="434"/>
    </row>
    <row r="2669" spans="1:18" ht="12.75" hidden="1" customHeight="1" outlineLevel="1" x14ac:dyDescent="0.25">
      <c r="A2669" s="1911">
        <v>0.02</v>
      </c>
      <c r="B2669" s="2035" t="s">
        <v>9512</v>
      </c>
      <c r="C2669" s="2037">
        <v>126.009</v>
      </c>
      <c r="D2669" s="2063">
        <f>VLOOKUP(H2669,indexy!$C$44:$D$823,2,FALSE)</f>
        <v>105.83</v>
      </c>
      <c r="E2669" s="2064">
        <f t="shared" si="41"/>
        <v>-0.16013935512542754</v>
      </c>
      <c r="F2669" s="2065">
        <f t="shared" si="40"/>
        <v>-3.202787102508551E-3</v>
      </c>
      <c r="G2669" s="415"/>
      <c r="H2669" s="415" t="str">
        <f>VLOOKUP(B2669,indexy!$A$44:$D$823,3,FALSE)</f>
        <v>CCI UN Equity</v>
      </c>
      <c r="J2669" s="434"/>
    </row>
    <row r="2670" spans="1:18" ht="12.75" hidden="1" customHeight="1" outlineLevel="1" x14ac:dyDescent="0.25">
      <c r="A2670" s="1911">
        <v>0.08</v>
      </c>
      <c r="B2670" s="2035" t="s">
        <v>9591</v>
      </c>
      <c r="C2670" s="2037">
        <v>75.337999999999994</v>
      </c>
      <c r="D2670" s="2063">
        <f>VLOOKUP(H2670,indexy!$C$44:$D$823,2,FALSE)</f>
        <v>49.19</v>
      </c>
      <c r="E2670" s="2064">
        <f t="shared" si="41"/>
        <v>-0.34707584485916798</v>
      </c>
      <c r="F2670" s="2065">
        <f t="shared" si="40"/>
        <v>-2.7766067588733439E-2</v>
      </c>
      <c r="G2670" s="415"/>
      <c r="H2670" s="415" t="str">
        <f>VLOOKUP(B2670,indexy!$A$44:$D$823,3,FALSE)</f>
        <v>D UN Equity</v>
      </c>
      <c r="J2670" s="434"/>
    </row>
    <row r="2671" spans="1:18" ht="12.75" hidden="1" customHeight="1" outlineLevel="1" x14ac:dyDescent="0.25">
      <c r="A2671" s="1911">
        <v>0.06</v>
      </c>
      <c r="B2671" s="2035" t="s">
        <v>1231</v>
      </c>
      <c r="C2671" s="2037">
        <v>87.195999999999998</v>
      </c>
      <c r="D2671" s="2063">
        <f>VLOOKUP(H2671,indexy!$C$44:$D$823,2,FALSE)</f>
        <v>96.71</v>
      </c>
      <c r="E2671" s="2064">
        <f t="shared" si="41"/>
        <v>0.10911050965640623</v>
      </c>
      <c r="F2671" s="2065">
        <f t="shared" si="40"/>
        <v>6.5466305793843733E-3</v>
      </c>
      <c r="G2671" s="415"/>
      <c r="H2671" s="415" t="str">
        <f>VLOOKUP(B2671,indexy!$A$44:$D$823,3,FALSE)</f>
        <v>DUK UN Equity</v>
      </c>
      <c r="J2671" s="434"/>
    </row>
    <row r="2672" spans="1:18" ht="12.75" hidden="1" customHeight="1" outlineLevel="1" x14ac:dyDescent="0.25">
      <c r="A2672" s="1911">
        <v>0.03</v>
      </c>
      <c r="B2672" s="2035" t="s">
        <v>7855</v>
      </c>
      <c r="C2672" s="2037">
        <v>49.786000000000001</v>
      </c>
      <c r="D2672" s="2063">
        <f>VLOOKUP(H2672,indexy!$C$44:$D$823,2,FALSE)</f>
        <v>48.95</v>
      </c>
      <c r="E2672" s="2064">
        <f t="shared" si="41"/>
        <v>-1.6791869200176723E-2</v>
      </c>
      <c r="F2672" s="2065">
        <f t="shared" si="40"/>
        <v>-5.0375607600530172E-4</v>
      </c>
      <c r="G2672" s="415"/>
      <c r="H2672" s="415" t="str">
        <f>VLOOKUP(B2672,indexy!$A$44:$D$823,3,FALSE)</f>
        <v>ENB CT Equity</v>
      </c>
      <c r="J2672" s="434"/>
    </row>
    <row r="2673" spans="1:10" ht="12.75" hidden="1" customHeight="1" outlineLevel="1" x14ac:dyDescent="0.25">
      <c r="A2673" s="1911">
        <v>0.02</v>
      </c>
      <c r="B2673" s="2035" t="s">
        <v>3425</v>
      </c>
      <c r="C2673" s="2037">
        <v>76.12</v>
      </c>
      <c r="D2673" s="2063">
        <f>VLOOKUP(H2673,indexy!$C$44:$D$823,2,FALSE)</f>
        <v>116.24</v>
      </c>
      <c r="E2673" s="2064">
        <f t="shared" si="41"/>
        <v>0.52706253284287952</v>
      </c>
      <c r="F2673" s="2065">
        <f t="shared" si="40"/>
        <v>1.0541250656857591E-2</v>
      </c>
      <c r="G2673" s="415"/>
      <c r="H2673" s="415" t="str">
        <f>VLOOKUP(B2673,indexy!$A$44:$D$823,3,FALSE)</f>
        <v>XOM UN Equity</v>
      </c>
      <c r="J2673" s="434"/>
    </row>
    <row r="2674" spans="1:10" ht="12.75" hidden="1" customHeight="1" outlineLevel="1" x14ac:dyDescent="0.25">
      <c r="A2674" s="1911">
        <v>0.02</v>
      </c>
      <c r="B2674" s="2035" t="s">
        <v>5943</v>
      </c>
      <c r="C2674" s="2038">
        <v>10.244</v>
      </c>
      <c r="D2674" s="2063">
        <f>VLOOKUP(H2674,indexy!$C$44:$D$823,2,FALSE)</f>
        <v>13.28</v>
      </c>
      <c r="E2674" s="2064">
        <f t="shared" si="41"/>
        <v>0.29636860601327597</v>
      </c>
      <c r="F2674" s="2065">
        <f t="shared" si="40"/>
        <v>5.92737212026552E-3</v>
      </c>
      <c r="G2674" s="415"/>
      <c r="H2674" s="415" t="str">
        <f>VLOOKUP(B2674,indexy!$A$44:$D$823,3,FALSE)</f>
        <v>F UN Equity</v>
      </c>
      <c r="J2674" s="434"/>
    </row>
    <row r="2675" spans="1:10" ht="12.75" hidden="1" customHeight="1" outlineLevel="1" x14ac:dyDescent="0.25">
      <c r="A2675" s="1911">
        <v>0.04</v>
      </c>
      <c r="B2675" s="2035" t="s">
        <v>52</v>
      </c>
      <c r="C2675" s="2037">
        <v>134.791</v>
      </c>
      <c r="D2675" s="2063">
        <f>VLOOKUP(H2675,indexy!$C$44:$D$823,2,FALSE)</f>
        <v>190.96</v>
      </c>
      <c r="E2675" s="2064">
        <f t="shared" si="41"/>
        <v>0.4167117982654629</v>
      </c>
      <c r="F2675" s="2065">
        <f t="shared" si="40"/>
        <v>1.6668471930618517E-2</v>
      </c>
      <c r="G2675" s="415"/>
      <c r="H2675" s="415" t="str">
        <f>VLOOKUP(B2675,indexy!$A$44:$D$823,3,FALSE)</f>
        <v>IBM UN Equity</v>
      </c>
      <c r="J2675" s="434"/>
    </row>
    <row r="2676" spans="1:10" ht="12.75" hidden="1" customHeight="1" outlineLevel="1" x14ac:dyDescent="0.25">
      <c r="A2676" s="1911">
        <v>0.02</v>
      </c>
      <c r="B2676" s="2035" t="s">
        <v>1381</v>
      </c>
      <c r="C2676" s="2037">
        <v>128.69</v>
      </c>
      <c r="D2676" s="2063">
        <f>VLOOKUP(H2676,indexy!$C$44:$D$823,2,FALSE)</f>
        <v>129.35</v>
      </c>
      <c r="E2676" s="2064">
        <f t="shared" si="41"/>
        <v>5.1286036211048991E-3</v>
      </c>
      <c r="F2676" s="2065">
        <f t="shared" si="40"/>
        <v>1.0257207242209799E-4</v>
      </c>
      <c r="G2676" s="415"/>
      <c r="H2676" s="415" t="str">
        <f>VLOOKUP(B2676,indexy!$A$44:$D$823,3,FALSE)</f>
        <v>KMB UN Equity</v>
      </c>
      <c r="J2676" s="434"/>
    </row>
    <row r="2677" spans="1:10" ht="12.75" hidden="1" customHeight="1" outlineLevel="1" x14ac:dyDescent="0.25">
      <c r="A2677" s="1911">
        <v>0.02</v>
      </c>
      <c r="B2677" s="2035" t="s">
        <v>7573</v>
      </c>
      <c r="C2677" s="2037">
        <v>32.250999999999998</v>
      </c>
      <c r="D2677" s="2063">
        <f>VLOOKUP(H2677,indexy!$C$44:$D$823,2,FALSE)</f>
        <v>36.9</v>
      </c>
      <c r="E2677" s="2064">
        <f t="shared" si="41"/>
        <v>0.14415056897460543</v>
      </c>
      <c r="F2677" s="2065">
        <f t="shared" si="40"/>
        <v>2.8830113794921087E-3</v>
      </c>
      <c r="G2677" s="415"/>
      <c r="H2677" s="415" t="str">
        <f>VLOOKUP(B2677,indexy!$A$44:$D$823,3,FALSE)</f>
        <v>KHC UW Equity</v>
      </c>
      <c r="J2677" s="434"/>
    </row>
    <row r="2678" spans="1:10" ht="12.75" hidden="1" customHeight="1" outlineLevel="1" x14ac:dyDescent="0.25">
      <c r="A2678" s="1911">
        <v>0.02</v>
      </c>
      <c r="B2678" s="2035" t="s">
        <v>6897</v>
      </c>
      <c r="C2678" s="2037">
        <v>61.832999999999998</v>
      </c>
      <c r="D2678" s="2063">
        <f>VLOOKUP(H2678,indexy!$C$44:$D$823,2,FALSE)</f>
        <v>51.7</v>
      </c>
      <c r="E2678" s="2064">
        <f t="shared" si="41"/>
        <v>-0.16387689421506313</v>
      </c>
      <c r="F2678" s="2065">
        <f t="shared" si="40"/>
        <v>-3.2775378843012625E-3</v>
      </c>
      <c r="G2678" s="415"/>
      <c r="H2678" s="415" t="str">
        <f>VLOOKUP(B2678,indexy!$A$44:$D$823,3,FALSE)</f>
        <v>LVS UN Equity</v>
      </c>
      <c r="J2678" s="434"/>
    </row>
    <row r="2679" spans="1:10" ht="12.75" hidden="1" customHeight="1" outlineLevel="1" x14ac:dyDescent="0.25">
      <c r="A2679" s="1911">
        <v>0.02</v>
      </c>
      <c r="B2679" s="2035" t="s">
        <v>123</v>
      </c>
      <c r="C2679" s="2037">
        <v>23.568999999999999</v>
      </c>
      <c r="D2679" s="2063">
        <f>VLOOKUP(H2679,indexy!$C$44:$D$823,2,FALSE)</f>
        <v>33.83</v>
      </c>
      <c r="E2679" s="2064">
        <f t="shared" si="41"/>
        <v>0.43536000678857811</v>
      </c>
      <c r="F2679" s="2065">
        <f t="shared" si="40"/>
        <v>8.7072001357715624E-3</v>
      </c>
      <c r="G2679" s="415"/>
      <c r="H2679" s="415" t="str">
        <f>VLOOKUP(B2679,indexy!$A$44:$D$823,3,FALSE)</f>
        <v>MFC CT Equity</v>
      </c>
      <c r="J2679" s="434"/>
    </row>
    <row r="2680" spans="1:10" ht="12.75" hidden="1" customHeight="1" outlineLevel="1" x14ac:dyDescent="0.25">
      <c r="A2680" s="1911">
        <v>0.02</v>
      </c>
      <c r="B2680" s="2035" t="s">
        <v>7838</v>
      </c>
      <c r="C2680" s="2037">
        <v>47.555</v>
      </c>
      <c r="D2680" s="2063">
        <f>VLOOKUP(H2680,indexy!$C$44:$D$823,2,FALSE)</f>
        <v>74.11</v>
      </c>
      <c r="E2680" s="2064">
        <f t="shared" si="41"/>
        <v>0.55840605614551575</v>
      </c>
      <c r="F2680" s="2065">
        <f t="shared" si="40"/>
        <v>1.1168121122910315E-2</v>
      </c>
      <c r="G2680" s="415"/>
      <c r="H2680" s="415" t="str">
        <f>VLOOKUP(B2680,indexy!$A$44:$D$823,3,FALSE)</f>
        <v>MET UN Equity</v>
      </c>
      <c r="J2680" s="434"/>
    </row>
    <row r="2681" spans="1:10" ht="12.75" hidden="1" customHeight="1" outlineLevel="1" x14ac:dyDescent="0.25">
      <c r="A2681" s="1911">
        <v>0.02</v>
      </c>
      <c r="B2681" s="2035" t="s">
        <v>4</v>
      </c>
      <c r="C2681" s="2037">
        <v>54.052999999999997</v>
      </c>
      <c r="D2681" s="2063">
        <f>VLOOKUP(H2681,indexy!$C$44:$D$823,2,FALSE)</f>
        <v>64.989999999999995</v>
      </c>
      <c r="E2681" s="2064">
        <f t="shared" si="41"/>
        <v>0.20233844559968905</v>
      </c>
      <c r="F2681" s="2065">
        <f t="shared" si="40"/>
        <v>4.0467689119937809E-3</v>
      </c>
      <c r="G2681" s="415"/>
      <c r="H2681" s="415" t="str">
        <f>VLOOKUP(B2681,indexy!$A$44:$D$823,3,FALSE)</f>
        <v>OXY UN Equity</v>
      </c>
      <c r="J2681" s="434"/>
    </row>
    <row r="2682" spans="1:10" ht="12.75" hidden="1" customHeight="1" outlineLevel="1" x14ac:dyDescent="0.25">
      <c r="A2682" s="1911">
        <v>0.02</v>
      </c>
      <c r="B2682" s="2035" t="s">
        <v>1204</v>
      </c>
      <c r="C2682" s="2037">
        <v>128.78700000000001</v>
      </c>
      <c r="D2682" s="2063">
        <f>VLOOKUP(H2682,indexy!$C$44:$D$823,2,FALSE)</f>
        <v>175.01</v>
      </c>
      <c r="E2682" s="2064">
        <f t="shared" si="41"/>
        <v>0.35891044903600511</v>
      </c>
      <c r="F2682" s="2065">
        <f t="shared" si="40"/>
        <v>7.1782089807201025E-3</v>
      </c>
      <c r="G2682" s="415"/>
      <c r="H2682" s="415" t="str">
        <f>VLOOKUP(B2682,indexy!$A$44:$D$823,3,FALSE)</f>
        <v>PEP UW Equity</v>
      </c>
      <c r="J2682" s="434"/>
    </row>
    <row r="2683" spans="1:10" ht="12.75" hidden="1" customHeight="1" outlineLevel="1" x14ac:dyDescent="0.25">
      <c r="A2683" s="1911">
        <v>0.02</v>
      </c>
      <c r="B2683" s="2035" t="s">
        <v>6559</v>
      </c>
      <c r="C2683" s="2037">
        <v>81.388999999999996</v>
      </c>
      <c r="D2683" s="2063">
        <f>VLOOKUP(H2683,indexy!$C$44:$D$823,2,FALSE)</f>
        <v>169.3</v>
      </c>
      <c r="E2683" s="2064">
        <f t="shared" si="41"/>
        <v>1.0801336789983909</v>
      </c>
      <c r="F2683" s="2065">
        <f t="shared" si="40"/>
        <v>2.1602673579967816E-2</v>
      </c>
      <c r="G2683" s="415"/>
      <c r="H2683" s="415" t="str">
        <f>VLOOKUP(B2683,indexy!$A$44:$D$823,3,FALSE)</f>
        <v>QCOM UW Equity</v>
      </c>
      <c r="J2683" s="434"/>
    </row>
    <row r="2684" spans="1:10" ht="12.75" hidden="1" customHeight="1" outlineLevel="1" x14ac:dyDescent="0.25">
      <c r="A2684" s="1911">
        <v>0.04</v>
      </c>
      <c r="B2684" s="2035" t="s">
        <v>2728</v>
      </c>
      <c r="C2684" s="2037">
        <v>104.875</v>
      </c>
      <c r="D2684" s="2063">
        <f>VLOOKUP(H2684,indexy!$C$44:$D$823,2,FALSE)</f>
        <v>136.62</v>
      </c>
      <c r="E2684" s="2064">
        <f t="shared" si="41"/>
        <v>0.30269368295589993</v>
      </c>
      <c r="F2684" s="2065">
        <f t="shared" si="40"/>
        <v>1.2107747318235997E-2</v>
      </c>
      <c r="G2684" s="415"/>
      <c r="H2684" s="415" t="str">
        <f>VLOOKUP(B2684,indexy!$A$44:$D$823,3,FALSE)</f>
        <v>RY CT Equity</v>
      </c>
      <c r="J2684" s="434"/>
    </row>
    <row r="2685" spans="1:10" ht="12.75" hidden="1" customHeight="1" outlineLevel="1" x14ac:dyDescent="0.25">
      <c r="A2685" s="1911">
        <v>0.02</v>
      </c>
      <c r="B2685" s="2035" t="s">
        <v>162</v>
      </c>
      <c r="C2685" s="2037">
        <v>39.216000000000001</v>
      </c>
      <c r="D2685" s="2063">
        <f>VLOOKUP(H2685,indexy!$C$44:$D$823,2,FALSE)</f>
        <v>54.81</v>
      </c>
      <c r="E2685" s="2064">
        <f t="shared" si="41"/>
        <v>0.39764381884944933</v>
      </c>
      <c r="F2685" s="2065">
        <f t="shared" si="40"/>
        <v>7.9528763769889863E-3</v>
      </c>
      <c r="G2685" s="415"/>
      <c r="H2685" s="415" t="str">
        <f>VLOOKUP(B2685,indexy!$A$44:$D$823,3,FALSE)</f>
        <v>SLB UN Equity</v>
      </c>
      <c r="J2685" s="434"/>
    </row>
    <row r="2686" spans="1:10" ht="12.75" hidden="1" customHeight="1" outlineLevel="1" x14ac:dyDescent="0.25">
      <c r="A2686" s="1911">
        <v>0.04</v>
      </c>
      <c r="B2686" s="2035" t="s">
        <v>8210</v>
      </c>
      <c r="C2686" s="2037">
        <v>174.20400000000001</v>
      </c>
      <c r="D2686" s="2063">
        <f>VLOOKUP(H2686,indexy!$C$44:$D$823,2,FALSE)</f>
        <v>156.49</v>
      </c>
      <c r="E2686" s="2064">
        <f t="shared" si="41"/>
        <v>-0.10168538035865993</v>
      </c>
      <c r="F2686" s="2065">
        <f t="shared" si="40"/>
        <v>-4.067415214346397E-3</v>
      </c>
      <c r="G2686" s="415"/>
      <c r="H2686" s="415" t="str">
        <f>VLOOKUP(B2686,indexy!$A$44:$D$823,3,FALSE)</f>
        <v>SPG UN Equity</v>
      </c>
      <c r="J2686" s="434"/>
    </row>
    <row r="2687" spans="1:10" ht="12.75" hidden="1" customHeight="1" outlineLevel="1" x14ac:dyDescent="0.25">
      <c r="A2687" s="1911">
        <v>0.02</v>
      </c>
      <c r="B2687" s="2035" t="s">
        <v>8702</v>
      </c>
      <c r="C2687" s="2037">
        <v>43.012999999999998</v>
      </c>
      <c r="D2687" s="2063">
        <f>VLOOKUP(H2687,indexy!$C$44:$D$823,2,FALSE)</f>
        <v>49.99</v>
      </c>
      <c r="E2687" s="2064">
        <f t="shared" si="41"/>
        <v>0.16220677469602229</v>
      </c>
      <c r="F2687" s="2065">
        <f>E2687*A2687</f>
        <v>3.2441354939204458E-3</v>
      </c>
      <c r="G2687" s="415"/>
      <c r="H2687" s="415" t="str">
        <f>VLOOKUP(B2687,indexy!$A$44:$D$823,3,FALSE)</f>
        <v>SU CT Equity</v>
      </c>
      <c r="J2687" s="434"/>
    </row>
    <row r="2688" spans="1:10" ht="12.75" hidden="1" customHeight="1" outlineLevel="1" x14ac:dyDescent="0.25">
      <c r="A2688" s="1911">
        <v>0.02</v>
      </c>
      <c r="B2688" s="2035" t="s">
        <v>366</v>
      </c>
      <c r="C2688" s="2037">
        <v>64.421999999999997</v>
      </c>
      <c r="D2688" s="2063">
        <f>VLOOKUP(H2688,indexy!$C$44:$D$946,2,FALSE)</f>
        <v>54.44</v>
      </c>
      <c r="E2688" s="2064">
        <f t="shared" si="41"/>
        <v>-0.15494706777187917</v>
      </c>
      <c r="F2688" s="2065">
        <f>E2688*A2688</f>
        <v>-3.0989413554375835E-3</v>
      </c>
      <c r="G2688" s="415"/>
      <c r="H2688" s="415" t="str">
        <f>VLOOKUP(B2688,indexy!$A$44:$D$946,3,FALSE)</f>
        <v>TRP CT Equity</v>
      </c>
      <c r="J2688" s="434"/>
    </row>
    <row r="2689" spans="1:10" ht="12.75" hidden="1" customHeight="1" outlineLevel="1" x14ac:dyDescent="0.25">
      <c r="A2689" s="1911">
        <v>0.03</v>
      </c>
      <c r="B2689" s="2035" t="s">
        <v>1142</v>
      </c>
      <c r="C2689" s="2037">
        <v>48.738999999999997</v>
      </c>
      <c r="D2689" s="2063">
        <f>VLOOKUP(H2689,indexy!$C$44:$D$823,2,FALSE)</f>
        <v>61.18</v>
      </c>
      <c r="E2689" s="2064">
        <f t="shared" si="41"/>
        <v>0.25525759658589631</v>
      </c>
      <c r="F2689" s="2065">
        <f>E2689*A2689</f>
        <v>7.6577278975768891E-3</v>
      </c>
      <c r="G2689" s="415"/>
      <c r="H2689" s="415" t="str">
        <f>VLOOKUP(B2689,indexy!$A$44:$D$823,3,FALSE)</f>
        <v>KO UN Equity</v>
      </c>
      <c r="J2689" s="434"/>
    </row>
    <row r="2690" spans="1:10" ht="12.75" hidden="1" customHeight="1" outlineLevel="1" x14ac:dyDescent="0.25">
      <c r="A2690" s="1911">
        <v>0.02</v>
      </c>
      <c r="B2690" s="2035" t="s">
        <v>3626</v>
      </c>
      <c r="C2690" s="2037">
        <v>74.305999999999997</v>
      </c>
      <c r="D2690" s="2063">
        <f>VLOOKUP(H2690,indexy!$C$44:$D$823,2,FALSE)</f>
        <v>81.75</v>
      </c>
      <c r="E2690" s="2064">
        <f t="shared" si="41"/>
        <v>0.10018033536995663</v>
      </c>
      <c r="F2690" s="2065">
        <f>E2690*A2690</f>
        <v>2.0036067073991326E-3</v>
      </c>
      <c r="G2690" s="415"/>
      <c r="H2690" s="415" t="str">
        <f>VLOOKUP(B2690,indexy!$A$44:$D$823,3,FALSE)</f>
        <v>TD CT Equity</v>
      </c>
      <c r="J2690" s="434"/>
    </row>
    <row r="2691" spans="1:10" ht="12.75" hidden="1" customHeight="1" outlineLevel="1" x14ac:dyDescent="0.25">
      <c r="A2691" s="1911">
        <v>0.04</v>
      </c>
      <c r="B2691" s="2036" t="s">
        <v>255</v>
      </c>
      <c r="C2691" s="2037">
        <v>57.673000000000002</v>
      </c>
      <c r="D2691" s="2066">
        <f>VLOOKUP(H2691,indexy!$C$44:$D$823,2,FALSE)</f>
        <v>41.96</v>
      </c>
      <c r="E2691" s="2064">
        <f t="shared" si="41"/>
        <v>-0.2724498465486449</v>
      </c>
      <c r="F2691" s="2065">
        <f>E2691*A2691</f>
        <v>-1.0897993861945796E-2</v>
      </c>
      <c r="G2691" s="415"/>
      <c r="H2691" s="415" t="str">
        <f>VLOOKUP(B2691,indexy!$A$44:$D$823,3,FALSE)</f>
        <v>VZ UN Equity</v>
      </c>
      <c r="J2691" s="434"/>
    </row>
    <row r="2692" spans="1:10" ht="12.75" hidden="1" customHeight="1" outlineLevel="1" x14ac:dyDescent="0.25">
      <c r="A2692" s="2048" t="s">
        <v>2734</v>
      </c>
      <c r="B2692" s="2049"/>
      <c r="C2692" s="2050">
        <v>100</v>
      </c>
      <c r="D2692" s="2051"/>
      <c r="E2692" s="2059"/>
      <c r="F2692" s="2059">
        <f>SUM(F2662:F2691)</f>
        <v>0.20030739966752531</v>
      </c>
      <c r="G2692" s="415"/>
      <c r="H2692" s="415"/>
    </row>
    <row r="2693" spans="1:10" ht="12.75" hidden="1" customHeight="1" outlineLevel="1" x14ac:dyDescent="0.25">
      <c r="A2693" s="2053" t="s">
        <v>9939</v>
      </c>
      <c r="B2693" s="2054">
        <v>45231</v>
      </c>
      <c r="C2693" s="2055">
        <v>100</v>
      </c>
      <c r="D2693" s="2055"/>
      <c r="E2693" s="2056">
        <f>IF(D2693="",F2692,D2693/C2693-1)</f>
        <v>0.20030739966752531</v>
      </c>
      <c r="F2693" s="2072"/>
      <c r="G2693" s="415"/>
      <c r="H2693" s="415"/>
    </row>
    <row r="2694" spans="1:10" ht="12.75" hidden="1" customHeight="1" outlineLevel="1" x14ac:dyDescent="0.25">
      <c r="A2694" s="2053" t="s">
        <v>9940</v>
      </c>
      <c r="B2694" s="2054">
        <v>45261</v>
      </c>
      <c r="C2694" s="2055">
        <v>100</v>
      </c>
      <c r="D2694" s="2058"/>
      <c r="E2694" s="2056">
        <f>IF(D2694="",E2693,D2694/C2694-1)</f>
        <v>0.20030739966752531</v>
      </c>
      <c r="F2694" s="2072"/>
      <c r="G2694" s="415"/>
      <c r="H2694" s="415"/>
    </row>
    <row r="2695" spans="1:10" ht="12.75" hidden="1" customHeight="1" outlineLevel="1" x14ac:dyDescent="0.25">
      <c r="A2695" s="2053" t="s">
        <v>9941</v>
      </c>
      <c r="B2695" s="2054">
        <v>45292</v>
      </c>
      <c r="C2695" s="2055">
        <v>100</v>
      </c>
      <c r="D2695" s="2058"/>
      <c r="E2695" s="2056">
        <f>IF(D2695="",E2694,D2695/C2695-1)</f>
        <v>0.20030739966752531</v>
      </c>
      <c r="F2695" s="2072"/>
      <c r="G2695" s="415"/>
      <c r="H2695" s="415"/>
    </row>
    <row r="2696" spans="1:10" ht="12.75" hidden="1" customHeight="1" outlineLevel="1" x14ac:dyDescent="0.25">
      <c r="A2696" s="2053" t="s">
        <v>9942</v>
      </c>
      <c r="B2696" s="2054">
        <v>45323</v>
      </c>
      <c r="C2696" s="2055">
        <v>100</v>
      </c>
      <c r="D2696" s="2058"/>
      <c r="E2696" s="2056">
        <f>IF(D2696="",E2695,D2696/C2696-1)</f>
        <v>0.20030739966752531</v>
      </c>
      <c r="F2696" s="2072"/>
      <c r="G2696" s="415"/>
      <c r="H2696" s="415"/>
    </row>
    <row r="2697" spans="1:10" ht="12.75" hidden="1" customHeight="1" outlineLevel="1" x14ac:dyDescent="0.25">
      <c r="A2697" s="2053" t="s">
        <v>9943</v>
      </c>
      <c r="B2697" s="2054">
        <v>45352</v>
      </c>
      <c r="C2697" s="2055">
        <v>100</v>
      </c>
      <c r="D2697" s="2058"/>
      <c r="E2697" s="2056">
        <f t="shared" ref="E2697:E2702" si="42">IF(D2697="",E2696,D2697/C2697-1)</f>
        <v>0.20030739966752531</v>
      </c>
      <c r="F2697" s="2072"/>
      <c r="G2697" s="415"/>
      <c r="H2697" s="415"/>
    </row>
    <row r="2698" spans="1:10" ht="12.75" hidden="1" customHeight="1" outlineLevel="1" x14ac:dyDescent="0.25">
      <c r="A2698" s="2053" t="s">
        <v>9944</v>
      </c>
      <c r="B2698" s="2054">
        <v>45383</v>
      </c>
      <c r="C2698" s="2055">
        <v>100</v>
      </c>
      <c r="D2698" s="2058"/>
      <c r="E2698" s="2056">
        <f t="shared" si="42"/>
        <v>0.20030739966752531</v>
      </c>
      <c r="F2698" s="2072"/>
      <c r="G2698" s="415"/>
      <c r="H2698" s="415"/>
    </row>
    <row r="2699" spans="1:10" ht="12.75" hidden="1" customHeight="1" outlineLevel="1" x14ac:dyDescent="0.25">
      <c r="A2699" s="2053" t="s">
        <v>9945</v>
      </c>
      <c r="B2699" s="2054">
        <v>45413</v>
      </c>
      <c r="C2699" s="2055">
        <v>100</v>
      </c>
      <c r="D2699" s="2058"/>
      <c r="E2699" s="2056">
        <f t="shared" si="42"/>
        <v>0.20030739966752531</v>
      </c>
      <c r="F2699" s="2072"/>
      <c r="G2699" s="415"/>
      <c r="H2699" s="415"/>
    </row>
    <row r="2700" spans="1:10" ht="12.75" hidden="1" customHeight="1" outlineLevel="1" x14ac:dyDescent="0.25">
      <c r="A2700" s="2053" t="s">
        <v>9946</v>
      </c>
      <c r="B2700" s="2054">
        <v>45444</v>
      </c>
      <c r="C2700" s="2055">
        <v>100</v>
      </c>
      <c r="D2700" s="2058"/>
      <c r="E2700" s="2056">
        <f t="shared" si="42"/>
        <v>0.20030739966752531</v>
      </c>
      <c r="F2700" s="2072"/>
      <c r="G2700" s="415"/>
      <c r="H2700" s="415"/>
    </row>
    <row r="2701" spans="1:10" ht="12.75" hidden="1" customHeight="1" outlineLevel="1" x14ac:dyDescent="0.25">
      <c r="A2701" s="2053" t="s">
        <v>9947</v>
      </c>
      <c r="B2701" s="2054">
        <v>45474</v>
      </c>
      <c r="C2701" s="2055">
        <v>100</v>
      </c>
      <c r="D2701" s="2058"/>
      <c r="E2701" s="2056">
        <f t="shared" si="42"/>
        <v>0.20030739966752531</v>
      </c>
      <c r="F2701" s="2072"/>
      <c r="G2701" s="415"/>
      <c r="H2701" s="415"/>
    </row>
    <row r="2702" spans="1:10" ht="12.75" hidden="1" customHeight="1" outlineLevel="1" x14ac:dyDescent="0.25">
      <c r="A2702" s="2053" t="s">
        <v>9948</v>
      </c>
      <c r="B2702" s="2054">
        <v>45505</v>
      </c>
      <c r="C2702" s="2055">
        <v>100</v>
      </c>
      <c r="D2702" s="2058"/>
      <c r="E2702" s="2056">
        <f t="shared" si="42"/>
        <v>0.20030739966752531</v>
      </c>
      <c r="F2702" s="2072"/>
      <c r="G2702" s="415"/>
      <c r="H2702" s="415"/>
    </row>
    <row r="2703" spans="1:10" ht="12.75" hidden="1" customHeight="1" outlineLevel="1" x14ac:dyDescent="0.25">
      <c r="A2703" s="2053" t="s">
        <v>9949</v>
      </c>
      <c r="B2703" s="2054">
        <v>45536</v>
      </c>
      <c r="C2703" s="2055">
        <v>100</v>
      </c>
      <c r="D2703" s="2058"/>
      <c r="E2703" s="2056">
        <f>IF(D2703="",E2696,D2703/C2703-1)</f>
        <v>0.20030739966752531</v>
      </c>
      <c r="F2703" s="2072"/>
      <c r="G2703" s="415"/>
      <c r="H2703" s="415"/>
    </row>
    <row r="2704" spans="1:10" ht="12.75" hidden="1" customHeight="1" outlineLevel="1" x14ac:dyDescent="0.25">
      <c r="A2704" s="2053" t="s">
        <v>9950</v>
      </c>
      <c r="B2704" s="2054">
        <v>45566</v>
      </c>
      <c r="C2704" s="2055">
        <v>100</v>
      </c>
      <c r="D2704" s="2058"/>
      <c r="E2704" s="2056">
        <f>IF(D2704="",E2703,D2704/C2704-1)</f>
        <v>0.20030739966752531</v>
      </c>
      <c r="F2704" s="2072"/>
      <c r="G2704" s="415"/>
      <c r="H2704" s="415"/>
    </row>
    <row r="2705" spans="1:18" s="444" customFormat="1" ht="12.75" hidden="1" customHeight="1" outlineLevel="1" x14ac:dyDescent="0.25">
      <c r="A2705" s="2067" t="s">
        <v>2734</v>
      </c>
      <c r="B2705" s="2068"/>
      <c r="C2705" s="2058"/>
      <c r="D2705" s="2069" t="s">
        <v>2465</v>
      </c>
      <c r="E2705" s="2070">
        <f>AVERAGE(E2693:E2704)</f>
        <v>0.20030739966752531</v>
      </c>
      <c r="F2705" s="2071">
        <f>((((E2705*100)+100)-I2662)/100)</f>
        <v>0.23571739966752531</v>
      </c>
    </row>
    <row r="2706" spans="1:18" collapsed="1" x14ac:dyDescent="0.25">
      <c r="A2706" s="3799" t="s">
        <v>9899</v>
      </c>
      <c r="B2706" s="3800"/>
      <c r="C2706" s="3800"/>
      <c r="D2706" s="3800"/>
      <c r="E2706" s="18"/>
      <c r="F2706" s="186">
        <f>MAX(0%,MIN(F2705,100%))</f>
        <v>0.23571739966752531</v>
      </c>
      <c r="G2706" s="415"/>
    </row>
    <row r="2708" spans="1:18" ht="12.75" hidden="1" customHeight="1" outlineLevel="1" x14ac:dyDescent="0.25">
      <c r="A2708" s="1677" t="s">
        <v>4156</v>
      </c>
      <c r="B2708" s="1677" t="s">
        <v>4153</v>
      </c>
      <c r="C2708" s="1623" t="s">
        <v>112</v>
      </c>
      <c r="D2708" s="1678" t="s">
        <v>4155</v>
      </c>
      <c r="E2708" s="1677" t="s">
        <v>4154</v>
      </c>
      <c r="F2708" s="1678" t="s">
        <v>2519</v>
      </c>
      <c r="G2708" s="12"/>
      <c r="H2708" s="415"/>
      <c r="I2708" s="412" t="s">
        <v>6964</v>
      </c>
      <c r="J2708" s="1462">
        <v>43647</v>
      </c>
      <c r="K2708" s="1462">
        <v>43678</v>
      </c>
      <c r="L2708" s="1462">
        <v>43709</v>
      </c>
      <c r="M2708" s="1462">
        <v>43739</v>
      </c>
      <c r="N2708" s="1462">
        <v>43770</v>
      </c>
      <c r="O2708" s="1462">
        <v>43800</v>
      </c>
      <c r="P2708" s="1462">
        <v>43831</v>
      </c>
      <c r="Q2708" s="1462">
        <v>43862</v>
      </c>
      <c r="R2708" s="1462">
        <v>43891</v>
      </c>
    </row>
    <row r="2709" spans="1:18" ht="12.75" hidden="1" customHeight="1" outlineLevel="1" x14ac:dyDescent="0.25">
      <c r="A2709" s="2034">
        <v>0.08</v>
      </c>
      <c r="B2709" s="2035" t="s">
        <v>802</v>
      </c>
      <c r="C2709" s="2037">
        <v>9.0749999999999993</v>
      </c>
      <c r="D2709" s="2060">
        <f>VLOOKUP(H2709,indexy!$C$44:$D$823,2,FALSE)</f>
        <v>19.690000000000001</v>
      </c>
      <c r="E2709" s="2061">
        <f>D2709/C2709-1</f>
        <v>1.1696969696969699</v>
      </c>
      <c r="F2709" s="2062">
        <f>E2709*A2709</f>
        <v>9.357575757575759E-2</v>
      </c>
      <c r="G2709" s="415"/>
      <c r="H2709" s="415" t="str">
        <f>VLOOKUP(B2709,indexy!$A$44:$D$823,3,FALSE)</f>
        <v>NLY UN Equity</v>
      </c>
      <c r="I2709" s="412">
        <f>IF(J2709="",100,MIN(100,J2709:Y2709))</f>
        <v>98.727900000000005</v>
      </c>
      <c r="J2709">
        <v>100.01560000000001</v>
      </c>
      <c r="K2709">
        <v>99.776300000000006</v>
      </c>
      <c r="L2709">
        <v>99.087500000000006</v>
      </c>
      <c r="M2709">
        <v>101.3931</v>
      </c>
      <c r="N2709">
        <v>101.96080000000001</v>
      </c>
      <c r="O2709">
        <v>101.71720000000001</v>
      </c>
      <c r="P2709">
        <v>102.209</v>
      </c>
      <c r="Q2709">
        <v>104.015</v>
      </c>
      <c r="R2709">
        <v>98.727900000000005</v>
      </c>
    </row>
    <row r="2710" spans="1:18" ht="12.75" hidden="1" customHeight="1" outlineLevel="1" x14ac:dyDescent="0.25">
      <c r="A2710" s="1911">
        <v>0.02</v>
      </c>
      <c r="B2710" s="2035" t="s">
        <v>805</v>
      </c>
      <c r="C2710" s="2037">
        <v>99.650999999999996</v>
      </c>
      <c r="D2710" s="2063">
        <f>VLOOKUP(H2710,indexy!$C$44:$D$823,2,FALSE)</f>
        <v>132.25</v>
      </c>
      <c r="E2710" s="2064">
        <f>D2710/C2710-1</f>
        <v>0.32713168959669248</v>
      </c>
      <c r="F2710" s="2065">
        <f t="shared" ref="F2710:F2733" si="43">E2710*A2710</f>
        <v>6.5426337919338501E-3</v>
      </c>
      <c r="G2710" s="415"/>
      <c r="H2710" s="415" t="str">
        <f>VLOOKUP(B2710,indexy!$A$44:$D$823,3,FALSE)</f>
        <v>BMO CT Equity</v>
      </c>
      <c r="I2710" s="422">
        <f>+(((E2752*100)+100)-I2709)/100</f>
        <v>0.10362661471116028</v>
      </c>
    </row>
    <row r="2711" spans="1:18" ht="12.75" hidden="1" customHeight="1" outlineLevel="1" x14ac:dyDescent="0.25">
      <c r="A2711" s="1911">
        <v>0.05</v>
      </c>
      <c r="B2711" s="2035" t="s">
        <v>5748</v>
      </c>
      <c r="C2711" s="2037">
        <v>70.744</v>
      </c>
      <c r="D2711" s="2063">
        <f>VLOOKUP(H2711,indexy!$C$44:$D$823,2,FALSE)</f>
        <v>70.069999999999993</v>
      </c>
      <c r="E2711" s="2064">
        <f t="shared" ref="E2711:E2738" si="44">D2711/C2711-1</f>
        <v>-9.5273097365148329E-3</v>
      </c>
      <c r="F2711" s="2065">
        <f t="shared" si="43"/>
        <v>-4.7636548682574169E-4</v>
      </c>
      <c r="G2711" s="415"/>
      <c r="H2711" s="415" t="str">
        <f>VLOOKUP(B2711,indexy!$A$44:$D$823,3,FALSE)</f>
        <v>BNS CT Equity</v>
      </c>
      <c r="J2711" s="434"/>
    </row>
    <row r="2712" spans="1:18" ht="12.75" hidden="1" customHeight="1" outlineLevel="1" x14ac:dyDescent="0.25">
      <c r="A2712" s="1911">
        <v>0.08</v>
      </c>
      <c r="B2712" s="2035" t="s">
        <v>807</v>
      </c>
      <c r="C2712" s="2037">
        <v>60.895000000000003</v>
      </c>
      <c r="D2712" s="2063">
        <f>VLOOKUP(H2712,indexy!$C$44:$D$823,2,FALSE)</f>
        <v>46.03</v>
      </c>
      <c r="E2712" s="2064">
        <f t="shared" si="44"/>
        <v>-0.24410871171688975</v>
      </c>
      <c r="F2712" s="2065">
        <f t="shared" si="43"/>
        <v>-1.9528696937351181E-2</v>
      </c>
      <c r="G2712" s="415"/>
      <c r="H2712" s="415" t="str">
        <f>VLOOKUP(B2712,indexy!$A$44:$D$823,3,FALSE)</f>
        <v>BCE CT Equity</v>
      </c>
      <c r="J2712" s="434"/>
      <c r="K2712" s="37"/>
    </row>
    <row r="2713" spans="1:18" ht="12.75" hidden="1" customHeight="1" outlineLevel="1" x14ac:dyDescent="0.25">
      <c r="A2713" s="1911">
        <v>0.02</v>
      </c>
      <c r="B2713" s="2035" t="s">
        <v>3954</v>
      </c>
      <c r="C2713" s="2037">
        <f>103.713/2</f>
        <v>51.856499999999997</v>
      </c>
      <c r="D2713" s="2063">
        <f>VLOOKUP(H2713,indexy!$C$44:$D$823,2,FALSE)</f>
        <v>68.67</v>
      </c>
      <c r="E2713" s="2064">
        <f t="shared" si="44"/>
        <v>0.32423129212345625</v>
      </c>
      <c r="F2713" s="2065">
        <f t="shared" si="43"/>
        <v>6.4846258424691248E-3</v>
      </c>
      <c r="G2713" s="415"/>
      <c r="H2713" s="415" t="str">
        <f>VLOOKUP(B2713,indexy!$A$44:$D$823,3,FALSE)</f>
        <v>CM CT Equity</v>
      </c>
      <c r="J2713" s="434"/>
    </row>
    <row r="2714" spans="1:18" ht="12.75" hidden="1" customHeight="1" outlineLevel="1" x14ac:dyDescent="0.25">
      <c r="A2714" s="1911">
        <v>0.08</v>
      </c>
      <c r="B2714" s="2035" t="s">
        <v>9591</v>
      </c>
      <c r="C2714" s="2037">
        <v>76.036000000000001</v>
      </c>
      <c r="D2714" s="2063">
        <f>VLOOKUP(H2714,indexy!$C$44:$D$823,2,FALSE)</f>
        <v>49.19</v>
      </c>
      <c r="E2714" s="2064">
        <f t="shared" si="44"/>
        <v>-0.35306959861118425</v>
      </c>
      <c r="F2714" s="2065">
        <f t="shared" si="43"/>
        <v>-2.8245567888894742E-2</v>
      </c>
      <c r="G2714" s="415"/>
      <c r="H2714" s="415" t="str">
        <f>VLOOKUP(B2714,indexy!$A$44:$D$823,3,FALSE)</f>
        <v>D UN Equity</v>
      </c>
      <c r="J2714" s="434"/>
    </row>
    <row r="2715" spans="1:18" ht="12.75" hidden="1" customHeight="1" outlineLevel="1" x14ac:dyDescent="0.25">
      <c r="A2715" s="1911">
        <v>0.02</v>
      </c>
      <c r="B2715" s="2035" t="s">
        <v>1231</v>
      </c>
      <c r="C2715" s="2037">
        <v>87.168000000000006</v>
      </c>
      <c r="D2715" s="2063">
        <f>VLOOKUP(H2715,indexy!$C$44:$D$823,2,FALSE)</f>
        <v>96.71</v>
      </c>
      <c r="E2715" s="2064">
        <f t="shared" si="44"/>
        <v>0.10946677679882511</v>
      </c>
      <c r="F2715" s="2065">
        <f t="shared" si="43"/>
        <v>2.189335535976502E-3</v>
      </c>
      <c r="G2715" s="415"/>
      <c r="H2715" s="415" t="str">
        <f>VLOOKUP(B2715,indexy!$A$44:$D$823,3,FALSE)</f>
        <v>DUK UN Equity</v>
      </c>
      <c r="J2715" s="434"/>
    </row>
    <row r="2716" spans="1:18" ht="12.75" hidden="1" customHeight="1" outlineLevel="1" x14ac:dyDescent="0.25">
      <c r="A2716" s="1911">
        <v>0.02</v>
      </c>
      <c r="B2716" s="2035" t="s">
        <v>7855</v>
      </c>
      <c r="C2716" s="2037">
        <v>46.323999999999998</v>
      </c>
      <c r="D2716" s="2063">
        <f>VLOOKUP(H2716,indexy!$C$44:$D$823,2,FALSE)</f>
        <v>48.95</v>
      </c>
      <c r="E2716" s="2064">
        <f t="shared" si="44"/>
        <v>5.6687678093428895E-2</v>
      </c>
      <c r="F2716" s="2065">
        <f t="shared" si="43"/>
        <v>1.1337535618685779E-3</v>
      </c>
      <c r="G2716" s="415"/>
      <c r="H2716" s="415" t="str">
        <f>VLOOKUP(B2716,indexy!$A$44:$D$823,3,FALSE)</f>
        <v>ENB CT Equity</v>
      </c>
      <c r="J2716" s="434"/>
    </row>
    <row r="2717" spans="1:18" ht="12.75" hidden="1" customHeight="1" outlineLevel="1" x14ac:dyDescent="0.25">
      <c r="A2717" s="1911">
        <v>0.02</v>
      </c>
      <c r="B2717" s="2035" t="s">
        <v>3425</v>
      </c>
      <c r="C2717" s="2037">
        <v>75.015000000000001</v>
      </c>
      <c r="D2717" s="2063">
        <f>VLOOKUP(H2717,indexy!$C$44:$D$823,2,FALSE)</f>
        <v>116.24</v>
      </c>
      <c r="E2717" s="2064">
        <f t="shared" si="44"/>
        <v>0.54955675531560355</v>
      </c>
      <c r="F2717" s="2065">
        <f t="shared" si="43"/>
        <v>1.0991135106312071E-2</v>
      </c>
      <c r="G2717" s="415"/>
      <c r="H2717" s="415" t="str">
        <f>VLOOKUP(B2717,indexy!$A$44:$D$823,3,FALSE)</f>
        <v>XOM UN Equity</v>
      </c>
      <c r="J2717" s="434"/>
    </row>
    <row r="2718" spans="1:18" ht="12.75" hidden="1" customHeight="1" outlineLevel="1" x14ac:dyDescent="0.25">
      <c r="A2718" s="1911">
        <v>0.02</v>
      </c>
      <c r="B2718" s="2035" t="s">
        <v>4036</v>
      </c>
      <c r="C2718" s="2037">
        <v>18.498999999999999</v>
      </c>
      <c r="D2718" s="2063">
        <f>VLOOKUP(H2718,indexy!$C$44:$D$823,2,FALSE)</f>
        <v>20.66</v>
      </c>
      <c r="E2718" s="2064">
        <f t="shared" si="44"/>
        <v>0.11681712525001364</v>
      </c>
      <c r="F2718" s="2065">
        <f t="shared" si="43"/>
        <v>2.3363425050002729E-3</v>
      </c>
      <c r="G2718" s="415"/>
      <c r="H2718" s="415" t="str">
        <f>VLOOKUP(B2718,indexy!$A$44:$D$823,3,FALSE)</f>
        <v>HST UN Equity</v>
      </c>
      <c r="J2718" s="434"/>
    </row>
    <row r="2719" spans="1:18" ht="12.75" hidden="1" customHeight="1" outlineLevel="1" x14ac:dyDescent="0.25">
      <c r="A2719" s="1911">
        <v>0.02</v>
      </c>
      <c r="B2719" s="2035" t="s">
        <v>52</v>
      </c>
      <c r="C2719" s="2037">
        <v>135.70400000000001</v>
      </c>
      <c r="D2719" s="2063">
        <f>VLOOKUP(H2719,indexy!$C$44:$D$823,2,FALSE)</f>
        <v>190.96</v>
      </c>
      <c r="E2719" s="2064">
        <f t="shared" si="44"/>
        <v>0.40718033366739381</v>
      </c>
      <c r="F2719" s="2065">
        <f t="shared" si="43"/>
        <v>8.1436066733478769E-3</v>
      </c>
      <c r="G2719" s="415"/>
      <c r="H2719" s="415" t="str">
        <f>VLOOKUP(B2719,indexy!$A$44:$D$823,3,FALSE)</f>
        <v>IBM UN Equity</v>
      </c>
      <c r="J2719" s="434"/>
    </row>
    <row r="2720" spans="1:18" ht="12.75" hidden="1" customHeight="1" outlineLevel="1" x14ac:dyDescent="0.25">
      <c r="A2720" s="1911">
        <v>0.02</v>
      </c>
      <c r="B2720" s="2035" t="s">
        <v>7909</v>
      </c>
      <c r="C2720" s="2037">
        <v>43.473999999999997</v>
      </c>
      <c r="D2720" s="2063">
        <f>VLOOKUP(H2720,indexy!$C$44:$D$823,2,FALSE)</f>
        <v>39.020000000000003</v>
      </c>
      <c r="E2720" s="2064">
        <f t="shared" si="44"/>
        <v>-0.10245204029994925</v>
      </c>
      <c r="F2720" s="2065">
        <f t="shared" si="43"/>
        <v>-2.0490408059989852E-3</v>
      </c>
      <c r="G2720" s="415"/>
      <c r="H2720" s="415" t="str">
        <f>VLOOKUP(B2720,indexy!$A$44:$D$823,3,FALSE)</f>
        <v>IP UN Equity</v>
      </c>
      <c r="J2720" s="434"/>
    </row>
    <row r="2721" spans="1:10" ht="12.75" hidden="1" customHeight="1" outlineLevel="1" x14ac:dyDescent="0.25">
      <c r="A2721" s="1911">
        <v>0.02</v>
      </c>
      <c r="B2721" s="2035" t="s">
        <v>6707</v>
      </c>
      <c r="C2721" s="2038">
        <v>20.757999999999999</v>
      </c>
      <c r="D2721" s="2063">
        <f>VLOOKUP(H2721,indexy!$C$44:$D$823,2,FALSE)</f>
        <v>18.34</v>
      </c>
      <c r="E2721" s="2064">
        <f t="shared" si="44"/>
        <v>-0.11648521052124483</v>
      </c>
      <c r="F2721" s="2065">
        <f t="shared" si="43"/>
        <v>-2.3297042104248968E-3</v>
      </c>
      <c r="G2721" s="415"/>
      <c r="H2721" s="415" t="str">
        <f>VLOOKUP(B2721,indexy!$A$44:$D$823,3,FALSE)</f>
        <v>KMI UN Equity</v>
      </c>
      <c r="J2721" s="434"/>
    </row>
    <row r="2722" spans="1:10" ht="12.75" hidden="1" customHeight="1" outlineLevel="1" x14ac:dyDescent="0.25">
      <c r="A2722" s="1911">
        <v>0.02</v>
      </c>
      <c r="B2722" s="2035" t="s">
        <v>123</v>
      </c>
      <c r="C2722" s="2037">
        <v>23.501000000000001</v>
      </c>
      <c r="D2722" s="2063">
        <f>VLOOKUP(H2722,indexy!$C$44:$D$823,2,FALSE)</f>
        <v>33.83</v>
      </c>
      <c r="E2722" s="2064">
        <f t="shared" si="44"/>
        <v>0.43951321220373596</v>
      </c>
      <c r="F2722" s="2065">
        <f t="shared" si="43"/>
        <v>8.7902642440747195E-3</v>
      </c>
      <c r="G2722" s="415"/>
      <c r="H2722" s="415" t="str">
        <f>VLOOKUP(B2722,indexy!$A$44:$D$823,3,FALSE)</f>
        <v>MFC CT Equity</v>
      </c>
      <c r="J2722" s="434"/>
    </row>
    <row r="2723" spans="1:10" ht="12.75" hidden="1" customHeight="1" outlineLevel="1" x14ac:dyDescent="0.25">
      <c r="A2723" s="1911">
        <v>0.02</v>
      </c>
      <c r="B2723" s="2035" t="s">
        <v>7838</v>
      </c>
      <c r="C2723" s="2037">
        <v>48.62</v>
      </c>
      <c r="D2723" s="2063">
        <f>VLOOKUP(H2723,indexy!$C$44:$D$823,2,FALSE)</f>
        <v>74.11</v>
      </c>
      <c r="E2723" s="2064">
        <f t="shared" si="44"/>
        <v>0.52426984779925956</v>
      </c>
      <c r="F2723" s="2065">
        <f t="shared" si="43"/>
        <v>1.0485396955985191E-2</v>
      </c>
      <c r="G2723" s="415"/>
      <c r="H2723" s="415" t="str">
        <f>VLOOKUP(B2723,indexy!$A$44:$D$823,3,FALSE)</f>
        <v>MET UN Equity</v>
      </c>
      <c r="J2723" s="434"/>
    </row>
    <row r="2724" spans="1:10" ht="12.75" hidden="1" customHeight="1" outlineLevel="1" x14ac:dyDescent="0.25">
      <c r="A2724" s="1911">
        <v>0.02</v>
      </c>
      <c r="B2724" s="2035" t="s">
        <v>7754</v>
      </c>
      <c r="C2724" s="2037">
        <v>61.945999999999998</v>
      </c>
      <c r="D2724" s="2063">
        <f>VLOOKUP(H2724,indexy!$C$44:$D$823,2,FALSE)</f>
        <v>114.06</v>
      </c>
      <c r="E2724" s="2064">
        <f t="shared" si="44"/>
        <v>0.84128111581054466</v>
      </c>
      <c r="F2724" s="2065">
        <f t="shared" si="43"/>
        <v>1.6825622316210893E-2</v>
      </c>
      <c r="G2724" s="415"/>
      <c r="H2724" s="415" t="str">
        <f>VLOOKUP(B2724,indexy!$A$44:$D$823,3,FALSE)</f>
        <v>NA CT Equity</v>
      </c>
      <c r="J2724" s="434"/>
    </row>
    <row r="2725" spans="1:10" ht="12.75" hidden="1" customHeight="1" outlineLevel="1" x14ac:dyDescent="0.25">
      <c r="A2725" s="1911">
        <v>0.02</v>
      </c>
      <c r="B2725" s="2035" t="s">
        <v>4</v>
      </c>
      <c r="C2725" s="2037">
        <v>49.438000000000002</v>
      </c>
      <c r="D2725" s="2063">
        <f>VLOOKUP(H2725,indexy!$C$44:$D$823,2,FALSE)</f>
        <v>64.989999999999995</v>
      </c>
      <c r="E2725" s="2064">
        <f t="shared" si="44"/>
        <v>0.31457583235567754</v>
      </c>
      <c r="F2725" s="2065">
        <f t="shared" si="43"/>
        <v>6.2915166471135507E-3</v>
      </c>
      <c r="G2725" s="415"/>
      <c r="H2725" s="415" t="str">
        <f>VLOOKUP(B2725,indexy!$A$44:$D$823,3,FALSE)</f>
        <v>OXY UN Equity</v>
      </c>
      <c r="J2725" s="434"/>
    </row>
    <row r="2726" spans="1:10" ht="12.75" hidden="1" customHeight="1" outlineLevel="1" x14ac:dyDescent="0.25">
      <c r="A2726" s="1911">
        <v>0.02</v>
      </c>
      <c r="B2726" s="2035" t="s">
        <v>10027</v>
      </c>
      <c r="C2726" s="2037">
        <v>65.596000000000004</v>
      </c>
      <c r="D2726" s="2063">
        <f>VLOOKUP(H2726,indexy!$C$44:$D$823,2,FALSE)</f>
        <v>80.17</v>
      </c>
      <c r="E2726" s="2064">
        <f t="shared" si="44"/>
        <v>0.22217818159643876</v>
      </c>
      <c r="F2726" s="2065">
        <f t="shared" si="43"/>
        <v>4.4435636319287751E-3</v>
      </c>
      <c r="G2726" s="415"/>
      <c r="H2726" s="415" t="str">
        <f>VLOOKUP(B2726,indexy!$A$44:$D$823,3,FALSE)</f>
        <v>OKE UN Equity</v>
      </c>
      <c r="J2726" s="434"/>
    </row>
    <row r="2727" spans="1:10" ht="12.75" hidden="1" customHeight="1" outlineLevel="1" x14ac:dyDescent="0.25">
      <c r="A2727" s="1911">
        <v>0.05</v>
      </c>
      <c r="B2727" s="2035" t="s">
        <v>9516</v>
      </c>
      <c r="C2727" s="2037">
        <v>48.432000000000002</v>
      </c>
      <c r="D2727" s="2063">
        <f>VLOOKUP(H2727,indexy!$C$44:$D$823,2,FALSE)</f>
        <v>47.81</v>
      </c>
      <c r="E2727" s="2064">
        <f t="shared" si="44"/>
        <v>-1.2842748595969566E-2</v>
      </c>
      <c r="F2727" s="2065">
        <f t="shared" si="43"/>
        <v>-6.4213742979847836E-4</v>
      </c>
      <c r="G2727" s="415"/>
      <c r="H2727" s="415" t="str">
        <f>VLOOKUP(B2727,indexy!$A$44:$D$823,3,FALSE)</f>
        <v>PPL CT Equity</v>
      </c>
      <c r="J2727" s="434"/>
    </row>
    <row r="2728" spans="1:10" ht="12.75" hidden="1" customHeight="1" outlineLevel="1" x14ac:dyDescent="0.25">
      <c r="A2728" s="1911">
        <v>0.04</v>
      </c>
      <c r="B2728" s="2035" t="s">
        <v>2769</v>
      </c>
      <c r="C2728" s="2037">
        <v>31.097999999999999</v>
      </c>
      <c r="D2728" s="2063">
        <f>VLOOKUP(H2728,indexy!$C$44:$D$823,2,FALSE)</f>
        <v>27.53</v>
      </c>
      <c r="E2728" s="2064">
        <f t="shared" si="44"/>
        <v>-0.11473406649945328</v>
      </c>
      <c r="F2728" s="2065">
        <f t="shared" si="43"/>
        <v>-4.5893626599781316E-3</v>
      </c>
      <c r="G2728" s="415"/>
      <c r="H2728" s="415" t="str">
        <f>VLOOKUP(B2728,indexy!$A$44:$D$823,3,FALSE)</f>
        <v>PPL UN Equity</v>
      </c>
      <c r="J2728" s="434"/>
    </row>
    <row r="2729" spans="1:10" ht="12.75" hidden="1" customHeight="1" outlineLevel="1" x14ac:dyDescent="0.25">
      <c r="A2729" s="1911">
        <v>0.02</v>
      </c>
      <c r="B2729" s="2035" t="s">
        <v>8210</v>
      </c>
      <c r="C2729" s="2037">
        <v>163.953</v>
      </c>
      <c r="D2729" s="2063">
        <f>VLOOKUP(H2729,indexy!$C$44:$D$823,2,FALSE)</f>
        <v>156.49</v>
      </c>
      <c r="E2729" s="2064">
        <f t="shared" si="44"/>
        <v>-4.5519142681134217E-2</v>
      </c>
      <c r="F2729" s="2065">
        <f t="shared" si="43"/>
        <v>-9.1038285362268431E-4</v>
      </c>
      <c r="G2729" s="415"/>
      <c r="H2729" s="415" t="str">
        <f>VLOOKUP(B2729,indexy!$A$44:$D$823,3,FALSE)</f>
        <v>SPG UN Equity</v>
      </c>
      <c r="J2729" s="434"/>
    </row>
    <row r="2730" spans="1:10" ht="12.75" hidden="1" customHeight="1" outlineLevel="1" x14ac:dyDescent="0.25">
      <c r="A2730" s="1911">
        <v>0.02</v>
      </c>
      <c r="B2730" s="2035" t="s">
        <v>898</v>
      </c>
      <c r="C2730" s="2037">
        <v>53.173999999999999</v>
      </c>
      <c r="D2730" s="2063">
        <f>VLOOKUP(H2730,indexy!$C$44:$D$823,2,FALSE)</f>
        <v>73.91</v>
      </c>
      <c r="E2730" s="2064">
        <f t="shared" si="44"/>
        <v>0.38996502049873993</v>
      </c>
      <c r="F2730" s="2065">
        <f t="shared" si="43"/>
        <v>7.7993004099747992E-3</v>
      </c>
      <c r="G2730" s="415"/>
      <c r="H2730" s="415" t="str">
        <f>VLOOKUP(B2730,indexy!$A$44:$D$823,3,FALSE)</f>
        <v>SLF CT Equity</v>
      </c>
      <c r="J2730" s="434"/>
    </row>
    <row r="2731" spans="1:10" ht="12.75" hidden="1" customHeight="1" outlineLevel="1" x14ac:dyDescent="0.25">
      <c r="A2731" s="1911">
        <v>0.04</v>
      </c>
      <c r="B2731" s="2035" t="s">
        <v>366</v>
      </c>
      <c r="C2731" s="2037">
        <v>65.844999999999999</v>
      </c>
      <c r="D2731" s="2063">
        <f>VLOOKUP(H2731,indexy!$C$44:$D$823,2,FALSE)</f>
        <v>54.44</v>
      </c>
      <c r="E2731" s="2064">
        <f t="shared" si="44"/>
        <v>-0.17320981091958387</v>
      </c>
      <c r="F2731" s="2065">
        <f t="shared" si="43"/>
        <v>-6.9283924367833554E-3</v>
      </c>
      <c r="G2731" s="415"/>
      <c r="H2731" s="415" t="str">
        <f>VLOOKUP(B2731,indexy!$A$44:$D$823,3,FALSE)</f>
        <v>TRP CT Equity</v>
      </c>
      <c r="J2731" s="434"/>
    </row>
    <row r="2732" spans="1:10" ht="12.75" hidden="1" customHeight="1" outlineLevel="1" x14ac:dyDescent="0.25">
      <c r="A2732" s="1911">
        <v>0.08</v>
      </c>
      <c r="B2732" s="2035" t="s">
        <v>3665</v>
      </c>
      <c r="C2732" s="2037">
        <f>49.184/2</f>
        <v>24.591999999999999</v>
      </c>
      <c r="D2732" s="2063">
        <f>VLOOKUP(H2732,indexy!$C$44:$D$823,2,FALSE)</f>
        <v>21.67</v>
      </c>
      <c r="E2732" s="2064">
        <f t="shared" si="44"/>
        <v>-0.1188191281717631</v>
      </c>
      <c r="F2732" s="2065">
        <f t="shared" si="43"/>
        <v>-9.5055302537410489E-3</v>
      </c>
      <c r="G2732" s="415"/>
      <c r="H2732" s="415" t="str">
        <f>VLOOKUP(B2732,indexy!$A$44:$D$823,3,FALSE)</f>
        <v>T CT Equity</v>
      </c>
      <c r="J2732" s="434"/>
    </row>
    <row r="2733" spans="1:10" ht="12.75" hidden="1" customHeight="1" outlineLevel="1" x14ac:dyDescent="0.25">
      <c r="A2733" s="1911">
        <v>0.02</v>
      </c>
      <c r="B2733" s="2035" t="s">
        <v>5758</v>
      </c>
      <c r="C2733" s="2037">
        <v>66.902000000000001</v>
      </c>
      <c r="D2733" s="2063">
        <f>VLOOKUP(H2733,indexy!$C$44:$D$823,2,FALSE)</f>
        <v>43.54</v>
      </c>
      <c r="E2733" s="2064">
        <f t="shared" si="44"/>
        <v>-0.34919733341305192</v>
      </c>
      <c r="F2733" s="2065">
        <f t="shared" si="43"/>
        <v>-6.9839466682610389E-3</v>
      </c>
      <c r="G2733" s="415"/>
      <c r="H2733" s="415" t="str">
        <f>VLOOKUP(B2733,indexy!$A$44:$D$823,3,FALSE)</f>
        <v>VTR UN Equity</v>
      </c>
      <c r="J2733" s="434"/>
    </row>
    <row r="2734" spans="1:10" ht="12.75" hidden="1" customHeight="1" outlineLevel="1" x14ac:dyDescent="0.25">
      <c r="A2734" s="1911">
        <v>0.02</v>
      </c>
      <c r="B2734" s="2035" t="s">
        <v>255</v>
      </c>
      <c r="C2734" s="2037">
        <v>57.341000000000001</v>
      </c>
      <c r="D2734" s="2063">
        <f>VLOOKUP(H2734,indexy!$C$44:$D$823,2,FALSE)</f>
        <v>41.96</v>
      </c>
      <c r="E2734" s="2064">
        <f t="shared" si="44"/>
        <v>-0.26823738686105925</v>
      </c>
      <c r="F2734" s="2065">
        <f>E2734*A2734</f>
        <v>-5.3647477372211847E-3</v>
      </c>
      <c r="G2734" s="415"/>
      <c r="H2734" s="415" t="str">
        <f>VLOOKUP(B2734,indexy!$A$44:$D$823,3,FALSE)</f>
        <v>VZ UN Equity</v>
      </c>
      <c r="J2734" s="434"/>
    </row>
    <row r="2735" spans="1:10" ht="12.75" hidden="1" customHeight="1" outlineLevel="1" x14ac:dyDescent="0.25">
      <c r="A2735" s="1911">
        <v>0.02</v>
      </c>
      <c r="B2735" s="2035" t="s">
        <v>6163</v>
      </c>
      <c r="C2735" s="2037">
        <v>82.968000000000004</v>
      </c>
      <c r="D2735" s="2063">
        <f>VLOOKUP(H2735,indexy!$C$44:$D$946,2,FALSE)</f>
        <v>93.44</v>
      </c>
      <c r="E2735" s="2064">
        <f t="shared" si="44"/>
        <v>0.12621733680455116</v>
      </c>
      <c r="F2735" s="2065">
        <f>E2735*A2735</f>
        <v>2.5243467360910234E-3</v>
      </c>
      <c r="G2735" s="415"/>
      <c r="H2735" s="415" t="str">
        <f>VLOOKUP(B2735,indexy!$A$44:$D$946,3,FALSE)</f>
        <v>WELL UN Equity</v>
      </c>
      <c r="J2735" s="434"/>
    </row>
    <row r="2736" spans="1:10" ht="12.75" hidden="1" customHeight="1" outlineLevel="1" x14ac:dyDescent="0.25">
      <c r="A2736" s="1911">
        <v>0.02</v>
      </c>
      <c r="B2736" s="2035" t="s">
        <v>5916</v>
      </c>
      <c r="C2736" s="2037">
        <v>25.268999999999998</v>
      </c>
      <c r="D2736" s="2063">
        <f>VLOOKUP(H2736,indexy!$C$44:$D$823,2,FALSE)</f>
        <v>35.909999999999997</v>
      </c>
      <c r="E2736" s="2064">
        <f t="shared" si="44"/>
        <v>0.4211088685741422</v>
      </c>
      <c r="F2736" s="2065">
        <f>E2736*A2736</f>
        <v>8.4221773714828439E-3</v>
      </c>
      <c r="G2736" s="415"/>
      <c r="H2736" s="415" t="str">
        <f>VLOOKUP(B2736,indexy!$A$44:$D$823,3,FALSE)</f>
        <v>WY UN Equity</v>
      </c>
      <c r="J2736" s="434"/>
    </row>
    <row r="2737" spans="1:10" ht="12.75" hidden="1" customHeight="1" outlineLevel="1" x14ac:dyDescent="0.25">
      <c r="A2737" s="1911">
        <v>0.02</v>
      </c>
      <c r="B2737" s="2035" t="s">
        <v>9518</v>
      </c>
      <c r="C2737" s="2037">
        <v>27.303000000000001</v>
      </c>
      <c r="D2737" s="2063">
        <f>VLOOKUP(H2737,indexy!$C$44:$D$823,2,FALSE)</f>
        <v>38.97</v>
      </c>
      <c r="E2737" s="2064">
        <f t="shared" si="44"/>
        <v>0.42731567959564876</v>
      </c>
      <c r="F2737" s="2065">
        <f>E2737*A2737</f>
        <v>8.5463135919129751E-3</v>
      </c>
      <c r="G2737" s="415"/>
      <c r="H2737" s="415" t="str">
        <f>VLOOKUP(B2737,indexy!$A$44:$D$823,3,FALSE)</f>
        <v>WMB UN Equity</v>
      </c>
      <c r="J2737" s="434"/>
    </row>
    <row r="2738" spans="1:10" ht="12.75" hidden="1" customHeight="1" outlineLevel="1" x14ac:dyDescent="0.25">
      <c r="A2738" s="1911">
        <v>0.08</v>
      </c>
      <c r="B2738" s="2036" t="s">
        <v>10003</v>
      </c>
      <c r="C2738" s="2037">
        <v>85.299000000000007</v>
      </c>
      <c r="D2738" s="2066">
        <f>VLOOKUP(H2738,indexy!$C$44:$D$823,2,FALSE)</f>
        <v>56.44</v>
      </c>
      <c r="E2738" s="2064">
        <f t="shared" si="44"/>
        <v>-0.33832753021723594</v>
      </c>
      <c r="F2738" s="2065">
        <f>E2738*A2738</f>
        <v>-2.7066202417378876E-2</v>
      </c>
      <c r="G2738" s="415"/>
      <c r="H2738" s="415" t="str">
        <f>VLOOKUP(B2738,indexy!$A$44:$D$823,3,FALSE)</f>
        <v>WPC UN Equity</v>
      </c>
      <c r="J2738" s="434"/>
    </row>
    <row r="2739" spans="1:10" ht="12.75" hidden="1" customHeight="1" outlineLevel="1" x14ac:dyDescent="0.25">
      <c r="A2739" s="2048" t="s">
        <v>2734</v>
      </c>
      <c r="B2739" s="2049"/>
      <c r="C2739" s="2050">
        <v>100</v>
      </c>
      <c r="D2739" s="2051"/>
      <c r="E2739" s="2059"/>
      <c r="F2739" s="2059">
        <f>SUM(F2709:F2738)</f>
        <v>9.0905614711160307E-2</v>
      </c>
      <c r="G2739" s="415"/>
      <c r="H2739" s="415"/>
    </row>
    <row r="2740" spans="1:10" ht="12.75" hidden="1" customHeight="1" outlineLevel="1" x14ac:dyDescent="0.25">
      <c r="A2740" s="2053" t="s">
        <v>10030</v>
      </c>
      <c r="B2740" s="2054">
        <v>45536</v>
      </c>
      <c r="C2740" s="2055">
        <v>100</v>
      </c>
      <c r="D2740" s="2055"/>
      <c r="E2740" s="2056">
        <f>IF(D2740="",F2739,D2740/C2740-1)</f>
        <v>9.0905614711160307E-2</v>
      </c>
      <c r="F2740" s="2072"/>
      <c r="G2740" s="415"/>
      <c r="H2740" s="415"/>
    </row>
    <row r="2741" spans="1:10" ht="12.75" hidden="1" customHeight="1" outlineLevel="1" x14ac:dyDescent="0.25">
      <c r="A2741" s="2053" t="s">
        <v>10031</v>
      </c>
      <c r="B2741" s="2054">
        <v>45566</v>
      </c>
      <c r="C2741" s="2055">
        <v>100</v>
      </c>
      <c r="D2741" s="2058"/>
      <c r="E2741" s="2056">
        <f>IF(D2741="",E2740,D2741/C2741-1)</f>
        <v>9.0905614711160307E-2</v>
      </c>
      <c r="F2741" s="2072"/>
      <c r="G2741" s="415"/>
      <c r="H2741" s="415"/>
    </row>
    <row r="2742" spans="1:10" ht="12.75" hidden="1" customHeight="1" outlineLevel="1" x14ac:dyDescent="0.25">
      <c r="A2742" s="2053" t="s">
        <v>10032</v>
      </c>
      <c r="B2742" s="2054">
        <v>45597</v>
      </c>
      <c r="C2742" s="2055">
        <v>100</v>
      </c>
      <c r="D2742" s="2058"/>
      <c r="E2742" s="2056">
        <f>IF(D2742="",E2741,D2742/C2742-1)</f>
        <v>9.0905614711160307E-2</v>
      </c>
      <c r="F2742" s="2072"/>
      <c r="G2742" s="415"/>
      <c r="H2742" s="415"/>
    </row>
    <row r="2743" spans="1:10" ht="12.75" hidden="1" customHeight="1" outlineLevel="1" x14ac:dyDescent="0.25">
      <c r="A2743" s="2053" t="s">
        <v>10033</v>
      </c>
      <c r="B2743" s="2054">
        <v>45627</v>
      </c>
      <c r="C2743" s="2055">
        <v>100</v>
      </c>
      <c r="D2743" s="2058"/>
      <c r="E2743" s="2056">
        <f>IF(D2743="",E2742,D2743/C2743-1)</f>
        <v>9.0905614711160307E-2</v>
      </c>
      <c r="F2743" s="2072"/>
      <c r="G2743" s="415"/>
      <c r="H2743" s="415"/>
    </row>
    <row r="2744" spans="1:10" ht="12.75" hidden="1" customHeight="1" outlineLevel="1" x14ac:dyDescent="0.25">
      <c r="A2744" s="2053" t="s">
        <v>10034</v>
      </c>
      <c r="B2744" s="2054">
        <v>45658</v>
      </c>
      <c r="C2744" s="2055">
        <v>100</v>
      </c>
      <c r="D2744" s="2058"/>
      <c r="E2744" s="2056">
        <f t="shared" ref="E2744:E2749" si="45">IF(D2744="",E2743,D2744/C2744-1)</f>
        <v>9.0905614711160307E-2</v>
      </c>
      <c r="F2744" s="2072"/>
      <c r="G2744" s="415"/>
      <c r="H2744" s="415"/>
    </row>
    <row r="2745" spans="1:10" ht="12.75" hidden="1" customHeight="1" outlineLevel="1" x14ac:dyDescent="0.25">
      <c r="A2745" s="2053" t="s">
        <v>10035</v>
      </c>
      <c r="B2745" s="2054">
        <v>45689</v>
      </c>
      <c r="C2745" s="2055">
        <v>100</v>
      </c>
      <c r="D2745" s="2058"/>
      <c r="E2745" s="2056">
        <f t="shared" si="45"/>
        <v>9.0905614711160307E-2</v>
      </c>
      <c r="F2745" s="2072"/>
      <c r="G2745" s="415"/>
      <c r="H2745" s="415"/>
    </row>
    <row r="2746" spans="1:10" ht="12.75" hidden="1" customHeight="1" outlineLevel="1" x14ac:dyDescent="0.25">
      <c r="A2746" s="2053" t="s">
        <v>10036</v>
      </c>
      <c r="B2746" s="2054">
        <v>45717</v>
      </c>
      <c r="C2746" s="2055">
        <v>100</v>
      </c>
      <c r="D2746" s="2058"/>
      <c r="E2746" s="2056">
        <f t="shared" si="45"/>
        <v>9.0905614711160307E-2</v>
      </c>
      <c r="F2746" s="2072"/>
      <c r="G2746" s="415"/>
      <c r="H2746" s="415"/>
    </row>
    <row r="2747" spans="1:10" ht="12.75" hidden="1" customHeight="1" outlineLevel="1" x14ac:dyDescent="0.25">
      <c r="A2747" s="2053" t="s">
        <v>10037</v>
      </c>
      <c r="B2747" s="2054">
        <v>45748</v>
      </c>
      <c r="C2747" s="2055">
        <v>100</v>
      </c>
      <c r="D2747" s="2058"/>
      <c r="E2747" s="2056">
        <f t="shared" si="45"/>
        <v>9.0905614711160307E-2</v>
      </c>
      <c r="F2747" s="2072"/>
      <c r="G2747" s="415"/>
      <c r="H2747" s="415"/>
    </row>
    <row r="2748" spans="1:10" ht="12.75" hidden="1" customHeight="1" outlineLevel="1" x14ac:dyDescent="0.25">
      <c r="A2748" s="2053" t="s">
        <v>10038</v>
      </c>
      <c r="B2748" s="2054">
        <v>45778</v>
      </c>
      <c r="C2748" s="2055">
        <v>100</v>
      </c>
      <c r="D2748" s="2058"/>
      <c r="E2748" s="2056">
        <f t="shared" si="45"/>
        <v>9.0905614711160307E-2</v>
      </c>
      <c r="F2748" s="2072"/>
      <c r="G2748" s="415"/>
      <c r="H2748" s="415"/>
    </row>
    <row r="2749" spans="1:10" ht="12.75" hidden="1" customHeight="1" outlineLevel="1" x14ac:dyDescent="0.25">
      <c r="A2749" s="2053" t="s">
        <v>10039</v>
      </c>
      <c r="B2749" s="2054">
        <v>45809</v>
      </c>
      <c r="C2749" s="2055">
        <v>100</v>
      </c>
      <c r="D2749" s="2058"/>
      <c r="E2749" s="2056">
        <f t="shared" si="45"/>
        <v>9.0905614711160307E-2</v>
      </c>
      <c r="F2749" s="2072"/>
      <c r="G2749" s="415"/>
      <c r="H2749" s="415"/>
    </row>
    <row r="2750" spans="1:10" ht="12.75" hidden="1" customHeight="1" outlineLevel="1" x14ac:dyDescent="0.25">
      <c r="A2750" s="2053" t="s">
        <v>10040</v>
      </c>
      <c r="B2750" s="2054">
        <v>45839</v>
      </c>
      <c r="C2750" s="2055">
        <v>100</v>
      </c>
      <c r="D2750" s="2058"/>
      <c r="E2750" s="2056">
        <f>IF(D2750="",E2743,D2750/C2750-1)</f>
        <v>9.0905614711160307E-2</v>
      </c>
      <c r="F2750" s="2072"/>
      <c r="G2750" s="415"/>
      <c r="H2750" s="415"/>
    </row>
    <row r="2751" spans="1:10" ht="12.75" hidden="1" customHeight="1" outlineLevel="1" x14ac:dyDescent="0.25">
      <c r="A2751" s="2053" t="s">
        <v>10041</v>
      </c>
      <c r="B2751" s="2054">
        <v>45870</v>
      </c>
      <c r="C2751" s="2055">
        <v>100</v>
      </c>
      <c r="D2751" s="2058"/>
      <c r="E2751" s="2056">
        <f>IF(D2751="",E2750,D2751/C2751-1)</f>
        <v>9.0905614711160307E-2</v>
      </c>
      <c r="F2751" s="2072"/>
      <c r="G2751" s="415"/>
      <c r="H2751" s="415"/>
    </row>
    <row r="2752" spans="1:10" s="444" customFormat="1" ht="12.75" hidden="1" customHeight="1" outlineLevel="1" x14ac:dyDescent="0.25">
      <c r="A2752" s="2067" t="s">
        <v>2734</v>
      </c>
      <c r="B2752" s="2068"/>
      <c r="C2752" s="2058"/>
      <c r="D2752" s="2069" t="s">
        <v>2465</v>
      </c>
      <c r="E2752" s="2070">
        <f>AVERAGE(E2740:E2751)</f>
        <v>9.0905614711160307E-2</v>
      </c>
      <c r="F2752" s="2071">
        <f>((((E2752*100)+100)-I2709)/100)</f>
        <v>0.10362661471116028</v>
      </c>
    </row>
    <row r="2753" spans="1:21" collapsed="1" x14ac:dyDescent="0.25">
      <c r="A2753" s="3799" t="s">
        <v>9924</v>
      </c>
      <c r="B2753" s="3800"/>
      <c r="C2753" s="3800"/>
      <c r="D2753" s="3800"/>
      <c r="E2753" s="18"/>
      <c r="F2753" s="186">
        <f>MAX(0%,MIN(F2752,100%))</f>
        <v>0.10362661471116028</v>
      </c>
      <c r="G2753" s="415"/>
    </row>
    <row r="2755" spans="1:21" ht="12.75" hidden="1" customHeight="1" outlineLevel="1" x14ac:dyDescent="0.25">
      <c r="A2755" s="2113" t="s">
        <v>4156</v>
      </c>
      <c r="B2755" s="2113" t="s">
        <v>4153</v>
      </c>
      <c r="C2755" s="2114" t="s">
        <v>112</v>
      </c>
      <c r="D2755" s="2391" t="s">
        <v>4155</v>
      </c>
      <c r="E2755" s="2113" t="s">
        <v>4154</v>
      </c>
      <c r="F2755" s="2391" t="s">
        <v>2519</v>
      </c>
      <c r="G2755" s="12"/>
      <c r="H2755" s="415"/>
      <c r="I2755" s="412" t="s">
        <v>6964</v>
      </c>
      <c r="J2755" s="1462">
        <v>43678</v>
      </c>
      <c r="K2755" s="1462">
        <v>43709</v>
      </c>
      <c r="L2755" s="1462">
        <v>43739</v>
      </c>
      <c r="M2755" s="1462">
        <v>43770</v>
      </c>
      <c r="N2755" s="1462">
        <v>43800</v>
      </c>
      <c r="O2755" s="1462">
        <v>43831</v>
      </c>
      <c r="P2755" s="1462">
        <v>43862</v>
      </c>
      <c r="Q2755" s="1462">
        <v>43891</v>
      </c>
      <c r="R2755" s="1462">
        <v>43922</v>
      </c>
    </row>
    <row r="2756" spans="1:21" ht="12.75" hidden="1" customHeight="1" outlineLevel="1" x14ac:dyDescent="0.25">
      <c r="A2756" s="2034">
        <v>0.08</v>
      </c>
      <c r="B2756" s="2035" t="s">
        <v>802</v>
      </c>
      <c r="C2756" s="2037">
        <v>9.26</v>
      </c>
      <c r="D2756" s="2060">
        <f>VLOOKUP(H2756,indexy!$C$44:$D$823,2,FALSE)</f>
        <v>19.690000000000001</v>
      </c>
      <c r="E2756" s="2061">
        <f>D2756/C2756-1</f>
        <v>1.1263498920086397</v>
      </c>
      <c r="F2756" s="2062">
        <f>E2756*A2756</f>
        <v>9.010799136069117E-2</v>
      </c>
      <c r="G2756" s="415"/>
      <c r="H2756" s="415" t="str">
        <f>VLOOKUP(B2756,indexy!$A$44:$D$823,3,FALSE)</f>
        <v>NLY UN Equity</v>
      </c>
      <c r="I2756" s="412">
        <f>IF(J2756="",100,MIN(100,J2756:Y2756))</f>
        <v>68.843299999999999</v>
      </c>
      <c r="J2756">
        <v>98.812700000000007</v>
      </c>
      <c r="K2756">
        <v>98.162199999999999</v>
      </c>
      <c r="L2756">
        <v>100.4342</v>
      </c>
      <c r="M2756">
        <v>101.0069</v>
      </c>
      <c r="N2756">
        <v>100.776</v>
      </c>
      <c r="O2756">
        <v>101.2295</v>
      </c>
      <c r="P2756">
        <v>103.0184</v>
      </c>
      <c r="Q2756">
        <v>97.796400000000006</v>
      </c>
      <c r="R2756">
        <v>68.843299999999999</v>
      </c>
      <c r="U2756" s="434"/>
    </row>
    <row r="2757" spans="1:21" ht="12.75" hidden="1" customHeight="1" outlineLevel="1" x14ac:dyDescent="0.25">
      <c r="A2757" s="1911">
        <v>0.02</v>
      </c>
      <c r="B2757" s="2035" t="s">
        <v>805</v>
      </c>
      <c r="C2757" s="2037">
        <v>99.978999999999999</v>
      </c>
      <c r="D2757" s="2063">
        <f>VLOOKUP(H2757,indexy!$C$44:$D$823,2,FALSE)</f>
        <v>132.25</v>
      </c>
      <c r="E2757" s="2064">
        <f>D2757/C2757-1</f>
        <v>0.32277778333450025</v>
      </c>
      <c r="F2757" s="2065">
        <f t="shared" ref="F2757:F2780" si="46">E2757*A2757</f>
        <v>6.4555556666900053E-3</v>
      </c>
      <c r="G2757" s="415"/>
      <c r="H2757" s="415" t="str">
        <f>VLOOKUP(B2757,indexy!$A$44:$D$823,3,FALSE)</f>
        <v>BMO CT Equity</v>
      </c>
      <c r="I2757" s="422">
        <f>+(((E2799*100)+100)-I2756)/100</f>
        <v>0.38854612261876326</v>
      </c>
      <c r="U2757" s="434"/>
    </row>
    <row r="2758" spans="1:21" ht="12.75" hidden="1" customHeight="1" outlineLevel="1" x14ac:dyDescent="0.25">
      <c r="A2758" s="1911">
        <v>0.05</v>
      </c>
      <c r="B2758" s="2035" t="s">
        <v>5748</v>
      </c>
      <c r="C2758" s="2037">
        <v>70.134</v>
      </c>
      <c r="D2758" s="2063">
        <f>VLOOKUP(H2758,indexy!$C$44:$D$823,2,FALSE)</f>
        <v>70.069999999999993</v>
      </c>
      <c r="E2758" s="2064">
        <f t="shared" ref="E2758:E2785" si="47">D2758/C2758-1</f>
        <v>-9.1253885419351199E-4</v>
      </c>
      <c r="F2758" s="2065">
        <f t="shared" si="46"/>
        <v>-4.5626942709675601E-5</v>
      </c>
      <c r="G2758" s="415"/>
      <c r="H2758" s="415" t="str">
        <f>VLOOKUP(B2758,indexy!$A$44:$D$823,3,FALSE)</f>
        <v>BNS CT Equity</v>
      </c>
      <c r="J2758" s="434"/>
      <c r="U2758" s="434"/>
    </row>
    <row r="2759" spans="1:21" ht="12.75" hidden="1" customHeight="1" outlineLevel="1" x14ac:dyDescent="0.25">
      <c r="A2759" s="1911">
        <v>0.08</v>
      </c>
      <c r="B2759" s="2035" t="s">
        <v>807</v>
      </c>
      <c r="C2759" s="2037">
        <v>60.249000000000002</v>
      </c>
      <c r="D2759" s="2063">
        <f>VLOOKUP(H2759,indexy!$C$44:$D$823,2,FALSE)</f>
        <v>46.03</v>
      </c>
      <c r="E2759" s="2064">
        <f t="shared" si="47"/>
        <v>-0.23600391707746182</v>
      </c>
      <c r="F2759" s="2065">
        <f t="shared" si="46"/>
        <v>-1.8880313366196947E-2</v>
      </c>
      <c r="G2759" s="415"/>
      <c r="H2759" s="415" t="str">
        <f>VLOOKUP(B2759,indexy!$A$44:$D$823,3,FALSE)</f>
        <v>BCE CT Equity</v>
      </c>
      <c r="J2759" s="434"/>
      <c r="K2759" s="37"/>
      <c r="U2759" s="434"/>
    </row>
    <row r="2760" spans="1:21" ht="12.75" hidden="1" customHeight="1" outlineLevel="1" x14ac:dyDescent="0.25">
      <c r="A2760" s="1911">
        <v>0.02</v>
      </c>
      <c r="B2760" s="2035" t="s">
        <v>3954</v>
      </c>
      <c r="C2760" s="2037">
        <f>103.1/2</f>
        <v>51.55</v>
      </c>
      <c r="D2760" s="2063">
        <f>VLOOKUP(H2760,indexy!$C$44:$D$823,2,FALSE)</f>
        <v>68.67</v>
      </c>
      <c r="E2760" s="2064">
        <f t="shared" si="47"/>
        <v>0.33210475266731332</v>
      </c>
      <c r="F2760" s="2065">
        <f t="shared" si="46"/>
        <v>6.6420950533462664E-3</v>
      </c>
      <c r="G2760" s="415"/>
      <c r="H2760" s="415" t="str">
        <f>VLOOKUP(B2760,indexy!$A$44:$D$823,3,FALSE)</f>
        <v>CM CT Equity</v>
      </c>
      <c r="J2760" s="434"/>
      <c r="U2760" s="434"/>
    </row>
    <row r="2761" spans="1:21" ht="12.75" hidden="1" customHeight="1" outlineLevel="1" x14ac:dyDescent="0.25">
      <c r="A2761" s="1911">
        <v>0.08</v>
      </c>
      <c r="B2761" s="2035" t="s">
        <v>9591</v>
      </c>
      <c r="C2761" s="2037">
        <v>77.817999999999998</v>
      </c>
      <c r="D2761" s="2063">
        <f>VLOOKUP(H2761,indexy!$C$44:$D$823,2,FALSE)</f>
        <v>49.19</v>
      </c>
      <c r="E2761" s="2064">
        <f t="shared" si="47"/>
        <v>-0.36788403711223627</v>
      </c>
      <c r="F2761" s="2065">
        <f t="shared" si="46"/>
        <v>-2.9430722968978903E-2</v>
      </c>
      <c r="G2761" s="415"/>
      <c r="H2761" s="415" t="str">
        <f>VLOOKUP(B2761,indexy!$A$44:$D$823,3,FALSE)</f>
        <v>D UN Equity</v>
      </c>
      <c r="J2761" s="434"/>
      <c r="U2761" s="434"/>
    </row>
    <row r="2762" spans="1:21" ht="12.75" hidden="1" customHeight="1" outlineLevel="1" x14ac:dyDescent="0.25">
      <c r="A2762" s="1911">
        <v>0.02</v>
      </c>
      <c r="B2762" s="2035" t="s">
        <v>1231</v>
      </c>
      <c r="C2762" s="2037">
        <v>89.385999999999996</v>
      </c>
      <c r="D2762" s="2063">
        <f>VLOOKUP(H2762,indexy!$C$44:$D$823,2,FALSE)</f>
        <v>96.71</v>
      </c>
      <c r="E2762" s="2064">
        <f t="shared" si="47"/>
        <v>8.1936768621484246E-2</v>
      </c>
      <c r="F2762" s="2065">
        <f t="shared" si="46"/>
        <v>1.6387353724296849E-3</v>
      </c>
      <c r="G2762" s="415"/>
      <c r="H2762" s="415" t="str">
        <f>VLOOKUP(B2762,indexy!$A$44:$D$823,3,FALSE)</f>
        <v>DUK UN Equity</v>
      </c>
      <c r="J2762" s="434"/>
      <c r="U2762" s="434"/>
    </row>
    <row r="2763" spans="1:21" ht="12.75" hidden="1" customHeight="1" outlineLevel="1" x14ac:dyDescent="0.25">
      <c r="A2763" s="1911">
        <v>0.02</v>
      </c>
      <c r="B2763" s="2035" t="s">
        <v>7855</v>
      </c>
      <c r="C2763" s="2037">
        <v>47.524999999999999</v>
      </c>
      <c r="D2763" s="2063">
        <f>VLOOKUP(H2763,indexy!$C$44:$D$823,2,FALSE)</f>
        <v>48.95</v>
      </c>
      <c r="E2763" s="2064">
        <f t="shared" si="47"/>
        <v>2.998421883219371E-2</v>
      </c>
      <c r="F2763" s="2065">
        <f t="shared" si="46"/>
        <v>5.9968437664387425E-4</v>
      </c>
      <c r="G2763" s="415"/>
      <c r="H2763" s="415" t="str">
        <f>VLOOKUP(B2763,indexy!$A$44:$D$823,3,FALSE)</f>
        <v>ENB CT Equity</v>
      </c>
      <c r="J2763" s="434"/>
      <c r="U2763" s="434"/>
    </row>
    <row r="2764" spans="1:21" ht="12.75" hidden="1" customHeight="1" outlineLevel="1" x14ac:dyDescent="0.25">
      <c r="A2764" s="1911">
        <v>0.02</v>
      </c>
      <c r="B2764" s="2035" t="s">
        <v>3425</v>
      </c>
      <c r="C2764" s="2037">
        <v>76.507999999999996</v>
      </c>
      <c r="D2764" s="2063">
        <f>VLOOKUP(H2764,indexy!$C$44:$D$823,2,FALSE)</f>
        <v>116.24</v>
      </c>
      <c r="E2764" s="2064">
        <f t="shared" si="47"/>
        <v>0.51931824122967529</v>
      </c>
      <c r="F2764" s="2065">
        <f t="shared" si="46"/>
        <v>1.0386364824593507E-2</v>
      </c>
      <c r="G2764" s="415"/>
      <c r="H2764" s="415" t="str">
        <f>VLOOKUP(B2764,indexy!$A$44:$D$823,3,FALSE)</f>
        <v>XOM UN Equity</v>
      </c>
      <c r="J2764" s="434"/>
      <c r="U2764" s="434"/>
    </row>
    <row r="2765" spans="1:21" ht="12.75" hidden="1" customHeight="1" outlineLevel="1" x14ac:dyDescent="0.25">
      <c r="A2765" s="1911">
        <v>0.02</v>
      </c>
      <c r="B2765" s="2035" t="s">
        <v>4036</v>
      </c>
      <c r="C2765" s="2037">
        <v>18.166</v>
      </c>
      <c r="D2765" s="2063">
        <f>VLOOKUP(H2765,indexy!$C$44:$D$823,2,FALSE)</f>
        <v>20.66</v>
      </c>
      <c r="E2765" s="2064">
        <f t="shared" si="47"/>
        <v>0.13728944181437841</v>
      </c>
      <c r="F2765" s="2065">
        <f t="shared" si="46"/>
        <v>2.7457888362875681E-3</v>
      </c>
      <c r="G2765" s="415"/>
      <c r="H2765" s="415" t="str">
        <f>VLOOKUP(B2765,indexy!$A$44:$D$823,3,FALSE)</f>
        <v>HST UN Equity</v>
      </c>
      <c r="J2765" s="434"/>
      <c r="U2765" s="434"/>
    </row>
    <row r="2766" spans="1:21" ht="12.75" hidden="1" customHeight="1" outlineLevel="1" x14ac:dyDescent="0.25">
      <c r="A2766" s="1911">
        <v>0.02</v>
      </c>
      <c r="B2766" s="2035" t="s">
        <v>52</v>
      </c>
      <c r="C2766" s="2037">
        <v>142.52799999999999</v>
      </c>
      <c r="D2766" s="2063">
        <f>VLOOKUP(H2766,indexy!$C$44:$D$823,2,FALSE)</f>
        <v>190.96</v>
      </c>
      <c r="E2766" s="2064">
        <f t="shared" si="47"/>
        <v>0.33980691513246541</v>
      </c>
      <c r="F2766" s="2065">
        <f t="shared" si="46"/>
        <v>6.7961383026493086E-3</v>
      </c>
      <c r="G2766" s="415"/>
      <c r="H2766" s="415" t="str">
        <f>VLOOKUP(B2766,indexy!$A$44:$D$823,3,FALSE)</f>
        <v>IBM UN Equity</v>
      </c>
      <c r="J2766" s="434"/>
      <c r="U2766" s="434"/>
    </row>
    <row r="2767" spans="1:21" ht="12.75" hidden="1" customHeight="1" outlineLevel="1" x14ac:dyDescent="0.25">
      <c r="A2767" s="1911">
        <v>0.02</v>
      </c>
      <c r="B2767" s="2035" t="s">
        <v>7909</v>
      </c>
      <c r="C2767" s="2037">
        <v>42.820999999999998</v>
      </c>
      <c r="D2767" s="2063">
        <f>VLOOKUP(H2767,indexy!$C$44:$D$823,2,FALSE)</f>
        <v>39.020000000000003</v>
      </c>
      <c r="E2767" s="2064">
        <f t="shared" si="47"/>
        <v>-8.8764858363886812E-2</v>
      </c>
      <c r="F2767" s="2065">
        <f t="shared" si="46"/>
        <v>-1.7752971672777363E-3</v>
      </c>
      <c r="G2767" s="415"/>
      <c r="H2767" s="415" t="str">
        <f>VLOOKUP(B2767,indexy!$A$44:$D$823,3,FALSE)</f>
        <v>IP UN Equity</v>
      </c>
      <c r="J2767" s="434"/>
      <c r="U2767" s="434"/>
    </row>
    <row r="2768" spans="1:21" ht="12.75" hidden="1" customHeight="1" outlineLevel="1" x14ac:dyDescent="0.25">
      <c r="A2768" s="1911">
        <v>0.02</v>
      </c>
      <c r="B2768" s="2035" t="s">
        <v>6707</v>
      </c>
      <c r="C2768" s="2038">
        <v>21.030999999999999</v>
      </c>
      <c r="D2768" s="2063">
        <f>VLOOKUP(H2768,indexy!$C$44:$D$823,2,FALSE)</f>
        <v>18.34</v>
      </c>
      <c r="E2768" s="2064">
        <f t="shared" si="47"/>
        <v>-0.12795397270695641</v>
      </c>
      <c r="F2768" s="2065">
        <f t="shared" si="46"/>
        <v>-2.5590794541391283E-3</v>
      </c>
      <c r="G2768" s="415"/>
      <c r="H2768" s="415" t="str">
        <f>VLOOKUP(B2768,indexy!$A$44:$D$823,3,FALSE)</f>
        <v>KMI UN Equity</v>
      </c>
      <c r="J2768" s="434"/>
      <c r="U2768" s="434"/>
    </row>
    <row r="2769" spans="1:21" ht="12.75" hidden="1" customHeight="1" outlineLevel="1" x14ac:dyDescent="0.25">
      <c r="A2769" s="1911">
        <v>0.02</v>
      </c>
      <c r="B2769" s="2035" t="s">
        <v>123</v>
      </c>
      <c r="C2769" s="2037">
        <v>24.164999999999999</v>
      </c>
      <c r="D2769" s="2063">
        <f>VLOOKUP(H2769,indexy!$C$44:$D$823,2,FALSE)</f>
        <v>33.83</v>
      </c>
      <c r="E2769" s="2064">
        <f t="shared" si="47"/>
        <v>0.39995861783571285</v>
      </c>
      <c r="F2769" s="2065">
        <f t="shared" si="46"/>
        <v>7.9991723567142577E-3</v>
      </c>
      <c r="G2769" s="415"/>
      <c r="H2769" s="415" t="str">
        <f>VLOOKUP(B2769,indexy!$A$44:$D$823,3,FALSE)</f>
        <v>MFC CT Equity</v>
      </c>
      <c r="J2769" s="434"/>
      <c r="U2769" s="434"/>
    </row>
    <row r="2770" spans="1:21" ht="12.75" hidden="1" customHeight="1" outlineLevel="1" x14ac:dyDescent="0.25">
      <c r="A2770" s="1911">
        <v>0.02</v>
      </c>
      <c r="B2770" s="2035" t="s">
        <v>7838</v>
      </c>
      <c r="C2770" s="2037">
        <v>50.451999999999998</v>
      </c>
      <c r="D2770" s="2063">
        <f>VLOOKUP(H2770,indexy!$C$44:$D$823,2,FALSE)</f>
        <v>74.11</v>
      </c>
      <c r="E2770" s="2064">
        <f t="shared" si="47"/>
        <v>0.46892095457068117</v>
      </c>
      <c r="F2770" s="2065">
        <f t="shared" si="46"/>
        <v>9.3784190914136239E-3</v>
      </c>
      <c r="G2770" s="415"/>
      <c r="H2770" s="415" t="str">
        <f>VLOOKUP(B2770,indexy!$A$44:$D$823,3,FALSE)</f>
        <v>MET UN Equity</v>
      </c>
      <c r="J2770" s="434"/>
      <c r="U2770" s="434"/>
    </row>
    <row r="2771" spans="1:21" ht="12.75" hidden="1" customHeight="1" outlineLevel="1" x14ac:dyDescent="0.25">
      <c r="A2771" s="1911">
        <v>0.02</v>
      </c>
      <c r="B2771" s="2035" t="s">
        <v>7754</v>
      </c>
      <c r="C2771" s="2037">
        <v>63.414999999999999</v>
      </c>
      <c r="D2771" s="2063">
        <f>VLOOKUP(H2771,indexy!$C$44:$D$823,2,FALSE)</f>
        <v>114.06</v>
      </c>
      <c r="E2771" s="2064">
        <f t="shared" si="47"/>
        <v>0.7986280848379721</v>
      </c>
      <c r="F2771" s="2065">
        <f t="shared" si="46"/>
        <v>1.5972561696759442E-2</v>
      </c>
      <c r="G2771" s="415"/>
      <c r="H2771" s="415" t="str">
        <f>VLOOKUP(B2771,indexy!$A$44:$D$823,3,FALSE)</f>
        <v>NA CT Equity</v>
      </c>
      <c r="J2771" s="434"/>
      <c r="U2771" s="434"/>
    </row>
    <row r="2772" spans="1:21" ht="12.75" hidden="1" customHeight="1" outlineLevel="1" x14ac:dyDescent="0.25">
      <c r="A2772" s="1911">
        <v>0.02</v>
      </c>
      <c r="B2772" s="2035" t="s">
        <v>4</v>
      </c>
      <c r="C2772" s="2037">
        <v>50.551000000000002</v>
      </c>
      <c r="D2772" s="2063">
        <f>VLOOKUP(H2772,indexy!$C$44:$D$823,2,FALSE)</f>
        <v>64.989999999999995</v>
      </c>
      <c r="E2772" s="2064">
        <f t="shared" si="47"/>
        <v>0.28563233170461499</v>
      </c>
      <c r="F2772" s="2065">
        <f t="shared" si="46"/>
        <v>5.7126466340923004E-3</v>
      </c>
      <c r="G2772" s="415"/>
      <c r="H2772" s="415" t="str">
        <f>VLOOKUP(B2772,indexy!$A$44:$D$823,3,FALSE)</f>
        <v>OXY UN Equity</v>
      </c>
      <c r="J2772" s="434"/>
      <c r="U2772" s="434"/>
    </row>
    <row r="2773" spans="1:21" ht="12.75" hidden="1" customHeight="1" outlineLevel="1" x14ac:dyDescent="0.25">
      <c r="A2773" s="1911">
        <v>0.02</v>
      </c>
      <c r="B2773" s="2035" t="s">
        <v>10027</v>
      </c>
      <c r="C2773" s="2037">
        <v>70.241</v>
      </c>
      <c r="D2773" s="2063">
        <f>VLOOKUP(H2773,indexy!$C$44:$D$823,2,FALSE)</f>
        <v>80.17</v>
      </c>
      <c r="E2773" s="2064">
        <f t="shared" si="47"/>
        <v>0.1413561879813785</v>
      </c>
      <c r="F2773" s="2065">
        <f t="shared" si="46"/>
        <v>2.82712375962757E-3</v>
      </c>
      <c r="G2773" s="415"/>
      <c r="H2773" s="415" t="str">
        <f>VLOOKUP(B2773,indexy!$A$44:$D$823,3,FALSE)</f>
        <v>OKE UN Equity</v>
      </c>
      <c r="J2773" s="434"/>
      <c r="U2773" s="434"/>
    </row>
    <row r="2774" spans="1:21" ht="12.75" hidden="1" customHeight="1" outlineLevel="1" x14ac:dyDescent="0.25">
      <c r="A2774" s="1911">
        <v>0.05</v>
      </c>
      <c r="B2774" s="2035" t="s">
        <v>9516</v>
      </c>
      <c r="C2774" s="2037">
        <v>49.634999999999998</v>
      </c>
      <c r="D2774" s="2063">
        <f>VLOOKUP(H2774,indexy!$C$44:$D$823,2,FALSE)</f>
        <v>47.81</v>
      </c>
      <c r="E2774" s="2064">
        <f t="shared" si="47"/>
        <v>-3.6768409388536205E-2</v>
      </c>
      <c r="F2774" s="2065">
        <f t="shared" si="46"/>
        <v>-1.8384204694268103E-3</v>
      </c>
      <c r="G2774" s="415"/>
      <c r="H2774" s="415" t="str">
        <f>VLOOKUP(B2774,indexy!$A$44:$D$823,3,FALSE)</f>
        <v>PPL CT Equity</v>
      </c>
      <c r="J2774" s="434"/>
      <c r="U2774" s="434"/>
    </row>
    <row r="2775" spans="1:21" ht="12.75" hidden="1" customHeight="1" outlineLevel="1" x14ac:dyDescent="0.25">
      <c r="A2775" s="1911">
        <v>0.04</v>
      </c>
      <c r="B2775" s="2035" t="s">
        <v>2769</v>
      </c>
      <c r="C2775" s="2037">
        <v>30.576000000000001</v>
      </c>
      <c r="D2775" s="2063">
        <f>VLOOKUP(H2775,indexy!$C$44:$D$823,2,FALSE)</f>
        <v>27.53</v>
      </c>
      <c r="E2775" s="2064">
        <f t="shared" si="47"/>
        <v>-9.9620617477760298E-2</v>
      </c>
      <c r="F2775" s="2065">
        <f t="shared" si="46"/>
        <v>-3.9848246991104116E-3</v>
      </c>
      <c r="G2775" s="415"/>
      <c r="H2775" s="415" t="str">
        <f>VLOOKUP(B2775,indexy!$A$44:$D$823,3,FALSE)</f>
        <v>PPL UN Equity</v>
      </c>
      <c r="J2775" s="434"/>
      <c r="U2775" s="434"/>
    </row>
    <row r="2776" spans="1:21" ht="12.75" hidden="1" customHeight="1" outlineLevel="1" x14ac:dyDescent="0.25">
      <c r="A2776" s="1911">
        <v>0.02</v>
      </c>
      <c r="B2776" s="2035" t="s">
        <v>8210</v>
      </c>
      <c r="C2776" s="2037">
        <v>162.46100000000001</v>
      </c>
      <c r="D2776" s="2063">
        <f>VLOOKUP(H2776,indexy!$C$44:$D$823,2,FALSE)</f>
        <v>156.49</v>
      </c>
      <c r="E2776" s="2064">
        <f t="shared" si="47"/>
        <v>-3.6753436209305601E-2</v>
      </c>
      <c r="F2776" s="2065">
        <f t="shared" si="46"/>
        <v>-7.3506872418611208E-4</v>
      </c>
      <c r="G2776" s="415"/>
      <c r="H2776" s="415" t="str">
        <f>VLOOKUP(B2776,indexy!$A$44:$D$823,3,FALSE)</f>
        <v>SPG UN Equity</v>
      </c>
      <c r="J2776" s="434"/>
      <c r="U2776" s="434"/>
    </row>
    <row r="2777" spans="1:21" ht="12.75" hidden="1" customHeight="1" outlineLevel="1" x14ac:dyDescent="0.25">
      <c r="A2777" s="1911">
        <v>0.02</v>
      </c>
      <c r="B2777" s="2035" t="s">
        <v>898</v>
      </c>
      <c r="C2777" s="2037">
        <v>55.073</v>
      </c>
      <c r="D2777" s="2063">
        <f>VLOOKUP(H2777,indexy!$C$44:$D$823,2,FALSE)</f>
        <v>73.91</v>
      </c>
      <c r="E2777" s="2064">
        <f t="shared" si="47"/>
        <v>0.34203693279828573</v>
      </c>
      <c r="F2777" s="2065">
        <f t="shared" si="46"/>
        <v>6.8407386559657148E-3</v>
      </c>
      <c r="G2777" s="415"/>
      <c r="H2777" s="415" t="str">
        <f>VLOOKUP(B2777,indexy!$A$44:$D$823,3,FALSE)</f>
        <v>SLF CT Equity</v>
      </c>
      <c r="J2777" s="434"/>
      <c r="U2777" s="434"/>
    </row>
    <row r="2778" spans="1:21" ht="12.75" hidden="1" customHeight="1" outlineLevel="1" x14ac:dyDescent="0.25">
      <c r="A2778" s="1911">
        <v>0.04</v>
      </c>
      <c r="B2778" s="2035" t="s">
        <v>366</v>
      </c>
      <c r="C2778" s="2037">
        <v>65.816000000000003</v>
      </c>
      <c r="D2778" s="2063">
        <f>VLOOKUP(H2778,indexy!$C$44:$D$823,2,FALSE)</f>
        <v>54.44</v>
      </c>
      <c r="E2778" s="2064">
        <f t="shared" si="47"/>
        <v>-0.17284550869089588</v>
      </c>
      <c r="F2778" s="2065">
        <f t="shared" si="46"/>
        <v>-6.9138203476358353E-3</v>
      </c>
      <c r="G2778" s="415"/>
      <c r="H2778" s="415" t="str">
        <f>VLOOKUP(B2778,indexy!$A$44:$D$823,3,FALSE)</f>
        <v>TRP CT Equity</v>
      </c>
      <c r="J2778" s="434"/>
      <c r="U2778" s="434"/>
    </row>
    <row r="2779" spans="1:21" ht="12.75" hidden="1" customHeight="1" outlineLevel="1" x14ac:dyDescent="0.25">
      <c r="A2779" s="1911">
        <v>0.08</v>
      </c>
      <c r="B2779" s="2035" t="s">
        <v>3665</v>
      </c>
      <c r="C2779" s="2037">
        <f>48.74/2</f>
        <v>24.37</v>
      </c>
      <c r="D2779" s="2063">
        <f>VLOOKUP(H2779,indexy!$C$44:$D$823,2,FALSE)</f>
        <v>21.67</v>
      </c>
      <c r="E2779" s="2064">
        <f t="shared" si="47"/>
        <v>-0.11079195732457936</v>
      </c>
      <c r="F2779" s="2065">
        <f t="shared" si="46"/>
        <v>-8.8633565859663494E-3</v>
      </c>
      <c r="G2779" s="415"/>
      <c r="H2779" s="415" t="str">
        <f>VLOOKUP(B2779,indexy!$A$44:$D$823,3,FALSE)</f>
        <v>T CT Equity</v>
      </c>
      <c r="J2779" s="434"/>
      <c r="U2779" s="434"/>
    </row>
    <row r="2780" spans="1:21" ht="12.75" hidden="1" customHeight="1" outlineLevel="1" x14ac:dyDescent="0.25">
      <c r="A2780" s="1911">
        <v>0.02</v>
      </c>
      <c r="B2780" s="2035" t="s">
        <v>5758</v>
      </c>
      <c r="C2780" s="2037">
        <v>69.396000000000001</v>
      </c>
      <c r="D2780" s="2063">
        <f>VLOOKUP(H2780,indexy!$C$44:$D$823,2,FALSE)</f>
        <v>43.54</v>
      </c>
      <c r="E2780" s="2064">
        <f t="shared" si="47"/>
        <v>-0.37258631621419103</v>
      </c>
      <c r="F2780" s="2065">
        <f t="shared" si="46"/>
        <v>-7.4517263242838208E-3</v>
      </c>
      <c r="G2780" s="415"/>
      <c r="H2780" s="415" t="str">
        <f>VLOOKUP(B2780,indexy!$A$44:$D$823,3,FALSE)</f>
        <v>VTR UN Equity</v>
      </c>
      <c r="J2780" s="434"/>
      <c r="U2780" s="434"/>
    </row>
    <row r="2781" spans="1:21" ht="12.75" hidden="1" customHeight="1" outlineLevel="1" x14ac:dyDescent="0.25">
      <c r="A2781" s="1911">
        <v>0.02</v>
      </c>
      <c r="B2781" s="2035" t="s">
        <v>255</v>
      </c>
      <c r="C2781" s="2037">
        <v>57.314</v>
      </c>
      <c r="D2781" s="2063">
        <f>VLOOKUP(H2781,indexy!$C$44:$D$823,2,FALSE)</f>
        <v>41.96</v>
      </c>
      <c r="E2781" s="2064">
        <f t="shared" si="47"/>
        <v>-0.26789266147887081</v>
      </c>
      <c r="F2781" s="2065">
        <f>E2781*A2781</f>
        <v>-5.3578532295774162E-3</v>
      </c>
      <c r="G2781" s="415"/>
      <c r="H2781" s="415" t="str">
        <f>VLOOKUP(B2781,indexy!$A$44:$D$823,3,FALSE)</f>
        <v>VZ UN Equity</v>
      </c>
      <c r="J2781" s="434"/>
      <c r="U2781" s="434"/>
    </row>
    <row r="2782" spans="1:21" ht="12.75" hidden="1" customHeight="1" outlineLevel="1" x14ac:dyDescent="0.25">
      <c r="A2782" s="1911">
        <v>0.02</v>
      </c>
      <c r="B2782" s="2035" t="s">
        <v>6163</v>
      </c>
      <c r="C2782" s="2037">
        <v>85.063000000000002</v>
      </c>
      <c r="D2782" s="2063">
        <f>VLOOKUP(H2782,indexy!$C$44:$D$946,2,FALSE)</f>
        <v>93.44</v>
      </c>
      <c r="E2782" s="2064">
        <f t="shared" si="47"/>
        <v>9.8479950154591211E-2</v>
      </c>
      <c r="F2782" s="2065">
        <f>E2782*A2782</f>
        <v>1.9695990030918244E-3</v>
      </c>
      <c r="G2782" s="415"/>
      <c r="H2782" s="415" t="str">
        <f>VLOOKUP(B2782,indexy!$A$44:$D$946,3,FALSE)</f>
        <v>WELL UN Equity</v>
      </c>
      <c r="J2782" s="434"/>
      <c r="U2782" s="434"/>
    </row>
    <row r="2783" spans="1:21" ht="12.75" hidden="1" customHeight="1" outlineLevel="1" x14ac:dyDescent="0.25">
      <c r="A2783" s="1911">
        <v>0.02</v>
      </c>
      <c r="B2783" s="2035" t="s">
        <v>5916</v>
      </c>
      <c r="C2783" s="2037">
        <v>25.867000000000001</v>
      </c>
      <c r="D2783" s="2063">
        <f>VLOOKUP(H2783,indexy!$C$44:$D$823,2,FALSE)</f>
        <v>35.909999999999997</v>
      </c>
      <c r="E2783" s="2064">
        <f t="shared" si="47"/>
        <v>0.38825530598832469</v>
      </c>
      <c r="F2783" s="2065">
        <f>E2783*A2783</f>
        <v>7.7651061197664944E-3</v>
      </c>
      <c r="G2783" s="415"/>
      <c r="H2783" s="415" t="str">
        <f>VLOOKUP(B2783,indexy!$A$44:$D$823,3,FALSE)</f>
        <v>WY UN Equity</v>
      </c>
      <c r="J2783" s="434"/>
      <c r="U2783" s="434"/>
    </row>
    <row r="2784" spans="1:21" ht="12.75" hidden="1" customHeight="1" outlineLevel="1" x14ac:dyDescent="0.25">
      <c r="A2784" s="1911">
        <v>0.02</v>
      </c>
      <c r="B2784" s="2035" t="s">
        <v>9518</v>
      </c>
      <c r="C2784" s="2037">
        <v>28.419</v>
      </c>
      <c r="D2784" s="2063">
        <f>VLOOKUP(H2784,indexy!$C$44:$D$823,2,FALSE)</f>
        <v>38.97</v>
      </c>
      <c r="E2784" s="2064">
        <f t="shared" si="47"/>
        <v>0.37126570252295998</v>
      </c>
      <c r="F2784" s="2065">
        <f>E2784*A2784</f>
        <v>7.4253140504591999E-3</v>
      </c>
      <c r="G2784" s="415"/>
      <c r="H2784" s="415" t="str">
        <f>VLOOKUP(B2784,indexy!$A$44:$D$823,3,FALSE)</f>
        <v>WMB UN Equity</v>
      </c>
      <c r="J2784" s="434"/>
      <c r="U2784" s="434"/>
    </row>
    <row r="2785" spans="1:21" ht="12.75" hidden="1" customHeight="1" outlineLevel="1" x14ac:dyDescent="0.25">
      <c r="A2785" s="1911">
        <v>0.08</v>
      </c>
      <c r="B2785" s="2036" t="s">
        <v>10003</v>
      </c>
      <c r="C2785" s="2037">
        <v>84.313999999999993</v>
      </c>
      <c r="D2785" s="2066">
        <f>VLOOKUP(H2785,indexy!$C$44:$D$823,2,FALSE)</f>
        <v>56.44</v>
      </c>
      <c r="E2785" s="2064">
        <f t="shared" si="47"/>
        <v>-0.33059752828711719</v>
      </c>
      <c r="F2785" s="2065">
        <f>E2785*A2785</f>
        <v>-2.6447802262969375E-2</v>
      </c>
      <c r="G2785" s="415"/>
      <c r="H2785" s="415" t="str">
        <f>VLOOKUP(B2785,indexy!$A$44:$D$823,3,FALSE)</f>
        <v>WPC UN Equity</v>
      </c>
      <c r="J2785" s="434"/>
      <c r="U2785" s="434"/>
    </row>
    <row r="2786" spans="1:21" ht="12.75" hidden="1" customHeight="1" outlineLevel="1" x14ac:dyDescent="0.25">
      <c r="A2786" s="2048" t="s">
        <v>2734</v>
      </c>
      <c r="B2786" s="2049"/>
      <c r="C2786" s="2050">
        <v>100</v>
      </c>
      <c r="D2786" s="2051"/>
      <c r="E2786" s="2059"/>
      <c r="F2786" s="2059">
        <f>SUM(F2756:F2785)</f>
        <v>7.697912261876326E-2</v>
      </c>
      <c r="G2786" s="415"/>
      <c r="H2786" s="415"/>
    </row>
    <row r="2787" spans="1:21" ht="12.75" hidden="1" customHeight="1" outlineLevel="1" x14ac:dyDescent="0.25">
      <c r="A2787" s="2053" t="s">
        <v>10042</v>
      </c>
      <c r="B2787" s="2054">
        <v>45566</v>
      </c>
      <c r="C2787" s="2055">
        <v>100</v>
      </c>
      <c r="D2787" s="2055"/>
      <c r="E2787" s="2056">
        <f>IF(D2787="",F2786,D2787/C2787-1)</f>
        <v>7.697912261876326E-2</v>
      </c>
      <c r="F2787" s="2072"/>
      <c r="G2787" s="415"/>
      <c r="H2787" s="415"/>
    </row>
    <row r="2788" spans="1:21" ht="12.75" hidden="1" customHeight="1" outlineLevel="1" x14ac:dyDescent="0.25">
      <c r="A2788" s="2053" t="s">
        <v>10043</v>
      </c>
      <c r="B2788" s="2054">
        <v>45597</v>
      </c>
      <c r="C2788" s="2055">
        <v>100</v>
      </c>
      <c r="D2788" s="2058"/>
      <c r="E2788" s="2056">
        <f>IF(D2788="",E2787,D2788/C2788-1)</f>
        <v>7.697912261876326E-2</v>
      </c>
      <c r="F2788" s="2072"/>
      <c r="G2788" s="415"/>
      <c r="H2788" s="415"/>
    </row>
    <row r="2789" spans="1:21" ht="12.75" hidden="1" customHeight="1" outlineLevel="1" x14ac:dyDescent="0.25">
      <c r="A2789" s="2053" t="s">
        <v>10044</v>
      </c>
      <c r="B2789" s="2054">
        <v>45627</v>
      </c>
      <c r="C2789" s="2055">
        <v>100</v>
      </c>
      <c r="D2789" s="2058"/>
      <c r="E2789" s="2056">
        <f>IF(D2789="",E2788,D2789/C2789-1)</f>
        <v>7.697912261876326E-2</v>
      </c>
      <c r="F2789" s="2072"/>
      <c r="G2789" s="415"/>
      <c r="H2789" s="415"/>
    </row>
    <row r="2790" spans="1:21" ht="12.75" hidden="1" customHeight="1" outlineLevel="1" x14ac:dyDescent="0.25">
      <c r="A2790" s="2053" t="s">
        <v>10045</v>
      </c>
      <c r="B2790" s="2054">
        <v>45658</v>
      </c>
      <c r="C2790" s="2055">
        <v>100</v>
      </c>
      <c r="D2790" s="2058"/>
      <c r="E2790" s="2056">
        <f>IF(D2790="",E2789,D2790/C2790-1)</f>
        <v>7.697912261876326E-2</v>
      </c>
      <c r="F2790" s="2072"/>
      <c r="G2790" s="415"/>
      <c r="H2790" s="415"/>
    </row>
    <row r="2791" spans="1:21" ht="12.75" hidden="1" customHeight="1" outlineLevel="1" x14ac:dyDescent="0.25">
      <c r="A2791" s="2053" t="s">
        <v>10046</v>
      </c>
      <c r="B2791" s="2054">
        <v>45689</v>
      </c>
      <c r="C2791" s="2055">
        <v>100</v>
      </c>
      <c r="D2791" s="2058"/>
      <c r="E2791" s="2056">
        <f t="shared" ref="E2791:E2796" si="48">IF(D2791="",E2790,D2791/C2791-1)</f>
        <v>7.697912261876326E-2</v>
      </c>
      <c r="F2791" s="2072"/>
      <c r="G2791" s="415"/>
      <c r="H2791" s="415"/>
    </row>
    <row r="2792" spans="1:21" ht="12.75" hidden="1" customHeight="1" outlineLevel="1" x14ac:dyDescent="0.25">
      <c r="A2792" s="2053" t="s">
        <v>10047</v>
      </c>
      <c r="B2792" s="2054">
        <v>45717</v>
      </c>
      <c r="C2792" s="2055">
        <v>100</v>
      </c>
      <c r="D2792" s="2058"/>
      <c r="E2792" s="2056">
        <f t="shared" si="48"/>
        <v>7.697912261876326E-2</v>
      </c>
      <c r="F2792" s="2072"/>
      <c r="G2792" s="415"/>
      <c r="H2792" s="415"/>
    </row>
    <row r="2793" spans="1:21" ht="12.75" hidden="1" customHeight="1" outlineLevel="1" x14ac:dyDescent="0.25">
      <c r="A2793" s="2053" t="s">
        <v>10048</v>
      </c>
      <c r="B2793" s="2054">
        <v>45748</v>
      </c>
      <c r="C2793" s="2055">
        <v>100</v>
      </c>
      <c r="D2793" s="2058"/>
      <c r="E2793" s="2056">
        <f t="shared" si="48"/>
        <v>7.697912261876326E-2</v>
      </c>
      <c r="F2793" s="2072"/>
      <c r="G2793" s="415"/>
      <c r="H2793" s="415"/>
    </row>
    <row r="2794" spans="1:21" ht="12.75" hidden="1" customHeight="1" outlineLevel="1" x14ac:dyDescent="0.25">
      <c r="A2794" s="2053" t="s">
        <v>10049</v>
      </c>
      <c r="B2794" s="2054">
        <v>45778</v>
      </c>
      <c r="C2794" s="2055">
        <v>100</v>
      </c>
      <c r="D2794" s="2058"/>
      <c r="E2794" s="2056">
        <f t="shared" si="48"/>
        <v>7.697912261876326E-2</v>
      </c>
      <c r="F2794" s="2072"/>
      <c r="G2794" s="415"/>
      <c r="H2794" s="415"/>
    </row>
    <row r="2795" spans="1:21" ht="12.75" hidden="1" customHeight="1" outlineLevel="1" x14ac:dyDescent="0.25">
      <c r="A2795" s="2053" t="s">
        <v>10050</v>
      </c>
      <c r="B2795" s="2054">
        <v>45809</v>
      </c>
      <c r="C2795" s="2055">
        <v>100</v>
      </c>
      <c r="D2795" s="2058"/>
      <c r="E2795" s="2056">
        <f t="shared" si="48"/>
        <v>7.697912261876326E-2</v>
      </c>
      <c r="F2795" s="2072"/>
      <c r="G2795" s="415"/>
      <c r="H2795" s="415"/>
    </row>
    <row r="2796" spans="1:21" ht="12.75" hidden="1" customHeight="1" outlineLevel="1" x14ac:dyDescent="0.25">
      <c r="A2796" s="2053" t="s">
        <v>10051</v>
      </c>
      <c r="B2796" s="2054">
        <v>45839</v>
      </c>
      <c r="C2796" s="2055">
        <v>100</v>
      </c>
      <c r="D2796" s="2058"/>
      <c r="E2796" s="2056">
        <f t="shared" si="48"/>
        <v>7.697912261876326E-2</v>
      </c>
      <c r="F2796" s="2072"/>
      <c r="G2796" s="415"/>
      <c r="H2796" s="415"/>
    </row>
    <row r="2797" spans="1:21" ht="12.75" hidden="1" customHeight="1" outlineLevel="1" x14ac:dyDescent="0.25">
      <c r="A2797" s="2053" t="s">
        <v>10052</v>
      </c>
      <c r="B2797" s="2054">
        <v>45870</v>
      </c>
      <c r="C2797" s="2055">
        <v>100</v>
      </c>
      <c r="D2797" s="2058"/>
      <c r="E2797" s="2056">
        <f>IF(D2797="",E2790,D2797/C2797-1)</f>
        <v>7.697912261876326E-2</v>
      </c>
      <c r="F2797" s="2072"/>
      <c r="G2797" s="415"/>
      <c r="H2797" s="415"/>
    </row>
    <row r="2798" spans="1:21" ht="12.75" hidden="1" customHeight="1" outlineLevel="1" x14ac:dyDescent="0.25">
      <c r="A2798" s="2053" t="s">
        <v>10053</v>
      </c>
      <c r="B2798" s="2054">
        <v>45901</v>
      </c>
      <c r="C2798" s="2055">
        <v>100</v>
      </c>
      <c r="D2798" s="2058"/>
      <c r="E2798" s="2056">
        <f>IF(D2798="",E2797,D2798/C2798-1)</f>
        <v>7.697912261876326E-2</v>
      </c>
      <c r="F2798" s="2072"/>
      <c r="G2798" s="415"/>
      <c r="H2798" s="415"/>
    </row>
    <row r="2799" spans="1:21" s="444" customFormat="1" ht="12.75" hidden="1" customHeight="1" outlineLevel="1" x14ac:dyDescent="0.25">
      <c r="A2799" s="2067" t="s">
        <v>2734</v>
      </c>
      <c r="B2799" s="2068"/>
      <c r="C2799" s="2058"/>
      <c r="D2799" s="2069" t="s">
        <v>2465</v>
      </c>
      <c r="E2799" s="2070">
        <f>AVERAGE(E2787:E2798)</f>
        <v>7.697912261876326E-2</v>
      </c>
      <c r="F2799" s="2071">
        <f>((((E2799*100)+100)-I2756)/100)</f>
        <v>0.38854612261876326</v>
      </c>
    </row>
    <row r="2800" spans="1:21" collapsed="1" x14ac:dyDescent="0.25">
      <c r="A2800" s="3799" t="s">
        <v>9951</v>
      </c>
      <c r="B2800" s="3800"/>
      <c r="C2800" s="3800"/>
      <c r="D2800" s="3800"/>
      <c r="E2800" s="18"/>
      <c r="F2800" s="186">
        <f>MAX(0%,MIN(F2799,100%))</f>
        <v>0.38854612261876326</v>
      </c>
      <c r="G2800" s="415"/>
    </row>
    <row r="2802" spans="1:18" ht="12.75" hidden="1" customHeight="1" outlineLevel="1" x14ac:dyDescent="0.25">
      <c r="A2802" s="2113" t="s">
        <v>4156</v>
      </c>
      <c r="B2802" s="2113" t="s">
        <v>4153</v>
      </c>
      <c r="C2802" s="2114" t="s">
        <v>112</v>
      </c>
      <c r="D2802" s="2391" t="s">
        <v>4155</v>
      </c>
      <c r="E2802" s="2113" t="s">
        <v>4154</v>
      </c>
      <c r="F2802" s="2391" t="s">
        <v>2519</v>
      </c>
      <c r="G2802" s="12"/>
      <c r="H2802" s="415"/>
      <c r="I2802" s="412" t="s">
        <v>6964</v>
      </c>
      <c r="J2802" s="1462">
        <v>43709</v>
      </c>
      <c r="K2802" s="1462">
        <v>43739</v>
      </c>
      <c r="L2802" s="1462">
        <v>43770</v>
      </c>
      <c r="M2802" s="1462">
        <v>43800</v>
      </c>
      <c r="N2802" s="1462">
        <v>43831</v>
      </c>
      <c r="O2802" s="1462">
        <v>43862</v>
      </c>
      <c r="P2802" s="1462">
        <v>43891</v>
      </c>
      <c r="Q2802" s="1462">
        <v>43922</v>
      </c>
      <c r="R2802" s="1462">
        <v>43952</v>
      </c>
    </row>
    <row r="2803" spans="1:18" ht="12.75" hidden="1" customHeight="1" outlineLevel="1" x14ac:dyDescent="0.25">
      <c r="A2803" s="134">
        <v>0.08</v>
      </c>
      <c r="B2803" s="211" t="s">
        <v>802</v>
      </c>
      <c r="C2803" s="472">
        <v>9.1150000000000002</v>
      </c>
      <c r="D2803" s="1596">
        <f>VLOOKUP(H2803,indexy!$C$44:$D$823,2,FALSE)</f>
        <v>19.690000000000001</v>
      </c>
      <c r="E2803" s="1466">
        <f>D2803/C2803-1</f>
        <v>1.1601755348326934</v>
      </c>
      <c r="F2803" s="1492">
        <f>E2803*A2803</f>
        <v>9.281404278661548E-2</v>
      </c>
      <c r="G2803" s="415"/>
      <c r="H2803" s="415" t="str">
        <f>VLOOKUP(B2803,indexy!$A$44:$D$823,3,FALSE)</f>
        <v>NLY UN Equity</v>
      </c>
      <c r="I2803" s="412">
        <f>IF(J2803="",100,MIN(100,J2803:Y2803))</f>
        <v>70.564599999999999</v>
      </c>
      <c r="J2803">
        <v>100.69450000000001</v>
      </c>
      <c r="K2803">
        <v>103.08920000000001</v>
      </c>
      <c r="L2803">
        <v>103.72110000000001</v>
      </c>
      <c r="M2803">
        <v>103.5566</v>
      </c>
      <c r="N2803">
        <v>104.11369999999999</v>
      </c>
      <c r="O2803">
        <v>105.777</v>
      </c>
      <c r="P2803">
        <v>100.3296</v>
      </c>
      <c r="Q2803">
        <v>70.564599999999999</v>
      </c>
      <c r="R2803">
        <v>78.490399999999994</v>
      </c>
    </row>
    <row r="2804" spans="1:18" ht="12.75" hidden="1" customHeight="1" outlineLevel="1" x14ac:dyDescent="0.25">
      <c r="A2804" s="135">
        <v>0.02</v>
      </c>
      <c r="B2804" s="211" t="s">
        <v>805</v>
      </c>
      <c r="C2804" s="472">
        <v>93.813000000000002</v>
      </c>
      <c r="D2804" s="1597">
        <f>VLOOKUP(H2804,indexy!$C$44:$D$823,2,FALSE)</f>
        <v>132.25</v>
      </c>
      <c r="E2804" s="1463">
        <f>D2804/C2804-1</f>
        <v>0.40971933527336302</v>
      </c>
      <c r="F2804" s="1494">
        <f t="shared" ref="F2804:F2827" si="49">E2804*A2804</f>
        <v>8.1943867054672607E-3</v>
      </c>
      <c r="G2804" s="415"/>
      <c r="H2804" s="415" t="str">
        <f>VLOOKUP(B2804,indexy!$A$44:$D$823,3,FALSE)</f>
        <v>BMO CT Equity</v>
      </c>
      <c r="I2804" s="422">
        <f>+(((E2846*100)+100)-I2803)/100</f>
        <v>0.40890462703055375</v>
      </c>
    </row>
    <row r="2805" spans="1:18" ht="12.75" hidden="1" customHeight="1" outlineLevel="1" x14ac:dyDescent="0.25">
      <c r="A2805" s="135">
        <v>0.05</v>
      </c>
      <c r="B2805" s="211" t="s">
        <v>5748</v>
      </c>
      <c r="C2805" s="472">
        <v>68.382999999999996</v>
      </c>
      <c r="D2805" s="1597">
        <f>VLOOKUP(H2805,indexy!$C$44:$D$823,2,FALSE)</f>
        <v>70.069999999999993</v>
      </c>
      <c r="E2805" s="1463">
        <f t="shared" ref="E2805:E2832" si="50">D2805/C2805-1</f>
        <v>2.4669874091513888E-2</v>
      </c>
      <c r="F2805" s="1494">
        <f t="shared" si="49"/>
        <v>1.2334937045756944E-3</v>
      </c>
      <c r="G2805" s="415"/>
      <c r="H2805" s="415" t="str">
        <f>VLOOKUP(B2805,indexy!$A$44:$D$823,3,FALSE)</f>
        <v>BNS CT Equity</v>
      </c>
      <c r="J2805" s="434"/>
    </row>
    <row r="2806" spans="1:18" ht="12.75" hidden="1" customHeight="1" outlineLevel="1" x14ac:dyDescent="0.25">
      <c r="A2806" s="135">
        <v>0.08</v>
      </c>
      <c r="B2806" s="211" t="s">
        <v>807</v>
      </c>
      <c r="C2806" s="472">
        <v>61.726999999999997</v>
      </c>
      <c r="D2806" s="1597">
        <f>VLOOKUP(H2806,indexy!$C$44:$D$823,2,FALSE)</f>
        <v>46.03</v>
      </c>
      <c r="E2806" s="1463">
        <f t="shared" si="50"/>
        <v>-0.25429714711552476</v>
      </c>
      <c r="F2806" s="1494">
        <f t="shared" si="49"/>
        <v>-2.0343771769241983E-2</v>
      </c>
      <c r="G2806" s="415"/>
      <c r="H2806" s="415" t="str">
        <f>VLOOKUP(B2806,indexy!$A$44:$D$823,3,FALSE)</f>
        <v>BCE CT Equity</v>
      </c>
      <c r="J2806" s="434"/>
      <c r="K2806" s="37"/>
    </row>
    <row r="2807" spans="1:18" ht="12.75" hidden="1" customHeight="1" outlineLevel="1" x14ac:dyDescent="0.25">
      <c r="A2807" s="135">
        <v>0.02</v>
      </c>
      <c r="B2807" s="211" t="s">
        <v>3954</v>
      </c>
      <c r="C2807" s="472">
        <f>99.719/2</f>
        <v>49.859499999999997</v>
      </c>
      <c r="D2807" s="1597">
        <f>VLOOKUP(H2807,indexy!$C$44:$D$823,2,FALSE)</f>
        <v>68.67</v>
      </c>
      <c r="E2807" s="1463">
        <f t="shared" si="50"/>
        <v>0.3772701290626661</v>
      </c>
      <c r="F2807" s="1494">
        <f t="shared" si="49"/>
        <v>7.545402581253322E-3</v>
      </c>
      <c r="G2807" s="415"/>
      <c r="H2807" s="415" t="str">
        <f>VLOOKUP(B2807,indexy!$A$44:$D$823,3,FALSE)</f>
        <v>CM CT Equity</v>
      </c>
      <c r="J2807" s="434"/>
    </row>
    <row r="2808" spans="1:18" ht="12.75" hidden="1" customHeight="1" outlineLevel="1" x14ac:dyDescent="0.25">
      <c r="A2808" s="135">
        <v>0.08</v>
      </c>
      <c r="B2808" s="211" t="s">
        <v>9591</v>
      </c>
      <c r="C2808" s="472">
        <v>76.084999999999994</v>
      </c>
      <c r="D2808" s="1597">
        <f>VLOOKUP(H2808,indexy!$C$44:$D$823,2,FALSE)</f>
        <v>49.19</v>
      </c>
      <c r="E2808" s="1463">
        <f t="shared" si="50"/>
        <v>-0.3534862325031215</v>
      </c>
      <c r="F2808" s="1494">
        <f t="shared" si="49"/>
        <v>-2.8278898600249722E-2</v>
      </c>
      <c r="G2808" s="415"/>
      <c r="H2808" s="415" t="str">
        <f>VLOOKUP(B2808,indexy!$A$44:$D$823,3,FALSE)</f>
        <v>D UN Equity</v>
      </c>
      <c r="J2808" s="434"/>
    </row>
    <row r="2809" spans="1:18" ht="12.75" hidden="1" customHeight="1" outlineLevel="1" x14ac:dyDescent="0.25">
      <c r="A2809" s="135">
        <v>0.02</v>
      </c>
      <c r="B2809" s="211" t="s">
        <v>1231</v>
      </c>
      <c r="C2809" s="472">
        <v>89.933000000000007</v>
      </c>
      <c r="D2809" s="1597">
        <f>VLOOKUP(H2809,indexy!$C$44:$D$823,2,FALSE)</f>
        <v>96.71</v>
      </c>
      <c r="E2809" s="1463">
        <f t="shared" si="50"/>
        <v>7.5356098428830176E-2</v>
      </c>
      <c r="F2809" s="1494">
        <f t="shared" si="49"/>
        <v>1.5071219685766036E-3</v>
      </c>
      <c r="G2809" s="415"/>
      <c r="H2809" s="415" t="str">
        <f>VLOOKUP(B2809,indexy!$A$44:$D$823,3,FALSE)</f>
        <v>DUK UN Equity</v>
      </c>
      <c r="J2809" s="434"/>
    </row>
    <row r="2810" spans="1:18" ht="12.75" hidden="1" customHeight="1" outlineLevel="1" x14ac:dyDescent="0.25">
      <c r="A2810" s="135">
        <v>0.02</v>
      </c>
      <c r="B2810" s="211" t="s">
        <v>7855</v>
      </c>
      <c r="C2810" s="472">
        <v>44.645000000000003</v>
      </c>
      <c r="D2810" s="1597">
        <f>VLOOKUP(H2810,indexy!$C$44:$D$823,2,FALSE)</f>
        <v>48.95</v>
      </c>
      <c r="E2810" s="1463">
        <f t="shared" si="50"/>
        <v>9.6427371486168756E-2</v>
      </c>
      <c r="F2810" s="1494">
        <f t="shared" si="49"/>
        <v>1.9285474297233752E-3</v>
      </c>
      <c r="G2810" s="415"/>
      <c r="H2810" s="415" t="str">
        <f>VLOOKUP(B2810,indexy!$A$44:$D$823,3,FALSE)</f>
        <v>ENB CT Equity</v>
      </c>
      <c r="J2810" s="434"/>
    </row>
    <row r="2811" spans="1:18" ht="12.75" hidden="1" customHeight="1" outlineLevel="1" x14ac:dyDescent="0.25">
      <c r="A2811" s="135">
        <v>0.02</v>
      </c>
      <c r="B2811" s="211" t="s">
        <v>3425</v>
      </c>
      <c r="C2811" s="472">
        <v>69.474000000000004</v>
      </c>
      <c r="D2811" s="1597">
        <f>VLOOKUP(H2811,indexy!$C$44:$D$823,2,FALSE)</f>
        <v>116.24</v>
      </c>
      <c r="E2811" s="1463">
        <f t="shared" si="50"/>
        <v>0.6731439099519243</v>
      </c>
      <c r="F2811" s="1494">
        <f t="shared" si="49"/>
        <v>1.3462878199038486E-2</v>
      </c>
      <c r="G2811" s="415"/>
      <c r="H2811" s="415" t="str">
        <f>VLOOKUP(B2811,indexy!$A$44:$D$823,3,FALSE)</f>
        <v>XOM UN Equity</v>
      </c>
      <c r="J2811" s="434"/>
    </row>
    <row r="2812" spans="1:18" ht="12.75" hidden="1" customHeight="1" outlineLevel="1" x14ac:dyDescent="0.25">
      <c r="A2812" s="135">
        <v>0.02</v>
      </c>
      <c r="B2812" s="211" t="s">
        <v>4036</v>
      </c>
      <c r="C2812" s="472">
        <v>16.140999999999998</v>
      </c>
      <c r="D2812" s="1597">
        <f>VLOOKUP(H2812,indexy!$C$44:$D$823,2,FALSE)</f>
        <v>20.66</v>
      </c>
      <c r="E2812" s="1463">
        <f t="shared" si="50"/>
        <v>0.27997026206554754</v>
      </c>
      <c r="F2812" s="1494">
        <f t="shared" si="49"/>
        <v>5.5994052413109513E-3</v>
      </c>
      <c r="G2812" s="415"/>
      <c r="H2812" s="415" t="str">
        <f>VLOOKUP(B2812,indexy!$A$44:$D$823,3,FALSE)</f>
        <v>HST UN Equity</v>
      </c>
      <c r="J2812" s="434"/>
    </row>
    <row r="2813" spans="1:18" ht="12.75" hidden="1" customHeight="1" outlineLevel="1" x14ac:dyDescent="0.25">
      <c r="A2813" s="135">
        <v>0.02</v>
      </c>
      <c r="B2813" s="211" t="s">
        <v>52</v>
      </c>
      <c r="C2813" s="472">
        <v>134.536</v>
      </c>
      <c r="D2813" s="1597">
        <f>VLOOKUP(H2813,indexy!$C$44:$D$823,2,FALSE)</f>
        <v>190.96</v>
      </c>
      <c r="E2813" s="1463">
        <f t="shared" si="50"/>
        <v>0.41939703871082834</v>
      </c>
      <c r="F2813" s="1494">
        <f t="shared" si="49"/>
        <v>8.3879407742165676E-3</v>
      </c>
      <c r="G2813" s="415"/>
      <c r="H2813" s="415" t="str">
        <f>VLOOKUP(B2813,indexy!$A$44:$D$823,3,FALSE)</f>
        <v>IBM UN Equity</v>
      </c>
      <c r="J2813" s="434"/>
    </row>
    <row r="2814" spans="1:18" ht="12.75" hidden="1" customHeight="1" outlineLevel="1" x14ac:dyDescent="0.25">
      <c r="A2814" s="135">
        <v>0.02</v>
      </c>
      <c r="B2814" s="211" t="s">
        <v>7909</v>
      </c>
      <c r="C2814" s="472">
        <v>39.267000000000003</v>
      </c>
      <c r="D2814" s="1597">
        <f>VLOOKUP(H2814,indexy!$C$44:$D$823,2,FALSE)</f>
        <v>39.020000000000003</v>
      </c>
      <c r="E2814" s="1463">
        <f t="shared" si="50"/>
        <v>-6.2902691827743107E-3</v>
      </c>
      <c r="F2814" s="1494">
        <f t="shared" si="49"/>
        <v>-1.2580538365548622E-4</v>
      </c>
      <c r="G2814" s="415"/>
      <c r="H2814" s="415" t="str">
        <f>VLOOKUP(B2814,indexy!$A$44:$D$823,3,FALSE)</f>
        <v>IP UN Equity</v>
      </c>
      <c r="J2814" s="434"/>
    </row>
    <row r="2815" spans="1:18" ht="12.75" hidden="1" customHeight="1" outlineLevel="1" x14ac:dyDescent="0.25">
      <c r="A2815" s="135">
        <v>0.02</v>
      </c>
      <c r="B2815" s="211" t="s">
        <v>6707</v>
      </c>
      <c r="C2815" s="490">
        <v>20.234000000000002</v>
      </c>
      <c r="D2815" s="1597">
        <f>VLOOKUP(H2815,indexy!$C$44:$D$823,2,FALSE)</f>
        <v>18.34</v>
      </c>
      <c r="E2815" s="1463">
        <f t="shared" si="50"/>
        <v>-9.3604823564297779E-2</v>
      </c>
      <c r="F2815" s="1494">
        <f t="shared" si="49"/>
        <v>-1.8720964712859555E-3</v>
      </c>
      <c r="G2815" s="415"/>
      <c r="H2815" s="415" t="str">
        <f>VLOOKUP(B2815,indexy!$A$44:$D$823,3,FALSE)</f>
        <v>KMI UN Equity</v>
      </c>
      <c r="J2815" s="434"/>
    </row>
    <row r="2816" spans="1:18" ht="12.75" hidden="1" customHeight="1" outlineLevel="1" x14ac:dyDescent="0.25">
      <c r="A2816" s="135">
        <v>0.02</v>
      </c>
      <c r="B2816" s="211" t="s">
        <v>123</v>
      </c>
      <c r="C2816" s="472">
        <v>22.117999999999999</v>
      </c>
      <c r="D2816" s="1597">
        <f>VLOOKUP(H2816,indexy!$C$44:$D$823,2,FALSE)</f>
        <v>33.83</v>
      </c>
      <c r="E2816" s="1463">
        <f t="shared" si="50"/>
        <v>0.5295234650510896</v>
      </c>
      <c r="F2816" s="1494">
        <f t="shared" si="49"/>
        <v>1.0590469301021792E-2</v>
      </c>
      <c r="G2816" s="415"/>
      <c r="H2816" s="415" t="str">
        <f>VLOOKUP(B2816,indexy!$A$44:$D$823,3,FALSE)</f>
        <v>MFC CT Equity</v>
      </c>
      <c r="J2816" s="434"/>
    </row>
    <row r="2817" spans="1:10" ht="12.75" hidden="1" customHeight="1" outlineLevel="1" x14ac:dyDescent="0.25">
      <c r="A2817" s="135">
        <v>0.02</v>
      </c>
      <c r="B2817" s="211" t="s">
        <v>7838</v>
      </c>
      <c r="C2817" s="472">
        <v>45.875</v>
      </c>
      <c r="D2817" s="1597">
        <f>VLOOKUP(H2817,indexy!$C$44:$D$823,2,FALSE)</f>
        <v>74.11</v>
      </c>
      <c r="E2817" s="1463">
        <f t="shared" si="50"/>
        <v>0.61547683923705732</v>
      </c>
      <c r="F2817" s="1494">
        <f t="shared" si="49"/>
        <v>1.2309536784741146E-2</v>
      </c>
      <c r="G2817" s="415"/>
      <c r="H2817" s="415" t="str">
        <f>VLOOKUP(B2817,indexy!$A$44:$D$823,3,FALSE)</f>
        <v>MET UN Equity</v>
      </c>
      <c r="J2817" s="434"/>
    </row>
    <row r="2818" spans="1:10" ht="12.75" hidden="1" customHeight="1" outlineLevel="1" x14ac:dyDescent="0.25">
      <c r="A2818" s="135">
        <v>0.02</v>
      </c>
      <c r="B2818" s="211" t="s">
        <v>7754</v>
      </c>
      <c r="C2818" s="472">
        <v>61.731999999999999</v>
      </c>
      <c r="D2818" s="1597">
        <f>VLOOKUP(H2818,indexy!$C$44:$D$823,2,FALSE)</f>
        <v>114.06</v>
      </c>
      <c r="E2818" s="1463">
        <f t="shared" si="50"/>
        <v>0.84766409641676921</v>
      </c>
      <c r="F2818" s="1494">
        <f t="shared" si="49"/>
        <v>1.6953281928335385E-2</v>
      </c>
      <c r="G2818" s="415"/>
      <c r="H2818" s="415" t="str">
        <f>VLOOKUP(B2818,indexy!$A$44:$D$823,3,FALSE)</f>
        <v>NA CT Equity</v>
      </c>
      <c r="J2818" s="434"/>
    </row>
    <row r="2819" spans="1:10" ht="12.75" hidden="1" customHeight="1" outlineLevel="1" x14ac:dyDescent="0.25">
      <c r="A2819" s="135">
        <v>0.02</v>
      </c>
      <c r="B2819" s="211" t="s">
        <v>4</v>
      </c>
      <c r="C2819" s="472">
        <v>45.213999999999999</v>
      </c>
      <c r="D2819" s="1597">
        <f>VLOOKUP(H2819,indexy!$C$44:$D$823,2,FALSE)</f>
        <v>64.989999999999995</v>
      </c>
      <c r="E2819" s="1463">
        <f t="shared" si="50"/>
        <v>0.43738665015260758</v>
      </c>
      <c r="F2819" s="1494">
        <f t="shared" si="49"/>
        <v>8.7477330030521511E-3</v>
      </c>
      <c r="G2819" s="415"/>
      <c r="H2819" s="415" t="str">
        <f>VLOOKUP(B2819,indexy!$A$44:$D$823,3,FALSE)</f>
        <v>OXY UN Equity</v>
      </c>
      <c r="J2819" s="434"/>
    </row>
    <row r="2820" spans="1:10" ht="12.75" hidden="1" customHeight="1" outlineLevel="1" x14ac:dyDescent="0.25">
      <c r="A2820" s="135">
        <v>0.02</v>
      </c>
      <c r="B2820" s="211" t="s">
        <v>10027</v>
      </c>
      <c r="C2820" s="472">
        <v>69.501000000000005</v>
      </c>
      <c r="D2820" s="1597">
        <f>VLOOKUP(H2820,indexy!$C$44:$D$823,2,FALSE)</f>
        <v>80.17</v>
      </c>
      <c r="E2820" s="1463">
        <f t="shared" si="50"/>
        <v>0.15350858261032219</v>
      </c>
      <c r="F2820" s="1494">
        <f t="shared" si="49"/>
        <v>3.0701716522064438E-3</v>
      </c>
      <c r="G2820" s="415"/>
      <c r="H2820" s="415" t="str">
        <f>VLOOKUP(B2820,indexy!$A$44:$D$823,3,FALSE)</f>
        <v>OKE UN Equity</v>
      </c>
      <c r="J2820" s="434"/>
    </row>
    <row r="2821" spans="1:10" ht="12.75" hidden="1" customHeight="1" outlineLevel="1" x14ac:dyDescent="0.25">
      <c r="A2821" s="135">
        <v>0.05</v>
      </c>
      <c r="B2821" s="211" t="s">
        <v>9516</v>
      </c>
      <c r="C2821" s="472">
        <v>48.884</v>
      </c>
      <c r="D2821" s="1597">
        <f>VLOOKUP(H2821,indexy!$C$44:$D$823,2,FALSE)</f>
        <v>47.81</v>
      </c>
      <c r="E2821" s="1463">
        <f t="shared" si="50"/>
        <v>-2.1970378856067341E-2</v>
      </c>
      <c r="F2821" s="1494">
        <f t="shared" si="49"/>
        <v>-1.098518942803367E-3</v>
      </c>
      <c r="G2821" s="415"/>
      <c r="H2821" s="415" t="str">
        <f>VLOOKUP(B2821,indexy!$A$44:$D$823,3,FALSE)</f>
        <v>PPL CT Equity</v>
      </c>
      <c r="J2821" s="434"/>
    </row>
    <row r="2822" spans="1:10" ht="12.75" hidden="1" customHeight="1" outlineLevel="1" x14ac:dyDescent="0.25">
      <c r="A2822" s="135">
        <v>0.04</v>
      </c>
      <c r="B2822" s="211" t="s">
        <v>2769</v>
      </c>
      <c r="C2822" s="472">
        <v>29.47</v>
      </c>
      <c r="D2822" s="1597">
        <f>VLOOKUP(H2822,indexy!$C$44:$D$823,2,FALSE)</f>
        <v>27.53</v>
      </c>
      <c r="E2822" s="1463">
        <f t="shared" si="50"/>
        <v>-6.582965727858836E-2</v>
      </c>
      <c r="F2822" s="1494">
        <f t="shared" si="49"/>
        <v>-2.6331862911435347E-3</v>
      </c>
      <c r="G2822" s="415"/>
      <c r="H2822" s="415" t="str">
        <f>VLOOKUP(B2822,indexy!$A$44:$D$823,3,FALSE)</f>
        <v>PPL UN Equity</v>
      </c>
      <c r="J2822" s="434"/>
    </row>
    <row r="2823" spans="1:10" ht="12.75" hidden="1" customHeight="1" outlineLevel="1" x14ac:dyDescent="0.25">
      <c r="A2823" s="135">
        <v>0.02</v>
      </c>
      <c r="B2823" s="211" t="s">
        <v>8210</v>
      </c>
      <c r="C2823" s="472">
        <v>151.19800000000001</v>
      </c>
      <c r="D2823" s="1597">
        <f>VLOOKUP(H2823,indexy!$C$44:$D$823,2,FALSE)</f>
        <v>156.49</v>
      </c>
      <c r="E2823" s="1463">
        <f t="shared" si="50"/>
        <v>3.5000462969086987E-2</v>
      </c>
      <c r="F2823" s="1494">
        <f t="shared" si="49"/>
        <v>7.0000925938173975E-4</v>
      </c>
      <c r="G2823" s="415"/>
      <c r="H2823" s="415" t="str">
        <f>VLOOKUP(B2823,indexy!$A$44:$D$823,3,FALSE)</f>
        <v>SPG UN Equity</v>
      </c>
      <c r="J2823" s="434"/>
    </row>
    <row r="2824" spans="1:10" ht="12.75" hidden="1" customHeight="1" outlineLevel="1" x14ac:dyDescent="0.25">
      <c r="A2824" s="135">
        <v>0.02</v>
      </c>
      <c r="B2824" s="211" t="s">
        <v>898</v>
      </c>
      <c r="C2824" s="472">
        <v>52.639000000000003</v>
      </c>
      <c r="D2824" s="1597">
        <f>VLOOKUP(H2824,indexy!$C$44:$D$823,2,FALSE)</f>
        <v>73.91</v>
      </c>
      <c r="E2824" s="1463">
        <f t="shared" si="50"/>
        <v>0.40409202302475333</v>
      </c>
      <c r="F2824" s="1494">
        <f t="shared" si="49"/>
        <v>8.0818404604950673E-3</v>
      </c>
      <c r="G2824" s="415"/>
      <c r="H2824" s="415" t="str">
        <f>VLOOKUP(B2824,indexy!$A$44:$D$823,3,FALSE)</f>
        <v>SLF CT Equity</v>
      </c>
      <c r="J2824" s="434"/>
    </row>
    <row r="2825" spans="1:10" ht="12.75" hidden="1" customHeight="1" outlineLevel="1" x14ac:dyDescent="0.25">
      <c r="A2825" s="135">
        <v>0.04</v>
      </c>
      <c r="B2825" s="211" t="s">
        <v>366</v>
      </c>
      <c r="C2825" s="472">
        <v>64.174999999999997</v>
      </c>
      <c r="D2825" s="1597">
        <f>VLOOKUP(H2825,indexy!$C$44:$D$823,2,FALSE)</f>
        <v>54.44</v>
      </c>
      <c r="E2825" s="1463">
        <f t="shared" si="50"/>
        <v>-0.15169458511881573</v>
      </c>
      <c r="F2825" s="1494">
        <f t="shared" si="49"/>
        <v>-6.0677834047526292E-3</v>
      </c>
      <c r="G2825" s="415"/>
      <c r="H2825" s="415" t="str">
        <f>VLOOKUP(B2825,indexy!$A$44:$D$823,3,FALSE)</f>
        <v>TRP CT Equity</v>
      </c>
      <c r="J2825" s="434"/>
    </row>
    <row r="2826" spans="1:10" ht="12.75" hidden="1" customHeight="1" outlineLevel="1" x14ac:dyDescent="0.25">
      <c r="A2826" s="135">
        <v>0.08</v>
      </c>
      <c r="B2826" s="211" t="s">
        <v>3665</v>
      </c>
      <c r="C2826" s="472">
        <f>47.751/2</f>
        <v>23.875499999999999</v>
      </c>
      <c r="D2826" s="1597">
        <f>VLOOKUP(H2826,indexy!$C$44:$D$823,2,FALSE)</f>
        <v>21.67</v>
      </c>
      <c r="E2826" s="1463">
        <f t="shared" si="50"/>
        <v>-9.2375028795208314E-2</v>
      </c>
      <c r="F2826" s="1494">
        <f t="shared" si="49"/>
        <v>-7.3900023036166653E-3</v>
      </c>
      <c r="G2826" s="415"/>
      <c r="H2826" s="415" t="str">
        <f>VLOOKUP(B2826,indexy!$A$44:$D$823,3,FALSE)</f>
        <v>T CT Equity</v>
      </c>
      <c r="J2826" s="434"/>
    </row>
    <row r="2827" spans="1:10" ht="12.75" hidden="1" customHeight="1" outlineLevel="1" x14ac:dyDescent="0.25">
      <c r="A2827" s="135">
        <v>0.02</v>
      </c>
      <c r="B2827" s="211" t="s">
        <v>5758</v>
      </c>
      <c r="C2827" s="472">
        <v>72.241</v>
      </c>
      <c r="D2827" s="1597">
        <f>VLOOKUP(H2827,indexy!$C$44:$D$823,2,FALSE)</f>
        <v>43.54</v>
      </c>
      <c r="E2827" s="1463">
        <f t="shared" si="50"/>
        <v>-0.39729516479561466</v>
      </c>
      <c r="F2827" s="1494">
        <f t="shared" si="49"/>
        <v>-7.9459032959122936E-3</v>
      </c>
      <c r="G2827" s="415"/>
      <c r="H2827" s="415" t="str">
        <f>VLOOKUP(B2827,indexy!$A$44:$D$823,3,FALSE)</f>
        <v>VTR UN Equity</v>
      </c>
      <c r="J2827" s="434"/>
    </row>
    <row r="2828" spans="1:10" ht="12.75" hidden="1" customHeight="1" outlineLevel="1" x14ac:dyDescent="0.25">
      <c r="A2828" s="135">
        <v>0.02</v>
      </c>
      <c r="B2828" s="211" t="s">
        <v>255</v>
      </c>
      <c r="C2828" s="472">
        <v>56.219000000000001</v>
      </c>
      <c r="D2828" s="1597">
        <f>VLOOKUP(H2828,indexy!$C$44:$D$823,2,FALSE)</f>
        <v>41.96</v>
      </c>
      <c r="E2828" s="1463">
        <f t="shared" si="50"/>
        <v>-0.25363311336025185</v>
      </c>
      <c r="F2828" s="1494">
        <f>E2828*A2828</f>
        <v>-5.0726622672050371E-3</v>
      </c>
      <c r="G2828" s="415"/>
      <c r="H2828" s="415" t="str">
        <f>VLOOKUP(B2828,indexy!$A$44:$D$823,3,FALSE)</f>
        <v>VZ UN Equity</v>
      </c>
      <c r="J2828" s="434"/>
    </row>
    <row r="2829" spans="1:10" ht="12.75" hidden="1" customHeight="1" outlineLevel="1" x14ac:dyDescent="0.25">
      <c r="A2829" s="135">
        <v>0.02</v>
      </c>
      <c r="B2829" s="211" t="s">
        <v>6163</v>
      </c>
      <c r="C2829" s="472">
        <v>88.256</v>
      </c>
      <c r="D2829" s="1597">
        <f>VLOOKUP(H2829,indexy!$C$44:$D$946,2,FALSE)</f>
        <v>93.44</v>
      </c>
      <c r="E2829" s="1463">
        <f t="shared" si="50"/>
        <v>5.8738216098622065E-2</v>
      </c>
      <c r="F2829" s="1494">
        <f>E2829*A2829</f>
        <v>1.1747643219724413E-3</v>
      </c>
      <c r="G2829" s="415"/>
      <c r="H2829" s="415" t="str">
        <f>VLOOKUP(B2829,indexy!$A$44:$D$946,3,FALSE)</f>
        <v>WELL UN Equity</v>
      </c>
      <c r="J2829" s="434"/>
    </row>
    <row r="2830" spans="1:10" ht="12.75" hidden="1" customHeight="1" outlineLevel="1" x14ac:dyDescent="0.25">
      <c r="A2830" s="135">
        <v>0.02</v>
      </c>
      <c r="B2830" s="211" t="s">
        <v>5916</v>
      </c>
      <c r="C2830" s="472">
        <v>24.983000000000001</v>
      </c>
      <c r="D2830" s="1597">
        <f>VLOOKUP(H2830,indexy!$C$44:$D$823,2,FALSE)</f>
        <v>35.909999999999997</v>
      </c>
      <c r="E2830" s="1463">
        <f t="shared" si="50"/>
        <v>0.43737741664331731</v>
      </c>
      <c r="F2830" s="1494">
        <f>E2830*A2830</f>
        <v>8.7475483328663464E-3</v>
      </c>
      <c r="G2830" s="415"/>
      <c r="H2830" s="415" t="str">
        <f>VLOOKUP(B2830,indexy!$A$44:$D$823,3,FALSE)</f>
        <v>WY UN Equity</v>
      </c>
      <c r="J2830" s="434"/>
    </row>
    <row r="2831" spans="1:10" ht="12.75" hidden="1" customHeight="1" outlineLevel="1" x14ac:dyDescent="0.25">
      <c r="A2831" s="135">
        <v>0.02</v>
      </c>
      <c r="B2831" s="211" t="s">
        <v>9518</v>
      </c>
      <c r="C2831" s="472">
        <v>23.588999999999999</v>
      </c>
      <c r="D2831" s="1597">
        <f>VLOOKUP(H2831,indexy!$C$44:$D$823,2,FALSE)</f>
        <v>38.97</v>
      </c>
      <c r="E2831" s="1463">
        <f t="shared" si="50"/>
        <v>0.65204120564669976</v>
      </c>
      <c r="F2831" s="1494">
        <f>E2831*A2831</f>
        <v>1.3040824112933995E-2</v>
      </c>
      <c r="G2831" s="415"/>
      <c r="H2831" s="415" t="str">
        <f>VLOOKUP(B2831,indexy!$A$44:$D$823,3,FALSE)</f>
        <v>WMB UN Equity</v>
      </c>
      <c r="J2831" s="434"/>
    </row>
    <row r="2832" spans="1:10" ht="12.75" hidden="1" customHeight="1" outlineLevel="1" x14ac:dyDescent="0.25">
      <c r="A2832" s="135">
        <v>0.08</v>
      </c>
      <c r="B2832" s="1465" t="s">
        <v>10003</v>
      </c>
      <c r="C2832" s="472">
        <v>88.033000000000001</v>
      </c>
      <c r="D2832" s="1598">
        <f>VLOOKUP(H2832,indexy!$C$44:$D$823,2,FALSE)</f>
        <v>56.44</v>
      </c>
      <c r="E2832" s="1463">
        <f t="shared" si="50"/>
        <v>-0.35887678484204788</v>
      </c>
      <c r="F2832" s="1494">
        <f>E2832*A2832</f>
        <v>-2.8710142787363831E-2</v>
      </c>
      <c r="G2832" s="415"/>
      <c r="H2832" s="415" t="str">
        <f>VLOOKUP(B2832,indexy!$A$44:$D$823,3,FALSE)</f>
        <v>WPC UN Equity</v>
      </c>
      <c r="J2832" s="434"/>
    </row>
    <row r="2833" spans="1:8" ht="12.75" hidden="1" customHeight="1" outlineLevel="1" x14ac:dyDescent="0.25">
      <c r="A2833" s="1475" t="s">
        <v>2734</v>
      </c>
      <c r="B2833" s="150"/>
      <c r="C2833" s="1476">
        <v>100</v>
      </c>
      <c r="D2833" s="1477"/>
      <c r="E2833" s="1599"/>
      <c r="F2833" s="1599">
        <f>SUM(F2803:F2832)</f>
        <v>0.11455062703055371</v>
      </c>
      <c r="G2833" s="415"/>
      <c r="H2833" s="415"/>
    </row>
    <row r="2834" spans="1:8" ht="12.75" hidden="1" customHeight="1" outlineLevel="1" x14ac:dyDescent="0.25">
      <c r="A2834" s="221" t="s">
        <v>10054</v>
      </c>
      <c r="B2834" s="1478">
        <v>45597</v>
      </c>
      <c r="C2834" s="1497">
        <v>100</v>
      </c>
      <c r="D2834" s="1497"/>
      <c r="E2834" s="1498">
        <f>IF(D2834="",F2833,D2834/C2834-1)</f>
        <v>0.11455062703055371</v>
      </c>
      <c r="F2834" s="1499"/>
      <c r="G2834" s="415"/>
      <c r="H2834" s="415"/>
    </row>
    <row r="2835" spans="1:8" ht="12.75" hidden="1" customHeight="1" outlineLevel="1" x14ac:dyDescent="0.25">
      <c r="A2835" s="221" t="s">
        <v>10055</v>
      </c>
      <c r="B2835" s="1478">
        <v>45627</v>
      </c>
      <c r="C2835" s="1497">
        <v>100</v>
      </c>
      <c r="D2835" s="1500"/>
      <c r="E2835" s="1498">
        <f>IF(D2835="",E2834,D2835/C2835-1)</f>
        <v>0.11455062703055371</v>
      </c>
      <c r="F2835" s="1499"/>
      <c r="G2835" s="415"/>
      <c r="H2835" s="415"/>
    </row>
    <row r="2836" spans="1:8" ht="12.75" hidden="1" customHeight="1" outlineLevel="1" x14ac:dyDescent="0.25">
      <c r="A2836" s="221" t="s">
        <v>10056</v>
      </c>
      <c r="B2836" s="1478">
        <v>45658</v>
      </c>
      <c r="C2836" s="1497">
        <v>100</v>
      </c>
      <c r="D2836" s="1500"/>
      <c r="E2836" s="1498">
        <f>IF(D2836="",E2835,D2836/C2836-1)</f>
        <v>0.11455062703055371</v>
      </c>
      <c r="F2836" s="1499"/>
      <c r="G2836" s="415"/>
      <c r="H2836" s="415"/>
    </row>
    <row r="2837" spans="1:8" ht="12.75" hidden="1" customHeight="1" outlineLevel="1" x14ac:dyDescent="0.25">
      <c r="A2837" s="221" t="s">
        <v>10057</v>
      </c>
      <c r="B2837" s="1478">
        <v>45689</v>
      </c>
      <c r="C2837" s="1497">
        <v>100</v>
      </c>
      <c r="D2837" s="1500"/>
      <c r="E2837" s="1498">
        <f>IF(D2837="",E2836,D2837/C2837-1)</f>
        <v>0.11455062703055371</v>
      </c>
      <c r="F2837" s="1499"/>
      <c r="G2837" s="415"/>
      <c r="H2837" s="415"/>
    </row>
    <row r="2838" spans="1:8" ht="12.75" hidden="1" customHeight="1" outlineLevel="1" x14ac:dyDescent="0.25">
      <c r="A2838" s="221" t="s">
        <v>10058</v>
      </c>
      <c r="B2838" s="1478">
        <v>45717</v>
      </c>
      <c r="C2838" s="1497">
        <v>100</v>
      </c>
      <c r="D2838" s="1500"/>
      <c r="E2838" s="1498">
        <f t="shared" ref="E2838:E2843" si="51">IF(D2838="",E2837,D2838/C2838-1)</f>
        <v>0.11455062703055371</v>
      </c>
      <c r="F2838" s="1499"/>
      <c r="G2838" s="415"/>
      <c r="H2838" s="415"/>
    </row>
    <row r="2839" spans="1:8" ht="12.75" hidden="1" customHeight="1" outlineLevel="1" x14ac:dyDescent="0.25">
      <c r="A2839" s="221" t="s">
        <v>10059</v>
      </c>
      <c r="B2839" s="1478">
        <v>45748</v>
      </c>
      <c r="C2839" s="1497">
        <v>100</v>
      </c>
      <c r="D2839" s="1500"/>
      <c r="E2839" s="1498">
        <f t="shared" si="51"/>
        <v>0.11455062703055371</v>
      </c>
      <c r="F2839" s="1499"/>
      <c r="G2839" s="415"/>
      <c r="H2839" s="415"/>
    </row>
    <row r="2840" spans="1:8" ht="12.75" hidden="1" customHeight="1" outlineLevel="1" x14ac:dyDescent="0.25">
      <c r="A2840" s="221" t="s">
        <v>10060</v>
      </c>
      <c r="B2840" s="1478">
        <v>45778</v>
      </c>
      <c r="C2840" s="1497">
        <v>100</v>
      </c>
      <c r="D2840" s="1500"/>
      <c r="E2840" s="1498">
        <f t="shared" si="51"/>
        <v>0.11455062703055371</v>
      </c>
      <c r="F2840" s="1499"/>
      <c r="G2840" s="415"/>
      <c r="H2840" s="415"/>
    </row>
    <row r="2841" spans="1:8" ht="12.75" hidden="1" customHeight="1" outlineLevel="1" x14ac:dyDescent="0.25">
      <c r="A2841" s="221" t="s">
        <v>10061</v>
      </c>
      <c r="B2841" s="1478">
        <v>45809</v>
      </c>
      <c r="C2841" s="1497">
        <v>100</v>
      </c>
      <c r="D2841" s="1500"/>
      <c r="E2841" s="1498">
        <f t="shared" si="51"/>
        <v>0.11455062703055371</v>
      </c>
      <c r="F2841" s="1499"/>
      <c r="G2841" s="415"/>
      <c r="H2841" s="415"/>
    </row>
    <row r="2842" spans="1:8" ht="12.75" hidden="1" customHeight="1" outlineLevel="1" x14ac:dyDescent="0.25">
      <c r="A2842" s="221" t="s">
        <v>10062</v>
      </c>
      <c r="B2842" s="1478">
        <v>45839</v>
      </c>
      <c r="C2842" s="1497">
        <v>100</v>
      </c>
      <c r="D2842" s="1500"/>
      <c r="E2842" s="1498">
        <f t="shared" si="51"/>
        <v>0.11455062703055371</v>
      </c>
      <c r="F2842" s="1499"/>
      <c r="G2842" s="415"/>
      <c r="H2842" s="415"/>
    </row>
    <row r="2843" spans="1:8" ht="12.75" hidden="1" customHeight="1" outlineLevel="1" x14ac:dyDescent="0.25">
      <c r="A2843" s="221" t="s">
        <v>10063</v>
      </c>
      <c r="B2843" s="1478">
        <v>45870</v>
      </c>
      <c r="C2843" s="1497">
        <v>100</v>
      </c>
      <c r="D2843" s="1500"/>
      <c r="E2843" s="1498">
        <f t="shared" si="51"/>
        <v>0.11455062703055371</v>
      </c>
      <c r="F2843" s="1499"/>
      <c r="G2843" s="415"/>
      <c r="H2843" s="415"/>
    </row>
    <row r="2844" spans="1:8" ht="12.75" hidden="1" customHeight="1" outlineLevel="1" x14ac:dyDescent="0.25">
      <c r="A2844" s="221" t="s">
        <v>10064</v>
      </c>
      <c r="B2844" s="1478">
        <v>45901</v>
      </c>
      <c r="C2844" s="1497">
        <v>100</v>
      </c>
      <c r="D2844" s="1500"/>
      <c r="E2844" s="1498">
        <f>IF(D2844="",E2837,D2844/C2844-1)</f>
        <v>0.11455062703055371</v>
      </c>
      <c r="F2844" s="1499"/>
      <c r="G2844" s="415"/>
      <c r="H2844" s="415"/>
    </row>
    <row r="2845" spans="1:8" ht="12.75" hidden="1" customHeight="1" outlineLevel="1" x14ac:dyDescent="0.25">
      <c r="A2845" s="221" t="s">
        <v>10065</v>
      </c>
      <c r="B2845" s="1478">
        <v>45931</v>
      </c>
      <c r="C2845" s="1497">
        <v>100</v>
      </c>
      <c r="D2845" s="1500"/>
      <c r="E2845" s="1498">
        <f>IF(D2845="",E2844,D2845/C2845-1)</f>
        <v>0.11455062703055371</v>
      </c>
      <c r="F2845" s="1499"/>
      <c r="G2845" s="415"/>
      <c r="H2845" s="415"/>
    </row>
    <row r="2846" spans="1:8" s="444" customFormat="1" ht="12.75" hidden="1" customHeight="1" outlineLevel="1" x14ac:dyDescent="0.25">
      <c r="A2846" s="1483" t="s">
        <v>2734</v>
      </c>
      <c r="B2846" s="1484"/>
      <c r="C2846" s="1500"/>
      <c r="D2846" s="1485" t="s">
        <v>2465</v>
      </c>
      <c r="E2846" s="1486">
        <f>AVERAGE(E2834:E2845)</f>
        <v>0.1145506270305537</v>
      </c>
      <c r="F2846" s="1487">
        <f>((((E2846*100)+100)-I2803)/100)</f>
        <v>0.40890462703055375</v>
      </c>
    </row>
    <row r="2847" spans="1:8" collapsed="1" x14ac:dyDescent="0.25">
      <c r="A2847" s="3799" t="s">
        <v>9960</v>
      </c>
      <c r="B2847" s="3800"/>
      <c r="C2847" s="3800"/>
      <c r="D2847" s="3800"/>
      <c r="E2847" s="18"/>
      <c r="F2847" s="186">
        <f>MAX(0%,MIN(F2846,100%))</f>
        <v>0.40890462703055375</v>
      </c>
      <c r="G2847" s="415"/>
    </row>
    <row r="2849" spans="1:18" ht="12.75" hidden="1" customHeight="1" outlineLevel="1" x14ac:dyDescent="0.25">
      <c r="A2849" s="2113" t="s">
        <v>4156</v>
      </c>
      <c r="B2849" s="2113" t="s">
        <v>4153</v>
      </c>
      <c r="C2849" s="2114" t="s">
        <v>112</v>
      </c>
      <c r="D2849" s="2391" t="s">
        <v>4155</v>
      </c>
      <c r="E2849" s="2113" t="s">
        <v>4154</v>
      </c>
      <c r="F2849" s="2391" t="s">
        <v>2519</v>
      </c>
      <c r="G2849" s="12"/>
      <c r="H2849" s="415"/>
      <c r="I2849" s="412" t="s">
        <v>6964</v>
      </c>
      <c r="J2849" s="1462">
        <v>43770</v>
      </c>
      <c r="K2849" s="1462">
        <v>43800</v>
      </c>
      <c r="L2849" s="1462">
        <v>43831</v>
      </c>
      <c r="M2849" s="1462">
        <v>43862</v>
      </c>
      <c r="N2849" s="1462">
        <v>43891</v>
      </c>
      <c r="O2849" s="1462">
        <v>43922</v>
      </c>
      <c r="P2849" s="1462"/>
      <c r="Q2849" s="1462"/>
      <c r="R2849" s="1462"/>
    </row>
    <row r="2850" spans="1:18" ht="12.75" hidden="1" customHeight="1" outlineLevel="1" x14ac:dyDescent="0.25">
      <c r="A2850" s="134">
        <v>0.08</v>
      </c>
      <c r="B2850" s="211" t="s">
        <v>802</v>
      </c>
      <c r="C2850" s="472">
        <v>8.6679999999999993</v>
      </c>
      <c r="D2850" s="1596">
        <f>VLOOKUP(H2850,indexy!$C$44:$D$823,2,FALSE)</f>
        <v>19.690000000000001</v>
      </c>
      <c r="E2850" s="1466">
        <f>D2850/C2850-1</f>
        <v>1.2715736040609142</v>
      </c>
      <c r="F2850" s="1492">
        <f>E2850*A2850</f>
        <v>0.10172588832487314</v>
      </c>
      <c r="G2850" s="415"/>
      <c r="H2850" s="415" t="str">
        <f>VLOOKUP(B2850,indexy!$A$44:$D$823,3,FALSE)</f>
        <v>NLY UN Equity</v>
      </c>
      <c r="I2850" s="412">
        <f>IF(J2850="",100,MIN(100,J2850:Y2850))</f>
        <v>70.400000000000006</v>
      </c>
      <c r="J2850">
        <v>100.6181</v>
      </c>
      <c r="K2850">
        <v>100.27679999999999</v>
      </c>
      <c r="L2850">
        <v>99.924499999999995</v>
      </c>
      <c r="M2850">
        <v>102.1104</v>
      </c>
      <c r="N2850">
        <v>97.182199999999995</v>
      </c>
      <c r="O2850">
        <v>70.400000000000006</v>
      </c>
    </row>
    <row r="2851" spans="1:18" ht="12.75" hidden="1" customHeight="1" outlineLevel="1" x14ac:dyDescent="0.25">
      <c r="A2851" s="135">
        <v>0.05</v>
      </c>
      <c r="B2851" s="211" t="s">
        <v>5748</v>
      </c>
      <c r="C2851" s="472">
        <v>75.097999999999999</v>
      </c>
      <c r="D2851" s="1597">
        <f>VLOOKUP(H2851,indexy!$C$44:$D$823,2,FALSE)</f>
        <v>70.069999999999993</v>
      </c>
      <c r="E2851" s="1463">
        <f>D2851/C2851-1</f>
        <v>-6.6952515379903654E-2</v>
      </c>
      <c r="F2851" s="1494">
        <f t="shared" ref="F2851:F2874" si="52">E2851*A2851</f>
        <v>-3.347625768995183E-3</v>
      </c>
      <c r="G2851" s="415"/>
      <c r="H2851" s="415" t="str">
        <f>VLOOKUP(B2851,indexy!$A$44:$D$823,3,FALSE)</f>
        <v>BNS CT Equity</v>
      </c>
      <c r="I2851" s="422">
        <f>+(((E2893*100)+100)-I2850)/100</f>
        <v>0.41861103386183485</v>
      </c>
    </row>
    <row r="2852" spans="1:18" ht="12.75" hidden="1" customHeight="1" outlineLevel="1" x14ac:dyDescent="0.25">
      <c r="A2852" s="135">
        <v>0.08</v>
      </c>
      <c r="B2852" s="211" t="s">
        <v>807</v>
      </c>
      <c r="C2852" s="472">
        <v>64.533000000000001</v>
      </c>
      <c r="D2852" s="1597">
        <f>VLOOKUP(H2852,indexy!$C$44:$D$823,2,FALSE)</f>
        <v>46.03</v>
      </c>
      <c r="E2852" s="1463">
        <f t="shared" ref="E2852:E2879" si="53">D2852/C2852-1</f>
        <v>-0.28672152232191284</v>
      </c>
      <c r="F2852" s="1494">
        <f t="shared" si="52"/>
        <v>-2.2937721785753026E-2</v>
      </c>
      <c r="G2852" s="415"/>
      <c r="H2852" s="415" t="str">
        <f>VLOOKUP(B2852,indexy!$A$44:$D$823,3,FALSE)</f>
        <v>BCE CT Equity</v>
      </c>
      <c r="J2852" s="434"/>
    </row>
    <row r="2853" spans="1:18" ht="12.75" hidden="1" customHeight="1" outlineLevel="1" x14ac:dyDescent="0.25">
      <c r="A2853" s="135">
        <v>0.08</v>
      </c>
      <c r="B2853" s="211" t="s">
        <v>3954</v>
      </c>
      <c r="C2853" s="472">
        <f>109.647/2</f>
        <v>54.823500000000003</v>
      </c>
      <c r="D2853" s="1597">
        <f>VLOOKUP(H2853,indexy!$C$44:$D$823,2,FALSE)</f>
        <v>68.67</v>
      </c>
      <c r="E2853" s="1463">
        <f t="shared" si="53"/>
        <v>0.25256504965936144</v>
      </c>
      <c r="F2853" s="1494">
        <f t="shared" si="52"/>
        <v>2.0205203972748914E-2</v>
      </c>
      <c r="G2853" s="415"/>
      <c r="H2853" s="415" t="str">
        <f>VLOOKUP(B2853,indexy!$A$44:$D$823,3,FALSE)</f>
        <v>CM CT Equity</v>
      </c>
      <c r="J2853" s="434"/>
      <c r="K2853" s="37"/>
    </row>
    <row r="2854" spans="1:18" ht="12.75" hidden="1" customHeight="1" outlineLevel="1" x14ac:dyDescent="0.25">
      <c r="A2854" s="135">
        <v>0.02</v>
      </c>
      <c r="B2854" s="211" t="s">
        <v>6158</v>
      </c>
      <c r="C2854" s="472">
        <v>28.361999999999998</v>
      </c>
      <c r="D2854" s="1597">
        <f>VLOOKUP(H2854,indexy!$C$44:$D$823,2,FALSE)</f>
        <v>28.49</v>
      </c>
      <c r="E2854" s="1463">
        <f t="shared" si="53"/>
        <v>4.5130808828715008E-3</v>
      </c>
      <c r="F2854" s="1494">
        <f t="shared" si="52"/>
        <v>9.0261617657430012E-5</v>
      </c>
      <c r="G2854" s="415"/>
      <c r="H2854" s="415" t="str">
        <f>VLOOKUP(B2854,indexy!$A$44:$D$823,3,FALSE)</f>
        <v>CNP UN Equity</v>
      </c>
      <c r="J2854" s="434"/>
    </row>
    <row r="2855" spans="1:18" ht="12.75" hidden="1" customHeight="1" outlineLevel="1" x14ac:dyDescent="0.25">
      <c r="A2855" s="135">
        <v>0.02</v>
      </c>
      <c r="B2855" s="211" t="s">
        <v>581</v>
      </c>
      <c r="C2855" s="472">
        <v>114.654</v>
      </c>
      <c r="D2855" s="1597">
        <f>VLOOKUP(H2855,indexy!$C$44:$D$823,2,FALSE)</f>
        <v>157.74</v>
      </c>
      <c r="E2855" s="1463">
        <f t="shared" si="53"/>
        <v>0.37579151185305371</v>
      </c>
      <c r="F2855" s="1494">
        <f t="shared" si="52"/>
        <v>7.5158302370610741E-3</v>
      </c>
      <c r="G2855" s="415"/>
      <c r="H2855" s="415" t="str">
        <f>VLOOKUP(B2855,indexy!$A$44:$D$823,3,FALSE)</f>
        <v>CVX UN Equity</v>
      </c>
      <c r="J2855" s="434"/>
    </row>
    <row r="2856" spans="1:18" ht="12.75" hidden="1" customHeight="1" outlineLevel="1" x14ac:dyDescent="0.25">
      <c r="A2856" s="135">
        <v>0.02</v>
      </c>
      <c r="B2856" s="211" t="s">
        <v>9591</v>
      </c>
      <c r="C2856" s="472">
        <v>81.587999999999994</v>
      </c>
      <c r="D2856" s="1597">
        <f>VLOOKUP(H2856,indexy!$C$44:$D$823,2,FALSE)</f>
        <v>49.19</v>
      </c>
      <c r="E2856" s="1463">
        <f t="shared" si="53"/>
        <v>-0.39709270971221255</v>
      </c>
      <c r="F2856" s="1494">
        <f t="shared" si="52"/>
        <v>-7.9418541942442508E-3</v>
      </c>
      <c r="G2856" s="415"/>
      <c r="H2856" s="415" t="str">
        <f>VLOOKUP(B2856,indexy!$A$44:$D$823,3,FALSE)</f>
        <v>D UN Equity</v>
      </c>
      <c r="J2856" s="434"/>
    </row>
    <row r="2857" spans="1:18" ht="12.75" hidden="1" customHeight="1" outlineLevel="1" x14ac:dyDescent="0.25">
      <c r="A2857" s="135">
        <v>0.02</v>
      </c>
      <c r="B2857" s="211" t="s">
        <v>1231</v>
      </c>
      <c r="C2857" s="472">
        <v>95.707999999999998</v>
      </c>
      <c r="D2857" s="1597">
        <f>VLOOKUP(H2857,indexy!$C$44:$D$823,2,FALSE)</f>
        <v>96.71</v>
      </c>
      <c r="E2857" s="1463">
        <f t="shared" si="53"/>
        <v>1.0469344255443547E-2</v>
      </c>
      <c r="F2857" s="1494">
        <f t="shared" si="52"/>
        <v>2.0938688510887095E-4</v>
      </c>
      <c r="G2857" s="415"/>
      <c r="H2857" s="415" t="str">
        <f>VLOOKUP(B2857,indexy!$A$44:$D$823,3,FALSE)</f>
        <v>DUK UN Equity</v>
      </c>
      <c r="J2857" s="434"/>
    </row>
    <row r="2858" spans="1:18" ht="12.75" hidden="1" customHeight="1" outlineLevel="1" x14ac:dyDescent="0.25">
      <c r="A2858" s="135">
        <v>0.02</v>
      </c>
      <c r="B2858" s="211" t="s">
        <v>7855</v>
      </c>
      <c r="C2858" s="472">
        <v>47.04</v>
      </c>
      <c r="D2858" s="1597">
        <f>VLOOKUP(H2858,indexy!$C$44:$D$823,2,FALSE)</f>
        <v>48.95</v>
      </c>
      <c r="E2858" s="1463">
        <f t="shared" si="53"/>
        <v>4.0603741496598733E-2</v>
      </c>
      <c r="F2858" s="1494">
        <f t="shared" si="52"/>
        <v>8.1207482993197468E-4</v>
      </c>
      <c r="G2858" s="415"/>
      <c r="H2858" s="415" t="str">
        <f>VLOOKUP(B2858,indexy!$A$44:$D$823,3,FALSE)</f>
        <v>ENB CT Equity</v>
      </c>
      <c r="J2858" s="434"/>
    </row>
    <row r="2859" spans="1:18" ht="12.75" hidden="1" customHeight="1" outlineLevel="1" x14ac:dyDescent="0.25">
      <c r="A2859" s="135">
        <v>0.02</v>
      </c>
      <c r="B2859" s="211" t="s">
        <v>3425</v>
      </c>
      <c r="C2859" s="472">
        <v>68.197000000000003</v>
      </c>
      <c r="D2859" s="1597">
        <f>VLOOKUP(H2859,indexy!$C$44:$D$823,2,FALSE)</f>
        <v>116.24</v>
      </c>
      <c r="E2859" s="1463">
        <f t="shared" si="53"/>
        <v>0.70447380383301295</v>
      </c>
      <c r="F2859" s="1494">
        <f t="shared" si="52"/>
        <v>1.408947607666026E-2</v>
      </c>
      <c r="G2859" s="415"/>
      <c r="H2859" s="415" t="str">
        <f>VLOOKUP(B2859,indexy!$A$44:$D$823,3,FALSE)</f>
        <v>XOM UN Equity</v>
      </c>
      <c r="J2859" s="434"/>
    </row>
    <row r="2860" spans="1:18" ht="12.75" hidden="1" customHeight="1" outlineLevel="1" x14ac:dyDescent="0.25">
      <c r="A2860" s="135">
        <v>0.05</v>
      </c>
      <c r="B2860" s="211" t="s">
        <v>10118</v>
      </c>
      <c r="C2860" s="472">
        <v>55.509</v>
      </c>
      <c r="D2860" s="1597">
        <f>VLOOKUP(H2860,indexy!$C$44:$D$823,2,FALSE)</f>
        <v>53.52</v>
      </c>
      <c r="E2860" s="1463">
        <f t="shared" si="53"/>
        <v>-3.5832027238826059E-2</v>
      </c>
      <c r="F2860" s="1494">
        <f t="shared" si="52"/>
        <v>-1.791601361941303E-3</v>
      </c>
      <c r="G2860" s="415"/>
      <c r="H2860" s="415" t="str">
        <f>VLOOKUP(B2860,indexy!$A$44:$D$823,3,FALSE)</f>
        <v>FTS CT Equity</v>
      </c>
      <c r="J2860" s="434"/>
    </row>
    <row r="2861" spans="1:18" ht="12.75" hidden="1" customHeight="1" outlineLevel="1" x14ac:dyDescent="0.25">
      <c r="A2861" s="135">
        <v>0.02</v>
      </c>
      <c r="B2861" s="211" t="s">
        <v>52</v>
      </c>
      <c r="C2861" s="472">
        <v>139.87200000000001</v>
      </c>
      <c r="D2861" s="1597">
        <f>VLOOKUP(H2861,indexy!$C$44:$D$823,2,FALSE)</f>
        <v>190.96</v>
      </c>
      <c r="E2861" s="1463">
        <f t="shared" si="53"/>
        <v>0.36524822695035453</v>
      </c>
      <c r="F2861" s="1494">
        <f t="shared" si="52"/>
        <v>7.3049645390070904E-3</v>
      </c>
      <c r="G2861" s="415"/>
      <c r="H2861" s="415" t="str">
        <f>VLOOKUP(B2861,indexy!$A$44:$D$823,3,FALSE)</f>
        <v>IBM UN Equity</v>
      </c>
      <c r="J2861" s="434"/>
    </row>
    <row r="2862" spans="1:18" ht="12.75" hidden="1" customHeight="1" outlineLevel="1" x14ac:dyDescent="0.25">
      <c r="A2862" s="135">
        <v>0.02</v>
      </c>
      <c r="B2862" s="211" t="s">
        <v>6707</v>
      </c>
      <c r="C2862" s="490">
        <v>20.138999999999999</v>
      </c>
      <c r="D2862" s="1597">
        <f>VLOOKUP(H2862,indexy!$C$44:$D$823,2,FALSE)</f>
        <v>18.34</v>
      </c>
      <c r="E2862" s="1463">
        <f t="shared" si="53"/>
        <v>-8.9329162321863054E-2</v>
      </c>
      <c r="F2862" s="1494">
        <f t="shared" si="52"/>
        <v>-1.786583246437261E-3</v>
      </c>
      <c r="G2862" s="415"/>
      <c r="H2862" s="415" t="str">
        <f>VLOOKUP(B2862,indexy!$A$44:$D$823,3,FALSE)</f>
        <v>KMI UN Equity</v>
      </c>
      <c r="J2862" s="434"/>
    </row>
    <row r="2863" spans="1:18" ht="12.75" hidden="1" customHeight="1" outlineLevel="1" x14ac:dyDescent="0.25">
      <c r="A2863" s="135">
        <v>0.02</v>
      </c>
      <c r="B2863" s="211" t="s">
        <v>123</v>
      </c>
      <c r="C2863" s="472">
        <v>23.864999999999998</v>
      </c>
      <c r="D2863" s="1597">
        <f>VLOOKUP(H2863,indexy!$C$44:$D$823,2,FALSE)</f>
        <v>33.83</v>
      </c>
      <c r="E2863" s="1463">
        <f t="shared" si="53"/>
        <v>0.41755709197569657</v>
      </c>
      <c r="F2863" s="1494">
        <f t="shared" si="52"/>
        <v>8.3511418395139318E-3</v>
      </c>
      <c r="G2863" s="415"/>
      <c r="H2863" s="415" t="str">
        <f>VLOOKUP(B2863,indexy!$A$44:$D$823,3,FALSE)</f>
        <v>MFC CT Equity</v>
      </c>
      <c r="J2863" s="434"/>
    </row>
    <row r="2864" spans="1:18" ht="12.75" hidden="1" customHeight="1" outlineLevel="1" x14ac:dyDescent="0.25">
      <c r="A2864" s="135">
        <v>0.02</v>
      </c>
      <c r="B2864" s="211" t="s">
        <v>7754</v>
      </c>
      <c r="C2864" s="472">
        <v>66.596000000000004</v>
      </c>
      <c r="D2864" s="1597">
        <f>VLOOKUP(H2864,indexy!$C$44:$D$823,2,FALSE)</f>
        <v>114.06</v>
      </c>
      <c r="E2864" s="1463">
        <f t="shared" si="53"/>
        <v>0.71271547840711147</v>
      </c>
      <c r="F2864" s="1494">
        <f t="shared" si="52"/>
        <v>1.4254309568142229E-2</v>
      </c>
      <c r="G2864" s="415"/>
      <c r="H2864" s="415" t="str">
        <f>VLOOKUP(B2864,indexy!$A$44:$D$823,3,FALSE)</f>
        <v>NA CT Equity</v>
      </c>
      <c r="J2864" s="434"/>
    </row>
    <row r="2865" spans="1:10" ht="12.75" hidden="1" customHeight="1" outlineLevel="1" x14ac:dyDescent="0.25">
      <c r="A2865" s="135">
        <v>0.02</v>
      </c>
      <c r="B2865" s="211" t="s">
        <v>10027</v>
      </c>
      <c r="C2865" s="472">
        <v>69.072000000000003</v>
      </c>
      <c r="D2865" s="1597">
        <f>VLOOKUP(H2865,indexy!$C$44:$D$823,2,FALSE)</f>
        <v>80.17</v>
      </c>
      <c r="E2865" s="1463">
        <f t="shared" si="53"/>
        <v>0.16067292100996067</v>
      </c>
      <c r="F2865" s="1494">
        <f t="shared" si="52"/>
        <v>3.2134584201992133E-3</v>
      </c>
      <c r="G2865" s="415"/>
      <c r="H2865" s="415" t="str">
        <f>VLOOKUP(B2865,indexy!$A$44:$D$823,3,FALSE)</f>
        <v>OKE UN Equity</v>
      </c>
      <c r="J2865" s="434"/>
    </row>
    <row r="2866" spans="1:10" ht="12.75" hidden="1" customHeight="1" outlineLevel="1" x14ac:dyDescent="0.25">
      <c r="A2866" s="135">
        <v>0.03</v>
      </c>
      <c r="B2866" s="211" t="s">
        <v>9516</v>
      </c>
      <c r="C2866" s="472">
        <v>47.133000000000003</v>
      </c>
      <c r="D2866" s="1597">
        <f>VLOOKUP(H2866,indexy!$C$44:$D$823,2,FALSE)</f>
        <v>47.81</v>
      </c>
      <c r="E2866" s="1463">
        <f t="shared" si="53"/>
        <v>1.43636093607451E-2</v>
      </c>
      <c r="F2866" s="1494">
        <f t="shared" si="52"/>
        <v>4.3090828082235298E-4</v>
      </c>
      <c r="G2866" s="415"/>
      <c r="H2866" s="415" t="str">
        <f>VLOOKUP(B2866,indexy!$A$44:$D$823,3,FALSE)</f>
        <v>PPL CT Equity</v>
      </c>
      <c r="J2866" s="434"/>
    </row>
    <row r="2867" spans="1:10" ht="12.75" hidden="1" customHeight="1" outlineLevel="1" x14ac:dyDescent="0.25">
      <c r="A2867" s="135">
        <v>0.02</v>
      </c>
      <c r="B2867" s="211" t="s">
        <v>2769</v>
      </c>
      <c r="C2867" s="472">
        <v>31.391999999999999</v>
      </c>
      <c r="D2867" s="1597">
        <f>VLOOKUP(H2867,indexy!$C$44:$D$823,2,FALSE)</f>
        <v>27.53</v>
      </c>
      <c r="E2867" s="1463">
        <f t="shared" si="53"/>
        <v>-0.12302497451580019</v>
      </c>
      <c r="F2867" s="1494">
        <f t="shared" si="52"/>
        <v>-2.4604994903160041E-3</v>
      </c>
      <c r="G2867" s="415"/>
      <c r="H2867" s="415" t="str">
        <f>VLOOKUP(B2867,indexy!$A$44:$D$823,3,FALSE)</f>
        <v>PPL UN Equity</v>
      </c>
      <c r="J2867" s="434"/>
    </row>
    <row r="2868" spans="1:10" ht="12.75" hidden="1" customHeight="1" outlineLevel="1" x14ac:dyDescent="0.25">
      <c r="A2868" s="135">
        <v>0.02</v>
      </c>
      <c r="B2868" s="211" t="s">
        <v>8529</v>
      </c>
      <c r="C2868" s="472">
        <v>78.335999999999999</v>
      </c>
      <c r="D2868" s="1597">
        <f>VLOOKUP(H2868,indexy!$C$44:$D$823,2,FALSE)</f>
        <v>54.1</v>
      </c>
      <c r="E2868" s="1463">
        <f t="shared" si="53"/>
        <v>-0.30938521241830064</v>
      </c>
      <c r="F2868" s="1494">
        <f t="shared" si="52"/>
        <v>-6.1877042483660131E-3</v>
      </c>
      <c r="G2868" s="415"/>
      <c r="H2868" s="415" t="str">
        <f>VLOOKUP(B2868,indexy!$A$44:$D$823,3,FALSE)</f>
        <v>O UN Equity</v>
      </c>
      <c r="J2868" s="434"/>
    </row>
    <row r="2869" spans="1:10" ht="12.75" hidden="1" customHeight="1" outlineLevel="1" x14ac:dyDescent="0.25">
      <c r="A2869" s="135">
        <v>0.03</v>
      </c>
      <c r="B2869" s="211" t="s">
        <v>2728</v>
      </c>
      <c r="C2869" s="472">
        <v>106.31100000000001</v>
      </c>
      <c r="D2869" s="1597">
        <f>VLOOKUP(H2869,indexy!$C$44:$D$823,2,FALSE)</f>
        <v>136.62</v>
      </c>
      <c r="E2869" s="1463">
        <f t="shared" si="53"/>
        <v>0.28509749696644748</v>
      </c>
      <c r="F2869" s="1494">
        <f t="shared" si="52"/>
        <v>8.5529249089934239E-3</v>
      </c>
      <c r="G2869" s="415"/>
      <c r="H2869" s="415" t="str">
        <f>VLOOKUP(B2869,indexy!$A$44:$D$823,3,FALSE)</f>
        <v>RY CT Equity</v>
      </c>
      <c r="J2869" s="434"/>
    </row>
    <row r="2870" spans="1:10" ht="12.75" hidden="1" customHeight="1" outlineLevel="1" x14ac:dyDescent="0.25">
      <c r="A2870" s="135">
        <v>0.02</v>
      </c>
      <c r="B2870" s="211" t="s">
        <v>8210</v>
      </c>
      <c r="C2870" s="472">
        <v>148.08500000000001</v>
      </c>
      <c r="D2870" s="1597">
        <f>VLOOKUP(H2870,indexy!$C$44:$D$823,2,FALSE)</f>
        <v>156.49</v>
      </c>
      <c r="E2870" s="1463">
        <f t="shared" si="53"/>
        <v>5.6757943073235007E-2</v>
      </c>
      <c r="F2870" s="1494">
        <f t="shared" si="52"/>
        <v>1.1351588614647002E-3</v>
      </c>
      <c r="G2870" s="415"/>
      <c r="H2870" s="415" t="str">
        <f>VLOOKUP(B2870,indexy!$A$44:$D$823,3,FALSE)</f>
        <v>SPG UN Equity</v>
      </c>
      <c r="J2870" s="434"/>
    </row>
    <row r="2871" spans="1:10" ht="12.75" hidden="1" customHeight="1" outlineLevel="1" x14ac:dyDescent="0.25">
      <c r="A2871" s="135">
        <v>0.02</v>
      </c>
      <c r="B2871" s="211" t="s">
        <v>3427</v>
      </c>
      <c r="C2871" s="472">
        <v>61.341000000000001</v>
      </c>
      <c r="D2871" s="1597">
        <f>VLOOKUP(H2871,indexy!$C$44:$D$823,2,FALSE)</f>
        <v>71.739999999999995</v>
      </c>
      <c r="E2871" s="1463">
        <f t="shared" si="53"/>
        <v>0.16952772207821831</v>
      </c>
      <c r="F2871" s="1494">
        <f t="shared" si="52"/>
        <v>3.3905544415643663E-3</v>
      </c>
      <c r="G2871" s="415"/>
      <c r="H2871" s="415" t="str">
        <f>VLOOKUP(B2871,indexy!$A$44:$D$823,3,FALSE)</f>
        <v>SO UN Equity</v>
      </c>
      <c r="J2871" s="434"/>
    </row>
    <row r="2872" spans="1:10" ht="12.75" hidden="1" customHeight="1" outlineLevel="1" x14ac:dyDescent="0.25">
      <c r="A2872" s="135">
        <v>0.03</v>
      </c>
      <c r="B2872" s="211" t="s">
        <v>898</v>
      </c>
      <c r="C2872" s="472">
        <v>58.048000000000002</v>
      </c>
      <c r="D2872" s="1597">
        <f>VLOOKUP(H2872,indexy!$C$44:$D$823,2,FALSE)</f>
        <v>73.91</v>
      </c>
      <c r="E2872" s="1463">
        <f t="shared" si="53"/>
        <v>0.27325661521499445</v>
      </c>
      <c r="F2872" s="1494">
        <f t="shared" si="52"/>
        <v>8.1976984564498326E-3</v>
      </c>
      <c r="G2872" s="415"/>
      <c r="H2872" s="415" t="str">
        <f>VLOOKUP(B2872,indexy!$A$44:$D$823,3,FALSE)</f>
        <v>SLF CT Equity</v>
      </c>
      <c r="J2872" s="434"/>
    </row>
    <row r="2873" spans="1:10" ht="12.75" hidden="1" customHeight="1" outlineLevel="1" x14ac:dyDescent="0.25">
      <c r="A2873" s="135">
        <v>0.02</v>
      </c>
      <c r="B2873" s="211" t="s">
        <v>366</v>
      </c>
      <c r="C2873" s="472">
        <v>67.849000000000004</v>
      </c>
      <c r="D2873" s="1597">
        <f>VLOOKUP(H2873,indexy!$C$44:$D$823,2,FALSE)</f>
        <v>54.44</v>
      </c>
      <c r="E2873" s="1463">
        <f t="shared" si="53"/>
        <v>-0.19763003139324098</v>
      </c>
      <c r="F2873" s="1494">
        <f t="shared" si="52"/>
        <v>-3.9526006278648197E-3</v>
      </c>
      <c r="G2873" s="415"/>
      <c r="H2873" s="415" t="str">
        <f>VLOOKUP(B2873,indexy!$A$44:$D$823,3,FALSE)</f>
        <v>TRP CT Equity</v>
      </c>
      <c r="J2873" s="434"/>
    </row>
    <row r="2874" spans="1:10" ht="12.75" hidden="1" customHeight="1" outlineLevel="1" x14ac:dyDescent="0.25">
      <c r="A2874" s="135">
        <v>7.0000000000000007E-2</v>
      </c>
      <c r="B2874" s="211" t="s">
        <v>3665</v>
      </c>
      <c r="C2874" s="472">
        <f>47.642/2</f>
        <v>23.821000000000002</v>
      </c>
      <c r="D2874" s="1597">
        <f>VLOOKUP(H2874,indexy!$C$44:$D$823,2,FALSE)</f>
        <v>21.67</v>
      </c>
      <c r="E2874" s="1463">
        <f t="shared" si="53"/>
        <v>-9.0298476134503147E-2</v>
      </c>
      <c r="F2874" s="1494">
        <f t="shared" si="52"/>
        <v>-6.320893329415221E-3</v>
      </c>
      <c r="G2874" s="415"/>
      <c r="H2874" s="415" t="str">
        <f>VLOOKUP(B2874,indexy!$A$44:$D$823,3,FALSE)</f>
        <v>T CT Equity</v>
      </c>
      <c r="J2874" s="434"/>
    </row>
    <row r="2875" spans="1:10" ht="12.75" hidden="1" customHeight="1" outlineLevel="1" x14ac:dyDescent="0.25">
      <c r="A2875" s="135">
        <v>0.08</v>
      </c>
      <c r="B2875" s="211" t="s">
        <v>3626</v>
      </c>
      <c r="C2875" s="472">
        <v>73.754999999999995</v>
      </c>
      <c r="D2875" s="1597">
        <f>VLOOKUP(H2875,indexy!$C$44:$D$823,2,FALSE)</f>
        <v>81.75</v>
      </c>
      <c r="E2875" s="1463">
        <f t="shared" si="53"/>
        <v>0.10839943054708168</v>
      </c>
      <c r="F2875" s="1494">
        <f>E2875*A2875</f>
        <v>8.6719544437665348E-3</v>
      </c>
      <c r="G2875" s="415"/>
      <c r="H2875" s="415" t="str">
        <f>VLOOKUP(B2875,indexy!$A$44:$D$823,3,FALSE)</f>
        <v>TD CT Equity</v>
      </c>
      <c r="J2875" s="434"/>
    </row>
    <row r="2876" spans="1:10" ht="12.75" hidden="1" customHeight="1" outlineLevel="1" x14ac:dyDescent="0.25">
      <c r="A2876" s="135">
        <v>0.02</v>
      </c>
      <c r="B2876" s="211" t="s">
        <v>5758</v>
      </c>
      <c r="C2876" s="472">
        <v>72.727999999999994</v>
      </c>
      <c r="D2876" s="1597">
        <f>VLOOKUP(H2876,indexy!$C$44:$D$946,2,FALSE)</f>
        <v>43.54</v>
      </c>
      <c r="E2876" s="1463">
        <f t="shared" si="53"/>
        <v>-0.40133098669013312</v>
      </c>
      <c r="F2876" s="1494">
        <f>E2876*A2876</f>
        <v>-8.0266197338026632E-3</v>
      </c>
      <c r="G2876" s="415"/>
      <c r="H2876" s="415" t="str">
        <f>VLOOKUP(B2876,indexy!$A$44:$D$946,3,FALSE)</f>
        <v>VTR UN Equity</v>
      </c>
      <c r="J2876" s="434"/>
    </row>
    <row r="2877" spans="1:10" ht="12.75" hidden="1" customHeight="1" outlineLevel="1" x14ac:dyDescent="0.25">
      <c r="A2877" s="135">
        <v>0.02</v>
      </c>
      <c r="B2877" s="211" t="s">
        <v>255</v>
      </c>
      <c r="C2877" s="472">
        <v>60.085000000000001</v>
      </c>
      <c r="D2877" s="1597">
        <f>VLOOKUP(H2877,indexy!$C$44:$D$823,2,FALSE)</f>
        <v>41.96</v>
      </c>
      <c r="E2877" s="1463">
        <f t="shared" si="53"/>
        <v>-0.30165598735125243</v>
      </c>
      <c r="F2877" s="1494">
        <f>E2877*A2877</f>
        <v>-6.0331197470250486E-3</v>
      </c>
      <c r="G2877" s="415"/>
      <c r="H2877" s="415" t="str">
        <f>VLOOKUP(B2877,indexy!$A$44:$D$823,3,FALSE)</f>
        <v>VZ UN Equity</v>
      </c>
      <c r="J2877" s="434"/>
    </row>
    <row r="2878" spans="1:10" ht="12.75" hidden="1" customHeight="1" outlineLevel="1" x14ac:dyDescent="0.25">
      <c r="A2878" s="135">
        <v>0.02</v>
      </c>
      <c r="B2878" s="211" t="s">
        <v>6163</v>
      </c>
      <c r="C2878" s="472">
        <v>91.432000000000002</v>
      </c>
      <c r="D2878" s="1597">
        <f>VLOOKUP(H2878,indexy!$C$44:$D$823,2,FALSE)</f>
        <v>93.44</v>
      </c>
      <c r="E2878" s="1463">
        <f t="shared" si="53"/>
        <v>2.1961676437133537E-2</v>
      </c>
      <c r="F2878" s="1494">
        <f>E2878*A2878</f>
        <v>4.3923352874267077E-4</v>
      </c>
      <c r="G2878" s="415"/>
      <c r="H2878" s="415" t="str">
        <f>VLOOKUP(B2878,indexy!$A$44:$D$823,3,FALSE)</f>
        <v>WELL UN Equity</v>
      </c>
      <c r="J2878" s="434"/>
    </row>
    <row r="2879" spans="1:10" ht="12.75" hidden="1" customHeight="1" outlineLevel="1" x14ac:dyDescent="0.25">
      <c r="A2879" s="135">
        <v>0.04</v>
      </c>
      <c r="B2879" s="1465" t="s">
        <v>10003</v>
      </c>
      <c r="C2879" s="472">
        <v>91.004999999999995</v>
      </c>
      <c r="D2879" s="1598">
        <f>VLOOKUP(H2879,indexy!$C$44:$D$823,2,FALSE)</f>
        <v>56.44</v>
      </c>
      <c r="E2879" s="1463">
        <f t="shared" si="53"/>
        <v>-0.37981429591780669</v>
      </c>
      <c r="F2879" s="1494">
        <f>E2879*A2879</f>
        <v>-1.5192571836712267E-2</v>
      </c>
      <c r="G2879" s="415"/>
      <c r="H2879" s="415" t="str">
        <f>VLOOKUP(B2879,indexy!$A$44:$D$823,3,FALSE)</f>
        <v>WPC UN Equity</v>
      </c>
      <c r="J2879" s="434"/>
    </row>
    <row r="2880" spans="1:10" ht="12.75" hidden="1" customHeight="1" outlineLevel="1" x14ac:dyDescent="0.25">
      <c r="A2880" s="1475" t="s">
        <v>2734</v>
      </c>
      <c r="B2880" s="150"/>
      <c r="C2880" s="1476">
        <v>100</v>
      </c>
      <c r="D2880" s="1477"/>
      <c r="E2880" s="1599"/>
      <c r="F2880" s="1599">
        <f>SUM(F2850:F2879)</f>
        <v>0.12261103386183494</v>
      </c>
      <c r="G2880" s="415"/>
      <c r="H2880" s="415"/>
    </row>
    <row r="2881" spans="1:18" ht="12.75" hidden="1" customHeight="1" outlineLevel="1" x14ac:dyDescent="0.25">
      <c r="A2881" s="221" t="s">
        <v>10121</v>
      </c>
      <c r="B2881" s="1478">
        <v>45658</v>
      </c>
      <c r="C2881" s="1497">
        <v>100</v>
      </c>
      <c r="D2881" s="1497"/>
      <c r="E2881" s="1498">
        <f>IF(D2881="",F2880,D2881/C2881-1)</f>
        <v>0.12261103386183494</v>
      </c>
      <c r="F2881" s="1499"/>
      <c r="G2881" s="415"/>
      <c r="H2881" s="415"/>
    </row>
    <row r="2882" spans="1:18" ht="12.75" hidden="1" customHeight="1" outlineLevel="1" x14ac:dyDescent="0.25">
      <c r="A2882" s="221" t="s">
        <v>10122</v>
      </c>
      <c r="B2882" s="1478">
        <v>45689</v>
      </c>
      <c r="C2882" s="1497">
        <v>100</v>
      </c>
      <c r="D2882" s="1500"/>
      <c r="E2882" s="1498">
        <f>IF(D2882="",E2881,D2882/C2882-1)</f>
        <v>0.12261103386183494</v>
      </c>
      <c r="F2882" s="1499"/>
      <c r="G2882" s="415"/>
      <c r="H2882" s="415"/>
    </row>
    <row r="2883" spans="1:18" ht="12.75" hidden="1" customHeight="1" outlineLevel="1" x14ac:dyDescent="0.25">
      <c r="A2883" s="221" t="s">
        <v>10123</v>
      </c>
      <c r="B2883" s="1478">
        <v>45717</v>
      </c>
      <c r="C2883" s="1497">
        <v>100</v>
      </c>
      <c r="D2883" s="1500"/>
      <c r="E2883" s="1498">
        <f>IF(D2883="",E2882,D2883/C2883-1)</f>
        <v>0.12261103386183494</v>
      </c>
      <c r="F2883" s="1499"/>
      <c r="G2883" s="415"/>
      <c r="H2883" s="415"/>
    </row>
    <row r="2884" spans="1:18" ht="12.75" hidden="1" customHeight="1" outlineLevel="1" x14ac:dyDescent="0.25">
      <c r="A2884" s="221" t="s">
        <v>10124</v>
      </c>
      <c r="B2884" s="1478">
        <v>45748</v>
      </c>
      <c r="C2884" s="1497">
        <v>100</v>
      </c>
      <c r="D2884" s="1500"/>
      <c r="E2884" s="1498">
        <f>IF(D2884="",E2883,D2884/C2884-1)</f>
        <v>0.12261103386183494</v>
      </c>
      <c r="F2884" s="1499"/>
      <c r="G2884" s="415"/>
      <c r="H2884" s="415"/>
    </row>
    <row r="2885" spans="1:18" ht="12.75" hidden="1" customHeight="1" outlineLevel="1" x14ac:dyDescent="0.25">
      <c r="A2885" s="221" t="s">
        <v>10125</v>
      </c>
      <c r="B2885" s="1478">
        <v>45778</v>
      </c>
      <c r="C2885" s="1497">
        <v>100</v>
      </c>
      <c r="D2885" s="1500"/>
      <c r="E2885" s="1498">
        <f t="shared" ref="E2885:E2890" si="54">IF(D2885="",E2884,D2885/C2885-1)</f>
        <v>0.12261103386183494</v>
      </c>
      <c r="F2885" s="1499"/>
      <c r="G2885" s="415"/>
      <c r="H2885" s="415"/>
    </row>
    <row r="2886" spans="1:18" ht="12.75" hidden="1" customHeight="1" outlineLevel="1" x14ac:dyDescent="0.25">
      <c r="A2886" s="221" t="s">
        <v>10126</v>
      </c>
      <c r="B2886" s="1478">
        <v>45809</v>
      </c>
      <c r="C2886" s="1497">
        <v>100</v>
      </c>
      <c r="D2886" s="1500"/>
      <c r="E2886" s="1498">
        <f t="shared" si="54"/>
        <v>0.12261103386183494</v>
      </c>
      <c r="F2886" s="1499"/>
      <c r="G2886" s="415"/>
      <c r="H2886" s="415"/>
    </row>
    <row r="2887" spans="1:18" ht="12.75" hidden="1" customHeight="1" outlineLevel="1" x14ac:dyDescent="0.25">
      <c r="A2887" s="221" t="s">
        <v>10127</v>
      </c>
      <c r="B2887" s="1478">
        <v>45839</v>
      </c>
      <c r="C2887" s="1497">
        <v>100</v>
      </c>
      <c r="D2887" s="1500"/>
      <c r="E2887" s="1498">
        <f t="shared" si="54"/>
        <v>0.12261103386183494</v>
      </c>
      <c r="F2887" s="1499"/>
      <c r="G2887" s="415"/>
      <c r="H2887" s="415"/>
    </row>
    <row r="2888" spans="1:18" ht="12.75" hidden="1" customHeight="1" outlineLevel="1" x14ac:dyDescent="0.25">
      <c r="A2888" s="221" t="s">
        <v>10128</v>
      </c>
      <c r="B2888" s="1478">
        <v>45870</v>
      </c>
      <c r="C2888" s="1497">
        <v>100</v>
      </c>
      <c r="D2888" s="1500"/>
      <c r="E2888" s="1498">
        <f t="shared" si="54"/>
        <v>0.12261103386183494</v>
      </c>
      <c r="F2888" s="1499"/>
      <c r="G2888" s="415"/>
      <c r="H2888" s="415"/>
    </row>
    <row r="2889" spans="1:18" ht="12.75" hidden="1" customHeight="1" outlineLevel="1" x14ac:dyDescent="0.25">
      <c r="A2889" s="221" t="s">
        <v>10129</v>
      </c>
      <c r="B2889" s="1478">
        <v>45901</v>
      </c>
      <c r="C2889" s="1497">
        <v>100</v>
      </c>
      <c r="D2889" s="1500"/>
      <c r="E2889" s="1498">
        <f t="shared" si="54"/>
        <v>0.12261103386183494</v>
      </c>
      <c r="F2889" s="1499"/>
      <c r="G2889" s="415"/>
      <c r="H2889" s="415"/>
    </row>
    <row r="2890" spans="1:18" ht="12.75" hidden="1" customHeight="1" outlineLevel="1" x14ac:dyDescent="0.25">
      <c r="A2890" s="221" t="s">
        <v>10130</v>
      </c>
      <c r="B2890" s="1478">
        <v>45931</v>
      </c>
      <c r="C2890" s="1497">
        <v>100</v>
      </c>
      <c r="D2890" s="1500"/>
      <c r="E2890" s="1498">
        <f t="shared" si="54"/>
        <v>0.12261103386183494</v>
      </c>
      <c r="F2890" s="1499"/>
      <c r="G2890" s="415"/>
      <c r="H2890" s="415"/>
    </row>
    <row r="2891" spans="1:18" ht="12.75" hidden="1" customHeight="1" outlineLevel="1" x14ac:dyDescent="0.25">
      <c r="A2891" s="221" t="s">
        <v>10131</v>
      </c>
      <c r="B2891" s="1478">
        <v>45962</v>
      </c>
      <c r="C2891" s="1497">
        <v>100</v>
      </c>
      <c r="D2891" s="1500"/>
      <c r="E2891" s="1498">
        <f>IF(D2891="",E2884,D2891/C2891-1)</f>
        <v>0.12261103386183494</v>
      </c>
      <c r="F2891" s="1499"/>
      <c r="G2891" s="415"/>
      <c r="H2891" s="415"/>
    </row>
    <row r="2892" spans="1:18" ht="12.75" hidden="1" customHeight="1" outlineLevel="1" x14ac:dyDescent="0.25">
      <c r="A2892" s="221" t="s">
        <v>10132</v>
      </c>
      <c r="B2892" s="1478">
        <v>45992</v>
      </c>
      <c r="C2892" s="1497">
        <v>100</v>
      </c>
      <c r="D2892" s="1500"/>
      <c r="E2892" s="1498">
        <f>IF(D2892="",E2891,D2892/C2892-1)</f>
        <v>0.12261103386183494</v>
      </c>
      <c r="F2892" s="1499"/>
      <c r="G2892" s="415"/>
      <c r="H2892" s="415"/>
    </row>
    <row r="2893" spans="1:18" s="444" customFormat="1" ht="12.75" hidden="1" customHeight="1" outlineLevel="1" x14ac:dyDescent="0.25">
      <c r="A2893" s="1483" t="s">
        <v>2734</v>
      </c>
      <c r="B2893" s="1484"/>
      <c r="C2893" s="1500"/>
      <c r="D2893" s="1485" t="s">
        <v>2465</v>
      </c>
      <c r="E2893" s="1486">
        <f>AVERAGE(E2881:E2892)</f>
        <v>0.12261103386183493</v>
      </c>
      <c r="F2893" s="1487">
        <f>((((E2893*100)+100)-I2850)/100)</f>
        <v>0.41861103386183485</v>
      </c>
    </row>
    <row r="2894" spans="1:18" collapsed="1" x14ac:dyDescent="0.25">
      <c r="A2894" s="3799" t="s">
        <v>10114</v>
      </c>
      <c r="B2894" s="3800"/>
      <c r="C2894" s="3800"/>
      <c r="D2894" s="3800"/>
      <c r="E2894" s="18"/>
      <c r="F2894" s="186">
        <f>MAX(0%,MIN(F2893,100%))</f>
        <v>0.41861103386183485</v>
      </c>
      <c r="G2894" s="415"/>
    </row>
    <row r="2896" spans="1:18" ht="12.75" hidden="1" customHeight="1" outlineLevel="1" x14ac:dyDescent="0.25">
      <c r="A2896" s="2113" t="s">
        <v>4156</v>
      </c>
      <c r="B2896" s="2113" t="s">
        <v>4153</v>
      </c>
      <c r="C2896" s="2114" t="s">
        <v>112</v>
      </c>
      <c r="D2896" s="2391" t="s">
        <v>4155</v>
      </c>
      <c r="E2896" s="2113" t="s">
        <v>4154</v>
      </c>
      <c r="F2896" s="2391" t="s">
        <v>2519</v>
      </c>
      <c r="G2896" s="12"/>
      <c r="H2896" s="415"/>
      <c r="I2896" s="412" t="s">
        <v>6964</v>
      </c>
      <c r="J2896" s="1462">
        <v>43739</v>
      </c>
      <c r="K2896" s="1462">
        <v>43770</v>
      </c>
      <c r="L2896" s="1462">
        <v>43800</v>
      </c>
      <c r="M2896" s="1462">
        <v>43831</v>
      </c>
      <c r="N2896" s="1462">
        <v>43862</v>
      </c>
      <c r="O2896" s="1462">
        <v>43891</v>
      </c>
      <c r="P2896" s="1462">
        <v>43922</v>
      </c>
      <c r="Q2896" s="1462">
        <v>43952</v>
      </c>
      <c r="R2896" s="1462">
        <v>43983</v>
      </c>
    </row>
    <row r="2897" spans="1:18" ht="12.75" hidden="1" customHeight="1" outlineLevel="1" x14ac:dyDescent="0.25">
      <c r="A2897" s="2034">
        <v>0.02</v>
      </c>
      <c r="B2897" s="2035" t="s">
        <v>7111</v>
      </c>
      <c r="C2897" s="2037">
        <v>69.844999999999999</v>
      </c>
      <c r="D2897" s="2060">
        <f>VLOOKUP(H2897,indexy!$C$44:$D$823,2,FALSE)</f>
        <v>182.1</v>
      </c>
      <c r="E2897" s="2061">
        <f>D2897/C2897-1</f>
        <v>1.6072016608203881</v>
      </c>
      <c r="F2897" s="2062">
        <f>E2897*A2897</f>
        <v>3.2144033216407762E-2</v>
      </c>
      <c r="G2897" s="415"/>
      <c r="H2897" s="415" t="str">
        <f>VLOOKUP(B2897,indexy!$A$44:$D$823,3,FALSE)</f>
        <v>ABBV UN Equity</v>
      </c>
      <c r="I2897" s="412">
        <f>IF(J2897="",100,MIN(100,J2897:Y2897))</f>
        <v>72.464799999999997</v>
      </c>
      <c r="J2897">
        <v>100.6473</v>
      </c>
      <c r="K2897">
        <v>101.02889999999999</v>
      </c>
      <c r="L2897">
        <v>100.7599</v>
      </c>
      <c r="M2897">
        <v>100.8793</v>
      </c>
      <c r="N2897">
        <v>103.7076</v>
      </c>
      <c r="O2897">
        <v>98.766599999999997</v>
      </c>
      <c r="P2897">
        <v>72.464799999999997</v>
      </c>
      <c r="Q2897">
        <v>79.286699999999996</v>
      </c>
      <c r="R2897">
        <v>83.527100000000004</v>
      </c>
    </row>
    <row r="2898" spans="1:18" ht="12.75" hidden="1" customHeight="1" outlineLevel="1" x14ac:dyDescent="0.25">
      <c r="A2898" s="1911">
        <v>0.08</v>
      </c>
      <c r="B2898" s="2035" t="s">
        <v>802</v>
      </c>
      <c r="C2898" s="2037">
        <v>8.6170000000000009</v>
      </c>
      <c r="D2898" s="2063">
        <f>VLOOKUP(H2898,indexy!$C$44:$D$823,2,FALSE)</f>
        <v>19.690000000000001</v>
      </c>
      <c r="E2898" s="2064">
        <f>D2898/C2898-1</f>
        <v>1.2850179876987351</v>
      </c>
      <c r="F2898" s="2065">
        <f t="shared" ref="F2898:F2921" si="55">E2898*A2898</f>
        <v>0.1028014390158988</v>
      </c>
      <c r="G2898" s="415"/>
      <c r="H2898" s="415" t="str">
        <f>VLOOKUP(B2898,indexy!$A$44:$D$823,3,FALSE)</f>
        <v>NLY UN Equity</v>
      </c>
      <c r="I2898" s="422">
        <f>+(((E2940*100)+100)-I2897)/100</f>
        <v>0.41213392465199616</v>
      </c>
    </row>
    <row r="2899" spans="1:18" ht="12.75" hidden="1" customHeight="1" outlineLevel="1" x14ac:dyDescent="0.25">
      <c r="A2899" s="1911">
        <v>0.03</v>
      </c>
      <c r="B2899" s="2035" t="s">
        <v>805</v>
      </c>
      <c r="C2899" s="2037">
        <v>95.581999999999994</v>
      </c>
      <c r="D2899" s="2063">
        <f>VLOOKUP(H2899,indexy!$C$44:$D$823,2,FALSE)</f>
        <v>132.25</v>
      </c>
      <c r="E2899" s="2064">
        <f t="shared" ref="E2899:E2926" si="56">D2899/C2899-1</f>
        <v>0.38362871670398202</v>
      </c>
      <c r="F2899" s="2065">
        <f t="shared" si="55"/>
        <v>1.1508861501119461E-2</v>
      </c>
      <c r="G2899" s="415"/>
      <c r="H2899" s="415" t="str">
        <f>VLOOKUP(B2899,indexy!$A$44:$D$823,3,FALSE)</f>
        <v>BMO CT Equity</v>
      </c>
      <c r="J2899" s="434"/>
    </row>
    <row r="2900" spans="1:18" ht="12.75" hidden="1" customHeight="1" outlineLevel="1" x14ac:dyDescent="0.25">
      <c r="A2900" s="1911">
        <v>0.02</v>
      </c>
      <c r="B2900" s="2035" t="s">
        <v>5748</v>
      </c>
      <c r="C2900" s="2037">
        <v>73.881</v>
      </c>
      <c r="D2900" s="2063">
        <f>VLOOKUP(H2900,indexy!$C$44:$D$823,2,FALSE)</f>
        <v>70.069999999999993</v>
      </c>
      <c r="E2900" s="2064">
        <f t="shared" si="56"/>
        <v>-5.1582950961681751E-2</v>
      </c>
      <c r="F2900" s="2065">
        <f t="shared" si="55"/>
        <v>-1.031659019233635E-3</v>
      </c>
      <c r="G2900" s="415"/>
      <c r="H2900" s="415" t="str">
        <f>VLOOKUP(B2900,indexy!$A$44:$D$823,3,FALSE)</f>
        <v>BNS CT Equity</v>
      </c>
      <c r="J2900" s="434"/>
      <c r="K2900" s="37"/>
    </row>
    <row r="2901" spans="1:18" ht="12.75" hidden="1" customHeight="1" outlineLevel="1" x14ac:dyDescent="0.25">
      <c r="A2901" s="1911">
        <v>0.08</v>
      </c>
      <c r="B2901" s="2035" t="s">
        <v>807</v>
      </c>
      <c r="C2901" s="2037">
        <v>63.676000000000002</v>
      </c>
      <c r="D2901" s="2063">
        <f>VLOOKUP(H2901,indexy!$C$44:$D$823,2,FALSE)</f>
        <v>46.03</v>
      </c>
      <c r="E2901" s="2064">
        <f t="shared" si="56"/>
        <v>-0.27712167849739311</v>
      </c>
      <c r="F2901" s="2065">
        <f t="shared" si="55"/>
        <v>-2.216973427979145E-2</v>
      </c>
      <c r="G2901" s="415"/>
      <c r="H2901" s="415" t="str">
        <f>VLOOKUP(B2901,indexy!$A$44:$D$823,3,FALSE)</f>
        <v>BCE CT Equity</v>
      </c>
      <c r="J2901" s="434"/>
    </row>
    <row r="2902" spans="1:18" ht="12.75" hidden="1" customHeight="1" outlineLevel="1" x14ac:dyDescent="0.25">
      <c r="A2902" s="1911">
        <v>0.04</v>
      </c>
      <c r="B2902" s="2035" t="s">
        <v>3954</v>
      </c>
      <c r="C2902" s="2037">
        <f>107.661/2</f>
        <v>53.830500000000001</v>
      </c>
      <c r="D2902" s="2063">
        <f>VLOOKUP(H2902,indexy!$C$44:$D$823,2,FALSE)</f>
        <v>68.67</v>
      </c>
      <c r="E2902" s="2064">
        <f t="shared" si="56"/>
        <v>0.27567085574163341</v>
      </c>
      <c r="F2902" s="2065">
        <f t="shared" si="55"/>
        <v>1.1026834229665336E-2</v>
      </c>
      <c r="G2902" s="415"/>
      <c r="H2902" s="415" t="str">
        <f>VLOOKUP(B2902,indexy!$A$44:$D$823,3,FALSE)</f>
        <v>CM CT Equity</v>
      </c>
      <c r="J2902" s="434"/>
    </row>
    <row r="2903" spans="1:18" ht="12.75" hidden="1" customHeight="1" outlineLevel="1" x14ac:dyDescent="0.25">
      <c r="A2903" s="1911">
        <v>0.02</v>
      </c>
      <c r="B2903" s="2035" t="s">
        <v>6158</v>
      </c>
      <c r="C2903" s="2037">
        <v>29.699000000000002</v>
      </c>
      <c r="D2903" s="2063">
        <f>VLOOKUP(H2903,indexy!$C$44:$D$823,2,FALSE)</f>
        <v>28.49</v>
      </c>
      <c r="E2903" s="2064">
        <f t="shared" si="56"/>
        <v>-4.0708441361662073E-2</v>
      </c>
      <c r="F2903" s="2065">
        <f t="shared" si="55"/>
        <v>-8.1416882723324153E-4</v>
      </c>
      <c r="G2903" s="415"/>
      <c r="H2903" s="415" t="str">
        <f>VLOOKUP(B2903,indexy!$A$44:$D$823,3,FALSE)</f>
        <v>CNP UN Equity</v>
      </c>
      <c r="J2903" s="434"/>
    </row>
    <row r="2904" spans="1:18" ht="12.75" hidden="1" customHeight="1" outlineLevel="1" x14ac:dyDescent="0.25">
      <c r="A2904" s="1911">
        <v>0.03</v>
      </c>
      <c r="B2904" s="2035" t="s">
        <v>9591</v>
      </c>
      <c r="C2904" s="2037">
        <v>78.403999999999996</v>
      </c>
      <c r="D2904" s="2063">
        <f>VLOOKUP(H2904,indexy!$C$44:$D$823,2,FALSE)</f>
        <v>49.19</v>
      </c>
      <c r="E2904" s="2064">
        <f t="shared" si="56"/>
        <v>-0.37260854038059288</v>
      </c>
      <c r="F2904" s="2065">
        <f t="shared" si="55"/>
        <v>-1.1178256211417785E-2</v>
      </c>
      <c r="G2904" s="415"/>
      <c r="H2904" s="415" t="str">
        <f>VLOOKUP(B2904,indexy!$A$44:$D$823,3,FALSE)</f>
        <v>D UN Equity</v>
      </c>
      <c r="J2904" s="434"/>
    </row>
    <row r="2905" spans="1:18" ht="12.75" hidden="1" customHeight="1" outlineLevel="1" x14ac:dyDescent="0.25">
      <c r="A2905" s="1911">
        <v>0.02</v>
      </c>
      <c r="B2905" s="2035" t="s">
        <v>1231</v>
      </c>
      <c r="C2905" s="2037">
        <v>94.051000000000002</v>
      </c>
      <c r="D2905" s="2063">
        <f>VLOOKUP(H2905,indexy!$C$44:$D$823,2,FALSE)</f>
        <v>96.71</v>
      </c>
      <c r="E2905" s="2064">
        <f t="shared" si="56"/>
        <v>2.8271895035671957E-2</v>
      </c>
      <c r="F2905" s="2065">
        <f t="shared" si="55"/>
        <v>5.6543790071343918E-4</v>
      </c>
      <c r="G2905" s="415"/>
      <c r="H2905" s="415" t="str">
        <f>VLOOKUP(B2905,indexy!$A$44:$D$823,3,FALSE)</f>
        <v>DUK UN Equity</v>
      </c>
      <c r="J2905" s="434"/>
    </row>
    <row r="2906" spans="1:18" ht="12.75" hidden="1" customHeight="1" outlineLevel="1" x14ac:dyDescent="0.25">
      <c r="A2906" s="1911">
        <v>0.05</v>
      </c>
      <c r="B2906" s="2035" t="s">
        <v>7855</v>
      </c>
      <c r="C2906" s="2037">
        <v>46.101999999999997</v>
      </c>
      <c r="D2906" s="2063">
        <f>VLOOKUP(H2906,indexy!$C$44:$D$823,2,FALSE)</f>
        <v>48.95</v>
      </c>
      <c r="E2906" s="2064">
        <f t="shared" si="56"/>
        <v>6.1776061776061875E-2</v>
      </c>
      <c r="F2906" s="2065">
        <f t="shared" si="55"/>
        <v>3.088803088803094E-3</v>
      </c>
      <c r="G2906" s="415"/>
      <c r="H2906" s="415" t="str">
        <f>VLOOKUP(B2906,indexy!$A$44:$D$823,3,FALSE)</f>
        <v>ENB CT Equity</v>
      </c>
      <c r="J2906" s="434"/>
    </row>
    <row r="2907" spans="1:18" ht="12.75" hidden="1" customHeight="1" outlineLevel="1" x14ac:dyDescent="0.25">
      <c r="A2907" s="1911">
        <v>0.02</v>
      </c>
      <c r="B2907" s="2035" t="s">
        <v>3425</v>
      </c>
      <c r="C2907" s="2037">
        <v>72.308999999999997</v>
      </c>
      <c r="D2907" s="2063">
        <f>VLOOKUP(H2907,indexy!$C$44:$D$823,2,FALSE)</f>
        <v>116.24</v>
      </c>
      <c r="E2907" s="2064">
        <f t="shared" si="56"/>
        <v>0.60754539545561403</v>
      </c>
      <c r="F2907" s="2065">
        <f t="shared" si="55"/>
        <v>1.2150907909112281E-2</v>
      </c>
      <c r="G2907" s="415"/>
      <c r="H2907" s="415" t="str">
        <f>VLOOKUP(B2907,indexy!$A$44:$D$823,3,FALSE)</f>
        <v>XOM UN Equity</v>
      </c>
      <c r="J2907" s="434"/>
    </row>
    <row r="2908" spans="1:18" ht="12.75" hidden="1" customHeight="1" outlineLevel="1" x14ac:dyDescent="0.25">
      <c r="A2908" s="1911">
        <v>0.08</v>
      </c>
      <c r="B2908" s="2035" t="s">
        <v>10118</v>
      </c>
      <c r="C2908" s="2037">
        <v>55.418999999999997</v>
      </c>
      <c r="D2908" s="2063">
        <f>VLOOKUP(H2908,indexy!$C$44:$D$823,2,FALSE)</f>
        <v>53.52</v>
      </c>
      <c r="E2908" s="2064">
        <f t="shared" si="56"/>
        <v>-3.4266226384452869E-2</v>
      </c>
      <c r="F2908" s="2065">
        <f t="shared" si="55"/>
        <v>-2.7412981107562298E-3</v>
      </c>
      <c r="G2908" s="415"/>
      <c r="H2908" s="415" t="str">
        <f>VLOOKUP(B2908,indexy!$A$44:$D$823,3,FALSE)</f>
        <v>FTS CT Equity</v>
      </c>
      <c r="J2908" s="434"/>
    </row>
    <row r="2909" spans="1:18" ht="12.75" hidden="1" customHeight="1" outlineLevel="1" x14ac:dyDescent="0.25">
      <c r="A2909" s="1911">
        <v>0.02</v>
      </c>
      <c r="B2909" s="2035" t="s">
        <v>6530</v>
      </c>
      <c r="C2909" s="2038">
        <v>34.768000000000001</v>
      </c>
      <c r="D2909" s="2063">
        <f>VLOOKUP(H2909,indexy!$C$44:$D$823,2,FALSE)</f>
        <v>18.75</v>
      </c>
      <c r="E2909" s="2064">
        <f t="shared" si="56"/>
        <v>-0.46071099861942022</v>
      </c>
      <c r="F2909" s="2065">
        <f t="shared" si="55"/>
        <v>-9.2142199723884051E-3</v>
      </c>
      <c r="G2909" s="415"/>
      <c r="H2909" s="415" t="str">
        <f>VLOOKUP(B2909,indexy!$A$44:$D$823,3,FALSE)</f>
        <v>DOC US Equity</v>
      </c>
      <c r="J2909" s="434"/>
    </row>
    <row r="2910" spans="1:18" ht="12.75" hidden="1" customHeight="1" outlineLevel="1" x14ac:dyDescent="0.25">
      <c r="A2910" s="1911">
        <v>0.02</v>
      </c>
      <c r="B2910" s="2035" t="s">
        <v>123</v>
      </c>
      <c r="C2910" s="2037">
        <v>23.818999999999999</v>
      </c>
      <c r="D2910" s="2063">
        <f>VLOOKUP(H2910,indexy!$C$44:$D$823,2,FALSE)</f>
        <v>33.83</v>
      </c>
      <c r="E2910" s="2064">
        <f t="shared" si="56"/>
        <v>0.42029472270036528</v>
      </c>
      <c r="F2910" s="2065">
        <f t="shared" si="55"/>
        <v>8.4058944540073063E-3</v>
      </c>
      <c r="G2910" s="415"/>
      <c r="H2910" s="415" t="str">
        <f>VLOOKUP(B2910,indexy!$A$44:$D$823,3,FALSE)</f>
        <v>MFC CT Equity</v>
      </c>
      <c r="J2910" s="434"/>
    </row>
    <row r="2911" spans="1:18" ht="12.75" hidden="1" customHeight="1" outlineLevel="1" x14ac:dyDescent="0.25">
      <c r="A2911" s="1911">
        <v>0.02</v>
      </c>
      <c r="B2911" s="2035" t="s">
        <v>7754</v>
      </c>
      <c r="C2911" s="2037">
        <v>64.266999999999996</v>
      </c>
      <c r="D2911" s="2063">
        <f>VLOOKUP(H2911,indexy!$C$44:$D$823,2,FALSE)</f>
        <v>114.06</v>
      </c>
      <c r="E2911" s="2064">
        <f t="shared" si="56"/>
        <v>0.77478332581262555</v>
      </c>
      <c r="F2911" s="2065">
        <f t="shared" si="55"/>
        <v>1.5495666516252511E-2</v>
      </c>
      <c r="G2911" s="415"/>
      <c r="H2911" s="415" t="str">
        <f>VLOOKUP(B2911,indexy!$A$44:$D$823,3,FALSE)</f>
        <v>NA CT Equity</v>
      </c>
      <c r="J2911" s="434"/>
    </row>
    <row r="2912" spans="1:18" ht="12.75" hidden="1" customHeight="1" outlineLevel="1" x14ac:dyDescent="0.25">
      <c r="A2912" s="1911">
        <v>0.02</v>
      </c>
      <c r="B2912" s="2035" t="s">
        <v>10027</v>
      </c>
      <c r="C2912" s="2037">
        <v>74.510999999999996</v>
      </c>
      <c r="D2912" s="2063">
        <f>VLOOKUP(H2912,indexy!$C$44:$D$823,2,FALSE)</f>
        <v>80.17</v>
      </c>
      <c r="E2912" s="2064">
        <f t="shared" si="56"/>
        <v>7.5948517668532167E-2</v>
      </c>
      <c r="F2912" s="2065">
        <f t="shared" si="55"/>
        <v>1.5189703533706434E-3</v>
      </c>
      <c r="G2912" s="415"/>
      <c r="H2912" s="415" t="str">
        <f>VLOOKUP(B2912,indexy!$A$44:$D$823,3,FALSE)</f>
        <v>OKE UN Equity</v>
      </c>
      <c r="J2912" s="434"/>
    </row>
    <row r="2913" spans="1:10" ht="12.75" hidden="1" customHeight="1" outlineLevel="1" x14ac:dyDescent="0.25">
      <c r="A2913" s="1911">
        <v>0.02</v>
      </c>
      <c r="B2913" s="2035" t="s">
        <v>9516</v>
      </c>
      <c r="C2913" s="2037">
        <v>49.054000000000002</v>
      </c>
      <c r="D2913" s="2063">
        <f>VLOOKUP(H2913,indexy!$C$44:$D$823,2,FALSE)</f>
        <v>47.81</v>
      </c>
      <c r="E2913" s="2064">
        <f t="shared" si="56"/>
        <v>-2.5359807559016567E-2</v>
      </c>
      <c r="F2913" s="2065">
        <f t="shared" si="55"/>
        <v>-5.071961511803314E-4</v>
      </c>
      <c r="G2913" s="415"/>
      <c r="H2913" s="415" t="str">
        <f>VLOOKUP(B2913,indexy!$A$44:$D$823,3,FALSE)</f>
        <v>PPL CT Equity</v>
      </c>
      <c r="J2913" s="434"/>
    </row>
    <row r="2914" spans="1:10" ht="12.75" hidden="1" customHeight="1" outlineLevel="1" x14ac:dyDescent="0.25">
      <c r="A2914" s="1911">
        <v>0.02</v>
      </c>
      <c r="B2914" s="2035" t="s">
        <v>2769</v>
      </c>
      <c r="C2914" s="2037">
        <v>30.666</v>
      </c>
      <c r="D2914" s="2063">
        <f>VLOOKUP(H2914,indexy!$C$44:$D$823,2,FALSE)</f>
        <v>27.53</v>
      </c>
      <c r="E2914" s="2064">
        <f t="shared" si="56"/>
        <v>-0.1022630926759277</v>
      </c>
      <c r="F2914" s="2065">
        <f t="shared" si="55"/>
        <v>-2.0452618535185541E-3</v>
      </c>
      <c r="G2914" s="415"/>
      <c r="H2914" s="415" t="str">
        <f>VLOOKUP(B2914,indexy!$A$44:$D$823,3,FALSE)</f>
        <v>PPL UN Equity</v>
      </c>
      <c r="J2914" s="434"/>
    </row>
    <row r="2915" spans="1:10" ht="12.75" hidden="1" customHeight="1" outlineLevel="1" x14ac:dyDescent="0.25">
      <c r="A2915" s="1911">
        <v>0.03</v>
      </c>
      <c r="B2915" s="2035" t="s">
        <v>2728</v>
      </c>
      <c r="C2915" s="2037">
        <v>104.16200000000001</v>
      </c>
      <c r="D2915" s="2063">
        <f>VLOOKUP(H2915,indexy!$C$44:$D$823,2,FALSE)</f>
        <v>136.62</v>
      </c>
      <c r="E2915" s="2064">
        <f t="shared" si="56"/>
        <v>0.31161076016205524</v>
      </c>
      <c r="F2915" s="2065">
        <f t="shared" si="55"/>
        <v>9.3483228048616574E-3</v>
      </c>
      <c r="G2915" s="415"/>
      <c r="H2915" s="415" t="str">
        <f>VLOOKUP(B2915,indexy!$A$44:$D$823,3,FALSE)</f>
        <v>RY CT Equity</v>
      </c>
      <c r="J2915" s="434"/>
    </row>
    <row r="2916" spans="1:10" ht="12.75" hidden="1" customHeight="1" outlineLevel="1" x14ac:dyDescent="0.25">
      <c r="A2916" s="1911">
        <v>0.02</v>
      </c>
      <c r="B2916" s="2035" t="s">
        <v>8210</v>
      </c>
      <c r="C2916" s="2037">
        <v>155.67500000000001</v>
      </c>
      <c r="D2916" s="2063">
        <f>VLOOKUP(H2916,indexy!$C$44:$D$823,2,FALSE)</f>
        <v>156.49</v>
      </c>
      <c r="E2916" s="2064">
        <f t="shared" si="56"/>
        <v>5.2352657780632139E-3</v>
      </c>
      <c r="F2916" s="2065">
        <f t="shared" si="55"/>
        <v>1.0470531556126427E-4</v>
      </c>
      <c r="G2916" s="415"/>
      <c r="H2916" s="415" t="str">
        <f>VLOOKUP(B2916,indexy!$A$44:$D$823,3,FALSE)</f>
        <v>SPG UN Equity</v>
      </c>
      <c r="J2916" s="434"/>
    </row>
    <row r="2917" spans="1:10" ht="12.75" hidden="1" customHeight="1" outlineLevel="1" x14ac:dyDescent="0.25">
      <c r="A2917" s="1911">
        <v>0.03</v>
      </c>
      <c r="B2917" s="2035" t="s">
        <v>3427</v>
      </c>
      <c r="C2917" s="2037">
        <v>59.999000000000002</v>
      </c>
      <c r="D2917" s="2063">
        <f>VLOOKUP(H2917,indexy!$C$44:$D$823,2,FALSE)</f>
        <v>71.739999999999995</v>
      </c>
      <c r="E2917" s="2064">
        <f t="shared" si="56"/>
        <v>0.19568659477657957</v>
      </c>
      <c r="F2917" s="2065">
        <f t="shared" si="55"/>
        <v>5.8705978432973868E-3</v>
      </c>
      <c r="G2917" s="415"/>
      <c r="H2917" s="415" t="str">
        <f>VLOOKUP(B2917,indexy!$A$44:$D$823,3,FALSE)</f>
        <v>SO UN Equity</v>
      </c>
      <c r="J2917" s="434"/>
    </row>
    <row r="2918" spans="1:10" ht="12.75" hidden="1" customHeight="1" outlineLevel="1" x14ac:dyDescent="0.25">
      <c r="A2918" s="1911">
        <v>0.03</v>
      </c>
      <c r="B2918" s="2035" t="s">
        <v>898</v>
      </c>
      <c r="C2918" s="2037">
        <v>57.784999999999997</v>
      </c>
      <c r="D2918" s="2063">
        <f>VLOOKUP(H2918,indexy!$C$44:$D$823,2,FALSE)</f>
        <v>73.91</v>
      </c>
      <c r="E2918" s="2064">
        <f t="shared" si="56"/>
        <v>0.27905165700441303</v>
      </c>
      <c r="F2918" s="2065">
        <f t="shared" si="55"/>
        <v>8.3715497101323911E-3</v>
      </c>
      <c r="G2918" s="415"/>
      <c r="H2918" s="415" t="str">
        <f>VLOOKUP(B2918,indexy!$A$44:$D$823,3,FALSE)</f>
        <v>SLF CT Equity</v>
      </c>
      <c r="J2918" s="434"/>
    </row>
    <row r="2919" spans="1:10" ht="12.75" hidden="1" customHeight="1" outlineLevel="1" x14ac:dyDescent="0.25">
      <c r="A2919" s="1911">
        <v>0.02</v>
      </c>
      <c r="B2919" s="2035" t="s">
        <v>366</v>
      </c>
      <c r="C2919" s="2037">
        <v>66.77</v>
      </c>
      <c r="D2919" s="2063">
        <f>VLOOKUP(H2919,indexy!$C$44:$D$823,2,FALSE)</f>
        <v>54.44</v>
      </c>
      <c r="E2919" s="2064">
        <f t="shared" si="56"/>
        <v>-0.18466377115471022</v>
      </c>
      <c r="F2919" s="2065">
        <f t="shared" si="55"/>
        <v>-3.6932754230942044E-3</v>
      </c>
      <c r="G2919" s="415"/>
      <c r="H2919" s="415" t="str">
        <f>VLOOKUP(B2919,indexy!$A$44:$D$823,3,FALSE)</f>
        <v>TRP CT Equity</v>
      </c>
      <c r="J2919" s="434"/>
    </row>
    <row r="2920" spans="1:10" ht="12.75" hidden="1" customHeight="1" outlineLevel="1" x14ac:dyDescent="0.25">
      <c r="A2920" s="1911">
        <v>0.08</v>
      </c>
      <c r="B2920" s="2035" t="s">
        <v>3665</v>
      </c>
      <c r="C2920" s="2037">
        <f>48.465/2</f>
        <v>24.232500000000002</v>
      </c>
      <c r="D2920" s="2063">
        <f>VLOOKUP(H2920,indexy!$C$44:$D$823,2,FALSE)</f>
        <v>21.67</v>
      </c>
      <c r="E2920" s="2064">
        <f t="shared" si="56"/>
        <v>-0.10574641493861547</v>
      </c>
      <c r="F2920" s="2065">
        <f t="shared" si="55"/>
        <v>-8.4597131950892388E-3</v>
      </c>
      <c r="G2920" s="415"/>
      <c r="H2920" s="415" t="str">
        <f>VLOOKUP(B2920,indexy!$A$44:$D$823,3,FALSE)</f>
        <v>T CT Equity</v>
      </c>
      <c r="J2920" s="434"/>
    </row>
    <row r="2921" spans="1:10" ht="12.75" hidden="1" customHeight="1" outlineLevel="1" x14ac:dyDescent="0.25">
      <c r="A2921" s="1911">
        <v>0.03</v>
      </c>
      <c r="B2921" s="2035" t="s">
        <v>3626</v>
      </c>
      <c r="C2921" s="2037">
        <v>74.772999999999996</v>
      </c>
      <c r="D2921" s="2063">
        <f>VLOOKUP(H2921,indexy!$C$44:$D$823,2,FALSE)</f>
        <v>81.75</v>
      </c>
      <c r="E2921" s="2064">
        <f t="shared" si="56"/>
        <v>9.3309082155323519E-2</v>
      </c>
      <c r="F2921" s="2065">
        <f t="shared" si="55"/>
        <v>2.7992724646597055E-3</v>
      </c>
      <c r="G2921" s="415"/>
      <c r="H2921" s="415" t="str">
        <f>VLOOKUP(B2921,indexy!$A$44:$D$823,3,FALSE)</f>
        <v>TD CT Equity</v>
      </c>
      <c r="J2921" s="434"/>
    </row>
    <row r="2922" spans="1:10" ht="12.75" hidden="1" customHeight="1" outlineLevel="1" x14ac:dyDescent="0.25">
      <c r="A2922" s="1911">
        <v>0.02</v>
      </c>
      <c r="B2922" s="2035" t="s">
        <v>5758</v>
      </c>
      <c r="C2922" s="2037">
        <v>72.234999999999999</v>
      </c>
      <c r="D2922" s="2063">
        <f>VLOOKUP(H2922,indexy!$C$44:$D$823,2,FALSE)</f>
        <v>43.54</v>
      </c>
      <c r="E2922" s="2064">
        <f t="shared" si="56"/>
        <v>-0.39724510278950653</v>
      </c>
      <c r="F2922" s="2065">
        <f>E2922*A2922</f>
        <v>-7.9449020557901314E-3</v>
      </c>
      <c r="G2922" s="415"/>
      <c r="H2922" s="415" t="str">
        <f>VLOOKUP(B2922,indexy!$A$44:$D$823,3,FALSE)</f>
        <v>VTR UN Equity</v>
      </c>
      <c r="J2922" s="434"/>
    </row>
    <row r="2923" spans="1:10" ht="12.75" hidden="1" customHeight="1" outlineLevel="1" x14ac:dyDescent="0.25">
      <c r="A2923" s="1911">
        <v>0.02</v>
      </c>
      <c r="B2923" s="2035" t="s">
        <v>255</v>
      </c>
      <c r="C2923" s="2037">
        <v>59.722999999999999</v>
      </c>
      <c r="D2923" s="2063">
        <f>VLOOKUP(H2923,indexy!$C$44:$D$946,2,FALSE)</f>
        <v>41.96</v>
      </c>
      <c r="E2923" s="2064">
        <f t="shared" si="56"/>
        <v>-0.29742310332702637</v>
      </c>
      <c r="F2923" s="2065">
        <f>E2923*A2923</f>
        <v>-5.9484620665405273E-3</v>
      </c>
      <c r="G2923" s="415"/>
      <c r="H2923" s="415" t="str">
        <f>VLOOKUP(B2923,indexy!$A$44:$D$946,3,FALSE)</f>
        <v>VZ UN Equity</v>
      </c>
      <c r="J2923" s="434"/>
    </row>
    <row r="2924" spans="1:10" ht="12.75" hidden="1" customHeight="1" outlineLevel="1" x14ac:dyDescent="0.25">
      <c r="A2924" s="1911">
        <v>0.02</v>
      </c>
      <c r="B2924" s="2035" t="s">
        <v>6163</v>
      </c>
      <c r="C2924" s="2037">
        <v>88.453000000000003</v>
      </c>
      <c r="D2924" s="2063">
        <f>VLOOKUP(H2924,indexy!$C$44:$D$823,2,FALSE)</f>
        <v>93.44</v>
      </c>
      <c r="E2924" s="2064">
        <f t="shared" si="56"/>
        <v>5.6380224526019429E-2</v>
      </c>
      <c r="F2924" s="2065">
        <f>E2924*A2924</f>
        <v>1.1276044905203886E-3</v>
      </c>
      <c r="G2924" s="415"/>
      <c r="H2924" s="415" t="str">
        <f>VLOOKUP(B2924,indexy!$A$44:$D$823,3,FALSE)</f>
        <v>WELL UN Equity</v>
      </c>
      <c r="J2924" s="434"/>
    </row>
    <row r="2925" spans="1:10" ht="12.75" hidden="1" customHeight="1" outlineLevel="1" x14ac:dyDescent="0.25">
      <c r="A2925" s="1911">
        <v>0.02</v>
      </c>
      <c r="B2925" s="2035" t="s">
        <v>9518</v>
      </c>
      <c r="C2925" s="2037">
        <v>24.724</v>
      </c>
      <c r="D2925" s="2063">
        <f>VLOOKUP(H2925,indexy!$C$44:$D$823,2,FALSE)</f>
        <v>38.97</v>
      </c>
      <c r="E2925" s="2064">
        <f t="shared" si="56"/>
        <v>0.57620126193172627</v>
      </c>
      <c r="F2925" s="2065">
        <f>E2925*A2925</f>
        <v>1.1524025238634526E-2</v>
      </c>
      <c r="G2925" s="415"/>
      <c r="H2925" s="415" t="str">
        <f>VLOOKUP(B2925,indexy!$A$44:$D$823,3,FALSE)</f>
        <v>WMB UN Equity</v>
      </c>
      <c r="J2925" s="434"/>
    </row>
    <row r="2926" spans="1:10" ht="12.75" hidden="1" customHeight="1" outlineLevel="1" x14ac:dyDescent="0.25">
      <c r="A2926" s="1911">
        <v>7.0000000000000007E-2</v>
      </c>
      <c r="B2926" s="2036" t="s">
        <v>10003</v>
      </c>
      <c r="C2926" s="2037">
        <v>88.43</v>
      </c>
      <c r="D2926" s="2066">
        <f>VLOOKUP(H2926,indexy!$C$44:$D$823,2,FALSE)</f>
        <v>56.44</v>
      </c>
      <c r="E2926" s="2064">
        <f t="shared" si="56"/>
        <v>-0.36175506049983042</v>
      </c>
      <c r="F2926" s="2065">
        <f>E2926*A2926</f>
        <v>-2.5322854234988132E-2</v>
      </c>
      <c r="G2926" s="415"/>
      <c r="H2926" s="415" t="str">
        <f>VLOOKUP(B2926,indexy!$A$44:$D$823,3,FALSE)</f>
        <v>WPC UN Equity</v>
      </c>
      <c r="J2926" s="434"/>
    </row>
    <row r="2927" spans="1:10" ht="12.75" hidden="1" customHeight="1" outlineLevel="1" x14ac:dyDescent="0.25">
      <c r="A2927" s="2048" t="s">
        <v>2734</v>
      </c>
      <c r="B2927" s="2049"/>
      <c r="C2927" s="2050">
        <v>100</v>
      </c>
      <c r="D2927" s="2051"/>
      <c r="E2927" s="2059"/>
      <c r="F2927" s="2059">
        <f>SUM(F2897:F2926)</f>
        <v>0.13678192465199612</v>
      </c>
      <c r="G2927" s="415"/>
      <c r="H2927" s="415"/>
    </row>
    <row r="2928" spans="1:10" ht="12.75" hidden="1" customHeight="1" outlineLevel="1" x14ac:dyDescent="0.25">
      <c r="A2928" s="2053" t="s">
        <v>10151</v>
      </c>
      <c r="B2928" s="2054">
        <v>45658</v>
      </c>
      <c r="C2928" s="2055">
        <v>100</v>
      </c>
      <c r="D2928" s="2055"/>
      <c r="E2928" s="2056">
        <f>IF(D2928="",F2927,D2928/C2928-1)</f>
        <v>0.13678192465199612</v>
      </c>
      <c r="F2928" s="2072"/>
      <c r="G2928" s="415"/>
      <c r="H2928" s="415"/>
    </row>
    <row r="2929" spans="1:18" ht="12.75" hidden="1" customHeight="1" outlineLevel="1" x14ac:dyDescent="0.25">
      <c r="A2929" s="2053" t="s">
        <v>10152</v>
      </c>
      <c r="B2929" s="2054">
        <v>45689</v>
      </c>
      <c r="C2929" s="2055">
        <v>100</v>
      </c>
      <c r="D2929" s="2058"/>
      <c r="E2929" s="2056">
        <f>IF(D2929="",E2928,D2929/C2929-1)</f>
        <v>0.13678192465199612</v>
      </c>
      <c r="F2929" s="2072"/>
      <c r="G2929" s="415"/>
      <c r="H2929" s="415"/>
    </row>
    <row r="2930" spans="1:18" ht="12.75" hidden="1" customHeight="1" outlineLevel="1" x14ac:dyDescent="0.25">
      <c r="A2930" s="2053" t="s">
        <v>10141</v>
      </c>
      <c r="B2930" s="2054">
        <v>45717</v>
      </c>
      <c r="C2930" s="2055">
        <v>100</v>
      </c>
      <c r="D2930" s="2058"/>
      <c r="E2930" s="2056">
        <f>IF(D2930="",E2929,D2930/C2930-1)</f>
        <v>0.13678192465199612</v>
      </c>
      <c r="F2930" s="2072"/>
      <c r="G2930" s="415"/>
      <c r="H2930" s="415"/>
    </row>
    <row r="2931" spans="1:18" ht="12.75" hidden="1" customHeight="1" outlineLevel="1" x14ac:dyDescent="0.25">
      <c r="A2931" s="2053" t="s">
        <v>10142</v>
      </c>
      <c r="B2931" s="2054">
        <v>45748</v>
      </c>
      <c r="C2931" s="2055">
        <v>100</v>
      </c>
      <c r="D2931" s="2058"/>
      <c r="E2931" s="2056">
        <f>IF(D2931="",E2930,D2931/C2931-1)</f>
        <v>0.13678192465199612</v>
      </c>
      <c r="F2931" s="2072"/>
      <c r="G2931" s="415"/>
      <c r="H2931" s="415"/>
    </row>
    <row r="2932" spans="1:18" ht="12.75" hidden="1" customHeight="1" outlineLevel="1" x14ac:dyDescent="0.25">
      <c r="A2932" s="2053" t="s">
        <v>10143</v>
      </c>
      <c r="B2932" s="2054">
        <v>45778</v>
      </c>
      <c r="C2932" s="2055">
        <v>100</v>
      </c>
      <c r="D2932" s="2058"/>
      <c r="E2932" s="2056">
        <f t="shared" ref="E2932:E2937" si="57">IF(D2932="",E2931,D2932/C2932-1)</f>
        <v>0.13678192465199612</v>
      </c>
      <c r="F2932" s="2072"/>
      <c r="G2932" s="415"/>
      <c r="H2932" s="415"/>
    </row>
    <row r="2933" spans="1:18" ht="12.75" hidden="1" customHeight="1" outlineLevel="1" x14ac:dyDescent="0.25">
      <c r="A2933" s="2053" t="s">
        <v>10144</v>
      </c>
      <c r="B2933" s="2054">
        <v>45809</v>
      </c>
      <c r="C2933" s="2055">
        <v>100</v>
      </c>
      <c r="D2933" s="2058"/>
      <c r="E2933" s="2056">
        <f t="shared" si="57"/>
        <v>0.13678192465199612</v>
      </c>
      <c r="F2933" s="2072"/>
      <c r="G2933" s="415"/>
      <c r="H2933" s="415"/>
    </row>
    <row r="2934" spans="1:18" ht="12.75" hidden="1" customHeight="1" outlineLevel="1" x14ac:dyDescent="0.25">
      <c r="A2934" s="2053" t="s">
        <v>10145</v>
      </c>
      <c r="B2934" s="2054">
        <v>45839</v>
      </c>
      <c r="C2934" s="2055">
        <v>100</v>
      </c>
      <c r="D2934" s="2058"/>
      <c r="E2934" s="2056">
        <f t="shared" si="57"/>
        <v>0.13678192465199612</v>
      </c>
      <c r="F2934" s="2072"/>
      <c r="G2934" s="415"/>
      <c r="H2934" s="415"/>
    </row>
    <row r="2935" spans="1:18" ht="12.75" hidden="1" customHeight="1" outlineLevel="1" x14ac:dyDescent="0.25">
      <c r="A2935" s="2053" t="s">
        <v>10146</v>
      </c>
      <c r="B2935" s="2054">
        <v>45870</v>
      </c>
      <c r="C2935" s="2055">
        <v>100</v>
      </c>
      <c r="D2935" s="2058"/>
      <c r="E2935" s="2056">
        <f t="shared" si="57"/>
        <v>0.13678192465199612</v>
      </c>
      <c r="F2935" s="2072"/>
      <c r="G2935" s="415"/>
      <c r="H2935" s="415"/>
    </row>
    <row r="2936" spans="1:18" ht="12.75" hidden="1" customHeight="1" outlineLevel="1" x14ac:dyDescent="0.25">
      <c r="A2936" s="2053" t="s">
        <v>10147</v>
      </c>
      <c r="B2936" s="2054">
        <v>45901</v>
      </c>
      <c r="C2936" s="2055">
        <v>100</v>
      </c>
      <c r="D2936" s="2058"/>
      <c r="E2936" s="2056">
        <f t="shared" si="57"/>
        <v>0.13678192465199612</v>
      </c>
      <c r="F2936" s="2072"/>
      <c r="G2936" s="415"/>
      <c r="H2936" s="415"/>
    </row>
    <row r="2937" spans="1:18" ht="12.75" hidden="1" customHeight="1" outlineLevel="1" x14ac:dyDescent="0.25">
      <c r="A2937" s="2053" t="s">
        <v>10148</v>
      </c>
      <c r="B2937" s="2054">
        <v>45931</v>
      </c>
      <c r="C2937" s="2055">
        <v>100</v>
      </c>
      <c r="D2937" s="2058"/>
      <c r="E2937" s="2056">
        <f t="shared" si="57"/>
        <v>0.13678192465199612</v>
      </c>
      <c r="F2937" s="2072"/>
      <c r="G2937" s="415"/>
      <c r="H2937" s="415"/>
    </row>
    <row r="2938" spans="1:18" ht="12.75" hidden="1" customHeight="1" outlineLevel="1" x14ac:dyDescent="0.25">
      <c r="A2938" s="2053" t="s">
        <v>10149</v>
      </c>
      <c r="B2938" s="2054">
        <v>45962</v>
      </c>
      <c r="C2938" s="2055">
        <v>100</v>
      </c>
      <c r="D2938" s="2058"/>
      <c r="E2938" s="2056">
        <f>IF(D2938="",E2931,D2938/C2938-1)</f>
        <v>0.13678192465199612</v>
      </c>
      <c r="F2938" s="2072"/>
      <c r="G2938" s="415"/>
      <c r="H2938" s="415"/>
    </row>
    <row r="2939" spans="1:18" ht="12.75" hidden="1" customHeight="1" outlineLevel="1" x14ac:dyDescent="0.25">
      <c r="A2939" s="2053" t="s">
        <v>10150</v>
      </c>
      <c r="B2939" s="2054">
        <v>45992</v>
      </c>
      <c r="C2939" s="2055">
        <v>100</v>
      </c>
      <c r="D2939" s="2058"/>
      <c r="E2939" s="2056">
        <f>IF(D2939="",E2938,D2939/C2939-1)</f>
        <v>0.13678192465199612</v>
      </c>
      <c r="F2939" s="2072"/>
      <c r="G2939" s="415"/>
      <c r="H2939" s="415"/>
    </row>
    <row r="2940" spans="1:18" s="444" customFormat="1" ht="12.75" hidden="1" customHeight="1" outlineLevel="1" x14ac:dyDescent="0.25">
      <c r="A2940" s="2067" t="s">
        <v>2734</v>
      </c>
      <c r="B2940" s="2068"/>
      <c r="C2940" s="2058"/>
      <c r="D2940" s="2069" t="s">
        <v>2465</v>
      </c>
      <c r="E2940" s="2070">
        <f>AVERAGE(E2928:E2939)</f>
        <v>0.13678192465199612</v>
      </c>
      <c r="F2940" s="2071">
        <f>((((E2940*100)+100)-I2897)/100)</f>
        <v>0.41213392465199616</v>
      </c>
    </row>
    <row r="2941" spans="1:18" collapsed="1" x14ac:dyDescent="0.25">
      <c r="A2941" s="3799" t="s">
        <v>9998</v>
      </c>
      <c r="B2941" s="3800"/>
      <c r="C2941" s="3800"/>
      <c r="D2941" s="3800"/>
      <c r="E2941" s="18"/>
      <c r="F2941" s="186">
        <f>MAX(0%,MIN(F2940,100%))</f>
        <v>0.41213392465199616</v>
      </c>
      <c r="G2941" s="415"/>
    </row>
    <row r="2943" spans="1:18" ht="12.75" hidden="1" customHeight="1" outlineLevel="1" x14ac:dyDescent="0.25">
      <c r="A2943" s="2606" t="s">
        <v>4156</v>
      </c>
      <c r="B2943" s="2606" t="s">
        <v>4153</v>
      </c>
      <c r="C2943" s="2607" t="s">
        <v>112</v>
      </c>
      <c r="D2943" s="2608" t="s">
        <v>4155</v>
      </c>
      <c r="E2943" s="2606" t="s">
        <v>4154</v>
      </c>
      <c r="F2943" s="2608" t="s">
        <v>2519</v>
      </c>
      <c r="G2943" s="12"/>
      <c r="H2943" s="415"/>
      <c r="I2943" s="412" t="s">
        <v>6964</v>
      </c>
      <c r="J2943" s="1462">
        <v>43770</v>
      </c>
      <c r="K2943" s="1462">
        <v>43800</v>
      </c>
      <c r="L2943" s="1462">
        <v>43831</v>
      </c>
      <c r="M2943" s="1462">
        <v>43862</v>
      </c>
      <c r="N2943" s="1462">
        <v>43891</v>
      </c>
      <c r="O2943" s="1462">
        <v>43922</v>
      </c>
      <c r="P2943" s="1462"/>
      <c r="Q2943" s="1462"/>
      <c r="R2943" s="1462"/>
    </row>
    <row r="2944" spans="1:18" ht="12.75" hidden="1" customHeight="1" outlineLevel="1" x14ac:dyDescent="0.25">
      <c r="A2944" s="2034">
        <v>0.08</v>
      </c>
      <c r="B2944" s="2035" t="s">
        <v>802</v>
      </c>
      <c r="C2944" s="2037">
        <v>9.1590000000000007</v>
      </c>
      <c r="D2944" s="2060">
        <f>VLOOKUP(H2944,indexy!$C$44:$D$823,2,FALSE)</f>
        <v>19.690000000000001</v>
      </c>
      <c r="E2944" s="2061">
        <f>D2944/C2944-1</f>
        <v>1.1497980128835024</v>
      </c>
      <c r="F2944" s="2062">
        <f>E2944*A2944</f>
        <v>9.1983841030680191E-2</v>
      </c>
      <c r="G2944" s="415"/>
      <c r="H2944" s="415" t="str">
        <f>VLOOKUP(B2944,indexy!$A$44:$D$823,3,FALSE)</f>
        <v>NLY UN Equity</v>
      </c>
      <c r="I2944" s="412">
        <f>IF(J2944="",100,MIN(100,J2944:Y2944))</f>
        <v>100</v>
      </c>
    </row>
    <row r="2945" spans="1:11" ht="12.75" hidden="1" customHeight="1" outlineLevel="1" x14ac:dyDescent="0.25">
      <c r="A2945" s="1911">
        <v>0.05</v>
      </c>
      <c r="B2945" s="2035" t="s">
        <v>5748</v>
      </c>
      <c r="C2945" s="2037">
        <v>76.099000000000004</v>
      </c>
      <c r="D2945" s="2063">
        <f>VLOOKUP(H2945,indexy!$C$44:$D$823,2,FALSE)</f>
        <v>70.069999999999993</v>
      </c>
      <c r="E2945" s="2064">
        <f>D2945/C2945-1</f>
        <v>-7.9225745410583692E-2</v>
      </c>
      <c r="F2945" s="2065">
        <f t="shared" ref="F2945:F2968" si="58">E2945*A2945</f>
        <v>-3.961287270529185E-3</v>
      </c>
      <c r="G2945" s="415"/>
      <c r="H2945" s="415" t="str">
        <f>VLOOKUP(B2945,indexy!$A$44:$D$823,3,FALSE)</f>
        <v>BNS CT Equity</v>
      </c>
      <c r="I2945" s="422">
        <f>+(((E2987*100)+100)-I2944)/100</f>
        <v>8.7228326580625432E-2</v>
      </c>
    </row>
    <row r="2946" spans="1:11" ht="12.75" hidden="1" customHeight="1" outlineLevel="1" x14ac:dyDescent="0.25">
      <c r="A2946" s="1911">
        <v>0.08</v>
      </c>
      <c r="B2946" s="2035" t="s">
        <v>807</v>
      </c>
      <c r="C2946" s="2037">
        <v>64.010999999999996</v>
      </c>
      <c r="D2946" s="2063">
        <f>VLOOKUP(H2946,indexy!$C$44:$D$823,2,FALSE)</f>
        <v>46.03</v>
      </c>
      <c r="E2946" s="2064">
        <f t="shared" ref="E2946:E2973" si="59">D2946/C2946-1</f>
        <v>-0.28090484447985498</v>
      </c>
      <c r="F2946" s="2065">
        <f t="shared" si="58"/>
        <v>-2.2472387558388398E-2</v>
      </c>
      <c r="G2946" s="415"/>
      <c r="H2946" s="415" t="str">
        <f>VLOOKUP(B2946,indexy!$A$44:$D$823,3,FALSE)</f>
        <v>BCE CT Equity</v>
      </c>
      <c r="J2946" s="434"/>
    </row>
    <row r="2947" spans="1:11" ht="12.75" hidden="1" customHeight="1" outlineLevel="1" x14ac:dyDescent="0.25">
      <c r="A2947" s="1911">
        <v>7.0000000000000007E-2</v>
      </c>
      <c r="B2947" s="2035" t="s">
        <v>3954</v>
      </c>
      <c r="C2947" s="2037">
        <f>114.964/2</f>
        <v>57.481999999999999</v>
      </c>
      <c r="D2947" s="2063">
        <f>VLOOKUP(H2947,indexy!$C$44:$D$823,2,FALSE)</f>
        <v>68.67</v>
      </c>
      <c r="E2947" s="2064">
        <f t="shared" si="59"/>
        <v>0.19463484221147498</v>
      </c>
      <c r="F2947" s="2065">
        <f t="shared" si="58"/>
        <v>1.3624438954803249E-2</v>
      </c>
      <c r="G2947" s="415"/>
      <c r="H2947" s="415" t="str">
        <f>VLOOKUP(B2947,indexy!$A$44:$D$823,3,FALSE)</f>
        <v>CM CT Equity</v>
      </c>
      <c r="J2947" s="434"/>
      <c r="K2947" s="37"/>
    </row>
    <row r="2948" spans="1:11" ht="12.75" hidden="1" customHeight="1" outlineLevel="1" x14ac:dyDescent="0.25">
      <c r="A2948" s="1911">
        <v>0.03</v>
      </c>
      <c r="B2948" s="2035" t="s">
        <v>6158</v>
      </c>
      <c r="C2948" s="2037">
        <v>25.724</v>
      </c>
      <c r="D2948" s="2063">
        <f>VLOOKUP(H2948,indexy!$C$44:$D$823,2,FALSE)</f>
        <v>28.49</v>
      </c>
      <c r="E2948" s="2064">
        <f t="shared" si="59"/>
        <v>0.10752604571606272</v>
      </c>
      <c r="F2948" s="2065">
        <f t="shared" si="58"/>
        <v>3.2257813714818818E-3</v>
      </c>
      <c r="G2948" s="415"/>
      <c r="H2948" s="415" t="str">
        <f>VLOOKUP(B2948,indexy!$A$44:$D$823,3,FALSE)</f>
        <v>CNP UN Equity</v>
      </c>
      <c r="J2948" s="434"/>
    </row>
    <row r="2949" spans="1:11" ht="12.75" hidden="1" customHeight="1" outlineLevel="1" x14ac:dyDescent="0.25">
      <c r="A2949" s="1911">
        <v>0.02</v>
      </c>
      <c r="B2949" s="2035" t="s">
        <v>581</v>
      </c>
      <c r="C2949" s="2037">
        <v>119.396</v>
      </c>
      <c r="D2949" s="2063">
        <f>VLOOKUP(H2949,indexy!$C$44:$D$823,2,FALSE)</f>
        <v>157.74</v>
      </c>
      <c r="E2949" s="2064">
        <f t="shared" si="59"/>
        <v>0.32114978726255483</v>
      </c>
      <c r="F2949" s="2065">
        <f t="shared" si="58"/>
        <v>6.4229957452510969E-3</v>
      </c>
      <c r="G2949" s="415"/>
      <c r="H2949" s="415" t="str">
        <f>VLOOKUP(B2949,indexy!$A$44:$D$823,3,FALSE)</f>
        <v>CVX UN Equity</v>
      </c>
      <c r="J2949" s="434"/>
    </row>
    <row r="2950" spans="1:11" ht="12.75" hidden="1" customHeight="1" outlineLevel="1" x14ac:dyDescent="0.25">
      <c r="A2950" s="1911">
        <v>0.03</v>
      </c>
      <c r="B2950" s="2035" t="s">
        <v>9591</v>
      </c>
      <c r="C2950" s="2037">
        <v>82.162000000000006</v>
      </c>
      <c r="D2950" s="2063">
        <f>VLOOKUP(H2950,indexy!$C$44:$D$823,2,FALSE)</f>
        <v>49.19</v>
      </c>
      <c r="E2950" s="2064">
        <f t="shared" si="59"/>
        <v>-0.40130473941724887</v>
      </c>
      <c r="F2950" s="2065">
        <f t="shared" si="58"/>
        <v>-1.2039142182517466E-2</v>
      </c>
      <c r="G2950" s="415"/>
      <c r="H2950" s="415" t="str">
        <f>VLOOKUP(B2950,indexy!$A$44:$D$823,3,FALSE)</f>
        <v>D UN Equity</v>
      </c>
      <c r="J2950" s="434"/>
    </row>
    <row r="2951" spans="1:11" ht="12.75" hidden="1" customHeight="1" outlineLevel="1" x14ac:dyDescent="0.25">
      <c r="A2951" s="1911">
        <v>0.02</v>
      </c>
      <c r="B2951" s="2035" t="s">
        <v>1231</v>
      </c>
      <c r="C2951" s="2037">
        <v>87.715999999999994</v>
      </c>
      <c r="D2951" s="2063">
        <f>VLOOKUP(H2951,indexy!$C$44:$D$823,2,FALSE)</f>
        <v>96.71</v>
      </c>
      <c r="E2951" s="2064">
        <f t="shared" si="59"/>
        <v>0.10253545533312058</v>
      </c>
      <c r="F2951" s="2065">
        <f t="shared" si="58"/>
        <v>2.0507091066624119E-3</v>
      </c>
      <c r="G2951" s="415"/>
      <c r="H2951" s="415" t="str">
        <f>VLOOKUP(B2951,indexy!$A$44:$D$823,3,FALSE)</f>
        <v>DUK UN Equity</v>
      </c>
      <c r="J2951" s="434"/>
    </row>
    <row r="2952" spans="1:11" ht="12.75" hidden="1" customHeight="1" outlineLevel="1" x14ac:dyDescent="0.25">
      <c r="A2952" s="1911">
        <v>0.02</v>
      </c>
      <c r="B2952" s="2035" t="s">
        <v>7855</v>
      </c>
      <c r="C2952" s="2037">
        <v>50.305999999999997</v>
      </c>
      <c r="D2952" s="2063">
        <f>VLOOKUP(H2952,indexy!$C$44:$D$823,2,FALSE)</f>
        <v>48.95</v>
      </c>
      <c r="E2952" s="2064">
        <f t="shared" si="59"/>
        <v>-2.6955035184669685E-2</v>
      </c>
      <c r="F2952" s="2065">
        <f t="shared" si="58"/>
        <v>-5.3910070369339374E-4</v>
      </c>
      <c r="G2952" s="415"/>
      <c r="H2952" s="415" t="str">
        <f>VLOOKUP(B2952,indexy!$A$44:$D$823,3,FALSE)</f>
        <v>ENB CT Equity</v>
      </c>
      <c r="J2952" s="434"/>
    </row>
    <row r="2953" spans="1:11" ht="12.75" hidden="1" customHeight="1" outlineLevel="1" x14ac:dyDescent="0.25">
      <c r="A2953" s="1911">
        <v>0.02</v>
      </c>
      <c r="B2953" s="2035" t="s">
        <v>3425</v>
      </c>
      <c r="C2953" s="2037">
        <v>68.817999999999998</v>
      </c>
      <c r="D2953" s="2063">
        <f>VLOOKUP(H2953,indexy!$C$44:$D$823,2,FALSE)</f>
        <v>116.24</v>
      </c>
      <c r="E2953" s="2064">
        <f t="shared" si="59"/>
        <v>0.68909296986253588</v>
      </c>
      <c r="F2953" s="2065">
        <f t="shared" si="58"/>
        <v>1.3781859397250717E-2</v>
      </c>
      <c r="G2953" s="415"/>
      <c r="H2953" s="415" t="str">
        <f>VLOOKUP(B2953,indexy!$A$44:$D$823,3,FALSE)</f>
        <v>XOM UN Equity</v>
      </c>
      <c r="J2953" s="434"/>
    </row>
    <row r="2954" spans="1:11" ht="12.75" hidden="1" customHeight="1" outlineLevel="1" x14ac:dyDescent="0.25">
      <c r="A2954" s="1911">
        <v>0.05</v>
      </c>
      <c r="B2954" s="2035" t="s">
        <v>10118</v>
      </c>
      <c r="C2954" s="2037">
        <v>53.171999999999997</v>
      </c>
      <c r="D2954" s="2063">
        <f>VLOOKUP(H2954,indexy!$C$44:$D$823,2,FALSE)</f>
        <v>53.52</v>
      </c>
      <c r="E2954" s="2064">
        <f t="shared" si="59"/>
        <v>6.5447980139925477E-3</v>
      </c>
      <c r="F2954" s="2065">
        <f t="shared" si="58"/>
        <v>3.2723990069962741E-4</v>
      </c>
      <c r="G2954" s="415"/>
      <c r="H2954" s="415" t="str">
        <f>VLOOKUP(B2954,indexy!$A$44:$D$823,3,FALSE)</f>
        <v>FTS CT Equity</v>
      </c>
      <c r="J2954" s="434"/>
    </row>
    <row r="2955" spans="1:11" ht="12.75" hidden="1" customHeight="1" outlineLevel="1" x14ac:dyDescent="0.25">
      <c r="A2955" s="1911">
        <v>0.02</v>
      </c>
      <c r="B2955" s="2035" t="s">
        <v>52</v>
      </c>
      <c r="C2955" s="2037">
        <v>134.465</v>
      </c>
      <c r="D2955" s="2063">
        <f>VLOOKUP(H2955,indexy!$C$44:$D$823,2,FALSE)</f>
        <v>190.96</v>
      </c>
      <c r="E2955" s="2064">
        <f t="shared" si="59"/>
        <v>0.42014650652586183</v>
      </c>
      <c r="F2955" s="2065">
        <f t="shared" si="58"/>
        <v>8.4029301305172371E-3</v>
      </c>
      <c r="G2955" s="415"/>
      <c r="H2955" s="415" t="str">
        <f>VLOOKUP(B2955,indexy!$A$44:$D$823,3,FALSE)</f>
        <v>IBM UN Equity</v>
      </c>
      <c r="J2955" s="434"/>
    </row>
    <row r="2956" spans="1:11" ht="12.75" hidden="1" customHeight="1" outlineLevel="1" x14ac:dyDescent="0.25">
      <c r="A2956" s="1911">
        <v>0.02</v>
      </c>
      <c r="B2956" s="2035" t="s">
        <v>6707</v>
      </c>
      <c r="C2956" s="2038">
        <v>20.137</v>
      </c>
      <c r="D2956" s="2063">
        <f>VLOOKUP(H2956,indexy!$C$44:$D$823,2,FALSE)</f>
        <v>18.34</v>
      </c>
      <c r="E2956" s="2064">
        <f t="shared" si="59"/>
        <v>-8.9238714803595354E-2</v>
      </c>
      <c r="F2956" s="2065">
        <f t="shared" si="58"/>
        <v>-1.784774296071907E-3</v>
      </c>
      <c r="G2956" s="415"/>
      <c r="H2956" s="415" t="str">
        <f>VLOOKUP(B2956,indexy!$A$44:$D$823,3,FALSE)</f>
        <v>KMI UN Equity</v>
      </c>
      <c r="J2956" s="434"/>
    </row>
    <row r="2957" spans="1:11" ht="12.75" hidden="1" customHeight="1" outlineLevel="1" x14ac:dyDescent="0.25">
      <c r="A2957" s="1911">
        <v>0.02</v>
      </c>
      <c r="B2957" s="2035" t="s">
        <v>123</v>
      </c>
      <c r="C2957" s="2037">
        <v>26.074000000000002</v>
      </c>
      <c r="D2957" s="2063">
        <f>VLOOKUP(H2957,indexy!$C$44:$D$823,2,FALSE)</f>
        <v>33.83</v>
      </c>
      <c r="E2957" s="2064">
        <f t="shared" si="59"/>
        <v>0.29746107233259167</v>
      </c>
      <c r="F2957" s="2065">
        <f t="shared" si="58"/>
        <v>5.9492214466518338E-3</v>
      </c>
      <c r="G2957" s="415"/>
      <c r="H2957" s="415" t="str">
        <f>VLOOKUP(B2957,indexy!$A$44:$D$823,3,FALSE)</f>
        <v>MFC CT Equity</v>
      </c>
      <c r="J2957" s="434"/>
    </row>
    <row r="2958" spans="1:11" ht="12.75" hidden="1" customHeight="1" outlineLevel="1" x14ac:dyDescent="0.25">
      <c r="A2958" s="1911">
        <v>0.02</v>
      </c>
      <c r="B2958" s="2035" t="s">
        <v>7754</v>
      </c>
      <c r="C2958" s="2037">
        <v>69.998999999999995</v>
      </c>
      <c r="D2958" s="2063">
        <f>VLOOKUP(H2958,indexy!$C$44:$D$823,2,FALSE)</f>
        <v>114.06</v>
      </c>
      <c r="E2958" s="2064">
        <f t="shared" si="59"/>
        <v>0.62945184931213327</v>
      </c>
      <c r="F2958" s="2065">
        <f t="shared" si="58"/>
        <v>1.2589036986242665E-2</v>
      </c>
      <c r="G2958" s="415"/>
      <c r="H2958" s="415" t="str">
        <f>VLOOKUP(B2958,indexy!$A$44:$D$823,3,FALSE)</f>
        <v>NA CT Equity</v>
      </c>
      <c r="J2958" s="434"/>
    </row>
    <row r="2959" spans="1:11" ht="12.75" hidden="1" customHeight="1" outlineLevel="1" x14ac:dyDescent="0.25">
      <c r="A2959" s="1911">
        <v>0.02</v>
      </c>
      <c r="B2959" s="2035" t="s">
        <v>10027</v>
      </c>
      <c r="C2959" s="2037">
        <v>70.869</v>
      </c>
      <c r="D2959" s="2063">
        <f>VLOOKUP(H2959,indexy!$C$44:$D$823,2,FALSE)</f>
        <v>80.17</v>
      </c>
      <c r="E2959" s="2064">
        <f t="shared" si="59"/>
        <v>0.13124215101102044</v>
      </c>
      <c r="F2959" s="2065">
        <f t="shared" si="58"/>
        <v>2.6248430202204086E-3</v>
      </c>
      <c r="G2959" s="415"/>
      <c r="H2959" s="415" t="str">
        <f>VLOOKUP(B2959,indexy!$A$44:$D$823,3,FALSE)</f>
        <v>OKE UN Equity</v>
      </c>
      <c r="J2959" s="434"/>
    </row>
    <row r="2960" spans="1:11" ht="12.75" hidden="1" customHeight="1" outlineLevel="1" x14ac:dyDescent="0.25">
      <c r="A2960" s="1911">
        <v>7.0000000000000007E-2</v>
      </c>
      <c r="B2960" s="2035" t="s">
        <v>9516</v>
      </c>
      <c r="C2960" s="2037">
        <v>47.616999999999997</v>
      </c>
      <c r="D2960" s="2063">
        <f>VLOOKUP(H2960,indexy!$C$44:$D$823,2,FALSE)</f>
        <v>47.81</v>
      </c>
      <c r="E2960" s="2064">
        <f t="shared" si="59"/>
        <v>4.053174286494432E-3</v>
      </c>
      <c r="F2960" s="2065">
        <f t="shared" si="58"/>
        <v>2.8372220005461028E-4</v>
      </c>
      <c r="G2960" s="415"/>
      <c r="H2960" s="415" t="str">
        <f>VLOOKUP(B2960,indexy!$A$44:$D$823,3,FALSE)</f>
        <v>PPL CT Equity</v>
      </c>
      <c r="J2960" s="434"/>
    </row>
    <row r="2961" spans="1:10" ht="12.75" hidden="1" customHeight="1" outlineLevel="1" x14ac:dyDescent="0.25">
      <c r="A2961" s="1911">
        <v>0.02</v>
      </c>
      <c r="B2961" s="2035" t="s">
        <v>2769</v>
      </c>
      <c r="C2961" s="2037">
        <v>33.741999999999997</v>
      </c>
      <c r="D2961" s="2063">
        <f>VLOOKUP(H2961,indexy!$C$44:$D$823,2,FALSE)</f>
        <v>27.53</v>
      </c>
      <c r="E2961" s="2064">
        <f t="shared" si="59"/>
        <v>-0.1841028984648212</v>
      </c>
      <c r="F2961" s="2065">
        <f t="shared" si="58"/>
        <v>-3.6820579692964238E-3</v>
      </c>
      <c r="G2961" s="415"/>
      <c r="H2961" s="415" t="str">
        <f>VLOOKUP(B2961,indexy!$A$44:$D$823,3,FALSE)</f>
        <v>PPL UN Equity</v>
      </c>
      <c r="J2961" s="434"/>
    </row>
    <row r="2962" spans="1:10" ht="12.75" hidden="1" customHeight="1" outlineLevel="1" x14ac:dyDescent="0.25">
      <c r="A2962" s="1911">
        <v>0.02</v>
      </c>
      <c r="B2962" s="2035" t="s">
        <v>8529</v>
      </c>
      <c r="C2962" s="2037">
        <v>77.034999999999997</v>
      </c>
      <c r="D2962" s="2063">
        <f>VLOOKUP(H2962,indexy!$C$44:$D$823,2,FALSE)</f>
        <v>54.1</v>
      </c>
      <c r="E2962" s="2064">
        <f t="shared" si="59"/>
        <v>-0.29772181475952486</v>
      </c>
      <c r="F2962" s="2065">
        <f t="shared" si="58"/>
        <v>-5.9544362951904975E-3</v>
      </c>
      <c r="G2962" s="415"/>
      <c r="H2962" s="415" t="str">
        <f>VLOOKUP(B2962,indexy!$A$44:$D$823,3,FALSE)</f>
        <v>O UN Equity</v>
      </c>
      <c r="J2962" s="434"/>
    </row>
    <row r="2963" spans="1:10" ht="12.75" hidden="1" customHeight="1" outlineLevel="1" x14ac:dyDescent="0.25">
      <c r="A2963" s="1911">
        <v>0.02</v>
      </c>
      <c r="B2963" s="2035" t="s">
        <v>2728</v>
      </c>
      <c r="C2963" s="2037">
        <v>108.783</v>
      </c>
      <c r="D2963" s="2063">
        <f>VLOOKUP(H2963,indexy!$C$44:$D$823,2,FALSE)</f>
        <v>136.62</v>
      </c>
      <c r="E2963" s="2064">
        <f t="shared" si="59"/>
        <v>0.25589476296847846</v>
      </c>
      <c r="F2963" s="2065">
        <f t="shared" si="58"/>
        <v>5.1178952593695691E-3</v>
      </c>
      <c r="G2963" s="415"/>
      <c r="H2963" s="415" t="str">
        <f>VLOOKUP(B2963,indexy!$A$44:$D$823,3,FALSE)</f>
        <v>RY CT Equity</v>
      </c>
      <c r="J2963" s="434"/>
    </row>
    <row r="2964" spans="1:10" ht="12.75" hidden="1" customHeight="1" outlineLevel="1" x14ac:dyDescent="0.25">
      <c r="A2964" s="1911">
        <v>0.02</v>
      </c>
      <c r="B2964" s="2035" t="s">
        <v>8210</v>
      </c>
      <c r="C2964" s="2037">
        <v>151.17400000000001</v>
      </c>
      <c r="D2964" s="2063">
        <f>VLOOKUP(H2964,indexy!$C$44:$D$823,2,FALSE)</f>
        <v>156.49</v>
      </c>
      <c r="E2964" s="2064">
        <f t="shared" si="59"/>
        <v>3.5164777011920112E-2</v>
      </c>
      <c r="F2964" s="2065">
        <f t="shared" si="58"/>
        <v>7.0329554023840224E-4</v>
      </c>
      <c r="G2964" s="415"/>
      <c r="H2964" s="415" t="str">
        <f>VLOOKUP(B2964,indexy!$A$44:$D$823,3,FALSE)</f>
        <v>SPG UN Equity</v>
      </c>
      <c r="J2964" s="434"/>
    </row>
    <row r="2965" spans="1:10" ht="12.75" hidden="1" customHeight="1" outlineLevel="1" x14ac:dyDescent="0.25">
      <c r="A2965" s="1911">
        <v>0.02</v>
      </c>
      <c r="B2965" s="2035" t="s">
        <v>3427</v>
      </c>
      <c r="C2965" s="2037">
        <v>62.241</v>
      </c>
      <c r="D2965" s="2063">
        <f>VLOOKUP(H2965,indexy!$C$44:$D$823,2,FALSE)</f>
        <v>71.739999999999995</v>
      </c>
      <c r="E2965" s="2064">
        <f t="shared" si="59"/>
        <v>0.15261644253787687</v>
      </c>
      <c r="F2965" s="2065">
        <f t="shared" si="58"/>
        <v>3.0523288507575373E-3</v>
      </c>
      <c r="G2965" s="415"/>
      <c r="H2965" s="415" t="str">
        <f>VLOOKUP(B2965,indexy!$A$44:$D$823,3,FALSE)</f>
        <v>SO UN Equity</v>
      </c>
      <c r="J2965" s="434"/>
    </row>
    <row r="2966" spans="1:10" ht="12.75" hidden="1" customHeight="1" outlineLevel="1" x14ac:dyDescent="0.25">
      <c r="A2966" s="1911">
        <v>0.03</v>
      </c>
      <c r="B2966" s="2035" t="s">
        <v>898</v>
      </c>
      <c r="C2966" s="2037">
        <v>61.109000000000002</v>
      </c>
      <c r="D2966" s="2063">
        <f>VLOOKUP(H2966,indexy!$C$44:$D$823,2,FALSE)</f>
        <v>73.91</v>
      </c>
      <c r="E2966" s="2064">
        <f t="shared" si="59"/>
        <v>0.20947814560866629</v>
      </c>
      <c r="F2966" s="2065">
        <f t="shared" si="58"/>
        <v>6.2843443682599883E-3</v>
      </c>
      <c r="G2966" s="415"/>
      <c r="H2966" s="415" t="str">
        <f>VLOOKUP(B2966,indexy!$A$44:$D$823,3,FALSE)</f>
        <v>SLF CT Equity</v>
      </c>
      <c r="J2966" s="434"/>
    </row>
    <row r="2967" spans="1:10" ht="12.75" hidden="1" customHeight="1" outlineLevel="1" x14ac:dyDescent="0.25">
      <c r="A2967" s="1911">
        <v>0.02</v>
      </c>
      <c r="B2967" s="2035" t="s">
        <v>366</v>
      </c>
      <c r="C2967" s="2037">
        <v>67.799000000000007</v>
      </c>
      <c r="D2967" s="2063">
        <f>VLOOKUP(H2967,indexy!$C$44:$D$823,2,FALSE)</f>
        <v>54.44</v>
      </c>
      <c r="E2967" s="2064">
        <f t="shared" si="59"/>
        <v>-0.19703830439976999</v>
      </c>
      <c r="F2967" s="2065">
        <f t="shared" si="58"/>
        <v>-3.9407660879954001E-3</v>
      </c>
      <c r="G2967" s="415"/>
      <c r="H2967" s="415" t="str">
        <f>VLOOKUP(B2967,indexy!$A$44:$D$823,3,FALSE)</f>
        <v>TRP CT Equity</v>
      </c>
      <c r="J2967" s="434"/>
    </row>
    <row r="2968" spans="1:10" ht="12.75" hidden="1" customHeight="1" outlineLevel="1" x14ac:dyDescent="0.25">
      <c r="A2968" s="1911">
        <v>0.08</v>
      </c>
      <c r="B2968" s="2035" t="s">
        <v>3665</v>
      </c>
      <c r="C2968" s="2037">
        <f>50.124/2</f>
        <v>25.062000000000001</v>
      </c>
      <c r="D2968" s="2063">
        <f>VLOOKUP(H2968,indexy!$C$44:$D$823,2,FALSE)</f>
        <v>21.67</v>
      </c>
      <c r="E2968" s="2064">
        <f t="shared" si="59"/>
        <v>-0.13534434602186574</v>
      </c>
      <c r="F2968" s="2065">
        <f t="shared" si="58"/>
        <v>-1.0827547681749259E-2</v>
      </c>
      <c r="G2968" s="415"/>
      <c r="H2968" s="415" t="str">
        <f>VLOOKUP(B2968,indexy!$A$44:$D$823,3,FALSE)</f>
        <v>T CT Equity</v>
      </c>
      <c r="J2968" s="434"/>
    </row>
    <row r="2969" spans="1:10" ht="12.75" hidden="1" customHeight="1" outlineLevel="1" x14ac:dyDescent="0.25">
      <c r="A2969" s="1911">
        <v>0.02</v>
      </c>
      <c r="B2969" s="2035" t="s">
        <v>3626</v>
      </c>
      <c r="C2969" s="2037">
        <v>76.811000000000007</v>
      </c>
      <c r="D2969" s="2063">
        <f>VLOOKUP(H2969,indexy!$C$44:$D$823,2,FALSE)</f>
        <v>81.75</v>
      </c>
      <c r="E2969" s="2064">
        <f t="shared" si="59"/>
        <v>6.430068609964712E-2</v>
      </c>
      <c r="F2969" s="2065">
        <f>E2969*A2969</f>
        <v>1.2860137219929423E-3</v>
      </c>
      <c r="G2969" s="415"/>
      <c r="H2969" s="415" t="str">
        <f>VLOOKUP(B2969,indexy!$A$44:$D$823,3,FALSE)</f>
        <v>TD CT Equity</v>
      </c>
      <c r="J2969" s="434"/>
    </row>
    <row r="2970" spans="1:10" ht="12.75" hidden="1" customHeight="1" outlineLevel="1" x14ac:dyDescent="0.25">
      <c r="A2970" s="1911">
        <v>0.02</v>
      </c>
      <c r="B2970" s="2035" t="s">
        <v>5758</v>
      </c>
      <c r="C2970" s="2037">
        <v>58.222999999999999</v>
      </c>
      <c r="D2970" s="2063">
        <f>VLOOKUP(H2970,indexy!$C$44:$D$946,2,FALSE)</f>
        <v>43.54</v>
      </c>
      <c r="E2970" s="2064">
        <f t="shared" si="59"/>
        <v>-0.25218556240660905</v>
      </c>
      <c r="F2970" s="2065">
        <f>E2970*A2970</f>
        <v>-5.0437112481321808E-3</v>
      </c>
      <c r="G2970" s="415"/>
      <c r="H2970" s="415" t="str">
        <f>VLOOKUP(B2970,indexy!$A$44:$D$946,3,FALSE)</f>
        <v>VTR UN Equity</v>
      </c>
      <c r="J2970" s="434"/>
    </row>
    <row r="2971" spans="1:10" ht="12.75" hidden="1" customHeight="1" outlineLevel="1" x14ac:dyDescent="0.25">
      <c r="A2971" s="1911">
        <v>0.02</v>
      </c>
      <c r="B2971" s="2035" t="s">
        <v>255</v>
      </c>
      <c r="C2971" s="2037">
        <v>59.473999999999997</v>
      </c>
      <c r="D2971" s="2063">
        <f>VLOOKUP(H2971,indexy!$C$44:$D$823,2,FALSE)</f>
        <v>41.96</v>
      </c>
      <c r="E2971" s="2064">
        <f t="shared" si="59"/>
        <v>-0.29448162222147489</v>
      </c>
      <c r="F2971" s="2065">
        <f>E2971*A2971</f>
        <v>-5.8896324444294981E-3</v>
      </c>
      <c r="G2971" s="415"/>
      <c r="H2971" s="415" t="str">
        <f>VLOOKUP(B2971,indexy!$A$44:$D$823,3,FALSE)</f>
        <v>VZ UN Equity</v>
      </c>
      <c r="J2971" s="434"/>
    </row>
    <row r="2972" spans="1:10" ht="12.75" hidden="1" customHeight="1" outlineLevel="1" x14ac:dyDescent="0.25">
      <c r="A2972" s="1911">
        <v>0.02</v>
      </c>
      <c r="B2972" s="2035" t="s">
        <v>6163</v>
      </c>
      <c r="C2972" s="2037">
        <v>83.807000000000002</v>
      </c>
      <c r="D2972" s="2063">
        <f>VLOOKUP(H2972,indexy!$C$44:$D$823,2,FALSE)</f>
        <v>93.44</v>
      </c>
      <c r="E2972" s="2064">
        <f t="shared" si="59"/>
        <v>0.11494266588709778</v>
      </c>
      <c r="F2972" s="2065">
        <f>E2972*A2972</f>
        <v>2.2988533177419556E-3</v>
      </c>
      <c r="G2972" s="415"/>
      <c r="H2972" s="415" t="str">
        <f>VLOOKUP(B2972,indexy!$A$44:$D$823,3,FALSE)</f>
        <v>WELL UN Equity</v>
      </c>
      <c r="J2972" s="434"/>
    </row>
    <row r="2973" spans="1:10" ht="12.75" hidden="1" customHeight="1" outlineLevel="1" x14ac:dyDescent="0.25">
      <c r="A2973" s="1911">
        <v>0.05</v>
      </c>
      <c r="B2973" s="2036" t="s">
        <v>10003</v>
      </c>
      <c r="C2973" s="2037">
        <v>84.608000000000004</v>
      </c>
      <c r="D2973" s="2066">
        <f>VLOOKUP(H2973,indexy!$C$44:$D$823,2,FALSE)</f>
        <v>56.44</v>
      </c>
      <c r="E2973" s="2064">
        <f t="shared" si="59"/>
        <v>-0.33292360060514381</v>
      </c>
      <c r="F2973" s="2065">
        <f>E2973*A2973</f>
        <v>-1.6646180030257193E-2</v>
      </c>
      <c r="G2973" s="415"/>
      <c r="H2973" s="415" t="str">
        <f>VLOOKUP(B2973,indexy!$A$44:$D$823,3,FALSE)</f>
        <v>WPC UN Equity</v>
      </c>
      <c r="J2973" s="434"/>
    </row>
    <row r="2974" spans="1:10" ht="12.75" hidden="1" customHeight="1" outlineLevel="1" x14ac:dyDescent="0.25">
      <c r="A2974" s="2048" t="s">
        <v>2734</v>
      </c>
      <c r="B2974" s="2049"/>
      <c r="C2974" s="2050">
        <v>100</v>
      </c>
      <c r="D2974" s="2051"/>
      <c r="E2974" s="2059"/>
      <c r="F2974" s="2059">
        <f>SUM(F2944:F2973)</f>
        <v>8.7228326580625515E-2</v>
      </c>
      <c r="G2974" s="415"/>
      <c r="H2974" s="415"/>
    </row>
    <row r="2975" spans="1:10" ht="12.75" hidden="1" customHeight="1" outlineLevel="1" x14ac:dyDescent="0.25">
      <c r="A2975" s="2053" t="s">
        <v>10221</v>
      </c>
      <c r="B2975" s="2054">
        <v>45689</v>
      </c>
      <c r="C2975" s="2055">
        <v>100</v>
      </c>
      <c r="D2975" s="2055"/>
      <c r="E2975" s="2056">
        <f>IF(D2975="",F2974,D2975/C2975-1)</f>
        <v>8.7228326580625515E-2</v>
      </c>
      <c r="F2975" s="2072"/>
      <c r="G2975" s="415"/>
      <c r="H2975" s="415"/>
    </row>
    <row r="2976" spans="1:10" ht="12.75" hidden="1" customHeight="1" outlineLevel="1" x14ac:dyDescent="0.25">
      <c r="A2976" s="2053" t="s">
        <v>10222</v>
      </c>
      <c r="B2976" s="2054">
        <v>45717</v>
      </c>
      <c r="C2976" s="2055">
        <v>100</v>
      </c>
      <c r="D2976" s="2058"/>
      <c r="E2976" s="2056">
        <f>IF(D2976="",E2975,D2976/C2976-1)</f>
        <v>8.7228326580625515E-2</v>
      </c>
      <c r="F2976" s="2072"/>
      <c r="G2976" s="415"/>
      <c r="H2976" s="415"/>
    </row>
    <row r="2977" spans="1:8" ht="12.75" hidden="1" customHeight="1" outlineLevel="1" x14ac:dyDescent="0.25">
      <c r="A2977" s="2053" t="s">
        <v>10223</v>
      </c>
      <c r="B2977" s="2054">
        <v>45748</v>
      </c>
      <c r="C2977" s="2055">
        <v>100</v>
      </c>
      <c r="D2977" s="2058"/>
      <c r="E2977" s="2056">
        <f>IF(D2977="",E2976,D2977/C2977-1)</f>
        <v>8.7228326580625515E-2</v>
      </c>
      <c r="F2977" s="2072"/>
      <c r="G2977" s="415"/>
      <c r="H2977" s="415"/>
    </row>
    <row r="2978" spans="1:8" ht="12.75" hidden="1" customHeight="1" outlineLevel="1" x14ac:dyDescent="0.25">
      <c r="A2978" s="2053" t="s">
        <v>10224</v>
      </c>
      <c r="B2978" s="2054">
        <v>45778</v>
      </c>
      <c r="C2978" s="2055">
        <v>100</v>
      </c>
      <c r="D2978" s="2058"/>
      <c r="E2978" s="2056">
        <f>IF(D2978="",E2977,D2978/C2978-1)</f>
        <v>8.7228326580625515E-2</v>
      </c>
      <c r="F2978" s="2072"/>
      <c r="G2978" s="415"/>
      <c r="H2978" s="415"/>
    </row>
    <row r="2979" spans="1:8" ht="12.75" hidden="1" customHeight="1" outlineLevel="1" x14ac:dyDescent="0.25">
      <c r="A2979" s="2053" t="s">
        <v>10225</v>
      </c>
      <c r="B2979" s="2054">
        <v>45809</v>
      </c>
      <c r="C2979" s="2055">
        <v>100</v>
      </c>
      <c r="D2979" s="2058"/>
      <c r="E2979" s="2056">
        <f t="shared" ref="E2979:E2984" si="60">IF(D2979="",E2978,D2979/C2979-1)</f>
        <v>8.7228326580625515E-2</v>
      </c>
      <c r="F2979" s="2072"/>
      <c r="G2979" s="415"/>
      <c r="H2979" s="415"/>
    </row>
    <row r="2980" spans="1:8" ht="12.75" hidden="1" customHeight="1" outlineLevel="1" x14ac:dyDescent="0.25">
      <c r="A2980" s="2053" t="s">
        <v>10226</v>
      </c>
      <c r="B2980" s="2054">
        <v>45839</v>
      </c>
      <c r="C2980" s="2055">
        <v>100</v>
      </c>
      <c r="D2980" s="2058"/>
      <c r="E2980" s="2056">
        <f t="shared" si="60"/>
        <v>8.7228326580625515E-2</v>
      </c>
      <c r="F2980" s="2072"/>
      <c r="G2980" s="415"/>
      <c r="H2980" s="415"/>
    </row>
    <row r="2981" spans="1:8" ht="12.75" hidden="1" customHeight="1" outlineLevel="1" x14ac:dyDescent="0.25">
      <c r="A2981" s="2053" t="s">
        <v>10227</v>
      </c>
      <c r="B2981" s="2054">
        <v>45870</v>
      </c>
      <c r="C2981" s="2055">
        <v>100</v>
      </c>
      <c r="D2981" s="2058"/>
      <c r="E2981" s="2056">
        <f t="shared" si="60"/>
        <v>8.7228326580625515E-2</v>
      </c>
      <c r="F2981" s="2072"/>
      <c r="G2981" s="415"/>
      <c r="H2981" s="415"/>
    </row>
    <row r="2982" spans="1:8" ht="12.75" hidden="1" customHeight="1" outlineLevel="1" x14ac:dyDescent="0.25">
      <c r="A2982" s="2053" t="s">
        <v>10228</v>
      </c>
      <c r="B2982" s="2054">
        <v>45901</v>
      </c>
      <c r="C2982" s="2055">
        <v>100</v>
      </c>
      <c r="D2982" s="2058"/>
      <c r="E2982" s="2056">
        <f t="shared" si="60"/>
        <v>8.7228326580625515E-2</v>
      </c>
      <c r="F2982" s="2072"/>
      <c r="G2982" s="415"/>
      <c r="H2982" s="415"/>
    </row>
    <row r="2983" spans="1:8" ht="12.75" hidden="1" customHeight="1" outlineLevel="1" x14ac:dyDescent="0.25">
      <c r="A2983" s="2053" t="s">
        <v>10229</v>
      </c>
      <c r="B2983" s="2054">
        <v>45931</v>
      </c>
      <c r="C2983" s="2055">
        <v>100</v>
      </c>
      <c r="D2983" s="2058"/>
      <c r="E2983" s="2056">
        <f t="shared" si="60"/>
        <v>8.7228326580625515E-2</v>
      </c>
      <c r="F2983" s="2072"/>
      <c r="G2983" s="415"/>
      <c r="H2983" s="415"/>
    </row>
    <row r="2984" spans="1:8" ht="12.75" hidden="1" customHeight="1" outlineLevel="1" x14ac:dyDescent="0.25">
      <c r="A2984" s="2053" t="s">
        <v>10230</v>
      </c>
      <c r="B2984" s="2054">
        <v>45962</v>
      </c>
      <c r="C2984" s="2055">
        <v>100</v>
      </c>
      <c r="D2984" s="2058"/>
      <c r="E2984" s="2056">
        <f t="shared" si="60"/>
        <v>8.7228326580625515E-2</v>
      </c>
      <c r="F2984" s="2072"/>
      <c r="G2984" s="415"/>
      <c r="H2984" s="415"/>
    </row>
    <row r="2985" spans="1:8" ht="12.75" hidden="1" customHeight="1" outlineLevel="1" x14ac:dyDescent="0.25">
      <c r="A2985" s="2053" t="s">
        <v>10231</v>
      </c>
      <c r="B2985" s="2054">
        <v>45992</v>
      </c>
      <c r="C2985" s="2055">
        <v>100</v>
      </c>
      <c r="D2985" s="2058"/>
      <c r="E2985" s="2056">
        <f>IF(D2985="",E2978,D2985/C2985-1)</f>
        <v>8.7228326580625515E-2</v>
      </c>
      <c r="F2985" s="2072"/>
      <c r="G2985" s="415"/>
      <c r="H2985" s="415"/>
    </row>
    <row r="2986" spans="1:8" ht="12.75" hidden="1" customHeight="1" outlineLevel="1" x14ac:dyDescent="0.25">
      <c r="A2986" s="2053" t="s">
        <v>10232</v>
      </c>
      <c r="B2986" s="2054">
        <v>46023</v>
      </c>
      <c r="C2986" s="2055">
        <v>100</v>
      </c>
      <c r="D2986" s="2058"/>
      <c r="E2986" s="2056">
        <f>IF(D2986="",E2985,D2986/C2986-1)</f>
        <v>8.7228326580625515E-2</v>
      </c>
      <c r="F2986" s="2072"/>
      <c r="G2986" s="415"/>
      <c r="H2986" s="415"/>
    </row>
    <row r="2987" spans="1:8" s="444" customFormat="1" ht="12.75" hidden="1" customHeight="1" outlineLevel="1" x14ac:dyDescent="0.25">
      <c r="A2987" s="2067" t="s">
        <v>2734</v>
      </c>
      <c r="B2987" s="2068"/>
      <c r="C2987" s="2058"/>
      <c r="D2987" s="2069" t="s">
        <v>2465</v>
      </c>
      <c r="E2987" s="2070">
        <f>AVERAGE(E2975:E2986)</f>
        <v>8.7228326580625515E-2</v>
      </c>
      <c r="F2987" s="2071">
        <f>((((E2987*100)+100)-I2944)/100)</f>
        <v>8.7228326580625432E-2</v>
      </c>
    </row>
    <row r="2988" spans="1:8" collapsed="1" x14ac:dyDescent="0.25">
      <c r="A2988" s="3799" t="s">
        <v>10115</v>
      </c>
      <c r="B2988" s="3800"/>
      <c r="C2988" s="3800"/>
      <c r="D2988" s="3800"/>
      <c r="E2988" s="18"/>
      <c r="F2988" s="186">
        <f>MAX(0%,MIN(F2987,100%))</f>
        <v>8.7228326580625432E-2</v>
      </c>
      <c r="G2988" s="415"/>
    </row>
    <row r="2990" spans="1:8" ht="12.75" hidden="1" customHeight="1" outlineLevel="1" x14ac:dyDescent="0.25">
      <c r="A2990" s="15" t="s">
        <v>113</v>
      </c>
      <c r="B2990" s="15" t="s">
        <v>114</v>
      </c>
      <c r="C2990" s="15" t="s">
        <v>112</v>
      </c>
      <c r="D2990" s="15" t="s">
        <v>116</v>
      </c>
      <c r="E2990" s="15" t="s">
        <v>117</v>
      </c>
      <c r="F2990" s="15" t="s">
        <v>121</v>
      </c>
      <c r="G2990" s="78"/>
    </row>
    <row r="2991" spans="1:8" ht="12.75" hidden="1" customHeight="1" outlineLevel="1" x14ac:dyDescent="0.25">
      <c r="A2991" s="1744">
        <v>1</v>
      </c>
      <c r="B2991" s="331" t="s">
        <v>252</v>
      </c>
      <c r="C2991" s="1745">
        <v>100</v>
      </c>
      <c r="D2991" s="1745"/>
      <c r="E2991" s="1743"/>
      <c r="F2991" s="1742"/>
      <c r="G2991" s="78"/>
    </row>
    <row r="2992" spans="1:8" ht="12.75" hidden="1" customHeight="1" outlineLevel="1" x14ac:dyDescent="0.25">
      <c r="A2992" s="12" t="s">
        <v>2734</v>
      </c>
      <c r="B2992" s="12"/>
      <c r="C2992" s="1746"/>
      <c r="D2992" s="1747" t="s">
        <v>3702</v>
      </c>
      <c r="E2992" s="1748">
        <f>indexy!$B$2</f>
        <v>45379</v>
      </c>
      <c r="F2992" s="1749"/>
      <c r="G2992" s="78"/>
    </row>
    <row r="2993" spans="1:8" ht="12.75" hidden="1" customHeight="1" outlineLevel="1" x14ac:dyDescent="0.25">
      <c r="A2993" s="1704" t="s">
        <v>4156</v>
      </c>
      <c r="B2993" s="1704" t="s">
        <v>4153</v>
      </c>
      <c r="C2993" s="1629" t="s">
        <v>112</v>
      </c>
      <c r="D2993" s="1705" t="s">
        <v>4155</v>
      </c>
      <c r="E2993" s="1705" t="s">
        <v>4154</v>
      </c>
      <c r="F2993" s="1705" t="s">
        <v>2519</v>
      </c>
      <c r="G2993" s="78"/>
    </row>
    <row r="2994" spans="1:8" ht="12.75" hidden="1" customHeight="1" outlineLevel="1" x14ac:dyDescent="0.25">
      <c r="A2994" s="134">
        <v>0.08</v>
      </c>
      <c r="B2994" s="211" t="s">
        <v>2697</v>
      </c>
      <c r="C2994" s="472">
        <v>18.942499999999999</v>
      </c>
      <c r="D2994" s="1488">
        <f>VLOOKUP($H2994,indexy!$C$44:$D$823,2,FALSE)</f>
        <v>23.46</v>
      </c>
      <c r="E2994" s="1491">
        <f>$D2994/$C2994-1</f>
        <v>0.23848488847828975</v>
      </c>
      <c r="F2994" s="1492">
        <f>$E2994*$A2994</f>
        <v>1.9078791078263182E-2</v>
      </c>
      <c r="G2994" s="78"/>
      <c r="H2994" t="str">
        <f>VLOOKUP(B2994,indexy!$A$44:$D$823,3,FALSE)</f>
        <v>G IM Equity</v>
      </c>
    </row>
    <row r="2995" spans="1:8" ht="12.75" hidden="1" customHeight="1" outlineLevel="1" x14ac:dyDescent="0.25">
      <c r="A2995" s="135">
        <v>0.03</v>
      </c>
      <c r="B2995" s="211" t="s">
        <v>807</v>
      </c>
      <c r="C2995" s="472">
        <v>64.010999999999996</v>
      </c>
      <c r="D2995" s="1489">
        <f>VLOOKUP(H2995,indexy!$C$44:$D$823,2,FALSE)</f>
        <v>46.03</v>
      </c>
      <c r="E2995" s="1493">
        <f t="shared" ref="E2995:E3023" si="61">$D2995/$C2995-1</f>
        <v>-0.28090484447985498</v>
      </c>
      <c r="F2995" s="1494">
        <f t="shared" ref="F2995:F3022" si="62">$E2995*$A2995</f>
        <v>-8.4271453343956488E-3</v>
      </c>
      <c r="G2995" s="78"/>
      <c r="H2995" t="str">
        <f>VLOOKUP(B2995,indexy!$A$44:$D$823,3,FALSE)</f>
        <v>BCE CT Equity</v>
      </c>
    </row>
    <row r="2996" spans="1:8" ht="12.75" hidden="1" customHeight="1" outlineLevel="1" x14ac:dyDescent="0.25">
      <c r="A2996" s="135">
        <v>0.02</v>
      </c>
      <c r="B2996" s="211" t="s">
        <v>3954</v>
      </c>
      <c r="C2996" s="472">
        <f>114.964/2</f>
        <v>57.481999999999999</v>
      </c>
      <c r="D2996" s="1489">
        <f>VLOOKUP(H2996,indexy!$C$44:$D$823,2,FALSE)</f>
        <v>68.67</v>
      </c>
      <c r="E2996" s="1493">
        <f t="shared" si="61"/>
        <v>0.19463484221147498</v>
      </c>
      <c r="F2996" s="1494">
        <f t="shared" si="62"/>
        <v>3.8926968442294999E-3</v>
      </c>
      <c r="G2996" s="78"/>
      <c r="H2996" t="str">
        <f>VLOOKUP(B2996,indexy!$A$44:$D$823,3,FALSE)</f>
        <v>CM CT Equity</v>
      </c>
    </row>
    <row r="2997" spans="1:8" ht="12.75" hidden="1" customHeight="1" outlineLevel="1" x14ac:dyDescent="0.25">
      <c r="A2997" s="135">
        <v>0.02</v>
      </c>
      <c r="B2997" s="211" t="s">
        <v>951</v>
      </c>
      <c r="C2997" s="472">
        <v>3007.55</v>
      </c>
      <c r="D2997" s="1489">
        <f>VLOOKUP(H2997,indexy!$C$44:$D$823,2,FALSE)</f>
        <v>4501</v>
      </c>
      <c r="E2997" s="1493">
        <f t="shared" si="61"/>
        <v>0.49656697311765385</v>
      </c>
      <c r="F2997" s="1494">
        <f t="shared" si="62"/>
        <v>9.9313394623530768E-3</v>
      </c>
      <c r="G2997" s="78"/>
      <c r="H2997" t="str">
        <f>VLOOKUP(B2997,indexy!$A$44:$D$823,3,FALSE)</f>
        <v>7751 JT Equity</v>
      </c>
    </row>
    <row r="2998" spans="1:8" ht="12.75" hidden="1" customHeight="1" outlineLevel="1" x14ac:dyDescent="0.25">
      <c r="A2998" s="135">
        <v>0.05</v>
      </c>
      <c r="B2998" s="211" t="s">
        <v>8678</v>
      </c>
      <c r="C2998" s="472">
        <v>79.995999999999995</v>
      </c>
      <c r="D2998" s="1489">
        <f>VLOOKUP(H2998,indexy!$C$44:$D$823,2,FALSE)</f>
        <v>120.34</v>
      </c>
      <c r="E2998" s="1493">
        <f t="shared" si="61"/>
        <v>0.50432521626081317</v>
      </c>
      <c r="F2998" s="1494">
        <f t="shared" si="62"/>
        <v>2.521626081304066E-2</v>
      </c>
      <c r="G2998" s="78"/>
      <c r="H2998" t="str">
        <f>VLOOKUP(B2998,indexy!$A$44:$D$823,3,FALSE)</f>
        <v>CBA AT Equity</v>
      </c>
    </row>
    <row r="2999" spans="1:8" ht="12.75" hidden="1" customHeight="1" outlineLevel="1" x14ac:dyDescent="0.25">
      <c r="A2999" s="135">
        <v>0.02</v>
      </c>
      <c r="B2999" s="211" t="s">
        <v>2629</v>
      </c>
      <c r="C2999" s="472">
        <v>15.1654</v>
      </c>
      <c r="D2999" s="1489">
        <f>VLOOKUP(H2999,indexy!$C$44:$D$823,2,FALSE)</f>
        <v>22.5</v>
      </c>
      <c r="E2999" s="1493">
        <f t="shared" si="61"/>
        <v>0.48364039194482178</v>
      </c>
      <c r="F2999" s="1494">
        <f t="shared" si="62"/>
        <v>9.6728078388964352E-3</v>
      </c>
      <c r="G2999" s="78"/>
      <c r="H2999" t="str">
        <f>VLOOKUP(B2999,indexy!$A$44:$D$823,3,FALSE)</f>
        <v>DTE GY Equity</v>
      </c>
    </row>
    <row r="3000" spans="1:8" ht="12.75" hidden="1" customHeight="1" outlineLevel="1" x14ac:dyDescent="0.25">
      <c r="A3000" s="135">
        <v>0.02</v>
      </c>
      <c r="B3000" s="211" t="s">
        <v>9591</v>
      </c>
      <c r="C3000" s="472">
        <v>82.162000000000006</v>
      </c>
      <c r="D3000" s="1489">
        <f>VLOOKUP(H3000,indexy!$C$44:$D$823,2,FALSE)</f>
        <v>49.19</v>
      </c>
      <c r="E3000" s="1493">
        <f t="shared" si="61"/>
        <v>-0.40130473941724887</v>
      </c>
      <c r="F3000" s="1494">
        <f t="shared" si="62"/>
        <v>-8.0260947883449771E-3</v>
      </c>
      <c r="G3000" s="78"/>
      <c r="H3000" t="str">
        <f>VLOOKUP(B3000,indexy!$A$44:$D$823,3,FALSE)</f>
        <v>D UN Equity</v>
      </c>
    </row>
    <row r="3001" spans="1:8" ht="12.75" hidden="1" customHeight="1" outlineLevel="1" x14ac:dyDescent="0.25">
      <c r="A3001" s="135">
        <v>0.02</v>
      </c>
      <c r="B3001" s="211" t="s">
        <v>7855</v>
      </c>
      <c r="C3001" s="472">
        <v>50.305999999999997</v>
      </c>
      <c r="D3001" s="1489">
        <f>VLOOKUP(H3001,indexy!$C$44:$D$823,2,FALSE)</f>
        <v>48.95</v>
      </c>
      <c r="E3001" s="1493">
        <f t="shared" si="61"/>
        <v>-2.6955035184669685E-2</v>
      </c>
      <c r="F3001" s="1494">
        <f t="shared" si="62"/>
        <v>-5.3910070369339374E-4</v>
      </c>
      <c r="G3001" s="78"/>
      <c r="H3001" t="str">
        <f>VLOOKUP(B3001,indexy!$A$44:$D$823,3,FALSE)</f>
        <v>ENB CT Equity</v>
      </c>
    </row>
    <row r="3002" spans="1:8" ht="12.75" hidden="1" customHeight="1" outlineLevel="1" x14ac:dyDescent="0.25">
      <c r="A3002" s="135">
        <v>0.08</v>
      </c>
      <c r="B3002" s="211" t="s">
        <v>9171</v>
      </c>
      <c r="C3002" s="472">
        <v>24.045999999999999</v>
      </c>
      <c r="D3002" s="1489">
        <f>VLOOKUP(H3002,indexy!$C$44:$D$823,2,FALSE)</f>
        <v>17.164999999999999</v>
      </c>
      <c r="E3002" s="1493">
        <f t="shared" si="61"/>
        <v>-0.28615986026782003</v>
      </c>
      <c r="F3002" s="1494">
        <f t="shared" si="62"/>
        <v>-2.2892788821425602E-2</v>
      </c>
      <c r="G3002" s="78"/>
      <c r="H3002" t="str">
        <f>VLOOKUP(B3002,indexy!$A$44:$D$823,3,FALSE)</f>
        <v>ELE SQ Equity</v>
      </c>
    </row>
    <row r="3003" spans="1:8" ht="12.75" hidden="1" customHeight="1" outlineLevel="1" x14ac:dyDescent="0.25">
      <c r="A3003" s="135">
        <v>0.02</v>
      </c>
      <c r="B3003" s="211" t="s">
        <v>3798</v>
      </c>
      <c r="C3003" s="472">
        <v>6.8547000000000002</v>
      </c>
      <c r="D3003" s="1489">
        <f>VLOOKUP(H3003,indexy!$C$44:$D$823,2,FALSE)</f>
        <v>6.1189999999999998</v>
      </c>
      <c r="E3003" s="1493">
        <f t="shared" si="61"/>
        <v>-0.10732781886880538</v>
      </c>
      <c r="F3003" s="1494">
        <f t="shared" si="62"/>
        <v>-2.1465563773761078E-3</v>
      </c>
      <c r="G3003" s="78"/>
      <c r="H3003" t="str">
        <f>VLOOKUP(B3003,indexy!$A$44:$D$823,3,FALSE)</f>
        <v>ENEL IM Equity</v>
      </c>
    </row>
    <row r="3004" spans="1:8" ht="12.75" hidden="1" customHeight="1" outlineLevel="1" x14ac:dyDescent="0.25">
      <c r="A3004" s="135">
        <v>0.02</v>
      </c>
      <c r="B3004" s="211" t="s">
        <v>2701</v>
      </c>
      <c r="C3004" s="472">
        <v>3.6956000000000002</v>
      </c>
      <c r="D3004" s="1489">
        <f>VLOOKUP(H3004,indexy!$C$44:$D$823,2,FALSE)</f>
        <v>3.61</v>
      </c>
      <c r="E3004" s="1493">
        <f t="shared" si="61"/>
        <v>-2.3162679943716902E-2</v>
      </c>
      <c r="F3004" s="1494">
        <f t="shared" si="62"/>
        <v>-4.6325359887433804E-4</v>
      </c>
      <c r="G3004" s="78"/>
      <c r="H3004" t="str">
        <f>VLOOKUP(B3004,indexy!$A$44:$D$823,3,FALSE)</f>
        <v>EDP PL Equity</v>
      </c>
    </row>
    <row r="3005" spans="1:8" ht="12.75" hidden="1" customHeight="1" outlineLevel="1" x14ac:dyDescent="0.25">
      <c r="A3005" s="135">
        <v>0.02</v>
      </c>
      <c r="B3005" s="211" t="s">
        <v>4338</v>
      </c>
      <c r="C3005" s="472">
        <v>14.234500000000001</v>
      </c>
      <c r="D3005" s="1489">
        <f>VLOOKUP(H3005,indexy!$C$44:$D$823,2,FALSE)</f>
        <v>15.51</v>
      </c>
      <c r="E3005" s="1493">
        <f t="shared" si="61"/>
        <v>8.960623836453685E-2</v>
      </c>
      <c r="F3005" s="1494">
        <f t="shared" si="62"/>
        <v>1.792124767290737E-3</v>
      </c>
      <c r="G3005" s="78"/>
      <c r="H3005" t="str">
        <f>VLOOKUP(B3005,indexy!$A$44:$D$823,3,FALSE)</f>
        <v>ENGI FP Equity</v>
      </c>
    </row>
    <row r="3006" spans="1:8" ht="12.75" hidden="1" customHeight="1" outlineLevel="1" x14ac:dyDescent="0.25">
      <c r="A3006" s="135">
        <v>0.02</v>
      </c>
      <c r="B3006" s="211" t="s">
        <v>3021</v>
      </c>
      <c r="C3006" s="490">
        <v>14.097</v>
      </c>
      <c r="D3006" s="1489">
        <f>VLOOKUP(H3006,indexy!$C$44:$D$823,2,FALSE)</f>
        <v>14.648</v>
      </c>
      <c r="E3006" s="1493">
        <f t="shared" si="61"/>
        <v>3.9086330424913163E-2</v>
      </c>
      <c r="F3006" s="1494">
        <f t="shared" si="62"/>
        <v>7.8172660849826323E-4</v>
      </c>
      <c r="G3006" s="78"/>
      <c r="H3006" t="str">
        <f>VLOOKUP(B3006,indexy!$A$44:$D$823,3,FALSE)</f>
        <v>ENI IM Equity</v>
      </c>
    </row>
    <row r="3007" spans="1:8" ht="12.75" hidden="1" customHeight="1" outlineLevel="1" x14ac:dyDescent="0.25">
      <c r="A3007" s="135">
        <v>0.02</v>
      </c>
      <c r="B3007" s="211" t="s">
        <v>3799</v>
      </c>
      <c r="C3007" s="472">
        <v>17.140999999999998</v>
      </c>
      <c r="D3007" s="1489">
        <f>VLOOKUP(H3007,indexy!$C$44:$D$823,2,FALSE)/100</f>
        <v>17.085999999999999</v>
      </c>
      <c r="E3007" s="1493">
        <f t="shared" si="61"/>
        <v>-3.208680940435249E-3</v>
      </c>
      <c r="F3007" s="1494">
        <f t="shared" si="62"/>
        <v>-6.4173618808704985E-5</v>
      </c>
      <c r="G3007" s="78"/>
      <c r="H3007" t="str">
        <f>VLOOKUP(B3007,indexy!$A$44:$D$823,3,FALSE)</f>
        <v>GSK LN Equity</v>
      </c>
    </row>
    <row r="3008" spans="1:8" ht="12.75" hidden="1" customHeight="1" outlineLevel="1" x14ac:dyDescent="0.25">
      <c r="A3008" s="135">
        <v>0.02</v>
      </c>
      <c r="B3008" s="211" t="s">
        <v>8768</v>
      </c>
      <c r="C3008" s="472">
        <v>136.20099999999999</v>
      </c>
      <c r="D3008" s="1489">
        <f>VLOOKUP(H3008,indexy!$C$44:$D$823,2,FALSE)</f>
        <v>199.7</v>
      </c>
      <c r="E3008" s="1493">
        <f t="shared" si="61"/>
        <v>0.46621537286804071</v>
      </c>
      <c r="F3008" s="1494">
        <f t="shared" si="62"/>
        <v>9.3243074573608146E-3</v>
      </c>
      <c r="G3008" s="78"/>
      <c r="H3008" t="str">
        <f>VLOOKUP(B3008,indexy!$A$44:$D$823,3,FALSE)</f>
        <v>MQG AT Equity</v>
      </c>
    </row>
    <row r="3009" spans="1:8" ht="12.75" hidden="1" customHeight="1" outlineLevel="1" x14ac:dyDescent="0.25">
      <c r="A3009" s="135">
        <v>0.03</v>
      </c>
      <c r="B3009" s="211" t="s">
        <v>9767</v>
      </c>
      <c r="C3009" s="472">
        <v>23.771999999999998</v>
      </c>
      <c r="D3009" s="1489">
        <f>VLOOKUP(H3009,indexy!$C$44:$D$823,2,FALSE)</f>
        <v>20.100000000000001</v>
      </c>
      <c r="E3009" s="1493">
        <f t="shared" si="61"/>
        <v>-0.15446744068652185</v>
      </c>
      <c r="F3009" s="1494">
        <f t="shared" si="62"/>
        <v>-4.6340232205956556E-3</v>
      </c>
      <c r="G3009" s="78"/>
      <c r="H3009" t="str">
        <f>VLOOKUP(B3009,indexy!$A$44:$D$823,3,FALSE)</f>
        <v>NTGY SQ Equity</v>
      </c>
    </row>
    <row r="3010" spans="1:8" ht="12.75" hidden="1" customHeight="1" outlineLevel="1" x14ac:dyDescent="0.25">
      <c r="A3010" s="135">
        <v>0.08</v>
      </c>
      <c r="B3010" s="211" t="s">
        <v>5824</v>
      </c>
      <c r="C3010" s="472">
        <v>14.628500000000001</v>
      </c>
      <c r="D3010" s="1489">
        <f>VLOOKUP(H3010,indexy!$C$44:$D$823,2,FALSE)</f>
        <v>10.888</v>
      </c>
      <c r="E3010" s="1493">
        <f t="shared" si="61"/>
        <v>-0.25569949072016962</v>
      </c>
      <c r="F3010" s="1494">
        <f t="shared" si="62"/>
        <v>-2.0455959257613569E-2</v>
      </c>
      <c r="G3010" s="78"/>
      <c r="H3010" t="str">
        <f>VLOOKUP(B3010,indexy!$A$44:$D$823,3,FALSE)</f>
        <v>ORA FP Equity</v>
      </c>
    </row>
    <row r="3011" spans="1:8" ht="12.75" hidden="1" customHeight="1" outlineLevel="1" x14ac:dyDescent="0.25">
      <c r="A3011" s="135">
        <v>0.02</v>
      </c>
      <c r="B3011" s="211" t="s">
        <v>9516</v>
      </c>
      <c r="C3011" s="472">
        <v>47.616999999999997</v>
      </c>
      <c r="D3011" s="1489">
        <f>VLOOKUP(H3011,indexy!$C$44:$D$823,2,FALSE)</f>
        <v>47.81</v>
      </c>
      <c r="E3011" s="1493">
        <f t="shared" si="61"/>
        <v>4.053174286494432E-3</v>
      </c>
      <c r="F3011" s="1494">
        <f t="shared" si="62"/>
        <v>8.1063485729888636E-5</v>
      </c>
      <c r="G3011" s="78"/>
      <c r="H3011" t="str">
        <f>VLOOKUP(B3011,indexy!$A$44:$D$823,3,FALSE)</f>
        <v>PPL CT Equity</v>
      </c>
    </row>
    <row r="3012" spans="1:8" ht="12.75" hidden="1" customHeight="1" outlineLevel="1" x14ac:dyDescent="0.25">
      <c r="A3012" s="135">
        <v>0.02</v>
      </c>
      <c r="B3012" s="211" t="s">
        <v>2769</v>
      </c>
      <c r="C3012" s="472">
        <v>33.741999999999997</v>
      </c>
      <c r="D3012" s="1489">
        <f>VLOOKUP(H3012,indexy!$C$44:$D$823,2,FALSE)</f>
        <v>27.53</v>
      </c>
      <c r="E3012" s="1493">
        <f t="shared" si="61"/>
        <v>-0.1841028984648212</v>
      </c>
      <c r="F3012" s="1494">
        <f t="shared" si="62"/>
        <v>-3.6820579692964238E-3</v>
      </c>
      <c r="G3012" s="78"/>
      <c r="H3012" t="str">
        <f>VLOOKUP(B3012,indexy!$A$44:$D$823,3,FALSE)</f>
        <v>PPL UN Equity</v>
      </c>
    </row>
    <row r="3013" spans="1:8" ht="12.75" hidden="1" customHeight="1" outlineLevel="1" x14ac:dyDescent="0.25">
      <c r="A3013" s="135">
        <v>0.02</v>
      </c>
      <c r="B3013" s="211" t="s">
        <v>5205</v>
      </c>
      <c r="C3013" s="472">
        <v>22.95</v>
      </c>
      <c r="D3013" s="1489">
        <f>VLOOKUP(H3013,indexy!$C$44:$D$823,2,FALSE)/100</f>
        <v>18.952000000000002</v>
      </c>
      <c r="E3013" s="1493">
        <f t="shared" si="61"/>
        <v>-0.17420479302832237</v>
      </c>
      <c r="F3013" s="1494">
        <f t="shared" si="62"/>
        <v>-3.4840958605664475E-3</v>
      </c>
      <c r="G3013" s="78"/>
      <c r="H3013" t="str">
        <f>VLOOKUP(B3013,indexy!$A$44:$D$823,3,FALSE)</f>
        <v>RDSA LN Equity</v>
      </c>
    </row>
    <row r="3014" spans="1:8" ht="12.75" hidden="1" customHeight="1" outlineLevel="1" x14ac:dyDescent="0.25">
      <c r="A3014" s="135">
        <v>0.06</v>
      </c>
      <c r="B3014" s="211" t="s">
        <v>6116</v>
      </c>
      <c r="C3014" s="472">
        <v>4.5777000000000001</v>
      </c>
      <c r="D3014" s="1489">
        <f>VLOOKUP(H3014,indexy!$C$44:$D$823,2,FALSE)</f>
        <v>4.3760000000000003</v>
      </c>
      <c r="E3014" s="1493">
        <f t="shared" si="61"/>
        <v>-4.4061428228149402E-2</v>
      </c>
      <c r="F3014" s="1494">
        <f t="shared" si="62"/>
        <v>-2.6436856936889641E-3</v>
      </c>
      <c r="G3014" s="78"/>
      <c r="H3014" t="str">
        <f>VLOOKUP(B3014,indexy!$A$44:$D$823,3,FALSE)</f>
        <v>SRG IM Equity</v>
      </c>
    </row>
    <row r="3015" spans="1:8" ht="12.75" hidden="1" customHeight="1" outlineLevel="1" x14ac:dyDescent="0.25">
      <c r="A3015" s="135">
        <v>0.02</v>
      </c>
      <c r="B3015" s="211" t="s">
        <v>6527</v>
      </c>
      <c r="C3015" s="472">
        <v>95.197999999999993</v>
      </c>
      <c r="D3015" s="1489">
        <f>VLOOKUP(H3015,indexy!$C$44:$D$823,2,FALSE)</f>
        <v>108.25</v>
      </c>
      <c r="E3015" s="1493">
        <f t="shared" si="61"/>
        <v>0.13710372066640053</v>
      </c>
      <c r="F3015" s="1494">
        <f t="shared" si="62"/>
        <v>2.7420744133280109E-3</v>
      </c>
      <c r="G3015" s="78"/>
      <c r="H3015" t="str">
        <f>VLOOKUP(B3015,indexy!$A$44:$D$823,3,FALSE)</f>
        <v>SHBA SS Equity</v>
      </c>
    </row>
    <row r="3016" spans="1:8" ht="12.75" hidden="1" customHeight="1" outlineLevel="1" x14ac:dyDescent="0.25">
      <c r="A3016" s="135">
        <v>0.05</v>
      </c>
      <c r="B3016" s="211" t="s">
        <v>6118</v>
      </c>
      <c r="C3016" s="472">
        <v>106.08</v>
      </c>
      <c r="D3016" s="1489">
        <f>VLOOKUP(H3016,indexy!$C$44:$D$823,2,FALSE)</f>
        <v>115.95</v>
      </c>
      <c r="E3016" s="1493">
        <f t="shared" si="61"/>
        <v>9.304298642533948E-2</v>
      </c>
      <c r="F3016" s="1494">
        <f t="shared" si="62"/>
        <v>4.6521493212669743E-3</v>
      </c>
      <c r="G3016" s="78"/>
      <c r="H3016" t="str">
        <f>VLOOKUP(B3016,indexy!$A$44:$D$823,3,FALSE)</f>
        <v>SREN SE Equity</v>
      </c>
    </row>
    <row r="3017" spans="1:8" ht="12.75" hidden="1" customHeight="1" outlineLevel="1" x14ac:dyDescent="0.25">
      <c r="A3017" s="135">
        <v>0.02</v>
      </c>
      <c r="B3017" s="211" t="s">
        <v>8530</v>
      </c>
      <c r="C3017" s="472">
        <v>8.9</v>
      </c>
      <c r="D3017" s="1489">
        <f>VLOOKUP(H3017,indexy!$C$44:$D$823,2,FALSE)</f>
        <v>8.7200000000000006</v>
      </c>
      <c r="E3017" s="1493">
        <f t="shared" si="61"/>
        <v>-2.0224719101123556E-2</v>
      </c>
      <c r="F3017" s="1494">
        <f t="shared" si="62"/>
        <v>-4.0449438202247115E-4</v>
      </c>
      <c r="G3017" s="78"/>
      <c r="H3017" t="str">
        <f>VLOOKUP(B3017,indexy!$A$44:$D$823,3,FALSE)</f>
        <v>SYD AT Equity</v>
      </c>
    </row>
    <row r="3018" spans="1:8" ht="12.75" hidden="1" customHeight="1" outlineLevel="1" x14ac:dyDescent="0.25">
      <c r="A3018" s="135">
        <v>0.03</v>
      </c>
      <c r="B3018" s="211" t="s">
        <v>434</v>
      </c>
      <c r="C3018" s="472">
        <v>42.180999999999997</v>
      </c>
      <c r="D3018" s="1489">
        <f>VLOOKUP(H3018,indexy!$C$44:$D$823,2,FALSE)</f>
        <v>27.43</v>
      </c>
      <c r="E3018" s="1493">
        <f t="shared" si="61"/>
        <v>-0.34970721414855022</v>
      </c>
      <c r="F3018" s="1494">
        <f t="shared" si="62"/>
        <v>-1.0491216424456506E-2</v>
      </c>
      <c r="G3018" s="78"/>
      <c r="H3018" t="str">
        <f>VLOOKUP(B3018,indexy!$A$44:$D$823,3,FALSE)</f>
        <v>TELIA SS Equity</v>
      </c>
    </row>
    <row r="3019" spans="1:8" ht="12.75" hidden="1" customHeight="1" outlineLevel="1" x14ac:dyDescent="0.25">
      <c r="A3019" s="135">
        <v>0.02</v>
      </c>
      <c r="B3019" s="211" t="s">
        <v>3665</v>
      </c>
      <c r="C3019" s="472">
        <f>50.124/2</f>
        <v>25.062000000000001</v>
      </c>
      <c r="D3019" s="1489">
        <f>VLOOKUP(H3019,indexy!$C$44:$D$823,2,FALSE)</f>
        <v>21.67</v>
      </c>
      <c r="E3019" s="1493">
        <f t="shared" si="61"/>
        <v>-0.13534434602186574</v>
      </c>
      <c r="F3019" s="1494">
        <f t="shared" si="62"/>
        <v>-2.7068869204373148E-3</v>
      </c>
      <c r="G3019" s="78"/>
      <c r="H3019" t="str">
        <f>VLOOKUP(B3019,indexy!$A$44:$D$823,3,FALSE)</f>
        <v>T CT Equity</v>
      </c>
    </row>
    <row r="3020" spans="1:8" ht="12.75" hidden="1" customHeight="1" outlineLevel="1" x14ac:dyDescent="0.25">
      <c r="A3020" s="135">
        <v>0.02</v>
      </c>
      <c r="B3020" s="211" t="s">
        <v>10633</v>
      </c>
      <c r="C3020" s="472">
        <v>49.075000000000003</v>
      </c>
      <c r="D3020" s="1489">
        <f>VLOOKUP(H3020,indexy!$C$44:$D$823,2,FALSE)</f>
        <v>63.47</v>
      </c>
      <c r="E3020" s="1493">
        <f t="shared" si="61"/>
        <v>0.29332654100866007</v>
      </c>
      <c r="F3020" s="1494">
        <f t="shared" si="62"/>
        <v>5.8665308201732019E-3</v>
      </c>
      <c r="G3020" s="78"/>
      <c r="H3020" t="str">
        <f>VLOOKUP(B3020,indexy!$A$44:$D$823,3,FALSE)</f>
        <v>TTE FP Equity</v>
      </c>
    </row>
    <row r="3021" spans="1:8" ht="12.75" hidden="1" customHeight="1" outlineLevel="1" x14ac:dyDescent="0.25">
      <c r="A3021" s="135">
        <v>0.05</v>
      </c>
      <c r="B3021" s="211" t="s">
        <v>5626</v>
      </c>
      <c r="C3021" s="472">
        <v>25.948</v>
      </c>
      <c r="D3021" s="1489">
        <f>VLOOKUP(H3021,indexy!$C$44:$D$823,2,FALSE)</f>
        <v>26.1</v>
      </c>
      <c r="E3021" s="1493">
        <f t="shared" si="61"/>
        <v>5.8578695853246376E-3</v>
      </c>
      <c r="F3021" s="1494">
        <f t="shared" si="62"/>
        <v>2.9289347926623191E-4</v>
      </c>
      <c r="G3021" s="78"/>
      <c r="H3021" t="str">
        <f>VLOOKUP(B3021,indexy!$A$44:$D$823,3,FALSE)</f>
        <v>WBC AT Equity</v>
      </c>
    </row>
    <row r="3022" spans="1:8" ht="12.75" hidden="1" customHeight="1" outlineLevel="1" x14ac:dyDescent="0.25">
      <c r="A3022" s="135">
        <v>0.02</v>
      </c>
      <c r="B3022" s="211" t="s">
        <v>10003</v>
      </c>
      <c r="C3022" s="472">
        <v>84.608000000000004</v>
      </c>
      <c r="D3022" s="1489">
        <f>VLOOKUP(H3022,indexy!$C$44:$D$823,2,FALSE)</f>
        <v>56.44</v>
      </c>
      <c r="E3022" s="1493">
        <f t="shared" si="61"/>
        <v>-0.33292360060514381</v>
      </c>
      <c r="F3022" s="1494">
        <f t="shared" si="62"/>
        <v>-6.6584720121028763E-3</v>
      </c>
      <c r="G3022" s="78"/>
      <c r="H3022" t="str">
        <f>VLOOKUP(B3022,indexy!$A$44:$D$823,3,FALSE)</f>
        <v>WPC UN Equity</v>
      </c>
    </row>
    <row r="3023" spans="1:8" ht="12.75" hidden="1" customHeight="1" outlineLevel="1" x14ac:dyDescent="0.25">
      <c r="A3023" s="135">
        <v>0.08</v>
      </c>
      <c r="B3023" s="1465" t="s">
        <v>4550</v>
      </c>
      <c r="C3023" s="472">
        <v>390.03</v>
      </c>
      <c r="D3023" s="1490">
        <f>VLOOKUP(H3023,indexy!$C$44:$D$823,2,FALSE)</f>
        <v>486.3</v>
      </c>
      <c r="E3023" s="1495">
        <f t="shared" si="61"/>
        <v>0.24682716714098918</v>
      </c>
      <c r="F3023" s="1496">
        <f>$E3023*$A3023</f>
        <v>1.9746173371279135E-2</v>
      </c>
      <c r="G3023" s="78"/>
      <c r="H3023" t="str">
        <f>VLOOKUP(B3023,indexy!$A$44:$D$823,3,FALSE)</f>
        <v>ZURN SE Equity</v>
      </c>
    </row>
    <row r="3024" spans="1:8" ht="12.75" hidden="1" customHeight="1" outlineLevel="1" x14ac:dyDescent="0.25">
      <c r="A3024" s="1475" t="s">
        <v>2734</v>
      </c>
      <c r="B3024" s="150"/>
      <c r="C3024" s="1476"/>
      <c r="D3024" s="1477"/>
      <c r="E3024" s="512"/>
      <c r="F3024" s="512">
        <f>SUM(F2994:F3023)</f>
        <v>1.5350934777277111E-2</v>
      </c>
      <c r="G3024" s="78"/>
    </row>
    <row r="3025" spans="1:18" ht="12.75" hidden="1" customHeight="1" outlineLevel="1" x14ac:dyDescent="0.25">
      <c r="A3025" s="221" t="s">
        <v>10233</v>
      </c>
      <c r="B3025" s="1478">
        <v>45323</v>
      </c>
      <c r="C3025" s="1497">
        <v>100</v>
      </c>
      <c r="D3025" s="1497"/>
      <c r="E3025" s="1498">
        <f>IF(D3025="",F3024,D3025/C3025-1)</f>
        <v>1.5350934777277111E-2</v>
      </c>
      <c r="F3025" s="1499"/>
      <c r="G3025" s="78"/>
    </row>
    <row r="3026" spans="1:18" ht="12.75" hidden="1" customHeight="1" outlineLevel="1" x14ac:dyDescent="0.25">
      <c r="A3026" s="221" t="s">
        <v>10234</v>
      </c>
      <c r="B3026" s="1478">
        <v>45352</v>
      </c>
      <c r="C3026" s="1497">
        <v>100</v>
      </c>
      <c r="D3026" s="1500"/>
      <c r="E3026" s="1498">
        <f>IF(D3026="",E3025,D3026/C3026-1)</f>
        <v>1.5350934777277111E-2</v>
      </c>
      <c r="F3026" s="1499"/>
      <c r="G3026" s="78"/>
    </row>
    <row r="3027" spans="1:18" ht="12.75" hidden="1" customHeight="1" outlineLevel="1" x14ac:dyDescent="0.25">
      <c r="A3027" s="221" t="s">
        <v>10235</v>
      </c>
      <c r="B3027" s="1478">
        <v>45383</v>
      </c>
      <c r="C3027" s="1497">
        <v>100</v>
      </c>
      <c r="D3027" s="1500"/>
      <c r="E3027" s="1498">
        <f>IF(D3027="",E3026,D3027/C3027-1)</f>
        <v>1.5350934777277111E-2</v>
      </c>
      <c r="F3027" s="1499"/>
      <c r="G3027" s="78"/>
    </row>
    <row r="3028" spans="1:18" ht="12.75" hidden="1" customHeight="1" outlineLevel="1" x14ac:dyDescent="0.25">
      <c r="A3028" s="221" t="s">
        <v>10236</v>
      </c>
      <c r="B3028" s="1478">
        <v>45413</v>
      </c>
      <c r="C3028" s="1497">
        <v>100</v>
      </c>
      <c r="D3028" s="1500"/>
      <c r="E3028" s="1498">
        <f>IF(D3028="",E3027,D3028/C3028-1)</f>
        <v>1.5350934777277111E-2</v>
      </c>
      <c r="F3028" s="1499"/>
      <c r="G3028" s="78"/>
    </row>
    <row r="3029" spans="1:18" ht="12.75" hidden="1" customHeight="1" outlineLevel="1" x14ac:dyDescent="0.25">
      <c r="A3029" s="221" t="s">
        <v>10237</v>
      </c>
      <c r="B3029" s="1478">
        <v>45444</v>
      </c>
      <c r="C3029" s="1497">
        <v>100</v>
      </c>
      <c r="D3029" s="1500"/>
      <c r="E3029" s="1498">
        <f t="shared" ref="E3029:E3034" si="63">IF(D3029="",E3028,D3029/C3029-1)</f>
        <v>1.5350934777277111E-2</v>
      </c>
      <c r="F3029" s="1499"/>
      <c r="G3029" s="78"/>
    </row>
    <row r="3030" spans="1:18" ht="12.75" hidden="1" customHeight="1" outlineLevel="1" x14ac:dyDescent="0.25">
      <c r="A3030" s="221" t="s">
        <v>10238</v>
      </c>
      <c r="B3030" s="1478">
        <v>45474</v>
      </c>
      <c r="C3030" s="1497">
        <v>100</v>
      </c>
      <c r="D3030" s="1500"/>
      <c r="E3030" s="1498">
        <f t="shared" si="63"/>
        <v>1.5350934777277111E-2</v>
      </c>
      <c r="F3030" s="1499"/>
      <c r="G3030" s="78"/>
    </row>
    <row r="3031" spans="1:18" ht="12.75" hidden="1" customHeight="1" outlineLevel="1" x14ac:dyDescent="0.25">
      <c r="A3031" s="221" t="s">
        <v>10239</v>
      </c>
      <c r="B3031" s="1478">
        <v>45505</v>
      </c>
      <c r="C3031" s="1497">
        <v>100</v>
      </c>
      <c r="D3031" s="1500"/>
      <c r="E3031" s="1498">
        <f t="shared" si="63"/>
        <v>1.5350934777277111E-2</v>
      </c>
      <c r="F3031" s="1499"/>
      <c r="G3031" s="78"/>
    </row>
    <row r="3032" spans="1:18" ht="12.75" hidden="1" customHeight="1" outlineLevel="1" x14ac:dyDescent="0.25">
      <c r="A3032" s="221" t="s">
        <v>10240</v>
      </c>
      <c r="B3032" s="1478">
        <v>45536</v>
      </c>
      <c r="C3032" s="1497">
        <v>100</v>
      </c>
      <c r="D3032" s="1500"/>
      <c r="E3032" s="1498">
        <f t="shared" si="63"/>
        <v>1.5350934777277111E-2</v>
      </c>
      <c r="F3032" s="1499"/>
      <c r="G3032" s="78"/>
    </row>
    <row r="3033" spans="1:18" ht="12.75" hidden="1" customHeight="1" outlineLevel="1" x14ac:dyDescent="0.25">
      <c r="A3033" s="221" t="s">
        <v>10241</v>
      </c>
      <c r="B3033" s="1478">
        <v>45566</v>
      </c>
      <c r="C3033" s="1497">
        <v>100</v>
      </c>
      <c r="D3033" s="1500"/>
      <c r="E3033" s="1498">
        <f t="shared" si="63"/>
        <v>1.5350934777277111E-2</v>
      </c>
      <c r="F3033" s="1499"/>
      <c r="G3033" s="78"/>
    </row>
    <row r="3034" spans="1:18" ht="12.75" hidden="1" customHeight="1" outlineLevel="1" x14ac:dyDescent="0.25">
      <c r="A3034" s="221" t="s">
        <v>10242</v>
      </c>
      <c r="B3034" s="1478">
        <v>45597</v>
      </c>
      <c r="C3034" s="1497">
        <v>100</v>
      </c>
      <c r="D3034" s="1500"/>
      <c r="E3034" s="1498">
        <f t="shared" si="63"/>
        <v>1.5350934777277111E-2</v>
      </c>
      <c r="F3034" s="1499"/>
      <c r="G3034" s="78"/>
    </row>
    <row r="3035" spans="1:18" ht="12.75" hidden="1" customHeight="1" outlineLevel="1" x14ac:dyDescent="0.25">
      <c r="A3035" s="221" t="s">
        <v>10243</v>
      </c>
      <c r="B3035" s="1478">
        <v>45627</v>
      </c>
      <c r="C3035" s="1497">
        <v>100</v>
      </c>
      <c r="D3035" s="1500"/>
      <c r="E3035" s="1498">
        <f>IF(D3035="",E3028,D3035/C3035-1)</f>
        <v>1.5350934777277111E-2</v>
      </c>
      <c r="F3035" s="1499"/>
      <c r="G3035" s="78"/>
    </row>
    <row r="3036" spans="1:18" ht="12.75" hidden="1" customHeight="1" outlineLevel="1" x14ac:dyDescent="0.25">
      <c r="A3036" s="221" t="s">
        <v>10244</v>
      </c>
      <c r="B3036" s="1478">
        <v>45658</v>
      </c>
      <c r="C3036" s="1497">
        <v>100</v>
      </c>
      <c r="D3036" s="1500"/>
      <c r="E3036" s="1498">
        <f>IF(D3036="",E3035,D3036/C3036-1)</f>
        <v>1.5350934777277111E-2</v>
      </c>
      <c r="F3036" s="1499"/>
      <c r="G3036" s="78"/>
    </row>
    <row r="3037" spans="1:18" ht="12.75" hidden="1" customHeight="1" outlineLevel="1" x14ac:dyDescent="0.25">
      <c r="A3037" s="1531" t="s">
        <v>2734</v>
      </c>
      <c r="B3037" s="1532"/>
      <c r="C3037" s="1530"/>
      <c r="D3037" s="1533" t="s">
        <v>2465</v>
      </c>
      <c r="E3037" s="1534">
        <f>AVERAGE(E3025:E3036)</f>
        <v>1.5350934777277113E-2</v>
      </c>
      <c r="F3037" s="1535">
        <f>E3037</f>
        <v>1.5350934777277113E-2</v>
      </c>
      <c r="G3037" s="78"/>
    </row>
    <row r="3038" spans="1:18" collapsed="1" x14ac:dyDescent="0.25">
      <c r="A3038" s="3799" t="s">
        <v>10116</v>
      </c>
      <c r="B3038" s="3800"/>
      <c r="C3038" s="3800"/>
      <c r="D3038" s="3800"/>
      <c r="E3038" s="18"/>
      <c r="F3038" s="186">
        <f>IF(F3037&lt;-10%,-10%,MIN(F3037,45%))</f>
        <v>1.5350934777277113E-2</v>
      </c>
      <c r="G3038" s="78"/>
    </row>
    <row r="3040" spans="1:18" ht="12.75" hidden="1" customHeight="1" outlineLevel="1" x14ac:dyDescent="0.25">
      <c r="A3040" s="2606" t="s">
        <v>4156</v>
      </c>
      <c r="B3040" s="2606" t="s">
        <v>4153</v>
      </c>
      <c r="C3040" s="2245" t="s">
        <v>112</v>
      </c>
      <c r="D3040" s="2608" t="s">
        <v>4155</v>
      </c>
      <c r="E3040" s="2606" t="s">
        <v>4154</v>
      </c>
      <c r="F3040" s="2608" t="s">
        <v>2519</v>
      </c>
      <c r="G3040" s="12"/>
      <c r="H3040" s="415"/>
      <c r="I3040" s="412" t="s">
        <v>6964</v>
      </c>
      <c r="J3040" s="1462">
        <v>43831</v>
      </c>
      <c r="K3040" s="1462">
        <v>43862</v>
      </c>
      <c r="L3040" s="1462">
        <v>43891</v>
      </c>
      <c r="M3040" s="1462"/>
      <c r="N3040" s="1462"/>
      <c r="O3040" s="1462"/>
      <c r="P3040" s="1462"/>
      <c r="Q3040" s="1462"/>
      <c r="R3040" s="1462"/>
    </row>
    <row r="3041" spans="1:12" ht="12.75" hidden="1" customHeight="1" outlineLevel="1" x14ac:dyDescent="0.3">
      <c r="A3041" s="2034">
        <v>0.04</v>
      </c>
      <c r="B3041" s="151" t="s">
        <v>218</v>
      </c>
      <c r="C3041" s="454">
        <v>24.906500000000001</v>
      </c>
      <c r="D3041" s="2737">
        <f>VLOOKUP(H3041,indexy!$C$44:$D$823,2,FALSE)</f>
        <v>34.814999999999998</v>
      </c>
      <c r="E3041" s="1466">
        <f>D3041/C3041-1</f>
        <v>0.39782787625720184</v>
      </c>
      <c r="F3041" s="1492">
        <f>E3041*A3041</f>
        <v>1.5913115050288074E-2</v>
      </c>
      <c r="G3041" s="415"/>
      <c r="H3041" s="415" t="str">
        <f>VLOOKUP(B3041,indexy!$A$44:$D$823,3,FALSE)</f>
        <v>CS FP Equity</v>
      </c>
      <c r="I3041" s="412">
        <f>IF(J3041="",100,MIN(100,J3041:Y3041))</f>
        <v>90.246899999999997</v>
      </c>
      <c r="J3041" s="2913">
        <v>101.2124</v>
      </c>
      <c r="K3041" s="2913">
        <v>98.251300000000001</v>
      </c>
      <c r="L3041" s="2913">
        <v>90.246899999999997</v>
      </c>
    </row>
    <row r="3042" spans="1:12" ht="12.75" hidden="1" customHeight="1" outlineLevel="1" x14ac:dyDescent="0.25">
      <c r="A3042" s="1911">
        <v>0.02</v>
      </c>
      <c r="B3042" s="151" t="s">
        <v>1188</v>
      </c>
      <c r="C3042" s="410">
        <v>4.7305000000000001</v>
      </c>
      <c r="D3042" s="2738">
        <f>VLOOKUP(H3042,indexy!$C$44:$D$823,2,FALSE)/100</f>
        <v>4.9569999999999999</v>
      </c>
      <c r="E3042" s="1463">
        <f>D3042/C3042-1</f>
        <v>4.788077370256838E-2</v>
      </c>
      <c r="F3042" s="1494">
        <f t="shared" ref="F3042:F3065" si="64">E3042*A3042</f>
        <v>9.5761547405136759E-4</v>
      </c>
      <c r="G3042" s="415"/>
      <c r="H3042" s="415" t="str">
        <f>VLOOKUP(B3042,indexy!$A$44:$D$823,3,FALSE)</f>
        <v>BP/ LN Equity</v>
      </c>
      <c r="I3042" s="422">
        <f>+(((E3084*100)+100)-I3041)/100</f>
        <v>0.20760421576441687</v>
      </c>
    </row>
    <row r="3043" spans="1:12" ht="12.75" hidden="1" customHeight="1" outlineLevel="1" x14ac:dyDescent="0.25">
      <c r="A3043" s="1911">
        <v>0.02</v>
      </c>
      <c r="B3043" s="151" t="s">
        <v>6444</v>
      </c>
      <c r="C3043" s="410">
        <v>33.26</v>
      </c>
      <c r="D3043" s="2738">
        <f>VLOOKUP(H3043,indexy!$C$44:$D$823,2,FALSE)/100</f>
        <v>11.695</v>
      </c>
      <c r="E3043" s="1463">
        <f t="shared" ref="E3043:E3070" si="65">D3043/C3043-1</f>
        <v>-0.64837642814191221</v>
      </c>
      <c r="F3043" s="1494">
        <f t="shared" si="64"/>
        <v>-1.2967528562838244E-2</v>
      </c>
      <c r="G3043" s="415"/>
      <c r="H3043" s="415" t="str">
        <f>VLOOKUP(B3043,indexy!$A$44:$D$823,3,FALSE)</f>
        <v>CCL LN Equity</v>
      </c>
      <c r="J3043" s="434"/>
    </row>
    <row r="3044" spans="1:12" ht="12.75" hidden="1" customHeight="1" outlineLevel="1" x14ac:dyDescent="0.25">
      <c r="A3044" s="1911">
        <v>0.02</v>
      </c>
      <c r="B3044" s="151" t="s">
        <v>51</v>
      </c>
      <c r="C3044" s="410">
        <v>37.741999999999997</v>
      </c>
      <c r="D3044" s="2738">
        <f>VLOOKUP(H3044,indexy!$C$44:$D$823,2,FALSE)</f>
        <v>71.930000000000007</v>
      </c>
      <c r="E3044" s="1463">
        <f t="shared" si="65"/>
        <v>0.90583434900111315</v>
      </c>
      <c r="F3044" s="1494">
        <f t="shared" si="64"/>
        <v>1.8116686980022265E-2</v>
      </c>
      <c r="G3044" s="415"/>
      <c r="H3044" s="415" t="str">
        <f>VLOOKUP(B3044,indexy!$A$44:$D$823,3,FALSE)</f>
        <v>SGO FP Equity</v>
      </c>
      <c r="J3044" s="434"/>
      <c r="K3044" s="37"/>
    </row>
    <row r="3045" spans="1:12" ht="12.75" hidden="1" customHeight="1" outlineLevel="1" x14ac:dyDescent="0.25">
      <c r="A3045" s="1911">
        <v>0.02</v>
      </c>
      <c r="B3045" s="151" t="s">
        <v>10245</v>
      </c>
      <c r="C3045" s="410">
        <v>40.017000000000003</v>
      </c>
      <c r="D3045" s="2738">
        <f>VLOOKUP(H3045,indexy!$C$44:$D$823,2,FALSE)</f>
        <v>36.29</v>
      </c>
      <c r="E3045" s="1463">
        <f t="shared" si="65"/>
        <v>-9.3135417447584912E-2</v>
      </c>
      <c r="F3045" s="1494">
        <f t="shared" si="64"/>
        <v>-1.8627083489516983E-3</v>
      </c>
      <c r="G3045" s="415"/>
      <c r="H3045" s="415" t="str">
        <f>VLOOKUP(B3045,indexy!$A$44:$D$823,3,FALSE)</f>
        <v>CFG UN Equity</v>
      </c>
      <c r="J3045" s="434"/>
    </row>
    <row r="3046" spans="1:12" ht="12.75" hidden="1" customHeight="1" outlineLevel="1" x14ac:dyDescent="0.25">
      <c r="A3046" s="1911">
        <v>0.02</v>
      </c>
      <c r="B3046" s="151" t="s">
        <v>7218</v>
      </c>
      <c r="C3046" s="410">
        <v>115.358</v>
      </c>
      <c r="D3046" s="2738">
        <f>VLOOKUP(H3046,indexy!$C$44:$D$823,2,FALSE)</f>
        <v>167.15</v>
      </c>
      <c r="E3046" s="1463">
        <f t="shared" si="65"/>
        <v>0.44896756185093367</v>
      </c>
      <c r="F3046" s="1494">
        <f t="shared" si="64"/>
        <v>8.9793512370186738E-3</v>
      </c>
      <c r="G3046" s="415"/>
      <c r="H3046" s="415" t="str">
        <f>VLOOKUP(B3046,indexy!$A$44:$D$823,3,FALSE)</f>
        <v>DRI UN Equity</v>
      </c>
      <c r="J3046" s="434"/>
    </row>
    <row r="3047" spans="1:12" ht="12.75" hidden="1" customHeight="1" outlineLevel="1" x14ac:dyDescent="0.25">
      <c r="A3047" s="1911">
        <v>0.05</v>
      </c>
      <c r="B3047" s="151" t="s">
        <v>2629</v>
      </c>
      <c r="C3047" s="410">
        <v>14.837400000000001</v>
      </c>
      <c r="D3047" s="2738">
        <f>VLOOKUP(H3047,indexy!$C$44:$D$823,2,FALSE)</f>
        <v>22.5</v>
      </c>
      <c r="E3047" s="1463">
        <f t="shared" si="65"/>
        <v>0.51643818997937641</v>
      </c>
      <c r="F3047" s="1494">
        <f t="shared" si="64"/>
        <v>2.5821909498968822E-2</v>
      </c>
      <c r="G3047" s="415"/>
      <c r="H3047" s="415" t="str">
        <f>VLOOKUP(B3047,indexy!$A$44:$D$823,3,FALSE)</f>
        <v>DTE GY Equity</v>
      </c>
      <c r="J3047" s="434"/>
    </row>
    <row r="3048" spans="1:12" ht="12.75" hidden="1" customHeight="1" outlineLevel="1" x14ac:dyDescent="0.25">
      <c r="A3048" s="1911">
        <v>0.02</v>
      </c>
      <c r="B3048" s="151" t="s">
        <v>10246</v>
      </c>
      <c r="C3048" s="410">
        <v>93.825999999999993</v>
      </c>
      <c r="D3048" s="2738">
        <f>VLOOKUP(H3048,indexy!$C$44:$D$823,2,FALSE)</f>
        <v>312.68</v>
      </c>
      <c r="E3048" s="1463">
        <f t="shared" si="65"/>
        <v>2.3325517447189483</v>
      </c>
      <c r="F3048" s="1494">
        <f t="shared" si="64"/>
        <v>4.6651034894378968E-2</v>
      </c>
      <c r="G3048" s="415"/>
      <c r="H3048" s="415" t="str">
        <f>VLOOKUP(B3048,indexy!$A$44:$D$823,3,FALSE)</f>
        <v>ETN UN Equity</v>
      </c>
      <c r="J3048" s="434"/>
    </row>
    <row r="3049" spans="1:12" ht="12.75" hidden="1" customHeight="1" outlineLevel="1" x14ac:dyDescent="0.25">
      <c r="A3049" s="1911">
        <v>0.02</v>
      </c>
      <c r="B3049" s="151" t="s">
        <v>3425</v>
      </c>
      <c r="C3049" s="410">
        <v>69.613</v>
      </c>
      <c r="D3049" s="2738">
        <f>VLOOKUP(H3049,indexy!$C$44:$D$823,2,FALSE)</f>
        <v>116.24</v>
      </c>
      <c r="E3049" s="1463">
        <f t="shared" si="65"/>
        <v>0.66980305402726503</v>
      </c>
      <c r="F3049" s="1494">
        <f t="shared" si="64"/>
        <v>1.33960610805453E-2</v>
      </c>
      <c r="G3049" s="415"/>
      <c r="H3049" s="415" t="str">
        <f>VLOOKUP(B3049,indexy!$A$44:$D$823,3,FALSE)</f>
        <v>XOM UN Equity</v>
      </c>
      <c r="J3049" s="434"/>
    </row>
    <row r="3050" spans="1:12" ht="12.75" hidden="1" customHeight="1" outlineLevel="1" x14ac:dyDescent="0.25">
      <c r="A3050" s="1911">
        <v>0.08</v>
      </c>
      <c r="B3050" s="151" t="s">
        <v>4268</v>
      </c>
      <c r="C3050" s="410">
        <v>21.640999999999998</v>
      </c>
      <c r="D3050" s="2738">
        <f>VLOOKUP(H3050,indexy!$C$44:$D$823,2,FALSE)</f>
        <v>11.445</v>
      </c>
      <c r="E3050" s="1463">
        <f t="shared" si="65"/>
        <v>-0.47114273832077991</v>
      </c>
      <c r="F3050" s="1494">
        <f t="shared" si="64"/>
        <v>-3.7691419065662396E-2</v>
      </c>
      <c r="G3050" s="415"/>
      <c r="H3050" s="415" t="str">
        <f>VLOOKUP(B3050,indexy!$A$44:$D$823,3,FALSE)</f>
        <v>FORTUM FH Equity</v>
      </c>
      <c r="J3050" s="434"/>
    </row>
    <row r="3051" spans="1:12" ht="12.75" hidden="1" customHeight="1" outlineLevel="1" x14ac:dyDescent="0.25">
      <c r="A3051" s="1911">
        <v>0.02</v>
      </c>
      <c r="B3051" s="151" t="s">
        <v>9799</v>
      </c>
      <c r="C3051" s="410">
        <v>36.171999999999997</v>
      </c>
      <c r="D3051" s="2738">
        <f>VLOOKUP(H3051,indexy!$C$44:$D$823,2,FALSE)</f>
        <v>45.35</v>
      </c>
      <c r="E3051" s="1463">
        <f t="shared" si="65"/>
        <v>0.25373216852814351</v>
      </c>
      <c r="F3051" s="1494">
        <f t="shared" si="64"/>
        <v>5.0746433705628705E-3</v>
      </c>
      <c r="G3051" s="415"/>
      <c r="H3051" s="415" t="str">
        <f>VLOOKUP(B3051,indexy!$A$44:$D$823,3,FALSE)</f>
        <v>GM UN Equity</v>
      </c>
      <c r="J3051" s="434"/>
    </row>
    <row r="3052" spans="1:12" ht="12.75" hidden="1" customHeight="1" outlineLevel="1" x14ac:dyDescent="0.25">
      <c r="A3052" s="1911">
        <v>0.02</v>
      </c>
      <c r="B3052" s="151" t="s">
        <v>4036</v>
      </c>
      <c r="C3052" s="410">
        <v>18.204000000000001</v>
      </c>
      <c r="D3052" s="2738">
        <f>VLOOKUP(H3052,indexy!$C$44:$D$823,2,FALSE)</f>
        <v>20.66</v>
      </c>
      <c r="E3052" s="1463">
        <f t="shared" si="65"/>
        <v>0.13491540320808615</v>
      </c>
      <c r="F3052" s="1494">
        <f t="shared" si="64"/>
        <v>2.6983080641617232E-3</v>
      </c>
      <c r="G3052" s="415"/>
      <c r="H3052" s="415" t="str">
        <f>VLOOKUP(B3052,indexy!$A$44:$D$823,3,FALSE)</f>
        <v>HST UN Equity</v>
      </c>
      <c r="J3052" s="434"/>
    </row>
    <row r="3053" spans="1:12" ht="12.75" hidden="1" customHeight="1" outlineLevel="1" x14ac:dyDescent="0.25">
      <c r="A3053" s="1911">
        <v>0.08</v>
      </c>
      <c r="B3053" s="151" t="s">
        <v>1031</v>
      </c>
      <c r="C3053" s="2740">
        <v>9.0231999999999992</v>
      </c>
      <c r="D3053" s="2738">
        <f>VLOOKUP(H3053,indexy!$C$44:$D$823,2,FALSE)</f>
        <v>11.494999999999999</v>
      </c>
      <c r="E3053" s="1463">
        <f t="shared" si="65"/>
        <v>0.27393829240180878</v>
      </c>
      <c r="F3053" s="1494">
        <f t="shared" si="64"/>
        <v>2.1915063392144704E-2</v>
      </c>
      <c r="G3053" s="415"/>
      <c r="H3053" s="415" t="str">
        <f>VLOOKUP(B3053,indexy!$A$44:$D$823,3,FALSE)</f>
        <v>IBE SQ Equity</v>
      </c>
      <c r="J3053" s="434"/>
    </row>
    <row r="3054" spans="1:12" ht="12.75" hidden="1" customHeight="1" outlineLevel="1" x14ac:dyDescent="0.25">
      <c r="A3054" s="1911">
        <v>0.02</v>
      </c>
      <c r="B3054" s="151" t="s">
        <v>4034</v>
      </c>
      <c r="C3054" s="410">
        <v>22.709499999999998</v>
      </c>
      <c r="D3054" s="2738">
        <f>VLOOKUP(H3054,indexy!$C$44:$D$823,2,FALSE)</f>
        <v>27.72</v>
      </c>
      <c r="E3054" s="1463">
        <f t="shared" si="65"/>
        <v>0.2206345362073141</v>
      </c>
      <c r="F3054" s="1494">
        <f t="shared" si="64"/>
        <v>4.4126907241462824E-3</v>
      </c>
      <c r="G3054" s="415"/>
      <c r="H3054" s="415" t="str">
        <f>VLOOKUP(B3054,indexy!$A$44:$D$823,3,FALSE)</f>
        <v>AD NA Equity</v>
      </c>
      <c r="J3054" s="434"/>
    </row>
    <row r="3055" spans="1:12" ht="12.75" hidden="1" customHeight="1" outlineLevel="1" x14ac:dyDescent="0.25">
      <c r="A3055" s="1911">
        <v>0.02</v>
      </c>
      <c r="B3055" s="151" t="s">
        <v>7838</v>
      </c>
      <c r="C3055" s="410">
        <v>50.381</v>
      </c>
      <c r="D3055" s="2738">
        <f>VLOOKUP(H3055,indexy!$C$44:$D$823,2,FALSE)</f>
        <v>74.11</v>
      </c>
      <c r="E3055" s="1463">
        <f t="shared" si="65"/>
        <v>0.47099104821261983</v>
      </c>
      <c r="F3055" s="1494">
        <f t="shared" si="64"/>
        <v>9.4198209642523973E-3</v>
      </c>
      <c r="G3055" s="415"/>
      <c r="H3055" s="415" t="str">
        <f>VLOOKUP(B3055,indexy!$A$44:$D$823,3,FALSE)</f>
        <v>MET UN Equity</v>
      </c>
      <c r="J3055" s="434"/>
    </row>
    <row r="3056" spans="1:12" ht="12.75" hidden="1" customHeight="1" outlineLevel="1" x14ac:dyDescent="0.25">
      <c r="A3056" s="1911">
        <v>0.02</v>
      </c>
      <c r="B3056" s="151" t="s">
        <v>7321</v>
      </c>
      <c r="C3056" s="410">
        <f>110.61/4</f>
        <v>27.6525</v>
      </c>
      <c r="D3056" s="2738">
        <f>VLOOKUP(H3056,indexy!$C$44:$D$823,2,FALSE)</f>
        <v>35.520000000000003</v>
      </c>
      <c r="E3056" s="1463">
        <f t="shared" si="65"/>
        <v>0.28451315432601043</v>
      </c>
      <c r="F3056" s="1494">
        <f t="shared" si="64"/>
        <v>5.6902630865202086E-3</v>
      </c>
      <c r="G3056" s="415"/>
      <c r="H3056" s="415" t="str">
        <f>VLOOKUP(B3056,indexy!$A$44:$D$823,3,FALSE)</f>
        <v>ML FP Equity</v>
      </c>
      <c r="J3056" s="434"/>
    </row>
    <row r="3057" spans="1:10" ht="12.75" hidden="1" customHeight="1" outlineLevel="1" x14ac:dyDescent="0.25">
      <c r="A3057" s="1911">
        <v>0.02</v>
      </c>
      <c r="B3057" s="151" t="s">
        <v>1772</v>
      </c>
      <c r="C3057" s="410">
        <v>263.95999999999998</v>
      </c>
      <c r="D3057" s="2738">
        <f>VLOOKUP(H3057,indexy!$C$44:$D$823,2,FALSE)</f>
        <v>452.3</v>
      </c>
      <c r="E3057" s="1463">
        <f t="shared" si="65"/>
        <v>0.71351719957569348</v>
      </c>
      <c r="F3057" s="1494">
        <f t="shared" si="64"/>
        <v>1.4270343991513871E-2</v>
      </c>
      <c r="G3057" s="415"/>
      <c r="H3057" s="415" t="str">
        <f>VLOOKUP(B3057,indexy!$A$44:$D$823,3,FALSE)</f>
        <v>MUV2 GY Equity</v>
      </c>
      <c r="J3057" s="434"/>
    </row>
    <row r="3058" spans="1:10" ht="12.75" hidden="1" customHeight="1" outlineLevel="1" x14ac:dyDescent="0.25">
      <c r="A3058" s="1911">
        <v>0.08</v>
      </c>
      <c r="B3058" s="151" t="s">
        <v>2787</v>
      </c>
      <c r="C3058" s="410">
        <v>91.597999999999999</v>
      </c>
      <c r="D3058" s="2738">
        <f>VLOOKUP(H3058,indexy!$C$44:$D$823,2,FALSE)</f>
        <v>87.37</v>
      </c>
      <c r="E3058" s="1463">
        <f t="shared" si="65"/>
        <v>-4.6158213061420539E-2</v>
      </c>
      <c r="F3058" s="1494">
        <f t="shared" si="64"/>
        <v>-3.6926570449136433E-3</v>
      </c>
      <c r="G3058" s="415"/>
      <c r="H3058" s="415" t="str">
        <f>VLOOKUP(B3058,indexy!$A$44:$D$823,3,FALSE)</f>
        <v>NOVN SE Equity</v>
      </c>
      <c r="J3058" s="434"/>
    </row>
    <row r="3059" spans="1:10" ht="12.75" hidden="1" customHeight="1" outlineLevel="1" x14ac:dyDescent="0.25">
      <c r="A3059" s="1911">
        <v>0.02</v>
      </c>
      <c r="B3059" s="151" t="s">
        <v>10247</v>
      </c>
      <c r="C3059" s="410">
        <v>54.308500000000002</v>
      </c>
      <c r="D3059" s="2738">
        <f>VLOOKUP(H3059,indexy!$C$44:$D$823,2,FALSE)</f>
        <v>86.31</v>
      </c>
      <c r="E3059" s="1463">
        <f t="shared" si="65"/>
        <v>0.58925398418295472</v>
      </c>
      <c r="F3059" s="1494">
        <f t="shared" si="64"/>
        <v>1.1785079683659095E-2</v>
      </c>
      <c r="G3059" s="415"/>
      <c r="H3059" s="415" t="str">
        <f>VLOOKUP(B3059,indexy!$A$44:$D$823,3,FALSE)</f>
        <v>PFG UW Equity</v>
      </c>
      <c r="J3059" s="434"/>
    </row>
    <row r="3060" spans="1:10" ht="12.75" hidden="1" customHeight="1" outlineLevel="1" x14ac:dyDescent="0.25">
      <c r="A3060" s="1911">
        <v>0.03</v>
      </c>
      <c r="B3060" s="151" t="s">
        <v>5205</v>
      </c>
      <c r="C3060" s="410">
        <v>22.0105</v>
      </c>
      <c r="D3060" s="2738">
        <f>VLOOKUP(H3060,indexy!$C$44:$D$823,2,FALSE)/100</f>
        <v>18.952000000000002</v>
      </c>
      <c r="E3060" s="1463">
        <f t="shared" si="65"/>
        <v>-0.13895640716930546</v>
      </c>
      <c r="F3060" s="1494">
        <f t="shared" si="64"/>
        <v>-4.1686922150791636E-3</v>
      </c>
      <c r="G3060" s="415"/>
      <c r="H3060" s="415" t="str">
        <f>VLOOKUP(B3060,indexy!$A$44:$D$823,3,FALSE)</f>
        <v>RDSA LN Equity</v>
      </c>
      <c r="J3060" s="434"/>
    </row>
    <row r="3061" spans="1:10" ht="12.75" hidden="1" customHeight="1" outlineLevel="1" x14ac:dyDescent="0.25">
      <c r="A3061" s="1911">
        <v>0.02</v>
      </c>
      <c r="B3061" s="151" t="s">
        <v>1187</v>
      </c>
      <c r="C3061" s="410">
        <v>88.528000000000006</v>
      </c>
      <c r="D3061" s="2738">
        <f>VLOOKUP(H3061,indexy!$C$44:$D$823,2,FALSE)</f>
        <v>90.96</v>
      </c>
      <c r="E3061" s="1463">
        <f t="shared" si="65"/>
        <v>2.7471534429784894E-2</v>
      </c>
      <c r="F3061" s="1494">
        <f t="shared" si="64"/>
        <v>5.4943068859569788E-4</v>
      </c>
      <c r="G3061" s="415"/>
      <c r="H3061" s="415" t="str">
        <f>VLOOKUP(B3061,indexy!$A$44:$D$823,3,FALSE)</f>
        <v>SAN FP Equity</v>
      </c>
      <c r="J3061" s="434"/>
    </row>
    <row r="3062" spans="1:10" ht="12.75" hidden="1" customHeight="1" outlineLevel="1" x14ac:dyDescent="0.25">
      <c r="A3062" s="1911">
        <v>0.02</v>
      </c>
      <c r="B3062" s="151" t="s">
        <v>1214</v>
      </c>
      <c r="C3062" s="410">
        <v>117.48399999999999</v>
      </c>
      <c r="D3062" s="2738">
        <f>VLOOKUP(H3062,indexy!$C$44:$D$823,2,FALSE)</f>
        <v>176.96</v>
      </c>
      <c r="E3062" s="1463">
        <f t="shared" si="65"/>
        <v>0.50624765925572857</v>
      </c>
      <c r="F3062" s="1494">
        <f t="shared" si="64"/>
        <v>1.0124953185114572E-2</v>
      </c>
      <c r="G3062" s="415"/>
      <c r="H3062" s="415" t="str">
        <f>VLOOKUP(B3062,indexy!$A$44:$D$823,3,FALSE)</f>
        <v>SIE GY Equity</v>
      </c>
      <c r="J3062" s="434"/>
    </row>
    <row r="3063" spans="1:10" ht="12.75" hidden="1" customHeight="1" outlineLevel="1" x14ac:dyDescent="0.25">
      <c r="A3063" s="1911">
        <v>0.08</v>
      </c>
      <c r="B3063" s="151" t="s">
        <v>6118</v>
      </c>
      <c r="C3063" s="410">
        <v>108.57</v>
      </c>
      <c r="D3063" s="2738">
        <f>VLOOKUP(H3063,indexy!$C$44:$D$823,2,FALSE)</f>
        <v>115.95</v>
      </c>
      <c r="E3063" s="1463">
        <f t="shared" si="65"/>
        <v>6.797457861287648E-2</v>
      </c>
      <c r="F3063" s="1494">
        <f t="shared" si="64"/>
        <v>5.4379662890301182E-3</v>
      </c>
      <c r="G3063" s="415"/>
      <c r="H3063" s="415" t="str">
        <f>VLOOKUP(B3063,indexy!$A$44:$D$823,3,FALSE)</f>
        <v>SREN SE Equity</v>
      </c>
      <c r="J3063" s="434"/>
    </row>
    <row r="3064" spans="1:10" ht="12.75" hidden="1" customHeight="1" outlineLevel="1" x14ac:dyDescent="0.25">
      <c r="A3064" s="1911">
        <v>0.02</v>
      </c>
      <c r="B3064" s="151" t="s">
        <v>3383</v>
      </c>
      <c r="C3064" s="410">
        <v>160.9</v>
      </c>
      <c r="D3064" s="2738">
        <f>VLOOKUP(H3064,indexy!$C$44:$D$823,2,FALSE)</f>
        <v>120.75</v>
      </c>
      <c r="E3064" s="1463">
        <f t="shared" si="65"/>
        <v>-0.24953387197016785</v>
      </c>
      <c r="F3064" s="1494">
        <f t="shared" si="64"/>
        <v>-4.9906774394033572E-3</v>
      </c>
      <c r="G3064" s="415"/>
      <c r="H3064" s="415" t="str">
        <f>VLOOKUP(B3064,indexy!$A$44:$D$823,3,FALSE)</f>
        <v>TEL NO Equity</v>
      </c>
      <c r="J3064" s="434"/>
    </row>
    <row r="3065" spans="1:10" ht="12.75" hidden="1" customHeight="1" outlineLevel="1" x14ac:dyDescent="0.25">
      <c r="A3065" s="1911">
        <v>0.08</v>
      </c>
      <c r="B3065" s="151" t="s">
        <v>434</v>
      </c>
      <c r="C3065" s="410">
        <v>40.786000000000001</v>
      </c>
      <c r="D3065" s="2738">
        <f>VLOOKUP(H3065,indexy!$C$44:$D$823,2,FALSE)</f>
        <v>27.43</v>
      </c>
      <c r="E3065" s="1463">
        <f t="shared" si="65"/>
        <v>-0.32746530672289509</v>
      </c>
      <c r="F3065" s="1494">
        <f t="shared" si="64"/>
        <v>-2.6197224537831607E-2</v>
      </c>
      <c r="G3065" s="415"/>
      <c r="H3065" s="415" t="str">
        <f>VLOOKUP(B3065,indexy!$A$44:$D$823,3,FALSE)</f>
        <v>TELIA SS Equity</v>
      </c>
      <c r="J3065" s="434"/>
    </row>
    <row r="3066" spans="1:10" ht="12.75" hidden="1" customHeight="1" outlineLevel="1" x14ac:dyDescent="0.25">
      <c r="A3066" s="1911">
        <v>0.05</v>
      </c>
      <c r="B3066" s="151" t="s">
        <v>10633</v>
      </c>
      <c r="C3066" s="410">
        <v>48.1815</v>
      </c>
      <c r="D3066" s="2738">
        <f>VLOOKUP(H3066,indexy!$C$44:$D$823,2,FALSE)</f>
        <v>63.47</v>
      </c>
      <c r="E3066" s="1463">
        <f t="shared" si="65"/>
        <v>0.31731058601330386</v>
      </c>
      <c r="F3066" s="1494">
        <f>E3066*A3066</f>
        <v>1.5865529300665194E-2</v>
      </c>
      <c r="G3066" s="415"/>
      <c r="H3066" s="415" t="str">
        <f>VLOOKUP(B3066,indexy!$A$44:$D$823,3,FALSE)</f>
        <v>TTE FP Equity</v>
      </c>
      <c r="J3066" s="434"/>
    </row>
    <row r="3067" spans="1:10" ht="12.75" hidden="1" customHeight="1" outlineLevel="1" x14ac:dyDescent="0.25">
      <c r="A3067" s="1911">
        <v>0.02</v>
      </c>
      <c r="B3067" s="151" t="s">
        <v>106</v>
      </c>
      <c r="C3067" s="410">
        <v>44.603000000000002</v>
      </c>
      <c r="D3067" s="2738">
        <f>VLOOKUP(H3067,indexy!$C$44:$D$946,2,FALSE)/100</f>
        <v>39.755000000000003</v>
      </c>
      <c r="E3067" s="1463">
        <f t="shared" si="65"/>
        <v>-0.10869224043225789</v>
      </c>
      <c r="F3067" s="1494">
        <f>E3067*A3067</f>
        <v>-2.1738448086451581E-3</v>
      </c>
      <c r="G3067" s="415"/>
      <c r="H3067" s="415" t="str">
        <f>VLOOKUP(B3067,indexy!$A$44:$D$946,3,FALSE)</f>
        <v>ULVR LN Equity</v>
      </c>
      <c r="J3067" s="434"/>
    </row>
    <row r="3068" spans="1:10" ht="12.75" hidden="1" customHeight="1" outlineLevel="1" x14ac:dyDescent="0.25">
      <c r="A3068" s="1911">
        <v>0.03</v>
      </c>
      <c r="B3068" s="151" t="s">
        <v>579</v>
      </c>
      <c r="C3068" s="410">
        <v>1.4706999999999999</v>
      </c>
      <c r="D3068" s="2738">
        <f>VLOOKUP(H3068,indexy!$C$44:$D$823,2,FALSE)/100</f>
        <v>0.70459999999999989</v>
      </c>
      <c r="E3068" s="1463">
        <f t="shared" si="65"/>
        <v>-0.52090841096076701</v>
      </c>
      <c r="F3068" s="1494">
        <f>E3068*A3068</f>
        <v>-1.5627252328823008E-2</v>
      </c>
      <c r="G3068" s="415"/>
      <c r="H3068" s="415" t="str">
        <f>VLOOKUP(B3068,indexy!$A$44:$D$823,3,FALSE)</f>
        <v>VOD LN Equity</v>
      </c>
      <c r="J3068" s="434"/>
    </row>
    <row r="3069" spans="1:10" ht="12.75" hidden="1" customHeight="1" outlineLevel="1" x14ac:dyDescent="0.25">
      <c r="A3069" s="1911">
        <v>0.02</v>
      </c>
      <c r="B3069" s="151" t="s">
        <v>7916</v>
      </c>
      <c r="C3069" s="410">
        <v>57.981999999999999</v>
      </c>
      <c r="D3069" s="2738">
        <f>VLOOKUP(H3069,indexy!$C$44:$D$823,2,FALSE)</f>
        <v>21.69</v>
      </c>
      <c r="E3069" s="1463">
        <f t="shared" si="65"/>
        <v>-0.62591838846538583</v>
      </c>
      <c r="F3069" s="1494">
        <f>E3069*A3069</f>
        <v>-1.2518367769307717E-2</v>
      </c>
      <c r="G3069" s="415"/>
      <c r="H3069" s="415" t="str">
        <f>VLOOKUP(B3069,indexy!$A$44:$D$823,3,FALSE)</f>
        <v>WBA UW Equity</v>
      </c>
      <c r="J3069" s="434"/>
    </row>
    <row r="3070" spans="1:10" ht="12.75" hidden="1" customHeight="1" outlineLevel="1" x14ac:dyDescent="0.25">
      <c r="A3070" s="1911">
        <v>0.02</v>
      </c>
      <c r="B3070" s="2736" t="s">
        <v>3306</v>
      </c>
      <c r="C3070" s="2741">
        <v>10.1265</v>
      </c>
      <c r="D3070" s="2739">
        <f>VLOOKUP(H3070,indexy!$C$44:$D$823,2,FALSE)/100</f>
        <v>7.5360000000000005</v>
      </c>
      <c r="E3070" s="1463">
        <f t="shared" si="65"/>
        <v>-0.2558139534883721</v>
      </c>
      <c r="F3070" s="1494">
        <f>E3070*A3070</f>
        <v>-5.1162790697674423E-3</v>
      </c>
      <c r="G3070" s="415"/>
      <c r="H3070" s="415" t="str">
        <f>VLOOKUP(B3070,indexy!$A$44:$D$823,3,FALSE)</f>
        <v>WPP LN Equity</v>
      </c>
      <c r="J3070" s="434"/>
    </row>
    <row r="3071" spans="1:10" ht="12.75" hidden="1" customHeight="1" outlineLevel="1" x14ac:dyDescent="0.25">
      <c r="A3071" s="1475" t="s">
        <v>2734</v>
      </c>
      <c r="B3071" s="150"/>
      <c r="C3071" s="1477">
        <v>100</v>
      </c>
      <c r="D3071" s="1477"/>
      <c r="E3071" s="1599"/>
      <c r="F3071" s="1599">
        <f>SUM(F3041:F3070)</f>
        <v>0.11007321576441685</v>
      </c>
      <c r="G3071" s="415"/>
      <c r="H3071" s="415"/>
    </row>
    <row r="3072" spans="1:10" ht="12.75" hidden="1" customHeight="1" outlineLevel="1" x14ac:dyDescent="0.25">
      <c r="A3072" s="221" t="s">
        <v>10254</v>
      </c>
      <c r="B3072" s="1478">
        <v>45444</v>
      </c>
      <c r="C3072" s="1497">
        <v>100</v>
      </c>
      <c r="D3072" s="1497"/>
      <c r="E3072" s="1498">
        <f>IF(D3072="",F3071,D3072/C3072-1)</f>
        <v>0.11007321576441685</v>
      </c>
      <c r="F3072" s="1499"/>
      <c r="G3072" s="415"/>
      <c r="H3072" s="415"/>
    </row>
    <row r="3073" spans="1:18" ht="12.75" hidden="1" customHeight="1" outlineLevel="1" x14ac:dyDescent="0.25">
      <c r="A3073" s="221" t="s">
        <v>10255</v>
      </c>
      <c r="B3073" s="1478">
        <v>45474</v>
      </c>
      <c r="C3073" s="1497">
        <v>100</v>
      </c>
      <c r="D3073" s="1500"/>
      <c r="E3073" s="1498">
        <f>IF(D3073="",E3072,D3073/C3073-1)</f>
        <v>0.11007321576441685</v>
      </c>
      <c r="F3073" s="1499"/>
      <c r="G3073" s="415"/>
      <c r="H3073" s="415"/>
    </row>
    <row r="3074" spans="1:18" ht="12.75" hidden="1" customHeight="1" outlineLevel="1" x14ac:dyDescent="0.25">
      <c r="A3074" s="221" t="s">
        <v>10256</v>
      </c>
      <c r="B3074" s="1478">
        <v>45505</v>
      </c>
      <c r="C3074" s="1497">
        <v>100</v>
      </c>
      <c r="D3074" s="1500"/>
      <c r="E3074" s="1498">
        <f>IF(D3074="",E3073,D3074/C3074-1)</f>
        <v>0.11007321576441685</v>
      </c>
      <c r="F3074" s="1499"/>
      <c r="G3074" s="415"/>
      <c r="H3074" s="415"/>
    </row>
    <row r="3075" spans="1:18" ht="12.75" hidden="1" customHeight="1" outlineLevel="1" x14ac:dyDescent="0.25">
      <c r="A3075" s="221" t="s">
        <v>10257</v>
      </c>
      <c r="B3075" s="1478">
        <v>45536</v>
      </c>
      <c r="C3075" s="1497">
        <v>100</v>
      </c>
      <c r="D3075" s="1500"/>
      <c r="E3075" s="1498">
        <f>IF(D3075="",E3074,D3075/C3075-1)</f>
        <v>0.11007321576441685</v>
      </c>
      <c r="F3075" s="1499"/>
      <c r="G3075" s="415"/>
      <c r="H3075" s="415"/>
    </row>
    <row r="3076" spans="1:18" ht="12.75" hidden="1" customHeight="1" outlineLevel="1" x14ac:dyDescent="0.25">
      <c r="A3076" s="221" t="s">
        <v>10258</v>
      </c>
      <c r="B3076" s="1478">
        <v>45566</v>
      </c>
      <c r="C3076" s="1497">
        <v>100</v>
      </c>
      <c r="D3076" s="1500"/>
      <c r="E3076" s="1498">
        <f t="shared" ref="E3076:E3081" si="66">IF(D3076="",E3075,D3076/C3076-1)</f>
        <v>0.11007321576441685</v>
      </c>
      <c r="F3076" s="1499"/>
      <c r="G3076" s="415"/>
      <c r="H3076" s="415"/>
    </row>
    <row r="3077" spans="1:18" ht="12.75" hidden="1" customHeight="1" outlineLevel="1" x14ac:dyDescent="0.25">
      <c r="A3077" s="221" t="s">
        <v>10259</v>
      </c>
      <c r="B3077" s="1478">
        <v>45597</v>
      </c>
      <c r="C3077" s="1497">
        <v>100</v>
      </c>
      <c r="D3077" s="1500"/>
      <c r="E3077" s="1498">
        <f t="shared" si="66"/>
        <v>0.11007321576441685</v>
      </c>
      <c r="F3077" s="1499"/>
      <c r="G3077" s="415"/>
      <c r="H3077" s="415"/>
    </row>
    <row r="3078" spans="1:18" ht="12.75" hidden="1" customHeight="1" outlineLevel="1" x14ac:dyDescent="0.25">
      <c r="A3078" s="221" t="s">
        <v>10260</v>
      </c>
      <c r="B3078" s="1478">
        <v>45627</v>
      </c>
      <c r="C3078" s="1497">
        <v>100</v>
      </c>
      <c r="D3078" s="1500"/>
      <c r="E3078" s="1498">
        <f t="shared" si="66"/>
        <v>0.11007321576441685</v>
      </c>
      <c r="F3078" s="1499"/>
      <c r="G3078" s="415"/>
      <c r="H3078" s="415"/>
    </row>
    <row r="3079" spans="1:18" ht="12.75" hidden="1" customHeight="1" outlineLevel="1" x14ac:dyDescent="0.25">
      <c r="A3079" s="221" t="s">
        <v>10261</v>
      </c>
      <c r="B3079" s="1478">
        <v>45658</v>
      </c>
      <c r="C3079" s="1497">
        <v>100</v>
      </c>
      <c r="D3079" s="1500"/>
      <c r="E3079" s="1498">
        <f t="shared" si="66"/>
        <v>0.11007321576441685</v>
      </c>
      <c r="F3079" s="1499"/>
      <c r="G3079" s="415"/>
      <c r="H3079" s="415"/>
    </row>
    <row r="3080" spans="1:18" ht="12.75" hidden="1" customHeight="1" outlineLevel="1" x14ac:dyDescent="0.25">
      <c r="A3080" s="221" t="s">
        <v>10262</v>
      </c>
      <c r="B3080" s="1478">
        <v>45689</v>
      </c>
      <c r="C3080" s="1497">
        <v>100</v>
      </c>
      <c r="D3080" s="1500"/>
      <c r="E3080" s="1498">
        <f t="shared" si="66"/>
        <v>0.11007321576441685</v>
      </c>
      <c r="F3080" s="1499"/>
      <c r="G3080" s="415"/>
      <c r="H3080" s="415"/>
    </row>
    <row r="3081" spans="1:18" ht="12.75" hidden="1" customHeight="1" outlineLevel="1" x14ac:dyDescent="0.25">
      <c r="A3081" s="221" t="s">
        <v>10263</v>
      </c>
      <c r="B3081" s="1478">
        <v>45717</v>
      </c>
      <c r="C3081" s="1497">
        <v>100</v>
      </c>
      <c r="D3081" s="1500"/>
      <c r="E3081" s="1498">
        <f t="shared" si="66"/>
        <v>0.11007321576441685</v>
      </c>
      <c r="F3081" s="1499"/>
      <c r="G3081" s="415"/>
      <c r="H3081" s="415"/>
    </row>
    <row r="3082" spans="1:18" ht="12.75" hidden="1" customHeight="1" outlineLevel="1" x14ac:dyDescent="0.25">
      <c r="A3082" s="221" t="s">
        <v>10264</v>
      </c>
      <c r="B3082" s="1478">
        <v>45748</v>
      </c>
      <c r="C3082" s="1497">
        <v>100</v>
      </c>
      <c r="D3082" s="1500"/>
      <c r="E3082" s="1498">
        <f>IF(D3082="",E3075,D3082/C3082-1)</f>
        <v>0.11007321576441685</v>
      </c>
      <c r="F3082" s="1499"/>
      <c r="G3082" s="415"/>
      <c r="H3082" s="415"/>
    </row>
    <row r="3083" spans="1:18" ht="12.75" hidden="1" customHeight="1" outlineLevel="1" x14ac:dyDescent="0.25">
      <c r="A3083" s="221" t="s">
        <v>10265</v>
      </c>
      <c r="B3083" s="1478">
        <v>45778</v>
      </c>
      <c r="C3083" s="1497">
        <v>100</v>
      </c>
      <c r="D3083" s="1500"/>
      <c r="E3083" s="1498">
        <f>IF(D3083="",E3082,D3083/C3083-1)</f>
        <v>0.11007321576441685</v>
      </c>
      <c r="F3083" s="1499"/>
      <c r="G3083" s="415"/>
      <c r="H3083" s="415"/>
    </row>
    <row r="3084" spans="1:18" s="444" customFormat="1" ht="12.75" hidden="1" customHeight="1" outlineLevel="1" x14ac:dyDescent="0.25">
      <c r="A3084" s="1483" t="s">
        <v>2734</v>
      </c>
      <c r="B3084" s="1484"/>
      <c r="C3084" s="1500"/>
      <c r="D3084" s="1485" t="s">
        <v>2465</v>
      </c>
      <c r="E3084" s="1486">
        <f>AVERAGE(E3072:E3083)</f>
        <v>0.11007321576441685</v>
      </c>
      <c r="F3084" s="1487">
        <f>((((E3084*100)+100)-I3041)/100)</f>
        <v>0.20760421576441687</v>
      </c>
    </row>
    <row r="3085" spans="1:18" collapsed="1" x14ac:dyDescent="0.25">
      <c r="A3085" s="3799" t="s">
        <v>10183</v>
      </c>
      <c r="B3085" s="3800"/>
      <c r="C3085" s="3800"/>
      <c r="D3085" s="3800"/>
      <c r="E3085" s="18"/>
      <c r="F3085" s="186">
        <f>MAX(0%,MIN(F3084,100%))</f>
        <v>0.20760421576441687</v>
      </c>
      <c r="G3085" s="415"/>
    </row>
    <row r="3087" spans="1:18" ht="12.75" hidden="1" customHeight="1" outlineLevel="1" x14ac:dyDescent="0.25">
      <c r="A3087" s="2606" t="s">
        <v>4156</v>
      </c>
      <c r="B3087" s="2606" t="s">
        <v>4153</v>
      </c>
      <c r="C3087" s="2245" t="s">
        <v>112</v>
      </c>
      <c r="D3087" s="2608" t="s">
        <v>4155</v>
      </c>
      <c r="E3087" s="2606" t="s">
        <v>4154</v>
      </c>
      <c r="F3087" s="2608" t="s">
        <v>2519</v>
      </c>
      <c r="G3087" s="12"/>
      <c r="H3087" s="415"/>
      <c r="I3087" s="412" t="s">
        <v>6964</v>
      </c>
      <c r="J3087" s="1462">
        <v>43862</v>
      </c>
      <c r="K3087" s="1462">
        <v>43891</v>
      </c>
      <c r="L3087" s="1462">
        <v>43922</v>
      </c>
      <c r="M3087" s="1462"/>
      <c r="N3087" s="1462"/>
      <c r="O3087" s="1462"/>
      <c r="P3087" s="1462"/>
      <c r="Q3087" s="1462"/>
      <c r="R3087" s="1462"/>
    </row>
    <row r="3088" spans="1:18" ht="12.75" hidden="1" customHeight="1" outlineLevel="1" x14ac:dyDescent="0.25">
      <c r="A3088" s="134">
        <v>0.02</v>
      </c>
      <c r="B3088" s="151" t="s">
        <v>218</v>
      </c>
      <c r="C3088" s="454">
        <v>24.7685</v>
      </c>
      <c r="D3088" s="2737">
        <f>VLOOKUP(H3088,indexy!$C$44:$D$823,2,FALSE)</f>
        <v>34.814999999999998</v>
      </c>
      <c r="E3088" s="1466">
        <f>D3088/C3088-1</f>
        <v>0.40561600419888166</v>
      </c>
      <c r="F3088" s="1492">
        <f>E3088*A3088</f>
        <v>8.1123200839776331E-3</v>
      </c>
      <c r="G3088" s="415"/>
      <c r="H3088" s="415" t="str">
        <f>VLOOKUP(B3088,indexy!$A$44:$D$823,3,FALSE)</f>
        <v>CS FP Equity</v>
      </c>
      <c r="I3088" s="412">
        <f>IF(J3088="",100,MIN(100,J3088:Y3088))</f>
        <v>70.970200000000006</v>
      </c>
      <c r="J3088">
        <v>97.912199999999999</v>
      </c>
      <c r="K3088">
        <v>89.796700000000001</v>
      </c>
      <c r="L3088">
        <v>70.970200000000006</v>
      </c>
    </row>
    <row r="3089" spans="1:11" ht="12.75" hidden="1" customHeight="1" outlineLevel="1" x14ac:dyDescent="0.25">
      <c r="A3089" s="135">
        <v>0.02</v>
      </c>
      <c r="B3089" s="151" t="s">
        <v>1188</v>
      </c>
      <c r="C3089" s="410">
        <v>4.9478999999999997</v>
      </c>
      <c r="D3089" s="2738">
        <f>VLOOKUP(H3089,indexy!$C$44:$D$823,2,FALSE)/100</f>
        <v>4.9569999999999999</v>
      </c>
      <c r="E3089" s="1463">
        <f>D3089/C3089-1</f>
        <v>1.8391640898158812E-3</v>
      </c>
      <c r="F3089" s="1494">
        <f t="shared" ref="F3089:F3112" si="67">E3089*A3089</f>
        <v>3.6783281796317627E-5</v>
      </c>
      <c r="G3089" s="415"/>
      <c r="H3089" s="415" t="str">
        <f>VLOOKUP(B3089,indexy!$A$44:$D$823,3,FALSE)</f>
        <v>BP/ LN Equity</v>
      </c>
      <c r="I3089" s="422">
        <f>+(((E3131*100)+100)-I3088)/100</f>
        <v>0.38263545989445336</v>
      </c>
    </row>
    <row r="3090" spans="1:11" ht="12.75" hidden="1" customHeight="1" outlineLevel="1" x14ac:dyDescent="0.25">
      <c r="A3090" s="135">
        <v>0.02</v>
      </c>
      <c r="B3090" s="151" t="s">
        <v>6444</v>
      </c>
      <c r="C3090" s="410">
        <v>36.015999999999998</v>
      </c>
      <c r="D3090" s="2738">
        <f>VLOOKUP(H3090,indexy!$C$44:$D$823,2,FALSE)/100</f>
        <v>11.695</v>
      </c>
      <c r="E3090" s="1463">
        <f t="shared" ref="E3090:E3117" si="68">D3090/C3090-1</f>
        <v>-0.67528320746334958</v>
      </c>
      <c r="F3090" s="1494">
        <f t="shared" si="67"/>
        <v>-1.3505664149266992E-2</v>
      </c>
      <c r="G3090" s="415"/>
      <c r="H3090" s="415" t="str">
        <f>VLOOKUP(B3090,indexy!$A$44:$D$823,3,FALSE)</f>
        <v>CCL LN Equity</v>
      </c>
      <c r="J3090" s="434"/>
    </row>
    <row r="3091" spans="1:11" ht="12.75" hidden="1" customHeight="1" outlineLevel="1" x14ac:dyDescent="0.25">
      <c r="A3091" s="135">
        <v>0.02</v>
      </c>
      <c r="B3091" s="151" t="s">
        <v>51</v>
      </c>
      <c r="C3091" s="410">
        <v>35.451000000000001</v>
      </c>
      <c r="D3091" s="2738">
        <f>VLOOKUP(H3091,indexy!$C$44:$D$823,2,FALSE)</f>
        <v>71.930000000000007</v>
      </c>
      <c r="E3091" s="1463">
        <f t="shared" si="68"/>
        <v>1.0289977715720293</v>
      </c>
      <c r="F3091" s="1494">
        <f t="shared" si="67"/>
        <v>2.0579955431440585E-2</v>
      </c>
      <c r="G3091" s="415"/>
      <c r="H3091" s="415" t="str">
        <f>VLOOKUP(B3091,indexy!$A$44:$D$823,3,FALSE)</f>
        <v>SGO FP Equity</v>
      </c>
      <c r="J3091" s="434"/>
      <c r="K3091" s="37"/>
    </row>
    <row r="3092" spans="1:11" ht="12.75" hidden="1" customHeight="1" outlineLevel="1" x14ac:dyDescent="0.25">
      <c r="A3092" s="135">
        <v>0.02</v>
      </c>
      <c r="B3092" s="151" t="s">
        <v>10245</v>
      </c>
      <c r="C3092" s="410">
        <v>39.884999999999998</v>
      </c>
      <c r="D3092" s="2738">
        <f>VLOOKUP(H3092,indexy!$C$44:$D$823,2,FALSE)</f>
        <v>36.29</v>
      </c>
      <c r="E3092" s="1463">
        <f t="shared" si="68"/>
        <v>-9.0134135639964863E-2</v>
      </c>
      <c r="F3092" s="1494">
        <f t="shared" si="67"/>
        <v>-1.8026827127992973E-3</v>
      </c>
      <c r="G3092" s="415"/>
      <c r="H3092" s="415" t="str">
        <f>VLOOKUP(B3092,indexy!$A$44:$D$823,3,FALSE)</f>
        <v>CFG UN Equity</v>
      </c>
      <c r="J3092" s="434"/>
    </row>
    <row r="3093" spans="1:11" ht="12.75" hidden="1" customHeight="1" outlineLevel="1" x14ac:dyDescent="0.25">
      <c r="A3093" s="135">
        <v>0.02</v>
      </c>
      <c r="B3093" s="151" t="s">
        <v>7218</v>
      </c>
      <c r="C3093" s="410">
        <v>113.56</v>
      </c>
      <c r="D3093" s="2738">
        <f>VLOOKUP(H3093,indexy!$C$44:$D$823,2,FALSE)</f>
        <v>167.15</v>
      </c>
      <c r="E3093" s="1463">
        <f t="shared" si="68"/>
        <v>0.47190912293060938</v>
      </c>
      <c r="F3093" s="1494">
        <f t="shared" si="67"/>
        <v>9.438182458612188E-3</v>
      </c>
      <c r="G3093" s="415"/>
      <c r="H3093" s="415" t="str">
        <f>VLOOKUP(B3093,indexy!$A$44:$D$823,3,FALSE)</f>
        <v>DRI UN Equity</v>
      </c>
      <c r="J3093" s="434"/>
    </row>
    <row r="3094" spans="1:11" ht="12.75" hidden="1" customHeight="1" outlineLevel="1" x14ac:dyDescent="0.25">
      <c r="A3094" s="135">
        <v>0.04</v>
      </c>
      <c r="B3094" s="151" t="s">
        <v>2629</v>
      </c>
      <c r="C3094" s="410">
        <v>14.71</v>
      </c>
      <c r="D3094" s="2738">
        <f>VLOOKUP(H3094,indexy!$C$44:$D$823,2,FALSE)</f>
        <v>22.5</v>
      </c>
      <c r="E3094" s="1463">
        <f t="shared" si="68"/>
        <v>0.52957171991842267</v>
      </c>
      <c r="F3094" s="1494">
        <f t="shared" si="67"/>
        <v>2.1182868796736906E-2</v>
      </c>
      <c r="G3094" s="415"/>
      <c r="H3094" s="415" t="str">
        <f>VLOOKUP(B3094,indexy!$A$44:$D$823,3,FALSE)</f>
        <v>DTE GY Equity</v>
      </c>
      <c r="J3094" s="434"/>
    </row>
    <row r="3095" spans="1:11" ht="12.75" hidden="1" customHeight="1" outlineLevel="1" x14ac:dyDescent="0.25">
      <c r="A3095" s="135">
        <v>0.02</v>
      </c>
      <c r="B3095" s="151" t="s">
        <v>10246</v>
      </c>
      <c r="C3095" s="410">
        <v>95.034000000000006</v>
      </c>
      <c r="D3095" s="2738">
        <f>VLOOKUP(H3095,indexy!$C$44:$D$823,2,FALSE)</f>
        <v>312.68</v>
      </c>
      <c r="E3095" s="1463">
        <f t="shared" si="68"/>
        <v>2.2901908790538124</v>
      </c>
      <c r="F3095" s="1494">
        <f t="shared" si="67"/>
        <v>4.5803817581076246E-2</v>
      </c>
      <c r="G3095" s="415"/>
      <c r="H3095" s="415" t="str">
        <f>VLOOKUP(B3095,indexy!$A$44:$D$823,3,FALSE)</f>
        <v>ETN UN Equity</v>
      </c>
      <c r="J3095" s="434"/>
    </row>
    <row r="3096" spans="1:11" ht="12.75" hidden="1" customHeight="1" outlineLevel="1" x14ac:dyDescent="0.25">
      <c r="A3096" s="135">
        <v>0.02</v>
      </c>
      <c r="B3096" s="151" t="s">
        <v>3425</v>
      </c>
      <c r="C3096" s="410">
        <v>68.837000000000003</v>
      </c>
      <c r="D3096" s="2738">
        <f>VLOOKUP(H3096,indexy!$C$44:$D$823,2,FALSE)</f>
        <v>116.24</v>
      </c>
      <c r="E3096" s="1463">
        <f t="shared" si="68"/>
        <v>0.68862675595973077</v>
      </c>
      <c r="F3096" s="1494">
        <f t="shared" si="67"/>
        <v>1.3772535119194615E-2</v>
      </c>
      <c r="G3096" s="415"/>
      <c r="H3096" s="415" t="str">
        <f>VLOOKUP(B3096,indexy!$A$44:$D$823,3,FALSE)</f>
        <v>XOM UN Equity</v>
      </c>
      <c r="J3096" s="434"/>
    </row>
    <row r="3097" spans="1:11" ht="12.75" hidden="1" customHeight="1" outlineLevel="1" x14ac:dyDescent="0.25">
      <c r="A3097" s="135">
        <v>0.08</v>
      </c>
      <c r="B3097" s="151" t="s">
        <v>4268</v>
      </c>
      <c r="C3097" s="410">
        <v>22.062999999999999</v>
      </c>
      <c r="D3097" s="2738">
        <f>VLOOKUP(H3097,indexy!$C$44:$D$823,2,FALSE)</f>
        <v>11.445</v>
      </c>
      <c r="E3097" s="1463">
        <f t="shared" si="68"/>
        <v>-0.4812582151112722</v>
      </c>
      <c r="F3097" s="1494">
        <f t="shared" si="67"/>
        <v>-3.8500657208901778E-2</v>
      </c>
      <c r="G3097" s="415"/>
      <c r="H3097" s="415" t="str">
        <f>VLOOKUP(B3097,indexy!$A$44:$D$823,3,FALSE)</f>
        <v>FORTUM FH Equity</v>
      </c>
      <c r="J3097" s="434"/>
    </row>
    <row r="3098" spans="1:11" ht="12.75" hidden="1" customHeight="1" outlineLevel="1" x14ac:dyDescent="0.25">
      <c r="A3098" s="135">
        <v>0.02</v>
      </c>
      <c r="B3098" s="151" t="s">
        <v>9799</v>
      </c>
      <c r="C3098" s="410">
        <v>35.070999999999998</v>
      </c>
      <c r="D3098" s="2738">
        <f>VLOOKUP(H3098,indexy!$C$44:$D$823,2,FALSE)</f>
        <v>45.35</v>
      </c>
      <c r="E3098" s="1463">
        <f t="shared" si="68"/>
        <v>0.293091157936757</v>
      </c>
      <c r="F3098" s="1494">
        <f t="shared" si="67"/>
        <v>5.86182315873514E-3</v>
      </c>
      <c r="G3098" s="415"/>
      <c r="H3098" s="415" t="str">
        <f>VLOOKUP(B3098,indexy!$A$44:$D$823,3,FALSE)</f>
        <v>GM UN Equity</v>
      </c>
      <c r="J3098" s="434"/>
    </row>
    <row r="3099" spans="1:11" ht="12.75" hidden="1" customHeight="1" outlineLevel="1" x14ac:dyDescent="0.25">
      <c r="A3099" s="135">
        <v>0.02</v>
      </c>
      <c r="B3099" s="151" t="s">
        <v>4036</v>
      </c>
      <c r="C3099" s="410">
        <v>17.645</v>
      </c>
      <c r="D3099" s="2738">
        <f>VLOOKUP(H3099,indexy!$C$44:$D$823,2,FALSE)</f>
        <v>20.66</v>
      </c>
      <c r="E3099" s="1463">
        <f t="shared" si="68"/>
        <v>0.17086993482572965</v>
      </c>
      <c r="F3099" s="1494">
        <f t="shared" si="67"/>
        <v>3.4173986965145933E-3</v>
      </c>
      <c r="G3099" s="415"/>
      <c r="H3099" s="415" t="str">
        <f>VLOOKUP(B3099,indexy!$A$44:$D$823,3,FALSE)</f>
        <v>HST UN Equity</v>
      </c>
      <c r="J3099" s="434"/>
    </row>
    <row r="3100" spans="1:11" ht="12.75" hidden="1" customHeight="1" outlineLevel="1" x14ac:dyDescent="0.25">
      <c r="A3100" s="135">
        <v>0.08</v>
      </c>
      <c r="B3100" s="151" t="s">
        <v>1031</v>
      </c>
      <c r="C3100" s="2740">
        <v>9.1631999999999998</v>
      </c>
      <c r="D3100" s="2738">
        <f>VLOOKUP(H3100,indexy!$C$44:$D$823,2,FALSE)</f>
        <v>11.494999999999999</v>
      </c>
      <c r="E3100" s="1463">
        <f t="shared" si="68"/>
        <v>0.2544744194167976</v>
      </c>
      <c r="F3100" s="1494">
        <f t="shared" si="67"/>
        <v>2.035795355334381E-2</v>
      </c>
      <c r="G3100" s="415"/>
      <c r="H3100" s="415" t="str">
        <f>VLOOKUP(B3100,indexy!$A$44:$D$823,3,FALSE)</f>
        <v>IBE SQ Equity</v>
      </c>
      <c r="J3100" s="434"/>
    </row>
    <row r="3101" spans="1:11" ht="12.75" hidden="1" customHeight="1" outlineLevel="1" x14ac:dyDescent="0.25">
      <c r="A3101" s="135">
        <v>0.02</v>
      </c>
      <c r="B3101" s="151" t="s">
        <v>4034</v>
      </c>
      <c r="C3101" s="410">
        <v>22.299499999999998</v>
      </c>
      <c r="D3101" s="2738">
        <f>VLOOKUP(H3101,indexy!$C$44:$D$823,2,FALSE)</f>
        <v>27.72</v>
      </c>
      <c r="E3101" s="1463">
        <f t="shared" si="68"/>
        <v>0.24307719904033731</v>
      </c>
      <c r="F3101" s="1494">
        <f t="shared" si="67"/>
        <v>4.861543980806746E-3</v>
      </c>
      <c r="G3101" s="415"/>
      <c r="H3101" s="415" t="str">
        <f>VLOOKUP(B3101,indexy!$A$44:$D$823,3,FALSE)</f>
        <v>AD NA Equity</v>
      </c>
      <c r="J3101" s="434"/>
    </row>
    <row r="3102" spans="1:11" ht="12.75" hidden="1" customHeight="1" outlineLevel="1" x14ac:dyDescent="0.25">
      <c r="A3102" s="135">
        <v>0.02</v>
      </c>
      <c r="B3102" s="151" t="s">
        <v>7838</v>
      </c>
      <c r="C3102" s="410">
        <v>52.176000000000002</v>
      </c>
      <c r="D3102" s="2738">
        <f>VLOOKUP(H3102,indexy!$C$44:$D$823,2,FALSE)</f>
        <v>74.11</v>
      </c>
      <c r="E3102" s="1463">
        <f t="shared" si="68"/>
        <v>0.4203848512726156</v>
      </c>
      <c r="F3102" s="1494">
        <f t="shared" si="67"/>
        <v>8.4076970254523126E-3</v>
      </c>
      <c r="G3102" s="415"/>
      <c r="H3102" s="415" t="str">
        <f>VLOOKUP(B3102,indexy!$A$44:$D$823,3,FALSE)</f>
        <v>MET UN Equity</v>
      </c>
      <c r="J3102" s="434"/>
    </row>
    <row r="3103" spans="1:11" ht="12.75" hidden="1" customHeight="1" outlineLevel="1" x14ac:dyDescent="0.25">
      <c r="A3103" s="135">
        <v>0.02</v>
      </c>
      <c r="B3103" s="151" t="s">
        <v>7321</v>
      </c>
      <c r="C3103" s="410">
        <f>110.26/4</f>
        <v>27.565000000000001</v>
      </c>
      <c r="D3103" s="2738">
        <f>VLOOKUP(H3103,indexy!$C$44:$D$823,2,FALSE)</f>
        <v>35.520000000000003</v>
      </c>
      <c r="E3103" s="1463">
        <f t="shared" si="68"/>
        <v>0.28859060402684578</v>
      </c>
      <c r="F3103" s="1494">
        <f t="shared" si="67"/>
        <v>5.771812080536916E-3</v>
      </c>
      <c r="G3103" s="415"/>
      <c r="H3103" s="415" t="str">
        <f>VLOOKUP(B3103,indexy!$A$44:$D$823,3,FALSE)</f>
        <v>ML FP Equity</v>
      </c>
      <c r="J3103" s="434"/>
    </row>
    <row r="3104" spans="1:11" ht="12.75" hidden="1" customHeight="1" outlineLevel="1" x14ac:dyDescent="0.25">
      <c r="A3104" s="135">
        <v>0.03</v>
      </c>
      <c r="B3104" s="151" t="s">
        <v>1772</v>
      </c>
      <c r="C3104" s="410">
        <v>268.2</v>
      </c>
      <c r="D3104" s="2738">
        <f>VLOOKUP(H3104,indexy!$C$44:$D$823,2,FALSE)</f>
        <v>452.3</v>
      </c>
      <c r="E3104" s="1463">
        <f t="shared" si="68"/>
        <v>0.68642803877703229</v>
      </c>
      <c r="F3104" s="1494">
        <f t="shared" si="67"/>
        <v>2.059284116331097E-2</v>
      </c>
      <c r="G3104" s="415"/>
      <c r="H3104" s="415" t="str">
        <f>VLOOKUP(B3104,indexy!$A$44:$D$823,3,FALSE)</f>
        <v>MUV2 GY Equity</v>
      </c>
      <c r="J3104" s="434"/>
    </row>
    <row r="3105" spans="1:10" ht="12.75" hidden="1" customHeight="1" outlineLevel="1" x14ac:dyDescent="0.25">
      <c r="A3105" s="135">
        <v>0.08</v>
      </c>
      <c r="B3105" s="151" t="s">
        <v>2787</v>
      </c>
      <c r="C3105" s="410">
        <v>91.984999999999999</v>
      </c>
      <c r="D3105" s="2738">
        <f>VLOOKUP(H3105,indexy!$C$44:$D$823,2,FALSE)</f>
        <v>87.37</v>
      </c>
      <c r="E3105" s="1463">
        <f t="shared" si="68"/>
        <v>-5.0171223569060119E-2</v>
      </c>
      <c r="F3105" s="1494">
        <f t="shared" si="67"/>
        <v>-4.0136978855248098E-3</v>
      </c>
      <c r="G3105" s="415"/>
      <c r="H3105" s="415" t="str">
        <f>VLOOKUP(B3105,indexy!$A$44:$D$823,3,FALSE)</f>
        <v>NOVN SE Equity</v>
      </c>
      <c r="J3105" s="434"/>
    </row>
    <row r="3106" spans="1:10" ht="12.75" hidden="1" customHeight="1" outlineLevel="1" x14ac:dyDescent="0.25">
      <c r="A3106" s="135">
        <v>0.02</v>
      </c>
      <c r="B3106" s="151" t="s">
        <v>10247</v>
      </c>
      <c r="C3106" s="410">
        <v>55.888500000000001</v>
      </c>
      <c r="D3106" s="2738">
        <f>VLOOKUP(H3106,indexy!$C$44:$D$823,2,FALSE)</f>
        <v>86.31</v>
      </c>
      <c r="E3106" s="1463">
        <f t="shared" si="68"/>
        <v>0.54432486110738343</v>
      </c>
      <c r="F3106" s="1494">
        <f t="shared" si="67"/>
        <v>1.0886497222147669E-2</v>
      </c>
      <c r="G3106" s="415"/>
      <c r="H3106" s="415" t="str">
        <f>VLOOKUP(B3106,indexy!$A$44:$D$823,3,FALSE)</f>
        <v>PFG UW Equity</v>
      </c>
      <c r="J3106" s="434"/>
    </row>
    <row r="3107" spans="1:10" ht="12.75" hidden="1" customHeight="1" outlineLevel="1" x14ac:dyDescent="0.25">
      <c r="A3107" s="135">
        <v>0.02</v>
      </c>
      <c r="B3107" s="151" t="s">
        <v>5205</v>
      </c>
      <c r="C3107" s="410">
        <v>22.537500000000001</v>
      </c>
      <c r="D3107" s="2738">
        <f>VLOOKUP(H3107,indexy!$C$44:$D$823,2,FALSE)/100</f>
        <v>18.952000000000002</v>
      </c>
      <c r="E3107" s="1463">
        <f t="shared" si="68"/>
        <v>-0.15909040488075432</v>
      </c>
      <c r="F3107" s="1494">
        <f t="shared" si="67"/>
        <v>-3.1818080976150865E-3</v>
      </c>
      <c r="G3107" s="415"/>
      <c r="H3107" s="415" t="str">
        <f>VLOOKUP(B3107,indexy!$A$44:$D$823,3,FALSE)</f>
        <v>RDSA LN Equity</v>
      </c>
      <c r="J3107" s="434"/>
    </row>
    <row r="3108" spans="1:10" ht="12.75" hidden="1" customHeight="1" outlineLevel="1" x14ac:dyDescent="0.25">
      <c r="A3108" s="135">
        <v>0.04</v>
      </c>
      <c r="B3108" s="151" t="s">
        <v>1187</v>
      </c>
      <c r="C3108" s="410">
        <v>91.817999999999998</v>
      </c>
      <c r="D3108" s="2738">
        <f>VLOOKUP(H3108,indexy!$C$44:$D$823,2,FALSE)</f>
        <v>90.96</v>
      </c>
      <c r="E3108" s="1463">
        <f t="shared" si="68"/>
        <v>-9.3445729595504901E-3</v>
      </c>
      <c r="F3108" s="1494">
        <f t="shared" si="67"/>
        <v>-3.737829183820196E-4</v>
      </c>
      <c r="G3108" s="415"/>
      <c r="H3108" s="415" t="str">
        <f>VLOOKUP(B3108,indexy!$A$44:$D$823,3,FALSE)</f>
        <v>SAN FP Equity</v>
      </c>
      <c r="J3108" s="434"/>
    </row>
    <row r="3109" spans="1:10" ht="12.75" hidden="1" customHeight="1" outlineLevel="1" x14ac:dyDescent="0.25">
      <c r="A3109" s="135">
        <v>0.02</v>
      </c>
      <c r="B3109" s="151" t="s">
        <v>1214</v>
      </c>
      <c r="C3109" s="410">
        <v>116.652</v>
      </c>
      <c r="D3109" s="2738">
        <f>VLOOKUP(H3109,indexy!$C$44:$D$823,2,FALSE)</f>
        <v>176.96</v>
      </c>
      <c r="E3109" s="1463">
        <f t="shared" si="68"/>
        <v>0.51699070740321651</v>
      </c>
      <c r="F3109" s="1494">
        <f t="shared" si="67"/>
        <v>1.0339814148064331E-2</v>
      </c>
      <c r="G3109" s="415"/>
      <c r="H3109" s="415" t="str">
        <f>VLOOKUP(B3109,indexy!$A$44:$D$823,3,FALSE)</f>
        <v>SIE GY Equity</v>
      </c>
      <c r="J3109" s="434"/>
    </row>
    <row r="3110" spans="1:10" ht="12.75" hidden="1" customHeight="1" outlineLevel="1" x14ac:dyDescent="0.25">
      <c r="A3110" s="135">
        <v>0.08</v>
      </c>
      <c r="B3110" s="151" t="s">
        <v>6118</v>
      </c>
      <c r="C3110" s="410">
        <v>108.43</v>
      </c>
      <c r="D3110" s="2738">
        <f>VLOOKUP(H3110,indexy!$C$44:$D$823,2,FALSE)</f>
        <v>115.95</v>
      </c>
      <c r="E3110" s="1463">
        <f t="shared" si="68"/>
        <v>6.9353499953887177E-2</v>
      </c>
      <c r="F3110" s="1494">
        <f t="shared" si="67"/>
        <v>5.5482799963109744E-3</v>
      </c>
      <c r="G3110" s="415"/>
      <c r="H3110" s="415" t="str">
        <f>VLOOKUP(B3110,indexy!$A$44:$D$823,3,FALSE)</f>
        <v>SREN SE Equity</v>
      </c>
      <c r="J3110" s="434"/>
    </row>
    <row r="3111" spans="1:10" ht="12.75" hidden="1" customHeight="1" outlineLevel="1" x14ac:dyDescent="0.25">
      <c r="A3111" s="135">
        <v>0.02</v>
      </c>
      <c r="B3111" s="151" t="s">
        <v>3383</v>
      </c>
      <c r="C3111" s="410">
        <v>160.91</v>
      </c>
      <c r="D3111" s="2738">
        <f>VLOOKUP(H3111,indexy!$C$44:$D$823,2,FALSE)</f>
        <v>120.75</v>
      </c>
      <c r="E3111" s="1463">
        <f t="shared" si="68"/>
        <v>-0.24958051084457145</v>
      </c>
      <c r="F3111" s="1494">
        <f t="shared" si="67"/>
        <v>-4.9916102168914289E-3</v>
      </c>
      <c r="G3111" s="415"/>
      <c r="H3111" s="415" t="str">
        <f>VLOOKUP(B3111,indexy!$A$44:$D$823,3,FALSE)</f>
        <v>TEL NO Equity</v>
      </c>
      <c r="J3111" s="434"/>
    </row>
    <row r="3112" spans="1:10" ht="12.75" hidden="1" customHeight="1" outlineLevel="1" x14ac:dyDescent="0.25">
      <c r="A3112" s="135">
        <v>0.08</v>
      </c>
      <c r="B3112" s="151" t="s">
        <v>434</v>
      </c>
      <c r="C3112" s="410">
        <v>40.54</v>
      </c>
      <c r="D3112" s="2738">
        <f>VLOOKUP(H3112,indexy!$C$44:$D$823,2,FALSE)</f>
        <v>27.43</v>
      </c>
      <c r="E3112" s="1463">
        <f t="shared" si="68"/>
        <v>-0.32338431179082383</v>
      </c>
      <c r="F3112" s="1494">
        <f t="shared" si="67"/>
        <v>-2.5870744943265907E-2</v>
      </c>
      <c r="G3112" s="415"/>
      <c r="H3112" s="415" t="str">
        <f>VLOOKUP(B3112,indexy!$A$44:$D$823,3,FALSE)</f>
        <v>TELIA SS Equity</v>
      </c>
      <c r="J3112" s="434"/>
    </row>
    <row r="3113" spans="1:10" ht="12.75" hidden="1" customHeight="1" outlineLevel="1" x14ac:dyDescent="0.25">
      <c r="A3113" s="135">
        <v>0.03</v>
      </c>
      <c r="B3113" s="151" t="s">
        <v>10633</v>
      </c>
      <c r="C3113" s="410">
        <v>49.1265</v>
      </c>
      <c r="D3113" s="2738">
        <f>VLOOKUP(H3113,indexy!$C$44:$D$823,2,FALSE)</f>
        <v>63.47</v>
      </c>
      <c r="E3113" s="1463">
        <f t="shared" si="68"/>
        <v>0.2919707286291513</v>
      </c>
      <c r="F3113" s="1494">
        <f>E3113*A3113</f>
        <v>8.7591218588745391E-3</v>
      </c>
      <c r="G3113" s="415"/>
      <c r="H3113" s="415" t="str">
        <f>VLOOKUP(B3113,indexy!$A$44:$D$823,3,FALSE)</f>
        <v>TTE FP Equity</v>
      </c>
      <c r="J3113" s="434"/>
    </row>
    <row r="3114" spans="1:10" ht="12.75" hidden="1" customHeight="1" outlineLevel="1" x14ac:dyDescent="0.25">
      <c r="A3114" s="135">
        <v>0.03</v>
      </c>
      <c r="B3114" s="151" t="s">
        <v>106</v>
      </c>
      <c r="C3114" s="410">
        <v>43.407499999999999</v>
      </c>
      <c r="D3114" s="2738">
        <f>VLOOKUP(H3114,indexy!$C$44:$D$946,2,FALSE)/100</f>
        <v>39.755000000000003</v>
      </c>
      <c r="E3114" s="1463">
        <f t="shared" si="68"/>
        <v>-8.4144445084374686E-2</v>
      </c>
      <c r="F3114" s="1494">
        <f>E3114*A3114</f>
        <v>-2.5243333525312404E-3</v>
      </c>
      <c r="G3114" s="415"/>
      <c r="H3114" s="415" t="str">
        <f>VLOOKUP(B3114,indexy!$A$44:$D$946,3,FALSE)</f>
        <v>ULVR LN Equity</v>
      </c>
      <c r="J3114" s="434"/>
    </row>
    <row r="3115" spans="1:10" ht="12.75" hidden="1" customHeight="1" outlineLevel="1" x14ac:dyDescent="0.25">
      <c r="A3115" s="135">
        <v>0.02</v>
      </c>
      <c r="B3115" s="151" t="s">
        <v>579</v>
      </c>
      <c r="C3115" s="410">
        <v>1.5371999999999999</v>
      </c>
      <c r="D3115" s="2738">
        <f>VLOOKUP(H3115,indexy!$C$44:$D$823,2,FALSE)/100</f>
        <v>0.70459999999999989</v>
      </c>
      <c r="E3115" s="1463">
        <f t="shared" si="68"/>
        <v>-0.5416341399947957</v>
      </c>
      <c r="F3115" s="1494">
        <f>E3115*A3115</f>
        <v>-1.0832682799895915E-2</v>
      </c>
      <c r="G3115" s="415"/>
      <c r="H3115" s="415" t="str">
        <f>VLOOKUP(B3115,indexy!$A$44:$D$823,3,FALSE)</f>
        <v>VOD LN Equity</v>
      </c>
      <c r="J3115" s="434"/>
    </row>
    <row r="3116" spans="1:10" ht="12.75" hidden="1" customHeight="1" outlineLevel="1" x14ac:dyDescent="0.25">
      <c r="A3116" s="135">
        <v>0.02</v>
      </c>
      <c r="B3116" s="151" t="s">
        <v>7916</v>
      </c>
      <c r="C3116" s="410">
        <v>54.396000000000001</v>
      </c>
      <c r="D3116" s="2738">
        <f>VLOOKUP(H3116,indexy!$C$44:$D$823,2,FALSE)</f>
        <v>21.69</v>
      </c>
      <c r="E3116" s="1463">
        <f t="shared" si="68"/>
        <v>-0.60125744540039705</v>
      </c>
      <c r="F3116" s="1494">
        <f>E3116*A3116</f>
        <v>-1.2025148908007941E-2</v>
      </c>
      <c r="G3116" s="415"/>
      <c r="H3116" s="415" t="str">
        <f>VLOOKUP(B3116,indexy!$A$44:$D$823,3,FALSE)</f>
        <v>WBA UW Equity</v>
      </c>
      <c r="J3116" s="434"/>
    </row>
    <row r="3117" spans="1:10" ht="12.75" hidden="1" customHeight="1" outlineLevel="1" x14ac:dyDescent="0.25">
      <c r="A3117" s="135">
        <v>0.05</v>
      </c>
      <c r="B3117" s="2736" t="s">
        <v>3306</v>
      </c>
      <c r="C3117" s="2741">
        <v>10.400499999999999</v>
      </c>
      <c r="D3117" s="2739">
        <f>VLOOKUP(H3117,indexy!$C$44:$D$823,2,FALSE)/100</f>
        <v>7.5360000000000005</v>
      </c>
      <c r="E3117" s="1463">
        <f t="shared" si="68"/>
        <v>-0.27541945098793319</v>
      </c>
      <c r="F3117" s="1494">
        <f>E3117*A3117</f>
        <v>-1.3770972549396659E-2</v>
      </c>
      <c r="G3117" s="415"/>
      <c r="H3117" s="415" t="str">
        <f>VLOOKUP(B3117,indexy!$A$44:$D$823,3,FALSE)</f>
        <v>WPP LN Equity</v>
      </c>
      <c r="J3117" s="434"/>
    </row>
    <row r="3118" spans="1:10" ht="12.75" hidden="1" customHeight="1" outlineLevel="1" x14ac:dyDescent="0.25">
      <c r="A3118" s="1475" t="s">
        <v>2734</v>
      </c>
      <c r="B3118" s="150"/>
      <c r="C3118" s="1477">
        <v>100</v>
      </c>
      <c r="D3118" s="1477"/>
      <c r="E3118" s="1599"/>
      <c r="F3118" s="1599">
        <f>SUM(F3088:F3117)</f>
        <v>9.2337459894453397E-2</v>
      </c>
      <c r="G3118" s="415"/>
      <c r="H3118" s="415"/>
    </row>
    <row r="3119" spans="1:10" ht="12.75" hidden="1" customHeight="1" outlineLevel="1" x14ac:dyDescent="0.25">
      <c r="A3119" s="221" t="s">
        <v>10296</v>
      </c>
      <c r="B3119" s="1478">
        <v>45658</v>
      </c>
      <c r="C3119" s="1497">
        <v>100</v>
      </c>
      <c r="D3119" s="1497"/>
      <c r="E3119" s="1498">
        <f>IF(D3119="",F3118,D3119/C3119-1)</f>
        <v>9.2337459894453397E-2</v>
      </c>
      <c r="F3119" s="1499"/>
      <c r="G3119" s="415"/>
      <c r="H3119" s="415"/>
    </row>
    <row r="3120" spans="1:10" ht="12.75" hidden="1" customHeight="1" outlineLevel="1" x14ac:dyDescent="0.25">
      <c r="A3120" s="221" t="s">
        <v>10297</v>
      </c>
      <c r="B3120" s="1478">
        <v>45689</v>
      </c>
      <c r="C3120" s="1497">
        <v>100</v>
      </c>
      <c r="D3120" s="1500"/>
      <c r="E3120" s="1498">
        <f>IF(D3120="",E3119,D3120/C3120-1)</f>
        <v>9.2337459894453397E-2</v>
      </c>
      <c r="F3120" s="1499"/>
      <c r="G3120" s="415"/>
      <c r="H3120" s="415"/>
    </row>
    <row r="3121" spans="1:18" ht="12.75" hidden="1" customHeight="1" outlineLevel="1" x14ac:dyDescent="0.25">
      <c r="A3121" s="221" t="s">
        <v>10298</v>
      </c>
      <c r="B3121" s="1478">
        <v>45717</v>
      </c>
      <c r="C3121" s="1497">
        <v>100</v>
      </c>
      <c r="D3121" s="1500"/>
      <c r="E3121" s="1498">
        <f>IF(D3121="",E3120,D3121/C3121-1)</f>
        <v>9.2337459894453397E-2</v>
      </c>
      <c r="F3121" s="1499"/>
      <c r="G3121" s="415"/>
      <c r="H3121" s="415"/>
    </row>
    <row r="3122" spans="1:18" ht="12.75" hidden="1" customHeight="1" outlineLevel="1" x14ac:dyDescent="0.25">
      <c r="A3122" s="221" t="s">
        <v>10287</v>
      </c>
      <c r="B3122" s="1478">
        <v>45748</v>
      </c>
      <c r="C3122" s="1497">
        <v>100</v>
      </c>
      <c r="D3122" s="1500"/>
      <c r="E3122" s="1498">
        <f>IF(D3122="",E3121,D3122/C3122-1)</f>
        <v>9.2337459894453397E-2</v>
      </c>
      <c r="F3122" s="1499"/>
      <c r="G3122" s="415"/>
      <c r="H3122" s="415"/>
    </row>
    <row r="3123" spans="1:18" ht="12.75" hidden="1" customHeight="1" outlineLevel="1" x14ac:dyDescent="0.25">
      <c r="A3123" s="221" t="s">
        <v>10288</v>
      </c>
      <c r="B3123" s="1478">
        <v>45778</v>
      </c>
      <c r="C3123" s="1497">
        <v>100</v>
      </c>
      <c r="D3123" s="1500"/>
      <c r="E3123" s="1498">
        <f t="shared" ref="E3123:E3128" si="69">IF(D3123="",E3122,D3123/C3123-1)</f>
        <v>9.2337459894453397E-2</v>
      </c>
      <c r="F3123" s="1499"/>
      <c r="G3123" s="415"/>
      <c r="H3123" s="415"/>
    </row>
    <row r="3124" spans="1:18" ht="12.75" hidden="1" customHeight="1" outlineLevel="1" x14ac:dyDescent="0.25">
      <c r="A3124" s="221" t="s">
        <v>10289</v>
      </c>
      <c r="B3124" s="1478">
        <v>45809</v>
      </c>
      <c r="C3124" s="1497">
        <v>100</v>
      </c>
      <c r="D3124" s="1500"/>
      <c r="E3124" s="1498">
        <f t="shared" si="69"/>
        <v>9.2337459894453397E-2</v>
      </c>
      <c r="F3124" s="1499"/>
      <c r="G3124" s="415"/>
      <c r="H3124" s="415"/>
    </row>
    <row r="3125" spans="1:18" ht="12.75" hidden="1" customHeight="1" outlineLevel="1" x14ac:dyDescent="0.25">
      <c r="A3125" s="221" t="s">
        <v>10290</v>
      </c>
      <c r="B3125" s="1478">
        <v>45839</v>
      </c>
      <c r="C3125" s="1497">
        <v>100</v>
      </c>
      <c r="D3125" s="1500"/>
      <c r="E3125" s="1498">
        <f t="shared" si="69"/>
        <v>9.2337459894453397E-2</v>
      </c>
      <c r="F3125" s="1499"/>
      <c r="G3125" s="415"/>
      <c r="H3125" s="415"/>
    </row>
    <row r="3126" spans="1:18" ht="12.75" hidden="1" customHeight="1" outlineLevel="1" x14ac:dyDescent="0.25">
      <c r="A3126" s="221" t="s">
        <v>10291</v>
      </c>
      <c r="B3126" s="1478">
        <v>45870</v>
      </c>
      <c r="C3126" s="1497">
        <v>100</v>
      </c>
      <c r="D3126" s="1500"/>
      <c r="E3126" s="1498">
        <f t="shared" si="69"/>
        <v>9.2337459894453397E-2</v>
      </c>
      <c r="F3126" s="1499"/>
      <c r="G3126" s="415"/>
      <c r="H3126" s="415"/>
    </row>
    <row r="3127" spans="1:18" ht="12.75" hidden="1" customHeight="1" outlineLevel="1" x14ac:dyDescent="0.25">
      <c r="A3127" s="221" t="s">
        <v>10292</v>
      </c>
      <c r="B3127" s="1478">
        <v>45901</v>
      </c>
      <c r="C3127" s="1497">
        <v>100</v>
      </c>
      <c r="D3127" s="1500"/>
      <c r="E3127" s="1498">
        <f t="shared" si="69"/>
        <v>9.2337459894453397E-2</v>
      </c>
      <c r="F3127" s="1499"/>
      <c r="G3127" s="415"/>
      <c r="H3127" s="415"/>
    </row>
    <row r="3128" spans="1:18" ht="12.75" hidden="1" customHeight="1" outlineLevel="1" x14ac:dyDescent="0.25">
      <c r="A3128" s="221" t="s">
        <v>10293</v>
      </c>
      <c r="B3128" s="1478">
        <v>45931</v>
      </c>
      <c r="C3128" s="1497">
        <v>100</v>
      </c>
      <c r="D3128" s="1500"/>
      <c r="E3128" s="1498">
        <f t="shared" si="69"/>
        <v>9.2337459894453397E-2</v>
      </c>
      <c r="F3128" s="1499"/>
      <c r="G3128" s="415"/>
      <c r="H3128" s="415"/>
    </row>
    <row r="3129" spans="1:18" ht="12.75" hidden="1" customHeight="1" outlineLevel="1" x14ac:dyDescent="0.25">
      <c r="A3129" s="221" t="s">
        <v>10294</v>
      </c>
      <c r="B3129" s="1478">
        <v>45962</v>
      </c>
      <c r="C3129" s="1497">
        <v>100</v>
      </c>
      <c r="D3129" s="1500"/>
      <c r="E3129" s="1498">
        <f>IF(D3129="",E3122,D3129/C3129-1)</f>
        <v>9.2337459894453397E-2</v>
      </c>
      <c r="F3129" s="1499"/>
      <c r="G3129" s="415"/>
      <c r="H3129" s="415"/>
    </row>
    <row r="3130" spans="1:18" ht="12.75" hidden="1" customHeight="1" outlineLevel="1" x14ac:dyDescent="0.25">
      <c r="A3130" s="221" t="s">
        <v>10295</v>
      </c>
      <c r="B3130" s="1478">
        <v>45992</v>
      </c>
      <c r="C3130" s="1497">
        <v>100</v>
      </c>
      <c r="D3130" s="1500"/>
      <c r="E3130" s="1498">
        <f>IF(D3130="",E3129,D3130/C3130-1)</f>
        <v>9.2337459894453397E-2</v>
      </c>
      <c r="F3130" s="1499"/>
      <c r="G3130" s="415"/>
      <c r="H3130" s="415"/>
    </row>
    <row r="3131" spans="1:18" s="444" customFormat="1" ht="12.75" hidden="1" customHeight="1" outlineLevel="1" x14ac:dyDescent="0.25">
      <c r="A3131" s="1483" t="s">
        <v>2734</v>
      </c>
      <c r="B3131" s="1484"/>
      <c r="C3131" s="1500"/>
      <c r="D3131" s="1485" t="s">
        <v>2465</v>
      </c>
      <c r="E3131" s="1486">
        <f>AVERAGE(E3119:E3130)</f>
        <v>9.2337459894453397E-2</v>
      </c>
      <c r="F3131" s="1487">
        <f>((((E3131*100)+100)-I3088)/100)</f>
        <v>0.38263545989445336</v>
      </c>
    </row>
    <row r="3132" spans="1:18" collapsed="1" x14ac:dyDescent="0.25">
      <c r="A3132" s="3799" t="s">
        <v>10213</v>
      </c>
      <c r="B3132" s="3800"/>
      <c r="C3132" s="3800"/>
      <c r="D3132" s="3800"/>
      <c r="E3132" s="18"/>
      <c r="F3132" s="186">
        <f>MAX(0%,MIN(F3131,100%))</f>
        <v>0.38263545989445336</v>
      </c>
      <c r="G3132" s="415"/>
    </row>
    <row r="3134" spans="1:18" ht="12.75" hidden="1" customHeight="1" outlineLevel="1" x14ac:dyDescent="0.25">
      <c r="A3134" s="2606" t="s">
        <v>4156</v>
      </c>
      <c r="B3134" s="2606" t="s">
        <v>4153</v>
      </c>
      <c r="C3134" s="2245" t="s">
        <v>112</v>
      </c>
      <c r="D3134" s="2608" t="s">
        <v>4155</v>
      </c>
      <c r="E3134" s="2606" t="s">
        <v>4154</v>
      </c>
      <c r="F3134" s="2608" t="s">
        <v>2519</v>
      </c>
      <c r="G3134" s="12"/>
      <c r="H3134" s="415"/>
      <c r="I3134" s="412" t="s">
        <v>6964</v>
      </c>
      <c r="J3134" s="1462">
        <v>43891</v>
      </c>
      <c r="K3134" s="1462">
        <v>43922</v>
      </c>
      <c r="L3134" s="1462">
        <v>43952</v>
      </c>
      <c r="M3134" s="1462">
        <v>43983</v>
      </c>
      <c r="N3134" s="1462">
        <v>44013</v>
      </c>
      <c r="O3134" s="1462">
        <v>44044</v>
      </c>
      <c r="P3134" s="1462"/>
      <c r="Q3134" s="1462"/>
      <c r="R3134" s="1462"/>
    </row>
    <row r="3135" spans="1:18" ht="12.75" hidden="1" customHeight="1" outlineLevel="1" x14ac:dyDescent="0.25">
      <c r="A3135" s="2034">
        <v>0.04</v>
      </c>
      <c r="B3135" s="2826" t="s">
        <v>218</v>
      </c>
      <c r="C3135" s="2827">
        <v>25.166</v>
      </c>
      <c r="D3135" s="2828">
        <f>VLOOKUP(H3135,indexy!$C$44:$D$823,2,FALSE)</f>
        <v>34.814999999999998</v>
      </c>
      <c r="E3135" s="2061">
        <f>D3135/C3135-1</f>
        <v>0.38341413017563375</v>
      </c>
      <c r="F3135" s="2062">
        <f>E3135*A3135</f>
        <v>1.533656520702535E-2</v>
      </c>
      <c r="G3135" s="415"/>
      <c r="H3135" s="415" t="str">
        <f>VLOOKUP(B3135,indexy!$A$44:$D$823,3,FALSE)</f>
        <v>CS FP Equity</v>
      </c>
      <c r="I3135" s="412">
        <f>IF(J3135="",100,MIN(100,J3135:Y3135))</f>
        <v>69.668099999999995</v>
      </c>
      <c r="J3135">
        <v>88.4221</v>
      </c>
      <c r="K3135">
        <v>69.668099999999995</v>
      </c>
      <c r="L3135">
        <v>72.034999999999997</v>
      </c>
      <c r="M3135">
        <v>78.497200000000007</v>
      </c>
      <c r="N3135">
        <v>79.523899999999998</v>
      </c>
      <c r="O3135">
        <v>79.118099999999998</v>
      </c>
    </row>
    <row r="3136" spans="1:18" ht="12.75" hidden="1" customHeight="1" outlineLevel="1" x14ac:dyDescent="0.25">
      <c r="A3136" s="1911">
        <v>0.02</v>
      </c>
      <c r="B3136" s="2826" t="s">
        <v>1188</v>
      </c>
      <c r="C3136" s="2829">
        <v>4.6432000000000002</v>
      </c>
      <c r="D3136" s="2830">
        <f>VLOOKUP(H3136,indexy!$C$44:$D$823,2,FALSE)/100</f>
        <v>4.9569999999999999</v>
      </c>
      <c r="E3136" s="2064">
        <f>D3136/C3136-1</f>
        <v>6.7582701585113591E-2</v>
      </c>
      <c r="F3136" s="2065">
        <f t="shared" ref="F3136:F3159" si="70">E3136*A3136</f>
        <v>1.3516540317022718E-3</v>
      </c>
      <c r="G3136" s="415"/>
      <c r="H3136" s="415" t="str">
        <f>VLOOKUP(B3136,indexy!$A$44:$D$823,3,FALSE)</f>
        <v>BP/ LN Equity</v>
      </c>
      <c r="I3136" s="422">
        <f>+(((E3178*100)+100)-I3135)/100</f>
        <v>0.39999607015297201</v>
      </c>
    </row>
    <row r="3137" spans="1:11" ht="12.75" hidden="1" customHeight="1" outlineLevel="1" x14ac:dyDescent="0.25">
      <c r="A3137" s="1911">
        <v>0.02</v>
      </c>
      <c r="B3137" s="2826" t="s">
        <v>6444</v>
      </c>
      <c r="C3137" s="2829">
        <v>31.077999999999999</v>
      </c>
      <c r="D3137" s="2830">
        <f>VLOOKUP(H3137,indexy!$C$44:$D$823,2,FALSE)/100</f>
        <v>11.695</v>
      </c>
      <c r="E3137" s="2064">
        <f t="shared" ref="E3137:E3164" si="71">D3137/C3137-1</f>
        <v>-0.62368878306197306</v>
      </c>
      <c r="F3137" s="2065">
        <f t="shared" si="70"/>
        <v>-1.2473775661239462E-2</v>
      </c>
      <c r="G3137" s="415"/>
      <c r="H3137" s="415" t="str">
        <f>VLOOKUP(B3137,indexy!$A$44:$D$823,3,FALSE)</f>
        <v>CCL LN Equity</v>
      </c>
      <c r="J3137" s="434"/>
    </row>
    <row r="3138" spans="1:11" ht="12.75" hidden="1" customHeight="1" outlineLevel="1" x14ac:dyDescent="0.25">
      <c r="A3138" s="1911">
        <v>0.02</v>
      </c>
      <c r="B3138" s="2826" t="s">
        <v>51</v>
      </c>
      <c r="C3138" s="2829">
        <v>35.718499999999999</v>
      </c>
      <c r="D3138" s="2830">
        <f>VLOOKUP(H3138,indexy!$C$44:$D$823,2,FALSE)</f>
        <v>71.930000000000007</v>
      </c>
      <c r="E3138" s="2064">
        <f t="shared" si="71"/>
        <v>1.0138023713201845</v>
      </c>
      <c r="F3138" s="2065">
        <f t="shared" si="70"/>
        <v>2.0276047426403689E-2</v>
      </c>
      <c r="G3138" s="415"/>
      <c r="H3138" s="415" t="str">
        <f>VLOOKUP(B3138,indexy!$A$44:$D$823,3,FALSE)</f>
        <v>SGO FP Equity</v>
      </c>
      <c r="J3138" s="434"/>
      <c r="K3138" s="37"/>
    </row>
    <row r="3139" spans="1:11" ht="12.75" hidden="1" customHeight="1" outlineLevel="1" x14ac:dyDescent="0.25">
      <c r="A3139" s="1911">
        <v>0.02</v>
      </c>
      <c r="B3139" s="2826" t="s">
        <v>10245</v>
      </c>
      <c r="C3139" s="2829">
        <v>38.511000000000003</v>
      </c>
      <c r="D3139" s="2830">
        <f>VLOOKUP(H3139,indexy!$C$44:$D$823,2,FALSE)</f>
        <v>36.29</v>
      </c>
      <c r="E3139" s="2064">
        <f t="shared" si="71"/>
        <v>-5.7671834021448487E-2</v>
      </c>
      <c r="F3139" s="2065">
        <f t="shared" si="70"/>
        <v>-1.1534366804289698E-3</v>
      </c>
      <c r="G3139" s="415"/>
      <c r="H3139" s="415" t="str">
        <f>VLOOKUP(B3139,indexy!$A$44:$D$823,3,FALSE)</f>
        <v>CFG UN Equity</v>
      </c>
      <c r="J3139" s="434"/>
    </row>
    <row r="3140" spans="1:11" ht="12.75" hidden="1" customHeight="1" outlineLevel="1" x14ac:dyDescent="0.25">
      <c r="A3140" s="1911">
        <v>0.02</v>
      </c>
      <c r="B3140" s="2826" t="s">
        <v>7218</v>
      </c>
      <c r="C3140" s="2829">
        <v>121.411</v>
      </c>
      <c r="D3140" s="2830">
        <f>VLOOKUP(H3140,indexy!$C$44:$D$823,2,FALSE)</f>
        <v>167.15</v>
      </c>
      <c r="E3140" s="2064">
        <f t="shared" si="71"/>
        <v>0.37672863249623179</v>
      </c>
      <c r="F3140" s="2065">
        <f t="shared" si="70"/>
        <v>7.5345726499246356E-3</v>
      </c>
      <c r="G3140" s="415"/>
      <c r="H3140" s="415" t="str">
        <f>VLOOKUP(B3140,indexy!$A$44:$D$823,3,FALSE)</f>
        <v>DRI UN Equity</v>
      </c>
      <c r="J3140" s="434"/>
    </row>
    <row r="3141" spans="1:11" ht="12.75" hidden="1" customHeight="1" outlineLevel="1" x14ac:dyDescent="0.25">
      <c r="A3141" s="1911">
        <v>0.05</v>
      </c>
      <c r="B3141" s="2826" t="s">
        <v>2629</v>
      </c>
      <c r="C3141" s="2829">
        <v>15.673400000000001</v>
      </c>
      <c r="D3141" s="2830">
        <f>VLOOKUP(H3141,indexy!$C$44:$D$823,2,FALSE)</f>
        <v>22.5</v>
      </c>
      <c r="E3141" s="2064">
        <f t="shared" si="71"/>
        <v>0.4355532303137799</v>
      </c>
      <c r="F3141" s="2065">
        <f t="shared" si="70"/>
        <v>2.1777661515688995E-2</v>
      </c>
      <c r="G3141" s="415"/>
      <c r="H3141" s="415" t="str">
        <f>VLOOKUP(B3141,indexy!$A$44:$D$823,3,FALSE)</f>
        <v>DTE GY Equity</v>
      </c>
      <c r="J3141" s="434"/>
    </row>
    <row r="3142" spans="1:11" ht="12.75" hidden="1" customHeight="1" outlineLevel="1" x14ac:dyDescent="0.25">
      <c r="A3142" s="1911">
        <v>0.02</v>
      </c>
      <c r="B3142" s="2826" t="s">
        <v>10246</v>
      </c>
      <c r="C3142" s="2829">
        <v>103.768</v>
      </c>
      <c r="D3142" s="2830">
        <f>VLOOKUP(H3142,indexy!$C$44:$D$823,2,FALSE)</f>
        <v>312.68</v>
      </c>
      <c r="E3142" s="2064">
        <f t="shared" si="71"/>
        <v>2.0132603500115644</v>
      </c>
      <c r="F3142" s="2065">
        <f t="shared" si="70"/>
        <v>4.0265207000231291E-2</v>
      </c>
      <c r="G3142" s="415"/>
      <c r="H3142" s="415" t="str">
        <f>VLOOKUP(B3142,indexy!$A$44:$D$823,3,FALSE)</f>
        <v>ETN UN Equity</v>
      </c>
      <c r="J3142" s="434"/>
    </row>
    <row r="3143" spans="1:11" ht="12.75" hidden="1" customHeight="1" outlineLevel="1" x14ac:dyDescent="0.25">
      <c r="A3143" s="1911">
        <v>0.02</v>
      </c>
      <c r="B3143" s="2826" t="s">
        <v>3425</v>
      </c>
      <c r="C3143" s="2829">
        <v>60.402000000000001</v>
      </c>
      <c r="D3143" s="2830">
        <f>VLOOKUP(H3143,indexy!$C$44:$D$823,2,FALSE)</f>
        <v>116.24</v>
      </c>
      <c r="E3143" s="2064">
        <f t="shared" si="71"/>
        <v>0.92443958809310933</v>
      </c>
      <c r="F3143" s="2065">
        <f t="shared" si="70"/>
        <v>1.8488791761862185E-2</v>
      </c>
      <c r="G3143" s="415"/>
      <c r="H3143" s="415" t="str">
        <f>VLOOKUP(B3143,indexy!$A$44:$D$823,3,FALSE)</f>
        <v>XOM UN Equity</v>
      </c>
      <c r="J3143" s="434"/>
    </row>
    <row r="3144" spans="1:11" ht="12.75" hidden="1" customHeight="1" outlineLevel="1" x14ac:dyDescent="0.25">
      <c r="A3144" s="1911">
        <v>0.08</v>
      </c>
      <c r="B3144" s="2826" t="s">
        <v>4268</v>
      </c>
      <c r="C3144" s="2829">
        <v>22.126000000000001</v>
      </c>
      <c r="D3144" s="2830">
        <f>VLOOKUP(H3144,indexy!$C$44:$D$823,2,FALSE)</f>
        <v>11.445</v>
      </c>
      <c r="E3144" s="2064">
        <f t="shared" si="71"/>
        <v>-0.48273524360480879</v>
      </c>
      <c r="F3144" s="2065">
        <f t="shared" si="70"/>
        <v>-3.8618819488384706E-2</v>
      </c>
      <c r="G3144" s="415"/>
      <c r="H3144" s="415" t="str">
        <f>VLOOKUP(B3144,indexy!$A$44:$D$823,3,FALSE)</f>
        <v>FORTUM FH Equity</v>
      </c>
      <c r="J3144" s="434"/>
    </row>
    <row r="3145" spans="1:11" ht="12.75" hidden="1" customHeight="1" outlineLevel="1" x14ac:dyDescent="0.25">
      <c r="A3145" s="1911">
        <v>0.02</v>
      </c>
      <c r="B3145" s="2826" t="s">
        <v>9799</v>
      </c>
      <c r="C3145" s="2829">
        <v>34.770000000000003</v>
      </c>
      <c r="D3145" s="2830">
        <f>VLOOKUP(H3145,indexy!$C$44:$D$823,2,FALSE)</f>
        <v>45.35</v>
      </c>
      <c r="E3145" s="2064">
        <f t="shared" si="71"/>
        <v>0.30428530342249061</v>
      </c>
      <c r="F3145" s="2065">
        <f t="shared" si="70"/>
        <v>6.0857060684498124E-3</v>
      </c>
      <c r="G3145" s="415"/>
      <c r="H3145" s="415" t="str">
        <f>VLOOKUP(B3145,indexy!$A$44:$D$823,3,FALSE)</f>
        <v>GM UN Equity</v>
      </c>
      <c r="J3145" s="434"/>
    </row>
    <row r="3146" spans="1:11" ht="12.75" hidden="1" customHeight="1" outlineLevel="1" x14ac:dyDescent="0.25">
      <c r="A3146" s="1911">
        <v>0.02</v>
      </c>
      <c r="B3146" s="2826" t="s">
        <v>4036</v>
      </c>
      <c r="C3146" s="2829">
        <v>16.931000000000001</v>
      </c>
      <c r="D3146" s="2830">
        <f>VLOOKUP(H3146,indexy!$C$44:$D$823,2,FALSE)</f>
        <v>20.66</v>
      </c>
      <c r="E3146" s="2064">
        <f t="shared" si="71"/>
        <v>0.22024688441320639</v>
      </c>
      <c r="F3146" s="2065">
        <f t="shared" si="70"/>
        <v>4.4049376882641282E-3</v>
      </c>
      <c r="G3146" s="415"/>
      <c r="H3146" s="415" t="str">
        <f>VLOOKUP(B3146,indexy!$A$44:$D$823,3,FALSE)</f>
        <v>HST UN Equity</v>
      </c>
      <c r="J3146" s="434"/>
    </row>
    <row r="3147" spans="1:11" ht="12.75" hidden="1" customHeight="1" outlineLevel="1" x14ac:dyDescent="0.25">
      <c r="A3147" s="1911">
        <v>0.08</v>
      </c>
      <c r="B3147" s="2826" t="s">
        <v>1031</v>
      </c>
      <c r="C3147" s="2831">
        <v>10.746499999999999</v>
      </c>
      <c r="D3147" s="2830">
        <f>VLOOKUP(H3147,indexy!$C$44:$D$823,2,FALSE)</f>
        <v>11.494999999999999</v>
      </c>
      <c r="E3147" s="2064">
        <f t="shared" si="71"/>
        <v>6.9650583911040842E-2</v>
      </c>
      <c r="F3147" s="2065">
        <f t="shared" si="70"/>
        <v>5.5720467128832678E-3</v>
      </c>
      <c r="G3147" s="415"/>
      <c r="H3147" s="415" t="str">
        <f>VLOOKUP(B3147,indexy!$A$44:$D$823,3,FALSE)</f>
        <v>IBE SQ Equity</v>
      </c>
      <c r="J3147" s="434"/>
    </row>
    <row r="3148" spans="1:11" ht="12.75" hidden="1" customHeight="1" outlineLevel="1" x14ac:dyDescent="0.25">
      <c r="A3148" s="1911">
        <v>0.02</v>
      </c>
      <c r="B3148" s="2826" t="s">
        <v>4034</v>
      </c>
      <c r="C3148" s="2829">
        <v>23.011500000000002</v>
      </c>
      <c r="D3148" s="2830">
        <f>VLOOKUP(H3148,indexy!$C$44:$D$823,2,FALSE)</f>
        <v>27.72</v>
      </c>
      <c r="E3148" s="2064">
        <f t="shared" si="71"/>
        <v>0.20461508376246651</v>
      </c>
      <c r="F3148" s="2065">
        <f t="shared" si="70"/>
        <v>4.09230167524933E-3</v>
      </c>
      <c r="G3148" s="415"/>
      <c r="H3148" s="415" t="str">
        <f>VLOOKUP(B3148,indexy!$A$44:$D$823,3,FALSE)</f>
        <v>AD NA Equity</v>
      </c>
      <c r="J3148" s="434"/>
    </row>
    <row r="3149" spans="1:11" ht="12.75" hidden="1" customHeight="1" outlineLevel="1" x14ac:dyDescent="0.25">
      <c r="A3149" s="1911">
        <v>0.02</v>
      </c>
      <c r="B3149" s="2826" t="s">
        <v>7838</v>
      </c>
      <c r="C3149" s="2829">
        <v>52.011000000000003</v>
      </c>
      <c r="D3149" s="2830">
        <f>VLOOKUP(H3149,indexy!$C$44:$D$823,2,FALSE)</f>
        <v>74.11</v>
      </c>
      <c r="E3149" s="2064">
        <f t="shared" si="71"/>
        <v>0.42489088846590128</v>
      </c>
      <c r="F3149" s="2065">
        <f t="shared" si="70"/>
        <v>8.4978177693180255E-3</v>
      </c>
      <c r="G3149" s="415"/>
      <c r="H3149" s="415" t="str">
        <f>VLOOKUP(B3149,indexy!$A$44:$D$823,3,FALSE)</f>
        <v>MET UN Equity</v>
      </c>
      <c r="J3149" s="434"/>
    </row>
    <row r="3150" spans="1:11" ht="12.75" hidden="1" customHeight="1" outlineLevel="1" x14ac:dyDescent="0.25">
      <c r="A3150" s="1911">
        <v>0.02</v>
      </c>
      <c r="B3150" s="2826" t="s">
        <v>7321</v>
      </c>
      <c r="C3150" s="2829">
        <f>108.795/4</f>
        <v>27.19875</v>
      </c>
      <c r="D3150" s="2830">
        <f>VLOOKUP(H3150,indexy!$C$44:$D$823,2,FALSE)</f>
        <v>35.520000000000003</v>
      </c>
      <c r="E3150" s="2064">
        <f t="shared" si="71"/>
        <v>0.30594236867503111</v>
      </c>
      <c r="F3150" s="2065">
        <f t="shared" si="70"/>
        <v>6.1188473735006221E-3</v>
      </c>
      <c r="G3150" s="415"/>
      <c r="H3150" s="415" t="str">
        <f>VLOOKUP(B3150,indexy!$A$44:$D$823,3,FALSE)</f>
        <v>ML FP Equity</v>
      </c>
      <c r="J3150" s="434"/>
    </row>
    <row r="3151" spans="1:11" ht="12.75" hidden="1" customHeight="1" outlineLevel="1" x14ac:dyDescent="0.25">
      <c r="A3151" s="1911">
        <v>0.03</v>
      </c>
      <c r="B3151" s="2826" t="s">
        <v>1772</v>
      </c>
      <c r="C3151" s="2829">
        <v>279.45</v>
      </c>
      <c r="D3151" s="2830">
        <f>VLOOKUP(H3151,indexy!$C$44:$D$823,2,FALSE)</f>
        <v>452.3</v>
      </c>
      <c r="E3151" s="2064">
        <f t="shared" si="71"/>
        <v>0.61853641080694222</v>
      </c>
      <c r="F3151" s="2065">
        <f t="shared" si="70"/>
        <v>1.8556092324208264E-2</v>
      </c>
      <c r="G3151" s="415"/>
      <c r="H3151" s="415" t="str">
        <f>VLOOKUP(B3151,indexy!$A$44:$D$823,3,FALSE)</f>
        <v>MUV2 GY Equity</v>
      </c>
      <c r="J3151" s="434"/>
    </row>
    <row r="3152" spans="1:11" ht="12.75" hidden="1" customHeight="1" outlineLevel="1" x14ac:dyDescent="0.25">
      <c r="A3152" s="1911">
        <v>0.08</v>
      </c>
      <c r="B3152" s="2826" t="s">
        <v>2787</v>
      </c>
      <c r="C3152" s="2829">
        <v>95.247</v>
      </c>
      <c r="D3152" s="2830">
        <f>VLOOKUP(H3152,indexy!$C$44:$D$823,2,FALSE)</f>
        <v>87.37</v>
      </c>
      <c r="E3152" s="2064">
        <f t="shared" si="71"/>
        <v>-8.2700767478240733E-2</v>
      </c>
      <c r="F3152" s="2065">
        <f t="shared" si="70"/>
        <v>-6.6160613982592584E-3</v>
      </c>
      <c r="G3152" s="415"/>
      <c r="H3152" s="415" t="str">
        <f>VLOOKUP(B3152,indexy!$A$44:$D$823,3,FALSE)</f>
        <v>NOVN SE Equity</v>
      </c>
      <c r="J3152" s="434"/>
    </row>
    <row r="3153" spans="1:10" ht="12.75" hidden="1" customHeight="1" outlineLevel="1" x14ac:dyDescent="0.25">
      <c r="A3153" s="1911">
        <v>0.02</v>
      </c>
      <c r="B3153" s="2826" t="s">
        <v>10247</v>
      </c>
      <c r="C3153" s="2829">
        <v>55.8155</v>
      </c>
      <c r="D3153" s="2830">
        <f>VLOOKUP(H3153,indexy!$C$44:$D$823,2,FALSE)</f>
        <v>86.31</v>
      </c>
      <c r="E3153" s="2064">
        <f t="shared" si="71"/>
        <v>0.5463446533668963</v>
      </c>
      <c r="F3153" s="2065">
        <f t="shared" si="70"/>
        <v>1.0926893067337927E-2</v>
      </c>
      <c r="G3153" s="415"/>
      <c r="H3153" s="415" t="str">
        <f>VLOOKUP(B3153,indexy!$A$44:$D$823,3,FALSE)</f>
        <v>PFG UW Equity</v>
      </c>
      <c r="J3153" s="434"/>
    </row>
    <row r="3154" spans="1:10" ht="12.75" hidden="1" customHeight="1" outlineLevel="1" x14ac:dyDescent="0.25">
      <c r="A3154" s="1911">
        <v>0.02</v>
      </c>
      <c r="B3154" s="2826" t="s">
        <v>5205</v>
      </c>
      <c r="C3154" s="2829">
        <v>19.5334</v>
      </c>
      <c r="D3154" s="2830">
        <f>VLOOKUP(H3154,indexy!$C$44:$D$823,2,FALSE)/100</f>
        <v>18.952000000000002</v>
      </c>
      <c r="E3154" s="2064">
        <f t="shared" si="71"/>
        <v>-2.9764403534458861E-2</v>
      </c>
      <c r="F3154" s="2065">
        <f t="shared" si="70"/>
        <v>-5.9528807068917719E-4</v>
      </c>
      <c r="G3154" s="415"/>
      <c r="H3154" s="415" t="str">
        <f>VLOOKUP(B3154,indexy!$A$44:$D$823,3,FALSE)</f>
        <v>RDSA LN Equity</v>
      </c>
      <c r="J3154" s="434"/>
    </row>
    <row r="3155" spans="1:10" ht="12.75" hidden="1" customHeight="1" outlineLevel="1" x14ac:dyDescent="0.25">
      <c r="A3155" s="1911">
        <v>0.02</v>
      </c>
      <c r="B3155" s="2826" t="s">
        <v>1187</v>
      </c>
      <c r="C3155" s="2829">
        <v>93.204999999999998</v>
      </c>
      <c r="D3155" s="2830">
        <f>VLOOKUP(H3155,indexy!$C$44:$D$823,2,FALSE)</f>
        <v>90.96</v>
      </c>
      <c r="E3155" s="2064">
        <f t="shared" si="71"/>
        <v>-2.4086690628185248E-2</v>
      </c>
      <c r="F3155" s="2065">
        <f t="shared" si="70"/>
        <v>-4.8173381256370499E-4</v>
      </c>
      <c r="G3155" s="415"/>
      <c r="H3155" s="415" t="str">
        <f>VLOOKUP(B3155,indexy!$A$44:$D$823,3,FALSE)</f>
        <v>SAN FP Equity</v>
      </c>
      <c r="J3155" s="434"/>
    </row>
    <row r="3156" spans="1:10" ht="12.75" hidden="1" customHeight="1" outlineLevel="1" x14ac:dyDescent="0.25">
      <c r="A3156" s="1911">
        <v>0.02</v>
      </c>
      <c r="B3156" s="2826" t="s">
        <v>1214</v>
      </c>
      <c r="C3156" s="2829">
        <v>107.72799999999999</v>
      </c>
      <c r="D3156" s="2830">
        <f>VLOOKUP(H3156,indexy!$C$44:$D$823,2,FALSE)</f>
        <v>176.96</v>
      </c>
      <c r="E3156" s="2064">
        <f t="shared" si="71"/>
        <v>0.64265557700876297</v>
      </c>
      <c r="F3156" s="2065">
        <f t="shared" si="70"/>
        <v>1.2853111540175259E-2</v>
      </c>
      <c r="G3156" s="415"/>
      <c r="H3156" s="415" t="str">
        <f>VLOOKUP(B3156,indexy!$A$44:$D$823,3,FALSE)</f>
        <v>SIE GY Equity</v>
      </c>
      <c r="J3156" s="434"/>
    </row>
    <row r="3157" spans="1:10" ht="12.75" hidden="1" customHeight="1" outlineLevel="1" x14ac:dyDescent="0.25">
      <c r="A3157" s="1911">
        <v>0.08</v>
      </c>
      <c r="B3157" s="2826" t="s">
        <v>6118</v>
      </c>
      <c r="C3157" s="2829">
        <v>113.875</v>
      </c>
      <c r="D3157" s="2830">
        <f>VLOOKUP(H3157,indexy!$C$44:$D$823,2,FALSE)</f>
        <v>115.95</v>
      </c>
      <c r="E3157" s="2064">
        <f t="shared" si="71"/>
        <v>1.8221734357848574E-2</v>
      </c>
      <c r="F3157" s="2065">
        <f t="shared" si="70"/>
        <v>1.4577387486278859E-3</v>
      </c>
      <c r="G3157" s="415"/>
      <c r="H3157" s="415" t="str">
        <f>VLOOKUP(B3157,indexy!$A$44:$D$823,3,FALSE)</f>
        <v>SREN SE Equity</v>
      </c>
      <c r="J3157" s="434"/>
    </row>
    <row r="3158" spans="1:10" ht="12.75" hidden="1" customHeight="1" outlineLevel="1" x14ac:dyDescent="0.25">
      <c r="A3158" s="1911">
        <v>0.02</v>
      </c>
      <c r="B3158" s="2826" t="s">
        <v>3383</v>
      </c>
      <c r="C3158" s="2829">
        <v>161.85</v>
      </c>
      <c r="D3158" s="2830">
        <f>VLOOKUP(H3158,indexy!$C$44:$D$823,2,FALSE)</f>
        <v>120.75</v>
      </c>
      <c r="E3158" s="2064">
        <f t="shared" si="71"/>
        <v>-0.25393883225208524</v>
      </c>
      <c r="F3158" s="2065">
        <f t="shared" si="70"/>
        <v>-5.0787766450417051E-3</v>
      </c>
      <c r="G3158" s="415"/>
      <c r="H3158" s="415" t="str">
        <f>VLOOKUP(B3158,indexy!$A$44:$D$823,3,FALSE)</f>
        <v>TEL NO Equity</v>
      </c>
      <c r="J3158" s="434"/>
    </row>
    <row r="3159" spans="1:10" ht="12.75" hidden="1" customHeight="1" outlineLevel="1" x14ac:dyDescent="0.25">
      <c r="A3159" s="1911">
        <v>0.08</v>
      </c>
      <c r="B3159" s="2826" t="s">
        <v>434</v>
      </c>
      <c r="C3159" s="2829">
        <v>41.378999999999998</v>
      </c>
      <c r="D3159" s="2830">
        <f>VLOOKUP(H3159,indexy!$C$44:$D$823,2,FALSE)</f>
        <v>27.43</v>
      </c>
      <c r="E3159" s="2064">
        <f t="shared" si="71"/>
        <v>-0.33710336160854537</v>
      </c>
      <c r="F3159" s="2065">
        <f t="shared" si="70"/>
        <v>-2.696826892868363E-2</v>
      </c>
      <c r="G3159" s="415"/>
      <c r="H3159" s="415" t="str">
        <f>VLOOKUP(B3159,indexy!$A$44:$D$823,3,FALSE)</f>
        <v>TELIA SS Equity</v>
      </c>
      <c r="J3159" s="434"/>
    </row>
    <row r="3160" spans="1:10" ht="12.75" hidden="1" customHeight="1" outlineLevel="1" x14ac:dyDescent="0.25">
      <c r="A3160" s="1911">
        <v>0.05</v>
      </c>
      <c r="B3160" s="2826" t="s">
        <v>10633</v>
      </c>
      <c r="C3160" s="2829">
        <v>45.0655</v>
      </c>
      <c r="D3160" s="2830">
        <f>VLOOKUP(H3160,indexy!$C$44:$D$823,2,FALSE)</f>
        <v>63.47</v>
      </c>
      <c r="E3160" s="2064">
        <f t="shared" si="71"/>
        <v>0.40839444808112635</v>
      </c>
      <c r="F3160" s="2065">
        <f>E3160*A3160</f>
        <v>2.0419722404056317E-2</v>
      </c>
      <c r="G3160" s="415"/>
      <c r="H3160" s="415" t="str">
        <f>VLOOKUP(B3160,indexy!$A$44:$D$823,3,FALSE)</f>
        <v>TTE FP Equity</v>
      </c>
      <c r="J3160" s="434"/>
    </row>
    <row r="3161" spans="1:10" ht="12.75" hidden="1" customHeight="1" outlineLevel="1" x14ac:dyDescent="0.25">
      <c r="A3161" s="1911">
        <v>0.02</v>
      </c>
      <c r="B3161" s="2826" t="s">
        <v>106</v>
      </c>
      <c r="C3161" s="2829">
        <v>46.432499999999997</v>
      </c>
      <c r="D3161" s="2830">
        <f>VLOOKUP(H3161,indexy!$C$44:$D$946,2,FALSE)/100</f>
        <v>39.755000000000003</v>
      </c>
      <c r="E3161" s="2064">
        <f t="shared" si="71"/>
        <v>-0.14381090830775844</v>
      </c>
      <c r="F3161" s="2065">
        <f>E3161*A3161</f>
        <v>-2.8762181661551689E-3</v>
      </c>
      <c r="G3161" s="415"/>
      <c r="H3161" s="415" t="str">
        <f>VLOOKUP(B3161,indexy!$A$44:$D$946,3,FALSE)</f>
        <v>ULVR LN Equity</v>
      </c>
      <c r="J3161" s="434"/>
    </row>
    <row r="3162" spans="1:10" ht="12.75" hidden="1" customHeight="1" outlineLevel="1" x14ac:dyDescent="0.25">
      <c r="A3162" s="1911">
        <v>0.03</v>
      </c>
      <c r="B3162" s="2826" t="s">
        <v>579</v>
      </c>
      <c r="C3162" s="2829">
        <v>1.5249999999999999</v>
      </c>
      <c r="D3162" s="2830">
        <f>VLOOKUP(H3162,indexy!$C$44:$D$823,2,FALSE)/100</f>
        <v>0.70459999999999989</v>
      </c>
      <c r="E3162" s="2064">
        <f t="shared" si="71"/>
        <v>-0.53796721311475415</v>
      </c>
      <c r="F3162" s="2065">
        <f>E3162*A3162</f>
        <v>-1.6139016393442625E-2</v>
      </c>
      <c r="G3162" s="415"/>
      <c r="H3162" s="415" t="str">
        <f>VLOOKUP(B3162,indexy!$A$44:$D$823,3,FALSE)</f>
        <v>VOD LN Equity</v>
      </c>
      <c r="J3162" s="434"/>
    </row>
    <row r="3163" spans="1:10" ht="12.75" hidden="1" customHeight="1" outlineLevel="1" x14ac:dyDescent="0.25">
      <c r="A3163" s="1911">
        <v>0.02</v>
      </c>
      <c r="B3163" s="2826" t="s">
        <v>7916</v>
      </c>
      <c r="C3163" s="2829">
        <v>52.779000000000003</v>
      </c>
      <c r="D3163" s="2830">
        <f>VLOOKUP(H3163,indexy!$C$44:$D$823,2,FALSE)</f>
        <v>21.69</v>
      </c>
      <c r="E3163" s="2064">
        <f t="shared" si="71"/>
        <v>-0.58904109589041098</v>
      </c>
      <c r="F3163" s="2065">
        <f>E3163*A3163</f>
        <v>-1.178082191780822E-2</v>
      </c>
      <c r="G3163" s="415"/>
      <c r="H3163" s="415" t="str">
        <f>VLOOKUP(B3163,indexy!$A$44:$D$823,3,FALSE)</f>
        <v>WBA UW Equity</v>
      </c>
      <c r="J3163" s="434"/>
    </row>
    <row r="3164" spans="1:10" ht="12.75" hidden="1" customHeight="1" outlineLevel="1" x14ac:dyDescent="0.25">
      <c r="A3164" s="1911">
        <v>0.02</v>
      </c>
      <c r="B3164" s="2832" t="s">
        <v>3306</v>
      </c>
      <c r="C3164" s="2833">
        <v>9.7593999999999994</v>
      </c>
      <c r="D3164" s="2834">
        <f>VLOOKUP(H3164,indexy!$C$44:$D$823,2,FALSE)/100</f>
        <v>7.5360000000000005</v>
      </c>
      <c r="E3164" s="2064">
        <f t="shared" si="71"/>
        <v>-0.22782138246203654</v>
      </c>
      <c r="F3164" s="2065">
        <f>E3164*A3164</f>
        <v>-4.5564276492407307E-3</v>
      </c>
      <c r="G3164" s="415"/>
      <c r="H3164" s="415" t="str">
        <f>VLOOKUP(B3164,indexy!$A$44:$D$823,3,FALSE)</f>
        <v>WPP LN Equity</v>
      </c>
      <c r="J3164" s="434"/>
    </row>
    <row r="3165" spans="1:10" ht="12.75" hidden="1" customHeight="1" outlineLevel="1" x14ac:dyDescent="0.25">
      <c r="A3165" s="2048" t="s">
        <v>2734</v>
      </c>
      <c r="B3165" s="2049"/>
      <c r="C3165" s="2051">
        <v>100</v>
      </c>
      <c r="D3165" s="2051"/>
      <c r="E3165" s="2059"/>
      <c r="F3165" s="2059">
        <f>SUM(F3135:F3164)</f>
        <v>9.6677070152971931E-2</v>
      </c>
      <c r="G3165" s="415"/>
      <c r="H3165" s="415"/>
    </row>
    <row r="3166" spans="1:10" ht="12.75" hidden="1" customHeight="1" outlineLevel="1" x14ac:dyDescent="0.25">
      <c r="A3166" s="2053" t="s">
        <v>10304</v>
      </c>
      <c r="B3166" s="2054">
        <v>45689</v>
      </c>
      <c r="C3166" s="2055">
        <v>100</v>
      </c>
      <c r="D3166" s="2055"/>
      <c r="E3166" s="2056">
        <f>IF(D3166="",F3165,D3166/C3166-1)</f>
        <v>9.6677070152971931E-2</v>
      </c>
      <c r="F3166" s="2072"/>
      <c r="G3166" s="415"/>
      <c r="H3166" s="415"/>
    </row>
    <row r="3167" spans="1:10" ht="12.75" hidden="1" customHeight="1" outlineLevel="1" x14ac:dyDescent="0.25">
      <c r="A3167" s="2053" t="s">
        <v>10305</v>
      </c>
      <c r="B3167" s="2054">
        <v>45717</v>
      </c>
      <c r="C3167" s="2055">
        <v>100</v>
      </c>
      <c r="D3167" s="2058"/>
      <c r="E3167" s="2056">
        <f>IF(D3167="",E3166,D3167/C3167-1)</f>
        <v>9.6677070152971931E-2</v>
      </c>
      <c r="F3167" s="2072"/>
      <c r="G3167" s="415"/>
      <c r="H3167" s="415"/>
    </row>
    <row r="3168" spans="1:10" ht="12.75" hidden="1" customHeight="1" outlineLevel="1" x14ac:dyDescent="0.25">
      <c r="A3168" s="2053" t="s">
        <v>10306</v>
      </c>
      <c r="B3168" s="2054">
        <v>45748</v>
      </c>
      <c r="C3168" s="2055">
        <v>100</v>
      </c>
      <c r="D3168" s="2058"/>
      <c r="E3168" s="2056">
        <f>IF(D3168="",E3167,D3168/C3168-1)</f>
        <v>9.6677070152971931E-2</v>
      </c>
      <c r="F3168" s="2072"/>
      <c r="G3168" s="415"/>
      <c r="H3168" s="415"/>
    </row>
    <row r="3169" spans="1:18" ht="12.75" hidden="1" customHeight="1" outlineLevel="1" x14ac:dyDescent="0.25">
      <c r="A3169" s="2053" t="s">
        <v>10307</v>
      </c>
      <c r="B3169" s="2054">
        <v>45778</v>
      </c>
      <c r="C3169" s="2055">
        <v>100</v>
      </c>
      <c r="D3169" s="2058"/>
      <c r="E3169" s="2056">
        <f>IF(D3169="",E3168,D3169/C3169-1)</f>
        <v>9.6677070152971931E-2</v>
      </c>
      <c r="F3169" s="2072"/>
      <c r="G3169" s="415"/>
      <c r="H3169" s="415"/>
    </row>
    <row r="3170" spans="1:18" ht="12.75" hidden="1" customHeight="1" outlineLevel="1" x14ac:dyDescent="0.25">
      <c r="A3170" s="2053" t="s">
        <v>10308</v>
      </c>
      <c r="B3170" s="2054">
        <v>45809</v>
      </c>
      <c r="C3170" s="2055">
        <v>100</v>
      </c>
      <c r="D3170" s="2058"/>
      <c r="E3170" s="2056">
        <f t="shared" ref="E3170:E3175" si="72">IF(D3170="",E3169,D3170/C3170-1)</f>
        <v>9.6677070152971931E-2</v>
      </c>
      <c r="F3170" s="2072"/>
      <c r="G3170" s="415"/>
      <c r="H3170" s="415"/>
    </row>
    <row r="3171" spans="1:18" ht="12.75" hidden="1" customHeight="1" outlineLevel="1" x14ac:dyDescent="0.25">
      <c r="A3171" s="2053" t="s">
        <v>10309</v>
      </c>
      <c r="B3171" s="2054">
        <v>45839</v>
      </c>
      <c r="C3171" s="2055">
        <v>100</v>
      </c>
      <c r="D3171" s="2058"/>
      <c r="E3171" s="2056">
        <f t="shared" si="72"/>
        <v>9.6677070152971931E-2</v>
      </c>
      <c r="F3171" s="2072"/>
      <c r="G3171" s="415"/>
      <c r="H3171" s="415"/>
    </row>
    <row r="3172" spans="1:18" ht="12.75" hidden="1" customHeight="1" outlineLevel="1" x14ac:dyDescent="0.25">
      <c r="A3172" s="2053" t="s">
        <v>10310</v>
      </c>
      <c r="B3172" s="2054">
        <v>45870</v>
      </c>
      <c r="C3172" s="2055">
        <v>100</v>
      </c>
      <c r="D3172" s="2058"/>
      <c r="E3172" s="2056">
        <f t="shared" si="72"/>
        <v>9.6677070152971931E-2</v>
      </c>
      <c r="F3172" s="2072"/>
      <c r="G3172" s="415"/>
      <c r="H3172" s="415"/>
    </row>
    <row r="3173" spans="1:18" ht="12.75" hidden="1" customHeight="1" outlineLevel="1" x14ac:dyDescent="0.25">
      <c r="A3173" s="2053" t="s">
        <v>10311</v>
      </c>
      <c r="B3173" s="2054">
        <v>45901</v>
      </c>
      <c r="C3173" s="2055">
        <v>100</v>
      </c>
      <c r="D3173" s="2058"/>
      <c r="E3173" s="2056">
        <f t="shared" si="72"/>
        <v>9.6677070152971931E-2</v>
      </c>
      <c r="F3173" s="2072"/>
      <c r="G3173" s="415"/>
      <c r="H3173" s="415"/>
    </row>
    <row r="3174" spans="1:18" ht="12.75" hidden="1" customHeight="1" outlineLevel="1" x14ac:dyDescent="0.25">
      <c r="A3174" s="2053" t="s">
        <v>10312</v>
      </c>
      <c r="B3174" s="2054">
        <v>45931</v>
      </c>
      <c r="C3174" s="2055">
        <v>100</v>
      </c>
      <c r="D3174" s="2058"/>
      <c r="E3174" s="2056">
        <f t="shared" si="72"/>
        <v>9.6677070152971931E-2</v>
      </c>
      <c r="F3174" s="2072"/>
      <c r="G3174" s="415"/>
      <c r="H3174" s="415"/>
    </row>
    <row r="3175" spans="1:18" ht="12.75" hidden="1" customHeight="1" outlineLevel="1" x14ac:dyDescent="0.25">
      <c r="A3175" s="2053" t="s">
        <v>10313</v>
      </c>
      <c r="B3175" s="2054">
        <v>45962</v>
      </c>
      <c r="C3175" s="2055">
        <v>100</v>
      </c>
      <c r="D3175" s="2058"/>
      <c r="E3175" s="2056">
        <f t="shared" si="72"/>
        <v>9.6677070152971931E-2</v>
      </c>
      <c r="F3175" s="2072"/>
      <c r="G3175" s="415"/>
      <c r="H3175" s="415"/>
    </row>
    <row r="3176" spans="1:18" ht="12.75" hidden="1" customHeight="1" outlineLevel="1" x14ac:dyDescent="0.25">
      <c r="A3176" s="2053" t="s">
        <v>10314</v>
      </c>
      <c r="B3176" s="2054">
        <v>45992</v>
      </c>
      <c r="C3176" s="2055">
        <v>100</v>
      </c>
      <c r="D3176" s="2058"/>
      <c r="E3176" s="2056">
        <f>IF(D3176="",E3169,D3176/C3176-1)</f>
        <v>9.6677070152971931E-2</v>
      </c>
      <c r="F3176" s="2072"/>
      <c r="G3176" s="415"/>
      <c r="H3176" s="415"/>
    </row>
    <row r="3177" spans="1:18" ht="12.75" hidden="1" customHeight="1" outlineLevel="1" x14ac:dyDescent="0.25">
      <c r="A3177" s="2053" t="s">
        <v>10315</v>
      </c>
      <c r="B3177" s="2054">
        <v>46023</v>
      </c>
      <c r="C3177" s="2055">
        <v>100</v>
      </c>
      <c r="D3177" s="2058"/>
      <c r="E3177" s="2056">
        <f>IF(D3177="",E3176,D3177/C3177-1)</f>
        <v>9.6677070152971931E-2</v>
      </c>
      <c r="F3177" s="2072"/>
      <c r="G3177" s="415"/>
      <c r="H3177" s="415"/>
    </row>
    <row r="3178" spans="1:18" s="444" customFormat="1" ht="12.75" hidden="1" customHeight="1" outlineLevel="1" x14ac:dyDescent="0.25">
      <c r="A3178" s="1483" t="s">
        <v>2734</v>
      </c>
      <c r="B3178" s="1484"/>
      <c r="C3178" s="1500"/>
      <c r="D3178" s="1485" t="s">
        <v>2465</v>
      </c>
      <c r="E3178" s="1486">
        <f>AVERAGE(E3166:E3177)</f>
        <v>9.6677070152971931E-2</v>
      </c>
      <c r="F3178" s="1487">
        <f>((((E3178*100)+100)-I3135)/100)</f>
        <v>0.39999607015297201</v>
      </c>
    </row>
    <row r="3179" spans="1:18" collapsed="1" x14ac:dyDescent="0.25">
      <c r="A3179" s="3799" t="s">
        <v>10220</v>
      </c>
      <c r="B3179" s="3800"/>
      <c r="C3179" s="3800"/>
      <c r="D3179" s="3800"/>
      <c r="E3179" s="18"/>
      <c r="F3179" s="186">
        <f>MAX(0%,MIN(F3178,100%))</f>
        <v>0.39999607015297201</v>
      </c>
      <c r="G3179" s="415"/>
    </row>
    <row r="3181" spans="1:18" ht="12.75" hidden="1" customHeight="1" outlineLevel="1" x14ac:dyDescent="0.25">
      <c r="A3181" s="1677" t="s">
        <v>4156</v>
      </c>
      <c r="B3181" s="1677" t="s">
        <v>4153</v>
      </c>
      <c r="C3181" s="1305" t="s">
        <v>112</v>
      </c>
      <c r="D3181" s="1678" t="s">
        <v>4155</v>
      </c>
      <c r="E3181" s="1677" t="s">
        <v>4154</v>
      </c>
      <c r="F3181" s="1678" t="s">
        <v>2519</v>
      </c>
      <c r="G3181" s="12"/>
      <c r="H3181" s="415"/>
      <c r="I3181" s="412" t="s">
        <v>6964</v>
      </c>
      <c r="J3181" s="1462">
        <v>43922</v>
      </c>
      <c r="K3181" s="1462">
        <v>43952</v>
      </c>
      <c r="L3181" s="1462">
        <v>43983</v>
      </c>
      <c r="M3181" s="1462">
        <v>44013</v>
      </c>
      <c r="N3181" s="1462">
        <v>44044</v>
      </c>
      <c r="O3181" s="1462">
        <v>44075</v>
      </c>
      <c r="P3181" s="1462"/>
      <c r="Q3181" s="1462"/>
      <c r="R3181" s="1462"/>
    </row>
    <row r="3182" spans="1:18" ht="12.75" hidden="1" customHeight="1" outlineLevel="1" x14ac:dyDescent="0.25">
      <c r="A3182" s="134">
        <v>0.04</v>
      </c>
      <c r="B3182" s="151" t="s">
        <v>218</v>
      </c>
      <c r="C3182" s="454">
        <v>15.599600000000001</v>
      </c>
      <c r="D3182" s="2737">
        <f>VLOOKUP(H3182,indexy!$C$44:$D$823,2,FALSE)</f>
        <v>34.814999999999998</v>
      </c>
      <c r="E3182" s="1466">
        <f>D3182/C3182-1</f>
        <v>1.2317879945639629</v>
      </c>
      <c r="F3182" s="1492">
        <f>E3182*A3182</f>
        <v>4.9271519782558518E-2</v>
      </c>
      <c r="G3182" s="415"/>
      <c r="H3182" s="415" t="str">
        <f>VLOOKUP(B3182,indexy!$A$44:$D$823,3,FALSE)</f>
        <v>CS FP Equity</v>
      </c>
      <c r="I3182" s="412">
        <f>IF(J3182="",100,MIN(100,J3182:Y3182))</f>
        <v>97.521799999999999</v>
      </c>
      <c r="J3182">
        <v>97.521799999999999</v>
      </c>
      <c r="K3182">
        <v>101.411</v>
      </c>
      <c r="L3182">
        <v>110.9825</v>
      </c>
      <c r="M3182">
        <v>112.21250000000001</v>
      </c>
      <c r="N3182">
        <v>111.30629999999999</v>
      </c>
      <c r="O3182">
        <v>112.1386</v>
      </c>
    </row>
    <row r="3183" spans="1:18" ht="12.75" hidden="1" customHeight="1" outlineLevel="1" x14ac:dyDescent="0.25">
      <c r="A3183" s="135">
        <v>0.02</v>
      </c>
      <c r="B3183" s="151" t="s">
        <v>1188</v>
      </c>
      <c r="C3183" s="410">
        <v>2.9041999999999999</v>
      </c>
      <c r="D3183" s="2738">
        <f>VLOOKUP(H3183,indexy!$C$44:$D$823,2,FALSE)/100</f>
        <v>4.9569999999999999</v>
      </c>
      <c r="E3183" s="1463">
        <f>D3183/C3183-1</f>
        <v>0.70683837201294675</v>
      </c>
      <c r="F3183" s="1494">
        <f t="shared" ref="F3183:F3206" si="73">E3183*A3183</f>
        <v>1.4136767440258935E-2</v>
      </c>
      <c r="G3183" s="415"/>
      <c r="H3183" s="415" t="str">
        <f>VLOOKUP(B3183,indexy!$A$44:$D$823,3,FALSE)</f>
        <v>BP/ LN Equity</v>
      </c>
      <c r="I3183" s="422">
        <f>+(((E3225*100)+100)-I3182)/100</f>
        <v>0.62061083699732744</v>
      </c>
    </row>
    <row r="3184" spans="1:18" ht="12.75" hidden="1" customHeight="1" outlineLevel="1" x14ac:dyDescent="0.25">
      <c r="A3184" s="135">
        <v>0.02</v>
      </c>
      <c r="B3184" s="151" t="s">
        <v>6444</v>
      </c>
      <c r="C3184" s="410">
        <v>12.7463</v>
      </c>
      <c r="D3184" s="2738">
        <f>VLOOKUP(H3184,indexy!$C$44:$D$823,2,FALSE)/100</f>
        <v>11.695</v>
      </c>
      <c r="E3184" s="1463">
        <f t="shared" ref="E3184:E3211" si="74">D3184/C3184-1</f>
        <v>-8.2478836995834026E-2</v>
      </c>
      <c r="F3184" s="1494">
        <f t="shared" si="73"/>
        <v>-1.6495767399166805E-3</v>
      </c>
      <c r="G3184" s="415"/>
      <c r="H3184" s="415" t="str">
        <f>VLOOKUP(B3184,indexy!$A$44:$D$823,3,FALSE)</f>
        <v>CCL LN Equity</v>
      </c>
      <c r="J3184" s="434"/>
    </row>
    <row r="3185" spans="1:11" ht="12.75" hidden="1" customHeight="1" outlineLevel="1" x14ac:dyDescent="0.25">
      <c r="A3185" s="135">
        <v>0.02</v>
      </c>
      <c r="B3185" s="151" t="s">
        <v>51</v>
      </c>
      <c r="C3185" s="410">
        <v>23.904299999999999</v>
      </c>
      <c r="D3185" s="2738">
        <f>VLOOKUP(H3185,indexy!$C$44:$D$823,2,FALSE)</f>
        <v>71.930000000000007</v>
      </c>
      <c r="E3185" s="1463">
        <f t="shared" si="74"/>
        <v>2.0090820479997324</v>
      </c>
      <c r="F3185" s="1494">
        <f t="shared" si="73"/>
        <v>4.0181640959994651E-2</v>
      </c>
      <c r="G3185" s="415"/>
      <c r="H3185" s="415" t="str">
        <f>VLOOKUP(B3185,indexy!$A$44:$D$823,3,FALSE)</f>
        <v>SGO FP Equity</v>
      </c>
      <c r="J3185" s="434"/>
      <c r="K3185" s="37"/>
    </row>
    <row r="3186" spans="1:11" ht="12.75" hidden="1" customHeight="1" outlineLevel="1" x14ac:dyDescent="0.25">
      <c r="A3186" s="135">
        <v>0.02</v>
      </c>
      <c r="B3186" s="151" t="s">
        <v>10245</v>
      </c>
      <c r="C3186" s="410">
        <v>21.471</v>
      </c>
      <c r="D3186" s="2738">
        <f>VLOOKUP(H3186,indexy!$C$44:$D$823,2,FALSE)</f>
        <v>36.29</v>
      </c>
      <c r="E3186" s="1463">
        <f t="shared" si="74"/>
        <v>0.69018676354152109</v>
      </c>
      <c r="F3186" s="1494">
        <f t="shared" si="73"/>
        <v>1.3803735270830422E-2</v>
      </c>
      <c r="G3186" s="415"/>
      <c r="H3186" s="415" t="str">
        <f>VLOOKUP(B3186,indexy!$A$44:$D$823,3,FALSE)</f>
        <v>CFG UN Equity</v>
      </c>
      <c r="J3186" s="434"/>
    </row>
    <row r="3187" spans="1:11" ht="12.75" hidden="1" customHeight="1" outlineLevel="1" x14ac:dyDescent="0.25">
      <c r="A3187" s="135">
        <v>0.02</v>
      </c>
      <c r="B3187" s="151" t="s">
        <v>7218</v>
      </c>
      <c r="C3187" s="410">
        <v>61.06</v>
      </c>
      <c r="D3187" s="2738">
        <f>VLOOKUP(H3187,indexy!$C$44:$D$823,2,FALSE)</f>
        <v>167.15</v>
      </c>
      <c r="E3187" s="1463">
        <f t="shared" si="74"/>
        <v>1.7374713396659023</v>
      </c>
      <c r="F3187" s="1494">
        <f t="shared" si="73"/>
        <v>3.4749426793318043E-2</v>
      </c>
      <c r="G3187" s="415"/>
      <c r="H3187" s="415" t="str">
        <f>VLOOKUP(B3187,indexy!$A$44:$D$823,3,FALSE)</f>
        <v>DRI UN Equity</v>
      </c>
      <c r="J3187" s="434"/>
    </row>
    <row r="3188" spans="1:11" ht="12.75" hidden="1" customHeight="1" outlineLevel="1" x14ac:dyDescent="0.25">
      <c r="A3188" s="135">
        <v>0.05</v>
      </c>
      <c r="B3188" s="151" t="s">
        <v>2629</v>
      </c>
      <c r="C3188" s="410">
        <v>12.2136</v>
      </c>
      <c r="D3188" s="2738">
        <f>VLOOKUP(H3188,indexy!$C$44:$D$823,2,FALSE)</f>
        <v>22.5</v>
      </c>
      <c r="E3188" s="1463">
        <f t="shared" si="74"/>
        <v>0.84220868539988225</v>
      </c>
      <c r="F3188" s="1494">
        <f t="shared" si="73"/>
        <v>4.2110434269994113E-2</v>
      </c>
      <c r="G3188" s="415"/>
      <c r="H3188" s="415" t="str">
        <f>VLOOKUP(B3188,indexy!$A$44:$D$823,3,FALSE)</f>
        <v>DTE GY Equity</v>
      </c>
      <c r="J3188" s="434"/>
    </row>
    <row r="3189" spans="1:11" ht="12.75" hidden="1" customHeight="1" outlineLevel="1" x14ac:dyDescent="0.25">
      <c r="A3189" s="135">
        <v>0.02</v>
      </c>
      <c r="B3189" s="151" t="s">
        <v>10246</v>
      </c>
      <c r="C3189" s="410">
        <v>80.114000000000004</v>
      </c>
      <c r="D3189" s="2738">
        <f>VLOOKUP(H3189,indexy!$C$44:$D$823,2,FALSE)</f>
        <v>312.68</v>
      </c>
      <c r="E3189" s="1463">
        <f t="shared" si="74"/>
        <v>2.9029383129041113</v>
      </c>
      <c r="F3189" s="1494">
        <f t="shared" si="73"/>
        <v>5.8058766258082227E-2</v>
      </c>
      <c r="G3189" s="415"/>
      <c r="H3189" s="415" t="str">
        <f>VLOOKUP(B3189,indexy!$A$44:$D$823,3,FALSE)</f>
        <v>ETN UN Equity</v>
      </c>
      <c r="J3189" s="434"/>
    </row>
    <row r="3190" spans="1:11" ht="12.75" hidden="1" customHeight="1" outlineLevel="1" x14ac:dyDescent="0.25">
      <c r="A3190" s="135">
        <v>0.02</v>
      </c>
      <c r="B3190" s="151" t="s">
        <v>3425</v>
      </c>
      <c r="C3190" s="410">
        <v>38.908999999999999</v>
      </c>
      <c r="D3190" s="2738">
        <f>VLOOKUP(H3190,indexy!$C$44:$D$823,2,FALSE)</f>
        <v>116.24</v>
      </c>
      <c r="E3190" s="1463">
        <f t="shared" si="74"/>
        <v>1.9874836156159241</v>
      </c>
      <c r="F3190" s="1494">
        <f t="shared" si="73"/>
        <v>3.9749672312318483E-2</v>
      </c>
      <c r="G3190" s="415"/>
      <c r="H3190" s="415" t="str">
        <f>VLOOKUP(B3190,indexy!$A$44:$D$823,3,FALSE)</f>
        <v>XOM UN Equity</v>
      </c>
      <c r="J3190" s="434"/>
    </row>
    <row r="3191" spans="1:11" ht="12.75" hidden="1" customHeight="1" outlineLevel="1" x14ac:dyDescent="0.25">
      <c r="A3191" s="135">
        <v>0.08</v>
      </c>
      <c r="B3191" s="151" t="s">
        <v>4268</v>
      </c>
      <c r="C3191" s="410">
        <v>14.763500000000001</v>
      </c>
      <c r="D3191" s="2738">
        <f>VLOOKUP(H3191,indexy!$C$44:$D$823,2,FALSE)</f>
        <v>11.445</v>
      </c>
      <c r="E3191" s="1463">
        <f t="shared" si="74"/>
        <v>-0.22477732245063842</v>
      </c>
      <c r="F3191" s="1494">
        <f t="shared" si="73"/>
        <v>-1.7982185796051074E-2</v>
      </c>
      <c r="G3191" s="415"/>
      <c r="H3191" s="415" t="str">
        <f>VLOOKUP(B3191,indexy!$A$44:$D$823,3,FALSE)</f>
        <v>FORTUM FH Equity</v>
      </c>
      <c r="J3191" s="434"/>
    </row>
    <row r="3192" spans="1:11" ht="12.75" hidden="1" customHeight="1" outlineLevel="1" x14ac:dyDescent="0.25">
      <c r="A3192" s="135">
        <v>0.02</v>
      </c>
      <c r="B3192" s="151" t="s">
        <v>9799</v>
      </c>
      <c r="C3192" s="410">
        <v>23.007999999999999</v>
      </c>
      <c r="D3192" s="2738">
        <f>VLOOKUP(H3192,indexy!$C$44:$D$823,2,FALSE)</f>
        <v>45.35</v>
      </c>
      <c r="E3192" s="1463">
        <f t="shared" si="74"/>
        <v>0.97105354659248966</v>
      </c>
      <c r="F3192" s="1494">
        <f t="shared" si="73"/>
        <v>1.9421070931849794E-2</v>
      </c>
      <c r="G3192" s="415"/>
      <c r="H3192" s="415" t="str">
        <f>VLOOKUP(B3192,indexy!$A$44:$D$823,3,FALSE)</f>
        <v>GM UN Equity</v>
      </c>
      <c r="J3192" s="434"/>
    </row>
    <row r="3193" spans="1:11" ht="12.75" hidden="1" customHeight="1" outlineLevel="1" x14ac:dyDescent="0.25">
      <c r="A3193" s="135">
        <v>0.02</v>
      </c>
      <c r="B3193" s="151" t="s">
        <v>4036</v>
      </c>
      <c r="C3193" s="410">
        <v>11.097</v>
      </c>
      <c r="D3193" s="2738">
        <f>VLOOKUP(H3193,indexy!$C$44:$D$823,2,FALSE)</f>
        <v>20.66</v>
      </c>
      <c r="E3193" s="1463">
        <f t="shared" si="74"/>
        <v>0.86176444083986681</v>
      </c>
      <c r="F3193" s="1494">
        <f t="shared" si="73"/>
        <v>1.7235288816797336E-2</v>
      </c>
      <c r="G3193" s="415"/>
      <c r="H3193" s="415" t="str">
        <f>VLOOKUP(B3193,indexy!$A$44:$D$823,3,FALSE)</f>
        <v>HST UN Equity</v>
      </c>
      <c r="J3193" s="434"/>
    </row>
    <row r="3194" spans="1:11" ht="12.75" hidden="1" customHeight="1" outlineLevel="1" x14ac:dyDescent="0.25">
      <c r="A3194" s="135">
        <v>0.08</v>
      </c>
      <c r="B3194" s="151" t="s">
        <v>1031</v>
      </c>
      <c r="C3194" s="2740">
        <v>9.0959000000000003</v>
      </c>
      <c r="D3194" s="2738">
        <f>VLOOKUP(H3194,indexy!$C$44:$D$823,2,FALSE)</f>
        <v>11.494999999999999</v>
      </c>
      <c r="E3194" s="1463">
        <f t="shared" si="74"/>
        <v>0.26375619784738169</v>
      </c>
      <c r="F3194" s="1494">
        <f t="shared" si="73"/>
        <v>2.1100495827790534E-2</v>
      </c>
      <c r="G3194" s="415"/>
      <c r="H3194" s="415" t="str">
        <f>VLOOKUP(B3194,indexy!$A$44:$D$823,3,FALSE)</f>
        <v>IBE SQ Equity</v>
      </c>
      <c r="J3194" s="434"/>
    </row>
    <row r="3195" spans="1:11" ht="12.75" hidden="1" customHeight="1" outlineLevel="1" x14ac:dyDescent="0.25">
      <c r="A3195" s="135">
        <v>0.02</v>
      </c>
      <c r="B3195" s="151" t="s">
        <v>4034</v>
      </c>
      <c r="C3195" s="410">
        <v>20.189900000000002</v>
      </c>
      <c r="D3195" s="2738">
        <f>VLOOKUP(H3195,indexy!$C$44:$D$823,2,FALSE)</f>
        <v>27.72</v>
      </c>
      <c r="E3195" s="1463">
        <f t="shared" si="74"/>
        <v>0.37296370957756086</v>
      </c>
      <c r="F3195" s="1494">
        <f t="shared" si="73"/>
        <v>7.4592741915512177E-3</v>
      </c>
      <c r="G3195" s="415"/>
      <c r="H3195" s="415" t="str">
        <f>VLOOKUP(B3195,indexy!$A$44:$D$823,3,FALSE)</f>
        <v>AD NA Equity</v>
      </c>
      <c r="J3195" s="434"/>
    </row>
    <row r="3196" spans="1:11" ht="12.75" hidden="1" customHeight="1" outlineLevel="1" x14ac:dyDescent="0.25">
      <c r="A3196" s="135">
        <v>0.02</v>
      </c>
      <c r="B3196" s="151" t="s">
        <v>7838</v>
      </c>
      <c r="C3196" s="410">
        <v>31.06</v>
      </c>
      <c r="D3196" s="2738">
        <f>VLOOKUP(H3196,indexy!$C$44:$D$823,2,FALSE)</f>
        <v>74.11</v>
      </c>
      <c r="E3196" s="1463">
        <f t="shared" si="74"/>
        <v>1.3860270444301355</v>
      </c>
      <c r="F3196" s="1494">
        <f t="shared" si="73"/>
        <v>2.7720540888602711E-2</v>
      </c>
      <c r="G3196" s="415"/>
      <c r="H3196" s="415" t="str">
        <f>VLOOKUP(B3196,indexy!$A$44:$D$823,3,FALSE)</f>
        <v>MET UN Equity</v>
      </c>
      <c r="J3196" s="434"/>
    </row>
    <row r="3197" spans="1:11" ht="12.75" hidden="1" customHeight="1" outlineLevel="1" x14ac:dyDescent="0.25">
      <c r="A3197" s="135">
        <v>0.02</v>
      </c>
      <c r="B3197" s="151" t="s">
        <v>7321</v>
      </c>
      <c r="C3197" s="410">
        <f>78.924/4</f>
        <v>19.731000000000002</v>
      </c>
      <c r="D3197" s="2738">
        <f>VLOOKUP(H3197,indexy!$C$44:$D$823,2,FALSE)</f>
        <v>35.520000000000003</v>
      </c>
      <c r="E3197" s="1463">
        <f t="shared" si="74"/>
        <v>0.80021286300745031</v>
      </c>
      <c r="F3197" s="1494">
        <f t="shared" si="73"/>
        <v>1.6004257260149007E-2</v>
      </c>
      <c r="G3197" s="415"/>
      <c r="H3197" s="415" t="str">
        <f>VLOOKUP(B3197,indexy!$A$44:$D$823,3,FALSE)</f>
        <v>ML FP Equity</v>
      </c>
      <c r="J3197" s="434"/>
    </row>
    <row r="3198" spans="1:11" ht="12.75" hidden="1" customHeight="1" outlineLevel="1" x14ac:dyDescent="0.25">
      <c r="A3198" s="135">
        <v>0.03</v>
      </c>
      <c r="B3198" s="151" t="s">
        <v>1772</v>
      </c>
      <c r="C3198" s="410">
        <v>183.87</v>
      </c>
      <c r="D3198" s="2738">
        <f>VLOOKUP(H3198,indexy!$C$44:$D$823,2,FALSE)</f>
        <v>452.3</v>
      </c>
      <c r="E3198" s="1463">
        <f t="shared" si="74"/>
        <v>1.4598901397726656</v>
      </c>
      <c r="F3198" s="1494">
        <f t="shared" si="73"/>
        <v>4.3796704193179964E-2</v>
      </c>
      <c r="G3198" s="415"/>
      <c r="H3198" s="415" t="str">
        <f>VLOOKUP(B3198,indexy!$A$44:$D$823,3,FALSE)</f>
        <v>MUV2 GY Equity</v>
      </c>
      <c r="J3198" s="434"/>
    </row>
    <row r="3199" spans="1:11" ht="12.75" hidden="1" customHeight="1" outlineLevel="1" x14ac:dyDescent="0.25">
      <c r="A3199" s="135">
        <v>0.08</v>
      </c>
      <c r="B3199" s="151" t="s">
        <v>2787</v>
      </c>
      <c r="C3199" s="410">
        <v>74.292000000000002</v>
      </c>
      <c r="D3199" s="2738">
        <f>VLOOKUP(H3199,indexy!$C$44:$D$823,2,FALSE)</f>
        <v>87.37</v>
      </c>
      <c r="E3199" s="1463">
        <f t="shared" si="74"/>
        <v>0.1760351047219082</v>
      </c>
      <c r="F3199" s="1494">
        <f t="shared" si="73"/>
        <v>1.4082808377752656E-2</v>
      </c>
      <c r="G3199" s="415"/>
      <c r="H3199" s="415" t="str">
        <f>VLOOKUP(B3199,indexy!$A$44:$D$823,3,FALSE)</f>
        <v>NOVN SE Equity</v>
      </c>
      <c r="J3199" s="434"/>
    </row>
    <row r="3200" spans="1:11" ht="12.75" hidden="1" customHeight="1" outlineLevel="1" x14ac:dyDescent="0.25">
      <c r="A3200" s="135">
        <v>0.02</v>
      </c>
      <c r="B3200" s="151" t="s">
        <v>10247</v>
      </c>
      <c r="C3200" s="410">
        <v>32.978000000000002</v>
      </c>
      <c r="D3200" s="2738">
        <f>VLOOKUP(H3200,indexy!$C$44:$D$823,2,FALSE)</f>
        <v>86.31</v>
      </c>
      <c r="E3200" s="1463">
        <f t="shared" si="74"/>
        <v>1.6171993450178905</v>
      </c>
      <c r="F3200" s="1494">
        <f t="shared" si="73"/>
        <v>3.2343986900357814E-2</v>
      </c>
      <c r="G3200" s="415"/>
      <c r="H3200" s="415" t="str">
        <f>VLOOKUP(B3200,indexy!$A$44:$D$823,3,FALSE)</f>
        <v>PFG UW Equity</v>
      </c>
      <c r="J3200" s="434"/>
    </row>
    <row r="3201" spans="1:10" ht="12.75" hidden="1" customHeight="1" outlineLevel="1" x14ac:dyDescent="0.25">
      <c r="A3201" s="135">
        <v>0.02</v>
      </c>
      <c r="B3201" s="151" t="s">
        <v>5205</v>
      </c>
      <c r="C3201" s="410">
        <v>11.9968</v>
      </c>
      <c r="D3201" s="2738">
        <f>VLOOKUP(H3201,indexy!$C$44:$D$823,2,FALSE)/100</f>
        <v>18.952000000000002</v>
      </c>
      <c r="E3201" s="1463">
        <f t="shared" si="74"/>
        <v>0.57975460122699407</v>
      </c>
      <c r="F3201" s="1494">
        <f t="shared" si="73"/>
        <v>1.1595092024539882E-2</v>
      </c>
      <c r="G3201" s="415"/>
      <c r="H3201" s="415" t="str">
        <f>VLOOKUP(B3201,indexy!$A$44:$D$823,3,FALSE)</f>
        <v>RDSA LN Equity</v>
      </c>
      <c r="J3201" s="434"/>
    </row>
    <row r="3202" spans="1:10" ht="12.75" hidden="1" customHeight="1" outlineLevel="1" x14ac:dyDescent="0.25">
      <c r="A3202" s="135">
        <v>0.02</v>
      </c>
      <c r="B3202" s="151" t="s">
        <v>1187</v>
      </c>
      <c r="C3202" s="410">
        <v>77.686999999999998</v>
      </c>
      <c r="D3202" s="2738">
        <f>VLOOKUP(H3202,indexy!$C$44:$D$823,2,FALSE)</f>
        <v>90.96</v>
      </c>
      <c r="E3202" s="1463">
        <f t="shared" si="74"/>
        <v>0.17085226614491478</v>
      </c>
      <c r="F3202" s="1494">
        <f t="shared" si="73"/>
        <v>3.4170453228982954E-3</v>
      </c>
      <c r="G3202" s="415"/>
      <c r="H3202" s="415" t="str">
        <f>VLOOKUP(B3202,indexy!$A$44:$D$823,3,FALSE)</f>
        <v>SAN FP Equity</v>
      </c>
      <c r="J3202" s="434"/>
    </row>
    <row r="3203" spans="1:10" ht="12.75" hidden="1" customHeight="1" outlineLevel="1" x14ac:dyDescent="0.25">
      <c r="A3203" s="135">
        <v>0.02</v>
      </c>
      <c r="B3203" s="151" t="s">
        <v>1214</v>
      </c>
      <c r="C3203" s="410">
        <v>72.186000000000007</v>
      </c>
      <c r="D3203" s="2738">
        <f>VLOOKUP(H3203,indexy!$C$44:$D$823,2,FALSE)</f>
        <v>176.96</v>
      </c>
      <c r="E3203" s="1463">
        <f t="shared" si="74"/>
        <v>1.4514448785082981</v>
      </c>
      <c r="F3203" s="1494">
        <f t="shared" si="73"/>
        <v>2.9028897570165961E-2</v>
      </c>
      <c r="G3203" s="415"/>
      <c r="H3203" s="415" t="str">
        <f>VLOOKUP(B3203,indexy!$A$44:$D$823,3,FALSE)</f>
        <v>SIE GY Equity</v>
      </c>
      <c r="J3203" s="434"/>
    </row>
    <row r="3204" spans="1:10" ht="12.75" hidden="1" customHeight="1" outlineLevel="1" x14ac:dyDescent="0.25">
      <c r="A3204" s="135">
        <v>0.08</v>
      </c>
      <c r="B3204" s="151" t="s">
        <v>6118</v>
      </c>
      <c r="C3204" s="410">
        <v>69.930000000000007</v>
      </c>
      <c r="D3204" s="2738">
        <f>VLOOKUP(H3204,indexy!$C$44:$D$823,2,FALSE)</f>
        <v>115.95</v>
      </c>
      <c r="E3204" s="1463">
        <f t="shared" si="74"/>
        <v>0.65808665808665801</v>
      </c>
      <c r="F3204" s="1494">
        <f t="shared" si="73"/>
        <v>5.264693264693264E-2</v>
      </c>
      <c r="G3204" s="415"/>
      <c r="H3204" s="415" t="str">
        <f>VLOOKUP(B3204,indexy!$A$44:$D$823,3,FALSE)</f>
        <v>SREN SE Equity</v>
      </c>
      <c r="J3204" s="434"/>
    </row>
    <row r="3205" spans="1:10" ht="12.75" hidden="1" customHeight="1" outlineLevel="1" x14ac:dyDescent="0.25">
      <c r="A3205" s="135">
        <v>0.02</v>
      </c>
      <c r="B3205" s="151" t="s">
        <v>3383</v>
      </c>
      <c r="C3205" s="410">
        <v>146.41999999999999</v>
      </c>
      <c r="D3205" s="2738">
        <f>VLOOKUP(H3205,indexy!$C$44:$D$823,2,FALSE)</f>
        <v>120.75</v>
      </c>
      <c r="E3205" s="1463">
        <f t="shared" si="74"/>
        <v>-0.17531757956563299</v>
      </c>
      <c r="F3205" s="1494">
        <f t="shared" si="73"/>
        <v>-3.5063515913126599E-3</v>
      </c>
      <c r="G3205" s="415"/>
      <c r="H3205" s="415" t="str">
        <f>VLOOKUP(B3205,indexy!$A$44:$D$823,3,FALSE)</f>
        <v>TEL NO Equity</v>
      </c>
      <c r="J3205" s="434"/>
    </row>
    <row r="3206" spans="1:10" ht="12.75" hidden="1" customHeight="1" outlineLevel="1" x14ac:dyDescent="0.25">
      <c r="A3206" s="135">
        <v>0.08</v>
      </c>
      <c r="B3206" s="151" t="s">
        <v>434</v>
      </c>
      <c r="C3206" s="410">
        <v>34.698</v>
      </c>
      <c r="D3206" s="2738">
        <f>VLOOKUP(H3206,indexy!$C$44:$D$823,2,FALSE)</f>
        <v>27.43</v>
      </c>
      <c r="E3206" s="1463">
        <f t="shared" si="74"/>
        <v>-0.20946452245086178</v>
      </c>
      <c r="F3206" s="1494">
        <f t="shared" si="73"/>
        <v>-1.6757161796068943E-2</v>
      </c>
      <c r="G3206" s="415"/>
      <c r="H3206" s="415" t="str">
        <f>VLOOKUP(B3206,indexy!$A$44:$D$823,3,FALSE)</f>
        <v>TELIA SS Equity</v>
      </c>
      <c r="J3206" s="434"/>
    </row>
    <row r="3207" spans="1:10" ht="12.75" hidden="1" customHeight="1" outlineLevel="1" x14ac:dyDescent="0.25">
      <c r="A3207" s="135">
        <v>0.05</v>
      </c>
      <c r="B3207" s="151" t="s">
        <v>10633</v>
      </c>
      <c r="C3207" s="410">
        <v>27.679500000000001</v>
      </c>
      <c r="D3207" s="2738">
        <f>VLOOKUP(H3207,indexy!$C$44:$D$823,2,FALSE)</f>
        <v>63.47</v>
      </c>
      <c r="E3207" s="1463">
        <f t="shared" si="74"/>
        <v>1.2930327498690364</v>
      </c>
      <c r="F3207" s="1494">
        <f>E3207*A3207</f>
        <v>6.4651637493451819E-2</v>
      </c>
      <c r="G3207" s="415"/>
      <c r="H3207" s="415" t="str">
        <f>VLOOKUP(B3207,indexy!$A$44:$D$823,3,FALSE)</f>
        <v>TTE FP Equity</v>
      </c>
      <c r="J3207" s="434"/>
    </row>
    <row r="3208" spans="1:10" ht="12.75" hidden="1" customHeight="1" outlineLevel="1" x14ac:dyDescent="0.25">
      <c r="A3208" s="135">
        <v>0.02</v>
      </c>
      <c r="B3208" s="151" t="s">
        <v>106</v>
      </c>
      <c r="C3208" s="410">
        <v>40.639499999999998</v>
      </c>
      <c r="D3208" s="2738">
        <f>VLOOKUP(H3208,indexy!$C$44:$D$946,2,FALSE)/100</f>
        <v>39.755000000000003</v>
      </c>
      <c r="E3208" s="1463">
        <f t="shared" si="74"/>
        <v>-2.176453942592782E-2</v>
      </c>
      <c r="F3208" s="1494">
        <f>E3208*A3208</f>
        <v>-4.352907885185564E-4</v>
      </c>
      <c r="G3208" s="415"/>
      <c r="H3208" s="415" t="str">
        <f>VLOOKUP(B3208,indexy!$A$44:$D$946,3,FALSE)</f>
        <v>ULVR LN Equity</v>
      </c>
      <c r="J3208" s="434"/>
    </row>
    <row r="3209" spans="1:10" ht="12.75" hidden="1" customHeight="1" outlineLevel="1" x14ac:dyDescent="0.25">
      <c r="A3209" s="135">
        <v>0.03</v>
      </c>
      <c r="B3209" s="151" t="s">
        <v>579</v>
      </c>
      <c r="C3209" s="410">
        <v>1.1383000000000001</v>
      </c>
      <c r="D3209" s="2738">
        <f>VLOOKUP(H3209,indexy!$C$44:$D$823,2,FALSE)/100</f>
        <v>0.70459999999999989</v>
      </c>
      <c r="E3209" s="1463">
        <f t="shared" si="74"/>
        <v>-0.38100676447333759</v>
      </c>
      <c r="F3209" s="1494">
        <f>E3209*A3209</f>
        <v>-1.1430202934200127E-2</v>
      </c>
      <c r="G3209" s="415"/>
      <c r="H3209" s="415" t="str">
        <f>VLOOKUP(B3209,indexy!$A$44:$D$823,3,FALSE)</f>
        <v>VOD LN Equity</v>
      </c>
      <c r="J3209" s="434"/>
    </row>
    <row r="3210" spans="1:10" ht="12.75" hidden="1" customHeight="1" outlineLevel="1" x14ac:dyDescent="0.25">
      <c r="A3210" s="135">
        <v>0.02</v>
      </c>
      <c r="B3210" s="151" t="s">
        <v>7916</v>
      </c>
      <c r="C3210" s="410">
        <v>47.743000000000002</v>
      </c>
      <c r="D3210" s="2738">
        <f>VLOOKUP(H3210,indexy!$C$44:$D$823,2,FALSE)</f>
        <v>21.69</v>
      </c>
      <c r="E3210" s="1463">
        <f t="shared" si="74"/>
        <v>-0.54569256226043605</v>
      </c>
      <c r="F3210" s="1494">
        <f>E3210*A3210</f>
        <v>-1.0913851245208722E-2</v>
      </c>
      <c r="G3210" s="415"/>
      <c r="H3210" s="415" t="str">
        <f>VLOOKUP(B3210,indexy!$A$44:$D$823,3,FALSE)</f>
        <v>WBA UW Equity</v>
      </c>
      <c r="J3210" s="434"/>
    </row>
    <row r="3211" spans="1:10" ht="12.75" hidden="1" customHeight="1" outlineLevel="1" x14ac:dyDescent="0.25">
      <c r="A3211" s="135">
        <v>0.02</v>
      </c>
      <c r="B3211" s="2736" t="s">
        <v>3306</v>
      </c>
      <c r="C3211" s="2741">
        <v>5.8109000000000002</v>
      </c>
      <c r="D3211" s="2739">
        <f>VLOOKUP(H3211,indexy!$C$44:$D$823,2,FALSE)/100</f>
        <v>7.5360000000000005</v>
      </c>
      <c r="E3211" s="1463">
        <f t="shared" si="74"/>
        <v>0.29687311776144831</v>
      </c>
      <c r="F3211" s="1494">
        <f>E3211*A3211</f>
        <v>5.9374623552289662E-3</v>
      </c>
      <c r="G3211" s="415"/>
      <c r="H3211" s="415" t="str">
        <f>VLOOKUP(B3211,indexy!$A$44:$D$823,3,FALSE)</f>
        <v>WPP LN Equity</v>
      </c>
      <c r="J3211" s="434"/>
    </row>
    <row r="3212" spans="1:10" ht="12.75" hidden="1" customHeight="1" outlineLevel="1" x14ac:dyDescent="0.25">
      <c r="A3212" s="1475" t="s">
        <v>2734</v>
      </c>
      <c r="B3212" s="150"/>
      <c r="C3212" s="1477">
        <v>100</v>
      </c>
      <c r="D3212" s="1477"/>
      <c r="E3212" s="1599"/>
      <c r="F3212" s="1599">
        <f>SUM(F3182:F3211)</f>
        <v>0.59582883699732725</v>
      </c>
      <c r="G3212" s="415"/>
      <c r="H3212" s="415"/>
    </row>
    <row r="3213" spans="1:10" ht="12.75" hidden="1" customHeight="1" outlineLevel="1" x14ac:dyDescent="0.25">
      <c r="A3213" s="221" t="s">
        <v>10345</v>
      </c>
      <c r="B3213" s="1478">
        <v>45717</v>
      </c>
      <c r="C3213" s="1497">
        <v>100</v>
      </c>
      <c r="D3213" s="1497"/>
      <c r="E3213" s="1498">
        <f>IF(D3213="",F3212,D3213/C3213-1)</f>
        <v>0.59582883699732725</v>
      </c>
      <c r="F3213" s="1499"/>
      <c r="G3213" s="415"/>
      <c r="H3213" s="415"/>
    </row>
    <row r="3214" spans="1:10" ht="12.75" hidden="1" customHeight="1" outlineLevel="1" x14ac:dyDescent="0.25">
      <c r="A3214" s="221" t="s">
        <v>10346</v>
      </c>
      <c r="B3214" s="1478">
        <v>45748</v>
      </c>
      <c r="C3214" s="1497">
        <v>100</v>
      </c>
      <c r="D3214" s="1500"/>
      <c r="E3214" s="1498">
        <f>IF(D3214="",E3213,D3214/C3214-1)</f>
        <v>0.59582883699732725</v>
      </c>
      <c r="F3214" s="1499"/>
      <c r="G3214" s="415"/>
      <c r="H3214" s="415"/>
    </row>
    <row r="3215" spans="1:10" ht="12.75" hidden="1" customHeight="1" outlineLevel="1" x14ac:dyDescent="0.25">
      <c r="A3215" s="221" t="s">
        <v>10347</v>
      </c>
      <c r="B3215" s="1478">
        <v>45778</v>
      </c>
      <c r="C3215" s="1497">
        <v>100</v>
      </c>
      <c r="D3215" s="1500"/>
      <c r="E3215" s="1498">
        <f>IF(D3215="",E3214,D3215/C3215-1)</f>
        <v>0.59582883699732725</v>
      </c>
      <c r="F3215" s="1499"/>
      <c r="G3215" s="415"/>
      <c r="H3215" s="415"/>
    </row>
    <row r="3216" spans="1:10" ht="12.75" hidden="1" customHeight="1" outlineLevel="1" x14ac:dyDescent="0.25">
      <c r="A3216" s="221" t="s">
        <v>10348</v>
      </c>
      <c r="B3216" s="1478">
        <v>45809</v>
      </c>
      <c r="C3216" s="1497">
        <v>100</v>
      </c>
      <c r="D3216" s="1500"/>
      <c r="E3216" s="1498">
        <f>IF(D3216="",E3215,D3216/C3216-1)</f>
        <v>0.59582883699732725</v>
      </c>
      <c r="F3216" s="1499"/>
      <c r="G3216" s="415"/>
      <c r="H3216" s="415"/>
    </row>
    <row r="3217" spans="1:18" ht="12.75" hidden="1" customHeight="1" outlineLevel="1" x14ac:dyDescent="0.25">
      <c r="A3217" s="221" t="s">
        <v>10349</v>
      </c>
      <c r="B3217" s="1478">
        <v>45839</v>
      </c>
      <c r="C3217" s="1497">
        <v>100</v>
      </c>
      <c r="D3217" s="1500"/>
      <c r="E3217" s="1498">
        <f t="shared" ref="E3217:E3222" si="75">IF(D3217="",E3216,D3217/C3217-1)</f>
        <v>0.59582883699732725</v>
      </c>
      <c r="F3217" s="1499"/>
      <c r="G3217" s="415"/>
      <c r="H3217" s="415"/>
    </row>
    <row r="3218" spans="1:18" ht="12.75" hidden="1" customHeight="1" outlineLevel="1" x14ac:dyDescent="0.25">
      <c r="A3218" s="221" t="s">
        <v>10350</v>
      </c>
      <c r="B3218" s="1478">
        <v>45870</v>
      </c>
      <c r="C3218" s="1497">
        <v>100</v>
      </c>
      <c r="D3218" s="1500"/>
      <c r="E3218" s="1498">
        <f t="shared" si="75"/>
        <v>0.59582883699732725</v>
      </c>
      <c r="F3218" s="1499"/>
      <c r="G3218" s="415"/>
      <c r="H3218" s="415"/>
    </row>
    <row r="3219" spans="1:18" ht="12.75" hidden="1" customHeight="1" outlineLevel="1" x14ac:dyDescent="0.25">
      <c r="A3219" s="221" t="s">
        <v>10351</v>
      </c>
      <c r="B3219" s="1478">
        <v>45901</v>
      </c>
      <c r="C3219" s="1497">
        <v>100</v>
      </c>
      <c r="D3219" s="1500"/>
      <c r="E3219" s="1498">
        <f t="shared" si="75"/>
        <v>0.59582883699732725</v>
      </c>
      <c r="F3219" s="1499"/>
      <c r="G3219" s="415"/>
      <c r="H3219" s="415"/>
    </row>
    <row r="3220" spans="1:18" ht="12.75" hidden="1" customHeight="1" outlineLevel="1" x14ac:dyDescent="0.25">
      <c r="A3220" s="221" t="s">
        <v>10352</v>
      </c>
      <c r="B3220" s="1478">
        <v>45931</v>
      </c>
      <c r="C3220" s="1497">
        <v>100</v>
      </c>
      <c r="D3220" s="1500"/>
      <c r="E3220" s="1498">
        <f t="shared" si="75"/>
        <v>0.59582883699732725</v>
      </c>
      <c r="F3220" s="1499"/>
      <c r="G3220" s="415"/>
      <c r="H3220" s="415"/>
    </row>
    <row r="3221" spans="1:18" ht="12.75" hidden="1" customHeight="1" outlineLevel="1" x14ac:dyDescent="0.25">
      <c r="A3221" s="221" t="s">
        <v>10353</v>
      </c>
      <c r="B3221" s="1478">
        <v>45962</v>
      </c>
      <c r="C3221" s="1497">
        <v>100</v>
      </c>
      <c r="D3221" s="1500"/>
      <c r="E3221" s="1498">
        <f t="shared" si="75"/>
        <v>0.59582883699732725</v>
      </c>
      <c r="F3221" s="1499"/>
      <c r="G3221" s="415"/>
      <c r="H3221" s="415"/>
    </row>
    <row r="3222" spans="1:18" ht="12.75" hidden="1" customHeight="1" outlineLevel="1" x14ac:dyDescent="0.25">
      <c r="A3222" s="221" t="s">
        <v>10354</v>
      </c>
      <c r="B3222" s="1478">
        <v>45992</v>
      </c>
      <c r="C3222" s="1497">
        <v>100</v>
      </c>
      <c r="D3222" s="1500"/>
      <c r="E3222" s="1498">
        <f t="shared" si="75"/>
        <v>0.59582883699732725</v>
      </c>
      <c r="F3222" s="1499"/>
      <c r="G3222" s="415"/>
      <c r="H3222" s="415"/>
    </row>
    <row r="3223" spans="1:18" ht="12.75" hidden="1" customHeight="1" outlineLevel="1" x14ac:dyDescent="0.25">
      <c r="A3223" s="221" t="s">
        <v>10355</v>
      </c>
      <c r="B3223" s="1478">
        <v>46023</v>
      </c>
      <c r="C3223" s="1497">
        <v>100</v>
      </c>
      <c r="D3223" s="1500"/>
      <c r="E3223" s="1498">
        <f>IF(D3223="",E3216,D3223/C3223-1)</f>
        <v>0.59582883699732725</v>
      </c>
      <c r="F3223" s="1499"/>
      <c r="G3223" s="415"/>
      <c r="H3223" s="415"/>
    </row>
    <row r="3224" spans="1:18" ht="12.75" hidden="1" customHeight="1" outlineLevel="1" x14ac:dyDescent="0.25">
      <c r="A3224" s="221" t="s">
        <v>10356</v>
      </c>
      <c r="B3224" s="1478">
        <v>46054</v>
      </c>
      <c r="C3224" s="1497">
        <v>100</v>
      </c>
      <c r="D3224" s="1500"/>
      <c r="E3224" s="1498">
        <f>IF(D3224="",E3223,D3224/C3224-1)</f>
        <v>0.59582883699732725</v>
      </c>
      <c r="F3224" s="1499"/>
      <c r="G3224" s="415"/>
      <c r="H3224" s="415"/>
    </row>
    <row r="3225" spans="1:18" s="444" customFormat="1" ht="12.75" hidden="1" customHeight="1" outlineLevel="1" x14ac:dyDescent="0.25">
      <c r="A3225" s="1483" t="s">
        <v>2734</v>
      </c>
      <c r="B3225" s="1484"/>
      <c r="C3225" s="1500"/>
      <c r="D3225" s="1485" t="s">
        <v>2465</v>
      </c>
      <c r="E3225" s="1486">
        <f>AVERAGE(E3213:E3224)</f>
        <v>0.59582883699732736</v>
      </c>
      <c r="F3225" s="1487">
        <f>((((E3225*100)+100)-I3182)/100)</f>
        <v>0.62061083699732744</v>
      </c>
    </row>
    <row r="3226" spans="1:18" collapsed="1" x14ac:dyDescent="0.25">
      <c r="A3226" s="3799" t="s">
        <v>10299</v>
      </c>
      <c r="B3226" s="3800"/>
      <c r="C3226" s="3800"/>
      <c r="D3226" s="3800"/>
      <c r="E3226" s="18"/>
      <c r="F3226" s="186">
        <f>MAX(0%,MIN(F3225,100%))</f>
        <v>0.62061083699732744</v>
      </c>
      <c r="G3226" s="415"/>
    </row>
    <row r="3228" spans="1:18" ht="12.75" hidden="1" customHeight="1" outlineLevel="1" x14ac:dyDescent="0.25">
      <c r="A3228" s="1677" t="s">
        <v>4156</v>
      </c>
      <c r="B3228" s="1677" t="s">
        <v>4153</v>
      </c>
      <c r="C3228" s="1305" t="s">
        <v>112</v>
      </c>
      <c r="D3228" s="1678" t="s">
        <v>4155</v>
      </c>
      <c r="E3228" s="1677" t="s">
        <v>4154</v>
      </c>
      <c r="F3228" s="1678" t="s">
        <v>2519</v>
      </c>
      <c r="G3228" s="12"/>
      <c r="H3228" s="415"/>
      <c r="I3228" s="412" t="s">
        <v>6964</v>
      </c>
      <c r="J3228" s="1462">
        <v>43952</v>
      </c>
      <c r="K3228" s="1462">
        <v>43983</v>
      </c>
      <c r="L3228" s="1462">
        <v>44013</v>
      </c>
      <c r="M3228" s="1462">
        <v>44044</v>
      </c>
      <c r="N3228" s="1462">
        <v>44075</v>
      </c>
      <c r="O3228" s="1462">
        <v>44105</v>
      </c>
      <c r="P3228" s="1462"/>
      <c r="Q3228" s="1462"/>
      <c r="R3228" s="1462"/>
    </row>
    <row r="3229" spans="1:18" ht="12.75" hidden="1" customHeight="1" outlineLevel="1" x14ac:dyDescent="0.25">
      <c r="A3229" s="134">
        <v>0.04</v>
      </c>
      <c r="B3229" s="151" t="s">
        <v>218</v>
      </c>
      <c r="C3229" s="454">
        <v>14.922800000000001</v>
      </c>
      <c r="D3229" s="2737">
        <f>VLOOKUP(H3229,indexy!$C$44:$D$823,2,FALSE)</f>
        <v>34.814999999999998</v>
      </c>
      <c r="E3229" s="1466">
        <f>D3229/C3229-1</f>
        <v>1.3330072104430801</v>
      </c>
      <c r="F3229" s="1492">
        <f>E3229*A3229</f>
        <v>5.3320288417723204E-2</v>
      </c>
      <c r="G3229" s="415"/>
      <c r="H3229" s="415" t="str">
        <f>VLOOKUP(B3229,indexy!$A$44:$D$823,3,FALSE)</f>
        <v>CS FP Equity</v>
      </c>
      <c r="I3229" s="412">
        <f>IF(J3229="",100,MIN(100,J3229:Y3229))</f>
        <v>98.845600000000005</v>
      </c>
      <c r="J3229">
        <v>98.845600000000005</v>
      </c>
      <c r="K3229">
        <v>108.2914</v>
      </c>
      <c r="L3229">
        <v>109.42700000000001</v>
      </c>
      <c r="M3229">
        <v>108.4847</v>
      </c>
      <c r="N3229">
        <v>109.4272</v>
      </c>
      <c r="O3229">
        <v>107.94759999999999</v>
      </c>
    </row>
    <row r="3230" spans="1:18" ht="12.75" hidden="1" customHeight="1" outlineLevel="1" x14ac:dyDescent="0.25">
      <c r="A3230" s="135">
        <v>0.02</v>
      </c>
      <c r="B3230" s="151" t="s">
        <v>1188</v>
      </c>
      <c r="C3230" s="410">
        <v>3.0844999999999998</v>
      </c>
      <c r="D3230" s="2738">
        <f>VLOOKUP(H3230,indexy!$C$44:$D$823,2,FALSE)/100</f>
        <v>4.9569999999999999</v>
      </c>
      <c r="E3230" s="1463">
        <f>D3230/C3230-1</f>
        <v>0.60706759604473981</v>
      </c>
      <c r="F3230" s="1494">
        <f t="shared" ref="F3230:F3253" si="76">E3230*A3230</f>
        <v>1.2141351920894796E-2</v>
      </c>
      <c r="G3230" s="415"/>
      <c r="H3230" s="415" t="str">
        <f>VLOOKUP(B3230,indexy!$A$44:$D$823,3,FALSE)</f>
        <v>BP/ LN Equity</v>
      </c>
      <c r="I3230" s="422">
        <f>+(((E3272*100)+100)-I3229)/100</f>
        <v>0.56579968965668215</v>
      </c>
    </row>
    <row r="3231" spans="1:18" ht="12.75" hidden="1" customHeight="1" outlineLevel="1" x14ac:dyDescent="0.25">
      <c r="A3231" s="135">
        <v>0.02</v>
      </c>
      <c r="B3231" s="151" t="s">
        <v>6444</v>
      </c>
      <c r="C3231" s="410">
        <v>8.8163999999999998</v>
      </c>
      <c r="D3231" s="2738">
        <f>VLOOKUP(H3231,indexy!$C$44:$D$823,2,FALSE)/100</f>
        <v>11.695</v>
      </c>
      <c r="E3231" s="1463">
        <f t="shared" ref="E3231:E3258" si="77">D3231/C3231-1</f>
        <v>0.32650514949412468</v>
      </c>
      <c r="F3231" s="1494">
        <f t="shared" si="76"/>
        <v>6.530102989882494E-3</v>
      </c>
      <c r="G3231" s="415"/>
      <c r="H3231" s="415" t="str">
        <f>VLOOKUP(B3231,indexy!$A$44:$D$823,3,FALSE)</f>
        <v>CCL LN Equity</v>
      </c>
      <c r="J3231" s="434"/>
    </row>
    <row r="3232" spans="1:18" ht="12.75" hidden="1" customHeight="1" outlineLevel="1" x14ac:dyDescent="0.25">
      <c r="A3232" s="135">
        <v>0.02</v>
      </c>
      <c r="B3232" s="151" t="s">
        <v>51</v>
      </c>
      <c r="C3232" s="410">
        <v>24.361000000000001</v>
      </c>
      <c r="D3232" s="2738">
        <f>VLOOKUP(H3232,indexy!$C$44:$D$823,2,FALSE)</f>
        <v>71.930000000000007</v>
      </c>
      <c r="E3232" s="1463">
        <f t="shared" si="77"/>
        <v>1.9526702516317065</v>
      </c>
      <c r="F3232" s="1494">
        <f t="shared" si="76"/>
        <v>3.9053405032634131E-2</v>
      </c>
      <c r="G3232" s="415"/>
      <c r="H3232" s="415" t="str">
        <f>VLOOKUP(B3232,indexy!$A$44:$D$823,3,FALSE)</f>
        <v>SGO FP Equity</v>
      </c>
      <c r="J3232" s="434"/>
      <c r="K3232" s="37"/>
    </row>
    <row r="3233" spans="1:10" ht="12.75" hidden="1" customHeight="1" outlineLevel="1" x14ac:dyDescent="0.25">
      <c r="A3233" s="135">
        <v>0.02</v>
      </c>
      <c r="B3233" s="151" t="s">
        <v>10245</v>
      </c>
      <c r="C3233" s="410">
        <v>19.869</v>
      </c>
      <c r="D3233" s="2738">
        <f>VLOOKUP(H3233,indexy!$C$44:$D$823,2,FALSE)</f>
        <v>36.29</v>
      </c>
      <c r="E3233" s="1463">
        <f t="shared" si="77"/>
        <v>0.8264633348432231</v>
      </c>
      <c r="F3233" s="1494">
        <f t="shared" si="76"/>
        <v>1.6529266696864463E-2</v>
      </c>
      <c r="G3233" s="415"/>
      <c r="H3233" s="415" t="str">
        <f>VLOOKUP(B3233,indexy!$A$44:$D$823,3,FALSE)</f>
        <v>CFG UN Equity</v>
      </c>
      <c r="J3233" s="434"/>
    </row>
    <row r="3234" spans="1:10" ht="12.75" hidden="1" customHeight="1" outlineLevel="1" x14ac:dyDescent="0.25">
      <c r="A3234" s="135">
        <v>0.02</v>
      </c>
      <c r="B3234" s="151" t="s">
        <v>7218</v>
      </c>
      <c r="C3234" s="410">
        <v>62.677999999999997</v>
      </c>
      <c r="D3234" s="2738">
        <f>VLOOKUP(H3234,indexy!$C$44:$D$823,2,FALSE)</f>
        <v>167.15</v>
      </c>
      <c r="E3234" s="1463">
        <f t="shared" si="77"/>
        <v>1.6668049395322124</v>
      </c>
      <c r="F3234" s="1494">
        <f t="shared" si="76"/>
        <v>3.3336098790644246E-2</v>
      </c>
      <c r="G3234" s="415"/>
      <c r="H3234" s="415" t="str">
        <f>VLOOKUP(B3234,indexy!$A$44:$D$823,3,FALSE)</f>
        <v>DRI UN Equity</v>
      </c>
      <c r="J3234" s="434"/>
    </row>
    <row r="3235" spans="1:10" ht="12.75" hidden="1" customHeight="1" outlineLevel="1" x14ac:dyDescent="0.25">
      <c r="A3235" s="135">
        <v>0.05</v>
      </c>
      <c r="B3235" s="151" t="s">
        <v>2629</v>
      </c>
      <c r="C3235" s="410">
        <v>12.4405</v>
      </c>
      <c r="D3235" s="2738">
        <f>VLOOKUP(H3235,indexy!$C$44:$D$823,2,FALSE)</f>
        <v>22.5</v>
      </c>
      <c r="E3235" s="1463">
        <f t="shared" si="77"/>
        <v>0.80860897873879667</v>
      </c>
      <c r="F3235" s="1494">
        <f t="shared" si="76"/>
        <v>4.0430448936939839E-2</v>
      </c>
      <c r="G3235" s="415"/>
      <c r="H3235" s="415" t="str">
        <f>VLOOKUP(B3235,indexy!$A$44:$D$823,3,FALSE)</f>
        <v>DTE GY Equity</v>
      </c>
      <c r="J3235" s="434"/>
    </row>
    <row r="3236" spans="1:10" ht="12.75" hidden="1" customHeight="1" outlineLevel="1" x14ac:dyDescent="0.25">
      <c r="A3236" s="135">
        <v>0.02</v>
      </c>
      <c r="B3236" s="151" t="s">
        <v>10246</v>
      </c>
      <c r="C3236" s="410">
        <v>78.108999999999995</v>
      </c>
      <c r="D3236" s="2738">
        <f>VLOOKUP(H3236,indexy!$C$44:$D$823,2,FALSE)</f>
        <v>312.68</v>
      </c>
      <c r="E3236" s="1463">
        <f t="shared" si="77"/>
        <v>3.0031238397623836</v>
      </c>
      <c r="F3236" s="1494">
        <f t="shared" si="76"/>
        <v>6.0062476795247677E-2</v>
      </c>
      <c r="G3236" s="415"/>
      <c r="H3236" s="415" t="str">
        <f>VLOOKUP(B3236,indexy!$A$44:$D$823,3,FALSE)</f>
        <v>ETN UN Equity</v>
      </c>
      <c r="J3236" s="434"/>
    </row>
    <row r="3237" spans="1:10" ht="12.75" hidden="1" customHeight="1" outlineLevel="1" x14ac:dyDescent="0.25">
      <c r="A3237" s="135">
        <v>0.02</v>
      </c>
      <c r="B3237" s="151" t="s">
        <v>3425</v>
      </c>
      <c r="C3237" s="410">
        <v>41.889000000000003</v>
      </c>
      <c r="D3237" s="2738">
        <f>VLOOKUP(H3237,indexy!$C$44:$D$823,2,FALSE)</f>
        <v>116.24</v>
      </c>
      <c r="E3237" s="1463">
        <f t="shared" si="77"/>
        <v>1.7749528515839477</v>
      </c>
      <c r="F3237" s="1494">
        <f t="shared" si="76"/>
        <v>3.5499057031678952E-2</v>
      </c>
      <c r="G3237" s="415"/>
      <c r="H3237" s="415" t="str">
        <f>VLOOKUP(B3237,indexy!$A$44:$D$823,3,FALSE)</f>
        <v>XOM UN Equity</v>
      </c>
      <c r="J3237" s="434"/>
    </row>
    <row r="3238" spans="1:10" ht="12.75" hidden="1" customHeight="1" outlineLevel="1" x14ac:dyDescent="0.25">
      <c r="A3238" s="135">
        <v>0.08</v>
      </c>
      <c r="B3238" s="151" t="s">
        <v>4268</v>
      </c>
      <c r="C3238" s="410">
        <v>15.3285</v>
      </c>
      <c r="D3238" s="2738">
        <f>VLOOKUP(H3238,indexy!$C$44:$D$823,2,FALSE)</f>
        <v>11.445</v>
      </c>
      <c r="E3238" s="1463">
        <f t="shared" si="77"/>
        <v>-0.25335159996085721</v>
      </c>
      <c r="F3238" s="1494">
        <f t="shared" si="76"/>
        <v>-2.0268127996868578E-2</v>
      </c>
      <c r="G3238" s="415"/>
      <c r="H3238" s="415" t="str">
        <f>VLOOKUP(B3238,indexy!$A$44:$D$823,3,FALSE)</f>
        <v>FORTUM FH Equity</v>
      </c>
      <c r="J3238" s="434"/>
    </row>
    <row r="3239" spans="1:10" ht="12.75" hidden="1" customHeight="1" outlineLevel="1" x14ac:dyDescent="0.25">
      <c r="A3239" s="135">
        <v>0.02</v>
      </c>
      <c r="B3239" s="151" t="s">
        <v>9799</v>
      </c>
      <c r="C3239" s="410">
        <v>22.15</v>
      </c>
      <c r="D3239" s="2738">
        <f>VLOOKUP(H3239,indexy!$C$44:$D$823,2,FALSE)</f>
        <v>45.35</v>
      </c>
      <c r="E3239" s="1463">
        <f t="shared" si="77"/>
        <v>1.047404063205418</v>
      </c>
      <c r="F3239" s="1494">
        <f t="shared" si="76"/>
        <v>2.0948081264108361E-2</v>
      </c>
      <c r="G3239" s="415"/>
      <c r="H3239" s="415" t="str">
        <f>VLOOKUP(B3239,indexy!$A$44:$D$823,3,FALSE)</f>
        <v>GM UN Equity</v>
      </c>
      <c r="J3239" s="434"/>
    </row>
    <row r="3240" spans="1:10" ht="12.75" hidden="1" customHeight="1" outlineLevel="1" x14ac:dyDescent="0.25">
      <c r="A3240" s="135">
        <v>0.02</v>
      </c>
      <c r="B3240" s="151" t="s">
        <v>4036</v>
      </c>
      <c r="C3240" s="410">
        <v>11.119</v>
      </c>
      <c r="D3240" s="2738">
        <f>VLOOKUP(H3240,indexy!$C$44:$D$823,2,FALSE)</f>
        <v>20.66</v>
      </c>
      <c r="E3240" s="1463">
        <f t="shared" si="77"/>
        <v>0.85808076265851252</v>
      </c>
      <c r="F3240" s="1494">
        <f t="shared" si="76"/>
        <v>1.716161525317025E-2</v>
      </c>
      <c r="G3240" s="415"/>
      <c r="H3240" s="415" t="str">
        <f>VLOOKUP(B3240,indexy!$A$44:$D$823,3,FALSE)</f>
        <v>HST UN Equity</v>
      </c>
      <c r="J3240" s="434"/>
    </row>
    <row r="3241" spans="1:10" ht="12.75" hidden="1" customHeight="1" outlineLevel="1" x14ac:dyDescent="0.25">
      <c r="A3241" s="135">
        <v>0.08</v>
      </c>
      <c r="B3241" s="151" t="s">
        <v>1031</v>
      </c>
      <c r="C3241" s="2740">
        <v>8.9268000000000001</v>
      </c>
      <c r="D3241" s="2738">
        <f>VLOOKUP(H3241,indexy!$C$44:$D$823,2,FALSE)</f>
        <v>11.494999999999999</v>
      </c>
      <c r="E3241" s="1463">
        <f t="shared" si="77"/>
        <v>0.2876954787829904</v>
      </c>
      <c r="F3241" s="1494">
        <f t="shared" si="76"/>
        <v>2.3015638302639231E-2</v>
      </c>
      <c r="G3241" s="415"/>
      <c r="H3241" s="415" t="str">
        <f>VLOOKUP(B3241,indexy!$A$44:$D$823,3,FALSE)</f>
        <v>IBE SQ Equity</v>
      </c>
      <c r="J3241" s="434"/>
    </row>
    <row r="3242" spans="1:10" ht="12.75" hidden="1" customHeight="1" outlineLevel="1" x14ac:dyDescent="0.25">
      <c r="A3242" s="135">
        <v>0.02</v>
      </c>
      <c r="B3242" s="151" t="s">
        <v>4034</v>
      </c>
      <c r="C3242" s="410">
        <v>22.53</v>
      </c>
      <c r="D3242" s="2738">
        <f>VLOOKUP(H3242,indexy!$C$44:$D$823,2,FALSE)</f>
        <v>27.72</v>
      </c>
      <c r="E3242" s="1463">
        <f t="shared" si="77"/>
        <v>0.23035952063914777</v>
      </c>
      <c r="F3242" s="1494">
        <f t="shared" si="76"/>
        <v>4.607190412782956E-3</v>
      </c>
      <c r="G3242" s="415"/>
      <c r="H3242" s="415" t="str">
        <f>VLOOKUP(B3242,indexy!$A$44:$D$823,3,FALSE)</f>
        <v>AD NA Equity</v>
      </c>
      <c r="J3242" s="434"/>
    </row>
    <row r="3243" spans="1:10" ht="12.75" hidden="1" customHeight="1" outlineLevel="1" x14ac:dyDescent="0.25">
      <c r="A3243" s="135">
        <v>0.02</v>
      </c>
      <c r="B3243" s="151" t="s">
        <v>7838</v>
      </c>
      <c r="C3243" s="410">
        <v>32.835999999999999</v>
      </c>
      <c r="D3243" s="2738">
        <f>VLOOKUP(H3243,indexy!$C$44:$D$823,2,FALSE)</f>
        <v>74.11</v>
      </c>
      <c r="E3243" s="1463">
        <f t="shared" si="77"/>
        <v>1.2569740528688027</v>
      </c>
      <c r="F3243" s="1494">
        <f t="shared" si="76"/>
        <v>2.5139481057376054E-2</v>
      </c>
      <c r="G3243" s="415"/>
      <c r="H3243" s="415" t="str">
        <f>VLOOKUP(B3243,indexy!$A$44:$D$823,3,FALSE)</f>
        <v>MET UN Equity</v>
      </c>
      <c r="J3243" s="434"/>
    </row>
    <row r="3244" spans="1:10" ht="12.75" hidden="1" customHeight="1" outlineLevel="1" x14ac:dyDescent="0.25">
      <c r="A3244" s="135">
        <v>0.02</v>
      </c>
      <c r="B3244" s="151" t="s">
        <v>7321</v>
      </c>
      <c r="C3244" s="410">
        <f>84.72/4</f>
        <v>21.18</v>
      </c>
      <c r="D3244" s="2738">
        <f>VLOOKUP(H3244,indexy!$C$44:$D$823,2,FALSE)</f>
        <v>35.520000000000003</v>
      </c>
      <c r="E3244" s="1463">
        <f t="shared" si="77"/>
        <v>0.6770538243626063</v>
      </c>
      <c r="F3244" s="1494">
        <f t="shared" si="76"/>
        <v>1.3541076487252127E-2</v>
      </c>
      <c r="G3244" s="415"/>
      <c r="H3244" s="415" t="str">
        <f>VLOOKUP(B3244,indexy!$A$44:$D$823,3,FALSE)</f>
        <v>ML FP Equity</v>
      </c>
      <c r="J3244" s="434"/>
    </row>
    <row r="3245" spans="1:10" ht="12.75" hidden="1" customHeight="1" outlineLevel="1" x14ac:dyDescent="0.25">
      <c r="A3245" s="135">
        <v>0.03</v>
      </c>
      <c r="B3245" s="151" t="s">
        <v>1772</v>
      </c>
      <c r="C3245" s="410">
        <v>195.33500000000001</v>
      </c>
      <c r="D3245" s="2738">
        <f>VLOOKUP(H3245,indexy!$C$44:$D$823,2,FALSE)</f>
        <v>452.3</v>
      </c>
      <c r="E3245" s="1463">
        <f t="shared" si="77"/>
        <v>1.315509253334016</v>
      </c>
      <c r="F3245" s="1494">
        <f t="shared" si="76"/>
        <v>3.9465277600020478E-2</v>
      </c>
      <c r="G3245" s="415"/>
      <c r="H3245" s="415" t="str">
        <f>VLOOKUP(B3245,indexy!$A$44:$D$823,3,FALSE)</f>
        <v>MUV2 GY Equity</v>
      </c>
      <c r="J3245" s="434"/>
    </row>
    <row r="3246" spans="1:10" ht="12.75" hidden="1" customHeight="1" outlineLevel="1" x14ac:dyDescent="0.25">
      <c r="A3246" s="135">
        <v>0.08</v>
      </c>
      <c r="B3246" s="151" t="s">
        <v>2787</v>
      </c>
      <c r="C3246" s="410">
        <v>85.024000000000001</v>
      </c>
      <c r="D3246" s="2738">
        <f>VLOOKUP(H3246,indexy!$C$44:$D$823,2,FALSE)</f>
        <v>87.37</v>
      </c>
      <c r="E3246" s="1463">
        <f t="shared" si="77"/>
        <v>2.7592209258562317E-2</v>
      </c>
      <c r="F3246" s="1494">
        <f t="shared" si="76"/>
        <v>2.2073767406849856E-3</v>
      </c>
      <c r="G3246" s="415"/>
      <c r="H3246" s="415" t="str">
        <f>VLOOKUP(B3246,indexy!$A$44:$D$823,3,FALSE)</f>
        <v>NOVN SE Equity</v>
      </c>
      <c r="J3246" s="434"/>
    </row>
    <row r="3247" spans="1:10" ht="12.75" hidden="1" customHeight="1" outlineLevel="1" x14ac:dyDescent="0.25">
      <c r="A3247" s="135">
        <v>0.02</v>
      </c>
      <c r="B3247" s="151" t="s">
        <v>10247</v>
      </c>
      <c r="C3247" s="410">
        <v>30.121500000000001</v>
      </c>
      <c r="D3247" s="2738">
        <f>VLOOKUP(H3247,indexy!$C$44:$D$823,2,FALSE)</f>
        <v>86.31</v>
      </c>
      <c r="E3247" s="1463">
        <f t="shared" si="77"/>
        <v>1.865395149643942</v>
      </c>
      <c r="F3247" s="1494">
        <f t="shared" si="76"/>
        <v>3.7307902992878839E-2</v>
      </c>
      <c r="G3247" s="415"/>
      <c r="H3247" s="415" t="str">
        <f>VLOOKUP(B3247,indexy!$A$44:$D$823,3,FALSE)</f>
        <v>PFG UW Equity</v>
      </c>
      <c r="J3247" s="434"/>
    </row>
    <row r="3248" spans="1:10" ht="12.75" hidden="1" customHeight="1" outlineLevel="1" x14ac:dyDescent="0.25">
      <c r="A3248" s="135">
        <v>0.02</v>
      </c>
      <c r="B3248" s="151" t="s">
        <v>5205</v>
      </c>
      <c r="C3248" s="410">
        <v>13.8102</v>
      </c>
      <c r="D3248" s="2738">
        <f>VLOOKUP(H3248,indexy!$C$44:$D$823,2,FALSE)/100</f>
        <v>18.952000000000002</v>
      </c>
      <c r="E3248" s="1463">
        <f t="shared" si="77"/>
        <v>0.37231901058637829</v>
      </c>
      <c r="F3248" s="1494">
        <f t="shared" si="76"/>
        <v>7.4463802117275659E-3</v>
      </c>
      <c r="G3248" s="415"/>
      <c r="H3248" s="415" t="str">
        <f>VLOOKUP(B3248,indexy!$A$44:$D$823,3,FALSE)</f>
        <v>RDSA LN Equity</v>
      </c>
      <c r="J3248" s="434"/>
    </row>
    <row r="3249" spans="1:10" ht="12.75" hidden="1" customHeight="1" outlineLevel="1" x14ac:dyDescent="0.25">
      <c r="A3249" s="135">
        <v>0.02</v>
      </c>
      <c r="B3249" s="151" t="s">
        <v>1187</v>
      </c>
      <c r="C3249" s="410">
        <v>86.346999999999994</v>
      </c>
      <c r="D3249" s="2738">
        <f>VLOOKUP(H3249,indexy!$C$44:$D$823,2,FALSE)</f>
        <v>90.96</v>
      </c>
      <c r="E3249" s="1463">
        <f t="shared" si="77"/>
        <v>5.3423975355252562E-2</v>
      </c>
      <c r="F3249" s="1494">
        <f t="shared" si="76"/>
        <v>1.0684795071050513E-3</v>
      </c>
      <c r="G3249" s="415"/>
      <c r="H3249" s="415" t="str">
        <f>VLOOKUP(B3249,indexy!$A$44:$D$823,3,FALSE)</f>
        <v>SAN FP Equity</v>
      </c>
      <c r="J3249" s="434"/>
    </row>
    <row r="3250" spans="1:10" ht="12.75" hidden="1" customHeight="1" outlineLevel="1" x14ac:dyDescent="0.25">
      <c r="A3250" s="135">
        <v>0.02</v>
      </c>
      <c r="B3250" s="151" t="s">
        <v>1214</v>
      </c>
      <c r="C3250" s="410">
        <v>79.709000000000003</v>
      </c>
      <c r="D3250" s="2738">
        <f>VLOOKUP(H3250,indexy!$C$44:$D$823,2,FALSE)</f>
        <v>176.96</v>
      </c>
      <c r="E3250" s="1463">
        <f t="shared" si="77"/>
        <v>1.2200755247211732</v>
      </c>
      <c r="F3250" s="1494">
        <f t="shared" si="76"/>
        <v>2.4401510494423465E-2</v>
      </c>
      <c r="G3250" s="415"/>
      <c r="H3250" s="415" t="str">
        <f>VLOOKUP(B3250,indexy!$A$44:$D$823,3,FALSE)</f>
        <v>SIE GY Equity</v>
      </c>
      <c r="J3250" s="434"/>
    </row>
    <row r="3251" spans="1:10" ht="12.75" hidden="1" customHeight="1" outlineLevel="1" x14ac:dyDescent="0.25">
      <c r="A3251" s="135">
        <v>0.08</v>
      </c>
      <c r="B3251" s="151" t="s">
        <v>6118</v>
      </c>
      <c r="C3251" s="410">
        <v>73.691999999999993</v>
      </c>
      <c r="D3251" s="2738">
        <f>VLOOKUP(H3251,indexy!$C$44:$D$823,2,FALSE)</f>
        <v>115.95</v>
      </c>
      <c r="E3251" s="1463">
        <f t="shared" si="77"/>
        <v>0.57344080768604488</v>
      </c>
      <c r="F3251" s="1494">
        <f t="shared" si="76"/>
        <v>4.5875264614883594E-2</v>
      </c>
      <c r="G3251" s="415"/>
      <c r="H3251" s="415" t="str">
        <f>VLOOKUP(B3251,indexy!$A$44:$D$823,3,FALSE)</f>
        <v>SREN SE Equity</v>
      </c>
      <c r="J3251" s="434"/>
    </row>
    <row r="3252" spans="1:10" ht="12.75" hidden="1" customHeight="1" outlineLevel="1" x14ac:dyDescent="0.25">
      <c r="A3252" s="135">
        <v>0.02</v>
      </c>
      <c r="B3252" s="151" t="s">
        <v>3383</v>
      </c>
      <c r="C3252" s="410">
        <v>156.87</v>
      </c>
      <c r="D3252" s="2738">
        <f>VLOOKUP(H3252,indexy!$C$44:$D$823,2,FALSE)</f>
        <v>120.75</v>
      </c>
      <c r="E3252" s="1463">
        <f t="shared" si="77"/>
        <v>-0.23025435073627842</v>
      </c>
      <c r="F3252" s="1494">
        <f t="shared" si="76"/>
        <v>-4.6050870147255688E-3</v>
      </c>
      <c r="G3252" s="415"/>
      <c r="H3252" s="415" t="str">
        <f>VLOOKUP(B3252,indexy!$A$44:$D$823,3,FALSE)</f>
        <v>TEL NO Equity</v>
      </c>
      <c r="J3252" s="434"/>
    </row>
    <row r="3253" spans="1:10" ht="12.75" hidden="1" customHeight="1" outlineLevel="1" x14ac:dyDescent="0.25">
      <c r="A3253" s="135">
        <v>0.08</v>
      </c>
      <c r="B3253" s="151" t="s">
        <v>434</v>
      </c>
      <c r="C3253" s="410">
        <v>34.756999999999998</v>
      </c>
      <c r="D3253" s="2738">
        <f>VLOOKUP(H3253,indexy!$C$44:$D$823,2,FALSE)</f>
        <v>27.43</v>
      </c>
      <c r="E3253" s="1463">
        <f t="shared" si="77"/>
        <v>-0.21080645625341654</v>
      </c>
      <c r="F3253" s="1494">
        <f t="shared" si="76"/>
        <v>-1.6864516500273322E-2</v>
      </c>
      <c r="G3253" s="415"/>
      <c r="H3253" s="415" t="str">
        <f>VLOOKUP(B3253,indexy!$A$44:$D$823,3,FALSE)</f>
        <v>TELIA SS Equity</v>
      </c>
      <c r="J3253" s="434"/>
    </row>
    <row r="3254" spans="1:10" ht="12.75" hidden="1" customHeight="1" outlineLevel="1" x14ac:dyDescent="0.25">
      <c r="A3254" s="135">
        <v>0.05</v>
      </c>
      <c r="B3254" s="151" t="s">
        <v>10633</v>
      </c>
      <c r="C3254" s="410">
        <v>31.396999999999998</v>
      </c>
      <c r="D3254" s="2738">
        <f>VLOOKUP(H3254,indexy!$C$44:$D$823,2,FALSE)</f>
        <v>63.47</v>
      </c>
      <c r="E3254" s="1463">
        <f t="shared" si="77"/>
        <v>1.0215307194954932</v>
      </c>
      <c r="F3254" s="1494">
        <f>E3254*A3254</f>
        <v>5.1076535974774663E-2</v>
      </c>
      <c r="G3254" s="415"/>
      <c r="H3254" s="415" t="str">
        <f>VLOOKUP(B3254,indexy!$A$44:$D$823,3,FALSE)</f>
        <v>TTE FP Equity</v>
      </c>
      <c r="J3254" s="434"/>
    </row>
    <row r="3255" spans="1:10" ht="12.75" hidden="1" customHeight="1" outlineLevel="1" x14ac:dyDescent="0.25">
      <c r="A3255" s="135">
        <v>0.02</v>
      </c>
      <c r="B3255" s="151" t="s">
        <v>106</v>
      </c>
      <c r="C3255" s="410">
        <v>41.707000000000001</v>
      </c>
      <c r="D3255" s="2738">
        <f>VLOOKUP(H3255,indexy!$C$44:$D$946,2,FALSE)/100</f>
        <v>39.755000000000003</v>
      </c>
      <c r="E3255" s="1463">
        <f t="shared" si="77"/>
        <v>-4.680269499124845E-2</v>
      </c>
      <c r="F3255" s="1494">
        <f>E3255*A3255</f>
        <v>-9.3605389982496904E-4</v>
      </c>
      <c r="G3255" s="415"/>
      <c r="H3255" s="415" t="str">
        <f>VLOOKUP(B3255,indexy!$A$44:$D$946,3,FALSE)</f>
        <v>ULVR LN Equity</v>
      </c>
      <c r="J3255" s="434"/>
    </row>
    <row r="3256" spans="1:10" ht="12.75" hidden="1" customHeight="1" outlineLevel="1" x14ac:dyDescent="0.25">
      <c r="A3256" s="135">
        <v>0.03</v>
      </c>
      <c r="B3256" s="151" t="s">
        <v>579</v>
      </c>
      <c r="C3256" s="410">
        <v>1.0902000000000001</v>
      </c>
      <c r="D3256" s="2738">
        <f>VLOOKUP(H3256,indexy!$C$44:$D$823,2,FALSE)/100</f>
        <v>0.70459999999999989</v>
      </c>
      <c r="E3256" s="1463">
        <f t="shared" si="77"/>
        <v>-0.35369656943680072</v>
      </c>
      <c r="F3256" s="1494">
        <f>E3256*A3256</f>
        <v>-1.0610897083104021E-2</v>
      </c>
      <c r="G3256" s="415"/>
      <c r="H3256" s="415" t="str">
        <f>VLOOKUP(B3256,indexy!$A$44:$D$823,3,FALSE)</f>
        <v>VOD LN Equity</v>
      </c>
      <c r="J3256" s="434"/>
    </row>
    <row r="3257" spans="1:10" ht="12.75" hidden="1" customHeight="1" outlineLevel="1" x14ac:dyDescent="0.25">
      <c r="A3257" s="135">
        <v>0.02</v>
      </c>
      <c r="B3257" s="151" t="s">
        <v>7916</v>
      </c>
      <c r="C3257" s="410">
        <v>43.784999999999997</v>
      </c>
      <c r="D3257" s="2738">
        <f>VLOOKUP(H3257,indexy!$C$44:$D$823,2,FALSE)</f>
        <v>21.69</v>
      </c>
      <c r="E3257" s="1463">
        <f t="shared" si="77"/>
        <v>-0.50462487153134628</v>
      </c>
      <c r="F3257" s="1494">
        <f>E3257*A3257</f>
        <v>-1.0092497430626925E-2</v>
      </c>
      <c r="G3257" s="415"/>
      <c r="H3257" s="415" t="str">
        <f>VLOOKUP(B3257,indexy!$A$44:$D$823,3,FALSE)</f>
        <v>WBA UW Equity</v>
      </c>
      <c r="J3257" s="434"/>
    </row>
    <row r="3258" spans="1:10" ht="12.75" hidden="1" customHeight="1" outlineLevel="1" x14ac:dyDescent="0.25">
      <c r="A3258" s="135">
        <v>0.02</v>
      </c>
      <c r="B3258" s="2736" t="s">
        <v>3306</v>
      </c>
      <c r="C3258" s="2741">
        <v>5.4870000000000001</v>
      </c>
      <c r="D3258" s="2739">
        <f>VLOOKUP(H3258,indexy!$C$44:$D$823,2,FALSE)/100</f>
        <v>7.5360000000000005</v>
      </c>
      <c r="E3258" s="1463">
        <f t="shared" si="77"/>
        <v>0.37342810278840899</v>
      </c>
      <c r="F3258" s="1494">
        <f>E3258*A3258</f>
        <v>7.4685620557681798E-3</v>
      </c>
      <c r="G3258" s="415"/>
      <c r="H3258" s="415" t="str">
        <f>VLOOKUP(B3258,indexy!$A$44:$D$823,3,FALSE)</f>
        <v>WPP LN Equity</v>
      </c>
      <c r="J3258" s="434"/>
    </row>
    <row r="3259" spans="1:10" ht="12.75" hidden="1" customHeight="1" outlineLevel="1" x14ac:dyDescent="0.25">
      <c r="A3259" s="1475" t="s">
        <v>2734</v>
      </c>
      <c r="B3259" s="150"/>
      <c r="C3259" s="1477">
        <v>100</v>
      </c>
      <c r="D3259" s="1477"/>
      <c r="E3259" s="1599"/>
      <c r="F3259" s="1599">
        <f>SUM(F3229:F3258)</f>
        <v>0.55425568965668215</v>
      </c>
      <c r="G3259" s="415"/>
      <c r="H3259" s="415"/>
    </row>
    <row r="3260" spans="1:10" ht="12.75" hidden="1" customHeight="1" outlineLevel="1" x14ac:dyDescent="0.25">
      <c r="A3260" s="221" t="s">
        <v>10372</v>
      </c>
      <c r="B3260" s="1478">
        <v>45931</v>
      </c>
      <c r="C3260" s="1497">
        <v>100</v>
      </c>
      <c r="D3260" s="1497"/>
      <c r="E3260" s="1498">
        <f>IF(D3260="",$F$3259,D3260/C3260-1)</f>
        <v>0.55425568965668215</v>
      </c>
      <c r="F3260" s="1499"/>
      <c r="G3260" s="415"/>
      <c r="H3260" s="415"/>
    </row>
    <row r="3261" spans="1:10" ht="12.75" hidden="1" customHeight="1" outlineLevel="1" x14ac:dyDescent="0.25">
      <c r="A3261" s="221" t="s">
        <v>10373</v>
      </c>
      <c r="B3261" s="1478">
        <v>45962</v>
      </c>
      <c r="C3261" s="1497">
        <v>100</v>
      </c>
      <c r="D3261" s="1500"/>
      <c r="E3261" s="1498">
        <f t="shared" ref="E3261:E3271" si="78">IF(D3261="",$F$3259,D3261/C3261-1)</f>
        <v>0.55425568965668215</v>
      </c>
      <c r="F3261" s="1499"/>
      <c r="G3261" s="415"/>
      <c r="H3261" s="415"/>
    </row>
    <row r="3262" spans="1:10" ht="12.75" hidden="1" customHeight="1" outlineLevel="1" x14ac:dyDescent="0.25">
      <c r="A3262" s="221" t="s">
        <v>10374</v>
      </c>
      <c r="B3262" s="1478">
        <v>45992</v>
      </c>
      <c r="C3262" s="1497">
        <v>100</v>
      </c>
      <c r="D3262" s="1500"/>
      <c r="E3262" s="1498">
        <f t="shared" si="78"/>
        <v>0.55425568965668215</v>
      </c>
      <c r="F3262" s="1499"/>
      <c r="G3262" s="415"/>
      <c r="H3262" s="415"/>
    </row>
    <row r="3263" spans="1:10" ht="12.75" hidden="1" customHeight="1" outlineLevel="1" x14ac:dyDescent="0.25">
      <c r="A3263" s="221" t="s">
        <v>10375</v>
      </c>
      <c r="B3263" s="1478">
        <v>46023</v>
      </c>
      <c r="C3263" s="1497">
        <v>100</v>
      </c>
      <c r="D3263" s="1500"/>
      <c r="E3263" s="1498">
        <f t="shared" si="78"/>
        <v>0.55425568965668215</v>
      </c>
      <c r="F3263" s="1499"/>
      <c r="G3263" s="415"/>
      <c r="H3263" s="415"/>
    </row>
    <row r="3264" spans="1:10" ht="12.75" hidden="1" customHeight="1" outlineLevel="1" x14ac:dyDescent="0.25">
      <c r="A3264" s="221" t="s">
        <v>10376</v>
      </c>
      <c r="B3264" s="1478">
        <v>46054</v>
      </c>
      <c r="C3264" s="1497">
        <v>100</v>
      </c>
      <c r="D3264" s="1500"/>
      <c r="E3264" s="1498">
        <f t="shared" si="78"/>
        <v>0.55425568965668215</v>
      </c>
      <c r="F3264" s="1499"/>
      <c r="G3264" s="415"/>
      <c r="H3264" s="415"/>
    </row>
    <row r="3265" spans="1:18" ht="12.75" hidden="1" customHeight="1" outlineLevel="1" x14ac:dyDescent="0.25">
      <c r="A3265" s="221" t="s">
        <v>10377</v>
      </c>
      <c r="B3265" s="1478">
        <v>46082</v>
      </c>
      <c r="C3265" s="1497">
        <v>100</v>
      </c>
      <c r="D3265" s="1500"/>
      <c r="E3265" s="1498">
        <f t="shared" si="78"/>
        <v>0.55425568965668215</v>
      </c>
      <c r="F3265" s="1499"/>
      <c r="G3265" s="415"/>
      <c r="H3265" s="415"/>
    </row>
    <row r="3266" spans="1:18" ht="12.75" hidden="1" customHeight="1" outlineLevel="1" x14ac:dyDescent="0.25">
      <c r="A3266" s="221" t="s">
        <v>10378</v>
      </c>
      <c r="B3266" s="1478">
        <v>46113</v>
      </c>
      <c r="C3266" s="1497">
        <v>100</v>
      </c>
      <c r="D3266" s="1500"/>
      <c r="E3266" s="1498">
        <f t="shared" si="78"/>
        <v>0.55425568965668215</v>
      </c>
      <c r="F3266" s="1499"/>
      <c r="G3266" s="415"/>
      <c r="H3266" s="415"/>
    </row>
    <row r="3267" spans="1:18" ht="12.75" hidden="1" customHeight="1" outlineLevel="1" x14ac:dyDescent="0.25">
      <c r="A3267" s="221" t="s">
        <v>10379</v>
      </c>
      <c r="B3267" s="1478">
        <v>46143</v>
      </c>
      <c r="C3267" s="1497">
        <v>100</v>
      </c>
      <c r="D3267" s="1500"/>
      <c r="E3267" s="1498">
        <f t="shared" si="78"/>
        <v>0.55425568965668215</v>
      </c>
      <c r="F3267" s="1499"/>
      <c r="G3267" s="415"/>
      <c r="H3267" s="415"/>
    </row>
    <row r="3268" spans="1:18" ht="12.75" hidden="1" customHeight="1" outlineLevel="1" x14ac:dyDescent="0.25">
      <c r="A3268" s="221" t="s">
        <v>10380</v>
      </c>
      <c r="B3268" s="1478">
        <v>46174</v>
      </c>
      <c r="C3268" s="1497">
        <v>100</v>
      </c>
      <c r="D3268" s="1500"/>
      <c r="E3268" s="1498">
        <f t="shared" si="78"/>
        <v>0.55425568965668215</v>
      </c>
      <c r="F3268" s="1499"/>
      <c r="G3268" s="415"/>
      <c r="H3268" s="415"/>
    </row>
    <row r="3269" spans="1:18" ht="12.75" hidden="1" customHeight="1" outlineLevel="1" x14ac:dyDescent="0.25">
      <c r="A3269" s="221" t="s">
        <v>10381</v>
      </c>
      <c r="B3269" s="1478">
        <v>46204</v>
      </c>
      <c r="C3269" s="1497">
        <v>100</v>
      </c>
      <c r="D3269" s="1500"/>
      <c r="E3269" s="1498">
        <f t="shared" si="78"/>
        <v>0.55425568965668215</v>
      </c>
      <c r="F3269" s="1499"/>
      <c r="G3269" s="415"/>
      <c r="H3269" s="415"/>
    </row>
    <row r="3270" spans="1:18" ht="12.75" hidden="1" customHeight="1" outlineLevel="1" x14ac:dyDescent="0.25">
      <c r="A3270" s="221" t="s">
        <v>10382</v>
      </c>
      <c r="B3270" s="1478">
        <v>46235</v>
      </c>
      <c r="C3270" s="1497">
        <v>100</v>
      </c>
      <c r="D3270" s="1500"/>
      <c r="E3270" s="1498">
        <f t="shared" si="78"/>
        <v>0.55425568965668215</v>
      </c>
      <c r="F3270" s="1499"/>
      <c r="G3270" s="415"/>
      <c r="H3270" s="415"/>
    </row>
    <row r="3271" spans="1:18" ht="12.75" hidden="1" customHeight="1" outlineLevel="1" x14ac:dyDescent="0.25">
      <c r="A3271" s="221" t="s">
        <v>10383</v>
      </c>
      <c r="B3271" s="1478">
        <v>46266</v>
      </c>
      <c r="C3271" s="1497">
        <v>100</v>
      </c>
      <c r="D3271" s="1500"/>
      <c r="E3271" s="1498">
        <f t="shared" si="78"/>
        <v>0.55425568965668215</v>
      </c>
      <c r="F3271" s="1499"/>
      <c r="G3271" s="415"/>
      <c r="H3271" s="415"/>
    </row>
    <row r="3272" spans="1:18" s="444" customFormat="1" ht="12.75" hidden="1" customHeight="1" outlineLevel="1" x14ac:dyDescent="0.25">
      <c r="A3272" s="1483" t="s">
        <v>2734</v>
      </c>
      <c r="B3272" s="1484"/>
      <c r="C3272" s="1500"/>
      <c r="D3272" s="1485" t="s">
        <v>2465</v>
      </c>
      <c r="E3272" s="1486">
        <f>AVERAGE(E3260:E3271)</f>
        <v>0.55425568965668226</v>
      </c>
      <c r="F3272" s="1487">
        <f>((((E3272*100)+100)-I3229)/100)</f>
        <v>0.56579968965668215</v>
      </c>
    </row>
    <row r="3273" spans="1:18" collapsed="1" x14ac:dyDescent="0.25">
      <c r="A3273" s="3799" t="s">
        <v>10341</v>
      </c>
      <c r="B3273" s="3800"/>
      <c r="C3273" s="3800"/>
      <c r="D3273" s="3800"/>
      <c r="E3273" s="18"/>
      <c r="F3273" s="186">
        <f>MAX(0%,MIN(F3272,100%))</f>
        <v>0.56579968965668215</v>
      </c>
      <c r="G3273" s="415"/>
    </row>
    <row r="3275" spans="1:18" ht="12.75" hidden="1" customHeight="1" outlineLevel="1" x14ac:dyDescent="0.25">
      <c r="A3275" s="1677" t="s">
        <v>4156</v>
      </c>
      <c r="B3275" s="1677" t="s">
        <v>4153</v>
      </c>
      <c r="C3275" s="1305" t="s">
        <v>112</v>
      </c>
      <c r="D3275" s="1678" t="s">
        <v>4155</v>
      </c>
      <c r="E3275" s="1677" t="s">
        <v>4154</v>
      </c>
      <c r="F3275" s="1678" t="s">
        <v>2519</v>
      </c>
      <c r="G3275" s="12"/>
      <c r="H3275" s="415"/>
      <c r="I3275" s="412" t="s">
        <v>6964</v>
      </c>
      <c r="J3275" s="1462">
        <v>43983</v>
      </c>
      <c r="K3275" s="1462">
        <v>44013</v>
      </c>
      <c r="L3275" s="1462">
        <v>44044</v>
      </c>
      <c r="M3275" s="1462">
        <v>44075</v>
      </c>
      <c r="N3275" s="1462">
        <v>44105</v>
      </c>
      <c r="O3275" s="1462">
        <v>44136</v>
      </c>
      <c r="P3275" s="1462"/>
      <c r="Q3275" s="1462"/>
      <c r="R3275" s="1462"/>
    </row>
    <row r="3276" spans="1:18" ht="12.75" hidden="1" customHeight="1" outlineLevel="1" x14ac:dyDescent="0.25">
      <c r="A3276" s="134">
        <v>0.02</v>
      </c>
      <c r="B3276" s="151" t="s">
        <v>1176</v>
      </c>
      <c r="C3276" s="454">
        <v>31.364000000000001</v>
      </c>
      <c r="D3276" s="2737">
        <f>VLOOKUP(H3276,indexy!$C$44:$D$823,2,FALSE)</f>
        <v>42.92</v>
      </c>
      <c r="E3276" s="1466">
        <f>D3276/C3276-1</f>
        <v>0.36844790205330957</v>
      </c>
      <c r="F3276" s="1492">
        <f>E3276*A3276</f>
        <v>7.3689580410661914E-3</v>
      </c>
      <c r="G3276" s="415"/>
      <c r="H3276" s="415" t="str">
        <f>VLOOKUP(B3276,indexy!$A$44:$D$823,3,FALSE)</f>
        <v>AGS BB Equity</v>
      </c>
      <c r="I3276" s="412">
        <f>IF(J3276="",100,MIN(100,J3276:Y3276))</f>
        <v>100</v>
      </c>
      <c r="J3276">
        <v>106.991</v>
      </c>
      <c r="K3276">
        <v>108.78360000000001</v>
      </c>
      <c r="L3276">
        <v>107.4922</v>
      </c>
      <c r="M3276">
        <v>106.4943</v>
      </c>
      <c r="N3276">
        <v>102.798</v>
      </c>
      <c r="O3276">
        <v>103.2795</v>
      </c>
    </row>
    <row r="3277" spans="1:18" ht="12.75" hidden="1" customHeight="1" outlineLevel="1" x14ac:dyDescent="0.25">
      <c r="A3277" s="135">
        <v>0.02</v>
      </c>
      <c r="B3277" s="151" t="s">
        <v>802</v>
      </c>
      <c r="C3277" s="410">
        <v>6.0380000000000003</v>
      </c>
      <c r="D3277" s="2738">
        <f>VLOOKUP(H3277,indexy!$C$44:$D$823,2,FALSE)</f>
        <v>19.690000000000001</v>
      </c>
      <c r="E3277" s="1463">
        <f>D3277/C3277-1</f>
        <v>2.2610135806558462</v>
      </c>
      <c r="F3277" s="1494">
        <f t="shared" ref="F3277:F3300" si="79">E3277*A3277</f>
        <v>4.5220271613116925E-2</v>
      </c>
      <c r="G3277" s="415"/>
      <c r="H3277" s="415" t="str">
        <f>VLOOKUP(B3277,indexy!$A$44:$D$823,3,FALSE)</f>
        <v>NLY UN Equity</v>
      </c>
      <c r="I3277" s="422">
        <f>+(((E3319*100)+100)-I3276)/100</f>
        <v>0.4456080253711201</v>
      </c>
    </row>
    <row r="3278" spans="1:18" ht="12.75" hidden="1" customHeight="1" outlineLevel="1" x14ac:dyDescent="0.25">
      <c r="A3278" s="135">
        <v>0.02</v>
      </c>
      <c r="B3278" s="151" t="s">
        <v>2697</v>
      </c>
      <c r="C3278" s="410">
        <v>12.5855</v>
      </c>
      <c r="D3278" s="2738">
        <f>VLOOKUP(H3278,indexy!$C$44:$D$823,2,FALSE)</f>
        <v>23.46</v>
      </c>
      <c r="E3278" s="1463">
        <f t="shared" ref="E3278:E3305" si="80">D3278/C3278-1</f>
        <v>0.86404989869294035</v>
      </c>
      <c r="F3278" s="1494">
        <f t="shared" si="79"/>
        <v>1.7280997973858809E-2</v>
      </c>
      <c r="G3278" s="415"/>
      <c r="H3278" s="415" t="str">
        <f>VLOOKUP(B3278,indexy!$A$44:$D$823,3,FALSE)</f>
        <v>G IM Equity</v>
      </c>
      <c r="J3278" s="434"/>
    </row>
    <row r="3279" spans="1:18" ht="12.75" hidden="1" customHeight="1" outlineLevel="1" x14ac:dyDescent="0.25">
      <c r="A3279" s="135">
        <v>0.05</v>
      </c>
      <c r="B3279" s="151" t="s">
        <v>5745</v>
      </c>
      <c r="C3279" s="410">
        <v>15.512</v>
      </c>
      <c r="D3279" s="2738">
        <f>VLOOKUP(H3279,indexy!$C$44:$D$823,2,FALSE)</f>
        <v>29.4</v>
      </c>
      <c r="E3279" s="1463">
        <f t="shared" si="80"/>
        <v>0.89530685920577602</v>
      </c>
      <c r="F3279" s="1494">
        <f t="shared" si="79"/>
        <v>4.4765342960288806E-2</v>
      </c>
      <c r="G3279" s="415"/>
      <c r="H3279" s="415" t="str">
        <f>VLOOKUP(B3279,indexy!$A$44:$D$823,3,FALSE)</f>
        <v>ANZ AT Equity</v>
      </c>
      <c r="J3279" s="434"/>
      <c r="K3279" s="37"/>
    </row>
    <row r="3280" spans="1:18" ht="12.75" hidden="1" customHeight="1" outlineLevel="1" x14ac:dyDescent="0.25">
      <c r="A3280" s="135">
        <v>0.02</v>
      </c>
      <c r="B3280" s="151" t="s">
        <v>218</v>
      </c>
      <c r="C3280" s="410">
        <v>15.714600000000001</v>
      </c>
      <c r="D3280" s="2738">
        <f>VLOOKUP(H3280,indexy!$C$44:$D$823,2,FALSE)</f>
        <v>34.814999999999998</v>
      </c>
      <c r="E3280" s="1463">
        <f t="shared" si="80"/>
        <v>1.215455690886182</v>
      </c>
      <c r="F3280" s="1494">
        <f t="shared" si="79"/>
        <v>2.4309113817723639E-2</v>
      </c>
      <c r="G3280" s="415"/>
      <c r="H3280" s="415" t="str">
        <f>VLOOKUP(B3280,indexy!$A$44:$D$823,3,FALSE)</f>
        <v>CS FP Equity</v>
      </c>
      <c r="J3280" s="434"/>
    </row>
    <row r="3281" spans="1:10" ht="12.75" hidden="1" customHeight="1" outlineLevel="1" x14ac:dyDescent="0.25">
      <c r="A3281" s="135">
        <v>0.02</v>
      </c>
      <c r="B3281" s="151" t="s">
        <v>5748</v>
      </c>
      <c r="C3281" s="410">
        <v>51.664000000000001</v>
      </c>
      <c r="D3281" s="2738">
        <f>VLOOKUP(H3281,indexy!$C$44:$D$823,2,FALSE)</f>
        <v>70.069999999999993</v>
      </c>
      <c r="E3281" s="1463">
        <f t="shared" si="80"/>
        <v>0.35626354908640434</v>
      </c>
      <c r="F3281" s="1494">
        <f t="shared" si="79"/>
        <v>7.1252709817280872E-3</v>
      </c>
      <c r="G3281" s="415"/>
      <c r="H3281" s="415" t="str">
        <f>VLOOKUP(B3281,indexy!$A$44:$D$823,3,FALSE)</f>
        <v>BNS CT Equity</v>
      </c>
      <c r="J3281" s="434"/>
    </row>
    <row r="3282" spans="1:10" ht="12.75" hidden="1" customHeight="1" outlineLevel="1" x14ac:dyDescent="0.25">
      <c r="A3282" s="135">
        <v>0.05</v>
      </c>
      <c r="B3282" s="151" t="s">
        <v>807</v>
      </c>
      <c r="C3282" s="410">
        <v>55.588000000000001</v>
      </c>
      <c r="D3282" s="2738">
        <f>VLOOKUP(H3282,indexy!$C$44:$D$823,2,FALSE)</f>
        <v>46.03</v>
      </c>
      <c r="E3282" s="1463">
        <f t="shared" si="80"/>
        <v>-0.17194358494639128</v>
      </c>
      <c r="F3282" s="1494">
        <f t="shared" si="79"/>
        <v>-8.5971792473195641E-3</v>
      </c>
      <c r="G3282" s="415"/>
      <c r="H3282" s="415" t="str">
        <f>VLOOKUP(B3282,indexy!$A$44:$D$823,3,FALSE)</f>
        <v>BCE CT Equity</v>
      </c>
      <c r="J3282" s="434"/>
    </row>
    <row r="3283" spans="1:10" ht="12.75" hidden="1" customHeight="1" outlineLevel="1" x14ac:dyDescent="0.25">
      <c r="A3283" s="135">
        <v>0.02</v>
      </c>
      <c r="B3283" s="151" t="s">
        <v>3954</v>
      </c>
      <c r="C3283" s="410">
        <f>81.756/2</f>
        <v>40.878</v>
      </c>
      <c r="D3283" s="2738">
        <f>VLOOKUP(H3283,indexy!$C$44:$D$823,2,FALSE)</f>
        <v>68.67</v>
      </c>
      <c r="E3283" s="1463">
        <f t="shared" si="80"/>
        <v>0.67987670629678565</v>
      </c>
      <c r="F3283" s="1494">
        <f t="shared" si="79"/>
        <v>1.3597534125935713E-2</v>
      </c>
      <c r="G3283" s="415"/>
      <c r="H3283" s="415" t="str">
        <f>VLOOKUP(B3283,indexy!$A$44:$D$823,3,FALSE)</f>
        <v>CM CT Equity</v>
      </c>
      <c r="J3283" s="434"/>
    </row>
    <row r="3284" spans="1:10" ht="12.75" hidden="1" customHeight="1" outlineLevel="1" x14ac:dyDescent="0.25">
      <c r="A3284" s="135">
        <v>0.02</v>
      </c>
      <c r="B3284" s="151" t="s">
        <v>7855</v>
      </c>
      <c r="C3284" s="410">
        <v>44.49</v>
      </c>
      <c r="D3284" s="2738">
        <f>VLOOKUP(H3284,indexy!$C$44:$D$823,2,FALSE)</f>
        <v>48.95</v>
      </c>
      <c r="E3284" s="1463">
        <f t="shared" si="80"/>
        <v>0.10024724657226347</v>
      </c>
      <c r="F3284" s="1494">
        <f t="shared" si="79"/>
        <v>2.0049449314452693E-3</v>
      </c>
      <c r="G3284" s="415"/>
      <c r="H3284" s="415" t="str">
        <f>VLOOKUP(B3284,indexy!$A$44:$D$823,3,FALSE)</f>
        <v>ENB CT Equity</v>
      </c>
      <c r="J3284" s="434"/>
    </row>
    <row r="3285" spans="1:10" ht="12.75" hidden="1" customHeight="1" outlineLevel="1" x14ac:dyDescent="0.25">
      <c r="A3285" s="135">
        <v>0.08</v>
      </c>
      <c r="B3285" s="151" t="s">
        <v>9171</v>
      </c>
      <c r="C3285" s="410">
        <v>20.271999999999998</v>
      </c>
      <c r="D3285" s="2738">
        <f>VLOOKUP(H3285,indexy!$C$44:$D$823,2,FALSE)</f>
        <v>17.164999999999999</v>
      </c>
      <c r="E3285" s="1463">
        <f t="shared" si="80"/>
        <v>-0.15326558800315704</v>
      </c>
      <c r="F3285" s="1494">
        <f t="shared" si="79"/>
        <v>-1.2261247040252563E-2</v>
      </c>
      <c r="G3285" s="415"/>
      <c r="H3285" s="415" t="str">
        <f>VLOOKUP(B3285,indexy!$A$44:$D$823,3,FALSE)</f>
        <v>ELE SQ Equity</v>
      </c>
      <c r="J3285" s="434"/>
    </row>
    <row r="3286" spans="1:10" ht="12.75" hidden="1" customHeight="1" outlineLevel="1" x14ac:dyDescent="0.25">
      <c r="A3286" s="135">
        <v>7.0000000000000007E-2</v>
      </c>
      <c r="B3286" s="151" t="s">
        <v>3021</v>
      </c>
      <c r="C3286" s="410">
        <v>8.5561000000000007</v>
      </c>
      <c r="D3286" s="2738">
        <f>VLOOKUP(H3286,indexy!$C$44:$D$823,2,FALSE)</f>
        <v>14.648</v>
      </c>
      <c r="E3286" s="1463">
        <f t="shared" si="80"/>
        <v>0.71199495097065224</v>
      </c>
      <c r="F3286" s="1494">
        <f t="shared" si="79"/>
        <v>4.9839646567945664E-2</v>
      </c>
      <c r="G3286" s="415"/>
      <c r="H3286" s="415" t="str">
        <f>VLOOKUP(B3286,indexy!$A$44:$D$823,3,FALSE)</f>
        <v>ENI IM Equity</v>
      </c>
      <c r="J3286" s="434"/>
    </row>
    <row r="3287" spans="1:10" ht="12.75" hidden="1" customHeight="1" outlineLevel="1" x14ac:dyDescent="0.25">
      <c r="A3287" s="135">
        <v>0.02</v>
      </c>
      <c r="B3287" s="151" t="s">
        <v>3799</v>
      </c>
      <c r="C3287" s="410">
        <v>16.788599999999999</v>
      </c>
      <c r="D3287" s="2738">
        <f>VLOOKUP(H3287,indexy!$C$44:$D$823,2,FALSE)/100</f>
        <v>17.085999999999999</v>
      </c>
      <c r="E3287" s="1463">
        <f t="shared" si="80"/>
        <v>1.771440143907177E-2</v>
      </c>
      <c r="F3287" s="1494">
        <f t="shared" si="79"/>
        <v>3.5428802878143543E-4</v>
      </c>
      <c r="G3287" s="415"/>
      <c r="H3287" s="415" t="str">
        <f>VLOOKUP(B3287,indexy!$A$44:$D$823,3,FALSE)</f>
        <v>GSK LN Equity</v>
      </c>
      <c r="J3287" s="434"/>
    </row>
    <row r="3288" spans="1:10" ht="12.75" hidden="1" customHeight="1" outlineLevel="1" x14ac:dyDescent="0.25">
      <c r="A3288" s="135">
        <v>0.02</v>
      </c>
      <c r="B3288" s="151" t="s">
        <v>10427</v>
      </c>
      <c r="C3288" s="2740">
        <v>17.044</v>
      </c>
      <c r="D3288" s="2738">
        <f>VLOOKUP(H3288,indexy!$C$44:$D$823,2,FALSE)</f>
        <v>4.7</v>
      </c>
      <c r="E3288" s="1463">
        <f t="shared" si="80"/>
        <v>-0.72424313541422203</v>
      </c>
      <c r="F3288" s="1494">
        <f t="shared" si="79"/>
        <v>-1.4484862708284441E-2</v>
      </c>
      <c r="G3288" s="415"/>
      <c r="H3288" s="415" t="str">
        <f>VLOOKUP(B3288,indexy!$A$44:$D$823,3,FALSE)</f>
        <v>MPW UN Equity</v>
      </c>
      <c r="J3288" s="434"/>
    </row>
    <row r="3289" spans="1:10" ht="12.75" hidden="1" customHeight="1" outlineLevel="1" x14ac:dyDescent="0.25">
      <c r="A3289" s="135">
        <v>0.03</v>
      </c>
      <c r="B3289" s="151" t="s">
        <v>8336</v>
      </c>
      <c r="C3289" s="410">
        <v>15.64</v>
      </c>
      <c r="D3289" s="2738">
        <f>VLOOKUP(H3289,indexy!$C$44:$D$823,2,FALSE)</f>
        <v>34.64</v>
      </c>
      <c r="E3289" s="1463">
        <f t="shared" si="80"/>
        <v>1.214833759590793</v>
      </c>
      <c r="F3289" s="1494">
        <f t="shared" si="79"/>
        <v>3.6445012787723788E-2</v>
      </c>
      <c r="G3289" s="415"/>
      <c r="H3289" s="415" t="str">
        <f>VLOOKUP(B3289,indexy!$A$44:$D$823,3,FALSE)</f>
        <v>NAB AT Equity</v>
      </c>
      <c r="J3289" s="434"/>
    </row>
    <row r="3290" spans="1:10" ht="12.75" hidden="1" customHeight="1" outlineLevel="1" x14ac:dyDescent="0.25">
      <c r="A3290" s="135">
        <v>0.02</v>
      </c>
      <c r="B3290" s="151" t="s">
        <v>2786</v>
      </c>
      <c r="C3290" s="410">
        <v>9.2294</v>
      </c>
      <c r="D3290" s="2738">
        <f>VLOOKUP(H3290,indexy!$C$44:$D$823,2,FALSE)/100</f>
        <v>10.66</v>
      </c>
      <c r="E3290" s="1463">
        <f t="shared" si="80"/>
        <v>0.15500465902442206</v>
      </c>
      <c r="F3290" s="1494">
        <f t="shared" si="79"/>
        <v>3.1000931804884414E-3</v>
      </c>
      <c r="G3290" s="415"/>
      <c r="H3290" s="415" t="str">
        <f>VLOOKUP(B3290,indexy!$A$44:$D$823,3,FALSE)</f>
        <v>NG/ LN Equity</v>
      </c>
      <c r="J3290" s="434"/>
    </row>
    <row r="3291" spans="1:10" ht="12.75" hidden="1" customHeight="1" outlineLevel="1" x14ac:dyDescent="0.25">
      <c r="A3291" s="135">
        <v>0.02</v>
      </c>
      <c r="B3291" s="151" t="s">
        <v>1203</v>
      </c>
      <c r="C3291" s="410">
        <v>57.94</v>
      </c>
      <c r="D3291" s="2738">
        <f>VLOOKUP(H3291,indexy!$C$44:$D$823,2,FALSE)</f>
        <v>119.2</v>
      </c>
      <c r="E3291" s="1463">
        <f t="shared" si="80"/>
        <v>1.0573006558508804</v>
      </c>
      <c r="F3291" s="1494">
        <f t="shared" si="79"/>
        <v>2.1146013117017609E-2</v>
      </c>
      <c r="G3291" s="415"/>
      <c r="H3291" s="415" t="str">
        <f>VLOOKUP(B3291,indexy!$A$44:$D$823,3,FALSE)</f>
        <v>NDA SS Equity</v>
      </c>
      <c r="J3291" s="434"/>
    </row>
    <row r="3292" spans="1:10" ht="12.75" hidden="1" customHeight="1" outlineLevel="1" x14ac:dyDescent="0.25">
      <c r="A3292" s="135">
        <v>0.08</v>
      </c>
      <c r="B3292" s="151" t="s">
        <v>5824</v>
      </c>
      <c r="C3292" s="410">
        <v>10.45</v>
      </c>
      <c r="D3292" s="2738">
        <f>VLOOKUP(H3292,indexy!$C$44:$D$823,2,FALSE)</f>
        <v>10.888</v>
      </c>
      <c r="E3292" s="1463">
        <f t="shared" si="80"/>
        <v>4.1913875598086126E-2</v>
      </c>
      <c r="F3292" s="1494">
        <f t="shared" si="79"/>
        <v>3.3531100478468899E-3</v>
      </c>
      <c r="G3292" s="415"/>
      <c r="H3292" s="415" t="str">
        <f>VLOOKUP(B3292,indexy!$A$44:$D$823,3,FALSE)</f>
        <v>ORA FP Equity</v>
      </c>
      <c r="J3292" s="434"/>
    </row>
    <row r="3293" spans="1:10" ht="12.75" hidden="1" customHeight="1" outlineLevel="1" x14ac:dyDescent="0.25">
      <c r="A3293" s="135">
        <v>0.02</v>
      </c>
      <c r="B3293" s="151" t="s">
        <v>10429</v>
      </c>
      <c r="C3293" s="410">
        <v>20.489000000000001</v>
      </c>
      <c r="D3293" s="2738">
        <f>VLOOKUP(H3293,indexy!$C$44:$D$823,2,FALSE)</f>
        <v>37.979999999999997</v>
      </c>
      <c r="E3293" s="1463">
        <f t="shared" si="80"/>
        <v>0.85367758309336694</v>
      </c>
      <c r="F3293" s="1494">
        <f t="shared" si="79"/>
        <v>1.7073551661867338E-2</v>
      </c>
      <c r="G3293" s="415"/>
      <c r="H3293" s="415" t="str">
        <f>VLOOKUP(B3293,indexy!$A$44:$D$823,3,FALSE)</f>
        <v>POW CT Equity</v>
      </c>
      <c r="J3293" s="434"/>
    </row>
    <row r="3294" spans="1:10" ht="12.75" hidden="1" customHeight="1" outlineLevel="1" x14ac:dyDescent="0.25">
      <c r="A3294" s="135">
        <v>0.02</v>
      </c>
      <c r="B3294" s="151" t="s">
        <v>2769</v>
      </c>
      <c r="C3294" s="410">
        <v>25.187000000000001</v>
      </c>
      <c r="D3294" s="2738">
        <f>VLOOKUP(H3294,indexy!$C$44:$D$823,2,FALSE)</f>
        <v>27.53</v>
      </c>
      <c r="E3294" s="1463">
        <f t="shared" si="80"/>
        <v>9.3024179140032581E-2</v>
      </c>
      <c r="F3294" s="1494">
        <f t="shared" si="79"/>
        <v>1.8604835828006517E-3</v>
      </c>
      <c r="G3294" s="415"/>
      <c r="H3294" s="415" t="str">
        <f>VLOOKUP(B3294,indexy!$A$44:$D$823,3,FALSE)</f>
        <v>PPL UN Equity</v>
      </c>
      <c r="J3294" s="434"/>
    </row>
    <row r="3295" spans="1:10" ht="12.75" hidden="1" customHeight="1" outlineLevel="1" x14ac:dyDescent="0.25">
      <c r="A3295" s="135">
        <v>0.03</v>
      </c>
      <c r="B3295" s="151" t="s">
        <v>5629</v>
      </c>
      <c r="C3295" s="410">
        <v>15.7965</v>
      </c>
      <c r="D3295" s="2738">
        <f>VLOOKUP(H3295,indexy!$C$44:$D$823,2,FALSE)</f>
        <v>15.805</v>
      </c>
      <c r="E3295" s="1463">
        <f t="shared" si="80"/>
        <v>5.3809388155601212E-4</v>
      </c>
      <c r="F3295" s="1494">
        <f t="shared" si="79"/>
        <v>1.6142816446680363E-5</v>
      </c>
      <c r="G3295" s="415"/>
      <c r="H3295" s="415" t="str">
        <f>VLOOKUP(B3295,indexy!$A$44:$D$823,3,FALSE)</f>
        <v>REE SQ Equity</v>
      </c>
      <c r="J3295" s="434"/>
    </row>
    <row r="3296" spans="1:10" ht="12.75" hidden="1" customHeight="1" outlineLevel="1" x14ac:dyDescent="0.25">
      <c r="A3296" s="135">
        <v>0.02</v>
      </c>
      <c r="B3296" s="151" t="s">
        <v>5205</v>
      </c>
      <c r="C3296" s="410">
        <v>12.930999999999999</v>
      </c>
      <c r="D3296" s="2738">
        <f>VLOOKUP(H3296,indexy!$C$44:$D$823,2,FALSE)/100</f>
        <v>18.952000000000002</v>
      </c>
      <c r="E3296" s="1463">
        <f t="shared" si="80"/>
        <v>0.46562524166731145</v>
      </c>
      <c r="F3296" s="1494">
        <f t="shared" si="79"/>
        <v>9.3125048333462298E-3</v>
      </c>
      <c r="G3296" s="415"/>
      <c r="H3296" s="415" t="str">
        <f>VLOOKUP(B3296,indexy!$A$44:$D$823,3,FALSE)</f>
        <v>RDSA LN Equity</v>
      </c>
      <c r="J3296" s="434"/>
    </row>
    <row r="3297" spans="1:10" ht="12.75" hidden="1" customHeight="1" outlineLevel="1" x14ac:dyDescent="0.25">
      <c r="A3297" s="135">
        <v>0.02</v>
      </c>
      <c r="B3297" s="151" t="s">
        <v>6270</v>
      </c>
      <c r="C3297" s="410">
        <v>28.896999999999998</v>
      </c>
      <c r="D3297" s="2738">
        <f>VLOOKUP(H3297,indexy!$C$44:$D$823,2,FALSE)</f>
        <v>39.515000000000001</v>
      </c>
      <c r="E3297" s="1463">
        <f t="shared" si="80"/>
        <v>0.3674429871612972</v>
      </c>
      <c r="F3297" s="1494">
        <f t="shared" si="79"/>
        <v>7.3488597432259445E-3</v>
      </c>
      <c r="G3297" s="415"/>
      <c r="H3297" s="415" t="str">
        <f>VLOOKUP(B3297,indexy!$A$44:$D$823,3,FALSE)</f>
        <v>SAMPO FH Equity</v>
      </c>
      <c r="J3297" s="434"/>
    </row>
    <row r="3298" spans="1:10" ht="12.75" hidden="1" customHeight="1" outlineLevel="1" x14ac:dyDescent="0.25">
      <c r="A3298" s="135">
        <v>0.05</v>
      </c>
      <c r="B3298" s="151" t="s">
        <v>6116</v>
      </c>
      <c r="C3298" s="410">
        <v>4.0111999999999997</v>
      </c>
      <c r="D3298" s="2738">
        <f>VLOOKUP(H3298,indexy!$C$44:$D$823,2,FALSE)</f>
        <v>4.3760000000000003</v>
      </c>
      <c r="E3298" s="1463">
        <f t="shared" si="80"/>
        <v>9.0945353011567809E-2</v>
      </c>
      <c r="F3298" s="1494">
        <f t="shared" si="79"/>
        <v>4.5472676505783904E-3</v>
      </c>
      <c r="G3298" s="415"/>
      <c r="H3298" s="415" t="str">
        <f>VLOOKUP(B3298,indexy!$A$44:$D$823,3,FALSE)</f>
        <v>SRG IM Equity</v>
      </c>
      <c r="J3298" s="434"/>
    </row>
    <row r="3299" spans="1:10" ht="12.75" hidden="1" customHeight="1" outlineLevel="1" x14ac:dyDescent="0.25">
      <c r="A3299" s="135">
        <v>0.02</v>
      </c>
      <c r="B3299" s="151" t="s">
        <v>1857</v>
      </c>
      <c r="C3299" s="410">
        <v>12.4175</v>
      </c>
      <c r="D3299" s="2738">
        <f>VLOOKUP(H3299,indexy!$C$44:$D$823,2,FALSE)/100</f>
        <v>16.5</v>
      </c>
      <c r="E3299" s="1463">
        <f t="shared" si="80"/>
        <v>0.32876988121602579</v>
      </c>
      <c r="F3299" s="1494">
        <f t="shared" si="79"/>
        <v>6.5753976243205156E-3</v>
      </c>
      <c r="G3299" s="415"/>
      <c r="H3299" s="415" t="str">
        <f>VLOOKUP(B3299,indexy!$A$44:$D$823,3,FALSE)</f>
        <v>SSE LN Equity</v>
      </c>
      <c r="J3299" s="434"/>
    </row>
    <row r="3300" spans="1:10" ht="12.75" hidden="1" customHeight="1" outlineLevel="1" x14ac:dyDescent="0.25">
      <c r="A3300" s="135">
        <v>0.02</v>
      </c>
      <c r="B3300" s="151" t="s">
        <v>6527</v>
      </c>
      <c r="C3300" s="410">
        <v>86.366</v>
      </c>
      <c r="D3300" s="2738">
        <f>VLOOKUP(H3300,indexy!$C$44:$D$823,2,FALSE)</f>
        <v>108.25</v>
      </c>
      <c r="E3300" s="1463">
        <f t="shared" si="80"/>
        <v>0.25338674941527906</v>
      </c>
      <c r="F3300" s="1494">
        <f t="shared" si="79"/>
        <v>5.0677349883055814E-3</v>
      </c>
      <c r="G3300" s="415"/>
      <c r="H3300" s="415" t="str">
        <f>VLOOKUP(B3300,indexy!$A$44:$D$823,3,FALSE)</f>
        <v>SHBA SS Equity</v>
      </c>
      <c r="J3300" s="434"/>
    </row>
    <row r="3301" spans="1:10" ht="12.75" hidden="1" customHeight="1" outlineLevel="1" x14ac:dyDescent="0.25">
      <c r="A3301" s="135">
        <v>0.08</v>
      </c>
      <c r="B3301" s="151" t="s">
        <v>6118</v>
      </c>
      <c r="C3301" s="410">
        <v>63.366</v>
      </c>
      <c r="D3301" s="2738">
        <f>VLOOKUP(H3301,indexy!$C$44:$D$823,2,FALSE)</f>
        <v>115.95</v>
      </c>
      <c r="E3301" s="1463">
        <f t="shared" si="80"/>
        <v>0.82984565855506109</v>
      </c>
      <c r="F3301" s="1494">
        <f>E3301*A3301</f>
        <v>6.6387652684404885E-2</v>
      </c>
      <c r="G3301" s="415"/>
      <c r="H3301" s="415" t="str">
        <f>VLOOKUP(B3301,indexy!$A$44:$D$823,3,FALSE)</f>
        <v>SREN SE Equity</v>
      </c>
      <c r="J3301" s="434"/>
    </row>
    <row r="3302" spans="1:10" ht="12.75" hidden="1" customHeight="1" outlineLevel="1" x14ac:dyDescent="0.25">
      <c r="A3302" s="135">
        <v>0.02</v>
      </c>
      <c r="B3302" s="151" t="s">
        <v>434</v>
      </c>
      <c r="C3302" s="410">
        <v>31.97</v>
      </c>
      <c r="D3302" s="2738">
        <f>VLOOKUP(H3302,indexy!$C$44:$D$946,2,FALSE)</f>
        <v>27.43</v>
      </c>
      <c r="E3302" s="1463">
        <f t="shared" si="80"/>
        <v>-0.14200813262433531</v>
      </c>
      <c r="F3302" s="1494">
        <f>E3302*A3302</f>
        <v>-2.8401626524867064E-3</v>
      </c>
      <c r="G3302" s="415"/>
      <c r="H3302" s="415" t="str">
        <f>VLOOKUP(B3302,indexy!$A$44:$D$946,3,FALSE)</f>
        <v>TELIA SS Equity</v>
      </c>
      <c r="J3302" s="434"/>
    </row>
    <row r="3303" spans="1:10" ht="12.75" hidden="1" customHeight="1" outlineLevel="1" x14ac:dyDescent="0.25">
      <c r="A3303" s="135">
        <v>0.02</v>
      </c>
      <c r="B3303" s="151" t="s">
        <v>10633</v>
      </c>
      <c r="C3303" s="410">
        <v>32.2485</v>
      </c>
      <c r="D3303" s="2738">
        <f>VLOOKUP(H3303,indexy!$C$44:$D$823,2,FALSE)</f>
        <v>63.47</v>
      </c>
      <c r="E3303" s="1463">
        <f t="shared" si="80"/>
        <v>0.96815355752980747</v>
      </c>
      <c r="F3303" s="1494">
        <f>E3303*A3303</f>
        <v>1.9363071150596149E-2</v>
      </c>
      <c r="G3303" s="415"/>
      <c r="H3303" s="415" t="str">
        <f>VLOOKUP(B3303,indexy!$A$44:$D$823,3,FALSE)</f>
        <v>TTE FP Equity</v>
      </c>
      <c r="J3303" s="434"/>
    </row>
    <row r="3304" spans="1:10" ht="12.75" hidden="1" customHeight="1" outlineLevel="1" x14ac:dyDescent="0.25">
      <c r="A3304" s="135">
        <v>0.02</v>
      </c>
      <c r="B3304" s="151" t="s">
        <v>5626</v>
      </c>
      <c r="C3304" s="410">
        <v>15.295</v>
      </c>
      <c r="D3304" s="2738">
        <f>VLOOKUP(H3304,indexy!$C$44:$D$823,2,FALSE)</f>
        <v>26.1</v>
      </c>
      <c r="E3304" s="1463">
        <f t="shared" si="80"/>
        <v>0.70644001307616877</v>
      </c>
      <c r="F3304" s="1494">
        <f>E3304*A3304</f>
        <v>1.4128800261523376E-2</v>
      </c>
      <c r="G3304" s="415"/>
      <c r="H3304" s="415" t="str">
        <f>VLOOKUP(B3304,indexy!$A$44:$D$823,3,FALSE)</f>
        <v>WBC AT Equity</v>
      </c>
      <c r="J3304" s="434"/>
    </row>
    <row r="3305" spans="1:10" ht="12.75" hidden="1" customHeight="1" outlineLevel="1" x14ac:dyDescent="0.25">
      <c r="A3305" s="135">
        <v>0.08</v>
      </c>
      <c r="B3305" s="2736" t="s">
        <v>4550</v>
      </c>
      <c r="C3305" s="2741">
        <v>285.64</v>
      </c>
      <c r="D3305" s="2739">
        <f>VLOOKUP(H3305,indexy!$C$44:$D$823,2,FALSE)</f>
        <v>486.3</v>
      </c>
      <c r="E3305" s="1463">
        <f t="shared" si="80"/>
        <v>0.7024926480885032</v>
      </c>
      <c r="F3305" s="1494">
        <f>E3305*A3305</f>
        <v>5.6199411847080258E-2</v>
      </c>
      <c r="G3305" s="415"/>
      <c r="H3305" s="415" t="str">
        <f>VLOOKUP(B3305,indexy!$A$44:$D$823,3,FALSE)</f>
        <v>ZURN SE Equity</v>
      </c>
      <c r="J3305" s="434"/>
    </row>
    <row r="3306" spans="1:10" ht="12.75" hidden="1" customHeight="1" outlineLevel="1" x14ac:dyDescent="0.25">
      <c r="A3306" s="1475" t="s">
        <v>2734</v>
      </c>
      <c r="B3306" s="150"/>
      <c r="C3306" s="1477">
        <v>100</v>
      </c>
      <c r="D3306" s="1477"/>
      <c r="E3306" s="1599"/>
      <c r="F3306" s="1599">
        <f>SUM(F3276:F3305)</f>
        <v>0.44560802537111999</v>
      </c>
      <c r="G3306" s="415"/>
      <c r="H3306" s="415"/>
    </row>
    <row r="3307" spans="1:10" ht="12.75" hidden="1" customHeight="1" outlineLevel="1" x14ac:dyDescent="0.25">
      <c r="A3307" s="221"/>
      <c r="B3307" s="1478">
        <v>45778</v>
      </c>
      <c r="C3307" s="1497">
        <v>100</v>
      </c>
      <c r="D3307" s="1497"/>
      <c r="E3307" s="1498">
        <f>IF(D3307="",$F$3306,D3307/C3307-1)</f>
        <v>0.44560802537111999</v>
      </c>
      <c r="F3307" s="1499"/>
      <c r="G3307" s="415"/>
      <c r="H3307" s="415"/>
    </row>
    <row r="3308" spans="1:10" ht="12.75" hidden="1" customHeight="1" outlineLevel="1" x14ac:dyDescent="0.25">
      <c r="A3308" s="221"/>
      <c r="B3308" s="1478">
        <v>45809</v>
      </c>
      <c r="C3308" s="1497">
        <v>100</v>
      </c>
      <c r="D3308" s="1500"/>
      <c r="E3308" s="1498">
        <f t="shared" ref="E3308:E3318" si="81">IF(D3308="",$F$3306,D3308/C3308-1)</f>
        <v>0.44560802537111999</v>
      </c>
      <c r="F3308" s="1499"/>
      <c r="G3308" s="415"/>
      <c r="H3308" s="415"/>
    </row>
    <row r="3309" spans="1:10" ht="12.75" hidden="1" customHeight="1" outlineLevel="1" x14ac:dyDescent="0.25">
      <c r="A3309" s="221"/>
      <c r="B3309" s="1478">
        <v>45839</v>
      </c>
      <c r="C3309" s="1497">
        <v>100</v>
      </c>
      <c r="D3309" s="1500"/>
      <c r="E3309" s="1498">
        <f t="shared" si="81"/>
        <v>0.44560802537111999</v>
      </c>
      <c r="F3309" s="1499"/>
      <c r="G3309" s="415"/>
      <c r="H3309" s="415"/>
    </row>
    <row r="3310" spans="1:10" ht="12.75" hidden="1" customHeight="1" outlineLevel="1" x14ac:dyDescent="0.25">
      <c r="A3310" s="221"/>
      <c r="B3310" s="1478">
        <v>45870</v>
      </c>
      <c r="C3310" s="1497">
        <v>100</v>
      </c>
      <c r="D3310" s="1500"/>
      <c r="E3310" s="1498">
        <f t="shared" si="81"/>
        <v>0.44560802537111999</v>
      </c>
      <c r="F3310" s="1499"/>
      <c r="G3310" s="415"/>
      <c r="H3310" s="415"/>
    </row>
    <row r="3311" spans="1:10" ht="12.75" hidden="1" customHeight="1" outlineLevel="1" x14ac:dyDescent="0.25">
      <c r="A3311" s="221"/>
      <c r="B3311" s="1478">
        <v>45901</v>
      </c>
      <c r="C3311" s="1497">
        <v>100</v>
      </c>
      <c r="D3311" s="1500"/>
      <c r="E3311" s="1498">
        <f t="shared" si="81"/>
        <v>0.44560802537111999</v>
      </c>
      <c r="F3311" s="1499"/>
      <c r="G3311" s="415"/>
      <c r="H3311" s="415"/>
    </row>
    <row r="3312" spans="1:10" ht="12.75" hidden="1" customHeight="1" outlineLevel="1" x14ac:dyDescent="0.25">
      <c r="A3312" s="221"/>
      <c r="B3312" s="1478">
        <v>45931</v>
      </c>
      <c r="C3312" s="1497">
        <v>100</v>
      </c>
      <c r="D3312" s="1500"/>
      <c r="E3312" s="1498">
        <f t="shared" si="81"/>
        <v>0.44560802537111999</v>
      </c>
      <c r="F3312" s="1499"/>
      <c r="G3312" s="415"/>
      <c r="H3312" s="415"/>
    </row>
    <row r="3313" spans="1:18" ht="12.75" hidden="1" customHeight="1" outlineLevel="1" x14ac:dyDescent="0.25">
      <c r="A3313" s="221"/>
      <c r="B3313" s="1478">
        <v>45962</v>
      </c>
      <c r="C3313" s="1497">
        <v>100</v>
      </c>
      <c r="D3313" s="1500"/>
      <c r="E3313" s="1498">
        <f t="shared" si="81"/>
        <v>0.44560802537111999</v>
      </c>
      <c r="F3313" s="1499"/>
      <c r="G3313" s="415"/>
      <c r="H3313" s="415"/>
    </row>
    <row r="3314" spans="1:18" ht="12.75" hidden="1" customHeight="1" outlineLevel="1" x14ac:dyDescent="0.25">
      <c r="A3314" s="221"/>
      <c r="B3314" s="1478">
        <v>45992</v>
      </c>
      <c r="C3314" s="1497">
        <v>100</v>
      </c>
      <c r="D3314" s="1500"/>
      <c r="E3314" s="1498">
        <f t="shared" si="81"/>
        <v>0.44560802537111999</v>
      </c>
      <c r="F3314" s="1499"/>
      <c r="G3314" s="415"/>
      <c r="H3314" s="415"/>
    </row>
    <row r="3315" spans="1:18" ht="12.75" hidden="1" customHeight="1" outlineLevel="1" x14ac:dyDescent="0.25">
      <c r="A3315" s="221"/>
      <c r="B3315" s="1478">
        <v>46023</v>
      </c>
      <c r="C3315" s="1497">
        <v>100</v>
      </c>
      <c r="D3315" s="1500"/>
      <c r="E3315" s="1498">
        <f t="shared" si="81"/>
        <v>0.44560802537111999</v>
      </c>
      <c r="F3315" s="1499"/>
      <c r="G3315" s="415"/>
      <c r="H3315" s="415"/>
    </row>
    <row r="3316" spans="1:18" ht="12.75" hidden="1" customHeight="1" outlineLevel="1" x14ac:dyDescent="0.25">
      <c r="A3316" s="221"/>
      <c r="B3316" s="1478">
        <v>46054</v>
      </c>
      <c r="C3316" s="1497">
        <v>100</v>
      </c>
      <c r="D3316" s="1500"/>
      <c r="E3316" s="1498">
        <f t="shared" si="81"/>
        <v>0.44560802537111999</v>
      </c>
      <c r="F3316" s="1499"/>
      <c r="G3316" s="415"/>
      <c r="H3316" s="415"/>
    </row>
    <row r="3317" spans="1:18" ht="12.75" hidden="1" customHeight="1" outlineLevel="1" x14ac:dyDescent="0.25">
      <c r="A3317" s="221"/>
      <c r="B3317" s="1478">
        <v>46082</v>
      </c>
      <c r="C3317" s="1497">
        <v>100</v>
      </c>
      <c r="D3317" s="1500"/>
      <c r="E3317" s="1498">
        <f t="shared" si="81"/>
        <v>0.44560802537111999</v>
      </c>
      <c r="F3317" s="1499"/>
      <c r="G3317" s="415"/>
      <c r="H3317" s="415"/>
    </row>
    <row r="3318" spans="1:18" ht="12.75" hidden="1" customHeight="1" outlineLevel="1" x14ac:dyDescent="0.25">
      <c r="A3318" s="221"/>
      <c r="B3318" s="1478">
        <v>46113</v>
      </c>
      <c r="C3318" s="1497">
        <v>100</v>
      </c>
      <c r="D3318" s="1500"/>
      <c r="E3318" s="1498">
        <f t="shared" si="81"/>
        <v>0.44560802537111999</v>
      </c>
      <c r="F3318" s="1499"/>
      <c r="G3318" s="415"/>
      <c r="H3318" s="415"/>
    </row>
    <row r="3319" spans="1:18" s="444" customFormat="1" ht="12.75" hidden="1" customHeight="1" outlineLevel="1" x14ac:dyDescent="0.25">
      <c r="A3319" s="1483" t="s">
        <v>2734</v>
      </c>
      <c r="B3319" s="1484"/>
      <c r="C3319" s="1500"/>
      <c r="D3319" s="1485" t="s">
        <v>2465</v>
      </c>
      <c r="E3319" s="1486">
        <f>AVERAGE(E3307:E3318)</f>
        <v>0.44560802537112004</v>
      </c>
      <c r="F3319" s="1487">
        <f>((((E3319*100)+100)-I3276)/100)</f>
        <v>0.4456080253711201</v>
      </c>
    </row>
    <row r="3320" spans="1:18" collapsed="1" x14ac:dyDescent="0.25">
      <c r="A3320" s="3799" t="s">
        <v>10368</v>
      </c>
      <c r="B3320" s="3800"/>
      <c r="C3320" s="3800"/>
      <c r="D3320" s="3800"/>
      <c r="E3320" s="18"/>
      <c r="F3320" s="186">
        <f>MAX(-10%,MIN(F3319,100%))</f>
        <v>0.4456080253711201</v>
      </c>
      <c r="G3320" s="415"/>
    </row>
    <row r="3322" spans="1:18" ht="12.75" hidden="1" customHeight="1" outlineLevel="1" x14ac:dyDescent="0.25">
      <c r="A3322" s="1677" t="s">
        <v>4156</v>
      </c>
      <c r="B3322" s="1677" t="s">
        <v>4153</v>
      </c>
      <c r="C3322" s="1305" t="s">
        <v>112</v>
      </c>
      <c r="D3322" s="1678" t="s">
        <v>4155</v>
      </c>
      <c r="E3322" s="1677" t="s">
        <v>4154</v>
      </c>
      <c r="F3322" s="1678" t="s">
        <v>2519</v>
      </c>
      <c r="G3322" s="12"/>
      <c r="H3322" s="415"/>
      <c r="I3322" s="412" t="s">
        <v>6964</v>
      </c>
      <c r="J3322" s="1462">
        <v>43983</v>
      </c>
      <c r="K3322" s="1462">
        <v>44013</v>
      </c>
      <c r="L3322" s="1462">
        <v>44044</v>
      </c>
      <c r="M3322" s="1462"/>
      <c r="N3322" s="1462"/>
      <c r="O3322" s="1462"/>
      <c r="P3322" s="1462"/>
      <c r="Q3322" s="1462"/>
      <c r="R3322" s="1462"/>
    </row>
    <row r="3323" spans="1:18" ht="12.75" hidden="1" customHeight="1" outlineLevel="1" x14ac:dyDescent="0.25">
      <c r="A3323" s="134">
        <v>0.02</v>
      </c>
      <c r="B3323" s="151" t="s">
        <v>1176</v>
      </c>
      <c r="C3323" s="454">
        <v>31.846</v>
      </c>
      <c r="D3323" s="2737">
        <f>VLOOKUP(H3323,indexy!$C$44:$D$823,2,FALSE)</f>
        <v>42.92</v>
      </c>
      <c r="E3323" s="1466">
        <f>D3323/C3323-1</f>
        <v>0.34773597940086676</v>
      </c>
      <c r="F3323" s="1492">
        <f>E3323*A3323</f>
        <v>6.9547195880173352E-3</v>
      </c>
      <c r="G3323" s="415"/>
      <c r="H3323" s="415" t="str">
        <f>VLOOKUP(B3323,indexy!$A$44:$D$823,3,FALSE)</f>
        <v>AGS BB Equity</v>
      </c>
      <c r="I3323" s="412">
        <f>IF(J3323="",100,MIN(100,J3323:Y3323))</f>
        <v>97.197599999999994</v>
      </c>
      <c r="J3323">
        <v>99.432000000000002</v>
      </c>
      <c r="K3323">
        <v>98.210400000000007</v>
      </c>
      <c r="L3323">
        <v>97.197599999999994</v>
      </c>
    </row>
    <row r="3324" spans="1:18" ht="12.75" hidden="1" customHeight="1" outlineLevel="1" x14ac:dyDescent="0.25">
      <c r="A3324" s="135">
        <v>0.02</v>
      </c>
      <c r="B3324" s="151" t="s">
        <v>802</v>
      </c>
      <c r="C3324" s="410">
        <v>6.81</v>
      </c>
      <c r="D3324" s="2738">
        <f>VLOOKUP(H3324,indexy!$C$44:$D$823,2,FALSE)</f>
        <v>19.690000000000001</v>
      </c>
      <c r="E3324" s="1463">
        <f>D3324/C3324-1</f>
        <v>1.8913362701908962</v>
      </c>
      <c r="F3324" s="1494">
        <f t="shared" ref="F3324:F3347" si="82">E3324*A3324</f>
        <v>3.7826725403817922E-2</v>
      </c>
      <c r="G3324" s="415"/>
      <c r="H3324" s="415" t="str">
        <f>VLOOKUP(B3324,indexy!$A$44:$D$823,3,FALSE)</f>
        <v>NLY UN Equity</v>
      </c>
      <c r="I3324" s="422">
        <f>+(((E3366*100)+100)-I3323)/100</f>
        <v>0.33919263558730989</v>
      </c>
    </row>
    <row r="3325" spans="1:18" ht="12.75" hidden="1" customHeight="1" outlineLevel="1" x14ac:dyDescent="0.25">
      <c r="A3325" s="135">
        <v>0.02</v>
      </c>
      <c r="B3325" s="151" t="s">
        <v>2697</v>
      </c>
      <c r="C3325" s="410">
        <v>13.467000000000001</v>
      </c>
      <c r="D3325" s="2738">
        <f>VLOOKUP(H3325,indexy!$C$44:$D$823,2,FALSE)</f>
        <v>23.46</v>
      </c>
      <c r="E3325" s="1463">
        <f t="shared" ref="E3325:E3352" si="83">D3325/C3325-1</f>
        <v>0.74203608821563827</v>
      </c>
      <c r="F3325" s="1494">
        <f t="shared" si="82"/>
        <v>1.4840721764312765E-2</v>
      </c>
      <c r="G3325" s="415"/>
      <c r="H3325" s="415" t="str">
        <f>VLOOKUP(B3325,indexy!$A$44:$D$823,3,FALSE)</f>
        <v>G IM Equity</v>
      </c>
      <c r="J3325" s="434"/>
    </row>
    <row r="3326" spans="1:18" ht="12.75" hidden="1" customHeight="1" outlineLevel="1" x14ac:dyDescent="0.25">
      <c r="A3326" s="135">
        <v>0.05</v>
      </c>
      <c r="B3326" s="151" t="s">
        <v>5745</v>
      </c>
      <c r="C3326" s="410">
        <v>18.846</v>
      </c>
      <c r="D3326" s="2738">
        <f>VLOOKUP(H3326,indexy!$C$44:$D$823,2,FALSE)</f>
        <v>29.4</v>
      </c>
      <c r="E3326" s="1463">
        <f t="shared" si="83"/>
        <v>0.56001273479783498</v>
      </c>
      <c r="F3326" s="1494">
        <f t="shared" si="82"/>
        <v>2.8000636739891751E-2</v>
      </c>
      <c r="G3326" s="415"/>
      <c r="H3326" s="415" t="str">
        <f>VLOOKUP(B3326,indexy!$A$44:$D$823,3,FALSE)</f>
        <v>ANZ AT Equity</v>
      </c>
      <c r="J3326" s="434"/>
      <c r="K3326" s="37"/>
    </row>
    <row r="3327" spans="1:18" ht="12.75" hidden="1" customHeight="1" outlineLevel="1" x14ac:dyDescent="0.25">
      <c r="A3327" s="135">
        <v>0.02</v>
      </c>
      <c r="B3327" s="151" t="s">
        <v>218</v>
      </c>
      <c r="C3327" s="410">
        <v>18.613800000000001</v>
      </c>
      <c r="D3327" s="2738">
        <f>VLOOKUP(H3327,indexy!$C$44:$D$823,2,FALSE)</f>
        <v>34.814999999999998</v>
      </c>
      <c r="E3327" s="1463">
        <f t="shared" si="83"/>
        <v>0.87038648744479885</v>
      </c>
      <c r="F3327" s="1494">
        <f t="shared" si="82"/>
        <v>1.7407729748895977E-2</v>
      </c>
      <c r="G3327" s="415"/>
      <c r="H3327" s="415" t="str">
        <f>VLOOKUP(B3327,indexy!$A$44:$D$823,3,FALSE)</f>
        <v>CS FP Equity</v>
      </c>
      <c r="J3327" s="434"/>
    </row>
    <row r="3328" spans="1:18" ht="12.75" hidden="1" customHeight="1" outlineLevel="1" x14ac:dyDescent="0.25">
      <c r="A3328" s="135">
        <v>0.02</v>
      </c>
      <c r="B3328" s="151" t="s">
        <v>5748</v>
      </c>
      <c r="C3328" s="410">
        <v>56.988999999999997</v>
      </c>
      <c r="D3328" s="2738">
        <f>VLOOKUP(H3328,indexy!$C$44:$D$823,2,FALSE)</f>
        <v>70.069999999999993</v>
      </c>
      <c r="E3328" s="1463">
        <f t="shared" si="83"/>
        <v>0.22953552439944547</v>
      </c>
      <c r="F3328" s="1494">
        <f t="shared" si="82"/>
        <v>4.5907104879889093E-3</v>
      </c>
      <c r="G3328" s="415"/>
      <c r="H3328" s="415" t="str">
        <f>VLOOKUP(B3328,indexy!$A$44:$D$823,3,FALSE)</f>
        <v>BNS CT Equity</v>
      </c>
      <c r="J3328" s="434"/>
    </row>
    <row r="3329" spans="1:10" ht="12.75" hidden="1" customHeight="1" outlineLevel="1" x14ac:dyDescent="0.25">
      <c r="A3329" s="135">
        <v>0.05</v>
      </c>
      <c r="B3329" s="151" t="s">
        <v>807</v>
      </c>
      <c r="C3329" s="410">
        <v>57.118000000000002</v>
      </c>
      <c r="D3329" s="2738">
        <f>VLOOKUP(H3329,indexy!$C$44:$D$823,2,FALSE)</f>
        <v>46.03</v>
      </c>
      <c r="E3329" s="1463">
        <f t="shared" si="83"/>
        <v>-0.19412444413319796</v>
      </c>
      <c r="F3329" s="1494">
        <f t="shared" si="82"/>
        <v>-9.706222206659898E-3</v>
      </c>
      <c r="G3329" s="415"/>
      <c r="H3329" s="415" t="str">
        <f>VLOOKUP(B3329,indexy!$A$44:$D$823,3,FALSE)</f>
        <v>BCE CT Equity</v>
      </c>
      <c r="J3329" s="434"/>
    </row>
    <row r="3330" spans="1:10" ht="12.75" hidden="1" customHeight="1" outlineLevel="1" x14ac:dyDescent="0.25">
      <c r="A3330" s="135">
        <v>0.02</v>
      </c>
      <c r="B3330" s="151" t="s">
        <v>3954</v>
      </c>
      <c r="C3330" s="410">
        <f>93.4/2</f>
        <v>46.7</v>
      </c>
      <c r="D3330" s="2738">
        <f>VLOOKUP(H3330,indexy!$C$44:$D$823,2,FALSE)</f>
        <v>68.67</v>
      </c>
      <c r="E3330" s="1463">
        <f t="shared" si="83"/>
        <v>0.47044967880085653</v>
      </c>
      <c r="F3330" s="1494">
        <f t="shared" si="82"/>
        <v>9.4089935760171307E-3</v>
      </c>
      <c r="G3330" s="415"/>
      <c r="H3330" s="415" t="str">
        <f>VLOOKUP(B3330,indexy!$A$44:$D$823,3,FALSE)</f>
        <v>CM CT Equity</v>
      </c>
      <c r="J3330" s="434"/>
    </row>
    <row r="3331" spans="1:10" ht="12.75" hidden="1" customHeight="1" outlineLevel="1" x14ac:dyDescent="0.25">
      <c r="A3331" s="135">
        <v>0.02</v>
      </c>
      <c r="B3331" s="151" t="s">
        <v>7855</v>
      </c>
      <c r="C3331" s="410">
        <v>42.084000000000003</v>
      </c>
      <c r="D3331" s="2738">
        <f>VLOOKUP(H3331,indexy!$C$44:$D$823,2,FALSE)</f>
        <v>48.95</v>
      </c>
      <c r="E3331" s="1463">
        <f t="shared" si="83"/>
        <v>0.16314989069480079</v>
      </c>
      <c r="F3331" s="1494">
        <f t="shared" si="82"/>
        <v>3.2629978138960158E-3</v>
      </c>
      <c r="G3331" s="415"/>
      <c r="H3331" s="415" t="str">
        <f>VLOOKUP(B3331,indexy!$A$44:$D$823,3,FALSE)</f>
        <v>ENB CT Equity</v>
      </c>
      <c r="J3331" s="434"/>
    </row>
    <row r="3332" spans="1:10" ht="12.75" hidden="1" customHeight="1" outlineLevel="1" x14ac:dyDescent="0.25">
      <c r="A3332" s="135">
        <v>0.08</v>
      </c>
      <c r="B3332" s="151" t="s">
        <v>9171</v>
      </c>
      <c r="C3332" s="410">
        <v>22.334</v>
      </c>
      <c r="D3332" s="2738">
        <f>VLOOKUP(H3332,indexy!$C$44:$D$823,2,FALSE)</f>
        <v>17.164999999999999</v>
      </c>
      <c r="E3332" s="1463">
        <f t="shared" si="83"/>
        <v>-0.2314408525118653</v>
      </c>
      <c r="F3332" s="1494">
        <f t="shared" si="82"/>
        <v>-1.8515268200949224E-2</v>
      </c>
      <c r="G3332" s="415"/>
      <c r="H3332" s="415" t="str">
        <f>VLOOKUP(B3332,indexy!$A$44:$D$823,3,FALSE)</f>
        <v>ELE SQ Equity</v>
      </c>
      <c r="J3332" s="434"/>
    </row>
    <row r="3333" spans="1:10" ht="12.75" hidden="1" customHeight="1" outlineLevel="1" x14ac:dyDescent="0.25">
      <c r="A3333" s="135">
        <v>7.0000000000000007E-2</v>
      </c>
      <c r="B3333" s="151" t="s">
        <v>3021</v>
      </c>
      <c r="C3333" s="410">
        <v>8.7169000000000008</v>
      </c>
      <c r="D3333" s="2738">
        <f>VLOOKUP(H3333,indexy!$C$44:$D$823,2,FALSE)</f>
        <v>14.648</v>
      </c>
      <c r="E3333" s="1463">
        <f t="shared" si="83"/>
        <v>0.68041390861430084</v>
      </c>
      <c r="F3333" s="1494">
        <f t="shared" si="82"/>
        <v>4.7628973603001064E-2</v>
      </c>
      <c r="G3333" s="415"/>
      <c r="H3333" s="415" t="str">
        <f>VLOOKUP(B3333,indexy!$A$44:$D$823,3,FALSE)</f>
        <v>ENI IM Equity</v>
      </c>
      <c r="J3333" s="434"/>
    </row>
    <row r="3334" spans="1:10" ht="12.75" hidden="1" customHeight="1" outlineLevel="1" x14ac:dyDescent="0.25">
      <c r="A3334" s="135">
        <v>0.02</v>
      </c>
      <c r="B3334" s="151" t="s">
        <v>3799</v>
      </c>
      <c r="C3334" s="410">
        <v>16.446999999999999</v>
      </c>
      <c r="D3334" s="2738">
        <f>VLOOKUP(H3334,indexy!$C$44:$D$823,2,FALSE)/100</f>
        <v>17.085999999999999</v>
      </c>
      <c r="E3334" s="1463">
        <f t="shared" si="83"/>
        <v>3.8852070286374385E-2</v>
      </c>
      <c r="F3334" s="1494">
        <f t="shared" si="82"/>
        <v>7.7704140572748776E-4</v>
      </c>
      <c r="G3334" s="415"/>
      <c r="H3334" s="415" t="str">
        <f>VLOOKUP(B3334,indexy!$A$44:$D$823,3,FALSE)</f>
        <v>GSK LN Equity</v>
      </c>
      <c r="J3334" s="434"/>
    </row>
    <row r="3335" spans="1:10" ht="12.75" hidden="1" customHeight="1" outlineLevel="1" x14ac:dyDescent="0.25">
      <c r="A3335" s="135">
        <v>0.02</v>
      </c>
      <c r="B3335" s="151" t="s">
        <v>10427</v>
      </c>
      <c r="C3335" s="2740">
        <v>19.097000000000001</v>
      </c>
      <c r="D3335" s="2738">
        <f>VLOOKUP(H3335,indexy!$C$44:$D$823,2,FALSE)</f>
        <v>4.7</v>
      </c>
      <c r="E3335" s="1463">
        <f t="shared" si="83"/>
        <v>-0.75388804524270825</v>
      </c>
      <c r="F3335" s="1494">
        <f t="shared" si="82"/>
        <v>-1.5077760904854165E-2</v>
      </c>
      <c r="G3335" s="415"/>
      <c r="H3335" s="415" t="str">
        <f>VLOOKUP(B3335,indexy!$A$44:$D$823,3,FALSE)</f>
        <v>MPW UN Equity</v>
      </c>
      <c r="J3335" s="434"/>
    </row>
    <row r="3336" spans="1:10" ht="12.75" hidden="1" customHeight="1" outlineLevel="1" x14ac:dyDescent="0.25">
      <c r="A3336" s="135">
        <v>0.03</v>
      </c>
      <c r="B3336" s="151" t="s">
        <v>8336</v>
      </c>
      <c r="C3336" s="410">
        <v>18.565000000000001</v>
      </c>
      <c r="D3336" s="2738">
        <f>VLOOKUP(H3336,indexy!$C$44:$D$823,2,FALSE)</f>
        <v>34.64</v>
      </c>
      <c r="E3336" s="1463">
        <f t="shared" si="83"/>
        <v>0.86587664960948008</v>
      </c>
      <c r="F3336" s="1494">
        <f t="shared" si="82"/>
        <v>2.59762994882844E-2</v>
      </c>
      <c r="G3336" s="415"/>
      <c r="H3336" s="415" t="str">
        <f>VLOOKUP(B3336,indexy!$A$44:$D$823,3,FALSE)</f>
        <v>NAB AT Equity</v>
      </c>
      <c r="J3336" s="434"/>
    </row>
    <row r="3337" spans="1:10" ht="12.75" hidden="1" customHeight="1" outlineLevel="1" x14ac:dyDescent="0.25">
      <c r="A3337" s="135">
        <v>0.02</v>
      </c>
      <c r="B3337" s="151" t="s">
        <v>2786</v>
      </c>
      <c r="C3337" s="410">
        <v>9.5760000000000005</v>
      </c>
      <c r="D3337" s="2738">
        <f>VLOOKUP(H3337,indexy!$C$44:$D$823,2,FALSE)/100</f>
        <v>10.66</v>
      </c>
      <c r="E3337" s="1463">
        <f t="shared" si="83"/>
        <v>0.11319966583124463</v>
      </c>
      <c r="F3337" s="1494">
        <f t="shared" si="82"/>
        <v>2.2639933166248927E-3</v>
      </c>
      <c r="G3337" s="415"/>
      <c r="H3337" s="415" t="str">
        <f>VLOOKUP(B3337,indexy!$A$44:$D$823,3,FALSE)</f>
        <v>NG/ LN Equity</v>
      </c>
      <c r="J3337" s="434"/>
    </row>
    <row r="3338" spans="1:10" ht="12.75" hidden="1" customHeight="1" outlineLevel="1" x14ac:dyDescent="0.25">
      <c r="A3338" s="135">
        <v>0.02</v>
      </c>
      <c r="B3338" s="151" t="s">
        <v>1203</v>
      </c>
      <c r="C3338" s="410">
        <v>66.233999999999995</v>
      </c>
      <c r="D3338" s="2738">
        <f>VLOOKUP(H3338,indexy!$C$44:$D$823,2,FALSE)</f>
        <v>119.2</v>
      </c>
      <c r="E3338" s="1463">
        <f t="shared" si="83"/>
        <v>0.79967992269831223</v>
      </c>
      <c r="F3338" s="1494">
        <f t="shared" si="82"/>
        <v>1.5993598453966244E-2</v>
      </c>
      <c r="G3338" s="415"/>
      <c r="H3338" s="415" t="str">
        <f>VLOOKUP(B3338,indexy!$A$44:$D$823,3,FALSE)</f>
        <v>NDA SS Equity</v>
      </c>
      <c r="J3338" s="434"/>
    </row>
    <row r="3339" spans="1:10" ht="12.75" hidden="1" customHeight="1" outlineLevel="1" x14ac:dyDescent="0.25">
      <c r="A3339" s="135">
        <v>0.08</v>
      </c>
      <c r="B3339" s="151" t="s">
        <v>5824</v>
      </c>
      <c r="C3339" s="410">
        <v>10.465999999999999</v>
      </c>
      <c r="D3339" s="2738">
        <f>VLOOKUP(H3339,indexy!$C$44:$D$823,2,FALSE)</f>
        <v>10.888</v>
      </c>
      <c r="E3339" s="1463">
        <f t="shared" si="83"/>
        <v>4.0321039556659777E-2</v>
      </c>
      <c r="F3339" s="1494">
        <f t="shared" si="82"/>
        <v>3.2256831645327824E-3</v>
      </c>
      <c r="G3339" s="415"/>
      <c r="H3339" s="415" t="str">
        <f>VLOOKUP(B3339,indexy!$A$44:$D$823,3,FALSE)</f>
        <v>ORA FP Equity</v>
      </c>
      <c r="J3339" s="434"/>
    </row>
    <row r="3340" spans="1:10" ht="12.75" hidden="1" customHeight="1" outlineLevel="1" x14ac:dyDescent="0.25">
      <c r="A3340" s="135">
        <v>0.02</v>
      </c>
      <c r="B3340" s="151" t="s">
        <v>10429</v>
      </c>
      <c r="C3340" s="410">
        <v>24.024000000000001</v>
      </c>
      <c r="D3340" s="2738">
        <f>VLOOKUP(H3340,indexy!$C$44:$D$823,2,FALSE)</f>
        <v>37.979999999999997</v>
      </c>
      <c r="E3340" s="1463">
        <f t="shared" si="83"/>
        <v>0.58091908091908073</v>
      </c>
      <c r="F3340" s="1494">
        <f t="shared" si="82"/>
        <v>1.1618381618381616E-2</v>
      </c>
      <c r="G3340" s="415"/>
      <c r="H3340" s="415" t="str">
        <f>VLOOKUP(B3340,indexy!$A$44:$D$823,3,FALSE)</f>
        <v>POW CT Equity</v>
      </c>
      <c r="J3340" s="434"/>
    </row>
    <row r="3341" spans="1:10" ht="12.75" hidden="1" customHeight="1" outlineLevel="1" x14ac:dyDescent="0.25">
      <c r="A3341" s="135">
        <v>0.02</v>
      </c>
      <c r="B3341" s="151" t="s">
        <v>2769</v>
      </c>
      <c r="C3341" s="410">
        <v>26.198</v>
      </c>
      <c r="D3341" s="2738">
        <f>VLOOKUP(H3341,indexy!$C$44:$D$823,2,FALSE)</f>
        <v>27.53</v>
      </c>
      <c r="E3341" s="1463">
        <f t="shared" si="83"/>
        <v>5.0843575845484379E-2</v>
      </c>
      <c r="F3341" s="1494">
        <f t="shared" si="82"/>
        <v>1.0168715169096875E-3</v>
      </c>
      <c r="G3341" s="415"/>
      <c r="H3341" s="415" t="str">
        <f>VLOOKUP(B3341,indexy!$A$44:$D$823,3,FALSE)</f>
        <v>PPL UN Equity</v>
      </c>
      <c r="J3341" s="434"/>
    </row>
    <row r="3342" spans="1:10" ht="12.75" hidden="1" customHeight="1" outlineLevel="1" x14ac:dyDescent="0.25">
      <c r="A3342" s="135">
        <v>0.03</v>
      </c>
      <c r="B3342" s="151" t="s">
        <v>5629</v>
      </c>
      <c r="C3342" s="410">
        <v>17.1465</v>
      </c>
      <c r="D3342" s="2738">
        <f>VLOOKUP(H3342,indexy!$C$44:$D$823,2,FALSE)</f>
        <v>15.805</v>
      </c>
      <c r="E3342" s="1463">
        <f t="shared" si="83"/>
        <v>-7.8237541189163928E-2</v>
      </c>
      <c r="F3342" s="1494">
        <f t="shared" si="82"/>
        <v>-2.3471262356749177E-3</v>
      </c>
      <c r="G3342" s="415"/>
      <c r="H3342" s="415" t="str">
        <f>VLOOKUP(B3342,indexy!$A$44:$D$823,3,FALSE)</f>
        <v>REE SQ Equity</v>
      </c>
      <c r="J3342" s="434"/>
    </row>
    <row r="3343" spans="1:10" ht="12.75" hidden="1" customHeight="1" outlineLevel="1" x14ac:dyDescent="0.25">
      <c r="A3343" s="135">
        <v>0.02</v>
      </c>
      <c r="B3343" s="151" t="s">
        <v>5205</v>
      </c>
      <c r="C3343" s="410">
        <v>13.5318</v>
      </c>
      <c r="D3343" s="2738">
        <f>VLOOKUP(H3343,indexy!$C$44:$D$823,2,FALSE)/100</f>
        <v>18.952000000000002</v>
      </c>
      <c r="E3343" s="1463">
        <f t="shared" si="83"/>
        <v>0.40055277198894457</v>
      </c>
      <c r="F3343" s="1494">
        <f t="shared" si="82"/>
        <v>8.0110554397788917E-3</v>
      </c>
      <c r="G3343" s="415"/>
      <c r="H3343" s="415" t="str">
        <f>VLOOKUP(B3343,indexy!$A$44:$D$823,3,FALSE)</f>
        <v>RDSA LN Equity</v>
      </c>
      <c r="J3343" s="434"/>
    </row>
    <row r="3344" spans="1:10" ht="12.75" hidden="1" customHeight="1" outlineLevel="1" x14ac:dyDescent="0.25">
      <c r="A3344" s="135">
        <v>0.02</v>
      </c>
      <c r="B3344" s="151" t="s">
        <v>6270</v>
      </c>
      <c r="C3344" s="410">
        <v>30.446999999999999</v>
      </c>
      <c r="D3344" s="2738">
        <f>VLOOKUP(H3344,indexy!$C$44:$D$823,2,FALSE)</f>
        <v>39.515000000000001</v>
      </c>
      <c r="E3344" s="1463">
        <f t="shared" si="83"/>
        <v>0.29782901435280995</v>
      </c>
      <c r="F3344" s="1494">
        <f t="shared" si="82"/>
        <v>5.9565802870561995E-3</v>
      </c>
      <c r="G3344" s="415"/>
      <c r="H3344" s="415" t="str">
        <f>VLOOKUP(B3344,indexy!$A$44:$D$823,3,FALSE)</f>
        <v>SAMPO FH Equity</v>
      </c>
      <c r="J3344" s="434"/>
    </row>
    <row r="3345" spans="1:10" ht="12.75" hidden="1" customHeight="1" outlineLevel="1" x14ac:dyDescent="0.25">
      <c r="A3345" s="135">
        <v>0.05</v>
      </c>
      <c r="B3345" s="151" t="s">
        <v>6116</v>
      </c>
      <c r="C3345" s="410">
        <v>4.4004000000000003</v>
      </c>
      <c r="D3345" s="2738">
        <f>VLOOKUP(H3345,indexy!$C$44:$D$823,2,FALSE)</f>
        <v>4.3760000000000003</v>
      </c>
      <c r="E3345" s="1463">
        <f t="shared" si="83"/>
        <v>-5.544950459049125E-3</v>
      </c>
      <c r="F3345" s="1494">
        <f t="shared" si="82"/>
        <v>-2.7724752295245624E-4</v>
      </c>
      <c r="G3345" s="415"/>
      <c r="H3345" s="415" t="str">
        <f>VLOOKUP(B3345,indexy!$A$44:$D$823,3,FALSE)</f>
        <v>SRG IM Equity</v>
      </c>
      <c r="J3345" s="434"/>
    </row>
    <row r="3346" spans="1:10" ht="12.75" hidden="1" customHeight="1" outlineLevel="1" x14ac:dyDescent="0.25">
      <c r="A3346" s="135">
        <v>0.02</v>
      </c>
      <c r="B3346" s="151" t="s">
        <v>1857</v>
      </c>
      <c r="C3346" s="410">
        <v>13.5555</v>
      </c>
      <c r="D3346" s="2738">
        <f>VLOOKUP(H3346,indexy!$C$44:$D$823,2,FALSE)/100</f>
        <v>16.5</v>
      </c>
      <c r="E3346" s="1463">
        <f t="shared" si="83"/>
        <v>0.21721810335288261</v>
      </c>
      <c r="F3346" s="1494">
        <f t="shared" si="82"/>
        <v>4.344362067057652E-3</v>
      </c>
      <c r="G3346" s="415"/>
      <c r="H3346" s="415" t="str">
        <f>VLOOKUP(B3346,indexy!$A$44:$D$823,3,FALSE)</f>
        <v>SSE LN Equity</v>
      </c>
      <c r="J3346" s="434"/>
    </row>
    <row r="3347" spans="1:10" ht="12.75" hidden="1" customHeight="1" outlineLevel="1" x14ac:dyDescent="0.25">
      <c r="A3347" s="135">
        <v>0.02</v>
      </c>
      <c r="B3347" s="151" t="s">
        <v>6527</v>
      </c>
      <c r="C3347" s="410">
        <v>90.798000000000002</v>
      </c>
      <c r="D3347" s="2738">
        <f>VLOOKUP(H3347,indexy!$C$44:$D$823,2,FALSE)</f>
        <v>108.25</v>
      </c>
      <c r="E3347" s="1463">
        <f t="shared" si="83"/>
        <v>0.19220687680345372</v>
      </c>
      <c r="F3347" s="1494">
        <f t="shared" si="82"/>
        <v>3.8441375360690746E-3</v>
      </c>
      <c r="G3347" s="415"/>
      <c r="H3347" s="415" t="str">
        <f>VLOOKUP(B3347,indexy!$A$44:$D$823,3,FALSE)</f>
        <v>SHBA SS Equity</v>
      </c>
      <c r="J3347" s="434"/>
    </row>
    <row r="3348" spans="1:10" ht="12.75" hidden="1" customHeight="1" outlineLevel="1" x14ac:dyDescent="0.25">
      <c r="A3348" s="135">
        <v>0.08</v>
      </c>
      <c r="B3348" s="151" t="s">
        <v>6118</v>
      </c>
      <c r="C3348" s="410">
        <v>73.597999999999999</v>
      </c>
      <c r="D3348" s="2738">
        <f>VLOOKUP(H3348,indexy!$C$44:$D$823,2,FALSE)</f>
        <v>115.95</v>
      </c>
      <c r="E3348" s="1463">
        <f t="shared" si="83"/>
        <v>0.57545041984836542</v>
      </c>
      <c r="F3348" s="1494">
        <f>E3348*A3348</f>
        <v>4.6036033587869236E-2</v>
      </c>
      <c r="G3348" s="415"/>
      <c r="H3348" s="415" t="str">
        <f>VLOOKUP(B3348,indexy!$A$44:$D$823,3,FALSE)</f>
        <v>SREN SE Equity</v>
      </c>
      <c r="J3348" s="434"/>
    </row>
    <row r="3349" spans="1:10" ht="12.75" hidden="1" customHeight="1" outlineLevel="1" x14ac:dyDescent="0.25">
      <c r="A3349" s="135">
        <v>0.02</v>
      </c>
      <c r="B3349" s="151" t="s">
        <v>434</v>
      </c>
      <c r="C3349" s="410">
        <v>34.215000000000003</v>
      </c>
      <c r="D3349" s="2738">
        <f>VLOOKUP(H3349,indexy!$C$44:$D$946,2,FALSE)</f>
        <v>27.43</v>
      </c>
      <c r="E3349" s="1463">
        <f t="shared" si="83"/>
        <v>-0.1983048370597692</v>
      </c>
      <c r="F3349" s="1494">
        <f>E3349*A3349</f>
        <v>-3.9660967411953843E-3</v>
      </c>
      <c r="G3349" s="415"/>
      <c r="H3349" s="415" t="str">
        <f>VLOOKUP(B3349,indexy!$A$44:$D$946,3,FALSE)</f>
        <v>TELIA SS Equity</v>
      </c>
      <c r="J3349" s="434"/>
    </row>
    <row r="3350" spans="1:10" ht="12.75" hidden="1" customHeight="1" outlineLevel="1" x14ac:dyDescent="0.25">
      <c r="A3350" s="135">
        <v>0.02</v>
      </c>
      <c r="B3350" s="151" t="s">
        <v>10633</v>
      </c>
      <c r="C3350" s="410">
        <v>35.473999999999997</v>
      </c>
      <c r="D3350" s="2738">
        <f>VLOOKUP(H3350,indexy!$C$44:$D$823,2,FALSE)</f>
        <v>63.47</v>
      </c>
      <c r="E3350" s="1463">
        <f t="shared" si="83"/>
        <v>0.78919772227546958</v>
      </c>
      <c r="F3350" s="1494">
        <f>E3350*A3350</f>
        <v>1.5783954445509393E-2</v>
      </c>
      <c r="G3350" s="415"/>
      <c r="H3350" s="415" t="str">
        <f>VLOOKUP(B3350,indexy!$A$44:$D$823,3,FALSE)</f>
        <v>TTE FP Equity</v>
      </c>
      <c r="J3350" s="434"/>
    </row>
    <row r="3351" spans="1:10" ht="12.75" hidden="1" customHeight="1" outlineLevel="1" x14ac:dyDescent="0.25">
      <c r="A3351" s="135">
        <v>0.02</v>
      </c>
      <c r="B3351" s="151" t="s">
        <v>5626</v>
      </c>
      <c r="C3351" s="410">
        <v>17.975000000000001</v>
      </c>
      <c r="D3351" s="2738">
        <f>VLOOKUP(H3351,indexy!$C$44:$D$823,2,FALSE)</f>
        <v>26.1</v>
      </c>
      <c r="E3351" s="1463">
        <f t="shared" si="83"/>
        <v>0.45201668984700971</v>
      </c>
      <c r="F3351" s="1494">
        <f>E3351*A3351</f>
        <v>9.0403337969401937E-3</v>
      </c>
      <c r="G3351" s="415"/>
      <c r="H3351" s="415" t="str">
        <f>VLOOKUP(B3351,indexy!$A$44:$D$823,3,FALSE)</f>
        <v>WBC AT Equity</v>
      </c>
      <c r="J3351" s="434"/>
    </row>
    <row r="3352" spans="1:10" ht="12.75" hidden="1" customHeight="1" outlineLevel="1" x14ac:dyDescent="0.25">
      <c r="A3352" s="135">
        <v>0.08</v>
      </c>
      <c r="B3352" s="2736" t="s">
        <v>4550</v>
      </c>
      <c r="C3352" s="2741">
        <v>331.81</v>
      </c>
      <c r="D3352" s="2739">
        <f>VLOOKUP(H3352,indexy!$C$44:$D$823,2,FALSE)</f>
        <v>486.3</v>
      </c>
      <c r="E3352" s="1463">
        <f t="shared" si="83"/>
        <v>0.46559778186311451</v>
      </c>
      <c r="F3352" s="1494">
        <f>E3352*A3352</f>
        <v>3.724782254904916E-2</v>
      </c>
      <c r="G3352" s="415"/>
      <c r="H3352" s="415" t="str">
        <f>VLOOKUP(B3352,indexy!$A$44:$D$823,3,FALSE)</f>
        <v>ZURN SE Equity</v>
      </c>
      <c r="J3352" s="434"/>
    </row>
    <row r="3353" spans="1:10" ht="12.75" hidden="1" customHeight="1" outlineLevel="1" x14ac:dyDescent="0.25">
      <c r="A3353" s="1475" t="s">
        <v>2734</v>
      </c>
      <c r="B3353" s="150"/>
      <c r="C3353" s="1477">
        <v>100</v>
      </c>
      <c r="D3353" s="1477"/>
      <c r="E3353" s="1599"/>
      <c r="F3353" s="1599">
        <f>SUM(F3323:F3352)</f>
        <v>0.31116863558730967</v>
      </c>
      <c r="G3353" s="415"/>
      <c r="H3353" s="415"/>
    </row>
    <row r="3354" spans="1:10" ht="12.75" hidden="1" customHeight="1" outlineLevel="1" x14ac:dyDescent="0.25">
      <c r="A3354" s="221"/>
      <c r="B3354" s="1478">
        <v>46174</v>
      </c>
      <c r="C3354" s="1497">
        <v>100</v>
      </c>
      <c r="D3354" s="1497"/>
      <c r="E3354" s="1498">
        <f>IF(D3354="",$F$3353,D3354/C3354-1)</f>
        <v>0.31116863558730967</v>
      </c>
      <c r="F3354" s="1499"/>
      <c r="G3354" s="415"/>
      <c r="H3354" s="415"/>
    </row>
    <row r="3355" spans="1:10" ht="12.75" hidden="1" customHeight="1" outlineLevel="1" x14ac:dyDescent="0.25">
      <c r="A3355" s="221"/>
      <c r="B3355" s="1478">
        <v>46204</v>
      </c>
      <c r="C3355" s="1497">
        <v>100</v>
      </c>
      <c r="D3355" s="1500"/>
      <c r="E3355" s="1498">
        <f t="shared" ref="E3355:E3365" si="84">IF(D3355="",$F$3353,D3355/C3355-1)</f>
        <v>0.31116863558730967</v>
      </c>
      <c r="F3355" s="1499"/>
      <c r="G3355" s="415"/>
      <c r="H3355" s="415"/>
    </row>
    <row r="3356" spans="1:10" ht="12.75" hidden="1" customHeight="1" outlineLevel="1" x14ac:dyDescent="0.25">
      <c r="A3356" s="221"/>
      <c r="B3356" s="1478">
        <v>46235</v>
      </c>
      <c r="C3356" s="1497">
        <v>100</v>
      </c>
      <c r="D3356" s="1500"/>
      <c r="E3356" s="1498">
        <f t="shared" si="84"/>
        <v>0.31116863558730967</v>
      </c>
      <c r="F3356" s="1499"/>
      <c r="G3356" s="415"/>
      <c r="H3356" s="415"/>
    </row>
    <row r="3357" spans="1:10" ht="12.75" hidden="1" customHeight="1" outlineLevel="1" x14ac:dyDescent="0.25">
      <c r="A3357" s="221"/>
      <c r="B3357" s="1478">
        <v>46266</v>
      </c>
      <c r="C3357" s="1497">
        <v>100</v>
      </c>
      <c r="D3357" s="1500"/>
      <c r="E3357" s="1498">
        <f t="shared" si="84"/>
        <v>0.31116863558730967</v>
      </c>
      <c r="F3357" s="1499"/>
      <c r="G3357" s="415"/>
      <c r="H3357" s="415"/>
    </row>
    <row r="3358" spans="1:10" ht="12.75" hidden="1" customHeight="1" outlineLevel="1" x14ac:dyDescent="0.25">
      <c r="A3358" s="221"/>
      <c r="B3358" s="1478">
        <v>46296</v>
      </c>
      <c r="C3358" s="1497">
        <v>100</v>
      </c>
      <c r="D3358" s="1500"/>
      <c r="E3358" s="1498">
        <f t="shared" si="84"/>
        <v>0.31116863558730967</v>
      </c>
      <c r="F3358" s="1499"/>
      <c r="G3358" s="415"/>
      <c r="H3358" s="415"/>
    </row>
    <row r="3359" spans="1:10" ht="12.75" hidden="1" customHeight="1" outlineLevel="1" x14ac:dyDescent="0.25">
      <c r="A3359" s="221"/>
      <c r="B3359" s="1478">
        <v>46327</v>
      </c>
      <c r="C3359" s="1497">
        <v>100</v>
      </c>
      <c r="D3359" s="1500"/>
      <c r="E3359" s="1498">
        <f t="shared" si="84"/>
        <v>0.31116863558730967</v>
      </c>
      <c r="F3359" s="1499"/>
      <c r="G3359" s="415"/>
      <c r="H3359" s="415"/>
    </row>
    <row r="3360" spans="1:10" ht="12.75" hidden="1" customHeight="1" outlineLevel="1" x14ac:dyDescent="0.25">
      <c r="A3360" s="221"/>
      <c r="B3360" s="1478">
        <v>46357</v>
      </c>
      <c r="C3360" s="1497">
        <v>100</v>
      </c>
      <c r="D3360" s="1500"/>
      <c r="E3360" s="1498">
        <f t="shared" si="84"/>
        <v>0.31116863558730967</v>
      </c>
      <c r="F3360" s="1499"/>
      <c r="G3360" s="415"/>
      <c r="H3360" s="415"/>
    </row>
    <row r="3361" spans="1:18" ht="12.75" hidden="1" customHeight="1" outlineLevel="1" x14ac:dyDescent="0.25">
      <c r="A3361" s="221"/>
      <c r="B3361" s="1478">
        <v>46388</v>
      </c>
      <c r="C3361" s="1497">
        <v>100</v>
      </c>
      <c r="D3361" s="1500"/>
      <c r="E3361" s="1498">
        <f t="shared" si="84"/>
        <v>0.31116863558730967</v>
      </c>
      <c r="F3361" s="1499"/>
      <c r="G3361" s="415"/>
      <c r="H3361" s="415"/>
    </row>
    <row r="3362" spans="1:18" ht="12.75" hidden="1" customHeight="1" outlineLevel="1" x14ac:dyDescent="0.25">
      <c r="A3362" s="221"/>
      <c r="B3362" s="1478">
        <v>46419</v>
      </c>
      <c r="C3362" s="1497">
        <v>100</v>
      </c>
      <c r="D3362" s="1500"/>
      <c r="E3362" s="1498">
        <f t="shared" si="84"/>
        <v>0.31116863558730967</v>
      </c>
      <c r="F3362" s="1499"/>
      <c r="G3362" s="415"/>
      <c r="H3362" s="415"/>
    </row>
    <row r="3363" spans="1:18" ht="12.75" hidden="1" customHeight="1" outlineLevel="1" x14ac:dyDescent="0.25">
      <c r="A3363" s="221"/>
      <c r="B3363" s="1478">
        <v>46447</v>
      </c>
      <c r="C3363" s="1497">
        <v>100</v>
      </c>
      <c r="D3363" s="1500"/>
      <c r="E3363" s="1498">
        <f t="shared" si="84"/>
        <v>0.31116863558730967</v>
      </c>
      <c r="F3363" s="1499"/>
      <c r="G3363" s="415"/>
      <c r="H3363" s="415"/>
    </row>
    <row r="3364" spans="1:18" ht="12.75" hidden="1" customHeight="1" outlineLevel="1" x14ac:dyDescent="0.25">
      <c r="A3364" s="221"/>
      <c r="B3364" s="1478">
        <v>46478</v>
      </c>
      <c r="C3364" s="1497">
        <v>100</v>
      </c>
      <c r="D3364" s="1500"/>
      <c r="E3364" s="1498">
        <f t="shared" si="84"/>
        <v>0.31116863558730967</v>
      </c>
      <c r="F3364" s="1499"/>
      <c r="G3364" s="415"/>
      <c r="H3364" s="415"/>
    </row>
    <row r="3365" spans="1:18" ht="12.75" hidden="1" customHeight="1" outlineLevel="1" x14ac:dyDescent="0.25">
      <c r="A3365" s="221"/>
      <c r="B3365" s="1478">
        <v>46508</v>
      </c>
      <c r="C3365" s="1497">
        <v>100</v>
      </c>
      <c r="D3365" s="1500"/>
      <c r="E3365" s="1498">
        <f t="shared" si="84"/>
        <v>0.31116863558730967</v>
      </c>
      <c r="F3365" s="1499"/>
      <c r="G3365" s="415"/>
      <c r="H3365" s="415"/>
    </row>
    <row r="3366" spans="1:18" s="444" customFormat="1" ht="12.75" hidden="1" customHeight="1" outlineLevel="1" x14ac:dyDescent="0.25">
      <c r="A3366" s="1483" t="s">
        <v>2734</v>
      </c>
      <c r="B3366" s="1484"/>
      <c r="C3366" s="1500"/>
      <c r="D3366" s="1485" t="s">
        <v>2465</v>
      </c>
      <c r="E3366" s="1486">
        <f>AVERAGE(E3354:E3365)</f>
        <v>0.31116863558730973</v>
      </c>
      <c r="F3366" s="1487">
        <f>((((E3366*100)+100)-I3323)/100)</f>
        <v>0.33919263558730989</v>
      </c>
    </row>
    <row r="3367" spans="1:18" collapsed="1" x14ac:dyDescent="0.25">
      <c r="A3367" s="3799" t="s">
        <v>10405</v>
      </c>
      <c r="B3367" s="3800"/>
      <c r="C3367" s="3800"/>
      <c r="D3367" s="3800"/>
      <c r="E3367" s="18"/>
      <c r="F3367" s="186">
        <f>MAX(-10%,MIN(F3366,50%))</f>
        <v>0.33919263558730989</v>
      </c>
      <c r="G3367" s="415"/>
    </row>
    <row r="3369" spans="1:18" ht="12.75" hidden="1" customHeight="1" outlineLevel="1" x14ac:dyDescent="0.25">
      <c r="A3369" s="1677" t="s">
        <v>4156</v>
      </c>
      <c r="B3369" s="1677" t="s">
        <v>4153</v>
      </c>
      <c r="C3369" s="1305" t="s">
        <v>112</v>
      </c>
      <c r="D3369" s="1678" t="s">
        <v>4155</v>
      </c>
      <c r="E3369" s="1677" t="s">
        <v>4154</v>
      </c>
      <c r="F3369" s="1678" t="s">
        <v>2519</v>
      </c>
      <c r="G3369" s="12"/>
      <c r="H3369" s="415"/>
      <c r="I3369" s="412" t="s">
        <v>6964</v>
      </c>
      <c r="J3369" s="1462">
        <v>43983</v>
      </c>
      <c r="K3369" s="1462">
        <v>44013</v>
      </c>
      <c r="L3369" s="1462">
        <v>44044</v>
      </c>
      <c r="M3369" s="1462">
        <v>44075</v>
      </c>
      <c r="N3369" s="1462">
        <v>44105</v>
      </c>
      <c r="O3369" s="1462">
        <v>44136</v>
      </c>
      <c r="P3369" s="1462"/>
      <c r="Q3369" s="1462"/>
      <c r="R3369" s="1462"/>
    </row>
    <row r="3370" spans="1:18" ht="12.75" hidden="1" customHeight="1" outlineLevel="1" x14ac:dyDescent="0.25">
      <c r="A3370" s="134">
        <v>0.02</v>
      </c>
      <c r="B3370" s="151" t="s">
        <v>1176</v>
      </c>
      <c r="C3370" s="454">
        <v>34.395000000000003</v>
      </c>
      <c r="D3370" s="2737">
        <f>VLOOKUP(H3370,indexy!$C$44:$D$823,2,FALSE)</f>
        <v>42.92</v>
      </c>
      <c r="E3370" s="1466">
        <f>D3370/C3370-1</f>
        <v>0.24785579299316751</v>
      </c>
      <c r="F3370" s="1492">
        <f>E3370*A3370</f>
        <v>4.9571158598633504E-3</v>
      </c>
      <c r="G3370" s="415"/>
      <c r="H3370" s="415" t="str">
        <f>VLOOKUP(B3370,indexy!$A$44:$D$823,3,FALSE)</f>
        <v>AGS BB Equity</v>
      </c>
      <c r="I3370" s="412">
        <f>IF(J3370="",100,MIN(100,J3370:Y3370))</f>
        <v>92.472899999999996</v>
      </c>
      <c r="J3370">
        <v>96.873699999999999</v>
      </c>
      <c r="K3370">
        <v>95.884799999999998</v>
      </c>
      <c r="L3370">
        <v>92.472899999999996</v>
      </c>
      <c r="M3370">
        <v>92.891800000000003</v>
      </c>
      <c r="N3370">
        <v>105.8272</v>
      </c>
      <c r="O3370">
        <v>104.57250000000001</v>
      </c>
    </row>
    <row r="3371" spans="1:18" ht="12.75" hidden="1" customHeight="1" outlineLevel="1" x14ac:dyDescent="0.25">
      <c r="A3371" s="135">
        <v>0.02</v>
      </c>
      <c r="B3371" s="151" t="s">
        <v>802</v>
      </c>
      <c r="C3371" s="410">
        <v>6.9</v>
      </c>
      <c r="D3371" s="2738">
        <f>VLOOKUP(H3371,indexy!$C$44:$D$823,2,FALSE)</f>
        <v>19.690000000000001</v>
      </c>
      <c r="E3371" s="1463">
        <f>D3371/C3371-1</f>
        <v>1.853623188405797</v>
      </c>
      <c r="F3371" s="1494">
        <f t="shared" ref="F3371:F3394" si="85">E3371*A3371</f>
        <v>3.7072463768115939E-2</v>
      </c>
      <c r="G3371" s="415"/>
      <c r="H3371" s="415" t="str">
        <f>VLOOKUP(B3371,indexy!$A$44:$D$823,3,FALSE)</f>
        <v>NLY UN Equity</v>
      </c>
      <c r="I3371" s="422">
        <f>+(((E3413*100)+100)-I3370)/100</f>
        <v>0.38643963558730987</v>
      </c>
    </row>
    <row r="3372" spans="1:18" ht="12.75" hidden="1" customHeight="1" outlineLevel="1" x14ac:dyDescent="0.25">
      <c r="A3372" s="135">
        <v>0.02</v>
      </c>
      <c r="B3372" s="151" t="s">
        <v>2697</v>
      </c>
      <c r="C3372" s="410">
        <v>13.7235</v>
      </c>
      <c r="D3372" s="2738">
        <f>VLOOKUP(H3372,indexy!$C$44:$D$823,2,FALSE)</f>
        <v>23.46</v>
      </c>
      <c r="E3372" s="1463">
        <f t="shared" ref="E3372:E3399" si="86">D3372/C3372-1</f>
        <v>0.70947644551317102</v>
      </c>
      <c r="F3372" s="1494">
        <f t="shared" si="85"/>
        <v>1.418952891026342E-2</v>
      </c>
      <c r="G3372" s="415"/>
      <c r="H3372" s="415" t="str">
        <f>VLOOKUP(B3372,indexy!$A$44:$D$823,3,FALSE)</f>
        <v>G IM Equity</v>
      </c>
      <c r="J3372" s="434"/>
    </row>
    <row r="3373" spans="1:18" ht="12.75" hidden="1" customHeight="1" outlineLevel="1" x14ac:dyDescent="0.25">
      <c r="A3373" s="135">
        <v>0.05</v>
      </c>
      <c r="B3373" s="151" t="s">
        <v>5745</v>
      </c>
      <c r="C3373" s="410">
        <v>18.504999999999999</v>
      </c>
      <c r="D3373" s="2738">
        <f>VLOOKUP(H3373,indexy!$C$44:$D$823,2,FALSE)</f>
        <v>29.4</v>
      </c>
      <c r="E3373" s="1463">
        <f t="shared" si="86"/>
        <v>0.58875979465009465</v>
      </c>
      <c r="F3373" s="1494">
        <f t="shared" si="85"/>
        <v>2.9437989732504735E-2</v>
      </c>
      <c r="G3373" s="415"/>
      <c r="H3373" s="415" t="str">
        <f>VLOOKUP(B3373,indexy!$A$44:$D$823,3,FALSE)</f>
        <v>ANZ AT Equity</v>
      </c>
      <c r="J3373" s="434"/>
      <c r="K3373" s="37"/>
    </row>
    <row r="3374" spans="1:18" ht="12.75" hidden="1" customHeight="1" outlineLevel="1" x14ac:dyDescent="0.25">
      <c r="A3374" s="135">
        <v>0.02</v>
      </c>
      <c r="B3374" s="151" t="s">
        <v>218</v>
      </c>
      <c r="C3374" s="410">
        <v>18.426400000000001</v>
      </c>
      <c r="D3374" s="2738">
        <f>VLOOKUP(H3374,indexy!$C$44:$D$823,2,FALSE)</f>
        <v>34.814999999999998</v>
      </c>
      <c r="E3374" s="1463">
        <f t="shared" si="86"/>
        <v>0.88940867451048478</v>
      </c>
      <c r="F3374" s="1494">
        <f t="shared" si="85"/>
        <v>1.7788173490209697E-2</v>
      </c>
      <c r="G3374" s="415"/>
      <c r="H3374" s="415" t="str">
        <f>VLOOKUP(B3374,indexy!$A$44:$D$823,3,FALSE)</f>
        <v>CS FP Equity</v>
      </c>
      <c r="J3374" s="434"/>
    </row>
    <row r="3375" spans="1:18" ht="12.75" hidden="1" customHeight="1" outlineLevel="1" x14ac:dyDescent="0.25">
      <c r="A3375" s="135">
        <v>0.02</v>
      </c>
      <c r="B3375" s="151" t="s">
        <v>5748</v>
      </c>
      <c r="C3375" s="410">
        <v>56.088999999999999</v>
      </c>
      <c r="D3375" s="2738">
        <f>VLOOKUP(H3375,indexy!$C$44:$D$823,2,FALSE)</f>
        <v>70.069999999999993</v>
      </c>
      <c r="E3375" s="1463">
        <f t="shared" si="86"/>
        <v>0.24926456167876054</v>
      </c>
      <c r="F3375" s="1494">
        <f t="shared" si="85"/>
        <v>4.9852912335752106E-3</v>
      </c>
      <c r="G3375" s="415"/>
      <c r="H3375" s="415" t="str">
        <f>VLOOKUP(B3375,indexy!$A$44:$D$823,3,FALSE)</f>
        <v>BNS CT Equity</v>
      </c>
      <c r="J3375" s="434"/>
    </row>
    <row r="3376" spans="1:18" ht="12.75" hidden="1" customHeight="1" outlineLevel="1" x14ac:dyDescent="0.25">
      <c r="A3376" s="135">
        <v>0.05</v>
      </c>
      <c r="B3376" s="151" t="s">
        <v>807</v>
      </c>
      <c r="C3376" s="410">
        <v>56.2</v>
      </c>
      <c r="D3376" s="2738">
        <f>VLOOKUP(H3376,indexy!$C$44:$D$823,2,FALSE)</f>
        <v>46.03</v>
      </c>
      <c r="E3376" s="1463">
        <f t="shared" si="86"/>
        <v>-0.18096085409252671</v>
      </c>
      <c r="F3376" s="1494">
        <f t="shared" si="85"/>
        <v>-9.0480427046263356E-3</v>
      </c>
      <c r="G3376" s="415"/>
      <c r="H3376" s="415" t="str">
        <f>VLOOKUP(B3376,indexy!$A$44:$D$823,3,FALSE)</f>
        <v>BCE CT Equity</v>
      </c>
      <c r="J3376" s="434"/>
    </row>
    <row r="3377" spans="1:10" ht="12.75" hidden="1" customHeight="1" outlineLevel="1" x14ac:dyDescent="0.25">
      <c r="A3377" s="135">
        <v>0.02</v>
      </c>
      <c r="B3377" s="151" t="s">
        <v>3954</v>
      </c>
      <c r="C3377" s="410">
        <f>92.869/2</f>
        <v>46.4345</v>
      </c>
      <c r="D3377" s="2738">
        <f>VLOOKUP(H3377,indexy!$C$44:$D$823,2,FALSE)</f>
        <v>68.67</v>
      </c>
      <c r="E3377" s="1463">
        <f t="shared" si="86"/>
        <v>0.47885731514283569</v>
      </c>
      <c r="F3377" s="1494">
        <f t="shared" si="85"/>
        <v>9.5771463028567136E-3</v>
      </c>
      <c r="G3377" s="415"/>
      <c r="H3377" s="415" t="str">
        <f>VLOOKUP(B3377,indexy!$A$44:$D$823,3,FALSE)</f>
        <v>CM CT Equity</v>
      </c>
      <c r="J3377" s="434"/>
    </row>
    <row r="3378" spans="1:10" ht="12.75" hidden="1" customHeight="1" outlineLevel="1" x14ac:dyDescent="0.25">
      <c r="A3378" s="135">
        <v>0.02</v>
      </c>
      <c r="B3378" s="151" t="s">
        <v>7855</v>
      </c>
      <c r="C3378" s="410">
        <v>41.305999999999997</v>
      </c>
      <c r="D3378" s="2738">
        <f>VLOOKUP(H3378,indexy!$C$44:$D$823,2,FALSE)</f>
        <v>48.95</v>
      </c>
      <c r="E3378" s="1463">
        <f t="shared" si="86"/>
        <v>0.18505786084346121</v>
      </c>
      <c r="F3378" s="1494">
        <f t="shared" si="85"/>
        <v>3.701157216869224E-3</v>
      </c>
      <c r="G3378" s="415"/>
      <c r="H3378" s="415" t="str">
        <f>VLOOKUP(B3378,indexy!$A$44:$D$823,3,FALSE)</f>
        <v>ENB CT Equity</v>
      </c>
      <c r="J3378" s="434"/>
    </row>
    <row r="3379" spans="1:10" ht="12.75" hidden="1" customHeight="1" outlineLevel="1" x14ac:dyDescent="0.25">
      <c r="A3379" s="135">
        <v>0.08</v>
      </c>
      <c r="B3379" s="151" t="s">
        <v>9171</v>
      </c>
      <c r="C3379" s="410">
        <v>24.206</v>
      </c>
      <c r="D3379" s="2738">
        <f>VLOOKUP(H3379,indexy!$C$44:$D$823,2,FALSE)</f>
        <v>17.164999999999999</v>
      </c>
      <c r="E3379" s="1463">
        <f t="shared" si="86"/>
        <v>-0.2908782946376931</v>
      </c>
      <c r="F3379" s="1494">
        <f t="shared" si="85"/>
        <v>-2.327026357101545E-2</v>
      </c>
      <c r="G3379" s="415"/>
      <c r="H3379" s="415" t="str">
        <f>VLOOKUP(B3379,indexy!$A$44:$D$823,3,FALSE)</f>
        <v>ELE SQ Equity</v>
      </c>
      <c r="J3379" s="434"/>
    </row>
    <row r="3380" spans="1:10" ht="12.75" hidden="1" customHeight="1" outlineLevel="1" x14ac:dyDescent="0.25">
      <c r="A3380" s="135">
        <v>7.0000000000000007E-2</v>
      </c>
      <c r="B3380" s="151" t="s">
        <v>3021</v>
      </c>
      <c r="C3380" s="410">
        <v>8.7330000000000005</v>
      </c>
      <c r="D3380" s="2738">
        <f>VLOOKUP(H3380,indexy!$C$44:$D$823,2,FALSE)</f>
        <v>14.648</v>
      </c>
      <c r="E3380" s="1463">
        <f t="shared" si="86"/>
        <v>0.67731592808885832</v>
      </c>
      <c r="F3380" s="1494">
        <f t="shared" si="85"/>
        <v>4.7412114966220088E-2</v>
      </c>
      <c r="G3380" s="415"/>
      <c r="H3380" s="415" t="str">
        <f>VLOOKUP(B3380,indexy!$A$44:$D$823,3,FALSE)</f>
        <v>ENI IM Equity</v>
      </c>
      <c r="J3380" s="434"/>
    </row>
    <row r="3381" spans="1:10" ht="12.75" hidden="1" customHeight="1" outlineLevel="1" x14ac:dyDescent="0.25">
      <c r="A3381" s="135">
        <v>0.02</v>
      </c>
      <c r="B3381" s="151" t="s">
        <v>3799</v>
      </c>
      <c r="C3381" s="410">
        <v>16.186800000000002</v>
      </c>
      <c r="D3381" s="2738">
        <f>VLOOKUP(H3381,indexy!$C$44:$D$823,2,FALSE)/100</f>
        <v>17.085999999999999</v>
      </c>
      <c r="E3381" s="1463">
        <f t="shared" si="86"/>
        <v>5.5551436973336088E-2</v>
      </c>
      <c r="F3381" s="1494">
        <f t="shared" si="85"/>
        <v>1.1110287394667218E-3</v>
      </c>
      <c r="G3381" s="415"/>
      <c r="H3381" s="415" t="str">
        <f>VLOOKUP(B3381,indexy!$A$44:$D$823,3,FALSE)</f>
        <v>GSK LN Equity</v>
      </c>
      <c r="J3381" s="434"/>
    </row>
    <row r="3382" spans="1:10" ht="12.75" hidden="1" customHeight="1" outlineLevel="1" x14ac:dyDescent="0.25">
      <c r="A3382" s="135">
        <v>0.02</v>
      </c>
      <c r="B3382" s="151" t="s">
        <v>10427</v>
      </c>
      <c r="C3382" s="2740">
        <v>18.306999999999999</v>
      </c>
      <c r="D3382" s="2738">
        <f>VLOOKUP(H3382,indexy!$C$44:$D$823,2,FALSE)</f>
        <v>4.7</v>
      </c>
      <c r="E3382" s="1463">
        <f t="shared" si="86"/>
        <v>-0.74326760255639912</v>
      </c>
      <c r="F3382" s="1494">
        <f t="shared" si="85"/>
        <v>-1.4865352051127982E-2</v>
      </c>
      <c r="G3382" s="415"/>
      <c r="H3382" s="415" t="str">
        <f>VLOOKUP(B3382,indexy!$A$44:$D$823,3,FALSE)</f>
        <v>MPW UN Equity</v>
      </c>
      <c r="J3382" s="434"/>
    </row>
    <row r="3383" spans="1:10" ht="12.75" hidden="1" customHeight="1" outlineLevel="1" x14ac:dyDescent="0.25">
      <c r="A3383" s="135">
        <v>0.03</v>
      </c>
      <c r="B3383" s="151" t="s">
        <v>8336</v>
      </c>
      <c r="C3383" s="410">
        <v>18.071999999999999</v>
      </c>
      <c r="D3383" s="2738">
        <f>VLOOKUP(H3383,indexy!$C$44:$D$823,2,FALSE)</f>
        <v>34.64</v>
      </c>
      <c r="E3383" s="1463">
        <f t="shared" si="86"/>
        <v>0.91677733510402848</v>
      </c>
      <c r="F3383" s="1494">
        <f t="shared" si="85"/>
        <v>2.7503320053120853E-2</v>
      </c>
      <c r="G3383" s="415"/>
      <c r="H3383" s="415" t="str">
        <f>VLOOKUP(B3383,indexy!$A$44:$D$823,3,FALSE)</f>
        <v>NAB AT Equity</v>
      </c>
      <c r="J3383" s="434"/>
    </row>
    <row r="3384" spans="1:10" ht="12.75" hidden="1" customHeight="1" outlineLevel="1" x14ac:dyDescent="0.25">
      <c r="A3384" s="135">
        <v>0.02</v>
      </c>
      <c r="B3384" s="151" t="s">
        <v>2786</v>
      </c>
      <c r="C3384" s="410">
        <v>8.8122000000000007</v>
      </c>
      <c r="D3384" s="2738">
        <f>VLOOKUP(H3384,indexy!$C$44:$D$823,2,FALSE)/100</f>
        <v>10.66</v>
      </c>
      <c r="E3384" s="1463">
        <f t="shared" si="86"/>
        <v>0.20968657089035636</v>
      </c>
      <c r="F3384" s="1494">
        <f t="shared" si="85"/>
        <v>4.1937314178071275E-3</v>
      </c>
      <c r="G3384" s="415"/>
      <c r="H3384" s="415" t="str">
        <f>VLOOKUP(B3384,indexy!$A$44:$D$823,3,FALSE)</f>
        <v>NG/ LN Equity</v>
      </c>
      <c r="J3384" s="434"/>
    </row>
    <row r="3385" spans="1:10" ht="12.75" hidden="1" customHeight="1" outlineLevel="1" x14ac:dyDescent="0.25">
      <c r="A3385" s="135">
        <v>0.02</v>
      </c>
      <c r="B3385" s="151" t="s">
        <v>1203</v>
      </c>
      <c r="C3385" s="410">
        <v>68.581000000000003</v>
      </c>
      <c r="D3385" s="2738">
        <f>VLOOKUP(H3385,indexy!$C$44:$D$823,2,FALSE)</f>
        <v>119.2</v>
      </c>
      <c r="E3385" s="1463">
        <f t="shared" si="86"/>
        <v>0.73809072483632487</v>
      </c>
      <c r="F3385" s="1494">
        <f t="shared" si="85"/>
        <v>1.4761814496726498E-2</v>
      </c>
      <c r="G3385" s="415"/>
      <c r="H3385" s="415" t="str">
        <f>VLOOKUP(B3385,indexy!$A$44:$D$823,3,FALSE)</f>
        <v>NDA SS Equity</v>
      </c>
      <c r="J3385" s="434"/>
    </row>
    <row r="3386" spans="1:10" ht="12.75" hidden="1" customHeight="1" outlineLevel="1" x14ac:dyDescent="0.25">
      <c r="A3386" s="135">
        <v>0.08</v>
      </c>
      <c r="B3386" s="151" t="s">
        <v>5824</v>
      </c>
      <c r="C3386" s="410">
        <v>10.827</v>
      </c>
      <c r="D3386" s="2738">
        <f>VLOOKUP(H3386,indexy!$C$44:$D$823,2,FALSE)</f>
        <v>10.888</v>
      </c>
      <c r="E3386" s="1463">
        <f t="shared" si="86"/>
        <v>5.6340629906714845E-3</v>
      </c>
      <c r="F3386" s="1494">
        <f t="shared" si="85"/>
        <v>4.5072503925371878E-4</v>
      </c>
      <c r="G3386" s="415"/>
      <c r="H3386" s="415" t="str">
        <f>VLOOKUP(B3386,indexy!$A$44:$D$823,3,FALSE)</f>
        <v>ORA FP Equity</v>
      </c>
      <c r="J3386" s="434"/>
    </row>
    <row r="3387" spans="1:10" ht="12.75" hidden="1" customHeight="1" outlineLevel="1" x14ac:dyDescent="0.25">
      <c r="A3387" s="135">
        <v>0.02</v>
      </c>
      <c r="B3387" s="151" t="s">
        <v>10429</v>
      </c>
      <c r="C3387" s="410">
        <v>24.187000000000001</v>
      </c>
      <c r="D3387" s="2738">
        <f>VLOOKUP(H3387,indexy!$C$44:$D$823,2,FALSE)</f>
        <v>37.979999999999997</v>
      </c>
      <c r="E3387" s="1463">
        <f t="shared" si="86"/>
        <v>0.5702650183983129</v>
      </c>
      <c r="F3387" s="1494">
        <f t="shared" si="85"/>
        <v>1.1405300367966258E-2</v>
      </c>
      <c r="G3387" s="415"/>
      <c r="H3387" s="415" t="str">
        <f>VLOOKUP(B3387,indexy!$A$44:$D$823,3,FALSE)</f>
        <v>POW CT Equity</v>
      </c>
      <c r="J3387" s="434"/>
    </row>
    <row r="3388" spans="1:10" ht="12.75" hidden="1" customHeight="1" outlineLevel="1" x14ac:dyDescent="0.25">
      <c r="A3388" s="135">
        <v>0.02</v>
      </c>
      <c r="B3388" s="151" t="s">
        <v>2769</v>
      </c>
      <c r="C3388" s="410">
        <v>25.486000000000001</v>
      </c>
      <c r="D3388" s="2738">
        <f>VLOOKUP(H3388,indexy!$C$44:$D$823,2,FALSE)</f>
        <v>27.53</v>
      </c>
      <c r="E3388" s="1463">
        <f t="shared" si="86"/>
        <v>8.0200894608804862E-2</v>
      </c>
      <c r="F3388" s="1494">
        <f t="shared" si="85"/>
        <v>1.6040178921760972E-3</v>
      </c>
      <c r="G3388" s="415"/>
      <c r="H3388" s="415" t="str">
        <f>VLOOKUP(B3388,indexy!$A$44:$D$823,3,FALSE)</f>
        <v>PPL UN Equity</v>
      </c>
      <c r="J3388" s="434"/>
    </row>
    <row r="3389" spans="1:10" ht="12.75" hidden="1" customHeight="1" outlineLevel="1" x14ac:dyDescent="0.25">
      <c r="A3389" s="135">
        <v>0.03</v>
      </c>
      <c r="B3389" s="151" t="s">
        <v>5629</v>
      </c>
      <c r="C3389" s="410">
        <v>16.962</v>
      </c>
      <c r="D3389" s="2738">
        <f>VLOOKUP(H3389,indexy!$C$44:$D$823,2,FALSE)</f>
        <v>15.805</v>
      </c>
      <c r="E3389" s="1463">
        <f t="shared" si="86"/>
        <v>-6.8211295837754982E-2</v>
      </c>
      <c r="F3389" s="1494">
        <f t="shared" si="85"/>
        <v>-2.0463388751326495E-3</v>
      </c>
      <c r="G3389" s="415"/>
      <c r="H3389" s="415" t="str">
        <f>VLOOKUP(B3389,indexy!$A$44:$D$823,3,FALSE)</f>
        <v>REE SQ Equity</v>
      </c>
      <c r="J3389" s="434"/>
    </row>
    <row r="3390" spans="1:10" ht="12.75" hidden="1" customHeight="1" outlineLevel="1" x14ac:dyDescent="0.25">
      <c r="A3390" s="135">
        <v>0.02</v>
      </c>
      <c r="B3390" s="151" t="s">
        <v>5205</v>
      </c>
      <c r="C3390" s="410">
        <v>12.8622</v>
      </c>
      <c r="D3390" s="2738">
        <f>VLOOKUP(H3390,indexy!$C$44:$D$823,2,FALSE)/100</f>
        <v>18.952000000000002</v>
      </c>
      <c r="E3390" s="1463">
        <f t="shared" si="86"/>
        <v>0.47346488159101874</v>
      </c>
      <c r="F3390" s="1494">
        <f t="shared" si="85"/>
        <v>9.4692976318203753E-3</v>
      </c>
      <c r="G3390" s="415"/>
      <c r="H3390" s="415" t="str">
        <f>VLOOKUP(B3390,indexy!$A$44:$D$823,3,FALSE)</f>
        <v>RDSA LN Equity</v>
      </c>
      <c r="J3390" s="434"/>
    </row>
    <row r="3391" spans="1:10" ht="12.75" hidden="1" customHeight="1" outlineLevel="1" x14ac:dyDescent="0.25">
      <c r="A3391" s="135">
        <v>0.02</v>
      </c>
      <c r="B3391" s="151" t="s">
        <v>6270</v>
      </c>
      <c r="C3391" s="410">
        <v>32.976999999999997</v>
      </c>
      <c r="D3391" s="2738">
        <f>VLOOKUP(H3391,indexy!$C$44:$D$823,2,FALSE)</f>
        <v>39.515000000000001</v>
      </c>
      <c r="E3391" s="1463">
        <f t="shared" si="86"/>
        <v>0.19825939291021033</v>
      </c>
      <c r="F3391" s="1494">
        <f t="shared" si="85"/>
        <v>3.9651878582042067E-3</v>
      </c>
      <c r="G3391" s="415"/>
      <c r="H3391" s="415" t="str">
        <f>VLOOKUP(B3391,indexy!$A$44:$D$823,3,FALSE)</f>
        <v>SAMPO FH Equity</v>
      </c>
      <c r="J3391" s="434"/>
    </row>
    <row r="3392" spans="1:10" ht="12.75" hidden="1" customHeight="1" outlineLevel="1" x14ac:dyDescent="0.25">
      <c r="A3392" s="135">
        <v>0.05</v>
      </c>
      <c r="B3392" s="151" t="s">
        <v>6116</v>
      </c>
      <c r="C3392" s="410">
        <v>4.5800999999999998</v>
      </c>
      <c r="D3392" s="2738">
        <f>VLOOKUP(H3392,indexy!$C$44:$D$823,2,FALSE)</f>
        <v>4.3760000000000003</v>
      </c>
      <c r="E3392" s="1463">
        <f t="shared" si="86"/>
        <v>-4.4562345800309933E-2</v>
      </c>
      <c r="F3392" s="1494">
        <f t="shared" si="85"/>
        <v>-2.2281172900154968E-3</v>
      </c>
      <c r="G3392" s="415"/>
      <c r="H3392" s="415" t="str">
        <f>VLOOKUP(B3392,indexy!$A$44:$D$823,3,FALSE)</f>
        <v>SRG IM Equity</v>
      </c>
      <c r="J3392" s="434"/>
    </row>
    <row r="3393" spans="1:10" ht="12.75" hidden="1" customHeight="1" outlineLevel="1" x14ac:dyDescent="0.25">
      <c r="A3393" s="135">
        <v>0.02</v>
      </c>
      <c r="B3393" s="151" t="s">
        <v>1857</v>
      </c>
      <c r="C3393" s="410">
        <v>13.728999999999999</v>
      </c>
      <c r="D3393" s="2738">
        <f>VLOOKUP(H3393,indexy!$C$44:$D$823,2,FALSE)/100</f>
        <v>16.5</v>
      </c>
      <c r="E3393" s="1463">
        <f t="shared" si="86"/>
        <v>0.20183553062859638</v>
      </c>
      <c r="F3393" s="1494">
        <f t="shared" si="85"/>
        <v>4.0367106125719279E-3</v>
      </c>
      <c r="G3393" s="415"/>
      <c r="H3393" s="415" t="str">
        <f>VLOOKUP(B3393,indexy!$A$44:$D$823,3,FALSE)</f>
        <v>SSE LN Equity</v>
      </c>
      <c r="J3393" s="434"/>
    </row>
    <row r="3394" spans="1:10" ht="12.75" hidden="1" customHeight="1" outlineLevel="1" x14ac:dyDescent="0.25">
      <c r="A3394" s="135">
        <v>0.02</v>
      </c>
      <c r="B3394" s="151" t="s">
        <v>6527</v>
      </c>
      <c r="C3394" s="410">
        <v>90.298000000000002</v>
      </c>
      <c r="D3394" s="2738">
        <f>VLOOKUP(H3394,indexy!$C$44:$D$823,2,FALSE)</f>
        <v>108.25</v>
      </c>
      <c r="E3394" s="1463">
        <f t="shared" si="86"/>
        <v>0.19880838999756367</v>
      </c>
      <c r="F3394" s="1494">
        <f t="shared" si="85"/>
        <v>3.9761677999512737E-3</v>
      </c>
      <c r="G3394" s="415"/>
      <c r="H3394" s="415" t="str">
        <f>VLOOKUP(B3394,indexy!$A$44:$D$823,3,FALSE)</f>
        <v>SHBA SS Equity</v>
      </c>
      <c r="J3394" s="434"/>
    </row>
    <row r="3395" spans="1:10" ht="12.75" hidden="1" customHeight="1" outlineLevel="1" x14ac:dyDescent="0.25">
      <c r="A3395" s="135">
        <v>0.08</v>
      </c>
      <c r="B3395" s="151" t="s">
        <v>6118</v>
      </c>
      <c r="C3395" s="410">
        <v>75.707999999999998</v>
      </c>
      <c r="D3395" s="2738">
        <f>VLOOKUP(H3395,indexy!$C$44:$D$823,2,FALSE)</f>
        <v>115.95</v>
      </c>
      <c r="E3395" s="1463">
        <f t="shared" si="86"/>
        <v>0.53154224124266936</v>
      </c>
      <c r="F3395" s="1494">
        <f>E3395*A3395</f>
        <v>4.252337929941355E-2</v>
      </c>
      <c r="G3395" s="415"/>
      <c r="H3395" s="415" t="str">
        <f>VLOOKUP(B3395,indexy!$A$44:$D$823,3,FALSE)</f>
        <v>SREN SE Equity</v>
      </c>
      <c r="J3395" s="434"/>
    </row>
    <row r="3396" spans="1:10" ht="12.75" hidden="1" customHeight="1" outlineLevel="1" x14ac:dyDescent="0.25">
      <c r="A3396" s="135">
        <v>0.02</v>
      </c>
      <c r="B3396" s="151" t="s">
        <v>434</v>
      </c>
      <c r="C3396" s="410">
        <v>35.494999999999997</v>
      </c>
      <c r="D3396" s="2738">
        <f>VLOOKUP(H3396,indexy!$C$44:$D$946,2,FALSE)</f>
        <v>27.43</v>
      </c>
      <c r="E3396" s="1463">
        <f t="shared" si="86"/>
        <v>-0.227215100718411</v>
      </c>
      <c r="F3396" s="1494">
        <f>E3396*A3396</f>
        <v>-4.5443020143682202E-3</v>
      </c>
      <c r="G3396" s="415"/>
      <c r="H3396" s="415" t="str">
        <f>VLOOKUP(B3396,indexy!$A$44:$D$946,3,FALSE)</f>
        <v>TELIA SS Equity</v>
      </c>
      <c r="J3396" s="434"/>
    </row>
    <row r="3397" spans="1:10" ht="12.75" hidden="1" customHeight="1" outlineLevel="1" x14ac:dyDescent="0.25">
      <c r="A3397" s="135">
        <v>0.02</v>
      </c>
      <c r="B3397" s="151" t="s">
        <v>10633</v>
      </c>
      <c r="C3397" s="410">
        <v>33.646999999999998</v>
      </c>
      <c r="D3397" s="2738">
        <f>VLOOKUP(H3397,indexy!$C$44:$D$823,2,FALSE)</f>
        <v>63.47</v>
      </c>
      <c r="E3397" s="1463">
        <f t="shared" si="86"/>
        <v>0.88634945165988066</v>
      </c>
      <c r="F3397" s="1494">
        <f>E3397*A3397</f>
        <v>1.7726989033197613E-2</v>
      </c>
      <c r="G3397" s="415"/>
      <c r="H3397" s="415" t="str">
        <f>VLOOKUP(B3397,indexy!$A$44:$D$823,3,FALSE)</f>
        <v>TTE FP Equity</v>
      </c>
      <c r="J3397" s="434"/>
    </row>
    <row r="3398" spans="1:10" ht="12.75" hidden="1" customHeight="1" outlineLevel="1" x14ac:dyDescent="0.25">
      <c r="A3398" s="135">
        <v>0.02</v>
      </c>
      <c r="B3398" s="151" t="s">
        <v>5626</v>
      </c>
      <c r="C3398" s="410">
        <v>17.885999999999999</v>
      </c>
      <c r="D3398" s="2738">
        <f>VLOOKUP(H3398,indexy!$C$44:$D$823,2,FALSE)</f>
        <v>26.1</v>
      </c>
      <c r="E3398" s="1463">
        <f t="shared" si="86"/>
        <v>0.45924186514592424</v>
      </c>
      <c r="F3398" s="1494">
        <f>E3398*A3398</f>
        <v>9.1848373029184849E-3</v>
      </c>
      <c r="G3398" s="415"/>
      <c r="H3398" s="415" t="str">
        <f>VLOOKUP(B3398,indexy!$A$44:$D$823,3,FALSE)</f>
        <v>WBC AT Equity</v>
      </c>
      <c r="J3398" s="434"/>
    </row>
    <row r="3399" spans="1:10" ht="12.75" hidden="1" customHeight="1" outlineLevel="1" x14ac:dyDescent="0.25">
      <c r="A3399" s="135">
        <v>0.08</v>
      </c>
      <c r="B3399" s="2736" t="s">
        <v>4550</v>
      </c>
      <c r="C3399" s="2741">
        <v>345.83</v>
      </c>
      <c r="D3399" s="2739">
        <f>VLOOKUP(H3399,indexy!$C$44:$D$823,2,FALSE)</f>
        <v>486.3</v>
      </c>
      <c r="E3399" s="1463">
        <f t="shared" si="86"/>
        <v>0.40618222826244121</v>
      </c>
      <c r="F3399" s="1494">
        <f>E3399*A3399</f>
        <v>3.2494578260995298E-2</v>
      </c>
      <c r="G3399" s="415"/>
      <c r="H3399" s="415" t="str">
        <f>VLOOKUP(B3399,indexy!$A$44:$D$823,3,FALSE)</f>
        <v>ZURN SE Equity</v>
      </c>
      <c r="J3399" s="434"/>
    </row>
    <row r="3400" spans="1:10" ht="12.75" hidden="1" customHeight="1" outlineLevel="1" x14ac:dyDescent="0.25">
      <c r="A3400" s="1475" t="s">
        <v>2734</v>
      </c>
      <c r="B3400" s="150"/>
      <c r="C3400" s="1477">
        <v>100</v>
      </c>
      <c r="D3400" s="1477"/>
      <c r="E3400" s="1599"/>
      <c r="F3400" s="1599">
        <f>SUM(F3370:F3399)</f>
        <v>0.29752565077978227</v>
      </c>
      <c r="G3400" s="415"/>
      <c r="H3400" s="415"/>
    </row>
    <row r="3401" spans="1:10" ht="12.75" hidden="1" customHeight="1" outlineLevel="1" x14ac:dyDescent="0.25">
      <c r="A3401" s="221"/>
      <c r="B3401" s="1478">
        <v>46204</v>
      </c>
      <c r="C3401" s="1497">
        <v>100</v>
      </c>
      <c r="D3401" s="1497"/>
      <c r="E3401" s="1498">
        <f>IF(D3401="",$F$3353,D3401/C3401-1)</f>
        <v>0.31116863558730967</v>
      </c>
      <c r="F3401" s="1499"/>
      <c r="G3401" s="415"/>
      <c r="H3401" s="415"/>
    </row>
    <row r="3402" spans="1:10" ht="12.75" hidden="1" customHeight="1" outlineLevel="1" x14ac:dyDescent="0.25">
      <c r="A3402" s="221"/>
      <c r="B3402" s="1478">
        <v>46235</v>
      </c>
      <c r="C3402" s="1497">
        <v>100</v>
      </c>
      <c r="D3402" s="1500"/>
      <c r="E3402" s="1498">
        <f t="shared" ref="E3402:E3412" si="87">IF(D3402="",$F$3353,D3402/C3402-1)</f>
        <v>0.31116863558730967</v>
      </c>
      <c r="F3402" s="1499"/>
      <c r="G3402" s="415"/>
      <c r="H3402" s="415"/>
    </row>
    <row r="3403" spans="1:10" ht="12.75" hidden="1" customHeight="1" outlineLevel="1" x14ac:dyDescent="0.25">
      <c r="A3403" s="221"/>
      <c r="B3403" s="1478">
        <v>46266</v>
      </c>
      <c r="C3403" s="1497">
        <v>100</v>
      </c>
      <c r="D3403" s="1500"/>
      <c r="E3403" s="1498">
        <f t="shared" si="87"/>
        <v>0.31116863558730967</v>
      </c>
      <c r="F3403" s="1499"/>
      <c r="G3403" s="415"/>
      <c r="H3403" s="415"/>
    </row>
    <row r="3404" spans="1:10" ht="12.75" hidden="1" customHeight="1" outlineLevel="1" x14ac:dyDescent="0.25">
      <c r="A3404" s="221"/>
      <c r="B3404" s="1478">
        <v>46296</v>
      </c>
      <c r="C3404" s="1497">
        <v>100</v>
      </c>
      <c r="D3404" s="1500"/>
      <c r="E3404" s="1498">
        <f t="shared" si="87"/>
        <v>0.31116863558730967</v>
      </c>
      <c r="F3404" s="1499"/>
      <c r="G3404" s="415"/>
      <c r="H3404" s="415"/>
    </row>
    <row r="3405" spans="1:10" ht="12.75" hidden="1" customHeight="1" outlineLevel="1" x14ac:dyDescent="0.25">
      <c r="A3405" s="221"/>
      <c r="B3405" s="1478">
        <v>46327</v>
      </c>
      <c r="C3405" s="1497">
        <v>100</v>
      </c>
      <c r="D3405" s="1500"/>
      <c r="E3405" s="1498">
        <f t="shared" si="87"/>
        <v>0.31116863558730967</v>
      </c>
      <c r="F3405" s="1499"/>
      <c r="G3405" s="415"/>
      <c r="H3405" s="415"/>
    </row>
    <row r="3406" spans="1:10" ht="12.75" hidden="1" customHeight="1" outlineLevel="1" x14ac:dyDescent="0.25">
      <c r="A3406" s="221"/>
      <c r="B3406" s="1478">
        <v>46357</v>
      </c>
      <c r="C3406" s="1497">
        <v>100</v>
      </c>
      <c r="D3406" s="1500"/>
      <c r="E3406" s="1498">
        <f t="shared" si="87"/>
        <v>0.31116863558730967</v>
      </c>
      <c r="F3406" s="1499"/>
      <c r="G3406" s="415"/>
      <c r="H3406" s="415"/>
    </row>
    <row r="3407" spans="1:10" ht="12.75" hidden="1" customHeight="1" outlineLevel="1" x14ac:dyDescent="0.25">
      <c r="A3407" s="221"/>
      <c r="B3407" s="1478">
        <v>46388</v>
      </c>
      <c r="C3407" s="1497">
        <v>100</v>
      </c>
      <c r="D3407" s="1500"/>
      <c r="E3407" s="1498">
        <f t="shared" si="87"/>
        <v>0.31116863558730967</v>
      </c>
      <c r="F3407" s="1499"/>
      <c r="G3407" s="415"/>
      <c r="H3407" s="415"/>
    </row>
    <row r="3408" spans="1:10" ht="12.75" hidden="1" customHeight="1" outlineLevel="1" x14ac:dyDescent="0.25">
      <c r="A3408" s="221"/>
      <c r="B3408" s="1478">
        <v>46419</v>
      </c>
      <c r="C3408" s="1497">
        <v>100</v>
      </c>
      <c r="D3408" s="1500"/>
      <c r="E3408" s="1498">
        <f t="shared" si="87"/>
        <v>0.31116863558730967</v>
      </c>
      <c r="F3408" s="1499"/>
      <c r="G3408" s="415"/>
      <c r="H3408" s="415"/>
    </row>
    <row r="3409" spans="1:18" ht="12.75" hidden="1" customHeight="1" outlineLevel="1" x14ac:dyDescent="0.25">
      <c r="A3409" s="221"/>
      <c r="B3409" s="1478">
        <v>46447</v>
      </c>
      <c r="C3409" s="1497">
        <v>100</v>
      </c>
      <c r="D3409" s="1500"/>
      <c r="E3409" s="1498">
        <f t="shared" si="87"/>
        <v>0.31116863558730967</v>
      </c>
      <c r="F3409" s="1499"/>
      <c r="G3409" s="415"/>
      <c r="H3409" s="415"/>
    </row>
    <row r="3410" spans="1:18" ht="12.75" hidden="1" customHeight="1" outlineLevel="1" x14ac:dyDescent="0.25">
      <c r="A3410" s="221"/>
      <c r="B3410" s="1478">
        <v>46478</v>
      </c>
      <c r="C3410" s="1497">
        <v>100</v>
      </c>
      <c r="D3410" s="1500"/>
      <c r="E3410" s="1498">
        <f t="shared" si="87"/>
        <v>0.31116863558730967</v>
      </c>
      <c r="F3410" s="1499"/>
      <c r="G3410" s="415"/>
      <c r="H3410" s="415"/>
    </row>
    <row r="3411" spans="1:18" ht="12.75" hidden="1" customHeight="1" outlineLevel="1" x14ac:dyDescent="0.25">
      <c r="A3411" s="221"/>
      <c r="B3411" s="1478">
        <v>46508</v>
      </c>
      <c r="C3411" s="1497">
        <v>100</v>
      </c>
      <c r="D3411" s="1500"/>
      <c r="E3411" s="1498">
        <f t="shared" si="87"/>
        <v>0.31116863558730967</v>
      </c>
      <c r="F3411" s="1499"/>
      <c r="G3411" s="415"/>
      <c r="H3411" s="415"/>
    </row>
    <row r="3412" spans="1:18" ht="12.75" hidden="1" customHeight="1" outlineLevel="1" x14ac:dyDescent="0.25">
      <c r="A3412" s="221"/>
      <c r="B3412" s="1478">
        <v>46539</v>
      </c>
      <c r="C3412" s="1497">
        <v>100</v>
      </c>
      <c r="D3412" s="1500"/>
      <c r="E3412" s="1498">
        <f t="shared" si="87"/>
        <v>0.31116863558730967</v>
      </c>
      <c r="F3412" s="1499"/>
      <c r="G3412" s="415"/>
      <c r="H3412" s="415"/>
    </row>
    <row r="3413" spans="1:18" s="444" customFormat="1" ht="12.75" hidden="1" customHeight="1" outlineLevel="1" x14ac:dyDescent="0.25">
      <c r="A3413" s="1483" t="s">
        <v>2734</v>
      </c>
      <c r="B3413" s="1484"/>
      <c r="C3413" s="1500"/>
      <c r="D3413" s="1485" t="s">
        <v>2465</v>
      </c>
      <c r="E3413" s="1486">
        <f>AVERAGE(E3401:E3412)</f>
        <v>0.31116863558730973</v>
      </c>
      <c r="F3413" s="1487">
        <f>((((E3413*100)+100)-I3370)/100)</f>
        <v>0.38643963558730987</v>
      </c>
    </row>
    <row r="3414" spans="1:18" collapsed="1" x14ac:dyDescent="0.25">
      <c r="A3414" s="3799" t="s">
        <v>10406</v>
      </c>
      <c r="B3414" s="3800"/>
      <c r="C3414" s="3800"/>
      <c r="D3414" s="3800"/>
      <c r="E3414" s="18"/>
      <c r="F3414" s="186">
        <f>MAX(-10%,MIN(F3413,50%))</f>
        <v>0.38643963558730987</v>
      </c>
      <c r="G3414" s="415"/>
    </row>
    <row r="3416" spans="1:18" ht="12.75" hidden="1" customHeight="1" outlineLevel="1" x14ac:dyDescent="0.25">
      <c r="A3416" s="1677" t="s">
        <v>4156</v>
      </c>
      <c r="B3416" s="1677" t="s">
        <v>4153</v>
      </c>
      <c r="C3416" s="1305" t="s">
        <v>112</v>
      </c>
      <c r="D3416" s="1678" t="s">
        <v>4155</v>
      </c>
      <c r="E3416" s="1677" t="s">
        <v>4154</v>
      </c>
      <c r="F3416" s="1678" t="s">
        <v>2519</v>
      </c>
      <c r="G3416" s="12"/>
      <c r="H3416" s="415"/>
      <c r="I3416" s="412" t="s">
        <v>6964</v>
      </c>
      <c r="J3416" s="1462">
        <v>44075</v>
      </c>
      <c r="K3416" s="1462">
        <v>44105</v>
      </c>
      <c r="L3416" s="1462">
        <v>44136</v>
      </c>
      <c r="M3416" s="1462">
        <v>44166</v>
      </c>
      <c r="N3416" s="1462">
        <v>44197</v>
      </c>
      <c r="O3416" s="1462">
        <v>44228</v>
      </c>
      <c r="P3416" s="1462"/>
      <c r="Q3416" s="1462"/>
      <c r="R3416" s="1462"/>
    </row>
    <row r="3417" spans="1:18" ht="12.75" hidden="1" customHeight="1" outlineLevel="1" x14ac:dyDescent="0.25">
      <c r="A3417" s="134">
        <v>0.02</v>
      </c>
      <c r="B3417" s="151" t="s">
        <v>1176</v>
      </c>
      <c r="C3417" s="454">
        <v>37.229999999999997</v>
      </c>
      <c r="D3417" s="2737">
        <f>VLOOKUP(H3417,indexy!$C$44:$D$823,2,FALSE)</f>
        <v>42.92</v>
      </c>
      <c r="E3417" s="1466">
        <f>D3417/C3417-1</f>
        <v>0.15283373623421981</v>
      </c>
      <c r="F3417" s="1492">
        <f>E3417*A3417</f>
        <v>3.0566747246843964E-3</v>
      </c>
      <c r="G3417" s="415"/>
      <c r="H3417" s="415" t="str">
        <f>VLOOKUP(B3417,indexy!$A$44:$D$823,3,FALSE)</f>
        <v>AGS BB Equity</v>
      </c>
      <c r="I3417" s="412">
        <f>IF(J3417="",100,MIN(100,J3417:Y3417))</f>
        <v>93.768600000000006</v>
      </c>
      <c r="J3417">
        <v>97.3339</v>
      </c>
      <c r="K3417">
        <v>93.768600000000006</v>
      </c>
      <c r="L3417">
        <v>94.237399999999994</v>
      </c>
      <c r="M3417">
        <v>107.5033</v>
      </c>
      <c r="N3417">
        <v>106.1778</v>
      </c>
      <c r="O3417">
        <v>105.432</v>
      </c>
    </row>
    <row r="3418" spans="1:18" ht="12.75" hidden="1" customHeight="1" outlineLevel="1" x14ac:dyDescent="0.25">
      <c r="A3418" s="135">
        <v>0.02</v>
      </c>
      <c r="B3418" s="151" t="s">
        <v>802</v>
      </c>
      <c r="C3418" s="410">
        <v>7.4550000000000001</v>
      </c>
      <c r="D3418" s="2738">
        <f>VLOOKUP(H3418,indexy!$C$44:$D$823,2,FALSE)</f>
        <v>19.690000000000001</v>
      </c>
      <c r="E3418" s="1463">
        <f>D3418/C3418-1</f>
        <v>1.6411804158283032</v>
      </c>
      <c r="F3418" s="1494">
        <f t="shared" ref="F3418:F3441" si="88">E3418*A3418</f>
        <v>3.2823608316566062E-2</v>
      </c>
      <c r="G3418" s="415"/>
      <c r="H3418" s="415" t="str">
        <f>VLOOKUP(B3418,indexy!$A$44:$D$823,3,FALSE)</f>
        <v>NLY UN Equity</v>
      </c>
      <c r="I3418" s="422">
        <f>+(((E3460*100)+100)-I3417)/100</f>
        <v>0.38260254970555635</v>
      </c>
    </row>
    <row r="3419" spans="1:18" ht="12.75" hidden="1" customHeight="1" outlineLevel="1" x14ac:dyDescent="0.25">
      <c r="A3419" s="135">
        <v>0.02</v>
      </c>
      <c r="B3419" s="151" t="s">
        <v>2697</v>
      </c>
      <c r="C3419" s="410">
        <v>13.032</v>
      </c>
      <c r="D3419" s="2738">
        <f>VLOOKUP(H3419,indexy!$C$44:$D$823,2,FALSE)</f>
        <v>23.46</v>
      </c>
      <c r="E3419" s="1463">
        <f t="shared" ref="E3419:E3446" si="89">D3419/C3419-1</f>
        <v>0.80018416206261511</v>
      </c>
      <c r="F3419" s="1494">
        <f t="shared" si="88"/>
        <v>1.6003683241252304E-2</v>
      </c>
      <c r="G3419" s="415"/>
      <c r="H3419" s="415" t="str">
        <f>VLOOKUP(B3419,indexy!$A$44:$D$823,3,FALSE)</f>
        <v>G IM Equity</v>
      </c>
      <c r="J3419" s="434"/>
    </row>
    <row r="3420" spans="1:18" ht="12.75" hidden="1" customHeight="1" outlineLevel="1" x14ac:dyDescent="0.25">
      <c r="A3420" s="135">
        <v>0.05</v>
      </c>
      <c r="B3420" s="151" t="s">
        <v>5745</v>
      </c>
      <c r="C3420" s="410">
        <v>18.388000000000002</v>
      </c>
      <c r="D3420" s="2738">
        <f>VLOOKUP(H3420,indexy!$C$44:$D$823,2,FALSE)</f>
        <v>29.4</v>
      </c>
      <c r="E3420" s="1463">
        <f t="shared" si="89"/>
        <v>0.59886882749619286</v>
      </c>
      <c r="F3420" s="1494">
        <f t="shared" si="88"/>
        <v>2.9943441374809643E-2</v>
      </c>
      <c r="G3420" s="415"/>
      <c r="H3420" s="415" t="str">
        <f>VLOOKUP(B3420,indexy!$A$44:$D$823,3,FALSE)</f>
        <v>ANZ AT Equity</v>
      </c>
      <c r="J3420" s="434"/>
      <c r="K3420" s="37"/>
    </row>
    <row r="3421" spans="1:18" ht="12.75" hidden="1" customHeight="1" outlineLevel="1" x14ac:dyDescent="0.25">
      <c r="A3421" s="135">
        <v>0.02</v>
      </c>
      <c r="B3421" s="151" t="s">
        <v>218</v>
      </c>
      <c r="C3421" s="410">
        <v>17.512599999999999</v>
      </c>
      <c r="D3421" s="2738">
        <f>VLOOKUP(H3421,indexy!$C$44:$D$823,2,FALSE)</f>
        <v>34.814999999999998</v>
      </c>
      <c r="E3421" s="1463">
        <f t="shared" si="89"/>
        <v>0.98799721343489821</v>
      </c>
      <c r="F3421" s="1494">
        <f t="shared" si="88"/>
        <v>1.9759944268697965E-2</v>
      </c>
      <c r="G3421" s="415"/>
      <c r="H3421" s="415" t="str">
        <f>VLOOKUP(B3421,indexy!$A$44:$D$823,3,FALSE)</f>
        <v>CS FP Equity</v>
      </c>
      <c r="J3421" s="434"/>
    </row>
    <row r="3422" spans="1:18" ht="12.75" hidden="1" customHeight="1" outlineLevel="1" x14ac:dyDescent="0.25">
      <c r="A3422" s="135">
        <v>0.02</v>
      </c>
      <c r="B3422" s="151" t="s">
        <v>5748</v>
      </c>
      <c r="C3422" s="410">
        <v>57.445</v>
      </c>
      <c r="D3422" s="2738">
        <f>VLOOKUP(H3422,indexy!$C$44:$D$823,2,FALSE)</f>
        <v>70.069999999999993</v>
      </c>
      <c r="E3422" s="1463">
        <f t="shared" si="89"/>
        <v>0.21977543737488014</v>
      </c>
      <c r="F3422" s="1494">
        <f t="shared" si="88"/>
        <v>4.3955087474976031E-3</v>
      </c>
      <c r="G3422" s="415"/>
      <c r="H3422" s="415" t="str">
        <f>VLOOKUP(B3422,indexy!$A$44:$D$823,3,FALSE)</f>
        <v>BNS CT Equity</v>
      </c>
      <c r="J3422" s="434"/>
    </row>
    <row r="3423" spans="1:18" ht="12.75" hidden="1" customHeight="1" outlineLevel="1" x14ac:dyDescent="0.25">
      <c r="A3423" s="135">
        <v>0.05</v>
      </c>
      <c r="B3423" s="151" t="s">
        <v>807</v>
      </c>
      <c r="C3423" s="410">
        <v>56.920999999999999</v>
      </c>
      <c r="D3423" s="2738">
        <f>VLOOKUP(H3423,indexy!$C$44:$D$823,2,FALSE)</f>
        <v>46.03</v>
      </c>
      <c r="E3423" s="1463">
        <f t="shared" si="89"/>
        <v>-0.19133535953338832</v>
      </c>
      <c r="F3423" s="1494">
        <f t="shared" si="88"/>
        <v>-9.5667679766694158E-3</v>
      </c>
      <c r="G3423" s="415"/>
      <c r="H3423" s="415" t="str">
        <f>VLOOKUP(B3423,indexy!$A$44:$D$823,3,FALSE)</f>
        <v>BCE CT Equity</v>
      </c>
      <c r="J3423" s="434"/>
    </row>
    <row r="3424" spans="1:18" ht="12.75" hidden="1" customHeight="1" outlineLevel="1" x14ac:dyDescent="0.25">
      <c r="A3424" s="135">
        <v>0.02</v>
      </c>
      <c r="B3424" s="151" t="s">
        <v>3954</v>
      </c>
      <c r="C3424" s="410">
        <f>96.861/2</f>
        <v>48.430500000000002</v>
      </c>
      <c r="D3424" s="2738">
        <f>VLOOKUP(H3424,indexy!$C$44:$D$823,2,FALSE)</f>
        <v>68.67</v>
      </c>
      <c r="E3424" s="1463">
        <f t="shared" si="89"/>
        <v>0.4179081364016477</v>
      </c>
      <c r="F3424" s="1494">
        <f t="shared" si="88"/>
        <v>8.3581627280329539E-3</v>
      </c>
      <c r="G3424" s="415"/>
      <c r="H3424" s="415" t="str">
        <f>VLOOKUP(B3424,indexy!$A$44:$D$823,3,FALSE)</f>
        <v>CM CT Equity</v>
      </c>
      <c r="J3424" s="434"/>
    </row>
    <row r="3425" spans="1:10" ht="12.75" hidden="1" customHeight="1" outlineLevel="1" x14ac:dyDescent="0.25">
      <c r="A3425" s="135">
        <v>0.02</v>
      </c>
      <c r="B3425" s="151" t="s">
        <v>7855</v>
      </c>
      <c r="C3425" s="410">
        <v>43.905999999999999</v>
      </c>
      <c r="D3425" s="2738">
        <f>VLOOKUP(H3425,indexy!$C$44:$D$823,2,FALSE)</f>
        <v>48.95</v>
      </c>
      <c r="E3425" s="1463">
        <f t="shared" si="89"/>
        <v>0.1148817929212409</v>
      </c>
      <c r="F3425" s="1494">
        <f t="shared" si="88"/>
        <v>2.2976358584248179E-3</v>
      </c>
      <c r="G3425" s="415"/>
      <c r="H3425" s="415" t="str">
        <f>VLOOKUP(B3425,indexy!$A$44:$D$823,3,FALSE)</f>
        <v>ENB CT Equity</v>
      </c>
      <c r="J3425" s="434"/>
    </row>
    <row r="3426" spans="1:10" ht="12.75" hidden="1" customHeight="1" outlineLevel="1" x14ac:dyDescent="0.25">
      <c r="A3426" s="135">
        <v>0.08</v>
      </c>
      <c r="B3426" s="151" t="s">
        <v>9171</v>
      </c>
      <c r="C3426" s="410">
        <v>24.047000000000001</v>
      </c>
      <c r="D3426" s="2738">
        <f>VLOOKUP(H3426,indexy!$C$44:$D$823,2,FALSE)</f>
        <v>17.164999999999999</v>
      </c>
      <c r="E3426" s="1463">
        <f t="shared" si="89"/>
        <v>-0.28618954547344788</v>
      </c>
      <c r="F3426" s="1494">
        <f t="shared" si="88"/>
        <v>-2.2895163637875832E-2</v>
      </c>
      <c r="G3426" s="415"/>
      <c r="H3426" s="415" t="str">
        <f>VLOOKUP(B3426,indexy!$A$44:$D$823,3,FALSE)</f>
        <v>ELE SQ Equity</v>
      </c>
      <c r="J3426" s="434"/>
    </row>
    <row r="3427" spans="1:10" ht="12.75" hidden="1" customHeight="1" outlineLevel="1" x14ac:dyDescent="0.25">
      <c r="A3427" s="135">
        <v>7.0000000000000007E-2</v>
      </c>
      <c r="B3427" s="151" t="s">
        <v>3021</v>
      </c>
      <c r="C3427" s="410">
        <v>8.1050000000000004</v>
      </c>
      <c r="D3427" s="2738">
        <f>VLOOKUP(H3427,indexy!$C$44:$D$823,2,FALSE)</f>
        <v>14.648</v>
      </c>
      <c r="E3427" s="1463">
        <f t="shared" si="89"/>
        <v>0.8072794571252313</v>
      </c>
      <c r="F3427" s="1494">
        <f t="shared" si="88"/>
        <v>5.6509561998766195E-2</v>
      </c>
      <c r="G3427" s="415"/>
      <c r="H3427" s="415" t="str">
        <f>VLOOKUP(B3427,indexy!$A$44:$D$823,3,FALSE)</f>
        <v>ENI IM Equity</v>
      </c>
      <c r="J3427" s="434"/>
    </row>
    <row r="3428" spans="1:10" ht="12.75" hidden="1" customHeight="1" outlineLevel="1" x14ac:dyDescent="0.25">
      <c r="A3428" s="135">
        <v>0.02</v>
      </c>
      <c r="B3428" s="151" t="s">
        <v>3799</v>
      </c>
      <c r="C3428" s="410">
        <v>15.571999999999999</v>
      </c>
      <c r="D3428" s="2738">
        <f>VLOOKUP(H3428,indexy!$C$44:$D$823,2,FALSE)/100</f>
        <v>17.085999999999999</v>
      </c>
      <c r="E3428" s="1463">
        <f t="shared" si="89"/>
        <v>9.7225789879270552E-2</v>
      </c>
      <c r="F3428" s="1494">
        <f t="shared" si="88"/>
        <v>1.9445157975854111E-3</v>
      </c>
      <c r="G3428" s="415"/>
      <c r="H3428" s="415" t="str">
        <f>VLOOKUP(B3428,indexy!$A$44:$D$823,3,FALSE)</f>
        <v>GSK LN Equity</v>
      </c>
      <c r="J3428" s="434"/>
    </row>
    <row r="3429" spans="1:10" ht="12.75" hidden="1" customHeight="1" outlineLevel="1" x14ac:dyDescent="0.25">
      <c r="A3429" s="135">
        <v>0.02</v>
      </c>
      <c r="B3429" s="151" t="s">
        <v>10427</v>
      </c>
      <c r="C3429" s="2740">
        <v>19.303999999999998</v>
      </c>
      <c r="D3429" s="2738">
        <f>VLOOKUP(H3429,indexy!$C$44:$D$823,2,FALSE)</f>
        <v>4.7</v>
      </c>
      <c r="E3429" s="1463">
        <f t="shared" si="89"/>
        <v>-0.75652714463323667</v>
      </c>
      <c r="F3429" s="1494">
        <f t="shared" si="88"/>
        <v>-1.5130542892664734E-2</v>
      </c>
      <c r="G3429" s="415"/>
      <c r="H3429" s="415" t="str">
        <f>VLOOKUP(B3429,indexy!$A$44:$D$823,3,FALSE)</f>
        <v>MPW UN Equity</v>
      </c>
      <c r="J3429" s="434"/>
    </row>
    <row r="3430" spans="1:10" ht="12.75" hidden="1" customHeight="1" outlineLevel="1" x14ac:dyDescent="0.25">
      <c r="A3430" s="135">
        <v>0.03</v>
      </c>
      <c r="B3430" s="151" t="s">
        <v>8336</v>
      </c>
      <c r="C3430" s="410">
        <v>17.776</v>
      </c>
      <c r="D3430" s="2738">
        <f>VLOOKUP(H3430,indexy!$C$44:$D$823,2,FALSE)</f>
        <v>34.64</v>
      </c>
      <c r="E3430" s="1463">
        <f t="shared" si="89"/>
        <v>0.94869486948694881</v>
      </c>
      <c r="F3430" s="1494">
        <f t="shared" si="88"/>
        <v>2.8460846084608464E-2</v>
      </c>
      <c r="G3430" s="415"/>
      <c r="H3430" s="415" t="str">
        <f>VLOOKUP(B3430,indexy!$A$44:$D$823,3,FALSE)</f>
        <v>NAB AT Equity</v>
      </c>
      <c r="J3430" s="434"/>
    </row>
    <row r="3431" spans="1:10" ht="12.75" hidden="1" customHeight="1" outlineLevel="1" x14ac:dyDescent="0.25">
      <c r="A3431" s="135">
        <v>0.02</v>
      </c>
      <c r="B3431" s="151" t="s">
        <v>2786</v>
      </c>
      <c r="C3431" s="410">
        <v>8.9222000000000001</v>
      </c>
      <c r="D3431" s="2738">
        <f>VLOOKUP(H3431,indexy!$C$44:$D$823,2,FALSE)/100</f>
        <v>10.66</v>
      </c>
      <c r="E3431" s="1463">
        <f t="shared" si="89"/>
        <v>0.19477258972002431</v>
      </c>
      <c r="F3431" s="1494">
        <f t="shared" si="88"/>
        <v>3.8954517944004862E-3</v>
      </c>
      <c r="G3431" s="415"/>
      <c r="H3431" s="415" t="str">
        <f>VLOOKUP(B3431,indexy!$A$44:$D$823,3,FALSE)</f>
        <v>NG/ LN Equity</v>
      </c>
      <c r="J3431" s="434"/>
    </row>
    <row r="3432" spans="1:10" ht="12.75" hidden="1" customHeight="1" outlineLevel="1" x14ac:dyDescent="0.25">
      <c r="A3432" s="135">
        <v>0.02</v>
      </c>
      <c r="B3432" s="151" t="s">
        <v>1203</v>
      </c>
      <c r="C3432" s="410">
        <v>69.638000000000005</v>
      </c>
      <c r="D3432" s="2738">
        <f>VLOOKUP(H3432,indexy!$C$44:$D$823,2,FALSE)</f>
        <v>119.2</v>
      </c>
      <c r="E3432" s="1463">
        <f t="shared" si="89"/>
        <v>0.71170912432867106</v>
      </c>
      <c r="F3432" s="1494">
        <f t="shared" si="88"/>
        <v>1.4234182486573422E-2</v>
      </c>
      <c r="G3432" s="415"/>
      <c r="H3432" s="415" t="str">
        <f>VLOOKUP(B3432,indexy!$A$44:$D$823,3,FALSE)</f>
        <v>NDA SS Equity</v>
      </c>
      <c r="J3432" s="434"/>
    </row>
    <row r="3433" spans="1:10" ht="12.75" hidden="1" customHeight="1" outlineLevel="1" x14ac:dyDescent="0.25">
      <c r="A3433" s="135">
        <v>0.08</v>
      </c>
      <c r="B3433" s="151" t="s">
        <v>5824</v>
      </c>
      <c r="C3433" s="410">
        <v>9.8895999999999997</v>
      </c>
      <c r="D3433" s="2738">
        <f>VLOOKUP(H3433,indexy!$C$44:$D$823,2,FALSE)</f>
        <v>10.888</v>
      </c>
      <c r="E3433" s="1463">
        <f t="shared" si="89"/>
        <v>0.10095453810063093</v>
      </c>
      <c r="F3433" s="1494">
        <f t="shared" si="88"/>
        <v>8.0763630480504747E-3</v>
      </c>
      <c r="G3433" s="415"/>
      <c r="H3433" s="415" t="str">
        <f>VLOOKUP(B3433,indexy!$A$44:$D$823,3,FALSE)</f>
        <v>ORA FP Equity</v>
      </c>
      <c r="J3433" s="434"/>
    </row>
    <row r="3434" spans="1:10" ht="12.75" hidden="1" customHeight="1" outlineLevel="1" x14ac:dyDescent="0.25">
      <c r="A3434" s="135">
        <v>0.02</v>
      </c>
      <c r="B3434" s="151" t="s">
        <v>10429</v>
      </c>
      <c r="C3434" s="410">
        <v>25.978999999999999</v>
      </c>
      <c r="D3434" s="2738">
        <f>VLOOKUP(H3434,indexy!$C$44:$D$823,2,FALSE)</f>
        <v>37.979999999999997</v>
      </c>
      <c r="E3434" s="1463">
        <f t="shared" si="89"/>
        <v>0.46195003656799716</v>
      </c>
      <c r="F3434" s="1494">
        <f t="shared" si="88"/>
        <v>9.2390007313599438E-3</v>
      </c>
      <c r="G3434" s="415"/>
      <c r="H3434" s="415" t="str">
        <f>VLOOKUP(B3434,indexy!$A$44:$D$823,3,FALSE)</f>
        <v>POW CT Equity</v>
      </c>
      <c r="J3434" s="434"/>
    </row>
    <row r="3435" spans="1:10" ht="12.75" hidden="1" customHeight="1" outlineLevel="1" x14ac:dyDescent="0.25">
      <c r="A3435" s="135">
        <v>0.02</v>
      </c>
      <c r="B3435" s="151" t="s">
        <v>2769</v>
      </c>
      <c r="C3435" s="410">
        <v>28.474</v>
      </c>
      <c r="D3435" s="2738">
        <f>VLOOKUP(H3435,indexy!$C$44:$D$823,2,FALSE)</f>
        <v>27.53</v>
      </c>
      <c r="E3435" s="1463">
        <f t="shared" si="89"/>
        <v>-3.3153051907002795E-2</v>
      </c>
      <c r="F3435" s="1494">
        <f t="shared" si="88"/>
        <v>-6.6306103814005595E-4</v>
      </c>
      <c r="G3435" s="415"/>
      <c r="H3435" s="415" t="str">
        <f>VLOOKUP(B3435,indexy!$A$44:$D$823,3,FALSE)</f>
        <v>PPL UN Equity</v>
      </c>
      <c r="J3435" s="434"/>
    </row>
    <row r="3436" spans="1:10" ht="12.75" hidden="1" customHeight="1" outlineLevel="1" x14ac:dyDescent="0.25">
      <c r="A3436" s="135">
        <v>0.03</v>
      </c>
      <c r="B3436" s="151" t="s">
        <v>5629</v>
      </c>
      <c r="C3436" s="410">
        <v>16.429500000000001</v>
      </c>
      <c r="D3436" s="2738">
        <f>VLOOKUP(H3436,indexy!$C$44:$D$823,2,FALSE)</f>
        <v>15.805</v>
      </c>
      <c r="E3436" s="1463">
        <f t="shared" si="89"/>
        <v>-3.8010895036367565E-2</v>
      </c>
      <c r="F3436" s="1494">
        <f t="shared" si="88"/>
        <v>-1.140326851091027E-3</v>
      </c>
      <c r="G3436" s="415"/>
      <c r="H3436" s="415" t="str">
        <f>VLOOKUP(B3436,indexy!$A$44:$D$823,3,FALSE)</f>
        <v>REE SQ Equity</v>
      </c>
      <c r="J3436" s="434"/>
    </row>
    <row r="3437" spans="1:10" ht="12.75" hidden="1" customHeight="1" outlineLevel="1" x14ac:dyDescent="0.25">
      <c r="A3437" s="135">
        <v>0.02</v>
      </c>
      <c r="B3437" s="151" t="s">
        <v>5205</v>
      </c>
      <c r="C3437" s="410">
        <v>11.762</v>
      </c>
      <c r="D3437" s="2738">
        <f>VLOOKUP(H3437,indexy!$C$44:$D$823,2,FALSE)/100</f>
        <v>18.952000000000002</v>
      </c>
      <c r="E3437" s="1463">
        <f t="shared" si="89"/>
        <v>0.6112905968372726</v>
      </c>
      <c r="F3437" s="1494">
        <f t="shared" si="88"/>
        <v>1.2225811936745452E-2</v>
      </c>
      <c r="G3437" s="415"/>
      <c r="H3437" s="415" t="str">
        <f>VLOOKUP(B3437,indexy!$A$44:$D$823,3,FALSE)</f>
        <v>RDSA LN Equity</v>
      </c>
      <c r="J3437" s="434"/>
    </row>
    <row r="3438" spans="1:10" ht="12.75" hidden="1" customHeight="1" outlineLevel="1" x14ac:dyDescent="0.25">
      <c r="A3438" s="135">
        <v>0.02</v>
      </c>
      <c r="B3438" s="151" t="s">
        <v>6270</v>
      </c>
      <c r="C3438" s="410">
        <v>32.08</v>
      </c>
      <c r="D3438" s="2738">
        <f>VLOOKUP(H3438,indexy!$C$44:$D$823,2,FALSE)</f>
        <v>39.515000000000001</v>
      </c>
      <c r="E3438" s="1463">
        <f t="shared" si="89"/>
        <v>0.2317643391521198</v>
      </c>
      <c r="F3438" s="1494">
        <f t="shared" si="88"/>
        <v>4.6352867830423963E-3</v>
      </c>
      <c r="G3438" s="415"/>
      <c r="H3438" s="415" t="str">
        <f>VLOOKUP(B3438,indexy!$A$44:$D$823,3,FALSE)</f>
        <v>SAMPO FH Equity</v>
      </c>
      <c r="J3438" s="434"/>
    </row>
    <row r="3439" spans="1:10" ht="12.75" hidden="1" customHeight="1" outlineLevel="1" x14ac:dyDescent="0.25">
      <c r="A3439" s="135">
        <v>0.05</v>
      </c>
      <c r="B3439" s="151" t="s">
        <v>6116</v>
      </c>
      <c r="C3439" s="410">
        <v>4.4511000000000003</v>
      </c>
      <c r="D3439" s="2738">
        <f>VLOOKUP(H3439,indexy!$C$44:$D$823,2,FALSE)</f>
        <v>4.3760000000000003</v>
      </c>
      <c r="E3439" s="1463">
        <f t="shared" si="89"/>
        <v>-1.6872233829839822E-2</v>
      </c>
      <c r="F3439" s="1494">
        <f t="shared" si="88"/>
        <v>-8.4361169149199113E-4</v>
      </c>
      <c r="G3439" s="415"/>
      <c r="H3439" s="415" t="str">
        <f>VLOOKUP(B3439,indexy!$A$44:$D$823,3,FALSE)</f>
        <v>SRG IM Equity</v>
      </c>
      <c r="J3439" s="434"/>
    </row>
    <row r="3440" spans="1:10" ht="12.75" hidden="1" customHeight="1" outlineLevel="1" x14ac:dyDescent="0.25">
      <c r="A3440" s="135">
        <v>0.02</v>
      </c>
      <c r="B3440" s="151" t="s">
        <v>1857</v>
      </c>
      <c r="C3440" s="410">
        <v>13.096</v>
      </c>
      <c r="D3440" s="2738">
        <f>VLOOKUP(H3440,indexy!$C$44:$D$823,2,FALSE)/100</f>
        <v>16.5</v>
      </c>
      <c r="E3440" s="1463">
        <f t="shared" si="89"/>
        <v>0.25992669517409905</v>
      </c>
      <c r="F3440" s="1494">
        <f t="shared" si="88"/>
        <v>5.198533903481981E-3</v>
      </c>
      <c r="G3440" s="415"/>
      <c r="H3440" s="415" t="str">
        <f>VLOOKUP(B3440,indexy!$A$44:$D$823,3,FALSE)</f>
        <v>SSE LN Equity</v>
      </c>
      <c r="J3440" s="434"/>
    </row>
    <row r="3441" spans="1:10" ht="12.75" hidden="1" customHeight="1" outlineLevel="1" x14ac:dyDescent="0.25">
      <c r="A3441" s="135">
        <v>0.02</v>
      </c>
      <c r="B3441" s="151" t="s">
        <v>6527</v>
      </c>
      <c r="C3441" s="410">
        <v>86.61</v>
      </c>
      <c r="D3441" s="2738">
        <f>VLOOKUP(H3441,indexy!$C$44:$D$823,2,FALSE)</f>
        <v>108.25</v>
      </c>
      <c r="E3441" s="1463">
        <f t="shared" si="89"/>
        <v>0.24985567486433435</v>
      </c>
      <c r="F3441" s="1494">
        <f t="shared" si="88"/>
        <v>4.9971134972866876E-3</v>
      </c>
      <c r="G3441" s="415"/>
      <c r="H3441" s="415" t="str">
        <f>VLOOKUP(B3441,indexy!$A$44:$D$823,3,FALSE)</f>
        <v>SHBA SS Equity</v>
      </c>
      <c r="J3441" s="434"/>
    </row>
    <row r="3442" spans="1:10" ht="12.75" hidden="1" customHeight="1" outlineLevel="1" x14ac:dyDescent="0.25">
      <c r="A3442" s="135">
        <v>0.08</v>
      </c>
      <c r="B3442" s="151" t="s">
        <v>6118</v>
      </c>
      <c r="C3442" s="410">
        <v>72.778000000000006</v>
      </c>
      <c r="D3442" s="2738">
        <f>VLOOKUP(H3442,indexy!$C$44:$D$823,2,FALSE)</f>
        <v>115.95</v>
      </c>
      <c r="E3442" s="1463">
        <f t="shared" si="89"/>
        <v>0.59320124213361169</v>
      </c>
      <c r="F3442" s="1494">
        <f>E3442*A3442</f>
        <v>4.7456099370688939E-2</v>
      </c>
      <c r="G3442" s="415"/>
      <c r="H3442" s="415" t="str">
        <f>VLOOKUP(B3442,indexy!$A$44:$D$823,3,FALSE)</f>
        <v>SREN SE Equity</v>
      </c>
      <c r="J3442" s="434"/>
    </row>
    <row r="3443" spans="1:10" ht="12.75" hidden="1" customHeight="1" outlineLevel="1" x14ac:dyDescent="0.25">
      <c r="A3443" s="135">
        <v>0.02</v>
      </c>
      <c r="B3443" s="151" t="s">
        <v>434</v>
      </c>
      <c r="C3443" s="410">
        <v>34.088000000000001</v>
      </c>
      <c r="D3443" s="2738">
        <f>VLOOKUP(H3443,indexy!$C$44:$D$946,2,FALSE)</f>
        <v>27.43</v>
      </c>
      <c r="E3443" s="1463">
        <f t="shared" si="89"/>
        <v>-0.19531800046937342</v>
      </c>
      <c r="F3443" s="1494">
        <f>E3443*A3443</f>
        <v>-3.9063600093874684E-3</v>
      </c>
      <c r="G3443" s="415"/>
      <c r="H3443" s="415" t="str">
        <f>VLOOKUP(B3443,indexy!$A$44:$D$946,3,FALSE)</f>
        <v>TELIA SS Equity</v>
      </c>
      <c r="J3443" s="434"/>
    </row>
    <row r="3444" spans="1:10" ht="12.75" hidden="1" customHeight="1" outlineLevel="1" x14ac:dyDescent="0.25">
      <c r="A3444" s="135">
        <v>0.02</v>
      </c>
      <c r="B3444" s="151" t="s">
        <v>10633</v>
      </c>
      <c r="C3444" s="410">
        <v>33.383000000000003</v>
      </c>
      <c r="D3444" s="2738">
        <f>VLOOKUP(H3444,indexy!$C$44:$D$823,2,FALSE)</f>
        <v>63.47</v>
      </c>
      <c r="E3444" s="1463">
        <f t="shared" si="89"/>
        <v>0.90126711200311527</v>
      </c>
      <c r="F3444" s="1494">
        <f>E3444*A3444</f>
        <v>1.8025342240062307E-2</v>
      </c>
      <c r="G3444" s="415"/>
      <c r="H3444" s="415" t="str">
        <f>VLOOKUP(B3444,indexy!$A$44:$D$823,3,FALSE)</f>
        <v>TTE FP Equity</v>
      </c>
      <c r="J3444" s="434"/>
    </row>
    <row r="3445" spans="1:10" ht="12.75" hidden="1" customHeight="1" outlineLevel="1" x14ac:dyDescent="0.25">
      <c r="A3445" s="135">
        <v>0.02</v>
      </c>
      <c r="B3445" s="151" t="s">
        <v>5626</v>
      </c>
      <c r="C3445" s="410">
        <v>17.547000000000001</v>
      </c>
      <c r="D3445" s="2738">
        <f>VLOOKUP(H3445,indexy!$C$44:$D$823,2,FALSE)</f>
        <v>26.1</v>
      </c>
      <c r="E3445" s="1463">
        <f t="shared" si="89"/>
        <v>0.48743374935886474</v>
      </c>
      <c r="F3445" s="1494">
        <f>E3445*A3445</f>
        <v>9.7486749871772953E-3</v>
      </c>
      <c r="G3445" s="415"/>
      <c r="H3445" s="415" t="str">
        <f>VLOOKUP(B3445,indexy!$A$44:$D$823,3,FALSE)</f>
        <v>WBC AT Equity</v>
      </c>
      <c r="J3445" s="434"/>
    </row>
    <row r="3446" spans="1:10" ht="12.75" hidden="1" customHeight="1" outlineLevel="1" x14ac:dyDescent="0.25">
      <c r="A3446" s="135">
        <v>0.08</v>
      </c>
      <c r="B3446" s="2736" t="s">
        <v>4550</v>
      </c>
      <c r="C3446" s="2741">
        <v>343.83</v>
      </c>
      <c r="D3446" s="2739">
        <f>VLOOKUP(H3446,indexy!$C$44:$D$823,2,FALSE)</f>
        <v>486.3</v>
      </c>
      <c r="E3446" s="1463">
        <f t="shared" si="89"/>
        <v>0.41436174853852203</v>
      </c>
      <c r="F3446" s="1494">
        <f>E3446*A3446</f>
        <v>3.3148939883081763E-2</v>
      </c>
      <c r="G3446" s="415"/>
      <c r="H3446" s="415" t="str">
        <f>VLOOKUP(B3446,indexy!$A$44:$D$823,3,FALSE)</f>
        <v>ZURN SE Equity</v>
      </c>
      <c r="J3446" s="434"/>
    </row>
    <row r="3447" spans="1:10" ht="12.75" hidden="1" customHeight="1" outlineLevel="1" x14ac:dyDescent="0.25">
      <c r="A3447" s="1475" t="s">
        <v>2734</v>
      </c>
      <c r="B3447" s="150"/>
      <c r="C3447" s="1477">
        <v>100</v>
      </c>
      <c r="D3447" s="1477"/>
      <c r="E3447" s="1599"/>
      <c r="F3447" s="1599">
        <f>SUM(F3417:F3446)</f>
        <v>0.32028854970555642</v>
      </c>
      <c r="G3447" s="415"/>
      <c r="H3447" s="415"/>
    </row>
    <row r="3448" spans="1:10" ht="12.75" hidden="1" customHeight="1" outlineLevel="1" x14ac:dyDescent="0.25">
      <c r="A3448" s="221"/>
      <c r="B3448" s="1478">
        <v>46235</v>
      </c>
      <c r="C3448" s="1497">
        <v>100</v>
      </c>
      <c r="D3448" s="1497"/>
      <c r="E3448" s="1498">
        <f>IF(D3448="",$F$3447,D3448/C3448-1)</f>
        <v>0.32028854970555642</v>
      </c>
      <c r="F3448" s="1499"/>
      <c r="G3448" s="415"/>
      <c r="H3448" s="415"/>
    </row>
    <row r="3449" spans="1:10" ht="12.75" hidden="1" customHeight="1" outlineLevel="1" x14ac:dyDescent="0.25">
      <c r="A3449" s="221"/>
      <c r="B3449" s="1478">
        <v>46266</v>
      </c>
      <c r="C3449" s="1497">
        <v>100</v>
      </c>
      <c r="D3449" s="1500"/>
      <c r="E3449" s="1498">
        <f t="shared" ref="E3449:E3459" si="90">IF(D3449="",$F$3447,D3449/C3449-1)</f>
        <v>0.32028854970555642</v>
      </c>
      <c r="F3449" s="1499"/>
      <c r="G3449" s="415"/>
      <c r="H3449" s="415"/>
    </row>
    <row r="3450" spans="1:10" ht="12.75" hidden="1" customHeight="1" outlineLevel="1" x14ac:dyDescent="0.25">
      <c r="A3450" s="221"/>
      <c r="B3450" s="1478">
        <v>46296</v>
      </c>
      <c r="C3450" s="1497">
        <v>100</v>
      </c>
      <c r="D3450" s="1500"/>
      <c r="E3450" s="1498">
        <f t="shared" si="90"/>
        <v>0.32028854970555642</v>
      </c>
      <c r="F3450" s="1499"/>
      <c r="G3450" s="415"/>
      <c r="H3450" s="415"/>
    </row>
    <row r="3451" spans="1:10" ht="12.75" hidden="1" customHeight="1" outlineLevel="1" x14ac:dyDescent="0.25">
      <c r="A3451" s="221"/>
      <c r="B3451" s="1478">
        <v>46327</v>
      </c>
      <c r="C3451" s="1497">
        <v>100</v>
      </c>
      <c r="D3451" s="1500"/>
      <c r="E3451" s="1498">
        <f t="shared" si="90"/>
        <v>0.32028854970555642</v>
      </c>
      <c r="F3451" s="1499"/>
      <c r="G3451" s="415"/>
      <c r="H3451" s="415"/>
    </row>
    <row r="3452" spans="1:10" ht="12.75" hidden="1" customHeight="1" outlineLevel="1" x14ac:dyDescent="0.25">
      <c r="A3452" s="221"/>
      <c r="B3452" s="1478">
        <v>46357</v>
      </c>
      <c r="C3452" s="1497">
        <v>100</v>
      </c>
      <c r="D3452" s="1500"/>
      <c r="E3452" s="1498">
        <f t="shared" si="90"/>
        <v>0.32028854970555642</v>
      </c>
      <c r="F3452" s="1499"/>
      <c r="G3452" s="415"/>
      <c r="H3452" s="415"/>
    </row>
    <row r="3453" spans="1:10" ht="12.75" hidden="1" customHeight="1" outlineLevel="1" x14ac:dyDescent="0.25">
      <c r="A3453" s="221"/>
      <c r="B3453" s="1478">
        <v>46388</v>
      </c>
      <c r="C3453" s="1497">
        <v>100</v>
      </c>
      <c r="D3453" s="1500"/>
      <c r="E3453" s="1498">
        <f t="shared" si="90"/>
        <v>0.32028854970555642</v>
      </c>
      <c r="F3453" s="1499"/>
      <c r="G3453" s="415"/>
      <c r="H3453" s="415"/>
    </row>
    <row r="3454" spans="1:10" ht="12.75" hidden="1" customHeight="1" outlineLevel="1" x14ac:dyDescent="0.25">
      <c r="A3454" s="221"/>
      <c r="B3454" s="1478">
        <v>46419</v>
      </c>
      <c r="C3454" s="1497">
        <v>100</v>
      </c>
      <c r="D3454" s="1500"/>
      <c r="E3454" s="1498">
        <f t="shared" si="90"/>
        <v>0.32028854970555642</v>
      </c>
      <c r="F3454" s="1499"/>
      <c r="G3454" s="415"/>
      <c r="H3454" s="415"/>
    </row>
    <row r="3455" spans="1:10" ht="12.75" hidden="1" customHeight="1" outlineLevel="1" x14ac:dyDescent="0.25">
      <c r="A3455" s="221"/>
      <c r="B3455" s="1478">
        <v>46447</v>
      </c>
      <c r="C3455" s="1497">
        <v>100</v>
      </c>
      <c r="D3455" s="1500"/>
      <c r="E3455" s="1498">
        <f t="shared" si="90"/>
        <v>0.32028854970555642</v>
      </c>
      <c r="F3455" s="1499"/>
      <c r="G3455" s="415"/>
      <c r="H3455" s="415"/>
    </row>
    <row r="3456" spans="1:10" ht="12.75" hidden="1" customHeight="1" outlineLevel="1" x14ac:dyDescent="0.25">
      <c r="A3456" s="221"/>
      <c r="B3456" s="1478">
        <v>46478</v>
      </c>
      <c r="C3456" s="1497">
        <v>100</v>
      </c>
      <c r="D3456" s="1500"/>
      <c r="E3456" s="1498">
        <f t="shared" si="90"/>
        <v>0.32028854970555642</v>
      </c>
      <c r="F3456" s="1499"/>
      <c r="G3456" s="415"/>
      <c r="H3456" s="415"/>
    </row>
    <row r="3457" spans="1:18" ht="12.75" hidden="1" customHeight="1" outlineLevel="1" x14ac:dyDescent="0.25">
      <c r="A3457" s="221"/>
      <c r="B3457" s="1478">
        <v>46508</v>
      </c>
      <c r="C3457" s="1497">
        <v>100</v>
      </c>
      <c r="D3457" s="1500"/>
      <c r="E3457" s="1498">
        <f t="shared" si="90"/>
        <v>0.32028854970555642</v>
      </c>
      <c r="F3457" s="1499"/>
      <c r="G3457" s="415"/>
      <c r="H3457" s="415"/>
    </row>
    <row r="3458" spans="1:18" ht="12.75" hidden="1" customHeight="1" outlineLevel="1" x14ac:dyDescent="0.25">
      <c r="A3458" s="221"/>
      <c r="B3458" s="1478">
        <v>46539</v>
      </c>
      <c r="C3458" s="1497">
        <v>100</v>
      </c>
      <c r="D3458" s="1500"/>
      <c r="E3458" s="1498">
        <f t="shared" si="90"/>
        <v>0.32028854970555642</v>
      </c>
      <c r="F3458" s="1499"/>
      <c r="G3458" s="415"/>
      <c r="H3458" s="415"/>
    </row>
    <row r="3459" spans="1:18" ht="12.75" hidden="1" customHeight="1" outlineLevel="1" x14ac:dyDescent="0.25">
      <c r="A3459" s="221"/>
      <c r="B3459" s="1478">
        <v>46569</v>
      </c>
      <c r="C3459" s="1497">
        <v>100</v>
      </c>
      <c r="D3459" s="1500"/>
      <c r="E3459" s="1498">
        <f t="shared" si="90"/>
        <v>0.32028854970555642</v>
      </c>
      <c r="F3459" s="1499"/>
      <c r="G3459" s="415"/>
      <c r="H3459" s="415"/>
    </row>
    <row r="3460" spans="1:18" s="444" customFormat="1" ht="12.75" hidden="1" customHeight="1" outlineLevel="1" x14ac:dyDescent="0.25">
      <c r="A3460" s="1483" t="s">
        <v>2734</v>
      </c>
      <c r="B3460" s="1484"/>
      <c r="C3460" s="1500"/>
      <c r="D3460" s="1485" t="s">
        <v>2465</v>
      </c>
      <c r="E3460" s="1486">
        <f>AVERAGE(E3448:E3459)</f>
        <v>0.32028854970555637</v>
      </c>
      <c r="F3460" s="1487">
        <f>((((E3460*100)+100)-I3417)/100)</f>
        <v>0.38260254970555635</v>
      </c>
    </row>
    <row r="3461" spans="1:18" collapsed="1" x14ac:dyDescent="0.25">
      <c r="A3461" s="3799" t="s">
        <v>10442</v>
      </c>
      <c r="B3461" s="3800"/>
      <c r="C3461" s="3800"/>
      <c r="D3461" s="3800"/>
      <c r="E3461" s="18"/>
      <c r="F3461" s="186">
        <f>MAX(-10%,MIN(F3460,40%))</f>
        <v>0.38260254970555635</v>
      </c>
      <c r="G3461" s="415"/>
    </row>
    <row r="3463" spans="1:18" ht="12.75" hidden="1" customHeight="1" outlineLevel="1" x14ac:dyDescent="0.25">
      <c r="A3463" s="1677" t="s">
        <v>4156</v>
      </c>
      <c r="B3463" s="1677" t="s">
        <v>4153</v>
      </c>
      <c r="C3463" s="1305" t="s">
        <v>112</v>
      </c>
      <c r="D3463" s="1678" t="s">
        <v>4155</v>
      </c>
      <c r="E3463" s="1677" t="s">
        <v>4154</v>
      </c>
      <c r="F3463" s="1678" t="s">
        <v>2519</v>
      </c>
      <c r="G3463" s="12"/>
      <c r="H3463" s="415"/>
      <c r="I3463" s="412" t="s">
        <v>6964</v>
      </c>
      <c r="J3463" s="1462">
        <v>44105</v>
      </c>
      <c r="K3463" s="1462">
        <v>44136</v>
      </c>
      <c r="L3463" s="1462">
        <v>44166</v>
      </c>
      <c r="M3463" s="1462">
        <v>44197</v>
      </c>
      <c r="N3463" s="1462">
        <v>44228</v>
      </c>
      <c r="O3463" s="1462">
        <v>44256</v>
      </c>
      <c r="P3463" s="1462"/>
      <c r="Q3463" s="1462"/>
      <c r="R3463" s="1462"/>
    </row>
    <row r="3464" spans="1:18" ht="12.75" hidden="1" customHeight="1" outlineLevel="1" x14ac:dyDescent="0.25">
      <c r="A3464" s="134">
        <v>0.02</v>
      </c>
      <c r="B3464" s="151" t="s">
        <v>7111</v>
      </c>
      <c r="C3464" s="454">
        <v>90.120999999999995</v>
      </c>
      <c r="D3464" s="2737">
        <f>VLOOKUP(H3464,indexy!$C$44:$D$823,2,FALSE)</f>
        <v>182.1</v>
      </c>
      <c r="E3464" s="1466">
        <f>D3464/C3464-1</f>
        <v>1.0206167264011716</v>
      </c>
      <c r="F3464" s="1492">
        <f>E3464*A3464</f>
        <v>2.0412334528023431E-2</v>
      </c>
      <c r="G3464" s="415"/>
      <c r="H3464" s="415" t="str">
        <f>VLOOKUP(B3464,indexy!$A$44:$D$823,3,FALSE)</f>
        <v>ABBV UN Equity</v>
      </c>
      <c r="I3464" s="412">
        <f>IF(J3464="",100,MIN(100,J3464:Y3464))</f>
        <v>96.334100000000007</v>
      </c>
      <c r="J3464">
        <v>97.5398</v>
      </c>
      <c r="K3464">
        <v>96.334100000000007</v>
      </c>
      <c r="L3464">
        <v>105.3862</v>
      </c>
      <c r="M3464">
        <v>106.2516</v>
      </c>
      <c r="N3464">
        <v>105.3985</v>
      </c>
      <c r="O3464">
        <v>107.55629999999999</v>
      </c>
    </row>
    <row r="3465" spans="1:18" ht="12.75" hidden="1" customHeight="1" outlineLevel="1" x14ac:dyDescent="0.25">
      <c r="A3465" s="135">
        <v>0.02</v>
      </c>
      <c r="B3465" s="151" t="s">
        <v>359</v>
      </c>
      <c r="C3465" s="410">
        <v>181.66200000000001</v>
      </c>
      <c r="D3465" s="2738">
        <f>VLOOKUP(H3465,indexy!$C$44:$D$823,2,FALSE)</f>
        <v>277.8</v>
      </c>
      <c r="E3465" s="1463">
        <f>D3465/C3465-1</f>
        <v>0.52921359447765637</v>
      </c>
      <c r="F3465" s="1494">
        <f t="shared" ref="F3465:F3488" si="91">E3465*A3465</f>
        <v>1.0584271889553128E-2</v>
      </c>
      <c r="G3465" s="415"/>
      <c r="H3465" s="415" t="str">
        <f>VLOOKUP(B3465,indexy!$A$44:$D$823,3,FALSE)</f>
        <v>ALV GY Equity</v>
      </c>
      <c r="I3465" s="422">
        <f>+(((E3507*100)+100)-I3464)/100</f>
        <v>0.38013060120167552</v>
      </c>
    </row>
    <row r="3466" spans="1:18" ht="12.75" hidden="1" customHeight="1" outlineLevel="1" x14ac:dyDescent="0.25">
      <c r="A3466" s="135">
        <v>0.08</v>
      </c>
      <c r="B3466" s="151" t="s">
        <v>2697</v>
      </c>
      <c r="C3466" s="410">
        <v>12.775</v>
      </c>
      <c r="D3466" s="2738">
        <f>VLOOKUP(H3466,indexy!$C$44:$D$823,2,FALSE)</f>
        <v>23.46</v>
      </c>
      <c r="E3466" s="1463">
        <f t="shared" ref="E3466:E3493" si="92">D3466/C3466-1</f>
        <v>0.83639921722113497</v>
      </c>
      <c r="F3466" s="1494">
        <f t="shared" si="91"/>
        <v>6.69119373776908E-2</v>
      </c>
      <c r="G3466" s="415"/>
      <c r="H3466" s="415" t="str">
        <f>VLOOKUP(B3466,indexy!$A$44:$D$823,3,FALSE)</f>
        <v>G IM Equity</v>
      </c>
      <c r="J3466" s="434"/>
    </row>
    <row r="3467" spans="1:18" ht="12.75" hidden="1" customHeight="1" outlineLevel="1" x14ac:dyDescent="0.25">
      <c r="A3467" s="135">
        <v>0.02</v>
      </c>
      <c r="B3467" s="151" t="s">
        <v>807</v>
      </c>
      <c r="C3467" s="410">
        <v>56.125</v>
      </c>
      <c r="D3467" s="2738">
        <f>VLOOKUP(H3467,indexy!$C$44:$D$823,2,FALSE)</f>
        <v>46.03</v>
      </c>
      <c r="E3467" s="1463">
        <f t="shared" si="92"/>
        <v>-0.17986636971046766</v>
      </c>
      <c r="F3467" s="1494">
        <f t="shared" si="91"/>
        <v>-3.5973273942093531E-3</v>
      </c>
      <c r="G3467" s="415"/>
      <c r="H3467" s="415" t="str">
        <f>VLOOKUP(B3467,indexy!$A$44:$D$823,3,FALSE)</f>
        <v>BCE CT Equity</v>
      </c>
      <c r="J3467" s="434"/>
      <c r="K3467" s="37"/>
    </row>
    <row r="3468" spans="1:18" ht="12.75" hidden="1" customHeight="1" outlineLevel="1" x14ac:dyDescent="0.25">
      <c r="A3468" s="135">
        <v>0.02</v>
      </c>
      <c r="B3468" s="151" t="s">
        <v>3954</v>
      </c>
      <c r="C3468" s="410">
        <f>102.629/2</f>
        <v>51.314500000000002</v>
      </c>
      <c r="D3468" s="2738">
        <f>VLOOKUP(H3468,indexy!$C$44:$D$823,2,FALSE)</f>
        <v>68.67</v>
      </c>
      <c r="E3468" s="1463">
        <f t="shared" si="92"/>
        <v>0.33821824240711695</v>
      </c>
      <c r="F3468" s="1494">
        <f t="shared" si="91"/>
        <v>6.7643648481423395E-3</v>
      </c>
      <c r="G3468" s="415"/>
      <c r="H3468" s="415" t="str">
        <f>VLOOKUP(B3468,indexy!$A$44:$D$823,3,FALSE)</f>
        <v>CM CT Equity</v>
      </c>
      <c r="J3468" s="434"/>
    </row>
    <row r="3469" spans="1:18" ht="12.75" hidden="1" customHeight="1" outlineLevel="1" x14ac:dyDescent="0.25">
      <c r="A3469" s="135">
        <v>7.0000000000000007E-2</v>
      </c>
      <c r="B3469" s="151" t="s">
        <v>8678</v>
      </c>
      <c r="C3469" s="410">
        <v>66.144000000000005</v>
      </c>
      <c r="D3469" s="2738">
        <f>VLOOKUP(H3469,indexy!$C$44:$D$823,2,FALSE)</f>
        <v>120.34</v>
      </c>
      <c r="E3469" s="1463">
        <f t="shared" si="92"/>
        <v>0.81936381228834043</v>
      </c>
      <c r="F3469" s="1494">
        <f t="shared" si="91"/>
        <v>5.7355466860183835E-2</v>
      </c>
      <c r="G3469" s="415"/>
      <c r="H3469" s="415" t="str">
        <f>VLOOKUP(B3469,indexy!$A$44:$D$823,3,FALSE)</f>
        <v>CBA AT Equity</v>
      </c>
      <c r="J3469" s="434"/>
    </row>
    <row r="3470" spans="1:18" ht="12.75" hidden="1" customHeight="1" outlineLevel="1" x14ac:dyDescent="0.25">
      <c r="A3470" s="135">
        <v>0.02</v>
      </c>
      <c r="B3470" s="151" t="s">
        <v>2629</v>
      </c>
      <c r="C3470" s="410">
        <v>15.2075</v>
      </c>
      <c r="D3470" s="2738">
        <f>VLOOKUP(H3470,indexy!$C$44:$D$823,2,FALSE)</f>
        <v>22.5</v>
      </c>
      <c r="E3470" s="1463">
        <f t="shared" si="92"/>
        <v>0.47953312510274548</v>
      </c>
      <c r="F3470" s="1494">
        <f t="shared" si="91"/>
        <v>9.5906625020549096E-3</v>
      </c>
      <c r="G3470" s="415"/>
      <c r="H3470" s="415" t="str">
        <f>VLOOKUP(B3470,indexy!$A$44:$D$823,3,FALSE)</f>
        <v>DTE GY Equity</v>
      </c>
      <c r="J3470" s="434"/>
    </row>
    <row r="3471" spans="1:18" ht="12.75" hidden="1" customHeight="1" outlineLevel="1" x14ac:dyDescent="0.25">
      <c r="A3471" s="135">
        <v>0.02</v>
      </c>
      <c r="B3471" s="151" t="s">
        <v>9591</v>
      </c>
      <c r="C3471" s="410">
        <v>79.519000000000005</v>
      </c>
      <c r="D3471" s="2738">
        <f>VLOOKUP(H3471,indexy!$C$44:$D$823,2,FALSE)</f>
        <v>49.19</v>
      </c>
      <c r="E3471" s="1463">
        <f t="shared" si="92"/>
        <v>-0.38140570178196409</v>
      </c>
      <c r="F3471" s="1494">
        <f t="shared" si="91"/>
        <v>-7.6281140356392824E-3</v>
      </c>
      <c r="G3471" s="415"/>
      <c r="H3471" s="415" t="str">
        <f>VLOOKUP(B3471,indexy!$A$44:$D$823,3,FALSE)</f>
        <v>D UN Equity</v>
      </c>
      <c r="J3471" s="434"/>
    </row>
    <row r="3472" spans="1:18" ht="12.75" hidden="1" customHeight="1" outlineLevel="1" x14ac:dyDescent="0.25">
      <c r="A3472" s="135">
        <v>0.02</v>
      </c>
      <c r="B3472" s="151" t="s">
        <v>1231</v>
      </c>
      <c r="C3472" s="410">
        <v>83.213999999999999</v>
      </c>
      <c r="D3472" s="2738">
        <f>VLOOKUP(H3472,indexy!$C$44:$D$823,2,FALSE)</f>
        <v>96.71</v>
      </c>
      <c r="E3472" s="1463">
        <f t="shared" si="92"/>
        <v>0.16218424784291097</v>
      </c>
      <c r="F3472" s="1494">
        <f t="shared" si="91"/>
        <v>3.2436849568582195E-3</v>
      </c>
      <c r="G3472" s="415"/>
      <c r="H3472" s="415" t="str">
        <f>VLOOKUP(B3472,indexy!$A$44:$D$823,3,FALSE)</f>
        <v>DUK UN Equity</v>
      </c>
      <c r="J3472" s="434"/>
    </row>
    <row r="3473" spans="1:10" ht="12.75" hidden="1" customHeight="1" outlineLevel="1" x14ac:dyDescent="0.25">
      <c r="A3473" s="135">
        <v>0.02</v>
      </c>
      <c r="B3473" s="151" t="s">
        <v>4387</v>
      </c>
      <c r="C3473" s="410">
        <v>9.8661999999999992</v>
      </c>
      <c r="D3473" s="2738">
        <f>VLOOKUP(H3473,indexy!$C$44:$D$823,2,FALSE)</f>
        <v>12.885</v>
      </c>
      <c r="E3473" s="1463">
        <f t="shared" si="92"/>
        <v>0.30597393119944871</v>
      </c>
      <c r="F3473" s="1494">
        <f t="shared" si="91"/>
        <v>6.1194786239889745E-3</v>
      </c>
      <c r="G3473" s="415"/>
      <c r="H3473" s="415" t="str">
        <f>VLOOKUP(B3473,indexy!$A$44:$D$823,3,FALSE)</f>
        <v>EOAN GY Equity</v>
      </c>
      <c r="J3473" s="434"/>
    </row>
    <row r="3474" spans="1:10" ht="12.75" hidden="1" customHeight="1" outlineLevel="1" x14ac:dyDescent="0.25">
      <c r="A3474" s="135">
        <v>0.02</v>
      </c>
      <c r="B3474" s="151" t="s">
        <v>9171</v>
      </c>
      <c r="C3474" s="410">
        <v>23.338000000000001</v>
      </c>
      <c r="D3474" s="2738">
        <f>VLOOKUP(H3474,indexy!$C$44:$D$823,2,FALSE)</f>
        <v>17.164999999999999</v>
      </c>
      <c r="E3474" s="1463">
        <f t="shared" si="92"/>
        <v>-0.26450424200874123</v>
      </c>
      <c r="F3474" s="1494">
        <f t="shared" si="91"/>
        <v>-5.2900848401748251E-3</v>
      </c>
      <c r="G3474" s="415"/>
      <c r="H3474" s="415" t="str">
        <f>VLOOKUP(B3474,indexy!$A$44:$D$823,3,FALSE)</f>
        <v>ELE SQ Equity</v>
      </c>
      <c r="J3474" s="434"/>
    </row>
    <row r="3475" spans="1:10" ht="12.75" hidden="1" customHeight="1" outlineLevel="1" x14ac:dyDescent="0.25">
      <c r="A3475" s="135">
        <v>0.02</v>
      </c>
      <c r="B3475" s="151" t="s">
        <v>2701</v>
      </c>
      <c r="C3475" s="410">
        <v>4.2474999999999996</v>
      </c>
      <c r="D3475" s="2738">
        <f>VLOOKUP(H3475,indexy!$C$44:$D$823,2,FALSE)</f>
        <v>3.61</v>
      </c>
      <c r="E3475" s="1463">
        <f t="shared" si="92"/>
        <v>-0.150088287227781</v>
      </c>
      <c r="F3475" s="1494">
        <f t="shared" si="91"/>
        <v>-3.0017657445556203E-3</v>
      </c>
      <c r="G3475" s="415"/>
      <c r="H3475" s="415" t="str">
        <f>VLOOKUP(B3475,indexy!$A$44:$D$823,3,FALSE)</f>
        <v>EDP PL Equity</v>
      </c>
      <c r="J3475" s="434"/>
    </row>
    <row r="3476" spans="1:10" ht="12.75" hidden="1" customHeight="1" outlineLevel="1" x14ac:dyDescent="0.25">
      <c r="A3476" s="135">
        <v>0.05</v>
      </c>
      <c r="B3476" s="151" t="s">
        <v>4268</v>
      </c>
      <c r="C3476" s="2740">
        <v>17.236499999999999</v>
      </c>
      <c r="D3476" s="2738">
        <f>VLOOKUP(H3476,indexy!$C$44:$D$823,2,FALSE)</f>
        <v>11.445</v>
      </c>
      <c r="E3476" s="1463">
        <f t="shared" si="92"/>
        <v>-0.33600208859107128</v>
      </c>
      <c r="F3476" s="1494">
        <f t="shared" si="91"/>
        <v>-1.6800104429553566E-2</v>
      </c>
      <c r="G3476" s="415"/>
      <c r="H3476" s="415" t="str">
        <f>VLOOKUP(B3476,indexy!$A$44:$D$823,3,FALSE)</f>
        <v>FORTUM FH Equity</v>
      </c>
      <c r="J3476" s="434"/>
    </row>
    <row r="3477" spans="1:10" ht="12.75" hidden="1" customHeight="1" outlineLevel="1" x14ac:dyDescent="0.25">
      <c r="A3477" s="135">
        <v>7.0000000000000007E-2</v>
      </c>
      <c r="B3477" s="151" t="s">
        <v>3799</v>
      </c>
      <c r="C3477" s="410">
        <v>15.1584</v>
      </c>
      <c r="D3477" s="2738">
        <f>VLOOKUP(H3477,indexy!$C$44:$D$823,2,FALSE)/100</f>
        <v>17.085999999999999</v>
      </c>
      <c r="E3477" s="1463">
        <f t="shared" si="92"/>
        <v>0.12716381676166333</v>
      </c>
      <c r="F3477" s="1494">
        <f t="shared" si="91"/>
        <v>8.9014671733164338E-3</v>
      </c>
      <c r="G3477" s="415"/>
      <c r="H3477" s="415" t="str">
        <f>VLOOKUP(B3477,indexy!$A$44:$D$823,3,FALSE)</f>
        <v>GSK LN Equity</v>
      </c>
      <c r="J3477" s="434"/>
    </row>
    <row r="3478" spans="1:10" ht="12.75" hidden="1" customHeight="1" outlineLevel="1" x14ac:dyDescent="0.25">
      <c r="A3478" s="135">
        <v>0.02</v>
      </c>
      <c r="B3478" s="151" t="s">
        <v>10501</v>
      </c>
      <c r="C3478" s="410">
        <v>763.29</v>
      </c>
      <c r="D3478" s="2738">
        <f>VLOOKUP(H3478,indexy!$C$44:$D$823,2,FALSE)</f>
        <v>1522.5</v>
      </c>
      <c r="E3478" s="1463">
        <f t="shared" si="92"/>
        <v>0.99465471839012709</v>
      </c>
      <c r="F3478" s="1494">
        <f t="shared" si="91"/>
        <v>1.9893094367802542E-2</v>
      </c>
      <c r="G3478" s="415"/>
      <c r="H3478" s="415" t="str">
        <f>VLOOKUP(B3478,indexy!$A$44:$D$823,3,FALSE)</f>
        <v>6178 JT Equity</v>
      </c>
      <c r="J3478" s="434"/>
    </row>
    <row r="3479" spans="1:10" ht="12.75" hidden="1" customHeight="1" outlineLevel="1" x14ac:dyDescent="0.25">
      <c r="A3479" s="135">
        <v>0.02</v>
      </c>
      <c r="B3479" s="151" t="s">
        <v>4143</v>
      </c>
      <c r="C3479" s="410">
        <v>2.1747999999999998</v>
      </c>
      <c r="D3479" s="2738">
        <f>VLOOKUP(H3479,indexy!$C$44:$D$823,2,FALSE)</f>
        <v>3.4660000000000002</v>
      </c>
      <c r="E3479" s="1463">
        <f t="shared" si="92"/>
        <v>0.59370976641530282</v>
      </c>
      <c r="F3479" s="1494">
        <f t="shared" si="91"/>
        <v>1.1874195328306057E-2</v>
      </c>
      <c r="G3479" s="415"/>
      <c r="H3479" s="415" t="str">
        <f>VLOOKUP(B3479,indexy!$A$44:$D$823,3,FALSE)</f>
        <v>KPN NA Equity</v>
      </c>
      <c r="J3479" s="434"/>
    </row>
    <row r="3480" spans="1:10" ht="12.75" hidden="1" customHeight="1" outlineLevel="1" x14ac:dyDescent="0.25">
      <c r="A3480" s="135">
        <v>0.08</v>
      </c>
      <c r="B3480" s="151" t="s">
        <v>3528</v>
      </c>
      <c r="C3480" s="410">
        <f>140.87*10</f>
        <v>1408.7</v>
      </c>
      <c r="D3480" s="2738">
        <f>VLOOKUP(H3480,indexy!$C$44:$D$823,2,FALSE)</f>
        <v>2988</v>
      </c>
      <c r="E3480" s="1463">
        <f t="shared" si="92"/>
        <v>1.121104564492085</v>
      </c>
      <c r="F3480" s="1494">
        <f t="shared" si="91"/>
        <v>8.9688365159366804E-2</v>
      </c>
      <c r="G3480" s="415"/>
      <c r="H3480" s="415" t="str">
        <f>VLOOKUP(B3480,indexy!$A$44:$D$823,3,FALSE)</f>
        <v>8411 JT Equity</v>
      </c>
      <c r="J3480" s="434"/>
    </row>
    <row r="3481" spans="1:10" ht="12.75" hidden="1" customHeight="1" outlineLevel="1" x14ac:dyDescent="0.25">
      <c r="A3481" s="135">
        <v>0.02</v>
      </c>
      <c r="B3481" s="151" t="s">
        <v>1772</v>
      </c>
      <c r="C3481" s="410">
        <v>245.16</v>
      </c>
      <c r="D3481" s="2738">
        <f>VLOOKUP(H3481,indexy!$C$44:$D$823,2,FALSE)</f>
        <v>452.3</v>
      </c>
      <c r="E3481" s="1463">
        <f t="shared" si="92"/>
        <v>0.84491760482949907</v>
      </c>
      <c r="F3481" s="1494">
        <f t="shared" si="91"/>
        <v>1.6898352096589981E-2</v>
      </c>
      <c r="G3481" s="415"/>
      <c r="H3481" s="415" t="str">
        <f>VLOOKUP(B3481,indexy!$A$44:$D$823,3,FALSE)</f>
        <v>MUV2 GY Equity</v>
      </c>
      <c r="J3481" s="434"/>
    </row>
    <row r="3482" spans="1:10" ht="12.75" hidden="1" customHeight="1" outlineLevel="1" x14ac:dyDescent="0.25">
      <c r="A3482" s="135">
        <v>0.03</v>
      </c>
      <c r="B3482" s="151" t="s">
        <v>2786</v>
      </c>
      <c r="C3482" s="410">
        <v>8.5256000000000007</v>
      </c>
      <c r="D3482" s="2738">
        <f>VLOOKUP(H3482,indexy!$C$44:$D$823,2,FALSE)/100</f>
        <v>10.66</v>
      </c>
      <c r="E3482" s="1463">
        <f t="shared" si="92"/>
        <v>0.25035188139251185</v>
      </c>
      <c r="F3482" s="1494">
        <f t="shared" si="91"/>
        <v>7.5105564417753557E-3</v>
      </c>
      <c r="G3482" s="415"/>
      <c r="H3482" s="415" t="str">
        <f>VLOOKUP(B3482,indexy!$A$44:$D$823,3,FALSE)</f>
        <v>NG/ LN Equity</v>
      </c>
      <c r="J3482" s="434"/>
    </row>
    <row r="3483" spans="1:10" ht="12.75" hidden="1" customHeight="1" outlineLevel="1" x14ac:dyDescent="0.25">
      <c r="A3483" s="135">
        <v>0.02</v>
      </c>
      <c r="B3483" s="151" t="s">
        <v>5824</v>
      </c>
      <c r="C3483" s="410">
        <v>9.4865999999999993</v>
      </c>
      <c r="D3483" s="2738">
        <f>VLOOKUP(H3483,indexy!$C$44:$D$823,2,FALSE)</f>
        <v>10.888</v>
      </c>
      <c r="E3483" s="1463">
        <f t="shared" si="92"/>
        <v>0.14772415828642504</v>
      </c>
      <c r="F3483" s="1494">
        <f t="shared" si="91"/>
        <v>2.9544831657285012E-3</v>
      </c>
      <c r="G3483" s="415"/>
      <c r="H3483" s="415" t="str">
        <f>VLOOKUP(B3483,indexy!$A$44:$D$823,3,FALSE)</f>
        <v>ORA FP Equity</v>
      </c>
      <c r="J3483" s="434"/>
    </row>
    <row r="3484" spans="1:10" ht="12.75" hidden="1" customHeight="1" outlineLevel="1" x14ac:dyDescent="0.25">
      <c r="A3484" s="135">
        <v>0.02</v>
      </c>
      <c r="B3484" s="151" t="s">
        <v>2777</v>
      </c>
      <c r="C3484" s="410">
        <v>49.128500000000003</v>
      </c>
      <c r="D3484" s="2738">
        <f>VLOOKUP(H3484,indexy!$C$44:$D$823,2,FALSE)/100</f>
        <v>50.17</v>
      </c>
      <c r="E3484" s="1463">
        <f t="shared" si="92"/>
        <v>2.1199507414229934E-2</v>
      </c>
      <c r="F3484" s="1494">
        <f t="shared" si="91"/>
        <v>4.239901482845987E-4</v>
      </c>
      <c r="G3484" s="415"/>
      <c r="H3484" s="415" t="str">
        <f>VLOOKUP(B3484,indexy!$A$44:$D$823,3,FALSE)</f>
        <v>RIO LN Equity</v>
      </c>
      <c r="J3484" s="434"/>
    </row>
    <row r="3485" spans="1:10" ht="12.75" hidden="1" customHeight="1" outlineLevel="1" x14ac:dyDescent="0.25">
      <c r="A3485" s="135">
        <v>0.08</v>
      </c>
      <c r="B3485" s="151" t="s">
        <v>6116</v>
      </c>
      <c r="C3485" s="410">
        <v>4.3939000000000004</v>
      </c>
      <c r="D3485" s="2738">
        <f>VLOOKUP(H3485,indexy!$C$44:$D$823,2,FALSE)</f>
        <v>4.3760000000000003</v>
      </c>
      <c r="E3485" s="1463">
        <f t="shared" si="92"/>
        <v>-4.0738296274380748E-3</v>
      </c>
      <c r="F3485" s="1494">
        <f t="shared" si="91"/>
        <v>-3.25906370195046E-4</v>
      </c>
      <c r="G3485" s="415"/>
      <c r="H3485" s="415" t="str">
        <f>VLOOKUP(B3485,indexy!$A$44:$D$823,3,FALSE)</f>
        <v>SRG IM Equity</v>
      </c>
      <c r="J3485" s="434"/>
    </row>
    <row r="3486" spans="1:10" ht="12.75" hidden="1" customHeight="1" outlineLevel="1" x14ac:dyDescent="0.25">
      <c r="A3486" s="135">
        <v>0.02</v>
      </c>
      <c r="B3486" s="151" t="s">
        <v>3427</v>
      </c>
      <c r="C3486" s="410">
        <v>52.753999999999998</v>
      </c>
      <c r="D3486" s="2738">
        <f>VLOOKUP(H3486,indexy!$C$44:$D$823,2,FALSE)</f>
        <v>71.739999999999995</v>
      </c>
      <c r="E3486" s="1463">
        <f t="shared" si="92"/>
        <v>0.35989687985745156</v>
      </c>
      <c r="F3486" s="1494">
        <f t="shared" si="91"/>
        <v>7.1979375971490313E-3</v>
      </c>
      <c r="G3486" s="415"/>
      <c r="H3486" s="415" t="str">
        <f>VLOOKUP(B3486,indexy!$A$44:$D$823,3,FALSE)</f>
        <v>SO UN Equity</v>
      </c>
      <c r="J3486" s="434"/>
    </row>
    <row r="3487" spans="1:10" ht="12.75" hidden="1" customHeight="1" outlineLevel="1" x14ac:dyDescent="0.25">
      <c r="A3487" s="135">
        <v>0.02</v>
      </c>
      <c r="B3487" s="151" t="s">
        <v>1857</v>
      </c>
      <c r="C3487" s="410">
        <v>12.151</v>
      </c>
      <c r="D3487" s="2738">
        <f>VLOOKUP(H3487,indexy!$C$44:$D$823,2,FALSE)/100</f>
        <v>16.5</v>
      </c>
      <c r="E3487" s="1463">
        <f t="shared" si="92"/>
        <v>0.35791292897703886</v>
      </c>
      <c r="F3487" s="1494">
        <f t="shared" si="91"/>
        <v>7.1582585795407772E-3</v>
      </c>
      <c r="G3487" s="415"/>
      <c r="H3487" s="415" t="str">
        <f>VLOOKUP(B3487,indexy!$A$44:$D$823,3,FALSE)</f>
        <v>SSE LN Equity</v>
      </c>
      <c r="J3487" s="434"/>
    </row>
    <row r="3488" spans="1:10" ht="12.75" hidden="1" customHeight="1" outlineLevel="1" x14ac:dyDescent="0.25">
      <c r="A3488" s="135">
        <v>0.02</v>
      </c>
      <c r="B3488" s="151" t="s">
        <v>9173</v>
      </c>
      <c r="C3488" s="410">
        <v>374.88</v>
      </c>
      <c r="D3488" s="2738">
        <f>VLOOKUP(H3488,indexy!$C$44:$D$823,2,FALSE)</f>
        <v>632.20000000000005</v>
      </c>
      <c r="E3488" s="1463">
        <f t="shared" si="92"/>
        <v>0.686406316688007</v>
      </c>
      <c r="F3488" s="1494">
        <f t="shared" si="91"/>
        <v>1.372812633376014E-2</v>
      </c>
      <c r="G3488" s="415"/>
      <c r="H3488" s="415" t="str">
        <f>VLOOKUP(B3488,indexy!$A$44:$D$823,3,FALSE)</f>
        <v>SLHN SE Equity</v>
      </c>
      <c r="J3488" s="434"/>
    </row>
    <row r="3489" spans="1:10" ht="12.75" hidden="1" customHeight="1" outlineLevel="1" x14ac:dyDescent="0.25">
      <c r="A3489" s="135">
        <v>0.05</v>
      </c>
      <c r="B3489" s="151" t="s">
        <v>3383</v>
      </c>
      <c r="C3489" s="410">
        <v>149.08000000000001</v>
      </c>
      <c r="D3489" s="2738">
        <f>VLOOKUP(H3489,indexy!$C$44:$D$823,2,FALSE)</f>
        <v>120.75</v>
      </c>
      <c r="E3489" s="1463">
        <f t="shared" si="92"/>
        <v>-0.19003219747786426</v>
      </c>
      <c r="F3489" s="1494">
        <f>E3489*A3489</f>
        <v>-9.5016098738932141E-3</v>
      </c>
      <c r="G3489" s="415"/>
      <c r="H3489" s="415" t="str">
        <f>VLOOKUP(B3489,indexy!$A$44:$D$823,3,FALSE)</f>
        <v>TEL NO Equity</v>
      </c>
      <c r="J3489" s="434"/>
    </row>
    <row r="3490" spans="1:10" ht="12.75" hidden="1" customHeight="1" outlineLevel="1" x14ac:dyDescent="0.25">
      <c r="A3490" s="135">
        <v>0.05</v>
      </c>
      <c r="B3490" s="151" t="s">
        <v>3921</v>
      </c>
      <c r="C3490" s="410">
        <v>6.0233999999999996</v>
      </c>
      <c r="D3490" s="2738">
        <f>VLOOKUP(H3490,indexy!$C$44:$D$946,2,FALSE)</f>
        <v>7.66</v>
      </c>
      <c r="E3490" s="1463">
        <f t="shared" si="92"/>
        <v>0.27170700933027869</v>
      </c>
      <c r="F3490" s="1494">
        <f>E3490*A3490</f>
        <v>1.3585350466513935E-2</v>
      </c>
      <c r="G3490" s="415"/>
      <c r="H3490" s="415" t="str">
        <f>VLOOKUP(B3490,indexy!$A$44:$D$946,3,FALSE)</f>
        <v>TRN IM Equity</v>
      </c>
      <c r="J3490" s="434"/>
    </row>
    <row r="3491" spans="1:10" ht="12.75" hidden="1" customHeight="1" outlineLevel="1" x14ac:dyDescent="0.25">
      <c r="A3491" s="135">
        <v>0.04</v>
      </c>
      <c r="B3491" s="151" t="s">
        <v>3903</v>
      </c>
      <c r="C3491" s="410">
        <v>26.632999999999999</v>
      </c>
      <c r="D3491" s="2738">
        <f>VLOOKUP(H3491,indexy!$C$44:$D$823,2,FALSE)</f>
        <v>30.87</v>
      </c>
      <c r="E3491" s="1463">
        <f t="shared" si="92"/>
        <v>0.15908834904066382</v>
      </c>
      <c r="F3491" s="1494">
        <f>E3491*A3491</f>
        <v>6.3635339616265529E-3</v>
      </c>
      <c r="G3491" s="415"/>
      <c r="H3491" s="415" t="str">
        <f>VLOOKUP(B3491,indexy!$A$44:$D$823,3,FALSE)</f>
        <v>UPM FH Equity</v>
      </c>
      <c r="J3491" s="434"/>
    </row>
    <row r="3492" spans="1:10" ht="12.75" hidden="1" customHeight="1" outlineLevel="1" x14ac:dyDescent="0.25">
      <c r="A3492" s="135">
        <v>0.02</v>
      </c>
      <c r="B3492" s="151" t="s">
        <v>255</v>
      </c>
      <c r="C3492" s="410">
        <v>60.116</v>
      </c>
      <c r="D3492" s="2738">
        <f>VLOOKUP(H3492,indexy!$C$44:$D$823,2,FALSE)</f>
        <v>41.96</v>
      </c>
      <c r="E3492" s="1463">
        <f t="shared" si="92"/>
        <v>-0.30201610220240871</v>
      </c>
      <c r="F3492" s="1494">
        <f>E3492*A3492</f>
        <v>-6.0403220440481747E-3</v>
      </c>
      <c r="G3492" s="415"/>
      <c r="H3492" s="415" t="str">
        <f>VLOOKUP(B3492,indexy!$A$44:$D$823,3,FALSE)</f>
        <v>VZ UN Equity</v>
      </c>
      <c r="J3492" s="434"/>
    </row>
    <row r="3493" spans="1:10" ht="12.75" hidden="1" customHeight="1" outlineLevel="1" x14ac:dyDescent="0.25">
      <c r="A3493" s="135">
        <v>0.02</v>
      </c>
      <c r="B3493" s="2736" t="s">
        <v>4550</v>
      </c>
      <c r="C3493" s="2741">
        <v>341.3</v>
      </c>
      <c r="D3493" s="2739">
        <f>VLOOKUP(H3493,indexy!$C$44:$D$823,2,FALSE)</f>
        <v>486.3</v>
      </c>
      <c r="E3493" s="1463">
        <f t="shared" si="92"/>
        <v>0.42484617638441247</v>
      </c>
      <c r="F3493" s="1494">
        <f>E3493*A3493</f>
        <v>8.496923527688249E-3</v>
      </c>
      <c r="G3493" s="415"/>
      <c r="H3493" s="415" t="str">
        <f>VLOOKUP(B3493,indexy!$A$44:$D$823,3,FALSE)</f>
        <v>ZURN SE Equity</v>
      </c>
      <c r="J3493" s="434"/>
    </row>
    <row r="3494" spans="1:10" ht="12.75" hidden="1" customHeight="1" outlineLevel="1" x14ac:dyDescent="0.25">
      <c r="A3494" s="1475" t="s">
        <v>2734</v>
      </c>
      <c r="B3494" s="150"/>
      <c r="C3494" s="1477">
        <v>100</v>
      </c>
      <c r="D3494" s="1477"/>
      <c r="E3494" s="1599"/>
      <c r="F3494" s="1599">
        <f>SUM(F3464:F3493)</f>
        <v>0.34347160120167547</v>
      </c>
      <c r="G3494" s="415"/>
      <c r="H3494" s="415"/>
    </row>
    <row r="3495" spans="1:10" ht="12.75" hidden="1" customHeight="1" outlineLevel="1" x14ac:dyDescent="0.25">
      <c r="A3495" s="221"/>
      <c r="B3495" s="1478">
        <v>46266</v>
      </c>
      <c r="C3495" s="1497">
        <v>100</v>
      </c>
      <c r="D3495" s="1497"/>
      <c r="E3495" s="1498">
        <f>IF(D3495="",$F$3494,D3495/C3495-1)</f>
        <v>0.34347160120167547</v>
      </c>
      <c r="F3495" s="1499"/>
      <c r="G3495" s="415"/>
      <c r="H3495" s="415"/>
    </row>
    <row r="3496" spans="1:10" ht="12.75" hidden="1" customHeight="1" outlineLevel="1" x14ac:dyDescent="0.25">
      <c r="A3496" s="221"/>
      <c r="B3496" s="1478">
        <v>46296</v>
      </c>
      <c r="C3496" s="1497">
        <v>100</v>
      </c>
      <c r="D3496" s="1500"/>
      <c r="E3496" s="1498">
        <f t="shared" ref="E3496:E3506" si="93">IF(D3496="",$F$3494,D3496/C3496-1)</f>
        <v>0.34347160120167547</v>
      </c>
      <c r="F3496" s="1499"/>
      <c r="G3496" s="415"/>
      <c r="H3496" s="415"/>
    </row>
    <row r="3497" spans="1:10" ht="12.75" hidden="1" customHeight="1" outlineLevel="1" x14ac:dyDescent="0.25">
      <c r="A3497" s="221"/>
      <c r="B3497" s="1478">
        <v>46327</v>
      </c>
      <c r="C3497" s="1497">
        <v>100</v>
      </c>
      <c r="D3497" s="1500"/>
      <c r="E3497" s="1498">
        <f t="shared" si="93"/>
        <v>0.34347160120167547</v>
      </c>
      <c r="F3497" s="1499"/>
      <c r="G3497" s="415"/>
      <c r="H3497" s="415"/>
    </row>
    <row r="3498" spans="1:10" ht="12.75" hidden="1" customHeight="1" outlineLevel="1" x14ac:dyDescent="0.25">
      <c r="A3498" s="221"/>
      <c r="B3498" s="1478">
        <v>46357</v>
      </c>
      <c r="C3498" s="1497">
        <v>100</v>
      </c>
      <c r="D3498" s="1500"/>
      <c r="E3498" s="1498">
        <f t="shared" si="93"/>
        <v>0.34347160120167547</v>
      </c>
      <c r="F3498" s="1499"/>
      <c r="G3498" s="415"/>
      <c r="H3498" s="415"/>
    </row>
    <row r="3499" spans="1:10" ht="12.75" hidden="1" customHeight="1" outlineLevel="1" x14ac:dyDescent="0.25">
      <c r="A3499" s="221"/>
      <c r="B3499" s="1478">
        <v>46388</v>
      </c>
      <c r="C3499" s="1497">
        <v>100</v>
      </c>
      <c r="D3499" s="1500"/>
      <c r="E3499" s="1498">
        <f t="shared" si="93"/>
        <v>0.34347160120167547</v>
      </c>
      <c r="F3499" s="1499"/>
      <c r="G3499" s="415"/>
      <c r="H3499" s="415"/>
    </row>
    <row r="3500" spans="1:10" ht="12.75" hidden="1" customHeight="1" outlineLevel="1" x14ac:dyDescent="0.25">
      <c r="A3500" s="221"/>
      <c r="B3500" s="1478">
        <v>46419</v>
      </c>
      <c r="C3500" s="1497">
        <v>100</v>
      </c>
      <c r="D3500" s="1500"/>
      <c r="E3500" s="1498">
        <f t="shared" si="93"/>
        <v>0.34347160120167547</v>
      </c>
      <c r="F3500" s="1499"/>
      <c r="G3500" s="415"/>
      <c r="H3500" s="415"/>
    </row>
    <row r="3501" spans="1:10" ht="12.75" hidden="1" customHeight="1" outlineLevel="1" x14ac:dyDescent="0.25">
      <c r="A3501" s="221"/>
      <c r="B3501" s="1478">
        <v>46447</v>
      </c>
      <c r="C3501" s="1497">
        <v>100</v>
      </c>
      <c r="D3501" s="1500"/>
      <c r="E3501" s="1498">
        <f t="shared" si="93"/>
        <v>0.34347160120167547</v>
      </c>
      <c r="F3501" s="1499"/>
      <c r="G3501" s="415"/>
      <c r="H3501" s="415"/>
    </row>
    <row r="3502" spans="1:10" ht="12.75" hidden="1" customHeight="1" outlineLevel="1" x14ac:dyDescent="0.25">
      <c r="A3502" s="221"/>
      <c r="B3502" s="1478">
        <v>46478</v>
      </c>
      <c r="C3502" s="1497">
        <v>100</v>
      </c>
      <c r="D3502" s="1500"/>
      <c r="E3502" s="1498">
        <f t="shared" si="93"/>
        <v>0.34347160120167547</v>
      </c>
      <c r="F3502" s="1499"/>
      <c r="G3502" s="415"/>
      <c r="H3502" s="415"/>
    </row>
    <row r="3503" spans="1:10" ht="12.75" hidden="1" customHeight="1" outlineLevel="1" x14ac:dyDescent="0.25">
      <c r="A3503" s="221"/>
      <c r="B3503" s="1478">
        <v>46508</v>
      </c>
      <c r="C3503" s="1497">
        <v>100</v>
      </c>
      <c r="D3503" s="1500"/>
      <c r="E3503" s="1498">
        <f t="shared" si="93"/>
        <v>0.34347160120167547</v>
      </c>
      <c r="F3503" s="1499"/>
      <c r="G3503" s="415"/>
      <c r="H3503" s="415"/>
    </row>
    <row r="3504" spans="1:10" ht="12.75" hidden="1" customHeight="1" outlineLevel="1" x14ac:dyDescent="0.25">
      <c r="A3504" s="221"/>
      <c r="B3504" s="1478">
        <v>46539</v>
      </c>
      <c r="C3504" s="1497">
        <v>100</v>
      </c>
      <c r="D3504" s="1500"/>
      <c r="E3504" s="1498">
        <f t="shared" si="93"/>
        <v>0.34347160120167547</v>
      </c>
      <c r="F3504" s="1499"/>
      <c r="G3504" s="415"/>
      <c r="H3504" s="415"/>
    </row>
    <row r="3505" spans="1:18" ht="12.75" hidden="1" customHeight="1" outlineLevel="1" x14ac:dyDescent="0.25">
      <c r="A3505" s="221"/>
      <c r="B3505" s="1478">
        <v>46569</v>
      </c>
      <c r="C3505" s="1497">
        <v>100</v>
      </c>
      <c r="D3505" s="1500"/>
      <c r="E3505" s="1498">
        <f t="shared" si="93"/>
        <v>0.34347160120167547</v>
      </c>
      <c r="F3505" s="1499"/>
      <c r="G3505" s="415"/>
      <c r="H3505" s="415"/>
    </row>
    <row r="3506" spans="1:18" ht="12.75" hidden="1" customHeight="1" outlineLevel="1" x14ac:dyDescent="0.25">
      <c r="A3506" s="221"/>
      <c r="B3506" s="1478">
        <v>46600</v>
      </c>
      <c r="C3506" s="1497">
        <v>100</v>
      </c>
      <c r="D3506" s="1500"/>
      <c r="E3506" s="1498">
        <f t="shared" si="93"/>
        <v>0.34347160120167547</v>
      </c>
      <c r="F3506" s="1499"/>
      <c r="G3506" s="415"/>
      <c r="H3506" s="415"/>
    </row>
    <row r="3507" spans="1:18" s="444" customFormat="1" ht="12.75" hidden="1" customHeight="1" outlineLevel="1" x14ac:dyDescent="0.25">
      <c r="A3507" s="1483" t="s">
        <v>2734</v>
      </c>
      <c r="B3507" s="1484"/>
      <c r="C3507" s="1500"/>
      <c r="D3507" s="1485" t="s">
        <v>2465</v>
      </c>
      <c r="E3507" s="1486">
        <f>AVERAGE(E3495:E3506)</f>
        <v>0.34347160120167558</v>
      </c>
      <c r="F3507" s="1487">
        <f>((((E3507*100)+100)-I3464)/100)</f>
        <v>0.38013060120167552</v>
      </c>
    </row>
    <row r="3508" spans="1:18" collapsed="1" x14ac:dyDescent="0.25">
      <c r="A3508" s="3799" t="s">
        <v>10443</v>
      </c>
      <c r="B3508" s="3800"/>
      <c r="C3508" s="3800"/>
      <c r="D3508" s="3800"/>
      <c r="E3508" s="18"/>
      <c r="F3508" s="186">
        <f>MAX(-10%,MIN(F3507,40%))</f>
        <v>0.38013060120167552</v>
      </c>
      <c r="G3508" s="415"/>
    </row>
    <row r="3510" spans="1:18" ht="12.75" hidden="1" customHeight="1" outlineLevel="1" x14ac:dyDescent="0.25">
      <c r="A3510" s="1677" t="s">
        <v>4156</v>
      </c>
      <c r="B3510" s="1677" t="s">
        <v>4153</v>
      </c>
      <c r="C3510" s="1305" t="s">
        <v>112</v>
      </c>
      <c r="D3510" s="1678" t="s">
        <v>4155</v>
      </c>
      <c r="E3510" s="1677" t="s">
        <v>4154</v>
      </c>
      <c r="F3510" s="1678" t="s">
        <v>2519</v>
      </c>
      <c r="G3510" s="12"/>
      <c r="H3510" s="415"/>
      <c r="I3510" s="412" t="s">
        <v>6964</v>
      </c>
      <c r="J3510" s="1462">
        <v>44136</v>
      </c>
      <c r="K3510" s="1462">
        <v>44166</v>
      </c>
      <c r="L3510" s="1462">
        <v>44197</v>
      </c>
      <c r="M3510" s="1462">
        <v>44228</v>
      </c>
      <c r="N3510" s="1462">
        <v>44256</v>
      </c>
      <c r="O3510" s="1462">
        <v>44287</v>
      </c>
      <c r="P3510" s="1462"/>
      <c r="Q3510" s="1462"/>
      <c r="R3510" s="1462"/>
    </row>
    <row r="3511" spans="1:18" ht="12.75" hidden="1" customHeight="1" outlineLevel="1" x14ac:dyDescent="0.25">
      <c r="A3511" s="134">
        <v>0.02</v>
      </c>
      <c r="B3511" s="151" t="s">
        <v>7111</v>
      </c>
      <c r="C3511" s="454">
        <v>86.021000000000001</v>
      </c>
      <c r="D3511" s="2737">
        <f>VLOOKUP(H3511,indexy!$C$44:$D$823,2,FALSE)</f>
        <v>182.1</v>
      </c>
      <c r="E3511" s="1466">
        <f>D3511/C3511-1</f>
        <v>1.1169249369340042</v>
      </c>
      <c r="F3511" s="1492">
        <f>E3511*A3511</f>
        <v>2.2338498738680084E-2</v>
      </c>
      <c r="G3511" s="415"/>
      <c r="H3511" s="415" t="str">
        <f>VLOOKUP(B3511,indexy!$A$44:$D$823,3,FALSE)</f>
        <v>ABBV UN Equity</v>
      </c>
      <c r="I3511" s="412">
        <f>IF(J3511="",100,MIN(100,J3511:Y3511))</f>
        <v>97.049599999999998</v>
      </c>
      <c r="J3511">
        <v>97.049599999999998</v>
      </c>
      <c r="K3511">
        <v>106.33280000000001</v>
      </c>
      <c r="L3511">
        <v>107.1133</v>
      </c>
      <c r="M3511">
        <v>106.2531</v>
      </c>
      <c r="N3511">
        <v>108.6268</v>
      </c>
      <c r="O3511">
        <v>114.5701</v>
      </c>
    </row>
    <row r="3512" spans="1:18" ht="12.75" hidden="1" customHeight="1" outlineLevel="1" x14ac:dyDescent="0.25">
      <c r="A3512" s="135">
        <v>0.02</v>
      </c>
      <c r="B3512" s="151" t="s">
        <v>359</v>
      </c>
      <c r="C3512" s="410">
        <v>165.51599999999999</v>
      </c>
      <c r="D3512" s="2738">
        <f>VLOOKUP(H3512,indexy!$C$44:$D$823,2,FALSE)</f>
        <v>277.8</v>
      </c>
      <c r="E3512" s="1463">
        <f>D3512/C3512-1</f>
        <v>0.67838758790690945</v>
      </c>
      <c r="F3512" s="1494">
        <f t="shared" ref="F3512:F3535" si="94">E3512*A3512</f>
        <v>1.3567751758138189E-2</v>
      </c>
      <c r="G3512" s="415"/>
      <c r="H3512" s="415" t="str">
        <f>VLOOKUP(B3512,indexy!$A$44:$D$823,3,FALSE)</f>
        <v>ALV GY Equity</v>
      </c>
      <c r="I3512" s="422">
        <f>+(((E3554*100)+100)-I3511)/100</f>
        <v>0.39754624804281152</v>
      </c>
    </row>
    <row r="3513" spans="1:18" ht="12.75" hidden="1" customHeight="1" outlineLevel="1" x14ac:dyDescent="0.25">
      <c r="A3513" s="135">
        <v>0.08</v>
      </c>
      <c r="B3513" s="151" t="s">
        <v>2697</v>
      </c>
      <c r="C3513" s="410">
        <v>12.269500000000001</v>
      </c>
      <c r="D3513" s="2738">
        <f>VLOOKUP(H3513,indexy!$C$44:$D$823,2,FALSE)</f>
        <v>23.46</v>
      </c>
      <c r="E3513" s="1463">
        <f t="shared" ref="E3513:E3540" si="95">D3513/C3513-1</f>
        <v>0.91205835608623009</v>
      </c>
      <c r="F3513" s="1494">
        <f t="shared" si="94"/>
        <v>7.2964668486898407E-2</v>
      </c>
      <c r="G3513" s="415"/>
      <c r="H3513" s="415" t="str">
        <f>VLOOKUP(B3513,indexy!$A$44:$D$823,3,FALSE)</f>
        <v>G IM Equity</v>
      </c>
      <c r="J3513" s="434"/>
    </row>
    <row r="3514" spans="1:18" ht="12.75" hidden="1" customHeight="1" outlineLevel="1" x14ac:dyDescent="0.25">
      <c r="A3514" s="135">
        <v>0.02</v>
      </c>
      <c r="B3514" s="151" t="s">
        <v>807</v>
      </c>
      <c r="C3514" s="410">
        <v>55.872</v>
      </c>
      <c r="D3514" s="2738">
        <f>VLOOKUP(H3514,indexy!$C$44:$D$823,2,FALSE)</f>
        <v>46.03</v>
      </c>
      <c r="E3514" s="1463">
        <f t="shared" si="95"/>
        <v>-0.17615263459335617</v>
      </c>
      <c r="F3514" s="1494">
        <f t="shared" si="94"/>
        <v>-3.5230526918671235E-3</v>
      </c>
      <c r="G3514" s="415"/>
      <c r="H3514" s="415" t="str">
        <f>VLOOKUP(B3514,indexy!$A$44:$D$823,3,FALSE)</f>
        <v>BCE CT Equity</v>
      </c>
      <c r="J3514" s="434"/>
      <c r="K3514" s="37"/>
    </row>
    <row r="3515" spans="1:18" ht="12.75" hidden="1" customHeight="1" outlineLevel="1" x14ac:dyDescent="0.25">
      <c r="A3515" s="135">
        <v>0.02</v>
      </c>
      <c r="B3515" s="151" t="s">
        <v>3954</v>
      </c>
      <c r="C3515" s="410">
        <f>100.957/2</f>
        <v>50.478499999999997</v>
      </c>
      <c r="D3515" s="2738">
        <f>VLOOKUP(H3515,indexy!$C$44:$D$823,2,FALSE)</f>
        <v>68.67</v>
      </c>
      <c r="E3515" s="1463">
        <f t="shared" si="95"/>
        <v>0.3603811523718019</v>
      </c>
      <c r="F3515" s="1494">
        <f t="shared" si="94"/>
        <v>7.2076230474360384E-3</v>
      </c>
      <c r="G3515" s="415"/>
      <c r="H3515" s="415" t="str">
        <f>VLOOKUP(B3515,indexy!$A$44:$D$823,3,FALSE)</f>
        <v>CM CT Equity</v>
      </c>
      <c r="J3515" s="434"/>
    </row>
    <row r="3516" spans="1:18" ht="12.75" hidden="1" customHeight="1" outlineLevel="1" x14ac:dyDescent="0.25">
      <c r="A3516" s="135">
        <v>7.0000000000000007E-2</v>
      </c>
      <c r="B3516" s="151" t="s">
        <v>8678</v>
      </c>
      <c r="C3516" s="410">
        <v>68.981999999999999</v>
      </c>
      <c r="D3516" s="2738">
        <f>VLOOKUP(H3516,indexy!$C$44:$D$823,2,FALSE)</f>
        <v>120.34</v>
      </c>
      <c r="E3516" s="1463">
        <f t="shared" si="95"/>
        <v>0.74451306137833062</v>
      </c>
      <c r="F3516" s="1494">
        <f t="shared" si="94"/>
        <v>5.211591429648315E-2</v>
      </c>
      <c r="G3516" s="415"/>
      <c r="H3516" s="415" t="str">
        <f>VLOOKUP(B3516,indexy!$A$44:$D$823,3,FALSE)</f>
        <v>CBA AT Equity</v>
      </c>
      <c r="J3516" s="434"/>
    </row>
    <row r="3517" spans="1:18" ht="12.75" hidden="1" customHeight="1" outlineLevel="1" x14ac:dyDescent="0.25">
      <c r="A3517" s="135">
        <v>0.02</v>
      </c>
      <c r="B3517" s="151" t="s">
        <v>2629</v>
      </c>
      <c r="C3517" s="410">
        <v>14.1515</v>
      </c>
      <c r="D3517" s="2738">
        <f>VLOOKUP(H3517,indexy!$C$44:$D$823,2,FALSE)</f>
        <v>22.5</v>
      </c>
      <c r="E3517" s="1463">
        <f t="shared" si="95"/>
        <v>0.58993746245980994</v>
      </c>
      <c r="F3517" s="1494">
        <f t="shared" si="94"/>
        <v>1.1798749249196199E-2</v>
      </c>
      <c r="G3517" s="415"/>
      <c r="H3517" s="415" t="str">
        <f>VLOOKUP(B3517,indexy!$A$44:$D$823,3,FALSE)</f>
        <v>DTE GY Equity</v>
      </c>
      <c r="J3517" s="434"/>
    </row>
    <row r="3518" spans="1:18" ht="12.75" hidden="1" customHeight="1" outlineLevel="1" x14ac:dyDescent="0.25">
      <c r="A3518" s="135">
        <v>0.02</v>
      </c>
      <c r="B3518" s="151" t="s">
        <v>9591</v>
      </c>
      <c r="C3518" s="410">
        <v>81.331000000000003</v>
      </c>
      <c r="D3518" s="2738">
        <f>VLOOKUP(H3518,indexy!$C$44:$D$823,2,FALSE)</f>
        <v>49.19</v>
      </c>
      <c r="E3518" s="1463">
        <f t="shared" si="95"/>
        <v>-0.39518756685642631</v>
      </c>
      <c r="F3518" s="1494">
        <f t="shared" si="94"/>
        <v>-7.903751337128527E-3</v>
      </c>
      <c r="G3518" s="415"/>
      <c r="H3518" s="415" t="str">
        <f>VLOOKUP(B3518,indexy!$A$44:$D$823,3,FALSE)</f>
        <v>D UN Equity</v>
      </c>
      <c r="J3518" s="434"/>
    </row>
    <row r="3519" spans="1:18" ht="12.75" hidden="1" customHeight="1" outlineLevel="1" x14ac:dyDescent="0.25">
      <c r="A3519" s="135">
        <v>0.02</v>
      </c>
      <c r="B3519" s="151" t="s">
        <v>1231</v>
      </c>
      <c r="C3519" s="410">
        <v>92.611999999999995</v>
      </c>
      <c r="D3519" s="2738">
        <f>VLOOKUP(H3519,indexy!$C$44:$D$823,2,FALSE)</f>
        <v>96.71</v>
      </c>
      <c r="E3519" s="1463">
        <f t="shared" si="95"/>
        <v>4.424912538331971E-2</v>
      </c>
      <c r="F3519" s="1494">
        <f t="shared" si="94"/>
        <v>8.8498250766639425E-4</v>
      </c>
      <c r="G3519" s="415"/>
      <c r="H3519" s="415" t="str">
        <f>VLOOKUP(B3519,indexy!$A$44:$D$823,3,FALSE)</f>
        <v>DUK UN Equity</v>
      </c>
      <c r="J3519" s="434"/>
    </row>
    <row r="3520" spans="1:18" ht="12.75" hidden="1" customHeight="1" outlineLevel="1" x14ac:dyDescent="0.25">
      <c r="A3520" s="135">
        <v>0.02</v>
      </c>
      <c r="B3520" s="151" t="s">
        <v>4387</v>
      </c>
      <c r="C3520" s="410">
        <v>9.6712000000000007</v>
      </c>
      <c r="D3520" s="2738">
        <f>VLOOKUP(H3520,indexy!$C$44:$D$823,2,FALSE)</f>
        <v>12.885</v>
      </c>
      <c r="E3520" s="1463">
        <f t="shared" si="95"/>
        <v>0.33230622880304406</v>
      </c>
      <c r="F3520" s="1494">
        <f t="shared" si="94"/>
        <v>6.6461245760608811E-3</v>
      </c>
      <c r="G3520" s="415"/>
      <c r="H3520" s="415" t="str">
        <f>VLOOKUP(B3520,indexy!$A$44:$D$823,3,FALSE)</f>
        <v>EOAN GY Equity</v>
      </c>
      <c r="J3520" s="434"/>
    </row>
    <row r="3521" spans="1:10" ht="12.75" hidden="1" customHeight="1" outlineLevel="1" x14ac:dyDescent="0.25">
      <c r="A3521" s="135">
        <v>0.02</v>
      </c>
      <c r="B3521" s="151" t="s">
        <v>9171</v>
      </c>
      <c r="C3521" s="410">
        <v>23.792999999999999</v>
      </c>
      <c r="D3521" s="2738">
        <f>VLOOKUP(H3521,indexy!$C$44:$D$823,2,FALSE)</f>
        <v>17.164999999999999</v>
      </c>
      <c r="E3521" s="1463">
        <f t="shared" si="95"/>
        <v>-0.27856932711301641</v>
      </c>
      <c r="F3521" s="1494">
        <f t="shared" si="94"/>
        <v>-5.571386542260328E-3</v>
      </c>
      <c r="G3521" s="415"/>
      <c r="H3521" s="415" t="str">
        <f>VLOOKUP(B3521,indexy!$A$44:$D$823,3,FALSE)</f>
        <v>ELE SQ Equity</v>
      </c>
      <c r="J3521" s="434"/>
    </row>
    <row r="3522" spans="1:10" ht="12.75" hidden="1" customHeight="1" outlineLevel="1" x14ac:dyDescent="0.25">
      <c r="A3522" s="135">
        <v>0.02</v>
      </c>
      <c r="B3522" s="151" t="s">
        <v>2701</v>
      </c>
      <c r="C3522" s="410">
        <v>4.5030000000000001</v>
      </c>
      <c r="D3522" s="2738">
        <f>VLOOKUP(H3522,indexy!$C$44:$D$823,2,FALSE)</f>
        <v>3.61</v>
      </c>
      <c r="E3522" s="1463">
        <f t="shared" si="95"/>
        <v>-0.19831223628691985</v>
      </c>
      <c r="F3522" s="1494">
        <f t="shared" si="94"/>
        <v>-3.9662447257383972E-3</v>
      </c>
      <c r="G3522" s="415"/>
      <c r="H3522" s="415" t="str">
        <f>VLOOKUP(B3522,indexy!$A$44:$D$823,3,FALSE)</f>
        <v>EDP PL Equity</v>
      </c>
      <c r="J3522" s="434"/>
    </row>
    <row r="3523" spans="1:10" ht="12.75" hidden="1" customHeight="1" outlineLevel="1" x14ac:dyDescent="0.25">
      <c r="A3523" s="135">
        <v>0.05</v>
      </c>
      <c r="B3523" s="151" t="s">
        <v>4268</v>
      </c>
      <c r="C3523" s="2740">
        <v>18.09</v>
      </c>
      <c r="D3523" s="2738">
        <f>VLOOKUP(H3523,indexy!$C$44:$D$823,2,FALSE)</f>
        <v>11.445</v>
      </c>
      <c r="E3523" s="1463">
        <f t="shared" si="95"/>
        <v>-0.36733001658374786</v>
      </c>
      <c r="F3523" s="1494">
        <f t="shared" si="94"/>
        <v>-1.8366500829187393E-2</v>
      </c>
      <c r="G3523" s="415"/>
      <c r="H3523" s="415" t="str">
        <f>VLOOKUP(B3523,indexy!$A$44:$D$823,3,FALSE)</f>
        <v>FORTUM FH Equity</v>
      </c>
      <c r="J3523" s="434"/>
    </row>
    <row r="3524" spans="1:10" ht="12.75" hidden="1" customHeight="1" outlineLevel="1" x14ac:dyDescent="0.25">
      <c r="A3524" s="135">
        <v>7.0000000000000007E-2</v>
      </c>
      <c r="B3524" s="151" t="s">
        <v>3799</v>
      </c>
      <c r="C3524" s="410">
        <v>14.085599999999999</v>
      </c>
      <c r="D3524" s="2738">
        <f>VLOOKUP(H3524,indexy!$C$44:$D$823,2,FALSE)/100</f>
        <v>17.085999999999999</v>
      </c>
      <c r="E3524" s="1463">
        <f t="shared" si="95"/>
        <v>0.21301187027886637</v>
      </c>
      <c r="F3524" s="1494">
        <f t="shared" si="94"/>
        <v>1.4910830919520647E-2</v>
      </c>
      <c r="G3524" s="415"/>
      <c r="H3524" s="415" t="str">
        <f>VLOOKUP(B3524,indexy!$A$44:$D$823,3,FALSE)</f>
        <v>GSK LN Equity</v>
      </c>
      <c r="J3524" s="434"/>
    </row>
    <row r="3525" spans="1:10" ht="12.75" hidden="1" customHeight="1" outlineLevel="1" x14ac:dyDescent="0.25">
      <c r="A3525" s="135">
        <v>0.02</v>
      </c>
      <c r="B3525" s="151" t="s">
        <v>10501</v>
      </c>
      <c r="C3525" s="410">
        <v>736.32</v>
      </c>
      <c r="D3525" s="2738">
        <f>VLOOKUP(H3525,indexy!$C$44:$D$823,2,FALSE)</f>
        <v>1522.5</v>
      </c>
      <c r="E3525" s="1463">
        <f t="shared" si="95"/>
        <v>1.0677151238591915</v>
      </c>
      <c r="F3525" s="1494">
        <f t="shared" si="94"/>
        <v>2.1354302477183833E-2</v>
      </c>
      <c r="G3525" s="415"/>
      <c r="H3525" s="415" t="str">
        <f>VLOOKUP(B3525,indexy!$A$44:$D$823,3,FALSE)</f>
        <v>6178 JT Equity</v>
      </c>
      <c r="J3525" s="434"/>
    </row>
    <row r="3526" spans="1:10" ht="12.75" hidden="1" customHeight="1" outlineLevel="1" x14ac:dyDescent="0.25">
      <c r="A3526" s="135">
        <v>0.02</v>
      </c>
      <c r="B3526" s="151" t="s">
        <v>4143</v>
      </c>
      <c r="C3526" s="410">
        <v>2.3492999999999999</v>
      </c>
      <c r="D3526" s="2738">
        <f>VLOOKUP(H3526,indexy!$C$44:$D$823,2,FALSE)</f>
        <v>3.4660000000000002</v>
      </c>
      <c r="E3526" s="1463">
        <f t="shared" si="95"/>
        <v>0.47533307793810931</v>
      </c>
      <c r="F3526" s="1494">
        <f t="shared" si="94"/>
        <v>9.5066615587621871E-3</v>
      </c>
      <c r="G3526" s="415"/>
      <c r="H3526" s="415" t="str">
        <f>VLOOKUP(B3526,indexy!$A$44:$D$823,3,FALSE)</f>
        <v>KPN NA Equity</v>
      </c>
      <c r="J3526" s="434"/>
    </row>
    <row r="3527" spans="1:10" ht="12.75" hidden="1" customHeight="1" outlineLevel="1" x14ac:dyDescent="0.25">
      <c r="A3527" s="135">
        <v>0.08</v>
      </c>
      <c r="B3527" s="151" t="s">
        <v>3528</v>
      </c>
      <c r="C3527" s="410">
        <v>1313.35</v>
      </c>
      <c r="D3527" s="2738">
        <f>VLOOKUP(H3527,indexy!$C$44:$D$823,2,FALSE)</f>
        <v>2988</v>
      </c>
      <c r="E3527" s="1463">
        <f t="shared" si="95"/>
        <v>1.2750980317508662</v>
      </c>
      <c r="F3527" s="1494">
        <f t="shared" si="94"/>
        <v>0.1020078425400693</v>
      </c>
      <c r="G3527" s="415"/>
      <c r="H3527" s="415" t="str">
        <f>VLOOKUP(B3527,indexy!$A$44:$D$823,3,FALSE)</f>
        <v>8411 JT Equity</v>
      </c>
      <c r="J3527" s="434"/>
    </row>
    <row r="3528" spans="1:10" ht="12.75" hidden="1" customHeight="1" outlineLevel="1" x14ac:dyDescent="0.25">
      <c r="A3528" s="135">
        <v>0.02</v>
      </c>
      <c r="B3528" s="151" t="s">
        <v>1772</v>
      </c>
      <c r="C3528" s="410">
        <v>214.09</v>
      </c>
      <c r="D3528" s="2738">
        <f>VLOOKUP(H3528,indexy!$C$44:$D$823,2,FALSE)</f>
        <v>452.3</v>
      </c>
      <c r="E3528" s="1463">
        <f t="shared" si="95"/>
        <v>1.1126628987808864</v>
      </c>
      <c r="F3528" s="1494">
        <f t="shared" si="94"/>
        <v>2.2253257975617727E-2</v>
      </c>
      <c r="G3528" s="415"/>
      <c r="H3528" s="415" t="str">
        <f>VLOOKUP(B3528,indexy!$A$44:$D$823,3,FALSE)</f>
        <v>MUV2 GY Equity</v>
      </c>
      <c r="J3528" s="434"/>
    </row>
    <row r="3529" spans="1:10" ht="12.75" hidden="1" customHeight="1" outlineLevel="1" x14ac:dyDescent="0.25">
      <c r="A3529" s="135">
        <v>0.03</v>
      </c>
      <c r="B3529" s="151" t="s">
        <v>2786</v>
      </c>
      <c r="C3529" s="410">
        <v>9.3797999999999995</v>
      </c>
      <c r="D3529" s="2738">
        <f>VLOOKUP(H3529,indexy!$C$44:$D$823,2,FALSE)/100</f>
        <v>10.66</v>
      </c>
      <c r="E3529" s="1463">
        <f t="shared" si="95"/>
        <v>0.13648478645600126</v>
      </c>
      <c r="F3529" s="1494">
        <f t="shared" si="94"/>
        <v>4.0945435936800374E-3</v>
      </c>
      <c r="G3529" s="415"/>
      <c r="H3529" s="415" t="str">
        <f>VLOOKUP(B3529,indexy!$A$44:$D$823,3,FALSE)</f>
        <v>NG/ LN Equity</v>
      </c>
      <c r="J3529" s="434"/>
    </row>
    <row r="3530" spans="1:10" ht="12.75" hidden="1" customHeight="1" outlineLevel="1" x14ac:dyDescent="0.25">
      <c r="A3530" s="135">
        <v>0.02</v>
      </c>
      <c r="B3530" s="151" t="s">
        <v>5824</v>
      </c>
      <c r="C3530" s="410">
        <v>9.4871999999999996</v>
      </c>
      <c r="D3530" s="2738">
        <f>VLOOKUP(H3530,indexy!$C$44:$D$823,2,FALSE)</f>
        <v>10.888</v>
      </c>
      <c r="E3530" s="1463">
        <f t="shared" si="95"/>
        <v>0.14765157264524831</v>
      </c>
      <c r="F3530" s="1494">
        <f t="shared" si="94"/>
        <v>2.9530314529049662E-3</v>
      </c>
      <c r="G3530" s="415"/>
      <c r="H3530" s="415" t="str">
        <f>VLOOKUP(B3530,indexy!$A$44:$D$823,3,FALSE)</f>
        <v>ORA FP Equity</v>
      </c>
      <c r="J3530" s="434"/>
    </row>
    <row r="3531" spans="1:10" ht="12.75" hidden="1" customHeight="1" outlineLevel="1" x14ac:dyDescent="0.25">
      <c r="A3531" s="135">
        <v>0.02</v>
      </c>
      <c r="B3531" s="151" t="s">
        <v>2777</v>
      </c>
      <c r="C3531" s="410">
        <v>46.776000000000003</v>
      </c>
      <c r="D3531" s="2738">
        <f>VLOOKUP(H3531,indexy!$C$44:$D$823,2,FALSE)/100</f>
        <v>50.17</v>
      </c>
      <c r="E3531" s="1463">
        <f t="shared" si="95"/>
        <v>7.2558577048058792E-2</v>
      </c>
      <c r="F3531" s="1494">
        <f t="shared" si="94"/>
        <v>1.4511715409611758E-3</v>
      </c>
      <c r="G3531" s="415"/>
      <c r="H3531" s="415" t="str">
        <f>VLOOKUP(B3531,indexy!$A$44:$D$823,3,FALSE)</f>
        <v>RIO LN Equity</v>
      </c>
      <c r="J3531" s="434"/>
    </row>
    <row r="3532" spans="1:10" ht="12.75" hidden="1" customHeight="1" outlineLevel="1" x14ac:dyDescent="0.25">
      <c r="A3532" s="135">
        <v>0.08</v>
      </c>
      <c r="B3532" s="151" t="s">
        <v>6116</v>
      </c>
      <c r="C3532" s="410">
        <v>4.3703000000000003</v>
      </c>
      <c r="D3532" s="2738">
        <f>VLOOKUP(H3532,indexy!$C$44:$D$823,2,FALSE)</f>
        <v>4.3760000000000003</v>
      </c>
      <c r="E3532" s="1463">
        <f t="shared" si="95"/>
        <v>1.3042582889046805E-3</v>
      </c>
      <c r="F3532" s="1494">
        <f t="shared" si="94"/>
        <v>1.0434066311237444E-4</v>
      </c>
      <c r="G3532" s="415"/>
      <c r="H3532" s="415" t="str">
        <f>VLOOKUP(B3532,indexy!$A$44:$D$823,3,FALSE)</f>
        <v>SRG IM Equity</v>
      </c>
      <c r="J3532" s="434"/>
    </row>
    <row r="3533" spans="1:10" ht="12.75" hidden="1" customHeight="1" outlineLevel="1" x14ac:dyDescent="0.25">
      <c r="A3533" s="135">
        <v>0.02</v>
      </c>
      <c r="B3533" s="151" t="s">
        <v>3427</v>
      </c>
      <c r="C3533" s="410">
        <v>58.453000000000003</v>
      </c>
      <c r="D3533" s="2738">
        <f>VLOOKUP(H3533,indexy!$C$44:$D$823,2,FALSE)</f>
        <v>71.739999999999995</v>
      </c>
      <c r="E3533" s="1463">
        <f t="shared" si="95"/>
        <v>0.22731083092398996</v>
      </c>
      <c r="F3533" s="1494">
        <f t="shared" si="94"/>
        <v>4.5462166184797991E-3</v>
      </c>
      <c r="G3533" s="415"/>
      <c r="H3533" s="415" t="str">
        <f>VLOOKUP(B3533,indexy!$A$44:$D$823,3,FALSE)</f>
        <v>SO UN Equity</v>
      </c>
      <c r="J3533" s="434"/>
    </row>
    <row r="3534" spans="1:10" ht="12.75" hidden="1" customHeight="1" outlineLevel="1" x14ac:dyDescent="0.25">
      <c r="A3534" s="135">
        <v>0.02</v>
      </c>
      <c r="B3534" s="151" t="s">
        <v>1857</v>
      </c>
      <c r="C3534" s="410">
        <v>13.303000000000001</v>
      </c>
      <c r="D3534" s="2738">
        <f>VLOOKUP(H3534,indexy!$C$44:$D$823,2,FALSE)/100</f>
        <v>16.5</v>
      </c>
      <c r="E3534" s="1463">
        <f t="shared" si="95"/>
        <v>0.24032173194016382</v>
      </c>
      <c r="F3534" s="1494">
        <f t="shared" si="94"/>
        <v>4.8064346388032768E-3</v>
      </c>
      <c r="G3534" s="415"/>
      <c r="H3534" s="415" t="str">
        <f>VLOOKUP(B3534,indexy!$A$44:$D$823,3,FALSE)</f>
        <v>SSE LN Equity</v>
      </c>
      <c r="J3534" s="434"/>
    </row>
    <row r="3535" spans="1:10" ht="12.75" hidden="1" customHeight="1" outlineLevel="1" x14ac:dyDescent="0.25">
      <c r="A3535" s="135">
        <v>0.02</v>
      </c>
      <c r="B3535" s="151" t="s">
        <v>9173</v>
      </c>
      <c r="C3535" s="410">
        <v>347.1</v>
      </c>
      <c r="D3535" s="2738">
        <f>VLOOKUP(H3535,indexy!$C$44:$D$823,2,FALSE)</f>
        <v>632.20000000000005</v>
      </c>
      <c r="E3535" s="1463">
        <f t="shared" si="95"/>
        <v>0.82137712474791136</v>
      </c>
      <c r="F3535" s="1494">
        <f t="shared" si="94"/>
        <v>1.6427542494958227E-2</v>
      </c>
      <c r="G3535" s="415"/>
      <c r="H3535" s="415" t="str">
        <f>VLOOKUP(B3535,indexy!$A$44:$D$823,3,FALSE)</f>
        <v>SLHN SE Equity</v>
      </c>
      <c r="J3535" s="434"/>
    </row>
    <row r="3536" spans="1:10" ht="12.75" hidden="1" customHeight="1" outlineLevel="1" x14ac:dyDescent="0.25">
      <c r="A3536" s="135">
        <v>0.05</v>
      </c>
      <c r="B3536" s="151" t="s">
        <v>3383</v>
      </c>
      <c r="C3536" s="410">
        <v>152.21</v>
      </c>
      <c r="D3536" s="2738">
        <f>VLOOKUP(H3536,indexy!$C$44:$D$823,2,FALSE)</f>
        <v>120.75</v>
      </c>
      <c r="E3536" s="1463">
        <f t="shared" si="95"/>
        <v>-0.20668812824387361</v>
      </c>
      <c r="F3536" s="1494">
        <f>E3536*A3536</f>
        <v>-1.0334406412193681E-2</v>
      </c>
      <c r="G3536" s="415"/>
      <c r="H3536" s="415" t="str">
        <f>VLOOKUP(B3536,indexy!$A$44:$D$823,3,FALSE)</f>
        <v>TEL NO Equity</v>
      </c>
      <c r="J3536" s="434"/>
    </row>
    <row r="3537" spans="1:10" ht="12.75" hidden="1" customHeight="1" outlineLevel="1" x14ac:dyDescent="0.25">
      <c r="A3537" s="135">
        <v>0.05</v>
      </c>
      <c r="B3537" s="151" t="s">
        <v>3921</v>
      </c>
      <c r="C3537" s="410">
        <v>6.0457999999999998</v>
      </c>
      <c r="D3537" s="2738">
        <f>VLOOKUP(H3537,indexy!$C$44:$D$946,2,FALSE)</f>
        <v>7.66</v>
      </c>
      <c r="E3537" s="1463">
        <f t="shared" si="95"/>
        <v>0.26699526944324981</v>
      </c>
      <c r="F3537" s="1494">
        <f>E3537*A3537</f>
        <v>1.334976347216249E-2</v>
      </c>
      <c r="G3537" s="415"/>
      <c r="H3537" s="415" t="str">
        <f>VLOOKUP(B3537,indexy!$A$44:$D$946,3,FALSE)</f>
        <v>TRN IM Equity</v>
      </c>
      <c r="J3537" s="434"/>
    </row>
    <row r="3538" spans="1:10" ht="12.75" hidden="1" customHeight="1" outlineLevel="1" x14ac:dyDescent="0.25">
      <c r="A3538" s="135">
        <v>0.04</v>
      </c>
      <c r="B3538" s="151" t="s">
        <v>3903</v>
      </c>
      <c r="C3538" s="410">
        <v>26.196999999999999</v>
      </c>
      <c r="D3538" s="2738">
        <f>VLOOKUP(H3538,indexy!$C$44:$D$823,2,FALSE)</f>
        <v>30.87</v>
      </c>
      <c r="E3538" s="1463">
        <f t="shared" si="95"/>
        <v>0.17837920372561755</v>
      </c>
      <c r="F3538" s="1494">
        <f>E3538*A3538</f>
        <v>7.1351681490247022E-3</v>
      </c>
      <c r="G3538" s="415"/>
      <c r="H3538" s="415" t="str">
        <f>VLOOKUP(B3538,indexy!$A$44:$D$823,3,FALSE)</f>
        <v>UPM FH Equity</v>
      </c>
      <c r="J3538" s="434"/>
    </row>
    <row r="3539" spans="1:10" ht="12.75" hidden="1" customHeight="1" outlineLevel="1" x14ac:dyDescent="0.25">
      <c r="A3539" s="135">
        <v>0.02</v>
      </c>
      <c r="B3539" s="151" t="s">
        <v>255</v>
      </c>
      <c r="C3539" s="410">
        <v>58.337000000000003</v>
      </c>
      <c r="D3539" s="2738">
        <f>VLOOKUP(H3539,indexy!$C$44:$D$823,2,FALSE)</f>
        <v>41.96</v>
      </c>
      <c r="E3539" s="1463">
        <f t="shared" si="95"/>
        <v>-0.28073092548468381</v>
      </c>
      <c r="F3539" s="1494">
        <f>E3539*A3539</f>
        <v>-5.6146185096936762E-3</v>
      </c>
      <c r="G3539" s="415"/>
      <c r="H3539" s="415" t="str">
        <f>VLOOKUP(B3539,indexy!$A$44:$D$823,3,FALSE)</f>
        <v>VZ UN Equity</v>
      </c>
      <c r="J3539" s="434"/>
    </row>
    <row r="3540" spans="1:10" ht="12.75" hidden="1" customHeight="1" outlineLevel="1" x14ac:dyDescent="0.25">
      <c r="A3540" s="135">
        <v>0.02</v>
      </c>
      <c r="B3540" s="2736" t="s">
        <v>4550</v>
      </c>
      <c r="C3540" s="2741">
        <v>314.79000000000002</v>
      </c>
      <c r="D3540" s="2739">
        <f>VLOOKUP(H3540,indexy!$C$44:$D$823,2,FALSE)</f>
        <v>486.3</v>
      </c>
      <c r="E3540" s="1463">
        <f t="shared" si="95"/>
        <v>0.54483941675402647</v>
      </c>
      <c r="F3540" s="1494">
        <f>E3540*A3540</f>
        <v>1.089678833508053E-2</v>
      </c>
      <c r="G3540" s="415"/>
      <c r="H3540" s="415" t="str">
        <f>VLOOKUP(B3540,indexy!$A$44:$D$823,3,FALSE)</f>
        <v>ZURN SE Equity</v>
      </c>
      <c r="J3540" s="434"/>
    </row>
    <row r="3541" spans="1:10" ht="12.75" hidden="1" customHeight="1" outlineLevel="1" x14ac:dyDescent="0.25">
      <c r="A3541" s="1475" t="s">
        <v>2734</v>
      </c>
      <c r="B3541" s="150"/>
      <c r="C3541" s="1477">
        <v>100</v>
      </c>
      <c r="D3541" s="1477"/>
      <c r="E3541" s="1599"/>
      <c r="F3541" s="1599">
        <f>SUM(F3511:F3540)</f>
        <v>0.36804224804281144</v>
      </c>
      <c r="G3541" s="415"/>
      <c r="H3541" s="415"/>
    </row>
    <row r="3542" spans="1:10" ht="12.75" hidden="1" customHeight="1" outlineLevel="1" x14ac:dyDescent="0.25">
      <c r="A3542" s="221"/>
      <c r="B3542" s="1478">
        <v>46296</v>
      </c>
      <c r="C3542" s="1497">
        <v>100</v>
      </c>
      <c r="D3542" s="1497"/>
      <c r="E3542" s="1498">
        <f>IF(D3542="",$F$3541,D3542/C3542-1)</f>
        <v>0.36804224804281144</v>
      </c>
      <c r="F3542" s="1499"/>
      <c r="G3542" s="415"/>
      <c r="H3542" s="415"/>
    </row>
    <row r="3543" spans="1:10" ht="12.75" hidden="1" customHeight="1" outlineLevel="1" x14ac:dyDescent="0.25">
      <c r="A3543" s="221"/>
      <c r="B3543" s="1478">
        <v>46327</v>
      </c>
      <c r="C3543" s="1497">
        <v>100</v>
      </c>
      <c r="D3543" s="1500"/>
      <c r="E3543" s="1498">
        <f t="shared" ref="E3543:E3553" si="96">IF(D3543="",$F$3541,D3543/C3543-1)</f>
        <v>0.36804224804281144</v>
      </c>
      <c r="F3543" s="1499"/>
      <c r="G3543" s="415"/>
      <c r="H3543" s="415"/>
    </row>
    <row r="3544" spans="1:10" ht="12.75" hidden="1" customHeight="1" outlineLevel="1" x14ac:dyDescent="0.25">
      <c r="A3544" s="221"/>
      <c r="B3544" s="1478">
        <v>46357</v>
      </c>
      <c r="C3544" s="1497">
        <v>100</v>
      </c>
      <c r="D3544" s="1500"/>
      <c r="E3544" s="1498">
        <f t="shared" si="96"/>
        <v>0.36804224804281144</v>
      </c>
      <c r="F3544" s="1499"/>
      <c r="G3544" s="415"/>
      <c r="H3544" s="415"/>
    </row>
    <row r="3545" spans="1:10" ht="12.75" hidden="1" customHeight="1" outlineLevel="1" x14ac:dyDescent="0.25">
      <c r="A3545" s="221"/>
      <c r="B3545" s="1478">
        <v>46388</v>
      </c>
      <c r="C3545" s="1497">
        <v>100</v>
      </c>
      <c r="D3545" s="1500"/>
      <c r="E3545" s="1498">
        <f t="shared" si="96"/>
        <v>0.36804224804281144</v>
      </c>
      <c r="F3545" s="1499"/>
      <c r="G3545" s="415"/>
      <c r="H3545" s="415"/>
    </row>
    <row r="3546" spans="1:10" ht="12.75" hidden="1" customHeight="1" outlineLevel="1" x14ac:dyDescent="0.25">
      <c r="A3546" s="221"/>
      <c r="B3546" s="1478">
        <v>46419</v>
      </c>
      <c r="C3546" s="1497">
        <v>100</v>
      </c>
      <c r="D3546" s="1500"/>
      <c r="E3546" s="1498">
        <f t="shared" si="96"/>
        <v>0.36804224804281144</v>
      </c>
      <c r="F3546" s="1499"/>
      <c r="G3546" s="415"/>
      <c r="H3546" s="415"/>
    </row>
    <row r="3547" spans="1:10" ht="12.75" hidden="1" customHeight="1" outlineLevel="1" x14ac:dyDescent="0.25">
      <c r="A3547" s="221"/>
      <c r="B3547" s="1478">
        <v>46447</v>
      </c>
      <c r="C3547" s="1497">
        <v>100</v>
      </c>
      <c r="D3547" s="1500"/>
      <c r="E3547" s="1498">
        <f t="shared" si="96"/>
        <v>0.36804224804281144</v>
      </c>
      <c r="F3547" s="1499"/>
      <c r="G3547" s="415"/>
      <c r="H3547" s="415"/>
    </row>
    <row r="3548" spans="1:10" ht="12.75" hidden="1" customHeight="1" outlineLevel="1" x14ac:dyDescent="0.25">
      <c r="A3548" s="221"/>
      <c r="B3548" s="1478">
        <v>46478</v>
      </c>
      <c r="C3548" s="1497">
        <v>100</v>
      </c>
      <c r="D3548" s="1500"/>
      <c r="E3548" s="1498">
        <f t="shared" si="96"/>
        <v>0.36804224804281144</v>
      </c>
      <c r="F3548" s="1499"/>
      <c r="G3548" s="415"/>
      <c r="H3548" s="415"/>
    </row>
    <row r="3549" spans="1:10" ht="12.75" hidden="1" customHeight="1" outlineLevel="1" x14ac:dyDescent="0.25">
      <c r="A3549" s="221"/>
      <c r="B3549" s="1478">
        <v>46508</v>
      </c>
      <c r="C3549" s="1497">
        <v>100</v>
      </c>
      <c r="D3549" s="1500"/>
      <c r="E3549" s="1498">
        <f t="shared" si="96"/>
        <v>0.36804224804281144</v>
      </c>
      <c r="F3549" s="1499"/>
      <c r="G3549" s="415"/>
      <c r="H3549" s="415"/>
    </row>
    <row r="3550" spans="1:10" ht="12.75" hidden="1" customHeight="1" outlineLevel="1" x14ac:dyDescent="0.25">
      <c r="A3550" s="221"/>
      <c r="B3550" s="1478">
        <v>46539</v>
      </c>
      <c r="C3550" s="1497">
        <v>100</v>
      </c>
      <c r="D3550" s="1500"/>
      <c r="E3550" s="1498">
        <f t="shared" si="96"/>
        <v>0.36804224804281144</v>
      </c>
      <c r="F3550" s="1499"/>
      <c r="G3550" s="415"/>
      <c r="H3550" s="415"/>
    </row>
    <row r="3551" spans="1:10" ht="12.75" hidden="1" customHeight="1" outlineLevel="1" x14ac:dyDescent="0.25">
      <c r="A3551" s="221"/>
      <c r="B3551" s="1478">
        <v>46569</v>
      </c>
      <c r="C3551" s="1497">
        <v>100</v>
      </c>
      <c r="D3551" s="1500"/>
      <c r="E3551" s="1498">
        <f t="shared" si="96"/>
        <v>0.36804224804281144</v>
      </c>
      <c r="F3551" s="1499"/>
      <c r="G3551" s="415"/>
      <c r="H3551" s="415"/>
    </row>
    <row r="3552" spans="1:10" ht="12.75" hidden="1" customHeight="1" outlineLevel="1" x14ac:dyDescent="0.25">
      <c r="A3552" s="221"/>
      <c r="B3552" s="1478">
        <v>46600</v>
      </c>
      <c r="C3552" s="1497">
        <v>100</v>
      </c>
      <c r="D3552" s="1500"/>
      <c r="E3552" s="1498">
        <f t="shared" si="96"/>
        <v>0.36804224804281144</v>
      </c>
      <c r="F3552" s="1499"/>
      <c r="G3552" s="415"/>
      <c r="H3552" s="415"/>
    </row>
    <row r="3553" spans="1:18" ht="12.75" hidden="1" customHeight="1" outlineLevel="1" x14ac:dyDescent="0.25">
      <c r="A3553" s="221"/>
      <c r="B3553" s="1478">
        <v>46631</v>
      </c>
      <c r="C3553" s="1497">
        <v>100</v>
      </c>
      <c r="D3553" s="1500"/>
      <c r="E3553" s="1498">
        <f t="shared" si="96"/>
        <v>0.36804224804281144</v>
      </c>
      <c r="F3553" s="1499"/>
      <c r="G3553" s="415"/>
      <c r="H3553" s="415"/>
    </row>
    <row r="3554" spans="1:18" s="444" customFormat="1" ht="12.75" hidden="1" customHeight="1" outlineLevel="1" x14ac:dyDescent="0.25">
      <c r="A3554" s="1483" t="s">
        <v>2734</v>
      </c>
      <c r="B3554" s="1484"/>
      <c r="C3554" s="1500"/>
      <c r="D3554" s="1485" t="s">
        <v>2465</v>
      </c>
      <c r="E3554" s="1486">
        <f>AVERAGE(E3542:E3553)</f>
        <v>0.36804224804281144</v>
      </c>
      <c r="F3554" s="1487">
        <f>((((E3554*100)+100)-I3511)/100)</f>
        <v>0.39754624804281152</v>
      </c>
    </row>
    <row r="3555" spans="1:18" collapsed="1" x14ac:dyDescent="0.25">
      <c r="A3555" s="3799" t="s">
        <v>10499</v>
      </c>
      <c r="B3555" s="3800"/>
      <c r="C3555" s="3800"/>
      <c r="D3555" s="3800"/>
      <c r="E3555" s="18"/>
      <c r="F3555" s="186">
        <f>MAX(-10%,MIN(F3554,40%))</f>
        <v>0.39754624804281152</v>
      </c>
      <c r="G3555" s="415"/>
    </row>
    <row r="3557" spans="1:18" ht="12.75" hidden="1" customHeight="1" outlineLevel="1" x14ac:dyDescent="0.25">
      <c r="A3557" s="1677" t="s">
        <v>4156</v>
      </c>
      <c r="B3557" s="1677" t="s">
        <v>4153</v>
      </c>
      <c r="C3557" s="1305" t="s">
        <v>112</v>
      </c>
      <c r="D3557" s="1678" t="s">
        <v>4155</v>
      </c>
      <c r="E3557" s="1677" t="s">
        <v>4154</v>
      </c>
      <c r="F3557" s="1678" t="s">
        <v>2519</v>
      </c>
      <c r="G3557" s="12"/>
      <c r="H3557" s="415"/>
      <c r="I3557" s="412" t="s">
        <v>6964</v>
      </c>
      <c r="J3557" s="1462">
        <v>44166</v>
      </c>
      <c r="K3557" s="1462">
        <v>44197</v>
      </c>
      <c r="L3557" s="1462">
        <v>44228</v>
      </c>
      <c r="M3557" s="1462">
        <v>44256</v>
      </c>
      <c r="N3557" s="1462">
        <v>44287</v>
      </c>
      <c r="O3557" s="1462">
        <v>44317</v>
      </c>
      <c r="P3557" s="1462"/>
      <c r="Q3557" s="1462"/>
      <c r="R3557" s="1462"/>
    </row>
    <row r="3558" spans="1:18" ht="12.75" hidden="1" customHeight="1" outlineLevel="1" x14ac:dyDescent="0.25">
      <c r="A3558" s="135">
        <v>0.02</v>
      </c>
      <c r="B3558" s="151" t="s">
        <v>359</v>
      </c>
      <c r="C3558" s="454">
        <v>190.23400000000001</v>
      </c>
      <c r="D3558" s="2737">
        <f>VLOOKUP(H3558,indexy!$C$44:$D$823,2,FALSE)</f>
        <v>277.8</v>
      </c>
      <c r="E3558" s="1466">
        <f>D3558/C3558-1</f>
        <v>0.46030678007086001</v>
      </c>
      <c r="F3558" s="1492">
        <f>E3558*A3558</f>
        <v>9.2061356014171997E-3</v>
      </c>
      <c r="G3558" s="415"/>
      <c r="H3558" s="415" t="str">
        <f>VLOOKUP(B3558,indexy!$A$44:$D$823,3,FALSE)</f>
        <v>ALV GY Equity</v>
      </c>
      <c r="I3558" s="412">
        <f>IF(J3558="",100,MIN(100,J3558:Y3558))</f>
        <v>100</v>
      </c>
      <c r="J3558">
        <v>101.0125</v>
      </c>
      <c r="K3558">
        <v>100.7555</v>
      </c>
      <c r="L3558">
        <v>101.3751</v>
      </c>
      <c r="M3558">
        <v>104.3716</v>
      </c>
      <c r="N3558">
        <v>110.8171</v>
      </c>
      <c r="O3558">
        <v>114.5701</v>
      </c>
    </row>
    <row r="3559" spans="1:18" ht="12.75" hidden="1" customHeight="1" outlineLevel="1" x14ac:dyDescent="0.25">
      <c r="A3559" s="135">
        <v>0.03</v>
      </c>
      <c r="B3559" s="151" t="s">
        <v>2697</v>
      </c>
      <c r="C3559" s="410">
        <v>13.595000000000001</v>
      </c>
      <c r="D3559" s="2738">
        <f>VLOOKUP(H3559,indexy!$C$44:$D$823,2,FALSE)</f>
        <v>23.46</v>
      </c>
      <c r="E3559" s="1463">
        <f>D3559/C3559-1</f>
        <v>0.72563442442074289</v>
      </c>
      <c r="F3559" s="1494">
        <f t="shared" ref="F3559:F3582" si="97">E3559*A3559</f>
        <v>2.1769032732622286E-2</v>
      </c>
      <c r="G3559" s="415"/>
      <c r="H3559" s="415" t="str">
        <f>VLOOKUP(B3559,indexy!$A$44:$D$823,3,FALSE)</f>
        <v>G IM Equity</v>
      </c>
      <c r="I3559" s="422">
        <f>+(((E3601*100)+100)-I3558)/100</f>
        <v>0.45891183771710131</v>
      </c>
    </row>
    <row r="3560" spans="1:18" ht="12.75" hidden="1" customHeight="1" outlineLevel="1" x14ac:dyDescent="0.25">
      <c r="A3560" s="135">
        <v>0.02</v>
      </c>
      <c r="B3560" s="151" t="s">
        <v>807</v>
      </c>
      <c r="C3560" s="410">
        <v>55.860999999999997</v>
      </c>
      <c r="D3560" s="2738">
        <f>VLOOKUP(H3560,indexy!$C$44:$D$823,2,FALSE)</f>
        <v>46.03</v>
      </c>
      <c r="E3560" s="1463">
        <f t="shared" ref="E3560:E3587" si="98">D3560/C3560-1</f>
        <v>-0.17599040475465877</v>
      </c>
      <c r="F3560" s="1494">
        <f t="shared" si="97"/>
        <v>-3.5198080950931757E-3</v>
      </c>
      <c r="G3560" s="415"/>
      <c r="H3560" s="415" t="str">
        <f>VLOOKUP(B3560,indexy!$A$44:$D$823,3,FALSE)</f>
        <v>BCE CT Equity</v>
      </c>
      <c r="J3560" s="434"/>
    </row>
    <row r="3561" spans="1:18" ht="12.75" hidden="1" customHeight="1" outlineLevel="1" x14ac:dyDescent="0.25">
      <c r="A3561" s="135">
        <v>0.02</v>
      </c>
      <c r="B3561" s="151" t="s">
        <v>2629</v>
      </c>
      <c r="C3561" s="410">
        <v>14.8125</v>
      </c>
      <c r="D3561" s="2738">
        <f>VLOOKUP(H3561,indexy!$C$44:$D$823,2,FALSE)</f>
        <v>22.5</v>
      </c>
      <c r="E3561" s="1463">
        <f t="shared" si="98"/>
        <v>0.518987341772152</v>
      </c>
      <c r="F3561" s="1494">
        <f t="shared" si="97"/>
        <v>1.037974683544304E-2</v>
      </c>
      <c r="G3561" s="415"/>
      <c r="H3561" s="415" t="str">
        <f>VLOOKUP(B3561,indexy!$A$44:$D$823,3,FALSE)</f>
        <v>DTE GY Equity</v>
      </c>
      <c r="J3561" s="434"/>
      <c r="K3561" s="37"/>
    </row>
    <row r="3562" spans="1:18" ht="12.75" hidden="1" customHeight="1" outlineLevel="1" x14ac:dyDescent="0.25">
      <c r="A3562" s="135">
        <v>0.02</v>
      </c>
      <c r="B3562" s="151" t="s">
        <v>9591</v>
      </c>
      <c r="C3562" s="410">
        <v>83.988</v>
      </c>
      <c r="D3562" s="2738">
        <f>VLOOKUP(H3562,indexy!$C$44:$D$823,2,FALSE)</f>
        <v>49.19</v>
      </c>
      <c r="E3562" s="1463">
        <f t="shared" si="98"/>
        <v>-0.41432109348954616</v>
      </c>
      <c r="F3562" s="1494">
        <f t="shared" si="97"/>
        <v>-8.2864218697909237E-3</v>
      </c>
      <c r="G3562" s="415"/>
      <c r="H3562" s="415" t="str">
        <f>VLOOKUP(B3562,indexy!$A$44:$D$823,3,FALSE)</f>
        <v>D UN Equity</v>
      </c>
      <c r="J3562" s="434"/>
    </row>
    <row r="3563" spans="1:18" ht="12.75" hidden="1" customHeight="1" outlineLevel="1" x14ac:dyDescent="0.25">
      <c r="A3563" s="135">
        <v>0.02</v>
      </c>
      <c r="B3563" s="151" t="s">
        <v>1231</v>
      </c>
      <c r="C3563" s="410">
        <v>94.367999999999995</v>
      </c>
      <c r="D3563" s="2738">
        <f>VLOOKUP(H3563,indexy!$C$44:$D$823,2,FALSE)</f>
        <v>96.71</v>
      </c>
      <c r="E3563" s="1463">
        <f t="shared" si="98"/>
        <v>2.4817734825364424E-2</v>
      </c>
      <c r="F3563" s="1494">
        <f t="shared" si="97"/>
        <v>4.9635469650728843E-4</v>
      </c>
      <c r="G3563" s="415"/>
      <c r="H3563" s="415" t="str">
        <f>VLOOKUP(B3563,indexy!$A$44:$D$823,3,FALSE)</f>
        <v>DUK UN Equity</v>
      </c>
      <c r="J3563" s="434"/>
    </row>
    <row r="3564" spans="1:18" ht="12.75" hidden="1" customHeight="1" outlineLevel="1" x14ac:dyDescent="0.25">
      <c r="A3564" s="135">
        <v>0.02</v>
      </c>
      <c r="B3564" s="151" t="s">
        <v>4387</v>
      </c>
      <c r="C3564" s="410">
        <v>9.2642000000000007</v>
      </c>
      <c r="D3564" s="2738">
        <f>VLOOKUP(H3564,indexy!$C$44:$D$823,2,FALSE)</f>
        <v>12.885</v>
      </c>
      <c r="E3564" s="1463">
        <f t="shared" si="98"/>
        <v>0.39083784892381424</v>
      </c>
      <c r="F3564" s="1494">
        <f t="shared" si="97"/>
        <v>7.8167569784762855E-3</v>
      </c>
      <c r="G3564" s="415"/>
      <c r="H3564" s="415" t="str">
        <f>VLOOKUP(B3564,indexy!$A$44:$D$823,3,FALSE)</f>
        <v>EOAN GY Equity</v>
      </c>
      <c r="J3564" s="434"/>
    </row>
    <row r="3565" spans="1:18" ht="12.75" hidden="1" customHeight="1" outlineLevel="1" x14ac:dyDescent="0.25">
      <c r="A3565" s="135">
        <v>0.04</v>
      </c>
      <c r="B3565" s="151" t="s">
        <v>9171</v>
      </c>
      <c r="C3565" s="410">
        <v>24.274999999999999</v>
      </c>
      <c r="D3565" s="2738">
        <f>VLOOKUP(H3565,indexy!$C$44:$D$823,2,FALSE)</f>
        <v>17.164999999999999</v>
      </c>
      <c r="E3565" s="1463">
        <f t="shared" si="98"/>
        <v>-0.29289392378990731</v>
      </c>
      <c r="F3565" s="1494">
        <f t="shared" si="97"/>
        <v>-1.1715756951596292E-2</v>
      </c>
      <c r="G3565" s="415"/>
      <c r="H3565" s="415" t="str">
        <f>VLOOKUP(B3565,indexy!$A$44:$D$823,3,FALSE)</f>
        <v>ELE SQ Equity</v>
      </c>
      <c r="J3565" s="434"/>
    </row>
    <row r="3566" spans="1:18" ht="12.75" hidden="1" customHeight="1" outlineLevel="1" x14ac:dyDescent="0.25">
      <c r="A3566" s="135">
        <v>0.02</v>
      </c>
      <c r="B3566" s="151" t="s">
        <v>3798</v>
      </c>
      <c r="C3566" s="410">
        <v>8.0609000000000002</v>
      </c>
      <c r="D3566" s="2738">
        <f>VLOOKUP(H3566,indexy!$C$44:$D$823,2,FALSE)</f>
        <v>6.1189999999999998</v>
      </c>
      <c r="E3566" s="1463">
        <f t="shared" si="98"/>
        <v>-0.24090362118373887</v>
      </c>
      <c r="F3566" s="1494">
        <f t="shared" si="97"/>
        <v>-4.8180724236747772E-3</v>
      </c>
      <c r="G3566" s="415"/>
      <c r="H3566" s="415" t="str">
        <f>VLOOKUP(B3566,indexy!$A$44:$D$823,3,FALSE)</f>
        <v>ENEL IM Equity</v>
      </c>
      <c r="J3566" s="434"/>
    </row>
    <row r="3567" spans="1:18" ht="12.75" hidden="1" customHeight="1" outlineLevel="1" x14ac:dyDescent="0.25">
      <c r="A3567" s="135">
        <v>0.03</v>
      </c>
      <c r="B3567" s="151" t="s">
        <v>4268</v>
      </c>
      <c r="C3567" s="410">
        <v>17.441500000000001</v>
      </c>
      <c r="D3567" s="2738">
        <f>VLOOKUP(H3567,indexy!$C$44:$D$823,2,FALSE)</f>
        <v>11.445</v>
      </c>
      <c r="E3567" s="1463">
        <f t="shared" si="98"/>
        <v>-0.34380643866639915</v>
      </c>
      <c r="F3567" s="1494">
        <f t="shared" si="97"/>
        <v>-1.0314193159991974E-2</v>
      </c>
      <c r="G3567" s="415"/>
      <c r="H3567" s="415" t="str">
        <f>VLOOKUP(B3567,indexy!$A$44:$D$823,3,FALSE)</f>
        <v>FORTUM FH Equity</v>
      </c>
      <c r="J3567" s="434"/>
    </row>
    <row r="3568" spans="1:18" ht="12.75" hidden="1" customHeight="1" outlineLevel="1" x14ac:dyDescent="0.25">
      <c r="A3568" s="135">
        <v>0.02</v>
      </c>
      <c r="B3568" s="151" t="s">
        <v>7574</v>
      </c>
      <c r="C3568" s="410">
        <v>45.814</v>
      </c>
      <c r="D3568" s="2738">
        <f>VLOOKUP(H3568,indexy!$C$44:$D$823,2,FALSE)</f>
        <v>81.66</v>
      </c>
      <c r="E3568" s="1463">
        <f t="shared" si="98"/>
        <v>0.78242458637097823</v>
      </c>
      <c r="F3568" s="1494">
        <f t="shared" si="97"/>
        <v>1.5648491727419566E-2</v>
      </c>
      <c r="G3568" s="415"/>
      <c r="H3568" s="415" t="str">
        <f>VLOOKUP(B3568,indexy!$A$44:$D$823,3,FALSE)</f>
        <v>HOLN SE Equity</v>
      </c>
      <c r="J3568" s="434"/>
    </row>
    <row r="3569" spans="1:10" ht="12.75" hidden="1" customHeight="1" outlineLevel="1" x14ac:dyDescent="0.25">
      <c r="A3569" s="135">
        <v>0.08</v>
      </c>
      <c r="B3569" s="151" t="s">
        <v>3526</v>
      </c>
      <c r="C3569" s="410">
        <v>452.61</v>
      </c>
      <c r="D3569" s="2738">
        <f>VLOOKUP(H3569,indexy!$C$44:$D$823,2,FALSE)</f>
        <v>1535</v>
      </c>
      <c r="E3569" s="1463">
        <f t="shared" si="98"/>
        <v>2.3914407547336558</v>
      </c>
      <c r="F3569" s="1494">
        <f t="shared" si="97"/>
        <v>0.19131526037869248</v>
      </c>
      <c r="G3569" s="415"/>
      <c r="H3569" s="415" t="str">
        <f>VLOOKUP(B3569,indexy!$A$44:$D$823,3,FALSE)</f>
        <v>8306 JT Equity</v>
      </c>
      <c r="J3569" s="434"/>
    </row>
    <row r="3570" spans="1:10" ht="12.75" hidden="1" customHeight="1" outlineLevel="1" x14ac:dyDescent="0.25">
      <c r="A3570" s="135">
        <v>0.02</v>
      </c>
      <c r="B3570" s="151" t="s">
        <v>5164</v>
      </c>
      <c r="C3570" s="2740">
        <v>1807.75</v>
      </c>
      <c r="D3570" s="2738">
        <f>VLOOKUP(H3570,indexy!$C$44:$D$823,2,FALSE)</f>
        <v>7043</v>
      </c>
      <c r="E3570" s="1463">
        <f t="shared" si="98"/>
        <v>2.8960033190430092</v>
      </c>
      <c r="F3570" s="1494">
        <f t="shared" si="97"/>
        <v>5.7920066380860183E-2</v>
      </c>
      <c r="G3570" s="415"/>
      <c r="H3570" s="415" t="str">
        <f>VLOOKUP(B3570,indexy!$A$44:$D$823,3,FALSE)</f>
        <v>8031 JT equity</v>
      </c>
      <c r="J3570" s="434"/>
    </row>
    <row r="3571" spans="1:10" ht="12.75" hidden="1" customHeight="1" outlineLevel="1" x14ac:dyDescent="0.25">
      <c r="A3571" s="135">
        <v>0.02</v>
      </c>
      <c r="B3571" s="151" t="s">
        <v>10528</v>
      </c>
      <c r="C3571" s="410">
        <v>3130.95</v>
      </c>
      <c r="D3571" s="2738">
        <f>VLOOKUP(H3571,indexy!$C$44:$D$823,2,FALSE)</f>
        <v>2664.5</v>
      </c>
      <c r="E3571" s="1463">
        <f t="shared" si="98"/>
        <v>-0.14898034142991734</v>
      </c>
      <c r="F3571" s="1494">
        <f t="shared" si="97"/>
        <v>-2.9796068285983467E-3</v>
      </c>
      <c r="G3571" s="415"/>
      <c r="H3571" s="415" t="str">
        <f>VLOOKUP(B3571,indexy!$A$44:$D$823,3,FALSE)</f>
        <v>8725 JT Equity</v>
      </c>
      <c r="J3571" s="434"/>
    </row>
    <row r="3572" spans="1:10" ht="12.75" hidden="1" customHeight="1" outlineLevel="1" x14ac:dyDescent="0.25">
      <c r="A3572" s="135">
        <v>0.02</v>
      </c>
      <c r="B3572" s="151" t="s">
        <v>2786</v>
      </c>
      <c r="C3572" s="410">
        <v>9.4445999999999994</v>
      </c>
      <c r="D3572" s="2738">
        <f>VLOOKUP(H3572,indexy!$C$44:$D$823,2,FALSE)/100</f>
        <v>10.66</v>
      </c>
      <c r="E3572" s="1463">
        <f t="shared" si="98"/>
        <v>0.12868729220930497</v>
      </c>
      <c r="F3572" s="1494">
        <f t="shared" si="97"/>
        <v>2.5737458441860996E-3</v>
      </c>
      <c r="G3572" s="415"/>
      <c r="H3572" s="415" t="str">
        <f>VLOOKUP(B3572,indexy!$A$44:$D$823,3,FALSE)</f>
        <v>NG/ LN Equity</v>
      </c>
      <c r="J3572" s="434"/>
    </row>
    <row r="3573" spans="1:10" ht="12.75" hidden="1" customHeight="1" outlineLevel="1" x14ac:dyDescent="0.25">
      <c r="A3573" s="135">
        <v>0.02</v>
      </c>
      <c r="B3573" s="151" t="s">
        <v>9767</v>
      </c>
      <c r="C3573" s="410">
        <v>18.770499999999998</v>
      </c>
      <c r="D3573" s="2738">
        <f>VLOOKUP(H3573,indexy!$C$44:$D$823,2,FALSE)</f>
        <v>20.100000000000001</v>
      </c>
      <c r="E3573" s="1463">
        <f t="shared" si="98"/>
        <v>7.0829226712128213E-2</v>
      </c>
      <c r="F3573" s="1494">
        <f t="shared" si="97"/>
        <v>1.4165845342425643E-3</v>
      </c>
      <c r="G3573" s="415"/>
      <c r="H3573" s="415" t="str">
        <f>VLOOKUP(B3573,indexy!$A$44:$D$823,3,FALSE)</f>
        <v>NTGY SQ Equity</v>
      </c>
      <c r="J3573" s="434"/>
    </row>
    <row r="3574" spans="1:10" ht="12.75" hidden="1" customHeight="1" outlineLevel="1" x14ac:dyDescent="0.25">
      <c r="A3574" s="135">
        <v>0.03</v>
      </c>
      <c r="B3574" s="151" t="s">
        <v>5824</v>
      </c>
      <c r="C3574" s="410">
        <v>10.1623</v>
      </c>
      <c r="D3574" s="2738">
        <f>VLOOKUP(H3574,indexy!$C$44:$D$823,2,FALSE)</f>
        <v>10.888</v>
      </c>
      <c r="E3574" s="1463">
        <f t="shared" si="98"/>
        <v>7.141099947846441E-2</v>
      </c>
      <c r="F3574" s="1494">
        <f t="shared" si="97"/>
        <v>2.1423299843539322E-3</v>
      </c>
      <c r="G3574" s="415"/>
      <c r="H3574" s="415" t="str">
        <f>VLOOKUP(B3574,indexy!$A$44:$D$823,3,FALSE)</f>
        <v>ORA FP Equity</v>
      </c>
      <c r="J3574" s="434"/>
    </row>
    <row r="3575" spans="1:10" ht="12.75" hidden="1" customHeight="1" outlineLevel="1" x14ac:dyDescent="0.25">
      <c r="A3575" s="135">
        <v>0.08</v>
      </c>
      <c r="B3575" s="151" t="s">
        <v>6116</v>
      </c>
      <c r="C3575" s="410">
        <v>4.5473999999999997</v>
      </c>
      <c r="D3575" s="2738">
        <f>VLOOKUP(H3575,indexy!$C$44:$D$823,2,FALSE)</f>
        <v>4.3760000000000003</v>
      </c>
      <c r="E3575" s="1463">
        <f t="shared" si="98"/>
        <v>-3.7691867880547014E-2</v>
      </c>
      <c r="F3575" s="1494">
        <f t="shared" si="97"/>
        <v>-3.015349430443761E-3</v>
      </c>
      <c r="G3575" s="415"/>
      <c r="H3575" s="415" t="str">
        <f>VLOOKUP(B3575,indexy!$A$44:$D$823,3,FALSE)</f>
        <v>SRG IM Equity</v>
      </c>
      <c r="J3575" s="434"/>
    </row>
    <row r="3576" spans="1:10" ht="12.75" hidden="1" customHeight="1" outlineLevel="1" x14ac:dyDescent="0.25">
      <c r="A3576" s="135">
        <v>0.08</v>
      </c>
      <c r="B3576" s="151" t="s">
        <v>10529</v>
      </c>
      <c r="C3576" s="410">
        <v>1253.5</v>
      </c>
      <c r="D3576" s="2738">
        <f>VLOOKUP(H3576,indexy!$C$44:$D$823,2,FALSE)</f>
        <v>1941</v>
      </c>
      <c r="E3576" s="1463">
        <f t="shared" si="98"/>
        <v>0.5484642999601117</v>
      </c>
      <c r="F3576" s="1494">
        <f t="shared" si="97"/>
        <v>4.3877143996808934E-2</v>
      </c>
      <c r="G3576" s="415"/>
      <c r="H3576" s="415" t="str">
        <f>VLOOKUP(B3576,indexy!$A$44:$D$823,3,FALSE)</f>
        <v>9434 JT Equity</v>
      </c>
      <c r="J3576" s="434"/>
    </row>
    <row r="3577" spans="1:10" ht="12.75" hidden="1" customHeight="1" outlineLevel="1" x14ac:dyDescent="0.25">
      <c r="A3577" s="135">
        <v>0.05</v>
      </c>
      <c r="B3577" s="151" t="s">
        <v>702</v>
      </c>
      <c r="C3577" s="410">
        <v>3109.1</v>
      </c>
      <c r="D3577" s="2738">
        <f>VLOOKUP(H3577,indexy!$C$44:$D$823,2,FALSE)</f>
        <v>8832</v>
      </c>
      <c r="E3577" s="1463">
        <f t="shared" si="98"/>
        <v>1.8406934482647714</v>
      </c>
      <c r="F3577" s="1494">
        <f t="shared" si="97"/>
        <v>9.203467241323858E-2</v>
      </c>
      <c r="G3577" s="415"/>
      <c r="H3577" s="415" t="str">
        <f>VLOOKUP(B3577,indexy!$A$44:$D$823,3,FALSE)</f>
        <v>8316 JT Equity</v>
      </c>
      <c r="J3577" s="434"/>
    </row>
    <row r="3578" spans="1:10" ht="12.75" hidden="1" customHeight="1" outlineLevel="1" x14ac:dyDescent="0.25">
      <c r="A3578" s="135">
        <v>0.02</v>
      </c>
      <c r="B3578" s="151" t="s">
        <v>9173</v>
      </c>
      <c r="C3578" s="410">
        <v>381.9</v>
      </c>
      <c r="D3578" s="2738">
        <f>VLOOKUP(H3578,indexy!$C$44:$D$823,2,FALSE)</f>
        <v>632.20000000000005</v>
      </c>
      <c r="E3578" s="1463">
        <f t="shared" si="98"/>
        <v>0.65540717465305076</v>
      </c>
      <c r="F3578" s="1494">
        <f t="shared" si="97"/>
        <v>1.3108143493061015E-2</v>
      </c>
      <c r="G3578" s="415"/>
      <c r="H3578" s="415" t="str">
        <f>VLOOKUP(B3578,indexy!$A$44:$D$823,3,FALSE)</f>
        <v>SLHN SE Equity</v>
      </c>
      <c r="J3578" s="434"/>
    </row>
    <row r="3579" spans="1:10" ht="12.75" hidden="1" customHeight="1" outlineLevel="1" x14ac:dyDescent="0.25">
      <c r="A3579" s="135">
        <v>0.08</v>
      </c>
      <c r="B3579" s="151" t="s">
        <v>1239</v>
      </c>
      <c r="C3579" s="410">
        <v>479.98</v>
      </c>
      <c r="D3579" s="2738">
        <f>VLOOKUP(H3579,indexy!$C$44:$D$823,2,FALSE)</f>
        <v>551.4</v>
      </c>
      <c r="E3579" s="1463">
        <f t="shared" si="98"/>
        <v>0.14879786657777405</v>
      </c>
      <c r="F3579" s="1494">
        <f t="shared" si="97"/>
        <v>1.1903829326221924E-2</v>
      </c>
      <c r="G3579" s="415"/>
      <c r="H3579" s="415" t="str">
        <f>VLOOKUP(B3579,indexy!$A$44:$D$823,3,FALSE)</f>
        <v>SCMN SE Equity</v>
      </c>
      <c r="J3579" s="434"/>
    </row>
    <row r="3580" spans="1:10" ht="12.75" hidden="1" customHeight="1" outlineLevel="1" x14ac:dyDescent="0.25">
      <c r="A3580" s="135">
        <v>0.02</v>
      </c>
      <c r="B3580" s="151" t="s">
        <v>3383</v>
      </c>
      <c r="C3580" s="410">
        <v>153.405</v>
      </c>
      <c r="D3580" s="2738">
        <f>VLOOKUP(H3580,indexy!$C$44:$D$823,2,FALSE)</f>
        <v>120.75</v>
      </c>
      <c r="E3580" s="1463">
        <f t="shared" si="98"/>
        <v>-0.21286789869952083</v>
      </c>
      <c r="F3580" s="1494">
        <f t="shared" si="97"/>
        <v>-4.2573579739904168E-3</v>
      </c>
      <c r="G3580" s="415"/>
      <c r="H3580" s="415" t="str">
        <f>VLOOKUP(B3580,indexy!$A$44:$D$823,3,FALSE)</f>
        <v>TEL NO Equity</v>
      </c>
      <c r="J3580" s="434"/>
    </row>
    <row r="3581" spans="1:10" ht="12.75" hidden="1" customHeight="1" outlineLevel="1" x14ac:dyDescent="0.25">
      <c r="A3581" s="135">
        <v>0.08</v>
      </c>
      <c r="B3581" s="151" t="s">
        <v>434</v>
      </c>
      <c r="C3581" s="410">
        <v>35.951000000000001</v>
      </c>
      <c r="D3581" s="2738">
        <f>VLOOKUP(H3581,indexy!$C$44:$D$823,2,FALSE)</f>
        <v>27.43</v>
      </c>
      <c r="E3581" s="1463">
        <f t="shared" si="98"/>
        <v>-0.2370170509860644</v>
      </c>
      <c r="F3581" s="1494">
        <f t="shared" si="97"/>
        <v>-1.8961364078885153E-2</v>
      </c>
      <c r="G3581" s="415"/>
      <c r="H3581" s="415" t="str">
        <f>VLOOKUP(B3581,indexy!$A$44:$D$823,3,FALSE)</f>
        <v>TELIA SS Equity</v>
      </c>
      <c r="J3581" s="434"/>
    </row>
    <row r="3582" spans="1:10" ht="12.75" hidden="1" customHeight="1" outlineLevel="1" x14ac:dyDescent="0.25">
      <c r="A3582" s="135">
        <v>0.02</v>
      </c>
      <c r="B3582" s="151" t="s">
        <v>3665</v>
      </c>
      <c r="C3582" s="410">
        <v>24.564</v>
      </c>
      <c r="D3582" s="2738">
        <f>VLOOKUP(H3582,indexy!$C$44:$D$823,2,FALSE)</f>
        <v>21.67</v>
      </c>
      <c r="E3582" s="1463">
        <f t="shared" si="98"/>
        <v>-0.11781468816153717</v>
      </c>
      <c r="F3582" s="1494">
        <f t="shared" si="97"/>
        <v>-2.3562937632307436E-3</v>
      </c>
      <c r="G3582" s="415"/>
      <c r="H3582" s="415" t="str">
        <f>VLOOKUP(B3582,indexy!$A$44:$D$823,3,FALSE)</f>
        <v>T CT Equity</v>
      </c>
      <c r="J3582" s="434"/>
    </row>
    <row r="3583" spans="1:10" ht="12.75" hidden="1" customHeight="1" outlineLevel="1" x14ac:dyDescent="0.25">
      <c r="A3583" s="135">
        <v>0.04</v>
      </c>
      <c r="B3583" s="151" t="s">
        <v>3921</v>
      </c>
      <c r="C3583" s="410">
        <v>6.2717999999999998</v>
      </c>
      <c r="D3583" s="2738">
        <f>VLOOKUP(H3583,indexy!$C$44:$D$823,2,FALSE)</f>
        <v>7.66</v>
      </c>
      <c r="E3583" s="1463">
        <f t="shared" si="98"/>
        <v>0.22133996619790186</v>
      </c>
      <c r="F3583" s="1494">
        <f>E3583*A3583</f>
        <v>8.8535986479160739E-3</v>
      </c>
      <c r="G3583" s="415"/>
      <c r="H3583" s="415" t="str">
        <f>VLOOKUP(B3583,indexy!$A$44:$D$823,3,FALSE)</f>
        <v>TRN IM Equity</v>
      </c>
      <c r="J3583" s="434"/>
    </row>
    <row r="3584" spans="1:10" ht="12.75" hidden="1" customHeight="1" outlineLevel="1" x14ac:dyDescent="0.25">
      <c r="A3584" s="135">
        <v>0.02</v>
      </c>
      <c r="B3584" s="151" t="s">
        <v>10530</v>
      </c>
      <c r="C3584" s="410">
        <f>5285.8/3</f>
        <v>1761.9333333333334</v>
      </c>
      <c r="D3584" s="2738">
        <f>VLOOKUP(H3584,indexy!$C$44:$D$946,2,FALSE)</f>
        <v>4725</v>
      </c>
      <c r="E3584" s="1463">
        <f t="shared" si="98"/>
        <v>1.6817132695145482</v>
      </c>
      <c r="F3584" s="1494">
        <f>E3584*A3584</f>
        <v>3.3634265390290963E-2</v>
      </c>
      <c r="G3584" s="415"/>
      <c r="H3584" s="415" t="str">
        <f>VLOOKUP(B3584,indexy!$A$44:$D$946,3,FALSE)</f>
        <v>8766 JT Equity</v>
      </c>
      <c r="J3584" s="434"/>
    </row>
    <row r="3585" spans="1:10" ht="12.75" hidden="1" customHeight="1" outlineLevel="1" x14ac:dyDescent="0.25">
      <c r="A3585" s="135">
        <v>0.02</v>
      </c>
      <c r="B3585" s="151" t="s">
        <v>3903</v>
      </c>
      <c r="C3585" s="410">
        <v>26.43</v>
      </c>
      <c r="D3585" s="2738">
        <f>VLOOKUP(H3585,indexy!$C$44:$D$823,2,FALSE)</f>
        <v>30.87</v>
      </c>
      <c r="E3585" s="1463">
        <f t="shared" si="98"/>
        <v>0.16799091940976174</v>
      </c>
      <c r="F3585" s="1494">
        <f>E3585*A3585</f>
        <v>3.3598183881952347E-3</v>
      </c>
      <c r="G3585" s="415"/>
      <c r="H3585" s="415" t="str">
        <f>VLOOKUP(B3585,indexy!$A$44:$D$823,3,FALSE)</f>
        <v>UPM FH Equity</v>
      </c>
      <c r="J3585" s="434"/>
    </row>
    <row r="3586" spans="1:10" ht="12.75" hidden="1" customHeight="1" outlineLevel="1" x14ac:dyDescent="0.25">
      <c r="A3586" s="135">
        <v>0.02</v>
      </c>
      <c r="B3586" s="151" t="s">
        <v>255</v>
      </c>
      <c r="C3586" s="410">
        <v>60.448999999999998</v>
      </c>
      <c r="D3586" s="2738">
        <f>VLOOKUP(H3586,indexy!$C$44:$D$823,2,FALSE)</f>
        <v>41.96</v>
      </c>
      <c r="E3586" s="1463">
        <f t="shared" si="98"/>
        <v>-0.30586113914208668</v>
      </c>
      <c r="F3586" s="1494">
        <f>E3586*A3586</f>
        <v>-6.1172227828417336E-3</v>
      </c>
      <c r="G3586" s="415"/>
      <c r="H3586" s="415" t="str">
        <f>VLOOKUP(B3586,indexy!$A$44:$D$823,3,FALSE)</f>
        <v>VZ UN Equity</v>
      </c>
      <c r="J3586" s="434"/>
    </row>
    <row r="3587" spans="1:10" ht="12.75" hidden="1" customHeight="1" outlineLevel="1" x14ac:dyDescent="0.25">
      <c r="A3587" s="135">
        <v>0.02</v>
      </c>
      <c r="B3587" s="2736" t="s">
        <v>4550</v>
      </c>
      <c r="C3587" s="2741">
        <v>349.89</v>
      </c>
      <c r="D3587" s="2739">
        <f>VLOOKUP(H3587,indexy!$C$44:$D$823,2,FALSE)</f>
        <v>486.3</v>
      </c>
      <c r="E3587" s="1463">
        <f t="shared" si="98"/>
        <v>0.38986538626425449</v>
      </c>
      <c r="F3587" s="1494">
        <f>E3587*A3587</f>
        <v>7.7973077252850896E-3</v>
      </c>
      <c r="G3587" s="415"/>
      <c r="H3587" s="415" t="str">
        <f>VLOOKUP(B3587,indexy!$A$44:$D$823,3,FALSE)</f>
        <v>ZURN SE Equity</v>
      </c>
      <c r="J3587" s="434"/>
    </row>
    <row r="3588" spans="1:10" ht="12.75" hidden="1" customHeight="1" outlineLevel="1" x14ac:dyDescent="0.25">
      <c r="A3588" s="1475" t="s">
        <v>2734</v>
      </c>
      <c r="B3588" s="150"/>
      <c r="C3588" s="1477">
        <v>100</v>
      </c>
      <c r="D3588" s="1477"/>
      <c r="E3588" s="1599"/>
      <c r="F3588" s="1599">
        <f>SUM(F3558:F3587)</f>
        <v>0.45891183771710142</v>
      </c>
      <c r="G3588" s="415"/>
      <c r="H3588" s="415"/>
    </row>
    <row r="3589" spans="1:10" ht="12.75" hidden="1" customHeight="1" outlineLevel="1" x14ac:dyDescent="0.25">
      <c r="A3589" s="221"/>
      <c r="B3589" s="1478">
        <v>46327</v>
      </c>
      <c r="C3589" s="1497">
        <v>100</v>
      </c>
      <c r="D3589" s="1497"/>
      <c r="E3589" s="1498">
        <f>IF(D3589="",$F$3588,D3589/C3589-1)</f>
        <v>0.45891183771710142</v>
      </c>
      <c r="F3589" s="1499"/>
      <c r="G3589" s="415"/>
      <c r="H3589" s="415"/>
    </row>
    <row r="3590" spans="1:10" ht="12.75" hidden="1" customHeight="1" outlineLevel="1" x14ac:dyDescent="0.25">
      <c r="A3590" s="221"/>
      <c r="B3590" s="1478">
        <v>46357</v>
      </c>
      <c r="C3590" s="1497">
        <v>100</v>
      </c>
      <c r="D3590" s="1500"/>
      <c r="E3590" s="1498">
        <f t="shared" ref="E3590:E3600" si="99">IF(D3590="",$F$3588,D3590/C3590-1)</f>
        <v>0.45891183771710142</v>
      </c>
      <c r="F3590" s="1499"/>
      <c r="G3590" s="415"/>
      <c r="H3590" s="415"/>
    </row>
    <row r="3591" spans="1:10" ht="12.75" hidden="1" customHeight="1" outlineLevel="1" x14ac:dyDescent="0.25">
      <c r="A3591" s="221"/>
      <c r="B3591" s="1478">
        <v>46388</v>
      </c>
      <c r="C3591" s="1497">
        <v>100</v>
      </c>
      <c r="D3591" s="1500"/>
      <c r="E3591" s="1498">
        <f t="shared" si="99"/>
        <v>0.45891183771710142</v>
      </c>
      <c r="F3591" s="1499"/>
      <c r="G3591" s="415"/>
      <c r="H3591" s="415"/>
    </row>
    <row r="3592" spans="1:10" ht="12.75" hidden="1" customHeight="1" outlineLevel="1" x14ac:dyDescent="0.25">
      <c r="A3592" s="221"/>
      <c r="B3592" s="1478">
        <v>46419</v>
      </c>
      <c r="C3592" s="1497">
        <v>100</v>
      </c>
      <c r="D3592" s="1500"/>
      <c r="E3592" s="1498">
        <f t="shared" si="99"/>
        <v>0.45891183771710142</v>
      </c>
      <c r="F3592" s="1499"/>
      <c r="G3592" s="415"/>
      <c r="H3592" s="415"/>
    </row>
    <row r="3593" spans="1:10" ht="12.75" hidden="1" customHeight="1" outlineLevel="1" x14ac:dyDescent="0.25">
      <c r="A3593" s="221"/>
      <c r="B3593" s="1478">
        <v>46447</v>
      </c>
      <c r="C3593" s="1497">
        <v>100</v>
      </c>
      <c r="D3593" s="1500"/>
      <c r="E3593" s="1498">
        <f t="shared" si="99"/>
        <v>0.45891183771710142</v>
      </c>
      <c r="F3593" s="1499"/>
      <c r="G3593" s="415"/>
      <c r="H3593" s="415"/>
    </row>
    <row r="3594" spans="1:10" ht="12.75" hidden="1" customHeight="1" outlineLevel="1" x14ac:dyDescent="0.25">
      <c r="A3594" s="221"/>
      <c r="B3594" s="1478">
        <v>46478</v>
      </c>
      <c r="C3594" s="1497">
        <v>100</v>
      </c>
      <c r="D3594" s="1500"/>
      <c r="E3594" s="1498">
        <f t="shared" si="99"/>
        <v>0.45891183771710142</v>
      </c>
      <c r="F3594" s="1499"/>
      <c r="G3594" s="415"/>
      <c r="H3594" s="415"/>
    </row>
    <row r="3595" spans="1:10" ht="12.75" hidden="1" customHeight="1" outlineLevel="1" x14ac:dyDescent="0.25">
      <c r="A3595" s="221"/>
      <c r="B3595" s="1478">
        <v>46508</v>
      </c>
      <c r="C3595" s="1497">
        <v>100</v>
      </c>
      <c r="D3595" s="1500"/>
      <c r="E3595" s="1498">
        <f t="shared" si="99"/>
        <v>0.45891183771710142</v>
      </c>
      <c r="F3595" s="1499"/>
      <c r="G3595" s="415"/>
      <c r="H3595" s="415"/>
    </row>
    <row r="3596" spans="1:10" ht="12.75" hidden="1" customHeight="1" outlineLevel="1" x14ac:dyDescent="0.25">
      <c r="A3596" s="221"/>
      <c r="B3596" s="1478">
        <v>46539</v>
      </c>
      <c r="C3596" s="1497">
        <v>100</v>
      </c>
      <c r="D3596" s="1500"/>
      <c r="E3596" s="1498">
        <f t="shared" si="99"/>
        <v>0.45891183771710142</v>
      </c>
      <c r="F3596" s="1499"/>
      <c r="G3596" s="415"/>
      <c r="H3596" s="415"/>
    </row>
    <row r="3597" spans="1:10" ht="12.75" hidden="1" customHeight="1" outlineLevel="1" x14ac:dyDescent="0.25">
      <c r="A3597" s="221"/>
      <c r="B3597" s="1478">
        <v>46569</v>
      </c>
      <c r="C3597" s="1497">
        <v>100</v>
      </c>
      <c r="D3597" s="1500"/>
      <c r="E3597" s="1498">
        <f t="shared" si="99"/>
        <v>0.45891183771710142</v>
      </c>
      <c r="F3597" s="1499"/>
      <c r="G3597" s="415"/>
      <c r="H3597" s="415"/>
    </row>
    <row r="3598" spans="1:10" ht="12.75" hidden="1" customHeight="1" outlineLevel="1" x14ac:dyDescent="0.25">
      <c r="A3598" s="221"/>
      <c r="B3598" s="1478">
        <v>46600</v>
      </c>
      <c r="C3598" s="1497">
        <v>100</v>
      </c>
      <c r="D3598" s="1500"/>
      <c r="E3598" s="1498">
        <f t="shared" si="99"/>
        <v>0.45891183771710142</v>
      </c>
      <c r="F3598" s="1499"/>
      <c r="G3598" s="415"/>
      <c r="H3598" s="415"/>
    </row>
    <row r="3599" spans="1:10" ht="12.75" hidden="1" customHeight="1" outlineLevel="1" x14ac:dyDescent="0.25">
      <c r="A3599" s="221"/>
      <c r="B3599" s="1478">
        <v>46631</v>
      </c>
      <c r="C3599" s="1497">
        <v>100</v>
      </c>
      <c r="D3599" s="1500"/>
      <c r="E3599" s="1498">
        <f t="shared" si="99"/>
        <v>0.45891183771710142</v>
      </c>
      <c r="F3599" s="1499"/>
      <c r="G3599" s="415"/>
      <c r="H3599" s="415"/>
    </row>
    <row r="3600" spans="1:10" ht="12.75" hidden="1" customHeight="1" outlineLevel="1" x14ac:dyDescent="0.25">
      <c r="A3600" s="221"/>
      <c r="B3600" s="1478">
        <v>46661</v>
      </c>
      <c r="C3600" s="1497">
        <v>100</v>
      </c>
      <c r="D3600" s="1500"/>
      <c r="E3600" s="1498">
        <f t="shared" si="99"/>
        <v>0.45891183771710142</v>
      </c>
      <c r="F3600" s="1499"/>
      <c r="G3600" s="415"/>
      <c r="H3600" s="415"/>
    </row>
    <row r="3601" spans="1:18" s="444" customFormat="1" ht="12.75" hidden="1" customHeight="1" outlineLevel="1" x14ac:dyDescent="0.25">
      <c r="A3601" s="1483" t="s">
        <v>2734</v>
      </c>
      <c r="B3601" s="1484"/>
      <c r="C3601" s="1500"/>
      <c r="D3601" s="1485" t="s">
        <v>2465</v>
      </c>
      <c r="E3601" s="1486">
        <f>AVERAGE(E3589:E3600)</f>
        <v>0.45891183771710148</v>
      </c>
      <c r="F3601" s="1487">
        <f>((((E3601*100)+100)-I3558)/100)</f>
        <v>0.45891183771710131</v>
      </c>
    </row>
    <row r="3602" spans="1:18" collapsed="1" x14ac:dyDescent="0.25">
      <c r="A3602" s="3799" t="s">
        <v>10524</v>
      </c>
      <c r="B3602" s="3800"/>
      <c r="C3602" s="3800"/>
      <c r="D3602" s="3800"/>
      <c r="E3602" s="18"/>
      <c r="F3602" s="186">
        <f>MAX(-10%,MIN(F3601,40%))</f>
        <v>0.4</v>
      </c>
      <c r="G3602" s="415"/>
    </row>
    <row r="3604" spans="1:18" ht="12.75" hidden="1" customHeight="1" outlineLevel="1" x14ac:dyDescent="0.25">
      <c r="A3604" s="1677" t="s">
        <v>4156</v>
      </c>
      <c r="B3604" s="1677" t="s">
        <v>4153</v>
      </c>
      <c r="C3604" s="1305" t="s">
        <v>112</v>
      </c>
      <c r="D3604" s="1678" t="s">
        <v>4155</v>
      </c>
      <c r="E3604" s="1677" t="s">
        <v>4154</v>
      </c>
      <c r="F3604" s="1678" t="s">
        <v>2519</v>
      </c>
      <c r="G3604" s="12"/>
      <c r="H3604" s="415"/>
      <c r="I3604" s="412" t="s">
        <v>6964</v>
      </c>
      <c r="J3604" s="1462">
        <v>44197</v>
      </c>
      <c r="K3604" s="1462">
        <v>44228</v>
      </c>
      <c r="L3604" s="1462">
        <v>44256</v>
      </c>
      <c r="M3604" s="1462">
        <v>44287</v>
      </c>
      <c r="N3604" s="1462">
        <v>44317</v>
      </c>
      <c r="O3604" s="1462">
        <v>44348</v>
      </c>
      <c r="P3604" s="1462"/>
      <c r="Q3604" s="1462"/>
      <c r="R3604" s="1462"/>
    </row>
    <row r="3605" spans="1:18" ht="12.75" hidden="1" customHeight="1" outlineLevel="1" x14ac:dyDescent="0.25">
      <c r="A3605" s="135">
        <v>0.02</v>
      </c>
      <c r="B3605" s="151" t="s">
        <v>359</v>
      </c>
      <c r="C3605" s="454">
        <v>196.27699999999999</v>
      </c>
      <c r="D3605" s="2737">
        <f>VLOOKUP(H3605,indexy!$C$44:$D$823,2,FALSE)</f>
        <v>277.8</v>
      </c>
      <c r="E3605" s="1466">
        <f>D3605/C3605-1</f>
        <v>0.41534667841876538</v>
      </c>
      <c r="F3605" s="1492">
        <f>E3605*A3605</f>
        <v>8.3069335683753076E-3</v>
      </c>
      <c r="G3605" s="415"/>
      <c r="H3605" s="415" t="str">
        <f>VLOOKUP(B3605,indexy!$A$44:$D$823,3,FALSE)</f>
        <v>ALV GY Equity</v>
      </c>
      <c r="I3605" s="412">
        <f>IF(J3605="",100,MIN(100,J3605:Y3605))</f>
        <v>100</v>
      </c>
      <c r="J3605">
        <v>100.5149</v>
      </c>
      <c r="K3605">
        <v>101.12430000000001</v>
      </c>
      <c r="L3605">
        <v>103.9785</v>
      </c>
      <c r="M3605">
        <v>110.4926</v>
      </c>
      <c r="N3605">
        <v>109.6653</v>
      </c>
      <c r="O3605">
        <v>110.9515</v>
      </c>
    </row>
    <row r="3606" spans="1:18" ht="12.75" hidden="1" customHeight="1" outlineLevel="1" x14ac:dyDescent="0.25">
      <c r="A3606" s="135">
        <v>0.03</v>
      </c>
      <c r="B3606" s="151" t="s">
        <v>2697</v>
      </c>
      <c r="C3606" s="410">
        <v>14.3165</v>
      </c>
      <c r="D3606" s="2738">
        <f>VLOOKUP(H3606,indexy!$C$44:$D$823,2,FALSE)</f>
        <v>23.46</v>
      </c>
      <c r="E3606" s="1463">
        <f>D3606/C3606-1</f>
        <v>0.63866866901826569</v>
      </c>
      <c r="F3606" s="1494">
        <f t="shared" ref="F3606:F3629" si="100">E3606*A3606</f>
        <v>1.916006007054797E-2</v>
      </c>
      <c r="G3606" s="415"/>
      <c r="H3606" s="415" t="str">
        <f>VLOOKUP(B3606,indexy!$A$44:$D$823,3,FALSE)</f>
        <v>G IM Equity</v>
      </c>
      <c r="I3606" s="422">
        <f>+(((E3648*100)+100)-I3605)/100</f>
        <v>0.45214422157752721</v>
      </c>
    </row>
    <row r="3607" spans="1:18" ht="12.75" hidden="1" customHeight="1" outlineLevel="1" x14ac:dyDescent="0.25">
      <c r="A3607" s="135">
        <v>0.02</v>
      </c>
      <c r="B3607" s="151" t="s">
        <v>807</v>
      </c>
      <c r="C3607" s="410">
        <v>56.966999999999999</v>
      </c>
      <c r="D3607" s="2738">
        <f>VLOOKUP(H3607,indexy!$C$44:$D$823,2,FALSE)</f>
        <v>46.03</v>
      </c>
      <c r="E3607" s="1463">
        <f t="shared" ref="E3607:E3634" si="101">D3607/C3607-1</f>
        <v>-0.19198834412905719</v>
      </c>
      <c r="F3607" s="1494">
        <f t="shared" si="100"/>
        <v>-3.8397668825811437E-3</v>
      </c>
      <c r="G3607" s="415"/>
      <c r="H3607" s="415" t="str">
        <f>VLOOKUP(B3607,indexy!$A$44:$D$823,3,FALSE)</f>
        <v>BCE CT Equity</v>
      </c>
      <c r="J3607" s="434"/>
    </row>
    <row r="3608" spans="1:18" ht="12.75" hidden="1" customHeight="1" outlineLevel="1" x14ac:dyDescent="0.25">
      <c r="A3608" s="135">
        <v>0.02</v>
      </c>
      <c r="B3608" s="151" t="s">
        <v>2629</v>
      </c>
      <c r="C3608" s="410">
        <v>14.9795</v>
      </c>
      <c r="D3608" s="2738">
        <f>VLOOKUP(H3608,indexy!$C$44:$D$823,2,FALSE)</f>
        <v>22.5</v>
      </c>
      <c r="E3608" s="1463">
        <f t="shared" si="101"/>
        <v>0.50205280550085107</v>
      </c>
      <c r="F3608" s="1494">
        <f t="shared" si="100"/>
        <v>1.0041056110017021E-2</v>
      </c>
      <c r="G3608" s="415"/>
      <c r="H3608" s="415" t="str">
        <f>VLOOKUP(B3608,indexy!$A$44:$D$823,3,FALSE)</f>
        <v>DTE GY Equity</v>
      </c>
      <c r="J3608" s="434"/>
      <c r="K3608" s="37"/>
    </row>
    <row r="3609" spans="1:18" ht="12.75" hidden="1" customHeight="1" outlineLevel="1" x14ac:dyDescent="0.25">
      <c r="A3609" s="135">
        <v>0.02</v>
      </c>
      <c r="B3609" s="151" t="s">
        <v>9591</v>
      </c>
      <c r="C3609" s="410">
        <v>75.084000000000003</v>
      </c>
      <c r="D3609" s="2738">
        <f>VLOOKUP(H3609,indexy!$C$44:$D$823,2,FALSE)</f>
        <v>49.19</v>
      </c>
      <c r="E3609" s="1463">
        <f t="shared" si="101"/>
        <v>-0.34486708220126794</v>
      </c>
      <c r="F3609" s="1494">
        <f t="shared" si="100"/>
        <v>-6.8973416440253586E-3</v>
      </c>
      <c r="G3609" s="415"/>
      <c r="H3609" s="415" t="str">
        <f>VLOOKUP(B3609,indexy!$A$44:$D$823,3,FALSE)</f>
        <v>D UN Equity</v>
      </c>
      <c r="J3609" s="434"/>
    </row>
    <row r="3610" spans="1:18" ht="12.75" hidden="1" customHeight="1" outlineLevel="1" x14ac:dyDescent="0.25">
      <c r="A3610" s="135">
        <v>0.02</v>
      </c>
      <c r="B3610" s="151" t="s">
        <v>1231</v>
      </c>
      <c r="C3610" s="410">
        <v>91.376000000000005</v>
      </c>
      <c r="D3610" s="2738">
        <f>VLOOKUP(H3610,indexy!$C$44:$D$823,2,FALSE)</f>
        <v>96.71</v>
      </c>
      <c r="E3610" s="1463">
        <f t="shared" si="101"/>
        <v>5.8374190159341532E-2</v>
      </c>
      <c r="F3610" s="1494">
        <f t="shared" si="100"/>
        <v>1.1674838031868306E-3</v>
      </c>
      <c r="G3610" s="415"/>
      <c r="H3610" s="415" t="str">
        <f>VLOOKUP(B3610,indexy!$A$44:$D$823,3,FALSE)</f>
        <v>DUK UN Equity</v>
      </c>
      <c r="J3610" s="434"/>
    </row>
    <row r="3611" spans="1:18" ht="12.75" hidden="1" customHeight="1" outlineLevel="1" x14ac:dyDescent="0.25">
      <c r="A3611" s="135">
        <v>0.02</v>
      </c>
      <c r="B3611" s="151" t="s">
        <v>4387</v>
      </c>
      <c r="C3611" s="410">
        <v>9.0084</v>
      </c>
      <c r="D3611" s="2738">
        <f>VLOOKUP(H3611,indexy!$C$44:$D$823,2,FALSE)</f>
        <v>12.885</v>
      </c>
      <c r="E3611" s="1463">
        <f t="shared" si="101"/>
        <v>0.43033169042227248</v>
      </c>
      <c r="F3611" s="1494">
        <f t="shared" si="100"/>
        <v>8.6066338084454502E-3</v>
      </c>
      <c r="G3611" s="415"/>
      <c r="H3611" s="415" t="str">
        <f>VLOOKUP(B3611,indexy!$A$44:$D$823,3,FALSE)</f>
        <v>EOAN GY Equity</v>
      </c>
      <c r="J3611" s="434"/>
    </row>
    <row r="3612" spans="1:18" ht="12.75" hidden="1" customHeight="1" outlineLevel="1" x14ac:dyDescent="0.25">
      <c r="A3612" s="135">
        <v>0.04</v>
      </c>
      <c r="B3612" s="151" t="s">
        <v>9171</v>
      </c>
      <c r="C3612" s="410">
        <v>22.66</v>
      </c>
      <c r="D3612" s="2738">
        <f>VLOOKUP(H3612,indexy!$C$44:$D$823,2,FALSE)</f>
        <v>17.164999999999999</v>
      </c>
      <c r="E3612" s="1463">
        <f t="shared" si="101"/>
        <v>-0.24249779346866729</v>
      </c>
      <c r="F3612" s="1494">
        <f t="shared" si="100"/>
        <v>-9.6999117387466926E-3</v>
      </c>
      <c r="G3612" s="415"/>
      <c r="H3612" s="415" t="str">
        <f>VLOOKUP(B3612,indexy!$A$44:$D$823,3,FALSE)</f>
        <v>ELE SQ Equity</v>
      </c>
      <c r="J3612" s="434"/>
    </row>
    <row r="3613" spans="1:18" ht="12.75" hidden="1" customHeight="1" outlineLevel="1" x14ac:dyDescent="0.25">
      <c r="A3613" s="135">
        <v>0.02</v>
      </c>
      <c r="B3613" s="151" t="s">
        <v>3798</v>
      </c>
      <c r="C3613" s="410">
        <v>8.1381999999999994</v>
      </c>
      <c r="D3613" s="2738">
        <f>VLOOKUP(H3613,indexy!$C$44:$D$823,2,FALSE)</f>
        <v>6.1189999999999998</v>
      </c>
      <c r="E3613" s="1463">
        <f t="shared" si="101"/>
        <v>-0.24811383352584104</v>
      </c>
      <c r="F3613" s="1494">
        <f t="shared" si="100"/>
        <v>-4.9622766705168207E-3</v>
      </c>
      <c r="G3613" s="415"/>
      <c r="H3613" s="415" t="str">
        <f>VLOOKUP(B3613,indexy!$A$44:$D$823,3,FALSE)</f>
        <v>ENEL IM Equity</v>
      </c>
      <c r="J3613" s="434"/>
    </row>
    <row r="3614" spans="1:18" ht="12.75" hidden="1" customHeight="1" outlineLevel="1" x14ac:dyDescent="0.25">
      <c r="A3614" s="135">
        <v>0.03</v>
      </c>
      <c r="B3614" s="151" t="s">
        <v>4268</v>
      </c>
      <c r="C3614" s="410">
        <v>18.766999999999999</v>
      </c>
      <c r="D3614" s="2738">
        <f>VLOOKUP(H3614,indexy!$C$44:$D$823,2,FALSE)</f>
        <v>11.445</v>
      </c>
      <c r="E3614" s="1463">
        <f t="shared" si="101"/>
        <v>-0.3901529280119358</v>
      </c>
      <c r="F3614" s="1494">
        <f t="shared" si="100"/>
        <v>-1.1704587840358074E-2</v>
      </c>
      <c r="G3614" s="415"/>
      <c r="H3614" s="415" t="str">
        <f>VLOOKUP(B3614,indexy!$A$44:$D$823,3,FALSE)</f>
        <v>FORTUM FH Equity</v>
      </c>
      <c r="J3614" s="434"/>
    </row>
    <row r="3615" spans="1:18" ht="12.75" hidden="1" customHeight="1" outlineLevel="1" x14ac:dyDescent="0.25">
      <c r="A3615" s="135">
        <v>0.02</v>
      </c>
      <c r="B3615" s="151" t="s">
        <v>7574</v>
      </c>
      <c r="C3615" s="410">
        <v>47.313000000000002</v>
      </c>
      <c r="D3615" s="2738">
        <f>VLOOKUP(H3615,indexy!$C$44:$D$823,2,FALSE)</f>
        <v>81.66</v>
      </c>
      <c r="E3615" s="1463">
        <f t="shared" si="101"/>
        <v>0.72595269798998152</v>
      </c>
      <c r="F3615" s="1494">
        <f t="shared" si="100"/>
        <v>1.4519053959799631E-2</v>
      </c>
      <c r="G3615" s="415"/>
      <c r="H3615" s="415" t="str">
        <f>VLOOKUP(B3615,indexy!$A$44:$D$823,3,FALSE)</f>
        <v>HOLN SE Equity</v>
      </c>
      <c r="J3615" s="434"/>
    </row>
    <row r="3616" spans="1:18" ht="12.75" hidden="1" customHeight="1" outlineLevel="1" x14ac:dyDescent="0.25">
      <c r="A3616" s="135">
        <v>0.08</v>
      </c>
      <c r="B3616" s="151" t="s">
        <v>3526</v>
      </c>
      <c r="C3616" s="410">
        <v>446.36</v>
      </c>
      <c r="D3616" s="2738">
        <f>VLOOKUP(H3616,indexy!$C$44:$D$823,2,FALSE)</f>
        <v>1535</v>
      </c>
      <c r="E3616" s="1463">
        <f t="shared" si="101"/>
        <v>2.4389282193744957</v>
      </c>
      <c r="F3616" s="1494">
        <f t="shared" si="100"/>
        <v>0.19511425754995965</v>
      </c>
      <c r="G3616" s="415"/>
      <c r="H3616" s="415" t="str">
        <f>VLOOKUP(B3616,indexy!$A$44:$D$823,3,FALSE)</f>
        <v>8306 JT Equity</v>
      </c>
      <c r="J3616" s="434"/>
    </row>
    <row r="3617" spans="1:10" ht="12.75" hidden="1" customHeight="1" outlineLevel="1" x14ac:dyDescent="0.25">
      <c r="A3617" s="135">
        <v>0.02</v>
      </c>
      <c r="B3617" s="151" t="s">
        <v>5164</v>
      </c>
      <c r="C3617" s="2740">
        <v>1906.05</v>
      </c>
      <c r="D3617" s="2738">
        <f>VLOOKUP(H3617,indexy!$C$44:$D$823,2,FALSE)</f>
        <v>7043</v>
      </c>
      <c r="E3617" s="1463">
        <f t="shared" si="101"/>
        <v>2.6950762047165604</v>
      </c>
      <c r="F3617" s="1494">
        <f t="shared" si="100"/>
        <v>5.3901524094331209E-2</v>
      </c>
      <c r="G3617" s="415"/>
      <c r="H3617" s="415" t="str">
        <f>VLOOKUP(B3617,indexy!$A$44:$D$823,3,FALSE)</f>
        <v>8031 JT equity</v>
      </c>
      <c r="J3617" s="434"/>
    </row>
    <row r="3618" spans="1:10" ht="12.75" hidden="1" customHeight="1" outlineLevel="1" x14ac:dyDescent="0.25">
      <c r="A3618" s="135">
        <v>0.02</v>
      </c>
      <c r="B3618" s="151" t="s">
        <v>10528</v>
      </c>
      <c r="C3618" s="410">
        <v>3122.4</v>
      </c>
      <c r="D3618" s="2738">
        <f>VLOOKUP(H3618,indexy!$C$44:$D$823,2,FALSE)</f>
        <v>2664.5</v>
      </c>
      <c r="E3618" s="1463">
        <f t="shared" si="101"/>
        <v>-0.14665001281065848</v>
      </c>
      <c r="F3618" s="1494">
        <f t="shared" si="100"/>
        <v>-2.9330002562131699E-3</v>
      </c>
      <c r="G3618" s="415"/>
      <c r="H3618" s="415" t="str">
        <f>VLOOKUP(B3618,indexy!$A$44:$D$823,3,FALSE)</f>
        <v>8725 JT Equity</v>
      </c>
      <c r="J3618" s="434"/>
    </row>
    <row r="3619" spans="1:10" ht="12.75" hidden="1" customHeight="1" outlineLevel="1" x14ac:dyDescent="0.25">
      <c r="A3619" s="135">
        <v>0.02</v>
      </c>
      <c r="B3619" s="151" t="s">
        <v>2786</v>
      </c>
      <c r="C3619" s="410">
        <v>8.7652000000000001</v>
      </c>
      <c r="D3619" s="2738">
        <f>VLOOKUP(H3619,indexy!$C$44:$D$823,2,FALSE)/100</f>
        <v>10.66</v>
      </c>
      <c r="E3619" s="1463">
        <f t="shared" si="101"/>
        <v>0.21617304796239667</v>
      </c>
      <c r="F3619" s="1494">
        <f t="shared" si="100"/>
        <v>4.3234609592479331E-3</v>
      </c>
      <c r="G3619" s="415"/>
      <c r="H3619" s="415" t="str">
        <f>VLOOKUP(B3619,indexy!$A$44:$D$823,3,FALSE)</f>
        <v>NG/ LN Equity</v>
      </c>
      <c r="J3619" s="434"/>
    </row>
    <row r="3620" spans="1:10" ht="12.75" hidden="1" customHeight="1" outlineLevel="1" x14ac:dyDescent="0.25">
      <c r="A3620" s="135">
        <v>0.02</v>
      </c>
      <c r="B3620" s="151" t="s">
        <v>9767</v>
      </c>
      <c r="C3620" s="410">
        <v>19.074000000000002</v>
      </c>
      <c r="D3620" s="2738">
        <f>VLOOKUP(H3620,indexy!$C$44:$D$823,2,FALSE)</f>
        <v>20.100000000000001</v>
      </c>
      <c r="E3620" s="1463">
        <f t="shared" si="101"/>
        <v>5.379050015728204E-2</v>
      </c>
      <c r="F3620" s="1494">
        <f t="shared" si="100"/>
        <v>1.0758100031456408E-3</v>
      </c>
      <c r="G3620" s="415"/>
      <c r="H3620" s="415" t="str">
        <f>VLOOKUP(B3620,indexy!$A$44:$D$823,3,FALSE)</f>
        <v>NTGY SQ Equity</v>
      </c>
      <c r="J3620" s="434"/>
    </row>
    <row r="3621" spans="1:10" ht="12.75" hidden="1" customHeight="1" outlineLevel="1" x14ac:dyDescent="0.25">
      <c r="A3621" s="135">
        <v>0.03</v>
      </c>
      <c r="B3621" s="151" t="s">
        <v>5824</v>
      </c>
      <c r="C3621" s="410">
        <v>10.0123</v>
      </c>
      <c r="D3621" s="2738">
        <f>VLOOKUP(H3621,indexy!$C$44:$D$823,2,FALSE)</f>
        <v>10.888</v>
      </c>
      <c r="E3621" s="1463">
        <f t="shared" si="101"/>
        <v>8.7462421221897069E-2</v>
      </c>
      <c r="F3621" s="1494">
        <f t="shared" si="100"/>
        <v>2.6238726366569118E-3</v>
      </c>
      <c r="G3621" s="415"/>
      <c r="H3621" s="415" t="str">
        <f>VLOOKUP(B3621,indexy!$A$44:$D$823,3,FALSE)</f>
        <v>ORA FP Equity</v>
      </c>
      <c r="J3621" s="434"/>
    </row>
    <row r="3622" spans="1:10" ht="12.75" hidden="1" customHeight="1" outlineLevel="1" x14ac:dyDescent="0.25">
      <c r="A3622" s="135">
        <v>0.08</v>
      </c>
      <c r="B3622" s="151" t="s">
        <v>6116</v>
      </c>
      <c r="C3622" s="410">
        <v>4.5515999999999996</v>
      </c>
      <c r="D3622" s="2738">
        <f>VLOOKUP(H3622,indexy!$C$44:$D$823,2,FALSE)</f>
        <v>4.3760000000000003</v>
      </c>
      <c r="E3622" s="1463">
        <f t="shared" si="101"/>
        <v>-3.8579840056243819E-2</v>
      </c>
      <c r="F3622" s="1494">
        <f t="shared" si="100"/>
        <v>-3.0863872044995058E-3</v>
      </c>
      <c r="G3622" s="415"/>
      <c r="H3622" s="415" t="str">
        <f>VLOOKUP(B3622,indexy!$A$44:$D$823,3,FALSE)</f>
        <v>SRG IM Equity</v>
      </c>
      <c r="J3622" s="434"/>
    </row>
    <row r="3623" spans="1:10" ht="12.75" hidden="1" customHeight="1" outlineLevel="1" x14ac:dyDescent="0.25">
      <c r="A3623" s="135">
        <v>0.08</v>
      </c>
      <c r="B3623" s="151" t="s">
        <v>10529</v>
      </c>
      <c r="C3623" s="410">
        <v>1313.3</v>
      </c>
      <c r="D3623" s="2738">
        <f>VLOOKUP(H3623,indexy!$C$44:$D$823,2,FALSE)</f>
        <v>1941</v>
      </c>
      <c r="E3623" s="1463">
        <f t="shared" si="101"/>
        <v>0.47795629330693679</v>
      </c>
      <c r="F3623" s="1494">
        <f t="shared" si="100"/>
        <v>3.8236503464554941E-2</v>
      </c>
      <c r="G3623" s="415"/>
      <c r="H3623" s="415" t="str">
        <f>VLOOKUP(B3623,indexy!$A$44:$D$823,3,FALSE)</f>
        <v>9434 JT Equity</v>
      </c>
      <c r="J3623" s="434"/>
    </row>
    <row r="3624" spans="1:10" ht="12.75" hidden="1" customHeight="1" outlineLevel="1" x14ac:dyDescent="0.25">
      <c r="A3624" s="135">
        <v>0.05</v>
      </c>
      <c r="B3624" s="151" t="s">
        <v>702</v>
      </c>
      <c r="C3624" s="410">
        <v>3107.9</v>
      </c>
      <c r="D3624" s="2738">
        <f>VLOOKUP(H3624,indexy!$C$44:$D$823,2,FALSE)</f>
        <v>8832</v>
      </c>
      <c r="E3624" s="1463">
        <f t="shared" si="101"/>
        <v>1.8417902763924192</v>
      </c>
      <c r="F3624" s="1494">
        <f t="shared" si="100"/>
        <v>9.2089513819620966E-2</v>
      </c>
      <c r="G3624" s="415"/>
      <c r="H3624" s="415" t="str">
        <f>VLOOKUP(B3624,indexy!$A$44:$D$823,3,FALSE)</f>
        <v>8316 JT Equity</v>
      </c>
      <c r="J3624" s="434"/>
    </row>
    <row r="3625" spans="1:10" ht="12.75" hidden="1" customHeight="1" outlineLevel="1" x14ac:dyDescent="0.25">
      <c r="A3625" s="135">
        <v>0.02</v>
      </c>
      <c r="B3625" s="151" t="s">
        <v>9173</v>
      </c>
      <c r="C3625" s="410">
        <v>403.27</v>
      </c>
      <c r="D3625" s="2738">
        <f>VLOOKUP(H3625,indexy!$C$44:$D$823,2,FALSE)</f>
        <v>632.20000000000005</v>
      </c>
      <c r="E3625" s="1463">
        <f t="shared" si="101"/>
        <v>0.56768418181367331</v>
      </c>
      <c r="F3625" s="1494">
        <f t="shared" si="100"/>
        <v>1.1353683636273466E-2</v>
      </c>
      <c r="G3625" s="415"/>
      <c r="H3625" s="415" t="str">
        <f>VLOOKUP(B3625,indexy!$A$44:$D$823,3,FALSE)</f>
        <v>SLHN SE Equity</v>
      </c>
      <c r="J3625" s="434"/>
    </row>
    <row r="3626" spans="1:10" ht="12.75" hidden="1" customHeight="1" outlineLevel="1" x14ac:dyDescent="0.25">
      <c r="A3626" s="135">
        <v>0.08</v>
      </c>
      <c r="B3626" s="151" t="s">
        <v>1239</v>
      </c>
      <c r="C3626" s="410">
        <v>474.13</v>
      </c>
      <c r="D3626" s="2738">
        <f>VLOOKUP(H3626,indexy!$C$44:$D$823,2,FALSE)</f>
        <v>551.4</v>
      </c>
      <c r="E3626" s="1463">
        <f t="shared" si="101"/>
        <v>0.16297218062556684</v>
      </c>
      <c r="F3626" s="1494">
        <f t="shared" si="100"/>
        <v>1.3037774450045348E-2</v>
      </c>
      <c r="G3626" s="415"/>
      <c r="H3626" s="415" t="str">
        <f>VLOOKUP(B3626,indexy!$A$44:$D$823,3,FALSE)</f>
        <v>SCMN SE Equity</v>
      </c>
      <c r="J3626" s="434"/>
    </row>
    <row r="3627" spans="1:10" ht="12.75" hidden="1" customHeight="1" outlineLevel="1" x14ac:dyDescent="0.25">
      <c r="A3627" s="135">
        <v>0.02</v>
      </c>
      <c r="B3627" s="151" t="s">
        <v>3383</v>
      </c>
      <c r="C3627" s="410">
        <v>149.82</v>
      </c>
      <c r="D3627" s="2738">
        <f>VLOOKUP(H3627,indexy!$C$44:$D$823,2,FALSE)</f>
        <v>120.75</v>
      </c>
      <c r="E3627" s="1463">
        <f t="shared" si="101"/>
        <v>-0.19403283940728866</v>
      </c>
      <c r="F3627" s="1494">
        <f t="shared" si="100"/>
        <v>-3.8806567881457732E-3</v>
      </c>
      <c r="G3627" s="415"/>
      <c r="H3627" s="415" t="str">
        <f>VLOOKUP(B3627,indexy!$A$44:$D$823,3,FALSE)</f>
        <v>TEL NO Equity</v>
      </c>
      <c r="J3627" s="434"/>
    </row>
    <row r="3628" spans="1:10" ht="12.75" hidden="1" customHeight="1" outlineLevel="1" x14ac:dyDescent="0.25">
      <c r="A3628" s="135">
        <v>0.08</v>
      </c>
      <c r="B3628" s="151" t="s">
        <v>434</v>
      </c>
      <c r="C3628" s="410">
        <v>34.683</v>
      </c>
      <c r="D3628" s="2738">
        <f>VLOOKUP(H3628,indexy!$C$44:$D$823,2,FALSE)</f>
        <v>27.43</v>
      </c>
      <c r="E3628" s="1463">
        <f t="shared" si="101"/>
        <v>-0.20912262491710631</v>
      </c>
      <c r="F3628" s="1494">
        <f t="shared" si="100"/>
        <v>-1.6729809993368507E-2</v>
      </c>
      <c r="G3628" s="415"/>
      <c r="H3628" s="415" t="str">
        <f>VLOOKUP(B3628,indexy!$A$44:$D$823,3,FALSE)</f>
        <v>TELIA SS Equity</v>
      </c>
      <c r="J3628" s="434"/>
    </row>
    <row r="3629" spans="1:10" ht="12.75" hidden="1" customHeight="1" outlineLevel="1" x14ac:dyDescent="0.25">
      <c r="A3629" s="135">
        <v>0.02</v>
      </c>
      <c r="B3629" s="151" t="s">
        <v>3665</v>
      </c>
      <c r="C3629" s="410">
        <v>25.584</v>
      </c>
      <c r="D3629" s="2738">
        <f>VLOOKUP(H3629,indexy!$C$44:$D$823,2,FALSE)</f>
        <v>21.67</v>
      </c>
      <c r="E3629" s="1463">
        <f t="shared" si="101"/>
        <v>-0.15298624140087547</v>
      </c>
      <c r="F3629" s="1494">
        <f t="shared" si="100"/>
        <v>-3.0597248280175094E-3</v>
      </c>
      <c r="G3629" s="415"/>
      <c r="H3629" s="415" t="str">
        <f>VLOOKUP(B3629,indexy!$A$44:$D$823,3,FALSE)</f>
        <v>T CT Equity</v>
      </c>
      <c r="J3629" s="434"/>
    </row>
    <row r="3630" spans="1:10" ht="12.75" hidden="1" customHeight="1" outlineLevel="1" x14ac:dyDescent="0.25">
      <c r="A3630" s="135">
        <v>0.04</v>
      </c>
      <c r="B3630" s="151" t="s">
        <v>3921</v>
      </c>
      <c r="C3630" s="410">
        <v>6.1181999999999999</v>
      </c>
      <c r="D3630" s="2738">
        <f>VLOOKUP(H3630,indexy!$C$44:$D$823,2,FALSE)</f>
        <v>7.66</v>
      </c>
      <c r="E3630" s="1463">
        <f t="shared" si="101"/>
        <v>0.25200222287600926</v>
      </c>
      <c r="F3630" s="1494">
        <f>E3630*A3630</f>
        <v>1.0080088915040371E-2</v>
      </c>
      <c r="G3630" s="415"/>
      <c r="H3630" s="415" t="str">
        <f>VLOOKUP(B3630,indexy!$A$44:$D$823,3,FALSE)</f>
        <v>TRN IM Equity</v>
      </c>
      <c r="J3630" s="434"/>
    </row>
    <row r="3631" spans="1:10" ht="12.75" hidden="1" customHeight="1" outlineLevel="1" x14ac:dyDescent="0.25">
      <c r="A3631" s="135">
        <v>0.02</v>
      </c>
      <c r="B3631" s="151" t="s">
        <v>10530</v>
      </c>
      <c r="C3631" s="410">
        <f>5271.2/3</f>
        <v>1757.0666666666666</v>
      </c>
      <c r="D3631" s="2738">
        <f>VLOOKUP(H3631,indexy!$C$44:$D$946,2,FALSE)</f>
        <v>4725</v>
      </c>
      <c r="E3631" s="1463">
        <f t="shared" si="101"/>
        <v>1.6891409925633631</v>
      </c>
      <c r="F3631" s="1494">
        <f>E3631*A3631</f>
        <v>3.3782819851267264E-2</v>
      </c>
      <c r="G3631" s="415"/>
      <c r="H3631" s="415" t="str">
        <f>VLOOKUP(B3631,indexy!$A$44:$D$946,3,FALSE)</f>
        <v>8766 JT Equity</v>
      </c>
      <c r="J3631" s="434"/>
    </row>
    <row r="3632" spans="1:10" ht="12.75" hidden="1" customHeight="1" outlineLevel="1" x14ac:dyDescent="0.25">
      <c r="A3632" s="135">
        <v>0.02</v>
      </c>
      <c r="B3632" s="151" t="s">
        <v>3903</v>
      </c>
      <c r="C3632" s="410">
        <v>29.591000000000001</v>
      </c>
      <c r="D3632" s="2738">
        <f>VLOOKUP(H3632,indexy!$C$44:$D$823,2,FALSE)</f>
        <v>30.87</v>
      </c>
      <c r="E3632" s="1463">
        <f t="shared" si="101"/>
        <v>4.3222601466662125E-2</v>
      </c>
      <c r="F3632" s="1494">
        <f>E3632*A3632</f>
        <v>8.6445202933324247E-4</v>
      </c>
      <c r="G3632" s="415"/>
      <c r="H3632" s="415" t="str">
        <f>VLOOKUP(B3632,indexy!$A$44:$D$823,3,FALSE)</f>
        <v>UPM FH Equity</v>
      </c>
      <c r="J3632" s="434"/>
    </row>
    <row r="3633" spans="1:10" ht="12.75" hidden="1" customHeight="1" outlineLevel="1" x14ac:dyDescent="0.25">
      <c r="A3633" s="135">
        <v>0.02</v>
      </c>
      <c r="B3633" s="151" t="s">
        <v>255</v>
      </c>
      <c r="C3633" s="410">
        <v>60.603000000000002</v>
      </c>
      <c r="D3633" s="2738">
        <f>VLOOKUP(H3633,indexy!$C$44:$D$823,2,FALSE)</f>
        <v>41.96</v>
      </c>
      <c r="E3633" s="1463">
        <f t="shared" si="101"/>
        <v>-0.30762503506427075</v>
      </c>
      <c r="F3633" s="1494">
        <f>E3633*A3633</f>
        <v>-6.1525007012854151E-3</v>
      </c>
      <c r="G3633" s="415"/>
      <c r="H3633" s="415" t="str">
        <f>VLOOKUP(B3633,indexy!$A$44:$D$823,3,FALSE)</f>
        <v>VZ UN Equity</v>
      </c>
      <c r="J3633" s="434"/>
    </row>
    <row r="3634" spans="1:10" ht="12.75" hidden="1" customHeight="1" outlineLevel="1" x14ac:dyDescent="0.25">
      <c r="A3634" s="135">
        <v>0.02</v>
      </c>
      <c r="B3634" s="2736" t="s">
        <v>4550</v>
      </c>
      <c r="C3634" s="2741">
        <v>362.84</v>
      </c>
      <c r="D3634" s="2739">
        <f>VLOOKUP(H3634,indexy!$C$44:$D$823,2,FALSE)</f>
        <v>486.3</v>
      </c>
      <c r="E3634" s="1463">
        <f t="shared" si="101"/>
        <v>0.3402601697718004</v>
      </c>
      <c r="F3634" s="1494">
        <f>E3634*A3634</f>
        <v>6.8052033954360078E-3</v>
      </c>
      <c r="G3634" s="415"/>
      <c r="H3634" s="415" t="str">
        <f>VLOOKUP(B3634,indexy!$A$44:$D$823,3,FALSE)</f>
        <v>ZURN SE Equity</v>
      </c>
      <c r="J3634" s="434"/>
    </row>
    <row r="3635" spans="1:10" ht="12.75" hidden="1" customHeight="1" outlineLevel="1" x14ac:dyDescent="0.25">
      <c r="A3635" s="1475" t="s">
        <v>2734</v>
      </c>
      <c r="B3635" s="150"/>
      <c r="C3635" s="1477">
        <v>100</v>
      </c>
      <c r="D3635" s="1477"/>
      <c r="E3635" s="1599"/>
      <c r="F3635" s="1599">
        <f>SUM(F3605:F3634)</f>
        <v>0.45214422157752721</v>
      </c>
      <c r="G3635" s="415"/>
      <c r="H3635" s="415"/>
    </row>
    <row r="3636" spans="1:10" ht="12.75" hidden="1" customHeight="1" outlineLevel="1" x14ac:dyDescent="0.25">
      <c r="A3636" s="221"/>
      <c r="B3636" s="1478">
        <v>46388</v>
      </c>
      <c r="C3636" s="1497">
        <v>100</v>
      </c>
      <c r="D3636" s="1497"/>
      <c r="E3636" s="1498">
        <f>IF(D3636="",$F$3635,D3636/C3636-1)</f>
        <v>0.45214422157752721</v>
      </c>
      <c r="F3636" s="1499"/>
      <c r="G3636" s="415"/>
      <c r="H3636" s="415"/>
    </row>
    <row r="3637" spans="1:10" ht="12.75" hidden="1" customHeight="1" outlineLevel="1" x14ac:dyDescent="0.25">
      <c r="A3637" s="221"/>
      <c r="B3637" s="1478">
        <v>46419</v>
      </c>
      <c r="C3637" s="1497">
        <v>100</v>
      </c>
      <c r="D3637" s="1500"/>
      <c r="E3637" s="1498">
        <f t="shared" ref="E3637:E3647" si="102">IF(D3637="",$F$3635,D3637/C3637-1)</f>
        <v>0.45214422157752721</v>
      </c>
      <c r="F3637" s="1499"/>
      <c r="G3637" s="415"/>
      <c r="H3637" s="415"/>
    </row>
    <row r="3638" spans="1:10" ht="12.75" hidden="1" customHeight="1" outlineLevel="1" x14ac:dyDescent="0.25">
      <c r="A3638" s="221"/>
      <c r="B3638" s="1478">
        <v>46447</v>
      </c>
      <c r="C3638" s="1497">
        <v>100</v>
      </c>
      <c r="D3638" s="1500"/>
      <c r="E3638" s="1498">
        <f t="shared" si="102"/>
        <v>0.45214422157752721</v>
      </c>
      <c r="F3638" s="1499"/>
      <c r="G3638" s="415"/>
      <c r="H3638" s="415"/>
    </row>
    <row r="3639" spans="1:10" ht="12.75" hidden="1" customHeight="1" outlineLevel="1" x14ac:dyDescent="0.25">
      <c r="A3639" s="221"/>
      <c r="B3639" s="1478">
        <v>46478</v>
      </c>
      <c r="C3639" s="1497">
        <v>100</v>
      </c>
      <c r="D3639" s="1500"/>
      <c r="E3639" s="1498">
        <f t="shared" si="102"/>
        <v>0.45214422157752721</v>
      </c>
      <c r="F3639" s="1499"/>
      <c r="G3639" s="415"/>
      <c r="H3639" s="415"/>
    </row>
    <row r="3640" spans="1:10" ht="12.75" hidden="1" customHeight="1" outlineLevel="1" x14ac:dyDescent="0.25">
      <c r="A3640" s="221"/>
      <c r="B3640" s="1478">
        <v>46508</v>
      </c>
      <c r="C3640" s="1497">
        <v>100</v>
      </c>
      <c r="D3640" s="1500"/>
      <c r="E3640" s="1498">
        <f t="shared" si="102"/>
        <v>0.45214422157752721</v>
      </c>
      <c r="F3640" s="1499"/>
      <c r="G3640" s="415"/>
      <c r="H3640" s="415"/>
    </row>
    <row r="3641" spans="1:10" ht="12.75" hidden="1" customHeight="1" outlineLevel="1" x14ac:dyDescent="0.25">
      <c r="A3641" s="221"/>
      <c r="B3641" s="1478">
        <v>46539</v>
      </c>
      <c r="C3641" s="1497">
        <v>100</v>
      </c>
      <c r="D3641" s="1500"/>
      <c r="E3641" s="1498">
        <f t="shared" si="102"/>
        <v>0.45214422157752721</v>
      </c>
      <c r="F3641" s="1499"/>
      <c r="G3641" s="415"/>
      <c r="H3641" s="415"/>
    </row>
    <row r="3642" spans="1:10" ht="12.75" hidden="1" customHeight="1" outlineLevel="1" x14ac:dyDescent="0.25">
      <c r="A3642" s="221"/>
      <c r="B3642" s="1478">
        <v>46569</v>
      </c>
      <c r="C3642" s="1497">
        <v>100</v>
      </c>
      <c r="D3642" s="1500"/>
      <c r="E3642" s="1498">
        <f t="shared" si="102"/>
        <v>0.45214422157752721</v>
      </c>
      <c r="F3642" s="1499"/>
      <c r="G3642" s="415"/>
      <c r="H3642" s="415"/>
    </row>
    <row r="3643" spans="1:10" ht="12.75" hidden="1" customHeight="1" outlineLevel="1" x14ac:dyDescent="0.25">
      <c r="A3643" s="221"/>
      <c r="B3643" s="1478">
        <v>46600</v>
      </c>
      <c r="C3643" s="1497">
        <v>100</v>
      </c>
      <c r="D3643" s="1500"/>
      <c r="E3643" s="1498">
        <f t="shared" si="102"/>
        <v>0.45214422157752721</v>
      </c>
      <c r="F3643" s="1499"/>
      <c r="G3643" s="415"/>
      <c r="H3643" s="415"/>
    </row>
    <row r="3644" spans="1:10" ht="12.75" hidden="1" customHeight="1" outlineLevel="1" x14ac:dyDescent="0.25">
      <c r="A3644" s="221"/>
      <c r="B3644" s="1478">
        <v>46631</v>
      </c>
      <c r="C3644" s="1497">
        <v>100</v>
      </c>
      <c r="D3644" s="1500"/>
      <c r="E3644" s="1498">
        <f t="shared" si="102"/>
        <v>0.45214422157752721</v>
      </c>
      <c r="F3644" s="1499"/>
      <c r="G3644" s="415"/>
      <c r="H3644" s="415"/>
    </row>
    <row r="3645" spans="1:10" ht="12.75" hidden="1" customHeight="1" outlineLevel="1" x14ac:dyDescent="0.25">
      <c r="A3645" s="221"/>
      <c r="B3645" s="1478">
        <v>46661</v>
      </c>
      <c r="C3645" s="1497">
        <v>100</v>
      </c>
      <c r="D3645" s="1500"/>
      <c r="E3645" s="1498">
        <f t="shared" si="102"/>
        <v>0.45214422157752721</v>
      </c>
      <c r="F3645" s="1499"/>
      <c r="G3645" s="415"/>
      <c r="H3645" s="415"/>
    </row>
    <row r="3646" spans="1:10" ht="12.75" hidden="1" customHeight="1" outlineLevel="1" x14ac:dyDescent="0.25">
      <c r="A3646" s="221"/>
      <c r="B3646" s="1478">
        <v>46692</v>
      </c>
      <c r="C3646" s="1497">
        <v>100</v>
      </c>
      <c r="D3646" s="1500"/>
      <c r="E3646" s="1498">
        <f t="shared" si="102"/>
        <v>0.45214422157752721</v>
      </c>
      <c r="F3646" s="1499"/>
      <c r="G3646" s="415"/>
      <c r="H3646" s="415"/>
    </row>
    <row r="3647" spans="1:10" ht="12.75" hidden="1" customHeight="1" outlineLevel="1" x14ac:dyDescent="0.25">
      <c r="A3647" s="221"/>
      <c r="B3647" s="1478">
        <v>46722</v>
      </c>
      <c r="C3647" s="1497">
        <v>100</v>
      </c>
      <c r="D3647" s="1500"/>
      <c r="E3647" s="1498">
        <f t="shared" si="102"/>
        <v>0.45214422157752721</v>
      </c>
      <c r="F3647" s="1499"/>
      <c r="G3647" s="415"/>
      <c r="H3647" s="415"/>
    </row>
    <row r="3648" spans="1:10" s="444" customFormat="1" ht="12.75" hidden="1" customHeight="1" outlineLevel="1" x14ac:dyDescent="0.25">
      <c r="A3648" s="1483" t="s">
        <v>2734</v>
      </c>
      <c r="B3648" s="1484"/>
      <c r="C3648" s="1500"/>
      <c r="D3648" s="1485" t="s">
        <v>2465</v>
      </c>
      <c r="E3648" s="1486">
        <f>AVERAGE(E3636:E3647)</f>
        <v>0.45214422157752726</v>
      </c>
      <c r="F3648" s="1487">
        <f>((((E3648*100)+100)-I3605)/100)</f>
        <v>0.45214422157752721</v>
      </c>
    </row>
    <row r="3649" spans="1:18" collapsed="1" x14ac:dyDescent="0.25">
      <c r="A3649" s="3799" t="s">
        <v>10525</v>
      </c>
      <c r="B3649" s="3800"/>
      <c r="C3649" s="3800"/>
      <c r="D3649" s="3800"/>
      <c r="E3649" s="18"/>
      <c r="F3649" s="186">
        <f>MAX(-10%,MIN(F3648,40%))</f>
        <v>0.4</v>
      </c>
      <c r="G3649" s="415"/>
    </row>
    <row r="3651" spans="1:18" ht="12.75" hidden="1" customHeight="1" outlineLevel="1" x14ac:dyDescent="0.25">
      <c r="A3651" s="1677" t="s">
        <v>4156</v>
      </c>
      <c r="B3651" s="1677" t="s">
        <v>4153</v>
      </c>
      <c r="C3651" s="1305" t="s">
        <v>112</v>
      </c>
      <c r="D3651" s="1678" t="s">
        <v>4155</v>
      </c>
      <c r="E3651" s="1677" t="s">
        <v>4154</v>
      </c>
      <c r="F3651" s="1678" t="s">
        <v>2519</v>
      </c>
      <c r="G3651" s="12"/>
      <c r="H3651" s="415"/>
      <c r="I3651" s="412" t="s">
        <v>6964</v>
      </c>
      <c r="J3651" s="1462">
        <v>44228</v>
      </c>
      <c r="K3651" s="1462">
        <v>44256</v>
      </c>
      <c r="L3651" s="1462">
        <v>44287</v>
      </c>
      <c r="M3651" s="1462">
        <v>44317</v>
      </c>
      <c r="N3651" s="1462">
        <v>44348</v>
      </c>
      <c r="O3651" s="1462">
        <v>44378</v>
      </c>
      <c r="P3651" s="1462"/>
      <c r="Q3651" s="1462"/>
      <c r="R3651" s="1462"/>
    </row>
    <row r="3652" spans="1:18" ht="12.75" hidden="1" customHeight="1" outlineLevel="1" x14ac:dyDescent="0.25">
      <c r="A3652" s="135">
        <v>0.02</v>
      </c>
      <c r="B3652" s="151" t="s">
        <v>7111</v>
      </c>
      <c r="C3652" s="454">
        <v>110.759</v>
      </c>
      <c r="D3652" s="2737">
        <f>VLOOKUP(H3652,indexy!$C$44:$D$823,2,FALSE)</f>
        <v>182.1</v>
      </c>
      <c r="E3652" s="1466">
        <f>D3652/C3652-1</f>
        <v>0.64411018517682539</v>
      </c>
      <c r="F3652" s="1492">
        <f>E3652*A3652</f>
        <v>1.2882203703536509E-2</v>
      </c>
      <c r="G3652" s="415"/>
      <c r="H3652" s="415" t="str">
        <f>VLOOKUP(B3652,indexy!$A$44:$D$823,3,FALSE)</f>
        <v>ABBV UN Equity</v>
      </c>
      <c r="I3652" s="412">
        <f>IF(J3652="",100,MIN(100,J3652:Y3652))</f>
        <v>98.249899999999997</v>
      </c>
      <c r="J3652">
        <v>98.249899999999997</v>
      </c>
      <c r="K3652">
        <v>102.56</v>
      </c>
      <c r="L3652">
        <v>107.14660000000001</v>
      </c>
      <c r="M3652">
        <v>108.392</v>
      </c>
      <c r="N3652">
        <v>108.5926</v>
      </c>
    </row>
    <row r="3653" spans="1:18" ht="12.75" hidden="1" customHeight="1" outlineLevel="1" x14ac:dyDescent="0.25">
      <c r="A3653" s="135">
        <v>0.04</v>
      </c>
      <c r="B3653" s="151" t="s">
        <v>2697</v>
      </c>
      <c r="C3653" s="410">
        <v>14.513999999999999</v>
      </c>
      <c r="D3653" s="2738">
        <f>VLOOKUP(H3653,indexy!$C$44:$D$823,2,FALSE)</f>
        <v>23.46</v>
      </c>
      <c r="E3653" s="1463">
        <f>D3653/C3653-1</f>
        <v>0.61637040099214557</v>
      </c>
      <c r="F3653" s="1494">
        <f t="shared" ref="F3653:F3676" si="103">E3653*A3653</f>
        <v>2.4654816039685824E-2</v>
      </c>
      <c r="G3653" s="415"/>
      <c r="H3653" s="415" t="str">
        <f>VLOOKUP(B3653,indexy!$A$44:$D$823,3,FALSE)</f>
        <v>G IM Equity</v>
      </c>
      <c r="I3653" s="422">
        <f>+(((E3695*100)+100)-I3652)/100</f>
        <v>0.36826561274849495</v>
      </c>
    </row>
    <row r="3654" spans="1:18" ht="12.75" hidden="1" customHeight="1" outlineLevel="1" x14ac:dyDescent="0.25">
      <c r="A3654" s="135">
        <v>0.02</v>
      </c>
      <c r="B3654" s="151" t="s">
        <v>3998</v>
      </c>
      <c r="C3654" s="410">
        <v>28.937999999999999</v>
      </c>
      <c r="D3654" s="2738">
        <f>VLOOKUP(H3654,indexy!$C$44:$D$823,2,FALSE)</f>
        <v>17.600000000000001</v>
      </c>
      <c r="E3654" s="1463">
        <f t="shared" ref="E3654:E3681" si="104">D3654/C3654-1</f>
        <v>-0.39180316538807103</v>
      </c>
      <c r="F3654" s="1494">
        <f t="shared" si="103"/>
        <v>-7.8360633077614213E-3</v>
      </c>
      <c r="G3654" s="415"/>
      <c r="H3654" s="415" t="str">
        <f>VLOOKUP(B3654,indexy!$A$44:$D$823,3,FALSE)</f>
        <v>T UN Equity</v>
      </c>
      <c r="J3654" s="434"/>
    </row>
    <row r="3655" spans="1:18" ht="12.75" hidden="1" customHeight="1" outlineLevel="1" x14ac:dyDescent="0.25">
      <c r="A3655" s="135">
        <v>0.05</v>
      </c>
      <c r="B3655" s="151" t="s">
        <v>218</v>
      </c>
      <c r="C3655" s="410">
        <v>19.944900000000001</v>
      </c>
      <c r="D3655" s="2738">
        <f>VLOOKUP(H3655,indexy!$C$44:$D$823,2,FALSE)</f>
        <v>34.814999999999998</v>
      </c>
      <c r="E3655" s="1463">
        <f t="shared" si="104"/>
        <v>0.74555901508656341</v>
      </c>
      <c r="F3655" s="1494">
        <f t="shared" si="103"/>
        <v>3.7277950754328174E-2</v>
      </c>
      <c r="G3655" s="415"/>
      <c r="H3655" s="415" t="str">
        <f>VLOOKUP(B3655,indexy!$A$44:$D$823,3,FALSE)</f>
        <v>CS FP Equity</v>
      </c>
      <c r="J3655" s="434"/>
      <c r="K3655" s="37"/>
    </row>
    <row r="3656" spans="1:18" ht="12.75" hidden="1" customHeight="1" outlineLevel="1" x14ac:dyDescent="0.25">
      <c r="A3656" s="135">
        <v>0.02</v>
      </c>
      <c r="B3656" s="151" t="s">
        <v>5748</v>
      </c>
      <c r="C3656" s="410">
        <v>69.587000000000003</v>
      </c>
      <c r="D3656" s="2738">
        <f>VLOOKUP(H3656,indexy!$C$44:$D$823,2,FALSE)</f>
        <v>70.069999999999993</v>
      </c>
      <c r="E3656" s="1463">
        <f t="shared" si="104"/>
        <v>6.9409516145255701E-3</v>
      </c>
      <c r="F3656" s="1494">
        <f t="shared" si="103"/>
        <v>1.388190322905114E-4</v>
      </c>
      <c r="G3656" s="415"/>
      <c r="H3656" s="415" t="str">
        <f>VLOOKUP(B3656,indexy!$A$44:$D$823,3,FALSE)</f>
        <v>BNS CT Equity</v>
      </c>
      <c r="J3656" s="434"/>
    </row>
    <row r="3657" spans="1:18" ht="12.75" hidden="1" customHeight="1" outlineLevel="1" x14ac:dyDescent="0.25">
      <c r="A3657" s="135">
        <v>0.05</v>
      </c>
      <c r="B3657" s="151" t="s">
        <v>807</v>
      </c>
      <c r="C3657" s="410">
        <v>55.212000000000003</v>
      </c>
      <c r="D3657" s="2738">
        <f>VLOOKUP(H3657,indexy!$C$44:$D$823,2,FALSE)</f>
        <v>46.03</v>
      </c>
      <c r="E3657" s="1463">
        <f t="shared" si="104"/>
        <v>-0.16630442657393318</v>
      </c>
      <c r="F3657" s="1494">
        <f t="shared" si="103"/>
        <v>-8.3152213286966595E-3</v>
      </c>
      <c r="G3657" s="415"/>
      <c r="H3657" s="415" t="str">
        <f>VLOOKUP(B3657,indexy!$A$44:$D$823,3,FALSE)</f>
        <v>BCE CT Equity</v>
      </c>
      <c r="J3657" s="434"/>
    </row>
    <row r="3658" spans="1:18" ht="12.75" hidden="1" customHeight="1" outlineLevel="1" x14ac:dyDescent="0.25">
      <c r="A3658" s="135">
        <v>0.02</v>
      </c>
      <c r="B3658" s="151" t="s">
        <v>3954</v>
      </c>
      <c r="C3658" s="410">
        <f>113.156/2</f>
        <v>56.578000000000003</v>
      </c>
      <c r="D3658" s="2738">
        <f>VLOOKUP(H3658,indexy!$C$44:$D$823,2,FALSE)</f>
        <v>68.67</v>
      </c>
      <c r="E3658" s="1463">
        <f t="shared" si="104"/>
        <v>0.21372264837922872</v>
      </c>
      <c r="F3658" s="1494">
        <f t="shared" si="103"/>
        <v>4.2744529675845747E-3</v>
      </c>
      <c r="G3658" s="415"/>
      <c r="H3658" s="415" t="str">
        <f>VLOOKUP(B3658,indexy!$A$44:$D$823,3,FALSE)</f>
        <v>CM CT Equity</v>
      </c>
      <c r="J3658" s="434"/>
    </row>
    <row r="3659" spans="1:18" ht="12.75" hidden="1" customHeight="1" outlineLevel="1" x14ac:dyDescent="0.25">
      <c r="A3659" s="135">
        <v>0.02</v>
      </c>
      <c r="B3659" s="151" t="s">
        <v>1723</v>
      </c>
      <c r="C3659" s="410">
        <v>167.68</v>
      </c>
      <c r="D3659" s="2738">
        <f>VLOOKUP(H3659,indexy!$C$44:$D$823,2,FALSE)</f>
        <v>215.1</v>
      </c>
      <c r="E3659" s="1463">
        <f t="shared" si="104"/>
        <v>0.28280057251908386</v>
      </c>
      <c r="F3659" s="1494">
        <f t="shared" si="103"/>
        <v>5.6560114503816771E-3</v>
      </c>
      <c r="G3659" s="415"/>
      <c r="H3659" s="415" t="str">
        <f>VLOOKUP(B3659,indexy!$A$44:$D$823,3,FALSE)</f>
        <v>DNB NO Equity</v>
      </c>
      <c r="J3659" s="434"/>
    </row>
    <row r="3660" spans="1:18" ht="12.75" hidden="1" customHeight="1" outlineLevel="1" x14ac:dyDescent="0.25">
      <c r="A3660" s="135">
        <v>0.02</v>
      </c>
      <c r="B3660" s="151" t="s">
        <v>9171</v>
      </c>
      <c r="C3660" s="410">
        <v>22.317</v>
      </c>
      <c r="D3660" s="2738">
        <f>VLOOKUP(H3660,indexy!$C$44:$D$823,2,FALSE)</f>
        <v>17.164999999999999</v>
      </c>
      <c r="E3660" s="1463">
        <f t="shared" si="104"/>
        <v>-0.2308554017116996</v>
      </c>
      <c r="F3660" s="1494">
        <f t="shared" si="103"/>
        <v>-4.6171080342339924E-3</v>
      </c>
      <c r="G3660" s="415"/>
      <c r="H3660" s="415" t="str">
        <f>VLOOKUP(B3660,indexy!$A$44:$D$823,3,FALSE)</f>
        <v>ELE SQ Equity</v>
      </c>
      <c r="J3660" s="434"/>
    </row>
    <row r="3661" spans="1:18" ht="12.75" hidden="1" customHeight="1" outlineLevel="1" x14ac:dyDescent="0.25">
      <c r="A3661" s="135">
        <v>0.02</v>
      </c>
      <c r="B3661" s="151" t="s">
        <v>10569</v>
      </c>
      <c r="C3661" s="410">
        <v>25.013000000000002</v>
      </c>
      <c r="D3661" s="2738">
        <f>VLOOKUP(H3661,indexy!$C$44:$D$823,2,FALSE)</f>
        <v>25.7</v>
      </c>
      <c r="E3661" s="1463">
        <f t="shared" si="104"/>
        <v>2.7465717826729907E-2</v>
      </c>
      <c r="F3661" s="1494">
        <f t="shared" si="103"/>
        <v>5.4931435653459814E-4</v>
      </c>
      <c r="G3661" s="415"/>
      <c r="H3661" s="415" t="str">
        <f>VLOOKUP(B3661,indexy!$A$44:$D$823,3,FALSE)</f>
        <v>FMG AT Equity</v>
      </c>
      <c r="J3661" s="434"/>
    </row>
    <row r="3662" spans="1:18" ht="12.75" hidden="1" customHeight="1" outlineLevel="1" x14ac:dyDescent="0.25">
      <c r="A3662" s="135">
        <v>0.02</v>
      </c>
      <c r="B3662" s="151" t="s">
        <v>4268</v>
      </c>
      <c r="C3662" s="410">
        <v>21.326000000000001</v>
      </c>
      <c r="D3662" s="2738">
        <f>VLOOKUP(H3662,indexy!$C$44:$D$823,2,FALSE)</f>
        <v>11.445</v>
      </c>
      <c r="E3662" s="1463">
        <f t="shared" si="104"/>
        <v>-0.46333114508112161</v>
      </c>
      <c r="F3662" s="1494">
        <f t="shared" si="103"/>
        <v>-9.2666229016224316E-3</v>
      </c>
      <c r="G3662" s="415"/>
      <c r="H3662" s="415" t="str">
        <f>VLOOKUP(B3662,indexy!$A$44:$D$823,3,FALSE)</f>
        <v>FORTUM FH Equity</v>
      </c>
      <c r="J3662" s="434"/>
    </row>
    <row r="3663" spans="1:18" ht="12.75" hidden="1" customHeight="1" outlineLevel="1" x14ac:dyDescent="0.25">
      <c r="A3663" s="135">
        <v>0.03</v>
      </c>
      <c r="B3663" s="151" t="s">
        <v>10571</v>
      </c>
      <c r="C3663" s="410">
        <v>896.7</v>
      </c>
      <c r="D3663" s="2738">
        <f>VLOOKUP(H3663,indexy!$C$44:$D$823,2,FALSE)</f>
        <v>1625</v>
      </c>
      <c r="E3663" s="1463">
        <f t="shared" si="104"/>
        <v>0.81220028995204641</v>
      </c>
      <c r="F3663" s="1494">
        <f t="shared" si="103"/>
        <v>2.4366008698561391E-2</v>
      </c>
      <c r="G3663" s="415"/>
      <c r="H3663" s="415" t="str">
        <f>VLOOKUP(B3663,indexy!$A$44:$D$823,3,FALSE)</f>
        <v>7182 JT Equity</v>
      </c>
      <c r="J3663" s="434"/>
    </row>
    <row r="3664" spans="1:18" ht="12.75" hidden="1" customHeight="1" outlineLevel="1" x14ac:dyDescent="0.25">
      <c r="A3664" s="135">
        <v>0.02</v>
      </c>
      <c r="B3664" s="151" t="s">
        <v>7574</v>
      </c>
      <c r="C3664" s="2740">
        <v>51.457999999999998</v>
      </c>
      <c r="D3664" s="2738">
        <f>VLOOKUP(H3664,indexy!$C$44:$D$823,2,FALSE)</f>
        <v>81.66</v>
      </c>
      <c r="E3664" s="1463">
        <f t="shared" si="104"/>
        <v>0.58692525943487883</v>
      </c>
      <c r="F3664" s="1494">
        <f t="shared" si="103"/>
        <v>1.1738505188697576E-2</v>
      </c>
      <c r="G3664" s="415"/>
      <c r="H3664" s="415" t="str">
        <f>VLOOKUP(B3664,indexy!$A$44:$D$823,3,FALSE)</f>
        <v>HOLN SE Equity</v>
      </c>
      <c r="J3664" s="434"/>
    </row>
    <row r="3665" spans="1:10" ht="12.75" hidden="1" customHeight="1" outlineLevel="1" x14ac:dyDescent="0.25">
      <c r="A3665" s="135">
        <v>0.02</v>
      </c>
      <c r="B3665" s="151" t="s">
        <v>247</v>
      </c>
      <c r="C3665" s="410">
        <f>2672.75/3</f>
        <v>890.91666666666663</v>
      </c>
      <c r="D3665" s="2738">
        <f>VLOOKUP(H3665,indexy!$C$44:$D$823,2,FALSE)</f>
        <v>3483</v>
      </c>
      <c r="E3665" s="1463">
        <f t="shared" si="104"/>
        <v>2.9094565522402021</v>
      </c>
      <c r="F3665" s="1494">
        <f t="shared" si="103"/>
        <v>5.8189131044804041E-2</v>
      </c>
      <c r="G3665" s="415"/>
      <c r="H3665" s="415" t="str">
        <f>VLOOKUP(B3665,indexy!$A$44:$D$823,3,FALSE)</f>
        <v>8058 JT Equity</v>
      </c>
      <c r="J3665" s="434"/>
    </row>
    <row r="3666" spans="1:10" ht="12.75" hidden="1" customHeight="1" outlineLevel="1" x14ac:dyDescent="0.25">
      <c r="A3666" s="135">
        <v>0.03</v>
      </c>
      <c r="B3666" s="151" t="s">
        <v>9767</v>
      </c>
      <c r="C3666" s="410">
        <v>20.117999999999999</v>
      </c>
      <c r="D3666" s="2738">
        <f>VLOOKUP(H3666,indexy!$C$44:$D$823,2,FALSE)</f>
        <v>20.100000000000001</v>
      </c>
      <c r="E3666" s="1463">
        <f t="shared" si="104"/>
        <v>-8.9472114524291602E-4</v>
      </c>
      <c r="F3666" s="1494">
        <f t="shared" si="103"/>
        <v>-2.6841634357287479E-5</v>
      </c>
      <c r="G3666" s="415"/>
      <c r="H3666" s="415" t="str">
        <f>VLOOKUP(B3666,indexy!$A$44:$D$823,3,FALSE)</f>
        <v>NTGY SQ Equity</v>
      </c>
      <c r="J3666" s="434"/>
    </row>
    <row r="3667" spans="1:10" ht="12.75" hidden="1" customHeight="1" outlineLevel="1" x14ac:dyDescent="0.25">
      <c r="A3667" s="135">
        <v>0.08</v>
      </c>
      <c r="B3667" s="151" t="s">
        <v>5824</v>
      </c>
      <c r="C3667" s="410">
        <v>9.8672000000000004</v>
      </c>
      <c r="D3667" s="2738">
        <f>VLOOKUP(H3667,indexy!$C$44:$D$823,2,FALSE)</f>
        <v>10.888</v>
      </c>
      <c r="E3667" s="1463">
        <f t="shared" si="104"/>
        <v>0.10345386735852102</v>
      </c>
      <c r="F3667" s="1494">
        <f t="shared" si="103"/>
        <v>8.2763093886816814E-3</v>
      </c>
      <c r="G3667" s="415"/>
      <c r="H3667" s="415" t="str">
        <f>VLOOKUP(B3667,indexy!$A$44:$D$823,3,FALSE)</f>
        <v>ORA FP Equity</v>
      </c>
      <c r="J3667" s="434"/>
    </row>
    <row r="3668" spans="1:10" ht="12.75" hidden="1" customHeight="1" outlineLevel="1" x14ac:dyDescent="0.25">
      <c r="A3668" s="135">
        <v>0.02</v>
      </c>
      <c r="B3668" s="151" t="s">
        <v>10429</v>
      </c>
      <c r="C3668" s="410">
        <v>30.7</v>
      </c>
      <c r="D3668" s="2738">
        <f>VLOOKUP(H3668,indexy!$C$44:$D$823,2,FALSE)</f>
        <v>37.979999999999997</v>
      </c>
      <c r="E3668" s="1463">
        <f t="shared" si="104"/>
        <v>0.23713355048859919</v>
      </c>
      <c r="F3668" s="1494">
        <f t="shared" si="103"/>
        <v>4.742671009771984E-3</v>
      </c>
      <c r="G3668" s="415"/>
      <c r="H3668" s="415" t="str">
        <f>VLOOKUP(B3668,indexy!$A$44:$D$823,3,FALSE)</f>
        <v>POW CT Equity</v>
      </c>
      <c r="J3668" s="434"/>
    </row>
    <row r="3669" spans="1:10" ht="12.75" hidden="1" customHeight="1" outlineLevel="1" x14ac:dyDescent="0.25">
      <c r="A3669" s="135">
        <v>0.02</v>
      </c>
      <c r="B3669" s="151" t="s">
        <v>2769</v>
      </c>
      <c r="C3669" s="410">
        <v>28.009</v>
      </c>
      <c r="D3669" s="2738">
        <f>VLOOKUP(H3669,indexy!$C$44:$D$823,2,FALSE)</f>
        <v>27.53</v>
      </c>
      <c r="E3669" s="1463">
        <f t="shared" si="104"/>
        <v>-1.7101645899532225E-2</v>
      </c>
      <c r="F3669" s="1494">
        <f t="shared" si="103"/>
        <v>-3.4203291799064453E-4</v>
      </c>
      <c r="G3669" s="415"/>
      <c r="H3669" s="415" t="str">
        <f>VLOOKUP(B3669,indexy!$A$44:$D$823,3,FALSE)</f>
        <v>PPL UN Equity</v>
      </c>
      <c r="J3669" s="434"/>
    </row>
    <row r="3670" spans="1:10" ht="12.75" hidden="1" customHeight="1" outlineLevel="1" x14ac:dyDescent="0.25">
      <c r="A3670" s="135">
        <v>0.02</v>
      </c>
      <c r="B3670" s="151" t="s">
        <v>10556</v>
      </c>
      <c r="C3670" s="410">
        <v>120.884</v>
      </c>
      <c r="D3670" s="2738">
        <f>VLOOKUP(H3670,indexy!$C$44:$D$823,2,FALSE)</f>
        <v>121.76</v>
      </c>
      <c r="E3670" s="1463">
        <f t="shared" si="104"/>
        <v>7.2466165911122538E-3</v>
      </c>
      <c r="F3670" s="1494">
        <f t="shared" si="103"/>
        <v>1.4493233182224507E-4</v>
      </c>
      <c r="G3670" s="415"/>
      <c r="H3670" s="415" t="str">
        <f>VLOOKUP(B3670,indexy!$A$44:$D$823,3,FALSE)</f>
        <v>RIO AT Equity</v>
      </c>
      <c r="J3670" s="434"/>
    </row>
    <row r="3671" spans="1:10" ht="12.75" hidden="1" customHeight="1" outlineLevel="1" x14ac:dyDescent="0.25">
      <c r="A3671" s="135">
        <v>0.02</v>
      </c>
      <c r="B3671" s="151" t="s">
        <v>6524</v>
      </c>
      <c r="C3671" s="410">
        <v>88.457999999999998</v>
      </c>
      <c r="D3671" s="2738">
        <f>VLOOKUP(H3671,indexy!$C$44:$D$823,2,FALSE)</f>
        <v>144.94999999999999</v>
      </c>
      <c r="E3671" s="1463">
        <f t="shared" si="104"/>
        <v>0.63863076262180907</v>
      </c>
      <c r="F3671" s="1494">
        <f t="shared" si="103"/>
        <v>1.2772615252436182E-2</v>
      </c>
      <c r="G3671" s="415"/>
      <c r="H3671" s="415" t="str">
        <f>VLOOKUP(B3671,indexy!$A$44:$D$823,3,FALSE)</f>
        <v>SEBA SS Equity</v>
      </c>
      <c r="J3671" s="434"/>
    </row>
    <row r="3672" spans="1:10" ht="12.75" hidden="1" customHeight="1" outlineLevel="1" x14ac:dyDescent="0.25">
      <c r="A3672" s="135">
        <v>0.08</v>
      </c>
      <c r="B3672" s="151" t="s">
        <v>6116</v>
      </c>
      <c r="C3672" s="410">
        <v>4.5214999999999996</v>
      </c>
      <c r="D3672" s="2738">
        <f>VLOOKUP(H3672,indexy!$C$44:$D$823,2,FALSE)</f>
        <v>4.3760000000000003</v>
      </c>
      <c r="E3672" s="1463">
        <f t="shared" si="104"/>
        <v>-3.2179586420435502E-2</v>
      </c>
      <c r="F3672" s="1494">
        <f t="shared" si="103"/>
        <v>-2.5743669136348403E-3</v>
      </c>
      <c r="G3672" s="415"/>
      <c r="H3672" s="415" t="str">
        <f>VLOOKUP(B3672,indexy!$A$44:$D$823,3,FALSE)</f>
        <v>SRG IM Equity</v>
      </c>
      <c r="J3672" s="434"/>
    </row>
    <row r="3673" spans="1:10" ht="12.75" hidden="1" customHeight="1" outlineLevel="1" x14ac:dyDescent="0.25">
      <c r="A3673" s="135">
        <v>0.08</v>
      </c>
      <c r="B3673" s="151" t="s">
        <v>10529</v>
      </c>
      <c r="C3673" s="410">
        <v>1352.85</v>
      </c>
      <c r="D3673" s="2738">
        <f>VLOOKUP(H3673,indexy!$C$44:$D$823,2,FALSE)</f>
        <v>1941</v>
      </c>
      <c r="E3673" s="1463">
        <f t="shared" si="104"/>
        <v>0.43474886351036712</v>
      </c>
      <c r="F3673" s="1494">
        <f t="shared" si="103"/>
        <v>3.4779909080829369E-2</v>
      </c>
      <c r="G3673" s="415"/>
      <c r="H3673" s="415" t="str">
        <f>VLOOKUP(B3673,indexy!$A$44:$D$823,3,FALSE)</f>
        <v>9434 JT Equity</v>
      </c>
      <c r="J3673" s="434"/>
    </row>
    <row r="3674" spans="1:10" ht="12.75" hidden="1" customHeight="1" outlineLevel="1" x14ac:dyDescent="0.25">
      <c r="A3674" s="135">
        <v>7.0000000000000007E-2</v>
      </c>
      <c r="B3674" s="151" t="s">
        <v>5168</v>
      </c>
      <c r="C3674" s="410">
        <v>1420.35</v>
      </c>
      <c r="D3674" s="2738">
        <f>VLOOKUP(H3674,indexy!$C$44:$D$823,2,FALSE)</f>
        <v>3630</v>
      </c>
      <c r="E3674" s="1463">
        <f t="shared" si="104"/>
        <v>1.5557081001161688</v>
      </c>
      <c r="F3674" s="1494">
        <f t="shared" si="103"/>
        <v>0.10889956700813183</v>
      </c>
      <c r="G3674" s="415"/>
      <c r="H3674" s="415" t="str">
        <f>VLOOKUP(B3674,indexy!$A$44:$D$823,3,FALSE)</f>
        <v>8053 JT equity</v>
      </c>
      <c r="J3674" s="434"/>
    </row>
    <row r="3675" spans="1:10" ht="12.75" hidden="1" customHeight="1" outlineLevel="1" x14ac:dyDescent="0.25">
      <c r="A3675" s="135">
        <v>0.02</v>
      </c>
      <c r="B3675" s="151" t="s">
        <v>702</v>
      </c>
      <c r="C3675" s="410">
        <v>3450.6</v>
      </c>
      <c r="D3675" s="2738">
        <f>VLOOKUP(H3675,indexy!$C$44:$D$823,2,FALSE)</f>
        <v>8832</v>
      </c>
      <c r="E3675" s="1463">
        <f t="shared" si="104"/>
        <v>1.5595548600243436</v>
      </c>
      <c r="F3675" s="1494">
        <f t="shared" si="103"/>
        <v>3.1191097200486875E-2</v>
      </c>
      <c r="G3675" s="415"/>
      <c r="H3675" s="415" t="str">
        <f>VLOOKUP(B3675,indexy!$A$44:$D$823,3,FALSE)</f>
        <v>8316 JT Equity</v>
      </c>
      <c r="J3675" s="434"/>
    </row>
    <row r="3676" spans="1:10" ht="12.75" hidden="1" customHeight="1" outlineLevel="1" x14ac:dyDescent="0.25">
      <c r="A3676" s="135">
        <v>0.02</v>
      </c>
      <c r="B3676" s="151" t="s">
        <v>3022</v>
      </c>
      <c r="C3676" s="410">
        <v>3652.9</v>
      </c>
      <c r="D3676" s="2738">
        <f>VLOOKUP(H3676,indexy!$C$44:$D$823,2,FALSE)</f>
        <v>4203</v>
      </c>
      <c r="E3676" s="1463">
        <f t="shared" si="104"/>
        <v>0.15059267978866098</v>
      </c>
      <c r="F3676" s="1494">
        <f t="shared" si="103"/>
        <v>3.0118535957732195E-3</v>
      </c>
      <c r="G3676" s="415"/>
      <c r="H3676" s="415" t="str">
        <f>VLOOKUP(B3676,indexy!$A$44:$D$823,3,FALSE)</f>
        <v>4502 JT Equity</v>
      </c>
      <c r="J3676" s="434"/>
    </row>
    <row r="3677" spans="1:10" ht="12.75" hidden="1" customHeight="1" outlineLevel="1" x14ac:dyDescent="0.25">
      <c r="A3677" s="135">
        <v>0.08</v>
      </c>
      <c r="B3677" s="151" t="s">
        <v>366</v>
      </c>
      <c r="C3677" s="410">
        <v>55.302</v>
      </c>
      <c r="D3677" s="2738">
        <f>VLOOKUP(H3677,indexy!$C$44:$D$823,2,FALSE)</f>
        <v>54.44</v>
      </c>
      <c r="E3677" s="1463">
        <f t="shared" si="104"/>
        <v>-1.5587139705616426E-2</v>
      </c>
      <c r="F3677" s="1494">
        <f>E3677*A3677</f>
        <v>-1.2469711764493141E-3</v>
      </c>
      <c r="G3677" s="415"/>
      <c r="H3677" s="415" t="str">
        <f>VLOOKUP(B3677,indexy!$A$44:$D$823,3,FALSE)</f>
        <v>TRP CT Equity</v>
      </c>
      <c r="J3677" s="434"/>
    </row>
    <row r="3678" spans="1:10" ht="12.75" hidden="1" customHeight="1" outlineLevel="1" x14ac:dyDescent="0.25">
      <c r="A3678" s="135">
        <v>0.03</v>
      </c>
      <c r="B3678" s="151" t="s">
        <v>3383</v>
      </c>
      <c r="C3678" s="410">
        <v>146.02000000000001</v>
      </c>
      <c r="D3678" s="2738">
        <f>VLOOKUP(H3678,indexy!$C$44:$D$946,2,FALSE)</f>
        <v>120.75</v>
      </c>
      <c r="E3678" s="1463">
        <f t="shared" si="104"/>
        <v>-0.17305848513902211</v>
      </c>
      <c r="F3678" s="1494">
        <f>E3678*A3678</f>
        <v>-5.1917545541706632E-3</v>
      </c>
      <c r="G3678" s="415"/>
      <c r="H3678" s="415" t="str">
        <f>VLOOKUP(B3678,indexy!$A$44:$D$946,3,FALSE)</f>
        <v>TEL NO Equity</v>
      </c>
      <c r="J3678" s="434"/>
    </row>
    <row r="3679" spans="1:10" ht="12.75" hidden="1" customHeight="1" outlineLevel="1" x14ac:dyDescent="0.25">
      <c r="A3679" s="135">
        <v>0.02</v>
      </c>
      <c r="B3679" s="151" t="s">
        <v>5249</v>
      </c>
      <c r="C3679" s="410">
        <v>3.089</v>
      </c>
      <c r="D3679" s="2738">
        <f>VLOOKUP(H3679,indexy!$C$44:$D$823,2,FALSE)</f>
        <v>3.86</v>
      </c>
      <c r="E3679" s="1463">
        <f t="shared" si="104"/>
        <v>0.24959533829718361</v>
      </c>
      <c r="F3679" s="1494">
        <f>E3679*A3679</f>
        <v>4.9919067659436722E-3</v>
      </c>
      <c r="G3679" s="415"/>
      <c r="H3679" s="415" t="str">
        <f>VLOOKUP(B3679,indexy!$A$44:$D$823,3,FALSE)</f>
        <v>TLS AT Equity</v>
      </c>
      <c r="J3679" s="434"/>
    </row>
    <row r="3680" spans="1:10" ht="12.75" hidden="1" customHeight="1" outlineLevel="1" x14ac:dyDescent="0.25">
      <c r="A3680" s="135">
        <v>0.02</v>
      </c>
      <c r="B3680" s="151" t="s">
        <v>3626</v>
      </c>
      <c r="C3680" s="410">
        <v>74.847999999999999</v>
      </c>
      <c r="D3680" s="2738">
        <f>VLOOKUP(H3680,indexy!$C$44:$D$823,2,FALSE)</f>
        <v>81.75</v>
      </c>
      <c r="E3680" s="1463">
        <f t="shared" si="104"/>
        <v>9.2213552800342047E-2</v>
      </c>
      <c r="F3680" s="1494">
        <f>E3680*A3680</f>
        <v>1.8442710560068411E-3</v>
      </c>
      <c r="G3680" s="415"/>
      <c r="H3680" s="415" t="str">
        <f>VLOOKUP(B3680,indexy!$A$44:$D$823,3,FALSE)</f>
        <v>TD CT Equity</v>
      </c>
      <c r="J3680" s="434"/>
    </row>
    <row r="3681" spans="1:10" ht="12.75" hidden="1" customHeight="1" outlineLevel="1" x14ac:dyDescent="0.25">
      <c r="A3681" s="135">
        <v>0.02</v>
      </c>
      <c r="B3681" s="2736" t="s">
        <v>3903</v>
      </c>
      <c r="C3681" s="2741">
        <v>31.183</v>
      </c>
      <c r="D3681" s="2739">
        <f>VLOOKUP(H3681,indexy!$C$44:$D$823,2,FALSE)</f>
        <v>30.87</v>
      </c>
      <c r="E3681" s="1463">
        <f t="shared" si="104"/>
        <v>-1.0037520443831549E-2</v>
      </c>
      <c r="F3681" s="1494">
        <f>E3681*A3681</f>
        <v>-2.0075040887663099E-4</v>
      </c>
      <c r="G3681" s="415"/>
      <c r="H3681" s="415" t="str">
        <f>VLOOKUP(B3681,indexy!$A$44:$D$823,3,FALSE)</f>
        <v>UPM FH Equity</v>
      </c>
      <c r="J3681" s="434"/>
    </row>
    <row r="3682" spans="1:10" ht="12.75" hidden="1" customHeight="1" outlineLevel="1" x14ac:dyDescent="0.25">
      <c r="A3682" s="1475" t="s">
        <v>2734</v>
      </c>
      <c r="B3682" s="150"/>
      <c r="C3682" s="1477">
        <v>100</v>
      </c>
      <c r="D3682" s="1477"/>
      <c r="E3682" s="1599"/>
      <c r="F3682" s="1599">
        <f>SUM(F3652:F3681)</f>
        <v>0.35076461274849485</v>
      </c>
      <c r="G3682" s="415"/>
      <c r="H3682" s="415"/>
    </row>
    <row r="3683" spans="1:10" ht="12.75" hidden="1" customHeight="1" outlineLevel="1" x14ac:dyDescent="0.25">
      <c r="A3683" s="221"/>
      <c r="B3683" s="1478">
        <v>46388</v>
      </c>
      <c r="C3683" s="1497">
        <v>100</v>
      </c>
      <c r="D3683" s="1497"/>
      <c r="E3683" s="1498">
        <f>IF(D3683="",$F$3682,D3683/C3683-1)</f>
        <v>0.35076461274849485</v>
      </c>
      <c r="F3683" s="1499"/>
      <c r="G3683" s="415"/>
      <c r="H3683" s="415"/>
    </row>
    <row r="3684" spans="1:10" ht="12.75" hidden="1" customHeight="1" outlineLevel="1" x14ac:dyDescent="0.25">
      <c r="A3684" s="221"/>
      <c r="B3684" s="1478">
        <v>46419</v>
      </c>
      <c r="C3684" s="1497">
        <v>100</v>
      </c>
      <c r="D3684" s="1500"/>
      <c r="E3684" s="1498">
        <f t="shared" ref="E3684:E3694" si="105">IF(D3684="",$F$3682,D3684/C3684-1)</f>
        <v>0.35076461274849485</v>
      </c>
      <c r="F3684" s="1499"/>
      <c r="G3684" s="415"/>
      <c r="H3684" s="415"/>
    </row>
    <row r="3685" spans="1:10" ht="12.75" hidden="1" customHeight="1" outlineLevel="1" x14ac:dyDescent="0.25">
      <c r="A3685" s="221"/>
      <c r="B3685" s="1478">
        <v>46447</v>
      </c>
      <c r="C3685" s="1497">
        <v>100</v>
      </c>
      <c r="D3685" s="1500"/>
      <c r="E3685" s="1498">
        <f t="shared" si="105"/>
        <v>0.35076461274849485</v>
      </c>
      <c r="F3685" s="1499"/>
      <c r="G3685" s="415"/>
      <c r="H3685" s="415"/>
    </row>
    <row r="3686" spans="1:10" ht="12.75" hidden="1" customHeight="1" outlineLevel="1" x14ac:dyDescent="0.25">
      <c r="A3686" s="221"/>
      <c r="B3686" s="1478">
        <v>46478</v>
      </c>
      <c r="C3686" s="1497">
        <v>100</v>
      </c>
      <c r="D3686" s="1500"/>
      <c r="E3686" s="1498">
        <f t="shared" si="105"/>
        <v>0.35076461274849485</v>
      </c>
      <c r="F3686" s="1499"/>
      <c r="G3686" s="415"/>
      <c r="H3686" s="415"/>
    </row>
    <row r="3687" spans="1:10" ht="12.75" hidden="1" customHeight="1" outlineLevel="1" x14ac:dyDescent="0.25">
      <c r="A3687" s="221"/>
      <c r="B3687" s="1478">
        <v>46508</v>
      </c>
      <c r="C3687" s="1497">
        <v>100</v>
      </c>
      <c r="D3687" s="1500"/>
      <c r="E3687" s="1498">
        <f t="shared" si="105"/>
        <v>0.35076461274849485</v>
      </c>
      <c r="F3687" s="1499"/>
      <c r="G3687" s="415"/>
      <c r="H3687" s="415"/>
    </row>
    <row r="3688" spans="1:10" ht="12.75" hidden="1" customHeight="1" outlineLevel="1" x14ac:dyDescent="0.25">
      <c r="A3688" s="221"/>
      <c r="B3688" s="1478">
        <v>46539</v>
      </c>
      <c r="C3688" s="1497">
        <v>100</v>
      </c>
      <c r="D3688" s="1500"/>
      <c r="E3688" s="1498">
        <f t="shared" si="105"/>
        <v>0.35076461274849485</v>
      </c>
      <c r="F3688" s="1499"/>
      <c r="G3688" s="415"/>
      <c r="H3688" s="415"/>
    </row>
    <row r="3689" spans="1:10" ht="12.75" hidden="1" customHeight="1" outlineLevel="1" x14ac:dyDescent="0.25">
      <c r="A3689" s="221"/>
      <c r="B3689" s="1478">
        <v>46569</v>
      </c>
      <c r="C3689" s="1497">
        <v>100</v>
      </c>
      <c r="D3689" s="1500"/>
      <c r="E3689" s="1498">
        <f t="shared" si="105"/>
        <v>0.35076461274849485</v>
      </c>
      <c r="F3689" s="1499"/>
      <c r="G3689" s="415"/>
      <c r="H3689" s="415"/>
    </row>
    <row r="3690" spans="1:10" ht="12.75" hidden="1" customHeight="1" outlineLevel="1" x14ac:dyDescent="0.25">
      <c r="A3690" s="221"/>
      <c r="B3690" s="1478">
        <v>46600</v>
      </c>
      <c r="C3690" s="1497">
        <v>100</v>
      </c>
      <c r="D3690" s="1500"/>
      <c r="E3690" s="1498">
        <f t="shared" si="105"/>
        <v>0.35076461274849485</v>
      </c>
      <c r="F3690" s="1499"/>
      <c r="G3690" s="415"/>
      <c r="H3690" s="415"/>
    </row>
    <row r="3691" spans="1:10" ht="12.75" hidden="1" customHeight="1" outlineLevel="1" x14ac:dyDescent="0.25">
      <c r="A3691" s="221"/>
      <c r="B3691" s="1478">
        <v>46631</v>
      </c>
      <c r="C3691" s="1497">
        <v>100</v>
      </c>
      <c r="D3691" s="1500"/>
      <c r="E3691" s="1498">
        <f t="shared" si="105"/>
        <v>0.35076461274849485</v>
      </c>
      <c r="F3691" s="1499"/>
      <c r="G3691" s="415"/>
      <c r="H3691" s="415"/>
    </row>
    <row r="3692" spans="1:10" ht="12.75" hidden="1" customHeight="1" outlineLevel="1" x14ac:dyDescent="0.25">
      <c r="A3692" s="221"/>
      <c r="B3692" s="1478">
        <v>46661</v>
      </c>
      <c r="C3692" s="1497">
        <v>100</v>
      </c>
      <c r="D3692" s="1500"/>
      <c r="E3692" s="1498">
        <f t="shared" si="105"/>
        <v>0.35076461274849485</v>
      </c>
      <c r="F3692" s="1499"/>
      <c r="G3692" s="415"/>
      <c r="H3692" s="415"/>
    </row>
    <row r="3693" spans="1:10" ht="12.75" hidden="1" customHeight="1" outlineLevel="1" x14ac:dyDescent="0.25">
      <c r="A3693" s="221"/>
      <c r="B3693" s="1478">
        <v>46692</v>
      </c>
      <c r="C3693" s="1497">
        <v>100</v>
      </c>
      <c r="D3693" s="1500"/>
      <c r="E3693" s="1498">
        <f t="shared" si="105"/>
        <v>0.35076461274849485</v>
      </c>
      <c r="F3693" s="1499"/>
      <c r="G3693" s="415"/>
      <c r="H3693" s="415"/>
    </row>
    <row r="3694" spans="1:10" ht="12.75" hidden="1" customHeight="1" outlineLevel="1" x14ac:dyDescent="0.25">
      <c r="A3694" s="221"/>
      <c r="B3694" s="1478">
        <v>46722</v>
      </c>
      <c r="C3694" s="1497">
        <v>100</v>
      </c>
      <c r="D3694" s="1500"/>
      <c r="E3694" s="1498">
        <f t="shared" si="105"/>
        <v>0.35076461274849485</v>
      </c>
      <c r="F3694" s="1499"/>
      <c r="G3694" s="415"/>
      <c r="H3694" s="415"/>
    </row>
    <row r="3695" spans="1:10" s="444" customFormat="1" ht="12.75" hidden="1" customHeight="1" outlineLevel="1" x14ac:dyDescent="0.25">
      <c r="A3695" s="1483" t="s">
        <v>2734</v>
      </c>
      <c r="B3695" s="1484"/>
      <c r="C3695" s="1500"/>
      <c r="D3695" s="1485" t="s">
        <v>2465</v>
      </c>
      <c r="E3695" s="1486">
        <f>AVERAGE(E3683:E3694)</f>
        <v>0.35076461274849485</v>
      </c>
      <c r="F3695" s="1487">
        <f>((((E3695*100)+100)-I3652)/100)</f>
        <v>0.36826561274849495</v>
      </c>
    </row>
    <row r="3696" spans="1:10" collapsed="1" x14ac:dyDescent="0.25">
      <c r="A3696" s="3799" t="s">
        <v>10564</v>
      </c>
      <c r="B3696" s="3800"/>
      <c r="C3696" s="3800"/>
      <c r="D3696" s="3800"/>
      <c r="E3696" s="18"/>
      <c r="F3696" s="186">
        <f>MAX(-10%,MIN(F3695,40%))</f>
        <v>0.36826561274849495</v>
      </c>
      <c r="G3696" s="415"/>
    </row>
    <row r="3698" spans="1:18" ht="12.75" hidden="1" customHeight="1" outlineLevel="1" x14ac:dyDescent="0.25">
      <c r="A3698" s="2606" t="s">
        <v>4156</v>
      </c>
      <c r="B3698" s="2606" t="s">
        <v>4153</v>
      </c>
      <c r="C3698" s="2245" t="s">
        <v>112</v>
      </c>
      <c r="D3698" s="2608" t="s">
        <v>4155</v>
      </c>
      <c r="E3698" s="2606" t="s">
        <v>4154</v>
      </c>
      <c r="F3698" s="2608" t="s">
        <v>2519</v>
      </c>
      <c r="G3698" s="12"/>
      <c r="H3698" s="415"/>
      <c r="I3698" s="412" t="s">
        <v>6964</v>
      </c>
      <c r="J3698" s="3360" t="s">
        <v>10587</v>
      </c>
      <c r="K3698" s="3360"/>
      <c r="L3698" s="3360"/>
      <c r="M3698" s="3360"/>
      <c r="N3698" s="3360"/>
      <c r="O3698" s="3360"/>
      <c r="P3698" s="1462"/>
      <c r="Q3698" s="1462"/>
      <c r="R3698" s="1462"/>
    </row>
    <row r="3699" spans="1:18" ht="12.75" hidden="1" customHeight="1" outlineLevel="1" x14ac:dyDescent="0.3">
      <c r="A3699" s="1911">
        <v>0.03</v>
      </c>
      <c r="B3699" s="2826" t="s">
        <v>6562</v>
      </c>
      <c r="C3699" s="3359">
        <v>57.366</v>
      </c>
      <c r="D3699" s="2828">
        <f>VLOOKUP(H3699,indexy!$C$44:$D$823,2,FALSE)</f>
        <v>35.659999999999997</v>
      </c>
      <c r="E3699" s="2061">
        <f>D3699/C3699-1</f>
        <v>-0.37837743611198271</v>
      </c>
      <c r="F3699" s="2062">
        <f>E3699*A3699</f>
        <v>-1.1351323083359481E-2</v>
      </c>
      <c r="G3699" s="415"/>
      <c r="H3699" s="415" t="str">
        <f>VLOOKUP(B3699,indexy!$A$44:$D$823,3,FALSE)</f>
        <v>ADEN SE Equity</v>
      </c>
      <c r="I3699" s="412">
        <f>IF(J3699="",100,MIN(100,J3699:Y3699))</f>
        <v>100</v>
      </c>
      <c r="J3699">
        <v>106.8351</v>
      </c>
    </row>
    <row r="3700" spans="1:18" ht="12.75" hidden="1" customHeight="1" outlineLevel="1" x14ac:dyDescent="0.3">
      <c r="A3700" s="1911">
        <v>0.04</v>
      </c>
      <c r="B3700" s="2826" t="s">
        <v>1176</v>
      </c>
      <c r="C3700" s="3359">
        <v>45.628</v>
      </c>
      <c r="D3700" s="2830">
        <f>VLOOKUP(H3700,indexy!$C$44:$D$823,2,FALSE)</f>
        <v>42.92</v>
      </c>
      <c r="E3700" s="2064">
        <f>D3700/C3700-1</f>
        <v>-5.9349522223196227E-2</v>
      </c>
      <c r="F3700" s="2065">
        <f t="shared" ref="F3700:F3723" si="106">E3700*A3700</f>
        <v>-2.3739808889278492E-3</v>
      </c>
      <c r="G3700" s="415"/>
      <c r="H3700" s="415" t="str">
        <f>VLOOKUP(B3700,indexy!$A$44:$D$823,3,FALSE)</f>
        <v>AGS BB Equity</v>
      </c>
      <c r="I3700" s="422">
        <f>+(((E3742*100)+100)-I3699)/100</f>
        <v>0.10999771297386246</v>
      </c>
    </row>
    <row r="3701" spans="1:18" ht="12.75" hidden="1" customHeight="1" outlineLevel="1" x14ac:dyDescent="0.3">
      <c r="A3701" s="1911">
        <v>0.03</v>
      </c>
      <c r="B3701" s="2826" t="s">
        <v>6799</v>
      </c>
      <c r="C3701" s="3359">
        <v>16.327000000000002</v>
      </c>
      <c r="D3701" s="2830">
        <f>VLOOKUP(H3701,indexy!$C$44:$D$823,2,FALSE)</f>
        <v>9.9</v>
      </c>
      <c r="E3701" s="2064">
        <f t="shared" ref="E3701:E3728" si="107">D3701/C3701-1</f>
        <v>-0.39364243278005762</v>
      </c>
      <c r="F3701" s="2065">
        <f t="shared" si="106"/>
        <v>-1.1809272983401727E-2</v>
      </c>
      <c r="G3701" s="415"/>
      <c r="H3701" s="415" t="str">
        <f>VLOOKUP(B3701,indexy!$A$44:$D$823,3,FALSE)</f>
        <v>AGNC UW Equity</v>
      </c>
      <c r="J3701" s="434"/>
    </row>
    <row r="3702" spans="1:18" ht="12.75" hidden="1" customHeight="1" outlineLevel="1" x14ac:dyDescent="0.3">
      <c r="A3702" s="1911">
        <v>0.03</v>
      </c>
      <c r="B3702" s="2826" t="s">
        <v>2697</v>
      </c>
      <c r="C3702" s="3359">
        <v>15.686</v>
      </c>
      <c r="D3702" s="2830">
        <f>VLOOKUP(H3702,indexy!$C$44:$D$823,2,FALSE)</f>
        <v>23.46</v>
      </c>
      <c r="E3702" s="2064">
        <f t="shared" si="107"/>
        <v>0.49560117302052786</v>
      </c>
      <c r="F3702" s="2065">
        <f t="shared" si="106"/>
        <v>1.4868035190615836E-2</v>
      </c>
      <c r="G3702" s="415"/>
      <c r="H3702" s="415" t="str">
        <f>VLOOKUP(B3702,indexy!$A$44:$D$823,3,FALSE)</f>
        <v>G IM Equity</v>
      </c>
      <c r="J3702" s="434"/>
      <c r="K3702" s="37"/>
    </row>
    <row r="3703" spans="1:18" ht="12.75" hidden="1" customHeight="1" outlineLevel="1" x14ac:dyDescent="0.3">
      <c r="A3703" s="1911">
        <v>0.02</v>
      </c>
      <c r="B3703" s="2826" t="s">
        <v>3998</v>
      </c>
      <c r="C3703" s="3359">
        <v>28.913</v>
      </c>
      <c r="D3703" s="2830">
        <f>VLOOKUP(H3703,indexy!$C$44:$D$823,2,FALSE)</f>
        <v>17.600000000000001</v>
      </c>
      <c r="E3703" s="2064">
        <f t="shared" si="107"/>
        <v>-0.39127728011621066</v>
      </c>
      <c r="F3703" s="2065">
        <f t="shared" si="106"/>
        <v>-7.8255456023242128E-3</v>
      </c>
      <c r="G3703" s="415"/>
      <c r="H3703" s="415" t="str">
        <f>VLOOKUP(B3703,indexy!$A$44:$D$823,3,FALSE)</f>
        <v>T UN Equity</v>
      </c>
      <c r="J3703" s="434"/>
    </row>
    <row r="3704" spans="1:18" ht="12.75" hidden="1" customHeight="1" outlineLevel="1" x14ac:dyDescent="0.3">
      <c r="A3704" s="1911">
        <v>0.08</v>
      </c>
      <c r="B3704" s="2826" t="s">
        <v>218</v>
      </c>
      <c r="C3704" s="3359">
        <v>19.368400000000001</v>
      </c>
      <c r="D3704" s="2830">
        <f>VLOOKUP(H3704,indexy!$C$44:$D$823,2,FALSE)</f>
        <v>34.814999999999998</v>
      </c>
      <c r="E3704" s="2064">
        <f t="shared" si="107"/>
        <v>0.79751554077776143</v>
      </c>
      <c r="F3704" s="2065">
        <f t="shared" si="106"/>
        <v>6.3801243262220919E-2</v>
      </c>
      <c r="G3704" s="415"/>
      <c r="H3704" s="415" t="str">
        <f>VLOOKUP(B3704,indexy!$A$44:$D$823,3,FALSE)</f>
        <v>CS FP Equity</v>
      </c>
      <c r="J3704" s="434"/>
    </row>
    <row r="3705" spans="1:18" ht="12.75" hidden="1" customHeight="1" outlineLevel="1" x14ac:dyDescent="0.3">
      <c r="A3705" s="1911">
        <v>0.03</v>
      </c>
      <c r="B3705" s="2826" t="s">
        <v>807</v>
      </c>
      <c r="C3705" s="3359">
        <v>55.503999999999998</v>
      </c>
      <c r="D3705" s="2830">
        <f>VLOOKUP(H3705,indexy!$C$44:$D$823,2,FALSE)</f>
        <v>46.03</v>
      </c>
      <c r="E3705" s="2064">
        <f t="shared" si="107"/>
        <v>-0.17069040069184194</v>
      </c>
      <c r="F3705" s="2065">
        <f t="shared" si="106"/>
        <v>-5.1207120207552581E-3</v>
      </c>
      <c r="G3705" s="415"/>
      <c r="H3705" s="415" t="str">
        <f>VLOOKUP(B3705,indexy!$A$44:$D$823,3,FALSE)</f>
        <v>BCE CT Equity</v>
      </c>
      <c r="J3705" s="434"/>
    </row>
    <row r="3706" spans="1:18" ht="12.75" hidden="1" customHeight="1" outlineLevel="1" x14ac:dyDescent="0.3">
      <c r="A3706" s="1911">
        <v>0.04</v>
      </c>
      <c r="B3706" s="2826" t="s">
        <v>3954</v>
      </c>
      <c r="C3706" s="3359">
        <f>113.598/2</f>
        <v>56.798999999999999</v>
      </c>
      <c r="D3706" s="2830">
        <f>VLOOKUP(H3706,indexy!$C$44:$D$823,2,FALSE)</f>
        <v>68.67</v>
      </c>
      <c r="E3706" s="2064">
        <f t="shared" si="107"/>
        <v>0.20900015845349396</v>
      </c>
      <c r="F3706" s="2065">
        <f t="shared" si="106"/>
        <v>8.3600063381397589E-3</v>
      </c>
      <c r="G3706" s="415"/>
      <c r="H3706" s="415" t="str">
        <f>VLOOKUP(B3706,indexy!$A$44:$D$823,3,FALSE)</f>
        <v>CM CT Equity</v>
      </c>
      <c r="J3706" s="434"/>
    </row>
    <row r="3707" spans="1:18" ht="12.75" hidden="1" customHeight="1" outlineLevel="1" x14ac:dyDescent="0.3">
      <c r="A3707" s="1911">
        <v>7.0000000000000007E-2</v>
      </c>
      <c r="B3707" s="2826" t="s">
        <v>6267</v>
      </c>
      <c r="C3707" s="3359">
        <v>17.613499999999998</v>
      </c>
      <c r="D3707" s="2830">
        <f>VLOOKUP(H3707,indexy!$C$44:$D$823,2,FALSE)</f>
        <v>13.765000000000001</v>
      </c>
      <c r="E3707" s="2064">
        <f t="shared" si="107"/>
        <v>-0.21849717546200342</v>
      </c>
      <c r="F3707" s="2065">
        <f t="shared" si="106"/>
        <v>-1.5294802282340241E-2</v>
      </c>
      <c r="G3707" s="415"/>
      <c r="H3707" s="415" t="str">
        <f>VLOOKUP(B3707,indexy!$A$44:$D$823,3,FALSE)</f>
        <v>ENG SQ Equity</v>
      </c>
      <c r="J3707" s="434"/>
    </row>
    <row r="3708" spans="1:18" ht="12.75" hidden="1" customHeight="1" outlineLevel="1" x14ac:dyDescent="0.3">
      <c r="A3708" s="1911">
        <v>0.03</v>
      </c>
      <c r="B3708" s="2826" t="s">
        <v>7855</v>
      </c>
      <c r="C3708" s="3359">
        <v>44.564</v>
      </c>
      <c r="D3708" s="2830">
        <f>VLOOKUP(H3708,indexy!$C$44:$D$823,2,FALSE)</f>
        <v>48.95</v>
      </c>
      <c r="E3708" s="2064">
        <f t="shared" si="107"/>
        <v>9.84202495287676E-2</v>
      </c>
      <c r="F3708" s="2065">
        <f t="shared" si="106"/>
        <v>2.9526074858630281E-3</v>
      </c>
      <c r="G3708" s="415"/>
      <c r="H3708" s="415" t="str">
        <f>VLOOKUP(B3708,indexy!$A$44:$D$823,3,FALSE)</f>
        <v>ENB CT Equity</v>
      </c>
      <c r="J3708" s="434"/>
    </row>
    <row r="3709" spans="1:18" ht="12.75" hidden="1" customHeight="1" outlineLevel="1" x14ac:dyDescent="0.3">
      <c r="A3709" s="1911">
        <v>0.06</v>
      </c>
      <c r="B3709" s="2826" t="s">
        <v>9171</v>
      </c>
      <c r="C3709" s="3359">
        <v>21.617000000000001</v>
      </c>
      <c r="D3709" s="2830">
        <f>VLOOKUP(H3709,indexy!$C$44:$D$823,2,FALSE)</f>
        <v>17.164999999999999</v>
      </c>
      <c r="E3709" s="2064">
        <f t="shared" si="107"/>
        <v>-0.20594902160336781</v>
      </c>
      <c r="F3709" s="2065">
        <f t="shared" si="106"/>
        <v>-1.2356941296202068E-2</v>
      </c>
      <c r="G3709" s="415"/>
      <c r="H3709" s="415" t="str">
        <f>VLOOKUP(B3709,indexy!$A$44:$D$823,3,FALSE)</f>
        <v>ELE SQ Equity</v>
      </c>
      <c r="J3709" s="434"/>
    </row>
    <row r="3710" spans="1:18" ht="12.75" hidden="1" customHeight="1" outlineLevel="1" x14ac:dyDescent="0.3">
      <c r="A3710" s="1911">
        <v>0.02</v>
      </c>
      <c r="B3710" s="2826" t="s">
        <v>10569</v>
      </c>
      <c r="C3710" s="3359">
        <v>23.952999999999999</v>
      </c>
      <c r="D3710" s="2830">
        <f>VLOOKUP(H3710,indexy!$C$44:$D$823,2,FALSE)</f>
        <v>25.7</v>
      </c>
      <c r="E3710" s="2064">
        <f t="shared" si="107"/>
        <v>7.2934496722748765E-2</v>
      </c>
      <c r="F3710" s="2065">
        <f t="shared" si="106"/>
        <v>1.4586899344549754E-3</v>
      </c>
      <c r="G3710" s="415"/>
      <c r="H3710" s="415" t="str">
        <f>VLOOKUP(B3710,indexy!$A$44:$D$823,3,FALSE)</f>
        <v>FMG AT Equity</v>
      </c>
      <c r="J3710" s="434"/>
    </row>
    <row r="3711" spans="1:18" ht="12.75" hidden="1" customHeight="1" outlineLevel="1" x14ac:dyDescent="0.3">
      <c r="A3711" s="1911">
        <v>0.06</v>
      </c>
      <c r="B3711" s="2826" t="s">
        <v>4268</v>
      </c>
      <c r="C3711" s="3359">
        <v>21.719000000000001</v>
      </c>
      <c r="D3711" s="2830">
        <f>VLOOKUP(H3711,indexy!$C$44:$D$823,2,FALSE)</f>
        <v>11.445</v>
      </c>
      <c r="E3711" s="2064">
        <f t="shared" si="107"/>
        <v>-0.47304203692619362</v>
      </c>
      <c r="F3711" s="2065">
        <f t="shared" si="106"/>
        <v>-2.8382522215571616E-2</v>
      </c>
      <c r="G3711" s="415"/>
      <c r="H3711" s="415" t="str">
        <f>VLOOKUP(B3711,indexy!$A$44:$D$823,3,FALSE)</f>
        <v>FORTUM FH Equity</v>
      </c>
      <c r="J3711" s="434"/>
    </row>
    <row r="3712" spans="1:18" ht="12.75" hidden="1" customHeight="1" outlineLevel="1" x14ac:dyDescent="0.3">
      <c r="A3712" s="1911">
        <v>0.02</v>
      </c>
      <c r="B3712" s="2826" t="s">
        <v>7573</v>
      </c>
      <c r="C3712" s="3359">
        <v>35.506</v>
      </c>
      <c r="D3712" s="2830">
        <f>VLOOKUP(H3712,indexy!$C$44:$D$823,2,FALSE)</f>
        <v>36.9</v>
      </c>
      <c r="E3712" s="2064">
        <f t="shared" si="107"/>
        <v>3.9260969976905313E-2</v>
      </c>
      <c r="F3712" s="2065">
        <f t="shared" si="106"/>
        <v>7.8521939953810624E-4</v>
      </c>
      <c r="G3712" s="415"/>
      <c r="H3712" s="415" t="str">
        <f>VLOOKUP(B3712,indexy!$A$44:$D$823,3,FALSE)</f>
        <v>KHC UW Equity</v>
      </c>
      <c r="J3712" s="434"/>
    </row>
    <row r="3713" spans="1:10" ht="12.75" hidden="1" customHeight="1" outlineLevel="1" x14ac:dyDescent="0.3">
      <c r="A3713" s="1911">
        <v>0.02</v>
      </c>
      <c r="B3713" s="2826" t="s">
        <v>1238</v>
      </c>
      <c r="C3713" s="3359">
        <v>8.7818000000000005</v>
      </c>
      <c r="D3713" s="2830">
        <f>VLOOKUP(H3713,indexy!$C$44:$D$823,2,FALSE)</f>
        <v>13.81</v>
      </c>
      <c r="E3713" s="2064">
        <f t="shared" si="107"/>
        <v>0.57257054362431381</v>
      </c>
      <c r="F3713" s="2065">
        <f t="shared" si="106"/>
        <v>1.1451410872486276E-2</v>
      </c>
      <c r="G3713" s="415"/>
      <c r="H3713" s="415" t="str">
        <f>VLOOKUP(B3713,indexy!$A$44:$D$823,3,FALSE)</f>
        <v>MB IM Equity</v>
      </c>
      <c r="J3713" s="434"/>
    </row>
    <row r="3714" spans="1:10" ht="12.75" hidden="1" customHeight="1" outlineLevel="1" x14ac:dyDescent="0.3">
      <c r="A3714" s="1911">
        <v>0.02</v>
      </c>
      <c r="B3714" s="2826" t="s">
        <v>247</v>
      </c>
      <c r="C3714" s="3359">
        <f>2885.95/3</f>
        <v>961.98333333333323</v>
      </c>
      <c r="D3714" s="2830">
        <f>VLOOKUP(H3714,indexy!$C$44:$D$823,2,FALSE)</f>
        <v>3483</v>
      </c>
      <c r="E3714" s="2064">
        <f t="shared" si="107"/>
        <v>2.6206448483168456</v>
      </c>
      <c r="F3714" s="2065">
        <f t="shared" si="106"/>
        <v>5.2412896966336914E-2</v>
      </c>
      <c r="G3714" s="415"/>
      <c r="H3714" s="415" t="str">
        <f>VLOOKUP(B3714,indexy!$A$44:$D$823,3,FALSE)</f>
        <v>8058 JT Equity</v>
      </c>
      <c r="J3714" s="434"/>
    </row>
    <row r="3715" spans="1:10" ht="12.75" hidden="1" customHeight="1" outlineLevel="1" x14ac:dyDescent="0.3">
      <c r="A3715" s="1911">
        <v>0.03</v>
      </c>
      <c r="B3715" s="2826" t="s">
        <v>8527</v>
      </c>
      <c r="C3715" s="3359">
        <v>35.993000000000002</v>
      </c>
      <c r="D3715" s="2830">
        <f>VLOOKUP(H3715,indexy!$C$44:$D$823,2,FALSE)</f>
        <v>42.82</v>
      </c>
      <c r="E3715" s="2064">
        <f t="shared" si="107"/>
        <v>0.18967577028866711</v>
      </c>
      <c r="F3715" s="2065">
        <f t="shared" si="106"/>
        <v>5.6902731086600133E-3</v>
      </c>
      <c r="G3715" s="415"/>
      <c r="H3715" s="415" t="str">
        <f>VLOOKUP(B3715,indexy!$A$44:$D$823,3,FALSE)</f>
        <v>NN NA Equity</v>
      </c>
      <c r="J3715" s="434"/>
    </row>
    <row r="3716" spans="1:10" ht="12.75" hidden="1" customHeight="1" outlineLevel="1" x14ac:dyDescent="0.3">
      <c r="A3716" s="1911">
        <v>0.03</v>
      </c>
      <c r="B3716" s="2826" t="s">
        <v>5629</v>
      </c>
      <c r="C3716" s="3359">
        <v>14.964</v>
      </c>
      <c r="D3716" s="2830">
        <f>VLOOKUP(H3716,indexy!$C$44:$D$823,2,FALSE)</f>
        <v>15.805</v>
      </c>
      <c r="E3716" s="2064">
        <f t="shared" si="107"/>
        <v>5.6201550387596777E-2</v>
      </c>
      <c r="F3716" s="2065">
        <f t="shared" si="106"/>
        <v>1.6860465116279033E-3</v>
      </c>
      <c r="G3716" s="415"/>
      <c r="H3716" s="415" t="str">
        <f>VLOOKUP(B3716,indexy!$A$44:$D$823,3,FALSE)</f>
        <v>REE SQ Equity</v>
      </c>
      <c r="J3716" s="434"/>
    </row>
    <row r="3717" spans="1:10" ht="12.75" hidden="1" customHeight="1" outlineLevel="1" x14ac:dyDescent="0.3">
      <c r="A3717" s="1911">
        <v>0.02</v>
      </c>
      <c r="B3717" s="2826" t="s">
        <v>10556</v>
      </c>
      <c r="C3717" s="3359">
        <v>119.812</v>
      </c>
      <c r="D3717" s="2830">
        <f>VLOOKUP(H3717,indexy!$C$44:$D$823,2,FALSE)</f>
        <v>121.76</v>
      </c>
      <c r="E3717" s="2064">
        <f t="shared" si="107"/>
        <v>1.6258805461890402E-2</v>
      </c>
      <c r="F3717" s="2065">
        <f t="shared" si="106"/>
        <v>3.2517610923780803E-4</v>
      </c>
      <c r="G3717" s="415"/>
      <c r="H3717" s="415" t="str">
        <f>VLOOKUP(B3717,indexy!$A$44:$D$823,3,FALSE)</f>
        <v>RIO AT Equity</v>
      </c>
      <c r="J3717" s="434"/>
    </row>
    <row r="3718" spans="1:10" ht="12.75" hidden="1" customHeight="1" outlineLevel="1" x14ac:dyDescent="0.3">
      <c r="A3718" s="1911">
        <v>0.03</v>
      </c>
      <c r="B3718" s="2826" t="s">
        <v>5519</v>
      </c>
      <c r="C3718" s="3359">
        <v>2.3220000000000001</v>
      </c>
      <c r="D3718" s="2830">
        <f>VLOOKUP(H3718,indexy!$C$44:$D$823,2,FALSE)/100</f>
        <v>2.7039999999999997</v>
      </c>
      <c r="E3718" s="2064">
        <f t="shared" si="107"/>
        <v>0.16451335055986194</v>
      </c>
      <c r="F3718" s="2065">
        <f t="shared" si="106"/>
        <v>4.9354005167958582E-3</v>
      </c>
      <c r="G3718" s="415"/>
      <c r="H3718" s="415" t="str">
        <f>VLOOKUP(B3718,indexy!$A$44:$D$823,3,FALSE)</f>
        <v>SBRY LN Equity</v>
      </c>
      <c r="J3718" s="434"/>
    </row>
    <row r="3719" spans="1:10" ht="12.75" hidden="1" customHeight="1" outlineLevel="1" x14ac:dyDescent="0.3">
      <c r="A3719" s="1911">
        <v>0.02</v>
      </c>
      <c r="B3719" s="2826" t="s">
        <v>6524</v>
      </c>
      <c r="C3719" s="3359">
        <v>95.007999999999996</v>
      </c>
      <c r="D3719" s="2830">
        <f>VLOOKUP(H3719,indexy!$C$44:$D$823,2,FALSE)</f>
        <v>144.94999999999999</v>
      </c>
      <c r="E3719" s="2064">
        <f t="shared" si="107"/>
        <v>0.5256609969686763</v>
      </c>
      <c r="F3719" s="2065">
        <f t="shared" si="106"/>
        <v>1.0513219939373526E-2</v>
      </c>
      <c r="G3719" s="415"/>
      <c r="H3719" s="415" t="str">
        <f>VLOOKUP(B3719,indexy!$A$44:$D$823,3,FALSE)</f>
        <v>SEBA SS Equity</v>
      </c>
      <c r="J3719" s="434"/>
    </row>
    <row r="3720" spans="1:10" ht="12.75" hidden="1" customHeight="1" outlineLevel="1" x14ac:dyDescent="0.3">
      <c r="A3720" s="1911">
        <v>0.03</v>
      </c>
      <c r="B3720" s="2826" t="s">
        <v>10529</v>
      </c>
      <c r="C3720" s="3359">
        <v>1434</v>
      </c>
      <c r="D3720" s="2830">
        <f>VLOOKUP(H3720,indexy!$C$44:$D$823,2,FALSE)</f>
        <v>1941</v>
      </c>
      <c r="E3720" s="2064">
        <f t="shared" si="107"/>
        <v>0.35355648535564854</v>
      </c>
      <c r="F3720" s="2065">
        <f t="shared" si="106"/>
        <v>1.0606694560669455E-2</v>
      </c>
      <c r="G3720" s="415"/>
      <c r="H3720" s="415" t="str">
        <f>VLOOKUP(B3720,indexy!$A$44:$D$823,3,FALSE)</f>
        <v>9434 JT Equity</v>
      </c>
      <c r="J3720" s="434"/>
    </row>
    <row r="3721" spans="1:10" ht="12.75" hidden="1" customHeight="1" outlineLevel="1" x14ac:dyDescent="0.3">
      <c r="A3721" s="1911">
        <v>0.05</v>
      </c>
      <c r="B3721" s="2826" t="s">
        <v>10581</v>
      </c>
      <c r="C3721" s="3359">
        <v>4.6609999999999996</v>
      </c>
      <c r="D3721" s="2830">
        <f>VLOOKUP(H3721,indexy!$C$44:$D$823,2,FALSE)</f>
        <v>4.8499999999999996</v>
      </c>
      <c r="E3721" s="2064">
        <f t="shared" si="107"/>
        <v>4.0549238360866768E-2</v>
      </c>
      <c r="F3721" s="2065">
        <f t="shared" si="106"/>
        <v>2.0274619180433383E-3</v>
      </c>
      <c r="G3721" s="415"/>
      <c r="H3721" s="415" t="str">
        <f>VLOOKUP(B3721,indexy!$A$44:$D$823,3,FALSE)</f>
        <v>SGP AT Equity</v>
      </c>
      <c r="J3721" s="434"/>
    </row>
    <row r="3722" spans="1:10" ht="12.75" hidden="1" customHeight="1" outlineLevel="1" x14ac:dyDescent="0.3">
      <c r="A3722" s="1911">
        <v>0.02</v>
      </c>
      <c r="B3722" s="2826" t="s">
        <v>6527</v>
      </c>
      <c r="C3722" s="3359">
        <v>85.207999999999998</v>
      </c>
      <c r="D3722" s="2830">
        <f>VLOOKUP(H3722,indexy!$C$44:$D$823,2,FALSE)</f>
        <v>108.25</v>
      </c>
      <c r="E3722" s="2064">
        <f t="shared" si="107"/>
        <v>0.27042061778236781</v>
      </c>
      <c r="F3722" s="2065">
        <f t="shared" si="106"/>
        <v>5.4084123556473566E-3</v>
      </c>
      <c r="G3722" s="415"/>
      <c r="H3722" s="415" t="str">
        <f>VLOOKUP(B3722,indexy!$A$44:$D$823,3,FALSE)</f>
        <v>SHBA SS Equity</v>
      </c>
      <c r="J3722" s="434"/>
    </row>
    <row r="3723" spans="1:10" ht="12.75" hidden="1" customHeight="1" outlineLevel="1" x14ac:dyDescent="0.3">
      <c r="A3723" s="1911">
        <v>0.03</v>
      </c>
      <c r="B3723" s="2826" t="s">
        <v>1724</v>
      </c>
      <c r="C3723" s="3359">
        <v>149.21600000000001</v>
      </c>
      <c r="D3723" s="2830">
        <f>VLOOKUP(H3723,indexy!$C$44:$D$823,2,FALSE)</f>
        <v>212.3</v>
      </c>
      <c r="E3723" s="2064">
        <f t="shared" si="107"/>
        <v>0.42276967617413685</v>
      </c>
      <c r="F3723" s="2065">
        <f t="shared" si="106"/>
        <v>1.2683090285224106E-2</v>
      </c>
      <c r="G3723" s="415"/>
      <c r="H3723" s="415" t="str">
        <f>VLOOKUP(B3723,indexy!$A$44:$D$823,3,FALSE)</f>
        <v>SWEDA SS Equity</v>
      </c>
      <c r="J3723" s="434"/>
    </row>
    <row r="3724" spans="1:10" ht="12.75" hidden="1" customHeight="1" outlineLevel="1" x14ac:dyDescent="0.3">
      <c r="A3724" s="1911">
        <v>0.03</v>
      </c>
      <c r="B3724" s="2826" t="s">
        <v>6118</v>
      </c>
      <c r="C3724" s="3359">
        <v>83.585999999999999</v>
      </c>
      <c r="D3724" s="2830">
        <f>VLOOKUP(H3724,indexy!$C$44:$D$823,2,FALSE)</f>
        <v>115.95</v>
      </c>
      <c r="E3724" s="2064">
        <f t="shared" si="107"/>
        <v>0.3871940277079895</v>
      </c>
      <c r="F3724" s="2065">
        <f>E3724*A3724</f>
        <v>1.1615820831239684E-2</v>
      </c>
      <c r="G3724" s="415"/>
      <c r="H3724" s="415" t="str">
        <f>VLOOKUP(B3724,indexy!$A$44:$D$823,3,FALSE)</f>
        <v>SREN SE Equity</v>
      </c>
      <c r="J3724" s="434"/>
    </row>
    <row r="3725" spans="1:10" ht="12.75" hidden="1" customHeight="1" outlineLevel="1" x14ac:dyDescent="0.3">
      <c r="A3725" s="1911">
        <v>0.03</v>
      </c>
      <c r="B3725" s="2826" t="s">
        <v>6945</v>
      </c>
      <c r="C3725" s="3359">
        <v>110.66</v>
      </c>
      <c r="D3725" s="2830">
        <f>VLOOKUP(H3725,indexy!$C$44:$D$946,2,FALSE)</f>
        <v>87.9</v>
      </c>
      <c r="E3725" s="2064">
        <f t="shared" si="107"/>
        <v>-0.20567504066510023</v>
      </c>
      <c r="F3725" s="2065">
        <f>E3725*A3725</f>
        <v>-6.1702512199530062E-3</v>
      </c>
      <c r="G3725" s="415"/>
      <c r="H3725" s="415" t="str">
        <f>VLOOKUP(B3725,indexy!$A$44:$D$946,3,FALSE)</f>
        <v>TEL2B SS Equity</v>
      </c>
      <c r="J3725" s="434"/>
    </row>
    <row r="3726" spans="1:10" ht="12.75" hidden="1" customHeight="1" outlineLevel="1" x14ac:dyDescent="0.3">
      <c r="A3726" s="1911">
        <v>0.02</v>
      </c>
      <c r="B3726" s="2826" t="s">
        <v>577</v>
      </c>
      <c r="C3726" s="3359">
        <v>3.7770000000000001</v>
      </c>
      <c r="D3726" s="2830">
        <f>VLOOKUP(H3726,indexy!$C$44:$D$823,2,FALSE)</f>
        <v>4.0890000000000004</v>
      </c>
      <c r="E3726" s="2064">
        <f t="shared" si="107"/>
        <v>8.2605242255758604E-2</v>
      </c>
      <c r="F3726" s="2065">
        <f>E3726*A3726</f>
        <v>1.652104845115172E-3</v>
      </c>
      <c r="G3726" s="415"/>
      <c r="H3726" s="415" t="str">
        <f>VLOOKUP(B3726,indexy!$A$44:$D$823,3,FALSE)</f>
        <v>TEF SQ Equity</v>
      </c>
      <c r="J3726" s="434"/>
    </row>
    <row r="3727" spans="1:10" ht="12.75" hidden="1" customHeight="1" outlineLevel="1" x14ac:dyDescent="0.3">
      <c r="A3727" s="1911">
        <v>0.04</v>
      </c>
      <c r="B3727" s="2826" t="s">
        <v>434</v>
      </c>
      <c r="C3727" s="3359">
        <v>35.470999999999997</v>
      </c>
      <c r="D3727" s="2830">
        <f>VLOOKUP(H3727,indexy!$C$44:$D$823,2,FALSE)</f>
        <v>27.43</v>
      </c>
      <c r="E3727" s="2064">
        <f t="shared" si="107"/>
        <v>-0.22669222745341255</v>
      </c>
      <c r="F3727" s="2065">
        <f>E3727*A3727</f>
        <v>-9.0676890981365027E-3</v>
      </c>
      <c r="G3727" s="415"/>
      <c r="H3727" s="415" t="str">
        <f>VLOOKUP(B3727,indexy!$A$44:$D$823,3,FALSE)</f>
        <v>TELIA SS Equity</v>
      </c>
      <c r="J3727" s="434"/>
    </row>
    <row r="3728" spans="1:10" ht="12.75" hidden="1" customHeight="1" outlineLevel="1" x14ac:dyDescent="0.3">
      <c r="A3728" s="1911">
        <v>0.02</v>
      </c>
      <c r="B3728" s="2832" t="s">
        <v>10583</v>
      </c>
      <c r="C3728" s="3359">
        <v>415.21</v>
      </c>
      <c r="D3728" s="2834">
        <f>VLOOKUP(H3728,indexy!$C$44:$D$823,2,FALSE)</f>
        <v>342.9</v>
      </c>
      <c r="E3728" s="2064">
        <f t="shared" si="107"/>
        <v>-0.17415283832277639</v>
      </c>
      <c r="F3728" s="2065">
        <f>E3728*A3728</f>
        <v>-3.483056766455528E-3</v>
      </c>
      <c r="G3728" s="415"/>
      <c r="H3728" s="415" t="str">
        <f>VLOOKUP(B3728,indexy!$A$44:$D$823,3,FALSE)</f>
        <v>YAR NO Equity</v>
      </c>
      <c r="J3728" s="434"/>
    </row>
    <row r="3729" spans="1:8" ht="12.75" hidden="1" customHeight="1" outlineLevel="1" x14ac:dyDescent="0.25">
      <c r="A3729" s="2048" t="s">
        <v>2734</v>
      </c>
      <c r="B3729" s="2049"/>
      <c r="C3729" s="2051">
        <v>100</v>
      </c>
      <c r="D3729" s="2051"/>
      <c r="E3729" s="2059"/>
      <c r="F3729" s="2059">
        <f>SUM(F3699:F3728)</f>
        <v>0.10999771297386256</v>
      </c>
      <c r="G3729" s="415"/>
      <c r="H3729" s="415"/>
    </row>
    <row r="3730" spans="1:8" ht="12.75" hidden="1" customHeight="1" outlineLevel="1" x14ac:dyDescent="0.25">
      <c r="A3730" s="2053"/>
      <c r="B3730" s="2054">
        <v>46054</v>
      </c>
      <c r="C3730" s="2055">
        <v>100</v>
      </c>
      <c r="D3730" s="2055"/>
      <c r="E3730" s="2056">
        <f>IF(D3730="",$F$3729,D3730/C3730-1)</f>
        <v>0.10999771297386256</v>
      </c>
      <c r="F3730" s="2072"/>
      <c r="G3730" s="415"/>
      <c r="H3730" s="415"/>
    </row>
    <row r="3731" spans="1:8" ht="12.75" hidden="1" customHeight="1" outlineLevel="1" x14ac:dyDescent="0.25">
      <c r="A3731" s="2053"/>
      <c r="B3731" s="2054">
        <v>46174</v>
      </c>
      <c r="C3731" s="2055">
        <v>100</v>
      </c>
      <c r="D3731" s="2058"/>
      <c r="E3731" s="2056">
        <f t="shared" ref="E3731:E3741" si="108">IF(D3731="",$F$3729,D3731/C3731-1)</f>
        <v>0.10999771297386256</v>
      </c>
      <c r="F3731" s="2072"/>
      <c r="G3731" s="415"/>
      <c r="H3731" s="415"/>
    </row>
    <row r="3732" spans="1:8" ht="12.75" hidden="1" customHeight="1" outlineLevel="1" x14ac:dyDescent="0.25">
      <c r="A3732" s="2053"/>
      <c r="B3732" s="2054">
        <v>46296</v>
      </c>
      <c r="C3732" s="2055">
        <v>100</v>
      </c>
      <c r="D3732" s="2058"/>
      <c r="E3732" s="2056">
        <f t="shared" si="108"/>
        <v>0.10999771297386256</v>
      </c>
      <c r="F3732" s="2072"/>
      <c r="G3732" s="415"/>
      <c r="H3732" s="415"/>
    </row>
    <row r="3733" spans="1:8" ht="12.75" hidden="1" customHeight="1" outlineLevel="1" x14ac:dyDescent="0.25">
      <c r="A3733" s="2053"/>
      <c r="B3733" s="2054">
        <v>46419</v>
      </c>
      <c r="C3733" s="2055">
        <v>100</v>
      </c>
      <c r="D3733" s="2058"/>
      <c r="E3733" s="2056">
        <f t="shared" si="108"/>
        <v>0.10999771297386256</v>
      </c>
      <c r="F3733" s="2072"/>
      <c r="G3733" s="415"/>
      <c r="H3733" s="415"/>
    </row>
    <row r="3734" spans="1:8" ht="12.75" hidden="1" customHeight="1" outlineLevel="1" x14ac:dyDescent="0.25">
      <c r="A3734" s="2053"/>
      <c r="B3734" s="2054">
        <v>46539</v>
      </c>
      <c r="C3734" s="2055">
        <v>100</v>
      </c>
      <c r="D3734" s="2058"/>
      <c r="E3734" s="2056">
        <f t="shared" si="108"/>
        <v>0.10999771297386256</v>
      </c>
      <c r="F3734" s="2072"/>
      <c r="G3734" s="415"/>
      <c r="H3734" s="415"/>
    </row>
    <row r="3735" spans="1:8" ht="12.75" hidden="1" customHeight="1" outlineLevel="1" x14ac:dyDescent="0.25">
      <c r="A3735" s="2053"/>
      <c r="B3735" s="2054">
        <v>46661</v>
      </c>
      <c r="C3735" s="2055">
        <v>100</v>
      </c>
      <c r="D3735" s="2058"/>
      <c r="E3735" s="2056">
        <f t="shared" si="108"/>
        <v>0.10999771297386256</v>
      </c>
      <c r="F3735" s="2072"/>
      <c r="G3735" s="415"/>
      <c r="H3735" s="415"/>
    </row>
    <row r="3736" spans="1:8" ht="12.75" hidden="1" customHeight="1" outlineLevel="1" x14ac:dyDescent="0.25">
      <c r="A3736" s="2053"/>
      <c r="B3736" s="2054">
        <v>46784</v>
      </c>
      <c r="C3736" s="2055">
        <v>100</v>
      </c>
      <c r="D3736" s="2058"/>
      <c r="E3736" s="2056">
        <f t="shared" si="108"/>
        <v>0.10999771297386256</v>
      </c>
      <c r="F3736" s="2072"/>
      <c r="G3736" s="415"/>
      <c r="H3736" s="415"/>
    </row>
    <row r="3737" spans="1:8" ht="12.75" hidden="1" customHeight="1" outlineLevel="1" x14ac:dyDescent="0.25">
      <c r="A3737" s="2053"/>
      <c r="B3737" s="2054">
        <v>46905</v>
      </c>
      <c r="C3737" s="2055">
        <v>100</v>
      </c>
      <c r="D3737" s="2058"/>
      <c r="E3737" s="2056">
        <f t="shared" si="108"/>
        <v>0.10999771297386256</v>
      </c>
      <c r="F3737" s="2072"/>
      <c r="G3737" s="415"/>
      <c r="H3737" s="415"/>
    </row>
    <row r="3738" spans="1:8" ht="12.75" hidden="1" customHeight="1" outlineLevel="1" x14ac:dyDescent="0.25">
      <c r="A3738" s="2053"/>
      <c r="B3738" s="2054">
        <v>47027</v>
      </c>
      <c r="C3738" s="2055">
        <v>100</v>
      </c>
      <c r="D3738" s="2058"/>
      <c r="E3738" s="2056">
        <f t="shared" si="108"/>
        <v>0.10999771297386256</v>
      </c>
      <c r="F3738" s="2072"/>
      <c r="G3738" s="415"/>
      <c r="H3738" s="415"/>
    </row>
    <row r="3739" spans="1:8" ht="12.75" hidden="1" customHeight="1" outlineLevel="1" x14ac:dyDescent="0.25">
      <c r="A3739" s="2053"/>
      <c r="B3739" s="2054">
        <v>47150</v>
      </c>
      <c r="C3739" s="2055">
        <v>100</v>
      </c>
      <c r="D3739" s="2058"/>
      <c r="E3739" s="2056">
        <f t="shared" si="108"/>
        <v>0.10999771297386256</v>
      </c>
      <c r="F3739" s="2072"/>
      <c r="G3739" s="415"/>
      <c r="H3739" s="415"/>
    </row>
    <row r="3740" spans="1:8" ht="12.75" hidden="1" customHeight="1" outlineLevel="1" x14ac:dyDescent="0.25">
      <c r="A3740" s="2053"/>
      <c r="B3740" s="2054">
        <v>47270</v>
      </c>
      <c r="C3740" s="2055">
        <v>100</v>
      </c>
      <c r="D3740" s="2058"/>
      <c r="E3740" s="2056">
        <f t="shared" si="108"/>
        <v>0.10999771297386256</v>
      </c>
      <c r="F3740" s="2072"/>
      <c r="G3740" s="415"/>
      <c r="H3740" s="415"/>
    </row>
    <row r="3741" spans="1:8" ht="12.75" hidden="1" customHeight="1" outlineLevel="1" x14ac:dyDescent="0.25">
      <c r="A3741" s="2053"/>
      <c r="B3741" s="2054">
        <v>47392</v>
      </c>
      <c r="C3741" s="2055">
        <v>100</v>
      </c>
      <c r="D3741" s="2058"/>
      <c r="E3741" s="2056">
        <f t="shared" si="108"/>
        <v>0.10999771297386256</v>
      </c>
      <c r="F3741" s="2072"/>
      <c r="G3741" s="415"/>
      <c r="H3741" s="415"/>
    </row>
    <row r="3742" spans="1:8" s="444" customFormat="1" ht="12.75" hidden="1" customHeight="1" outlineLevel="1" x14ac:dyDescent="0.25">
      <c r="A3742" s="2067" t="s">
        <v>2734</v>
      </c>
      <c r="B3742" s="2068"/>
      <c r="C3742" s="2058"/>
      <c r="D3742" s="2069" t="s">
        <v>2465</v>
      </c>
      <c r="E3742" s="2070">
        <f>AVERAGE(E3730:E3741)</f>
        <v>0.10999771297386253</v>
      </c>
      <c r="F3742" s="2071">
        <f>((((E3742*100)+100)-I3699)/100)</f>
        <v>0.10999771297386246</v>
      </c>
    </row>
    <row r="3743" spans="1:8" collapsed="1" x14ac:dyDescent="0.25">
      <c r="A3743" s="3799" t="s">
        <v>10565</v>
      </c>
      <c r="B3743" s="3800"/>
      <c r="C3743" s="3800"/>
      <c r="D3743" s="3800"/>
      <c r="E3743" s="18"/>
      <c r="F3743" s="186">
        <f>MAX(-10%,MIN(F3742,40%))</f>
        <v>0.10999771297386246</v>
      </c>
      <c r="G3743" s="415"/>
    </row>
    <row r="3745" spans="1:18" ht="12.75" hidden="1" customHeight="1" outlineLevel="1" x14ac:dyDescent="0.25">
      <c r="A3745" s="2606" t="s">
        <v>4156</v>
      </c>
      <c r="B3745" s="2606" t="s">
        <v>4153</v>
      </c>
      <c r="C3745" s="2245" t="s">
        <v>112</v>
      </c>
      <c r="D3745" s="2608" t="s">
        <v>4155</v>
      </c>
      <c r="E3745" s="2606" t="s">
        <v>4154</v>
      </c>
      <c r="F3745" s="2608" t="s">
        <v>2519</v>
      </c>
      <c r="G3745" s="12"/>
      <c r="H3745" s="415"/>
      <c r="I3745" s="412" t="s">
        <v>6964</v>
      </c>
      <c r="J3745" s="3360" t="s">
        <v>10598</v>
      </c>
      <c r="K3745" s="3360"/>
      <c r="L3745" s="3360"/>
      <c r="M3745" s="3360"/>
      <c r="N3745" s="3360"/>
      <c r="O3745" s="3360"/>
      <c r="P3745" s="1462"/>
      <c r="Q3745" s="1462"/>
      <c r="R3745" s="1462"/>
    </row>
    <row r="3746" spans="1:18" ht="12.75" hidden="1" customHeight="1" outlineLevel="1" x14ac:dyDescent="0.3">
      <c r="A3746" s="1911">
        <v>0.03</v>
      </c>
      <c r="B3746" s="2826" t="s">
        <v>6562</v>
      </c>
      <c r="C3746" s="3359">
        <v>63.317999999999998</v>
      </c>
      <c r="D3746" s="2828">
        <f>VLOOKUP(H3746,indexy!$C$44:$D$823,2,FALSE)</f>
        <v>35.659999999999997</v>
      </c>
      <c r="E3746" s="2061">
        <f>D3746/C3746-1</f>
        <v>-0.43681101740421369</v>
      </c>
      <c r="F3746" s="2062">
        <f>E3746*A3746</f>
        <v>-1.3104330522126411E-2</v>
      </c>
      <c r="G3746" s="415"/>
      <c r="H3746" s="415" t="str">
        <f>VLOOKUP(B3746,indexy!$A$44:$D$823,3,FALSE)</f>
        <v>ADEN SE Equity</v>
      </c>
      <c r="I3746" s="412">
        <f>IF(J3746="",100,MIN(100,J3746:Y3746))</f>
        <v>100</v>
      </c>
      <c r="J3746" s="412">
        <v>103.1045</v>
      </c>
    </row>
    <row r="3747" spans="1:18" ht="12.75" hidden="1" customHeight="1" outlineLevel="1" x14ac:dyDescent="0.3">
      <c r="A3747" s="1911">
        <v>0.04</v>
      </c>
      <c r="B3747" s="2826" t="s">
        <v>1176</v>
      </c>
      <c r="C3747" s="3359">
        <v>50.212000000000003</v>
      </c>
      <c r="D3747" s="2830">
        <f>VLOOKUP(H3747,indexy!$C$44:$D$823,2,FALSE)</f>
        <v>42.92</v>
      </c>
      <c r="E3747" s="2064">
        <f>D3747/C3747-1</f>
        <v>-0.14522424918346211</v>
      </c>
      <c r="F3747" s="2065">
        <f t="shared" ref="F3747:F3770" si="109">E3747*A3747</f>
        <v>-5.8089699673384843E-3</v>
      </c>
      <c r="G3747" s="415"/>
      <c r="H3747" s="415" t="str">
        <f>VLOOKUP(B3747,indexy!$A$44:$D$823,3,FALSE)</f>
        <v>AGS BB Equity</v>
      </c>
      <c r="I3747" s="422">
        <f>+(((E3789*100)+100)-I3746)/100</f>
        <v>5.2611938321354759E-2</v>
      </c>
    </row>
    <row r="3748" spans="1:18" ht="12.75" hidden="1" customHeight="1" outlineLevel="1" x14ac:dyDescent="0.3">
      <c r="A3748" s="1911">
        <v>0.03</v>
      </c>
      <c r="B3748" s="2826" t="s">
        <v>6799</v>
      </c>
      <c r="C3748" s="3359">
        <v>16.3935</v>
      </c>
      <c r="D3748" s="2830">
        <f>VLOOKUP(H3748,indexy!$C$44:$D$823,2,FALSE)</f>
        <v>9.9</v>
      </c>
      <c r="E3748" s="2064">
        <f t="shared" ref="E3748:E3775" si="110">D3748/C3748-1</f>
        <v>-0.39610211364260217</v>
      </c>
      <c r="F3748" s="2065">
        <f t="shared" si="109"/>
        <v>-1.1883063409278066E-2</v>
      </c>
      <c r="G3748" s="415"/>
      <c r="H3748" s="415" t="str">
        <f>VLOOKUP(B3748,indexy!$A$44:$D$823,3,FALSE)</f>
        <v>AGNC UW Equity</v>
      </c>
      <c r="J3748" s="434"/>
    </row>
    <row r="3749" spans="1:18" ht="12.75" hidden="1" customHeight="1" outlineLevel="1" x14ac:dyDescent="0.3">
      <c r="A3749" s="1911">
        <v>0.03</v>
      </c>
      <c r="B3749" s="2826" t="s">
        <v>2697</v>
      </c>
      <c r="C3749" s="3359">
        <v>16.666</v>
      </c>
      <c r="D3749" s="2830">
        <f>VLOOKUP(H3749,indexy!$C$44:$D$823,2,FALSE)</f>
        <v>23.46</v>
      </c>
      <c r="E3749" s="2064">
        <f t="shared" si="110"/>
        <v>0.40765630625225002</v>
      </c>
      <c r="F3749" s="2065">
        <f t="shared" si="109"/>
        <v>1.22296891875675E-2</v>
      </c>
      <c r="G3749" s="415"/>
      <c r="H3749" s="415" t="str">
        <f>VLOOKUP(B3749,indexy!$A$44:$D$823,3,FALSE)</f>
        <v>G IM Equity</v>
      </c>
      <c r="J3749" s="434"/>
      <c r="K3749" s="37"/>
    </row>
    <row r="3750" spans="1:18" ht="12.75" hidden="1" customHeight="1" outlineLevel="1" x14ac:dyDescent="0.3">
      <c r="A3750" s="1911">
        <v>0.02</v>
      </c>
      <c r="B3750" s="2826" t="s">
        <v>3998</v>
      </c>
      <c r="C3750" s="3359">
        <v>29.867000000000001</v>
      </c>
      <c r="D3750" s="2830">
        <f>VLOOKUP(H3750,indexy!$C$44:$D$823,2,FALSE)</f>
        <v>17.600000000000001</v>
      </c>
      <c r="E3750" s="2064">
        <f t="shared" si="110"/>
        <v>-0.41072086249037398</v>
      </c>
      <c r="F3750" s="2065">
        <f t="shared" si="109"/>
        <v>-8.2144172498074802E-3</v>
      </c>
      <c r="G3750" s="415"/>
      <c r="H3750" s="415" t="str">
        <f>VLOOKUP(B3750,indexy!$A$44:$D$823,3,FALSE)</f>
        <v>T UN Equity</v>
      </c>
      <c r="J3750" s="434"/>
    </row>
    <row r="3751" spans="1:18" ht="12.75" hidden="1" customHeight="1" outlineLevel="1" x14ac:dyDescent="0.3">
      <c r="A3751" s="1911">
        <v>0.08</v>
      </c>
      <c r="B3751" s="2826" t="s">
        <v>218</v>
      </c>
      <c r="C3751" s="3359">
        <v>22.627500000000001</v>
      </c>
      <c r="D3751" s="2830">
        <f>VLOOKUP(H3751,indexy!$C$44:$D$823,2,FALSE)</f>
        <v>34.814999999999998</v>
      </c>
      <c r="E3751" s="2064">
        <f t="shared" si="110"/>
        <v>0.53861451773284696</v>
      </c>
      <c r="F3751" s="2065">
        <f t="shared" si="109"/>
        <v>4.3089161418627758E-2</v>
      </c>
      <c r="G3751" s="415"/>
      <c r="H3751" s="415" t="str">
        <f>VLOOKUP(B3751,indexy!$A$44:$D$823,3,FALSE)</f>
        <v>CS FP Equity</v>
      </c>
      <c r="J3751" s="434"/>
    </row>
    <row r="3752" spans="1:18" ht="12.75" hidden="1" customHeight="1" outlineLevel="1" x14ac:dyDescent="0.3">
      <c r="A3752" s="1911">
        <v>0.03</v>
      </c>
      <c r="B3752" s="2826" t="s">
        <v>807</v>
      </c>
      <c r="C3752" s="3359">
        <v>56.951999999999998</v>
      </c>
      <c r="D3752" s="2830">
        <f>VLOOKUP(H3752,indexy!$C$44:$D$823,2,FALSE)</f>
        <v>46.03</v>
      </c>
      <c r="E3752" s="2064">
        <f t="shared" si="110"/>
        <v>-0.1917755302711055</v>
      </c>
      <c r="F3752" s="2065">
        <f t="shared" si="109"/>
        <v>-5.7532659081331646E-3</v>
      </c>
      <c r="G3752" s="415"/>
      <c r="H3752" s="415" t="str">
        <f>VLOOKUP(B3752,indexy!$A$44:$D$823,3,FALSE)</f>
        <v>BCE CT Equity</v>
      </c>
      <c r="J3752" s="434"/>
    </row>
    <row r="3753" spans="1:18" ht="12.75" hidden="1" customHeight="1" outlineLevel="1" x14ac:dyDescent="0.3">
      <c r="A3753" s="1911">
        <v>0.04</v>
      </c>
      <c r="B3753" s="2826" t="s">
        <v>3954</v>
      </c>
      <c r="C3753" s="3359">
        <f>124.215/2</f>
        <v>62.107500000000002</v>
      </c>
      <c r="D3753" s="2830">
        <f>VLOOKUP(H3753,indexy!$C$44:$D$823,2,FALSE)</f>
        <v>68.67</v>
      </c>
      <c r="E3753" s="2064">
        <f t="shared" si="110"/>
        <v>0.10566356720202874</v>
      </c>
      <c r="F3753" s="2065">
        <f t="shared" si="109"/>
        <v>4.22654268808115E-3</v>
      </c>
      <c r="G3753" s="415"/>
      <c r="H3753" s="415" t="str">
        <f>VLOOKUP(B3753,indexy!$A$44:$D$823,3,FALSE)</f>
        <v>CM CT Equity</v>
      </c>
      <c r="J3753" s="434"/>
    </row>
    <row r="3754" spans="1:18" ht="12.75" hidden="1" customHeight="1" outlineLevel="1" x14ac:dyDescent="0.3">
      <c r="A3754" s="1911">
        <v>7.0000000000000007E-2</v>
      </c>
      <c r="B3754" s="2826" t="s">
        <v>6267</v>
      </c>
      <c r="C3754" s="3359">
        <v>17.774999999999999</v>
      </c>
      <c r="D3754" s="2830">
        <f>VLOOKUP(H3754,indexy!$C$44:$D$823,2,FALSE)</f>
        <v>13.765000000000001</v>
      </c>
      <c r="E3754" s="2064">
        <f t="shared" si="110"/>
        <v>-0.22559774964838242</v>
      </c>
      <c r="F3754" s="2065">
        <f t="shared" si="109"/>
        <v>-1.5791842475386772E-2</v>
      </c>
      <c r="G3754" s="415"/>
      <c r="H3754" s="415" t="str">
        <f>VLOOKUP(B3754,indexy!$A$44:$D$823,3,FALSE)</f>
        <v>ENG SQ Equity</v>
      </c>
      <c r="J3754" s="434"/>
    </row>
    <row r="3755" spans="1:18" ht="12.75" hidden="1" customHeight="1" outlineLevel="1" x14ac:dyDescent="0.3">
      <c r="A3755" s="1911">
        <v>0.03</v>
      </c>
      <c r="B3755" s="2826" t="s">
        <v>7855</v>
      </c>
      <c r="C3755" s="3359">
        <v>45.273000000000003</v>
      </c>
      <c r="D3755" s="2830">
        <f>VLOOKUP(H3755,indexy!$C$44:$D$823,2,FALSE)</f>
        <v>48.95</v>
      </c>
      <c r="E3755" s="2064">
        <f t="shared" si="110"/>
        <v>8.1218386234620965E-2</v>
      </c>
      <c r="F3755" s="2065">
        <f t="shared" si="109"/>
        <v>2.436551587038629E-3</v>
      </c>
      <c r="G3755" s="415"/>
      <c r="H3755" s="415" t="str">
        <f>VLOOKUP(B3755,indexy!$A$44:$D$823,3,FALSE)</f>
        <v>ENB CT Equity</v>
      </c>
      <c r="J3755" s="434"/>
    </row>
    <row r="3756" spans="1:18" ht="12.75" hidden="1" customHeight="1" outlineLevel="1" x14ac:dyDescent="0.3">
      <c r="A3756" s="1911">
        <v>0.06</v>
      </c>
      <c r="B3756" s="2826" t="s">
        <v>9171</v>
      </c>
      <c r="C3756" s="3359">
        <v>21.420999999999999</v>
      </c>
      <c r="D3756" s="2830">
        <f>VLOOKUP(H3756,indexy!$C$44:$D$823,2,FALSE)</f>
        <v>17.164999999999999</v>
      </c>
      <c r="E3756" s="2064">
        <f t="shared" si="110"/>
        <v>-0.19868353484897994</v>
      </c>
      <c r="F3756" s="2065">
        <f t="shared" si="109"/>
        <v>-1.1921012090938796E-2</v>
      </c>
      <c r="G3756" s="415"/>
      <c r="H3756" s="415" t="str">
        <f>VLOOKUP(B3756,indexy!$A$44:$D$823,3,FALSE)</f>
        <v>ELE SQ Equity</v>
      </c>
      <c r="J3756" s="434"/>
    </row>
    <row r="3757" spans="1:18" ht="12.75" hidden="1" customHeight="1" outlineLevel="1" x14ac:dyDescent="0.3">
      <c r="A3757" s="1911">
        <v>0.02</v>
      </c>
      <c r="B3757" s="2826" t="s">
        <v>10569</v>
      </c>
      <c r="C3757" s="3359">
        <v>21.045999999999999</v>
      </c>
      <c r="D3757" s="2830">
        <f>VLOOKUP(H3757,indexy!$C$44:$D$823,2,FALSE)</f>
        <v>25.7</v>
      </c>
      <c r="E3757" s="2064">
        <f t="shared" si="110"/>
        <v>0.22113465741708649</v>
      </c>
      <c r="F3757" s="2065">
        <f t="shared" si="109"/>
        <v>4.4226931483417296E-3</v>
      </c>
      <c r="G3757" s="415"/>
      <c r="H3757" s="415" t="str">
        <f>VLOOKUP(B3757,indexy!$A$44:$D$823,3,FALSE)</f>
        <v>FMG AT Equity</v>
      </c>
      <c r="J3757" s="434"/>
    </row>
    <row r="3758" spans="1:18" ht="12.75" hidden="1" customHeight="1" outlineLevel="1" x14ac:dyDescent="0.3">
      <c r="A3758" s="1911">
        <v>0.06</v>
      </c>
      <c r="B3758" s="2826" t="s">
        <v>4268</v>
      </c>
      <c r="C3758" s="3359">
        <v>21.893999999999998</v>
      </c>
      <c r="D3758" s="2830">
        <f>VLOOKUP(H3758,indexy!$C$44:$D$823,2,FALSE)</f>
        <v>11.445</v>
      </c>
      <c r="E3758" s="2064">
        <f t="shared" si="110"/>
        <v>-0.47725404220334333</v>
      </c>
      <c r="F3758" s="2065">
        <f t="shared" si="109"/>
        <v>-2.8635242532200598E-2</v>
      </c>
      <c r="G3758" s="415"/>
      <c r="H3758" s="415" t="str">
        <f>VLOOKUP(B3758,indexy!$A$44:$D$823,3,FALSE)</f>
        <v>FORTUM FH Equity</v>
      </c>
      <c r="J3758" s="434"/>
    </row>
    <row r="3759" spans="1:18" ht="12.75" hidden="1" customHeight="1" outlineLevel="1" x14ac:dyDescent="0.3">
      <c r="A3759" s="1911">
        <v>0.02</v>
      </c>
      <c r="B3759" s="2826" t="s">
        <v>7573</v>
      </c>
      <c r="C3759" s="3359">
        <v>38.703000000000003</v>
      </c>
      <c r="D3759" s="2830">
        <f>VLOOKUP(H3759,indexy!$C$44:$D$823,2,FALSE)</f>
        <v>36.9</v>
      </c>
      <c r="E3759" s="2064">
        <f t="shared" si="110"/>
        <v>-4.6585536004960959E-2</v>
      </c>
      <c r="F3759" s="2065">
        <f t="shared" si="109"/>
        <v>-9.3171072009921917E-4</v>
      </c>
      <c r="G3759" s="415"/>
      <c r="H3759" s="415" t="str">
        <f>VLOOKUP(B3759,indexy!$A$44:$D$823,3,FALSE)</f>
        <v>KHC UW Equity</v>
      </c>
      <c r="J3759" s="434"/>
    </row>
    <row r="3760" spans="1:18" ht="12.75" hidden="1" customHeight="1" outlineLevel="1" x14ac:dyDescent="0.3">
      <c r="A3760" s="1911">
        <v>0.02</v>
      </c>
      <c r="B3760" s="2826" t="s">
        <v>1238</v>
      </c>
      <c r="C3760" s="3359">
        <v>9.4171999999999993</v>
      </c>
      <c r="D3760" s="2830">
        <f>VLOOKUP(H3760,indexy!$C$44:$D$823,2,FALSE)</f>
        <v>13.81</v>
      </c>
      <c r="E3760" s="2064">
        <f t="shared" si="110"/>
        <v>0.46646561610669846</v>
      </c>
      <c r="F3760" s="2065">
        <f t="shared" si="109"/>
        <v>9.3293123221339699E-3</v>
      </c>
      <c r="G3760" s="415"/>
      <c r="H3760" s="415" t="str">
        <f>VLOOKUP(B3760,indexy!$A$44:$D$823,3,FALSE)</f>
        <v>MB IM Equity</v>
      </c>
      <c r="J3760" s="434"/>
    </row>
    <row r="3761" spans="1:10" ht="12.75" hidden="1" customHeight="1" outlineLevel="1" x14ac:dyDescent="0.3">
      <c r="A3761" s="1911">
        <v>0.02</v>
      </c>
      <c r="B3761" s="2826" t="s">
        <v>247</v>
      </c>
      <c r="C3761" s="3359">
        <f>3154.1/3</f>
        <v>1051.3666666666666</v>
      </c>
      <c r="D3761" s="2830">
        <f>VLOOKUP(H3761,indexy!$C$44:$D$823,2,FALSE)</f>
        <v>3483</v>
      </c>
      <c r="E3761" s="2064">
        <f t="shared" si="110"/>
        <v>2.312830918487049</v>
      </c>
      <c r="F3761" s="2065">
        <f t="shared" si="109"/>
        <v>4.625661836974098E-2</v>
      </c>
      <c r="G3761" s="415"/>
      <c r="H3761" s="415" t="str">
        <f>VLOOKUP(B3761,indexy!$A$44:$D$823,3,FALSE)</f>
        <v>8058 JT Equity</v>
      </c>
      <c r="J3761" s="434"/>
    </row>
    <row r="3762" spans="1:10" ht="12.75" hidden="1" customHeight="1" outlineLevel="1" x14ac:dyDescent="0.3">
      <c r="A3762" s="1911">
        <v>0.03</v>
      </c>
      <c r="B3762" s="2826" t="s">
        <v>8527</v>
      </c>
      <c r="C3762" s="3359">
        <v>40.508000000000003</v>
      </c>
      <c r="D3762" s="2830">
        <f>VLOOKUP(H3762,indexy!$C$44:$D$823,2,FALSE)</f>
        <v>42.82</v>
      </c>
      <c r="E3762" s="2064">
        <f t="shared" si="110"/>
        <v>5.7075145650241854E-2</v>
      </c>
      <c r="F3762" s="2065">
        <f t="shared" si="109"/>
        <v>1.7122543695072556E-3</v>
      </c>
      <c r="G3762" s="415"/>
      <c r="H3762" s="415" t="str">
        <f>VLOOKUP(B3762,indexy!$A$44:$D$823,3,FALSE)</f>
        <v>NN NA Equity</v>
      </c>
      <c r="J3762" s="434"/>
    </row>
    <row r="3763" spans="1:10" ht="12.75" hidden="1" customHeight="1" outlineLevel="1" x14ac:dyDescent="0.3">
      <c r="A3763" s="1911">
        <v>0.03</v>
      </c>
      <c r="B3763" s="2826" t="s">
        <v>5629</v>
      </c>
      <c r="C3763" s="3359">
        <v>14.3035</v>
      </c>
      <c r="D3763" s="2830">
        <f>VLOOKUP(H3763,indexy!$C$44:$D$823,2,FALSE)</f>
        <v>15.805</v>
      </c>
      <c r="E3763" s="2064">
        <f t="shared" si="110"/>
        <v>0.10497430698780019</v>
      </c>
      <c r="F3763" s="2065">
        <f t="shared" si="109"/>
        <v>3.1492292096340058E-3</v>
      </c>
      <c r="G3763" s="415"/>
      <c r="H3763" s="415" t="str">
        <f>VLOOKUP(B3763,indexy!$A$44:$D$823,3,FALSE)</f>
        <v>REE SQ Equity</v>
      </c>
      <c r="J3763" s="434"/>
    </row>
    <row r="3764" spans="1:10" ht="12.75" hidden="1" customHeight="1" outlineLevel="1" x14ac:dyDescent="0.3">
      <c r="A3764" s="1911">
        <v>0.02</v>
      </c>
      <c r="B3764" s="2826" t="s">
        <v>10556</v>
      </c>
      <c r="C3764" s="3359">
        <v>115.642</v>
      </c>
      <c r="D3764" s="2830">
        <f>VLOOKUP(H3764,indexy!$C$44:$D$823,2,FALSE)</f>
        <v>121.76</v>
      </c>
      <c r="E3764" s="2064">
        <f t="shared" si="110"/>
        <v>5.2904654018436359E-2</v>
      </c>
      <c r="F3764" s="2065">
        <f t="shared" si="109"/>
        <v>1.0580930803687273E-3</v>
      </c>
      <c r="G3764" s="415"/>
      <c r="H3764" s="415" t="str">
        <f>VLOOKUP(B3764,indexy!$A$44:$D$823,3,FALSE)</f>
        <v>RIO AT Equity</v>
      </c>
      <c r="J3764" s="434"/>
    </row>
    <row r="3765" spans="1:10" ht="12.75" hidden="1" customHeight="1" outlineLevel="1" x14ac:dyDescent="0.3">
      <c r="A3765" s="1911">
        <v>0.03</v>
      </c>
      <c r="B3765" s="2826" t="s">
        <v>5519</v>
      </c>
      <c r="C3765" s="3359">
        <v>2.3523000000000001</v>
      </c>
      <c r="D3765" s="2830">
        <f>VLOOKUP(H3765,indexy!$C$44:$D$823,2,FALSE)/100</f>
        <v>2.7039999999999997</v>
      </c>
      <c r="E3765" s="2064">
        <f t="shared" si="110"/>
        <v>0.14951324235854258</v>
      </c>
      <c r="F3765" s="2065">
        <f t="shared" si="109"/>
        <v>4.4853972707562771E-3</v>
      </c>
      <c r="G3765" s="415"/>
      <c r="H3765" s="415" t="str">
        <f>VLOOKUP(B3765,indexy!$A$44:$D$823,3,FALSE)</f>
        <v>SBRY LN Equity</v>
      </c>
      <c r="J3765" s="434"/>
    </row>
    <row r="3766" spans="1:10" ht="12.75" hidden="1" customHeight="1" outlineLevel="1" x14ac:dyDescent="0.3">
      <c r="A3766" s="1911">
        <v>0.02</v>
      </c>
      <c r="B3766" s="2826" t="s">
        <v>6524</v>
      </c>
      <c r="C3766" s="3359">
        <v>105.41</v>
      </c>
      <c r="D3766" s="2830">
        <f>VLOOKUP(H3766,indexy!$C$44:$D$823,2,FALSE)</f>
        <v>144.94999999999999</v>
      </c>
      <c r="E3766" s="2064">
        <f t="shared" si="110"/>
        <v>0.37510672611706664</v>
      </c>
      <c r="F3766" s="2065">
        <f t="shared" si="109"/>
        <v>7.5021345223413331E-3</v>
      </c>
      <c r="G3766" s="415"/>
      <c r="H3766" s="415" t="str">
        <f>VLOOKUP(B3766,indexy!$A$44:$D$823,3,FALSE)</f>
        <v>SEBA SS Equity</v>
      </c>
      <c r="J3766" s="434"/>
    </row>
    <row r="3767" spans="1:10" ht="12.75" hidden="1" customHeight="1" outlineLevel="1" x14ac:dyDescent="0.3">
      <c r="A3767" s="1911">
        <v>0.03</v>
      </c>
      <c r="B3767" s="2826" t="s">
        <v>10529</v>
      </c>
      <c r="C3767" s="3359">
        <v>1450.05</v>
      </c>
      <c r="D3767" s="2830">
        <f>VLOOKUP(H3767,indexy!$C$44:$D$823,2,FALSE)</f>
        <v>1941</v>
      </c>
      <c r="E3767" s="2064">
        <f t="shared" si="110"/>
        <v>0.33857453191269271</v>
      </c>
      <c r="F3767" s="2065">
        <f t="shared" si="109"/>
        <v>1.0157235957380781E-2</v>
      </c>
      <c r="G3767" s="415"/>
      <c r="H3767" s="415" t="str">
        <f>VLOOKUP(B3767,indexy!$A$44:$D$823,3,FALSE)</f>
        <v>9434 JT Equity</v>
      </c>
      <c r="J3767" s="434"/>
    </row>
    <row r="3768" spans="1:10" ht="12.75" hidden="1" customHeight="1" outlineLevel="1" x14ac:dyDescent="0.3">
      <c r="A3768" s="1911">
        <v>0.05</v>
      </c>
      <c r="B3768" s="2826" t="s">
        <v>10581</v>
      </c>
      <c r="C3768" s="3359">
        <v>4.4050000000000002</v>
      </c>
      <c r="D3768" s="2830">
        <f>VLOOKUP(H3768,indexy!$C$44:$D$823,2,FALSE)</f>
        <v>4.8499999999999996</v>
      </c>
      <c r="E3768" s="2064">
        <f t="shared" si="110"/>
        <v>0.10102156640181592</v>
      </c>
      <c r="F3768" s="2065">
        <f t="shared" si="109"/>
        <v>5.0510783200907964E-3</v>
      </c>
      <c r="G3768" s="415"/>
      <c r="H3768" s="415" t="str">
        <f>VLOOKUP(B3768,indexy!$A$44:$D$823,3,FALSE)</f>
        <v>SGP AT Equity</v>
      </c>
      <c r="J3768" s="434"/>
    </row>
    <row r="3769" spans="1:10" ht="12.75" hidden="1" customHeight="1" outlineLevel="1" x14ac:dyDescent="0.3">
      <c r="A3769" s="1911">
        <v>0.02</v>
      </c>
      <c r="B3769" s="2826" t="s">
        <v>6527</v>
      </c>
      <c r="C3769" s="3359">
        <v>97.724000000000004</v>
      </c>
      <c r="D3769" s="2830">
        <f>VLOOKUP(H3769,indexy!$C$44:$D$823,2,FALSE)</f>
        <v>108.25</v>
      </c>
      <c r="E3769" s="2064">
        <f t="shared" si="110"/>
        <v>0.10771151406000579</v>
      </c>
      <c r="F3769" s="2065">
        <f t="shared" si="109"/>
        <v>2.1542302812001157E-3</v>
      </c>
      <c r="G3769" s="415"/>
      <c r="H3769" s="415" t="str">
        <f>VLOOKUP(B3769,indexy!$A$44:$D$823,3,FALSE)</f>
        <v>SHBA SS Equity</v>
      </c>
      <c r="J3769" s="434"/>
    </row>
    <row r="3770" spans="1:10" ht="12.75" hidden="1" customHeight="1" outlineLevel="1" x14ac:dyDescent="0.3">
      <c r="A3770" s="1911">
        <v>0.03</v>
      </c>
      <c r="B3770" s="2826" t="s">
        <v>1724</v>
      </c>
      <c r="C3770" s="3359">
        <v>160.404</v>
      </c>
      <c r="D3770" s="2830">
        <f>VLOOKUP(H3770,indexy!$C$44:$D$823,2,FALSE)</f>
        <v>212.3</v>
      </c>
      <c r="E3770" s="2064">
        <f t="shared" si="110"/>
        <v>0.32353307897558681</v>
      </c>
      <c r="F3770" s="2065">
        <f t="shared" si="109"/>
        <v>9.7059923692676044E-3</v>
      </c>
      <c r="G3770" s="415"/>
      <c r="H3770" s="415" t="str">
        <f>VLOOKUP(B3770,indexy!$A$44:$D$823,3,FALSE)</f>
        <v>SWEDA SS Equity</v>
      </c>
      <c r="J3770" s="434"/>
    </row>
    <row r="3771" spans="1:10" ht="12.75" hidden="1" customHeight="1" outlineLevel="1" x14ac:dyDescent="0.3">
      <c r="A3771" s="1911">
        <v>0.03</v>
      </c>
      <c r="B3771" s="2826" t="s">
        <v>6118</v>
      </c>
      <c r="C3771" s="3359">
        <v>91.272000000000006</v>
      </c>
      <c r="D3771" s="2830">
        <f>VLOOKUP(H3771,indexy!$C$44:$D$823,2,FALSE)</f>
        <v>115.95</v>
      </c>
      <c r="E3771" s="2064">
        <f t="shared" si="110"/>
        <v>0.27037864843544557</v>
      </c>
      <c r="F3771" s="2065">
        <f>E3771*A3771</f>
        <v>8.1113594530633666E-3</v>
      </c>
      <c r="G3771" s="415"/>
      <c r="H3771" s="415" t="str">
        <f>VLOOKUP(B3771,indexy!$A$44:$D$823,3,FALSE)</f>
        <v>SREN SE Equity</v>
      </c>
      <c r="J3771" s="434"/>
    </row>
    <row r="3772" spans="1:10" ht="12.75" hidden="1" customHeight="1" outlineLevel="1" x14ac:dyDescent="0.3">
      <c r="A3772" s="1911">
        <v>0.03</v>
      </c>
      <c r="B3772" s="2826" t="s">
        <v>6945</v>
      </c>
      <c r="C3772" s="3359">
        <v>114.955</v>
      </c>
      <c r="D3772" s="2830">
        <f>VLOOKUP(H3772,indexy!$C$44:$D$946,2,FALSE)</f>
        <v>87.9</v>
      </c>
      <c r="E3772" s="2064">
        <f t="shared" si="110"/>
        <v>-0.23535296420338392</v>
      </c>
      <c r="F3772" s="2065">
        <f>E3772*A3772</f>
        <v>-7.0605889261015171E-3</v>
      </c>
      <c r="G3772" s="415"/>
      <c r="H3772" s="415" t="str">
        <f>VLOOKUP(B3772,indexy!$A$44:$D$946,3,FALSE)</f>
        <v>TEL2B SS Equity</v>
      </c>
      <c r="J3772" s="434"/>
    </row>
    <row r="3773" spans="1:10" ht="12.75" hidden="1" customHeight="1" outlineLevel="1" x14ac:dyDescent="0.3">
      <c r="A3773" s="1911">
        <v>0.02</v>
      </c>
      <c r="B3773" s="2826" t="s">
        <v>577</v>
      </c>
      <c r="C3773" s="3359">
        <v>3.9836999999999998</v>
      </c>
      <c r="D3773" s="2830">
        <f>VLOOKUP(H3773,indexy!$C$44:$D$823,2,FALSE)</f>
        <v>4.0890000000000004</v>
      </c>
      <c r="E3773" s="2064">
        <f t="shared" si="110"/>
        <v>2.6432713306725031E-2</v>
      </c>
      <c r="F3773" s="2065">
        <f>E3773*A3773</f>
        <v>5.2865426613450065E-4</v>
      </c>
      <c r="G3773" s="415"/>
      <c r="H3773" s="415" t="str">
        <f>VLOOKUP(B3773,indexy!$A$44:$D$823,3,FALSE)</f>
        <v>TEF SQ Equity</v>
      </c>
      <c r="J3773" s="434"/>
    </row>
    <row r="3774" spans="1:10" ht="12.75" hidden="1" customHeight="1" outlineLevel="1" x14ac:dyDescent="0.3">
      <c r="A3774" s="1911">
        <v>0.04</v>
      </c>
      <c r="B3774" s="2826" t="s">
        <v>434</v>
      </c>
      <c r="C3774" s="3359">
        <v>36.247999999999998</v>
      </c>
      <c r="D3774" s="2830">
        <f>VLOOKUP(H3774,indexy!$C$44:$D$823,2,FALSE)</f>
        <v>27.43</v>
      </c>
      <c r="E3774" s="2064">
        <f t="shared" si="110"/>
        <v>-0.24326859412933122</v>
      </c>
      <c r="F3774" s="2065">
        <f>E3774*A3774</f>
        <v>-9.7307437651732494E-3</v>
      </c>
      <c r="G3774" s="415"/>
      <c r="H3774" s="415" t="str">
        <f>VLOOKUP(B3774,indexy!$A$44:$D$823,3,FALSE)</f>
        <v>TELIA SS Equity</v>
      </c>
      <c r="J3774" s="434"/>
    </row>
    <row r="3775" spans="1:10" ht="12.75" hidden="1" customHeight="1" outlineLevel="1" x14ac:dyDescent="0.3">
      <c r="A3775" s="1911">
        <v>0.02</v>
      </c>
      <c r="B3775" s="2832" t="s">
        <v>10583</v>
      </c>
      <c r="C3775" s="3359">
        <v>432.93</v>
      </c>
      <c r="D3775" s="2834">
        <f>VLOOKUP(H3775,indexy!$C$44:$D$823,2,FALSE)</f>
        <v>342.9</v>
      </c>
      <c r="E3775" s="2064">
        <f t="shared" si="110"/>
        <v>-0.20795509666689771</v>
      </c>
      <c r="F3775" s="2065">
        <f>E3775*A3775</f>
        <v>-4.1591019333379539E-3</v>
      </c>
      <c r="G3775" s="415"/>
      <c r="H3775" s="415" t="str">
        <f>VLOOKUP(B3775,indexy!$A$44:$D$823,3,FALSE)</f>
        <v>YAR NO Equity</v>
      </c>
      <c r="J3775" s="434"/>
    </row>
    <row r="3776" spans="1:10" ht="12.75" hidden="1" customHeight="1" outlineLevel="1" x14ac:dyDescent="0.25">
      <c r="A3776" s="2048" t="s">
        <v>2734</v>
      </c>
      <c r="B3776" s="2049"/>
      <c r="C3776" s="2051">
        <v>100</v>
      </c>
      <c r="D3776" s="2051"/>
      <c r="E3776" s="2059"/>
      <c r="F3776" s="2059">
        <f>SUM(F3746:F3775)</f>
        <v>5.2611938321354759E-2</v>
      </c>
      <c r="G3776" s="415"/>
      <c r="H3776" s="415"/>
    </row>
    <row r="3777" spans="1:18" ht="12.75" hidden="1" customHeight="1" outlineLevel="1" x14ac:dyDescent="0.25">
      <c r="A3777" s="2053"/>
      <c r="B3777" s="2054">
        <v>46082</v>
      </c>
      <c r="C3777" s="2055">
        <v>100</v>
      </c>
      <c r="D3777" s="2055"/>
      <c r="E3777" s="2056">
        <f>IF(D3777="",$F$3776,D3777/C3777-1)</f>
        <v>5.2611938321354759E-2</v>
      </c>
      <c r="F3777" s="2072"/>
      <c r="G3777" s="415"/>
      <c r="H3777" s="415"/>
    </row>
    <row r="3778" spans="1:18" ht="12.75" hidden="1" customHeight="1" outlineLevel="1" x14ac:dyDescent="0.25">
      <c r="A3778" s="2053"/>
      <c r="B3778" s="2054">
        <v>46113</v>
      </c>
      <c r="C3778" s="2055">
        <v>100</v>
      </c>
      <c r="D3778" s="2058"/>
      <c r="E3778" s="2056">
        <f t="shared" ref="E3778:E3788" si="111">IF(D3778="",$F$3776,D3778/C3778-1)</f>
        <v>5.2611938321354759E-2</v>
      </c>
      <c r="F3778" s="2072"/>
      <c r="G3778" s="415"/>
      <c r="H3778" s="415"/>
    </row>
    <row r="3779" spans="1:18" ht="12.75" hidden="1" customHeight="1" outlineLevel="1" x14ac:dyDescent="0.25">
      <c r="A3779" s="2053"/>
      <c r="B3779" s="2054">
        <v>46143</v>
      </c>
      <c r="C3779" s="2055">
        <v>100</v>
      </c>
      <c r="D3779" s="2058"/>
      <c r="E3779" s="2056">
        <f t="shared" si="111"/>
        <v>5.2611938321354759E-2</v>
      </c>
      <c r="F3779" s="2072"/>
      <c r="G3779" s="415"/>
      <c r="H3779" s="415"/>
    </row>
    <row r="3780" spans="1:18" ht="12.75" hidden="1" customHeight="1" outlineLevel="1" x14ac:dyDescent="0.25">
      <c r="A3780" s="2053"/>
      <c r="B3780" s="2054">
        <v>46174</v>
      </c>
      <c r="C3780" s="2055">
        <v>100</v>
      </c>
      <c r="D3780" s="2058"/>
      <c r="E3780" s="2056">
        <f t="shared" si="111"/>
        <v>5.2611938321354759E-2</v>
      </c>
      <c r="F3780" s="2072"/>
      <c r="G3780" s="415"/>
      <c r="H3780" s="415"/>
    </row>
    <row r="3781" spans="1:18" ht="12.75" hidden="1" customHeight="1" outlineLevel="1" x14ac:dyDescent="0.25">
      <c r="A3781" s="2053"/>
      <c r="B3781" s="2054">
        <v>46204</v>
      </c>
      <c r="C3781" s="2055">
        <v>100</v>
      </c>
      <c r="D3781" s="2058"/>
      <c r="E3781" s="2056">
        <f t="shared" si="111"/>
        <v>5.2611938321354759E-2</v>
      </c>
      <c r="F3781" s="2072"/>
      <c r="G3781" s="415"/>
      <c r="H3781" s="415"/>
    </row>
    <row r="3782" spans="1:18" ht="12.75" hidden="1" customHeight="1" outlineLevel="1" x14ac:dyDescent="0.25">
      <c r="A3782" s="2053"/>
      <c r="B3782" s="2054">
        <v>46235</v>
      </c>
      <c r="C3782" s="2055">
        <v>100</v>
      </c>
      <c r="D3782" s="2058"/>
      <c r="E3782" s="2056">
        <f t="shared" si="111"/>
        <v>5.2611938321354759E-2</v>
      </c>
      <c r="F3782" s="2072"/>
      <c r="G3782" s="415"/>
      <c r="H3782" s="415"/>
    </row>
    <row r="3783" spans="1:18" ht="12.75" hidden="1" customHeight="1" outlineLevel="1" x14ac:dyDescent="0.25">
      <c r="A3783" s="2053"/>
      <c r="B3783" s="2054">
        <v>46266</v>
      </c>
      <c r="C3783" s="2055">
        <v>100</v>
      </c>
      <c r="D3783" s="2058"/>
      <c r="E3783" s="2056">
        <f t="shared" si="111"/>
        <v>5.2611938321354759E-2</v>
      </c>
      <c r="F3783" s="2072"/>
      <c r="G3783" s="415"/>
      <c r="H3783" s="415"/>
    </row>
    <row r="3784" spans="1:18" ht="12.75" hidden="1" customHeight="1" outlineLevel="1" x14ac:dyDescent="0.25">
      <c r="A3784" s="2053"/>
      <c r="B3784" s="2054">
        <v>46296</v>
      </c>
      <c r="C3784" s="2055">
        <v>100</v>
      </c>
      <c r="D3784" s="2058"/>
      <c r="E3784" s="2056">
        <f t="shared" si="111"/>
        <v>5.2611938321354759E-2</v>
      </c>
      <c r="F3784" s="2072"/>
      <c r="G3784" s="415"/>
      <c r="H3784" s="415"/>
    </row>
    <row r="3785" spans="1:18" ht="12.75" hidden="1" customHeight="1" outlineLevel="1" x14ac:dyDescent="0.25">
      <c r="A3785" s="2053"/>
      <c r="B3785" s="2054">
        <v>46327</v>
      </c>
      <c r="C3785" s="2055">
        <v>100</v>
      </c>
      <c r="D3785" s="2058"/>
      <c r="E3785" s="2056">
        <f t="shared" si="111"/>
        <v>5.2611938321354759E-2</v>
      </c>
      <c r="F3785" s="2072"/>
      <c r="G3785" s="415"/>
      <c r="H3785" s="415"/>
    </row>
    <row r="3786" spans="1:18" ht="12.75" hidden="1" customHeight="1" outlineLevel="1" x14ac:dyDescent="0.25">
      <c r="A3786" s="2053"/>
      <c r="B3786" s="2054">
        <v>46357</v>
      </c>
      <c r="C3786" s="2055">
        <v>100</v>
      </c>
      <c r="D3786" s="2058"/>
      <c r="E3786" s="2056">
        <f t="shared" si="111"/>
        <v>5.2611938321354759E-2</v>
      </c>
      <c r="F3786" s="2072"/>
      <c r="G3786" s="415"/>
      <c r="H3786" s="415"/>
    </row>
    <row r="3787" spans="1:18" ht="12.75" hidden="1" customHeight="1" outlineLevel="1" x14ac:dyDescent="0.25">
      <c r="A3787" s="2053"/>
      <c r="B3787" s="2054">
        <v>46388</v>
      </c>
      <c r="C3787" s="2055">
        <v>100</v>
      </c>
      <c r="D3787" s="2058"/>
      <c r="E3787" s="2056">
        <f t="shared" si="111"/>
        <v>5.2611938321354759E-2</v>
      </c>
      <c r="F3787" s="2072"/>
      <c r="G3787" s="415"/>
      <c r="H3787" s="415"/>
    </row>
    <row r="3788" spans="1:18" ht="12.75" hidden="1" customHeight="1" outlineLevel="1" x14ac:dyDescent="0.25">
      <c r="A3788" s="2053"/>
      <c r="B3788" s="2054">
        <v>46419</v>
      </c>
      <c r="C3788" s="2055">
        <v>100</v>
      </c>
      <c r="D3788" s="2058"/>
      <c r="E3788" s="2056">
        <f t="shared" si="111"/>
        <v>5.2611938321354759E-2</v>
      </c>
      <c r="F3788" s="2072"/>
      <c r="G3788" s="415"/>
      <c r="H3788" s="415"/>
    </row>
    <row r="3789" spans="1:18" s="444" customFormat="1" ht="12.75" hidden="1" customHeight="1" outlineLevel="1" x14ac:dyDescent="0.25">
      <c r="A3789" s="2067" t="s">
        <v>2734</v>
      </c>
      <c r="B3789" s="2068"/>
      <c r="C3789" s="2058"/>
      <c r="D3789" s="2069" t="s">
        <v>2465</v>
      </c>
      <c r="E3789" s="2070">
        <f>AVERAGE(E3777:E3788)</f>
        <v>5.2611938321354766E-2</v>
      </c>
      <c r="F3789" s="2071">
        <f>((((E3789*100)+100)-I3746)/100)</f>
        <v>5.2611938321354759E-2</v>
      </c>
    </row>
    <row r="3790" spans="1:18" collapsed="1" x14ac:dyDescent="0.25">
      <c r="A3790" s="3799" t="s">
        <v>10593</v>
      </c>
      <c r="B3790" s="3800"/>
      <c r="C3790" s="3800"/>
      <c r="D3790" s="3800"/>
      <c r="E3790" s="18"/>
      <c r="F3790" s="186">
        <f>MAX(-10%,MIN(F3789,40%))</f>
        <v>5.2611938321354759E-2</v>
      </c>
      <c r="G3790" s="415"/>
    </row>
    <row r="3792" spans="1:18" ht="12.75" hidden="1" customHeight="1" outlineLevel="1" x14ac:dyDescent="0.25">
      <c r="A3792" s="1677" t="s">
        <v>4156</v>
      </c>
      <c r="B3792" s="1677" t="s">
        <v>4153</v>
      </c>
      <c r="C3792" s="1305" t="s">
        <v>112</v>
      </c>
      <c r="D3792" s="1678" t="s">
        <v>4155</v>
      </c>
      <c r="E3792" s="1677" t="s">
        <v>4154</v>
      </c>
      <c r="F3792" s="1678" t="s">
        <v>2519</v>
      </c>
      <c r="G3792" s="12"/>
      <c r="H3792" s="415"/>
      <c r="I3792" s="412" t="s">
        <v>6964</v>
      </c>
      <c r="J3792" s="1462">
        <v>44348</v>
      </c>
      <c r="K3792" s="1462">
        <v>44378</v>
      </c>
      <c r="L3792" s="1462">
        <v>44409</v>
      </c>
      <c r="M3792" s="1462">
        <v>44440</v>
      </c>
      <c r="N3792" s="1462">
        <v>44470</v>
      </c>
      <c r="O3792" s="1462">
        <v>44501</v>
      </c>
      <c r="P3792" s="1462"/>
      <c r="Q3792" s="1462"/>
      <c r="R3792" s="1462"/>
    </row>
    <row r="3793" spans="1:14" ht="12.75" hidden="1" customHeight="1" outlineLevel="1" x14ac:dyDescent="0.25">
      <c r="A3793" s="1911">
        <v>0.02</v>
      </c>
      <c r="B3793" s="2826" t="s">
        <v>4266</v>
      </c>
      <c r="C3793" s="2827">
        <v>30.198</v>
      </c>
      <c r="D3793" s="2828">
        <f>VLOOKUP(H3793,indexy!$C$44:$D$823,2,FALSE)</f>
        <v>41.89</v>
      </c>
      <c r="E3793" s="2061">
        <f>D3793/C3793-1</f>
        <v>0.38717795880521888</v>
      </c>
      <c r="F3793" s="2062">
        <f>E3793*A3793</f>
        <v>7.7435591761043782E-3</v>
      </c>
      <c r="G3793" s="415"/>
      <c r="H3793" s="415" t="str">
        <f>VLOOKUP(B3793,indexy!$A$44:$D$823,3,FALSE)</f>
        <v>ABBN SE Equity</v>
      </c>
      <c r="I3793" s="412">
        <f>IF(J3793="",100,MIN(100,J3793:Y3793))</f>
        <v>99.878200000000007</v>
      </c>
      <c r="J3793">
        <v>100.2773</v>
      </c>
      <c r="K3793">
        <v>101.57299999999999</v>
      </c>
      <c r="L3793">
        <v>103.557</v>
      </c>
      <c r="M3793">
        <v>105.7572</v>
      </c>
      <c r="N3793">
        <v>99.878200000000007</v>
      </c>
    </row>
    <row r="3794" spans="1:14" ht="12.75" hidden="1" customHeight="1" outlineLevel="1" x14ac:dyDescent="0.25">
      <c r="A3794" s="1911">
        <v>0.02</v>
      </c>
      <c r="B3794" s="2826" t="s">
        <v>10615</v>
      </c>
      <c r="C3794" s="2829">
        <v>72.738</v>
      </c>
      <c r="D3794" s="2830">
        <f>VLOOKUP(H3794,indexy!$C$44:$D$823,2,FALSE)</f>
        <v>66.42</v>
      </c>
      <c r="E3794" s="2064">
        <f>D3794/C3794-1</f>
        <v>-8.6859688195991103E-2</v>
      </c>
      <c r="F3794" s="2065">
        <f t="shared" ref="F3794:F3817" si="112">E3794*A3794</f>
        <v>-1.7371937639198221E-3</v>
      </c>
      <c r="G3794" s="415"/>
      <c r="H3794" s="415" t="str">
        <f>VLOOKUP(B3794,indexy!$A$44:$D$823,3,FALSE)</f>
        <v>ASX AT Equity</v>
      </c>
      <c r="I3794" s="422">
        <f>+(((E3836*100)+100)-I3793)/100</f>
        <v>6.959502479596566E-2</v>
      </c>
    </row>
    <row r="3795" spans="1:14" ht="12.75" hidden="1" customHeight="1" outlineLevel="1" x14ac:dyDescent="0.25">
      <c r="A3795" s="1911">
        <v>0.02</v>
      </c>
      <c r="B3795" s="2826" t="s">
        <v>10617</v>
      </c>
      <c r="C3795" s="2829">
        <v>16.260000000000002</v>
      </c>
      <c r="D3795" s="2830">
        <f>VLOOKUP(H3795,indexy!$C$44:$D$823,2,FALSE)</f>
        <v>16.940000000000001</v>
      </c>
      <c r="E3795" s="2064">
        <f t="shared" ref="E3795:E3822" si="113">D3795/C3795-1</f>
        <v>4.1820418204181919E-2</v>
      </c>
      <c r="F3795" s="2065">
        <f t="shared" si="112"/>
        <v>8.3640836408363842E-4</v>
      </c>
      <c r="G3795" s="415"/>
      <c r="H3795" s="415" t="str">
        <f>VLOOKUP(B3795,indexy!$A$44:$D$823,3,FALSE)</f>
        <v>COL AT Equity</v>
      </c>
      <c r="J3795" s="434"/>
    </row>
    <row r="3796" spans="1:14" ht="12.75" hidden="1" customHeight="1" outlineLevel="1" x14ac:dyDescent="0.25">
      <c r="A3796" s="1911">
        <v>0.04</v>
      </c>
      <c r="B3796" s="2826" t="s">
        <v>1319</v>
      </c>
      <c r="C3796" s="2829">
        <v>78.63</v>
      </c>
      <c r="D3796" s="2830">
        <f>VLOOKUP(H3796,indexy!$C$44:$D$823,2,FALSE)</f>
        <v>90.81</v>
      </c>
      <c r="E3796" s="2064">
        <f t="shared" si="113"/>
        <v>0.15490270888973678</v>
      </c>
      <c r="F3796" s="2065">
        <f t="shared" si="112"/>
        <v>6.1961083555894716E-3</v>
      </c>
      <c r="G3796" s="415"/>
      <c r="H3796" s="415" t="str">
        <f>VLOOKUP(B3796,indexy!$A$44:$D$823,3,FALSE)</f>
        <v>ED UN Equity</v>
      </c>
      <c r="J3796" s="434"/>
      <c r="K3796" s="37"/>
    </row>
    <row r="3797" spans="1:14" ht="12.75" hidden="1" customHeight="1" outlineLevel="1" x14ac:dyDescent="0.25">
      <c r="A3797" s="1911">
        <v>0.04</v>
      </c>
      <c r="B3797" s="2826" t="s">
        <v>53</v>
      </c>
      <c r="C3797" s="2829">
        <v>57.929000000000002</v>
      </c>
      <c r="D3797" s="2830">
        <f>VLOOKUP(H3797,indexy!$C$44:$D$823,2,FALSE)</f>
        <v>59.89</v>
      </c>
      <c r="E3797" s="2064">
        <f t="shared" si="113"/>
        <v>3.385178408051237E-2</v>
      </c>
      <c r="F3797" s="2065">
        <f t="shared" si="112"/>
        <v>1.3540713632204948E-3</v>
      </c>
      <c r="G3797" s="415"/>
      <c r="H3797" s="415" t="str">
        <f>VLOOKUP(B3797,indexy!$A$44:$D$823,3,FALSE)</f>
        <v>BN FP Equity</v>
      </c>
      <c r="J3797" s="434"/>
    </row>
    <row r="3798" spans="1:14" ht="12.75" hidden="1" customHeight="1" outlineLevel="1" x14ac:dyDescent="0.25">
      <c r="A3798" s="1911">
        <v>0.02</v>
      </c>
      <c r="B3798" s="2826" t="s">
        <v>2629</v>
      </c>
      <c r="C3798" s="2829">
        <v>16.761399999999998</v>
      </c>
      <c r="D3798" s="2830">
        <f>VLOOKUP(H3798,indexy!$C$44:$D$823,2,FALSE)</f>
        <v>22.5</v>
      </c>
      <c r="E3798" s="2064">
        <f t="shared" si="113"/>
        <v>0.34236996909566031</v>
      </c>
      <c r="F3798" s="2065">
        <f t="shared" si="112"/>
        <v>6.8473993819132065E-3</v>
      </c>
      <c r="G3798" s="415"/>
      <c r="H3798" s="415" t="str">
        <f>VLOOKUP(B3798,indexy!$A$44:$D$823,3,FALSE)</f>
        <v>DTE GY Equity</v>
      </c>
      <c r="J3798" s="434"/>
    </row>
    <row r="3799" spans="1:14" ht="12.75" hidden="1" customHeight="1" outlineLevel="1" x14ac:dyDescent="0.25">
      <c r="A3799" s="1911">
        <v>0.03</v>
      </c>
      <c r="B3799" s="2826" t="s">
        <v>10619</v>
      </c>
      <c r="C3799" s="2829">
        <v>291.56</v>
      </c>
      <c r="D3799" s="2830">
        <f>VLOOKUP(H3799,indexy!$C$44:$D$823,2,FALSE)</f>
        <v>254.2</v>
      </c>
      <c r="E3799" s="2064">
        <f t="shared" si="113"/>
        <v>-0.12813829057483883</v>
      </c>
      <c r="F3799" s="2065">
        <f t="shared" si="112"/>
        <v>-3.8441487172451647E-3</v>
      </c>
      <c r="G3799" s="415"/>
      <c r="H3799" s="415" t="str">
        <f>VLOOKUP(B3799,indexy!$A$44:$D$823,3,FALSE)</f>
        <v>ESSITYB SS Equity</v>
      </c>
      <c r="J3799" s="434"/>
    </row>
    <row r="3800" spans="1:14" ht="12.75" hidden="1" customHeight="1" outlineLevel="1" x14ac:dyDescent="0.25">
      <c r="A3800" s="1911">
        <v>0.02</v>
      </c>
      <c r="B3800" s="2826" t="s">
        <v>10621</v>
      </c>
      <c r="C3800" s="2829">
        <v>13.933</v>
      </c>
      <c r="D3800" s="2830">
        <f>VLOOKUP(H3800,indexy!$C$44:$D$823,2,FALSE)</f>
        <v>13.885</v>
      </c>
      <c r="E3800" s="2064">
        <f t="shared" si="113"/>
        <v>-3.4450584942223861E-3</v>
      </c>
      <c r="F3800" s="2065">
        <f t="shared" si="112"/>
        <v>-6.8901169884447719E-5</v>
      </c>
      <c r="G3800" s="415"/>
      <c r="H3800" s="415" t="str">
        <f>VLOOKUP(B3800,indexy!$A$44:$D$823,3,FALSE)</f>
        <v>FBK IM Equity</v>
      </c>
      <c r="J3800" s="434"/>
    </row>
    <row r="3801" spans="1:14" ht="12.75" hidden="1" customHeight="1" outlineLevel="1" x14ac:dyDescent="0.25">
      <c r="A3801" s="1911">
        <v>0.03</v>
      </c>
      <c r="B3801" s="2826" t="s">
        <v>1031</v>
      </c>
      <c r="C3801" s="2829">
        <v>11.314500000000001</v>
      </c>
      <c r="D3801" s="2830">
        <f>VLOOKUP(H3801,indexy!$C$44:$D$823,2,FALSE)</f>
        <v>11.494999999999999</v>
      </c>
      <c r="E3801" s="2064">
        <f t="shared" si="113"/>
        <v>1.5952980688497043E-2</v>
      </c>
      <c r="F3801" s="2065">
        <f t="shared" si="112"/>
        <v>4.7858942065491126E-4</v>
      </c>
      <c r="G3801" s="415"/>
      <c r="H3801" s="415" t="str">
        <f>VLOOKUP(B3801,indexy!$A$44:$D$823,3,FALSE)</f>
        <v>IBE SQ Equity</v>
      </c>
      <c r="J3801" s="434"/>
    </row>
    <row r="3802" spans="1:14" ht="12.75" hidden="1" customHeight="1" outlineLevel="1" x14ac:dyDescent="0.25">
      <c r="A3802" s="1911">
        <v>0.05</v>
      </c>
      <c r="B3802" s="2826" t="s">
        <v>1381</v>
      </c>
      <c r="C3802" s="2829">
        <v>133.935</v>
      </c>
      <c r="D3802" s="2830">
        <f>VLOOKUP(H3802,indexy!$C$44:$D$823,2,FALSE)</f>
        <v>129.35</v>
      </c>
      <c r="E3802" s="2064">
        <f t="shared" si="113"/>
        <v>-3.423302348153956E-2</v>
      </c>
      <c r="F3802" s="2065">
        <f t="shared" si="112"/>
        <v>-1.7116511740769781E-3</v>
      </c>
      <c r="G3802" s="415"/>
      <c r="H3802" s="415" t="str">
        <f>VLOOKUP(B3802,indexy!$A$44:$D$823,3,FALSE)</f>
        <v>KMB UN Equity</v>
      </c>
      <c r="J3802" s="434"/>
    </row>
    <row r="3803" spans="1:14" ht="12.75" hidden="1" customHeight="1" outlineLevel="1" x14ac:dyDescent="0.25">
      <c r="A3803" s="1911">
        <v>0.05</v>
      </c>
      <c r="B3803" s="2826" t="s">
        <v>4034</v>
      </c>
      <c r="C3803" s="2829">
        <v>23.547499999999999</v>
      </c>
      <c r="D3803" s="2830">
        <f>VLOOKUP(H3803,indexy!$C$44:$D$823,2,FALSE)</f>
        <v>27.72</v>
      </c>
      <c r="E3803" s="2064">
        <f t="shared" si="113"/>
        <v>0.17719503131967307</v>
      </c>
      <c r="F3803" s="2065">
        <f t="shared" si="112"/>
        <v>8.8597515659836531E-3</v>
      </c>
      <c r="G3803" s="415"/>
      <c r="H3803" s="415" t="str">
        <f>VLOOKUP(B3803,indexy!$A$44:$D$823,3,FALSE)</f>
        <v>AD NA Equity</v>
      </c>
      <c r="J3803" s="434"/>
    </row>
    <row r="3804" spans="1:14" ht="12.75" hidden="1" customHeight="1" outlineLevel="1" x14ac:dyDescent="0.25">
      <c r="A3804" s="1911">
        <v>0.02</v>
      </c>
      <c r="B3804" s="2826" t="s">
        <v>10623</v>
      </c>
      <c r="C3804" s="2829">
        <v>54.11</v>
      </c>
      <c r="D3804" s="2830">
        <f>VLOOKUP(H3804,indexy!$C$44:$D$823,2,FALSE)</f>
        <v>81.66</v>
      </c>
      <c r="E3804" s="2064">
        <f t="shared" si="113"/>
        <v>0.50914803178710022</v>
      </c>
      <c r="F3804" s="2065">
        <f t="shared" si="112"/>
        <v>1.0182960635742004E-2</v>
      </c>
      <c r="G3804" s="415"/>
      <c r="H3804" s="415" t="str">
        <f>VLOOKUP(B3804,indexy!$A$44:$D$823,3,FALSE)</f>
        <v>HOLN SW Equity</v>
      </c>
      <c r="J3804" s="434"/>
    </row>
    <row r="3805" spans="1:14" ht="12.75" hidden="1" customHeight="1" outlineLevel="1" x14ac:dyDescent="0.25">
      <c r="A3805" s="1911">
        <v>0.05</v>
      </c>
      <c r="B3805" s="2826" t="s">
        <v>123</v>
      </c>
      <c r="C3805" s="2831">
        <v>25.600999999999999</v>
      </c>
      <c r="D3805" s="2830">
        <f>VLOOKUP(H3805,indexy!$C$44:$D$823,2,FALSE)</f>
        <v>33.83</v>
      </c>
      <c r="E3805" s="2064">
        <f t="shared" si="113"/>
        <v>0.32143275653294801</v>
      </c>
      <c r="F3805" s="2065">
        <f t="shared" si="112"/>
        <v>1.60716378266474E-2</v>
      </c>
      <c r="G3805" s="415"/>
      <c r="H3805" s="415" t="str">
        <f>VLOOKUP(B3805,indexy!$A$44:$D$823,3,FALSE)</f>
        <v>MFC CT Equity</v>
      </c>
      <c r="J3805" s="434"/>
    </row>
    <row r="3806" spans="1:14" ht="12.75" hidden="1" customHeight="1" outlineLevel="1" x14ac:dyDescent="0.25">
      <c r="A3806" s="1911">
        <v>0.05</v>
      </c>
      <c r="B3806" s="2826" t="s">
        <v>8336</v>
      </c>
      <c r="C3806" s="2829">
        <v>26.428000000000001</v>
      </c>
      <c r="D3806" s="2830">
        <f>VLOOKUP(H3806,indexy!$C$44:$D$823,2,FALSE)</f>
        <v>34.64</v>
      </c>
      <c r="E3806" s="2064">
        <f t="shared" si="113"/>
        <v>0.31073104283335851</v>
      </c>
      <c r="F3806" s="2065">
        <f t="shared" si="112"/>
        <v>1.5536552141667926E-2</v>
      </c>
      <c r="G3806" s="415"/>
      <c r="H3806" s="415" t="str">
        <f>VLOOKUP(B3806,indexy!$A$44:$D$823,3,FALSE)</f>
        <v>NAB AT Equity</v>
      </c>
      <c r="J3806" s="434"/>
    </row>
    <row r="3807" spans="1:14" ht="12.75" hidden="1" customHeight="1" outlineLevel="1" x14ac:dyDescent="0.25">
      <c r="A3807" s="1911">
        <v>0.02</v>
      </c>
      <c r="B3807" s="2826" t="s">
        <v>3797</v>
      </c>
      <c r="C3807" s="2829">
        <v>109.298</v>
      </c>
      <c r="D3807" s="2830">
        <f>VLOOKUP(H3807,indexy!$C$44:$D$823,2,FALSE)</f>
        <v>95.75</v>
      </c>
      <c r="E3807" s="2064">
        <f t="shared" si="113"/>
        <v>-0.12395469267507186</v>
      </c>
      <c r="F3807" s="2065">
        <f t="shared" si="112"/>
        <v>-2.4790938535014374E-3</v>
      </c>
      <c r="G3807" s="415"/>
      <c r="H3807" s="415" t="str">
        <f>VLOOKUP(B3807,indexy!$A$44:$D$823,3,FALSE)</f>
        <v>NESN SE Equity</v>
      </c>
      <c r="J3807" s="434"/>
    </row>
    <row r="3808" spans="1:14" ht="12.75" hidden="1" customHeight="1" outlineLevel="1" x14ac:dyDescent="0.25">
      <c r="A3808" s="1911">
        <v>0.04</v>
      </c>
      <c r="B3808" s="2826" t="s">
        <v>1040</v>
      </c>
      <c r="C3808" s="2829">
        <v>114.48</v>
      </c>
      <c r="D3808" s="2830">
        <f>VLOOKUP(H3808,indexy!$C$44:$D$823,2,FALSE)</f>
        <v>180</v>
      </c>
      <c r="E3808" s="2064">
        <f t="shared" si="113"/>
        <v>0.57232704402515711</v>
      </c>
      <c r="F3808" s="2065">
        <f t="shared" si="112"/>
        <v>2.2893081761006285E-2</v>
      </c>
      <c r="G3808" s="415"/>
      <c r="H3808" s="415" t="str">
        <f>VLOOKUP(B3808,indexy!$A$44:$D$823,3,FALSE)</f>
        <v>9432 JT Equity</v>
      </c>
      <c r="J3808" s="434"/>
    </row>
    <row r="3809" spans="1:10" ht="12.75" hidden="1" customHeight="1" outlineLevel="1" x14ac:dyDescent="0.25">
      <c r="A3809" s="1911">
        <v>0.04</v>
      </c>
      <c r="B3809" s="2826" t="s">
        <v>2787</v>
      </c>
      <c r="C3809" s="2829">
        <v>79.578999999999994</v>
      </c>
      <c r="D3809" s="2830">
        <f>VLOOKUP(H3809,indexy!$C$44:$D$823,2,FALSE)</f>
        <v>87.37</v>
      </c>
      <c r="E3809" s="2064">
        <f t="shared" si="113"/>
        <v>9.7902713027306243E-2</v>
      </c>
      <c r="F3809" s="2065">
        <f t="shared" si="112"/>
        <v>3.9161085210922498E-3</v>
      </c>
      <c r="G3809" s="415"/>
      <c r="H3809" s="415" t="str">
        <f>VLOOKUP(B3809,indexy!$A$44:$D$823,3,FALSE)</f>
        <v>NOVN SE Equity</v>
      </c>
      <c r="J3809" s="434"/>
    </row>
    <row r="3810" spans="1:10" ht="12.75" hidden="1" customHeight="1" outlineLevel="1" x14ac:dyDescent="0.25">
      <c r="A3810" s="1911">
        <v>0.05</v>
      </c>
      <c r="B3810" s="2826" t="s">
        <v>8529</v>
      </c>
      <c r="C3810" s="2829">
        <v>66.007000000000005</v>
      </c>
      <c r="D3810" s="2830">
        <f>VLOOKUP(H3810,indexy!$C$44:$D$823,2,FALSE)</f>
        <v>54.1</v>
      </c>
      <c r="E3810" s="2064">
        <f t="shared" si="113"/>
        <v>-0.18038995864075025</v>
      </c>
      <c r="F3810" s="2065">
        <f t="shared" si="112"/>
        <v>-9.0194979320375127E-3</v>
      </c>
      <c r="G3810" s="415"/>
      <c r="H3810" s="415" t="str">
        <f>VLOOKUP(B3810,indexy!$A$44:$D$823,3,FALSE)</f>
        <v>O UN Equity</v>
      </c>
      <c r="J3810" s="434"/>
    </row>
    <row r="3811" spans="1:10" ht="12.75" hidden="1" customHeight="1" outlineLevel="1" x14ac:dyDescent="0.25">
      <c r="A3811" s="1911">
        <v>0.02</v>
      </c>
      <c r="B3811" s="2826" t="s">
        <v>3800</v>
      </c>
      <c r="C3811" s="2829">
        <v>304.26</v>
      </c>
      <c r="D3811" s="2830">
        <f>VLOOKUP(H3811,indexy!$C$44:$D$823,2,FALSE)</f>
        <v>229.7</v>
      </c>
      <c r="E3811" s="2064">
        <f t="shared" si="113"/>
        <v>-0.24505357260237959</v>
      </c>
      <c r="F3811" s="2065">
        <f t="shared" si="112"/>
        <v>-4.901071452047592E-3</v>
      </c>
      <c r="G3811" s="415"/>
      <c r="H3811" s="415" t="str">
        <f>VLOOKUP(B3811,indexy!$A$44:$D$823,3,FALSE)</f>
        <v>ROG SE Equity</v>
      </c>
      <c r="J3811" s="434"/>
    </row>
    <row r="3812" spans="1:10" ht="12.75" hidden="1" customHeight="1" outlineLevel="1" x14ac:dyDescent="0.25">
      <c r="A3812" s="1911">
        <v>0.06</v>
      </c>
      <c r="B3812" s="2826" t="s">
        <v>1187</v>
      </c>
      <c r="C3812" s="2829">
        <v>86.605000000000004</v>
      </c>
      <c r="D3812" s="2830">
        <f>VLOOKUP(H3812,indexy!$C$44:$D$823,2,FALSE)</f>
        <v>90.96</v>
      </c>
      <c r="E3812" s="2064">
        <f t="shared" si="113"/>
        <v>5.0285780266728031E-2</v>
      </c>
      <c r="F3812" s="2065">
        <f t="shared" si="112"/>
        <v>3.0171468160036818E-3</v>
      </c>
      <c r="G3812" s="415"/>
      <c r="H3812" s="415" t="str">
        <f>VLOOKUP(B3812,indexy!$A$44:$D$823,3,FALSE)</f>
        <v>SAN FP Equity</v>
      </c>
      <c r="J3812" s="434"/>
    </row>
    <row r="3813" spans="1:10" ht="12.75" hidden="1" customHeight="1" outlineLevel="1" x14ac:dyDescent="0.25">
      <c r="A3813" s="1911">
        <v>0.02</v>
      </c>
      <c r="B3813" s="2826" t="s">
        <v>7348</v>
      </c>
      <c r="C3813" s="2829">
        <f>2722.1/25</f>
        <v>108.884</v>
      </c>
      <c r="D3813" s="2830">
        <f>VLOOKUP(H3813,indexy!$C$44:$D$823,2,FALSE)</f>
        <v>87.5</v>
      </c>
      <c r="E3813" s="2064">
        <f t="shared" si="113"/>
        <v>-0.19639249109143675</v>
      </c>
      <c r="F3813" s="2065">
        <f t="shared" si="112"/>
        <v>-3.927849821828735E-3</v>
      </c>
      <c r="G3813" s="415"/>
      <c r="H3813" s="415" t="str">
        <f>VLOOKUP(B3813,indexy!$A$44:$D$823,3,FALSE)</f>
        <v>SGSN SE Equity</v>
      </c>
      <c r="J3813" s="434"/>
    </row>
    <row r="3814" spans="1:10" ht="12.75" hidden="1" customHeight="1" outlineLevel="1" x14ac:dyDescent="0.25">
      <c r="A3814" s="1911">
        <v>0.04</v>
      </c>
      <c r="B3814" s="2826" t="s">
        <v>7912</v>
      </c>
      <c r="C3814" s="2829">
        <v>43.704999999999998</v>
      </c>
      <c r="D3814" s="2830">
        <f>VLOOKUP(H3814,indexy!$C$44:$D$823,2,FALSE)</f>
        <v>42.27</v>
      </c>
      <c r="E3814" s="2064">
        <f t="shared" si="113"/>
        <v>-3.2833771879647533E-2</v>
      </c>
      <c r="F3814" s="2065">
        <f t="shared" si="112"/>
        <v>-1.3133508751859014E-3</v>
      </c>
      <c r="G3814" s="415"/>
      <c r="H3814" s="415" t="str">
        <f>VLOOKUP(B3814,indexy!$A$44:$D$823,3,FALSE)</f>
        <v>SKG ID Equity</v>
      </c>
      <c r="J3814" s="434"/>
    </row>
    <row r="3815" spans="1:10" ht="12.75" hidden="1" customHeight="1" outlineLevel="1" x14ac:dyDescent="0.25">
      <c r="A3815" s="1911">
        <v>0.02</v>
      </c>
      <c r="B3815" s="2826" t="s">
        <v>9173</v>
      </c>
      <c r="C3815" s="2829">
        <v>458.11</v>
      </c>
      <c r="D3815" s="2830">
        <f>VLOOKUP(H3815,indexy!$C$44:$D$823,2,FALSE)</f>
        <v>632.20000000000005</v>
      </c>
      <c r="E3815" s="2064">
        <f t="shared" si="113"/>
        <v>0.380017899631093</v>
      </c>
      <c r="F3815" s="2065">
        <f t="shared" si="112"/>
        <v>7.60035799262186E-3</v>
      </c>
      <c r="G3815" s="415"/>
      <c r="H3815" s="415" t="str">
        <f>VLOOKUP(B3815,indexy!$A$44:$D$823,3,FALSE)</f>
        <v>SLHN SE Equity</v>
      </c>
      <c r="J3815" s="434"/>
    </row>
    <row r="3816" spans="1:10" ht="12.75" hidden="1" customHeight="1" outlineLevel="1" x14ac:dyDescent="0.25">
      <c r="A3816" s="1911">
        <v>0.02</v>
      </c>
      <c r="B3816" s="2826" t="s">
        <v>1239</v>
      </c>
      <c r="C3816" s="2829">
        <v>503.26</v>
      </c>
      <c r="D3816" s="2830">
        <f>VLOOKUP(H3816,indexy!$C$44:$D$823,2,FALSE)</f>
        <v>551.4</v>
      </c>
      <c r="E3816" s="2064">
        <f t="shared" si="113"/>
        <v>9.5656320788459315E-2</v>
      </c>
      <c r="F3816" s="2065">
        <f t="shared" si="112"/>
        <v>1.9131264157691862E-3</v>
      </c>
      <c r="G3816" s="415"/>
      <c r="H3816" s="415" t="str">
        <f>VLOOKUP(B3816,indexy!$A$44:$D$823,3,FALSE)</f>
        <v>SCMN SE Equity</v>
      </c>
      <c r="J3816" s="434"/>
    </row>
    <row r="3817" spans="1:10" ht="12.75" hidden="1" customHeight="1" outlineLevel="1" x14ac:dyDescent="0.25">
      <c r="A3817" s="1911">
        <v>0.04</v>
      </c>
      <c r="B3817" s="2826" t="s">
        <v>3921</v>
      </c>
      <c r="C3817" s="2829">
        <v>6.1925999999999997</v>
      </c>
      <c r="D3817" s="2830">
        <f>VLOOKUP(H3817,indexy!$C$44:$D$823,2,FALSE)</f>
        <v>7.66</v>
      </c>
      <c r="E3817" s="2064">
        <f t="shared" si="113"/>
        <v>0.23696024287052286</v>
      </c>
      <c r="F3817" s="2065">
        <f t="shared" si="112"/>
        <v>9.4784097148209144E-3</v>
      </c>
      <c r="G3817" s="415"/>
      <c r="H3817" s="415" t="str">
        <f>VLOOKUP(B3817,indexy!$A$44:$D$823,3,FALSE)</f>
        <v>TRN IM Equity</v>
      </c>
      <c r="J3817" s="434"/>
    </row>
    <row r="3818" spans="1:10" ht="12.75" hidden="1" customHeight="1" outlineLevel="1" x14ac:dyDescent="0.25">
      <c r="A3818" s="1911">
        <v>0.03</v>
      </c>
      <c r="B3818" s="2826" t="s">
        <v>2983</v>
      </c>
      <c r="C3818" s="2829">
        <v>9.8135999999999992</v>
      </c>
      <c r="D3818" s="2830">
        <f>VLOOKUP(H3818,indexy!$C$44:$D$823,2,FALSE)/100</f>
        <v>10.29</v>
      </c>
      <c r="E3818" s="2064">
        <f t="shared" si="113"/>
        <v>4.8544876497921274E-2</v>
      </c>
      <c r="F3818" s="2065">
        <f>E3818*A3818</f>
        <v>1.4563462949376382E-3</v>
      </c>
      <c r="G3818" s="415"/>
      <c r="H3818" s="415" t="str">
        <f>VLOOKUP(B3818,indexy!$A$44:$D$823,3,FALSE)</f>
        <v>UU/ LN Equity</v>
      </c>
      <c r="J3818" s="434"/>
    </row>
    <row r="3819" spans="1:10" ht="12.75" hidden="1" customHeight="1" outlineLevel="1" x14ac:dyDescent="0.25">
      <c r="A3819" s="1911">
        <v>0.03</v>
      </c>
      <c r="B3819" s="2826" t="s">
        <v>3903</v>
      </c>
      <c r="C3819" s="2829">
        <v>32.604999999999997</v>
      </c>
      <c r="D3819" s="2830">
        <f>VLOOKUP(H3819,indexy!$C$44:$D$946,2,FALSE)</f>
        <v>30.87</v>
      </c>
      <c r="E3819" s="2064">
        <f t="shared" si="113"/>
        <v>-5.3212697439043E-2</v>
      </c>
      <c r="F3819" s="2065">
        <f>E3819*A3819</f>
        <v>-1.59638092317129E-3</v>
      </c>
      <c r="G3819" s="415"/>
      <c r="H3819" s="415" t="str">
        <f>VLOOKUP(B3819,indexy!$A$44:$D$946,3,FALSE)</f>
        <v>UPM FH Equity</v>
      </c>
      <c r="J3819" s="434"/>
    </row>
    <row r="3820" spans="1:10" ht="12.75" hidden="1" customHeight="1" outlineLevel="1" x14ac:dyDescent="0.25">
      <c r="A3820" s="1911">
        <v>0.06</v>
      </c>
      <c r="B3820" s="2826" t="s">
        <v>255</v>
      </c>
      <c r="C3820" s="2829">
        <v>58.152000000000001</v>
      </c>
      <c r="D3820" s="2830">
        <f>VLOOKUP(H3820,indexy!$C$44:$D$823,2,FALSE)</f>
        <v>41.96</v>
      </c>
      <c r="E3820" s="2064">
        <f t="shared" si="113"/>
        <v>-0.27844270188471587</v>
      </c>
      <c r="F3820" s="2065">
        <f>E3820*A3820</f>
        <v>-1.670656211308295E-2</v>
      </c>
      <c r="G3820" s="415"/>
      <c r="H3820" s="415" t="str">
        <f>VLOOKUP(B3820,indexy!$A$44:$D$823,3,FALSE)</f>
        <v>VZ UN Equity</v>
      </c>
      <c r="J3820" s="434"/>
    </row>
    <row r="3821" spans="1:10" ht="12.75" hidden="1" customHeight="1" outlineLevel="1" x14ac:dyDescent="0.25">
      <c r="A3821" s="1911">
        <v>0.03</v>
      </c>
      <c r="B3821" s="2826" t="s">
        <v>9961</v>
      </c>
      <c r="C3821" s="2829">
        <v>51.142000000000003</v>
      </c>
      <c r="D3821" s="2830">
        <f>VLOOKUP(H3821,indexy!$C$44:$D$823,2,FALSE)</f>
        <v>27.4</v>
      </c>
      <c r="E3821" s="2064">
        <f t="shared" si="113"/>
        <v>-0.46423683078487354</v>
      </c>
      <c r="F3821" s="2065">
        <f>E3821*A3821</f>
        <v>-1.3927104923546206E-2</v>
      </c>
      <c r="G3821" s="415"/>
      <c r="H3821" s="415" t="str">
        <f>VLOOKUP(B3821,indexy!$A$44:$D$823,3,FALSE)</f>
        <v>VNA GY Equity</v>
      </c>
      <c r="J3821" s="434"/>
    </row>
    <row r="3822" spans="1:10" ht="12.75" hidden="1" customHeight="1" outlineLevel="1" x14ac:dyDescent="0.25">
      <c r="A3822" s="1911">
        <v>0.02</v>
      </c>
      <c r="B3822" s="2832" t="s">
        <v>5522</v>
      </c>
      <c r="C3822" s="2833">
        <v>54.225000000000001</v>
      </c>
      <c r="D3822" s="2834">
        <f>VLOOKUP(H3822,indexy!$C$44:$D$823,2,FALSE)</f>
        <v>68.400000000000006</v>
      </c>
      <c r="E3822" s="2064">
        <f t="shared" si="113"/>
        <v>0.26141078838174292</v>
      </c>
      <c r="F3822" s="2065">
        <f>E3822*A3822</f>
        <v>5.2282157676348589E-3</v>
      </c>
      <c r="G3822" s="415"/>
      <c r="H3822" s="415" t="str">
        <f>VLOOKUP(B3822,indexy!$A$44:$D$823,3,FALSE)</f>
        <v>WES AT Equity</v>
      </c>
      <c r="J3822" s="434"/>
    </row>
    <row r="3823" spans="1:10" ht="12.75" hidden="1" customHeight="1" outlineLevel="1" x14ac:dyDescent="0.25">
      <c r="A3823" s="2048" t="s">
        <v>2734</v>
      </c>
      <c r="B3823" s="2049"/>
      <c r="C3823" s="2051">
        <v>100</v>
      </c>
      <c r="D3823" s="2051"/>
      <c r="E3823" s="2059"/>
      <c r="F3823" s="2059">
        <f>SUM(F3793:F3822)</f>
        <v>6.8377024795965718E-2</v>
      </c>
      <c r="G3823" s="415"/>
      <c r="H3823" s="415"/>
    </row>
    <row r="3824" spans="1:10" ht="12.75" hidden="1" customHeight="1" outlineLevel="1" x14ac:dyDescent="0.25">
      <c r="A3824" s="2053"/>
      <c r="B3824" s="2054">
        <v>46327</v>
      </c>
      <c r="C3824" s="2055">
        <v>100</v>
      </c>
      <c r="D3824" s="2055"/>
      <c r="E3824" s="2056">
        <f>IF(D3824="",$F$3823,D3824/C3824-1)</f>
        <v>6.8377024795965718E-2</v>
      </c>
      <c r="F3824" s="2072"/>
      <c r="G3824" s="415"/>
      <c r="H3824" s="415"/>
    </row>
    <row r="3825" spans="1:18" ht="12.75" hidden="1" customHeight="1" outlineLevel="1" x14ac:dyDescent="0.25">
      <c r="A3825" s="2053"/>
      <c r="B3825" s="2054">
        <v>46357</v>
      </c>
      <c r="C3825" s="2055">
        <v>100</v>
      </c>
      <c r="D3825" s="2058"/>
      <c r="E3825" s="2056">
        <f t="shared" ref="E3825:E3835" si="114">IF(D3825="",$F$3823,D3825/C3825-1)</f>
        <v>6.8377024795965718E-2</v>
      </c>
      <c r="F3825" s="2072"/>
      <c r="G3825" s="415"/>
      <c r="H3825" s="415"/>
    </row>
    <row r="3826" spans="1:18" ht="12.75" hidden="1" customHeight="1" outlineLevel="1" x14ac:dyDescent="0.25">
      <c r="A3826" s="2053"/>
      <c r="B3826" s="2054">
        <v>46388</v>
      </c>
      <c r="C3826" s="2055">
        <v>100</v>
      </c>
      <c r="D3826" s="2058"/>
      <c r="E3826" s="2056">
        <f t="shared" si="114"/>
        <v>6.8377024795965718E-2</v>
      </c>
      <c r="F3826" s="2072"/>
      <c r="G3826" s="415"/>
      <c r="H3826" s="415"/>
    </row>
    <row r="3827" spans="1:18" ht="12.75" hidden="1" customHeight="1" outlineLevel="1" x14ac:dyDescent="0.25">
      <c r="A3827" s="2053"/>
      <c r="B3827" s="2054">
        <v>46419</v>
      </c>
      <c r="C3827" s="2055">
        <v>100</v>
      </c>
      <c r="D3827" s="2058"/>
      <c r="E3827" s="2056">
        <f t="shared" si="114"/>
        <v>6.8377024795965718E-2</v>
      </c>
      <c r="F3827" s="2072"/>
      <c r="G3827" s="415"/>
      <c r="H3827" s="415"/>
    </row>
    <row r="3828" spans="1:18" ht="12.75" hidden="1" customHeight="1" outlineLevel="1" x14ac:dyDescent="0.25">
      <c r="A3828" s="2053"/>
      <c r="B3828" s="2054">
        <v>46447</v>
      </c>
      <c r="C3828" s="2055">
        <v>100</v>
      </c>
      <c r="D3828" s="2058"/>
      <c r="E3828" s="2056">
        <f t="shared" si="114"/>
        <v>6.8377024795965718E-2</v>
      </c>
      <c r="F3828" s="2072"/>
      <c r="G3828" s="415"/>
      <c r="H3828" s="415"/>
    </row>
    <row r="3829" spans="1:18" ht="12.75" hidden="1" customHeight="1" outlineLevel="1" x14ac:dyDescent="0.25">
      <c r="A3829" s="2053"/>
      <c r="B3829" s="2054">
        <v>46478</v>
      </c>
      <c r="C3829" s="2055">
        <v>100</v>
      </c>
      <c r="D3829" s="2058"/>
      <c r="E3829" s="2056">
        <f t="shared" si="114"/>
        <v>6.8377024795965718E-2</v>
      </c>
      <c r="F3829" s="2072"/>
      <c r="G3829" s="415"/>
      <c r="H3829" s="415"/>
    </row>
    <row r="3830" spans="1:18" ht="12.75" hidden="1" customHeight="1" outlineLevel="1" x14ac:dyDescent="0.25">
      <c r="A3830" s="2053"/>
      <c r="B3830" s="2054">
        <v>46508</v>
      </c>
      <c r="C3830" s="2055">
        <v>100</v>
      </c>
      <c r="D3830" s="2058"/>
      <c r="E3830" s="2056">
        <f t="shared" si="114"/>
        <v>6.8377024795965718E-2</v>
      </c>
      <c r="F3830" s="2072"/>
      <c r="G3830" s="415"/>
      <c r="H3830" s="415"/>
    </row>
    <row r="3831" spans="1:18" ht="12.75" hidden="1" customHeight="1" outlineLevel="1" x14ac:dyDescent="0.25">
      <c r="A3831" s="2053"/>
      <c r="B3831" s="2054">
        <v>46539</v>
      </c>
      <c r="C3831" s="2055">
        <v>100</v>
      </c>
      <c r="D3831" s="2058"/>
      <c r="E3831" s="2056">
        <f t="shared" si="114"/>
        <v>6.8377024795965718E-2</v>
      </c>
      <c r="F3831" s="2072"/>
      <c r="G3831" s="415"/>
      <c r="H3831" s="415"/>
    </row>
    <row r="3832" spans="1:18" ht="12.75" hidden="1" customHeight="1" outlineLevel="1" x14ac:dyDescent="0.25">
      <c r="A3832" s="2053"/>
      <c r="B3832" s="2054">
        <v>46569</v>
      </c>
      <c r="C3832" s="2055">
        <v>100</v>
      </c>
      <c r="D3832" s="2058"/>
      <c r="E3832" s="2056">
        <f t="shared" si="114"/>
        <v>6.8377024795965718E-2</v>
      </c>
      <c r="F3832" s="2072"/>
      <c r="G3832" s="415"/>
      <c r="H3832" s="415"/>
    </row>
    <row r="3833" spans="1:18" ht="12.75" hidden="1" customHeight="1" outlineLevel="1" x14ac:dyDescent="0.25">
      <c r="A3833" s="2053"/>
      <c r="B3833" s="2054">
        <v>46600</v>
      </c>
      <c r="C3833" s="2055">
        <v>100</v>
      </c>
      <c r="D3833" s="2058"/>
      <c r="E3833" s="2056">
        <f t="shared" si="114"/>
        <v>6.8377024795965718E-2</v>
      </c>
      <c r="F3833" s="2072"/>
      <c r="G3833" s="415"/>
      <c r="H3833" s="415"/>
    </row>
    <row r="3834" spans="1:18" ht="12.75" hidden="1" customHeight="1" outlineLevel="1" x14ac:dyDescent="0.25">
      <c r="A3834" s="2053"/>
      <c r="B3834" s="2054">
        <v>46631</v>
      </c>
      <c r="C3834" s="2055">
        <v>100</v>
      </c>
      <c r="D3834" s="2058"/>
      <c r="E3834" s="2056">
        <f t="shared" si="114"/>
        <v>6.8377024795965718E-2</v>
      </c>
      <c r="F3834" s="2072"/>
      <c r="G3834" s="415"/>
      <c r="H3834" s="415"/>
    </row>
    <row r="3835" spans="1:18" ht="12.75" hidden="1" customHeight="1" outlineLevel="1" x14ac:dyDescent="0.25">
      <c r="A3835" s="2053"/>
      <c r="B3835" s="2054">
        <v>46661</v>
      </c>
      <c r="C3835" s="2055">
        <v>100</v>
      </c>
      <c r="D3835" s="2058"/>
      <c r="E3835" s="2056">
        <f t="shared" si="114"/>
        <v>6.8377024795965718E-2</v>
      </c>
      <c r="F3835" s="2072"/>
      <c r="G3835" s="415"/>
      <c r="H3835" s="415"/>
    </row>
    <row r="3836" spans="1:18" s="444" customFormat="1" ht="12.75" hidden="1" customHeight="1" outlineLevel="1" x14ac:dyDescent="0.25">
      <c r="A3836" s="2067" t="s">
        <v>2734</v>
      </c>
      <c r="B3836" s="2068"/>
      <c r="C3836" s="2058"/>
      <c r="D3836" s="2069" t="s">
        <v>2465</v>
      </c>
      <c r="E3836" s="2070">
        <f>AVERAGE(E3824:E3835)</f>
        <v>6.8377024795965732E-2</v>
      </c>
      <c r="F3836" s="2071">
        <f>((((E3836*100)+100)-I3793)/100)</f>
        <v>6.959502479596566E-2</v>
      </c>
    </row>
    <row r="3837" spans="1:18" collapsed="1" x14ac:dyDescent="0.25">
      <c r="A3837" s="3799" t="s">
        <v>10603</v>
      </c>
      <c r="B3837" s="3800"/>
      <c r="C3837" s="3800"/>
      <c r="D3837" s="3800"/>
      <c r="E3837" s="18"/>
      <c r="F3837" s="186">
        <f>MAX(-10%,MIN(F3836,40%))</f>
        <v>6.959502479596566E-2</v>
      </c>
      <c r="G3837" s="415"/>
    </row>
    <row r="3839" spans="1:18" ht="12.75" hidden="1" customHeight="1" outlineLevel="1" x14ac:dyDescent="0.25">
      <c r="A3839" s="2606" t="s">
        <v>4156</v>
      </c>
      <c r="B3839" s="2606" t="s">
        <v>4153</v>
      </c>
      <c r="C3839" s="2245" t="s">
        <v>112</v>
      </c>
      <c r="D3839" s="2608" t="s">
        <v>4155</v>
      </c>
      <c r="E3839" s="2606" t="s">
        <v>4154</v>
      </c>
      <c r="F3839" s="2608" t="s">
        <v>2519</v>
      </c>
      <c r="G3839" s="12"/>
      <c r="H3839" s="415"/>
      <c r="I3839" s="412" t="s">
        <v>6964</v>
      </c>
      <c r="J3839" s="3360" t="s">
        <v>10630</v>
      </c>
      <c r="K3839" s="3360"/>
      <c r="L3839" s="3360"/>
      <c r="M3839" s="3360"/>
      <c r="N3839" s="3360"/>
      <c r="O3839" s="3360"/>
      <c r="P3839" s="1462"/>
      <c r="Q3839" s="1462"/>
      <c r="R3839" s="1462"/>
    </row>
    <row r="3840" spans="1:18" ht="12.75" hidden="1" customHeight="1" outlineLevel="1" x14ac:dyDescent="0.3">
      <c r="A3840" s="1911">
        <v>0.03</v>
      </c>
      <c r="B3840" s="2826" t="s">
        <v>6562</v>
      </c>
      <c r="C3840" s="3359">
        <v>64.754000000000005</v>
      </c>
      <c r="D3840" s="2828">
        <f>VLOOKUP(H3840,indexy!$C$44:$D$823,2,FALSE)</f>
        <v>35.659999999999997</v>
      </c>
      <c r="E3840" s="2061">
        <f>D3840/C3840-1</f>
        <v>-0.4493004293171079</v>
      </c>
      <c r="F3840" s="2062">
        <f>E3840*A3840</f>
        <v>-1.3479012879513237E-2</v>
      </c>
      <c r="G3840" s="415"/>
      <c r="H3840" s="415" t="str">
        <f>VLOOKUP(B3840,indexy!$A$44:$D$823,3,FALSE)</f>
        <v>ADEN SE Equity</v>
      </c>
      <c r="I3840" s="412">
        <f>IF(J3840="",100,MIN(100,J3840:Y3840))</f>
        <v>100</v>
      </c>
      <c r="J3840" s="412">
        <v>102.33450000000001</v>
      </c>
    </row>
    <row r="3841" spans="1:11" ht="12.75" hidden="1" customHeight="1" outlineLevel="1" x14ac:dyDescent="0.3">
      <c r="A3841" s="1911">
        <v>0.04</v>
      </c>
      <c r="B3841" s="2826" t="s">
        <v>1176</v>
      </c>
      <c r="C3841" s="3359">
        <v>50.902000000000001</v>
      </c>
      <c r="D3841" s="2830">
        <f>VLOOKUP(H3841,indexy!$C$44:$D$823,2,FALSE)</f>
        <v>42.92</v>
      </c>
      <c r="E3841" s="2064">
        <f>D3841/C3841-1</f>
        <v>-0.15681112726415458</v>
      </c>
      <c r="F3841" s="2065">
        <f t="shared" ref="F3841:F3864" si="115">E3841*A3841</f>
        <v>-6.2724450905661836E-3</v>
      </c>
      <c r="G3841" s="415"/>
      <c r="H3841" s="415" t="str">
        <f>VLOOKUP(B3841,indexy!$A$44:$D$823,3,FALSE)</f>
        <v>AGS BB Equity</v>
      </c>
      <c r="I3841" s="422">
        <f>+(((E3883*100)+100)-I3840)/100</f>
        <v>3.746706249885165E-2</v>
      </c>
    </row>
    <row r="3842" spans="1:11" ht="12.75" hidden="1" customHeight="1" outlineLevel="1" x14ac:dyDescent="0.3">
      <c r="A3842" s="1911">
        <v>0.03</v>
      </c>
      <c r="B3842" s="2826" t="s">
        <v>6799</v>
      </c>
      <c r="C3842" s="3359">
        <v>17.310500000000001</v>
      </c>
      <c r="D3842" s="2830">
        <f>VLOOKUP(H3842,indexy!$C$44:$D$823,2,FALSE)</f>
        <v>9.9</v>
      </c>
      <c r="E3842" s="2064">
        <f t="shared" ref="E3842:E3869" si="116">D3842/C3842-1</f>
        <v>-0.42809277606077234</v>
      </c>
      <c r="F3842" s="2065">
        <f t="shared" si="115"/>
        <v>-1.2842783281823169E-2</v>
      </c>
      <c r="G3842" s="415"/>
      <c r="H3842" s="415" t="str">
        <f>VLOOKUP(B3842,indexy!$A$44:$D$823,3,FALSE)</f>
        <v>AGNC UW Equity</v>
      </c>
      <c r="J3842" s="434"/>
    </row>
    <row r="3843" spans="1:11" ht="12.75" hidden="1" customHeight="1" outlineLevel="1" x14ac:dyDescent="0.3">
      <c r="A3843" s="1911">
        <v>0.03</v>
      </c>
      <c r="B3843" s="2826" t="s">
        <v>2697</v>
      </c>
      <c r="C3843" s="3359">
        <v>17.000499999999999</v>
      </c>
      <c r="D3843" s="2830">
        <f>VLOOKUP(H3843,indexy!$C$44:$D$823,2,FALSE)</f>
        <v>23.46</v>
      </c>
      <c r="E3843" s="2064">
        <f t="shared" si="116"/>
        <v>0.37995941295844249</v>
      </c>
      <c r="F3843" s="2065">
        <f t="shared" si="115"/>
        <v>1.1398782388753274E-2</v>
      </c>
      <c r="G3843" s="415"/>
      <c r="H3843" s="415" t="str">
        <f>VLOOKUP(B3843,indexy!$A$44:$D$823,3,FALSE)</f>
        <v>G IM Equity</v>
      </c>
      <c r="J3843" s="434"/>
      <c r="K3843" s="37"/>
    </row>
    <row r="3844" spans="1:11" ht="12.75" hidden="1" customHeight="1" outlineLevel="1" x14ac:dyDescent="0.3">
      <c r="A3844" s="1911">
        <v>0.02</v>
      </c>
      <c r="B3844" s="2826" t="s">
        <v>3998</v>
      </c>
      <c r="C3844" s="3359">
        <v>30.041</v>
      </c>
      <c r="D3844" s="2830">
        <f>VLOOKUP(H3844,indexy!$C$44:$D$823,2,FALSE)</f>
        <v>17.600000000000001</v>
      </c>
      <c r="E3844" s="2064">
        <f t="shared" si="116"/>
        <v>-0.41413401684364692</v>
      </c>
      <c r="F3844" s="2065">
        <f t="shared" si="115"/>
        <v>-8.2826803368729381E-3</v>
      </c>
      <c r="G3844" s="415"/>
      <c r="H3844" s="415" t="str">
        <f>VLOOKUP(B3844,indexy!$A$44:$D$823,3,FALSE)</f>
        <v>T UN Equity</v>
      </c>
      <c r="J3844" s="434"/>
    </row>
    <row r="3845" spans="1:11" ht="12.75" hidden="1" customHeight="1" outlineLevel="1" x14ac:dyDescent="0.3">
      <c r="A3845" s="1911">
        <v>0.08</v>
      </c>
      <c r="B3845" s="2826" t="s">
        <v>218</v>
      </c>
      <c r="C3845" s="3359">
        <v>23.486000000000001</v>
      </c>
      <c r="D3845" s="2830">
        <f>VLOOKUP(H3845,indexy!$C$44:$D$823,2,FALSE)</f>
        <v>34.814999999999998</v>
      </c>
      <c r="E3845" s="2064">
        <f t="shared" si="116"/>
        <v>0.48237247722047161</v>
      </c>
      <c r="F3845" s="2065">
        <f t="shared" si="115"/>
        <v>3.8589798177637732E-2</v>
      </c>
      <c r="G3845" s="415"/>
      <c r="H3845" s="415" t="str">
        <f>VLOOKUP(B3845,indexy!$A$44:$D$823,3,FALSE)</f>
        <v>CS FP Equity</v>
      </c>
      <c r="J3845" s="434"/>
    </row>
    <row r="3846" spans="1:11" ht="12.75" hidden="1" customHeight="1" outlineLevel="1" x14ac:dyDescent="0.3">
      <c r="A3846" s="1911">
        <v>0.03</v>
      </c>
      <c r="B3846" s="2826" t="s">
        <v>807</v>
      </c>
      <c r="C3846" s="3359">
        <v>58.16</v>
      </c>
      <c r="D3846" s="2830">
        <f>VLOOKUP(H3846,indexy!$C$44:$D$823,2,FALSE)</f>
        <v>46.03</v>
      </c>
      <c r="E3846" s="2064">
        <f t="shared" si="116"/>
        <v>-0.20856258596973853</v>
      </c>
      <c r="F3846" s="2065">
        <f t="shared" si="115"/>
        <v>-6.2568775790921554E-3</v>
      </c>
      <c r="G3846" s="415"/>
      <c r="H3846" s="415" t="str">
        <f>VLOOKUP(B3846,indexy!$A$44:$D$823,3,FALSE)</f>
        <v>BCE CT Equity</v>
      </c>
      <c r="J3846" s="434"/>
    </row>
    <row r="3847" spans="1:11" ht="12.75" hidden="1" customHeight="1" outlineLevel="1" x14ac:dyDescent="0.3">
      <c r="A3847" s="1911">
        <v>0.04</v>
      </c>
      <c r="B3847" s="2826" t="s">
        <v>3954</v>
      </c>
      <c r="C3847" s="3359">
        <f>124.323/2</f>
        <v>62.161499999999997</v>
      </c>
      <c r="D3847" s="2830">
        <f>VLOOKUP(H3847,indexy!$C$44:$D$823,2,FALSE)</f>
        <v>68.67</v>
      </c>
      <c r="E3847" s="2064">
        <f t="shared" si="116"/>
        <v>0.10470307183706962</v>
      </c>
      <c r="F3847" s="2065">
        <f t="shared" si="115"/>
        <v>4.1881228734827851E-3</v>
      </c>
      <c r="G3847" s="415"/>
      <c r="H3847" s="415" t="str">
        <f>VLOOKUP(B3847,indexy!$A$44:$D$823,3,FALSE)</f>
        <v>CM CT Equity</v>
      </c>
      <c r="J3847" s="434"/>
    </row>
    <row r="3848" spans="1:11" ht="12.75" hidden="1" customHeight="1" outlineLevel="1" x14ac:dyDescent="0.3">
      <c r="A3848" s="1911">
        <v>7.0000000000000007E-2</v>
      </c>
      <c r="B3848" s="2826" t="s">
        <v>6267</v>
      </c>
      <c r="C3848" s="3359">
        <v>18.400500000000001</v>
      </c>
      <c r="D3848" s="2830">
        <f>VLOOKUP(H3848,indexy!$C$44:$D$823,2,FALSE)</f>
        <v>13.765000000000001</v>
      </c>
      <c r="E3848" s="2064">
        <f t="shared" si="116"/>
        <v>-0.25192250210592104</v>
      </c>
      <c r="F3848" s="2065">
        <f t="shared" si="115"/>
        <v>-1.7634575147414476E-2</v>
      </c>
      <c r="G3848" s="415"/>
      <c r="H3848" s="415" t="str">
        <f>VLOOKUP(B3848,indexy!$A$44:$D$823,3,FALSE)</f>
        <v>ENG SQ Equity</v>
      </c>
      <c r="J3848" s="434"/>
    </row>
    <row r="3849" spans="1:11" ht="12.75" hidden="1" customHeight="1" outlineLevel="1" x14ac:dyDescent="0.3">
      <c r="A3849" s="1911">
        <v>0.03</v>
      </c>
      <c r="B3849" s="2826" t="s">
        <v>7855</v>
      </c>
      <c r="C3849" s="3359">
        <v>46.427999999999997</v>
      </c>
      <c r="D3849" s="2830">
        <f>VLOOKUP(H3849,indexy!$C$44:$D$823,2,FALSE)</f>
        <v>48.95</v>
      </c>
      <c r="E3849" s="2064">
        <f t="shared" si="116"/>
        <v>5.4320668562074736E-2</v>
      </c>
      <c r="F3849" s="2065">
        <f t="shared" si="115"/>
        <v>1.6296200568622419E-3</v>
      </c>
      <c r="G3849" s="415"/>
      <c r="H3849" s="415" t="str">
        <f>VLOOKUP(B3849,indexy!$A$44:$D$823,3,FALSE)</f>
        <v>ENB CT Equity</v>
      </c>
      <c r="J3849" s="434"/>
    </row>
    <row r="3850" spans="1:11" ht="12.75" hidden="1" customHeight="1" outlineLevel="1" x14ac:dyDescent="0.3">
      <c r="A3850" s="1911">
        <v>0.06</v>
      </c>
      <c r="B3850" s="2826" t="s">
        <v>9171</v>
      </c>
      <c r="C3850" s="3359">
        <v>22.26</v>
      </c>
      <c r="D3850" s="2830">
        <f>VLOOKUP(H3850,indexy!$C$44:$D$823,2,FALSE)</f>
        <v>17.164999999999999</v>
      </c>
      <c r="E3850" s="2064">
        <f t="shared" si="116"/>
        <v>-0.22888589398023373</v>
      </c>
      <c r="F3850" s="2065">
        <f t="shared" si="115"/>
        <v>-1.3733153638814024E-2</v>
      </c>
      <c r="G3850" s="415"/>
      <c r="H3850" s="415" t="str">
        <f>VLOOKUP(B3850,indexy!$A$44:$D$823,3,FALSE)</f>
        <v>ELE SQ Equity</v>
      </c>
      <c r="J3850" s="434"/>
    </row>
    <row r="3851" spans="1:11" ht="12.75" hidden="1" customHeight="1" outlineLevel="1" x14ac:dyDescent="0.3">
      <c r="A3851" s="1911">
        <v>0.02</v>
      </c>
      <c r="B3851" s="2826" t="s">
        <v>10569</v>
      </c>
      <c r="C3851" s="3359">
        <v>20.952999999999999</v>
      </c>
      <c r="D3851" s="2830">
        <f>VLOOKUP(H3851,indexy!$C$44:$D$823,2,FALSE)</f>
        <v>25.7</v>
      </c>
      <c r="E3851" s="2064">
        <f t="shared" si="116"/>
        <v>0.22655466997565976</v>
      </c>
      <c r="F3851" s="2065">
        <f t="shared" si="115"/>
        <v>4.531093399513195E-3</v>
      </c>
      <c r="G3851" s="415"/>
      <c r="H3851" s="415" t="str">
        <f>VLOOKUP(B3851,indexy!$A$44:$D$823,3,FALSE)</f>
        <v>FMG AT Equity</v>
      </c>
      <c r="J3851" s="434"/>
    </row>
    <row r="3852" spans="1:11" ht="12.75" hidden="1" customHeight="1" outlineLevel="1" x14ac:dyDescent="0.3">
      <c r="A3852" s="1911">
        <v>0.06</v>
      </c>
      <c r="B3852" s="2826" t="s">
        <v>4268</v>
      </c>
      <c r="C3852" s="3359">
        <v>22.523</v>
      </c>
      <c r="D3852" s="2830">
        <f>VLOOKUP(H3852,indexy!$C$44:$D$823,2,FALSE)</f>
        <v>11.445</v>
      </c>
      <c r="E3852" s="2064">
        <f t="shared" si="116"/>
        <v>-0.4918527727212183</v>
      </c>
      <c r="F3852" s="2065">
        <f t="shared" si="115"/>
        <v>-2.9511166363273098E-2</v>
      </c>
      <c r="G3852" s="415"/>
      <c r="H3852" s="415" t="str">
        <f>VLOOKUP(B3852,indexy!$A$44:$D$823,3,FALSE)</f>
        <v>FORTUM FH Equity</v>
      </c>
      <c r="J3852" s="434"/>
    </row>
    <row r="3853" spans="1:11" ht="12.75" hidden="1" customHeight="1" outlineLevel="1" x14ac:dyDescent="0.3">
      <c r="A3853" s="1911">
        <v>0.02</v>
      </c>
      <c r="B3853" s="2826" t="s">
        <v>7573</v>
      </c>
      <c r="C3853" s="3359">
        <v>40.860999999999997</v>
      </c>
      <c r="D3853" s="2830">
        <f>VLOOKUP(H3853,indexy!$C$44:$D$823,2,FALSE)</f>
        <v>36.9</v>
      </c>
      <c r="E3853" s="2064">
        <f t="shared" si="116"/>
        <v>-9.6938400920192791E-2</v>
      </c>
      <c r="F3853" s="2065">
        <f t="shared" si="115"/>
        <v>-1.9387680184038559E-3</v>
      </c>
      <c r="G3853" s="415"/>
      <c r="H3853" s="415" t="str">
        <f>VLOOKUP(B3853,indexy!$A$44:$D$823,3,FALSE)</f>
        <v>KHC UW Equity</v>
      </c>
      <c r="J3853" s="434"/>
    </row>
    <row r="3854" spans="1:11" ht="12.75" hidden="1" customHeight="1" outlineLevel="1" x14ac:dyDescent="0.3">
      <c r="A3854" s="1911">
        <v>0.02</v>
      </c>
      <c r="B3854" s="2826" t="s">
        <v>1238</v>
      </c>
      <c r="C3854" s="3359">
        <v>9.2932000000000006</v>
      </c>
      <c r="D3854" s="2830">
        <f>VLOOKUP(H3854,indexy!$C$44:$D$823,2,FALSE)</f>
        <v>13.81</v>
      </c>
      <c r="E3854" s="2064">
        <f t="shared" si="116"/>
        <v>0.48603279817500966</v>
      </c>
      <c r="F3854" s="2065">
        <f t="shared" si="115"/>
        <v>9.7206559635001927E-3</v>
      </c>
      <c r="G3854" s="415"/>
      <c r="H3854" s="415" t="str">
        <f>VLOOKUP(B3854,indexy!$A$44:$D$823,3,FALSE)</f>
        <v>MB IM Equity</v>
      </c>
      <c r="J3854" s="434"/>
    </row>
    <row r="3855" spans="1:11" ht="12.75" hidden="1" customHeight="1" outlineLevel="1" x14ac:dyDescent="0.3">
      <c r="A3855" s="1911">
        <v>0.02</v>
      </c>
      <c r="B3855" s="2826" t="s">
        <v>247</v>
      </c>
      <c r="C3855" s="3359">
        <f>3039.3/3</f>
        <v>1013.1</v>
      </c>
      <c r="D3855" s="2830">
        <f>VLOOKUP(H3855,indexy!$C$44:$D$823,2,FALSE)</f>
        <v>3483</v>
      </c>
      <c r="E3855" s="2064">
        <f t="shared" si="116"/>
        <v>2.4379626887770209</v>
      </c>
      <c r="F3855" s="2065">
        <f t="shared" si="115"/>
        <v>4.8759253775540419E-2</v>
      </c>
      <c r="G3855" s="415"/>
      <c r="H3855" s="415" t="str">
        <f>VLOOKUP(B3855,indexy!$A$44:$D$823,3,FALSE)</f>
        <v>8058 JT Equity</v>
      </c>
      <c r="J3855" s="434"/>
    </row>
    <row r="3856" spans="1:11" ht="12.75" hidden="1" customHeight="1" outlineLevel="1" x14ac:dyDescent="0.3">
      <c r="A3856" s="1911">
        <v>0.03</v>
      </c>
      <c r="B3856" s="2826" t="s">
        <v>8527</v>
      </c>
      <c r="C3856" s="3359">
        <v>41.997</v>
      </c>
      <c r="D3856" s="2830">
        <f>VLOOKUP(H3856,indexy!$C$44:$D$823,2,FALSE)</f>
        <v>42.82</v>
      </c>
      <c r="E3856" s="2064">
        <f t="shared" si="116"/>
        <v>1.959663785508492E-2</v>
      </c>
      <c r="F3856" s="2065">
        <f t="shared" si="115"/>
        <v>5.8789913565254759E-4</v>
      </c>
      <c r="G3856" s="415"/>
      <c r="H3856" s="415" t="str">
        <f>VLOOKUP(B3856,indexy!$A$44:$D$823,3,FALSE)</f>
        <v>NN NA Equity</v>
      </c>
      <c r="J3856" s="434"/>
    </row>
    <row r="3857" spans="1:10" ht="12.75" hidden="1" customHeight="1" outlineLevel="1" x14ac:dyDescent="0.3">
      <c r="A3857" s="1911">
        <v>0.03</v>
      </c>
      <c r="B3857" s="2826" t="s">
        <v>5629</v>
      </c>
      <c r="C3857" s="3359">
        <v>15.073499999999999</v>
      </c>
      <c r="D3857" s="2830">
        <f>VLOOKUP(H3857,indexy!$C$44:$D$823,2,FALSE)</f>
        <v>15.805</v>
      </c>
      <c r="E3857" s="2064">
        <f t="shared" si="116"/>
        <v>4.8528875178293074E-2</v>
      </c>
      <c r="F3857" s="2065">
        <f t="shared" si="115"/>
        <v>1.4558662553487921E-3</v>
      </c>
      <c r="G3857" s="415"/>
      <c r="H3857" s="415" t="str">
        <f>VLOOKUP(B3857,indexy!$A$44:$D$823,3,FALSE)</f>
        <v>REE SQ Equity</v>
      </c>
      <c r="J3857" s="434"/>
    </row>
    <row r="3858" spans="1:10" ht="12.75" hidden="1" customHeight="1" outlineLevel="1" x14ac:dyDescent="0.3">
      <c r="A3858" s="1911">
        <v>0.02</v>
      </c>
      <c r="B3858" s="2826" t="s">
        <v>10556</v>
      </c>
      <c r="C3858" s="3359">
        <v>117.65</v>
      </c>
      <c r="D3858" s="2830">
        <f>VLOOKUP(H3858,indexy!$C$44:$D$823,2,FALSE)</f>
        <v>121.76</v>
      </c>
      <c r="E3858" s="2064">
        <f t="shared" si="116"/>
        <v>3.493412664683393E-2</v>
      </c>
      <c r="F3858" s="2065">
        <f t="shared" si="115"/>
        <v>6.9868253293667857E-4</v>
      </c>
      <c r="G3858" s="415"/>
      <c r="H3858" s="415" t="str">
        <f>VLOOKUP(B3858,indexy!$A$44:$D$823,3,FALSE)</f>
        <v>RIO AT Equity</v>
      </c>
      <c r="J3858" s="434"/>
    </row>
    <row r="3859" spans="1:10" ht="12.75" hidden="1" customHeight="1" outlineLevel="1" x14ac:dyDescent="0.3">
      <c r="A3859" s="1911">
        <v>0.03</v>
      </c>
      <c r="B3859" s="2826" t="s">
        <v>5519</v>
      </c>
      <c r="C3859" s="3359">
        <v>2.4689999999999999</v>
      </c>
      <c r="D3859" s="2830">
        <f>VLOOKUP(H3859,indexy!$C$44:$D$823,2,FALSE)/100</f>
        <v>2.7039999999999997</v>
      </c>
      <c r="E3859" s="2064">
        <f t="shared" si="116"/>
        <v>9.518023491292027E-2</v>
      </c>
      <c r="F3859" s="2065">
        <f t="shared" si="115"/>
        <v>2.8554070473876081E-3</v>
      </c>
      <c r="G3859" s="415"/>
      <c r="H3859" s="415" t="str">
        <f>VLOOKUP(B3859,indexy!$A$44:$D$823,3,FALSE)</f>
        <v>SBRY LN Equity</v>
      </c>
      <c r="J3859" s="434"/>
    </row>
    <row r="3860" spans="1:10" ht="12.75" hidden="1" customHeight="1" outlineLevel="1" x14ac:dyDescent="0.3">
      <c r="A3860" s="1911">
        <v>0.02</v>
      </c>
      <c r="B3860" s="2826" t="s">
        <v>6524</v>
      </c>
      <c r="C3860" s="3359">
        <v>106.535</v>
      </c>
      <c r="D3860" s="2830">
        <f>VLOOKUP(H3860,indexy!$C$44:$D$823,2,FALSE)</f>
        <v>144.94999999999999</v>
      </c>
      <c r="E3860" s="2064">
        <f t="shared" si="116"/>
        <v>0.36058572300183034</v>
      </c>
      <c r="F3860" s="2065">
        <f t="shared" si="115"/>
        <v>7.211714460036607E-3</v>
      </c>
      <c r="G3860" s="415"/>
      <c r="H3860" s="415" t="str">
        <f>VLOOKUP(B3860,indexy!$A$44:$D$823,3,FALSE)</f>
        <v>SEBA SS Equity</v>
      </c>
      <c r="J3860" s="434"/>
    </row>
    <row r="3861" spans="1:10" ht="12.75" hidden="1" customHeight="1" outlineLevel="1" x14ac:dyDescent="0.3">
      <c r="A3861" s="1911">
        <v>0.03</v>
      </c>
      <c r="B3861" s="2826" t="s">
        <v>10529</v>
      </c>
      <c r="C3861" s="3359">
        <v>1432.65</v>
      </c>
      <c r="D3861" s="2830">
        <f>VLOOKUP(H3861,indexy!$C$44:$D$823,2,FALSE)</f>
        <v>1941</v>
      </c>
      <c r="E3861" s="2064">
        <f t="shared" si="116"/>
        <v>0.35483195476913409</v>
      </c>
      <c r="F3861" s="2065">
        <f t="shared" si="115"/>
        <v>1.0644958643074022E-2</v>
      </c>
      <c r="G3861" s="415"/>
      <c r="H3861" s="415" t="str">
        <f>VLOOKUP(B3861,indexy!$A$44:$D$823,3,FALSE)</f>
        <v>9434 JT Equity</v>
      </c>
      <c r="J3861" s="434"/>
    </row>
    <row r="3862" spans="1:10" ht="12.75" hidden="1" customHeight="1" outlineLevel="1" x14ac:dyDescent="0.3">
      <c r="A3862" s="1911">
        <v>0.05</v>
      </c>
      <c r="B3862" s="2826" t="s">
        <v>10581</v>
      </c>
      <c r="C3862" s="3359">
        <v>4.5960000000000001</v>
      </c>
      <c r="D3862" s="2830">
        <f>VLOOKUP(H3862,indexy!$C$44:$D$823,2,FALSE)</f>
        <v>4.8499999999999996</v>
      </c>
      <c r="E3862" s="2064">
        <f t="shared" si="116"/>
        <v>5.5265448215839674E-2</v>
      </c>
      <c r="F3862" s="2065">
        <f t="shared" si="115"/>
        <v>2.763272410791984E-3</v>
      </c>
      <c r="G3862" s="415"/>
      <c r="H3862" s="415" t="str">
        <f>VLOOKUP(B3862,indexy!$A$44:$D$823,3,FALSE)</f>
        <v>SGP AT Equity</v>
      </c>
      <c r="J3862" s="434"/>
    </row>
    <row r="3863" spans="1:10" ht="12.75" hidden="1" customHeight="1" outlineLevel="1" x14ac:dyDescent="0.3">
      <c r="A3863" s="1911">
        <v>0.02</v>
      </c>
      <c r="B3863" s="2826" t="s">
        <v>6527</v>
      </c>
      <c r="C3863" s="3359">
        <v>95.58</v>
      </c>
      <c r="D3863" s="2830">
        <f>VLOOKUP(H3863,indexy!$C$44:$D$823,2,FALSE)</f>
        <v>108.25</v>
      </c>
      <c r="E3863" s="2064">
        <f t="shared" si="116"/>
        <v>0.13255911278510157</v>
      </c>
      <c r="F3863" s="2065">
        <f t="shared" si="115"/>
        <v>2.6511822557020314E-3</v>
      </c>
      <c r="G3863" s="415"/>
      <c r="H3863" s="415" t="str">
        <f>VLOOKUP(B3863,indexy!$A$44:$D$823,3,FALSE)</f>
        <v>SHBA SS Equity</v>
      </c>
      <c r="J3863" s="434"/>
    </row>
    <row r="3864" spans="1:10" ht="12.75" hidden="1" customHeight="1" outlineLevel="1" x14ac:dyDescent="0.3">
      <c r="A3864" s="1911">
        <v>0.03</v>
      </c>
      <c r="B3864" s="2826" t="s">
        <v>1724</v>
      </c>
      <c r="C3864" s="3359">
        <v>155.63</v>
      </c>
      <c r="D3864" s="2830">
        <f>VLOOKUP(H3864,indexy!$C$44:$D$823,2,FALSE)</f>
        <v>212.3</v>
      </c>
      <c r="E3864" s="2064">
        <f t="shared" si="116"/>
        <v>0.36413287926492344</v>
      </c>
      <c r="F3864" s="2065">
        <f t="shared" si="115"/>
        <v>1.0923986377947703E-2</v>
      </c>
      <c r="G3864" s="415"/>
      <c r="H3864" s="415" t="str">
        <f>VLOOKUP(B3864,indexy!$A$44:$D$823,3,FALSE)</f>
        <v>SWEDA SS Equity</v>
      </c>
      <c r="J3864" s="434"/>
    </row>
    <row r="3865" spans="1:10" ht="12.75" hidden="1" customHeight="1" outlineLevel="1" x14ac:dyDescent="0.3">
      <c r="A3865" s="1911">
        <v>0.03</v>
      </c>
      <c r="B3865" s="2826" t="s">
        <v>6118</v>
      </c>
      <c r="C3865" s="3359">
        <v>89.15</v>
      </c>
      <c r="D3865" s="2830">
        <f>VLOOKUP(H3865,indexy!$C$44:$D$823,2,FALSE)</f>
        <v>115.95</v>
      </c>
      <c r="E3865" s="2064">
        <f t="shared" si="116"/>
        <v>0.3006169377453729</v>
      </c>
      <c r="F3865" s="2065">
        <f>E3865*A3865</f>
        <v>9.018508132361186E-3</v>
      </c>
      <c r="G3865" s="415"/>
      <c r="H3865" s="415" t="str">
        <f>VLOOKUP(B3865,indexy!$A$44:$D$823,3,FALSE)</f>
        <v>SREN SE Equity</v>
      </c>
      <c r="J3865" s="434"/>
    </row>
    <row r="3866" spans="1:10" ht="12.75" hidden="1" customHeight="1" outlineLevel="1" x14ac:dyDescent="0.3">
      <c r="A3866" s="1911">
        <v>0.03</v>
      </c>
      <c r="B3866" s="2826" t="s">
        <v>6945</v>
      </c>
      <c r="C3866" s="3359">
        <v>118.92</v>
      </c>
      <c r="D3866" s="2830">
        <f>VLOOKUP(H3866,indexy!$C$44:$D$946,2,FALSE)</f>
        <v>87.9</v>
      </c>
      <c r="E3866" s="2064">
        <f t="shared" si="116"/>
        <v>-0.26084762865792122</v>
      </c>
      <c r="F3866" s="2065">
        <f>E3866*A3866</f>
        <v>-7.8254288597376358E-3</v>
      </c>
      <c r="G3866" s="415"/>
      <c r="H3866" s="415" t="str">
        <f>VLOOKUP(B3866,indexy!$A$44:$D$946,3,FALSE)</f>
        <v>TEL2B SS Equity</v>
      </c>
      <c r="J3866" s="434"/>
    </row>
    <row r="3867" spans="1:10" ht="12.75" hidden="1" customHeight="1" outlineLevel="1" x14ac:dyDescent="0.3">
      <c r="A3867" s="1911">
        <v>0.02</v>
      </c>
      <c r="B3867" s="2826" t="s">
        <v>577</v>
      </c>
      <c r="C3867" s="3359">
        <v>3.7374000000000001</v>
      </c>
      <c r="D3867" s="2830">
        <f>VLOOKUP(H3867,indexy!$C$44:$D$823,2,FALSE)</f>
        <v>4.0890000000000004</v>
      </c>
      <c r="E3867" s="2064">
        <f t="shared" si="116"/>
        <v>9.4076095681489891E-2</v>
      </c>
      <c r="F3867" s="2065">
        <f>E3867*A3867</f>
        <v>1.8815219136297978E-3</v>
      </c>
      <c r="G3867" s="415"/>
      <c r="H3867" s="415" t="str">
        <f>VLOOKUP(B3867,indexy!$A$44:$D$823,3,FALSE)</f>
        <v>TEF SQ Equity</v>
      </c>
      <c r="J3867" s="434"/>
    </row>
    <row r="3868" spans="1:10" ht="12.75" hidden="1" customHeight="1" outlineLevel="1" x14ac:dyDescent="0.3">
      <c r="A3868" s="1911">
        <v>0.04</v>
      </c>
      <c r="B3868" s="2826" t="s">
        <v>434</v>
      </c>
      <c r="C3868" s="3359">
        <v>36.622</v>
      </c>
      <c r="D3868" s="2830">
        <f>VLOOKUP(H3868,indexy!$C$44:$D$823,2,FALSE)</f>
        <v>27.43</v>
      </c>
      <c r="E3868" s="2064">
        <f t="shared" si="116"/>
        <v>-0.25099666866910597</v>
      </c>
      <c r="F3868" s="2065">
        <f>E3868*A3868</f>
        <v>-1.0039866746764239E-2</v>
      </c>
      <c r="G3868" s="415"/>
      <c r="H3868" s="415" t="str">
        <f>VLOOKUP(B3868,indexy!$A$44:$D$823,3,FALSE)</f>
        <v>TELIA SS Equity</v>
      </c>
      <c r="J3868" s="434"/>
    </row>
    <row r="3869" spans="1:10" ht="12.75" hidden="1" customHeight="1" outlineLevel="1" x14ac:dyDescent="0.3">
      <c r="A3869" s="1911">
        <v>0.02</v>
      </c>
      <c r="B3869" s="2832" t="s">
        <v>10583</v>
      </c>
      <c r="C3869" s="3359">
        <v>434.78</v>
      </c>
      <c r="D3869" s="2834">
        <f>VLOOKUP(H3869,indexy!$C$44:$D$823,2,FALSE)</f>
        <v>342.9</v>
      </c>
      <c r="E3869" s="2064">
        <f t="shared" si="116"/>
        <v>-0.21132526795160766</v>
      </c>
      <c r="F3869" s="2065">
        <f>E3869*A3869</f>
        <v>-4.2265053590321532E-3</v>
      </c>
      <c r="G3869" s="415"/>
      <c r="H3869" s="415" t="str">
        <f>VLOOKUP(B3869,indexy!$A$44:$D$823,3,FALSE)</f>
        <v>YAR NO Equity</v>
      </c>
      <c r="J3869" s="434"/>
    </row>
    <row r="3870" spans="1:10" ht="12.75" hidden="1" customHeight="1" outlineLevel="1" x14ac:dyDescent="0.25">
      <c r="A3870" s="2048" t="s">
        <v>2734</v>
      </c>
      <c r="B3870" s="2049"/>
      <c r="C3870" s="2051">
        <v>100</v>
      </c>
      <c r="D3870" s="2051"/>
      <c r="E3870" s="2059"/>
      <c r="F3870" s="2059">
        <f>SUM(F3840:F3869)</f>
        <v>3.7467062498851622E-2</v>
      </c>
      <c r="G3870" s="415"/>
      <c r="H3870" s="415"/>
    </row>
    <row r="3871" spans="1:10" ht="12.75" hidden="1" customHeight="1" outlineLevel="1" x14ac:dyDescent="0.25">
      <c r="A3871" s="2053"/>
      <c r="B3871" s="2054">
        <v>46113</v>
      </c>
      <c r="C3871" s="2055">
        <v>100</v>
      </c>
      <c r="D3871" s="2055"/>
      <c r="E3871" s="2056">
        <f>IF(D3871="",+$F$3870,D3871/C3871-1)</f>
        <v>3.7467062498851622E-2</v>
      </c>
      <c r="F3871" s="2072"/>
      <c r="G3871" s="415"/>
      <c r="H3871" s="415"/>
    </row>
    <row r="3872" spans="1:10" ht="12.75" hidden="1" customHeight="1" outlineLevel="1" x14ac:dyDescent="0.25">
      <c r="A3872" s="2053"/>
      <c r="B3872" s="2054">
        <v>46143</v>
      </c>
      <c r="C3872" s="2055">
        <v>100</v>
      </c>
      <c r="D3872" s="2058"/>
      <c r="E3872" s="2056">
        <f t="shared" ref="E3872:E3882" si="117">IF(D3872="",+$F$3870,D3872/C3872-1)</f>
        <v>3.7467062498851622E-2</v>
      </c>
      <c r="F3872" s="2072"/>
      <c r="G3872" s="415"/>
      <c r="H3872" s="415"/>
    </row>
    <row r="3873" spans="1:8" ht="12.75" hidden="1" customHeight="1" outlineLevel="1" x14ac:dyDescent="0.25">
      <c r="A3873" s="2053"/>
      <c r="B3873" s="2054">
        <v>46174</v>
      </c>
      <c r="C3873" s="2055">
        <v>100</v>
      </c>
      <c r="D3873" s="2058"/>
      <c r="E3873" s="2056">
        <f t="shared" si="117"/>
        <v>3.7467062498851622E-2</v>
      </c>
      <c r="F3873" s="2072"/>
      <c r="G3873" s="415"/>
      <c r="H3873" s="415"/>
    </row>
    <row r="3874" spans="1:8" ht="12.75" hidden="1" customHeight="1" outlineLevel="1" x14ac:dyDescent="0.25">
      <c r="A3874" s="2053"/>
      <c r="B3874" s="2054">
        <v>46204</v>
      </c>
      <c r="C3874" s="2055">
        <v>100</v>
      </c>
      <c r="D3874" s="2058"/>
      <c r="E3874" s="2056">
        <f t="shared" si="117"/>
        <v>3.7467062498851622E-2</v>
      </c>
      <c r="F3874" s="2072"/>
      <c r="G3874" s="415"/>
      <c r="H3874" s="415"/>
    </row>
    <row r="3875" spans="1:8" ht="12.75" hidden="1" customHeight="1" outlineLevel="1" x14ac:dyDescent="0.25">
      <c r="A3875" s="2053"/>
      <c r="B3875" s="2054">
        <v>46235</v>
      </c>
      <c r="C3875" s="2055">
        <v>100</v>
      </c>
      <c r="D3875" s="2058"/>
      <c r="E3875" s="2056">
        <f t="shared" si="117"/>
        <v>3.7467062498851622E-2</v>
      </c>
      <c r="F3875" s="2072"/>
      <c r="G3875" s="415"/>
      <c r="H3875" s="415"/>
    </row>
    <row r="3876" spans="1:8" ht="12.75" hidden="1" customHeight="1" outlineLevel="1" x14ac:dyDescent="0.25">
      <c r="A3876" s="2053"/>
      <c r="B3876" s="2054">
        <v>46266</v>
      </c>
      <c r="C3876" s="2055">
        <v>100</v>
      </c>
      <c r="D3876" s="2058"/>
      <c r="E3876" s="2056">
        <f t="shared" si="117"/>
        <v>3.7467062498851622E-2</v>
      </c>
      <c r="F3876" s="2072"/>
      <c r="G3876" s="415"/>
      <c r="H3876" s="415"/>
    </row>
    <row r="3877" spans="1:8" ht="12.75" hidden="1" customHeight="1" outlineLevel="1" x14ac:dyDescent="0.25">
      <c r="A3877" s="2053"/>
      <c r="B3877" s="2054">
        <v>46296</v>
      </c>
      <c r="C3877" s="2055">
        <v>100</v>
      </c>
      <c r="D3877" s="2058"/>
      <c r="E3877" s="2056">
        <f t="shared" si="117"/>
        <v>3.7467062498851622E-2</v>
      </c>
      <c r="F3877" s="2072"/>
      <c r="G3877" s="415"/>
      <c r="H3877" s="415"/>
    </row>
    <row r="3878" spans="1:8" ht="12.75" hidden="1" customHeight="1" outlineLevel="1" x14ac:dyDescent="0.25">
      <c r="A3878" s="2053"/>
      <c r="B3878" s="2054">
        <v>46327</v>
      </c>
      <c r="C3878" s="2055">
        <v>100</v>
      </c>
      <c r="D3878" s="2058"/>
      <c r="E3878" s="2056">
        <f t="shared" si="117"/>
        <v>3.7467062498851622E-2</v>
      </c>
      <c r="F3878" s="2072"/>
      <c r="G3878" s="415"/>
      <c r="H3878" s="415"/>
    </row>
    <row r="3879" spans="1:8" ht="12.75" hidden="1" customHeight="1" outlineLevel="1" x14ac:dyDescent="0.25">
      <c r="A3879" s="2053"/>
      <c r="B3879" s="2054">
        <v>46357</v>
      </c>
      <c r="C3879" s="2055">
        <v>100</v>
      </c>
      <c r="D3879" s="2058"/>
      <c r="E3879" s="2056">
        <f t="shared" si="117"/>
        <v>3.7467062498851622E-2</v>
      </c>
      <c r="F3879" s="2072"/>
      <c r="G3879" s="415"/>
      <c r="H3879" s="415"/>
    </row>
    <row r="3880" spans="1:8" ht="12.75" hidden="1" customHeight="1" outlineLevel="1" x14ac:dyDescent="0.25">
      <c r="A3880" s="2053"/>
      <c r="B3880" s="2054">
        <v>46388</v>
      </c>
      <c r="C3880" s="2055">
        <v>100</v>
      </c>
      <c r="D3880" s="2058"/>
      <c r="E3880" s="2056">
        <f t="shared" si="117"/>
        <v>3.7467062498851622E-2</v>
      </c>
      <c r="F3880" s="2072"/>
      <c r="G3880" s="415"/>
      <c r="H3880" s="415"/>
    </row>
    <row r="3881" spans="1:8" ht="12.75" hidden="1" customHeight="1" outlineLevel="1" x14ac:dyDescent="0.25">
      <c r="A3881" s="2053"/>
      <c r="B3881" s="2054">
        <v>46419</v>
      </c>
      <c r="C3881" s="2055">
        <v>100</v>
      </c>
      <c r="D3881" s="2058"/>
      <c r="E3881" s="2056">
        <f t="shared" si="117"/>
        <v>3.7467062498851622E-2</v>
      </c>
      <c r="F3881" s="2072"/>
      <c r="G3881" s="415"/>
      <c r="H3881" s="415"/>
    </row>
    <row r="3882" spans="1:8" ht="12.75" hidden="1" customHeight="1" outlineLevel="1" x14ac:dyDescent="0.25">
      <c r="A3882" s="2053"/>
      <c r="B3882" s="2054">
        <v>46447</v>
      </c>
      <c r="C3882" s="2055">
        <v>100</v>
      </c>
      <c r="D3882" s="2058"/>
      <c r="E3882" s="2056">
        <f t="shared" si="117"/>
        <v>3.7467062498851622E-2</v>
      </c>
      <c r="F3882" s="2072"/>
      <c r="G3882" s="415"/>
      <c r="H3882" s="415"/>
    </row>
    <row r="3883" spans="1:8" s="444" customFormat="1" ht="12.75" hidden="1" customHeight="1" outlineLevel="1" x14ac:dyDescent="0.25">
      <c r="A3883" s="2067" t="s">
        <v>2734</v>
      </c>
      <c r="B3883" s="2068"/>
      <c r="C3883" s="2058"/>
      <c r="D3883" s="2069" t="s">
        <v>2465</v>
      </c>
      <c r="E3883" s="2070">
        <f>AVERAGE(E3871:E3882)</f>
        <v>3.7467062498851622E-2</v>
      </c>
      <c r="F3883" s="2071">
        <f>((((E3883*100)+100)-I3840)/100)</f>
        <v>3.746706249885165E-2</v>
      </c>
    </row>
    <row r="3884" spans="1:8" collapsed="1" x14ac:dyDescent="0.25">
      <c r="A3884" s="3799" t="s">
        <v>10594</v>
      </c>
      <c r="B3884" s="3800"/>
      <c r="C3884" s="3800"/>
      <c r="D3884" s="3800"/>
      <c r="E3884" s="18"/>
      <c r="F3884" s="186">
        <f>MAX(-10%,MIN(F3883,40%))</f>
        <v>3.746706249885165E-2</v>
      </c>
      <c r="G3884" s="415"/>
    </row>
    <row r="3886" spans="1:8" ht="12.75" hidden="1" customHeight="1" outlineLevel="1" x14ac:dyDescent="0.25">
      <c r="A3886" s="15" t="s">
        <v>113</v>
      </c>
      <c r="B3886" s="15" t="s">
        <v>114</v>
      </c>
      <c r="C3886" s="15" t="s">
        <v>112</v>
      </c>
      <c r="D3886" s="15" t="s">
        <v>116</v>
      </c>
      <c r="E3886" s="15" t="s">
        <v>117</v>
      </c>
      <c r="F3886" s="15" t="s">
        <v>121</v>
      </c>
      <c r="G3886" s="78"/>
    </row>
    <row r="3887" spans="1:8" ht="12.75" hidden="1" customHeight="1" outlineLevel="1" x14ac:dyDescent="0.25">
      <c r="A3887" s="4">
        <v>1</v>
      </c>
      <c r="B3887" s="5" t="s">
        <v>252</v>
      </c>
      <c r="C3887" s="6">
        <v>100</v>
      </c>
      <c r="D3887" s="6"/>
      <c r="E3887" s="9"/>
      <c r="F3887" s="10"/>
      <c r="G3887" s="78"/>
    </row>
    <row r="3888" spans="1:8" ht="12.75" hidden="1" customHeight="1" outlineLevel="1" x14ac:dyDescent="0.25">
      <c r="A3888" s="21" t="s">
        <v>2734</v>
      </c>
      <c r="B3888" s="21"/>
      <c r="C3888" s="11"/>
      <c r="D3888" s="32" t="s">
        <v>3702</v>
      </c>
      <c r="E3888" s="33">
        <f>indexy!$B$2</f>
        <v>45379</v>
      </c>
      <c r="F3888" s="38"/>
      <c r="G3888" s="78"/>
    </row>
    <row r="3889" spans="1:11" ht="12.75" hidden="1" customHeight="1" outlineLevel="1" x14ac:dyDescent="0.25">
      <c r="A3889" s="1517" t="s">
        <v>4156</v>
      </c>
      <c r="B3889" s="1517" t="s">
        <v>4153</v>
      </c>
      <c r="C3889" s="1518" t="s">
        <v>112</v>
      </c>
      <c r="D3889" s="1519" t="s">
        <v>4155</v>
      </c>
      <c r="E3889" s="1519" t="s">
        <v>4154</v>
      </c>
      <c r="F3889" s="1519" t="s">
        <v>2519</v>
      </c>
      <c r="G3889" s="78"/>
    </row>
    <row r="3890" spans="1:11" ht="12.75" hidden="1" customHeight="1" outlineLevel="1" x14ac:dyDescent="0.25">
      <c r="A3890" s="1508">
        <v>0.02</v>
      </c>
      <c r="B3890" s="1505" t="s">
        <v>4266</v>
      </c>
      <c r="C3890" s="455">
        <v>31.003</v>
      </c>
      <c r="D3890" s="1536">
        <f>VLOOKUP($H3890,indexy!$C$44:$D$823,2,FALSE)</f>
        <v>41.89</v>
      </c>
      <c r="E3890" s="1537">
        <f>$D3890/$C3890-1</f>
        <v>0.35115956520336744</v>
      </c>
      <c r="F3890" s="1512">
        <f>$E3890*$A3890</f>
        <v>7.0231913040673492E-3</v>
      </c>
      <c r="G3890" s="78"/>
      <c r="H3890" t="str">
        <f>VLOOKUP(B3890,indexy!$A$44:$D$823,3,FALSE)</f>
        <v>ABBN SE Equity</v>
      </c>
      <c r="K3890" s="434"/>
    </row>
    <row r="3891" spans="1:11" ht="12.75" hidden="1" customHeight="1" outlineLevel="1" x14ac:dyDescent="0.25">
      <c r="A3891" s="1509">
        <v>0.02</v>
      </c>
      <c r="B3891" s="1505" t="s">
        <v>10615</v>
      </c>
      <c r="C3891" s="455">
        <v>75.113</v>
      </c>
      <c r="D3891" s="1538">
        <f>VLOOKUP(H3891,indexy!$C$44:$D$823,2,FALSE)</f>
        <v>66.42</v>
      </c>
      <c r="E3891" s="1539">
        <f t="shared" ref="E3891:E3919" si="118">$D3891/$C3891-1</f>
        <v>-0.11573229667301266</v>
      </c>
      <c r="F3891" s="1515">
        <f t="shared" ref="F3891:F3918" si="119">$E3891*$A3891</f>
        <v>-2.3146459334602533E-3</v>
      </c>
      <c r="G3891" s="78"/>
      <c r="H3891" t="str">
        <f>VLOOKUP(B3891,indexy!$A$44:$D$823,3,FALSE)</f>
        <v>ASX AT Equity</v>
      </c>
      <c r="K3891" s="434"/>
    </row>
    <row r="3892" spans="1:11" ht="12.75" hidden="1" customHeight="1" outlineLevel="1" x14ac:dyDescent="0.25">
      <c r="A3892" s="1509">
        <v>0.02</v>
      </c>
      <c r="B3892" s="1505" t="s">
        <v>10617</v>
      </c>
      <c r="C3892" s="455">
        <v>16.744</v>
      </c>
      <c r="D3892" s="1538">
        <f>VLOOKUP(H3892,indexy!$C$44:$D$823,2,FALSE)</f>
        <v>16.940000000000001</v>
      </c>
      <c r="E3892" s="1539">
        <f t="shared" si="118"/>
        <v>1.17056856187292E-2</v>
      </c>
      <c r="F3892" s="1515">
        <f t="shared" si="119"/>
        <v>2.34113712374584E-4</v>
      </c>
      <c r="G3892" s="78"/>
      <c r="H3892" t="str">
        <f>VLOOKUP(B3892,indexy!$A$44:$D$823,3,FALSE)</f>
        <v>COL AT Equity</v>
      </c>
      <c r="K3892" s="434"/>
    </row>
    <row r="3893" spans="1:11" ht="12.75" hidden="1" customHeight="1" outlineLevel="1" x14ac:dyDescent="0.25">
      <c r="A3893" s="1509">
        <v>0.04</v>
      </c>
      <c r="B3893" s="1505" t="s">
        <v>1319</v>
      </c>
      <c r="C3893" s="455">
        <v>76.724000000000004</v>
      </c>
      <c r="D3893" s="1538">
        <f>VLOOKUP(H3893,indexy!$C$44:$D$823,2,FALSE)</f>
        <v>90.81</v>
      </c>
      <c r="E3893" s="1539">
        <f t="shared" si="118"/>
        <v>0.18359313904384544</v>
      </c>
      <c r="F3893" s="1515">
        <f t="shared" si="119"/>
        <v>7.3437255617538177E-3</v>
      </c>
      <c r="G3893" s="78"/>
      <c r="H3893" t="str">
        <f>VLOOKUP(B3893,indexy!$A$44:$D$823,3,FALSE)</f>
        <v>ED UN Equity</v>
      </c>
      <c r="K3893" s="434"/>
    </row>
    <row r="3894" spans="1:11" ht="12.75" hidden="1" customHeight="1" outlineLevel="1" x14ac:dyDescent="0.25">
      <c r="A3894" s="1509">
        <v>0.04</v>
      </c>
      <c r="B3894" s="1505" t="s">
        <v>53</v>
      </c>
      <c r="C3894" s="455">
        <v>59.13</v>
      </c>
      <c r="D3894" s="1538">
        <f>VLOOKUP(H3894,indexy!$C$44:$D$823,2,FALSE)</f>
        <v>59.89</v>
      </c>
      <c r="E3894" s="1539">
        <f t="shared" si="118"/>
        <v>1.2853035684085912E-2</v>
      </c>
      <c r="F3894" s="1515">
        <f t="shared" si="119"/>
        <v>5.141214273634365E-4</v>
      </c>
      <c r="G3894" s="78"/>
      <c r="H3894" t="str">
        <f>VLOOKUP(B3894,indexy!$A$44:$D$823,3,FALSE)</f>
        <v>BN FP Equity</v>
      </c>
      <c r="K3894" s="434"/>
    </row>
    <row r="3895" spans="1:11" ht="12.75" hidden="1" customHeight="1" outlineLevel="1" x14ac:dyDescent="0.25">
      <c r="A3895" s="1509">
        <v>0.02</v>
      </c>
      <c r="B3895" s="1505" t="s">
        <v>2629</v>
      </c>
      <c r="C3895" s="455">
        <v>17.656199999999998</v>
      </c>
      <c r="D3895" s="1538">
        <f>VLOOKUP(H3895,indexy!$C$44:$D$823,2,FALSE)</f>
        <v>22.5</v>
      </c>
      <c r="E3895" s="1539">
        <f t="shared" si="118"/>
        <v>0.27433989193597719</v>
      </c>
      <c r="F3895" s="1515">
        <f t="shared" si="119"/>
        <v>5.4867978387195442E-3</v>
      </c>
      <c r="G3895" s="78"/>
      <c r="H3895" t="str">
        <f>VLOOKUP(B3895,indexy!$A$44:$D$823,3,FALSE)</f>
        <v>DTE GY Equity</v>
      </c>
      <c r="K3895" s="434"/>
    </row>
    <row r="3896" spans="1:11" ht="12.75" hidden="1" customHeight="1" outlineLevel="1" x14ac:dyDescent="0.25">
      <c r="A3896" s="1509">
        <v>0.03</v>
      </c>
      <c r="B3896" s="1505" t="s">
        <v>10619</v>
      </c>
      <c r="C3896" s="455">
        <v>290.17</v>
      </c>
      <c r="D3896" s="1538">
        <f>VLOOKUP(H3896,indexy!$C$44:$D$823,2,FALSE)</f>
        <v>254.2</v>
      </c>
      <c r="E3896" s="1539">
        <f t="shared" si="118"/>
        <v>-0.12396181548747298</v>
      </c>
      <c r="F3896" s="1515">
        <f t="shared" si="119"/>
        <v>-3.7188544646241891E-3</v>
      </c>
      <c r="G3896" s="78"/>
      <c r="H3896" t="str">
        <f>VLOOKUP(B3896,indexy!$A$44:$D$823,3,FALSE)</f>
        <v>ESSITYB SS Equity</v>
      </c>
      <c r="K3896" s="434"/>
    </row>
    <row r="3897" spans="1:11" ht="12.75" hidden="1" customHeight="1" outlineLevel="1" x14ac:dyDescent="0.25">
      <c r="A3897" s="1509">
        <v>0.02</v>
      </c>
      <c r="B3897" s="1505" t="s">
        <v>10621</v>
      </c>
      <c r="C3897" s="455">
        <v>14.064500000000001</v>
      </c>
      <c r="D3897" s="1538">
        <f>VLOOKUP(H3897,indexy!$C$44:$D$823,2,FALSE)</f>
        <v>13.885</v>
      </c>
      <c r="E3897" s="1539">
        <f t="shared" si="118"/>
        <v>-1.2762629314941987E-2</v>
      </c>
      <c r="F3897" s="1515">
        <f t="shared" si="119"/>
        <v>-2.5525258629883975E-4</v>
      </c>
      <c r="G3897" s="78"/>
      <c r="H3897" t="str">
        <f>VLOOKUP(B3897,indexy!$A$44:$D$823,3,FALSE)</f>
        <v>FBK IM Equity</v>
      </c>
      <c r="K3897" s="434"/>
    </row>
    <row r="3898" spans="1:11" ht="12.75" hidden="1" customHeight="1" outlineLevel="1" x14ac:dyDescent="0.25">
      <c r="A3898" s="1509">
        <v>0.03</v>
      </c>
      <c r="B3898" s="1505" t="s">
        <v>1031</v>
      </c>
      <c r="C3898" s="455">
        <v>10.738</v>
      </c>
      <c r="D3898" s="1538">
        <f>VLOOKUP(H3898,indexy!$C$44:$D$823,2,FALSE)</f>
        <v>11.494999999999999</v>
      </c>
      <c r="E3898" s="1539">
        <f t="shared" si="118"/>
        <v>7.0497299310858574E-2</v>
      </c>
      <c r="F3898" s="1515">
        <f t="shared" si="119"/>
        <v>2.1149189793257571E-3</v>
      </c>
      <c r="G3898" s="78"/>
      <c r="H3898" t="str">
        <f>VLOOKUP(B3898,indexy!$A$44:$D$823,3,FALSE)</f>
        <v>IBE SQ Equity</v>
      </c>
      <c r="K3898" s="434"/>
    </row>
    <row r="3899" spans="1:11" ht="12.75" hidden="1" customHeight="1" outlineLevel="1" x14ac:dyDescent="0.25">
      <c r="A3899" s="1509">
        <v>0.05</v>
      </c>
      <c r="B3899" s="1505" t="s">
        <v>1381</v>
      </c>
      <c r="C3899" s="455">
        <v>129.589</v>
      </c>
      <c r="D3899" s="1538">
        <f>VLOOKUP(H3899,indexy!$C$44:$D$823,2,FALSE)</f>
        <v>129.35</v>
      </c>
      <c r="E3899" s="1539">
        <f t="shared" si="118"/>
        <v>-1.8442923396275734E-3</v>
      </c>
      <c r="F3899" s="1515">
        <f t="shared" si="119"/>
        <v>-9.2214616981378675E-5</v>
      </c>
      <c r="G3899" s="78"/>
      <c r="H3899" t="str">
        <f>VLOOKUP(B3899,indexy!$A$44:$D$823,3,FALSE)</f>
        <v>KMB UN Equity</v>
      </c>
      <c r="K3899" s="434"/>
    </row>
    <row r="3900" spans="1:11" ht="12.75" hidden="1" customHeight="1" outlineLevel="1" x14ac:dyDescent="0.25">
      <c r="A3900" s="1509">
        <v>0.05</v>
      </c>
      <c r="B3900" s="1505" t="s">
        <v>4034</v>
      </c>
      <c r="C3900" s="455">
        <v>24.636500000000002</v>
      </c>
      <c r="D3900" s="1538">
        <f>VLOOKUP(H3900,indexy!$C$44:$D$823,2,FALSE)</f>
        <v>27.72</v>
      </c>
      <c r="E3900" s="1539">
        <f t="shared" si="118"/>
        <v>0.12515982383861335</v>
      </c>
      <c r="F3900" s="1515">
        <f t="shared" si="119"/>
        <v>6.2579911919306676E-3</v>
      </c>
      <c r="G3900" s="78"/>
      <c r="H3900" t="str">
        <f>VLOOKUP(B3900,indexy!$A$44:$D$823,3,FALSE)</f>
        <v>AD NA Equity</v>
      </c>
      <c r="K3900" s="434"/>
    </row>
    <row r="3901" spans="1:11" ht="12.75" hidden="1" customHeight="1" outlineLevel="1" x14ac:dyDescent="0.25">
      <c r="A3901" s="1509">
        <v>0.02</v>
      </c>
      <c r="B3901" s="1505" t="s">
        <v>10623</v>
      </c>
      <c r="C3901" s="455">
        <v>55.915999999999997</v>
      </c>
      <c r="D3901" s="1538">
        <f>VLOOKUP(H3901,indexy!$C$44:$D$823,2,FALSE)</f>
        <v>81.66</v>
      </c>
      <c r="E3901" s="1539">
        <f t="shared" si="118"/>
        <v>0.46040489305386645</v>
      </c>
      <c r="F3901" s="1515">
        <f t="shared" si="119"/>
        <v>9.2080978610773294E-3</v>
      </c>
      <c r="G3901" s="78"/>
      <c r="H3901" t="str">
        <f>VLOOKUP(B3901,indexy!$A$44:$D$823,3,FALSE)</f>
        <v>HOLN SW Equity</v>
      </c>
      <c r="K3901" s="434"/>
    </row>
    <row r="3902" spans="1:11" ht="12.75" hidden="1" customHeight="1" outlineLevel="1" x14ac:dyDescent="0.25">
      <c r="A3902" s="1509">
        <v>0.05</v>
      </c>
      <c r="B3902" s="1505" t="s">
        <v>123</v>
      </c>
      <c r="C3902" s="1507">
        <v>24.693999999999999</v>
      </c>
      <c r="D3902" s="1538">
        <f>VLOOKUP(H3902,indexy!$C$44:$D$823,2,FALSE)</f>
        <v>33.83</v>
      </c>
      <c r="E3902" s="1539">
        <f t="shared" si="118"/>
        <v>0.36996841337976827</v>
      </c>
      <c r="F3902" s="1515">
        <f t="shared" si="119"/>
        <v>1.8498420668988415E-2</v>
      </c>
      <c r="G3902" s="78"/>
      <c r="H3902" t="str">
        <f>VLOOKUP(B3902,indexy!$A$44:$D$823,3,FALSE)</f>
        <v>MFC CT Equity</v>
      </c>
      <c r="K3902" s="434"/>
    </row>
    <row r="3903" spans="1:11" ht="12.75" hidden="1" customHeight="1" outlineLevel="1" x14ac:dyDescent="0.25">
      <c r="A3903" s="1509">
        <v>0.05</v>
      </c>
      <c r="B3903" s="1505" t="s">
        <v>8336</v>
      </c>
      <c r="C3903" s="455">
        <v>26.687999999999999</v>
      </c>
      <c r="D3903" s="1538">
        <f>VLOOKUP(H3903,indexy!$C$44:$D$823,2,FALSE)</f>
        <v>34.64</v>
      </c>
      <c r="E3903" s="1539">
        <f t="shared" si="118"/>
        <v>0.29796163069544379</v>
      </c>
      <c r="F3903" s="1515">
        <f t="shared" si="119"/>
        <v>1.4898081534772191E-2</v>
      </c>
      <c r="G3903" s="78"/>
      <c r="H3903" t="str">
        <f>VLOOKUP(B3903,indexy!$A$44:$D$823,3,FALSE)</f>
        <v>NAB AT Equity</v>
      </c>
      <c r="K3903" s="434"/>
    </row>
    <row r="3904" spans="1:11" ht="12.75" hidden="1" customHeight="1" outlineLevel="1" x14ac:dyDescent="0.25">
      <c r="A3904" s="1509">
        <v>0.02</v>
      </c>
      <c r="B3904" s="1505" t="s">
        <v>3797</v>
      </c>
      <c r="C3904" s="455">
        <v>114.184</v>
      </c>
      <c r="D3904" s="1538">
        <f>VLOOKUP(H3904,indexy!$C$44:$D$823,2,FALSE)</f>
        <v>95.75</v>
      </c>
      <c r="E3904" s="1539">
        <f t="shared" si="118"/>
        <v>-0.1614411826525608</v>
      </c>
      <c r="F3904" s="1515">
        <f t="shared" si="119"/>
        <v>-3.228823653051216E-3</v>
      </c>
      <c r="G3904" s="78"/>
      <c r="H3904" t="str">
        <f>VLOOKUP(B3904,indexy!$A$44:$D$823,3,FALSE)</f>
        <v>NESN SE Equity</v>
      </c>
      <c r="K3904" s="434"/>
    </row>
    <row r="3905" spans="1:11" ht="12.75" hidden="1" customHeight="1" outlineLevel="1" x14ac:dyDescent="0.25">
      <c r="A3905" s="1509">
        <v>0.04</v>
      </c>
      <c r="B3905" s="1505" t="s">
        <v>1040</v>
      </c>
      <c r="C3905" s="455">
        <f>2896.4/25</f>
        <v>115.85600000000001</v>
      </c>
      <c r="D3905" s="1538">
        <f>VLOOKUP(H3905,indexy!$C$44:$D$823,2,FALSE)</f>
        <v>180</v>
      </c>
      <c r="E3905" s="1539">
        <f t="shared" si="118"/>
        <v>0.55365281038530578</v>
      </c>
      <c r="F3905" s="1515">
        <f t="shared" si="119"/>
        <v>2.2146112415412231E-2</v>
      </c>
      <c r="G3905" s="78"/>
      <c r="H3905" t="str">
        <f>VLOOKUP(B3905,indexy!$A$44:$D$823,3,FALSE)</f>
        <v>9432 JT Equity</v>
      </c>
      <c r="K3905" s="434"/>
    </row>
    <row r="3906" spans="1:11" ht="12.75" hidden="1" customHeight="1" outlineLevel="1" x14ac:dyDescent="0.25">
      <c r="A3906" s="1509">
        <v>0.04</v>
      </c>
      <c r="B3906" s="1505" t="s">
        <v>2787</v>
      </c>
      <c r="C3906" s="455">
        <v>83.525999999999996</v>
      </c>
      <c r="D3906" s="1538">
        <f>VLOOKUP(H3906,indexy!$C$44:$D$823,2,FALSE)</f>
        <v>87.37</v>
      </c>
      <c r="E3906" s="1539">
        <f t="shared" si="118"/>
        <v>4.6021598065273173E-2</v>
      </c>
      <c r="F3906" s="1515">
        <f t="shared" si="119"/>
        <v>1.840863922610927E-3</v>
      </c>
      <c r="G3906" s="78"/>
      <c r="H3906" t="str">
        <f>VLOOKUP(B3906,indexy!$A$44:$D$823,3,FALSE)</f>
        <v>NOVN SE Equity</v>
      </c>
      <c r="K3906" s="434"/>
    </row>
    <row r="3907" spans="1:11" ht="12.75" hidden="1" customHeight="1" outlineLevel="1" x14ac:dyDescent="0.25">
      <c r="A3907" s="1509">
        <v>0.05</v>
      </c>
      <c r="B3907" s="1505" t="s">
        <v>8529</v>
      </c>
      <c r="C3907" s="455">
        <v>69.695999999999998</v>
      </c>
      <c r="D3907" s="1538">
        <f>VLOOKUP(H3907,indexy!$C$44:$D$823,2,FALSE)</f>
        <v>54.1</v>
      </c>
      <c r="E3907" s="1539">
        <f t="shared" si="118"/>
        <v>-0.22377180899908167</v>
      </c>
      <c r="F3907" s="1515">
        <f t="shared" si="119"/>
        <v>-1.1188590449954084E-2</v>
      </c>
      <c r="G3907" s="78"/>
      <c r="H3907" t="str">
        <f>VLOOKUP(B3907,indexy!$A$44:$D$823,3,FALSE)</f>
        <v>O UN Equity</v>
      </c>
      <c r="K3907" s="434"/>
    </row>
    <row r="3908" spans="1:11" ht="12.75" hidden="1" customHeight="1" outlineLevel="1" x14ac:dyDescent="0.25">
      <c r="A3908" s="1509">
        <v>0.02</v>
      </c>
      <c r="B3908" s="1505" t="s">
        <v>3800</v>
      </c>
      <c r="C3908" s="455">
        <v>340.96</v>
      </c>
      <c r="D3908" s="1538">
        <f>VLOOKUP(H3908,indexy!$C$44:$D$823,2,FALSE)</f>
        <v>229.7</v>
      </c>
      <c r="E3908" s="1539">
        <f t="shared" si="118"/>
        <v>-0.32631393711872358</v>
      </c>
      <c r="F3908" s="1515">
        <f t="shared" si="119"/>
        <v>-6.5262787423744717E-3</v>
      </c>
      <c r="G3908" s="78"/>
      <c r="H3908" t="str">
        <f>VLOOKUP(B3908,indexy!$A$44:$D$823,3,FALSE)</f>
        <v>ROG SE Equity</v>
      </c>
      <c r="K3908" s="434"/>
    </row>
    <row r="3909" spans="1:11" ht="12.75" hidden="1" customHeight="1" outlineLevel="1" x14ac:dyDescent="0.25">
      <c r="A3909" s="1509">
        <v>0.06</v>
      </c>
      <c r="B3909" s="1505" t="s">
        <v>1187</v>
      </c>
      <c r="C3909" s="455">
        <v>87.870999999999995</v>
      </c>
      <c r="D3909" s="1538">
        <f>VLOOKUP(H3909,indexy!$C$44:$D$823,2,FALSE)</f>
        <v>90.96</v>
      </c>
      <c r="E3909" s="1539">
        <f t="shared" si="118"/>
        <v>3.515380500961629E-2</v>
      </c>
      <c r="F3909" s="1515">
        <f t="shared" si="119"/>
        <v>2.1092283005769773E-3</v>
      </c>
      <c r="G3909" s="78"/>
      <c r="H3909" t="str">
        <f>VLOOKUP(B3909,indexy!$A$44:$D$823,3,FALSE)</f>
        <v>SAN FP Equity</v>
      </c>
      <c r="K3909" s="434"/>
    </row>
    <row r="3910" spans="1:11" ht="12.75" hidden="1" customHeight="1" outlineLevel="1" x14ac:dyDescent="0.25">
      <c r="A3910" s="1509">
        <v>0.02</v>
      </c>
      <c r="B3910" s="1505" t="s">
        <v>7348</v>
      </c>
      <c r="C3910" s="455">
        <f>2811.7/25</f>
        <v>112.46799999999999</v>
      </c>
      <c r="D3910" s="1538">
        <f>VLOOKUP(H3910,indexy!$C$44:$D$823,2,FALSE)</f>
        <v>87.5</v>
      </c>
      <c r="E3910" s="1539">
        <f t="shared" si="118"/>
        <v>-0.22200092470747224</v>
      </c>
      <c r="F3910" s="1515">
        <f t="shared" si="119"/>
        <v>-4.4400184941494449E-3</v>
      </c>
      <c r="G3910" s="78"/>
      <c r="H3910" t="str">
        <f>VLOOKUP(B3910,indexy!$A$44:$D$823,3,FALSE)</f>
        <v>SGSN SE Equity</v>
      </c>
      <c r="K3910" s="434"/>
    </row>
    <row r="3911" spans="1:11" ht="12.75" hidden="1" customHeight="1" outlineLevel="1" x14ac:dyDescent="0.25">
      <c r="A3911" s="1509">
        <v>0.04</v>
      </c>
      <c r="B3911" s="1505" t="s">
        <v>7912</v>
      </c>
      <c r="C3911" s="455">
        <v>44.69</v>
      </c>
      <c r="D3911" s="1538">
        <f>VLOOKUP(H3911,indexy!$C$44:$D$823,2,FALSE)</f>
        <v>42.27</v>
      </c>
      <c r="E3911" s="1539">
        <f t="shared" si="118"/>
        <v>-5.4150816737525087E-2</v>
      </c>
      <c r="F3911" s="1515">
        <f t="shared" si="119"/>
        <v>-2.1660326695010037E-3</v>
      </c>
      <c r="G3911" s="78"/>
      <c r="H3911" t="str">
        <f>VLOOKUP(B3911,indexy!$A$44:$D$823,3,FALSE)</f>
        <v>SKG ID Equity</v>
      </c>
      <c r="K3911" s="434"/>
    </row>
    <row r="3912" spans="1:11" ht="12.75" hidden="1" customHeight="1" outlineLevel="1" x14ac:dyDescent="0.25">
      <c r="A3912" s="1509">
        <v>0.02</v>
      </c>
      <c r="B3912" s="1505" t="s">
        <v>9173</v>
      </c>
      <c r="C3912" s="455">
        <v>459.77</v>
      </c>
      <c r="D3912" s="1538">
        <f>VLOOKUP(H3912,indexy!$C$44:$D$823,2,FALSE)</f>
        <v>632.20000000000005</v>
      </c>
      <c r="E3912" s="1539">
        <f t="shared" si="118"/>
        <v>0.37503534375883607</v>
      </c>
      <c r="F3912" s="1515">
        <f t="shared" si="119"/>
        <v>7.5007068751767212E-3</v>
      </c>
      <c r="G3912" s="78"/>
      <c r="H3912" t="str">
        <f>VLOOKUP(B3912,indexy!$A$44:$D$823,3,FALSE)</f>
        <v>SLHN SE Equity</v>
      </c>
      <c r="K3912" s="434"/>
    </row>
    <row r="3913" spans="1:11" ht="12.75" hidden="1" customHeight="1" outlineLevel="1" x14ac:dyDescent="0.25">
      <c r="A3913" s="1509">
        <v>0.02</v>
      </c>
      <c r="B3913" s="1505" t="s">
        <v>1239</v>
      </c>
      <c r="C3913" s="455">
        <v>524.88</v>
      </c>
      <c r="D3913" s="1538">
        <f>VLOOKUP(H3913,indexy!$C$44:$D$823,2,FALSE)</f>
        <v>551.4</v>
      </c>
      <c r="E3913" s="1539">
        <f t="shared" si="118"/>
        <v>5.0525834476451648E-2</v>
      </c>
      <c r="F3913" s="1515">
        <f t="shared" si="119"/>
        <v>1.010516689529033E-3</v>
      </c>
      <c r="G3913" s="78"/>
      <c r="H3913" t="str">
        <f>VLOOKUP(B3913,indexy!$A$44:$D$823,3,FALSE)</f>
        <v>SCMN SE Equity</v>
      </c>
      <c r="K3913" s="434"/>
    </row>
    <row r="3914" spans="1:11" ht="12.75" hidden="1" customHeight="1" outlineLevel="1" x14ac:dyDescent="0.25">
      <c r="A3914" s="1509">
        <v>0.04</v>
      </c>
      <c r="B3914" s="1505" t="s">
        <v>3921</v>
      </c>
      <c r="C3914" s="455">
        <v>6.4980000000000002</v>
      </c>
      <c r="D3914" s="1538">
        <f>VLOOKUP(H3914,indexy!$C$44:$D$823,2,FALSE)</f>
        <v>7.66</v>
      </c>
      <c r="E3914" s="1539">
        <f t="shared" si="118"/>
        <v>0.17882425361649745</v>
      </c>
      <c r="F3914" s="1515">
        <f t="shared" si="119"/>
        <v>7.1529701446598985E-3</v>
      </c>
      <c r="G3914" s="78"/>
      <c r="H3914" t="str">
        <f>VLOOKUP(B3914,indexy!$A$44:$D$823,3,FALSE)</f>
        <v>TRN IM Equity</v>
      </c>
      <c r="K3914" s="434"/>
    </row>
    <row r="3915" spans="1:11" ht="12.75" hidden="1" customHeight="1" outlineLevel="1" x14ac:dyDescent="0.25">
      <c r="A3915" s="1509">
        <v>0.03</v>
      </c>
      <c r="B3915" s="1505" t="s">
        <v>2983</v>
      </c>
      <c r="C3915" s="455">
        <v>10.212999999999999</v>
      </c>
      <c r="D3915" s="1538">
        <f>VLOOKUP(H3915,indexy!$C$44:$D$823,2,FALSE)/100</f>
        <v>10.29</v>
      </c>
      <c r="E3915" s="1539">
        <f t="shared" si="118"/>
        <v>7.5394105551747082E-3</v>
      </c>
      <c r="F3915" s="1515">
        <f t="shared" si="119"/>
        <v>2.2618231665524124E-4</v>
      </c>
      <c r="G3915" s="78"/>
      <c r="H3915" t="str">
        <f>VLOOKUP(B3915,indexy!$A$44:$D$823,3,FALSE)</f>
        <v>UU/ LN Equity</v>
      </c>
      <c r="K3915" s="434"/>
    </row>
    <row r="3916" spans="1:11" ht="12.75" hidden="1" customHeight="1" outlineLevel="1" x14ac:dyDescent="0.25">
      <c r="A3916" s="1509">
        <v>0.03</v>
      </c>
      <c r="B3916" s="1505" t="s">
        <v>3903</v>
      </c>
      <c r="C3916" s="455">
        <v>32.021000000000001</v>
      </c>
      <c r="D3916" s="1538">
        <f>VLOOKUP(H3916,indexy!$C$44:$D$823,2,FALSE)</f>
        <v>30.87</v>
      </c>
      <c r="E3916" s="1539">
        <f t="shared" si="118"/>
        <v>-3.5945160988101521E-2</v>
      </c>
      <c r="F3916" s="1515">
        <f t="shared" si="119"/>
        <v>-1.0783548296430456E-3</v>
      </c>
      <c r="G3916" s="78"/>
      <c r="H3916" t="str">
        <f>VLOOKUP(B3916,indexy!$A$44:$D$823,3,FALSE)</f>
        <v>UPM FH Equity</v>
      </c>
      <c r="K3916" s="434"/>
    </row>
    <row r="3917" spans="1:11" ht="12.75" hidden="1" customHeight="1" outlineLevel="1" x14ac:dyDescent="0.25">
      <c r="A3917" s="1509">
        <v>0.06</v>
      </c>
      <c r="B3917" s="1505" t="s">
        <v>255</v>
      </c>
      <c r="C3917" s="455">
        <v>56.953000000000003</v>
      </c>
      <c r="D3917" s="1538">
        <f>VLOOKUP(H3917,indexy!$C$44:$D$823,2,FALSE)</f>
        <v>41.96</v>
      </c>
      <c r="E3917" s="1539">
        <f t="shared" si="118"/>
        <v>-0.26325215528593759</v>
      </c>
      <c r="F3917" s="1515">
        <f t="shared" si="119"/>
        <v>-1.5795129317156254E-2</v>
      </c>
      <c r="G3917" s="78"/>
      <c r="H3917" t="str">
        <f>VLOOKUP(B3917,indexy!$A$44:$D$823,3,FALSE)</f>
        <v>VZ UN Equity</v>
      </c>
      <c r="K3917" s="434"/>
    </row>
    <row r="3918" spans="1:11" ht="12.75" hidden="1" customHeight="1" outlineLevel="1" x14ac:dyDescent="0.25">
      <c r="A3918" s="1509">
        <v>0.03</v>
      </c>
      <c r="B3918" s="1505" t="s">
        <v>9961</v>
      </c>
      <c r="C3918" s="455">
        <v>53.607999999999997</v>
      </c>
      <c r="D3918" s="1538">
        <f>VLOOKUP(H3918,indexy!$C$44:$D$823,2,FALSE)</f>
        <v>27.4</v>
      </c>
      <c r="E3918" s="1539">
        <f t="shared" si="118"/>
        <v>-0.48888225637964478</v>
      </c>
      <c r="F3918" s="1515">
        <f t="shared" si="119"/>
        <v>-1.4666467691389342E-2</v>
      </c>
      <c r="G3918" s="78"/>
      <c r="H3918" t="str">
        <f>VLOOKUP(B3918,indexy!$A$44:$D$823,3,FALSE)</f>
        <v>VNA GY Equity</v>
      </c>
      <c r="K3918" s="434"/>
    </row>
    <row r="3919" spans="1:11" ht="12.75" hidden="1" customHeight="1" outlineLevel="1" x14ac:dyDescent="0.25">
      <c r="A3919" s="1509">
        <v>0.02</v>
      </c>
      <c r="B3919" s="1506" t="s">
        <v>5522</v>
      </c>
      <c r="C3919" s="455">
        <v>55.960999999999999</v>
      </c>
      <c r="D3919" s="1540">
        <f>VLOOKUP(H3919,indexy!$C$44:$D$823,2,FALSE)</f>
        <v>68.400000000000006</v>
      </c>
      <c r="E3919" s="1541">
        <f t="shared" si="118"/>
        <v>0.22227980200496789</v>
      </c>
      <c r="F3919" s="1542">
        <f>$E3919*$A3919</f>
        <v>4.4455960400993574E-3</v>
      </c>
      <c r="G3919" s="78"/>
      <c r="H3919" t="str">
        <f>VLOOKUP(B3919,indexy!$A$44:$D$823,3,FALSE)</f>
        <v>WES AT Equity</v>
      </c>
      <c r="K3919" s="434"/>
    </row>
    <row r="3920" spans="1:11" ht="12.75" hidden="1" customHeight="1" outlineLevel="1" x14ac:dyDescent="0.25">
      <c r="A3920" s="1522" t="s">
        <v>2734</v>
      </c>
      <c r="B3920" s="1523"/>
      <c r="C3920" s="1524"/>
      <c r="D3920" s="1525"/>
      <c r="E3920" s="1543"/>
      <c r="F3920" s="1543">
        <f>SUM(F3890:F3919)</f>
        <v>5.2540973336509922E-2</v>
      </c>
      <c r="G3920" s="78"/>
    </row>
    <row r="3921" spans="1:7" ht="12.75" hidden="1" customHeight="1" outlineLevel="1" x14ac:dyDescent="0.25">
      <c r="A3921" s="1503"/>
      <c r="B3921" s="1504">
        <v>46143</v>
      </c>
      <c r="C3921" s="1527">
        <v>100</v>
      </c>
      <c r="D3921" s="1527"/>
      <c r="E3921" s="1528">
        <f>IF(D3921="",$F$3920,D3921/C3921-1)</f>
        <v>5.2540973336509922E-2</v>
      </c>
      <c r="F3921" s="1529"/>
      <c r="G3921" s="78"/>
    </row>
    <row r="3922" spans="1:7" ht="12.75" hidden="1" customHeight="1" outlineLevel="1" x14ac:dyDescent="0.25">
      <c r="A3922" s="1503"/>
      <c r="B3922" s="1504">
        <v>46174</v>
      </c>
      <c r="C3922" s="1527">
        <v>100</v>
      </c>
      <c r="D3922" s="1530"/>
      <c r="E3922" s="1528">
        <f t="shared" ref="E3922:E3932" si="120">IF(D3922="",$F$3920,D3922/C3922-1)</f>
        <v>5.2540973336509922E-2</v>
      </c>
      <c r="F3922" s="1529"/>
      <c r="G3922" s="78"/>
    </row>
    <row r="3923" spans="1:7" ht="12.75" hidden="1" customHeight="1" outlineLevel="1" x14ac:dyDescent="0.25">
      <c r="A3923" s="1503"/>
      <c r="B3923" s="1504">
        <v>46204</v>
      </c>
      <c r="C3923" s="1527">
        <v>100</v>
      </c>
      <c r="D3923" s="1530"/>
      <c r="E3923" s="1528">
        <f t="shared" si="120"/>
        <v>5.2540973336509922E-2</v>
      </c>
      <c r="F3923" s="1529"/>
      <c r="G3923" s="78"/>
    </row>
    <row r="3924" spans="1:7" ht="12.75" hidden="1" customHeight="1" outlineLevel="1" x14ac:dyDescent="0.25">
      <c r="A3924" s="1503"/>
      <c r="B3924" s="1504">
        <v>46235</v>
      </c>
      <c r="C3924" s="1527">
        <v>100</v>
      </c>
      <c r="D3924" s="1530"/>
      <c r="E3924" s="1528">
        <f t="shared" si="120"/>
        <v>5.2540973336509922E-2</v>
      </c>
      <c r="F3924" s="1529"/>
      <c r="G3924" s="78"/>
    </row>
    <row r="3925" spans="1:7" ht="12.75" hidden="1" customHeight="1" outlineLevel="1" x14ac:dyDescent="0.25">
      <c r="A3925" s="1503"/>
      <c r="B3925" s="1504">
        <v>46266</v>
      </c>
      <c r="C3925" s="1527">
        <v>100</v>
      </c>
      <c r="D3925" s="1530"/>
      <c r="E3925" s="1528">
        <f t="shared" si="120"/>
        <v>5.2540973336509922E-2</v>
      </c>
      <c r="F3925" s="1529"/>
      <c r="G3925" s="78"/>
    </row>
    <row r="3926" spans="1:7" ht="12.75" hidden="1" customHeight="1" outlineLevel="1" x14ac:dyDescent="0.25">
      <c r="A3926" s="1503"/>
      <c r="B3926" s="1504">
        <v>46296</v>
      </c>
      <c r="C3926" s="1527">
        <v>100</v>
      </c>
      <c r="D3926" s="1530"/>
      <c r="E3926" s="1528">
        <f t="shared" si="120"/>
        <v>5.2540973336509922E-2</v>
      </c>
      <c r="F3926" s="1529"/>
      <c r="G3926" s="78"/>
    </row>
    <row r="3927" spans="1:7" ht="12.75" hidden="1" customHeight="1" outlineLevel="1" x14ac:dyDescent="0.25">
      <c r="A3927" s="1503"/>
      <c r="B3927" s="1504">
        <v>46327</v>
      </c>
      <c r="C3927" s="1527">
        <v>100</v>
      </c>
      <c r="D3927" s="1530"/>
      <c r="E3927" s="1528">
        <f t="shared" si="120"/>
        <v>5.2540973336509922E-2</v>
      </c>
      <c r="F3927" s="1529"/>
      <c r="G3927" s="78"/>
    </row>
    <row r="3928" spans="1:7" ht="12.75" hidden="1" customHeight="1" outlineLevel="1" x14ac:dyDescent="0.25">
      <c r="A3928" s="1503"/>
      <c r="B3928" s="1504">
        <v>46357</v>
      </c>
      <c r="C3928" s="1527">
        <v>100</v>
      </c>
      <c r="D3928" s="1530"/>
      <c r="E3928" s="1528">
        <f t="shared" si="120"/>
        <v>5.2540973336509922E-2</v>
      </c>
      <c r="F3928" s="1529"/>
      <c r="G3928" s="78"/>
    </row>
    <row r="3929" spans="1:7" ht="12.75" hidden="1" customHeight="1" outlineLevel="1" x14ac:dyDescent="0.25">
      <c r="A3929" s="1503"/>
      <c r="B3929" s="1504">
        <v>46388</v>
      </c>
      <c r="C3929" s="1527">
        <v>100</v>
      </c>
      <c r="D3929" s="1530"/>
      <c r="E3929" s="1528">
        <f t="shared" si="120"/>
        <v>5.2540973336509922E-2</v>
      </c>
      <c r="F3929" s="1529"/>
      <c r="G3929" s="78"/>
    </row>
    <row r="3930" spans="1:7" ht="12.75" hidden="1" customHeight="1" outlineLevel="1" x14ac:dyDescent="0.25">
      <c r="A3930" s="1503"/>
      <c r="B3930" s="1504">
        <v>46419</v>
      </c>
      <c r="C3930" s="1527">
        <v>100</v>
      </c>
      <c r="D3930" s="1530"/>
      <c r="E3930" s="1528">
        <f t="shared" si="120"/>
        <v>5.2540973336509922E-2</v>
      </c>
      <c r="F3930" s="1529"/>
      <c r="G3930" s="78"/>
    </row>
    <row r="3931" spans="1:7" ht="12.75" hidden="1" customHeight="1" outlineLevel="1" x14ac:dyDescent="0.25">
      <c r="A3931" s="1503"/>
      <c r="B3931" s="1504">
        <v>46447</v>
      </c>
      <c r="C3931" s="1527">
        <v>100</v>
      </c>
      <c r="D3931" s="1530"/>
      <c r="E3931" s="1528">
        <f t="shared" si="120"/>
        <v>5.2540973336509922E-2</v>
      </c>
      <c r="F3931" s="1529"/>
      <c r="G3931" s="78"/>
    </row>
    <row r="3932" spans="1:7" ht="12.75" hidden="1" customHeight="1" outlineLevel="1" x14ac:dyDescent="0.25">
      <c r="A3932" s="1503"/>
      <c r="B3932" s="1504">
        <v>46478</v>
      </c>
      <c r="C3932" s="1527">
        <v>100</v>
      </c>
      <c r="D3932" s="1530"/>
      <c r="E3932" s="1528">
        <f t="shared" si="120"/>
        <v>5.2540973336509922E-2</v>
      </c>
      <c r="F3932" s="1529"/>
      <c r="G3932" s="78"/>
    </row>
    <row r="3933" spans="1:7" ht="12.75" hidden="1" customHeight="1" outlineLevel="1" x14ac:dyDescent="0.25">
      <c r="A3933" s="1531" t="s">
        <v>2734</v>
      </c>
      <c r="B3933" s="1532"/>
      <c r="C3933" s="1530"/>
      <c r="D3933" s="1533" t="s">
        <v>2465</v>
      </c>
      <c r="E3933" s="1534">
        <f>AVERAGE(E3921:E3932)</f>
        <v>5.2540973336509922E-2</v>
      </c>
      <c r="F3933" s="1535">
        <f>E3933</f>
        <v>5.2540973336509922E-2</v>
      </c>
      <c r="G3933" s="78"/>
    </row>
    <row r="3934" spans="1:7" collapsed="1" x14ac:dyDescent="0.25">
      <c r="A3934" s="3799" t="s">
        <v>10631</v>
      </c>
      <c r="B3934" s="3800"/>
      <c r="C3934" s="3800"/>
      <c r="D3934" s="3800"/>
      <c r="E3934" s="18"/>
      <c r="F3934" s="186">
        <f>IF(F3933&lt;-5%,-5%,IF(F3933&gt;50%,50%,F3933))</f>
        <v>5.2540973336509922E-2</v>
      </c>
      <c r="G3934" s="78"/>
    </row>
    <row r="3936" spans="1:7" ht="12.75" hidden="1" customHeight="1" outlineLevel="1" x14ac:dyDescent="0.25">
      <c r="A3936" s="15" t="s">
        <v>113</v>
      </c>
      <c r="B3936" s="15" t="s">
        <v>114</v>
      </c>
      <c r="C3936" s="15" t="s">
        <v>112</v>
      </c>
      <c r="D3936" s="15" t="s">
        <v>116</v>
      </c>
      <c r="E3936" s="15" t="s">
        <v>117</v>
      </c>
      <c r="F3936" s="15" t="s">
        <v>121</v>
      </c>
      <c r="G3936" s="78"/>
    </row>
    <row r="3937" spans="1:11" ht="12.75" hidden="1" customHeight="1" outlineLevel="1" x14ac:dyDescent="0.25">
      <c r="A3937" s="4">
        <v>1</v>
      </c>
      <c r="B3937" s="5" t="s">
        <v>252</v>
      </c>
      <c r="C3937" s="6">
        <v>100</v>
      </c>
      <c r="D3937" s="6"/>
      <c r="E3937" s="9"/>
      <c r="F3937" s="10"/>
      <c r="G3937" s="78"/>
    </row>
    <row r="3938" spans="1:11" ht="12.75" hidden="1" customHeight="1" outlineLevel="1" x14ac:dyDescent="0.25">
      <c r="A3938" s="21" t="s">
        <v>2734</v>
      </c>
      <c r="B3938" s="21"/>
      <c r="C3938" s="11"/>
      <c r="D3938" s="32" t="s">
        <v>3702</v>
      </c>
      <c r="E3938" s="33">
        <f>indexy!$B$2</f>
        <v>45379</v>
      </c>
      <c r="F3938" s="38"/>
      <c r="G3938" s="78"/>
    </row>
    <row r="3939" spans="1:11" ht="12.75" hidden="1" customHeight="1" outlineLevel="1" x14ac:dyDescent="0.25">
      <c r="A3939" s="1517" t="s">
        <v>4156</v>
      </c>
      <c r="B3939" s="1517" t="s">
        <v>4153</v>
      </c>
      <c r="C3939" s="1518" t="s">
        <v>112</v>
      </c>
      <c r="D3939" s="1519" t="s">
        <v>4155</v>
      </c>
      <c r="E3939" s="1519" t="s">
        <v>4154</v>
      </c>
      <c r="F3939" s="1519" t="s">
        <v>2519</v>
      </c>
      <c r="G3939" s="78"/>
    </row>
    <row r="3940" spans="1:11" ht="12.75" hidden="1" customHeight="1" outlineLevel="1" x14ac:dyDescent="0.25">
      <c r="A3940" s="2034">
        <v>0.08</v>
      </c>
      <c r="B3940" s="2035" t="s">
        <v>8764</v>
      </c>
      <c r="C3940" s="2037">
        <v>32.390999999999998</v>
      </c>
      <c r="D3940" s="2039">
        <f>VLOOKUP($H3940,indexy!$C$44:$D$823,2,FALSE)/100</f>
        <v>28.37</v>
      </c>
      <c r="E3940" s="2040">
        <f>$D3940/$C3940-1</f>
        <v>-0.12413942144422829</v>
      </c>
      <c r="F3940" s="2062">
        <f>$E3940*$A3940</f>
        <v>-9.9311537155382639E-3</v>
      </c>
      <c r="G3940" s="78"/>
      <c r="H3940" t="str">
        <f>VLOOKUP(B3940,indexy!$A$44:$D$823,3,FALSE)</f>
        <v>ADM LN Equity</v>
      </c>
      <c r="K3940" s="434"/>
    </row>
    <row r="3941" spans="1:11" ht="12.75" hidden="1" customHeight="1" outlineLevel="1" x14ac:dyDescent="0.25">
      <c r="A3941" s="1911">
        <v>7.0000000000000007E-2</v>
      </c>
      <c r="B3941" s="2035" t="s">
        <v>2697</v>
      </c>
      <c r="C3941" s="2037">
        <v>16.728999999999999</v>
      </c>
      <c r="D3941" s="2042">
        <f>VLOOKUP(H3941,indexy!$C$44:$D$823,2,FALSE)</f>
        <v>23.46</v>
      </c>
      <c r="E3941" s="2043">
        <f t="shared" ref="E3941:E3969" si="121">$D3941/$C3941-1</f>
        <v>0.40235519158347799</v>
      </c>
      <c r="F3941" s="2065">
        <f t="shared" ref="F3941:F3968" si="122">$E3941*$A3941</f>
        <v>2.8164863410843462E-2</v>
      </c>
      <c r="G3941" s="78"/>
      <c r="H3941" t="str">
        <f>VLOOKUP(B3941,indexy!$A$44:$D$823,3,FALSE)</f>
        <v>G IM Equity</v>
      </c>
      <c r="K3941" s="434"/>
    </row>
    <row r="3942" spans="1:11" ht="12.75" hidden="1" customHeight="1" outlineLevel="1" x14ac:dyDescent="0.25">
      <c r="A3942" s="1911">
        <v>0.02</v>
      </c>
      <c r="B3942" s="2035" t="s">
        <v>218</v>
      </c>
      <c r="C3942" s="2037">
        <v>21.5745</v>
      </c>
      <c r="D3942" s="2042">
        <f>VLOOKUP(H3942,indexy!$C$44:$D$823,2,FALSE)</f>
        <v>34.814999999999998</v>
      </c>
      <c r="E3942" s="2043">
        <f t="shared" si="121"/>
        <v>0.61371063060557596</v>
      </c>
      <c r="F3942" s="2065">
        <f t="shared" si="122"/>
        <v>1.2274212612111519E-2</v>
      </c>
      <c r="G3942" s="78"/>
      <c r="H3942" t="str">
        <f>VLOOKUP(B3942,indexy!$A$44:$D$823,3,FALSE)</f>
        <v>CS FP Equity</v>
      </c>
      <c r="K3942" s="434"/>
    </row>
    <row r="3943" spans="1:11" ht="12.75" hidden="1" customHeight="1" outlineLevel="1" x14ac:dyDescent="0.25">
      <c r="A3943" s="1911">
        <v>0.03</v>
      </c>
      <c r="B3943" s="2035" t="s">
        <v>805</v>
      </c>
      <c r="C3943" s="2037">
        <v>125.23699999999999</v>
      </c>
      <c r="D3943" s="2042">
        <f>VLOOKUP(H3943,indexy!$C$44:$D$823,2,FALSE)</f>
        <v>132.25</v>
      </c>
      <c r="E3943" s="2043">
        <f t="shared" si="121"/>
        <v>5.599782811788856E-2</v>
      </c>
      <c r="F3943" s="2065">
        <f t="shared" si="122"/>
        <v>1.6799348435366567E-3</v>
      </c>
      <c r="G3943" s="78"/>
      <c r="H3943" t="str">
        <f>VLOOKUP(B3943,indexy!$A$44:$D$823,3,FALSE)</f>
        <v>BMO CT Equity</v>
      </c>
      <c r="K3943" s="434"/>
    </row>
    <row r="3944" spans="1:11" ht="12.75" hidden="1" customHeight="1" outlineLevel="1" x14ac:dyDescent="0.25">
      <c r="A3944" s="1911">
        <v>0.03</v>
      </c>
      <c r="B3944" s="2035" t="s">
        <v>5748</v>
      </c>
      <c r="C3944" s="2037">
        <v>78.444000000000003</v>
      </c>
      <c r="D3944" s="2042">
        <f>VLOOKUP(H3944,indexy!$C$44:$D$823,2,FALSE)</f>
        <v>70.069999999999993</v>
      </c>
      <c r="E3944" s="2043">
        <f t="shared" si="121"/>
        <v>-0.10675131303860086</v>
      </c>
      <c r="F3944" s="2065">
        <f t="shared" si="122"/>
        <v>-3.2025393911580256E-3</v>
      </c>
      <c r="G3944" s="78"/>
      <c r="H3944" t="str">
        <f>VLOOKUP(B3944,indexy!$A$44:$D$823,3,FALSE)</f>
        <v>BNS CT Equity</v>
      </c>
      <c r="K3944" s="434"/>
    </row>
    <row r="3945" spans="1:11" ht="12.75" hidden="1" customHeight="1" outlineLevel="1" x14ac:dyDescent="0.25">
      <c r="A3945" s="1911">
        <v>0.02</v>
      </c>
      <c r="B3945" s="2035" t="s">
        <v>807</v>
      </c>
      <c r="C3945" s="2037">
        <v>62.087000000000003</v>
      </c>
      <c r="D3945" s="2042">
        <f>VLOOKUP(H3945,indexy!$C$44:$D$823,2,FALSE)</f>
        <v>46.03</v>
      </c>
      <c r="E3945" s="2043">
        <f t="shared" si="121"/>
        <v>-0.25862096735226381</v>
      </c>
      <c r="F3945" s="2065">
        <f t="shared" si="122"/>
        <v>-5.1724193470452763E-3</v>
      </c>
      <c r="G3945" s="78"/>
      <c r="H3945" t="str">
        <f>VLOOKUP(B3945,indexy!$A$44:$D$823,3,FALSE)</f>
        <v>BCE CT Equity</v>
      </c>
      <c r="K3945" s="434"/>
    </row>
    <row r="3946" spans="1:11" ht="12.75" hidden="1" customHeight="1" outlineLevel="1" x14ac:dyDescent="0.25">
      <c r="A3946" s="1911">
        <v>0.02</v>
      </c>
      <c r="B3946" s="2035" t="s">
        <v>3954</v>
      </c>
      <c r="C3946" s="2037">
        <f>142.247/2</f>
        <v>71.123500000000007</v>
      </c>
      <c r="D3946" s="2042">
        <f>VLOOKUP(H3946,indexy!$C$44:$D$823,2,FALSE)</f>
        <v>68.67</v>
      </c>
      <c r="E3946" s="2043">
        <f t="shared" si="121"/>
        <v>-3.4496333841838589E-2</v>
      </c>
      <c r="F3946" s="2065">
        <f t="shared" si="122"/>
        <v>-6.8992667683677184E-4</v>
      </c>
      <c r="G3946" s="78"/>
      <c r="H3946" t="str">
        <f>VLOOKUP(B3946,indexy!$A$44:$D$823,3,FALSE)</f>
        <v>CM CT Equity</v>
      </c>
      <c r="K3946" s="434"/>
    </row>
    <row r="3947" spans="1:11" ht="12.75" hidden="1" customHeight="1" outlineLevel="1" x14ac:dyDescent="0.25">
      <c r="A3947" s="1911">
        <v>0.04</v>
      </c>
      <c r="B3947" s="2035" t="s">
        <v>1319</v>
      </c>
      <c r="C3947" s="2037">
        <v>73.525000000000006</v>
      </c>
      <c r="D3947" s="2042">
        <f>VLOOKUP(H3947,indexy!$C$44:$D$823,2,FALSE)</f>
        <v>90.81</v>
      </c>
      <c r="E3947" s="2043">
        <f t="shared" si="121"/>
        <v>0.23509010540632436</v>
      </c>
      <c r="F3947" s="2065">
        <f t="shared" si="122"/>
        <v>9.403604216252975E-3</v>
      </c>
      <c r="G3947" s="78"/>
      <c r="H3947" t="str">
        <f>VLOOKUP(B3947,indexy!$A$44:$D$823,3,FALSE)</f>
        <v>ED UN Equity</v>
      </c>
      <c r="K3947" s="434"/>
    </row>
    <row r="3948" spans="1:11" ht="12.75" hidden="1" customHeight="1" outlineLevel="1" x14ac:dyDescent="0.25">
      <c r="A3948" s="1911">
        <v>0.04</v>
      </c>
      <c r="B3948" s="2035" t="s">
        <v>4387</v>
      </c>
      <c r="C3948" s="2037">
        <v>10.218</v>
      </c>
      <c r="D3948" s="2042">
        <f>VLOOKUP(H3948,indexy!$C$44:$D$823,2,FALSE)</f>
        <v>12.885</v>
      </c>
      <c r="E3948" s="2043">
        <f t="shared" si="121"/>
        <v>0.26100998238402817</v>
      </c>
      <c r="F3948" s="2065">
        <f t="shared" si="122"/>
        <v>1.0440399295361127E-2</v>
      </c>
      <c r="G3948" s="78"/>
      <c r="H3948" t="str">
        <f>VLOOKUP(B3948,indexy!$A$44:$D$823,3,FALSE)</f>
        <v>EOAN GY Equity</v>
      </c>
      <c r="K3948" s="434"/>
    </row>
    <row r="3949" spans="1:11" ht="12.75" hidden="1" customHeight="1" outlineLevel="1" x14ac:dyDescent="0.25">
      <c r="A3949" s="1911">
        <v>0.02</v>
      </c>
      <c r="B3949" s="2035" t="s">
        <v>7855</v>
      </c>
      <c r="C3949" s="2037">
        <v>49.331000000000003</v>
      </c>
      <c r="D3949" s="2042">
        <f>VLOOKUP(H3949,indexy!$C$44:$D$823,2,FALSE)</f>
        <v>48.95</v>
      </c>
      <c r="E3949" s="2043">
        <f t="shared" si="121"/>
        <v>-7.7233382659990246E-3</v>
      </c>
      <c r="F3949" s="2065">
        <f t="shared" si="122"/>
        <v>-1.5446676531998051E-4</v>
      </c>
      <c r="G3949" s="78"/>
      <c r="H3949" t="str">
        <f>VLOOKUP(B3949,indexy!$A$44:$D$823,3,FALSE)</f>
        <v>ENB CT Equity</v>
      </c>
      <c r="K3949" s="434"/>
    </row>
    <row r="3950" spans="1:11" ht="12.75" hidden="1" customHeight="1" outlineLevel="1" x14ac:dyDescent="0.25">
      <c r="A3950" s="1911">
        <v>0.02</v>
      </c>
      <c r="B3950" s="2035" t="s">
        <v>3798</v>
      </c>
      <c r="C3950" s="2037">
        <v>7.8920000000000003</v>
      </c>
      <c r="D3950" s="2042">
        <f>VLOOKUP(H3950,indexy!$C$44:$D$823,2,FALSE)</f>
        <v>6.1189999999999998</v>
      </c>
      <c r="E3950" s="2043">
        <f t="shared" si="121"/>
        <v>-0.22465788139888498</v>
      </c>
      <c r="F3950" s="2065">
        <f t="shared" si="122"/>
        <v>-4.4931576279776996E-3</v>
      </c>
      <c r="G3950" s="78"/>
      <c r="H3950" t="str">
        <f>VLOOKUP(B3950,indexy!$A$44:$D$823,3,FALSE)</f>
        <v>ENEL IM Equity</v>
      </c>
      <c r="K3950" s="434"/>
    </row>
    <row r="3951" spans="1:11" ht="12.75" hidden="1" customHeight="1" outlineLevel="1" x14ac:dyDescent="0.25">
      <c r="A3951" s="1911">
        <v>0.03</v>
      </c>
      <c r="B3951" s="2035" t="s">
        <v>1031</v>
      </c>
      <c r="C3951" s="2037">
        <v>10.26</v>
      </c>
      <c r="D3951" s="2042">
        <f>VLOOKUP(H3951,indexy!$C$44:$D$823,2,FALSE)</f>
        <v>11.494999999999999</v>
      </c>
      <c r="E3951" s="2043">
        <f t="shared" si="121"/>
        <v>0.12037037037037024</v>
      </c>
      <c r="F3951" s="2065">
        <f t="shared" si="122"/>
        <v>3.611111111111107E-3</v>
      </c>
      <c r="G3951" s="78"/>
      <c r="H3951" t="str">
        <f>VLOOKUP(B3951,indexy!$A$44:$D$823,3,FALSE)</f>
        <v>IBE SQ Equity</v>
      </c>
      <c r="K3951" s="434"/>
    </row>
    <row r="3952" spans="1:11" ht="12.75" hidden="1" customHeight="1" outlineLevel="1" x14ac:dyDescent="0.25">
      <c r="A3952" s="1911">
        <v>0.02</v>
      </c>
      <c r="B3952" s="2035" t="s">
        <v>7505</v>
      </c>
      <c r="C3952" s="2038">
        <v>3483.6</v>
      </c>
      <c r="D3952" s="2042">
        <f>VLOOKUP(H3952,indexy!$C$44:$D$823,2,FALSE)</f>
        <v>4468</v>
      </c>
      <c r="E3952" s="2043">
        <f t="shared" si="121"/>
        <v>0.28258123779997701</v>
      </c>
      <c r="F3952" s="2065">
        <f t="shared" si="122"/>
        <v>5.6516247559995408E-3</v>
      </c>
      <c r="G3952" s="78"/>
      <c r="H3952" t="str">
        <f>VLOOKUP(B3952,indexy!$A$44:$D$823,3,FALSE)</f>
        <v>9433 JT Equity</v>
      </c>
      <c r="K3952" s="434"/>
    </row>
    <row r="3953" spans="1:11" ht="12.75" hidden="1" customHeight="1" outlineLevel="1" x14ac:dyDescent="0.25">
      <c r="A3953" s="1911">
        <v>0.04</v>
      </c>
      <c r="B3953" s="2035" t="s">
        <v>247</v>
      </c>
      <c r="C3953" s="2037">
        <f>3073.3/3</f>
        <v>1024.4333333333334</v>
      </c>
      <c r="D3953" s="2042">
        <f>VLOOKUP(H3953,indexy!$C$44:$D$823,2,FALSE)</f>
        <v>3483</v>
      </c>
      <c r="E3953" s="2043">
        <f t="shared" si="121"/>
        <v>2.3999284157094976</v>
      </c>
      <c r="F3953" s="2065">
        <f t="shared" si="122"/>
        <v>9.59971366283799E-2</v>
      </c>
      <c r="G3953" s="78"/>
      <c r="H3953" t="str">
        <f>VLOOKUP(B3953,indexy!$A$44:$D$823,3,FALSE)</f>
        <v>8058 JT Equity</v>
      </c>
      <c r="K3953" s="434"/>
    </row>
    <row r="3954" spans="1:11" ht="12.75" hidden="1" customHeight="1" outlineLevel="1" x14ac:dyDescent="0.25">
      <c r="A3954" s="1911">
        <v>0.02</v>
      </c>
      <c r="B3954" s="2035" t="s">
        <v>3528</v>
      </c>
      <c r="C3954" s="2037">
        <v>1576</v>
      </c>
      <c r="D3954" s="2042">
        <f>VLOOKUP(H3954,indexy!$C$44:$D$823,2,FALSE)</f>
        <v>2988</v>
      </c>
      <c r="E3954" s="2043">
        <f t="shared" si="121"/>
        <v>0.89593908629441632</v>
      </c>
      <c r="F3954" s="2065">
        <f t="shared" si="122"/>
        <v>1.7918781725888327E-2</v>
      </c>
      <c r="G3954" s="78"/>
      <c r="H3954" t="str">
        <f>VLOOKUP(B3954,indexy!$A$44:$D$823,3,FALSE)</f>
        <v>8411 JT Equity</v>
      </c>
      <c r="K3954" s="434"/>
    </row>
    <row r="3955" spans="1:11" ht="12.75" hidden="1" customHeight="1" outlineLevel="1" x14ac:dyDescent="0.25">
      <c r="A3955" s="1911">
        <v>0.05</v>
      </c>
      <c r="B3955" s="2035" t="s">
        <v>2786</v>
      </c>
      <c r="C3955" s="2037">
        <v>9.3392999999999997</v>
      </c>
      <c r="D3955" s="2042">
        <f>VLOOKUP(H3955,indexy!$C$44:$D$823,2,FALSE)/100</f>
        <v>10.66</v>
      </c>
      <c r="E3955" s="2043">
        <f t="shared" si="121"/>
        <v>0.14141316801045045</v>
      </c>
      <c r="F3955" s="2065">
        <f t="shared" si="122"/>
        <v>7.0706584005225228E-3</v>
      </c>
      <c r="G3955" s="78"/>
      <c r="H3955" t="str">
        <f>VLOOKUP(B3955,indexy!$A$44:$D$823,3,FALSE)</f>
        <v>NG/ LN Equity</v>
      </c>
      <c r="K3955" s="434"/>
    </row>
    <row r="3956" spans="1:11" ht="12.75" hidden="1" customHeight="1" outlineLevel="1" x14ac:dyDescent="0.25">
      <c r="A3956" s="1911">
        <v>0.02</v>
      </c>
      <c r="B3956" s="2035" t="s">
        <v>2787</v>
      </c>
      <c r="C3956" s="2037">
        <v>84.192999999999998</v>
      </c>
      <c r="D3956" s="2042">
        <f>VLOOKUP(H3956,indexy!$C$44:$D$823,2,FALSE)</f>
        <v>87.37</v>
      </c>
      <c r="E3956" s="2043">
        <f t="shared" si="121"/>
        <v>3.7734728540377516E-2</v>
      </c>
      <c r="F3956" s="2065">
        <f t="shared" si="122"/>
        <v>7.546945708075503E-4</v>
      </c>
      <c r="G3956" s="78"/>
      <c r="H3956" t="str">
        <f>VLOOKUP(B3956,indexy!$A$44:$D$823,3,FALSE)</f>
        <v>NOVN SE Equity</v>
      </c>
      <c r="K3956" s="434"/>
    </row>
    <row r="3957" spans="1:11" ht="12.75" hidden="1" customHeight="1" outlineLevel="1" x14ac:dyDescent="0.25">
      <c r="A3957" s="1911">
        <v>7.0000000000000007E-2</v>
      </c>
      <c r="B3957" s="2035" t="s">
        <v>5824</v>
      </c>
      <c r="C3957" s="2037">
        <v>9.5</v>
      </c>
      <c r="D3957" s="2042">
        <f>VLOOKUP(H3957,indexy!$C$44:$D$823,2,FALSE)</f>
        <v>10.888</v>
      </c>
      <c r="E3957" s="2043">
        <f t="shared" si="121"/>
        <v>0.14610526315789474</v>
      </c>
      <c r="F3957" s="2065">
        <f t="shared" si="122"/>
        <v>1.0227368421052633E-2</v>
      </c>
      <c r="G3957" s="78"/>
      <c r="H3957" t="str">
        <f>VLOOKUP(B3957,indexy!$A$44:$D$823,3,FALSE)</f>
        <v>ORA FP Equity</v>
      </c>
      <c r="K3957" s="434"/>
    </row>
    <row r="3958" spans="1:11" ht="12.75" hidden="1" customHeight="1" outlineLevel="1" x14ac:dyDescent="0.25">
      <c r="A3958" s="1911">
        <v>0.02</v>
      </c>
      <c r="B3958" s="2035" t="s">
        <v>10429</v>
      </c>
      <c r="C3958" s="2037">
        <v>38.94</v>
      </c>
      <c r="D3958" s="2042">
        <f>VLOOKUP(H3958,indexy!$C$44:$D$823,2,FALSE)</f>
        <v>37.979999999999997</v>
      </c>
      <c r="E3958" s="2043">
        <f t="shared" si="121"/>
        <v>-2.4653312788906034E-2</v>
      </c>
      <c r="F3958" s="2065">
        <f t="shared" si="122"/>
        <v>-4.930662557781207E-4</v>
      </c>
      <c r="G3958" s="78"/>
      <c r="H3958" t="str">
        <f>VLOOKUP(B3958,indexy!$A$44:$D$823,3,FALSE)</f>
        <v>POW CT Equity</v>
      </c>
      <c r="K3958" s="434"/>
    </row>
    <row r="3959" spans="1:11" ht="12.75" hidden="1" customHeight="1" outlineLevel="1" x14ac:dyDescent="0.25">
      <c r="A3959" s="1911">
        <v>0.02</v>
      </c>
      <c r="B3959" s="2035" t="s">
        <v>2728</v>
      </c>
      <c r="C3959" s="2037">
        <v>127.127</v>
      </c>
      <c r="D3959" s="2042">
        <f>VLOOKUP(H3959,indexy!$C$44:$D$823,2,FALSE)</f>
        <v>136.62</v>
      </c>
      <c r="E3959" s="2043">
        <f t="shared" si="121"/>
        <v>7.4673358137925083E-2</v>
      </c>
      <c r="F3959" s="2065">
        <f t="shared" si="122"/>
        <v>1.4934671627585016E-3</v>
      </c>
      <c r="G3959" s="78"/>
      <c r="H3959" t="str">
        <f>VLOOKUP(B3959,indexy!$A$44:$D$823,3,FALSE)</f>
        <v>RY CT Equity</v>
      </c>
      <c r="K3959" s="434"/>
    </row>
    <row r="3960" spans="1:11" ht="12.75" hidden="1" customHeight="1" outlineLevel="1" x14ac:dyDescent="0.25">
      <c r="A3960" s="1911">
        <v>0.02</v>
      </c>
      <c r="B3960" s="2035" t="s">
        <v>1187</v>
      </c>
      <c r="C3960" s="2037">
        <v>87.510999999999996</v>
      </c>
      <c r="D3960" s="2042">
        <f>VLOOKUP(H3960,indexy!$C$44:$D$823,2,FALSE)</f>
        <v>90.96</v>
      </c>
      <c r="E3960" s="2043">
        <f t="shared" si="121"/>
        <v>3.9412188182057051E-2</v>
      </c>
      <c r="F3960" s="2065">
        <f t="shared" si="122"/>
        <v>7.8824376364114098E-4</v>
      </c>
      <c r="G3960" s="78"/>
      <c r="H3960" t="str">
        <f>VLOOKUP(B3960,indexy!$A$44:$D$823,3,FALSE)</f>
        <v>SAN FP Equity</v>
      </c>
      <c r="K3960" s="434"/>
    </row>
    <row r="3961" spans="1:11" ht="12.75" hidden="1" customHeight="1" outlineLevel="1" x14ac:dyDescent="0.25">
      <c r="A3961" s="1911">
        <v>0.03</v>
      </c>
      <c r="B3961" s="2035" t="s">
        <v>4460</v>
      </c>
      <c r="C3961" s="2037">
        <v>26.791</v>
      </c>
      <c r="D3961" s="2042">
        <f>VLOOKUP(H3961,indexy!$C$44:$D$823,2,FALSE)/100</f>
        <v>24.7</v>
      </c>
      <c r="E3961" s="2043">
        <f t="shared" si="121"/>
        <v>-7.804859840991385E-2</v>
      </c>
      <c r="F3961" s="2065">
        <f t="shared" si="122"/>
        <v>-2.3414579522974153E-3</v>
      </c>
      <c r="G3961" s="78"/>
      <c r="H3961" t="str">
        <f>VLOOKUP(B3961,indexy!$A$44:$D$823,3,FALSE)</f>
        <v>SVT LN Equity</v>
      </c>
      <c r="K3961" s="434"/>
    </row>
    <row r="3962" spans="1:11" ht="12.75" hidden="1" customHeight="1" outlineLevel="1" x14ac:dyDescent="0.25">
      <c r="A3962" s="1911">
        <v>0.06</v>
      </c>
      <c r="B3962" s="2035" t="s">
        <v>10529</v>
      </c>
      <c r="C3962" s="2037">
        <v>1463.2</v>
      </c>
      <c r="D3962" s="2042">
        <f>VLOOKUP(H3962,indexy!$C$44:$D$823,2,FALSE)</f>
        <v>1941</v>
      </c>
      <c r="E3962" s="2043">
        <f t="shared" si="121"/>
        <v>0.32654455986878062</v>
      </c>
      <c r="F3962" s="2065">
        <f t="shared" si="122"/>
        <v>1.9592673592126835E-2</v>
      </c>
      <c r="G3962" s="78"/>
      <c r="H3962" t="str">
        <f>VLOOKUP(B3962,indexy!$A$44:$D$823,3,FALSE)</f>
        <v>9434 JT Equity</v>
      </c>
      <c r="K3962" s="434"/>
    </row>
    <row r="3963" spans="1:11" ht="12.75" hidden="1" customHeight="1" outlineLevel="1" x14ac:dyDescent="0.25">
      <c r="A3963" s="1911">
        <v>0.02</v>
      </c>
      <c r="B3963" s="2035" t="s">
        <v>6118</v>
      </c>
      <c r="C3963" s="2037">
        <v>83.372</v>
      </c>
      <c r="D3963" s="2042">
        <f>VLOOKUP(H3963,indexy!$C$44:$D$823,2,FALSE)</f>
        <v>115.95</v>
      </c>
      <c r="E3963" s="2043">
        <f t="shared" si="121"/>
        <v>0.39075468982392181</v>
      </c>
      <c r="F3963" s="2065">
        <f t="shared" si="122"/>
        <v>7.8150937964784357E-3</v>
      </c>
      <c r="G3963" s="78"/>
      <c r="H3963" t="str">
        <f>VLOOKUP(B3963,indexy!$A$44:$D$823,3,FALSE)</f>
        <v>SREN SE Equity</v>
      </c>
      <c r="K3963" s="434"/>
    </row>
    <row r="3964" spans="1:11" ht="12.75" hidden="1" customHeight="1" outlineLevel="1" x14ac:dyDescent="0.25">
      <c r="A3964" s="1911">
        <v>7.0000000000000007E-2</v>
      </c>
      <c r="B3964" s="2035" t="s">
        <v>1239</v>
      </c>
      <c r="C3964" s="2037">
        <v>540.26</v>
      </c>
      <c r="D3964" s="2042">
        <f>VLOOKUP(H3964,indexy!$C$44:$D$823,2,FALSE)</f>
        <v>551.4</v>
      </c>
      <c r="E3964" s="2043">
        <f t="shared" si="121"/>
        <v>2.0619701625143483E-2</v>
      </c>
      <c r="F3964" s="2065">
        <f t="shared" si="122"/>
        <v>1.443379113760044E-3</v>
      </c>
      <c r="G3964" s="78"/>
      <c r="H3964" t="str">
        <f>VLOOKUP(B3964,indexy!$A$44:$D$823,3,FALSE)</f>
        <v>SCMN SE Equity</v>
      </c>
      <c r="K3964" s="434"/>
    </row>
    <row r="3965" spans="1:11" ht="12.75" hidden="1" customHeight="1" outlineLevel="1" x14ac:dyDescent="0.25">
      <c r="A3965" s="1911">
        <v>0.04</v>
      </c>
      <c r="B3965" s="2035" t="s">
        <v>3022</v>
      </c>
      <c r="C3965" s="2037">
        <v>3717.4</v>
      </c>
      <c r="D3965" s="2042">
        <f>VLOOKUP(H3965,indexy!$C$44:$D$823,2,FALSE)</f>
        <v>4203</v>
      </c>
      <c r="E3965" s="2043">
        <f t="shared" si="121"/>
        <v>0.13062893420132338</v>
      </c>
      <c r="F3965" s="2065">
        <f t="shared" si="122"/>
        <v>5.2251573680529356E-3</v>
      </c>
      <c r="G3965" s="78"/>
      <c r="H3965" t="str">
        <f>VLOOKUP(B3965,indexy!$A$44:$D$823,3,FALSE)</f>
        <v>4502 JT Equity</v>
      </c>
      <c r="K3965" s="434"/>
    </row>
    <row r="3966" spans="1:11" ht="12.75" hidden="1" customHeight="1" outlineLevel="1" x14ac:dyDescent="0.25">
      <c r="A3966" s="1911">
        <v>0.02</v>
      </c>
      <c r="B3966" s="2035" t="s">
        <v>366</v>
      </c>
      <c r="C3966" s="2037">
        <v>61.573</v>
      </c>
      <c r="D3966" s="2042">
        <f>VLOOKUP(H3966,indexy!$C$44:$D$823,2,FALSE)</f>
        <v>54.44</v>
      </c>
      <c r="E3966" s="2043">
        <f t="shared" si="121"/>
        <v>-0.11584623130268146</v>
      </c>
      <c r="F3966" s="2065">
        <f t="shared" si="122"/>
        <v>-2.3169246260536292E-3</v>
      </c>
      <c r="G3966" s="78"/>
      <c r="H3966" t="str">
        <f>VLOOKUP(B3966,indexy!$A$44:$D$823,3,FALSE)</f>
        <v>TRP CT Equity</v>
      </c>
      <c r="K3966" s="434"/>
    </row>
    <row r="3967" spans="1:11" ht="12.75" hidden="1" customHeight="1" outlineLevel="1" x14ac:dyDescent="0.25">
      <c r="A3967" s="1911">
        <v>0.02</v>
      </c>
      <c r="B3967" s="2035" t="s">
        <v>3626</v>
      </c>
      <c r="C3967" s="2037">
        <v>83.852000000000004</v>
      </c>
      <c r="D3967" s="2042">
        <f>VLOOKUP(H3967,indexy!$C$44:$D$823,2,FALSE)</f>
        <v>81.75</v>
      </c>
      <c r="E3967" s="2043">
        <f t="shared" si="121"/>
        <v>-2.5067976911701595E-2</v>
      </c>
      <c r="F3967" s="2065">
        <f t="shared" si="122"/>
        <v>-5.0135953823403194E-4</v>
      </c>
      <c r="G3967" s="78"/>
      <c r="H3967" t="str">
        <f>VLOOKUP(B3967,indexy!$A$44:$D$823,3,FALSE)</f>
        <v>TD CT Equity</v>
      </c>
      <c r="K3967" s="434"/>
    </row>
    <row r="3968" spans="1:11" ht="12.75" hidden="1" customHeight="1" outlineLevel="1" x14ac:dyDescent="0.25">
      <c r="A3968" s="1911">
        <v>0.02</v>
      </c>
      <c r="B3968" s="2035" t="s">
        <v>255</v>
      </c>
      <c r="C3968" s="2037">
        <v>56.069000000000003</v>
      </c>
      <c r="D3968" s="2042">
        <f>VLOOKUP(H3968,indexy!$C$44:$D$823,2,FALSE)</f>
        <v>41.96</v>
      </c>
      <c r="E3968" s="2043">
        <f t="shared" si="121"/>
        <v>-0.25163637660739446</v>
      </c>
      <c r="F3968" s="2065">
        <f t="shared" si="122"/>
        <v>-5.032727532147889E-3</v>
      </c>
      <c r="G3968" s="78"/>
      <c r="H3968" t="str">
        <f>VLOOKUP(B3968,indexy!$A$44:$D$823,3,FALSE)</f>
        <v>VZ UN Equity</v>
      </c>
      <c r="K3968" s="434"/>
    </row>
    <row r="3969" spans="1:11" ht="12.75" hidden="1" customHeight="1" outlineLevel="1" x14ac:dyDescent="0.25">
      <c r="A3969" s="1911">
        <v>0.02</v>
      </c>
      <c r="B3969" s="2036" t="s">
        <v>4550</v>
      </c>
      <c r="C3969" s="2037">
        <v>363.31</v>
      </c>
      <c r="D3969" s="2045">
        <f>VLOOKUP(H3969,indexy!$C$44:$D$823,2,FALSE)</f>
        <v>486.3</v>
      </c>
      <c r="E3969" s="2046">
        <f t="shared" si="121"/>
        <v>0.3385263273788226</v>
      </c>
      <c r="F3969" s="3424">
        <f>$E3969*$A3969</f>
        <v>6.7705265475764519E-3</v>
      </c>
      <c r="G3969" s="78"/>
      <c r="H3969" t="str">
        <f>VLOOKUP(B3969,indexy!$A$44:$D$823,3,FALSE)</f>
        <v>ZURN SE Equity</v>
      </c>
      <c r="K3969" s="434"/>
    </row>
    <row r="3970" spans="1:11" ht="12.75" hidden="1" customHeight="1" outlineLevel="1" x14ac:dyDescent="0.25">
      <c r="A3970" s="2048" t="s">
        <v>2734</v>
      </c>
      <c r="B3970" s="2049"/>
      <c r="C3970" s="2050"/>
      <c r="D3970" s="2051"/>
      <c r="E3970" s="2052"/>
      <c r="F3970" s="2052">
        <f>SUM(F3940:F3969)</f>
        <v>0.21199373190787454</v>
      </c>
      <c r="G3970" s="78"/>
    </row>
    <row r="3971" spans="1:11" ht="12.75" hidden="1" customHeight="1" outlineLevel="1" x14ac:dyDescent="0.25">
      <c r="A3971" s="2053"/>
      <c r="B3971" s="2054">
        <v>46174</v>
      </c>
      <c r="C3971" s="2055">
        <v>100</v>
      </c>
      <c r="D3971" s="2055"/>
      <c r="E3971" s="2056">
        <f>IF(D3971="",$F$3970,D3971/C3971-1)</f>
        <v>0.21199373190787454</v>
      </c>
      <c r="F3971" s="2072"/>
      <c r="G3971" s="78"/>
    </row>
    <row r="3972" spans="1:11" ht="12.75" hidden="1" customHeight="1" outlineLevel="1" x14ac:dyDescent="0.25">
      <c r="A3972" s="2053"/>
      <c r="B3972" s="2054">
        <v>46204</v>
      </c>
      <c r="C3972" s="2055">
        <v>100</v>
      </c>
      <c r="D3972" s="2058"/>
      <c r="E3972" s="2056">
        <f t="shared" ref="E3972:E3982" si="123">IF(D3972="",$F$3970,D3972/C3972-1)</f>
        <v>0.21199373190787454</v>
      </c>
      <c r="F3972" s="2072"/>
      <c r="G3972" s="78"/>
    </row>
    <row r="3973" spans="1:11" ht="12.75" hidden="1" customHeight="1" outlineLevel="1" x14ac:dyDescent="0.25">
      <c r="A3973" s="2053"/>
      <c r="B3973" s="2054">
        <v>46235</v>
      </c>
      <c r="C3973" s="2055">
        <v>100</v>
      </c>
      <c r="D3973" s="2058"/>
      <c r="E3973" s="2056">
        <f t="shared" si="123"/>
        <v>0.21199373190787454</v>
      </c>
      <c r="F3973" s="2072"/>
      <c r="G3973" s="78"/>
    </row>
    <row r="3974" spans="1:11" ht="12.75" hidden="1" customHeight="1" outlineLevel="1" x14ac:dyDescent="0.25">
      <c r="A3974" s="2053"/>
      <c r="B3974" s="2054">
        <v>46266</v>
      </c>
      <c r="C3974" s="2055">
        <v>100</v>
      </c>
      <c r="D3974" s="2058"/>
      <c r="E3974" s="2056">
        <f t="shared" si="123"/>
        <v>0.21199373190787454</v>
      </c>
      <c r="F3974" s="2072"/>
      <c r="G3974" s="78"/>
    </row>
    <row r="3975" spans="1:11" ht="12.75" hidden="1" customHeight="1" outlineLevel="1" x14ac:dyDescent="0.25">
      <c r="A3975" s="2053"/>
      <c r="B3975" s="2054">
        <v>46296</v>
      </c>
      <c r="C3975" s="2055">
        <v>100</v>
      </c>
      <c r="D3975" s="2058"/>
      <c r="E3975" s="2056">
        <f t="shared" si="123"/>
        <v>0.21199373190787454</v>
      </c>
      <c r="F3975" s="2072"/>
      <c r="G3975" s="78"/>
    </row>
    <row r="3976" spans="1:11" ht="12.75" hidden="1" customHeight="1" outlineLevel="1" x14ac:dyDescent="0.25">
      <c r="A3976" s="2053"/>
      <c r="B3976" s="2054">
        <v>46327</v>
      </c>
      <c r="C3976" s="2055">
        <v>100</v>
      </c>
      <c r="D3976" s="2058"/>
      <c r="E3976" s="2056">
        <f t="shared" si="123"/>
        <v>0.21199373190787454</v>
      </c>
      <c r="F3976" s="2072"/>
      <c r="G3976" s="78"/>
    </row>
    <row r="3977" spans="1:11" ht="12.75" hidden="1" customHeight="1" outlineLevel="1" x14ac:dyDescent="0.25">
      <c r="A3977" s="2053"/>
      <c r="B3977" s="2054">
        <v>46357</v>
      </c>
      <c r="C3977" s="2055">
        <v>100</v>
      </c>
      <c r="D3977" s="2058"/>
      <c r="E3977" s="2056">
        <f t="shared" si="123"/>
        <v>0.21199373190787454</v>
      </c>
      <c r="F3977" s="2072"/>
      <c r="G3977" s="78"/>
    </row>
    <row r="3978" spans="1:11" ht="12.75" hidden="1" customHeight="1" outlineLevel="1" x14ac:dyDescent="0.25">
      <c r="A3978" s="2053"/>
      <c r="B3978" s="2054">
        <v>46388</v>
      </c>
      <c r="C3978" s="2055">
        <v>100</v>
      </c>
      <c r="D3978" s="2058"/>
      <c r="E3978" s="2056">
        <f t="shared" si="123"/>
        <v>0.21199373190787454</v>
      </c>
      <c r="F3978" s="2072"/>
      <c r="G3978" s="78"/>
    </row>
    <row r="3979" spans="1:11" ht="12.75" hidden="1" customHeight="1" outlineLevel="1" x14ac:dyDescent="0.25">
      <c r="A3979" s="2053"/>
      <c r="B3979" s="2054">
        <v>46419</v>
      </c>
      <c r="C3979" s="2055">
        <v>100</v>
      </c>
      <c r="D3979" s="2058"/>
      <c r="E3979" s="2056">
        <f t="shared" si="123"/>
        <v>0.21199373190787454</v>
      </c>
      <c r="F3979" s="2072"/>
      <c r="G3979" s="78"/>
    </row>
    <row r="3980" spans="1:11" ht="12.75" hidden="1" customHeight="1" outlineLevel="1" x14ac:dyDescent="0.25">
      <c r="A3980" s="2053"/>
      <c r="B3980" s="2054">
        <v>46447</v>
      </c>
      <c r="C3980" s="2055">
        <v>100</v>
      </c>
      <c r="D3980" s="2058"/>
      <c r="E3980" s="2056">
        <f t="shared" si="123"/>
        <v>0.21199373190787454</v>
      </c>
      <c r="F3980" s="2072"/>
      <c r="G3980" s="78"/>
    </row>
    <row r="3981" spans="1:11" ht="12.75" hidden="1" customHeight="1" outlineLevel="1" x14ac:dyDescent="0.25">
      <c r="A3981" s="2053"/>
      <c r="B3981" s="2054">
        <v>46478</v>
      </c>
      <c r="C3981" s="2055">
        <v>100</v>
      </c>
      <c r="D3981" s="2058"/>
      <c r="E3981" s="2056">
        <f t="shared" si="123"/>
        <v>0.21199373190787454</v>
      </c>
      <c r="F3981" s="2072"/>
      <c r="G3981" s="78"/>
    </row>
    <row r="3982" spans="1:11" ht="12.75" hidden="1" customHeight="1" outlineLevel="1" x14ac:dyDescent="0.25">
      <c r="A3982" s="2053"/>
      <c r="B3982" s="2054">
        <v>46508</v>
      </c>
      <c r="C3982" s="2055">
        <v>100</v>
      </c>
      <c r="D3982" s="2058"/>
      <c r="E3982" s="2056">
        <f t="shared" si="123"/>
        <v>0.21199373190787454</v>
      </c>
      <c r="F3982" s="2072"/>
      <c r="G3982" s="78"/>
    </row>
    <row r="3983" spans="1:11" ht="12.75" hidden="1" customHeight="1" outlineLevel="1" x14ac:dyDescent="0.25">
      <c r="A3983" s="2067" t="s">
        <v>2734</v>
      </c>
      <c r="B3983" s="2068"/>
      <c r="C3983" s="2058"/>
      <c r="D3983" s="2069" t="s">
        <v>2465</v>
      </c>
      <c r="E3983" s="2070">
        <f>AVERAGE(E3971:E3982)</f>
        <v>0.21199373190787454</v>
      </c>
      <c r="F3983" s="2071">
        <f>E3983</f>
        <v>0.21199373190787454</v>
      </c>
      <c r="G3983" s="78"/>
    </row>
    <row r="3984" spans="1:11" collapsed="1" x14ac:dyDescent="0.25">
      <c r="A3984" s="3799" t="s">
        <v>10639</v>
      </c>
      <c r="B3984" s="3800"/>
      <c r="C3984" s="3800"/>
      <c r="D3984" s="3800"/>
      <c r="E3984" s="18"/>
      <c r="F3984" s="186">
        <f>IF(F3983&lt;-5%,-5%,IF(F3983&gt;50%,50%,F3983))</f>
        <v>0.21199373190787454</v>
      </c>
      <c r="G3984" s="78"/>
    </row>
    <row r="3986" spans="1:11" ht="12.75" hidden="1" customHeight="1" outlineLevel="1" x14ac:dyDescent="0.25">
      <c r="A3986" s="15" t="s">
        <v>113</v>
      </c>
      <c r="B3986" s="15" t="s">
        <v>114</v>
      </c>
      <c r="C3986" s="15" t="s">
        <v>112</v>
      </c>
      <c r="D3986" s="15" t="s">
        <v>116</v>
      </c>
      <c r="E3986" s="15" t="s">
        <v>117</v>
      </c>
      <c r="F3986" s="15" t="s">
        <v>121</v>
      </c>
      <c r="G3986" s="78"/>
    </row>
    <row r="3987" spans="1:11" ht="12.75" hidden="1" customHeight="1" outlineLevel="1" x14ac:dyDescent="0.25">
      <c r="A3987" s="4">
        <v>1</v>
      </c>
      <c r="B3987" s="5" t="s">
        <v>252</v>
      </c>
      <c r="C3987" s="6">
        <v>100</v>
      </c>
      <c r="D3987" s="6"/>
      <c r="E3987" s="9"/>
      <c r="F3987" s="10"/>
      <c r="G3987" s="78"/>
    </row>
    <row r="3988" spans="1:11" ht="12.75" hidden="1" customHeight="1" outlineLevel="1" x14ac:dyDescent="0.25">
      <c r="A3988" s="21" t="s">
        <v>2734</v>
      </c>
      <c r="B3988" s="21"/>
      <c r="C3988" s="11"/>
      <c r="D3988" s="32" t="s">
        <v>3702</v>
      </c>
      <c r="E3988" s="33">
        <f>indexy!$B$2</f>
        <v>45379</v>
      </c>
      <c r="F3988" s="38"/>
      <c r="G3988" s="78"/>
    </row>
    <row r="3989" spans="1:11" ht="12.75" hidden="1" customHeight="1" outlineLevel="1" x14ac:dyDescent="0.25">
      <c r="A3989" s="1517" t="s">
        <v>4156</v>
      </c>
      <c r="B3989" s="1517" t="s">
        <v>4153</v>
      </c>
      <c r="C3989" s="1518" t="s">
        <v>112</v>
      </c>
      <c r="D3989" s="1519" t="s">
        <v>4155</v>
      </c>
      <c r="E3989" s="1519" t="s">
        <v>4154</v>
      </c>
      <c r="F3989" s="1519" t="s">
        <v>2519</v>
      </c>
      <c r="G3989" s="78"/>
    </row>
    <row r="3990" spans="1:11" ht="12.75" hidden="1" customHeight="1" outlineLevel="1" x14ac:dyDescent="0.25">
      <c r="A3990" s="2034">
        <v>0.02</v>
      </c>
      <c r="B3990" s="2035" t="s">
        <v>6799</v>
      </c>
      <c r="C3990" s="2037">
        <v>16.178999999999998</v>
      </c>
      <c r="D3990" s="2039">
        <f>VLOOKUP($H3990,indexy!$C$44:$D$823,2,FALSE)</f>
        <v>9.9</v>
      </c>
      <c r="E3990" s="2040">
        <f>$D3990/$C3990-1</f>
        <v>-0.38809567958464664</v>
      </c>
      <c r="F3990" s="2062">
        <f>$E3990*$A3990</f>
        <v>-7.761913591692933E-3</v>
      </c>
      <c r="G3990" s="78"/>
      <c r="H3990" t="str">
        <f>VLOOKUP(B3990,indexy!$A$44:$D$823,3,FALSE)</f>
        <v>AGNC UW Equity</v>
      </c>
      <c r="K3990" s="434"/>
    </row>
    <row r="3991" spans="1:11" ht="12.75" hidden="1" customHeight="1" outlineLevel="1" x14ac:dyDescent="0.25">
      <c r="A3991" s="1911">
        <v>0.02</v>
      </c>
      <c r="B3991" s="2035" t="s">
        <v>802</v>
      </c>
      <c r="C3991" s="2037">
        <v>8.5389999999999997</v>
      </c>
      <c r="D3991" s="2042">
        <f>VLOOKUP(H3991,indexy!$C$44:$D$823,2,FALSE)</f>
        <v>19.690000000000001</v>
      </c>
      <c r="E3991" s="2043">
        <f t="shared" ref="E3991:E4019" si="124">$D3991/$C3991-1</f>
        <v>1.3058906195104814</v>
      </c>
      <c r="F3991" s="2065">
        <f t="shared" ref="F3991:F4018" si="125">$E3991*$A3991</f>
        <v>2.6117812390209629E-2</v>
      </c>
      <c r="G3991" s="78"/>
      <c r="H3991" t="str">
        <f>VLOOKUP(B3991,indexy!$A$44:$D$823,3,FALSE)</f>
        <v>NLY UN Equity</v>
      </c>
      <c r="K3991" s="434"/>
    </row>
    <row r="3992" spans="1:11" ht="12.75" hidden="1" customHeight="1" outlineLevel="1" x14ac:dyDescent="0.25">
      <c r="A3992" s="1911">
        <v>0.05</v>
      </c>
      <c r="B3992" s="2035" t="s">
        <v>2697</v>
      </c>
      <c r="C3992" s="2037">
        <v>17.156500000000001</v>
      </c>
      <c r="D3992" s="2042">
        <f>VLOOKUP(H3992,indexy!$C$44:$D$823,2,FALSE)</f>
        <v>23.46</v>
      </c>
      <c r="E3992" s="2043">
        <f t="shared" si="124"/>
        <v>0.36741176813452614</v>
      </c>
      <c r="F3992" s="2065">
        <f t="shared" si="125"/>
        <v>1.8370588406726309E-2</v>
      </c>
      <c r="G3992" s="78"/>
      <c r="H3992" t="str">
        <f>VLOOKUP(B3992,indexy!$A$44:$D$823,3,FALSE)</f>
        <v>G IM Equity</v>
      </c>
      <c r="K3992" s="434"/>
    </row>
    <row r="3993" spans="1:11" ht="12.75" hidden="1" customHeight="1" outlineLevel="1" x14ac:dyDescent="0.25">
      <c r="A3993" s="1911">
        <v>0.02</v>
      </c>
      <c r="B3993" s="2035" t="s">
        <v>218</v>
      </c>
      <c r="C3993" s="2037">
        <v>24.0945</v>
      </c>
      <c r="D3993" s="2042">
        <f>VLOOKUP(H3993,indexy!$C$44:$D$823,2,FALSE)</f>
        <v>34.814999999999998</v>
      </c>
      <c r="E3993" s="2043">
        <f t="shared" si="124"/>
        <v>0.44493556620805563</v>
      </c>
      <c r="F3993" s="2065">
        <f t="shared" si="125"/>
        <v>8.898711324161113E-3</v>
      </c>
      <c r="G3993" s="78"/>
      <c r="H3993" t="str">
        <f>VLOOKUP(B3993,indexy!$A$44:$D$823,3,FALSE)</f>
        <v>CS FP Equity</v>
      </c>
      <c r="K3993" s="434"/>
    </row>
    <row r="3994" spans="1:11" ht="12.75" hidden="1" customHeight="1" outlineLevel="1" x14ac:dyDescent="0.25">
      <c r="A3994" s="1911">
        <v>0.03</v>
      </c>
      <c r="B3994" s="2035" t="s">
        <v>5748</v>
      </c>
      <c r="C3994" s="2037">
        <v>80.48</v>
      </c>
      <c r="D3994" s="2042">
        <f>VLOOKUP(H3994,indexy!$C$44:$D$823,2,FALSE)</f>
        <v>70.069999999999993</v>
      </c>
      <c r="E3994" s="2043">
        <f t="shared" si="124"/>
        <v>-0.12934890656063636</v>
      </c>
      <c r="F3994" s="2065">
        <f t="shared" si="125"/>
        <v>-3.8804671968190904E-3</v>
      </c>
      <c r="G3994" s="78"/>
      <c r="H3994" t="str">
        <f>VLOOKUP(B3994,indexy!$A$44:$D$823,3,FALSE)</f>
        <v>BNS CT Equity</v>
      </c>
      <c r="K3994" s="434"/>
    </row>
    <row r="3995" spans="1:11" ht="12.75" hidden="1" customHeight="1" outlineLevel="1" x14ac:dyDescent="0.25">
      <c r="A3995" s="1911">
        <v>0.06</v>
      </c>
      <c r="B3995" s="2035" t="s">
        <v>807</v>
      </c>
      <c r="C3995" s="2037">
        <v>64.058000000000007</v>
      </c>
      <c r="D3995" s="2042">
        <f>VLOOKUP(H3995,indexy!$C$44:$D$823,2,FALSE)</f>
        <v>46.03</v>
      </c>
      <c r="E3995" s="2043">
        <f t="shared" si="124"/>
        <v>-0.28143245184051957</v>
      </c>
      <c r="F3995" s="2065">
        <f t="shared" si="125"/>
        <v>-1.6885947110431173E-2</v>
      </c>
      <c r="G3995" s="78"/>
      <c r="H3995" t="str">
        <f>VLOOKUP(B3995,indexy!$A$44:$D$823,3,FALSE)</f>
        <v>BCE CT Equity</v>
      </c>
      <c r="K3995" s="434"/>
    </row>
    <row r="3996" spans="1:11" ht="12.75" hidden="1" customHeight="1" outlineLevel="1" x14ac:dyDescent="0.25">
      <c r="A3996" s="1911">
        <v>0.02</v>
      </c>
      <c r="B3996" s="2035" t="s">
        <v>3954</v>
      </c>
      <c r="C3996" s="2037">
        <f>147.976/2</f>
        <v>73.988</v>
      </c>
      <c r="D3996" s="2042">
        <f>VLOOKUP(H3996,indexy!$C$44:$D$823,2,FALSE)</f>
        <v>68.67</v>
      </c>
      <c r="E3996" s="2043">
        <f t="shared" si="124"/>
        <v>-7.187652051684057E-2</v>
      </c>
      <c r="F3996" s="2065">
        <f t="shared" si="125"/>
        <v>-1.4375304103368114E-3</v>
      </c>
      <c r="G3996" s="78"/>
      <c r="H3996" t="str">
        <f>VLOOKUP(B3996,indexy!$A$44:$D$823,3,FALSE)</f>
        <v>CM CT Equity</v>
      </c>
      <c r="K3996" s="434"/>
    </row>
    <row r="3997" spans="1:11" ht="12.75" hidden="1" customHeight="1" outlineLevel="1" x14ac:dyDescent="0.25">
      <c r="A3997" s="1911">
        <v>0.02</v>
      </c>
      <c r="B3997" s="2035" t="s">
        <v>1319</v>
      </c>
      <c r="C3997" s="2037">
        <v>76.888000000000005</v>
      </c>
      <c r="D3997" s="2042">
        <f>VLOOKUP(H3997,indexy!$C$44:$D$823,2,FALSE)</f>
        <v>90.81</v>
      </c>
      <c r="E3997" s="2043">
        <f t="shared" si="124"/>
        <v>0.18106856726667364</v>
      </c>
      <c r="F3997" s="2065">
        <f t="shared" si="125"/>
        <v>3.6213713453334727E-3</v>
      </c>
      <c r="G3997" s="78"/>
      <c r="H3997" t="str">
        <f>VLOOKUP(B3997,indexy!$A$44:$D$823,3,FALSE)</f>
        <v>ED UN Equity</v>
      </c>
      <c r="K3997" s="434"/>
    </row>
    <row r="3998" spans="1:11" ht="12.75" hidden="1" customHeight="1" outlineLevel="1" x14ac:dyDescent="0.25">
      <c r="A3998" s="1911">
        <v>0.02</v>
      </c>
      <c r="B3998" s="2035" t="s">
        <v>7855</v>
      </c>
      <c r="C3998" s="2037">
        <v>49.164999999999999</v>
      </c>
      <c r="D3998" s="2042">
        <f>VLOOKUP(H3998,indexy!$C$44:$D$823,2,FALSE)</f>
        <v>48.95</v>
      </c>
      <c r="E3998" s="2043">
        <f t="shared" si="124"/>
        <v>-4.3730295942234765E-3</v>
      </c>
      <c r="F3998" s="2065">
        <f t="shared" si="125"/>
        <v>-8.746059188446953E-5</v>
      </c>
      <c r="G3998" s="78"/>
      <c r="H3998" t="str">
        <f>VLOOKUP(B3998,indexy!$A$44:$D$823,3,FALSE)</f>
        <v>ENB CT Equity</v>
      </c>
      <c r="K3998" s="434"/>
    </row>
    <row r="3999" spans="1:11" ht="12.75" hidden="1" customHeight="1" outlineLevel="1" x14ac:dyDescent="0.25">
      <c r="A3999" s="1911">
        <v>0.05</v>
      </c>
      <c r="B3999" s="2035" t="s">
        <v>10643</v>
      </c>
      <c r="C3999" s="2037">
        <v>39.194000000000003</v>
      </c>
      <c r="D3999" s="2042">
        <f>VLOOKUP(H3999,indexy!$C$44:$D$823,2,FALSE)</f>
        <v>43.32</v>
      </c>
      <c r="E3999" s="2043">
        <f t="shared" si="124"/>
        <v>0.10527121498188485</v>
      </c>
      <c r="F3999" s="2065">
        <f t="shared" si="125"/>
        <v>5.2635607490942428E-3</v>
      </c>
      <c r="G3999" s="78"/>
      <c r="H3999" t="str">
        <f>VLOOKUP(B3999,indexy!$A$44:$D$823,3,FALSE)</f>
        <v>GWO CT Equity</v>
      </c>
      <c r="K3999" s="434"/>
    </row>
    <row r="4000" spans="1:11" ht="12.75" hidden="1" customHeight="1" outlineLevel="1" x14ac:dyDescent="0.25">
      <c r="A4000" s="1911">
        <v>0.02</v>
      </c>
      <c r="B4000" s="2035" t="s">
        <v>52</v>
      </c>
      <c r="C4000" s="2037">
        <v>141.86000000000001</v>
      </c>
      <c r="D4000" s="2042">
        <f>VLOOKUP(H4000,indexy!$C$44:$D$823,2,FALSE)</f>
        <v>190.96</v>
      </c>
      <c r="E4000" s="2043">
        <f t="shared" si="124"/>
        <v>0.34611588890455369</v>
      </c>
      <c r="F4000" s="2065">
        <f t="shared" si="125"/>
        <v>6.9223177780910741E-3</v>
      </c>
      <c r="G4000" s="78"/>
      <c r="H4000" t="str">
        <f>VLOOKUP(B4000,indexy!$A$44:$D$823,3,FALSE)</f>
        <v>IBM UN Equity</v>
      </c>
      <c r="K4000" s="434"/>
    </row>
    <row r="4001" spans="1:11" ht="12.75" hidden="1" customHeight="1" outlineLevel="1" x14ac:dyDescent="0.25">
      <c r="A4001" s="1911">
        <v>0.02</v>
      </c>
      <c r="B4001" s="2035" t="s">
        <v>10645</v>
      </c>
      <c r="C4001" s="2037">
        <v>2.2608000000000001</v>
      </c>
      <c r="D4001" s="2042">
        <f>VLOOKUP(H4001,indexy!$C$44:$D$823,2,FALSE)/100</f>
        <v>2.2050000000000001</v>
      </c>
      <c r="E4001" s="2043">
        <f t="shared" si="124"/>
        <v>-2.468152866242046E-2</v>
      </c>
      <c r="F4001" s="2065">
        <f t="shared" si="125"/>
        <v>-4.9363057324840925E-4</v>
      </c>
      <c r="G4001" s="78"/>
      <c r="H4001" t="str">
        <f>VLOOKUP(B4001,indexy!$A$44:$D$823,3,FALSE)</f>
        <v>MNG LN Equity</v>
      </c>
      <c r="K4001" s="434"/>
    </row>
    <row r="4002" spans="1:11" ht="12.75" hidden="1" customHeight="1" outlineLevel="1" x14ac:dyDescent="0.25">
      <c r="A4002" s="1911">
        <v>0.05</v>
      </c>
      <c r="B4002" s="2035" t="s">
        <v>10427</v>
      </c>
      <c r="C4002" s="2038">
        <v>19.974</v>
      </c>
      <c r="D4002" s="2042">
        <f>VLOOKUP(H4002,indexy!$C$44:$D$823,2,FALSE)</f>
        <v>4.7</v>
      </c>
      <c r="E4002" s="2043">
        <f t="shared" si="124"/>
        <v>-0.76469410233303292</v>
      </c>
      <c r="F4002" s="2065">
        <f t="shared" si="125"/>
        <v>-3.8234705116651647E-2</v>
      </c>
      <c r="G4002" s="78"/>
      <c r="H4002" t="str">
        <f>VLOOKUP(B4002,indexy!$A$44:$D$823,3,FALSE)</f>
        <v>MPW UN Equity</v>
      </c>
      <c r="K4002" s="434"/>
    </row>
    <row r="4003" spans="1:11" ht="12.75" hidden="1" customHeight="1" outlineLevel="1" x14ac:dyDescent="0.25">
      <c r="A4003" s="1911">
        <v>0.04</v>
      </c>
      <c r="B4003" s="2035" t="s">
        <v>2786</v>
      </c>
      <c r="C4003" s="2037">
        <v>9.5585000000000004</v>
      </c>
      <c r="D4003" s="2042">
        <f>VLOOKUP(H4003,indexy!$C$44:$D$823,2,FALSE)/100</f>
        <v>10.66</v>
      </c>
      <c r="E4003" s="2043">
        <f t="shared" si="124"/>
        <v>0.1152377465083434</v>
      </c>
      <c r="F4003" s="2065">
        <f t="shared" si="125"/>
        <v>4.609509860333736E-3</v>
      </c>
      <c r="G4003" s="78"/>
      <c r="H4003" t="str">
        <f>VLOOKUP(B4003,indexy!$A$44:$D$823,3,FALSE)</f>
        <v>NG/ LN Equity</v>
      </c>
      <c r="K4003" s="434"/>
    </row>
    <row r="4004" spans="1:11" ht="12.75" hidden="1" customHeight="1" outlineLevel="1" x14ac:dyDescent="0.25">
      <c r="A4004" s="1911">
        <v>0.02</v>
      </c>
      <c r="B4004" s="2035" t="s">
        <v>8527</v>
      </c>
      <c r="C4004" s="2037">
        <v>44.18</v>
      </c>
      <c r="D4004" s="2042">
        <f>VLOOKUP(H4004,indexy!$C$44:$D$823,2,FALSE)</f>
        <v>42.82</v>
      </c>
      <c r="E4004" s="2043">
        <f t="shared" si="124"/>
        <v>-3.0783159800814808E-2</v>
      </c>
      <c r="F4004" s="2065">
        <f t="shared" si="125"/>
        <v>-6.156631960162962E-4</v>
      </c>
      <c r="G4004" s="78"/>
      <c r="H4004" t="str">
        <f>VLOOKUP(B4004,indexy!$A$44:$D$823,3,FALSE)</f>
        <v>NN NA Equity</v>
      </c>
      <c r="K4004" s="434"/>
    </row>
    <row r="4005" spans="1:11" ht="12.75" hidden="1" customHeight="1" outlineLevel="1" x14ac:dyDescent="0.25">
      <c r="A4005" s="1911">
        <v>7.0000000000000007E-2</v>
      </c>
      <c r="B4005" s="2035" t="s">
        <v>5824</v>
      </c>
      <c r="C4005" s="2037">
        <v>9.5937999999999999</v>
      </c>
      <c r="D4005" s="2042">
        <f>VLOOKUP(H4005,indexy!$C$44:$D$823,2,FALSE)</f>
        <v>10.888</v>
      </c>
      <c r="E4005" s="2043">
        <f t="shared" si="124"/>
        <v>0.13489962267297639</v>
      </c>
      <c r="F4005" s="2065">
        <f t="shared" si="125"/>
        <v>9.4429735871083484E-3</v>
      </c>
      <c r="G4005" s="78"/>
      <c r="H4005" t="str">
        <f>VLOOKUP(B4005,indexy!$A$44:$D$823,3,FALSE)</f>
        <v>ORA FP Equity</v>
      </c>
      <c r="K4005" s="434"/>
    </row>
    <row r="4006" spans="1:11" ht="12.75" hidden="1" customHeight="1" outlineLevel="1" x14ac:dyDescent="0.25">
      <c r="A4006" s="1911">
        <v>0.02</v>
      </c>
      <c r="B4006" s="2035" t="s">
        <v>8529</v>
      </c>
      <c r="C4006" s="2037">
        <v>71.319999999999993</v>
      </c>
      <c r="D4006" s="2042">
        <f>VLOOKUP(H4006,indexy!$C$44:$D$823,2,FALSE)</f>
        <v>54.1</v>
      </c>
      <c r="E4006" s="2043">
        <f t="shared" si="124"/>
        <v>-0.24144699943914738</v>
      </c>
      <c r="F4006" s="2065">
        <f t="shared" si="125"/>
        <v>-4.8289399887829479E-3</v>
      </c>
      <c r="G4006" s="78"/>
      <c r="H4006" t="str">
        <f>VLOOKUP(B4006,indexy!$A$44:$D$823,3,FALSE)</f>
        <v>O UN Equity</v>
      </c>
      <c r="K4006" s="434"/>
    </row>
    <row r="4007" spans="1:11" ht="12.75" hidden="1" customHeight="1" outlineLevel="1" x14ac:dyDescent="0.25">
      <c r="A4007" s="1911">
        <v>7.0000000000000007E-2</v>
      </c>
      <c r="B4007" s="2035" t="s">
        <v>5629</v>
      </c>
      <c r="C4007" s="2037">
        <v>17.259</v>
      </c>
      <c r="D4007" s="2042">
        <f>VLOOKUP(H4007,indexy!$C$44:$D$823,2,FALSE)</f>
        <v>15.805</v>
      </c>
      <c r="E4007" s="2043">
        <f t="shared" si="124"/>
        <v>-8.4245900689495334E-2</v>
      </c>
      <c r="F4007" s="2065">
        <f t="shared" si="125"/>
        <v>-5.8972130482646736E-3</v>
      </c>
      <c r="G4007" s="78"/>
      <c r="H4007" t="str">
        <f>VLOOKUP(B4007,indexy!$A$44:$D$823,3,FALSE)</f>
        <v>REE SQ Equity</v>
      </c>
      <c r="K4007" s="434"/>
    </row>
    <row r="4008" spans="1:11" ht="12.75" hidden="1" customHeight="1" outlineLevel="1" x14ac:dyDescent="0.25">
      <c r="A4008" s="1911">
        <v>0.02</v>
      </c>
      <c r="B4008" s="2035" t="s">
        <v>6270</v>
      </c>
      <c r="C4008" s="2037">
        <v>43.280999999999999</v>
      </c>
      <c r="D4008" s="2042">
        <f>VLOOKUP(H4008,indexy!$C$44:$D$823,2,FALSE)</f>
        <v>39.515000000000001</v>
      </c>
      <c r="E4008" s="2043">
        <f t="shared" si="124"/>
        <v>-8.7012776969108807E-2</v>
      </c>
      <c r="F4008" s="2065">
        <f t="shared" si="125"/>
        <v>-1.7402555393821761E-3</v>
      </c>
      <c r="G4008" s="78"/>
      <c r="H4008" t="str">
        <f>VLOOKUP(B4008,indexy!$A$44:$D$823,3,FALSE)</f>
        <v>SAMPO FH Equity</v>
      </c>
      <c r="K4008" s="434"/>
    </row>
    <row r="4009" spans="1:11" ht="12.75" hidden="1" customHeight="1" outlineLevel="1" x14ac:dyDescent="0.25">
      <c r="A4009" s="1911">
        <v>0.04</v>
      </c>
      <c r="B4009" s="2035" t="s">
        <v>4460</v>
      </c>
      <c r="C4009" s="2037">
        <v>28.440999999999999</v>
      </c>
      <c r="D4009" s="2042">
        <f>VLOOKUP(H4009,indexy!$C$44:$D$823,2,FALSE)/100</f>
        <v>24.7</v>
      </c>
      <c r="E4009" s="2043">
        <f t="shared" si="124"/>
        <v>-0.13153545937203337</v>
      </c>
      <c r="F4009" s="2065">
        <f t="shared" si="125"/>
        <v>-5.2614183748813347E-3</v>
      </c>
      <c r="G4009" s="78"/>
      <c r="H4009" t="str">
        <f>VLOOKUP(B4009,indexy!$A$44:$D$823,3,FALSE)</f>
        <v>SVT LN Equity</v>
      </c>
      <c r="K4009" s="434"/>
    </row>
    <row r="4010" spans="1:11" ht="12.75" hidden="1" customHeight="1" outlineLevel="1" x14ac:dyDescent="0.25">
      <c r="A4010" s="1911">
        <v>0.02</v>
      </c>
      <c r="B4010" s="2035" t="s">
        <v>6116</v>
      </c>
      <c r="C4010" s="2037">
        <v>5.2183999999999999</v>
      </c>
      <c r="D4010" s="2042">
        <f>VLOOKUP(H4010,indexy!$C$44:$D$823,2,FALSE)</f>
        <v>4.3760000000000003</v>
      </c>
      <c r="E4010" s="2043">
        <f t="shared" si="124"/>
        <v>-0.16142879043384939</v>
      </c>
      <c r="F4010" s="2065">
        <f t="shared" si="125"/>
        <v>-3.2285758086769878E-3</v>
      </c>
      <c r="G4010" s="78"/>
      <c r="H4010" t="str">
        <f>VLOOKUP(B4010,indexy!$A$44:$D$823,3,FALSE)</f>
        <v>SRG IM Equity</v>
      </c>
      <c r="K4010" s="434"/>
    </row>
    <row r="4011" spans="1:11" ht="12.75" hidden="1" customHeight="1" outlineLevel="1" x14ac:dyDescent="0.25">
      <c r="A4011" s="1911">
        <v>0.08</v>
      </c>
      <c r="B4011" s="2035" t="s">
        <v>10529</v>
      </c>
      <c r="C4011" s="2037">
        <v>1471.45</v>
      </c>
      <c r="D4011" s="2042">
        <f>VLOOKUP(H4011,indexy!$C$44:$D$823,2,FALSE)</f>
        <v>1941</v>
      </c>
      <c r="E4011" s="2043">
        <f t="shared" si="124"/>
        <v>0.31910700329606856</v>
      </c>
      <c r="F4011" s="2065">
        <f t="shared" si="125"/>
        <v>2.5528560263685485E-2</v>
      </c>
      <c r="G4011" s="78"/>
      <c r="H4011" t="str">
        <f>VLOOKUP(B4011,indexy!$A$44:$D$823,3,FALSE)</f>
        <v>9434 JT Equity</v>
      </c>
      <c r="K4011" s="434"/>
    </row>
    <row r="4012" spans="1:11" ht="12.75" hidden="1" customHeight="1" outlineLevel="1" x14ac:dyDescent="0.25">
      <c r="A4012" s="1911">
        <v>0.02</v>
      </c>
      <c r="B4012" s="2035" t="s">
        <v>6118</v>
      </c>
      <c r="C4012" s="2037">
        <v>85.85</v>
      </c>
      <c r="D4012" s="2042">
        <f>VLOOKUP(H4012,indexy!$C$44:$D$823,2,FALSE)</f>
        <v>115.95</v>
      </c>
      <c r="E4012" s="2043">
        <f t="shared" si="124"/>
        <v>0.35061153174140958</v>
      </c>
      <c r="F4012" s="2065">
        <f t="shared" si="125"/>
        <v>7.0122306348281913E-3</v>
      </c>
      <c r="G4012" s="78"/>
      <c r="H4012" t="str">
        <f>VLOOKUP(B4012,indexy!$A$44:$D$823,3,FALSE)</f>
        <v>SREN SE Equity</v>
      </c>
      <c r="K4012" s="434"/>
    </row>
    <row r="4013" spans="1:11" ht="12.75" hidden="1" customHeight="1" outlineLevel="1" x14ac:dyDescent="0.25">
      <c r="A4013" s="1911">
        <v>7.0000000000000007E-2</v>
      </c>
      <c r="B4013" s="2035" t="s">
        <v>1239</v>
      </c>
      <c r="C4013" s="2037">
        <v>547.32000000000005</v>
      </c>
      <c r="D4013" s="2042">
        <f>VLOOKUP(H4013,indexy!$C$44:$D$823,2,FALSE)</f>
        <v>551.4</v>
      </c>
      <c r="E4013" s="2043">
        <f t="shared" si="124"/>
        <v>7.4545055908790125E-3</v>
      </c>
      <c r="F4013" s="2065">
        <f t="shared" si="125"/>
        <v>5.2181539136153087E-4</v>
      </c>
      <c r="G4013" s="78"/>
      <c r="H4013" t="str">
        <f>VLOOKUP(B4013,indexy!$A$44:$D$823,3,FALSE)</f>
        <v>SCMN SE Equity</v>
      </c>
      <c r="K4013" s="434"/>
    </row>
    <row r="4014" spans="1:11" ht="12.75" hidden="1" customHeight="1" outlineLevel="1" x14ac:dyDescent="0.25">
      <c r="A4014" s="1911">
        <v>0.02</v>
      </c>
      <c r="B4014" s="2035" t="s">
        <v>366</v>
      </c>
      <c r="C4014" s="2037">
        <v>60.222999999999999</v>
      </c>
      <c r="D4014" s="2042">
        <f>VLOOKUP(H4014,indexy!$C$44:$D$823,2,FALSE)</f>
        <v>54.44</v>
      </c>
      <c r="E4014" s="2043">
        <f t="shared" si="124"/>
        <v>-9.602643508294173E-2</v>
      </c>
      <c r="F4014" s="2065">
        <f t="shared" si="125"/>
        <v>-1.9205287016588347E-3</v>
      </c>
      <c r="G4014" s="78"/>
      <c r="H4014" t="str">
        <f>VLOOKUP(B4014,indexy!$A$44:$D$823,3,FALSE)</f>
        <v>TRP CT Equity</v>
      </c>
      <c r="K4014" s="434"/>
    </row>
    <row r="4015" spans="1:11" ht="12.75" hidden="1" customHeight="1" outlineLevel="1" x14ac:dyDescent="0.25">
      <c r="A4015" s="1911">
        <v>0.03</v>
      </c>
      <c r="B4015" s="2035" t="s">
        <v>434</v>
      </c>
      <c r="C4015" s="2037">
        <v>38.103000000000002</v>
      </c>
      <c r="D4015" s="2042">
        <f>VLOOKUP(H4015,indexy!$C$44:$D$823,2,FALSE)</f>
        <v>27.43</v>
      </c>
      <c r="E4015" s="2043">
        <f t="shared" si="124"/>
        <v>-0.28010917775503241</v>
      </c>
      <c r="F4015" s="2065">
        <f t="shared" si="125"/>
        <v>-8.4032753326509727E-3</v>
      </c>
      <c r="G4015" s="78"/>
      <c r="H4015" t="str">
        <f>VLOOKUP(B4015,indexy!$A$44:$D$823,3,FALSE)</f>
        <v>TELIA SS Equity</v>
      </c>
      <c r="K4015" s="434"/>
    </row>
    <row r="4016" spans="1:11" ht="12.75" hidden="1" customHeight="1" outlineLevel="1" x14ac:dyDescent="0.25">
      <c r="A4016" s="1911">
        <v>0.02</v>
      </c>
      <c r="B4016" s="2035" t="s">
        <v>3921</v>
      </c>
      <c r="C4016" s="2037">
        <v>6.9813999999999998</v>
      </c>
      <c r="D4016" s="2042">
        <f>VLOOKUP(H4016,indexy!$C$44:$D$823,2,FALSE)</f>
        <v>7.66</v>
      </c>
      <c r="E4016" s="2043">
        <f t="shared" si="124"/>
        <v>9.7201134442948423E-2</v>
      </c>
      <c r="F4016" s="2065">
        <f t="shared" si="125"/>
        <v>1.9440226888589685E-3</v>
      </c>
      <c r="G4016" s="78"/>
      <c r="H4016" t="str">
        <f>VLOOKUP(B4016,indexy!$A$44:$D$823,3,FALSE)</f>
        <v>TRN IM Equity</v>
      </c>
      <c r="K4016" s="434"/>
    </row>
    <row r="4017" spans="1:11" ht="12.75" hidden="1" customHeight="1" outlineLevel="1" x14ac:dyDescent="0.25">
      <c r="A4017" s="1911">
        <v>0.02</v>
      </c>
      <c r="B4017" s="2035" t="s">
        <v>2983</v>
      </c>
      <c r="C4017" s="2037">
        <v>10.7445</v>
      </c>
      <c r="D4017" s="2042">
        <f>VLOOKUP(H4017,indexy!$C$44:$D$823,2,FALSE)/100</f>
        <v>10.29</v>
      </c>
      <c r="E4017" s="2043">
        <f t="shared" si="124"/>
        <v>-4.2300711992182105E-2</v>
      </c>
      <c r="F4017" s="2065">
        <f t="shared" si="125"/>
        <v>-8.4601423984364209E-4</v>
      </c>
      <c r="G4017" s="78"/>
      <c r="H4017" t="str">
        <f>VLOOKUP(B4017,indexy!$A$44:$D$823,3,FALSE)</f>
        <v>UU/ LN Equity</v>
      </c>
      <c r="K4017" s="434"/>
    </row>
    <row r="4018" spans="1:11" ht="12.75" hidden="1" customHeight="1" outlineLevel="1" x14ac:dyDescent="0.25">
      <c r="A4018" s="1911">
        <v>0.02</v>
      </c>
      <c r="B4018" s="2035" t="s">
        <v>255</v>
      </c>
      <c r="C4018" s="2037">
        <v>55.59</v>
      </c>
      <c r="D4018" s="2042">
        <f>VLOOKUP(H4018,indexy!$C$44:$D$823,2,FALSE)</f>
        <v>41.96</v>
      </c>
      <c r="E4018" s="2043">
        <f t="shared" si="124"/>
        <v>-0.24518798345026083</v>
      </c>
      <c r="F4018" s="2065">
        <f t="shared" si="125"/>
        <v>-4.9037596690052164E-3</v>
      </c>
      <c r="G4018" s="78"/>
      <c r="H4018" t="str">
        <f>VLOOKUP(B4018,indexy!$A$44:$D$823,3,FALSE)</f>
        <v>VZ UN Equity</v>
      </c>
      <c r="K4018" s="434"/>
    </row>
    <row r="4019" spans="1:11" ht="12.75" hidden="1" customHeight="1" outlineLevel="1" x14ac:dyDescent="0.25">
      <c r="A4019" s="1911">
        <v>0.02</v>
      </c>
      <c r="B4019" s="2036" t="s">
        <v>4550</v>
      </c>
      <c r="C4019" s="2037">
        <v>397.96</v>
      </c>
      <c r="D4019" s="2045">
        <f>VLOOKUP(H4019,indexy!$C$44:$D$823,2,FALSE)</f>
        <v>486.3</v>
      </c>
      <c r="E4019" s="2046">
        <f t="shared" si="124"/>
        <v>0.22198210875464874</v>
      </c>
      <c r="F4019" s="3424">
        <f>$E4019*$A4019</f>
        <v>4.4396421750929746E-3</v>
      </c>
      <c r="G4019" s="78"/>
      <c r="H4019" t="str">
        <f>VLOOKUP(B4019,indexy!$A$44:$D$823,3,FALSE)</f>
        <v>ZURN SE Equity</v>
      </c>
      <c r="K4019" s="434"/>
    </row>
    <row r="4020" spans="1:11" ht="12.75" hidden="1" customHeight="1" outlineLevel="1" x14ac:dyDescent="0.25">
      <c r="A4020" s="2048" t="s">
        <v>2734</v>
      </c>
      <c r="B4020" s="2049"/>
      <c r="C4020" s="2050"/>
      <c r="D4020" s="2051"/>
      <c r="E4020" s="2052"/>
      <c r="F4020" s="2052">
        <f>SUM(F3990:F4019)</f>
        <v>1.6265818104657468E-2</v>
      </c>
      <c r="G4020" s="78"/>
    </row>
    <row r="4021" spans="1:11" ht="12.75" hidden="1" customHeight="1" outlineLevel="1" x14ac:dyDescent="0.25">
      <c r="A4021" s="2053"/>
      <c r="B4021" s="2054">
        <v>46204</v>
      </c>
      <c r="C4021" s="2055">
        <v>100</v>
      </c>
      <c r="D4021" s="2055"/>
      <c r="E4021" s="2056">
        <f>IF(D4021="",$F$4020,D4021/C4021-1)</f>
        <v>1.6265818104657468E-2</v>
      </c>
      <c r="F4021" s="2072"/>
      <c r="G4021" s="78"/>
    </row>
    <row r="4022" spans="1:11" ht="12.75" hidden="1" customHeight="1" outlineLevel="1" x14ac:dyDescent="0.25">
      <c r="A4022" s="2053"/>
      <c r="B4022" s="2054">
        <v>46235</v>
      </c>
      <c r="C4022" s="2055">
        <v>100</v>
      </c>
      <c r="D4022" s="2058"/>
      <c r="E4022" s="2056">
        <f t="shared" ref="E4022:E4032" si="126">IF(D4022="",$F$4020,D4022/C4022-1)</f>
        <v>1.6265818104657468E-2</v>
      </c>
      <c r="F4022" s="2072"/>
      <c r="G4022" s="78"/>
    </row>
    <row r="4023" spans="1:11" ht="12.75" hidden="1" customHeight="1" outlineLevel="1" x14ac:dyDescent="0.25">
      <c r="A4023" s="2053"/>
      <c r="B4023" s="2054">
        <v>46266</v>
      </c>
      <c r="C4023" s="2055">
        <v>100</v>
      </c>
      <c r="D4023" s="2058"/>
      <c r="E4023" s="2056">
        <f t="shared" si="126"/>
        <v>1.6265818104657468E-2</v>
      </c>
      <c r="F4023" s="2072"/>
      <c r="G4023" s="78"/>
    </row>
    <row r="4024" spans="1:11" ht="12.75" hidden="1" customHeight="1" outlineLevel="1" x14ac:dyDescent="0.25">
      <c r="A4024" s="2053"/>
      <c r="B4024" s="2054">
        <v>46296</v>
      </c>
      <c r="C4024" s="2055">
        <v>100</v>
      </c>
      <c r="D4024" s="2058"/>
      <c r="E4024" s="2056">
        <f t="shared" si="126"/>
        <v>1.6265818104657468E-2</v>
      </c>
      <c r="F4024" s="2072"/>
      <c r="G4024" s="78"/>
    </row>
    <row r="4025" spans="1:11" ht="12.75" hidden="1" customHeight="1" outlineLevel="1" x14ac:dyDescent="0.25">
      <c r="A4025" s="2053"/>
      <c r="B4025" s="2054">
        <v>46327</v>
      </c>
      <c r="C4025" s="2055">
        <v>100</v>
      </c>
      <c r="D4025" s="2058"/>
      <c r="E4025" s="2056">
        <f t="shared" si="126"/>
        <v>1.6265818104657468E-2</v>
      </c>
      <c r="F4025" s="2072"/>
      <c r="G4025" s="78"/>
    </row>
    <row r="4026" spans="1:11" ht="12.75" hidden="1" customHeight="1" outlineLevel="1" x14ac:dyDescent="0.25">
      <c r="A4026" s="2053"/>
      <c r="B4026" s="2054">
        <v>46357</v>
      </c>
      <c r="C4026" s="2055">
        <v>100</v>
      </c>
      <c r="D4026" s="2058"/>
      <c r="E4026" s="2056">
        <f t="shared" si="126"/>
        <v>1.6265818104657468E-2</v>
      </c>
      <c r="F4026" s="2072"/>
      <c r="G4026" s="78"/>
    </row>
    <row r="4027" spans="1:11" ht="12.75" hidden="1" customHeight="1" outlineLevel="1" x14ac:dyDescent="0.25">
      <c r="A4027" s="2053"/>
      <c r="B4027" s="2054">
        <v>46388</v>
      </c>
      <c r="C4027" s="2055">
        <v>100</v>
      </c>
      <c r="D4027" s="2058"/>
      <c r="E4027" s="2056">
        <f t="shared" si="126"/>
        <v>1.6265818104657468E-2</v>
      </c>
      <c r="F4027" s="2072"/>
      <c r="G4027" s="78"/>
    </row>
    <row r="4028" spans="1:11" ht="12.75" hidden="1" customHeight="1" outlineLevel="1" x14ac:dyDescent="0.25">
      <c r="A4028" s="2053"/>
      <c r="B4028" s="2054">
        <v>46419</v>
      </c>
      <c r="C4028" s="2055">
        <v>100</v>
      </c>
      <c r="D4028" s="2058"/>
      <c r="E4028" s="2056">
        <f t="shared" si="126"/>
        <v>1.6265818104657468E-2</v>
      </c>
      <c r="F4028" s="2072"/>
      <c r="G4028" s="78"/>
    </row>
    <row r="4029" spans="1:11" ht="12.75" hidden="1" customHeight="1" outlineLevel="1" x14ac:dyDescent="0.25">
      <c r="A4029" s="2053"/>
      <c r="B4029" s="2054">
        <v>46447</v>
      </c>
      <c r="C4029" s="2055">
        <v>100</v>
      </c>
      <c r="D4029" s="2058"/>
      <c r="E4029" s="2056">
        <f t="shared" si="126"/>
        <v>1.6265818104657468E-2</v>
      </c>
      <c r="F4029" s="2072"/>
      <c r="G4029" s="78"/>
    </row>
    <row r="4030" spans="1:11" ht="12.75" hidden="1" customHeight="1" outlineLevel="1" x14ac:dyDescent="0.25">
      <c r="A4030" s="2053"/>
      <c r="B4030" s="2054">
        <v>46478</v>
      </c>
      <c r="C4030" s="2055">
        <v>100</v>
      </c>
      <c r="D4030" s="2058"/>
      <c r="E4030" s="2056">
        <f t="shared" si="126"/>
        <v>1.6265818104657468E-2</v>
      </c>
      <c r="F4030" s="2072"/>
      <c r="G4030" s="78"/>
    </row>
    <row r="4031" spans="1:11" ht="12.75" hidden="1" customHeight="1" outlineLevel="1" x14ac:dyDescent="0.25">
      <c r="A4031" s="2053"/>
      <c r="B4031" s="2054">
        <v>46508</v>
      </c>
      <c r="C4031" s="2055">
        <v>100</v>
      </c>
      <c r="D4031" s="2058"/>
      <c r="E4031" s="2056">
        <f t="shared" si="126"/>
        <v>1.6265818104657468E-2</v>
      </c>
      <c r="F4031" s="2072"/>
      <c r="G4031" s="78"/>
    </row>
    <row r="4032" spans="1:11" ht="12.75" hidden="1" customHeight="1" outlineLevel="1" x14ac:dyDescent="0.25">
      <c r="A4032" s="2053"/>
      <c r="B4032" s="2054">
        <v>46539</v>
      </c>
      <c r="C4032" s="2055">
        <v>100</v>
      </c>
      <c r="D4032" s="2058"/>
      <c r="E4032" s="2056">
        <f t="shared" si="126"/>
        <v>1.6265818104657468E-2</v>
      </c>
      <c r="F4032" s="2072"/>
      <c r="G4032" s="78"/>
    </row>
    <row r="4033" spans="1:11" ht="12.75" hidden="1" customHeight="1" outlineLevel="1" x14ac:dyDescent="0.25">
      <c r="A4033" s="2067" t="s">
        <v>2734</v>
      </c>
      <c r="B4033" s="2068"/>
      <c r="C4033" s="2058"/>
      <c r="D4033" s="2069" t="s">
        <v>2465</v>
      </c>
      <c r="E4033" s="2070">
        <f>AVERAGE(E4021:E4032)</f>
        <v>1.6265818104657468E-2</v>
      </c>
      <c r="F4033" s="2071">
        <f>E4033</f>
        <v>1.6265818104657468E-2</v>
      </c>
      <c r="G4033" s="78"/>
    </row>
    <row r="4034" spans="1:11" collapsed="1" x14ac:dyDescent="0.25">
      <c r="A4034" s="3799" t="s">
        <v>10640</v>
      </c>
      <c r="B4034" s="3800"/>
      <c r="C4034" s="3800"/>
      <c r="D4034" s="3800"/>
      <c r="E4034" s="18"/>
      <c r="F4034" s="186">
        <f>IF(F4033&lt;-5%,-5%,IF(F4033&gt;50%,50%,F4033))</f>
        <v>1.6265818104657468E-2</v>
      </c>
      <c r="G4034" s="78"/>
    </row>
    <row r="4036" spans="1:11" ht="12.75" hidden="1" customHeight="1" outlineLevel="1" x14ac:dyDescent="0.25">
      <c r="A4036" s="15" t="s">
        <v>113</v>
      </c>
      <c r="B4036" s="15" t="s">
        <v>114</v>
      </c>
      <c r="C4036" s="15" t="s">
        <v>112</v>
      </c>
      <c r="D4036" s="15" t="s">
        <v>116</v>
      </c>
      <c r="E4036" s="15" t="s">
        <v>117</v>
      </c>
      <c r="F4036" s="15" t="s">
        <v>121</v>
      </c>
      <c r="G4036" s="78"/>
    </row>
    <row r="4037" spans="1:11" ht="12.75" hidden="1" customHeight="1" outlineLevel="1" x14ac:dyDescent="0.25">
      <c r="A4037" s="4">
        <v>1</v>
      </c>
      <c r="B4037" s="5" t="s">
        <v>252</v>
      </c>
      <c r="C4037" s="6">
        <v>100</v>
      </c>
      <c r="D4037" s="6"/>
      <c r="E4037" s="9"/>
      <c r="F4037" s="10"/>
      <c r="G4037" s="78"/>
    </row>
    <row r="4038" spans="1:11" ht="12.75" hidden="1" customHeight="1" outlineLevel="1" x14ac:dyDescent="0.25">
      <c r="A4038" s="21" t="s">
        <v>2734</v>
      </c>
      <c r="B4038" s="21"/>
      <c r="C4038" s="11"/>
      <c r="D4038" s="32" t="s">
        <v>3702</v>
      </c>
      <c r="E4038" s="33">
        <f>indexy!$B$2</f>
        <v>45379</v>
      </c>
      <c r="F4038" s="38"/>
      <c r="G4038" s="78"/>
    </row>
    <row r="4039" spans="1:11" ht="12.75" hidden="1" customHeight="1" outlineLevel="1" x14ac:dyDescent="0.25">
      <c r="A4039" s="1517" t="s">
        <v>4156</v>
      </c>
      <c r="B4039" s="1517" t="s">
        <v>4153</v>
      </c>
      <c r="C4039" s="1518" t="s">
        <v>112</v>
      </c>
      <c r="D4039" s="1519" t="s">
        <v>4155</v>
      </c>
      <c r="E4039" s="1519" t="s">
        <v>4154</v>
      </c>
      <c r="F4039" s="1519" t="s">
        <v>2519</v>
      </c>
      <c r="G4039" s="78"/>
    </row>
    <row r="4040" spans="1:11" ht="12.75" hidden="1" customHeight="1" outlineLevel="1" x14ac:dyDescent="0.25">
      <c r="A4040" s="2034">
        <v>0.02</v>
      </c>
      <c r="B4040" s="2035" t="s">
        <v>6799</v>
      </c>
      <c r="C4040" s="2037">
        <v>15.97</v>
      </c>
      <c r="D4040" s="2039">
        <f>VLOOKUP($H4040,indexy!$C$44:$D$823,2,FALSE)</f>
        <v>9.9</v>
      </c>
      <c r="E4040" s="2040">
        <f>$D4040/$C4040-1</f>
        <v>-0.38008766437069508</v>
      </c>
      <c r="F4040" s="2062">
        <f>$E4040*$A4040</f>
        <v>-7.6017532874139019E-3</v>
      </c>
      <c r="G4040" s="78"/>
      <c r="H4040" t="str">
        <f>VLOOKUP(B4040,indexy!$A$44:$D$823,3,FALSE)</f>
        <v>AGNC UW Equity</v>
      </c>
      <c r="K4040" s="434"/>
    </row>
    <row r="4041" spans="1:11" ht="12.75" hidden="1" customHeight="1" outlineLevel="1" x14ac:dyDescent="0.25">
      <c r="A4041" s="1911">
        <v>0.02</v>
      </c>
      <c r="B4041" s="2035" t="s">
        <v>802</v>
      </c>
      <c r="C4041" s="2037">
        <v>8.5990000000000002</v>
      </c>
      <c r="D4041" s="2042">
        <f>VLOOKUP(H4041,indexy!$C$44:$D$823,2,FALSE)</f>
        <v>19.690000000000001</v>
      </c>
      <c r="E4041" s="2043">
        <f t="shared" ref="E4041:E4069" si="127">$D4041/$C4041-1</f>
        <v>1.2898011396674032</v>
      </c>
      <c r="F4041" s="2065">
        <f t="shared" ref="F4041:F4068" si="128">$E4041*$A4041</f>
        <v>2.5796022793348063E-2</v>
      </c>
      <c r="G4041" s="78"/>
      <c r="H4041" t="str">
        <f>VLOOKUP(B4041,indexy!$A$44:$D$823,3,FALSE)</f>
        <v>NLY UN Equity</v>
      </c>
      <c r="K4041" s="434"/>
    </row>
    <row r="4042" spans="1:11" ht="12.75" hidden="1" customHeight="1" outlineLevel="1" x14ac:dyDescent="0.25">
      <c r="A4042" s="1911">
        <v>0.05</v>
      </c>
      <c r="B4042" s="2035" t="s">
        <v>2697</v>
      </c>
      <c r="C4042" s="2037">
        <v>17.634</v>
      </c>
      <c r="D4042" s="2042">
        <f>VLOOKUP(H4042,indexy!$C$44:$D$823,2,FALSE)</f>
        <v>23.46</v>
      </c>
      <c r="E4042" s="2043">
        <f t="shared" si="127"/>
        <v>0.33038448451854374</v>
      </c>
      <c r="F4042" s="2065">
        <f t="shared" si="128"/>
        <v>1.6519224225927189E-2</v>
      </c>
      <c r="G4042" s="78"/>
      <c r="H4042" t="str">
        <f>VLOOKUP(B4042,indexy!$A$44:$D$823,3,FALSE)</f>
        <v>G IM Equity</v>
      </c>
      <c r="K4042" s="434"/>
    </row>
    <row r="4043" spans="1:11" ht="12.75" hidden="1" customHeight="1" outlineLevel="1" x14ac:dyDescent="0.25">
      <c r="A4043" s="1911">
        <v>0.02</v>
      </c>
      <c r="B4043" s="2035" t="s">
        <v>218</v>
      </c>
      <c r="C4043" s="2037">
        <v>23.238</v>
      </c>
      <c r="D4043" s="2042">
        <f>VLOOKUP(H4043,indexy!$C$44:$D$823,2,FALSE)</f>
        <v>34.814999999999998</v>
      </c>
      <c r="E4043" s="2043">
        <f t="shared" si="127"/>
        <v>0.49819261554350636</v>
      </c>
      <c r="F4043" s="2065">
        <f t="shared" si="128"/>
        <v>9.963852310870127E-3</v>
      </c>
      <c r="G4043" s="78"/>
      <c r="H4043" t="str">
        <f>VLOOKUP(B4043,indexy!$A$44:$D$823,3,FALSE)</f>
        <v>CS FP Equity</v>
      </c>
      <c r="K4043" s="434"/>
    </row>
    <row r="4044" spans="1:11" ht="12.75" hidden="1" customHeight="1" outlineLevel="1" x14ac:dyDescent="0.25">
      <c r="A4044" s="1911">
        <v>0.03</v>
      </c>
      <c r="B4044" s="2035" t="s">
        <v>5748</v>
      </c>
      <c r="C4044" s="2037">
        <v>78.022000000000006</v>
      </c>
      <c r="D4044" s="2042">
        <f>VLOOKUP(H4044,indexy!$C$44:$D$823,2,FALSE)</f>
        <v>70.069999999999993</v>
      </c>
      <c r="E4044" s="2043">
        <f t="shared" si="127"/>
        <v>-0.10191997129014907</v>
      </c>
      <c r="F4044" s="2065">
        <f t="shared" si="128"/>
        <v>-3.0575991387044718E-3</v>
      </c>
      <c r="G4044" s="78"/>
      <c r="H4044" t="str">
        <f>VLOOKUP(B4044,indexy!$A$44:$D$823,3,FALSE)</f>
        <v>BNS CT Equity</v>
      </c>
      <c r="K4044" s="434"/>
    </row>
    <row r="4045" spans="1:11" ht="12.75" hidden="1" customHeight="1" outlineLevel="1" x14ac:dyDescent="0.25">
      <c r="A4045" s="1911">
        <v>0.06</v>
      </c>
      <c r="B4045" s="2035" t="s">
        <v>807</v>
      </c>
      <c r="C4045" s="2037">
        <v>65.685000000000002</v>
      </c>
      <c r="D4045" s="2042">
        <f>VLOOKUP(H4045,indexy!$C$44:$D$823,2,FALSE)</f>
        <v>46.03</v>
      </c>
      <c r="E4045" s="2043">
        <f t="shared" si="127"/>
        <v>-0.29923117911243058</v>
      </c>
      <c r="F4045" s="2065">
        <f t="shared" si="128"/>
        <v>-1.7953870746745836E-2</v>
      </c>
      <c r="G4045" s="78"/>
      <c r="H4045" t="str">
        <f>VLOOKUP(B4045,indexy!$A$44:$D$823,3,FALSE)</f>
        <v>BCE CT Equity</v>
      </c>
      <c r="K4045" s="434"/>
    </row>
    <row r="4046" spans="1:11" ht="12.75" hidden="1" customHeight="1" outlineLevel="1" x14ac:dyDescent="0.25">
      <c r="A4046" s="1911">
        <v>0.02</v>
      </c>
      <c r="B4046" s="2035" t="s">
        <v>3954</v>
      </c>
      <c r="C4046" s="2037">
        <f>146.149/2</f>
        <v>73.0745</v>
      </c>
      <c r="D4046" s="2042">
        <f>VLOOKUP(H4046,indexy!$C$44:$D$823,2,FALSE)</f>
        <v>68.67</v>
      </c>
      <c r="E4046" s="2043">
        <f t="shared" si="127"/>
        <v>-6.0274103825547876E-2</v>
      </c>
      <c r="F4046" s="2065">
        <f t="shared" si="128"/>
        <v>-1.2054820765109576E-3</v>
      </c>
      <c r="G4046" s="78"/>
      <c r="H4046" t="str">
        <f>VLOOKUP(B4046,indexy!$A$44:$D$823,3,FALSE)</f>
        <v>CM CT Equity</v>
      </c>
      <c r="K4046" s="434"/>
    </row>
    <row r="4047" spans="1:11" ht="12.75" hidden="1" customHeight="1" outlineLevel="1" x14ac:dyDescent="0.25">
      <c r="A4047" s="1911">
        <v>0.02</v>
      </c>
      <c r="B4047" s="2035" t="s">
        <v>1319</v>
      </c>
      <c r="C4047" s="2037">
        <v>74.55</v>
      </c>
      <c r="D4047" s="2042">
        <f>VLOOKUP(H4047,indexy!$C$44:$D$823,2,FALSE)</f>
        <v>90.81</v>
      </c>
      <c r="E4047" s="2043">
        <f t="shared" si="127"/>
        <v>0.218108651911469</v>
      </c>
      <c r="F4047" s="2065">
        <f t="shared" si="128"/>
        <v>4.3621730382293802E-3</v>
      </c>
      <c r="G4047" s="78"/>
      <c r="H4047" t="str">
        <f>VLOOKUP(B4047,indexy!$A$44:$D$823,3,FALSE)</f>
        <v>ED UN Equity</v>
      </c>
      <c r="K4047" s="434"/>
    </row>
    <row r="4048" spans="1:11" ht="12.75" hidden="1" customHeight="1" outlineLevel="1" x14ac:dyDescent="0.25">
      <c r="A4048" s="1911">
        <v>0.02</v>
      </c>
      <c r="B4048" s="2035" t="s">
        <v>7855</v>
      </c>
      <c r="C4048" s="2037">
        <v>50.645000000000003</v>
      </c>
      <c r="D4048" s="2042">
        <f>VLOOKUP(H4048,indexy!$C$44:$D$823,2,FALSE)</f>
        <v>48.95</v>
      </c>
      <c r="E4048" s="2043">
        <f t="shared" si="127"/>
        <v>-3.3468259453055538E-2</v>
      </c>
      <c r="F4048" s="2065">
        <f t="shared" si="128"/>
        <v>-6.6936518906111073E-4</v>
      </c>
      <c r="G4048" s="78"/>
      <c r="H4048" t="str">
        <f>VLOOKUP(B4048,indexy!$A$44:$D$823,3,FALSE)</f>
        <v>ENB CT Equity</v>
      </c>
      <c r="K4048" s="434"/>
    </row>
    <row r="4049" spans="1:11" ht="12.75" hidden="1" customHeight="1" outlineLevel="1" x14ac:dyDescent="0.25">
      <c r="A4049" s="1911">
        <v>0.05</v>
      </c>
      <c r="B4049" s="2035" t="s">
        <v>10643</v>
      </c>
      <c r="C4049" s="2037">
        <v>39.000999999999998</v>
      </c>
      <c r="D4049" s="2042">
        <f>VLOOKUP(H4049,indexy!$C$44:$D$823,2,FALSE)</f>
        <v>43.32</v>
      </c>
      <c r="E4049" s="2043">
        <f t="shared" si="127"/>
        <v>0.11074075023717356</v>
      </c>
      <c r="F4049" s="2065">
        <f t="shared" si="128"/>
        <v>5.5370375118586786E-3</v>
      </c>
      <c r="G4049" s="78"/>
      <c r="H4049" t="str">
        <f>VLOOKUP(B4049,indexy!$A$44:$D$823,3,FALSE)</f>
        <v>GWO CT Equity</v>
      </c>
      <c r="K4049" s="434"/>
    </row>
    <row r="4050" spans="1:11" ht="12.75" hidden="1" customHeight="1" outlineLevel="1" x14ac:dyDescent="0.25">
      <c r="A4050" s="1911">
        <v>0.02</v>
      </c>
      <c r="B4050" s="2035" t="s">
        <v>52</v>
      </c>
      <c r="C4050" s="2037">
        <v>136.90299999999999</v>
      </c>
      <c r="D4050" s="2042">
        <f>VLOOKUP(H4050,indexy!$C$44:$D$823,2,FALSE)</f>
        <v>190.96</v>
      </c>
      <c r="E4050" s="2043">
        <f t="shared" si="127"/>
        <v>0.39485621206255539</v>
      </c>
      <c r="F4050" s="2065">
        <f t="shared" si="128"/>
        <v>7.8971242412511078E-3</v>
      </c>
      <c r="G4050" s="78"/>
      <c r="H4050" t="str">
        <f>VLOOKUP(B4050,indexy!$A$44:$D$823,3,FALSE)</f>
        <v>IBM UN Equity</v>
      </c>
      <c r="K4050" s="434"/>
    </row>
    <row r="4051" spans="1:11" ht="12.75" hidden="1" customHeight="1" outlineLevel="1" x14ac:dyDescent="0.25">
      <c r="A4051" s="1911">
        <v>0.02</v>
      </c>
      <c r="B4051" s="2035" t="s">
        <v>10645</v>
      </c>
      <c r="C4051" s="2037">
        <v>2.0236000000000001</v>
      </c>
      <c r="D4051" s="2042">
        <f>VLOOKUP(H4051,indexy!$C$44:$D$823,2,FALSE)/100</f>
        <v>2.2050000000000001</v>
      </c>
      <c r="E4051" s="2043">
        <f t="shared" si="127"/>
        <v>8.9642221782961107E-2</v>
      </c>
      <c r="F4051" s="2065">
        <f t="shared" si="128"/>
        <v>1.7928444356592223E-3</v>
      </c>
      <c r="G4051" s="78"/>
      <c r="H4051" t="str">
        <f>VLOOKUP(B4051,indexy!$A$44:$D$823,3,FALSE)</f>
        <v>MNG LN Equity</v>
      </c>
      <c r="K4051" s="434"/>
    </row>
    <row r="4052" spans="1:11" ht="12.75" hidden="1" customHeight="1" outlineLevel="1" x14ac:dyDescent="0.25">
      <c r="A4052" s="1911">
        <v>0.05</v>
      </c>
      <c r="B4052" s="2035" t="s">
        <v>10427</v>
      </c>
      <c r="C4052" s="2038">
        <v>20.846</v>
      </c>
      <c r="D4052" s="2042">
        <f>VLOOKUP(H4052,indexy!$C$44:$D$823,2,FALSE)</f>
        <v>4.7</v>
      </c>
      <c r="E4052" s="2043">
        <f t="shared" si="127"/>
        <v>-0.77453708145447564</v>
      </c>
      <c r="F4052" s="2065">
        <f t="shared" si="128"/>
        <v>-3.8726854072723783E-2</v>
      </c>
      <c r="G4052" s="78"/>
      <c r="H4052" t="str">
        <f>VLOOKUP(B4052,indexy!$A$44:$D$823,3,FALSE)</f>
        <v>MPW UN Equity</v>
      </c>
      <c r="K4052" s="434"/>
    </row>
    <row r="4053" spans="1:11" ht="12.75" hidden="1" customHeight="1" outlineLevel="1" x14ac:dyDescent="0.25">
      <c r="A4053" s="1911">
        <v>0.04</v>
      </c>
      <c r="B4053" s="2035" t="s">
        <v>2786</v>
      </c>
      <c r="C4053" s="2037">
        <v>9.5320999999999998</v>
      </c>
      <c r="D4053" s="2042">
        <f>VLOOKUP(H4053,indexy!$C$44:$D$823,2,FALSE)/100</f>
        <v>10.66</v>
      </c>
      <c r="E4053" s="2043">
        <f t="shared" si="127"/>
        <v>0.11832649678454898</v>
      </c>
      <c r="F4053" s="2065">
        <f t="shared" si="128"/>
        <v>4.7330598713819592E-3</v>
      </c>
      <c r="G4053" s="78"/>
      <c r="H4053" t="str">
        <f>VLOOKUP(B4053,indexy!$A$44:$D$823,3,FALSE)</f>
        <v>NG/ LN Equity</v>
      </c>
      <c r="K4053" s="434"/>
    </row>
    <row r="4054" spans="1:11" ht="12.75" hidden="1" customHeight="1" outlineLevel="1" x14ac:dyDescent="0.25">
      <c r="A4054" s="1911">
        <v>0.02</v>
      </c>
      <c r="B4054" s="2035" t="s">
        <v>8527</v>
      </c>
      <c r="C4054" s="2037">
        <v>44.152000000000001</v>
      </c>
      <c r="D4054" s="2042">
        <f>VLOOKUP(H4054,indexy!$C$44:$D$823,2,FALSE)</f>
        <v>42.82</v>
      </c>
      <c r="E4054" s="2043">
        <f t="shared" si="127"/>
        <v>-3.0168508787823844E-2</v>
      </c>
      <c r="F4054" s="2065">
        <f t="shared" si="128"/>
        <v>-6.0337017575647686E-4</v>
      </c>
      <c r="G4054" s="78"/>
      <c r="H4054" t="str">
        <f>VLOOKUP(B4054,indexy!$A$44:$D$823,3,FALSE)</f>
        <v>NN NA Equity</v>
      </c>
      <c r="K4054" s="434"/>
    </row>
    <row r="4055" spans="1:11" ht="12.75" hidden="1" customHeight="1" outlineLevel="1" x14ac:dyDescent="0.25">
      <c r="A4055" s="1911">
        <v>7.0000000000000007E-2</v>
      </c>
      <c r="B4055" s="2035" t="s">
        <v>5824</v>
      </c>
      <c r="C4055" s="2037">
        <v>9.3995999999999995</v>
      </c>
      <c r="D4055" s="2042">
        <f>VLOOKUP(H4055,indexy!$C$44:$D$823,2,FALSE)</f>
        <v>10.888</v>
      </c>
      <c r="E4055" s="2043">
        <f t="shared" si="127"/>
        <v>0.15834716370909407</v>
      </c>
      <c r="F4055" s="2065">
        <f t="shared" si="128"/>
        <v>1.1084301459636587E-2</v>
      </c>
      <c r="G4055" s="78"/>
      <c r="H4055" t="str">
        <f>VLOOKUP(B4055,indexy!$A$44:$D$823,3,FALSE)</f>
        <v>ORA FP Equity</v>
      </c>
      <c r="K4055" s="434"/>
    </row>
    <row r="4056" spans="1:11" ht="12.75" hidden="1" customHeight="1" outlineLevel="1" x14ac:dyDescent="0.25">
      <c r="A4056" s="1911">
        <v>0.02</v>
      </c>
      <c r="B4056" s="2035" t="s">
        <v>8529</v>
      </c>
      <c r="C4056" s="2037">
        <v>68.938000000000002</v>
      </c>
      <c r="D4056" s="2042">
        <f>VLOOKUP(H4056,indexy!$C$44:$D$823,2,FALSE)</f>
        <v>54.1</v>
      </c>
      <c r="E4056" s="2043">
        <f t="shared" si="127"/>
        <v>-0.21523687951492643</v>
      </c>
      <c r="F4056" s="2065">
        <f t="shared" si="128"/>
        <v>-4.3047375902985283E-3</v>
      </c>
      <c r="G4056" s="78"/>
      <c r="H4056" t="str">
        <f>VLOOKUP(B4056,indexy!$A$44:$D$823,3,FALSE)</f>
        <v>O UN Equity</v>
      </c>
      <c r="K4056" s="434"/>
    </row>
    <row r="4057" spans="1:11" ht="12.75" hidden="1" customHeight="1" outlineLevel="1" x14ac:dyDescent="0.25">
      <c r="A4057" s="1911">
        <v>7.0000000000000007E-2</v>
      </c>
      <c r="B4057" s="2035" t="s">
        <v>5629</v>
      </c>
      <c r="C4057" s="2037">
        <v>17.1675</v>
      </c>
      <c r="D4057" s="2042">
        <f>VLOOKUP(H4057,indexy!$C$44:$D$823,2,FALSE)</f>
        <v>15.805</v>
      </c>
      <c r="E4057" s="2043">
        <f t="shared" si="127"/>
        <v>-7.9365079365079416E-2</v>
      </c>
      <c r="F4057" s="2065">
        <f t="shared" si="128"/>
        <v>-5.5555555555555592E-3</v>
      </c>
      <c r="G4057" s="78"/>
      <c r="H4057" t="str">
        <f>VLOOKUP(B4057,indexy!$A$44:$D$823,3,FALSE)</f>
        <v>REE SQ Equity</v>
      </c>
      <c r="K4057" s="434"/>
    </row>
    <row r="4058" spans="1:11" ht="12.75" hidden="1" customHeight="1" outlineLevel="1" x14ac:dyDescent="0.25">
      <c r="A4058" s="1911">
        <v>0.02</v>
      </c>
      <c r="B4058" s="2035" t="s">
        <v>6270</v>
      </c>
      <c r="C4058" s="2037">
        <v>43.622999999999998</v>
      </c>
      <c r="D4058" s="2042">
        <f>VLOOKUP(H4058,indexy!$C$44:$D$823,2,FALSE)</f>
        <v>39.515000000000001</v>
      </c>
      <c r="E4058" s="2043">
        <f t="shared" si="127"/>
        <v>-9.4170506384246733E-2</v>
      </c>
      <c r="F4058" s="2065">
        <f t="shared" si="128"/>
        <v>-1.8834101276849347E-3</v>
      </c>
      <c r="G4058" s="78"/>
      <c r="H4058" t="str">
        <f>VLOOKUP(B4058,indexy!$A$44:$D$823,3,FALSE)</f>
        <v>SAMPO FH Equity</v>
      </c>
      <c r="K4058" s="434"/>
    </row>
    <row r="4059" spans="1:11" ht="12.75" hidden="1" customHeight="1" outlineLevel="1" x14ac:dyDescent="0.25">
      <c r="A4059" s="1911">
        <v>0.04</v>
      </c>
      <c r="B4059" s="2035" t="s">
        <v>4460</v>
      </c>
      <c r="C4059" s="2037">
        <v>28.13</v>
      </c>
      <c r="D4059" s="2042">
        <f>VLOOKUP(H4059,indexy!$C$44:$D$823,2,FALSE)/100</f>
        <v>24.7</v>
      </c>
      <c r="E4059" s="2043">
        <f t="shared" si="127"/>
        <v>-0.12193387842161396</v>
      </c>
      <c r="F4059" s="2065">
        <f t="shared" si="128"/>
        <v>-4.8773551368645586E-3</v>
      </c>
      <c r="G4059" s="78"/>
      <c r="H4059" t="str">
        <f>VLOOKUP(B4059,indexy!$A$44:$D$823,3,FALSE)</f>
        <v>SVT LN Equity</v>
      </c>
      <c r="K4059" s="434"/>
    </row>
    <row r="4060" spans="1:11" ht="12.75" hidden="1" customHeight="1" outlineLevel="1" x14ac:dyDescent="0.25">
      <c r="A4060" s="1911">
        <v>0.02</v>
      </c>
      <c r="B4060" s="2035" t="s">
        <v>6116</v>
      </c>
      <c r="C4060" s="2037">
        <v>4.9414999999999996</v>
      </c>
      <c r="D4060" s="2042">
        <f>VLOOKUP(H4060,indexy!$C$44:$D$823,2,FALSE)</f>
        <v>4.3760000000000003</v>
      </c>
      <c r="E4060" s="2043">
        <f t="shared" si="127"/>
        <v>-0.11443893554588669</v>
      </c>
      <c r="F4060" s="2065">
        <f t="shared" si="128"/>
        <v>-2.288778710917734E-3</v>
      </c>
      <c r="G4060" s="78"/>
      <c r="H4060" t="str">
        <f>VLOOKUP(B4060,indexy!$A$44:$D$823,3,FALSE)</f>
        <v>SRG IM Equity</v>
      </c>
      <c r="K4060" s="434"/>
    </row>
    <row r="4061" spans="1:11" ht="12.75" hidden="1" customHeight="1" outlineLevel="1" x14ac:dyDescent="0.25">
      <c r="A4061" s="1911">
        <v>0.08</v>
      </c>
      <c r="B4061" s="2035" t="s">
        <v>10529</v>
      </c>
      <c r="C4061" s="2037">
        <v>1585.1</v>
      </c>
      <c r="D4061" s="2042">
        <f>VLOOKUP(H4061,indexy!$C$44:$D$823,2,FALSE)</f>
        <v>1941</v>
      </c>
      <c r="E4061" s="2043">
        <f t="shared" si="127"/>
        <v>0.22452842091981595</v>
      </c>
      <c r="F4061" s="2065">
        <f t="shared" si="128"/>
        <v>1.7962273673585275E-2</v>
      </c>
      <c r="G4061" s="78"/>
      <c r="H4061" t="str">
        <f>VLOOKUP(B4061,indexy!$A$44:$D$823,3,FALSE)</f>
        <v>9434 JT Equity</v>
      </c>
      <c r="K4061" s="434"/>
    </row>
    <row r="4062" spans="1:11" ht="12.75" hidden="1" customHeight="1" outlineLevel="1" x14ac:dyDescent="0.25">
      <c r="A4062" s="1911">
        <v>0.02</v>
      </c>
      <c r="B4062" s="2035" t="s">
        <v>6118</v>
      </c>
      <c r="C4062" s="2037">
        <v>81.721999999999994</v>
      </c>
      <c r="D4062" s="2042">
        <f>VLOOKUP(H4062,indexy!$C$44:$D$823,2,FALSE)</f>
        <v>115.95</v>
      </c>
      <c r="E4062" s="2043">
        <f t="shared" si="127"/>
        <v>0.41883458554611996</v>
      </c>
      <c r="F4062" s="2065">
        <f t="shared" si="128"/>
        <v>8.3766917109223994E-3</v>
      </c>
      <c r="G4062" s="78"/>
      <c r="H4062" t="str">
        <f>VLOOKUP(B4062,indexy!$A$44:$D$823,3,FALSE)</f>
        <v>SREN SE Equity</v>
      </c>
      <c r="K4062" s="434"/>
    </row>
    <row r="4063" spans="1:11" ht="12.75" hidden="1" customHeight="1" outlineLevel="1" x14ac:dyDescent="0.25">
      <c r="A4063" s="1911">
        <v>7.0000000000000007E-2</v>
      </c>
      <c r="B4063" s="2035" t="s">
        <v>1239</v>
      </c>
      <c r="C4063" s="2037">
        <v>532.76</v>
      </c>
      <c r="D4063" s="2042">
        <f>VLOOKUP(H4063,indexy!$C$44:$D$823,2,FALSE)</f>
        <v>551.4</v>
      </c>
      <c r="E4063" s="2043">
        <f t="shared" si="127"/>
        <v>3.4987611682558706E-2</v>
      </c>
      <c r="F4063" s="2065">
        <f t="shared" si="128"/>
        <v>2.4491328177791098E-3</v>
      </c>
      <c r="G4063" s="78"/>
      <c r="H4063" t="str">
        <f>VLOOKUP(B4063,indexy!$A$44:$D$823,3,FALSE)</f>
        <v>SCMN SE Equity</v>
      </c>
      <c r="K4063" s="434"/>
    </row>
    <row r="4064" spans="1:11" ht="12.75" hidden="1" customHeight="1" outlineLevel="1" x14ac:dyDescent="0.25">
      <c r="A4064" s="1911">
        <v>0.02</v>
      </c>
      <c r="B4064" s="2035" t="s">
        <v>366</v>
      </c>
      <c r="C4064" s="2037">
        <v>61.91</v>
      </c>
      <c r="D4064" s="2042">
        <f>VLOOKUP(H4064,indexy!$C$44:$D$823,2,FALSE)</f>
        <v>54.44</v>
      </c>
      <c r="E4064" s="2043">
        <f t="shared" si="127"/>
        <v>-0.12065902115974803</v>
      </c>
      <c r="F4064" s="2065">
        <f t="shared" si="128"/>
        <v>-2.4131804231949604E-3</v>
      </c>
      <c r="G4064" s="78"/>
      <c r="H4064" t="str">
        <f>VLOOKUP(B4064,indexy!$A$44:$D$823,3,FALSE)</f>
        <v>TRP CT Equity</v>
      </c>
      <c r="K4064" s="434"/>
    </row>
    <row r="4065" spans="1:11" ht="12.75" hidden="1" customHeight="1" outlineLevel="1" x14ac:dyDescent="0.25">
      <c r="A4065" s="1911">
        <v>0.03</v>
      </c>
      <c r="B4065" s="2035" t="s">
        <v>434</v>
      </c>
      <c r="C4065" s="2037">
        <v>36.906500000000001</v>
      </c>
      <c r="D4065" s="2042">
        <f>VLOOKUP(H4065,indexy!$C$44:$D$823,2,FALSE)</f>
        <v>27.43</v>
      </c>
      <c r="E4065" s="2043">
        <f t="shared" si="127"/>
        <v>-0.25677048758348808</v>
      </c>
      <c r="F4065" s="2065">
        <f t="shared" si="128"/>
        <v>-7.7031146275046425E-3</v>
      </c>
      <c r="G4065" s="78"/>
      <c r="H4065" t="str">
        <f>VLOOKUP(B4065,indexy!$A$44:$D$823,3,FALSE)</f>
        <v>TELIA SS Equity</v>
      </c>
      <c r="K4065" s="434"/>
    </row>
    <row r="4066" spans="1:11" ht="12.75" hidden="1" customHeight="1" outlineLevel="1" x14ac:dyDescent="0.25">
      <c r="A4066" s="1911">
        <v>0.02</v>
      </c>
      <c r="B4066" s="2035" t="s">
        <v>3921</v>
      </c>
      <c r="C4066" s="2037">
        <v>6.6086</v>
      </c>
      <c r="D4066" s="2042">
        <f>VLOOKUP(H4066,indexy!$C$44:$D$823,2,FALSE)</f>
        <v>7.66</v>
      </c>
      <c r="E4066" s="2043">
        <f t="shared" si="127"/>
        <v>0.15909572375389636</v>
      </c>
      <c r="F4066" s="2065">
        <f t="shared" si="128"/>
        <v>3.1819144750779272E-3</v>
      </c>
      <c r="G4066" s="78"/>
      <c r="H4066" t="str">
        <f>VLOOKUP(B4066,indexy!$A$44:$D$823,3,FALSE)</f>
        <v>TRN IM Equity</v>
      </c>
      <c r="K4066" s="434"/>
    </row>
    <row r="4067" spans="1:11" ht="12.75" hidden="1" customHeight="1" outlineLevel="1" x14ac:dyDescent="0.25">
      <c r="A4067" s="1911">
        <v>0.02</v>
      </c>
      <c r="B4067" s="2035" t="s">
        <v>2983</v>
      </c>
      <c r="C4067" s="2037">
        <v>10.507</v>
      </c>
      <c r="D4067" s="2042">
        <f>VLOOKUP(H4067,indexy!$C$44:$D$823,2,FALSE)/100</f>
        <v>10.29</v>
      </c>
      <c r="E4067" s="2043">
        <f t="shared" si="127"/>
        <v>-2.0652898067954784E-2</v>
      </c>
      <c r="F4067" s="2065">
        <f t="shared" si="128"/>
        <v>-4.1305796135909567E-4</v>
      </c>
      <c r="G4067" s="78"/>
      <c r="H4067" t="str">
        <f>VLOOKUP(B4067,indexy!$A$44:$D$823,3,FALSE)</f>
        <v>UU/ LN Equity</v>
      </c>
      <c r="K4067" s="434"/>
    </row>
    <row r="4068" spans="1:11" ht="12.75" hidden="1" customHeight="1" outlineLevel="1" x14ac:dyDescent="0.25">
      <c r="A4068" s="1911">
        <v>0.02</v>
      </c>
      <c r="B4068" s="2035" t="s">
        <v>255</v>
      </c>
      <c r="C4068" s="2037">
        <v>54.497</v>
      </c>
      <c r="D4068" s="2042">
        <f>VLOOKUP(H4068,indexy!$C$44:$D$823,2,FALSE)</f>
        <v>41.96</v>
      </c>
      <c r="E4068" s="2043">
        <f t="shared" si="127"/>
        <v>-0.23004936051525771</v>
      </c>
      <c r="F4068" s="2065">
        <f t="shared" si="128"/>
        <v>-4.6009872103051543E-3</v>
      </c>
      <c r="G4068" s="78"/>
      <c r="H4068" t="str">
        <f>VLOOKUP(B4068,indexy!$A$44:$D$823,3,FALSE)</f>
        <v>VZ UN Equity</v>
      </c>
      <c r="K4068" s="434"/>
    </row>
    <row r="4069" spans="1:11" ht="12.75" hidden="1" customHeight="1" outlineLevel="1" x14ac:dyDescent="0.25">
      <c r="A4069" s="1911">
        <v>0.02</v>
      </c>
      <c r="B4069" s="2036" t="s">
        <v>4550</v>
      </c>
      <c r="C4069" s="2037">
        <v>395.57</v>
      </c>
      <c r="D4069" s="2045">
        <f>VLOOKUP(H4069,indexy!$C$44:$D$823,2,FALSE)</f>
        <v>486.3</v>
      </c>
      <c r="E4069" s="2046">
        <f t="shared" si="127"/>
        <v>0.22936521980938895</v>
      </c>
      <c r="F4069" s="3424">
        <f>$E4069*$A4069</f>
        <v>4.5873043961877791E-3</v>
      </c>
      <c r="G4069" s="78"/>
      <c r="H4069" t="str">
        <f>VLOOKUP(B4069,indexy!$A$44:$D$823,3,FALSE)</f>
        <v>ZURN SE Equity</v>
      </c>
      <c r="K4069" s="434"/>
    </row>
    <row r="4070" spans="1:11" ht="12.75" hidden="1" customHeight="1" outlineLevel="1" x14ac:dyDescent="0.25">
      <c r="A4070" s="2048" t="s">
        <v>2734</v>
      </c>
      <c r="B4070" s="2049"/>
      <c r="C4070" s="2050"/>
      <c r="D4070" s="2051"/>
      <c r="E4070" s="2052"/>
      <c r="F4070" s="2052">
        <f>SUM(F4040:F4069)</f>
        <v>2.0384484931113098E-2</v>
      </c>
      <c r="G4070" s="78"/>
    </row>
    <row r="4071" spans="1:11" ht="12.75" hidden="1" customHeight="1" outlineLevel="1" x14ac:dyDescent="0.25">
      <c r="A4071" s="2053"/>
      <c r="B4071" s="2054">
        <v>46235</v>
      </c>
      <c r="C4071" s="2055">
        <v>100</v>
      </c>
      <c r="D4071" s="2055"/>
      <c r="E4071" s="2056">
        <f>IF(D4071="",$F$4070,D4071/C4071-1)</f>
        <v>2.0384484931113098E-2</v>
      </c>
      <c r="F4071" s="2072"/>
      <c r="G4071" s="78"/>
    </row>
    <row r="4072" spans="1:11" ht="12.75" hidden="1" customHeight="1" outlineLevel="1" x14ac:dyDescent="0.25">
      <c r="A4072" s="2053"/>
      <c r="B4072" s="2054">
        <v>46266</v>
      </c>
      <c r="C4072" s="2055">
        <v>100</v>
      </c>
      <c r="D4072" s="2058"/>
      <c r="E4072" s="2056">
        <f t="shared" ref="E4072:E4082" si="129">IF(D4072="",$F$4070,D4072/C4072-1)</f>
        <v>2.0384484931113098E-2</v>
      </c>
      <c r="F4072" s="2072"/>
      <c r="G4072" s="78"/>
    </row>
    <row r="4073" spans="1:11" ht="12.75" hidden="1" customHeight="1" outlineLevel="1" x14ac:dyDescent="0.25">
      <c r="A4073" s="2053"/>
      <c r="B4073" s="2054">
        <v>46296</v>
      </c>
      <c r="C4073" s="2055">
        <v>100</v>
      </c>
      <c r="D4073" s="2058"/>
      <c r="E4073" s="2056">
        <f t="shared" si="129"/>
        <v>2.0384484931113098E-2</v>
      </c>
      <c r="F4073" s="2072"/>
      <c r="G4073" s="78"/>
    </row>
    <row r="4074" spans="1:11" ht="12.75" hidden="1" customHeight="1" outlineLevel="1" x14ac:dyDescent="0.25">
      <c r="A4074" s="2053"/>
      <c r="B4074" s="2054">
        <v>46327</v>
      </c>
      <c r="C4074" s="2055">
        <v>100</v>
      </c>
      <c r="D4074" s="2058"/>
      <c r="E4074" s="2056">
        <f t="shared" si="129"/>
        <v>2.0384484931113098E-2</v>
      </c>
      <c r="F4074" s="2072"/>
      <c r="G4074" s="78"/>
    </row>
    <row r="4075" spans="1:11" ht="12.75" hidden="1" customHeight="1" outlineLevel="1" x14ac:dyDescent="0.25">
      <c r="A4075" s="2053"/>
      <c r="B4075" s="2054">
        <v>46357</v>
      </c>
      <c r="C4075" s="2055">
        <v>100</v>
      </c>
      <c r="D4075" s="2058"/>
      <c r="E4075" s="2056">
        <f t="shared" si="129"/>
        <v>2.0384484931113098E-2</v>
      </c>
      <c r="F4075" s="2072"/>
      <c r="G4075" s="78"/>
    </row>
    <row r="4076" spans="1:11" ht="12.75" hidden="1" customHeight="1" outlineLevel="1" x14ac:dyDescent="0.25">
      <c r="A4076" s="2053"/>
      <c r="B4076" s="2054">
        <v>46388</v>
      </c>
      <c r="C4076" s="2055">
        <v>100</v>
      </c>
      <c r="D4076" s="2058"/>
      <c r="E4076" s="2056">
        <f t="shared" si="129"/>
        <v>2.0384484931113098E-2</v>
      </c>
      <c r="F4076" s="2072"/>
      <c r="G4076" s="78"/>
    </row>
    <row r="4077" spans="1:11" ht="12.75" hidden="1" customHeight="1" outlineLevel="1" x14ac:dyDescent="0.25">
      <c r="A4077" s="2053"/>
      <c r="B4077" s="2054">
        <v>46419</v>
      </c>
      <c r="C4077" s="2055">
        <v>100</v>
      </c>
      <c r="D4077" s="2058"/>
      <c r="E4077" s="2056">
        <f t="shared" si="129"/>
        <v>2.0384484931113098E-2</v>
      </c>
      <c r="F4077" s="2072"/>
      <c r="G4077" s="78"/>
    </row>
    <row r="4078" spans="1:11" ht="12.75" hidden="1" customHeight="1" outlineLevel="1" x14ac:dyDescent="0.25">
      <c r="A4078" s="2053"/>
      <c r="B4078" s="2054">
        <v>46447</v>
      </c>
      <c r="C4078" s="2055">
        <v>100</v>
      </c>
      <c r="D4078" s="2058"/>
      <c r="E4078" s="2056">
        <f t="shared" si="129"/>
        <v>2.0384484931113098E-2</v>
      </c>
      <c r="F4078" s="2072"/>
      <c r="G4078" s="78"/>
    </row>
    <row r="4079" spans="1:11" ht="12.75" hidden="1" customHeight="1" outlineLevel="1" x14ac:dyDescent="0.25">
      <c r="A4079" s="2053"/>
      <c r="B4079" s="2054">
        <v>46478</v>
      </c>
      <c r="C4079" s="2055">
        <v>100</v>
      </c>
      <c r="D4079" s="2058"/>
      <c r="E4079" s="2056">
        <f t="shared" si="129"/>
        <v>2.0384484931113098E-2</v>
      </c>
      <c r="F4079" s="2072"/>
      <c r="G4079" s="78"/>
    </row>
    <row r="4080" spans="1:11" ht="12.75" hidden="1" customHeight="1" outlineLevel="1" x14ac:dyDescent="0.25">
      <c r="A4080" s="2053"/>
      <c r="B4080" s="2054">
        <v>46508</v>
      </c>
      <c r="C4080" s="2055">
        <v>100</v>
      </c>
      <c r="D4080" s="2058"/>
      <c r="E4080" s="2056">
        <f t="shared" si="129"/>
        <v>2.0384484931113098E-2</v>
      </c>
      <c r="F4080" s="2072"/>
      <c r="G4080" s="78"/>
    </row>
    <row r="4081" spans="1:7" ht="12.75" hidden="1" customHeight="1" outlineLevel="1" x14ac:dyDescent="0.25">
      <c r="A4081" s="2053"/>
      <c r="B4081" s="2054">
        <v>46539</v>
      </c>
      <c r="C4081" s="2055">
        <v>100</v>
      </c>
      <c r="D4081" s="2058"/>
      <c r="E4081" s="2056">
        <f t="shared" si="129"/>
        <v>2.0384484931113098E-2</v>
      </c>
      <c r="F4081" s="2072"/>
      <c r="G4081" s="78"/>
    </row>
    <row r="4082" spans="1:7" ht="12.75" hidden="1" customHeight="1" outlineLevel="1" x14ac:dyDescent="0.25">
      <c r="A4082" s="2053"/>
      <c r="B4082" s="2054">
        <v>46569</v>
      </c>
      <c r="C4082" s="2055">
        <v>100</v>
      </c>
      <c r="D4082" s="2058"/>
      <c r="E4082" s="2056">
        <f t="shared" si="129"/>
        <v>2.0384484931113098E-2</v>
      </c>
      <c r="F4082" s="2072"/>
      <c r="G4082" s="78"/>
    </row>
    <row r="4083" spans="1:7" ht="12.75" hidden="1" customHeight="1" outlineLevel="1" x14ac:dyDescent="0.25">
      <c r="A4083" s="2067" t="s">
        <v>2734</v>
      </c>
      <c r="B4083" s="2068"/>
      <c r="C4083" s="2058"/>
      <c r="D4083" s="2069" t="s">
        <v>2465</v>
      </c>
      <c r="E4083" s="2070">
        <f>AVERAGE(E4071:E4082)</f>
        <v>2.0384484931113101E-2</v>
      </c>
      <c r="F4083" s="2071">
        <f>E4083</f>
        <v>2.0384484931113101E-2</v>
      </c>
      <c r="G4083" s="78"/>
    </row>
    <row r="4084" spans="1:7" collapsed="1" x14ac:dyDescent="0.25">
      <c r="A4084" s="3799" t="s">
        <v>10649</v>
      </c>
      <c r="B4084" s="3800"/>
      <c r="C4084" s="3800"/>
      <c r="D4084" s="3800"/>
      <c r="E4084" s="18"/>
      <c r="F4084" s="186">
        <f>IF(F4083&lt;-5%,-5%,IF(F4083&gt;50%,50%,F4083))</f>
        <v>2.0384484931113101E-2</v>
      </c>
      <c r="G4084" s="78"/>
    </row>
  </sheetData>
  <mergeCells count="96">
    <mergeCell ref="F601:F603"/>
    <mergeCell ref="E601:E603"/>
    <mergeCell ref="A3696:D3696"/>
    <mergeCell ref="A2045:D2045"/>
    <mergeCell ref="A768:D768"/>
    <mergeCell ref="A668:D668"/>
    <mergeCell ref="A1346:D1346"/>
    <mergeCell ref="A1252:D1252"/>
    <mergeCell ref="A1058:D1058"/>
    <mergeCell ref="A1155:D1155"/>
    <mergeCell ref="A1008:D1008"/>
    <mergeCell ref="A1202:D1202"/>
    <mergeCell ref="A812:D812"/>
    <mergeCell ref="A961:D961"/>
    <mergeCell ref="A856:D856"/>
    <mergeCell ref="A2800:D2800"/>
    <mergeCell ref="A2847:D2847"/>
    <mergeCell ref="A2988:D2988"/>
    <mergeCell ref="A1857:D1857"/>
    <mergeCell ref="A2095:D2095"/>
    <mergeCell ref="A2142:D2142"/>
    <mergeCell ref="A2377:D2377"/>
    <mergeCell ref="A2189:D2189"/>
    <mergeCell ref="A1951:D1951"/>
    <mergeCell ref="A2236:D2236"/>
    <mergeCell ref="A2330:D2330"/>
    <mergeCell ref="A1998:D1998"/>
    <mergeCell ref="A1108:D1108"/>
    <mergeCell ref="A1904:D1904"/>
    <mergeCell ref="A1490:D1490"/>
    <mergeCell ref="A1763:D1763"/>
    <mergeCell ref="A1669:D1669"/>
    <mergeCell ref="A1584:D1584"/>
    <mergeCell ref="A1810:D1810"/>
    <mergeCell ref="A1537:D1537"/>
    <mergeCell ref="A1299:D1299"/>
    <mergeCell ref="A1628:D1628"/>
    <mergeCell ref="A1716:D1716"/>
    <mergeCell ref="A1443:D1443"/>
    <mergeCell ref="A1393:D1393"/>
    <mergeCell ref="I911:L911"/>
    <mergeCell ref="A911:D911"/>
    <mergeCell ref="I56:L56"/>
    <mergeCell ref="A106:D106"/>
    <mergeCell ref="A156:D156"/>
    <mergeCell ref="A200:D200"/>
    <mergeCell ref="A299:D299"/>
    <mergeCell ref="I249:L249"/>
    <mergeCell ref="A249:D249"/>
    <mergeCell ref="A618:D618"/>
    <mergeCell ref="E546:E547"/>
    <mergeCell ref="A718:D718"/>
    <mergeCell ref="D546:D547"/>
    <mergeCell ref="C546:C547"/>
    <mergeCell ref="A548:D548"/>
    <mergeCell ref="A598:D598"/>
    <mergeCell ref="A1:D1"/>
    <mergeCell ref="A543:D543"/>
    <mergeCell ref="A493:D493"/>
    <mergeCell ref="A399:D399"/>
    <mergeCell ref="A56:D56"/>
    <mergeCell ref="A443:D443"/>
    <mergeCell ref="A349:D349"/>
    <mergeCell ref="A3226:D3226"/>
    <mergeCell ref="A3179:D3179"/>
    <mergeCell ref="A2471:D2471"/>
    <mergeCell ref="A2565:D2565"/>
    <mergeCell ref="A2283:D2283"/>
    <mergeCell ref="A3132:D3132"/>
    <mergeCell ref="A3038:D3038"/>
    <mergeCell ref="A3085:D3085"/>
    <mergeCell ref="A2941:D2941"/>
    <mergeCell ref="A2612:D2612"/>
    <mergeCell ref="A2424:D2424"/>
    <mergeCell ref="A2518:D2518"/>
    <mergeCell ref="A2753:D2753"/>
    <mergeCell ref="A2659:D2659"/>
    <mergeCell ref="A2706:D2706"/>
    <mergeCell ref="A2894:D2894"/>
    <mergeCell ref="A3649:D3649"/>
    <mergeCell ref="A3790:D3790"/>
    <mergeCell ref="A3743:D3743"/>
    <mergeCell ref="A3273:D3273"/>
    <mergeCell ref="A3555:D3555"/>
    <mergeCell ref="A3602:D3602"/>
    <mergeCell ref="A3508:D3508"/>
    <mergeCell ref="A3414:D3414"/>
    <mergeCell ref="A3367:D3367"/>
    <mergeCell ref="A3320:D3320"/>
    <mergeCell ref="A3461:D3461"/>
    <mergeCell ref="A4084:D4084"/>
    <mergeCell ref="A4034:D4034"/>
    <mergeCell ref="A3984:D3984"/>
    <mergeCell ref="A3934:D3934"/>
    <mergeCell ref="A3837:D3837"/>
    <mergeCell ref="A3884:D3884"/>
  </mergeCells>
  <conditionalFormatting sqref="E6:E35 M6:M35 E62:E91 E112:E141 E162:E191 E205:E234 M205:M234 E255:E284 E305:E334 E355:E384 E405:E434 E449:E478 E499:E528 E554:E583 E624:E653">
    <cfRule type="cellIs" dxfId="72" priority="95" stopIfTrue="1" operator="greaterThan">
      <formula>0.6</formula>
    </cfRule>
  </conditionalFormatting>
  <conditionalFormatting sqref="E674:E703">
    <cfRule type="cellIs" dxfId="71" priority="77" stopIfTrue="1" operator="greaterThan">
      <formula>0.6</formula>
    </cfRule>
  </conditionalFormatting>
  <conditionalFormatting sqref="E724:E753">
    <cfRule type="cellIs" dxfId="70" priority="76" stopIfTrue="1" operator="greaterThan">
      <formula>0.6</formula>
    </cfRule>
  </conditionalFormatting>
  <conditionalFormatting sqref="E774:E803">
    <cfRule type="cellIs" dxfId="69" priority="75" stopIfTrue="1" operator="greaterThan">
      <formula>0.6</formula>
    </cfRule>
  </conditionalFormatting>
  <conditionalFormatting sqref="E818:E847">
    <cfRule type="cellIs" dxfId="68" priority="74" stopIfTrue="1" operator="greaterThan">
      <formula>0.6</formula>
    </cfRule>
  </conditionalFormatting>
  <conditionalFormatting sqref="E861:E890 M861:M890">
    <cfRule type="cellIs" dxfId="67" priority="73" stopIfTrue="1" operator="greaterThan">
      <formula>0.6</formula>
    </cfRule>
  </conditionalFormatting>
  <conditionalFormatting sqref="E917:E946">
    <cfRule type="cellIs" dxfId="66" priority="72" stopIfTrue="1" operator="greaterThan">
      <formula>0.6</formula>
    </cfRule>
  </conditionalFormatting>
  <conditionalFormatting sqref="E964:E993">
    <cfRule type="cellIs" dxfId="65" priority="71" stopIfTrue="1" operator="greaterThan">
      <formula>0.6</formula>
    </cfRule>
  </conditionalFormatting>
  <conditionalFormatting sqref="E1014:E1043">
    <cfRule type="cellIs" dxfId="64" priority="69" stopIfTrue="1" operator="greaterThan">
      <formula>0.6</formula>
    </cfRule>
  </conditionalFormatting>
  <conditionalFormatting sqref="E1064:E1093">
    <cfRule type="cellIs" dxfId="63" priority="68" stopIfTrue="1" operator="greaterThan">
      <formula>0.6</formula>
    </cfRule>
  </conditionalFormatting>
  <conditionalFormatting sqref="E1111:E1140">
    <cfRule type="cellIs" dxfId="62" priority="67" stopIfTrue="1" operator="greaterThan">
      <formula>0.6</formula>
    </cfRule>
  </conditionalFormatting>
  <conditionalFormatting sqref="E1158:E1187">
    <cfRule type="cellIs" dxfId="61" priority="65" stopIfTrue="1" operator="greaterThan">
      <formula>0.6</formula>
    </cfRule>
  </conditionalFormatting>
  <conditionalFormatting sqref="E1208:E1237">
    <cfRule type="cellIs" dxfId="60" priority="64" stopIfTrue="1" operator="greaterThan">
      <formula>0.6</formula>
    </cfRule>
  </conditionalFormatting>
  <conditionalFormatting sqref="E1255:E1284">
    <cfRule type="cellIs" dxfId="59" priority="63" stopIfTrue="1" operator="greaterThan">
      <formula>0.6</formula>
    </cfRule>
  </conditionalFormatting>
  <conditionalFormatting sqref="E1302:E1331">
    <cfRule type="cellIs" dxfId="58" priority="62" stopIfTrue="1" operator="greaterThan">
      <formula>0.6</formula>
    </cfRule>
  </conditionalFormatting>
  <conditionalFormatting sqref="E1349:E1378">
    <cfRule type="cellIs" dxfId="57" priority="61" stopIfTrue="1" operator="greaterThan">
      <formula>0.6</formula>
    </cfRule>
  </conditionalFormatting>
  <conditionalFormatting sqref="E1399:E1428">
    <cfRule type="cellIs" dxfId="56" priority="60" stopIfTrue="1" operator="greaterThan">
      <formula>0.6</formula>
    </cfRule>
  </conditionalFormatting>
  <conditionalFormatting sqref="E1446:E1475">
    <cfRule type="cellIs" dxfId="55" priority="58" stopIfTrue="1" operator="greaterThan">
      <formula>0.6</formula>
    </cfRule>
  </conditionalFormatting>
  <conditionalFormatting sqref="E1493:E1522">
    <cfRule type="cellIs" dxfId="54" priority="57" stopIfTrue="1" operator="greaterThan">
      <formula>0.6</formula>
    </cfRule>
  </conditionalFormatting>
  <conditionalFormatting sqref="E1540:E1569">
    <cfRule type="cellIs" dxfId="53" priority="56" stopIfTrue="1" operator="greaterThan">
      <formula>0.6</formula>
    </cfRule>
  </conditionalFormatting>
  <conditionalFormatting sqref="E1590:E1619">
    <cfRule type="cellIs" dxfId="52" priority="55" stopIfTrue="1" operator="greaterThan">
      <formula>0.6</formula>
    </cfRule>
  </conditionalFormatting>
  <conditionalFormatting sqref="E1631:E1660">
    <cfRule type="cellIs" dxfId="51" priority="54" stopIfTrue="1" operator="greaterThan">
      <formula>0.6</formula>
    </cfRule>
  </conditionalFormatting>
  <conditionalFormatting sqref="E1672:E1701">
    <cfRule type="cellIs" dxfId="50" priority="53" stopIfTrue="1" operator="greaterThan">
      <formula>0.6</formula>
    </cfRule>
  </conditionalFormatting>
  <conditionalFormatting sqref="E1719:E1748">
    <cfRule type="cellIs" dxfId="49" priority="52" stopIfTrue="1" operator="greaterThan">
      <formula>0.6</formula>
    </cfRule>
  </conditionalFormatting>
  <conditionalFormatting sqref="E1766:E1795">
    <cfRule type="cellIs" dxfId="48" priority="51" stopIfTrue="1" operator="greaterThan">
      <formula>0.6</formula>
    </cfRule>
  </conditionalFormatting>
  <conditionalFormatting sqref="E1813:E1842">
    <cfRule type="cellIs" dxfId="47" priority="50" stopIfTrue="1" operator="greaterThan">
      <formula>0.6</formula>
    </cfRule>
  </conditionalFormatting>
  <conditionalFormatting sqref="E1860:E1889">
    <cfRule type="cellIs" dxfId="46" priority="49" stopIfTrue="1" operator="greaterThan">
      <formula>0.6</formula>
    </cfRule>
  </conditionalFormatting>
  <conditionalFormatting sqref="E1907:E1936">
    <cfRule type="cellIs" dxfId="45" priority="48" stopIfTrue="1" operator="greaterThan">
      <formula>0.6</formula>
    </cfRule>
  </conditionalFormatting>
  <conditionalFormatting sqref="E1954:E1983">
    <cfRule type="cellIs" dxfId="44" priority="47" stopIfTrue="1" operator="greaterThan">
      <formula>0.6</formula>
    </cfRule>
  </conditionalFormatting>
  <conditionalFormatting sqref="E2001:E2030">
    <cfRule type="cellIs" dxfId="43" priority="46" stopIfTrue="1" operator="greaterThan">
      <formula>0.6</formula>
    </cfRule>
  </conditionalFormatting>
  <conditionalFormatting sqref="E2051:E2080">
    <cfRule type="cellIs" dxfId="42" priority="45" stopIfTrue="1" operator="greaterThan">
      <formula>0.6</formula>
    </cfRule>
  </conditionalFormatting>
  <conditionalFormatting sqref="E2098:E2127">
    <cfRule type="cellIs" dxfId="41" priority="44" stopIfTrue="1" operator="greaterThan">
      <formula>0.6</formula>
    </cfRule>
  </conditionalFormatting>
  <conditionalFormatting sqref="E2145:E2174">
    <cfRule type="cellIs" dxfId="40" priority="43" stopIfTrue="1" operator="greaterThan">
      <formula>0.6</formula>
    </cfRule>
  </conditionalFormatting>
  <conditionalFormatting sqref="E2192:E2221">
    <cfRule type="cellIs" dxfId="39" priority="42" stopIfTrue="1" operator="greaterThan">
      <formula>0.6</formula>
    </cfRule>
  </conditionalFormatting>
  <conditionalFormatting sqref="E2239:E2268">
    <cfRule type="cellIs" dxfId="38" priority="41" stopIfTrue="1" operator="greaterThan">
      <formula>0.6</formula>
    </cfRule>
  </conditionalFormatting>
  <conditionalFormatting sqref="E2286:E2315">
    <cfRule type="cellIs" dxfId="37" priority="40" stopIfTrue="1" operator="greaterThan">
      <formula>0.6</formula>
    </cfRule>
  </conditionalFormatting>
  <conditionalFormatting sqref="E2333:E2362">
    <cfRule type="cellIs" dxfId="36" priority="39" stopIfTrue="1" operator="greaterThan">
      <formula>0.6</formula>
    </cfRule>
  </conditionalFormatting>
  <conditionalFormatting sqref="E2380:E2409">
    <cfRule type="cellIs" dxfId="35" priority="38" stopIfTrue="1" operator="greaterThan">
      <formula>0.6</formula>
    </cfRule>
  </conditionalFormatting>
  <conditionalFormatting sqref="E2427:E2456">
    <cfRule type="cellIs" dxfId="34" priority="37" stopIfTrue="1" operator="greaterThan">
      <formula>0.6</formula>
    </cfRule>
  </conditionalFormatting>
  <conditionalFormatting sqref="E2474:E2503">
    <cfRule type="cellIs" dxfId="33" priority="36" stopIfTrue="1" operator="greaterThan">
      <formula>0.6</formula>
    </cfRule>
  </conditionalFormatting>
  <conditionalFormatting sqref="E2521:E2550">
    <cfRule type="cellIs" dxfId="32" priority="35" stopIfTrue="1" operator="greaterThan">
      <formula>0.6</formula>
    </cfRule>
  </conditionalFormatting>
  <conditionalFormatting sqref="E2568:E2597">
    <cfRule type="cellIs" dxfId="31" priority="34" stopIfTrue="1" operator="greaterThan">
      <formula>0.6</formula>
    </cfRule>
  </conditionalFormatting>
  <conditionalFormatting sqref="E2615:E2644">
    <cfRule type="cellIs" dxfId="30" priority="33" stopIfTrue="1" operator="greaterThan">
      <formula>0.6</formula>
    </cfRule>
  </conditionalFormatting>
  <conditionalFormatting sqref="E2662:E2691">
    <cfRule type="cellIs" dxfId="29" priority="32" stopIfTrue="1" operator="greaterThan">
      <formula>0.6</formula>
    </cfRule>
  </conditionalFormatting>
  <conditionalFormatting sqref="E2709:E2738">
    <cfRule type="cellIs" dxfId="28" priority="31" stopIfTrue="1" operator="greaterThan">
      <formula>0.6</formula>
    </cfRule>
  </conditionalFormatting>
  <conditionalFormatting sqref="E2756:E2785">
    <cfRule type="cellIs" dxfId="27" priority="30" stopIfTrue="1" operator="greaterThan">
      <formula>0.6</formula>
    </cfRule>
  </conditionalFormatting>
  <conditionalFormatting sqref="E2803:E2832">
    <cfRule type="cellIs" dxfId="26" priority="29" stopIfTrue="1" operator="greaterThan">
      <formula>0.6</formula>
    </cfRule>
  </conditionalFormatting>
  <conditionalFormatting sqref="E2850:E2879">
    <cfRule type="cellIs" dxfId="25" priority="28" stopIfTrue="1" operator="greaterThan">
      <formula>0.6</formula>
    </cfRule>
  </conditionalFormatting>
  <conditionalFormatting sqref="E2897:E2926">
    <cfRule type="cellIs" dxfId="24" priority="27" stopIfTrue="1" operator="greaterThan">
      <formula>0.6</formula>
    </cfRule>
  </conditionalFormatting>
  <conditionalFormatting sqref="E2944:E2973">
    <cfRule type="cellIs" dxfId="23" priority="26" stopIfTrue="1" operator="greaterThan">
      <formula>0.6</formula>
    </cfRule>
  </conditionalFormatting>
  <conditionalFormatting sqref="E2994:E3023">
    <cfRule type="cellIs" dxfId="22" priority="25" stopIfTrue="1" operator="greaterThan">
      <formula>0.6</formula>
    </cfRule>
  </conditionalFormatting>
  <conditionalFormatting sqref="E3041:E3070">
    <cfRule type="cellIs" dxfId="21" priority="24" stopIfTrue="1" operator="greaterThan">
      <formula>0.6</formula>
    </cfRule>
  </conditionalFormatting>
  <conditionalFormatting sqref="E3088:E3117">
    <cfRule type="cellIs" dxfId="20" priority="23" stopIfTrue="1" operator="greaterThan">
      <formula>0.6</formula>
    </cfRule>
  </conditionalFormatting>
  <conditionalFormatting sqref="E3135:E3164">
    <cfRule type="cellIs" dxfId="19" priority="22" stopIfTrue="1" operator="greaterThan">
      <formula>0.6</formula>
    </cfRule>
  </conditionalFormatting>
  <conditionalFormatting sqref="E3182:E3211">
    <cfRule type="cellIs" dxfId="18" priority="21" stopIfTrue="1" operator="greaterThan">
      <formula>0.6</formula>
    </cfRule>
  </conditionalFormatting>
  <conditionalFormatting sqref="E3229:E3258">
    <cfRule type="cellIs" dxfId="17" priority="20" stopIfTrue="1" operator="greaterThan">
      <formula>0.6</formula>
    </cfRule>
  </conditionalFormatting>
  <conditionalFormatting sqref="E3276:E3305">
    <cfRule type="cellIs" dxfId="16" priority="19" stopIfTrue="1" operator="greaterThan">
      <formula>0.6</formula>
    </cfRule>
  </conditionalFormatting>
  <conditionalFormatting sqref="E3323:E3352">
    <cfRule type="cellIs" dxfId="15" priority="18" stopIfTrue="1" operator="greaterThan">
      <formula>0.6</formula>
    </cfRule>
  </conditionalFormatting>
  <conditionalFormatting sqref="E3370:E3399">
    <cfRule type="cellIs" dxfId="14" priority="17" stopIfTrue="1" operator="greaterThan">
      <formula>0.6</formula>
    </cfRule>
  </conditionalFormatting>
  <conditionalFormatting sqref="E3417:E3446">
    <cfRule type="cellIs" dxfId="13" priority="16" stopIfTrue="1" operator="greaterThan">
      <formula>0.6</formula>
    </cfRule>
  </conditionalFormatting>
  <conditionalFormatting sqref="E3464:E3493">
    <cfRule type="cellIs" dxfId="12" priority="15" stopIfTrue="1" operator="greaterThan">
      <formula>0.6</formula>
    </cfRule>
  </conditionalFormatting>
  <conditionalFormatting sqref="E3511:E3540">
    <cfRule type="cellIs" dxfId="11" priority="14" stopIfTrue="1" operator="greaterThan">
      <formula>0.6</formula>
    </cfRule>
  </conditionalFormatting>
  <conditionalFormatting sqref="E3558:E3587">
    <cfRule type="cellIs" dxfId="10" priority="13" stopIfTrue="1" operator="greaterThan">
      <formula>0.6</formula>
    </cfRule>
  </conditionalFormatting>
  <conditionalFormatting sqref="E3605:E3634">
    <cfRule type="cellIs" dxfId="9" priority="12" stopIfTrue="1" operator="greaterThan">
      <formula>0.6</formula>
    </cfRule>
  </conditionalFormatting>
  <conditionalFormatting sqref="E3652:E3681">
    <cfRule type="cellIs" dxfId="8" priority="10" stopIfTrue="1" operator="greaterThan">
      <formula>0.6</formula>
    </cfRule>
  </conditionalFormatting>
  <conditionalFormatting sqref="E3699:E3728">
    <cfRule type="cellIs" dxfId="7" priority="9" stopIfTrue="1" operator="greaterThan">
      <formula>0.6</formula>
    </cfRule>
  </conditionalFormatting>
  <conditionalFormatting sqref="E3746:E3775">
    <cfRule type="cellIs" dxfId="6" priority="8" stopIfTrue="1" operator="greaterThan">
      <formula>0.6</formula>
    </cfRule>
  </conditionalFormatting>
  <conditionalFormatting sqref="E3793:E3822">
    <cfRule type="cellIs" dxfId="5" priority="7" stopIfTrue="1" operator="greaterThan">
      <formula>0.6</formula>
    </cfRule>
  </conditionalFormatting>
  <conditionalFormatting sqref="E3840:E3869">
    <cfRule type="cellIs" dxfId="4" priority="6" stopIfTrue="1" operator="greaterThan">
      <formula>0.6</formula>
    </cfRule>
  </conditionalFormatting>
  <conditionalFormatting sqref="E3890:E3919">
    <cfRule type="cellIs" dxfId="3" priority="5" stopIfTrue="1" operator="greaterThan">
      <formula>0.6</formula>
    </cfRule>
  </conditionalFormatting>
  <conditionalFormatting sqref="E3940:E3969">
    <cfRule type="cellIs" dxfId="2" priority="4" stopIfTrue="1" operator="greaterThan">
      <formula>0.6</formula>
    </cfRule>
  </conditionalFormatting>
  <conditionalFormatting sqref="E3990:E4019">
    <cfRule type="cellIs" dxfId="1" priority="2" stopIfTrue="1" operator="greaterThan">
      <formula>0.6</formula>
    </cfRule>
  </conditionalFormatting>
  <conditionalFormatting sqref="E4040:E4069">
    <cfRule type="cellIs" dxfId="0" priority="1" stopIfTrue="1" operator="greaterThan">
      <formula>0.6</formula>
    </cfRule>
  </conditionalFormatting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 Public&amp;1#_x000D_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/>
  <dimension ref="A1:F837"/>
  <sheetViews>
    <sheetView zoomScale="65" zoomScaleNormal="65" workbookViewId="0">
      <selection activeCell="H2" sqref="H2"/>
    </sheetView>
  </sheetViews>
  <sheetFormatPr defaultRowHeight="13.2" x14ac:dyDescent="0.25"/>
  <cols>
    <col min="1" max="1" width="57.33203125" bestFit="1" customWidth="1"/>
    <col min="2" max="2" width="15.33203125" bestFit="1" customWidth="1"/>
    <col min="3" max="3" width="20.6640625" customWidth="1"/>
    <col min="4" max="4" width="17.88671875" style="1464" bestFit="1" customWidth="1"/>
  </cols>
  <sheetData>
    <row r="1" spans="1:6" x14ac:dyDescent="0.25">
      <c r="A1" t="s">
        <v>756</v>
      </c>
      <c r="B1" s="49">
        <v>45379</v>
      </c>
    </row>
    <row r="2" spans="1:6" x14ac:dyDescent="0.25">
      <c r="A2" s="2424" t="s">
        <v>10070</v>
      </c>
      <c r="B2" s="49">
        <v>45379</v>
      </c>
      <c r="D2"/>
      <c r="E2" s="1774"/>
      <c r="F2" s="1774"/>
    </row>
    <row r="3" spans="1:6" x14ac:dyDescent="0.25">
      <c r="A3" s="21" t="s">
        <v>2153</v>
      </c>
      <c r="B3" s="2138">
        <v>5083.42</v>
      </c>
      <c r="D3" s="1464" t="s">
        <v>4243</v>
      </c>
      <c r="E3" s="1670"/>
      <c r="F3" s="1670"/>
    </row>
    <row r="4" spans="1:6" x14ac:dyDescent="0.25">
      <c r="A4" s="21" t="s">
        <v>760</v>
      </c>
      <c r="B4" s="2138">
        <v>5254.35</v>
      </c>
      <c r="D4" s="1464" t="s">
        <v>4405</v>
      </c>
      <c r="E4" s="1670"/>
      <c r="F4" s="1670"/>
    </row>
    <row r="5" spans="1:6" x14ac:dyDescent="0.25">
      <c r="A5" s="21" t="s">
        <v>761</v>
      </c>
      <c r="B5" s="2138">
        <v>40168.07</v>
      </c>
      <c r="D5" s="1464" t="s">
        <v>4406</v>
      </c>
      <c r="E5" s="1670"/>
      <c r="F5" s="1670"/>
    </row>
    <row r="6" spans="1:6" x14ac:dyDescent="0.25">
      <c r="A6" s="21" t="s">
        <v>904</v>
      </c>
      <c r="B6" s="2138">
        <v>7952.62</v>
      </c>
      <c r="D6" s="1464" t="s">
        <v>4407</v>
      </c>
      <c r="E6" s="1670"/>
      <c r="F6" s="1670"/>
    </row>
    <row r="7" spans="1:6" x14ac:dyDescent="0.25">
      <c r="A7" s="12" t="s">
        <v>4375</v>
      </c>
      <c r="B7" s="2138">
        <v>1650.1</v>
      </c>
      <c r="D7" s="2029" t="s">
        <v>4375</v>
      </c>
      <c r="E7" s="1670"/>
      <c r="F7" s="1670"/>
    </row>
    <row r="8" spans="1:6" x14ac:dyDescent="0.25">
      <c r="A8" s="12" t="s">
        <v>3153</v>
      </c>
      <c r="B8" s="2138">
        <v>7896.8580000000002</v>
      </c>
      <c r="D8" s="1464" t="s">
        <v>4408</v>
      </c>
      <c r="E8" s="1670"/>
      <c r="F8" s="1670"/>
    </row>
    <row r="9" spans="1:6" x14ac:dyDescent="0.25">
      <c r="A9" s="12" t="s">
        <v>1916</v>
      </c>
      <c r="B9" s="2138">
        <v>373.22</v>
      </c>
      <c r="D9" s="1464" t="s">
        <v>4409</v>
      </c>
      <c r="E9" s="1670"/>
      <c r="F9" s="1670"/>
    </row>
    <row r="10" spans="1:6" x14ac:dyDescent="0.25">
      <c r="A10" s="12" t="s">
        <v>3563</v>
      </c>
      <c r="B10" s="2138">
        <v>5810.79</v>
      </c>
      <c r="D10" s="1464" t="s">
        <v>4410</v>
      </c>
      <c r="E10" s="1670"/>
      <c r="F10" s="1670"/>
    </row>
    <row r="11" spans="1:6" x14ac:dyDescent="0.25">
      <c r="A11" s="12" t="s">
        <v>3564</v>
      </c>
      <c r="B11" s="2138">
        <v>16541.419999999998</v>
      </c>
      <c r="D11" s="1464" t="s">
        <v>4411</v>
      </c>
      <c r="E11" s="1670"/>
      <c r="F11" s="1670"/>
    </row>
    <row r="12" spans="1:6" x14ac:dyDescent="0.25">
      <c r="A12" s="12" t="s">
        <v>2019</v>
      </c>
      <c r="B12" s="2138">
        <v>292.05</v>
      </c>
      <c r="D12" s="1464" t="s">
        <v>2016</v>
      </c>
      <c r="E12" s="1670"/>
      <c r="F12" s="1670"/>
    </row>
    <row r="13" spans="1:6" x14ac:dyDescent="0.25">
      <c r="A13" s="12" t="s">
        <v>2020</v>
      </c>
      <c r="B13" s="2138">
        <v>68346.210000000006</v>
      </c>
      <c r="D13" s="1464" t="s">
        <v>2017</v>
      </c>
      <c r="E13" s="1670"/>
      <c r="F13" s="1670"/>
    </row>
    <row r="14" spans="1:6" x14ac:dyDescent="0.25">
      <c r="A14" s="12" t="s">
        <v>2021</v>
      </c>
      <c r="B14" s="2138">
        <v>25642.25</v>
      </c>
      <c r="D14" s="1464" t="s">
        <v>2018</v>
      </c>
      <c r="E14" s="1670"/>
      <c r="F14" s="1670"/>
    </row>
    <row r="15" spans="1:6" x14ac:dyDescent="0.25">
      <c r="A15" s="12" t="s">
        <v>1124</v>
      </c>
      <c r="B15" s="2138">
        <v>794.58</v>
      </c>
      <c r="D15" s="1464" t="s">
        <v>436</v>
      </c>
      <c r="E15" s="1670"/>
      <c r="F15" s="1670"/>
    </row>
    <row r="16" spans="1:6" x14ac:dyDescent="0.25">
      <c r="A16" s="21" t="s">
        <v>2702</v>
      </c>
      <c r="B16" s="2138">
        <v>2047.03</v>
      </c>
      <c r="D16" s="1464" t="s">
        <v>735</v>
      </c>
      <c r="E16" s="1670"/>
      <c r="F16" s="1670"/>
    </row>
    <row r="17" spans="1:6" x14ac:dyDescent="0.25">
      <c r="A17" s="12" t="s">
        <v>3232</v>
      </c>
      <c r="B17" s="2138">
        <v>1530.6</v>
      </c>
      <c r="D17" s="1464" t="s">
        <v>3233</v>
      </c>
      <c r="E17" s="1670"/>
      <c r="F17" s="1670"/>
    </row>
    <row r="18" spans="1:6" x14ac:dyDescent="0.25">
      <c r="A18" s="21" t="s">
        <v>3226</v>
      </c>
      <c r="B18" s="2138">
        <v>11730.43</v>
      </c>
      <c r="D18" s="1464" t="s">
        <v>465</v>
      </c>
      <c r="E18" s="1670"/>
      <c r="F18" s="1670"/>
    </row>
    <row r="19" spans="1:6" x14ac:dyDescent="0.25">
      <c r="A19" s="12" t="s">
        <v>2340</v>
      </c>
      <c r="B19" s="2138">
        <v>7293.2</v>
      </c>
      <c r="D19" s="1464" t="s">
        <v>2341</v>
      </c>
      <c r="E19" s="1670"/>
      <c r="F19" s="1670"/>
    </row>
    <row r="20" spans="1:6" x14ac:dyDescent="0.25">
      <c r="A20" s="370" t="s">
        <v>6283</v>
      </c>
      <c r="B20" s="2138">
        <v>512.66999999999996</v>
      </c>
      <c r="D20" s="1464" t="s">
        <v>6282</v>
      </c>
      <c r="E20" s="1670"/>
      <c r="F20" s="1670"/>
    </row>
    <row r="21" spans="1:6" x14ac:dyDescent="0.25">
      <c r="A21" s="12" t="s">
        <v>7133</v>
      </c>
      <c r="B21" s="2138">
        <v>1676.84</v>
      </c>
      <c r="D21" s="1464" t="s">
        <v>7228</v>
      </c>
      <c r="E21" s="1670"/>
      <c r="F21" s="1670"/>
    </row>
    <row r="22" spans="1:6" x14ac:dyDescent="0.25">
      <c r="A22" s="12" t="s">
        <v>7649</v>
      </c>
      <c r="B22" s="2138">
        <v>20146.55</v>
      </c>
      <c r="D22" s="1464" t="s">
        <v>7650</v>
      </c>
      <c r="E22" s="1670"/>
      <c r="F22" s="1670"/>
    </row>
    <row r="23" spans="1:6" x14ac:dyDescent="0.25">
      <c r="A23" s="12" t="s">
        <v>8048</v>
      </c>
      <c r="B23" s="2138">
        <v>363.61</v>
      </c>
      <c r="D23" s="1464" t="s">
        <v>8049</v>
      </c>
      <c r="E23" s="1670"/>
      <c r="F23" s="1670"/>
    </row>
    <row r="24" spans="1:6" x14ac:dyDescent="0.25">
      <c r="A24" s="12" t="s">
        <v>8849</v>
      </c>
      <c r="B24" s="2138">
        <v>551.01</v>
      </c>
      <c r="D24" s="1464" t="s">
        <v>8924</v>
      </c>
      <c r="E24" s="1670"/>
      <c r="F24" s="1670"/>
    </row>
    <row r="25" spans="1:6" x14ac:dyDescent="0.25">
      <c r="A25" s="133" t="s">
        <v>8614</v>
      </c>
      <c r="B25" s="3152">
        <v>190.17</v>
      </c>
      <c r="D25" s="1464" t="s">
        <v>8794</v>
      </c>
      <c r="E25" s="1670"/>
      <c r="F25" s="1670"/>
    </row>
    <row r="26" spans="1:6" x14ac:dyDescent="0.25">
      <c r="A26" s="12" t="s">
        <v>8492</v>
      </c>
      <c r="B26" s="2138">
        <v>724.28</v>
      </c>
      <c r="D26" s="1464" t="s">
        <v>8493</v>
      </c>
      <c r="E26" s="1670"/>
      <c r="F26" s="1670"/>
    </row>
    <row r="27" spans="1:6" x14ac:dyDescent="0.25">
      <c r="A27" s="12" t="s">
        <v>9958</v>
      </c>
      <c r="B27" s="2138">
        <v>201.08</v>
      </c>
      <c r="D27" s="1464" t="s">
        <v>9959</v>
      </c>
      <c r="E27" s="1670"/>
      <c r="F27" s="1670"/>
    </row>
    <row r="28" spans="1:6" x14ac:dyDescent="0.25">
      <c r="A28" s="12" t="s">
        <v>10174</v>
      </c>
      <c r="B28" s="2138">
        <v>371.51</v>
      </c>
      <c r="D28" s="1464" t="s">
        <v>10175</v>
      </c>
      <c r="E28" s="1670"/>
      <c r="F28" s="1670"/>
    </row>
    <row r="29" spans="1:6" x14ac:dyDescent="0.25">
      <c r="A29" s="12"/>
    </row>
    <row r="30" spans="1:6" x14ac:dyDescent="0.25">
      <c r="A30" s="12"/>
    </row>
    <row r="31" spans="1:6" x14ac:dyDescent="0.25">
      <c r="A31" s="145" t="s">
        <v>1992</v>
      </c>
    </row>
    <row r="32" spans="1:6" x14ac:dyDescent="0.25">
      <c r="A32" s="12" t="s">
        <v>1989</v>
      </c>
      <c r="B32" s="2138"/>
      <c r="C32" s="102" t="s">
        <v>382</v>
      </c>
      <c r="D32" s="2030" t="s">
        <v>382</v>
      </c>
    </row>
    <row r="33" spans="1:4" x14ac:dyDescent="0.25">
      <c r="A33" s="12" t="s">
        <v>1990</v>
      </c>
      <c r="B33" s="2138"/>
      <c r="C33" s="102" t="s">
        <v>383</v>
      </c>
      <c r="D33" s="2030" t="s">
        <v>383</v>
      </c>
    </row>
    <row r="34" spans="1:4" x14ac:dyDescent="0.25">
      <c r="A34" s="12" t="s">
        <v>1991</v>
      </c>
      <c r="B34" s="2138"/>
      <c r="C34" s="102" t="s">
        <v>384</v>
      </c>
      <c r="D34" s="2030" t="s">
        <v>384</v>
      </c>
    </row>
    <row r="35" spans="1:4" x14ac:dyDescent="0.25">
      <c r="A35" s="12" t="s">
        <v>992</v>
      </c>
      <c r="B35" s="2138"/>
      <c r="C35" s="102" t="s">
        <v>993</v>
      </c>
      <c r="D35" s="2030" t="s">
        <v>993</v>
      </c>
    </row>
    <row r="36" spans="1:4" x14ac:dyDescent="0.25">
      <c r="A36" s="12" t="s">
        <v>2313</v>
      </c>
      <c r="B36" s="2138"/>
      <c r="C36" s="207" t="s">
        <v>495</v>
      </c>
      <c r="D36" s="2031" t="s">
        <v>495</v>
      </c>
    </row>
    <row r="37" spans="1:4" x14ac:dyDescent="0.25">
      <c r="A37" s="238" t="s">
        <v>2481</v>
      </c>
      <c r="B37" s="2138"/>
      <c r="C37" s="207" t="s">
        <v>2486</v>
      </c>
      <c r="D37" s="2031" t="s">
        <v>2486</v>
      </c>
    </row>
    <row r="38" spans="1:4" x14ac:dyDescent="0.25">
      <c r="A38" s="235" t="s">
        <v>2482</v>
      </c>
      <c r="B38" s="2138"/>
      <c r="C38" s="207" t="s">
        <v>540</v>
      </c>
      <c r="D38" s="2031" t="s">
        <v>540</v>
      </c>
    </row>
    <row r="39" spans="1:4" x14ac:dyDescent="0.25">
      <c r="A39" s="235" t="s">
        <v>2483</v>
      </c>
      <c r="B39" s="2138"/>
      <c r="C39" s="207" t="s">
        <v>541</v>
      </c>
      <c r="D39" s="2031" t="s">
        <v>541</v>
      </c>
    </row>
    <row r="40" spans="1:4" x14ac:dyDescent="0.25">
      <c r="A40" s="235" t="s">
        <v>2484</v>
      </c>
      <c r="B40" s="2138"/>
      <c r="C40" s="207" t="s">
        <v>542</v>
      </c>
      <c r="D40" s="2031" t="s">
        <v>542</v>
      </c>
    </row>
    <row r="41" spans="1:4" x14ac:dyDescent="0.25">
      <c r="A41" s="235" t="s">
        <v>2485</v>
      </c>
      <c r="B41" s="2138"/>
      <c r="C41" s="207" t="s">
        <v>543</v>
      </c>
      <c r="D41" s="2031" t="s">
        <v>543</v>
      </c>
    </row>
    <row r="42" spans="1:4" x14ac:dyDescent="0.25">
      <c r="A42" s="58" t="s">
        <v>2735</v>
      </c>
      <c r="B42" s="59" t="s">
        <v>2736</v>
      </c>
      <c r="C42" s="58" t="s">
        <v>2737</v>
      </c>
      <c r="D42" s="2032" t="s">
        <v>2551</v>
      </c>
    </row>
    <row r="43" spans="1:4" x14ac:dyDescent="0.25">
      <c r="A43" s="58"/>
      <c r="B43" s="59"/>
      <c r="C43" s="21"/>
      <c r="D43" s="2033" t="s">
        <v>1519</v>
      </c>
    </row>
    <row r="44" spans="1:4" x14ac:dyDescent="0.25">
      <c r="A44" s="60" t="s">
        <v>1995</v>
      </c>
      <c r="B44" s="61" t="s">
        <v>2738</v>
      </c>
      <c r="C44" s="21" t="s">
        <v>2739</v>
      </c>
      <c r="D44" s="3598">
        <v>113.66</v>
      </c>
    </row>
    <row r="45" spans="1:4" x14ac:dyDescent="0.25">
      <c r="A45" s="60" t="s">
        <v>3018</v>
      </c>
      <c r="B45" s="61" t="s">
        <v>731</v>
      </c>
      <c r="C45" s="21" t="s">
        <v>3814</v>
      </c>
      <c r="D45" s="3598">
        <v>43.3</v>
      </c>
    </row>
    <row r="46" spans="1:4" x14ac:dyDescent="0.25">
      <c r="A46" s="60" t="s">
        <v>1993</v>
      </c>
      <c r="B46" s="61" t="s">
        <v>3816</v>
      </c>
      <c r="C46" s="21" t="s">
        <v>2812</v>
      </c>
      <c r="D46" s="3598">
        <v>43.62</v>
      </c>
    </row>
    <row r="47" spans="1:4" x14ac:dyDescent="0.25">
      <c r="A47" s="60" t="s">
        <v>872</v>
      </c>
      <c r="B47" s="61" t="s">
        <v>2813</v>
      </c>
      <c r="C47" s="370" t="s">
        <v>4312</v>
      </c>
      <c r="D47" s="3598">
        <v>1349.5</v>
      </c>
    </row>
    <row r="48" spans="1:4" x14ac:dyDescent="0.25">
      <c r="A48" s="60" t="s">
        <v>1994</v>
      </c>
      <c r="B48" s="61" t="s">
        <v>4313</v>
      </c>
      <c r="C48" s="370" t="s">
        <v>3493</v>
      </c>
      <c r="D48" s="3598">
        <v>37.92</v>
      </c>
    </row>
    <row r="49" spans="1:4" x14ac:dyDescent="0.25">
      <c r="A49" s="60" t="s">
        <v>873</v>
      </c>
      <c r="B49" s="61" t="s">
        <v>3494</v>
      </c>
      <c r="C49" s="370" t="s">
        <v>3495</v>
      </c>
      <c r="D49" s="3598">
        <v>183.2</v>
      </c>
    </row>
    <row r="50" spans="1:4" x14ac:dyDescent="0.25">
      <c r="A50" s="60" t="s">
        <v>1184</v>
      </c>
      <c r="B50" s="61" t="s">
        <v>3496</v>
      </c>
      <c r="C50" s="370" t="s">
        <v>3497</v>
      </c>
      <c r="D50" s="3598">
        <v>52.93</v>
      </c>
    </row>
    <row r="51" spans="1:4" x14ac:dyDescent="0.25">
      <c r="A51" s="60" t="s">
        <v>901</v>
      </c>
      <c r="B51" s="61" t="s">
        <v>2743</v>
      </c>
      <c r="C51" s="370" t="s">
        <v>531</v>
      </c>
      <c r="D51" s="3598">
        <v>2406</v>
      </c>
    </row>
    <row r="52" spans="1:4" x14ac:dyDescent="0.25">
      <c r="A52" s="60" t="s">
        <v>3020</v>
      </c>
      <c r="B52" s="62" t="s">
        <v>10789</v>
      </c>
      <c r="C52" s="370" t="s">
        <v>490</v>
      </c>
      <c r="D52" s="3598">
        <v>28.4</v>
      </c>
    </row>
    <row r="53" spans="1:4" x14ac:dyDescent="0.25">
      <c r="A53" s="60" t="s">
        <v>1141</v>
      </c>
      <c r="B53" s="61" t="s">
        <v>10789</v>
      </c>
      <c r="C53" s="370" t="s">
        <v>666</v>
      </c>
      <c r="D53" s="3598">
        <v>106.96</v>
      </c>
    </row>
    <row r="54" spans="1:4" x14ac:dyDescent="0.25">
      <c r="A54" s="60" t="s">
        <v>3019</v>
      </c>
      <c r="B54" s="61" t="s">
        <v>2744</v>
      </c>
      <c r="C54" s="370" t="s">
        <v>2745</v>
      </c>
      <c r="D54" s="3598">
        <v>65.86</v>
      </c>
    </row>
    <row r="55" spans="1:4" x14ac:dyDescent="0.25">
      <c r="A55" s="60" t="s">
        <v>1188</v>
      </c>
      <c r="B55" s="62" t="s">
        <v>211</v>
      </c>
      <c r="C55" s="370" t="s">
        <v>2746</v>
      </c>
      <c r="D55" s="3598">
        <v>495.7</v>
      </c>
    </row>
    <row r="56" spans="1:4" x14ac:dyDescent="0.25">
      <c r="A56" s="60" t="s">
        <v>3405</v>
      </c>
      <c r="B56" s="61" t="s">
        <v>3552</v>
      </c>
      <c r="C56" s="370" t="s">
        <v>2747</v>
      </c>
      <c r="D56" s="3598">
        <v>15.875</v>
      </c>
    </row>
    <row r="57" spans="1:4" x14ac:dyDescent="0.25">
      <c r="A57" s="60" t="s">
        <v>51</v>
      </c>
      <c r="B57" s="61" t="s">
        <v>3553</v>
      </c>
      <c r="C57" s="370" t="s">
        <v>2748</v>
      </c>
      <c r="D57" s="3598">
        <v>71.930000000000007</v>
      </c>
    </row>
    <row r="58" spans="1:4" x14ac:dyDescent="0.25">
      <c r="A58" s="60" t="s">
        <v>1847</v>
      </c>
      <c r="B58" s="61" t="s">
        <v>1848</v>
      </c>
      <c r="C58" s="370" t="s">
        <v>2749</v>
      </c>
      <c r="D58" s="3598">
        <v>63.24</v>
      </c>
    </row>
    <row r="59" spans="1:4" x14ac:dyDescent="0.25">
      <c r="A59" s="60" t="s">
        <v>53</v>
      </c>
      <c r="B59" s="61" t="s">
        <v>2750</v>
      </c>
      <c r="C59" s="370" t="s">
        <v>2751</v>
      </c>
      <c r="D59" s="3598">
        <v>59.89</v>
      </c>
    </row>
    <row r="60" spans="1:4" x14ac:dyDescent="0.25">
      <c r="A60" s="60" t="s">
        <v>3406</v>
      </c>
      <c r="B60" s="61" t="s">
        <v>3554</v>
      </c>
      <c r="C60" s="370" t="s">
        <v>2105</v>
      </c>
      <c r="D60" s="3598">
        <v>2925.5</v>
      </c>
    </row>
    <row r="61" spans="1:4" x14ac:dyDescent="0.25">
      <c r="A61" s="60" t="s">
        <v>4387</v>
      </c>
      <c r="B61" s="62" t="s">
        <v>3743</v>
      </c>
      <c r="C61" s="370" t="s">
        <v>3744</v>
      </c>
      <c r="D61" s="3598">
        <v>12.885</v>
      </c>
    </row>
    <row r="62" spans="1:4" x14ac:dyDescent="0.25">
      <c r="A62" s="60" t="s">
        <v>3934</v>
      </c>
      <c r="B62" s="61" t="s">
        <v>2106</v>
      </c>
      <c r="C62" s="370" t="s">
        <v>4121</v>
      </c>
      <c r="D62" s="3598">
        <v>17.164999999999999</v>
      </c>
    </row>
    <row r="63" spans="1:4" x14ac:dyDescent="0.25">
      <c r="A63" s="60" t="s">
        <v>3798</v>
      </c>
      <c r="B63" s="61" t="s">
        <v>208</v>
      </c>
      <c r="C63" s="12" t="s">
        <v>4122</v>
      </c>
      <c r="D63" s="3598">
        <v>6.1189999999999998</v>
      </c>
    </row>
    <row r="64" spans="1:4" x14ac:dyDescent="0.25">
      <c r="A64" s="60" t="s">
        <v>3021</v>
      </c>
      <c r="B64" s="61" t="s">
        <v>4123</v>
      </c>
      <c r="C64" s="12" t="s">
        <v>4124</v>
      </c>
      <c r="D64" s="3598">
        <v>14.648</v>
      </c>
    </row>
    <row r="65" spans="1:4" x14ac:dyDescent="0.25">
      <c r="A65" s="60" t="s">
        <v>3425</v>
      </c>
      <c r="B65" s="61" t="s">
        <v>4125</v>
      </c>
      <c r="C65" s="12" t="s">
        <v>4126</v>
      </c>
      <c r="D65" s="3598">
        <v>116.24</v>
      </c>
    </row>
    <row r="66" spans="1:4" x14ac:dyDescent="0.25">
      <c r="A66" s="83" t="s">
        <v>1176</v>
      </c>
      <c r="B66" s="62" t="s">
        <v>1175</v>
      </c>
      <c r="C66" s="12" t="s">
        <v>3090</v>
      </c>
      <c r="D66" s="3598">
        <v>42.92</v>
      </c>
    </row>
    <row r="67" spans="1:4" x14ac:dyDescent="0.25">
      <c r="A67" s="60" t="s">
        <v>3407</v>
      </c>
      <c r="B67" s="61" t="s">
        <v>3555</v>
      </c>
      <c r="C67" s="370" t="s">
        <v>4127</v>
      </c>
      <c r="D67" s="3598">
        <v>139.9906</v>
      </c>
    </row>
    <row r="68" spans="1:4" x14ac:dyDescent="0.25">
      <c r="A68" s="60" t="s">
        <v>3799</v>
      </c>
      <c r="B68" s="61" t="s">
        <v>209</v>
      </c>
      <c r="C68" s="370" t="s">
        <v>4128</v>
      </c>
      <c r="D68" s="3598">
        <v>1708.6</v>
      </c>
    </row>
    <row r="69" spans="1:4" x14ac:dyDescent="0.25">
      <c r="A69" s="60" t="s">
        <v>1377</v>
      </c>
      <c r="B69" s="61" t="s">
        <v>2845</v>
      </c>
      <c r="C69" s="370" t="s">
        <v>4129</v>
      </c>
      <c r="D69" s="3598">
        <v>30.22</v>
      </c>
    </row>
    <row r="70" spans="1:4" x14ac:dyDescent="0.25">
      <c r="A70" s="60" t="s">
        <v>52</v>
      </c>
      <c r="B70" s="61" t="s">
        <v>2846</v>
      </c>
      <c r="C70" s="370" t="s">
        <v>4130</v>
      </c>
      <c r="D70" s="3598">
        <v>190.96</v>
      </c>
    </row>
    <row r="71" spans="1:4" x14ac:dyDescent="0.25">
      <c r="A71" s="60" t="s">
        <v>2588</v>
      </c>
      <c r="B71" s="61" t="s">
        <v>4131</v>
      </c>
      <c r="C71" s="370" t="s">
        <v>4132</v>
      </c>
      <c r="D71" s="3598">
        <v>15.246</v>
      </c>
    </row>
    <row r="72" spans="1:4" x14ac:dyDescent="0.25">
      <c r="A72" s="60" t="s">
        <v>3426</v>
      </c>
      <c r="B72" s="61" t="s">
        <v>2847</v>
      </c>
      <c r="C72" s="370" t="s">
        <v>4145</v>
      </c>
      <c r="D72" s="3598">
        <v>158.19</v>
      </c>
    </row>
    <row r="73" spans="1:4" x14ac:dyDescent="0.25">
      <c r="A73" s="60" t="s">
        <v>1526</v>
      </c>
      <c r="B73" s="61" t="s">
        <v>3802</v>
      </c>
      <c r="C73" s="370" t="s">
        <v>4146</v>
      </c>
      <c r="D73" s="3598">
        <v>69.42</v>
      </c>
    </row>
    <row r="74" spans="1:4" x14ac:dyDescent="0.25">
      <c r="A74" s="60" t="s">
        <v>874</v>
      </c>
      <c r="B74" s="61" t="s">
        <v>4147</v>
      </c>
      <c r="C74" s="12" t="s">
        <v>4148</v>
      </c>
      <c r="D74" s="3598">
        <v>249.4</v>
      </c>
    </row>
    <row r="75" spans="1:4" x14ac:dyDescent="0.25">
      <c r="A75" s="60" t="s">
        <v>1528</v>
      </c>
      <c r="B75" s="61" t="s">
        <v>207</v>
      </c>
      <c r="C75" s="12" t="s">
        <v>4149</v>
      </c>
      <c r="D75" s="3598">
        <v>833.7</v>
      </c>
    </row>
    <row r="76" spans="1:4" x14ac:dyDescent="0.25">
      <c r="A76" s="60" t="s">
        <v>1001</v>
      </c>
      <c r="B76" s="493" t="s">
        <v>8277</v>
      </c>
      <c r="C76" s="12" t="s">
        <v>8270</v>
      </c>
      <c r="D76" s="3598">
        <v>420.72</v>
      </c>
    </row>
    <row r="77" spans="1:4" x14ac:dyDescent="0.25">
      <c r="A77" s="83" t="s">
        <v>2786</v>
      </c>
      <c r="B77" s="61" t="s">
        <v>4151</v>
      </c>
      <c r="C77" s="12" t="s">
        <v>4195</v>
      </c>
      <c r="D77" s="3598">
        <v>1066</v>
      </c>
    </row>
    <row r="78" spans="1:4" x14ac:dyDescent="0.25">
      <c r="A78" s="60" t="s">
        <v>3797</v>
      </c>
      <c r="B78" s="61" t="s">
        <v>8871</v>
      </c>
      <c r="C78" s="370" t="s">
        <v>8872</v>
      </c>
      <c r="D78" s="3598">
        <v>95.75</v>
      </c>
    </row>
    <row r="79" spans="1:4" x14ac:dyDescent="0.25">
      <c r="A79" s="60" t="s">
        <v>1190</v>
      </c>
      <c r="B79" s="493" t="s">
        <v>7570</v>
      </c>
      <c r="C79" s="370" t="s">
        <v>7569</v>
      </c>
      <c r="D79" s="3598">
        <v>3.2909999999999999</v>
      </c>
    </row>
    <row r="80" spans="1:4" x14ac:dyDescent="0.25">
      <c r="A80" s="60" t="s">
        <v>1203</v>
      </c>
      <c r="B80" s="61" t="s">
        <v>3313</v>
      </c>
      <c r="C80" s="370" t="s">
        <v>79</v>
      </c>
      <c r="D80" s="3598">
        <v>119.2</v>
      </c>
    </row>
    <row r="81" spans="1:4" x14ac:dyDescent="0.25">
      <c r="A81" s="60" t="s">
        <v>2787</v>
      </c>
      <c r="B81" s="61" t="s">
        <v>8873</v>
      </c>
      <c r="C81" s="370" t="s">
        <v>8874</v>
      </c>
      <c r="D81" s="3598">
        <v>87.37</v>
      </c>
    </row>
    <row r="82" spans="1:4" x14ac:dyDescent="0.25">
      <c r="A82" s="60" t="s">
        <v>4273</v>
      </c>
      <c r="B82" s="61" t="s">
        <v>81</v>
      </c>
      <c r="C82" s="370" t="s">
        <v>82</v>
      </c>
      <c r="D82" s="3598">
        <v>3880</v>
      </c>
    </row>
    <row r="83" spans="1:4" x14ac:dyDescent="0.25">
      <c r="A83" s="60" t="s">
        <v>1002</v>
      </c>
      <c r="B83" s="493" t="s">
        <v>6556</v>
      </c>
      <c r="C83" s="370" t="s">
        <v>6557</v>
      </c>
      <c r="D83" s="3598">
        <v>125.61</v>
      </c>
    </row>
    <row r="84" spans="1:4" x14ac:dyDescent="0.25">
      <c r="A84" s="60" t="s">
        <v>1204</v>
      </c>
      <c r="B84" s="493" t="s">
        <v>9046</v>
      </c>
      <c r="C84" s="370" t="s">
        <v>9047</v>
      </c>
      <c r="D84" s="3598">
        <v>175.01</v>
      </c>
    </row>
    <row r="85" spans="1:4" x14ac:dyDescent="0.25">
      <c r="A85" s="60" t="s">
        <v>1414</v>
      </c>
      <c r="B85" s="61" t="s">
        <v>3314</v>
      </c>
      <c r="C85" s="370" t="s">
        <v>2428</v>
      </c>
      <c r="D85" s="3598">
        <v>27.75</v>
      </c>
    </row>
    <row r="86" spans="1:4" x14ac:dyDescent="0.25">
      <c r="A86" s="60" t="s">
        <v>1205</v>
      </c>
      <c r="B86" s="61" t="s">
        <v>3315</v>
      </c>
      <c r="C86" s="370" t="s">
        <v>1092</v>
      </c>
      <c r="D86" s="3598">
        <v>18.606000000000002</v>
      </c>
    </row>
    <row r="87" spans="1:4" x14ac:dyDescent="0.25">
      <c r="A87" s="60" t="s">
        <v>3023</v>
      </c>
      <c r="B87" s="61" t="s">
        <v>2814</v>
      </c>
      <c r="C87" s="370" t="s">
        <v>2815</v>
      </c>
      <c r="D87" s="3598">
        <v>162.25</v>
      </c>
    </row>
    <row r="88" spans="1:4" x14ac:dyDescent="0.25">
      <c r="A88" s="60" t="s">
        <v>54</v>
      </c>
      <c r="B88" s="493" t="s">
        <v>7145</v>
      </c>
      <c r="C88" s="370" t="s">
        <v>6741</v>
      </c>
      <c r="D88" s="3598">
        <v>15.44</v>
      </c>
    </row>
    <row r="89" spans="1:4" x14ac:dyDescent="0.25">
      <c r="A89" s="60" t="s">
        <v>3800</v>
      </c>
      <c r="B89" s="61" t="s">
        <v>8875</v>
      </c>
      <c r="C89" s="370" t="s">
        <v>8876</v>
      </c>
      <c r="D89" s="3598">
        <v>229.7</v>
      </c>
    </row>
    <row r="90" spans="1:4" x14ac:dyDescent="0.25">
      <c r="A90" s="60" t="s">
        <v>2586</v>
      </c>
      <c r="B90" s="370" t="s">
        <v>7804</v>
      </c>
      <c r="C90" s="370" t="s">
        <v>7803</v>
      </c>
      <c r="D90" s="3598">
        <v>1894.6</v>
      </c>
    </row>
    <row r="91" spans="1:4" x14ac:dyDescent="0.25">
      <c r="A91" s="60" t="s">
        <v>3801</v>
      </c>
      <c r="B91" s="61" t="s">
        <v>210</v>
      </c>
      <c r="C91" s="370" t="s">
        <v>2819</v>
      </c>
      <c r="D91" s="3598">
        <v>31.46</v>
      </c>
    </row>
    <row r="92" spans="1:4" x14ac:dyDescent="0.25">
      <c r="A92" s="60" t="s">
        <v>1187</v>
      </c>
      <c r="B92" s="61" t="s">
        <v>3316</v>
      </c>
      <c r="C92" s="370" t="s">
        <v>3483</v>
      </c>
      <c r="D92" s="3598">
        <v>90.96</v>
      </c>
    </row>
    <row r="93" spans="1:4" x14ac:dyDescent="0.25">
      <c r="A93" s="60" t="s">
        <v>1206</v>
      </c>
      <c r="B93" s="61" t="s">
        <v>3317</v>
      </c>
      <c r="C93" s="370" t="s">
        <v>3484</v>
      </c>
      <c r="D93" s="3598">
        <v>180.46</v>
      </c>
    </row>
    <row r="94" spans="1:4" x14ac:dyDescent="0.25">
      <c r="A94" s="60" t="s">
        <v>4460</v>
      </c>
      <c r="B94" s="61" t="s">
        <v>1525</v>
      </c>
      <c r="C94" s="370" t="s">
        <v>3485</v>
      </c>
      <c r="D94" s="3598">
        <v>2470</v>
      </c>
    </row>
    <row r="95" spans="1:4" x14ac:dyDescent="0.25">
      <c r="A95" s="60" t="s">
        <v>4458</v>
      </c>
      <c r="B95" s="61" t="s">
        <v>4459</v>
      </c>
      <c r="C95" s="370" t="s">
        <v>3486</v>
      </c>
      <c r="D95" s="3598">
        <v>1641.5</v>
      </c>
    </row>
    <row r="96" spans="1:4" x14ac:dyDescent="0.25">
      <c r="A96" s="60" t="s">
        <v>1207</v>
      </c>
      <c r="B96" s="61" t="s">
        <v>3318</v>
      </c>
      <c r="C96" s="370" t="s">
        <v>3487</v>
      </c>
      <c r="D96" s="3598">
        <v>12930</v>
      </c>
    </row>
    <row r="97" spans="1:4" x14ac:dyDescent="0.25">
      <c r="A97" s="60" t="s">
        <v>3427</v>
      </c>
      <c r="B97" s="61" t="s">
        <v>3488</v>
      </c>
      <c r="C97" s="370" t="s">
        <v>2800</v>
      </c>
      <c r="D97" s="3598">
        <v>71.739999999999995</v>
      </c>
    </row>
    <row r="98" spans="1:4" x14ac:dyDescent="0.25">
      <c r="A98" s="60" t="s">
        <v>3022</v>
      </c>
      <c r="B98" s="61" t="s">
        <v>2801</v>
      </c>
      <c r="C98" s="370" t="s">
        <v>2802</v>
      </c>
      <c r="D98" s="3598">
        <v>4203</v>
      </c>
    </row>
    <row r="99" spans="1:4" x14ac:dyDescent="0.25">
      <c r="A99" s="60" t="s">
        <v>1527</v>
      </c>
      <c r="B99" s="61" t="s">
        <v>49</v>
      </c>
      <c r="C99" s="370" t="s">
        <v>2803</v>
      </c>
      <c r="D99" s="3598">
        <v>0.22509999999999999</v>
      </c>
    </row>
    <row r="100" spans="1:4" x14ac:dyDescent="0.25">
      <c r="A100" s="60" t="s">
        <v>577</v>
      </c>
      <c r="B100" s="493" t="s">
        <v>7757</v>
      </c>
      <c r="C100" s="12" t="s">
        <v>6732</v>
      </c>
      <c r="D100" s="3598">
        <v>4.0890000000000004</v>
      </c>
    </row>
    <row r="101" spans="1:4" x14ac:dyDescent="0.25">
      <c r="A101" s="83" t="s">
        <v>1003</v>
      </c>
      <c r="B101" s="493" t="s">
        <v>7120</v>
      </c>
      <c r="C101" s="12" t="s">
        <v>7121</v>
      </c>
      <c r="D101" s="3598">
        <v>174.21</v>
      </c>
    </row>
    <row r="102" spans="1:4" x14ac:dyDescent="0.25">
      <c r="A102" s="83" t="s">
        <v>1185</v>
      </c>
      <c r="B102" s="62" t="s">
        <v>49</v>
      </c>
      <c r="C102" s="12" t="s">
        <v>2803</v>
      </c>
      <c r="D102" s="3598">
        <v>0.22509999999999999</v>
      </c>
    </row>
    <row r="103" spans="1:4" x14ac:dyDescent="0.25">
      <c r="A103" s="60" t="s">
        <v>3551</v>
      </c>
      <c r="B103" s="61" t="s">
        <v>50</v>
      </c>
      <c r="C103" s="370" t="s">
        <v>2806</v>
      </c>
      <c r="D103" s="3598">
        <v>3806</v>
      </c>
    </row>
    <row r="104" spans="1:4" x14ac:dyDescent="0.25">
      <c r="A104" s="60" t="s">
        <v>182</v>
      </c>
      <c r="B104" s="493" t="s">
        <v>6687</v>
      </c>
      <c r="C104" s="370" t="s">
        <v>6686</v>
      </c>
      <c r="D104" s="3598">
        <v>30.72</v>
      </c>
    </row>
    <row r="105" spans="1:4" x14ac:dyDescent="0.25">
      <c r="A105" s="60" t="s">
        <v>2036</v>
      </c>
      <c r="B105" s="61" t="s">
        <v>2807</v>
      </c>
      <c r="C105" s="370" t="s">
        <v>2808</v>
      </c>
      <c r="D105" s="3598">
        <v>114.4</v>
      </c>
    </row>
    <row r="106" spans="1:4" x14ac:dyDescent="0.25">
      <c r="A106" s="60" t="s">
        <v>507</v>
      </c>
      <c r="B106" s="61" t="s">
        <v>2809</v>
      </c>
      <c r="C106" s="370" t="s">
        <v>2810</v>
      </c>
      <c r="D106" s="3598">
        <v>46.52</v>
      </c>
    </row>
    <row r="107" spans="1:4" x14ac:dyDescent="0.25">
      <c r="A107" s="60" t="s">
        <v>255</v>
      </c>
      <c r="B107" s="61" t="s">
        <v>2444</v>
      </c>
      <c r="C107" s="62" t="s">
        <v>3351</v>
      </c>
      <c r="D107" s="3598">
        <v>41.96</v>
      </c>
    </row>
    <row r="108" spans="1:4" x14ac:dyDescent="0.25">
      <c r="A108" s="188" t="s">
        <v>4025</v>
      </c>
      <c r="B108" s="62" t="s">
        <v>10670</v>
      </c>
      <c r="C108" s="12" t="s">
        <v>10671</v>
      </c>
      <c r="D108" s="3598">
        <v>73.94</v>
      </c>
    </row>
    <row r="109" spans="1:4" x14ac:dyDescent="0.25">
      <c r="A109" s="71" t="s">
        <v>581</v>
      </c>
      <c r="B109" s="61" t="s">
        <v>582</v>
      </c>
      <c r="C109" s="370" t="s">
        <v>589</v>
      </c>
      <c r="D109" s="3598">
        <v>157.74</v>
      </c>
    </row>
    <row r="110" spans="1:4" x14ac:dyDescent="0.25">
      <c r="A110" s="71" t="s">
        <v>583</v>
      </c>
      <c r="B110" s="61" t="s">
        <v>584</v>
      </c>
      <c r="C110" s="370" t="s">
        <v>1594</v>
      </c>
      <c r="D110" s="3598">
        <v>296.60000000000002</v>
      </c>
    </row>
    <row r="111" spans="1:4" x14ac:dyDescent="0.25">
      <c r="A111" s="71" t="s">
        <v>578</v>
      </c>
      <c r="B111" s="61" t="s">
        <v>585</v>
      </c>
      <c r="C111" s="370" t="s">
        <v>276</v>
      </c>
      <c r="D111" s="3598">
        <v>12.885</v>
      </c>
    </row>
    <row r="112" spans="1:4" x14ac:dyDescent="0.25">
      <c r="A112" s="71" t="s">
        <v>579</v>
      </c>
      <c r="B112" s="61" t="s">
        <v>586</v>
      </c>
      <c r="C112" s="370" t="s">
        <v>3611</v>
      </c>
      <c r="D112" s="3598">
        <v>70.459999999999994</v>
      </c>
    </row>
    <row r="113" spans="1:4" x14ac:dyDescent="0.25">
      <c r="A113" s="71" t="s">
        <v>580</v>
      </c>
      <c r="B113" s="61" t="s">
        <v>587</v>
      </c>
      <c r="C113" s="12" t="s">
        <v>3612</v>
      </c>
      <c r="D113" s="3598">
        <v>290.10000000000002</v>
      </c>
    </row>
    <row r="114" spans="1:4" x14ac:dyDescent="0.25">
      <c r="A114" s="129" t="s">
        <v>2629</v>
      </c>
      <c r="B114" s="61" t="s">
        <v>588</v>
      </c>
      <c r="C114" s="370" t="s">
        <v>1652</v>
      </c>
      <c r="D114" s="3598">
        <v>22.5</v>
      </c>
    </row>
    <row r="115" spans="1:4" x14ac:dyDescent="0.25">
      <c r="A115" s="60" t="s">
        <v>1653</v>
      </c>
      <c r="B115" s="73" t="s">
        <v>1654</v>
      </c>
      <c r="C115" s="91" t="s">
        <v>285</v>
      </c>
      <c r="D115" s="3598">
        <v>40.15</v>
      </c>
    </row>
    <row r="116" spans="1:4" x14ac:dyDescent="0.25">
      <c r="A116" s="83" t="s">
        <v>2397</v>
      </c>
      <c r="B116" s="493" t="s">
        <v>346</v>
      </c>
      <c r="C116" s="370" t="s">
        <v>347</v>
      </c>
      <c r="D116" s="3598">
        <v>354.98</v>
      </c>
    </row>
    <row r="117" spans="1:4" x14ac:dyDescent="0.25">
      <c r="A117" s="60" t="s">
        <v>2631</v>
      </c>
      <c r="B117" s="86" t="s">
        <v>3386</v>
      </c>
      <c r="C117" s="91" t="s">
        <v>1727</v>
      </c>
      <c r="D117" s="3598">
        <v>4.9740000000000002</v>
      </c>
    </row>
    <row r="118" spans="1:4" x14ac:dyDescent="0.25">
      <c r="A118" s="60" t="s">
        <v>3381</v>
      </c>
      <c r="B118" s="1764" t="s">
        <v>9198</v>
      </c>
      <c r="C118" s="1364" t="s">
        <v>9199</v>
      </c>
      <c r="D118" s="3598">
        <v>286.39999999999998</v>
      </c>
    </row>
    <row r="119" spans="1:4" x14ac:dyDescent="0.25">
      <c r="A119" s="60" t="s">
        <v>3382</v>
      </c>
      <c r="B119" s="86" t="s">
        <v>3387</v>
      </c>
      <c r="C119" s="91" t="s">
        <v>1729</v>
      </c>
      <c r="D119" s="3598">
        <v>174.58</v>
      </c>
    </row>
    <row r="120" spans="1:4" x14ac:dyDescent="0.25">
      <c r="A120" s="60" t="s">
        <v>3383</v>
      </c>
      <c r="B120" s="86" t="s">
        <v>3388</v>
      </c>
      <c r="C120" s="91" t="s">
        <v>3789</v>
      </c>
      <c r="D120" s="3598">
        <v>120.75</v>
      </c>
    </row>
    <row r="121" spans="1:4" x14ac:dyDescent="0.25">
      <c r="A121" s="60" t="s">
        <v>3385</v>
      </c>
      <c r="B121" s="86" t="s">
        <v>2615</v>
      </c>
      <c r="C121" s="91" t="s">
        <v>3791</v>
      </c>
      <c r="D121" s="3598">
        <v>141.6</v>
      </c>
    </row>
    <row r="122" spans="1:4" x14ac:dyDescent="0.25">
      <c r="A122" s="60" t="s">
        <v>3792</v>
      </c>
      <c r="B122" s="87" t="s">
        <v>282</v>
      </c>
      <c r="C122" s="91" t="s">
        <v>783</v>
      </c>
      <c r="D122" s="3598">
        <v>54.99</v>
      </c>
    </row>
    <row r="123" spans="1:4" x14ac:dyDescent="0.25">
      <c r="A123" s="60" t="s">
        <v>9591</v>
      </c>
      <c r="B123" s="87" t="s">
        <v>283</v>
      </c>
      <c r="C123" s="91" t="s">
        <v>2622</v>
      </c>
      <c r="D123" s="3598">
        <v>49.19</v>
      </c>
    </row>
    <row r="124" spans="1:4" x14ac:dyDescent="0.25">
      <c r="A124" s="60" t="s">
        <v>1031</v>
      </c>
      <c r="B124" s="492" t="s">
        <v>7873</v>
      </c>
      <c r="C124" s="1364" t="s">
        <v>7872</v>
      </c>
      <c r="D124" s="3598">
        <v>11.494999999999999</v>
      </c>
    </row>
    <row r="125" spans="1:4" x14ac:dyDescent="0.25">
      <c r="A125" s="60" t="s">
        <v>281</v>
      </c>
      <c r="B125" s="87" t="s">
        <v>3258</v>
      </c>
      <c r="C125" s="91" t="s">
        <v>4159</v>
      </c>
      <c r="D125" s="3598">
        <v>15.81</v>
      </c>
    </row>
    <row r="126" spans="1:4" x14ac:dyDescent="0.25">
      <c r="A126" s="60" t="s">
        <v>2166</v>
      </c>
      <c r="B126" s="87" t="s">
        <v>3224</v>
      </c>
      <c r="C126" s="91" t="s">
        <v>4160</v>
      </c>
      <c r="D126" s="3598">
        <v>24.81</v>
      </c>
    </row>
    <row r="127" spans="1:4" x14ac:dyDescent="0.25">
      <c r="A127" s="60" t="s">
        <v>3656</v>
      </c>
      <c r="B127" s="87" t="s">
        <v>3225</v>
      </c>
      <c r="C127" s="91" t="s">
        <v>1467</v>
      </c>
      <c r="D127" s="3598">
        <v>218.5</v>
      </c>
    </row>
    <row r="128" spans="1:4" x14ac:dyDescent="0.25">
      <c r="A128" s="60" t="s">
        <v>279</v>
      </c>
      <c r="B128" s="87" t="s">
        <v>1375</v>
      </c>
      <c r="C128" s="91" t="s">
        <v>1468</v>
      </c>
      <c r="D128" s="3598">
        <v>209.65</v>
      </c>
    </row>
    <row r="129" spans="1:4" x14ac:dyDescent="0.25">
      <c r="A129" s="60" t="s">
        <v>280</v>
      </c>
      <c r="B129" s="87" t="s">
        <v>782</v>
      </c>
      <c r="C129" s="91" t="s">
        <v>1469</v>
      </c>
      <c r="D129" s="3598">
        <v>69.180000000000007</v>
      </c>
    </row>
    <row r="130" spans="1:4" x14ac:dyDescent="0.25">
      <c r="A130" s="60" t="s">
        <v>6551</v>
      </c>
      <c r="B130" s="86" t="s">
        <v>4420</v>
      </c>
      <c r="C130" s="492" t="s">
        <v>6550</v>
      </c>
      <c r="D130" s="3598">
        <v>171.48</v>
      </c>
    </row>
    <row r="131" spans="1:4" x14ac:dyDescent="0.25">
      <c r="A131" s="60" t="s">
        <v>157</v>
      </c>
      <c r="B131" s="86" t="s">
        <v>3648</v>
      </c>
      <c r="C131" s="87" t="s">
        <v>730</v>
      </c>
      <c r="D131" s="3598">
        <v>4.5214999999999996</v>
      </c>
    </row>
    <row r="132" spans="1:4" x14ac:dyDescent="0.25">
      <c r="A132" s="60" t="s">
        <v>158</v>
      </c>
      <c r="B132" s="86" t="s">
        <v>3649</v>
      </c>
      <c r="C132" s="87" t="s">
        <v>1315</v>
      </c>
      <c r="D132" s="3598">
        <v>49.91</v>
      </c>
    </row>
    <row r="133" spans="1:4" x14ac:dyDescent="0.25">
      <c r="A133" s="60" t="s">
        <v>160</v>
      </c>
      <c r="B133" s="86" t="s">
        <v>637</v>
      </c>
      <c r="C133" s="87" t="s">
        <v>1056</v>
      </c>
      <c r="D133" s="3598">
        <v>57.64</v>
      </c>
    </row>
    <row r="134" spans="1:4" x14ac:dyDescent="0.25">
      <c r="A134" s="60" t="s">
        <v>165</v>
      </c>
      <c r="B134" s="86" t="s">
        <v>638</v>
      </c>
      <c r="C134" s="87" t="s">
        <v>2558</v>
      </c>
      <c r="D134" s="3598">
        <v>39.42</v>
      </c>
    </row>
    <row r="135" spans="1:4" x14ac:dyDescent="0.25">
      <c r="A135" s="60" t="s">
        <v>162</v>
      </c>
      <c r="B135" s="86" t="s">
        <v>788</v>
      </c>
      <c r="C135" s="87" t="s">
        <v>563</v>
      </c>
      <c r="D135" s="3598">
        <v>54.81</v>
      </c>
    </row>
    <row r="136" spans="1:4" x14ac:dyDescent="0.25">
      <c r="A136" s="60" t="s">
        <v>163</v>
      </c>
      <c r="B136" s="86" t="s">
        <v>789</v>
      </c>
      <c r="C136" s="87" t="s">
        <v>2617</v>
      </c>
      <c r="D136" s="3598">
        <v>98.77</v>
      </c>
    </row>
    <row r="137" spans="1:4" x14ac:dyDescent="0.25">
      <c r="A137" s="60" t="s">
        <v>3302</v>
      </c>
      <c r="B137" s="91" t="s">
        <v>3308</v>
      </c>
      <c r="C137" s="87" t="s">
        <v>3632</v>
      </c>
      <c r="D137" s="3598">
        <v>284.32</v>
      </c>
    </row>
    <row r="138" spans="1:4" x14ac:dyDescent="0.25">
      <c r="A138" s="60" t="s">
        <v>7574</v>
      </c>
      <c r="B138" s="1364" t="s">
        <v>10612</v>
      </c>
      <c r="C138" s="492" t="s">
        <v>10613</v>
      </c>
      <c r="D138" s="3598">
        <v>81.66</v>
      </c>
    </row>
    <row r="139" spans="1:4" x14ac:dyDescent="0.25">
      <c r="A139" s="60" t="s">
        <v>3304</v>
      </c>
      <c r="B139" s="1364" t="s">
        <v>8877</v>
      </c>
      <c r="C139" s="492" t="s">
        <v>8878</v>
      </c>
      <c r="D139" s="3598">
        <v>453.4</v>
      </c>
    </row>
    <row r="140" spans="1:4" x14ac:dyDescent="0.25">
      <c r="A140" s="60" t="s">
        <v>3305</v>
      </c>
      <c r="B140" s="91" t="s">
        <v>533</v>
      </c>
      <c r="C140" s="87" t="s">
        <v>2013</v>
      </c>
      <c r="D140" s="3598">
        <v>122.36</v>
      </c>
    </row>
    <row r="141" spans="1:4" x14ac:dyDescent="0.25">
      <c r="A141" s="60" t="s">
        <v>3306</v>
      </c>
      <c r="B141" s="91" t="s">
        <v>534</v>
      </c>
      <c r="C141" s="87" t="s">
        <v>2014</v>
      </c>
      <c r="D141" s="3598">
        <v>753.6</v>
      </c>
    </row>
    <row r="142" spans="1:4" x14ac:dyDescent="0.25">
      <c r="A142" s="83" t="s">
        <v>218</v>
      </c>
      <c r="B142" s="93" t="s">
        <v>658</v>
      </c>
      <c r="C142" s="370" t="s">
        <v>656</v>
      </c>
      <c r="D142" s="3598">
        <v>34.814999999999998</v>
      </c>
    </row>
    <row r="143" spans="1:4" x14ac:dyDescent="0.25">
      <c r="A143" s="12" t="s">
        <v>3169</v>
      </c>
      <c r="B143" s="93" t="s">
        <v>659</v>
      </c>
      <c r="C143" s="132" t="s">
        <v>657</v>
      </c>
      <c r="D143" s="3598">
        <v>10.1</v>
      </c>
    </row>
    <row r="144" spans="1:4" x14ac:dyDescent="0.25">
      <c r="A144" s="60" t="s">
        <v>4376</v>
      </c>
      <c r="B144" s="91" t="s">
        <v>3290</v>
      </c>
      <c r="C144" s="1364" t="s">
        <v>4326</v>
      </c>
      <c r="D144" s="3598">
        <v>200.3</v>
      </c>
    </row>
    <row r="145" spans="1:4" x14ac:dyDescent="0.25">
      <c r="A145" s="60" t="s">
        <v>4377</v>
      </c>
      <c r="B145" s="91" t="s">
        <v>3291</v>
      </c>
      <c r="C145" s="91" t="s">
        <v>4327</v>
      </c>
      <c r="D145" s="3598">
        <v>54.23</v>
      </c>
    </row>
    <row r="146" spans="1:4" x14ac:dyDescent="0.25">
      <c r="A146" s="60" t="s">
        <v>1714</v>
      </c>
      <c r="B146" s="91" t="s">
        <v>1333</v>
      </c>
      <c r="C146" s="91" t="s">
        <v>4328</v>
      </c>
      <c r="D146" s="3598">
        <v>13.816000000000001</v>
      </c>
    </row>
    <row r="147" spans="1:4" x14ac:dyDescent="0.25">
      <c r="A147" s="60" t="s">
        <v>1771</v>
      </c>
      <c r="B147" s="91" t="s">
        <v>1334</v>
      </c>
      <c r="C147" s="91" t="s">
        <v>4329</v>
      </c>
      <c r="D147" s="3598">
        <v>619</v>
      </c>
    </row>
    <row r="148" spans="1:4" x14ac:dyDescent="0.25">
      <c r="A148" s="60" t="s">
        <v>1772</v>
      </c>
      <c r="B148" s="91" t="s">
        <v>1335</v>
      </c>
      <c r="C148" s="91" t="s">
        <v>4330</v>
      </c>
      <c r="D148" s="3598">
        <v>452.3</v>
      </c>
    </row>
    <row r="149" spans="1:4" x14ac:dyDescent="0.25">
      <c r="A149" s="60" t="s">
        <v>3238</v>
      </c>
      <c r="B149" s="91" t="s">
        <v>1586</v>
      </c>
      <c r="C149" s="91" t="s">
        <v>253</v>
      </c>
      <c r="D149" s="3598">
        <v>161.6</v>
      </c>
    </row>
    <row r="150" spans="1:4" x14ac:dyDescent="0.25">
      <c r="A150" s="60" t="s">
        <v>2137</v>
      </c>
      <c r="B150" s="91" t="s">
        <v>1587</v>
      </c>
      <c r="C150" s="91" t="s">
        <v>2123</v>
      </c>
      <c r="D150" s="3598">
        <v>44.7</v>
      </c>
    </row>
    <row r="151" spans="1:4" x14ac:dyDescent="0.25">
      <c r="A151" s="188" t="s">
        <v>2983</v>
      </c>
      <c r="B151" s="91" t="s">
        <v>1710</v>
      </c>
      <c r="C151" s="91" t="s">
        <v>1713</v>
      </c>
      <c r="D151" s="3598">
        <v>1029</v>
      </c>
    </row>
    <row r="152" spans="1:4" x14ac:dyDescent="0.25">
      <c r="A152" s="188" t="s">
        <v>2984</v>
      </c>
      <c r="B152" s="93" t="s">
        <v>1711</v>
      </c>
      <c r="C152" s="91" t="s">
        <v>2326</v>
      </c>
      <c r="D152" s="3598">
        <v>11.04</v>
      </c>
    </row>
    <row r="153" spans="1:4" x14ac:dyDescent="0.25">
      <c r="A153" s="188" t="s">
        <v>1709</v>
      </c>
      <c r="B153" s="93" t="s">
        <v>1712</v>
      </c>
      <c r="C153" s="91" t="s">
        <v>2327</v>
      </c>
      <c r="D153" s="3598">
        <v>237.7</v>
      </c>
    </row>
    <row r="154" spans="1:4" x14ac:dyDescent="0.25">
      <c r="A154" s="71" t="s">
        <v>1381</v>
      </c>
      <c r="B154" s="93" t="s">
        <v>1382</v>
      </c>
      <c r="C154" s="100" t="s">
        <v>1383</v>
      </c>
      <c r="D154" s="3598">
        <v>129.35</v>
      </c>
    </row>
    <row r="155" spans="1:4" x14ac:dyDescent="0.25">
      <c r="A155" s="66" t="s">
        <v>1384</v>
      </c>
      <c r="B155" s="66" t="s">
        <v>3560</v>
      </c>
      <c r="C155" s="66" t="s">
        <v>3556</v>
      </c>
      <c r="D155" s="3598">
        <v>5.65</v>
      </c>
    </row>
    <row r="156" spans="1:4" x14ac:dyDescent="0.25">
      <c r="A156" s="66" t="s">
        <v>2753</v>
      </c>
      <c r="B156" s="66" t="s">
        <v>3561</v>
      </c>
      <c r="C156" s="66" t="s">
        <v>3558</v>
      </c>
      <c r="D156" s="3598">
        <v>65.400000000000006</v>
      </c>
    </row>
    <row r="157" spans="1:4" x14ac:dyDescent="0.25">
      <c r="A157" s="66" t="s">
        <v>1857</v>
      </c>
      <c r="B157" s="66" t="s">
        <v>1520</v>
      </c>
      <c r="C157" s="66" t="s">
        <v>3559</v>
      </c>
      <c r="D157" s="3598">
        <v>1650</v>
      </c>
    </row>
    <row r="158" spans="1:4" x14ac:dyDescent="0.25">
      <c r="A158" s="71" t="s">
        <v>56</v>
      </c>
      <c r="B158" s="71" t="s">
        <v>4232</v>
      </c>
      <c r="C158" s="71" t="s">
        <v>55</v>
      </c>
      <c r="D158" s="3598">
        <v>78.17</v>
      </c>
    </row>
    <row r="159" spans="1:4" x14ac:dyDescent="0.25">
      <c r="A159" s="66" t="s">
        <v>4064</v>
      </c>
      <c r="B159" s="370" t="s">
        <v>1735</v>
      </c>
      <c r="C159" s="370" t="s">
        <v>170</v>
      </c>
      <c r="D159" s="3598">
        <v>777.96</v>
      </c>
    </row>
    <row r="160" spans="1:4" x14ac:dyDescent="0.25">
      <c r="A160" s="71" t="s">
        <v>44</v>
      </c>
      <c r="B160" s="21" t="s">
        <v>203</v>
      </c>
      <c r="C160" s="21" t="s">
        <v>204</v>
      </c>
      <c r="D160" s="3598">
        <v>3.363</v>
      </c>
    </row>
    <row r="161" spans="1:4" x14ac:dyDescent="0.25">
      <c r="A161" s="66" t="s">
        <v>1213</v>
      </c>
      <c r="B161" s="21" t="s">
        <v>3995</v>
      </c>
      <c r="C161" s="21" t="s">
        <v>4230</v>
      </c>
      <c r="D161" s="3598">
        <v>21.85</v>
      </c>
    </row>
    <row r="162" spans="1:4" x14ac:dyDescent="0.25">
      <c r="A162" s="66" t="s">
        <v>1214</v>
      </c>
      <c r="B162" s="21" t="s">
        <v>3996</v>
      </c>
      <c r="C162" s="21" t="s">
        <v>3775</v>
      </c>
      <c r="D162" s="3598">
        <v>176.96</v>
      </c>
    </row>
    <row r="163" spans="1:4" x14ac:dyDescent="0.25">
      <c r="A163" s="66" t="s">
        <v>4228</v>
      </c>
      <c r="B163" s="21" t="s">
        <v>3997</v>
      </c>
      <c r="C163" s="21" t="s">
        <v>3994</v>
      </c>
      <c r="D163" s="3598">
        <v>30.13</v>
      </c>
    </row>
    <row r="164" spans="1:4" x14ac:dyDescent="0.25">
      <c r="A164" s="71" t="s">
        <v>3998</v>
      </c>
      <c r="B164" s="12" t="s">
        <v>3999</v>
      </c>
      <c r="C164" s="12" t="s">
        <v>4000</v>
      </c>
      <c r="D164" s="3598">
        <v>17.600000000000001</v>
      </c>
    </row>
    <row r="165" spans="1:4" x14ac:dyDescent="0.25">
      <c r="A165" s="60" t="s">
        <v>2917</v>
      </c>
      <c r="B165" s="12" t="s">
        <v>804</v>
      </c>
      <c r="C165" s="370" t="s">
        <v>2929</v>
      </c>
      <c r="D165" s="3598">
        <v>207</v>
      </c>
    </row>
    <row r="166" spans="1:4" x14ac:dyDescent="0.25">
      <c r="A166" s="60" t="s">
        <v>2918</v>
      </c>
      <c r="B166" s="370" t="s">
        <v>2924</v>
      </c>
      <c r="C166" s="370" t="s">
        <v>2924</v>
      </c>
      <c r="D166" s="3598">
        <v>366.43</v>
      </c>
    </row>
    <row r="167" spans="1:4" x14ac:dyDescent="0.25">
      <c r="A167" s="60" t="s">
        <v>2920</v>
      </c>
      <c r="B167" s="370" t="s">
        <v>8711</v>
      </c>
      <c r="C167" s="370" t="s">
        <v>6731</v>
      </c>
      <c r="D167" s="3598">
        <v>44.17</v>
      </c>
    </row>
    <row r="168" spans="1:4" x14ac:dyDescent="0.25">
      <c r="A168" s="60" t="s">
        <v>2921</v>
      </c>
      <c r="B168" s="370" t="s">
        <v>2923</v>
      </c>
      <c r="C168" s="370" t="s">
        <v>2927</v>
      </c>
      <c r="D168" s="3598">
        <v>454.87</v>
      </c>
    </row>
    <row r="169" spans="1:4" x14ac:dyDescent="0.25">
      <c r="A169" s="143" t="s">
        <v>4291</v>
      </c>
      <c r="B169" s="21" t="s">
        <v>1888</v>
      </c>
      <c r="C169" s="21" t="s">
        <v>1891</v>
      </c>
      <c r="D169" s="3598">
        <v>27.55</v>
      </c>
    </row>
    <row r="170" spans="1:4" x14ac:dyDescent="0.25">
      <c r="A170" s="143" t="s">
        <v>4293</v>
      </c>
      <c r="B170" s="21" t="s">
        <v>1889</v>
      </c>
      <c r="C170" s="21" t="s">
        <v>1893</v>
      </c>
      <c r="D170" s="3598">
        <v>881.3</v>
      </c>
    </row>
    <row r="171" spans="1:4" x14ac:dyDescent="0.25">
      <c r="A171" s="143" t="s">
        <v>4294</v>
      </c>
      <c r="B171" s="21" t="s">
        <v>1890</v>
      </c>
      <c r="C171" s="21" t="s">
        <v>1894</v>
      </c>
      <c r="D171" s="3598">
        <v>1265.5</v>
      </c>
    </row>
    <row r="172" spans="1:4" x14ac:dyDescent="0.25">
      <c r="A172" s="60" t="s">
        <v>3250</v>
      </c>
      <c r="B172" s="144" t="s">
        <v>355</v>
      </c>
      <c r="C172" s="73" t="s">
        <v>3627</v>
      </c>
      <c r="D172" s="3598">
        <v>249.72</v>
      </c>
    </row>
    <row r="173" spans="1:4" x14ac:dyDescent="0.25">
      <c r="A173" s="83" t="s">
        <v>3251</v>
      </c>
      <c r="B173" s="172" t="s">
        <v>8880</v>
      </c>
      <c r="C173" s="172" t="s">
        <v>8881</v>
      </c>
      <c r="D173" s="3598">
        <v>533</v>
      </c>
    </row>
    <row r="174" spans="1:4" x14ac:dyDescent="0.25">
      <c r="A174" s="60" t="s">
        <v>3255</v>
      </c>
      <c r="B174" s="144" t="s">
        <v>1987</v>
      </c>
      <c r="C174" s="73" t="s">
        <v>3631</v>
      </c>
      <c r="D174" s="3598">
        <v>647.5</v>
      </c>
    </row>
    <row r="175" spans="1:4" x14ac:dyDescent="0.25">
      <c r="A175" s="60" t="s">
        <v>1899</v>
      </c>
      <c r="B175" s="144" t="s">
        <v>1988</v>
      </c>
      <c r="C175" s="73" t="s">
        <v>354</v>
      </c>
      <c r="D175" s="3598">
        <v>2022</v>
      </c>
    </row>
    <row r="176" spans="1:4" x14ac:dyDescent="0.25">
      <c r="A176" s="3599" t="s">
        <v>4437</v>
      </c>
      <c r="B176" s="91" t="s">
        <v>800</v>
      </c>
      <c r="C176" s="61" t="s">
        <v>3825</v>
      </c>
      <c r="D176" s="3598">
        <v>837</v>
      </c>
    </row>
    <row r="177" spans="1:4" x14ac:dyDescent="0.25">
      <c r="A177" s="3599" t="s">
        <v>4439</v>
      </c>
      <c r="B177" s="91" t="s">
        <v>2321</v>
      </c>
      <c r="C177" s="61" t="s">
        <v>3827</v>
      </c>
      <c r="D177" s="3598">
        <v>46.67</v>
      </c>
    </row>
    <row r="178" spans="1:4" x14ac:dyDescent="0.25">
      <c r="A178" s="3599" t="s">
        <v>4101</v>
      </c>
      <c r="B178" s="91" t="s">
        <v>1907</v>
      </c>
      <c r="C178" s="61" t="s">
        <v>1046</v>
      </c>
      <c r="D178" s="3598">
        <v>16800</v>
      </c>
    </row>
    <row r="179" spans="1:4" x14ac:dyDescent="0.25">
      <c r="A179" s="3599" t="s">
        <v>1301</v>
      </c>
      <c r="B179" s="91" t="s">
        <v>1908</v>
      </c>
      <c r="C179" s="61" t="s">
        <v>1047</v>
      </c>
      <c r="D179" s="3598">
        <v>7.75</v>
      </c>
    </row>
    <row r="180" spans="1:4" x14ac:dyDescent="0.25">
      <c r="A180" s="66" t="s">
        <v>1541</v>
      </c>
      <c r="B180" s="91" t="s">
        <v>1954</v>
      </c>
      <c r="C180" s="370" t="s">
        <v>1696</v>
      </c>
      <c r="D180" s="3598">
        <v>93.98</v>
      </c>
    </row>
    <row r="181" spans="1:4" x14ac:dyDescent="0.25">
      <c r="A181" s="66" t="s">
        <v>719</v>
      </c>
      <c r="B181" s="91" t="s">
        <v>1955</v>
      </c>
      <c r="C181" s="370" t="s">
        <v>1697</v>
      </c>
      <c r="D181" s="3598">
        <v>118.76</v>
      </c>
    </row>
    <row r="182" spans="1:4" x14ac:dyDescent="0.25">
      <c r="A182" s="60" t="s">
        <v>2703</v>
      </c>
      <c r="B182" s="91" t="s">
        <v>1956</v>
      </c>
      <c r="C182" s="73" t="s">
        <v>2780</v>
      </c>
      <c r="D182" s="3598">
        <v>88.682000000000002</v>
      </c>
    </row>
    <row r="183" spans="1:4" x14ac:dyDescent="0.25">
      <c r="A183" s="60" t="s">
        <v>4003</v>
      </c>
      <c r="B183" s="91" t="s">
        <v>4558</v>
      </c>
      <c r="C183" s="73" t="s">
        <v>169</v>
      </c>
      <c r="D183" s="3598">
        <v>3048</v>
      </c>
    </row>
    <row r="184" spans="1:4" x14ac:dyDescent="0.25">
      <c r="A184" s="60" t="s">
        <v>1440</v>
      </c>
      <c r="B184" s="91" t="s">
        <v>4559</v>
      </c>
      <c r="C184" s="73" t="s">
        <v>2569</v>
      </c>
      <c r="D184" s="3598">
        <v>90.05</v>
      </c>
    </row>
    <row r="185" spans="1:4" x14ac:dyDescent="0.25">
      <c r="A185" s="60" t="s">
        <v>1441</v>
      </c>
      <c r="B185" s="91" t="s">
        <v>4560</v>
      </c>
      <c r="C185" s="73" t="s">
        <v>1978</v>
      </c>
      <c r="D185" s="3598">
        <v>7.2809999999999997</v>
      </c>
    </row>
    <row r="186" spans="1:4" x14ac:dyDescent="0.25">
      <c r="A186" s="60" t="s">
        <v>1442</v>
      </c>
      <c r="B186" s="91" t="s">
        <v>4561</v>
      </c>
      <c r="C186" s="73" t="s">
        <v>2384</v>
      </c>
      <c r="D186" s="3598">
        <v>113.42</v>
      </c>
    </row>
    <row r="187" spans="1:4" x14ac:dyDescent="0.25">
      <c r="A187" s="1316" t="s">
        <v>4496</v>
      </c>
      <c r="B187" s="3600" t="s">
        <v>4562</v>
      </c>
      <c r="C187" s="3601" t="s">
        <v>8824</v>
      </c>
      <c r="D187" s="3602">
        <v>76.708399999999997</v>
      </c>
    </row>
    <row r="188" spans="1:4" x14ac:dyDescent="0.25">
      <c r="A188" s="60" t="s">
        <v>2682</v>
      </c>
      <c r="B188" s="91" t="s">
        <v>4563</v>
      </c>
      <c r="C188" s="73" t="s">
        <v>2387</v>
      </c>
      <c r="D188" s="3598">
        <v>724</v>
      </c>
    </row>
    <row r="189" spans="1:4" x14ac:dyDescent="0.25">
      <c r="A189" s="60" t="s">
        <v>64</v>
      </c>
      <c r="B189" s="91" t="s">
        <v>4564</v>
      </c>
      <c r="C189" s="73" t="s">
        <v>2388</v>
      </c>
      <c r="D189" s="3598">
        <v>428.45</v>
      </c>
    </row>
    <row r="190" spans="1:4" x14ac:dyDescent="0.25">
      <c r="A190" s="60" t="s">
        <v>65</v>
      </c>
      <c r="B190" s="91" t="s">
        <v>4565</v>
      </c>
      <c r="C190" s="73" t="s">
        <v>4065</v>
      </c>
      <c r="D190" s="3598">
        <v>267.39999999999998</v>
      </c>
    </row>
    <row r="191" spans="1:4" x14ac:dyDescent="0.25">
      <c r="A191" s="60" t="s">
        <v>2777</v>
      </c>
      <c r="B191" s="91" t="s">
        <v>4566</v>
      </c>
      <c r="C191" s="73" t="s">
        <v>1946</v>
      </c>
      <c r="D191" s="3598">
        <v>5017</v>
      </c>
    </row>
    <row r="192" spans="1:4" x14ac:dyDescent="0.25">
      <c r="A192" s="83" t="s">
        <v>2778</v>
      </c>
      <c r="B192" s="91" t="s">
        <v>4567</v>
      </c>
      <c r="C192" s="73" t="s">
        <v>1947</v>
      </c>
      <c r="D192" s="3598">
        <v>671.4</v>
      </c>
    </row>
    <row r="193" spans="1:4" x14ac:dyDescent="0.25">
      <c r="A193" s="83" t="s">
        <v>306</v>
      </c>
      <c r="B193" s="21" t="s">
        <v>60</v>
      </c>
      <c r="C193" s="370" t="s">
        <v>1699</v>
      </c>
      <c r="D193" s="3598">
        <v>1951.8</v>
      </c>
    </row>
    <row r="194" spans="1:4" x14ac:dyDescent="0.25">
      <c r="A194" s="83" t="s">
        <v>307</v>
      </c>
      <c r="B194" s="12" t="s">
        <v>3170</v>
      </c>
      <c r="C194" s="12" t="s">
        <v>1700</v>
      </c>
      <c r="D194" s="3598">
        <v>383.6</v>
      </c>
    </row>
    <row r="195" spans="1:4" x14ac:dyDescent="0.25">
      <c r="A195" s="156" t="s">
        <v>309</v>
      </c>
      <c r="B195" s="12" t="s">
        <v>4263</v>
      </c>
      <c r="C195" s="12" t="s">
        <v>305</v>
      </c>
      <c r="D195" s="3598">
        <v>743</v>
      </c>
    </row>
    <row r="196" spans="1:4" x14ac:dyDescent="0.25">
      <c r="A196" s="156" t="s">
        <v>3325</v>
      </c>
      <c r="B196" s="62" t="s">
        <v>4264</v>
      </c>
      <c r="C196" s="62" t="s">
        <v>2432</v>
      </c>
      <c r="D196" s="3598">
        <v>8.4700000000000006</v>
      </c>
    </row>
    <row r="197" spans="1:4" x14ac:dyDescent="0.25">
      <c r="A197" s="156" t="s">
        <v>1622</v>
      </c>
      <c r="B197" s="12" t="s">
        <v>4265</v>
      </c>
      <c r="C197" s="12" t="s">
        <v>1623</v>
      </c>
      <c r="D197" s="3598">
        <v>1.262</v>
      </c>
    </row>
    <row r="198" spans="1:4" x14ac:dyDescent="0.25">
      <c r="A198" s="156" t="s">
        <v>4266</v>
      </c>
      <c r="B198" s="12" t="s">
        <v>8882</v>
      </c>
      <c r="C198" s="12" t="s">
        <v>8883</v>
      </c>
      <c r="D198" s="3598">
        <v>41.89</v>
      </c>
    </row>
    <row r="199" spans="1:4" x14ac:dyDescent="0.25">
      <c r="A199" s="129" t="s">
        <v>3516</v>
      </c>
      <c r="B199" s="21" t="s">
        <v>4876</v>
      </c>
      <c r="C199" s="370" t="s">
        <v>4311</v>
      </c>
      <c r="D199" s="3598">
        <v>57.62</v>
      </c>
    </row>
    <row r="200" spans="1:4" x14ac:dyDescent="0.25">
      <c r="A200" s="129" t="s">
        <v>4301</v>
      </c>
      <c r="B200" s="21" t="s">
        <v>4877</v>
      </c>
      <c r="C200" s="370" t="s">
        <v>2838</v>
      </c>
      <c r="D200" s="3598">
        <v>112.14</v>
      </c>
    </row>
    <row r="201" spans="1:4" x14ac:dyDescent="0.25">
      <c r="A201" s="129" t="s">
        <v>2831</v>
      </c>
      <c r="B201" s="21" t="s">
        <v>4878</v>
      </c>
      <c r="C201" s="370" t="s">
        <v>2841</v>
      </c>
      <c r="D201" s="3598">
        <v>117.4</v>
      </c>
    </row>
    <row r="202" spans="1:4" x14ac:dyDescent="0.25">
      <c r="A202" s="129" t="s">
        <v>2834</v>
      </c>
      <c r="B202" s="21" t="s">
        <v>4879</v>
      </c>
      <c r="C202" s="370" t="s">
        <v>2877</v>
      </c>
      <c r="D202" s="3598">
        <v>21.04</v>
      </c>
    </row>
    <row r="203" spans="1:4" x14ac:dyDescent="0.25">
      <c r="A203" s="129" t="s">
        <v>2833</v>
      </c>
      <c r="B203" s="21" t="s">
        <v>4880</v>
      </c>
      <c r="C203" s="370" t="s">
        <v>59</v>
      </c>
      <c r="D203" s="3598">
        <v>119.63</v>
      </c>
    </row>
    <row r="204" spans="1:4" x14ac:dyDescent="0.25">
      <c r="A204" s="129" t="s">
        <v>4268</v>
      </c>
      <c r="B204" s="21" t="s">
        <v>8441</v>
      </c>
      <c r="C204" s="370" t="s">
        <v>8442</v>
      </c>
      <c r="D204" s="3598">
        <v>11.445</v>
      </c>
    </row>
    <row r="205" spans="1:4" x14ac:dyDescent="0.25">
      <c r="A205" s="129" t="s">
        <v>4270</v>
      </c>
      <c r="B205" s="21" t="s">
        <v>4881</v>
      </c>
      <c r="C205" s="370" t="s">
        <v>1803</v>
      </c>
      <c r="D205" s="3598">
        <v>2149</v>
      </c>
    </row>
    <row r="206" spans="1:4" x14ac:dyDescent="0.25">
      <c r="A206" s="129" t="s">
        <v>4271</v>
      </c>
      <c r="B206" s="21" t="s">
        <v>4882</v>
      </c>
      <c r="C206" s="370" t="s">
        <v>1804</v>
      </c>
      <c r="D206" s="3598">
        <v>13.29</v>
      </c>
    </row>
    <row r="207" spans="1:4" x14ac:dyDescent="0.25">
      <c r="A207" s="129" t="s">
        <v>1211</v>
      </c>
      <c r="B207" s="21" t="s">
        <v>4883</v>
      </c>
      <c r="C207" s="370" t="s">
        <v>685</v>
      </c>
      <c r="D207" s="3598">
        <v>213.15</v>
      </c>
    </row>
    <row r="208" spans="1:4" x14ac:dyDescent="0.25">
      <c r="A208" s="156" t="s">
        <v>1231</v>
      </c>
      <c r="B208" s="21" t="s">
        <v>4884</v>
      </c>
      <c r="C208" s="370" t="s">
        <v>2041</v>
      </c>
      <c r="D208" s="3598">
        <v>96.71</v>
      </c>
    </row>
    <row r="209" spans="1:4" x14ac:dyDescent="0.25">
      <c r="A209" s="156" t="s">
        <v>459</v>
      </c>
      <c r="B209" s="370" t="s">
        <v>4885</v>
      </c>
      <c r="C209" s="370" t="s">
        <v>639</v>
      </c>
      <c r="D209" s="3598">
        <v>597.20000000000005</v>
      </c>
    </row>
    <row r="210" spans="1:4" x14ac:dyDescent="0.25">
      <c r="A210" s="156" t="s">
        <v>3903</v>
      </c>
      <c r="B210" s="370" t="s">
        <v>8490</v>
      </c>
      <c r="C210" s="370" t="s">
        <v>8489</v>
      </c>
      <c r="D210" s="3598">
        <v>30.87</v>
      </c>
    </row>
    <row r="211" spans="1:4" x14ac:dyDescent="0.25">
      <c r="A211" s="156" t="s">
        <v>2856</v>
      </c>
      <c r="B211" s="370" t="s">
        <v>4886</v>
      </c>
      <c r="C211" s="370" t="s">
        <v>2721</v>
      </c>
      <c r="D211" s="3598">
        <v>438.65</v>
      </c>
    </row>
    <row r="212" spans="1:4" x14ac:dyDescent="0.25">
      <c r="A212" s="66" t="s">
        <v>2858</v>
      </c>
      <c r="B212" s="21" t="s">
        <v>4887</v>
      </c>
      <c r="C212" s="370" t="s">
        <v>2723</v>
      </c>
      <c r="D212" s="3598">
        <v>79</v>
      </c>
    </row>
    <row r="213" spans="1:4" x14ac:dyDescent="0.25">
      <c r="A213" s="156" t="s">
        <v>2724</v>
      </c>
      <c r="B213" s="370" t="s">
        <v>4888</v>
      </c>
      <c r="C213" s="370" t="s">
        <v>2725</v>
      </c>
      <c r="D213" s="3598">
        <v>120.34</v>
      </c>
    </row>
    <row r="214" spans="1:4" x14ac:dyDescent="0.25">
      <c r="A214" s="71" t="s">
        <v>2726</v>
      </c>
      <c r="B214" s="370" t="s">
        <v>4889</v>
      </c>
      <c r="C214" s="370" t="s">
        <v>2727</v>
      </c>
      <c r="D214" s="3598">
        <v>34.64</v>
      </c>
    </row>
    <row r="215" spans="1:4" x14ac:dyDescent="0.25">
      <c r="A215" s="156" t="s">
        <v>2728</v>
      </c>
      <c r="B215" s="12" t="s">
        <v>9048</v>
      </c>
      <c r="C215" s="12" t="s">
        <v>9049</v>
      </c>
      <c r="D215" s="3598">
        <v>136.62</v>
      </c>
    </row>
    <row r="216" spans="1:4" x14ac:dyDescent="0.25">
      <c r="A216" s="71" t="s">
        <v>746</v>
      </c>
      <c r="B216" s="12" t="s">
        <v>4890</v>
      </c>
      <c r="C216" s="12" t="s">
        <v>745</v>
      </c>
      <c r="D216" s="3598">
        <v>13.67</v>
      </c>
    </row>
    <row r="217" spans="1:4" x14ac:dyDescent="0.25">
      <c r="A217" s="156" t="s">
        <v>747</v>
      </c>
      <c r="B217" s="12" t="s">
        <v>4891</v>
      </c>
      <c r="C217" s="12" t="s">
        <v>257</v>
      </c>
      <c r="D217" s="3598">
        <v>41.3</v>
      </c>
    </row>
    <row r="218" spans="1:4" x14ac:dyDescent="0.25">
      <c r="A218" s="156" t="s">
        <v>1108</v>
      </c>
      <c r="B218" s="12" t="s">
        <v>4892</v>
      </c>
      <c r="C218" s="12" t="s">
        <v>1109</v>
      </c>
      <c r="D218" s="3598">
        <v>14.582000000000001</v>
      </c>
    </row>
    <row r="219" spans="1:4" x14ac:dyDescent="0.25">
      <c r="A219" s="71" t="s">
        <v>2699</v>
      </c>
      <c r="B219" s="12" t="s">
        <v>10778</v>
      </c>
      <c r="C219" s="12" t="s">
        <v>10779</v>
      </c>
      <c r="D219" s="3598">
        <v>39.9</v>
      </c>
    </row>
    <row r="220" spans="1:4" x14ac:dyDescent="0.25">
      <c r="A220" s="156" t="s">
        <v>2701</v>
      </c>
      <c r="B220" s="12" t="s">
        <v>4893</v>
      </c>
      <c r="C220" s="12" t="s">
        <v>2700</v>
      </c>
      <c r="D220" s="3598">
        <v>3.61</v>
      </c>
    </row>
    <row r="221" spans="1:4" x14ac:dyDescent="0.25">
      <c r="A221" s="71" t="s">
        <v>2942</v>
      </c>
      <c r="B221" s="12" t="s">
        <v>4894</v>
      </c>
      <c r="C221" s="12" t="s">
        <v>2336</v>
      </c>
      <c r="D221" s="3598">
        <v>1625</v>
      </c>
    </row>
    <row r="222" spans="1:4" x14ac:dyDescent="0.25">
      <c r="A222" s="71" t="s">
        <v>1168</v>
      </c>
      <c r="B222" s="12" t="s">
        <v>4895</v>
      </c>
      <c r="C222" s="12" t="s">
        <v>1939</v>
      </c>
      <c r="D222" s="3598">
        <v>2759.5</v>
      </c>
    </row>
    <row r="223" spans="1:4" x14ac:dyDescent="0.25">
      <c r="A223" s="71" t="s">
        <v>2334</v>
      </c>
      <c r="B223" s="12" t="s">
        <v>4896</v>
      </c>
      <c r="C223" s="12" t="s">
        <v>1941</v>
      </c>
      <c r="D223" s="3598">
        <v>6490</v>
      </c>
    </row>
    <row r="224" spans="1:4" x14ac:dyDescent="0.25">
      <c r="A224" s="156" t="s">
        <v>2545</v>
      </c>
      <c r="B224" s="12" t="s">
        <v>4897</v>
      </c>
      <c r="C224" s="12" t="s">
        <v>3882</v>
      </c>
      <c r="D224" s="3598">
        <v>73.25</v>
      </c>
    </row>
    <row r="225" spans="1:4" x14ac:dyDescent="0.25">
      <c r="A225" s="71" t="s">
        <v>1903</v>
      </c>
      <c r="B225" s="12" t="s">
        <v>4898</v>
      </c>
      <c r="C225" s="12" t="s">
        <v>3883</v>
      </c>
      <c r="D225" s="3598">
        <v>10678</v>
      </c>
    </row>
    <row r="226" spans="1:4" x14ac:dyDescent="0.25">
      <c r="A226" s="156" t="s">
        <v>1905</v>
      </c>
      <c r="B226" s="12" t="s">
        <v>4899</v>
      </c>
      <c r="C226" s="12" t="s">
        <v>504</v>
      </c>
      <c r="D226" s="3598">
        <v>131.94999999999999</v>
      </c>
    </row>
    <row r="227" spans="1:4" x14ac:dyDescent="0.25">
      <c r="A227" s="71" t="s">
        <v>123</v>
      </c>
      <c r="B227" s="370" t="s">
        <v>4900</v>
      </c>
      <c r="C227" s="12" t="s">
        <v>4325</v>
      </c>
      <c r="D227" s="3598">
        <v>33.83</v>
      </c>
    </row>
    <row r="228" spans="1:4" x14ac:dyDescent="0.25">
      <c r="A228" s="156" t="s">
        <v>898</v>
      </c>
      <c r="B228" s="370" t="s">
        <v>4901</v>
      </c>
      <c r="C228" s="12" t="s">
        <v>899</v>
      </c>
      <c r="D228" s="3598">
        <v>73.91</v>
      </c>
    </row>
    <row r="229" spans="1:4" x14ac:dyDescent="0.25">
      <c r="A229" s="71" t="s">
        <v>4274</v>
      </c>
      <c r="B229" s="370" t="s">
        <v>4902</v>
      </c>
      <c r="C229" s="12" t="s">
        <v>3818</v>
      </c>
      <c r="D229" s="3598">
        <v>12.73</v>
      </c>
    </row>
    <row r="230" spans="1:4" x14ac:dyDescent="0.25">
      <c r="A230" s="156" t="s">
        <v>3868</v>
      </c>
      <c r="B230" s="370" t="s">
        <v>4903</v>
      </c>
      <c r="C230" s="12" t="s">
        <v>1913</v>
      </c>
      <c r="D230" s="3598">
        <v>121.92</v>
      </c>
    </row>
    <row r="231" spans="1:4" x14ac:dyDescent="0.25">
      <c r="A231" s="71" t="s">
        <v>3817</v>
      </c>
      <c r="B231" s="370" t="s">
        <v>4904</v>
      </c>
      <c r="C231" s="12" t="s">
        <v>1914</v>
      </c>
      <c r="D231" s="3598">
        <v>57.96</v>
      </c>
    </row>
    <row r="232" spans="1:4" x14ac:dyDescent="0.25">
      <c r="A232" s="156" t="s">
        <v>2467</v>
      </c>
      <c r="B232" s="370" t="s">
        <v>4905</v>
      </c>
      <c r="C232" s="12" t="s">
        <v>2468</v>
      </c>
      <c r="D232" s="3598">
        <v>37.83</v>
      </c>
    </row>
    <row r="233" spans="1:4" x14ac:dyDescent="0.25">
      <c r="A233" s="71" t="s">
        <v>2469</v>
      </c>
      <c r="B233" s="370" t="s">
        <v>4906</v>
      </c>
      <c r="C233" s="12" t="s">
        <v>2696</v>
      </c>
      <c r="D233" s="3598">
        <v>16.760000000000002</v>
      </c>
    </row>
    <row r="234" spans="1:4" x14ac:dyDescent="0.25">
      <c r="A234" s="156" t="s">
        <v>2470</v>
      </c>
      <c r="B234" s="370" t="s">
        <v>4907</v>
      </c>
      <c r="C234" s="12" t="s">
        <v>2471</v>
      </c>
      <c r="D234" s="3598">
        <v>14.79</v>
      </c>
    </row>
    <row r="235" spans="1:4" x14ac:dyDescent="0.25">
      <c r="A235" s="71" t="s">
        <v>2697</v>
      </c>
      <c r="B235" s="370" t="s">
        <v>4908</v>
      </c>
      <c r="C235" s="12" t="s">
        <v>329</v>
      </c>
      <c r="D235" s="3598">
        <v>23.46</v>
      </c>
    </row>
    <row r="236" spans="1:4" x14ac:dyDescent="0.25">
      <c r="A236" s="156" t="s">
        <v>330</v>
      </c>
      <c r="B236" s="370" t="s">
        <v>4909</v>
      </c>
      <c r="C236" s="12" t="s">
        <v>4092</v>
      </c>
      <c r="D236" s="3598">
        <v>249.74</v>
      </c>
    </row>
    <row r="237" spans="1:4" x14ac:dyDescent="0.25">
      <c r="A237" s="71" t="s">
        <v>331</v>
      </c>
      <c r="B237" s="370" t="s">
        <v>4910</v>
      </c>
      <c r="C237" s="12" t="s">
        <v>332</v>
      </c>
      <c r="D237" s="3598">
        <v>82.03</v>
      </c>
    </row>
    <row r="238" spans="1:4" x14ac:dyDescent="0.25">
      <c r="A238" s="156" t="s">
        <v>333</v>
      </c>
      <c r="B238" s="370" t="s">
        <v>4911</v>
      </c>
      <c r="C238" s="12" t="s">
        <v>334</v>
      </c>
      <c r="D238" s="3598">
        <v>16.34</v>
      </c>
    </row>
    <row r="239" spans="1:4" x14ac:dyDescent="0.25">
      <c r="A239" s="71" t="s">
        <v>335</v>
      </c>
      <c r="B239" s="370" t="s">
        <v>8884</v>
      </c>
      <c r="C239" s="12" t="s">
        <v>8885</v>
      </c>
      <c r="D239" s="3598">
        <v>137.5</v>
      </c>
    </row>
    <row r="240" spans="1:4" x14ac:dyDescent="0.25">
      <c r="A240" s="156" t="s">
        <v>2842</v>
      </c>
      <c r="B240" s="370" t="s">
        <v>4912</v>
      </c>
      <c r="C240" s="12" t="s">
        <v>2843</v>
      </c>
      <c r="D240" s="3598">
        <v>732.63</v>
      </c>
    </row>
    <row r="241" spans="1:4" x14ac:dyDescent="0.25">
      <c r="A241" s="71" t="s">
        <v>2844</v>
      </c>
      <c r="B241" s="370" t="s">
        <v>4913</v>
      </c>
      <c r="C241" s="12" t="s">
        <v>4094</v>
      </c>
      <c r="D241" s="3598">
        <v>35.65</v>
      </c>
    </row>
    <row r="242" spans="1:4" x14ac:dyDescent="0.25">
      <c r="A242" s="156" t="s">
        <v>4036</v>
      </c>
      <c r="B242" s="370" t="s">
        <v>4914</v>
      </c>
      <c r="C242" s="12" t="s">
        <v>4037</v>
      </c>
      <c r="D242" s="3598">
        <v>20.66</v>
      </c>
    </row>
    <row r="243" spans="1:4" x14ac:dyDescent="0.25">
      <c r="A243" s="71" t="s">
        <v>4038</v>
      </c>
      <c r="B243" s="370" t="s">
        <v>4915</v>
      </c>
      <c r="C243" s="12" t="s">
        <v>4039</v>
      </c>
      <c r="D243" s="3598">
        <v>21.15</v>
      </c>
    </row>
    <row r="244" spans="1:4" x14ac:dyDescent="0.25">
      <c r="A244" s="156" t="s">
        <v>4040</v>
      </c>
      <c r="B244" s="370" t="s">
        <v>4916</v>
      </c>
      <c r="C244" s="12" t="s">
        <v>4041</v>
      </c>
      <c r="D244" s="3598">
        <v>87.15</v>
      </c>
    </row>
    <row r="245" spans="1:4" x14ac:dyDescent="0.25">
      <c r="A245" s="71" t="s">
        <v>4042</v>
      </c>
      <c r="B245" s="370" t="s">
        <v>4917</v>
      </c>
      <c r="C245" s="12" t="s">
        <v>4043</v>
      </c>
      <c r="D245" s="3598">
        <v>2521.5</v>
      </c>
    </row>
    <row r="246" spans="1:4" x14ac:dyDescent="0.25">
      <c r="A246" s="156" t="s">
        <v>4044</v>
      </c>
      <c r="B246" s="370" t="s">
        <v>4918</v>
      </c>
      <c r="C246" s="12" t="s">
        <v>4045</v>
      </c>
      <c r="D246" s="3598">
        <v>149.94999999999999</v>
      </c>
    </row>
    <row r="247" spans="1:4" x14ac:dyDescent="0.25">
      <c r="A247" s="71" t="s">
        <v>2893</v>
      </c>
      <c r="B247" s="370" t="s">
        <v>8886</v>
      </c>
      <c r="C247" s="12" t="s">
        <v>8887</v>
      </c>
      <c r="D247" s="3598">
        <v>209.4</v>
      </c>
    </row>
    <row r="248" spans="1:4" x14ac:dyDescent="0.25">
      <c r="A248" s="156" t="s">
        <v>1723</v>
      </c>
      <c r="B248" s="370" t="s">
        <v>4919</v>
      </c>
      <c r="C248" s="12" t="s">
        <v>4875</v>
      </c>
      <c r="D248" s="3598">
        <v>215.1</v>
      </c>
    </row>
    <row r="249" spans="1:4" x14ac:dyDescent="0.25">
      <c r="A249" s="71" t="s">
        <v>1724</v>
      </c>
      <c r="B249" s="370" t="s">
        <v>4920</v>
      </c>
      <c r="C249" s="12" t="s">
        <v>1725</v>
      </c>
      <c r="D249" s="3598">
        <v>212.3</v>
      </c>
    </row>
    <row r="250" spans="1:4" x14ac:dyDescent="0.25">
      <c r="A250" s="156" t="s">
        <v>359</v>
      </c>
      <c r="B250" s="370" t="s">
        <v>4921</v>
      </c>
      <c r="C250" s="12" t="s">
        <v>360</v>
      </c>
      <c r="D250" s="3598">
        <v>277.8</v>
      </c>
    </row>
    <row r="251" spans="1:4" x14ac:dyDescent="0.25">
      <c r="A251" s="71" t="s">
        <v>4116</v>
      </c>
      <c r="B251" s="370" t="s">
        <v>4922</v>
      </c>
      <c r="C251" s="12" t="s">
        <v>4117</v>
      </c>
      <c r="D251" s="3598">
        <v>1789</v>
      </c>
    </row>
    <row r="252" spans="1:4" x14ac:dyDescent="0.25">
      <c r="A252" s="156" t="s">
        <v>4119</v>
      </c>
      <c r="B252" s="370" t="s">
        <v>4923</v>
      </c>
      <c r="C252" s="12" t="s">
        <v>4120</v>
      </c>
      <c r="D252" s="3598">
        <v>2366.5</v>
      </c>
    </row>
    <row r="253" spans="1:4" x14ac:dyDescent="0.25">
      <c r="A253" s="156" t="s">
        <v>4550</v>
      </c>
      <c r="B253" s="370" t="s">
        <v>8888</v>
      </c>
      <c r="C253" s="12" t="s">
        <v>8889</v>
      </c>
      <c r="D253" s="3598">
        <v>486.3</v>
      </c>
    </row>
    <row r="254" spans="1:4" x14ac:dyDescent="0.25">
      <c r="A254" s="1339" t="s">
        <v>938</v>
      </c>
      <c r="B254" s="3603" t="s">
        <v>4924</v>
      </c>
      <c r="C254" s="416" t="s">
        <v>1734</v>
      </c>
      <c r="D254" s="3598">
        <v>1062</v>
      </c>
    </row>
    <row r="255" spans="1:4" x14ac:dyDescent="0.25">
      <c r="A255" s="156" t="s">
        <v>939</v>
      </c>
      <c r="B255" s="370" t="s">
        <v>4925</v>
      </c>
      <c r="C255" s="12" t="s">
        <v>2791</v>
      </c>
      <c r="D255" s="3598">
        <v>127.28</v>
      </c>
    </row>
    <row r="256" spans="1:4" x14ac:dyDescent="0.25">
      <c r="A256" s="156" t="s">
        <v>4226</v>
      </c>
      <c r="B256" s="370" t="s">
        <v>4926</v>
      </c>
      <c r="C256" s="12" t="s">
        <v>4225</v>
      </c>
      <c r="D256" s="3598">
        <v>49.99</v>
      </c>
    </row>
    <row r="257" spans="1:4" x14ac:dyDescent="0.25">
      <c r="A257" s="156" t="s">
        <v>1343</v>
      </c>
      <c r="B257" s="370" t="s">
        <v>7748</v>
      </c>
      <c r="C257" s="12" t="s">
        <v>7747</v>
      </c>
      <c r="D257" s="3598">
        <v>1770</v>
      </c>
    </row>
    <row r="258" spans="1:4" x14ac:dyDescent="0.25">
      <c r="A258" s="156" t="s">
        <v>3793</v>
      </c>
      <c r="B258" s="370" t="s">
        <v>4927</v>
      </c>
      <c r="C258" s="12" t="s">
        <v>3533</v>
      </c>
      <c r="D258" s="3598">
        <v>91.62</v>
      </c>
    </row>
    <row r="259" spans="1:4" x14ac:dyDescent="0.25">
      <c r="A259" s="156" t="s">
        <v>3644</v>
      </c>
      <c r="B259" s="370" t="s">
        <v>4928</v>
      </c>
      <c r="C259" s="12" t="s">
        <v>3645</v>
      </c>
      <c r="D259" s="3598">
        <v>43.86</v>
      </c>
    </row>
    <row r="260" spans="1:4" x14ac:dyDescent="0.25">
      <c r="A260" s="156" t="s">
        <v>3646</v>
      </c>
      <c r="B260" s="370" t="s">
        <v>4929</v>
      </c>
      <c r="C260" s="12" t="s">
        <v>2756</v>
      </c>
      <c r="D260" s="3598">
        <v>9260</v>
      </c>
    </row>
    <row r="261" spans="1:4" x14ac:dyDescent="0.25">
      <c r="A261" s="156" t="s">
        <v>4143</v>
      </c>
      <c r="B261" s="370" t="s">
        <v>4930</v>
      </c>
      <c r="C261" s="12" t="s">
        <v>4144</v>
      </c>
      <c r="D261" s="3598">
        <v>3.4660000000000002</v>
      </c>
    </row>
    <row r="262" spans="1:4" x14ac:dyDescent="0.25">
      <c r="A262" s="156" t="s">
        <v>139</v>
      </c>
      <c r="B262" s="370" t="s">
        <v>4931</v>
      </c>
      <c r="C262" s="12" t="s">
        <v>1776</v>
      </c>
      <c r="D262" s="3598">
        <v>5544</v>
      </c>
    </row>
    <row r="263" spans="1:4" x14ac:dyDescent="0.25">
      <c r="A263" s="156" t="s">
        <v>140</v>
      </c>
      <c r="B263" s="370" t="s">
        <v>4932</v>
      </c>
      <c r="C263" s="12" t="s">
        <v>1777</v>
      </c>
      <c r="D263" s="3598">
        <v>51.62</v>
      </c>
    </row>
    <row r="264" spans="1:4" x14ac:dyDescent="0.25">
      <c r="A264" s="156" t="s">
        <v>4515</v>
      </c>
      <c r="B264" s="370" t="s">
        <v>4933</v>
      </c>
      <c r="C264" s="12" t="s">
        <v>1778</v>
      </c>
      <c r="D264" s="3598">
        <v>943.6</v>
      </c>
    </row>
    <row r="265" spans="1:4" x14ac:dyDescent="0.25">
      <c r="A265" s="156" t="s">
        <v>3319</v>
      </c>
      <c r="B265" s="370" t="s">
        <v>4934</v>
      </c>
      <c r="C265" s="12" t="s">
        <v>1779</v>
      </c>
      <c r="D265" s="3598">
        <v>89.34</v>
      </c>
    </row>
    <row r="266" spans="1:4" x14ac:dyDescent="0.25">
      <c r="A266" s="156" t="s">
        <v>3320</v>
      </c>
      <c r="B266" s="370" t="s">
        <v>4935</v>
      </c>
      <c r="C266" s="12" t="s">
        <v>4093</v>
      </c>
      <c r="D266" s="3598">
        <v>56.46</v>
      </c>
    </row>
    <row r="267" spans="1:4" x14ac:dyDescent="0.25">
      <c r="A267" s="156" t="s">
        <v>3321</v>
      </c>
      <c r="B267" s="370" t="s">
        <v>4936</v>
      </c>
      <c r="C267" s="12" t="s">
        <v>1780</v>
      </c>
      <c r="D267" s="3598">
        <v>2102</v>
      </c>
    </row>
    <row r="268" spans="1:4" x14ac:dyDescent="0.25">
      <c r="A268" s="156" t="s">
        <v>3869</v>
      </c>
      <c r="B268" s="370" t="s">
        <v>4937</v>
      </c>
      <c r="C268" s="12" t="s">
        <v>1984</v>
      </c>
      <c r="D268" s="3598">
        <v>67.25</v>
      </c>
    </row>
    <row r="269" spans="1:4" x14ac:dyDescent="0.25">
      <c r="A269" s="156" t="s">
        <v>1044</v>
      </c>
      <c r="B269" s="370" t="s">
        <v>4938</v>
      </c>
      <c r="C269" s="12" t="s">
        <v>1985</v>
      </c>
      <c r="D269" s="3598">
        <v>93.44</v>
      </c>
    </row>
    <row r="270" spans="1:4" x14ac:dyDescent="0.25">
      <c r="A270" s="156" t="s">
        <v>4442</v>
      </c>
      <c r="B270" s="370" t="s">
        <v>4939</v>
      </c>
      <c r="C270" s="12" t="s">
        <v>1986</v>
      </c>
      <c r="D270" s="3598">
        <v>4494.5</v>
      </c>
    </row>
    <row r="271" spans="1:4" x14ac:dyDescent="0.25">
      <c r="A271" s="156" t="s">
        <v>6701</v>
      </c>
      <c r="B271" s="370" t="s">
        <v>4940</v>
      </c>
      <c r="C271" s="12" t="s">
        <v>6700</v>
      </c>
      <c r="D271" s="3598">
        <v>1727.5</v>
      </c>
    </row>
    <row r="272" spans="1:4" x14ac:dyDescent="0.25">
      <c r="A272" s="156" t="s">
        <v>434</v>
      </c>
      <c r="B272" s="370" t="s">
        <v>7746</v>
      </c>
      <c r="C272" s="12" t="s">
        <v>7745</v>
      </c>
      <c r="D272" s="3598">
        <v>27.43</v>
      </c>
    </row>
    <row r="273" spans="1:4" x14ac:dyDescent="0.25">
      <c r="A273" s="156" t="s">
        <v>4516</v>
      </c>
      <c r="B273" s="370" t="s">
        <v>4941</v>
      </c>
      <c r="C273" s="12" t="s">
        <v>482</v>
      </c>
      <c r="D273" s="3598">
        <v>215.64</v>
      </c>
    </row>
    <row r="274" spans="1:4" x14ac:dyDescent="0.25">
      <c r="A274" s="156" t="s">
        <v>3548</v>
      </c>
      <c r="B274" s="370" t="s">
        <v>4942</v>
      </c>
      <c r="C274" s="12" t="s">
        <v>3549</v>
      </c>
      <c r="D274" s="3598">
        <v>18.66</v>
      </c>
    </row>
    <row r="275" spans="1:4" x14ac:dyDescent="0.25">
      <c r="A275" s="156" t="s">
        <v>341</v>
      </c>
      <c r="B275" s="370" t="s">
        <v>4943</v>
      </c>
      <c r="C275" s="12" t="s">
        <v>342</v>
      </c>
      <c r="D275" s="3598">
        <v>2.86</v>
      </c>
    </row>
    <row r="276" spans="1:4" x14ac:dyDescent="0.25">
      <c r="A276" s="156" t="s">
        <v>343</v>
      </c>
      <c r="B276" s="370" t="s">
        <v>4944</v>
      </c>
      <c r="C276" s="12" t="s">
        <v>3451</v>
      </c>
      <c r="D276" s="3598">
        <v>3.23</v>
      </c>
    </row>
    <row r="277" spans="1:4" x14ac:dyDescent="0.25">
      <c r="A277" s="156" t="s">
        <v>3452</v>
      </c>
      <c r="B277" s="370" t="s">
        <v>4945</v>
      </c>
      <c r="C277" s="12" t="s">
        <v>3453</v>
      </c>
      <c r="D277" s="3598">
        <v>8.89</v>
      </c>
    </row>
    <row r="278" spans="1:4" x14ac:dyDescent="0.25">
      <c r="A278" s="156" t="s">
        <v>4221</v>
      </c>
      <c r="B278" s="370" t="s">
        <v>4946</v>
      </c>
      <c r="C278" s="12" t="s">
        <v>425</v>
      </c>
      <c r="D278" s="3598">
        <v>37.799999999999997</v>
      </c>
    </row>
    <row r="279" spans="1:4" x14ac:dyDescent="0.25">
      <c r="A279" s="156" t="s">
        <v>426</v>
      </c>
      <c r="B279" s="370" t="s">
        <v>4947</v>
      </c>
      <c r="C279" s="12" t="s">
        <v>427</v>
      </c>
      <c r="D279" s="3598">
        <v>9.39</v>
      </c>
    </row>
    <row r="280" spans="1:4" x14ac:dyDescent="0.25">
      <c r="A280" s="156" t="s">
        <v>428</v>
      </c>
      <c r="B280" s="370" t="s">
        <v>4948</v>
      </c>
      <c r="C280" s="12" t="s">
        <v>1909</v>
      </c>
      <c r="D280" s="3598">
        <v>66.900000000000006</v>
      </c>
    </row>
    <row r="281" spans="1:4" x14ac:dyDescent="0.25">
      <c r="A281" s="156" t="s">
        <v>1910</v>
      </c>
      <c r="B281" s="370" t="s">
        <v>4949</v>
      </c>
      <c r="C281" s="12" t="s">
        <v>1911</v>
      </c>
      <c r="D281" s="3598">
        <v>4.1900000000000004</v>
      </c>
    </row>
    <row r="282" spans="1:4" x14ac:dyDescent="0.25">
      <c r="A282" s="156" t="s">
        <v>667</v>
      </c>
      <c r="B282" s="370" t="s">
        <v>4950</v>
      </c>
      <c r="C282" s="12" t="s">
        <v>668</v>
      </c>
      <c r="D282" s="3598">
        <v>237000</v>
      </c>
    </row>
    <row r="283" spans="1:4" x14ac:dyDescent="0.25">
      <c r="A283" s="156" t="s">
        <v>669</v>
      </c>
      <c r="B283" s="370" t="s">
        <v>4951</v>
      </c>
      <c r="C283" s="12" t="s">
        <v>670</v>
      </c>
      <c r="D283" s="3598">
        <v>3.94</v>
      </c>
    </row>
    <row r="284" spans="1:4" x14ac:dyDescent="0.25">
      <c r="A284" s="156" t="s">
        <v>4278</v>
      </c>
      <c r="B284" s="370" t="s">
        <v>4952</v>
      </c>
      <c r="C284" s="12" t="s">
        <v>4279</v>
      </c>
      <c r="D284" s="3598">
        <v>26.41</v>
      </c>
    </row>
    <row r="285" spans="1:4" x14ac:dyDescent="0.25">
      <c r="A285" s="156" t="s">
        <v>4280</v>
      </c>
      <c r="B285" s="370" t="s">
        <v>4953</v>
      </c>
      <c r="C285" s="12" t="s">
        <v>4281</v>
      </c>
      <c r="D285" s="3598">
        <v>96800</v>
      </c>
    </row>
    <row r="286" spans="1:4" x14ac:dyDescent="0.25">
      <c r="A286" s="156" t="s">
        <v>4282</v>
      </c>
      <c r="B286" s="370" t="s">
        <v>4954</v>
      </c>
      <c r="C286" s="12" t="s">
        <v>2054</v>
      </c>
      <c r="D286" s="3598">
        <v>6.69</v>
      </c>
    </row>
    <row r="287" spans="1:4" x14ac:dyDescent="0.25">
      <c r="A287" s="156" t="s">
        <v>2055</v>
      </c>
      <c r="B287" s="370" t="s">
        <v>4955</v>
      </c>
      <c r="C287" s="12" t="s">
        <v>3939</v>
      </c>
      <c r="D287" s="3598">
        <v>15.21</v>
      </c>
    </row>
    <row r="288" spans="1:4" x14ac:dyDescent="0.25">
      <c r="A288" s="156" t="s">
        <v>3940</v>
      </c>
      <c r="B288" s="370" t="s">
        <v>4956</v>
      </c>
      <c r="C288" s="12" t="s">
        <v>3941</v>
      </c>
      <c r="D288" s="3598">
        <v>33.049999999999997</v>
      </c>
    </row>
    <row r="289" spans="1:4" x14ac:dyDescent="0.25">
      <c r="A289" s="156" t="s">
        <v>3942</v>
      </c>
      <c r="B289" s="370" t="s">
        <v>4957</v>
      </c>
      <c r="C289" s="12" t="s">
        <v>3943</v>
      </c>
      <c r="D289" s="3598">
        <v>421000</v>
      </c>
    </row>
    <row r="290" spans="1:4" x14ac:dyDescent="0.25">
      <c r="A290" s="156" t="s">
        <v>291</v>
      </c>
      <c r="B290" s="370" t="s">
        <v>4958</v>
      </c>
      <c r="C290" s="12" t="s">
        <v>292</v>
      </c>
      <c r="D290" s="3598">
        <v>6.4</v>
      </c>
    </row>
    <row r="291" spans="1:4" x14ac:dyDescent="0.25">
      <c r="A291" s="156" t="s">
        <v>597</v>
      </c>
      <c r="B291" s="370" t="s">
        <v>4959</v>
      </c>
      <c r="C291" s="12" t="s">
        <v>598</v>
      </c>
      <c r="D291" s="3598">
        <v>18524</v>
      </c>
    </row>
    <row r="292" spans="1:4" x14ac:dyDescent="0.25">
      <c r="A292" s="156" t="s">
        <v>4601</v>
      </c>
      <c r="B292" s="370" t="s">
        <v>6736</v>
      </c>
      <c r="C292" s="12" t="s">
        <v>6271</v>
      </c>
      <c r="D292" s="3598">
        <v>190</v>
      </c>
    </row>
    <row r="293" spans="1:4" x14ac:dyDescent="0.25">
      <c r="A293" s="156" t="s">
        <v>951</v>
      </c>
      <c r="B293" s="370" t="s">
        <v>4960</v>
      </c>
      <c r="C293" s="12" t="s">
        <v>952</v>
      </c>
      <c r="D293" s="3598">
        <v>4501</v>
      </c>
    </row>
    <row r="294" spans="1:4" x14ac:dyDescent="0.25">
      <c r="A294" s="156" t="s">
        <v>67</v>
      </c>
      <c r="B294" s="370" t="s">
        <v>4961</v>
      </c>
      <c r="C294" s="12" t="s">
        <v>68</v>
      </c>
      <c r="D294" s="3598">
        <v>66.900000000000006</v>
      </c>
    </row>
    <row r="295" spans="1:4" x14ac:dyDescent="0.25">
      <c r="A295" s="156" t="s">
        <v>69</v>
      </c>
      <c r="B295" s="370" t="s">
        <v>4962</v>
      </c>
      <c r="C295" s="12" t="s">
        <v>70</v>
      </c>
      <c r="D295" s="3598">
        <v>8242</v>
      </c>
    </row>
    <row r="296" spans="1:4" x14ac:dyDescent="0.25">
      <c r="A296" s="156" t="s">
        <v>71</v>
      </c>
      <c r="B296" s="370" t="s">
        <v>4963</v>
      </c>
      <c r="C296" s="12" t="s">
        <v>72</v>
      </c>
      <c r="D296" s="3598">
        <v>9.07</v>
      </c>
    </row>
    <row r="297" spans="1:4" x14ac:dyDescent="0.25">
      <c r="A297" s="156" t="s">
        <v>1553</v>
      </c>
      <c r="B297" s="370" t="s">
        <v>4964</v>
      </c>
      <c r="C297" s="12" t="s">
        <v>1554</v>
      </c>
      <c r="D297" s="3598">
        <v>481.57</v>
      </c>
    </row>
    <row r="298" spans="1:4" x14ac:dyDescent="0.25">
      <c r="A298" s="156" t="s">
        <v>7524</v>
      </c>
      <c r="B298" s="370" t="s">
        <v>4965</v>
      </c>
      <c r="C298" s="12" t="s">
        <v>1556</v>
      </c>
      <c r="D298" s="3598">
        <v>1438.5</v>
      </c>
    </row>
    <row r="299" spans="1:4" x14ac:dyDescent="0.25">
      <c r="A299" s="156" t="s">
        <v>816</v>
      </c>
      <c r="B299" s="370" t="s">
        <v>4966</v>
      </c>
      <c r="C299" s="12" t="s">
        <v>817</v>
      </c>
      <c r="D299" s="3598">
        <v>281.95</v>
      </c>
    </row>
    <row r="300" spans="1:4" x14ac:dyDescent="0.25">
      <c r="A300" s="156" t="s">
        <v>818</v>
      </c>
      <c r="B300" s="370" t="s">
        <v>4967</v>
      </c>
      <c r="C300" s="12" t="s">
        <v>2421</v>
      </c>
      <c r="D300" s="3598">
        <v>101.05</v>
      </c>
    </row>
    <row r="301" spans="1:4" x14ac:dyDescent="0.25">
      <c r="A301" s="156" t="s">
        <v>2056</v>
      </c>
      <c r="B301" s="370" t="s">
        <v>4968</v>
      </c>
      <c r="C301" s="12" t="s">
        <v>2057</v>
      </c>
      <c r="D301" s="3598">
        <v>14.13</v>
      </c>
    </row>
    <row r="302" spans="1:4" x14ac:dyDescent="0.25">
      <c r="A302" s="156" t="s">
        <v>3288</v>
      </c>
      <c r="B302" s="370" t="s">
        <v>4969</v>
      </c>
      <c r="C302" s="12" t="s">
        <v>266</v>
      </c>
      <c r="D302" s="3598">
        <v>2323</v>
      </c>
    </row>
    <row r="303" spans="1:4" x14ac:dyDescent="0.25">
      <c r="A303" s="156" t="s">
        <v>1238</v>
      </c>
      <c r="B303" s="370" t="s">
        <v>4970</v>
      </c>
      <c r="C303" s="12" t="s">
        <v>267</v>
      </c>
      <c r="D303" s="3598">
        <v>13.81</v>
      </c>
    </row>
    <row r="304" spans="1:4" x14ac:dyDescent="0.25">
      <c r="A304" s="156" t="s">
        <v>1239</v>
      </c>
      <c r="B304" s="370" t="s">
        <v>8890</v>
      </c>
      <c r="C304" s="12" t="s">
        <v>8891</v>
      </c>
      <c r="D304" s="3598">
        <v>551.4</v>
      </c>
    </row>
    <row r="305" spans="1:4" x14ac:dyDescent="0.25">
      <c r="A305" s="156" t="s">
        <v>3566</v>
      </c>
      <c r="B305" s="370" t="s">
        <v>4971</v>
      </c>
      <c r="C305" s="12" t="s">
        <v>4382</v>
      </c>
      <c r="D305" s="3598">
        <v>145.19999999999999</v>
      </c>
    </row>
    <row r="306" spans="1:4" x14ac:dyDescent="0.25">
      <c r="A306" s="12" t="s">
        <v>3850</v>
      </c>
      <c r="B306" s="370" t="s">
        <v>4972</v>
      </c>
      <c r="C306" s="12" t="s">
        <v>8253</v>
      </c>
      <c r="D306" s="3598">
        <v>44.45</v>
      </c>
    </row>
    <row r="307" spans="1:4" x14ac:dyDescent="0.25">
      <c r="A307" s="12" t="s">
        <v>1036</v>
      </c>
      <c r="B307" s="370" t="s">
        <v>4973</v>
      </c>
      <c r="C307" s="12" t="s">
        <v>1066</v>
      </c>
      <c r="D307" s="3598">
        <v>85.65</v>
      </c>
    </row>
    <row r="308" spans="1:4" x14ac:dyDescent="0.25">
      <c r="A308" s="12" t="s">
        <v>1038</v>
      </c>
      <c r="B308" s="370" t="s">
        <v>4974</v>
      </c>
      <c r="C308" s="12" t="s">
        <v>1067</v>
      </c>
      <c r="D308" s="3598">
        <v>5.93</v>
      </c>
    </row>
    <row r="309" spans="1:4" x14ac:dyDescent="0.25">
      <c r="A309" s="12" t="s">
        <v>1040</v>
      </c>
      <c r="B309" s="370" t="s">
        <v>4975</v>
      </c>
      <c r="C309" s="12" t="s">
        <v>5543</v>
      </c>
      <c r="D309" s="3598">
        <v>180</v>
      </c>
    </row>
    <row r="310" spans="1:4" x14ac:dyDescent="0.25">
      <c r="A310" s="12" t="s">
        <v>1041</v>
      </c>
      <c r="B310" s="370" t="s">
        <v>4976</v>
      </c>
      <c r="C310" s="12" t="s">
        <v>3541</v>
      </c>
      <c r="D310" s="3598">
        <v>4.33</v>
      </c>
    </row>
    <row r="311" spans="1:4" x14ac:dyDescent="0.25">
      <c r="A311" s="12" t="s">
        <v>3664</v>
      </c>
      <c r="B311" s="370" t="s">
        <v>4977</v>
      </c>
      <c r="C311" s="12" t="s">
        <v>3543</v>
      </c>
      <c r="D311" s="3598">
        <v>64.400000000000006</v>
      </c>
    </row>
    <row r="312" spans="1:4" x14ac:dyDescent="0.25">
      <c r="A312" s="12" t="s">
        <v>3665</v>
      </c>
      <c r="B312" s="370" t="s">
        <v>7022</v>
      </c>
      <c r="C312" s="12" t="s">
        <v>7021</v>
      </c>
      <c r="D312" s="3598">
        <v>21.67</v>
      </c>
    </row>
    <row r="313" spans="1:4" x14ac:dyDescent="0.25">
      <c r="A313" s="12" t="s">
        <v>3626</v>
      </c>
      <c r="B313" s="370" t="s">
        <v>7758</v>
      </c>
      <c r="C313" s="12" t="s">
        <v>7752</v>
      </c>
      <c r="D313" s="3598">
        <v>81.75</v>
      </c>
    </row>
    <row r="314" spans="1:4" x14ac:dyDescent="0.25">
      <c r="A314" s="12" t="s">
        <v>2870</v>
      </c>
      <c r="B314" s="370" t="s">
        <v>4978</v>
      </c>
      <c r="C314" s="12" t="s">
        <v>3544</v>
      </c>
      <c r="D314" s="3598">
        <v>8.69</v>
      </c>
    </row>
    <row r="315" spans="1:4" x14ac:dyDescent="0.25">
      <c r="A315" s="12" t="s">
        <v>2872</v>
      </c>
      <c r="B315" s="370" t="s">
        <v>4979</v>
      </c>
      <c r="C315" s="12" t="s">
        <v>3545</v>
      </c>
      <c r="D315" s="3598">
        <v>68.400000000000006</v>
      </c>
    </row>
    <row r="316" spans="1:4" x14ac:dyDescent="0.25">
      <c r="A316" s="12" t="s">
        <v>2873</v>
      </c>
      <c r="B316" s="370" t="s">
        <v>4980</v>
      </c>
      <c r="C316" s="12" t="s">
        <v>3546</v>
      </c>
      <c r="D316" s="3598">
        <v>82.12</v>
      </c>
    </row>
    <row r="317" spans="1:4" x14ac:dyDescent="0.25">
      <c r="A317" s="12" t="s">
        <v>2874</v>
      </c>
      <c r="B317" s="370" t="s">
        <v>9059</v>
      </c>
      <c r="C317" s="12" t="s">
        <v>9060</v>
      </c>
      <c r="D317" s="3598">
        <v>53.75</v>
      </c>
    </row>
    <row r="318" spans="1:4" x14ac:dyDescent="0.25">
      <c r="A318" s="12" t="s">
        <v>4568</v>
      </c>
      <c r="B318" s="370" t="s">
        <v>4981</v>
      </c>
      <c r="C318" s="12" t="s">
        <v>4569</v>
      </c>
      <c r="D318" s="3598">
        <v>21.28</v>
      </c>
    </row>
    <row r="319" spans="1:4" x14ac:dyDescent="0.25">
      <c r="A319" s="12" t="s">
        <v>1093</v>
      </c>
      <c r="B319" s="370" t="s">
        <v>4982</v>
      </c>
      <c r="C319" s="12" t="s">
        <v>2039</v>
      </c>
      <c r="D319" s="3598">
        <v>496.6</v>
      </c>
    </row>
    <row r="320" spans="1:4" x14ac:dyDescent="0.25">
      <c r="A320" s="12" t="s">
        <v>494</v>
      </c>
      <c r="B320" s="370" t="s">
        <v>4983</v>
      </c>
      <c r="C320" s="12" t="s">
        <v>3086</v>
      </c>
      <c r="D320" s="3598">
        <v>769</v>
      </c>
    </row>
    <row r="321" spans="1:4" x14ac:dyDescent="0.25">
      <c r="A321" s="12" t="s">
        <v>3269</v>
      </c>
      <c r="B321" s="370" t="s">
        <v>9278</v>
      </c>
      <c r="C321" s="370" t="s">
        <v>9277</v>
      </c>
      <c r="D321" s="3598">
        <v>20.100000000000001</v>
      </c>
    </row>
    <row r="322" spans="1:4" x14ac:dyDescent="0.25">
      <c r="A322" s="12" t="s">
        <v>247</v>
      </c>
      <c r="B322" s="370" t="s">
        <v>4984</v>
      </c>
      <c r="C322" s="12" t="s">
        <v>3640</v>
      </c>
      <c r="D322" s="3598">
        <v>3483</v>
      </c>
    </row>
    <row r="323" spans="1:4" x14ac:dyDescent="0.25">
      <c r="A323" s="12" t="s">
        <v>3641</v>
      </c>
      <c r="B323" s="370" t="s">
        <v>4985</v>
      </c>
      <c r="C323" s="12" t="s">
        <v>3642</v>
      </c>
      <c r="D323" s="3598">
        <v>148.63</v>
      </c>
    </row>
    <row r="324" spans="1:4" x14ac:dyDescent="0.25">
      <c r="A324" s="12" t="s">
        <v>2293</v>
      </c>
      <c r="B324" s="370" t="s">
        <v>4986</v>
      </c>
      <c r="C324" s="12" t="s">
        <v>109</v>
      </c>
      <c r="D324" s="3598">
        <v>206.23</v>
      </c>
    </row>
    <row r="325" spans="1:4" x14ac:dyDescent="0.25">
      <c r="A325" s="12" t="s">
        <v>4332</v>
      </c>
      <c r="B325" s="370" t="s">
        <v>4987</v>
      </c>
      <c r="C325" s="12" t="s">
        <v>4334</v>
      </c>
      <c r="D325" s="3598">
        <v>127.65</v>
      </c>
    </row>
    <row r="326" spans="1:4" x14ac:dyDescent="0.25">
      <c r="A326" s="12" t="s">
        <v>4336</v>
      </c>
      <c r="B326" s="370" t="s">
        <v>4988</v>
      </c>
      <c r="C326" s="12" t="s">
        <v>4337</v>
      </c>
      <c r="D326" s="3598">
        <v>168.8</v>
      </c>
    </row>
    <row r="327" spans="1:4" x14ac:dyDescent="0.25">
      <c r="A327" s="133" t="s">
        <v>4338</v>
      </c>
      <c r="B327" s="1760" t="s">
        <v>7230</v>
      </c>
      <c r="C327" s="12" t="s">
        <v>7229</v>
      </c>
      <c r="D327" s="3598">
        <v>15.51</v>
      </c>
    </row>
    <row r="328" spans="1:4" x14ac:dyDescent="0.25">
      <c r="A328" s="416" t="s">
        <v>4340</v>
      </c>
      <c r="B328" s="3603" t="s">
        <v>4989</v>
      </c>
      <c r="C328" s="416" t="s">
        <v>3203</v>
      </c>
      <c r="D328" s="3602">
        <v>1.792</v>
      </c>
    </row>
    <row r="329" spans="1:4" x14ac:dyDescent="0.25">
      <c r="A329" s="12" t="s">
        <v>4051</v>
      </c>
      <c r="B329" s="12" t="s">
        <v>4990</v>
      </c>
      <c r="C329" s="12" t="s">
        <v>2581</v>
      </c>
      <c r="D329" s="3598">
        <v>16.28</v>
      </c>
    </row>
    <row r="330" spans="1:4" x14ac:dyDescent="0.25">
      <c r="A330" s="12" t="s">
        <v>2582</v>
      </c>
      <c r="B330" s="370" t="s">
        <v>9581</v>
      </c>
      <c r="C330" s="12" t="s">
        <v>9582</v>
      </c>
      <c r="D330" s="3598">
        <v>2275</v>
      </c>
    </row>
    <row r="331" spans="1:4" x14ac:dyDescent="0.25">
      <c r="A331" s="12" t="s">
        <v>2314</v>
      </c>
      <c r="B331" s="370" t="s">
        <v>4991</v>
      </c>
      <c r="C331" s="12" t="s">
        <v>2315</v>
      </c>
      <c r="D331" s="3598">
        <v>3.69</v>
      </c>
    </row>
    <row r="332" spans="1:4" x14ac:dyDescent="0.25">
      <c r="A332" s="12" t="s">
        <v>2316</v>
      </c>
      <c r="B332" s="370" t="s">
        <v>4992</v>
      </c>
      <c r="C332" s="12" t="s">
        <v>2317</v>
      </c>
      <c r="D332" s="3598">
        <v>0.77</v>
      </c>
    </row>
    <row r="333" spans="1:4" x14ac:dyDescent="0.25">
      <c r="A333" s="12" t="s">
        <v>4048</v>
      </c>
      <c r="B333" s="370" t="s">
        <v>4993</v>
      </c>
      <c r="C333" s="12" t="s">
        <v>4052</v>
      </c>
      <c r="D333" s="3598">
        <v>4.7699999999999996</v>
      </c>
    </row>
    <row r="334" spans="1:4" x14ac:dyDescent="0.25">
      <c r="A334" s="12" t="s">
        <v>4050</v>
      </c>
      <c r="B334" s="370" t="s">
        <v>4994</v>
      </c>
      <c r="C334" s="12" t="s">
        <v>4049</v>
      </c>
      <c r="D334" s="3598">
        <v>3.87</v>
      </c>
    </row>
    <row r="335" spans="1:4" x14ac:dyDescent="0.25">
      <c r="A335" s="12" t="s">
        <v>4053</v>
      </c>
      <c r="B335" s="370" t="s">
        <v>4995</v>
      </c>
      <c r="C335" s="12" t="s">
        <v>4054</v>
      </c>
      <c r="D335" s="3598">
        <v>18.260000000000002</v>
      </c>
    </row>
    <row r="336" spans="1:4" x14ac:dyDescent="0.25">
      <c r="A336" s="12" t="s">
        <v>4055</v>
      </c>
      <c r="B336" s="370" t="s">
        <v>4996</v>
      </c>
      <c r="C336" s="12" t="s">
        <v>4056</v>
      </c>
      <c r="D336" s="3598">
        <v>62.35</v>
      </c>
    </row>
    <row r="337" spans="1:4" x14ac:dyDescent="0.25">
      <c r="A337" s="12" t="s">
        <v>4057</v>
      </c>
      <c r="B337" s="370" t="s">
        <v>4997</v>
      </c>
      <c r="C337" s="12" t="s">
        <v>4058</v>
      </c>
      <c r="D337" s="3598">
        <v>1.37</v>
      </c>
    </row>
    <row r="338" spans="1:4" x14ac:dyDescent="0.25">
      <c r="A338" s="12" t="s">
        <v>4059</v>
      </c>
      <c r="B338" s="370" t="s">
        <v>4998</v>
      </c>
      <c r="C338" s="12" t="s">
        <v>4060</v>
      </c>
      <c r="D338" s="3598">
        <v>17520</v>
      </c>
    </row>
    <row r="339" spans="1:4" x14ac:dyDescent="0.25">
      <c r="A339" s="12" t="s">
        <v>4061</v>
      </c>
      <c r="B339" s="370" t="s">
        <v>4999</v>
      </c>
      <c r="C339" s="12" t="s">
        <v>632</v>
      </c>
      <c r="D339" s="3598">
        <v>45.8</v>
      </c>
    </row>
    <row r="340" spans="1:4" x14ac:dyDescent="0.25">
      <c r="A340" s="12" t="s">
        <v>2531</v>
      </c>
      <c r="B340" s="370" t="s">
        <v>5000</v>
      </c>
      <c r="C340" s="12" t="s">
        <v>2532</v>
      </c>
      <c r="D340" s="3598">
        <v>4.6100000000000003</v>
      </c>
    </row>
    <row r="341" spans="1:4" x14ac:dyDescent="0.25">
      <c r="A341" s="12" t="s">
        <v>2257</v>
      </c>
      <c r="B341" s="370" t="s">
        <v>5001</v>
      </c>
      <c r="C341" s="12" t="s">
        <v>4172</v>
      </c>
      <c r="D341" s="3598">
        <v>120200</v>
      </c>
    </row>
    <row r="342" spans="1:4" x14ac:dyDescent="0.25">
      <c r="A342" s="12" t="s">
        <v>4349</v>
      </c>
      <c r="B342" s="370" t="s">
        <v>5002</v>
      </c>
      <c r="C342" s="12" t="s">
        <v>1578</v>
      </c>
      <c r="D342" s="3598">
        <v>8.01</v>
      </c>
    </row>
    <row r="343" spans="1:4" x14ac:dyDescent="0.25">
      <c r="A343" s="12" t="s">
        <v>1579</v>
      </c>
      <c r="B343" s="370" t="s">
        <v>5003</v>
      </c>
      <c r="C343" s="12" t="s">
        <v>1580</v>
      </c>
      <c r="D343" s="3598">
        <v>22100</v>
      </c>
    </row>
    <row r="344" spans="1:4" x14ac:dyDescent="0.25">
      <c r="A344" s="12" t="s">
        <v>1581</v>
      </c>
      <c r="B344" s="370" t="s">
        <v>5004</v>
      </c>
      <c r="C344" s="12" t="s">
        <v>1582</v>
      </c>
      <c r="D344" s="3598">
        <v>25.8</v>
      </c>
    </row>
    <row r="345" spans="1:4" x14ac:dyDescent="0.25">
      <c r="A345" s="12" t="s">
        <v>1583</v>
      </c>
      <c r="B345" s="370" t="s">
        <v>5005</v>
      </c>
      <c r="C345" s="12" t="s">
        <v>1584</v>
      </c>
      <c r="D345" s="3598">
        <v>5.4</v>
      </c>
    </row>
    <row r="346" spans="1:4" x14ac:dyDescent="0.25">
      <c r="A346" s="12" t="s">
        <v>4173</v>
      </c>
      <c r="B346" s="370" t="s">
        <v>5006</v>
      </c>
      <c r="C346" s="12" t="s">
        <v>4174</v>
      </c>
      <c r="D346" s="3598">
        <v>5.0199999999999996</v>
      </c>
    </row>
    <row r="347" spans="1:4" ht="14.25" customHeight="1" x14ac:dyDescent="0.25">
      <c r="A347" s="12" t="s">
        <v>4034</v>
      </c>
      <c r="B347" s="370" t="s">
        <v>8150</v>
      </c>
      <c r="C347" s="12" t="s">
        <v>8151</v>
      </c>
      <c r="D347" s="3598">
        <v>27.72</v>
      </c>
    </row>
    <row r="348" spans="1:4" x14ac:dyDescent="0.25">
      <c r="A348" s="12" t="s">
        <v>1601</v>
      </c>
      <c r="B348" s="370" t="s">
        <v>5007</v>
      </c>
      <c r="C348" s="12" t="s">
        <v>1600</v>
      </c>
      <c r="D348" s="3598">
        <v>205.98</v>
      </c>
    </row>
    <row r="349" spans="1:4" x14ac:dyDescent="0.25">
      <c r="A349" s="416" t="s">
        <v>1602</v>
      </c>
      <c r="B349" s="3603" t="s">
        <v>5008</v>
      </c>
      <c r="C349" s="416" t="s">
        <v>100</v>
      </c>
      <c r="D349" s="3598">
        <v>137.52000000000001</v>
      </c>
    </row>
    <row r="350" spans="1:4" x14ac:dyDescent="0.25">
      <c r="A350" s="12" t="s">
        <v>54</v>
      </c>
      <c r="B350" s="370" t="s">
        <v>7145</v>
      </c>
      <c r="C350" s="12" t="s">
        <v>6741</v>
      </c>
      <c r="D350" s="3598">
        <v>15.44</v>
      </c>
    </row>
    <row r="351" spans="1:4" x14ac:dyDescent="0.25">
      <c r="A351" s="1760" t="s">
        <v>102</v>
      </c>
      <c r="B351" s="370" t="s">
        <v>5009</v>
      </c>
      <c r="C351" s="12" t="s">
        <v>101</v>
      </c>
      <c r="D351" s="3598">
        <v>684.2</v>
      </c>
    </row>
    <row r="352" spans="1:4" x14ac:dyDescent="0.25">
      <c r="A352" s="12" t="s">
        <v>6770</v>
      </c>
      <c r="B352" s="370" t="s">
        <v>5010</v>
      </c>
      <c r="C352" s="12" t="s">
        <v>105</v>
      </c>
      <c r="D352" s="3598">
        <v>40.68</v>
      </c>
    </row>
    <row r="353" spans="1:4" x14ac:dyDescent="0.25">
      <c r="A353" s="12" t="s">
        <v>106</v>
      </c>
      <c r="B353" s="370" t="s">
        <v>5011</v>
      </c>
      <c r="C353" s="12" t="s">
        <v>107</v>
      </c>
      <c r="D353" s="3598">
        <v>3975.5</v>
      </c>
    </row>
    <row r="354" spans="1:4" x14ac:dyDescent="0.25">
      <c r="A354" s="12" t="s">
        <v>3526</v>
      </c>
      <c r="B354" s="370" t="s">
        <v>5012</v>
      </c>
      <c r="C354" s="12" t="s">
        <v>3527</v>
      </c>
      <c r="D354" s="3598">
        <v>1535</v>
      </c>
    </row>
    <row r="355" spans="1:4" x14ac:dyDescent="0.25">
      <c r="A355" s="12" t="s">
        <v>3528</v>
      </c>
      <c r="B355" s="370" t="s">
        <v>5013</v>
      </c>
      <c r="C355" s="12" t="s">
        <v>3529</v>
      </c>
      <c r="D355" s="3598">
        <v>2988</v>
      </c>
    </row>
    <row r="356" spans="1:4" x14ac:dyDescent="0.25">
      <c r="A356" s="12" t="s">
        <v>702</v>
      </c>
      <c r="B356" s="370" t="s">
        <v>5014</v>
      </c>
      <c r="C356" s="12" t="s">
        <v>703</v>
      </c>
      <c r="D356" s="3598">
        <v>8832</v>
      </c>
    </row>
    <row r="357" spans="1:4" x14ac:dyDescent="0.25">
      <c r="A357" s="12" t="s">
        <v>1317</v>
      </c>
      <c r="B357" s="370" t="s">
        <v>5015</v>
      </c>
      <c r="C357" s="12" t="s">
        <v>1318</v>
      </c>
      <c r="D357" s="3598">
        <v>86.09</v>
      </c>
    </row>
    <row r="358" spans="1:4" x14ac:dyDescent="0.25">
      <c r="A358" s="12" t="s">
        <v>1319</v>
      </c>
      <c r="B358" s="370" t="s">
        <v>5016</v>
      </c>
      <c r="C358" s="12" t="s">
        <v>1320</v>
      </c>
      <c r="D358" s="3598">
        <v>90.81</v>
      </c>
    </row>
    <row r="359" spans="1:4" x14ac:dyDescent="0.25">
      <c r="A359" s="12" t="s">
        <v>1321</v>
      </c>
      <c r="B359" s="370" t="s">
        <v>5017</v>
      </c>
      <c r="C359" s="12" t="s">
        <v>1322</v>
      </c>
      <c r="D359" s="3598">
        <v>38.619999999999997</v>
      </c>
    </row>
    <row r="360" spans="1:4" x14ac:dyDescent="0.25">
      <c r="A360" s="12" t="s">
        <v>1323</v>
      </c>
      <c r="B360" s="370" t="s">
        <v>5018</v>
      </c>
      <c r="C360" s="12" t="s">
        <v>3920</v>
      </c>
      <c r="D360" s="3598">
        <v>66.78</v>
      </c>
    </row>
    <row r="361" spans="1:4" x14ac:dyDescent="0.25">
      <c r="A361" s="12" t="s">
        <v>3921</v>
      </c>
      <c r="B361" s="370" t="s">
        <v>5019</v>
      </c>
      <c r="C361" s="12" t="s">
        <v>3922</v>
      </c>
      <c r="D361" s="3598">
        <v>7.66</v>
      </c>
    </row>
    <row r="362" spans="1:4" x14ac:dyDescent="0.25">
      <c r="A362" s="12" t="s">
        <v>802</v>
      </c>
      <c r="B362" s="370" t="s">
        <v>5020</v>
      </c>
      <c r="C362" s="12" t="s">
        <v>803</v>
      </c>
      <c r="D362" s="3598">
        <v>19.690000000000001</v>
      </c>
    </row>
    <row r="363" spans="1:4" x14ac:dyDescent="0.25">
      <c r="A363" s="12" t="s">
        <v>805</v>
      </c>
      <c r="B363" s="370" t="s">
        <v>5021</v>
      </c>
      <c r="C363" s="12" t="s">
        <v>806</v>
      </c>
      <c r="D363" s="3598">
        <v>132.25</v>
      </c>
    </row>
    <row r="364" spans="1:4" x14ac:dyDescent="0.25">
      <c r="A364" s="12" t="s">
        <v>807</v>
      </c>
      <c r="B364" s="370" t="s">
        <v>5022</v>
      </c>
      <c r="C364" s="12" t="s">
        <v>808</v>
      </c>
      <c r="D364" s="3598">
        <v>46.03</v>
      </c>
    </row>
    <row r="365" spans="1:4" x14ac:dyDescent="0.25">
      <c r="A365" s="12" t="s">
        <v>809</v>
      </c>
      <c r="B365" s="370" t="s">
        <v>5023</v>
      </c>
      <c r="C365" s="12" t="s">
        <v>810</v>
      </c>
      <c r="D365" s="3598">
        <v>153.11000000000001</v>
      </c>
    </row>
    <row r="366" spans="1:4" x14ac:dyDescent="0.25">
      <c r="A366" s="12" t="s">
        <v>811</v>
      </c>
      <c r="B366" s="370" t="s">
        <v>5024</v>
      </c>
      <c r="C366" s="12" t="s">
        <v>812</v>
      </c>
      <c r="D366" s="3598">
        <v>57.29</v>
      </c>
    </row>
    <row r="367" spans="1:4" x14ac:dyDescent="0.25">
      <c r="A367" s="1363" t="s">
        <v>813</v>
      </c>
      <c r="B367" s="3604" t="s">
        <v>5025</v>
      </c>
      <c r="C367" s="1363" t="s">
        <v>2296</v>
      </c>
      <c r="D367" s="3598">
        <v>60.82</v>
      </c>
    </row>
    <row r="368" spans="1:4" x14ac:dyDescent="0.25">
      <c r="A368" s="12" t="s">
        <v>2297</v>
      </c>
      <c r="B368" s="370" t="s">
        <v>5026</v>
      </c>
      <c r="C368" s="12" t="s">
        <v>2298</v>
      </c>
      <c r="D368" s="3598">
        <v>55.5</v>
      </c>
    </row>
    <row r="369" spans="1:4" x14ac:dyDescent="0.25">
      <c r="A369" s="12" t="s">
        <v>366</v>
      </c>
      <c r="B369" s="370" t="s">
        <v>5027</v>
      </c>
      <c r="C369" s="12" t="s">
        <v>367</v>
      </c>
      <c r="D369" s="3598">
        <v>54.44</v>
      </c>
    </row>
    <row r="370" spans="1:4" x14ac:dyDescent="0.25">
      <c r="A370" s="12" t="s">
        <v>368</v>
      </c>
      <c r="B370" s="370" t="s">
        <v>7576</v>
      </c>
      <c r="C370" s="12" t="s">
        <v>7575</v>
      </c>
      <c r="D370" s="3598">
        <v>8.7639999999999993</v>
      </c>
    </row>
    <row r="371" spans="1:4" x14ac:dyDescent="0.25">
      <c r="A371" s="12" t="s">
        <v>2351</v>
      </c>
      <c r="B371" s="370" t="s">
        <v>5028</v>
      </c>
      <c r="C371" s="12" t="s">
        <v>2352</v>
      </c>
      <c r="D371" s="3598">
        <v>22.99</v>
      </c>
    </row>
    <row r="372" spans="1:4" x14ac:dyDescent="0.25">
      <c r="A372" s="12" t="s">
        <v>2353</v>
      </c>
      <c r="B372" s="370" t="s">
        <v>5029</v>
      </c>
      <c r="C372" s="12" t="s">
        <v>2354</v>
      </c>
      <c r="D372" s="3598">
        <v>395.2</v>
      </c>
    </row>
    <row r="373" spans="1:4" x14ac:dyDescent="0.25">
      <c r="A373" s="12" t="s">
        <v>1</v>
      </c>
      <c r="B373" s="370" t="s">
        <v>5030</v>
      </c>
      <c r="C373" s="12" t="s">
        <v>7</v>
      </c>
      <c r="D373" s="3598">
        <v>501.4</v>
      </c>
    </row>
    <row r="374" spans="1:4" x14ac:dyDescent="0.25">
      <c r="A374" s="416" t="s">
        <v>3</v>
      </c>
      <c r="B374" s="3603" t="s">
        <v>5031</v>
      </c>
      <c r="C374" s="416" t="s">
        <v>9</v>
      </c>
      <c r="D374" s="3598">
        <v>417.5</v>
      </c>
    </row>
    <row r="375" spans="1:4" x14ac:dyDescent="0.25">
      <c r="A375" s="12" t="s">
        <v>4</v>
      </c>
      <c r="B375" s="370" t="s">
        <v>5032</v>
      </c>
      <c r="C375" s="12" t="s">
        <v>10</v>
      </c>
      <c r="D375" s="3598">
        <v>64.989999999999995</v>
      </c>
    </row>
    <row r="376" spans="1:4" x14ac:dyDescent="0.25">
      <c r="A376" s="12" t="s">
        <v>6</v>
      </c>
      <c r="B376" s="370" t="s">
        <v>5033</v>
      </c>
      <c r="C376" s="12" t="s">
        <v>12</v>
      </c>
      <c r="D376" s="3598">
        <v>6.28</v>
      </c>
    </row>
    <row r="377" spans="1:4" x14ac:dyDescent="0.25">
      <c r="A377" s="12" t="s">
        <v>3954</v>
      </c>
      <c r="B377" s="370" t="s">
        <v>5034</v>
      </c>
      <c r="C377" s="12" t="s">
        <v>3955</v>
      </c>
      <c r="D377" s="3598">
        <v>68.67</v>
      </c>
    </row>
    <row r="378" spans="1:4" x14ac:dyDescent="0.25">
      <c r="A378" s="12" t="s">
        <v>3956</v>
      </c>
      <c r="B378" s="370" t="s">
        <v>5035</v>
      </c>
      <c r="C378" s="12" t="s">
        <v>3957</v>
      </c>
      <c r="D378" s="3598">
        <v>658.2</v>
      </c>
    </row>
    <row r="379" spans="1:4" x14ac:dyDescent="0.25">
      <c r="A379" s="12" t="s">
        <v>3958</v>
      </c>
      <c r="B379" s="370" t="s">
        <v>5036</v>
      </c>
      <c r="C379" s="12" t="s">
        <v>3959</v>
      </c>
      <c r="D379" s="3598">
        <v>1042</v>
      </c>
    </row>
    <row r="380" spans="1:4" x14ac:dyDescent="0.25">
      <c r="A380" s="12" t="s">
        <v>3960</v>
      </c>
      <c r="B380" s="370" t="s">
        <v>10637</v>
      </c>
      <c r="C380" s="12" t="s">
        <v>10638</v>
      </c>
      <c r="D380" s="3598">
        <v>141.1</v>
      </c>
    </row>
    <row r="381" spans="1:4" x14ac:dyDescent="0.25">
      <c r="A381" s="12" t="s">
        <v>2762</v>
      </c>
      <c r="B381" s="370" t="s">
        <v>7742</v>
      </c>
      <c r="C381" s="12" t="s">
        <v>7741</v>
      </c>
      <c r="D381" s="3598">
        <v>259.13</v>
      </c>
    </row>
    <row r="382" spans="1:4" x14ac:dyDescent="0.25">
      <c r="A382" s="12" t="s">
        <v>2763</v>
      </c>
      <c r="B382" s="370" t="s">
        <v>5037</v>
      </c>
      <c r="C382" s="12" t="s">
        <v>2764</v>
      </c>
      <c r="D382" s="3598">
        <v>42.74</v>
      </c>
    </row>
    <row r="383" spans="1:4" x14ac:dyDescent="0.25">
      <c r="A383" s="12" t="s">
        <v>2766</v>
      </c>
      <c r="B383" s="370" t="s">
        <v>5038</v>
      </c>
      <c r="C383" s="12" t="s">
        <v>2767</v>
      </c>
      <c r="D383" s="3598">
        <v>138.65</v>
      </c>
    </row>
    <row r="384" spans="1:4" x14ac:dyDescent="0.25">
      <c r="A384" s="12" t="s">
        <v>2769</v>
      </c>
      <c r="B384" s="370" t="s">
        <v>5039</v>
      </c>
      <c r="C384" s="12" t="s">
        <v>2770</v>
      </c>
      <c r="D384" s="3598">
        <v>27.53</v>
      </c>
    </row>
    <row r="385" spans="1:4" x14ac:dyDescent="0.25">
      <c r="A385" s="12" t="s">
        <v>2771</v>
      </c>
      <c r="B385" s="370" t="s">
        <v>5040</v>
      </c>
      <c r="C385" s="12" t="s">
        <v>2772</v>
      </c>
      <c r="D385" s="3598">
        <v>71.83</v>
      </c>
    </row>
    <row r="386" spans="1:4" x14ac:dyDescent="0.25">
      <c r="A386" s="12" t="s">
        <v>1142</v>
      </c>
      <c r="B386" s="370" t="s">
        <v>5041</v>
      </c>
      <c r="C386" s="12" t="s">
        <v>1143</v>
      </c>
      <c r="D386" s="3598">
        <v>61.18</v>
      </c>
    </row>
    <row r="387" spans="1:4" x14ac:dyDescent="0.25">
      <c r="A387" s="12" t="s">
        <v>1144</v>
      </c>
      <c r="B387" s="370" t="s">
        <v>5042</v>
      </c>
      <c r="C387" s="12" t="s">
        <v>1145</v>
      </c>
      <c r="D387" s="3598">
        <v>279.08</v>
      </c>
    </row>
    <row r="388" spans="1:4" x14ac:dyDescent="0.25">
      <c r="A388" s="12" t="s">
        <v>238</v>
      </c>
      <c r="B388" s="370" t="s">
        <v>5043</v>
      </c>
      <c r="C388" s="12" t="s">
        <v>239</v>
      </c>
      <c r="D388" s="3598">
        <v>189.65</v>
      </c>
    </row>
    <row r="389" spans="1:4" x14ac:dyDescent="0.25">
      <c r="A389" s="12" t="s">
        <v>240</v>
      </c>
      <c r="B389" s="370" t="s">
        <v>5044</v>
      </c>
      <c r="C389" s="12" t="s">
        <v>241</v>
      </c>
      <c r="D389" s="3598">
        <v>163.6</v>
      </c>
    </row>
    <row r="390" spans="1:4" x14ac:dyDescent="0.25">
      <c r="A390" s="12" t="s">
        <v>3053</v>
      </c>
      <c r="B390" s="370" t="s">
        <v>5045</v>
      </c>
      <c r="C390" s="12" t="s">
        <v>3054</v>
      </c>
      <c r="D390" s="3598">
        <v>268.33</v>
      </c>
    </row>
    <row r="391" spans="1:4" x14ac:dyDescent="0.25">
      <c r="A391" s="12" t="s">
        <v>3056</v>
      </c>
      <c r="B391" s="370" t="s">
        <v>5046</v>
      </c>
      <c r="C391" s="12" t="s">
        <v>3055</v>
      </c>
      <c r="D391" s="3598">
        <v>18.13</v>
      </c>
    </row>
    <row r="392" spans="1:4" x14ac:dyDescent="0.25">
      <c r="A392" s="12" t="s">
        <v>5090</v>
      </c>
      <c r="B392" s="12" t="s">
        <v>5092</v>
      </c>
      <c r="C392" s="12" t="s">
        <v>5091</v>
      </c>
      <c r="D392" s="3598">
        <v>6231</v>
      </c>
    </row>
    <row r="393" spans="1:4" x14ac:dyDescent="0.25">
      <c r="A393" s="12" t="s">
        <v>5108</v>
      </c>
      <c r="B393" s="12" t="s">
        <v>5107</v>
      </c>
      <c r="C393" s="12" t="s">
        <v>5109</v>
      </c>
      <c r="D393" s="3598">
        <v>46.65</v>
      </c>
    </row>
    <row r="394" spans="1:4" x14ac:dyDescent="0.25">
      <c r="A394" s="12" t="s">
        <v>5112</v>
      </c>
      <c r="B394" s="12" t="s">
        <v>5111</v>
      </c>
      <c r="C394" s="12" t="s">
        <v>5110</v>
      </c>
      <c r="D394" s="3598">
        <v>1160</v>
      </c>
    </row>
    <row r="395" spans="1:4" x14ac:dyDescent="0.25">
      <c r="A395" s="60" t="s">
        <v>5121</v>
      </c>
      <c r="B395" s="12" t="s">
        <v>5120</v>
      </c>
      <c r="C395" s="12" t="s">
        <v>5119</v>
      </c>
      <c r="D395" s="3598">
        <v>3424</v>
      </c>
    </row>
    <row r="396" spans="1:4" x14ac:dyDescent="0.25">
      <c r="A396" s="370" t="s">
        <v>5164</v>
      </c>
      <c r="B396" s="12" t="s">
        <v>5163</v>
      </c>
      <c r="C396" s="12" t="s">
        <v>5162</v>
      </c>
      <c r="D396" s="3598">
        <v>7043</v>
      </c>
    </row>
    <row r="397" spans="1:4" x14ac:dyDescent="0.25">
      <c r="A397" s="370" t="s">
        <v>5167</v>
      </c>
      <c r="B397" s="370" t="s">
        <v>5166</v>
      </c>
      <c r="C397" s="370" t="s">
        <v>5165</v>
      </c>
      <c r="D397" s="3598">
        <v>6606</v>
      </c>
    </row>
    <row r="398" spans="1:4" x14ac:dyDescent="0.25">
      <c r="A398" s="370" t="s">
        <v>5168</v>
      </c>
      <c r="B398" s="370" t="s">
        <v>5171</v>
      </c>
      <c r="C398" s="370" t="s">
        <v>5170</v>
      </c>
      <c r="D398" s="3598">
        <v>3630</v>
      </c>
    </row>
    <row r="399" spans="1:4" x14ac:dyDescent="0.25">
      <c r="A399" s="370" t="s">
        <v>5174</v>
      </c>
      <c r="B399" s="370" t="s">
        <v>5173</v>
      </c>
      <c r="C399" s="370" t="s">
        <v>5172</v>
      </c>
      <c r="D399" s="3598">
        <v>286.39999999999998</v>
      </c>
    </row>
    <row r="400" spans="1:4" x14ac:dyDescent="0.25">
      <c r="A400" s="370" t="s">
        <v>2874</v>
      </c>
      <c r="B400" s="370" t="s">
        <v>9059</v>
      </c>
      <c r="C400" s="370" t="s">
        <v>9060</v>
      </c>
      <c r="D400" s="3598">
        <v>53.75</v>
      </c>
    </row>
    <row r="401" spans="1:4" x14ac:dyDescent="0.25">
      <c r="A401" s="370" t="s">
        <v>5191</v>
      </c>
      <c r="B401" s="370" t="s">
        <v>5190</v>
      </c>
      <c r="C401" s="370" t="s">
        <v>5189</v>
      </c>
      <c r="D401" s="3598">
        <v>173.01</v>
      </c>
    </row>
    <row r="402" spans="1:4" x14ac:dyDescent="0.25">
      <c r="A402" s="370" t="s">
        <v>5194</v>
      </c>
      <c r="B402" s="370" t="s">
        <v>5193</v>
      </c>
      <c r="C402" s="370" t="s">
        <v>5192</v>
      </c>
      <c r="D402" s="3598">
        <v>29.64</v>
      </c>
    </row>
    <row r="403" spans="1:4" x14ac:dyDescent="0.25">
      <c r="A403" s="370" t="s">
        <v>5196</v>
      </c>
      <c r="B403" s="370" t="s">
        <v>5198</v>
      </c>
      <c r="C403" s="370" t="s">
        <v>5197</v>
      </c>
      <c r="D403" s="3598">
        <v>9232</v>
      </c>
    </row>
    <row r="404" spans="1:4" x14ac:dyDescent="0.25">
      <c r="A404" s="370" t="s">
        <v>5203</v>
      </c>
      <c r="B404" s="370" t="s">
        <v>5202</v>
      </c>
      <c r="C404" s="370" t="s">
        <v>5201</v>
      </c>
      <c r="D404" s="3598">
        <v>230.14</v>
      </c>
    </row>
    <row r="405" spans="1:4" x14ac:dyDescent="0.25">
      <c r="A405" s="370" t="s">
        <v>5204</v>
      </c>
      <c r="B405" s="370" t="s">
        <v>8167</v>
      </c>
      <c r="C405" s="370" t="s">
        <v>8168</v>
      </c>
      <c r="D405" s="3598">
        <v>65.319999999999993</v>
      </c>
    </row>
    <row r="406" spans="1:4" x14ac:dyDescent="0.25">
      <c r="A406" s="370" t="s">
        <v>5205</v>
      </c>
      <c r="B406" s="370" t="s">
        <v>5200</v>
      </c>
      <c r="C406" s="370" t="s">
        <v>5199</v>
      </c>
      <c r="D406" s="3598">
        <v>1895.2</v>
      </c>
    </row>
    <row r="407" spans="1:4" x14ac:dyDescent="0.25">
      <c r="A407" s="370" t="s">
        <v>5232</v>
      </c>
      <c r="B407" s="370" t="s">
        <v>5231</v>
      </c>
      <c r="C407" s="370" t="s">
        <v>5230</v>
      </c>
      <c r="D407" s="3598">
        <v>105.68</v>
      </c>
    </row>
    <row r="408" spans="1:4" x14ac:dyDescent="0.25">
      <c r="A408" s="370" t="s">
        <v>5246</v>
      </c>
      <c r="B408" s="370" t="s">
        <v>10492</v>
      </c>
      <c r="C408" s="370" t="s">
        <v>10493</v>
      </c>
      <c r="D408" s="3598">
        <v>1.56</v>
      </c>
    </row>
    <row r="409" spans="1:4" x14ac:dyDescent="0.25">
      <c r="A409" s="370" t="s">
        <v>5249</v>
      </c>
      <c r="B409" s="370" t="s">
        <v>5248</v>
      </c>
      <c r="C409" s="370" t="s">
        <v>5247</v>
      </c>
      <c r="D409" s="3598">
        <v>3.86</v>
      </c>
    </row>
    <row r="410" spans="1:4" x14ac:dyDescent="0.25">
      <c r="A410" s="370" t="s">
        <v>5387</v>
      </c>
      <c r="B410" s="370" t="s">
        <v>5390</v>
      </c>
      <c r="C410" s="370" t="s">
        <v>5389</v>
      </c>
      <c r="D410" s="3598">
        <v>81.180000000000007</v>
      </c>
    </row>
    <row r="411" spans="1:4" x14ac:dyDescent="0.25">
      <c r="A411" s="370" t="s">
        <v>5479</v>
      </c>
      <c r="B411" s="370" t="s">
        <v>5478</v>
      </c>
      <c r="C411" s="370" t="s">
        <v>5477</v>
      </c>
      <c r="D411" s="3598">
        <v>2498</v>
      </c>
    </row>
    <row r="412" spans="1:4" x14ac:dyDescent="0.25">
      <c r="A412" s="3603" t="s">
        <v>5484</v>
      </c>
      <c r="B412" s="3603" t="s">
        <v>5483</v>
      </c>
      <c r="C412" s="3603" t="s">
        <v>5482</v>
      </c>
      <c r="D412" s="3598">
        <v>37.200000000000003</v>
      </c>
    </row>
    <row r="413" spans="1:4" x14ac:dyDescent="0.25">
      <c r="A413" s="370" t="s">
        <v>5486</v>
      </c>
      <c r="B413" s="370" t="s">
        <v>9279</v>
      </c>
      <c r="C413" s="370" t="s">
        <v>9280</v>
      </c>
      <c r="D413" s="3598">
        <v>30.67</v>
      </c>
    </row>
    <row r="414" spans="1:4" x14ac:dyDescent="0.25">
      <c r="A414" s="370" t="s">
        <v>5489</v>
      </c>
      <c r="B414" s="370" t="s">
        <v>5488</v>
      </c>
      <c r="C414" s="370" t="s">
        <v>5487</v>
      </c>
      <c r="D414" s="3598">
        <v>69.97</v>
      </c>
    </row>
    <row r="415" spans="1:4" x14ac:dyDescent="0.25">
      <c r="A415" s="370" t="s">
        <v>5492</v>
      </c>
      <c r="B415" s="370" t="s">
        <v>5491</v>
      </c>
      <c r="C415" s="370" t="s">
        <v>5490</v>
      </c>
      <c r="D415" s="3598">
        <v>194.5</v>
      </c>
    </row>
    <row r="416" spans="1:4" x14ac:dyDescent="0.25">
      <c r="A416" s="370" t="s">
        <v>5495</v>
      </c>
      <c r="B416" s="370" t="s">
        <v>5494</v>
      </c>
      <c r="C416" s="370" t="s">
        <v>5493</v>
      </c>
      <c r="D416" s="3598">
        <v>4028</v>
      </c>
    </row>
    <row r="417" spans="1:4" x14ac:dyDescent="0.25">
      <c r="A417" s="370" t="s">
        <v>5500</v>
      </c>
      <c r="B417" s="370" t="s">
        <v>5499</v>
      </c>
      <c r="C417" s="370" t="s">
        <v>5498</v>
      </c>
      <c r="D417" s="3598">
        <v>70</v>
      </c>
    </row>
    <row r="418" spans="1:4" x14ac:dyDescent="0.25">
      <c r="A418" s="370" t="s">
        <v>5503</v>
      </c>
      <c r="B418" s="370" t="s">
        <v>5502</v>
      </c>
      <c r="C418" s="370" t="s">
        <v>5501</v>
      </c>
      <c r="D418" s="3598">
        <v>617.5</v>
      </c>
    </row>
    <row r="419" spans="1:4" x14ac:dyDescent="0.25">
      <c r="A419" s="370" t="s">
        <v>5506</v>
      </c>
      <c r="B419" s="370" t="s">
        <v>5505</v>
      </c>
      <c r="C419" s="370" t="s">
        <v>5504</v>
      </c>
      <c r="D419" s="3598">
        <v>125.87</v>
      </c>
    </row>
    <row r="420" spans="1:4" x14ac:dyDescent="0.25">
      <c r="A420" s="370" t="s">
        <v>5516</v>
      </c>
      <c r="B420" s="370" t="s">
        <v>5515</v>
      </c>
      <c r="C420" s="370" t="s">
        <v>5514</v>
      </c>
      <c r="D420" s="3598">
        <v>4798</v>
      </c>
    </row>
    <row r="421" spans="1:4" x14ac:dyDescent="0.25">
      <c r="A421" s="370" t="s">
        <v>5519</v>
      </c>
      <c r="B421" s="370" t="s">
        <v>5518</v>
      </c>
      <c r="C421" s="370" t="s">
        <v>5517</v>
      </c>
      <c r="D421" s="3598">
        <v>270.39999999999998</v>
      </c>
    </row>
    <row r="422" spans="1:4" x14ac:dyDescent="0.25">
      <c r="A422" s="370" t="s">
        <v>5522</v>
      </c>
      <c r="B422" s="370" t="s">
        <v>5521</v>
      </c>
      <c r="C422" s="370" t="s">
        <v>5520</v>
      </c>
      <c r="D422" s="3598">
        <v>68.400000000000006</v>
      </c>
    </row>
    <row r="423" spans="1:4" x14ac:dyDescent="0.25">
      <c r="A423" s="370" t="s">
        <v>5534</v>
      </c>
      <c r="B423" s="370" t="s">
        <v>5533</v>
      </c>
      <c r="C423" s="370" t="s">
        <v>5532</v>
      </c>
      <c r="D423" s="3598">
        <v>13.32</v>
      </c>
    </row>
    <row r="424" spans="1:4" x14ac:dyDescent="0.25">
      <c r="A424" s="370" t="s">
        <v>5537</v>
      </c>
      <c r="B424" s="370" t="s">
        <v>5536</v>
      </c>
      <c r="C424" s="370" t="s">
        <v>5535</v>
      </c>
      <c r="D424" s="3598">
        <v>33.17</v>
      </c>
    </row>
    <row r="425" spans="1:4" x14ac:dyDescent="0.25">
      <c r="A425" s="370" t="s">
        <v>5626</v>
      </c>
      <c r="B425" s="370" t="s">
        <v>5625</v>
      </c>
      <c r="C425" s="370" t="s">
        <v>5624</v>
      </c>
      <c r="D425" s="3598">
        <v>26.1</v>
      </c>
    </row>
    <row r="426" spans="1:4" x14ac:dyDescent="0.25">
      <c r="A426" s="370" t="s">
        <v>5629</v>
      </c>
      <c r="B426" s="370" t="s">
        <v>5628</v>
      </c>
      <c r="C426" s="370" t="s">
        <v>5627</v>
      </c>
      <c r="D426" s="3598">
        <v>15.805</v>
      </c>
    </row>
    <row r="427" spans="1:4" x14ac:dyDescent="0.25">
      <c r="A427" s="370" t="s">
        <v>5631</v>
      </c>
      <c r="B427" s="370" t="s">
        <v>5633</v>
      </c>
      <c r="C427" s="370" t="s">
        <v>5632</v>
      </c>
      <c r="D427" s="3598">
        <v>2610.5</v>
      </c>
    </row>
    <row r="428" spans="1:4" x14ac:dyDescent="0.25">
      <c r="A428" s="370" t="s">
        <v>5634</v>
      </c>
      <c r="B428" s="370" t="s">
        <v>5636</v>
      </c>
      <c r="C428" s="370" t="s">
        <v>5635</v>
      </c>
      <c r="D428" s="3598">
        <v>11.08</v>
      </c>
    </row>
    <row r="429" spans="1:4" x14ac:dyDescent="0.25">
      <c r="A429" s="370" t="s">
        <v>5655</v>
      </c>
      <c r="B429" s="370" t="s">
        <v>5654</v>
      </c>
      <c r="C429" s="370" t="s">
        <v>5653</v>
      </c>
      <c r="D429" s="3598">
        <v>56.52</v>
      </c>
    </row>
    <row r="430" spans="1:4" x14ac:dyDescent="0.25">
      <c r="A430" s="370" t="s">
        <v>5656</v>
      </c>
      <c r="B430" s="370" t="s">
        <v>5658</v>
      </c>
      <c r="C430" s="370" t="s">
        <v>5657</v>
      </c>
      <c r="D430" s="3598">
        <v>2.5299999999999998</v>
      </c>
    </row>
    <row r="431" spans="1:4" x14ac:dyDescent="0.25">
      <c r="A431" s="370" t="s">
        <v>5742</v>
      </c>
      <c r="B431" s="370" t="s">
        <v>7739</v>
      </c>
      <c r="C431" s="370" t="s">
        <v>7740</v>
      </c>
      <c r="D431" s="3598">
        <v>8.34</v>
      </c>
    </row>
    <row r="432" spans="1:4" x14ac:dyDescent="0.25">
      <c r="A432" s="370" t="s">
        <v>5745</v>
      </c>
      <c r="B432" s="370" t="s">
        <v>5744</v>
      </c>
      <c r="C432" s="370" t="s">
        <v>5743</v>
      </c>
      <c r="D432" s="3598">
        <v>29.4</v>
      </c>
    </row>
    <row r="433" spans="1:4" x14ac:dyDescent="0.25">
      <c r="A433" s="370" t="s">
        <v>5748</v>
      </c>
      <c r="B433" s="370" t="s">
        <v>5747</v>
      </c>
      <c r="C433" s="370" t="s">
        <v>5746</v>
      </c>
      <c r="D433" s="3598">
        <v>70.069999999999993</v>
      </c>
    </row>
    <row r="434" spans="1:4" x14ac:dyDescent="0.25">
      <c r="A434" s="370" t="s">
        <v>5751</v>
      </c>
      <c r="B434" s="370" t="s">
        <v>5750</v>
      </c>
      <c r="C434" s="370" t="s">
        <v>5749</v>
      </c>
      <c r="D434" s="3598">
        <v>7.34</v>
      </c>
    </row>
    <row r="435" spans="1:4" x14ac:dyDescent="0.25">
      <c r="A435" s="370" t="s">
        <v>5754</v>
      </c>
      <c r="B435" s="370" t="s">
        <v>5753</v>
      </c>
      <c r="C435" s="370" t="s">
        <v>5752</v>
      </c>
      <c r="D435" s="3598">
        <v>122.8</v>
      </c>
    </row>
    <row r="436" spans="1:4" x14ac:dyDescent="0.25">
      <c r="A436" s="370" t="s">
        <v>5758</v>
      </c>
      <c r="B436" s="370" t="s">
        <v>5757</v>
      </c>
      <c r="C436" s="370" t="s">
        <v>5756</v>
      </c>
      <c r="D436" s="3598">
        <v>43.54</v>
      </c>
    </row>
    <row r="437" spans="1:4" x14ac:dyDescent="0.25">
      <c r="A437" s="370" t="s">
        <v>5821</v>
      </c>
      <c r="B437" s="370" t="s">
        <v>5820</v>
      </c>
      <c r="C437" s="370" t="s">
        <v>5819</v>
      </c>
      <c r="D437" s="3598">
        <v>2.48</v>
      </c>
    </row>
    <row r="438" spans="1:4" x14ac:dyDescent="0.25">
      <c r="A438" s="370" t="s">
        <v>5841</v>
      </c>
      <c r="B438" s="370" t="s">
        <v>5840</v>
      </c>
      <c r="C438" s="370" t="s">
        <v>5839</v>
      </c>
      <c r="D438" s="3598">
        <v>212.7</v>
      </c>
    </row>
    <row r="439" spans="1:4" x14ac:dyDescent="0.25">
      <c r="A439" s="370" t="s">
        <v>5844</v>
      </c>
      <c r="B439" s="370" t="s">
        <v>5843</v>
      </c>
      <c r="C439" s="370" t="s">
        <v>5842</v>
      </c>
      <c r="D439" s="3598">
        <v>346.72</v>
      </c>
    </row>
    <row r="440" spans="1:4" x14ac:dyDescent="0.25">
      <c r="A440" s="370" t="s">
        <v>5847</v>
      </c>
      <c r="B440" s="370" t="s">
        <v>5846</v>
      </c>
      <c r="C440" s="370" t="s">
        <v>5845</v>
      </c>
      <c r="D440" s="3598">
        <v>6271</v>
      </c>
    </row>
    <row r="441" spans="1:4" x14ac:dyDescent="0.25">
      <c r="A441" s="370" t="s">
        <v>5850</v>
      </c>
      <c r="B441" s="370" t="s">
        <v>5849</v>
      </c>
      <c r="C441" s="370" t="s">
        <v>5848</v>
      </c>
      <c r="D441" s="3598">
        <v>7733</v>
      </c>
    </row>
    <row r="442" spans="1:4" x14ac:dyDescent="0.25">
      <c r="A442" s="370" t="s">
        <v>5853</v>
      </c>
      <c r="B442" s="370" t="s">
        <v>5852</v>
      </c>
      <c r="C442" s="370" t="s">
        <v>5851</v>
      </c>
      <c r="D442" s="3598">
        <v>991.6</v>
      </c>
    </row>
    <row r="443" spans="1:4" x14ac:dyDescent="0.25">
      <c r="A443" s="370" t="s">
        <v>5856</v>
      </c>
      <c r="B443" s="370" t="s">
        <v>5855</v>
      </c>
      <c r="C443" s="370" t="s">
        <v>5854</v>
      </c>
      <c r="D443" s="3598">
        <v>494.7</v>
      </c>
    </row>
    <row r="444" spans="1:4" x14ac:dyDescent="0.25">
      <c r="A444" s="370" t="s">
        <v>5910</v>
      </c>
      <c r="B444" s="370" t="s">
        <v>5907</v>
      </c>
      <c r="C444" s="370" t="s">
        <v>5900</v>
      </c>
      <c r="D444" s="3598">
        <v>185.56</v>
      </c>
    </row>
    <row r="445" spans="1:4" x14ac:dyDescent="0.25">
      <c r="A445" s="370" t="s">
        <v>5911</v>
      </c>
      <c r="B445" s="370" t="s">
        <v>5906</v>
      </c>
      <c r="C445" s="370" t="s">
        <v>5902</v>
      </c>
      <c r="D445" s="3598">
        <v>63.11</v>
      </c>
    </row>
    <row r="446" spans="1:4" x14ac:dyDescent="0.25">
      <c r="A446" s="370" t="s">
        <v>5914</v>
      </c>
      <c r="B446" s="370" t="s">
        <v>5908</v>
      </c>
      <c r="C446" s="370" t="s">
        <v>5903</v>
      </c>
      <c r="D446" s="3598">
        <v>145.44</v>
      </c>
    </row>
    <row r="447" spans="1:4" x14ac:dyDescent="0.25">
      <c r="A447" s="370" t="s">
        <v>5916</v>
      </c>
      <c r="B447" s="370" t="s">
        <v>5909</v>
      </c>
      <c r="C447" s="370" t="s">
        <v>5905</v>
      </c>
      <c r="D447" s="3598">
        <v>35.909999999999997</v>
      </c>
    </row>
    <row r="448" spans="1:4" x14ac:dyDescent="0.25">
      <c r="A448" s="370" t="s">
        <v>5942</v>
      </c>
      <c r="B448" s="370" t="s">
        <v>5983</v>
      </c>
      <c r="C448" s="370" t="s">
        <v>5982</v>
      </c>
      <c r="D448" s="3598">
        <v>227.69</v>
      </c>
    </row>
    <row r="449" spans="1:4" x14ac:dyDescent="0.25">
      <c r="A449" s="370" t="s">
        <v>5943</v>
      </c>
      <c r="B449" s="370" t="s">
        <v>5985</v>
      </c>
      <c r="C449" s="370" t="s">
        <v>5984</v>
      </c>
      <c r="D449" s="3598">
        <v>13.28</v>
      </c>
    </row>
    <row r="450" spans="1:4" x14ac:dyDescent="0.25">
      <c r="A450" s="370" t="s">
        <v>6112</v>
      </c>
      <c r="B450" s="370" t="s">
        <v>6110</v>
      </c>
      <c r="C450" s="370" t="s">
        <v>6111</v>
      </c>
      <c r="D450" s="3598">
        <v>98.05</v>
      </c>
    </row>
    <row r="451" spans="1:4" x14ac:dyDescent="0.25">
      <c r="A451" s="370" t="s">
        <v>6116</v>
      </c>
      <c r="B451" s="370" t="s">
        <v>6115</v>
      </c>
      <c r="C451" s="370" t="s">
        <v>6114</v>
      </c>
      <c r="D451" s="3598">
        <v>4.3760000000000003</v>
      </c>
    </row>
    <row r="452" spans="1:4" x14ac:dyDescent="0.25">
      <c r="A452" s="370" t="s">
        <v>6118</v>
      </c>
      <c r="B452" s="370" t="s">
        <v>8892</v>
      </c>
      <c r="C452" s="370" t="s">
        <v>8893</v>
      </c>
      <c r="D452" s="3598">
        <v>115.95</v>
      </c>
    </row>
    <row r="453" spans="1:4" x14ac:dyDescent="0.25">
      <c r="A453" s="370" t="s">
        <v>6158</v>
      </c>
      <c r="B453" s="370" t="s">
        <v>6157</v>
      </c>
      <c r="C453" s="370" t="s">
        <v>6156</v>
      </c>
      <c r="D453" s="3598">
        <v>28.49</v>
      </c>
    </row>
    <row r="454" spans="1:4" x14ac:dyDescent="0.25">
      <c r="A454" s="370" t="s">
        <v>6161</v>
      </c>
      <c r="B454" s="370" t="s">
        <v>6160</v>
      </c>
      <c r="C454" s="370" t="s">
        <v>6159</v>
      </c>
      <c r="D454" s="3598">
        <v>17220</v>
      </c>
    </row>
    <row r="455" spans="1:4" x14ac:dyDescent="0.25">
      <c r="A455" s="370" t="s">
        <v>6530</v>
      </c>
      <c r="B455" s="370" t="s">
        <v>10838</v>
      </c>
      <c r="C455" s="370" t="s">
        <v>10839</v>
      </c>
      <c r="D455" s="3598">
        <v>18.75</v>
      </c>
    </row>
    <row r="456" spans="1:4" x14ac:dyDescent="0.25">
      <c r="A456" s="370" t="s">
        <v>6163</v>
      </c>
      <c r="B456" s="370" t="s">
        <v>9169</v>
      </c>
      <c r="C456" s="370" t="s">
        <v>9170</v>
      </c>
      <c r="D456" s="3598">
        <v>93.44</v>
      </c>
    </row>
    <row r="457" spans="1:4" x14ac:dyDescent="0.25">
      <c r="A457" s="370" t="s">
        <v>5824</v>
      </c>
      <c r="B457" s="370" t="s">
        <v>6212</v>
      </c>
      <c r="C457" s="370" t="s">
        <v>5817</v>
      </c>
      <c r="D457" s="3598">
        <v>10.888</v>
      </c>
    </row>
    <row r="458" spans="1:4" x14ac:dyDescent="0.25">
      <c r="A458" s="370" t="s">
        <v>6267</v>
      </c>
      <c r="B458" s="370" t="s">
        <v>6269</v>
      </c>
      <c r="C458" s="370" t="s">
        <v>6268</v>
      </c>
      <c r="D458" s="3598">
        <v>13.765000000000001</v>
      </c>
    </row>
    <row r="459" spans="1:4" x14ac:dyDescent="0.25">
      <c r="A459" s="370" t="s">
        <v>6270</v>
      </c>
      <c r="B459" s="370" t="s">
        <v>8165</v>
      </c>
      <c r="C459" s="370" t="s">
        <v>8166</v>
      </c>
      <c r="D459" s="3598">
        <v>39.515000000000001</v>
      </c>
    </row>
    <row r="460" spans="1:4" x14ac:dyDescent="0.25">
      <c r="A460" s="370" t="s">
        <v>6377</v>
      </c>
      <c r="B460" s="370" t="s">
        <v>6378</v>
      </c>
      <c r="C460" s="370" t="s">
        <v>6379</v>
      </c>
      <c r="D460" s="3598">
        <v>47.02</v>
      </c>
    </row>
    <row r="461" spans="1:4" x14ac:dyDescent="0.25">
      <c r="A461" s="370" t="s">
        <v>6380</v>
      </c>
      <c r="B461" s="370" t="s">
        <v>6382</v>
      </c>
      <c r="C461" s="370" t="s">
        <v>6381</v>
      </c>
      <c r="D461" s="3598">
        <v>0.58099999999999996</v>
      </c>
    </row>
    <row r="462" spans="1:4" x14ac:dyDescent="0.25">
      <c r="A462" s="370" t="s">
        <v>6385</v>
      </c>
      <c r="B462" s="370" t="s">
        <v>6384</v>
      </c>
      <c r="C462" s="370" t="s">
        <v>6383</v>
      </c>
      <c r="D462" s="3598">
        <v>12.19</v>
      </c>
    </row>
    <row r="463" spans="1:4" x14ac:dyDescent="0.25">
      <c r="A463" s="3603" t="s">
        <v>6388</v>
      </c>
      <c r="B463" s="3603" t="s">
        <v>6387</v>
      </c>
      <c r="C463" s="3603" t="s">
        <v>6386</v>
      </c>
      <c r="D463" s="3598">
        <v>3.28</v>
      </c>
    </row>
    <row r="464" spans="1:4" x14ac:dyDescent="0.25">
      <c r="A464" s="370" t="s">
        <v>6404</v>
      </c>
      <c r="B464" s="370" t="s">
        <v>6403</v>
      </c>
      <c r="C464" s="370" t="s">
        <v>6402</v>
      </c>
      <c r="D464" s="3598">
        <v>244.8</v>
      </c>
    </row>
    <row r="465" spans="1:4" x14ac:dyDescent="0.25">
      <c r="A465" s="156" t="s">
        <v>6444</v>
      </c>
      <c r="B465" s="370" t="s">
        <v>6443</v>
      </c>
      <c r="C465" s="370" t="s">
        <v>6442</v>
      </c>
      <c r="D465" s="3598">
        <v>1169.5</v>
      </c>
    </row>
    <row r="466" spans="1:4" x14ac:dyDescent="0.25">
      <c r="A466" s="370" t="s">
        <v>6447</v>
      </c>
      <c r="B466" s="370" t="s">
        <v>6446</v>
      </c>
      <c r="C466" s="370" t="s">
        <v>6445</v>
      </c>
      <c r="D466" s="3598">
        <v>570.79999999999995</v>
      </c>
    </row>
    <row r="467" spans="1:4" x14ac:dyDescent="0.25">
      <c r="A467" s="370" t="s">
        <v>6450</v>
      </c>
      <c r="B467" s="370" t="s">
        <v>6449</v>
      </c>
      <c r="C467" s="370" t="s">
        <v>6448</v>
      </c>
      <c r="D467" s="3598">
        <v>366.35</v>
      </c>
    </row>
    <row r="468" spans="1:4" x14ac:dyDescent="0.25">
      <c r="A468" s="370" t="s">
        <v>6524</v>
      </c>
      <c r="B468" s="370" t="s">
        <v>6526</v>
      </c>
      <c r="C468" s="370" t="s">
        <v>6525</v>
      </c>
      <c r="D468" s="3598">
        <v>144.94999999999999</v>
      </c>
    </row>
    <row r="469" spans="1:4" x14ac:dyDescent="0.25">
      <c r="A469" s="370" t="s">
        <v>6527</v>
      </c>
      <c r="B469" s="370" t="s">
        <v>6529</v>
      </c>
      <c r="C469" s="370" t="s">
        <v>6528</v>
      </c>
      <c r="D469" s="3598">
        <v>108.25</v>
      </c>
    </row>
    <row r="470" spans="1:4" x14ac:dyDescent="0.25">
      <c r="A470" s="370" t="s">
        <v>6554</v>
      </c>
      <c r="B470" s="370" t="s">
        <v>6553</v>
      </c>
      <c r="C470" s="370" t="s">
        <v>6552</v>
      </c>
      <c r="D470" s="3598">
        <v>52.78</v>
      </c>
    </row>
    <row r="471" spans="1:4" x14ac:dyDescent="0.25">
      <c r="A471" s="370" t="s">
        <v>6559</v>
      </c>
      <c r="B471" s="370" t="s">
        <v>6561</v>
      </c>
      <c r="C471" s="370" t="s">
        <v>6558</v>
      </c>
      <c r="D471" s="3598">
        <v>169.3</v>
      </c>
    </row>
    <row r="472" spans="1:4" x14ac:dyDescent="0.25">
      <c r="A472" s="370" t="s">
        <v>6562</v>
      </c>
      <c r="B472" s="370" t="s">
        <v>8894</v>
      </c>
      <c r="C472" s="370" t="s">
        <v>8895</v>
      </c>
      <c r="D472" s="3598">
        <v>35.659999999999997</v>
      </c>
    </row>
    <row r="473" spans="1:4" x14ac:dyDescent="0.25">
      <c r="A473" s="370" t="s">
        <v>6601</v>
      </c>
      <c r="B473" s="370" t="s">
        <v>6603</v>
      </c>
      <c r="C473" s="370" t="s">
        <v>6602</v>
      </c>
      <c r="D473" s="3598">
        <v>4.8899999999999997</v>
      </c>
    </row>
    <row r="474" spans="1:4" x14ac:dyDescent="0.25">
      <c r="A474" s="370" t="s">
        <v>6707</v>
      </c>
      <c r="B474" s="370" t="s">
        <v>6706</v>
      </c>
      <c r="C474" s="370" t="s">
        <v>6705</v>
      </c>
      <c r="D474" s="3598">
        <v>18.34</v>
      </c>
    </row>
    <row r="475" spans="1:4" x14ac:dyDescent="0.25">
      <c r="A475" s="370" t="s">
        <v>6708</v>
      </c>
      <c r="B475" s="370" t="s">
        <v>6710</v>
      </c>
      <c r="C475" s="370" t="s">
        <v>6709</v>
      </c>
      <c r="D475" s="3598">
        <v>170.26499999999999</v>
      </c>
    </row>
    <row r="476" spans="1:4" x14ac:dyDescent="0.25">
      <c r="A476" s="370" t="s">
        <v>6742</v>
      </c>
      <c r="B476" s="370" t="s">
        <v>6744</v>
      </c>
      <c r="C476" s="370" t="s">
        <v>6743</v>
      </c>
      <c r="D476" s="3598">
        <v>43.14</v>
      </c>
    </row>
    <row r="477" spans="1:4" x14ac:dyDescent="0.25">
      <c r="A477" s="370" t="s">
        <v>6745</v>
      </c>
      <c r="B477" s="370" t="s">
        <v>6747</v>
      </c>
      <c r="C477" s="370" t="s">
        <v>6746</v>
      </c>
      <c r="D477" s="3598">
        <v>35.729999999999997</v>
      </c>
    </row>
    <row r="478" spans="1:4" x14ac:dyDescent="0.25">
      <c r="A478" s="370" t="s">
        <v>6748</v>
      </c>
      <c r="B478" s="370" t="s">
        <v>6750</v>
      </c>
      <c r="C478" s="370" t="s">
        <v>6749</v>
      </c>
      <c r="D478" s="3598">
        <v>190.5</v>
      </c>
    </row>
    <row r="479" spans="1:4" x14ac:dyDescent="0.25">
      <c r="A479" s="370" t="s">
        <v>6775</v>
      </c>
      <c r="B479" s="370" t="s">
        <v>6774</v>
      </c>
      <c r="C479" s="370" t="s">
        <v>6773</v>
      </c>
      <c r="D479" s="3598">
        <v>19.809999999999999</v>
      </c>
    </row>
    <row r="480" spans="1:4" x14ac:dyDescent="0.25">
      <c r="A480" s="370" t="s">
        <v>6776</v>
      </c>
      <c r="B480" s="370" t="s">
        <v>6778</v>
      </c>
      <c r="C480" s="370" t="s">
        <v>6777</v>
      </c>
      <c r="D480" s="3598">
        <v>4.4930000000000003</v>
      </c>
    </row>
    <row r="481" spans="1:4" x14ac:dyDescent="0.25">
      <c r="A481" s="370" t="s">
        <v>6799</v>
      </c>
      <c r="B481" s="370" t="s">
        <v>9735</v>
      </c>
      <c r="C481" s="370" t="s">
        <v>9736</v>
      </c>
      <c r="D481" s="3598">
        <v>9.9</v>
      </c>
    </row>
    <row r="482" spans="1:4" x14ac:dyDescent="0.25">
      <c r="A482" s="370" t="s">
        <v>6800</v>
      </c>
      <c r="B482" s="370" t="s">
        <v>6802</v>
      </c>
      <c r="C482" s="370" t="s">
        <v>6801</v>
      </c>
      <c r="D482" s="3598">
        <v>2448.5</v>
      </c>
    </row>
    <row r="483" spans="1:4" x14ac:dyDescent="0.25">
      <c r="A483" s="370" t="s">
        <v>6803</v>
      </c>
      <c r="B483" s="370" t="s">
        <v>9737</v>
      </c>
      <c r="C483" s="370" t="s">
        <v>9738</v>
      </c>
      <c r="D483" s="3598">
        <v>0.2205</v>
      </c>
    </row>
    <row r="484" spans="1:4" x14ac:dyDescent="0.25">
      <c r="A484" s="370" t="s">
        <v>6804</v>
      </c>
      <c r="B484" s="370" t="s">
        <v>6806</v>
      </c>
      <c r="C484" s="370" t="s">
        <v>6805</v>
      </c>
      <c r="D484" s="3598">
        <v>6.18</v>
      </c>
    </row>
    <row r="485" spans="1:4" x14ac:dyDescent="0.25">
      <c r="A485" s="370" t="s">
        <v>6807</v>
      </c>
      <c r="B485" s="370" t="s">
        <v>6809</v>
      </c>
      <c r="C485" s="370" t="s">
        <v>6808</v>
      </c>
      <c r="D485" s="3598">
        <v>51.48</v>
      </c>
    </row>
    <row r="486" spans="1:4" x14ac:dyDescent="0.25">
      <c r="A486" s="3603" t="s">
        <v>6816</v>
      </c>
      <c r="B486" s="3603" t="s">
        <v>6818</v>
      </c>
      <c r="C486" s="3603" t="s">
        <v>6817</v>
      </c>
      <c r="D486" s="3598">
        <v>52.5</v>
      </c>
    </row>
    <row r="487" spans="1:4" x14ac:dyDescent="0.25">
      <c r="A487" s="370" t="s">
        <v>6821</v>
      </c>
      <c r="B487" s="370" t="s">
        <v>6823</v>
      </c>
      <c r="C487" s="370" t="s">
        <v>6822</v>
      </c>
      <c r="D487" s="3598">
        <v>195.05</v>
      </c>
    </row>
    <row r="488" spans="1:4" x14ac:dyDescent="0.25">
      <c r="A488" s="370" t="s">
        <v>6897</v>
      </c>
      <c r="B488" s="370" t="s">
        <v>6900</v>
      </c>
      <c r="C488" s="370" t="s">
        <v>6898</v>
      </c>
      <c r="D488" s="3598">
        <v>51.7</v>
      </c>
    </row>
    <row r="489" spans="1:4" x14ac:dyDescent="0.25">
      <c r="A489" s="370" t="s">
        <v>6902</v>
      </c>
      <c r="B489" s="370" t="s">
        <v>6901</v>
      </c>
      <c r="C489" s="370" t="s">
        <v>6899</v>
      </c>
      <c r="D489" s="3598">
        <v>254.4</v>
      </c>
    </row>
    <row r="490" spans="1:4" x14ac:dyDescent="0.25">
      <c r="A490" s="370" t="s">
        <v>6903</v>
      </c>
      <c r="B490" s="370" t="s">
        <v>9897</v>
      </c>
      <c r="C490" s="370" t="s">
        <v>9898</v>
      </c>
      <c r="D490" s="3598">
        <v>8.7319999999999993</v>
      </c>
    </row>
    <row r="491" spans="1:4" x14ac:dyDescent="0.25">
      <c r="A491" s="3603" t="s">
        <v>6923</v>
      </c>
      <c r="B491" s="3603" t="s">
        <v>6925</v>
      </c>
      <c r="C491" s="3603" t="s">
        <v>6924</v>
      </c>
      <c r="D491" s="3598">
        <v>9.93</v>
      </c>
    </row>
    <row r="492" spans="1:4" x14ac:dyDescent="0.25">
      <c r="A492" s="370" t="s">
        <v>6937</v>
      </c>
      <c r="B492" s="370" t="s">
        <v>6940</v>
      </c>
      <c r="C492" s="370" t="s">
        <v>6936</v>
      </c>
      <c r="D492" s="3598">
        <v>546.5</v>
      </c>
    </row>
    <row r="493" spans="1:4" x14ac:dyDescent="0.25">
      <c r="A493" s="370" t="s">
        <v>6938</v>
      </c>
      <c r="B493" s="370" t="s">
        <v>6941</v>
      </c>
      <c r="C493" s="370" t="s">
        <v>6939</v>
      </c>
      <c r="D493" s="3598">
        <v>144.04</v>
      </c>
    </row>
    <row r="494" spans="1:4" x14ac:dyDescent="0.25">
      <c r="A494" s="370" t="s">
        <v>6942</v>
      </c>
      <c r="B494" s="370" t="s">
        <v>7859</v>
      </c>
      <c r="C494" s="370" t="s">
        <v>7860</v>
      </c>
      <c r="D494" s="3598">
        <v>41.35</v>
      </c>
    </row>
    <row r="495" spans="1:4" x14ac:dyDescent="0.25">
      <c r="A495" s="370" t="s">
        <v>6945</v>
      </c>
      <c r="B495" s="370" t="s">
        <v>6944</v>
      </c>
      <c r="C495" s="370" t="s">
        <v>6943</v>
      </c>
      <c r="D495" s="3598">
        <v>87.9</v>
      </c>
    </row>
    <row r="496" spans="1:4" x14ac:dyDescent="0.25">
      <c r="A496" s="370" t="s">
        <v>6993</v>
      </c>
      <c r="B496" s="370" t="s">
        <v>7001</v>
      </c>
      <c r="C496" s="370" t="s">
        <v>6992</v>
      </c>
      <c r="D496" s="3598">
        <v>94300</v>
      </c>
    </row>
    <row r="497" spans="1:4" x14ac:dyDescent="0.25">
      <c r="A497" s="370" t="s">
        <v>7000</v>
      </c>
      <c r="B497" s="370" t="s">
        <v>7003</v>
      </c>
      <c r="C497" s="370" t="s">
        <v>7002</v>
      </c>
      <c r="D497" s="3598">
        <v>317.60000000000002</v>
      </c>
    </row>
    <row r="498" spans="1:4" x14ac:dyDescent="0.25">
      <c r="A498" s="370" t="s">
        <v>7010</v>
      </c>
      <c r="B498" s="370" t="s">
        <v>7011</v>
      </c>
      <c r="C498" s="370" t="s">
        <v>7009</v>
      </c>
      <c r="D498" s="3598">
        <v>65.31</v>
      </c>
    </row>
    <row r="499" spans="1:4" x14ac:dyDescent="0.25">
      <c r="A499" s="370" t="s">
        <v>7014</v>
      </c>
      <c r="B499" s="370" t="s">
        <v>7013</v>
      </c>
      <c r="C499" s="370" t="s">
        <v>7012</v>
      </c>
      <c r="D499" s="3598">
        <v>36.68</v>
      </c>
    </row>
    <row r="500" spans="1:4" x14ac:dyDescent="0.25">
      <c r="A500" s="370" t="s">
        <v>7017</v>
      </c>
      <c r="B500" s="370" t="s">
        <v>7016</v>
      </c>
      <c r="C500" s="370" t="s">
        <v>7015</v>
      </c>
      <c r="D500" s="3598">
        <v>25.78</v>
      </c>
    </row>
    <row r="501" spans="1:4" x14ac:dyDescent="0.25">
      <c r="A501" s="370" t="s">
        <v>7020</v>
      </c>
      <c r="B501" s="370" t="s">
        <v>7019</v>
      </c>
      <c r="C501" s="370" t="s">
        <v>7018</v>
      </c>
      <c r="D501" s="3598">
        <v>645</v>
      </c>
    </row>
    <row r="502" spans="1:4" x14ac:dyDescent="0.25">
      <c r="A502" s="370" t="s">
        <v>7098</v>
      </c>
      <c r="B502" s="370" t="s">
        <v>7100</v>
      </c>
      <c r="C502" s="370" t="s">
        <v>7099</v>
      </c>
      <c r="D502" s="3598">
        <v>192.84</v>
      </c>
    </row>
    <row r="503" spans="1:4" x14ac:dyDescent="0.25">
      <c r="A503" s="370" t="s">
        <v>7111</v>
      </c>
      <c r="B503" s="370" t="s">
        <v>7110</v>
      </c>
      <c r="C503" s="370" t="s">
        <v>7109</v>
      </c>
      <c r="D503" s="3598">
        <v>182.1</v>
      </c>
    </row>
    <row r="504" spans="1:4" ht="12" customHeight="1" x14ac:dyDescent="0.25">
      <c r="A504" s="370" t="s">
        <v>7114</v>
      </c>
      <c r="B504" s="370" t="s">
        <v>7116</v>
      </c>
      <c r="C504" s="370" t="s">
        <v>7115</v>
      </c>
      <c r="D504" s="3598">
        <v>215.29</v>
      </c>
    </row>
    <row r="505" spans="1:4" x14ac:dyDescent="0.25">
      <c r="A505" s="370" t="s">
        <v>7119</v>
      </c>
      <c r="B505" s="370" t="s">
        <v>7117</v>
      </c>
      <c r="C505" s="370" t="s">
        <v>7118</v>
      </c>
      <c r="D505" s="3598">
        <v>177.21</v>
      </c>
    </row>
    <row r="506" spans="1:4" x14ac:dyDescent="0.25">
      <c r="A506" s="370" t="s">
        <v>7141</v>
      </c>
      <c r="B506" s="370" t="s">
        <v>7140</v>
      </c>
      <c r="C506" s="370" t="s">
        <v>7139</v>
      </c>
      <c r="D506" s="3598">
        <v>5.2729999999999997</v>
      </c>
    </row>
    <row r="507" spans="1:4" x14ac:dyDescent="0.25">
      <c r="A507" s="370" t="s">
        <v>7142</v>
      </c>
      <c r="B507" s="370" t="s">
        <v>7144</v>
      </c>
      <c r="C507" s="370" t="s">
        <v>7143</v>
      </c>
      <c r="D507" s="3598">
        <v>7.4980000000000002</v>
      </c>
    </row>
    <row r="508" spans="1:4" x14ac:dyDescent="0.25">
      <c r="A508" s="370" t="s">
        <v>7212</v>
      </c>
      <c r="B508" s="370" t="s">
        <v>7214</v>
      </c>
      <c r="C508" s="370" t="s">
        <v>7213</v>
      </c>
      <c r="D508" s="3598">
        <v>134.94999999999999</v>
      </c>
    </row>
    <row r="509" spans="1:4" x14ac:dyDescent="0.25">
      <c r="A509" s="370" t="s">
        <v>7215</v>
      </c>
      <c r="B509" s="370" t="s">
        <v>7217</v>
      </c>
      <c r="C509" s="370" t="s">
        <v>7216</v>
      </c>
      <c r="D509" s="3598">
        <v>79.760000000000005</v>
      </c>
    </row>
    <row r="510" spans="1:4" x14ac:dyDescent="0.25">
      <c r="A510" s="370" t="s">
        <v>7218</v>
      </c>
      <c r="B510" s="370" t="s">
        <v>7220</v>
      </c>
      <c r="C510" s="370" t="s">
        <v>7219</v>
      </c>
      <c r="D510" s="3598">
        <v>167.15</v>
      </c>
    </row>
    <row r="511" spans="1:4" x14ac:dyDescent="0.25">
      <c r="A511" s="370" t="s">
        <v>7221</v>
      </c>
      <c r="B511" s="370" t="s">
        <v>7223</v>
      </c>
      <c r="C511" s="370" t="s">
        <v>7222</v>
      </c>
      <c r="D511" s="3598">
        <v>14.15</v>
      </c>
    </row>
    <row r="512" spans="1:4" x14ac:dyDescent="0.25">
      <c r="A512" s="370" t="s">
        <v>7224</v>
      </c>
      <c r="B512" s="370" t="s">
        <v>7226</v>
      </c>
      <c r="C512" s="370" t="s">
        <v>7225</v>
      </c>
      <c r="D512" s="3598">
        <v>265.10000000000002</v>
      </c>
    </row>
    <row r="513" spans="1:4" x14ac:dyDescent="0.25">
      <c r="A513" s="370" t="s">
        <v>7227</v>
      </c>
      <c r="B513" s="370" t="s">
        <v>7230</v>
      </c>
      <c r="C513" s="370" t="s">
        <v>7229</v>
      </c>
      <c r="D513" s="3598">
        <v>15.51</v>
      </c>
    </row>
    <row r="514" spans="1:4" x14ac:dyDescent="0.25">
      <c r="A514" s="370" t="s">
        <v>7312</v>
      </c>
      <c r="B514" s="370" t="s">
        <v>7311</v>
      </c>
      <c r="C514" s="370" t="s">
        <v>7310</v>
      </c>
      <c r="D514" s="3598">
        <v>170.72</v>
      </c>
    </row>
    <row r="515" spans="1:4" x14ac:dyDescent="0.25">
      <c r="A515" s="370" t="s">
        <v>7315</v>
      </c>
      <c r="B515" s="370" t="s">
        <v>7314</v>
      </c>
      <c r="C515" s="370" t="s">
        <v>7313</v>
      </c>
      <c r="D515" s="3598">
        <v>213.3</v>
      </c>
    </row>
    <row r="516" spans="1:4" x14ac:dyDescent="0.25">
      <c r="A516" s="370" t="s">
        <v>7317</v>
      </c>
      <c r="B516" s="370" t="s">
        <v>9481</v>
      </c>
      <c r="C516" s="370" t="s">
        <v>9482</v>
      </c>
      <c r="D516" s="3598">
        <v>209.7</v>
      </c>
    </row>
    <row r="517" spans="1:4" x14ac:dyDescent="0.25">
      <c r="A517" s="370" t="s">
        <v>7320</v>
      </c>
      <c r="B517" s="370" t="s">
        <v>7319</v>
      </c>
      <c r="C517" s="370" t="s">
        <v>7318</v>
      </c>
      <c r="D517" s="3598">
        <v>49</v>
      </c>
    </row>
    <row r="518" spans="1:4" x14ac:dyDescent="0.25">
      <c r="A518" s="370" t="s">
        <v>7321</v>
      </c>
      <c r="B518" s="370" t="s">
        <v>7323</v>
      </c>
      <c r="C518" s="370" t="s">
        <v>7322</v>
      </c>
      <c r="D518" s="3598">
        <v>35.520000000000003</v>
      </c>
    </row>
    <row r="519" spans="1:4" x14ac:dyDescent="0.25">
      <c r="A519" s="370" t="s">
        <v>7324</v>
      </c>
      <c r="B519" s="370" t="s">
        <v>7326</v>
      </c>
      <c r="C519" s="370" t="s">
        <v>7325</v>
      </c>
      <c r="D519" s="3598">
        <v>48.92</v>
      </c>
    </row>
    <row r="520" spans="1:4" x14ac:dyDescent="0.25">
      <c r="A520" s="370" t="s">
        <v>7327</v>
      </c>
      <c r="B520" s="370" t="s">
        <v>7329</v>
      </c>
      <c r="C520" s="370" t="s">
        <v>7328</v>
      </c>
      <c r="D520" s="3598">
        <v>210.05</v>
      </c>
    </row>
    <row r="521" spans="1:4" x14ac:dyDescent="0.25">
      <c r="A521" s="370" t="s">
        <v>7332</v>
      </c>
      <c r="B521" s="370" t="s">
        <v>7331</v>
      </c>
      <c r="C521" s="370" t="s">
        <v>7330</v>
      </c>
      <c r="D521" s="3598">
        <v>67.400000000000006</v>
      </c>
    </row>
    <row r="522" spans="1:4" x14ac:dyDescent="0.25">
      <c r="A522" s="370" t="s">
        <v>7353</v>
      </c>
      <c r="B522" s="370" t="s">
        <v>7352</v>
      </c>
      <c r="C522" s="370" t="s">
        <v>7351</v>
      </c>
      <c r="D522" s="3598">
        <v>3.3</v>
      </c>
    </row>
    <row r="523" spans="1:4" x14ac:dyDescent="0.25">
      <c r="A523" s="370" t="s">
        <v>7355</v>
      </c>
      <c r="B523" s="370" t="s">
        <v>7358</v>
      </c>
      <c r="C523" s="370" t="s">
        <v>7356</v>
      </c>
      <c r="D523" s="3598">
        <v>420.8</v>
      </c>
    </row>
    <row r="524" spans="1:4" x14ac:dyDescent="0.25">
      <c r="A524" s="370" t="s">
        <v>7362</v>
      </c>
      <c r="B524" s="370" t="s">
        <v>7361</v>
      </c>
      <c r="C524" s="370" t="s">
        <v>7360</v>
      </c>
      <c r="D524" s="3598">
        <v>2299.5</v>
      </c>
    </row>
    <row r="525" spans="1:4" x14ac:dyDescent="0.25">
      <c r="A525" s="370" t="s">
        <v>7363</v>
      </c>
      <c r="B525" s="370" t="s">
        <v>7365</v>
      </c>
      <c r="C525" s="370" t="s">
        <v>7364</v>
      </c>
      <c r="D525" s="3598">
        <v>4985</v>
      </c>
    </row>
    <row r="526" spans="1:4" x14ac:dyDescent="0.25">
      <c r="A526" s="370" t="s">
        <v>7368</v>
      </c>
      <c r="B526" s="370" t="s">
        <v>7367</v>
      </c>
      <c r="C526" s="370" t="s">
        <v>7366</v>
      </c>
      <c r="D526" s="3598">
        <v>4463</v>
      </c>
    </row>
    <row r="527" spans="1:4" x14ac:dyDescent="0.25">
      <c r="A527" s="370" t="s">
        <v>7371</v>
      </c>
      <c r="B527" s="370" t="s">
        <v>7370</v>
      </c>
      <c r="C527" s="370" t="s">
        <v>7369</v>
      </c>
      <c r="D527" s="3598">
        <v>103.14</v>
      </c>
    </row>
    <row r="528" spans="1:4" x14ac:dyDescent="0.25">
      <c r="A528" s="370" t="s">
        <v>7374</v>
      </c>
      <c r="B528" s="370" t="s">
        <v>7373</v>
      </c>
      <c r="C528" s="370" t="s">
        <v>7372</v>
      </c>
      <c r="D528" s="3598">
        <v>106.15</v>
      </c>
    </row>
    <row r="529" spans="1:4" x14ac:dyDescent="0.25">
      <c r="A529" s="370" t="s">
        <v>7375</v>
      </c>
      <c r="B529" s="370" t="s">
        <v>7378</v>
      </c>
      <c r="C529" s="370" t="s">
        <v>7376</v>
      </c>
      <c r="D529" s="3598">
        <v>2335</v>
      </c>
    </row>
    <row r="530" spans="1:4" x14ac:dyDescent="0.25">
      <c r="A530" s="370" t="s">
        <v>7380</v>
      </c>
      <c r="B530" s="370" t="s">
        <v>7379</v>
      </c>
      <c r="C530" s="370" t="s">
        <v>7377</v>
      </c>
      <c r="D530" s="3598">
        <v>14.09</v>
      </c>
    </row>
    <row r="531" spans="1:4" x14ac:dyDescent="0.25">
      <c r="A531" s="370" t="s">
        <v>7381</v>
      </c>
      <c r="B531" s="370" t="s">
        <v>8896</v>
      </c>
      <c r="C531" s="370" t="s">
        <v>8897</v>
      </c>
      <c r="D531" s="3598">
        <v>4016</v>
      </c>
    </row>
    <row r="532" spans="1:4" x14ac:dyDescent="0.25">
      <c r="A532" s="370" t="s">
        <v>7348</v>
      </c>
      <c r="B532" s="370" t="s">
        <v>8898</v>
      </c>
      <c r="C532" s="370" t="s">
        <v>8899</v>
      </c>
      <c r="D532" s="3598">
        <v>87.5</v>
      </c>
    </row>
    <row r="533" spans="1:4" x14ac:dyDescent="0.25">
      <c r="A533" s="370" t="s">
        <v>7407</v>
      </c>
      <c r="B533" s="370" t="s">
        <v>7409</v>
      </c>
      <c r="C533" s="370" t="s">
        <v>7408</v>
      </c>
      <c r="D533" s="3598">
        <v>43.3</v>
      </c>
    </row>
    <row r="534" spans="1:4" x14ac:dyDescent="0.25">
      <c r="A534" s="370" t="s">
        <v>7410</v>
      </c>
      <c r="B534" s="370" t="s">
        <v>7412</v>
      </c>
      <c r="C534" s="370" t="s">
        <v>7411</v>
      </c>
      <c r="D534" s="3598">
        <v>78.08</v>
      </c>
    </row>
    <row r="535" spans="1:4" x14ac:dyDescent="0.25">
      <c r="A535" s="370" t="s">
        <v>7413</v>
      </c>
      <c r="B535" s="370" t="s">
        <v>7415</v>
      </c>
      <c r="C535" s="370" t="s">
        <v>7414</v>
      </c>
      <c r="D535" s="3598">
        <v>26.08</v>
      </c>
    </row>
    <row r="536" spans="1:4" x14ac:dyDescent="0.25">
      <c r="A536" s="370" t="s">
        <v>7416</v>
      </c>
      <c r="B536" s="370" t="s">
        <v>7418</v>
      </c>
      <c r="C536" s="370" t="s">
        <v>7417</v>
      </c>
      <c r="D536" s="3598">
        <v>39.19</v>
      </c>
    </row>
    <row r="537" spans="1:4" x14ac:dyDescent="0.25">
      <c r="A537" s="370" t="s">
        <v>7421</v>
      </c>
      <c r="B537" s="370" t="s">
        <v>7420</v>
      </c>
      <c r="C537" s="370" t="s">
        <v>7419</v>
      </c>
      <c r="D537" s="3598">
        <v>101.95</v>
      </c>
    </row>
    <row r="538" spans="1:4" x14ac:dyDescent="0.25">
      <c r="A538" s="370" t="s">
        <v>7422</v>
      </c>
      <c r="B538" s="370" t="s">
        <v>7424</v>
      </c>
      <c r="C538" s="370" t="s">
        <v>7423</v>
      </c>
      <c r="D538" s="3598">
        <v>74.5</v>
      </c>
    </row>
    <row r="539" spans="1:4" x14ac:dyDescent="0.25">
      <c r="A539" s="370" t="s">
        <v>7425</v>
      </c>
      <c r="B539" s="370" t="s">
        <v>7427</v>
      </c>
      <c r="C539" s="370" t="s">
        <v>7426</v>
      </c>
      <c r="D539" s="3598">
        <v>54.62</v>
      </c>
    </row>
    <row r="540" spans="1:4" x14ac:dyDescent="0.25">
      <c r="A540" s="370" t="s">
        <v>7428</v>
      </c>
      <c r="B540" s="370" t="s">
        <v>7430</v>
      </c>
      <c r="C540" s="370" t="s">
        <v>7429</v>
      </c>
      <c r="D540" s="3598">
        <v>49.12</v>
      </c>
    </row>
    <row r="541" spans="1:4" x14ac:dyDescent="0.25">
      <c r="A541" s="370" t="s">
        <v>7433</v>
      </c>
      <c r="B541" s="370" t="s">
        <v>7432</v>
      </c>
      <c r="C541" s="370" t="s">
        <v>7431</v>
      </c>
      <c r="D541" s="3598">
        <v>6.5119999999999996</v>
      </c>
    </row>
    <row r="542" spans="1:4" x14ac:dyDescent="0.25">
      <c r="A542" s="370" t="s">
        <v>7434</v>
      </c>
      <c r="B542" s="370" t="s">
        <v>7436</v>
      </c>
      <c r="C542" s="370" t="s">
        <v>7435</v>
      </c>
      <c r="D542" s="3598">
        <v>80.400000000000006</v>
      </c>
    </row>
    <row r="543" spans="1:4" x14ac:dyDescent="0.25">
      <c r="A543" s="370" t="s">
        <v>7437</v>
      </c>
      <c r="B543" s="370" t="s">
        <v>7439</v>
      </c>
      <c r="C543" s="370" t="s">
        <v>7438</v>
      </c>
      <c r="D543" s="3598">
        <v>2.355</v>
      </c>
    </row>
    <row r="544" spans="1:4" x14ac:dyDescent="0.25">
      <c r="A544" s="370" t="s">
        <v>2631</v>
      </c>
      <c r="B544" s="370" t="s">
        <v>3386</v>
      </c>
      <c r="C544" s="370" t="s">
        <v>1727</v>
      </c>
      <c r="D544" s="3598">
        <v>4.9740000000000002</v>
      </c>
    </row>
    <row r="545" spans="1:4" x14ac:dyDescent="0.25">
      <c r="A545" s="370" t="s">
        <v>7440</v>
      </c>
      <c r="B545" s="370" t="s">
        <v>7442</v>
      </c>
      <c r="C545" s="370" t="s">
        <v>7441</v>
      </c>
      <c r="D545" s="3598">
        <v>20.86</v>
      </c>
    </row>
    <row r="546" spans="1:4" x14ac:dyDescent="0.25">
      <c r="A546" s="370" t="s">
        <v>7491</v>
      </c>
      <c r="B546" s="370" t="s">
        <v>7490</v>
      </c>
      <c r="C546" s="370" t="s">
        <v>7489</v>
      </c>
      <c r="D546" s="3598">
        <v>6691</v>
      </c>
    </row>
    <row r="547" spans="1:4" ht="12.6" customHeight="1" x14ac:dyDescent="0.25">
      <c r="A547" s="370" t="s">
        <v>7494</v>
      </c>
      <c r="B547" s="370" t="s">
        <v>7493</v>
      </c>
      <c r="C547" s="370" t="s">
        <v>7492</v>
      </c>
      <c r="D547" s="3598">
        <v>2885</v>
      </c>
    </row>
    <row r="548" spans="1:4" x14ac:dyDescent="0.25">
      <c r="A548" s="370" t="s">
        <v>7497</v>
      </c>
      <c r="B548" s="370" t="s">
        <v>7496</v>
      </c>
      <c r="C548" s="370" t="s">
        <v>7495</v>
      </c>
      <c r="D548" s="3598">
        <v>1863.5</v>
      </c>
    </row>
    <row r="549" spans="1:4" x14ac:dyDescent="0.25">
      <c r="A549" s="370" t="s">
        <v>7500</v>
      </c>
      <c r="B549" s="370" t="s">
        <v>7499</v>
      </c>
      <c r="C549" s="370" t="s">
        <v>7498</v>
      </c>
      <c r="D549" s="3598">
        <v>2498.5</v>
      </c>
    </row>
    <row r="550" spans="1:4" x14ac:dyDescent="0.25">
      <c r="A550" s="370" t="s">
        <v>7488</v>
      </c>
      <c r="B550" s="370" t="s">
        <v>7502</v>
      </c>
      <c r="C550" s="370" t="s">
        <v>7501</v>
      </c>
      <c r="D550" s="3598">
        <v>5656</v>
      </c>
    </row>
    <row r="551" spans="1:4" x14ac:dyDescent="0.25">
      <c r="A551" s="370" t="s">
        <v>7505</v>
      </c>
      <c r="B551" s="370" t="s">
        <v>7504</v>
      </c>
      <c r="C551" s="370" t="s">
        <v>7503</v>
      </c>
      <c r="D551" s="3598">
        <v>4468</v>
      </c>
    </row>
    <row r="552" spans="1:4" x14ac:dyDescent="0.25">
      <c r="A552" s="370" t="s">
        <v>7508</v>
      </c>
      <c r="B552" s="370" t="s">
        <v>7507</v>
      </c>
      <c r="C552" s="370" t="s">
        <v>7506</v>
      </c>
      <c r="D552" s="3598">
        <v>1615.5</v>
      </c>
    </row>
    <row r="553" spans="1:4" x14ac:dyDescent="0.25">
      <c r="A553" s="370" t="s">
        <v>7511</v>
      </c>
      <c r="B553" s="370" t="s">
        <v>7510</v>
      </c>
      <c r="C553" s="370" t="s">
        <v>7509</v>
      </c>
      <c r="D553" s="3598">
        <v>1525</v>
      </c>
    </row>
    <row r="554" spans="1:4" x14ac:dyDescent="0.25">
      <c r="A554" s="370" t="s">
        <v>7512</v>
      </c>
      <c r="B554" s="370" t="s">
        <v>7514</v>
      </c>
      <c r="C554" s="370" t="s">
        <v>7513</v>
      </c>
      <c r="D554" s="3598">
        <v>3629</v>
      </c>
    </row>
    <row r="555" spans="1:4" x14ac:dyDescent="0.25">
      <c r="A555" s="370" t="s">
        <v>7517</v>
      </c>
      <c r="B555" s="370" t="s">
        <v>7516</v>
      </c>
      <c r="C555" s="370" t="s">
        <v>7515</v>
      </c>
      <c r="D555" s="3598">
        <v>2082</v>
      </c>
    </row>
    <row r="556" spans="1:4" x14ac:dyDescent="0.25">
      <c r="A556" s="370" t="s">
        <v>7520</v>
      </c>
      <c r="B556" s="370" t="s">
        <v>7519</v>
      </c>
      <c r="C556" s="370" t="s">
        <v>7518</v>
      </c>
      <c r="D556" s="3598">
        <v>13775</v>
      </c>
    </row>
    <row r="557" spans="1:4" x14ac:dyDescent="0.25">
      <c r="A557" s="370" t="s">
        <v>7521</v>
      </c>
      <c r="B557" s="370" t="s">
        <v>7523</v>
      </c>
      <c r="C557" s="370" t="s">
        <v>7522</v>
      </c>
      <c r="D557" s="3598">
        <v>964.2</v>
      </c>
    </row>
    <row r="558" spans="1:4" x14ac:dyDescent="0.25">
      <c r="A558" s="370" t="s">
        <v>7525</v>
      </c>
      <c r="B558" s="370" t="s">
        <v>7527</v>
      </c>
      <c r="C558" s="370" t="s">
        <v>7526</v>
      </c>
      <c r="D558" s="3598">
        <v>1341.5</v>
      </c>
    </row>
    <row r="559" spans="1:4" x14ac:dyDescent="0.25">
      <c r="A559" s="370" t="s">
        <v>7530</v>
      </c>
      <c r="B559" s="370" t="s">
        <v>7529</v>
      </c>
      <c r="C559" s="370" t="s">
        <v>7528</v>
      </c>
      <c r="D559" s="3598">
        <v>3434</v>
      </c>
    </row>
    <row r="560" spans="1:4" x14ac:dyDescent="0.25">
      <c r="A560" s="370" t="s">
        <v>7548</v>
      </c>
      <c r="B560" s="370" t="s">
        <v>7550</v>
      </c>
      <c r="C560" s="370" t="s">
        <v>7549</v>
      </c>
      <c r="D560" s="3598">
        <v>18.36</v>
      </c>
    </row>
    <row r="561" spans="1:4" x14ac:dyDescent="0.25">
      <c r="A561" s="370" t="s">
        <v>7553</v>
      </c>
      <c r="B561" s="370" t="s">
        <v>7552</v>
      </c>
      <c r="C561" s="370" t="s">
        <v>7551</v>
      </c>
      <c r="D561" s="3598">
        <v>3.9100000000000003E-2</v>
      </c>
    </row>
    <row r="562" spans="1:4" x14ac:dyDescent="0.25">
      <c r="A562" s="370" t="s">
        <v>7554</v>
      </c>
      <c r="B562" s="370" t="s">
        <v>7556</v>
      </c>
      <c r="C562" s="370" t="s">
        <v>7555</v>
      </c>
      <c r="D562" s="3598">
        <v>776.5</v>
      </c>
    </row>
    <row r="563" spans="1:4" x14ac:dyDescent="0.25">
      <c r="A563" s="370" t="s">
        <v>7557</v>
      </c>
      <c r="B563" s="370" t="s">
        <v>7559</v>
      </c>
      <c r="C563" s="370" t="s">
        <v>7558</v>
      </c>
      <c r="D563" s="3598">
        <v>4.0439999999999996</v>
      </c>
    </row>
    <row r="564" spans="1:4" x14ac:dyDescent="0.25">
      <c r="A564" s="370" t="s">
        <v>7562</v>
      </c>
      <c r="B564" s="370" t="s">
        <v>7561</v>
      </c>
      <c r="C564" s="370" t="s">
        <v>7560</v>
      </c>
      <c r="D564" s="3598">
        <v>15.315</v>
      </c>
    </row>
    <row r="565" spans="1:4" x14ac:dyDescent="0.25">
      <c r="A565" s="370" t="s">
        <v>7563</v>
      </c>
      <c r="B565" s="370" t="s">
        <v>7565</v>
      </c>
      <c r="C565" s="370" t="s">
        <v>7564</v>
      </c>
      <c r="D565" s="3598">
        <v>79.48</v>
      </c>
    </row>
    <row r="566" spans="1:4" x14ac:dyDescent="0.25">
      <c r="A566" s="370" t="s">
        <v>7566</v>
      </c>
      <c r="B566" s="370" t="s">
        <v>7568</v>
      </c>
      <c r="C566" s="370" t="s">
        <v>7567</v>
      </c>
      <c r="D566" s="3598">
        <v>19.829999999999998</v>
      </c>
    </row>
    <row r="567" spans="1:4" x14ac:dyDescent="0.25">
      <c r="A567" s="370" t="s">
        <v>7573</v>
      </c>
      <c r="B567" s="370" t="s">
        <v>7572</v>
      </c>
      <c r="C567" s="370" t="s">
        <v>7571</v>
      </c>
      <c r="D567" s="3598">
        <v>36.9</v>
      </c>
    </row>
    <row r="568" spans="1:4" x14ac:dyDescent="0.25">
      <c r="A568" s="370" t="s">
        <v>7624</v>
      </c>
      <c r="B568" s="370" t="s">
        <v>7626</v>
      </c>
      <c r="C568" s="370" t="s">
        <v>7625</v>
      </c>
      <c r="D568" s="3598">
        <v>14.44</v>
      </c>
    </row>
    <row r="569" spans="1:4" x14ac:dyDescent="0.25">
      <c r="A569" s="370" t="s">
        <v>7627</v>
      </c>
      <c r="B569" s="370" t="s">
        <v>10102</v>
      </c>
      <c r="C569" s="370" t="s">
        <v>10103</v>
      </c>
      <c r="D569" s="3598">
        <v>16.38</v>
      </c>
    </row>
    <row r="570" spans="1:4" x14ac:dyDescent="0.25">
      <c r="A570" s="370" t="s">
        <v>7695</v>
      </c>
      <c r="B570" s="370" t="s">
        <v>7694</v>
      </c>
      <c r="C570" s="370" t="s">
        <v>7690</v>
      </c>
      <c r="D570" s="3598">
        <v>31.515000000000001</v>
      </c>
    </row>
    <row r="571" spans="1:4" x14ac:dyDescent="0.25">
      <c r="A571" s="370" t="s">
        <v>7691</v>
      </c>
      <c r="B571" s="370" t="s">
        <v>7696</v>
      </c>
      <c r="C571" s="370" t="s">
        <v>7692</v>
      </c>
      <c r="D571" s="3598">
        <v>14.46</v>
      </c>
    </row>
    <row r="572" spans="1:4" x14ac:dyDescent="0.25">
      <c r="A572" s="370" t="s">
        <v>7753</v>
      </c>
      <c r="B572" s="370" t="s">
        <v>8900</v>
      </c>
      <c r="C572" s="370" t="s">
        <v>8901</v>
      </c>
      <c r="D572" s="3598">
        <v>141.30000000000001</v>
      </c>
    </row>
    <row r="573" spans="1:4" x14ac:dyDescent="0.25">
      <c r="A573" s="370" t="s">
        <v>7754</v>
      </c>
      <c r="B573" s="370" t="s">
        <v>7756</v>
      </c>
      <c r="C573" s="370" t="s">
        <v>7751</v>
      </c>
      <c r="D573" s="3598">
        <v>114.06</v>
      </c>
    </row>
    <row r="574" spans="1:4" x14ac:dyDescent="0.25">
      <c r="A574" s="370" t="s">
        <v>7755</v>
      </c>
      <c r="B574" s="370" t="s">
        <v>7757</v>
      </c>
      <c r="C574" s="370" t="s">
        <v>6732</v>
      </c>
      <c r="D574" s="3598">
        <v>4.0890000000000004</v>
      </c>
    </row>
    <row r="575" spans="1:4" x14ac:dyDescent="0.25">
      <c r="A575" s="370" t="s">
        <v>6337</v>
      </c>
      <c r="B575" s="370" t="s">
        <v>7758</v>
      </c>
      <c r="C575" s="370" t="s">
        <v>7752</v>
      </c>
      <c r="D575" s="3425">
        <v>81.75</v>
      </c>
    </row>
    <row r="576" spans="1:4" x14ac:dyDescent="0.25">
      <c r="A576" s="370" t="s">
        <v>7805</v>
      </c>
      <c r="B576" s="370" t="s">
        <v>7804</v>
      </c>
      <c r="C576" s="370" t="s">
        <v>7803</v>
      </c>
      <c r="D576" s="3425">
        <v>1894.6</v>
      </c>
    </row>
    <row r="577" spans="1:4" x14ac:dyDescent="0.25">
      <c r="A577" s="370" t="s">
        <v>7833</v>
      </c>
      <c r="B577" s="370" t="s">
        <v>7842</v>
      </c>
      <c r="C577" s="370" t="s">
        <v>7825</v>
      </c>
      <c r="D577" s="3425">
        <v>5640</v>
      </c>
    </row>
    <row r="578" spans="1:4" x14ac:dyDescent="0.25">
      <c r="A578" s="370" t="s">
        <v>7834</v>
      </c>
      <c r="B578" s="370" t="s">
        <v>7843</v>
      </c>
      <c r="C578" s="370" t="s">
        <v>7826</v>
      </c>
      <c r="D578" s="3425">
        <v>25.18</v>
      </c>
    </row>
    <row r="579" spans="1:4" x14ac:dyDescent="0.25">
      <c r="A579" s="370" t="s">
        <v>7835</v>
      </c>
      <c r="B579" s="370" t="s">
        <v>7844</v>
      </c>
      <c r="C579" s="370" t="s">
        <v>5541</v>
      </c>
      <c r="D579" s="3425">
        <v>28.43</v>
      </c>
    </row>
    <row r="580" spans="1:4" x14ac:dyDescent="0.25">
      <c r="A580" s="370" t="s">
        <v>7836</v>
      </c>
      <c r="B580" s="370" t="s">
        <v>7845</v>
      </c>
      <c r="C580" s="370" t="s">
        <v>7827</v>
      </c>
      <c r="D580" s="3425">
        <v>131.09</v>
      </c>
    </row>
    <row r="581" spans="1:4" x14ac:dyDescent="0.25">
      <c r="A581" s="370" t="s">
        <v>7837</v>
      </c>
      <c r="B581" s="370" t="s">
        <v>7846</v>
      </c>
      <c r="C581" s="370" t="s">
        <v>7828</v>
      </c>
      <c r="D581" s="3425">
        <v>205.29</v>
      </c>
    </row>
    <row r="582" spans="1:4" x14ac:dyDescent="0.25">
      <c r="A582" s="370" t="s">
        <v>7838</v>
      </c>
      <c r="B582" s="370" t="s">
        <v>7847</v>
      </c>
      <c r="C582" s="370" t="s">
        <v>7829</v>
      </c>
      <c r="D582" s="3425">
        <v>74.11</v>
      </c>
    </row>
    <row r="583" spans="1:4" x14ac:dyDescent="0.25">
      <c r="A583" s="370" t="s">
        <v>7839</v>
      </c>
      <c r="B583" s="370" t="s">
        <v>7848</v>
      </c>
      <c r="C583" s="370" t="s">
        <v>7830</v>
      </c>
      <c r="D583" s="3425">
        <v>137.05000000000001</v>
      </c>
    </row>
    <row r="584" spans="1:4" x14ac:dyDescent="0.25">
      <c r="A584" s="370" t="s">
        <v>7840</v>
      </c>
      <c r="B584" s="370" t="s">
        <v>7849</v>
      </c>
      <c r="C584" s="370" t="s">
        <v>7831</v>
      </c>
      <c r="D584" s="3425">
        <v>245.93</v>
      </c>
    </row>
    <row r="585" spans="1:4" x14ac:dyDescent="0.25">
      <c r="A585" s="370" t="s">
        <v>7841</v>
      </c>
      <c r="B585" s="370" t="s">
        <v>7850</v>
      </c>
      <c r="C585" s="370" t="s">
        <v>7832</v>
      </c>
      <c r="D585" s="3425">
        <v>68.239999999999995</v>
      </c>
    </row>
    <row r="586" spans="1:4" x14ac:dyDescent="0.25">
      <c r="A586" s="370" t="s">
        <v>7855</v>
      </c>
      <c r="B586" s="370" t="s">
        <v>7853</v>
      </c>
      <c r="C586" s="370" t="s">
        <v>7851</v>
      </c>
      <c r="D586" s="3425">
        <v>48.95</v>
      </c>
    </row>
    <row r="587" spans="1:4" x14ac:dyDescent="0.25">
      <c r="A587" s="370" t="s">
        <v>7856</v>
      </c>
      <c r="B587" s="370" t="s">
        <v>7854</v>
      </c>
      <c r="C587" s="370" t="s">
        <v>7852</v>
      </c>
      <c r="D587" s="3425">
        <v>726.7</v>
      </c>
    </row>
    <row r="588" spans="1:4" x14ac:dyDescent="0.25">
      <c r="A588" s="370" t="s">
        <v>7857</v>
      </c>
      <c r="B588" s="370" t="s">
        <v>10713</v>
      </c>
      <c r="C588" s="370" t="s">
        <v>10714</v>
      </c>
      <c r="D588" s="3425">
        <v>30.5</v>
      </c>
    </row>
    <row r="589" spans="1:4" ht="13.8" x14ac:dyDescent="0.3">
      <c r="A589" s="1552" t="s">
        <v>7870</v>
      </c>
      <c r="B589" s="370" t="s">
        <v>9278</v>
      </c>
      <c r="C589" s="370" t="s">
        <v>9277</v>
      </c>
      <c r="D589" s="3425">
        <v>20.100000000000001</v>
      </c>
    </row>
    <row r="590" spans="1:4" ht="13.8" x14ac:dyDescent="0.3">
      <c r="A590" s="1552" t="s">
        <v>7871</v>
      </c>
      <c r="B590" s="370" t="s">
        <v>7873</v>
      </c>
      <c r="C590" s="370" t="s">
        <v>7872</v>
      </c>
      <c r="D590" s="3425">
        <v>11.494999999999999</v>
      </c>
    </row>
    <row r="591" spans="1:4" x14ac:dyDescent="0.25">
      <c r="A591" s="370" t="s">
        <v>7902</v>
      </c>
      <c r="B591" s="370" t="s">
        <v>7920</v>
      </c>
      <c r="C591" s="370" t="s">
        <v>7886</v>
      </c>
      <c r="D591" s="3425">
        <v>72.36</v>
      </c>
    </row>
    <row r="592" spans="1:4" x14ac:dyDescent="0.25">
      <c r="A592" s="370" t="s">
        <v>7904</v>
      </c>
      <c r="B592" s="370" t="s">
        <v>7921</v>
      </c>
      <c r="C592" s="370" t="s">
        <v>7888</v>
      </c>
      <c r="D592" s="3425">
        <v>3.464</v>
      </c>
    </row>
    <row r="593" spans="1:4" x14ac:dyDescent="0.25">
      <c r="A593" s="370" t="s">
        <v>7905</v>
      </c>
      <c r="B593" s="370" t="s">
        <v>7922</v>
      </c>
      <c r="C593" s="370" t="s">
        <v>7889</v>
      </c>
      <c r="D593" s="3425">
        <v>1122</v>
      </c>
    </row>
    <row r="594" spans="1:4" x14ac:dyDescent="0.25">
      <c r="A594" s="370" t="s">
        <v>7906</v>
      </c>
      <c r="B594" s="370" t="s">
        <v>7923</v>
      </c>
      <c r="C594" s="370" t="s">
        <v>7890</v>
      </c>
      <c r="D594" s="3425">
        <v>137.75</v>
      </c>
    </row>
    <row r="595" spans="1:4" x14ac:dyDescent="0.25">
      <c r="A595" s="370" t="s">
        <v>7907</v>
      </c>
      <c r="B595" s="370" t="s">
        <v>7924</v>
      </c>
      <c r="C595" s="370" t="s">
        <v>7891</v>
      </c>
      <c r="D595" s="3425">
        <v>289.74</v>
      </c>
    </row>
    <row r="596" spans="1:4" x14ac:dyDescent="0.25">
      <c r="A596" s="370" t="s">
        <v>7908</v>
      </c>
      <c r="B596" s="370" t="s">
        <v>7925</v>
      </c>
      <c r="C596" s="370" t="s">
        <v>7892</v>
      </c>
      <c r="D596" s="3425">
        <v>13.34</v>
      </c>
    </row>
    <row r="597" spans="1:4" x14ac:dyDescent="0.25">
      <c r="A597" s="370" t="s">
        <v>7909</v>
      </c>
      <c r="B597" s="370" t="s">
        <v>7926</v>
      </c>
      <c r="C597" s="370" t="s">
        <v>7893</v>
      </c>
      <c r="D597" s="3425">
        <v>39.020000000000003</v>
      </c>
    </row>
    <row r="598" spans="1:4" x14ac:dyDescent="0.25">
      <c r="A598" s="370" t="s">
        <v>7910</v>
      </c>
      <c r="B598" s="370" t="s">
        <v>7927</v>
      </c>
      <c r="C598" s="370" t="s">
        <v>7894</v>
      </c>
      <c r="D598" s="3425">
        <v>1395.5</v>
      </c>
    </row>
    <row r="599" spans="1:4" x14ac:dyDescent="0.25">
      <c r="A599" s="370" t="s">
        <v>7911</v>
      </c>
      <c r="B599" s="370" t="s">
        <v>7928</v>
      </c>
      <c r="C599" s="370" t="s">
        <v>7895</v>
      </c>
      <c r="D599" s="3425">
        <v>130.22</v>
      </c>
    </row>
    <row r="600" spans="1:4" x14ac:dyDescent="0.25">
      <c r="A600" s="370" t="s">
        <v>7912</v>
      </c>
      <c r="B600" s="370" t="s">
        <v>7929</v>
      </c>
      <c r="C600" s="370" t="s">
        <v>7896</v>
      </c>
      <c r="D600" s="3425">
        <v>42.27</v>
      </c>
    </row>
    <row r="601" spans="1:4" x14ac:dyDescent="0.25">
      <c r="A601" s="370" t="s">
        <v>7913</v>
      </c>
      <c r="B601" s="370" t="s">
        <v>10206</v>
      </c>
      <c r="C601" s="370" t="s">
        <v>10207</v>
      </c>
      <c r="D601" s="3425">
        <v>811</v>
      </c>
    </row>
    <row r="602" spans="1:4" x14ac:dyDescent="0.25">
      <c r="A602" s="370" t="s">
        <v>7914</v>
      </c>
      <c r="B602" s="370" t="s">
        <v>7930</v>
      </c>
      <c r="C602" s="370" t="s">
        <v>7897</v>
      </c>
      <c r="D602" s="3425">
        <v>303.8</v>
      </c>
    </row>
    <row r="603" spans="1:4" x14ac:dyDescent="0.25">
      <c r="A603" s="370" t="s">
        <v>7915</v>
      </c>
      <c r="B603" s="370" t="s">
        <v>9087</v>
      </c>
      <c r="C603" s="370" t="s">
        <v>9086</v>
      </c>
      <c r="D603" s="3425">
        <v>3627.88</v>
      </c>
    </row>
    <row r="604" spans="1:4" x14ac:dyDescent="0.25">
      <c r="A604" s="370" t="s">
        <v>7916</v>
      </c>
      <c r="B604" s="370" t="s">
        <v>7931</v>
      </c>
      <c r="C604" s="370" t="s">
        <v>7898</v>
      </c>
      <c r="D604" s="3425">
        <v>21.69</v>
      </c>
    </row>
    <row r="605" spans="1:4" x14ac:dyDescent="0.25">
      <c r="A605" s="370" t="s">
        <v>7917</v>
      </c>
      <c r="B605" s="370" t="s">
        <v>7932</v>
      </c>
      <c r="C605" s="370" t="s">
        <v>7899</v>
      </c>
      <c r="D605" s="3425">
        <v>41.99</v>
      </c>
    </row>
    <row r="606" spans="1:4" x14ac:dyDescent="0.25">
      <c r="A606" s="370" t="s">
        <v>7918</v>
      </c>
      <c r="B606" s="370" t="s">
        <v>7933</v>
      </c>
      <c r="C606" s="370" t="s">
        <v>7900</v>
      </c>
      <c r="D606" s="3425">
        <v>271.8</v>
      </c>
    </row>
    <row r="607" spans="1:4" x14ac:dyDescent="0.25">
      <c r="A607" s="370" t="s">
        <v>7919</v>
      </c>
      <c r="B607" s="370" t="s">
        <v>7934</v>
      </c>
      <c r="C607" s="370" t="s">
        <v>7901</v>
      </c>
      <c r="D607" s="3425">
        <v>37.94</v>
      </c>
    </row>
    <row r="608" spans="1:4" x14ac:dyDescent="0.25">
      <c r="A608" s="370" t="s">
        <v>7983</v>
      </c>
      <c r="B608" s="370" t="s">
        <v>7982</v>
      </c>
      <c r="C608" s="370" t="s">
        <v>7981</v>
      </c>
      <c r="D608" s="3425">
        <v>2031</v>
      </c>
    </row>
    <row r="609" spans="1:4" x14ac:dyDescent="0.25">
      <c r="A609" s="370" t="s">
        <v>7986</v>
      </c>
      <c r="B609" s="370" t="s">
        <v>7985</v>
      </c>
      <c r="C609" s="370" t="s">
        <v>7984</v>
      </c>
      <c r="D609" s="3425">
        <v>4483</v>
      </c>
    </row>
    <row r="610" spans="1:4" x14ac:dyDescent="0.25">
      <c r="A610" s="370" t="s">
        <v>8208</v>
      </c>
      <c r="B610" s="370" t="s">
        <v>8214</v>
      </c>
      <c r="C610" s="370" t="s">
        <v>8209</v>
      </c>
      <c r="D610" s="3425">
        <v>176.75</v>
      </c>
    </row>
    <row r="611" spans="1:4" x14ac:dyDescent="0.25">
      <c r="A611" s="370" t="s">
        <v>8210</v>
      </c>
      <c r="B611" s="370" t="s">
        <v>8215</v>
      </c>
      <c r="C611" s="370" t="s">
        <v>8211</v>
      </c>
      <c r="D611" s="3425">
        <v>156.49</v>
      </c>
    </row>
    <row r="612" spans="1:4" x14ac:dyDescent="0.25">
      <c r="A612" s="370" t="s">
        <v>8212</v>
      </c>
      <c r="B612" s="370" t="s">
        <v>8216</v>
      </c>
      <c r="C612" s="370" t="s">
        <v>8213</v>
      </c>
      <c r="D612" s="3425">
        <v>8962</v>
      </c>
    </row>
    <row r="613" spans="1:4" x14ac:dyDescent="0.25">
      <c r="A613" s="370" t="s">
        <v>8259</v>
      </c>
      <c r="B613" s="370" t="s">
        <v>8268</v>
      </c>
      <c r="C613" s="370" t="s">
        <v>8267</v>
      </c>
      <c r="D613" s="3425">
        <v>284.32</v>
      </c>
    </row>
    <row r="614" spans="1:4" x14ac:dyDescent="0.25">
      <c r="A614" s="370" t="s">
        <v>8260</v>
      </c>
      <c r="B614" s="370" t="s">
        <v>8276</v>
      </c>
      <c r="C614" s="370" t="s">
        <v>8269</v>
      </c>
      <c r="D614" s="3425">
        <v>111.9</v>
      </c>
    </row>
    <row r="615" spans="1:4" x14ac:dyDescent="0.25">
      <c r="A615" s="370" t="s">
        <v>8261</v>
      </c>
      <c r="B615" s="370" t="s">
        <v>9619</v>
      </c>
      <c r="C615" s="370" t="s">
        <v>9620</v>
      </c>
      <c r="D615" s="3425">
        <v>198.95</v>
      </c>
    </row>
    <row r="616" spans="1:4" x14ac:dyDescent="0.25">
      <c r="A616" s="370" t="s">
        <v>6057</v>
      </c>
      <c r="B616" s="370" t="s">
        <v>8277</v>
      </c>
      <c r="C616" s="370" t="s">
        <v>8270</v>
      </c>
      <c r="D616" s="3425">
        <v>420.72</v>
      </c>
    </row>
    <row r="617" spans="1:4" x14ac:dyDescent="0.25">
      <c r="A617" s="370" t="s">
        <v>8262</v>
      </c>
      <c r="B617" s="370" t="s">
        <v>8278</v>
      </c>
      <c r="C617" s="370" t="s">
        <v>8271</v>
      </c>
      <c r="D617" s="3425">
        <v>1114.5</v>
      </c>
    </row>
    <row r="618" spans="1:4" x14ac:dyDescent="0.25">
      <c r="A618" s="370" t="s">
        <v>8263</v>
      </c>
      <c r="B618" s="370" t="s">
        <v>8279</v>
      </c>
      <c r="C618" s="370" t="s">
        <v>8272</v>
      </c>
      <c r="D618" s="3425">
        <v>163.34</v>
      </c>
    </row>
    <row r="619" spans="1:4" x14ac:dyDescent="0.25">
      <c r="A619" s="370" t="s">
        <v>8264</v>
      </c>
      <c r="B619" s="370" t="s">
        <v>8280</v>
      </c>
      <c r="C619" s="370" t="s">
        <v>8273</v>
      </c>
      <c r="D619" s="3425">
        <v>91.39</v>
      </c>
    </row>
    <row r="620" spans="1:4" x14ac:dyDescent="0.25">
      <c r="A620" s="370" t="s">
        <v>8265</v>
      </c>
      <c r="B620" s="370" t="s">
        <v>8281</v>
      </c>
      <c r="C620" s="370" t="s">
        <v>8274</v>
      </c>
      <c r="D620" s="3425">
        <v>31.27</v>
      </c>
    </row>
    <row r="621" spans="1:4" x14ac:dyDescent="0.25">
      <c r="A621" s="370" t="s">
        <v>8266</v>
      </c>
      <c r="B621" s="370" t="s">
        <v>8282</v>
      </c>
      <c r="C621" s="370" t="s">
        <v>8275</v>
      </c>
      <c r="D621" s="3425">
        <v>15.34</v>
      </c>
    </row>
    <row r="622" spans="1:4" x14ac:dyDescent="0.25">
      <c r="A622" s="370" t="s">
        <v>8301</v>
      </c>
      <c r="B622" s="370" t="s">
        <v>8303</v>
      </c>
      <c r="C622" s="370" t="s">
        <v>8302</v>
      </c>
      <c r="D622" s="3605">
        <v>4.5214999999999996</v>
      </c>
    </row>
    <row r="623" spans="1:4" x14ac:dyDescent="0.25">
      <c r="A623" s="370" t="s">
        <v>8304</v>
      </c>
      <c r="B623" s="370" t="s">
        <v>8902</v>
      </c>
      <c r="C623" s="370" t="s">
        <v>8903</v>
      </c>
      <c r="D623" s="3605">
        <v>27.74</v>
      </c>
    </row>
    <row r="624" spans="1:4" x14ac:dyDescent="0.25">
      <c r="A624" s="370" t="s">
        <v>8336</v>
      </c>
      <c r="B624" s="370" t="s">
        <v>8340</v>
      </c>
      <c r="C624" s="370" t="s">
        <v>8337</v>
      </c>
      <c r="D624" s="3605">
        <v>34.64</v>
      </c>
    </row>
    <row r="625" spans="1:4" x14ac:dyDescent="0.25">
      <c r="A625" s="370" t="s">
        <v>8338</v>
      </c>
      <c r="B625" s="370" t="s">
        <v>4977</v>
      </c>
      <c r="C625" s="370" t="s">
        <v>8339</v>
      </c>
      <c r="D625" s="3605">
        <v>64.400000000000006</v>
      </c>
    </row>
    <row r="626" spans="1:4" x14ac:dyDescent="0.25">
      <c r="A626" s="370" t="s">
        <v>8371</v>
      </c>
      <c r="B626" s="370" t="s">
        <v>8387</v>
      </c>
      <c r="C626" s="370" t="s">
        <v>8372</v>
      </c>
      <c r="D626" s="3605">
        <v>247.45</v>
      </c>
    </row>
    <row r="627" spans="1:4" x14ac:dyDescent="0.25">
      <c r="A627" s="370" t="s">
        <v>8373</v>
      </c>
      <c r="B627" s="370" t="s">
        <v>8388</v>
      </c>
      <c r="C627" s="370" t="s">
        <v>8374</v>
      </c>
      <c r="D627" s="3605">
        <v>287.92</v>
      </c>
    </row>
    <row r="628" spans="1:4" x14ac:dyDescent="0.25">
      <c r="A628" s="370" t="s">
        <v>8375</v>
      </c>
      <c r="B628" s="370" t="s">
        <v>8389</v>
      </c>
      <c r="C628" s="370" t="s">
        <v>8376</v>
      </c>
      <c r="D628" s="3605">
        <v>8.3379999999999992</v>
      </c>
    </row>
    <row r="629" spans="1:4" x14ac:dyDescent="0.25">
      <c r="A629" s="370" t="s">
        <v>8377</v>
      </c>
      <c r="B629" s="370" t="s">
        <v>8390</v>
      </c>
      <c r="C629" s="370" t="s">
        <v>8378</v>
      </c>
      <c r="D629" s="3605">
        <v>2715</v>
      </c>
    </row>
    <row r="630" spans="1:4" x14ac:dyDescent="0.25">
      <c r="A630" s="370" t="s">
        <v>8379</v>
      </c>
      <c r="B630" s="370" t="s">
        <v>8904</v>
      </c>
      <c r="C630" s="370" t="s">
        <v>8905</v>
      </c>
      <c r="D630" s="3605">
        <v>540.20000000000005</v>
      </c>
    </row>
    <row r="631" spans="1:4" x14ac:dyDescent="0.25">
      <c r="A631" s="370" t="s">
        <v>8380</v>
      </c>
      <c r="B631" s="370" t="s">
        <v>8391</v>
      </c>
      <c r="C631" s="370" t="s">
        <v>8381</v>
      </c>
      <c r="D631" s="3605">
        <v>2006</v>
      </c>
    </row>
    <row r="632" spans="1:4" x14ac:dyDescent="0.25">
      <c r="A632" s="370" t="s">
        <v>8382</v>
      </c>
      <c r="B632" s="370" t="s">
        <v>8392</v>
      </c>
      <c r="C632" s="370" t="s">
        <v>8383</v>
      </c>
      <c r="D632" s="3605">
        <v>1486.5</v>
      </c>
    </row>
    <row r="633" spans="1:4" x14ac:dyDescent="0.25">
      <c r="A633" s="370" t="s">
        <v>8384</v>
      </c>
      <c r="B633" s="370" t="s">
        <v>8906</v>
      </c>
      <c r="C633" s="370" t="s">
        <v>8907</v>
      </c>
      <c r="D633" s="3605">
        <v>261.10000000000002</v>
      </c>
    </row>
    <row r="634" spans="1:4" x14ac:dyDescent="0.25">
      <c r="A634" s="370" t="s">
        <v>8385</v>
      </c>
      <c r="B634" s="370" t="s">
        <v>8393</v>
      </c>
      <c r="C634" s="370" t="s">
        <v>8386</v>
      </c>
      <c r="D634" s="3605">
        <v>80.819999999999993</v>
      </c>
    </row>
    <row r="635" spans="1:4" x14ac:dyDescent="0.25">
      <c r="A635" s="370" t="s">
        <v>8456</v>
      </c>
      <c r="B635" s="370" t="s">
        <v>8462</v>
      </c>
      <c r="C635" s="370" t="s">
        <v>8457</v>
      </c>
      <c r="D635" s="3605">
        <v>8994</v>
      </c>
    </row>
    <row r="636" spans="1:4" x14ac:dyDescent="0.25">
      <c r="A636" s="370" t="s">
        <v>8458</v>
      </c>
      <c r="B636" s="370" t="s">
        <v>8463</v>
      </c>
      <c r="C636" s="370" t="s">
        <v>8459</v>
      </c>
      <c r="D636" s="3605">
        <v>1815</v>
      </c>
    </row>
    <row r="637" spans="1:4" x14ac:dyDescent="0.25">
      <c r="A637" s="370" t="s">
        <v>8460</v>
      </c>
      <c r="B637" s="370" t="s">
        <v>8464</v>
      </c>
      <c r="C637" s="370" t="s">
        <v>8461</v>
      </c>
      <c r="D637" s="3605">
        <v>798.8</v>
      </c>
    </row>
    <row r="638" spans="1:4" x14ac:dyDescent="0.25">
      <c r="A638" s="370" t="s">
        <v>6072</v>
      </c>
      <c r="B638" s="370" t="s">
        <v>8520</v>
      </c>
      <c r="C638" s="370" t="s">
        <v>8514</v>
      </c>
      <c r="D638" s="3605">
        <v>8.34</v>
      </c>
    </row>
    <row r="639" spans="1:4" x14ac:dyDescent="0.25">
      <c r="A639" s="370" t="s">
        <v>8526</v>
      </c>
      <c r="B639" s="370" t="s">
        <v>8521</v>
      </c>
      <c r="C639" s="370" t="s">
        <v>8515</v>
      </c>
      <c r="D639" s="3605">
        <v>206.6</v>
      </c>
    </row>
    <row r="640" spans="1:4" x14ac:dyDescent="0.25">
      <c r="A640" s="370" t="s">
        <v>8527</v>
      </c>
      <c r="B640" s="370" t="s">
        <v>8522</v>
      </c>
      <c r="C640" s="370" t="s">
        <v>8516</v>
      </c>
      <c r="D640" s="3605">
        <v>42.82</v>
      </c>
    </row>
    <row r="641" spans="1:4" x14ac:dyDescent="0.25">
      <c r="A641" s="370" t="s">
        <v>8528</v>
      </c>
      <c r="B641" s="370" t="s">
        <v>8523</v>
      </c>
      <c r="C641" s="370" t="s">
        <v>8517</v>
      </c>
      <c r="D641" s="3605">
        <v>461.4</v>
      </c>
    </row>
    <row r="642" spans="1:4" x14ac:dyDescent="0.25">
      <c r="A642" s="370" t="s">
        <v>8529</v>
      </c>
      <c r="B642" s="370" t="s">
        <v>8524</v>
      </c>
      <c r="C642" s="370" t="s">
        <v>8518</v>
      </c>
      <c r="D642" s="3605">
        <v>54.1</v>
      </c>
    </row>
    <row r="643" spans="1:4" x14ac:dyDescent="0.25">
      <c r="A643" s="370" t="s">
        <v>8530</v>
      </c>
      <c r="B643" s="370" t="s">
        <v>8525</v>
      </c>
      <c r="C643" s="370" t="s">
        <v>8519</v>
      </c>
      <c r="D643" s="3605">
        <v>8.7200000000000006</v>
      </c>
    </row>
    <row r="644" spans="1:4" x14ac:dyDescent="0.25">
      <c r="A644" s="370" t="s">
        <v>8640</v>
      </c>
      <c r="B644" s="370" t="s">
        <v>8708</v>
      </c>
      <c r="C644" s="370" t="s">
        <v>8647</v>
      </c>
      <c r="D644" s="3425">
        <v>206.23</v>
      </c>
    </row>
    <row r="645" spans="1:4" x14ac:dyDescent="0.25">
      <c r="A645" s="370" t="s">
        <v>8641</v>
      </c>
      <c r="B645" s="370" t="s">
        <v>8709</v>
      </c>
      <c r="C645" s="370" t="s">
        <v>8648</v>
      </c>
      <c r="D645" s="3425">
        <v>892.2</v>
      </c>
    </row>
    <row r="646" spans="1:4" x14ac:dyDescent="0.25">
      <c r="A646" s="370" t="s">
        <v>8642</v>
      </c>
      <c r="B646" s="370" t="s">
        <v>8710</v>
      </c>
      <c r="C646" s="370" t="s">
        <v>8649</v>
      </c>
      <c r="D646" s="3425">
        <v>49.91</v>
      </c>
    </row>
    <row r="647" spans="1:4" x14ac:dyDescent="0.25">
      <c r="A647" s="370" t="s">
        <v>6080</v>
      </c>
      <c r="B647" s="370" t="s">
        <v>8711</v>
      </c>
      <c r="C647" s="370" t="s">
        <v>6731</v>
      </c>
      <c r="D647" s="3425">
        <v>44.17</v>
      </c>
    </row>
    <row r="648" spans="1:4" x14ac:dyDescent="0.25">
      <c r="A648" s="370" t="s">
        <v>8643</v>
      </c>
      <c r="B648" s="370" t="s">
        <v>8712</v>
      </c>
      <c r="C648" s="370" t="s">
        <v>8650</v>
      </c>
      <c r="D648" s="3425">
        <v>532</v>
      </c>
    </row>
    <row r="649" spans="1:4" x14ac:dyDescent="0.25">
      <c r="A649" s="370" t="s">
        <v>8644</v>
      </c>
      <c r="B649" s="370" t="s">
        <v>8713</v>
      </c>
      <c r="C649" s="370" t="s">
        <v>8651</v>
      </c>
      <c r="D649" s="3425">
        <v>903.56</v>
      </c>
    </row>
    <row r="650" spans="1:4" x14ac:dyDescent="0.25">
      <c r="A650" s="370" t="s">
        <v>8645</v>
      </c>
      <c r="B650" s="370" t="s">
        <v>8714</v>
      </c>
      <c r="C650" s="370" t="s">
        <v>8652</v>
      </c>
      <c r="D650" s="3425">
        <v>549.6</v>
      </c>
    </row>
    <row r="651" spans="1:4" x14ac:dyDescent="0.25">
      <c r="A651" s="370" t="s">
        <v>8646</v>
      </c>
      <c r="B651" s="370" t="s">
        <v>8715</v>
      </c>
      <c r="C651" s="370" t="s">
        <v>8653</v>
      </c>
      <c r="D651" s="3425">
        <v>39260</v>
      </c>
    </row>
    <row r="652" spans="1:4" x14ac:dyDescent="0.25">
      <c r="A652" s="370" t="s">
        <v>8678</v>
      </c>
      <c r="B652" s="370" t="s">
        <v>8716</v>
      </c>
      <c r="C652" s="370" t="s">
        <v>8682</v>
      </c>
      <c r="D652" s="3425">
        <v>120.34</v>
      </c>
    </row>
    <row r="653" spans="1:4" x14ac:dyDescent="0.25">
      <c r="A653" s="370" t="s">
        <v>8679</v>
      </c>
      <c r="B653" s="370" t="s">
        <v>8717</v>
      </c>
      <c r="C653" s="370" t="s">
        <v>8683</v>
      </c>
      <c r="D653" s="3425">
        <v>29.78</v>
      </c>
    </row>
    <row r="654" spans="1:4" x14ac:dyDescent="0.25">
      <c r="A654" s="370" t="s">
        <v>8680</v>
      </c>
      <c r="B654" s="370" t="s">
        <v>8718</v>
      </c>
      <c r="C654" s="370" t="s">
        <v>8684</v>
      </c>
      <c r="D654" s="3425">
        <v>51.76</v>
      </c>
    </row>
    <row r="655" spans="1:4" x14ac:dyDescent="0.25">
      <c r="A655" s="370" t="s">
        <v>8681</v>
      </c>
      <c r="B655" s="370" t="s">
        <v>8719</v>
      </c>
      <c r="C655" s="370" t="s">
        <v>8685</v>
      </c>
      <c r="D655" s="3425">
        <v>3314</v>
      </c>
    </row>
    <row r="656" spans="1:4" x14ac:dyDescent="0.25">
      <c r="A656" s="370" t="s">
        <v>8686</v>
      </c>
      <c r="B656" s="370" t="s">
        <v>8720</v>
      </c>
      <c r="C656" s="370" t="s">
        <v>8687</v>
      </c>
      <c r="D656" s="3425">
        <v>38.78</v>
      </c>
    </row>
    <row r="657" spans="1:4" x14ac:dyDescent="0.25">
      <c r="A657" s="370" t="s">
        <v>8688</v>
      </c>
      <c r="B657" s="370" t="s">
        <v>8721</v>
      </c>
      <c r="C657" s="370" t="s">
        <v>8689</v>
      </c>
      <c r="D657" s="3425">
        <v>307.10000000000002</v>
      </c>
    </row>
    <row r="658" spans="1:4" x14ac:dyDescent="0.25">
      <c r="A658" s="370" t="s">
        <v>8692</v>
      </c>
      <c r="B658" s="370" t="s">
        <v>8722</v>
      </c>
      <c r="C658" s="370" t="s">
        <v>8693</v>
      </c>
      <c r="D658" s="3425">
        <v>14.2</v>
      </c>
    </row>
    <row r="659" spans="1:4" x14ac:dyDescent="0.25">
      <c r="A659" s="370" t="s">
        <v>8694</v>
      </c>
      <c r="B659" s="370" t="s">
        <v>8723</v>
      </c>
      <c r="C659" s="370" t="s">
        <v>8695</v>
      </c>
      <c r="D659" s="3425">
        <v>103.05</v>
      </c>
    </row>
    <row r="660" spans="1:4" x14ac:dyDescent="0.25">
      <c r="A660" s="370" t="s">
        <v>8696</v>
      </c>
      <c r="B660" s="370" t="s">
        <v>8724</v>
      </c>
      <c r="C660" s="370" t="s">
        <v>8697</v>
      </c>
      <c r="D660" s="3425">
        <v>197.9</v>
      </c>
    </row>
    <row r="661" spans="1:4" x14ac:dyDescent="0.25">
      <c r="A661" s="370" t="s">
        <v>8698</v>
      </c>
      <c r="B661" s="370" t="s">
        <v>8725</v>
      </c>
      <c r="C661" s="370" t="s">
        <v>8699</v>
      </c>
      <c r="D661" s="3425">
        <v>6546</v>
      </c>
    </row>
    <row r="662" spans="1:4" x14ac:dyDescent="0.25">
      <c r="A662" s="370" t="s">
        <v>8700</v>
      </c>
      <c r="B662" s="370" t="s">
        <v>8726</v>
      </c>
      <c r="C662" s="370" t="s">
        <v>8701</v>
      </c>
      <c r="D662" s="3425">
        <v>191.44</v>
      </c>
    </row>
    <row r="663" spans="1:4" x14ac:dyDescent="0.25">
      <c r="A663" s="370" t="s">
        <v>8702</v>
      </c>
      <c r="B663" s="370" t="s">
        <v>8727</v>
      </c>
      <c r="C663" s="370" t="s">
        <v>8703</v>
      </c>
      <c r="D663" s="3425">
        <v>49.99</v>
      </c>
    </row>
    <row r="664" spans="1:4" x14ac:dyDescent="0.25">
      <c r="A664" s="370" t="s">
        <v>8704</v>
      </c>
      <c r="B664" s="370" t="s">
        <v>8728</v>
      </c>
      <c r="C664" s="370" t="s">
        <v>8705</v>
      </c>
      <c r="D664" s="3425">
        <v>158.05000000000001</v>
      </c>
    </row>
    <row r="665" spans="1:4" x14ac:dyDescent="0.25">
      <c r="A665" s="370" t="s">
        <v>8706</v>
      </c>
      <c r="B665" s="370" t="s">
        <v>8729</v>
      </c>
      <c r="C665" s="370" t="s">
        <v>8707</v>
      </c>
      <c r="D665" s="3425">
        <v>170.69</v>
      </c>
    </row>
    <row r="666" spans="1:4" x14ac:dyDescent="0.25">
      <c r="A666" s="370" t="s">
        <v>8764</v>
      </c>
      <c r="B666" s="370" t="s">
        <v>8757</v>
      </c>
      <c r="C666" s="370" t="s">
        <v>8750</v>
      </c>
      <c r="D666" s="3425">
        <v>2837</v>
      </c>
    </row>
    <row r="667" spans="1:4" x14ac:dyDescent="0.25">
      <c r="A667" s="370" t="s">
        <v>8765</v>
      </c>
      <c r="B667" s="370" t="s">
        <v>8758</v>
      </c>
      <c r="C667" s="370" t="s">
        <v>8751</v>
      </c>
      <c r="D667" s="3425">
        <v>438.44</v>
      </c>
    </row>
    <row r="668" spans="1:4" x14ac:dyDescent="0.25">
      <c r="A668" s="370" t="s">
        <v>8766</v>
      </c>
      <c r="B668" s="370" t="s">
        <v>8759</v>
      </c>
      <c r="C668" s="370" t="s">
        <v>8752</v>
      </c>
      <c r="D668" s="3425">
        <v>20.95</v>
      </c>
    </row>
    <row r="669" spans="1:4" x14ac:dyDescent="0.25">
      <c r="A669" s="370" t="s">
        <v>8767</v>
      </c>
      <c r="B669" s="370" t="s">
        <v>8760</v>
      </c>
      <c r="C669" s="370" t="s">
        <v>8753</v>
      </c>
      <c r="D669" s="3425">
        <v>16.59</v>
      </c>
    </row>
    <row r="670" spans="1:4" x14ac:dyDescent="0.25">
      <c r="A670" s="370" t="s">
        <v>8768</v>
      </c>
      <c r="B670" s="370" t="s">
        <v>8761</v>
      </c>
      <c r="C670" s="370" t="s">
        <v>8754</v>
      </c>
      <c r="D670" s="3425">
        <v>199.7</v>
      </c>
    </row>
    <row r="671" spans="1:4" x14ac:dyDescent="0.25">
      <c r="A671" s="370" t="s">
        <v>8769</v>
      </c>
      <c r="B671" s="370" t="s">
        <v>8762</v>
      </c>
      <c r="C671" s="370" t="s">
        <v>8755</v>
      </c>
      <c r="D671" s="3425">
        <v>77.319999999999993</v>
      </c>
    </row>
    <row r="672" spans="1:4" x14ac:dyDescent="0.25">
      <c r="A672" s="370" t="s">
        <v>8770</v>
      </c>
      <c r="B672" s="370" t="s">
        <v>8763</v>
      </c>
      <c r="C672" s="370" t="s">
        <v>8756</v>
      </c>
      <c r="D672" s="3425">
        <v>210.8</v>
      </c>
    </row>
    <row r="673" spans="1:4" x14ac:dyDescent="0.25">
      <c r="A673" s="370" t="s">
        <v>8803</v>
      </c>
      <c r="B673" s="370" t="s">
        <v>8802</v>
      </c>
      <c r="C673" s="370" t="s">
        <v>8801</v>
      </c>
      <c r="D673" s="3425">
        <v>73.900000000000006</v>
      </c>
    </row>
    <row r="674" spans="1:4" x14ac:dyDescent="0.25">
      <c r="A674" s="370" t="s">
        <v>8804</v>
      </c>
      <c r="B674" s="370" t="s">
        <v>8908</v>
      </c>
      <c r="C674" s="370" t="s">
        <v>8909</v>
      </c>
      <c r="D674" s="3425">
        <v>52.08</v>
      </c>
    </row>
    <row r="675" spans="1:4" x14ac:dyDescent="0.25">
      <c r="A675" s="370" t="s">
        <v>8805</v>
      </c>
      <c r="B675" s="370" t="s">
        <v>8910</v>
      </c>
      <c r="C675" s="370" t="s">
        <v>8911</v>
      </c>
      <c r="D675" s="3425">
        <v>166.15</v>
      </c>
    </row>
    <row r="676" spans="1:4" x14ac:dyDescent="0.25">
      <c r="A676" s="1760" t="s">
        <v>3384</v>
      </c>
      <c r="B676" s="370" t="s">
        <v>8829</v>
      </c>
      <c r="C676" s="370" t="s">
        <v>8830</v>
      </c>
      <c r="D676" s="3425">
        <v>1.839</v>
      </c>
    </row>
    <row r="677" spans="1:4" x14ac:dyDescent="0.25">
      <c r="A677" s="370" t="s">
        <v>8914</v>
      </c>
      <c r="B677" s="370" t="s">
        <v>8916</v>
      </c>
      <c r="C677" s="370" t="s">
        <v>8915</v>
      </c>
      <c r="D677" s="3425">
        <v>732.63</v>
      </c>
    </row>
    <row r="678" spans="1:4" x14ac:dyDescent="0.25">
      <c r="A678" s="370" t="s">
        <v>8918</v>
      </c>
      <c r="B678" s="370" t="s">
        <v>8923</v>
      </c>
      <c r="C678" s="370" t="s">
        <v>8921</v>
      </c>
      <c r="D678" s="3425">
        <v>109.65</v>
      </c>
    </row>
    <row r="679" spans="1:4" x14ac:dyDescent="0.25">
      <c r="A679" s="370" t="s">
        <v>8919</v>
      </c>
      <c r="B679" s="370" t="s">
        <v>10743</v>
      </c>
      <c r="C679" s="370" t="s">
        <v>10744</v>
      </c>
      <c r="D679" s="3425">
        <v>229.3</v>
      </c>
    </row>
    <row r="680" spans="1:4" x14ac:dyDescent="0.25">
      <c r="A680" s="370" t="s">
        <v>8920</v>
      </c>
      <c r="B680" s="370" t="s">
        <v>8925</v>
      </c>
      <c r="C680" s="370" t="s">
        <v>8927</v>
      </c>
      <c r="D680" s="3425">
        <v>115.95</v>
      </c>
    </row>
    <row r="681" spans="1:4" x14ac:dyDescent="0.25">
      <c r="A681" s="370" t="s">
        <v>6338</v>
      </c>
      <c r="B681" s="370" t="s">
        <v>8926</v>
      </c>
      <c r="C681" s="370" t="s">
        <v>8928</v>
      </c>
      <c r="D681" s="3425">
        <v>486.3</v>
      </c>
    </row>
    <row r="682" spans="1:4" x14ac:dyDescent="0.25">
      <c r="A682" s="370" t="s">
        <v>8951</v>
      </c>
      <c r="B682" s="370" t="s">
        <v>8953</v>
      </c>
      <c r="C682" s="370" t="s">
        <v>8952</v>
      </c>
      <c r="D682" s="3425">
        <v>85.081699999999998</v>
      </c>
    </row>
    <row r="683" spans="1:4" ht="13.8" x14ac:dyDescent="0.3">
      <c r="A683" s="1552" t="s">
        <v>8968</v>
      </c>
      <c r="B683" s="1552" t="s">
        <v>8970</v>
      </c>
      <c r="C683" s="1552" t="s">
        <v>8969</v>
      </c>
      <c r="D683" s="3425">
        <v>9.1300000000000008</v>
      </c>
    </row>
    <row r="684" spans="1:4" x14ac:dyDescent="0.25">
      <c r="A684" s="370" t="s">
        <v>8978</v>
      </c>
      <c r="B684" s="370" t="s">
        <v>8986</v>
      </c>
      <c r="C684" s="370" t="s">
        <v>8982</v>
      </c>
      <c r="D684" s="3425">
        <v>5632</v>
      </c>
    </row>
    <row r="685" spans="1:4" x14ac:dyDescent="0.25">
      <c r="A685" s="370" t="s">
        <v>8979</v>
      </c>
      <c r="B685" s="370" t="s">
        <v>8987</v>
      </c>
      <c r="C685" s="370" t="s">
        <v>8983</v>
      </c>
      <c r="D685" s="3425">
        <v>62.81</v>
      </c>
    </row>
    <row r="686" spans="1:4" x14ac:dyDescent="0.25">
      <c r="A686" s="370" t="s">
        <v>8980</v>
      </c>
      <c r="B686" s="370" t="s">
        <v>8988</v>
      </c>
      <c r="C686" s="370" t="s">
        <v>8984</v>
      </c>
      <c r="D686" s="3425">
        <v>3300</v>
      </c>
    </row>
    <row r="687" spans="1:4" x14ac:dyDescent="0.25">
      <c r="A687" s="370" t="s">
        <v>8981</v>
      </c>
      <c r="B687" s="370" t="s">
        <v>8989</v>
      </c>
      <c r="C687" s="370" t="s">
        <v>8985</v>
      </c>
      <c r="D687" s="3425">
        <v>5.16</v>
      </c>
    </row>
    <row r="688" spans="1:4" ht="13.8" x14ac:dyDescent="0.3">
      <c r="A688" s="1552" t="s">
        <v>9002</v>
      </c>
      <c r="B688" s="1552" t="s">
        <v>9003</v>
      </c>
      <c r="C688" s="1552" t="s">
        <v>3205</v>
      </c>
      <c r="D688" s="3425">
        <v>193</v>
      </c>
    </row>
    <row r="689" spans="1:4" x14ac:dyDescent="0.25">
      <c r="A689" s="370" t="s">
        <v>9011</v>
      </c>
      <c r="B689" s="370" t="s">
        <v>9013</v>
      </c>
      <c r="C689" s="370" t="s">
        <v>9012</v>
      </c>
      <c r="D689" s="3425">
        <v>24</v>
      </c>
    </row>
    <row r="690" spans="1:4" x14ac:dyDescent="0.25">
      <c r="A690" s="370" t="s">
        <v>9050</v>
      </c>
      <c r="B690" s="370" t="s">
        <v>9052</v>
      </c>
      <c r="C690" s="370" t="s">
        <v>9051</v>
      </c>
      <c r="D690" s="3425">
        <v>18835</v>
      </c>
    </row>
    <row r="691" spans="1:4" x14ac:dyDescent="0.25">
      <c r="A691" s="370" t="s">
        <v>9073</v>
      </c>
      <c r="B691" s="370" t="s">
        <v>9075</v>
      </c>
      <c r="C691" s="370" t="s">
        <v>9074</v>
      </c>
      <c r="D691" s="3425">
        <v>58.73</v>
      </c>
    </row>
    <row r="692" spans="1:4" x14ac:dyDescent="0.25">
      <c r="A692" s="370" t="s">
        <v>9082</v>
      </c>
      <c r="B692" s="370" t="s">
        <v>9084</v>
      </c>
      <c r="C692" s="370" t="s">
        <v>9083</v>
      </c>
      <c r="D692" s="3425">
        <v>116.9607</v>
      </c>
    </row>
    <row r="693" spans="1:4" x14ac:dyDescent="0.25">
      <c r="A693" s="370" t="s">
        <v>9171</v>
      </c>
      <c r="B693" s="370" t="s">
        <v>9175</v>
      </c>
      <c r="C693" s="370" t="s">
        <v>9172</v>
      </c>
      <c r="D693" s="3425">
        <v>17.164999999999999</v>
      </c>
    </row>
    <row r="694" spans="1:4" x14ac:dyDescent="0.25">
      <c r="A694" s="370" t="s">
        <v>9173</v>
      </c>
      <c r="B694" s="370" t="s">
        <v>9176</v>
      </c>
      <c r="C694" s="370" t="s">
        <v>9174</v>
      </c>
      <c r="D694" s="3425">
        <v>632.20000000000005</v>
      </c>
    </row>
    <row r="695" spans="1:4" x14ac:dyDescent="0.25">
      <c r="A695" s="370" t="s">
        <v>9240</v>
      </c>
      <c r="B695" s="370" t="s">
        <v>9256</v>
      </c>
      <c r="C695" s="370" t="s">
        <v>9225</v>
      </c>
      <c r="D695" s="3425">
        <v>94.42</v>
      </c>
    </row>
    <row r="696" spans="1:4" x14ac:dyDescent="0.25">
      <c r="A696" s="370" t="s">
        <v>9241</v>
      </c>
      <c r="B696" s="370" t="s">
        <v>9257</v>
      </c>
      <c r="C696" s="370" t="s">
        <v>9226</v>
      </c>
      <c r="D696" s="3425">
        <v>59.44</v>
      </c>
    </row>
    <row r="697" spans="1:4" x14ac:dyDescent="0.25">
      <c r="A697" s="370" t="s">
        <v>9242</v>
      </c>
      <c r="B697" s="370" t="s">
        <v>9258</v>
      </c>
      <c r="C697" s="370" t="s">
        <v>9227</v>
      </c>
      <c r="D697" s="3425">
        <v>197.79</v>
      </c>
    </row>
    <row r="698" spans="1:4" x14ac:dyDescent="0.25">
      <c r="A698" s="370" t="s">
        <v>9243</v>
      </c>
      <c r="B698" s="370" t="s">
        <v>9259</v>
      </c>
      <c r="C698" s="370" t="s">
        <v>9228</v>
      </c>
      <c r="D698" s="3425">
        <v>249.74</v>
      </c>
    </row>
    <row r="699" spans="1:4" x14ac:dyDescent="0.25">
      <c r="A699" s="370" t="s">
        <v>9244</v>
      </c>
      <c r="B699" s="370" t="s">
        <v>9260</v>
      </c>
      <c r="C699" s="370" t="s">
        <v>9229</v>
      </c>
      <c r="D699" s="3425">
        <v>1325.41</v>
      </c>
    </row>
    <row r="700" spans="1:4" x14ac:dyDescent="0.25">
      <c r="A700" s="370" t="s">
        <v>9245</v>
      </c>
      <c r="B700" s="370" t="s">
        <v>9261</v>
      </c>
      <c r="C700" s="370" t="s">
        <v>9230</v>
      </c>
      <c r="D700" s="3425">
        <v>17.73</v>
      </c>
    </row>
    <row r="701" spans="1:4" x14ac:dyDescent="0.25">
      <c r="A701" s="370" t="s">
        <v>9246</v>
      </c>
      <c r="B701" s="370" t="s">
        <v>9262</v>
      </c>
      <c r="C701" s="370" t="s">
        <v>9231</v>
      </c>
      <c r="D701" s="3425">
        <v>13755</v>
      </c>
    </row>
    <row r="702" spans="1:4" x14ac:dyDescent="0.25">
      <c r="A702" s="370" t="s">
        <v>9247</v>
      </c>
      <c r="B702" s="370" t="s">
        <v>9263</v>
      </c>
      <c r="C702" s="370" t="s">
        <v>9232</v>
      </c>
      <c r="D702" s="3425">
        <v>650</v>
      </c>
    </row>
    <row r="703" spans="1:4" x14ac:dyDescent="0.25">
      <c r="A703" s="370" t="s">
        <v>9248</v>
      </c>
      <c r="B703" s="370" t="s">
        <v>9264</v>
      </c>
      <c r="C703" s="370" t="s">
        <v>9233</v>
      </c>
      <c r="D703" s="3425">
        <v>971.57</v>
      </c>
    </row>
    <row r="704" spans="1:4" x14ac:dyDescent="0.25">
      <c r="A704" s="370" t="s">
        <v>9249</v>
      </c>
      <c r="B704" s="370" t="s">
        <v>9265</v>
      </c>
      <c r="C704" s="370" t="s">
        <v>9234</v>
      </c>
      <c r="D704" s="3425">
        <v>89.71</v>
      </c>
    </row>
    <row r="705" spans="1:4" x14ac:dyDescent="0.25">
      <c r="A705" s="370" t="s">
        <v>9250</v>
      </c>
      <c r="B705" s="370" t="s">
        <v>9266</v>
      </c>
      <c r="C705" s="370" t="s">
        <v>9235</v>
      </c>
      <c r="D705" s="3425">
        <v>117.89</v>
      </c>
    </row>
    <row r="706" spans="1:4" x14ac:dyDescent="0.25">
      <c r="A706" s="370" t="s">
        <v>9251</v>
      </c>
      <c r="B706" s="370" t="s">
        <v>9267</v>
      </c>
      <c r="C706" s="370" t="s">
        <v>9236</v>
      </c>
      <c r="D706" s="3425">
        <v>2834.5</v>
      </c>
    </row>
    <row r="707" spans="1:4" x14ac:dyDescent="0.25">
      <c r="A707" s="370" t="s">
        <v>9252</v>
      </c>
      <c r="B707" s="370" t="s">
        <v>9268</v>
      </c>
      <c r="C707" s="370" t="s">
        <v>9237</v>
      </c>
      <c r="D707" s="3425">
        <v>2635</v>
      </c>
    </row>
    <row r="708" spans="1:4" x14ac:dyDescent="0.25">
      <c r="A708" s="370" t="s">
        <v>9253</v>
      </c>
      <c r="B708" s="370" t="s">
        <v>9269</v>
      </c>
      <c r="C708" s="370" t="s">
        <v>9238</v>
      </c>
      <c r="D708" s="3425">
        <v>108.32</v>
      </c>
    </row>
    <row r="709" spans="1:4" x14ac:dyDescent="0.25">
      <c r="A709" s="370" t="s">
        <v>9254</v>
      </c>
      <c r="B709" s="370" t="s">
        <v>10757</v>
      </c>
      <c r="C709" s="370" t="s">
        <v>10758</v>
      </c>
      <c r="D709" s="3425">
        <v>39.935000000000002</v>
      </c>
    </row>
    <row r="710" spans="1:4" x14ac:dyDescent="0.25">
      <c r="A710" s="370" t="s">
        <v>9255</v>
      </c>
      <c r="B710" s="370" t="s">
        <v>9270</v>
      </c>
      <c r="C710" s="370" t="s">
        <v>9239</v>
      </c>
      <c r="D710" s="3425">
        <v>194.92</v>
      </c>
    </row>
    <row r="711" spans="1:4" x14ac:dyDescent="0.25">
      <c r="A711" s="370" t="s">
        <v>9297</v>
      </c>
      <c r="B711" s="370" t="s">
        <v>9303</v>
      </c>
      <c r="C711" s="370" t="s">
        <v>9298</v>
      </c>
      <c r="D711" s="3425">
        <v>15.85</v>
      </c>
    </row>
    <row r="712" spans="1:4" x14ac:dyDescent="0.25">
      <c r="A712" s="370" t="s">
        <v>9299</v>
      </c>
      <c r="B712" s="370" t="s">
        <v>9304</v>
      </c>
      <c r="C712" s="370" t="s">
        <v>9300</v>
      </c>
      <c r="D712" s="3425">
        <v>297.25</v>
      </c>
    </row>
    <row r="713" spans="1:4" x14ac:dyDescent="0.25">
      <c r="A713" s="370" t="s">
        <v>9301</v>
      </c>
      <c r="B713" s="370" t="s">
        <v>9305</v>
      </c>
      <c r="C713" s="370" t="s">
        <v>9302</v>
      </c>
      <c r="D713" s="3425">
        <v>49.68</v>
      </c>
    </row>
    <row r="714" spans="1:4" x14ac:dyDescent="0.25">
      <c r="A714" s="370" t="s">
        <v>9363</v>
      </c>
      <c r="B714" s="370" t="s">
        <v>9364</v>
      </c>
      <c r="C714" s="370" t="s">
        <v>9361</v>
      </c>
      <c r="D714" s="3425">
        <v>30.66</v>
      </c>
    </row>
    <row r="715" spans="1:4" x14ac:dyDescent="0.25">
      <c r="A715" s="370" t="s">
        <v>9365</v>
      </c>
      <c r="B715" s="370" t="s">
        <v>9366</v>
      </c>
      <c r="C715" s="370" t="s">
        <v>9362</v>
      </c>
      <c r="D715" s="3425">
        <v>12.45</v>
      </c>
    </row>
    <row r="716" spans="1:4" x14ac:dyDescent="0.25">
      <c r="A716" s="370" t="s">
        <v>9429</v>
      </c>
      <c r="B716" s="370" t="s">
        <v>9431</v>
      </c>
      <c r="C716" s="370" t="s">
        <v>9430</v>
      </c>
      <c r="D716" s="3425">
        <v>729.4</v>
      </c>
    </row>
    <row r="717" spans="1:4" x14ac:dyDescent="0.25">
      <c r="A717" s="370" t="s">
        <v>9437</v>
      </c>
      <c r="B717" s="370" t="s">
        <v>9439</v>
      </c>
      <c r="C717" s="370" t="s">
        <v>9438</v>
      </c>
      <c r="D717" s="3605">
        <v>700.2</v>
      </c>
    </row>
    <row r="718" spans="1:4" x14ac:dyDescent="0.25">
      <c r="A718" s="370" t="s">
        <v>9458</v>
      </c>
      <c r="B718" s="370" t="s">
        <v>9461</v>
      </c>
      <c r="C718" s="370" t="s">
        <v>9459</v>
      </c>
      <c r="D718" s="3425">
        <v>856</v>
      </c>
    </row>
    <row r="719" spans="1:4" x14ac:dyDescent="0.25">
      <c r="A719" s="370" t="s">
        <v>9460</v>
      </c>
      <c r="B719" s="370" t="s">
        <v>9462</v>
      </c>
      <c r="C719" s="370" t="s">
        <v>1896</v>
      </c>
      <c r="D719" s="3425">
        <v>35.174999999999997</v>
      </c>
    </row>
    <row r="720" spans="1:4" x14ac:dyDescent="0.25">
      <c r="A720" s="370" t="s">
        <v>9512</v>
      </c>
      <c r="B720" s="370" t="s">
        <v>9520</v>
      </c>
      <c r="C720" s="370" t="s">
        <v>9513</v>
      </c>
      <c r="D720" s="3425">
        <v>105.83</v>
      </c>
    </row>
    <row r="721" spans="1:4" x14ac:dyDescent="0.25">
      <c r="A721" s="370" t="s">
        <v>9514</v>
      </c>
      <c r="B721" s="370" t="s">
        <v>9521</v>
      </c>
      <c r="C721" s="370" t="s">
        <v>9515</v>
      </c>
      <c r="D721" s="3425">
        <v>73.59</v>
      </c>
    </row>
    <row r="722" spans="1:4" x14ac:dyDescent="0.25">
      <c r="A722" s="370" t="s">
        <v>9516</v>
      </c>
      <c r="B722" s="370" t="s">
        <v>9522</v>
      </c>
      <c r="C722" s="370" t="s">
        <v>9517</v>
      </c>
      <c r="D722" s="3425">
        <v>47.81</v>
      </c>
    </row>
    <row r="723" spans="1:4" x14ac:dyDescent="0.25">
      <c r="A723" s="370" t="s">
        <v>9518</v>
      </c>
      <c r="B723" s="370" t="s">
        <v>9523</v>
      </c>
      <c r="C723" s="370" t="s">
        <v>9519</v>
      </c>
      <c r="D723" s="3425">
        <v>38.97</v>
      </c>
    </row>
    <row r="724" spans="1:4" x14ac:dyDescent="0.25">
      <c r="A724" s="370" t="s">
        <v>9584</v>
      </c>
      <c r="B724" s="370" t="s">
        <v>9586</v>
      </c>
      <c r="C724" s="370" t="s">
        <v>9585</v>
      </c>
      <c r="D724" s="3425">
        <v>3.39</v>
      </c>
    </row>
    <row r="725" spans="1:4" x14ac:dyDescent="0.25">
      <c r="A725" s="370" t="s">
        <v>9621</v>
      </c>
      <c r="B725" s="370" t="s">
        <v>9627</v>
      </c>
      <c r="C725" s="370" t="s">
        <v>9622</v>
      </c>
      <c r="D725" s="3425">
        <v>25</v>
      </c>
    </row>
    <row r="726" spans="1:4" x14ac:dyDescent="0.25">
      <c r="A726" s="370" t="s">
        <v>9623</v>
      </c>
      <c r="B726" s="370" t="s">
        <v>9628</v>
      </c>
      <c r="C726" s="370" t="s">
        <v>9624</v>
      </c>
      <c r="D726" s="3425">
        <v>73.25</v>
      </c>
    </row>
    <row r="727" spans="1:4" x14ac:dyDescent="0.25">
      <c r="A727" s="370" t="s">
        <v>9625</v>
      </c>
      <c r="B727" s="370" t="s">
        <v>9629</v>
      </c>
      <c r="C727" s="370" t="s">
        <v>9626</v>
      </c>
      <c r="D727" s="3425">
        <v>2477</v>
      </c>
    </row>
    <row r="728" spans="1:4" x14ac:dyDescent="0.25">
      <c r="A728" s="370" t="s">
        <v>9648</v>
      </c>
      <c r="B728" s="370" t="s">
        <v>9650</v>
      </c>
      <c r="C728" s="370" t="s">
        <v>9649</v>
      </c>
      <c r="D728" s="3425">
        <v>49.55</v>
      </c>
    </row>
    <row r="729" spans="1:4" x14ac:dyDescent="0.25">
      <c r="A729" s="370" t="s">
        <v>9657</v>
      </c>
      <c r="B729" s="370" t="s">
        <v>9675</v>
      </c>
      <c r="C729" s="370" t="s">
        <v>9666</v>
      </c>
      <c r="D729" s="3425">
        <v>41.04</v>
      </c>
    </row>
    <row r="730" spans="1:4" x14ac:dyDescent="0.25">
      <c r="A730" s="370" t="s">
        <v>9658</v>
      </c>
      <c r="B730" s="370" t="s">
        <v>9676</v>
      </c>
      <c r="C730" s="370" t="s">
        <v>9667</v>
      </c>
      <c r="D730" s="3425">
        <v>126.7</v>
      </c>
    </row>
    <row r="731" spans="1:4" x14ac:dyDescent="0.25">
      <c r="A731" s="370" t="s">
        <v>9659</v>
      </c>
      <c r="B731" s="370" t="s">
        <v>9677</v>
      </c>
      <c r="C731" s="370" t="s">
        <v>9668</v>
      </c>
      <c r="D731" s="3425">
        <v>182</v>
      </c>
    </row>
    <row r="732" spans="1:4" x14ac:dyDescent="0.25">
      <c r="A732" s="370" t="s">
        <v>9660</v>
      </c>
      <c r="B732" s="370" t="s">
        <v>9678</v>
      </c>
      <c r="C732" s="370" t="s">
        <v>9669</v>
      </c>
      <c r="D732" s="3425">
        <v>46.67</v>
      </c>
    </row>
    <row r="733" spans="1:4" x14ac:dyDescent="0.25">
      <c r="A733" s="370" t="s">
        <v>9661</v>
      </c>
      <c r="B733" s="370" t="s">
        <v>9679</v>
      </c>
      <c r="C733" s="370" t="s">
        <v>9670</v>
      </c>
      <c r="D733" s="3425">
        <v>69.180000000000007</v>
      </c>
    </row>
    <row r="734" spans="1:4" x14ac:dyDescent="0.25">
      <c r="A734" s="370" t="s">
        <v>9662</v>
      </c>
      <c r="B734" s="370" t="s">
        <v>9680</v>
      </c>
      <c r="C734" s="370" t="s">
        <v>9671</v>
      </c>
      <c r="D734" s="3425">
        <v>51.24</v>
      </c>
    </row>
    <row r="735" spans="1:4" x14ac:dyDescent="0.25">
      <c r="A735" s="370" t="s">
        <v>9663</v>
      </c>
      <c r="B735" s="370" t="s">
        <v>9681</v>
      </c>
      <c r="C735" s="370" t="s">
        <v>9672</v>
      </c>
      <c r="D735" s="3425">
        <v>19.504999999999999</v>
      </c>
    </row>
    <row r="736" spans="1:4" x14ac:dyDescent="0.25">
      <c r="A736" s="370" t="s">
        <v>9664</v>
      </c>
      <c r="B736" s="370" t="s">
        <v>9682</v>
      </c>
      <c r="C736" s="370" t="s">
        <v>9673</v>
      </c>
      <c r="D736" s="3425">
        <v>122.84</v>
      </c>
    </row>
    <row r="737" spans="1:4" x14ac:dyDescent="0.25">
      <c r="A737" s="370" t="s">
        <v>9665</v>
      </c>
      <c r="B737" s="370" t="s">
        <v>9683</v>
      </c>
      <c r="C737" s="370" t="s">
        <v>9674</v>
      </c>
      <c r="D737" s="3425">
        <v>104.55</v>
      </c>
    </row>
    <row r="738" spans="1:4" x14ac:dyDescent="0.25">
      <c r="A738" s="370" t="s">
        <v>9702</v>
      </c>
      <c r="B738" s="370" t="s">
        <v>9704</v>
      </c>
      <c r="C738" s="370" t="s">
        <v>9703</v>
      </c>
      <c r="D738" s="3425">
        <v>182.45</v>
      </c>
    </row>
    <row r="739" spans="1:4" x14ac:dyDescent="0.25">
      <c r="A739" s="370" t="s">
        <v>9739</v>
      </c>
      <c r="B739" s="370" t="s">
        <v>9740</v>
      </c>
      <c r="C739" s="370" t="s">
        <v>9740</v>
      </c>
      <c r="D739" s="3425">
        <v>51.2</v>
      </c>
    </row>
    <row r="740" spans="1:4" x14ac:dyDescent="0.25">
      <c r="A740" s="370" t="s">
        <v>9757</v>
      </c>
      <c r="B740" s="370" t="s">
        <v>9759</v>
      </c>
      <c r="C740" s="370" t="s">
        <v>9758</v>
      </c>
      <c r="D740" s="3425">
        <v>475.6</v>
      </c>
    </row>
    <row r="741" spans="1:4" x14ac:dyDescent="0.25">
      <c r="A741" s="370" t="s">
        <v>9767</v>
      </c>
      <c r="B741" s="370" t="s">
        <v>9769</v>
      </c>
      <c r="C741" s="370" t="s">
        <v>9768</v>
      </c>
      <c r="D741" s="3425">
        <v>20.100000000000001</v>
      </c>
    </row>
    <row r="742" spans="1:4" x14ac:dyDescent="0.25">
      <c r="A742" s="370" t="s">
        <v>9796</v>
      </c>
      <c r="B742" s="370" t="s">
        <v>9805</v>
      </c>
      <c r="C742" s="370" t="s">
        <v>9787</v>
      </c>
      <c r="D742" s="3425">
        <v>2664</v>
      </c>
    </row>
    <row r="743" spans="1:4" x14ac:dyDescent="0.25">
      <c r="A743" s="370" t="s">
        <v>9797</v>
      </c>
      <c r="B743" s="370" t="s">
        <v>9806</v>
      </c>
      <c r="C743" s="370" t="s">
        <v>9788</v>
      </c>
      <c r="D743" s="3425">
        <v>4758</v>
      </c>
    </row>
    <row r="744" spans="1:4" x14ac:dyDescent="0.25">
      <c r="A744" s="370" t="s">
        <v>9798</v>
      </c>
      <c r="B744" s="370" t="s">
        <v>9807</v>
      </c>
      <c r="C744" s="370" t="s">
        <v>9789</v>
      </c>
      <c r="D744" s="3425">
        <v>1213</v>
      </c>
    </row>
    <row r="745" spans="1:4" x14ac:dyDescent="0.25">
      <c r="A745" s="370" t="s">
        <v>9799</v>
      </c>
      <c r="B745" s="370" t="s">
        <v>9808</v>
      </c>
      <c r="C745" s="370" t="s">
        <v>9790</v>
      </c>
      <c r="D745" s="3425">
        <v>45.35</v>
      </c>
    </row>
    <row r="746" spans="1:4" x14ac:dyDescent="0.25">
      <c r="A746" s="370" t="s">
        <v>9800</v>
      </c>
      <c r="B746" s="370" t="s">
        <v>9809</v>
      </c>
      <c r="C746" s="370" t="s">
        <v>9791</v>
      </c>
      <c r="D746" s="3425">
        <v>237000</v>
      </c>
    </row>
    <row r="747" spans="1:4" x14ac:dyDescent="0.25">
      <c r="A747" s="370" t="s">
        <v>9801</v>
      </c>
      <c r="B747" s="370" t="s">
        <v>9810</v>
      </c>
      <c r="C747" s="370" t="s">
        <v>9792</v>
      </c>
      <c r="D747" s="3425">
        <v>1316</v>
      </c>
    </row>
    <row r="748" spans="1:4" x14ac:dyDescent="0.25">
      <c r="A748" s="370" t="s">
        <v>9802</v>
      </c>
      <c r="B748" s="370" t="s">
        <v>9811</v>
      </c>
      <c r="C748" s="370" t="s">
        <v>9793</v>
      </c>
      <c r="D748" s="3425">
        <v>46.795000000000002</v>
      </c>
    </row>
    <row r="749" spans="1:4" x14ac:dyDescent="0.25">
      <c r="A749" s="370" t="s">
        <v>9803</v>
      </c>
      <c r="B749" s="370" t="s">
        <v>9812</v>
      </c>
      <c r="C749" s="370" t="s">
        <v>9794</v>
      </c>
      <c r="D749" s="3425">
        <v>3426</v>
      </c>
    </row>
    <row r="750" spans="1:4" x14ac:dyDescent="0.25">
      <c r="A750" s="370" t="s">
        <v>9804</v>
      </c>
      <c r="B750" s="370" t="s">
        <v>9813</v>
      </c>
      <c r="C750" s="370" t="s">
        <v>9795</v>
      </c>
      <c r="D750" s="3425">
        <v>1721</v>
      </c>
    </row>
    <row r="751" spans="1:4" x14ac:dyDescent="0.25">
      <c r="A751" s="370" t="s">
        <v>9833</v>
      </c>
      <c r="B751" s="370" t="s">
        <v>9834</v>
      </c>
      <c r="C751" s="370" t="s">
        <v>9832</v>
      </c>
      <c r="D751" s="3425">
        <v>290.06</v>
      </c>
    </row>
    <row r="752" spans="1:4" x14ac:dyDescent="0.25">
      <c r="A752" s="370" t="s">
        <v>9867</v>
      </c>
      <c r="B752" s="370" t="s">
        <v>9877</v>
      </c>
      <c r="C752" s="370" t="s">
        <v>9872</v>
      </c>
      <c r="D752" s="3425">
        <v>520</v>
      </c>
    </row>
    <row r="753" spans="1:4" x14ac:dyDescent="0.25">
      <c r="A753" s="370" t="s">
        <v>9868</v>
      </c>
      <c r="B753" s="370" t="s">
        <v>9878</v>
      </c>
      <c r="C753" s="370" t="s">
        <v>9873</v>
      </c>
      <c r="D753" s="3425">
        <v>11.04</v>
      </c>
    </row>
    <row r="754" spans="1:4" x14ac:dyDescent="0.25">
      <c r="A754" s="370" t="s">
        <v>9869</v>
      </c>
      <c r="B754" s="370" t="s">
        <v>9879</v>
      </c>
      <c r="C754" s="370" t="s">
        <v>9874</v>
      </c>
      <c r="D754" s="3425">
        <v>50.68</v>
      </c>
    </row>
    <row r="755" spans="1:4" x14ac:dyDescent="0.25">
      <c r="A755" s="370" t="s">
        <v>9870</v>
      </c>
      <c r="B755" s="370" t="s">
        <v>9880</v>
      </c>
      <c r="C755" s="370" t="s">
        <v>9875</v>
      </c>
      <c r="D755" s="3425">
        <v>376.6</v>
      </c>
    </row>
    <row r="756" spans="1:4" x14ac:dyDescent="0.25">
      <c r="A756" s="370" t="s">
        <v>9871</v>
      </c>
      <c r="B756" s="370" t="s">
        <v>9881</v>
      </c>
      <c r="C756" s="370" t="s">
        <v>9876</v>
      </c>
      <c r="D756" s="3425">
        <v>11.59</v>
      </c>
    </row>
    <row r="757" spans="1:4" x14ac:dyDescent="0.25">
      <c r="A757" s="370" t="s">
        <v>9901</v>
      </c>
      <c r="B757" s="370" t="s">
        <v>9903</v>
      </c>
      <c r="C757" s="370" t="s">
        <v>9902</v>
      </c>
      <c r="D757" s="3425">
        <v>730</v>
      </c>
    </row>
    <row r="758" spans="1:4" x14ac:dyDescent="0.25">
      <c r="A758" s="370" t="s">
        <v>9961</v>
      </c>
      <c r="B758" s="370" t="s">
        <v>9963</v>
      </c>
      <c r="C758" s="370" t="s">
        <v>9962</v>
      </c>
      <c r="D758" s="3425">
        <v>27.4</v>
      </c>
    </row>
    <row r="759" spans="1:4" x14ac:dyDescent="0.25">
      <c r="A759" s="370" t="s">
        <v>10003</v>
      </c>
      <c r="B759" s="370" t="s">
        <v>10005</v>
      </c>
      <c r="C759" s="370" t="s">
        <v>10004</v>
      </c>
      <c r="D759" s="3425">
        <v>56.44</v>
      </c>
    </row>
    <row r="760" spans="1:4" x14ac:dyDescent="0.25">
      <c r="A760" s="370" t="s">
        <v>10025</v>
      </c>
      <c r="B760" s="370" t="s">
        <v>10026</v>
      </c>
      <c r="C760" s="370" t="s">
        <v>10024</v>
      </c>
      <c r="D760" s="3425">
        <v>43.35</v>
      </c>
    </row>
    <row r="761" spans="1:4" x14ac:dyDescent="0.25">
      <c r="A761" s="370" t="s">
        <v>10027</v>
      </c>
      <c r="B761" s="370" t="s">
        <v>10029</v>
      </c>
      <c r="C761" s="370" t="s">
        <v>10028</v>
      </c>
      <c r="D761" s="3425">
        <v>80.17</v>
      </c>
    </row>
    <row r="762" spans="1:4" ht="13.8" x14ac:dyDescent="0.3">
      <c r="A762" s="2485" t="s">
        <v>10118</v>
      </c>
      <c r="B762" s="2485" t="s">
        <v>10120</v>
      </c>
      <c r="C762" s="2485" t="s">
        <v>10119</v>
      </c>
      <c r="D762" s="3425">
        <v>53.52</v>
      </c>
    </row>
    <row r="763" spans="1:4" x14ac:dyDescent="0.25">
      <c r="A763" s="370" t="s">
        <v>10136</v>
      </c>
      <c r="B763" s="370" t="s">
        <v>10138</v>
      </c>
      <c r="C763" s="370" t="s">
        <v>10137</v>
      </c>
      <c r="D763" s="3425">
        <v>5.9119999999999999</v>
      </c>
    </row>
    <row r="764" spans="1:4" x14ac:dyDescent="0.25">
      <c r="A764" s="370" t="s">
        <v>10139</v>
      </c>
      <c r="B764" s="370" t="s">
        <v>10838</v>
      </c>
      <c r="C764" s="370" t="s">
        <v>10839</v>
      </c>
      <c r="D764" s="3425">
        <v>18.75</v>
      </c>
    </row>
    <row r="765" spans="1:4" x14ac:dyDescent="0.25">
      <c r="A765" s="370" t="s">
        <v>10153</v>
      </c>
      <c r="B765" s="370" t="s">
        <v>10155</v>
      </c>
      <c r="C765" s="370" t="s">
        <v>10154</v>
      </c>
      <c r="D765" s="3425">
        <v>44.27</v>
      </c>
    </row>
    <row r="766" spans="1:4" x14ac:dyDescent="0.25">
      <c r="A766" s="370" t="s">
        <v>10245</v>
      </c>
      <c r="B766" s="370" t="s">
        <v>10251</v>
      </c>
      <c r="C766" s="370" t="s">
        <v>10248</v>
      </c>
      <c r="D766" s="3425">
        <v>36.29</v>
      </c>
    </row>
    <row r="767" spans="1:4" x14ac:dyDescent="0.25">
      <c r="A767" s="370" t="s">
        <v>10246</v>
      </c>
      <c r="B767" s="370" t="s">
        <v>10252</v>
      </c>
      <c r="C767" s="370" t="s">
        <v>10249</v>
      </c>
      <c r="D767" s="3425">
        <v>312.68</v>
      </c>
    </row>
    <row r="768" spans="1:4" x14ac:dyDescent="0.25">
      <c r="A768" s="370" t="s">
        <v>10247</v>
      </c>
      <c r="B768" s="370" t="s">
        <v>10253</v>
      </c>
      <c r="C768" s="370" t="s">
        <v>10250</v>
      </c>
      <c r="D768" s="3425">
        <v>86.31</v>
      </c>
    </row>
    <row r="769" spans="1:4" x14ac:dyDescent="0.25">
      <c r="A769" s="370" t="s">
        <v>10301</v>
      </c>
      <c r="B769" s="370" t="s">
        <v>10300</v>
      </c>
      <c r="C769" s="370" t="s">
        <v>10300</v>
      </c>
      <c r="D769" s="3425">
        <v>421.4975</v>
      </c>
    </row>
    <row r="770" spans="1:4" x14ac:dyDescent="0.25">
      <c r="A770" s="370" t="s">
        <v>10303</v>
      </c>
      <c r="B770" s="370" t="s">
        <v>10708</v>
      </c>
      <c r="C770" s="370" t="s">
        <v>10708</v>
      </c>
      <c r="D770" s="3425">
        <v>67.36</v>
      </c>
    </row>
    <row r="771" spans="1:4" x14ac:dyDescent="0.25">
      <c r="A771" s="370" t="s">
        <v>10371</v>
      </c>
      <c r="B771" s="370" t="s">
        <v>10838</v>
      </c>
      <c r="C771" s="370" t="s">
        <v>10839</v>
      </c>
      <c r="D771" s="3425">
        <v>18.75</v>
      </c>
    </row>
    <row r="772" spans="1:4" x14ac:dyDescent="0.25">
      <c r="A772" s="370" t="s">
        <v>10427</v>
      </c>
      <c r="B772" s="370" t="s">
        <v>10431</v>
      </c>
      <c r="C772" s="370" t="s">
        <v>10428</v>
      </c>
      <c r="D772" s="3425">
        <v>4.7</v>
      </c>
    </row>
    <row r="773" spans="1:4" x14ac:dyDescent="0.25">
      <c r="A773" s="370" t="s">
        <v>10429</v>
      </c>
      <c r="B773" s="370" t="s">
        <v>10432</v>
      </c>
      <c r="C773" s="370" t="s">
        <v>10430</v>
      </c>
      <c r="D773" s="3425">
        <v>37.979999999999997</v>
      </c>
    </row>
    <row r="774" spans="1:4" x14ac:dyDescent="0.25">
      <c r="A774" s="370" t="s">
        <v>10436</v>
      </c>
      <c r="B774" s="370" t="s">
        <v>10437</v>
      </c>
      <c r="C774" s="370" t="s">
        <v>10437</v>
      </c>
      <c r="D774" s="3425">
        <v>18.3626</v>
      </c>
    </row>
    <row r="775" spans="1:4" x14ac:dyDescent="0.25">
      <c r="A775" s="370" t="s">
        <v>10490</v>
      </c>
      <c r="B775" s="370" t="s">
        <v>10491</v>
      </c>
      <c r="C775" s="370" t="s">
        <v>10491</v>
      </c>
      <c r="D775" s="3606">
        <v>81.668300000000002</v>
      </c>
    </row>
    <row r="776" spans="1:4" x14ac:dyDescent="0.25">
      <c r="A776" s="370" t="s">
        <v>10501</v>
      </c>
      <c r="B776" s="370" t="s">
        <v>10503</v>
      </c>
      <c r="C776" s="370" t="s">
        <v>10502</v>
      </c>
      <c r="D776" s="3425">
        <v>1522.5</v>
      </c>
    </row>
    <row r="777" spans="1:4" x14ac:dyDescent="0.25">
      <c r="A777" s="370" t="s">
        <v>6325</v>
      </c>
      <c r="B777" s="370" t="s">
        <v>10515</v>
      </c>
      <c r="C777" s="370" t="s">
        <v>10509</v>
      </c>
      <c r="D777" s="3425">
        <v>86.1</v>
      </c>
    </row>
    <row r="778" spans="1:4" x14ac:dyDescent="0.25">
      <c r="A778" s="370" t="s">
        <v>10510</v>
      </c>
      <c r="B778" s="370" t="s">
        <v>10516</v>
      </c>
      <c r="C778" s="370" t="s">
        <v>10511</v>
      </c>
      <c r="D778" s="3425">
        <v>39.5</v>
      </c>
    </row>
    <row r="779" spans="1:4" x14ac:dyDescent="0.25">
      <c r="A779" s="370" t="s">
        <v>10512</v>
      </c>
      <c r="B779" s="370" t="s">
        <v>10517</v>
      </c>
      <c r="C779" s="370" t="s">
        <v>10513</v>
      </c>
      <c r="D779" s="3425">
        <v>220.04</v>
      </c>
    </row>
    <row r="780" spans="1:4" x14ac:dyDescent="0.25">
      <c r="A780" s="370" t="s">
        <v>2874</v>
      </c>
      <c r="B780" s="370" t="s">
        <v>10518</v>
      </c>
      <c r="C780" s="370" t="s">
        <v>10514</v>
      </c>
      <c r="D780" s="3425">
        <v>53.75</v>
      </c>
    </row>
    <row r="781" spans="1:4" x14ac:dyDescent="0.25">
      <c r="A781" s="370" t="s">
        <v>10528</v>
      </c>
      <c r="B781" s="370" t="s">
        <v>10532</v>
      </c>
      <c r="C781" s="370" t="s">
        <v>10531</v>
      </c>
      <c r="D781" s="3425">
        <v>2664.5</v>
      </c>
    </row>
    <row r="782" spans="1:4" x14ac:dyDescent="0.25">
      <c r="A782" s="370" t="s">
        <v>10529</v>
      </c>
      <c r="B782" s="370" t="s">
        <v>10534</v>
      </c>
      <c r="C782" s="370" t="s">
        <v>10533</v>
      </c>
      <c r="D782" s="3425">
        <v>1941</v>
      </c>
    </row>
    <row r="783" spans="1:4" x14ac:dyDescent="0.25">
      <c r="A783" s="370" t="s">
        <v>10530</v>
      </c>
      <c r="B783" s="370" t="s">
        <v>10536</v>
      </c>
      <c r="C783" s="370" t="s">
        <v>10535</v>
      </c>
      <c r="D783" s="3425">
        <v>4725</v>
      </c>
    </row>
    <row r="784" spans="1:4" x14ac:dyDescent="0.25">
      <c r="A784" s="370" t="s">
        <v>10538</v>
      </c>
      <c r="B784" s="370" t="s">
        <v>10537</v>
      </c>
      <c r="C784" s="370" t="s">
        <v>7628</v>
      </c>
      <c r="D784" s="3425">
        <v>16.38</v>
      </c>
    </row>
    <row r="785" spans="1:4" x14ac:dyDescent="0.25">
      <c r="A785" s="370" t="s">
        <v>10556</v>
      </c>
      <c r="B785" s="370" t="s">
        <v>10558</v>
      </c>
      <c r="C785" s="370" t="s">
        <v>10557</v>
      </c>
      <c r="D785" s="3425">
        <v>121.76</v>
      </c>
    </row>
    <row r="786" spans="1:4" x14ac:dyDescent="0.25">
      <c r="A786" s="370" t="s">
        <v>10569</v>
      </c>
      <c r="B786" s="370" t="s">
        <v>10575</v>
      </c>
      <c r="C786" s="370" t="s">
        <v>10570</v>
      </c>
      <c r="D786" s="3425">
        <v>25.7</v>
      </c>
    </row>
    <row r="787" spans="1:4" x14ac:dyDescent="0.25">
      <c r="A787" s="370" t="s">
        <v>10571</v>
      </c>
      <c r="B787" s="370" t="s">
        <v>10576</v>
      </c>
      <c r="C787" s="370" t="s">
        <v>10572</v>
      </c>
      <c r="D787" s="3425">
        <v>1625</v>
      </c>
    </row>
    <row r="788" spans="1:4" x14ac:dyDescent="0.25">
      <c r="A788" s="370" t="s">
        <v>10573</v>
      </c>
      <c r="B788" s="370" t="s">
        <v>10577</v>
      </c>
      <c r="C788" s="370" t="s">
        <v>10574</v>
      </c>
      <c r="D788" s="3425">
        <v>1.56</v>
      </c>
    </row>
    <row r="789" spans="1:4" x14ac:dyDescent="0.25">
      <c r="A789" s="370" t="s">
        <v>10578</v>
      </c>
      <c r="B789" s="370" t="s">
        <v>10580</v>
      </c>
      <c r="C789" s="370" t="s">
        <v>10579</v>
      </c>
      <c r="D789" s="3425">
        <v>132.30000000000001</v>
      </c>
    </row>
    <row r="790" spans="1:4" x14ac:dyDescent="0.25">
      <c r="A790" s="370" t="s">
        <v>10581</v>
      </c>
      <c r="B790" s="370" t="s">
        <v>10585</v>
      </c>
      <c r="C790" s="370" t="s">
        <v>10582</v>
      </c>
      <c r="D790" s="3425">
        <v>4.8499999999999996</v>
      </c>
    </row>
    <row r="791" spans="1:4" x14ac:dyDescent="0.25">
      <c r="A791" s="370" t="s">
        <v>10583</v>
      </c>
      <c r="B791" s="370" t="s">
        <v>10586</v>
      </c>
      <c r="C791" s="370" t="s">
        <v>10584</v>
      </c>
      <c r="D791" s="3425">
        <v>342.9</v>
      </c>
    </row>
    <row r="792" spans="1:4" x14ac:dyDescent="0.25">
      <c r="A792" s="370" t="s">
        <v>10600</v>
      </c>
      <c r="B792" s="370" t="s">
        <v>10755</v>
      </c>
      <c r="C792" s="370" t="s">
        <v>10756</v>
      </c>
      <c r="D792" s="3425">
        <v>26.324999999999999</v>
      </c>
    </row>
    <row r="793" spans="1:4" x14ac:dyDescent="0.25">
      <c r="A793" s="370" t="s">
        <v>10605</v>
      </c>
      <c r="B793" s="370" t="s">
        <v>10606</v>
      </c>
      <c r="C793" s="370" t="s">
        <v>10606</v>
      </c>
      <c r="D793" s="3425">
        <v>13.97</v>
      </c>
    </row>
    <row r="794" spans="1:4" x14ac:dyDescent="0.25">
      <c r="A794" s="370" t="s">
        <v>10607</v>
      </c>
      <c r="B794" s="370" t="s">
        <v>10609</v>
      </c>
      <c r="C794" s="370" t="s">
        <v>10608</v>
      </c>
      <c r="D794" s="3425">
        <v>3627.88</v>
      </c>
    </row>
    <row r="795" spans="1:4" ht="13.8" x14ac:dyDescent="0.3">
      <c r="A795" s="2485" t="s">
        <v>10610</v>
      </c>
      <c r="B795" s="2485" t="s">
        <v>10611</v>
      </c>
      <c r="C795" s="2485" t="s">
        <v>8885</v>
      </c>
      <c r="D795" s="3425">
        <v>137.5</v>
      </c>
    </row>
    <row r="796" spans="1:4" x14ac:dyDescent="0.25">
      <c r="A796" s="370" t="s">
        <v>10615</v>
      </c>
      <c r="B796" s="370" t="s">
        <v>10625</v>
      </c>
      <c r="C796" s="370" t="s">
        <v>10616</v>
      </c>
      <c r="D796" s="3425">
        <v>66.42</v>
      </c>
    </row>
    <row r="797" spans="1:4" x14ac:dyDescent="0.25">
      <c r="A797" s="370" t="s">
        <v>10617</v>
      </c>
      <c r="B797" s="370" t="s">
        <v>10626</v>
      </c>
      <c r="C797" s="370" t="s">
        <v>10618</v>
      </c>
      <c r="D797" s="3425">
        <v>16.940000000000001</v>
      </c>
    </row>
    <row r="798" spans="1:4" x14ac:dyDescent="0.25">
      <c r="A798" s="370" t="s">
        <v>10619</v>
      </c>
      <c r="B798" s="370" t="s">
        <v>10627</v>
      </c>
      <c r="C798" s="370" t="s">
        <v>10620</v>
      </c>
      <c r="D798" s="3425">
        <v>254.2</v>
      </c>
    </row>
    <row r="799" spans="1:4" x14ac:dyDescent="0.25">
      <c r="A799" s="370" t="s">
        <v>10621</v>
      </c>
      <c r="B799" s="370" t="s">
        <v>10628</v>
      </c>
      <c r="C799" s="370" t="s">
        <v>10622</v>
      </c>
      <c r="D799" s="3425">
        <v>13.885</v>
      </c>
    </row>
    <row r="800" spans="1:4" x14ac:dyDescent="0.25">
      <c r="A800" s="370" t="s">
        <v>10623</v>
      </c>
      <c r="B800" s="370" t="s">
        <v>10629</v>
      </c>
      <c r="C800" s="370" t="s">
        <v>10624</v>
      </c>
      <c r="D800" s="3425">
        <v>81.66</v>
      </c>
    </row>
    <row r="801" spans="1:4" x14ac:dyDescent="0.25">
      <c r="A801" s="370" t="s">
        <v>10633</v>
      </c>
      <c r="B801" s="370" t="s">
        <v>10635</v>
      </c>
      <c r="C801" s="370" t="s">
        <v>10634</v>
      </c>
      <c r="D801" s="3425">
        <v>63.47</v>
      </c>
    </row>
    <row r="802" spans="1:4" x14ac:dyDescent="0.25">
      <c r="A802" s="370" t="s">
        <v>10643</v>
      </c>
      <c r="B802" s="370" t="s">
        <v>10647</v>
      </c>
      <c r="C802" s="370" t="s">
        <v>10644</v>
      </c>
      <c r="D802" s="3425">
        <v>43.32</v>
      </c>
    </row>
    <row r="803" spans="1:4" x14ac:dyDescent="0.25">
      <c r="A803" s="370" t="s">
        <v>10645</v>
      </c>
      <c r="B803" s="370" t="s">
        <v>10648</v>
      </c>
      <c r="C803" s="370" t="s">
        <v>10646</v>
      </c>
      <c r="D803" s="3425">
        <v>220.5</v>
      </c>
    </row>
    <row r="804" spans="1:4" x14ac:dyDescent="0.25">
      <c r="A804" s="370" t="s">
        <v>10658</v>
      </c>
      <c r="B804" s="370" t="s">
        <v>10660</v>
      </c>
      <c r="C804" s="370" t="s">
        <v>10659</v>
      </c>
      <c r="D804" s="3425">
        <v>919.3</v>
      </c>
    </row>
    <row r="805" spans="1:4" ht="13.8" x14ac:dyDescent="0.3">
      <c r="A805" s="2485" t="s">
        <v>10664</v>
      </c>
      <c r="B805" s="2485" t="s">
        <v>10663</v>
      </c>
      <c r="C805" s="2485" t="s">
        <v>10662</v>
      </c>
      <c r="D805" s="2033">
        <v>20.68</v>
      </c>
    </row>
    <row r="806" spans="1:4" x14ac:dyDescent="0.25">
      <c r="A806" s="370" t="s">
        <v>10665</v>
      </c>
      <c r="B806" s="370" t="s">
        <v>10666</v>
      </c>
      <c r="C806" s="370" t="s">
        <v>10666</v>
      </c>
      <c r="D806" s="2033">
        <v>83.734999999999999</v>
      </c>
    </row>
    <row r="807" spans="1:4" x14ac:dyDescent="0.25">
      <c r="A807" s="370" t="s">
        <v>10667</v>
      </c>
      <c r="B807" s="370" t="s">
        <v>10669</v>
      </c>
      <c r="C807" s="370" t="s">
        <v>10668</v>
      </c>
      <c r="D807" s="2033">
        <v>2625</v>
      </c>
    </row>
    <row r="808" spans="1:4" ht="13.8" x14ac:dyDescent="0.3">
      <c r="A808" s="2485" t="s">
        <v>10672</v>
      </c>
      <c r="B808" s="370" t="s">
        <v>10673</v>
      </c>
      <c r="C808" s="370" t="s">
        <v>10674</v>
      </c>
      <c r="D808" s="2033">
        <v>73.81</v>
      </c>
    </row>
    <row r="809" spans="1:4" x14ac:dyDescent="0.25">
      <c r="A809" s="370" t="s">
        <v>10705</v>
      </c>
      <c r="B809" s="370" t="s">
        <v>10707</v>
      </c>
      <c r="C809" s="370" t="s">
        <v>10706</v>
      </c>
      <c r="D809" s="370">
        <v>25.7546</v>
      </c>
    </row>
    <row r="810" spans="1:4" ht="13.8" x14ac:dyDescent="0.3">
      <c r="A810" s="2485" t="s">
        <v>10730</v>
      </c>
      <c r="B810" s="370" t="s">
        <v>10728</v>
      </c>
      <c r="C810" s="2485" t="s">
        <v>10729</v>
      </c>
      <c r="D810" s="2033">
        <v>16.9998</v>
      </c>
    </row>
    <row r="811" spans="1:4" x14ac:dyDescent="0.25">
      <c r="A811" s="370" t="s">
        <v>10722</v>
      </c>
      <c r="B811" s="370" t="s">
        <v>10733</v>
      </c>
      <c r="C811" s="370" t="s">
        <v>10723</v>
      </c>
      <c r="D811" s="2033">
        <v>27.88</v>
      </c>
    </row>
    <row r="812" spans="1:4" x14ac:dyDescent="0.25">
      <c r="A812" s="370" t="s">
        <v>10734</v>
      </c>
      <c r="B812" s="370" t="s">
        <v>10736</v>
      </c>
      <c r="C812" s="370" t="s">
        <v>10735</v>
      </c>
      <c r="D812" s="370">
        <v>15.805</v>
      </c>
    </row>
    <row r="813" spans="1:4" x14ac:dyDescent="0.25">
      <c r="A813" s="370" t="s">
        <v>10737</v>
      </c>
      <c r="B813" s="370" t="s">
        <v>10738</v>
      </c>
      <c r="C813" s="370" t="s">
        <v>10738</v>
      </c>
      <c r="D813" s="370">
        <v>9.0036000000000005</v>
      </c>
    </row>
    <row r="814" spans="1:4" x14ac:dyDescent="0.25">
      <c r="A814" s="370" t="s">
        <v>10740</v>
      </c>
      <c r="B814" s="370" t="s">
        <v>10742</v>
      </c>
      <c r="C814" s="370" t="s">
        <v>10741</v>
      </c>
      <c r="D814" s="2033">
        <v>30.5</v>
      </c>
    </row>
    <row r="815" spans="1:4" ht="13.8" x14ac:dyDescent="0.3">
      <c r="A815" s="2485" t="s">
        <v>10749</v>
      </c>
      <c r="B815" s="2485" t="s">
        <v>10751</v>
      </c>
      <c r="C815" s="2485" t="s">
        <v>10750</v>
      </c>
      <c r="D815" s="2485">
        <v>29.331900000000001</v>
      </c>
    </row>
    <row r="816" spans="1:4" x14ac:dyDescent="0.25">
      <c r="A816" s="370" t="s">
        <v>10752</v>
      </c>
      <c r="B816" s="370" t="s">
        <v>10754</v>
      </c>
      <c r="C816" s="370" t="s">
        <v>10753</v>
      </c>
      <c r="D816" s="2033">
        <v>100.69759999999999</v>
      </c>
    </row>
    <row r="817" spans="1:4" x14ac:dyDescent="0.25">
      <c r="A817" t="s">
        <v>10762</v>
      </c>
      <c r="B817" t="s">
        <v>10764</v>
      </c>
      <c r="C817" t="s">
        <v>10763</v>
      </c>
      <c r="D817" s="2033">
        <v>1.6014999999999999</v>
      </c>
    </row>
    <row r="818" spans="1:4" ht="13.8" x14ac:dyDescent="0.3">
      <c r="A818" s="3231" t="s">
        <v>10765</v>
      </c>
      <c r="B818" s="3231" t="s">
        <v>10767</v>
      </c>
      <c r="C818" s="3231" t="s">
        <v>10766</v>
      </c>
      <c r="D818" s="1464">
        <v>105.4</v>
      </c>
    </row>
    <row r="819" spans="1:4" x14ac:dyDescent="0.25">
      <c r="A819" t="s">
        <v>10769</v>
      </c>
      <c r="B819" t="s">
        <v>10768</v>
      </c>
      <c r="C819" t="s">
        <v>10768</v>
      </c>
      <c r="D819" s="1464">
        <v>30.67</v>
      </c>
    </row>
    <row r="820" spans="1:4" x14ac:dyDescent="0.25">
      <c r="A820" t="s">
        <v>10770</v>
      </c>
      <c r="B820" t="s">
        <v>10771</v>
      </c>
      <c r="C820" t="s">
        <v>10771</v>
      </c>
      <c r="D820" s="1464">
        <v>181.04660000000001</v>
      </c>
    </row>
    <row r="821" spans="1:4" x14ac:dyDescent="0.25">
      <c r="A821" t="s">
        <v>10781</v>
      </c>
      <c r="B821" t="s">
        <v>10785</v>
      </c>
      <c r="C821" t="s">
        <v>10785</v>
      </c>
      <c r="D821" s="1464">
        <v>3850</v>
      </c>
    </row>
    <row r="822" spans="1:4" x14ac:dyDescent="0.25">
      <c r="A822" t="s">
        <v>10782</v>
      </c>
      <c r="B822" t="s">
        <v>10786</v>
      </c>
      <c r="C822" t="s">
        <v>10786</v>
      </c>
      <c r="D822" s="1464">
        <v>59.08</v>
      </c>
    </row>
    <row r="823" spans="1:4" x14ac:dyDescent="0.25">
      <c r="A823" t="s">
        <v>10783</v>
      </c>
      <c r="B823" t="s">
        <v>10787</v>
      </c>
      <c r="C823" t="s">
        <v>10787</v>
      </c>
      <c r="D823" s="1464">
        <v>11.605</v>
      </c>
    </row>
    <row r="824" spans="1:4" x14ac:dyDescent="0.25">
      <c r="A824" t="s">
        <v>10784</v>
      </c>
      <c r="B824" t="s">
        <v>10788</v>
      </c>
      <c r="C824" t="s">
        <v>10788</v>
      </c>
      <c r="D824" s="1464">
        <v>29.41</v>
      </c>
    </row>
    <row r="825" spans="1:4" x14ac:dyDescent="0.25">
      <c r="A825" t="s">
        <v>10792</v>
      </c>
      <c r="B825" t="s">
        <v>10791</v>
      </c>
      <c r="C825" t="s">
        <v>10790</v>
      </c>
      <c r="D825" s="1464">
        <v>74.5</v>
      </c>
    </row>
    <row r="826" spans="1:4" x14ac:dyDescent="0.25">
      <c r="A826" t="s">
        <v>10799</v>
      </c>
      <c r="B826" t="s">
        <v>10813</v>
      </c>
      <c r="C826" t="s">
        <v>10800</v>
      </c>
      <c r="D826" s="1464">
        <v>2503</v>
      </c>
    </row>
    <row r="827" spans="1:4" x14ac:dyDescent="0.25">
      <c r="A827" t="s">
        <v>10801</v>
      </c>
      <c r="B827" t="s">
        <v>10814</v>
      </c>
      <c r="C827" t="s">
        <v>10802</v>
      </c>
      <c r="D827" s="1464">
        <v>104.31</v>
      </c>
    </row>
    <row r="828" spans="1:4" x14ac:dyDescent="0.25">
      <c r="A828" t="s">
        <v>10803</v>
      </c>
      <c r="B828" t="s">
        <v>10815</v>
      </c>
      <c r="C828" t="s">
        <v>10804</v>
      </c>
      <c r="D828" s="1464">
        <v>1936</v>
      </c>
    </row>
    <row r="829" spans="1:4" x14ac:dyDescent="0.25">
      <c r="A829" t="s">
        <v>10805</v>
      </c>
      <c r="B829" t="s">
        <v>10816</v>
      </c>
      <c r="C829" t="s">
        <v>10806</v>
      </c>
      <c r="D829" s="1464">
        <v>8088</v>
      </c>
    </row>
    <row r="830" spans="1:4" x14ac:dyDescent="0.25">
      <c r="A830" t="s">
        <v>10807</v>
      </c>
      <c r="B830" t="s">
        <v>10817</v>
      </c>
      <c r="C830" t="s">
        <v>10808</v>
      </c>
      <c r="D830" s="1464">
        <v>57.13</v>
      </c>
    </row>
    <row r="831" spans="1:4" x14ac:dyDescent="0.25">
      <c r="A831" t="s">
        <v>10809</v>
      </c>
      <c r="B831" t="s">
        <v>10818</v>
      </c>
      <c r="C831" t="s">
        <v>10810</v>
      </c>
      <c r="D831" s="1464">
        <v>4512</v>
      </c>
    </row>
    <row r="832" spans="1:4" x14ac:dyDescent="0.25">
      <c r="A832" t="s">
        <v>10811</v>
      </c>
      <c r="B832" t="s">
        <v>10819</v>
      </c>
      <c r="C832" t="s">
        <v>10812</v>
      </c>
      <c r="D832" s="1464">
        <v>4130</v>
      </c>
    </row>
    <row r="833" spans="1:4" x14ac:dyDescent="0.25">
      <c r="A833" t="s">
        <v>10823</v>
      </c>
      <c r="B833" t="s">
        <v>10825</v>
      </c>
      <c r="C833" t="s">
        <v>10824</v>
      </c>
      <c r="D833" s="1464">
        <v>180.49</v>
      </c>
    </row>
    <row r="834" spans="1:4" x14ac:dyDescent="0.25">
      <c r="A834" t="s">
        <v>10826</v>
      </c>
      <c r="B834" t="s">
        <v>10828</v>
      </c>
      <c r="C834" t="s">
        <v>10827</v>
      </c>
      <c r="D834" s="1464">
        <v>39.914999999999999</v>
      </c>
    </row>
    <row r="835" spans="1:4" x14ac:dyDescent="0.25">
      <c r="A835" t="s">
        <v>10829</v>
      </c>
      <c r="B835" t="s">
        <v>10830</v>
      </c>
      <c r="C835" t="s">
        <v>10830</v>
      </c>
      <c r="D835" s="1464">
        <v>23.685600000000001</v>
      </c>
    </row>
    <row r="836" spans="1:4" x14ac:dyDescent="0.25">
      <c r="A836" t="s">
        <v>10831</v>
      </c>
      <c r="B836" t="s">
        <v>10832</v>
      </c>
      <c r="C836" t="s">
        <v>10832</v>
      </c>
      <c r="D836" s="1464">
        <v>49.781399999999998</v>
      </c>
    </row>
    <row r="837" spans="1:4" x14ac:dyDescent="0.25">
      <c r="A837" t="s">
        <v>10833</v>
      </c>
      <c r="B837" t="s">
        <v>10834</v>
      </c>
      <c r="C837" t="s">
        <v>10834</v>
      </c>
      <c r="D837" s="1464">
        <v>6.6113999999999997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>&amp;L&amp;10&amp;"Arial"Interní
&amp;"Arial"&amp;06 &amp;C&amp;"Calibri"&amp;10&amp;K000000 Public&amp;1#_x000D_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parametry</vt:lpstr>
      <vt:lpstr>klikací hodnoty</vt:lpstr>
      <vt:lpstr>parametry2</vt:lpstr>
      <vt:lpstr>klikací hodnoty2</vt:lpstr>
      <vt:lpstr>indexy</vt:lpstr>
      <vt:lpstr>data</vt:lpstr>
      <vt:lpstr>parametry!Názvy_tisku</vt:lpstr>
      <vt:lpstr>parametry!Oblast_tisku</vt:lpstr>
      <vt:lpstr>pole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2024-04-09T09:06:31Z</dcterms:created>
  <dcterms:modified xsi:type="dcterms:W3CDTF">2024-04-09T09:25:00Z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a63cc4-2ec6-44d2-91a5-2f2bdabdec44_Enabled">
    <vt:lpwstr>true</vt:lpwstr>
  </property>
  <property fmtid="{D5CDD505-2E9C-101B-9397-08002B2CF9AE}" pid="3" name="MSIP_Label_a5a63cc4-2ec6-44d2-91a5-2f2bdabdec44_SetDate">
    <vt:lpwstr>2024-04-09T09:24:33Z</vt:lpwstr>
  </property>
  <property fmtid="{D5CDD505-2E9C-101B-9397-08002B2CF9AE}" pid="4" name="MSIP_Label_a5a63cc4-2ec6-44d2-91a5-2f2bdabdec44_Method">
    <vt:lpwstr>Privileged</vt:lpwstr>
  </property>
  <property fmtid="{D5CDD505-2E9C-101B-9397-08002B2CF9AE}" pid="5" name="MSIP_Label_a5a63cc4-2ec6-44d2-91a5-2f2bdabdec44_Name">
    <vt:lpwstr>a5a63cc4-2ec6-44d2-91a5-2f2bdabdec44</vt:lpwstr>
  </property>
  <property fmtid="{D5CDD505-2E9C-101B-9397-08002B2CF9AE}" pid="6" name="MSIP_Label_a5a63cc4-2ec6-44d2-91a5-2f2bdabdec44_SiteId">
    <vt:lpwstr>64af2aee-7d6c-49ac-a409-192d3fee73b8</vt:lpwstr>
  </property>
  <property fmtid="{D5CDD505-2E9C-101B-9397-08002B2CF9AE}" pid="7" name="MSIP_Label_a5a63cc4-2ec6-44d2-91a5-2f2bdabdec44_ActionId">
    <vt:lpwstr>2fbde934-bb7e-407b-841e-7c66180dc269</vt:lpwstr>
  </property>
  <property fmtid="{D5CDD505-2E9C-101B-9397-08002B2CF9AE}" pid="8" name="MSIP_Label_a5a63cc4-2ec6-44d2-91a5-2f2bdabdec44_ContentBits">
    <vt:lpwstr>1</vt:lpwstr>
  </property>
</Properties>
</file>